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arina.scabelli\Documents\dashboard_fb\assets\sheets\"/>
    </mc:Choice>
  </mc:AlternateContent>
  <xr:revisionPtr revIDLastSave="0" documentId="13_ncr:1_{4F3F7345-84B1-410E-B3EC-6DC138648CDD}" xr6:coauthVersionLast="47" xr6:coauthVersionMax="47" xr10:uidLastSave="{00000000-0000-0000-0000-000000000000}"/>
  <bookViews>
    <workbookView xWindow="-108" yWindow="-108" windowWidth="23256" windowHeight="12456" tabRatio="853" activeTab="1" xr2:uid="{00000000-000D-0000-FFFF-FFFF00000000}"/>
  </bookViews>
  <sheets>
    <sheet name="DRE" sheetId="1" r:id="rId1"/>
    <sheet name="CMV_Manual" sheetId="2" r:id="rId2"/>
    <sheet name="Fiscal" sheetId="3" r:id="rId3"/>
    <sheet name="T_ORCAMENTOS" sheetId="4" state="hidden" r:id="rId4"/>
    <sheet name="T_REAL" sheetId="5" state="hidden" r:id="rId5"/>
    <sheet name="Aut_BlueMe_Sem_Pedido" sheetId="6" r:id="rId6"/>
    <sheet name="Aut_BlueMe_Com_Pedido" sheetId="7" r:id="rId7"/>
    <sheet name="Aut_Faturamento_Zig" sheetId="8" r:id="rId8"/>
    <sheet name="Aut_Faturamento_Zig_Delivery" sheetId="24" r:id="rId9"/>
    <sheet name="Aut_Consumo_Cartao_Black" sheetId="25" r:id="rId10"/>
    <sheet name="Aut_Receitas_Extraord" sheetId="9" r:id="rId11"/>
    <sheet name="BD_Eventos_Novo" sheetId="10" r:id="rId12"/>
    <sheet name="Aut_Folha" sheetId="11" r:id="rId13"/>
    <sheet name="Aut_Descontos" sheetId="12" r:id="rId14"/>
    <sheet name="Aut_Promocoes_Utilizadas" sheetId="13" r:id="rId15"/>
    <sheet name="Aut_Endividamentos" sheetId="14" r:id="rId16"/>
    <sheet name="Aut_Contagem" sheetId="15" r:id="rId17"/>
    <sheet name="Aut_Precos_Insumos" sheetId="16" r:id="rId18"/>
    <sheet name="Aut_Valor_Estoque" sheetId="17" r:id="rId19"/>
    <sheet name="Aut_Precos_Consolidados_Mes" sheetId="18" r:id="rId20"/>
    <sheet name="Aut_Eventos_AeB" sheetId="19" r:id="rId21"/>
    <sheet name="Aut_Transferencias" sheetId="20" r:id="rId22"/>
    <sheet name="Aut_Consumo_Funcionarios" sheetId="21" r:id="rId23"/>
    <sheet name="Aut_Insumos_Producao" sheetId="22" r:id="rId24"/>
    <sheet name="Aut_Ajustes_Manuais" sheetId="23" r:id="rId25"/>
  </sheets>
  <definedNames>
    <definedName name="DadosExternos_1" localSheetId="3" hidden="1">T_ORCAMENTOS!$A$1:$H$1849</definedName>
    <definedName name="DadosExternos_1" localSheetId="4" hidden="1">T_REAL!$A$1:$E$13764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2" l="1"/>
  <c r="T10" i="2"/>
  <c r="U10" i="2"/>
  <c r="V10" i="2"/>
  <c r="W10" i="2"/>
  <c r="X10" i="2"/>
  <c r="Y10" i="2"/>
  <c r="Z10" i="2"/>
  <c r="AA10" i="2"/>
  <c r="AB10" i="2"/>
  <c r="S9" i="2"/>
  <c r="T9" i="2"/>
  <c r="U9" i="2"/>
  <c r="V9" i="2"/>
  <c r="W9" i="2"/>
  <c r="X9" i="2"/>
  <c r="Y9" i="2"/>
  <c r="Z9" i="2"/>
  <c r="AA9" i="2"/>
  <c r="AB9" i="2"/>
  <c r="AC9" i="2"/>
  <c r="S8" i="2"/>
  <c r="T8" i="2"/>
  <c r="U8" i="2"/>
  <c r="V8" i="2"/>
  <c r="W8" i="2"/>
  <c r="X8" i="2"/>
  <c r="Y8" i="2"/>
  <c r="Z8" i="2"/>
  <c r="AA8" i="2"/>
  <c r="AB8" i="2"/>
  <c r="AC8" i="2"/>
  <c r="R10" i="2"/>
  <c r="R9" i="2"/>
  <c r="R8" i="2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J119" i="1" l="1"/>
  <c r="J118" i="1"/>
  <c r="J117" i="1"/>
  <c r="J116" i="1"/>
  <c r="J115" i="1"/>
  <c r="J114" i="1"/>
  <c r="J113" i="1"/>
  <c r="J112" i="1"/>
  <c r="J111" i="1"/>
  <c r="J110" i="1"/>
  <c r="J109" i="1"/>
  <c r="J108" i="1"/>
  <c r="AQ107" i="1"/>
  <c r="AN107" i="1"/>
  <c r="AK107" i="1"/>
  <c r="AH107" i="1"/>
  <c r="AE107" i="1"/>
  <c r="AB107" i="1"/>
  <c r="Y107" i="1"/>
  <c r="V107" i="1"/>
  <c r="S107" i="1"/>
  <c r="P107" i="1"/>
  <c r="M107" i="1"/>
  <c r="V15" i="2"/>
  <c r="W15" i="2"/>
  <c r="X15" i="2"/>
  <c r="Y15" i="2"/>
  <c r="Z15" i="2"/>
  <c r="AA15" i="2"/>
  <c r="AB15" i="2"/>
  <c r="AC15" i="2"/>
  <c r="AC10" i="2"/>
  <c r="AC6" i="2"/>
  <c r="AB6" i="2"/>
  <c r="AA6" i="2"/>
  <c r="Z6" i="2"/>
  <c r="Y6" i="2"/>
  <c r="X6" i="2"/>
  <c r="W6" i="2"/>
  <c r="V6" i="2"/>
  <c r="U6" i="2"/>
  <c r="T6" i="2"/>
  <c r="S6" i="2"/>
  <c r="R6" i="2"/>
  <c r="AC11" i="2"/>
  <c r="AB11" i="2"/>
  <c r="AA11" i="2"/>
  <c r="Z11" i="2"/>
  <c r="Y11" i="2"/>
  <c r="X11" i="2"/>
  <c r="W11" i="2"/>
  <c r="V11" i="2"/>
  <c r="U11" i="2"/>
  <c r="T11" i="2"/>
  <c r="S11" i="2"/>
  <c r="R11" i="2"/>
  <c r="L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D59" i="3"/>
  <c r="H59" i="3" s="1"/>
  <c r="J59" i="3" s="1"/>
  <c r="F16" i="3"/>
  <c r="F33" i="3" s="1"/>
  <c r="R7" i="3"/>
  <c r="Q7" i="3"/>
  <c r="P7" i="3"/>
  <c r="N7" i="3"/>
  <c r="M7" i="3"/>
  <c r="L7" i="3"/>
  <c r="J7" i="3"/>
  <c r="I7" i="3"/>
  <c r="H7" i="3"/>
  <c r="F7" i="3"/>
  <c r="E7" i="3"/>
  <c r="D7" i="3"/>
  <c r="Q3" i="3"/>
  <c r="M3" i="3"/>
  <c r="H3" i="3"/>
  <c r="I3" i="3" s="1"/>
  <c r="E3" i="3"/>
  <c r="C29" i="2"/>
  <c r="O28" i="2"/>
  <c r="N28" i="2"/>
  <c r="M28" i="2"/>
  <c r="L28" i="2"/>
  <c r="K28" i="2"/>
  <c r="J28" i="2"/>
  <c r="I28" i="2"/>
  <c r="H28" i="2"/>
  <c r="G28" i="2"/>
  <c r="F28" i="2"/>
  <c r="E28" i="2"/>
  <c r="D28" i="2"/>
  <c r="O27" i="2"/>
  <c r="N27" i="2"/>
  <c r="M27" i="2"/>
  <c r="L27" i="2"/>
  <c r="K27" i="2"/>
  <c r="J27" i="2"/>
  <c r="I27" i="2"/>
  <c r="H27" i="2"/>
  <c r="G27" i="2"/>
  <c r="E27" i="2"/>
  <c r="D27" i="2"/>
  <c r="O26" i="2"/>
  <c r="N26" i="2"/>
  <c r="M26" i="2"/>
  <c r="L26" i="2"/>
  <c r="K26" i="2"/>
  <c r="J26" i="2"/>
  <c r="I26" i="2"/>
  <c r="H26" i="2"/>
  <c r="G26" i="2"/>
  <c r="F26" i="2"/>
  <c r="E26" i="2"/>
  <c r="D26" i="2"/>
  <c r="O25" i="2"/>
  <c r="O29" i="2" s="1"/>
  <c r="N25" i="2"/>
  <c r="N29" i="2" s="1"/>
  <c r="M25" i="2"/>
  <c r="M29" i="2" s="1"/>
  <c r="L25" i="2"/>
  <c r="L29" i="2" s="1"/>
  <c r="K25" i="2"/>
  <c r="K29" i="2" s="1"/>
  <c r="J25" i="2"/>
  <c r="J29" i="2" s="1"/>
  <c r="I25" i="2"/>
  <c r="I29" i="2" s="1"/>
  <c r="H25" i="2"/>
  <c r="H29" i="2" s="1"/>
  <c r="G25" i="2"/>
  <c r="G29" i="2" s="1"/>
  <c r="F25" i="2"/>
  <c r="E25" i="2"/>
  <c r="E29" i="2" s="1"/>
  <c r="D25" i="2"/>
  <c r="D29" i="2" s="1"/>
  <c r="C24" i="2"/>
  <c r="C30" i="2" s="1"/>
  <c r="C23" i="2"/>
  <c r="C33" i="2" s="1"/>
  <c r="C22" i="2"/>
  <c r="C32" i="2" s="1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N19" i="2"/>
  <c r="M19" i="2"/>
  <c r="L19" i="2"/>
  <c r="K19" i="2"/>
  <c r="J19" i="2"/>
  <c r="I19" i="2"/>
  <c r="H19" i="2"/>
  <c r="G19" i="2"/>
  <c r="F19" i="2"/>
  <c r="E19" i="2"/>
  <c r="D19" i="2"/>
  <c r="O18" i="2"/>
  <c r="N18" i="2"/>
  <c r="M18" i="2"/>
  <c r="L18" i="2"/>
  <c r="K18" i="2"/>
  <c r="J18" i="2"/>
  <c r="I18" i="2"/>
  <c r="H18" i="2"/>
  <c r="G18" i="2"/>
  <c r="F18" i="2"/>
  <c r="E18" i="2"/>
  <c r="D18" i="2"/>
  <c r="O17" i="2"/>
  <c r="N17" i="2"/>
  <c r="M17" i="2"/>
  <c r="L17" i="2"/>
  <c r="K17" i="2"/>
  <c r="J17" i="2"/>
  <c r="I17" i="2"/>
  <c r="J5" i="2" s="1"/>
  <c r="J22" i="2" s="1"/>
  <c r="H17" i="2"/>
  <c r="G17" i="2"/>
  <c r="F17" i="2"/>
  <c r="E17" i="2"/>
  <c r="F5" i="2" s="1"/>
  <c r="D17" i="2"/>
  <c r="O15" i="2"/>
  <c r="N15" i="2"/>
  <c r="M15" i="2"/>
  <c r="L15" i="2"/>
  <c r="K15" i="2"/>
  <c r="J15" i="2"/>
  <c r="I15" i="2"/>
  <c r="H15" i="2"/>
  <c r="G15" i="2"/>
  <c r="F15" i="2"/>
  <c r="E15" i="2"/>
  <c r="D15" i="2"/>
  <c r="O14" i="2"/>
  <c r="N14" i="2"/>
  <c r="M14" i="2"/>
  <c r="L14" i="2"/>
  <c r="K14" i="2"/>
  <c r="J14" i="2"/>
  <c r="I14" i="2"/>
  <c r="H14" i="2"/>
  <c r="G14" i="2"/>
  <c r="F14" i="2"/>
  <c r="E14" i="2"/>
  <c r="D14" i="2"/>
  <c r="O13" i="2"/>
  <c r="N13" i="2"/>
  <c r="M13" i="2"/>
  <c r="L13" i="2"/>
  <c r="K13" i="2"/>
  <c r="J13" i="2"/>
  <c r="I13" i="2"/>
  <c r="H13" i="2"/>
  <c r="G13" i="2"/>
  <c r="F13" i="2"/>
  <c r="E13" i="2"/>
  <c r="D13" i="2"/>
  <c r="O12" i="2"/>
  <c r="N12" i="2"/>
  <c r="M12" i="2"/>
  <c r="L12" i="2"/>
  <c r="K12" i="2"/>
  <c r="J12" i="2"/>
  <c r="I12" i="2"/>
  <c r="H12" i="2"/>
  <c r="G12" i="2"/>
  <c r="F12" i="2"/>
  <c r="E12" i="2"/>
  <c r="D12" i="2"/>
  <c r="O11" i="2"/>
  <c r="N11" i="2"/>
  <c r="M11" i="2"/>
  <c r="L11" i="2"/>
  <c r="K11" i="2"/>
  <c r="J11" i="2"/>
  <c r="I11" i="2"/>
  <c r="H11" i="2"/>
  <c r="G11" i="2"/>
  <c r="F11" i="2"/>
  <c r="E11" i="2"/>
  <c r="D11" i="2"/>
  <c r="O10" i="2"/>
  <c r="N10" i="2"/>
  <c r="M10" i="2"/>
  <c r="L10" i="2"/>
  <c r="K10" i="2"/>
  <c r="J10" i="2"/>
  <c r="I10" i="2"/>
  <c r="H10" i="2"/>
  <c r="G10" i="2"/>
  <c r="F10" i="2"/>
  <c r="E10" i="2"/>
  <c r="D10" i="2"/>
  <c r="O9" i="2"/>
  <c r="N9" i="2"/>
  <c r="M9" i="2"/>
  <c r="L9" i="2"/>
  <c r="K9" i="2"/>
  <c r="J9" i="2"/>
  <c r="I9" i="2"/>
  <c r="H9" i="2"/>
  <c r="G9" i="2"/>
  <c r="F9" i="2"/>
  <c r="E9" i="2"/>
  <c r="D9" i="2"/>
  <c r="O8" i="2"/>
  <c r="N8" i="2"/>
  <c r="M8" i="2"/>
  <c r="L8" i="2"/>
  <c r="K8" i="2"/>
  <c r="J8" i="2"/>
  <c r="I8" i="2"/>
  <c r="H8" i="2"/>
  <c r="G8" i="2"/>
  <c r="F8" i="2"/>
  <c r="E8" i="2"/>
  <c r="D8" i="2"/>
  <c r="O7" i="2"/>
  <c r="N7" i="2"/>
  <c r="M7" i="2"/>
  <c r="L7" i="2"/>
  <c r="K7" i="2"/>
  <c r="J7" i="2"/>
  <c r="I7" i="2"/>
  <c r="H7" i="2"/>
  <c r="G7" i="2"/>
  <c r="F7" i="2"/>
  <c r="E7" i="2"/>
  <c r="D7" i="2"/>
  <c r="O6" i="2"/>
  <c r="N6" i="2"/>
  <c r="N23" i="2" s="1"/>
  <c r="N33" i="2" s="1"/>
  <c r="M6" i="2"/>
  <c r="M23" i="2" s="1"/>
  <c r="M33" i="2" s="1"/>
  <c r="L6" i="2"/>
  <c r="L23" i="2" s="1"/>
  <c r="L33" i="2" s="1"/>
  <c r="K6" i="2"/>
  <c r="J6" i="2"/>
  <c r="J23" i="2" s="1"/>
  <c r="J33" i="2" s="1"/>
  <c r="I6" i="2"/>
  <c r="I23" i="2" s="1"/>
  <c r="I33" i="2" s="1"/>
  <c r="H6" i="2"/>
  <c r="G6" i="2"/>
  <c r="G23" i="2" s="1"/>
  <c r="G33" i="2" s="1"/>
  <c r="F6" i="2"/>
  <c r="E6" i="2"/>
  <c r="D6" i="2"/>
  <c r="AC5" i="2"/>
  <c r="AB5" i="2"/>
  <c r="AA5" i="2"/>
  <c r="Z5" i="2"/>
  <c r="Y5" i="2"/>
  <c r="X5" i="2"/>
  <c r="W5" i="2"/>
  <c r="V5" i="2"/>
  <c r="U5" i="2"/>
  <c r="S5" i="2"/>
  <c r="R5" i="2"/>
  <c r="O5" i="2"/>
  <c r="N5" i="2"/>
  <c r="N22" i="2" s="1"/>
  <c r="M5" i="2"/>
  <c r="L5" i="2"/>
  <c r="K5" i="2"/>
  <c r="I5" i="2"/>
  <c r="I22" i="2" s="1"/>
  <c r="H5" i="2"/>
  <c r="H22" i="2" s="1"/>
  <c r="G5" i="2"/>
  <c r="E5" i="2"/>
  <c r="D5" i="2"/>
  <c r="D22" i="2" s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BH360" i="1"/>
  <c r="BG360" i="1"/>
  <c r="BE360" i="1"/>
  <c r="BD360" i="1"/>
  <c r="BB360" i="1"/>
  <c r="BA360" i="1"/>
  <c r="AY360" i="1"/>
  <c r="AX360" i="1"/>
  <c r="AV360" i="1"/>
  <c r="AU360" i="1"/>
  <c r="AQ360" i="1"/>
  <c r="AN360" i="1"/>
  <c r="AK360" i="1"/>
  <c r="AH360" i="1"/>
  <c r="AE360" i="1"/>
  <c r="AB360" i="1"/>
  <c r="Y360" i="1"/>
  <c r="V360" i="1"/>
  <c r="S360" i="1"/>
  <c r="P360" i="1"/>
  <c r="M360" i="1"/>
  <c r="J360" i="1"/>
  <c r="BH359" i="1"/>
  <c r="BG359" i="1"/>
  <c r="BE359" i="1"/>
  <c r="BD359" i="1"/>
  <c r="BB359" i="1"/>
  <c r="BA359" i="1"/>
  <c r="AY359" i="1"/>
  <c r="AX359" i="1"/>
  <c r="AV359" i="1"/>
  <c r="AU359" i="1"/>
  <c r="AQ359" i="1"/>
  <c r="AN359" i="1"/>
  <c r="AK359" i="1"/>
  <c r="AH359" i="1"/>
  <c r="AE359" i="1"/>
  <c r="AB359" i="1"/>
  <c r="Y359" i="1"/>
  <c r="V359" i="1"/>
  <c r="S359" i="1"/>
  <c r="P359" i="1"/>
  <c r="M359" i="1"/>
  <c r="J359" i="1"/>
  <c r="BH358" i="1"/>
  <c r="BG358" i="1"/>
  <c r="BE358" i="1"/>
  <c r="BD358" i="1"/>
  <c r="BB358" i="1"/>
  <c r="BA358" i="1"/>
  <c r="AY358" i="1"/>
  <c r="AX358" i="1"/>
  <c r="AV358" i="1"/>
  <c r="AU358" i="1"/>
  <c r="AQ358" i="1"/>
  <c r="AN358" i="1"/>
  <c r="AK358" i="1"/>
  <c r="BI358" i="1" s="1"/>
  <c r="AH358" i="1"/>
  <c r="AE358" i="1"/>
  <c r="AB358" i="1"/>
  <c r="Y358" i="1"/>
  <c r="V358" i="1"/>
  <c r="S358" i="1"/>
  <c r="P358" i="1"/>
  <c r="M358" i="1"/>
  <c r="J358" i="1"/>
  <c r="BH357" i="1"/>
  <c r="BG357" i="1"/>
  <c r="BE357" i="1"/>
  <c r="BD357" i="1"/>
  <c r="BB357" i="1"/>
  <c r="BA357" i="1"/>
  <c r="AY357" i="1"/>
  <c r="AX357" i="1"/>
  <c r="AV357" i="1"/>
  <c r="AU357" i="1"/>
  <c r="AQ357" i="1"/>
  <c r="AN357" i="1"/>
  <c r="AK357" i="1"/>
  <c r="AH357" i="1"/>
  <c r="AE357" i="1"/>
  <c r="AB357" i="1"/>
  <c r="Y357" i="1"/>
  <c r="V357" i="1"/>
  <c r="S357" i="1"/>
  <c r="P357" i="1"/>
  <c r="M357" i="1"/>
  <c r="J357" i="1"/>
  <c r="BH356" i="1"/>
  <c r="BG356" i="1"/>
  <c r="BE356" i="1"/>
  <c r="BD356" i="1"/>
  <c r="BB356" i="1"/>
  <c r="BA356" i="1"/>
  <c r="AY356" i="1"/>
  <c r="AX356" i="1"/>
  <c r="AV356" i="1"/>
  <c r="AU356" i="1"/>
  <c r="AQ356" i="1"/>
  <c r="AN356" i="1"/>
  <c r="AK356" i="1"/>
  <c r="AH356" i="1"/>
  <c r="AE356" i="1"/>
  <c r="AB356" i="1"/>
  <c r="BF356" i="1" s="1"/>
  <c r="Y356" i="1"/>
  <c r="V356" i="1"/>
  <c r="S356" i="1"/>
  <c r="P356" i="1"/>
  <c r="M356" i="1"/>
  <c r="J356" i="1"/>
  <c r="BH355" i="1"/>
  <c r="BG355" i="1"/>
  <c r="BE355" i="1"/>
  <c r="BD355" i="1"/>
  <c r="BB355" i="1"/>
  <c r="BA355" i="1"/>
  <c r="AY355" i="1"/>
  <c r="AX355" i="1"/>
  <c r="AV355" i="1"/>
  <c r="AU355" i="1"/>
  <c r="AQ355" i="1"/>
  <c r="AN355" i="1"/>
  <c r="AK355" i="1"/>
  <c r="AH355" i="1"/>
  <c r="AE355" i="1"/>
  <c r="AB355" i="1"/>
  <c r="Y355" i="1"/>
  <c r="V355" i="1"/>
  <c r="S355" i="1"/>
  <c r="P355" i="1"/>
  <c r="M355" i="1"/>
  <c r="J355" i="1"/>
  <c r="BH354" i="1"/>
  <c r="BG354" i="1"/>
  <c r="BE354" i="1"/>
  <c r="BD354" i="1"/>
  <c r="BB354" i="1"/>
  <c r="BA354" i="1"/>
  <c r="AY354" i="1"/>
  <c r="AX354" i="1"/>
  <c r="AV354" i="1"/>
  <c r="AU354" i="1"/>
  <c r="AU353" i="1" s="1"/>
  <c r="AQ354" i="1"/>
  <c r="AQ353" i="1" s="1"/>
  <c r="AN354" i="1"/>
  <c r="AK354" i="1"/>
  <c r="AH354" i="1"/>
  <c r="AE354" i="1"/>
  <c r="AB354" i="1"/>
  <c r="Y354" i="1"/>
  <c r="V354" i="1"/>
  <c r="S354" i="1"/>
  <c r="BC354" i="1" s="1"/>
  <c r="P354" i="1"/>
  <c r="M354" i="1"/>
  <c r="J354" i="1"/>
  <c r="BH351" i="1"/>
  <c r="BG351" i="1"/>
  <c r="BE351" i="1"/>
  <c r="BD351" i="1"/>
  <c r="BB351" i="1"/>
  <c r="BA351" i="1"/>
  <c r="AY351" i="1"/>
  <c r="AX351" i="1"/>
  <c r="AV351" i="1"/>
  <c r="AU351" i="1"/>
  <c r="AQ351" i="1"/>
  <c r="AN351" i="1"/>
  <c r="AK351" i="1"/>
  <c r="AH351" i="1"/>
  <c r="AE351" i="1"/>
  <c r="AB351" i="1"/>
  <c r="Y351" i="1"/>
  <c r="V351" i="1"/>
  <c r="S351" i="1"/>
  <c r="P351" i="1"/>
  <c r="M351" i="1"/>
  <c r="J351" i="1"/>
  <c r="BH350" i="1"/>
  <c r="BG350" i="1"/>
  <c r="BE350" i="1"/>
  <c r="BD350" i="1"/>
  <c r="BB350" i="1"/>
  <c r="BA350" i="1"/>
  <c r="AY350" i="1"/>
  <c r="AX350" i="1"/>
  <c r="AV350" i="1"/>
  <c r="AU350" i="1"/>
  <c r="AQ350" i="1"/>
  <c r="AN350" i="1"/>
  <c r="AK350" i="1"/>
  <c r="AH350" i="1"/>
  <c r="AE350" i="1"/>
  <c r="AB350" i="1"/>
  <c r="Y350" i="1"/>
  <c r="V350" i="1"/>
  <c r="S350" i="1"/>
  <c r="BC350" i="1" s="1"/>
  <c r="P350" i="1"/>
  <c r="M350" i="1"/>
  <c r="J350" i="1"/>
  <c r="BH349" i="1"/>
  <c r="BG349" i="1"/>
  <c r="BE349" i="1"/>
  <c r="BD349" i="1"/>
  <c r="BB349" i="1"/>
  <c r="BA349" i="1"/>
  <c r="AY349" i="1"/>
  <c r="AX349" i="1"/>
  <c r="AV349" i="1"/>
  <c r="AU349" i="1"/>
  <c r="AQ349" i="1"/>
  <c r="AN349" i="1"/>
  <c r="AK349" i="1"/>
  <c r="AH349" i="1"/>
  <c r="AE349" i="1"/>
  <c r="AB349" i="1"/>
  <c r="Y349" i="1"/>
  <c r="V349" i="1"/>
  <c r="S349" i="1"/>
  <c r="P349" i="1"/>
  <c r="M349" i="1"/>
  <c r="J349" i="1"/>
  <c r="BH348" i="1"/>
  <c r="BG348" i="1"/>
  <c r="BE348" i="1"/>
  <c r="BD348" i="1"/>
  <c r="BB348" i="1"/>
  <c r="BA348" i="1"/>
  <c r="AY348" i="1"/>
  <c r="AX348" i="1"/>
  <c r="AV348" i="1"/>
  <c r="AU348" i="1"/>
  <c r="AQ348" i="1"/>
  <c r="AN348" i="1"/>
  <c r="AK348" i="1"/>
  <c r="AH348" i="1"/>
  <c r="BF348" i="1" s="1"/>
  <c r="AE348" i="1"/>
  <c r="AB348" i="1"/>
  <c r="Y348" i="1"/>
  <c r="V348" i="1"/>
  <c r="S348" i="1"/>
  <c r="P348" i="1"/>
  <c r="M348" i="1"/>
  <c r="J348" i="1"/>
  <c r="BH347" i="1"/>
  <c r="BG347" i="1"/>
  <c r="BE347" i="1"/>
  <c r="BD347" i="1"/>
  <c r="BB347" i="1"/>
  <c r="BA347" i="1"/>
  <c r="AY347" i="1"/>
  <c r="AX347" i="1"/>
  <c r="AV347" i="1"/>
  <c r="AU347" i="1"/>
  <c r="AQ347" i="1"/>
  <c r="AN347" i="1"/>
  <c r="AK347" i="1"/>
  <c r="AH347" i="1"/>
  <c r="AE347" i="1"/>
  <c r="AB347" i="1"/>
  <c r="BF347" i="1" s="1"/>
  <c r="Y347" i="1"/>
  <c r="V347" i="1"/>
  <c r="S347" i="1"/>
  <c r="BC347" i="1" s="1"/>
  <c r="P347" i="1"/>
  <c r="M347" i="1"/>
  <c r="J347" i="1"/>
  <c r="BH346" i="1"/>
  <c r="BG346" i="1"/>
  <c r="BE346" i="1"/>
  <c r="BD346" i="1"/>
  <c r="BB346" i="1"/>
  <c r="BA346" i="1"/>
  <c r="AY346" i="1"/>
  <c r="AX346" i="1"/>
  <c r="AV346" i="1"/>
  <c r="AU346" i="1"/>
  <c r="AQ346" i="1"/>
  <c r="AN346" i="1"/>
  <c r="AK346" i="1"/>
  <c r="AH346" i="1"/>
  <c r="AE346" i="1"/>
  <c r="AB346" i="1"/>
  <c r="Y346" i="1"/>
  <c r="V346" i="1"/>
  <c r="S346" i="1"/>
  <c r="P346" i="1"/>
  <c r="M346" i="1"/>
  <c r="J346" i="1"/>
  <c r="AZ346" i="1" s="1"/>
  <c r="BH345" i="1"/>
  <c r="BG345" i="1"/>
  <c r="BE345" i="1"/>
  <c r="BD345" i="1"/>
  <c r="BB345" i="1"/>
  <c r="BA345" i="1"/>
  <c r="AY345" i="1"/>
  <c r="AX345" i="1"/>
  <c r="AV345" i="1"/>
  <c r="AU345" i="1"/>
  <c r="AQ345" i="1"/>
  <c r="AN345" i="1"/>
  <c r="BI345" i="1" s="1"/>
  <c r="AK345" i="1"/>
  <c r="AH345" i="1"/>
  <c r="AE345" i="1"/>
  <c r="AB345" i="1"/>
  <c r="Y345" i="1"/>
  <c r="V345" i="1"/>
  <c r="S345" i="1"/>
  <c r="P345" i="1"/>
  <c r="M345" i="1"/>
  <c r="J345" i="1"/>
  <c r="BH344" i="1"/>
  <c r="BG344" i="1"/>
  <c r="BE344" i="1"/>
  <c r="BD344" i="1"/>
  <c r="BB344" i="1"/>
  <c r="BA344" i="1"/>
  <c r="AY344" i="1"/>
  <c r="AX344" i="1"/>
  <c r="AV344" i="1"/>
  <c r="AU344" i="1"/>
  <c r="AQ344" i="1"/>
  <c r="AN344" i="1"/>
  <c r="AK344" i="1"/>
  <c r="AH344" i="1"/>
  <c r="AE344" i="1"/>
  <c r="AB344" i="1"/>
  <c r="Y344" i="1"/>
  <c r="V344" i="1"/>
  <c r="S344" i="1"/>
  <c r="BC344" i="1" s="1"/>
  <c r="P344" i="1"/>
  <c r="M344" i="1"/>
  <c r="J344" i="1"/>
  <c r="BH343" i="1"/>
  <c r="BG343" i="1"/>
  <c r="BE343" i="1"/>
  <c r="BD343" i="1"/>
  <c r="BB343" i="1"/>
  <c r="BA343" i="1"/>
  <c r="AY343" i="1"/>
  <c r="AX343" i="1"/>
  <c r="AV343" i="1"/>
  <c r="AU343" i="1"/>
  <c r="AQ343" i="1"/>
  <c r="AN343" i="1"/>
  <c r="AK343" i="1"/>
  <c r="AH343" i="1"/>
  <c r="AE343" i="1"/>
  <c r="AB343" i="1"/>
  <c r="Y343" i="1"/>
  <c r="V343" i="1"/>
  <c r="S343" i="1"/>
  <c r="P343" i="1"/>
  <c r="M343" i="1"/>
  <c r="J343" i="1"/>
  <c r="BH342" i="1"/>
  <c r="BG342" i="1"/>
  <c r="BE342" i="1"/>
  <c r="BD342" i="1"/>
  <c r="BB342" i="1"/>
  <c r="BA342" i="1"/>
  <c r="AY342" i="1"/>
  <c r="AX342" i="1"/>
  <c r="AV342" i="1"/>
  <c r="AU342" i="1"/>
  <c r="AQ342" i="1"/>
  <c r="AN342" i="1"/>
  <c r="AK342" i="1"/>
  <c r="AH342" i="1"/>
  <c r="AE342" i="1"/>
  <c r="AB342" i="1"/>
  <c r="Y342" i="1"/>
  <c r="V342" i="1"/>
  <c r="S342" i="1"/>
  <c r="P342" i="1"/>
  <c r="M342" i="1"/>
  <c r="J342" i="1"/>
  <c r="BH341" i="1"/>
  <c r="BG341" i="1"/>
  <c r="BE341" i="1"/>
  <c r="BD341" i="1"/>
  <c r="BB341" i="1"/>
  <c r="BA341" i="1"/>
  <c r="AY341" i="1"/>
  <c r="AX341" i="1"/>
  <c r="AV341" i="1"/>
  <c r="AU341" i="1"/>
  <c r="AQ341" i="1"/>
  <c r="AN341" i="1"/>
  <c r="AK341" i="1"/>
  <c r="AH341" i="1"/>
  <c r="AE341" i="1"/>
  <c r="AB341" i="1"/>
  <c r="Y341" i="1"/>
  <c r="V341" i="1"/>
  <c r="S341" i="1"/>
  <c r="P341" i="1"/>
  <c r="M341" i="1"/>
  <c r="J341" i="1"/>
  <c r="BH340" i="1"/>
  <c r="BG340" i="1"/>
  <c r="BE340" i="1"/>
  <c r="BD340" i="1"/>
  <c r="BB340" i="1"/>
  <c r="BA340" i="1"/>
  <c r="AY340" i="1"/>
  <c r="AX340" i="1"/>
  <c r="AV340" i="1"/>
  <c r="AU340" i="1"/>
  <c r="AQ340" i="1"/>
  <c r="AN340" i="1"/>
  <c r="AK340" i="1"/>
  <c r="AH340" i="1"/>
  <c r="AE340" i="1"/>
  <c r="AB340" i="1"/>
  <c r="Y340" i="1"/>
  <c r="V340" i="1"/>
  <c r="S340" i="1"/>
  <c r="P340" i="1"/>
  <c r="M340" i="1"/>
  <c r="J340" i="1"/>
  <c r="BH339" i="1"/>
  <c r="BG339" i="1"/>
  <c r="BE339" i="1"/>
  <c r="BD339" i="1"/>
  <c r="BB339" i="1"/>
  <c r="BA339" i="1"/>
  <c r="AY339" i="1"/>
  <c r="AX339" i="1"/>
  <c r="AV339" i="1"/>
  <c r="AU339" i="1"/>
  <c r="AQ339" i="1"/>
  <c r="AN339" i="1"/>
  <c r="AK339" i="1"/>
  <c r="AH339" i="1"/>
  <c r="AE339" i="1"/>
  <c r="AB339" i="1"/>
  <c r="Y339" i="1"/>
  <c r="V339" i="1"/>
  <c r="S339" i="1"/>
  <c r="P339" i="1"/>
  <c r="M339" i="1"/>
  <c r="J339" i="1"/>
  <c r="BH338" i="1"/>
  <c r="BG338" i="1"/>
  <c r="BE338" i="1"/>
  <c r="BD338" i="1"/>
  <c r="BB338" i="1"/>
  <c r="BA338" i="1"/>
  <c r="AY338" i="1"/>
  <c r="AX338" i="1"/>
  <c r="AV338" i="1"/>
  <c r="AU338" i="1"/>
  <c r="AQ338" i="1"/>
  <c r="AN338" i="1"/>
  <c r="AK338" i="1"/>
  <c r="BI338" i="1" s="1"/>
  <c r="AH338" i="1"/>
  <c r="AE338" i="1"/>
  <c r="AB338" i="1"/>
  <c r="Y338" i="1"/>
  <c r="V338" i="1"/>
  <c r="S338" i="1"/>
  <c r="P338" i="1"/>
  <c r="M338" i="1"/>
  <c r="J338" i="1"/>
  <c r="BH337" i="1"/>
  <c r="BG337" i="1"/>
  <c r="BE337" i="1"/>
  <c r="BD337" i="1"/>
  <c r="BB337" i="1"/>
  <c r="BA337" i="1"/>
  <c r="AY337" i="1"/>
  <c r="AX337" i="1"/>
  <c r="AV337" i="1"/>
  <c r="AU337" i="1"/>
  <c r="AQ337" i="1"/>
  <c r="AN337" i="1"/>
  <c r="AK337" i="1"/>
  <c r="AH337" i="1"/>
  <c r="AE337" i="1"/>
  <c r="AB337" i="1"/>
  <c r="BF337" i="1" s="1"/>
  <c r="Y337" i="1"/>
  <c r="V337" i="1"/>
  <c r="S337" i="1"/>
  <c r="P337" i="1"/>
  <c r="M337" i="1"/>
  <c r="J337" i="1"/>
  <c r="BH336" i="1"/>
  <c r="BG336" i="1"/>
  <c r="BE336" i="1"/>
  <c r="BD336" i="1"/>
  <c r="BB336" i="1"/>
  <c r="BA336" i="1"/>
  <c r="AY336" i="1"/>
  <c r="AX336" i="1"/>
  <c r="AV336" i="1"/>
  <c r="AU336" i="1"/>
  <c r="AQ336" i="1"/>
  <c r="AN336" i="1"/>
  <c r="AK336" i="1"/>
  <c r="AH336" i="1"/>
  <c r="AE336" i="1"/>
  <c r="AB336" i="1"/>
  <c r="Y336" i="1"/>
  <c r="V336" i="1"/>
  <c r="S336" i="1"/>
  <c r="P336" i="1"/>
  <c r="M336" i="1"/>
  <c r="J336" i="1"/>
  <c r="BH335" i="1"/>
  <c r="BG335" i="1"/>
  <c r="BE335" i="1"/>
  <c r="BD335" i="1"/>
  <c r="BB335" i="1"/>
  <c r="BA335" i="1"/>
  <c r="AY335" i="1"/>
  <c r="AX335" i="1"/>
  <c r="AV335" i="1"/>
  <c r="AU335" i="1"/>
  <c r="AQ335" i="1"/>
  <c r="AN335" i="1"/>
  <c r="AK335" i="1"/>
  <c r="AH335" i="1"/>
  <c r="AE335" i="1"/>
  <c r="AB335" i="1"/>
  <c r="BF335" i="1" s="1"/>
  <c r="Y335" i="1"/>
  <c r="V335" i="1"/>
  <c r="S335" i="1"/>
  <c r="BC335" i="1" s="1"/>
  <c r="P335" i="1"/>
  <c r="M335" i="1"/>
  <c r="J335" i="1"/>
  <c r="BH329" i="1"/>
  <c r="BG329" i="1"/>
  <c r="BE329" i="1"/>
  <c r="BD329" i="1"/>
  <c r="BB329" i="1"/>
  <c r="BA329" i="1"/>
  <c r="AY329" i="1"/>
  <c r="AX329" i="1"/>
  <c r="AV329" i="1"/>
  <c r="AU329" i="1"/>
  <c r="BH328" i="1"/>
  <c r="BG328" i="1"/>
  <c r="BE328" i="1"/>
  <c r="BD328" i="1"/>
  <c r="BB328" i="1"/>
  <c r="BA328" i="1"/>
  <c r="AY328" i="1"/>
  <c r="AX328" i="1"/>
  <c r="AV328" i="1"/>
  <c r="AU328" i="1"/>
  <c r="BH327" i="1"/>
  <c r="BG327" i="1"/>
  <c r="BE327" i="1"/>
  <c r="BD327" i="1"/>
  <c r="BB327" i="1"/>
  <c r="BA327" i="1"/>
  <c r="AY327" i="1"/>
  <c r="AX327" i="1"/>
  <c r="AV327" i="1"/>
  <c r="AU327" i="1"/>
  <c r="BH326" i="1"/>
  <c r="BG326" i="1"/>
  <c r="BE326" i="1"/>
  <c r="BD326" i="1"/>
  <c r="BD325" i="1" s="1"/>
  <c r="BB326" i="1"/>
  <c r="BA326" i="1"/>
  <c r="AY326" i="1"/>
  <c r="AX326" i="1"/>
  <c r="AX325" i="1" s="1"/>
  <c r="AV326" i="1"/>
  <c r="AU326" i="1"/>
  <c r="BA325" i="1"/>
  <c r="BH321" i="1"/>
  <c r="BG321" i="1"/>
  <c r="BE321" i="1"/>
  <c r="BD321" i="1"/>
  <c r="BB321" i="1"/>
  <c r="BA321" i="1"/>
  <c r="AY321" i="1"/>
  <c r="AX321" i="1"/>
  <c r="AV321" i="1"/>
  <c r="AU321" i="1"/>
  <c r="AQ321" i="1"/>
  <c r="AN321" i="1"/>
  <c r="AK321" i="1"/>
  <c r="BI321" i="1" s="1"/>
  <c r="AH321" i="1"/>
  <c r="BF321" i="1" s="1"/>
  <c r="AE321" i="1"/>
  <c r="AB321" i="1"/>
  <c r="Y321" i="1"/>
  <c r="V321" i="1"/>
  <c r="S321" i="1"/>
  <c r="P321" i="1"/>
  <c r="M321" i="1"/>
  <c r="J321" i="1"/>
  <c r="BH320" i="1"/>
  <c r="BG320" i="1"/>
  <c r="BE320" i="1"/>
  <c r="BD320" i="1"/>
  <c r="BB320" i="1"/>
  <c r="BA320" i="1"/>
  <c r="AY320" i="1"/>
  <c r="AX320" i="1"/>
  <c r="AV320" i="1"/>
  <c r="AU320" i="1"/>
  <c r="AQ320" i="1"/>
  <c r="BI320" i="1" s="1"/>
  <c r="AN320" i="1"/>
  <c r="AK320" i="1"/>
  <c r="AH320" i="1"/>
  <c r="AE320" i="1"/>
  <c r="AB320" i="1"/>
  <c r="Y320" i="1"/>
  <c r="V320" i="1"/>
  <c r="S320" i="1"/>
  <c r="P320" i="1"/>
  <c r="M320" i="1"/>
  <c r="J320" i="1"/>
  <c r="BH318" i="1"/>
  <c r="BG318" i="1"/>
  <c r="BE318" i="1"/>
  <c r="BD318" i="1"/>
  <c r="BB318" i="1"/>
  <c r="BA318" i="1"/>
  <c r="AY318" i="1"/>
  <c r="AX318" i="1"/>
  <c r="AV318" i="1"/>
  <c r="AU318" i="1"/>
  <c r="AQ318" i="1"/>
  <c r="AN318" i="1"/>
  <c r="BI318" i="1" s="1"/>
  <c r="AK318" i="1"/>
  <c r="AH318" i="1"/>
  <c r="AE318" i="1"/>
  <c r="AB318" i="1"/>
  <c r="Y318" i="1"/>
  <c r="V318" i="1"/>
  <c r="S318" i="1"/>
  <c r="P318" i="1"/>
  <c r="M318" i="1"/>
  <c r="J318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BH305" i="1"/>
  <c r="BG305" i="1"/>
  <c r="BE305" i="1"/>
  <c r="BD305" i="1"/>
  <c r="BB305" i="1"/>
  <c r="BA305" i="1"/>
  <c r="AY305" i="1"/>
  <c r="AX305" i="1"/>
  <c r="AV305" i="1"/>
  <c r="AU305" i="1"/>
  <c r="BH304" i="1"/>
  <c r="BG304" i="1"/>
  <c r="BE304" i="1"/>
  <c r="BD304" i="1"/>
  <c r="BD302" i="1" s="1"/>
  <c r="BB304" i="1"/>
  <c r="BB302" i="1" s="1"/>
  <c r="BA304" i="1"/>
  <c r="AY304" i="1"/>
  <c r="AX304" i="1"/>
  <c r="AV304" i="1"/>
  <c r="AU304" i="1"/>
  <c r="AQ304" i="1"/>
  <c r="AN304" i="1"/>
  <c r="AK304" i="1"/>
  <c r="AH304" i="1"/>
  <c r="AE304" i="1"/>
  <c r="AB304" i="1"/>
  <c r="BF304" i="1" s="1"/>
  <c r="Y304" i="1"/>
  <c r="V304" i="1"/>
  <c r="S304" i="1"/>
  <c r="P304" i="1"/>
  <c r="M304" i="1"/>
  <c r="J304" i="1"/>
  <c r="BH303" i="1"/>
  <c r="BG303" i="1"/>
  <c r="BE303" i="1"/>
  <c r="BD303" i="1"/>
  <c r="BB303" i="1"/>
  <c r="BA303" i="1"/>
  <c r="BA302" i="1" s="1"/>
  <c r="AY303" i="1"/>
  <c r="AY302" i="1" s="1"/>
  <c r="AX303" i="1"/>
  <c r="AV303" i="1"/>
  <c r="AU303" i="1"/>
  <c r="AQ303" i="1"/>
  <c r="AN303" i="1"/>
  <c r="AK303" i="1"/>
  <c r="AH303" i="1"/>
  <c r="AE303" i="1"/>
  <c r="BF303" i="1" s="1"/>
  <c r="AB303" i="1"/>
  <c r="Y303" i="1"/>
  <c r="V303" i="1"/>
  <c r="S303" i="1"/>
  <c r="P303" i="1"/>
  <c r="M303" i="1"/>
  <c r="J303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BH298" i="1"/>
  <c r="BG298" i="1"/>
  <c r="BE298" i="1"/>
  <c r="BD298" i="1"/>
  <c r="BB298" i="1"/>
  <c r="BA298" i="1"/>
  <c r="AY298" i="1"/>
  <c r="AX298" i="1"/>
  <c r="AV298" i="1"/>
  <c r="AU298" i="1"/>
  <c r="AQ298" i="1"/>
  <c r="AN298" i="1"/>
  <c r="AK298" i="1"/>
  <c r="AH298" i="1"/>
  <c r="AE298" i="1"/>
  <c r="AB298" i="1"/>
  <c r="Y298" i="1"/>
  <c r="V298" i="1"/>
  <c r="S298" i="1"/>
  <c r="P298" i="1"/>
  <c r="M298" i="1"/>
  <c r="J298" i="1"/>
  <c r="BH297" i="1"/>
  <c r="BG297" i="1"/>
  <c r="BE297" i="1"/>
  <c r="BD297" i="1"/>
  <c r="BB297" i="1"/>
  <c r="BA297" i="1"/>
  <c r="AY297" i="1"/>
  <c r="AX297" i="1"/>
  <c r="AV297" i="1"/>
  <c r="AU297" i="1"/>
  <c r="AQ297" i="1"/>
  <c r="AN297" i="1"/>
  <c r="AK297" i="1"/>
  <c r="BI297" i="1" s="1"/>
  <c r="AH297" i="1"/>
  <c r="AE297" i="1"/>
  <c r="AB297" i="1"/>
  <c r="Y297" i="1"/>
  <c r="V297" i="1"/>
  <c r="S297" i="1"/>
  <c r="P297" i="1"/>
  <c r="M297" i="1"/>
  <c r="J297" i="1"/>
  <c r="BH296" i="1"/>
  <c r="BG296" i="1"/>
  <c r="BE296" i="1"/>
  <c r="BD296" i="1"/>
  <c r="BB296" i="1"/>
  <c r="BA296" i="1"/>
  <c r="AY296" i="1"/>
  <c r="AX296" i="1"/>
  <c r="AX294" i="1" s="1"/>
  <c r="AV296" i="1"/>
  <c r="AU296" i="1"/>
  <c r="AQ296" i="1"/>
  <c r="AN296" i="1"/>
  <c r="AK296" i="1"/>
  <c r="AH296" i="1"/>
  <c r="AE296" i="1"/>
  <c r="AB296" i="1"/>
  <c r="Y296" i="1"/>
  <c r="V296" i="1"/>
  <c r="S296" i="1"/>
  <c r="BC296" i="1" s="1"/>
  <c r="P296" i="1"/>
  <c r="M296" i="1"/>
  <c r="J296" i="1"/>
  <c r="BH295" i="1"/>
  <c r="BG295" i="1"/>
  <c r="BE295" i="1"/>
  <c r="BD295" i="1"/>
  <c r="BB295" i="1"/>
  <c r="BA295" i="1"/>
  <c r="AY295" i="1"/>
  <c r="AX295" i="1"/>
  <c r="AV295" i="1"/>
  <c r="AU295" i="1"/>
  <c r="AQ295" i="1"/>
  <c r="AN295" i="1"/>
  <c r="AK295" i="1"/>
  <c r="AH295" i="1"/>
  <c r="AE295" i="1"/>
  <c r="AB295" i="1"/>
  <c r="Y295" i="1"/>
  <c r="V295" i="1"/>
  <c r="S295" i="1"/>
  <c r="P295" i="1"/>
  <c r="P294" i="1" s="1"/>
  <c r="M295" i="1"/>
  <c r="J295" i="1"/>
  <c r="AQ289" i="1"/>
  <c r="AN289" i="1"/>
  <c r="AK289" i="1"/>
  <c r="AH289" i="1"/>
  <c r="AE289" i="1"/>
  <c r="AB289" i="1"/>
  <c r="Y289" i="1"/>
  <c r="BH288" i="1"/>
  <c r="BG288" i="1"/>
  <c r="BE288" i="1"/>
  <c r="BD288" i="1"/>
  <c r="BB288" i="1"/>
  <c r="BA288" i="1"/>
  <c r="AY288" i="1"/>
  <c r="AX288" i="1"/>
  <c r="AV288" i="1"/>
  <c r="AU288" i="1"/>
  <c r="AQ288" i="1"/>
  <c r="AN288" i="1"/>
  <c r="AK288" i="1"/>
  <c r="AH288" i="1"/>
  <c r="AE288" i="1"/>
  <c r="AB288" i="1"/>
  <c r="Y288" i="1"/>
  <c r="V288" i="1"/>
  <c r="S288" i="1"/>
  <c r="P288" i="1"/>
  <c r="M288" i="1"/>
  <c r="J288" i="1"/>
  <c r="BH287" i="1"/>
  <c r="BG287" i="1"/>
  <c r="BE287" i="1"/>
  <c r="BD287" i="1"/>
  <c r="BB287" i="1"/>
  <c r="BB280" i="1" s="1"/>
  <c r="BA287" i="1"/>
  <c r="AY287" i="1"/>
  <c r="AX287" i="1"/>
  <c r="AV287" i="1"/>
  <c r="AU287" i="1"/>
  <c r="AQ287" i="1"/>
  <c r="AN287" i="1"/>
  <c r="AK287" i="1"/>
  <c r="AH287" i="1"/>
  <c r="AE287" i="1"/>
  <c r="AB287" i="1"/>
  <c r="BF287" i="1" s="1"/>
  <c r="Y287" i="1"/>
  <c r="V287" i="1"/>
  <c r="S287" i="1"/>
  <c r="P287" i="1"/>
  <c r="M287" i="1"/>
  <c r="J287" i="1"/>
  <c r="BH286" i="1"/>
  <c r="BG286" i="1"/>
  <c r="BE286" i="1"/>
  <c r="BD286" i="1"/>
  <c r="BB286" i="1"/>
  <c r="BA286" i="1"/>
  <c r="AY286" i="1"/>
  <c r="AX286" i="1"/>
  <c r="AV286" i="1"/>
  <c r="AU286" i="1"/>
  <c r="AQ286" i="1"/>
  <c r="AN286" i="1"/>
  <c r="AK286" i="1"/>
  <c r="AH286" i="1"/>
  <c r="AE286" i="1"/>
  <c r="BF286" i="1" s="1"/>
  <c r="AB286" i="1"/>
  <c r="Y286" i="1"/>
  <c r="V286" i="1"/>
  <c r="S286" i="1"/>
  <c r="BC286" i="1" s="1"/>
  <c r="P286" i="1"/>
  <c r="M286" i="1"/>
  <c r="J286" i="1"/>
  <c r="BH285" i="1"/>
  <c r="BG285" i="1"/>
  <c r="BE285" i="1"/>
  <c r="BD285" i="1"/>
  <c r="BB285" i="1"/>
  <c r="BA285" i="1"/>
  <c r="AY285" i="1"/>
  <c r="AX285" i="1"/>
  <c r="AV285" i="1"/>
  <c r="AU285" i="1"/>
  <c r="AQ285" i="1"/>
  <c r="AN285" i="1"/>
  <c r="AK285" i="1"/>
  <c r="BI285" i="1" s="1"/>
  <c r="AH285" i="1"/>
  <c r="AE285" i="1"/>
  <c r="AB285" i="1"/>
  <c r="Y285" i="1"/>
  <c r="V285" i="1"/>
  <c r="S285" i="1"/>
  <c r="BC285" i="1" s="1"/>
  <c r="P285" i="1"/>
  <c r="M285" i="1"/>
  <c r="J285" i="1"/>
  <c r="BH284" i="1"/>
  <c r="BG284" i="1"/>
  <c r="BE284" i="1"/>
  <c r="BD284" i="1"/>
  <c r="BB284" i="1"/>
  <c r="BA284" i="1"/>
  <c r="AY284" i="1"/>
  <c r="AX284" i="1"/>
  <c r="AV284" i="1"/>
  <c r="AU284" i="1"/>
  <c r="AQ284" i="1"/>
  <c r="AN284" i="1"/>
  <c r="AK284" i="1"/>
  <c r="AH284" i="1"/>
  <c r="AE284" i="1"/>
  <c r="AB284" i="1"/>
  <c r="Y284" i="1"/>
  <c r="V284" i="1"/>
  <c r="S284" i="1"/>
  <c r="P284" i="1"/>
  <c r="M284" i="1"/>
  <c r="J284" i="1"/>
  <c r="BH283" i="1"/>
  <c r="BG283" i="1"/>
  <c r="BE283" i="1"/>
  <c r="BD283" i="1"/>
  <c r="BB283" i="1"/>
  <c r="BA283" i="1"/>
  <c r="AY283" i="1"/>
  <c r="AX283" i="1"/>
  <c r="AV283" i="1"/>
  <c r="AU283" i="1"/>
  <c r="AQ283" i="1"/>
  <c r="AN283" i="1"/>
  <c r="AN280" i="1" s="1"/>
  <c r="AK283" i="1"/>
  <c r="AH283" i="1"/>
  <c r="AE283" i="1"/>
  <c r="AB283" i="1"/>
  <c r="Y283" i="1"/>
  <c r="V283" i="1"/>
  <c r="S283" i="1"/>
  <c r="P283" i="1"/>
  <c r="M283" i="1"/>
  <c r="J283" i="1"/>
  <c r="BH282" i="1"/>
  <c r="BG282" i="1"/>
  <c r="BE282" i="1"/>
  <c r="BD282" i="1"/>
  <c r="BB282" i="1"/>
  <c r="BA282" i="1"/>
  <c r="AY282" i="1"/>
  <c r="AX282" i="1"/>
  <c r="AV282" i="1"/>
  <c r="AU282" i="1"/>
  <c r="AQ282" i="1"/>
  <c r="AQ280" i="1" s="1"/>
  <c r="AN282" i="1"/>
  <c r="AK282" i="1"/>
  <c r="BI282" i="1" s="1"/>
  <c r="AH282" i="1"/>
  <c r="AE282" i="1"/>
  <c r="AB282" i="1"/>
  <c r="Y282" i="1"/>
  <c r="V282" i="1"/>
  <c r="S282" i="1"/>
  <c r="P282" i="1"/>
  <c r="M282" i="1"/>
  <c r="J282" i="1"/>
  <c r="BH281" i="1"/>
  <c r="BG281" i="1"/>
  <c r="BE281" i="1"/>
  <c r="BD281" i="1"/>
  <c r="BB281" i="1"/>
  <c r="BA281" i="1"/>
  <c r="AY281" i="1"/>
  <c r="AX281" i="1"/>
  <c r="AV281" i="1"/>
  <c r="AU281" i="1"/>
  <c r="AQ281" i="1"/>
  <c r="AN281" i="1"/>
  <c r="AK281" i="1"/>
  <c r="AH281" i="1"/>
  <c r="AE281" i="1"/>
  <c r="AB281" i="1"/>
  <c r="Y281" i="1"/>
  <c r="V281" i="1"/>
  <c r="S281" i="1"/>
  <c r="P281" i="1"/>
  <c r="M281" i="1"/>
  <c r="J281" i="1"/>
  <c r="BH277" i="1"/>
  <c r="BG277" i="1"/>
  <c r="BE277" i="1"/>
  <c r="BD277" i="1"/>
  <c r="BB277" i="1"/>
  <c r="BA277" i="1"/>
  <c r="AY277" i="1"/>
  <c r="AX277" i="1"/>
  <c r="AV277" i="1"/>
  <c r="AU277" i="1"/>
  <c r="AQ277" i="1"/>
  <c r="AN277" i="1"/>
  <c r="AK277" i="1"/>
  <c r="AH277" i="1"/>
  <c r="AE277" i="1"/>
  <c r="AB277" i="1"/>
  <c r="BF277" i="1" s="1"/>
  <c r="Y277" i="1"/>
  <c r="V277" i="1"/>
  <c r="S277" i="1"/>
  <c r="P277" i="1"/>
  <c r="M277" i="1"/>
  <c r="J277" i="1"/>
  <c r="BH276" i="1"/>
  <c r="BG276" i="1"/>
  <c r="BE276" i="1"/>
  <c r="BD276" i="1"/>
  <c r="BB276" i="1"/>
  <c r="BA276" i="1"/>
  <c r="AY276" i="1"/>
  <c r="AX276" i="1"/>
  <c r="AV276" i="1"/>
  <c r="AU276" i="1"/>
  <c r="AQ276" i="1"/>
  <c r="AN276" i="1"/>
  <c r="AK276" i="1"/>
  <c r="BI276" i="1" s="1"/>
  <c r="AH276" i="1"/>
  <c r="AE276" i="1"/>
  <c r="AB276" i="1"/>
  <c r="Y276" i="1"/>
  <c r="V276" i="1"/>
  <c r="BC276" i="1" s="1"/>
  <c r="S276" i="1"/>
  <c r="P276" i="1"/>
  <c r="M276" i="1"/>
  <c r="J276" i="1"/>
  <c r="AZ276" i="1" s="1"/>
  <c r="BH275" i="1"/>
  <c r="BG275" i="1"/>
  <c r="BE275" i="1"/>
  <c r="BD275" i="1"/>
  <c r="BB275" i="1"/>
  <c r="BA275" i="1"/>
  <c r="AY275" i="1"/>
  <c r="AX275" i="1"/>
  <c r="AV275" i="1"/>
  <c r="AU275" i="1"/>
  <c r="AQ275" i="1"/>
  <c r="AN275" i="1"/>
  <c r="AK275" i="1"/>
  <c r="AH275" i="1"/>
  <c r="AE275" i="1"/>
  <c r="AB275" i="1"/>
  <c r="Y275" i="1"/>
  <c r="V275" i="1"/>
  <c r="S275" i="1"/>
  <c r="BC275" i="1" s="1"/>
  <c r="P275" i="1"/>
  <c r="M275" i="1"/>
  <c r="J275" i="1"/>
  <c r="BH274" i="1"/>
  <c r="BG274" i="1"/>
  <c r="BE274" i="1"/>
  <c r="BD274" i="1"/>
  <c r="BB274" i="1"/>
  <c r="BA274" i="1"/>
  <c r="AY274" i="1"/>
  <c r="AX274" i="1"/>
  <c r="AV274" i="1"/>
  <c r="AU274" i="1"/>
  <c r="AQ274" i="1"/>
  <c r="AN274" i="1"/>
  <c r="AK274" i="1"/>
  <c r="BI274" i="1" s="1"/>
  <c r="AH274" i="1"/>
  <c r="AE274" i="1"/>
  <c r="AB274" i="1"/>
  <c r="Y274" i="1"/>
  <c r="V274" i="1"/>
  <c r="S274" i="1"/>
  <c r="P274" i="1"/>
  <c r="M274" i="1"/>
  <c r="AZ274" i="1" s="1"/>
  <c r="J274" i="1"/>
  <c r="BH273" i="1"/>
  <c r="BG273" i="1"/>
  <c r="BE273" i="1"/>
  <c r="BD273" i="1"/>
  <c r="BB273" i="1"/>
  <c r="BA273" i="1"/>
  <c r="AY273" i="1"/>
  <c r="AX273" i="1"/>
  <c r="AV273" i="1"/>
  <c r="AU273" i="1"/>
  <c r="AQ273" i="1"/>
  <c r="AN273" i="1"/>
  <c r="AK273" i="1"/>
  <c r="AH273" i="1"/>
  <c r="AE273" i="1"/>
  <c r="AB273" i="1"/>
  <c r="Y273" i="1"/>
  <c r="V273" i="1"/>
  <c r="S273" i="1"/>
  <c r="P273" i="1"/>
  <c r="M273" i="1"/>
  <c r="J273" i="1"/>
  <c r="BH272" i="1"/>
  <c r="BG272" i="1"/>
  <c r="BE272" i="1"/>
  <c r="BD272" i="1"/>
  <c r="BB272" i="1"/>
  <c r="BA272" i="1"/>
  <c r="AY272" i="1"/>
  <c r="AX272" i="1"/>
  <c r="AV272" i="1"/>
  <c r="AU272" i="1"/>
  <c r="AQ272" i="1"/>
  <c r="AN272" i="1"/>
  <c r="AK272" i="1"/>
  <c r="AH272" i="1"/>
  <c r="AE272" i="1"/>
  <c r="AB272" i="1"/>
  <c r="BF272" i="1" s="1"/>
  <c r="Y272" i="1"/>
  <c r="V272" i="1"/>
  <c r="S272" i="1"/>
  <c r="P272" i="1"/>
  <c r="M272" i="1"/>
  <c r="J272" i="1"/>
  <c r="BH271" i="1"/>
  <c r="BG271" i="1"/>
  <c r="BE271" i="1"/>
  <c r="BE266" i="1" s="1"/>
  <c r="BD271" i="1"/>
  <c r="BB271" i="1"/>
  <c r="BA271" i="1"/>
  <c r="AY271" i="1"/>
  <c r="AX271" i="1"/>
  <c r="AV271" i="1"/>
  <c r="AU271" i="1"/>
  <c r="AQ271" i="1"/>
  <c r="AN271" i="1"/>
  <c r="AK271" i="1"/>
  <c r="AH271" i="1"/>
  <c r="BF271" i="1" s="1"/>
  <c r="AE271" i="1"/>
  <c r="AB271" i="1"/>
  <c r="Y271" i="1"/>
  <c r="V271" i="1"/>
  <c r="S271" i="1"/>
  <c r="P271" i="1"/>
  <c r="M271" i="1"/>
  <c r="J271" i="1"/>
  <c r="BH270" i="1"/>
  <c r="BG270" i="1"/>
  <c r="BE270" i="1"/>
  <c r="BD270" i="1"/>
  <c r="BC270" i="1"/>
  <c r="BB270" i="1"/>
  <c r="BA270" i="1"/>
  <c r="AY270" i="1"/>
  <c r="AX270" i="1"/>
  <c r="AV270" i="1"/>
  <c r="AU270" i="1"/>
  <c r="AQ270" i="1"/>
  <c r="AN270" i="1"/>
  <c r="AK270" i="1"/>
  <c r="AH270" i="1"/>
  <c r="AE270" i="1"/>
  <c r="AB270" i="1"/>
  <c r="Y270" i="1"/>
  <c r="V270" i="1"/>
  <c r="S270" i="1"/>
  <c r="P270" i="1"/>
  <c r="M270" i="1"/>
  <c r="J270" i="1"/>
  <c r="BH269" i="1"/>
  <c r="BG269" i="1"/>
  <c r="BE269" i="1"/>
  <c r="BD269" i="1"/>
  <c r="BB269" i="1"/>
  <c r="BA269" i="1"/>
  <c r="AY269" i="1"/>
  <c r="AX269" i="1"/>
  <c r="AV269" i="1"/>
  <c r="AU269" i="1"/>
  <c r="AQ269" i="1"/>
  <c r="AN269" i="1"/>
  <c r="AK269" i="1"/>
  <c r="AH269" i="1"/>
  <c r="AE269" i="1"/>
  <c r="AB269" i="1"/>
  <c r="Y269" i="1"/>
  <c r="V269" i="1"/>
  <c r="S269" i="1"/>
  <c r="P269" i="1"/>
  <c r="M269" i="1"/>
  <c r="J269" i="1"/>
  <c r="BH268" i="1"/>
  <c r="BG268" i="1"/>
  <c r="BE268" i="1"/>
  <c r="BD268" i="1"/>
  <c r="BB268" i="1"/>
  <c r="BA268" i="1"/>
  <c r="AY268" i="1"/>
  <c r="AX268" i="1"/>
  <c r="AV268" i="1"/>
  <c r="AU268" i="1"/>
  <c r="AQ268" i="1"/>
  <c r="AN268" i="1"/>
  <c r="BI268" i="1" s="1"/>
  <c r="AK268" i="1"/>
  <c r="AH268" i="1"/>
  <c r="AE268" i="1"/>
  <c r="AB268" i="1"/>
  <c r="Y268" i="1"/>
  <c r="V268" i="1"/>
  <c r="S268" i="1"/>
  <c r="P268" i="1"/>
  <c r="M268" i="1"/>
  <c r="J268" i="1"/>
  <c r="BH267" i="1"/>
  <c r="BG267" i="1"/>
  <c r="BG266" i="1" s="1"/>
  <c r="BE267" i="1"/>
  <c r="BD267" i="1"/>
  <c r="BB267" i="1"/>
  <c r="BA267" i="1"/>
  <c r="AY267" i="1"/>
  <c r="AX267" i="1"/>
  <c r="AV267" i="1"/>
  <c r="AV266" i="1" s="1"/>
  <c r="AU267" i="1"/>
  <c r="AU266" i="1" s="1"/>
  <c r="AQ267" i="1"/>
  <c r="AN267" i="1"/>
  <c r="AK267" i="1"/>
  <c r="AH267" i="1"/>
  <c r="AE267" i="1"/>
  <c r="AB267" i="1"/>
  <c r="Y267" i="1"/>
  <c r="V267" i="1"/>
  <c r="S267" i="1"/>
  <c r="P267" i="1"/>
  <c r="M267" i="1"/>
  <c r="J267" i="1"/>
  <c r="BH263" i="1"/>
  <c r="BG263" i="1"/>
  <c r="BE263" i="1"/>
  <c r="BD263" i="1"/>
  <c r="BB263" i="1"/>
  <c r="BA263" i="1"/>
  <c r="AY263" i="1"/>
  <c r="AX263" i="1"/>
  <c r="AV263" i="1"/>
  <c r="AU263" i="1"/>
  <c r="AQ263" i="1"/>
  <c r="AN263" i="1"/>
  <c r="AK263" i="1"/>
  <c r="BI263" i="1" s="1"/>
  <c r="AH263" i="1"/>
  <c r="AE263" i="1"/>
  <c r="AB263" i="1"/>
  <c r="Y263" i="1"/>
  <c r="V263" i="1"/>
  <c r="S263" i="1"/>
  <c r="P263" i="1"/>
  <c r="M263" i="1"/>
  <c r="J263" i="1"/>
  <c r="BH262" i="1"/>
  <c r="BG262" i="1"/>
  <c r="BE262" i="1"/>
  <c r="BD262" i="1"/>
  <c r="BB262" i="1"/>
  <c r="BA262" i="1"/>
  <c r="AY262" i="1"/>
  <c r="AX262" i="1"/>
  <c r="AV262" i="1"/>
  <c r="AU262" i="1"/>
  <c r="AQ262" i="1"/>
  <c r="AN262" i="1"/>
  <c r="AK262" i="1"/>
  <c r="AH262" i="1"/>
  <c r="AE262" i="1"/>
  <c r="AB262" i="1"/>
  <c r="Y262" i="1"/>
  <c r="V262" i="1"/>
  <c r="S262" i="1"/>
  <c r="BC262" i="1" s="1"/>
  <c r="P262" i="1"/>
  <c r="M262" i="1"/>
  <c r="J262" i="1"/>
  <c r="BH261" i="1"/>
  <c r="BG261" i="1"/>
  <c r="BE261" i="1"/>
  <c r="BD261" i="1"/>
  <c r="BB261" i="1"/>
  <c r="BA261" i="1"/>
  <c r="AY261" i="1"/>
  <c r="AX261" i="1"/>
  <c r="AV261" i="1"/>
  <c r="AU261" i="1"/>
  <c r="AQ261" i="1"/>
  <c r="AN261" i="1"/>
  <c r="AK261" i="1"/>
  <c r="BI261" i="1" s="1"/>
  <c r="AH261" i="1"/>
  <c r="AE261" i="1"/>
  <c r="AB261" i="1"/>
  <c r="Y261" i="1"/>
  <c r="V261" i="1"/>
  <c r="S261" i="1"/>
  <c r="P261" i="1"/>
  <c r="M261" i="1"/>
  <c r="J261" i="1"/>
  <c r="BH260" i="1"/>
  <c r="BG260" i="1"/>
  <c r="BE260" i="1"/>
  <c r="BD260" i="1"/>
  <c r="BB260" i="1"/>
  <c r="BA260" i="1"/>
  <c r="AY260" i="1"/>
  <c r="AX260" i="1"/>
  <c r="AV260" i="1"/>
  <c r="AU260" i="1"/>
  <c r="AQ260" i="1"/>
  <c r="AN260" i="1"/>
  <c r="AK260" i="1"/>
  <c r="AH260" i="1"/>
  <c r="AE260" i="1"/>
  <c r="AB260" i="1"/>
  <c r="Y260" i="1"/>
  <c r="V260" i="1"/>
  <c r="S260" i="1"/>
  <c r="BC260" i="1" s="1"/>
  <c r="P260" i="1"/>
  <c r="M260" i="1"/>
  <c r="J260" i="1"/>
  <c r="BH259" i="1"/>
  <c r="BG259" i="1"/>
  <c r="BE259" i="1"/>
  <c r="BD259" i="1"/>
  <c r="BB259" i="1"/>
  <c r="BA259" i="1"/>
  <c r="AY259" i="1"/>
  <c r="AX259" i="1"/>
  <c r="AV259" i="1"/>
  <c r="AU259" i="1"/>
  <c r="AQ259" i="1"/>
  <c r="AN259" i="1"/>
  <c r="AK259" i="1"/>
  <c r="BI259" i="1" s="1"/>
  <c r="AH259" i="1"/>
  <c r="AE259" i="1"/>
  <c r="AB259" i="1"/>
  <c r="BF259" i="1" s="1"/>
  <c r="Y259" i="1"/>
  <c r="V259" i="1"/>
  <c r="S259" i="1"/>
  <c r="P259" i="1"/>
  <c r="M259" i="1"/>
  <c r="J259" i="1"/>
  <c r="BH258" i="1"/>
  <c r="BG258" i="1"/>
  <c r="BE258" i="1"/>
  <c r="BD258" i="1"/>
  <c r="BB258" i="1"/>
  <c r="BA258" i="1"/>
  <c r="AY258" i="1"/>
  <c r="AX258" i="1"/>
  <c r="AV258" i="1"/>
  <c r="AU258" i="1"/>
  <c r="AQ258" i="1"/>
  <c r="AN258" i="1"/>
  <c r="AK258" i="1"/>
  <c r="AH258" i="1"/>
  <c r="AE258" i="1"/>
  <c r="AB258" i="1"/>
  <c r="Y258" i="1"/>
  <c r="V258" i="1"/>
  <c r="S258" i="1"/>
  <c r="P258" i="1"/>
  <c r="M258" i="1"/>
  <c r="J258" i="1"/>
  <c r="BH257" i="1"/>
  <c r="BG257" i="1"/>
  <c r="BE257" i="1"/>
  <c r="BD257" i="1"/>
  <c r="BB257" i="1"/>
  <c r="BA257" i="1"/>
  <c r="AY257" i="1"/>
  <c r="AX257" i="1"/>
  <c r="AV257" i="1"/>
  <c r="AU257" i="1"/>
  <c r="AQ257" i="1"/>
  <c r="AN257" i="1"/>
  <c r="AK257" i="1"/>
  <c r="AH257" i="1"/>
  <c r="AE257" i="1"/>
  <c r="AB257" i="1"/>
  <c r="Y257" i="1"/>
  <c r="V257" i="1"/>
  <c r="S257" i="1"/>
  <c r="P257" i="1"/>
  <c r="M257" i="1"/>
  <c r="J257" i="1"/>
  <c r="BH256" i="1"/>
  <c r="BG256" i="1"/>
  <c r="BE256" i="1"/>
  <c r="BD256" i="1"/>
  <c r="BB256" i="1"/>
  <c r="BA256" i="1"/>
  <c r="AY256" i="1"/>
  <c r="AX256" i="1"/>
  <c r="AV256" i="1"/>
  <c r="AU256" i="1"/>
  <c r="AQ256" i="1"/>
  <c r="AQ255" i="1" s="1"/>
  <c r="AN256" i="1"/>
  <c r="AK256" i="1"/>
  <c r="AH256" i="1"/>
  <c r="AE256" i="1"/>
  <c r="AB256" i="1"/>
  <c r="Y256" i="1"/>
  <c r="V256" i="1"/>
  <c r="S256" i="1"/>
  <c r="P256" i="1"/>
  <c r="M256" i="1"/>
  <c r="J256" i="1"/>
  <c r="BH250" i="1"/>
  <c r="BG250" i="1"/>
  <c r="BE250" i="1"/>
  <c r="BD250" i="1"/>
  <c r="BB250" i="1"/>
  <c r="BA250" i="1"/>
  <c r="AY250" i="1"/>
  <c r="AX250" i="1"/>
  <c r="AV250" i="1"/>
  <c r="AU250" i="1"/>
  <c r="AQ250" i="1"/>
  <c r="AN250" i="1"/>
  <c r="AK250" i="1"/>
  <c r="AK243" i="1" s="1"/>
  <c r="AH250" i="1"/>
  <c r="AE250" i="1"/>
  <c r="AB250" i="1"/>
  <c r="Y250" i="1"/>
  <c r="V250" i="1"/>
  <c r="S250" i="1"/>
  <c r="P250" i="1"/>
  <c r="M250" i="1"/>
  <c r="J250" i="1"/>
  <c r="BH249" i="1"/>
  <c r="BG249" i="1"/>
  <c r="BE249" i="1"/>
  <c r="BD249" i="1"/>
  <c r="BB249" i="1"/>
  <c r="BA249" i="1"/>
  <c r="AY249" i="1"/>
  <c r="AX249" i="1"/>
  <c r="AV249" i="1"/>
  <c r="AU249" i="1"/>
  <c r="AQ249" i="1"/>
  <c r="AN249" i="1"/>
  <c r="AK249" i="1"/>
  <c r="BI249" i="1" s="1"/>
  <c r="AH249" i="1"/>
  <c r="AE249" i="1"/>
  <c r="AB249" i="1"/>
  <c r="Y249" i="1"/>
  <c r="V249" i="1"/>
  <c r="S249" i="1"/>
  <c r="P249" i="1"/>
  <c r="M249" i="1"/>
  <c r="J249" i="1"/>
  <c r="AZ249" i="1" s="1"/>
  <c r="BH248" i="1"/>
  <c r="BG248" i="1"/>
  <c r="BE248" i="1"/>
  <c r="BD248" i="1"/>
  <c r="BB248" i="1"/>
  <c r="BA248" i="1"/>
  <c r="AY248" i="1"/>
  <c r="AX248" i="1"/>
  <c r="AV248" i="1"/>
  <c r="AU248" i="1"/>
  <c r="AQ248" i="1"/>
  <c r="AN248" i="1"/>
  <c r="AK248" i="1"/>
  <c r="AH248" i="1"/>
  <c r="AE248" i="1"/>
  <c r="AB248" i="1"/>
  <c r="BF248" i="1" s="1"/>
  <c r="Y248" i="1"/>
  <c r="V248" i="1"/>
  <c r="S248" i="1"/>
  <c r="P248" i="1"/>
  <c r="M248" i="1"/>
  <c r="J248" i="1"/>
  <c r="BH247" i="1"/>
  <c r="BG247" i="1"/>
  <c r="BE247" i="1"/>
  <c r="BD247" i="1"/>
  <c r="BB247" i="1"/>
  <c r="BA247" i="1"/>
  <c r="AY247" i="1"/>
  <c r="AX247" i="1"/>
  <c r="AV247" i="1"/>
  <c r="AU247" i="1"/>
  <c r="AQ247" i="1"/>
  <c r="AN247" i="1"/>
  <c r="AK247" i="1"/>
  <c r="AH247" i="1"/>
  <c r="AE247" i="1"/>
  <c r="AB247" i="1"/>
  <c r="Y247" i="1"/>
  <c r="V247" i="1"/>
  <c r="S247" i="1"/>
  <c r="P247" i="1"/>
  <c r="M247" i="1"/>
  <c r="J247" i="1"/>
  <c r="BH246" i="1"/>
  <c r="BG246" i="1"/>
  <c r="BE246" i="1"/>
  <c r="BD246" i="1"/>
  <c r="BB246" i="1"/>
  <c r="BA246" i="1"/>
  <c r="AY246" i="1"/>
  <c r="AX246" i="1"/>
  <c r="AV246" i="1"/>
  <c r="AU246" i="1"/>
  <c r="AQ246" i="1"/>
  <c r="AN246" i="1"/>
  <c r="AK246" i="1"/>
  <c r="AH246" i="1"/>
  <c r="AE246" i="1"/>
  <c r="AB246" i="1"/>
  <c r="BF246" i="1" s="1"/>
  <c r="Y246" i="1"/>
  <c r="V246" i="1"/>
  <c r="S246" i="1"/>
  <c r="P246" i="1"/>
  <c r="M246" i="1"/>
  <c r="J246" i="1"/>
  <c r="BH245" i="1"/>
  <c r="BG245" i="1"/>
  <c r="BE245" i="1"/>
  <c r="BD245" i="1"/>
  <c r="BB245" i="1"/>
  <c r="BA245" i="1"/>
  <c r="AY245" i="1"/>
  <c r="AX245" i="1"/>
  <c r="AV245" i="1"/>
  <c r="AU245" i="1"/>
  <c r="AQ245" i="1"/>
  <c r="AN245" i="1"/>
  <c r="AK245" i="1"/>
  <c r="AH245" i="1"/>
  <c r="AE245" i="1"/>
  <c r="AB245" i="1"/>
  <c r="Y245" i="1"/>
  <c r="V245" i="1"/>
  <c r="S245" i="1"/>
  <c r="P245" i="1"/>
  <c r="M245" i="1"/>
  <c r="J245" i="1"/>
  <c r="BH244" i="1"/>
  <c r="BG244" i="1"/>
  <c r="BE244" i="1"/>
  <c r="BD244" i="1"/>
  <c r="BC244" i="1"/>
  <c r="BB244" i="1"/>
  <c r="BA244" i="1"/>
  <c r="AY244" i="1"/>
  <c r="AX244" i="1"/>
  <c r="AV244" i="1"/>
  <c r="AU244" i="1"/>
  <c r="AQ244" i="1"/>
  <c r="AQ243" i="1" s="1"/>
  <c r="AN244" i="1"/>
  <c r="AK244" i="1"/>
  <c r="AH244" i="1"/>
  <c r="AE244" i="1"/>
  <c r="AB244" i="1"/>
  <c r="Y244" i="1"/>
  <c r="V244" i="1"/>
  <c r="S244" i="1"/>
  <c r="P244" i="1"/>
  <c r="M244" i="1"/>
  <c r="J244" i="1"/>
  <c r="AN243" i="1"/>
  <c r="BH240" i="1"/>
  <c r="BG240" i="1"/>
  <c r="BE240" i="1"/>
  <c r="BD240" i="1"/>
  <c r="BB240" i="1"/>
  <c r="BA240" i="1"/>
  <c r="AY240" i="1"/>
  <c r="AX240" i="1"/>
  <c r="AV240" i="1"/>
  <c r="AU240" i="1"/>
  <c r="AQ240" i="1"/>
  <c r="AN240" i="1"/>
  <c r="AK240" i="1"/>
  <c r="AH240" i="1"/>
  <c r="AE240" i="1"/>
  <c r="AB240" i="1"/>
  <c r="Y240" i="1"/>
  <c r="V240" i="1"/>
  <c r="S240" i="1"/>
  <c r="P240" i="1"/>
  <c r="M240" i="1"/>
  <c r="J240" i="1"/>
  <c r="BH239" i="1"/>
  <c r="BG239" i="1"/>
  <c r="BE239" i="1"/>
  <c r="BD239" i="1"/>
  <c r="BB239" i="1"/>
  <c r="BA239" i="1"/>
  <c r="AY239" i="1"/>
  <c r="AX239" i="1"/>
  <c r="AV239" i="1"/>
  <c r="AU239" i="1"/>
  <c r="AQ239" i="1"/>
  <c r="AN239" i="1"/>
  <c r="AK239" i="1"/>
  <c r="BI239" i="1" s="1"/>
  <c r="AH239" i="1"/>
  <c r="AE239" i="1"/>
  <c r="AB239" i="1"/>
  <c r="Y239" i="1"/>
  <c r="V239" i="1"/>
  <c r="S239" i="1"/>
  <c r="P239" i="1"/>
  <c r="M239" i="1"/>
  <c r="J239" i="1"/>
  <c r="BH238" i="1"/>
  <c r="BG238" i="1"/>
  <c r="BE238" i="1"/>
  <c r="BD238" i="1"/>
  <c r="BB238" i="1"/>
  <c r="BA238" i="1"/>
  <c r="AY238" i="1"/>
  <c r="AX238" i="1"/>
  <c r="AV238" i="1"/>
  <c r="AU238" i="1"/>
  <c r="AQ238" i="1"/>
  <c r="AN238" i="1"/>
  <c r="AK238" i="1"/>
  <c r="AH238" i="1"/>
  <c r="AE238" i="1"/>
  <c r="AB238" i="1"/>
  <c r="Y238" i="1"/>
  <c r="V238" i="1"/>
  <c r="S238" i="1"/>
  <c r="P238" i="1"/>
  <c r="M238" i="1"/>
  <c r="J238" i="1"/>
  <c r="BH237" i="1"/>
  <c r="BG237" i="1"/>
  <c r="BE237" i="1"/>
  <c r="BD237" i="1"/>
  <c r="BB237" i="1"/>
  <c r="BA237" i="1"/>
  <c r="AY237" i="1"/>
  <c r="AX237" i="1"/>
  <c r="AV237" i="1"/>
  <c r="AU237" i="1"/>
  <c r="AQ237" i="1"/>
  <c r="AN237" i="1"/>
  <c r="AK237" i="1"/>
  <c r="AH237" i="1"/>
  <c r="AE237" i="1"/>
  <c r="AB237" i="1"/>
  <c r="Y237" i="1"/>
  <c r="V237" i="1"/>
  <c r="S237" i="1"/>
  <c r="P237" i="1"/>
  <c r="M237" i="1"/>
  <c r="J237" i="1"/>
  <c r="BH236" i="1"/>
  <c r="BG236" i="1"/>
  <c r="BE236" i="1"/>
  <c r="BD236" i="1"/>
  <c r="BB236" i="1"/>
  <c r="BA236" i="1"/>
  <c r="AY236" i="1"/>
  <c r="AX236" i="1"/>
  <c r="AV236" i="1"/>
  <c r="AU236" i="1"/>
  <c r="AQ236" i="1"/>
  <c r="AN236" i="1"/>
  <c r="AK236" i="1"/>
  <c r="AH236" i="1"/>
  <c r="AE236" i="1"/>
  <c r="AB236" i="1"/>
  <c r="Y236" i="1"/>
  <c r="V236" i="1"/>
  <c r="S236" i="1"/>
  <c r="P236" i="1"/>
  <c r="M236" i="1"/>
  <c r="J236" i="1"/>
  <c r="BH235" i="1"/>
  <c r="BG235" i="1"/>
  <c r="BE235" i="1"/>
  <c r="BD235" i="1"/>
  <c r="BB235" i="1"/>
  <c r="BA235" i="1"/>
  <c r="AY235" i="1"/>
  <c r="AX235" i="1"/>
  <c r="AV235" i="1"/>
  <c r="AU235" i="1"/>
  <c r="AQ235" i="1"/>
  <c r="AN235" i="1"/>
  <c r="AK235" i="1"/>
  <c r="BI235" i="1" s="1"/>
  <c r="AH235" i="1"/>
  <c r="AE235" i="1"/>
  <c r="AB235" i="1"/>
  <c r="Y235" i="1"/>
  <c r="BC235" i="1" s="1"/>
  <c r="V235" i="1"/>
  <c r="S235" i="1"/>
  <c r="P235" i="1"/>
  <c r="M235" i="1"/>
  <c r="J235" i="1"/>
  <c r="BH234" i="1"/>
  <c r="BG234" i="1"/>
  <c r="BE234" i="1"/>
  <c r="BD234" i="1"/>
  <c r="BB234" i="1"/>
  <c r="BA234" i="1"/>
  <c r="AY234" i="1"/>
  <c r="AX234" i="1"/>
  <c r="AV234" i="1"/>
  <c r="AU234" i="1"/>
  <c r="AQ234" i="1"/>
  <c r="AN234" i="1"/>
  <c r="AK234" i="1"/>
  <c r="AH234" i="1"/>
  <c r="AE234" i="1"/>
  <c r="AB234" i="1"/>
  <c r="BF234" i="1" s="1"/>
  <c r="Y234" i="1"/>
  <c r="V234" i="1"/>
  <c r="S234" i="1"/>
  <c r="P234" i="1"/>
  <c r="M234" i="1"/>
  <c r="J234" i="1"/>
  <c r="BH233" i="1"/>
  <c r="BG233" i="1"/>
  <c r="BE233" i="1"/>
  <c r="BD233" i="1"/>
  <c r="BB233" i="1"/>
  <c r="BA233" i="1"/>
  <c r="AY233" i="1"/>
  <c r="AX233" i="1"/>
  <c r="AV233" i="1"/>
  <c r="AU233" i="1"/>
  <c r="AQ233" i="1"/>
  <c r="AN233" i="1"/>
  <c r="AK233" i="1"/>
  <c r="AH233" i="1"/>
  <c r="AE233" i="1"/>
  <c r="AB233" i="1"/>
  <c r="Y233" i="1"/>
  <c r="V233" i="1"/>
  <c r="S233" i="1"/>
  <c r="P233" i="1"/>
  <c r="M233" i="1"/>
  <c r="J233" i="1"/>
  <c r="BH232" i="1"/>
  <c r="BG232" i="1"/>
  <c r="BE232" i="1"/>
  <c r="BD232" i="1"/>
  <c r="BB232" i="1"/>
  <c r="BA232" i="1"/>
  <c r="AY232" i="1"/>
  <c r="AX232" i="1"/>
  <c r="AV232" i="1"/>
  <c r="AU232" i="1"/>
  <c r="AQ232" i="1"/>
  <c r="AN232" i="1"/>
  <c r="AK232" i="1"/>
  <c r="AH232" i="1"/>
  <c r="AE232" i="1"/>
  <c r="AB232" i="1"/>
  <c r="Y232" i="1"/>
  <c r="V232" i="1"/>
  <c r="S232" i="1"/>
  <c r="BC232" i="1" s="1"/>
  <c r="P232" i="1"/>
  <c r="M232" i="1"/>
  <c r="J232" i="1"/>
  <c r="BH231" i="1"/>
  <c r="BG231" i="1"/>
  <c r="BE231" i="1"/>
  <c r="BD231" i="1"/>
  <c r="BB231" i="1"/>
  <c r="BA231" i="1"/>
  <c r="AY231" i="1"/>
  <c r="AX231" i="1"/>
  <c r="AV231" i="1"/>
  <c r="AU231" i="1"/>
  <c r="AQ231" i="1"/>
  <c r="AN231" i="1"/>
  <c r="AK231" i="1"/>
  <c r="AH231" i="1"/>
  <c r="AE231" i="1"/>
  <c r="AB231" i="1"/>
  <c r="BF231" i="1" s="1"/>
  <c r="Y231" i="1"/>
  <c r="V231" i="1"/>
  <c r="S231" i="1"/>
  <c r="P231" i="1"/>
  <c r="M231" i="1"/>
  <c r="J231" i="1"/>
  <c r="BH230" i="1"/>
  <c r="BG230" i="1"/>
  <c r="BE230" i="1"/>
  <c r="BD230" i="1"/>
  <c r="BB230" i="1"/>
  <c r="BA230" i="1"/>
  <c r="AY230" i="1"/>
  <c r="AX230" i="1"/>
  <c r="AV230" i="1"/>
  <c r="AU230" i="1"/>
  <c r="AQ230" i="1"/>
  <c r="AN230" i="1"/>
  <c r="AK230" i="1"/>
  <c r="AH230" i="1"/>
  <c r="AE230" i="1"/>
  <c r="AB230" i="1"/>
  <c r="Y230" i="1"/>
  <c r="V230" i="1"/>
  <c r="S230" i="1"/>
  <c r="BC230" i="1" s="1"/>
  <c r="P230" i="1"/>
  <c r="M230" i="1"/>
  <c r="J230" i="1"/>
  <c r="BH229" i="1"/>
  <c r="BG229" i="1"/>
  <c r="BE229" i="1"/>
  <c r="BD229" i="1"/>
  <c r="BB229" i="1"/>
  <c r="BA229" i="1"/>
  <c r="AY229" i="1"/>
  <c r="AX229" i="1"/>
  <c r="AV229" i="1"/>
  <c r="AU229" i="1"/>
  <c r="AQ229" i="1"/>
  <c r="AN229" i="1"/>
  <c r="AK229" i="1"/>
  <c r="BI229" i="1" s="1"/>
  <c r="AH229" i="1"/>
  <c r="AE229" i="1"/>
  <c r="AB229" i="1"/>
  <c r="Y229" i="1"/>
  <c r="V229" i="1"/>
  <c r="S229" i="1"/>
  <c r="P229" i="1"/>
  <c r="M229" i="1"/>
  <c r="J229" i="1"/>
  <c r="BH228" i="1"/>
  <c r="BG228" i="1"/>
  <c r="BE228" i="1"/>
  <c r="BE226" i="1" s="1"/>
  <c r="BD228" i="1"/>
  <c r="BB228" i="1"/>
  <c r="BA228" i="1"/>
  <c r="AY228" i="1"/>
  <c r="AX228" i="1"/>
  <c r="AV228" i="1"/>
  <c r="AU228" i="1"/>
  <c r="AQ228" i="1"/>
  <c r="AN228" i="1"/>
  <c r="AK228" i="1"/>
  <c r="AH228" i="1"/>
  <c r="AE228" i="1"/>
  <c r="AB228" i="1"/>
  <c r="Y228" i="1"/>
  <c r="V228" i="1"/>
  <c r="S228" i="1"/>
  <c r="P228" i="1"/>
  <c r="M228" i="1"/>
  <c r="J228" i="1"/>
  <c r="AZ228" i="1" s="1"/>
  <c r="BH227" i="1"/>
  <c r="BG227" i="1"/>
  <c r="BE227" i="1"/>
  <c r="BD227" i="1"/>
  <c r="BB227" i="1"/>
  <c r="BA227" i="1"/>
  <c r="AY227" i="1"/>
  <c r="AX227" i="1"/>
  <c r="AV227" i="1"/>
  <c r="AU227" i="1"/>
  <c r="AQ227" i="1"/>
  <c r="AN227" i="1"/>
  <c r="AK227" i="1"/>
  <c r="AH227" i="1"/>
  <c r="AE227" i="1"/>
  <c r="AB227" i="1"/>
  <c r="Y227" i="1"/>
  <c r="V227" i="1"/>
  <c r="S227" i="1"/>
  <c r="P227" i="1"/>
  <c r="M227" i="1"/>
  <c r="J227" i="1"/>
  <c r="BH223" i="1"/>
  <c r="BG223" i="1"/>
  <c r="BE223" i="1"/>
  <c r="BD223" i="1"/>
  <c r="BB223" i="1"/>
  <c r="BA223" i="1"/>
  <c r="AY223" i="1"/>
  <c r="AX223" i="1"/>
  <c r="AV223" i="1"/>
  <c r="AU223" i="1"/>
  <c r="AQ223" i="1"/>
  <c r="AN223" i="1"/>
  <c r="AK223" i="1"/>
  <c r="AH223" i="1"/>
  <c r="AE223" i="1"/>
  <c r="AB223" i="1"/>
  <c r="Y223" i="1"/>
  <c r="V223" i="1"/>
  <c r="S223" i="1"/>
  <c r="P223" i="1"/>
  <c r="M223" i="1"/>
  <c r="J223" i="1"/>
  <c r="BH222" i="1"/>
  <c r="BG222" i="1"/>
  <c r="BE222" i="1"/>
  <c r="BD222" i="1"/>
  <c r="BB222" i="1"/>
  <c r="BA222" i="1"/>
  <c r="AY222" i="1"/>
  <c r="AX222" i="1"/>
  <c r="AV222" i="1"/>
  <c r="AU222" i="1"/>
  <c r="AQ222" i="1"/>
  <c r="AN222" i="1"/>
  <c r="AK222" i="1"/>
  <c r="AH222" i="1"/>
  <c r="AE222" i="1"/>
  <c r="AB222" i="1"/>
  <c r="Y222" i="1"/>
  <c r="V222" i="1"/>
  <c r="S222" i="1"/>
  <c r="P222" i="1"/>
  <c r="M222" i="1"/>
  <c r="J222" i="1"/>
  <c r="BH221" i="1"/>
  <c r="BG221" i="1"/>
  <c r="BE221" i="1"/>
  <c r="BD221" i="1"/>
  <c r="BB221" i="1"/>
  <c r="BA221" i="1"/>
  <c r="AY221" i="1"/>
  <c r="AX221" i="1"/>
  <c r="AV221" i="1"/>
  <c r="AU221" i="1"/>
  <c r="AQ221" i="1"/>
  <c r="AN221" i="1"/>
  <c r="AK221" i="1"/>
  <c r="AH221" i="1"/>
  <c r="AE221" i="1"/>
  <c r="AB221" i="1"/>
  <c r="Y221" i="1"/>
  <c r="V221" i="1"/>
  <c r="S221" i="1"/>
  <c r="P221" i="1"/>
  <c r="M221" i="1"/>
  <c r="J221" i="1"/>
  <c r="BH220" i="1"/>
  <c r="BG220" i="1"/>
  <c r="BE220" i="1"/>
  <c r="BD220" i="1"/>
  <c r="BB220" i="1"/>
  <c r="BA220" i="1"/>
  <c r="AY220" i="1"/>
  <c r="AX220" i="1"/>
  <c r="AV220" i="1"/>
  <c r="AU220" i="1"/>
  <c r="AQ220" i="1"/>
  <c r="AN220" i="1"/>
  <c r="AK220" i="1"/>
  <c r="AH220" i="1"/>
  <c r="AE220" i="1"/>
  <c r="AB220" i="1"/>
  <c r="Y220" i="1"/>
  <c r="V220" i="1"/>
  <c r="S220" i="1"/>
  <c r="P220" i="1"/>
  <c r="M220" i="1"/>
  <c r="J220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M219" i="1"/>
  <c r="J219" i="1"/>
  <c r="BH218" i="1"/>
  <c r="BG218" i="1"/>
  <c r="BE218" i="1"/>
  <c r="BD218" i="1"/>
  <c r="BB218" i="1"/>
  <c r="BA218" i="1"/>
  <c r="AY218" i="1"/>
  <c r="AX218" i="1"/>
  <c r="AV218" i="1"/>
  <c r="AU218" i="1"/>
  <c r="AQ218" i="1"/>
  <c r="AN218" i="1"/>
  <c r="AK218" i="1"/>
  <c r="AH218" i="1"/>
  <c r="AE218" i="1"/>
  <c r="AB218" i="1"/>
  <c r="BF218" i="1" s="1"/>
  <c r="Y218" i="1"/>
  <c r="V218" i="1"/>
  <c r="S218" i="1"/>
  <c r="P218" i="1"/>
  <c r="M218" i="1"/>
  <c r="J218" i="1"/>
  <c r="BH217" i="1"/>
  <c r="BG217" i="1"/>
  <c r="BE217" i="1"/>
  <c r="BD217" i="1"/>
  <c r="BB217" i="1"/>
  <c r="BA217" i="1"/>
  <c r="AY217" i="1"/>
  <c r="AY216" i="1" s="1"/>
  <c r="AX217" i="1"/>
  <c r="AV217" i="1"/>
  <c r="AU217" i="1"/>
  <c r="AQ217" i="1"/>
  <c r="AN217" i="1"/>
  <c r="AK217" i="1"/>
  <c r="AH217" i="1"/>
  <c r="AE217" i="1"/>
  <c r="AB217" i="1"/>
  <c r="Y217" i="1"/>
  <c r="V217" i="1"/>
  <c r="S217" i="1"/>
  <c r="S216" i="1" s="1"/>
  <c r="P217" i="1"/>
  <c r="AZ217" i="1" s="1"/>
  <c r="M217" i="1"/>
  <c r="J217" i="1"/>
  <c r="BH212" i="1"/>
  <c r="BG212" i="1"/>
  <c r="BE212" i="1"/>
  <c r="BD212" i="1"/>
  <c r="BB212" i="1"/>
  <c r="BA212" i="1"/>
  <c r="AY212" i="1"/>
  <c r="AX212" i="1"/>
  <c r="AV212" i="1"/>
  <c r="AU212" i="1"/>
  <c r="AQ212" i="1"/>
  <c r="AN212" i="1"/>
  <c r="AK212" i="1"/>
  <c r="AH212" i="1"/>
  <c r="AE212" i="1"/>
  <c r="AB212" i="1"/>
  <c r="Y212" i="1"/>
  <c r="V212" i="1"/>
  <c r="S212" i="1"/>
  <c r="P212" i="1"/>
  <c r="M212" i="1"/>
  <c r="J212" i="1"/>
  <c r="BH211" i="1"/>
  <c r="BG211" i="1"/>
  <c r="BE211" i="1"/>
  <c r="BD211" i="1"/>
  <c r="BB211" i="1"/>
  <c r="BA211" i="1"/>
  <c r="AY211" i="1"/>
  <c r="AX211" i="1"/>
  <c r="AV211" i="1"/>
  <c r="AU211" i="1"/>
  <c r="AQ211" i="1"/>
  <c r="AN211" i="1"/>
  <c r="AK211" i="1"/>
  <c r="AH211" i="1"/>
  <c r="AE211" i="1"/>
  <c r="AB211" i="1"/>
  <c r="Y211" i="1"/>
  <c r="V211" i="1"/>
  <c r="S211" i="1"/>
  <c r="BC211" i="1" s="1"/>
  <c r="P211" i="1"/>
  <c r="M211" i="1"/>
  <c r="J211" i="1"/>
  <c r="BH210" i="1"/>
  <c r="BG210" i="1"/>
  <c r="BE210" i="1"/>
  <c r="BD210" i="1"/>
  <c r="BB210" i="1"/>
  <c r="BA210" i="1"/>
  <c r="AY210" i="1"/>
  <c r="AX210" i="1"/>
  <c r="AV210" i="1"/>
  <c r="AU210" i="1"/>
  <c r="AQ210" i="1"/>
  <c r="AN210" i="1"/>
  <c r="AK210" i="1"/>
  <c r="AH210" i="1"/>
  <c r="AE210" i="1"/>
  <c r="AB210" i="1"/>
  <c r="Y210" i="1"/>
  <c r="V210" i="1"/>
  <c r="S210" i="1"/>
  <c r="P210" i="1"/>
  <c r="M210" i="1"/>
  <c r="J210" i="1"/>
  <c r="BH209" i="1"/>
  <c r="BG209" i="1"/>
  <c r="BE209" i="1"/>
  <c r="BD209" i="1"/>
  <c r="BB209" i="1"/>
  <c r="BA209" i="1"/>
  <c r="AY209" i="1"/>
  <c r="AX209" i="1"/>
  <c r="AV209" i="1"/>
  <c r="AU209" i="1"/>
  <c r="AQ209" i="1"/>
  <c r="AN209" i="1"/>
  <c r="AK209" i="1"/>
  <c r="AH209" i="1"/>
  <c r="AE209" i="1"/>
  <c r="AB209" i="1"/>
  <c r="Y209" i="1"/>
  <c r="V209" i="1"/>
  <c r="S209" i="1"/>
  <c r="BC209" i="1" s="1"/>
  <c r="P209" i="1"/>
  <c r="M209" i="1"/>
  <c r="J209" i="1"/>
  <c r="BH208" i="1"/>
  <c r="BG208" i="1"/>
  <c r="BE208" i="1"/>
  <c r="BD208" i="1"/>
  <c r="BB208" i="1"/>
  <c r="BA208" i="1"/>
  <c r="AY208" i="1"/>
  <c r="AX208" i="1"/>
  <c r="AV208" i="1"/>
  <c r="AU208" i="1"/>
  <c r="AQ208" i="1"/>
  <c r="AN208" i="1"/>
  <c r="AK208" i="1"/>
  <c r="BI208" i="1" s="1"/>
  <c r="AH208" i="1"/>
  <c r="AE208" i="1"/>
  <c r="AB208" i="1"/>
  <c r="BF208" i="1" s="1"/>
  <c r="Y208" i="1"/>
  <c r="V208" i="1"/>
  <c r="S208" i="1"/>
  <c r="P208" i="1"/>
  <c r="M208" i="1"/>
  <c r="J208" i="1"/>
  <c r="BH207" i="1"/>
  <c r="BG207" i="1"/>
  <c r="BE207" i="1"/>
  <c r="BD207" i="1"/>
  <c r="BB207" i="1"/>
  <c r="BA207" i="1"/>
  <c r="AY207" i="1"/>
  <c r="AX207" i="1"/>
  <c r="AV207" i="1"/>
  <c r="AU207" i="1"/>
  <c r="AQ207" i="1"/>
  <c r="AN207" i="1"/>
  <c r="AK207" i="1"/>
  <c r="AH207" i="1"/>
  <c r="AE207" i="1"/>
  <c r="AB207" i="1"/>
  <c r="Y207" i="1"/>
  <c r="V207" i="1"/>
  <c r="S207" i="1"/>
  <c r="BC207" i="1" s="1"/>
  <c r="P207" i="1"/>
  <c r="M207" i="1"/>
  <c r="J207" i="1"/>
  <c r="BH206" i="1"/>
  <c r="BG206" i="1"/>
  <c r="BE206" i="1"/>
  <c r="BD206" i="1"/>
  <c r="BB206" i="1"/>
  <c r="BA206" i="1"/>
  <c r="AY206" i="1"/>
  <c r="AX206" i="1"/>
  <c r="AV206" i="1"/>
  <c r="AU206" i="1"/>
  <c r="AQ206" i="1"/>
  <c r="AN206" i="1"/>
  <c r="AK206" i="1"/>
  <c r="AH206" i="1"/>
  <c r="AE206" i="1"/>
  <c r="AB206" i="1"/>
  <c r="AB205" i="1" s="1"/>
  <c r="Y206" i="1"/>
  <c r="V206" i="1"/>
  <c r="S206" i="1"/>
  <c r="P206" i="1"/>
  <c r="M206" i="1"/>
  <c r="AZ206" i="1" s="1"/>
  <c r="J206" i="1"/>
  <c r="BH204" i="1"/>
  <c r="BG204" i="1"/>
  <c r="BE204" i="1"/>
  <c r="BD204" i="1"/>
  <c r="BB204" i="1"/>
  <c r="BA204" i="1"/>
  <c r="AY204" i="1"/>
  <c r="AX204" i="1"/>
  <c r="AV204" i="1"/>
  <c r="AU204" i="1"/>
  <c r="AQ204" i="1"/>
  <c r="AN204" i="1"/>
  <c r="AK204" i="1"/>
  <c r="AH204" i="1"/>
  <c r="AE204" i="1"/>
  <c r="AB204" i="1"/>
  <c r="Y204" i="1"/>
  <c r="V204" i="1"/>
  <c r="S204" i="1"/>
  <c r="P204" i="1"/>
  <c r="M204" i="1"/>
  <c r="J204" i="1"/>
  <c r="BH203" i="1"/>
  <c r="BG203" i="1"/>
  <c r="BE203" i="1"/>
  <c r="BD203" i="1"/>
  <c r="BB203" i="1"/>
  <c r="BA203" i="1"/>
  <c r="AY203" i="1"/>
  <c r="AX203" i="1"/>
  <c r="AX199" i="1" s="1"/>
  <c r="AV203" i="1"/>
  <c r="AU203" i="1"/>
  <c r="AQ203" i="1"/>
  <c r="AN203" i="1"/>
  <c r="AK203" i="1"/>
  <c r="AH203" i="1"/>
  <c r="AE203" i="1"/>
  <c r="AB203" i="1"/>
  <c r="BF203" i="1" s="1"/>
  <c r="Y203" i="1"/>
  <c r="V203" i="1"/>
  <c r="S203" i="1"/>
  <c r="P203" i="1"/>
  <c r="M203" i="1"/>
  <c r="J203" i="1"/>
  <c r="BH202" i="1"/>
  <c r="BG202" i="1"/>
  <c r="BE202" i="1"/>
  <c r="BD202" i="1"/>
  <c r="BB202" i="1"/>
  <c r="BA202" i="1"/>
  <c r="AY202" i="1"/>
  <c r="AX202" i="1"/>
  <c r="AV202" i="1"/>
  <c r="AU202" i="1"/>
  <c r="AQ202" i="1"/>
  <c r="AN202" i="1"/>
  <c r="AK202" i="1"/>
  <c r="BI202" i="1" s="1"/>
  <c r="AH202" i="1"/>
  <c r="AE202" i="1"/>
  <c r="AB202" i="1"/>
  <c r="Y202" i="1"/>
  <c r="V202" i="1"/>
  <c r="S202" i="1"/>
  <c r="BC202" i="1" s="1"/>
  <c r="P202" i="1"/>
  <c r="M202" i="1"/>
  <c r="J202" i="1"/>
  <c r="BH201" i="1"/>
  <c r="BG201" i="1"/>
  <c r="BE201" i="1"/>
  <c r="BD201" i="1"/>
  <c r="BB201" i="1"/>
  <c r="BA201" i="1"/>
  <c r="AY201" i="1"/>
  <c r="AX201" i="1"/>
  <c r="AV201" i="1"/>
  <c r="AU201" i="1"/>
  <c r="AQ201" i="1"/>
  <c r="AN201" i="1"/>
  <c r="AK201" i="1"/>
  <c r="AH201" i="1"/>
  <c r="AE201" i="1"/>
  <c r="AB201" i="1"/>
  <c r="Y201" i="1"/>
  <c r="V201" i="1"/>
  <c r="S201" i="1"/>
  <c r="P201" i="1"/>
  <c r="M201" i="1"/>
  <c r="J201" i="1"/>
  <c r="BH200" i="1"/>
  <c r="BG200" i="1"/>
  <c r="BE200" i="1"/>
  <c r="BD200" i="1"/>
  <c r="BB200" i="1"/>
  <c r="BA200" i="1"/>
  <c r="BA199" i="1" s="1"/>
  <c r="AY200" i="1"/>
  <c r="AY199" i="1" s="1"/>
  <c r="AX200" i="1"/>
  <c r="AV200" i="1"/>
  <c r="AU200" i="1"/>
  <c r="AQ200" i="1"/>
  <c r="AN200" i="1"/>
  <c r="AK200" i="1"/>
  <c r="AH200" i="1"/>
  <c r="AE200" i="1"/>
  <c r="AB200" i="1"/>
  <c r="AB199" i="1" s="1"/>
  <c r="Y200" i="1"/>
  <c r="Y199" i="1" s="1"/>
  <c r="V200" i="1"/>
  <c r="V199" i="1" s="1"/>
  <c r="S200" i="1"/>
  <c r="P200" i="1"/>
  <c r="M200" i="1"/>
  <c r="J200" i="1"/>
  <c r="BH198" i="1"/>
  <c r="BG198" i="1"/>
  <c r="BE198" i="1"/>
  <c r="BD198" i="1"/>
  <c r="BB198" i="1"/>
  <c r="BA198" i="1"/>
  <c r="AY198" i="1"/>
  <c r="AX198" i="1"/>
  <c r="AV198" i="1"/>
  <c r="AU198" i="1"/>
  <c r="AQ198" i="1"/>
  <c r="AN198" i="1"/>
  <c r="AK198" i="1"/>
  <c r="AH198" i="1"/>
  <c r="AE198" i="1"/>
  <c r="AB198" i="1"/>
  <c r="Y198" i="1"/>
  <c r="V198" i="1"/>
  <c r="S198" i="1"/>
  <c r="P198" i="1"/>
  <c r="M198" i="1"/>
  <c r="J198" i="1"/>
  <c r="BH197" i="1"/>
  <c r="BG197" i="1"/>
  <c r="BE197" i="1"/>
  <c r="BD197" i="1"/>
  <c r="BB197" i="1"/>
  <c r="BA197" i="1"/>
  <c r="AY197" i="1"/>
  <c r="AX197" i="1"/>
  <c r="AV197" i="1"/>
  <c r="AU197" i="1"/>
  <c r="AQ197" i="1"/>
  <c r="AN197" i="1"/>
  <c r="AK197" i="1"/>
  <c r="BI197" i="1" s="1"/>
  <c r="AH197" i="1"/>
  <c r="AE197" i="1"/>
  <c r="AB197" i="1"/>
  <c r="Y197" i="1"/>
  <c r="V197" i="1"/>
  <c r="S197" i="1"/>
  <c r="BC197" i="1" s="1"/>
  <c r="P197" i="1"/>
  <c r="M197" i="1"/>
  <c r="J197" i="1"/>
  <c r="BH196" i="1"/>
  <c r="BG196" i="1"/>
  <c r="BE196" i="1"/>
  <c r="BD196" i="1"/>
  <c r="BB196" i="1"/>
  <c r="BA196" i="1"/>
  <c r="AY196" i="1"/>
  <c r="AX196" i="1"/>
  <c r="AV196" i="1"/>
  <c r="AU196" i="1"/>
  <c r="AQ196" i="1"/>
  <c r="AN196" i="1"/>
  <c r="AK196" i="1"/>
  <c r="AH196" i="1"/>
  <c r="AE196" i="1"/>
  <c r="AB196" i="1"/>
  <c r="Y196" i="1"/>
  <c r="V196" i="1"/>
  <c r="S196" i="1"/>
  <c r="P196" i="1"/>
  <c r="M196" i="1"/>
  <c r="J196" i="1"/>
  <c r="BH195" i="1"/>
  <c r="BG195" i="1"/>
  <c r="BE195" i="1"/>
  <c r="BD195" i="1"/>
  <c r="BB195" i="1"/>
  <c r="BA195" i="1"/>
  <c r="AY195" i="1"/>
  <c r="AX195" i="1"/>
  <c r="AV195" i="1"/>
  <c r="AU195" i="1"/>
  <c r="AQ195" i="1"/>
  <c r="AN195" i="1"/>
  <c r="AK195" i="1"/>
  <c r="AH195" i="1"/>
  <c r="AE195" i="1"/>
  <c r="AB195" i="1"/>
  <c r="Y195" i="1"/>
  <c r="V195" i="1"/>
  <c r="S195" i="1"/>
  <c r="P195" i="1"/>
  <c r="M195" i="1"/>
  <c r="J195" i="1"/>
  <c r="BH194" i="1"/>
  <c r="BG194" i="1"/>
  <c r="BE194" i="1"/>
  <c r="BD194" i="1"/>
  <c r="BB194" i="1"/>
  <c r="BA194" i="1"/>
  <c r="AY194" i="1"/>
  <c r="AX194" i="1"/>
  <c r="AV194" i="1"/>
  <c r="AU194" i="1"/>
  <c r="AQ194" i="1"/>
  <c r="AN194" i="1"/>
  <c r="AK194" i="1"/>
  <c r="BI194" i="1" s="1"/>
  <c r="AH194" i="1"/>
  <c r="AE194" i="1"/>
  <c r="AB194" i="1"/>
  <c r="Y194" i="1"/>
  <c r="V194" i="1"/>
  <c r="S194" i="1"/>
  <c r="P194" i="1"/>
  <c r="M194" i="1"/>
  <c r="AZ194" i="1" s="1"/>
  <c r="J194" i="1"/>
  <c r="BH193" i="1"/>
  <c r="BG193" i="1"/>
  <c r="BE193" i="1"/>
  <c r="BD193" i="1"/>
  <c r="BB193" i="1"/>
  <c r="BA193" i="1"/>
  <c r="AY193" i="1"/>
  <c r="AX193" i="1"/>
  <c r="AV193" i="1"/>
  <c r="AU193" i="1"/>
  <c r="AQ193" i="1"/>
  <c r="AN193" i="1"/>
  <c r="AK193" i="1"/>
  <c r="AH193" i="1"/>
  <c r="AE193" i="1"/>
  <c r="AB193" i="1"/>
  <c r="Y193" i="1"/>
  <c r="V193" i="1"/>
  <c r="S193" i="1"/>
  <c r="P193" i="1"/>
  <c r="M193" i="1"/>
  <c r="J193" i="1"/>
  <c r="BH192" i="1"/>
  <c r="BG192" i="1"/>
  <c r="BE192" i="1"/>
  <c r="BD192" i="1"/>
  <c r="BB192" i="1"/>
  <c r="BA192" i="1"/>
  <c r="AY192" i="1"/>
  <c r="AX192" i="1"/>
  <c r="AV192" i="1"/>
  <c r="AU192" i="1"/>
  <c r="AQ192" i="1"/>
  <c r="AN192" i="1"/>
  <c r="AK192" i="1"/>
  <c r="BI192" i="1" s="1"/>
  <c r="AH192" i="1"/>
  <c r="AE192" i="1"/>
  <c r="AB192" i="1"/>
  <c r="BF192" i="1" s="1"/>
  <c r="Y192" i="1"/>
  <c r="V192" i="1"/>
  <c r="S192" i="1"/>
  <c r="P192" i="1"/>
  <c r="M192" i="1"/>
  <c r="J192" i="1"/>
  <c r="BH191" i="1"/>
  <c r="BG191" i="1"/>
  <c r="BE191" i="1"/>
  <c r="BD191" i="1"/>
  <c r="BB191" i="1"/>
  <c r="BA191" i="1"/>
  <c r="AY191" i="1"/>
  <c r="AX191" i="1"/>
  <c r="AV191" i="1"/>
  <c r="AU191" i="1"/>
  <c r="AQ191" i="1"/>
  <c r="AN191" i="1"/>
  <c r="AK191" i="1"/>
  <c r="AH191" i="1"/>
  <c r="AE191" i="1"/>
  <c r="AB191" i="1"/>
  <c r="Y191" i="1"/>
  <c r="V191" i="1"/>
  <c r="S191" i="1"/>
  <c r="P191" i="1"/>
  <c r="M191" i="1"/>
  <c r="J191" i="1"/>
  <c r="BH190" i="1"/>
  <c r="BG190" i="1"/>
  <c r="BE190" i="1"/>
  <c r="BD190" i="1"/>
  <c r="BB190" i="1"/>
  <c r="BA190" i="1"/>
  <c r="AY190" i="1"/>
  <c r="AX190" i="1"/>
  <c r="AV190" i="1"/>
  <c r="AU190" i="1"/>
  <c r="BH189" i="1"/>
  <c r="BG189" i="1"/>
  <c r="BE189" i="1"/>
  <c r="BD189" i="1"/>
  <c r="BB189" i="1"/>
  <c r="BA189" i="1"/>
  <c r="AY189" i="1"/>
  <c r="AX189" i="1"/>
  <c r="AV189" i="1"/>
  <c r="AU189" i="1"/>
  <c r="AQ189" i="1"/>
  <c r="AN189" i="1"/>
  <c r="AK189" i="1"/>
  <c r="AH189" i="1"/>
  <c r="AE189" i="1"/>
  <c r="AB189" i="1"/>
  <c r="BF189" i="1" s="1"/>
  <c r="Y189" i="1"/>
  <c r="V189" i="1"/>
  <c r="S189" i="1"/>
  <c r="P189" i="1"/>
  <c r="M189" i="1"/>
  <c r="J189" i="1"/>
  <c r="BH188" i="1"/>
  <c r="BG188" i="1"/>
  <c r="BE188" i="1"/>
  <c r="BD188" i="1"/>
  <c r="BB188" i="1"/>
  <c r="BA188" i="1"/>
  <c r="AY188" i="1"/>
  <c r="AX188" i="1"/>
  <c r="AV188" i="1"/>
  <c r="AU188" i="1"/>
  <c r="BH187" i="1"/>
  <c r="BG187" i="1"/>
  <c r="BE187" i="1"/>
  <c r="BD187" i="1"/>
  <c r="BB187" i="1"/>
  <c r="BA187" i="1"/>
  <c r="AY187" i="1"/>
  <c r="AX187" i="1"/>
  <c r="AV187" i="1"/>
  <c r="AU187" i="1"/>
  <c r="AQ187" i="1"/>
  <c r="AN187" i="1"/>
  <c r="AK187" i="1"/>
  <c r="AH187" i="1"/>
  <c r="AE187" i="1"/>
  <c r="AB187" i="1"/>
  <c r="Y187" i="1"/>
  <c r="V187" i="1"/>
  <c r="S187" i="1"/>
  <c r="P187" i="1"/>
  <c r="M187" i="1"/>
  <c r="J187" i="1"/>
  <c r="BH186" i="1"/>
  <c r="BG186" i="1"/>
  <c r="BE186" i="1"/>
  <c r="BD186" i="1"/>
  <c r="BB186" i="1"/>
  <c r="BA186" i="1"/>
  <c r="AY186" i="1"/>
  <c r="AX186" i="1"/>
  <c r="AV186" i="1"/>
  <c r="AU186" i="1"/>
  <c r="BH185" i="1"/>
  <c r="BG185" i="1"/>
  <c r="BE185" i="1"/>
  <c r="BD185" i="1"/>
  <c r="BB185" i="1"/>
  <c r="BA185" i="1"/>
  <c r="AY185" i="1"/>
  <c r="AX185" i="1"/>
  <c r="AV185" i="1"/>
  <c r="AU185" i="1"/>
  <c r="AQ185" i="1"/>
  <c r="AN185" i="1"/>
  <c r="AK185" i="1"/>
  <c r="AH185" i="1"/>
  <c r="AE185" i="1"/>
  <c r="BF185" i="1" s="1"/>
  <c r="AB185" i="1"/>
  <c r="Y185" i="1"/>
  <c r="V185" i="1"/>
  <c r="S185" i="1"/>
  <c r="BC185" i="1" s="1"/>
  <c r="P185" i="1"/>
  <c r="M185" i="1"/>
  <c r="J185" i="1"/>
  <c r="BH184" i="1"/>
  <c r="BG184" i="1"/>
  <c r="BE184" i="1"/>
  <c r="BD184" i="1"/>
  <c r="BB184" i="1"/>
  <c r="BA184" i="1"/>
  <c r="AY184" i="1"/>
  <c r="AX184" i="1"/>
  <c r="AV184" i="1"/>
  <c r="AU184" i="1"/>
  <c r="AQ184" i="1"/>
  <c r="AN184" i="1"/>
  <c r="AK184" i="1"/>
  <c r="BI184" i="1" s="1"/>
  <c r="AH184" i="1"/>
  <c r="AE184" i="1"/>
  <c r="AB184" i="1"/>
  <c r="Y184" i="1"/>
  <c r="V184" i="1"/>
  <c r="S184" i="1"/>
  <c r="P184" i="1"/>
  <c r="M184" i="1"/>
  <c r="J184" i="1"/>
  <c r="BH183" i="1"/>
  <c r="BG183" i="1"/>
  <c r="BE183" i="1"/>
  <c r="BD183" i="1"/>
  <c r="BB183" i="1"/>
  <c r="BA183" i="1"/>
  <c r="AY183" i="1"/>
  <c r="AX183" i="1"/>
  <c r="AV183" i="1"/>
  <c r="AU183" i="1"/>
  <c r="AQ183" i="1"/>
  <c r="AN183" i="1"/>
  <c r="AK183" i="1"/>
  <c r="AH183" i="1"/>
  <c r="AE183" i="1"/>
  <c r="AB183" i="1"/>
  <c r="Y183" i="1"/>
  <c r="V183" i="1"/>
  <c r="S183" i="1"/>
  <c r="BC183" i="1" s="1"/>
  <c r="P183" i="1"/>
  <c r="M183" i="1"/>
  <c r="J183" i="1"/>
  <c r="BH181" i="1"/>
  <c r="BG181" i="1"/>
  <c r="BE181" i="1"/>
  <c r="BD181" i="1"/>
  <c r="BB181" i="1"/>
  <c r="BA181" i="1"/>
  <c r="AY181" i="1"/>
  <c r="AX181" i="1"/>
  <c r="AV181" i="1"/>
  <c r="AU181" i="1"/>
  <c r="AB181" i="1"/>
  <c r="BH180" i="1"/>
  <c r="BH179" i="1" s="1"/>
  <c r="BG180" i="1"/>
  <c r="BG179" i="1" s="1"/>
  <c r="BE180" i="1"/>
  <c r="BE179" i="1" s="1"/>
  <c r="BD180" i="1"/>
  <c r="BD179" i="1" s="1"/>
  <c r="BB180" i="1"/>
  <c r="BA180" i="1"/>
  <c r="BA179" i="1" s="1"/>
  <c r="AY180" i="1"/>
  <c r="AY179" i="1" s="1"/>
  <c r="AX180" i="1"/>
  <c r="AX179" i="1" s="1"/>
  <c r="AV180" i="1"/>
  <c r="AV179" i="1" s="1"/>
  <c r="AU180" i="1"/>
  <c r="AU179" i="1" s="1"/>
  <c r="AQ180" i="1"/>
  <c r="AQ179" i="1" s="1"/>
  <c r="AN180" i="1"/>
  <c r="AN181" i="1" s="1"/>
  <c r="AK180" i="1"/>
  <c r="BI180" i="1" s="1"/>
  <c r="BI179" i="1" s="1"/>
  <c r="AH180" i="1"/>
  <c r="AH179" i="1" s="1"/>
  <c r="AE180" i="1"/>
  <c r="AE181" i="1" s="1"/>
  <c r="AB180" i="1"/>
  <c r="AB179" i="1" s="1"/>
  <c r="Y180" i="1"/>
  <c r="Y179" i="1" s="1"/>
  <c r="V180" i="1"/>
  <c r="V181" i="1" s="1"/>
  <c r="S180" i="1"/>
  <c r="S181" i="1" s="1"/>
  <c r="P180" i="1"/>
  <c r="P179" i="1" s="1"/>
  <c r="M180" i="1"/>
  <c r="M179" i="1" s="1"/>
  <c r="J180" i="1"/>
  <c r="BB179" i="1"/>
  <c r="AP179" i="1"/>
  <c r="AM179" i="1"/>
  <c r="AJ179" i="1"/>
  <c r="AG179" i="1"/>
  <c r="AD179" i="1"/>
  <c r="AA179" i="1"/>
  <c r="X179" i="1"/>
  <c r="U179" i="1"/>
  <c r="R179" i="1"/>
  <c r="O179" i="1"/>
  <c r="L179" i="1"/>
  <c r="I179" i="1"/>
  <c r="AQ177" i="1"/>
  <c r="AN177" i="1"/>
  <c r="AK177" i="1"/>
  <c r="AH177" i="1"/>
  <c r="AE177" i="1"/>
  <c r="AB177" i="1"/>
  <c r="Y177" i="1"/>
  <c r="V177" i="1"/>
  <c r="S177" i="1"/>
  <c r="P177" i="1"/>
  <c r="M177" i="1"/>
  <c r="J177" i="1"/>
  <c r="AQ176" i="1"/>
  <c r="AN176" i="1"/>
  <c r="AK176" i="1"/>
  <c r="AH176" i="1"/>
  <c r="AE176" i="1"/>
  <c r="AB176" i="1"/>
  <c r="Y176" i="1"/>
  <c r="V176" i="1"/>
  <c r="S176" i="1"/>
  <c r="P176" i="1"/>
  <c r="M176" i="1"/>
  <c r="J176" i="1"/>
  <c r="AQ175" i="1"/>
  <c r="AN175" i="1"/>
  <c r="AK175" i="1"/>
  <c r="AH175" i="1"/>
  <c r="AE175" i="1"/>
  <c r="AB175" i="1"/>
  <c r="Y175" i="1"/>
  <c r="V175" i="1"/>
  <c r="S175" i="1"/>
  <c r="P175" i="1"/>
  <c r="M175" i="1"/>
  <c r="J175" i="1"/>
  <c r="AQ174" i="1"/>
  <c r="AN174" i="1"/>
  <c r="AK174" i="1"/>
  <c r="AH174" i="1"/>
  <c r="AE174" i="1"/>
  <c r="AB174" i="1"/>
  <c r="Y174" i="1"/>
  <c r="V174" i="1"/>
  <c r="S174" i="1"/>
  <c r="P174" i="1"/>
  <c r="M174" i="1"/>
  <c r="J174" i="1"/>
  <c r="AQ173" i="1"/>
  <c r="AN173" i="1"/>
  <c r="AK173" i="1"/>
  <c r="AH173" i="1"/>
  <c r="AE173" i="1"/>
  <c r="AB173" i="1"/>
  <c r="Y173" i="1"/>
  <c r="V173" i="1"/>
  <c r="S173" i="1"/>
  <c r="P173" i="1"/>
  <c r="M173" i="1"/>
  <c r="J173" i="1"/>
  <c r="AQ172" i="1"/>
  <c r="AN172" i="1"/>
  <c r="AK172" i="1"/>
  <c r="AH172" i="1"/>
  <c r="AE172" i="1"/>
  <c r="AB172" i="1"/>
  <c r="Y172" i="1"/>
  <c r="V172" i="1"/>
  <c r="S172" i="1"/>
  <c r="P172" i="1"/>
  <c r="M172" i="1"/>
  <c r="J172" i="1"/>
  <c r="AQ171" i="1"/>
  <c r="AN171" i="1"/>
  <c r="AK171" i="1"/>
  <c r="AH171" i="1"/>
  <c r="AE171" i="1"/>
  <c r="AB171" i="1"/>
  <c r="Y171" i="1"/>
  <c r="V171" i="1"/>
  <c r="S171" i="1"/>
  <c r="P171" i="1"/>
  <c r="M171" i="1"/>
  <c r="J171" i="1"/>
  <c r="AQ170" i="1"/>
  <c r="AN170" i="1"/>
  <c r="AK170" i="1"/>
  <c r="AH170" i="1"/>
  <c r="AE170" i="1"/>
  <c r="AB170" i="1"/>
  <c r="Y170" i="1"/>
  <c r="V170" i="1"/>
  <c r="S170" i="1"/>
  <c r="P170" i="1"/>
  <c r="M170" i="1"/>
  <c r="J170" i="1"/>
  <c r="AQ169" i="1"/>
  <c r="AN169" i="1"/>
  <c r="AK169" i="1"/>
  <c r="AH169" i="1"/>
  <c r="AE169" i="1"/>
  <c r="AB169" i="1"/>
  <c r="Y169" i="1"/>
  <c r="V169" i="1"/>
  <c r="S169" i="1"/>
  <c r="P169" i="1"/>
  <c r="M169" i="1"/>
  <c r="J169" i="1"/>
  <c r="AQ168" i="1"/>
  <c r="AN168" i="1"/>
  <c r="AK168" i="1"/>
  <c r="AH168" i="1"/>
  <c r="AE168" i="1"/>
  <c r="AB168" i="1"/>
  <c r="Y168" i="1"/>
  <c r="V168" i="1"/>
  <c r="S168" i="1"/>
  <c r="P168" i="1"/>
  <c r="M168" i="1"/>
  <c r="J168" i="1"/>
  <c r="AQ167" i="1"/>
  <c r="AN167" i="1"/>
  <c r="AK167" i="1"/>
  <c r="AH167" i="1"/>
  <c r="AE167" i="1"/>
  <c r="AB167" i="1"/>
  <c r="Y167" i="1"/>
  <c r="V167" i="1"/>
  <c r="S167" i="1"/>
  <c r="P167" i="1"/>
  <c r="M167" i="1"/>
  <c r="J167" i="1"/>
  <c r="AQ166" i="1"/>
  <c r="AN166" i="1"/>
  <c r="AK166" i="1"/>
  <c r="AH166" i="1"/>
  <c r="AE166" i="1"/>
  <c r="AB166" i="1"/>
  <c r="Y166" i="1"/>
  <c r="V166" i="1"/>
  <c r="S166" i="1"/>
  <c r="P166" i="1"/>
  <c r="M166" i="1"/>
  <c r="J166" i="1"/>
  <c r="AQ165" i="1"/>
  <c r="AN165" i="1"/>
  <c r="AK165" i="1"/>
  <c r="AH165" i="1"/>
  <c r="AE165" i="1"/>
  <c r="AB165" i="1"/>
  <c r="Y165" i="1"/>
  <c r="V165" i="1"/>
  <c r="S165" i="1"/>
  <c r="P165" i="1"/>
  <c r="M165" i="1"/>
  <c r="J165" i="1"/>
  <c r="AQ164" i="1"/>
  <c r="AN164" i="1"/>
  <c r="AK164" i="1"/>
  <c r="AH164" i="1"/>
  <c r="AE164" i="1"/>
  <c r="AB164" i="1"/>
  <c r="Y164" i="1"/>
  <c r="V164" i="1"/>
  <c r="S164" i="1"/>
  <c r="P164" i="1"/>
  <c r="M164" i="1"/>
  <c r="J164" i="1"/>
  <c r="AQ163" i="1"/>
  <c r="AN163" i="1"/>
  <c r="AK163" i="1"/>
  <c r="AH163" i="1"/>
  <c r="AE163" i="1"/>
  <c r="AB163" i="1"/>
  <c r="Y163" i="1"/>
  <c r="V163" i="1"/>
  <c r="S163" i="1"/>
  <c r="P163" i="1"/>
  <c r="M163" i="1"/>
  <c r="J163" i="1"/>
  <c r="AQ162" i="1"/>
  <c r="AN162" i="1"/>
  <c r="AK162" i="1"/>
  <c r="AH162" i="1"/>
  <c r="AE162" i="1"/>
  <c r="AB162" i="1"/>
  <c r="Y162" i="1"/>
  <c r="V162" i="1"/>
  <c r="S162" i="1"/>
  <c r="P162" i="1"/>
  <c r="M162" i="1"/>
  <c r="J162" i="1"/>
  <c r="AQ161" i="1"/>
  <c r="AN161" i="1"/>
  <c r="AK161" i="1"/>
  <c r="AH161" i="1"/>
  <c r="AE161" i="1"/>
  <c r="AB161" i="1"/>
  <c r="Y161" i="1"/>
  <c r="V161" i="1"/>
  <c r="S161" i="1"/>
  <c r="P161" i="1"/>
  <c r="M161" i="1"/>
  <c r="J161" i="1"/>
  <c r="AQ160" i="1"/>
  <c r="AN160" i="1"/>
  <c r="AK160" i="1"/>
  <c r="AH160" i="1"/>
  <c r="AE160" i="1"/>
  <c r="AB160" i="1"/>
  <c r="Y160" i="1"/>
  <c r="V160" i="1"/>
  <c r="S160" i="1"/>
  <c r="P160" i="1"/>
  <c r="M160" i="1"/>
  <c r="J160" i="1"/>
  <c r="AQ159" i="1"/>
  <c r="AN159" i="1"/>
  <c r="AK159" i="1"/>
  <c r="AH159" i="1"/>
  <c r="AE159" i="1"/>
  <c r="AB159" i="1"/>
  <c r="Y159" i="1"/>
  <c r="V159" i="1"/>
  <c r="S159" i="1"/>
  <c r="P159" i="1"/>
  <c r="M159" i="1"/>
  <c r="J159" i="1"/>
  <c r="AQ158" i="1"/>
  <c r="AN158" i="1"/>
  <c r="AK158" i="1"/>
  <c r="AH158" i="1"/>
  <c r="AE158" i="1"/>
  <c r="AB158" i="1"/>
  <c r="Y158" i="1"/>
  <c r="V158" i="1"/>
  <c r="S158" i="1"/>
  <c r="P158" i="1"/>
  <c r="M158" i="1"/>
  <c r="J158" i="1"/>
  <c r="AQ157" i="1"/>
  <c r="AN157" i="1"/>
  <c r="AK157" i="1"/>
  <c r="AH157" i="1"/>
  <c r="AE157" i="1"/>
  <c r="AB157" i="1"/>
  <c r="Y157" i="1"/>
  <c r="V157" i="1"/>
  <c r="S157" i="1"/>
  <c r="P157" i="1"/>
  <c r="M157" i="1"/>
  <c r="J157" i="1"/>
  <c r="AQ156" i="1"/>
  <c r="AN156" i="1"/>
  <c r="AK156" i="1"/>
  <c r="AH156" i="1"/>
  <c r="AE156" i="1"/>
  <c r="AB156" i="1"/>
  <c r="Y156" i="1"/>
  <c r="V156" i="1"/>
  <c r="S156" i="1"/>
  <c r="P156" i="1"/>
  <c r="M156" i="1"/>
  <c r="J156" i="1"/>
  <c r="AQ155" i="1"/>
  <c r="AN155" i="1"/>
  <c r="AK155" i="1"/>
  <c r="AH155" i="1"/>
  <c r="AE155" i="1"/>
  <c r="AB155" i="1"/>
  <c r="Y155" i="1"/>
  <c r="V155" i="1"/>
  <c r="S155" i="1"/>
  <c r="P155" i="1"/>
  <c r="M155" i="1"/>
  <c r="J155" i="1"/>
  <c r="AQ154" i="1"/>
  <c r="AN154" i="1"/>
  <c r="AK154" i="1"/>
  <c r="AH154" i="1"/>
  <c r="AE154" i="1"/>
  <c r="AB154" i="1"/>
  <c r="Y154" i="1"/>
  <c r="V154" i="1"/>
  <c r="S154" i="1"/>
  <c r="P154" i="1"/>
  <c r="M154" i="1"/>
  <c r="J154" i="1"/>
  <c r="AQ153" i="1"/>
  <c r="AN153" i="1"/>
  <c r="AK153" i="1"/>
  <c r="AH153" i="1"/>
  <c r="AE153" i="1"/>
  <c r="AB153" i="1"/>
  <c r="Y153" i="1"/>
  <c r="V153" i="1"/>
  <c r="S153" i="1"/>
  <c r="P153" i="1"/>
  <c r="M153" i="1"/>
  <c r="J153" i="1"/>
  <c r="AQ152" i="1"/>
  <c r="AN152" i="1"/>
  <c r="AK152" i="1"/>
  <c r="AH152" i="1"/>
  <c r="AE152" i="1"/>
  <c r="AB152" i="1"/>
  <c r="Y152" i="1"/>
  <c r="V152" i="1"/>
  <c r="S152" i="1"/>
  <c r="P152" i="1"/>
  <c r="M152" i="1"/>
  <c r="J152" i="1"/>
  <c r="AQ151" i="1"/>
  <c r="AN151" i="1"/>
  <c r="AK151" i="1"/>
  <c r="AH151" i="1"/>
  <c r="AE151" i="1"/>
  <c r="AB151" i="1"/>
  <c r="Y151" i="1"/>
  <c r="V151" i="1"/>
  <c r="S151" i="1"/>
  <c r="P151" i="1"/>
  <c r="M151" i="1"/>
  <c r="J151" i="1"/>
  <c r="AQ150" i="1"/>
  <c r="AN150" i="1"/>
  <c r="AK150" i="1"/>
  <c r="AH150" i="1"/>
  <c r="AE150" i="1"/>
  <c r="AB150" i="1"/>
  <c r="Y150" i="1"/>
  <c r="V150" i="1"/>
  <c r="S150" i="1"/>
  <c r="P150" i="1"/>
  <c r="M150" i="1"/>
  <c r="J150" i="1"/>
  <c r="AQ149" i="1"/>
  <c r="AN149" i="1"/>
  <c r="AK149" i="1"/>
  <c r="AH149" i="1"/>
  <c r="AE149" i="1"/>
  <c r="AB149" i="1"/>
  <c r="Y149" i="1"/>
  <c r="V149" i="1"/>
  <c r="S149" i="1"/>
  <c r="P149" i="1"/>
  <c r="M149" i="1"/>
  <c r="J149" i="1"/>
  <c r="AQ148" i="1"/>
  <c r="AN148" i="1"/>
  <c r="AK148" i="1"/>
  <c r="AH148" i="1"/>
  <c r="AE148" i="1"/>
  <c r="AB148" i="1"/>
  <c r="Y148" i="1"/>
  <c r="V148" i="1"/>
  <c r="S148" i="1"/>
  <c r="P148" i="1"/>
  <c r="M148" i="1"/>
  <c r="J148" i="1"/>
  <c r="AQ147" i="1"/>
  <c r="AN147" i="1"/>
  <c r="AK147" i="1"/>
  <c r="AH147" i="1"/>
  <c r="AE147" i="1"/>
  <c r="AB147" i="1"/>
  <c r="Y147" i="1"/>
  <c r="V147" i="1"/>
  <c r="S147" i="1"/>
  <c r="P147" i="1"/>
  <c r="M147" i="1"/>
  <c r="J147" i="1"/>
  <c r="AQ146" i="1"/>
  <c r="AN146" i="1"/>
  <c r="AK146" i="1"/>
  <c r="AH146" i="1"/>
  <c r="AE146" i="1"/>
  <c r="AB146" i="1"/>
  <c r="Y146" i="1"/>
  <c r="V146" i="1"/>
  <c r="S146" i="1"/>
  <c r="P146" i="1"/>
  <c r="M146" i="1"/>
  <c r="J146" i="1"/>
  <c r="AQ145" i="1"/>
  <c r="AN145" i="1"/>
  <c r="AK145" i="1"/>
  <c r="AH145" i="1"/>
  <c r="AE145" i="1"/>
  <c r="AB145" i="1"/>
  <c r="Y145" i="1"/>
  <c r="V145" i="1"/>
  <c r="S145" i="1"/>
  <c r="P145" i="1"/>
  <c r="M145" i="1"/>
  <c r="J145" i="1"/>
  <c r="AQ144" i="1"/>
  <c r="AN144" i="1"/>
  <c r="AK144" i="1"/>
  <c r="AH144" i="1"/>
  <c r="AE144" i="1"/>
  <c r="AB144" i="1"/>
  <c r="Y144" i="1"/>
  <c r="V144" i="1"/>
  <c r="S144" i="1"/>
  <c r="P144" i="1"/>
  <c r="M144" i="1"/>
  <c r="J144" i="1"/>
  <c r="AQ143" i="1"/>
  <c r="AN143" i="1"/>
  <c r="AK143" i="1"/>
  <c r="AH143" i="1"/>
  <c r="AE143" i="1"/>
  <c r="AB143" i="1"/>
  <c r="Y143" i="1"/>
  <c r="V143" i="1"/>
  <c r="S143" i="1"/>
  <c r="P143" i="1"/>
  <c r="M143" i="1"/>
  <c r="J143" i="1"/>
  <c r="AQ142" i="1"/>
  <c r="AN142" i="1"/>
  <c r="AK142" i="1"/>
  <c r="AH142" i="1"/>
  <c r="AE142" i="1"/>
  <c r="AB142" i="1"/>
  <c r="Y142" i="1"/>
  <c r="V142" i="1"/>
  <c r="S142" i="1"/>
  <c r="P142" i="1"/>
  <c r="M142" i="1"/>
  <c r="J142" i="1"/>
  <c r="AQ141" i="1"/>
  <c r="AN141" i="1"/>
  <c r="AK141" i="1"/>
  <c r="AH141" i="1"/>
  <c r="AE141" i="1"/>
  <c r="AB141" i="1"/>
  <c r="Y141" i="1"/>
  <c r="V141" i="1"/>
  <c r="S141" i="1"/>
  <c r="P141" i="1"/>
  <c r="M141" i="1"/>
  <c r="J141" i="1"/>
  <c r="AQ140" i="1"/>
  <c r="AN140" i="1"/>
  <c r="AK140" i="1"/>
  <c r="AH140" i="1"/>
  <c r="AE140" i="1"/>
  <c r="AB140" i="1"/>
  <c r="Y140" i="1"/>
  <c r="V140" i="1"/>
  <c r="S140" i="1"/>
  <c r="P140" i="1"/>
  <c r="M140" i="1"/>
  <c r="J140" i="1"/>
  <c r="AQ139" i="1"/>
  <c r="AN139" i="1"/>
  <c r="AK139" i="1"/>
  <c r="AH139" i="1"/>
  <c r="AE139" i="1"/>
  <c r="AB139" i="1"/>
  <c r="Y139" i="1"/>
  <c r="V139" i="1"/>
  <c r="S139" i="1"/>
  <c r="P139" i="1"/>
  <c r="M139" i="1"/>
  <c r="J139" i="1"/>
  <c r="AQ138" i="1"/>
  <c r="AN138" i="1"/>
  <c r="AK138" i="1"/>
  <c r="AH138" i="1"/>
  <c r="AE138" i="1"/>
  <c r="AB138" i="1"/>
  <c r="Y138" i="1"/>
  <c r="V138" i="1"/>
  <c r="S138" i="1"/>
  <c r="P138" i="1"/>
  <c r="M138" i="1"/>
  <c r="J138" i="1"/>
  <c r="AQ137" i="1"/>
  <c r="AN137" i="1"/>
  <c r="AK137" i="1"/>
  <c r="AH137" i="1"/>
  <c r="AE137" i="1"/>
  <c r="AB137" i="1"/>
  <c r="Y137" i="1"/>
  <c r="V137" i="1"/>
  <c r="S137" i="1"/>
  <c r="P137" i="1"/>
  <c r="M137" i="1"/>
  <c r="J137" i="1"/>
  <c r="AQ136" i="1"/>
  <c r="AN136" i="1"/>
  <c r="AK136" i="1"/>
  <c r="AH136" i="1"/>
  <c r="AE136" i="1"/>
  <c r="AB136" i="1"/>
  <c r="Y136" i="1"/>
  <c r="V136" i="1"/>
  <c r="S136" i="1"/>
  <c r="P136" i="1"/>
  <c r="M136" i="1"/>
  <c r="J136" i="1"/>
  <c r="AQ135" i="1"/>
  <c r="AN135" i="1"/>
  <c r="AK135" i="1"/>
  <c r="AH135" i="1"/>
  <c r="AE135" i="1"/>
  <c r="AB135" i="1"/>
  <c r="Y135" i="1"/>
  <c r="V135" i="1"/>
  <c r="S135" i="1"/>
  <c r="P135" i="1"/>
  <c r="M135" i="1"/>
  <c r="J135" i="1"/>
  <c r="AQ134" i="1"/>
  <c r="AN134" i="1"/>
  <c r="AK134" i="1"/>
  <c r="AH134" i="1"/>
  <c r="AE134" i="1"/>
  <c r="AB134" i="1"/>
  <c r="Y134" i="1"/>
  <c r="V134" i="1"/>
  <c r="S134" i="1"/>
  <c r="P134" i="1"/>
  <c r="M134" i="1"/>
  <c r="J134" i="1"/>
  <c r="AQ133" i="1"/>
  <c r="AN133" i="1"/>
  <c r="AK133" i="1"/>
  <c r="AH133" i="1"/>
  <c r="AE133" i="1"/>
  <c r="AB133" i="1"/>
  <c r="Y133" i="1"/>
  <c r="V133" i="1"/>
  <c r="S133" i="1"/>
  <c r="P133" i="1"/>
  <c r="M133" i="1"/>
  <c r="J133" i="1"/>
  <c r="AQ132" i="1"/>
  <c r="AN132" i="1"/>
  <c r="AK132" i="1"/>
  <c r="AH132" i="1"/>
  <c r="AE132" i="1"/>
  <c r="AB132" i="1"/>
  <c r="Y132" i="1"/>
  <c r="V132" i="1"/>
  <c r="S132" i="1"/>
  <c r="P132" i="1"/>
  <c r="M132" i="1"/>
  <c r="J132" i="1"/>
  <c r="AQ131" i="1"/>
  <c r="AN131" i="1"/>
  <c r="AK131" i="1"/>
  <c r="AH131" i="1"/>
  <c r="AE131" i="1"/>
  <c r="AB131" i="1"/>
  <c r="Y131" i="1"/>
  <c r="V131" i="1"/>
  <c r="S131" i="1"/>
  <c r="P131" i="1"/>
  <c r="M131" i="1"/>
  <c r="J131" i="1"/>
  <c r="AQ130" i="1"/>
  <c r="AN130" i="1"/>
  <c r="AK130" i="1"/>
  <c r="AH130" i="1"/>
  <c r="AE130" i="1"/>
  <c r="AB130" i="1"/>
  <c r="Y130" i="1"/>
  <c r="V130" i="1"/>
  <c r="S130" i="1"/>
  <c r="P130" i="1"/>
  <c r="M130" i="1"/>
  <c r="J130" i="1"/>
  <c r="AQ129" i="1"/>
  <c r="AN129" i="1"/>
  <c r="AK129" i="1"/>
  <c r="AH129" i="1"/>
  <c r="AE129" i="1"/>
  <c r="AB129" i="1"/>
  <c r="Y129" i="1"/>
  <c r="V129" i="1"/>
  <c r="S129" i="1"/>
  <c r="P129" i="1"/>
  <c r="M129" i="1"/>
  <c r="J129" i="1"/>
  <c r="AQ128" i="1"/>
  <c r="AN128" i="1"/>
  <c r="AK128" i="1"/>
  <c r="AH128" i="1"/>
  <c r="AE128" i="1"/>
  <c r="AB128" i="1"/>
  <c r="Y128" i="1"/>
  <c r="V128" i="1"/>
  <c r="S128" i="1"/>
  <c r="P128" i="1"/>
  <c r="M128" i="1"/>
  <c r="J128" i="1"/>
  <c r="AQ127" i="1"/>
  <c r="AN127" i="1"/>
  <c r="AK127" i="1"/>
  <c r="AH127" i="1"/>
  <c r="AE127" i="1"/>
  <c r="AB127" i="1"/>
  <c r="Y127" i="1"/>
  <c r="V127" i="1"/>
  <c r="S127" i="1"/>
  <c r="P127" i="1"/>
  <c r="M127" i="1"/>
  <c r="J127" i="1"/>
  <c r="AQ126" i="1"/>
  <c r="AN126" i="1"/>
  <c r="AK126" i="1"/>
  <c r="AH126" i="1"/>
  <c r="AE126" i="1"/>
  <c r="AB126" i="1"/>
  <c r="Y126" i="1"/>
  <c r="V126" i="1"/>
  <c r="S126" i="1"/>
  <c r="P126" i="1"/>
  <c r="M126" i="1"/>
  <c r="J126" i="1"/>
  <c r="AQ125" i="1"/>
  <c r="AN125" i="1"/>
  <c r="AK125" i="1"/>
  <c r="AH125" i="1"/>
  <c r="AE125" i="1"/>
  <c r="AB125" i="1"/>
  <c r="Y125" i="1"/>
  <c r="V125" i="1"/>
  <c r="S125" i="1"/>
  <c r="P125" i="1"/>
  <c r="M125" i="1"/>
  <c r="J125" i="1"/>
  <c r="AQ124" i="1"/>
  <c r="AN124" i="1"/>
  <c r="AK124" i="1"/>
  <c r="AH124" i="1"/>
  <c r="AE124" i="1"/>
  <c r="AB124" i="1"/>
  <c r="Y124" i="1"/>
  <c r="V124" i="1"/>
  <c r="S124" i="1"/>
  <c r="P124" i="1"/>
  <c r="M124" i="1"/>
  <c r="J124" i="1"/>
  <c r="AQ123" i="1"/>
  <c r="AN123" i="1"/>
  <c r="AK123" i="1"/>
  <c r="AH123" i="1"/>
  <c r="AE123" i="1"/>
  <c r="AB123" i="1"/>
  <c r="Y123" i="1"/>
  <c r="V123" i="1"/>
  <c r="S123" i="1"/>
  <c r="P123" i="1"/>
  <c r="M123" i="1"/>
  <c r="J123" i="1"/>
  <c r="AQ122" i="1"/>
  <c r="AN122" i="1"/>
  <c r="AK122" i="1"/>
  <c r="AH122" i="1"/>
  <c r="AE122" i="1"/>
  <c r="AB122" i="1"/>
  <c r="Y122" i="1"/>
  <c r="V122" i="1"/>
  <c r="S122" i="1"/>
  <c r="P122" i="1"/>
  <c r="M122" i="1"/>
  <c r="J122" i="1"/>
  <c r="AQ121" i="1"/>
  <c r="AN121" i="1"/>
  <c r="AK121" i="1"/>
  <c r="AH121" i="1"/>
  <c r="AE121" i="1"/>
  <c r="AB121" i="1"/>
  <c r="Y121" i="1"/>
  <c r="V121" i="1"/>
  <c r="S121" i="1"/>
  <c r="P121" i="1"/>
  <c r="M121" i="1"/>
  <c r="J121" i="1"/>
  <c r="BH120" i="1"/>
  <c r="BG120" i="1"/>
  <c r="BE120" i="1"/>
  <c r="BD120" i="1"/>
  <c r="BB120" i="1"/>
  <c r="BA120" i="1"/>
  <c r="AY120" i="1"/>
  <c r="AX120" i="1"/>
  <c r="AV120" i="1"/>
  <c r="AU120" i="1"/>
  <c r="AQ120" i="1"/>
  <c r="AN120" i="1"/>
  <c r="AK120" i="1"/>
  <c r="AH120" i="1"/>
  <c r="AE120" i="1"/>
  <c r="AB120" i="1"/>
  <c r="BF120" i="1" s="1"/>
  <c r="Y120" i="1"/>
  <c r="V120" i="1"/>
  <c r="S120" i="1"/>
  <c r="P120" i="1"/>
  <c r="M120" i="1"/>
  <c r="J120" i="1"/>
  <c r="BH119" i="1"/>
  <c r="BG119" i="1"/>
  <c r="BE119" i="1"/>
  <c r="BD119" i="1"/>
  <c r="BB119" i="1"/>
  <c r="BA119" i="1"/>
  <c r="AY119" i="1"/>
  <c r="AX119" i="1"/>
  <c r="AV119" i="1"/>
  <c r="AU119" i="1"/>
  <c r="BH118" i="1"/>
  <c r="BG118" i="1"/>
  <c r="BE118" i="1"/>
  <c r="BD118" i="1"/>
  <c r="BB118" i="1"/>
  <c r="BA118" i="1"/>
  <c r="AY118" i="1"/>
  <c r="AX118" i="1"/>
  <c r="AV118" i="1"/>
  <c r="AU118" i="1"/>
  <c r="BI118" i="1"/>
  <c r="BH117" i="1"/>
  <c r="BG117" i="1"/>
  <c r="BE117" i="1"/>
  <c r="BD117" i="1"/>
  <c r="BB117" i="1"/>
  <c r="BA117" i="1"/>
  <c r="AY117" i="1"/>
  <c r="AX117" i="1"/>
  <c r="AV117" i="1"/>
  <c r="AU117" i="1"/>
  <c r="BH116" i="1"/>
  <c r="BG116" i="1"/>
  <c r="BE116" i="1"/>
  <c r="BD116" i="1"/>
  <c r="BB116" i="1"/>
  <c r="BA116" i="1"/>
  <c r="AY116" i="1"/>
  <c r="AX116" i="1"/>
  <c r="AV116" i="1"/>
  <c r="AU116" i="1"/>
  <c r="BH115" i="1"/>
  <c r="BG115" i="1"/>
  <c r="BE115" i="1"/>
  <c r="BD115" i="1"/>
  <c r="BB115" i="1"/>
  <c r="BA115" i="1"/>
  <c r="AY115" i="1"/>
  <c r="AX115" i="1"/>
  <c r="AV115" i="1"/>
  <c r="AU115" i="1"/>
  <c r="BH114" i="1"/>
  <c r="BG114" i="1"/>
  <c r="BE114" i="1"/>
  <c r="BD114" i="1"/>
  <c r="BB114" i="1"/>
  <c r="BA114" i="1"/>
  <c r="AY114" i="1"/>
  <c r="AX114" i="1"/>
  <c r="AV114" i="1"/>
  <c r="AU114" i="1"/>
  <c r="BH113" i="1"/>
  <c r="BG113" i="1"/>
  <c r="BE113" i="1"/>
  <c r="BD113" i="1"/>
  <c r="BB113" i="1"/>
  <c r="BA113" i="1"/>
  <c r="AY113" i="1"/>
  <c r="AX113" i="1"/>
  <c r="AV113" i="1"/>
  <c r="AU113" i="1"/>
  <c r="BF113" i="1"/>
  <c r="BH112" i="1"/>
  <c r="BG112" i="1"/>
  <c r="BE112" i="1"/>
  <c r="BD112" i="1"/>
  <c r="BB112" i="1"/>
  <c r="BA112" i="1"/>
  <c r="AY112" i="1"/>
  <c r="AX112" i="1"/>
  <c r="AV112" i="1"/>
  <c r="AU112" i="1"/>
  <c r="BH111" i="1"/>
  <c r="BG111" i="1"/>
  <c r="BE111" i="1"/>
  <c r="BD111" i="1"/>
  <c r="BB111" i="1"/>
  <c r="BA111" i="1"/>
  <c r="AY111" i="1"/>
  <c r="AX111" i="1"/>
  <c r="AV111" i="1"/>
  <c r="AU111" i="1"/>
  <c r="BH110" i="1"/>
  <c r="BG110" i="1"/>
  <c r="BE110" i="1"/>
  <c r="BD110" i="1"/>
  <c r="BB110" i="1"/>
  <c r="BA110" i="1"/>
  <c r="AY110" i="1"/>
  <c r="AX110" i="1"/>
  <c r="AV110" i="1"/>
  <c r="AU110" i="1"/>
  <c r="BH109" i="1"/>
  <c r="BG109" i="1"/>
  <c r="BE109" i="1"/>
  <c r="BD109" i="1"/>
  <c r="BB109" i="1"/>
  <c r="BA109" i="1"/>
  <c r="AY109" i="1"/>
  <c r="AX109" i="1"/>
  <c r="AV109" i="1"/>
  <c r="AU109" i="1"/>
  <c r="BH108" i="1"/>
  <c r="BG108" i="1"/>
  <c r="BE108" i="1"/>
  <c r="BD108" i="1"/>
  <c r="BB108" i="1"/>
  <c r="BA108" i="1"/>
  <c r="AY108" i="1"/>
  <c r="AX108" i="1"/>
  <c r="AV108" i="1"/>
  <c r="AU108" i="1"/>
  <c r="BH98" i="1"/>
  <c r="BG98" i="1"/>
  <c r="BE98" i="1"/>
  <c r="BD98" i="1"/>
  <c r="BB98" i="1"/>
  <c r="BA98" i="1"/>
  <c r="AY98" i="1"/>
  <c r="AX98" i="1"/>
  <c r="AV98" i="1"/>
  <c r="AU98" i="1"/>
  <c r="AQ98" i="1"/>
  <c r="AN98" i="1"/>
  <c r="AK98" i="1"/>
  <c r="AH98" i="1"/>
  <c r="AE98" i="1"/>
  <c r="AB98" i="1"/>
  <c r="BF98" i="1" s="1"/>
  <c r="Y98" i="1"/>
  <c r="V98" i="1"/>
  <c r="S98" i="1"/>
  <c r="P98" i="1"/>
  <c r="M98" i="1"/>
  <c r="J98" i="1"/>
  <c r="BH97" i="1"/>
  <c r="BG97" i="1"/>
  <c r="BE97" i="1"/>
  <c r="BD97" i="1"/>
  <c r="BB97" i="1"/>
  <c r="BA97" i="1"/>
  <c r="AY97" i="1"/>
  <c r="AX97" i="1"/>
  <c r="AV97" i="1"/>
  <c r="AU97" i="1"/>
  <c r="AQ97" i="1"/>
  <c r="AN97" i="1"/>
  <c r="AK97" i="1"/>
  <c r="AH97" i="1"/>
  <c r="AE97" i="1"/>
  <c r="AB97" i="1"/>
  <c r="Y97" i="1"/>
  <c r="V97" i="1"/>
  <c r="S97" i="1"/>
  <c r="P97" i="1"/>
  <c r="M97" i="1"/>
  <c r="J97" i="1"/>
  <c r="BH96" i="1"/>
  <c r="BG96" i="1"/>
  <c r="BE96" i="1"/>
  <c r="BD96" i="1"/>
  <c r="BB96" i="1"/>
  <c r="BA96" i="1"/>
  <c r="AY96" i="1"/>
  <c r="AX96" i="1"/>
  <c r="AV96" i="1"/>
  <c r="AU96" i="1"/>
  <c r="AQ96" i="1"/>
  <c r="AN96" i="1"/>
  <c r="AK96" i="1"/>
  <c r="AH96" i="1"/>
  <c r="AE96" i="1"/>
  <c r="AB96" i="1"/>
  <c r="Y96" i="1"/>
  <c r="V96" i="1"/>
  <c r="S96" i="1"/>
  <c r="P96" i="1"/>
  <c r="M96" i="1"/>
  <c r="J96" i="1"/>
  <c r="BH95" i="1"/>
  <c r="BG95" i="1"/>
  <c r="BE95" i="1"/>
  <c r="BE94" i="1" s="1"/>
  <c r="BD95" i="1"/>
  <c r="BD94" i="1" s="1"/>
  <c r="BB95" i="1"/>
  <c r="BA95" i="1"/>
  <c r="AY95" i="1"/>
  <c r="AX95" i="1"/>
  <c r="AV95" i="1"/>
  <c r="AU95" i="1"/>
  <c r="AQ95" i="1"/>
  <c r="AN95" i="1"/>
  <c r="AK95" i="1"/>
  <c r="AH95" i="1"/>
  <c r="AE95" i="1"/>
  <c r="AB95" i="1"/>
  <c r="BF95" i="1" s="1"/>
  <c r="Y95" i="1"/>
  <c r="Y94" i="1" s="1"/>
  <c r="V95" i="1"/>
  <c r="S95" i="1"/>
  <c r="P95" i="1"/>
  <c r="M95" i="1"/>
  <c r="J95" i="1"/>
  <c r="BH90" i="1"/>
  <c r="BG90" i="1"/>
  <c r="BG88" i="1" s="1"/>
  <c r="BE90" i="1"/>
  <c r="BD90" i="1"/>
  <c r="BB90" i="1"/>
  <c r="BA90" i="1"/>
  <c r="AY90" i="1"/>
  <c r="AX90" i="1"/>
  <c r="AV90" i="1"/>
  <c r="AU90" i="1"/>
  <c r="AQ90" i="1"/>
  <c r="AN90" i="1"/>
  <c r="AK90" i="1"/>
  <c r="AH90" i="1"/>
  <c r="AE90" i="1"/>
  <c r="AE88" i="1" s="1"/>
  <c r="AB90" i="1"/>
  <c r="Y90" i="1"/>
  <c r="V90" i="1"/>
  <c r="S90" i="1"/>
  <c r="P90" i="1"/>
  <c r="M90" i="1"/>
  <c r="M88" i="1" s="1"/>
  <c r="J90" i="1"/>
  <c r="J88" i="1" s="1"/>
  <c r="BH89" i="1"/>
  <c r="BH88" i="1" s="1"/>
  <c r="BG89" i="1"/>
  <c r="BE89" i="1"/>
  <c r="BD89" i="1"/>
  <c r="BD88" i="1" s="1"/>
  <c r="BB89" i="1"/>
  <c r="BB88" i="1" s="1"/>
  <c r="BA89" i="1"/>
  <c r="AY89" i="1"/>
  <c r="AX89" i="1"/>
  <c r="AX88" i="1" s="1"/>
  <c r="AV89" i="1"/>
  <c r="AU89" i="1"/>
  <c r="AQ89" i="1"/>
  <c r="AN89" i="1"/>
  <c r="AN88" i="1" s="1"/>
  <c r="AK89" i="1"/>
  <c r="AH89" i="1"/>
  <c r="AE89" i="1"/>
  <c r="AB89" i="1"/>
  <c r="Y89" i="1"/>
  <c r="Y88" i="1" s="1"/>
  <c r="V89" i="1"/>
  <c r="S89" i="1"/>
  <c r="P89" i="1"/>
  <c r="P88" i="1" s="1"/>
  <c r="M89" i="1"/>
  <c r="J89" i="1"/>
  <c r="BH84" i="1"/>
  <c r="BG84" i="1"/>
  <c r="BE84" i="1"/>
  <c r="BD84" i="1"/>
  <c r="BB84" i="1"/>
  <c r="BA84" i="1"/>
  <c r="BA82" i="1" s="1"/>
  <c r="AY84" i="1"/>
  <c r="AX84" i="1"/>
  <c r="AV84" i="1"/>
  <c r="AU84" i="1"/>
  <c r="AQ84" i="1"/>
  <c r="AN84" i="1"/>
  <c r="AK84" i="1"/>
  <c r="AH84" i="1"/>
  <c r="AE84" i="1"/>
  <c r="AB84" i="1"/>
  <c r="Y84" i="1"/>
  <c r="V84" i="1"/>
  <c r="S84" i="1"/>
  <c r="P84" i="1"/>
  <c r="M84" i="1"/>
  <c r="J84" i="1"/>
  <c r="BH83" i="1"/>
  <c r="BG83" i="1"/>
  <c r="BE83" i="1"/>
  <c r="BD83" i="1"/>
  <c r="BD82" i="1" s="1"/>
  <c r="BB83" i="1"/>
  <c r="BA83" i="1"/>
  <c r="AY83" i="1"/>
  <c r="AY82" i="1" s="1"/>
  <c r="AX83" i="1"/>
  <c r="AV83" i="1"/>
  <c r="AU83" i="1"/>
  <c r="AQ83" i="1"/>
  <c r="AN83" i="1"/>
  <c r="AK83" i="1"/>
  <c r="AH83" i="1"/>
  <c r="AE83" i="1"/>
  <c r="AB83" i="1"/>
  <c r="Y83" i="1"/>
  <c r="V83" i="1"/>
  <c r="S83" i="1"/>
  <c r="P83" i="1"/>
  <c r="P82" i="1" s="1"/>
  <c r="M83" i="1"/>
  <c r="J83" i="1"/>
  <c r="V82" i="1"/>
  <c r="S82" i="1"/>
  <c r="BH81" i="1"/>
  <c r="BG81" i="1"/>
  <c r="BE81" i="1"/>
  <c r="BD81" i="1"/>
  <c r="BB81" i="1"/>
  <c r="BA81" i="1"/>
  <c r="AY81" i="1"/>
  <c r="AX81" i="1"/>
  <c r="AV81" i="1"/>
  <c r="AU81" i="1"/>
  <c r="AQ81" i="1"/>
  <c r="AN81" i="1"/>
  <c r="AK81" i="1"/>
  <c r="AH81" i="1"/>
  <c r="AE81" i="1"/>
  <c r="AB81" i="1"/>
  <c r="Y81" i="1"/>
  <c r="V81" i="1"/>
  <c r="S81" i="1"/>
  <c r="P81" i="1"/>
  <c r="M81" i="1"/>
  <c r="J81" i="1"/>
  <c r="BH80" i="1"/>
  <c r="BG80" i="1"/>
  <c r="BE80" i="1"/>
  <c r="BD80" i="1"/>
  <c r="BB80" i="1"/>
  <c r="BA80" i="1"/>
  <c r="AY80" i="1"/>
  <c r="AX80" i="1"/>
  <c r="AV80" i="1"/>
  <c r="AU80" i="1"/>
  <c r="AQ80" i="1"/>
  <c r="AN80" i="1"/>
  <c r="AK80" i="1"/>
  <c r="AH80" i="1"/>
  <c r="AE80" i="1"/>
  <c r="AB80" i="1"/>
  <c r="Y80" i="1"/>
  <c r="V80" i="1"/>
  <c r="S80" i="1"/>
  <c r="P80" i="1"/>
  <c r="M80" i="1"/>
  <c r="J80" i="1"/>
  <c r="BH79" i="1"/>
  <c r="BG79" i="1"/>
  <c r="BE79" i="1"/>
  <c r="BD79" i="1"/>
  <c r="BB79" i="1"/>
  <c r="BA79" i="1"/>
  <c r="AY79" i="1"/>
  <c r="AX79" i="1"/>
  <c r="AV79" i="1"/>
  <c r="AU79" i="1"/>
  <c r="AQ79" i="1"/>
  <c r="AN79" i="1"/>
  <c r="AK79" i="1"/>
  <c r="AH79" i="1"/>
  <c r="AE79" i="1"/>
  <c r="AB79" i="1"/>
  <c r="Y79" i="1"/>
  <c r="V79" i="1"/>
  <c r="S79" i="1"/>
  <c r="P79" i="1"/>
  <c r="M79" i="1"/>
  <c r="J79" i="1"/>
  <c r="BH78" i="1"/>
  <c r="BG78" i="1"/>
  <c r="BE78" i="1"/>
  <c r="BD78" i="1"/>
  <c r="BB78" i="1"/>
  <c r="BA78" i="1"/>
  <c r="AY78" i="1"/>
  <c r="AY77" i="1" s="1"/>
  <c r="AX78" i="1"/>
  <c r="AV78" i="1"/>
  <c r="AU78" i="1"/>
  <c r="AQ78" i="1"/>
  <c r="AN78" i="1"/>
  <c r="AK78" i="1"/>
  <c r="AH78" i="1"/>
  <c r="AE78" i="1"/>
  <c r="AB78" i="1"/>
  <c r="Y78" i="1"/>
  <c r="Y77" i="1" s="1"/>
  <c r="V78" i="1"/>
  <c r="S78" i="1"/>
  <c r="P78" i="1"/>
  <c r="M78" i="1"/>
  <c r="J78" i="1"/>
  <c r="BH76" i="1"/>
  <c r="BG76" i="1"/>
  <c r="BE76" i="1"/>
  <c r="BD76" i="1"/>
  <c r="BB76" i="1"/>
  <c r="BA76" i="1"/>
  <c r="AY76" i="1"/>
  <c r="AX76" i="1"/>
  <c r="AV76" i="1"/>
  <c r="AU76" i="1"/>
  <c r="AQ76" i="1"/>
  <c r="AN76" i="1"/>
  <c r="AK76" i="1"/>
  <c r="AH76" i="1"/>
  <c r="AE76" i="1"/>
  <c r="AB76" i="1"/>
  <c r="Y76" i="1"/>
  <c r="V76" i="1"/>
  <c r="S76" i="1"/>
  <c r="P76" i="1"/>
  <c r="M76" i="1"/>
  <c r="J76" i="1"/>
  <c r="BH75" i="1"/>
  <c r="BG75" i="1"/>
  <c r="BE75" i="1"/>
  <c r="BD75" i="1"/>
  <c r="BB75" i="1"/>
  <c r="BB73" i="1" s="1"/>
  <c r="BA75" i="1"/>
  <c r="AY75" i="1"/>
  <c r="AX75" i="1"/>
  <c r="AV75" i="1"/>
  <c r="AU75" i="1"/>
  <c r="AQ75" i="1"/>
  <c r="AN75" i="1"/>
  <c r="AK75" i="1"/>
  <c r="AH75" i="1"/>
  <c r="AE75" i="1"/>
  <c r="AB75" i="1"/>
  <c r="Y75" i="1"/>
  <c r="V75" i="1"/>
  <c r="V73" i="1" s="1"/>
  <c r="S75" i="1"/>
  <c r="P75" i="1"/>
  <c r="M75" i="1"/>
  <c r="J75" i="1"/>
  <c r="BH74" i="1"/>
  <c r="BG74" i="1"/>
  <c r="BE74" i="1"/>
  <c r="BD74" i="1"/>
  <c r="BB74" i="1"/>
  <c r="BA74" i="1"/>
  <c r="AY74" i="1"/>
  <c r="AX74" i="1"/>
  <c r="AV74" i="1"/>
  <c r="AU74" i="1"/>
  <c r="AQ74" i="1"/>
  <c r="AN74" i="1"/>
  <c r="AK74" i="1"/>
  <c r="BI74" i="1" s="1"/>
  <c r="AH74" i="1"/>
  <c r="AE74" i="1"/>
  <c r="AB74" i="1"/>
  <c r="Y74" i="1"/>
  <c r="V74" i="1"/>
  <c r="S74" i="1"/>
  <c r="P74" i="1"/>
  <c r="M74" i="1"/>
  <c r="J74" i="1"/>
  <c r="BH72" i="1"/>
  <c r="BG72" i="1"/>
  <c r="BE72" i="1"/>
  <c r="BD72" i="1"/>
  <c r="BB72" i="1"/>
  <c r="BA72" i="1"/>
  <c r="AY72" i="1"/>
  <c r="AX72" i="1"/>
  <c r="AV72" i="1"/>
  <c r="AU72" i="1"/>
  <c r="AQ72" i="1"/>
  <c r="AN72" i="1"/>
  <c r="AK72" i="1"/>
  <c r="AH72" i="1"/>
  <c r="AE72" i="1"/>
  <c r="AB72" i="1"/>
  <c r="BF72" i="1" s="1"/>
  <c r="Y72" i="1"/>
  <c r="V72" i="1"/>
  <c r="S72" i="1"/>
  <c r="P72" i="1"/>
  <c r="M72" i="1"/>
  <c r="J72" i="1"/>
  <c r="BH71" i="1"/>
  <c r="BG71" i="1"/>
  <c r="BG70" i="1" s="1"/>
  <c r="BE71" i="1"/>
  <c r="BD71" i="1"/>
  <c r="BB71" i="1"/>
  <c r="BA71" i="1"/>
  <c r="AY71" i="1"/>
  <c r="AX71" i="1"/>
  <c r="AV71" i="1"/>
  <c r="AU71" i="1"/>
  <c r="AQ71" i="1"/>
  <c r="AN71" i="1"/>
  <c r="AK71" i="1"/>
  <c r="AH71" i="1"/>
  <c r="AH70" i="1" s="1"/>
  <c r="AE71" i="1"/>
  <c r="AB71" i="1"/>
  <c r="Y71" i="1"/>
  <c r="V71" i="1"/>
  <c r="S71" i="1"/>
  <c r="P71" i="1"/>
  <c r="M71" i="1"/>
  <c r="J71" i="1"/>
  <c r="BB70" i="1"/>
  <c r="BH69" i="1"/>
  <c r="BG69" i="1"/>
  <c r="BE69" i="1"/>
  <c r="BD69" i="1"/>
  <c r="BB69" i="1"/>
  <c r="BA69" i="1"/>
  <c r="AY69" i="1"/>
  <c r="AX69" i="1"/>
  <c r="AV69" i="1"/>
  <c r="AU69" i="1"/>
  <c r="AQ69" i="1"/>
  <c r="AN69" i="1"/>
  <c r="AK69" i="1"/>
  <c r="AH69" i="1"/>
  <c r="AE69" i="1"/>
  <c r="AB69" i="1"/>
  <c r="Y69" i="1"/>
  <c r="V69" i="1"/>
  <c r="S69" i="1"/>
  <c r="P69" i="1"/>
  <c r="M69" i="1"/>
  <c r="J69" i="1"/>
  <c r="BH68" i="1"/>
  <c r="BG68" i="1"/>
  <c r="BE68" i="1"/>
  <c r="BD68" i="1"/>
  <c r="BB68" i="1"/>
  <c r="BA68" i="1"/>
  <c r="AY68" i="1"/>
  <c r="AX68" i="1"/>
  <c r="AV68" i="1"/>
  <c r="AU68" i="1"/>
  <c r="AQ68" i="1"/>
  <c r="AN68" i="1"/>
  <c r="AK68" i="1"/>
  <c r="AH68" i="1"/>
  <c r="AE68" i="1"/>
  <c r="AB68" i="1"/>
  <c r="Y68" i="1"/>
  <c r="V68" i="1"/>
  <c r="S68" i="1"/>
  <c r="P68" i="1"/>
  <c r="M68" i="1"/>
  <c r="J68" i="1"/>
  <c r="BH67" i="1"/>
  <c r="BG67" i="1"/>
  <c r="BE67" i="1"/>
  <c r="BD67" i="1"/>
  <c r="BB67" i="1"/>
  <c r="BA67" i="1"/>
  <c r="AY67" i="1"/>
  <c r="AX67" i="1"/>
  <c r="AV67" i="1"/>
  <c r="AU67" i="1"/>
  <c r="AQ67" i="1"/>
  <c r="AN67" i="1"/>
  <c r="AK67" i="1"/>
  <c r="AH67" i="1"/>
  <c r="AE67" i="1"/>
  <c r="AB67" i="1"/>
  <c r="Y67" i="1"/>
  <c r="V67" i="1"/>
  <c r="S67" i="1"/>
  <c r="P67" i="1"/>
  <c r="M67" i="1"/>
  <c r="J67" i="1"/>
  <c r="BH66" i="1"/>
  <c r="BG66" i="1"/>
  <c r="BG65" i="1" s="1"/>
  <c r="BE66" i="1"/>
  <c r="BD66" i="1"/>
  <c r="BB66" i="1"/>
  <c r="BA66" i="1"/>
  <c r="AY66" i="1"/>
  <c r="AX66" i="1"/>
  <c r="AV66" i="1"/>
  <c r="AU66" i="1"/>
  <c r="AQ66" i="1"/>
  <c r="AN66" i="1"/>
  <c r="AK66" i="1"/>
  <c r="AH66" i="1"/>
  <c r="AE66" i="1"/>
  <c r="AB66" i="1"/>
  <c r="Y66" i="1"/>
  <c r="V66" i="1"/>
  <c r="S66" i="1"/>
  <c r="P66" i="1"/>
  <c r="M66" i="1"/>
  <c r="J66" i="1"/>
  <c r="BH64" i="1"/>
  <c r="BG64" i="1"/>
  <c r="BE64" i="1"/>
  <c r="BD64" i="1"/>
  <c r="BB64" i="1"/>
  <c r="BA64" i="1"/>
  <c r="AY64" i="1"/>
  <c r="AX64" i="1"/>
  <c r="AV64" i="1"/>
  <c r="AU64" i="1"/>
  <c r="AQ64" i="1"/>
  <c r="AN64" i="1"/>
  <c r="AK64" i="1"/>
  <c r="AH64" i="1"/>
  <c r="AE64" i="1"/>
  <c r="AB64" i="1"/>
  <c r="Y64" i="1"/>
  <c r="V64" i="1"/>
  <c r="S64" i="1"/>
  <c r="P64" i="1"/>
  <c r="M64" i="1"/>
  <c r="J64" i="1"/>
  <c r="BH63" i="1"/>
  <c r="BG63" i="1"/>
  <c r="BE63" i="1"/>
  <c r="BD63" i="1"/>
  <c r="BB63" i="1"/>
  <c r="BA63" i="1"/>
  <c r="AY63" i="1"/>
  <c r="AX63" i="1"/>
  <c r="AV63" i="1"/>
  <c r="AU63" i="1"/>
  <c r="AQ63" i="1"/>
  <c r="AN63" i="1"/>
  <c r="AK63" i="1"/>
  <c r="AH63" i="1"/>
  <c r="AE63" i="1"/>
  <c r="AB63" i="1"/>
  <c r="Y63" i="1"/>
  <c r="V63" i="1"/>
  <c r="S63" i="1"/>
  <c r="P63" i="1"/>
  <c r="P60" i="1" s="1"/>
  <c r="M63" i="1"/>
  <c r="J63" i="1"/>
  <c r="BH62" i="1"/>
  <c r="BG62" i="1"/>
  <c r="BE62" i="1"/>
  <c r="BD62" i="1"/>
  <c r="BB62" i="1"/>
  <c r="BA62" i="1"/>
  <c r="AY62" i="1"/>
  <c r="AX62" i="1"/>
  <c r="AV62" i="1"/>
  <c r="AU62" i="1"/>
  <c r="AQ62" i="1"/>
  <c r="AN62" i="1"/>
  <c r="AK62" i="1"/>
  <c r="AH62" i="1"/>
  <c r="AE62" i="1"/>
  <c r="AB62" i="1"/>
  <c r="Y62" i="1"/>
  <c r="V62" i="1"/>
  <c r="S62" i="1"/>
  <c r="P62" i="1"/>
  <c r="M62" i="1"/>
  <c r="J62" i="1"/>
  <c r="BH61" i="1"/>
  <c r="BG61" i="1"/>
  <c r="BE61" i="1"/>
  <c r="BD61" i="1"/>
  <c r="BB61" i="1"/>
  <c r="BA61" i="1"/>
  <c r="AY61" i="1"/>
  <c r="AX61" i="1"/>
  <c r="AV61" i="1"/>
  <c r="AU61" i="1"/>
  <c r="AQ61" i="1"/>
  <c r="AN61" i="1"/>
  <c r="AK61" i="1"/>
  <c r="AH61" i="1"/>
  <c r="AE61" i="1"/>
  <c r="AB61" i="1"/>
  <c r="Y61" i="1"/>
  <c r="V61" i="1"/>
  <c r="S61" i="1"/>
  <c r="P61" i="1"/>
  <c r="M61" i="1"/>
  <c r="J61" i="1"/>
  <c r="BH59" i="1"/>
  <c r="BG59" i="1"/>
  <c r="BE59" i="1"/>
  <c r="BD59" i="1"/>
  <c r="BB59" i="1"/>
  <c r="BA59" i="1"/>
  <c r="AY59" i="1"/>
  <c r="AX59" i="1"/>
  <c r="AV59" i="1"/>
  <c r="AU59" i="1"/>
  <c r="AQ59" i="1"/>
  <c r="AN59" i="1"/>
  <c r="AK59" i="1"/>
  <c r="AH59" i="1"/>
  <c r="AE59" i="1"/>
  <c r="AB59" i="1"/>
  <c r="Y59" i="1"/>
  <c r="V59" i="1"/>
  <c r="S59" i="1"/>
  <c r="P59" i="1"/>
  <c r="M59" i="1"/>
  <c r="J59" i="1"/>
  <c r="BH58" i="1"/>
  <c r="BG58" i="1"/>
  <c r="BE58" i="1"/>
  <c r="BD58" i="1"/>
  <c r="BB58" i="1"/>
  <c r="BA58" i="1"/>
  <c r="AY58" i="1"/>
  <c r="AX58" i="1"/>
  <c r="AV58" i="1"/>
  <c r="AU58" i="1"/>
  <c r="AQ58" i="1"/>
  <c r="AN58" i="1"/>
  <c r="AK58" i="1"/>
  <c r="AH58" i="1"/>
  <c r="AE58" i="1"/>
  <c r="AB58" i="1"/>
  <c r="Y58" i="1"/>
  <c r="V58" i="1"/>
  <c r="S58" i="1"/>
  <c r="P58" i="1"/>
  <c r="M58" i="1"/>
  <c r="J58" i="1"/>
  <c r="J57" i="1"/>
  <c r="AP56" i="1"/>
  <c r="AM56" i="1"/>
  <c r="AJ56" i="1"/>
  <c r="AG56" i="1"/>
  <c r="AD56" i="1"/>
  <c r="AA56" i="1"/>
  <c r="X56" i="1"/>
  <c r="U56" i="1"/>
  <c r="R56" i="1"/>
  <c r="O56" i="1"/>
  <c r="L56" i="1"/>
  <c r="I56" i="1"/>
  <c r="BH52" i="1"/>
  <c r="BG52" i="1"/>
  <c r="BE52" i="1"/>
  <c r="BD52" i="1"/>
  <c r="BB52" i="1"/>
  <c r="BA52" i="1"/>
  <c r="AY52" i="1"/>
  <c r="AX52" i="1"/>
  <c r="AV52" i="1"/>
  <c r="AU52" i="1"/>
  <c r="AQ52" i="1"/>
  <c r="AN52" i="1"/>
  <c r="AK52" i="1"/>
  <c r="AH52" i="1"/>
  <c r="AE52" i="1"/>
  <c r="AB52" i="1"/>
  <c r="Y52" i="1"/>
  <c r="V52" i="1"/>
  <c r="S52" i="1"/>
  <c r="P52" i="1"/>
  <c r="M52" i="1"/>
  <c r="J52" i="1"/>
  <c r="BH51" i="1"/>
  <c r="BG51" i="1"/>
  <c r="BE51" i="1"/>
  <c r="BD51" i="1"/>
  <c r="BB51" i="1"/>
  <c r="BA51" i="1"/>
  <c r="AY51" i="1"/>
  <c r="AX51" i="1"/>
  <c r="AV51" i="1"/>
  <c r="AU51" i="1"/>
  <c r="AQ51" i="1"/>
  <c r="AN51" i="1"/>
  <c r="AK51" i="1"/>
  <c r="AH51" i="1"/>
  <c r="AE51" i="1"/>
  <c r="AB51" i="1"/>
  <c r="Y51" i="1"/>
  <c r="V51" i="1"/>
  <c r="S51" i="1"/>
  <c r="P51" i="1"/>
  <c r="M51" i="1"/>
  <c r="J51" i="1"/>
  <c r="BH50" i="1"/>
  <c r="BG50" i="1"/>
  <c r="BE50" i="1"/>
  <c r="BD50" i="1"/>
  <c r="BB50" i="1"/>
  <c r="BA50" i="1"/>
  <c r="AY50" i="1"/>
  <c r="AX50" i="1"/>
  <c r="AV50" i="1"/>
  <c r="AU50" i="1"/>
  <c r="AQ50" i="1"/>
  <c r="AN50" i="1"/>
  <c r="AN49" i="1" s="1"/>
  <c r="AK50" i="1"/>
  <c r="AH50" i="1"/>
  <c r="AE50" i="1"/>
  <c r="AB50" i="1"/>
  <c r="Y50" i="1"/>
  <c r="V50" i="1"/>
  <c r="S50" i="1"/>
  <c r="P50" i="1"/>
  <c r="M50" i="1"/>
  <c r="J50" i="1"/>
  <c r="BH48" i="1"/>
  <c r="BG48" i="1"/>
  <c r="BE48" i="1"/>
  <c r="BD48" i="1"/>
  <c r="BB48" i="1"/>
  <c r="BA48" i="1"/>
  <c r="AY48" i="1"/>
  <c r="AX48" i="1"/>
  <c r="AV48" i="1"/>
  <c r="AU48" i="1"/>
  <c r="AQ48" i="1"/>
  <c r="AN48" i="1"/>
  <c r="AK48" i="1"/>
  <c r="AH48" i="1"/>
  <c r="AE48" i="1"/>
  <c r="AB48" i="1"/>
  <c r="Y48" i="1"/>
  <c r="V48" i="1"/>
  <c r="S48" i="1"/>
  <c r="P48" i="1"/>
  <c r="M48" i="1"/>
  <c r="J48" i="1"/>
  <c r="AZ48" i="1" s="1"/>
  <c r="BH47" i="1"/>
  <c r="BG47" i="1"/>
  <c r="BE47" i="1"/>
  <c r="BD47" i="1"/>
  <c r="BB47" i="1"/>
  <c r="BA47" i="1"/>
  <c r="AY47" i="1"/>
  <c r="AX47" i="1"/>
  <c r="AV47" i="1"/>
  <c r="AU47" i="1"/>
  <c r="AQ47" i="1"/>
  <c r="AN47" i="1"/>
  <c r="AK47" i="1"/>
  <c r="AH47" i="1"/>
  <c r="AE47" i="1"/>
  <c r="AB47" i="1"/>
  <c r="Y47" i="1"/>
  <c r="V47" i="1"/>
  <c r="S47" i="1"/>
  <c r="P47" i="1"/>
  <c r="M47" i="1"/>
  <c r="J47" i="1"/>
  <c r="BH46" i="1"/>
  <c r="BG46" i="1"/>
  <c r="BE46" i="1"/>
  <c r="BD46" i="1"/>
  <c r="BB46" i="1"/>
  <c r="BA46" i="1"/>
  <c r="AY46" i="1"/>
  <c r="AX46" i="1"/>
  <c r="AV46" i="1"/>
  <c r="AU46" i="1"/>
  <c r="AQ46" i="1"/>
  <c r="AN46" i="1"/>
  <c r="AK46" i="1"/>
  <c r="AH46" i="1"/>
  <c r="AE46" i="1"/>
  <c r="AB46" i="1"/>
  <c r="Y46" i="1"/>
  <c r="V46" i="1"/>
  <c r="S46" i="1"/>
  <c r="P46" i="1"/>
  <c r="M46" i="1"/>
  <c r="J46" i="1"/>
  <c r="BH45" i="1"/>
  <c r="BG45" i="1"/>
  <c r="BE45" i="1"/>
  <c r="BD45" i="1"/>
  <c r="BB45" i="1"/>
  <c r="BA45" i="1"/>
  <c r="AY45" i="1"/>
  <c r="AX45" i="1"/>
  <c r="AV45" i="1"/>
  <c r="AU45" i="1"/>
  <c r="AQ45" i="1"/>
  <c r="AN45" i="1"/>
  <c r="AK45" i="1"/>
  <c r="AH45" i="1"/>
  <c r="AE45" i="1"/>
  <c r="AB45" i="1"/>
  <c r="Y45" i="1"/>
  <c r="V45" i="1"/>
  <c r="S45" i="1"/>
  <c r="P45" i="1"/>
  <c r="M45" i="1"/>
  <c r="J45" i="1"/>
  <c r="BH44" i="1"/>
  <c r="BG44" i="1"/>
  <c r="BE44" i="1"/>
  <c r="BD44" i="1"/>
  <c r="BB44" i="1"/>
  <c r="BA44" i="1"/>
  <c r="AY44" i="1"/>
  <c r="AX44" i="1"/>
  <c r="AV44" i="1"/>
  <c r="AU44" i="1"/>
  <c r="AQ44" i="1"/>
  <c r="AN44" i="1"/>
  <c r="AK44" i="1"/>
  <c r="AH44" i="1"/>
  <c r="AE44" i="1"/>
  <c r="AB44" i="1"/>
  <c r="Y44" i="1"/>
  <c r="V44" i="1"/>
  <c r="S44" i="1"/>
  <c r="P44" i="1"/>
  <c r="M44" i="1"/>
  <c r="J44" i="1"/>
  <c r="AP42" i="1"/>
  <c r="AM42" i="1"/>
  <c r="AJ42" i="1"/>
  <c r="AG42" i="1"/>
  <c r="AD42" i="1"/>
  <c r="AA42" i="1"/>
  <c r="X42" i="1"/>
  <c r="U42" i="1"/>
  <c r="R42" i="1"/>
  <c r="O42" i="1"/>
  <c r="L42" i="1"/>
  <c r="I42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BH37" i="1"/>
  <c r="BG37" i="1"/>
  <c r="BE37" i="1"/>
  <c r="BD37" i="1"/>
  <c r="BB37" i="1"/>
  <c r="BA37" i="1"/>
  <c r="AY37" i="1"/>
  <c r="AX37" i="1"/>
  <c r="AV37" i="1"/>
  <c r="AU37" i="1"/>
  <c r="AQ37" i="1"/>
  <c r="AN37" i="1"/>
  <c r="AK37" i="1"/>
  <c r="AH37" i="1"/>
  <c r="AE37" i="1"/>
  <c r="AB37" i="1"/>
  <c r="Y37" i="1"/>
  <c r="Y34" i="1" s="1"/>
  <c r="V37" i="1"/>
  <c r="S37" i="1"/>
  <c r="P37" i="1"/>
  <c r="M37" i="1"/>
  <c r="J37" i="1"/>
  <c r="AZ37" i="1" s="1"/>
  <c r="BH36" i="1"/>
  <c r="BG36" i="1"/>
  <c r="BE36" i="1"/>
  <c r="BD36" i="1"/>
  <c r="BB36" i="1"/>
  <c r="BA36" i="1"/>
  <c r="AY36" i="1"/>
  <c r="AX36" i="1"/>
  <c r="AV36" i="1"/>
  <c r="AU36" i="1"/>
  <c r="AN36" i="1"/>
  <c r="AK36" i="1"/>
  <c r="AH36" i="1"/>
  <c r="AB36" i="1"/>
  <c r="Y36" i="1"/>
  <c r="S36" i="1"/>
  <c r="BH35" i="1"/>
  <c r="BG35" i="1"/>
  <c r="BG34" i="1" s="1"/>
  <c r="BE35" i="1"/>
  <c r="BD35" i="1"/>
  <c r="BB35" i="1"/>
  <c r="BA35" i="1"/>
  <c r="AY35" i="1"/>
  <c r="AX35" i="1"/>
  <c r="AV35" i="1"/>
  <c r="AU35" i="1"/>
  <c r="AN35" i="1"/>
  <c r="AB35" i="1"/>
  <c r="Y35" i="1"/>
  <c r="V35" i="1"/>
  <c r="J35" i="1"/>
  <c r="BH30" i="1"/>
  <c r="BG30" i="1"/>
  <c r="BE30" i="1"/>
  <c r="BD30" i="1"/>
  <c r="BB30" i="1"/>
  <c r="BA30" i="1"/>
  <c r="AY30" i="1"/>
  <c r="AX30" i="1"/>
  <c r="AV30" i="1"/>
  <c r="AU30" i="1"/>
  <c r="BH29" i="1"/>
  <c r="BG29" i="1"/>
  <c r="BE29" i="1"/>
  <c r="BD29" i="1"/>
  <c r="BB29" i="1"/>
  <c r="BA29" i="1"/>
  <c r="AY29" i="1"/>
  <c r="AX29" i="1"/>
  <c r="AV29" i="1"/>
  <c r="AU29" i="1"/>
  <c r="BH28" i="1"/>
  <c r="BG28" i="1"/>
  <c r="BE28" i="1"/>
  <c r="BD28" i="1"/>
  <c r="BB28" i="1"/>
  <c r="BA28" i="1"/>
  <c r="AY28" i="1"/>
  <c r="AX28" i="1"/>
  <c r="AV28" i="1"/>
  <c r="AU28" i="1"/>
  <c r="BH24" i="1"/>
  <c r="BG24" i="1"/>
  <c r="BE24" i="1"/>
  <c r="BD24" i="1"/>
  <c r="BB24" i="1"/>
  <c r="BA24" i="1"/>
  <c r="AY24" i="1"/>
  <c r="AX24" i="1"/>
  <c r="AV24" i="1"/>
  <c r="AU24" i="1"/>
  <c r="AQ24" i="1"/>
  <c r="AN24" i="1"/>
  <c r="AK24" i="1"/>
  <c r="BI24" i="1" s="1"/>
  <c r="AH24" i="1"/>
  <c r="AE24" i="1"/>
  <c r="AB24" i="1"/>
  <c r="BF24" i="1" s="1"/>
  <c r="Y24" i="1"/>
  <c r="V24" i="1"/>
  <c r="S24" i="1"/>
  <c r="P24" i="1"/>
  <c r="M24" i="1"/>
  <c r="J24" i="1"/>
  <c r="BH23" i="1"/>
  <c r="BG23" i="1"/>
  <c r="BE23" i="1"/>
  <c r="BD23" i="1"/>
  <c r="BB23" i="1"/>
  <c r="BA23" i="1"/>
  <c r="AY23" i="1"/>
  <c r="AX23" i="1"/>
  <c r="AV23" i="1"/>
  <c r="AU23" i="1"/>
  <c r="AQ23" i="1"/>
  <c r="AN23" i="1"/>
  <c r="AK23" i="1"/>
  <c r="AH23" i="1"/>
  <c r="AE23" i="1"/>
  <c r="AB23" i="1"/>
  <c r="Y23" i="1"/>
  <c r="V23" i="1"/>
  <c r="S23" i="1"/>
  <c r="P23" i="1"/>
  <c r="M23" i="1"/>
  <c r="J23" i="1"/>
  <c r="BH22" i="1"/>
  <c r="BH21" i="1" s="1"/>
  <c r="BG22" i="1"/>
  <c r="BG21" i="1" s="1"/>
  <c r="BE22" i="1"/>
  <c r="BD22" i="1"/>
  <c r="BB22" i="1"/>
  <c r="BA22" i="1"/>
  <c r="AY22" i="1"/>
  <c r="AX22" i="1"/>
  <c r="AX21" i="1" s="1"/>
  <c r="AV22" i="1"/>
  <c r="AV21" i="1" s="1"/>
  <c r="AU22" i="1"/>
  <c r="AU21" i="1" s="1"/>
  <c r="AQ22" i="1"/>
  <c r="AN22" i="1"/>
  <c r="AK22" i="1"/>
  <c r="AK21" i="1" s="1"/>
  <c r="AH22" i="1"/>
  <c r="AH21" i="1" s="1"/>
  <c r="AE22" i="1"/>
  <c r="AB22" i="1"/>
  <c r="Y22" i="1"/>
  <c r="V22" i="1"/>
  <c r="S22" i="1"/>
  <c r="P22" i="1"/>
  <c r="M22" i="1"/>
  <c r="J22" i="1"/>
  <c r="BE21" i="1"/>
  <c r="BD21" i="1"/>
  <c r="AP20" i="1"/>
  <c r="AM20" i="1"/>
  <c r="AJ20" i="1"/>
  <c r="AG20" i="1"/>
  <c r="AD20" i="1"/>
  <c r="AA20" i="1"/>
  <c r="X20" i="1"/>
  <c r="U20" i="1"/>
  <c r="R20" i="1"/>
  <c r="O20" i="1"/>
  <c r="L20" i="1"/>
  <c r="I20" i="1"/>
  <c r="BH19" i="1"/>
  <c r="BG19" i="1"/>
  <c r="BE19" i="1"/>
  <c r="BD19" i="1"/>
  <c r="BB19" i="1"/>
  <c r="BA19" i="1"/>
  <c r="AY19" i="1"/>
  <c r="AX19" i="1"/>
  <c r="AV19" i="1"/>
  <c r="AU19" i="1"/>
  <c r="AQ19" i="1"/>
  <c r="R16" i="3" s="1"/>
  <c r="AN19" i="1"/>
  <c r="Q16" i="3" s="1"/>
  <c r="AK19" i="1"/>
  <c r="P16" i="3" s="1"/>
  <c r="AH19" i="1"/>
  <c r="N16" i="3" s="1"/>
  <c r="AE19" i="1"/>
  <c r="M16" i="3" s="1"/>
  <c r="AB19" i="1"/>
  <c r="L16" i="3" s="1"/>
  <c r="Y19" i="1"/>
  <c r="J16" i="3" s="1"/>
  <c r="V19" i="1"/>
  <c r="I16" i="3" s="1"/>
  <c r="S19" i="1"/>
  <c r="H16" i="3" s="1"/>
  <c r="P19" i="1"/>
  <c r="M19" i="1"/>
  <c r="E16" i="3" s="1"/>
  <c r="J19" i="1"/>
  <c r="D16" i="3" s="1"/>
  <c r="BH18" i="1"/>
  <c r="BG18" i="1"/>
  <c r="BE18" i="1"/>
  <c r="BD18" i="1"/>
  <c r="BC18" i="1"/>
  <c r="BB18" i="1"/>
  <c r="BA18" i="1"/>
  <c r="AY18" i="1"/>
  <c r="AX18" i="1"/>
  <c r="AV18" i="1"/>
  <c r="AU18" i="1"/>
  <c r="AQ18" i="1"/>
  <c r="AN18" i="1"/>
  <c r="Q15" i="3" s="1"/>
  <c r="AK18" i="1"/>
  <c r="P15" i="3" s="1"/>
  <c r="AH18" i="1"/>
  <c r="AE18" i="1"/>
  <c r="AB18" i="1"/>
  <c r="BF18" i="1" s="1"/>
  <c r="Y18" i="1"/>
  <c r="V18" i="1"/>
  <c r="I15" i="3" s="1"/>
  <c r="S18" i="1"/>
  <c r="P18" i="1"/>
  <c r="M18" i="1"/>
  <c r="J18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BH16" i="1"/>
  <c r="BG16" i="1"/>
  <c r="BE16" i="1"/>
  <c r="BD16" i="1"/>
  <c r="BB16" i="1"/>
  <c r="BA16" i="1"/>
  <c r="AY16" i="1"/>
  <c r="AX16" i="1"/>
  <c r="AV16" i="1"/>
  <c r="AU16" i="1"/>
  <c r="AQ16" i="1"/>
  <c r="R6" i="3" s="1"/>
  <c r="AN16" i="1"/>
  <c r="Q6" i="3" s="1"/>
  <c r="AK16" i="1"/>
  <c r="P6" i="3" s="1"/>
  <c r="AH16" i="1"/>
  <c r="N6" i="3" s="1"/>
  <c r="AE16" i="1"/>
  <c r="M6" i="3" s="1"/>
  <c r="AB16" i="1"/>
  <c r="L6" i="3" s="1"/>
  <c r="Y16" i="1"/>
  <c r="J6" i="3" s="1"/>
  <c r="V16" i="1"/>
  <c r="I6" i="3" s="1"/>
  <c r="S16" i="1"/>
  <c r="H6" i="3" s="1"/>
  <c r="K6" i="3" s="1"/>
  <c r="P16" i="1"/>
  <c r="F6" i="3" s="1"/>
  <c r="M16" i="1"/>
  <c r="E6" i="3" s="1"/>
  <c r="J16" i="1"/>
  <c r="D6" i="3" s="1"/>
  <c r="BH15" i="1"/>
  <c r="BG15" i="1"/>
  <c r="BE15" i="1"/>
  <c r="BD15" i="1"/>
  <c r="BB15" i="1"/>
  <c r="BA15" i="1"/>
  <c r="AY15" i="1"/>
  <c r="AX15" i="1"/>
  <c r="AV15" i="1"/>
  <c r="AU15" i="1"/>
  <c r="AQ15" i="1"/>
  <c r="R5" i="3" s="1"/>
  <c r="AN15" i="1"/>
  <c r="Q5" i="3" s="1"/>
  <c r="AK15" i="1"/>
  <c r="P5" i="3" s="1"/>
  <c r="AH15" i="1"/>
  <c r="N5" i="3" s="1"/>
  <c r="AE15" i="1"/>
  <c r="M5" i="3" s="1"/>
  <c r="AB15" i="1"/>
  <c r="L5" i="3" s="1"/>
  <c r="Y15" i="1"/>
  <c r="J5" i="3" s="1"/>
  <c r="V15" i="1"/>
  <c r="I5" i="3" s="1"/>
  <c r="S15" i="1"/>
  <c r="H5" i="3" s="1"/>
  <c r="P15" i="1"/>
  <c r="F5" i="3" s="1"/>
  <c r="M15" i="1"/>
  <c r="E5" i="3" s="1"/>
  <c r="J15" i="1"/>
  <c r="D5" i="3" s="1"/>
  <c r="BH14" i="1"/>
  <c r="BG14" i="1"/>
  <c r="BE14" i="1"/>
  <c r="BD14" i="1"/>
  <c r="BB14" i="1"/>
  <c r="BB20" i="1" s="1"/>
  <c r="BA14" i="1"/>
  <c r="AY14" i="1"/>
  <c r="AX14" i="1"/>
  <c r="AV14" i="1"/>
  <c r="AV20" i="1" s="1"/>
  <c r="AU14" i="1"/>
  <c r="AQ14" i="1"/>
  <c r="R10" i="3" s="1"/>
  <c r="AN14" i="1"/>
  <c r="Q10" i="3" s="1"/>
  <c r="AK14" i="1"/>
  <c r="P10" i="3" s="1"/>
  <c r="AH14" i="1"/>
  <c r="N10" i="3" s="1"/>
  <c r="AE14" i="1"/>
  <c r="M10" i="3" s="1"/>
  <c r="AB14" i="1"/>
  <c r="L10" i="3" s="1"/>
  <c r="O10" i="3" s="1"/>
  <c r="Y14" i="1"/>
  <c r="J10" i="3" s="1"/>
  <c r="V14" i="1"/>
  <c r="I10" i="3" s="1"/>
  <c r="S14" i="1"/>
  <c r="P14" i="1"/>
  <c r="M14" i="1"/>
  <c r="M20" i="1" s="1"/>
  <c r="J14" i="1"/>
  <c r="BH13" i="1"/>
  <c r="BG13" i="1"/>
  <c r="BE13" i="1"/>
  <c r="BD13" i="1"/>
  <c r="BB13" i="1"/>
  <c r="BA13" i="1"/>
  <c r="AY13" i="1"/>
  <c r="AX13" i="1"/>
  <c r="AV13" i="1"/>
  <c r="AU13" i="1"/>
  <c r="AQ13" i="1"/>
  <c r="R11" i="3" s="1"/>
  <c r="AN13" i="1"/>
  <c r="Q11" i="3" s="1"/>
  <c r="AK13" i="1"/>
  <c r="P11" i="3" s="1"/>
  <c r="AH13" i="1"/>
  <c r="N11" i="3" s="1"/>
  <c r="AE13" i="1"/>
  <c r="M11" i="3" s="1"/>
  <c r="AB13" i="1"/>
  <c r="L11" i="3" s="1"/>
  <c r="Y13" i="1"/>
  <c r="J11" i="3" s="1"/>
  <c r="V13" i="1"/>
  <c r="I11" i="3" s="1"/>
  <c r="S13" i="1"/>
  <c r="H11" i="3" s="1"/>
  <c r="P13" i="1"/>
  <c r="F11" i="3" s="1"/>
  <c r="M13" i="1"/>
  <c r="E11" i="3" s="1"/>
  <c r="J13" i="1"/>
  <c r="D11" i="3" s="1"/>
  <c r="BH12" i="1"/>
  <c r="BG12" i="1"/>
  <c r="BE12" i="1"/>
  <c r="BD12" i="1"/>
  <c r="BB12" i="1"/>
  <c r="BA12" i="1"/>
  <c r="AY12" i="1"/>
  <c r="AX12" i="1"/>
  <c r="AV12" i="1"/>
  <c r="AU12" i="1"/>
  <c r="AQ12" i="1"/>
  <c r="R8" i="3" s="1"/>
  <c r="AN12" i="1"/>
  <c r="Q8" i="3" s="1"/>
  <c r="AK12" i="1"/>
  <c r="P8" i="3" s="1"/>
  <c r="AH12" i="1"/>
  <c r="N8" i="3" s="1"/>
  <c r="AE12" i="1"/>
  <c r="M8" i="3" s="1"/>
  <c r="AB12" i="1"/>
  <c r="L8" i="3" s="1"/>
  <c r="Y12" i="1"/>
  <c r="J8" i="3" s="1"/>
  <c r="V12" i="1"/>
  <c r="I8" i="3" s="1"/>
  <c r="S12" i="1"/>
  <c r="H8" i="3" s="1"/>
  <c r="P12" i="1"/>
  <c r="F8" i="3" s="1"/>
  <c r="M12" i="1"/>
  <c r="E8" i="3" s="1"/>
  <c r="J12" i="1"/>
  <c r="D8" i="3" s="1"/>
  <c r="BH11" i="1"/>
  <c r="BG11" i="1"/>
  <c r="BE11" i="1"/>
  <c r="BD11" i="1"/>
  <c r="BB11" i="1"/>
  <c r="BA11" i="1"/>
  <c r="AY11" i="1"/>
  <c r="AX11" i="1"/>
  <c r="AV11" i="1"/>
  <c r="AU11" i="1"/>
  <c r="AQ11" i="1"/>
  <c r="R14" i="3" s="1"/>
  <c r="AN11" i="1"/>
  <c r="Q14" i="3" s="1"/>
  <c r="AK11" i="1"/>
  <c r="P14" i="3" s="1"/>
  <c r="AH11" i="1"/>
  <c r="N14" i="3" s="1"/>
  <c r="AE11" i="1"/>
  <c r="M14" i="3" s="1"/>
  <c r="AB11" i="1"/>
  <c r="L14" i="3" s="1"/>
  <c r="Y11" i="1"/>
  <c r="J14" i="3" s="1"/>
  <c r="V11" i="1"/>
  <c r="I14" i="3" s="1"/>
  <c r="S11" i="1"/>
  <c r="H14" i="3" s="1"/>
  <c r="P11" i="1"/>
  <c r="F14" i="3" s="1"/>
  <c r="M11" i="1"/>
  <c r="E14" i="3" s="1"/>
  <c r="J11" i="1"/>
  <c r="D14" i="3" s="1"/>
  <c r="BH10" i="1"/>
  <c r="BG10" i="1"/>
  <c r="BE10" i="1"/>
  <c r="BD10" i="1"/>
  <c r="BB10" i="1"/>
  <c r="BA10" i="1"/>
  <c r="AY10" i="1"/>
  <c r="AX10" i="1"/>
  <c r="AV10" i="1"/>
  <c r="AU10" i="1"/>
  <c r="AQ10" i="1"/>
  <c r="R13" i="3" s="1"/>
  <c r="AN10" i="1"/>
  <c r="Q13" i="3" s="1"/>
  <c r="AK10" i="1"/>
  <c r="P13" i="3" s="1"/>
  <c r="AH10" i="1"/>
  <c r="N13" i="3" s="1"/>
  <c r="AE10" i="1"/>
  <c r="M13" i="3" s="1"/>
  <c r="AB10" i="1"/>
  <c r="L13" i="3" s="1"/>
  <c r="Y10" i="1"/>
  <c r="J13" i="3" s="1"/>
  <c r="V10" i="1"/>
  <c r="I13" i="3" s="1"/>
  <c r="S10" i="1"/>
  <c r="H13" i="3" s="1"/>
  <c r="K13" i="3" s="1"/>
  <c r="P10" i="1"/>
  <c r="F13" i="3" s="1"/>
  <c r="M10" i="1"/>
  <c r="E13" i="3" s="1"/>
  <c r="J10" i="1"/>
  <c r="D13" i="3" s="1"/>
  <c r="BH9" i="1"/>
  <c r="BG9" i="1"/>
  <c r="BE9" i="1"/>
  <c r="BD9" i="1"/>
  <c r="BB9" i="1"/>
  <c r="BA9" i="1"/>
  <c r="AY9" i="1"/>
  <c r="AX9" i="1"/>
  <c r="AV9" i="1"/>
  <c r="AU9" i="1"/>
  <c r="AQ9" i="1"/>
  <c r="R12" i="3" s="1"/>
  <c r="AN9" i="1"/>
  <c r="Q12" i="3" s="1"/>
  <c r="AK9" i="1"/>
  <c r="P12" i="3" s="1"/>
  <c r="AH9" i="1"/>
  <c r="N12" i="3" s="1"/>
  <c r="AE9" i="1"/>
  <c r="M12" i="3" s="1"/>
  <c r="AB9" i="1"/>
  <c r="L12" i="3" s="1"/>
  <c r="Y9" i="1"/>
  <c r="J12" i="3" s="1"/>
  <c r="V9" i="1"/>
  <c r="I12" i="3" s="1"/>
  <c r="S9" i="1"/>
  <c r="H12" i="3" s="1"/>
  <c r="P9" i="1"/>
  <c r="F12" i="3" s="1"/>
  <c r="M9" i="1"/>
  <c r="E12" i="3" s="1"/>
  <c r="J9" i="1"/>
  <c r="D12" i="3" s="1"/>
  <c r="AQ5" i="1"/>
  <c r="AN5" i="1"/>
  <c r="AK5" i="1"/>
  <c r="AH5" i="1"/>
  <c r="AE5" i="1"/>
  <c r="AB5" i="1"/>
  <c r="Y5" i="1"/>
  <c r="V5" i="1"/>
  <c r="S5" i="1"/>
  <c r="J5" i="1"/>
  <c r="J107" i="1" l="1"/>
  <c r="BI109" i="1"/>
  <c r="AY107" i="1"/>
  <c r="BF118" i="1"/>
  <c r="AB12" i="2"/>
  <c r="Y12" i="2"/>
  <c r="Z12" i="2"/>
  <c r="X12" i="2"/>
  <c r="AC12" i="2"/>
  <c r="V12" i="2"/>
  <c r="W12" i="2"/>
  <c r="AA12" i="2"/>
  <c r="BF19" i="1"/>
  <c r="P21" i="1"/>
  <c r="V21" i="1"/>
  <c r="BG27" i="1"/>
  <c r="AH57" i="1"/>
  <c r="BF114" i="1"/>
  <c r="AQ199" i="1"/>
  <c r="AK205" i="1"/>
  <c r="BG205" i="1"/>
  <c r="AK216" i="1"/>
  <c r="BD255" i="1"/>
  <c r="AH266" i="1"/>
  <c r="AH294" i="1"/>
  <c r="BG294" i="1"/>
  <c r="AW318" i="1"/>
  <c r="G12" i="3"/>
  <c r="AU8" i="1"/>
  <c r="O8" i="3"/>
  <c r="BC12" i="1"/>
  <c r="BE20" i="1"/>
  <c r="BH27" i="1"/>
  <c r="P77" i="1"/>
  <c r="M82" i="1"/>
  <c r="AV82" i="1"/>
  <c r="AV94" i="1"/>
  <c r="AZ116" i="1"/>
  <c r="AE179" i="1"/>
  <c r="AU199" i="1"/>
  <c r="BH205" i="1"/>
  <c r="BF211" i="1"/>
  <c r="AV216" i="1"/>
  <c r="BH216" i="1"/>
  <c r="BH224" i="1" s="1"/>
  <c r="AN216" i="1"/>
  <c r="Y226" i="1"/>
  <c r="AE243" i="1"/>
  <c r="BD243" i="1"/>
  <c r="AK266" i="1"/>
  <c r="BD266" i="1"/>
  <c r="AQ294" i="1"/>
  <c r="BA21" i="1"/>
  <c r="BF23" i="1"/>
  <c r="BI52" i="1"/>
  <c r="BI78" i="1"/>
  <c r="BC90" i="1"/>
  <c r="BC88" i="1" s="1"/>
  <c r="BI114" i="1"/>
  <c r="BF119" i="1"/>
  <c r="BC201" i="1"/>
  <c r="BI204" i="1"/>
  <c r="BI212" i="1"/>
  <c r="BC222" i="1"/>
  <c r="BF239" i="1"/>
  <c r="BI245" i="1"/>
  <c r="AN255" i="1"/>
  <c r="BF261" i="1"/>
  <c r="BI267" i="1"/>
  <c r="BC271" i="1"/>
  <c r="BI273" i="1"/>
  <c r="BI284" i="1"/>
  <c r="AQ334" i="1"/>
  <c r="BC343" i="1"/>
  <c r="BC357" i="1"/>
  <c r="AK353" i="1"/>
  <c r="AR35" i="1"/>
  <c r="BI15" i="1"/>
  <c r="AN34" i="1"/>
  <c r="BI189" i="1"/>
  <c r="AU205" i="1"/>
  <c r="BC208" i="1"/>
  <c r="BI211" i="1"/>
  <c r="BC218" i="1"/>
  <c r="AZ220" i="1"/>
  <c r="BF223" i="1"/>
  <c r="BC231" i="1"/>
  <c r="BI234" i="1"/>
  <c r="BI240" i="1"/>
  <c r="BI244" i="1"/>
  <c r="BG243" i="1"/>
  <c r="BA243" i="1"/>
  <c r="BF249" i="1"/>
  <c r="AK255" i="1"/>
  <c r="AK264" i="1" s="1"/>
  <c r="BC259" i="1"/>
  <c r="M266" i="1"/>
  <c r="BC269" i="1"/>
  <c r="BC277" i="1"/>
  <c r="BC320" i="1"/>
  <c r="AZ342" i="1"/>
  <c r="BF344" i="1"/>
  <c r="AZ347" i="1"/>
  <c r="AV8" i="1"/>
  <c r="AX8" i="1"/>
  <c r="BF13" i="1"/>
  <c r="Y21" i="1"/>
  <c r="BB21" i="1"/>
  <c r="AU34" i="1"/>
  <c r="AW109" i="1"/>
  <c r="AS24" i="1"/>
  <c r="BF12" i="1"/>
  <c r="AB21" i="1"/>
  <c r="BA27" i="1"/>
  <c r="AV34" i="1"/>
  <c r="BE49" i="1"/>
  <c r="BC89" i="1"/>
  <c r="AY88" i="1"/>
  <c r="BC110" i="1"/>
  <c r="BI113" i="1"/>
  <c r="BC116" i="1"/>
  <c r="BI119" i="1"/>
  <c r="AK179" i="1"/>
  <c r="BF187" i="1"/>
  <c r="BF193" i="1"/>
  <c r="BI195" i="1"/>
  <c r="BC198" i="1"/>
  <c r="BC200" i="1"/>
  <c r="BI203" i="1"/>
  <c r="AX205" i="1"/>
  <c r="BF209" i="1"/>
  <c r="BF232" i="1"/>
  <c r="BF238" i="1"/>
  <c r="BH243" i="1"/>
  <c r="AZ263" i="1"/>
  <c r="BI272" i="1"/>
  <c r="BI283" i="1"/>
  <c r="BF288" i="1"/>
  <c r="AE21" i="1"/>
  <c r="BI23" i="1"/>
  <c r="AV27" i="1"/>
  <c r="AZ52" i="1"/>
  <c r="Y82" i="1"/>
  <c r="AT82" i="1" s="1"/>
  <c r="BB82" i="1"/>
  <c r="BA88" i="1"/>
  <c r="AB88" i="1"/>
  <c r="BF96" i="1"/>
  <c r="BF111" i="1"/>
  <c r="BF117" i="1"/>
  <c r="BF222" i="1"/>
  <c r="AU243" i="1"/>
  <c r="AU255" i="1"/>
  <c r="AX266" i="1"/>
  <c r="BE280" i="1"/>
  <c r="BF318" i="1"/>
  <c r="BF320" i="1"/>
  <c r="BF349" i="1"/>
  <c r="AV353" i="1"/>
  <c r="BB353" i="1"/>
  <c r="K7" i="3"/>
  <c r="P8" i="1"/>
  <c r="BC184" i="1"/>
  <c r="BI187" i="1"/>
  <c r="BI193" i="1"/>
  <c r="V205" i="1"/>
  <c r="BI209" i="1"/>
  <c r="BC212" i="1"/>
  <c r="BB216" i="1"/>
  <c r="BI223" i="1"/>
  <c r="BI238" i="1"/>
  <c r="BF247" i="1"/>
  <c r="M255" i="1"/>
  <c r="AV255" i="1"/>
  <c r="BC257" i="1"/>
  <c r="BC263" i="1"/>
  <c r="BC267" i="1"/>
  <c r="AZ283" i="1"/>
  <c r="BI288" i="1"/>
  <c r="BI298" i="1"/>
  <c r="BF336" i="1"/>
  <c r="BF342" i="1"/>
  <c r="P353" i="1"/>
  <c r="AX353" i="1"/>
  <c r="BG8" i="1"/>
  <c r="J21" i="1"/>
  <c r="BF68" i="1"/>
  <c r="BE88" i="1"/>
  <c r="AH94" i="1"/>
  <c r="BG94" i="1"/>
  <c r="BC115" i="1"/>
  <c r="BF191" i="1"/>
  <c r="BC196" i="1"/>
  <c r="BI201" i="1"/>
  <c r="BC204" i="1"/>
  <c r="Y205" i="1"/>
  <c r="BA205" i="1"/>
  <c r="BF207" i="1"/>
  <c r="BF217" i="1"/>
  <c r="BF221" i="1"/>
  <c r="AZ227" i="1"/>
  <c r="AU226" i="1"/>
  <c r="BC229" i="1"/>
  <c r="AB226" i="1"/>
  <c r="AB241" i="1" s="1"/>
  <c r="BI232" i="1"/>
  <c r="AZ233" i="1"/>
  <c r="BF236" i="1"/>
  <c r="BI248" i="1"/>
  <c r="BF275" i="1"/>
  <c r="BC284" i="1"/>
  <c r="BF296" i="1"/>
  <c r="BI337" i="1"/>
  <c r="BC340" i="1"/>
  <c r="BI349" i="1"/>
  <c r="Y353" i="1"/>
  <c r="AZ15" i="1"/>
  <c r="AN21" i="1"/>
  <c r="BI62" i="1"/>
  <c r="BI111" i="1"/>
  <c r="BI117" i="1"/>
  <c r="BC24" i="1"/>
  <c r="BG60" i="1"/>
  <c r="AZ63" i="1"/>
  <c r="AN70" i="1"/>
  <c r="AH88" i="1"/>
  <c r="BH94" i="1"/>
  <c r="AY182" i="1"/>
  <c r="BE216" i="1"/>
  <c r="M226" i="1"/>
  <c r="S255" i="1"/>
  <c r="AY255" i="1"/>
  <c r="BA266" i="1"/>
  <c r="Y294" i="1"/>
  <c r="V353" i="1"/>
  <c r="BA353" i="1"/>
  <c r="S12" i="3"/>
  <c r="BH8" i="1"/>
  <c r="V65" i="1"/>
  <c r="AB94" i="1"/>
  <c r="BI110" i="1"/>
  <c r="BI116" i="1"/>
  <c r="BC119" i="1"/>
  <c r="BC189" i="1"/>
  <c r="BC195" i="1"/>
  <c r="BF197" i="1"/>
  <c r="BI198" i="1"/>
  <c r="BH199" i="1"/>
  <c r="BC203" i="1"/>
  <c r="AE205" i="1"/>
  <c r="BD205" i="1"/>
  <c r="AZ210" i="1"/>
  <c r="BF212" i="1"/>
  <c r="BI221" i="1"/>
  <c r="Y243" i="1"/>
  <c r="BI247" i="1"/>
  <c r="V255" i="1"/>
  <c r="BA255" i="1"/>
  <c r="AZ270" i="1"/>
  <c r="BD294" i="1"/>
  <c r="BG302" i="1"/>
  <c r="AZ320" i="1"/>
  <c r="BC339" i="1"/>
  <c r="BC345" i="1"/>
  <c r="BC351" i="1"/>
  <c r="AE353" i="1"/>
  <c r="BI185" i="1"/>
  <c r="BI191" i="1"/>
  <c r="AH205" i="1"/>
  <c r="BI207" i="1"/>
  <c r="AH216" i="1"/>
  <c r="BF229" i="1"/>
  <c r="BC233" i="1"/>
  <c r="BI236" i="1"/>
  <c r="BB243" i="1"/>
  <c r="BF245" i="1"/>
  <c r="BC250" i="1"/>
  <c r="Y255" i="1"/>
  <c r="BB255" i="1"/>
  <c r="BF257" i="1"/>
  <c r="AE266" i="1"/>
  <c r="BI275" i="1"/>
  <c r="BF285" i="1"/>
  <c r="BI296" i="1"/>
  <c r="BF340" i="1"/>
  <c r="BF346" i="1"/>
  <c r="BI348" i="1"/>
  <c r="BC359" i="1"/>
  <c r="BF360" i="1"/>
  <c r="S7" i="3"/>
  <c r="AK57" i="1"/>
  <c r="M65" i="1"/>
  <c r="BA73" i="1"/>
  <c r="V57" i="1"/>
  <c r="BA57" i="1"/>
  <c r="BC74" i="1"/>
  <c r="BF75" i="1"/>
  <c r="BD73" i="1"/>
  <c r="BB77" i="1"/>
  <c r="BF79" i="1"/>
  <c r="BF81" i="1"/>
  <c r="J65" i="1"/>
  <c r="AX60" i="1"/>
  <c r="BC62" i="1"/>
  <c r="BA77" i="1"/>
  <c r="BF59" i="1"/>
  <c r="AE73" i="1"/>
  <c r="AE60" i="1"/>
  <c r="BI63" i="1"/>
  <c r="BI71" i="1"/>
  <c r="BI70" i="1" s="1"/>
  <c r="BH70" i="1"/>
  <c r="BI72" i="1"/>
  <c r="BF83" i="1"/>
  <c r="AU65" i="1"/>
  <c r="BH82" i="1"/>
  <c r="AV65" i="1"/>
  <c r="M70" i="1"/>
  <c r="AV70" i="1"/>
  <c r="BC81" i="1"/>
  <c r="BC69" i="1"/>
  <c r="BC72" i="1"/>
  <c r="BC66" i="1"/>
  <c r="BC68" i="1"/>
  <c r="BC71" i="1"/>
  <c r="BF47" i="1"/>
  <c r="BH49" i="1"/>
  <c r="AQ49" i="1"/>
  <c r="BC47" i="1"/>
  <c r="BI45" i="1"/>
  <c r="BF52" i="1"/>
  <c r="BF51" i="1"/>
  <c r="Y57" i="1"/>
  <c r="BB57" i="1"/>
  <c r="AX82" i="1"/>
  <c r="BC83" i="1"/>
  <c r="AQ65" i="1"/>
  <c r="AB57" i="1"/>
  <c r="BD57" i="1"/>
  <c r="Y60" i="1"/>
  <c r="BB60" i="1"/>
  <c r="BF62" i="1"/>
  <c r="AQ70" i="1"/>
  <c r="BE73" i="1"/>
  <c r="BI76" i="1"/>
  <c r="BI80" i="1"/>
  <c r="BE57" i="1"/>
  <c r="BG57" i="1"/>
  <c r="BF61" i="1"/>
  <c r="BD60" i="1"/>
  <c r="BF64" i="1"/>
  <c r="AZ67" i="1"/>
  <c r="J70" i="1"/>
  <c r="AU70" i="1"/>
  <c r="BG73" i="1"/>
  <c r="AH77" i="1"/>
  <c r="BG77" i="1"/>
  <c r="BI79" i="1"/>
  <c r="AN77" i="1"/>
  <c r="AY70" i="1"/>
  <c r="AQ57" i="1"/>
  <c r="AN60" i="1"/>
  <c r="V70" i="1"/>
  <c r="J77" i="1"/>
  <c r="AU77" i="1"/>
  <c r="AE65" i="1"/>
  <c r="BE65" i="1"/>
  <c r="AW58" i="1"/>
  <c r="AV57" i="1"/>
  <c r="P73" i="1"/>
  <c r="AX73" i="1"/>
  <c r="AX77" i="1"/>
  <c r="AQ77" i="1"/>
  <c r="BI59" i="1"/>
  <c r="AN57" i="1"/>
  <c r="BB65" i="1"/>
  <c r="AQ73" i="1"/>
  <c r="AU60" i="1"/>
  <c r="BD65" i="1"/>
  <c r="AU73" i="1"/>
  <c r="AZ79" i="1"/>
  <c r="AQ60" i="1"/>
  <c r="M60" i="1"/>
  <c r="AH65" i="1"/>
  <c r="P57" i="1"/>
  <c r="AX57" i="1"/>
  <c r="BC59" i="1"/>
  <c r="BC64" i="1"/>
  <c r="AK65" i="1"/>
  <c r="BH65" i="1"/>
  <c r="AE70" i="1"/>
  <c r="BE70" i="1"/>
  <c r="S73" i="1"/>
  <c r="BH57" i="1"/>
  <c r="BA65" i="1"/>
  <c r="AW80" i="1"/>
  <c r="BH60" i="1"/>
  <c r="BC58" i="1"/>
  <c r="BC63" i="1"/>
  <c r="BC78" i="1"/>
  <c r="AZ83" i="1"/>
  <c r="AN43" i="1"/>
  <c r="BI44" i="1"/>
  <c r="AZ46" i="1"/>
  <c r="J49" i="1"/>
  <c r="AU49" i="1"/>
  <c r="M49" i="1"/>
  <c r="AQ43" i="1"/>
  <c r="BC48" i="1"/>
  <c r="AX49" i="1"/>
  <c r="S43" i="1"/>
  <c r="AY43" i="1"/>
  <c r="BB49" i="1"/>
  <c r="BF50" i="1"/>
  <c r="BH43" i="1"/>
  <c r="BI51" i="1"/>
  <c r="P43" i="1"/>
  <c r="AX43" i="1"/>
  <c r="V43" i="1"/>
  <c r="V42" i="1" s="1"/>
  <c r="V53" i="1" s="1"/>
  <c r="BF44" i="1"/>
  <c r="BD43" i="1"/>
  <c r="BE43" i="1"/>
  <c r="BE42" i="1" s="1"/>
  <c r="BE54" i="1" s="1"/>
  <c r="BI50" i="1"/>
  <c r="BB43" i="1"/>
  <c r="BG43" i="1"/>
  <c r="BC37" i="1"/>
  <c r="AB34" i="1"/>
  <c r="AB39" i="1" s="1"/>
  <c r="AW37" i="1"/>
  <c r="BE34" i="1"/>
  <c r="BD353" i="1"/>
  <c r="BF355" i="1"/>
  <c r="BF357" i="1"/>
  <c r="BF359" i="1"/>
  <c r="BC355" i="1"/>
  <c r="AB353" i="1"/>
  <c r="BE353" i="1"/>
  <c r="BI359" i="1"/>
  <c r="BI360" i="1"/>
  <c r="BC358" i="1"/>
  <c r="BF358" i="1"/>
  <c r="BG353" i="1"/>
  <c r="BI354" i="1"/>
  <c r="BH353" i="1"/>
  <c r="BH363" i="1" s="1"/>
  <c r="BI355" i="1"/>
  <c r="BI356" i="1"/>
  <c r="AN353" i="1"/>
  <c r="AW356" i="1"/>
  <c r="BC360" i="1"/>
  <c r="M353" i="1"/>
  <c r="BC356" i="1"/>
  <c r="AY353" i="1"/>
  <c r="AY334" i="1"/>
  <c r="AW346" i="1"/>
  <c r="BD334" i="1"/>
  <c r="AW345" i="1"/>
  <c r="BC348" i="1"/>
  <c r="AW348" i="1"/>
  <c r="BF338" i="1"/>
  <c r="AE334" i="1"/>
  <c r="AE363" i="1" s="1"/>
  <c r="BE334" i="1"/>
  <c r="AH334" i="1"/>
  <c r="BF339" i="1"/>
  <c r="BF343" i="1"/>
  <c r="BI340" i="1"/>
  <c r="BI342" i="1"/>
  <c r="BF345" i="1"/>
  <c r="BH334" i="1"/>
  <c r="BI339" i="1"/>
  <c r="BI341" i="1"/>
  <c r="BF350" i="1"/>
  <c r="BF351" i="1"/>
  <c r="BC338" i="1"/>
  <c r="BC337" i="1"/>
  <c r="BB334" i="1"/>
  <c r="AW342" i="1"/>
  <c r="BI344" i="1"/>
  <c r="BI346" i="1"/>
  <c r="AU334" i="1"/>
  <c r="AW343" i="1"/>
  <c r="BI350" i="1"/>
  <c r="BI351" i="1"/>
  <c r="AU325" i="1"/>
  <c r="AY325" i="1"/>
  <c r="BB325" i="1"/>
  <c r="BG325" i="1"/>
  <c r="BH325" i="1"/>
  <c r="BE325" i="1"/>
  <c r="BC297" i="1"/>
  <c r="AK294" i="1"/>
  <c r="BH294" i="1"/>
  <c r="AN294" i="1"/>
  <c r="J294" i="1"/>
  <c r="AU294" i="1"/>
  <c r="AU300" i="1" s="1"/>
  <c r="M294" i="1"/>
  <c r="AV294" i="1"/>
  <c r="AZ297" i="1"/>
  <c r="V294" i="1"/>
  <c r="BA294" i="1"/>
  <c r="BC298" i="1"/>
  <c r="AY294" i="1"/>
  <c r="BF295" i="1"/>
  <c r="AE294" i="1"/>
  <c r="BB294" i="1"/>
  <c r="BE294" i="1"/>
  <c r="BF298" i="1"/>
  <c r="AU302" i="1"/>
  <c r="AX302" i="1"/>
  <c r="AV302" i="1"/>
  <c r="AV306" i="1" s="1"/>
  <c r="BE302" i="1"/>
  <c r="BI287" i="1"/>
  <c r="AU280" i="1"/>
  <c r="M280" i="1"/>
  <c r="BC282" i="1"/>
  <c r="P280" i="1"/>
  <c r="BC288" i="1"/>
  <c r="AH280" i="1"/>
  <c r="BG280" i="1"/>
  <c r="BG292" i="1" s="1"/>
  <c r="AK280" i="1"/>
  <c r="BH280" i="1"/>
  <c r="BH292" i="1" s="1"/>
  <c r="AW285" i="1"/>
  <c r="AW283" i="1"/>
  <c r="AY280" i="1"/>
  <c r="AZ285" i="1"/>
  <c r="V280" i="1"/>
  <c r="BA280" i="1"/>
  <c r="Y280" i="1"/>
  <c r="AB280" i="1"/>
  <c r="BF283" i="1"/>
  <c r="AE280" i="1"/>
  <c r="BF281" i="1"/>
  <c r="BF284" i="1"/>
  <c r="AZ267" i="1"/>
  <c r="P266" i="1"/>
  <c r="S266" i="1"/>
  <c r="Y266" i="1"/>
  <c r="BF276" i="1"/>
  <c r="V266" i="1"/>
  <c r="AB266" i="1"/>
  <c r="BC273" i="1"/>
  <c r="BF269" i="1"/>
  <c r="BF270" i="1"/>
  <c r="BH266" i="1"/>
  <c r="BF273" i="1"/>
  <c r="AW260" i="1"/>
  <c r="AW259" i="1"/>
  <c r="BC258" i="1"/>
  <c r="BF260" i="1"/>
  <c r="BI258" i="1"/>
  <c r="BC256" i="1"/>
  <c r="AE255" i="1"/>
  <c r="AW261" i="1"/>
  <c r="BF262" i="1"/>
  <c r="BF263" i="1"/>
  <c r="AX255" i="1"/>
  <c r="AX264" i="1" s="1"/>
  <c r="P255" i="1"/>
  <c r="BE255" i="1"/>
  <c r="AZ260" i="1"/>
  <c r="AH255" i="1"/>
  <c r="BI256" i="1"/>
  <c r="BG255" i="1"/>
  <c r="BF258" i="1"/>
  <c r="BI260" i="1"/>
  <c r="BH255" i="1"/>
  <c r="BH264" i="1" s="1"/>
  <c r="BI257" i="1"/>
  <c r="BI262" i="1"/>
  <c r="BE243" i="1"/>
  <c r="BF250" i="1"/>
  <c r="BI246" i="1"/>
  <c r="M243" i="1"/>
  <c r="AV243" i="1"/>
  <c r="AW248" i="1"/>
  <c r="BI250" i="1"/>
  <c r="AH243" i="1"/>
  <c r="AW247" i="1"/>
  <c r="S243" i="1"/>
  <c r="AY243" i="1"/>
  <c r="P243" i="1"/>
  <c r="P253" i="1" s="1"/>
  <c r="AX243" i="1"/>
  <c r="V243" i="1"/>
  <c r="BC245" i="1"/>
  <c r="BC246" i="1"/>
  <c r="BC247" i="1"/>
  <c r="BC248" i="1"/>
  <c r="AW249" i="1"/>
  <c r="AZ248" i="1"/>
  <c r="AW240" i="1"/>
  <c r="BI230" i="1"/>
  <c r="BI233" i="1"/>
  <c r="BF240" i="1"/>
  <c r="AW234" i="1"/>
  <c r="BF235" i="1"/>
  <c r="BH226" i="1"/>
  <c r="BF237" i="1"/>
  <c r="AV226" i="1"/>
  <c r="AW232" i="1"/>
  <c r="BI237" i="1"/>
  <c r="AW239" i="1"/>
  <c r="BI231" i="1"/>
  <c r="P226" i="1"/>
  <c r="P241" i="1" s="1"/>
  <c r="AX226" i="1"/>
  <c r="AW238" i="1"/>
  <c r="AQ226" i="1"/>
  <c r="AN226" i="1"/>
  <c r="AH226" i="1"/>
  <c r="BF228" i="1"/>
  <c r="BB226" i="1"/>
  <c r="V226" i="1"/>
  <c r="BC238" i="1"/>
  <c r="BC239" i="1"/>
  <c r="BF230" i="1"/>
  <c r="S226" i="1"/>
  <c r="AY226" i="1"/>
  <c r="AE226" i="1"/>
  <c r="AE241" i="1" s="1"/>
  <c r="BD226" i="1"/>
  <c r="AW228" i="1"/>
  <c r="BA226" i="1"/>
  <c r="BI227" i="1"/>
  <c r="BG226" i="1"/>
  <c r="BC236" i="1"/>
  <c r="BC237" i="1"/>
  <c r="AZ239" i="1"/>
  <c r="P216" i="1"/>
  <c r="V216" i="1"/>
  <c r="BI222" i="1"/>
  <c r="AE216" i="1"/>
  <c r="BI217" i="1"/>
  <c r="BG216" i="1"/>
  <c r="BI218" i="1"/>
  <c r="BA216" i="1"/>
  <c r="BA224" i="1" s="1"/>
  <c r="BC221" i="1"/>
  <c r="AX216" i="1"/>
  <c r="BC220" i="1"/>
  <c r="AU216" i="1"/>
  <c r="AU224" i="1" s="1"/>
  <c r="AZ218" i="1"/>
  <c r="M216" i="1"/>
  <c r="Y216" i="1"/>
  <c r="P205" i="1"/>
  <c r="BB205" i="1"/>
  <c r="BF210" i="1"/>
  <c r="AW211" i="1"/>
  <c r="AW206" i="1"/>
  <c r="AN205" i="1"/>
  <c r="BI210" i="1"/>
  <c r="BE205" i="1"/>
  <c r="AQ205" i="1"/>
  <c r="AV205" i="1"/>
  <c r="AW209" i="1"/>
  <c r="AW210" i="1"/>
  <c r="BC206" i="1"/>
  <c r="BC205" i="1" s="1"/>
  <c r="AY205" i="1"/>
  <c r="AY106" i="1" s="1"/>
  <c r="M205" i="1"/>
  <c r="AW212" i="1"/>
  <c r="AW200" i="1"/>
  <c r="AN199" i="1"/>
  <c r="AV199" i="1"/>
  <c r="AW203" i="1"/>
  <c r="M199" i="1"/>
  <c r="AZ200" i="1"/>
  <c r="P199" i="1"/>
  <c r="AE199" i="1"/>
  <c r="BB199" i="1"/>
  <c r="BC199" i="1"/>
  <c r="BD199" i="1"/>
  <c r="AH199" i="1"/>
  <c r="BF201" i="1"/>
  <c r="BF202" i="1"/>
  <c r="BF204" i="1"/>
  <c r="AK199" i="1"/>
  <c r="BG199" i="1"/>
  <c r="BE199" i="1"/>
  <c r="BA182" i="1"/>
  <c r="AW193" i="1"/>
  <c r="BF194" i="1"/>
  <c r="BF183" i="1"/>
  <c r="BF184" i="1"/>
  <c r="BF195" i="1"/>
  <c r="BF196" i="1"/>
  <c r="BF198" i="1"/>
  <c r="BB182" i="1"/>
  <c r="BD182" i="1"/>
  <c r="BE182" i="1"/>
  <c r="BG182" i="1"/>
  <c r="BH182" i="1"/>
  <c r="BI196" i="1"/>
  <c r="AW191" i="1"/>
  <c r="AW194" i="1"/>
  <c r="AW185" i="1"/>
  <c r="AU182" i="1"/>
  <c r="AW197" i="1"/>
  <c r="AW187" i="1"/>
  <c r="AV182" i="1"/>
  <c r="BC191" i="1"/>
  <c r="BC192" i="1"/>
  <c r="BC193" i="1"/>
  <c r="BC194" i="1"/>
  <c r="AX182" i="1"/>
  <c r="BC187" i="1"/>
  <c r="M181" i="1"/>
  <c r="P181" i="1"/>
  <c r="AK181" i="1"/>
  <c r="AN179" i="1"/>
  <c r="BF180" i="1"/>
  <c r="BF179" i="1" s="1"/>
  <c r="J179" i="1"/>
  <c r="Y181" i="1"/>
  <c r="BC181" i="1" s="1"/>
  <c r="BF110" i="1"/>
  <c r="BE107" i="1"/>
  <c r="AZ119" i="1"/>
  <c r="AU107" i="1"/>
  <c r="AZ113" i="1"/>
  <c r="BC113" i="1"/>
  <c r="BC118" i="1"/>
  <c r="BI115" i="1"/>
  <c r="BF108" i="1"/>
  <c r="BG107" i="1"/>
  <c r="BI112" i="1"/>
  <c r="BA107" i="1"/>
  <c r="BA106" i="1" s="1"/>
  <c r="BA213" i="1" s="1"/>
  <c r="BC109" i="1"/>
  <c r="BC112" i="1"/>
  <c r="BF115" i="1"/>
  <c r="BB107" i="1"/>
  <c r="BF109" i="1"/>
  <c r="BF112" i="1"/>
  <c r="BF116" i="1"/>
  <c r="AW95" i="1"/>
  <c r="BI97" i="1"/>
  <c r="AW98" i="1"/>
  <c r="BC95" i="1"/>
  <c r="AY94" i="1"/>
  <c r="AX94" i="1"/>
  <c r="BC98" i="1"/>
  <c r="BC97" i="1"/>
  <c r="J94" i="1"/>
  <c r="AE94" i="1"/>
  <c r="BB94" i="1"/>
  <c r="BF97" i="1"/>
  <c r="BF94" i="1" s="1"/>
  <c r="BI98" i="1"/>
  <c r="BH99" i="1"/>
  <c r="BF90" i="1"/>
  <c r="AZ89" i="1"/>
  <c r="AQ88" i="1"/>
  <c r="BF89" i="1"/>
  <c r="AV88" i="1"/>
  <c r="AU88" i="1"/>
  <c r="AY65" i="1"/>
  <c r="AW66" i="1"/>
  <c r="AW79" i="1"/>
  <c r="BG82" i="1"/>
  <c r="AH60" i="1"/>
  <c r="BF66" i="1"/>
  <c r="BC79" i="1"/>
  <c r="AU82" i="1"/>
  <c r="BA60" i="1"/>
  <c r="AY57" i="1"/>
  <c r="AW67" i="1"/>
  <c r="BI75" i="1"/>
  <c r="M77" i="1"/>
  <c r="AV77" i="1"/>
  <c r="AQ82" i="1"/>
  <c r="BI61" i="1"/>
  <c r="BE60" i="1"/>
  <c r="BF63" i="1"/>
  <c r="BF67" i="1"/>
  <c r="AK70" i="1"/>
  <c r="S77" i="1"/>
  <c r="J82" i="1"/>
  <c r="BI84" i="1"/>
  <c r="M73" i="1"/>
  <c r="AZ80" i="1"/>
  <c r="AE57" i="1"/>
  <c r="BC80" i="1"/>
  <c r="BF58" i="1"/>
  <c r="BF57" i="1" s="1"/>
  <c r="J60" i="1"/>
  <c r="AT60" i="1" s="1"/>
  <c r="BI64" i="1"/>
  <c r="AN65" i="1"/>
  <c r="BI66" i="1"/>
  <c r="BI67" i="1"/>
  <c r="BF69" i="1"/>
  <c r="BC75" i="1"/>
  <c r="BC76" i="1"/>
  <c r="AY73" i="1"/>
  <c r="AE77" i="1"/>
  <c r="AZ84" i="1"/>
  <c r="AV60" i="1"/>
  <c r="AW63" i="1"/>
  <c r="BI68" i="1"/>
  <c r="BI69" i="1"/>
  <c r="AX70" i="1"/>
  <c r="BE77" i="1"/>
  <c r="BF80" i="1"/>
  <c r="AB82" i="1"/>
  <c r="AW75" i="1"/>
  <c r="Y73" i="1"/>
  <c r="AW76" i="1"/>
  <c r="BC84" i="1"/>
  <c r="BC82" i="1" s="1"/>
  <c r="AE82" i="1"/>
  <c r="S60" i="1"/>
  <c r="AY60" i="1"/>
  <c r="AW64" i="1"/>
  <c r="AK73" i="1"/>
  <c r="AB73" i="1"/>
  <c r="BH77" i="1"/>
  <c r="AU57" i="1"/>
  <c r="V60" i="1"/>
  <c r="AZ61" i="1"/>
  <c r="S65" i="1"/>
  <c r="P65" i="1"/>
  <c r="AX65" i="1"/>
  <c r="BA70" i="1"/>
  <c r="P70" i="1"/>
  <c r="BF71" i="1"/>
  <c r="BF70" i="1" s="1"/>
  <c r="BD70" i="1"/>
  <c r="AW72" i="1"/>
  <c r="BF74" i="1"/>
  <c r="BI81" i="1"/>
  <c r="BI83" i="1"/>
  <c r="BE82" i="1"/>
  <c r="AN42" i="1"/>
  <c r="AN53" i="1" s="1"/>
  <c r="Y43" i="1"/>
  <c r="AH49" i="1"/>
  <c r="BG49" i="1"/>
  <c r="BG42" i="1" s="1"/>
  <c r="AU43" i="1"/>
  <c r="AU42" i="1" s="1"/>
  <c r="AU53" i="1" s="1"/>
  <c r="Y49" i="1"/>
  <c r="BD49" i="1"/>
  <c r="AP102" i="1"/>
  <c r="O102" i="1"/>
  <c r="AV43" i="1"/>
  <c r="BF45" i="1"/>
  <c r="AK43" i="1"/>
  <c r="BI46" i="1"/>
  <c r="BF48" i="1"/>
  <c r="X102" i="1"/>
  <c r="AK49" i="1"/>
  <c r="R102" i="1"/>
  <c r="BI47" i="1"/>
  <c r="AG102" i="1"/>
  <c r="AW44" i="1"/>
  <c r="V49" i="1"/>
  <c r="BA49" i="1"/>
  <c r="AJ102" i="1"/>
  <c r="BB34" i="1"/>
  <c r="BB39" i="1" s="1"/>
  <c r="BH34" i="1"/>
  <c r="AX34" i="1"/>
  <c r="AX39" i="1" s="1"/>
  <c r="BD34" i="1"/>
  <c r="BD39" i="1" s="1"/>
  <c r="AU27" i="1"/>
  <c r="AU32" i="1" s="1"/>
  <c r="AU40" i="1" s="1"/>
  <c r="AX27" i="1"/>
  <c r="BB27" i="1"/>
  <c r="BD27" i="1"/>
  <c r="BD32" i="1" s="1"/>
  <c r="BD40" i="1" s="1"/>
  <c r="BE27" i="1"/>
  <c r="AY27" i="1"/>
  <c r="AQ21" i="1"/>
  <c r="BC23" i="1"/>
  <c r="BC22" i="1"/>
  <c r="M21" i="1"/>
  <c r="BI21" i="1"/>
  <c r="BI22" i="1"/>
  <c r="AZ22" i="1"/>
  <c r="AY21" i="1"/>
  <c r="AY25" i="1" s="1"/>
  <c r="AX25" i="1"/>
  <c r="AX20" i="1"/>
  <c r="AY20" i="1"/>
  <c r="BA8" i="1"/>
  <c r="BA20" i="1"/>
  <c r="J4" i="3"/>
  <c r="J31" i="3" s="1"/>
  <c r="BG25" i="1"/>
  <c r="BB8" i="1"/>
  <c r="BB306" i="1" s="1"/>
  <c r="BH25" i="1"/>
  <c r="AX32" i="1"/>
  <c r="BD8" i="1"/>
  <c r="BD20" i="1"/>
  <c r="BE8" i="1"/>
  <c r="BE253" i="1" s="1"/>
  <c r="N4" i="3"/>
  <c r="N20" i="3" s="1"/>
  <c r="AV25" i="1"/>
  <c r="AV39" i="1"/>
  <c r="S14" i="3"/>
  <c r="BH20" i="1"/>
  <c r="P25" i="1"/>
  <c r="BE39" i="1"/>
  <c r="G7" i="3"/>
  <c r="O7" i="3"/>
  <c r="BG32" i="1"/>
  <c r="AY8" i="1"/>
  <c r="BG20" i="1"/>
  <c r="G14" i="3"/>
  <c r="AU20" i="1"/>
  <c r="AU25" i="1"/>
  <c r="BH32" i="1"/>
  <c r="BH39" i="1"/>
  <c r="AU39" i="1"/>
  <c r="AY32" i="1"/>
  <c r="BA32" i="1"/>
  <c r="BD91" i="1"/>
  <c r="BD25" i="1"/>
  <c r="AN39" i="1"/>
  <c r="P305" i="1"/>
  <c r="P302" i="1" s="1"/>
  <c r="P300" i="1"/>
  <c r="P3" i="1"/>
  <c r="N3" i="1"/>
  <c r="BB32" i="1"/>
  <c r="BA25" i="1"/>
  <c r="BG40" i="1"/>
  <c r="BG39" i="1"/>
  <c r="H10" i="3"/>
  <c r="K10" i="3" s="1"/>
  <c r="U15" i="2"/>
  <c r="AW15" i="1"/>
  <c r="AS49" i="1"/>
  <c r="AS9" i="1"/>
  <c r="AW11" i="1"/>
  <c r="BI11" i="1"/>
  <c r="S11" i="3"/>
  <c r="P9" i="3"/>
  <c r="BC14" i="1"/>
  <c r="E4" i="3"/>
  <c r="AS15" i="1"/>
  <c r="M15" i="3"/>
  <c r="AE100" i="1"/>
  <c r="S16" i="3"/>
  <c r="P33" i="3"/>
  <c r="P27" i="3"/>
  <c r="Y20" i="1"/>
  <c r="AQ20" i="1"/>
  <c r="AS44" i="1"/>
  <c r="AW46" i="1"/>
  <c r="BC46" i="1"/>
  <c r="AY91" i="1"/>
  <c r="AR17" i="1"/>
  <c r="AE8" i="1"/>
  <c r="AC3" i="1" s="1"/>
  <c r="AH8" i="1"/>
  <c r="AK8" i="1"/>
  <c r="AI3" i="1" s="1"/>
  <c r="AN8" i="1"/>
  <c r="AL3" i="1" s="1"/>
  <c r="AQ8" i="1"/>
  <c r="J8" i="1"/>
  <c r="AT9" i="1"/>
  <c r="BF9" i="1"/>
  <c r="O14" i="3"/>
  <c r="AZ12" i="1"/>
  <c r="Q9" i="3"/>
  <c r="D10" i="3"/>
  <c r="R15" i="2"/>
  <c r="AR14" i="1"/>
  <c r="F4" i="3"/>
  <c r="AT15" i="1"/>
  <c r="BF15" i="1"/>
  <c r="N15" i="3"/>
  <c r="N9" i="3" s="1"/>
  <c r="AH100" i="1"/>
  <c r="AZ18" i="1"/>
  <c r="Q33" i="3"/>
  <c r="Q27" i="3"/>
  <c r="AR20" i="1"/>
  <c r="AW22" i="1"/>
  <c r="AZ23" i="1"/>
  <c r="E33" i="3"/>
  <c r="E27" i="3"/>
  <c r="AE20" i="1"/>
  <c r="V8" i="1"/>
  <c r="V253" i="1" s="1"/>
  <c r="Y8" i="1"/>
  <c r="W3" i="1" s="1"/>
  <c r="AB8" i="1"/>
  <c r="AT12" i="1"/>
  <c r="M8" i="1"/>
  <c r="M25" i="1" s="1"/>
  <c r="K12" i="3"/>
  <c r="AW10" i="1"/>
  <c r="BI10" i="1"/>
  <c r="S8" i="3"/>
  <c r="BC13" i="1"/>
  <c r="E10" i="3"/>
  <c r="S15" i="2"/>
  <c r="AS14" i="1"/>
  <c r="K5" i="3"/>
  <c r="H4" i="3"/>
  <c r="AW16" i="1"/>
  <c r="BI16" i="1"/>
  <c r="R33" i="3"/>
  <c r="R27" i="3"/>
  <c r="BC19" i="1"/>
  <c r="J20" i="1"/>
  <c r="AB20" i="1"/>
  <c r="AS20" i="1"/>
  <c r="S21" i="1"/>
  <c r="AR28" i="1"/>
  <c r="BA34" i="1"/>
  <c r="BC44" i="1"/>
  <c r="BF46" i="1"/>
  <c r="BF49" i="1"/>
  <c r="AW52" i="1"/>
  <c r="AX99" i="1"/>
  <c r="AR361" i="1"/>
  <c r="AT356" i="1"/>
  <c r="AR355" i="1"/>
  <c r="AT347" i="1"/>
  <c r="AR346" i="1"/>
  <c r="AT341" i="1"/>
  <c r="AR340" i="1"/>
  <c r="AS359" i="1"/>
  <c r="AR354" i="1"/>
  <c r="AS348" i="1"/>
  <c r="AR344" i="1"/>
  <c r="AT340" i="1"/>
  <c r="AR359" i="1"/>
  <c r="AT355" i="1"/>
  <c r="AT349" i="1"/>
  <c r="AR348" i="1"/>
  <c r="AS340" i="1"/>
  <c r="AT336" i="1"/>
  <c r="AR335" i="1"/>
  <c r="AR329" i="1"/>
  <c r="AR327" i="1"/>
  <c r="AR321" i="1"/>
  <c r="AR318" i="1"/>
  <c r="AS305" i="1"/>
  <c r="AS355" i="1"/>
  <c r="AS349" i="1"/>
  <c r="AT345" i="1"/>
  <c r="AS336" i="1"/>
  <c r="AT360" i="1"/>
  <c r="AT350" i="1"/>
  <c r="AR349" i="1"/>
  <c r="AS345" i="1"/>
  <c r="AS341" i="1"/>
  <c r="AT337" i="1"/>
  <c r="AS360" i="1"/>
  <c r="AS356" i="1"/>
  <c r="AS350" i="1"/>
  <c r="AR345" i="1"/>
  <c r="AR341" i="1"/>
  <c r="AS337" i="1"/>
  <c r="AS314" i="1"/>
  <c r="AR360" i="1"/>
  <c r="AR356" i="1"/>
  <c r="AR350" i="1"/>
  <c r="AT346" i="1"/>
  <c r="AT338" i="1"/>
  <c r="AR337" i="1"/>
  <c r="AR314" i="1"/>
  <c r="AT361" i="1"/>
  <c r="AS346" i="1"/>
  <c r="AT342" i="1"/>
  <c r="AS338" i="1"/>
  <c r="AS361" i="1"/>
  <c r="AT357" i="1"/>
  <c r="AT351" i="1"/>
  <c r="AS342" i="1"/>
  <c r="AR338" i="1"/>
  <c r="AS357" i="1"/>
  <c r="AS351" i="1"/>
  <c r="AS347" i="1"/>
  <c r="AT343" i="1"/>
  <c r="AR342" i="1"/>
  <c r="AT358" i="1"/>
  <c r="AR357" i="1"/>
  <c r="AR351" i="1"/>
  <c r="AR347" i="1"/>
  <c r="AS343" i="1"/>
  <c r="AT339" i="1"/>
  <c r="AS358" i="1"/>
  <c r="AT354" i="1"/>
  <c r="AT344" i="1"/>
  <c r="AR343" i="1"/>
  <c r="AS339" i="1"/>
  <c r="AS328" i="1"/>
  <c r="AS326" i="1"/>
  <c r="AS320" i="1"/>
  <c r="AR358" i="1"/>
  <c r="AT321" i="1"/>
  <c r="AT303" i="1"/>
  <c r="AR289" i="1"/>
  <c r="AS286" i="1"/>
  <c r="AS277" i="1"/>
  <c r="AS271" i="1"/>
  <c r="AS344" i="1"/>
  <c r="AS321" i="1"/>
  <c r="AS303" i="1"/>
  <c r="AT295" i="1"/>
  <c r="AT287" i="1"/>
  <c r="AR286" i="1"/>
  <c r="AT281" i="1"/>
  <c r="AR277" i="1"/>
  <c r="AT272" i="1"/>
  <c r="AR271" i="1"/>
  <c r="AT304" i="1"/>
  <c r="AR303" i="1"/>
  <c r="AS295" i="1"/>
  <c r="AS287" i="1"/>
  <c r="AS281" i="1"/>
  <c r="AR328" i="1"/>
  <c r="AT318" i="1"/>
  <c r="AS304" i="1"/>
  <c r="AT296" i="1"/>
  <c r="AR295" i="1"/>
  <c r="AT290" i="1"/>
  <c r="AT288" i="1"/>
  <c r="AS318" i="1"/>
  <c r="AR305" i="1"/>
  <c r="AR304" i="1"/>
  <c r="AS296" i="1"/>
  <c r="AS290" i="1"/>
  <c r="AS288" i="1"/>
  <c r="AS282" i="1"/>
  <c r="AS273" i="1"/>
  <c r="AS267" i="1"/>
  <c r="AR326" i="1"/>
  <c r="AT297" i="1"/>
  <c r="AR296" i="1"/>
  <c r="AR290" i="1"/>
  <c r="AR288" i="1"/>
  <c r="AT283" i="1"/>
  <c r="AR282" i="1"/>
  <c r="AT274" i="1"/>
  <c r="AR273" i="1"/>
  <c r="AT268" i="1"/>
  <c r="AR267" i="1"/>
  <c r="AR339" i="1"/>
  <c r="AR336" i="1"/>
  <c r="AT314" i="1"/>
  <c r="AS297" i="1"/>
  <c r="AS283" i="1"/>
  <c r="AS274" i="1"/>
  <c r="AT335" i="1"/>
  <c r="AS327" i="1"/>
  <c r="AT320" i="1"/>
  <c r="AT298" i="1"/>
  <c r="AR297" i="1"/>
  <c r="AT284" i="1"/>
  <c r="AR283" i="1"/>
  <c r="AT275" i="1"/>
  <c r="AR274" i="1"/>
  <c r="AT269" i="1"/>
  <c r="AR268" i="1"/>
  <c r="AS335" i="1"/>
  <c r="AR320" i="1"/>
  <c r="AS298" i="1"/>
  <c r="AT291" i="1"/>
  <c r="AS284" i="1"/>
  <c r="AS275" i="1"/>
  <c r="AS269" i="1"/>
  <c r="AT348" i="1"/>
  <c r="AS329" i="1"/>
  <c r="AT299" i="1"/>
  <c r="AR298" i="1"/>
  <c r="AS291" i="1"/>
  <c r="AT285" i="1"/>
  <c r="AR284" i="1"/>
  <c r="AT276" i="1"/>
  <c r="AR275" i="1"/>
  <c r="AT270" i="1"/>
  <c r="AR269" i="1"/>
  <c r="AS299" i="1"/>
  <c r="AR291" i="1"/>
  <c r="AT289" i="1"/>
  <c r="AS285" i="1"/>
  <c r="AS276" i="1"/>
  <c r="AS270" i="1"/>
  <c r="AS268" i="1"/>
  <c r="AS263" i="1"/>
  <c r="AS257" i="1"/>
  <c r="AS251" i="1"/>
  <c r="AS245" i="1"/>
  <c r="AS236" i="1"/>
  <c r="AS230" i="1"/>
  <c r="AT286" i="1"/>
  <c r="AR263" i="1"/>
  <c r="AT258" i="1"/>
  <c r="AR257" i="1"/>
  <c r="AR251" i="1"/>
  <c r="AT246" i="1"/>
  <c r="AR245" i="1"/>
  <c r="AT237" i="1"/>
  <c r="AR236" i="1"/>
  <c r="AT231" i="1"/>
  <c r="AR230" i="1"/>
  <c r="AT277" i="1"/>
  <c r="AT271" i="1"/>
  <c r="AS258" i="1"/>
  <c r="AS246" i="1"/>
  <c r="AS237" i="1"/>
  <c r="AS231" i="1"/>
  <c r="AS222" i="1"/>
  <c r="AS289" i="1"/>
  <c r="AT259" i="1"/>
  <c r="AR258" i="1"/>
  <c r="AT247" i="1"/>
  <c r="AR246" i="1"/>
  <c r="AT238" i="1"/>
  <c r="AR237" i="1"/>
  <c r="AT232" i="1"/>
  <c r="AR231" i="1"/>
  <c r="AT223" i="1"/>
  <c r="AR285" i="1"/>
  <c r="AS259" i="1"/>
  <c r="AT252" i="1"/>
  <c r="AS247" i="1"/>
  <c r="AS238" i="1"/>
  <c r="AS232" i="1"/>
  <c r="AS354" i="1"/>
  <c r="AR276" i="1"/>
  <c r="AT260" i="1"/>
  <c r="AR259" i="1"/>
  <c r="AS252" i="1"/>
  <c r="AT248" i="1"/>
  <c r="AR247" i="1"/>
  <c r="AT239" i="1"/>
  <c r="AR238" i="1"/>
  <c r="AT233" i="1"/>
  <c r="AR232" i="1"/>
  <c r="AT227" i="1"/>
  <c r="AR223" i="1"/>
  <c r="AT217" i="1"/>
  <c r="AT359" i="1"/>
  <c r="AR270" i="1"/>
  <c r="AT267" i="1"/>
  <c r="AS260" i="1"/>
  <c r="AR252" i="1"/>
  <c r="AS248" i="1"/>
  <c r="AS239" i="1"/>
  <c r="AS233" i="1"/>
  <c r="AS227" i="1"/>
  <c r="AS217" i="1"/>
  <c r="AR299" i="1"/>
  <c r="AT282" i="1"/>
  <c r="AR281" i="1"/>
  <c r="AT261" i="1"/>
  <c r="AR260" i="1"/>
  <c r="AT249" i="1"/>
  <c r="AR248" i="1"/>
  <c r="AT240" i="1"/>
  <c r="AR239" i="1"/>
  <c r="AT234" i="1"/>
  <c r="AR233" i="1"/>
  <c r="AT228" i="1"/>
  <c r="AR227" i="1"/>
  <c r="AS261" i="1"/>
  <c r="AS249" i="1"/>
  <c r="AS240" i="1"/>
  <c r="AS234" i="1"/>
  <c r="AS228" i="1"/>
  <c r="AT262" i="1"/>
  <c r="AR261" i="1"/>
  <c r="AT256" i="1"/>
  <c r="AT250" i="1"/>
  <c r="AR249" i="1"/>
  <c r="AT244" i="1"/>
  <c r="AR240" i="1"/>
  <c r="AT235" i="1"/>
  <c r="AR234" i="1"/>
  <c r="AT229" i="1"/>
  <c r="AR228" i="1"/>
  <c r="AT220" i="1"/>
  <c r="AR287" i="1"/>
  <c r="AT273" i="1"/>
  <c r="AS272" i="1"/>
  <c r="AS262" i="1"/>
  <c r="AS256" i="1"/>
  <c r="AS250" i="1"/>
  <c r="AS244" i="1"/>
  <c r="AS235" i="1"/>
  <c r="AS229" i="1"/>
  <c r="AS220" i="1"/>
  <c r="AR272" i="1"/>
  <c r="AT263" i="1"/>
  <c r="AR262" i="1"/>
  <c r="AT257" i="1"/>
  <c r="AR256" i="1"/>
  <c r="AT251" i="1"/>
  <c r="AR250" i="1"/>
  <c r="AT245" i="1"/>
  <c r="AR244" i="1"/>
  <c r="AT236" i="1"/>
  <c r="AR235" i="1"/>
  <c r="AR222" i="1"/>
  <c r="AR212" i="1"/>
  <c r="AT207" i="1"/>
  <c r="AR206" i="1"/>
  <c r="AT201" i="1"/>
  <c r="AR200" i="1"/>
  <c r="AT195" i="1"/>
  <c r="AR194" i="1"/>
  <c r="AT189" i="1"/>
  <c r="AR188" i="1"/>
  <c r="AT183" i="1"/>
  <c r="AR182" i="1"/>
  <c r="AS178" i="1"/>
  <c r="AS207" i="1"/>
  <c r="AS201" i="1"/>
  <c r="AS195" i="1"/>
  <c r="AS189" i="1"/>
  <c r="AS183" i="1"/>
  <c r="AR178" i="1"/>
  <c r="AT176" i="1"/>
  <c r="AS171" i="1"/>
  <c r="AR166" i="1"/>
  <c r="AT164" i="1"/>
  <c r="AS159" i="1"/>
  <c r="AR154" i="1"/>
  <c r="AT152" i="1"/>
  <c r="AS147" i="1"/>
  <c r="AT221" i="1"/>
  <c r="AT218" i="1"/>
  <c r="AT208" i="1"/>
  <c r="AR207" i="1"/>
  <c r="AT202" i="1"/>
  <c r="AR201" i="1"/>
  <c r="AT196" i="1"/>
  <c r="AR195" i="1"/>
  <c r="AR189" i="1"/>
  <c r="AT184" i="1"/>
  <c r="AR183" i="1"/>
  <c r="AS176" i="1"/>
  <c r="AR171" i="1"/>
  <c r="AT169" i="1"/>
  <c r="AS164" i="1"/>
  <c r="AS221" i="1"/>
  <c r="AT219" i="1"/>
  <c r="AS218" i="1"/>
  <c r="AS208" i="1"/>
  <c r="AS202" i="1"/>
  <c r="AS196" i="1"/>
  <c r="AS190" i="1"/>
  <c r="AS184" i="1"/>
  <c r="AR176" i="1"/>
  <c r="AR221" i="1"/>
  <c r="AS219" i="1"/>
  <c r="AR218" i="1"/>
  <c r="AT209" i="1"/>
  <c r="AR208" i="1"/>
  <c r="AT203" i="1"/>
  <c r="AR202" i="1"/>
  <c r="AT197" i="1"/>
  <c r="AR196" i="1"/>
  <c r="AT191" i="1"/>
  <c r="AR190" i="1"/>
  <c r="AT185" i="1"/>
  <c r="AR184" i="1"/>
  <c r="AS174" i="1"/>
  <c r="AR169" i="1"/>
  <c r="AT167" i="1"/>
  <c r="AS162" i="1"/>
  <c r="AR157" i="1"/>
  <c r="AT155" i="1"/>
  <c r="AS150" i="1"/>
  <c r="AR145" i="1"/>
  <c r="AT143" i="1"/>
  <c r="AS138" i="1"/>
  <c r="AR219" i="1"/>
  <c r="AS209" i="1"/>
  <c r="AS203" i="1"/>
  <c r="AS197" i="1"/>
  <c r="AS191" i="1"/>
  <c r="AS185" i="1"/>
  <c r="AS179" i="1"/>
  <c r="AR174" i="1"/>
  <c r="AT172" i="1"/>
  <c r="AS167" i="1"/>
  <c r="AR162" i="1"/>
  <c r="AT160" i="1"/>
  <c r="AS155" i="1"/>
  <c r="AR150" i="1"/>
  <c r="AT148" i="1"/>
  <c r="AS143" i="1"/>
  <c r="AR138" i="1"/>
  <c r="AT136" i="1"/>
  <c r="AT210" i="1"/>
  <c r="AR209" i="1"/>
  <c r="AT204" i="1"/>
  <c r="AR203" i="1"/>
  <c r="AT198" i="1"/>
  <c r="AR197" i="1"/>
  <c r="AT192" i="1"/>
  <c r="AR191" i="1"/>
  <c r="AR185" i="1"/>
  <c r="AT180" i="1"/>
  <c r="AR179" i="1"/>
  <c r="AT177" i="1"/>
  <c r="AT230" i="1"/>
  <c r="AS210" i="1"/>
  <c r="AS204" i="1"/>
  <c r="AS198" i="1"/>
  <c r="AS192" i="1"/>
  <c r="AS186" i="1"/>
  <c r="AS180" i="1"/>
  <c r="AS177" i="1"/>
  <c r="AR220" i="1"/>
  <c r="AT211" i="1"/>
  <c r="AR210" i="1"/>
  <c r="AR204" i="1"/>
  <c r="AR198" i="1"/>
  <c r="AT193" i="1"/>
  <c r="AR192" i="1"/>
  <c r="AT187" i="1"/>
  <c r="AR186" i="1"/>
  <c r="AR180" i="1"/>
  <c r="AR177" i="1"/>
  <c r="AT175" i="1"/>
  <c r="AR229" i="1"/>
  <c r="AS223" i="1"/>
  <c r="AR217" i="1"/>
  <c r="AS211" i="1"/>
  <c r="AS205" i="1"/>
  <c r="AS199" i="1"/>
  <c r="AS193" i="1"/>
  <c r="AS187" i="1"/>
  <c r="AS181" i="1"/>
  <c r="AS175" i="1"/>
  <c r="AR170" i="1"/>
  <c r="AT168" i="1"/>
  <c r="AS163" i="1"/>
  <c r="AR158" i="1"/>
  <c r="AT156" i="1"/>
  <c r="AS151" i="1"/>
  <c r="AR146" i="1"/>
  <c r="AT144" i="1"/>
  <c r="AT212" i="1"/>
  <c r="AR211" i="1"/>
  <c r="AT206" i="1"/>
  <c r="AR205" i="1"/>
  <c r="AT200" i="1"/>
  <c r="AR199" i="1"/>
  <c r="AT194" i="1"/>
  <c r="AR193" i="1"/>
  <c r="AR187" i="1"/>
  <c r="AR181" i="1"/>
  <c r="AR175" i="1"/>
  <c r="AT222" i="1"/>
  <c r="AS212" i="1"/>
  <c r="AS206" i="1"/>
  <c r="AS200" i="1"/>
  <c r="AS194" i="1"/>
  <c r="AS188" i="1"/>
  <c r="AS182" i="1"/>
  <c r="AT178" i="1"/>
  <c r="AS168" i="1"/>
  <c r="AT165" i="1"/>
  <c r="AS160" i="1"/>
  <c r="AR153" i="1"/>
  <c r="AS148" i="1"/>
  <c r="AT139" i="1"/>
  <c r="AT137" i="1"/>
  <c r="AR130" i="1"/>
  <c r="AT128" i="1"/>
  <c r="AS123" i="1"/>
  <c r="AS120" i="1"/>
  <c r="AS114" i="1"/>
  <c r="AS108" i="1"/>
  <c r="AS96" i="1"/>
  <c r="AS90" i="1"/>
  <c r="AT173" i="1"/>
  <c r="AR168" i="1"/>
  <c r="AS165" i="1"/>
  <c r="AR160" i="1"/>
  <c r="AR155" i="1"/>
  <c r="AT150" i="1"/>
  <c r="AR148" i="1"/>
  <c r="AT141" i="1"/>
  <c r="AS139" i="1"/>
  <c r="AS137" i="1"/>
  <c r="AT135" i="1"/>
  <c r="AS128" i="1"/>
  <c r="AR123" i="1"/>
  <c r="AT121" i="1"/>
  <c r="AR120" i="1"/>
  <c r="AT115" i="1"/>
  <c r="AR114" i="1"/>
  <c r="AT109" i="1"/>
  <c r="AR108" i="1"/>
  <c r="AT97" i="1"/>
  <c r="AR96" i="1"/>
  <c r="AR90" i="1"/>
  <c r="AS173" i="1"/>
  <c r="AT170" i="1"/>
  <c r="AR165" i="1"/>
  <c r="AT162" i="1"/>
  <c r="AR143" i="1"/>
  <c r="AS141" i="1"/>
  <c r="AR139" i="1"/>
  <c r="AR137" i="1"/>
  <c r="AS135" i="1"/>
  <c r="AT133" i="1"/>
  <c r="AR128" i="1"/>
  <c r="AT126" i="1"/>
  <c r="AS121" i="1"/>
  <c r="AS115" i="1"/>
  <c r="AS109" i="1"/>
  <c r="AS97" i="1"/>
  <c r="AR173" i="1"/>
  <c r="AS170" i="1"/>
  <c r="AT157" i="1"/>
  <c r="AT145" i="1"/>
  <c r="AR141" i="1"/>
  <c r="AR135" i="1"/>
  <c r="AS133" i="1"/>
  <c r="AT131" i="1"/>
  <c r="AS126" i="1"/>
  <c r="AR167" i="1"/>
  <c r="AS157" i="1"/>
  <c r="AS152" i="1"/>
  <c r="AS145" i="1"/>
  <c r="AR133" i="1"/>
  <c r="AS131" i="1"/>
  <c r="AR126" i="1"/>
  <c r="AT124" i="1"/>
  <c r="AT159" i="1"/>
  <c r="AT154" i="1"/>
  <c r="AR152" i="1"/>
  <c r="AT147" i="1"/>
  <c r="AR131" i="1"/>
  <c r="AT129" i="1"/>
  <c r="AS124" i="1"/>
  <c r="AT117" i="1"/>
  <c r="AR116" i="1"/>
  <c r="AT111" i="1"/>
  <c r="AR110" i="1"/>
  <c r="AR98" i="1"/>
  <c r="AT84" i="1"/>
  <c r="AR83" i="1"/>
  <c r="AT78" i="1"/>
  <c r="AR77" i="1"/>
  <c r="AS172" i="1"/>
  <c r="AR164" i="1"/>
  <c r="AR159" i="1"/>
  <c r="AS154" i="1"/>
  <c r="AT149" i="1"/>
  <c r="AR147" i="1"/>
  <c r="AT142" i="1"/>
  <c r="AS129" i="1"/>
  <c r="AR124" i="1"/>
  <c r="AT122" i="1"/>
  <c r="AS117" i="1"/>
  <c r="AS111" i="1"/>
  <c r="AR172" i="1"/>
  <c r="AT161" i="1"/>
  <c r="AS149" i="1"/>
  <c r="AS142" i="1"/>
  <c r="AT140" i="1"/>
  <c r="AT138" i="1"/>
  <c r="AS136" i="1"/>
  <c r="AT134" i="1"/>
  <c r="AR129" i="1"/>
  <c r="AT127" i="1"/>
  <c r="AS122" i="1"/>
  <c r="AT118" i="1"/>
  <c r="AR117" i="1"/>
  <c r="AT112" i="1"/>
  <c r="AR111" i="1"/>
  <c r="AR84" i="1"/>
  <c r="AT79" i="1"/>
  <c r="AT174" i="1"/>
  <c r="AS169" i="1"/>
  <c r="AT166" i="1"/>
  <c r="AS161" i="1"/>
  <c r="AS156" i="1"/>
  <c r="AT151" i="1"/>
  <c r="AR149" i="1"/>
  <c r="AS144" i="1"/>
  <c r="AR142" i="1"/>
  <c r="AS140" i="1"/>
  <c r="AR136" i="1"/>
  <c r="AS134" i="1"/>
  <c r="AT132" i="1"/>
  <c r="AS127" i="1"/>
  <c r="AR122" i="1"/>
  <c r="AS118" i="1"/>
  <c r="AS112" i="1"/>
  <c r="AS166" i="1"/>
  <c r="AT163" i="1"/>
  <c r="AR161" i="1"/>
  <c r="AT158" i="1"/>
  <c r="AR156" i="1"/>
  <c r="AR151" i="1"/>
  <c r="AT146" i="1"/>
  <c r="AR144" i="1"/>
  <c r="AR140" i="1"/>
  <c r="AR134" i="1"/>
  <c r="AS132" i="1"/>
  <c r="AR127" i="1"/>
  <c r="AT125" i="1"/>
  <c r="AR163" i="1"/>
  <c r="AS158" i="1"/>
  <c r="AT153" i="1"/>
  <c r="AS146" i="1"/>
  <c r="AR132" i="1"/>
  <c r="AT130" i="1"/>
  <c r="AS125" i="1"/>
  <c r="AS119" i="1"/>
  <c r="AT171" i="1"/>
  <c r="AS153" i="1"/>
  <c r="AS130" i="1"/>
  <c r="AR125" i="1"/>
  <c r="AT123" i="1"/>
  <c r="AT120" i="1"/>
  <c r="AR119" i="1"/>
  <c r="AT114" i="1"/>
  <c r="AR113" i="1"/>
  <c r="AT108" i="1"/>
  <c r="AR107" i="1"/>
  <c r="AT96" i="1"/>
  <c r="AR95" i="1"/>
  <c r="AT90" i="1"/>
  <c r="AR89" i="1"/>
  <c r="AS110" i="1"/>
  <c r="AS107" i="1"/>
  <c r="AT98" i="1"/>
  <c r="AS84" i="1"/>
  <c r="AR78" i="1"/>
  <c r="AS75" i="1"/>
  <c r="AS70" i="1"/>
  <c r="AS64" i="1"/>
  <c r="AS58" i="1"/>
  <c r="AS98" i="1"/>
  <c r="AR75" i="1"/>
  <c r="AT71" i="1"/>
  <c r="AR70" i="1"/>
  <c r="AR64" i="1"/>
  <c r="AT59" i="1"/>
  <c r="AR58" i="1"/>
  <c r="AT50" i="1"/>
  <c r="AR49" i="1"/>
  <c r="AT44" i="1"/>
  <c r="AR43" i="1"/>
  <c r="AT119" i="1"/>
  <c r="AS71" i="1"/>
  <c r="AS65" i="1"/>
  <c r="AS59" i="1"/>
  <c r="AS50" i="1"/>
  <c r="AT113" i="1"/>
  <c r="AR109" i="1"/>
  <c r="AS82" i="1"/>
  <c r="AS79" i="1"/>
  <c r="AT76" i="1"/>
  <c r="AT72" i="1"/>
  <c r="AR71" i="1"/>
  <c r="AT66" i="1"/>
  <c r="AR65" i="1"/>
  <c r="AR59" i="1"/>
  <c r="AT51" i="1"/>
  <c r="AR50" i="1"/>
  <c r="AR118" i="1"/>
  <c r="AS113" i="1"/>
  <c r="AR97" i="1"/>
  <c r="AT89" i="1"/>
  <c r="AR82" i="1"/>
  <c r="AR79" i="1"/>
  <c r="AS76" i="1"/>
  <c r="AS72" i="1"/>
  <c r="AS66" i="1"/>
  <c r="AS60" i="1"/>
  <c r="AS51" i="1"/>
  <c r="AS45" i="1"/>
  <c r="AS36" i="1"/>
  <c r="AS30" i="1"/>
  <c r="AS89" i="1"/>
  <c r="AR76" i="1"/>
  <c r="AR72" i="1"/>
  <c r="AT67" i="1"/>
  <c r="AR66" i="1"/>
  <c r="AT61" i="1"/>
  <c r="AR60" i="1"/>
  <c r="AT52" i="1"/>
  <c r="AR51" i="1"/>
  <c r="AT46" i="1"/>
  <c r="AR45" i="1"/>
  <c r="AT37" i="1"/>
  <c r="AR36" i="1"/>
  <c r="AR30" i="1"/>
  <c r="AT22" i="1"/>
  <c r="AT80" i="1"/>
  <c r="AS73" i="1"/>
  <c r="AS67" i="1"/>
  <c r="AS61" i="1"/>
  <c r="AS52" i="1"/>
  <c r="AS46" i="1"/>
  <c r="AS37" i="1"/>
  <c r="AT116" i="1"/>
  <c r="AR112" i="1"/>
  <c r="AS80" i="1"/>
  <c r="AR73" i="1"/>
  <c r="AT68" i="1"/>
  <c r="AR67" i="1"/>
  <c r="AT62" i="1"/>
  <c r="AR61" i="1"/>
  <c r="AR52" i="1"/>
  <c r="AT47" i="1"/>
  <c r="AR46" i="1"/>
  <c r="AT38" i="1"/>
  <c r="AR37" i="1"/>
  <c r="AS116" i="1"/>
  <c r="AT83" i="1"/>
  <c r="AT81" i="1"/>
  <c r="AR80" i="1"/>
  <c r="AS77" i="1"/>
  <c r="AS68" i="1"/>
  <c r="AS62" i="1"/>
  <c r="AS47" i="1"/>
  <c r="AT95" i="1"/>
  <c r="AS83" i="1"/>
  <c r="AS81" i="1"/>
  <c r="AT74" i="1"/>
  <c r="AT69" i="1"/>
  <c r="AR68" i="1"/>
  <c r="AT63" i="1"/>
  <c r="AR62" i="1"/>
  <c r="AT48" i="1"/>
  <c r="AR47" i="1"/>
  <c r="AR121" i="1"/>
  <c r="AS95" i="1"/>
  <c r="AR81" i="1"/>
  <c r="AS74" i="1"/>
  <c r="AS69" i="1"/>
  <c r="AS63" i="1"/>
  <c r="AS57" i="1"/>
  <c r="AS48" i="1"/>
  <c r="AR115" i="1"/>
  <c r="AT110" i="1"/>
  <c r="AS78" i="1"/>
  <c r="AT75" i="1"/>
  <c r="AR74" i="1"/>
  <c r="AR69" i="1"/>
  <c r="AT64" i="1"/>
  <c r="AR63" i="1"/>
  <c r="AT58" i="1"/>
  <c r="AR57" i="1"/>
  <c r="AR48" i="1"/>
  <c r="O13" i="3"/>
  <c r="AZ11" i="1"/>
  <c r="G11" i="3"/>
  <c r="AR13" i="1"/>
  <c r="T15" i="2"/>
  <c r="F27" i="2" s="1"/>
  <c r="F29" i="2" s="1"/>
  <c r="F10" i="3"/>
  <c r="AT14" i="1"/>
  <c r="BF14" i="1"/>
  <c r="I4" i="3"/>
  <c r="O6" i="3"/>
  <c r="G16" i="3"/>
  <c r="D33" i="3"/>
  <c r="D27" i="3"/>
  <c r="AR19" i="1"/>
  <c r="BF22" i="1"/>
  <c r="BF21" i="1" s="1"/>
  <c r="AW24" i="1"/>
  <c r="AR24" i="1"/>
  <c r="AS28" i="1"/>
  <c r="AS35" i="1"/>
  <c r="BI37" i="1"/>
  <c r="M43" i="1"/>
  <c r="M42" i="1" s="1"/>
  <c r="BB42" i="1"/>
  <c r="AT45" i="1"/>
  <c r="AE49" i="1"/>
  <c r="BC77" i="1"/>
  <c r="AX91" i="1"/>
  <c r="AW9" i="1"/>
  <c r="BI9" i="1"/>
  <c r="O12" i="3"/>
  <c r="AZ10" i="1"/>
  <c r="G8" i="3"/>
  <c r="AR12" i="1"/>
  <c r="AT13" i="1"/>
  <c r="L4" i="3"/>
  <c r="O5" i="3"/>
  <c r="AZ16" i="1"/>
  <c r="D15" i="3"/>
  <c r="J100" i="1"/>
  <c r="AR18" i="1"/>
  <c r="AT19" i="1"/>
  <c r="AR23" i="1"/>
  <c r="AT24" i="1"/>
  <c r="AR29" i="1"/>
  <c r="AZ45" i="1"/>
  <c r="AS13" i="1"/>
  <c r="S13" i="3"/>
  <c r="BC11" i="1"/>
  <c r="AS12" i="1"/>
  <c r="K11" i="3"/>
  <c r="AW14" i="1"/>
  <c r="BI14" i="1"/>
  <c r="M4" i="3"/>
  <c r="S6" i="3"/>
  <c r="E15" i="3"/>
  <c r="M100" i="1"/>
  <c r="AS18" i="1"/>
  <c r="H33" i="3"/>
  <c r="H27" i="3"/>
  <c r="K16" i="3"/>
  <c r="P20" i="1"/>
  <c r="AH20" i="1"/>
  <c r="AS23" i="1"/>
  <c r="AS29" i="1"/>
  <c r="AE43" i="1"/>
  <c r="BC45" i="1"/>
  <c r="AW45" i="1"/>
  <c r="BE91" i="1"/>
  <c r="F15" i="3"/>
  <c r="AT18" i="1"/>
  <c r="I33" i="3"/>
  <c r="I27" i="3"/>
  <c r="AT23" i="1"/>
  <c r="AH43" i="1"/>
  <c r="BC70" i="1"/>
  <c r="BC10" i="1"/>
  <c r="AS11" i="1"/>
  <c r="K8" i="3"/>
  <c r="AW13" i="1"/>
  <c r="BI13" i="1"/>
  <c r="P4" i="3"/>
  <c r="S5" i="3"/>
  <c r="BC16" i="1"/>
  <c r="AS17" i="1"/>
  <c r="H15" i="3"/>
  <c r="J33" i="3"/>
  <c r="J27" i="3"/>
  <c r="AW19" i="1"/>
  <c r="BI19" i="1"/>
  <c r="S20" i="1"/>
  <c r="AK20" i="1"/>
  <c r="Y39" i="1"/>
  <c r="BF37" i="1"/>
  <c r="AR38" i="1"/>
  <c r="BH42" i="1"/>
  <c r="BI48" i="1"/>
  <c r="BC73" i="1"/>
  <c r="S8" i="1"/>
  <c r="S253" i="1" s="1"/>
  <c r="I9" i="3"/>
  <c r="G13" i="3"/>
  <c r="AR10" i="1"/>
  <c r="AT11" i="1"/>
  <c r="BF11" i="1"/>
  <c r="O11" i="3"/>
  <c r="AZ14" i="1"/>
  <c r="Q4" i="3"/>
  <c r="G6" i="3"/>
  <c r="AR16" i="1"/>
  <c r="AT17" i="1"/>
  <c r="L33" i="3"/>
  <c r="L27" i="3"/>
  <c r="O16" i="3"/>
  <c r="AR22" i="1"/>
  <c r="AV32" i="1"/>
  <c r="AV40" i="1" s="1"/>
  <c r="AY34" i="1"/>
  <c r="AS38" i="1"/>
  <c r="BA43" i="1"/>
  <c r="AU56" i="1"/>
  <c r="AZ9" i="1"/>
  <c r="AR11" i="1"/>
  <c r="BC9" i="1"/>
  <c r="AS10" i="1"/>
  <c r="K14" i="3"/>
  <c r="AW12" i="1"/>
  <c r="BI12" i="1"/>
  <c r="M9" i="3"/>
  <c r="S10" i="3"/>
  <c r="R4" i="3"/>
  <c r="BC15" i="1"/>
  <c r="AS16" i="1"/>
  <c r="J15" i="3"/>
  <c r="J9" i="3" s="1"/>
  <c r="Y100" i="1"/>
  <c r="AW18" i="1"/>
  <c r="BI18" i="1"/>
  <c r="M33" i="3"/>
  <c r="M27" i="3"/>
  <c r="V20" i="1"/>
  <c r="AN20" i="1"/>
  <c r="AS22" i="1"/>
  <c r="AW23" i="1"/>
  <c r="AZ24" i="1"/>
  <c r="AS43" i="1"/>
  <c r="AW51" i="1"/>
  <c r="AU91" i="1"/>
  <c r="R15" i="3"/>
  <c r="S15" i="3" s="1"/>
  <c r="AQ100" i="1"/>
  <c r="AS19" i="1"/>
  <c r="AR9" i="1"/>
  <c r="AT10" i="1"/>
  <c r="BF10" i="1"/>
  <c r="AZ13" i="1"/>
  <c r="D4" i="3"/>
  <c r="G5" i="3"/>
  <c r="AR15" i="1"/>
  <c r="AT16" i="1"/>
  <c r="BF16" i="1"/>
  <c r="L15" i="3"/>
  <c r="AB100" i="1"/>
  <c r="N33" i="3"/>
  <c r="N27" i="3"/>
  <c r="AZ19" i="1"/>
  <c r="J43" i="1"/>
  <c r="AZ44" i="1"/>
  <c r="AR44" i="1"/>
  <c r="AW48" i="1"/>
  <c r="BC50" i="1"/>
  <c r="S49" i="1"/>
  <c r="S42" i="1" s="1"/>
  <c r="AY49" i="1"/>
  <c r="AY42" i="1" s="1"/>
  <c r="BC51" i="1"/>
  <c r="P56" i="1"/>
  <c r="BI73" i="1"/>
  <c r="P49" i="1"/>
  <c r="AB60" i="1"/>
  <c r="AH73" i="1"/>
  <c r="AK77" i="1"/>
  <c r="AN82" i="1"/>
  <c r="AW110" i="1"/>
  <c r="AZ115" i="1"/>
  <c r="AW50" i="1"/>
  <c r="M57" i="1"/>
  <c r="AW59" i="1"/>
  <c r="AW57" i="1" s="1"/>
  <c r="Y65" i="1"/>
  <c r="AT65" i="1" s="1"/>
  <c r="S70" i="1"/>
  <c r="AW71" i="1"/>
  <c r="AW70" i="1" s="1"/>
  <c r="AZ81" i="1"/>
  <c r="AE91" i="1"/>
  <c r="BA91" i="1"/>
  <c r="AB99" i="1"/>
  <c r="AV49" i="1"/>
  <c r="AZ51" i="1"/>
  <c r="I102" i="1"/>
  <c r="AA102" i="1"/>
  <c r="AB65" i="1"/>
  <c r="AZ66" i="1"/>
  <c r="AZ72" i="1"/>
  <c r="AN73" i="1"/>
  <c r="AZ76" i="1"/>
  <c r="AW84" i="1"/>
  <c r="AN91" i="1"/>
  <c r="BG91" i="1"/>
  <c r="AW90" i="1"/>
  <c r="M94" i="1"/>
  <c r="AW120" i="1"/>
  <c r="BC52" i="1"/>
  <c r="S57" i="1"/>
  <c r="BI58" i="1"/>
  <c r="BI57" i="1" s="1"/>
  <c r="AK60" i="1"/>
  <c r="BC61" i="1"/>
  <c r="BC60" i="1" s="1"/>
  <c r="BC67" i="1"/>
  <c r="Y70" i="1"/>
  <c r="AW78" i="1"/>
  <c r="AK88" i="1"/>
  <c r="AK91" i="1" s="1"/>
  <c r="BI89" i="1"/>
  <c r="AQ94" i="1"/>
  <c r="P94" i="1"/>
  <c r="AU94" i="1"/>
  <c r="BC114" i="1"/>
  <c r="AW114" i="1"/>
  <c r="AW115" i="1"/>
  <c r="AB43" i="1"/>
  <c r="AB49" i="1"/>
  <c r="AZ50" i="1"/>
  <c r="L102" i="1"/>
  <c r="AD102" i="1"/>
  <c r="AZ59" i="1"/>
  <c r="AB70" i="1"/>
  <c r="AZ71" i="1"/>
  <c r="AZ70" i="1" s="1"/>
  <c r="J73" i="1"/>
  <c r="AV73" i="1"/>
  <c r="BH73" i="1"/>
  <c r="AK100" i="1"/>
  <c r="BI96" i="1"/>
  <c r="AZ98" i="1"/>
  <c r="AZ112" i="1"/>
  <c r="AW116" i="1"/>
  <c r="AW69" i="1"/>
  <c r="AW74" i="1"/>
  <c r="BF78" i="1"/>
  <c r="AK82" i="1"/>
  <c r="BF84" i="1"/>
  <c r="V94" i="1"/>
  <c r="AN100" i="1"/>
  <c r="AN94" i="1"/>
  <c r="BI108" i="1"/>
  <c r="BH107" i="1"/>
  <c r="BH106" i="1" s="1"/>
  <c r="BD107" i="1"/>
  <c r="BD106" i="1" s="1"/>
  <c r="AZ110" i="1"/>
  <c r="AZ58" i="1"/>
  <c r="AZ64" i="1"/>
  <c r="AZ78" i="1"/>
  <c r="AW81" i="1"/>
  <c r="AW83" i="1"/>
  <c r="AW89" i="1"/>
  <c r="AW47" i="1"/>
  <c r="AW62" i="1"/>
  <c r="AW68" i="1"/>
  <c r="V77" i="1"/>
  <c r="BH91" i="1"/>
  <c r="AZ95" i="1"/>
  <c r="AZ97" i="1"/>
  <c r="AW111" i="1"/>
  <c r="BC111" i="1"/>
  <c r="AW112" i="1"/>
  <c r="AW113" i="1"/>
  <c r="AZ118" i="1"/>
  <c r="AZ69" i="1"/>
  <c r="AZ74" i="1"/>
  <c r="BF76" i="1"/>
  <c r="P91" i="1"/>
  <c r="BA94" i="1"/>
  <c r="AV99" i="1"/>
  <c r="AZ109" i="1"/>
  <c r="AW61" i="1"/>
  <c r="AB77" i="1"/>
  <c r="AZ82" i="1"/>
  <c r="BI90" i="1"/>
  <c r="BD99" i="1"/>
  <c r="P100" i="1"/>
  <c r="AV107" i="1"/>
  <c r="AW119" i="1"/>
  <c r="AZ47" i="1"/>
  <c r="U102" i="1"/>
  <c r="AM102" i="1"/>
  <c r="AZ62" i="1"/>
  <c r="AZ68" i="1"/>
  <c r="AZ75" i="1"/>
  <c r="BD77" i="1"/>
  <c r="AH82" i="1"/>
  <c r="S88" i="1"/>
  <c r="BB91" i="1"/>
  <c r="V88" i="1"/>
  <c r="V91" i="1" s="1"/>
  <c r="AK94" i="1"/>
  <c r="BI95" i="1"/>
  <c r="BC96" i="1"/>
  <c r="BC94" i="1" s="1"/>
  <c r="S100" i="1"/>
  <c r="AW96" i="1"/>
  <c r="AW97" i="1"/>
  <c r="BB99" i="1"/>
  <c r="AX107" i="1"/>
  <c r="AX106" i="1" s="1"/>
  <c r="AW118" i="1"/>
  <c r="BI120" i="1"/>
  <c r="BE99" i="1"/>
  <c r="V100" i="1"/>
  <c r="BC108" i="1"/>
  <c r="AW108" i="1"/>
  <c r="AW117" i="1"/>
  <c r="BC117" i="1"/>
  <c r="C69" i="3"/>
  <c r="AN186" i="1"/>
  <c r="AZ111" i="1"/>
  <c r="AZ117" i="1"/>
  <c r="C61" i="3"/>
  <c r="P186" i="1"/>
  <c r="AY224" i="1"/>
  <c r="C62" i="3"/>
  <c r="S186" i="1"/>
  <c r="C63" i="3"/>
  <c r="V186" i="1"/>
  <c r="C64" i="3"/>
  <c r="Y186" i="1"/>
  <c r="C65" i="3"/>
  <c r="AB186" i="1"/>
  <c r="S94" i="1"/>
  <c r="C66" i="3"/>
  <c r="AE186" i="1"/>
  <c r="AZ90" i="1"/>
  <c r="AZ88" i="1" s="1"/>
  <c r="AZ96" i="1"/>
  <c r="AZ108" i="1"/>
  <c r="AZ114" i="1"/>
  <c r="C67" i="3"/>
  <c r="AH186" i="1"/>
  <c r="AZ120" i="1"/>
  <c r="BG224" i="1"/>
  <c r="C68" i="3"/>
  <c r="AK186" i="1"/>
  <c r="AX224" i="1"/>
  <c r="AX241" i="1"/>
  <c r="C70" i="3"/>
  <c r="AQ186" i="1"/>
  <c r="BC120" i="1"/>
  <c r="C59" i="3"/>
  <c r="J186" i="1"/>
  <c r="C60" i="3"/>
  <c r="M186" i="1"/>
  <c r="S179" i="1"/>
  <c r="AT179" i="1" s="1"/>
  <c r="AQ181" i="1"/>
  <c r="BI181" i="1" s="1"/>
  <c r="AW184" i="1"/>
  <c r="AW196" i="1"/>
  <c r="AW202" i="1"/>
  <c r="AW208" i="1"/>
  <c r="AW218" i="1"/>
  <c r="BI220" i="1"/>
  <c r="AK253" i="1"/>
  <c r="BD253" i="1"/>
  <c r="AU264" i="1"/>
  <c r="J181" i="1"/>
  <c r="AT181" i="1" s="1"/>
  <c r="AZ185" i="1"/>
  <c r="AZ191" i="1"/>
  <c r="AZ197" i="1"/>
  <c r="J199" i="1"/>
  <c r="BF200" i="1"/>
  <c r="AZ203" i="1"/>
  <c r="J205" i="1"/>
  <c r="BF206" i="1"/>
  <c r="AZ209" i="1"/>
  <c r="P224" i="1"/>
  <c r="AQ216" i="1"/>
  <c r="AQ224" i="1" s="1"/>
  <c r="AN253" i="1"/>
  <c r="AV264" i="1"/>
  <c r="V179" i="1"/>
  <c r="BC180" i="1"/>
  <c r="BC179" i="1" s="1"/>
  <c r="AW183" i="1"/>
  <c r="BI183" i="1"/>
  <c r="AW189" i="1"/>
  <c r="AW195" i="1"/>
  <c r="AW201" i="1"/>
  <c r="AW207" i="1"/>
  <c r="BC210" i="1"/>
  <c r="AW217" i="1"/>
  <c r="J216" i="1"/>
  <c r="AY241" i="1"/>
  <c r="AZ229" i="1"/>
  <c r="AW229" i="1"/>
  <c r="BA253" i="1"/>
  <c r="BG253" i="1"/>
  <c r="AH253" i="1"/>
  <c r="AV278" i="1"/>
  <c r="AZ184" i="1"/>
  <c r="AZ196" i="1"/>
  <c r="AZ202" i="1"/>
  <c r="AZ208" i="1"/>
  <c r="AW220" i="1"/>
  <c r="AZ223" i="1"/>
  <c r="BH241" i="1"/>
  <c r="BB253" i="1"/>
  <c r="BH253" i="1"/>
  <c r="AY264" i="1"/>
  <c r="P264" i="1"/>
  <c r="AX278" i="1"/>
  <c r="S199" i="1"/>
  <c r="BI200" i="1"/>
  <c r="BI199" i="1" s="1"/>
  <c r="S205" i="1"/>
  <c r="BI206" i="1"/>
  <c r="AB216" i="1"/>
  <c r="AB224" i="1" s="1"/>
  <c r="AQ253" i="1"/>
  <c r="AZ183" i="1"/>
  <c r="AZ189" i="1"/>
  <c r="AZ195" i="1"/>
  <c r="AZ201" i="1"/>
  <c r="AZ207" i="1"/>
  <c r="BB224" i="1"/>
  <c r="BC223" i="1"/>
  <c r="AW223" i="1"/>
  <c r="BF227" i="1"/>
  <c r="AW233" i="1"/>
  <c r="AU253" i="1"/>
  <c r="BE224" i="1"/>
  <c r="BD241" i="1"/>
  <c r="P292" i="1"/>
  <c r="AK224" i="1"/>
  <c r="AZ221" i="1"/>
  <c r="AW221" i="1"/>
  <c r="BB241" i="1"/>
  <c r="BD264" i="1"/>
  <c r="AW180" i="1"/>
  <c r="AW179" i="1" s="1"/>
  <c r="AW192" i="1"/>
  <c r="AW198" i="1"/>
  <c r="AW204" i="1"/>
  <c r="AN224" i="1"/>
  <c r="BG241" i="1"/>
  <c r="AY253" i="1"/>
  <c r="AX253" i="1"/>
  <c r="AN264" i="1"/>
  <c r="BE264" i="1"/>
  <c r="AH181" i="1"/>
  <c r="BF181" i="1" s="1"/>
  <c r="AZ187" i="1"/>
  <c r="AZ193" i="1"/>
  <c r="AZ211" i="1"/>
  <c r="BE241" i="1"/>
  <c r="BG264" i="1"/>
  <c r="BC217" i="1"/>
  <c r="BF220" i="1"/>
  <c r="BF216" i="1" s="1"/>
  <c r="AQ241" i="1"/>
  <c r="BI228" i="1"/>
  <c r="BI226" i="1" s="1"/>
  <c r="BB264" i="1"/>
  <c r="BH278" i="1"/>
  <c r="AZ180" i="1"/>
  <c r="AZ179" i="1" s="1"/>
  <c r="AZ192" i="1"/>
  <c r="AZ198" i="1"/>
  <c r="AZ204" i="1"/>
  <c r="AZ212" i="1"/>
  <c r="AV224" i="1"/>
  <c r="BD216" i="1"/>
  <c r="BD224" i="1" s="1"/>
  <c r="AZ222" i="1"/>
  <c r="AW222" i="1"/>
  <c r="AW227" i="1"/>
  <c r="AU241" i="1"/>
  <c r="AN241" i="1"/>
  <c r="BF233" i="1"/>
  <c r="AQ264" i="1"/>
  <c r="BD278" i="1"/>
  <c r="AK278" i="1"/>
  <c r="BG278" i="1"/>
  <c r="AZ272" i="1"/>
  <c r="AW272" i="1"/>
  <c r="BE292" i="1"/>
  <c r="AQ300" i="1"/>
  <c r="BG300" i="1"/>
  <c r="U12" i="2"/>
  <c r="BC228" i="1"/>
  <c r="AW231" i="1"/>
  <c r="BC234" i="1"/>
  <c r="AW237" i="1"/>
  <c r="BC240" i="1"/>
  <c r="AW246" i="1"/>
  <c r="BC249" i="1"/>
  <c r="AW258" i="1"/>
  <c r="BC261" i="1"/>
  <c r="BI269" i="1"/>
  <c r="BB292" i="1"/>
  <c r="BF282" i="1"/>
  <c r="AZ287" i="1"/>
  <c r="AW287" i="1"/>
  <c r="AK300" i="1"/>
  <c r="BH300" i="1"/>
  <c r="AZ232" i="1"/>
  <c r="AZ238" i="1"/>
  <c r="J243" i="1"/>
  <c r="BF244" i="1"/>
  <c r="BF243" i="1" s="1"/>
  <c r="AZ247" i="1"/>
  <c r="J255" i="1"/>
  <c r="BF256" i="1"/>
  <c r="AZ259" i="1"/>
  <c r="BC268" i="1"/>
  <c r="AW268" i="1"/>
  <c r="BI270" i="1"/>
  <c r="BC303" i="1"/>
  <c r="AY306" i="1"/>
  <c r="AX306" i="1"/>
  <c r="AK226" i="1"/>
  <c r="AK241" i="1" s="1"/>
  <c r="BC227" i="1"/>
  <c r="AW230" i="1"/>
  <c r="AW236" i="1"/>
  <c r="AW245" i="1"/>
  <c r="AW257" i="1"/>
  <c r="AN266" i="1"/>
  <c r="AN278" i="1" s="1"/>
  <c r="BC272" i="1"/>
  <c r="AW273" i="1"/>
  <c r="AZ273" i="1"/>
  <c r="AW288" i="1"/>
  <c r="AZ288" i="1"/>
  <c r="AN300" i="1"/>
  <c r="AZ231" i="1"/>
  <c r="AZ237" i="1"/>
  <c r="AZ246" i="1"/>
  <c r="AZ258" i="1"/>
  <c r="AU278" i="1"/>
  <c r="AQ266" i="1"/>
  <c r="AQ278" i="1" s="1"/>
  <c r="AY266" i="1"/>
  <c r="AY278" i="1" s="1"/>
  <c r="J280" i="1"/>
  <c r="AZ281" i="1"/>
  <c r="AW281" i="1"/>
  <c r="BC287" i="1"/>
  <c r="J300" i="1"/>
  <c r="AW321" i="1"/>
  <c r="AW235" i="1"/>
  <c r="AW244" i="1"/>
  <c r="AW250" i="1"/>
  <c r="AW256" i="1"/>
  <c r="AW262" i="1"/>
  <c r="J266" i="1"/>
  <c r="BF267" i="1"/>
  <c r="BF268" i="1"/>
  <c r="AZ268" i="1"/>
  <c r="AW270" i="1"/>
  <c r="AW274" i="1"/>
  <c r="AU292" i="1"/>
  <c r="AV300" i="1"/>
  <c r="AW296" i="1"/>
  <c r="AX300" i="1"/>
  <c r="J226" i="1"/>
  <c r="AZ230" i="1"/>
  <c r="AZ236" i="1"/>
  <c r="AZ245" i="1"/>
  <c r="AZ257" i="1"/>
  <c r="BI271" i="1"/>
  <c r="BC274" i="1"/>
  <c r="AW276" i="1"/>
  <c r="BI277" i="1"/>
  <c r="AV280" i="1"/>
  <c r="AW282" i="1"/>
  <c r="AZ282" i="1"/>
  <c r="P278" i="1"/>
  <c r="BC281" i="1"/>
  <c r="AX280" i="1"/>
  <c r="AX292" i="1" s="1"/>
  <c r="BI286" i="1"/>
  <c r="BC295" i="1"/>
  <c r="BC294" i="1" s="1"/>
  <c r="AW297" i="1"/>
  <c r="BE306" i="1"/>
  <c r="AZ235" i="1"/>
  <c r="AB243" i="1"/>
  <c r="AB253" i="1" s="1"/>
  <c r="AZ244" i="1"/>
  <c r="AZ250" i="1"/>
  <c r="AB255" i="1"/>
  <c r="AB264" i="1" s="1"/>
  <c r="AZ256" i="1"/>
  <c r="AZ262" i="1"/>
  <c r="AW267" i="1"/>
  <c r="AY300" i="1"/>
  <c r="BG306" i="1"/>
  <c r="BB266" i="1"/>
  <c r="BB278" i="1" s="1"/>
  <c r="BF274" i="1"/>
  <c r="BC283" i="1"/>
  <c r="BF297" i="1"/>
  <c r="BD306" i="1"/>
  <c r="AZ234" i="1"/>
  <c r="AZ240" i="1"/>
  <c r="AZ261" i="1"/>
  <c r="AW263" i="1"/>
  <c r="BE278" i="1"/>
  <c r="AN292" i="1"/>
  <c r="AB292" i="1"/>
  <c r="BD300" i="1"/>
  <c r="AE300" i="1"/>
  <c r="BB300" i="1"/>
  <c r="AQ292" i="1"/>
  <c r="BD280" i="1"/>
  <c r="BD292" i="1" s="1"/>
  <c r="AY292" i="1"/>
  <c r="BE300" i="1"/>
  <c r="AU306" i="1"/>
  <c r="S280" i="1"/>
  <c r="BI281" i="1"/>
  <c r="BI280" i="1" s="1"/>
  <c r="S294" i="1"/>
  <c r="AW295" i="1"/>
  <c r="BI295" i="1"/>
  <c r="BH302" i="1"/>
  <c r="BC321" i="1"/>
  <c r="AN334" i="1"/>
  <c r="BI335" i="1"/>
  <c r="AU363" i="1"/>
  <c r="AW359" i="1"/>
  <c r="AZ296" i="1"/>
  <c r="AW303" i="1"/>
  <c r="BI303" i="1"/>
  <c r="AK334" i="1"/>
  <c r="BG334" i="1"/>
  <c r="AY363" i="1"/>
  <c r="AW360" i="1"/>
  <c r="AW271" i="1"/>
  <c r="AW277" i="1"/>
  <c r="AW286" i="1"/>
  <c r="BC353" i="1"/>
  <c r="H32" i="2"/>
  <c r="AB294" i="1"/>
  <c r="AB300" i="1" s="1"/>
  <c r="AZ295" i="1"/>
  <c r="BI304" i="1"/>
  <c r="AW335" i="1"/>
  <c r="M334" i="1"/>
  <c r="I32" i="2"/>
  <c r="I24" i="2"/>
  <c r="AZ303" i="1"/>
  <c r="P334" i="1"/>
  <c r="P363" i="1" s="1"/>
  <c r="AZ336" i="1"/>
  <c r="AW336" i="1"/>
  <c r="AZ339" i="1"/>
  <c r="AW339" i="1"/>
  <c r="AW350" i="1"/>
  <c r="AZ271" i="1"/>
  <c r="AZ277" i="1"/>
  <c r="AZ286" i="1"/>
  <c r="J334" i="1"/>
  <c r="AW338" i="1"/>
  <c r="BI343" i="1"/>
  <c r="BD363" i="1"/>
  <c r="J32" i="2"/>
  <c r="J24" i="2"/>
  <c r="AW269" i="1"/>
  <c r="AW275" i="1"/>
  <c r="AW284" i="1"/>
  <c r="AW298" i="1"/>
  <c r="AZ304" i="1"/>
  <c r="AW304" i="1"/>
  <c r="AW320" i="1"/>
  <c r="AV325" i="1"/>
  <c r="V334" i="1"/>
  <c r="V363" i="1" s="1"/>
  <c r="AW337" i="1"/>
  <c r="BC349" i="1"/>
  <c r="AK363" i="1"/>
  <c r="Y334" i="1"/>
  <c r="Y363" i="1" s="1"/>
  <c r="BC336" i="1"/>
  <c r="S334" i="1"/>
  <c r="AX334" i="1"/>
  <c r="AX363" i="1" s="1"/>
  <c r="AW341" i="1"/>
  <c r="AQ363" i="1"/>
  <c r="BE363" i="1"/>
  <c r="N32" i="2"/>
  <c r="N24" i="2"/>
  <c r="BA306" i="1"/>
  <c r="BA334" i="1"/>
  <c r="BA363" i="1"/>
  <c r="BI357" i="1"/>
  <c r="AZ269" i="1"/>
  <c r="AZ275" i="1"/>
  <c r="AZ284" i="1"/>
  <c r="AZ298" i="1"/>
  <c r="BC304" i="1"/>
  <c r="BC318" i="1"/>
  <c r="AW344" i="1"/>
  <c r="BI347" i="1"/>
  <c r="BB363" i="1"/>
  <c r="BC341" i="1"/>
  <c r="AZ358" i="1"/>
  <c r="AW358" i="1"/>
  <c r="BI336" i="1"/>
  <c r="BF341" i="1"/>
  <c r="AW349" i="1"/>
  <c r="BF354" i="1"/>
  <c r="AW355" i="1"/>
  <c r="AZ356" i="1"/>
  <c r="K23" i="2"/>
  <c r="AZ337" i="1"/>
  <c r="AW340" i="1"/>
  <c r="AZ341" i="1"/>
  <c r="BC342" i="1"/>
  <c r="AZ360" i="1"/>
  <c r="K22" i="2"/>
  <c r="AZ345" i="1"/>
  <c r="BC346" i="1"/>
  <c r="L22" i="2"/>
  <c r="AV334" i="1"/>
  <c r="AZ338" i="1"/>
  <c r="AZ349" i="1"/>
  <c r="J353" i="1"/>
  <c r="AW354" i="1"/>
  <c r="AZ355" i="1"/>
  <c r="M22" i="2"/>
  <c r="AZ340" i="1"/>
  <c r="O23" i="2"/>
  <c r="T5" i="2"/>
  <c r="T12" i="2" s="1"/>
  <c r="AZ318" i="1"/>
  <c r="AZ321" i="1"/>
  <c r="AB334" i="1"/>
  <c r="AB363" i="1" s="1"/>
  <c r="AZ335" i="1"/>
  <c r="AW347" i="1"/>
  <c r="AZ348" i="1"/>
  <c r="AZ350" i="1"/>
  <c r="O22" i="2"/>
  <c r="D23" i="2"/>
  <c r="AW351" i="1"/>
  <c r="S353" i="1"/>
  <c r="AH353" i="1"/>
  <c r="AH363" i="1" s="1"/>
  <c r="AZ354" i="1"/>
  <c r="AW357" i="1"/>
  <c r="E23" i="2"/>
  <c r="F22" i="2"/>
  <c r="D32" i="2"/>
  <c r="F23" i="2"/>
  <c r="AZ343" i="1"/>
  <c r="E22" i="2"/>
  <c r="AZ351" i="1"/>
  <c r="AZ357" i="1"/>
  <c r="AZ359" i="1"/>
  <c r="G22" i="2"/>
  <c r="H23" i="2"/>
  <c r="H24" i="2" s="1"/>
  <c r="AZ344" i="1"/>
  <c r="C34" i="2"/>
  <c r="F27" i="3"/>
  <c r="F9" i="3" l="1"/>
  <c r="BE32" i="1"/>
  <c r="M241" i="1"/>
  <c r="BI107" i="1"/>
  <c r="AY99" i="1"/>
  <c r="AN56" i="1"/>
  <c r="AN85" i="1" s="1"/>
  <c r="T12" i="3"/>
  <c r="BF280" i="1"/>
  <c r="AK292" i="1"/>
  <c r="M300" i="1"/>
  <c r="BF60" i="1"/>
  <c r="BF255" i="1"/>
  <c r="M224" i="1"/>
  <c r="BE25" i="1"/>
  <c r="BF82" i="1"/>
  <c r="AB91" i="1"/>
  <c r="Z3" i="1"/>
  <c r="AQ42" i="1"/>
  <c r="AQ54" i="1" s="1"/>
  <c r="AX56" i="1"/>
  <c r="AN363" i="1"/>
  <c r="AB278" i="1"/>
  <c r="AZ199" i="1"/>
  <c r="BF77" i="1"/>
  <c r="AQ91" i="1"/>
  <c r="AO3" i="1"/>
  <c r="BB25" i="1"/>
  <c r="BI77" i="1"/>
  <c r="BF334" i="1"/>
  <c r="BF294" i="1"/>
  <c r="BI266" i="1"/>
  <c r="BI88" i="1"/>
  <c r="N25" i="3"/>
  <c r="BB106" i="1"/>
  <c r="BB213" i="1" s="1"/>
  <c r="BI243" i="1"/>
  <c r="BI294" i="1"/>
  <c r="AZ20" i="1"/>
  <c r="BI255" i="1"/>
  <c r="M278" i="1"/>
  <c r="BF205" i="1"/>
  <c r="M91" i="1"/>
  <c r="BC216" i="1"/>
  <c r="BF353" i="1"/>
  <c r="BF363" i="1" s="1"/>
  <c r="AZ266" i="1"/>
  <c r="S300" i="1"/>
  <c r="AH25" i="1"/>
  <c r="AF3" i="1"/>
  <c r="BE53" i="1"/>
  <c r="AY56" i="1"/>
  <c r="BF88" i="1"/>
  <c r="AV241" i="1"/>
  <c r="AV253" i="1"/>
  <c r="BG56" i="1"/>
  <c r="BG99" i="1"/>
  <c r="BG85" i="1"/>
  <c r="BG86" i="1"/>
  <c r="AW73" i="1"/>
  <c r="BC57" i="1"/>
  <c r="BB56" i="1"/>
  <c r="BB86" i="1" s="1"/>
  <c r="AB56" i="1"/>
  <c r="BA56" i="1"/>
  <c r="BA85" i="1" s="1"/>
  <c r="BF73" i="1"/>
  <c r="BE56" i="1"/>
  <c r="BE86" i="1" s="1"/>
  <c r="BD56" i="1"/>
  <c r="BD85" i="1" s="1"/>
  <c r="BH56" i="1"/>
  <c r="BC65" i="1"/>
  <c r="AW60" i="1"/>
  <c r="AZ49" i="1"/>
  <c r="BD42" i="1"/>
  <c r="AE42" i="1"/>
  <c r="BA42" i="1"/>
  <c r="AH42" i="1"/>
  <c r="AE56" i="1"/>
  <c r="AE85" i="1" s="1"/>
  <c r="BI60" i="1"/>
  <c r="BF65" i="1"/>
  <c r="AQ56" i="1"/>
  <c r="AQ85" i="1" s="1"/>
  <c r="AH56" i="1"/>
  <c r="BI82" i="1"/>
  <c r="BG54" i="1"/>
  <c r="BG53" i="1"/>
  <c r="AU54" i="1"/>
  <c r="AW43" i="1"/>
  <c r="AK42" i="1"/>
  <c r="AK53" i="1" s="1"/>
  <c r="AX42" i="1"/>
  <c r="AV42" i="1"/>
  <c r="BI49" i="1"/>
  <c r="BI43" i="1"/>
  <c r="BF43" i="1"/>
  <c r="BF42" i="1" s="1"/>
  <c r="BF53" i="1" s="1"/>
  <c r="BB40" i="1"/>
  <c r="BH40" i="1"/>
  <c r="AX40" i="1"/>
  <c r="BI353" i="1"/>
  <c r="M363" i="1"/>
  <c r="BG363" i="1"/>
  <c r="BC334" i="1"/>
  <c r="S363" i="1"/>
  <c r="AV363" i="1"/>
  <c r="AZ294" i="1"/>
  <c r="AE292" i="1"/>
  <c r="Y292" i="1"/>
  <c r="BC266" i="1"/>
  <c r="BF266" i="1"/>
  <c r="BC255" i="1"/>
  <c r="BC264" i="1" s="1"/>
  <c r="AX308" i="1"/>
  <c r="AX309" i="1" s="1"/>
  <c r="AW243" i="1"/>
  <c r="BC243" i="1"/>
  <c r="BC253" i="1" s="1"/>
  <c r="BF226" i="1"/>
  <c r="AZ226" i="1"/>
  <c r="AZ216" i="1"/>
  <c r="BI216" i="1"/>
  <c r="AY214" i="1"/>
  <c r="AY213" i="1"/>
  <c r="AZ205" i="1"/>
  <c r="AW205" i="1"/>
  <c r="BI205" i="1"/>
  <c r="AW199" i="1"/>
  <c r="BF199" i="1"/>
  <c r="AU106" i="1"/>
  <c r="AU308" i="1" s="1"/>
  <c r="AU309" i="1" s="1"/>
  <c r="BG106" i="1"/>
  <c r="BE106" i="1"/>
  <c r="BA308" i="1"/>
  <c r="BA309" i="1" s="1"/>
  <c r="BA214" i="1"/>
  <c r="AT107" i="1"/>
  <c r="BF107" i="1"/>
  <c r="AW94" i="1"/>
  <c r="AV91" i="1"/>
  <c r="AW88" i="1"/>
  <c r="V56" i="1"/>
  <c r="S56" i="1"/>
  <c r="BB85" i="1"/>
  <c r="BG102" i="1"/>
  <c r="BG103" i="1" s="1"/>
  <c r="Y56" i="1"/>
  <c r="Y86" i="1" s="1"/>
  <c r="AZ60" i="1"/>
  <c r="BI65" i="1"/>
  <c r="AW65" i="1"/>
  <c r="AT73" i="1"/>
  <c r="AV56" i="1"/>
  <c r="AV86" i="1" s="1"/>
  <c r="AZ73" i="1"/>
  <c r="AZ77" i="1"/>
  <c r="AT49" i="1"/>
  <c r="Y42" i="1"/>
  <c r="Y53" i="1" s="1"/>
  <c r="BE40" i="1"/>
  <c r="AZ21" i="1"/>
  <c r="BC21" i="1"/>
  <c r="AH91" i="1"/>
  <c r="S278" i="1"/>
  <c r="V241" i="1"/>
  <c r="AE278" i="1"/>
  <c r="BI20" i="1"/>
  <c r="BA264" i="1"/>
  <c r="M292" i="1"/>
  <c r="AH241" i="1"/>
  <c r="BA241" i="1"/>
  <c r="Y241" i="1"/>
  <c r="M264" i="1"/>
  <c r="T13" i="3"/>
  <c r="AW20" i="1"/>
  <c r="J25" i="3"/>
  <c r="J29" i="3" s="1"/>
  <c r="Y327" i="1" s="1"/>
  <c r="AE25" i="1"/>
  <c r="AE264" i="1"/>
  <c r="V264" i="1"/>
  <c r="Y224" i="1"/>
  <c r="O4" i="3"/>
  <c r="O20" i="3" s="1"/>
  <c r="O36" i="3" s="1"/>
  <c r="AH278" i="1"/>
  <c r="J20" i="3"/>
  <c r="J36" i="3" s="1"/>
  <c r="AT20" i="1"/>
  <c r="H9" i="3"/>
  <c r="H26" i="3" s="1"/>
  <c r="V54" i="1"/>
  <c r="AH300" i="1"/>
  <c r="Y25" i="1"/>
  <c r="BA300" i="1"/>
  <c r="AH264" i="1"/>
  <c r="Y264" i="1"/>
  <c r="V278" i="1"/>
  <c r="Y99" i="1"/>
  <c r="D9" i="3"/>
  <c r="D17" i="3" s="1"/>
  <c r="N31" i="3"/>
  <c r="V224" i="1"/>
  <c r="R12" i="2"/>
  <c r="AE253" i="1"/>
  <c r="AE224" i="1"/>
  <c r="AH224" i="1"/>
  <c r="AH99" i="1"/>
  <c r="E9" i="3"/>
  <c r="E23" i="3" s="1"/>
  <c r="E22" i="3" s="1"/>
  <c r="V25" i="1"/>
  <c r="T7" i="3"/>
  <c r="Y91" i="1"/>
  <c r="S292" i="1"/>
  <c r="V292" i="1"/>
  <c r="AE99" i="1"/>
  <c r="Y300" i="1"/>
  <c r="Y253" i="1"/>
  <c r="S12" i="2"/>
  <c r="R9" i="3"/>
  <c r="R23" i="3" s="1"/>
  <c r="R21" i="3" s="1"/>
  <c r="V300" i="1"/>
  <c r="AH292" i="1"/>
  <c r="T14" i="3"/>
  <c r="BA292" i="1"/>
  <c r="Y278" i="1"/>
  <c r="BA278" i="1"/>
  <c r="M253" i="1"/>
  <c r="BC8" i="1"/>
  <c r="AR42" i="1"/>
  <c r="AR53" i="1" s="1"/>
  <c r="AS27" i="1"/>
  <c r="AS21" i="1"/>
  <c r="AR21" i="1"/>
  <c r="AT8" i="1"/>
  <c r="AR325" i="1"/>
  <c r="AR34" i="1"/>
  <c r="AR39" i="1" s="1"/>
  <c r="AT88" i="1"/>
  <c r="AS334" i="1"/>
  <c r="AT266" i="1"/>
  <c r="AS243" i="1"/>
  <c r="AS353" i="1"/>
  <c r="AS8" i="1"/>
  <c r="AS280" i="1"/>
  <c r="AS302" i="1"/>
  <c r="AS42" i="1"/>
  <c r="AS53" i="1" s="1"/>
  <c r="N23" i="3"/>
  <c r="N21" i="3" s="1"/>
  <c r="N32" i="3"/>
  <c r="N26" i="3"/>
  <c r="N29" i="3" s="1"/>
  <c r="AH327" i="1" s="1"/>
  <c r="N17" i="3"/>
  <c r="AN86" i="1"/>
  <c r="F23" i="3"/>
  <c r="F22" i="3" s="1"/>
  <c r="F32" i="3"/>
  <c r="F26" i="3"/>
  <c r="AY53" i="1"/>
  <c r="AY54" i="1"/>
  <c r="AY102" i="1"/>
  <c r="AY103" i="1" s="1"/>
  <c r="AB86" i="1"/>
  <c r="AB85" i="1"/>
  <c r="H34" i="2"/>
  <c r="H30" i="2"/>
  <c r="S53" i="1"/>
  <c r="S54" i="1"/>
  <c r="BC56" i="1"/>
  <c r="J23" i="3"/>
  <c r="J22" i="3" s="1"/>
  <c r="J32" i="3"/>
  <c r="J34" i="3" s="1"/>
  <c r="Y329" i="1" s="1"/>
  <c r="J26" i="3"/>
  <c r="J17" i="3"/>
  <c r="D20" i="3"/>
  <c r="D31" i="3"/>
  <c r="D25" i="3"/>
  <c r="BC3" i="1"/>
  <c r="BA3" i="1"/>
  <c r="BH85" i="1"/>
  <c r="BH86" i="1"/>
  <c r="BH102" i="1"/>
  <c r="BH103" i="1" s="1"/>
  <c r="P306" i="1"/>
  <c r="AZ334" i="1"/>
  <c r="AW334" i="1"/>
  <c r="BC363" i="1"/>
  <c r="AW226" i="1"/>
  <c r="AW216" i="1"/>
  <c r="AH188" i="1"/>
  <c r="AH190" i="1"/>
  <c r="AN188" i="1"/>
  <c r="AN190" i="1"/>
  <c r="BA99" i="1"/>
  <c r="AE53" i="1"/>
  <c r="AE54" i="1"/>
  <c r="T8" i="3"/>
  <c r="AS88" i="1"/>
  <c r="AS255" i="1"/>
  <c r="AS226" i="1"/>
  <c r="AT280" i="1"/>
  <c r="AR334" i="1"/>
  <c r="S25" i="1"/>
  <c r="AB305" i="1"/>
  <c r="AB25" i="1"/>
  <c r="AB3" i="1"/>
  <c r="BC91" i="1"/>
  <c r="P23" i="3"/>
  <c r="P21" i="3" s="1"/>
  <c r="P32" i="3"/>
  <c r="P26" i="3"/>
  <c r="BI8" i="1"/>
  <c r="BI253" i="1" s="1"/>
  <c r="AB188" i="1"/>
  <c r="BF186" i="1"/>
  <c r="AB190" i="1"/>
  <c r="J292" i="1"/>
  <c r="S99" i="1"/>
  <c r="P190" i="1"/>
  <c r="P188" i="1"/>
  <c r="AV106" i="1"/>
  <c r="AV308" i="1" s="1"/>
  <c r="AN99" i="1"/>
  <c r="AK56" i="1"/>
  <c r="AZ43" i="1"/>
  <c r="AZ42" i="1" s="1"/>
  <c r="AU85" i="1"/>
  <c r="AU86" i="1"/>
  <c r="AT186" i="1"/>
  <c r="P42" i="1"/>
  <c r="Y305" i="1"/>
  <c r="Y302" i="1" s="1"/>
  <c r="Y3" i="1"/>
  <c r="S9" i="3"/>
  <c r="AT43" i="1"/>
  <c r="BA54" i="1"/>
  <c r="BA53" i="1"/>
  <c r="AW353" i="1"/>
  <c r="AW363" i="1" s="1"/>
  <c r="AW294" i="1"/>
  <c r="AZ353" i="1"/>
  <c r="BC300" i="1"/>
  <c r="J241" i="1"/>
  <c r="M190" i="1"/>
  <c r="M188" i="1"/>
  <c r="BC99" i="1"/>
  <c r="BI56" i="1"/>
  <c r="O27" i="3"/>
  <c r="O33" i="3"/>
  <c r="S4" i="3"/>
  <c r="M25" i="3"/>
  <c r="M17" i="3"/>
  <c r="M20" i="3"/>
  <c r="M31" i="3"/>
  <c r="AT70" i="1"/>
  <c r="AR255" i="1"/>
  <c r="AT255" i="1"/>
  <c r="V305" i="1"/>
  <c r="V302" i="1" s="1"/>
  <c r="V3" i="1"/>
  <c r="T3" i="1"/>
  <c r="K33" i="2"/>
  <c r="AE36" i="1"/>
  <c r="BF36" i="1" s="1"/>
  <c r="BI334" i="1"/>
  <c r="AZ255" i="1"/>
  <c r="AV292" i="1"/>
  <c r="AK188" i="1"/>
  <c r="BI186" i="1"/>
  <c r="AK190" i="1"/>
  <c r="AZ107" i="1"/>
  <c r="BI94" i="1"/>
  <c r="AZ57" i="1"/>
  <c r="V99" i="1"/>
  <c r="AU102" i="1"/>
  <c r="AU103" i="1" s="1"/>
  <c r="AU99" i="1"/>
  <c r="S85" i="1"/>
  <c r="S86" i="1"/>
  <c r="AX86" i="1"/>
  <c r="AX85" i="1"/>
  <c r="J42" i="1"/>
  <c r="G4" i="3"/>
  <c r="T5" i="3"/>
  <c r="P20" i="3"/>
  <c r="P31" i="3"/>
  <c r="P25" i="3"/>
  <c r="P17" i="3"/>
  <c r="G15" i="3"/>
  <c r="BB54" i="1"/>
  <c r="BB53" i="1"/>
  <c r="T11" i="3"/>
  <c r="AS94" i="1"/>
  <c r="AT94" i="1"/>
  <c r="AT334" i="1"/>
  <c r="AT294" i="1"/>
  <c r="AS325" i="1"/>
  <c r="J56" i="1"/>
  <c r="BF8" i="1"/>
  <c r="BF264" i="1" s="1"/>
  <c r="AV102" i="1"/>
  <c r="AV103" i="1" s="1"/>
  <c r="M53" i="1"/>
  <c r="M54" i="1"/>
  <c r="AQ99" i="1"/>
  <c r="AH85" i="1"/>
  <c r="AH86" i="1"/>
  <c r="F33" i="2"/>
  <c r="P36" i="1"/>
  <c r="BC280" i="1"/>
  <c r="BC292" i="1" s="1"/>
  <c r="S190" i="1"/>
  <c r="S188" i="1"/>
  <c r="BC186" i="1"/>
  <c r="AW107" i="1"/>
  <c r="AB42" i="1"/>
  <c r="BI91" i="1"/>
  <c r="S305" i="1"/>
  <c r="Q3" i="1"/>
  <c r="S3" i="1"/>
  <c r="K33" i="3"/>
  <c r="K27" i="3"/>
  <c r="G33" i="3"/>
  <c r="G27" i="3"/>
  <c r="T16" i="3"/>
  <c r="AS294" i="1"/>
  <c r="AQ305" i="1"/>
  <c r="AQ302" i="1" s="1"/>
  <c r="AQ3" i="1"/>
  <c r="S33" i="3"/>
  <c r="S27" i="3"/>
  <c r="BC25" i="1"/>
  <c r="L32" i="2"/>
  <c r="L24" i="2"/>
  <c r="AH35" i="1"/>
  <c r="AH34" i="1" s="1"/>
  <c r="AK99" i="1"/>
  <c r="AV53" i="1"/>
  <c r="AV54" i="1"/>
  <c r="O24" i="2"/>
  <c r="O32" i="2"/>
  <c r="AQ35" i="1"/>
  <c r="AW255" i="1"/>
  <c r="AW280" i="1"/>
  <c r="AQ188" i="1"/>
  <c r="AQ190" i="1"/>
  <c r="BC107" i="1"/>
  <c r="S91" i="1"/>
  <c r="M56" i="1"/>
  <c r="AZ8" i="1"/>
  <c r="AZ278" i="1" s="1"/>
  <c r="T6" i="3"/>
  <c r="AH53" i="1"/>
  <c r="AH54" i="1"/>
  <c r="AS34" i="1"/>
  <c r="AT57" i="1"/>
  <c r="AR88" i="1"/>
  <c r="AR216" i="1"/>
  <c r="AT199" i="1"/>
  <c r="AR302" i="1"/>
  <c r="AQ86" i="1"/>
  <c r="F20" i="3"/>
  <c r="F31" i="3"/>
  <c r="F25" i="3"/>
  <c r="F17" i="3"/>
  <c r="AN305" i="1"/>
  <c r="AN302" i="1" s="1"/>
  <c r="AN3" i="1"/>
  <c r="N36" i="3"/>
  <c r="AH30" i="1"/>
  <c r="AN54" i="1"/>
  <c r="J264" i="1"/>
  <c r="AW8" i="1"/>
  <c r="AW99" i="1" s="1"/>
  <c r="D33" i="2"/>
  <c r="J36" i="1"/>
  <c r="AY308" i="1"/>
  <c r="M32" i="2"/>
  <c r="M24" i="2"/>
  <c r="AK35" i="1"/>
  <c r="I34" i="2"/>
  <c r="I30" i="2"/>
  <c r="AZ280" i="1"/>
  <c r="S264" i="1"/>
  <c r="K70" i="3"/>
  <c r="M70" i="3" s="1"/>
  <c r="AQ326" i="1" s="1"/>
  <c r="V190" i="1"/>
  <c r="V188" i="1"/>
  <c r="BD102" i="1"/>
  <c r="BD103" i="1" s="1"/>
  <c r="AW49" i="1"/>
  <c r="AW42" i="1" s="1"/>
  <c r="Q20" i="3"/>
  <c r="Q31" i="3"/>
  <c r="Q25" i="3"/>
  <c r="Q17" i="3"/>
  <c r="L31" i="3"/>
  <c r="L25" i="3"/>
  <c r="L20" i="3"/>
  <c r="I20" i="3"/>
  <c r="I31" i="3"/>
  <c r="I25" i="3"/>
  <c r="I17" i="3"/>
  <c r="AR280" i="1"/>
  <c r="AT353" i="1"/>
  <c r="AK305" i="1"/>
  <c r="AK3" i="1"/>
  <c r="AY85" i="1"/>
  <c r="AY86" i="1"/>
  <c r="AQ25" i="1"/>
  <c r="J34" i="2"/>
  <c r="J30" i="2"/>
  <c r="P85" i="1"/>
  <c r="P86" i="1"/>
  <c r="R26" i="3"/>
  <c r="I23" i="3"/>
  <c r="I22" i="3" s="1"/>
  <c r="I32" i="3"/>
  <c r="I26" i="3"/>
  <c r="J305" i="1"/>
  <c r="J91" i="1"/>
  <c r="J3" i="1"/>
  <c r="H3" i="1"/>
  <c r="O33" i="2"/>
  <c r="AQ36" i="1"/>
  <c r="BI36" i="1" s="1"/>
  <c r="AZ243" i="1"/>
  <c r="AZ253" i="1" s="1"/>
  <c r="K32" i="2"/>
  <c r="K24" i="2"/>
  <c r="AE35" i="1"/>
  <c r="D24" i="2"/>
  <c r="J253" i="1"/>
  <c r="S241" i="1"/>
  <c r="AZ181" i="1"/>
  <c r="AW181" i="1"/>
  <c r="K63" i="3"/>
  <c r="M63" i="3" s="1"/>
  <c r="V326" i="1" s="1"/>
  <c r="S224" i="1"/>
  <c r="AX214" i="1"/>
  <c r="AX213" i="1"/>
  <c r="AZ94" i="1"/>
  <c r="BD214" i="1"/>
  <c r="BD213" i="1"/>
  <c r="AW77" i="1"/>
  <c r="AZ65" i="1"/>
  <c r="R20" i="3"/>
  <c r="R31" i="3"/>
  <c r="R25" i="3"/>
  <c r="R29" i="3" s="1"/>
  <c r="AQ327" i="1" s="1"/>
  <c r="R17" i="3"/>
  <c r="BF20" i="1"/>
  <c r="AR56" i="1"/>
  <c r="AT21" i="1"/>
  <c r="AR94" i="1"/>
  <c r="AT205" i="1"/>
  <c r="AT216" i="1"/>
  <c r="BC43" i="1"/>
  <c r="M305" i="1"/>
  <c r="M302" i="1" s="1"/>
  <c r="M3" i="1"/>
  <c r="K3" i="1"/>
  <c r="AH305" i="1"/>
  <c r="AH302" i="1" s="1"/>
  <c r="AH3" i="1"/>
  <c r="AS106" i="1"/>
  <c r="H33" i="2"/>
  <c r="V36" i="1"/>
  <c r="BC224" i="1"/>
  <c r="J188" i="1"/>
  <c r="AZ186" i="1"/>
  <c r="AW186" i="1"/>
  <c r="J190" i="1"/>
  <c r="Y188" i="1"/>
  <c r="Y190" i="1"/>
  <c r="BH214" i="1"/>
  <c r="BH213" i="1"/>
  <c r="M99" i="1"/>
  <c r="BC49" i="1"/>
  <c r="AR8" i="1"/>
  <c r="BH53" i="1"/>
  <c r="BH54" i="1"/>
  <c r="AS56" i="1"/>
  <c r="AT77" i="1"/>
  <c r="AR243" i="1"/>
  <c r="AR226" i="1"/>
  <c r="AS266" i="1"/>
  <c r="AR294" i="1"/>
  <c r="AR353" i="1"/>
  <c r="BA40" i="1"/>
  <c r="BA39" i="1"/>
  <c r="H20" i="3"/>
  <c r="H31" i="3"/>
  <c r="H25" i="3"/>
  <c r="H17" i="3"/>
  <c r="AW21" i="1"/>
  <c r="G10" i="3"/>
  <c r="T10" i="3" s="1"/>
  <c r="AE305" i="1"/>
  <c r="AE302" i="1" s="1"/>
  <c r="AE3" i="1"/>
  <c r="E20" i="3"/>
  <c r="E31" i="3"/>
  <c r="E25" i="3"/>
  <c r="E17" i="3"/>
  <c r="J25" i="1"/>
  <c r="E24" i="2"/>
  <c r="E32" i="2"/>
  <c r="M35" i="1"/>
  <c r="P99" i="1"/>
  <c r="J278" i="1"/>
  <c r="F32" i="2"/>
  <c r="F24" i="2"/>
  <c r="P35" i="1"/>
  <c r="N30" i="2"/>
  <c r="N34" i="2"/>
  <c r="G32" i="2"/>
  <c r="G24" i="2"/>
  <c r="S35" i="1"/>
  <c r="E33" i="2"/>
  <c r="M36" i="1"/>
  <c r="J363" i="1"/>
  <c r="BH308" i="1"/>
  <c r="BH306" i="1"/>
  <c r="BD308" i="1"/>
  <c r="AW266" i="1"/>
  <c r="BC226" i="1"/>
  <c r="BC241" i="1" s="1"/>
  <c r="J224" i="1"/>
  <c r="D68" i="3"/>
  <c r="H68" i="3" s="1"/>
  <c r="J68" i="3" s="1"/>
  <c r="K68" i="3" s="1"/>
  <c r="M68" i="3" s="1"/>
  <c r="AK326" i="1" s="1"/>
  <c r="D65" i="3"/>
  <c r="H65" i="3" s="1"/>
  <c r="J65" i="3" s="1"/>
  <c r="K65" i="3" s="1"/>
  <c r="M65" i="3" s="1"/>
  <c r="AB326" i="1" s="1"/>
  <c r="D62" i="3"/>
  <c r="H62" i="3" s="1"/>
  <c r="J62" i="3" s="1"/>
  <c r="K62" i="3" s="1"/>
  <c r="M62" i="3" s="1"/>
  <c r="S326" i="1" s="1"/>
  <c r="C71" i="3"/>
  <c r="D69" i="3"/>
  <c r="H69" i="3" s="1"/>
  <c r="J69" i="3" s="1"/>
  <c r="K69" i="3" s="1"/>
  <c r="M69" i="3" s="1"/>
  <c r="AN326" i="1" s="1"/>
  <c r="D66" i="3"/>
  <c r="H66" i="3" s="1"/>
  <c r="J66" i="3" s="1"/>
  <c r="K66" i="3" s="1"/>
  <c r="M66" i="3" s="1"/>
  <c r="AE326" i="1" s="1"/>
  <c r="D63" i="3"/>
  <c r="H63" i="3" s="1"/>
  <c r="J63" i="3" s="1"/>
  <c r="D60" i="3"/>
  <c r="H60" i="3" s="1"/>
  <c r="J60" i="3" s="1"/>
  <c r="K60" i="3" s="1"/>
  <c r="M60" i="3" s="1"/>
  <c r="M326" i="1" s="1"/>
  <c r="K59" i="3"/>
  <c r="D70" i="3"/>
  <c r="H70" i="3" s="1"/>
  <c r="J70" i="3" s="1"/>
  <c r="D67" i="3"/>
  <c r="H67" i="3" s="1"/>
  <c r="J67" i="3" s="1"/>
  <c r="K67" i="3" s="1"/>
  <c r="M67" i="3" s="1"/>
  <c r="AH326" i="1" s="1"/>
  <c r="D64" i="3"/>
  <c r="H64" i="3" s="1"/>
  <c r="J64" i="3" s="1"/>
  <c r="K64" i="3" s="1"/>
  <c r="M64" i="3" s="1"/>
  <c r="Y326" i="1" s="1"/>
  <c r="D61" i="3"/>
  <c r="H61" i="3" s="1"/>
  <c r="J61" i="3" s="1"/>
  <c r="K61" i="3" s="1"/>
  <c r="M61" i="3" s="1"/>
  <c r="P326" i="1" s="1"/>
  <c r="AE188" i="1"/>
  <c r="AE190" i="1"/>
  <c r="J99" i="1"/>
  <c r="V85" i="1"/>
  <c r="V86" i="1"/>
  <c r="AW82" i="1"/>
  <c r="AW56" i="1" s="1"/>
  <c r="O15" i="3"/>
  <c r="O9" i="3" s="1"/>
  <c r="M23" i="3"/>
  <c r="M21" i="3" s="1"/>
  <c r="M32" i="3"/>
  <c r="M26" i="3"/>
  <c r="AY39" i="1"/>
  <c r="AY40" i="1"/>
  <c r="L9" i="3"/>
  <c r="L17" i="3" s="1"/>
  <c r="K15" i="3"/>
  <c r="K9" i="3" s="1"/>
  <c r="AR106" i="1"/>
  <c r="AT243" i="1"/>
  <c r="AS216" i="1"/>
  <c r="AT226" i="1"/>
  <c r="AR266" i="1"/>
  <c r="AR27" i="1"/>
  <c r="K4" i="3"/>
  <c r="Q23" i="3"/>
  <c r="Q21" i="3" s="1"/>
  <c r="Q32" i="3"/>
  <c r="Q26" i="3"/>
  <c r="BC20" i="1"/>
  <c r="AN25" i="1"/>
  <c r="AK25" i="1"/>
  <c r="BB308" i="1" l="1"/>
  <c r="BB214" i="1"/>
  <c r="AW278" i="1"/>
  <c r="AQ182" i="1"/>
  <c r="AQ106" i="1" s="1"/>
  <c r="AQ214" i="1" s="1"/>
  <c r="AK182" i="1"/>
  <c r="AK106" i="1" s="1"/>
  <c r="AK214" i="1" s="1"/>
  <c r="Y182" i="1"/>
  <c r="Y106" i="1" s="1"/>
  <c r="Y308" i="1" s="1"/>
  <c r="AW292" i="1"/>
  <c r="AQ53" i="1"/>
  <c r="AW264" i="1"/>
  <c r="AW224" i="1"/>
  <c r="AW25" i="1"/>
  <c r="AQ34" i="1"/>
  <c r="AW91" i="1"/>
  <c r="G9" i="3"/>
  <c r="G23" i="3" s="1"/>
  <c r="AV85" i="1"/>
  <c r="BC278" i="1"/>
  <c r="BA86" i="1"/>
  <c r="P34" i="1"/>
  <c r="BB102" i="1"/>
  <c r="BB103" i="1" s="1"/>
  <c r="BF56" i="1"/>
  <c r="BF85" i="1" s="1"/>
  <c r="AW253" i="1"/>
  <c r="BA102" i="1"/>
  <c r="BA103" i="1" s="1"/>
  <c r="AX102" i="1"/>
  <c r="AX103" i="1" s="1"/>
  <c r="AE86" i="1"/>
  <c r="BD86" i="1"/>
  <c r="BE102" i="1"/>
  <c r="BE103" i="1" s="1"/>
  <c r="BE85" i="1"/>
  <c r="BI42" i="1"/>
  <c r="BI53" i="1" s="1"/>
  <c r="BD53" i="1"/>
  <c r="BD54" i="1"/>
  <c r="AK54" i="1"/>
  <c r="AX53" i="1"/>
  <c r="AX54" i="1"/>
  <c r="BI363" i="1"/>
  <c r="AB182" i="1"/>
  <c r="AB106" i="1" s="1"/>
  <c r="AB214" i="1" s="1"/>
  <c r="AH182" i="1"/>
  <c r="AH106" i="1" s="1"/>
  <c r="AH308" i="1" s="1"/>
  <c r="BG308" i="1"/>
  <c r="BG214" i="1"/>
  <c r="BG213" i="1"/>
  <c r="BE308" i="1"/>
  <c r="BE309" i="1" s="1"/>
  <c r="BE214" i="1"/>
  <c r="BE213" i="1"/>
  <c r="P182" i="1"/>
  <c r="P106" i="1" s="1"/>
  <c r="P214" i="1" s="1"/>
  <c r="AU214" i="1"/>
  <c r="AU213" i="1"/>
  <c r="BI190" i="1"/>
  <c r="AN182" i="1"/>
  <c r="AN106" i="1" s="1"/>
  <c r="AN214" i="1" s="1"/>
  <c r="J182" i="1"/>
  <c r="J106" i="1" s="1"/>
  <c r="S182" i="1"/>
  <c r="S106" i="1" s="1"/>
  <c r="S213" i="1" s="1"/>
  <c r="AE182" i="1"/>
  <c r="AE106" i="1" s="1"/>
  <c r="AE214" i="1" s="1"/>
  <c r="V182" i="1"/>
  <c r="V106" i="1" s="1"/>
  <c r="V308" i="1" s="1"/>
  <c r="Y85" i="1"/>
  <c r="AT42" i="1"/>
  <c r="AT53" i="1" s="1"/>
  <c r="Y54" i="1"/>
  <c r="BC42" i="1"/>
  <c r="BC53" i="1" s="1"/>
  <c r="P29" i="3"/>
  <c r="AK327" i="1" s="1"/>
  <c r="AK325" i="1" s="1"/>
  <c r="Q34" i="3"/>
  <c r="AN329" i="1" s="1"/>
  <c r="Y30" i="1"/>
  <c r="D32" i="3"/>
  <c r="D34" i="3" s="1"/>
  <c r="J329" i="1" s="1"/>
  <c r="E26" i="3"/>
  <c r="E29" i="3" s="1"/>
  <c r="M327" i="1" s="1"/>
  <c r="M325" i="1" s="1"/>
  <c r="T33" i="3"/>
  <c r="D23" i="3"/>
  <c r="D37" i="3" s="1"/>
  <c r="E32" i="3"/>
  <c r="H29" i="3"/>
  <c r="S327" i="1" s="1"/>
  <c r="H32" i="3"/>
  <c r="H34" i="3" s="1"/>
  <c r="S329" i="1" s="1"/>
  <c r="S325" i="1" s="1"/>
  <c r="D26" i="3"/>
  <c r="D29" i="3" s="1"/>
  <c r="J327" i="1" s="1"/>
  <c r="P22" i="3"/>
  <c r="AK28" i="1" s="1"/>
  <c r="J21" i="3"/>
  <c r="Y28" i="1" s="1"/>
  <c r="F21" i="3"/>
  <c r="F38" i="3" s="1"/>
  <c r="R32" i="3"/>
  <c r="R34" i="3" s="1"/>
  <c r="AQ329" i="1" s="1"/>
  <c r="BI264" i="1"/>
  <c r="E34" i="3"/>
  <c r="M329" i="1" s="1"/>
  <c r="F34" i="3"/>
  <c r="P329" i="1" s="1"/>
  <c r="O31" i="3"/>
  <c r="BI292" i="1"/>
  <c r="P34" i="3"/>
  <c r="AK329" i="1" s="1"/>
  <c r="H23" i="3"/>
  <c r="H22" i="3" s="1"/>
  <c r="O25" i="3"/>
  <c r="N34" i="3"/>
  <c r="AH329" i="1" s="1"/>
  <c r="AR3" i="1"/>
  <c r="AT3" i="1"/>
  <c r="AS292" i="1"/>
  <c r="AT278" i="1"/>
  <c r="AS25" i="1"/>
  <c r="AR292" i="1"/>
  <c r="AT292" i="1"/>
  <c r="AT91" i="1"/>
  <c r="AS32" i="1"/>
  <c r="AS102" i="1" s="1"/>
  <c r="AS103" i="1" s="1"/>
  <c r="AS278" i="1"/>
  <c r="AT300" i="1"/>
  <c r="AT264" i="1"/>
  <c r="AS363" i="1"/>
  <c r="AS253" i="1"/>
  <c r="AT241" i="1"/>
  <c r="AS54" i="1"/>
  <c r="AS300" i="1"/>
  <c r="AT25" i="1"/>
  <c r="AT363" i="1"/>
  <c r="AS306" i="1"/>
  <c r="AR224" i="1"/>
  <c r="AR278" i="1"/>
  <c r="AS224" i="1"/>
  <c r="AR54" i="1"/>
  <c r="AS241" i="1"/>
  <c r="AT253" i="1"/>
  <c r="AT224" i="1"/>
  <c r="AR264" i="1"/>
  <c r="AS264" i="1"/>
  <c r="AR25" i="1"/>
  <c r="AS91" i="1"/>
  <c r="O23" i="3"/>
  <c r="O37" i="3" s="1"/>
  <c r="O32" i="3"/>
  <c r="O34" i="3" s="1"/>
  <c r="O26" i="3"/>
  <c r="O17" i="3"/>
  <c r="AW85" i="1"/>
  <c r="AW86" i="1"/>
  <c r="BI326" i="1"/>
  <c r="BC326" i="1"/>
  <c r="AQ213" i="1"/>
  <c r="K23" i="3"/>
  <c r="K37" i="3" s="1"/>
  <c r="K32" i="3"/>
  <c r="K26" i="3"/>
  <c r="BF326" i="1"/>
  <c r="M306" i="1"/>
  <c r="AS39" i="1"/>
  <c r="AE306" i="1"/>
  <c r="L36" i="3"/>
  <c r="AB30" i="1"/>
  <c r="P36" i="3"/>
  <c r="AK30" i="1"/>
  <c r="AV309" i="1"/>
  <c r="AV311" i="1"/>
  <c r="BF292" i="1"/>
  <c r="BI224" i="1"/>
  <c r="Q37" i="3"/>
  <c r="AN29" i="1"/>
  <c r="AR241" i="1"/>
  <c r="AR86" i="1"/>
  <c r="AR85" i="1"/>
  <c r="AZ99" i="1"/>
  <c r="AU311" i="1"/>
  <c r="R22" i="3"/>
  <c r="AQ28" i="1" s="1"/>
  <c r="AQ27" i="1" s="1"/>
  <c r="AQ32" i="1" s="1"/>
  <c r="O30" i="2"/>
  <c r="O34" i="2"/>
  <c r="AW241" i="1"/>
  <c r="BI241" i="1"/>
  <c r="BF224" i="1"/>
  <c r="AZ241" i="1"/>
  <c r="BD309" i="1"/>
  <c r="BD311" i="1"/>
  <c r="AQ39" i="1"/>
  <c r="AK85" i="1"/>
  <c r="AK86" i="1"/>
  <c r="L23" i="3"/>
  <c r="L22" i="3" s="1"/>
  <c r="L32" i="3"/>
  <c r="L34" i="3" s="1"/>
  <c r="AB329" i="1" s="1"/>
  <c r="L26" i="3"/>
  <c r="L29" i="3" s="1"/>
  <c r="AB327" i="1" s="1"/>
  <c r="AH306" i="1"/>
  <c r="BB309" i="1"/>
  <c r="BB311" i="1"/>
  <c r="AT99" i="1"/>
  <c r="AZ56" i="1"/>
  <c r="M34" i="3"/>
  <c r="AE329" i="1" s="1"/>
  <c r="AZ363" i="1"/>
  <c r="Y306" i="1"/>
  <c r="BI300" i="1"/>
  <c r="BF300" i="1"/>
  <c r="AZ25" i="1"/>
  <c r="BF54" i="1"/>
  <c r="BC36" i="1"/>
  <c r="V34" i="1"/>
  <c r="AZ190" i="1"/>
  <c r="AW190" i="1"/>
  <c r="AT190" i="1"/>
  <c r="AR99" i="1"/>
  <c r="I36" i="3"/>
  <c r="V30" i="1"/>
  <c r="AW53" i="1"/>
  <c r="AW54" i="1"/>
  <c r="K71" i="3"/>
  <c r="M59" i="3"/>
  <c r="F36" i="3"/>
  <c r="P30" i="1"/>
  <c r="S32" i="3"/>
  <c r="S26" i="3"/>
  <c r="S23" i="3"/>
  <c r="S37" i="3" s="1"/>
  <c r="K31" i="3"/>
  <c r="K34" i="3" s="1"/>
  <c r="K25" i="3"/>
  <c r="K17" i="3"/>
  <c r="K20" i="3"/>
  <c r="K36" i="3" s="1"/>
  <c r="BC35" i="1"/>
  <c r="S34" i="1"/>
  <c r="AR32" i="1"/>
  <c r="AR40" i="1" s="1"/>
  <c r="M22" i="3"/>
  <c r="M38" i="3" s="1"/>
  <c r="G34" i="2"/>
  <c r="G30" i="2"/>
  <c r="M34" i="1"/>
  <c r="AZ35" i="1"/>
  <c r="AW35" i="1"/>
  <c r="AT35" i="1"/>
  <c r="AR253" i="1"/>
  <c r="AZ188" i="1"/>
  <c r="AZ182" i="1" s="1"/>
  <c r="AZ106" i="1" s="1"/>
  <c r="AW188" i="1"/>
  <c r="AT188" i="1"/>
  <c r="BI305" i="1"/>
  <c r="BI302" i="1" s="1"/>
  <c r="AK302" i="1"/>
  <c r="AK34" i="1"/>
  <c r="BI35" i="1"/>
  <c r="BI34" i="1" s="1"/>
  <c r="BC188" i="1"/>
  <c r="AS99" i="1"/>
  <c r="G20" i="3"/>
  <c r="G31" i="3"/>
  <c r="G25" i="3"/>
  <c r="G17" i="3"/>
  <c r="T4" i="3"/>
  <c r="BI99" i="1"/>
  <c r="M36" i="3"/>
  <c r="AE30" i="1"/>
  <c r="M182" i="1"/>
  <c r="M106" i="1" s="1"/>
  <c r="M308" i="1" s="1"/>
  <c r="AW300" i="1"/>
  <c r="P53" i="1"/>
  <c r="P54" i="1"/>
  <c r="AV214" i="1"/>
  <c r="AV213" i="1"/>
  <c r="BF190" i="1"/>
  <c r="P37" i="3"/>
  <c r="AK29" i="1"/>
  <c r="BI278" i="1"/>
  <c r="R37" i="3"/>
  <c r="AQ29" i="1"/>
  <c r="M30" i="2"/>
  <c r="M34" i="2"/>
  <c r="AR306" i="1"/>
  <c r="AR308" i="1"/>
  <c r="BC190" i="1"/>
  <c r="T9" i="3"/>
  <c r="J53" i="1"/>
  <c r="J54" i="1"/>
  <c r="AZ264" i="1"/>
  <c r="P38" i="3"/>
  <c r="J37" i="3"/>
  <c r="Y29" i="1"/>
  <c r="E21" i="3"/>
  <c r="AQ306" i="1"/>
  <c r="AQ308" i="1"/>
  <c r="M29" i="3"/>
  <c r="AE327" i="1" s="1"/>
  <c r="AE325" i="1" s="1"/>
  <c r="BF25" i="1"/>
  <c r="BF188" i="1"/>
  <c r="D36" i="3"/>
  <c r="J30" i="1"/>
  <c r="N22" i="3"/>
  <c r="N38" i="3" s="1"/>
  <c r="D34" i="2"/>
  <c r="D30" i="2"/>
  <c r="AY309" i="1"/>
  <c r="AY311" i="1"/>
  <c r="BC305" i="1"/>
  <c r="BC302" i="1" s="1"/>
  <c r="S302" i="1"/>
  <c r="AW36" i="1"/>
  <c r="AZ36" i="1"/>
  <c r="J34" i="1"/>
  <c r="AT36" i="1"/>
  <c r="AX3" i="1"/>
  <c r="AZ3" i="1"/>
  <c r="BF3" i="1"/>
  <c r="BD3" i="1"/>
  <c r="BF99" i="1"/>
  <c r="BF91" i="1"/>
  <c r="BI188" i="1"/>
  <c r="BI182" i="1" s="1"/>
  <c r="BI106" i="1" s="1"/>
  <c r="BI213" i="1" s="1"/>
  <c r="S20" i="3"/>
  <c r="S36" i="3" s="1"/>
  <c r="S31" i="3"/>
  <c r="S25" i="3"/>
  <c r="S17" i="3"/>
  <c r="AS308" i="1"/>
  <c r="BF278" i="1"/>
  <c r="BC86" i="1"/>
  <c r="BC85" i="1"/>
  <c r="BF86" i="1"/>
  <c r="Q29" i="3"/>
  <c r="AN327" i="1" s="1"/>
  <c r="AN325" i="1" s="1"/>
  <c r="AN306" i="1"/>
  <c r="E34" i="2"/>
  <c r="E30" i="2"/>
  <c r="AW305" i="1"/>
  <c r="AW302" i="1" s="1"/>
  <c r="AZ305" i="1"/>
  <c r="AZ302" i="1" s="1"/>
  <c r="J302" i="1"/>
  <c r="AT305" i="1"/>
  <c r="AT302" i="1" s="1"/>
  <c r="Q36" i="3"/>
  <c r="AN30" i="1"/>
  <c r="BF253" i="1"/>
  <c r="J85" i="1"/>
  <c r="J86" i="1"/>
  <c r="E37" i="3"/>
  <c r="M29" i="1"/>
  <c r="AR363" i="1"/>
  <c r="K34" i="2"/>
  <c r="K30" i="2"/>
  <c r="I37" i="3"/>
  <c r="V29" i="1"/>
  <c r="I29" i="3"/>
  <c r="V327" i="1" s="1"/>
  <c r="AR91" i="1"/>
  <c r="M85" i="1"/>
  <c r="M86" i="1"/>
  <c r="AZ300" i="1"/>
  <c r="H21" i="3"/>
  <c r="L34" i="2"/>
  <c r="L30" i="2"/>
  <c r="AB53" i="1"/>
  <c r="AB54" i="1"/>
  <c r="AZ91" i="1"/>
  <c r="M37" i="3"/>
  <c r="AE29" i="1"/>
  <c r="BH309" i="1"/>
  <c r="BH311" i="1"/>
  <c r="H36" i="3"/>
  <c r="S30" i="1"/>
  <c r="BC30" i="1" s="1"/>
  <c r="AS85" i="1"/>
  <c r="AS86" i="1"/>
  <c r="AS214" i="1"/>
  <c r="AS213" i="1"/>
  <c r="R36" i="3"/>
  <c r="AQ30" i="1"/>
  <c r="P39" i="1"/>
  <c r="AE34" i="1"/>
  <c r="BF35" i="1"/>
  <c r="BF34" i="1" s="1"/>
  <c r="AH39" i="1"/>
  <c r="T15" i="3"/>
  <c r="V306" i="1"/>
  <c r="BI3" i="1"/>
  <c r="BG3" i="1"/>
  <c r="BI25" i="1"/>
  <c r="N37" i="3"/>
  <c r="AH29" i="1"/>
  <c r="AR214" i="1"/>
  <c r="AR213" i="1"/>
  <c r="F34" i="2"/>
  <c r="F30" i="2"/>
  <c r="Q22" i="3"/>
  <c r="Q38" i="3" s="1"/>
  <c r="E36" i="3"/>
  <c r="M30" i="1"/>
  <c r="AR300" i="1"/>
  <c r="I21" i="3"/>
  <c r="I34" i="3"/>
  <c r="V329" i="1" s="1"/>
  <c r="AZ292" i="1"/>
  <c r="AW3" i="1"/>
  <c r="AU3" i="1"/>
  <c r="F29" i="3"/>
  <c r="P327" i="1" s="1"/>
  <c r="AT56" i="1"/>
  <c r="T27" i="3"/>
  <c r="BF241" i="1"/>
  <c r="BI86" i="1"/>
  <c r="BI85" i="1"/>
  <c r="AX311" i="1"/>
  <c r="AZ53" i="1"/>
  <c r="AZ54" i="1"/>
  <c r="BF305" i="1"/>
  <c r="BF302" i="1" s="1"/>
  <c r="AB302" i="1"/>
  <c r="F37" i="3"/>
  <c r="P29" i="1"/>
  <c r="BI54" i="1"/>
  <c r="AZ224" i="1"/>
  <c r="Y213" i="1" l="1"/>
  <c r="AB213" i="1"/>
  <c r="Y214" i="1"/>
  <c r="P213" i="1"/>
  <c r="AK213" i="1"/>
  <c r="AH214" i="1"/>
  <c r="G32" i="3"/>
  <c r="T32" i="3" s="1"/>
  <c r="K28" i="3"/>
  <c r="BF329" i="1"/>
  <c r="G26" i="3"/>
  <c r="T26" i="3" s="1"/>
  <c r="S21" i="3"/>
  <c r="S38" i="3" s="1"/>
  <c r="BF30" i="1"/>
  <c r="BI329" i="1"/>
  <c r="BA311" i="1"/>
  <c r="BA316" i="1" s="1"/>
  <c r="BA323" i="1" s="1"/>
  <c r="BA331" i="1" s="1"/>
  <c r="BA365" i="1" s="1"/>
  <c r="BC327" i="1"/>
  <c r="AE28" i="1"/>
  <c r="O28" i="3"/>
  <c r="O29" i="3" s="1"/>
  <c r="O39" i="3" s="1"/>
  <c r="J38" i="3"/>
  <c r="S22" i="3"/>
  <c r="P308" i="1"/>
  <c r="P309" i="1" s="1"/>
  <c r="AN308" i="1"/>
  <c r="AN309" i="1" s="1"/>
  <c r="AH213" i="1"/>
  <c r="BC182" i="1"/>
  <c r="BC106" i="1" s="1"/>
  <c r="BC308" i="1" s="1"/>
  <c r="BG309" i="1"/>
  <c r="BG311" i="1"/>
  <c r="BF182" i="1"/>
  <c r="BF106" i="1" s="1"/>
  <c r="BF308" i="1" s="1"/>
  <c r="BE311" i="1"/>
  <c r="BE316" i="1" s="1"/>
  <c r="BE323" i="1" s="1"/>
  <c r="BE331" i="1" s="1"/>
  <c r="BE332" i="1" s="1"/>
  <c r="S214" i="1"/>
  <c r="V213" i="1"/>
  <c r="AE308" i="1"/>
  <c r="AE309" i="1" s="1"/>
  <c r="V214" i="1"/>
  <c r="AE213" i="1"/>
  <c r="AN213" i="1"/>
  <c r="AT54" i="1"/>
  <c r="BC54" i="1"/>
  <c r="AZ329" i="1"/>
  <c r="AB325" i="1"/>
  <c r="AB330" i="1" s="1"/>
  <c r="D21" i="3"/>
  <c r="D22" i="3"/>
  <c r="D38" i="3" s="1"/>
  <c r="H37" i="3"/>
  <c r="K22" i="3"/>
  <c r="S34" i="3"/>
  <c r="V325" i="1"/>
  <c r="V330" i="1" s="1"/>
  <c r="AW329" i="1"/>
  <c r="AN28" i="1"/>
  <c r="J29" i="1"/>
  <c r="AT29" i="1" s="1"/>
  <c r="S29" i="1"/>
  <c r="BC29" i="1" s="1"/>
  <c r="K21" i="3"/>
  <c r="P28" i="1"/>
  <c r="P27" i="1" s="1"/>
  <c r="P32" i="1" s="1"/>
  <c r="R38" i="3"/>
  <c r="AS40" i="1"/>
  <c r="AE330" i="1"/>
  <c r="AZ214" i="1"/>
  <c r="AZ213" i="1"/>
  <c r="AQ102" i="1"/>
  <c r="AQ103" i="1" s="1"/>
  <c r="AQ40" i="1"/>
  <c r="AN330" i="1"/>
  <c r="I38" i="3"/>
  <c r="V28" i="1"/>
  <c r="V27" i="1" s="1"/>
  <c r="V32" i="1" s="1"/>
  <c r="V102" i="1" s="1"/>
  <c r="V103" i="1" s="1"/>
  <c r="AQ309" i="1"/>
  <c r="BC329" i="1"/>
  <c r="BF213" i="1"/>
  <c r="BF214" i="1"/>
  <c r="S39" i="1"/>
  <c r="AH309" i="1"/>
  <c r="V309" i="1"/>
  <c r="Y309" i="1"/>
  <c r="BI327" i="1"/>
  <c r="AB308" i="1"/>
  <c r="AB306" i="1"/>
  <c r="AW327" i="1"/>
  <c r="BC34" i="1"/>
  <c r="AH328" i="1"/>
  <c r="AZ29" i="1"/>
  <c r="O22" i="3"/>
  <c r="AN27" i="1"/>
  <c r="AN32" i="1" s="1"/>
  <c r="AT327" i="1"/>
  <c r="AT306" i="1"/>
  <c r="M214" i="1"/>
  <c r="M213" i="1"/>
  <c r="AW34" i="1"/>
  <c r="AZ85" i="1"/>
  <c r="AZ86" i="1"/>
  <c r="T20" i="3"/>
  <c r="G36" i="3"/>
  <c r="T36" i="3" s="1"/>
  <c r="AR102" i="1"/>
  <c r="AR103" i="1" s="1"/>
  <c r="AR309" i="1"/>
  <c r="AT34" i="1"/>
  <c r="BF306" i="1"/>
  <c r="J306" i="1"/>
  <c r="J308" i="1"/>
  <c r="AZ327" i="1"/>
  <c r="Y27" i="1"/>
  <c r="Y32" i="1" s="1"/>
  <c r="E38" i="3"/>
  <c r="M28" i="1"/>
  <c r="M27" i="1" s="1"/>
  <c r="M32" i="1" s="1"/>
  <c r="M102" i="1" s="1"/>
  <c r="M103" i="1" s="1"/>
  <c r="BI39" i="1"/>
  <c r="AZ34" i="1"/>
  <c r="BD312" i="1"/>
  <c r="BD316" i="1"/>
  <c r="BD323" i="1" s="1"/>
  <c r="BD331" i="1" s="1"/>
  <c r="AV312" i="1"/>
  <c r="AV316" i="1"/>
  <c r="AK39" i="1"/>
  <c r="M71" i="3"/>
  <c r="M72" i="3" s="1"/>
  <c r="J326" i="1"/>
  <c r="V39" i="1"/>
  <c r="AU312" i="1"/>
  <c r="AU316" i="1"/>
  <c r="AU323" i="1" s="1"/>
  <c r="AU331" i="1" s="1"/>
  <c r="S330" i="1"/>
  <c r="G34" i="3"/>
  <c r="T31" i="3"/>
  <c r="T34" i="3" s="1"/>
  <c r="M330" i="1"/>
  <c r="BI29" i="1"/>
  <c r="L37" i="3"/>
  <c r="AB29" i="1"/>
  <c r="BF29" i="1" s="1"/>
  <c r="BI30" i="1"/>
  <c r="O21" i="3"/>
  <c r="AK27" i="1"/>
  <c r="AK32" i="1" s="1"/>
  <c r="AK40" i="1" s="1"/>
  <c r="BI28" i="1"/>
  <c r="H38" i="3"/>
  <c r="S28" i="1"/>
  <c r="AW306" i="1"/>
  <c r="M39" i="1"/>
  <c r="AS311" i="1"/>
  <c r="AS309" i="1"/>
  <c r="AK308" i="1"/>
  <c r="AK306" i="1"/>
  <c r="K29" i="3"/>
  <c r="K39" i="3" s="1"/>
  <c r="Y328" i="1"/>
  <c r="L21" i="3"/>
  <c r="AT85" i="1"/>
  <c r="AT86" i="1"/>
  <c r="AZ30" i="1"/>
  <c r="AW30" i="1"/>
  <c r="AT30" i="1"/>
  <c r="M309" i="1"/>
  <c r="AE27" i="1"/>
  <c r="AE32" i="1" s="1"/>
  <c r="AE40" i="1" s="1"/>
  <c r="J214" i="1"/>
  <c r="J213" i="1"/>
  <c r="AX312" i="1"/>
  <c r="AX316" i="1"/>
  <c r="AX323" i="1" s="1"/>
  <c r="AX331" i="1" s="1"/>
  <c r="G37" i="3"/>
  <c r="T37" i="3" s="1"/>
  <c r="T23" i="3"/>
  <c r="J39" i="1"/>
  <c r="BC306" i="1"/>
  <c r="G21" i="3"/>
  <c r="T17" i="3"/>
  <c r="BB312" i="1"/>
  <c r="BB316" i="1"/>
  <c r="BB323" i="1" s="1"/>
  <c r="BB331" i="1" s="1"/>
  <c r="AH28" i="1"/>
  <c r="AH27" i="1" s="1"/>
  <c r="AH32" i="1" s="1"/>
  <c r="AT182" i="1"/>
  <c r="AT106" i="1" s="1"/>
  <c r="BF327" i="1"/>
  <c r="BF39" i="1"/>
  <c r="BH316" i="1"/>
  <c r="BH323" i="1" s="1"/>
  <c r="BH331" i="1" s="1"/>
  <c r="BH312" i="1"/>
  <c r="AZ308" i="1"/>
  <c r="AZ306" i="1"/>
  <c r="AE39" i="1"/>
  <c r="AT329" i="1"/>
  <c r="S306" i="1"/>
  <c r="S308" i="1"/>
  <c r="BI306" i="1"/>
  <c r="BI308" i="1"/>
  <c r="S28" i="3"/>
  <c r="AY312" i="1"/>
  <c r="AY316" i="1"/>
  <c r="AY323" i="1" s="1"/>
  <c r="AY331" i="1" s="1"/>
  <c r="G22" i="3"/>
  <c r="T25" i="3"/>
  <c r="G28" i="3"/>
  <c r="AW182" i="1"/>
  <c r="AW106" i="1" s="1"/>
  <c r="AK330" i="1"/>
  <c r="V40" i="1" l="1"/>
  <c r="BA312" i="1"/>
  <c r="BC214" i="1"/>
  <c r="BA332" i="1"/>
  <c r="BC213" i="1"/>
  <c r="BE365" i="1"/>
  <c r="BE312" i="1"/>
  <c r="BG312" i="1"/>
  <c r="BG316" i="1"/>
  <c r="BG323" i="1" s="1"/>
  <c r="BG331" i="1" s="1"/>
  <c r="M40" i="1"/>
  <c r="K38" i="3"/>
  <c r="T22" i="3"/>
  <c r="AE102" i="1"/>
  <c r="AE103" i="1" s="1"/>
  <c r="J28" i="1"/>
  <c r="AT28" i="1" s="1"/>
  <c r="AT27" i="1" s="1"/>
  <c r="AT32" i="1" s="1"/>
  <c r="AT102" i="1" s="1"/>
  <c r="AT103" i="1" s="1"/>
  <c r="BH332" i="1"/>
  <c r="BH365" i="1"/>
  <c r="L38" i="3"/>
  <c r="AB28" i="1"/>
  <c r="AK102" i="1"/>
  <c r="AK103" i="1" s="1"/>
  <c r="AW39" i="1"/>
  <c r="AY332" i="1"/>
  <c r="AY365" i="1"/>
  <c r="BC328" i="1"/>
  <c r="BC325" i="1" s="1"/>
  <c r="Y325" i="1"/>
  <c r="BB332" i="1"/>
  <c r="BB365" i="1"/>
  <c r="V311" i="1"/>
  <c r="AT213" i="1"/>
  <c r="AT214" i="1"/>
  <c r="BF309" i="1"/>
  <c r="AW29" i="1"/>
  <c r="AQ311" i="1"/>
  <c r="AW214" i="1"/>
  <c r="AW213" i="1"/>
  <c r="J309" i="1"/>
  <c r="AH102" i="1"/>
  <c r="AH40" i="1"/>
  <c r="S27" i="1"/>
  <c r="S32" i="1" s="1"/>
  <c r="BC28" i="1"/>
  <c r="BC27" i="1" s="1"/>
  <c r="BC32" i="1" s="1"/>
  <c r="BC102" i="1" s="1"/>
  <c r="AZ39" i="1"/>
  <c r="S29" i="3"/>
  <c r="S39" i="3" s="1"/>
  <c r="AQ328" i="1"/>
  <c r="AK309" i="1"/>
  <c r="BI27" i="1"/>
  <c r="BI32" i="1" s="1"/>
  <c r="AT39" i="1"/>
  <c r="AT308" i="1"/>
  <c r="BF328" i="1"/>
  <c r="BF325" i="1" s="1"/>
  <c r="AH325" i="1"/>
  <c r="T28" i="3"/>
  <c r="G29" i="3"/>
  <c r="P328" i="1"/>
  <c r="BC309" i="1"/>
  <c r="AW308" i="1"/>
  <c r="AZ309" i="1"/>
  <c r="M311" i="1"/>
  <c r="AU332" i="1"/>
  <c r="AU365" i="1"/>
  <c r="AR311" i="1"/>
  <c r="AS312" i="1"/>
  <c r="AS316" i="1"/>
  <c r="AS323" i="1" s="1"/>
  <c r="AS331" i="1" s="1"/>
  <c r="O38" i="3"/>
  <c r="AV323" i="1"/>
  <c r="BC39" i="1"/>
  <c r="AN40" i="1"/>
  <c r="AN102" i="1"/>
  <c r="Y40" i="1"/>
  <c r="Y102" i="1"/>
  <c r="P40" i="1"/>
  <c r="P102" i="1"/>
  <c r="S309" i="1"/>
  <c r="BI309" i="1"/>
  <c r="BD332" i="1"/>
  <c r="BD365" i="1"/>
  <c r="T21" i="3"/>
  <c r="G38" i="3"/>
  <c r="AX332" i="1"/>
  <c r="AX365" i="1"/>
  <c r="AW326" i="1"/>
  <c r="J325" i="1"/>
  <c r="AZ326" i="1"/>
  <c r="AT326" i="1"/>
  <c r="AB309" i="1"/>
  <c r="BG365" i="1" l="1"/>
  <c r="BG332" i="1"/>
  <c r="BC40" i="1"/>
  <c r="AK311" i="1"/>
  <c r="AK316" i="1" s="1"/>
  <c r="AK323" i="1" s="1"/>
  <c r="AK331" i="1" s="1"/>
  <c r="AZ28" i="1"/>
  <c r="AZ27" i="1" s="1"/>
  <c r="AZ32" i="1" s="1"/>
  <c r="AE311" i="1"/>
  <c r="AE316" i="1" s="1"/>
  <c r="AE323" i="1" s="1"/>
  <c r="AE331" i="1" s="1"/>
  <c r="AW28" i="1"/>
  <c r="AW27" i="1" s="1"/>
  <c r="AW32" i="1" s="1"/>
  <c r="AW40" i="1" s="1"/>
  <c r="J27" i="1"/>
  <c r="J32" i="1" s="1"/>
  <c r="AT40" i="1"/>
  <c r="BC103" i="1"/>
  <c r="BC311" i="1"/>
  <c r="AR312" i="1"/>
  <c r="AR316" i="1"/>
  <c r="AR323" i="1" s="1"/>
  <c r="AR331" i="1" s="1"/>
  <c r="AH103" i="1"/>
  <c r="AH311" i="1"/>
  <c r="AV331" i="1"/>
  <c r="AW328" i="1"/>
  <c r="AW325" i="1" s="1"/>
  <c r="AZ328" i="1"/>
  <c r="AZ325" i="1" s="1"/>
  <c r="AT328" i="1"/>
  <c r="AT325" i="1" s="1"/>
  <c r="P325" i="1"/>
  <c r="AN103" i="1"/>
  <c r="AN311" i="1"/>
  <c r="AQ316" i="1"/>
  <c r="AQ323" i="1" s="1"/>
  <c r="AQ312" i="1"/>
  <c r="BI102" i="1"/>
  <c r="BI40" i="1"/>
  <c r="T38" i="3"/>
  <c r="AH330" i="1"/>
  <c r="AT311" i="1"/>
  <c r="AT309" i="1"/>
  <c r="AW309" i="1"/>
  <c r="Y103" i="1"/>
  <c r="Y311" i="1"/>
  <c r="G39" i="3"/>
  <c r="T39" i="3" s="1"/>
  <c r="T29" i="3"/>
  <c r="M316" i="1"/>
  <c r="M323" i="1" s="1"/>
  <c r="M331" i="1" s="1"/>
  <c r="M312" i="1"/>
  <c r="BI328" i="1"/>
  <c r="BI325" i="1" s="1"/>
  <c r="AQ325" i="1"/>
  <c r="V316" i="1"/>
  <c r="V323" i="1" s="1"/>
  <c r="V331" i="1" s="1"/>
  <c r="V312" i="1"/>
  <c r="AB27" i="1"/>
  <c r="AB32" i="1" s="1"/>
  <c r="BF28" i="1"/>
  <c r="BF27" i="1" s="1"/>
  <c r="BF32" i="1" s="1"/>
  <c r="Y330" i="1"/>
  <c r="J330" i="1"/>
  <c r="P103" i="1"/>
  <c r="P311" i="1"/>
  <c r="AS332" i="1"/>
  <c r="AS365" i="1"/>
  <c r="S40" i="1"/>
  <c r="S102" i="1"/>
  <c r="AK312" i="1" l="1"/>
  <c r="AE312" i="1"/>
  <c r="AW102" i="1"/>
  <c r="AW103" i="1" s="1"/>
  <c r="AZ102" i="1"/>
  <c r="AZ40" i="1"/>
  <c r="M332" i="1"/>
  <c r="M365" i="1"/>
  <c r="J102" i="1"/>
  <c r="J40" i="1"/>
  <c r="AV332" i="1"/>
  <c r="AV365" i="1"/>
  <c r="Y316" i="1"/>
  <c r="Y323" i="1" s="1"/>
  <c r="Y331" i="1" s="1"/>
  <c r="Y312" i="1"/>
  <c r="AH316" i="1"/>
  <c r="AH323" i="1" s="1"/>
  <c r="AH331" i="1" s="1"/>
  <c r="AH312" i="1"/>
  <c r="AB40" i="1"/>
  <c r="AB102" i="1"/>
  <c r="AN316" i="1"/>
  <c r="AN323" i="1" s="1"/>
  <c r="AN331" i="1" s="1"/>
  <c r="AN312" i="1"/>
  <c r="AK332" i="1"/>
  <c r="AK365" i="1"/>
  <c r="BF40" i="1"/>
  <c r="BF102" i="1"/>
  <c r="AE332" i="1"/>
  <c r="AE365" i="1"/>
  <c r="S103" i="1"/>
  <c r="S311" i="1"/>
  <c r="AR332" i="1"/>
  <c r="AR365" i="1"/>
  <c r="P330" i="1"/>
  <c r="BC312" i="1"/>
  <c r="BC316" i="1"/>
  <c r="BC323" i="1" s="1"/>
  <c r="BC331" i="1" s="1"/>
  <c r="V332" i="1"/>
  <c r="V365" i="1"/>
  <c r="P316" i="1"/>
  <c r="P323" i="1" s="1"/>
  <c r="P331" i="1" s="1"/>
  <c r="P312" i="1"/>
  <c r="BI103" i="1"/>
  <c r="BI311" i="1"/>
  <c r="AQ330" i="1"/>
  <c r="AQ331" i="1"/>
  <c r="AT312" i="1"/>
  <c r="AT316" i="1"/>
  <c r="AT323" i="1" s="1"/>
  <c r="AT331" i="1" s="1"/>
  <c r="AW311" i="1" l="1"/>
  <c r="AW312" i="1" s="1"/>
  <c r="AZ103" i="1"/>
  <c r="AZ311" i="1"/>
  <c r="AT332" i="1"/>
  <c r="AT365" i="1"/>
  <c r="P332" i="1"/>
  <c r="P365" i="1"/>
  <c r="Y332" i="1"/>
  <c r="Y365" i="1"/>
  <c r="AQ332" i="1"/>
  <c r="AQ365" i="1"/>
  <c r="AN332" i="1"/>
  <c r="AN365" i="1"/>
  <c r="S312" i="1"/>
  <c r="S316" i="1"/>
  <c r="S323" i="1" s="1"/>
  <c r="S331" i="1" s="1"/>
  <c r="J103" i="1"/>
  <c r="J311" i="1"/>
  <c r="BF103" i="1"/>
  <c r="BF311" i="1"/>
  <c r="BC332" i="1"/>
  <c r="BC365" i="1"/>
  <c r="BI312" i="1"/>
  <c r="BI316" i="1"/>
  <c r="BI323" i="1" s="1"/>
  <c r="BI331" i="1" s="1"/>
  <c r="AB103" i="1"/>
  <c r="AB311" i="1"/>
  <c r="AH332" i="1"/>
  <c r="AH365" i="1"/>
  <c r="AW316" i="1" l="1"/>
  <c r="AW323" i="1" s="1"/>
  <c r="AW331" i="1" s="1"/>
  <c r="AW332" i="1" s="1"/>
  <c r="AZ316" i="1"/>
  <c r="AZ323" i="1" s="1"/>
  <c r="AZ331" i="1" s="1"/>
  <c r="AZ312" i="1"/>
  <c r="BF312" i="1"/>
  <c r="BF316" i="1"/>
  <c r="BF323" i="1" s="1"/>
  <c r="BF331" i="1" s="1"/>
  <c r="BI332" i="1"/>
  <c r="BI365" i="1"/>
  <c r="S332" i="1"/>
  <c r="S365" i="1"/>
  <c r="J312" i="1"/>
  <c r="J316" i="1"/>
  <c r="AB312" i="1"/>
  <c r="AB316" i="1"/>
  <c r="AB323" i="1" s="1"/>
  <c r="AB331" i="1" s="1"/>
  <c r="AW365" i="1" l="1"/>
  <c r="AZ332" i="1"/>
  <c r="AZ365" i="1"/>
  <c r="AB332" i="1"/>
  <c r="AB365" i="1"/>
  <c r="J323" i="1"/>
  <c r="BF332" i="1"/>
  <c r="BF365" i="1"/>
  <c r="J331" i="1" l="1"/>
  <c r="J332" i="1" l="1"/>
  <c r="J3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A3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Beatriz Lima:
Fatura de Locação 
Não paga o ISS  </t>
        </r>
      </text>
    </comment>
    <comment ref="D305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Beatriz Lima:
Gerente Fin 3k
Compras 1.125k 
Analista Fin 1,8k 
Analista Fin 1,250K
Total R$ 7. 175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Nascimento</author>
  </authors>
  <commentList>
    <comment ref="F2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Camila Nascimento:
Valor somando Alimento+bebida+serviço
</t>
        </r>
      </text>
    </comment>
  </commentList>
</comments>
</file>

<file path=xl/sharedStrings.xml><?xml version="1.0" encoding="utf-8"?>
<sst xmlns="http://schemas.openxmlformats.org/spreadsheetml/2006/main" count="205553" uniqueCount="5903">
  <si>
    <t>JACARÉ GRILL</t>
  </si>
  <si>
    <t xml:space="preserve">Acumulado </t>
  </si>
  <si>
    <t>ANO</t>
  </si>
  <si>
    <t>1º TRIMESTRE</t>
  </si>
  <si>
    <t>2º TRIMESTRE</t>
  </si>
  <si>
    <t>3º TRIMESTRE</t>
  </si>
  <si>
    <t>4º TRIMESTRE</t>
  </si>
  <si>
    <t>REAL 25</t>
  </si>
  <si>
    <t xml:space="preserve">ORÇADO </t>
  </si>
  <si>
    <t>REAL 26</t>
  </si>
  <si>
    <t>REAL 2026</t>
  </si>
  <si>
    <t>FATURAMENTO BRUTO</t>
  </si>
  <si>
    <t>PARÂMETROS UTILIZADOS</t>
  </si>
  <si>
    <t>Alimentação</t>
  </si>
  <si>
    <t xml:space="preserve">Estim. Mensal </t>
  </si>
  <si>
    <t>Preencher base de Faturamento A&amp;B&amp;C</t>
  </si>
  <si>
    <t>Bebida</t>
  </si>
  <si>
    <t>Artístico (couvert/shows)</t>
  </si>
  <si>
    <t>Gifts</t>
  </si>
  <si>
    <t>Vendas Lojinha</t>
  </si>
  <si>
    <t>Serviço</t>
  </si>
  <si>
    <t xml:space="preserve">Gorjeta Fórmula </t>
  </si>
  <si>
    <t>13% sobre A&amp;B&amp;C</t>
  </si>
  <si>
    <t>Eventos A&amp;B</t>
  </si>
  <si>
    <t>Preencher base de Eventos</t>
  </si>
  <si>
    <t>Eventos Couvert</t>
  </si>
  <si>
    <t>Eventos Locações</t>
  </si>
  <si>
    <t>Eventos Rebate Fornecedores</t>
  </si>
  <si>
    <t>Comissão sobre venda dos fornecedores homologados</t>
  </si>
  <si>
    <t>Delivery</t>
  </si>
  <si>
    <t>Preencher base de Delivery</t>
  </si>
  <si>
    <t>Outras Receitas</t>
  </si>
  <si>
    <t>Coleta de Oleo e etc</t>
  </si>
  <si>
    <t>Eventos</t>
  </si>
  <si>
    <t>(-) Desconto sobre Venda</t>
  </si>
  <si>
    <t>Premissas</t>
  </si>
  <si>
    <t>Valores</t>
  </si>
  <si>
    <t>% Incid</t>
  </si>
  <si>
    <t>Descontos - Operação</t>
  </si>
  <si>
    <t>Alimentação OP/ Correção de Problemas</t>
  </si>
  <si>
    <t>Desconto - Alimentação Escritório</t>
  </si>
  <si>
    <t>Cartão FB / Alimentação Escritório</t>
  </si>
  <si>
    <t>Descontos - Marketing</t>
  </si>
  <si>
    <t>Permutas e Ações Gerais</t>
  </si>
  <si>
    <t>% sobre Receita Bruta</t>
  </si>
  <si>
    <t>(-) Impostos sobre Venda</t>
  </si>
  <si>
    <t>PIS / COFINS</t>
  </si>
  <si>
    <t>Base Fiscal</t>
  </si>
  <si>
    <t>ICMS</t>
  </si>
  <si>
    <t>ISS</t>
  </si>
  <si>
    <t>RECEITA LÍQUIDA</t>
  </si>
  <si>
    <t>(-) Custo Mercadoria Vendida</t>
  </si>
  <si>
    <t>Alimentação D</t>
  </si>
  <si>
    <t>Bebida D</t>
  </si>
  <si>
    <t>Embalagens</t>
  </si>
  <si>
    <t>% sobre Receita Líquida</t>
  </si>
  <si>
    <t>(-) Custos Artístico Geral</t>
  </si>
  <si>
    <t>Custos Artístico</t>
  </si>
  <si>
    <t>Cachê de Músicos e Artistas</t>
  </si>
  <si>
    <t>Alimentação e Transporte</t>
  </si>
  <si>
    <t>Estim. Mensal</t>
  </si>
  <si>
    <t>Viagens e Estadias</t>
  </si>
  <si>
    <t>Taxas e Licenças - Artístico</t>
  </si>
  <si>
    <t>Contr/Prov - ECAD Valor Mensal</t>
  </si>
  <si>
    <t>MDO Terceirizada - Artístico</t>
  </si>
  <si>
    <t>Custos Ténico de Som</t>
  </si>
  <si>
    <t>Técnico de Som / Luz</t>
  </si>
  <si>
    <t>Contr/Prov</t>
  </si>
  <si>
    <t>Locação de Equipamentos Fixo</t>
  </si>
  <si>
    <t>Locação de Equipamentos Variável</t>
  </si>
  <si>
    <t>% sobre Receita Artístico</t>
  </si>
  <si>
    <t>(-) Custos Eventos</t>
  </si>
  <si>
    <t>MDO</t>
  </si>
  <si>
    <t>MDO Terceirizada - Eventos</t>
  </si>
  <si>
    <t>Equipe de Eventos</t>
  </si>
  <si>
    <t>Comissões de Vendas - Eventos</t>
  </si>
  <si>
    <t>% sobre o Faturamento de Eventos</t>
  </si>
  <si>
    <t>Serviços de Terceiros - Eventos</t>
  </si>
  <si>
    <t>Serviços Terceirizados - Eventos</t>
  </si>
  <si>
    <t xml:space="preserve">Estaff / Limpeza </t>
  </si>
  <si>
    <t>Serviço de Segurança - Eventos</t>
  </si>
  <si>
    <t>Estaff</t>
  </si>
  <si>
    <t>Artistas e Palestrantes - Eventos</t>
  </si>
  <si>
    <t>Convidados</t>
  </si>
  <si>
    <t>Decoração - Eventos</t>
  </si>
  <si>
    <t>Material de Consumo</t>
  </si>
  <si>
    <t>Material Descartável - Eventos</t>
  </si>
  <si>
    <t>Brindes e Confraternizações - Eventos</t>
  </si>
  <si>
    <t>Material de Escritório - Eventos</t>
  </si>
  <si>
    <t>Material de Manutenção - Eventos</t>
  </si>
  <si>
    <t>Manutenção Geral</t>
  </si>
  <si>
    <t>Serviço de Manutenção - Estrutura - Eventos</t>
  </si>
  <si>
    <t>Estrutura Predial</t>
  </si>
  <si>
    <t>Serviço de Manutenção - Equipamentos - Eventos</t>
  </si>
  <si>
    <t>Equipamentos</t>
  </si>
  <si>
    <t>Transportes</t>
  </si>
  <si>
    <t>Viagens e Estadias - Eventos</t>
  </si>
  <si>
    <t>Passagem aérea/Hotel</t>
  </si>
  <si>
    <t>Transporte Equipe - Eventos</t>
  </si>
  <si>
    <t>Uber/Taxi/Estacionamento para Equipe</t>
  </si>
  <si>
    <t>Fretes e Carretos - Eventos</t>
  </si>
  <si>
    <t>Locações</t>
  </si>
  <si>
    <t>Locação de Utensílios - Eventos</t>
  </si>
  <si>
    <t>Locação de Equipamentos - Eventos</t>
  </si>
  <si>
    <t>Locação de Mobiliário - Eventos</t>
  </si>
  <si>
    <t>Locação de Coberturas - Eventos</t>
  </si>
  <si>
    <t>Estrutura Externa</t>
  </si>
  <si>
    <t>Repasses Locação de Espaço</t>
  </si>
  <si>
    <t>Repasse Gazit - Locação Aroo</t>
  </si>
  <si>
    <t>Repasse Gazit - Locação Anexo Abaru</t>
  </si>
  <si>
    <t>% sobre Receita de Eventos</t>
  </si>
  <si>
    <t>(-) Dedução da Gorjeta</t>
  </si>
  <si>
    <t xml:space="preserve">  -  Comissões e Gorjeta</t>
  </si>
  <si>
    <t>Valor Líquido Distribuído</t>
  </si>
  <si>
    <t xml:space="preserve">Impostos + Taxa Cartão + % Estaff </t>
  </si>
  <si>
    <t>(-) Deduções sobre Venda</t>
  </si>
  <si>
    <t>Meios de pagamento</t>
  </si>
  <si>
    <t>Taxa Cartão</t>
  </si>
  <si>
    <t>Meios de pagamento - Delivery</t>
  </si>
  <si>
    <t xml:space="preserve">Taxa de Delivery </t>
  </si>
  <si>
    <t>Inadimplência</t>
  </si>
  <si>
    <t>Contas em Aberto</t>
  </si>
  <si>
    <t>Outros D</t>
  </si>
  <si>
    <t>Outras Deduções</t>
  </si>
  <si>
    <t>Devolução de Cliente</t>
  </si>
  <si>
    <t xml:space="preserve">Tx Delivery </t>
  </si>
  <si>
    <t>MARGEM BRUTA DE CONTRIBUIÇÃO</t>
  </si>
  <si>
    <t>% sobre Receita</t>
  </si>
  <si>
    <t>PESSOAL</t>
  </si>
  <si>
    <t>PJ</t>
  </si>
  <si>
    <t xml:space="preserve">  - Squad</t>
  </si>
  <si>
    <t xml:space="preserve">  - Gerente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</si>
  <si>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</si>
  <si>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</si>
  <si>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</si>
  <si>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</si>
  <si>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</si>
  <si>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</si>
  <si>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</si>
  <si>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</si>
  <si>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</si>
  <si>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</si>
  <si>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Salários</t>
  </si>
  <si>
    <t xml:space="preserve">  -  Maitre</t>
  </si>
  <si>
    <t>Salário Bruto com INSS Segurado dentro do valor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</si>
  <si>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</si>
  <si>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</si>
  <si>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</si>
  <si>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</si>
  <si>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</si>
  <si>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</si>
  <si>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</si>
  <si>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</si>
  <si>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</si>
  <si>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</si>
  <si>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</si>
  <si>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</si>
  <si>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</si>
  <si>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</si>
  <si>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</si>
  <si>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</si>
  <si>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</si>
  <si>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</si>
  <si>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</si>
  <si>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</si>
  <si>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</si>
  <si>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</si>
  <si>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</si>
  <si>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</si>
  <si>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</si>
  <si>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</si>
  <si>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</si>
  <si>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</si>
  <si>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</si>
  <si>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</si>
  <si>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</si>
  <si>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</si>
  <si>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</t>
  </si>
  <si>
    <t xml:space="preserve">  -  Churrasqueiro II</t>
  </si>
  <si>
    <t xml:space="preserve">  -  Churrasqueiro III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</si>
  <si>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</si>
  <si>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</si>
  <si>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</si>
  <si>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</si>
  <si>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</si>
  <si>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</si>
  <si>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</si>
  <si>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</si>
  <si>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</si>
  <si>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</si>
  <si>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</si>
  <si>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</si>
  <si>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</si>
  <si>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</si>
  <si>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</si>
  <si>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</si>
  <si>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</si>
  <si>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</si>
  <si>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</si>
  <si>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</si>
  <si>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</si>
  <si>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E-Staff</t>
  </si>
  <si>
    <t>Acréscimo</t>
  </si>
  <si>
    <t>Mão de Obra Extra</t>
  </si>
  <si>
    <t xml:space="preserve">  -  Gorjeta (Retenção Estaff) (+)</t>
  </si>
  <si>
    <t>Encargos e Provisões</t>
  </si>
  <si>
    <t xml:space="preserve">  -  FGTS</t>
  </si>
  <si>
    <t>Definir com o DP a base de cálculo para todos os impostos sobre Folha.</t>
  </si>
  <si>
    <t>Incidencias: salário e gorjeta e adicional noturno</t>
  </si>
  <si>
    <t xml:space="preserve">  -  INSS Patronal</t>
  </si>
  <si>
    <t xml:space="preserve">Incidencias: salário e gorjeta </t>
  </si>
  <si>
    <t xml:space="preserve">  -  INSS Segurados</t>
  </si>
  <si>
    <t>Incidencias: salário e gorjeta / Não entra como Custo  Está dentro do valor bruto de Salário</t>
  </si>
  <si>
    <t xml:space="preserve">  -  13º Salário</t>
  </si>
  <si>
    <t>Salário dividido por 12 x</t>
  </si>
  <si>
    <t xml:space="preserve">  -  Férias</t>
  </si>
  <si>
    <t>Férias (salário + média de gorjeta) + 1/3 - Salário está no salário, consideramos 1/3 aqui</t>
  </si>
  <si>
    <t xml:space="preserve">  -  FGTS sobre 13º Salários</t>
  </si>
  <si>
    <t>FGTS s/ 13º</t>
  </si>
  <si>
    <t xml:space="preserve">  -  FGTS sobre Férias</t>
  </si>
  <si>
    <t>FGTS s/ Férias</t>
  </si>
  <si>
    <t xml:space="preserve">  -  INSS sobre 13º Salários</t>
  </si>
  <si>
    <t>INSS s/ 13º</t>
  </si>
  <si>
    <t xml:space="preserve">  -  INSS sobre Férias</t>
  </si>
  <si>
    <t>INSS s/ Férias</t>
  </si>
  <si>
    <t xml:space="preserve">  -  Rescisão</t>
  </si>
  <si>
    <t xml:space="preserve">Sugestão - atribuir valor maximo de rescisão por mês </t>
  </si>
  <si>
    <t xml:space="preserve">  -  Multa Rescisória</t>
  </si>
  <si>
    <t xml:space="preserve"> 40% do saldo do FGTS do colaborador</t>
  </si>
  <si>
    <t xml:space="preserve">  -  Ações trabalhistas</t>
  </si>
  <si>
    <t xml:space="preserve">Valor lançado em sistema </t>
  </si>
  <si>
    <t xml:space="preserve">  -  Adicional Noturno</t>
  </si>
  <si>
    <t xml:space="preserve">(Salário / 220 x Nº de horas noturnas x1,142857) </t>
  </si>
  <si>
    <t>4 horas - 40% OP</t>
  </si>
  <si>
    <t xml:space="preserve">  -  Hora Extra</t>
  </si>
  <si>
    <t>Salário / 220 x 2  =  1 horas - 5% dos funcionários</t>
  </si>
  <si>
    <t xml:space="preserve">  -  Remuneração Variável</t>
  </si>
  <si>
    <t xml:space="preserve">  -  Premiação</t>
  </si>
  <si>
    <t>Benefícios</t>
  </si>
  <si>
    <t xml:space="preserve">  -  Vale-transporte</t>
  </si>
  <si>
    <t xml:space="preserve">  -  Assist. Médica</t>
  </si>
  <si>
    <t xml:space="preserve">  -  Assist. Odontologica</t>
  </si>
  <si>
    <t xml:space="preserve">  -  Seguro de Vida</t>
  </si>
  <si>
    <t xml:space="preserve">Custo por colaborador </t>
  </si>
  <si>
    <t xml:space="preserve">  -  Ajuda de Custo</t>
  </si>
  <si>
    <t>Outros B</t>
  </si>
  <si>
    <t xml:space="preserve">  -  Uniformes Manutenção e Reposição</t>
  </si>
  <si>
    <t xml:space="preserve">  -  Exames Periódicos</t>
  </si>
  <si>
    <t>Discutir esse assunto, valor por func com todos os exames - Estimado 10%</t>
  </si>
  <si>
    <t xml:space="preserve">  -  Diversos - Vale Combustível</t>
  </si>
  <si>
    <t xml:space="preserve">  -  Gratificações</t>
  </si>
  <si>
    <t xml:space="preserve">  -  Cursos e Treinamentos</t>
  </si>
  <si>
    <t xml:space="preserve">  -  Alimentação Funcionário</t>
  </si>
  <si>
    <t xml:space="preserve">  -  Pro Labore</t>
  </si>
  <si>
    <t>% sobre Receita c/ Squad</t>
  </si>
  <si>
    <t>% sobre Receita s/ Squad</t>
  </si>
  <si>
    <t>Custo de Ocupação</t>
  </si>
  <si>
    <t>Aluguel de Imoveis</t>
  </si>
  <si>
    <t>Condominio</t>
  </si>
  <si>
    <t>IPTU</t>
  </si>
  <si>
    <t>Fundo de Promoção</t>
  </si>
  <si>
    <t>Seguro Patrimonial</t>
  </si>
  <si>
    <t>Arrendamento</t>
  </si>
  <si>
    <t>Taxas publicas administrativas - Ocupação</t>
  </si>
  <si>
    <t>Utilidades</t>
  </si>
  <si>
    <t>Agua/Esgoto</t>
  </si>
  <si>
    <t>Energia Eletrica</t>
  </si>
  <si>
    <t>Gas de Cozinha</t>
  </si>
  <si>
    <t>Higiene e Limpeza</t>
  </si>
  <si>
    <t>Descartaveis</t>
  </si>
  <si>
    <t>Controle de Pragas</t>
  </si>
  <si>
    <t>Coleta de lixo</t>
  </si>
  <si>
    <t>Utensilios</t>
  </si>
  <si>
    <t>Serviços Graficos</t>
  </si>
  <si>
    <t>Custas Cartório</t>
  </si>
  <si>
    <t>Material de Escritorio</t>
  </si>
  <si>
    <t>Serviços de Limpeza</t>
  </si>
  <si>
    <t>Serviço de Lavanderia</t>
  </si>
  <si>
    <t>Material de Consumo - Gelo/ Gas CO2/ Carvao /Velas</t>
  </si>
  <si>
    <t>Informática e TI</t>
  </si>
  <si>
    <t>Telefone</t>
  </si>
  <si>
    <t>Internet</t>
  </si>
  <si>
    <t>TV por assinatura/musica ambiente</t>
  </si>
  <si>
    <t>Sistemas de Segurança e Alarme</t>
  </si>
  <si>
    <t>Sistemas Gerais - Operacionais</t>
  </si>
  <si>
    <t>Sistemas Gerais - Financeiros</t>
  </si>
  <si>
    <t>Sistemas Gerais - Comunicação e Marketing</t>
  </si>
  <si>
    <t>Despesas Gerais</t>
  </si>
  <si>
    <t>Manutenção Predial</t>
  </si>
  <si>
    <t>Manutenção de Equipamentos</t>
  </si>
  <si>
    <t>Manutenção de Mobiliário</t>
  </si>
  <si>
    <t>Material de Manutenção</t>
  </si>
  <si>
    <t>Decoração/Paisagismo e Jardinagem</t>
  </si>
  <si>
    <t>Fretes e Carretos</t>
  </si>
  <si>
    <t>Conduções/Taxi/Uber</t>
  </si>
  <si>
    <t>Viagens e Estadias - Operação</t>
  </si>
  <si>
    <t>Marketing</t>
  </si>
  <si>
    <t>Agência de Propaganda</t>
  </si>
  <si>
    <t>Assessoria de Imprensa</t>
  </si>
  <si>
    <t>Assessoria de Relações Públicas</t>
  </si>
  <si>
    <t>Influenciadores</t>
  </si>
  <si>
    <t>Publicidade e Propaganda</t>
  </si>
  <si>
    <t>Pesquisa de Mercado</t>
  </si>
  <si>
    <t>Sessão de Fotos/Captação de Vídeo</t>
  </si>
  <si>
    <t>Produção Gráfica e Material Institucional</t>
  </si>
  <si>
    <t>Eventos de Marketing</t>
  </si>
  <si>
    <t>Brindes e Confraternizações</t>
  </si>
  <si>
    <t>Ferramentas de Marketing</t>
  </si>
  <si>
    <t>Serviços de Terceiros</t>
  </si>
  <si>
    <t>Assessoria Contabil</t>
  </si>
  <si>
    <t>Assessoria RH</t>
  </si>
  <si>
    <t>Assessoria em Geral</t>
  </si>
  <si>
    <t>Assessoria Financeira</t>
  </si>
  <si>
    <t>Assessoria Jurídica</t>
  </si>
  <si>
    <t>Assessoria de Alimentos e Bebidas</t>
  </si>
  <si>
    <t>Assessoria de Projetos</t>
  </si>
  <si>
    <t>Serviços de Segurança</t>
  </si>
  <si>
    <t>Valet/Motoboy</t>
  </si>
  <si>
    <t>Locação de Equipamentos</t>
  </si>
  <si>
    <t>Locações de Equipamentos - Operacionais</t>
  </si>
  <si>
    <t>Locação de Equipamentos - Informatica e TI</t>
  </si>
  <si>
    <t>Locações de Equipamentos - Comunicação e Marketing</t>
  </si>
  <si>
    <t>Locação de Utensílios</t>
  </si>
  <si>
    <t>Sistema de Franquias</t>
  </si>
  <si>
    <t>Royalties</t>
  </si>
  <si>
    <t>Fundo de Propaganda</t>
  </si>
  <si>
    <t>Fee Gestão FB</t>
  </si>
  <si>
    <t>Contrato %</t>
  </si>
  <si>
    <t>TOTAL - DESPESAS OPERATIVAS</t>
  </si>
  <si>
    <t>EBITDA</t>
  </si>
  <si>
    <t>(-) Depreciação/Amortização</t>
  </si>
  <si>
    <t>CAPEX / 60</t>
  </si>
  <si>
    <t>EBIT</t>
  </si>
  <si>
    <t>(+/-) Receitas/Despesas Financeiras</t>
  </si>
  <si>
    <t>(+) Receitas de Patrocínio</t>
  </si>
  <si>
    <t xml:space="preserve">Base - COMERCIAL </t>
  </si>
  <si>
    <t>(-) Despesas de Patrocínio</t>
  </si>
  <si>
    <t>Base - DESPESA COMERCIAL</t>
  </si>
  <si>
    <t>Resultado Antes do IR</t>
  </si>
  <si>
    <t>(-) Impostos</t>
  </si>
  <si>
    <t>Drivers</t>
  </si>
  <si>
    <t>Valores fixos</t>
  </si>
  <si>
    <t>SIMPLES</t>
  </si>
  <si>
    <t>Estim. Mensal - Base Fiscal</t>
  </si>
  <si>
    <t>IRPJ</t>
  </si>
  <si>
    <t>IRPJ 10%</t>
  </si>
  <si>
    <t>CSLL</t>
  </si>
  <si>
    <t>Resultado Líquido</t>
  </si>
  <si>
    <t>(-) CAPEX (Investimentos)</t>
  </si>
  <si>
    <t xml:space="preserve">Investimento - Construção - Obra </t>
  </si>
  <si>
    <t>Investimento - Equipamentos</t>
  </si>
  <si>
    <t>Investimento - Utensílios</t>
  </si>
  <si>
    <t>Investimento - Mobiliário e Decoração</t>
  </si>
  <si>
    <t>Investimento - Projetos</t>
  </si>
  <si>
    <t>Investimento - Paisagismo</t>
  </si>
  <si>
    <t>Investimento - Sistemas Gerais - Implantação</t>
  </si>
  <si>
    <t>Investimento - Marketing</t>
  </si>
  <si>
    <t>Investimento - Uniformes</t>
  </si>
  <si>
    <t>Investimento - Despesas pré-operacionais</t>
  </si>
  <si>
    <t>Investimento - Taxa de Licença</t>
  </si>
  <si>
    <t>Investimento - Outros luvas</t>
  </si>
  <si>
    <t>Investimento - Ativos AMBEV</t>
  </si>
  <si>
    <t>Investimento - Estrutura Chopp - Balcão</t>
  </si>
  <si>
    <t>Investimento - Estrutura Chopp - Camara Refrigerada</t>
  </si>
  <si>
    <t>Investimento - Estrutura Chopp - Chopeira</t>
  </si>
  <si>
    <t>(+/-) Outras variações no fluxo de caixa</t>
  </si>
  <si>
    <t>Remuneração Variável</t>
  </si>
  <si>
    <t>Dividendos</t>
  </si>
  <si>
    <t>Endividamento Geral</t>
  </si>
  <si>
    <t>Processo Judicial</t>
  </si>
  <si>
    <t>Processo Civil</t>
  </si>
  <si>
    <t>Recurso Processual</t>
  </si>
  <si>
    <t>Empréstimos Gerais</t>
  </si>
  <si>
    <t>Total - Variações s/ Resultado Líquido</t>
  </si>
  <si>
    <t>FCF</t>
  </si>
  <si>
    <t>MEMÓRIA DE CÁLCULO DAS PROJEÇÕES DE CUSTOS COM IMPOSTOS E PESSOAL</t>
  </si>
  <si>
    <t>Premissas e parâmetros usados...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</si>
  <si>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</si>
  <si>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</si>
  <si>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</si>
  <si>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</si>
  <si>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</si>
  <si>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</si>
  <si>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</si>
  <si>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</si>
  <si>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</si>
  <si>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</si>
  <si>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</si>
  <si>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</si>
  <si>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Ano 1</t>
  </si>
  <si>
    <t>Receita Bruta Total</t>
  </si>
  <si>
    <t>Grau de formalidade do Faturamento (% Rec. Bruta)</t>
  </si>
  <si>
    <t>Receita Bruta Total (PD)</t>
  </si>
  <si>
    <t>Receita Bruta Anual Acumulada (PD)</t>
  </si>
  <si>
    <t>Premissas sobre Impostos</t>
  </si>
  <si>
    <t xml:space="preserve">Qual Modelo ? </t>
  </si>
  <si>
    <t>Alíquota de Tributação - SIMPLES</t>
  </si>
  <si>
    <t>Alíquota de Tributação - SIMPLES (cont. param.)</t>
  </si>
  <si>
    <t>Alíquota de Tributação - PIS/COFINS</t>
  </si>
  <si>
    <t>Alíquota de Tributação - IRPJ (presumido)</t>
  </si>
  <si>
    <t>L. Presumido ?</t>
  </si>
  <si>
    <t>S</t>
  </si>
  <si>
    <t>Alíquota de Tributação - CSLL (presumido)</t>
  </si>
  <si>
    <t>Alíquota de Tributação - CPMF</t>
  </si>
  <si>
    <t>Alíquota de Tributação - ICMS</t>
  </si>
  <si>
    <t>Alíquota de Tributação - ISS</t>
  </si>
  <si>
    <t>Elegível ao SIMPLES ? (critério: faturamento)</t>
  </si>
  <si>
    <t>Fat. Max.</t>
  </si>
  <si>
    <t>Utilização do SIMPLES no Exercício</t>
  </si>
  <si>
    <t>Usa Simples ?</t>
  </si>
  <si>
    <t>N</t>
  </si>
  <si>
    <t>Premissas para Apuração de IRPJ e CSL</t>
  </si>
  <si>
    <t>Resultado antes do IR</t>
  </si>
  <si>
    <t>Prejuízos Acumulados</t>
  </si>
  <si>
    <t>Despesas Pre-op</t>
  </si>
  <si>
    <t>Dedução de Prejuízos Acumulados</t>
  </si>
  <si>
    <t>Limite dedutível prejuízo</t>
  </si>
  <si>
    <t>Base para cálculo do IRPJ e CSL</t>
  </si>
  <si>
    <t>Faixa LAIR  &gt;</t>
  </si>
  <si>
    <t>Valores distribuidos mensalmente - IRPJ</t>
  </si>
  <si>
    <t>Aliq. IRPJ</t>
  </si>
  <si>
    <t>Valores distribuidos mensalmente - CSL</t>
  </si>
  <si>
    <t>Aliq. CSL</t>
  </si>
  <si>
    <t>Plano de Pessoal</t>
  </si>
  <si>
    <t>Quadro de funcionários, por função</t>
  </si>
  <si>
    <t>Salário base, por função</t>
  </si>
  <si>
    <t>CLT</t>
  </si>
  <si>
    <t>Presumido</t>
  </si>
  <si>
    <t>FGTS</t>
  </si>
  <si>
    <t>INSS</t>
  </si>
  <si>
    <t>13º Salários</t>
  </si>
  <si>
    <t>Férias</t>
  </si>
  <si>
    <t>FGTS / INSS sobre 13º Salários</t>
  </si>
  <si>
    <t>FGTS / INSS sobre Férias</t>
  </si>
  <si>
    <t>Contribuições</t>
  </si>
  <si>
    <t>Multa Rescisória</t>
  </si>
  <si>
    <t>Ações Trabalhistas</t>
  </si>
  <si>
    <t>Adicional Noturno</t>
  </si>
  <si>
    <t>Hora Extra</t>
  </si>
  <si>
    <t>Premiação</t>
  </si>
  <si>
    <t>Utiliza alíquotas do SIMPLES ?</t>
  </si>
  <si>
    <t>Métricas Faturamento</t>
  </si>
  <si>
    <t># Atendimentos</t>
  </si>
  <si>
    <t>Tkt Médio (R$)</t>
  </si>
  <si>
    <t>% Alimentos</t>
  </si>
  <si>
    <t>% Bebidas</t>
  </si>
  <si>
    <t xml:space="preserve">% Artístico (Couvert/shows) </t>
  </si>
  <si>
    <t>% Gifts</t>
  </si>
  <si>
    <t>% Serviço</t>
  </si>
  <si>
    <t>% Eventos A&amp;B</t>
  </si>
  <si>
    <t>% Eventos Couvert</t>
  </si>
  <si>
    <t>% Eventos Locações</t>
  </si>
  <si>
    <t>% Outros - Delivery</t>
  </si>
  <si>
    <t>% Outras Receitas</t>
  </si>
  <si>
    <t>Métricas Desconto</t>
  </si>
  <si>
    <t>% Descontos</t>
  </si>
  <si>
    <t>RAMP-UP de Vendas</t>
  </si>
  <si>
    <t>JACARÉ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</si>
  <si>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</si>
  <si>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</si>
  <si>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</si>
  <si>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</si>
  <si>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</si>
  <si>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</si>
  <si>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</si>
  <si>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</si>
  <si>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</si>
  <si>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</si>
  <si>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</si>
  <si>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</si>
  <si>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</si>
  <si>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(+) Estoque inicial Alimento</t>
  </si>
  <si>
    <t xml:space="preserve">ZigPay </t>
  </si>
  <si>
    <t>(+) Estoque inicial Bebida</t>
  </si>
  <si>
    <t xml:space="preserve">Eventos </t>
  </si>
  <si>
    <t>(+) Estoque inicial Produção Cozinha</t>
  </si>
  <si>
    <t xml:space="preserve">Reveillon </t>
  </si>
  <si>
    <t>(+) Estoque inicial Produção Bar</t>
  </si>
  <si>
    <t>Comanda Aberta/Couvert</t>
  </si>
  <si>
    <t>(+) Compra de Alimento</t>
  </si>
  <si>
    <t>Descontos</t>
  </si>
  <si>
    <t>(+) Compra de Bebida</t>
  </si>
  <si>
    <t>Promoções Utilizadas</t>
  </si>
  <si>
    <t>(+)Entradas transferência Alimento</t>
  </si>
  <si>
    <t>(+)Entradas transferência Bebidas</t>
  </si>
  <si>
    <t>A&amp;B Final para calculo do CMV na DRE</t>
  </si>
  <si>
    <t>(-) Saídas transferencia Alimento</t>
  </si>
  <si>
    <t>(-) Saídas transferencia Bebidas</t>
  </si>
  <si>
    <t>(-) Consumo Funcionário</t>
  </si>
  <si>
    <t>Eventos - Valor Adicional no CMV</t>
  </si>
  <si>
    <t>(-) Perdas /baixas manuais</t>
  </si>
  <si>
    <t>(-) Fechamento Alimento, estoque final</t>
  </si>
  <si>
    <t>(-) Fechamento Bebida, estoque final</t>
  </si>
  <si>
    <t>(-) Fechamento Produção Cozinha</t>
  </si>
  <si>
    <t>(-) Fechamento Produção Bar</t>
  </si>
  <si>
    <t>(=) Custo Alimento Vendido</t>
  </si>
  <si>
    <t>(=) Custo Bebida Vendida</t>
  </si>
  <si>
    <t>Somatorio A&amp;B</t>
  </si>
  <si>
    <t>Venda De Alimento</t>
  </si>
  <si>
    <t>Venda De Bebida</t>
  </si>
  <si>
    <t>Eventos (A&amp;B)</t>
  </si>
  <si>
    <t>Soma A&amp;B + Eventos</t>
  </si>
  <si>
    <t>%</t>
  </si>
  <si>
    <t>CMV Alimento</t>
  </si>
  <si>
    <t>CMV Bebida</t>
  </si>
  <si>
    <t>CMV Geral</t>
  </si>
  <si>
    <t>Descrição</t>
  </si>
  <si>
    <t>1º TRI</t>
  </si>
  <si>
    <t>2º TRI</t>
  </si>
  <si>
    <t>3º TRI</t>
  </si>
  <si>
    <t>4º TRI</t>
  </si>
  <si>
    <t>Total</t>
  </si>
  <si>
    <t>Receita Serviços</t>
  </si>
  <si>
    <t>Receita Comércio</t>
  </si>
  <si>
    <t>Serviço (Gorjeta)</t>
  </si>
  <si>
    <t>Outras Receitas Não operacional</t>
  </si>
  <si>
    <t>Total receitas</t>
  </si>
  <si>
    <t>PIS</t>
  </si>
  <si>
    <t>COFINS</t>
  </si>
  <si>
    <t xml:space="preserve">IRPJ s/ Serviço </t>
  </si>
  <si>
    <t xml:space="preserve">IRPJ s/ Comercio  </t>
  </si>
  <si>
    <t>IRPJ Não operacional</t>
  </si>
  <si>
    <t>IRPJ Adicional</t>
  </si>
  <si>
    <t>IRPJ Total</t>
  </si>
  <si>
    <t xml:space="preserve">CSLL s/ Serviço </t>
  </si>
  <si>
    <t xml:space="preserve">CSLL s/ Comercio  </t>
  </si>
  <si>
    <t>CSLL Não operacional</t>
  </si>
  <si>
    <t>CSLL Total</t>
  </si>
  <si>
    <t>Vencimento mensal dia 10 (ISS)</t>
  </si>
  <si>
    <t>Vencimento mensal dia 20 (ICMS)</t>
  </si>
  <si>
    <t>Vencimento mensal dia 25 (PIS E COFINS)</t>
  </si>
  <si>
    <t>Vencimento trimestral dia 30 (IRPJ E CSLL)</t>
  </si>
  <si>
    <t>Simulação de 2025 no Simples Nacional</t>
  </si>
  <si>
    <t>Valor - R$</t>
  </si>
  <si>
    <t>Acumulado 12 meses</t>
  </si>
  <si>
    <t>Faixa</t>
  </si>
  <si>
    <t>Resultado</t>
  </si>
  <si>
    <t>Dedução</t>
  </si>
  <si>
    <t>Valor recolhimento DAS</t>
  </si>
  <si>
    <t>Valor recolhimento ICMS</t>
  </si>
  <si>
    <t>Custo total - R$</t>
  </si>
  <si>
    <t>Obs</t>
  </si>
  <si>
    <t>5ª</t>
  </si>
  <si>
    <t>Alíquota efetiva</t>
  </si>
  <si>
    <t>1ª</t>
  </si>
  <si>
    <t>2ª</t>
  </si>
  <si>
    <t>3ª</t>
  </si>
  <si>
    <t>4ª</t>
  </si>
  <si>
    <t>6ª</t>
  </si>
  <si>
    <t>Casa</t>
  </si>
  <si>
    <t>Classif. Cont. 1</t>
  </si>
  <si>
    <t>Classif. Cont. 2</t>
  </si>
  <si>
    <t>Mês</t>
  </si>
  <si>
    <t>Valor</t>
  </si>
  <si>
    <t>Versão Plano Cont.</t>
  </si>
  <si>
    <t>Válido</t>
  </si>
  <si>
    <t>Mes_Texto</t>
  </si>
  <si>
    <t>Jacaré</t>
  </si>
  <si>
    <t>Faturamento Bruto</t>
  </si>
  <si>
    <t>01/01/2026</t>
  </si>
  <si>
    <t>Fabrica de Bares (2025)</t>
  </si>
  <si>
    <t>1/2026</t>
  </si>
  <si>
    <t>Deduções sobre Venda</t>
  </si>
  <si>
    <t>Impostos sobre Venda</t>
  </si>
  <si>
    <t>Custo Mercadoria Vendida</t>
  </si>
  <si>
    <t>Insumos - Alimentos</t>
  </si>
  <si>
    <t>Insumos - Bebidas</t>
  </si>
  <si>
    <t>Insumos - Embalagens</t>
  </si>
  <si>
    <t>Insumos - Eventos A&amp;B</t>
  </si>
  <si>
    <t>Custos Artístico Geral</t>
  </si>
  <si>
    <t>Mão de Obra - PJ</t>
  </si>
  <si>
    <t>Custos de Eventos</t>
  </si>
  <si>
    <t>Gorjeta</t>
  </si>
  <si>
    <t>MDO PJ Fixo</t>
  </si>
  <si>
    <t>Mão de Obra - Salários</t>
  </si>
  <si>
    <t>MDO CLT - Salário</t>
  </si>
  <si>
    <t>Mão de Obra - Extra</t>
  </si>
  <si>
    <t>Mão de Obra - Encargos e Provisões</t>
  </si>
  <si>
    <t>Mão de Obra - Benefícios</t>
  </si>
  <si>
    <t>Mão de Obra - Pro Labores</t>
  </si>
  <si>
    <t>Custas Cartório / Operação</t>
  </si>
  <si>
    <t>Manutenção</t>
  </si>
  <si>
    <t>Despesas com Transporte / Hospedagem</t>
  </si>
  <si>
    <t>Brindes e Confraternizações - Marketing</t>
  </si>
  <si>
    <t>Patrocínio</t>
  </si>
  <si>
    <t>01/02/2026</t>
  </si>
  <si>
    <t>2/2026</t>
  </si>
  <si>
    <t>01/03/2026</t>
  </si>
  <si>
    <t>3/2026</t>
  </si>
  <si>
    <t>01/04/2026</t>
  </si>
  <si>
    <t>4/2026</t>
  </si>
  <si>
    <t>01/05/2026</t>
  </si>
  <si>
    <t>5/2026</t>
  </si>
  <si>
    <t>01/06/2026</t>
  </si>
  <si>
    <t>6/2026</t>
  </si>
  <si>
    <t>01/07/2026</t>
  </si>
  <si>
    <t>7/2026</t>
  </si>
  <si>
    <t>01/08/2026</t>
  </si>
  <si>
    <t>8/2026</t>
  </si>
  <si>
    <t>01/09/2026</t>
  </si>
  <si>
    <t>9/2026</t>
  </si>
  <si>
    <t>01/10/2026</t>
  </si>
  <si>
    <t>01/11/2026</t>
  </si>
  <si>
    <t>01/12/2026</t>
  </si>
  <si>
    <t>Imposto de Renda</t>
  </si>
  <si>
    <t>Categoria/Linha</t>
  </si>
  <si>
    <t>2024-01-01</t>
  </si>
  <si>
    <t>1/2024</t>
  </si>
  <si>
    <t>-  Comissões e Gorjeta</t>
  </si>
  <si>
    <t>- Squad</t>
  </si>
  <si>
    <t>- Gerente</t>
  </si>
  <si>
    <t>- Subgerente</t>
  </si>
  <si>
    <t>- Coordenador</t>
  </si>
  <si>
    <t>- Administrativa</t>
  </si>
  <si>
    <t>- Chefe de Cozinha</t>
  </si>
  <si>
    <t>- Chefe de Bar</t>
  </si>
  <si>
    <t>- Sub Chefe de Cozinha</t>
  </si>
  <si>
    <t>- Sub Chefe De Bar</t>
  </si>
  <si>
    <t>- Maitre</t>
  </si>
  <si>
    <t>- Chefe de Fila</t>
  </si>
  <si>
    <t>- Hostess</t>
  </si>
  <si>
    <t>-  Maitre</t>
  </si>
  <si>
    <t>-  Garçon III</t>
  </si>
  <si>
    <t>-  Garçon II</t>
  </si>
  <si>
    <t>-  Garçon I</t>
  </si>
  <si>
    <t>-  Passador de Chopp</t>
  </si>
  <si>
    <t>-  Cumin</t>
  </si>
  <si>
    <t>-  Sub Chefe de Bar</t>
  </si>
  <si>
    <t>-  Bartender III</t>
  </si>
  <si>
    <t>-  Bartender II</t>
  </si>
  <si>
    <t>-  Bartender I</t>
  </si>
  <si>
    <t>-  Bar Back</t>
  </si>
  <si>
    <t>-  Barista III</t>
  </si>
  <si>
    <t>-  Barista II</t>
  </si>
  <si>
    <t>-  Barista I</t>
  </si>
  <si>
    <t>-  Chopeiro III</t>
  </si>
  <si>
    <t>-  Chopeiro II</t>
  </si>
  <si>
    <t>-  Chopeiro I</t>
  </si>
  <si>
    <t>-  Sub Chefe de Cozinha</t>
  </si>
  <si>
    <t>-  Cozinheiro Líder</t>
  </si>
  <si>
    <t>-  Cozinheiro III</t>
  </si>
  <si>
    <t>-  Cozinheiro II</t>
  </si>
  <si>
    <t>-  Cozinheiro I</t>
  </si>
  <si>
    <t>-  Ajud cozinha</t>
  </si>
  <si>
    <t>-  Saladeiro</t>
  </si>
  <si>
    <t>-  Pia</t>
  </si>
  <si>
    <t>-  Sub Chefe de Confeitaria</t>
  </si>
  <si>
    <t>-  Confeiteiro III</t>
  </si>
  <si>
    <t>-  Confeiteiro II</t>
  </si>
  <si>
    <t>-  Confeiteiro I</t>
  </si>
  <si>
    <t>-  Copeiro</t>
  </si>
  <si>
    <t>-  Pizzaiolo</t>
  </si>
  <si>
    <t>-  Ajudante de Pizzaiolo</t>
  </si>
  <si>
    <t>-  Boqueta</t>
  </si>
  <si>
    <t>-  Churrasqueiro I</t>
  </si>
  <si>
    <t>-  Churrasqueiro II</t>
  </si>
  <si>
    <t>-  Churrasqueiro III</t>
  </si>
  <si>
    <t>-  Ajud Limpeza</t>
  </si>
  <si>
    <t>-  Estoquista III</t>
  </si>
  <si>
    <t>-  Estoquista II</t>
  </si>
  <si>
    <t>-  Estoquista I</t>
  </si>
  <si>
    <t>-  Chefe de Manutenção</t>
  </si>
  <si>
    <t>-  Aux. Manutenção III</t>
  </si>
  <si>
    <t>-  Aux. Manutenção II</t>
  </si>
  <si>
    <t>-  Aux. Manutenção I</t>
  </si>
  <si>
    <t>-  Chefe da Portaria</t>
  </si>
  <si>
    <t>-  Porteiro III</t>
  </si>
  <si>
    <t>-  Porteiro II</t>
  </si>
  <si>
    <t>-  Porteiro I</t>
  </si>
  <si>
    <t>-  Hostess III</t>
  </si>
  <si>
    <t>-  Hostess II</t>
  </si>
  <si>
    <t>-  Hostess I</t>
  </si>
  <si>
    <t>-  Chefe de Bilheteria</t>
  </si>
  <si>
    <t>-  Bilheteiro III</t>
  </si>
  <si>
    <t>-  Bilheteiro II</t>
  </si>
  <si>
    <t>-  Bilheteiro I</t>
  </si>
  <si>
    <t>-  Caixa</t>
  </si>
  <si>
    <t>-  Operador de Delivery</t>
  </si>
  <si>
    <t>-  Gorjeta (Retenção Estaff) (+)</t>
  </si>
  <si>
    <t>-  FGTS</t>
  </si>
  <si>
    <t>-  INSS Patronal</t>
  </si>
  <si>
    <t>-  INSS Segurados</t>
  </si>
  <si>
    <t>-  13º Salário</t>
  </si>
  <si>
    <t>-  Férias</t>
  </si>
  <si>
    <t>-  FGTS sobre 13º Salários</t>
  </si>
  <si>
    <t>-  FGTS sobre Férias</t>
  </si>
  <si>
    <t>-  INSS sobre 13º Salários</t>
  </si>
  <si>
    <t>-  INSS sobre Férias</t>
  </si>
  <si>
    <t>-  Rescisão</t>
  </si>
  <si>
    <t>-  Multa Rescisória</t>
  </si>
  <si>
    <t>-  Ações trabalhistas</t>
  </si>
  <si>
    <t>-  Adicional Noturno</t>
  </si>
  <si>
    <t>-  Hora Extra</t>
  </si>
  <si>
    <t>-  Remuneração Variável</t>
  </si>
  <si>
    <t>-  Premiação</t>
  </si>
  <si>
    <t>-  Vale-transporte</t>
  </si>
  <si>
    <t>-  Assist. Médica</t>
  </si>
  <si>
    <t>-  Assist. Odontologica</t>
  </si>
  <si>
    <t>-  Seguro de Vida</t>
  </si>
  <si>
    <t>-  Ajuda de Custo</t>
  </si>
  <si>
    <t>-  Uniformes Manutenção e Reposição</t>
  </si>
  <si>
    <t>-  Exames Periódicos</t>
  </si>
  <si>
    <t>-  Diversos - Vale Combustível</t>
  </si>
  <si>
    <t>-  Gratificações</t>
  </si>
  <si>
    <t>-  Cursos e Treinamentos</t>
  </si>
  <si>
    <t>-  Alimentação Funcionário</t>
  </si>
  <si>
    <t>-  Pro Labore</t>
  </si>
  <si>
    <t>Investimento - Construção - Obra</t>
  </si>
  <si>
    <t>Saldo Operacional</t>
  </si>
  <si>
    <t>2024-02-01</t>
  </si>
  <si>
    <t>2/2024</t>
  </si>
  <si>
    <t>2024-03-01</t>
  </si>
  <si>
    <t>3/2024</t>
  </si>
  <si>
    <t>2024-04-01</t>
  </si>
  <si>
    <t>4/2024</t>
  </si>
  <si>
    <t>2024-05-01</t>
  </si>
  <si>
    <t>5/2024</t>
  </si>
  <si>
    <t>2024-06-01</t>
  </si>
  <si>
    <t>6/2024</t>
  </si>
  <si>
    <t>2024-07-01</t>
  </si>
  <si>
    <t>7/2024</t>
  </si>
  <si>
    <t>2024-08-01</t>
  </si>
  <si>
    <t>8/2024</t>
  </si>
  <si>
    <t>2024-09-01</t>
  </si>
  <si>
    <t>9/2024</t>
  </si>
  <si>
    <t>2024-10-01</t>
  </si>
  <si>
    <t>10/2024</t>
  </si>
  <si>
    <t>2024-11-01</t>
  </si>
  <si>
    <t>11/2024</t>
  </si>
  <si>
    <t>2024-12-01</t>
  </si>
  <si>
    <t>12/2024</t>
  </si>
  <si>
    <t>ANO/2024</t>
  </si>
  <si>
    <t>2025-01-01</t>
  </si>
  <si>
    <t>1/2025</t>
  </si>
  <si>
    <t>2025-02-01</t>
  </si>
  <si>
    <t>2/2025</t>
  </si>
  <si>
    <t>2025-03-01</t>
  </si>
  <si>
    <t>3/2025</t>
  </si>
  <si>
    <t>2025-04-01</t>
  </si>
  <si>
    <t>4/2025</t>
  </si>
  <si>
    <t>2025-05-01</t>
  </si>
  <si>
    <t>5/2025</t>
  </si>
  <si>
    <t>2025-06-01</t>
  </si>
  <si>
    <t>6/2025</t>
  </si>
  <si>
    <t>2025-07-01</t>
  </si>
  <si>
    <t>7/2025</t>
  </si>
  <si>
    <t>2025-08-01</t>
  </si>
  <si>
    <t>8/2025</t>
  </si>
  <si>
    <t>2025-09-01</t>
  </si>
  <si>
    <t>9/2025</t>
  </si>
  <si>
    <t>2025-10-01</t>
  </si>
  <si>
    <t>10/2025</t>
  </si>
  <si>
    <t>2025-11-01</t>
  </si>
  <si>
    <t>11/2025</t>
  </si>
  <si>
    <t>2025-12-01</t>
  </si>
  <si>
    <t>ANO/2025</t>
  </si>
  <si>
    <t>2026-01-01</t>
  </si>
  <si>
    <t>2026-02-01</t>
  </si>
  <si>
    <t>2026-03-01</t>
  </si>
  <si>
    <t>2026-04-01</t>
  </si>
  <si>
    <t>tdr_ID</t>
  </si>
  <si>
    <t>Fornecedor</t>
  </si>
  <si>
    <t>Doc_Serie</t>
  </si>
  <si>
    <t>Data_Emissao</t>
  </si>
  <si>
    <t>Data_Vencimento</t>
  </si>
  <si>
    <t>Class_Cont_Grupo_1</t>
  </si>
  <si>
    <t>Class_Cont_Grupo_2</t>
  </si>
  <si>
    <t>Observacao</t>
  </si>
  <si>
    <t>Valor_Original</t>
  </si>
  <si>
    <t>Valor_Liquido</t>
  </si>
  <si>
    <t>Plano_de_Contas</t>
  </si>
  <si>
    <t>Cargo</t>
  </si>
  <si>
    <t>Cargo_DRE</t>
  </si>
  <si>
    <t>Status_Provisao_Real</t>
  </si>
  <si>
    <t>Status_Pagamento</t>
  </si>
  <si>
    <t>BIT_CANCELADA</t>
  </si>
  <si>
    <t>5177107</t>
  </si>
  <si>
    <t>Endividamento</t>
  </si>
  <si>
    <t>(Rescindido) PARCELAMENTO IPTU - 081.171.0011-8 EXERCICIO 21-17-18-19-20-22</t>
  </si>
  <si>
    <t>Provisionado</t>
  </si>
  <si>
    <t>03/2028</t>
  </si>
  <si>
    <t>60/60</t>
  </si>
  <si>
    <t>(Rescindido) ACORDO 5151395 - CONTRINUINTE 081.171.0010-1 - FIRMADO 03/2023</t>
  </si>
  <si>
    <t>02/2028</t>
  </si>
  <si>
    <t>59/60</t>
  </si>
  <si>
    <t>01/2028</t>
  </si>
  <si>
    <t>58/60</t>
  </si>
  <si>
    <t>Real</t>
  </si>
  <si>
    <t>Pendente</t>
  </si>
  <si>
    <t>12/2027</t>
  </si>
  <si>
    <t>11/2027</t>
  </si>
  <si>
    <t>57/60</t>
  </si>
  <si>
    <t>56/60</t>
  </si>
  <si>
    <t>10/2027</t>
  </si>
  <si>
    <t>09/2027</t>
  </si>
  <si>
    <t>55/60</t>
  </si>
  <si>
    <t>54/60</t>
  </si>
  <si>
    <t>08/2027</t>
  </si>
  <si>
    <t>53/60</t>
  </si>
  <si>
    <t>07/2027</t>
  </si>
  <si>
    <t>52/60</t>
  </si>
  <si>
    <t>06/2027</t>
  </si>
  <si>
    <t>51/60</t>
  </si>
  <si>
    <t>05/2027</t>
  </si>
  <si>
    <t>12/12</t>
  </si>
  <si>
    <t xml:space="preserve"> Termo de Acordo: 5.580.231
Nome do contribuinte: CAMARGO E SILVESTRE PATRIMONIAL LTDA
IPTU - 081.171.0011-8
Exercício: 17 18 19 20 21 22
12 Parcelas</t>
  </si>
  <si>
    <t xml:space="preserve"> Nome do contribuinte: CLAUDIO ALVES BARBOSA
IPTU - 081.171.0010-1
Exercício: 21
12 Parcelas Termo de Acordo: 5.580.214 Nome do contribuinte: CLAUDIO ALVES BARBOSA IPTU -  081.171.0010-1 - Exercício: 21 - 12 Parcelas</t>
  </si>
  <si>
    <t>50/60</t>
  </si>
  <si>
    <t>04/2027</t>
  </si>
  <si>
    <t>11/12</t>
  </si>
  <si>
    <t>49/60</t>
  </si>
  <si>
    <t>03/2027</t>
  </si>
  <si>
    <t>10/12</t>
  </si>
  <si>
    <t xml:space="preserve"> Termo de Acordo: 5.580.214 Nome do contribuinte: CLAUDIO ALVES BARBOSA IPTU -  081.171.0010-1 - Exercício: 21 - 12 Parcelas</t>
  </si>
  <si>
    <t>48/60</t>
  </si>
  <si>
    <t>02/2027</t>
  </si>
  <si>
    <t>(Rescindido)  PARCELAMENTO IPTU - 081.171.0011-8 EXERCICIO 21-17-18-19-20-22</t>
  </si>
  <si>
    <t>9/12</t>
  </si>
  <si>
    <t>PJ 65174375000113</t>
  </si>
  <si>
    <t>PROVISAO</t>
  </si>
  <si>
    <t>SALÁRIO PJ - 2ª PARCELA</t>
  </si>
  <si>
    <t>COORDENADOR</t>
  </si>
  <si>
    <t>SALÁRIO PJ - 1ª PARCELA</t>
  </si>
  <si>
    <t>GET IN TECNOLOGIA S.A.</t>
  </si>
  <si>
    <t>GET IN REF  /2026</t>
  </si>
  <si>
    <t>SALARIOS CLT</t>
  </si>
  <si>
    <t>01/2026 - Líquidos Folha Mensal 01/2026.</t>
  </si>
  <si>
    <t>47/60</t>
  </si>
  <si>
    <t>01/2027</t>
  </si>
  <si>
    <t>8/12</t>
  </si>
  <si>
    <t>SMART CLEAN SERVIÇOS ME</t>
  </si>
  <si>
    <t xml:space="preserve">LIMPEZA DO SISTEMA DE EXAUSTAO REF  /2026
</t>
  </si>
  <si>
    <t>ALPHALIX AMBIENTEAL LOC/ DE EQUIPAMENTOS EIRELI</t>
  </si>
  <si>
    <t xml:space="preserve">COLETA DE LIXO E RESIDUOS REF /2026
</t>
  </si>
  <si>
    <t>VALE TRANSPORTE</t>
  </si>
  <si>
    <t xml:space="preserve">VT SP TRANS
</t>
  </si>
  <si>
    <t>GILBERTO FERREIRA SILVA JUNIOR</t>
  </si>
  <si>
    <t xml:space="preserve">LOCACAO MAQUINA DE LAVAR LOUÇA REF /2026
</t>
  </si>
  <si>
    <t>COMPANHIA DE GAS DE SAO PAULO</t>
  </si>
  <si>
    <t xml:space="preserve">COMGAS - USUARIO 61695386 REF  /2026
</t>
  </si>
  <si>
    <t xml:space="preserve">DENIS DOS SANTOS - ME </t>
  </si>
  <si>
    <t xml:space="preserve">MENSALIDADE - MANUTENÇÃO REF  /2026
</t>
  </si>
  <si>
    <t>PORTO SEGURO CIA DE SEGUROS GERAIS</t>
  </si>
  <si>
    <t>PORTO SEGURO - JACARÉ</t>
  </si>
  <si>
    <t>VT TOP</t>
  </si>
  <si>
    <t>IRRF</t>
  </si>
  <si>
    <t>IRRF - MDO CLT - Salário</t>
  </si>
  <si>
    <t>BRH SAUDE OCUPACIONAL LTDA</t>
  </si>
  <si>
    <t>INSS Segurados</t>
  </si>
  <si>
    <t xml:space="preserve">CSRF </t>
  </si>
  <si>
    <t>CSRF PRESTADOR PJ</t>
  </si>
  <si>
    <t>STAR COPIAS COMERCIO E SERVICOS LTDA</t>
  </si>
  <si>
    <t>LOCACAO DE IMPRESSORA REF  /2026</t>
  </si>
  <si>
    <t>IRRF PRESTADOR PJ</t>
  </si>
  <si>
    <t>IRPJ - IMPOSTO SOBRE A RENDA DAS PESSOAS JURIDICAS</t>
  </si>
  <si>
    <t>46/60</t>
  </si>
  <si>
    <t>CIA DE SANEAMENTO BASICO DO ESTADO DE SAO PAULO SABESP</t>
  </si>
  <si>
    <t xml:space="preserve">AGUA / ESGOTO - FORNECIMENTO 86040784859513 REF  /2026
</t>
  </si>
  <si>
    <t>BLUEME</t>
  </si>
  <si>
    <t xml:space="preserve">MENSALIDADE USO DA PLATAFORMA BLUEME  REF  /2026
</t>
  </si>
  <si>
    <t xml:space="preserve">AGUA / ESGOTO - FORNECIMENTO 86040784860119 REF  /2026
</t>
  </si>
  <si>
    <t>CAMARGO E SILVESTRE PATRIMONIAL LTDA</t>
  </si>
  <si>
    <t xml:space="preserve">ALUGUEL DE IMOVEIS  REF  /2026
</t>
  </si>
  <si>
    <t>ALVES BARBOSA SOCIEDADE DE ADVOGADOS</t>
  </si>
  <si>
    <t>ALUGUEL DE IMOVEIS REF /2026</t>
  </si>
  <si>
    <t>7/12</t>
  </si>
  <si>
    <t>PREVENT SENIOR</t>
  </si>
  <si>
    <t>Rateamento de 127 - Jacaré (100%)</t>
  </si>
  <si>
    <t>CONCIERGE IA SOLUCOES LTDA</t>
  </si>
  <si>
    <t>SISTEMA DE DISPAROS - DIONISIO IA REF /2026</t>
  </si>
  <si>
    <t>INVYE CAPITAL LTDA</t>
  </si>
  <si>
    <t xml:space="preserve"> ASSESSORIA - INVENTARIO REF  /2026</t>
  </si>
  <si>
    <t>01/2026 - Adiantamento Salarial</t>
  </si>
  <si>
    <t xml:space="preserve">KAMINO INSTITUICAO DE PAGAMENTO LTDA </t>
  </si>
  <si>
    <t>Despesas Financeiras</t>
  </si>
  <si>
    <t>Tarifas Bancárias</t>
  </si>
  <si>
    <t>DESPESAS BANCARIAS - MENSALIDADE KAMINO REF /2026</t>
  </si>
  <si>
    <t>HEADCHEF SEGURANCA DOS ALIM E GARANTIA D</t>
  </si>
  <si>
    <t xml:space="preserve"> ASSESSORIA GERAL NUTRICIONISTA REF  /2026</t>
  </si>
  <si>
    <t>PJ 62436392000193</t>
  </si>
  <si>
    <t>SALÁRIO PJ</t>
  </si>
  <si>
    <t>ANALISTA EXECUTIVA DE EVENTOS</t>
  </si>
  <si>
    <t>PJ 62189461000101</t>
  </si>
  <si>
    <t>CHEFE DE COZINHA</t>
  </si>
  <si>
    <t>TAMARA SANTOS RIBEIRO</t>
  </si>
  <si>
    <t>ADMINISTRATIVO</t>
  </si>
  <si>
    <t>PJ 56035703000100</t>
  </si>
  <si>
    <t>GERENTE</t>
  </si>
  <si>
    <t>FRANCISCO JOSE DA SILVA</t>
  </si>
  <si>
    <t>SKY SERVICOS DE BANDA LARGA LTDA</t>
  </si>
  <si>
    <t>INTERNET SKY - PERIODO 02/ A 01/  REF  /2026</t>
  </si>
  <si>
    <t>MOACIR SANTAS DA SILVA</t>
  </si>
  <si>
    <t>514903 012026</t>
  </si>
  <si>
    <t xml:space="preserve">  Férias</t>
  </si>
  <si>
    <t>Pago</t>
  </si>
  <si>
    <t>MACRO CONTABILIDADE E CONSULTORIA LTDA</t>
  </si>
  <si>
    <t xml:space="preserve">MENSALIDADE - CONTRATO : M146/24A RPS REF 01/2026
</t>
  </si>
  <si>
    <t>MENSALIDADE - CONTRATO : M146/24 RPS REF  /2026</t>
  </si>
  <si>
    <t>TELEFONICA BRASIL S/A</t>
  </si>
  <si>
    <t>VIVO INTERNET REF  /2026</t>
  </si>
  <si>
    <t>ELETROPAULO METROPOLITANA ELETRICIDADE DE SAO PAULO SA</t>
  </si>
  <si>
    <t>ENERGIA ELETRICA INST 200414882 / N° CLIENTE 28498812 REF /2026</t>
  </si>
  <si>
    <t>TV ASSINATURA / MUSICA AMBIENTE - PERIODO 23/ A 22/ REF  /2026</t>
  </si>
  <si>
    <t>VERISURE BRASIL MONITORAMENTO DE ALARMES S.A</t>
  </si>
  <si>
    <t>FINAL 4559 - SISTEMA DE MONITORAMENTO REF  /2026</t>
  </si>
  <si>
    <t xml:space="preserve">DUO COMUNICA LTDA </t>
  </si>
  <si>
    <t xml:space="preserve">ASSESSORIA DE IMPRENSA REF  /2026
</t>
  </si>
  <si>
    <t>Flash Tecnologia e Instituição de Pagamento LTDA</t>
  </si>
  <si>
    <t>01/2026 - Flash Mensal - Jacaré</t>
  </si>
  <si>
    <t>OPUS CONSULTORIA E PESQUISA LTDA</t>
  </si>
  <si>
    <t>CLIENTE OCULTO REF  /2026</t>
  </si>
  <si>
    <t>STEMME TELECOMUNICACOES DO BRASIL LTDA</t>
  </si>
  <si>
    <t xml:space="preserve">WIFI CONVIDADOS GERENCIAMENTO DE REDE AUTENTICACAO DE ACESSOS DE USUARIOS REF /2026
</t>
  </si>
  <si>
    <t>RUBENS OLIVEIRA DA SILVA - ME</t>
  </si>
  <si>
    <t xml:space="preserve">AGENCIA DE PROPAGANDA MENSALIDADE SANDUICHE REF  /2026
</t>
  </si>
  <si>
    <t>SÓCIO SANDUICHE</t>
  </si>
  <si>
    <t xml:space="preserve">  - Diretoria</t>
  </si>
  <si>
    <t>HASHTAGTV MARKETING E PUBLICIDADE S.A</t>
  </si>
  <si>
    <t xml:space="preserve">HASHTAG TV - MANUTENÇÃO E SUPORTE GERENCIAMENTO DE CONTEUDO - CONTRATO N. 2023/00017 REF  /2026
</t>
  </si>
  <si>
    <t>BTAGS TECNOLOGIA LTDA</t>
  </si>
  <si>
    <t xml:space="preserve">REFERENTE AO SISTEMA BTAGS SOFTWARE: R 380,00 + IMPRESSORA: R 150,00 REF   /2026
</t>
  </si>
  <si>
    <t>FACEBOOK SERVICOS ONLINE DO BRASIL LTDA.</t>
  </si>
  <si>
    <t>FINAL 1374 FACEBOOK REF /2026</t>
  </si>
  <si>
    <t>FLARO LAVANDERIA E SERVICOS LTDA</t>
  </si>
  <si>
    <t xml:space="preserve">FLARO LAVANDERIA REF  /2026
</t>
  </si>
  <si>
    <t xml:space="preserve">SPOTIFY </t>
  </si>
  <si>
    <t xml:space="preserve">FINAL 4559 - MUSICA AMBIENTE REF  /2026
</t>
  </si>
  <si>
    <t>45/60</t>
  </si>
  <si>
    <t>6/12</t>
  </si>
  <si>
    <t>10/10</t>
  </si>
  <si>
    <t xml:space="preserve">  IPTU ANO DE 2026 CONTRIBUINTE 081.171.0010-1</t>
  </si>
  <si>
    <t xml:space="preserve"> IPTU ANO DE 2026 CONTRIBUINTE 081.171.0011-8</t>
  </si>
  <si>
    <t>D.D.T. SERVICE SOCIEDADE EMPRESARIAL LTDA</t>
  </si>
  <si>
    <t>DEDETIZACAO CONTROLE DE PRAGAS REF  /2026</t>
  </si>
  <si>
    <t xml:space="preserve">ABRASEL SAO PAULO </t>
  </si>
  <si>
    <t xml:space="preserve">MENSALIDADE ABRASEL REF  /2026
</t>
  </si>
  <si>
    <t>GELOMAQ COMERCIAL E INDUSTRIAL LTDA</t>
  </si>
  <si>
    <t>LOCACAO MAQUINA DE GELO REF  /2026</t>
  </si>
  <si>
    <t>44/60</t>
  </si>
  <si>
    <t>5/12</t>
  </si>
  <si>
    <t>9/10</t>
  </si>
  <si>
    <t>43/60</t>
  </si>
  <si>
    <t>4/12</t>
  </si>
  <si>
    <t>ESTAFF SOLUCOES TECNOLOGICAS DE AGENCIAMENTO LTDA</t>
  </si>
  <si>
    <t>MAO DE OBRA EXTRA GRILL DE  REF 0/2026</t>
  </si>
  <si>
    <t>MAO DE OBRA EXTRA TERRAÇO DE  REF 0/2026</t>
  </si>
  <si>
    <t>8/10</t>
  </si>
  <si>
    <t>R PRATES TECHNOLOGY</t>
  </si>
  <si>
    <t>53673</t>
  </si>
  <si>
    <t>MANUTENCAO DE SISTEMA DE SEGURANCA EM 05 PARCELAS REF 09/2026</t>
  </si>
  <si>
    <t xml:space="preserve">M146/24A - MENSALIDADE CONTRATO
</t>
  </si>
  <si>
    <t>42/60</t>
  </si>
  <si>
    <t>ESHOWS PROMOCOES ARTISTICAS LTDA</t>
  </si>
  <si>
    <t>CACHE ARTISTAS PERIODO REF /2026</t>
  </si>
  <si>
    <t>3/12</t>
  </si>
  <si>
    <t>MANUTENCAO DE SISTEMA DE SEGURANCA EM 05 PARCELAS REF 08/2026</t>
  </si>
  <si>
    <t>7/10</t>
  </si>
  <si>
    <t>41/60</t>
  </si>
  <si>
    <t>2/12</t>
  </si>
  <si>
    <t>850656111</t>
  </si>
  <si>
    <t>MILI PRODUCOES LTDA</t>
  </si>
  <si>
    <t>1</t>
  </si>
  <si>
    <t>Investimento - CAPEX</t>
  </si>
  <si>
    <t>Cabeamento painel de LED + equipamentos</t>
  </si>
  <si>
    <t>BANCO DO BRASIL SA</t>
  </si>
  <si>
    <t>TYPEFORM</t>
  </si>
  <si>
    <t>IN-2026-0297843</t>
  </si>
  <si>
    <t>Rateamento de 127 - Jacaré (12.5%)</t>
  </si>
  <si>
    <t>MARILENE  ALVES FERNANDES</t>
  </si>
  <si>
    <t>535572 072026</t>
  </si>
  <si>
    <t>KAROLINE RAYANE DE LIMA SANTOS</t>
  </si>
  <si>
    <t>524060 072026</t>
  </si>
  <si>
    <t>07/2026 - Férias Início em 01/07/2026 - 30 dias</t>
  </si>
  <si>
    <t>6/10</t>
  </si>
  <si>
    <t>MARCOS PROFETA DOURADO</t>
  </si>
  <si>
    <t>48776 072026</t>
  </si>
  <si>
    <t>vale transporte 072026</t>
  </si>
  <si>
    <t>Processamento</t>
  </si>
  <si>
    <t>MANUTENCAO DE SISTEMA DE SEGURANCA EM 05 PARCELAS REF 07/2026</t>
  </si>
  <si>
    <t xml:space="preserve">GABRIEL HENRIQUE DOS SANTOS </t>
  </si>
  <si>
    <t>prov</t>
  </si>
  <si>
    <t>07/2026 Término de Contrato de Trabalho - 06/07/2026</t>
  </si>
  <si>
    <t xml:space="preserve">07/2026 - FGTS DO MÊS
</t>
  </si>
  <si>
    <t>75096377</t>
  </si>
  <si>
    <t>9648</t>
  </si>
  <si>
    <t xml:space="preserve">WIFI CONVIDADOS GERENCIAMENTO DE REDE AUTENTICACAO DE ACESSOS DE USUARIOS REF 07/2026
</t>
  </si>
  <si>
    <t>79481</t>
  </si>
  <si>
    <t>GET IN REF  07/2026</t>
  </si>
  <si>
    <t>147769367</t>
  </si>
  <si>
    <t xml:space="preserve">COMGAS - USUARIO 61695386 REF  07/2026
</t>
  </si>
  <si>
    <t>12650686</t>
  </si>
  <si>
    <t>3289-196</t>
  </si>
  <si>
    <t>LOCACAO MAQUINA DE GELO REF  07/2026</t>
  </si>
  <si>
    <t>296420389</t>
  </si>
  <si>
    <t>172</t>
  </si>
  <si>
    <t>11957</t>
  </si>
  <si>
    <t>MENSALIDADE - CONTRATO : M146/24 RPS REF  07/2026</t>
  </si>
  <si>
    <t>4885</t>
  </si>
  <si>
    <t>DEDETIZACAO CONTROLE DE PRAGAS REF  06/2026</t>
  </si>
  <si>
    <t>11939</t>
  </si>
  <si>
    <t>939</t>
  </si>
  <si>
    <t xml:space="preserve">LIMPEZA DO SISTEMA DE EXAUSTAO REF 06 /2026
</t>
  </si>
  <si>
    <t>5818</t>
  </si>
  <si>
    <t>TAXA DE FISCALIZAÇÃO DE ESTABELECIMENTOS</t>
  </si>
  <si>
    <t>TFE 2026</t>
  </si>
  <si>
    <t>ALELO INSTITUICAO DE PAGAMENTO SA</t>
  </si>
  <si>
    <t>SODEXO</t>
  </si>
  <si>
    <t>BANCO VR</t>
  </si>
  <si>
    <t>TICKET</t>
  </si>
  <si>
    <t>TFE 06/2026</t>
  </si>
  <si>
    <t>844496833</t>
  </si>
  <si>
    <t>MAO DE OBRA EXTRA GRILL DE 22/06 A 28/06 DE REF 06/2026</t>
  </si>
  <si>
    <t xml:space="preserve">844496515 </t>
  </si>
  <si>
    <t>MAO DE OBRA EXTRA TERRAÇO DE 22/06 A 28/06 DE REF 06/2026</t>
  </si>
  <si>
    <t>40/60</t>
  </si>
  <si>
    <t>RD GESTAO E SISTEMAS S.A.</t>
  </si>
  <si>
    <t>4090253</t>
  </si>
  <si>
    <t>Rateamento de 127 - Jacaré (8.33%)</t>
  </si>
  <si>
    <t>LEDWAVE PAINEIS ELETRONICOS</t>
  </si>
  <si>
    <t>2567</t>
  </si>
  <si>
    <t>Rateamento de 127 - Jacaré (14.36%)</t>
  </si>
  <si>
    <t xml:space="preserve">839649729 </t>
  </si>
  <si>
    <t>CACHE ARTISTAS PERIODO DE 15/06 A 21/06REF 06/2026</t>
  </si>
  <si>
    <t xml:space="preserve">839497263 </t>
  </si>
  <si>
    <t>MAO DE OBRA EXTRA TERRAÇO DE 15/06 A 21/06 REF 06/2026</t>
  </si>
  <si>
    <t xml:space="preserve">839497717 </t>
  </si>
  <si>
    <t>MAO DE OBRA EXTRA GRILL DE 15/06 A 21/06 REF 06/2026</t>
  </si>
  <si>
    <t>0453417513</t>
  </si>
  <si>
    <t>Rateamento de 127 - Jacaré (3.6890%)</t>
  </si>
  <si>
    <t>PRINT TECH IMPRESSOES TECNICAS LTDA</t>
  </si>
  <si>
    <t>5695</t>
  </si>
  <si>
    <t>MATERIAL INSTITUCIONAL 35 DISPLAYS E 100 VOUCHERS  REF 06/2026</t>
  </si>
  <si>
    <t>834483508</t>
  </si>
  <si>
    <t>MAO DE OBRA EXTRA GRILL DE 08/06 14/06 REF 06/2026</t>
  </si>
  <si>
    <t>834483098</t>
  </si>
  <si>
    <t>MAO DE OBRA EXTRA TERRAÇO DE 08/06 A 14/06 REF 06/2026</t>
  </si>
  <si>
    <t>BRADESCO SA</t>
  </si>
  <si>
    <t>834793519</t>
  </si>
  <si>
    <t>CACHE ARTISTAS PERIODO DE 08/06 A 14/06  REF 06/2026</t>
  </si>
  <si>
    <t>314</t>
  </si>
  <si>
    <t xml:space="preserve">MENSALIDADE USO DA PLATAFORMA BLUEME  REF  06/2026
</t>
  </si>
  <si>
    <t>202658701896</t>
  </si>
  <si>
    <t xml:space="preserve">AGUA / ESGOTO - FORNECIMENTO 86040784860119 REF 06/2026
</t>
  </si>
  <si>
    <t xml:space="preserve">202658724696 </t>
  </si>
  <si>
    <t xml:space="preserve">AGUA / ESGOTO - FORNECIMENTO 86040784859513 REF  06/2026
</t>
  </si>
  <si>
    <t>REPEDIU</t>
  </si>
  <si>
    <t>062026</t>
  </si>
  <si>
    <t>FINAL 1374 REPEDIU - 06/2026</t>
  </si>
  <si>
    <t>LALAMOVE TECNOLOGIA (BRASIL) LTDA</t>
  </si>
  <si>
    <t>156528052026</t>
  </si>
  <si>
    <t xml:space="preserve">Rateio lalamove - competencia 05/2026
</t>
  </si>
  <si>
    <t>RD STATION</t>
  </si>
  <si>
    <t>279102</t>
  </si>
  <si>
    <t xml:space="preserve">ALUGUEL DE IMOVEIS  REF 06/2026
</t>
  </si>
  <si>
    <t>ALUGUEL DE IMOVEIS REF 06 /2026</t>
  </si>
  <si>
    <t>4062026</t>
  </si>
  <si>
    <t>Monica P B Tomaselli</t>
  </si>
  <si>
    <t>392026</t>
  </si>
  <si>
    <t xml:space="preserve">REEMBOLSO DE CLIENTE PAGAMENTO EM DUPLICIDADE 126,31 + 99,15 = 99,15 PAGO A MAIOR REF 06/2026
</t>
  </si>
  <si>
    <t>1/12</t>
  </si>
  <si>
    <t xml:space="preserve">829064018 </t>
  </si>
  <si>
    <t>MAO DE OBRA EXTRA GRILL DE 01/06 A 07/06 REF 06/2026</t>
  </si>
  <si>
    <t>1/12 ADESÃO</t>
  </si>
  <si>
    <t>AMANDA FRANCELINO - ME</t>
  </si>
  <si>
    <t>11</t>
  </si>
  <si>
    <t>SESSAO E TRATAMENTO DE FOTOS EM 01/06 REF 06/2026</t>
  </si>
  <si>
    <t>PETTY CASH</t>
  </si>
  <si>
    <t>34PETTY062026</t>
  </si>
  <si>
    <t xml:space="preserve">FINAL 4559 - FLORES PARA SALAO  REF 06/2027
</t>
  </si>
  <si>
    <t>MANUTENCAO DE SISTEMA DE SEGURANCA EM 05 PARCELAS REF 06/2026</t>
  </si>
  <si>
    <t>33PETTY062026</t>
  </si>
  <si>
    <t xml:space="preserve">FINAL 4559 - SACO TERMICO NÃO VEIO NO PEDID REF 06/2027
</t>
  </si>
  <si>
    <t>32PETTY062026</t>
  </si>
  <si>
    <t xml:space="preserve">FINAL 4559 - GAS DE COZINHA EMERGENCIAL REF 06/2028
</t>
  </si>
  <si>
    <t>31PETTY062026</t>
  </si>
  <si>
    <t xml:space="preserve">FINAL 4559 - AVENTAL NÃO CHEGOU NO PEDIDO REF 06/2027
</t>
  </si>
  <si>
    <t>30PETTY062026</t>
  </si>
  <si>
    <t xml:space="preserve">FINAL 4559 - ROLO PINCEL NÃO CHEGOU NO PEDIDO REF 06/2027
</t>
  </si>
  <si>
    <t>29PETTY062026</t>
  </si>
  <si>
    <t xml:space="preserve">FINAL 4559 - CARVAO NÃO CHEGOU NO PEDIDO REF 06/2026
</t>
  </si>
  <si>
    <t>28PETTY062026</t>
  </si>
  <si>
    <t xml:space="preserve">FINAL 4559 - OVOS P/PRODUÇÃO NÃO CHEGOU NO PEDIDO REF 06/2026
</t>
  </si>
  <si>
    <t>478</t>
  </si>
  <si>
    <t>SISTEMA DE DISPAROS - DIONISIO IA REF 06/2026</t>
  </si>
  <si>
    <t>27PETTY062026</t>
  </si>
  <si>
    <t xml:space="preserve">FINAL 4559 - PAO P/PRODUÇÃO NÃO CHEGOU NO PEDIDO REF 06/2026
</t>
  </si>
  <si>
    <t>26PETTY062026</t>
  </si>
  <si>
    <t xml:space="preserve">FINAL 4559 - LUVAS NÃO CHEGOU NO PEDIDO REF 06/2027
</t>
  </si>
  <si>
    <t>25PETTY062026</t>
  </si>
  <si>
    <t>24PETTY062026</t>
  </si>
  <si>
    <t xml:space="preserve">FINAL 4559 - GASOLINA PARA TRANPORTE DE TV ESCRITORIO/JACARE REF 06/2026
</t>
  </si>
  <si>
    <t>23PETTY062026</t>
  </si>
  <si>
    <t>22PETTY062026</t>
  </si>
  <si>
    <t xml:space="preserve">FINAL 4559 - MANGA P/PRODUÇÃO NÃO CHEGOU NO PEDIDO REF 06/2026
</t>
  </si>
  <si>
    <t>21PETTY062026</t>
  </si>
  <si>
    <t xml:space="preserve">FINAL 4559 - EMBALAGENS  NÃO CHEGOU NO PEDIDO REF 06/2026
</t>
  </si>
  <si>
    <t>20PETTY062026</t>
  </si>
  <si>
    <t xml:space="preserve">FINAL 4559 - BROCOLIS P/PRODUÇÃO NÃO CHEGOU NO PEDIDO REF 06/2026
</t>
  </si>
  <si>
    <t>19PETTY062026</t>
  </si>
  <si>
    <t xml:space="preserve">FINAL 4559 - CONVERSOR DIGITAL TV JOGOS DA COPA REF 06/2027
</t>
  </si>
  <si>
    <t>18PETTY062026</t>
  </si>
  <si>
    <t xml:space="preserve">FINAL 4559 - MODULO PARA TV JOGOS DA COPA REF 06/2026
</t>
  </si>
  <si>
    <t>LETICIA VIEIRA SANTOS</t>
  </si>
  <si>
    <t>MARIA LEONOR CAETANO DE LIMA</t>
  </si>
  <si>
    <t>ADRIANA NEVES FERREIRA</t>
  </si>
  <si>
    <t>ANTONIO MARCIANO RIBEIRO MARTINS</t>
  </si>
  <si>
    <t>MARIO LEGAL DA ROCHA</t>
  </si>
  <si>
    <t>ERICO ASSAD DIAS</t>
  </si>
  <si>
    <t>MOACIR DANTAS DA SILVA</t>
  </si>
  <si>
    <t>MARILENE ALVES FERNANDES</t>
  </si>
  <si>
    <t>JIVANEIDE DE JESUS SILVA</t>
  </si>
  <si>
    <t>35PETTY062026</t>
  </si>
  <si>
    <t xml:space="preserve">FINAL 4559 - PULSEIRAS PARA ENTRADA PAGA  REF 06/2027
</t>
  </si>
  <si>
    <t>ALEX FERRAZ FERNANDES</t>
  </si>
  <si>
    <t>BRENDA LETICIA PEREIRA SANTOS</t>
  </si>
  <si>
    <t>GABRIEL HENRIQUE DOS SANTOS</t>
  </si>
  <si>
    <t>FRANCISCO RIBEIRO LIMA</t>
  </si>
  <si>
    <t>BENEDITO TEIXEIRA DOS SANTOS FILHO</t>
  </si>
  <si>
    <t>29</t>
  </si>
  <si>
    <t>Dividendos e Remunerações Variáveis</t>
  </si>
  <si>
    <t>Remuneração variavel 1º trimestre 2026</t>
  </si>
  <si>
    <t>352012 062026</t>
  </si>
  <si>
    <t>06/2026 - 24 dias - início em 01/06/2026</t>
  </si>
  <si>
    <t>35640 062026</t>
  </si>
  <si>
    <t>06/2026 VT Marcos Profeta Dourado de 11/06 a 30/06</t>
  </si>
  <si>
    <t>ROSANA CUNHA DE ARAUJO</t>
  </si>
  <si>
    <t>0000 062026</t>
  </si>
  <si>
    <t>Pedido Demissão sem cumprimento do Aviso Prévio em 16/06/2026 - Rescisçao Zerada</t>
  </si>
  <si>
    <t xml:space="preserve">PAULO RICARDO FLORES RODRIGUES </t>
  </si>
  <si>
    <t>402026</t>
  </si>
  <si>
    <t>TEC DE SOM E LUZ NO DIA REF 06/2026</t>
  </si>
  <si>
    <t>ALEXANDRE FREITAS DOS SANTOS RIBEIRO</t>
  </si>
  <si>
    <t>SERVIÇO DE MANUTENCAO PREDIAL REF 06/2026</t>
  </si>
  <si>
    <t>5680</t>
  </si>
  <si>
    <t>MATERIAL INSTITUCIONAL 30 CARDAPIOS REF 06/2026</t>
  </si>
  <si>
    <t>9PETTY062026</t>
  </si>
  <si>
    <t xml:space="preserve">FINAL 4559 - FEIJAO P/PRODUÇÃO NÃO CHEGOU NO PEDIDO REF 06/2026
</t>
  </si>
  <si>
    <t xml:space="preserve">FONTEFER </t>
  </si>
  <si>
    <t>382026</t>
  </si>
  <si>
    <t>MANUTENCAO E TROCA DE CORRIMAO DE ENTRADA E RAMPA DO SALAO REF 05/2026</t>
  </si>
  <si>
    <t>16PETTY062026</t>
  </si>
  <si>
    <t xml:space="preserve">FINAL 4559 - TALHARIM P/PRODUÇÃO NÃO CHEGOU NO PEDIDO REF 06/2026
</t>
  </si>
  <si>
    <t>15PETTY062026</t>
  </si>
  <si>
    <t xml:space="preserve">FINAL 4559 - ARGAMASSA PARA MANUTENCAO PREVENTIVA REF 06/2027
</t>
  </si>
  <si>
    <t>14PETTY062026</t>
  </si>
  <si>
    <t>13PETTY062026</t>
  </si>
  <si>
    <t xml:space="preserve">FINAL 4559 - DRIVER PARA TV JOGOS DA COPA REF 06/2026
</t>
  </si>
  <si>
    <t>12PETTY062026</t>
  </si>
  <si>
    <t xml:space="preserve">FINAL 4559 - CONVERSOR OPTICO PARA TV JOGOS DA COPA REF 06/2026
</t>
  </si>
  <si>
    <t>11PETTY062026</t>
  </si>
  <si>
    <t xml:space="preserve">FINAL 4559 -  DUPLA FACE PARA MANUTENCAO PREVENTIVA REF 06/2027
</t>
  </si>
  <si>
    <t>10PETTY062026</t>
  </si>
  <si>
    <t>17PETTY062026</t>
  </si>
  <si>
    <t xml:space="preserve">FINAL 4559 - PAPEL HIGIENICO NÃO CHEGOU NO PEDIDO REF 06/2027
</t>
  </si>
  <si>
    <t>8PETTY062026</t>
  </si>
  <si>
    <t xml:space="preserve">FINAL 4559 -  VERNIZ PARA MANUTENCAO PREVENTIVA REF 06/2027
</t>
  </si>
  <si>
    <t>7PETTY062026</t>
  </si>
  <si>
    <t>6PETTY062026</t>
  </si>
  <si>
    <t xml:space="preserve">FINAL 4559 - BOM AR NÃO CHEGOU NO PEDIDO REF 06/2027
</t>
  </si>
  <si>
    <t>5PETTY062026</t>
  </si>
  <si>
    <t>4PETTY062026</t>
  </si>
  <si>
    <t xml:space="preserve">FINAL 4559 - CABO OPTICO PARA TV JOGOS DA COPA REF 06/2026
</t>
  </si>
  <si>
    <t>3PETTY062026</t>
  </si>
  <si>
    <t xml:space="preserve">FINAL 4559 - ESTOCAVEIS P/PRODUÇÃO NÃO CHEGOU NO PEDIDO REF 06/2026
</t>
  </si>
  <si>
    <t>2PETTY062026</t>
  </si>
  <si>
    <t xml:space="preserve">FINAL 4559 - CABOS PARA TV JOGOS DA COPA REF 06/2026
</t>
  </si>
  <si>
    <t>1PETTY062026</t>
  </si>
  <si>
    <t>74957179</t>
  </si>
  <si>
    <t>5/10</t>
  </si>
  <si>
    <t>7</t>
  </si>
  <si>
    <t>20</t>
  </si>
  <si>
    <t>2251</t>
  </si>
  <si>
    <t xml:space="preserve"> ASSESSORIA GERAL NUTRICIONISTA REF  06/2026</t>
  </si>
  <si>
    <t>3</t>
  </si>
  <si>
    <t xml:space="preserve">LOCACAO MAQUINA DE LAVAR LOUÇA REF 06/2026
</t>
  </si>
  <si>
    <t>99738 062026</t>
  </si>
  <si>
    <t>9499</t>
  </si>
  <si>
    <t xml:space="preserve">WIFI CONVIDADOS GERENCIAMENTO DE REDE AUTENTICACAO DE ACESSOS DE USUARIOS REF 06/2026
</t>
  </si>
  <si>
    <t xml:space="preserve">32891931 </t>
  </si>
  <si>
    <t>LOCACAO MAQUINA DE GELO REF  06/2026</t>
  </si>
  <si>
    <t>1452026</t>
  </si>
  <si>
    <t xml:space="preserve"> AGENCIA DE PROPAGANDA MENSALIDADE SANDUICHE REF 06 /2026
</t>
  </si>
  <si>
    <t>182</t>
  </si>
  <si>
    <t>CLIENTE OCULTO REF 06/2026</t>
  </si>
  <si>
    <t>706</t>
  </si>
  <si>
    <t xml:space="preserve">ASSESSORIA DE IMPRENSA REF  06/2026
</t>
  </si>
  <si>
    <t>3547</t>
  </si>
  <si>
    <t xml:space="preserve"> ASSESSORIA - INVENTARIO REF  06/2026</t>
  </si>
  <si>
    <t>4805</t>
  </si>
  <si>
    <t>78161</t>
  </si>
  <si>
    <t>GET IN REF 06/2026</t>
  </si>
  <si>
    <t>2672</t>
  </si>
  <si>
    <t xml:space="preserve">REFERENTE AO SISTEMA BTAGS SOFTWARE: R 380,00 + IMPRESSORA: R 150,00 REF  06 /2026
</t>
  </si>
  <si>
    <t xml:space="preserve">193214 </t>
  </si>
  <si>
    <t xml:space="preserve">MENSALIDADE ABRASEL REF 06 /2026
</t>
  </si>
  <si>
    <t>165</t>
  </si>
  <si>
    <t xml:space="preserve">MENSALIDADE - MANUTENÇÃO REF  06/2026
</t>
  </si>
  <si>
    <t>256</t>
  </si>
  <si>
    <t xml:space="preserve">FLARO LAVANDERIA REF  06/2026
</t>
  </si>
  <si>
    <t>917</t>
  </si>
  <si>
    <t xml:space="preserve">LIMPEZA DO SISTEMA DE EXAUSTAO REF  06/2026
</t>
  </si>
  <si>
    <t>FINAL 1374 FACEBOOK REF 06/2026</t>
  </si>
  <si>
    <t>11589</t>
  </si>
  <si>
    <t>MENSALIDADE - CONTRATO : M146/24 RPS 15771 REF 06/2026</t>
  </si>
  <si>
    <t>43</t>
  </si>
  <si>
    <t>52</t>
  </si>
  <si>
    <t>260626194802332</t>
  </si>
  <si>
    <t>INTERNET SKY - PERIODO 02/06 A 01/07  REF  06/2026</t>
  </si>
  <si>
    <t>19</t>
  </si>
  <si>
    <t xml:space="preserve">402558899741 </t>
  </si>
  <si>
    <t>TV ASSINATURA / MUSICA AMBIENTE - PERIODO 23/05 A 22/06 REF  06/2026</t>
  </si>
  <si>
    <t xml:space="preserve">FINAL 4559 - MUSICA AMBIENTE REF  06/2026
</t>
  </si>
  <si>
    <t>11582</t>
  </si>
  <si>
    <t>MENSALIDADE - CONTRATO : M146/24 RPS 15764 REF  06/2026</t>
  </si>
  <si>
    <t>8594089</t>
  </si>
  <si>
    <t>DESPESAS BANCARIAS - MENSALIDADE KAMINO REF 06/2026</t>
  </si>
  <si>
    <t>19141901</t>
  </si>
  <si>
    <t>FINAL 4559 - SISTEMA DE MONITORAMENTO REF  06/2026</t>
  </si>
  <si>
    <t>68756</t>
  </si>
  <si>
    <t xml:space="preserve">COLETA DE LIXO E RESIDUOS REF 06/2026
</t>
  </si>
  <si>
    <t xml:space="preserve">73439579 </t>
  </si>
  <si>
    <t>ENERGIA ELETRICA INST 200414882 / N° CLIENTE 28498812 REF 06/2026</t>
  </si>
  <si>
    <t>6885492993</t>
  </si>
  <si>
    <t>28</t>
  </si>
  <si>
    <t>899925753518</t>
  </si>
  <si>
    <t>VIVO INTERNET REF 06/2026</t>
  </si>
  <si>
    <t>521901 062026</t>
  </si>
  <si>
    <t xml:space="preserve">146019965 </t>
  </si>
  <si>
    <t xml:space="preserve">COMGAS - USUARIO 61695386 REF 05/2026
</t>
  </si>
  <si>
    <t xml:space="preserve">EDUARDO MENDES DE AMORIM </t>
  </si>
  <si>
    <t>REC 220000 052026</t>
  </si>
  <si>
    <t>Cobertura de ferias do Mario. Período 07/05/2026 a 05/06/2026</t>
  </si>
  <si>
    <t>IFOOD.COM AGENCIA DE RESTAURANTES ONLINE SA</t>
  </si>
  <si>
    <t xml:space="preserve"> TAXA DELIVERY</t>
  </si>
  <si>
    <t>RODESIA PAES E DOCES LTDA ME</t>
  </si>
  <si>
    <t>1736</t>
  </si>
  <si>
    <t>ALIMENTOS - COMPRA DE PAES MENSAL REF 05/2026</t>
  </si>
  <si>
    <t>ZIGPAY LTDAS -ME</t>
  </si>
  <si>
    <t xml:space="preserve"> Taxa Sobre Adquirência Integrada</t>
  </si>
  <si>
    <t>823376490</t>
  </si>
  <si>
    <t>MAO DE OBRA EXTRA GRILL DE 25/05 A 31/05 REF 05/2026</t>
  </si>
  <si>
    <t>823918307</t>
  </si>
  <si>
    <t>CACHE ARTISTAS PERIODO REF  05/2026</t>
  </si>
  <si>
    <t xml:space="preserve">823376025 </t>
  </si>
  <si>
    <t>MAO DE OBRA EXTRA TERRAÇO DE 25/05 A 31/05  REF 05/2026</t>
  </si>
  <si>
    <t>RAIMUNDO WILSON PAIVA BARRETO FILHO</t>
  </si>
  <si>
    <t>372026</t>
  </si>
  <si>
    <t>REEMBOLSO ESTACIONAMENTO PARA COMPRA DE DECORACAO COPA REF 052026</t>
  </si>
  <si>
    <t>362026</t>
  </si>
  <si>
    <t xml:space="preserve"> REEMBOLSO COMPRA DE ALIMENTOS PARA PRODUCAO REF 052026</t>
  </si>
  <si>
    <t>REEMBOLSO MATERIAL DE MANUTENCAO REF 05/2026</t>
  </si>
  <si>
    <t>5508</t>
  </si>
  <si>
    <t>LOCACAO DE IMPRESSORA REF 05/2026</t>
  </si>
  <si>
    <t>5058</t>
  </si>
  <si>
    <t>576164 052026</t>
  </si>
  <si>
    <t xml:space="preserve"> INSS Segurados - 05/2026</t>
  </si>
  <si>
    <t>MAIO2026</t>
  </si>
  <si>
    <t>DARF NA MATRIZ - BB GRANJA</t>
  </si>
  <si>
    <t>493902 052026</t>
  </si>
  <si>
    <t>Guia FGTS - 05-2026</t>
  </si>
  <si>
    <t>80072</t>
  </si>
  <si>
    <t>IRRF - 05/2026</t>
  </si>
  <si>
    <t xml:space="preserve">REGINALDO SILVA DO NASCIMENTO </t>
  </si>
  <si>
    <t>14</t>
  </si>
  <si>
    <t>SERVIÇOS DE MANUTENCAO PREDIAL EM MAIO REF 05/2026</t>
  </si>
  <si>
    <t>312026</t>
  </si>
  <si>
    <t>TEC DE SOM E LUZ NO DIA 30/05 REF 05/2026</t>
  </si>
  <si>
    <t>IN-2026-0241420</t>
  </si>
  <si>
    <t>ISS SERV TOMADOS</t>
  </si>
  <si>
    <t>MARISTELLA DE LORENZO MESSINA EPP</t>
  </si>
  <si>
    <t>1843</t>
  </si>
  <si>
    <t>COMPRA DE UNIFORMES OPERAÇÃO 05/2026</t>
  </si>
  <si>
    <t>Taxa de Sistema</t>
  </si>
  <si>
    <t>39/60</t>
  </si>
  <si>
    <t>817681659</t>
  </si>
  <si>
    <t>MAO DE OBRA EXTRA TERRAÇO DE 18/05 A 24/05 REF 05/2026</t>
  </si>
  <si>
    <t xml:space="preserve">817682010 </t>
  </si>
  <si>
    <t>MAO DE OBRA EXTRA GRILL DE 18/05 A 24/05  REF 05/2026</t>
  </si>
  <si>
    <t>817923294</t>
  </si>
  <si>
    <t>CACHE ARTISTAS PERIODO DE 18/05 A 24/05 REF  05/2026</t>
  </si>
  <si>
    <t>MERCADO PAGO.COM REPRESENTACOES LTDA</t>
  </si>
  <si>
    <t>A VISTA 23102025</t>
  </si>
  <si>
    <t>A VISTA</t>
  </si>
  <si>
    <t>TEC DE SOM E LUZ NO DIA 23/05 REF 05/2026</t>
  </si>
  <si>
    <t>JND SOLUCOES TECNICAS EIRELI</t>
  </si>
  <si>
    <t>9032</t>
  </si>
  <si>
    <t>ANÁLISE DE ÁGUA DE 1 PONTO DE COLETA REF 05/2026.</t>
  </si>
  <si>
    <t>813056315</t>
  </si>
  <si>
    <t>MAO DE OBRA EXTRA TERRAÇO DE 11/05 A 17/05 REF 05/2026</t>
  </si>
  <si>
    <t>813056595</t>
  </si>
  <si>
    <t>MAO DE OBRA EXTRA GRILL DE 11/05 A 17/05 REF 05/2026</t>
  </si>
  <si>
    <t>813017114</t>
  </si>
  <si>
    <t>CACHE ARTISTAS PERIODO 11/05 A 17/05 REF  05/2026</t>
  </si>
  <si>
    <t>MUNDIAL LOGISTICA INTEGRADA LTDA</t>
  </si>
  <si>
    <t>1274758</t>
  </si>
  <si>
    <t>UTENSILIOS BRINDE</t>
  </si>
  <si>
    <t xml:space="preserve">UTENSILIOS </t>
  </si>
  <si>
    <t>TEC DE SOM E LUZ NO DIA 16/05 REF 05/2026</t>
  </si>
  <si>
    <t xml:space="preserve">202648273879 </t>
  </si>
  <si>
    <t xml:space="preserve">AGUA / ESGOTO - FORNECIMENTO 86040784860119 REF 05 /2026
</t>
  </si>
  <si>
    <t>299</t>
  </si>
  <si>
    <t xml:space="preserve">MENSALIDADE USO DA PLATAFORMA BLUEME  REF  05/2026
</t>
  </si>
  <si>
    <t>202648258500</t>
  </si>
  <si>
    <t xml:space="preserve">AGUA / ESGOTO - FORNECIMENTO 86040784859513 REF  05/2026
</t>
  </si>
  <si>
    <t>MV COMERCIO DE BRINDES PERSONALIZADOS LTDA</t>
  </si>
  <si>
    <t>170</t>
  </si>
  <si>
    <t>UNIFORMES - CRACHA PRATEADO</t>
  </si>
  <si>
    <t>Rateamento de 127 - Jacaré (4.8191%)</t>
  </si>
  <si>
    <t>4008934</t>
  </si>
  <si>
    <t>4009179</t>
  </si>
  <si>
    <t>807765631</t>
  </si>
  <si>
    <t>CACHE ARTISTAS PERIODO 04/05 A 10/05 REF 05/2026</t>
  </si>
  <si>
    <t>807726674</t>
  </si>
  <si>
    <t>MAO DE OBRA EXTRA TERRAÇO DE 04/05 A 10/05 REF 05 /2026</t>
  </si>
  <si>
    <t xml:space="preserve">807727069 </t>
  </si>
  <si>
    <t>MAO DE OBRA EXTRA GRILL DE 04/05 A 10/05  REF 05/2026</t>
  </si>
  <si>
    <t>052026</t>
  </si>
  <si>
    <t xml:space="preserve">ALUGUEL DE IMOVEIS  REF 05 /2026
</t>
  </si>
  <si>
    <t>ALUGUEL DE IMOVEIS REF 05/2026</t>
  </si>
  <si>
    <t>TEC DE SOM E LUZ NO DIA 08/05 REF 05/2026</t>
  </si>
  <si>
    <t xml:space="preserve">IMPRESSAO ARTES GRAFICAS LTDA </t>
  </si>
  <si>
    <t>7935</t>
  </si>
  <si>
    <t>MATERIAL INSTITUCIONAL DISPLAY DE MESA DIA DAS MAES REF 05/2026</t>
  </si>
  <si>
    <t>7919</t>
  </si>
  <si>
    <t>MATERIAL INSTITUCIONAL10 QRCODES REF 05/2026</t>
  </si>
  <si>
    <t>7917</t>
  </si>
  <si>
    <t>MATERIAL INSTITUCIONAL 400 FLYER  REF 05/2026</t>
  </si>
  <si>
    <t xml:space="preserve">802104368 </t>
  </si>
  <si>
    <t>CACHE ARTISTAS PERIODO  01/05 A 03/05 REF 05/2026</t>
  </si>
  <si>
    <t>1702</t>
  </si>
  <si>
    <t>ALIMENTOS COMPRA DE PAO MENSAL</t>
  </si>
  <si>
    <t>ABRIL2026</t>
  </si>
  <si>
    <t>Guia complementar</t>
  </si>
  <si>
    <t>22PETTY052026</t>
  </si>
  <si>
    <t xml:space="preserve">FINAL 4559 - COPOS PARA SALAO REF 05/2026
</t>
  </si>
  <si>
    <t>6PETTY052026</t>
  </si>
  <si>
    <t xml:space="preserve">FINAL 4559 - PALHA DE ACO PARA COZINHA ACABOU A DA CASA REF 05/2026
</t>
  </si>
  <si>
    <t>719043863</t>
  </si>
  <si>
    <t>MAO DE OBRA EXTRA TERRACO DE JANEIRO 05/01 A 11/01 REF 05/2026</t>
  </si>
  <si>
    <t>322026</t>
  </si>
  <si>
    <t>REEMBOLSO COMPRA DE LAMPADAS PARA MANUTENCAO  REF 05/2026 - FAVOR AJUSTAR CENTRO DE CUSTO</t>
  </si>
  <si>
    <t>REEMBOLSO COMPRA DE ALIMENTOS PARA PRODUCAO REF 05/2026</t>
  </si>
  <si>
    <t>332026</t>
  </si>
  <si>
    <t>REEMBOLSO DE MANUTENCAO DE PORTA  REF 05/2026 FAVOR AJUSTAR CENTRO DE CUSTO</t>
  </si>
  <si>
    <t>9PETTY052026</t>
  </si>
  <si>
    <t xml:space="preserve">FINAL 4559 - SABAO NÃO VEIO NO PEDIDO  REF 05/2026
</t>
  </si>
  <si>
    <t>8PETTY052026</t>
  </si>
  <si>
    <t xml:space="preserve">FINAL 4559 - LAPELA PARA COMUNICACAO INTERNA REF 05/2026
</t>
  </si>
  <si>
    <t>7PETTY052026</t>
  </si>
  <si>
    <t xml:space="preserve">FINAL 4559 - CAIXA BOX PARA VIAGEM NÃO CHEGOU NO PEDIDO REF 05/2026
</t>
  </si>
  <si>
    <t>7897</t>
  </si>
  <si>
    <t>MATERIAL INSTITUCIONAL FLYER PARA DELIVERY REF 05/2026</t>
  </si>
  <si>
    <t>4/10</t>
  </si>
  <si>
    <t xml:space="preserve">ERICO ASSAD DIAS </t>
  </si>
  <si>
    <t>REC 16884 052026</t>
  </si>
  <si>
    <t>VT NOVO ADMITIDO COMP. 05/2026</t>
  </si>
  <si>
    <t>5PETTY052026</t>
  </si>
  <si>
    <t xml:space="preserve">FINAL 4559 - QUEIJO P/PRODUÇÃO NÃO CHEGOU NO PEDIDO REF 05/2026
</t>
  </si>
  <si>
    <t>364</t>
  </si>
  <si>
    <t>SISTEMA DE DISPAROS - DIONISIO IA REF 05/2026</t>
  </si>
  <si>
    <t>17</t>
  </si>
  <si>
    <t>VARIAVEL TRI - 2026</t>
  </si>
  <si>
    <t>18</t>
  </si>
  <si>
    <t>GORJETA REFERENTE AO PERIODO 20/04/2026 A 19/05/2026</t>
  </si>
  <si>
    <t>MANUTENCAO DE SISTEMA DE SEGURANCA EM 05 PARCELAS REF 05/2026</t>
  </si>
  <si>
    <t>21</t>
  </si>
  <si>
    <t>8</t>
  </si>
  <si>
    <t>45</t>
  </si>
  <si>
    <t>COMISSÃO DE EVENTOS - COMP. 05/2026</t>
  </si>
  <si>
    <t>1PETTY052026</t>
  </si>
  <si>
    <t>154549 052026</t>
  </si>
  <si>
    <t>2PETTY052026</t>
  </si>
  <si>
    <t xml:space="preserve">FINAL 4559 - BANANA P/PRODUÇÃO NÃO CHEGOU NO PEDIDO REF 05/2026
</t>
  </si>
  <si>
    <t>3PETTY052026</t>
  </si>
  <si>
    <t xml:space="preserve">FINAL 4559 - FLORES PARA SALAO  REF 05/2026
</t>
  </si>
  <si>
    <t>4PETTY052026</t>
  </si>
  <si>
    <t xml:space="preserve">FINAL 4559 - ESCOVA E PURIFICADOR PARA LIMPEZA REF 05/2026
</t>
  </si>
  <si>
    <t>25PETTY052026</t>
  </si>
  <si>
    <t xml:space="preserve">FINAL 4559 - GRAVATA PARA UNIFORME  REF 05/2026
</t>
  </si>
  <si>
    <t>26PETTY052026</t>
  </si>
  <si>
    <t xml:space="preserve">FINAL 4559 -AVENTAL ITENS PARA UNIFORME  REF 05/2027
</t>
  </si>
  <si>
    <t>BENEDITO TEIXEIRA DOS SANTOS FILHO 02699629308</t>
  </si>
  <si>
    <t>493497 052026</t>
  </si>
  <si>
    <t xml:space="preserve">05/2026 Férias </t>
  </si>
  <si>
    <t>27PETTY052026</t>
  </si>
  <si>
    <t xml:space="preserve">FINAL 4559 - TRENA MANUTENCAO PREVENTIVA REF 05/2026
</t>
  </si>
  <si>
    <t>Z0101 -  1 Licença de Software</t>
  </si>
  <si>
    <t>Z2001 - Aluguel 1 Tablet</t>
  </si>
  <si>
    <t>Z0101 - Ref.:13 Pdv's R$20 cada</t>
  </si>
  <si>
    <t>51</t>
  </si>
  <si>
    <t>SESSAO E TRATAMENTO DE FOTOS CAMPANHA DIA DAS MAES REF 05/2026</t>
  </si>
  <si>
    <t>HENRIQUE FELIX DA SILVA</t>
  </si>
  <si>
    <t>MANUTENCAO DE FOGAO FORNO SENSOR E TROCA DE VALVULA REF 05/2026</t>
  </si>
  <si>
    <t>429209 052026</t>
  </si>
  <si>
    <t xml:space="preserve">05/2026 - Férias </t>
  </si>
  <si>
    <t>5</t>
  </si>
  <si>
    <t>TEC DE SOM E LUZ NO DIA 02/05  REF 05/2026</t>
  </si>
  <si>
    <t>23PETTY052026</t>
  </si>
  <si>
    <t xml:space="preserve">FINAL 4559 - BANDEIRAS COPA DO MUNDO PARA SALAO  REF 05/2026
</t>
  </si>
  <si>
    <t xml:space="preserve">801969168 </t>
  </si>
  <si>
    <t>MAO DE OBRA EXTRA GRILL DE 01/05 A 03/05 REF 05/2026</t>
  </si>
  <si>
    <t>10PETTY052026</t>
  </si>
  <si>
    <t xml:space="preserve">FINAL 4559 - MAIZENA P/PRODUÇÃO NÃO CHEGOU NO PEDIDO REF 05/2026
</t>
  </si>
  <si>
    <t>11PETTY052026</t>
  </si>
  <si>
    <t>12PETTY052026</t>
  </si>
  <si>
    <t xml:space="preserve">FINAL 4559 - ESTOCAVEIS EM FALTA P/PRODUÇÃO NÃO CHEGOU NO PEDIDO REF 05/2026
</t>
  </si>
  <si>
    <t>13PETTY052026</t>
  </si>
  <si>
    <t xml:space="preserve">FINAL 4559 - GASOLINA PARA TRAZER COMPRAS DA PRODUCAO  REF 05/2026
</t>
  </si>
  <si>
    <t>14PETTY052026</t>
  </si>
  <si>
    <t xml:space="preserve">FINAL 4559 - LICOR NÃO CHEGOU NO PEDIDO REF 05/2026
</t>
  </si>
  <si>
    <t>15PETTY052026</t>
  </si>
  <si>
    <t>16PETTY052026</t>
  </si>
  <si>
    <t>17PETTY052026</t>
  </si>
  <si>
    <t xml:space="preserve">FINAL 4559 - VALCULA MANUTENCAO PREVENTIVA REF 05/2026
</t>
  </si>
  <si>
    <t>18PETTY052026</t>
  </si>
  <si>
    <t>24PETTY052026</t>
  </si>
  <si>
    <t xml:space="preserve">FINAL 4559 - BALAO E BANDEIRA DA COPA PARA SALAO  REF 05/2026
</t>
  </si>
  <si>
    <t>21PETTY052026</t>
  </si>
  <si>
    <t>20PETTY052026</t>
  </si>
  <si>
    <t xml:space="preserve">FINAL 4559 - ARROZ EM FALTA P/PRODUÇÃO NÃO CHEGOU NO PEDIDO REF 05/2026
</t>
  </si>
  <si>
    <t>19PETTY052026</t>
  </si>
  <si>
    <t>144244046</t>
  </si>
  <si>
    <t xml:space="preserve">COMGAS - USUARIO 61695386 REF 05 /2026
</t>
  </si>
  <si>
    <t>38</t>
  </si>
  <si>
    <t>9345</t>
  </si>
  <si>
    <t xml:space="preserve">WIFI CONVIDADOS GERENCIAMENTO DE REDE AUTENTICACAO DE ACESSOS DE USUARIOS REF 05/2026
</t>
  </si>
  <si>
    <t>27</t>
  </si>
  <si>
    <t>4726</t>
  </si>
  <si>
    <t>DEDETIZACAO CONTROLE DE PRAGAS REF  05/2026</t>
  </si>
  <si>
    <t>1332026</t>
  </si>
  <si>
    <t xml:space="preserve">AGENCIA DE PROPAGANDA MENSALIDADE SANDUICHE REF 05 /2026
</t>
  </si>
  <si>
    <t>76984</t>
  </si>
  <si>
    <t>GET IN REF 05 /2026</t>
  </si>
  <si>
    <t>20765 052026</t>
  </si>
  <si>
    <t>18814211</t>
  </si>
  <si>
    <t>FINAL 4559 - SISTEMA DE MONITORAMENTO REF  05/2026</t>
  </si>
  <si>
    <t>690</t>
  </si>
  <si>
    <t xml:space="preserve">ASSESSORIA DE IMPRENSA REF  05/2026
</t>
  </si>
  <si>
    <t>11305</t>
  </si>
  <si>
    <t>MENSALIDADE - CONTRATO : M146/24 RPS 15487 REF  05/2026</t>
  </si>
  <si>
    <t>907</t>
  </si>
  <si>
    <t xml:space="preserve">LIMPEZA DO SISTEMA DE EXAUSTAO REF 05 /2026
</t>
  </si>
  <si>
    <t>11312</t>
  </si>
  <si>
    <t xml:space="preserve">MENSALIDADE - CONTRATO : M146/24A RPS 15494 REF 05/2026
</t>
  </si>
  <si>
    <t xml:space="preserve">REFERENTE AO SISTEMA BTAGS SOFTWARE: R 380,00 + IMPRESSORA: R 150,00 REF   05/2026
</t>
  </si>
  <si>
    <t xml:space="preserve">FINAL 4559 - MUSICA AMBIENTE REF  05/2026
</t>
  </si>
  <si>
    <t>270000 052026</t>
  </si>
  <si>
    <t>05/2026 - Flash Mensal - Jacaré</t>
  </si>
  <si>
    <t>401390 052026</t>
  </si>
  <si>
    <t>3478</t>
  </si>
  <si>
    <t xml:space="preserve"> ASSESSORIA - INVENTARIO REF 05 /2026</t>
  </si>
  <si>
    <t>0003</t>
  </si>
  <si>
    <t xml:space="preserve">LOCACAO MAQUINA DE LAVAR LOUÇA REF 05/2026
</t>
  </si>
  <si>
    <t>66080X</t>
  </si>
  <si>
    <t xml:space="preserve">COLETA DE LIXO E RESIDUOS REF 05/2026
</t>
  </si>
  <si>
    <t>12806</t>
  </si>
  <si>
    <t xml:space="preserve">HASHTAG TV - MANUTENÇÃO E SUPORTE GERENCIAMENTO DE CONTEUDO - CONTRATO N. 2023/00017 REF 05 /2026
</t>
  </si>
  <si>
    <t>260526162239267</t>
  </si>
  <si>
    <t>INTERNET SKY - PERIODO 02/ A 01/  REF  05/2026</t>
  </si>
  <si>
    <t>49</t>
  </si>
  <si>
    <t>32891891</t>
  </si>
  <si>
    <t>LOCACAO MAQUINA DE GELO REF  05/2026</t>
  </si>
  <si>
    <t>FINAL 1374 FACEBOOK REF 05/2026</t>
  </si>
  <si>
    <t xml:space="preserve">402541947423 </t>
  </si>
  <si>
    <t>TV ASSINATURA / MUSICA AMBIENTE - PERIODO 23/ A 22/ REF  05/2026</t>
  </si>
  <si>
    <t>16</t>
  </si>
  <si>
    <t>2163</t>
  </si>
  <si>
    <t xml:space="preserve"> ASSESSORIA GERAL NUTRICIONISTA REF  05/2026</t>
  </si>
  <si>
    <t xml:space="preserve">65254011 </t>
  </si>
  <si>
    <t>ENERGIA ELETRICA INST 200414882 / N° CLIENTE 28498812 REF 05/2026</t>
  </si>
  <si>
    <t>157</t>
  </si>
  <si>
    <t xml:space="preserve">MENSALIDADE - MANUTENÇÃO REF 05 /2026
</t>
  </si>
  <si>
    <t>VIVO INTERNET REF 05/2026</t>
  </si>
  <si>
    <t>11253</t>
  </si>
  <si>
    <t>DESPESAS BANCARIAS - MENSALIDADE KAMINO REF 05/2026</t>
  </si>
  <si>
    <t>189502</t>
  </si>
  <si>
    <t xml:space="preserve">MENSALIDADE ABRASEL REF 05 /2026
</t>
  </si>
  <si>
    <t>146</t>
  </si>
  <si>
    <t>CLIENTE OCULTO REF 05 /2026</t>
  </si>
  <si>
    <t>107792 052026</t>
  </si>
  <si>
    <t>677181 042026</t>
  </si>
  <si>
    <t>INSS Segurados - 04/2026</t>
  </si>
  <si>
    <t>552377 042026</t>
  </si>
  <si>
    <t>GUIA FGTS - 04/2026</t>
  </si>
  <si>
    <t>85031 042026</t>
  </si>
  <si>
    <t>IRRF - 04/2026</t>
  </si>
  <si>
    <t>5391</t>
  </si>
  <si>
    <t>LOCACAO DE IMPRESSORA REF  04/2026</t>
  </si>
  <si>
    <t>3891</t>
  </si>
  <si>
    <t>6</t>
  </si>
  <si>
    <t>GORJETA REFERENTE AO PERÍODO DE 20/03/2026 A 19/04/2026</t>
  </si>
  <si>
    <t xml:space="preserve">IFOOD. COM AGENCIA DE RESTAURANTES ONLINE S.A </t>
  </si>
  <si>
    <t xml:space="preserve">MARIA LEONOR CAETANO DE LIMA </t>
  </si>
  <si>
    <t>15</t>
  </si>
  <si>
    <t>MAO DE OBRA EXTRA GRILL DE 27/04 A 30/04  REF 04/2026</t>
  </si>
  <si>
    <t xml:space="preserve"> NF 18516018 VERISURE BRASIL / NF 65096 4R AMBIENTAL</t>
  </si>
  <si>
    <t xml:space="preserve">796605438 </t>
  </si>
  <si>
    <t>CACHE ARTISTAS PERIODO REF 04/2026</t>
  </si>
  <si>
    <t>796538188</t>
  </si>
  <si>
    <t>MAO DE OBRA EXTRA TERRAÇO DE 20/04 26/04 REF04/2026</t>
  </si>
  <si>
    <t>796538493</t>
  </si>
  <si>
    <t>MAO DE OBRA EXTRA GRILL DE 20/04 A 26/04 REF 04/2026</t>
  </si>
  <si>
    <t>38/60</t>
  </si>
  <si>
    <t>262026</t>
  </si>
  <si>
    <t>TEC DE SOM E LUZ NO DIA 25/04 REF 04/2026</t>
  </si>
  <si>
    <t>791971068</t>
  </si>
  <si>
    <t>CACHE ARTISTAS PERIODO 13/04 A 19/04 REF 04 /2026</t>
  </si>
  <si>
    <t>791866378</t>
  </si>
  <si>
    <t>MAO DE OBRA EXTRA GRILL DE 13/04 A 19/04  REF /2026</t>
  </si>
  <si>
    <t>791865960</t>
  </si>
  <si>
    <t>MAO DE OBRA EXTRA TERRAÇO DE 13/04 A 19/04  REF 04/2026</t>
  </si>
  <si>
    <t>TEC DE SOM E LUZ NO DIA 18/04 REF 04/2026</t>
  </si>
  <si>
    <t>283</t>
  </si>
  <si>
    <t xml:space="preserve">MENSALIDADE USO DA PLATAFORMA BLUEME  REF 04 /2026
</t>
  </si>
  <si>
    <t xml:space="preserve">202636654331 </t>
  </si>
  <si>
    <t xml:space="preserve">AGUA / ESGOTO - FORNECIMENTO 86040784859513 REF  04/2026
</t>
  </si>
  <si>
    <t xml:space="preserve">202636609676 </t>
  </si>
  <si>
    <t xml:space="preserve">AGUA / ESGOTO - FORNECIMENTO 86040784860119 REF 04 /2026
</t>
  </si>
  <si>
    <t>Rateamento de 127 - Jacaré (4.8070%)</t>
  </si>
  <si>
    <t>786971823</t>
  </si>
  <si>
    <t>MAO DE OBRA EXTRA DE 06/04 A 12/04  REF 04/2026</t>
  </si>
  <si>
    <t xml:space="preserve">787118211 </t>
  </si>
  <si>
    <t>CACHE ARTISTAS PERIODO 06/04 A 12/04 REF 04/2026</t>
  </si>
  <si>
    <t>786971497</t>
  </si>
  <si>
    <t>MAO DE OBRA EXTRA TERRAÇO DE 06/04 A 12/04  REF 04/2026</t>
  </si>
  <si>
    <t>302026</t>
  </si>
  <si>
    <t xml:space="preserve"> REEMBOLSO COMPRA DE ALIMENTOS PARA PRODUCAO REF 04/2026</t>
  </si>
  <si>
    <t>042026</t>
  </si>
  <si>
    <t xml:space="preserve">ALUGUEL DE IMOVEIS  REF 04 /2026
</t>
  </si>
  <si>
    <t>ALUGUEL DE IMOVEIS REF 04/2026</t>
  </si>
  <si>
    <t>TEC DE SOM E LUZ NO DIA 11/04  REF 04/2026</t>
  </si>
  <si>
    <t>ELLOHUB PRINT MKT ONLINE E OFFLINE LTDA</t>
  </si>
  <si>
    <t>368</t>
  </si>
  <si>
    <t>Rateamento de 127 - Jacaré (16.60%)</t>
  </si>
  <si>
    <t xml:space="preserve">781547447 </t>
  </si>
  <si>
    <t>MAO DE OBRA EXTRA DE01/04 A 05/04 REF 04/2026</t>
  </si>
  <si>
    <t>1076042026</t>
  </si>
  <si>
    <t>Rateamento de 127 - Jacaré (7.69%)</t>
  </si>
  <si>
    <t>4539042026</t>
  </si>
  <si>
    <t xml:space="preserve">781572134 </t>
  </si>
  <si>
    <t>CACHE ARTISTAS PERIODO 01/04 A 05/04 REF 04/2026</t>
  </si>
  <si>
    <t>TEC DE SOM E LUZ NO DIA 04/04  REF 04/2026</t>
  </si>
  <si>
    <t>30-042026</t>
  </si>
  <si>
    <t xml:space="preserve">FINAL 4559 - OVOS  P/PRODUÇÃO NÃO CHEGOU NO PEDIDO REF 04/2026
</t>
  </si>
  <si>
    <t>3/10</t>
  </si>
  <si>
    <t xml:space="preserve"> IPTU ANO DE 2026 CONTRIBUINTE 081.1710.011-8</t>
  </si>
  <si>
    <t>9-042026</t>
  </si>
  <si>
    <t xml:space="preserve">FINAL 4559 - POTES COM TAMPA REF 04/2026
</t>
  </si>
  <si>
    <t>8-042026</t>
  </si>
  <si>
    <t xml:space="preserve">FINAL 4559 - COMPRA DEGAS  REF 04/2026
</t>
  </si>
  <si>
    <t>7-042026</t>
  </si>
  <si>
    <t xml:space="preserve">FINAL 4559 - MANTEIGA P/PRODUÇÃO NÃO CHEGOU NO PEDIDO REF 04/2026
</t>
  </si>
  <si>
    <t>6-042026</t>
  </si>
  <si>
    <t xml:space="preserve">FINAL 4559 - LUMINARIAS MANUTENCAO PREVENTIVA REF 04/2026
</t>
  </si>
  <si>
    <t>5-042026</t>
  </si>
  <si>
    <t xml:space="preserve">FINAL 4559 - FLORES PARA SALAO  REF 04/2026
</t>
  </si>
  <si>
    <t>4-042026</t>
  </si>
  <si>
    <t xml:space="preserve">FINAL 4559 - OLEO P/PRODUÇÃO NÃO CHEGOU NO PEDIDO REF 04/2026
</t>
  </si>
  <si>
    <t>3-042026</t>
  </si>
  <si>
    <t>2-042026</t>
  </si>
  <si>
    <t xml:space="preserve">FINAL 4559 - COALA NÃO VEIO NO PEDIDO  REF 04/2026
</t>
  </si>
  <si>
    <t>1-042026</t>
  </si>
  <si>
    <t>4</t>
  </si>
  <si>
    <t>512468 042026</t>
  </si>
  <si>
    <t>04/2026 - Férias 30 dias início em 06/04/2026</t>
  </si>
  <si>
    <t>445080 042026</t>
  </si>
  <si>
    <t>04/2026 - Férias 20 dias + 10 dias de abono - início em 06/04/2026.</t>
  </si>
  <si>
    <t>31554 042026</t>
  </si>
  <si>
    <t>VT ROSANA COMP. 04/2026</t>
  </si>
  <si>
    <t>IN-2026-0183542</t>
  </si>
  <si>
    <t>28080 042026</t>
  </si>
  <si>
    <t>154549 042026</t>
  </si>
  <si>
    <t>28717052026</t>
  </si>
  <si>
    <t>LALAMOVE ENTREGAS  REF  04/2026</t>
  </si>
  <si>
    <t>1807</t>
  </si>
  <si>
    <t>COMPRA DE UNIFORMES OPERAÇÃO 04/2026</t>
  </si>
  <si>
    <t>272026</t>
  </si>
  <si>
    <t>REEMBOLSO COMPRA DE ALIMENTOS PARA PRODUCAO REF 04/2026</t>
  </si>
  <si>
    <t>781547447</t>
  </si>
  <si>
    <t>MAO DE OBRA EXTRA DE 30 E 31/03 REF 03/2026</t>
  </si>
  <si>
    <t>MARCO ANTONIO ZACCARELLI</t>
  </si>
  <si>
    <t>292026</t>
  </si>
  <si>
    <t>REEMBOLSO DE CLIENTE PAGAMENTO EM DUPLICIDADE DINHEIRO E DEBITO REF 04/2026</t>
  </si>
  <si>
    <t>282026</t>
  </si>
  <si>
    <t>34736 042026</t>
  </si>
  <si>
    <t>VALE TRANSPORTE NOVO ADMITIDO COMP. 04/2026</t>
  </si>
  <si>
    <t>REEMBOLSO COMPRA DE FLORES PARA SALAO REF 04/2026</t>
  </si>
  <si>
    <t>11-042026</t>
  </si>
  <si>
    <t xml:space="preserve">FINAL 4559 -  REF 04/2026
</t>
  </si>
  <si>
    <t>17-042026</t>
  </si>
  <si>
    <t xml:space="preserve">FINAL 4559 - EMBALAGENS NÃO VEIO NO PEDIDO REF 04/2026
</t>
  </si>
  <si>
    <t>32-042026</t>
  </si>
  <si>
    <t xml:space="preserve">FINAL 4559 - MAIZENA  P/PRODUÇÃO NÃO CHEGOU NO PEDIDO REF 04/2026
</t>
  </si>
  <si>
    <t>31-0420256</t>
  </si>
  <si>
    <t xml:space="preserve">FINAL 4559 - SPRITS ACABOU E NÃO VEIO NO PEDIDO   REF 04/2026
</t>
  </si>
  <si>
    <t>41</t>
  </si>
  <si>
    <t>COMISSÃO DE EVENTOS - COMP. 04/2026</t>
  </si>
  <si>
    <t>29-042026</t>
  </si>
  <si>
    <t>28-042026</t>
  </si>
  <si>
    <t xml:space="preserve">FINAL 4559 - VEJA NÃO VEIO NO PEDIDO  REF 04/2026
</t>
  </si>
  <si>
    <t>27-042026</t>
  </si>
  <si>
    <t xml:space="preserve">FINAL 4559 - AMACIANTE NÃO VEIO NO PEDIDO  REF 04/2026
</t>
  </si>
  <si>
    <t>26-042026</t>
  </si>
  <si>
    <t xml:space="preserve">FINAL 4559 - GLADE NÃO VEIO NO PEDIDO  REF 04/2026
</t>
  </si>
  <si>
    <t>25-042026</t>
  </si>
  <si>
    <t xml:space="preserve">FINAL 4559 - FRIOS  P/PRODUÇÃO NÃO CHEGOU NO PEDIDO REF 04/2026
</t>
  </si>
  <si>
    <t>24-042026</t>
  </si>
  <si>
    <t xml:space="preserve">FINAL 4559 - COGUMELOS  P/PRODUÇÃO NÃO CHEGOU NO PEDIDO REF 04/2026
</t>
  </si>
  <si>
    <t>22-042026</t>
  </si>
  <si>
    <t xml:space="preserve">FINAL 4559 - PAPEL ALUMINIO NÃO VEIO NO PEDIDO  REF 04/2026
</t>
  </si>
  <si>
    <t>10-042026</t>
  </si>
  <si>
    <t>12-042026</t>
  </si>
  <si>
    <t xml:space="preserve">FINAL 4559 - MANUTENCA DAS BALANCAS  REF 04/2026
</t>
  </si>
  <si>
    <t>13-042026</t>
  </si>
  <si>
    <t>14-042026</t>
  </si>
  <si>
    <t xml:space="preserve">FINAL 4559 - MICROMOTOR MANUTENCAO PREVENTIVA REF 04/2026
</t>
  </si>
  <si>
    <t>15-042026</t>
  </si>
  <si>
    <t xml:space="preserve">FINAL 4559 - GASOLINA PARA TRAZER MATERIAL DE MANUTENCAO  REF 04/2026
</t>
  </si>
  <si>
    <t>16-042026</t>
  </si>
  <si>
    <t xml:space="preserve">FINAL 4559 - BACON P/PRODUÇÃO NÃO CHEGOU NO PEDIDO REF 04/2026
</t>
  </si>
  <si>
    <t>18-042026</t>
  </si>
  <si>
    <t>19-042026</t>
  </si>
  <si>
    <t xml:space="preserve">FINAL 4559 - BANANA P/PRODUÇÃO NÃO CHEGOU NO PEDIDO REF 04/2026
</t>
  </si>
  <si>
    <t>20-042026</t>
  </si>
  <si>
    <t>23-042026</t>
  </si>
  <si>
    <t xml:space="preserve">FINAL 4559 - GELATINA  P/PRODUÇÃO NÃO CHEGOU NO PEDIDO REF 04/2026
</t>
  </si>
  <si>
    <t>21-042026</t>
  </si>
  <si>
    <t>2073</t>
  </si>
  <si>
    <t xml:space="preserve"> ASSESSORIA GERAL NUTRICIONISTA REF  04/2026</t>
  </si>
  <si>
    <t xml:space="preserve">143548244 </t>
  </si>
  <si>
    <t xml:space="preserve">COMGAS - USUARIO 61695386 REF  04/2026
</t>
  </si>
  <si>
    <t>270000 042026</t>
  </si>
  <si>
    <t>04/2026 - Flash Mensal - Jacaré</t>
  </si>
  <si>
    <t>26</t>
  </si>
  <si>
    <t>231</t>
  </si>
  <si>
    <t xml:space="preserve">FLARO LAVANDERIA REF 04 /2026
</t>
  </si>
  <si>
    <t>10470</t>
  </si>
  <si>
    <t>DESPESAS BANCARIAS - MENSALIDADE KAMINO REF 04/2026</t>
  </si>
  <si>
    <t>9220</t>
  </si>
  <si>
    <t xml:space="preserve">WIFI CONVIDADOS GERENCIAMENTO DE REDE AUTENTICACAO DE ACESSOS DE USUARIOS REF04 /2026
</t>
  </si>
  <si>
    <t xml:space="preserve">899925753518 </t>
  </si>
  <si>
    <t>VIVO INTERNET REF  04/2026</t>
  </si>
  <si>
    <t xml:space="preserve">5340614 </t>
  </si>
  <si>
    <t>ENERGIA ELETRICA INST 200414882 / N° CLIENTE 28498812 REF 04 /2026</t>
  </si>
  <si>
    <t xml:space="preserve">185757 </t>
  </si>
  <si>
    <t xml:space="preserve">MENSALIDADE ABRASEL REF 04 /2026
</t>
  </si>
  <si>
    <t>111</t>
  </si>
  <si>
    <t>CLIENTE OCULTO REF  04/2026</t>
  </si>
  <si>
    <t>150</t>
  </si>
  <si>
    <t xml:space="preserve">MENSALIDADE - MANUTENÇÃO REF 04/2026
</t>
  </si>
  <si>
    <t xml:space="preserve">402524939446 </t>
  </si>
  <si>
    <t>FINAL 1374 FACEBOOK REF 04/2026</t>
  </si>
  <si>
    <t xml:space="preserve">32891861 </t>
  </si>
  <si>
    <t>LOCACAO MAQUINA DE GELO REF 04/2026</t>
  </si>
  <si>
    <t>47</t>
  </si>
  <si>
    <t>260428165950209</t>
  </si>
  <si>
    <t xml:space="preserve"> INTERNET SKY - PERIODO 02/ A 01/  REF 04/2026</t>
  </si>
  <si>
    <t>65096</t>
  </si>
  <si>
    <t xml:space="preserve">COLETA DE LIXO E RESIDUOS REF 04/2026
</t>
  </si>
  <si>
    <t>002</t>
  </si>
  <si>
    <t xml:space="preserve">LOCACAO MAQUINA DE LAVAR LOUÇA REF 04 /2026
</t>
  </si>
  <si>
    <t>3406</t>
  </si>
  <si>
    <t xml:space="preserve"> ASSESSORIA - INVENTARIO REF  04/2026</t>
  </si>
  <si>
    <t>12669</t>
  </si>
  <si>
    <t xml:space="preserve">HASHTAG TV - MANUTENÇÃO E SUPORTE GERENCIAMENTO DE CONTEUDO - CONTRATO N. 2023/00017 REF 04/2026
</t>
  </si>
  <si>
    <t>397659 042026</t>
  </si>
  <si>
    <t xml:space="preserve"> VT SP TRANS
</t>
  </si>
  <si>
    <t>103728 042026</t>
  </si>
  <si>
    <t>Tassio Souza Santos</t>
  </si>
  <si>
    <t>10</t>
  </si>
  <si>
    <t>MANUTENÇÃO PREVENTIVA REF 04/2026</t>
  </si>
  <si>
    <t>674</t>
  </si>
  <si>
    <t xml:space="preserve">ASSESSORIA DE IMPRENSA REF  04/2026
</t>
  </si>
  <si>
    <t>34</t>
  </si>
  <si>
    <t>897</t>
  </si>
  <si>
    <t xml:space="preserve">LIMPEZA DO SISTEMA DE EXAUSTAO REF 04 /2026
</t>
  </si>
  <si>
    <t xml:space="preserve">18516018 </t>
  </si>
  <si>
    <t>FINAL 4559 - SISTEMA DE MONITORAMENTO REF 04 /2026</t>
  </si>
  <si>
    <t>20765 042026</t>
  </si>
  <si>
    <t>2411</t>
  </si>
  <si>
    <t xml:space="preserve"> REFERENTE AO SISTEMA BTAGS SOFTWARE: R 380,00 + IMPRESSORA: R 150,00 REF 04/2026
</t>
  </si>
  <si>
    <t>11172</t>
  </si>
  <si>
    <t>MENSALIDADE - CONTRATO : M146/24 RPS 15307 REF 04 /2026</t>
  </si>
  <si>
    <t>75679</t>
  </si>
  <si>
    <t>GET IN REF 04 /2026</t>
  </si>
  <si>
    <t>11160</t>
  </si>
  <si>
    <t xml:space="preserve">MENSALIDADE - CONTRATO : M146/24A RPS 15295  REF 04/2026
</t>
  </si>
  <si>
    <t xml:space="preserve">FINAL 4559 - MUSICA AMBIENTE REF 04/2026
</t>
  </si>
  <si>
    <t>1232026</t>
  </si>
  <si>
    <t xml:space="preserve">AGENCIA DE PROPAGANDA MENSALIDADE SANDUICHE REF  04/2026
</t>
  </si>
  <si>
    <t>4630</t>
  </si>
  <si>
    <t>DEDETIZACAO CONTROLE DE PRAGAS REF 04/2026</t>
  </si>
  <si>
    <t>1681</t>
  </si>
  <si>
    <t>ALIMENTOS -  COMPRA DE PAES MENSAL REF 03/2026</t>
  </si>
  <si>
    <t xml:space="preserve">776003995 </t>
  </si>
  <si>
    <t>MAO DE OBRA EXTRA TERRAÇO de 23/03 A 29/03 REF 03/2026</t>
  </si>
  <si>
    <t>ZENDESK BRASIL SOFTWARE CORPORATIVO LTDA.</t>
  </si>
  <si>
    <t>INV13501114</t>
  </si>
  <si>
    <t>Rateamento de 127 - Jacaré (20%)</t>
  </si>
  <si>
    <t>776003651</t>
  </si>
  <si>
    <t>MAO DE OBRA EXTRA DE 23/03 A 29/03 REF 03/2026</t>
  </si>
  <si>
    <t>1º TRIMESTRE - 3º QUOTA</t>
  </si>
  <si>
    <t xml:space="preserve">  1º TRIMESTRE = 3º COTA - DARF NA MATRIZ BB GRANJA</t>
  </si>
  <si>
    <t xml:space="preserve">  1º TRIMESTRE - 2º COTA - DARF NA MATRIZ BB GRANJA</t>
  </si>
  <si>
    <t xml:space="preserve"> 1º TRIMESTRE - 3º COTA</t>
  </si>
  <si>
    <t xml:space="preserve"> 1º TRIMESTRE - 3º COTA - DARF NA MATRIZ BB GRANJA</t>
  </si>
  <si>
    <t>IN-2026-0123494</t>
  </si>
  <si>
    <t>1ºTRIMESTRE</t>
  </si>
  <si>
    <t>01 CSLL - LUCRO PRESUMIDO OU ARBITRADO - ENTIDADE
PA:1º Trimestre/2026 Vencimento:30/04/2026 - DARF NA MATRIZ - BB GRANJA</t>
  </si>
  <si>
    <t xml:space="preserve">  1º TRIMESTRE = 2º COTA - DARF NA MATRIZ BB GRANJA</t>
  </si>
  <si>
    <t xml:space="preserve"> GUIA ATUALIZADA - IRPJ - ID 22410+226451   01 CSLL - LUCRO PRESUMIDO OU ARBITRADO - ENTIDADE
PA:1º Trimestre/2026 Vencimento:30/04/2026 - DARF NA MATRIZ - BB GRANJA</t>
  </si>
  <si>
    <t>MAR2026</t>
  </si>
  <si>
    <t>3115</t>
  </si>
  <si>
    <t>COMP. 03/2026</t>
  </si>
  <si>
    <t>5254</t>
  </si>
  <si>
    <t>LOCACAO DE IMPRESSORA REF 04/2026</t>
  </si>
  <si>
    <t>ICMS 03/2026</t>
  </si>
  <si>
    <t>776224357</t>
  </si>
  <si>
    <t>CACHE ARTISTAS PERIODO 23/03 A 29/03  REF 03/2026</t>
  </si>
  <si>
    <t>12840 032026</t>
  </si>
  <si>
    <t>03/2026 - IRRF</t>
  </si>
  <si>
    <t>DOC NA MATRIZ BB GRANJA</t>
  </si>
  <si>
    <t>619723 032026</t>
  </si>
  <si>
    <t>INSS Segurados - 03/2026</t>
  </si>
  <si>
    <t>520689 032026</t>
  </si>
  <si>
    <t>03/2026 - FGTS</t>
  </si>
  <si>
    <t>ISS MAR2026</t>
  </si>
  <si>
    <t>252026</t>
  </si>
  <si>
    <t>TEC DE SOM E LUZ NO DIA 28/03 REF 03/2026</t>
  </si>
  <si>
    <t>2/10</t>
  </si>
  <si>
    <t>37/60</t>
  </si>
  <si>
    <t xml:space="preserve">771109744 </t>
  </si>
  <si>
    <t>MAO DE OBRA EXTRA DE 16/03 A 22/03 REF 03/2026</t>
  </si>
  <si>
    <t xml:space="preserve">771109420 </t>
  </si>
  <si>
    <t>MAO DE OBRA EXTRA TERRAÇO DE 16/03 A 22/03 REF 03/2026</t>
  </si>
  <si>
    <t>773635187</t>
  </si>
  <si>
    <t>CACHE ARTISTAS PERIODO DE 16/03 A 22/03  REF 03/2026</t>
  </si>
  <si>
    <t>242026</t>
  </si>
  <si>
    <t>REEMBOLSO COMPRA DE ALIMENTOS PARA PRODUCAO REF 03/2026</t>
  </si>
  <si>
    <t>222026</t>
  </si>
  <si>
    <t xml:space="preserve">TEC DE SOM E LUZ NO DIA 21/03  REF  03/2026
</t>
  </si>
  <si>
    <t>GERALDO ANULINO FERREIRA</t>
  </si>
  <si>
    <t>600032026</t>
  </si>
  <si>
    <t>SERVICOS DE LIMPEZA FOGAO INJETORES E QUEIMADORES EM 18/03 REF 03/2026</t>
  </si>
  <si>
    <t>132031</t>
  </si>
  <si>
    <t>132636</t>
  </si>
  <si>
    <t>766305028</t>
  </si>
  <si>
    <t>MAO DE OBRA EXTRA GRILL DE 09/03 A 15/03 REF 03/2026</t>
  </si>
  <si>
    <t xml:space="preserve"> Compra de Tv Box Jacaré</t>
  </si>
  <si>
    <t>CIELO</t>
  </si>
  <si>
    <t>766304617</t>
  </si>
  <si>
    <t>MAO DE OBRA EXTRA TERRAÇO DE 09/03 A 15/03 REF 03/2026</t>
  </si>
  <si>
    <t>768033486</t>
  </si>
  <si>
    <t>CACHE ARTISTAS PERIODO 09/03 A 15/03 REF 03/2026</t>
  </si>
  <si>
    <t xml:space="preserve">202627037166 </t>
  </si>
  <si>
    <t xml:space="preserve">AGUA / ESGOTO - FORNECIMENTO 86040784860119 REF 03/2026
</t>
  </si>
  <si>
    <t xml:space="preserve">202627011648 </t>
  </si>
  <si>
    <t xml:space="preserve">AGUA / ESGOTO - FORNECIMENTO 86040784859513 REF  03/2026
</t>
  </si>
  <si>
    <t>268</t>
  </si>
  <si>
    <t xml:space="preserve">MENSALIDADE USO DA PLATAFORMA BLUEME  REF 03/2026
</t>
  </si>
  <si>
    <t>Rateamento de 127 - Jacaré (5.2597%)</t>
  </si>
  <si>
    <t>032026</t>
  </si>
  <si>
    <t xml:space="preserve">  ALUGUEL DE IMOVEIS  REF 03/2026
</t>
  </si>
  <si>
    <t>ALUGUEL DE IMOVEIS REF 03/2026</t>
  </si>
  <si>
    <t xml:space="preserve">761071026 </t>
  </si>
  <si>
    <t>MAO DE OBRA EXTRA DE 02/03 A 08/03 REF 03/2026</t>
  </si>
  <si>
    <t xml:space="preserve">761070450 </t>
  </si>
  <si>
    <t>MAO DE OBRA EXTRA TERRAÇO 02/03 A 08/03 REF 03/2026</t>
  </si>
  <si>
    <t xml:space="preserve">761194815 </t>
  </si>
  <si>
    <t>CACHE ARTISTAS PERIODO DE 02/03 A 08/03 REF 03/2026</t>
  </si>
  <si>
    <t>212026</t>
  </si>
  <si>
    <t xml:space="preserve">TEC DE SOM E LUZ NO DIA 14/03  REF  03/2026
</t>
  </si>
  <si>
    <t>2</t>
  </si>
  <si>
    <t>SANDRA PEREIRA DE SOUZA CESCHINI  - EXTINTORES</t>
  </si>
  <si>
    <t>.</t>
  </si>
  <si>
    <t>Manutenção e recarga de extintores - Jacaré</t>
  </si>
  <si>
    <t>JESSICA FARIAS DOS SANTOS</t>
  </si>
  <si>
    <t>99235 032026</t>
  </si>
  <si>
    <t>03/2026 - Pedido demissão em 07/03/2026</t>
  </si>
  <si>
    <t>202026</t>
  </si>
  <si>
    <t>TEC DE SOM E LUZ NO DIA 07/03 REF 03/2026</t>
  </si>
  <si>
    <t>REGINALDO DOS SANTOS BOA VENTURA</t>
  </si>
  <si>
    <t>307287 032026</t>
  </si>
  <si>
    <t>03/2026 PEDIDO DEMISSÃO - 10-03-26</t>
  </si>
  <si>
    <t>1653</t>
  </si>
  <si>
    <t xml:space="preserve"> ALIMENTOS </t>
  </si>
  <si>
    <t xml:space="preserve">FORTE ALIMENTOS COM. IMPORTAÇÃO LTDA </t>
  </si>
  <si>
    <t>353911</t>
  </si>
  <si>
    <t>ALIMENTOS -  DIFERENCA DEVIDO AO ATRASO DO PAGAMENTO - Segue dados para deposito 
Itaú - FORTE
Ag - 3218
Cc - 38639-3</t>
  </si>
  <si>
    <t>1-032026</t>
  </si>
  <si>
    <t xml:space="preserve">FINAL 4559 - CHA P/PRODUÇÃO NÃO CHEGOU NO PEDIDO REF 03/2026
</t>
  </si>
  <si>
    <t>8-032026</t>
  </si>
  <si>
    <t xml:space="preserve">FINAL 4559 - POTE PARA COZINHA  REF 03/2026
</t>
  </si>
  <si>
    <t>29-032026</t>
  </si>
  <si>
    <t xml:space="preserve">FINAL 4559 - COPOS PARA OPERACAO REF 03/2026
</t>
  </si>
  <si>
    <t>28-032026</t>
  </si>
  <si>
    <t xml:space="preserve">FINAL 4559 - MAT PARA MANUTENCAO PREVENTIVA REF 03/2026
</t>
  </si>
  <si>
    <t>27-032026</t>
  </si>
  <si>
    <t xml:space="preserve">FINAL 4559 - PULSEIRAS PARA ENTRADAS REF 03/2026
</t>
  </si>
  <si>
    <t>26-032026</t>
  </si>
  <si>
    <t>25-032026</t>
  </si>
  <si>
    <t xml:space="preserve">FINAL 4559 - BACON P/PRODUÇÃO NÃO CHEGOU NO PEDIDO   REF 03/2026
</t>
  </si>
  <si>
    <t>24-032026</t>
  </si>
  <si>
    <t xml:space="preserve">FINAL 4559 - CAJU P/PRODUÇÃO NÃO CHEGOU NO PEDIDO   REF 03/2026
</t>
  </si>
  <si>
    <t>23-032026</t>
  </si>
  <si>
    <t>22-032026</t>
  </si>
  <si>
    <t>5-032026FINAL 4559 - MAT PARA MANUTENCAO PREVENTIVA REF 03/2026</t>
  </si>
  <si>
    <t>21-032026</t>
  </si>
  <si>
    <t xml:space="preserve">FINAL 4559 - FLORES PARA SALAO REF 03/2026
</t>
  </si>
  <si>
    <t>6-032026</t>
  </si>
  <si>
    <t xml:space="preserve">FINAL 4559 - FEIJAO P/PRODUÇÃO NÃO CHEGOU NO PEDIDO   REF 03/2026
</t>
  </si>
  <si>
    <t>7-032026</t>
  </si>
  <si>
    <t xml:space="preserve">FINAL 4559 - SACO PARA EMBALAGES   REF 03/2026
</t>
  </si>
  <si>
    <t>PJ 65577070000152</t>
  </si>
  <si>
    <t>SALÁRIO PJ - COORDENADOR</t>
  </si>
  <si>
    <t>9-032026</t>
  </si>
  <si>
    <t xml:space="preserve">FINAL 4559 - CAMISETA PARA UNIFORME REF 03/2026
</t>
  </si>
  <si>
    <t>10-032026</t>
  </si>
  <si>
    <t xml:space="preserve">FINAL 4559 - PRODUTO PARA LIMPEZA NÃO CHEGOU NO PEDIDO  REF 03/2026
</t>
  </si>
  <si>
    <t>11-032026</t>
  </si>
  <si>
    <t xml:space="preserve">FINAL 4559 - RUCULA P/PRODUÇÃO NÃO CHEGOU NO PEDIDO   REF 03/2026
</t>
  </si>
  <si>
    <t>12-032026</t>
  </si>
  <si>
    <t>13-032026</t>
  </si>
  <si>
    <t xml:space="preserve">FINAL 4559 - ARROZ  P/PRODUÇÃO NÃO CHEGOU NO PEDIDO   REF 03/2026
</t>
  </si>
  <si>
    <t>14-032026</t>
  </si>
  <si>
    <t xml:space="preserve">FINAL 4559 - CERVEJA NÃO CHEGOU NO PEDIDO REF 03/2026
</t>
  </si>
  <si>
    <t>15-032026</t>
  </si>
  <si>
    <t xml:space="preserve">FINAL 4559 - FRUTAS EM FALTA  P/PRODUÇÃO NÃO CHEGOU NO PEDIDO   REF 03/2026
</t>
  </si>
  <si>
    <t>16-032026</t>
  </si>
  <si>
    <t>17-032026</t>
  </si>
  <si>
    <t>18-032026</t>
  </si>
  <si>
    <t xml:space="preserve">FINAL 4559 - CIF PARA LIMPEZA NÃO CHEGOU NO PEDIDO  REF 03/2026
</t>
  </si>
  <si>
    <t>19-032026</t>
  </si>
  <si>
    <t>20-032026</t>
  </si>
  <si>
    <t xml:space="preserve">FINAL 4559 - PA E ESCUMADEIRA   REF 03/2026
</t>
  </si>
  <si>
    <t>31-032026</t>
  </si>
  <si>
    <t xml:space="preserve">FINAL 4559 - LEITE CONDENSADO P/PRODUÇÃO NÃO CHEGOU NO PEDIDO   REF 03/2026
</t>
  </si>
  <si>
    <t>4-032026</t>
  </si>
  <si>
    <t>30-032026</t>
  </si>
  <si>
    <t xml:space="preserve">FINAL 4559 - GASOLINA PARA COMPRA DE MATERIAL PESADO  REF 03/2026
</t>
  </si>
  <si>
    <t>24899032026</t>
  </si>
  <si>
    <t xml:space="preserve"> LALAMOVE ENTREGAS REF 03/2026</t>
  </si>
  <si>
    <t>3-032026</t>
  </si>
  <si>
    <t xml:space="preserve">FINAL 4559 - TAMPAS DE POTE PARA COZINHA  REF 03/2026
</t>
  </si>
  <si>
    <t>2-032026</t>
  </si>
  <si>
    <t xml:space="preserve">FINAL 4559 - QUEIJO P/PRODUÇÃO NÃO CHEGOU NO PEDIDO   REF 03/2026
</t>
  </si>
  <si>
    <t>154549 032026</t>
  </si>
  <si>
    <t>DISTRATO PJ 30/03/2026</t>
  </si>
  <si>
    <t>7619</t>
  </si>
  <si>
    <t>MATERIAL INSTITUCIONAL IMPRESSAO PARA RECESSO REF 03/2026</t>
  </si>
  <si>
    <t>1/10</t>
  </si>
  <si>
    <t xml:space="preserve"> IPTU ANO DE 2026 CONTRIBUINTE 081.171.0011-8 REF  03/2026</t>
  </si>
  <si>
    <t>GORJETA REFERENTE AO PERIODO DE 20/02/2026 A 19/03/2026</t>
  </si>
  <si>
    <t>13</t>
  </si>
  <si>
    <t xml:space="preserve"> IPTU ANO DE 2026 CONTRIBUINTE 081.171.0010-1 REF 03/2026</t>
  </si>
  <si>
    <t>37-032026</t>
  </si>
  <si>
    <t xml:space="preserve">FINAL 4559 - GOMA DE TAPIOCA P/PRODUÇÃO NÃO CHEGOU NO PEDIDO   REF 03/2026
</t>
  </si>
  <si>
    <t>36-032026</t>
  </si>
  <si>
    <t>35-032026</t>
  </si>
  <si>
    <t>37</t>
  </si>
  <si>
    <t>34-032026</t>
  </si>
  <si>
    <t>33-032026</t>
  </si>
  <si>
    <t xml:space="preserve">FINAL 4559 - DETERGENTE EM FAÇTA  REF 03/2026
</t>
  </si>
  <si>
    <t>32-032026</t>
  </si>
  <si>
    <t xml:space="preserve">7852517 </t>
  </si>
  <si>
    <t>DESPESAS BANCARIAS - MENSALIDADE KAMINO REF 03/2026</t>
  </si>
  <si>
    <t>59528 032026</t>
  </si>
  <si>
    <t>522926 032026</t>
  </si>
  <si>
    <t>02/2026 - Férias 30 dias - início em 02/03/2026.</t>
  </si>
  <si>
    <t>270000 032026</t>
  </si>
  <si>
    <t>03/2026 - Flash Mensal - Jacaré</t>
  </si>
  <si>
    <t xml:space="preserve"> FINAL 1374 FACEBOOK REF 03/2026</t>
  </si>
  <si>
    <t>141</t>
  </si>
  <si>
    <t xml:space="preserve">MENSALIDADE - MANUTENÇÃO REF  03/2026
</t>
  </si>
  <si>
    <t xml:space="preserve">FINAL 4559 - MUSICA AMBIENTE REF  03/2026
</t>
  </si>
  <si>
    <t>3330</t>
  </si>
  <si>
    <t xml:space="preserve"> ASSESSORIA - INVENTARIO REF 03 /2026</t>
  </si>
  <si>
    <t>880</t>
  </si>
  <si>
    <t xml:space="preserve">LIMPEZA DO SISTEMA DE EXAUSTAO REF 03/2026
</t>
  </si>
  <si>
    <t>12543</t>
  </si>
  <si>
    <t xml:space="preserve">HASHTAG TV - MANUTENÇÃO E SUPORTE GERENCIAMENTO DE CONTEUDO - CONTRATO N. 2023/00017 REF 03/2026
</t>
  </si>
  <si>
    <t>18234453</t>
  </si>
  <si>
    <t>FINAL 4559 - SISTEMA DE MONITORAMENTO REF  03/2026</t>
  </si>
  <si>
    <t>140.771.082</t>
  </si>
  <si>
    <t xml:space="preserve">COMGAS - USUARIO 61695386 REF  03/2026
</t>
  </si>
  <si>
    <t>25</t>
  </si>
  <si>
    <t>12</t>
  </si>
  <si>
    <t xml:space="preserve">181932 </t>
  </si>
  <si>
    <t>MENSALIDADE ABRASEL REF 03/2026</t>
  </si>
  <si>
    <t>724</t>
  </si>
  <si>
    <t>CLIENTE OCULTO REF  01/2026</t>
  </si>
  <si>
    <t>10783</t>
  </si>
  <si>
    <t xml:space="preserve">MENSALIDADE - CONTRATO : M146/24A RPS 14928 REF 03/2026
</t>
  </si>
  <si>
    <t>2013</t>
  </si>
  <si>
    <t xml:space="preserve"> ASSESSORIA GERAL NUTRICIONISTA REF 03/2026</t>
  </si>
  <si>
    <t>10776</t>
  </si>
  <si>
    <t>MENSALIDADE - CONTRATO : M146/24 RPS 14921  REF 03 /2026</t>
  </si>
  <si>
    <t>VIVO INTERNET CONTA 899925753518 REF  03/2026</t>
  </si>
  <si>
    <t xml:space="preserve">47862510  </t>
  </si>
  <si>
    <t>ENERGIA ELETRICA INST 200414882 / N° CLIENTE 28498812 REF 03/2026</t>
  </si>
  <si>
    <t xml:space="preserve">402507924488 </t>
  </si>
  <si>
    <t>TV ASSINATURA / MUSICA AMBIENTE - PERIODO 23/02 A 22/03  REF 03 /2026</t>
  </si>
  <si>
    <t>260326160414200</t>
  </si>
  <si>
    <t>INTERNET SKY - PERIODO 02/03 A 01/04 REF  03/2026</t>
  </si>
  <si>
    <t>60819</t>
  </si>
  <si>
    <t xml:space="preserve">COLETA DE LIXO E RESIDUOS REF 03/2026
</t>
  </si>
  <si>
    <t>103728 032026</t>
  </si>
  <si>
    <t>44</t>
  </si>
  <si>
    <t xml:space="preserve"> SALÁRIO PJ</t>
  </si>
  <si>
    <t xml:space="preserve">187323290091662001 </t>
  </si>
  <si>
    <t xml:space="preserve">LOCACAO MAQUINA DE LAVAR LOUÇA REF03/2026
</t>
  </si>
  <si>
    <t xml:space="preserve">3291831 </t>
  </si>
  <si>
    <t>LOCACAO MAQUINA DE GELO REF 03/2026</t>
  </si>
  <si>
    <t>74419</t>
  </si>
  <si>
    <t>GET IN REF 03/2026</t>
  </si>
  <si>
    <t>668</t>
  </si>
  <si>
    <t xml:space="preserve">ASSESSORIA DE IMPRENSA REF 03/2026
</t>
  </si>
  <si>
    <t>9094</t>
  </si>
  <si>
    <t xml:space="preserve">WIFI CONVIDADOS GERENCIAMENTO DE REDE AUTENTICACAO DE ACESSOS DE USUARIOS REF 03/2026
</t>
  </si>
  <si>
    <t>1132026</t>
  </si>
  <si>
    <t xml:space="preserve">AGENCIA DE PROPAGANDA MENSALIDADE SANDUICHE REF 03/2026
</t>
  </si>
  <si>
    <t>20765 032026</t>
  </si>
  <si>
    <t>4549</t>
  </si>
  <si>
    <t>DEDETIZACAO CONTROLE DE PRAGAS REF 03 /2026</t>
  </si>
  <si>
    <t>2149</t>
  </si>
  <si>
    <t xml:space="preserve">REFERENTE AO SISTEMA BTAGS SOFTWARE: R 380,00 + IMPRESSORA: R 150,00 REF  03/2026
</t>
  </si>
  <si>
    <t>2088</t>
  </si>
  <si>
    <t>SERVICOS MEDICOS DE APOIO DIAGNOSTICO</t>
  </si>
  <si>
    <t>FEV2026</t>
  </si>
  <si>
    <t xml:space="preserve"> CSRF PRESTADOR PJ</t>
  </si>
  <si>
    <t>57798 022026</t>
  </si>
  <si>
    <t>IRRF - 02/2026 - Jacaré</t>
  </si>
  <si>
    <t>DARF NA MATRIZ BB GRANJA</t>
  </si>
  <si>
    <t>122026</t>
  </si>
  <si>
    <t xml:space="preserve"> TEC DE SOM E LUZ NOS DIAS 31/01 E 07/02 REF  01/2026
</t>
  </si>
  <si>
    <t>5032</t>
  </si>
  <si>
    <t xml:space="preserve"> LOCACAO DE IMPRESSORA REF  02/2026</t>
  </si>
  <si>
    <t>5128</t>
  </si>
  <si>
    <t>LOCACAO DE IMPRESSORA REF 03 /2026</t>
  </si>
  <si>
    <t>522478 022026</t>
  </si>
  <si>
    <t xml:space="preserve"> Guia FGTS - 02/2026 Jacaré</t>
  </si>
  <si>
    <t>06 IRRF - REMUNER SERV PRESTADOS POR PJ
PA:02/2026 Vencimento:20/03/2026</t>
  </si>
  <si>
    <t>YNV13434531</t>
  </si>
  <si>
    <t>0000</t>
  </si>
  <si>
    <t xml:space="preserve">  TAXA DELIVERY</t>
  </si>
  <si>
    <t>36/60</t>
  </si>
  <si>
    <t>8106</t>
  </si>
  <si>
    <t xml:space="preserve">ANÁLISE DE ÁGUA DE 1 PONTO DE COLETA REF 02/2026.
</t>
  </si>
  <si>
    <t>749783014</t>
  </si>
  <si>
    <t>MAO DE OBRA EXTRA TERRAÇO DE 16 A 22 REF 02/2026</t>
  </si>
  <si>
    <t>749783290</t>
  </si>
  <si>
    <t>MAO DE OBRA EXTRA  DE 16 A 22 REF 02/2026</t>
  </si>
  <si>
    <t>749829406</t>
  </si>
  <si>
    <t>CACHE ARTISTAS PERIODO DE 16/02 A 22/02 REF 02/2026</t>
  </si>
  <si>
    <t>182026</t>
  </si>
  <si>
    <t xml:space="preserve"> REEMBOLSO EMERGENCIAL SOBRE COBRANCA INDEVIDA REF 02/2026</t>
  </si>
  <si>
    <t>VALE TRANSPORTE ROSANA REF 02/2025</t>
  </si>
  <si>
    <t>Claudia Christina Whitaker Ferreira</t>
  </si>
  <si>
    <t>PLOTAGEM PLANTA JACARE REF 02/2026</t>
  </si>
  <si>
    <t>192026</t>
  </si>
  <si>
    <t xml:space="preserve">TEC DE SOM E LUZ NO DIA 28/02 REF 02/2026
</t>
  </si>
  <si>
    <t>7753</t>
  </si>
  <si>
    <t>MATERIAL INSTITUCIONAL 01 CARDAPIO E 40 DISPLAYS REF 02/2026</t>
  </si>
  <si>
    <t>7752</t>
  </si>
  <si>
    <t>KLITEK ASSISTENCIA TECNICA DE INSTRUMENTOS DE PESAGEM LTDA</t>
  </si>
  <si>
    <t>2101</t>
  </si>
  <si>
    <t>CALIBRAÇÃO E MANUTENCAO DE BALANÇA REF 02/2026</t>
  </si>
  <si>
    <t xml:space="preserve">745740463 </t>
  </si>
  <si>
    <t>MAO DE OBRA EXTRA  DE 09/02  A 15/02 REF 02/2026</t>
  </si>
  <si>
    <t xml:space="preserve">745812123 </t>
  </si>
  <si>
    <t>CACHE ARTISTAS PERIODO 08/02 A 15/02  REF 02 /2026</t>
  </si>
  <si>
    <t>Rateamento de 127 - Jacaré (4.6291%)</t>
  </si>
  <si>
    <t>253</t>
  </si>
  <si>
    <t xml:space="preserve">MENSALIDADE USO DA PLATAFORMA BLUEME  REF 02/2026
</t>
  </si>
  <si>
    <t>02616482378</t>
  </si>
  <si>
    <t xml:space="preserve">AGUA / ESGOTO - FORNECIMENTO 86040784859513 REF 02 /2026
</t>
  </si>
  <si>
    <t>202616501829</t>
  </si>
  <si>
    <t xml:space="preserve">AGUA / ESGOTO - FORNECIMENTO 86040784860119 REF  02/2026
</t>
  </si>
  <si>
    <t>162026</t>
  </si>
  <si>
    <t xml:space="preserve">TEC DE SOM E LUZ NO DIA 21/02 REF  02/2026
</t>
  </si>
  <si>
    <t xml:space="preserve">2601090001  </t>
  </si>
  <si>
    <t>MANUTENCAO DO PARKLET SOLDA EM CHAPAS REF 02/2026</t>
  </si>
  <si>
    <t>022026</t>
  </si>
  <si>
    <t xml:space="preserve"> ALUGUEL DE IMOVEIS  REF 02 /2026
</t>
  </si>
  <si>
    <t>29PETTY022026</t>
  </si>
  <si>
    <t xml:space="preserve">FINAL 4559 - FLORES PARA SALAO REF 02/2026
</t>
  </si>
  <si>
    <t xml:space="preserve"> ALUGUEL DE IMOVEIS REF 02/2026</t>
  </si>
  <si>
    <t>740779538</t>
  </si>
  <si>
    <t xml:space="preserve">MAO DE OBRA EXTRA DE 02/02 A 08/02 REF 02/2026
</t>
  </si>
  <si>
    <t>740819870</t>
  </si>
  <si>
    <t>CACHE ARTISTAS PERIODO 02/02 A 08/02  REF  02/2026</t>
  </si>
  <si>
    <t>142026</t>
  </si>
  <si>
    <t>UBER REEMBOLSO DIA 06/02 REF 02/2026</t>
  </si>
  <si>
    <t>YELLOWGRAF SERVIÇOS LTDA</t>
  </si>
  <si>
    <t>3171</t>
  </si>
  <si>
    <t xml:space="preserve"> BOLACHAS DE CHOPP REF 02/2026</t>
  </si>
  <si>
    <t>132026</t>
  </si>
  <si>
    <t>REEMBOLSO COMPRA DE FLORES PARA O SALAO REF 02/2026</t>
  </si>
  <si>
    <t>152026</t>
  </si>
  <si>
    <t xml:space="preserve">TEC DE SOM E LUZ NOS DIAS 14/02 E 15/02 REF 02 /2026
</t>
  </si>
  <si>
    <t>13545022026</t>
  </si>
  <si>
    <t xml:space="preserve"> LALAMOVE ENTREGAS REF 02/2026</t>
  </si>
  <si>
    <t>755307006</t>
  </si>
  <si>
    <t>MAO DE OBRA EXTRA TERRAÇO DE 23/02 A 28/02 REF 02/2026</t>
  </si>
  <si>
    <t>MAO DE OBRA EXTRA DE 23/02 A 28//02 REF 02/2026</t>
  </si>
  <si>
    <t>1635</t>
  </si>
  <si>
    <t>ALIMENTOS COMPRA DE PAO MENSAL REF 01/2026</t>
  </si>
  <si>
    <t>755195089</t>
  </si>
  <si>
    <t xml:space="preserve"> CACHE ARTISTAS PERIODO 23/02 A 28/02 REF 02/2026</t>
  </si>
  <si>
    <t>734707543</t>
  </si>
  <si>
    <t xml:space="preserve">MAO DE OBRA EXTRA DE 26/01 A 01/02 REF 01/2026
</t>
  </si>
  <si>
    <t>21600 022026</t>
  </si>
  <si>
    <t>NOVO ADMITIDO COMP. 02/2026</t>
  </si>
  <si>
    <t>95748 022026</t>
  </si>
  <si>
    <t>240000 022026</t>
  </si>
  <si>
    <t>02/2026 - Flash Mensal - Jacaré</t>
  </si>
  <si>
    <t>PJ 60860093000156</t>
  </si>
  <si>
    <t>24</t>
  </si>
  <si>
    <t>DISTRATO GUILHERME DA PAIXÃO</t>
  </si>
  <si>
    <t>89828</t>
  </si>
  <si>
    <t xml:space="preserve"> Rateamento de 127 - Jacaré (7.69%)</t>
  </si>
  <si>
    <t>360796 022026</t>
  </si>
  <si>
    <t>7732</t>
  </si>
  <si>
    <t>MATERIAIS INSTITUCIONAIS - DISPLAY E MESA P/ CARNAVAL REF 02/2026</t>
  </si>
  <si>
    <t>24840 022026</t>
  </si>
  <si>
    <t>VT NOVO ADMITIDO COMP. 02/2026</t>
  </si>
  <si>
    <t>20765 022026</t>
  </si>
  <si>
    <t>1954</t>
  </si>
  <si>
    <t xml:space="preserve"> ASSESSORIA GERAL NUTRICIONISTA REF 03 /2026</t>
  </si>
  <si>
    <t xml:space="preserve">FINAL 4559 - MUSICA AMBIENTE REF 02 /2026
</t>
  </si>
  <si>
    <t>17953790</t>
  </si>
  <si>
    <t xml:space="preserve"> FINAL 4559 - SISTEMA DE MONITORAMENTO REF 02 /2026</t>
  </si>
  <si>
    <t>FINAL 1374 FACEBOOK REF 02/2026</t>
  </si>
  <si>
    <t>865</t>
  </si>
  <si>
    <t xml:space="preserve">LIMPEZA DO SISTEMA DE EXAUSTAO REF  02/2026
</t>
  </si>
  <si>
    <t>12415</t>
  </si>
  <si>
    <t xml:space="preserve">HASHTAG TV - MANUTENÇÃO E SUPORTE GERENCIAMENTO DE CONTEUDO - CONTRATO N. 2023/00017 REF  02/2026
</t>
  </si>
  <si>
    <t>MANUTENÇÃO PREVENTIVA REF 02/2026</t>
  </si>
  <si>
    <t xml:space="preserve">LOCACAO MAQUINA DE LAVAR LOUÇA REF 02/2026
</t>
  </si>
  <si>
    <t>3289-1791</t>
  </si>
  <si>
    <t>LOCACAO MAQUINA DE GELO REF  02/2026</t>
  </si>
  <si>
    <t>194</t>
  </si>
  <si>
    <t xml:space="preserve">FLARO LAVANDERIA REF 02 /2026
</t>
  </si>
  <si>
    <t>656</t>
  </si>
  <si>
    <t xml:space="preserve">ASSESSORIA DE IMPRENSA REF 02/2026
</t>
  </si>
  <si>
    <t>590</t>
  </si>
  <si>
    <t xml:space="preserve">AGENCIA DE PROPAGANDA MENSALIDADE SANDUICHE REF 02 /2026
</t>
  </si>
  <si>
    <t>1933</t>
  </si>
  <si>
    <t xml:space="preserve">REFERENTE AO SISTEMA BTAGS SOFTWARE: R 380,00 + IMPRESSORA: R 150,00 REF 02/2026
</t>
  </si>
  <si>
    <t>4453</t>
  </si>
  <si>
    <t>DEDETIZACAO CONTROLE DE PRAGAS REF  02/2026</t>
  </si>
  <si>
    <t>132</t>
  </si>
  <si>
    <t xml:space="preserve">MENSALIDADE - MANUTENÇÃO REF  02/2026
</t>
  </si>
  <si>
    <t>3250</t>
  </si>
  <si>
    <t xml:space="preserve"> ASSESSORIA - INVENTARIO REF 02 /2026</t>
  </si>
  <si>
    <t xml:space="preserve">58352 </t>
  </si>
  <si>
    <t xml:space="preserve">COLETA DE LIXO E RESIDUOS REF 01/2026
</t>
  </si>
  <si>
    <t>260226164936240</t>
  </si>
  <si>
    <t xml:space="preserve">  INTERNET SKY - PERIODO 02/02 A 01/03  REF 02/2026</t>
  </si>
  <si>
    <t xml:space="preserve">1528119287 </t>
  </si>
  <si>
    <t>TV ASSINATURA / MUSICA AMBIENTE - PERIODO 23/01 A 22/02 REF 02 /2026</t>
  </si>
  <si>
    <t>39033258</t>
  </si>
  <si>
    <t>ENERGIA ELETRICA INST 200414882 / N° CLIENTE 28498812 REF 02/2026</t>
  </si>
  <si>
    <t>8974</t>
  </si>
  <si>
    <t xml:space="preserve"> WIFI  CONVIDADOS GERENCIAMENTO DE REDE AUTENTICACAO DE ACESSOS DE USUARIOS REF 02/2026</t>
  </si>
  <si>
    <t>VIVO INTERNET REF  02/2026</t>
  </si>
  <si>
    <t xml:space="preserve"> MENSALIDADE ABRASEL REF 02/2026
</t>
  </si>
  <si>
    <t>139.039.702</t>
  </si>
  <si>
    <t xml:space="preserve">COMGAS - USUARIO 61695386 REF 02 /2026
</t>
  </si>
  <si>
    <t xml:space="preserve"> CLIENTE OCULTO REF 02/2026</t>
  </si>
  <si>
    <t>73167</t>
  </si>
  <si>
    <t>GET IN REF 02/2026</t>
  </si>
  <si>
    <t xml:space="preserve">10534 </t>
  </si>
  <si>
    <t xml:space="preserve">MENSALIDADE - CONTRATO : M146/24A RPS 14716 REF 02/2026
</t>
  </si>
  <si>
    <t>10527</t>
  </si>
  <si>
    <t>MENSALIDADE - CONTRATO : M146/24 RPS 14709  REF 02 /2026</t>
  </si>
  <si>
    <t>9166</t>
  </si>
  <si>
    <t>DESPESAS BANCARIAS - MENSALIDADE KAMINO REF 02/2026</t>
  </si>
  <si>
    <t>1PETTY022026</t>
  </si>
  <si>
    <t xml:space="preserve">FINAL 4559 - COCO PARA PRODUÇÃO NÃO CHEGOU NO PEDIDO  REF 02/2026
</t>
  </si>
  <si>
    <t>8PETTY022026</t>
  </si>
  <si>
    <t xml:space="preserve">FINAL 4559 - POLENTA PARA PRODUCAO  REF 02/2026
</t>
  </si>
  <si>
    <t>2PETTY022026</t>
  </si>
  <si>
    <t xml:space="preserve"> FINAL 4559 - COPOS PARA OPERACAO REF 02/2026
</t>
  </si>
  <si>
    <t>3PETTY022026</t>
  </si>
  <si>
    <t>4PETTY022026</t>
  </si>
  <si>
    <t xml:space="preserve">FINAL 4559 - ALIMENTOS PARA PRODUCAO REF 02/2026
</t>
  </si>
  <si>
    <t>5PETTY022026</t>
  </si>
  <si>
    <t xml:space="preserve">FINAL 4559 - MAMAO PARA PRODUCAO  REF 02/2026
</t>
  </si>
  <si>
    <t>6PETTY022026</t>
  </si>
  <si>
    <t xml:space="preserve">FINAL 4559 - COALA PARA O SALAO REF 02/2026
</t>
  </si>
  <si>
    <t>7PETTY022026</t>
  </si>
  <si>
    <t xml:space="preserve">FINAL 4559 - SBP PARA O SALAO REF 02/2026
</t>
  </si>
  <si>
    <t xml:space="preserve">Gorjeta referente ao período de 20/01/2026 a 19/02/2026						
</t>
  </si>
  <si>
    <t>19PETTY022026</t>
  </si>
  <si>
    <t xml:space="preserve">FINAL 4559 - AROMATIZANTE PARA O SALAO REF 02/2026
</t>
  </si>
  <si>
    <t>89832</t>
  </si>
  <si>
    <t>89831</t>
  </si>
  <si>
    <t>31</t>
  </si>
  <si>
    <t>COMISSÃO DE EVENTOS COMP. 02/2026</t>
  </si>
  <si>
    <t>PJ 49877008000120</t>
  </si>
  <si>
    <t>61</t>
  </si>
  <si>
    <t xml:space="preserve">MAO DE OBRA EXTRA - CBB </t>
  </si>
  <si>
    <t>ANALISTA DE MARKETING</t>
  </si>
  <si>
    <t xml:space="preserve">  - Analista</t>
  </si>
  <si>
    <t>10PETTY022026</t>
  </si>
  <si>
    <t xml:space="preserve">FINAL 4559 - DECORAÇÃO DE CARNAVAL REF 02/2026
</t>
  </si>
  <si>
    <t xml:space="preserve">SALÁRIO PJ 
</t>
  </si>
  <si>
    <t>32PETTY022026</t>
  </si>
  <si>
    <t xml:space="preserve">FINAL 4559 - MORANGO PARA PRODUÇÃO NÃO CHEGOU NO PEDIDO  REF 02/2026
</t>
  </si>
  <si>
    <t>31PETTY022026</t>
  </si>
  <si>
    <t xml:space="preserve">FINAL 4559 - LIMAO PARA PRODUÇÃO NÃO CHEGOU NO PEDIDO  REF 02/2026
</t>
  </si>
  <si>
    <t>30PETTY022026</t>
  </si>
  <si>
    <t xml:space="preserve">FINAL 4559 - BANANA PARA PRODUÇÃO NÃO CHEGOU NO PEDIDO  REF 02/2026
</t>
  </si>
  <si>
    <t>28PETTY022026</t>
  </si>
  <si>
    <t xml:space="preserve">FINAL 4559 - PROLONGADOR MAT PARA MANUTENCAO PREVENTIVA REF 02/2026
</t>
  </si>
  <si>
    <t>27PETTY022026</t>
  </si>
  <si>
    <t xml:space="preserve">FINAL 4559 - LAMPADAS MAT PARA MANUTENCAO PREVENTIVA REF 02/2026
</t>
  </si>
  <si>
    <t>26PETTY022026</t>
  </si>
  <si>
    <t xml:space="preserve">FINAL 4559 - MEXERICA PARA PRODUÇÃO NÃO CHEGOU NO PEDIDO  REF 02/2026
</t>
  </si>
  <si>
    <t>25PETTY022026</t>
  </si>
  <si>
    <t xml:space="preserve">FINAL 4559 - MARGARINA PARA PRODUÇÃO NÃO CHEGOU NO PEDIDO  REF 02/2026
</t>
  </si>
  <si>
    <t>24PETTY02026</t>
  </si>
  <si>
    <t>23PETTY022026</t>
  </si>
  <si>
    <t xml:space="preserve">FINAL 4559 - ETANOL HIDRATADO PARA HIGIENE E LIMPEZA  REF 02/2026
</t>
  </si>
  <si>
    <t>22PETTY022026</t>
  </si>
  <si>
    <t>21PETTY022026</t>
  </si>
  <si>
    <t xml:space="preserve">FINAL 4559 - LICOR PARA O BAR NÃO VEIO NO PEDIDO REF 02/2026
</t>
  </si>
  <si>
    <t>20PETTY022026</t>
  </si>
  <si>
    <t xml:space="preserve">FINAL 4559 - TEMPEROS PARA PRODUÇÃO NÃO CHEGOU NO PEDIDO  REF 02/2026
</t>
  </si>
  <si>
    <t>18PETTY022026</t>
  </si>
  <si>
    <t xml:space="preserve">FINAL 4559 - NYLON PARA DECORACAO  REF 02/2026
</t>
  </si>
  <si>
    <t>17PETTY022026</t>
  </si>
  <si>
    <t>16PETTY022026</t>
  </si>
  <si>
    <t xml:space="preserve">FINAL 4559 - FITAS PARA DECORACAO  REF 02/2026
</t>
  </si>
  <si>
    <t>15PETTY022026</t>
  </si>
  <si>
    <t xml:space="preserve">FINAL 4559 - POLENTA PARA PRODUÇÃO NÃO CHEGOU NO PEDIDO  REF 02/2026
</t>
  </si>
  <si>
    <t>14PETTY022026</t>
  </si>
  <si>
    <t>13PETTY022026</t>
  </si>
  <si>
    <t xml:space="preserve">FINAL 4559 - FARINHA PARA PRODUÇÃO NÃO CHEGOU NO PEDIDO  REF 02/2026
</t>
  </si>
  <si>
    <t>12PETTY022026</t>
  </si>
  <si>
    <t>11PETTY022026</t>
  </si>
  <si>
    <t>9PETTY022026</t>
  </si>
  <si>
    <t xml:space="preserve">73513776 </t>
  </si>
  <si>
    <t xml:space="preserve"> CACHE ARTISTAS PERIODO DE 26/01 A 31/01   REF    01/2026</t>
  </si>
  <si>
    <t>5173012026</t>
  </si>
  <si>
    <t xml:space="preserve"> LALAMOVE ENTREGAS REF 01/2026</t>
  </si>
  <si>
    <t xml:space="preserve">   TAXA DELIVERY</t>
  </si>
  <si>
    <t>4 Trimestre</t>
  </si>
  <si>
    <t>3º Cota - 01 CSLL - LUCRO PRESUMIDO OU ARBITRADO - ENTIDADE - DARF NA MATRIZ BB GRANJA
PA:4º Trimestre/2025 Vencimento:31/03/2026</t>
  </si>
  <si>
    <t>970</t>
  </si>
  <si>
    <t>JAN2026</t>
  </si>
  <si>
    <t xml:space="preserve"> ISS</t>
  </si>
  <si>
    <t>Janeiro/2026</t>
  </si>
  <si>
    <t xml:space="preserve"> INSS Segurados</t>
  </si>
  <si>
    <t>06 IRRF - REMUNER SERV PRESTADOS POR PJ
PA:01/2026 Vencimento:20/02/2026</t>
  </si>
  <si>
    <t>DARF NA MATRIZ DO CNPJ</t>
  </si>
  <si>
    <t>DARF NO CNPJ MATRIZ</t>
  </si>
  <si>
    <t>07 RET DE CONTRIBUICOES PAGT PJ A PJ DE DIR PRIV
PA:01/2026 Vencimento:20/02/2026</t>
  </si>
  <si>
    <t>GUIA RECALCULADA</t>
  </si>
  <si>
    <t>35/60</t>
  </si>
  <si>
    <t>729479104</t>
  </si>
  <si>
    <t xml:space="preserve">MAO DE OBRA EXTRA DE 19/01 A 25/01  REF 01/2026
</t>
  </si>
  <si>
    <t>729347771</t>
  </si>
  <si>
    <t>CACHE ARTISTAS PERIODO 19/01 A 25/01 SHOWS NO DIA 24/01  REF   01 /2026</t>
  </si>
  <si>
    <t>112026</t>
  </si>
  <si>
    <t xml:space="preserve">TEC DE SOM E LUZ NO DIA 24/01 REF  01/2026
</t>
  </si>
  <si>
    <t>FERNANDO ARAUJO DA SILVA</t>
  </si>
  <si>
    <t>98</t>
  </si>
  <si>
    <t>COMPRA 40LTS GLICOL REF 01/2026</t>
  </si>
  <si>
    <t xml:space="preserve">724328015 </t>
  </si>
  <si>
    <t xml:space="preserve"> CACHE ARTISTAS PERIODO 12/01 A 18/01  REF   01 /2026</t>
  </si>
  <si>
    <t>2064</t>
  </si>
  <si>
    <t>CALIBRAÇÃO E MANUTENCAO DE BALANÇA REF 01/2026</t>
  </si>
  <si>
    <t xml:space="preserve">724377721 </t>
  </si>
  <si>
    <t xml:space="preserve">MAO DE OBRA EXTRA DE 12/01 A 18/01 REF 01/2026
</t>
  </si>
  <si>
    <t xml:space="preserve">724376764 </t>
  </si>
  <si>
    <t>MAO DE OBRA EXTRA  TERRAÇO DE 12/01 A 18/01  REF 01/2026</t>
  </si>
  <si>
    <t>ALENICE DE OLIVEIRA SOUZA</t>
  </si>
  <si>
    <t>ALLANA PEDROSA RODRIGUES POMPILIO</t>
  </si>
  <si>
    <t>239</t>
  </si>
  <si>
    <t>MENSALIDADE USO DA PLATAFORMA BLUEME  REF 01 /2026</t>
  </si>
  <si>
    <t>JOVANNA DA SILVA SOUZA</t>
  </si>
  <si>
    <t xml:space="preserve">20266520960 </t>
  </si>
  <si>
    <t xml:space="preserve">AGUA / ESGOTO - FORNECIMENTO 86040784860119 REF  01/2026
</t>
  </si>
  <si>
    <t>20266522793</t>
  </si>
  <si>
    <t xml:space="preserve">AGUA / ESGOTO - FORNECIMENTO 86040784859513 REF  01/2026
</t>
  </si>
  <si>
    <t>240012026</t>
  </si>
  <si>
    <t>COMPRA TV BOX P/ AQUARIO STREAMING SKY REF 01/2026</t>
  </si>
  <si>
    <t>TRANSPORTE TAXI OU APLICATIVO - UBER/LALAMOVE/99 E DEMAIS</t>
  </si>
  <si>
    <t xml:space="preserve">Transporte de modem com chip para o Jacaré .
</t>
  </si>
  <si>
    <t>719168524</t>
  </si>
  <si>
    <t xml:space="preserve"> CACHE ARTISTAS PERIODO 05/01 A 11/01 REF 01/2026</t>
  </si>
  <si>
    <t>719044348</t>
  </si>
  <si>
    <t xml:space="preserve"> MAO DE OBRA EXTRA DE 05/01 A  11/01 REF 01/2026
</t>
  </si>
  <si>
    <t>012026</t>
  </si>
  <si>
    <t xml:space="preserve"> ALUGUEL DE IMOVEIS  REF  01/2026
</t>
  </si>
  <si>
    <t>ALUGUEL DE IMOVEIS REF 01/2026</t>
  </si>
  <si>
    <t>SEGUROS SURA S/A</t>
  </si>
  <si>
    <t>PARC 6/6</t>
  </si>
  <si>
    <t>RATEIO - SEGURO PATRIMONIAL - APOLICE 150306</t>
  </si>
  <si>
    <t>102026</t>
  </si>
  <si>
    <t xml:space="preserve">TEC DE SOM E LUZ NO DIA 17/01 REF 01/2026
</t>
  </si>
  <si>
    <t>1593</t>
  </si>
  <si>
    <t xml:space="preserve"> COMPRA DE PAO FRANCES REF 01/2026</t>
  </si>
  <si>
    <t>FLARO LAVANDERIA</t>
  </si>
  <si>
    <t>173</t>
  </si>
  <si>
    <t>FLARO LAVANDERIA REF 01/2026</t>
  </si>
  <si>
    <t>6PETTY012026</t>
  </si>
  <si>
    <t xml:space="preserve">FINAL 4559 - PANOS E AGUA SANITARIA NÃO CHEGOU NO PEDIDO  REF 01/2026
</t>
  </si>
  <si>
    <t>554238 012026</t>
  </si>
  <si>
    <t>VT SP TRANS 01/2026</t>
  </si>
  <si>
    <t xml:space="preserve">262872515 </t>
  </si>
  <si>
    <t>PAGO EM DUPLICIDADE NO BANCO DO ARCOS</t>
  </si>
  <si>
    <t>1PETTY012026</t>
  </si>
  <si>
    <t xml:space="preserve">FINAL 4559 - MANGA PARA PRODUÇÃO NÃO CHEGOU NO PEDIDO  REF 01/2026
</t>
  </si>
  <si>
    <t>2PETTY012026</t>
  </si>
  <si>
    <t xml:space="preserve">FINAL 4559 - CALABRESA PARA PRODUÇÃO NÃO CHEGOU NO PEDIDO  REF 01/2026
</t>
  </si>
  <si>
    <t>3PETTY012026</t>
  </si>
  <si>
    <t xml:space="preserve">FINAL 4559 - LIMAO PARA PRODUÇÃO NÃO CHEGOU NO PEDIDO  REF 01/2026
</t>
  </si>
  <si>
    <t>5PETTY012026</t>
  </si>
  <si>
    <t xml:space="preserve">FINAL 4559 - BANANA PARA PRODUÇÃO NÃO CHEGOU NO PEDIDO  REF 01/2026
</t>
  </si>
  <si>
    <t>108874 012026</t>
  </si>
  <si>
    <t>VT TOP 01/2026</t>
  </si>
  <si>
    <t>17650707</t>
  </si>
  <si>
    <t xml:space="preserve"> FINAL 4559 - SISTEMA DE MONITORAMENTO REF  01/2026</t>
  </si>
  <si>
    <t xml:space="preserve">FINAL 4559 - MUSICA AMBIENTE REF  01/2026
</t>
  </si>
  <si>
    <t>8265</t>
  </si>
  <si>
    <t>082026</t>
  </si>
  <si>
    <t>REEMBOLSO COMPRA DE ALIMENTOS PARA PRODUCAO REF 01/2026</t>
  </si>
  <si>
    <t>292000 012026</t>
  </si>
  <si>
    <t>20765 012026</t>
  </si>
  <si>
    <t>22401 012026</t>
  </si>
  <si>
    <t xml:space="preserve">01-2026 - FGTS Rescisório </t>
  </si>
  <si>
    <t>272117 012026</t>
  </si>
  <si>
    <t>01/2026 - Rescisão Término de Contrato - 31/01/2026.</t>
  </si>
  <si>
    <t>10254</t>
  </si>
  <si>
    <t xml:space="preserve"> MENSALIDADE - CONTRATO : M146/24 RPS 14436 REF 01/2026</t>
  </si>
  <si>
    <t>92026</t>
  </si>
  <si>
    <t xml:space="preserve"> TEC DE SOM E LUZ NOS DIAS REF  /2026
</t>
  </si>
  <si>
    <t>GILSON SZRAJBMAN</t>
  </si>
  <si>
    <t>5000012026</t>
  </si>
  <si>
    <t xml:space="preserve"> REFORMA PARKLET SEGUNDA PARTE DA REFORMA REF 01/2026
</t>
  </si>
  <si>
    <t>1877</t>
  </si>
  <si>
    <t xml:space="preserve"> ASSESSORIA GERAL NUTRICIONISTA REF  01/2026</t>
  </si>
  <si>
    <t xml:space="preserve">SISTEMA BTAGS SOFTWARE: R 380,00 + IMPRESSORA: R 150,00 REF  01 /2026
</t>
  </si>
  <si>
    <t>579</t>
  </si>
  <si>
    <t xml:space="preserve">   AGENCIA DE PROPAGANDA MENSALIDADE SANDUICHE REF  01/2026
</t>
  </si>
  <si>
    <t>640</t>
  </si>
  <si>
    <t xml:space="preserve">ASSESSORIA DE IMPRENSA REF 01/2026
</t>
  </si>
  <si>
    <t>13363809</t>
  </si>
  <si>
    <t xml:space="preserve">FINAL 2190 - RATEIO ZENDESK CARTÃO DE CRÉDITO ESCRITÓRIO REF  01/2026
</t>
  </si>
  <si>
    <t xml:space="preserve">   FINAL 2190 - RATEIO TYPFORM CARTÃO DE CRÉDITO ESCRITÓRIO REF 01 /2026</t>
  </si>
  <si>
    <t>MANUTENÇÃO PREVENTIVA REF /2026</t>
  </si>
  <si>
    <t>12288</t>
  </si>
  <si>
    <t xml:space="preserve">HASHTAG TV - MANUTENÇÃO E SUPORTE GERENCIAMENTO DE CONTEUDO - CONTRATO N. 2023/00017 REF  01/2026
</t>
  </si>
  <si>
    <t>22PETTY012026</t>
  </si>
  <si>
    <t xml:space="preserve"> FINAL 4559 - VARAL DE LUZES  REF 01/2026</t>
  </si>
  <si>
    <t>COMISSAO DE EVENTOS - COMP. 01/2026</t>
  </si>
  <si>
    <t>22</t>
  </si>
  <si>
    <t>GORJETA  PERIODO 20/12/2025 A 19/01/2026</t>
  </si>
  <si>
    <t>9</t>
  </si>
  <si>
    <t>FINAL 1374 FACEBOOK REF 01/2026</t>
  </si>
  <si>
    <t>16PETTY012026</t>
  </si>
  <si>
    <t>8PETTY012026</t>
  </si>
  <si>
    <t xml:space="preserve">FINAL 4559 - CALIBRACAO DE TERMOMETRO REF 01/2026
</t>
  </si>
  <si>
    <t>9PETTY012026</t>
  </si>
  <si>
    <t xml:space="preserve">FINAL 4559 -CARVAO ACABOU ANTES DA ULTIMA COMPRA REF 01/2026
</t>
  </si>
  <si>
    <t>10PETTY012026</t>
  </si>
  <si>
    <t xml:space="preserve">FINAL 4559 - FLORES PARA SALAO REF 01/2026
</t>
  </si>
  <si>
    <t>11PETTY012026</t>
  </si>
  <si>
    <t xml:space="preserve">FINAL 4559 - MORANGO PARA PRODUÇÃO NÃO CHEGOU NO PEDIDO  REF 01/2026
</t>
  </si>
  <si>
    <t>12PETTY012026</t>
  </si>
  <si>
    <t>13PETTY012026</t>
  </si>
  <si>
    <t xml:space="preserve"> FINAL 4559 - MAT PARA MANUTENCAO PREVENTIVA REF 01/2026
</t>
  </si>
  <si>
    <t>14PETTY012026</t>
  </si>
  <si>
    <t xml:space="preserve">FINAL 4559 - ALFACE PARA PRODUÇÃO NÃO CHEGOU NO PEDIDO  REF 01/2026
</t>
  </si>
  <si>
    <t>15PETTY012026</t>
  </si>
  <si>
    <t xml:space="preserve">FINAL 4559 - BACON PARA PRODUÇÃO NÃO CHEGOU NO PEDIDO  REF 01/2026
</t>
  </si>
  <si>
    <t>7PETTY012026</t>
  </si>
  <si>
    <t xml:space="preserve">FINAL 4559 - ACUCAR PARA PRODUÇÃO NÃO CHEGOU NO PEDIDO  REF 01/2026
</t>
  </si>
  <si>
    <t>17PETTY012026</t>
  </si>
  <si>
    <t xml:space="preserve">FINAL 4559 - POTES  REF 01/2026
</t>
  </si>
  <si>
    <t>18PETTY012026</t>
  </si>
  <si>
    <t xml:space="preserve">FINAL 4559 - COCO PARA PRODUÇÃO NÃO CHEGOU NO PEDIDO  REF 01/2026
</t>
  </si>
  <si>
    <t>19PETTY012026</t>
  </si>
  <si>
    <t>4PETTY012026</t>
  </si>
  <si>
    <t>476537 012026</t>
  </si>
  <si>
    <t xml:space="preserve">01/2026 _Férias Abono Pecuniário
</t>
  </si>
  <si>
    <t>3153</t>
  </si>
  <si>
    <t xml:space="preserve">  ASSESSORIA - INVENTARIO REF  01/2026</t>
  </si>
  <si>
    <t>21PETTY012026</t>
  </si>
  <si>
    <t>FINAL 4559 -MATERIAL DE MANUTENCAO PREVENTIVA REF 01/2026</t>
  </si>
  <si>
    <t>33PETTY012026</t>
  </si>
  <si>
    <t xml:space="preserve"> FINAL 4559 - REEMBOLSO MERCADO LIVRE REF 01/2026</t>
  </si>
  <si>
    <t>4352</t>
  </si>
  <si>
    <t>DEDETIZAÇÃO</t>
  </si>
  <si>
    <t>CLIENTE OCULTO REF 01/2026</t>
  </si>
  <si>
    <t>BOL 174265</t>
  </si>
  <si>
    <t>MENSALIDADE ABRASEL</t>
  </si>
  <si>
    <t>71852</t>
  </si>
  <si>
    <t>GET IN</t>
  </si>
  <si>
    <t>123</t>
  </si>
  <si>
    <t>MENSALIDADE - MANUTENÇÃO</t>
  </si>
  <si>
    <t>4931</t>
  </si>
  <si>
    <t xml:space="preserve"> IMPRESSORA REF 12/2025</t>
  </si>
  <si>
    <t>FAT 3289-176/1</t>
  </si>
  <si>
    <t>LOCACAO MAQUINA DE GELO</t>
  </si>
  <si>
    <t>8879</t>
  </si>
  <si>
    <t>WIFI CONVIDADOS</t>
  </si>
  <si>
    <t>1852844176380844</t>
  </si>
  <si>
    <t xml:space="preserve"> LOCACAO MAQUINA DE LAVAR LOUÇA REF 01/2026</t>
  </si>
  <si>
    <t>23</t>
  </si>
  <si>
    <t>4R AMBIENTAL LOCACAO DE EQUIPAMENTOS EIRELI</t>
  </si>
  <si>
    <t xml:space="preserve">219101 </t>
  </si>
  <si>
    <t>COLETA DE LIXO REF 01/2026</t>
  </si>
  <si>
    <t>2015946389</t>
  </si>
  <si>
    <t>VIVO INTERNET REF 01 /2026</t>
  </si>
  <si>
    <t>137393596</t>
  </si>
  <si>
    <t>COMGAS - 751,20 M3</t>
  </si>
  <si>
    <t>30407668</t>
  </si>
  <si>
    <t>ENERGIA ELETRICA INST 200414882 / N° CLIENTE 28498812 REF 01/2026</t>
  </si>
  <si>
    <t>402473108943</t>
  </si>
  <si>
    <t xml:space="preserve"> TV ASSINATURA / MUSICA AMBIENTE - PERIODO 23/12 A 22/01 REF 01/2026</t>
  </si>
  <si>
    <t xml:space="preserve">DAZN.COM </t>
  </si>
  <si>
    <t>CANAL PARA JOGOS DA NFL REF 01/2026</t>
  </si>
  <si>
    <t>317547 012026</t>
  </si>
  <si>
    <t>01/2026 - Pedido Demissão 26/01/2026</t>
  </si>
  <si>
    <t>849</t>
  </si>
  <si>
    <t xml:space="preserve">LIMPEZA DO SISTEMA DE EXAUSTAO REF 01/2026
</t>
  </si>
  <si>
    <t>63901894000100</t>
  </si>
  <si>
    <t>SUB CHEFE DE COZINHA</t>
  </si>
  <si>
    <t>317900 012026</t>
  </si>
  <si>
    <t xml:space="preserve">  01/2026 - PEDIDO DEMISSÃO - 26/01/2026.</t>
  </si>
  <si>
    <t>10264</t>
  </si>
  <si>
    <t xml:space="preserve"> MENSALIDADE - CONTRATO : M146/24A RPS 14446REF 01/2026
</t>
  </si>
  <si>
    <t xml:space="preserve">260128132920239 </t>
  </si>
  <si>
    <t xml:space="preserve"> INTERNET SKY - PERIODO 02/01 A 01/02  REF 01/2026</t>
  </si>
  <si>
    <t>154549 012026</t>
  </si>
  <si>
    <t xml:space="preserve">713436809 </t>
  </si>
  <si>
    <t xml:space="preserve">MAO DE OBRA EXTRA DE 29/12 A 31/12 REF 12/2025
</t>
  </si>
  <si>
    <t>CSLL 2º COTA</t>
  </si>
  <si>
    <t xml:space="preserve">   DARF NO CNPJ MATRIZ</t>
  </si>
  <si>
    <t>DEZ2025</t>
  </si>
  <si>
    <t>300000 122025</t>
  </si>
  <si>
    <t>12/2025 mensal Jacaré</t>
  </si>
  <si>
    <t>Dezembro/2025</t>
  </si>
  <si>
    <t>PIS  - 4 TRIMESTRE PAGO ID MATRIZ 146690</t>
  </si>
  <si>
    <t>COFINS - 4 TRIMESTRE - PAGO PELO ID MATRIZ 146706</t>
  </si>
  <si>
    <t>4º Trimestre</t>
  </si>
  <si>
    <t>1º Cota - 01 IRPJ - LUCRO PRESUMIDO
PA:4º Trimestre/2025 Vencimento:30/01/2026</t>
  </si>
  <si>
    <t>1º Cota - 01 CSLL - LUCRO PRESUMIDO OU ARBITRADO - ENTIDADE PA:4º Trimestre/2025 Vencimento:30/01/2026</t>
  </si>
  <si>
    <t>122025</t>
  </si>
  <si>
    <t>TAXA DELIVERY</t>
  </si>
  <si>
    <t>34/60</t>
  </si>
  <si>
    <t>IRPJ 2º COTA</t>
  </si>
  <si>
    <t xml:space="preserve">  2º Cota - 01 IRPJ - LUCRO PRESUMIDO - DARF NO CNPJ MATRIZ</t>
  </si>
  <si>
    <t>3º Cota - 01 IRPJ - LUCRO PRESUMIDO - DARF NA MATRIZ BB GRANJA</t>
  </si>
  <si>
    <t>85978</t>
  </si>
  <si>
    <t>Exames Periodicos</t>
  </si>
  <si>
    <t xml:space="preserve">SALARIO 12/2025 - GORJETA ALENICE DE OLIVEIRA SOUZA </t>
  </si>
  <si>
    <t>Taxa Sobre Adquirência Integrada</t>
  </si>
  <si>
    <t>223</t>
  </si>
  <si>
    <t>MENSALIDADE USO DA PLATAFORMA BLUEME 12/2025</t>
  </si>
  <si>
    <t>1558</t>
  </si>
  <si>
    <t xml:space="preserve">REFERENTE AO SISTEMA BTAGS SOFTWARE: R 380,00 + IMPRESSORA: R 150,00 REF 12/2025
</t>
  </si>
  <si>
    <t xml:space="preserve">696445466 </t>
  </si>
  <si>
    <t>CACHE ARTISTAS PERIODO 01/12 A 07/12  REF 12/2025</t>
  </si>
  <si>
    <t xml:space="preserve">709358290 </t>
  </si>
  <si>
    <t>MAO DE OBRA EXTRA DE 22/12 A 28/12 SALAO REF 12/2025</t>
  </si>
  <si>
    <t>(Rescindido) PARC 33/60 - PARCELAMENTO IPTU - 081.171.0011-8 EXERCICIO 21-17-18-19-20-22</t>
  </si>
  <si>
    <t>IRRF PRESTADOR PJ - 10035 MACRO CONTABILIDADE</t>
  </si>
  <si>
    <t>Rebate de taxa referente ao mês 12</t>
  </si>
  <si>
    <t xml:space="preserve">706159896 </t>
  </si>
  <si>
    <t>CACHE ARTISTAS PERIODO 15/12 A 21/12 REF 12/2025</t>
  </si>
  <si>
    <t>706036939</t>
  </si>
  <si>
    <t>MAO DE OBRA EXTRA DE 15/12 A 21/12 TERRACO REF 12/2025</t>
  </si>
  <si>
    <t>042025</t>
  </si>
  <si>
    <t>COMPRA DE INSUMOS EMERGENCIAIS PARA PRODUÇÃO REF 12/2025</t>
  </si>
  <si>
    <t xml:space="preserve">706037598 </t>
  </si>
  <si>
    <t>MAO DE OBRA EXTRA DE 15/12 A 21/12 GRILL REF 12/2025</t>
  </si>
  <si>
    <t>072025</t>
  </si>
  <si>
    <t>TEC DE SOM E LUZ NOS DIA16,19,20 e 21/12 REF 12/2025</t>
  </si>
  <si>
    <t>3081</t>
  </si>
  <si>
    <t>ASSESSORIA GERAL - INVENTARIO 05/2025</t>
  </si>
  <si>
    <t>12156</t>
  </si>
  <si>
    <t>HASHTAG TV - MANUTENÇÃO E SUPORTE GERENCIAMENTO DE CONTEUDO - CONTRATO N. 2023/00017 REF 12/2025</t>
  </si>
  <si>
    <t>701249506</t>
  </si>
  <si>
    <t>CACHE ARTISTAS PERIODO 08/12 A 14/12 REF 12/2025</t>
  </si>
  <si>
    <t>022025</t>
  </si>
  <si>
    <t>TEC DE SOM E LUZ NOS DIA 10-11-12-13 E 14/12/2025</t>
  </si>
  <si>
    <t>INSTITUTO SOU DA PAZ</t>
  </si>
  <si>
    <t>062025</t>
  </si>
  <si>
    <t>REEMBOLSO DE CLIENTE EVENTO 08/11 PAGAMENTO A MAIOR REF 12/2025</t>
  </si>
  <si>
    <t>42050</t>
  </si>
  <si>
    <t xml:space="preserve">   COMPRA DE UNIFORMES OPERAÇÃO 12/2025</t>
  </si>
  <si>
    <t>701339562</t>
  </si>
  <si>
    <t>MAO DE OBRA EXTRA DE 08/12 A 14/12 GRILL  REF 12/2025</t>
  </si>
  <si>
    <t xml:space="preserve">701339971 </t>
  </si>
  <si>
    <t>ALUGUEL DE IMOVEIS - 12/2025</t>
  </si>
  <si>
    <t>PARC 5/6</t>
  </si>
  <si>
    <t xml:space="preserve">ALUGUEL DE IMOVEIS - 12/2025
</t>
  </si>
  <si>
    <t>95</t>
  </si>
  <si>
    <t>COMPRA 20LTS GLICOL REF 12/2025</t>
  </si>
  <si>
    <t xml:space="preserve">6965011472  </t>
  </si>
  <si>
    <t>MAO DE OBRA EXTRA DE 01/12 A 07/12 REF 12/2025</t>
  </si>
  <si>
    <t>012025</t>
  </si>
  <si>
    <t>TEC DE SOM E LUZ NOS DIA 05-06 E 07/12/2025</t>
  </si>
  <si>
    <t>032025</t>
  </si>
  <si>
    <t>REEMBOLSO COMPRA DE FLORES PARA O SALAO REF 12/2025</t>
  </si>
  <si>
    <t>696501867</t>
  </si>
  <si>
    <t xml:space="preserve">402451942271 </t>
  </si>
  <si>
    <t>TV ASSINATURA / MUSICA AMBIENTE - PERIODO 23/11 A 22/12  REF 12/2025</t>
  </si>
  <si>
    <t xml:space="preserve">402455285251 </t>
  </si>
  <si>
    <t>INTERNET SKY - PERIODO 02/12 A 01/01 REF 12/2025</t>
  </si>
  <si>
    <t>BUSINESS TO SUCESS LTDA</t>
  </si>
  <si>
    <t>FERRAMENTO FALAÊ (CONTRATO 9 LOJAS RATEADO) - 05/2025</t>
  </si>
  <si>
    <t>10035</t>
  </si>
  <si>
    <t>MENSALIDADE - Contrato: M146/24A RPS 14211 REF 12/2025</t>
  </si>
  <si>
    <t>10044</t>
  </si>
  <si>
    <t>MENSALIDADE - Contrato: M146/24A RPS  14220 REF 12/2025</t>
  </si>
  <si>
    <t>4801</t>
  </si>
  <si>
    <t>IMPRESSORA - 438 unidades Valor unitário das páginas: R$ 0,06 Equipamento: 1 unidade Valor total: R$ 131,15</t>
  </si>
  <si>
    <t>8744</t>
  </si>
  <si>
    <t>3289-173/1</t>
  </si>
  <si>
    <t>53871</t>
  </si>
  <si>
    <t xml:space="preserve">COLETA DE LIXO - 175 SACOS </t>
  </si>
  <si>
    <t>70537</t>
  </si>
  <si>
    <t>168365</t>
  </si>
  <si>
    <t>MENSALIDADE ABRASEL 12/2025</t>
  </si>
  <si>
    <t>FINAL 2190 - RATEIO ZENDESK CARTÃO DE CRÉDITO ESCRITÓRIO 12/2025</t>
  </si>
  <si>
    <t>FINAL 2190 - RATEIO TYPFORM CARTÃO DE CRÉDITO ESCRITÓRIO 12/2025</t>
  </si>
  <si>
    <t xml:space="preserve">021621495 </t>
  </si>
  <si>
    <t>ENERGIA ELETRICA INST 200414882 / N° CLIENTE 28498812  REF 12/2025</t>
  </si>
  <si>
    <t>GORJETA COMP. 20/11 A 19/12</t>
  </si>
  <si>
    <t>COMISSÃO EVENTOS COMP. 12/2025</t>
  </si>
  <si>
    <t>PJ 60647157000135</t>
  </si>
  <si>
    <t>GORJETA AFONSO COMP. 20/11 A 19/12</t>
  </si>
  <si>
    <t>29PETTY122025</t>
  </si>
  <si>
    <t xml:space="preserve">FINAL 4559 - FLORES REF 12/2025
</t>
  </si>
  <si>
    <t>FINAL 4559 - SISTEMA DE MONITORAMENTO REF 12/2025</t>
  </si>
  <si>
    <t>BOL 6953827</t>
  </si>
  <si>
    <t xml:space="preserve">(+/-) RECEITAS/ DESPESAS FINANCEIRAS (MENSALIDADE KAMINO) </t>
  </si>
  <si>
    <t>FINAL 4559 - MUSICA AMBIENTE REF 12/2025</t>
  </si>
  <si>
    <t xml:space="preserve">FINAL 1374 FACEBOOK REF 12/2025
</t>
  </si>
  <si>
    <t>4255</t>
  </si>
  <si>
    <t>2025125535482</t>
  </si>
  <si>
    <t>AGUA / ESGOTO - 89,25 m3</t>
  </si>
  <si>
    <t>2025125533910</t>
  </si>
  <si>
    <t>AGUA / ESGOTO - 13,66 m3</t>
  </si>
  <si>
    <t xml:space="preserve">GOOGLE BRASIL INTERNET LTDA </t>
  </si>
  <si>
    <t>FINAL 1374 GOOGLE ADS REF 12/2025</t>
  </si>
  <si>
    <t>VIVO INTERNET</t>
  </si>
  <si>
    <t>135725555</t>
  </si>
  <si>
    <t xml:space="preserve">COMGAS </t>
  </si>
  <si>
    <t>567</t>
  </si>
  <si>
    <t>MENSALIDADE SANDUICHE</t>
  </si>
  <si>
    <t>627</t>
  </si>
  <si>
    <t>ASSESSORIA DE IMPRENSA ref 12/2025</t>
  </si>
  <si>
    <t>1801</t>
  </si>
  <si>
    <t>HEADCHEF - NUTRICIONISTA</t>
  </si>
  <si>
    <t>653</t>
  </si>
  <si>
    <t>CLIENTE OCULTO - 12/2025</t>
  </si>
  <si>
    <t>4213,17 132025</t>
  </si>
  <si>
    <t>13/2025 - Guia INSS sobre o 13º salário 2ª parcela.</t>
  </si>
  <si>
    <t>17PETTY122025</t>
  </si>
  <si>
    <t xml:space="preserve">FINAL 4559 - MASSA OZUMA  PARA PRODUÇÃO NÃO CHEGOU NO PEDIDO  REF 12/2025
</t>
  </si>
  <si>
    <t>DISTRATO AFONSO JORGE 05/12</t>
  </si>
  <si>
    <t>20PETTY122025</t>
  </si>
  <si>
    <t xml:space="preserve">FINAL 4559 - MILHO DE PIPOCA  PARA PRODUÇÃO NÃO CHEGOU NO PEDIDO  REF 12/2025
</t>
  </si>
  <si>
    <t>1PETTY122025</t>
  </si>
  <si>
    <t xml:space="preserve">FINAL 4559 - PAPELARIA PARA ESCRITORIO  REF 12/2025
</t>
  </si>
  <si>
    <t>01</t>
  </si>
  <si>
    <t>LOCACAO MAQUINA DE LAVAR LOUÇA - CONTRATO DE LOCAÇÃO TRIMESTRAL 03/03 REF 12/2025</t>
  </si>
  <si>
    <t>2PETTY122025</t>
  </si>
  <si>
    <t xml:space="preserve">FINAL 4559 - NEEDS PARA CAIXA DE PRIMEIROS SOCORROS REF 12/2025
</t>
  </si>
  <si>
    <t>3PETTY122025</t>
  </si>
  <si>
    <t xml:space="preserve">FINAL 4559 - POTES REF 12/2025
</t>
  </si>
  <si>
    <t>19PETTY122025</t>
  </si>
  <si>
    <t xml:space="preserve">FINAL 4559 - ATUM  PARA PRODUÇÃO NÃO CHEGOU NO PEDIDO  REF 12/2025
</t>
  </si>
  <si>
    <t>4PETTY122025</t>
  </si>
  <si>
    <t xml:space="preserve">FINAL 4559 - FITAS E PLASTICOS  REF 12/2025
</t>
  </si>
  <si>
    <t>5PETTY122025</t>
  </si>
  <si>
    <t xml:space="preserve">FINAL 4559 - MANGA PARA PRODUÇÃO NÃO CHEGOU NO PEDIDO  REF 12/2025
</t>
  </si>
  <si>
    <t>18PETTY122025</t>
  </si>
  <si>
    <t xml:space="preserve">FINAL 4559 - PAPELARIA PARA ESCRITORIO  REF 12/2025 REF 12/2025
</t>
  </si>
  <si>
    <t>PJ 62690378000111</t>
  </si>
  <si>
    <t xml:space="preserve">DISTRATO MARIA RITA </t>
  </si>
  <si>
    <t>16PETTY122025</t>
  </si>
  <si>
    <t>15PETTY122025</t>
  </si>
  <si>
    <t xml:space="preserve">FINAL 4559 - FARINHA  PARA PRODUÇÃO NÃO CHEGOU NO PEDIDO  REF 12/2025
</t>
  </si>
  <si>
    <t>14PETTY122025</t>
  </si>
  <si>
    <t xml:space="preserve">FINAL 4559 - FONES DE OUVIDO PARA OPERAÇÃO REF 12/2025
</t>
  </si>
  <si>
    <t>13PETTY122025</t>
  </si>
  <si>
    <t>12PETTY122025</t>
  </si>
  <si>
    <t xml:space="preserve">FINAL 4559 - MORANGO  PARA PRODUÇÃO NÃO CHEGOU NO PEDIDO  REF 12/2025
</t>
  </si>
  <si>
    <t>11PETTY122025</t>
  </si>
  <si>
    <t xml:space="preserve">FINAL 4559 - REFRIGERANTE NÃO CHEGOU NO PEDIDO  REF 12/2025
</t>
  </si>
  <si>
    <t>10PETTY122025</t>
  </si>
  <si>
    <t xml:space="preserve">FINAL 4559 - ETANOL HIDRATADO NÃO CHEGOU NO PEDIDO  REF 12/2025
</t>
  </si>
  <si>
    <t>9PETTY122025</t>
  </si>
  <si>
    <t>8PETTY122025</t>
  </si>
  <si>
    <t xml:space="preserve">FINAL 4559 - BANANA  PARA PRODUÇÃO NÃO CHEGOU NO PEDIDO  REF 12/2025
</t>
  </si>
  <si>
    <t>7PETTY122025</t>
  </si>
  <si>
    <t>9691</t>
  </si>
  <si>
    <t>Contrato: M146/24A - 2º parcela do valor adicional anual</t>
  </si>
  <si>
    <t>6PETTY122025</t>
  </si>
  <si>
    <t xml:space="preserve">FINAL 4559 - AGUA NÃO CHEGOU NO PEDIDO REF 12/2025
</t>
  </si>
  <si>
    <t>28PETTY122025</t>
  </si>
  <si>
    <t>FINAL 4559 - FRUTAS  NÃO CHEGOU NO PEDIDO  REF 12/2026</t>
  </si>
  <si>
    <t>27PETTY122025</t>
  </si>
  <si>
    <t xml:space="preserve">FINAL 4559 - ESPUMANTE NÃO CHEGOU NO PEDIDO  REF 12/2025
</t>
  </si>
  <si>
    <t>26PETTY122025</t>
  </si>
  <si>
    <t xml:space="preserve">FINAL 4559 - LINGUIÇA NÃO CHEGOU NO PEDIDO  REF 12/2025
</t>
  </si>
  <si>
    <t>25PETTY122025</t>
  </si>
  <si>
    <t xml:space="preserve">FINAL 4559 - MILHO PARA PRODUÇÃO NÃO CHEGOU NO PEDIDO  REF 12/2025
</t>
  </si>
  <si>
    <t>24PETTY122025</t>
  </si>
  <si>
    <t>FINAL 4559 - SAQUE NÃO CHEGOU NO PEDIDO  REF 12/2025</t>
  </si>
  <si>
    <t>23PETTY122025</t>
  </si>
  <si>
    <t>22PETTY122025</t>
  </si>
  <si>
    <t xml:space="preserve">FINAL 4559 - COPOS NÃO CHEGOU NO PEDIDO REF 12/2025
</t>
  </si>
  <si>
    <t>21PETTY122025</t>
  </si>
  <si>
    <t xml:space="preserve">FINAL 4559 - CAJU  PARA PRODUÇÃO NÃO CHEGOU NO PEDIDO 
</t>
  </si>
  <si>
    <t>Contrato: M146/24 - 2º parcela do valor adicional</t>
  </si>
  <si>
    <t>300000 112025</t>
  </si>
  <si>
    <t>12/2025 - Flash Mensal Premiação - Jacaré</t>
  </si>
  <si>
    <t>510106 122025</t>
  </si>
  <si>
    <t>SPTRANS COMP. 12/2025</t>
  </si>
  <si>
    <t>100342 122025</t>
  </si>
  <si>
    <t>TOP COMP. 12/2025</t>
  </si>
  <si>
    <t>20765 122025</t>
  </si>
  <si>
    <t>7422</t>
  </si>
  <si>
    <t>ANÁLISE DE ÁGUA DE 1 PONTO. REFERENTE À(S) ANÁLISE(S) CÓDIGO(S) 20243004.</t>
  </si>
  <si>
    <t>SMART CLEAN SERVICOS</t>
  </si>
  <si>
    <t>831</t>
  </si>
  <si>
    <t xml:space="preserve">LIMPEZA DO SISTEMA DE EXAUSTAO
</t>
  </si>
  <si>
    <t>1572</t>
  </si>
  <si>
    <t>PAO + BAGUETE SIMPLES + MINI PAO</t>
  </si>
  <si>
    <t>ID_Loja</t>
  </si>
  <si>
    <t>Loja</t>
  </si>
  <si>
    <t>Data_Recebimento</t>
  </si>
  <si>
    <t>Valor_Cotacao</t>
  </si>
  <si>
    <t>Valor_Liq_Alimentos</t>
  </si>
  <si>
    <t>Valor_Liq_Bebidas</t>
  </si>
  <si>
    <t>Valor_Liq_Descart_Hig_Limp</t>
  </si>
  <si>
    <t>Valor_Gelo_Gas_Carvao_Velas</t>
  </si>
  <si>
    <t>Valor_Utensilios</t>
  </si>
  <si>
    <t>Valor_Liq_Outros</t>
  </si>
  <si>
    <t>DEOLINDA DOS SANTOS FREITAS</t>
  </si>
  <si>
    <t>2648</t>
  </si>
  <si>
    <t>ZAHIL IMPORTADORA LTDA</t>
  </si>
  <si>
    <t>273028</t>
  </si>
  <si>
    <t>RCS COMERCIAL DE ALIMENTOS LTDA</t>
  </si>
  <si>
    <t>11932</t>
  </si>
  <si>
    <t>PSSS LTDA</t>
  </si>
  <si>
    <t>328</t>
  </si>
  <si>
    <t>312</t>
  </si>
  <si>
    <t>PLASTICOS SEGANTINI EIRELI</t>
  </si>
  <si>
    <t>59290</t>
  </si>
  <si>
    <t>NATURAL FRESH FRUIT COMERCIO DE POLPAS DE FRUTAS LTDA</t>
  </si>
  <si>
    <t>3071</t>
  </si>
  <si>
    <t>MULTIFRANGOS COMERCIO DE ALIMENTOS LTDA</t>
  </si>
  <si>
    <t>970888</t>
  </si>
  <si>
    <t>MARIO PEDRO FELICIANO - HORTIFRUTI</t>
  </si>
  <si>
    <t>481622</t>
  </si>
  <si>
    <t>KING COMERCIO E IMPORTACAO DE BEBIDAS LTDA</t>
  </si>
  <si>
    <t>128585</t>
  </si>
  <si>
    <t>FNS COMERCIO E IMPORTAÇÃO LTDA</t>
  </si>
  <si>
    <t>398193</t>
  </si>
  <si>
    <t>EAU - DISTRIBUIDORA DE AGUA MINERAL LTDA</t>
  </si>
  <si>
    <t>314530</t>
  </si>
  <si>
    <t>DTK COMERCIO DE ALIMENTOS LTDA</t>
  </si>
  <si>
    <t>87149</t>
  </si>
  <si>
    <t>DISTRIBUIDORA DPRO LTDA</t>
  </si>
  <si>
    <t>399641</t>
  </si>
  <si>
    <t>STORM COMERCIO DE ALIMENTOS E BEBIDAS  LTDA</t>
  </si>
  <si>
    <t>98117</t>
  </si>
  <si>
    <t>CRYSTALMIX COMERCIO E MANUTENCAO DE EQUI</t>
  </si>
  <si>
    <t>35249</t>
  </si>
  <si>
    <t>DO CHEF DISTRIBUIDORA DE ALIMENTOS LTDA</t>
  </si>
  <si>
    <t>2717</t>
  </si>
  <si>
    <t>CECILIA TSUYACO ARAKI SILVA LTDA</t>
  </si>
  <si>
    <t>394731</t>
  </si>
  <si>
    <t>394671</t>
  </si>
  <si>
    <t>394599</t>
  </si>
  <si>
    <t>BRF S.A.</t>
  </si>
  <si>
    <t>17289119</t>
  </si>
  <si>
    <t>17232587</t>
  </si>
  <si>
    <t>AROUMAR DISTRIBUIDORA DE PRODUTOS ALIMENTICIOS LTDA</t>
  </si>
  <si>
    <t>1068741</t>
  </si>
  <si>
    <t>AMBEV S. A. - CDD SAO PAULO</t>
  </si>
  <si>
    <t>247061</t>
  </si>
  <si>
    <t>481484</t>
  </si>
  <si>
    <t>NOVA COMERCIAL PESCADOS LTDA</t>
  </si>
  <si>
    <t>34569</t>
  </si>
  <si>
    <t>MEAT HUNTER IMPORT EXPORT AND DISTRIBUTION LTDA</t>
  </si>
  <si>
    <t>11130</t>
  </si>
  <si>
    <t>WPP COMERCIO DE CARNES LTDA</t>
  </si>
  <si>
    <t>80277</t>
  </si>
  <si>
    <t>79947</t>
  </si>
  <si>
    <t>MARCOS SILVA DO NASCIMENTO</t>
  </si>
  <si>
    <t>1102</t>
  </si>
  <si>
    <t>34556</t>
  </si>
  <si>
    <t xml:space="preserve">MS FRANGOS LTDA </t>
  </si>
  <si>
    <t>7085</t>
  </si>
  <si>
    <t>EMPORIO M&amp;L COMERCIO DE ALIM E BEBIDAS LTDA</t>
  </si>
  <si>
    <t>520676</t>
  </si>
  <si>
    <t>B.B DISTRIBUIDORA DE CARNES LTDA</t>
  </si>
  <si>
    <t>425047</t>
  </si>
  <si>
    <t>2677</t>
  </si>
  <si>
    <t>ATACADISTA KINGFOOD PRODUTOS ALIMENTICIO</t>
  </si>
  <si>
    <t>293216</t>
  </si>
  <si>
    <t>394510</t>
  </si>
  <si>
    <t>MONTE ALTO ALIMENTOS LTDA</t>
  </si>
  <si>
    <t>182330</t>
  </si>
  <si>
    <t>AFEQUI - DISTRIBUIDORA DE ALIMENTOS LTDA</t>
  </si>
  <si>
    <t>18329</t>
  </si>
  <si>
    <t>396956</t>
  </si>
  <si>
    <t>311047</t>
  </si>
  <si>
    <t>2636</t>
  </si>
  <si>
    <t>398091</t>
  </si>
  <si>
    <t>312014</t>
  </si>
  <si>
    <t>86255</t>
  </si>
  <si>
    <t>2635</t>
  </si>
  <si>
    <t>2696</t>
  </si>
  <si>
    <t>519649</t>
  </si>
  <si>
    <t>2562</t>
  </si>
  <si>
    <t>CG FOOD´S DISTRIBUIDORA DE ALIMENTOS LTDA</t>
  </si>
  <si>
    <t>193306</t>
  </si>
  <si>
    <t>313062</t>
  </si>
  <si>
    <t>2530</t>
  </si>
  <si>
    <t>394334</t>
  </si>
  <si>
    <t>394261</t>
  </si>
  <si>
    <t>394196</t>
  </si>
  <si>
    <t>394107</t>
  </si>
  <si>
    <t>393992</t>
  </si>
  <si>
    <t>393919</t>
  </si>
  <si>
    <t>DISTRIBUIDORA CÂNTAROS DO BRASIL EIRELI</t>
  </si>
  <si>
    <t>2620</t>
  </si>
  <si>
    <t>17267909</t>
  </si>
  <si>
    <t>424553</t>
  </si>
  <si>
    <t>1067275</t>
  </si>
  <si>
    <t>DISTRIBUIDORA ARENA VIP COMERCIO DE BEBIDAS LTDA</t>
  </si>
  <si>
    <t>12414</t>
  </si>
  <si>
    <t>ANDREIA SANTOS FREITAS DUARTE</t>
  </si>
  <si>
    <t>2700</t>
  </si>
  <si>
    <t>233494</t>
  </si>
  <si>
    <t>272105</t>
  </si>
  <si>
    <t>271682</t>
  </si>
  <si>
    <t>79841</t>
  </si>
  <si>
    <t>80103</t>
  </si>
  <si>
    <t>11893</t>
  </si>
  <si>
    <t>273</t>
  </si>
  <si>
    <t>LATICINIOS PIRAMIDE LTDA</t>
  </si>
  <si>
    <t>86115</t>
  </si>
  <si>
    <t>PAPELNAP COMERCIO DE ARTIGOSDESCARTAVEIS LTDA</t>
  </si>
  <si>
    <t>1246</t>
  </si>
  <si>
    <t>34259</t>
  </si>
  <si>
    <t>80</t>
  </si>
  <si>
    <t>7005</t>
  </si>
  <si>
    <t>182044</t>
  </si>
  <si>
    <t>10950</t>
  </si>
  <si>
    <t>481199</t>
  </si>
  <si>
    <t>480823</t>
  </si>
  <si>
    <t>480438</t>
  </si>
  <si>
    <t>480307</t>
  </si>
  <si>
    <t>479962</t>
  </si>
  <si>
    <t>479679</t>
  </si>
  <si>
    <t>481027</t>
  </si>
  <si>
    <t>479797</t>
  </si>
  <si>
    <t>479452</t>
  </si>
  <si>
    <t>1094</t>
  </si>
  <si>
    <t>1080</t>
  </si>
  <si>
    <t>1077</t>
  </si>
  <si>
    <t>1052</t>
  </si>
  <si>
    <t>FRIGORIFICO M.B. LTDA</t>
  </si>
  <si>
    <t>82460</t>
  </si>
  <si>
    <t>82361</t>
  </si>
  <si>
    <t>LPQBR RESTAURANTES E PADARIAS LTDA</t>
  </si>
  <si>
    <t>89031</t>
  </si>
  <si>
    <t>J.K. COMERCIO DE GENEROS ALIMENICIOS LTDA</t>
  </si>
  <si>
    <t>1525</t>
  </si>
  <si>
    <t>DISTRIBUIDORA E IMPORTADORA IRMAOS AVELINO LTDA</t>
  </si>
  <si>
    <t>485772</t>
  </si>
  <si>
    <t>2615</t>
  </si>
  <si>
    <t>2447</t>
  </si>
  <si>
    <t>380871</t>
  </si>
  <si>
    <t>379837</t>
  </si>
  <si>
    <t>378892</t>
  </si>
  <si>
    <t>378675</t>
  </si>
  <si>
    <t>FG7 COMERCIO E DISTRIBUICAO DE BEBIDAS LTDA</t>
  </si>
  <si>
    <t>814104</t>
  </si>
  <si>
    <t>518426</t>
  </si>
  <si>
    <t>518425</t>
  </si>
  <si>
    <t>518424</t>
  </si>
  <si>
    <t xml:space="preserve">128338 </t>
  </si>
  <si>
    <t>1238 I</t>
  </si>
  <si>
    <t>ICE4PROS FABRICA DE GELO LTDA</t>
  </si>
  <si>
    <t xml:space="preserve">98767 </t>
  </si>
  <si>
    <t>FRONT BEBIDAS LTDA</t>
  </si>
  <si>
    <t xml:space="preserve">807439 </t>
  </si>
  <si>
    <t>377652</t>
  </si>
  <si>
    <t>517041</t>
  </si>
  <si>
    <t>85619</t>
  </si>
  <si>
    <t>84941</t>
  </si>
  <si>
    <t>SELECAO COMERCIO DE CARVAO E VARIEDADE LTDA</t>
  </si>
  <si>
    <t xml:space="preserve">8801 </t>
  </si>
  <si>
    <t xml:space="preserve">DISTRIBUIDORA DE CARNES CANTAREIRA </t>
  </si>
  <si>
    <t>54354</t>
  </si>
  <si>
    <t>18285</t>
  </si>
  <si>
    <t xml:space="preserve">LEITERIA CABRIOLA FROMAGES DE CHEVRE LTDA </t>
  </si>
  <si>
    <t>50656</t>
  </si>
  <si>
    <t xml:space="preserve">84320 </t>
  </si>
  <si>
    <t xml:space="preserve">395418 </t>
  </si>
  <si>
    <t xml:space="preserve">809309 </t>
  </si>
  <si>
    <t xml:space="preserve">181748 </t>
  </si>
  <si>
    <t>30.365.122 HIDEKI HENRIQUE KAWAMOTO</t>
  </si>
  <si>
    <t xml:space="preserve">1963 </t>
  </si>
  <si>
    <t xml:space="preserve">488088 </t>
  </si>
  <si>
    <t xml:space="preserve">289543 </t>
  </si>
  <si>
    <t xml:space="preserve">128166 </t>
  </si>
  <si>
    <t xml:space="preserve">50960 </t>
  </si>
  <si>
    <t>478903</t>
  </si>
  <si>
    <t>478957</t>
  </si>
  <si>
    <t xml:space="preserve">479333 </t>
  </si>
  <si>
    <t>6937</t>
  </si>
  <si>
    <t>34087</t>
  </si>
  <si>
    <t>34104</t>
  </si>
  <si>
    <t>34442</t>
  </si>
  <si>
    <t xml:space="preserve">NOVA MIX </t>
  </si>
  <si>
    <t xml:space="preserve">2653340 </t>
  </si>
  <si>
    <t xml:space="preserve">2653358 </t>
  </si>
  <si>
    <t>PARAMU COMERCIO E REPRESENTACAO DE PRODUTOS ALIMENTICIOS</t>
  </si>
  <si>
    <t xml:space="preserve">18172 </t>
  </si>
  <si>
    <t xml:space="preserve">18230 </t>
  </si>
  <si>
    <t xml:space="preserve">85898 </t>
  </si>
  <si>
    <t>59053</t>
  </si>
  <si>
    <t>227</t>
  </si>
  <si>
    <t>11835</t>
  </si>
  <si>
    <t>79811</t>
  </si>
  <si>
    <t>271143</t>
  </si>
  <si>
    <t>2344</t>
  </si>
  <si>
    <t>2302</t>
  </si>
  <si>
    <t>2268</t>
  </si>
  <si>
    <t>2176</t>
  </si>
  <si>
    <t>2135</t>
  </si>
  <si>
    <t>AD ZUPA COMERCIAL LTDA</t>
  </si>
  <si>
    <t>4270</t>
  </si>
  <si>
    <t>2075</t>
  </si>
  <si>
    <t xml:space="preserve">17192321 </t>
  </si>
  <si>
    <t>38976</t>
  </si>
  <si>
    <t xml:space="preserve">393827 </t>
  </si>
  <si>
    <t xml:space="preserve">393768 </t>
  </si>
  <si>
    <t>393672</t>
  </si>
  <si>
    <t>393480</t>
  </si>
  <si>
    <t>393397</t>
  </si>
  <si>
    <t>393327</t>
  </si>
  <si>
    <t>393249</t>
  </si>
  <si>
    <t>393140</t>
  </si>
  <si>
    <t>393062</t>
  </si>
  <si>
    <t xml:space="preserve">392999 </t>
  </si>
  <si>
    <t xml:space="preserve">2601 </t>
  </si>
  <si>
    <t>423981</t>
  </si>
  <si>
    <t xml:space="preserve">423980 </t>
  </si>
  <si>
    <t xml:space="preserve">423484 </t>
  </si>
  <si>
    <t xml:space="preserve">423408 </t>
  </si>
  <si>
    <t>1064207</t>
  </si>
  <si>
    <t xml:space="preserve">10715 </t>
  </si>
  <si>
    <t>2580</t>
  </si>
  <si>
    <t>2582</t>
  </si>
  <si>
    <t>219039</t>
  </si>
  <si>
    <t xml:space="preserve">219038 </t>
  </si>
  <si>
    <t>216473</t>
  </si>
  <si>
    <t xml:space="preserve">18228 </t>
  </si>
  <si>
    <t xml:space="preserve">422912 </t>
  </si>
  <si>
    <t xml:space="preserve">53815 </t>
  </si>
  <si>
    <t xml:space="preserve">54071 </t>
  </si>
  <si>
    <t xml:space="preserve">8666 </t>
  </si>
  <si>
    <t>8728</t>
  </si>
  <si>
    <t>CASA DE CARNES P.J.J.LTDA</t>
  </si>
  <si>
    <t xml:space="preserve">46693 </t>
  </si>
  <si>
    <t>392862</t>
  </si>
  <si>
    <t xml:space="preserve">191768 </t>
  </si>
  <si>
    <t>515964</t>
  </si>
  <si>
    <t>34965</t>
  </si>
  <si>
    <t>82612</t>
  </si>
  <si>
    <t>83708</t>
  </si>
  <si>
    <t xml:space="preserve">376430 </t>
  </si>
  <si>
    <t xml:space="preserve">181443 </t>
  </si>
  <si>
    <t>127792</t>
  </si>
  <si>
    <t>88931</t>
  </si>
  <si>
    <t xml:space="preserve">11778 </t>
  </si>
  <si>
    <t>MAR DIRETO POC COMERCIO DE PEIXES LTDA</t>
  </si>
  <si>
    <t xml:space="preserve">125943 </t>
  </si>
  <si>
    <t xml:space="preserve">1041 </t>
  </si>
  <si>
    <t>478658</t>
  </si>
  <si>
    <t xml:space="preserve">2649758 </t>
  </si>
  <si>
    <t>178</t>
  </si>
  <si>
    <t>VIVA ESPETOS C P A P F EIRELI</t>
  </si>
  <si>
    <t>48</t>
  </si>
  <si>
    <t>34516</t>
  </si>
  <si>
    <t xml:space="preserve">85347 </t>
  </si>
  <si>
    <t xml:space="preserve">6796 </t>
  </si>
  <si>
    <t xml:space="preserve">11731 </t>
  </si>
  <si>
    <t>8588</t>
  </si>
  <si>
    <t>3013</t>
  </si>
  <si>
    <t>483249</t>
  </si>
  <si>
    <t>476300</t>
  </si>
  <si>
    <t xml:space="preserve">476671 </t>
  </si>
  <si>
    <t>127352</t>
  </si>
  <si>
    <t>391746</t>
  </si>
  <si>
    <t>391737</t>
  </si>
  <si>
    <t>BETEL SOLUCOES EM HIGIENIZACAO LTDA </t>
  </si>
  <si>
    <t>1004</t>
  </si>
  <si>
    <t>513173</t>
  </si>
  <si>
    <t>421014</t>
  </si>
  <si>
    <t>34385</t>
  </si>
  <si>
    <t>925815</t>
  </si>
  <si>
    <t>88713</t>
  </si>
  <si>
    <t>79636</t>
  </si>
  <si>
    <t>965150</t>
  </si>
  <si>
    <t>478819</t>
  </si>
  <si>
    <t>833</t>
  </si>
  <si>
    <t>516440</t>
  </si>
  <si>
    <t xml:space="preserve">2703 </t>
  </si>
  <si>
    <t>2702</t>
  </si>
  <si>
    <t>392948</t>
  </si>
  <si>
    <t>53582</t>
  </si>
  <si>
    <t>HORTIFRUTI CIUFFI LTDA</t>
  </si>
  <si>
    <t>31719</t>
  </si>
  <si>
    <t xml:space="preserve">797974 </t>
  </si>
  <si>
    <t>17178366</t>
  </si>
  <si>
    <t xml:space="preserve">82280 </t>
  </si>
  <si>
    <t>480959</t>
  </si>
  <si>
    <t>176577</t>
  </si>
  <si>
    <t>174328</t>
  </si>
  <si>
    <t>161572</t>
  </si>
  <si>
    <t>161571</t>
  </si>
  <si>
    <t>2391</t>
  </si>
  <si>
    <t>187217</t>
  </si>
  <si>
    <t>8913</t>
  </si>
  <si>
    <t>1061547</t>
  </si>
  <si>
    <t xml:space="preserve">421435 </t>
  </si>
  <si>
    <t xml:space="preserve">422178 </t>
  </si>
  <si>
    <t xml:space="preserve">17144136 </t>
  </si>
  <si>
    <t>BRUNO FELIPE DE ASSIS BORGES</t>
  </si>
  <si>
    <t>754</t>
  </si>
  <si>
    <t>53450</t>
  </si>
  <si>
    <t>2590</t>
  </si>
  <si>
    <t>392235</t>
  </si>
  <si>
    <t>392352</t>
  </si>
  <si>
    <t>392427</t>
  </si>
  <si>
    <t>392529</t>
  </si>
  <si>
    <t>392585</t>
  </si>
  <si>
    <t>392665</t>
  </si>
  <si>
    <t>1814</t>
  </si>
  <si>
    <t>1936</t>
  </si>
  <si>
    <t>1966</t>
  </si>
  <si>
    <t>34574</t>
  </si>
  <si>
    <t>478297</t>
  </si>
  <si>
    <t>85182</t>
  </si>
  <si>
    <t>83</t>
  </si>
  <si>
    <t xml:space="preserve">32031 </t>
  </si>
  <si>
    <t>2652</t>
  </si>
  <si>
    <t>MURILLO S DUARTE COMERCIAL LTDA</t>
  </si>
  <si>
    <t xml:space="preserve">2654 </t>
  </si>
  <si>
    <t>2569</t>
  </si>
  <si>
    <t xml:space="preserve">392790 </t>
  </si>
  <si>
    <t>1870</t>
  </si>
  <si>
    <t xml:space="preserve">81160 </t>
  </si>
  <si>
    <t xml:space="preserve">308722 </t>
  </si>
  <si>
    <t xml:space="preserve">515190 </t>
  </si>
  <si>
    <t xml:space="preserve">801615 </t>
  </si>
  <si>
    <t xml:space="preserve">82081 </t>
  </si>
  <si>
    <t>994</t>
  </si>
  <si>
    <t>1030</t>
  </si>
  <si>
    <t>477613</t>
  </si>
  <si>
    <t>477885</t>
  </si>
  <si>
    <t>478138</t>
  </si>
  <si>
    <t xml:space="preserve">10166 </t>
  </si>
  <si>
    <t>6729</t>
  </si>
  <si>
    <t>33781</t>
  </si>
  <si>
    <t xml:space="preserve">11699 </t>
  </si>
  <si>
    <t xml:space="preserve">58947 </t>
  </si>
  <si>
    <t>UNA VINO LTDA</t>
  </si>
  <si>
    <t>36</t>
  </si>
  <si>
    <t>79475</t>
  </si>
  <si>
    <t xml:space="preserve">270610 </t>
  </si>
  <si>
    <t>476573</t>
  </si>
  <si>
    <t>79152</t>
  </si>
  <si>
    <t>84604</t>
  </si>
  <si>
    <t xml:space="preserve">31640 </t>
  </si>
  <si>
    <t>6580</t>
  </si>
  <si>
    <t>9810</t>
  </si>
  <si>
    <t>1908</t>
  </si>
  <si>
    <t xml:space="preserve">372632 </t>
  </si>
  <si>
    <t xml:space="preserve">794352 </t>
  </si>
  <si>
    <t>512920</t>
  </si>
  <si>
    <t>78954</t>
  </si>
  <si>
    <t xml:space="preserve">1555 </t>
  </si>
  <si>
    <t>391654</t>
  </si>
  <si>
    <t xml:space="preserve">421038 </t>
  </si>
  <si>
    <t>18076</t>
  </si>
  <si>
    <t>97184</t>
  </si>
  <si>
    <t>31865</t>
  </si>
  <si>
    <t>6653</t>
  </si>
  <si>
    <t>88780</t>
  </si>
  <si>
    <t>8522</t>
  </si>
  <si>
    <t>478534</t>
  </si>
  <si>
    <t>390648</t>
  </si>
  <si>
    <t xml:space="preserve">421026 </t>
  </si>
  <si>
    <t>477426</t>
  </si>
  <si>
    <t xml:space="preserve">797975 </t>
  </si>
  <si>
    <t xml:space="preserve">307616 </t>
  </si>
  <si>
    <t>1764</t>
  </si>
  <si>
    <t>392165</t>
  </si>
  <si>
    <t>932620</t>
  </si>
  <si>
    <t xml:space="preserve">31780 </t>
  </si>
  <si>
    <t>2637255</t>
  </si>
  <si>
    <t>477269</t>
  </si>
  <si>
    <t xml:space="preserve">11652 </t>
  </si>
  <si>
    <t>127424</t>
  </si>
  <si>
    <t>1924</t>
  </si>
  <si>
    <t xml:space="preserve">373829 </t>
  </si>
  <si>
    <t xml:space="preserve">393167 </t>
  </si>
  <si>
    <t>514178</t>
  </si>
  <si>
    <t>2613</t>
  </si>
  <si>
    <t>2606</t>
  </si>
  <si>
    <t>1713</t>
  </si>
  <si>
    <t>392049</t>
  </si>
  <si>
    <t>8457</t>
  </si>
  <si>
    <t>2586</t>
  </si>
  <si>
    <t xml:space="preserve">17127241 </t>
  </si>
  <si>
    <t>421709</t>
  </si>
  <si>
    <t>8105</t>
  </si>
  <si>
    <t>18121</t>
  </si>
  <si>
    <t>180004</t>
  </si>
  <si>
    <t>269989</t>
  </si>
  <si>
    <t>79115</t>
  </si>
  <si>
    <t>79301</t>
  </si>
  <si>
    <t>58639</t>
  </si>
  <si>
    <t xml:space="preserve">58756 </t>
  </si>
  <si>
    <t>33611</t>
  </si>
  <si>
    <t>33609</t>
  </si>
  <si>
    <t>33575</t>
  </si>
  <si>
    <t>68</t>
  </si>
  <si>
    <t>476017</t>
  </si>
  <si>
    <t>475904</t>
  </si>
  <si>
    <t>476233</t>
  </si>
  <si>
    <t>476981</t>
  </si>
  <si>
    <t>476877</t>
  </si>
  <si>
    <t>1009</t>
  </si>
  <si>
    <t>124226</t>
  </si>
  <si>
    <t>81963</t>
  </si>
  <si>
    <t>81799</t>
  </si>
  <si>
    <t xml:space="preserve">792846 </t>
  </si>
  <si>
    <t>512112</t>
  </si>
  <si>
    <t>511697</t>
  </si>
  <si>
    <t>513795</t>
  </si>
  <si>
    <t>513775</t>
  </si>
  <si>
    <t>78214</t>
  </si>
  <si>
    <t>78213</t>
  </si>
  <si>
    <t>79967</t>
  </si>
  <si>
    <t>DIO MIO COMERCIO DE SORVETES LTDA</t>
  </si>
  <si>
    <t>24506</t>
  </si>
  <si>
    <t>2523</t>
  </si>
  <si>
    <t>1660</t>
  </si>
  <si>
    <t>1486</t>
  </si>
  <si>
    <t>1451</t>
  </si>
  <si>
    <t>1436</t>
  </si>
  <si>
    <t>391465</t>
  </si>
  <si>
    <t>391402</t>
  </si>
  <si>
    <t>391338</t>
  </si>
  <si>
    <t>391917</t>
  </si>
  <si>
    <t>391861</t>
  </si>
  <si>
    <t>17068049</t>
  </si>
  <si>
    <t xml:space="preserve">17118980 </t>
  </si>
  <si>
    <t>17110762</t>
  </si>
  <si>
    <t>420573</t>
  </si>
  <si>
    <t>420572</t>
  </si>
  <si>
    <t>1057522</t>
  </si>
  <si>
    <t xml:space="preserve">7101 </t>
  </si>
  <si>
    <t>7365</t>
  </si>
  <si>
    <t>922362</t>
  </si>
  <si>
    <t>932621</t>
  </si>
  <si>
    <t xml:space="preserve">180474 </t>
  </si>
  <si>
    <t>DISTRIBUIDORA E IMPORTADORA IRMAOS AVELINO S.A</t>
  </si>
  <si>
    <t>476204</t>
  </si>
  <si>
    <t>10613</t>
  </si>
  <si>
    <t>11631</t>
  </si>
  <si>
    <t xml:space="preserve">3707 </t>
  </si>
  <si>
    <t>PIRAMIDES COMERCIO DE AGUAS MINEIRAIS E BEBIDAS EM GERAL LTDA</t>
  </si>
  <si>
    <t>160479</t>
  </si>
  <si>
    <t xml:space="preserve">84834 </t>
  </si>
  <si>
    <t>789210</t>
  </si>
  <si>
    <t>78615</t>
  </si>
  <si>
    <t>f187844</t>
  </si>
  <si>
    <t>8377</t>
  </si>
  <si>
    <t>472206</t>
  </si>
  <si>
    <t>2542</t>
  </si>
  <si>
    <t>3669</t>
  </si>
  <si>
    <t>159433</t>
  </si>
  <si>
    <t>2629561</t>
  </si>
  <si>
    <t>6477</t>
  </si>
  <si>
    <t>11592</t>
  </si>
  <si>
    <t>127104</t>
  </si>
  <si>
    <t>75894</t>
  </si>
  <si>
    <t>1157</t>
  </si>
  <si>
    <t>1109</t>
  </si>
  <si>
    <t>390556</t>
  </si>
  <si>
    <t>2572</t>
  </si>
  <si>
    <t>52153</t>
  </si>
  <si>
    <t xml:space="preserve">17011888 </t>
  </si>
  <si>
    <t>419387</t>
  </si>
  <si>
    <t xml:space="preserve">140749 </t>
  </si>
  <si>
    <t>125476</t>
  </si>
  <si>
    <t xml:space="preserve">508857 </t>
  </si>
  <si>
    <t>508883</t>
  </si>
  <si>
    <t>179343</t>
  </si>
  <si>
    <t>956</t>
  </si>
  <si>
    <t>472877</t>
  </si>
  <si>
    <t>474485</t>
  </si>
  <si>
    <t>474634</t>
  </si>
  <si>
    <t>PAMPLONA PAES ARTESANAIS LTDA</t>
  </si>
  <si>
    <t>3431</t>
  </si>
  <si>
    <t>156773</t>
  </si>
  <si>
    <t>11476</t>
  </si>
  <si>
    <t xml:space="preserve">78719 </t>
  </si>
  <si>
    <t>268473</t>
  </si>
  <si>
    <t>18031</t>
  </si>
  <si>
    <t>8334</t>
  </si>
  <si>
    <t>391241</t>
  </si>
  <si>
    <t>511245</t>
  </si>
  <si>
    <t>1395</t>
  </si>
  <si>
    <t>983</t>
  </si>
  <si>
    <t>475847</t>
  </si>
  <si>
    <t>84354</t>
  </si>
  <si>
    <t>79018</t>
  </si>
  <si>
    <t>269261</t>
  </si>
  <si>
    <t>6368</t>
  </si>
  <si>
    <t>127045</t>
  </si>
  <si>
    <t>33258</t>
  </si>
  <si>
    <t>60</t>
  </si>
  <si>
    <t>475438</t>
  </si>
  <si>
    <t>JG COMERCIO E DISTRIBUICAO LTDA</t>
  </si>
  <si>
    <t>4509</t>
  </si>
  <si>
    <t>1344</t>
  </si>
  <si>
    <t>391088</t>
  </si>
  <si>
    <t>475138</t>
  </si>
  <si>
    <t>11458</t>
  </si>
  <si>
    <t>46202</t>
  </si>
  <si>
    <t>8200</t>
  </si>
  <si>
    <t>3627</t>
  </si>
  <si>
    <t>58549</t>
  </si>
  <si>
    <t>475224</t>
  </si>
  <si>
    <t>11536</t>
  </si>
  <si>
    <t>968</t>
  </si>
  <si>
    <t>1296</t>
  </si>
  <si>
    <t>1252</t>
  </si>
  <si>
    <t xml:space="preserve">370430 </t>
  </si>
  <si>
    <t>2484</t>
  </si>
  <si>
    <t>787112</t>
  </si>
  <si>
    <t>2486</t>
  </si>
  <si>
    <t>34021</t>
  </si>
  <si>
    <t>509783</t>
  </si>
  <si>
    <t>1323</t>
  </si>
  <si>
    <t>CEPEL COMERCIO DE PAPEIS E EMBALAGENS LTDA</t>
  </si>
  <si>
    <t>387</t>
  </si>
  <si>
    <t>390975</t>
  </si>
  <si>
    <t>391038</t>
  </si>
  <si>
    <t>390899</t>
  </si>
  <si>
    <t>8256</t>
  </si>
  <si>
    <t>52372</t>
  </si>
  <si>
    <t>911421</t>
  </si>
  <si>
    <t>17992</t>
  </si>
  <si>
    <t>DISTRIBUIDORA FLD DE HORTIFRUTIGRANJEIROS LTDA</t>
  </si>
  <si>
    <t>408307</t>
  </si>
  <si>
    <t>2673</t>
  </si>
  <si>
    <t>3553</t>
  </si>
  <si>
    <t>17942</t>
  </si>
  <si>
    <t>114222</t>
  </si>
  <si>
    <t>906667</t>
  </si>
  <si>
    <t>419251</t>
  </si>
  <si>
    <t>1055377</t>
  </si>
  <si>
    <t>419800</t>
  </si>
  <si>
    <t>17020692</t>
  </si>
  <si>
    <t>390707</t>
  </si>
  <si>
    <t>390283</t>
  </si>
  <si>
    <t>390363</t>
  </si>
  <si>
    <t>506531</t>
  </si>
  <si>
    <t>507545</t>
  </si>
  <si>
    <t>507547</t>
  </si>
  <si>
    <t>2406</t>
  </si>
  <si>
    <t>2425</t>
  </si>
  <si>
    <t>2438</t>
  </si>
  <si>
    <t>2444</t>
  </si>
  <si>
    <t xml:space="preserve">2446 </t>
  </si>
  <si>
    <t>76170</t>
  </si>
  <si>
    <t>509224</t>
  </si>
  <si>
    <t>784333</t>
  </si>
  <si>
    <t>1875</t>
  </si>
  <si>
    <t>1176</t>
  </si>
  <si>
    <t>1184</t>
  </si>
  <si>
    <t>474741</t>
  </si>
  <si>
    <t>33097</t>
  </si>
  <si>
    <t>3573</t>
  </si>
  <si>
    <t>78859</t>
  </si>
  <si>
    <t>1025</t>
  </si>
  <si>
    <t>1065</t>
  </si>
  <si>
    <t>74736</t>
  </si>
  <si>
    <t>473958</t>
  </si>
  <si>
    <t>474076</t>
  </si>
  <si>
    <t>32892</t>
  </si>
  <si>
    <t>32948</t>
  </si>
  <si>
    <t>201</t>
  </si>
  <si>
    <t>58395</t>
  </si>
  <si>
    <t>83663</t>
  </si>
  <si>
    <t>155425</t>
  </si>
  <si>
    <t>58290</t>
  </si>
  <si>
    <t>155745</t>
  </si>
  <si>
    <t>3525</t>
  </si>
  <si>
    <t>3476</t>
  </si>
  <si>
    <t>78449</t>
  </si>
  <si>
    <t>78577</t>
  </si>
  <si>
    <t>78415</t>
  </si>
  <si>
    <t>267930</t>
  </si>
  <si>
    <t>32756</t>
  </si>
  <si>
    <t>6262</t>
  </si>
  <si>
    <t>9145i</t>
  </si>
  <si>
    <t>473691</t>
  </si>
  <si>
    <t>473169</t>
  </si>
  <si>
    <t>473371</t>
  </si>
  <si>
    <t>473358</t>
  </si>
  <si>
    <t>944</t>
  </si>
  <si>
    <t>922</t>
  </si>
  <si>
    <t>8122</t>
  </si>
  <si>
    <t>126544</t>
  </si>
  <si>
    <t>1855</t>
  </si>
  <si>
    <t>800273</t>
  </si>
  <si>
    <t>81371</t>
  </si>
  <si>
    <t>368298</t>
  </si>
  <si>
    <t>367797</t>
  </si>
  <si>
    <t>776392</t>
  </si>
  <si>
    <t>389886</t>
  </si>
  <si>
    <t>389813</t>
  </si>
  <si>
    <t>389741</t>
  </si>
  <si>
    <t>74278</t>
  </si>
  <si>
    <t>73780</t>
  </si>
  <si>
    <t>987</t>
  </si>
  <si>
    <t>826</t>
  </si>
  <si>
    <t>51895</t>
  </si>
  <si>
    <t>2370</t>
  </si>
  <si>
    <t>2350</t>
  </si>
  <si>
    <t>102001</t>
  </si>
  <si>
    <t>104423</t>
  </si>
  <si>
    <t>113173</t>
  </si>
  <si>
    <t>102000</t>
  </si>
  <si>
    <t>17899</t>
  </si>
  <si>
    <t>4343</t>
  </si>
  <si>
    <t>1051747</t>
  </si>
  <si>
    <t>1052914</t>
  </si>
  <si>
    <t>418297</t>
  </si>
  <si>
    <t>418849</t>
  </si>
  <si>
    <t>465409</t>
  </si>
  <si>
    <t>16958481</t>
  </si>
  <si>
    <t>16988448</t>
  </si>
  <si>
    <t>2561</t>
  </si>
  <si>
    <t>390154</t>
  </si>
  <si>
    <t>390227</t>
  </si>
  <si>
    <t>389959</t>
  </si>
  <si>
    <t>893</t>
  </si>
  <si>
    <t>505118</t>
  </si>
  <si>
    <t>505700</t>
  </si>
  <si>
    <t>78425</t>
  </si>
  <si>
    <t>501062</t>
  </si>
  <si>
    <t>389548</t>
  </si>
  <si>
    <t>389608</t>
  </si>
  <si>
    <t>017867</t>
  </si>
  <si>
    <t>772945</t>
  </si>
  <si>
    <t>774599</t>
  </si>
  <si>
    <t>1844</t>
  </si>
  <si>
    <t>LUZART INDUSTRIA E COM.  DE VELAS LTDA -</t>
  </si>
  <si>
    <t>10359</t>
  </si>
  <si>
    <t>8054</t>
  </si>
  <si>
    <t>120949</t>
  </si>
  <si>
    <t>472472</t>
  </si>
  <si>
    <t>472564</t>
  </si>
  <si>
    <t>471907</t>
  </si>
  <si>
    <t>11399</t>
  </si>
  <si>
    <t>32439</t>
  </si>
  <si>
    <t>32621</t>
  </si>
  <si>
    <t>53</t>
  </si>
  <si>
    <t>2994</t>
  </si>
  <si>
    <t>83444</t>
  </si>
  <si>
    <t>46083</t>
  </si>
  <si>
    <t>VERDE DISTRIBUIDORA DE SORVETES</t>
  </si>
  <si>
    <t>36280</t>
  </si>
  <si>
    <t>267322</t>
  </si>
  <si>
    <t>761</t>
  </si>
  <si>
    <t xml:space="preserve">11349 </t>
  </si>
  <si>
    <t>3463</t>
  </si>
  <si>
    <t>51596</t>
  </si>
  <si>
    <t>877841</t>
  </si>
  <si>
    <t>389471</t>
  </si>
  <si>
    <t>78298</t>
  </si>
  <si>
    <t>PREMIER ALIMENTOS LTDA</t>
  </si>
  <si>
    <t>79538</t>
  </si>
  <si>
    <t>152785</t>
  </si>
  <si>
    <t xml:space="preserve">6088 </t>
  </si>
  <si>
    <t>472350</t>
  </si>
  <si>
    <t>677</t>
  </si>
  <si>
    <t>472168</t>
  </si>
  <si>
    <t>504497</t>
  </si>
  <si>
    <t>670</t>
  </si>
  <si>
    <t>389392</t>
  </si>
  <si>
    <t>7971</t>
  </si>
  <si>
    <t>16933862</t>
  </si>
  <si>
    <t>417718</t>
  </si>
  <si>
    <t xml:space="preserve">2581 </t>
  </si>
  <si>
    <t>88297</t>
  </si>
  <si>
    <t>388813</t>
  </si>
  <si>
    <t>388829</t>
  </si>
  <si>
    <t>388995</t>
  </si>
  <si>
    <t>389071</t>
  </si>
  <si>
    <t>389124</t>
  </si>
  <si>
    <t>389213</t>
  </si>
  <si>
    <t>389329</t>
  </si>
  <si>
    <t>470859</t>
  </si>
  <si>
    <t>502553</t>
  </si>
  <si>
    <t>33378</t>
  </si>
  <si>
    <t>2520</t>
  </si>
  <si>
    <t>2525</t>
  </si>
  <si>
    <t>363</t>
  </si>
  <si>
    <t>70828</t>
  </si>
  <si>
    <t>72024</t>
  </si>
  <si>
    <t>471184</t>
  </si>
  <si>
    <t>501936</t>
  </si>
  <si>
    <t>503997</t>
  </si>
  <si>
    <t>769275</t>
  </si>
  <si>
    <t>768716</t>
  </si>
  <si>
    <t xml:space="preserve">365294 </t>
  </si>
  <si>
    <t>365647</t>
  </si>
  <si>
    <t>81198</t>
  </si>
  <si>
    <t>81110</t>
  </si>
  <si>
    <t>796307</t>
  </si>
  <si>
    <t>DECOMARTIN IND. COM DE VID E CRIST</t>
  </si>
  <si>
    <t xml:space="preserve">31661 </t>
  </si>
  <si>
    <t>1827</t>
  </si>
  <si>
    <t>336</t>
  </si>
  <si>
    <t>420</t>
  </si>
  <si>
    <t>479</t>
  </si>
  <si>
    <t>518</t>
  </si>
  <si>
    <t>550</t>
  </si>
  <si>
    <t>568</t>
  </si>
  <si>
    <t xml:space="preserve">120307 </t>
  </si>
  <si>
    <t>885</t>
  </si>
  <si>
    <t>868</t>
  </si>
  <si>
    <t>266555</t>
  </si>
  <si>
    <t>78280</t>
  </si>
  <si>
    <t>78230</t>
  </si>
  <si>
    <t xml:space="preserve">78156 </t>
  </si>
  <si>
    <t>78130</t>
  </si>
  <si>
    <t>78129</t>
  </si>
  <si>
    <t>78128</t>
  </si>
  <si>
    <t>77984</t>
  </si>
  <si>
    <t>58009</t>
  </si>
  <si>
    <t xml:space="preserve">32185 </t>
  </si>
  <si>
    <t>32073</t>
  </si>
  <si>
    <t>470718</t>
  </si>
  <si>
    <t>471095</t>
  </si>
  <si>
    <t>470912</t>
  </si>
  <si>
    <t>471157</t>
  </si>
  <si>
    <t>471495</t>
  </si>
  <si>
    <t>471671</t>
  </si>
  <si>
    <t>471512</t>
  </si>
  <si>
    <t>471617</t>
  </si>
  <si>
    <t>471819</t>
  </si>
  <si>
    <t>2474</t>
  </si>
  <si>
    <t xml:space="preserve">2495 </t>
  </si>
  <si>
    <t>388728</t>
  </si>
  <si>
    <t>388680</t>
  </si>
  <si>
    <t>388584</t>
  </si>
  <si>
    <t>2551</t>
  </si>
  <si>
    <t xml:space="preserve">16893581 </t>
  </si>
  <si>
    <t>16862589</t>
  </si>
  <si>
    <t>417405</t>
  </si>
  <si>
    <t>417205</t>
  </si>
  <si>
    <t>416611</t>
  </si>
  <si>
    <t>1604</t>
  </si>
  <si>
    <t>72751</t>
  </si>
  <si>
    <t>59965</t>
  </si>
  <si>
    <t xml:space="preserve">17817 </t>
  </si>
  <si>
    <t>2283</t>
  </si>
  <si>
    <t>11293</t>
  </si>
  <si>
    <t>Scala Convertedora de Papeis Ltda</t>
  </si>
  <si>
    <t>86865</t>
  </si>
  <si>
    <t>3410</t>
  </si>
  <si>
    <t>58106</t>
  </si>
  <si>
    <t>45912</t>
  </si>
  <si>
    <t>151394</t>
  </si>
  <si>
    <t>83035</t>
  </si>
  <si>
    <t>32036</t>
  </si>
  <si>
    <t>2397</t>
  </si>
  <si>
    <t>470367</t>
  </si>
  <si>
    <t>470421</t>
  </si>
  <si>
    <t>126123</t>
  </si>
  <si>
    <t>456990</t>
  </si>
  <si>
    <t>94572</t>
  </si>
  <si>
    <t>295</t>
  </si>
  <si>
    <t xml:space="preserve">178053 </t>
  </si>
  <si>
    <t>502915</t>
  </si>
  <si>
    <t>70850</t>
  </si>
  <si>
    <t>69684</t>
  </si>
  <si>
    <t>70630</t>
  </si>
  <si>
    <t>33243</t>
  </si>
  <si>
    <t>501395</t>
  </si>
  <si>
    <t>388383</t>
  </si>
  <si>
    <t>7909</t>
  </si>
  <si>
    <t>416564</t>
  </si>
  <si>
    <t>1046576</t>
  </si>
  <si>
    <t>17769</t>
  </si>
  <si>
    <t>458917</t>
  </si>
  <si>
    <t>415466</t>
  </si>
  <si>
    <t>34613</t>
  </si>
  <si>
    <t>51023</t>
  </si>
  <si>
    <t>7826</t>
  </si>
  <si>
    <t>45851</t>
  </si>
  <si>
    <t>387768</t>
  </si>
  <si>
    <t xml:space="preserve">HORTIFRUTI DO CHEF LTDA </t>
  </si>
  <si>
    <t>29465</t>
  </si>
  <si>
    <t>94136</t>
  </si>
  <si>
    <t>11269</t>
  </si>
  <si>
    <t>469290</t>
  </si>
  <si>
    <t>2601887</t>
  </si>
  <si>
    <t>82784</t>
  </si>
  <si>
    <t>82977</t>
  </si>
  <si>
    <t>150172</t>
  </si>
  <si>
    <t>3387</t>
  </si>
  <si>
    <t>265721</t>
  </si>
  <si>
    <t>7628</t>
  </si>
  <si>
    <t>2594718</t>
  </si>
  <si>
    <t>5800</t>
  </si>
  <si>
    <t>1778</t>
  </si>
  <si>
    <t>7782</t>
  </si>
  <si>
    <t>501239</t>
  </si>
  <si>
    <t>237</t>
  </si>
  <si>
    <t>762845</t>
  </si>
  <si>
    <t>17725</t>
  </si>
  <si>
    <t>36415</t>
  </si>
  <si>
    <t>47262</t>
  </si>
  <si>
    <t>416054</t>
  </si>
  <si>
    <t>16813577</t>
  </si>
  <si>
    <t>16832101</t>
  </si>
  <si>
    <t>2536</t>
  </si>
  <si>
    <t>45790</t>
  </si>
  <si>
    <t>387866</t>
  </si>
  <si>
    <t>387920</t>
  </si>
  <si>
    <t>387930</t>
  </si>
  <si>
    <t>387987</t>
  </si>
  <si>
    <t>388176</t>
  </si>
  <si>
    <t>388255</t>
  </si>
  <si>
    <t>388310</t>
  </si>
  <si>
    <t>40</t>
  </si>
  <si>
    <t>136</t>
  </si>
  <si>
    <t>207</t>
  </si>
  <si>
    <t>499261</t>
  </si>
  <si>
    <t>500580</t>
  </si>
  <si>
    <t>2458</t>
  </si>
  <si>
    <t>2422</t>
  </si>
  <si>
    <t>23569A</t>
  </si>
  <si>
    <t>67887</t>
  </si>
  <si>
    <t>68213</t>
  </si>
  <si>
    <t>69227</t>
  </si>
  <si>
    <t>.362817</t>
  </si>
  <si>
    <t>1792</t>
  </si>
  <si>
    <t>158</t>
  </si>
  <si>
    <t>59</t>
  </si>
  <si>
    <t>125889</t>
  </si>
  <si>
    <t>118644</t>
  </si>
  <si>
    <t>469367</t>
  </si>
  <si>
    <t>469515</t>
  </si>
  <si>
    <t>469605</t>
  </si>
  <si>
    <t>470134</t>
  </si>
  <si>
    <t>470187</t>
  </si>
  <si>
    <t>469968</t>
  </si>
  <si>
    <t>5839</t>
  </si>
  <si>
    <t>31862</t>
  </si>
  <si>
    <t>82525</t>
  </si>
  <si>
    <t>149082</t>
  </si>
  <si>
    <t>3323</t>
  </si>
  <si>
    <t>11208</t>
  </si>
  <si>
    <t>16440</t>
  </si>
  <si>
    <t>77822</t>
  </si>
  <si>
    <t>77872</t>
  </si>
  <si>
    <t>2467</t>
  </si>
  <si>
    <t>500914</t>
  </si>
  <si>
    <t>761430</t>
  </si>
  <si>
    <t>499321</t>
  </si>
  <si>
    <t>499495</t>
  </si>
  <si>
    <t>757885</t>
  </si>
  <si>
    <t>81004</t>
  </si>
  <si>
    <t>794348</t>
  </si>
  <si>
    <t>17596</t>
  </si>
  <si>
    <t>11153</t>
  </si>
  <si>
    <t>147276</t>
  </si>
  <si>
    <t>3275</t>
  </si>
  <si>
    <t>415394</t>
  </si>
  <si>
    <t>498702</t>
  </si>
  <si>
    <t>29426</t>
  </si>
  <si>
    <t>469116</t>
  </si>
  <si>
    <t>77670</t>
  </si>
  <si>
    <t>387666</t>
  </si>
  <si>
    <t>387604</t>
  </si>
  <si>
    <t>387570</t>
  </si>
  <si>
    <t>387514</t>
  </si>
  <si>
    <t>387362</t>
  </si>
  <si>
    <t>387274</t>
  </si>
  <si>
    <t>387163</t>
  </si>
  <si>
    <t>415259</t>
  </si>
  <si>
    <t>415167</t>
  </si>
  <si>
    <t>414975</t>
  </si>
  <si>
    <t>414865</t>
  </si>
  <si>
    <t>414855</t>
  </si>
  <si>
    <t>414538</t>
  </si>
  <si>
    <t>1042535</t>
  </si>
  <si>
    <t xml:space="preserve">ARENA VIP DISTRIBUIDORA DE BEBIDAS LTDA </t>
  </si>
  <si>
    <t>28984</t>
  </si>
  <si>
    <t>57735</t>
  </si>
  <si>
    <t>468950</t>
  </si>
  <si>
    <t>29378</t>
  </si>
  <si>
    <t>66425</t>
  </si>
  <si>
    <t>65448</t>
  </si>
  <si>
    <t>2359</t>
  </si>
  <si>
    <t>2334</t>
  </si>
  <si>
    <t>29201</t>
  </si>
  <si>
    <t>29363</t>
  </si>
  <si>
    <t>496631</t>
  </si>
  <si>
    <t>293322</t>
  </si>
  <si>
    <t>497606</t>
  </si>
  <si>
    <t>754904</t>
  </si>
  <si>
    <t>358872</t>
  </si>
  <si>
    <t>358948</t>
  </si>
  <si>
    <t>359832</t>
  </si>
  <si>
    <t>360125</t>
  </si>
  <si>
    <t>792614</t>
  </si>
  <si>
    <t>793714</t>
  </si>
  <si>
    <t>1749</t>
  </si>
  <si>
    <t>29326</t>
  </si>
  <si>
    <t>29153</t>
  </si>
  <si>
    <t>29187</t>
  </si>
  <si>
    <t>29291</t>
  </si>
  <si>
    <t>48719</t>
  </si>
  <si>
    <t>11119</t>
  </si>
  <si>
    <t>801</t>
  </si>
  <si>
    <t>14359</t>
  </si>
  <si>
    <t>23410</t>
  </si>
  <si>
    <t>14361</t>
  </si>
  <si>
    <t>14360</t>
  </si>
  <si>
    <t>10032</t>
  </si>
  <si>
    <t>265347</t>
  </si>
  <si>
    <t>77588</t>
  </si>
  <si>
    <t>77489</t>
  </si>
  <si>
    <t>WIDE STOCK COMERCIO E DISTRIBUICAO LTDA</t>
  </si>
  <si>
    <t>427675</t>
  </si>
  <si>
    <t>3205</t>
  </si>
  <si>
    <t>31503</t>
  </si>
  <si>
    <t>39</t>
  </si>
  <si>
    <t>2380</t>
  </si>
  <si>
    <t>5760</t>
  </si>
  <si>
    <t>468583</t>
  </si>
  <si>
    <t>468092</t>
  </si>
  <si>
    <t>468203</t>
  </si>
  <si>
    <t>468800</t>
  </si>
  <si>
    <t>468681</t>
  </si>
  <si>
    <t>468443</t>
  </si>
  <si>
    <t>50322</t>
  </si>
  <si>
    <t>5716</t>
  </si>
  <si>
    <t>82087</t>
  </si>
  <si>
    <t>3182</t>
  </si>
  <si>
    <t>11087</t>
  </si>
  <si>
    <t>7605</t>
  </si>
  <si>
    <t>292269</t>
  </si>
  <si>
    <t>387094</t>
  </si>
  <si>
    <t>751887</t>
  </si>
  <si>
    <t>386913</t>
  </si>
  <si>
    <t>80735</t>
  </si>
  <si>
    <t>797</t>
  </si>
  <si>
    <t>467808</t>
  </si>
  <si>
    <t>31329</t>
  </si>
  <si>
    <t>7532</t>
  </si>
  <si>
    <t>77383</t>
  </si>
  <si>
    <t>45438</t>
  </si>
  <si>
    <t>3094</t>
  </si>
  <si>
    <t>3095</t>
  </si>
  <si>
    <t>3122</t>
  </si>
  <si>
    <t>57579</t>
  </si>
  <si>
    <t>77256</t>
  </si>
  <si>
    <t>77340</t>
  </si>
  <si>
    <t>264764</t>
  </si>
  <si>
    <t>17528</t>
  </si>
  <si>
    <t>841471</t>
  </si>
  <si>
    <t>995836</t>
  </si>
  <si>
    <t>995837</t>
  </si>
  <si>
    <t>1040046</t>
  </si>
  <si>
    <t>413745</t>
  </si>
  <si>
    <t>413981</t>
  </si>
  <si>
    <t>414206</t>
  </si>
  <si>
    <t>414283</t>
  </si>
  <si>
    <t>49885</t>
  </si>
  <si>
    <t>2519</t>
  </si>
  <si>
    <t>7471</t>
  </si>
  <si>
    <t>386297</t>
  </si>
  <si>
    <t>386399</t>
  </si>
  <si>
    <t>386559</t>
  </si>
  <si>
    <t>386637</t>
  </si>
  <si>
    <t>386724</t>
  </si>
  <si>
    <t>386811</t>
  </si>
  <si>
    <t>28920</t>
  </si>
  <si>
    <t>32634</t>
  </si>
  <si>
    <t>2250</t>
  </si>
  <si>
    <t>2254</t>
  </si>
  <si>
    <t>2287</t>
  </si>
  <si>
    <t>64296</t>
  </si>
  <si>
    <t>291238</t>
  </si>
  <si>
    <t>467350</t>
  </si>
  <si>
    <t>466936</t>
  </si>
  <si>
    <t>495486</t>
  </si>
  <si>
    <t>495571</t>
  </si>
  <si>
    <t>496202</t>
  </si>
  <si>
    <t>749606</t>
  </si>
  <si>
    <t>791573</t>
  </si>
  <si>
    <t>1738</t>
  </si>
  <si>
    <t>29032</t>
  </si>
  <si>
    <t>29048</t>
  </si>
  <si>
    <t>29072</t>
  </si>
  <si>
    <t>29101</t>
  </si>
  <si>
    <t>28911</t>
  </si>
  <si>
    <t>467264</t>
  </si>
  <si>
    <t>11037</t>
  </si>
  <si>
    <t>791</t>
  </si>
  <si>
    <t>467476</t>
  </si>
  <si>
    <t>467624</t>
  </si>
  <si>
    <t>31173</t>
  </si>
  <si>
    <t>31132</t>
  </si>
  <si>
    <t>16891</t>
  </si>
  <si>
    <t>81699</t>
  </si>
  <si>
    <t>2478</t>
  </si>
  <si>
    <t>2493</t>
  </si>
  <si>
    <t>61840</t>
  </si>
  <si>
    <t>57311</t>
  </si>
  <si>
    <t>412650</t>
  </si>
  <si>
    <t>385455</t>
  </si>
  <si>
    <t>10901</t>
  </si>
  <si>
    <t>17421</t>
  </si>
  <si>
    <t>28794</t>
  </si>
  <si>
    <t>10532</t>
  </si>
  <si>
    <t>763</t>
  </si>
  <si>
    <t>466368</t>
  </si>
  <si>
    <t>466669</t>
  </si>
  <si>
    <t>5602</t>
  </si>
  <si>
    <t>30957</t>
  </si>
  <si>
    <t>SORVETES ROCHINA IND.COM. IMPORT. E EXPORT LTDA</t>
  </si>
  <si>
    <t>33683</t>
  </si>
  <si>
    <t>33684</t>
  </si>
  <si>
    <t>77069</t>
  </si>
  <si>
    <t>264259</t>
  </si>
  <si>
    <t>836926</t>
  </si>
  <si>
    <t>978757</t>
  </si>
  <si>
    <t>978758</t>
  </si>
  <si>
    <t>7403</t>
  </si>
  <si>
    <t>386063</t>
  </si>
  <si>
    <t>386147</t>
  </si>
  <si>
    <t>386243</t>
  </si>
  <si>
    <t>372384</t>
  </si>
  <si>
    <t>289393</t>
  </si>
  <si>
    <t>494195</t>
  </si>
  <si>
    <t>356069</t>
  </si>
  <si>
    <t>790498</t>
  </si>
  <si>
    <t>353865</t>
  </si>
  <si>
    <t>354843</t>
  </si>
  <si>
    <t>789354</t>
  </si>
  <si>
    <t>28526</t>
  </si>
  <si>
    <t>28678</t>
  </si>
  <si>
    <t>28776</t>
  </si>
  <si>
    <t>125027</t>
  </si>
  <si>
    <t>465230</t>
  </si>
  <si>
    <t>465692</t>
  </si>
  <si>
    <t>466006</t>
  </si>
  <si>
    <t>866176</t>
  </si>
  <si>
    <t>35</t>
  </si>
  <si>
    <t>3685</t>
  </si>
  <si>
    <t>425311</t>
  </si>
  <si>
    <t>76972</t>
  </si>
  <si>
    <t>77002</t>
  </si>
  <si>
    <t>263906</t>
  </si>
  <si>
    <t>2528</t>
  </si>
  <si>
    <t>412464</t>
  </si>
  <si>
    <t>412492</t>
  </si>
  <si>
    <t>412896</t>
  </si>
  <si>
    <t>413022</t>
  </si>
  <si>
    <t>2504</t>
  </si>
  <si>
    <t>385394</t>
  </si>
  <si>
    <t>385529</t>
  </si>
  <si>
    <t>385579</t>
  </si>
  <si>
    <t>385624</t>
  </si>
  <si>
    <t>385722</t>
  </si>
  <si>
    <t>385800</t>
  </si>
  <si>
    <t>385865</t>
  </si>
  <si>
    <t>385949</t>
  </si>
  <si>
    <t>385974</t>
  </si>
  <si>
    <t>177950</t>
  </si>
  <si>
    <t>28592</t>
  </si>
  <si>
    <t>28639</t>
  </si>
  <si>
    <t>28729</t>
  </si>
  <si>
    <t>494113</t>
  </si>
  <si>
    <t>493241</t>
  </si>
  <si>
    <t>2529</t>
  </si>
  <si>
    <t>61540</t>
  </si>
  <si>
    <t>62187</t>
  </si>
  <si>
    <t>62307</t>
  </si>
  <si>
    <t>63102</t>
  </si>
  <si>
    <t>287052</t>
  </si>
  <si>
    <t>288492</t>
  </si>
  <si>
    <t>465411</t>
  </si>
  <si>
    <t>465938</t>
  </si>
  <si>
    <t>491981</t>
  </si>
  <si>
    <t xml:space="preserve">493061 </t>
  </si>
  <si>
    <t>493602</t>
  </si>
  <si>
    <t>739437</t>
  </si>
  <si>
    <t>489562</t>
  </si>
  <si>
    <t>823312</t>
  </si>
  <si>
    <t>17452</t>
  </si>
  <si>
    <t>967151</t>
  </si>
  <si>
    <t>7359</t>
  </si>
  <si>
    <t>45379</t>
  </si>
  <si>
    <t>176811</t>
  </si>
  <si>
    <t xml:space="preserve">GRUPELL </t>
  </si>
  <si>
    <t>29586</t>
  </si>
  <si>
    <t>1706</t>
  </si>
  <si>
    <t>124975</t>
  </si>
  <si>
    <t>10942</t>
  </si>
  <si>
    <t>733</t>
  </si>
  <si>
    <t>30674</t>
  </si>
  <si>
    <t>3044</t>
  </si>
  <si>
    <t>81398</t>
  </si>
  <si>
    <t>33</t>
  </si>
  <si>
    <t>MARFRIG GLOBAL FOODS S.A.</t>
  </si>
  <si>
    <t>1313531</t>
  </si>
  <si>
    <t>3613</t>
  </si>
  <si>
    <t>1307274</t>
  </si>
  <si>
    <t>16666</t>
  </si>
  <si>
    <t>2996</t>
  </si>
  <si>
    <t>49260</t>
  </si>
  <si>
    <t>7278</t>
  </si>
  <si>
    <t>91575</t>
  </si>
  <si>
    <t>5420</t>
  </si>
  <si>
    <t>1302477</t>
  </si>
  <si>
    <t>76841</t>
  </si>
  <si>
    <t>10856</t>
  </si>
  <si>
    <t>28452</t>
  </si>
  <si>
    <t>48037</t>
  </si>
  <si>
    <t>76720</t>
  </si>
  <si>
    <t>263274</t>
  </si>
  <si>
    <t>17369</t>
  </si>
  <si>
    <t>940575</t>
  </si>
  <si>
    <t>2449</t>
  </si>
  <si>
    <t>24945</t>
  </si>
  <si>
    <t>412123</t>
  </si>
  <si>
    <t>384818</t>
  </si>
  <si>
    <t>384893</t>
  </si>
  <si>
    <t>384987</t>
  </si>
  <si>
    <t>385028</t>
  </si>
  <si>
    <t>385049</t>
  </si>
  <si>
    <t>385121</t>
  </si>
  <si>
    <t>491425</t>
  </si>
  <si>
    <t>2459</t>
  </si>
  <si>
    <t>60840</t>
  </si>
  <si>
    <t>286264</t>
  </si>
  <si>
    <t>464317</t>
  </si>
  <si>
    <t>464409</t>
  </si>
  <si>
    <t>464596</t>
  </si>
  <si>
    <t>733097</t>
  </si>
  <si>
    <t>1697</t>
  </si>
  <si>
    <t>28346</t>
  </si>
  <si>
    <t>28370</t>
  </si>
  <si>
    <t>80982</t>
  </si>
  <si>
    <t>2948</t>
  </si>
  <si>
    <t>2949</t>
  </si>
  <si>
    <t>1465</t>
  </si>
  <si>
    <t>424539</t>
  </si>
  <si>
    <t>17342</t>
  </si>
  <si>
    <t>7219</t>
  </si>
  <si>
    <t>45210</t>
  </si>
  <si>
    <t>22764</t>
  </si>
  <si>
    <t>5380</t>
  </si>
  <si>
    <t>28260</t>
  </si>
  <si>
    <t>282281</t>
  </si>
  <si>
    <t>10820</t>
  </si>
  <si>
    <t>2899</t>
  </si>
  <si>
    <t>411647</t>
  </si>
  <si>
    <t>411796</t>
  </si>
  <si>
    <t>596</t>
  </si>
  <si>
    <t>7188</t>
  </si>
  <si>
    <t>384636</t>
  </si>
  <si>
    <t>384718</t>
  </si>
  <si>
    <t>384730</t>
  </si>
  <si>
    <t>490563</t>
  </si>
  <si>
    <t>2424</t>
  </si>
  <si>
    <t>1293397</t>
  </si>
  <si>
    <t>REBAL COMERCIAL LTDA</t>
  </si>
  <si>
    <t>291923</t>
  </si>
  <si>
    <t>91068</t>
  </si>
  <si>
    <t>2395</t>
  </si>
  <si>
    <t>59977</t>
  </si>
  <si>
    <t>463984</t>
  </si>
  <si>
    <t>464112</t>
  </si>
  <si>
    <t>730241</t>
  </si>
  <si>
    <t>786693</t>
  </si>
  <si>
    <t>1684</t>
  </si>
  <si>
    <t>263010</t>
  </si>
  <si>
    <t>76563</t>
  </si>
  <si>
    <t>423733</t>
  </si>
  <si>
    <t>30412</t>
  </si>
  <si>
    <t>HORTA NOVA DISTRIBUIDORA DE HORTIFRUTI LTDA</t>
  </si>
  <si>
    <t>8331</t>
  </si>
  <si>
    <t>5342</t>
  </si>
  <si>
    <t>463893</t>
  </si>
  <si>
    <t>114220</t>
  </si>
  <si>
    <t>3465</t>
  </si>
  <si>
    <t>8320</t>
  </si>
  <si>
    <t>8300</t>
  </si>
  <si>
    <t>1677</t>
  </si>
  <si>
    <t>809674</t>
  </si>
  <si>
    <t>918643</t>
  </si>
  <si>
    <t>23900</t>
  </si>
  <si>
    <t>384398</t>
  </si>
  <si>
    <t>384489</t>
  </si>
  <si>
    <t>384576</t>
  </si>
  <si>
    <t>CRYSTALMIXX-GAS COMERCIO E MANUTENCAO DE EQUIPAMENTOS DE GAS LTDA</t>
  </si>
  <si>
    <t>31795</t>
  </si>
  <si>
    <t>285149</t>
  </si>
  <si>
    <t>463552</t>
  </si>
  <si>
    <t>463852</t>
  </si>
  <si>
    <t>489999</t>
  </si>
  <si>
    <t>728328</t>
  </si>
  <si>
    <t>1291367</t>
  </si>
  <si>
    <t>648</t>
  </si>
  <si>
    <t>281285</t>
  </si>
  <si>
    <t>21114</t>
  </si>
  <si>
    <t>409713</t>
  </si>
  <si>
    <t>409736</t>
  </si>
  <si>
    <t>1630</t>
  </si>
  <si>
    <t>383193</t>
  </si>
  <si>
    <t>123874</t>
  </si>
  <si>
    <t>937375</t>
  </si>
  <si>
    <t>7842</t>
  </si>
  <si>
    <t>491220</t>
  </si>
  <si>
    <t>3136</t>
  </si>
  <si>
    <t>29219</t>
  </si>
  <si>
    <t>1664</t>
  </si>
  <si>
    <t>784797</t>
  </si>
  <si>
    <t>784661</t>
  </si>
  <si>
    <t>722205</t>
  </si>
  <si>
    <t>462563</t>
  </si>
  <si>
    <t>462324</t>
  </si>
  <si>
    <t>462163</t>
  </si>
  <si>
    <t>283459</t>
  </si>
  <si>
    <t>57242</t>
  </si>
  <si>
    <t>2341</t>
  </si>
  <si>
    <t xml:space="preserve">EMPORIO MEL </t>
  </si>
  <si>
    <t>488240</t>
  </si>
  <si>
    <t>487241</t>
  </si>
  <si>
    <t>486918</t>
  </si>
  <si>
    <t>383940</t>
  </si>
  <si>
    <t>383908</t>
  </si>
  <si>
    <t>383867</t>
  </si>
  <si>
    <t>7030</t>
  </si>
  <si>
    <t>22998</t>
  </si>
  <si>
    <t>899743</t>
  </si>
  <si>
    <t>262306</t>
  </si>
  <si>
    <t>76278</t>
  </si>
  <si>
    <t>76237</t>
  </si>
  <si>
    <t>3206</t>
  </si>
  <si>
    <t>2836</t>
  </si>
  <si>
    <t>29985</t>
  </si>
  <si>
    <t>8151</t>
  </si>
  <si>
    <t>8005</t>
  </si>
  <si>
    <t>8003</t>
  </si>
  <si>
    <t>8090</t>
  </si>
  <si>
    <t>3128</t>
  </si>
  <si>
    <t>461876</t>
  </si>
  <si>
    <t>764</t>
  </si>
  <si>
    <t>8038</t>
  </si>
  <si>
    <t xml:space="preserve">2837 </t>
  </si>
  <si>
    <t>1274882</t>
  </si>
  <si>
    <t>890396</t>
  </si>
  <si>
    <t>890395</t>
  </si>
  <si>
    <t>487539</t>
  </si>
  <si>
    <t>486995</t>
  </si>
  <si>
    <t>174022</t>
  </si>
  <si>
    <t>383806</t>
  </si>
  <si>
    <t>383729</t>
  </si>
  <si>
    <t>383635</t>
  </si>
  <si>
    <t>383568</t>
  </si>
  <si>
    <t>383530</t>
  </si>
  <si>
    <t>2479</t>
  </si>
  <si>
    <t>410508</t>
  </si>
  <si>
    <t>410219</t>
  </si>
  <si>
    <t>410166</t>
  </si>
  <si>
    <t>22256</t>
  </si>
  <si>
    <t>382812</t>
  </si>
  <si>
    <t>10748</t>
  </si>
  <si>
    <t>124179</t>
  </si>
  <si>
    <t>113270</t>
  </si>
  <si>
    <t>48207</t>
  </si>
  <si>
    <t>5182</t>
  </si>
  <si>
    <t>5093</t>
  </si>
  <si>
    <t>5130</t>
  </si>
  <si>
    <t>90136</t>
  </si>
  <si>
    <t>718610</t>
  </si>
  <si>
    <t>21697</t>
  </si>
  <si>
    <t>56944</t>
  </si>
  <si>
    <t>7965</t>
  </si>
  <si>
    <t>1644</t>
  </si>
  <si>
    <t>461670</t>
  </si>
  <si>
    <t>282196</t>
  </si>
  <si>
    <t>282121</t>
  </si>
  <si>
    <t>383436</t>
  </si>
  <si>
    <t>6936</t>
  </si>
  <si>
    <t>17212</t>
  </si>
  <si>
    <t>2794</t>
  </si>
  <si>
    <t>2793</t>
  </si>
  <si>
    <t>7824</t>
  </si>
  <si>
    <t>783170</t>
  </si>
  <si>
    <t>783171</t>
  </si>
  <si>
    <t>485735</t>
  </si>
  <si>
    <t>383347</t>
  </si>
  <si>
    <t>461482</t>
  </si>
  <si>
    <t>282033</t>
  </si>
  <si>
    <t>2336</t>
  </si>
  <si>
    <t>2298</t>
  </si>
  <si>
    <t>2301</t>
  </si>
  <si>
    <t>486088</t>
  </si>
  <si>
    <t>120</t>
  </si>
  <si>
    <t>56021</t>
  </si>
  <si>
    <t>713803</t>
  </si>
  <si>
    <t>16285</t>
  </si>
  <si>
    <t>76086</t>
  </si>
  <si>
    <t>460842</t>
  </si>
  <si>
    <t>2473</t>
  </si>
  <si>
    <t>6876</t>
  </si>
  <si>
    <t>383272</t>
  </si>
  <si>
    <t>461344</t>
  </si>
  <si>
    <t>7115366</t>
  </si>
  <si>
    <t>7865</t>
  </si>
  <si>
    <t>481833</t>
  </si>
  <si>
    <t>47958</t>
  </si>
  <si>
    <t>383085</t>
  </si>
  <si>
    <t>173307</t>
  </si>
  <si>
    <t>485287</t>
  </si>
  <si>
    <t>1267655</t>
  </si>
  <si>
    <t>1452</t>
  </si>
  <si>
    <t>17159</t>
  </si>
  <si>
    <t>JUNDIA FOODS DISTRIBUIDORA DE PRODUTOA ALIMENTICIOS LTDA</t>
  </si>
  <si>
    <t>573446</t>
  </si>
  <si>
    <t>72553</t>
  </si>
  <si>
    <t>30753</t>
  </si>
  <si>
    <t>7755</t>
  </si>
  <si>
    <t>641</t>
  </si>
  <si>
    <t>382982</t>
  </si>
  <si>
    <t>2749</t>
  </si>
  <si>
    <t>1261602</t>
  </si>
  <si>
    <t>1261595</t>
  </si>
  <si>
    <t>382894</t>
  </si>
  <si>
    <t>1448</t>
  </si>
  <si>
    <t>460667</t>
  </si>
  <si>
    <t>7706</t>
  </si>
  <si>
    <t>781723</t>
  </si>
  <si>
    <t>257</t>
  </si>
  <si>
    <t>75986</t>
  </si>
  <si>
    <t>10633</t>
  </si>
  <si>
    <t>2468</t>
  </si>
  <si>
    <t>3065</t>
  </si>
  <si>
    <t>6471</t>
  </si>
  <si>
    <t>4968</t>
  </si>
  <si>
    <t>261244</t>
  </si>
  <si>
    <t>382705</t>
  </si>
  <si>
    <t>871867</t>
  </si>
  <si>
    <t>871868</t>
  </si>
  <si>
    <t>871866</t>
  </si>
  <si>
    <t>279979</t>
  </si>
  <si>
    <t>460396</t>
  </si>
  <si>
    <t>409144</t>
  </si>
  <si>
    <t>7648</t>
  </si>
  <si>
    <t>47740</t>
  </si>
  <si>
    <t>172570</t>
  </si>
  <si>
    <t>80282</t>
  </si>
  <si>
    <t>621</t>
  </si>
  <si>
    <t>409024</t>
  </si>
  <si>
    <t>Data_Evento</t>
  </si>
  <si>
    <t>Categoria</t>
  </si>
  <si>
    <t>Soma_Valor_Transacao_Bruto</t>
  </si>
  <si>
    <t>Soma_Desconto</t>
  </si>
  <si>
    <t>Soma_Valor_Transacao_Liquido</t>
  </si>
  <si>
    <t>Bebidas</t>
  </si>
  <si>
    <t>Alimentos</t>
  </si>
  <si>
    <t>Couvert</t>
  </si>
  <si>
    <t>ID_receita</t>
  </si>
  <si>
    <t>Cliente</t>
  </si>
  <si>
    <t>Classificacao</t>
  </si>
  <si>
    <t>ID_Evento</t>
  </si>
  <si>
    <t>Nome_Evento</t>
  </si>
  <si>
    <t>Tipo_Evento</t>
  </si>
  <si>
    <t>Modelo_Evento</t>
  </si>
  <si>
    <t>Valor_Total</t>
  </si>
  <si>
    <t>Data_Ocorrencia</t>
  </si>
  <si>
    <t>Recebimento_Parcela</t>
  </si>
  <si>
    <t>Valor_Parcela</t>
  </si>
  <si>
    <t>Status_Pgto</t>
  </si>
  <si>
    <t>Categ_AB</t>
  </si>
  <si>
    <t>Categ_Aluguel</t>
  </si>
  <si>
    <t>Categ_Artist</t>
  </si>
  <si>
    <t>Categ_Couvert</t>
  </si>
  <si>
    <t>Categ_Locacao</t>
  </si>
  <si>
    <t>Categ_Patroc</t>
  </si>
  <si>
    <t>Categ_Taxa_Serv</t>
  </si>
  <si>
    <t>Ocorrencia_Mes_Texto</t>
  </si>
  <si>
    <t>Recebimento_Mes_Texto</t>
  </si>
  <si>
    <t>LIRIUM RECICLAGEM</t>
  </si>
  <si>
    <t>Coleta de Óleo</t>
  </si>
  <si>
    <t>Eshows</t>
  </si>
  <si>
    <t xml:space="preserve">Bruna Barberato </t>
  </si>
  <si>
    <t>Aniversário</t>
  </si>
  <si>
    <t>Social</t>
  </si>
  <si>
    <t>Comanda Aberta / Couvert Antecipado</t>
  </si>
  <si>
    <t>06/2025</t>
  </si>
  <si>
    <t>ID_Parcela</t>
  </si>
  <si>
    <t>Nome_do_Evento</t>
  </si>
  <si>
    <t>Comercial_Responsável</t>
  </si>
  <si>
    <t>Valor Total</t>
  </si>
  <si>
    <t>Valor AB</t>
  </si>
  <si>
    <t>Valor Taxa Serviço</t>
  </si>
  <si>
    <t>Valor Locação Espaço</t>
  </si>
  <si>
    <t>Valor Contratação Artístico</t>
  </si>
  <si>
    <t>Valor Contratação Técnico de Som</t>
  </si>
  <si>
    <t>Valor Contatação Bilheteria/Couvert Artístico</t>
  </si>
  <si>
    <t>Valor Locação Gerador</t>
  </si>
  <si>
    <t>Valor Locação Decoração/Mobiliário</t>
  </si>
  <si>
    <t>Valor Locação Utensílios</t>
  </si>
  <si>
    <t>Valor Mão de Obra Extra</t>
  </si>
  <si>
    <t>Valor Comissão BV</t>
  </si>
  <si>
    <t>Valor Taxa Administrativa</t>
  </si>
  <si>
    <t>Valor Extras Gerais</t>
  </si>
  <si>
    <t>Valor_Imposto</t>
  </si>
  <si>
    <t>Valor Acréscimo Forma de Pagamento</t>
  </si>
  <si>
    <t>Mes_Texto_Evento</t>
  </si>
  <si>
    <t>Mes_Texto_Recebimento</t>
  </si>
  <si>
    <t>PRO_2601355_Gabriela Amaral</t>
  </si>
  <si>
    <t>Flávia Oliveira</t>
  </si>
  <si>
    <t>Pacote Exclusivo</t>
  </si>
  <si>
    <t xml:space="preserve">PRO_2605620_Laura Ramalho </t>
  </si>
  <si>
    <t>PRO_2603471_Samira Saady Morhy</t>
  </si>
  <si>
    <t>PRO_2606661_Matheus de Souza Rodrigues Ferraz</t>
  </si>
  <si>
    <t>PRO_2605548_Daniela Costa</t>
  </si>
  <si>
    <t>PRO_2605615_Gabriela D Ávila Quintas</t>
  </si>
  <si>
    <t>PRO_2606657_Débora Menezes Magalhães Brito</t>
  </si>
  <si>
    <t>ADITIVO  ref. 3559_Débora Menezes Magalhães Brito</t>
  </si>
  <si>
    <t>PRO_2605581_Giuliana Travassos Pires Santiago</t>
  </si>
  <si>
    <t>PRO_2606633_Adriana Segura de Marco</t>
  </si>
  <si>
    <t xml:space="preserve">PRO_2604483_Beatriz Torres </t>
  </si>
  <si>
    <t xml:space="preserve">ADITIVO ID 3460 CORP. REF. AO ID 2959_Beatriz Torres </t>
  </si>
  <si>
    <t xml:space="preserve">PRO_2604492_Andressa Bellini </t>
  </si>
  <si>
    <t>PRO_2604509_Vanessa Toledo</t>
  </si>
  <si>
    <t>PRO_2604506_Paulo Filho</t>
  </si>
  <si>
    <t>ADITIVO  3455 ref. ID 3067_Vanessa toledo</t>
  </si>
  <si>
    <t>PRO_2604517_Marcelo Cruz</t>
  </si>
  <si>
    <t xml:space="preserve">PRO_2604508_Cristiana Campelo Batistuzzo </t>
  </si>
  <si>
    <t>PRO_2604500_Lucas aparecido Rodrigues dos Reis</t>
  </si>
  <si>
    <t>ADITIVO REF. AO ID 3027_PRO_2604500_Lucas aparecido Rodrigues dos Reis</t>
  </si>
  <si>
    <t>PRO_2603479_ Débora monfré Barbalho</t>
  </si>
  <si>
    <t>PRO_2603486_Priscila Scarlat Marques</t>
  </si>
  <si>
    <t>PRO_2602415_Camila Cacciare</t>
  </si>
  <si>
    <t>ADITIVO REF. AO ID 2662_PRO_2602415_Camila Cacciare</t>
  </si>
  <si>
    <t>PRO_2602421_Filipe Paro</t>
  </si>
  <si>
    <t>ADITIVO CORP. REF. AO ID 2678_Filipe Paro</t>
  </si>
  <si>
    <t>PRO_2601378_Laerte Camargo de Oliveira</t>
  </si>
  <si>
    <t>PRO_2601361_Victoria Arisa Linn</t>
  </si>
  <si>
    <t>PRO_2603460_Olívia Rubin Severiano</t>
  </si>
  <si>
    <t>PRO_2601383_Naira Zitei</t>
  </si>
  <si>
    <t>PRO_2601357_Neto Jatobá</t>
  </si>
  <si>
    <t>PRO_2602425_Giovanna Duque</t>
  </si>
  <si>
    <t>PRO_2601397_Aleksandra Bianchi</t>
  </si>
  <si>
    <t>PRO_2602426_Maria Eugênia Rocha</t>
  </si>
  <si>
    <t xml:space="preserve">PRO_2602417_Camila Mayumi Sato </t>
  </si>
  <si>
    <t>PRO_2512346_Vinicius Origuela</t>
  </si>
  <si>
    <t>PRO_2512339_Andreia Oliveira</t>
  </si>
  <si>
    <t>PRO_2510150_Lilian Fonseca Lima Pizzolotti</t>
  </si>
  <si>
    <t>PRO_2511194_Gabriel Manfredini de Abreu</t>
  </si>
  <si>
    <t>Confraternização</t>
  </si>
  <si>
    <t>09/2025</t>
  </si>
  <si>
    <t>PRO_2510166_Jenifer Moreira</t>
  </si>
  <si>
    <t>PRO_2510116_Jessica Tanaka</t>
  </si>
  <si>
    <t>PRO_2510218_Jessica Tanaka</t>
  </si>
  <si>
    <t>PRO_2511301_Thais Dora</t>
  </si>
  <si>
    <t>PRO_2510069_Renata Pisani</t>
  </si>
  <si>
    <t>PRO_2511192_Ecilane Rodrigues</t>
  </si>
  <si>
    <t>PRO_2511294_DIVERTI EVENTOS F&amp;B LTDA</t>
  </si>
  <si>
    <t xml:space="preserve">PRO_2512320_Samuel Ribeiro </t>
  </si>
  <si>
    <t>PRO_2512321_Rubens Nigro</t>
  </si>
  <si>
    <t>ADITIVO CORP. REF. AO ID 2195</t>
  </si>
  <si>
    <t>PRO_2511286_Luna Costa de Andrade Penteado</t>
  </si>
  <si>
    <t>ADITIVO CORP. REF. AO ID 659_Bruna Barberato</t>
  </si>
  <si>
    <t>PRO_2509001_Camilla Dietrich Lacerda Soares</t>
  </si>
  <si>
    <t>ADITIVO REF. AO ID 793_Matia GabrielaTLC</t>
  </si>
  <si>
    <t>ADITIVO CORP. REF. AO ID 1458_Leticia Sampaio Santos</t>
  </si>
  <si>
    <t>PRO_2510124_Leticia Sampaio Santos</t>
  </si>
  <si>
    <t>PRO_2512315_Bruno Panico</t>
  </si>
  <si>
    <t>PRO_2511217_Fabiana Ramos</t>
  </si>
  <si>
    <t>PRO_2512317_Viviane Gomes Almeida</t>
  </si>
  <si>
    <t>PRO_2511266_Leandro Kamada</t>
  </si>
  <si>
    <t>ADITIVO 2229 ref. ID 1904_Leandro Kamada</t>
  </si>
  <si>
    <t>PRO_2512318_Gilmara Gomes</t>
  </si>
  <si>
    <t>PRO_2510110_Andreza De Vincenzo</t>
  </si>
  <si>
    <t>PRO_2510120_Maria Eduarda de Souza</t>
  </si>
  <si>
    <t>ADITIVO CORP. REF. AO ID 1440</t>
  </si>
  <si>
    <t>PRO_2511187_Mariana Wiezel dos Santos</t>
  </si>
  <si>
    <t>PRO_2511200_Fábio Matias Gonçalves</t>
  </si>
  <si>
    <t>PRO_2511225_Mariana Rodrigues</t>
  </si>
  <si>
    <t>ADITIVO_1828_Mariana Rodrigues</t>
  </si>
  <si>
    <t>PRO_2510137_Fernando Novaes Martins Ferreira</t>
  </si>
  <si>
    <t>PRO_2509033_Maria Clara Wagner Amaral Pereira da Silva</t>
  </si>
  <si>
    <t>PRO_2510089_Giovanna Fruet</t>
  </si>
  <si>
    <t>PRO_2510148_Renata Arcoverde Ayres Hohl</t>
  </si>
  <si>
    <t>PRO_2509121_Mariana Dias Capozoli</t>
  </si>
  <si>
    <t xml:space="preserve">PRO_2510062_Thalita Vieira </t>
  </si>
  <si>
    <t>PRO_2510042_Victor Lucio de Oliveira</t>
  </si>
  <si>
    <t>TURISMO</t>
  </si>
  <si>
    <t>PRO_2509001_ Ericson Tassini</t>
  </si>
  <si>
    <t>08/2025</t>
  </si>
  <si>
    <t>Networking</t>
  </si>
  <si>
    <t>07/2025</t>
  </si>
  <si>
    <t>Comemoração Formandos</t>
  </si>
  <si>
    <t>ADITIVO CORP. REF. AO ID 5202</t>
  </si>
  <si>
    <t>ID_CASA</t>
  </si>
  <si>
    <t>CNPJ_CASA</t>
  </si>
  <si>
    <t>NUM_MATRICULA_FUNC</t>
  </si>
  <si>
    <t>NOME_FUNC</t>
  </si>
  <si>
    <t>CPF_FUNC</t>
  </si>
  <si>
    <t>CODIGO_VERBA</t>
  </si>
  <si>
    <t>VERBA</t>
  </si>
  <si>
    <t>PROCESSO</t>
  </si>
  <si>
    <t>QUANTIDADE</t>
  </si>
  <si>
    <t>VALOR</t>
  </si>
  <si>
    <t>DATA_CALCULO</t>
  </si>
  <si>
    <t>DATA_PAGAMENTO</t>
  </si>
  <si>
    <t>57.174.128/0002-70</t>
  </si>
  <si>
    <t>434.249.008-00</t>
  </si>
  <si>
    <t>1 - Mensal</t>
  </si>
  <si>
    <t>043.914.485-05</t>
  </si>
  <si>
    <t>026.996.293-08</t>
  </si>
  <si>
    <t>009.524.573-18</t>
  </si>
  <si>
    <t>169.098.488-02</t>
  </si>
  <si>
    <t>021.963.124-79</t>
  </si>
  <si>
    <t>304.621.690-49</t>
  </si>
  <si>
    <t>166.073.918-77</t>
  </si>
  <si>
    <t>120.031.186-83</t>
  </si>
  <si>
    <t>493.480.138-31</t>
  </si>
  <si>
    <t>129.634.394-40</t>
  </si>
  <si>
    <t>047.037.183-83</t>
  </si>
  <si>
    <t>315.361.058-48</t>
  </si>
  <si>
    <t>JOVANNA DA SILVA SOUSA</t>
  </si>
  <si>
    <t>507.459.368-90</t>
  </si>
  <si>
    <t>5 - Rescisão</t>
  </si>
  <si>
    <t>ALLANA PEDROSA RODRIGUES POMPÍLIO</t>
  </si>
  <si>
    <t>229.345.948-90</t>
  </si>
  <si>
    <t>786.633.502-87</t>
  </si>
  <si>
    <t>486.451.788-69</t>
  </si>
  <si>
    <t>284.055.658-84</t>
  </si>
  <si>
    <t>117.332.305-80</t>
  </si>
  <si>
    <t>507.350.598-02</t>
  </si>
  <si>
    <t>289.786.798-11</t>
  </si>
  <si>
    <t>444.874.568-60</t>
  </si>
  <si>
    <t>Unidade</t>
  </si>
  <si>
    <t>Total Desc</t>
  </si>
  <si>
    <t>CMV</t>
  </si>
  <si>
    <t>Permanece no Desconto</t>
  </si>
  <si>
    <t>Aloca no Centro de Custo</t>
  </si>
  <si>
    <t>Centro de Custo</t>
  </si>
  <si>
    <t>Dedução Faturamento - Alimento</t>
  </si>
  <si>
    <t>Dedução Faturamento - Bebida</t>
  </si>
  <si>
    <t>Descontos - DRE</t>
  </si>
  <si>
    <t>[Ação de Marketing] - Captação de Imagens</t>
  </si>
  <si>
    <t>[Evento] - Beatriz Torres</t>
  </si>
  <si>
    <t>Faturamento de Eventos - Promoções Utilizadas</t>
  </si>
  <si>
    <t>[Evento] - Camila Cacciare</t>
  </si>
  <si>
    <t>[Evento] - Cristiana Campelo</t>
  </si>
  <si>
    <t>[Evento] - Filipe Paro</t>
  </si>
  <si>
    <t>[Evento] - LPQ</t>
  </si>
  <si>
    <t>[Evento] - Novared Brasil</t>
  </si>
  <si>
    <t>[Evento] - Nubank</t>
  </si>
  <si>
    <t>[Evento] - Vanessa Toledo</t>
  </si>
  <si>
    <t>30% DIVERTI - CPF</t>
  </si>
  <si>
    <t>30% ESHOWS - CPF</t>
  </si>
  <si>
    <t>30% ESHOWS - RG</t>
  </si>
  <si>
    <t>30% FÁBRICA DE BARES - CPF</t>
  </si>
  <si>
    <t>30% FÁBRICA DE BARES - RG</t>
  </si>
  <si>
    <t>COLABORADORES (30%)</t>
  </si>
  <si>
    <t>CONSUMO GERENCIAL</t>
  </si>
  <si>
    <t>CONTA ASSINADA</t>
  </si>
  <si>
    <t>CONVÊNIO</t>
  </si>
  <si>
    <t>CORTESIA</t>
  </si>
  <si>
    <t>MARKETING</t>
  </si>
  <si>
    <t>MÚSICOS</t>
  </si>
  <si>
    <t>OPERACIONAL</t>
  </si>
  <si>
    <t>PERMUTA</t>
  </si>
  <si>
    <t>PROMOÇÃO</t>
  </si>
  <si>
    <t>REUNIÃO - TI</t>
  </si>
  <si>
    <t>SEM JUSTIFICATIVA</t>
  </si>
  <si>
    <t>Produto</t>
  </si>
  <si>
    <t>Promoção</t>
  </si>
  <si>
    <t>Categoria Produto</t>
  </si>
  <si>
    <t>Quantidade de usos</t>
  </si>
  <si>
    <t>Desconto total</t>
  </si>
  <si>
    <t>A&amp;B</t>
  </si>
  <si>
    <t>PEPSI</t>
  </si>
  <si>
    <t>SOFTS</t>
  </si>
  <si>
    <t>B</t>
  </si>
  <si>
    <t>SODA</t>
  </si>
  <si>
    <t>ÁGUA SEM GÁS</t>
  </si>
  <si>
    <t>Softs</t>
  </si>
  <si>
    <t>SODA ZERO</t>
  </si>
  <si>
    <t>G&amp;T</t>
  </si>
  <si>
    <t>Drinks Clássicos</t>
  </si>
  <si>
    <t>A</t>
  </si>
  <si>
    <t>SORVETE PDV</t>
  </si>
  <si>
    <t>SOBREMESAS</t>
  </si>
  <si>
    <t>POLENTA CROCANTE</t>
  </si>
  <si>
    <t>PARA COMEÇAR, BELISCAR E COMPARTILHAR</t>
  </si>
  <si>
    <t>FRITAS DA CASA</t>
  </si>
  <si>
    <t>ACOMPANHAMENTOS</t>
  </si>
  <si>
    <t>ÁGUA COM GÁS</t>
  </si>
  <si>
    <t>CHOPP BRAHMA CLARO</t>
  </si>
  <si>
    <t>CHOPP</t>
  </si>
  <si>
    <t>CAIPIRINHA TRADICIONAL</t>
  </si>
  <si>
    <t>Caipirinhas</t>
  </si>
  <si>
    <t>PEPSI ZERO</t>
  </si>
  <si>
    <t>SUCO DE LARANJA</t>
  </si>
  <si>
    <t>GUARANÁ ZERO</t>
  </si>
  <si>
    <t>BIFE DE CHORIZO 250 g</t>
  </si>
  <si>
    <t>DA CHURRASQUEIRA</t>
  </si>
  <si>
    <t>MOUSSE DE LIMAO DUO</t>
  </si>
  <si>
    <t>CAIPIRINHA 3 LIMÕES COM RAPADURA</t>
  </si>
  <si>
    <t>REFRESCO DE HIBISCO COM MAÇÃ E LIMÃO SICILIANO</t>
  </si>
  <si>
    <t>CHURRASCADA DA CASA</t>
  </si>
  <si>
    <t>ESPETO DE CORAÇÃO</t>
  </si>
  <si>
    <t>CERVEJA ORIGINAL 600 ml</t>
  </si>
  <si>
    <t>CERVEJA 600 ML</t>
  </si>
  <si>
    <t>PICOLE ZERO</t>
  </si>
  <si>
    <t>CROQUETE DE COSTELA</t>
  </si>
  <si>
    <t>BANANA ASSADA</t>
  </si>
  <si>
    <t>CAIPIRINHA MARACUJÁ COM MEL</t>
  </si>
  <si>
    <t>SALADA JULIENNE</t>
  </si>
  <si>
    <t>SALADAS</t>
  </si>
  <si>
    <t>PICANHA</t>
  </si>
  <si>
    <t>DADINHO DE TAPIOCA COM CARNE SECA</t>
  </si>
  <si>
    <t>SUCO DE MARACUJÁ</t>
  </si>
  <si>
    <t>QUEIJO COALHO</t>
  </si>
  <si>
    <t>PÃO DE ALHO</t>
  </si>
  <si>
    <t>CARAJILLO</t>
  </si>
  <si>
    <t>PARA FINALIZAR</t>
  </si>
  <si>
    <t>ARROZ BIRO BIRO</t>
  </si>
  <si>
    <t>PICANHA 500 g</t>
  </si>
  <si>
    <t>ESPETADA DE JACARE</t>
  </si>
  <si>
    <t>CAIPIRINHA MANDACAJU</t>
  </si>
  <si>
    <t>CAIPIRINHAS</t>
  </si>
  <si>
    <t>FRALDINHA</t>
  </si>
  <si>
    <t>BLOODY MARY</t>
  </si>
  <si>
    <t>MARGARITA</t>
  </si>
  <si>
    <t>SODA ITALIANA</t>
  </si>
  <si>
    <t>PICOLE FAMILIA</t>
  </si>
  <si>
    <t>ESPETO MISTO</t>
  </si>
  <si>
    <t>COSTELA BOVINA</t>
  </si>
  <si>
    <t>PAVE DE CHOCOLATE BRANCO E MEIO AMARGO</t>
  </si>
  <si>
    <t>BUFFET SEM CHURRASCO</t>
  </si>
  <si>
    <t>SUGESTÕES DA SEMANA</t>
  </si>
  <si>
    <t>CAIPIRINHA ONÇA PINTADA</t>
  </si>
  <si>
    <t>PASTELZINHO</t>
  </si>
  <si>
    <t>PICOLE CREMOSO</t>
  </si>
  <si>
    <t>ESPETO DE TULIPA</t>
  </si>
  <si>
    <t>FILET MIGNON INFANTIL</t>
  </si>
  <si>
    <t>INFANTIL</t>
  </si>
  <si>
    <t>BOMBOM DE SORVETE BITS</t>
  </si>
  <si>
    <t>JACARÉ BURGUER</t>
  </si>
  <si>
    <t>SANDUÍCHES</t>
  </si>
  <si>
    <t>CHÁ MATE GELADO</t>
  </si>
  <si>
    <t>PICOLE INFANTIL</t>
  </si>
  <si>
    <t>BUFFET COM CHURRASCO</t>
  </si>
  <si>
    <t>PUDIM DE LEITE</t>
  </si>
  <si>
    <t>LINGUIÇA DE RODA</t>
  </si>
  <si>
    <t>CHORIPAN</t>
  </si>
  <si>
    <t>CREME DE PAPAYA</t>
  </si>
  <si>
    <t>FITZGERALD</t>
  </si>
  <si>
    <t>CAFÉ ESPRESSO</t>
  </si>
  <si>
    <t>OLD FASHIONED</t>
  </si>
  <si>
    <t>Fora da Carta</t>
  </si>
  <si>
    <t>SUCO DE ABACAXI</t>
  </si>
  <si>
    <t>Couvert NOITE R$ 10</t>
  </si>
  <si>
    <t>Couvert Artístico</t>
  </si>
  <si>
    <t>SUCO DE LIMÃO</t>
  </si>
  <si>
    <t>CHEESE SALADA</t>
  </si>
  <si>
    <t>GALETO DESOSSADO</t>
  </si>
  <si>
    <t>SALADA CHIFA</t>
  </si>
  <si>
    <t>TONICA ZERO</t>
  </si>
  <si>
    <t>BERINJELA ASSADA NA BRASA</t>
  </si>
  <si>
    <t>QUERIDINHOS DO JACA</t>
  </si>
  <si>
    <t>CARPACCIO DE ROSBIFE</t>
  </si>
  <si>
    <t>BIFE ANCHO 250 g</t>
  </si>
  <si>
    <t>CUPIM BRASEADO</t>
  </si>
  <si>
    <t>SALADA DA CASA</t>
  </si>
  <si>
    <t>RED BULL TRADICIONAL</t>
  </si>
  <si>
    <t>CERVEJA PATAGONIA IPA Long Neck</t>
  </si>
  <si>
    <t>Cervejas</t>
  </si>
  <si>
    <t>FAROFA DE OVOS CAIPIRA</t>
  </si>
  <si>
    <t>CEBOLA E BATATA-DOCE</t>
  </si>
  <si>
    <t>BIFE DE CHORIZO 500 g</t>
  </si>
  <si>
    <t>CHIMICHURRI</t>
  </si>
  <si>
    <t>CERVEJA STELLA ARTOIS LONG NECK 330ml</t>
  </si>
  <si>
    <t>CERVEJAS LONG NECK</t>
  </si>
  <si>
    <t>CAIPIRINHA ABACAXI, LIMÃO, GENGIBRE</t>
  </si>
  <si>
    <t>AFFOGATO BAILEYS</t>
  </si>
  <si>
    <t>ESPETO DE MIGNON COM BACON</t>
  </si>
  <si>
    <t>VINHO TINTO DESTINO MALBEC</t>
  </si>
  <si>
    <t>CARTA DE VINHOS</t>
  </si>
  <si>
    <t>CHÁ NATURAL HORTELÃ</t>
  </si>
  <si>
    <t>VINHO BRANCO DESTINO CHARDONNAY</t>
  </si>
  <si>
    <t>BATATA BRAVA</t>
  </si>
  <si>
    <t>DOUBLE CHOPP BRAHMA</t>
  </si>
  <si>
    <t>HAPPY HOUR DO JACA</t>
  </si>
  <si>
    <t>BIFE ANCHO 500 g</t>
  </si>
  <si>
    <t>POLVO</t>
  </si>
  <si>
    <t>CHOPP PATAGONIA AMBER LAGER</t>
  </si>
  <si>
    <t>Chope</t>
  </si>
  <si>
    <t>PATAGONIA AMBER  LAGER LONG NECK</t>
  </si>
  <si>
    <t>CERVEJAS</t>
  </si>
  <si>
    <t>PALMITO PUPUNHA</t>
  </si>
  <si>
    <t>APEROL SPRITZ</t>
  </si>
  <si>
    <t>GUARANÁ</t>
  </si>
  <si>
    <t>FEIJÃO</t>
  </si>
  <si>
    <t>ARROZ COM BROCÓLIS</t>
  </si>
  <si>
    <t>ARROZ BRANCO</t>
  </si>
  <si>
    <t>MANDIOCA</t>
  </si>
  <si>
    <t>FEIJOADA INDIVIDUAL</t>
  </si>
  <si>
    <t>FEIJOADA 2 PESSOAS</t>
  </si>
  <si>
    <t>Double Caipirinha tradicional de limão</t>
  </si>
  <si>
    <t>Open Chopp</t>
  </si>
  <si>
    <t>Caju Elétrico</t>
  </si>
  <si>
    <t>Couvert DIA  R$ 20</t>
  </si>
  <si>
    <t>DOUBLE FITZGERALD</t>
  </si>
  <si>
    <t>AÇÃO DIAGEO</t>
  </si>
  <si>
    <t>COSTELINHA DE PORCO</t>
  </si>
  <si>
    <t>MOSCOW MULE</t>
  </si>
  <si>
    <t>PICOLE ESPECIAL</t>
  </si>
  <si>
    <t>PICOLE REFRESCANTE</t>
  </si>
  <si>
    <t>DOUBLE CAIPIROSKA</t>
  </si>
  <si>
    <t>CHURRASQUINHO</t>
  </si>
  <si>
    <t>CERVEJA CORONA 600 ml</t>
  </si>
  <si>
    <t>PEIXE</t>
  </si>
  <si>
    <t>VINHO VERDE QUINTA AZEVEDO</t>
  </si>
  <si>
    <t>CAIPIRINHA - DOBRO</t>
  </si>
  <si>
    <t>Gin Tonica</t>
  </si>
  <si>
    <t>Drinks</t>
  </si>
  <si>
    <t>PEIXE INFANTIL</t>
  </si>
  <si>
    <t>BUFFET CRIANÇAS ATÉ 12 ANOS</t>
  </si>
  <si>
    <t>DOSE WHISKY JACK DANIEL'S</t>
  </si>
  <si>
    <t>WHISKY DOSE</t>
  </si>
  <si>
    <t>VINAGRETE</t>
  </si>
  <si>
    <t>DOSE CAMPARI</t>
  </si>
  <si>
    <t>DOSES</t>
  </si>
  <si>
    <t>CAIPIRINHA TANGERINA COM GELEIA DE PIMENTA</t>
  </si>
  <si>
    <t>CERVEJA SPATEN 600 ml</t>
  </si>
  <si>
    <t>BONIFICAÇÃO</t>
  </si>
  <si>
    <t>DOSE CACHAÇA SELETA</t>
  </si>
  <si>
    <t>DOSE CACHAÇA</t>
  </si>
  <si>
    <t>CERVEJA CORONA LONG NECK SUNBREW 330ml</t>
  </si>
  <si>
    <t>43 LICOR DOSE</t>
  </si>
  <si>
    <t>BAILEYS DOSE</t>
  </si>
  <si>
    <t>DOSE CACHAÇA ENGENHO PRATA</t>
  </si>
  <si>
    <t>ESPETINHO DE FRANGO</t>
  </si>
  <si>
    <t>Espetinhos</t>
  </si>
  <si>
    <t>ESPETINHO DE LINGUIÇA</t>
  </si>
  <si>
    <t>ESPETINHO QUEIJO COALHO</t>
  </si>
  <si>
    <t>ESPETINHO DE CARNE</t>
  </si>
  <si>
    <t>DOSE WHISKY JW RED LABEL</t>
  </si>
  <si>
    <t>TÔNICA TRADICIONAL</t>
  </si>
  <si>
    <t>GARRAFA VINHO TINTO TRAPEZIO PINOT NOIR</t>
  </si>
  <si>
    <t>Vinhos Tintos</t>
  </si>
  <si>
    <t>CORONA CERO</t>
  </si>
  <si>
    <t>JOHNNIE BLONDE SUMMER</t>
  </si>
  <si>
    <t>BUFFET BTO</t>
  </si>
  <si>
    <t>EVENTO</t>
  </si>
  <si>
    <t>Couvert DIA R$ 10</t>
  </si>
  <si>
    <t>BOULEVARDIER</t>
  </si>
  <si>
    <t>PENICILLIN</t>
  </si>
  <si>
    <t>TAÇA DE VINHO TINTO</t>
  </si>
  <si>
    <t>VINHO TAÇA</t>
  </si>
  <si>
    <t>ESPRESSO MARTINI</t>
  </si>
  <si>
    <t>TAÇA VINHO BRANCO</t>
  </si>
  <si>
    <t>SOBRECOXA DESOSSADA INFANTIL</t>
  </si>
  <si>
    <t>PF MUSICO</t>
  </si>
  <si>
    <t>Outros</t>
  </si>
  <si>
    <t>PF maminha</t>
  </si>
  <si>
    <t>Pratos novos</t>
  </si>
  <si>
    <t>VINHO BRANCO LOS BOLDOS TRADICION RESERVA SAVINGNON BLANC</t>
  </si>
  <si>
    <t>CANECA DE CHOPP BRAHMA 600 ml</t>
  </si>
  <si>
    <t>PF sobrecoxa</t>
  </si>
  <si>
    <t>Open Caipirinha</t>
  </si>
  <si>
    <t>MINI HAMBURGUER</t>
  </si>
  <si>
    <t>LANCHES</t>
  </si>
  <si>
    <t>ABACAXI COM RASPAS DE LIMÃO</t>
  </si>
  <si>
    <t>CHÁ NATURAL DE CAPIM SANTO</t>
  </si>
  <si>
    <t>DOSE CONHAQUE FUNDADOR</t>
  </si>
  <si>
    <t>Licores/Aperitivos/Shots</t>
  </si>
  <si>
    <t>SOSSEGO ROSÉ</t>
  </si>
  <si>
    <t>VINHO ROSE</t>
  </si>
  <si>
    <t>RED BULL TROPICAL</t>
  </si>
  <si>
    <t>Ancho com risoto de cogumelos</t>
  </si>
  <si>
    <t>A LA CARTE</t>
  </si>
  <si>
    <t>FAROFA DA CASA</t>
  </si>
  <si>
    <t>URUGUAI</t>
  </si>
  <si>
    <t>Caipiroskas</t>
  </si>
  <si>
    <t>COPA (OPEN CHOPP)</t>
  </si>
  <si>
    <t>Combos</t>
  </si>
  <si>
    <t>SALMÃO COM MANDIOQUINHA</t>
  </si>
  <si>
    <t>PRATOS PRINCIPAIS</t>
  </si>
  <si>
    <t>PF linguiça</t>
  </si>
  <si>
    <t>EMPANADA</t>
  </si>
  <si>
    <t>ENTRADAS</t>
  </si>
  <si>
    <t>TAÇA NAMORADO BRANCO</t>
  </si>
  <si>
    <t>TAÇA</t>
  </si>
  <si>
    <t>AFRICA DO SUL</t>
  </si>
  <si>
    <t>DOSE CACHAÇA SALINAS TRADICIONAL</t>
  </si>
  <si>
    <t>DOSE</t>
  </si>
  <si>
    <t>COPA (OPEN SOFT+PETISCO)</t>
  </si>
  <si>
    <t>ANCHO COM FETTUCCINE</t>
  </si>
  <si>
    <t>DOSE AMARETTI DEL ORSO</t>
  </si>
  <si>
    <t>COLOMBIA</t>
  </si>
  <si>
    <t>DUO PASTEL CATUPIRY</t>
  </si>
  <si>
    <t>CERVEJA STELLA PURE GOLD LONG NECK</t>
  </si>
  <si>
    <t>Couvert NOITE R$ 20</t>
  </si>
  <si>
    <t>BRUSCHETTA</t>
  </si>
  <si>
    <t>ID_Despesa_ID_Parcela</t>
  </si>
  <si>
    <t>Empresa</t>
  </si>
  <si>
    <t>Fornecedor_Razao_Social</t>
  </si>
  <si>
    <t>Class_Cont_1</t>
  </si>
  <si>
    <t>Class_Cont_2</t>
  </si>
  <si>
    <t>Parcelamento</t>
  </si>
  <si>
    <t>Qtd_Parcelas</t>
  </si>
  <si>
    <t>Num_Parcela</t>
  </si>
  <si>
    <t>Data_Realiz_Pgto</t>
  </si>
  <si>
    <t>Descricao</t>
  </si>
  <si>
    <t>Mes_Texto_Vencimento</t>
  </si>
  <si>
    <t>Mes_Texto_Pagamento</t>
  </si>
  <si>
    <t>237291</t>
  </si>
  <si>
    <t>False</t>
  </si>
  <si>
    <t>237290</t>
  </si>
  <si>
    <t>237289</t>
  </si>
  <si>
    <t>237288</t>
  </si>
  <si>
    <t>237287</t>
  </si>
  <si>
    <t>237286</t>
  </si>
  <si>
    <t>237285</t>
  </si>
  <si>
    <t>237284</t>
  </si>
  <si>
    <t>237283</t>
  </si>
  <si>
    <t>237282</t>
  </si>
  <si>
    <t>237281</t>
  </si>
  <si>
    <t>237280</t>
  </si>
  <si>
    <t>237279</t>
  </si>
  <si>
    <t>237278</t>
  </si>
  <si>
    <t>237277</t>
  </si>
  <si>
    <t>237276</t>
  </si>
  <si>
    <t>237275</t>
  </si>
  <si>
    <t>237274</t>
  </si>
  <si>
    <t>237273</t>
  </si>
  <si>
    <t>237272</t>
  </si>
  <si>
    <t>237271</t>
  </si>
  <si>
    <t>237270</t>
  </si>
  <si>
    <t>237269</t>
  </si>
  <si>
    <t>237268</t>
  </si>
  <si>
    <t>159796-10966</t>
  </si>
  <si>
    <t>LUIZ GUSTAVO MOREIRA DE SOUZA</t>
  </si>
  <si>
    <t>12 PARC-ULTIMA 17/08/2026</t>
  </si>
  <si>
    <t>True</t>
  </si>
  <si>
    <t xml:space="preserve"> PROCESSO Nº 1000688-45.2025.5.02.0047 - LUIZ GUSTAVO MOREIRA DE SOUZA</t>
  </si>
  <si>
    <t>159796-10965</t>
  </si>
  <si>
    <t>159796-10964</t>
  </si>
  <si>
    <t>159796-10963</t>
  </si>
  <si>
    <t>159796-10962</t>
  </si>
  <si>
    <t>159796-10961</t>
  </si>
  <si>
    <t>159796-10960</t>
  </si>
  <si>
    <t>159796-10959</t>
  </si>
  <si>
    <t>159796-10958</t>
  </si>
  <si>
    <t>159796-10957</t>
  </si>
  <si>
    <t>159796-10956</t>
  </si>
  <si>
    <t>159796-10955</t>
  </si>
  <si>
    <t>135567-9447</t>
  </si>
  <si>
    <t>BRENDA KESLEY RODRIGUES GOMES</t>
  </si>
  <si>
    <t>4 PARC-FIM 09/09/2025</t>
  </si>
  <si>
    <t>(PAGAR VIA EBM) PROCESSO Nº 1001507-77.2024.5.02.0059 - BRENDA KESLEY RODRIGUES GOMES</t>
  </si>
  <si>
    <t>135567-9446</t>
  </si>
  <si>
    <t>135567-9445</t>
  </si>
  <si>
    <t>135567-9444</t>
  </si>
  <si>
    <t>135535-9443</t>
  </si>
  <si>
    <t>CAIO ALVES COSTA PEREIRA</t>
  </si>
  <si>
    <t>4 PARC-FIM 02/09/2025</t>
  </si>
  <si>
    <t xml:space="preserve">(PAGAR VIA EBM) 5 PARC INICIO 6/2025 - PROCESSO Nº 1001758-70.2024.5.02.0035 - CAIO ALVES COSTA PEREIRA </t>
  </si>
  <si>
    <t>135535-9442</t>
  </si>
  <si>
    <t>135535-9441</t>
  </si>
  <si>
    <t>135535-9440</t>
  </si>
  <si>
    <t>135525-9439</t>
  </si>
  <si>
    <t>PATRICIA APARECIDA COSTA DE FARIA</t>
  </si>
  <si>
    <t>6 PARC-FIM 10/11/2025</t>
  </si>
  <si>
    <t>(PAGAR VIA EBM) PROCESSO Nº 1000590-88.2025.5.02.0070 - PATRICIA APARECIDA COSTA DE FARIA</t>
  </si>
  <si>
    <t>135525-9438</t>
  </si>
  <si>
    <t>135525-9437</t>
  </si>
  <si>
    <t>135525-9436</t>
  </si>
  <si>
    <t>135525-9435</t>
  </si>
  <si>
    <t>135525-9434</t>
  </si>
  <si>
    <t>124211-8578</t>
  </si>
  <si>
    <t>RODRIGO PEREIRA DA SILVA</t>
  </si>
  <si>
    <t>6 PARC-FIM 29/09/2025</t>
  </si>
  <si>
    <t>(PAGAR VIA EBM) PROCESSO Nº 1000089-57.2025.5.02.0031 - RODRIGO PEREIRA DA SILVA</t>
  </si>
  <si>
    <t>124211-8577</t>
  </si>
  <si>
    <t>124211-8576</t>
  </si>
  <si>
    <t>124211-8575</t>
  </si>
  <si>
    <t>124211-8574</t>
  </si>
  <si>
    <t>05/2025</t>
  </si>
  <si>
    <t>124211-8573</t>
  </si>
  <si>
    <t>04/2025</t>
  </si>
  <si>
    <t>121346</t>
  </si>
  <si>
    <t>121345</t>
  </si>
  <si>
    <t>121344</t>
  </si>
  <si>
    <t>121343</t>
  </si>
  <si>
    <t>121342</t>
  </si>
  <si>
    <t>(Rescindido) PARC 32/60 - PARCELAMENTO IPTU - 081.171.0011-8 EXERCICIO 21-17-18-19-20-22</t>
  </si>
  <si>
    <t>121341</t>
  </si>
  <si>
    <t>(Rescindido)PARC 31/60 - PARCELAMENTO IPTU - 081.171.0011-8 EXERCICIO 21-17-18-19-20-22</t>
  </si>
  <si>
    <t>121340</t>
  </si>
  <si>
    <t>(Rescindido) PARC 30/60 - PARCELAMENTO IPTU - 081.171.0011-8 EXERCICIO 21-17-18-19-20-22</t>
  </si>
  <si>
    <t>121339</t>
  </si>
  <si>
    <t>(Rescindido) PARC 29/60 - PARCELAMENTO IPTU - 081.171.0011-8 EXERCICIO 21-17-18-19-20-22</t>
  </si>
  <si>
    <t>121338</t>
  </si>
  <si>
    <t>(Rescindido)PARC 28/60 - PARCELAMENTO IPTU - 081.171.0011-8 EXERCICIO 21-17-18-19-20-22</t>
  </si>
  <si>
    <t>121335</t>
  </si>
  <si>
    <t>(Rescindido) PARC 25/60 - PARCELAMENTO IPTU - 081.171.0011-8 EXERCICIO 21-17-18-19-20-22 PARC 025/060</t>
  </si>
  <si>
    <t>121334</t>
  </si>
  <si>
    <t>(Rescindido) PARC 24/60 - PARCELAMENTO IPTU - 081.171.0011-8 EXERCICIO 21-17-18-19-20-22</t>
  </si>
  <si>
    <t>03/2025</t>
  </si>
  <si>
    <t>119347</t>
  </si>
  <si>
    <t>119346</t>
  </si>
  <si>
    <t>119337</t>
  </si>
  <si>
    <t>119336</t>
  </si>
  <si>
    <t>33/60</t>
  </si>
  <si>
    <t>119335</t>
  </si>
  <si>
    <t>32/60</t>
  </si>
  <si>
    <t>119334</t>
  </si>
  <si>
    <t>31/60</t>
  </si>
  <si>
    <t>119333</t>
  </si>
  <si>
    <t>30/60</t>
  </si>
  <si>
    <t>119332</t>
  </si>
  <si>
    <t>29/60</t>
  </si>
  <si>
    <t>119329</t>
  </si>
  <si>
    <t>26/60</t>
  </si>
  <si>
    <t>ACORDO 5151395 - CONTRINUINTE 081.171.0010-1 - FIRMADO 03/2023 PARC 026/060</t>
  </si>
  <si>
    <t>118829</t>
  </si>
  <si>
    <t>25/60</t>
  </si>
  <si>
    <t>118826</t>
  </si>
  <si>
    <t>24/60</t>
  </si>
  <si>
    <t>02/2025</t>
  </si>
  <si>
    <t>112528-7998</t>
  </si>
  <si>
    <t>MICHELLE CAVALCANTE DE BARROS</t>
  </si>
  <si>
    <t>(PAGAR VIA EBM) PROCESSO Nº 1000125-89.2025.5.02.0002 - MICHELLE CAVALCANTE DE BARROS</t>
  </si>
  <si>
    <t>112528-7997</t>
  </si>
  <si>
    <t>112528-7996</t>
  </si>
  <si>
    <t>112528-7995</t>
  </si>
  <si>
    <t>109602-7706</t>
  </si>
  <si>
    <t>ANTONIO CARLOS NERI BRITO</t>
  </si>
  <si>
    <t>10 PARC-FIM 24/11/2025</t>
  </si>
  <si>
    <t>(PAGAR VIA EBM) PROCESSO Nº 1001052-31.2024.5.02.0086 - ANTONIO CARLOS NERI BRITO</t>
  </si>
  <si>
    <t>109602-7705</t>
  </si>
  <si>
    <t>109602-7704</t>
  </si>
  <si>
    <t>109602-7703</t>
  </si>
  <si>
    <t>109602-7702</t>
  </si>
  <si>
    <t>109602-7701</t>
  </si>
  <si>
    <t>109602-7700</t>
  </si>
  <si>
    <t>109602-7699</t>
  </si>
  <si>
    <t>109602-7698</t>
  </si>
  <si>
    <t>109602-7697</t>
  </si>
  <si>
    <t>90727</t>
  </si>
  <si>
    <t>TRIBUNAL DE JUSTIÇA</t>
  </si>
  <si>
    <t>ENDIVIDAMENTO</t>
  </si>
  <si>
    <t xml:space="preserve"> RECURSO PROCESSUAL</t>
  </si>
  <si>
    <t>83197</t>
  </si>
  <si>
    <t>15112024</t>
  </si>
  <si>
    <t xml:space="preserve"> ENDIVIDAMENTO</t>
  </si>
  <si>
    <t>BOLETO REFERENTE A COMPRA DE COTAS DO EMPORIO VILA MADALENA-JACARE GRILL</t>
  </si>
  <si>
    <t>83196</t>
  </si>
  <si>
    <t>BOLETO REFERENTE A COMPRA DE COTAS DO BAR E LANCHES PATIZAL-JACARE GRILL</t>
  </si>
  <si>
    <t>78542</t>
  </si>
  <si>
    <t>BOLETO REFERENTE A COMPRA DE COTAS BAR E LANCHES PATIZAL-JACARE GRILL - parc 29/31</t>
  </si>
  <si>
    <t>78541</t>
  </si>
  <si>
    <t>BOLETO REFERENTE A COMPRA DE COTAS EMPORIO VILA MADALENA-JACARE GRILL - PARC 29/31</t>
  </si>
  <si>
    <t>72461</t>
  </si>
  <si>
    <t>09/2024</t>
  </si>
  <si>
    <t>72457</t>
  </si>
  <si>
    <t>BOLETO REFERENTE A COMPRA DE COTAS DO EMPORIO VILA MADALENA-JACARE GRILL - PARC 28</t>
  </si>
  <si>
    <t>68305-3823</t>
  </si>
  <si>
    <t>PROCESSO TRABALHISTA</t>
  </si>
  <si>
    <t>PROCESSO Nº 1001034-15.2024.5.02.0052 - JEAN PHILIPPE FOUDA BALA
Acordo no valor de R$ 8.000,00 (oito mil reais), a serem pagos da seguinte forma:
•	1ª parcela, no valor de R$2.000,00, até 20/08/2024;
•	2ª parcela, no valor de R$2.000,00, até 20/09/2024</t>
  </si>
  <si>
    <t>68305-3822</t>
  </si>
  <si>
    <t>68305-3821</t>
  </si>
  <si>
    <t>68305-3820</t>
  </si>
  <si>
    <t>08/2024</t>
  </si>
  <si>
    <t>67810</t>
  </si>
  <si>
    <t>BOLETO REFERENTE A COMPRA DE COTAS EMPORIO VILA MADALENA - DOC 27</t>
  </si>
  <si>
    <t>67807</t>
  </si>
  <si>
    <t>BOLETO REFERENTE A COMPRA DE COTAS DO BAR E LANCHES PATIZAL-JACARE GRILL - DOC 27</t>
  </si>
  <si>
    <t>65620</t>
  </si>
  <si>
    <t>PREFEITURA DE SÃO PAULO</t>
  </si>
  <si>
    <t>Taxa referente ao cadastro do SP Regula (SERV. DE COLETA, TRANSP., TRATAMENTO E DESTINO FINAL DE RESID. SOLIDOS)</t>
  </si>
  <si>
    <t>07/2024</t>
  </si>
  <si>
    <t>61645</t>
  </si>
  <si>
    <t>61644</t>
  </si>
  <si>
    <t xml:space="preserve"> BOLETO REFERENTE A COMPRA DE COTAS VILA MADALENA -JACARE GRILL</t>
  </si>
  <si>
    <t>55396</t>
  </si>
  <si>
    <t xml:space="preserve"> BOLETO REFERENTE A COMPRA DE COTAS BAR E LANCHES PATIZAL-JACARE GRILL</t>
  </si>
  <si>
    <t>06/2024</t>
  </si>
  <si>
    <t>55394</t>
  </si>
  <si>
    <t xml:space="preserve">25 </t>
  </si>
  <si>
    <t xml:space="preserve"> BOLETO REFERENTE A COMPRA DE COTAS EMPORIO VILA MADALENA-JACARE GRILL</t>
  </si>
  <si>
    <t>51434</t>
  </si>
  <si>
    <t>15052024</t>
  </si>
  <si>
    <t>REFERENTE A COMPRA DE COTAS BAR E LANCHES PATIZAL - JACARE GRILL</t>
  </si>
  <si>
    <t>05/2024</t>
  </si>
  <si>
    <t>51433</t>
  </si>
  <si>
    <t>COMPRA DE COTAS EMPORIO VILA MADALENA - 24</t>
  </si>
  <si>
    <t>32973</t>
  </si>
  <si>
    <t>PROCESSO Nº 1001174-82.2023.5.02.0020 - LUIZ GUSTAVO RODRIGUES X BAR E LANCHES PATIZAL EIRELI - EPP</t>
  </si>
  <si>
    <t>02/2024</t>
  </si>
  <si>
    <t>32344</t>
  </si>
  <si>
    <t>32342</t>
  </si>
  <si>
    <t>32341</t>
  </si>
  <si>
    <t>DORALICE OLIVEIRA DE MOURA</t>
  </si>
  <si>
    <t>ACOES TRABALHISTAS</t>
  </si>
  <si>
    <t>03/2024</t>
  </si>
  <si>
    <t>32340</t>
  </si>
  <si>
    <t>32339</t>
  </si>
  <si>
    <t>04/2024</t>
  </si>
  <si>
    <t>32325</t>
  </si>
  <si>
    <t>COMPRA DE COTAS PATIZAL-JACARE GRILL</t>
  </si>
  <si>
    <t>32318</t>
  </si>
  <si>
    <t>PARC 22/60 - PARCELAMENTO IPTU - 081.171.0011-8 EXERCICIO 21-17-18-19-20-22 CAMARGO E SILVESTRE PATRIMONIAL LTDA</t>
  </si>
  <si>
    <t>01/2025</t>
  </si>
  <si>
    <t>32315</t>
  </si>
  <si>
    <t>32313</t>
  </si>
  <si>
    <t>32309</t>
  </si>
  <si>
    <t>32291</t>
  </si>
  <si>
    <t>32290</t>
  </si>
  <si>
    <t>32287</t>
  </si>
  <si>
    <t>32286</t>
  </si>
  <si>
    <t>32283</t>
  </si>
  <si>
    <t>32282</t>
  </si>
  <si>
    <t>32270</t>
  </si>
  <si>
    <t>32269</t>
  </si>
  <si>
    <t>32268</t>
  </si>
  <si>
    <t>32248</t>
  </si>
  <si>
    <t>32247</t>
  </si>
  <si>
    <t>32246</t>
  </si>
  <si>
    <t>32241</t>
  </si>
  <si>
    <t>32240</t>
  </si>
  <si>
    <t>32239</t>
  </si>
  <si>
    <t>32222</t>
  </si>
  <si>
    <t>COMPRA DE COTAS DO EMPORIO VILA MADALENA</t>
  </si>
  <si>
    <t>32221</t>
  </si>
  <si>
    <t>32209</t>
  </si>
  <si>
    <t>32193</t>
  </si>
  <si>
    <t>32186</t>
  </si>
  <si>
    <t>PARC 1/10</t>
  </si>
  <si>
    <t>IPTU 2025 - CONTRIBUINTE 081.171.0011-8</t>
  </si>
  <si>
    <t>32180</t>
  </si>
  <si>
    <t>32179</t>
  </si>
  <si>
    <t>32178</t>
  </si>
  <si>
    <t>32177</t>
  </si>
  <si>
    <t>32156</t>
  </si>
  <si>
    <t>32154</t>
  </si>
  <si>
    <t>32153</t>
  </si>
  <si>
    <t>32085</t>
  </si>
  <si>
    <t>02/2023</t>
  </si>
  <si>
    <t>32070</t>
  </si>
  <si>
    <t>IMPORTAÇÃO - VIA BANCO DE DADOS</t>
  </si>
  <si>
    <t>03/2023</t>
  </si>
  <si>
    <t>31996</t>
  </si>
  <si>
    <t>01/2023</t>
  </si>
  <si>
    <t>31911</t>
  </si>
  <si>
    <t>MARCELO DA SILVA</t>
  </si>
  <si>
    <t>PROCESSO Nº 1001272-55.2023.5.02.0024 - MARCELO DA SILVA</t>
  </si>
  <si>
    <t>11/2023</t>
  </si>
  <si>
    <t>31730</t>
  </si>
  <si>
    <t>PARCELAMENTO IPTU 081.171.0011-8 PARC 03/60 CAMARGO E SILVESTRE</t>
  </si>
  <si>
    <t>06/2023</t>
  </si>
  <si>
    <t>31710</t>
  </si>
  <si>
    <t>COMPRA DE COTAS PATIZAL-JACARE GRILL - PARCELA 17/28</t>
  </si>
  <si>
    <t>07/2023</t>
  </si>
  <si>
    <t>31703</t>
  </si>
  <si>
    <t>SIMPLES NACIONAL</t>
  </si>
  <si>
    <t>SIMPLES NACIONAL - JUNHO/2023</t>
  </si>
  <si>
    <t>31672</t>
  </si>
  <si>
    <t>PARCELAMENTO IPTU - 081.171.0011-8 EXERCICIO 21-17-18-19-20-22 - PARC 04/60</t>
  </si>
  <si>
    <t>31642</t>
  </si>
  <si>
    <t>05/2023</t>
  </si>
  <si>
    <t>31634</t>
  </si>
  <si>
    <t>31623</t>
  </si>
  <si>
    <t>12/2023</t>
  </si>
  <si>
    <t>31616</t>
  </si>
  <si>
    <t>10/2023</t>
  </si>
  <si>
    <t>31603</t>
  </si>
  <si>
    <t>09/2023</t>
  </si>
  <si>
    <t>31602</t>
  </si>
  <si>
    <t>31554</t>
  </si>
  <si>
    <t>31547</t>
  </si>
  <si>
    <t>31392</t>
  </si>
  <si>
    <t>01/2024</t>
  </si>
  <si>
    <t>31268</t>
  </si>
  <si>
    <t>GABRIEL FARIA GONÇALVES</t>
  </si>
  <si>
    <t>PROCESSO 1000234-60.2023.5.02.0039 - GABRIEL FARIA GONCALVES-BRASIL AGÊNCIA Nº 1821-X CONTA CORRENTE Nº 59075-4 CLAUDIA CRISTINA BORTOLAI ARANHA ALVES CPF Nº 173.129.758-01</t>
  </si>
  <si>
    <t>31241</t>
  </si>
  <si>
    <t>31210</t>
  </si>
  <si>
    <t>THIAGO MIGUEL DOS SANTOS</t>
  </si>
  <si>
    <t>PROCESSO -CAIXA ECONÔMICA FEDERAL AGÊNCIA Nº 0268 CONTA CORRENTE Nº 700-1 NILLTON FERREIRA DOS SANTOS JUNIOR CPF Nº 281.360.798-38 (PIX)</t>
  </si>
  <si>
    <t>31160</t>
  </si>
  <si>
    <t xml:space="preserve"> PROCESSO JUDICIAL</t>
  </si>
  <si>
    <t>31056</t>
  </si>
  <si>
    <t>31042</t>
  </si>
  <si>
    <t>30902</t>
  </si>
  <si>
    <t>30793</t>
  </si>
  <si>
    <t>PARCELAMENTO IPTU - 081.171.0011-8 EXERCICIO 21-17-18-19-20-22</t>
  </si>
  <si>
    <t>30790</t>
  </si>
  <si>
    <t>30729</t>
  </si>
  <si>
    <t>SIMPLES NACIONAL - REF. 04/2023</t>
  </si>
  <si>
    <t>30723</t>
  </si>
  <si>
    <t>30715</t>
  </si>
  <si>
    <t>CMD AUTOMOVEIS</t>
  </si>
  <si>
    <t>CASO FORTUITO-ROBERTA GABRIELA TOSCANO-Itau AG 8536 C/C 26314-1 CPF: 082018758-50</t>
  </si>
  <si>
    <t>30676</t>
  </si>
  <si>
    <t>30618</t>
  </si>
  <si>
    <t>COMPRA DE COTAS - PARC 15/28</t>
  </si>
  <si>
    <t>30577</t>
  </si>
  <si>
    <t>COBERMEC INDUSTRIA E COMERCIO DE COBERTURAS LTDA</t>
  </si>
  <si>
    <t xml:space="preserve"> PROCESSO CIVIL</t>
  </si>
  <si>
    <t>30575</t>
  </si>
  <si>
    <t>30574</t>
  </si>
  <si>
    <t>30573</t>
  </si>
  <si>
    <t>30545</t>
  </si>
  <si>
    <t>30460</t>
  </si>
  <si>
    <t>LUIS CARLOS DA SILVA JUNIOR 32841862801</t>
  </si>
  <si>
    <t>ALUMIENG ESQUADRIAS DE ALUMINIO E VIDRO</t>
  </si>
  <si>
    <t>PROCESSO Nº 1001511-15.2022.5.02.0050 - LUIS CARLOS ANDRADE FAZZANI DA SILVA X HARMONIA 3051 BAR E EVENTOS LTDA</t>
  </si>
  <si>
    <t>30447</t>
  </si>
  <si>
    <t>30338</t>
  </si>
  <si>
    <t>30315</t>
  </si>
  <si>
    <t>30241</t>
  </si>
  <si>
    <t>ENDIVIDAMENTO - COMPRA DE COTAS PARC 14/28</t>
  </si>
  <si>
    <t>04/2023</t>
  </si>
  <si>
    <t>30131</t>
  </si>
  <si>
    <t>COMPRA DE COTAS DO EMPORIO VILA MADALENA - PARCELA 17/28</t>
  </si>
  <si>
    <t>30102</t>
  </si>
  <si>
    <t>ENDIVIDAMENTO - ACORDO FEITO EM 06/02/2023 - PARC 02/02</t>
  </si>
  <si>
    <t>30073</t>
  </si>
  <si>
    <t>30050</t>
  </si>
  <si>
    <t>COMPRA DE COTAS PATIZAL-JACARE GRILL - PARCELA 18/28</t>
  </si>
  <si>
    <t>08/2023</t>
  </si>
  <si>
    <t>30049</t>
  </si>
  <si>
    <t>COMPRA DE COTAS DO EMPORIO VILA MADALENA - PARCELA 18/28</t>
  </si>
  <si>
    <t>30039</t>
  </si>
  <si>
    <t>30033</t>
  </si>
  <si>
    <t>29859</t>
  </si>
  <si>
    <t>29757</t>
  </si>
  <si>
    <t>29745</t>
  </si>
  <si>
    <t>29678</t>
  </si>
  <si>
    <t>ENDIVIDAMENTO - COMPRA DE COTAS - PARC 14/28</t>
  </si>
  <si>
    <t>29665</t>
  </si>
  <si>
    <t>29661</t>
  </si>
  <si>
    <t>ZIGPAY</t>
  </si>
  <si>
    <t>ENDIVIDAMENTO SISTEMAS/PDVs - Ago/22 R$ 1905,08 - Out/22 R$727,17 - Nov/22 R$206,76 - Jan/23  R$56,81</t>
  </si>
  <si>
    <t>29603</t>
  </si>
  <si>
    <t>ENDIVIDAMENTO - COMPRA DE COTAS PARC 16/28</t>
  </si>
  <si>
    <t>29591</t>
  </si>
  <si>
    <t>ENDIVIDAMENTO - ACORDO FEITO EM 06/02/2023 - PARC 01/02</t>
  </si>
  <si>
    <t>29527</t>
  </si>
  <si>
    <t>29486</t>
  </si>
  <si>
    <t>29485</t>
  </si>
  <si>
    <t>29483</t>
  </si>
  <si>
    <t>29459</t>
  </si>
  <si>
    <t>29093</t>
  </si>
  <si>
    <t>29025</t>
  </si>
  <si>
    <t>28946</t>
  </si>
  <si>
    <t>28919</t>
  </si>
  <si>
    <t>PROCESSO JUDICIAL-1000328-90.2022.5.02.0023 - VALDIR CARVALHO DOS SANTOS</t>
  </si>
  <si>
    <t>28862</t>
  </si>
  <si>
    <t>PROCESSO Nº 1001511-15.2022.5.02.0050 - LUIS CARLOS ANDRADE FAZZANI DA SILVA X HARMONIA BANCO DO BRASIL AGÊNCIA Nº 2800-2 CONTA CORRENTE Nº 168.364-0 DI PROSPERO ADVOGADOS CNPJ Nº 10.224.892/0001-68</t>
  </si>
  <si>
    <t>28807</t>
  </si>
  <si>
    <t>ENDIVIDAMENTO - PARCELAMENTO EXERCICIO 2021 - PARC 01/60</t>
  </si>
  <si>
    <t>28768</t>
  </si>
  <si>
    <t>28564</t>
  </si>
  <si>
    <t>28524</t>
  </si>
  <si>
    <t>ENDIVIDAMENTO COMPRA DE COTAS - PARC 16/28</t>
  </si>
  <si>
    <t>28443</t>
  </si>
  <si>
    <t>28415</t>
  </si>
  <si>
    <t>28388</t>
  </si>
  <si>
    <t>28378</t>
  </si>
  <si>
    <t>28335</t>
  </si>
  <si>
    <t>28333</t>
  </si>
  <si>
    <t>COMPRA DE COTAS - PARC 12/28</t>
  </si>
  <si>
    <t>28245</t>
  </si>
  <si>
    <t>28216</t>
  </si>
  <si>
    <t>28185</t>
  </si>
  <si>
    <t>28086</t>
  </si>
  <si>
    <t>SIMPLES NACIONAL MARÇO/2023</t>
  </si>
  <si>
    <t>28054</t>
  </si>
  <si>
    <t>27892</t>
  </si>
  <si>
    <t>27871</t>
  </si>
  <si>
    <t>ID_Contagem</t>
  </si>
  <si>
    <t>Data_Contagem</t>
  </si>
  <si>
    <t>ID_Insumo</t>
  </si>
  <si>
    <t>Insumo</t>
  </si>
  <si>
    <t>Quantidade</t>
  </si>
  <si>
    <t>Unidade_Medida</t>
  </si>
  <si>
    <t>CERVEJA ORIGINAL 600ML</t>
  </si>
  <si>
    <t>UN</t>
  </si>
  <si>
    <t>CERVEJA PATAGONIA IPA LONG NECK 355ML CAIXA C/12 UN</t>
  </si>
  <si>
    <t>PC</t>
  </si>
  <si>
    <t>AGUA MINERAL C/ GAS LINDOYA 310ML</t>
  </si>
  <si>
    <t>CERVEJA BECKS 600ML</t>
  </si>
  <si>
    <t>OVO CAIPIRA UN</t>
  </si>
  <si>
    <t>PEPSI COLA LATA 350ML</t>
  </si>
  <si>
    <t>BATATA ASTERIX GRAUDA KG</t>
  </si>
  <si>
    <t>KG</t>
  </si>
  <si>
    <t>AGUA MINERAL S/ GAS LINDOYA 310ML</t>
  </si>
  <si>
    <t>PEPSI ZERO LATA 350ML</t>
  </si>
  <si>
    <t>CERVEJA SPATEN LONG NECK 355ML C/24</t>
  </si>
  <si>
    <t>PAO DE HAMBURGUER PREMIUM BRIOCHE DO FORNO C/48 UN</t>
  </si>
  <si>
    <t>CX</t>
  </si>
  <si>
    <t>CERVEJA CORONA RETORNAVEL 600ML CAIXA C/24 UN</t>
  </si>
  <si>
    <t>CERVEJA SPATEN 600ML UN</t>
  </si>
  <si>
    <t>STELLA ARTOIS LN 330ML UN</t>
  </si>
  <si>
    <t>TOMATE SALADA ITALIANO KG</t>
  </si>
  <si>
    <t>LARANJA PERA KG</t>
  </si>
  <si>
    <t>GUARANA ANTARCTICA DIET LATA 350ML UN</t>
  </si>
  <si>
    <t>AGUA TONICA ANTARCTICA 350ML</t>
  </si>
  <si>
    <t>GUARANA ANTARCTICA LATA 350ML UN</t>
  </si>
  <si>
    <t>FARINHA DE COPIOBA KG</t>
  </si>
  <si>
    <t>CERVEJA SERRAMALTE EXTRA 600ML</t>
  </si>
  <si>
    <t>LINGUICA TOSCANA AURORA KG</t>
  </si>
  <si>
    <t>CORONA EXTRA LN 330ML</t>
  </si>
  <si>
    <t>COXA E SOBRECOXA SEM OSSO E COM PELE KG</t>
  </si>
  <si>
    <t>PICOLE ROCHINHA COCO QUEIMADO UN</t>
  </si>
  <si>
    <t>CEBOLA ROXA KG</t>
  </si>
  <si>
    <t>AGUA TONICA ANTARTICA DIET 350ML C/12</t>
  </si>
  <si>
    <t>SODA LIMONADA ANTARCTICA DIET LATA 350ML</t>
  </si>
  <si>
    <t>LIMAO TAHITI KG</t>
  </si>
  <si>
    <t>ESPETINHO DE CARNE KG</t>
  </si>
  <si>
    <t>ANCHO PECA DE 900G MARMORADA KG</t>
  </si>
  <si>
    <t xml:space="preserve">PICOLE COCO BRANCO ZERO CX14UN </t>
  </si>
  <si>
    <t>ALCATRA BOVINA KG</t>
  </si>
  <si>
    <t>CORONA EXTRA ZERO  LN 330ML</t>
  </si>
  <si>
    <t>FILE DE TILAPIA KG</t>
  </si>
  <si>
    <t>FRALDINHA RED FRIBOI KG</t>
  </si>
  <si>
    <t xml:space="preserve">PICOLE ABACATE CX14UN </t>
  </si>
  <si>
    <t xml:space="preserve">PICOLE DE PISTACHE C/ COBERTURA 12UN </t>
  </si>
  <si>
    <t>CARNE SECA COXAO DURO KG</t>
  </si>
  <si>
    <t>CUPIM KG</t>
  </si>
  <si>
    <t>MARACUJA AZEDO KG</t>
  </si>
  <si>
    <t>FARINHA DE POLENTA POLENTINA C/500G</t>
  </si>
  <si>
    <t>MASSA DE TAPIOCA GRANULADA YOKI C/500G</t>
  </si>
  <si>
    <t>MANDIOCA A VACUO KG</t>
  </si>
  <si>
    <t>COSTELINHA SUINA</t>
  </si>
  <si>
    <t>ABOBORA JAPONESA / CABOTIAN KG</t>
  </si>
  <si>
    <t>PATINHO MOIDO KG</t>
  </si>
  <si>
    <t>BATATA DOCE ROSADA KG</t>
  </si>
  <si>
    <t>PICOLE ROCHINHA CHOCOLATE UN</t>
  </si>
  <si>
    <t>CEBOLA BRANCA KG</t>
  </si>
  <si>
    <t>PICOLE ROCHINHA BRIGADEIRO UN</t>
  </si>
  <si>
    <t>MASSA PARA LASANHA ADRIA C/500G</t>
  </si>
  <si>
    <t>COSTELA MINGA COM OSSO KG</t>
  </si>
  <si>
    <t>BERINJELA KG</t>
  </si>
  <si>
    <t>ABACAXI PEROLA KG</t>
  </si>
  <si>
    <t>PICOLE ROCHINHA CHICLETE UN</t>
  </si>
  <si>
    <t>ENERGETICO RED BULL ORIGINAL 250ML</t>
  </si>
  <si>
    <t>FARINHA DE TRIGO TP1 ANACONDA 1KG</t>
  </si>
  <si>
    <t>LINGUICA CALABRESA DEFUMADA SADIA KG</t>
  </si>
  <si>
    <t>SODA LIMONADA ANTARCTICA LATA 350ML</t>
  </si>
  <si>
    <t>QUEIJO COALHO QUATA KG</t>
  </si>
  <si>
    <t>LIMAO SICILIANO KG</t>
  </si>
  <si>
    <t>CHORIZO PECA CG BASSAR COD 5899-8 KG</t>
  </si>
  <si>
    <t>SAL REFINADO CISNE 1KG</t>
  </si>
  <si>
    <t>BACON MANTA KG</t>
  </si>
  <si>
    <t>VODKA SMIRNOFF RED 998ML</t>
  </si>
  <si>
    <t>GR</t>
  </si>
  <si>
    <t>ENERGETICO RED BULL TROPICAL 250ML</t>
  </si>
  <si>
    <t>LIMAO CRAVO KG</t>
  </si>
  <si>
    <t>LINGUICA DE RODA KG</t>
  </si>
  <si>
    <t>MANTEIGA SEM SAL SCALA KG</t>
  </si>
  <si>
    <t>GALETO DESOSSADO KG</t>
  </si>
  <si>
    <t>PICANHA BASSI KG</t>
  </si>
  <si>
    <t>VINHO TINTO DESTINO MALBEC LA RURAL ARGENTO 750ML</t>
  </si>
  <si>
    <t>GRAO DE BICO KG</t>
  </si>
  <si>
    <t xml:space="preserve">PALMITO IN NATURA UN </t>
  </si>
  <si>
    <t>ESPETINHO DE FRANGO KG</t>
  </si>
  <si>
    <t>MOLHO DE PIMENTA TABASCO RED 60ML</t>
  </si>
  <si>
    <t>MOSTARDA AMARELA HEINZ 250GR</t>
  </si>
  <si>
    <t>OLEO DE GIRASSOL LIZA 900ML</t>
  </si>
  <si>
    <t>CERVEJA PATAGONIA AMBER LAGER NACIONAL LN 355ML C/12</t>
  </si>
  <si>
    <t>COSTELA SUINA SALGADA SERRADA EM 2 PARTES KG</t>
  </si>
  <si>
    <t xml:space="preserve">PICOLE DOCE DE LEITE CX14UN </t>
  </si>
  <si>
    <t>CAFE PILAO ALMOFADA 500G</t>
  </si>
  <si>
    <t>COPA LOMBO SUINO KG</t>
  </si>
  <si>
    <t>FEIJAO CARIOCA CAMIL C/2KG</t>
  </si>
  <si>
    <t>FEIJAO PRETO CAMIL C/2KG</t>
  </si>
  <si>
    <t>SAL GROSSO CISNE 10X1KG</t>
  </si>
  <si>
    <t>CAFE NESPRESSO RISTRETTO INDIA CAPSULA C/50</t>
  </si>
  <si>
    <t>VINHO BRANCO RUTINI LA RURAL DESTINO CHARDONNAY MENDOZA ARGENTINA 750ML</t>
  </si>
  <si>
    <t>CENOURA KG</t>
  </si>
  <si>
    <t>QUEIJO MUSSARELA SCALA KG</t>
  </si>
  <si>
    <t>MASSA LASANHA FRESCA KG</t>
  </si>
  <si>
    <t>POLVO KG</t>
  </si>
  <si>
    <t>MEXERICA CLEMENTINA KG</t>
  </si>
  <si>
    <t>BARRIGA SUINA RESFRIADA KG</t>
  </si>
  <si>
    <t>QUEIJO GORGONZOLA QUATA KG</t>
  </si>
  <si>
    <t>PRESUNTO COZIDO MAGRO AURORA KG</t>
  </si>
  <si>
    <t>FEIJAO FRADINHO KG</t>
  </si>
  <si>
    <t>APERITIVO GIN APOTHEK N°1 750ML</t>
  </si>
  <si>
    <t>CACHACA DOCE VIDA ENGENHO CANTAREIRA 500ML</t>
  </si>
  <si>
    <t>ESPUMANTE SALTON BRUT 750ML</t>
  </si>
  <si>
    <t>VINHO BRANCO LOS BOLDOS TRADICION RESERVA SUAVINGNON BLANC CHILE 750ML</t>
  </si>
  <si>
    <t>VINHO ROSE HERDADE DO PESO SOSSEGO 750ML</t>
  </si>
  <si>
    <t>VINHO TINTO LOS BOLDOS TRADITION RESERVA MEZCLA CABERNET SAUVIGNON E SYRAH  CACHAPOAL CHILE 750ML</t>
  </si>
  <si>
    <t>LENTILHA KG</t>
  </si>
  <si>
    <t>RAPADURA KG</t>
  </si>
  <si>
    <t>CORACAO DE FRANGO KG</t>
  </si>
  <si>
    <t>AZEITE EXTRA VIRGEM GALLO 2L</t>
  </si>
  <si>
    <t>GALAO</t>
  </si>
  <si>
    <t>COXAO MOLE KG</t>
  </si>
  <si>
    <t>TULIPA DE FRANGO KG</t>
  </si>
  <si>
    <t>ESPETINHO DE QUEIJO KG</t>
  </si>
  <si>
    <t>ESPINAFRE KG</t>
  </si>
  <si>
    <t>AGRIAO HIDROPONICO KG</t>
  </si>
  <si>
    <t xml:space="preserve">PICOLE COCO BRANCO CX14UN </t>
  </si>
  <si>
    <t>ACUCAR REFINADO UNIAO 1KG UN</t>
  </si>
  <si>
    <t>CATCHUP HEINZ 397G UN</t>
  </si>
  <si>
    <t>EXTRATO DE TOMATE ELEFANTE C/1,7KG</t>
  </si>
  <si>
    <t>OVO DE CODORNA EM CONSERVA KG</t>
  </si>
  <si>
    <t>ALHO DESCASCADO KG</t>
  </si>
  <si>
    <t>REPOLHO ROXO KG</t>
  </si>
  <si>
    <t>LAGARTO KG</t>
  </si>
  <si>
    <t>GELO RETANGULO 50X65MM</t>
  </si>
  <si>
    <t>APERITIVO APEROL 750ML</t>
  </si>
  <si>
    <t>APERITIVO CAMPARI 998ML</t>
  </si>
  <si>
    <t>ESPUMANTE PAUL BUR BLANC DE BLANCS BRUT 750ML</t>
  </si>
  <si>
    <t>CLASSIC TANNAT 750ML</t>
  </si>
  <si>
    <t>HAMBURGUER BOVINO BLEND C/180G FORMATADO NELORE 25% ACEM 25% COSTELA 25% PEITO E 25% GORDURA KG</t>
  </si>
  <si>
    <t>REPOLHO BRANCO KG</t>
  </si>
  <si>
    <t>PEITO DE FRANGO SEM OSSO E COM PELE KG</t>
  </si>
  <si>
    <t>QUEIJO PARMESAO CAPA PRETA KG</t>
  </si>
  <si>
    <t>ALFACE CRESPA ROXA KG</t>
  </si>
  <si>
    <t>ALFACE AMERICANA KG</t>
  </si>
  <si>
    <t>BANANA DA TERRA KG</t>
  </si>
  <si>
    <t>COGUMELO PARIS GRANEL KG</t>
  </si>
  <si>
    <t>FILE MIGNON 4/5 S/ CORDAO KG</t>
  </si>
  <si>
    <t>EMULSIFICANTE EMUSTAB 200GR</t>
  </si>
  <si>
    <t xml:space="preserve">PICOLE MORANGO CX14UN </t>
  </si>
  <si>
    <t>SORVETE DE BAUNILHA DE MADAGASCAR DIOMIO C/5L</t>
  </si>
  <si>
    <t>PT</t>
  </si>
  <si>
    <t>SORVETE DE CARAMELO COM FLOR DE SAL C/2,800 KG</t>
  </si>
  <si>
    <t>ARROZ INTEGRAL CAMIL 2KG</t>
  </si>
  <si>
    <t>FARINHA DE TRIGO PARA KIBE C/1KG</t>
  </si>
  <si>
    <t>GORDURA VEGETAL COAMO FRY C/14,5 KG</t>
  </si>
  <si>
    <t>BD</t>
  </si>
  <si>
    <t>LINGUICA PAIO KG</t>
  </si>
  <si>
    <t>MACARRAO ESPAGUETE C/ OVOS BARILLA Nº8 C/500G</t>
  </si>
  <si>
    <t>MOLHO DE PIMENTA TABASCO GREEN C/60ML</t>
  </si>
  <si>
    <t>FR</t>
  </si>
  <si>
    <t>FRUTAS VERMELHAS CONGELADA KG</t>
  </si>
  <si>
    <t>IOGURTE NATURAL FAZENDO BELA VISTA C/170G UN</t>
  </si>
  <si>
    <t>PESCADA CAMBUCU FILE KG</t>
  </si>
  <si>
    <t>SARDINHA EM CONSERVA COQUEIRO C/125G UN</t>
  </si>
  <si>
    <t>CACHACA BUSCA VIDA 750ML</t>
  </si>
  <si>
    <t>CACHACA FAMIGERADA AMENDOIM 750ML</t>
  </si>
  <si>
    <t>CACHACA ORIGINAL PRATA ENGENHO CANTAREIRA 750ML</t>
  </si>
  <si>
    <t>VINHO BRANCO QUINTA DE AZEVEDO ALVARINHO VINHO VERDE PORTUGAL 750ML</t>
  </si>
  <si>
    <t>VINHO CANALLAS TINTO 750ML </t>
  </si>
  <si>
    <t>ACEM KG</t>
  </si>
  <si>
    <t>ALHO COMUM KG</t>
  </si>
  <si>
    <t>MAMAO PAPAYA KG</t>
  </si>
  <si>
    <t>FRANGO INTEIRO KG</t>
  </si>
  <si>
    <t>PRIME RIB 1953 FRIBOI KG</t>
  </si>
  <si>
    <t>RADICHIO KG</t>
  </si>
  <si>
    <t>QUEIJO DE CABRA BOURSIN EM PASTA KG</t>
  </si>
  <si>
    <t>TOMATE CAQUI KG</t>
  </si>
  <si>
    <t>RUCULA KG</t>
  </si>
  <si>
    <t>ROCHINHA BITS ACAI CX 12UND</t>
  </si>
  <si>
    <t xml:space="preserve">PICOLE TANGERINA CX14UN </t>
  </si>
  <si>
    <t>ARROZ ARBORIO CAMIL C/2KG</t>
  </si>
  <si>
    <t>FARINHA DE MILHO FLOCAO YOKI 500GR</t>
  </si>
  <si>
    <t>FARINHA PANKO ROMARIZ C/1KG</t>
  </si>
  <si>
    <t>MACARRAO FUSILLI C/500G</t>
  </si>
  <si>
    <t>OLEO COMPOSTO LISBOA 5LT UN</t>
  </si>
  <si>
    <t>QUINOA BRANCA EM GRAO 1KG</t>
  </si>
  <si>
    <t>CEBOLA PEROLA KG</t>
  </si>
  <si>
    <t>MANGA PALMER KG</t>
  </si>
  <si>
    <t>CREAM CHEESE DANUBIO C/1KG</t>
  </si>
  <si>
    <t>LEITE INTEGRAL ITALAC C/12</t>
  </si>
  <si>
    <t>MARGARINA COM SAL QUALY 500G UN</t>
  </si>
  <si>
    <t>CACHACA ORIGINAL OURO ENGENHO CANTAREIRA 750ML</t>
  </si>
  <si>
    <t>GIN TANQUERAY 750ML</t>
  </si>
  <si>
    <t>LICOR DIEGO ZAMORA 43 700ML</t>
  </si>
  <si>
    <t>VODKA ABSOLUT 1L</t>
  </si>
  <si>
    <t>VODKA KETEL ONE 1L</t>
  </si>
  <si>
    <t>CHA MATE LEAO C/250G</t>
  </si>
  <si>
    <t>SUCO DE TOMATE RAIOLA 1L</t>
  </si>
  <si>
    <t>RUTINI CABERNET/MALBEC 750ML</t>
  </si>
  <si>
    <t>TRINCA BOLOTAS TINTO 750ML</t>
  </si>
  <si>
    <t>QUINOA PRETA EM GRAO KG</t>
  </si>
  <si>
    <t>PAPRICA DEFUMADA PCT 500G UN</t>
  </si>
  <si>
    <t>BICARBONATO DE SODIO KG</t>
  </si>
  <si>
    <t>CHIMICHURRI KG</t>
  </si>
  <si>
    <t>BROCOLIS COMUM KG</t>
  </si>
  <si>
    <t>COUVE FLOR KG</t>
  </si>
  <si>
    <t>TOMATE CEREJA KG</t>
  </si>
  <si>
    <t>BETERRABA KG</t>
  </si>
  <si>
    <t>BROCOLIS NINJA KG</t>
  </si>
  <si>
    <t>CAJU KG</t>
  </si>
  <si>
    <t>PIMENTAO AMARELO KG</t>
  </si>
  <si>
    <t>MELAO KG</t>
  </si>
  <si>
    <t>BITS BOMBOM ROCHINHA DE CHOCOLATE COM COBERTURA DE CHOCOLATE C/12 UN</t>
  </si>
  <si>
    <t xml:space="preserve">PICOLE ACAI C GUARANA CX14UN </t>
  </si>
  <si>
    <t xml:space="preserve">PICOLE CHOCOLATE ZERO CX14UN </t>
  </si>
  <si>
    <t>ARROZ BRANCO TIPO 1 CAMIL C/5KG</t>
  </si>
  <si>
    <t>ARROZ PRETO KG</t>
  </si>
  <si>
    <t>AZEITE DE DENDE CEPERA 900ML UN</t>
  </si>
  <si>
    <t>BISCOITO CHAMPAGNE CRISTAL BAUDUCCO 150G UN</t>
  </si>
  <si>
    <t>CAPSULA DE CHANTILLY C/10 UN</t>
  </si>
  <si>
    <t>KETCHUP HEMMER 3,8KG</t>
  </si>
  <si>
    <t>CHOCOLATE BRANCO SICAO BARRA 2,1KG</t>
  </si>
  <si>
    <t>CHOCOLATE EM BARRA MEIO AMARGO C/2,1KG SICAO</t>
  </si>
  <si>
    <t>COUSCOUS MARROQUINO DIVELLA 500G</t>
  </si>
  <si>
    <t>MEL PURO FLORA NECTAR C/1KG</t>
  </si>
  <si>
    <t>MOLHO DE PIMENTA VERMELHA CEPERA 1,01L</t>
  </si>
  <si>
    <t>LT</t>
  </si>
  <si>
    <t>MOSTARDA AM HEMMER 3,6KG</t>
  </si>
  <si>
    <t>PLACA DE BOLACHA WAFER 130GR</t>
  </si>
  <si>
    <t>PASTA GERGELIM TAHINE ISTAMBUL 5006 LT</t>
  </si>
  <si>
    <t>VINHO BRANCO SECO CHALISE 750ML</t>
  </si>
  <si>
    <t>BANANA NANICA KG</t>
  </si>
  <si>
    <t>MORANGO KG</t>
  </si>
  <si>
    <t>PIMENTAO VERMELHO KG</t>
  </si>
  <si>
    <t>UVA PASSA PRETA SEM SEMENTE C/1KG</t>
  </si>
  <si>
    <t>CHOPP BRAHMA CLARO 50L</t>
  </si>
  <si>
    <t>BARRIL</t>
  </si>
  <si>
    <t>STELLA ARTOIS SEM GLUTEN LONG NECK 330ML C/24</t>
  </si>
  <si>
    <t>APERITIVO ANGOSTURA 200ML</t>
  </si>
  <si>
    <t>LICOR STEINHAEGER SCHLICHTE ALEMAO 700ML</t>
  </si>
  <si>
    <t>SAQUE AZUMA KIRIN DOURADO 740ML</t>
  </si>
  <si>
    <t>TEQUILA JOSE CUERVO OURO 750ML</t>
  </si>
  <si>
    <t>TEQUILA JOSE CUERVO PRATA 750ML</t>
  </si>
  <si>
    <t>VERMOUTH CARPANO PUNT E MES 1L</t>
  </si>
  <si>
    <t>XAROPE DE FRAMBOESA MONIN 700ML</t>
  </si>
  <si>
    <t>XAROPE DE MACA VERDE MONIN 700ML</t>
  </si>
  <si>
    <t>XAROPE MONIN MORANGO 700ML</t>
  </si>
  <si>
    <t>VINHO ROSE DESTINO MALBEC LA RURAL ARGENTINA 750ML</t>
  </si>
  <si>
    <t>VINHO TINTO SECO CHALISE 750ML</t>
  </si>
  <si>
    <t>VINHO TINTO TRAPEZIO PINOT NOIR 750ML</t>
  </si>
  <si>
    <t>CACHACA DE SCHNAPS DO LEO 750ML</t>
  </si>
  <si>
    <t>CASTANHA DE CAJU INTEIRA A VACUO  KG</t>
  </si>
  <si>
    <t>GENGIBRE KG</t>
  </si>
  <si>
    <t>AZEITONA VERDE S/ CAROCO KG</t>
  </si>
  <si>
    <t>PEPINO JAPONES KG</t>
  </si>
  <si>
    <t xml:space="preserve">PIMENTA CALABRESA FLOCOS PENINA 500G </t>
  </si>
  <si>
    <t>MOSTARDA FRANCESA DIJON BEAUFOR 1KG</t>
  </si>
  <si>
    <t>ERVILHA CONGELADA KG</t>
  </si>
  <si>
    <t>CACHACA SELETA 1L</t>
  </si>
  <si>
    <t>MACA GALA KG</t>
  </si>
  <si>
    <t>PIMENTA DEDO DE MOCA KG</t>
  </si>
  <si>
    <t>PAO FRANCES KG</t>
  </si>
  <si>
    <t>PIMENTA PRETA EM GRAO KG</t>
  </si>
  <si>
    <t>QUEIJO MUSSARELA DE BUFALA CEREJA KG</t>
  </si>
  <si>
    <t>MOSTARDA AMARELA KG</t>
  </si>
  <si>
    <t>QUIABO KG</t>
  </si>
  <si>
    <t>COMINHO EM PO KG</t>
  </si>
  <si>
    <t>BATATA BOLINHA KG</t>
  </si>
  <si>
    <t>ERVILHA TORTA KG</t>
  </si>
  <si>
    <t>GOIABADA CREMOSA BISNAGA RALSTON 2,5KG</t>
  </si>
  <si>
    <t xml:space="preserve">PICOLE BLUE ICE CX14UN </t>
  </si>
  <si>
    <t xml:space="preserve">PICOLE UVA CX14UN </t>
  </si>
  <si>
    <t>ALCAPARRA CAMPOMESA 2KG</t>
  </si>
  <si>
    <t>AMENDOA LAMINADA KG</t>
  </si>
  <si>
    <t>AMIDO DE MILHO MAIZENA 1KG</t>
  </si>
  <si>
    <t>AZEITONA PRETA AZAPA ARCOBELLO C/2KG</t>
  </si>
  <si>
    <t>CACAU EM PO 100% SICAO 500G</t>
  </si>
  <si>
    <t>COCO RALADO SOCOCO C/1KG</t>
  </si>
  <si>
    <t>CREME DE LEITE FRESCO QUATA C/1,01LT</t>
  </si>
  <si>
    <t>EXTRATO DE TOMATE ELEFANTE POUCH 1,7KG</t>
  </si>
  <si>
    <t>FEIJAO VERMELHO KG</t>
  </si>
  <si>
    <t>FERMENTO BIOLOGICO SECO FLEISCHMANN 500G UN</t>
  </si>
  <si>
    <t>LEITE CONDENSADO MOCA C/2,6KG</t>
  </si>
  <si>
    <t>LEITE CONDENSADO MOCA C/395G UN</t>
  </si>
  <si>
    <t>LEITE DE COCO SOCOCO C/1L UN</t>
  </si>
  <si>
    <t>MASSA DE PASTEL HIDEKI C/2,5 KG</t>
  </si>
  <si>
    <t>MELADO DE CANA JR C/1,3KG</t>
  </si>
  <si>
    <t>MILHO VERDE QUERO C/170G</t>
  </si>
  <si>
    <t>MOLHO INGLES CEPERA C/1L</t>
  </si>
  <si>
    <t>MOLHO SHOYO CEPERA C/1,010L</t>
  </si>
  <si>
    <t>PALMITO INTEIRO BELO MONTE 1,8KG</t>
  </si>
  <si>
    <t>REFRESCO EM PO LARANJA QUALIMAX 1KG</t>
  </si>
  <si>
    <t xml:space="preserve">REFRESCO EM PO LIMAO QUALIMAX 1KG </t>
  </si>
  <si>
    <t>SUCO EM PO DE MARACUJA FRUTESCO C/1KG</t>
  </si>
  <si>
    <t>REFRESCO EM PO TANGERINA QUALIMAX 1KG</t>
  </si>
  <si>
    <t>REFRESCO EM PO UVA QUALIMAX 1KG</t>
  </si>
  <si>
    <t>TOMATE SECO ARCOBELLO 2KG</t>
  </si>
  <si>
    <t>VINAGRE DE MACA CASTELO 750ML UN</t>
  </si>
  <si>
    <t>MANTEIGA DE GARRAFA RAINHA 900ML</t>
  </si>
  <si>
    <t>CHOPP PATAGONIA IPA 30L</t>
  </si>
  <si>
    <t>APERITIVO ANGOSTURA 100ML</t>
  </si>
  <si>
    <t>APERITIVO JAGERMEISTER 700ML</t>
  </si>
  <si>
    <t>CACHACA SALINAS TRADICIONAL 1L</t>
  </si>
  <si>
    <t>CONHAQUE FUNDADOR 750ML</t>
  </si>
  <si>
    <t>LICOR AMARETTO DEL ORSO 700ML</t>
  </si>
  <si>
    <t>LICOR BAILEYS 750ML</t>
  </si>
  <si>
    <t>LICOR COINTREAU 700ML</t>
  </si>
  <si>
    <t>LICOR DE CASSIS JEAN DE DIJON 670ML</t>
  </si>
  <si>
    <t>LICOR FRANGELICO 700ML</t>
  </si>
  <si>
    <t>VERMOUTH CINZANO ROSSO ARGENTINO 1L</t>
  </si>
  <si>
    <t>VERMOUTH MARTINI BIANCO 750ML</t>
  </si>
  <si>
    <t>VERMOUTH MARTINI EXTRA DRY 750ML</t>
  </si>
  <si>
    <t>WHISKY BOURBON BULLEIT 750ML</t>
  </si>
  <si>
    <t>WHISKY CHIVAS REGAL 12 ANOS 750ML</t>
  </si>
  <si>
    <t>WHISKY JACK DANIELS 1L</t>
  </si>
  <si>
    <t>WHISKY JOHNNIE WALKER BLACK LABEL 1L</t>
  </si>
  <si>
    <t>WHISKY JOHNNIE WALKER BLONDE 700ML</t>
  </si>
  <si>
    <t>WHISKY JOHNNIE WALKER GOLD LABEL RESERVE 750ML</t>
  </si>
  <si>
    <t>MACA VERDE KG</t>
  </si>
  <si>
    <t>OREGANO KG</t>
  </si>
  <si>
    <t>WHISKY JOHNNIE WALKER RED LABEL 1L</t>
  </si>
  <si>
    <t>ALHO PORO KG</t>
  </si>
  <si>
    <t>RABANETE KG</t>
  </si>
  <si>
    <t>PAPRICA DOCE PCT/500G UN</t>
  </si>
  <si>
    <t>CEREJA EM CALDA KG</t>
  </si>
  <si>
    <t>SEMENTE ABOBORA CRUA SEM CASCA KG</t>
  </si>
  <si>
    <t>LICOR DE CAFE TIA MARIA 700ML</t>
  </si>
  <si>
    <t>LICOR DE CASSIS STOCK 720ML</t>
  </si>
  <si>
    <t>NOZ MOSCADA INTEIRA KG</t>
  </si>
  <si>
    <t>RUM BACARDI CARTA OURO 980ML</t>
  </si>
  <si>
    <t>FLOR DE SAL KG</t>
  </si>
  <si>
    <t>MINI PAO FRANCES KG</t>
  </si>
  <si>
    <t>SEMENTE DE MOSTARDA KG</t>
  </si>
  <si>
    <t>COUVE MANTEIGA KG</t>
  </si>
  <si>
    <t>LOURO SECO KG</t>
  </si>
  <si>
    <t>LEMON PEPPER KG</t>
  </si>
  <si>
    <t>CRAVO DA INDIA KG</t>
  </si>
  <si>
    <t>ACUCAR SACHE UNIAO 5G C/1000</t>
  </si>
  <si>
    <t>ALBUMINA KG</t>
  </si>
  <si>
    <t>MOLHO INGLES JIMMI C/1L</t>
  </si>
  <si>
    <t>PIMENTA PRETA EM GRAOS C/500G</t>
  </si>
  <si>
    <t>VINAGRE DE MACA L</t>
  </si>
  <si>
    <t>COENTRO KG</t>
  </si>
  <si>
    <t>ESPINAFRE CONGELADO KG</t>
  </si>
  <si>
    <t>POLPA DE AVOCADO KG</t>
  </si>
  <si>
    <t>SALSA KG</t>
  </si>
  <si>
    <t xml:space="preserve">ANCHO RESFRIADO BASSI KG </t>
  </si>
  <si>
    <t>AGUA MINERAL SEM GAS LINDOIA PREMIUM  310ML C/12</t>
  </si>
  <si>
    <t>VINHO TINTO RUTINI COLLLECCION CARBENET E MALBEC 750ML</t>
  </si>
  <si>
    <t>LEITE EM PO INTEGRAL NINHO C/400G</t>
  </si>
  <si>
    <t>SALAME ITALIANO KG</t>
  </si>
  <si>
    <t>FUMACA LIQUIDA GONZALO 150ML</t>
  </si>
  <si>
    <t>OLEO DE GERGELIM TORRADO L</t>
  </si>
  <si>
    <t>ESPUMANTE TRADITION RESERVE BRUT CHATEOU LOS BOLDOS UN</t>
  </si>
  <si>
    <t>PEPSI ZERO LATA 350ML C/12</t>
  </si>
  <si>
    <t>GUARANA ANTARCTICA LATA 350ML C/12 PC</t>
  </si>
  <si>
    <t>GUARANA ANTARCTICA DIET LATA 350ML C/12</t>
  </si>
  <si>
    <t>PEPSI COLA LATA 350ML C/12</t>
  </si>
  <si>
    <t>CERVEJA SPATEN 600ML C/24</t>
  </si>
  <si>
    <t>CERVEJA ORIGINAL 600ML C/24</t>
  </si>
  <si>
    <t>STELLA ARTOIS LONG NECK 330ML C/24</t>
  </si>
  <si>
    <t>CERVEJA SERRAMALTE EXTRA 600ML C/24</t>
  </si>
  <si>
    <t>AGUA MINERAL COM GAS LINDOIA PREMIUM  310ML C/12</t>
  </si>
  <si>
    <t>CORONA EXTRA LONG NECK 330ML C/24</t>
  </si>
  <si>
    <t>AGUA TONICA DIET ANTARCTICA 350ML C/12</t>
  </si>
  <si>
    <t>AGUA TONICA ANTARCTICA 350ML C/12</t>
  </si>
  <si>
    <t>CERVEJA CORONA ZERO SUNBREW LONG NECK 330ML C/24</t>
  </si>
  <si>
    <t>CERVEJA BECKS 600ML  C/24</t>
  </si>
  <si>
    <t>LINGUICA TOSCANA FINA COM ERVAS KG</t>
  </si>
  <si>
    <t>ENERGETICO RED BULL ORIGINAL 250ML C/24UN</t>
  </si>
  <si>
    <t>ABOBRINHA ITALIANA GRAUDA KG</t>
  </si>
  <si>
    <t>MANTEIGA SCALA C/5KG</t>
  </si>
  <si>
    <t>MAIONESE HELLMANNS C/3KG</t>
  </si>
  <si>
    <t>CREME DE LEITE PIRACANJUBA TP 1,030 KG  UN</t>
  </si>
  <si>
    <t>SODA LIMONADA ANTARCTICA LATA 350ML C/12</t>
  </si>
  <si>
    <t>ENERGETICO RED BULL TROPICAL 250ML  C/24UN</t>
  </si>
  <si>
    <t xml:space="preserve">VERMOUTH PUNT E MES 750ML </t>
  </si>
  <si>
    <t>PERA WILLIAM KG</t>
  </si>
  <si>
    <t>CEBOLINHA KG</t>
  </si>
  <si>
    <t>KIWI KG</t>
  </si>
  <si>
    <t>LEITE CONDENSADO ITALAC C/395G UN</t>
  </si>
  <si>
    <t>QUEIJO BOURSIN NATURAL 1KG</t>
  </si>
  <si>
    <t>QUEIJO MUSSARELA FIOR CEREJA YEMA 330G</t>
  </si>
  <si>
    <t>WHISKY CHIVAS REGAL 12 ANOS 1L</t>
  </si>
  <si>
    <t>SODA LIMONADA ANTARCTICA DIET LATA 350ML C/12</t>
  </si>
  <si>
    <t>SALSAO KG</t>
  </si>
  <si>
    <t>MANJERICAO KG</t>
  </si>
  <si>
    <t>CAPIM SANTO KG</t>
  </si>
  <si>
    <t>TOMILHO KG</t>
  </si>
  <si>
    <t>FLOR DE HIBISCO DESIDRATADA KG</t>
  </si>
  <si>
    <t>HORTELA HIDROPONICA KG</t>
  </si>
  <si>
    <t>PIMENTA DE CHEIRO VERDE KG</t>
  </si>
  <si>
    <t>VAGEM KG</t>
  </si>
  <si>
    <t>ALECRIM KG</t>
  </si>
  <si>
    <t>ACETO BALSAMICO GALLO C/250ML UN</t>
  </si>
  <si>
    <t>ADOCANTE SUCRALOSE SACHE LINEA 500X6GR</t>
  </si>
  <si>
    <t>ESSENCIA DE BAUNILHA OETKER 30ML UN</t>
  </si>
  <si>
    <t>LOURO KG</t>
  </si>
  <si>
    <t>CAUDA DE JACARE KG</t>
  </si>
  <si>
    <t>APERITIVO ANGOSTURA 473ML</t>
  </si>
  <si>
    <t>AGUA MINERAL COM GAS LINDOIA PREMIUM  510ML C/12</t>
  </si>
  <si>
    <t>PEITO DE FRANGO SEM OSSO E SEM PELE KG</t>
  </si>
  <si>
    <t>SAL GROSSO CISNE C/1KG</t>
  </si>
  <si>
    <t>EXTRATO DE TOMATE ELEFANTE C/4,08KG</t>
  </si>
  <si>
    <t>OLEO DE SOJA LIZA C/900ML</t>
  </si>
  <si>
    <t>EMULSIFICANTE MARVI 200GR</t>
  </si>
  <si>
    <t>AZEVEDO LOUREIRO &amp; ALVARINHO 750ML</t>
  </si>
  <si>
    <t>ESPUMANTE VEUVE PAUL BUR BORDEAUX FRANCA 750ML</t>
  </si>
  <si>
    <t>HAMBURGUER BOVINO BLEND C/160G FORMATADO NELORE 25% ACEM 25% COSTELA 25% PEITO E 25% GORDURA KG</t>
  </si>
  <si>
    <t>PICANHA BB GRILL KG</t>
  </si>
  <si>
    <t>PAO HAMBURGUER BRANCO MINI PINC 30G CX C/96UN</t>
  </si>
  <si>
    <t>CHOPP PATAGONIA AMBER LAGER 30L</t>
  </si>
  <si>
    <t>HAMBURGUER BOVINO FREDDI PORCIONADO EM 50G KG 60% ACEM 40% PEITO BOVINO ARCOS</t>
  </si>
  <si>
    <t>PICOLE ROCHINHA MILHO VERDE UN</t>
  </si>
  <si>
    <t>FARINHA DE TRIGO ANACONDA TIPO 1 PREMIUM C/1KG</t>
  </si>
  <si>
    <t>PICOLE ROCHINHA MARACUJA UN</t>
  </si>
  <si>
    <t>AZEITE EXTRA VIRGEM GALLO 250ML UN</t>
  </si>
  <si>
    <t>GELO CUBO 50X60MM</t>
  </si>
  <si>
    <t>VERMOUTH CARPANO CLASSICO ROSSO ITALIANO 1L</t>
  </si>
  <si>
    <t>VINHO TINTO VINA VIVA TANNAT CLASSIC RANGE ATLANTIDA URUGUAI 750ML</t>
  </si>
  <si>
    <t>PE SUINO SALGADO KG</t>
  </si>
  <si>
    <t>PIMENTA SIRIA KG</t>
  </si>
  <si>
    <t>BAGUETE DE PAO FRANCES UN</t>
  </si>
  <si>
    <t xml:space="preserve">PICOLE GROSELHA CX14UN </t>
  </si>
  <si>
    <t xml:space="preserve">PICOLE FRAMBOESA SICILIANA CX 12UN </t>
  </si>
  <si>
    <t xml:space="preserve">PICOLE BROWNIE DO LUIZ CX 12UN </t>
  </si>
  <si>
    <t xml:space="preserve">PICOLE COCO C/ ABACAXI CX 14UN </t>
  </si>
  <si>
    <t>POLVO MEDIO KG</t>
  </si>
  <si>
    <t>QUEIJO MUSSARELA TRES MARIAS KG</t>
  </si>
  <si>
    <t>MANTEIGA S/ SAL TRES MARIAS 5KG</t>
  </si>
  <si>
    <t>SAL REFINADO CISNE 10X1KG</t>
  </si>
  <si>
    <t>GRAO DE BICO CAMIL C/2KG</t>
  </si>
  <si>
    <t>OLEO DE GERGELIM TORRADO HONG KONG C/1L</t>
  </si>
  <si>
    <t>ADOCANTE SUCRALOSE SACHE LINEA 1000X5GR CX</t>
  </si>
  <si>
    <t>BACALHAU LASCAS PORTO KG</t>
  </si>
  <si>
    <t>OVO BRANCO UN</t>
  </si>
  <si>
    <t>BATATA ASTERIX GRAUDA NOIVA KG</t>
  </si>
  <si>
    <t>LINGUICA CALABRESA KG</t>
  </si>
  <si>
    <t>CEREJA AMARENA FABBRI C/600GR</t>
  </si>
  <si>
    <t>CAPSULAS GÁS PARA CHANTILLY C/10</t>
  </si>
  <si>
    <t>PICOLE ROCHINHA LIMAO UN</t>
  </si>
  <si>
    <t>COGUMELO SHIITAKE MURANAKA KG</t>
  </si>
  <si>
    <t>PICOLE ROCHINHA MELANCIA UN</t>
  </si>
  <si>
    <t>PICOLE ROCHINHA ABACAXI C/ GENGIBRE UN</t>
  </si>
  <si>
    <t>GIN APTK LONDON DRY REVOARA 750ML</t>
  </si>
  <si>
    <t>FILE DE FRANGO KG</t>
  </si>
  <si>
    <t>LENTILHA CAMIL 2KG</t>
  </si>
  <si>
    <t>ALCAPARRA MEDIA DI SALERNO C/2KG</t>
  </si>
  <si>
    <t>PAO DE HAMBURGUER BRIOCHE 60G UN CX C/24UN LE PAIN</t>
  </si>
  <si>
    <t>HAMBURGUER BOVINO BLEND C/ 160G 50% PEITO 50% FRALDINHA KG</t>
  </si>
  <si>
    <t>FILE DE SALMAO COM PELE CONGELADO KG</t>
  </si>
  <si>
    <t>BIFE DE ANCHO KG</t>
  </si>
  <si>
    <t>COPA LOMBO SUINO FATIAS 180G KG</t>
  </si>
  <si>
    <t>ID_Insumo_Nivel_5</t>
  </si>
  <si>
    <t>Nome_Insumo_Nivel_5</t>
  </si>
  <si>
    <t>Nome_Incumo_Nivel_1</t>
  </si>
  <si>
    <t>Valor_Cotado</t>
  </si>
  <si>
    <t>Valor_Unidade_Medida</t>
  </si>
  <si>
    <t>BOBINA DE PLÁSTICO FILME PVC  60CMX600M UN</t>
  </si>
  <si>
    <t>DESCARTAVEIS/HIGIENE E LIMPEZA</t>
  </si>
  <si>
    <t>ESPUMANTE  DON ABEL MOSCATEL</t>
  </si>
  <si>
    <t>Farinha Copioba – 1Kg</t>
  </si>
  <si>
    <t>ALIMENTOS</t>
  </si>
  <si>
    <t>ALCOOL 46º LIQUIDO 1L UN</t>
  </si>
  <si>
    <t>ESPONJA FIBRACO TININDO 3M C/5 UN</t>
  </si>
  <si>
    <t>PAPEL ALUMINIO ROLO  45X65M UN</t>
  </si>
  <si>
    <t>DESINFETANTE LAVANDA LARILIMP 5L UN</t>
  </si>
  <si>
    <t>LUVA EMBORRACHADA M AMARELA UN</t>
  </si>
  <si>
    <t>ADESIVO LACRE PARA DELIVERY ROLO C/500</t>
  </si>
  <si>
    <t>PAPEL TOALHA SNOB 1X2 UN</t>
  </si>
  <si>
    <t>LUVA EMBORRACHADA G AMARELA UN</t>
  </si>
  <si>
    <t>SACO PLASTICO BOBINA PICOTADA ROLL 20X30 KG</t>
  </si>
  <si>
    <t>LIMPA CHAPA GRILL CLEANER 5L</t>
  </si>
  <si>
    <t>SABAO EM PO MACIEZ TIXAN C/5KG</t>
  </si>
  <si>
    <t>SACO ALVEJADO BRANCO 45X65 UN</t>
  </si>
  <si>
    <t>FITA DUPLA FACE 1 ROLO 12MMX2M UN</t>
  </si>
  <si>
    <t>UTENSILIOS</t>
  </si>
  <si>
    <t>Un</t>
  </si>
  <si>
    <t>PAPEL TOALHA BOBINA LUXO BIA PAPER C/6X20X200M C/6 ROLOS</t>
  </si>
  <si>
    <t>AGUA SANITARIA LARILIMP 5L UN</t>
  </si>
  <si>
    <t>PAPEL TOALHA INTER/ 100% CELULOSE SULLEG C/2000</t>
  </si>
  <si>
    <t>AVENTAL DE PVC BRANCO 1,20X0,70 UN</t>
  </si>
  <si>
    <t>PAPEL HIGIENICO INTER/ FOLHA DUPLA SULLEG  C/8000 FOLHAS</t>
  </si>
  <si>
    <t>SACO KRAFT LISO G 34X24X14 C/100UN</t>
  </si>
  <si>
    <t>MARMITEX D6 500ML COM TAMPA THERMOPRAT C/100</t>
  </si>
  <si>
    <t>ARQUIVO MORTO PAPELAO RECICLADO 350MM X 135MM X 240MM UN</t>
  </si>
  <si>
    <t>DESPESAS OPERACIONAIS</t>
  </si>
  <si>
    <t xml:space="preserve">TAMPA LISA R-021 INCOLOR PARA CONGELADOS </t>
  </si>
  <si>
    <t xml:space="preserve">EMBALAGEM PLASTICA R-021 BRANCO PARA CONGELADOS </t>
  </si>
  <si>
    <t xml:space="preserve">TAMPA LISA R-041 INCOLOR </t>
  </si>
  <si>
    <t xml:space="preserve">EMBALAGEM PLASTICA R-041 BRANCA </t>
  </si>
  <si>
    <t xml:space="preserve">EMBALAGEM  PLASTICA R-061 BRANCO PARA CONGELADOS </t>
  </si>
  <si>
    <t xml:space="preserve">TAMPA LISA R-051 INCOLOR PARA PARA CONGELADOS </t>
  </si>
  <si>
    <t>BEBIDAS</t>
  </si>
  <si>
    <t>TAMPA PET PARA POTE DE MOLHO 90ML C/2000UN</t>
  </si>
  <si>
    <t>POTE PARA MOLHO KRAFT  90ML C/2000UN</t>
  </si>
  <si>
    <t>BANDEJA FIBRA VEGETAL 3 COMPARTIMENTO 1400ML</t>
  </si>
  <si>
    <t>TAMPA PP BANDEJA 3 COMP. 1400ML C/300UN</t>
  </si>
  <si>
    <t>N/A</t>
  </si>
  <si>
    <t>Pc</t>
  </si>
  <si>
    <t>CALCADO PROFISSIONAL TIPO CROCS PAR ANTIDERRAPANTE N 40</t>
  </si>
  <si>
    <t xml:space="preserve">CALCADO PROFISSIONAL TIPO CROCS PAR ANTIDERRAPANTE N 37 </t>
  </si>
  <si>
    <t>GAS CO2 UN</t>
  </si>
  <si>
    <t>GELO / GAS / CARVAO / VELAS</t>
  </si>
  <si>
    <t>ALHO TRITURADO FRITO</t>
  </si>
  <si>
    <t>OLEO SOJA LIZA PET 6X900ML UN</t>
  </si>
  <si>
    <t>ENERGETICO RED BULL TROPICAL 250ML C/4</t>
  </si>
  <si>
    <t>CARNE SECA TRASEIRA KG</t>
  </si>
  <si>
    <t>COSTELA SUINA C/ OSSO KG</t>
  </si>
  <si>
    <t>Kg</t>
  </si>
  <si>
    <t>DETERGENTE NEUTRO LIMPOL 5L</t>
  </si>
  <si>
    <t>UNIDADE</t>
  </si>
  <si>
    <t>Fr</t>
  </si>
  <si>
    <t>LATA</t>
  </si>
  <si>
    <t>SACO CRISTAL 60X80 0,20 (PACOTE C/5KG)</t>
  </si>
  <si>
    <t>SACO DE LIXO 20L PRETO C/ 100UN</t>
  </si>
  <si>
    <t>PACOTE</t>
  </si>
  <si>
    <t>SACO DE LIXO 60L PRETO GROSSO 65X80CM (ENTRE 3KG A 4KG)</t>
  </si>
  <si>
    <t>BOBINA DE PAPEL FILME PVC 40CMX400M UN</t>
  </si>
  <si>
    <t>SACO DE LIXO 100L BL PRETO GROSSO 95X120 4K UN</t>
  </si>
  <si>
    <t>SACO CRISTAL 18X25 0,20 (PACOTE C/5KG)</t>
  </si>
  <si>
    <t xml:space="preserve">SACO CRISTAL 30X40 0,20 (PACOTE C/5KG) </t>
  </si>
  <si>
    <t>MOSTARDA AMARELA HEINZ C/255G UN</t>
  </si>
  <si>
    <t>PIMENTA MALAGUETA VERMELHA KG</t>
  </si>
  <si>
    <t>HERDADE DO PESO REVELADO 750ML</t>
  </si>
  <si>
    <t>SACOLA ALTA DENSIDADE BRANCA 45X60CM</t>
  </si>
  <si>
    <t>PANO MULTIUSO 28X240 C/600PANOS UM</t>
  </si>
  <si>
    <t>MARMITEX D7 750ML COM TAMPA THERMOPRAT C/100</t>
  </si>
  <si>
    <t>PAPEL MANTEIGA PERSONALIZADO JACARE 25X35 C/800UN</t>
  </si>
  <si>
    <t xml:space="preserve">ESPONJA DUPLA FACE TININDO 3M C/10 UN </t>
  </si>
  <si>
    <t>COPO DESCARTAVEL KEROCOPO 200ML C/25X100</t>
  </si>
  <si>
    <t>LUVA LATEX G SEM TALCO C/100UN</t>
  </si>
  <si>
    <t>PAPEL HIGIENICO INTER FOLHA ISAPEL 8.000 FOLHAS 10X20,5CM UN</t>
  </si>
  <si>
    <t>BOBINA PICOTADA 40X60 C/500 UN</t>
  </si>
  <si>
    <t>GUARDANAPO QUADRADO FOLHA DUPLA BRANCO E BORDA CALANDRA 24X22 C/5000 UN</t>
  </si>
  <si>
    <t>DETERGENTE PARA MAQUINA DE LAVAR 20L</t>
  </si>
  <si>
    <t>BB</t>
  </si>
  <si>
    <t>UVA VITORIA KG</t>
  </si>
  <si>
    <t>MANDIOQUINHA KG</t>
  </si>
  <si>
    <t>GOIABA VERMELHA KG</t>
  </si>
  <si>
    <t>Cx</t>
  </si>
  <si>
    <t>MOLHO DE PIMENTA TABASCO RED C/60ML</t>
  </si>
  <si>
    <t xml:space="preserve">BEBIDAS </t>
  </si>
  <si>
    <t xml:space="preserve">ALIMENTOS </t>
  </si>
  <si>
    <t>FEIJAO FRADINHO CAMIL C/2KG</t>
  </si>
  <si>
    <t>CARVAO DE EUCALIPTO C/8KG</t>
  </si>
  <si>
    <t xml:space="preserve">CARVAO </t>
  </si>
  <si>
    <t>ALIMENTOS -PAGAMENTO VIA PIX</t>
  </si>
  <si>
    <t>HIGIENE E LIMPEZA</t>
  </si>
  <si>
    <t>LEITE INTEGRAL QUATA 1L UN</t>
  </si>
  <si>
    <t>EMBALAGEM COM TAMPA R021 DE 490 ML C/250</t>
  </si>
  <si>
    <t>EMBALAGENS</t>
  </si>
  <si>
    <t>EMBALAGEM PLÁSTICA PARA DELIVERY R-021 490ML C/250UN</t>
  </si>
  <si>
    <t>SABONETE LIQUIDO ERVA DOCE DEOLINE 5L UM</t>
  </si>
  <si>
    <t>LOURO FRESCO KG</t>
  </si>
  <si>
    <t>BOLACHA DE CHOPP PERSONALIZADA COM 5000 UN</t>
  </si>
  <si>
    <t>DESCARTAVEIS - REALIZAR PIX SEM JUROS 11 968551707 ZUPA</t>
  </si>
  <si>
    <t>GAS BONIFICADO</t>
  </si>
  <si>
    <t>CARVAO</t>
  </si>
  <si>
    <t>GAS</t>
  </si>
  <si>
    <t>FILE DE SALMAO COM PELE FRESCO KG</t>
  </si>
  <si>
    <t>ETIQUETA PRODUCAO 63X50MM C/1000 PLASTIFICADA  UN</t>
  </si>
  <si>
    <t>PAPEL HIGIENICO ROLAO NOBRE 300M C/8</t>
  </si>
  <si>
    <t>ESPETINHO DE LINGUIÇA TOSCANA KG</t>
  </si>
  <si>
    <t xml:space="preserve">GAS - FAVOR UTILIZAR O MESMO BOLETO </t>
  </si>
  <si>
    <t>ALIMENTOS - FAVOR UTILIZAR O MESMO BOLETO</t>
  </si>
  <si>
    <t>SACO PLASTICO BOBINA PICOTADA ROLL 30X40 KG</t>
  </si>
  <si>
    <t>GAS DE MACARICO REFIL UN</t>
  </si>
  <si>
    <t>RODO DE PLASTICO COM CABO CONDOR 40CM UN</t>
  </si>
  <si>
    <t>VASSOURA NOVICA AZUL BETTANIN COM CABO UN</t>
  </si>
  <si>
    <t>DETERGENTE NEUTRO SUPREMA 5L UN</t>
  </si>
  <si>
    <t>COGUMELO SHIITAKE GRANEL KG</t>
  </si>
  <si>
    <t>ETIQUETA ROLO BOPP 60X40MM C/1000UN</t>
  </si>
  <si>
    <t>ETIQUETAS</t>
  </si>
  <si>
    <t>BEBIDAS - FAVOR REALIZAR VIA PIX SEM JUROS CNPJ 09640611000250</t>
  </si>
  <si>
    <t xml:space="preserve">ALIMENTOS FORNECEDOR NAO QUIS REALIZAR AJUSTE DO VENCIMENTO- FAVOR UTILIZAR O MESMO BOLETO
</t>
  </si>
  <si>
    <t>GAS - FORNECEDOR NAO QUIS REALIZAR AJUSTE DO VENCIMENTO- FAVOR UTILIZAR O MESMO BOLETO</t>
  </si>
  <si>
    <t>BOBINA TERMICA DE PDV PALHA 80X30 C/30UN</t>
  </si>
  <si>
    <t xml:space="preserve">ALIMENTOS - PAGAMENTO VIA PIX SEM JUROS 50.391.345/0001-91
</t>
  </si>
  <si>
    <t>SACO PLASTICO AMOSTRA DE ALIMENTO 15X25CM C/500</t>
  </si>
  <si>
    <t>TOUCA TNT BRANCA C/100UN</t>
  </si>
  <si>
    <t>CALCADO PROFISSIONAL TIPO CROCS PAR ANTIDERRAPANTE N 45</t>
  </si>
  <si>
    <t xml:space="preserve">EPI UNIFORMES </t>
  </si>
  <si>
    <t xml:space="preserve">EMBALAGENS </t>
  </si>
  <si>
    <t>EMBALAGEM COM TAMPA R61 BRANCA DE 1500 ML C/250</t>
  </si>
  <si>
    <t>ALIMENTOS -  BOLETO SOLICITADO</t>
  </si>
  <si>
    <t>BATATA ASTERIX FLORAO KG</t>
  </si>
  <si>
    <t>ALIMENTOS - FAVOR SEGUIR VIA PIX SEM JUROS 50391345000191</t>
  </si>
  <si>
    <t>AMIDO DE MILHO MAIZENA 1KG UN</t>
  </si>
  <si>
    <t>CHOCOLATE MEIO AMARGO GOLD SICAO 2,0KG</t>
  </si>
  <si>
    <t>EMBALAGEM 4 DIVISORIA G324 MICRO 1225ML C/100 UN</t>
  </si>
  <si>
    <t>CANUDO BIODEGRADAVEL MEXEDOR C/2000 UN</t>
  </si>
  <si>
    <t xml:space="preserve">ESPUMANTE ROSE VEUVE PAUL BUR BRUT BORDEAX </t>
  </si>
  <si>
    <t>SECANTE PARA MAQUINA DE LAVAR 20L</t>
  </si>
  <si>
    <t>POTE</t>
  </si>
  <si>
    <t>BEBIDA MISTA BRUTAL FRUIT SPRITZER APPLE 275ML UN</t>
  </si>
  <si>
    <t>POTE PARA VIAGEM PARA MOLHO PEQUENO 60ML C/700 UN</t>
  </si>
  <si>
    <t>PAPEL SULFITE BRANCO A4 75 GRAMAS 210MMX297MM C/500</t>
  </si>
  <si>
    <t>CANETA ESFEROGRAFICA BIC ESCRITA MEDIA CRISTAL DURA MAIS AZUL C/50 UN</t>
  </si>
  <si>
    <t>CLIPS 0/8 C/25</t>
  </si>
  <si>
    <t>FITA ADESIVA TRANSPARENTE 40X45</t>
  </si>
  <si>
    <t xml:space="preserve">ESTILETE LARGO EM PLASTICO LAMINA 18MM AMARELO </t>
  </si>
  <si>
    <t>TESOURA MULTIUS INOX 8 SUPERCORT PRE</t>
  </si>
  <si>
    <t>ENVELOPES PLASTICOS  240 MM X 330 MM - OFICIO - EXTRA MEDIO - 4 FUROS</t>
  </si>
  <si>
    <t>SUCO EM PO DE ABACAXI FRUTESCO C/1KG</t>
  </si>
  <si>
    <t>TOMATE SECO SAN CARLO C/2KG</t>
  </si>
  <si>
    <t>LEMON PEPPER 500GR</t>
  </si>
  <si>
    <t>QUEIJO MUSSARELA DE BUFALA BARRA YEMA 330G</t>
  </si>
  <si>
    <t>QUEIJO MUSSARELA KG</t>
  </si>
  <si>
    <t>HAMBURGUER BOVINO BLEND C/ 180G 50% PEITO 50% FRALDINHA KG</t>
  </si>
  <si>
    <t>PAO DE HAMBURGER BRIOCHE 75G UN</t>
  </si>
  <si>
    <t xml:space="preserve"> ALIMENTOS - NOTA FORA DO FLUXO SEGUE DADOS PARA PAGAMENTO VIA PIX 47.094.036/0001-45 - FAVOR INCLUIR JUROS E ENCARGOS
APOS 10 DIAS BOLETO CORRE A PROTESTO.</t>
  </si>
  <si>
    <t>ALIMENTOS - VALOR ABATIDO REF A NOTA 353911</t>
  </si>
  <si>
    <t>DESCARTAVEIS</t>
  </si>
  <si>
    <t>GUARDANAPO RETANGULAR FOLHA DUPLA BRANCO 33X30 C/3000 UM</t>
  </si>
  <si>
    <t>BEBIDAS - DISTRIBUIDORA ARENA VIP COMERCIO DE BEBIDAS LTDA
Banco Bradesco S.A.  Chave PIX - CNPJ: 63.856.598/0001-35</t>
  </si>
  <si>
    <t>SABONETE LIQUIDO PARA DISPENSER INOVE BANHEIRO PCD UN</t>
  </si>
  <si>
    <t>SACO CRISTAL 20X30 (PACOTE C/5KG)</t>
  </si>
  <si>
    <t>ALCOOL GEL 70 LIMPGEL 5L</t>
  </si>
  <si>
    <t>CHORIZO BB GRILL KG</t>
  </si>
  <si>
    <t>BORRIFADOR PULVERIZADOR SPRAY PLASTICO 500ML UN</t>
  </si>
  <si>
    <t>MACARRAO PENNE C/ OVOS BARILLA C/500G</t>
  </si>
  <si>
    <t>GORDURA VEGETAL CUKIN FRY 14,5KG</t>
  </si>
  <si>
    <t>BALDE</t>
  </si>
  <si>
    <t>GUARDANAPO RETANGULAR FOLHA DUPLA BRANCO C/ LOGO 40X40 C/1200UN</t>
  </si>
  <si>
    <t>GUARDANAPO QUADRADO FOLHA DUPLA COM LOGO 24X22 C/5000 UM</t>
  </si>
  <si>
    <t>SACO PLASTICO BOBINA PICOTADA ROLL 40X60 KG</t>
  </si>
  <si>
    <t>GRAMPOS SIMPLES 26/6 C/5000</t>
  </si>
  <si>
    <t>PAPEL SULFITE BRANCO A4 C/500UN</t>
  </si>
  <si>
    <t>VINHO BRANCO CHÂTEAU  LOS BOLDOS TRADITION S. BLANC - CACHAPOAL CHILE 750ML</t>
  </si>
  <si>
    <t xml:space="preserve">TOMATE ITALIANO VERDE KG </t>
  </si>
  <si>
    <t>QUEIJO PARMESAO KG</t>
  </si>
  <si>
    <t>ALIMENTOS  - PIX CNPJ 09640611000250</t>
  </si>
  <si>
    <t>VELA LAMPARINA LUZART  XG 5CM C/250 UN</t>
  </si>
  <si>
    <t>VELAS</t>
  </si>
  <si>
    <t>VINHO ROSE RUTINI LA RURAL DESTINO MENDOZA ARGENTINA 750ML</t>
  </si>
  <si>
    <t>PIMENTAO VERDE KG</t>
  </si>
  <si>
    <t>SOBRECOXA DESSOSSADA KG</t>
  </si>
  <si>
    <t xml:space="preserve">COPO CALDERETA 350ML </t>
  </si>
  <si>
    <t>ENERGETICO RED BULL ORIGINAL 250ML C/6</t>
  </si>
  <si>
    <t>70585</t>
  </si>
  <si>
    <t xml:space="preserve"> HIGIENE E LIMPEZA - UTILIZAR O MESMO BOLETO</t>
  </si>
  <si>
    <t>PIMENTA MALAGUETA VERDE KG</t>
  </si>
  <si>
    <t xml:space="preserve"> ALIMENTOS</t>
  </si>
  <si>
    <t>COPO DESCARTAVEL TRANSPARENTE 400ML C/1000UN</t>
  </si>
  <si>
    <t xml:space="preserve"> BEBIDAS</t>
  </si>
  <si>
    <t>GARRAFA TERMICA AIRPOT PRESSAO 1,8L INOX INVICTA UN</t>
  </si>
  <si>
    <t>UTENSILIOS COMPRA A VISTA</t>
  </si>
  <si>
    <t>COCO RALADO DESIDRATADO S/ ACUCAR KG</t>
  </si>
  <si>
    <t>FLOR DE SAL 500G UN</t>
  </si>
  <si>
    <t>COCO RALADO DESIDRATADO SEM ACUCAR KG</t>
  </si>
  <si>
    <t>ANCHO GRILL BB PEDAÇO  800G/1KG</t>
  </si>
  <si>
    <t>SACO CRISTAL 32x80 (PACOTE C/5KG)</t>
  </si>
  <si>
    <t>CABECOTE ENCAIXE MACARICO UN</t>
  </si>
  <si>
    <t xml:space="preserve"> BEBIDAS </t>
  </si>
  <si>
    <t>LIMPA ALUMINIO LARILIMP 5L</t>
  </si>
  <si>
    <t>GAS DE MACARICO VULCANO UN</t>
  </si>
  <si>
    <t>PALITO DE DENTE EMBALADO BILLA C/ 2000UN</t>
  </si>
  <si>
    <t>COSTELA BOVINA COM OSSO KG</t>
  </si>
  <si>
    <t>BACTERICIDA MULT VEG C/1KG UN</t>
  </si>
  <si>
    <t>DISPENSER PAPEL TOALHA BOBINA AUTO CORTE TOALHEIRO UN</t>
  </si>
  <si>
    <t>FITA ADESIVA TRANSPARENTE 12MMX40M 1 UN DUREX</t>
  </si>
  <si>
    <t>PICANHA 1953 FRIBOI KG</t>
  </si>
  <si>
    <t>KG'</t>
  </si>
  <si>
    <t>CORACAO DE FRANGO LAR KG</t>
  </si>
  <si>
    <t xml:space="preserve">  DESCARTAVEIS</t>
  </si>
  <si>
    <t xml:space="preserve"> ALIMENTOS - 02.357.205/0001-54 - Cecília Tsuyaco Araki SIlva Ltda</t>
  </si>
  <si>
    <t xml:space="preserve">CALCADO PROFISSIONAL TIPO CROCS PAR ANTIDERRAPANTE N 36 </t>
  </si>
  <si>
    <t>UNIFORMES</t>
  </si>
  <si>
    <t xml:space="preserve">CALCADO PROFISSIONAL TIPO CROCS PAR ANTIDERRAPANTE N 38 </t>
  </si>
  <si>
    <t>CALCADO PROFISSIONAL TIPO CROCS PAR ANTIDERRAPANTE N 41</t>
  </si>
  <si>
    <t xml:space="preserve">  ALIMENTOS </t>
  </si>
  <si>
    <t>CHARQUE DE COXAO DURO KG</t>
  </si>
  <si>
    <t xml:space="preserve">HIGIENE E LIMPEZA </t>
  </si>
  <si>
    <t>GORDURA VEGETAL FRY SAUDE 14,5KG</t>
  </si>
  <si>
    <t>ALIMENTOS 
Segue dados para deposito no dia 16/03, considerar valor sem os juros
Itaú - FORTE
Ag - 3218
Cc - 38639-3</t>
  </si>
  <si>
    <t>ALIMENTOS CHAVE DE ACESSO 09640611000250 ( CNPJ DA NOTA )</t>
  </si>
  <si>
    <t xml:space="preserve">  BEBIDAS PARTE BONIFICADA</t>
  </si>
  <si>
    <t>GUARDANAPO LUXO CREPADO 33X33 FOLHA DUPLA COM BORDA C/3.000</t>
  </si>
  <si>
    <t xml:space="preserve">GUARDANAPO 23,5X24 FOLHA DUPLA C/5000	</t>
  </si>
  <si>
    <t>GRAMPEADOR PAPEL PEQUENO ESCRITORIO ESCOLAR PROFISSIONAL</t>
  </si>
  <si>
    <t>GELO</t>
  </si>
  <si>
    <t xml:space="preserve">DESCARTAVEIS </t>
  </si>
  <si>
    <t>RODO DE ALUMINIO 60CM COM CABO UN</t>
  </si>
  <si>
    <t>PICANHA KG</t>
  </si>
  <si>
    <t>NAVALHA PICADOR LEGUMES MACHO E FEMEA 8MM KIT</t>
  </si>
  <si>
    <t>PICADOR LEGUMES GDE 10MM C/TRIPE DE CHAO 0009 UN</t>
  </si>
  <si>
    <t>MACHO PICADOR LEGUMES UN</t>
  </si>
  <si>
    <t>PA DE LIXO COLETORA COM CABO DE CHAPA DE ALUMINIO UN</t>
  </si>
  <si>
    <t>GALETO C/OSSO KG</t>
  </si>
  <si>
    <t>TOMATE SALADA DEBORA GRAUDO KG</t>
  </si>
  <si>
    <t xml:space="preserve">29219 </t>
  </si>
  <si>
    <t xml:space="preserve">ALIMENTOS ID COMPLEMENTAR 2990182 </t>
  </si>
  <si>
    <t>PAPEL TOALHA BOBINA NOBRE 08/26 C/6UN</t>
  </si>
  <si>
    <t>MANJERICAO BASILICO KG</t>
  </si>
  <si>
    <t>TOMATE MOLHO ITALIANO KG</t>
  </si>
  <si>
    <t>ESPETO DE CHURRASCO GABOARDI C/ 100 250MM</t>
  </si>
  <si>
    <t>BOBINA PICOTADA JBM 25X35CM 1,039KG</t>
  </si>
  <si>
    <t xml:space="preserve">ALIMENTOS REQUISICAO COMPLEMENTAR 2930123 </t>
  </si>
  <si>
    <t>ID_Nivel_4</t>
  </si>
  <si>
    <t>Categoria_Insumo</t>
  </si>
  <si>
    <t>Preco_Medio_Pago_no_Mes</t>
  </si>
  <si>
    <t>Data_Ultima_Compra</t>
  </si>
  <si>
    <t>Valor_Ultima_Compra</t>
  </si>
  <si>
    <t>Valor_Ultima_Compra_Global</t>
  </si>
  <si>
    <t>Valor_em_Estoque</t>
  </si>
  <si>
    <t>FRALDINHA KG</t>
  </si>
  <si>
    <t>VINHO TINTO CHATEAU LOS BOLDOS GRAN RES CAB 750ML</t>
  </si>
  <si>
    <t>WHISKY JOHNNIE WALKER GOLD LABEL RESERVE L</t>
  </si>
  <si>
    <t>AZEITONA VERDE SEM CAROCO DI SALERNO 1,8KG</t>
  </si>
  <si>
    <t>SORVETE DE BAUNILHA C/5L – ROCHINHA</t>
  </si>
  <si>
    <t>MASSA DE PASTEL ROLO PASTIFICIO MARTINS KG</t>
  </si>
  <si>
    <t>GERGELIM BRANCO KG</t>
  </si>
  <si>
    <t xml:space="preserve">ACETO BALSAM DI MODENA DISALERNO 500ML </t>
  </si>
  <si>
    <t>MINI PAO HAMBURGUER BRIOCHE 30G 8CM UN</t>
  </si>
  <si>
    <t>MASSA FOLHADA AROSA 1KG UN</t>
  </si>
  <si>
    <t>GERGELIM PRETO C/ 1KG</t>
  </si>
  <si>
    <t>FARINHA DE TRIGO ANACONDA 1KG</t>
  </si>
  <si>
    <t>ESSENCIA DE BAUNILHA CEPERA 1L</t>
  </si>
  <si>
    <t>CACHACA FAMIGERADA BRUTA 750ML</t>
  </si>
  <si>
    <t>CANELA EM PAU KG</t>
  </si>
  <si>
    <t>CANELA EM PO KG</t>
  </si>
  <si>
    <t>FUMACA LIQUIDA BOMBAY 900ML</t>
  </si>
  <si>
    <t>CACHACA 51 PIRASSUNUNGA 965ML</t>
  </si>
  <si>
    <t>FARINHA DE AMENDOA KG</t>
  </si>
  <si>
    <t>ANIS ESTRELADO KG</t>
  </si>
  <si>
    <t>FERMENTO QUIMICO ROYAL 250G</t>
  </si>
  <si>
    <t>COSTELA MINGA ANGUS CARA PRETA KG</t>
  </si>
  <si>
    <t>CHORIZO ANGUS CARA PRETA KG</t>
  </si>
  <si>
    <t>AZEITE COMPOSTO FINO DO PORTO 5,1L</t>
  </si>
  <si>
    <t>AZEITONA PRETA S/ CAROCO 2,5KG</t>
  </si>
  <si>
    <t>VINHO TINTO CH QUEREU MERLOT 750ML</t>
  </si>
  <si>
    <t>PIMENTA CUMARI KG</t>
  </si>
  <si>
    <t>HAMBURGUER BOVINO CG BB 180G</t>
  </si>
  <si>
    <t>VINAGRE BALSAMICO DE MODENA GALLO 250ML</t>
  </si>
  <si>
    <t>FARINHA DE TRIGO ANACONDA C/5KG</t>
  </si>
  <si>
    <t>PAO SIRIO UN</t>
  </si>
  <si>
    <t>OVOS DE CODORNA LOUREIRO KG</t>
  </si>
  <si>
    <t xml:space="preserve">CHA MATE LEAO KG </t>
  </si>
  <si>
    <t xml:space="preserve">MILHO EM CONSERVA C/170G QUERO UN </t>
  </si>
  <si>
    <t>CHUCHU KG</t>
  </si>
  <si>
    <t>LICOR STOCK CURACAU TRIPLE SEC 720ML</t>
  </si>
  <si>
    <t>ACUCAR CONFEITEIRO GLACUCAR UNIAO 500G</t>
  </si>
  <si>
    <t>BOMBOM DE ALCATRA KG</t>
  </si>
  <si>
    <t>ANCHO 1953 FRIBOI KG</t>
  </si>
  <si>
    <t>COXAO MOLE BOA CARNE KG</t>
  </si>
  <si>
    <t>COGUMELO PORTO BELLO GRANEL KG</t>
  </si>
  <si>
    <t>BLEND DE CARNE MOIDA 50% PEITO 50% FRALDINHA KG</t>
  </si>
  <si>
    <t>PRESUNTO COZIDO MAGRO SADIA KG</t>
  </si>
  <si>
    <t>PIMENTA BIQUINHO KG</t>
  </si>
  <si>
    <t>CALABUIG MACABEO ROSE 750ML</t>
  </si>
  <si>
    <t>MAIONESE HELLMANS 3KG</t>
  </si>
  <si>
    <t>MACA FUJI KG</t>
  </si>
  <si>
    <t>MORANGO CONGELADO KG</t>
  </si>
  <si>
    <t>CERVEJA STELLA ARTOIS 600ML</t>
  </si>
  <si>
    <t>RUCULA HIDROPONICA KG</t>
  </si>
  <si>
    <t>MANTEIGA DE GARRAFA SERTA NORTE 450G UN</t>
  </si>
  <si>
    <t>AGUA DE COCO SOCOCO 1L</t>
  </si>
  <si>
    <t>ALFACE ROMANA KG</t>
  </si>
  <si>
    <t>AZEITE GALLO DE LIMÃO SICILIANO 250ML</t>
  </si>
  <si>
    <t>MACARRAO PENNE C/ OVOS C/ADRIA C/500G</t>
  </si>
  <si>
    <t>ACELGA KG</t>
  </si>
  <si>
    <t>FAROFA DOCE KG</t>
  </si>
  <si>
    <t>AZEITE GALLO 2L</t>
  </si>
  <si>
    <t>OLEO DE GIRASSOL LIZA C/900ML</t>
  </si>
  <si>
    <t>OLEO DE SOJA LIZA 900ML</t>
  </si>
  <si>
    <t>GEMA DE OVO PASTEURIZADA FLEISCHEGGS 1KG</t>
  </si>
  <si>
    <t>AZEITONA PRETA S/ CAROCO YGUARA 2KG</t>
  </si>
  <si>
    <t>MOLHO DE OSTRA KIKKOMAN SQUEEZE 390ML UN</t>
  </si>
  <si>
    <t>COUSCOUS MARROQUINO DIVELLA C/500G</t>
  </si>
  <si>
    <t>MAXIXE KG</t>
  </si>
  <si>
    <t>QUEIJO MUSSARELA DE BUFALA BOLINHA C/2KG</t>
  </si>
  <si>
    <t>FLOR DE HIBISCO KG</t>
  </si>
  <si>
    <t>MOSTARDA AMARELA CEPERA C/3,3KG</t>
  </si>
  <si>
    <t>MACARRAO PARPPADELLI C/500G</t>
  </si>
  <si>
    <t>MACARRAO FETTUCCINE BARILLA C/500G</t>
  </si>
  <si>
    <t>BISCOITO CHAMPAGNE CRISTAL BAUDUCCO C/150G</t>
  </si>
  <si>
    <t>ACETO BALSAM ITALIANO PAGANINI 500ML</t>
  </si>
  <si>
    <t>FERMENTO BIOLOGICO SECO KG</t>
  </si>
  <si>
    <t>PAPRICA DEFUMADA KG</t>
  </si>
  <si>
    <t>OREGANO GRANEL KG</t>
  </si>
  <si>
    <t>PEPINO COMUM KG</t>
  </si>
  <si>
    <t>ACUCAR MASCAVO UNIAO C/1KG</t>
  </si>
  <si>
    <t>VINHO TINTO RUTINI ENCUENTRO MALBEC 750ML</t>
  </si>
  <si>
    <t>PICANHA PREMIUM RF BASSAR COD 4168-8 KG</t>
  </si>
  <si>
    <t>GELATO CARAMELO E FLOR DE SAL DIOMIO KG</t>
  </si>
  <si>
    <t>PRESUNTO COZIDO MAGRO PERDIGAO KG</t>
  </si>
  <si>
    <t>ESPETINHO DE LINGUICA KG</t>
  </si>
  <si>
    <t>TOMATE ITALIANO SALADA KG</t>
  </si>
  <si>
    <t>CASTANHA DO PARA S/ CASCA MEDIA C/1KG</t>
  </si>
  <si>
    <t>MACARRAO FETTUCCINE DIVELLA C/500G</t>
  </si>
  <si>
    <t>ARROZ PRETO PIAGUI RUZENE C/1KG</t>
  </si>
  <si>
    <t>SUCO EM PO DE PESSEGO FRUTESCO C/1KG</t>
  </si>
  <si>
    <t>ANCHO FILE COSTELA GRIL PECA RF BB BASSAR COD 5466-6 KG</t>
  </si>
  <si>
    <t>PE DE PORCO KG</t>
  </si>
  <si>
    <t>GOIABADA CREMOSA PREDILECTA C/2,5KG</t>
  </si>
  <si>
    <t>COUSCOUS MARROQUINO PAGANINI 500G</t>
  </si>
  <si>
    <t>NHOQUE MASSA LEVE C/500G</t>
  </si>
  <si>
    <t>TOMATE CEREJA VERMEHO KG</t>
  </si>
  <si>
    <t>CREME DE LEITE UHT ITALAC 200ML</t>
  </si>
  <si>
    <t>EXTRATO DE TOMATE QUERO C/1,02KG</t>
  </si>
  <si>
    <t>VINHO BRANCO CANALLAS 750ML</t>
  </si>
  <si>
    <t>MEL PURO KG</t>
  </si>
  <si>
    <t>COPA LOMBO KG</t>
  </si>
  <si>
    <t>CERVEJA BECKS LONG NECK 330ML C/24</t>
  </si>
  <si>
    <t>FILE DE CORDEIRO KG</t>
  </si>
  <si>
    <t>SORVETE DE COCO C/5L - ROCHINHA</t>
  </si>
  <si>
    <t>GEMA DE OVO PASTEURIZADA NATUROVOS C/1KG UN</t>
  </si>
  <si>
    <t>TANGERINA IMPORTADA KG</t>
  </si>
  <si>
    <t>CERVEJA PATAGONIA WEISSE NACIONAL LONG NECK 355ML C/12</t>
  </si>
  <si>
    <t>CATCHUP HEINZ BAG 2KG</t>
  </si>
  <si>
    <t>ACUCAR REFINADO DA BARRA C/1KG</t>
  </si>
  <si>
    <t>CACHACA SALINAS 700ML</t>
  </si>
  <si>
    <t>COCO RALADO FRESCO CONGELADO VITA COCO C/1KG</t>
  </si>
  <si>
    <t>FARINHA DE MILHO AMARELA YOKI C/2KG</t>
  </si>
  <si>
    <t>TOMATE CEREJA AMARELO KG</t>
  </si>
  <si>
    <t>TUTANO COM OSSO BOVINO 28X37 CM  - LIMPAR O OSSO</t>
  </si>
  <si>
    <t>VINAGRE DE ALCOOL CASTELO 750ML UN</t>
  </si>
  <si>
    <t>COSTELA MINGA TRASEIRA KG</t>
  </si>
  <si>
    <t>CERVEJA PATAGONIA IPA RETORNAVEL 600ML C/12</t>
  </si>
  <si>
    <t xml:space="preserve">CERVEJA PATAGONIA IPA RETORNAVEL 600ML </t>
  </si>
  <si>
    <t>BIFE DE CHORIZO KG</t>
  </si>
  <si>
    <t>COXAO DURO KG</t>
  </si>
  <si>
    <t>VINHO BRANCO CALABUIG MACABEO 750ML</t>
  </si>
  <si>
    <t>CACHACA DIAMANTE OURO ENGENHO CANTAREIRA 750ML</t>
  </si>
  <si>
    <t>AZEITONA VERDE GORDAL 70/80 RIBEIRAO C/2KG</t>
  </si>
  <si>
    <t>VERMOUTH CARPANO ITALIANO CLASSICO 1L</t>
  </si>
  <si>
    <t>GELATINA S/ SABOR EM PO KG</t>
  </si>
  <si>
    <t>CHOCOLATE MEIO AMARGO SICAO 2,1KG</t>
  </si>
  <si>
    <t>PAO DE HAMBURGUER C/ GERGELIM 80G UN</t>
  </si>
  <si>
    <t>POLPA DE TOMATE PAGANINI C/690GR</t>
  </si>
  <si>
    <t>ACETO BALSAMICO LA PASTINA 500ML</t>
  </si>
  <si>
    <t>RUCULA HIGIENIZADO KG</t>
  </si>
  <si>
    <t>FARINHA DE ROSCA KG</t>
  </si>
  <si>
    <t>WHISKY JOHNNIE WALKER BLONDE 750ML</t>
  </si>
  <si>
    <t>BATATA DOCE KG</t>
  </si>
  <si>
    <t>MARACUJA KG</t>
  </si>
  <si>
    <t>MACARRAO ESPAGUETE C/ OVOS DIVELLA N8 C/500G</t>
  </si>
  <si>
    <t>ALFACE ROXA KG</t>
  </si>
  <si>
    <t>FARINHA DE TRIGO PARA KIBE KG</t>
  </si>
  <si>
    <t>PIMENTA PRETA EM PO CONDBRAS C/1KG</t>
  </si>
  <si>
    <t>MOLHO DE OSTRA PANDA BRAND 510ML</t>
  </si>
  <si>
    <t>QUEIJO PARMESAO LA SERENISSIMA KG</t>
  </si>
  <si>
    <t>GELATINA S/ SABOR EM FOLHA KG</t>
  </si>
  <si>
    <t>BACON MANTA AURORA KG</t>
  </si>
  <si>
    <t>QUEIJO DE CABRA KG</t>
  </si>
  <si>
    <t>CERVEJA PATAGONIA BOHEMIAN PILSENER 740ML</t>
  </si>
  <si>
    <t>POLENTA PALITO CONGELADA NUTRIZ PCT 2500KG</t>
  </si>
  <si>
    <t>TOMATE ITALIANO KG</t>
  </si>
  <si>
    <t>CASTANHA DE CAJU CRUA VINHAIS 1KG</t>
  </si>
  <si>
    <t>FEIJAO CARIOCA CAMIL 2KG</t>
  </si>
  <si>
    <t>ASSADO DE TIRA KG</t>
  </si>
  <si>
    <t>TEQUILA DON JULIO BLANCO 750ML</t>
  </si>
  <si>
    <t>LEITE INTEGRAL ITALAC 1L</t>
  </si>
  <si>
    <t>XAROPE DE FRAMBOESA KALY 700ML</t>
  </si>
  <si>
    <t>MEXERICA MURCOTE KG</t>
  </si>
  <si>
    <t>VINHO ROS CH QUEREU ROSE C/ 750ML</t>
  </si>
  <si>
    <t>LEITE PO INTEGRAL ITALAC 400G</t>
  </si>
  <si>
    <t>VINHO ROSE CALABUIG MONASTREL 750ML</t>
  </si>
  <si>
    <t>MOSTARDA AMARELA HEMMER 1KG</t>
  </si>
  <si>
    <t>AGRIAO HIGIENIZADO KG</t>
  </si>
  <si>
    <t>REPOLHO VERDE KG</t>
  </si>
  <si>
    <t>TOMATE SWEET GRAPE AMARELO KG</t>
  </si>
  <si>
    <t>COLORAU EM PO PENINA KG</t>
  </si>
  <si>
    <t>CAFE NESPRESSO BRAZIL CAPSULA C/50</t>
  </si>
  <si>
    <t>VINHO VERDE LOUREIRO E ALVARINHO 750ML</t>
  </si>
  <si>
    <t>FRENCH RACK DE CORDEIRO MENOR DORPER VPJ KG</t>
  </si>
  <si>
    <t>ACUCAR CRISTAL UNIAO C/1KG</t>
  </si>
  <si>
    <t>CARNE MOIDA FREDDI BLEND HAMBURGUER KG</t>
  </si>
  <si>
    <t>AZEITONA PRETA AZAPA KG</t>
  </si>
  <si>
    <t>QUEIJO CHEDDAR MIX POLENGHI 2,73KG 192FATIAS</t>
  </si>
  <si>
    <t>AZEITONA VERDE S/ CAROCO YGUARA 2KG</t>
  </si>
  <si>
    <t>CEBOLA KG</t>
  </si>
  <si>
    <t>MOSTARDA AMARELA HEINZ 2KG</t>
  </si>
  <si>
    <t>XAROPE DE MACA VERDE KALY 700ML</t>
  </si>
  <si>
    <t>LEITE INTEGRAL PIRACANJUBA 1L</t>
  </si>
  <si>
    <t>MANDIOCA CONGELADA EM PEDACOS NUTRIZ 1KG</t>
  </si>
  <si>
    <t>XAROPE DE MORANGO KALY 700ML</t>
  </si>
  <si>
    <t>PIMENTA BRANCA KG</t>
  </si>
  <si>
    <t>MINI PAO FRANCES PARMESAO KG</t>
  </si>
  <si>
    <t>COCO RALADO FINO 1KG</t>
  </si>
  <si>
    <t>FEIJAO CARIOCA CAMIL 1KG</t>
  </si>
  <si>
    <t>SAL DE PARRILHA BOMBAY C/600G</t>
  </si>
  <si>
    <t>EMULSIFICANTE KG</t>
  </si>
  <si>
    <t>PAO BAGUETE UN</t>
  </si>
  <si>
    <t>ESSENCIA DE BAUNILHA CEPERA 500ML</t>
  </si>
  <si>
    <t>ACUCAR MASCAVO KG</t>
  </si>
  <si>
    <t>BISCOITO DE MAIZENA KG</t>
  </si>
  <si>
    <t>ARROZ INTEGRAL KG</t>
  </si>
  <si>
    <t>FILE MIGNON 3/4 S/ CORDAO KG</t>
  </si>
  <si>
    <t>FRALDINHA EXTRA LIMPA FREDDI 1,2KG</t>
  </si>
  <si>
    <t>MAMINHA STEAK HOUSE KG</t>
  </si>
  <si>
    <t>CERVEJA SERRAMALTE EXTRA 600ML C/ 12UN</t>
  </si>
  <si>
    <t>SACO DE CARVAO C/4KG</t>
  </si>
  <si>
    <t>GIN APOTHEK 750ML</t>
  </si>
  <si>
    <t>VINHO BRANCO TRINCA BOLOTAS ALENTEJO 750ML</t>
  </si>
  <si>
    <t>CARNE MOIDA DO PATINHO BOVINO CONGELADO PLENA</t>
  </si>
  <si>
    <t xml:space="preserve">VINHO RUTINI TRUMPETER   SAUVGNON  BLANC  750ML </t>
  </si>
  <si>
    <t>PAO DE HAMBURGUER BRIOCHE PANETTERIA C/55G UN</t>
  </si>
  <si>
    <t>VINHO BRANCO CHATEAU LOS BOLDOS SAUVIGNON BL 750ML</t>
  </si>
  <si>
    <t>CAMARAO ROSA 16/20 LIMPO EVISCERADO COM COLA KG</t>
  </si>
  <si>
    <t>CORACAO DE FRANGO CG COPACOL KG</t>
  </si>
  <si>
    <t>LINGUICA CALABRESA AURORA C/5KG</t>
  </si>
  <si>
    <t>BARRIGA SUINA C/ PELE FRIELLA KG</t>
  </si>
  <si>
    <t>QUEIJO PRATO KG</t>
  </si>
  <si>
    <t>FEIJAO PRETO CAMIL C/1KG</t>
  </si>
  <si>
    <t>ARROZ ARBORIO PAGANINI C/1KG</t>
  </si>
  <si>
    <t>CREME DE LEITE UHT KG</t>
  </si>
  <si>
    <t>QUEIJO MUSSARELA DE BUFALA CEREJA NOBRE 400GR</t>
  </si>
  <si>
    <t>MOSTARDA DIJON COM GRAO BEAUFOR C/1,001KG</t>
  </si>
  <si>
    <t>VINHO TINTO PORTILLO MALBEC 750ML</t>
  </si>
  <si>
    <t>MORCILLA PIRINEUS KG</t>
  </si>
  <si>
    <t xml:space="preserve">MACARRAO RISONI BARILLA C/500G             </t>
  </si>
  <si>
    <t>AMENDOA LAMINADA VINHAIS 1KG</t>
  </si>
  <si>
    <t>XAROPE DE CEREJA MONIN 700ML</t>
  </si>
  <si>
    <t>ARROZ 7 GRAOS INTEGRAL KG</t>
  </si>
  <si>
    <t>CASTANHA DE CAJU CRUA W1 C/1KG</t>
  </si>
  <si>
    <t>LINGUICA PAIO AURORA KG</t>
  </si>
  <si>
    <t>CHOCOLATE AO LEITE GOTAS SICAO 2,1KG UN</t>
  </si>
  <si>
    <t>GELATINA DE ABACAXI 1KG UN</t>
  </si>
  <si>
    <t>SAL GROSSO LEBRE C/1KG</t>
  </si>
  <si>
    <t>RUM BACARDI SUPERIOR CARTA BLANCA 980ML</t>
  </si>
  <si>
    <t>GOIABADA CASCAO BARRA CEPERA C/400G</t>
  </si>
  <si>
    <t>ALFACE AMERICANA HIGIENIZADO KG</t>
  </si>
  <si>
    <t>CILINDRO DE GAS PRESHH</t>
  </si>
  <si>
    <t>SORVETE DE CHOCOLATE EUROPEU DIOMIO KG</t>
  </si>
  <si>
    <t>QUEIJO GOUDA NAZA 2,7KG</t>
  </si>
  <si>
    <t>FILE MIGNON 4/5 S/ CORDAO FRIBOI KG</t>
  </si>
  <si>
    <t>ESPUMANTE CHANDON RESERVE BRUT 750ML</t>
  </si>
  <si>
    <t>COXA E SOBRECOXA S/ OSSO E S/ PELE KG</t>
  </si>
  <si>
    <t>PRIME RIB BOVINO PECAS DE 650 A 700G - ESPESSURA MINIMA DE 3CM</t>
  </si>
  <si>
    <t>AZEITONA PTA AZAPA 90/110 DISALERNO 2KG</t>
  </si>
  <si>
    <t>AZEITONA PRETA AZAPA 16/20 APETITO 2KG</t>
  </si>
  <si>
    <t>VINHO BRANCO FOYE CHARDONNAY 750ML</t>
  </si>
  <si>
    <t>VINHO TINTO CH FOYE CABERNET SAUVIGNON 750ML</t>
  </si>
  <si>
    <t>PERNIL SUINO SEM OSSO KG</t>
  </si>
  <si>
    <t>GELATINA S/ SABOR EM FOLHA INCOLOR OETKER 10G</t>
  </si>
  <si>
    <t>VINHO TINTO CANALLAS 750ML</t>
  </si>
  <si>
    <t>CHOCOLATE EM GOTAS MEIO AMARGO SICAO C/2,05KG</t>
  </si>
  <si>
    <t>CHOCOLATE SICAO MEIO AMARGO EM GOTAS C/2,05KG</t>
  </si>
  <si>
    <t>CAMARAO CINZA EVISCERADO 30X45 KG</t>
  </si>
  <si>
    <t>VINHO TINTO LA CONSULTA MALBEC 750ML</t>
  </si>
  <si>
    <t>VINHO TINTO CALABUIG TEMPRANILLO 750ML</t>
  </si>
  <si>
    <t>AZEITONA VERDE COM CAROCO 16/20 BALDE C/2KG</t>
  </si>
  <si>
    <t>LINGUICA TOSCANA AURORA 5KG</t>
  </si>
  <si>
    <t>LICOR AMARULA ORIGINAL 750ML</t>
  </si>
  <si>
    <t>TEQUILA EL JIMADOR BLANCO 750ML</t>
  </si>
  <si>
    <t>FILE DE ABADEJO 400/800 KG</t>
  </si>
  <si>
    <t>OLEO DE GERGELIM TORRADO HOT WOK 1L</t>
  </si>
  <si>
    <t>CERVEJA PATAGONIA BOHEMIAN PILSENER NACIONAL LN 355ML C/12</t>
  </si>
  <si>
    <t>LINGUICA PAIO PERDIGAO 2,5KG</t>
  </si>
  <si>
    <t>REQUEIJAO CATUPIRY BISNAGA C/1,5KG</t>
  </si>
  <si>
    <t xml:space="preserve">COSTELINHA SUINA COM OSSO SADIA CAIXA DE 10KG </t>
  </si>
  <si>
    <t>FLOR DE HIBISCO 250G</t>
  </si>
  <si>
    <t>VINHO ROSE SINAIS MALBEC 750ML</t>
  </si>
  <si>
    <t>AZEITONA VERDE S/ CAROCO CAMPOMESA 2KG</t>
  </si>
  <si>
    <t>QUEIJO BOURSIN NATURAL C/1KG</t>
  </si>
  <si>
    <t>FARINHA PANKO KG</t>
  </si>
  <si>
    <t>WHISKY OLD PARR 18 ANOS 750ML</t>
  </si>
  <si>
    <t>MEL PURO SILVESTRE ISIS 1KG</t>
  </si>
  <si>
    <t>FLOR DE SAL BOMBAY 1KG</t>
  </si>
  <si>
    <t>PALMITO PUPUNHA D REI C/300G</t>
  </si>
  <si>
    <t>COUSCOUS KG</t>
  </si>
  <si>
    <t>COCO EM FLOCOS KG</t>
  </si>
  <si>
    <t>ARROZ 7 CEREAIS CAMIL C/1KG</t>
  </si>
  <si>
    <t>VINHO BRANCO FOYE SAUVIGNON 750ML</t>
  </si>
  <si>
    <t>CONHAQUE DREHER 900ML</t>
  </si>
  <si>
    <t>MACA GRANNY SMITH VERDE KG</t>
  </si>
  <si>
    <t>MILHO VERDE KG</t>
  </si>
  <si>
    <t>MOSTARDA DIJON LANCIENNE KG</t>
  </si>
  <si>
    <t>TOMATE GRAPE KG</t>
  </si>
  <si>
    <t>LEITE EM PO INTEGRAL ITAMBE C/400G</t>
  </si>
  <si>
    <t>PAPRICA DOCE 500GR</t>
  </si>
  <si>
    <t>APERITIVO ANGOSTURA ORANGE 100ML</t>
  </si>
  <si>
    <t>OLEO DE SOJA COCAMAR C/900ML</t>
  </si>
  <si>
    <t>ESSENCIA DE BAUNILHA CEPERA 30ML</t>
  </si>
  <si>
    <t>ENERGETICO RED BULL ORIGINAL 250ML C/ 6UN</t>
  </si>
  <si>
    <t>VINAGRE DE VINHO BRANCO CASTELO 4% 750ML UN</t>
  </si>
  <si>
    <t>BACON MANTA ESPECIAL PERDIGAO KG</t>
  </si>
  <si>
    <t>COSTELINHA SUINA SERRADA DICASA KG</t>
  </si>
  <si>
    <t>CERVEJA STELLA PURO GOLD 330ML</t>
  </si>
  <si>
    <t>AZEITE EXTRAVIRGEM LA RIOJA 5L</t>
  </si>
  <si>
    <t>TEQUILA DON JULIO ANEJO 750ML UN</t>
  </si>
  <si>
    <t>LINGUICA CALABRESA  SEARA</t>
  </si>
  <si>
    <t>VINHO TINTO NOMES GARNATXA NEGRA 750ML</t>
  </si>
  <si>
    <t>OSSOBUCO KG</t>
  </si>
  <si>
    <t>CORACAO DE FRANGO GUIBON KG</t>
  </si>
  <si>
    <t>SORVETE DE CHOCOLATA C/5L – ROCHINHA</t>
  </si>
  <si>
    <t>QUEIJO CHEDDAR MIX POLENGHI 2.27KG 160 FATIAS</t>
  </si>
  <si>
    <t>COGUMELO SHIMEJI PRETO GRANEL KG</t>
  </si>
  <si>
    <t>PERNIL SUINO COM OSSO KG</t>
  </si>
  <si>
    <t>PRIME RIB SUINO KG</t>
  </si>
  <si>
    <t>BUDWEISER LN 330ML C/24</t>
  </si>
  <si>
    <t>PEITO BOVINO KG</t>
  </si>
  <si>
    <t>FARINHA TEMPURAKO C/500G</t>
  </si>
  <si>
    <t>QUEIJO COALHO YEMA KG</t>
  </si>
  <si>
    <t>IOGURTE NATURAL VIGOR C/170G UN</t>
  </si>
  <si>
    <t>GELATINA S/ SABOR QUALIMAX C/510G</t>
  </si>
  <si>
    <t>NOZ PECAN KG</t>
  </si>
  <si>
    <t>MACARRAO PENNE C/ OVOS PETYBON C/500G</t>
  </si>
  <si>
    <t>PRESUNTO COZIDO FRIMESA KG</t>
  </si>
  <si>
    <t>OLEO DE GIRASSOL SOYA 900ML</t>
  </si>
  <si>
    <t>BUDWEISER ZERO LONG NECK 330ML C/24</t>
  </si>
  <si>
    <t>Quantidade_Comprada_no_Mes</t>
  </si>
  <si>
    <t>Valor_Total_Pago_no_Mes</t>
  </si>
  <si>
    <t>Evento_CMV_ID</t>
  </si>
  <si>
    <t>Valor_A_B</t>
  </si>
  <si>
    <t>ID_Transferencia</t>
  </si>
  <si>
    <t>Empresa_Saida</t>
  </si>
  <si>
    <t>Empresa_Entrada</t>
  </si>
  <si>
    <t>Nome_Insumo</t>
  </si>
  <si>
    <t>Insumo_Nivel_4</t>
  </si>
  <si>
    <t>Insumo_Nivel_1</t>
  </si>
  <si>
    <t>Valor_da_Transferencia</t>
  </si>
  <si>
    <t>Bar Brahma - Centro</t>
  </si>
  <si>
    <t>CAFE NESPRESSO RISTRETTO PRO CAPSULA C/50</t>
  </si>
  <si>
    <t>CAFE EM CAPSULA NESPRESSO RISTRETTO PRO</t>
  </si>
  <si>
    <t>COMPRA CNPJ BRAHMA  6148859</t>
  </si>
  <si>
    <t>PICANHA AMERICANA</t>
  </si>
  <si>
    <t>Falta de produto</t>
  </si>
  <si>
    <t>CHOPP CLARO</t>
  </si>
  <si>
    <t xml:space="preserve">ABASTECIMENTO CCBB </t>
  </si>
  <si>
    <t>Bar Léo - Centro</t>
  </si>
  <si>
    <t>GUARANA ANTARCTICA LATA 350ML</t>
  </si>
  <si>
    <t>COMPRA CNPJ BRAHMA  6254120</t>
  </si>
  <si>
    <t>Orfeu</t>
  </si>
  <si>
    <t>BIFE ANCHO 50 240/260G CG BASSAR</t>
  </si>
  <si>
    <t>BIFE ANCHO</t>
  </si>
  <si>
    <t>LINGUICA TOSCANA</t>
  </si>
  <si>
    <t>COMPRA CNPJ BRAHMA  NF:6484574</t>
  </si>
  <si>
    <t>PEPSI ZERO LATA</t>
  </si>
  <si>
    <t>CERVEJA STELLA ARTOIS</t>
  </si>
  <si>
    <t>CERVEJA STELLA ARTOIS S/ GLUTEN</t>
  </si>
  <si>
    <t>CERVEJA CORONA EXTRA</t>
  </si>
  <si>
    <t>AGUA TONICA DIET ANTARCTICA 350ML</t>
  </si>
  <si>
    <t>GUARANA ANTARCTICA  DIET LATA</t>
  </si>
  <si>
    <t>AGUA TONICA ANTARTICA</t>
  </si>
  <si>
    <t>ENERGETICO RED BULL ORIGINAL</t>
  </si>
  <si>
    <t>SODA LIMONADA ANTARCTICA LATA</t>
  </si>
  <si>
    <t>COMPRA CNPJ BAR DO LEO ( NF: 6523901 )</t>
  </si>
  <si>
    <t>COMPRA CNPJ BAR DO LEO ( NF: 6514999 )</t>
  </si>
  <si>
    <t xml:space="preserve">COMPRA CNPJ BRAHMA  </t>
  </si>
  <si>
    <t xml:space="preserve">COMPRA CNPJ BRAHMA  (NF:6671016) </t>
  </si>
  <si>
    <t>PEPSI COLA LATA</t>
  </si>
  <si>
    <t xml:space="preserve">Falta de produto </t>
  </si>
  <si>
    <t>SODA LIMONADA ANTARCTICA DIET LATA</t>
  </si>
  <si>
    <t>TRANSFERENCIA   NF: 2033102</t>
  </si>
  <si>
    <t>AGUA TONICA ANTARTICA DIET</t>
  </si>
  <si>
    <t>CHOPP PATAGONIA AMBER LAGER BARRIL 30L</t>
  </si>
  <si>
    <t>STELLA ARTOIS LN 275ML C/ 24UN</t>
  </si>
  <si>
    <t>CERVEJA SPATEN</t>
  </si>
  <si>
    <t>CERVEJA STELLA PURO GOLD</t>
  </si>
  <si>
    <t>CHOPP PATAGONIA IPA</t>
  </si>
  <si>
    <t>TRANSFERENCIA NF:203101</t>
  </si>
  <si>
    <t>ESPUMANTE CHANDON BRUT</t>
  </si>
  <si>
    <t xml:space="preserve">TRANSFERENCIA  </t>
  </si>
  <si>
    <t xml:space="preserve">TRANSFERENCIA </t>
  </si>
  <si>
    <t>TRANSFERENCIA  NF:6694322</t>
  </si>
  <si>
    <t>CAFE EM CAPSULA NESPRESSO RISTRETTO INDIA</t>
  </si>
  <si>
    <t>TRANSFERENCIA NF:6694322</t>
  </si>
  <si>
    <t>ID_Consumo_Funcionarios</t>
  </si>
  <si>
    <t>Data_Baixa</t>
  </si>
  <si>
    <t>Motivo</t>
  </si>
  <si>
    <t>Observacoes</t>
  </si>
  <si>
    <t>CONSUMO INTERNO</t>
  </si>
  <si>
    <t>Alimentação Funcionários</t>
  </si>
  <si>
    <t>ID_Contagem_Producao</t>
  </si>
  <si>
    <t>Nome_Item_Produzido</t>
  </si>
  <si>
    <t>Nivel_1</t>
  </si>
  <si>
    <t>FEIJOADA</t>
  </si>
  <si>
    <t>QUILOGRAMA</t>
  </si>
  <si>
    <t>DADINHO</t>
  </si>
  <si>
    <t>FAROFA DE CASTANHA</t>
  </si>
  <si>
    <t>VINAGRETE DE AZEITONAS</t>
  </si>
  <si>
    <t>CEBOLA CARAMELIZADA</t>
  </si>
  <si>
    <t xml:space="preserve">FRITAS DA CASA </t>
  </si>
  <si>
    <t>ALHO CONFITADO</t>
  </si>
  <si>
    <t>FONDUTA DE PARMESÃO</t>
  </si>
  <si>
    <t>MAIONESE DA CASA</t>
  </si>
  <si>
    <t>PASTEL DE PALMITO</t>
  </si>
  <si>
    <t xml:space="preserve">PASTEL DE CARNE </t>
  </si>
  <si>
    <t>PASTEL DE QUEIJO</t>
  </si>
  <si>
    <t>SAL DE ALECRIM</t>
  </si>
  <si>
    <t xml:space="preserve">VINAGRETE  </t>
  </si>
  <si>
    <t>MAIONESE DE PAPRICA</t>
  </si>
  <si>
    <t>BRIGADEIRO</t>
  </si>
  <si>
    <t>DOCE DE LEITE</t>
  </si>
  <si>
    <t xml:space="preserve">PUDIM DE LEITE </t>
  </si>
  <si>
    <t xml:space="preserve">ABOBORA ASSADA </t>
  </si>
  <si>
    <t xml:space="preserve">PIMENTA DA CASA </t>
  </si>
  <si>
    <t>LITRO</t>
  </si>
  <si>
    <t>PESTO DE ERVAS COM CASTANHA</t>
  </si>
  <si>
    <t>BATATA BRAVAS</t>
  </si>
  <si>
    <t>MOUSSE DE MARACUJA</t>
  </si>
  <si>
    <t xml:space="preserve">MOLHO DE TOMATE </t>
  </si>
  <si>
    <t>PURE DE BATATA</t>
  </si>
  <si>
    <t xml:space="preserve">PURE DE ABOBORA </t>
  </si>
  <si>
    <t xml:space="preserve">GUACAMOLE  </t>
  </si>
  <si>
    <t xml:space="preserve">MASSA DE CROQUETE  </t>
  </si>
  <si>
    <t xml:space="preserve">GELEIA DE PIMENTA  </t>
  </si>
  <si>
    <t xml:space="preserve">ESPUMA DE GENGIBRE  </t>
  </si>
  <si>
    <t xml:space="preserve">XAROPE DE AÇÚCAR  </t>
  </si>
  <si>
    <t xml:space="preserve">CHÁ MATE  </t>
  </si>
  <si>
    <t xml:space="preserve">CHÁ DE HIBISCO  </t>
  </si>
  <si>
    <t xml:space="preserve">XAROPE DE MEL  </t>
  </si>
  <si>
    <t xml:space="preserve">BLOND MIX  </t>
  </si>
  <si>
    <t xml:space="preserve">EXTRATO DE GENGIBRE  </t>
  </si>
  <si>
    <t xml:space="preserve">BALA DE COCO  </t>
  </si>
  <si>
    <t xml:space="preserve">BARBECUE  </t>
  </si>
  <si>
    <t xml:space="preserve">SALADA DE BATATA  </t>
  </si>
  <si>
    <t xml:space="preserve">CARPACCIO  </t>
  </si>
  <si>
    <t xml:space="preserve">BATATA CHIPS  </t>
  </si>
  <si>
    <t xml:space="preserve">ARROZ COZIDO  </t>
  </si>
  <si>
    <t xml:space="preserve">FEIJÃO CARIOCA  </t>
  </si>
  <si>
    <t xml:space="preserve">BACON FRITO  </t>
  </si>
  <si>
    <t xml:space="preserve">PASTA DE ALHO  </t>
  </si>
  <si>
    <t xml:space="preserve">MANTEIGA DE ALHO  </t>
  </si>
  <si>
    <t xml:space="preserve">MOLHO À BOLONHESA  </t>
  </si>
  <si>
    <t xml:space="preserve">PICLES DE CEBOLA  </t>
  </si>
  <si>
    <t xml:space="preserve">MOSTARDA E MEL  </t>
  </si>
  <si>
    <t xml:space="preserve">PAVÊ  </t>
  </si>
  <si>
    <t xml:space="preserve">MOUSSE DE CHOCOLATE  </t>
  </si>
  <si>
    <t xml:space="preserve">CREME DE CONFEITEIRO  </t>
  </si>
  <si>
    <t xml:space="preserve">CALDA TOFFEE  </t>
  </si>
  <si>
    <t xml:space="preserve">MOUSSE DE LIMÃO  </t>
  </si>
  <si>
    <t>POLENTA</t>
  </si>
  <si>
    <t>MOLHO PESTO</t>
  </si>
  <si>
    <t>MIX DE FOLHAS</t>
  </si>
  <si>
    <t>TORRADA</t>
  </si>
  <si>
    <t>FAROFA DE PÃO</t>
  </si>
  <si>
    <t>TOMATE CONFITADO</t>
  </si>
  <si>
    <t>MOLHO DE MARACUJÁ</t>
  </si>
  <si>
    <t>PAO DE ALHO</t>
  </si>
  <si>
    <t xml:space="preserve">MANDIOCA FRITA </t>
  </si>
  <si>
    <t>COSTELINHA DE PORCO BASE</t>
  </si>
  <si>
    <t xml:space="preserve">AZEITE DE ERVAS </t>
  </si>
  <si>
    <t>ESPETADA MIGNON COM BACON</t>
  </si>
  <si>
    <t>CREME DE CHOCOLATE BRANCO</t>
  </si>
  <si>
    <t>NHOQUE</t>
  </si>
  <si>
    <t>RAGU DE COSTELA</t>
  </si>
  <si>
    <t>CARAMELO TOFFEE</t>
  </si>
  <si>
    <t>ESPETO DE MIGNON C/BACON</t>
  </si>
  <si>
    <t>VINAGRETE DE MANGA</t>
  </si>
  <si>
    <t>STRUDELL</t>
  </si>
  <si>
    <t>ALBUMINA</t>
  </si>
  <si>
    <t>BATATA PALHA</t>
  </si>
  <si>
    <t>MOLHO DE MOSTARDA</t>
  </si>
  <si>
    <t>ID_Casa</t>
  </si>
  <si>
    <t>Ano</t>
  </si>
  <si>
    <t>Classificacao_Contabil_1</t>
  </si>
  <si>
    <t>Classificacao_Contabil_2</t>
  </si>
  <si>
    <t>Valor Ajuste</t>
  </si>
  <si>
    <t>Descrição Ajuste</t>
  </si>
  <si>
    <t>PLASTICO SEGANTINE 229917 232695 232696 235208</t>
  </si>
  <si>
    <t>Provisão manual</t>
  </si>
  <si>
    <t>PLASTICO SEGANTINE ID 225535 ID 226913 R$ 3566,14</t>
  </si>
  <si>
    <t>PLASTICOS SEGANTINI EIRELI - ID 220786/ ID 220940 - Ajuste manual para considerar em embalagens</t>
  </si>
  <si>
    <t>ID 219307 - Pagamento errado para o PJ 65577070000152 - Desconsideramos na DRE e adicionamos em despesas financeiras.</t>
  </si>
  <si>
    <t>ID 219307 - Pagamento errado para o PJ 65577070000152 - Desconsideramos na DRE e adicionamos em despesas financeiras.  DIAGEO - META VOLUME - Enviado por Suprimentos R$ 2.451,77</t>
  </si>
  <si>
    <t>PLASTICOS SEGANTINI EIRELI ID 208374 / ID 212827 - Ajuste manual para considerar em embalagens</t>
  </si>
  <si>
    <t>Provisão</t>
  </si>
  <si>
    <t>PLASTICOS SEGANTINI EIRELI ID 205909 - Ajuste manual para considerar em embalagens</t>
  </si>
  <si>
    <t xml:space="preserve">ID 185549 PAGO EM DUPLICIDADE PELO ARCOS </t>
  </si>
  <si>
    <t>Delivery Jacaré</t>
  </si>
  <si>
    <t>CARTAO FB</t>
  </si>
  <si>
    <t>NOME</t>
  </si>
  <si>
    <t>CENTRO DE CUSTO</t>
  </si>
  <si>
    <t>VALDIONOR SÉRGIO DA SILVA</t>
  </si>
  <si>
    <t>BAR LÉO/JACARÉ</t>
  </si>
  <si>
    <t>FLÁVIA PEREIRA DE OLIVEIRA</t>
  </si>
  <si>
    <t>JACARÉ/GIRONDINO</t>
  </si>
  <si>
    <t>ANALUÍSA SCALON DE OLIVEIRA GONÇALVES</t>
  </si>
  <si>
    <t>BLUE NOTE/JACARÉ</t>
  </si>
  <si>
    <t>FABRÍCIO JOSÉ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</si>
</sst>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(&quot;R$ &quot;* #,##0.00_);_(&quot;R$ &quot;* \(#,##0.00\);_(&quot;R$ &quot;* &quot;-&quot;??_);_(@_)"/>
    <numFmt numFmtId="170" formatCode="#,##0.00;[Red]#,##0.00"/>
    <numFmt numFmtId="171" formatCode="&quot;R$&quot;\ #,##0.00"/>
    <numFmt numFmtId="172" formatCode="yyyy\-mm\-dd"/>
    <numFmt numFmtId="173" formatCode="yyyy\-mm\-dd\ h:mm:ss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Calibri"/>
      <family val="2"/>
      <scheme val="minor"/>
    </font>
    <font>
      <b/>
      <sz val="20"/>
      <color theme="0"/>
      <name val="Verdana"/>
      <family val="2"/>
    </font>
    <font>
      <b/>
      <sz val="10"/>
      <color theme="8" tint="0.39997558519241921"/>
      <name val="Verdana"/>
      <family val="2"/>
    </font>
    <font>
      <sz val="10"/>
      <color theme="0"/>
      <name val="Verdana"/>
      <family val="2"/>
    </font>
    <font>
      <b/>
      <sz val="10"/>
      <color indexed="9"/>
      <name val="Verdana"/>
      <family val="2"/>
    </font>
    <font>
      <b/>
      <sz val="10"/>
      <color indexed="48"/>
      <name val="Verdana"/>
      <family val="2"/>
    </font>
    <font>
      <b/>
      <sz val="14"/>
      <color theme="0"/>
      <name val="Calibri"/>
      <family val="2"/>
      <scheme val="minor"/>
    </font>
    <font>
      <sz val="10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indexed="60"/>
      <name val="Verdana"/>
      <family val="2"/>
    </font>
    <font>
      <b/>
      <sz val="10"/>
      <color theme="1"/>
      <name val="Verdana"/>
      <family val="2"/>
    </font>
    <font>
      <b/>
      <sz val="10"/>
      <color indexed="10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sz val="10"/>
      <color indexed="12"/>
      <name val="Verdana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33333"/>
      <name val="Source Sans Pro"/>
      <family val="2"/>
    </font>
    <font>
      <b/>
      <sz val="11"/>
      <color theme="5" tint="-0.249977111117893"/>
      <name val="Calibri"/>
      <family val="2"/>
      <scheme val="minor"/>
    </font>
    <font>
      <b/>
      <sz val="10"/>
      <color theme="2" tint="-0.499984740745262"/>
      <name val="Verdana"/>
      <family val="2"/>
    </font>
    <font>
      <sz val="10"/>
      <color theme="2" tint="-0.499984740745262"/>
      <name val="Verdana"/>
      <family val="2"/>
    </font>
    <font>
      <b/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</borders>
  <cellStyleXfs count="8">
    <xf numFmtId="0" fontId="0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</cellStyleXfs>
  <cellXfs count="479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65" fontId="10" fillId="2" borderId="0" xfId="3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166" fontId="5" fillId="7" borderId="7" xfId="1" applyNumberFormat="1" applyFont="1" applyFill="1" applyBorder="1" applyAlignment="1">
      <alignment vertical="center"/>
    </xf>
    <xf numFmtId="166" fontId="5" fillId="7" borderId="8" xfId="1" applyNumberFormat="1" applyFont="1" applyFill="1" applyBorder="1" applyAlignment="1">
      <alignment vertical="center"/>
    </xf>
    <xf numFmtId="0" fontId="15" fillId="8" borderId="9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166" fontId="6" fillId="8" borderId="10" xfId="1" applyNumberFormat="1" applyFont="1" applyFill="1" applyBorder="1" applyAlignment="1">
      <alignment vertical="center" wrapText="1"/>
    </xf>
    <xf numFmtId="166" fontId="6" fillId="8" borderId="10" xfId="1" applyNumberFormat="1" applyFont="1" applyFill="1" applyBorder="1" applyAlignment="1">
      <alignment vertical="center"/>
    </xf>
    <xf numFmtId="9" fontId="15" fillId="2" borderId="0" xfId="3" applyFont="1" applyFill="1" applyAlignment="1">
      <alignment vertical="center"/>
    </xf>
    <xf numFmtId="166" fontId="15" fillId="8" borderId="10" xfId="1" applyNumberFormat="1" applyFont="1" applyFill="1" applyBorder="1" applyAlignment="1">
      <alignment vertical="center"/>
    </xf>
    <xf numFmtId="166" fontId="15" fillId="8" borderId="12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0" fontId="0" fillId="3" borderId="0" xfId="3" applyNumberFormat="1" applyFont="1" applyFill="1" applyAlignment="1">
      <alignment vertical="center"/>
    </xf>
    <xf numFmtId="166" fontId="6" fillId="8" borderId="13" xfId="1" applyNumberFormat="1" applyFont="1" applyFill="1" applyBorder="1" applyAlignment="1">
      <alignment vertical="center"/>
    </xf>
    <xf numFmtId="166" fontId="6" fillId="8" borderId="11" xfId="1" applyNumberFormat="1" applyFont="1" applyFill="1" applyBorder="1" applyAlignment="1">
      <alignment vertical="center" wrapText="1"/>
    </xf>
    <xf numFmtId="165" fontId="15" fillId="2" borderId="0" xfId="3" applyNumberFormat="1" applyFont="1" applyFill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9" borderId="9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166" fontId="17" fillId="9" borderId="10" xfId="1" applyNumberFormat="1" applyFont="1" applyFill="1" applyBorder="1" applyAlignment="1">
      <alignment vertical="center"/>
    </xf>
    <xf numFmtId="166" fontId="17" fillId="9" borderId="12" xfId="1" applyNumberFormat="1" applyFont="1" applyFill="1" applyBorder="1" applyAlignment="1">
      <alignment vertical="center"/>
    </xf>
    <xf numFmtId="167" fontId="3" fillId="3" borderId="0" xfId="1" applyNumberFormat="1" applyFont="1" applyFill="1" applyAlignment="1">
      <alignment vertical="center"/>
    </xf>
    <xf numFmtId="10" fontId="6" fillId="10" borderId="10" xfId="3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 wrapText="1"/>
    </xf>
    <xf numFmtId="165" fontId="5" fillId="2" borderId="0" xfId="3" applyNumberFormat="1" applyFont="1" applyFill="1" applyAlignment="1">
      <alignment vertical="center"/>
    </xf>
    <xf numFmtId="165" fontId="18" fillId="8" borderId="10" xfId="3" applyNumberFormat="1" applyFont="1" applyFill="1" applyBorder="1" applyAlignment="1">
      <alignment vertical="center" wrapText="1"/>
    </xf>
    <xf numFmtId="165" fontId="18" fillId="8" borderId="10" xfId="3" applyNumberFormat="1" applyFont="1" applyFill="1" applyBorder="1" applyAlignment="1">
      <alignment vertical="center"/>
    </xf>
    <xf numFmtId="165" fontId="5" fillId="8" borderId="10" xfId="3" applyNumberFormat="1" applyFont="1" applyFill="1" applyBorder="1" applyAlignment="1">
      <alignment vertical="center"/>
    </xf>
    <xf numFmtId="165" fontId="5" fillId="8" borderId="12" xfId="3" applyNumberFormat="1" applyFont="1" applyFill="1" applyBorder="1" applyAlignment="1">
      <alignment vertical="center"/>
    </xf>
    <xf numFmtId="165" fontId="3" fillId="3" borderId="0" xfId="3" applyNumberFormat="1" applyFont="1" applyFill="1" applyAlignment="1">
      <alignment vertical="center"/>
    </xf>
    <xf numFmtId="10" fontId="5" fillId="2" borderId="0" xfId="3" applyNumberFormat="1" applyFont="1" applyFill="1" applyAlignment="1">
      <alignment horizontal="center" vertical="center"/>
    </xf>
    <xf numFmtId="10" fontId="5" fillId="2" borderId="2" xfId="3" applyNumberFormat="1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vertical="center"/>
    </xf>
    <xf numFmtId="166" fontId="15" fillId="2" borderId="0" xfId="1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166" fontId="18" fillId="2" borderId="0" xfId="1" applyNumberFormat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166" fontId="5" fillId="7" borderId="10" xfId="1" applyNumberFormat="1" applyFont="1" applyFill="1" applyBorder="1" applyAlignment="1">
      <alignment vertical="center"/>
    </xf>
    <xf numFmtId="166" fontId="5" fillId="7" borderId="12" xfId="1" applyNumberFormat="1" applyFont="1" applyFill="1" applyBorder="1" applyAlignment="1">
      <alignment vertical="center"/>
    </xf>
    <xf numFmtId="10" fontId="7" fillId="2" borderId="0" xfId="3" applyNumberFormat="1" applyFont="1" applyFill="1" applyAlignment="1">
      <alignment horizontal="center" vertical="center"/>
    </xf>
    <xf numFmtId="166" fontId="17" fillId="9" borderId="14" xfId="1" applyNumberFormat="1" applyFont="1" applyFill="1" applyBorder="1" applyAlignment="1">
      <alignment vertical="center"/>
    </xf>
    <xf numFmtId="166" fontId="17" fillId="9" borderId="15" xfId="1" applyNumberFormat="1" applyFont="1" applyFill="1" applyBorder="1" applyAlignment="1">
      <alignment vertical="center"/>
    </xf>
    <xf numFmtId="166" fontId="6" fillId="10" borderId="10" xfId="1" applyNumberFormat="1" applyFont="1" applyFill="1" applyBorder="1" applyAlignment="1">
      <alignment vertical="center"/>
    </xf>
    <xf numFmtId="9" fontId="6" fillId="10" borderId="10" xfId="3" applyFont="1" applyFill="1" applyBorder="1" applyAlignment="1">
      <alignment vertical="center"/>
    </xf>
    <xf numFmtId="0" fontId="5" fillId="8" borderId="9" xfId="0" applyFont="1" applyFill="1" applyBorder="1" applyAlignment="1">
      <alignment vertical="center" wrapText="1"/>
    </xf>
    <xf numFmtId="9" fontId="5" fillId="2" borderId="0" xfId="3" applyFont="1" applyFill="1" applyAlignment="1">
      <alignment vertical="center"/>
    </xf>
    <xf numFmtId="0" fontId="17" fillId="8" borderId="9" xfId="0" applyFont="1" applyFill="1" applyBorder="1" applyAlignment="1">
      <alignment vertical="center" wrapText="1"/>
    </xf>
    <xf numFmtId="166" fontId="17" fillId="8" borderId="10" xfId="1" applyNumberFormat="1" applyFont="1" applyFill="1" applyBorder="1" applyAlignment="1">
      <alignment vertical="center"/>
    </xf>
    <xf numFmtId="166" fontId="17" fillId="8" borderId="13" xfId="1" applyNumberFormat="1" applyFont="1" applyFill="1" applyBorder="1" applyAlignment="1">
      <alignment vertical="center"/>
    </xf>
    <xf numFmtId="166" fontId="17" fillId="8" borderId="12" xfId="1" applyNumberFormat="1" applyFont="1" applyFill="1" applyBorder="1" applyAlignment="1">
      <alignment vertical="center"/>
    </xf>
    <xf numFmtId="168" fontId="6" fillId="10" borderId="10" xfId="3" applyNumberFormat="1" applyFont="1" applyFill="1" applyBorder="1" applyAlignment="1">
      <alignment vertical="center"/>
    </xf>
    <xf numFmtId="165" fontId="5" fillId="8" borderId="0" xfId="3" applyNumberFormat="1" applyFont="1" applyFill="1" applyAlignment="1">
      <alignment vertical="center"/>
    </xf>
    <xf numFmtId="165" fontId="5" fillId="8" borderId="2" xfId="3" applyNumberFormat="1" applyFont="1" applyFill="1" applyBorder="1" applyAlignment="1">
      <alignment vertical="center"/>
    </xf>
    <xf numFmtId="165" fontId="6" fillId="10" borderId="10" xfId="3" applyNumberFormat="1" applyFont="1" applyFill="1" applyBorder="1" applyAlignment="1">
      <alignment vertical="center"/>
    </xf>
    <xf numFmtId="166" fontId="15" fillId="8" borderId="10" xfId="1" applyNumberFormat="1" applyFont="1" applyFill="1" applyBorder="1" applyAlignment="1" applyProtection="1">
      <alignment vertical="center"/>
      <protection locked="0"/>
    </xf>
    <xf numFmtId="166" fontId="15" fillId="8" borderId="12" xfId="1" applyNumberFormat="1" applyFont="1" applyFill="1" applyBorder="1" applyAlignment="1" applyProtection="1">
      <alignment vertical="center"/>
      <protection locked="0"/>
    </xf>
    <xf numFmtId="165" fontId="5" fillId="8" borderId="10" xfId="3" applyNumberFormat="1" applyFont="1" applyFill="1" applyBorder="1" applyAlignment="1" applyProtection="1">
      <alignment vertical="center"/>
      <protection locked="0"/>
    </xf>
    <xf numFmtId="165" fontId="5" fillId="8" borderId="12" xfId="3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9" fontId="6" fillId="8" borderId="10" xfId="3" applyFont="1" applyFill="1" applyBorder="1" applyAlignment="1">
      <alignment vertical="center"/>
    </xf>
    <xf numFmtId="166" fontId="5" fillId="2" borderId="0" xfId="0" applyNumberFormat="1" applyFont="1" applyFill="1" applyAlignment="1">
      <alignment vertical="center"/>
    </xf>
    <xf numFmtId="165" fontId="6" fillId="8" borderId="10" xfId="3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7" fillId="2" borderId="0" xfId="1" applyNumberFormat="1" applyFont="1" applyFill="1" applyAlignment="1">
      <alignment vertical="center"/>
    </xf>
    <xf numFmtId="166" fontId="7" fillId="2" borderId="2" xfId="1" applyNumberFormat="1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5" fillId="8" borderId="9" xfId="0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horizontal="left" vertical="center"/>
    </xf>
    <xf numFmtId="165" fontId="6" fillId="8" borderId="10" xfId="3" applyNumberFormat="1" applyFont="1" applyFill="1" applyBorder="1" applyAlignment="1">
      <alignment horizontal="left" vertical="center"/>
    </xf>
    <xf numFmtId="10" fontId="6" fillId="8" borderId="10" xfId="3" applyNumberFormat="1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left" vertical="center"/>
    </xf>
    <xf numFmtId="44" fontId="6" fillId="8" borderId="10" xfId="2" applyFont="1" applyFill="1" applyBorder="1" applyAlignment="1">
      <alignment vertical="center"/>
    </xf>
    <xf numFmtId="44" fontId="15" fillId="2" borderId="0" xfId="2" applyFont="1" applyFill="1" applyAlignment="1">
      <alignment vertical="center"/>
    </xf>
    <xf numFmtId="43" fontId="21" fillId="2" borderId="0" xfId="1" applyFont="1" applyFill="1" applyAlignment="1">
      <alignment vertical="center"/>
    </xf>
    <xf numFmtId="44" fontId="22" fillId="2" borderId="0" xfId="2" applyFont="1" applyFill="1" applyAlignment="1">
      <alignment vertical="center"/>
    </xf>
    <xf numFmtId="43" fontId="6" fillId="8" borderId="10" xfId="1" applyFont="1" applyFill="1" applyBorder="1" applyAlignment="1">
      <alignment horizontal="left" vertical="center"/>
    </xf>
    <xf numFmtId="166" fontId="6" fillId="8" borderId="13" xfId="1" applyNumberFormat="1" applyFont="1" applyFill="1" applyBorder="1" applyAlignment="1">
      <alignment vertical="center" wrapText="1"/>
    </xf>
    <xf numFmtId="10" fontId="6" fillId="8" borderId="10" xfId="3" applyNumberFormat="1" applyFont="1" applyFill="1" applyBorder="1" applyAlignment="1">
      <alignment vertical="center" wrapText="1"/>
    </xf>
    <xf numFmtId="165" fontId="7" fillId="2" borderId="0" xfId="3" applyNumberFormat="1" applyFont="1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10" fontId="6" fillId="8" borderId="10" xfId="3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166" fontId="15" fillId="0" borderId="10" xfId="1" applyNumberFormat="1" applyFont="1" applyBorder="1" applyAlignment="1" applyProtection="1">
      <alignment vertical="center"/>
      <protection locked="0"/>
    </xf>
    <xf numFmtId="10" fontId="6" fillId="0" borderId="10" xfId="3" applyNumberFormat="1" applyFont="1" applyBorder="1" applyAlignment="1" applyProtection="1">
      <alignment vertical="center"/>
      <protection locked="0"/>
    </xf>
    <xf numFmtId="10" fontId="6" fillId="8" borderId="10" xfId="3" applyNumberFormat="1" applyFont="1" applyFill="1" applyBorder="1" applyAlignment="1" applyProtection="1">
      <alignment vertical="center"/>
      <protection locked="0"/>
    </xf>
    <xf numFmtId="166" fontId="6" fillId="8" borderId="10" xfId="1" applyNumberFormat="1" applyFont="1" applyFill="1" applyBorder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9" fontId="6" fillId="8" borderId="10" xfId="3" applyFont="1" applyFill="1" applyBorder="1" applyAlignment="1" applyProtection="1">
      <alignment vertical="center"/>
      <protection locked="0"/>
    </xf>
    <xf numFmtId="10" fontId="6" fillId="8" borderId="10" xfId="2" applyNumberFormat="1" applyFont="1" applyFill="1" applyBorder="1" applyAlignment="1" applyProtection="1">
      <alignment vertical="center"/>
      <protection locked="0"/>
    </xf>
    <xf numFmtId="44" fontId="6" fillId="8" borderId="10" xfId="2" applyFont="1" applyFill="1" applyBorder="1" applyAlignment="1" applyProtection="1">
      <alignment vertical="center"/>
      <protection locked="0"/>
    </xf>
    <xf numFmtId="166" fontId="6" fillId="0" borderId="10" xfId="1" applyNumberFormat="1" applyFont="1" applyBorder="1" applyAlignment="1" applyProtection="1">
      <alignment vertical="center"/>
      <protection locked="0"/>
    </xf>
    <xf numFmtId="165" fontId="6" fillId="8" borderId="10" xfId="3" applyNumberFormat="1" applyFont="1" applyFill="1" applyBorder="1" applyAlignment="1" applyProtection="1">
      <alignment vertical="center"/>
      <protection locked="0"/>
    </xf>
    <xf numFmtId="165" fontId="6" fillId="0" borderId="10" xfId="3" applyNumberFormat="1" applyFont="1" applyBorder="1" applyAlignment="1" applyProtection="1">
      <alignment vertical="center"/>
      <protection locked="0"/>
    </xf>
    <xf numFmtId="10" fontId="15" fillId="8" borderId="10" xfId="3" applyNumberFormat="1" applyFont="1" applyFill="1" applyBorder="1" applyAlignment="1">
      <alignment vertical="center"/>
    </xf>
    <xf numFmtId="166" fontId="18" fillId="2" borderId="0" xfId="0" applyNumberFormat="1" applyFont="1" applyFill="1" applyAlignment="1">
      <alignment vertical="center"/>
    </xf>
    <xf numFmtId="0" fontId="5" fillId="8" borderId="17" xfId="0" applyFont="1" applyFill="1" applyBorder="1" applyAlignment="1">
      <alignment vertical="center" wrapText="1"/>
    </xf>
    <xf numFmtId="0" fontId="19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166" fontId="18" fillId="2" borderId="18" xfId="1" applyNumberFormat="1" applyFont="1" applyFill="1" applyBorder="1" applyAlignment="1">
      <alignment vertical="center"/>
    </xf>
    <xf numFmtId="166" fontId="19" fillId="2" borderId="18" xfId="1" applyNumberFormat="1" applyFont="1" applyFill="1" applyBorder="1" applyAlignment="1">
      <alignment vertical="center"/>
    </xf>
    <xf numFmtId="165" fontId="5" fillId="2" borderId="18" xfId="3" applyNumberFormat="1" applyFont="1" applyFill="1" applyBorder="1" applyAlignment="1">
      <alignment vertical="center"/>
    </xf>
    <xf numFmtId="165" fontId="5" fillId="8" borderId="19" xfId="3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9" fontId="6" fillId="8" borderId="10" xfId="3" applyFont="1" applyFill="1" applyBorder="1" applyAlignment="1">
      <alignment vertical="center" wrapText="1"/>
    </xf>
    <xf numFmtId="166" fontId="18" fillId="8" borderId="10" xfId="1" applyNumberFormat="1" applyFont="1" applyFill="1" applyBorder="1" applyAlignment="1">
      <alignment vertical="center" wrapText="1"/>
    </xf>
    <xf numFmtId="10" fontId="18" fillId="8" borderId="10" xfId="3" applyNumberFormat="1" applyFont="1" applyFill="1" applyBorder="1" applyAlignment="1">
      <alignment vertical="center"/>
    </xf>
    <xf numFmtId="0" fontId="18" fillId="0" borderId="0" xfId="0" applyFont="1" applyAlignment="1" applyProtection="1">
      <alignment vertical="center" wrapText="1"/>
      <protection locked="0"/>
    </xf>
    <xf numFmtId="10" fontId="18" fillId="0" borderId="0" xfId="0" applyNumberFormat="1" applyFont="1" applyAlignment="1" applyProtection="1">
      <alignment vertical="center"/>
      <protection locked="0"/>
    </xf>
    <xf numFmtId="166" fontId="17" fillId="0" borderId="10" xfId="1" applyNumberFormat="1" applyFont="1" applyBorder="1" applyAlignment="1" applyProtection="1">
      <alignment vertical="center"/>
      <protection locked="0"/>
    </xf>
    <xf numFmtId="166" fontId="17" fillId="0" borderId="12" xfId="1" applyNumberFormat="1" applyFont="1" applyBorder="1" applyAlignment="1" applyProtection="1">
      <alignment vertical="center"/>
      <protection locked="0"/>
    </xf>
    <xf numFmtId="164" fontId="7" fillId="2" borderId="0" xfId="1" applyNumberFormat="1" applyFont="1" applyFill="1" applyAlignment="1">
      <alignment horizontal="center" vertical="center"/>
    </xf>
    <xf numFmtId="0" fontId="15" fillId="8" borderId="1" xfId="0" applyFont="1" applyFill="1" applyBorder="1" applyAlignment="1">
      <alignment vertical="center" wrapText="1"/>
    </xf>
    <xf numFmtId="166" fontId="6" fillId="8" borderId="0" xfId="1" applyNumberFormat="1" applyFont="1" applyFill="1" applyAlignment="1">
      <alignment vertical="center" wrapText="1"/>
    </xf>
    <xf numFmtId="166" fontId="6" fillId="8" borderId="0" xfId="1" applyNumberFormat="1" applyFont="1" applyFill="1" applyAlignment="1">
      <alignment vertical="center"/>
    </xf>
    <xf numFmtId="166" fontId="15" fillId="8" borderId="0" xfId="1" applyNumberFormat="1" applyFont="1" applyFill="1" applyAlignment="1">
      <alignment vertical="center"/>
    </xf>
    <xf numFmtId="166" fontId="15" fillId="8" borderId="2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166" fontId="15" fillId="12" borderId="10" xfId="1" applyNumberFormat="1" applyFont="1" applyFill="1" applyBorder="1" applyAlignment="1">
      <alignment vertical="center"/>
    </xf>
    <xf numFmtId="166" fontId="15" fillId="12" borderId="12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 wrapText="1"/>
    </xf>
    <xf numFmtId="166" fontId="7" fillId="13" borderId="25" xfId="1" applyNumberFormat="1" applyFont="1" applyFill="1" applyBorder="1" applyAlignment="1">
      <alignment vertical="center"/>
    </xf>
    <xf numFmtId="166" fontId="11" fillId="13" borderId="25" xfId="1" applyNumberFormat="1" applyFont="1" applyFill="1" applyBorder="1" applyAlignment="1">
      <alignment vertical="center" wrapText="1"/>
    </xf>
    <xf numFmtId="166" fontId="11" fillId="13" borderId="25" xfId="1" applyNumberFormat="1" applyFont="1" applyFill="1" applyBorder="1" applyAlignment="1">
      <alignment vertical="center"/>
    </xf>
    <xf numFmtId="0" fontId="11" fillId="13" borderId="25" xfId="0" applyFont="1" applyFill="1" applyBorder="1" applyAlignment="1">
      <alignment vertical="center"/>
    </xf>
    <xf numFmtId="0" fontId="7" fillId="13" borderId="25" xfId="0" applyFont="1" applyFill="1" applyBorder="1" applyAlignment="1">
      <alignment vertical="center"/>
    </xf>
    <xf numFmtId="0" fontId="7" fillId="13" borderId="26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/>
    </xf>
    <xf numFmtId="0" fontId="12" fillId="14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166" fontId="15" fillId="8" borderId="14" xfId="1" applyNumberFormat="1" applyFont="1" applyFill="1" applyBorder="1" applyAlignment="1">
      <alignment vertical="center"/>
    </xf>
    <xf numFmtId="166" fontId="15" fillId="8" borderId="15" xfId="1" applyNumberFormat="1" applyFont="1" applyFill="1" applyBorder="1" applyAlignment="1">
      <alignment vertical="center"/>
    </xf>
    <xf numFmtId="10" fontId="23" fillId="8" borderId="10" xfId="3" applyNumberFormat="1" applyFont="1" applyFill="1" applyBorder="1" applyAlignment="1">
      <alignment vertical="center"/>
    </xf>
    <xf numFmtId="10" fontId="23" fillId="8" borderId="12" xfId="3" applyNumberFormat="1" applyFont="1" applyFill="1" applyBorder="1" applyAlignment="1">
      <alignment vertical="center"/>
    </xf>
    <xf numFmtId="0" fontId="12" fillId="14" borderId="1" xfId="0" applyFont="1" applyFill="1" applyBorder="1" applyAlignment="1">
      <alignment vertical="center" wrapText="1"/>
    </xf>
    <xf numFmtId="0" fontId="12" fillId="14" borderId="0" xfId="0" applyFont="1" applyFill="1" applyAlignment="1">
      <alignment vertical="center" wrapText="1"/>
    </xf>
    <xf numFmtId="0" fontId="12" fillId="14" borderId="2" xfId="0" applyFont="1" applyFill="1" applyBorder="1" applyAlignment="1">
      <alignment vertical="center" wrapText="1"/>
    </xf>
    <xf numFmtId="10" fontId="15" fillId="8" borderId="12" xfId="3" applyNumberFormat="1" applyFont="1" applyFill="1" applyBorder="1" applyAlignment="1">
      <alignment vertical="center"/>
    </xf>
    <xf numFmtId="0" fontId="6" fillId="8" borderId="27" xfId="0" applyFont="1" applyFill="1" applyBorder="1" applyAlignment="1">
      <alignment horizontal="center" vertical="center" wrapText="1"/>
    </xf>
    <xf numFmtId="166" fontId="18" fillId="15" borderId="28" xfId="1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horizontal="center" vertical="center" wrapText="1"/>
    </xf>
    <xf numFmtId="166" fontId="6" fillId="8" borderId="30" xfId="1" applyNumberFormat="1" applyFont="1" applyFill="1" applyBorder="1" applyAlignment="1">
      <alignment horizontal="center" vertical="center"/>
    </xf>
    <xf numFmtId="10" fontId="15" fillId="8" borderId="10" xfId="3" applyNumberFormat="1" applyFont="1" applyFill="1" applyBorder="1" applyAlignment="1">
      <alignment horizontal="center" vertical="center"/>
    </xf>
    <xf numFmtId="10" fontId="15" fillId="8" borderId="12" xfId="3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 wrapText="1"/>
    </xf>
    <xf numFmtId="166" fontId="18" fillId="15" borderId="32" xfId="1" applyNumberFormat="1" applyFont="1" applyFill="1" applyBorder="1" applyAlignment="1">
      <alignment horizontal="center" vertical="center"/>
    </xf>
    <xf numFmtId="166" fontId="15" fillId="2" borderId="2" xfId="1" applyNumberFormat="1" applyFont="1" applyFill="1" applyBorder="1" applyAlignment="1">
      <alignment vertical="center"/>
    </xf>
    <xf numFmtId="0" fontId="6" fillId="8" borderId="33" xfId="0" applyFont="1" applyFill="1" applyBorder="1" applyAlignment="1">
      <alignment horizontal="left" vertical="center" wrapText="1"/>
    </xf>
    <xf numFmtId="0" fontId="6" fillId="8" borderId="34" xfId="0" applyFont="1" applyFill="1" applyBorder="1" applyAlignment="1">
      <alignment vertical="center"/>
    </xf>
    <xf numFmtId="166" fontId="6" fillId="8" borderId="30" xfId="1" applyNumberFormat="1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vertical="center"/>
    </xf>
    <xf numFmtId="10" fontId="6" fillId="8" borderId="36" xfId="3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left" vertical="center" wrapText="1"/>
    </xf>
    <xf numFmtId="166" fontId="6" fillId="8" borderId="7" xfId="1" applyNumberFormat="1" applyFont="1" applyFill="1" applyBorder="1" applyAlignment="1">
      <alignment vertical="center"/>
    </xf>
    <xf numFmtId="166" fontId="6" fillId="8" borderId="38" xfId="1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vertical="center"/>
    </xf>
    <xf numFmtId="10" fontId="6" fillId="8" borderId="32" xfId="3" applyNumberFormat="1" applyFont="1" applyFill="1" applyBorder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vertical="center"/>
    </xf>
    <xf numFmtId="0" fontId="5" fillId="16" borderId="9" xfId="0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vertical="center" wrapText="1"/>
    </xf>
    <xf numFmtId="166" fontId="5" fillId="16" borderId="10" xfId="1" applyNumberFormat="1" applyFont="1" applyFill="1" applyBorder="1" applyAlignment="1">
      <alignment vertical="center"/>
    </xf>
    <xf numFmtId="166" fontId="5" fillId="16" borderId="12" xfId="1" applyNumberFormat="1" applyFont="1" applyFill="1" applyBorder="1" applyAlignment="1">
      <alignment vertical="center"/>
    </xf>
    <xf numFmtId="0" fontId="15" fillId="8" borderId="9" xfId="0" quotePrefix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/>
    </xf>
    <xf numFmtId="9" fontId="18" fillId="2" borderId="0" xfId="3" applyFont="1" applyFill="1" applyAlignment="1">
      <alignment vertical="center"/>
    </xf>
    <xf numFmtId="166" fontId="15" fillId="16" borderId="10" xfId="1" applyNumberFormat="1" applyFont="1" applyFill="1" applyBorder="1" applyAlignment="1">
      <alignment vertical="center"/>
    </xf>
    <xf numFmtId="166" fontId="15" fillId="16" borderId="12" xfId="1" applyNumberFormat="1" applyFont="1" applyFill="1" applyBorder="1" applyAlignment="1">
      <alignment vertical="center"/>
    </xf>
    <xf numFmtId="166" fontId="23" fillId="8" borderId="10" xfId="1" applyNumberFormat="1" applyFont="1" applyFill="1" applyBorder="1" applyAlignment="1">
      <alignment vertical="center"/>
    </xf>
    <xf numFmtId="166" fontId="23" fillId="8" borderId="12" xfId="1" applyNumberFormat="1" applyFont="1" applyFill="1" applyBorder="1" applyAlignment="1">
      <alignment vertical="center"/>
    </xf>
    <xf numFmtId="166" fontId="5" fillId="1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166" fontId="11" fillId="2" borderId="0" xfId="1" applyNumberFormat="1" applyFont="1" applyFill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12" fillId="14" borderId="10" xfId="1" applyNumberFormat="1" applyFont="1" applyFill="1" applyBorder="1" applyAlignment="1">
      <alignment vertical="center"/>
    </xf>
    <xf numFmtId="166" fontId="12" fillId="14" borderId="12" xfId="1" applyNumberFormat="1" applyFont="1" applyFill="1" applyBorder="1" applyAlignment="1">
      <alignment vertical="center"/>
    </xf>
    <xf numFmtId="166" fontId="15" fillId="0" borderId="10" xfId="1" applyNumberFormat="1" applyFont="1" applyBorder="1" applyAlignment="1">
      <alignment horizontal="center" vertical="center"/>
    </xf>
    <xf numFmtId="166" fontId="15" fillId="0" borderId="12" xfId="1" applyNumberFormat="1" applyFont="1" applyBorder="1" applyAlignment="1">
      <alignment horizontal="center" vertical="center"/>
    </xf>
    <xf numFmtId="169" fontId="15" fillId="0" borderId="10" xfId="2" applyNumberFormat="1" applyFont="1" applyBorder="1" applyAlignment="1" applyProtection="1">
      <alignment horizontal="center" vertical="center"/>
      <protection locked="0"/>
    </xf>
    <xf numFmtId="169" fontId="15" fillId="0" borderId="12" xfId="2" applyNumberFormat="1" applyFont="1" applyBorder="1" applyAlignment="1" applyProtection="1">
      <alignment horizontal="center" vertical="center"/>
      <protection locked="0"/>
    </xf>
    <xf numFmtId="10" fontId="15" fillId="0" borderId="10" xfId="3" applyNumberFormat="1" applyFont="1" applyBorder="1" applyAlignment="1" applyProtection="1">
      <alignment horizontal="center" vertical="center"/>
      <protection locked="0"/>
    </xf>
    <xf numFmtId="10" fontId="15" fillId="0" borderId="12" xfId="3" applyNumberFormat="1" applyFont="1" applyBorder="1" applyAlignment="1" applyProtection="1">
      <alignment horizontal="center" vertical="center"/>
      <protection locked="0"/>
    </xf>
    <xf numFmtId="10" fontId="6" fillId="2" borderId="0" xfId="0" applyNumberFormat="1" applyFont="1" applyFill="1" applyAlignment="1">
      <alignment vertical="center"/>
    </xf>
    <xf numFmtId="165" fontId="11" fillId="2" borderId="0" xfId="3" applyNumberFormat="1" applyFont="1" applyFill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44" fontId="0" fillId="0" borderId="0" xfId="2" applyFont="1"/>
    <xf numFmtId="0" fontId="5" fillId="17" borderId="1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vertical="center"/>
    </xf>
    <xf numFmtId="166" fontId="15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166" fontId="5" fillId="7" borderId="4" xfId="1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17" fillId="9" borderId="9" xfId="1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7" borderId="9" xfId="1" applyNumberFormat="1" applyFont="1" applyFill="1" applyBorder="1" applyAlignment="1">
      <alignment vertical="center"/>
    </xf>
    <xf numFmtId="10" fontId="7" fillId="2" borderId="1" xfId="3" applyNumberFormat="1" applyFont="1" applyFill="1" applyBorder="1" applyAlignment="1">
      <alignment horizontal="center" vertical="center"/>
    </xf>
    <xf numFmtId="10" fontId="7" fillId="2" borderId="2" xfId="3" applyNumberFormat="1" applyFont="1" applyFill="1" applyBorder="1" applyAlignment="1">
      <alignment horizontal="center" vertical="center"/>
    </xf>
    <xf numFmtId="166" fontId="17" fillId="9" borderId="44" xfId="1" applyNumberFormat="1" applyFont="1" applyFill="1" applyBorder="1" applyAlignment="1">
      <alignment vertical="center"/>
    </xf>
    <xf numFmtId="166" fontId="17" fillId="8" borderId="9" xfId="1" applyNumberFormat="1" applyFont="1" applyFill="1" applyBorder="1" applyAlignment="1">
      <alignment vertical="center"/>
    </xf>
    <xf numFmtId="165" fontId="5" fillId="8" borderId="1" xfId="3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 applyProtection="1">
      <alignment vertical="center"/>
      <protection locked="0"/>
    </xf>
    <xf numFmtId="165" fontId="5" fillId="8" borderId="9" xfId="3" applyNumberFormat="1" applyFont="1" applyFill="1" applyBorder="1" applyAlignment="1" applyProtection="1">
      <alignment vertical="center"/>
      <protection locked="0"/>
    </xf>
    <xf numFmtId="165" fontId="5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vertical="center"/>
    </xf>
    <xf numFmtId="166" fontId="17" fillId="8" borderId="45" xfId="1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2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8" borderId="17" xfId="3" applyNumberFormat="1" applyFont="1" applyFill="1" applyBorder="1" applyAlignment="1">
      <alignment vertical="center"/>
    </xf>
    <xf numFmtId="166" fontId="17" fillId="0" borderId="9" xfId="1" applyNumberFormat="1" applyFont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6" fontId="15" fillId="8" borderId="1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6" fontId="15" fillId="12" borderId="9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66" fontId="15" fillId="8" borderId="44" xfId="1" applyNumberFormat="1" applyFont="1" applyFill="1" applyBorder="1" applyAlignment="1">
      <alignment vertical="center"/>
    </xf>
    <xf numFmtId="10" fontId="23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166" fontId="15" fillId="2" borderId="1" xfId="0" applyNumberFormat="1" applyFont="1" applyFill="1" applyBorder="1" applyAlignment="1">
      <alignment vertical="center"/>
    </xf>
    <xf numFmtId="166" fontId="15" fillId="16" borderId="9" xfId="1" applyNumberFormat="1" applyFont="1" applyFill="1" applyBorder="1" applyAlignment="1">
      <alignment vertical="center"/>
    </xf>
    <xf numFmtId="166" fontId="23" fillId="8" borderId="9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6" fontId="12" fillId="14" borderId="9" xfId="1" applyNumberFormat="1" applyFont="1" applyFill="1" applyBorder="1" applyAlignment="1">
      <alignment vertical="center"/>
    </xf>
    <xf numFmtId="166" fontId="15" fillId="0" borderId="9" xfId="1" applyNumberFormat="1" applyFont="1" applyBorder="1" applyAlignment="1">
      <alignment horizontal="center" vertical="center"/>
    </xf>
    <xf numFmtId="169" fontId="15" fillId="0" borderId="9" xfId="2" applyNumberFormat="1" applyFont="1" applyBorder="1" applyAlignment="1" applyProtection="1">
      <alignment horizontal="center" vertical="center"/>
      <protection locked="0"/>
    </xf>
    <xf numFmtId="10" fontId="15" fillId="0" borderId="9" xfId="3" applyNumberFormat="1" applyFont="1" applyBorder="1" applyAlignment="1" applyProtection="1">
      <alignment horizontal="center" vertical="center"/>
      <protection locked="0"/>
    </xf>
    <xf numFmtId="10" fontId="7" fillId="2" borderId="1" xfId="0" applyNumberFormat="1" applyFont="1" applyFill="1" applyBorder="1" applyAlignment="1">
      <alignment horizontal="center" vertical="center"/>
    </xf>
    <xf numFmtId="9" fontId="15" fillId="8" borderId="17" xfId="3" applyFont="1" applyFill="1" applyBorder="1" applyAlignment="1">
      <alignment horizontal="center" vertical="center"/>
    </xf>
    <xf numFmtId="9" fontId="15" fillId="8" borderId="19" xfId="3" applyFont="1" applyFill="1" applyBorder="1" applyAlignment="1">
      <alignment horizontal="center" vertical="center"/>
    </xf>
    <xf numFmtId="9" fontId="15" fillId="8" borderId="20" xfId="3" applyFont="1" applyFill="1" applyBorder="1" applyAlignment="1">
      <alignment horizontal="center" vertical="center"/>
    </xf>
    <xf numFmtId="166" fontId="5" fillId="12" borderId="9" xfId="1" applyNumberFormat="1" applyFont="1" applyFill="1" applyBorder="1" applyAlignment="1">
      <alignment vertical="center"/>
    </xf>
    <xf numFmtId="166" fontId="5" fillId="12" borderId="10" xfId="1" applyNumberFormat="1" applyFont="1" applyFill="1" applyBorder="1" applyAlignment="1">
      <alignment vertical="center"/>
    </xf>
    <xf numFmtId="166" fontId="5" fillId="12" borderId="12" xfId="1" applyNumberFormat="1" applyFont="1" applyFill="1" applyBorder="1" applyAlignment="1">
      <alignment vertical="center"/>
    </xf>
    <xf numFmtId="0" fontId="25" fillId="0" borderId="0" xfId="0" applyFont="1"/>
    <xf numFmtId="0" fontId="2" fillId="19" borderId="46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4" fontId="3" fillId="0" borderId="0" xfId="1" applyNumberFormat="1" applyFont="1"/>
    <xf numFmtId="43" fontId="3" fillId="20" borderId="0" xfId="1" applyFont="1" applyFill="1"/>
    <xf numFmtId="43" fontId="3" fillId="0" borderId="0" xfId="1" applyFont="1"/>
    <xf numFmtId="43" fontId="3" fillId="0" borderId="2" xfId="1" applyFont="1" applyBorder="1"/>
    <xf numFmtId="0" fontId="0" fillId="0" borderId="1" xfId="0" applyBorder="1"/>
    <xf numFmtId="164" fontId="0" fillId="0" borderId="0" xfId="1" applyNumberFormat="1" applyFont="1"/>
    <xf numFmtId="43" fontId="0" fillId="20" borderId="0" xfId="1" applyFont="1" applyFill="1"/>
    <xf numFmtId="43" fontId="0" fillId="0" borderId="0" xfId="1" applyFont="1"/>
    <xf numFmtId="43" fontId="1" fillId="0" borderId="2" xfId="1" applyBorder="1"/>
    <xf numFmtId="164" fontId="3" fillId="0" borderId="0" xfId="1" quotePrefix="1" applyNumberFormat="1" applyFont="1"/>
    <xf numFmtId="0" fontId="3" fillId="0" borderId="42" xfId="0" applyFont="1" applyBorder="1"/>
    <xf numFmtId="0" fontId="3" fillId="0" borderId="18" xfId="0" applyFont="1" applyBorder="1"/>
    <xf numFmtId="43" fontId="3" fillId="0" borderId="18" xfId="1" applyFont="1" applyBorder="1"/>
    <xf numFmtId="43" fontId="3" fillId="20" borderId="18" xfId="1" applyFont="1" applyFill="1" applyBorder="1"/>
    <xf numFmtId="43" fontId="3" fillId="0" borderId="43" xfId="1" applyFont="1" applyBorder="1"/>
    <xf numFmtId="0" fontId="0" fillId="0" borderId="47" xfId="0" applyBorder="1"/>
    <xf numFmtId="10" fontId="0" fillId="0" borderId="48" xfId="3" applyNumberFormat="1" applyFont="1" applyBorder="1"/>
    <xf numFmtId="43" fontId="0" fillId="0" borderId="48" xfId="1" applyFont="1" applyBorder="1"/>
    <xf numFmtId="43" fontId="0" fillId="20" borderId="48" xfId="1" applyFont="1" applyFill="1" applyBorder="1"/>
    <xf numFmtId="43" fontId="0" fillId="0" borderId="49" xfId="1" applyFont="1" applyBorder="1"/>
    <xf numFmtId="10" fontId="0" fillId="0" borderId="0" xfId="3" applyNumberFormat="1" applyFont="1"/>
    <xf numFmtId="43" fontId="0" fillId="0" borderId="2" xfId="1" applyFont="1" applyBorder="1"/>
    <xf numFmtId="0" fontId="0" fillId="0" borderId="42" xfId="0" applyBorder="1"/>
    <xf numFmtId="10" fontId="0" fillId="0" borderId="18" xfId="3" applyNumberFormat="1" applyFont="1" applyBorder="1"/>
    <xf numFmtId="43" fontId="0" fillId="0" borderId="18" xfId="1" applyFont="1" applyBorder="1"/>
    <xf numFmtId="43" fontId="0" fillId="20" borderId="18" xfId="1" applyFont="1" applyFill="1" applyBorder="1"/>
    <xf numFmtId="43" fontId="0" fillId="0" borderId="43" xfId="1" applyFont="1" applyBorder="1"/>
    <xf numFmtId="43" fontId="3" fillId="0" borderId="48" xfId="1" applyFont="1" applyBorder="1"/>
    <xf numFmtId="10" fontId="3" fillId="0" borderId="18" xfId="3" applyNumberFormat="1" applyFont="1" applyBorder="1"/>
    <xf numFmtId="0" fontId="3" fillId="21" borderId="47" xfId="0" applyFont="1" applyFill="1" applyBorder="1"/>
    <xf numFmtId="0" fontId="3" fillId="21" borderId="48" xfId="0" applyFont="1" applyFill="1" applyBorder="1"/>
    <xf numFmtId="43" fontId="3" fillId="21" borderId="48" xfId="1" applyFont="1" applyFill="1" applyBorder="1"/>
    <xf numFmtId="43" fontId="3" fillId="21" borderId="49" xfId="1" applyFont="1" applyFill="1" applyBorder="1"/>
    <xf numFmtId="0" fontId="3" fillId="21" borderId="1" xfId="0" applyFont="1" applyFill="1" applyBorder="1"/>
    <xf numFmtId="0" fontId="3" fillId="21" borderId="0" xfId="0" applyFont="1" applyFill="1"/>
    <xf numFmtId="43" fontId="3" fillId="21" borderId="0" xfId="1" applyFont="1" applyFill="1"/>
    <xf numFmtId="43" fontId="3" fillId="21" borderId="2" xfId="1" applyFont="1" applyFill="1" applyBorder="1"/>
    <xf numFmtId="0" fontId="3" fillId="21" borderId="42" xfId="0" applyFont="1" applyFill="1" applyBorder="1"/>
    <xf numFmtId="0" fontId="3" fillId="21" borderId="18" xfId="0" applyFont="1" applyFill="1" applyBorder="1"/>
    <xf numFmtId="43" fontId="3" fillId="22" borderId="18" xfId="1" applyFont="1" applyFill="1" applyBorder="1"/>
    <xf numFmtId="43" fontId="3" fillId="21" borderId="18" xfId="1" applyFont="1" applyFill="1" applyBorder="1"/>
    <xf numFmtId="43" fontId="3" fillId="21" borderId="43" xfId="1" applyFont="1" applyFill="1" applyBorder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64" fontId="2" fillId="19" borderId="0" xfId="1" applyNumberFormat="1" applyFont="1" applyFill="1" applyAlignment="1">
      <alignment horizontal="center" vertical="center"/>
    </xf>
    <xf numFmtId="43" fontId="2" fillId="19" borderId="0" xfId="1" applyFont="1" applyFill="1" applyAlignment="1">
      <alignment horizontal="center" vertical="center"/>
    </xf>
    <xf numFmtId="17" fontId="0" fillId="21" borderId="0" xfId="0" applyNumberFormat="1" applyFill="1" applyAlignment="1">
      <alignment horizontal="left"/>
    </xf>
    <xf numFmtId="164" fontId="0" fillId="21" borderId="0" xfId="1" applyNumberFormat="1" applyFont="1" applyFill="1"/>
    <xf numFmtId="0" fontId="0" fillId="21" borderId="0" xfId="0" applyFill="1"/>
    <xf numFmtId="17" fontId="0" fillId="0" borderId="0" xfId="0" applyNumberFormat="1" applyAlignment="1">
      <alignment horizontal="left"/>
    </xf>
    <xf numFmtId="164" fontId="0" fillId="23" borderId="0" xfId="1" applyNumberFormat="1" applyFont="1" applyFill="1"/>
    <xf numFmtId="164" fontId="0" fillId="0" borderId="0" xfId="0" applyNumberFormat="1"/>
    <xf numFmtId="0" fontId="0" fillId="23" borderId="0" xfId="0" applyFill="1" applyAlignment="1">
      <alignment horizontal="center" vertical="center"/>
    </xf>
    <xf numFmtId="10" fontId="0" fillId="2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3" borderId="0" xfId="1" applyNumberFormat="1" applyFont="1" applyFill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43" fontId="0" fillId="24" borderId="0" xfId="1" applyFont="1" applyFill="1" applyAlignment="1">
      <alignment horizontal="center" vertical="center"/>
    </xf>
    <xf numFmtId="43" fontId="3" fillId="0" borderId="0" xfId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10" fontId="3" fillId="17" borderId="0" xfId="3" applyNumberFormat="1" applyFont="1" applyFill="1" applyAlignment="1">
      <alignment horizontal="right" vertical="center"/>
    </xf>
    <xf numFmtId="44" fontId="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0" xfId="1" applyNumberFormat="1" applyFont="1" applyAlignment="1">
      <alignment horizontal="center"/>
    </xf>
    <xf numFmtId="4" fontId="0" fillId="0" borderId="0" xfId="0" applyNumberFormat="1"/>
    <xf numFmtId="43" fontId="26" fillId="0" borderId="0" xfId="1" applyFont="1"/>
    <xf numFmtId="0" fontId="3" fillId="10" borderId="0" xfId="0" applyFont="1" applyFill="1" applyAlignment="1">
      <alignment horizontal="center" vertical="center"/>
    </xf>
    <xf numFmtId="0" fontId="27" fillId="25" borderId="52" xfId="0" applyFont="1" applyFill="1" applyBorder="1" applyAlignment="1">
      <alignment horizontal="center" vertical="center"/>
    </xf>
    <xf numFmtId="49" fontId="3" fillId="25" borderId="53" xfId="0" applyNumberFormat="1" applyFont="1" applyFill="1" applyBorder="1" applyAlignment="1">
      <alignment horizontal="center" vertical="center" wrapText="1"/>
    </xf>
    <xf numFmtId="49" fontId="3" fillId="25" borderId="54" xfId="0" applyNumberFormat="1" applyFont="1" applyFill="1" applyBorder="1" applyAlignment="1">
      <alignment horizontal="center" vertical="center" wrapText="1"/>
    </xf>
    <xf numFmtId="0" fontId="3" fillId="25" borderId="55" xfId="0" applyFont="1" applyFill="1" applyBorder="1" applyAlignment="1">
      <alignment horizontal="center" vertical="center"/>
    </xf>
    <xf numFmtId="170" fontId="3" fillId="25" borderId="38" xfId="0" applyNumberFormat="1" applyFont="1" applyFill="1" applyBorder="1" applyAlignment="1">
      <alignment horizontal="center" vertical="center"/>
    </xf>
    <xf numFmtId="43" fontId="26" fillId="0" borderId="0" xfId="1" applyFont="1" applyAlignment="1">
      <alignment horizontal="center"/>
    </xf>
    <xf numFmtId="0" fontId="3" fillId="10" borderId="56" xfId="0" applyFont="1" applyFill="1" applyBorder="1" applyAlignment="1">
      <alignment horizontal="center" vertical="center"/>
    </xf>
    <xf numFmtId="0" fontId="0" fillId="0" borderId="38" xfId="0" applyBorder="1"/>
    <xf numFmtId="14" fontId="0" fillId="10" borderId="0" xfId="0" applyNumberFormat="1" applyFill="1"/>
    <xf numFmtId="0" fontId="0" fillId="0" borderId="55" xfId="0" applyBorder="1" applyAlignment="1">
      <alignment vertical="center"/>
    </xf>
    <xf numFmtId="44" fontId="3" fillId="26" borderId="57" xfId="2" applyFont="1" applyFill="1" applyBorder="1" applyAlignment="1">
      <alignment horizontal="center" vertical="center"/>
    </xf>
    <xf numFmtId="44" fontId="3" fillId="26" borderId="58" xfId="2" applyFont="1" applyFill="1" applyBorder="1" applyAlignment="1">
      <alignment horizontal="center" vertical="center"/>
    </xf>
    <xf numFmtId="17" fontId="0" fillId="10" borderId="0" xfId="0" applyNumberFormat="1" applyFill="1"/>
    <xf numFmtId="44" fontId="28" fillId="26" borderId="57" xfId="2" applyFont="1" applyFill="1" applyBorder="1" applyAlignment="1">
      <alignment horizontal="center" vertical="center"/>
    </xf>
    <xf numFmtId="44" fontId="28" fillId="26" borderId="58" xfId="2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43" fontId="29" fillId="0" borderId="0" xfId="1" applyFont="1"/>
    <xf numFmtId="44" fontId="20" fillId="0" borderId="0" xfId="2" applyFont="1"/>
    <xf numFmtId="43" fontId="20" fillId="0" borderId="0" xfId="1" applyFont="1"/>
    <xf numFmtId="44" fontId="3" fillId="23" borderId="57" xfId="2" applyFont="1" applyFill="1" applyBorder="1" applyAlignment="1">
      <alignment horizontal="center" vertical="center"/>
    </xf>
    <xf numFmtId="44" fontId="3" fillId="23" borderId="58" xfId="2" applyFont="1" applyFill="1" applyBorder="1" applyAlignment="1">
      <alignment horizontal="center" vertical="center"/>
    </xf>
    <xf numFmtId="44" fontId="3" fillId="24" borderId="57" xfId="2" applyFont="1" applyFill="1" applyBorder="1" applyAlignment="1">
      <alignment horizontal="center" vertical="center"/>
    </xf>
    <xf numFmtId="171" fontId="3" fillId="24" borderId="57" xfId="1" applyNumberFormat="1" applyFont="1" applyFill="1" applyBorder="1" applyAlignment="1">
      <alignment horizontal="center" vertical="center"/>
    </xf>
    <xf numFmtId="171" fontId="3" fillId="24" borderId="58" xfId="1" applyNumberFormat="1" applyFont="1" applyFill="1" applyBorder="1" applyAlignment="1">
      <alignment horizontal="center" vertical="center"/>
    </xf>
    <xf numFmtId="0" fontId="0" fillId="10" borderId="59" xfId="0" applyFill="1" applyBorder="1" applyAlignment="1">
      <alignment vertical="center"/>
    </xf>
    <xf numFmtId="171" fontId="3" fillId="10" borderId="22" xfId="0" applyNumberFormat="1" applyFont="1" applyFill="1" applyBorder="1" applyAlignment="1">
      <alignment horizontal="center" vertical="center"/>
    </xf>
    <xf numFmtId="171" fontId="3" fillId="10" borderId="60" xfId="0" applyNumberFormat="1" applyFont="1" applyFill="1" applyBorder="1" applyAlignment="1">
      <alignment horizontal="center" vertical="center"/>
    </xf>
    <xf numFmtId="0" fontId="3" fillId="27" borderId="55" xfId="0" applyFont="1" applyFill="1" applyBorder="1" applyAlignment="1">
      <alignment vertical="center"/>
    </xf>
    <xf numFmtId="171" fontId="28" fillId="27" borderId="0" xfId="4" applyNumberFormat="1" applyFont="1" applyFill="1" applyAlignment="1">
      <alignment horizontal="center" vertical="center"/>
    </xf>
    <xf numFmtId="171" fontId="28" fillId="27" borderId="38" xfId="4" applyNumberFormat="1" applyFont="1" applyFill="1" applyBorder="1" applyAlignment="1">
      <alignment horizontal="center" vertical="center"/>
    </xf>
    <xf numFmtId="171" fontId="0" fillId="0" borderId="0" xfId="1" applyNumberFormat="1" applyFont="1"/>
    <xf numFmtId="0" fontId="3" fillId="27" borderId="59" xfId="0" applyFont="1" applyFill="1" applyBorder="1" applyAlignment="1">
      <alignment vertical="center"/>
    </xf>
    <xf numFmtId="171" fontId="28" fillId="27" borderId="22" xfId="4" applyNumberFormat="1" applyFont="1" applyFill="1" applyBorder="1" applyAlignment="1">
      <alignment horizontal="center" vertical="center"/>
    </xf>
    <xf numFmtId="171" fontId="28" fillId="27" borderId="60" xfId="4" applyNumberFormat="1" applyFont="1" applyFill="1" applyBorder="1" applyAlignment="1">
      <alignment horizontal="center" vertical="center"/>
    </xf>
    <xf numFmtId="0" fontId="0" fillId="0" borderId="55" xfId="0" applyBorder="1" applyAlignment="1">
      <alignment horizontal="left" vertical="center"/>
    </xf>
    <xf numFmtId="44" fontId="0" fillId="0" borderId="0" xfId="2" applyFont="1" applyAlignment="1">
      <alignment horizontal="center" vertical="center"/>
    </xf>
    <xf numFmtId="44" fontId="0" fillId="0" borderId="38" xfId="2" applyFont="1" applyBorder="1" applyAlignment="1">
      <alignment horizontal="center" vertical="center"/>
    </xf>
    <xf numFmtId="43" fontId="20" fillId="0" borderId="0" xfId="1" applyFont="1" applyAlignment="1">
      <alignment horizontal="center"/>
    </xf>
    <xf numFmtId="0" fontId="20" fillId="0" borderId="0" xfId="0" applyFont="1" applyAlignment="1">
      <alignment horizontal="center"/>
    </xf>
    <xf numFmtId="171" fontId="0" fillId="0" borderId="38" xfId="0" applyNumberFormat="1" applyBorder="1" applyAlignment="1">
      <alignment horizontal="center" vertical="center"/>
    </xf>
    <xf numFmtId="0" fontId="30" fillId="0" borderId="55" xfId="0" applyFont="1" applyBorder="1" applyAlignment="1">
      <alignment horizontal="left" vertical="center"/>
    </xf>
    <xf numFmtId="171" fontId="30" fillId="0" borderId="38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left" vertical="center"/>
    </xf>
    <xf numFmtId="10" fontId="3" fillId="0" borderId="38" xfId="5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/>
    </xf>
    <xf numFmtId="10" fontId="3" fillId="0" borderId="38" xfId="6" applyNumberFormat="1" applyFont="1" applyBorder="1" applyAlignment="1">
      <alignment horizontal="center" vertical="center"/>
    </xf>
    <xf numFmtId="9" fontId="0" fillId="0" borderId="38" xfId="5" applyFont="1" applyBorder="1" applyAlignment="1">
      <alignment horizontal="center" vertical="center"/>
    </xf>
    <xf numFmtId="10" fontId="3" fillId="27" borderId="22" xfId="5" applyNumberFormat="1" applyFont="1" applyFill="1" applyBorder="1" applyAlignment="1">
      <alignment horizontal="center" vertical="center"/>
    </xf>
    <xf numFmtId="10" fontId="3" fillId="27" borderId="60" xfId="5" applyNumberFormat="1" applyFont="1" applyFill="1" applyBorder="1" applyAlignment="1">
      <alignment horizontal="center" vertical="center"/>
    </xf>
    <xf numFmtId="43" fontId="0" fillId="0" borderId="0" xfId="7" applyFont="1" applyAlignment="1">
      <alignment vertical="center"/>
    </xf>
    <xf numFmtId="14" fontId="31" fillId="2" borderId="1" xfId="0" applyNumberFormat="1" applyFont="1" applyFill="1" applyBorder="1" applyAlignment="1">
      <alignment horizontal="center" vertical="center" wrapText="1"/>
    </xf>
    <xf numFmtId="14" fontId="31" fillId="2" borderId="0" xfId="0" applyNumberFormat="1" applyFont="1" applyFill="1" applyAlignment="1">
      <alignment horizontal="center" vertical="center"/>
    </xf>
    <xf numFmtId="14" fontId="32" fillId="2" borderId="0" xfId="0" applyNumberFormat="1" applyFont="1" applyFill="1" applyAlignment="1">
      <alignment horizontal="center" vertical="center" wrapText="1"/>
    </xf>
    <xf numFmtId="14" fontId="32" fillId="2" borderId="0" xfId="0" applyNumberFormat="1" applyFont="1" applyFill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/>
    </xf>
    <xf numFmtId="14" fontId="31" fillId="2" borderId="2" xfId="0" applyNumberFormat="1" applyFont="1" applyFill="1" applyBorder="1" applyAlignment="1">
      <alignment horizontal="center" vertical="center"/>
    </xf>
    <xf numFmtId="14" fontId="33" fillId="3" borderId="0" xfId="0" applyNumberFormat="1" applyFont="1" applyFill="1" applyAlignment="1">
      <alignment horizontal="center" vertical="center"/>
    </xf>
    <xf numFmtId="166" fontId="11" fillId="2" borderId="0" xfId="3" applyNumberFormat="1" applyFont="1" applyFill="1" applyAlignment="1">
      <alignment vertical="center"/>
    </xf>
    <xf numFmtId="170" fontId="3" fillId="25" borderId="0" xfId="0" applyNumberFormat="1" applyFont="1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30" fillId="0" borderId="0" xfId="0" applyNumberFormat="1" applyFont="1" applyAlignment="1">
      <alignment horizontal="center" vertical="center"/>
    </xf>
    <xf numFmtId="10" fontId="3" fillId="0" borderId="0" xfId="5" applyNumberFormat="1" applyFont="1" applyAlignment="1">
      <alignment horizontal="center" vertical="center"/>
    </xf>
    <xf numFmtId="9" fontId="0" fillId="0" borderId="0" xfId="5" applyFont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7" fontId="0" fillId="10" borderId="0" xfId="0" applyNumberFormat="1" applyFill="1" applyAlignment="1">
      <alignment vertical="center"/>
    </xf>
    <xf numFmtId="43" fontId="0" fillId="0" borderId="0" xfId="1" applyFont="1" applyAlignment="1">
      <alignment vertical="center"/>
    </xf>
    <xf numFmtId="0" fontId="0" fillId="0" borderId="0" xfId="0" applyAlignment="1">
      <alignment vertical="center"/>
    </xf>
    <xf numFmtId="49" fontId="3" fillId="25" borderId="52" xfId="0" applyNumberFormat="1" applyFont="1" applyFill="1" applyBorder="1" applyAlignment="1">
      <alignment horizontal="center" vertical="center" wrapText="1"/>
    </xf>
    <xf numFmtId="43" fontId="26" fillId="0" borderId="55" xfId="1" applyFont="1" applyBorder="1"/>
    <xf numFmtId="44" fontId="0" fillId="0" borderId="38" xfId="2" applyFont="1" applyBorder="1"/>
    <xf numFmtId="43" fontId="28" fillId="28" borderId="59" xfId="1" applyFont="1" applyFill="1" applyBorder="1" applyAlignment="1">
      <alignment vertical="center"/>
    </xf>
    <xf numFmtId="44" fontId="28" fillId="28" borderId="22" xfId="2" applyFont="1" applyFill="1" applyBorder="1" applyAlignment="1">
      <alignment vertical="center"/>
    </xf>
    <xf numFmtId="44" fontId="28" fillId="28" borderId="60" xfId="2" applyFont="1" applyFill="1" applyBorder="1" applyAlignment="1">
      <alignment vertical="center"/>
    </xf>
    <xf numFmtId="43" fontId="28" fillId="0" borderId="55" xfId="1" applyFont="1" applyBorder="1"/>
    <xf numFmtId="164" fontId="28" fillId="0" borderId="55" xfId="1" applyNumberFormat="1" applyFont="1" applyBorder="1"/>
    <xf numFmtId="44" fontId="34" fillId="0" borderId="0" xfId="2" applyFont="1"/>
    <xf numFmtId="165" fontId="3" fillId="0" borderId="0" xfId="5" applyNumberFormat="1" applyFont="1" applyAlignment="1">
      <alignment horizontal="center" vertical="center"/>
    </xf>
    <xf numFmtId="165" fontId="7" fillId="2" borderId="2" xfId="3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wrapText="1"/>
    </xf>
    <xf numFmtId="1" fontId="14" fillId="6" borderId="43" xfId="0" applyNumberFormat="1" applyFont="1" applyFill="1" applyBorder="1" applyAlignment="1">
      <alignment horizontal="center"/>
    </xf>
    <xf numFmtId="172" fontId="0" fillId="0" borderId="0" xfId="0" applyNumberFormat="1"/>
    <xf numFmtId="173" fontId="0" fillId="0" borderId="0" xfId="0" applyNumberFormat="1"/>
    <xf numFmtId="1" fontId="14" fillId="6" borderId="42" xfId="0" applyNumberFormat="1" applyFont="1" applyFill="1" applyBorder="1" applyAlignment="1">
      <alignment horizontal="center"/>
    </xf>
    <xf numFmtId="1" fontId="14" fillId="6" borderId="18" xfId="0" applyNumberFormat="1" applyFont="1" applyFill="1" applyBorder="1" applyAlignment="1">
      <alignment horizontal="center"/>
    </xf>
    <xf numFmtId="171" fontId="0" fillId="10" borderId="0" xfId="0" applyNumberFormat="1" applyFill="1" applyAlignment="1">
      <alignment horizontal="center" vertical="center"/>
    </xf>
    <xf numFmtId="44" fontId="34" fillId="0" borderId="38" xfId="2" applyFont="1" applyBorder="1"/>
    <xf numFmtId="0" fontId="12" fillId="5" borderId="61" xfId="0" applyFont="1" applyFill="1" applyBorder="1" applyAlignment="1">
      <alignment horizontal="center" wrapText="1"/>
    </xf>
    <xf numFmtId="0" fontId="0" fillId="0" borderId="40" xfId="0" applyBorder="1"/>
    <xf numFmtId="0" fontId="0" fillId="0" borderId="41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17" fontId="14" fillId="6" borderId="62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165" fontId="5" fillId="2" borderId="0" xfId="3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7" xfId="0" applyBorder="1"/>
    <xf numFmtId="165" fontId="7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4" fillId="19" borderId="0" xfId="0" applyFont="1" applyFill="1" applyAlignment="1">
      <alignment horizontal="center" vertical="center"/>
    </xf>
    <xf numFmtId="0" fontId="25" fillId="0" borderId="0" xfId="0" applyFont="1"/>
    <xf numFmtId="0" fontId="26" fillId="0" borderId="63" xfId="0" applyFont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44" fontId="20" fillId="0" borderId="38" xfId="2" applyFont="1" applyBorder="1"/>
    <xf numFmtId="43" fontId="28" fillId="0" borderId="0" xfId="1" applyFont="1"/>
  </cellXfs>
  <cellStyles count="8">
    <cellStyle name="Moeda" xfId="2" builtinId="4"/>
    <cellStyle name="Normal" xfId="0" builtinId="0"/>
    <cellStyle name="Porcentagem" xfId="3" builtinId="5"/>
    <cellStyle name="Porcentagem 2" xfId="5" xr:uid="{00000000-0005-0000-0000-000005000000}"/>
    <cellStyle name="Porcentagem 3" xfId="6" xr:uid="{00000000-0005-0000-0000-000006000000}"/>
    <cellStyle name="Vírgula" xfId="1" builtinId="3"/>
    <cellStyle name="Vírgula 2 3" xfId="4" xr:uid="{00000000-0005-0000-0000-000004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500744</xdr:colOff>
      <xdr:row>75</xdr:row>
      <xdr:rowOff>32658</xdr:rowOff>
    </xdr:from>
    <xdr:to>
      <xdr:col>12</xdr:col>
      <xdr:colOff>111600</xdr:colOff>
      <xdr:row>96</xdr:row>
      <xdr:rowOff>58726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9024" y="13969638"/>
          <a:ext cx="6816414" cy="385511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500744</xdr:colOff>
      <xdr:row>75</xdr:row>
      <xdr:rowOff>32658</xdr:rowOff>
    </xdr:from>
    <xdr:to>
      <xdr:col>12</xdr:col>
      <xdr:colOff>677598</xdr:colOff>
      <xdr:row>96</xdr:row>
      <xdr:rowOff>51106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9024" y="13969638"/>
          <a:ext cx="6816414" cy="385511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Q589"/>
  <sheetViews>
    <sheetView zoomScale="94" zoomScaleNormal="94" workbookViewId="0">
      <pane xSplit="1" ySplit="8" topLeftCell="AG100" activePane="bottomRight" state="frozen"/>
      <selection pane="topRight" activeCell="B3" sqref="B3"/>
      <selection pane="bottomLeft" activeCell="A8" sqref="A8"/>
      <selection pane="bottomRight" activeCell="AQ111" sqref="AQ111"/>
    </sheetView>
  </sheetViews>
  <sheetFormatPr defaultColWidth="9.109375" defaultRowHeight="14.4" outlineLevelRow="2" x14ac:dyDescent="0.3"/>
  <cols>
    <col min="1" max="1" width="56.21875" style="229" customWidth="1"/>
    <col min="2" max="2" width="3.109375" style="2" customWidth="1"/>
    <col min="3" max="3" width="35.6640625" style="3" hidden="1" customWidth="1"/>
    <col min="4" max="4" width="56" style="4" hidden="1" customWidth="1"/>
    <col min="5" max="5" width="21.33203125" style="4" hidden="1" customWidth="1"/>
    <col min="6" max="6" width="3.21875" style="2" hidden="1" customWidth="1" collapsed="1"/>
    <col min="7" max="7" width="2.5546875" style="2" hidden="1" customWidth="1"/>
    <col min="8" max="9" width="15.5546875" style="2" bestFit="1" customWidth="1"/>
    <col min="10" max="10" width="13.88671875" style="2" bestFit="1" customWidth="1"/>
    <col min="11" max="12" width="15.5546875" style="2" bestFit="1" customWidth="1"/>
    <col min="13" max="13" width="13.88671875" style="2" bestFit="1" customWidth="1"/>
    <col min="14" max="14" width="15.5546875" style="2" bestFit="1" customWidth="1"/>
    <col min="15" max="15" width="14.109375" style="2" bestFit="1" customWidth="1"/>
    <col min="16" max="16" width="13.88671875" style="2" bestFit="1" customWidth="1"/>
    <col min="17" max="17" width="15.5546875" style="2" bestFit="1" customWidth="1"/>
    <col min="18" max="18" width="14.109375" style="2" bestFit="1" customWidth="1"/>
    <col min="19" max="19" width="13.88671875" style="2" bestFit="1" customWidth="1"/>
    <col min="20" max="20" width="15.5546875" style="2" bestFit="1" customWidth="1"/>
    <col min="21" max="21" width="13.88671875" style="2" bestFit="1" customWidth="1"/>
    <col min="22" max="22" width="13.6640625" style="2" customWidth="1"/>
    <col min="23" max="23" width="15.5546875" style="2" customWidth="1"/>
    <col min="24" max="24" width="13.88671875" style="2" customWidth="1"/>
    <col min="25" max="25" width="12.21875" style="2" customWidth="1"/>
    <col min="26" max="26" width="15.5546875" style="2" customWidth="1"/>
    <col min="27" max="27" width="13.88671875" style="2" customWidth="1"/>
    <col min="28" max="28" width="13.33203125" style="2" customWidth="1"/>
    <col min="29" max="29" width="15.5546875" style="2" customWidth="1"/>
    <col min="30" max="30" width="13.88671875" style="2" customWidth="1"/>
    <col min="31" max="31" width="10.33203125" style="2" customWidth="1"/>
    <col min="32" max="32" width="15.5546875" style="2" customWidth="1"/>
    <col min="33" max="33" width="13.88671875" style="2" customWidth="1"/>
    <col min="34" max="34" width="10.33203125" style="2" customWidth="1"/>
    <col min="35" max="35" width="15.5546875" style="2" customWidth="1"/>
    <col min="36" max="36" width="13.88671875" style="2" customWidth="1"/>
    <col min="37" max="37" width="10.33203125" style="2" customWidth="1"/>
    <col min="38" max="38" width="15.5546875" style="2" customWidth="1"/>
    <col min="39" max="39" width="13.88671875" style="2" customWidth="1"/>
    <col min="40" max="40" width="10.33203125" style="2" customWidth="1"/>
    <col min="41" max="41" width="15.5546875" style="2" customWidth="1"/>
    <col min="42" max="42" width="13.88671875" style="2" customWidth="1"/>
    <col min="43" max="43" width="10.33203125" style="2" customWidth="1"/>
    <col min="44" max="46" width="16.109375" style="2" bestFit="1" customWidth="1"/>
    <col min="47" max="49" width="16.109375" style="2" customWidth="1"/>
    <col min="50" max="50" width="15" style="2" customWidth="1"/>
    <col min="51" max="51" width="16.77734375" style="2" customWidth="1"/>
    <col min="52" max="53" width="15" style="2" customWidth="1"/>
    <col min="54" max="54" width="16.77734375" style="2" customWidth="1"/>
    <col min="55" max="55" width="13.88671875" style="2" customWidth="1"/>
    <col min="56" max="56" width="15" style="2" customWidth="1"/>
    <col min="57" max="57" width="16.77734375" style="2" customWidth="1"/>
    <col min="58" max="58" width="10.21875" style="2" customWidth="1"/>
    <col min="59" max="59" width="15" style="2" customWidth="1"/>
    <col min="60" max="60" width="16.77734375" style="2" customWidth="1"/>
    <col min="61" max="61" width="10.21875" style="2" customWidth="1"/>
    <col min="62" max="66" width="15.44140625" style="10" customWidth="1"/>
    <col min="67" max="67" width="9.109375" style="10" customWidth="1"/>
    <col min="68" max="71" width="15.44140625" style="10" customWidth="1"/>
    <col min="72" max="72" width="10.109375" style="10" customWidth="1"/>
    <col min="73" max="74" width="15.44140625" style="10" customWidth="1"/>
    <col min="75" max="75" width="11.44140625" style="10" customWidth="1"/>
    <col min="76" max="76" width="9.6640625" style="10" customWidth="1"/>
    <col min="77" max="77" width="15.44140625" style="10" customWidth="1"/>
    <col min="78" max="78" width="9.109375" style="10" customWidth="1"/>
    <col min="79" max="80" width="15.44140625" style="10" customWidth="1"/>
    <col min="81" max="81" width="9.6640625" style="10" customWidth="1"/>
    <col min="82" max="82" width="10.109375" style="10" customWidth="1"/>
    <col min="83" max="83" width="15.44140625" style="10" customWidth="1"/>
    <col min="84" max="84" width="9.109375" style="10" customWidth="1"/>
    <col min="85" max="85" width="16.109375" style="10" customWidth="1"/>
    <col min="86" max="86" width="15.44140625" style="10" customWidth="1"/>
    <col min="87" max="87" width="9.109375" style="10" customWidth="1"/>
    <col min="88" max="88" width="9.6640625" style="10" customWidth="1"/>
    <col min="89" max="89" width="15.44140625" style="10" customWidth="1"/>
    <col min="90" max="90" width="12.6640625" style="10" customWidth="1"/>
    <col min="91" max="91" width="11.44140625" style="10" customWidth="1"/>
    <col min="92" max="92" width="9.33203125" style="10" customWidth="1"/>
    <col min="93" max="93" width="11.44140625" style="10" customWidth="1"/>
    <col min="94" max="94" width="14.109375" style="10" customWidth="1"/>
    <col min="95" max="97" width="12.6640625" style="10" customWidth="1"/>
    <col min="98" max="99" width="11.44140625" style="10" customWidth="1"/>
    <col min="100" max="100" width="9.109375" style="10" customWidth="1"/>
    <col min="101" max="101" width="8.33203125" style="10" customWidth="1"/>
    <col min="102" max="102" width="9.6640625" style="10" customWidth="1"/>
    <col min="103" max="103" width="11.44140625" style="10" customWidth="1"/>
    <col min="104" max="105" width="12.6640625" style="10" customWidth="1"/>
    <col min="106" max="106" width="11.44140625" style="10" customWidth="1"/>
    <col min="107" max="107" width="9.6640625" style="10" customWidth="1"/>
    <col min="108" max="109" width="11.44140625" style="10" customWidth="1"/>
    <col min="110" max="110" width="12.6640625" style="10" customWidth="1"/>
    <col min="111" max="112" width="11.44140625" style="10" customWidth="1"/>
    <col min="113" max="115" width="10" style="10" customWidth="1"/>
    <col min="116" max="116" width="9" style="10" customWidth="1"/>
    <col min="117" max="117" width="9.44140625" style="10" customWidth="1"/>
    <col min="118" max="124" width="15.44140625" style="10" customWidth="1"/>
    <col min="125" max="125" width="10.33203125" style="10" customWidth="1"/>
    <col min="126" max="129" width="15.44140625" style="10" customWidth="1"/>
    <col min="130" max="130" width="10.109375" style="10" customWidth="1"/>
    <col min="131" max="131" width="10.33203125" style="10" customWidth="1"/>
    <col min="132" max="132" width="15.44140625" style="10" customWidth="1"/>
    <col min="133" max="133" width="12.6640625" style="10" customWidth="1"/>
    <col min="134" max="134" width="15.44140625" style="10" customWidth="1"/>
    <col min="135" max="135" width="12.6640625" style="10" customWidth="1"/>
    <col min="136" max="136" width="11.44140625" style="10" customWidth="1"/>
    <col min="137" max="138" width="9.6640625" style="10" customWidth="1"/>
    <col min="139" max="139" width="10.109375" style="10" customWidth="1"/>
    <col min="140" max="140" width="12.6640625" style="10" customWidth="1"/>
    <col min="141" max="141" width="11.44140625" style="10" customWidth="1"/>
    <col min="142" max="142" width="10.33203125" style="10" customWidth="1"/>
    <col min="143" max="143" width="12.6640625" style="10" customWidth="1"/>
    <col min="144" max="144" width="9.109375" style="10" customWidth="1"/>
    <col min="145" max="145" width="15.44140625" style="10" customWidth="1"/>
    <col min="146" max="146" width="9.109375" style="10" customWidth="1"/>
    <col min="147" max="148" width="14" style="10" customWidth="1"/>
    <col min="149" max="149" width="10" style="10" customWidth="1"/>
    <col min="150" max="150" width="11.44140625" style="10" customWidth="1"/>
    <col min="151" max="151" width="9.6640625" style="10" customWidth="1"/>
    <col min="152" max="152" width="9" style="10" customWidth="1"/>
    <col min="153" max="153" width="15.44140625" style="10" customWidth="1"/>
    <col min="154" max="154" width="9.109375" style="10" customWidth="1"/>
    <col min="155" max="155" width="14.33203125" style="10" customWidth="1"/>
    <col min="156" max="159" width="12.6640625" style="10" customWidth="1"/>
    <col min="160" max="160" width="11.44140625" style="10" customWidth="1"/>
    <col min="161" max="161" width="9.6640625" style="10" customWidth="1"/>
    <col min="162" max="162" width="12.6640625" style="10" customWidth="1"/>
    <col min="163" max="164" width="9.6640625" style="10" customWidth="1"/>
    <col min="165" max="166" width="11.44140625" style="10" customWidth="1"/>
    <col min="167" max="167" width="10" style="10" customWidth="1"/>
    <col min="168" max="168" width="9.6640625" style="10" customWidth="1"/>
    <col min="169" max="169" width="9.33203125" style="10" customWidth="1"/>
    <col min="170" max="171" width="2.44140625" style="10" customWidth="1"/>
    <col min="172" max="172" width="15.33203125" style="10" customWidth="1"/>
    <col min="173" max="173" width="9.109375" style="10" customWidth="1"/>
    <col min="174" max="174" width="11.44140625" style="10" customWidth="1"/>
    <col min="175" max="176" width="9.6640625" style="10" customWidth="1"/>
    <col min="177" max="177" width="11.44140625" style="10" customWidth="1"/>
    <col min="178" max="178" width="9.6640625" style="10" customWidth="1"/>
    <col min="179" max="179" width="15.44140625" style="10" customWidth="1"/>
    <col min="180" max="180" width="9.109375" style="10" customWidth="1"/>
    <col min="181" max="181" width="15.44140625" style="10" customWidth="1"/>
    <col min="182" max="182" width="11.44140625" style="10" customWidth="1"/>
    <col min="183" max="183" width="15.44140625" style="10" customWidth="1"/>
    <col min="184" max="184" width="6.33203125" style="10" customWidth="1"/>
    <col min="185" max="185" width="15.44140625" style="10" customWidth="1"/>
    <col min="186" max="186" width="9.109375" style="10" customWidth="1"/>
    <col min="187" max="187" width="15.44140625" style="10" customWidth="1"/>
    <col min="188" max="188" width="10.33203125" style="10" customWidth="1"/>
    <col min="189" max="189" width="9.6640625" style="10" customWidth="1"/>
    <col min="190" max="190" width="9.33203125" style="10" customWidth="1"/>
    <col min="191" max="191" width="9.6640625" style="10" customWidth="1"/>
    <col min="192" max="192" width="15.44140625" style="10" customWidth="1"/>
    <col min="193" max="193" width="10.33203125" style="10" customWidth="1"/>
    <col min="194" max="194" width="6.33203125" style="10" customWidth="1"/>
    <col min="195" max="195" width="15.44140625" style="10" customWidth="1"/>
    <col min="196" max="196" width="9.109375" style="10" customWidth="1"/>
    <col min="197" max="197" width="15.44140625" style="10" customWidth="1"/>
    <col min="198" max="198" width="11.44140625" style="10" customWidth="1"/>
    <col min="199" max="199" width="10.33203125" style="10" customWidth="1"/>
    <col min="200" max="200" width="11.44140625" style="10" customWidth="1"/>
    <col min="201" max="201" width="15.44140625" style="10" customWidth="1"/>
    <col min="202" max="202" width="6.33203125" style="10" customWidth="1"/>
    <col min="203" max="203" width="15.44140625" style="10" customWidth="1"/>
    <col min="204" max="204" width="9.109375" style="10" customWidth="1"/>
    <col min="205" max="206" width="11.44140625" style="10" customWidth="1"/>
    <col min="207" max="207" width="9.6640625" style="10" customWidth="1"/>
    <col min="208" max="208" width="15.44140625" style="10" customWidth="1"/>
    <col min="209" max="209" width="9.109375" style="10" customWidth="1"/>
    <col min="210" max="211" width="15.44140625" style="10" customWidth="1"/>
    <col min="212" max="212" width="9.109375" style="10" customWidth="1"/>
    <col min="213" max="213" width="15.44140625" style="10" customWidth="1"/>
    <col min="214" max="214" width="9.109375" style="10" customWidth="1"/>
    <col min="215" max="215" width="15.44140625" style="10" customWidth="1"/>
    <col min="216" max="216" width="10.33203125" style="10" customWidth="1"/>
    <col min="217" max="217" width="9.6640625" style="10" customWidth="1"/>
    <col min="218" max="219" width="15.44140625" style="10" customWidth="1"/>
    <col min="220" max="220" width="9.109375" style="10" customWidth="1"/>
    <col min="221" max="222" width="15.44140625" style="10" customWidth="1"/>
    <col min="223" max="223" width="9.109375" style="10" customWidth="1"/>
    <col min="224" max="225" width="15.44140625" style="10" customWidth="1"/>
    <col min="226" max="226" width="9.109375" style="10" customWidth="1"/>
    <col min="227" max="227" width="9.33203125" style="10" customWidth="1"/>
    <col min="228" max="228" width="9.109375" style="10" customWidth="1"/>
    <col min="229" max="229" width="14.109375" style="10" customWidth="1"/>
    <col min="230" max="230" width="9.109375" style="10" customWidth="1"/>
    <col min="231" max="231" width="9.33203125" style="10" customWidth="1"/>
    <col min="232" max="232" width="9.109375" style="10" customWidth="1"/>
    <col min="233" max="233" width="14.109375" style="10" customWidth="1"/>
    <col min="234" max="234" width="9.109375" style="10" customWidth="1"/>
    <col min="235" max="235" width="12.6640625" style="10" customWidth="1"/>
    <col min="236" max="236" width="9.33203125" style="10" customWidth="1"/>
    <col min="237" max="239" width="12.6640625" style="10" customWidth="1"/>
    <col min="240" max="244" width="9.109375" style="10" customWidth="1"/>
    <col min="245" max="16384" width="9.109375" style="10"/>
  </cols>
  <sheetData>
    <row r="1" spans="1:69" s="7" customFormat="1" ht="13.8" hidden="1" customHeight="1" x14ac:dyDescent="0.3">
      <c r="A1" s="1"/>
      <c r="B1" s="2"/>
      <c r="C1" s="3"/>
      <c r="D1" s="4"/>
      <c r="E1" s="4"/>
      <c r="F1" s="2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9" s="7" customFormat="1" ht="13.8" hidden="1" customHeight="1" x14ac:dyDescent="0.3">
      <c r="A2" s="1"/>
      <c r="B2" s="2"/>
      <c r="C2" s="3"/>
      <c r="D2" s="4"/>
      <c r="E2" s="4"/>
      <c r="F2" s="2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69" ht="25.2" customHeight="1" thickBot="1" x14ac:dyDescent="0.35">
      <c r="A3" s="8" t="s">
        <v>0</v>
      </c>
      <c r="H3" s="9">
        <f>J8/H8</f>
        <v>1.3268882384699887</v>
      </c>
      <c r="I3" s="9"/>
      <c r="J3" s="9">
        <f>J8/I8</f>
        <v>1.1441349820654239</v>
      </c>
      <c r="K3" s="9">
        <f>M8/K8</f>
        <v>1.3229254494018621</v>
      </c>
      <c r="L3" s="9"/>
      <c r="M3" s="9">
        <f>M8/L8</f>
        <v>1.0953741272230897</v>
      </c>
      <c r="N3" s="9">
        <f>P8/N8</f>
        <v>1.2867246925901106</v>
      </c>
      <c r="O3" s="9"/>
      <c r="P3" s="9">
        <f>P8/O8</f>
        <v>1.151802533297196</v>
      </c>
      <c r="Q3" s="9">
        <f>S8/Q8</f>
        <v>1.0723064702658922</v>
      </c>
      <c r="R3" s="9"/>
      <c r="S3" s="9">
        <f>S8/R8</f>
        <v>0.96535500000688357</v>
      </c>
      <c r="T3" s="9">
        <f>V8/T8</f>
        <v>1.1036903595019385</v>
      </c>
      <c r="U3" s="9"/>
      <c r="V3" s="9">
        <f>V8/U8</f>
        <v>1.0048975334020123</v>
      </c>
      <c r="W3" s="9">
        <f>Y8/W8</f>
        <v>1.1529955185543561</v>
      </c>
      <c r="X3" s="9"/>
      <c r="Y3" s="9">
        <f>Y8/X8</f>
        <v>1.1023658121638489</v>
      </c>
      <c r="Z3" s="9">
        <f>AB8/Z8</f>
        <v>0.30276892496318136</v>
      </c>
      <c r="AA3" s="9"/>
      <c r="AB3" s="9">
        <f>AB8/AA8</f>
        <v>0.27079479971483483</v>
      </c>
      <c r="AC3" s="9">
        <f>AE8/AC8</f>
        <v>6.8014265782327266E-3</v>
      </c>
      <c r="AD3" s="9"/>
      <c r="AE3" s="9">
        <f>AE8/AD8</f>
        <v>6.1394411603130404E-3</v>
      </c>
      <c r="AF3" s="9">
        <f>AH8/AF8</f>
        <v>0</v>
      </c>
      <c r="AG3" s="9"/>
      <c r="AH3" s="9">
        <f>AH8/AG8</f>
        <v>0</v>
      </c>
      <c r="AI3" s="9">
        <f>AK8/AI8</f>
        <v>0</v>
      </c>
      <c r="AJ3" s="9"/>
      <c r="AK3" s="9">
        <f>AK8/AJ8</f>
        <v>0</v>
      </c>
      <c r="AL3" s="9">
        <f>AN8/AL8</f>
        <v>8.649046851370433E-3</v>
      </c>
      <c r="AM3" s="9"/>
      <c r="AN3" s="9">
        <f>AN8/AM8</f>
        <v>7.8265494218484281E-3</v>
      </c>
      <c r="AO3" s="9">
        <f>AQ8/AO8</f>
        <v>0</v>
      </c>
      <c r="AP3" s="9"/>
      <c r="AQ3" s="9">
        <f>AQ8/AP8</f>
        <v>0</v>
      </c>
      <c r="AR3" s="9">
        <f ca="1">AT8/AR8</f>
        <v>1.201432222337814</v>
      </c>
      <c r="AS3" s="9"/>
      <c r="AT3" s="9">
        <f ca="1">AT8/AS8</f>
        <v>1.0744417069644552</v>
      </c>
      <c r="AU3" s="9">
        <f>AW8/AU8</f>
        <v>0.54593072194522951</v>
      </c>
      <c r="AV3" s="9"/>
      <c r="AW3" s="9">
        <f>AW8/AV8</f>
        <v>0.50588150527988729</v>
      </c>
      <c r="AX3" s="9">
        <f>AZ8/AX8</f>
        <v>1.309137251944825</v>
      </c>
      <c r="AY3" s="9"/>
      <c r="AZ3" s="9">
        <f>AZ8/AY8</f>
        <v>1.1318405686706192</v>
      </c>
      <c r="BA3" s="9">
        <f>BC8/BA8</f>
        <v>1.1093338142032363</v>
      </c>
      <c r="BB3" s="9"/>
      <c r="BC3" s="9">
        <f>BC8/BB8</f>
        <v>1.0221340864619275</v>
      </c>
      <c r="BD3" s="9">
        <f>BF8/BD8</f>
        <v>0.11116753009884592</v>
      </c>
      <c r="BE3" s="9"/>
      <c r="BF3" s="9">
        <f>BF8/BE8</f>
        <v>9.9190947861233933E-2</v>
      </c>
      <c r="BG3" s="9">
        <f>BI8/BG8</f>
        <v>2.406607812294361E-3</v>
      </c>
      <c r="BH3" s="9"/>
      <c r="BI3" s="9">
        <f>BI8/BH8</f>
        <v>2.4290623023965423E-3</v>
      </c>
    </row>
    <row r="4" spans="1:69" s="14" customFormat="1" ht="18.600000000000001" customHeight="1" thickBot="1" x14ac:dyDescent="0.4">
      <c r="A4" s="11"/>
      <c r="B4" s="5"/>
      <c r="C4" s="12"/>
      <c r="D4" s="13"/>
      <c r="E4" s="13"/>
      <c r="F4" s="5"/>
      <c r="G4" s="5"/>
      <c r="H4" s="462">
        <v>46023</v>
      </c>
      <c r="I4" s="463"/>
      <c r="J4" s="464"/>
      <c r="K4" s="462">
        <v>46054</v>
      </c>
      <c r="L4" s="463"/>
      <c r="M4" s="464"/>
      <c r="N4" s="462">
        <v>46082</v>
      </c>
      <c r="O4" s="463"/>
      <c r="P4" s="464"/>
      <c r="Q4" s="462">
        <v>46113</v>
      </c>
      <c r="R4" s="463"/>
      <c r="S4" s="464"/>
      <c r="T4" s="462">
        <v>46143</v>
      </c>
      <c r="U4" s="463"/>
      <c r="V4" s="464"/>
      <c r="W4" s="462">
        <v>46174</v>
      </c>
      <c r="X4" s="463"/>
      <c r="Y4" s="464"/>
      <c r="Z4" s="462">
        <v>46204</v>
      </c>
      <c r="AA4" s="463"/>
      <c r="AB4" s="464"/>
      <c r="AC4" s="462">
        <v>46235</v>
      </c>
      <c r="AD4" s="463"/>
      <c r="AE4" s="464"/>
      <c r="AF4" s="462">
        <v>46266</v>
      </c>
      <c r="AG4" s="463"/>
      <c r="AH4" s="464"/>
      <c r="AI4" s="462">
        <v>46296</v>
      </c>
      <c r="AJ4" s="463"/>
      <c r="AK4" s="464"/>
      <c r="AL4" s="462">
        <v>46327</v>
      </c>
      <c r="AM4" s="463"/>
      <c r="AN4" s="464"/>
      <c r="AO4" s="462">
        <v>46357</v>
      </c>
      <c r="AP4" s="463"/>
      <c r="AQ4" s="464"/>
      <c r="AR4" s="457" t="s">
        <v>1</v>
      </c>
      <c r="AS4" s="458"/>
      <c r="AT4" s="459"/>
      <c r="AU4" s="457" t="s">
        <v>2</v>
      </c>
      <c r="AV4" s="458"/>
      <c r="AW4" s="459"/>
      <c r="AX4" s="457" t="s">
        <v>3</v>
      </c>
      <c r="AY4" s="458"/>
      <c r="AZ4" s="459"/>
      <c r="BA4" s="457" t="s">
        <v>4</v>
      </c>
      <c r="BB4" s="458"/>
      <c r="BC4" s="459"/>
      <c r="BD4" s="457" t="s">
        <v>5</v>
      </c>
      <c r="BE4" s="458"/>
      <c r="BF4" s="459"/>
      <c r="BG4" s="457" t="s">
        <v>6</v>
      </c>
      <c r="BH4" s="458"/>
      <c r="BI4" s="459"/>
    </row>
    <row r="5" spans="1:69" s="14" customFormat="1" ht="18.600000000000001" hidden="1" customHeight="1" thickBot="1" x14ac:dyDescent="0.4">
      <c r="A5" s="90"/>
      <c r="B5" s="5"/>
      <c r="C5" s="12"/>
      <c r="D5" s="13"/>
      <c r="E5" s="13"/>
      <c r="F5" s="5"/>
      <c r="G5" s="5"/>
      <c r="H5" s="453">
        <v>1</v>
      </c>
      <c r="I5" s="454">
        <v>1</v>
      </c>
      <c r="J5" s="450">
        <f>MONTH(H4)</f>
        <v>1</v>
      </c>
      <c r="K5" s="453">
        <v>2</v>
      </c>
      <c r="L5" s="454">
        <v>2</v>
      </c>
      <c r="M5" s="450">
        <v>2</v>
      </c>
      <c r="N5" s="453">
        <v>3</v>
      </c>
      <c r="O5" s="454">
        <v>3</v>
      </c>
      <c r="P5" s="450">
        <v>3</v>
      </c>
      <c r="Q5" s="453">
        <v>4</v>
      </c>
      <c r="R5" s="454">
        <v>4</v>
      </c>
      <c r="S5" s="450">
        <f>MONTH(Q4)</f>
        <v>4</v>
      </c>
      <c r="T5" s="453">
        <v>5</v>
      </c>
      <c r="U5" s="454">
        <v>5</v>
      </c>
      <c r="V5" s="450">
        <f>MONTH(T4)</f>
        <v>5</v>
      </c>
      <c r="W5" s="453">
        <v>6</v>
      </c>
      <c r="X5" s="454">
        <v>6</v>
      </c>
      <c r="Y5" s="450">
        <f>MONTH(W4)</f>
        <v>6</v>
      </c>
      <c r="Z5" s="453">
        <v>7</v>
      </c>
      <c r="AA5" s="454">
        <v>7</v>
      </c>
      <c r="AB5" s="450">
        <f>MONTH(Z4)</f>
        <v>7</v>
      </c>
      <c r="AC5" s="453">
        <v>8</v>
      </c>
      <c r="AD5" s="454">
        <v>8</v>
      </c>
      <c r="AE5" s="450">
        <f>MONTH(AC4)</f>
        <v>8</v>
      </c>
      <c r="AF5" s="453">
        <v>9</v>
      </c>
      <c r="AG5" s="454">
        <v>9</v>
      </c>
      <c r="AH5" s="450">
        <f>MONTH(AF4)</f>
        <v>9</v>
      </c>
      <c r="AI5" s="453">
        <v>10</v>
      </c>
      <c r="AJ5" s="454">
        <v>10</v>
      </c>
      <c r="AK5" s="450">
        <f>MONTH(AI4)</f>
        <v>10</v>
      </c>
      <c r="AL5" s="453">
        <v>11</v>
      </c>
      <c r="AM5" s="454">
        <v>11</v>
      </c>
      <c r="AN5" s="450">
        <f>MONTH(AL4)</f>
        <v>11</v>
      </c>
      <c r="AO5" s="453">
        <v>12</v>
      </c>
      <c r="AP5" s="454">
        <v>12</v>
      </c>
      <c r="AQ5" s="450">
        <f>MONTH(AO4)</f>
        <v>12</v>
      </c>
      <c r="AR5" s="449"/>
      <c r="AS5" s="449"/>
      <c r="AT5" s="449"/>
      <c r="AU5" s="449"/>
      <c r="AV5" s="449"/>
      <c r="AW5" s="449"/>
      <c r="AX5" s="449"/>
      <c r="AY5" s="449"/>
      <c r="AZ5" s="449"/>
      <c r="BA5" s="449"/>
      <c r="BB5" s="449"/>
      <c r="BC5" s="449"/>
      <c r="BD5" s="449"/>
      <c r="BE5" s="449"/>
      <c r="BF5" s="449"/>
      <c r="BG5" s="449"/>
      <c r="BH5" s="449"/>
      <c r="BI5" s="449"/>
    </row>
    <row r="6" spans="1:69" ht="15" customHeight="1" thickBot="1" x14ac:dyDescent="0.35">
      <c r="A6" s="15"/>
      <c r="E6" s="16"/>
      <c r="F6" s="17"/>
      <c r="H6" s="238" t="s">
        <v>7</v>
      </c>
      <c r="I6" s="231" t="s">
        <v>8</v>
      </c>
      <c r="J6" s="239" t="s">
        <v>9</v>
      </c>
      <c r="K6" s="238" t="s">
        <v>7</v>
      </c>
      <c r="L6" s="231" t="s">
        <v>8</v>
      </c>
      <c r="M6" s="239" t="s">
        <v>9</v>
      </c>
      <c r="N6" s="238" t="s">
        <v>7</v>
      </c>
      <c r="O6" s="231" t="s">
        <v>8</v>
      </c>
      <c r="P6" s="239" t="s">
        <v>9</v>
      </c>
      <c r="Q6" s="238" t="s">
        <v>7</v>
      </c>
      <c r="R6" s="231" t="s">
        <v>8</v>
      </c>
      <c r="S6" s="239" t="s">
        <v>9</v>
      </c>
      <c r="T6" s="238" t="s">
        <v>7</v>
      </c>
      <c r="U6" s="231" t="s">
        <v>8</v>
      </c>
      <c r="V6" s="239" t="s">
        <v>9</v>
      </c>
      <c r="W6" s="238" t="s">
        <v>7</v>
      </c>
      <c r="X6" s="231" t="s">
        <v>8</v>
      </c>
      <c r="Y6" s="239" t="s">
        <v>9</v>
      </c>
      <c r="Z6" s="238" t="s">
        <v>7</v>
      </c>
      <c r="AA6" s="231" t="s">
        <v>8</v>
      </c>
      <c r="AB6" s="239" t="s">
        <v>9</v>
      </c>
      <c r="AC6" s="238" t="s">
        <v>7</v>
      </c>
      <c r="AD6" s="231" t="s">
        <v>8</v>
      </c>
      <c r="AE6" s="239" t="s">
        <v>9</v>
      </c>
      <c r="AF6" s="238" t="s">
        <v>7</v>
      </c>
      <c r="AG6" s="231" t="s">
        <v>8</v>
      </c>
      <c r="AH6" s="239" t="s">
        <v>9</v>
      </c>
      <c r="AI6" s="238" t="s">
        <v>7</v>
      </c>
      <c r="AJ6" s="231" t="s">
        <v>8</v>
      </c>
      <c r="AK6" s="239" t="s">
        <v>9</v>
      </c>
      <c r="AL6" s="238" t="s">
        <v>7</v>
      </c>
      <c r="AM6" s="231" t="s">
        <v>8</v>
      </c>
      <c r="AN6" s="239" t="s">
        <v>9</v>
      </c>
      <c r="AO6" s="238" t="s">
        <v>7</v>
      </c>
      <c r="AP6" s="231" t="s">
        <v>8</v>
      </c>
      <c r="AQ6" s="239" t="s">
        <v>9</v>
      </c>
      <c r="AR6" s="238">
        <v>2025</v>
      </c>
      <c r="AS6" s="231" t="s">
        <v>8</v>
      </c>
      <c r="AT6" s="239" t="s">
        <v>10</v>
      </c>
      <c r="AU6" s="238">
        <v>2025</v>
      </c>
      <c r="AV6" s="231" t="s">
        <v>8</v>
      </c>
      <c r="AW6" s="239" t="s">
        <v>10</v>
      </c>
      <c r="AX6" s="238" t="s">
        <v>7</v>
      </c>
      <c r="AY6" s="231" t="s">
        <v>8</v>
      </c>
      <c r="AZ6" s="239" t="s">
        <v>9</v>
      </c>
      <c r="BA6" s="238" t="s">
        <v>7</v>
      </c>
      <c r="BB6" s="231" t="s">
        <v>8</v>
      </c>
      <c r="BC6" s="239" t="s">
        <v>9</v>
      </c>
      <c r="BD6" s="238" t="s">
        <v>7</v>
      </c>
      <c r="BE6" s="231" t="s">
        <v>8</v>
      </c>
      <c r="BF6" s="239" t="s">
        <v>9</v>
      </c>
      <c r="BG6" s="238" t="s">
        <v>7</v>
      </c>
      <c r="BH6" s="231" t="s">
        <v>8</v>
      </c>
      <c r="BI6" s="239" t="s">
        <v>9</v>
      </c>
    </row>
    <row r="7" spans="1:69" s="426" customFormat="1" hidden="1" x14ac:dyDescent="0.3">
      <c r="A7" s="420"/>
      <c r="B7" s="421"/>
      <c r="C7" s="422"/>
      <c r="D7" s="423"/>
      <c r="E7" s="423"/>
      <c r="F7" s="421"/>
      <c r="G7" s="421"/>
      <c r="H7" s="424">
        <v>45658</v>
      </c>
      <c r="I7" s="421">
        <v>46023</v>
      </c>
      <c r="J7" s="425"/>
      <c r="K7" s="424">
        <v>45689</v>
      </c>
      <c r="L7" s="421">
        <v>46054</v>
      </c>
      <c r="M7" s="425"/>
      <c r="N7" s="424">
        <v>45717</v>
      </c>
      <c r="O7" s="421"/>
      <c r="P7" s="425"/>
      <c r="Q7" s="424">
        <v>45748</v>
      </c>
      <c r="R7" s="421"/>
      <c r="S7" s="425"/>
      <c r="T7" s="424">
        <v>45778</v>
      </c>
      <c r="U7" s="421"/>
      <c r="V7" s="425"/>
      <c r="W7" s="424">
        <v>45809</v>
      </c>
      <c r="X7" s="421"/>
      <c r="Y7" s="425"/>
      <c r="Z7" s="424">
        <v>45839</v>
      </c>
      <c r="AA7" s="421"/>
      <c r="AB7" s="425"/>
      <c r="AC7" s="424">
        <v>45870</v>
      </c>
      <c r="AD7" s="421"/>
      <c r="AE7" s="425"/>
      <c r="AF7" s="424">
        <v>45901</v>
      </c>
      <c r="AG7" s="421"/>
      <c r="AH7" s="425"/>
      <c r="AI7" s="424">
        <v>45931</v>
      </c>
      <c r="AJ7" s="421"/>
      <c r="AK7" s="425"/>
      <c r="AL7" s="424">
        <v>45962</v>
      </c>
      <c r="AM7" s="421"/>
      <c r="AN7" s="425"/>
      <c r="AO7" s="424">
        <v>45992</v>
      </c>
      <c r="AP7" s="421"/>
      <c r="AQ7" s="425"/>
      <c r="AR7" s="424"/>
      <c r="AS7" s="421"/>
      <c r="AT7" s="425"/>
      <c r="AU7" s="424"/>
      <c r="AV7" s="421"/>
      <c r="AW7" s="425"/>
      <c r="AX7" s="424"/>
      <c r="AY7" s="421"/>
      <c r="AZ7" s="425"/>
      <c r="BA7" s="424"/>
      <c r="BB7" s="421"/>
      <c r="BC7" s="425"/>
      <c r="BD7" s="424"/>
      <c r="BE7" s="421"/>
      <c r="BF7" s="425"/>
      <c r="BG7" s="424"/>
      <c r="BH7" s="421"/>
      <c r="BI7" s="425"/>
    </row>
    <row r="8" spans="1:69" x14ac:dyDescent="0.3">
      <c r="A8" s="19" t="s">
        <v>11</v>
      </c>
      <c r="C8" s="460" t="s">
        <v>12</v>
      </c>
      <c r="D8" s="461"/>
      <c r="E8" s="461"/>
      <c r="F8" s="17"/>
      <c r="H8" s="240">
        <v>304316.7</v>
      </c>
      <c r="I8" s="20">
        <v>352925.35962064512</v>
      </c>
      <c r="J8" s="21">
        <f>SUM(J9:J19)+SUMIFS(Aut_Ajustes_Manuais!$G:$G,Aut_Ajustes_Manuais!$I:$I,DRE!H$4,Aut_Ajustes_Manuais!$F:$F,"FATURAMENTO BRUTO")</f>
        <v>403794.25000000006</v>
      </c>
      <c r="K8" s="240">
        <v>320349.14</v>
      </c>
      <c r="L8" s="20">
        <v>386897.97345714289</v>
      </c>
      <c r="M8" s="21">
        <f>SUM(M9:M19)+SUMIFS(Aut_Ajustes_Manuais!$G:$G,Aut_Ajustes_Manuais!$I:$I,DRE!K$4,Aut_Ajustes_Manuais!$F:$F,"FATURAMENTO BRUTO")</f>
        <v>423798.03</v>
      </c>
      <c r="N8" s="240">
        <v>438100.74</v>
      </c>
      <c r="O8" s="20">
        <v>489419.86469354841</v>
      </c>
      <c r="P8" s="21">
        <f>SUM(P9:P19)+SUMIFS(Aut_Ajustes_Manuais!$G:$G,Aut_Ajustes_Manuais!$I:$I,DRE!N$4,Aut_Ajustes_Manuais!$F:$F,"FATURAMENTO BRUTO")</f>
        <v>563715.03999999992</v>
      </c>
      <c r="Q8" s="240">
        <v>417221.03000000009</v>
      </c>
      <c r="R8" s="20">
        <v>463444.85707000003</v>
      </c>
      <c r="S8" s="21">
        <f>SUM(S9:S19)+SUMIFS(Aut_Ajustes_Manuais!$G:$G,Aut_Ajustes_Manuais!$I:$I,DRE!Q$4,Aut_Ajustes_Manuais!$F:$F,"FATURAMENTO BRUTO")</f>
        <v>447388.81000000006</v>
      </c>
      <c r="T8" s="240">
        <v>417809.43</v>
      </c>
      <c r="U8" s="20">
        <v>458884.83618709672</v>
      </c>
      <c r="V8" s="21">
        <f>SUM(V9:V19)+SUMIFS(Aut_Ajustes_Manuais!$G:$G,Aut_Ajustes_Manuais!$I:$I,DRE!T$4,Aut_Ajustes_Manuais!$F:$F,"FATURAMENTO BRUTO")</f>
        <v>461132.24</v>
      </c>
      <c r="W8" s="240">
        <v>407828.22</v>
      </c>
      <c r="X8" s="20">
        <v>426559.04674419347</v>
      </c>
      <c r="Y8" s="21">
        <f>SUM(Y9:Y19)+SUMIFS(Aut_Ajustes_Manuais!$G:$G,Aut_Ajustes_Manuais!$I:$I,DRE!W$4,Aut_Ajustes_Manuais!$F:$F,"FATURAMENTO BRUTO")</f>
        <v>470224.11</v>
      </c>
      <c r="Z8" s="240">
        <v>498918.54</v>
      </c>
      <c r="AA8" s="20">
        <v>557828.40054193523</v>
      </c>
      <c r="AB8" s="21">
        <f>SUM(AB9:AB19)+SUMIFS(Aut_Ajustes_Manuais!$G:$G,Aut_Ajustes_Manuais!$I:$I,DRE!Z$4,Aut_Ajustes_Manuais!$F:$F,"FATURAMENTO BRUTO")</f>
        <v>151057.03</v>
      </c>
      <c r="AC8" s="240">
        <v>476370.65</v>
      </c>
      <c r="AD8" s="20">
        <v>527735.32889999996</v>
      </c>
      <c r="AE8" s="21">
        <f>SUM(AE9:AE19)+SUMIFS(Aut_Ajustes_Manuais!$G:$G,Aut_Ajustes_Manuais!$I:$I,DRE!AC$4,Aut_Ajustes_Manuais!$F:$F,"FATURAMENTO BRUTO")</f>
        <v>3240</v>
      </c>
      <c r="AF8" s="240">
        <v>412679.31</v>
      </c>
      <c r="AG8" s="20">
        <v>469991.82604946219</v>
      </c>
      <c r="AH8" s="21">
        <f>SUM(AH9:AH19)+SUMIFS(Aut_Ajustes_Manuais!$G:$G,Aut_Ajustes_Manuais!$I:$I,DRE!AF$4,Aut_Ajustes_Manuais!$F:$F,"FATURAMENTO BRUTO")</f>
        <v>0</v>
      </c>
      <c r="AI8" s="240">
        <v>420160.77</v>
      </c>
      <c r="AJ8" s="20">
        <v>485353.77326532238</v>
      </c>
      <c r="AK8" s="21">
        <f>SUM(AK9:AK19)+SUMIFS(Aut_Ajustes_Manuais!$G:$G,Aut_Ajustes_Manuais!$I:$I,DRE!AI$4,Aut_Ajustes_Manuais!$F:$F,"FATURAMENTO BRUTO")</f>
        <v>0</v>
      </c>
      <c r="AL8" s="240">
        <v>464791.1</v>
      </c>
      <c r="AM8" s="20">
        <v>513636.31446290412</v>
      </c>
      <c r="AN8" s="21">
        <f>SUM(AN9:AN19)+SUMIFS(Aut_Ajustes_Manuais!$G:$G,Aut_Ajustes_Manuais!$I:$I,DRE!AL$4,Aut_Ajustes_Manuais!$F:$F,"FATURAMENTO BRUTO")</f>
        <v>4020</v>
      </c>
      <c r="AO8" s="240">
        <v>785449.09000000008</v>
      </c>
      <c r="AP8" s="20">
        <v>655969.522008345</v>
      </c>
      <c r="AQ8" s="21">
        <f>SUM(AQ9:AQ19)+SUMIFS(Aut_Ajustes_Manuais!$G:$G,Aut_Ajustes_Manuais!$I:$I,DRE!AO$4,Aut_Ajustes_Manuais!$F:$F,"FATURAMENTO BRUTO")</f>
        <v>0</v>
      </c>
      <c r="AR8" s="240">
        <f t="shared" ref="AR8:BI8" ca="1" si="0">SUM(AR9:AR19)</f>
        <v>2305625.2599999998</v>
      </c>
      <c r="AS8" s="20">
        <f t="shared" ca="1" si="0"/>
        <v>2578131.937772627</v>
      </c>
      <c r="AT8" s="21">
        <f t="shared" ca="1" si="0"/>
        <v>2770052.48</v>
      </c>
      <c r="AU8" s="240">
        <f t="shared" si="0"/>
        <v>5363994.7200000007</v>
      </c>
      <c r="AV8" s="20">
        <f t="shared" si="0"/>
        <v>5788647.1030005952</v>
      </c>
      <c r="AW8" s="21">
        <f t="shared" si="0"/>
        <v>2928369.51</v>
      </c>
      <c r="AX8" s="240">
        <f t="shared" si="0"/>
        <v>1062766.58</v>
      </c>
      <c r="AY8" s="20">
        <f t="shared" si="0"/>
        <v>1229243.1977713367</v>
      </c>
      <c r="AZ8" s="21">
        <f t="shared" si="0"/>
        <v>1391307.32</v>
      </c>
      <c r="BA8" s="240">
        <f t="shared" si="0"/>
        <v>1242858.6800000002</v>
      </c>
      <c r="BB8" s="20">
        <f t="shared" si="0"/>
        <v>1348888.7400012906</v>
      </c>
      <c r="BC8" s="21">
        <f t="shared" si="0"/>
        <v>1378745.1599999997</v>
      </c>
      <c r="BD8" s="240">
        <f t="shared" si="0"/>
        <v>1387968.4999999998</v>
      </c>
      <c r="BE8" s="20">
        <f t="shared" si="0"/>
        <v>1555555.5554913976</v>
      </c>
      <c r="BF8" s="21">
        <f t="shared" si="0"/>
        <v>154297.03</v>
      </c>
      <c r="BG8" s="240">
        <f t="shared" si="0"/>
        <v>1670400.96</v>
      </c>
      <c r="BH8" s="20">
        <f t="shared" si="0"/>
        <v>1654959.6097365716</v>
      </c>
      <c r="BI8" s="21">
        <f t="shared" si="0"/>
        <v>4020</v>
      </c>
    </row>
    <row r="9" spans="1:69" s="29" customFormat="1" hidden="1" outlineLevel="1" x14ac:dyDescent="0.3">
      <c r="A9" s="22" t="s">
        <v>13</v>
      </c>
      <c r="B9" s="23"/>
      <c r="C9" s="24" t="s">
        <v>14</v>
      </c>
      <c r="D9" s="24" t="s">
        <v>15</v>
      </c>
      <c r="E9" s="25"/>
      <c r="F9" s="26"/>
      <c r="G9" s="427"/>
      <c r="H9" s="241">
        <v>167488.9</v>
      </c>
      <c r="I9" s="27">
        <v>171694.41775483871</v>
      </c>
      <c r="J9" s="28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>216675.30000000005</v>
      </c>
      <c r="K9" s="241">
        <v>165460.20000000001</v>
      </c>
      <c r="L9" s="27">
        <v>176726.188758</v>
      </c>
      <c r="M9" s="28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>214752.3</v>
      </c>
      <c r="N9" s="241">
        <v>220206.7</v>
      </c>
      <c r="O9" s="27">
        <v>232412.4439775807</v>
      </c>
      <c r="P9" s="28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>261771.60499999992</v>
      </c>
      <c r="Q9" s="241">
        <v>220424.3</v>
      </c>
      <c r="R9" s="27">
        <v>205727.83424540001</v>
      </c>
      <c r="S9" s="28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>213867.50000000003</v>
      </c>
      <c r="T9" s="241">
        <v>225799.6</v>
      </c>
      <c r="U9" s="27">
        <v>221438.02873529031</v>
      </c>
      <c r="V9" s="28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>193155.19999999995</v>
      </c>
      <c r="W9" s="241">
        <v>219222.9</v>
      </c>
      <c r="X9" s="27">
        <v>198471.86286719999</v>
      </c>
      <c r="Y9" s="28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>207321.29999999996</v>
      </c>
      <c r="Z9" s="241">
        <v>254931.7</v>
      </c>
      <c r="AA9" s="27">
        <v>245208.42541032241</v>
      </c>
      <c r="AB9" s="28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>60693.5</v>
      </c>
      <c r="AC9" s="241">
        <v>261255.8</v>
      </c>
      <c r="AD9" s="27">
        <v>258746.47393064521</v>
      </c>
      <c r="AE9" s="28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>-17079.510000000002</v>
      </c>
      <c r="AF9" s="241">
        <v>223276.345</v>
      </c>
      <c r="AG9" s="27">
        <v>215856.63103333319</v>
      </c>
      <c r="AH9" s="28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>0</v>
      </c>
      <c r="AI9" s="241">
        <v>213035.3</v>
      </c>
      <c r="AJ9" s="27">
        <v>199896.1858064516</v>
      </c>
      <c r="AK9" s="28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>0</v>
      </c>
      <c r="AL9" s="241">
        <v>246158.19</v>
      </c>
      <c r="AM9" s="27">
        <v>209534.13686096281</v>
      </c>
      <c r="AN9" s="28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>0</v>
      </c>
      <c r="AO9" s="241">
        <v>233357.37899999999</v>
      </c>
      <c r="AP9" s="27">
        <v>218652.16749877951</v>
      </c>
      <c r="AQ9" s="28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>0</v>
      </c>
      <c r="AR9" s="241">
        <f t="shared" ref="AR9:AR20" ca="1" si="1">SUMIFS($H9:$AO9,$H$5:$AO$5,"&lt;"&amp;MONTH(TODAY()),$H$6:$AO$6,"REAL 25")</f>
        <v>1218602.6000000001</v>
      </c>
      <c r="AS9" s="27">
        <f t="shared" ref="AS9:AS20" ca="1" si="2">SUMIFS($I9:$AP9,$I$5:$AP$5,"&lt;"&amp;MONTH(TODAY()),$I$6:$AP$6,"ORÇADO ")</f>
        <v>1206470.7763383097</v>
      </c>
      <c r="AT9" s="28">
        <f t="shared" ref="AT9:AT20" ca="1" si="3">SUMIFS($J9:$AQ9,$J$5:$AQ$5,"&lt;"&amp;MONTH(TODAY()),$J$6:$AQ$6,"REAL 26")</f>
        <v>1307543.2049999998</v>
      </c>
      <c r="AU9" s="241">
        <f t="shared" ref="AU9:AU19" si="4">SUM(H9,K9,N9,Q9,T9,W9,Z9,AC9,AF9,AI9,AL9,AO9)</f>
        <v>2650617.3140000002</v>
      </c>
      <c r="AV9" s="27">
        <f t="shared" ref="AV9:AV19" si="5">SUM(I9,L9,O9,R9,U9,X9,AA9,AD9,AG9,AJ9,AM9,AP9)</f>
        <v>2554364.7968788045</v>
      </c>
      <c r="AW9" s="28">
        <f t="shared" ref="AW9:AW19" si="6">SUM(J9,M9,P9,S9,V9,Y9,AB9,AE9,AH9,AK9,AN9,AQ9)</f>
        <v>1351157.1949999998</v>
      </c>
      <c r="AX9" s="241">
        <f t="shared" ref="AX9:AX19" si="7">SUM(H9,K9,N9)</f>
        <v>553155.80000000005</v>
      </c>
      <c r="AY9" s="27">
        <f t="shared" ref="AY9:AY19" si="8">SUM(I9,L9,O9)</f>
        <v>580833.05049041938</v>
      </c>
      <c r="AZ9" s="28">
        <f t="shared" ref="AZ9:AZ19" si="9">SUM(J9,M9,P9)</f>
        <v>693199.20499999996</v>
      </c>
      <c r="BA9" s="241">
        <f t="shared" ref="BA9:BA19" si="10">SUM(Q9,T9,W9)</f>
        <v>665446.80000000005</v>
      </c>
      <c r="BB9" s="27">
        <f t="shared" ref="BB9:BB19" si="11">SUM(R9,U9,X9)</f>
        <v>625637.72584789037</v>
      </c>
      <c r="BC9" s="28">
        <f t="shared" ref="BC9:BC19" si="12">SUM(S9,V9,Y9)</f>
        <v>614343.99999999988</v>
      </c>
      <c r="BD9" s="241">
        <f t="shared" ref="BD9:BD19" si="13">SUM(Z9,AC9,AF9)</f>
        <v>739463.84499999997</v>
      </c>
      <c r="BE9" s="27">
        <f t="shared" ref="BE9:BE19" si="14">SUM(AA9,AD9,AG9)</f>
        <v>719811.5303743009</v>
      </c>
      <c r="BF9" s="28">
        <f t="shared" ref="BF9:BF19" si="15">SUM(AB9,AE9,AH9)</f>
        <v>43613.99</v>
      </c>
      <c r="BG9" s="241">
        <f t="shared" ref="BG9:BG19" si="16">SUM(AI9,AL9,AO9)</f>
        <v>692550.86899999995</v>
      </c>
      <c r="BH9" s="27">
        <f t="shared" ref="BH9:BH19" si="17">SUM(AJ9,AM9,AP9)</f>
        <v>628082.49016619392</v>
      </c>
      <c r="BI9" s="28">
        <f t="shared" ref="BI9:BI19" si="18">SUM(AK9,AN9,AQ9)</f>
        <v>0</v>
      </c>
      <c r="BJ9" s="30"/>
      <c r="BK9" s="30"/>
      <c r="BL9" s="30"/>
      <c r="BM9" s="30"/>
      <c r="BN9" s="30"/>
      <c r="BO9" s="30"/>
      <c r="BP9" s="30"/>
      <c r="BQ9" s="30"/>
    </row>
    <row r="10" spans="1:69" s="29" customFormat="1" hidden="1" outlineLevel="1" x14ac:dyDescent="0.3">
      <c r="A10" s="22" t="s">
        <v>16</v>
      </c>
      <c r="B10" s="23"/>
      <c r="C10" s="24" t="s">
        <v>14</v>
      </c>
      <c r="D10" s="24" t="s">
        <v>15</v>
      </c>
      <c r="E10" s="25"/>
      <c r="F10" s="26"/>
      <c r="G10" s="427"/>
      <c r="H10" s="241">
        <v>83845.899999999994</v>
      </c>
      <c r="I10" s="27">
        <v>109099.34327741931</v>
      </c>
      <c r="J10" s="28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>88949.099999999977</v>
      </c>
      <c r="K10" s="241">
        <v>87610.6</v>
      </c>
      <c r="L10" s="27">
        <v>110806.8685834286</v>
      </c>
      <c r="M10" s="28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>110922.10000000002</v>
      </c>
      <c r="N10" s="241">
        <v>133040</v>
      </c>
      <c r="O10" s="27">
        <v>146335.3429241936</v>
      </c>
      <c r="P10" s="28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>117801.80499999998</v>
      </c>
      <c r="Q10" s="241">
        <v>100835.5</v>
      </c>
      <c r="R10" s="27">
        <v>128570.7038266</v>
      </c>
      <c r="S10" s="28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>108698.20000000003</v>
      </c>
      <c r="T10" s="241">
        <v>113223.9</v>
      </c>
      <c r="U10" s="27">
        <v>141701.4858948387</v>
      </c>
      <c r="V10" s="28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>93970.7</v>
      </c>
      <c r="W10" s="241">
        <v>104824.9</v>
      </c>
      <c r="X10" s="27">
        <v>124913.7174272</v>
      </c>
      <c r="Y10" s="28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>112574.09999999999</v>
      </c>
      <c r="Z10" s="241">
        <v>113748.6</v>
      </c>
      <c r="AA10" s="27">
        <v>149113.2346025806</v>
      </c>
      <c r="AB10" s="28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>32614</v>
      </c>
      <c r="AC10" s="241">
        <v>127922.2</v>
      </c>
      <c r="AD10" s="27">
        <v>165323.00453225811</v>
      </c>
      <c r="AE10" s="28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>-17079.510000000002</v>
      </c>
      <c r="AF10" s="241">
        <v>96204.755000000005</v>
      </c>
      <c r="AG10" s="27">
        <v>133014.028628</v>
      </c>
      <c r="AH10" s="28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>0</v>
      </c>
      <c r="AI10" s="241">
        <v>80053.5</v>
      </c>
      <c r="AJ10" s="27">
        <v>124279.7852903225</v>
      </c>
      <c r="AK10" s="28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>0</v>
      </c>
      <c r="AL10" s="241">
        <v>105810.49</v>
      </c>
      <c r="AM10" s="27">
        <v>133627.9200657898</v>
      </c>
      <c r="AN10" s="28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>0</v>
      </c>
      <c r="AO10" s="241">
        <v>149120.821</v>
      </c>
      <c r="AP10" s="27">
        <v>129946.6704321233</v>
      </c>
      <c r="AQ10" s="28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>0</v>
      </c>
      <c r="AR10" s="241">
        <f t="shared" ca="1" si="1"/>
        <v>623380.80000000005</v>
      </c>
      <c r="AS10" s="27">
        <f t="shared" ca="1" si="2"/>
        <v>761427.46193368011</v>
      </c>
      <c r="AT10" s="28">
        <f t="shared" ca="1" si="3"/>
        <v>632916.005</v>
      </c>
      <c r="AU10" s="241">
        <f t="shared" si="4"/>
        <v>1296241.166</v>
      </c>
      <c r="AV10" s="27">
        <f t="shared" si="5"/>
        <v>1596732.1054847543</v>
      </c>
      <c r="AW10" s="28">
        <f t="shared" si="6"/>
        <v>648450.495</v>
      </c>
      <c r="AX10" s="241">
        <f t="shared" si="7"/>
        <v>304496.5</v>
      </c>
      <c r="AY10" s="27">
        <f t="shared" si="8"/>
        <v>366241.55478504149</v>
      </c>
      <c r="AZ10" s="28">
        <f t="shared" si="9"/>
        <v>317673.005</v>
      </c>
      <c r="BA10" s="241">
        <f t="shared" si="10"/>
        <v>318884.3</v>
      </c>
      <c r="BB10" s="27">
        <f t="shared" si="11"/>
        <v>395185.90714863868</v>
      </c>
      <c r="BC10" s="28">
        <f t="shared" si="12"/>
        <v>315243</v>
      </c>
      <c r="BD10" s="241">
        <f t="shared" si="13"/>
        <v>337875.55499999999</v>
      </c>
      <c r="BE10" s="27">
        <f t="shared" si="14"/>
        <v>447450.26776283869</v>
      </c>
      <c r="BF10" s="28">
        <f t="shared" si="15"/>
        <v>15534.489999999998</v>
      </c>
      <c r="BG10" s="241">
        <f t="shared" si="16"/>
        <v>334984.81099999999</v>
      </c>
      <c r="BH10" s="27">
        <f t="shared" si="17"/>
        <v>387854.37578823557</v>
      </c>
      <c r="BI10" s="28">
        <f t="shared" si="18"/>
        <v>0</v>
      </c>
      <c r="BJ10" s="30"/>
      <c r="BK10" s="30"/>
      <c r="BL10" s="30"/>
      <c r="BM10" s="30"/>
      <c r="BN10" s="30"/>
      <c r="BO10" s="30"/>
      <c r="BP10" s="30"/>
      <c r="BQ10" s="30"/>
    </row>
    <row r="11" spans="1:69" s="29" customFormat="1" hidden="1" outlineLevel="1" x14ac:dyDescent="0.3">
      <c r="A11" s="22" t="s">
        <v>17</v>
      </c>
      <c r="B11" s="23"/>
      <c r="C11" s="24" t="s">
        <v>14</v>
      </c>
      <c r="D11" s="24" t="s">
        <v>15</v>
      </c>
      <c r="E11" s="25"/>
      <c r="F11" s="26"/>
      <c r="G11" s="427"/>
      <c r="H11" s="241">
        <v>4880</v>
      </c>
      <c r="I11" s="27">
        <v>4446.8364387096772</v>
      </c>
      <c r="J11" s="28">
        <f>SUMIFS(Aut_Faturamento_Zig!$F:$F,Aut_Faturamento_Zig!$E:$E,"Couvert",Aut_Faturamento_Zig!$D:$D,DRE!H$4)+SUMIFS(Aut_Ajustes_Manuais!$G:$G,Aut_Ajustes_Manuais!$I:$I,DRE!H$4,Aut_Ajustes_Manuais!$F:$F,"Artístico (couvert/shows)")</f>
        <v>3410</v>
      </c>
      <c r="K11" s="241">
        <v>4720</v>
      </c>
      <c r="L11" s="27">
        <v>4250.6777648571433</v>
      </c>
      <c r="M11" s="28">
        <f>SUMIFS(Aut_Faturamento_Zig!$F:$F,Aut_Faturamento_Zig!$E:$E,"Couvert",Aut_Faturamento_Zig!$D:$D,DRE!K$4)+SUMIFS(Aut_Ajustes_Manuais!$G:$G,Aut_Ajustes_Manuais!$I:$I,DRE!K$4,Aut_Ajustes_Manuais!$F:$F,"Artístico (couvert/shows)")</f>
        <v>10805</v>
      </c>
      <c r="N11" s="241">
        <v>8845</v>
      </c>
      <c r="O11" s="27">
        <v>5724.4706685483861</v>
      </c>
      <c r="P11" s="28">
        <f>SUMIFS(Aut_Faturamento_Zig!$F:$F,Aut_Faturamento_Zig!$E:$E,"Couvert",Aut_Faturamento_Zig!$D:$D,DRE!N$4)+SUMIFS(Aut_Ajustes_Manuais!$G:$G,Aut_Ajustes_Manuais!$I:$I,DRE!N$4,Aut_Ajustes_Manuais!$F:$F,"Artístico (couvert/shows)")</f>
        <v>4240</v>
      </c>
      <c r="Q11" s="241">
        <v>6200</v>
      </c>
      <c r="R11" s="27">
        <v>4856.1679896000014</v>
      </c>
      <c r="S11" s="28">
        <f>SUMIFS(Aut_Faturamento_Zig!$F:$F,Aut_Faturamento_Zig!$E:$E,"Couvert",Aut_Faturamento_Zig!$D:$D,DRE!Q$4)+SUMIFS(Aut_Ajustes_Manuais!$G:$G,Aut_Ajustes_Manuais!$I:$I,DRE!Q$4,Aut_Ajustes_Manuais!$F:$F,"Artístico (couvert/shows)")</f>
        <v>6515</v>
      </c>
      <c r="T11" s="241">
        <v>7020</v>
      </c>
      <c r="U11" s="27">
        <v>5952.9420145161293</v>
      </c>
      <c r="V11" s="28">
        <f>SUMIFS(Aut_Faturamento_Zig!$F:$F,Aut_Faturamento_Zig!$E:$E,"Couvert",Aut_Faturamento_Zig!$D:$D,DRE!T$4)+SUMIFS(Aut_Ajustes_Manuais!$G:$G,Aut_Ajustes_Manuais!$I:$I,DRE!T$4,Aut_Ajustes_Manuais!$F:$F,"Artístico (couvert/shows)")</f>
        <v>6530</v>
      </c>
      <c r="W11" s="241">
        <v>5860</v>
      </c>
      <c r="X11" s="27">
        <v>4877.2281792000003</v>
      </c>
      <c r="Y11" s="28">
        <f>SUMIFS(Aut_Faturamento_Zig!$F:$F,Aut_Faturamento_Zig!$E:$E,"Couvert",Aut_Faturamento_Zig!$D:$D,DRE!W$4)+SUMIFS(Aut_Ajustes_Manuais!$G:$G,Aut_Ajustes_Manuais!$I:$I,DRE!W$4,Aut_Ajustes_Manuais!$F:$F,"Artístico (couvert/shows)")</f>
        <v>3735</v>
      </c>
      <c r="Z11" s="241">
        <v>6980</v>
      </c>
      <c r="AA11" s="27">
        <v>4882.8016799999987</v>
      </c>
      <c r="AB11" s="28">
        <f>SUMIFS(Aut_Faturamento_Zig!$F:$F,Aut_Faturamento_Zig!$E:$E,"Couvert",Aut_Faturamento_Zig!$D:$D,DRE!Z$4)+SUMIFS(Aut_Ajustes_Manuais!$G:$G,Aut_Ajustes_Manuais!$I:$I,DRE!Z$4,Aut_Ajustes_Manuais!$F:$F,"Artístico (couvert/shows)")</f>
        <v>1785</v>
      </c>
      <c r="AC11" s="241">
        <v>8120</v>
      </c>
      <c r="AD11" s="27">
        <v>6900.5291370967734</v>
      </c>
      <c r="AE11" s="28">
        <f>SUMIFS(Aut_Faturamento_Zig!$F:$F,Aut_Faturamento_Zig!$E:$E,"Couvert",Aut_Faturamento_Zig!$D:$D,DRE!AC$4)+SUMIFS(Aut_Ajustes_Manuais!$G:$G,Aut_Ajustes_Manuais!$I:$I,DRE!AC$4,Aut_Ajustes_Manuais!$F:$F,"Artístico (couvert/shows)")</f>
        <v>0</v>
      </c>
      <c r="AF11" s="241">
        <v>5370</v>
      </c>
      <c r="AG11" s="27">
        <v>4681.7936879999988</v>
      </c>
      <c r="AH11" s="28">
        <f>SUMIFS(Aut_Faturamento_Zig!$F:$F,Aut_Faturamento_Zig!$E:$E,"Couvert",Aut_Faturamento_Zig!$D:$D,DRE!AF$4)+SUMIFS(Aut_Ajustes_Manuais!$G:$G,Aut_Ajustes_Manuais!$I:$I,DRE!AF$4,Aut_Ajustes_Manuais!$F:$F,"Artístico (couvert/shows)")</f>
        <v>0</v>
      </c>
      <c r="AI11" s="241">
        <v>6790</v>
      </c>
      <c r="AJ11" s="27">
        <v>4576.858838709677</v>
      </c>
      <c r="AK11" s="28">
        <f>SUMIFS(Aut_Faturamento_Zig!$F:$F,Aut_Faturamento_Zig!$E:$E,"Couvert",Aut_Faturamento_Zig!$D:$D,DRE!AI$4)+SUMIFS(Aut_Ajustes_Manuais!$G:$G,Aut_Ajustes_Manuais!$I:$I,DRE!AI$4,Aut_Ajustes_Manuais!$F:$F,"Artístico (couvert/shows)")</f>
        <v>0</v>
      </c>
      <c r="AL11" s="241">
        <v>10610</v>
      </c>
      <c r="AM11" s="27">
        <v>5532.9795641823566</v>
      </c>
      <c r="AN11" s="28">
        <f>SUMIFS(Aut_Faturamento_Zig!$F:$F,Aut_Faturamento_Zig!$E:$E,"Couvert",Aut_Faturamento_Zig!$D:$D,DRE!AL$4)+SUMIFS(Aut_Ajustes_Manuais!$G:$G,Aut_Ajustes_Manuais!$I:$I,DRE!AL$4,Aut_Ajustes_Manuais!$F:$F,"Artístico (couvert/shows)")</f>
        <v>0</v>
      </c>
      <c r="AO11" s="241">
        <v>10890</v>
      </c>
      <c r="AP11" s="27">
        <v>3692.7274311074389</v>
      </c>
      <c r="AQ11" s="28">
        <f>SUMIFS(Aut_Faturamento_Zig!$F:$F,Aut_Faturamento_Zig!$E:$E,"Couvert",Aut_Faturamento_Zig!$D:$D,DRE!AO$4)+SUMIFS(Aut_Ajustes_Manuais!$G:$G,Aut_Ajustes_Manuais!$I:$I,DRE!AO$4,Aut_Ajustes_Manuais!$F:$F,"Artístico (couvert/shows)")</f>
        <v>0</v>
      </c>
      <c r="AR11" s="241">
        <f t="shared" ca="1" si="1"/>
        <v>37525</v>
      </c>
      <c r="AS11" s="27">
        <f t="shared" ca="1" si="2"/>
        <v>30108.323055431341</v>
      </c>
      <c r="AT11" s="28">
        <f t="shared" ca="1" si="3"/>
        <v>35235</v>
      </c>
      <c r="AU11" s="241">
        <f t="shared" si="4"/>
        <v>86285</v>
      </c>
      <c r="AV11" s="27">
        <f t="shared" si="5"/>
        <v>60376.013394527581</v>
      </c>
      <c r="AW11" s="28">
        <f t="shared" si="6"/>
        <v>37020</v>
      </c>
      <c r="AX11" s="241">
        <f t="shared" si="7"/>
        <v>18445</v>
      </c>
      <c r="AY11" s="27">
        <f t="shared" si="8"/>
        <v>14421.984872115208</v>
      </c>
      <c r="AZ11" s="28">
        <f t="shared" si="9"/>
        <v>18455</v>
      </c>
      <c r="BA11" s="241">
        <f t="shared" si="10"/>
        <v>19080</v>
      </c>
      <c r="BB11" s="27">
        <f t="shared" si="11"/>
        <v>15686.338183316129</v>
      </c>
      <c r="BC11" s="28">
        <f t="shared" si="12"/>
        <v>16780</v>
      </c>
      <c r="BD11" s="241">
        <f t="shared" si="13"/>
        <v>20470</v>
      </c>
      <c r="BE11" s="27">
        <f t="shared" si="14"/>
        <v>16465.12450509677</v>
      </c>
      <c r="BF11" s="28">
        <f t="shared" si="15"/>
        <v>1785</v>
      </c>
      <c r="BG11" s="241">
        <f t="shared" si="16"/>
        <v>28290</v>
      </c>
      <c r="BH11" s="27">
        <f t="shared" si="17"/>
        <v>13802.565833999473</v>
      </c>
      <c r="BI11" s="28">
        <f t="shared" si="18"/>
        <v>0</v>
      </c>
      <c r="BJ11" s="30"/>
      <c r="BK11" s="30"/>
      <c r="BL11" s="30"/>
      <c r="BM11" s="30"/>
      <c r="BN11" s="30"/>
      <c r="BO11" s="30"/>
      <c r="BP11" s="30"/>
      <c r="BQ11" s="30"/>
    </row>
    <row r="12" spans="1:69" s="29" customFormat="1" hidden="1" outlineLevel="1" x14ac:dyDescent="0.3">
      <c r="A12" s="22" t="s">
        <v>18</v>
      </c>
      <c r="B12" s="23"/>
      <c r="C12" s="24" t="s">
        <v>14</v>
      </c>
      <c r="D12" s="24" t="s">
        <v>19</v>
      </c>
      <c r="E12" s="25"/>
      <c r="F12" s="26"/>
      <c r="G12" s="427"/>
      <c r="H12" s="241">
        <v>0</v>
      </c>
      <c r="I12" s="27"/>
      <c r="J12" s="28">
        <f>SUMIFS(Aut_Faturamento_Zig!$F:$F,Aut_Faturamento_Zig!$E:$E,"Gifts",Aut_Faturamento_Zig!$D:$D,DRE!H$4)+SUMIFS(Aut_Receitas_Extraord!$L:$L,Aut_Receitas_Extraord!$U:$U,DRE!H$4,Aut_Receitas_Extraord!$D:$D,"Lojinha")+SUMIFS(Aut_Ajustes_Manuais!$G:$G,Aut_Ajustes_Manuais!$I:$I,DRE!H$4,Aut_Ajustes_Manuais!$F:$F,"Gifts")</f>
        <v>0</v>
      </c>
      <c r="K12" s="241">
        <v>0</v>
      </c>
      <c r="L12" s="27"/>
      <c r="M12" s="28">
        <f>SUMIFS(Aut_Faturamento_Zig!$F:$F,Aut_Faturamento_Zig!$E:$E,"Gifts",Aut_Faturamento_Zig!$D:$D,DRE!K$4)+SUMIFS(Aut_Receitas_Extraord!$L:$L,Aut_Receitas_Extraord!$U:$U,DRE!K$4,Aut_Receitas_Extraord!$D:$D,"Lojinha")+SUMIFS(Aut_Ajustes_Manuais!$G:$G,Aut_Ajustes_Manuais!$I:$I,DRE!K$4,Aut_Ajustes_Manuais!$F:$F,"Gifts")</f>
        <v>0</v>
      </c>
      <c r="N12" s="241">
        <v>0</v>
      </c>
      <c r="O12" s="27"/>
      <c r="P12" s="28">
        <f>SUMIFS(Aut_Faturamento_Zig!$F:$F,Aut_Faturamento_Zig!$E:$E,"Gifts",Aut_Faturamento_Zig!$D:$D,DRE!N$4)+SUMIFS(Aut_Receitas_Extraord!$L:$L,Aut_Receitas_Extraord!$U:$U,DRE!N$4,Aut_Receitas_Extraord!$D:$D,"Lojinha")+SUMIFS(Aut_Ajustes_Manuais!$G:$G,Aut_Ajustes_Manuais!$I:$I,DRE!N$4,Aut_Ajustes_Manuais!$F:$F,"Gifts")</f>
        <v>0</v>
      </c>
      <c r="Q12" s="241">
        <v>0</v>
      </c>
      <c r="R12" s="27"/>
      <c r="S12" s="28">
        <f>SUMIFS(Aut_Faturamento_Zig!$F:$F,Aut_Faturamento_Zig!$E:$E,"Gifts",Aut_Faturamento_Zig!$D:$D,DRE!Q$4)+SUMIFS(Aut_Receitas_Extraord!$L:$L,Aut_Receitas_Extraord!$U:$U,DRE!Q$4,Aut_Receitas_Extraord!$D:$D,"Lojinha")+SUMIFS(Aut_Ajustes_Manuais!$G:$G,Aut_Ajustes_Manuais!$I:$I,DRE!Q$4,Aut_Ajustes_Manuais!$F:$F,"Gifts")</f>
        <v>0</v>
      </c>
      <c r="T12" s="241">
        <v>0</v>
      </c>
      <c r="U12" s="27"/>
      <c r="V12" s="28">
        <f>SUMIFS(Aut_Faturamento_Zig!$F:$F,Aut_Faturamento_Zig!$E:$E,"Gifts",Aut_Faturamento_Zig!$D:$D,DRE!T$4)+SUMIFS(Aut_Receitas_Extraord!$L:$L,Aut_Receitas_Extraord!$U:$U,DRE!T$4,Aut_Receitas_Extraord!$D:$D,"Lojinha")+SUMIFS(Aut_Ajustes_Manuais!$G:$G,Aut_Ajustes_Manuais!$I:$I,DRE!T$4,Aut_Ajustes_Manuais!$F:$F,"Gifts")</f>
        <v>0</v>
      </c>
      <c r="W12" s="241">
        <v>0</v>
      </c>
      <c r="X12" s="27"/>
      <c r="Y12" s="28">
        <f>SUMIFS(Aut_Faturamento_Zig!$F:$F,Aut_Faturamento_Zig!$E:$E,"Gifts",Aut_Faturamento_Zig!$D:$D,DRE!W$4)+SUMIFS(Aut_Receitas_Extraord!$L:$L,Aut_Receitas_Extraord!$U:$U,DRE!W$4,Aut_Receitas_Extraord!$D:$D,"Lojinha")+SUMIFS(Aut_Ajustes_Manuais!$G:$G,Aut_Ajustes_Manuais!$I:$I,DRE!W$4,Aut_Ajustes_Manuais!$F:$F,"Gifts")</f>
        <v>0</v>
      </c>
      <c r="Z12" s="241">
        <v>0</v>
      </c>
      <c r="AA12" s="27"/>
      <c r="AB12" s="28">
        <f>SUMIFS(Aut_Faturamento_Zig!$F:$F,Aut_Faturamento_Zig!$E:$E,"Gifts",Aut_Faturamento_Zig!$D:$D,DRE!Z$4)+SUMIFS(Aut_Receitas_Extraord!$L:$L,Aut_Receitas_Extraord!$U:$U,DRE!Z$4,Aut_Receitas_Extraord!$D:$D,"Lojinha")+SUMIFS(Aut_Ajustes_Manuais!$G:$G,Aut_Ajustes_Manuais!$I:$I,DRE!Z$4,Aut_Ajustes_Manuais!$F:$F,"Gifts")</f>
        <v>0</v>
      </c>
      <c r="AC12" s="241">
        <v>0</v>
      </c>
      <c r="AD12" s="27"/>
      <c r="AE12" s="28">
        <f>SUMIFS(Aut_Faturamento_Zig!$F:$F,Aut_Faturamento_Zig!$E:$E,"Gifts",Aut_Faturamento_Zig!$D:$D,DRE!AC$4)+SUMIFS(Aut_Receitas_Extraord!$L:$L,Aut_Receitas_Extraord!$U:$U,DRE!AC$4,Aut_Receitas_Extraord!$D:$D,"Lojinha")+SUMIFS(Aut_Ajustes_Manuais!$G:$G,Aut_Ajustes_Manuais!$I:$I,DRE!AC$4,Aut_Ajustes_Manuais!$F:$F,"Gifts")</f>
        <v>0</v>
      </c>
      <c r="AF12" s="241">
        <v>0</v>
      </c>
      <c r="AG12" s="27"/>
      <c r="AH12" s="28">
        <f>SUMIFS(Aut_Faturamento_Zig!$F:$F,Aut_Faturamento_Zig!$E:$E,"Gifts",Aut_Faturamento_Zig!$D:$D,DRE!AF$4)+SUMIFS(Aut_Receitas_Extraord!$L:$L,Aut_Receitas_Extraord!$U:$U,DRE!AF$4,Aut_Receitas_Extraord!$D:$D,"Lojinha")+SUMIFS(Aut_Ajustes_Manuais!$G:$G,Aut_Ajustes_Manuais!$I:$I,DRE!AF$4,Aut_Ajustes_Manuais!$F:$F,"Gifts")</f>
        <v>0</v>
      </c>
      <c r="AI12" s="241">
        <v>0</v>
      </c>
      <c r="AJ12" s="27"/>
      <c r="AK12" s="28">
        <f>SUMIFS(Aut_Faturamento_Zig!$F:$F,Aut_Faturamento_Zig!$E:$E,"Gifts",Aut_Faturamento_Zig!$D:$D,DRE!AI$4)+SUMIFS(Aut_Receitas_Extraord!$L:$L,Aut_Receitas_Extraord!$U:$U,DRE!AI$4,Aut_Receitas_Extraord!$D:$D,"Lojinha")+SUMIFS(Aut_Ajustes_Manuais!$G:$G,Aut_Ajustes_Manuais!$I:$I,DRE!AI$4,Aut_Ajustes_Manuais!$F:$F,"Gifts")</f>
        <v>0</v>
      </c>
      <c r="AL12" s="241">
        <v>0</v>
      </c>
      <c r="AM12" s="27"/>
      <c r="AN12" s="28">
        <f>SUMIFS(Aut_Faturamento_Zig!$F:$F,Aut_Faturamento_Zig!$E:$E,"Gifts",Aut_Faturamento_Zig!$D:$D,DRE!AL$4)+SUMIFS(Aut_Receitas_Extraord!$L:$L,Aut_Receitas_Extraord!$U:$U,DRE!AL$4,Aut_Receitas_Extraord!$D:$D,"Lojinha")+SUMIFS(Aut_Ajustes_Manuais!$G:$G,Aut_Ajustes_Manuais!$I:$I,DRE!AL$4,Aut_Ajustes_Manuais!$F:$F,"Gifts")</f>
        <v>0</v>
      </c>
      <c r="AO12" s="241">
        <v>0</v>
      </c>
      <c r="AP12" s="27"/>
      <c r="AQ12" s="28">
        <f>SUMIFS(Aut_Faturamento_Zig!$F:$F,Aut_Faturamento_Zig!$E:$E,"Gifts",Aut_Faturamento_Zig!$D:$D,DRE!AO$4)+SUMIFS(Aut_Receitas_Extraord!$L:$L,Aut_Receitas_Extraord!$U:$U,DRE!AO$4,Aut_Receitas_Extraord!$D:$D,"Lojinha")+SUMIFS(Aut_Ajustes_Manuais!$G:$G,Aut_Ajustes_Manuais!$I:$I,DRE!AO$4,Aut_Ajustes_Manuais!$F:$F,"Gifts")</f>
        <v>0</v>
      </c>
      <c r="AR12" s="241">
        <f t="shared" ca="1" si="1"/>
        <v>0</v>
      </c>
      <c r="AS12" s="27">
        <f t="shared" ca="1" si="2"/>
        <v>0</v>
      </c>
      <c r="AT12" s="28">
        <f t="shared" ca="1" si="3"/>
        <v>0</v>
      </c>
      <c r="AU12" s="241">
        <f t="shared" si="4"/>
        <v>0</v>
      </c>
      <c r="AV12" s="27">
        <f t="shared" si="5"/>
        <v>0</v>
      </c>
      <c r="AW12" s="28">
        <f t="shared" si="6"/>
        <v>0</v>
      </c>
      <c r="AX12" s="241">
        <f t="shared" si="7"/>
        <v>0</v>
      </c>
      <c r="AY12" s="27">
        <f t="shared" si="8"/>
        <v>0</v>
      </c>
      <c r="AZ12" s="28">
        <f t="shared" si="9"/>
        <v>0</v>
      </c>
      <c r="BA12" s="241">
        <f t="shared" si="10"/>
        <v>0</v>
      </c>
      <c r="BB12" s="27">
        <f t="shared" si="11"/>
        <v>0</v>
      </c>
      <c r="BC12" s="28">
        <f t="shared" si="12"/>
        <v>0</v>
      </c>
      <c r="BD12" s="241">
        <f t="shared" si="13"/>
        <v>0</v>
      </c>
      <c r="BE12" s="27">
        <f t="shared" si="14"/>
        <v>0</v>
      </c>
      <c r="BF12" s="28">
        <f t="shared" si="15"/>
        <v>0</v>
      </c>
      <c r="BG12" s="241">
        <f t="shared" si="16"/>
        <v>0</v>
      </c>
      <c r="BH12" s="27">
        <f t="shared" si="17"/>
        <v>0</v>
      </c>
      <c r="BI12" s="28">
        <f t="shared" si="18"/>
        <v>0</v>
      </c>
    </row>
    <row r="13" spans="1:69" s="29" customFormat="1" hidden="1" outlineLevel="1" x14ac:dyDescent="0.3">
      <c r="A13" s="22" t="s">
        <v>20</v>
      </c>
      <c r="B13" s="23"/>
      <c r="C13" s="24" t="s">
        <v>14</v>
      </c>
      <c r="D13" s="24" t="s">
        <v>21</v>
      </c>
      <c r="E13" s="25" t="s">
        <v>22</v>
      </c>
      <c r="F13" s="26"/>
      <c r="G13" s="427"/>
      <c r="H13" s="241">
        <v>31299.13</v>
      </c>
      <c r="I13" s="27">
        <v>40664.557749677413</v>
      </c>
      <c r="J13" s="28">
        <f>SUMIFS(Aut_Faturamento_Zig!$F:$F,Aut_Faturamento_Zig!$E:$E,"Serviço",Aut_Faturamento_Zig!$D:$D,DRE!H$4)+SUMIFS(Aut_Ajustes_Manuais!$G:$G,Aut_Ajustes_Manuais!$I:$I,DRE!H$4,Aut_Ajustes_Manuais!$F:$F,"Serviço")</f>
        <v>38712.569999999992</v>
      </c>
      <c r="K13" s="241">
        <v>32615.46</v>
      </c>
      <c r="L13" s="27">
        <v>39788.691150857143</v>
      </c>
      <c r="M13" s="28">
        <f>SUMIFS(Aut_Faturamento_Zig!$F:$F,Aut_Faturamento_Zig!$E:$E,"Serviço",Aut_Faturamento_Zig!$D:$D,DRE!K$4)+SUMIFS(Aut_Ajustes_Manuais!$G:$G,Aut_Ajustes_Manuais!$I:$I,DRE!K$4,Aut_Ajustes_Manuais!$F:$F,"Serviço")</f>
        <v>41506.12000000001</v>
      </c>
      <c r="N13" s="241">
        <v>43631.59</v>
      </c>
      <c r="O13" s="27">
        <v>52428.035123225804</v>
      </c>
      <c r="P13" s="28">
        <f>SUMIFS(Aut_Faturamento_Zig!$F:$F,Aut_Faturamento_Zig!$E:$E,"Serviço",Aut_Faturamento_Zig!$D:$D,DRE!N$4)+SUMIFS(Aut_Ajustes_Manuais!$G:$G,Aut_Ajustes_Manuais!$I:$I,DRE!N$4,Aut_Ajustes_Manuais!$F:$F,"Serviço")</f>
        <v>49431.540000000008</v>
      </c>
      <c r="Q13" s="241">
        <v>40058.959999999999</v>
      </c>
      <c r="R13" s="27">
        <v>46248.369008399997</v>
      </c>
      <c r="S13" s="28">
        <f>SUMIFS(Aut_Faturamento_Zig!$F:$F,Aut_Faturamento_Zig!$E:$E,"Serviço",Aut_Faturamento_Zig!$D:$D,DRE!Q$4)+SUMIFS(Aut_Ajustes_Manuais!$G:$G,Aut_Ajustes_Manuais!$I:$I,DRE!Q$4,Aut_Ajustes_Manuais!$F:$F,"Serviço")</f>
        <v>40835.889999999992</v>
      </c>
      <c r="T13" s="241">
        <v>42504.94</v>
      </c>
      <c r="U13" s="27">
        <v>50330.789542451617</v>
      </c>
      <c r="V13" s="28">
        <f>SUMIFS(Aut_Faturamento_Zig!$F:$F,Aut_Faturamento_Zig!$E:$E,"Serviço",Aut_Faturamento_Zig!$D:$D,DRE!T$4)+SUMIFS(Aut_Ajustes_Manuais!$G:$G,Aut_Ajustes_Manuais!$I:$I,DRE!T$4,Aut_Ajustes_Manuais!$F:$F,"Serviço")</f>
        <v>36231.19</v>
      </c>
      <c r="W13" s="241">
        <v>37858.399999999987</v>
      </c>
      <c r="X13" s="27">
        <v>44763.1102464</v>
      </c>
      <c r="Y13" s="28">
        <f>SUMIFS(Aut_Faturamento_Zig!$F:$F,Aut_Faturamento_Zig!$E:$E,"Serviço",Aut_Faturamento_Zig!$D:$D,DRE!W$4)+SUMIFS(Aut_Ajustes_Manuais!$G:$G,Aut_Ajustes_Manuais!$I:$I,DRE!W$4,Aut_Ajustes_Manuais!$F:$F,"Serviço")</f>
        <v>40120.160000000011</v>
      </c>
      <c r="Z13" s="241">
        <v>45917.779999999992</v>
      </c>
      <c r="AA13" s="27">
        <v>54436.972049032222</v>
      </c>
      <c r="AB13" s="28">
        <f>SUMIFS(Aut_Faturamento_Zig!$F:$F,Aut_Faturamento_Zig!$E:$E,"Serviço",Aut_Faturamento_Zig!$D:$D,DRE!Z$4)+SUMIFS(Aut_Ajustes_Manuais!$G:$G,Aut_Ajustes_Manuais!$I:$I,DRE!Z$4,Aut_Ajustes_Manuais!$F:$F,"Serviço")</f>
        <v>10858.580000000002</v>
      </c>
      <c r="AC13" s="241">
        <v>49008.92</v>
      </c>
      <c r="AD13" s="27">
        <v>58768.637399999978</v>
      </c>
      <c r="AE13" s="28">
        <f>SUMIFS(Aut_Faturamento_Zig!$F:$F,Aut_Faturamento_Zig!$E:$E,"Serviço",Aut_Faturamento_Zig!$D:$D,DRE!AC$4)+SUMIFS(Aut_Ajustes_Manuais!$G:$G,Aut_Ajustes_Manuais!$I:$I,DRE!AC$4,Aut_Ajustes_Manuais!$F:$F,"Serviço")</f>
        <v>0</v>
      </c>
      <c r="AF13" s="241">
        <v>39860.120000000003</v>
      </c>
      <c r="AG13" s="27">
        <v>48211.698183999993</v>
      </c>
      <c r="AH13" s="28">
        <f>SUMIFS(Aut_Faturamento_Zig!$F:$F,Aut_Faturamento_Zig!$E:$E,"Serviço",Aut_Faturamento_Zig!$D:$D,DRE!AF$4)+SUMIFS(Aut_Ajustes_Manuais!$G:$G,Aut_Ajustes_Manuais!$I:$I,DRE!AF$4,Aut_Ajustes_Manuais!$F:$F,"Serviço")</f>
        <v>0</v>
      </c>
      <c r="AI13" s="241">
        <v>37645.899999999987</v>
      </c>
      <c r="AJ13" s="27">
        <v>44829.9313548387</v>
      </c>
      <c r="AK13" s="28">
        <f>SUMIFS(Aut_Faturamento_Zig!$F:$F,Aut_Faturamento_Zig!$E:$E,"Serviço",Aut_Faturamento_Zig!$D:$D,DRE!AI$4)+SUMIFS(Aut_Ajustes_Manuais!$G:$G,Aut_Ajustes_Manuais!$I:$I,DRE!AI$4,Aut_Ajustes_Manuais!$F:$F,"Serviço")</f>
        <v>0</v>
      </c>
      <c r="AL13" s="241">
        <v>45404.87999999999</v>
      </c>
      <c r="AM13" s="27">
        <v>47549.323157854757</v>
      </c>
      <c r="AN13" s="28">
        <f>SUMIFS(Aut_Faturamento_Zig!$F:$F,Aut_Faturamento_Zig!$E:$E,"Serviço",Aut_Faturamento_Zig!$D:$D,DRE!AL$4)+SUMIFS(Aut_Ajustes_Manuais!$G:$G,Aut_Ajustes_Manuais!$I:$I,DRE!AL$4,Aut_Ajustes_Manuais!$F:$F,"Serviço")</f>
        <v>0</v>
      </c>
      <c r="AO13" s="241">
        <v>47289.489999999991</v>
      </c>
      <c r="AP13" s="27">
        <v>48039.758913001409</v>
      </c>
      <c r="AQ13" s="28">
        <f>SUMIFS(Aut_Faturamento_Zig!$F:$F,Aut_Faturamento_Zig!$E:$E,"Serviço",Aut_Faturamento_Zig!$D:$D,DRE!AO$4)+SUMIFS(Aut_Ajustes_Manuais!$G:$G,Aut_Ajustes_Manuais!$I:$I,DRE!AO$4,Aut_Ajustes_Manuais!$F:$F,"Serviço")</f>
        <v>0</v>
      </c>
      <c r="AR13" s="241">
        <f t="shared" ca="1" si="1"/>
        <v>227968.47999999998</v>
      </c>
      <c r="AS13" s="27">
        <f t="shared" ca="1" si="2"/>
        <v>274223.55282101198</v>
      </c>
      <c r="AT13" s="28">
        <f t="shared" ca="1" si="3"/>
        <v>246837.47</v>
      </c>
      <c r="AU13" s="241">
        <f t="shared" si="4"/>
        <v>493095.56999999989</v>
      </c>
      <c r="AV13" s="27">
        <f t="shared" si="5"/>
        <v>576059.87387973908</v>
      </c>
      <c r="AW13" s="28">
        <f t="shared" si="6"/>
        <v>257696.05</v>
      </c>
      <c r="AX13" s="241">
        <f t="shared" si="7"/>
        <v>107546.18</v>
      </c>
      <c r="AY13" s="27">
        <f t="shared" si="8"/>
        <v>132881.28402376035</v>
      </c>
      <c r="AZ13" s="28">
        <f t="shared" si="9"/>
        <v>129650.23000000001</v>
      </c>
      <c r="BA13" s="241">
        <f t="shared" si="10"/>
        <v>120422.29999999999</v>
      </c>
      <c r="BB13" s="27">
        <f t="shared" si="11"/>
        <v>141342.26879725163</v>
      </c>
      <c r="BC13" s="28">
        <f t="shared" si="12"/>
        <v>117187.23999999999</v>
      </c>
      <c r="BD13" s="241">
        <f t="shared" si="13"/>
        <v>134786.81999999998</v>
      </c>
      <c r="BE13" s="27">
        <f t="shared" si="14"/>
        <v>161417.30763303221</v>
      </c>
      <c r="BF13" s="28">
        <f t="shared" si="15"/>
        <v>10858.580000000002</v>
      </c>
      <c r="BG13" s="241">
        <f t="shared" si="16"/>
        <v>130340.26999999996</v>
      </c>
      <c r="BH13" s="27">
        <f t="shared" si="17"/>
        <v>140419.01342569487</v>
      </c>
      <c r="BI13" s="28">
        <f t="shared" si="18"/>
        <v>0</v>
      </c>
    </row>
    <row r="14" spans="1:69" s="29" customFormat="1" hidden="1" outlineLevel="1" x14ac:dyDescent="0.3">
      <c r="A14" s="22" t="s">
        <v>23</v>
      </c>
      <c r="B14" s="23"/>
      <c r="C14" s="24" t="s">
        <v>14</v>
      </c>
      <c r="D14" s="24" t="s">
        <v>24</v>
      </c>
      <c r="E14" s="25"/>
      <c r="F14" s="26"/>
      <c r="G14" s="427"/>
      <c r="H14" s="241">
        <v>3724.48</v>
      </c>
      <c r="I14" s="27">
        <v>10166.64768</v>
      </c>
      <c r="J14" s="28">
        <f>SUMIFS(BD_Eventos_Novo!$J:$J,BD_Eventos_Novo!$AB:$AB,DRE!H$4)+SUMIFS(BD_Eventos_Novo!$K:$K,BD_Eventos_Novo!$AB:$AB,DRE!H$4)+SUMIFS(Aut_Ajustes_Manuais!$G:$G,Aut_Ajustes_Manuais!$I:$I,DRE!H$4,Aut_Ajustes_Manuais!$F:$F,"Eventos A&amp;B")</f>
        <v>15000</v>
      </c>
      <c r="K14" s="241">
        <v>18949.8</v>
      </c>
      <c r="L14" s="27">
        <v>24487.906800000001</v>
      </c>
      <c r="M14" s="28">
        <f>SUMIFS(BD_Eventos_Novo!$J:$J,BD_Eventos_Novo!$AB:$AB,DRE!K$4)+SUMIFS(BD_Eventos_Novo!$K:$K,BD_Eventos_Novo!$AB:$AB,DRE!K$4)+SUMIFS(Aut_Ajustes_Manuais!$G:$G,Aut_Ajustes_Manuais!$I:$I,DRE!K$4,Aut_Ajustes_Manuais!$F:$F,"Eventos A&amp;B")</f>
        <v>1000</v>
      </c>
      <c r="N14" s="241">
        <v>13012</v>
      </c>
      <c r="O14" s="27">
        <v>22326.191999999999</v>
      </c>
      <c r="P14" s="28">
        <f>SUMIFS(BD_Eventos_Novo!$J:$J,BD_Eventos_Novo!$AB:$AB,DRE!N$4)+SUMIFS(BD_Eventos_Novo!$K:$K,BD_Eventos_Novo!$AB:$AB,DRE!N$4)+SUMIFS(Aut_Ajustes_Manuais!$G:$G,Aut_Ajustes_Manuais!$I:$I,DRE!N$4,Aut_Ajustes_Manuais!$F:$F,"Eventos A&amp;B")</f>
        <v>45868.32</v>
      </c>
      <c r="Q14" s="241">
        <v>31176.58</v>
      </c>
      <c r="R14" s="27">
        <v>39486.776280000013</v>
      </c>
      <c r="S14" s="28">
        <f>SUMIFS(BD_Eventos_Novo!$J:$J,BD_Eventos_Novo!$AB:$AB,DRE!Q$4)+SUMIFS(BD_Eventos_Novo!$K:$K,BD_Eventos_Novo!$AB:$AB,DRE!Q$4)+SUMIFS(Aut_Ajustes_Manuais!$G:$G,Aut_Ajustes_Manuais!$I:$I,DRE!Q$4,Aut_Ajustes_Manuais!$F:$F,"Eventos A&amp;B")</f>
        <v>0</v>
      </c>
      <c r="T14" s="241">
        <v>6500</v>
      </c>
      <c r="U14" s="27">
        <v>13234.2</v>
      </c>
      <c r="V14" s="28">
        <f>SUMIFS(BD_Eventos_Novo!$J:$J,BD_Eventos_Novo!$AB:$AB,DRE!T$4)+SUMIFS(BD_Eventos_Novo!$K:$K,BD_Eventos_Novo!$AB:$AB,DRE!T$4)+SUMIFS(Aut_Ajustes_Manuais!$G:$G,Aut_Ajustes_Manuais!$I:$I,DRE!T$4,Aut_Ajustes_Manuais!$F:$F,"Eventos A&amp;B")</f>
        <v>30036</v>
      </c>
      <c r="W14" s="241">
        <v>12400</v>
      </c>
      <c r="X14" s="27">
        <v>22894.2</v>
      </c>
      <c r="Y14" s="28">
        <f>SUMIFS(BD_Eventos_Novo!$J:$J,BD_Eventos_Novo!$AB:$AB,DRE!W$4)+SUMIFS(BD_Eventos_Novo!$K:$K,BD_Eventos_Novo!$AB:$AB,DRE!W$4)+SUMIFS(Aut_Ajustes_Manuais!$G:$G,Aut_Ajustes_Manuais!$I:$I,DRE!W$4,Aut_Ajustes_Manuais!$F:$F,"Eventos A&amp;B")</f>
        <v>3000</v>
      </c>
      <c r="Z14" s="241">
        <v>53437.72</v>
      </c>
      <c r="AA14" s="27">
        <v>56644.037519999998</v>
      </c>
      <c r="AB14" s="28">
        <f>SUMIFS(BD_Eventos_Novo!$J:$J,BD_Eventos_Novo!$AB:$AB,DRE!Z$4)+SUMIFS(BD_Eventos_Novo!$K:$K,BD_Eventos_Novo!$AB:$AB,DRE!Z$4)+SUMIFS(Aut_Ajustes_Manuais!$G:$G,Aut_Ajustes_Manuais!$I:$I,DRE!Z$4,Aut_Ajustes_Manuais!$F:$F,"Eventos A&amp;B")</f>
        <v>18000</v>
      </c>
      <c r="AC14" s="241">
        <v>2000</v>
      </c>
      <c r="AD14" s="27">
        <v>10143</v>
      </c>
      <c r="AE14" s="28">
        <f>SUMIFS(BD_Eventos_Novo!$J:$J,BD_Eventos_Novo!$AB:$AB,DRE!AC$4)+SUMIFS(BD_Eventos_Novo!$K:$K,BD_Eventos_Novo!$AB:$AB,DRE!AC$4)+SUMIFS(Aut_Ajustes_Manuais!$G:$G,Aut_Ajustes_Manuais!$I:$I,DRE!AC$4,Aut_Ajustes_Manuais!$F:$F,"Eventos A&amp;B")</f>
        <v>34159.020000000004</v>
      </c>
      <c r="AF14" s="241">
        <v>25219.9</v>
      </c>
      <c r="AG14" s="27">
        <v>34348.448400000001</v>
      </c>
      <c r="AH14" s="28">
        <f>SUMIFS(BD_Eventos_Novo!$J:$J,BD_Eventos_Novo!$AB:$AB,DRE!AF$4)+SUMIFS(BD_Eventos_Novo!$K:$K,BD_Eventos_Novo!$AB:$AB,DRE!AF$4)+SUMIFS(Aut_Ajustes_Manuais!$G:$G,Aut_Ajustes_Manuais!$I:$I,DRE!AF$4,Aut_Ajustes_Manuais!$F:$F,"Eventos A&amp;B")</f>
        <v>0</v>
      </c>
      <c r="AI14" s="241">
        <v>55945.58</v>
      </c>
      <c r="AJ14" s="27">
        <v>61229.91</v>
      </c>
      <c r="AK14" s="28">
        <f>SUMIFS(BD_Eventos_Novo!$J:$J,BD_Eventos_Novo!$AB:$AB,DRE!AI$4)+SUMIFS(BD_Eventos_Novo!$K:$K,BD_Eventos_Novo!$AB:$AB,DRE!AI$4)+SUMIFS(Aut_Ajustes_Manuais!$G:$G,Aut_Ajustes_Manuais!$I:$I,DRE!AI$4,Aut_Ajustes_Manuais!$F:$F,"Eventos A&amp;B")</f>
        <v>0</v>
      </c>
      <c r="AL14" s="241">
        <v>23650.02</v>
      </c>
      <c r="AM14" s="27">
        <v>64653.073879803531</v>
      </c>
      <c r="AN14" s="28">
        <f>SUMIFS(BD_Eventos_Novo!$J:$J,BD_Eventos_Novo!$AB:$AB,DRE!AL$4)+SUMIFS(BD_Eventos_Novo!$K:$K,BD_Eventos_Novo!$AB:$AB,DRE!AL$4)+SUMIFS(Aut_Ajustes_Manuais!$G:$G,Aut_Ajustes_Manuais!$I:$I,DRE!AL$4,Aut_Ajustes_Manuais!$F:$F,"Eventos A&amp;B")</f>
        <v>1500</v>
      </c>
      <c r="AO14" s="241">
        <v>294708.34000000003</v>
      </c>
      <c r="AP14" s="27">
        <v>160356</v>
      </c>
      <c r="AQ14" s="28">
        <f>SUMIFS(BD_Eventos_Novo!$J:$J,BD_Eventos_Novo!$AB:$AB,DRE!AO$4)+SUMIFS(BD_Eventos_Novo!$K:$K,BD_Eventos_Novo!$AB:$AB,DRE!AO$4)+SUMIFS(Aut_Ajustes_Manuais!$G:$G,Aut_Ajustes_Manuais!$I:$I,DRE!AO$4,Aut_Ajustes_Manuais!$F:$F,"Eventos A&amp;B")</f>
        <v>0</v>
      </c>
      <c r="AR14" s="241">
        <f t="shared" ca="1" si="1"/>
        <v>85762.86</v>
      </c>
      <c r="AS14" s="27">
        <f t="shared" ca="1" si="2"/>
        <v>132595.92276000002</v>
      </c>
      <c r="AT14" s="28">
        <f t="shared" ca="1" si="3"/>
        <v>94904.320000000007</v>
      </c>
      <c r="AU14" s="241">
        <f t="shared" si="4"/>
        <v>540724.42000000004</v>
      </c>
      <c r="AV14" s="27">
        <f t="shared" si="5"/>
        <v>519970.39255980356</v>
      </c>
      <c r="AW14" s="28">
        <f t="shared" si="6"/>
        <v>148563.34000000003</v>
      </c>
      <c r="AX14" s="241">
        <f t="shared" si="7"/>
        <v>35686.28</v>
      </c>
      <c r="AY14" s="27">
        <f t="shared" si="8"/>
        <v>56980.746480000002</v>
      </c>
      <c r="AZ14" s="28">
        <f t="shared" si="9"/>
        <v>61868.32</v>
      </c>
      <c r="BA14" s="241">
        <f t="shared" si="10"/>
        <v>50076.58</v>
      </c>
      <c r="BB14" s="27">
        <f t="shared" si="11"/>
        <v>75615.176280000014</v>
      </c>
      <c r="BC14" s="28">
        <f t="shared" si="12"/>
        <v>33036</v>
      </c>
      <c r="BD14" s="241">
        <f t="shared" si="13"/>
        <v>80657.62</v>
      </c>
      <c r="BE14" s="27">
        <f t="shared" si="14"/>
        <v>101135.48592000001</v>
      </c>
      <c r="BF14" s="28">
        <f t="shared" si="15"/>
        <v>52159.020000000004</v>
      </c>
      <c r="BG14" s="241">
        <f t="shared" si="16"/>
        <v>374303.94000000006</v>
      </c>
      <c r="BH14" s="27">
        <f t="shared" si="17"/>
        <v>286238.98387980356</v>
      </c>
      <c r="BI14" s="28">
        <f t="shared" si="18"/>
        <v>1500</v>
      </c>
    </row>
    <row r="15" spans="1:69" s="29" customFormat="1" hidden="1" outlineLevel="1" x14ac:dyDescent="0.3">
      <c r="A15" s="22" t="s">
        <v>25</v>
      </c>
      <c r="B15" s="23"/>
      <c r="C15" s="24" t="s">
        <v>14</v>
      </c>
      <c r="D15" s="24" t="s">
        <v>24</v>
      </c>
      <c r="E15" s="25"/>
      <c r="F15" s="26"/>
      <c r="G15" s="427"/>
      <c r="H15" s="241">
        <v>0</v>
      </c>
      <c r="I15" s="27">
        <v>147.34272000000001</v>
      </c>
      <c r="J15" s="28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>0</v>
      </c>
      <c r="K15" s="241">
        <v>0</v>
      </c>
      <c r="L15" s="27">
        <v>354.8972</v>
      </c>
      <c r="M15" s="28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>0</v>
      </c>
      <c r="N15" s="241">
        <v>0</v>
      </c>
      <c r="O15" s="27">
        <v>323.56799999999998</v>
      </c>
      <c r="P15" s="28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>0</v>
      </c>
      <c r="Q15" s="241">
        <v>0</v>
      </c>
      <c r="R15" s="27">
        <v>572.27211999999997</v>
      </c>
      <c r="S15" s="28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>0</v>
      </c>
      <c r="T15" s="241">
        <v>0</v>
      </c>
      <c r="U15" s="27">
        <v>191.8</v>
      </c>
      <c r="V15" s="28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>0</v>
      </c>
      <c r="W15" s="241">
        <v>0</v>
      </c>
      <c r="X15" s="27">
        <v>331.8</v>
      </c>
      <c r="Y15" s="28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>0</v>
      </c>
      <c r="Z15" s="241">
        <v>0</v>
      </c>
      <c r="AA15" s="27">
        <v>820.92808000000002</v>
      </c>
      <c r="AB15" s="28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>0</v>
      </c>
      <c r="AC15" s="241">
        <v>0</v>
      </c>
      <c r="AD15" s="27">
        <v>147</v>
      </c>
      <c r="AE15" s="28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>0</v>
      </c>
      <c r="AF15" s="241">
        <v>0</v>
      </c>
      <c r="AG15" s="27">
        <v>497.80360000000002</v>
      </c>
      <c r="AH15" s="28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>0</v>
      </c>
      <c r="AI15" s="241">
        <v>0</v>
      </c>
      <c r="AJ15" s="27">
        <v>887.39</v>
      </c>
      <c r="AK15" s="28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>0</v>
      </c>
      <c r="AL15" s="241">
        <v>1570</v>
      </c>
      <c r="AM15" s="27">
        <v>937.00107072179037</v>
      </c>
      <c r="AN15" s="28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>0</v>
      </c>
      <c r="AO15" s="241">
        <v>0</v>
      </c>
      <c r="AP15" s="27">
        <v>2324</v>
      </c>
      <c r="AQ15" s="28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>0</v>
      </c>
      <c r="AR15" s="241">
        <f t="shared" ca="1" si="1"/>
        <v>0</v>
      </c>
      <c r="AS15" s="27">
        <f t="shared" ca="1" si="2"/>
        <v>1921.6800399999997</v>
      </c>
      <c r="AT15" s="28">
        <f t="shared" ca="1" si="3"/>
        <v>0</v>
      </c>
      <c r="AU15" s="241">
        <f t="shared" si="4"/>
        <v>1570</v>
      </c>
      <c r="AV15" s="27">
        <f t="shared" si="5"/>
        <v>7535.8027907217911</v>
      </c>
      <c r="AW15" s="28">
        <f t="shared" si="6"/>
        <v>0</v>
      </c>
      <c r="AX15" s="241">
        <f t="shared" si="7"/>
        <v>0</v>
      </c>
      <c r="AY15" s="27">
        <f t="shared" si="8"/>
        <v>825.80791999999997</v>
      </c>
      <c r="AZ15" s="28">
        <f t="shared" si="9"/>
        <v>0</v>
      </c>
      <c r="BA15" s="241">
        <f t="shared" si="10"/>
        <v>0</v>
      </c>
      <c r="BB15" s="27">
        <f t="shared" si="11"/>
        <v>1095.87212</v>
      </c>
      <c r="BC15" s="28">
        <f t="shared" si="12"/>
        <v>0</v>
      </c>
      <c r="BD15" s="241">
        <f t="shared" si="13"/>
        <v>0</v>
      </c>
      <c r="BE15" s="27">
        <f t="shared" si="14"/>
        <v>1465.7316800000001</v>
      </c>
      <c r="BF15" s="28">
        <f t="shared" si="15"/>
        <v>0</v>
      </c>
      <c r="BG15" s="241">
        <f t="shared" si="16"/>
        <v>1570</v>
      </c>
      <c r="BH15" s="27">
        <f t="shared" si="17"/>
        <v>4148.3910707217901</v>
      </c>
      <c r="BI15" s="28">
        <f t="shared" si="18"/>
        <v>0</v>
      </c>
    </row>
    <row r="16" spans="1:69" s="29" customFormat="1" hidden="1" outlineLevel="1" x14ac:dyDescent="0.3">
      <c r="A16" s="22" t="s">
        <v>26</v>
      </c>
      <c r="B16" s="23"/>
      <c r="C16" s="24" t="s">
        <v>14</v>
      </c>
      <c r="D16" s="24" t="s">
        <v>24</v>
      </c>
      <c r="E16" s="25"/>
      <c r="F16" s="26"/>
      <c r="G16" s="427"/>
      <c r="H16" s="241">
        <v>6800</v>
      </c>
      <c r="I16" s="27">
        <v>4420.2816000000003</v>
      </c>
      <c r="J16" s="28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>3000</v>
      </c>
      <c r="K16" s="241">
        <v>6400</v>
      </c>
      <c r="L16" s="27">
        <v>10646.915999999999</v>
      </c>
      <c r="M16" s="28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>2600</v>
      </c>
      <c r="N16" s="241">
        <v>10100</v>
      </c>
      <c r="O16" s="27">
        <v>9707.0400000000009</v>
      </c>
      <c r="P16" s="28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>9800</v>
      </c>
      <c r="Q16" s="241">
        <v>9300</v>
      </c>
      <c r="R16" s="27">
        <v>17168.1636</v>
      </c>
      <c r="S16" s="28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>2520</v>
      </c>
      <c r="T16" s="241">
        <v>7200</v>
      </c>
      <c r="U16" s="27">
        <v>5754</v>
      </c>
      <c r="V16" s="28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>11030</v>
      </c>
      <c r="W16" s="241">
        <v>11300</v>
      </c>
      <c r="X16" s="27">
        <v>9954</v>
      </c>
      <c r="Y16" s="28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>4300</v>
      </c>
      <c r="Z16" s="241">
        <v>5200</v>
      </c>
      <c r="AA16" s="27">
        <v>24627.842400000001</v>
      </c>
      <c r="AB16" s="28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>2600</v>
      </c>
      <c r="AC16" s="241">
        <v>8500</v>
      </c>
      <c r="AD16" s="27">
        <v>4410</v>
      </c>
      <c r="AE16" s="28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>3240</v>
      </c>
      <c r="AF16" s="241">
        <v>10375</v>
      </c>
      <c r="AG16" s="27">
        <v>14934.108</v>
      </c>
      <c r="AH16" s="28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>0</v>
      </c>
      <c r="AI16" s="241">
        <v>7440</v>
      </c>
      <c r="AJ16" s="27">
        <v>26621.7</v>
      </c>
      <c r="AK16" s="28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>0</v>
      </c>
      <c r="AL16" s="241">
        <v>5800</v>
      </c>
      <c r="AM16" s="27">
        <v>28110.032121653709</v>
      </c>
      <c r="AN16" s="28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>2520</v>
      </c>
      <c r="AO16" s="241">
        <v>22980.15</v>
      </c>
      <c r="AP16" s="27">
        <v>69720</v>
      </c>
      <c r="AQ16" s="28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>0</v>
      </c>
      <c r="AR16" s="241">
        <f t="shared" ca="1" si="1"/>
        <v>51100</v>
      </c>
      <c r="AS16" s="27">
        <f t="shared" ca="1" si="2"/>
        <v>57650.4012</v>
      </c>
      <c r="AT16" s="28">
        <f t="shared" ca="1" si="3"/>
        <v>33250</v>
      </c>
      <c r="AU16" s="241">
        <f t="shared" si="4"/>
        <v>111395.15</v>
      </c>
      <c r="AV16" s="27">
        <f t="shared" si="5"/>
        <v>226074.0837216537</v>
      </c>
      <c r="AW16" s="28">
        <f t="shared" si="6"/>
        <v>41610</v>
      </c>
      <c r="AX16" s="241">
        <f t="shared" si="7"/>
        <v>23300</v>
      </c>
      <c r="AY16" s="27">
        <f t="shared" si="8"/>
        <v>24774.2376</v>
      </c>
      <c r="AZ16" s="28">
        <f t="shared" si="9"/>
        <v>15400</v>
      </c>
      <c r="BA16" s="241">
        <f t="shared" si="10"/>
        <v>27800</v>
      </c>
      <c r="BB16" s="27">
        <f t="shared" si="11"/>
        <v>32876.1636</v>
      </c>
      <c r="BC16" s="28">
        <f t="shared" si="12"/>
        <v>17850</v>
      </c>
      <c r="BD16" s="241">
        <f t="shared" si="13"/>
        <v>24075</v>
      </c>
      <c r="BE16" s="27">
        <f t="shared" si="14"/>
        <v>43971.950400000002</v>
      </c>
      <c r="BF16" s="28">
        <f t="shared" si="15"/>
        <v>5840</v>
      </c>
      <c r="BG16" s="241">
        <f t="shared" si="16"/>
        <v>36220.15</v>
      </c>
      <c r="BH16" s="27">
        <f t="shared" si="17"/>
        <v>124451.73212165371</v>
      </c>
      <c r="BI16" s="28">
        <f t="shared" si="18"/>
        <v>2520</v>
      </c>
    </row>
    <row r="17" spans="1:66" s="29" customFormat="1" hidden="1" outlineLevel="1" x14ac:dyDescent="0.3">
      <c r="A17" s="22" t="s">
        <v>27</v>
      </c>
      <c r="B17" s="23"/>
      <c r="C17" s="24" t="s">
        <v>14</v>
      </c>
      <c r="D17" s="31" t="s">
        <v>28</v>
      </c>
      <c r="E17" s="32"/>
      <c r="F17" s="26"/>
      <c r="G17" s="427"/>
      <c r="H17" s="241">
        <v>0</v>
      </c>
      <c r="I17" s="27"/>
      <c r="J17" s="28">
        <v>0</v>
      </c>
      <c r="K17" s="241">
        <v>0</v>
      </c>
      <c r="L17" s="27"/>
      <c r="M17" s="28">
        <v>0</v>
      </c>
      <c r="N17" s="241">
        <v>0</v>
      </c>
      <c r="O17" s="27"/>
      <c r="P17" s="28">
        <v>0</v>
      </c>
      <c r="Q17" s="241">
        <v>0</v>
      </c>
      <c r="R17" s="27"/>
      <c r="S17" s="28">
        <v>0</v>
      </c>
      <c r="T17" s="241">
        <v>0</v>
      </c>
      <c r="U17" s="27"/>
      <c r="V17" s="28">
        <v>0</v>
      </c>
      <c r="W17" s="241">
        <v>0</v>
      </c>
      <c r="X17" s="27"/>
      <c r="Y17" s="28">
        <v>0</v>
      </c>
      <c r="Z17" s="241">
        <v>0</v>
      </c>
      <c r="AA17" s="27"/>
      <c r="AB17" s="28">
        <v>0</v>
      </c>
      <c r="AC17" s="241">
        <v>0</v>
      </c>
      <c r="AD17" s="27"/>
      <c r="AE17" s="28">
        <v>0</v>
      </c>
      <c r="AF17" s="241">
        <v>0</v>
      </c>
      <c r="AG17" s="27"/>
      <c r="AH17" s="28">
        <v>0</v>
      </c>
      <c r="AI17" s="241">
        <v>0</v>
      </c>
      <c r="AJ17" s="27"/>
      <c r="AK17" s="28">
        <v>0</v>
      </c>
      <c r="AL17" s="241">
        <v>0</v>
      </c>
      <c r="AM17" s="27"/>
      <c r="AN17" s="28">
        <v>0</v>
      </c>
      <c r="AO17" s="241">
        <v>0</v>
      </c>
      <c r="AP17" s="27"/>
      <c r="AQ17" s="28">
        <v>0</v>
      </c>
      <c r="AR17" s="241">
        <f t="shared" ca="1" si="1"/>
        <v>0</v>
      </c>
      <c r="AS17" s="27">
        <f t="shared" ca="1" si="2"/>
        <v>0</v>
      </c>
      <c r="AT17" s="28">
        <f t="shared" ca="1" si="3"/>
        <v>0</v>
      </c>
      <c r="AU17" s="241">
        <f t="shared" si="4"/>
        <v>0</v>
      </c>
      <c r="AV17" s="27">
        <f t="shared" si="5"/>
        <v>0</v>
      </c>
      <c r="AW17" s="28">
        <f t="shared" si="6"/>
        <v>0</v>
      </c>
      <c r="AX17" s="241">
        <f t="shared" si="7"/>
        <v>0</v>
      </c>
      <c r="AY17" s="27">
        <f t="shared" si="8"/>
        <v>0</v>
      </c>
      <c r="AZ17" s="28">
        <f t="shared" si="9"/>
        <v>0</v>
      </c>
      <c r="BA17" s="241">
        <f t="shared" si="10"/>
        <v>0</v>
      </c>
      <c r="BB17" s="27">
        <f t="shared" si="11"/>
        <v>0</v>
      </c>
      <c r="BC17" s="28">
        <f t="shared" si="12"/>
        <v>0</v>
      </c>
      <c r="BD17" s="241">
        <f t="shared" si="13"/>
        <v>0</v>
      </c>
      <c r="BE17" s="27">
        <f t="shared" si="14"/>
        <v>0</v>
      </c>
      <c r="BF17" s="28">
        <f t="shared" si="15"/>
        <v>0</v>
      </c>
      <c r="BG17" s="241">
        <f t="shared" si="16"/>
        <v>0</v>
      </c>
      <c r="BH17" s="27">
        <f t="shared" si="17"/>
        <v>0</v>
      </c>
      <c r="BI17" s="28">
        <f t="shared" si="18"/>
        <v>0</v>
      </c>
    </row>
    <row r="18" spans="1:66" s="29" customFormat="1" hidden="1" outlineLevel="1" x14ac:dyDescent="0.3">
      <c r="A18" s="22" t="s">
        <v>29</v>
      </c>
      <c r="B18" s="23"/>
      <c r="C18" s="24" t="s">
        <v>14</v>
      </c>
      <c r="D18" s="24" t="s">
        <v>30</v>
      </c>
      <c r="E18" s="25"/>
      <c r="F18" s="26"/>
      <c r="G18" s="427"/>
      <c r="H18" s="241">
        <v>5819.2899999999972</v>
      </c>
      <c r="I18" s="27">
        <v>12285.9324</v>
      </c>
      <c r="J18" s="28">
        <f>SUMIFS(Aut_Faturamento_Zig_Delivery!$F:$F,Aut_Faturamento_Zig_Delivery!$D:$D,DRE!H$4)+SUMIFS(Aut_Ajustes_Manuais!$G:$G,Aut_Ajustes_Manuais!$I:$I,DRE!H$4,Aut_Ajustes_Manuais!$F:$F,"Delivery")</f>
        <v>37858.280000000013</v>
      </c>
      <c r="K18" s="241">
        <v>4458.0799999999981</v>
      </c>
      <c r="L18" s="27">
        <v>19835.8272</v>
      </c>
      <c r="M18" s="28">
        <f>SUMIFS(Aut_Faturamento_Zig_Delivery!$F:$F,Aut_Faturamento_Zig_Delivery!$D:$D,DRE!K$4)+SUMIFS(Aut_Ajustes_Manuais!$G:$G,Aut_Ajustes_Manuais!$I:$I,DRE!K$4,Aut_Ajustes_Manuais!$F:$F,"Delivery")</f>
        <v>41942.509999999987</v>
      </c>
      <c r="N18" s="241">
        <v>8981.9499999999953</v>
      </c>
      <c r="O18" s="27">
        <v>20162.772000000001</v>
      </c>
      <c r="P18" s="28">
        <f>SUMIFS(Aut_Faturamento_Zig_Delivery!$F:$F,Aut_Faturamento_Zig_Delivery!$D:$D,DRE!N$4)+SUMIFS(Aut_Ajustes_Manuais!$G:$G,Aut_Ajustes_Manuais!$I:$I,DRE!N$4,Aut_Ajustes_Manuais!$F:$F,"Delivery")</f>
        <v>74734.27</v>
      </c>
      <c r="Q18" s="241">
        <v>9104.19</v>
      </c>
      <c r="R18" s="27">
        <v>20814.57</v>
      </c>
      <c r="S18" s="28">
        <f>SUMIFS(Aut_Faturamento_Zig_Delivery!$F:$F,Aut_Faturamento_Zig_Delivery!$D:$D,DRE!Q$4)+SUMIFS(Aut_Ajustes_Manuais!$G:$G,Aut_Ajustes_Manuais!$I:$I,DRE!Q$4,Aut_Ajustes_Manuais!$F:$F,"Delivery")</f>
        <v>74587.719999999987</v>
      </c>
      <c r="T18" s="241">
        <v>15452.989999999991</v>
      </c>
      <c r="U18" s="27">
        <v>20281.59</v>
      </c>
      <c r="V18" s="28">
        <f>SUMIFS(Aut_Faturamento_Zig_Delivery!$F:$F,Aut_Faturamento_Zig_Delivery!$D:$D,DRE!T$4)+SUMIFS(Aut_Ajustes_Manuais!$G:$G,Aut_Ajustes_Manuais!$I:$I,DRE!T$4,Aut_Ajustes_Manuais!$F:$F,"Delivery")</f>
        <v>90539.15</v>
      </c>
      <c r="W18" s="241">
        <v>16024.51999999999</v>
      </c>
      <c r="X18" s="27">
        <v>20353.128024193549</v>
      </c>
      <c r="Y18" s="28">
        <f>SUMIFS(Aut_Faturamento_Zig_Delivery!$F:$F,Aut_Faturamento_Zig_Delivery!$D:$D,DRE!W$4)+SUMIFS(Aut_Ajustes_Manuais!$G:$G,Aut_Ajustes_Manuais!$I:$I,DRE!W$4,Aut_Ajustes_Manuais!$F:$F,"Delivery")</f>
        <v>99173.549999999988</v>
      </c>
      <c r="Z18" s="241">
        <v>18297.740000000002</v>
      </c>
      <c r="AA18" s="27">
        <v>22094.158800000008</v>
      </c>
      <c r="AB18" s="28">
        <f>SUMIFS(Aut_Faturamento_Zig_Delivery!$F:$F,Aut_Faturamento_Zig_Delivery!$D:$D,DRE!Z$4)+SUMIFS(Aut_Ajustes_Manuais!$G:$G,Aut_Ajustes_Manuais!$I:$I,DRE!Z$4,Aut_Ajustes_Manuais!$F:$F,"Delivery")</f>
        <v>24505.95</v>
      </c>
      <c r="AC18" s="241">
        <v>19293.73</v>
      </c>
      <c r="AD18" s="27">
        <v>23296.683899999989</v>
      </c>
      <c r="AE18" s="28">
        <f>SUMIFS(Aut_Faturamento_Zig_Delivery!$F:$F,Aut_Faturamento_Zig_Delivery!$D:$D,DRE!AC$4)+SUMIFS(Aut_Ajustes_Manuais!$G:$G,Aut_Ajustes_Manuais!$I:$I,DRE!AC$4,Aut_Ajustes_Manuais!$F:$F,"Delivery")</f>
        <v>0</v>
      </c>
      <c r="AF18" s="241">
        <v>12103.19</v>
      </c>
      <c r="AG18" s="27">
        <v>18447.314516129041</v>
      </c>
      <c r="AH18" s="28">
        <f>SUMIFS(Aut_Faturamento_Zig_Delivery!$F:$F,Aut_Faturamento_Zig_Delivery!$D:$D,DRE!AF$4)+SUMIFS(Aut_Ajustes_Manuais!$G:$G,Aut_Ajustes_Manuais!$I:$I,DRE!AF$4,Aut_Ajustes_Manuais!$F:$F,"Delivery")</f>
        <v>0</v>
      </c>
      <c r="AI18" s="241">
        <v>19074.989999999991</v>
      </c>
      <c r="AJ18" s="27">
        <v>23032.01197499999</v>
      </c>
      <c r="AK18" s="28">
        <f>SUMIFS(Aut_Faturamento_Zig_Delivery!$F:$F,Aut_Faturamento_Zig_Delivery!$D:$D,DRE!AI$4)+SUMIFS(Aut_Ajustes_Manuais!$G:$G,Aut_Ajustes_Manuais!$I:$I,DRE!AI$4,Aut_Ajustes_Manuais!$F:$F,"Delivery")</f>
        <v>0</v>
      </c>
      <c r="AL18" s="241">
        <v>25463.51999999999</v>
      </c>
      <c r="AM18" s="27">
        <v>23691.84774193546</v>
      </c>
      <c r="AN18" s="28">
        <f>SUMIFS(Aut_Faturamento_Zig_Delivery!$F:$F,Aut_Faturamento_Zig_Delivery!$D:$D,DRE!AL$4)+SUMIFS(Aut_Ajustes_Manuais!$G:$G,Aut_Ajustes_Manuais!$I:$I,DRE!AL$4,Aut_Ajustes_Manuais!$F:$F,"Delivery")</f>
        <v>0</v>
      </c>
      <c r="AO18" s="241">
        <v>27035.41</v>
      </c>
      <c r="AP18" s="27">
        <v>23238.19773333332</v>
      </c>
      <c r="AQ18" s="28">
        <f>SUMIFS(Aut_Faturamento_Zig_Delivery!$F:$F,Aut_Faturamento_Zig_Delivery!$D:$D,DRE!AO$4)+SUMIFS(Aut_Ajustes_Manuais!$G:$G,Aut_Ajustes_Manuais!$I:$I,DRE!AO$4,Aut_Ajustes_Manuais!$F:$F,"Delivery")</f>
        <v>0</v>
      </c>
      <c r="AR18" s="241">
        <f t="shared" ca="1" si="1"/>
        <v>59841.019999999975</v>
      </c>
      <c r="AS18" s="27">
        <f t="shared" ca="1" si="2"/>
        <v>113733.81962419354</v>
      </c>
      <c r="AT18" s="28">
        <f t="shared" ca="1" si="3"/>
        <v>418835.47999999992</v>
      </c>
      <c r="AU18" s="241">
        <f t="shared" si="4"/>
        <v>181109.59999999995</v>
      </c>
      <c r="AV18" s="27">
        <f t="shared" si="5"/>
        <v>247534.03429059131</v>
      </c>
      <c r="AW18" s="28">
        <f t="shared" si="6"/>
        <v>443341.42999999993</v>
      </c>
      <c r="AX18" s="241">
        <f t="shared" si="7"/>
        <v>19259.319999999992</v>
      </c>
      <c r="AY18" s="27">
        <f t="shared" si="8"/>
        <v>52284.531600000002</v>
      </c>
      <c r="AZ18" s="28">
        <f t="shared" si="9"/>
        <v>154535.06</v>
      </c>
      <c r="BA18" s="241">
        <f t="shared" si="10"/>
        <v>40581.699999999983</v>
      </c>
      <c r="BB18" s="27">
        <f t="shared" si="11"/>
        <v>61449.288024193549</v>
      </c>
      <c r="BC18" s="28">
        <f t="shared" si="12"/>
        <v>264300.42</v>
      </c>
      <c r="BD18" s="241">
        <f t="shared" si="13"/>
        <v>49694.66</v>
      </c>
      <c r="BE18" s="27">
        <f t="shared" si="14"/>
        <v>63838.157216129039</v>
      </c>
      <c r="BF18" s="28">
        <f t="shared" si="15"/>
        <v>24505.95</v>
      </c>
      <c r="BG18" s="241">
        <f t="shared" si="16"/>
        <v>71573.919999999984</v>
      </c>
      <c r="BH18" s="27">
        <f t="shared" si="17"/>
        <v>69962.057450268767</v>
      </c>
      <c r="BI18" s="28">
        <f t="shared" si="18"/>
        <v>0</v>
      </c>
    </row>
    <row r="19" spans="1:66" s="29" customFormat="1" hidden="1" outlineLevel="1" x14ac:dyDescent="0.3">
      <c r="A19" s="22" t="s">
        <v>31</v>
      </c>
      <c r="B19" s="23"/>
      <c r="C19" s="24" t="s">
        <v>14</v>
      </c>
      <c r="D19" s="24" t="s">
        <v>32</v>
      </c>
      <c r="E19" s="25"/>
      <c r="F19" s="26"/>
      <c r="G19" s="427"/>
      <c r="H19" s="241">
        <v>459</v>
      </c>
      <c r="I19" s="27"/>
      <c r="J19" s="28">
        <f>SUMIFS(Aut_Receitas_Extraord!$L:$L,Aut_Receitas_Extraord!$U:$U,DRE!H4,Aut_Receitas_Extraord!$D:$D,"Coleta de Óleo")+SUMIFS(Aut_Ajustes_Manuais!$G:$G,Aut_Ajustes_Manuais!$I:$I,DRE!H$4,Aut_Ajustes_Manuais!$F:$F,"Outras Receitas")</f>
        <v>189</v>
      </c>
      <c r="K19" s="241">
        <v>135</v>
      </c>
      <c r="L19" s="27"/>
      <c r="M19" s="28">
        <f>SUMIFS(Aut_Receitas_Extraord!$L:$L,Aut_Receitas_Extraord!$U:$U,DRE!K4,Aut_Receitas_Extraord!$D:$D,"Coleta de Óleo")+SUMIFS(Aut_Ajustes_Manuais!$G:$G,Aut_Ajustes_Manuais!$I:$I,DRE!K$4,Aut_Ajustes_Manuais!$F:$F,"Outras Receitas")</f>
        <v>270</v>
      </c>
      <c r="N19" s="241">
        <v>283.5</v>
      </c>
      <c r="O19" s="27"/>
      <c r="P19" s="28">
        <f>SUMIFS(Aut_Receitas_Extraord!$L:$L,Aut_Receitas_Extraord!$U:$U,DRE!N4,Aut_Receitas_Extraord!$D:$D,"Coleta de Óleo")+SUMIFS(Aut_Ajustes_Manuais!$G:$G,Aut_Ajustes_Manuais!$I:$I,DRE!N$4,Aut_Ajustes_Manuais!$F:$F,"Outras Receitas")</f>
        <v>67.5</v>
      </c>
      <c r="Q19" s="241">
        <v>121.5</v>
      </c>
      <c r="R19" s="27"/>
      <c r="S19" s="28">
        <f>SUMIFS(Aut_Receitas_Extraord!$L:$L,Aut_Receitas_Extraord!$U:$U,DRE!Q4,Aut_Receitas_Extraord!$D:$D,"Coleta de Óleo")+SUMIFS(Aut_Ajustes_Manuais!$G:$G,Aut_Ajustes_Manuais!$I:$I,DRE!Q$4,Aut_Ajustes_Manuais!$F:$F,"Outras Receitas")</f>
        <v>364.5</v>
      </c>
      <c r="T19" s="241">
        <v>108</v>
      </c>
      <c r="U19" s="27"/>
      <c r="V19" s="28">
        <f>SUMIFS(Aut_Receitas_Extraord!$L:$L,Aut_Receitas_Extraord!$U:$U,DRE!T4,Aut_Receitas_Extraord!$D:$D,"Coleta de Óleo")+SUMIFS(Aut_Ajustes_Manuais!$G:$G,Aut_Ajustes_Manuais!$I:$I,DRE!T$4,Aut_Ajustes_Manuais!$F:$F,"Outras Receitas")</f>
        <v>-360</v>
      </c>
      <c r="W19" s="241">
        <v>337.5</v>
      </c>
      <c r="X19" s="27"/>
      <c r="Y19" s="28">
        <f>SUMIFS(Aut_Receitas_Extraord!$L:$L,Aut_Receitas_Extraord!$U:$U,DRE!W4,Aut_Receitas_Extraord!$D:$D,"Coleta de Óleo")+SUMIFS(Aut_Ajustes_Manuais!$G:$G,Aut_Ajustes_Manuais!$I:$I,DRE!W$4,Aut_Ajustes_Manuais!$F:$F,"Outras Receitas")</f>
        <v>0</v>
      </c>
      <c r="Z19" s="241">
        <v>405</v>
      </c>
      <c r="AA19" s="27"/>
      <c r="AB19" s="28">
        <f>SUMIFS(Aut_Receitas_Extraord!$L:$L,Aut_Receitas_Extraord!$U:$U,DRE!Z4,Aut_Receitas_Extraord!$D:$D,"Coleta de Óleo")+SUMIFS(Aut_Ajustes_Manuais!$G:$G,Aut_Ajustes_Manuais!$I:$I,DRE!Z$4,Aut_Ajustes_Manuais!$F:$F,"Outras Receitas")</f>
        <v>0</v>
      </c>
      <c r="AC19" s="241">
        <v>270</v>
      </c>
      <c r="AD19" s="27"/>
      <c r="AE19" s="28">
        <f>SUMIFS(Aut_Receitas_Extraord!$L:$L,Aut_Receitas_Extraord!$U:$U,DRE!AC4,Aut_Receitas_Extraord!$D:$D,"Coleta de Óleo")+SUMIFS(Aut_Ajustes_Manuais!$G:$G,Aut_Ajustes_Manuais!$I:$I,DRE!AC$4,Aut_Ajustes_Manuais!$F:$F,"Outras Receitas")</f>
        <v>0</v>
      </c>
      <c r="AF19" s="241">
        <v>270</v>
      </c>
      <c r="AG19" s="27"/>
      <c r="AH19" s="28">
        <f>SUMIFS(Aut_Receitas_Extraord!$L:$L,Aut_Receitas_Extraord!$U:$U,DRE!AF4,Aut_Receitas_Extraord!$D:$D,"Coleta de Óleo")+SUMIFS(Aut_Ajustes_Manuais!$G:$G,Aut_Ajustes_Manuais!$I:$I,DRE!AF$4,Aut_Ajustes_Manuais!$F:$F,"Outras Receitas")</f>
        <v>0</v>
      </c>
      <c r="AI19" s="241">
        <v>175.5</v>
      </c>
      <c r="AJ19" s="27"/>
      <c r="AK19" s="28">
        <f>SUMIFS(Aut_Receitas_Extraord!$L:$L,Aut_Receitas_Extraord!$U:$U,DRE!AI4,Aut_Receitas_Extraord!$D:$D,"Coleta de Óleo")+SUMIFS(Aut_Ajustes_Manuais!$G:$G,Aut_Ajustes_Manuais!$I:$I,DRE!AI$4,Aut_Ajustes_Manuais!$F:$F,"Outras Receitas")</f>
        <v>0</v>
      </c>
      <c r="AL19" s="241">
        <v>324</v>
      </c>
      <c r="AM19" s="27"/>
      <c r="AN19" s="28">
        <f>SUMIFS(Aut_Receitas_Extraord!$L:$L,Aut_Receitas_Extraord!$U:$U,DRE!AL4,Aut_Receitas_Extraord!$D:$D,"Coleta de Óleo")+SUMIFS(Aut_Ajustes_Manuais!$G:$G,Aut_Ajustes_Manuais!$I:$I,DRE!AL$4,Aut_Ajustes_Manuais!$F:$F,"Outras Receitas")</f>
        <v>0</v>
      </c>
      <c r="AO19" s="241">
        <v>67.5</v>
      </c>
      <c r="AP19" s="27"/>
      <c r="AQ19" s="28">
        <f>SUMIFS(Aut_Receitas_Extraord!$L:$L,Aut_Receitas_Extraord!$U:$U,DRE!AO4,Aut_Receitas_Extraord!$D:$D,"Coleta de Óleo")+SUMIFS(Aut_Ajustes_Manuais!$G:$G,Aut_Ajustes_Manuais!$I:$I,DRE!AO$4,Aut_Ajustes_Manuais!$F:$F,"Outras Receitas")</f>
        <v>0</v>
      </c>
      <c r="AR19" s="241">
        <f t="shared" ca="1" si="1"/>
        <v>1444.5</v>
      </c>
      <c r="AS19" s="27">
        <f t="shared" ca="1" si="2"/>
        <v>0</v>
      </c>
      <c r="AT19" s="28">
        <f t="shared" ca="1" si="3"/>
        <v>531</v>
      </c>
      <c r="AU19" s="241">
        <f t="shared" si="4"/>
        <v>2956.5</v>
      </c>
      <c r="AV19" s="27">
        <f t="shared" si="5"/>
        <v>0</v>
      </c>
      <c r="AW19" s="28">
        <f t="shared" si="6"/>
        <v>531</v>
      </c>
      <c r="AX19" s="241">
        <f t="shared" si="7"/>
        <v>877.5</v>
      </c>
      <c r="AY19" s="27">
        <f t="shared" si="8"/>
        <v>0</v>
      </c>
      <c r="AZ19" s="28">
        <f t="shared" si="9"/>
        <v>526.5</v>
      </c>
      <c r="BA19" s="241">
        <f t="shared" si="10"/>
        <v>567</v>
      </c>
      <c r="BB19" s="27">
        <f t="shared" si="11"/>
        <v>0</v>
      </c>
      <c r="BC19" s="28">
        <f t="shared" si="12"/>
        <v>4.5</v>
      </c>
      <c r="BD19" s="241">
        <f t="shared" si="13"/>
        <v>945</v>
      </c>
      <c r="BE19" s="27">
        <f t="shared" si="14"/>
        <v>0</v>
      </c>
      <c r="BF19" s="28">
        <f t="shared" si="15"/>
        <v>0</v>
      </c>
      <c r="BG19" s="241">
        <f t="shared" si="16"/>
        <v>567</v>
      </c>
      <c r="BH19" s="27">
        <f t="shared" si="17"/>
        <v>0</v>
      </c>
      <c r="BI19" s="28">
        <f t="shared" si="18"/>
        <v>0</v>
      </c>
    </row>
    <row r="20" spans="1:66" s="38" customFormat="1" ht="13.8" collapsed="1" x14ac:dyDescent="0.3">
      <c r="A20" s="34" t="s">
        <v>33</v>
      </c>
      <c r="B20" s="5"/>
      <c r="C20" s="12"/>
      <c r="D20" s="13"/>
      <c r="E20" s="35"/>
      <c r="F20" s="36"/>
      <c r="G20" s="37"/>
      <c r="H20" s="242">
        <v>10524.48</v>
      </c>
      <c r="I20" s="37">
        <f>SUM(I14:I17)</f>
        <v>14734.272000000001</v>
      </c>
      <c r="J20" s="243">
        <f>SUM(J14:J17)+SUMIFS(Aut_Ajustes_Manuais!$G:$G,Aut_Ajustes_Manuais!$I:$I,DRE!H$4,Aut_Ajustes_Manuais!$F:$F,"Eventos")</f>
        <v>18000</v>
      </c>
      <c r="K20" s="242">
        <v>25349.8</v>
      </c>
      <c r="L20" s="37">
        <f>SUM(L14:L17)</f>
        <v>35489.72</v>
      </c>
      <c r="M20" s="243">
        <f>SUM(M14:M17)+SUMIFS(Aut_Ajustes_Manuais!$G:$G,Aut_Ajustes_Manuais!$I:$I,DRE!K$4,Aut_Ajustes_Manuais!$F:$F,"Eventos")</f>
        <v>3600</v>
      </c>
      <c r="N20" s="242">
        <v>23112</v>
      </c>
      <c r="O20" s="37">
        <f>SUM(O14:O17)</f>
        <v>32356.799999999999</v>
      </c>
      <c r="P20" s="243">
        <f>SUM(P14:P17)+SUMIFS(Aut_Ajustes_Manuais!$G:$G,Aut_Ajustes_Manuais!$I:$I,DRE!N$4,Aut_Ajustes_Manuais!$F:$F,"Eventos")</f>
        <v>55668.32</v>
      </c>
      <c r="Q20" s="242">
        <v>40476.58</v>
      </c>
      <c r="R20" s="37">
        <f>SUM(R14:R17)</f>
        <v>57227.212000000014</v>
      </c>
      <c r="S20" s="243">
        <f>SUM(S14:S17)+SUMIFS(Aut_Ajustes_Manuais!$G:$G,Aut_Ajustes_Manuais!$I:$I,DRE!Q$4,Aut_Ajustes_Manuais!$F:$F,"Eventos")</f>
        <v>2520</v>
      </c>
      <c r="T20" s="242">
        <v>13700</v>
      </c>
      <c r="U20" s="37">
        <f>SUM(U14:U17)</f>
        <v>19180</v>
      </c>
      <c r="V20" s="243">
        <f>SUM(V14:V17)+SUMIFS(Aut_Ajustes_Manuais!$G:$G,Aut_Ajustes_Manuais!$I:$I,DRE!T$4,Aut_Ajustes_Manuais!$F:$F,"Eventos")</f>
        <v>41066</v>
      </c>
      <c r="W20" s="242">
        <v>23700</v>
      </c>
      <c r="X20" s="37">
        <f>SUM(X14:X17)</f>
        <v>33180</v>
      </c>
      <c r="Y20" s="243">
        <f>SUM(Y14:Y17)+SUMIFS(Aut_Ajustes_Manuais!$G:$G,Aut_Ajustes_Manuais!$I:$I,DRE!W$4,Aut_Ajustes_Manuais!$F:$F,"Eventos")</f>
        <v>7300</v>
      </c>
      <c r="Z20" s="242">
        <v>58637.72</v>
      </c>
      <c r="AA20" s="37">
        <f>SUM(AA14:AA17)</f>
        <v>82092.80799999999</v>
      </c>
      <c r="AB20" s="243">
        <f>SUM(AB14:AB17)+SUMIFS(Aut_Ajustes_Manuais!$G:$G,Aut_Ajustes_Manuais!$I:$I,DRE!Z$4,Aut_Ajustes_Manuais!$F:$F,"Eventos")</f>
        <v>20600</v>
      </c>
      <c r="AC20" s="242">
        <v>10500</v>
      </c>
      <c r="AD20" s="37">
        <f>SUM(AD14:AD17)</f>
        <v>14700</v>
      </c>
      <c r="AE20" s="243">
        <f>SUM(AE14:AE17)+SUMIFS(Aut_Ajustes_Manuais!$G:$G,Aut_Ajustes_Manuais!$I:$I,DRE!AC$4,Aut_Ajustes_Manuais!$F:$F,"Eventos")</f>
        <v>37399.020000000004</v>
      </c>
      <c r="AF20" s="242">
        <v>35594.9</v>
      </c>
      <c r="AG20" s="37">
        <f>SUM(AG14:AG17)</f>
        <v>49780.36</v>
      </c>
      <c r="AH20" s="243">
        <f>SUM(AH14:AH17)+SUMIFS(Aut_Ajustes_Manuais!$G:$G,Aut_Ajustes_Manuais!$I:$I,DRE!AF$4,Aut_Ajustes_Manuais!$F:$F,"Eventos")</f>
        <v>0</v>
      </c>
      <c r="AI20" s="242">
        <v>63385.58</v>
      </c>
      <c r="AJ20" s="37">
        <f>SUM(AJ14:AJ17)</f>
        <v>88739</v>
      </c>
      <c r="AK20" s="243">
        <f>SUM(AK14:AK17)+SUMIFS(Aut_Ajustes_Manuais!$G:$G,Aut_Ajustes_Manuais!$I:$I,DRE!AI$4,Aut_Ajustes_Manuais!$F:$F,"Eventos")</f>
        <v>0</v>
      </c>
      <c r="AL20" s="242">
        <v>31020.02</v>
      </c>
      <c r="AM20" s="37">
        <f>SUM(AM14:AM17)</f>
        <v>93700.107072179031</v>
      </c>
      <c r="AN20" s="243">
        <f>SUM(AN14:AN17)+SUMIFS(Aut_Ajustes_Manuais!$G:$G,Aut_Ajustes_Manuais!$I:$I,DRE!AL$4,Aut_Ajustes_Manuais!$F:$F,"Eventos")</f>
        <v>4020</v>
      </c>
      <c r="AO20" s="242">
        <v>317688.49</v>
      </c>
      <c r="AP20" s="37">
        <f>SUM(AP14:AP17)</f>
        <v>232400</v>
      </c>
      <c r="AQ20" s="243">
        <f>SUM(AQ14:AQ17)+SUMIFS(Aut_Ajustes_Manuais!$G:$G,Aut_Ajustes_Manuais!$I:$I,DRE!AO$4,Aut_Ajustes_Manuais!$F:$F,"Eventos")</f>
        <v>0</v>
      </c>
      <c r="AR20" s="37">
        <f t="shared" ca="1" si="1"/>
        <v>136862.85999999999</v>
      </c>
      <c r="AS20" s="37">
        <f t="shared" ca="1" si="2"/>
        <v>192168.00400000002</v>
      </c>
      <c r="AT20" s="243">
        <f t="shared" ca="1" si="3"/>
        <v>128154.32</v>
      </c>
      <c r="AU20" s="242">
        <f t="shared" ref="AU20:BI20" si="19">SUM(AU14:AU17)</f>
        <v>653689.57000000007</v>
      </c>
      <c r="AV20" s="37">
        <f t="shared" si="19"/>
        <v>753580.27907217899</v>
      </c>
      <c r="AW20" s="243">
        <f t="shared" si="19"/>
        <v>190173.34000000003</v>
      </c>
      <c r="AX20" s="242">
        <f t="shared" si="19"/>
        <v>58986.28</v>
      </c>
      <c r="AY20" s="37">
        <f t="shared" si="19"/>
        <v>82580.792000000001</v>
      </c>
      <c r="AZ20" s="243">
        <f t="shared" si="19"/>
        <v>77268.320000000007</v>
      </c>
      <c r="BA20" s="242">
        <f t="shared" si="19"/>
        <v>77876.58</v>
      </c>
      <c r="BB20" s="37">
        <f t="shared" si="19"/>
        <v>109587.21200000001</v>
      </c>
      <c r="BC20" s="243">
        <f t="shared" si="19"/>
        <v>50886</v>
      </c>
      <c r="BD20" s="242">
        <f t="shared" si="19"/>
        <v>104732.62</v>
      </c>
      <c r="BE20" s="37">
        <f t="shared" si="19"/>
        <v>146573.16800000001</v>
      </c>
      <c r="BF20" s="243">
        <f t="shared" si="19"/>
        <v>57999.020000000004</v>
      </c>
      <c r="BG20" s="242">
        <f t="shared" si="19"/>
        <v>412094.09000000008</v>
      </c>
      <c r="BH20" s="37">
        <f t="shared" si="19"/>
        <v>414839.10707217909</v>
      </c>
      <c r="BI20" s="243">
        <f t="shared" si="19"/>
        <v>4020</v>
      </c>
    </row>
    <row r="21" spans="1:66" x14ac:dyDescent="0.3">
      <c r="A21" s="39" t="s">
        <v>34</v>
      </c>
      <c r="C21" s="40" t="s">
        <v>35</v>
      </c>
      <c r="D21" s="40" t="s">
        <v>36</v>
      </c>
      <c r="E21" s="40" t="s">
        <v>37</v>
      </c>
      <c r="F21" s="41"/>
      <c r="H21" s="244">
        <v>-11941.42733093638</v>
      </c>
      <c r="I21" s="42">
        <v>-13281.54489682581</v>
      </c>
      <c r="J21" s="43">
        <f>SUM(J22:J24)+SUMIFS(Aut_Ajustes_Manuais!$G:$G,Aut_Ajustes_Manuais!$I:$I,DRE!H$4,Aut_Ajustes_Manuais!$F:$F,"(-) Desconto sobre Venda")</f>
        <v>-13511.02</v>
      </c>
      <c r="K21" s="244">
        <v>-5172.6814918979362</v>
      </c>
      <c r="L21" s="42">
        <v>-13600.313612249571</v>
      </c>
      <c r="M21" s="43">
        <f>SUM(M22:M24)+SUMIFS(Aut_Ajustes_Manuais!$G:$G,Aut_Ajustes_Manuais!$I:$I,DRE!K$4,Aut_Ajustes_Manuais!$F:$F,"(-) Desconto sobre Venda")</f>
        <v>-13045.929999999998</v>
      </c>
      <c r="N21" s="244">
        <v>-8298.0847724541563</v>
      </c>
      <c r="O21" s="42">
        <v>-17914.770320453921</v>
      </c>
      <c r="P21" s="43">
        <f>SUM(P22:P24)+SUMIFS(Aut_Ajustes_Manuais!$G:$G,Aut_Ajustes_Manuais!$I:$I,DRE!N$4,Aut_Ajustes_Manuais!$F:$F,"(-) Desconto sobre Venda")</f>
        <v>-17024.73</v>
      </c>
      <c r="Q21" s="244">
        <v>-14769.71842368396</v>
      </c>
      <c r="R21" s="42">
        <v>-15812.3208508056</v>
      </c>
      <c r="S21" s="43">
        <f>SUM(S22:S24)+SUMIFS(Aut_Ajustes_Manuais!$G:$G,Aut_Ajustes_Manuais!$I:$I,DRE!Q$4,Aut_Ajustes_Manuais!$F:$F,"(-) Desconto sobre Venda")</f>
        <v>-14054.33</v>
      </c>
      <c r="T21" s="244">
        <v>-13709.15555114074</v>
      </c>
      <c r="U21" s="42">
        <v>-17176.4990420051</v>
      </c>
      <c r="V21" s="43">
        <f>SUM(V22:V24)+SUMIFS(Aut_Ajustes_Manuais!$G:$G,Aut_Ajustes_Manuais!$I:$I,DRE!T$4,Aut_Ajustes_Manuais!$F:$F,"(-) Desconto sobre Venda")</f>
        <v>-10804</v>
      </c>
      <c r="W21" s="244">
        <v>-13635.271077274951</v>
      </c>
      <c r="X21" s="42">
        <v>-15296.137947925121</v>
      </c>
      <c r="Y21" s="43">
        <f>SUM(Y22:Y24)+SUMIFS(Aut_Ajustes_Manuais!$G:$G,Aut_Ajustes_Manuais!$I:$I,DRE!W$4,Aut_Ajustes_Manuais!$F:$F,"(-) Desconto sobre Venda")</f>
        <v>-12955.07</v>
      </c>
      <c r="Z21" s="244">
        <v>-13878.55207641888</v>
      </c>
      <c r="AA21" s="42">
        <v>-18651.41451861032</v>
      </c>
      <c r="AB21" s="43">
        <f>SUM(AB22:AB24)+SUMIFS(Aut_Ajustes_Manuais!$G:$G,Aut_Ajustes_Manuais!$I:$I,DRE!Z$4,Aut_Ajustes_Manuais!$F:$F,"(-) Desconto sobre Venda")</f>
        <v>0</v>
      </c>
      <c r="AC21" s="244">
        <v>-13037.991376373229</v>
      </c>
      <c r="AD21" s="42">
        <v>-20058.486331295331</v>
      </c>
      <c r="AE21" s="43">
        <f>SUM(AE22:AE24)+SUMIFS(Aut_Ajustes_Manuais!$G:$G,Aut_Ajustes_Manuais!$I:$I,DRE!AC$4,Aut_Ajustes_Manuais!$F:$F,"(-) Desconto sobre Venda")</f>
        <v>0</v>
      </c>
      <c r="AF21" s="244">
        <v>-11972.8556241066</v>
      </c>
      <c r="AG21" s="42">
        <v>-16501.582201981058</v>
      </c>
      <c r="AH21" s="43">
        <f>SUM(AH22:AH24)+SUMIFS(Aut_Ajustes_Manuais!$G:$G,Aut_Ajustes_Manuais!$I:$I,DRE!AF$4,Aut_Ajustes_Manuais!$F:$F,"(-) Desconto sobre Venda")</f>
        <v>0</v>
      </c>
      <c r="AI21" s="244">
        <v>-12997.42518566941</v>
      </c>
      <c r="AJ21" s="42">
        <v>-15333.52343287742</v>
      </c>
      <c r="AK21" s="43">
        <f>SUM(AK22:AK24)+SUMIFS(Aut_Ajustes_Manuais!$G:$G,Aut_Ajustes_Manuais!$I:$I,DRE!AI$4,Aut_Ajustes_Manuais!$F:$F,"(-) Desconto sobre Venda")</f>
        <v>0</v>
      </c>
      <c r="AL21" s="244">
        <v>-14199.98492882981</v>
      </c>
      <c r="AM21" s="42">
        <v>-16231.5652926354</v>
      </c>
      <c r="AN21" s="43">
        <f>SUM(AN22:AN24)+SUMIFS(Aut_Ajustes_Manuais!$G:$G,Aut_Ajustes_Manuais!$I:$I,DRE!AL$4,Aut_Ajustes_Manuais!$F:$F,"(-) Desconto sobre Venda")</f>
        <v>0</v>
      </c>
      <c r="AO21" s="244">
        <v>-17637.2315515634</v>
      </c>
      <c r="AP21" s="42">
        <v>-16488.725034131701</v>
      </c>
      <c r="AQ21" s="43">
        <f>SUM(AQ22:AQ24)+SUMIFS(Aut_Ajustes_Manuais!$G:$G,Aut_Ajustes_Manuais!$I:$I,DRE!AO$4,Aut_Ajustes_Manuais!$F:$F,"(-) Desconto sobre Venda")</f>
        <v>0</v>
      </c>
      <c r="AR21" s="244">
        <f t="shared" ref="AR21:BI21" ca="1" si="20">SUM(AR22:AR24)</f>
        <v>-67526.338647388126</v>
      </c>
      <c r="AS21" s="42">
        <f t="shared" ca="1" si="20"/>
        <v>-93081.586670265126</v>
      </c>
      <c r="AT21" s="43">
        <f t="shared" ca="1" si="20"/>
        <v>-81395.08</v>
      </c>
      <c r="AU21" s="244">
        <f t="shared" si="20"/>
        <v>-151250.37939034944</v>
      </c>
      <c r="AV21" s="42">
        <f t="shared" si="20"/>
        <v>-196346.88348179634</v>
      </c>
      <c r="AW21" s="43">
        <f t="shared" si="20"/>
        <v>-81395.08</v>
      </c>
      <c r="AX21" s="244">
        <f t="shared" si="20"/>
        <v>-25412.193595288474</v>
      </c>
      <c r="AY21" s="42">
        <f t="shared" si="20"/>
        <v>-44796.628829529298</v>
      </c>
      <c r="AZ21" s="43">
        <f t="shared" si="20"/>
        <v>-43581.68</v>
      </c>
      <c r="BA21" s="244">
        <f t="shared" si="20"/>
        <v>-42114.145052099644</v>
      </c>
      <c r="BB21" s="42">
        <f t="shared" si="20"/>
        <v>-48284.95784073582</v>
      </c>
      <c r="BC21" s="43">
        <f t="shared" si="20"/>
        <v>-37813.4</v>
      </c>
      <c r="BD21" s="244">
        <f t="shared" si="20"/>
        <v>-38889.399076898706</v>
      </c>
      <c r="BE21" s="42">
        <f t="shared" si="20"/>
        <v>-55211.483051886695</v>
      </c>
      <c r="BF21" s="43">
        <f t="shared" si="20"/>
        <v>0</v>
      </c>
      <c r="BG21" s="244">
        <f t="shared" si="20"/>
        <v>-44834.64166606262</v>
      </c>
      <c r="BH21" s="42">
        <f t="shared" si="20"/>
        <v>-48053.813759644516</v>
      </c>
      <c r="BI21" s="43">
        <f t="shared" si="20"/>
        <v>0</v>
      </c>
      <c r="BJ21" s="44"/>
      <c r="BK21" s="44"/>
      <c r="BL21" s="44"/>
      <c r="BM21" s="44"/>
      <c r="BN21" s="44"/>
    </row>
    <row r="22" spans="1:66" s="29" customFormat="1" hidden="1" outlineLevel="1" x14ac:dyDescent="0.3">
      <c r="A22" s="22" t="s">
        <v>38</v>
      </c>
      <c r="B22" s="23"/>
      <c r="C22" s="24" t="s">
        <v>14</v>
      </c>
      <c r="D22" s="25" t="s">
        <v>39</v>
      </c>
      <c r="E22" s="45">
        <v>2.5000000000000001E-2</v>
      </c>
      <c r="F22" s="26"/>
      <c r="G22" s="33"/>
      <c r="H22" s="241">
        <v>-3839.8497670636571</v>
      </c>
      <c r="I22" s="27">
        <v>-7019.8440258064511</v>
      </c>
      <c r="J22" s="28">
        <f>-SUMIFS(Aut_Descontos!$F:$F,Aut_Descontos!$L:$L,DRE!H$4,Aut_Descontos!$K:$K,DRE!$A22)+SUMIFS(Aut_Ajustes_Manuais!$G:$G,Aut_Ajustes_Manuais!$I:$I,DRE!H$4,Aut_Ajustes_Manuais!$F:$F,"Descontos - Operação")</f>
        <v>-489.52</v>
      </c>
      <c r="K22" s="241">
        <v>-2776.0273850818799</v>
      </c>
      <c r="L22" s="27">
        <v>-7188.3264335357153</v>
      </c>
      <c r="M22" s="28">
        <f>-SUMIFS(Aut_Descontos!$F:$F,Aut_Descontos!$L:$L,DRE!K$4,Aut_Descontos!$K:$K,DRE!$A22)+SUMIFS(Aut_Ajustes_Manuais!$G:$G,Aut_Ajustes_Manuais!$I:$I,DRE!K$4,Aut_Ajustes_Manuais!$F:$F,"Descontos - Operação")</f>
        <v>-2235.7199999999998</v>
      </c>
      <c r="N22" s="241">
        <v>-4403.0754835487578</v>
      </c>
      <c r="O22" s="27">
        <v>-9468.6946725443559</v>
      </c>
      <c r="P22" s="28">
        <f>-SUMIFS(Aut_Descontos!$F:$F,Aut_Descontos!$L:$L,DRE!N$4,Aut_Descontos!$K:$K,DRE!$A22)+SUMIFS(Aut_Ajustes_Manuais!$G:$G,Aut_Ajustes_Manuais!$I:$I,DRE!N$4,Aut_Ajustes_Manuais!$F:$F,"Descontos - Operação")</f>
        <v>-2962.09</v>
      </c>
      <c r="Q22" s="241">
        <v>-3951.7569529450029</v>
      </c>
      <c r="R22" s="27">
        <v>-8357.4634518000003</v>
      </c>
      <c r="S22" s="28">
        <f>-SUMIFS(Aut_Descontos!$F:$F,Aut_Descontos!$L:$L,DRE!Q$4,Aut_Descontos!$K:$K,DRE!$A22)+SUMIFS(Aut_Ajustes_Manuais!$G:$G,Aut_Ajustes_Manuais!$I:$I,DRE!Q$4,Aut_Ajustes_Manuais!$F:$F,"Descontos - Operação")</f>
        <v>-3026.2999999999997</v>
      </c>
      <c r="T22" s="241">
        <v>-3693.2525681459201</v>
      </c>
      <c r="U22" s="27">
        <v>-9078.4878657532226</v>
      </c>
      <c r="V22" s="28">
        <f>-SUMIFS(Aut_Descontos!$F:$F,Aut_Descontos!$L:$L,DRE!T$4,Aut_Descontos!$K:$K,DRE!$A22)+SUMIFS(Aut_Ajustes_Manuais!$G:$G,Aut_Ajustes_Manuais!$I:$I,DRE!T$4,Aut_Ajustes_Manuais!$F:$F,"Descontos - Operação")</f>
        <v>-1895.96</v>
      </c>
      <c r="W22" s="241">
        <v>-2316.3002742456488</v>
      </c>
      <c r="X22" s="27">
        <v>-8084.6395073599997</v>
      </c>
      <c r="Y22" s="28">
        <f>-SUMIFS(Aut_Descontos!$F:$F,Aut_Descontos!$L:$L,DRE!W$4,Aut_Descontos!$K:$K,DRE!$A22)+SUMIFS(Aut_Ajustes_Manuais!$G:$G,Aut_Ajustes_Manuais!$I:$I,DRE!W$4,Aut_Ajustes_Manuais!$F:$F,"Descontos - Operação")</f>
        <v>-1779.35</v>
      </c>
      <c r="Z22" s="241">
        <v>-1547.9945138439191</v>
      </c>
      <c r="AA22" s="27">
        <v>-9858.0415003225771</v>
      </c>
      <c r="AB22" s="28">
        <f>-SUMIFS(Aut_Descontos!$F:$F,Aut_Descontos!$L:$L,DRE!Z$4,Aut_Descontos!$K:$K,DRE!$A22)+SUMIFS(Aut_Ajustes_Manuais!$G:$G,Aut_Ajustes_Manuais!$I:$I,DRE!Z$4,Aut_Ajustes_Manuais!$F:$F,"Descontos - Operação")</f>
        <v>0</v>
      </c>
      <c r="AC22" s="241">
        <v>-1915.570025796904</v>
      </c>
      <c r="AD22" s="27">
        <v>-10601.73696157258</v>
      </c>
      <c r="AE22" s="28">
        <f>-SUMIFS(Aut_Descontos!$F:$F,Aut_Descontos!$L:$L,DRE!AC$4,Aut_Descontos!$K:$K,DRE!$A22)+SUMIFS(Aut_Ajustes_Manuais!$G:$G,Aut_Ajustes_Manuais!$I:$I,DRE!AC$4,Aut_Ajustes_Manuais!$F:$F,"Descontos - Operação")</f>
        <v>0</v>
      </c>
      <c r="AF22" s="241">
        <v>-1949.964455212815</v>
      </c>
      <c r="AG22" s="27">
        <v>-8721.7664915333298</v>
      </c>
      <c r="AH22" s="28">
        <f>-SUMIFS(Aut_Descontos!$F:$F,Aut_Descontos!$L:$L,DRE!AF$4,Aut_Descontos!$K:$K,DRE!$A22)+SUMIFS(Aut_Ajustes_Manuais!$G:$G,Aut_Ajustes_Manuais!$I:$I,DRE!AF$4,Aut_Ajustes_Manuais!$F:$F,"Descontos - Operação")</f>
        <v>0</v>
      </c>
      <c r="AI22" s="241">
        <v>-1807.5915135012719</v>
      </c>
      <c r="AJ22" s="27">
        <v>-8104.399277419353</v>
      </c>
      <c r="AK22" s="28">
        <f>-SUMIFS(Aut_Descontos!$F:$F,Aut_Descontos!$L:$L,DRE!AI$4,Aut_Descontos!$K:$K,DRE!$A22)+SUMIFS(Aut_Ajustes_Manuais!$G:$G,Aut_Ajustes_Manuais!$I:$I,DRE!AI$4,Aut_Ajustes_Manuais!$F:$F,"Descontos - Operação")</f>
        <v>0</v>
      </c>
      <c r="AL22" s="241">
        <v>-2140.12107149751</v>
      </c>
      <c r="AM22" s="27">
        <v>-8579.0514231688139</v>
      </c>
      <c r="AN22" s="28">
        <f>-SUMIFS(Aut_Descontos!$F:$F,Aut_Descontos!$L:$L,DRE!AL$4,Aut_Descontos!$K:$K,DRE!$A22)+SUMIFS(Aut_Ajustes_Manuais!$G:$G,Aut_Ajustes_Manuais!$I:$I,DRE!AL$4,Aut_Ajustes_Manuais!$F:$F,"Descontos - Operação")</f>
        <v>0</v>
      </c>
      <c r="AO22" s="241">
        <v>-3297.9367212382399</v>
      </c>
      <c r="AP22" s="27">
        <v>-8714.9709482725702</v>
      </c>
      <c r="AQ22" s="28">
        <f>-SUMIFS(Aut_Descontos!$F:$F,Aut_Descontos!$L:$L,DRE!AO$4,Aut_Descontos!$K:$K,DRE!$A22)+SUMIFS(Aut_Ajustes_Manuais!$G:$G,Aut_Ajustes_Manuais!$I:$I,DRE!AO$4,Aut_Ajustes_Manuais!$F:$F,"Descontos - Operação")</f>
        <v>0</v>
      </c>
      <c r="AR22" s="241">
        <f ca="1">SUMIFS($H22:$AO22,$H$5:$AO$5,"&lt;"&amp;MONTH(TODAY()),$H$6:$AO$6,"REAL 25")</f>
        <v>-20980.262431030867</v>
      </c>
      <c r="AS22" s="27">
        <f ca="1">SUMIFS($I22:$AP22,$I$5:$AP$5,"&lt;"&amp;MONTH(TODAY()),$I$6:$AP$6,"ORÇADO ")</f>
        <v>-49197.455956799749</v>
      </c>
      <c r="AT22" s="28">
        <f ca="1">SUMIFS($J22:$AQ22,$J$5:$AQ$5,"&lt;"&amp;MONTH(TODAY()),$J$6:$AQ$6,"REAL 26")</f>
        <v>-12388.94</v>
      </c>
      <c r="AU22" s="241">
        <f t="shared" ref="AU22:AW24" si="21">SUM(H22,K22,N22,Q22,T22,W22,Z22,AC22,AF22,AI22,AL22,AO22)</f>
        <v>-33639.440732121526</v>
      </c>
      <c r="AV22" s="27">
        <f t="shared" si="21"/>
        <v>-103777.42255908897</v>
      </c>
      <c r="AW22" s="28">
        <f t="shared" si="21"/>
        <v>-12388.94</v>
      </c>
      <c r="AX22" s="241">
        <f t="shared" ref="AX22:AZ24" si="22">SUM(H22,K22,N22)</f>
        <v>-11018.952635694295</v>
      </c>
      <c r="AY22" s="27">
        <f t="shared" si="22"/>
        <v>-23676.865131886523</v>
      </c>
      <c r="AZ22" s="28">
        <f t="shared" si="22"/>
        <v>-5687.33</v>
      </c>
      <c r="BA22" s="241">
        <f t="shared" ref="BA22:BC24" si="23">SUM(Q22,T22,W22)</f>
        <v>-9961.3097953365723</v>
      </c>
      <c r="BB22" s="27">
        <f t="shared" si="23"/>
        <v>-25520.590824913223</v>
      </c>
      <c r="BC22" s="28">
        <f t="shared" si="23"/>
        <v>-6701.6100000000006</v>
      </c>
      <c r="BD22" s="241">
        <f t="shared" ref="BD22:BF24" si="24">SUM(Z22,AC22,AF22)</f>
        <v>-5413.5289948536383</v>
      </c>
      <c r="BE22" s="27">
        <f t="shared" si="24"/>
        <v>-29181.544953428485</v>
      </c>
      <c r="BF22" s="28">
        <f t="shared" si="24"/>
        <v>0</v>
      </c>
      <c r="BG22" s="241">
        <f t="shared" ref="BG22:BI24" si="25">SUM(AI22,AL22,AO22)</f>
        <v>-7245.6493062370218</v>
      </c>
      <c r="BH22" s="27">
        <f t="shared" si="25"/>
        <v>-25398.421648860738</v>
      </c>
      <c r="BI22" s="28">
        <f t="shared" si="25"/>
        <v>0</v>
      </c>
    </row>
    <row r="23" spans="1:66" s="29" customFormat="1" hidden="1" outlineLevel="1" x14ac:dyDescent="0.3">
      <c r="A23" s="22" t="s">
        <v>40</v>
      </c>
      <c r="B23" s="23"/>
      <c r="C23" s="24" t="s">
        <v>14</v>
      </c>
      <c r="D23" s="25" t="s">
        <v>41</v>
      </c>
      <c r="E23" s="45">
        <v>1.9800000000000002E-2</v>
      </c>
      <c r="F23" s="26"/>
      <c r="G23" s="33"/>
      <c r="H23" s="241">
        <v>-7399.0981921098373</v>
      </c>
      <c r="I23" s="27">
        <v>-5559.7164684387099</v>
      </c>
      <c r="J23" s="28">
        <f>-SUMIFS(Aut_Descontos!$F:$F,Aut_Descontos!$L:$L,DRE!H$4,Aut_Descontos!$K:$K,DRE!$A23)+SUMIFS(Aut_Ajustes_Manuais!$G:$G,Aut_Ajustes_Manuais!$I:$I,DRE!H$4,Aut_Ajustes_Manuais!$F:$F,"Desconto - Alimentação Escritório")</f>
        <v>-8133.22</v>
      </c>
      <c r="K23" s="241">
        <v>-1475.248515425395</v>
      </c>
      <c r="L23" s="27">
        <v>-5693.1545353602869</v>
      </c>
      <c r="M23" s="28">
        <f>-SUMIFS(Aut_Descontos!$F:$F,Aut_Descontos!$L:$L,DRE!K$4,Aut_Descontos!$K:$K,DRE!$A23)+SUMIFS(Aut_Ajustes_Manuais!$G:$G,Aut_Ajustes_Manuais!$I:$I,DRE!K$4,Aut_Ajustes_Manuais!$F:$F,"Desconto - Alimentação Escritório")</f>
        <v>-7360.25</v>
      </c>
      <c r="N23" s="241">
        <v>-2601.9182263784578</v>
      </c>
      <c r="O23" s="27">
        <v>-7499.2061806551301</v>
      </c>
      <c r="P23" s="28">
        <f>-SUMIFS(Aut_Descontos!$F:$F,Aut_Descontos!$L:$L,DRE!N$4,Aut_Descontos!$K:$K,DRE!$A23)+SUMIFS(Aut_Ajustes_Manuais!$G:$G,Aut_Ajustes_Manuais!$I:$I,DRE!N$4,Aut_Ajustes_Manuais!$F:$F,"Desconto - Alimentação Escritório")</f>
        <v>-9847.09</v>
      </c>
      <c r="Q23" s="241">
        <v>-8884.9937425194094</v>
      </c>
      <c r="R23" s="27">
        <v>-6619.1110538256007</v>
      </c>
      <c r="S23" s="28">
        <f>-SUMIFS(Aut_Descontos!$F:$F,Aut_Descontos!$L:$L,DRE!Q$4,Aut_Descontos!$K:$K,DRE!$A23)+SUMIFS(Aut_Ajustes_Manuais!$G:$G,Aut_Ajustes_Manuais!$I:$I,DRE!Q$4,Aut_Ajustes_Manuais!$F:$F,"Desconto - Alimentação Escritório")</f>
        <v>-6989.19</v>
      </c>
      <c r="T23" s="241">
        <v>-9056.6943907565837</v>
      </c>
      <c r="U23" s="27">
        <v>-7190.1623896765532</v>
      </c>
      <c r="V23" s="28">
        <f>-SUMIFS(Aut_Descontos!$F:$F,Aut_Descontos!$L:$L,DRE!T$4,Aut_Descontos!$K:$K,DRE!$A23)+SUMIFS(Aut_Ajustes_Manuais!$G:$G,Aut_Ajustes_Manuais!$I:$I,DRE!T$4,Aut_Ajustes_Manuais!$F:$F,"Desconto - Alimentação Escritório")</f>
        <v>-6381.13</v>
      </c>
      <c r="W23" s="241">
        <v>-9784.0380298685577</v>
      </c>
      <c r="X23" s="27">
        <v>-6403.0344898291214</v>
      </c>
      <c r="Y23" s="28">
        <f>-SUMIFS(Aut_Descontos!$F:$F,Aut_Descontos!$L:$L,DRE!W$4,Aut_Descontos!$K:$K,DRE!$A23)+SUMIFS(Aut_Ajustes_Manuais!$G:$G,Aut_Ajustes_Manuais!$I:$I,DRE!W$4,Aut_Ajustes_Manuais!$F:$F,"Desconto - Alimentação Escritório")</f>
        <v>-7879.36</v>
      </c>
      <c r="Z23" s="241">
        <v>-10060.72313635007</v>
      </c>
      <c r="AA23" s="27">
        <v>-7807.568868255481</v>
      </c>
      <c r="AB23" s="28">
        <f>-SUMIFS(Aut_Descontos!$F:$F,Aut_Descontos!$L:$L,DRE!Z$4,Aut_Descontos!$K:$K,DRE!$A23)+SUMIFS(Aut_Ajustes_Manuais!$G:$G,Aut_Ajustes_Manuais!$I:$I,DRE!Z$4,Aut_Ajustes_Manuais!$F:$F,"Desconto - Alimentação Escritório")</f>
        <v>0</v>
      </c>
      <c r="AC23" s="241">
        <v>-9768.5278107098875</v>
      </c>
      <c r="AD23" s="27">
        <v>-8396.5756735654868</v>
      </c>
      <c r="AE23" s="28">
        <f>-SUMIFS(Aut_Descontos!$F:$F,Aut_Descontos!$L:$L,DRE!AC$4,Aut_Descontos!$K:$K,DRE!$A23)+SUMIFS(Aut_Ajustes_Manuais!$G:$G,Aut_Ajustes_Manuais!$I:$I,DRE!AC$4,Aut_Ajustes_Manuais!$F:$F,"Desconto - Alimentação Escritório")</f>
        <v>0</v>
      </c>
      <c r="AF23" s="241">
        <v>-8612.6011688937833</v>
      </c>
      <c r="AG23" s="27">
        <v>-6907.6390612943978</v>
      </c>
      <c r="AH23" s="28">
        <f>-SUMIFS(Aut_Descontos!$F:$F,Aut_Descontos!$L:$L,DRE!AF$4,Aut_Descontos!$K:$K,DRE!$A23)+SUMIFS(Aut_Ajustes_Manuais!$G:$G,Aut_Ajustes_Manuais!$I:$I,DRE!AF$4,Aut_Ajustes_Manuais!$F:$F,"Desconto - Alimentação Escritório")</f>
        <v>0</v>
      </c>
      <c r="AI23" s="241">
        <v>-9485.3979116997216</v>
      </c>
      <c r="AJ23" s="27">
        <v>-6418.6842277161277</v>
      </c>
      <c r="AK23" s="28">
        <f>-SUMIFS(Aut_Descontos!$F:$F,Aut_Descontos!$L:$L,DRE!AI$4,Aut_Descontos!$K:$K,DRE!$A23)+SUMIFS(Aut_Ajustes_Manuais!$G:$G,Aut_Ajustes_Manuais!$I:$I,DRE!AI$4,Aut_Ajustes_Manuais!$F:$F,"Desconto - Alimentação Escritório")</f>
        <v>0</v>
      </c>
      <c r="AL23" s="241">
        <v>-9968.1766319499293</v>
      </c>
      <c r="AM23" s="27">
        <v>-6794.6087271497008</v>
      </c>
      <c r="AN23" s="28">
        <f>-SUMIFS(Aut_Descontos!$F:$F,Aut_Descontos!$L:$L,DRE!AL$4,Aut_Descontos!$K:$K,DRE!$A23)+SUMIFS(Aut_Ajustes_Manuais!$G:$G,Aut_Ajustes_Manuais!$I:$I,DRE!AL$4,Aut_Ajustes_Manuais!$F:$F,"Desconto - Alimentação Escritório")</f>
        <v>0</v>
      </c>
      <c r="AO23" s="241">
        <v>-12260.31389702352</v>
      </c>
      <c r="AP23" s="27">
        <v>-6902.2569910318753</v>
      </c>
      <c r="AQ23" s="28">
        <f>-SUMIFS(Aut_Descontos!$F:$F,Aut_Descontos!$L:$L,DRE!AO$4,Aut_Descontos!$K:$K,DRE!$A23)+SUMIFS(Aut_Ajustes_Manuais!$G:$G,Aut_Ajustes_Manuais!$I:$I,DRE!AO$4,Aut_Ajustes_Manuais!$F:$F,"Desconto - Alimentação Escritório")</f>
        <v>0</v>
      </c>
      <c r="AR23" s="241">
        <f ca="1">SUMIFS($H23:$AO23,$H$5:$AO$5,"&lt;"&amp;MONTH(TODAY()),$H$6:$AO$6,"REAL 25")</f>
        <v>-39201.991097058242</v>
      </c>
      <c r="AS23" s="27">
        <f ca="1">SUMIFS($I23:$AP23,$I$5:$AP$5,"&lt;"&amp;MONTH(TODAY()),$I$6:$AP$6,"ORÇADO ")</f>
        <v>-38964.385117785401</v>
      </c>
      <c r="AT23" s="28">
        <f ca="1">SUMIFS($J23:$AQ23,$J$5:$AQ$5,"&lt;"&amp;MONTH(TODAY()),$J$6:$AQ$6,"REAL 26")</f>
        <v>-46590.239999999998</v>
      </c>
      <c r="AU23" s="241">
        <f t="shared" si="21"/>
        <v>-99357.731653685143</v>
      </c>
      <c r="AV23" s="27">
        <f t="shared" si="21"/>
        <v>-82191.718666798464</v>
      </c>
      <c r="AW23" s="28">
        <f t="shared" si="21"/>
        <v>-46590.239999999998</v>
      </c>
      <c r="AX23" s="241">
        <f t="shared" si="22"/>
        <v>-11476.264933913691</v>
      </c>
      <c r="AY23" s="27">
        <f t="shared" si="22"/>
        <v>-18752.077184454127</v>
      </c>
      <c r="AZ23" s="28">
        <f t="shared" si="22"/>
        <v>-25340.560000000001</v>
      </c>
      <c r="BA23" s="241">
        <f t="shared" si="23"/>
        <v>-27725.726163144551</v>
      </c>
      <c r="BB23" s="27">
        <f t="shared" si="23"/>
        <v>-20212.307933331274</v>
      </c>
      <c r="BC23" s="28">
        <f t="shared" si="23"/>
        <v>-21249.68</v>
      </c>
      <c r="BD23" s="241">
        <f t="shared" si="24"/>
        <v>-28441.852115953741</v>
      </c>
      <c r="BE23" s="27">
        <f t="shared" si="24"/>
        <v>-23111.783603115364</v>
      </c>
      <c r="BF23" s="28">
        <f t="shared" si="24"/>
        <v>0</v>
      </c>
      <c r="BG23" s="241">
        <f t="shared" si="25"/>
        <v>-31713.88844067317</v>
      </c>
      <c r="BH23" s="27">
        <f t="shared" si="25"/>
        <v>-20115.549945897703</v>
      </c>
      <c r="BI23" s="28">
        <f t="shared" si="25"/>
        <v>0</v>
      </c>
    </row>
    <row r="24" spans="1:66" s="29" customFormat="1" hidden="1" outlineLevel="1" x14ac:dyDescent="0.3">
      <c r="A24" s="22" t="s">
        <v>42</v>
      </c>
      <c r="B24" s="23"/>
      <c r="C24" s="24" t="s">
        <v>14</v>
      </c>
      <c r="D24" s="25" t="s">
        <v>43</v>
      </c>
      <c r="E24" s="45">
        <v>2.5000000000000001E-3</v>
      </c>
      <c r="F24" s="26"/>
      <c r="G24" s="33"/>
      <c r="H24" s="241">
        <v>-702.47937176288588</v>
      </c>
      <c r="I24" s="27">
        <v>-701.98440258064511</v>
      </c>
      <c r="J24" s="28">
        <f>-SUMIFS(Aut_Descontos!$F:$F,Aut_Descontos!$L:$L,DRE!H$4,Aut_Descontos!$K:$K,DRE!$A24)+SUMIFS(Aut_Ajustes_Manuais!$G:$G,Aut_Ajustes_Manuais!$I:$I,DRE!H$4,Aut_Ajustes_Manuais!$F:$F,"Descontos - Marketing")</f>
        <v>-4888.28</v>
      </c>
      <c r="K24" s="241">
        <v>-921.40559139066124</v>
      </c>
      <c r="L24" s="27">
        <v>-718.83264335357148</v>
      </c>
      <c r="M24" s="28">
        <f>-SUMIFS(Aut_Descontos!$F:$F,Aut_Descontos!$L:$L,DRE!K$4,Aut_Descontos!$K:$K,DRE!$A24)+SUMIFS(Aut_Ajustes_Manuais!$G:$G,Aut_Ajustes_Manuais!$I:$I,DRE!K$4,Aut_Ajustes_Manuais!$F:$F,"Descontos - Marketing")</f>
        <v>-3449.9599999999996</v>
      </c>
      <c r="N24" s="241">
        <v>-1293.091062526941</v>
      </c>
      <c r="O24" s="27">
        <v>-946.86946725443556</v>
      </c>
      <c r="P24" s="28">
        <f>-SUMIFS(Aut_Descontos!$F:$F,Aut_Descontos!$L:$L,DRE!N$4,Aut_Descontos!$K:$K,DRE!$A24)+SUMIFS(Aut_Ajustes_Manuais!$G:$G,Aut_Ajustes_Manuais!$I:$I,DRE!N$4,Aut_Ajustes_Manuais!$F:$F,"Descontos - Marketing")</f>
        <v>-4215.55</v>
      </c>
      <c r="Q24" s="241">
        <v>-1932.967728219546</v>
      </c>
      <c r="R24" s="27">
        <v>-835.74634518000005</v>
      </c>
      <c r="S24" s="28">
        <f>-SUMIFS(Aut_Descontos!$F:$F,Aut_Descontos!$L:$L,DRE!Q$4,Aut_Descontos!$K:$K,DRE!$A24)+SUMIFS(Aut_Ajustes_Manuais!$G:$G,Aut_Ajustes_Manuais!$I:$I,DRE!Q$4,Aut_Ajustes_Manuais!$F:$F,"Descontos - Marketing")</f>
        <v>-4038.84</v>
      </c>
      <c r="T24" s="241">
        <v>-959.20859223823697</v>
      </c>
      <c r="U24" s="27">
        <v>-907.84878657532226</v>
      </c>
      <c r="V24" s="28">
        <f>-SUMIFS(Aut_Descontos!$F:$F,Aut_Descontos!$L:$L,DRE!T$4,Aut_Descontos!$K:$K,DRE!$A24)+SUMIFS(Aut_Ajustes_Manuais!$G:$G,Aut_Ajustes_Manuais!$I:$I,DRE!T$4,Aut_Ajustes_Manuais!$F:$F,"Descontos - Marketing")</f>
        <v>-2526.91</v>
      </c>
      <c r="W24" s="241">
        <v>-1534.9327731607409</v>
      </c>
      <c r="X24" s="27">
        <v>-808.46395073600002</v>
      </c>
      <c r="Y24" s="28">
        <f>-SUMIFS(Aut_Descontos!$F:$F,Aut_Descontos!$L:$L,DRE!W$4,Aut_Descontos!$K:$K,DRE!$A24)+SUMIFS(Aut_Ajustes_Manuais!$G:$G,Aut_Ajustes_Manuais!$I:$I,DRE!W$4,Aut_Ajustes_Manuais!$F:$F,"Descontos - Marketing")</f>
        <v>-3296.36</v>
      </c>
      <c r="Z24" s="241">
        <v>-2269.8344262248929</v>
      </c>
      <c r="AA24" s="27">
        <v>-985.80415003225767</v>
      </c>
      <c r="AB24" s="28">
        <f>-SUMIFS(Aut_Descontos!$F:$F,Aut_Descontos!$L:$L,DRE!Z$4,Aut_Descontos!$K:$K,DRE!$A24)+SUMIFS(Aut_Ajustes_Manuais!$G:$G,Aut_Ajustes_Manuais!$I:$I,DRE!Z$4,Aut_Ajustes_Manuais!$F:$F,"Descontos - Marketing")</f>
        <v>0</v>
      </c>
      <c r="AC24" s="241">
        <v>-1353.893539866436</v>
      </c>
      <c r="AD24" s="27">
        <v>-1060.1736961572581</v>
      </c>
      <c r="AE24" s="28">
        <f>-SUMIFS(Aut_Descontos!$F:$F,Aut_Descontos!$L:$L,DRE!AC$4,Aut_Descontos!$K:$K,DRE!$A24)+SUMIFS(Aut_Ajustes_Manuais!$G:$G,Aut_Ajustes_Manuais!$I:$I,DRE!AC$4,Aut_Ajustes_Manuais!$F:$F,"Descontos - Marketing")</f>
        <v>0</v>
      </c>
      <c r="AF24" s="241">
        <v>-1410.29</v>
      </c>
      <c r="AG24" s="27">
        <v>-872.17664915333296</v>
      </c>
      <c r="AH24" s="28">
        <f>-SUMIFS(Aut_Descontos!$F:$F,Aut_Descontos!$L:$L,DRE!AF$4,Aut_Descontos!$K:$K,DRE!$A24)+SUMIFS(Aut_Ajustes_Manuais!$G:$G,Aut_Ajustes_Manuais!$I:$I,DRE!AF$4,Aut_Ajustes_Manuais!$F:$F,"Descontos - Marketing")</f>
        <v>0</v>
      </c>
      <c r="AI24" s="241">
        <v>-1704.4357604684169</v>
      </c>
      <c r="AJ24" s="27">
        <v>-810.43992774193521</v>
      </c>
      <c r="AK24" s="28">
        <f>-SUMIFS(Aut_Descontos!$F:$F,Aut_Descontos!$L:$L,DRE!AI$4,Aut_Descontos!$K:$K,DRE!$A24)+SUMIFS(Aut_Ajustes_Manuais!$G:$G,Aut_Ajustes_Manuais!$I:$I,DRE!AI$4,Aut_Ajustes_Manuais!$F:$F,"Descontos - Marketing")</f>
        <v>0</v>
      </c>
      <c r="AL24" s="241">
        <v>-2091.6872253823681</v>
      </c>
      <c r="AM24" s="27">
        <v>-857.90514231688144</v>
      </c>
      <c r="AN24" s="28">
        <f>-SUMIFS(Aut_Descontos!$F:$F,Aut_Descontos!$L:$L,DRE!AL$4,Aut_Descontos!$K:$K,DRE!$A24)+SUMIFS(Aut_Ajustes_Manuais!$G:$G,Aut_Ajustes_Manuais!$I:$I,DRE!AL$4,Aut_Ajustes_Manuais!$F:$F,"Descontos - Marketing")</f>
        <v>0</v>
      </c>
      <c r="AO24" s="241">
        <v>-2078.9809333016392</v>
      </c>
      <c r="AP24" s="27">
        <v>-871.497094827257</v>
      </c>
      <c r="AQ24" s="28">
        <f>-SUMIFS(Aut_Descontos!$F:$F,Aut_Descontos!$L:$L,DRE!AO$4,Aut_Descontos!$K:$K,DRE!$A24)+SUMIFS(Aut_Ajustes_Manuais!$G:$G,Aut_Ajustes_Manuais!$I:$I,DRE!AO$4,Aut_Ajustes_Manuais!$F:$F,"Descontos - Marketing")</f>
        <v>0</v>
      </c>
      <c r="AR24" s="241">
        <f ca="1">SUMIFS($H24:$AO24,$H$5:$AO$5,"&lt;"&amp;MONTH(TODAY()),$H$6:$AO$6,"REAL 25")</f>
        <v>-7344.0851192990121</v>
      </c>
      <c r="AS24" s="27">
        <f ca="1">SUMIFS($I24:$AP24,$I$5:$AP$5,"&lt;"&amp;MONTH(TODAY()),$I$6:$AP$6,"ORÇADO ")</f>
        <v>-4919.745595679974</v>
      </c>
      <c r="AT24" s="28">
        <f ca="1">SUMIFS($J24:$AQ24,$J$5:$AQ$5,"&lt;"&amp;MONTH(TODAY()),$J$6:$AQ$6,"REAL 26")</f>
        <v>-22415.9</v>
      </c>
      <c r="AU24" s="241">
        <f t="shared" si="21"/>
        <v>-18253.207004542768</v>
      </c>
      <c r="AV24" s="27">
        <f t="shared" si="21"/>
        <v>-10377.742255908895</v>
      </c>
      <c r="AW24" s="28">
        <f t="shared" si="21"/>
        <v>-22415.9</v>
      </c>
      <c r="AX24" s="241">
        <f t="shared" si="22"/>
        <v>-2916.9760256804884</v>
      </c>
      <c r="AY24" s="27">
        <f t="shared" si="22"/>
        <v>-2367.686513188652</v>
      </c>
      <c r="AZ24" s="28">
        <f t="shared" si="22"/>
        <v>-12553.79</v>
      </c>
      <c r="BA24" s="241">
        <f t="shared" si="23"/>
        <v>-4427.1090936185237</v>
      </c>
      <c r="BB24" s="27">
        <f t="shared" si="23"/>
        <v>-2552.0590824913224</v>
      </c>
      <c r="BC24" s="28">
        <f t="shared" si="23"/>
        <v>-9862.11</v>
      </c>
      <c r="BD24" s="241">
        <f t="shared" si="24"/>
        <v>-5034.0179660913291</v>
      </c>
      <c r="BE24" s="27">
        <f t="shared" si="24"/>
        <v>-2918.1544953428488</v>
      </c>
      <c r="BF24" s="28">
        <f t="shared" si="24"/>
        <v>0</v>
      </c>
      <c r="BG24" s="241">
        <f t="shared" si="25"/>
        <v>-5875.1039191524242</v>
      </c>
      <c r="BH24" s="27">
        <f t="shared" si="25"/>
        <v>-2539.8421648860735</v>
      </c>
      <c r="BI24" s="28">
        <f t="shared" si="25"/>
        <v>0</v>
      </c>
    </row>
    <row r="25" spans="1:66" s="52" customFormat="1" hidden="1" outlineLevel="1" x14ac:dyDescent="0.3">
      <c r="A25" s="46" t="s">
        <v>44</v>
      </c>
      <c r="B25" s="47"/>
      <c r="C25" s="48"/>
      <c r="D25" s="49"/>
      <c r="E25" s="49"/>
      <c r="F25" s="47"/>
      <c r="G25" s="47"/>
      <c r="H25" s="245">
        <v>-3.9240131517384293E-2</v>
      </c>
      <c r="I25" s="50">
        <v>-3.7632730362878897E-2</v>
      </c>
      <c r="J25" s="51">
        <f>IFERROR(J21/J8,0)+SUMIFS(Aut_Ajustes_Manuais!$G:$G,Aut_Ajustes_Manuais!$I:$I,DRE!H$4,Aut_Ajustes_Manuais!$F:$F,"% sobre Receita Bruta")</f>
        <v>-3.3460159474782016E-2</v>
      </c>
      <c r="K25" s="245">
        <v>-1.6147012262614269E-2</v>
      </c>
      <c r="L25" s="50">
        <v>-3.5152196561598417E-2</v>
      </c>
      <c r="M25" s="51">
        <f>IFERROR(M21/M8,0)+SUMIFS(Aut_Ajustes_Manuais!$G:$G,Aut_Ajustes_Manuais!$I:$I,DRE!K$4,Aut_Ajustes_Manuais!$F:$F,"% sobre Receita Bruta")</f>
        <v>-3.0783366312486158E-2</v>
      </c>
      <c r="N25" s="245">
        <v>-1.89410425840736E-2</v>
      </c>
      <c r="O25" s="50">
        <v>-3.6604093157663928E-2</v>
      </c>
      <c r="P25" s="51">
        <f>IFERROR(P21/P8,0)+SUMIFS(Aut_Ajustes_Manuais!$G:$G,Aut_Ajustes_Manuais!$I:$I,DRE!N$4,Aut_Ajustes_Manuais!$F:$F,"% sobre Receita Bruta")</f>
        <v>-3.0200950466036887E-2</v>
      </c>
      <c r="Q25" s="245">
        <v>-3.5400225208408007E-2</v>
      </c>
      <c r="R25" s="50">
        <v>-3.4119098765653721E-2</v>
      </c>
      <c r="S25" s="51">
        <f>IFERROR(S21/S8,0)+SUMIFS(Aut_Ajustes_Manuais!$G:$G,Aut_Ajustes_Manuais!$I:$I,DRE!Q$4,Aut_Ajustes_Manuais!$F:$F,"% sobre Receita Bruta")</f>
        <v>-3.1414129468280615E-2</v>
      </c>
      <c r="T25" s="245">
        <v>-3.2811982130563071E-2</v>
      </c>
      <c r="U25" s="50">
        <v>-3.7430958025821297E-2</v>
      </c>
      <c r="V25" s="51">
        <f>IFERROR(V21/V8,0)+SUMIFS(Aut_Ajustes_Manuais!$G:$G,Aut_Ajustes_Manuais!$I:$I,DRE!T$4,Aut_Ajustes_Manuais!$F:$F,"% sobre Receita Bruta")</f>
        <v>-2.3429287876293361E-2</v>
      </c>
      <c r="W25" s="245">
        <v>-3.3433858690001747E-2</v>
      </c>
      <c r="X25" s="50">
        <v>-3.5859368274278283E-2</v>
      </c>
      <c r="Y25" s="51">
        <f>IFERROR(Y21/Y8,0)+SUMIFS(Aut_Ajustes_Manuais!$G:$G,Aut_Ajustes_Manuais!$I:$I,DRE!W$4,Aut_Ajustes_Manuais!$F:$F,"% sobre Receita Bruta")</f>
        <v>-2.7550841661436714E-2</v>
      </c>
      <c r="Z25" s="245">
        <v>-2.7817270683945482E-2</v>
      </c>
      <c r="AA25" s="50">
        <v>-3.3435756409122053E-2</v>
      </c>
      <c r="AB25" s="51">
        <f>IFERROR(AB21/AB8,0)+SUMIFS(Aut_Ajustes_Manuais!$G:$G,Aut_Ajustes_Manuais!$I:$I,DRE!Z$4,Aut_Ajustes_Manuais!$F:$F,"% sobre Receita Bruta")</f>
        <v>0</v>
      </c>
      <c r="AC25" s="245">
        <v>-2.7369426257417891E-2</v>
      </c>
      <c r="AD25" s="50">
        <v>-3.8008610060472549E-2</v>
      </c>
      <c r="AE25" s="51">
        <f>IFERROR(AE21/AE8,0)+SUMIFS(Aut_Ajustes_Manuais!$G:$G,Aut_Ajustes_Manuais!$I:$I,DRE!AC$4,Aut_Ajustes_Manuais!$F:$F,"% sobre Receita Bruta")</f>
        <v>0</v>
      </c>
      <c r="AF25" s="245">
        <v>-2.9012493076298398E-2</v>
      </c>
      <c r="AG25" s="50">
        <v>-3.5110359983674323E-2</v>
      </c>
      <c r="AH25" s="51">
        <f>IFERROR(AH21/AH8,0)+SUMIFS(Aut_Ajustes_Manuais!$G:$G,Aut_Ajustes_Manuais!$I:$I,DRE!AF$4,Aut_Ajustes_Manuais!$F:$F,"% sobre Receita Bruta")</f>
        <v>0</v>
      </c>
      <c r="AI25" s="245">
        <v>-3.0934409192151409E-2</v>
      </c>
      <c r="AJ25" s="50">
        <v>-3.1592467757524223E-2</v>
      </c>
      <c r="AK25" s="51">
        <f>IFERROR(AK21/AK8,0)+SUMIFS(Aut_Ajustes_Manuais!$G:$G,Aut_Ajustes_Manuais!$I:$I,DRE!AI$4,Aut_Ajustes_Manuais!$F:$F,"% sobre Receita Bruta")</f>
        <v>0</v>
      </c>
      <c r="AL25" s="245">
        <v>-3.0551327099055479E-2</v>
      </c>
      <c r="AM25" s="50">
        <v>-3.1601280586261341E-2</v>
      </c>
      <c r="AN25" s="51">
        <f>IFERROR(AN21/AN8,0)+SUMIFS(Aut_Ajustes_Manuais!$G:$G,Aut_Ajustes_Manuais!$I:$I,DRE!AL$4,Aut_Ajustes_Manuais!$F:$F,"% sobre Receita Bruta")</f>
        <v>0</v>
      </c>
      <c r="AO25" s="245">
        <v>-2.2454964651577088E-2</v>
      </c>
      <c r="AP25" s="50">
        <v>-2.513641942334317E-2</v>
      </c>
      <c r="AQ25" s="51">
        <f>IFERROR(AQ21/AQ8,0)+SUMIFS(Aut_Ajustes_Manuais!$G:$G,Aut_Ajustes_Manuais!$I:$I,DRE!AO$4,Aut_Ajustes_Manuais!$F:$F,"% sobre Receita Bruta")</f>
        <v>0</v>
      </c>
      <c r="AR25" s="245">
        <f t="shared" ref="AR25:BI25" ca="1" si="26">IFERROR(AR21/AR8,0)</f>
        <v>-2.9287646964532361E-2</v>
      </c>
      <c r="AS25" s="50">
        <f t="shared" ca="1" si="26"/>
        <v>-3.6104275854354766E-2</v>
      </c>
      <c r="AT25" s="51">
        <f t="shared" ca="1" si="26"/>
        <v>-2.9383948711325499E-2</v>
      </c>
      <c r="AU25" s="245">
        <f t="shared" si="26"/>
        <v>-2.819733934979515E-2</v>
      </c>
      <c r="AV25" s="50">
        <f t="shared" si="26"/>
        <v>-3.3919304457170694E-2</v>
      </c>
      <c r="AW25" s="51">
        <f t="shared" si="26"/>
        <v>-2.7795358380165627E-2</v>
      </c>
      <c r="AX25" s="245">
        <f t="shared" si="26"/>
        <v>-2.3911359345989664E-2</v>
      </c>
      <c r="AY25" s="50">
        <f t="shared" si="26"/>
        <v>-3.6442445978751188E-2</v>
      </c>
      <c r="AZ25" s="51">
        <f t="shared" si="26"/>
        <v>-3.1324265583537646E-2</v>
      </c>
      <c r="BA25" s="245">
        <f t="shared" si="26"/>
        <v>-3.3884902386568709E-2</v>
      </c>
      <c r="BB25" s="50">
        <f t="shared" si="26"/>
        <v>-3.5796101197115501E-2</v>
      </c>
      <c r="BC25" s="51">
        <f t="shared" si="26"/>
        <v>-2.7425953031088073E-2</v>
      </c>
      <c r="BD25" s="245">
        <f t="shared" si="26"/>
        <v>-2.8018934923161955E-2</v>
      </c>
      <c r="BE25" s="50">
        <f t="shared" si="26"/>
        <v>-3.5493096249105335E-2</v>
      </c>
      <c r="BF25" s="51">
        <f t="shared" si="26"/>
        <v>0</v>
      </c>
      <c r="BG25" s="245">
        <f t="shared" si="26"/>
        <v>-2.6840646491284717E-2</v>
      </c>
      <c r="BH25" s="50">
        <f t="shared" si="26"/>
        <v>-2.9036245644262878E-2</v>
      </c>
      <c r="BI25" s="51">
        <f t="shared" si="26"/>
        <v>0</v>
      </c>
    </row>
    <row r="26" spans="1:66" collapsed="1" x14ac:dyDescent="0.3">
      <c r="A26" s="18"/>
      <c r="E26" s="16"/>
      <c r="F26" s="17"/>
      <c r="H26" s="246"/>
      <c r="I26" s="53"/>
      <c r="J26" s="54"/>
      <c r="K26" s="246"/>
      <c r="L26" s="53"/>
      <c r="M26" s="54"/>
      <c r="N26" s="246"/>
      <c r="O26" s="53"/>
      <c r="P26" s="54"/>
      <c r="Q26" s="246"/>
      <c r="R26" s="53"/>
      <c r="S26" s="54"/>
      <c r="T26" s="246"/>
      <c r="U26" s="53"/>
      <c r="V26" s="54"/>
      <c r="W26" s="246"/>
      <c r="X26" s="53"/>
      <c r="Y26" s="54"/>
      <c r="Z26" s="246"/>
      <c r="AA26" s="53"/>
      <c r="AB26" s="54"/>
      <c r="AC26" s="246"/>
      <c r="AD26" s="53"/>
      <c r="AE26" s="54"/>
      <c r="AF26" s="246"/>
      <c r="AG26" s="53"/>
      <c r="AH26" s="54"/>
      <c r="AI26" s="246"/>
      <c r="AJ26" s="53"/>
      <c r="AK26" s="54"/>
      <c r="AL26" s="246"/>
      <c r="AM26" s="53"/>
      <c r="AN26" s="54"/>
      <c r="AO26" s="246"/>
      <c r="AP26" s="53"/>
      <c r="AQ26" s="54"/>
      <c r="AR26" s="246"/>
      <c r="AS26" s="53"/>
      <c r="AT26" s="54"/>
      <c r="AU26" s="246"/>
      <c r="AV26" s="53"/>
      <c r="AW26" s="54"/>
      <c r="AX26" s="246"/>
      <c r="AY26" s="53"/>
      <c r="AZ26" s="54"/>
      <c r="BA26" s="246"/>
      <c r="BB26" s="53"/>
      <c r="BC26" s="54"/>
      <c r="BD26" s="246"/>
      <c r="BE26" s="53"/>
      <c r="BF26" s="54"/>
      <c r="BG26" s="246"/>
      <c r="BH26" s="53"/>
      <c r="BI26" s="54"/>
    </row>
    <row r="27" spans="1:66" x14ac:dyDescent="0.3">
      <c r="A27" s="39" t="s">
        <v>45</v>
      </c>
      <c r="C27" s="40" t="s">
        <v>35</v>
      </c>
      <c r="D27" s="40" t="s">
        <v>36</v>
      </c>
      <c r="E27" s="40" t="s">
        <v>37</v>
      </c>
      <c r="F27" s="41"/>
      <c r="H27" s="244">
        <v>-21310.896732420821</v>
      </c>
      <c r="I27" s="42">
        <v>-23484.395547104621</v>
      </c>
      <c r="J27" s="43">
        <f>SUM(J28:J30)+SUMIFS(Aut_Ajustes_Manuais!$G:$G,Aut_Ajustes_Manuais!$I:$I,DRE!H$4,Aut_Ajustes_Manuais!$F:$F,"(-) Impostos sobre Venda")</f>
        <v>-27415.926707200004</v>
      </c>
      <c r="K27" s="244">
        <v>-22191.420235545731</v>
      </c>
      <c r="L27" s="42">
        <v>-26173.161323535682</v>
      </c>
      <c r="M27" s="43">
        <f>SUM(M28:M30)+SUMIFS(Aut_Ajustes_Manuais!$G:$G,Aut_Ajustes_Manuais!$I:$I,DRE!K$4,Aut_Ajustes_Manuais!$F:$F,"(-) Impostos sobre Venda")</f>
        <v>-28696.7201264</v>
      </c>
      <c r="N27" s="244">
        <v>-30727.484915805431</v>
      </c>
      <c r="O27" s="42">
        <v>-32906.817658637017</v>
      </c>
      <c r="P27" s="43">
        <f>SUM(P28:P30)+SUMIFS(Aut_Ajustes_Manuais!$G:$G,Aut_Ajustes_Manuais!$I:$I,DRE!N$4,Aut_Ajustes_Manuais!$F:$F,"(-) Impostos sobre Venda")</f>
        <v>-38699.076639999985</v>
      </c>
      <c r="Q27" s="244">
        <v>-28478.15050253554</v>
      </c>
      <c r="R27" s="42">
        <v>-31509.729857493669</v>
      </c>
      <c r="S27" s="43">
        <f>SUM(S28:S30)+SUMIFS(Aut_Ajustes_Manuais!$G:$G,Aut_Ajustes_Manuais!$I:$I,DRE!Q$4,Aut_Ajustes_Manuais!$F:$F,"(-) Impostos sobre Venda")</f>
        <v>-30509.2582368</v>
      </c>
      <c r="T27" s="244">
        <v>-29311.469617383369</v>
      </c>
      <c r="U27" s="42">
        <v>-30726.034528214172</v>
      </c>
      <c r="V27" s="43">
        <f>SUM(V28:V30)+SUMIFS(Aut_Ajustes_Manuais!$G:$G,Aut_Ajustes_Manuais!$I:$I,DRE!T$4,Aut_Ajustes_Manuais!$F:$F,"(-) Impostos sobre Venda")</f>
        <v>-32037.992991999996</v>
      </c>
      <c r="W27" s="244">
        <v>-28599.33543567947</v>
      </c>
      <c r="X27" s="42">
        <v>-28767.842342794429</v>
      </c>
      <c r="Y27" s="43">
        <f>SUM(Y28:Y30)+SUMIFS(Aut_Ajustes_Manuais!$G:$G,Aut_Ajustes_Manuais!$I:$I,DRE!W$4,Aut_Ajustes_Manuais!$F:$F,"(-) Impostos sobre Venda")</f>
        <v>-32324.278407999991</v>
      </c>
      <c r="Z27" s="244">
        <v>-33630.113179210712</v>
      </c>
      <c r="AA27" s="42">
        <v>-38066.135703808242</v>
      </c>
      <c r="AB27" s="43">
        <f>SUM(AB28:AB30)+SUMIFS(Aut_Ajustes_Manuais!$G:$G,Aut_Ajustes_Manuais!$I:$I,DRE!Z$4,Aut_Ajustes_Manuais!$F:$F,"(-) Impostos sobre Venda")</f>
        <v>-10550.287688</v>
      </c>
      <c r="AC27" s="244">
        <v>-33682.511239762367</v>
      </c>
      <c r="AD27" s="42">
        <v>-35243.483750160012</v>
      </c>
      <c r="AE27" s="43">
        <f>SUM(AE28:AE30)+SUMIFS(Aut_Ajustes_Manuais!$G:$G,Aut_Ajustes_Manuais!$I:$I,DRE!AC$4,Aut_Ajustes_Manuais!$F:$F,"(-) Impostos sobre Venda")</f>
        <v>-280.26</v>
      </c>
      <c r="AF27" s="244">
        <v>-28496.17683472011</v>
      </c>
      <c r="AG27" s="42">
        <v>-31827.23050196029</v>
      </c>
      <c r="AH27" s="43">
        <f>SUM(AH28:AH30)+SUMIFS(Aut_Ajustes_Manuais!$G:$G,Aut_Ajustes_Manuais!$I:$I,DRE!AF$4,Aut_Ajustes_Manuais!$F:$F,"(-) Impostos sobre Venda")</f>
        <v>0</v>
      </c>
      <c r="AI27" s="244">
        <v>-27915.82321572306</v>
      </c>
      <c r="AJ27" s="42">
        <v>-33372.163268362703</v>
      </c>
      <c r="AK27" s="43">
        <f>SUM(AK28:AK30)+SUMIFS(Aut_Ajustes_Manuais!$G:$G,Aut_Ajustes_Manuais!$I:$I,DRE!AI$4,Aut_Ajustes_Manuais!$F:$F,"(-) Impostos sobre Venda")</f>
        <v>0</v>
      </c>
      <c r="AL27" s="244">
        <v>-31995.13877009771</v>
      </c>
      <c r="AM27" s="42">
        <v>-35308.046827915539</v>
      </c>
      <c r="AN27" s="43">
        <f>SUM(AN28:AN30)+SUMIFS(Aut_Ajustes_Manuais!$G:$G,Aut_Ajustes_Manuais!$I:$I,DRE!AL$4,Aut_Ajustes_Manuais!$F:$F,"(-) Impostos sobre Venda")</f>
        <v>-330.53999999999996</v>
      </c>
      <c r="AO27" s="244">
        <v>-46586.163923367953</v>
      </c>
      <c r="AP27" s="42">
        <v>-46444.673662674577</v>
      </c>
      <c r="AQ27" s="43">
        <f>SUM(AQ28:AQ30)+SUMIFS(Aut_Ajustes_Manuais!$G:$G,Aut_Ajustes_Manuais!$I:$I,DRE!AO$4,Aut_Ajustes_Manuais!$F:$F,"(-) Impostos sobre Venda")</f>
        <v>0</v>
      </c>
      <c r="AR27" s="244">
        <f t="shared" ref="AR27:BI27" ca="1" si="27">SUM(AR28:AR30)</f>
        <v>-160618.75743937033</v>
      </c>
      <c r="AS27" s="42">
        <f t="shared" ca="1" si="27"/>
        <v>-173567.98125777958</v>
      </c>
      <c r="AT27" s="43">
        <f t="shared" ca="1" si="27"/>
        <v>-189683.25311039999</v>
      </c>
      <c r="AU27" s="244">
        <f t="shared" si="27"/>
        <v>-362924.68460225221</v>
      </c>
      <c r="AV27" s="42">
        <f t="shared" si="27"/>
        <v>-393829.71497266094</v>
      </c>
      <c r="AW27" s="43">
        <f t="shared" si="27"/>
        <v>-200844.34079839996</v>
      </c>
      <c r="AX27" s="244">
        <f t="shared" si="27"/>
        <v>-74229.801883771957</v>
      </c>
      <c r="AY27" s="42">
        <f t="shared" si="27"/>
        <v>-82564.374529277309</v>
      </c>
      <c r="AZ27" s="43">
        <f t="shared" si="27"/>
        <v>-94811.723473599995</v>
      </c>
      <c r="BA27" s="244">
        <f t="shared" si="27"/>
        <v>-86388.955555598368</v>
      </c>
      <c r="BB27" s="42">
        <f t="shared" si="27"/>
        <v>-91003.606728502273</v>
      </c>
      <c r="BC27" s="43">
        <f t="shared" si="27"/>
        <v>-94871.529636799984</v>
      </c>
      <c r="BD27" s="244">
        <f t="shared" si="27"/>
        <v>-95808.801253693193</v>
      </c>
      <c r="BE27" s="42">
        <f t="shared" si="27"/>
        <v>-105136.84995592851</v>
      </c>
      <c r="BF27" s="43">
        <f t="shared" si="27"/>
        <v>-10830.547688000002</v>
      </c>
      <c r="BG27" s="244">
        <f t="shared" si="27"/>
        <v>-106497.12590918872</v>
      </c>
      <c r="BH27" s="42">
        <f t="shared" si="27"/>
        <v>-115124.88375895283</v>
      </c>
      <c r="BI27" s="43">
        <f t="shared" si="27"/>
        <v>-330.53999999999996</v>
      </c>
    </row>
    <row r="28" spans="1:66" s="29" customFormat="1" hidden="1" outlineLevel="1" x14ac:dyDescent="0.3">
      <c r="A28" s="22" t="s">
        <v>46</v>
      </c>
      <c r="B28" s="23"/>
      <c r="C28" s="24" t="s">
        <v>47</v>
      </c>
      <c r="D28" s="25"/>
      <c r="E28" s="55">
        <v>3.6499999999999998E-2</v>
      </c>
      <c r="F28" s="56"/>
      <c r="G28" s="23"/>
      <c r="H28" s="241">
        <v>-10535.753932420819</v>
      </c>
      <c r="I28" s="27">
        <v>-10948.287229065911</v>
      </c>
      <c r="J28" s="28">
        <f>-Fiscal!D21-Fiscal!D22+SUMIFS(Aut_Ajustes_Manuais!$G:$G,Aut_Ajustes_Manuais!$I:$I,DRE!H$4,Aut_Ajustes_Manuais!$F:$F,"PIS / COFINS")</f>
        <v>-12790.219507200001</v>
      </c>
      <c r="K28" s="241">
        <v>-10812.273035545721</v>
      </c>
      <c r="L28" s="27">
        <v>-12178.771899284249</v>
      </c>
      <c r="M28" s="28">
        <f>-Fiscal!E21-Fiscal!E22+SUMIFS(Aut_Ajustes_Manuais!$G:$G,Aut_Ajustes_Manuais!$I:$I,DRE!K$4,Aut_Ajustes_Manuais!$F:$F,"PIS / COFINS")</f>
        <v>-13389.843726399999</v>
      </c>
      <c r="N28" s="241">
        <v>-15212.85891580542</v>
      </c>
      <c r="O28" s="27">
        <v>-15326.838395824099</v>
      </c>
      <c r="P28" s="28">
        <f>-Fiscal!F21-Fiscal!F22+SUMIFS(Aut_Ajustes_Manuais!$G:$G,Aut_Ajustes_Manuais!$I:$I,DRE!N$4,Aut_Ajustes_Manuais!$F:$F,"PIS / COFINS")</f>
        <v>-18032.436639999993</v>
      </c>
      <c r="Q28" s="241">
        <v>-13551.527702535541</v>
      </c>
      <c r="R28" s="27">
        <v>-14644.465977829659</v>
      </c>
      <c r="S28" s="28">
        <f>-Fiscal!H21-Fiscal!H22+SUMIFS(Aut_Ajustes_Manuais!$G:$G,Aut_Ajustes_Manuais!$I:$I,DRE!Q$4,Aut_Ajustes_Manuais!$F:$F,"PIS / COFINS")</f>
        <v>-14236.521436799998</v>
      </c>
      <c r="T28" s="241">
        <v>-14512.410017383359</v>
      </c>
      <c r="U28" s="27">
        <v>-14324.414662428369</v>
      </c>
      <c r="V28" s="28">
        <f>-Fiscal!I21-Fiscal!I22+SUMIFS(Aut_Ajustes_Manuais!$G:$G,Aut_Ajustes_Manuais!$I:$I,DRE!T$4,Aut_Ajustes_Manuais!$F:$F,"PIS / COFINS")</f>
        <v>-14917.250991999997</v>
      </c>
      <c r="W28" s="241">
        <v>-13935.442635679459</v>
      </c>
      <c r="X28" s="27">
        <v>-13393.146882882689</v>
      </c>
      <c r="Y28" s="28">
        <f>-Fiscal!J21-Fiscal!J22+SUMIFS(Aut_Ajustes_Manuais!$G:$G,Aut_Ajustes_Manuais!$I:$I,DRE!W$4,Aut_Ajustes_Manuais!$F:$F,"PIS / COFINS")</f>
        <v>-15077.120407999997</v>
      </c>
      <c r="Z28" s="241">
        <v>-15753.48277921071</v>
      </c>
      <c r="AA28" s="27">
        <v>-17675.99085929212</v>
      </c>
      <c r="AB28" s="28">
        <f>-Fiscal!L21-Fiscal!L22+SUMIFS(Aut_Ajustes_Manuais!$G:$G,Aut_Ajustes_Manuais!$I:$I,DRE!Z$4,Aut_Ajustes_Manuais!$F:$F,"PIS / COFINS")</f>
        <v>-4916.3496880000002</v>
      </c>
      <c r="AC28" s="241">
        <v>-16838.642039762381</v>
      </c>
      <c r="AD28" s="27">
        <v>-16439.246090159999</v>
      </c>
      <c r="AE28" s="28">
        <f>-Fiscal!M21-Fiscal!M22+SUMIFS(Aut_Ajustes_Manuais!$G:$G,Aut_Ajustes_Manuais!$I:$I,DRE!AC$4,Aut_Ajustes_Manuais!$F:$F,"PIS / COFINS")</f>
        <v>-118.26</v>
      </c>
      <c r="AF28" s="241">
        <v>-13705.25923472011</v>
      </c>
      <c r="AG28" s="27">
        <v>-14801.7062713418</v>
      </c>
      <c r="AH28" s="28">
        <f>-Fiscal!N21-Fiscal!N22+SUMIFS(Aut_Ajustes_Manuais!$G:$G,Aut_Ajustes_Manuais!$I:$I,DRE!AF$4,Aut_Ajustes_Manuais!$F:$F,"PIS / COFINS")</f>
        <v>0</v>
      </c>
      <c r="AI28" s="241">
        <v>-12819.44841572306</v>
      </c>
      <c r="AJ28" s="27">
        <v>-15476.118691943349</v>
      </c>
      <c r="AK28" s="28">
        <f>-Fiscal!P21-Fiscal!P22+SUMIFS(Aut_Ajustes_Manuais!$G:$G,Aut_Ajustes_Manuais!$I:$I,DRE!AI$4,Aut_Ajustes_Manuais!$F:$F,"PIS / COFINS")</f>
        <v>0</v>
      </c>
      <c r="AL28" s="241">
        <v>-15583.34997009771</v>
      </c>
      <c r="AM28" s="27">
        <v>-16374.096843789799</v>
      </c>
      <c r="AN28" s="28">
        <f>-Fiscal!Q21-Fiscal!Q22+SUMIFS(Aut_Ajustes_Manuais!$G:$G,Aut_Ajustes_Manuais!$I:$I,DRE!AL$4,Aut_Ajustes_Manuais!$F:$F,"PIS / COFINS")</f>
        <v>-144.54</v>
      </c>
      <c r="AO28" s="241">
        <v>-17268.278423367941</v>
      </c>
      <c r="AP28" s="27">
        <v>-21407.043138860841</v>
      </c>
      <c r="AQ28" s="28">
        <f>-Fiscal!R21-Fiscal!R22+SUMIFS(Aut_Ajustes_Manuais!$G:$G,Aut_Ajustes_Manuais!$I:$I,DRE!AO$4,Aut_Ajustes_Manuais!$F:$F,"PIS / COFINS")</f>
        <v>0</v>
      </c>
      <c r="AR28" s="241">
        <f ca="1">SUMIFS($H28:$AO28,$H$5:$AO$5,"&lt;"&amp;MONTH(TODAY()),$H$6:$AO$6,"REAL 25")</f>
        <v>-78560.266239370321</v>
      </c>
      <c r="AS28" s="27">
        <f ca="1">SUMIFS($I28:$AP28,$I$5:$AP$5,"&lt;"&amp;MONTH(TODAY()),$I$6:$AP$6,"ORÇADO ")</f>
        <v>-80815.925047314988</v>
      </c>
      <c r="AT28" s="28">
        <f ca="1">SUMIFS($J28:$AQ28,$J$5:$AQ$5,"&lt;"&amp;MONTH(TODAY()),$J$6:$AQ$6,"REAL 26")</f>
        <v>-88443.392710399989</v>
      </c>
      <c r="AU28" s="241">
        <f t="shared" ref="AU28:AW30" si="28">SUM(H28,K28,N28,Q28,T28,W28,Z28,AC28,AF28,AI28,AL28,AO28)</f>
        <v>-170528.72710225222</v>
      </c>
      <c r="AV28" s="27">
        <f t="shared" si="28"/>
        <v>-182990.12694270289</v>
      </c>
      <c r="AW28" s="28">
        <f t="shared" si="28"/>
        <v>-93622.542398399979</v>
      </c>
      <c r="AX28" s="241">
        <f t="shared" ref="AX28:AZ30" si="29">SUM(H28,K28,N28)</f>
        <v>-36560.88588377196</v>
      </c>
      <c r="AY28" s="27">
        <f t="shared" si="29"/>
        <v>-38453.897524174259</v>
      </c>
      <c r="AZ28" s="28">
        <f t="shared" si="29"/>
        <v>-44212.499873599991</v>
      </c>
      <c r="BA28" s="241">
        <f t="shared" ref="BA28:BC30" si="30">SUM(Q28,T28,W28)</f>
        <v>-41999.380355598361</v>
      </c>
      <c r="BB28" s="27">
        <f t="shared" si="30"/>
        <v>-42362.027523140721</v>
      </c>
      <c r="BC28" s="28">
        <f t="shared" si="30"/>
        <v>-44230.892836799991</v>
      </c>
      <c r="BD28" s="241">
        <f t="shared" ref="BD28:BF30" si="31">SUM(Z28,AC28,AF28)</f>
        <v>-46297.384053693197</v>
      </c>
      <c r="BE28" s="27">
        <f t="shared" si="31"/>
        <v>-48916.943220793917</v>
      </c>
      <c r="BF28" s="28">
        <f t="shared" si="31"/>
        <v>-5034.6096880000005</v>
      </c>
      <c r="BG28" s="241">
        <f t="shared" ref="BG28:BI30" si="32">SUM(AI28,AL28,AO28)</f>
        <v>-45671.076809188715</v>
      </c>
      <c r="BH28" s="27">
        <f t="shared" si="32"/>
        <v>-53257.258674593992</v>
      </c>
      <c r="BI28" s="28">
        <f t="shared" si="32"/>
        <v>-144.54</v>
      </c>
    </row>
    <row r="29" spans="1:66" s="29" customFormat="1" hidden="1" outlineLevel="1" x14ac:dyDescent="0.3">
      <c r="A29" s="22" t="s">
        <v>48</v>
      </c>
      <c r="B29" s="23"/>
      <c r="C29" s="24" t="s">
        <v>47</v>
      </c>
      <c r="D29" s="25"/>
      <c r="E29" s="55">
        <v>0.04</v>
      </c>
      <c r="F29" s="56"/>
      <c r="G29" s="23"/>
      <c r="H29" s="241">
        <v>-10435.1428</v>
      </c>
      <c r="I29" s="27">
        <v>-12307.727102038711</v>
      </c>
      <c r="J29" s="28">
        <f>-Fiscal!D23+SUMIFS(Aut_Ajustes_Manuais!$G:$G,Aut_Ajustes_Manuais!$I:$I,DRE!H$4,Aut_Ajustes_Manuais!$F:$F,"ICMS")</f>
        <v>-14475.707200000003</v>
      </c>
      <c r="K29" s="241">
        <v>-11059.147199999999</v>
      </c>
      <c r="L29" s="27">
        <v>-13444.298764251431</v>
      </c>
      <c r="M29" s="28">
        <f>-Fiscal!E23+SUMIFS(Aut_Ajustes_Manuais!$G:$G,Aut_Ajustes_Manuais!$I:$I,DRE!K$4,Aut_Ajustes_Manuais!$F:$F,"ICMS")</f>
        <v>-15176.876400000001</v>
      </c>
      <c r="N29" s="241">
        <v>-15009.626</v>
      </c>
      <c r="O29" s="27">
        <v>-17078.448862812911</v>
      </c>
      <c r="P29" s="28">
        <f>-Fiscal!F23+SUMIFS(Aut_Ajustes_Manuais!$G:$G,Aut_Ajustes_Manuais!$I:$I,DRE!N$4,Aut_Ajustes_Manuais!$F:$F,"ICMS")</f>
        <v>-20176.639999999996</v>
      </c>
      <c r="Q29" s="241">
        <v>-14461.622799999999</v>
      </c>
      <c r="R29" s="27">
        <v>-15978.242093663999</v>
      </c>
      <c r="S29" s="28">
        <f>-Fiscal!H23+SUMIFS(Aut_Ajustes_Manuais!$G:$G,Aut_Ajustes_Manuais!$I:$I,DRE!Q$4,Aut_Ajustes_Manuais!$F:$F,"ICMS")</f>
        <v>-16146.736800000001</v>
      </c>
      <c r="T29" s="241">
        <v>-14439.059600000001</v>
      </c>
      <c r="U29" s="27">
        <v>-16104.329865785799</v>
      </c>
      <c r="V29" s="28">
        <f>-Fiscal!I23+SUMIFS(Aut_Ajustes_Manuais!$G:$G,Aut_Ajustes_Manuais!$I:$I,DRE!T$4,Aut_Ajustes_Manuais!$F:$F,"ICMS")</f>
        <v>-16569.241999999998</v>
      </c>
      <c r="W29" s="241">
        <v>-14098.8928</v>
      </c>
      <c r="X29" s="27">
        <v>-14860.405459911741</v>
      </c>
      <c r="Y29" s="28">
        <f>-Fiscal!J23+SUMIFS(Aut_Ajustes_Manuais!$G:$G,Aut_Ajustes_Manuais!$I:$I,DRE!W$4,Aut_Ajustes_Manuais!$F:$F,"ICMS")</f>
        <v>-17032.157999999996</v>
      </c>
      <c r="Z29" s="241">
        <v>-17616.630399999998</v>
      </c>
      <c r="AA29" s="27">
        <v>-19117.706320516121</v>
      </c>
      <c r="AB29" s="28">
        <f>-Fiscal!L23+SUMIFS(Aut_Ajustes_Manuais!$G:$G,Aut_Ajustes_Manuais!$I:$I,DRE!Z$4,Aut_Ajustes_Manuais!$F:$F,"ICMS")</f>
        <v>-5503.938000000001</v>
      </c>
      <c r="AC29" s="241">
        <v>-16418.869200000001</v>
      </c>
      <c r="AD29" s="27">
        <v>-18576.38766</v>
      </c>
      <c r="AE29" s="28">
        <f>-Fiscal!M23+SUMIFS(Aut_Ajustes_Manuais!$G:$G,Aut_Ajustes_Manuais!$I:$I,DRE!AC$4,Aut_Ajustes_Manuais!$F:$F,"ICMS")</f>
        <v>0</v>
      </c>
      <c r="AF29" s="241">
        <v>-14272.167600000001</v>
      </c>
      <c r="AG29" s="27">
        <v>-16253.928650618491</v>
      </c>
      <c r="AH29" s="28">
        <f>-Fiscal!N23+SUMIFS(Aut_Ajustes_Manuais!$G:$G,Aut_Ajustes_Manuais!$I:$I,DRE!AF$4,Aut_Ajustes_Manuais!$F:$F,"ICMS")</f>
        <v>0</v>
      </c>
      <c r="AI29" s="241">
        <v>-14724.3748</v>
      </c>
      <c r="AJ29" s="27">
        <v>-16520.59007641935</v>
      </c>
      <c r="AK29" s="28">
        <f>-Fiscal!P23+SUMIFS(Aut_Ajustes_Manuais!$G:$G,Aut_Ajustes_Manuais!$I:$I,DRE!AI$4,Aut_Ajustes_Manuais!$F:$F,"ICMS")</f>
        <v>0</v>
      </c>
      <c r="AL29" s="241">
        <v>-16043.2888</v>
      </c>
      <c r="AM29" s="27">
        <v>-17481.598324506958</v>
      </c>
      <c r="AN29" s="28">
        <f>-Fiscal!Q23+SUMIFS(Aut_Ajustes_Manuais!$G:$G,Aut_Ajustes_Manuais!$I:$I,DRE!AL$4,Aut_Ajustes_Manuais!$F:$F,"ICMS")</f>
        <v>-60</v>
      </c>
      <c r="AO29" s="241">
        <v>-28168.878000000001</v>
      </c>
      <c r="AP29" s="27">
        <v>-21435.430523813749</v>
      </c>
      <c r="AQ29" s="28">
        <f>-Fiscal!R23+SUMIFS(Aut_Ajustes_Manuais!$G:$G,Aut_Ajustes_Manuais!$I:$I,DRE!AO$4,Aut_Ajustes_Manuais!$F:$F,"ICMS")</f>
        <v>0</v>
      </c>
      <c r="AR29" s="241">
        <f ca="1">SUMIFS($H29:$AO29,$H$5:$AO$5,"&lt;"&amp;MONTH(TODAY()),$H$6:$AO$6,"REAL 25")</f>
        <v>-79503.491199999989</v>
      </c>
      <c r="AS29" s="27">
        <f ca="1">SUMIFS($I29:$AP29,$I$5:$AP$5,"&lt;"&amp;MONTH(TODAY()),$I$6:$AP$6,"ORÇADO ")</f>
        <v>-89773.452148464581</v>
      </c>
      <c r="AT29" s="28">
        <f ca="1">SUMIFS($J29:$AQ29,$J$5:$AQ$5,"&lt;"&amp;MONTH(TODAY()),$J$6:$AQ$6,"REAL 26")</f>
        <v>-99577.36039999999</v>
      </c>
      <c r="AU29" s="241">
        <f t="shared" si="28"/>
        <v>-186747.69999999998</v>
      </c>
      <c r="AV29" s="27">
        <f t="shared" si="28"/>
        <v>-199159.09370433926</v>
      </c>
      <c r="AW29" s="28">
        <f t="shared" si="28"/>
        <v>-105141.29839999999</v>
      </c>
      <c r="AX29" s="241">
        <f t="shared" si="29"/>
        <v>-36503.915999999997</v>
      </c>
      <c r="AY29" s="27">
        <f t="shared" si="29"/>
        <v>-42830.474729103051</v>
      </c>
      <c r="AZ29" s="28">
        <f t="shared" si="29"/>
        <v>-49829.223599999998</v>
      </c>
      <c r="BA29" s="241">
        <f t="shared" si="30"/>
        <v>-42999.575199999999</v>
      </c>
      <c r="BB29" s="27">
        <f t="shared" si="30"/>
        <v>-46942.977419361545</v>
      </c>
      <c r="BC29" s="28">
        <f t="shared" si="30"/>
        <v>-49748.136799999993</v>
      </c>
      <c r="BD29" s="241">
        <f t="shared" si="31"/>
        <v>-48307.667199999996</v>
      </c>
      <c r="BE29" s="27">
        <f t="shared" si="31"/>
        <v>-53948.022631134605</v>
      </c>
      <c r="BF29" s="28">
        <f t="shared" si="31"/>
        <v>-5503.938000000001</v>
      </c>
      <c r="BG29" s="241">
        <f t="shared" si="32"/>
        <v>-58936.541599999997</v>
      </c>
      <c r="BH29" s="27">
        <f t="shared" si="32"/>
        <v>-55437.618924740062</v>
      </c>
      <c r="BI29" s="28">
        <f t="shared" si="32"/>
        <v>-60</v>
      </c>
    </row>
    <row r="30" spans="1:66" s="29" customFormat="1" hidden="1" outlineLevel="1" x14ac:dyDescent="0.3">
      <c r="A30" s="22" t="s">
        <v>49</v>
      </c>
      <c r="B30" s="23"/>
      <c r="C30" s="24" t="s">
        <v>47</v>
      </c>
      <c r="D30" s="55"/>
      <c r="E30" s="55">
        <v>0.05</v>
      </c>
      <c r="F30" s="56"/>
      <c r="G30" s="23"/>
      <c r="H30" s="241">
        <v>-340</v>
      </c>
      <c r="I30" s="27">
        <v>-228.38121599999999</v>
      </c>
      <c r="J30" s="28">
        <f>-Fiscal!D20+SUMIFS(Aut_Ajustes_Manuais!$G:$G,Aut_Ajustes_Manuais!$I:$I,DRE!H$4,Aut_Ajustes_Manuais!$F:$F,"ISS")</f>
        <v>-150</v>
      </c>
      <c r="K30" s="241">
        <v>-320</v>
      </c>
      <c r="L30" s="27">
        <v>-550.09065999999996</v>
      </c>
      <c r="M30" s="28">
        <f>-Fiscal!E20+SUMIFS(Aut_Ajustes_Manuais!$G:$G,Aut_Ajustes_Manuais!$I:$I,DRE!K$4,Aut_Ajustes_Manuais!$F:$F,"ISS")</f>
        <v>-130</v>
      </c>
      <c r="N30" s="241">
        <v>-505</v>
      </c>
      <c r="O30" s="27">
        <v>-501.53039999999999</v>
      </c>
      <c r="P30" s="28">
        <f>-Fiscal!F20+SUMIFS(Aut_Ajustes_Manuais!$G:$G,Aut_Ajustes_Manuais!$I:$I,DRE!N$4,Aut_Ajustes_Manuais!$F:$F,"ISS")</f>
        <v>-490</v>
      </c>
      <c r="Q30" s="241">
        <v>-465</v>
      </c>
      <c r="R30" s="27">
        <v>-887.02178600000013</v>
      </c>
      <c r="S30" s="28">
        <f>-Fiscal!H20+SUMIFS(Aut_Ajustes_Manuais!$G:$G,Aut_Ajustes_Manuais!$I:$I,DRE!Q$4,Aut_Ajustes_Manuais!$F:$F,"ISS")</f>
        <v>-126</v>
      </c>
      <c r="T30" s="241">
        <v>-360</v>
      </c>
      <c r="U30" s="27">
        <v>-297.29000000000002</v>
      </c>
      <c r="V30" s="28">
        <f>-Fiscal!I20+SUMIFS(Aut_Ajustes_Manuais!$G:$G,Aut_Ajustes_Manuais!$I:$I,DRE!T$4,Aut_Ajustes_Manuais!$F:$F,"ISS")</f>
        <v>-551.5</v>
      </c>
      <c r="W30" s="241">
        <v>-565</v>
      </c>
      <c r="X30" s="27">
        <v>-514.29</v>
      </c>
      <c r="Y30" s="28">
        <f>-Fiscal!J20+SUMIFS(Aut_Ajustes_Manuais!$G:$G,Aut_Ajustes_Manuais!$I:$I,DRE!W$4,Aut_Ajustes_Manuais!$F:$F,"ISS")</f>
        <v>-215</v>
      </c>
      <c r="Z30" s="241">
        <v>-260</v>
      </c>
      <c r="AA30" s="27">
        <v>-1272.4385239999999</v>
      </c>
      <c r="AB30" s="28">
        <f>-Fiscal!L20+SUMIFS(Aut_Ajustes_Manuais!$G:$G,Aut_Ajustes_Manuais!$I:$I,DRE!Z$4,Aut_Ajustes_Manuais!$F:$F,"ISS")</f>
        <v>-130</v>
      </c>
      <c r="AC30" s="241">
        <v>-425</v>
      </c>
      <c r="AD30" s="27">
        <v>-227.85</v>
      </c>
      <c r="AE30" s="28">
        <f>-Fiscal!M20+SUMIFS(Aut_Ajustes_Manuais!$G:$G,Aut_Ajustes_Manuais!$I:$I,DRE!AC$4,Aut_Ajustes_Manuais!$F:$F,"ISS")</f>
        <v>-162</v>
      </c>
      <c r="AF30" s="241">
        <v>-518.75</v>
      </c>
      <c r="AG30" s="27">
        <v>-771.59558000000004</v>
      </c>
      <c r="AH30" s="28">
        <f>-Fiscal!N20+SUMIFS(Aut_Ajustes_Manuais!$G:$G,Aut_Ajustes_Manuais!$I:$I,DRE!AF$4,Aut_Ajustes_Manuais!$F:$F,"ISS")</f>
        <v>0</v>
      </c>
      <c r="AI30" s="241">
        <v>-372</v>
      </c>
      <c r="AJ30" s="27">
        <v>-1375.4545000000001</v>
      </c>
      <c r="AK30" s="28">
        <f>-Fiscal!P20+SUMIFS(Aut_Ajustes_Manuais!$G:$G,Aut_Ajustes_Manuais!$I:$I,DRE!AI$4,Aut_Ajustes_Manuais!$F:$F,"ISS")</f>
        <v>0</v>
      </c>
      <c r="AL30" s="241">
        <v>-368.5</v>
      </c>
      <c r="AM30" s="27">
        <v>-1452.3516596187751</v>
      </c>
      <c r="AN30" s="28">
        <f>-Fiscal!Q20+SUMIFS(Aut_Ajustes_Manuais!$G:$G,Aut_Ajustes_Manuais!$I:$I,DRE!AL$4,Aut_Ajustes_Manuais!$F:$F,"ISS")</f>
        <v>-126</v>
      </c>
      <c r="AO30" s="241">
        <v>-1149.0074999999999</v>
      </c>
      <c r="AP30" s="27">
        <v>-3602.2</v>
      </c>
      <c r="AQ30" s="28">
        <f>-Fiscal!R20+SUMIFS(Aut_Ajustes_Manuais!$G:$G,Aut_Ajustes_Manuais!$I:$I,DRE!AO$4,Aut_Ajustes_Manuais!$F:$F,"ISS")</f>
        <v>0</v>
      </c>
      <c r="AR30" s="241">
        <f ca="1">SUMIFS($H30:$AO30,$H$5:$AO$5,"&lt;"&amp;MONTH(TODAY()),$H$6:$AO$6,"REAL 25")</f>
        <v>-2555</v>
      </c>
      <c r="AS30" s="27">
        <f ca="1">SUMIFS($I30:$AP30,$I$5:$AP$5,"&lt;"&amp;MONTH(TODAY()),$I$6:$AP$6,"ORÇADO ")</f>
        <v>-2978.6040619999999</v>
      </c>
      <c r="AT30" s="28">
        <f ca="1">SUMIFS($J30:$AQ30,$J$5:$AQ$5,"&lt;"&amp;MONTH(TODAY()),$J$6:$AQ$6,"REAL 26")</f>
        <v>-1662.5</v>
      </c>
      <c r="AU30" s="241">
        <f t="shared" si="28"/>
        <v>-5648.2574999999997</v>
      </c>
      <c r="AV30" s="27">
        <f t="shared" si="28"/>
        <v>-11680.494325618776</v>
      </c>
      <c r="AW30" s="28">
        <f t="shared" si="28"/>
        <v>-2080.5</v>
      </c>
      <c r="AX30" s="241">
        <f t="shared" si="29"/>
        <v>-1165</v>
      </c>
      <c r="AY30" s="27">
        <f t="shared" si="29"/>
        <v>-1280.0022759999999</v>
      </c>
      <c r="AZ30" s="28">
        <f t="shared" si="29"/>
        <v>-770</v>
      </c>
      <c r="BA30" s="241">
        <f t="shared" si="30"/>
        <v>-1390</v>
      </c>
      <c r="BB30" s="27">
        <f t="shared" si="30"/>
        <v>-1698.6017860000002</v>
      </c>
      <c r="BC30" s="28">
        <f t="shared" si="30"/>
        <v>-892.5</v>
      </c>
      <c r="BD30" s="241">
        <f t="shared" si="31"/>
        <v>-1203.75</v>
      </c>
      <c r="BE30" s="27">
        <f t="shared" si="31"/>
        <v>-2271.8841039999998</v>
      </c>
      <c r="BF30" s="28">
        <f t="shared" si="31"/>
        <v>-292</v>
      </c>
      <c r="BG30" s="241">
        <f t="shared" si="32"/>
        <v>-1889.5074999999999</v>
      </c>
      <c r="BH30" s="27">
        <f t="shared" si="32"/>
        <v>-6430.0061596187752</v>
      </c>
      <c r="BI30" s="28">
        <f t="shared" si="32"/>
        <v>-126</v>
      </c>
    </row>
    <row r="31" spans="1:66" collapsed="1" x14ac:dyDescent="0.3">
      <c r="A31" s="18"/>
      <c r="E31" s="16"/>
      <c r="F31" s="17"/>
      <c r="H31" s="247"/>
      <c r="I31" s="17"/>
      <c r="J31" s="57"/>
      <c r="K31" s="247"/>
      <c r="L31" s="17"/>
      <c r="M31" s="57"/>
      <c r="N31" s="247"/>
      <c r="O31" s="17"/>
      <c r="P31" s="57"/>
      <c r="Q31" s="247"/>
      <c r="R31" s="17"/>
      <c r="S31" s="57"/>
      <c r="T31" s="247"/>
      <c r="U31" s="17"/>
      <c r="V31" s="57"/>
      <c r="W31" s="247"/>
      <c r="X31" s="17"/>
      <c r="Y31" s="57"/>
      <c r="Z31" s="247"/>
      <c r="AA31" s="17"/>
      <c r="AB31" s="57"/>
      <c r="AC31" s="247"/>
      <c r="AD31" s="17"/>
      <c r="AE31" s="57"/>
      <c r="AF31" s="247"/>
      <c r="AG31" s="17"/>
      <c r="AH31" s="57"/>
      <c r="AI31" s="247"/>
      <c r="AJ31" s="17"/>
      <c r="AK31" s="57"/>
      <c r="AL31" s="247"/>
      <c r="AM31" s="17"/>
      <c r="AN31" s="57"/>
      <c r="AO31" s="247"/>
      <c r="AP31" s="17"/>
      <c r="AQ31" s="57"/>
      <c r="AR31" s="247"/>
      <c r="AS31" s="17"/>
      <c r="AT31" s="57"/>
      <c r="AU31" s="247"/>
      <c r="AV31" s="17"/>
      <c r="AW31" s="57"/>
      <c r="AX31" s="247"/>
      <c r="AY31" s="17"/>
      <c r="AZ31" s="57"/>
      <c r="BA31" s="247"/>
      <c r="BB31" s="17"/>
      <c r="BC31" s="57"/>
      <c r="BD31" s="247"/>
      <c r="BE31" s="17"/>
      <c r="BF31" s="57"/>
      <c r="BG31" s="247"/>
      <c r="BH31" s="17"/>
      <c r="BI31" s="57"/>
    </row>
    <row r="32" spans="1:66" x14ac:dyDescent="0.3">
      <c r="A32" s="58" t="s">
        <v>50</v>
      </c>
      <c r="B32" s="59"/>
      <c r="C32" s="60"/>
      <c r="D32" s="61"/>
      <c r="E32" s="62"/>
      <c r="F32" s="63"/>
      <c r="G32" s="59"/>
      <c r="H32" s="248">
        <v>271064.37593664281</v>
      </c>
      <c r="I32" s="64">
        <v>316159.41917671473</v>
      </c>
      <c r="J32" s="65">
        <f>SUM(J27,J21,J8)+SUMIFS(Aut_Ajustes_Manuais!$G:$G,Aut_Ajustes_Manuais!$I:$I,DRE!H$4,Aut_Ajustes_Manuais!$F:$F,"RECEITA LÍQUIDA")</f>
        <v>362867.30329280003</v>
      </c>
      <c r="K32" s="248">
        <v>292985.03827255638</v>
      </c>
      <c r="L32" s="64">
        <v>347124.49852135772</v>
      </c>
      <c r="M32" s="65">
        <f>SUM(M27,M21,M8)+SUMIFS(Aut_Ajustes_Manuais!$G:$G,Aut_Ajustes_Manuais!$I:$I,DRE!K$4,Aut_Ajustes_Manuais!$F:$F,"RECEITA LÍQUIDA")</f>
        <v>382055.37987360003</v>
      </c>
      <c r="N32" s="248">
        <v>399075.17031174048</v>
      </c>
      <c r="O32" s="64">
        <v>438598.27671445737</v>
      </c>
      <c r="P32" s="65">
        <f>SUM(P27,P21,P8)+SUMIFS(Aut_Ajustes_Manuais!$G:$G,Aut_Ajustes_Manuais!$I:$I,DRE!N$4,Aut_Ajustes_Manuais!$F:$F,"RECEITA LÍQUIDA")</f>
        <v>507991.23335999995</v>
      </c>
      <c r="Q32" s="248">
        <v>373973.16107378062</v>
      </c>
      <c r="R32" s="64">
        <v>416122.8063617007</v>
      </c>
      <c r="S32" s="65">
        <f>SUM(S27,S21,S8)+SUMIFS(Aut_Ajustes_Manuais!$G:$G,Aut_Ajustes_Manuais!$I:$I,DRE!Q$4,Aut_Ajustes_Manuais!$F:$F,"RECEITA LÍQUIDA")</f>
        <v>402825.22176320007</v>
      </c>
      <c r="T32" s="248">
        <v>374788.80483147589</v>
      </c>
      <c r="U32" s="64">
        <v>410982.30261687742</v>
      </c>
      <c r="V32" s="65">
        <f>SUM(V27,V21,V8)+SUMIFS(Aut_Ajustes_Manuais!$G:$G,Aut_Ajustes_Manuais!$I:$I,DRE!T$4,Aut_Ajustes_Manuais!$F:$F,"RECEITA LÍQUIDA")</f>
        <v>418290.24700799998</v>
      </c>
      <c r="W32" s="248">
        <v>365593.61348704557</v>
      </c>
      <c r="X32" s="64">
        <v>382495.06645347399</v>
      </c>
      <c r="Y32" s="65">
        <f>SUM(Y27,Y21,Y8)+SUMIFS(Aut_Ajustes_Manuais!$G:$G,Aut_Ajustes_Manuais!$I:$I,DRE!W$4,Aut_Ajustes_Manuais!$F:$F,"RECEITA LÍQUIDA")</f>
        <v>424944.76159200002</v>
      </c>
      <c r="Z32" s="248">
        <v>451409.87474437052</v>
      </c>
      <c r="AA32" s="64">
        <v>501110.85031951673</v>
      </c>
      <c r="AB32" s="65">
        <f>SUM(AB27,AB21,AB8)+SUMIFS(Aut_Ajustes_Manuais!$G:$G,Aut_Ajustes_Manuais!$I:$I,DRE!Z$4,Aut_Ajustes_Manuais!$F:$F,"RECEITA LÍQUIDA")</f>
        <v>140506.74231199999</v>
      </c>
      <c r="AC32" s="248">
        <v>429650.14738386439</v>
      </c>
      <c r="AD32" s="64">
        <v>472433.3588185446</v>
      </c>
      <c r="AE32" s="65">
        <f>SUM(AE27,AE21,AE8)+SUMIFS(Aut_Ajustes_Manuais!$G:$G,Aut_Ajustes_Manuais!$I:$I,DRE!AC$4,Aut_Ajustes_Manuais!$F:$F,"RECEITA LÍQUIDA")</f>
        <v>2959.74</v>
      </c>
      <c r="AF32" s="248">
        <v>372210.27754117327</v>
      </c>
      <c r="AG32" s="64">
        <v>421663.01334552089</v>
      </c>
      <c r="AH32" s="65">
        <f>SUM(AH27,AH21,AH8)+SUMIFS(Aut_Ajustes_Manuais!$G:$G,Aut_Ajustes_Manuais!$I:$I,DRE!AF$4,Aut_Ajustes_Manuais!$F:$F,"RECEITA LÍQUIDA")</f>
        <v>0</v>
      </c>
      <c r="AI32" s="248">
        <v>379247.52159860748</v>
      </c>
      <c r="AJ32" s="64">
        <v>436648.0865640823</v>
      </c>
      <c r="AK32" s="65">
        <f>SUM(AK27,AK21,AK8)+SUMIFS(Aut_Ajustes_Manuais!$G:$G,Aut_Ajustes_Manuais!$I:$I,DRE!AI$4,Aut_Ajustes_Manuais!$F:$F,"RECEITA LÍQUIDA")</f>
        <v>0</v>
      </c>
      <c r="AL32" s="248">
        <v>418595.97630107251</v>
      </c>
      <c r="AM32" s="64">
        <v>462096.70234235318</v>
      </c>
      <c r="AN32" s="65">
        <f>SUM(AN27,AN21,AN8)+SUMIFS(Aut_Ajustes_Manuais!$G:$G,Aut_Ajustes_Manuais!$I:$I,DRE!AL$4,Aut_Ajustes_Manuais!$F:$F,"RECEITA LÍQUIDA")</f>
        <v>3689.46</v>
      </c>
      <c r="AO32" s="248">
        <v>721225.69452506874</v>
      </c>
      <c r="AP32" s="64">
        <v>593036.12331153871</v>
      </c>
      <c r="AQ32" s="65">
        <f>SUM(AQ27,AQ21,AQ8)+SUMIFS(Aut_Ajustes_Manuais!$G:$G,Aut_Ajustes_Manuais!$I:$I,DRE!AO$4,Aut_Ajustes_Manuais!$F:$F,"RECEITA LÍQUIDA")</f>
        <v>0</v>
      </c>
      <c r="AR32" s="248">
        <f t="shared" ref="AR32:BI32" ca="1" si="33">SUM(AR27,AR21,AR8)</f>
        <v>2077480.1639132414</v>
      </c>
      <c r="AS32" s="64">
        <f t="shared" ca="1" si="33"/>
        <v>2311482.3698445824</v>
      </c>
      <c r="AT32" s="65">
        <f t="shared" ca="1" si="33"/>
        <v>2498974.1468896</v>
      </c>
      <c r="AU32" s="248">
        <f t="shared" si="33"/>
        <v>4849819.6560073989</v>
      </c>
      <c r="AV32" s="64">
        <f t="shared" si="33"/>
        <v>5198470.5045461375</v>
      </c>
      <c r="AW32" s="65">
        <f t="shared" si="33"/>
        <v>2646130.0892015998</v>
      </c>
      <c r="AX32" s="248">
        <f t="shared" si="33"/>
        <v>963124.58452093962</v>
      </c>
      <c r="AY32" s="64">
        <f t="shared" si="33"/>
        <v>1101882.1944125299</v>
      </c>
      <c r="AZ32" s="65">
        <f t="shared" si="33"/>
        <v>1252913.9165264</v>
      </c>
      <c r="BA32" s="248">
        <f t="shared" si="33"/>
        <v>1114355.5793923021</v>
      </c>
      <c r="BB32" s="64">
        <f t="shared" si="33"/>
        <v>1209600.1754320525</v>
      </c>
      <c r="BC32" s="65">
        <f t="shared" si="33"/>
        <v>1246060.2303631997</v>
      </c>
      <c r="BD32" s="248">
        <f t="shared" si="33"/>
        <v>1253270.2996694078</v>
      </c>
      <c r="BE32" s="64">
        <f t="shared" si="33"/>
        <v>1395207.2224835823</v>
      </c>
      <c r="BF32" s="65">
        <f t="shared" si="33"/>
        <v>143466.48231200001</v>
      </c>
      <c r="BG32" s="248">
        <f t="shared" si="33"/>
        <v>1519069.1924247486</v>
      </c>
      <c r="BH32" s="64">
        <f t="shared" si="33"/>
        <v>1491780.9122179742</v>
      </c>
      <c r="BI32" s="65">
        <f t="shared" si="33"/>
        <v>3689.46</v>
      </c>
    </row>
    <row r="33" spans="1:61" x14ac:dyDescent="0.3">
      <c r="A33" s="18"/>
      <c r="E33" s="16"/>
      <c r="F33" s="17"/>
      <c r="H33" s="249"/>
      <c r="I33" s="66"/>
      <c r="J33" s="250"/>
      <c r="K33" s="249"/>
      <c r="L33" s="66"/>
      <c r="M33" s="250"/>
      <c r="N33" s="249"/>
      <c r="O33" s="66"/>
      <c r="P33" s="250"/>
      <c r="Q33" s="249"/>
      <c r="R33" s="66"/>
      <c r="S33" s="250"/>
      <c r="T33" s="249"/>
      <c r="U33" s="66"/>
      <c r="V33" s="250"/>
      <c r="W33" s="249"/>
      <c r="X33" s="66"/>
      <c r="Y33" s="250"/>
      <c r="Z33" s="249"/>
      <c r="AA33" s="66"/>
      <c r="AB33" s="250"/>
      <c r="AC33" s="249"/>
      <c r="AD33" s="66"/>
      <c r="AE33" s="250"/>
      <c r="AF33" s="249"/>
      <c r="AG33" s="66"/>
      <c r="AH33" s="250"/>
      <c r="AI33" s="249"/>
      <c r="AJ33" s="66"/>
      <c r="AK33" s="250"/>
      <c r="AL33" s="249"/>
      <c r="AM33" s="66"/>
      <c r="AN33" s="250"/>
      <c r="AO33" s="249"/>
      <c r="AP33" s="66"/>
      <c r="AQ33" s="250"/>
      <c r="AR33" s="249"/>
      <c r="AS33" s="66"/>
      <c r="AT33" s="250"/>
      <c r="AU33" s="249"/>
      <c r="AV33" s="66"/>
      <c r="AW33" s="250"/>
      <c r="AX33" s="249"/>
      <c r="AY33" s="66"/>
      <c r="AZ33" s="250"/>
      <c r="BA33" s="249"/>
      <c r="BB33" s="66"/>
      <c r="BC33" s="250"/>
      <c r="BD33" s="249"/>
      <c r="BE33" s="66"/>
      <c r="BF33" s="250"/>
      <c r="BG33" s="249"/>
      <c r="BH33" s="66"/>
      <c r="BI33" s="250"/>
    </row>
    <row r="34" spans="1:61" x14ac:dyDescent="0.3">
      <c r="A34" s="39" t="s">
        <v>51</v>
      </c>
      <c r="C34" s="40" t="s">
        <v>35</v>
      </c>
      <c r="D34" s="40" t="s">
        <v>36</v>
      </c>
      <c r="E34" s="40" t="s">
        <v>37</v>
      </c>
      <c r="F34" s="470"/>
      <c r="G34" s="471"/>
      <c r="H34" s="251">
        <v>-93023.089999999982</v>
      </c>
      <c r="I34" s="67">
        <v>-89289.419324103204</v>
      </c>
      <c r="J34" s="68">
        <f>SUM(J35:J38)+SUMIFS(Aut_Ajustes_Manuais!$G:$G,Aut_Ajustes_Manuais!$I:$I,DRE!H$4,Aut_Ajustes_Manuais!$F:$F,"(-) Custo Mercadoria Vendida")</f>
        <v>-112036.38999999996</v>
      </c>
      <c r="K34" s="251">
        <v>-92275.630000000063</v>
      </c>
      <c r="L34" s="67">
        <v>-99021.490956239999</v>
      </c>
      <c r="M34" s="68">
        <f>SUM(M35:M38)+SUMIFS(Aut_Ajustes_Manuais!$G:$G,Aut_Ajustes_Manuais!$I:$I,DRE!K$4,Aut_Ajustes_Manuais!$F:$F,"(-) Custo Mercadoria Vendida")</f>
        <v>-101958.34000000004</v>
      </c>
      <c r="N34" s="251">
        <v>-126169.09</v>
      </c>
      <c r="O34" s="67">
        <v>-124801.7838864581</v>
      </c>
      <c r="P34" s="68">
        <f>SUM(P35:P38)+SUMIFS(Aut_Ajustes_Manuais!$G:$G,Aut_Ajustes_Manuais!$I:$I,DRE!N$4,Aut_Ajustes_Manuais!$F:$F,"(-) Custo Mercadoria Vendida")</f>
        <v>-144499.51</v>
      </c>
      <c r="Q34" s="251">
        <v>-121043.7500000001</v>
      </c>
      <c r="R34" s="67">
        <v>-118074.206282222</v>
      </c>
      <c r="S34" s="68">
        <f>SUM(S35:S38)+SUMIFS(Aut_Ajustes_Manuais!$G:$G,Aut_Ajustes_Manuais!$I:$I,DRE!Q$4,Aut_Ajustes_Manuais!$F:$F,"(-) Custo Mercadoria Vendida")</f>
        <v>-112908.34999999999</v>
      </c>
      <c r="T34" s="251">
        <v>-109485.29</v>
      </c>
      <c r="U34" s="67">
        <v>-117050.0581079148</v>
      </c>
      <c r="V34" s="68">
        <f>SUM(V35:V38)+SUMIFS(Aut_Ajustes_Manuais!$G:$G,Aut_Ajustes_Manuais!$I:$I,DRE!T$4,Aut_Ajustes_Manuais!$F:$F,"(-) Custo Mercadoria Vendida")</f>
        <v>-129499.28000000006</v>
      </c>
      <c r="W34" s="251">
        <v>-106699.92</v>
      </c>
      <c r="X34" s="67">
        <v>-109026.9994035116</v>
      </c>
      <c r="Y34" s="68">
        <f>SUM(Y35:Y38)+SUMIFS(Aut_Ajustes_Manuais!$G:$G,Aut_Ajustes_Manuais!$I:$I,DRE!W$4,Aut_Ajustes_Manuais!$F:$F,"(-) Custo Mercadoria Vendida")</f>
        <v>-185226.55000000002</v>
      </c>
      <c r="Z34" s="251">
        <v>-134223.79999999999</v>
      </c>
      <c r="AA34" s="67">
        <v>-142118.45541885149</v>
      </c>
      <c r="AB34" s="68">
        <f>SUM(AB35:AB38)+SUMIFS(Aut_Ajustes_Manuais!$G:$G,Aut_Ajustes_Manuais!$I:$I,DRE!Z$4,Aut_Ajustes_Manuais!$F:$F,"(-) Custo Mercadoria Vendida")</f>
        <v>-33179.479999999996</v>
      </c>
      <c r="AC34" s="251">
        <v>-123061.94</v>
      </c>
      <c r="AD34" s="67">
        <v>-134760.0251311936</v>
      </c>
      <c r="AE34" s="68">
        <f>SUM(AE35:AE38)+SUMIFS(Aut_Ajustes_Manuais!$G:$G,Aut_Ajustes_Manuais!$I:$I,DRE!AC$4,Aut_Ajustes_Manuais!$F:$F,"(-) Custo Mercadoria Vendida")</f>
        <v>0</v>
      </c>
      <c r="AF34" s="251">
        <v>-108553.6100000001</v>
      </c>
      <c r="AG34" s="67">
        <v>-119828.179390181</v>
      </c>
      <c r="AH34" s="68">
        <f>SUM(AH35:AH38)+SUMIFS(Aut_Ajustes_Manuais!$G:$G,Aut_Ajustes_Manuais!$I:$I,DRE!AF$4,Aut_Ajustes_Manuais!$F:$F,"(-) Custo Mercadoria Vendida")</f>
        <v>0</v>
      </c>
      <c r="AI34" s="251">
        <v>-99432.540000000066</v>
      </c>
      <c r="AJ34" s="67">
        <v>-123403.4719159113</v>
      </c>
      <c r="AK34" s="68">
        <f>SUM(AK35:AK38)+SUMIFS(Aut_Ajustes_Manuais!$G:$G,Aut_Ajustes_Manuais!$I:$I,DRE!AI$4,Aut_Ajustes_Manuais!$F:$F,"(-) Custo Mercadoria Vendida")</f>
        <v>0</v>
      </c>
      <c r="AL34" s="251">
        <v>-123614.44</v>
      </c>
      <c r="AM34" s="67">
        <v>-130051.4985301925</v>
      </c>
      <c r="AN34" s="68">
        <f>SUM(AN35:AN38)+SUMIFS(Aut_Ajustes_Manuais!$G:$G,Aut_Ajustes_Manuais!$I:$I,DRE!AL$4,Aut_Ajustes_Manuais!$F:$F,"(-) Custo Mercadoria Vendida")</f>
        <v>0</v>
      </c>
      <c r="AO34" s="251">
        <v>-127732</v>
      </c>
      <c r="AP34" s="67">
        <v>-164749.71090166431</v>
      </c>
      <c r="AQ34" s="68">
        <f>SUM(AQ35:AQ38)+SUMIFS(Aut_Ajustes_Manuais!$G:$G,Aut_Ajustes_Manuais!$I:$I,DRE!AO$4,Aut_Ajustes_Manuais!$F:$F,"(-) Custo Mercadoria Vendida")</f>
        <v>0</v>
      </c>
      <c r="AR34" s="251">
        <f t="shared" ref="AR34:BI34" ca="1" si="34">SUM(AR35:AR38)</f>
        <v>-648696.77</v>
      </c>
      <c r="AS34" s="67">
        <f t="shared" ca="1" si="34"/>
        <v>-657263.95796044962</v>
      </c>
      <c r="AT34" s="68">
        <f t="shared" ca="1" si="34"/>
        <v>-786128.42000000016</v>
      </c>
      <c r="AU34" s="251">
        <f t="shared" si="34"/>
        <v>-1365315.1</v>
      </c>
      <c r="AV34" s="67">
        <f t="shared" si="34"/>
        <v>-1472175.2992484437</v>
      </c>
      <c r="AW34" s="68">
        <f t="shared" si="34"/>
        <v>-819307.90000000014</v>
      </c>
      <c r="AX34" s="251">
        <f t="shared" si="34"/>
        <v>-311467.81000000006</v>
      </c>
      <c r="AY34" s="67">
        <f t="shared" si="34"/>
        <v>-313112.69416680123</v>
      </c>
      <c r="AZ34" s="68">
        <f t="shared" si="34"/>
        <v>-358494.24</v>
      </c>
      <c r="BA34" s="251">
        <f t="shared" si="34"/>
        <v>-337228.96</v>
      </c>
      <c r="BB34" s="67">
        <f t="shared" si="34"/>
        <v>-344151.2637936484</v>
      </c>
      <c r="BC34" s="68">
        <f t="shared" si="34"/>
        <v>-427634.18000000005</v>
      </c>
      <c r="BD34" s="251">
        <f t="shared" si="34"/>
        <v>-365839.35000000003</v>
      </c>
      <c r="BE34" s="67">
        <f t="shared" si="34"/>
        <v>-396706.65994022612</v>
      </c>
      <c r="BF34" s="68">
        <f t="shared" si="34"/>
        <v>-33179.479999999996</v>
      </c>
      <c r="BG34" s="251">
        <f t="shared" si="34"/>
        <v>-350778.9800000001</v>
      </c>
      <c r="BH34" s="67">
        <f t="shared" si="34"/>
        <v>-418204.68134776811</v>
      </c>
      <c r="BI34" s="68">
        <f t="shared" si="34"/>
        <v>0</v>
      </c>
    </row>
    <row r="35" spans="1:61" s="29" customFormat="1" hidden="1" outlineLevel="1" x14ac:dyDescent="0.3">
      <c r="A35" s="22" t="s">
        <v>52</v>
      </c>
      <c r="B35" s="2"/>
      <c r="C35" s="24" t="s">
        <v>14</v>
      </c>
      <c r="D35" s="69"/>
      <c r="E35" s="70">
        <v>0.33</v>
      </c>
      <c r="F35" s="465"/>
      <c r="G35" s="466"/>
      <c r="H35" s="241">
        <v>-72920.590000000011</v>
      </c>
      <c r="I35" s="27">
        <v>-66009.979263845147</v>
      </c>
      <c r="J35" s="28">
        <f>-CMV_Manual!D22+SUMIFS(Aut_Ajustes_Manuais!$G:$G,Aut_Ajustes_Manuais!$I:$I,DRE!H$4,Aut_Ajustes_Manuais!$F:$F,"Insumos - Alimentos")</f>
        <v>-87179.539999999964</v>
      </c>
      <c r="K35" s="241">
        <v>-67822.500000000044</v>
      </c>
      <c r="L35" s="27">
        <v>-75156.973737720007</v>
      </c>
      <c r="M35" s="28">
        <f>-CMV_Manual!E22+SUMIFS(Aut_Ajustes_Manuais!$G:$G,Aut_Ajustes_Manuais!$I:$I,DRE!K$4,Aut_Ajustes_Manuais!$F:$F,"Insumos - Alimentos")</f>
        <v>-76325.800000000017</v>
      </c>
      <c r="N35" s="241">
        <v>-91347.109999999986</v>
      </c>
      <c r="O35" s="27">
        <v>-93466.478712377429</v>
      </c>
      <c r="P35" s="28">
        <f>-CMV_Manual!F22+SUMIFS(Aut_Ajustes_Manuais!$G:$G,Aut_Ajustes_Manuais!$I:$I,DRE!N$4,Aut_Ajustes_Manuais!$F:$F,"Insumos - Alimentos")</f>
        <v>-108420.72000000004</v>
      </c>
      <c r="Q35" s="241">
        <v>-92232.980000000083</v>
      </c>
      <c r="R35" s="27">
        <v>-90449.92137863602</v>
      </c>
      <c r="S35" s="28">
        <f>-CMV_Manual!G22+SUMIFS(Aut_Ajustes_Manuais!$G:$G,Aut_Ajustes_Manuais!$I:$I,DRE!Q$4,Aut_Ajustes_Manuais!$F:$F,"Insumos - Alimentos")</f>
        <v>-83513.549999999974</v>
      </c>
      <c r="T35" s="241">
        <v>-81921.269999999975</v>
      </c>
      <c r="U35" s="27">
        <v>-86684.298369998694</v>
      </c>
      <c r="V35" s="27">
        <f>-CMV_Manual!H22+SUMIFS(Aut_Ajustes_Manuais!$G:$G,Aut_Ajustes_Manuais!$I:$I,DRE!T$4,Aut_Ajustes_Manuais!$F:$F,"Insumos - Alimentos")</f>
        <v>-101278.60000000003</v>
      </c>
      <c r="W35" s="241">
        <v>-81322.659999999974</v>
      </c>
      <c r="X35" s="27">
        <v>-82184.524903073805</v>
      </c>
      <c r="Y35" s="28">
        <f>-CMV_Manual!I22+SUMIFS(Aut_Ajustes_Manuais!$G:$G,Aut_Ajustes_Manuais!$I:$I,DRE!W$4,Aut_Ajustes_Manuais!$F:$F,"Insumos - Alimentos")</f>
        <v>-132734.92000000004</v>
      </c>
      <c r="Z35" s="241">
        <v>-100299.41</v>
      </c>
      <c r="AA35" s="27">
        <v>-110141.8513883096</v>
      </c>
      <c r="AB35" s="28">
        <f>-CMV_Manual!J22+SUMIFS(Aut_Ajustes_Manuais!$G:$G,Aut_Ajustes_Manuais!$I:$I,DRE!Z$4,Aut_Ajustes_Manuais!$F:$F,"Insumos - Alimentos")</f>
        <v>-25981.949999999993</v>
      </c>
      <c r="AC35" s="241">
        <v>-96109.289999999964</v>
      </c>
      <c r="AD35" s="27">
        <v>-99343.293662419353</v>
      </c>
      <c r="AE35" s="28">
        <f>-CMV_Manual!K22+SUMIFS(Aut_Ajustes_Manuais!$G:$G,Aut_Ajustes_Manuais!$I:$I,DRE!AC$4,Aut_Ajustes_Manuais!$F:$F,"Insumos - Alimentos")</f>
        <v>0</v>
      </c>
      <c r="AF35" s="241">
        <v>-87571.300000000076</v>
      </c>
      <c r="AG35" s="27">
        <v>-91341.813942817185</v>
      </c>
      <c r="AH35" s="28">
        <f>-CMV_Manual!L22+SUMIFS(Aut_Ajustes_Manuais!$G:$G,Aut_Ajustes_Manuais!$I:$I,DRE!AF$4,Aut_Ajustes_Manuais!$F:$F,"Insumos - Alimentos")</f>
        <v>0</v>
      </c>
      <c r="AI35" s="241">
        <v>-69624.290000000052</v>
      </c>
      <c r="AJ35" s="27">
        <v>-96613.756645693531</v>
      </c>
      <c r="AK35" s="28">
        <f>-CMV_Manual!M22+SUMIFS(Aut_Ajustes_Manuais!$G:$G,Aut_Ajustes_Manuais!$I:$I,DRE!AI$4,Aut_Ajustes_Manuais!$F:$F,"Insumos - Alimentos")</f>
        <v>0</v>
      </c>
      <c r="AL35" s="241">
        <v>-99046.78</v>
      </c>
      <c r="AM35" s="27">
        <v>-101278.87988411861</v>
      </c>
      <c r="AN35" s="28">
        <f>-CMV_Manual!N22+SUMIFS(Aut_Ajustes_Manuais!$G:$G,Aut_Ajustes_Manuais!$I:$I,DRE!AL$4,Aut_Ajustes_Manuais!$F:$F,"Insumos - Alimentos")</f>
        <v>0</v>
      </c>
      <c r="AO35" s="241">
        <v>-79346.340000000055</v>
      </c>
      <c r="AP35" s="27">
        <v>-136763.76417891841</v>
      </c>
      <c r="AQ35" s="28">
        <f>-CMV_Manual!O22+SUMIFS(Aut_Ajustes_Manuais!$G:$G,Aut_Ajustes_Manuais!$I:$I,DRE!AO$4,Aut_Ajustes_Manuais!$F:$F,"Insumos - Alimentos")</f>
        <v>0</v>
      </c>
      <c r="AR35" s="241">
        <f ca="1">SUMIFS($H35:$AO35,$H$5:$AO$5,"&lt;"&amp;MONTH(TODAY()),$H$6:$AO$6,"REAL 25")</f>
        <v>-487567.11000000004</v>
      </c>
      <c r="AS35" s="27">
        <f ca="1">SUMIFS($I35:$AP35,$I$5:$AP$5,"&lt;"&amp;MONTH(TODAY()),$I$6:$AP$6,"ORÇADO ")</f>
        <v>-493952.17636565107</v>
      </c>
      <c r="AT35" s="28">
        <f ca="1">SUMIFS($J35:$AQ35,$J$5:$AQ$5,"&lt;"&amp;MONTH(TODAY()),$J$6:$AQ$6,"REAL 26")</f>
        <v>-589453.13000000012</v>
      </c>
      <c r="AU35" s="241">
        <f t="shared" ref="AU35:AW38" si="35">SUM(H35,K35,N35,Q35,T35,W35,Z35,AC35,AF35,AI35,AL35,AO35)</f>
        <v>-1019564.5200000001</v>
      </c>
      <c r="AV35" s="27">
        <f t="shared" si="35"/>
        <v>-1129435.5360679277</v>
      </c>
      <c r="AW35" s="28">
        <f t="shared" si="35"/>
        <v>-615435.08000000007</v>
      </c>
      <c r="AX35" s="241">
        <f t="shared" ref="AX35:AZ38" si="36">SUM(H35,K35,N35)</f>
        <v>-232090.20000000004</v>
      </c>
      <c r="AY35" s="27">
        <f t="shared" si="36"/>
        <v>-234633.43171394258</v>
      </c>
      <c r="AZ35" s="28">
        <f t="shared" si="36"/>
        <v>-271926.06</v>
      </c>
      <c r="BA35" s="241">
        <f t="shared" ref="BA35:BC38" si="37">SUM(Q35,T35,W35)</f>
        <v>-255476.91000000003</v>
      </c>
      <c r="BB35" s="27">
        <f t="shared" si="37"/>
        <v>-259318.74465170852</v>
      </c>
      <c r="BC35" s="28">
        <f t="shared" si="37"/>
        <v>-317527.07000000007</v>
      </c>
      <c r="BD35" s="241">
        <f t="shared" ref="BD35:BF38" si="38">SUM(Z35,AC35,AF35)</f>
        <v>-283980</v>
      </c>
      <c r="BE35" s="27">
        <f t="shared" si="38"/>
        <v>-300826.95899354614</v>
      </c>
      <c r="BF35" s="28">
        <f t="shared" si="38"/>
        <v>-25981.949999999993</v>
      </c>
      <c r="BG35" s="241">
        <f t="shared" ref="BG35:BI38" si="39">SUM(AI35,AL35,AO35)</f>
        <v>-248017.41000000012</v>
      </c>
      <c r="BH35" s="27">
        <f t="shared" si="39"/>
        <v>-334656.40070873057</v>
      </c>
      <c r="BI35" s="28">
        <f t="shared" si="39"/>
        <v>0</v>
      </c>
    </row>
    <row r="36" spans="1:61" s="29" customFormat="1" hidden="1" outlineLevel="1" x14ac:dyDescent="0.3">
      <c r="A36" s="22" t="s">
        <v>53</v>
      </c>
      <c r="B36" s="2"/>
      <c r="C36" s="24" t="s">
        <v>14</v>
      </c>
      <c r="D36" s="69"/>
      <c r="E36" s="70">
        <v>0.18</v>
      </c>
      <c r="F36" s="465"/>
      <c r="G36" s="466"/>
      <c r="H36" s="241">
        <v>-18043.239999999969</v>
      </c>
      <c r="I36" s="27">
        <v>-22910.862088258062</v>
      </c>
      <c r="J36" s="28">
        <f>-CMV_Manual!D23+SUMIFS(Aut_Ajustes_Manuais!$G:$G,Aut_Ajustes_Manuais!$I:$I,DRE!H$4,Aut_Ajustes_Manuais!$F:$F,"Insumos - Bebidas")</f>
        <v>-23786.969999999987</v>
      </c>
      <c r="K36" s="241">
        <v>-24453.13000000003</v>
      </c>
      <c r="L36" s="27">
        <v>-23269.442402519999</v>
      </c>
      <c r="M36" s="28">
        <f>-CMV_Manual!E23+SUMIFS(Aut_Ajustes_Manuais!$G:$G,Aut_Ajustes_Manuais!$I:$I,DRE!K$4,Aut_Ajustes_Manuais!$F:$F,"Insumos - Bebidas")</f>
        <v>-22583.910000000014</v>
      </c>
      <c r="N36" s="241">
        <v>-34821.980000000003</v>
      </c>
      <c r="O36" s="27">
        <v>-30730.42201408065</v>
      </c>
      <c r="P36" s="28">
        <f>-CMV_Manual!F23+SUMIFS(Aut_Ajustes_Manuais!$G:$G,Aut_Ajustes_Manuais!$I:$I,DRE!N$4,Aut_Ajustes_Manuais!$F:$F,"Insumos - Bebidas")</f>
        <v>-33349.049999999988</v>
      </c>
      <c r="Q36" s="241">
        <v>-26751.509999999991</v>
      </c>
      <c r="R36" s="27">
        <v>-26999.847803585999</v>
      </c>
      <c r="S36" s="28">
        <f>-CMV_Manual!G23+SUMIFS(Aut_Ajustes_Manuais!$G:$G,Aut_Ajustes_Manuais!$I:$I,DRE!Q$4,Aut_Ajustes_Manuais!$F:$F,"Insumos - Bebidas")</f>
        <v>-25828.660000000011</v>
      </c>
      <c r="T36" s="241">
        <v>-27564.02</v>
      </c>
      <c r="U36" s="27">
        <v>-29757.312037916119</v>
      </c>
      <c r="V36" s="27">
        <f>-CMV_Manual!H23+SUMIFS(Aut_Ajustes_Manuais!$G:$G,Aut_Ajustes_Manuais!$I:$I,DRE!T$4,Aut_Ajustes_Manuais!$F:$F,"Insumos - Bebidas")</f>
        <v>-23890.410000000014</v>
      </c>
      <c r="W36" s="241">
        <v>-23800.71000000001</v>
      </c>
      <c r="X36" s="27">
        <v>-26231.880659711998</v>
      </c>
      <c r="Y36" s="28">
        <f>-CMV_Manual!I23+SUMIFS(Aut_Ajustes_Manuais!$G:$G,Aut_Ajustes_Manuais!$I:$I,DRE!W$4,Aut_Ajustes_Manuais!$F:$F,"Insumos - Bebidas")</f>
        <v>-52491.629999999983</v>
      </c>
      <c r="Z36" s="241">
        <v>-31865.12999999999</v>
      </c>
      <c r="AA36" s="27">
        <v>-31313.779266541918</v>
      </c>
      <c r="AB36" s="28">
        <f>-CMV_Manual!J23+SUMIFS(Aut_Ajustes_Manuais!$G:$G,Aut_Ajustes_Manuais!$I:$I,DRE!Z$4,Aut_Ajustes_Manuais!$F:$F,"Insumos - Bebidas")</f>
        <v>-7197.53</v>
      </c>
      <c r="AC36" s="241">
        <v>-25292.89</v>
      </c>
      <c r="AD36" s="27">
        <v>-34717.830951774202</v>
      </c>
      <c r="AE36" s="28">
        <f>-CMV_Manual!K23+SUMIFS(Aut_Ajustes_Manuais!$G:$G,Aut_Ajustes_Manuais!$I:$I,DRE!AC$4,Aut_Ajustes_Manuais!$F:$F,"Insumos - Bebidas")</f>
        <v>0</v>
      </c>
      <c r="AF36" s="241">
        <v>-20982.310000000009</v>
      </c>
      <c r="AG36" s="27">
        <v>-27932.946011879991</v>
      </c>
      <c r="AH36" s="28">
        <f>-CMV_Manual!L23+SUMIFS(Aut_Ajustes_Manuais!$G:$G,Aut_Ajustes_Manuais!$I:$I,DRE!AF$4,Aut_Ajustes_Manuais!$F:$F,"Insumos - Bebidas")</f>
        <v>0</v>
      </c>
      <c r="AI36" s="241">
        <v>-28738.37</v>
      </c>
      <c r="AJ36" s="27">
        <v>-26098.754910967731</v>
      </c>
      <c r="AK36" s="28">
        <f>-CMV_Manual!M23+SUMIFS(Aut_Ajustes_Manuais!$G:$G,Aut_Ajustes_Manuais!$I:$I,DRE!AI$4,Aut_Ajustes_Manuais!$F:$F,"Insumos - Bebidas")</f>
        <v>0</v>
      </c>
      <c r="AL36" s="241">
        <v>-24567.660000000011</v>
      </c>
      <c r="AM36" s="27">
        <v>-28061.863213815861</v>
      </c>
      <c r="AN36" s="28">
        <f>-CMV_Manual!N23+SUMIFS(Aut_Ajustes_Manuais!$G:$G,Aut_Ajustes_Manuais!$I:$I,DRE!AL$4,Aut_Ajustes_Manuais!$F:$F,"Insumos - Bebidas")</f>
        <v>0</v>
      </c>
      <c r="AO36" s="241">
        <v>-46326.399999999987</v>
      </c>
      <c r="AP36" s="27">
        <v>-27288.8007907459</v>
      </c>
      <c r="AQ36" s="28">
        <f>-CMV_Manual!O23+SUMIFS(Aut_Ajustes_Manuais!$G:$G,Aut_Ajustes_Manuais!$I:$I,DRE!AO$4,Aut_Ajustes_Manuais!$F:$F,"Insumos - Bebidas")</f>
        <v>0</v>
      </c>
      <c r="AR36" s="241">
        <f ca="1">SUMIFS($H36:$AO36,$H$5:$AO$5,"&lt;"&amp;MONTH(TODAY()),$H$6:$AO$6,"REAL 25")</f>
        <v>-155434.59000000003</v>
      </c>
      <c r="AS36" s="27">
        <f ca="1">SUMIFS($I36:$AP36,$I$5:$AP$5,"&lt;"&amp;MONTH(TODAY()),$I$6:$AP$6,"ORÇADO ")</f>
        <v>-159899.7670060728</v>
      </c>
      <c r="AT36" s="28">
        <f ca="1">SUMIFS($J36:$AQ36,$J$5:$AQ$5,"&lt;"&amp;MONTH(TODAY()),$J$6:$AQ$6,"REAL 26")</f>
        <v>-181930.63</v>
      </c>
      <c r="AU36" s="241">
        <f t="shared" si="35"/>
        <v>-333207.35000000003</v>
      </c>
      <c r="AV36" s="27">
        <f t="shared" si="35"/>
        <v>-335313.74215179833</v>
      </c>
      <c r="AW36" s="28">
        <f t="shared" si="35"/>
        <v>-189128.16</v>
      </c>
      <c r="AX36" s="241">
        <f t="shared" si="36"/>
        <v>-77318.350000000006</v>
      </c>
      <c r="AY36" s="27">
        <f t="shared" si="36"/>
        <v>-76910.7265048587</v>
      </c>
      <c r="AZ36" s="28">
        <f t="shared" si="36"/>
        <v>-79719.929999999993</v>
      </c>
      <c r="BA36" s="241">
        <f t="shared" si="37"/>
        <v>-78116.240000000005</v>
      </c>
      <c r="BB36" s="27">
        <f t="shared" si="37"/>
        <v>-82989.040501214113</v>
      </c>
      <c r="BC36" s="28">
        <f t="shared" si="37"/>
        <v>-102210.70000000001</v>
      </c>
      <c r="BD36" s="241">
        <f t="shared" si="38"/>
        <v>-78140.33</v>
      </c>
      <c r="BE36" s="27">
        <f t="shared" si="38"/>
        <v>-93964.556230196104</v>
      </c>
      <c r="BF36" s="28">
        <f t="shared" si="38"/>
        <v>-7197.53</v>
      </c>
      <c r="BG36" s="241">
        <f t="shared" si="39"/>
        <v>-99632.43</v>
      </c>
      <c r="BH36" s="27">
        <f t="shared" si="39"/>
        <v>-81449.418915529488</v>
      </c>
      <c r="BI36" s="28">
        <f t="shared" si="39"/>
        <v>0</v>
      </c>
    </row>
    <row r="37" spans="1:61" s="29" customFormat="1" hidden="1" outlineLevel="1" x14ac:dyDescent="0.3">
      <c r="A37" s="22" t="s">
        <v>54</v>
      </c>
      <c r="B37" s="2"/>
      <c r="C37" s="24" t="s">
        <v>14</v>
      </c>
      <c r="D37" s="69"/>
      <c r="E37" s="70"/>
      <c r="F37" s="465"/>
      <c r="G37" s="466"/>
      <c r="H37" s="241">
        <v>-2059.2600000000002</v>
      </c>
      <c r="I37" s="27">
        <v>-368.57797199999999</v>
      </c>
      <c r="J37" s="28">
        <f>SUMIFS(Aut_BlueMe_Sem_Pedido!$J:$J,Aut_BlueMe_Sem_Pedido!$Q:$Q,DRE!H$4,Aut_BlueMe_Sem_Pedido!$H:$H,DRE!$A37)+SUMIFS(Aut_Ajustes_Manuais!$G:$G,Aut_Ajustes_Manuais!$I:$I,DRE!H$4,Aut_Ajustes_Manuais!$F:$F,"Insumos - Embalagens")</f>
        <v>-1069.8800000000001</v>
      </c>
      <c r="K37" s="241">
        <v>0</v>
      </c>
      <c r="L37" s="27">
        <v>-595.07481599999983</v>
      </c>
      <c r="M37" s="28">
        <f>SUMIFS(Aut_BlueMe_Sem_Pedido!$J:$J,Aut_BlueMe_Sem_Pedido!$Q:$Q,DRE!K$4,Aut_BlueMe_Sem_Pedido!$H:$H,DRE!$A37)+SUMIFS(Aut_Ajustes_Manuais!$G:$G,Aut_Ajustes_Manuais!$I:$I,DRE!K$4,Aut_Ajustes_Manuais!$F:$F,"Insumos - Embalagens")</f>
        <v>-3048.63</v>
      </c>
      <c r="N37" s="241">
        <v>0</v>
      </c>
      <c r="O37" s="27">
        <v>-604.88316000000009</v>
      </c>
      <c r="P37" s="28">
        <f>SUMIFS(Aut_Ajustes_Manuais!$G:$G,Aut_Ajustes_Manuais!$I:$I,DRE!N$4,Aut_Ajustes_Manuais!$F:$F,"Insumos - Embalagens")</f>
        <v>-2729.74</v>
      </c>
      <c r="Q37" s="241">
        <v>-2059.2600000000002</v>
      </c>
      <c r="R37" s="27">
        <v>-624.43709999999987</v>
      </c>
      <c r="S37" s="28">
        <f>SUMIFS(Aut_BlueMe_Sem_Pedido!$J:$J,Aut_BlueMe_Sem_Pedido!$Q:$Q,DRE!Q$4,Aut_BlueMe_Sem_Pedido!$H:$H,DRE!$A37)+SUMIFS(Aut_Ajustes_Manuais!$G:$G,Aut_Ajustes_Manuais!$I:$I,DRE!Q$4,Aut_Ajustes_Manuais!$F:$F,"Insumos - Embalagens")</f>
        <v>-3566.14</v>
      </c>
      <c r="T37" s="241">
        <v>0</v>
      </c>
      <c r="U37" s="27">
        <v>-608.44769999999994</v>
      </c>
      <c r="V37" s="28">
        <f>SUMIFS(Aut_BlueMe_Sem_Pedido!$J:$J,Aut_BlueMe_Sem_Pedido!$Q:$Q,DRE!T$4,Aut_BlueMe_Sem_Pedido!$H:$H,DRE!$A37)+SUMIFS(Aut_Ajustes_Manuais!$G:$G,Aut_Ajustes_Manuais!$I:$I,DRE!T$4,Aut_Ajustes_Manuais!$F:$F,"Insumos - Embalagens")</f>
        <v>-4330.2700000000004</v>
      </c>
      <c r="W37" s="241">
        <v>-1576.55</v>
      </c>
      <c r="X37" s="27">
        <v>-610.59384072580633</v>
      </c>
      <c r="Y37" s="28">
        <f>SUMIFS(Aut_BlueMe_Sem_Pedido!$J:$J,Aut_BlueMe_Sem_Pedido!$Q:$Q,DRE!W$4,Aut_BlueMe_Sem_Pedido!$H:$H,DRE!$A37)+SUMIFS(Aut_Ajustes_Manuais!$G:$G,Aut_Ajustes_Manuais!$I:$I,DRE!W$4,Aut_Ajustes_Manuais!$F:$F,"Insumos - Embalagens")</f>
        <v>0</v>
      </c>
      <c r="Z37" s="241">
        <v>-2059.2600000000002</v>
      </c>
      <c r="AA37" s="27">
        <v>-662.82476400000019</v>
      </c>
      <c r="AB37" s="28">
        <f>SUMIFS(Aut_BlueMe_Sem_Pedido!$J:$J,Aut_BlueMe_Sem_Pedido!$Q:$Q,DRE!Z$4,Aut_BlueMe_Sem_Pedido!$H:$H,DRE!$A37)+SUMIFS(Aut_Ajustes_Manuais!$G:$G,Aut_Ajustes_Manuais!$I:$I,DRE!Z$4,Aut_Ajustes_Manuais!$F:$F,"Insumos - Embalagens")</f>
        <v>0</v>
      </c>
      <c r="AC37" s="241">
        <v>-1659.76</v>
      </c>
      <c r="AD37" s="27">
        <v>-698.90051699999958</v>
      </c>
      <c r="AE37" s="28">
        <f>SUMIFS(Aut_BlueMe_Sem_Pedido!$J:$J,Aut_BlueMe_Sem_Pedido!$Q:$Q,DRE!AC$4,Aut_BlueMe_Sem_Pedido!$H:$H,DRE!$A37)+SUMIFS(Aut_Ajustes_Manuais!$G:$G,Aut_Ajustes_Manuais!$I:$I,DRE!AC$4,Aut_Ajustes_Manuais!$F:$F,"Insumos - Embalagens")</f>
        <v>0</v>
      </c>
      <c r="AF37" s="241">
        <v>0</v>
      </c>
      <c r="AG37" s="27">
        <v>-553.41943548387121</v>
      </c>
      <c r="AH37" s="28">
        <f>SUMIFS(Aut_BlueMe_Sem_Pedido!$J:$J,Aut_BlueMe_Sem_Pedido!$Q:$Q,DRE!AF$4,Aut_BlueMe_Sem_Pedido!$H:$H,DRE!$A37)+SUMIFS(Aut_Ajustes_Manuais!$G:$G,Aut_Ajustes_Manuais!$I:$I,DRE!AF$4,Aut_Ajustes_Manuais!$F:$F,"Insumos - Embalagens")</f>
        <v>0</v>
      </c>
      <c r="AI37" s="241">
        <v>-1069.8800000000001</v>
      </c>
      <c r="AJ37" s="27">
        <v>-690.96035924999978</v>
      </c>
      <c r="AK37" s="28">
        <f>SUMIFS(Aut_BlueMe_Sem_Pedido!$J:$J,Aut_BlueMe_Sem_Pedido!$Q:$Q,DRE!AI$4,Aut_BlueMe_Sem_Pedido!$H:$H,DRE!$A37)+SUMIFS(Aut_Ajustes_Manuais!$G:$G,Aut_Ajustes_Manuais!$I:$I,DRE!AI$4,Aut_Ajustes_Manuais!$F:$F,"Insumos - Embalagens")</f>
        <v>0</v>
      </c>
      <c r="AL37" s="241">
        <v>0</v>
      </c>
      <c r="AM37" s="27">
        <v>-710.75543225806393</v>
      </c>
      <c r="AN37" s="28">
        <f>SUMIFS(Aut_BlueMe_Sem_Pedido!$J:$J,Aut_BlueMe_Sem_Pedido!$Q:$Q,DRE!AL$4,Aut_BlueMe_Sem_Pedido!$H:$H,DRE!$A37)+SUMIFS(Aut_Ajustes_Manuais!$G:$G,Aut_Ajustes_Manuais!$I:$I,DRE!AL$4,Aut_Ajustes_Manuais!$F:$F,"Insumos - Embalagens")</f>
        <v>0</v>
      </c>
      <c r="AO37" s="241">
        <v>-2059.2600000000002</v>
      </c>
      <c r="AP37" s="27">
        <v>-697.14593199999956</v>
      </c>
      <c r="AQ37" s="28">
        <f>SUMIFS(Aut_BlueMe_Sem_Pedido!$J:$J,Aut_BlueMe_Sem_Pedido!$Q:$Q,DRE!AO$4,Aut_BlueMe_Sem_Pedido!$H:$H,DRE!$A37)+SUMIFS(Aut_Ajustes_Manuais!$G:$G,Aut_Ajustes_Manuais!$I:$I,DRE!AO$4,Aut_Ajustes_Manuais!$F:$F,"Insumos - Embalagens")</f>
        <v>0</v>
      </c>
      <c r="AR37" s="241">
        <f ca="1">SUMIFS($H37:$AO37,$H$5:$AO$5,"&lt;"&amp;MONTH(TODAY()),$H$6:$AO$6,"REAL 25")</f>
        <v>-5695.0700000000006</v>
      </c>
      <c r="AS37" s="27">
        <f ca="1">SUMIFS($I37:$AP37,$I$5:$AP$5,"&lt;"&amp;MONTH(TODAY()),$I$6:$AP$6,"ORÇADO ")</f>
        <v>-3412.0145887258059</v>
      </c>
      <c r="AT37" s="28">
        <f ca="1">SUMIFS($J37:$AQ37,$J$5:$AQ$5,"&lt;"&amp;MONTH(TODAY()),$J$6:$AQ$6,"REAL 26")</f>
        <v>-14744.66</v>
      </c>
      <c r="AU37" s="241">
        <f t="shared" si="35"/>
        <v>-12543.230000000001</v>
      </c>
      <c r="AV37" s="27">
        <f t="shared" si="35"/>
        <v>-7426.0210287177388</v>
      </c>
      <c r="AW37" s="28">
        <f t="shared" si="35"/>
        <v>-14744.66</v>
      </c>
      <c r="AX37" s="241">
        <f t="shared" si="36"/>
        <v>-2059.2600000000002</v>
      </c>
      <c r="AY37" s="27">
        <f t="shared" si="36"/>
        <v>-1568.535948</v>
      </c>
      <c r="AZ37" s="28">
        <f t="shared" si="36"/>
        <v>-6848.25</v>
      </c>
      <c r="BA37" s="241">
        <f t="shared" si="37"/>
        <v>-3635.8100000000004</v>
      </c>
      <c r="BB37" s="27">
        <f t="shared" si="37"/>
        <v>-1843.4786407258061</v>
      </c>
      <c r="BC37" s="28">
        <f t="shared" si="37"/>
        <v>-7896.41</v>
      </c>
      <c r="BD37" s="241">
        <f t="shared" si="38"/>
        <v>-3719.0200000000004</v>
      </c>
      <c r="BE37" s="27">
        <f t="shared" si="38"/>
        <v>-1915.144716483871</v>
      </c>
      <c r="BF37" s="28">
        <f t="shared" si="38"/>
        <v>0</v>
      </c>
      <c r="BG37" s="241">
        <f t="shared" si="39"/>
        <v>-3129.1400000000003</v>
      </c>
      <c r="BH37" s="27">
        <f t="shared" si="39"/>
        <v>-2098.8617235080633</v>
      </c>
      <c r="BI37" s="28">
        <f t="shared" si="39"/>
        <v>0</v>
      </c>
    </row>
    <row r="38" spans="1:61" s="29" customFormat="1" hidden="1" outlineLevel="1" x14ac:dyDescent="0.3">
      <c r="A38" s="22" t="s">
        <v>23</v>
      </c>
      <c r="B38" s="2"/>
      <c r="C38" s="24" t="s">
        <v>14</v>
      </c>
      <c r="D38" s="69"/>
      <c r="E38" s="70"/>
      <c r="F38" s="465"/>
      <c r="G38" s="466"/>
      <c r="H38" s="241">
        <v>0</v>
      </c>
      <c r="I38" s="27"/>
      <c r="J38" s="28"/>
      <c r="K38" s="241">
        <v>0</v>
      </c>
      <c r="L38" s="27"/>
      <c r="M38" s="28"/>
      <c r="N38" s="241">
        <v>0</v>
      </c>
      <c r="O38" s="27"/>
      <c r="P38" s="28"/>
      <c r="Q38" s="241">
        <v>0</v>
      </c>
      <c r="R38" s="27"/>
      <c r="S38" s="28"/>
      <c r="T38" s="241">
        <v>0</v>
      </c>
      <c r="U38" s="27"/>
      <c r="V38" s="28"/>
      <c r="W38" s="241">
        <v>0</v>
      </c>
      <c r="X38" s="27"/>
      <c r="Y38" s="28"/>
      <c r="Z38" s="241">
        <v>0</v>
      </c>
      <c r="AA38" s="27"/>
      <c r="AB38" s="28"/>
      <c r="AC38" s="241">
        <v>0</v>
      </c>
      <c r="AD38" s="27"/>
      <c r="AE38" s="28"/>
      <c r="AF38" s="241">
        <v>0</v>
      </c>
      <c r="AG38" s="27"/>
      <c r="AH38" s="28"/>
      <c r="AI38" s="241">
        <v>0</v>
      </c>
      <c r="AJ38" s="27"/>
      <c r="AK38" s="28"/>
      <c r="AL38" s="241">
        <v>0</v>
      </c>
      <c r="AM38" s="27"/>
      <c r="AN38" s="28"/>
      <c r="AO38" s="241">
        <v>0</v>
      </c>
      <c r="AP38" s="27"/>
      <c r="AQ38" s="28"/>
      <c r="AR38" s="241">
        <f ca="1">SUMIFS($H38:$AO38,$H$5:$AO$5,"&lt;"&amp;MONTH(TODAY()),$H$6:$AO$6,"REAL 25")</f>
        <v>0</v>
      </c>
      <c r="AS38" s="27">
        <f ca="1">SUMIFS($I38:$AP38,$I$5:$AP$5,"&lt;"&amp;MONTH(TODAY()),$I$6:$AP$6,"ORÇADO ")</f>
        <v>0</v>
      </c>
      <c r="AT38" s="28">
        <f ca="1">SUMIFS($J38:$AQ38,$J$5:$AQ$5,"&lt;"&amp;MONTH(TODAY()),$J$6:$AQ$6,"REAL 26")</f>
        <v>0</v>
      </c>
      <c r="AU38" s="241">
        <f t="shared" si="35"/>
        <v>0</v>
      </c>
      <c r="AV38" s="27">
        <f t="shared" si="35"/>
        <v>0</v>
      </c>
      <c r="AW38" s="28">
        <f t="shared" si="35"/>
        <v>0</v>
      </c>
      <c r="AX38" s="241">
        <f t="shared" si="36"/>
        <v>0</v>
      </c>
      <c r="AY38" s="27">
        <f t="shared" si="36"/>
        <v>0</v>
      </c>
      <c r="AZ38" s="28">
        <f t="shared" si="36"/>
        <v>0</v>
      </c>
      <c r="BA38" s="241">
        <f t="shared" si="37"/>
        <v>0</v>
      </c>
      <c r="BB38" s="27">
        <f t="shared" si="37"/>
        <v>0</v>
      </c>
      <c r="BC38" s="28">
        <f t="shared" si="37"/>
        <v>0</v>
      </c>
      <c r="BD38" s="241">
        <f t="shared" si="38"/>
        <v>0</v>
      </c>
      <c r="BE38" s="27">
        <f t="shared" si="38"/>
        <v>0</v>
      </c>
      <c r="BF38" s="28">
        <f t="shared" si="38"/>
        <v>0</v>
      </c>
      <c r="BG38" s="241">
        <f t="shared" si="39"/>
        <v>0</v>
      </c>
      <c r="BH38" s="27">
        <f t="shared" si="39"/>
        <v>0</v>
      </c>
      <c r="BI38" s="28">
        <f t="shared" si="39"/>
        <v>0</v>
      </c>
    </row>
    <row r="39" spans="1:61" collapsed="1" x14ac:dyDescent="0.3">
      <c r="A39" s="71" t="s">
        <v>44</v>
      </c>
      <c r="C39" s="24"/>
      <c r="D39" s="25"/>
      <c r="E39" s="25"/>
      <c r="F39" s="41"/>
      <c r="G39" s="72"/>
      <c r="H39" s="245">
        <v>-0.356576203250424</v>
      </c>
      <c r="I39" s="50">
        <v>-0.2944451662519792</v>
      </c>
      <c r="J39" s="51">
        <f>IFERROR(J34/(J9+J10+J14+J18),0)+SUMIFS(Aut_Ajustes_Manuais!$G:$G,Aut_Ajustes_Manuais!$I:$I,DRE!H$4,Aut_Ajustes_Manuais!$F:$F,"% sobre Receita Bruta")</f>
        <v>-0.312529436568595</v>
      </c>
      <c r="K39" s="245">
        <v>-0.33375314870571587</v>
      </c>
      <c r="L39" s="50">
        <v>-0.29838621218500971</v>
      </c>
      <c r="M39" s="51">
        <f>IFERROR(M34/(M9+M10+M14+M18),0)+SUMIFS(Aut_Ajustes_Manuais!$G:$G,Aut_Ajustes_Manuais!$I:$I,DRE!K$4,Aut_Ajustes_Manuais!$F:$F,"% sobre Receita Bruta")</f>
        <v>-0.2765970231805156</v>
      </c>
      <c r="N39" s="245">
        <v>-0.33623513337374278</v>
      </c>
      <c r="O39" s="50">
        <v>-0.29627468073306812</v>
      </c>
      <c r="P39" s="51">
        <f>IFERROR(P34/(P9+P10+P14+P18),0)+SUMIFS(Aut_Ajustes_Manuais!$G:$G,Aut_Ajustes_Manuais!$I:$I,DRE!N$4,Aut_Ajustes_Manuais!$F:$F,"% sobre Receita Bruta")</f>
        <v>-0.28889732814049462</v>
      </c>
      <c r="Q39" s="245">
        <v>-0.33479990917755109</v>
      </c>
      <c r="R39" s="50">
        <v>-0.29922514162952663</v>
      </c>
      <c r="S39" s="51">
        <f>IFERROR(S34/(S9+S10+S14+S18),0)+SUMIFS(Aut_Ajustes_Manuais!$G:$G,Aut_Ajustes_Manuais!$I:$I,DRE!Q$4,Aut_Ajustes_Manuais!$F:$F,"% sobre Receita Bruta")</f>
        <v>-0.28429403931609093</v>
      </c>
      <c r="T39" s="245">
        <v>-0.3033031043102003</v>
      </c>
      <c r="U39" s="50">
        <v>-0.29509263267526709</v>
      </c>
      <c r="V39" s="51">
        <f>IFERROR(V34/(V9+V10+V14+V18),0)+SUMIFS(Aut_Ajustes_Manuais!$G:$G,Aut_Ajustes_Manuais!$I:$I,DRE!T$4,Aut_Ajustes_Manuais!$F:$F,"% sobre Receita Bruta")</f>
        <v>-0.31763293226740547</v>
      </c>
      <c r="W39" s="245">
        <v>-0.30271857943341468</v>
      </c>
      <c r="X39" s="50">
        <v>-0.29737374068115641</v>
      </c>
      <c r="Y39" s="51">
        <f>IFERROR(Y34/(Y9+Y10+Y14+Y18),0)+SUMIFS(Aut_Ajustes_Manuais!$G:$G,Aut_Ajustes_Manuais!$I:$I,DRE!W$4,Aut_Ajustes_Manuais!$F:$F,"% sobre Receita Bruta")</f>
        <v>-0.43885377021929722</v>
      </c>
      <c r="Z39" s="245">
        <v>-0.30476611463676961</v>
      </c>
      <c r="AA39" s="50">
        <v>-0.30042383329783012</v>
      </c>
      <c r="AB39" s="51">
        <f>IFERROR(AB34/(AB9+AB10+AB14+AB18),0)+SUMIFS(Aut_Ajustes_Manuais!$G:$G,Aut_Ajustes_Manuais!$I:$I,DRE!Z$4,Aut_Ajustes_Manuais!$F:$F,"% sobre Receita Bruta")</f>
        <v>-0.24430187142731441</v>
      </c>
      <c r="AC39" s="245">
        <v>-0.29980612793967548</v>
      </c>
      <c r="AD39" s="50">
        <v>-0.29455153299050191</v>
      </c>
      <c r="AE39" s="51">
        <f>IFERROR(AE34/(AE9+AE10+AE14+AE18),0)+SUMIFS(Aut_Ajustes_Manuais!$G:$G,Aut_Ajustes_Manuais!$I:$I,DRE!AC$4,Aut_Ajustes_Manuais!$F:$F,"% sobre Receita Bruta")</f>
        <v>0</v>
      </c>
      <c r="AF39" s="245">
        <v>-0.30423860773608091</v>
      </c>
      <c r="AG39" s="50">
        <v>-0.29832759885990201</v>
      </c>
      <c r="AH39" s="51">
        <f>IFERROR(AH34/(AH9+AH10+AH14+AH18),0)+SUMIFS(Aut_Ajustes_Manuais!$G:$G,Aut_Ajustes_Manuais!$I:$I,DRE!AF$4,Aut_Ajustes_Manuais!$F:$F,"% sobre Receita Bruta")</f>
        <v>0</v>
      </c>
      <c r="AI39" s="245">
        <v>-0.27011684054660179</v>
      </c>
      <c r="AJ39" s="50">
        <v>-0.30213521813027711</v>
      </c>
      <c r="AK39" s="51">
        <f>IFERROR(AK34/(AK9+AK10+AK14+AK18),0)+SUMIFS(Aut_Ajustes_Manuais!$G:$G,Aut_Ajustes_Manuais!$I:$I,DRE!AI$4,Aut_Ajustes_Manuais!$F:$F,"% sobre Receita Bruta")</f>
        <v>0</v>
      </c>
      <c r="AL39" s="245">
        <v>-0.30820224342031421</v>
      </c>
      <c r="AM39" s="50">
        <v>-0.30138909680594589</v>
      </c>
      <c r="AN39" s="51">
        <f>IFERROR(AN34/(AN9+AN10+AN14+AN18),0)+SUMIFS(Aut_Ajustes_Manuais!$G:$G,Aut_Ajustes_Manuais!$I:$I,DRE!AL$4,Aut_Ajustes_Manuais!$F:$F,"% sobre Receita Bruta")</f>
        <v>0</v>
      </c>
      <c r="AO39" s="245">
        <v>-0.1813803162483078</v>
      </c>
      <c r="AP39" s="50">
        <v>-0.30956758142473312</v>
      </c>
      <c r="AQ39" s="51">
        <f>IFERROR(AQ34/(AQ9+AQ10+AQ14+AQ18),0)+SUMIFS(Aut_Ajustes_Manuais!$G:$G,Aut_Ajustes_Manuais!$I:$I,DRE!AO$4,Aut_Ajustes_Manuais!$F:$F,"% sobre Receita Bruta")</f>
        <v>0</v>
      </c>
      <c r="AR39" s="245">
        <f t="shared" ref="AR39:BI39" ca="1" si="40">IFERROR(AR34/(AR9+AR10+AR14+AR18),0)</f>
        <v>-0.32637397941085633</v>
      </c>
      <c r="AS39" s="50">
        <f t="shared" ca="1" si="40"/>
        <v>-0.29683662373631031</v>
      </c>
      <c r="AT39" s="51">
        <f t="shared" ca="1" si="40"/>
        <v>-0.32031975271638635</v>
      </c>
      <c r="AU39" s="245">
        <f t="shared" si="40"/>
        <v>-0.29244057088788777</v>
      </c>
      <c r="AV39" s="50">
        <f t="shared" si="40"/>
        <v>-0.29930770979637689</v>
      </c>
      <c r="AW39" s="51">
        <f t="shared" si="40"/>
        <v>-0.31615047685319642</v>
      </c>
      <c r="AX39" s="245">
        <f t="shared" si="40"/>
        <v>-0.34129796923705397</v>
      </c>
      <c r="AY39" s="50">
        <f t="shared" si="40"/>
        <v>-0.29641282990489726</v>
      </c>
      <c r="AZ39" s="51">
        <f t="shared" si="40"/>
        <v>-0.29210573641410076</v>
      </c>
      <c r="BA39" s="245">
        <f t="shared" si="40"/>
        <v>-0.31370445724775436</v>
      </c>
      <c r="BB39" s="50">
        <f t="shared" si="40"/>
        <v>-0.29722325032612079</v>
      </c>
      <c r="BC39" s="51">
        <f t="shared" si="40"/>
        <v>-0.34854186742967225</v>
      </c>
      <c r="BD39" s="245">
        <f t="shared" si="40"/>
        <v>-0.30292445999131173</v>
      </c>
      <c r="BE39" s="50">
        <f t="shared" si="40"/>
        <v>-0.29777518871670183</v>
      </c>
      <c r="BF39" s="51">
        <f t="shared" si="40"/>
        <v>-0.24430187142731441</v>
      </c>
      <c r="BG39" s="245">
        <f t="shared" si="40"/>
        <v>-0.2380723201444179</v>
      </c>
      <c r="BH39" s="50">
        <f t="shared" si="40"/>
        <v>-0.30478327224076662</v>
      </c>
      <c r="BI39" s="51">
        <f t="shared" si="40"/>
        <v>0</v>
      </c>
    </row>
    <row r="40" spans="1:61" x14ac:dyDescent="0.3">
      <c r="A40" s="71" t="s">
        <v>55</v>
      </c>
      <c r="C40" s="24"/>
      <c r="D40" s="25"/>
      <c r="E40" s="25"/>
      <c r="F40" s="41"/>
      <c r="G40" s="72"/>
      <c r="H40" s="245">
        <v>-0.34317711310667659</v>
      </c>
      <c r="I40" s="50">
        <v>-0.28241897570730168</v>
      </c>
      <c r="J40" s="51">
        <f>IFERROR(J34/J32,0)+SUMIFS(Aut_Ajustes_Manuais!$G:$G,Aut_Ajustes_Manuais!$I:$I,DRE!H$4,Aut_Ajustes_Manuais!$F:$F,"% sobre Receita Líquida")</f>
        <v>-0.30875305926805163</v>
      </c>
      <c r="K40" s="245">
        <v>-0.31494997336402702</v>
      </c>
      <c r="L40" s="50">
        <v>-0.28526217935651538</v>
      </c>
      <c r="M40" s="51">
        <f>IFERROR(M34/M32,0)+SUMIFS(Aut_Ajustes_Manuais!$G:$G,Aut_Ajustes_Manuais!$I:$I,DRE!K$4,Aut_Ajustes_Manuais!$F:$F,"% sobre Receita Líquida")</f>
        <v>-0.26686796043477296</v>
      </c>
      <c r="N40" s="245">
        <v>-0.31615369580984481</v>
      </c>
      <c r="O40" s="50">
        <v>-0.28454690889656259</v>
      </c>
      <c r="P40" s="51">
        <f>IFERROR(P34/P32,0)+SUMIFS(Aut_Ajustes_Manuais!$G:$G,Aut_Ajustes_Manuais!$I:$I,DRE!N$4,Aut_Ajustes_Manuais!$F:$F,"% sobre Receita Líquida")</f>
        <v>-0.28445276317907836</v>
      </c>
      <c r="Q40" s="245">
        <v>-0.32366961749995621</v>
      </c>
      <c r="R40" s="50">
        <v>-0.28374846193743591</v>
      </c>
      <c r="S40" s="51">
        <f>IFERROR(S34/S32,0)+SUMIFS(Aut_Ajustes_Manuais!$G:$G,Aut_Ajustes_Manuais!$I:$I,DRE!Q$4,Aut_Ajustes_Manuais!$F:$F,"% sobre Receita Líquida")</f>
        <v>-0.28029116326378622</v>
      </c>
      <c r="T40" s="245">
        <v>-0.29212529453549207</v>
      </c>
      <c r="U40" s="50">
        <v>-0.28480559226665852</v>
      </c>
      <c r="V40" s="51">
        <f>IFERROR(V34/V32,0)+SUMIFS(Aut_Ajustes_Manuais!$G:$G,Aut_Ajustes_Manuais!$I:$I,DRE!T$4,Aut_Ajustes_Manuais!$F:$F,"% sobre Receita Líquida")</f>
        <v>-0.30959191835405936</v>
      </c>
      <c r="W40" s="245">
        <v>-0.29185389477209989</v>
      </c>
      <c r="X40" s="50">
        <v>-0.28504158344947822</v>
      </c>
      <c r="Y40" s="51">
        <f>IFERROR(Y34/Y32,0)+SUMIFS(Aut_Ajustes_Manuais!$G:$G,Aut_Ajustes_Manuais!$I:$I,DRE!W$4,Aut_Ajustes_Manuais!$F:$F,"% sobre Receita Líquida")</f>
        <v>-0.43588382947956095</v>
      </c>
      <c r="Z40" s="245">
        <v>-0.29734351752054561</v>
      </c>
      <c r="AA40" s="50">
        <v>-0.2836068213814058</v>
      </c>
      <c r="AB40" s="51">
        <f>IFERROR(AB34/AB32,0)+SUMIFS(Aut_Ajustes_Manuais!$G:$G,Aut_Ajustes_Manuais!$I:$I,DRE!Z$4,Aut_Ajustes_Manuais!$F:$F,"% sobre Receita Líquida")</f>
        <v>-0.2361415506049086</v>
      </c>
      <c r="AC40" s="245">
        <v>-0.28642359545160861</v>
      </c>
      <c r="AD40" s="50">
        <v>-0.28524663344730727</v>
      </c>
      <c r="AE40" s="51">
        <f>IFERROR(AE34/AE32,0)+SUMIFS(Aut_Ajustes_Manuais!$G:$G,Aut_Ajustes_Manuais!$I:$I,DRE!AC$4,Aut_Ajustes_Manuais!$F:$F,"% sobre Receita Líquida")</f>
        <v>0</v>
      </c>
      <c r="AF40" s="245">
        <v>-0.29164592315157678</v>
      </c>
      <c r="AG40" s="50">
        <v>-0.28417996266604229</v>
      </c>
      <c r="AH40" s="51">
        <f>IFERROR(AH34/AH32,0)+SUMIFS(Aut_Ajustes_Manuais!$G:$G,Aut_Ajustes_Manuais!$I:$I,DRE!AF$4,Aut_Ajustes_Manuais!$F:$F,"% sobre Receita Líquida")</f>
        <v>0</v>
      </c>
      <c r="AI40" s="245">
        <v>-0.26218375687959972</v>
      </c>
      <c r="AJ40" s="50">
        <v>-0.28261539604342367</v>
      </c>
      <c r="AK40" s="51">
        <f>IFERROR(AK34/AK32,0)+SUMIFS(Aut_Ajustes_Manuais!$G:$G,Aut_Ajustes_Manuais!$I:$I,DRE!AI$4,Aut_Ajustes_Manuais!$F:$F,"% sobre Receita Líquida")</f>
        <v>0</v>
      </c>
      <c r="AL40" s="245">
        <v>-0.29530728195793998</v>
      </c>
      <c r="AM40" s="50">
        <v>-0.2814378416270138</v>
      </c>
      <c r="AN40" s="51">
        <f>IFERROR(AN34/AN32,0)+SUMIFS(Aut_Ajustes_Manuais!$G:$G,Aut_Ajustes_Manuais!$I:$I,DRE!AL$4,Aut_Ajustes_Manuais!$F:$F,"% sobre Receita Líquida")</f>
        <v>0</v>
      </c>
      <c r="AO40" s="245">
        <v>-0.1771040618347802</v>
      </c>
      <c r="AP40" s="50">
        <v>-0.27780721009319792</v>
      </c>
      <c r="AQ40" s="51">
        <f>IFERROR(AQ34/AQ32,0)+SUMIFS(Aut_Ajustes_Manuais!$G:$G,Aut_Ajustes_Manuais!$I:$I,DRE!AO$4,Aut_Ajustes_Manuais!$F:$F,"% sobre Receita Líquida")</f>
        <v>0</v>
      </c>
      <c r="AR40" s="245">
        <f t="shared" ref="AR40:BI40" ca="1" si="41">IFERROR(AR34/AR32,0)</f>
        <v>-0.31225172748609242</v>
      </c>
      <c r="AS40" s="50">
        <f t="shared" ca="1" si="41"/>
        <v>-0.28434738094266415</v>
      </c>
      <c r="AT40" s="51">
        <f t="shared" ca="1" si="41"/>
        <v>-0.31458045333460982</v>
      </c>
      <c r="AU40" s="245">
        <f t="shared" si="41"/>
        <v>-0.28151873612636397</v>
      </c>
      <c r="AV40" s="50">
        <f t="shared" si="41"/>
        <v>-0.28319393136135046</v>
      </c>
      <c r="AW40" s="51">
        <f t="shared" si="41"/>
        <v>-0.30962495129905149</v>
      </c>
      <c r="AX40" s="245">
        <f t="shared" si="41"/>
        <v>-0.32339306358265674</v>
      </c>
      <c r="AY40" s="50">
        <f t="shared" si="41"/>
        <v>-0.28416167876615678</v>
      </c>
      <c r="AZ40" s="51">
        <f t="shared" si="41"/>
        <v>-0.28612838860781081</v>
      </c>
      <c r="BA40" s="245">
        <f t="shared" si="41"/>
        <v>-0.30262240009952929</v>
      </c>
      <c r="BB40" s="50">
        <f t="shared" si="41"/>
        <v>-0.2845165458666723</v>
      </c>
      <c r="BC40" s="51">
        <f t="shared" si="41"/>
        <v>-0.34318901252097089</v>
      </c>
      <c r="BD40" s="245">
        <f t="shared" si="41"/>
        <v>-0.29190777926876788</v>
      </c>
      <c r="BE40" s="50">
        <f t="shared" si="41"/>
        <v>-0.28433529697047871</v>
      </c>
      <c r="BF40" s="51">
        <f t="shared" si="41"/>
        <v>-0.23126990684725776</v>
      </c>
      <c r="BG40" s="245">
        <f t="shared" si="41"/>
        <v>-0.23091705219831646</v>
      </c>
      <c r="BH40" s="50">
        <f t="shared" si="41"/>
        <v>-0.28033920927838057</v>
      </c>
      <c r="BI40" s="51">
        <f t="shared" si="41"/>
        <v>0</v>
      </c>
    </row>
    <row r="41" spans="1:61" x14ac:dyDescent="0.3">
      <c r="A41" s="18"/>
      <c r="E41" s="16"/>
      <c r="F41" s="17"/>
      <c r="H41" s="247"/>
      <c r="I41" s="17"/>
      <c r="J41" s="57"/>
      <c r="K41" s="247"/>
      <c r="L41" s="17"/>
      <c r="M41" s="57"/>
      <c r="N41" s="247"/>
      <c r="O41" s="17"/>
      <c r="P41" s="57"/>
      <c r="Q41" s="247"/>
      <c r="R41" s="17"/>
      <c r="S41" s="57"/>
      <c r="T41" s="247"/>
      <c r="U41" s="17"/>
      <c r="V41" s="57"/>
      <c r="W41" s="247"/>
      <c r="X41" s="17"/>
      <c r="Y41" s="57"/>
      <c r="Z41" s="247"/>
      <c r="AA41" s="17"/>
      <c r="AB41" s="57"/>
      <c r="AC41" s="247"/>
      <c r="AD41" s="17"/>
      <c r="AE41" s="57"/>
      <c r="AF41" s="247"/>
      <c r="AG41" s="17"/>
      <c r="AH41" s="57"/>
      <c r="AI41" s="247"/>
      <c r="AJ41" s="17"/>
      <c r="AK41" s="57"/>
      <c r="AL41" s="247"/>
      <c r="AM41" s="17"/>
      <c r="AN41" s="57"/>
      <c r="AO41" s="247"/>
      <c r="AP41" s="17"/>
      <c r="AQ41" s="57"/>
      <c r="AR41" s="247"/>
      <c r="AS41" s="17"/>
      <c r="AT41" s="57"/>
      <c r="AU41" s="247"/>
      <c r="AV41" s="17"/>
      <c r="AW41" s="57"/>
      <c r="AX41" s="247"/>
      <c r="AY41" s="17"/>
      <c r="AZ41" s="57"/>
      <c r="BA41" s="247"/>
      <c r="BB41" s="17"/>
      <c r="BC41" s="57"/>
      <c r="BD41" s="247"/>
      <c r="BE41" s="17"/>
      <c r="BF41" s="57"/>
      <c r="BG41" s="247"/>
      <c r="BH41" s="17"/>
      <c r="BI41" s="57"/>
    </row>
    <row r="42" spans="1:61" x14ac:dyDescent="0.3">
      <c r="A42" s="39" t="s">
        <v>56</v>
      </c>
      <c r="C42" s="40" t="s">
        <v>35</v>
      </c>
      <c r="D42" s="40" t="s">
        <v>36</v>
      </c>
      <c r="E42" s="40" t="s">
        <v>37</v>
      </c>
      <c r="F42" s="41"/>
      <c r="H42" s="251">
        <v>-8697.9402329363438</v>
      </c>
      <c r="I42" s="67">
        <f>SUM(I43,I49)</f>
        <v>-4980.4568113548394</v>
      </c>
      <c r="J42" s="68">
        <f>SUM(J43,J49)+SUMIFS(Aut_Ajustes_Manuais!$G:$G,Aut_Ajustes_Manuais!$I:$I,DRE!H$4,Aut_Ajustes_Manuais!$F:$F,"(-) Custos Artístico Geral")</f>
        <v>-3519.23</v>
      </c>
      <c r="K42" s="251">
        <v>-12822.92261491812</v>
      </c>
      <c r="L42" s="67">
        <f>SUM(L43,L49)</f>
        <v>-4760.7590966400012</v>
      </c>
      <c r="M42" s="68">
        <f>SUM(M43,M49)+SUMIFS(Aut_Ajustes_Manuais!$G:$G,Aut_Ajustes_Manuais!$I:$I,DRE!K$4,Aut_Ajustes_Manuais!$F:$F,"(-) Custos Artístico Geral")</f>
        <v>-9393.67</v>
      </c>
      <c r="N42" s="251">
        <v>-15603.29451645124</v>
      </c>
      <c r="O42" s="67">
        <f>SUM(O43,O49)</f>
        <v>-6411.407148774193</v>
      </c>
      <c r="P42" s="68">
        <f>SUM(P43,P49)+SUMIFS(Aut_Ajustes_Manuais!$G:$G,Aut_Ajustes_Manuais!$I:$I,DRE!N$4,Aut_Ajustes_Manuais!$F:$F,"(-) Custos Artístico Geral")</f>
        <v>-6430.98</v>
      </c>
      <c r="Q42" s="251">
        <v>-12246.803047055</v>
      </c>
      <c r="R42" s="67">
        <f>SUM(R43,R49)</f>
        <v>-5438.9081483520004</v>
      </c>
      <c r="S42" s="68">
        <f>SUM(S43,S49)+SUMIFS(Aut_Ajustes_Manuais!$G:$G,Aut_Ajustes_Manuais!$I:$I,DRE!Q$4,Aut_Ajustes_Manuais!$F:$F,"(-) Custos Artístico Geral")</f>
        <v>-7275.27</v>
      </c>
      <c r="T42" s="251">
        <v>-13948.56743185408</v>
      </c>
      <c r="U42" s="67">
        <f>SUM(U43,U49)</f>
        <v>-6667.2950562580645</v>
      </c>
      <c r="V42" s="68">
        <f>SUM(V43,V49)+SUMIFS(Aut_Ajustes_Manuais!$G:$G,Aut_Ajustes_Manuais!$I:$I,DRE!T$4,Aut_Ajustes_Manuais!$F:$F,"(-) Custos Artístico Geral")</f>
        <v>-8230.34</v>
      </c>
      <c r="W42" s="251">
        <v>-17042.54972575435</v>
      </c>
      <c r="X42" s="67">
        <f>SUM(X43,X49)</f>
        <v>-5462.495560704001</v>
      </c>
      <c r="Y42" s="68">
        <f>SUM(Y43,Y49)+SUMIFS(Aut_Ajustes_Manuais!$G:$G,Aut_Ajustes_Manuais!$I:$I,DRE!W$4,Aut_Ajustes_Manuais!$F:$F,"(-) Custos Artístico Geral")</f>
        <v>-7951.96</v>
      </c>
      <c r="Z42" s="251">
        <v>-6774.7954861560811</v>
      </c>
      <c r="AA42" s="67">
        <f>SUM(AA43,AA49)</f>
        <v>-5468.7378815999982</v>
      </c>
      <c r="AB42" s="68">
        <f>SUM(AB43,AB49)+SUMIFS(Aut_Ajustes_Manuais!$G:$G,Aut_Ajustes_Manuais!$I:$I,DRE!Z$4,Aut_Ajustes_Manuais!$F:$F,"(-) Custos Artístico Geral")</f>
        <v>-13748</v>
      </c>
      <c r="AC42" s="251">
        <v>-8112.8999742030956</v>
      </c>
      <c r="AD42" s="67">
        <f>SUM(AD43,AD49)</f>
        <v>-7728.5926335483873</v>
      </c>
      <c r="AE42" s="68">
        <f>SUM(AE43,AE49)+SUMIFS(Aut_Ajustes_Manuais!$G:$G,Aut_Ajustes_Manuais!$I:$I,DRE!AC$4,Aut_Ajustes_Manuais!$F:$F,"(-) Custos Artístico Geral")</f>
        <v>-12000</v>
      </c>
      <c r="AF42" s="251">
        <v>-9297.6455447871849</v>
      </c>
      <c r="AG42" s="67">
        <f>SUM(AG43,AG49)</f>
        <v>-5243.608930559999</v>
      </c>
      <c r="AH42" s="68">
        <f>SUM(AH43,AH49)+SUMIFS(Aut_Ajustes_Manuais!$G:$G,Aut_Ajustes_Manuais!$I:$I,DRE!AF$4,Aut_Ajustes_Manuais!$F:$F,"(-) Custos Artístico Geral")</f>
        <v>0</v>
      </c>
      <c r="AI42" s="251">
        <v>-5385.3684864987272</v>
      </c>
      <c r="AJ42" s="67">
        <f>SUM(AJ43,AJ49)</f>
        <v>-5126.0818993548382</v>
      </c>
      <c r="AK42" s="68">
        <f>SUM(AK43,AK49)+SUMIFS(Aut_Ajustes_Manuais!$G:$G,Aut_Ajustes_Manuais!$I:$I,DRE!AI$4,Aut_Ajustes_Manuais!$F:$F,"(-) Custos Artístico Geral")</f>
        <v>0</v>
      </c>
      <c r="AL42" s="251">
        <v>-11500.28892850249</v>
      </c>
      <c r="AM42" s="67">
        <f>SUM(AM43,AM49)</f>
        <v>-6196.93711188424</v>
      </c>
      <c r="AN42" s="68">
        <f>SUM(AN43,AN49)+SUMIFS(Aut_Ajustes_Manuais!$G:$G,Aut_Ajustes_Manuais!$I:$I,DRE!AL$4,Aut_Ajustes_Manuais!$F:$F,"(-) Custos Artístico Geral")</f>
        <v>0</v>
      </c>
      <c r="AO42" s="251">
        <v>-13430.963278761759</v>
      </c>
      <c r="AP42" s="67">
        <f>SUM(AP43,AP49)</f>
        <v>-4135.8547228403313</v>
      </c>
      <c r="AQ42" s="68">
        <f>SUM(AQ43,AQ49)+SUMIFS(Aut_Ajustes_Manuais!$G:$G,Aut_Ajustes_Manuais!$I:$I,DRE!AO$4,Aut_Ajustes_Manuais!$F:$F,"(-) Custos Artístico Geral")</f>
        <v>0</v>
      </c>
      <c r="AR42" s="251">
        <f t="shared" ref="AR42:BI42" ca="1" si="42">SUM(AR43,AR49)</f>
        <v>-80362.077568969122</v>
      </c>
      <c r="AS42" s="67">
        <f t="shared" ca="1" si="42"/>
        <v>-33721.321822083097</v>
      </c>
      <c r="AT42" s="68">
        <f t="shared" ca="1" si="42"/>
        <v>-42801.45</v>
      </c>
      <c r="AU42" s="251">
        <f t="shared" si="42"/>
        <v>-134864.03926787846</v>
      </c>
      <c r="AV42" s="67">
        <f t="shared" si="42"/>
        <v>-67621.135001870891</v>
      </c>
      <c r="AW42" s="68">
        <f t="shared" si="42"/>
        <v>-68549.45</v>
      </c>
      <c r="AX42" s="251">
        <f t="shared" si="42"/>
        <v>-37124.157364305705</v>
      </c>
      <c r="AY42" s="67">
        <f t="shared" si="42"/>
        <v>-16152.623056769033</v>
      </c>
      <c r="AZ42" s="68">
        <f t="shared" si="42"/>
        <v>-19343.88</v>
      </c>
      <c r="BA42" s="251">
        <f t="shared" si="42"/>
        <v>-43237.920204663424</v>
      </c>
      <c r="BB42" s="67">
        <f t="shared" si="42"/>
        <v>-17568.698765314064</v>
      </c>
      <c r="BC42" s="68">
        <f t="shared" si="42"/>
        <v>-23457.57</v>
      </c>
      <c r="BD42" s="251">
        <f t="shared" si="42"/>
        <v>-24185.341005146362</v>
      </c>
      <c r="BE42" s="67">
        <f t="shared" si="42"/>
        <v>-18440.939445708384</v>
      </c>
      <c r="BF42" s="68">
        <f t="shared" si="42"/>
        <v>-25748</v>
      </c>
      <c r="BG42" s="251">
        <f t="shared" si="42"/>
        <v>-30316.620693762979</v>
      </c>
      <c r="BH42" s="67">
        <f t="shared" si="42"/>
        <v>-15458.87373407941</v>
      </c>
      <c r="BI42" s="68">
        <f t="shared" si="42"/>
        <v>0</v>
      </c>
    </row>
    <row r="43" spans="1:61" hidden="1" outlineLevel="1" x14ac:dyDescent="0.3">
      <c r="A43" s="73" t="s">
        <v>57</v>
      </c>
      <c r="C43" s="24"/>
      <c r="D43" s="69"/>
      <c r="E43" s="69"/>
      <c r="F43" s="41"/>
      <c r="H43" s="252">
        <v>-6864.2702329363428</v>
      </c>
      <c r="I43" s="74">
        <v>-3424.0640578064522</v>
      </c>
      <c r="J43" s="76">
        <f>SUM(J44:J48)+SUMIFS(Aut_Ajustes_Manuais!$G:$G,Aut_Ajustes_Manuais!$I:$I,DRE!H$4,Aut_Ajustes_Manuais!$F:$F,"Custos Artístico")</f>
        <v>-3018.23</v>
      </c>
      <c r="K43" s="252">
        <v>-10822.92261491812</v>
      </c>
      <c r="L43" s="74">
        <v>-3273.021878940001</v>
      </c>
      <c r="M43" s="76">
        <f>SUM(M44:M48)+SUMIFS(Aut_Ajustes_Manuais!$G:$G,Aut_Ajustes_Manuais!$I:$I,DRE!K$4,Aut_Ajustes_Manuais!$F:$F,"Custos Artístico")</f>
        <v>-8391.67</v>
      </c>
      <c r="N43" s="252">
        <v>-13270.29451645124</v>
      </c>
      <c r="O43" s="74">
        <v>-4407.8424147822579</v>
      </c>
      <c r="P43" s="76">
        <f>SUM(P44:P48)+SUMIFS(Aut_Ajustes_Manuais!$G:$G,Aut_Ajustes_Manuais!$I:$I,DRE!N$4,Aut_Ajustes_Manuais!$F:$F,"Custos Artístico")</f>
        <v>-5762.98</v>
      </c>
      <c r="Q43" s="252">
        <v>-10413.803047055</v>
      </c>
      <c r="R43" s="74">
        <v>-3739.2493519920008</v>
      </c>
      <c r="S43" s="76">
        <f>SUM(S44:S48)+SUMIFS(Aut_Ajustes_Manuais!$G:$G,Aut_Ajustes_Manuais!$I:$I,DRE!Q$4,Aut_Ajustes_Manuais!$F:$F,"Custos Artístico")</f>
        <v>-6607.27</v>
      </c>
      <c r="T43" s="252">
        <v>-11614.56743185408</v>
      </c>
      <c r="U43" s="74">
        <v>-4583.7653511774197</v>
      </c>
      <c r="V43" s="76">
        <f>SUM(V44:V48)+SUMIFS(Aut_Ajustes_Manuais!$G:$G,Aut_Ajustes_Manuais!$I:$I,DRE!T$4,Aut_Ajustes_Manuais!$F:$F,"Custos Artístico")</f>
        <v>-7395.34</v>
      </c>
      <c r="W43" s="252">
        <v>-14875.54972575435</v>
      </c>
      <c r="X43" s="74">
        <v>-3755.4656979840011</v>
      </c>
      <c r="Y43" s="76">
        <f>SUM(Y44:Y48)+SUMIFS(Aut_Ajustes_Manuais!$G:$G,Aut_Ajustes_Manuais!$I:$I,DRE!W$4,Aut_Ajustes_Manuais!$F:$F,"Custos Artístico")</f>
        <v>-7283.96</v>
      </c>
      <c r="Z43" s="252">
        <v>-4774.7954861560811</v>
      </c>
      <c r="AA43" s="74">
        <v>-3759.7572935999988</v>
      </c>
      <c r="AB43" s="76">
        <f>SUM(AB44:AB48)+SUMIFS(Aut_Ajustes_Manuais!$G:$G,Aut_Ajustes_Manuais!$I:$I,DRE!Z$4,Aut_Ajustes_Manuais!$F:$F,"Custos Artístico")</f>
        <v>-13748</v>
      </c>
      <c r="AC43" s="252">
        <v>-6612.9299742030953</v>
      </c>
      <c r="AD43" s="74">
        <v>-5313.4074355645162</v>
      </c>
      <c r="AE43" s="76">
        <f>SUM(AE44:AE48)+SUMIFS(Aut_Ajustes_Manuais!$G:$G,Aut_Ajustes_Manuais!$I:$I,DRE!AC$4,Aut_Ajustes_Manuais!$F:$F,"Custos Artístico")</f>
        <v>-12000</v>
      </c>
      <c r="AF43" s="252">
        <v>-7464.3255447871843</v>
      </c>
      <c r="AG43" s="74">
        <v>-3604.9811397599992</v>
      </c>
      <c r="AH43" s="76">
        <f>SUM(AH44:AH48)+SUMIFS(Aut_Ajustes_Manuais!$G:$G,Aut_Ajustes_Manuais!$I:$I,DRE!AF$4,Aut_Ajustes_Manuais!$F:$F,"Custos Artístico")</f>
        <v>0</v>
      </c>
      <c r="AI43" s="252">
        <v>-4385.3784864987274</v>
      </c>
      <c r="AJ43" s="74">
        <v>-3524.1813058064508</v>
      </c>
      <c r="AK43" s="76">
        <f>SUM(AK44:AK48)+SUMIFS(Aut_Ajustes_Manuais!$G:$G,Aut_Ajustes_Manuais!$I:$I,DRE!AI$4,Aut_Ajustes_Manuais!$F:$F,"Custos Artístico")</f>
        <v>0</v>
      </c>
      <c r="AL43" s="252">
        <v>-8833.6289285024905</v>
      </c>
      <c r="AM43" s="74">
        <v>-4260.3942644204153</v>
      </c>
      <c r="AN43" s="76">
        <f>SUM(AN44:AN48)+SUMIFS(Aut_Ajustes_Manuais!$G:$G,Aut_Ajustes_Manuais!$I:$I,DRE!AL$4,Aut_Ajustes_Manuais!$F:$F,"Custos Artístico")</f>
        <v>0</v>
      </c>
      <c r="AO43" s="252">
        <v>-11430.32327876176</v>
      </c>
      <c r="AP43" s="74">
        <v>-2843.4001219527281</v>
      </c>
      <c r="AQ43" s="76">
        <f>SUM(AQ44:AQ48)+SUMIFS(Aut_Ajustes_Manuais!$G:$G,Aut_Ajustes_Manuais!$I:$I,DRE!AO$4,Aut_Ajustes_Manuais!$F:$F,"Custos Artístico")</f>
        <v>0</v>
      </c>
      <c r="AR43" s="252">
        <f t="shared" ref="AR43:AR52" ca="1" si="43">SUMIFS($H43:$AO43,$H$5:$AO$5,"&lt;"&amp;MONTH(TODAY()),$H$6:$AO$6,"REAL 25")</f>
        <v>-67861.407568969124</v>
      </c>
      <c r="AS43" s="74">
        <f t="shared" ref="AS43:AS52" ca="1" si="44">SUMIFS($I43:$AP43,$I$5:$AP$5,"&lt;"&amp;MONTH(TODAY()),$I$6:$AP$6,"ORÇADO ")</f>
        <v>-23183.408752682131</v>
      </c>
      <c r="AT43" s="76">
        <f t="shared" ref="AT43:AT52" ca="1" si="45">SUMIFS($J43:$AQ43,$J$5:$AQ$5,"&lt;"&amp;MONTH(TODAY()),$J$6:$AQ$6,"REAL 26")</f>
        <v>-38459.449999999997</v>
      </c>
      <c r="AU43" s="252">
        <f t="shared" ref="AU43:BI43" si="46">SUM(AU44:AU48)</f>
        <v>-111362.78926787847</v>
      </c>
      <c r="AV43" s="74">
        <f t="shared" si="46"/>
        <v>-46489.530313786236</v>
      </c>
      <c r="AW43" s="76">
        <f t="shared" si="46"/>
        <v>-64207.45</v>
      </c>
      <c r="AX43" s="252">
        <f t="shared" si="46"/>
        <v>-30957.487364305707</v>
      </c>
      <c r="AY43" s="74">
        <f t="shared" si="46"/>
        <v>-11104.92835152871</v>
      </c>
      <c r="AZ43" s="76">
        <f t="shared" si="46"/>
        <v>-17172.88</v>
      </c>
      <c r="BA43" s="252">
        <f t="shared" si="46"/>
        <v>-36903.920204663424</v>
      </c>
      <c r="BB43" s="74">
        <f t="shared" si="46"/>
        <v>-12078.48040115342</v>
      </c>
      <c r="BC43" s="76">
        <f t="shared" si="46"/>
        <v>-21286.57</v>
      </c>
      <c r="BD43" s="252">
        <f t="shared" si="46"/>
        <v>-18852.051005146361</v>
      </c>
      <c r="BE43" s="74">
        <f t="shared" si="46"/>
        <v>-12678.145868924514</v>
      </c>
      <c r="BF43" s="76">
        <f t="shared" si="46"/>
        <v>-25748</v>
      </c>
      <c r="BG43" s="252">
        <f t="shared" si="46"/>
        <v>-24649.330693762979</v>
      </c>
      <c r="BH43" s="74">
        <f t="shared" si="46"/>
        <v>-10627.975692179594</v>
      </c>
      <c r="BI43" s="76">
        <f t="shared" si="46"/>
        <v>0</v>
      </c>
    </row>
    <row r="44" spans="1:61" s="29" customFormat="1" hidden="1" outlineLevel="1" x14ac:dyDescent="0.3">
      <c r="A44" s="22" t="s">
        <v>58</v>
      </c>
      <c r="B44" s="2"/>
      <c r="C44" s="24" t="s">
        <v>14</v>
      </c>
      <c r="D44" s="69"/>
      <c r="E44" s="77">
        <v>6.7000000000000002E-3</v>
      </c>
      <c r="F44" s="41"/>
      <c r="G44" s="23"/>
      <c r="H44" s="241">
        <v>-6450</v>
      </c>
      <c r="I44" s="27">
        <v>-2979.3804139354838</v>
      </c>
      <c r="J44" s="28">
        <f>SUMIFS(Aut_BlueMe_Sem_Pedido!$J:$J,Aut_BlueMe_Sem_Pedido!$Q:$Q,DRE!H$4,Aut_BlueMe_Sem_Pedido!$H:$H,DRE!$A44)+SUMIFS(Aut_Ajustes_Manuais!$G:$G,Aut_Ajustes_Manuais!$I:$I,DRE!H$4,Aut_Ajustes_Manuais!$F:$F,"Cachê de Músicos e Artistas")</f>
        <v>-2916</v>
      </c>
      <c r="K44" s="241">
        <v>-10153.950000000001</v>
      </c>
      <c r="L44" s="27">
        <v>-2847.9541024542859</v>
      </c>
      <c r="M44" s="28">
        <f>SUMIFS(Aut_BlueMe_Sem_Pedido!$J:$J,Aut_BlueMe_Sem_Pedido!$Q:$Q,DRE!K$4,Aut_BlueMe_Sem_Pedido!$H:$H,DRE!$A44)+SUMIFS(Aut_Ajustes_Manuais!$G:$G,Aut_Ajustes_Manuais!$I:$I,DRE!K$4,Aut_Ajustes_Manuais!$F:$F,"Cachê de Músicos e Artistas")</f>
        <v>-7975</v>
      </c>
      <c r="N44" s="241">
        <v>-12500</v>
      </c>
      <c r="O44" s="27">
        <v>-3835.3953479274192</v>
      </c>
      <c r="P44" s="28">
        <f>SUMIFS(Aut_BlueMe_Sem_Pedido!$J:$J,Aut_BlueMe_Sem_Pedido!$Q:$Q,DRE!N$4,Aut_BlueMe_Sem_Pedido!$H:$H,DRE!$A44)+SUMIFS(Aut_Ajustes_Manuais!$G:$G,Aut_Ajustes_Manuais!$I:$I,DRE!N$4,Aut_Ajustes_Manuais!$F:$F,"Cachê de Músicos e Artistas")</f>
        <v>-5600</v>
      </c>
      <c r="Q44" s="241">
        <v>-9850</v>
      </c>
      <c r="R44" s="27">
        <v>-3253.632553032</v>
      </c>
      <c r="S44" s="28">
        <f>SUMIFS(Aut_BlueMe_Sem_Pedido!$J:$J,Aut_BlueMe_Sem_Pedido!$Q:$Q,DRE!Q$4,Aut_BlueMe_Sem_Pedido!$H:$H,DRE!$A44)+SUMIFS(Aut_Ajustes_Manuais!$G:$G,Aut_Ajustes_Manuais!$I:$I,DRE!Q$4,Aut_Ajustes_Manuais!$F:$F,"Cachê de Músicos e Artistas")</f>
        <v>-6280</v>
      </c>
      <c r="T44" s="241">
        <v>-10950</v>
      </c>
      <c r="U44" s="27">
        <v>-3988.4711497258072</v>
      </c>
      <c r="V44" s="28">
        <f>SUMIFS(Aut_BlueMe_Sem_Pedido!$J:$J,Aut_BlueMe_Sem_Pedido!$Q:$Q,DRE!T$4,Aut_BlueMe_Sem_Pedido!$H:$H,DRE!$A44)+SUMIFS(Aut_Ajustes_Manuais!$G:$G,Aut_Ajustes_Manuais!$I:$I,DRE!T$4,Aut_Ajustes_Manuais!$F:$F,"Cachê de Músicos e Artistas")</f>
        <v>-7121</v>
      </c>
      <c r="W44" s="241">
        <v>-14350</v>
      </c>
      <c r="X44" s="27">
        <v>-3267.742880064</v>
      </c>
      <c r="Y44" s="28">
        <f>SUMIFS(Aut_BlueMe_Sem_Pedido!$J:$J,Aut_BlueMe_Sem_Pedido!$Q:$Q,DRE!W$4,Aut_BlueMe_Sem_Pedido!$H:$H,DRE!$A44)+SUMIFS(Aut_Ajustes_Manuais!$G:$G,Aut_Ajustes_Manuais!$I:$I,DRE!W$4,Aut_Ajustes_Manuais!$F:$F,"Cachê de Músicos e Artistas")</f>
        <v>-6984</v>
      </c>
      <c r="Z44" s="241">
        <v>-4550</v>
      </c>
      <c r="AA44" s="27">
        <v>-3271.477125599999</v>
      </c>
      <c r="AB44" s="28">
        <f>SUMIFS(Aut_BlueMe_Sem_Pedido!$J:$J,Aut_BlueMe_Sem_Pedido!$Q:$Q,DRE!Z$4,Aut_BlueMe_Sem_Pedido!$H:$H,DRE!$A44)+SUMIFS(Aut_Ajustes_Manuais!$G:$G,Aut_Ajustes_Manuais!$I:$I,DRE!Z$4,Aut_Ajustes_Manuais!$F:$F,"Cachê de Músicos e Artistas")</f>
        <v>-13748</v>
      </c>
      <c r="AC44" s="241">
        <v>-6350</v>
      </c>
      <c r="AD44" s="27">
        <v>-4623.3545218548388</v>
      </c>
      <c r="AE44" s="28">
        <f>SUMIFS(Aut_BlueMe_Sem_Pedido!$J:$J,Aut_BlueMe_Sem_Pedido!$Q:$Q,DRE!AC$4,Aut_BlueMe_Sem_Pedido!$H:$H,DRE!$A44)+SUMIFS(Aut_Ajustes_Manuais!$G:$G,Aut_Ajustes_Manuais!$I:$I,DRE!AC$4,Aut_Ajustes_Manuais!$F:$F,"Cachê de Músicos e Artistas")</f>
        <v>-12000</v>
      </c>
      <c r="AF44" s="241">
        <v>-7200</v>
      </c>
      <c r="AG44" s="27">
        <v>-3136.801770959999</v>
      </c>
      <c r="AH44" s="28">
        <f>SUMIFS(Aut_BlueMe_Sem_Pedido!$J:$J,Aut_BlueMe_Sem_Pedido!$Q:$Q,DRE!AF$4,Aut_BlueMe_Sem_Pedido!$H:$H,DRE!$A44)+SUMIFS(Aut_Ajustes_Manuais!$G:$G,Aut_Ajustes_Manuais!$I:$I,DRE!AF$4,Aut_Ajustes_Manuais!$F:$F,"Cachê de Músicos e Artistas")</f>
        <v>0</v>
      </c>
      <c r="AI44" s="241">
        <v>-4200</v>
      </c>
      <c r="AJ44" s="27">
        <v>-3066.495421935484</v>
      </c>
      <c r="AK44" s="28">
        <f>SUMIFS(Aut_BlueMe_Sem_Pedido!$J:$J,Aut_BlueMe_Sem_Pedido!$Q:$Q,DRE!AI$4,Aut_BlueMe_Sem_Pedido!$H:$H,DRE!$A44)+SUMIFS(Aut_Ajustes_Manuais!$G:$G,Aut_Ajustes_Manuais!$I:$I,DRE!AI$4,Aut_Ajustes_Manuais!$F:$F,"Cachê de Músicos e Artistas")</f>
        <v>0</v>
      </c>
      <c r="AL44" s="241">
        <v>-8500</v>
      </c>
      <c r="AM44" s="27">
        <v>-3707.0963080021788</v>
      </c>
      <c r="AN44" s="28">
        <f>SUMIFS(Aut_BlueMe_Sem_Pedido!$J:$J,Aut_BlueMe_Sem_Pedido!$Q:$Q,DRE!AL$4,Aut_BlueMe_Sem_Pedido!$H:$H,DRE!$A44)+SUMIFS(Aut_Ajustes_Manuais!$G:$G,Aut_Ajustes_Manuais!$I:$I,DRE!AL$4,Aut_Ajustes_Manuais!$F:$F,"Cachê de Músicos e Artistas")</f>
        <v>0</v>
      </c>
      <c r="AO44" s="241">
        <v>-11150</v>
      </c>
      <c r="AP44" s="27">
        <v>-2474.127378841984</v>
      </c>
      <c r="AQ44" s="28">
        <f>SUMIFS(Aut_BlueMe_Sem_Pedido!$J:$J,Aut_BlueMe_Sem_Pedido!$Q:$Q,DRE!AO$4,Aut_BlueMe_Sem_Pedido!$H:$H,DRE!$A44)+SUMIFS(Aut_Ajustes_Manuais!$G:$G,Aut_Ajustes_Manuais!$I:$I,DRE!AO$4,Aut_Ajustes_Manuais!$F:$F,"Cachê de Músicos e Artistas")</f>
        <v>0</v>
      </c>
      <c r="AR44" s="241">
        <f t="shared" ca="1" si="43"/>
        <v>-64253.95</v>
      </c>
      <c r="AS44" s="27">
        <f t="shared" ca="1" si="44"/>
        <v>-20172.576447138996</v>
      </c>
      <c r="AT44" s="28">
        <f t="shared" ca="1" si="45"/>
        <v>-36876</v>
      </c>
      <c r="AU44" s="241">
        <f t="shared" ref="AU44:AW48" si="47">SUM(H44,K44,N44,Q44,T44,W44,Z44,AC44,AF44,AI44,AL44,AO44)</f>
        <v>-106203.95</v>
      </c>
      <c r="AV44" s="27">
        <f t="shared" si="47"/>
        <v>-40451.928974333474</v>
      </c>
      <c r="AW44" s="28">
        <f t="shared" si="47"/>
        <v>-62624</v>
      </c>
      <c r="AX44" s="241">
        <f t="shared" ref="AX44:AZ48" si="48">SUM(H44,K44,N44)</f>
        <v>-29103.95</v>
      </c>
      <c r="AY44" s="27">
        <f t="shared" si="48"/>
        <v>-9662.7298643171889</v>
      </c>
      <c r="AZ44" s="28">
        <f t="shared" si="48"/>
        <v>-16491</v>
      </c>
      <c r="BA44" s="241">
        <f t="shared" ref="BA44:BC48" si="49">SUM(Q44,T44,W44)</f>
        <v>-35150</v>
      </c>
      <c r="BB44" s="27">
        <f t="shared" si="49"/>
        <v>-10509.846582821807</v>
      </c>
      <c r="BC44" s="28">
        <f t="shared" si="49"/>
        <v>-20385</v>
      </c>
      <c r="BD44" s="241">
        <f t="shared" ref="BD44:BF48" si="50">SUM(Z44,AC44,AF44)</f>
        <v>-18100</v>
      </c>
      <c r="BE44" s="27">
        <f t="shared" si="50"/>
        <v>-11031.633418414836</v>
      </c>
      <c r="BF44" s="28">
        <f t="shared" si="50"/>
        <v>-25748</v>
      </c>
      <c r="BG44" s="241">
        <f t="shared" ref="BG44:BI48" si="51">SUM(AI44,AL44,AO44)</f>
        <v>-23850</v>
      </c>
      <c r="BH44" s="27">
        <f t="shared" si="51"/>
        <v>-9247.7191087796473</v>
      </c>
      <c r="BI44" s="28">
        <f t="shared" si="51"/>
        <v>0</v>
      </c>
    </row>
    <row r="45" spans="1:61" s="29" customFormat="1" hidden="1" outlineLevel="1" x14ac:dyDescent="0.3">
      <c r="A45" s="22" t="s">
        <v>59</v>
      </c>
      <c r="B45" s="2"/>
      <c r="C45" s="24" t="s">
        <v>60</v>
      </c>
      <c r="D45" s="69"/>
      <c r="E45" s="77">
        <v>6.7000000000000002E-3</v>
      </c>
      <c r="F45" s="41"/>
      <c r="G45" s="23"/>
      <c r="H45" s="241">
        <v>-414.27023293634261</v>
      </c>
      <c r="I45" s="27">
        <v>-444.68364387096773</v>
      </c>
      <c r="J45" s="28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>-102.23</v>
      </c>
      <c r="K45" s="241">
        <v>-668.97261491812048</v>
      </c>
      <c r="L45" s="27">
        <v>-425.06777648571438</v>
      </c>
      <c r="M45" s="28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>-416.67</v>
      </c>
      <c r="N45" s="241">
        <v>-770.29451645124243</v>
      </c>
      <c r="O45" s="27">
        <v>-572.44706685483868</v>
      </c>
      <c r="P45" s="28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>-162.97999999999999</v>
      </c>
      <c r="Q45" s="241">
        <v>-563.803047054996</v>
      </c>
      <c r="R45" s="27">
        <v>-485.6167989600001</v>
      </c>
      <c r="S45" s="28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>-327.27</v>
      </c>
      <c r="T45" s="241">
        <v>-664.56743185407981</v>
      </c>
      <c r="U45" s="27">
        <v>-595.29420145161293</v>
      </c>
      <c r="V45" s="28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>-274.33999999999997</v>
      </c>
      <c r="W45" s="241">
        <v>-525.54972575435124</v>
      </c>
      <c r="X45" s="27">
        <v>-487.72281792000013</v>
      </c>
      <c r="Y45" s="28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>-299.95999999999998</v>
      </c>
      <c r="Z45" s="241">
        <v>-224.7954861560813</v>
      </c>
      <c r="AA45" s="27">
        <v>-488.28016799999989</v>
      </c>
      <c r="AB45" s="28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>0</v>
      </c>
      <c r="AC45" s="241">
        <v>-262.92997420309553</v>
      </c>
      <c r="AD45" s="27">
        <v>-690.05291370967734</v>
      </c>
      <c r="AE45" s="28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>0</v>
      </c>
      <c r="AF45" s="241">
        <v>-264.32554478718453</v>
      </c>
      <c r="AG45" s="27">
        <v>-468.17936879999991</v>
      </c>
      <c r="AH45" s="28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>0</v>
      </c>
      <c r="AI45" s="241">
        <v>-185.3784864987274</v>
      </c>
      <c r="AJ45" s="27">
        <v>-457.6858838709677</v>
      </c>
      <c r="AK45" s="28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>0</v>
      </c>
      <c r="AL45" s="241">
        <v>-333.62892850249011</v>
      </c>
      <c r="AM45" s="27">
        <v>-553.29795641823569</v>
      </c>
      <c r="AN45" s="28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>0</v>
      </c>
      <c r="AO45" s="241">
        <v>-280.32327876175981</v>
      </c>
      <c r="AP45" s="27">
        <v>-369.27274311074387</v>
      </c>
      <c r="AQ45" s="28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>0</v>
      </c>
      <c r="AR45" s="241">
        <f t="shared" ca="1" si="43"/>
        <v>-3607.4575689691328</v>
      </c>
      <c r="AS45" s="27">
        <f t="shared" ca="1" si="44"/>
        <v>-3010.8323055431338</v>
      </c>
      <c r="AT45" s="28">
        <f t="shared" ca="1" si="45"/>
        <v>-1583.45</v>
      </c>
      <c r="AU45" s="241">
        <f t="shared" si="47"/>
        <v>-5158.8392678784712</v>
      </c>
      <c r="AV45" s="27">
        <f t="shared" si="47"/>
        <v>-6037.601339452759</v>
      </c>
      <c r="AW45" s="28">
        <f t="shared" si="47"/>
        <v>-1583.45</v>
      </c>
      <c r="AX45" s="241">
        <f t="shared" si="48"/>
        <v>-1853.5373643057055</v>
      </c>
      <c r="AY45" s="27">
        <f t="shared" si="48"/>
        <v>-1442.1984872115208</v>
      </c>
      <c r="AZ45" s="28">
        <f t="shared" si="48"/>
        <v>-681.88</v>
      </c>
      <c r="BA45" s="241">
        <f t="shared" si="49"/>
        <v>-1753.9202046634268</v>
      </c>
      <c r="BB45" s="27">
        <f t="shared" si="49"/>
        <v>-1568.6338183316132</v>
      </c>
      <c r="BC45" s="28">
        <f t="shared" si="49"/>
        <v>-901.56999999999994</v>
      </c>
      <c r="BD45" s="241">
        <f t="shared" si="50"/>
        <v>-752.05100514636138</v>
      </c>
      <c r="BE45" s="27">
        <f t="shared" si="50"/>
        <v>-1646.5124505096769</v>
      </c>
      <c r="BF45" s="28">
        <f t="shared" si="50"/>
        <v>0</v>
      </c>
      <c r="BG45" s="241">
        <f t="shared" si="51"/>
        <v>-799.33069376297726</v>
      </c>
      <c r="BH45" s="27">
        <f t="shared" si="51"/>
        <v>-1380.2565833999472</v>
      </c>
      <c r="BI45" s="28">
        <f t="shared" si="51"/>
        <v>0</v>
      </c>
    </row>
    <row r="46" spans="1:61" s="29" customFormat="1" hidden="1" outlineLevel="1" x14ac:dyDescent="0.3">
      <c r="A46" s="22" t="s">
        <v>61</v>
      </c>
      <c r="B46" s="2"/>
      <c r="C46" s="24" t="s">
        <v>60</v>
      </c>
      <c r="D46" s="69"/>
      <c r="E46" s="69"/>
      <c r="F46" s="41"/>
      <c r="G46" s="23"/>
      <c r="H46" s="241">
        <v>0</v>
      </c>
      <c r="I46" s="27">
        <v>0</v>
      </c>
      <c r="J46" s="28">
        <f>SUMIFS(Aut_BlueMe_Sem_Pedido!$J:$J,Aut_BlueMe_Sem_Pedido!$Q:$Q,DRE!H$4,Aut_BlueMe_Sem_Pedido!$H:$H,DRE!$A46)+SUMIFS(Aut_Ajustes_Manuais!$G:$G,Aut_Ajustes_Manuais!$I:$I,DRE!H$4,Aut_Ajustes_Manuais!$F:$F,"Viagens e Estadias")</f>
        <v>0</v>
      </c>
      <c r="K46" s="241">
        <v>0</v>
      </c>
      <c r="L46" s="27">
        <v>0</v>
      </c>
      <c r="M46" s="28">
        <f>SUMIFS(Aut_BlueMe_Sem_Pedido!$J:$J,Aut_BlueMe_Sem_Pedido!$Q:$Q,DRE!K$4,Aut_BlueMe_Sem_Pedido!$H:$H,DRE!$A46)+SUMIFS(Aut_Ajustes_Manuais!$G:$G,Aut_Ajustes_Manuais!$I:$I,DRE!K$4,Aut_Ajustes_Manuais!$F:$F,"Viagens e Estadias")</f>
        <v>0</v>
      </c>
      <c r="N46" s="241">
        <v>0</v>
      </c>
      <c r="O46" s="27">
        <v>0</v>
      </c>
      <c r="P46" s="28">
        <f>SUMIFS(Aut_BlueMe_Sem_Pedido!$J:$J,Aut_BlueMe_Sem_Pedido!$Q:$Q,DRE!N$4,Aut_BlueMe_Sem_Pedido!$H:$H,DRE!$A46)+SUMIFS(Aut_Ajustes_Manuais!$G:$G,Aut_Ajustes_Manuais!$I:$I,DRE!N$4,Aut_Ajustes_Manuais!$F:$F,"Viagens e Estadias")</f>
        <v>0</v>
      </c>
      <c r="Q46" s="241">
        <v>0</v>
      </c>
      <c r="R46" s="27">
        <v>0</v>
      </c>
      <c r="S46" s="28">
        <f>SUMIFS(Aut_BlueMe_Sem_Pedido!$J:$J,Aut_BlueMe_Sem_Pedido!$Q:$Q,DRE!Q$4,Aut_BlueMe_Sem_Pedido!$H:$H,DRE!$A46)+SUMIFS(Aut_Ajustes_Manuais!$G:$G,Aut_Ajustes_Manuais!$I:$I,DRE!Q$4,Aut_Ajustes_Manuais!$F:$F,"Viagens e Estadias")</f>
        <v>0</v>
      </c>
      <c r="T46" s="241">
        <v>0</v>
      </c>
      <c r="U46" s="27">
        <v>0</v>
      </c>
      <c r="V46" s="28">
        <f>SUMIFS(Aut_BlueMe_Sem_Pedido!$J:$J,Aut_BlueMe_Sem_Pedido!$Q:$Q,DRE!T$4,Aut_BlueMe_Sem_Pedido!$H:$H,DRE!$A46)+SUMIFS(Aut_Ajustes_Manuais!$G:$G,Aut_Ajustes_Manuais!$I:$I,DRE!T$4,Aut_Ajustes_Manuais!$F:$F,"Viagens e Estadias")</f>
        <v>0</v>
      </c>
      <c r="W46" s="241">
        <v>0</v>
      </c>
      <c r="X46" s="27">
        <v>0</v>
      </c>
      <c r="Y46" s="28">
        <f>SUMIFS(Aut_BlueMe_Sem_Pedido!$J:$J,Aut_BlueMe_Sem_Pedido!$Q:$Q,DRE!W$4,Aut_BlueMe_Sem_Pedido!$H:$H,DRE!$A46)+SUMIFS(Aut_Ajustes_Manuais!$G:$G,Aut_Ajustes_Manuais!$I:$I,DRE!W$4,Aut_Ajustes_Manuais!$F:$F,"Viagens e Estadias")</f>
        <v>0</v>
      </c>
      <c r="Z46" s="241">
        <v>0</v>
      </c>
      <c r="AA46" s="27">
        <v>0</v>
      </c>
      <c r="AB46" s="28">
        <f>SUMIFS(Aut_BlueMe_Sem_Pedido!$J:$J,Aut_BlueMe_Sem_Pedido!$Q:$Q,DRE!Z$4,Aut_BlueMe_Sem_Pedido!$H:$H,DRE!$A46)+SUMIFS(Aut_Ajustes_Manuais!$G:$G,Aut_Ajustes_Manuais!$I:$I,DRE!Z$4,Aut_Ajustes_Manuais!$F:$F,"Viagens e Estadias")</f>
        <v>0</v>
      </c>
      <c r="AC46" s="241">
        <v>0</v>
      </c>
      <c r="AD46" s="27">
        <v>0</v>
      </c>
      <c r="AE46" s="28">
        <f>SUMIFS(Aut_BlueMe_Sem_Pedido!$J:$J,Aut_BlueMe_Sem_Pedido!$Q:$Q,DRE!AC$4,Aut_BlueMe_Sem_Pedido!$H:$H,DRE!$A46)+SUMIFS(Aut_Ajustes_Manuais!$G:$G,Aut_Ajustes_Manuais!$I:$I,DRE!AC$4,Aut_Ajustes_Manuais!$F:$F,"Viagens e Estadias")</f>
        <v>0</v>
      </c>
      <c r="AF46" s="241">
        <v>0</v>
      </c>
      <c r="AG46" s="27">
        <v>0</v>
      </c>
      <c r="AH46" s="28">
        <f>SUMIFS(Aut_BlueMe_Sem_Pedido!$J:$J,Aut_BlueMe_Sem_Pedido!$Q:$Q,DRE!AF$4,Aut_BlueMe_Sem_Pedido!$H:$H,DRE!$A46)+SUMIFS(Aut_Ajustes_Manuais!$G:$G,Aut_Ajustes_Manuais!$I:$I,DRE!AF$4,Aut_Ajustes_Manuais!$F:$F,"Viagens e Estadias")</f>
        <v>0</v>
      </c>
      <c r="AI46" s="241">
        <v>0</v>
      </c>
      <c r="AJ46" s="27">
        <v>0</v>
      </c>
      <c r="AK46" s="28">
        <f>SUMIFS(Aut_BlueMe_Sem_Pedido!$J:$J,Aut_BlueMe_Sem_Pedido!$Q:$Q,DRE!AI$4,Aut_BlueMe_Sem_Pedido!$H:$H,DRE!$A46)+SUMIFS(Aut_Ajustes_Manuais!$G:$G,Aut_Ajustes_Manuais!$I:$I,DRE!AI$4,Aut_Ajustes_Manuais!$F:$F,"Viagens e Estadias")</f>
        <v>0</v>
      </c>
      <c r="AL46" s="241">
        <v>0</v>
      </c>
      <c r="AM46" s="27">
        <v>0</v>
      </c>
      <c r="AN46" s="28">
        <f>SUMIFS(Aut_BlueMe_Sem_Pedido!$J:$J,Aut_BlueMe_Sem_Pedido!$Q:$Q,DRE!AL$4,Aut_BlueMe_Sem_Pedido!$H:$H,DRE!$A46)+SUMIFS(Aut_Ajustes_Manuais!$G:$G,Aut_Ajustes_Manuais!$I:$I,DRE!AL$4,Aut_Ajustes_Manuais!$F:$F,"Viagens e Estadias")</f>
        <v>0</v>
      </c>
      <c r="AO46" s="241">
        <v>0</v>
      </c>
      <c r="AP46" s="27">
        <v>0</v>
      </c>
      <c r="AQ46" s="28">
        <f>SUMIFS(Aut_BlueMe_Sem_Pedido!$J:$J,Aut_BlueMe_Sem_Pedido!$Q:$Q,DRE!AO$4,Aut_BlueMe_Sem_Pedido!$H:$H,DRE!$A46)+SUMIFS(Aut_Ajustes_Manuais!$G:$G,Aut_Ajustes_Manuais!$I:$I,DRE!AO$4,Aut_Ajustes_Manuais!$F:$F,"Viagens e Estadias")</f>
        <v>0</v>
      </c>
      <c r="AR46" s="241">
        <f t="shared" ca="1" si="43"/>
        <v>0</v>
      </c>
      <c r="AS46" s="27">
        <f t="shared" ca="1" si="44"/>
        <v>0</v>
      </c>
      <c r="AT46" s="28">
        <f t="shared" ca="1" si="45"/>
        <v>0</v>
      </c>
      <c r="AU46" s="241">
        <f t="shared" si="47"/>
        <v>0</v>
      </c>
      <c r="AV46" s="27">
        <f t="shared" si="47"/>
        <v>0</v>
      </c>
      <c r="AW46" s="28">
        <f t="shared" si="47"/>
        <v>0</v>
      </c>
      <c r="AX46" s="241">
        <f t="shared" si="48"/>
        <v>0</v>
      </c>
      <c r="AY46" s="27">
        <f t="shared" si="48"/>
        <v>0</v>
      </c>
      <c r="AZ46" s="28">
        <f t="shared" si="48"/>
        <v>0</v>
      </c>
      <c r="BA46" s="241">
        <f t="shared" si="49"/>
        <v>0</v>
      </c>
      <c r="BB46" s="27">
        <f t="shared" si="49"/>
        <v>0</v>
      </c>
      <c r="BC46" s="28">
        <f t="shared" si="49"/>
        <v>0</v>
      </c>
      <c r="BD46" s="241">
        <f t="shared" si="50"/>
        <v>0</v>
      </c>
      <c r="BE46" s="27">
        <f t="shared" si="50"/>
        <v>0</v>
      </c>
      <c r="BF46" s="28">
        <f t="shared" si="50"/>
        <v>0</v>
      </c>
      <c r="BG46" s="241">
        <f t="shared" si="51"/>
        <v>0</v>
      </c>
      <c r="BH46" s="27">
        <f t="shared" si="51"/>
        <v>0</v>
      </c>
      <c r="BI46" s="28">
        <f t="shared" si="51"/>
        <v>0</v>
      </c>
    </row>
    <row r="47" spans="1:61" s="29" customFormat="1" hidden="1" outlineLevel="1" x14ac:dyDescent="0.3">
      <c r="A47" s="22" t="s">
        <v>62</v>
      </c>
      <c r="B47" s="2"/>
      <c r="C47" s="24" t="s">
        <v>63</v>
      </c>
      <c r="D47" s="25"/>
      <c r="E47" s="25"/>
      <c r="F47" s="41"/>
      <c r="G47" s="23"/>
      <c r="H47" s="241">
        <v>0</v>
      </c>
      <c r="I47" s="27">
        <v>0</v>
      </c>
      <c r="J47" s="28">
        <f>SUMIFS(Aut_BlueMe_Sem_Pedido!$J:$J,Aut_BlueMe_Sem_Pedido!$Q:$Q,DRE!H$4,Aut_BlueMe_Sem_Pedido!$H:$H,DRE!$A47)+SUMIFS(Aut_Ajustes_Manuais!$G:$G,Aut_Ajustes_Manuais!$I:$I,DRE!H$4,Aut_Ajustes_Manuais!$F:$F,"Taxas e Licenças - Artístico")</f>
        <v>0</v>
      </c>
      <c r="K47" s="241">
        <v>0</v>
      </c>
      <c r="L47" s="27">
        <v>0</v>
      </c>
      <c r="M47" s="28">
        <f>SUMIFS(Aut_BlueMe_Sem_Pedido!$J:$J,Aut_BlueMe_Sem_Pedido!$Q:$Q,DRE!K$4,Aut_BlueMe_Sem_Pedido!$H:$H,DRE!$A47)+SUMIFS(Aut_Ajustes_Manuais!$G:$G,Aut_Ajustes_Manuais!$I:$I,DRE!K$4,Aut_Ajustes_Manuais!$F:$F,"Taxas e Licenças - Artístico")</f>
        <v>0</v>
      </c>
      <c r="N47" s="241">
        <v>0</v>
      </c>
      <c r="O47" s="27">
        <v>0</v>
      </c>
      <c r="P47" s="28">
        <f>SUMIFS(Aut_BlueMe_Sem_Pedido!$J:$J,Aut_BlueMe_Sem_Pedido!$Q:$Q,DRE!N$4,Aut_BlueMe_Sem_Pedido!$H:$H,DRE!$A47)+SUMIFS(Aut_Ajustes_Manuais!$G:$G,Aut_Ajustes_Manuais!$I:$I,DRE!N$4,Aut_Ajustes_Manuais!$F:$F,"Taxas e Licenças - Artístico")</f>
        <v>0</v>
      </c>
      <c r="Q47" s="241">
        <v>0</v>
      </c>
      <c r="R47" s="27">
        <v>0</v>
      </c>
      <c r="S47" s="28">
        <f>SUMIFS(Aut_BlueMe_Sem_Pedido!$J:$J,Aut_BlueMe_Sem_Pedido!$Q:$Q,DRE!Q$4,Aut_BlueMe_Sem_Pedido!$H:$H,DRE!$A47)+SUMIFS(Aut_Ajustes_Manuais!$G:$G,Aut_Ajustes_Manuais!$I:$I,DRE!Q$4,Aut_Ajustes_Manuais!$F:$F,"Taxas e Licenças - Artístico")</f>
        <v>0</v>
      </c>
      <c r="T47" s="241">
        <v>0</v>
      </c>
      <c r="U47" s="27">
        <v>0</v>
      </c>
      <c r="V47" s="28">
        <f>SUMIFS(Aut_BlueMe_Sem_Pedido!$J:$J,Aut_BlueMe_Sem_Pedido!$Q:$Q,DRE!T$4,Aut_BlueMe_Sem_Pedido!$H:$H,DRE!$A47)+SUMIFS(Aut_Ajustes_Manuais!$G:$G,Aut_Ajustes_Manuais!$I:$I,DRE!T$4,Aut_Ajustes_Manuais!$F:$F,"Taxas e Licenças - Artístico")</f>
        <v>0</v>
      </c>
      <c r="W47" s="241">
        <v>0</v>
      </c>
      <c r="X47" s="27">
        <v>0</v>
      </c>
      <c r="Y47" s="28">
        <f>SUMIFS(Aut_BlueMe_Sem_Pedido!$J:$J,Aut_BlueMe_Sem_Pedido!$Q:$Q,DRE!W$4,Aut_BlueMe_Sem_Pedido!$H:$H,DRE!$A47)+SUMIFS(Aut_Ajustes_Manuais!$G:$G,Aut_Ajustes_Manuais!$I:$I,DRE!W$4,Aut_Ajustes_Manuais!$F:$F,"Taxas e Licenças - Artístico")</f>
        <v>0</v>
      </c>
      <c r="Z47" s="241">
        <v>0</v>
      </c>
      <c r="AA47" s="27">
        <v>0</v>
      </c>
      <c r="AB47" s="28">
        <f>SUMIFS(Aut_BlueMe_Sem_Pedido!$J:$J,Aut_BlueMe_Sem_Pedido!$Q:$Q,DRE!Z$4,Aut_BlueMe_Sem_Pedido!$H:$H,DRE!$A47)+SUMIFS(Aut_Ajustes_Manuais!$G:$G,Aut_Ajustes_Manuais!$I:$I,DRE!Z$4,Aut_Ajustes_Manuais!$F:$F,"Taxas e Licenças - Artístico")</f>
        <v>0</v>
      </c>
      <c r="AC47" s="241">
        <v>0</v>
      </c>
      <c r="AD47" s="27">
        <v>0</v>
      </c>
      <c r="AE47" s="28">
        <f>SUMIFS(Aut_BlueMe_Sem_Pedido!$J:$J,Aut_BlueMe_Sem_Pedido!$Q:$Q,DRE!AC$4,Aut_BlueMe_Sem_Pedido!$H:$H,DRE!$A47)+SUMIFS(Aut_Ajustes_Manuais!$G:$G,Aut_Ajustes_Manuais!$I:$I,DRE!AC$4,Aut_Ajustes_Manuais!$F:$F,"Taxas e Licenças - Artístico")</f>
        <v>0</v>
      </c>
      <c r="AF47" s="241">
        <v>0</v>
      </c>
      <c r="AG47" s="27">
        <v>0</v>
      </c>
      <c r="AH47" s="28">
        <f>SUMIFS(Aut_BlueMe_Sem_Pedido!$J:$J,Aut_BlueMe_Sem_Pedido!$Q:$Q,DRE!AF$4,Aut_BlueMe_Sem_Pedido!$H:$H,DRE!$A47)+SUMIFS(Aut_Ajustes_Manuais!$G:$G,Aut_Ajustes_Manuais!$I:$I,DRE!AF$4,Aut_Ajustes_Manuais!$F:$F,"Taxas e Licenças - Artístico")</f>
        <v>0</v>
      </c>
      <c r="AI47" s="241">
        <v>0</v>
      </c>
      <c r="AJ47" s="27">
        <v>0</v>
      </c>
      <c r="AK47" s="28">
        <f>SUMIFS(Aut_BlueMe_Sem_Pedido!$J:$J,Aut_BlueMe_Sem_Pedido!$Q:$Q,DRE!AI$4,Aut_BlueMe_Sem_Pedido!$H:$H,DRE!$A47)+SUMIFS(Aut_Ajustes_Manuais!$G:$G,Aut_Ajustes_Manuais!$I:$I,DRE!AI$4,Aut_Ajustes_Manuais!$F:$F,"Taxas e Licenças - Artístico")</f>
        <v>0</v>
      </c>
      <c r="AL47" s="241">
        <v>0</v>
      </c>
      <c r="AM47" s="27">
        <v>0</v>
      </c>
      <c r="AN47" s="28">
        <f>SUMIFS(Aut_BlueMe_Sem_Pedido!$J:$J,Aut_BlueMe_Sem_Pedido!$Q:$Q,DRE!AL$4,Aut_BlueMe_Sem_Pedido!$H:$H,DRE!$A47)+SUMIFS(Aut_Ajustes_Manuais!$G:$G,Aut_Ajustes_Manuais!$I:$I,DRE!AL$4,Aut_Ajustes_Manuais!$F:$F,"Taxas e Licenças - Artístico")</f>
        <v>0</v>
      </c>
      <c r="AO47" s="241">
        <v>0</v>
      </c>
      <c r="AP47" s="27">
        <v>0</v>
      </c>
      <c r="AQ47" s="28">
        <f>SUMIFS(Aut_BlueMe_Sem_Pedido!$J:$J,Aut_BlueMe_Sem_Pedido!$Q:$Q,DRE!AO$4,Aut_BlueMe_Sem_Pedido!$H:$H,DRE!$A47)+SUMIFS(Aut_Ajustes_Manuais!$G:$G,Aut_Ajustes_Manuais!$I:$I,DRE!AO$4,Aut_Ajustes_Manuais!$F:$F,"Taxas e Licenças - Artístico")</f>
        <v>0</v>
      </c>
      <c r="AR47" s="241">
        <f t="shared" ca="1" si="43"/>
        <v>0</v>
      </c>
      <c r="AS47" s="27">
        <f t="shared" ca="1" si="44"/>
        <v>0</v>
      </c>
      <c r="AT47" s="28">
        <f t="shared" ca="1" si="45"/>
        <v>0</v>
      </c>
      <c r="AU47" s="241">
        <f t="shared" si="47"/>
        <v>0</v>
      </c>
      <c r="AV47" s="27">
        <f t="shared" si="47"/>
        <v>0</v>
      </c>
      <c r="AW47" s="28">
        <f t="shared" si="47"/>
        <v>0</v>
      </c>
      <c r="AX47" s="241">
        <f t="shared" si="48"/>
        <v>0</v>
      </c>
      <c r="AY47" s="27">
        <f t="shared" si="48"/>
        <v>0</v>
      </c>
      <c r="AZ47" s="28">
        <f t="shared" si="48"/>
        <v>0</v>
      </c>
      <c r="BA47" s="241">
        <f t="shared" si="49"/>
        <v>0</v>
      </c>
      <c r="BB47" s="27">
        <f t="shared" si="49"/>
        <v>0</v>
      </c>
      <c r="BC47" s="28">
        <f t="shared" si="49"/>
        <v>0</v>
      </c>
      <c r="BD47" s="241">
        <f t="shared" si="50"/>
        <v>0</v>
      </c>
      <c r="BE47" s="27">
        <f t="shared" si="50"/>
        <v>0</v>
      </c>
      <c r="BF47" s="28">
        <f t="shared" si="50"/>
        <v>0</v>
      </c>
      <c r="BG47" s="241">
        <f t="shared" si="51"/>
        <v>0</v>
      </c>
      <c r="BH47" s="27">
        <f t="shared" si="51"/>
        <v>0</v>
      </c>
      <c r="BI47" s="28">
        <f t="shared" si="51"/>
        <v>0</v>
      </c>
    </row>
    <row r="48" spans="1:61" s="29" customFormat="1" hidden="1" outlineLevel="1" x14ac:dyDescent="0.3">
      <c r="A48" s="22" t="s">
        <v>64</v>
      </c>
      <c r="B48" s="2"/>
      <c r="C48" s="24"/>
      <c r="D48" s="69"/>
      <c r="E48" s="69"/>
      <c r="F48" s="41"/>
      <c r="G48" s="23"/>
      <c r="H48" s="241">
        <v>0</v>
      </c>
      <c r="I48" s="27"/>
      <c r="J48" s="28">
        <f>SUMIFS(Aut_BlueMe_Sem_Pedido!$J:$J,Aut_BlueMe_Sem_Pedido!$Q:$Q,DRE!H$4,Aut_BlueMe_Sem_Pedido!$H:$H,DRE!$A48)+SUMIFS(Aut_Ajustes_Manuais!$G:$G,Aut_Ajustes_Manuais!$I:$I,DRE!H$4,Aut_Ajustes_Manuais!$F:$F,"MDO Terceirizada - Artístico")</f>
        <v>0</v>
      </c>
      <c r="K48" s="241">
        <v>0</v>
      </c>
      <c r="L48" s="27"/>
      <c r="M48" s="28">
        <f>SUMIFS(Aut_BlueMe_Sem_Pedido!$J:$J,Aut_BlueMe_Sem_Pedido!$Q:$Q,DRE!K$4,Aut_BlueMe_Sem_Pedido!$H:$H,DRE!$A48)+SUMIFS(Aut_Ajustes_Manuais!$G:$G,Aut_Ajustes_Manuais!$I:$I,DRE!K$4,Aut_Ajustes_Manuais!$F:$F,"MDO Terceirizada - Artístico")</f>
        <v>0</v>
      </c>
      <c r="N48" s="241">
        <v>0</v>
      </c>
      <c r="O48" s="27"/>
      <c r="P48" s="28">
        <f>SUMIFS(Aut_BlueMe_Sem_Pedido!$J:$J,Aut_BlueMe_Sem_Pedido!$Q:$Q,DRE!N$4,Aut_BlueMe_Sem_Pedido!$H:$H,DRE!$A48)+SUMIFS(Aut_Ajustes_Manuais!$G:$G,Aut_Ajustes_Manuais!$I:$I,DRE!N$4,Aut_Ajustes_Manuais!$F:$F,"MDO Terceirizada - Artístico")</f>
        <v>0</v>
      </c>
      <c r="Q48" s="241">
        <v>0</v>
      </c>
      <c r="R48" s="27"/>
      <c r="S48" s="28">
        <f>SUMIFS(Aut_BlueMe_Sem_Pedido!$J:$J,Aut_BlueMe_Sem_Pedido!$Q:$Q,DRE!Q$4,Aut_BlueMe_Sem_Pedido!$H:$H,DRE!$A48)+SUMIFS(Aut_Ajustes_Manuais!$G:$G,Aut_Ajustes_Manuais!$I:$I,DRE!Q$4,Aut_Ajustes_Manuais!$F:$F,"MDO Terceirizada - Artístico")</f>
        <v>0</v>
      </c>
      <c r="T48" s="241">
        <v>0</v>
      </c>
      <c r="U48" s="27"/>
      <c r="V48" s="28">
        <f>SUMIFS(Aut_BlueMe_Sem_Pedido!$J:$J,Aut_BlueMe_Sem_Pedido!$Q:$Q,DRE!T$4,Aut_BlueMe_Sem_Pedido!$H:$H,DRE!$A48)+SUMIFS(Aut_Ajustes_Manuais!$G:$G,Aut_Ajustes_Manuais!$I:$I,DRE!T$4,Aut_Ajustes_Manuais!$F:$F,"MDO Terceirizada - Artístico")</f>
        <v>0</v>
      </c>
      <c r="W48" s="241">
        <v>0</v>
      </c>
      <c r="X48" s="27"/>
      <c r="Y48" s="28">
        <f>SUMIFS(Aut_BlueMe_Sem_Pedido!$J:$J,Aut_BlueMe_Sem_Pedido!$Q:$Q,DRE!W$4,Aut_BlueMe_Sem_Pedido!$H:$H,DRE!$A48)+SUMIFS(Aut_Ajustes_Manuais!$G:$G,Aut_Ajustes_Manuais!$I:$I,DRE!W$4,Aut_Ajustes_Manuais!$F:$F,"MDO Terceirizada - Artístico")</f>
        <v>0</v>
      </c>
      <c r="Z48" s="241">
        <v>0</v>
      </c>
      <c r="AA48" s="27"/>
      <c r="AB48" s="28">
        <f>SUMIFS(Aut_BlueMe_Sem_Pedido!$J:$J,Aut_BlueMe_Sem_Pedido!$Q:$Q,DRE!Z$4,Aut_BlueMe_Sem_Pedido!$H:$H,DRE!$A48)+SUMIFS(Aut_Ajustes_Manuais!$G:$G,Aut_Ajustes_Manuais!$I:$I,DRE!Z$4,Aut_Ajustes_Manuais!$F:$F,"MDO Terceirizada - Artístico")</f>
        <v>0</v>
      </c>
      <c r="AC48" s="241">
        <v>0</v>
      </c>
      <c r="AD48" s="27"/>
      <c r="AE48" s="28">
        <f>SUMIFS(Aut_BlueMe_Sem_Pedido!$J:$J,Aut_BlueMe_Sem_Pedido!$Q:$Q,DRE!AC$4,Aut_BlueMe_Sem_Pedido!$H:$H,DRE!$A48)+SUMIFS(Aut_Ajustes_Manuais!$G:$G,Aut_Ajustes_Manuais!$I:$I,DRE!AC$4,Aut_Ajustes_Manuais!$F:$F,"MDO Terceirizada - Artístico")</f>
        <v>0</v>
      </c>
      <c r="AF48" s="241">
        <v>0</v>
      </c>
      <c r="AG48" s="27"/>
      <c r="AH48" s="28">
        <f>SUMIFS(Aut_BlueMe_Sem_Pedido!$J:$J,Aut_BlueMe_Sem_Pedido!$Q:$Q,DRE!AF$4,Aut_BlueMe_Sem_Pedido!$H:$H,DRE!$A48)+SUMIFS(Aut_Ajustes_Manuais!$G:$G,Aut_Ajustes_Manuais!$I:$I,DRE!AF$4,Aut_Ajustes_Manuais!$F:$F,"MDO Terceirizada - Artístico")</f>
        <v>0</v>
      </c>
      <c r="AI48" s="241">
        <v>0</v>
      </c>
      <c r="AJ48" s="27"/>
      <c r="AK48" s="28">
        <f>SUMIFS(Aut_BlueMe_Sem_Pedido!$J:$J,Aut_BlueMe_Sem_Pedido!$Q:$Q,DRE!AI$4,Aut_BlueMe_Sem_Pedido!$H:$H,DRE!$A48)+SUMIFS(Aut_Ajustes_Manuais!$G:$G,Aut_Ajustes_Manuais!$I:$I,DRE!AI$4,Aut_Ajustes_Manuais!$F:$F,"MDO Terceirizada - Artístico")</f>
        <v>0</v>
      </c>
      <c r="AL48" s="241">
        <v>0</v>
      </c>
      <c r="AM48" s="27"/>
      <c r="AN48" s="28">
        <f>SUMIFS(Aut_BlueMe_Sem_Pedido!$J:$J,Aut_BlueMe_Sem_Pedido!$Q:$Q,DRE!AL$4,Aut_BlueMe_Sem_Pedido!$H:$H,DRE!$A48)+SUMIFS(Aut_Ajustes_Manuais!$G:$G,Aut_Ajustes_Manuais!$I:$I,DRE!AL$4,Aut_Ajustes_Manuais!$F:$F,"MDO Terceirizada - Artístico")</f>
        <v>0</v>
      </c>
      <c r="AO48" s="241">
        <v>0</v>
      </c>
      <c r="AP48" s="27"/>
      <c r="AQ48" s="28">
        <f>SUMIFS(Aut_BlueMe_Sem_Pedido!$J:$J,Aut_BlueMe_Sem_Pedido!$Q:$Q,DRE!AO$4,Aut_BlueMe_Sem_Pedido!$H:$H,DRE!$A48)+SUMIFS(Aut_Ajustes_Manuais!$G:$G,Aut_Ajustes_Manuais!$I:$I,DRE!AO$4,Aut_Ajustes_Manuais!$F:$F,"MDO Terceirizada - Artístico")</f>
        <v>0</v>
      </c>
      <c r="AR48" s="241">
        <f t="shared" ca="1" si="43"/>
        <v>0</v>
      </c>
      <c r="AS48" s="27">
        <f t="shared" ca="1" si="44"/>
        <v>0</v>
      </c>
      <c r="AT48" s="28">
        <f t="shared" ca="1" si="45"/>
        <v>0</v>
      </c>
      <c r="AU48" s="241">
        <f t="shared" si="47"/>
        <v>0</v>
      </c>
      <c r="AV48" s="27">
        <f t="shared" si="47"/>
        <v>0</v>
      </c>
      <c r="AW48" s="28">
        <f t="shared" si="47"/>
        <v>0</v>
      </c>
      <c r="AX48" s="241">
        <f t="shared" si="48"/>
        <v>0</v>
      </c>
      <c r="AY48" s="27">
        <f t="shared" si="48"/>
        <v>0</v>
      </c>
      <c r="AZ48" s="28">
        <f t="shared" si="48"/>
        <v>0</v>
      </c>
      <c r="BA48" s="241">
        <f t="shared" si="49"/>
        <v>0</v>
      </c>
      <c r="BB48" s="27">
        <f t="shared" si="49"/>
        <v>0</v>
      </c>
      <c r="BC48" s="28">
        <f t="shared" si="49"/>
        <v>0</v>
      </c>
      <c r="BD48" s="241">
        <f t="shared" si="50"/>
        <v>0</v>
      </c>
      <c r="BE48" s="27">
        <f t="shared" si="50"/>
        <v>0</v>
      </c>
      <c r="BF48" s="28">
        <f t="shared" si="50"/>
        <v>0</v>
      </c>
      <c r="BG48" s="241">
        <f t="shared" si="51"/>
        <v>0</v>
      </c>
      <c r="BH48" s="27">
        <f t="shared" si="51"/>
        <v>0</v>
      </c>
      <c r="BI48" s="28">
        <f t="shared" si="51"/>
        <v>0</v>
      </c>
    </row>
    <row r="49" spans="1:61" hidden="1" outlineLevel="1" x14ac:dyDescent="0.3">
      <c r="A49" s="73" t="s">
        <v>65</v>
      </c>
      <c r="C49" s="24"/>
      <c r="D49" s="69"/>
      <c r="E49" s="69"/>
      <c r="F49" s="41"/>
      <c r="H49" s="252">
        <v>-1833.67</v>
      </c>
      <c r="I49" s="74">
        <v>-1556.392753548387</v>
      </c>
      <c r="J49" s="76">
        <f>SUM(J50:J52)+SUMIFS(Aut_Ajustes_Manuais!$G:$G,Aut_Ajustes_Manuais!$I:$I,DRE!H$4,Aut_Ajustes_Manuais!$F:$F,"Custos Ténico de Som")</f>
        <v>-501</v>
      </c>
      <c r="K49" s="252">
        <v>-2000</v>
      </c>
      <c r="L49" s="74">
        <v>-1487.7372177</v>
      </c>
      <c r="M49" s="76">
        <f>SUM(M50:M52)+SUMIFS(Aut_Ajustes_Manuais!$G:$G,Aut_Ajustes_Manuais!$I:$I,DRE!K$4,Aut_Ajustes_Manuais!$F:$F,"Custos Ténico de Som")</f>
        <v>-1002</v>
      </c>
      <c r="N49" s="252">
        <v>-2333</v>
      </c>
      <c r="O49" s="74">
        <v>-2003.5647339919351</v>
      </c>
      <c r="P49" s="76">
        <f>SUM(P50:P52)+SUMIFS(Aut_Ajustes_Manuais!$G:$G,Aut_Ajustes_Manuais!$I:$I,DRE!N$4,Aut_Ajustes_Manuais!$F:$F,"Custos Ténico de Som")</f>
        <v>-668</v>
      </c>
      <c r="Q49" s="252">
        <v>-1833</v>
      </c>
      <c r="R49" s="74">
        <v>-1699.65879636</v>
      </c>
      <c r="S49" s="76">
        <f>SUM(S50:S52)+SUMIFS(Aut_Ajustes_Manuais!$G:$G,Aut_Ajustes_Manuais!$I:$I,DRE!Q$4,Aut_Ajustes_Manuais!$F:$F,"Custos Ténico de Som")</f>
        <v>-668</v>
      </c>
      <c r="T49" s="252">
        <v>-2334</v>
      </c>
      <c r="U49" s="74">
        <v>-2083.5297050806448</v>
      </c>
      <c r="V49" s="76">
        <f>SUM(V50:V52)+SUMIFS(Aut_Ajustes_Manuais!$G:$G,Aut_Ajustes_Manuais!$I:$I,DRE!T$4,Aut_Ajustes_Manuais!$F:$F,"Custos Ténico de Som")</f>
        <v>-835</v>
      </c>
      <c r="W49" s="252">
        <v>-2167</v>
      </c>
      <c r="X49" s="74">
        <v>-1707.02986272</v>
      </c>
      <c r="Y49" s="76">
        <f>SUM(Y50:Y52)+SUMIFS(Aut_Ajustes_Manuais!$G:$G,Aut_Ajustes_Manuais!$I:$I,DRE!W$4,Aut_Ajustes_Manuais!$F:$F,"Custos Ténico de Som")</f>
        <v>-668</v>
      </c>
      <c r="Z49" s="252">
        <v>-2000</v>
      </c>
      <c r="AA49" s="74">
        <v>-1708.980587999999</v>
      </c>
      <c r="AB49" s="76">
        <f>SUM(AB50:AB52)+SUMIFS(Aut_Ajustes_Manuais!$G:$G,Aut_Ajustes_Manuais!$I:$I,DRE!Z$4,Aut_Ajustes_Manuais!$F:$F,"Custos Ténico de Som")</f>
        <v>0</v>
      </c>
      <c r="AC49" s="252">
        <v>-1499.97</v>
      </c>
      <c r="AD49" s="74">
        <v>-2415.1851979838711</v>
      </c>
      <c r="AE49" s="76">
        <f>SUM(AE50:AE52)+SUMIFS(Aut_Ajustes_Manuais!$G:$G,Aut_Ajustes_Manuais!$I:$I,DRE!AC$4,Aut_Ajustes_Manuais!$F:$F,"Custos Ténico de Som")</f>
        <v>0</v>
      </c>
      <c r="AF49" s="252">
        <v>-1833.32</v>
      </c>
      <c r="AG49" s="74">
        <v>-1638.6277908</v>
      </c>
      <c r="AH49" s="76">
        <f>SUM(AH50:AH52)+SUMIFS(Aut_Ajustes_Manuais!$G:$G,Aut_Ajustes_Manuais!$I:$I,DRE!AF$4,Aut_Ajustes_Manuais!$F:$F,"Custos Ténico de Som")</f>
        <v>0</v>
      </c>
      <c r="AI49" s="252">
        <v>-999.99</v>
      </c>
      <c r="AJ49" s="74">
        <v>-1601.900593548387</v>
      </c>
      <c r="AK49" s="76">
        <f>SUM(AK50:AK52)+SUMIFS(Aut_Ajustes_Manuais!$G:$G,Aut_Ajustes_Manuais!$I:$I,DRE!AI$4,Aut_Ajustes_Manuais!$F:$F,"Custos Ténico de Som")</f>
        <v>0</v>
      </c>
      <c r="AL49" s="252">
        <v>-2666.66</v>
      </c>
      <c r="AM49" s="74">
        <v>-1936.542847463825</v>
      </c>
      <c r="AN49" s="76">
        <f>SUM(AN50:AN52)+SUMIFS(Aut_Ajustes_Manuais!$G:$G,Aut_Ajustes_Manuais!$I:$I,DRE!AL$4,Aut_Ajustes_Manuais!$F:$F,"Custos Ténico de Som")</f>
        <v>0</v>
      </c>
      <c r="AO49" s="252">
        <v>-2000.64</v>
      </c>
      <c r="AP49" s="74">
        <v>-1292.454600887603</v>
      </c>
      <c r="AQ49" s="76">
        <f>SUM(AQ50:AQ52)+SUMIFS(Aut_Ajustes_Manuais!$G:$G,Aut_Ajustes_Manuais!$I:$I,DRE!AO$4,Aut_Ajustes_Manuais!$F:$F,"Custos Ténico de Som")</f>
        <v>0</v>
      </c>
      <c r="AR49" s="74">
        <f t="shared" ca="1" si="43"/>
        <v>-12500.67</v>
      </c>
      <c r="AS49" s="74">
        <f t="shared" ca="1" si="44"/>
        <v>-10537.913069400965</v>
      </c>
      <c r="AT49" s="74">
        <f t="shared" ca="1" si="45"/>
        <v>-4342</v>
      </c>
      <c r="AU49" s="252">
        <f t="shared" ref="AU49:BI49" si="52">SUM(AU50:AU52)</f>
        <v>-23501.25</v>
      </c>
      <c r="AV49" s="74">
        <f t="shared" si="52"/>
        <v>-21131.604688084648</v>
      </c>
      <c r="AW49" s="76">
        <f t="shared" si="52"/>
        <v>-4342</v>
      </c>
      <c r="AX49" s="252">
        <f t="shared" si="52"/>
        <v>-6166.67</v>
      </c>
      <c r="AY49" s="74">
        <f t="shared" si="52"/>
        <v>-5047.694705240322</v>
      </c>
      <c r="AZ49" s="76">
        <f t="shared" si="52"/>
        <v>-2171</v>
      </c>
      <c r="BA49" s="252">
        <f t="shared" si="52"/>
        <v>-6334</v>
      </c>
      <c r="BB49" s="74">
        <f t="shared" si="52"/>
        <v>-5490.2183641606443</v>
      </c>
      <c r="BC49" s="76">
        <f t="shared" si="52"/>
        <v>-2171</v>
      </c>
      <c r="BD49" s="252">
        <f t="shared" si="52"/>
        <v>-5333.29</v>
      </c>
      <c r="BE49" s="74">
        <f t="shared" si="52"/>
        <v>-5762.7935767838708</v>
      </c>
      <c r="BF49" s="76">
        <f t="shared" si="52"/>
        <v>0</v>
      </c>
      <c r="BG49" s="252">
        <f t="shared" si="52"/>
        <v>-5667.29</v>
      </c>
      <c r="BH49" s="74">
        <f t="shared" si="52"/>
        <v>-4830.8980418998153</v>
      </c>
      <c r="BI49" s="76">
        <f t="shared" si="52"/>
        <v>0</v>
      </c>
    </row>
    <row r="50" spans="1:61" s="29" customFormat="1" hidden="1" outlineLevel="1" x14ac:dyDescent="0.3">
      <c r="A50" s="22" t="s">
        <v>66</v>
      </c>
      <c r="B50" s="2"/>
      <c r="C50" s="24" t="s">
        <v>67</v>
      </c>
      <c r="D50" s="25"/>
      <c r="E50" s="25"/>
      <c r="F50" s="41"/>
      <c r="G50" s="23"/>
      <c r="H50" s="241">
        <v>-1833.67</v>
      </c>
      <c r="I50" s="27">
        <v>0</v>
      </c>
      <c r="J50" s="28">
        <f>SUMIFS(Aut_BlueMe_Sem_Pedido!$J:$J,Aut_BlueMe_Sem_Pedido!$Q:$Q,DRE!H$4,Aut_BlueMe_Sem_Pedido!$H:$H,DRE!$A50)+SUMIFS(Aut_Ajustes_Manuais!$G:$G,Aut_Ajustes_Manuais!$I:$I,DRE!H$4,Aut_Ajustes_Manuais!$F:$F,"Técnico de Som / Luz")</f>
        <v>-501</v>
      </c>
      <c r="K50" s="241">
        <v>-2000</v>
      </c>
      <c r="L50" s="27">
        <v>0</v>
      </c>
      <c r="M50" s="28">
        <f>SUMIFS(Aut_BlueMe_Sem_Pedido!$J:$J,Aut_BlueMe_Sem_Pedido!$Q:$Q,DRE!K$4,Aut_BlueMe_Sem_Pedido!$H:$H,DRE!$A50)+SUMIFS(Aut_Ajustes_Manuais!$G:$G,Aut_Ajustes_Manuais!$I:$I,DRE!K$4,Aut_Ajustes_Manuais!$F:$F,"Técnico de Som / Luz")</f>
        <v>-1002</v>
      </c>
      <c r="N50" s="241">
        <v>-2333</v>
      </c>
      <c r="O50" s="27">
        <v>0</v>
      </c>
      <c r="P50" s="28">
        <f>SUMIFS(Aut_BlueMe_Sem_Pedido!$J:$J,Aut_BlueMe_Sem_Pedido!$Q:$Q,DRE!N$4,Aut_BlueMe_Sem_Pedido!$H:$H,DRE!$A50)+SUMIFS(Aut_Ajustes_Manuais!$G:$G,Aut_Ajustes_Manuais!$I:$I,DRE!N$4,Aut_Ajustes_Manuais!$F:$F,"Técnico de Som / Luz")</f>
        <v>-668</v>
      </c>
      <c r="Q50" s="241">
        <v>-1833</v>
      </c>
      <c r="R50" s="27">
        <v>0</v>
      </c>
      <c r="S50" s="28">
        <f>SUMIFS(Aut_BlueMe_Sem_Pedido!$J:$J,Aut_BlueMe_Sem_Pedido!$Q:$Q,DRE!Q$4,Aut_BlueMe_Sem_Pedido!$H:$H,DRE!$A50)+SUMIFS(Aut_Ajustes_Manuais!$G:$G,Aut_Ajustes_Manuais!$I:$I,DRE!Q$4,Aut_Ajustes_Manuais!$F:$F,"Técnico de Som / Luz")</f>
        <v>-668</v>
      </c>
      <c r="T50" s="241">
        <v>-2334</v>
      </c>
      <c r="U50" s="27">
        <v>0</v>
      </c>
      <c r="V50" s="28">
        <f>SUMIFS(Aut_BlueMe_Sem_Pedido!$J:$J,Aut_BlueMe_Sem_Pedido!$Q:$Q,DRE!T$4,Aut_BlueMe_Sem_Pedido!$H:$H,DRE!$A50)+SUMIFS(Aut_Ajustes_Manuais!$G:$G,Aut_Ajustes_Manuais!$I:$I,DRE!T$4,Aut_Ajustes_Manuais!$F:$F,"Técnico de Som / Luz")</f>
        <v>-835</v>
      </c>
      <c r="W50" s="241">
        <v>-2167</v>
      </c>
      <c r="X50" s="27">
        <v>0</v>
      </c>
      <c r="Y50" s="28">
        <f>SUMIFS(Aut_BlueMe_Sem_Pedido!$J:$J,Aut_BlueMe_Sem_Pedido!$Q:$Q,DRE!W$4,Aut_BlueMe_Sem_Pedido!$H:$H,DRE!$A50)+SUMIFS(Aut_Ajustes_Manuais!$G:$G,Aut_Ajustes_Manuais!$I:$I,DRE!W$4,Aut_Ajustes_Manuais!$F:$F,"Técnico de Som / Luz")</f>
        <v>-668</v>
      </c>
      <c r="Z50" s="241">
        <v>-2000</v>
      </c>
      <c r="AA50" s="27">
        <v>0</v>
      </c>
      <c r="AB50" s="28">
        <f>SUMIFS(Aut_BlueMe_Sem_Pedido!$J:$J,Aut_BlueMe_Sem_Pedido!$Q:$Q,DRE!Z$4,Aut_BlueMe_Sem_Pedido!$H:$H,DRE!$A50)+SUMIFS(Aut_Ajustes_Manuais!$G:$G,Aut_Ajustes_Manuais!$I:$I,DRE!Z$4,Aut_Ajustes_Manuais!$F:$F,"Técnico de Som / Luz")</f>
        <v>0</v>
      </c>
      <c r="AC50" s="241">
        <v>-1499.97</v>
      </c>
      <c r="AD50" s="27">
        <v>0</v>
      </c>
      <c r="AE50" s="28">
        <f>SUMIFS(Aut_BlueMe_Sem_Pedido!$J:$J,Aut_BlueMe_Sem_Pedido!$Q:$Q,DRE!AC$4,Aut_BlueMe_Sem_Pedido!$H:$H,DRE!$A50)+SUMIFS(Aut_Ajustes_Manuais!$G:$G,Aut_Ajustes_Manuais!$I:$I,DRE!AC$4,Aut_Ajustes_Manuais!$F:$F,"Técnico de Som / Luz")</f>
        <v>0</v>
      </c>
      <c r="AF50" s="241">
        <v>-1833.32</v>
      </c>
      <c r="AG50" s="27">
        <v>0</v>
      </c>
      <c r="AH50" s="28">
        <f>SUMIFS(Aut_BlueMe_Sem_Pedido!$J:$J,Aut_BlueMe_Sem_Pedido!$Q:$Q,DRE!AF$4,Aut_BlueMe_Sem_Pedido!$H:$H,DRE!$A50)+SUMIFS(Aut_Ajustes_Manuais!$G:$G,Aut_Ajustes_Manuais!$I:$I,DRE!AF$4,Aut_Ajustes_Manuais!$F:$F,"Técnico de Som / Luz")</f>
        <v>0</v>
      </c>
      <c r="AI50" s="241">
        <v>-999.99</v>
      </c>
      <c r="AJ50" s="27">
        <v>0</v>
      </c>
      <c r="AK50" s="28">
        <f>SUMIFS(Aut_BlueMe_Sem_Pedido!$J:$J,Aut_BlueMe_Sem_Pedido!$Q:$Q,DRE!AI$4,Aut_BlueMe_Sem_Pedido!$H:$H,DRE!$A50)+SUMIFS(Aut_Ajustes_Manuais!$G:$G,Aut_Ajustes_Manuais!$I:$I,DRE!AI$4,Aut_Ajustes_Manuais!$F:$F,"Técnico de Som / Luz")</f>
        <v>0</v>
      </c>
      <c r="AL50" s="241">
        <v>-2666.66</v>
      </c>
      <c r="AM50" s="27">
        <v>0</v>
      </c>
      <c r="AN50" s="28">
        <f>SUMIFS(Aut_BlueMe_Sem_Pedido!$J:$J,Aut_BlueMe_Sem_Pedido!$Q:$Q,DRE!AL$4,Aut_BlueMe_Sem_Pedido!$H:$H,DRE!$A50)+SUMIFS(Aut_Ajustes_Manuais!$G:$G,Aut_Ajustes_Manuais!$I:$I,DRE!AL$4,Aut_Ajustes_Manuais!$F:$F,"Técnico de Som / Luz")</f>
        <v>0</v>
      </c>
      <c r="AO50" s="241">
        <v>-2000.64</v>
      </c>
      <c r="AP50" s="27">
        <v>0</v>
      </c>
      <c r="AQ50" s="28">
        <f>SUMIFS(Aut_BlueMe_Sem_Pedido!$J:$J,Aut_BlueMe_Sem_Pedido!$Q:$Q,DRE!AO$4,Aut_BlueMe_Sem_Pedido!$H:$H,DRE!$A50)+SUMIFS(Aut_Ajustes_Manuais!$G:$G,Aut_Ajustes_Manuais!$I:$I,DRE!AO$4,Aut_Ajustes_Manuais!$F:$F,"Técnico de Som / Luz")</f>
        <v>0</v>
      </c>
      <c r="AR50" s="241">
        <f t="shared" ca="1" si="43"/>
        <v>-12500.67</v>
      </c>
      <c r="AS50" s="27">
        <f t="shared" ca="1" si="44"/>
        <v>0</v>
      </c>
      <c r="AT50" s="28">
        <f t="shared" ca="1" si="45"/>
        <v>-4342</v>
      </c>
      <c r="AU50" s="241">
        <f t="shared" ref="AU50:AW52" si="53">SUM(H50,K50,N50,Q50,T50,W50,Z50,AC50,AF50,AI50,AL50,AO50)</f>
        <v>-23501.25</v>
      </c>
      <c r="AV50" s="27">
        <f t="shared" si="53"/>
        <v>0</v>
      </c>
      <c r="AW50" s="28">
        <f t="shared" si="53"/>
        <v>-4342</v>
      </c>
      <c r="AX50" s="241">
        <f t="shared" ref="AX50:AZ52" si="54">SUM(H50,K50,N50)</f>
        <v>-6166.67</v>
      </c>
      <c r="AY50" s="27">
        <f t="shared" si="54"/>
        <v>0</v>
      </c>
      <c r="AZ50" s="28">
        <f t="shared" si="54"/>
        <v>-2171</v>
      </c>
      <c r="BA50" s="241">
        <f t="shared" ref="BA50:BC52" si="55">SUM(Q50,T50,W50)</f>
        <v>-6334</v>
      </c>
      <c r="BB50" s="27">
        <f t="shared" si="55"/>
        <v>0</v>
      </c>
      <c r="BC50" s="28">
        <f t="shared" si="55"/>
        <v>-2171</v>
      </c>
      <c r="BD50" s="241">
        <f t="shared" ref="BD50:BF52" si="56">SUM(Z50,AC50,AF50)</f>
        <v>-5333.29</v>
      </c>
      <c r="BE50" s="27">
        <f t="shared" si="56"/>
        <v>0</v>
      </c>
      <c r="BF50" s="28">
        <f t="shared" si="56"/>
        <v>0</v>
      </c>
      <c r="BG50" s="241">
        <f t="shared" ref="BG50:BI52" si="57">SUM(AI50,AL50,AO50)</f>
        <v>-5667.29</v>
      </c>
      <c r="BH50" s="27">
        <f t="shared" si="57"/>
        <v>0</v>
      </c>
      <c r="BI50" s="28">
        <f t="shared" si="57"/>
        <v>0</v>
      </c>
    </row>
    <row r="51" spans="1:61" s="29" customFormat="1" hidden="1" outlineLevel="1" x14ac:dyDescent="0.3">
      <c r="A51" s="22" t="s">
        <v>68</v>
      </c>
      <c r="B51" s="2"/>
      <c r="C51" s="24" t="s">
        <v>67</v>
      </c>
      <c r="D51" s="25"/>
      <c r="E51" s="25"/>
      <c r="F51" s="41"/>
      <c r="G51" s="23"/>
      <c r="H51" s="241">
        <v>0</v>
      </c>
      <c r="I51" s="27">
        <v>-1556.392753548387</v>
      </c>
      <c r="J51" s="28">
        <f>SUMIFS(Aut_BlueMe_Sem_Pedido!$J:$J,Aut_BlueMe_Sem_Pedido!$Q:$Q,DRE!H$4,Aut_BlueMe_Sem_Pedido!$H:$H,DRE!$A51)+SUMIFS(Aut_Ajustes_Manuais!$G:$G,Aut_Ajustes_Manuais!$I:$I,DRE!H$4,Aut_Ajustes_Manuais!$F:$F,"Locação de Equipamentos Fixo")</f>
        <v>0</v>
      </c>
      <c r="K51" s="241">
        <v>0</v>
      </c>
      <c r="L51" s="27">
        <v>-1487.7372177</v>
      </c>
      <c r="M51" s="28">
        <f>SUMIFS(Aut_BlueMe_Sem_Pedido!$J:$J,Aut_BlueMe_Sem_Pedido!$Q:$Q,DRE!K$4,Aut_BlueMe_Sem_Pedido!$H:$H,DRE!$A51)+SUMIFS(Aut_Ajustes_Manuais!$G:$G,Aut_Ajustes_Manuais!$I:$I,DRE!K$4,Aut_Ajustes_Manuais!$F:$F,"Locação de Equipamentos Fixo")</f>
        <v>0</v>
      </c>
      <c r="N51" s="241">
        <v>0</v>
      </c>
      <c r="O51" s="27">
        <v>-2003.5647339919351</v>
      </c>
      <c r="P51" s="28">
        <f>SUMIFS(Aut_BlueMe_Sem_Pedido!$J:$J,Aut_BlueMe_Sem_Pedido!$Q:$Q,DRE!N$4,Aut_BlueMe_Sem_Pedido!$H:$H,DRE!$A51)+SUMIFS(Aut_Ajustes_Manuais!$G:$G,Aut_Ajustes_Manuais!$I:$I,DRE!N$4,Aut_Ajustes_Manuais!$F:$F,"Locação de Equipamentos Fixo")</f>
        <v>0</v>
      </c>
      <c r="Q51" s="241">
        <v>0</v>
      </c>
      <c r="R51" s="27">
        <v>-1699.65879636</v>
      </c>
      <c r="S51" s="28">
        <f>SUMIFS(Aut_BlueMe_Sem_Pedido!$J:$J,Aut_BlueMe_Sem_Pedido!$Q:$Q,DRE!Q$4,Aut_BlueMe_Sem_Pedido!$H:$H,DRE!$A51)+SUMIFS(Aut_Ajustes_Manuais!$G:$G,Aut_Ajustes_Manuais!$I:$I,DRE!Q$4,Aut_Ajustes_Manuais!$F:$F,"Locação de Equipamentos Fixo")</f>
        <v>0</v>
      </c>
      <c r="T51" s="241">
        <v>0</v>
      </c>
      <c r="U51" s="27">
        <v>-2083.5297050806448</v>
      </c>
      <c r="V51" s="28">
        <f>SUMIFS(Aut_BlueMe_Sem_Pedido!$J:$J,Aut_BlueMe_Sem_Pedido!$Q:$Q,DRE!T$4,Aut_BlueMe_Sem_Pedido!$H:$H,DRE!$A51)+SUMIFS(Aut_Ajustes_Manuais!$G:$G,Aut_Ajustes_Manuais!$I:$I,DRE!T$4,Aut_Ajustes_Manuais!$F:$F,"Locação de Equipamentos Fixo")</f>
        <v>0</v>
      </c>
      <c r="W51" s="241">
        <v>0</v>
      </c>
      <c r="X51" s="27">
        <v>-1707.02986272</v>
      </c>
      <c r="Y51" s="28">
        <f>SUMIFS(Aut_BlueMe_Sem_Pedido!$J:$J,Aut_BlueMe_Sem_Pedido!$Q:$Q,DRE!W$4,Aut_BlueMe_Sem_Pedido!$H:$H,DRE!$A51)+SUMIFS(Aut_Ajustes_Manuais!$G:$G,Aut_Ajustes_Manuais!$I:$I,DRE!W$4,Aut_Ajustes_Manuais!$F:$F,"Locação de Equipamentos Fixo")</f>
        <v>0</v>
      </c>
      <c r="Z51" s="241">
        <v>0</v>
      </c>
      <c r="AA51" s="27">
        <v>-1708.980587999999</v>
      </c>
      <c r="AB51" s="28">
        <f>SUMIFS(Aut_BlueMe_Sem_Pedido!$J:$J,Aut_BlueMe_Sem_Pedido!$Q:$Q,DRE!Z$4,Aut_BlueMe_Sem_Pedido!$H:$H,DRE!$A51)+SUMIFS(Aut_Ajustes_Manuais!$G:$G,Aut_Ajustes_Manuais!$I:$I,DRE!Z$4,Aut_Ajustes_Manuais!$F:$F,"Locação de Equipamentos Fixo")</f>
        <v>0</v>
      </c>
      <c r="AC51" s="241">
        <v>0</v>
      </c>
      <c r="AD51" s="27">
        <v>-2415.1851979838711</v>
      </c>
      <c r="AE51" s="28">
        <f>SUMIFS(Aut_BlueMe_Sem_Pedido!$J:$J,Aut_BlueMe_Sem_Pedido!$Q:$Q,DRE!AC$4,Aut_BlueMe_Sem_Pedido!$H:$H,DRE!$A51)+SUMIFS(Aut_Ajustes_Manuais!$G:$G,Aut_Ajustes_Manuais!$I:$I,DRE!AC$4,Aut_Ajustes_Manuais!$F:$F,"Locação de Equipamentos Fixo")</f>
        <v>0</v>
      </c>
      <c r="AF51" s="241">
        <v>0</v>
      </c>
      <c r="AG51" s="27">
        <v>-1638.6277908</v>
      </c>
      <c r="AH51" s="28">
        <f>SUMIFS(Aut_BlueMe_Sem_Pedido!$J:$J,Aut_BlueMe_Sem_Pedido!$Q:$Q,DRE!AF$4,Aut_BlueMe_Sem_Pedido!$H:$H,DRE!$A51)+SUMIFS(Aut_Ajustes_Manuais!$G:$G,Aut_Ajustes_Manuais!$I:$I,DRE!AF$4,Aut_Ajustes_Manuais!$F:$F,"Locação de Equipamentos Fixo")</f>
        <v>0</v>
      </c>
      <c r="AI51" s="241">
        <v>0</v>
      </c>
      <c r="AJ51" s="27">
        <v>-1601.900593548387</v>
      </c>
      <c r="AK51" s="28">
        <f>SUMIFS(Aut_BlueMe_Sem_Pedido!$J:$J,Aut_BlueMe_Sem_Pedido!$Q:$Q,DRE!AI$4,Aut_BlueMe_Sem_Pedido!$H:$H,DRE!$A51)+SUMIFS(Aut_Ajustes_Manuais!$G:$G,Aut_Ajustes_Manuais!$I:$I,DRE!AI$4,Aut_Ajustes_Manuais!$F:$F,"Locação de Equipamentos Fixo")</f>
        <v>0</v>
      </c>
      <c r="AL51" s="241">
        <v>0</v>
      </c>
      <c r="AM51" s="27">
        <v>-1936.542847463825</v>
      </c>
      <c r="AN51" s="28">
        <f>SUMIFS(Aut_BlueMe_Sem_Pedido!$J:$J,Aut_BlueMe_Sem_Pedido!$Q:$Q,DRE!AL$4,Aut_BlueMe_Sem_Pedido!$H:$H,DRE!$A51)+SUMIFS(Aut_Ajustes_Manuais!$G:$G,Aut_Ajustes_Manuais!$I:$I,DRE!AL$4,Aut_Ajustes_Manuais!$F:$F,"Locação de Equipamentos Fixo")</f>
        <v>0</v>
      </c>
      <c r="AO51" s="241">
        <v>0</v>
      </c>
      <c r="AP51" s="27">
        <v>-1292.454600887603</v>
      </c>
      <c r="AQ51" s="28">
        <f>SUMIFS(Aut_BlueMe_Sem_Pedido!$J:$J,Aut_BlueMe_Sem_Pedido!$Q:$Q,DRE!AO$4,Aut_BlueMe_Sem_Pedido!$H:$H,DRE!$A51)+SUMIFS(Aut_Ajustes_Manuais!$G:$G,Aut_Ajustes_Manuais!$I:$I,DRE!AO$4,Aut_Ajustes_Manuais!$F:$F,"Locação de Equipamentos Fixo")</f>
        <v>0</v>
      </c>
      <c r="AR51" s="241">
        <f t="shared" ca="1" si="43"/>
        <v>0</v>
      </c>
      <c r="AS51" s="27">
        <f t="shared" ca="1" si="44"/>
        <v>-10537.913069400965</v>
      </c>
      <c r="AT51" s="28">
        <f t="shared" ca="1" si="45"/>
        <v>0</v>
      </c>
      <c r="AU51" s="241">
        <f t="shared" si="53"/>
        <v>0</v>
      </c>
      <c r="AV51" s="27">
        <f t="shared" si="53"/>
        <v>-21131.604688084648</v>
      </c>
      <c r="AW51" s="28">
        <f t="shared" si="53"/>
        <v>0</v>
      </c>
      <c r="AX51" s="241">
        <f t="shared" si="54"/>
        <v>0</v>
      </c>
      <c r="AY51" s="27">
        <f t="shared" si="54"/>
        <v>-5047.694705240322</v>
      </c>
      <c r="AZ51" s="28">
        <f t="shared" si="54"/>
        <v>0</v>
      </c>
      <c r="BA51" s="241">
        <f t="shared" si="55"/>
        <v>0</v>
      </c>
      <c r="BB51" s="27">
        <f t="shared" si="55"/>
        <v>-5490.2183641606443</v>
      </c>
      <c r="BC51" s="28">
        <f t="shared" si="55"/>
        <v>0</v>
      </c>
      <c r="BD51" s="241">
        <f t="shared" si="56"/>
        <v>0</v>
      </c>
      <c r="BE51" s="27">
        <f t="shared" si="56"/>
        <v>-5762.7935767838708</v>
      </c>
      <c r="BF51" s="28">
        <f t="shared" si="56"/>
        <v>0</v>
      </c>
      <c r="BG51" s="241">
        <f t="shared" si="57"/>
        <v>0</v>
      </c>
      <c r="BH51" s="27">
        <f t="shared" si="57"/>
        <v>-4830.8980418998153</v>
      </c>
      <c r="BI51" s="28">
        <f t="shared" si="57"/>
        <v>0</v>
      </c>
    </row>
    <row r="52" spans="1:61" s="29" customFormat="1" hidden="1" outlineLevel="1" x14ac:dyDescent="0.3">
      <c r="A52" s="22" t="s">
        <v>69</v>
      </c>
      <c r="B52" s="2"/>
      <c r="C52" s="24" t="s">
        <v>60</v>
      </c>
      <c r="D52" s="69"/>
      <c r="E52" s="69">
        <v>0</v>
      </c>
      <c r="F52" s="41"/>
      <c r="G52" s="23"/>
      <c r="H52" s="241">
        <v>0</v>
      </c>
      <c r="I52" s="27">
        <v>0</v>
      </c>
      <c r="J52" s="28">
        <f>SUMIFS(Aut_BlueMe_Sem_Pedido!$J:$J,Aut_BlueMe_Sem_Pedido!$Q:$Q,DRE!H$4,Aut_BlueMe_Sem_Pedido!$H:$H,DRE!$A52)+SUMIFS(Aut_Ajustes_Manuais!$G:$G,Aut_Ajustes_Manuais!$I:$I,DRE!H$4,Aut_Ajustes_Manuais!$F:$F,"Locação de Equipamentos Variável")</f>
        <v>0</v>
      </c>
      <c r="K52" s="241">
        <v>0</v>
      </c>
      <c r="L52" s="27">
        <v>0</v>
      </c>
      <c r="M52" s="28">
        <f>SUMIFS(Aut_BlueMe_Sem_Pedido!$J:$J,Aut_BlueMe_Sem_Pedido!$Q:$Q,DRE!K$4,Aut_BlueMe_Sem_Pedido!$H:$H,DRE!$A52)+SUMIFS(Aut_Ajustes_Manuais!$G:$G,Aut_Ajustes_Manuais!$I:$I,DRE!K$4,Aut_Ajustes_Manuais!$F:$F,"Locação de Equipamentos Variável")</f>
        <v>0</v>
      </c>
      <c r="N52" s="241">
        <v>0</v>
      </c>
      <c r="O52" s="27">
        <v>0</v>
      </c>
      <c r="P52" s="28">
        <f>SUMIFS(Aut_BlueMe_Sem_Pedido!$J:$J,Aut_BlueMe_Sem_Pedido!$Q:$Q,DRE!N$4,Aut_BlueMe_Sem_Pedido!$H:$H,DRE!$A52)+SUMIFS(Aut_Ajustes_Manuais!$G:$G,Aut_Ajustes_Manuais!$I:$I,DRE!N$4,Aut_Ajustes_Manuais!$F:$F,"Locação de Equipamentos Variável")</f>
        <v>0</v>
      </c>
      <c r="Q52" s="241">
        <v>0</v>
      </c>
      <c r="R52" s="27">
        <v>0</v>
      </c>
      <c r="S52" s="28">
        <f>SUMIFS(Aut_BlueMe_Sem_Pedido!$J:$J,Aut_BlueMe_Sem_Pedido!$Q:$Q,DRE!Q$4,Aut_BlueMe_Sem_Pedido!$H:$H,DRE!$A52)+SUMIFS(Aut_Ajustes_Manuais!$G:$G,Aut_Ajustes_Manuais!$I:$I,DRE!Q$4,Aut_Ajustes_Manuais!$F:$F,"Locação de Equipamentos Variável")</f>
        <v>0</v>
      </c>
      <c r="T52" s="241">
        <v>0</v>
      </c>
      <c r="U52" s="27">
        <v>0</v>
      </c>
      <c r="V52" s="28">
        <f>SUMIFS(Aut_BlueMe_Sem_Pedido!$J:$J,Aut_BlueMe_Sem_Pedido!$Q:$Q,DRE!T$4,Aut_BlueMe_Sem_Pedido!$H:$H,DRE!$A52)+SUMIFS(Aut_Ajustes_Manuais!$G:$G,Aut_Ajustes_Manuais!$I:$I,DRE!T$4,Aut_Ajustes_Manuais!$F:$F,"Locação de Equipamentos Variável")</f>
        <v>0</v>
      </c>
      <c r="W52" s="241">
        <v>0</v>
      </c>
      <c r="X52" s="27">
        <v>0</v>
      </c>
      <c r="Y52" s="28">
        <f>SUMIFS(Aut_BlueMe_Sem_Pedido!$J:$J,Aut_BlueMe_Sem_Pedido!$Q:$Q,DRE!W$4,Aut_BlueMe_Sem_Pedido!$H:$H,DRE!$A52)+SUMIFS(Aut_Ajustes_Manuais!$G:$G,Aut_Ajustes_Manuais!$I:$I,DRE!W$4,Aut_Ajustes_Manuais!$F:$F,"Locação de Equipamentos Variável")</f>
        <v>0</v>
      </c>
      <c r="Z52" s="241">
        <v>0</v>
      </c>
      <c r="AA52" s="27">
        <v>0</v>
      </c>
      <c r="AB52" s="28">
        <f>SUMIFS(Aut_BlueMe_Sem_Pedido!$J:$J,Aut_BlueMe_Sem_Pedido!$Q:$Q,DRE!Z$4,Aut_BlueMe_Sem_Pedido!$H:$H,DRE!$A52)+SUMIFS(Aut_Ajustes_Manuais!$G:$G,Aut_Ajustes_Manuais!$I:$I,DRE!Z$4,Aut_Ajustes_Manuais!$F:$F,"Locação de Equipamentos Variável")</f>
        <v>0</v>
      </c>
      <c r="AC52" s="241">
        <v>0</v>
      </c>
      <c r="AD52" s="27">
        <v>0</v>
      </c>
      <c r="AE52" s="28">
        <f>SUMIFS(Aut_BlueMe_Sem_Pedido!$J:$J,Aut_BlueMe_Sem_Pedido!$Q:$Q,DRE!AC$4,Aut_BlueMe_Sem_Pedido!$H:$H,DRE!$A52)+SUMIFS(Aut_Ajustes_Manuais!$G:$G,Aut_Ajustes_Manuais!$I:$I,DRE!AC$4,Aut_Ajustes_Manuais!$F:$F,"Locação de Equipamentos Variável")</f>
        <v>0</v>
      </c>
      <c r="AF52" s="241">
        <v>0</v>
      </c>
      <c r="AG52" s="27">
        <v>0</v>
      </c>
      <c r="AH52" s="28">
        <f>SUMIFS(Aut_BlueMe_Sem_Pedido!$J:$J,Aut_BlueMe_Sem_Pedido!$Q:$Q,DRE!AF$4,Aut_BlueMe_Sem_Pedido!$H:$H,DRE!$A52)+SUMIFS(Aut_Ajustes_Manuais!$G:$G,Aut_Ajustes_Manuais!$I:$I,DRE!AF$4,Aut_Ajustes_Manuais!$F:$F,"Locação de Equipamentos Variável")</f>
        <v>0</v>
      </c>
      <c r="AI52" s="241">
        <v>0</v>
      </c>
      <c r="AJ52" s="27">
        <v>0</v>
      </c>
      <c r="AK52" s="28">
        <f>SUMIFS(Aut_BlueMe_Sem_Pedido!$J:$J,Aut_BlueMe_Sem_Pedido!$Q:$Q,DRE!AI$4,Aut_BlueMe_Sem_Pedido!$H:$H,DRE!$A52)+SUMIFS(Aut_Ajustes_Manuais!$G:$G,Aut_Ajustes_Manuais!$I:$I,DRE!AI$4,Aut_Ajustes_Manuais!$F:$F,"Locação de Equipamentos Variável")</f>
        <v>0</v>
      </c>
      <c r="AL52" s="241">
        <v>0</v>
      </c>
      <c r="AM52" s="27">
        <v>0</v>
      </c>
      <c r="AN52" s="28">
        <f>SUMIFS(Aut_BlueMe_Sem_Pedido!$J:$J,Aut_BlueMe_Sem_Pedido!$Q:$Q,DRE!AL$4,Aut_BlueMe_Sem_Pedido!$H:$H,DRE!$A52)+SUMIFS(Aut_Ajustes_Manuais!$G:$G,Aut_Ajustes_Manuais!$I:$I,DRE!AL$4,Aut_Ajustes_Manuais!$F:$F,"Locação de Equipamentos Variável")</f>
        <v>0</v>
      </c>
      <c r="AO52" s="241">
        <v>0</v>
      </c>
      <c r="AP52" s="27">
        <v>0</v>
      </c>
      <c r="AQ52" s="28">
        <f>SUMIFS(Aut_BlueMe_Sem_Pedido!$J:$J,Aut_BlueMe_Sem_Pedido!$Q:$Q,DRE!AO$4,Aut_BlueMe_Sem_Pedido!$H:$H,DRE!$A52)+SUMIFS(Aut_Ajustes_Manuais!$G:$G,Aut_Ajustes_Manuais!$I:$I,DRE!AO$4,Aut_Ajustes_Manuais!$F:$F,"Locação de Equipamentos Variável")</f>
        <v>0</v>
      </c>
      <c r="AR52" s="241">
        <f t="shared" ca="1" si="43"/>
        <v>0</v>
      </c>
      <c r="AS52" s="27">
        <f t="shared" ca="1" si="44"/>
        <v>0</v>
      </c>
      <c r="AT52" s="28">
        <f t="shared" ca="1" si="45"/>
        <v>0</v>
      </c>
      <c r="AU52" s="241">
        <f t="shared" si="53"/>
        <v>0</v>
      </c>
      <c r="AV52" s="27">
        <f t="shared" si="53"/>
        <v>0</v>
      </c>
      <c r="AW52" s="28">
        <f t="shared" si="53"/>
        <v>0</v>
      </c>
      <c r="AX52" s="241">
        <f t="shared" si="54"/>
        <v>0</v>
      </c>
      <c r="AY52" s="27">
        <f t="shared" si="54"/>
        <v>0</v>
      </c>
      <c r="AZ52" s="28">
        <f t="shared" si="54"/>
        <v>0</v>
      </c>
      <c r="BA52" s="241">
        <f t="shared" si="55"/>
        <v>0</v>
      </c>
      <c r="BB52" s="27">
        <f t="shared" si="55"/>
        <v>0</v>
      </c>
      <c r="BC52" s="28">
        <f t="shared" si="55"/>
        <v>0</v>
      </c>
      <c r="BD52" s="241">
        <f t="shared" si="56"/>
        <v>0</v>
      </c>
      <c r="BE52" s="27">
        <f t="shared" si="56"/>
        <v>0</v>
      </c>
      <c r="BF52" s="28">
        <f t="shared" si="56"/>
        <v>0</v>
      </c>
      <c r="BG52" s="241">
        <f t="shared" si="57"/>
        <v>0</v>
      </c>
      <c r="BH52" s="27">
        <f t="shared" si="57"/>
        <v>0</v>
      </c>
      <c r="BI52" s="28">
        <f t="shared" si="57"/>
        <v>0</v>
      </c>
    </row>
    <row r="53" spans="1:61" collapsed="1" x14ac:dyDescent="0.3">
      <c r="A53" s="71" t="s">
        <v>70</v>
      </c>
      <c r="C53" s="24"/>
      <c r="D53" s="69"/>
      <c r="E53" s="69"/>
      <c r="F53" s="41"/>
      <c r="H53" s="245">
        <v>-1.7823648018312179</v>
      </c>
      <c r="I53" s="50">
        <v>-1.1200000000000001</v>
      </c>
      <c r="J53" s="51">
        <f>IFERROR(J42/J11,0)+SUMIFS(Aut_Ajustes_Manuais!$G:$G,Aut_Ajustes_Manuais!$I:$I,DRE!H$4,Aut_Ajustes_Manuais!$F:$F,"% sobre Receita Artístico")</f>
        <v>-1.032032258064516</v>
      </c>
      <c r="K53" s="245">
        <v>-2.7167208929911268</v>
      </c>
      <c r="L53" s="50">
        <v>-1.1200000000000001</v>
      </c>
      <c r="M53" s="51">
        <f>IFERROR(M42/M11,0)+SUMIFS(Aut_Ajustes_Manuais!$G:$G,Aut_Ajustes_Manuais!$I:$I,DRE!K$4,Aut_Ajustes_Manuais!$F:$F,"% sobre Receita Artístico")</f>
        <v>-0.86938176770013886</v>
      </c>
      <c r="N53" s="245">
        <v>-1.764080781961701</v>
      </c>
      <c r="O53" s="50">
        <v>-1.1200000000000001</v>
      </c>
      <c r="P53" s="51">
        <f>IFERROR(P42/P11,0)+SUMIFS(Aut_Ajustes_Manuais!$G:$G,Aut_Ajustes_Manuais!$I:$I,DRE!N$4,Aut_Ajustes_Manuais!$F:$F,"% sobre Receita Artístico")</f>
        <v>-1.5167405660377358</v>
      </c>
      <c r="Q53" s="245">
        <v>-1.9752908140411281</v>
      </c>
      <c r="R53" s="50">
        <v>-1.1200000000000001</v>
      </c>
      <c r="S53" s="51">
        <f>IFERROR(S42/S11,0)+SUMIFS(Aut_Ajustes_Manuais!$G:$G,Aut_Ajustes_Manuais!$I:$I,DRE!Q$4,Aut_Ajustes_Manuais!$F:$F,"% sobre Receita Artístico")</f>
        <v>-1.1166953184957791</v>
      </c>
      <c r="T53" s="245">
        <v>-1.986975417643031</v>
      </c>
      <c r="U53" s="50">
        <v>-1.1200000000000001</v>
      </c>
      <c r="V53" s="51">
        <f>IFERROR(V42/V11,0)+SUMIFS(Aut_Ajustes_Manuais!$G:$G,Aut_Ajustes_Manuais!$I:$I,DRE!T$4,Aut_Ajustes_Manuais!$F:$F,"% sobre Receita Artístico")</f>
        <v>-1.2603889739663094</v>
      </c>
      <c r="W53" s="245">
        <v>-2.9082849361355549</v>
      </c>
      <c r="X53" s="50">
        <v>-1.1200000000000001</v>
      </c>
      <c r="Y53" s="51">
        <f>IFERROR(Y42/Y11,0)+SUMIFS(Aut_Ajustes_Manuais!$G:$G,Aut_Ajustes_Manuais!$I:$I,DRE!W$4,Aut_Ajustes_Manuais!$F:$F,"% sobre Receita Artístico")</f>
        <v>-2.1290388219544845</v>
      </c>
      <c r="Z53" s="245">
        <v>-0.97060107251519789</v>
      </c>
      <c r="AA53" s="50">
        <v>-1.1200000000000001</v>
      </c>
      <c r="AB53" s="51">
        <f>IFERROR(AB42/AB11,0)+SUMIFS(Aut_Ajustes_Manuais!$G:$G,Aut_Ajustes_Manuais!$I:$I,DRE!Z$4,Aut_Ajustes_Manuais!$F:$F,"% sobre Receita Artístico")</f>
        <v>-7.7019607843137257</v>
      </c>
      <c r="AC53" s="245">
        <v>-0.99912561258658816</v>
      </c>
      <c r="AD53" s="50">
        <v>-1.1200000000000001</v>
      </c>
      <c r="AE53" s="51">
        <f>IFERROR(AE42/AE11,0)+SUMIFS(Aut_Ajustes_Manuais!$G:$G,Aut_Ajustes_Manuais!$I:$I,DRE!AC$4,Aut_Ajustes_Manuais!$F:$F,"% sobre Receita Artístico")</f>
        <v>0</v>
      </c>
      <c r="AF53" s="245">
        <v>-1.731405129383089</v>
      </c>
      <c r="AG53" s="50">
        <v>-1.1200000000000001</v>
      </c>
      <c r="AH53" s="51">
        <f>IFERROR(AH42/AH11,0)+SUMIFS(Aut_Ajustes_Manuais!$G:$G,Aut_Ajustes_Manuais!$I:$I,DRE!AF$4,Aut_Ajustes_Manuais!$F:$F,"% sobre Receita Artístico")</f>
        <v>0</v>
      </c>
      <c r="AI53" s="245">
        <v>-0.79313232496299368</v>
      </c>
      <c r="AJ53" s="50">
        <v>-1.1200000000000001</v>
      </c>
      <c r="AK53" s="51">
        <f>IFERROR(AK42/AK11,0)+SUMIFS(Aut_Ajustes_Manuais!$G:$G,Aut_Ajustes_Manuais!$I:$I,DRE!AI$4,Aut_Ajustes_Manuais!$F:$F,"% sobre Receita Artístico")</f>
        <v>0</v>
      </c>
      <c r="AL53" s="245">
        <v>-1.0839103608390659</v>
      </c>
      <c r="AM53" s="50">
        <v>-1.1200000000000001</v>
      </c>
      <c r="AN53" s="51">
        <f>IFERROR(AN42/AN11,0)+SUMIFS(Aut_Ajustes_Manuais!$G:$G,Aut_Ajustes_Manuais!$I:$I,DRE!AL$4,Aut_Ajustes_Manuais!$F:$F,"% sobre Receita Artístico")</f>
        <v>0</v>
      </c>
      <c r="AO53" s="245">
        <v>-1.233329961318802</v>
      </c>
      <c r="AP53" s="50">
        <v>-1.1200000000000001</v>
      </c>
      <c r="AQ53" s="51">
        <f>IFERROR(AQ42/AQ11,0)+SUMIFS(Aut_Ajustes_Manuais!$G:$G,Aut_Ajustes_Manuais!$I:$I,DRE!AO$4,Aut_Ajustes_Manuais!$F:$F,"% sobre Receita Artístico")</f>
        <v>0</v>
      </c>
      <c r="AR53" s="245">
        <f t="shared" ref="AR53:BI53" ca="1" si="58">IFERROR(AR42/AR11,0)</f>
        <v>-2.1415610278206296</v>
      </c>
      <c r="AS53" s="50">
        <f t="shared" ca="1" si="58"/>
        <v>-1.1199999999999999</v>
      </c>
      <c r="AT53" s="51">
        <f t="shared" ca="1" si="58"/>
        <v>-1.2147424435930183</v>
      </c>
      <c r="AU53" s="245">
        <f t="shared" si="58"/>
        <v>-1.5630067713725266</v>
      </c>
      <c r="AV53" s="50">
        <f t="shared" si="58"/>
        <v>-1.1200000000000001</v>
      </c>
      <c r="AW53" s="51">
        <f t="shared" si="58"/>
        <v>-1.8516869259859534</v>
      </c>
      <c r="AX53" s="245">
        <f t="shared" si="58"/>
        <v>-2.012694896411261</v>
      </c>
      <c r="AY53" s="50">
        <f t="shared" si="58"/>
        <v>-1.1199999999999999</v>
      </c>
      <c r="AZ53" s="51">
        <f t="shared" si="58"/>
        <v>-1.0481647250067734</v>
      </c>
      <c r="BA53" s="245">
        <f t="shared" si="58"/>
        <v>-2.2661383755064688</v>
      </c>
      <c r="BB53" s="50">
        <f t="shared" si="58"/>
        <v>-1.1199999999999999</v>
      </c>
      <c r="BC53" s="51">
        <f t="shared" si="58"/>
        <v>-1.3979481525625745</v>
      </c>
      <c r="BD53" s="245">
        <f t="shared" si="58"/>
        <v>-1.1815017589226362</v>
      </c>
      <c r="BE53" s="50">
        <f t="shared" si="58"/>
        <v>-1.1200000000000001</v>
      </c>
      <c r="BF53" s="51">
        <f t="shared" si="58"/>
        <v>-14.424649859943978</v>
      </c>
      <c r="BG53" s="245">
        <f t="shared" si="58"/>
        <v>-1.0716373522008831</v>
      </c>
      <c r="BH53" s="50">
        <f t="shared" si="58"/>
        <v>-1.1200000000000001</v>
      </c>
      <c r="BI53" s="51">
        <f t="shared" si="58"/>
        <v>0</v>
      </c>
    </row>
    <row r="54" spans="1:61" x14ac:dyDescent="0.3">
      <c r="A54" s="71" t="s">
        <v>44</v>
      </c>
      <c r="C54" s="24"/>
      <c r="D54" s="69"/>
      <c r="E54" s="69"/>
      <c r="F54" s="41"/>
      <c r="H54" s="253">
        <v>-2.858186958828202E-2</v>
      </c>
      <c r="I54" s="78">
        <v>-1.4111926716482681E-2</v>
      </c>
      <c r="J54" s="79">
        <f>IFERROR(J42/J8,0)+SUMIFS(Aut_Ajustes_Manuais!$G:$G,Aut_Ajustes_Manuais!$I:$I,DRE!H$4,Aut_Ajustes_Manuais!$F:$F,"% sobre Receita Bruta")</f>
        <v>-8.715403946440544E-3</v>
      </c>
      <c r="K54" s="253">
        <v>-4.0027960165331243E-2</v>
      </c>
      <c r="L54" s="78">
        <v>-1.2304947100394561E-2</v>
      </c>
      <c r="M54" s="79">
        <f>IFERROR(M42/M8,0)+SUMIFS(Aut_Ajustes_Manuais!$G:$G,Aut_Ajustes_Manuais!$I:$I,DRE!K$4,Aut_Ajustes_Manuais!$F:$F,"% sobre Receita Bruta")</f>
        <v>-2.2165440457568901E-2</v>
      </c>
      <c r="N54" s="253">
        <v>-3.5615768456477022E-2</v>
      </c>
      <c r="O54" s="78">
        <v>-1.31000141418222E-2</v>
      </c>
      <c r="P54" s="79">
        <f>IFERROR(P42/P8,0)+SUMIFS(Aut_Ajustes_Manuais!$G:$G,Aut_Ajustes_Manuais!$I:$I,DRE!N$4,Aut_Ajustes_Manuais!$F:$F,"% sobre Receita Bruta")</f>
        <v>-1.1408210786783337E-2</v>
      </c>
      <c r="Q54" s="253">
        <v>-2.9353273604293139E-2</v>
      </c>
      <c r="R54" s="78">
        <v>-1.173582588171972E-2</v>
      </c>
      <c r="S54" s="79">
        <f>IFERROR(S42/S8,0)+SUMIFS(Aut_Ajustes_Manuais!$G:$G,Aut_Ajustes_Manuais!$I:$I,DRE!Q$4,Aut_Ajustes_Manuais!$F:$F,"% sobre Receita Bruta")</f>
        <v>-1.6261627106855889E-2</v>
      </c>
      <c r="T54" s="253">
        <v>-3.3384999069681308E-2</v>
      </c>
      <c r="U54" s="78">
        <v>-1.452934272497876E-2</v>
      </c>
      <c r="V54" s="79">
        <f>IFERROR(V42/V8,0)+SUMIFS(Aut_Ajustes_Manuais!$G:$G,Aut_Ajustes_Manuais!$I:$I,DRE!T$4,Aut_Ajustes_Manuais!$F:$F,"% sobre Receita Bruta")</f>
        <v>-1.7848112289871557E-2</v>
      </c>
      <c r="W54" s="253">
        <v>-4.1788549418562443E-2</v>
      </c>
      <c r="X54" s="78">
        <v>-1.280595406989421E-2</v>
      </c>
      <c r="Y54" s="79">
        <f>IFERROR(Y42/Y8,0)+SUMIFS(Aut_Ajustes_Manuais!$G:$G,Aut_Ajustes_Manuais!$I:$I,DRE!W$4,Aut_Ajustes_Manuais!$F:$F,"% sobre Receita Bruta")</f>
        <v>-1.6911000161178465E-2</v>
      </c>
      <c r="Z54" s="253">
        <v>-1.35789611790255E-2</v>
      </c>
      <c r="AA54" s="78">
        <v>-9.8036203898673336E-3</v>
      </c>
      <c r="AB54" s="79">
        <f>IFERROR(AB42/AB8,0)+SUMIFS(Aut_Ajustes_Manuais!$G:$G,Aut_Ajustes_Manuais!$I:$I,DRE!Z$4,Aut_Ajustes_Manuais!$F:$F,"% sobre Receita Bruta")</f>
        <v>-9.101198401689746E-2</v>
      </c>
      <c r="AC54" s="253">
        <v>-1.7030646145397701E-2</v>
      </c>
      <c r="AD54" s="78">
        <v>-1.4644827075833059E-2</v>
      </c>
      <c r="AE54" s="79">
        <f>IFERROR(AE42/AE8,0)+SUMIFS(Aut_Ajustes_Manuais!$G:$G,Aut_Ajustes_Manuais!$I:$I,DRE!AC$4,Aut_Ajustes_Manuais!$F:$F,"% sobre Receita Bruta")</f>
        <v>-3.7037037037037037</v>
      </c>
      <c r="AF54" s="253">
        <v>-2.2529953209399291E-2</v>
      </c>
      <c r="AG54" s="78">
        <v>-1.1156808778219391E-2</v>
      </c>
      <c r="AH54" s="79">
        <f>IFERROR(AH42/AH8,0)+SUMIFS(Aut_Ajustes_Manuais!$G:$G,Aut_Ajustes_Manuais!$I:$I,DRE!AF$4,Aut_Ajustes_Manuais!$F:$F,"% sobre Receita Bruta")</f>
        <v>0</v>
      </c>
      <c r="AI54" s="253">
        <v>-1.281739960277283E-2</v>
      </c>
      <c r="AJ54" s="78">
        <v>-1.0561537133765359E-2</v>
      </c>
      <c r="AK54" s="79">
        <f>IFERROR(AK42/AK8,0)+SUMIFS(Aut_Ajustes_Manuais!$G:$G,Aut_Ajustes_Manuais!$I:$I,DRE!AI$4,Aut_Ajustes_Manuais!$F:$F,"% sobre Receita Bruta")</f>
        <v>0</v>
      </c>
      <c r="AL54" s="253">
        <v>-2.4742919837540969E-2</v>
      </c>
      <c r="AM54" s="78">
        <v>-1.206483447021111E-2</v>
      </c>
      <c r="AN54" s="79">
        <f>IFERROR(AN42/AN8,0)+SUMIFS(Aut_Ajustes_Manuais!$G:$G,Aut_Ajustes_Manuais!$I:$I,DRE!AL$4,Aut_Ajustes_Manuais!$F:$F,"% sobre Receita Bruta")</f>
        <v>0</v>
      </c>
      <c r="AO54" s="253">
        <v>-1.7099724794081509E-2</v>
      </c>
      <c r="AP54" s="78">
        <v>-6.3049495198768037E-3</v>
      </c>
      <c r="AQ54" s="79">
        <f>IFERROR(AQ42/AQ8,0)+SUMIFS(Aut_Ajustes_Manuais!$G:$G,Aut_Ajustes_Manuais!$I:$I,DRE!AO$4,Aut_Ajustes_Manuais!$F:$F,"% sobre Receita Bruta")</f>
        <v>0</v>
      </c>
      <c r="AR54" s="253">
        <f t="shared" ref="AR54:BI54" ca="1" si="59">IFERROR(AR42/AR8,0)</f>
        <v>-3.4854787099690747E-2</v>
      </c>
      <c r="AS54" s="78">
        <f t="shared" ca="1" si="59"/>
        <v>-1.3079750236218159E-2</v>
      </c>
      <c r="AT54" s="79">
        <f t="shared" ca="1" si="59"/>
        <v>-1.5451494261942646E-2</v>
      </c>
      <c r="AU54" s="253">
        <f t="shared" si="59"/>
        <v>-2.514246309099246E-2</v>
      </c>
      <c r="AV54" s="78">
        <f t="shared" si="59"/>
        <v>-1.1681682057767677E-2</v>
      </c>
      <c r="AW54" s="79">
        <f t="shared" si="59"/>
        <v>-2.3408743249754709E-2</v>
      </c>
      <c r="AX54" s="253">
        <f t="shared" si="59"/>
        <v>-3.4931619099563424E-2</v>
      </c>
      <c r="AY54" s="78">
        <f t="shared" si="59"/>
        <v>-1.314029891404267E-2</v>
      </c>
      <c r="AZ54" s="79">
        <f t="shared" si="59"/>
        <v>-1.3903384048895826E-2</v>
      </c>
      <c r="BA54" s="253">
        <f t="shared" si="59"/>
        <v>-3.4789088172650022E-2</v>
      </c>
      <c r="BB54" s="78">
        <f t="shared" si="59"/>
        <v>-1.302457218621104E-2</v>
      </c>
      <c r="BC54" s="79">
        <f t="shared" si="59"/>
        <v>-1.7013709770701938E-2</v>
      </c>
      <c r="BD54" s="253">
        <f t="shared" si="59"/>
        <v>-1.7424992717879669E-2</v>
      </c>
      <c r="BE54" s="78">
        <f t="shared" si="59"/>
        <v>-1.1854889644158623E-2</v>
      </c>
      <c r="BF54" s="79">
        <f t="shared" si="59"/>
        <v>-0.16687294629067068</v>
      </c>
      <c r="BG54" s="253">
        <f t="shared" si="59"/>
        <v>-1.8149307513426586E-2</v>
      </c>
      <c r="BH54" s="78">
        <f t="shared" si="59"/>
        <v>-9.340937170388152E-3</v>
      </c>
      <c r="BI54" s="79">
        <f t="shared" si="59"/>
        <v>0</v>
      </c>
    </row>
    <row r="55" spans="1:61" x14ac:dyDescent="0.3">
      <c r="A55" s="18"/>
      <c r="E55" s="16"/>
      <c r="F55" s="17"/>
      <c r="H55" s="247"/>
      <c r="I55" s="17"/>
      <c r="J55" s="57"/>
      <c r="K55" s="247"/>
      <c r="L55" s="17"/>
      <c r="M55" s="57"/>
      <c r="N55" s="247"/>
      <c r="O55" s="17"/>
      <c r="P55" s="57"/>
      <c r="Q55" s="247"/>
      <c r="R55" s="17"/>
      <c r="S55" s="57"/>
      <c r="T55" s="247"/>
      <c r="U55" s="17"/>
      <c r="V55" s="57"/>
      <c r="W55" s="247"/>
      <c r="X55" s="17"/>
      <c r="Y55" s="57"/>
      <c r="Z55" s="247"/>
      <c r="AA55" s="17"/>
      <c r="AB55" s="57"/>
      <c r="AC55" s="247"/>
      <c r="AD55" s="17"/>
      <c r="AE55" s="57"/>
      <c r="AF55" s="247"/>
      <c r="AG55" s="17"/>
      <c r="AH55" s="57"/>
      <c r="AI55" s="247"/>
      <c r="AJ55" s="17"/>
      <c r="AK55" s="57"/>
      <c r="AL55" s="247"/>
      <c r="AM55" s="17"/>
      <c r="AN55" s="57"/>
      <c r="AO55" s="247"/>
      <c r="AP55" s="17"/>
      <c r="AQ55" s="57"/>
      <c r="AR55" s="247"/>
      <c r="AS55" s="17"/>
      <c r="AT55" s="57"/>
      <c r="AU55" s="247"/>
      <c r="AV55" s="17"/>
      <c r="AW55" s="57"/>
      <c r="AX55" s="247"/>
      <c r="AY55" s="17"/>
      <c r="AZ55" s="57"/>
      <c r="BA55" s="247"/>
      <c r="BB55" s="17"/>
      <c r="BC55" s="57"/>
      <c r="BD55" s="247"/>
      <c r="BE55" s="17"/>
      <c r="BF55" s="57"/>
      <c r="BG55" s="247"/>
      <c r="BH55" s="17"/>
      <c r="BI55" s="57"/>
    </row>
    <row r="56" spans="1:61" x14ac:dyDescent="0.3">
      <c r="A56" s="39" t="s">
        <v>71</v>
      </c>
      <c r="C56" s="40" t="s">
        <v>35</v>
      </c>
      <c r="D56" s="40" t="s">
        <v>36</v>
      </c>
      <c r="E56" s="40" t="s">
        <v>37</v>
      </c>
      <c r="F56" s="41"/>
      <c r="H56" s="251">
        <v>-3783.41</v>
      </c>
      <c r="I56" s="67">
        <f>SUM(I57,I60,I65,I73,I77,I82)</f>
        <v>-4530.4337919999998</v>
      </c>
      <c r="J56" s="68">
        <f>SUM(J57,J60,J65,J73,J77,J82)+SUMIFS(Aut_Ajustes_Manuais!$G:$G,Aut_Ajustes_Manuais!$I:$I,DRE!H$4,Aut_Ajustes_Manuais!$F:$F,"(-) Custos Eventos")</f>
        <v>-2451.65</v>
      </c>
      <c r="K56" s="251">
        <v>-5329.58</v>
      </c>
      <c r="L56" s="67">
        <f>SUM(L57,L60,L65,L73,L77,L82)</f>
        <v>-5277.6299200000003</v>
      </c>
      <c r="M56" s="68">
        <f>SUM(M57,M60,M65,M73,M77,M82)+SUMIFS(Aut_Ajustes_Manuais!$G:$G,Aut_Ajustes_Manuais!$I:$I,DRE!K$4,Aut_Ajustes_Manuais!$F:$F,"(-) Custos Eventos")</f>
        <v>-2134.7399999999998</v>
      </c>
      <c r="N56" s="251">
        <v>-4622.37</v>
      </c>
      <c r="O56" s="67">
        <f>SUM(O57,O60,O65,O73,O77,O82)</f>
        <v>-5164.8447999999999</v>
      </c>
      <c r="P56" s="68">
        <f>SUM(P57,P60,P65,P73,P77,P82)+SUMIFS(Aut_Ajustes_Manuais!$G:$G,Aut_Ajustes_Manuais!$I:$I,DRE!N$4,Aut_Ajustes_Manuais!$F:$F,"(-) Custos Eventos")</f>
        <v>-2609.66</v>
      </c>
      <c r="Q56" s="251">
        <v>-5388.17</v>
      </c>
      <c r="R56" s="67">
        <f>SUM(R57,R60,R65,R73,R77,R82)</f>
        <v>-6060.1796320000003</v>
      </c>
      <c r="S56" s="68">
        <f>SUM(S57,S60,S65,S73,S77,S82)+SUMIFS(Aut_Ajustes_Manuais!$G:$G,Aut_Ajustes_Manuais!$I:$I,DRE!Q$4,Aut_Ajustes_Manuais!$F:$F,"(-) Custos Eventos")</f>
        <v>-2281.37</v>
      </c>
      <c r="T56" s="251">
        <v>-4481.08</v>
      </c>
      <c r="U56" s="67">
        <f>SUM(U57,U60,U65,U73,U77,U82)</f>
        <v>-4690.4799999999996</v>
      </c>
      <c r="V56" s="68">
        <f>SUM(V57,V60,V65,V73,V77,V82)+SUMIFS(Aut_Ajustes_Manuais!$G:$G,Aut_Ajustes_Manuais!$I:$I,DRE!T$4,Aut_Ajustes_Manuais!$F:$F,"(-) Custos Eventos")</f>
        <v>-2471.25</v>
      </c>
      <c r="W56" s="251">
        <v>-4719.37</v>
      </c>
      <c r="X56" s="67">
        <f>SUM(X57,X60,X65,X73,X77,X82)</f>
        <v>-5194.4799999999996</v>
      </c>
      <c r="Y56" s="68">
        <f>SUM(Y57,Y60,Y65,Y73,Y77,Y82)+SUMIFS(Aut_Ajustes_Manuais!$G:$G,Aut_Ajustes_Manuais!$I:$I,DRE!W$4,Aut_Ajustes_Manuais!$F:$F,"(-) Custos Eventos")</f>
        <v>-2000</v>
      </c>
      <c r="Z56" s="251">
        <v>-4047.86</v>
      </c>
      <c r="AA56" s="67">
        <f>SUM(AA57,AA60,AA65,AA73,AA77,AA82)</f>
        <v>-6955.3410880000001</v>
      </c>
      <c r="AB56" s="68">
        <f>SUM(AB57,AB60,AB65,AB73,AB77,AB82)+SUMIFS(Aut_Ajustes_Manuais!$G:$G,Aut_Ajustes_Manuais!$I:$I,DRE!Z$4,Aut_Ajustes_Manuais!$F:$F,"(-) Custos Eventos")</f>
        <v>-2000</v>
      </c>
      <c r="AC56" s="251">
        <v>-2237.23</v>
      </c>
      <c r="AD56" s="67">
        <f>SUM(AD57,AD60,AD65,AD73,AD77,AD82)</f>
        <v>-4529.2</v>
      </c>
      <c r="AE56" s="68">
        <f>SUM(AE57,AE60,AE65,AE73,AE77,AE82)+SUMIFS(Aut_Ajustes_Manuais!$G:$G,Aut_Ajustes_Manuais!$I:$I,DRE!AC$4,Aut_Ajustes_Manuais!$F:$F,"(-) Custos Eventos")</f>
        <v>-2000</v>
      </c>
      <c r="AF56" s="251">
        <v>-2982.91</v>
      </c>
      <c r="AG56" s="67">
        <f>SUM(AG57,AG60,AG65,AG73,AG77,AG82)</f>
        <v>-5792.0929599999999</v>
      </c>
      <c r="AH56" s="68">
        <f>SUM(AH57,AH60,AH65,AH73,AH77,AH82)+SUMIFS(Aut_Ajustes_Manuais!$G:$G,Aut_Ajustes_Manuais!$I:$I,DRE!AF$4,Aut_Ajustes_Manuais!$F:$F,"(-) Custos Eventos")</f>
        <v>-2000</v>
      </c>
      <c r="AI56" s="251">
        <v>-3060.64</v>
      </c>
      <c r="AJ56" s="67">
        <f>SUM(AJ57,AJ60,AJ65,AJ73,AJ77,AJ82)</f>
        <v>-7194.6040000000003</v>
      </c>
      <c r="AK56" s="68">
        <f>SUM(AK57,AK60,AK65,AK73,AK77,AK82)+SUMIFS(Aut_Ajustes_Manuais!$G:$G,Aut_Ajustes_Manuais!$I:$I,DRE!AI$4,Aut_Ajustes_Manuais!$F:$F,"(-) Custos Eventos")</f>
        <v>-2000</v>
      </c>
      <c r="AL56" s="251">
        <v>-3930.22</v>
      </c>
      <c r="AM56" s="67">
        <f>SUM(AM57,AM60,AM65,AM73,AM77,AM82)</f>
        <v>-7373.2038545984451</v>
      </c>
      <c r="AN56" s="68">
        <f>SUM(AN57,AN60,AN65,AN73,AN77,AN82)+SUMIFS(Aut_Ajustes_Manuais!$G:$G,Aut_Ajustes_Manuais!$I:$I,DRE!AL$4,Aut_Ajustes_Manuais!$F:$F,"(-) Custos Eventos")</f>
        <v>-2000</v>
      </c>
      <c r="AO56" s="251">
        <v>-4185.37</v>
      </c>
      <c r="AP56" s="67">
        <f>SUM(AP57,AP60,AP65,AP73,AP77,AP82)</f>
        <v>-12366.4</v>
      </c>
      <c r="AQ56" s="68">
        <f>SUM(AQ57,AQ60,AQ65,AQ73,AQ77,AQ82)+SUMIFS(Aut_Ajustes_Manuais!$G:$G,Aut_Ajustes_Manuais!$I:$I,DRE!AO$4,Aut_Ajustes_Manuais!$F:$F,"(-) Custos Eventos")</f>
        <v>-2000</v>
      </c>
      <c r="AR56" s="251">
        <f t="shared" ref="AR56:BI56" ca="1" si="60">SUM(AR57,AR60,AR65,AR73,AR77,AR82)</f>
        <v>-28323.98</v>
      </c>
      <c r="AS56" s="67">
        <f t="shared" ca="1" si="60"/>
        <v>-30918.048144</v>
      </c>
      <c r="AT56" s="68">
        <f t="shared" ca="1" si="60"/>
        <v>-13948.669999999998</v>
      </c>
      <c r="AU56" s="251">
        <f t="shared" si="60"/>
        <v>-48768.21</v>
      </c>
      <c r="AV56" s="67">
        <f t="shared" si="60"/>
        <v>-75128.890046598448</v>
      </c>
      <c r="AW56" s="68">
        <f t="shared" si="60"/>
        <v>-25948.67</v>
      </c>
      <c r="AX56" s="251">
        <f t="shared" si="60"/>
        <v>-13735.36</v>
      </c>
      <c r="AY56" s="67">
        <f t="shared" si="60"/>
        <v>-14972.908512000002</v>
      </c>
      <c r="AZ56" s="68">
        <f t="shared" si="60"/>
        <v>-7196.05</v>
      </c>
      <c r="BA56" s="251">
        <f t="shared" si="60"/>
        <v>-14588.619999999999</v>
      </c>
      <c r="BB56" s="67">
        <f t="shared" si="60"/>
        <v>-15945.139632</v>
      </c>
      <c r="BC56" s="68">
        <f t="shared" si="60"/>
        <v>-6752.62</v>
      </c>
      <c r="BD56" s="251">
        <f t="shared" si="60"/>
        <v>-9268</v>
      </c>
      <c r="BE56" s="67">
        <f t="shared" si="60"/>
        <v>-17276.634048</v>
      </c>
      <c r="BF56" s="68">
        <f t="shared" si="60"/>
        <v>-6000</v>
      </c>
      <c r="BG56" s="251">
        <f t="shared" si="60"/>
        <v>-11176.23</v>
      </c>
      <c r="BH56" s="67">
        <f t="shared" si="60"/>
        <v>-26934.207854598448</v>
      </c>
      <c r="BI56" s="68">
        <f t="shared" si="60"/>
        <v>-6000</v>
      </c>
    </row>
    <row r="57" spans="1:61" hidden="1" outlineLevel="1" x14ac:dyDescent="0.3">
      <c r="A57" s="73" t="s">
        <v>72</v>
      </c>
      <c r="C57" s="24"/>
      <c r="D57" s="69"/>
      <c r="E57" s="80"/>
      <c r="F57" s="41"/>
      <c r="H57" s="252">
        <v>-3783.41</v>
      </c>
      <c r="I57" s="74">
        <v>-4221.0140799999999</v>
      </c>
      <c r="J57" s="76">
        <f>SUM(J58:J59)+SUMIFS(Aut_Ajustes_Manuais!$G:$G,Aut_Ajustes_Manuais!$I:$I,DRE!H$4,Aut_Ajustes_Manuais!$F:$F,"MDO")</f>
        <v>-2451.65</v>
      </c>
      <c r="K57" s="252">
        <v>-4329.58</v>
      </c>
      <c r="L57" s="74">
        <v>-4532.3458000000001</v>
      </c>
      <c r="M57" s="76">
        <f>SUM(M58:M59)+SUMIFS(Aut_Ajustes_Manuais!$G:$G,Aut_Ajustes_Manuais!$I:$I,DRE!K$4,Aut_Ajustes_Manuais!$F:$F,"MDO")</f>
        <v>-2134.7399999999998</v>
      </c>
      <c r="N57" s="252">
        <v>-4622.37</v>
      </c>
      <c r="O57" s="74">
        <v>-4485.3519999999999</v>
      </c>
      <c r="P57" s="76">
        <f>SUM(P58:P59)+SUMIFS(Aut_Ajustes_Manuais!$G:$G,Aut_Ajustes_Manuais!$I:$I,DRE!N$4,Aut_Ajustes_Manuais!$F:$F,"MDO")</f>
        <v>-2609.66</v>
      </c>
      <c r="Q57" s="252">
        <v>-5388.17</v>
      </c>
      <c r="R57" s="74">
        <v>-4858.4081800000004</v>
      </c>
      <c r="S57" s="76">
        <f>SUM(S58:S59)+SUMIFS(Aut_Ajustes_Manuais!$G:$G,Aut_Ajustes_Manuais!$I:$I,DRE!Q$4,Aut_Ajustes_Manuais!$F:$F,"MDO")</f>
        <v>-2281.37</v>
      </c>
      <c r="T57" s="252">
        <v>-4481.08</v>
      </c>
      <c r="U57" s="74">
        <v>-4287.7</v>
      </c>
      <c r="V57" s="76">
        <f>SUM(V58:V59)+SUMIFS(Aut_Ajustes_Manuais!$G:$G,Aut_Ajustes_Manuais!$I:$I,DRE!T$4,Aut_Ajustes_Manuais!$F:$F,"MDO")</f>
        <v>-2471.25</v>
      </c>
      <c r="W57" s="252">
        <v>-4719.37</v>
      </c>
      <c r="X57" s="74">
        <v>-4497.7</v>
      </c>
      <c r="Y57" s="76">
        <f>SUM(Y58:Y59)+SUMIFS(Aut_Ajustes_Manuais!$G:$G,Aut_Ajustes_Manuais!$I:$I,DRE!W$4,Aut_Ajustes_Manuais!$F:$F,"MDO")</f>
        <v>-2000</v>
      </c>
      <c r="Z57" s="252">
        <v>-4047.86</v>
      </c>
      <c r="AA57" s="74">
        <v>-5231.3921200000004</v>
      </c>
      <c r="AB57" s="76">
        <f>SUM(AB58:AB59)+SUMIFS(Aut_Ajustes_Manuais!$G:$G,Aut_Ajustes_Manuais!$I:$I,DRE!Z$4,Aut_Ajustes_Manuais!$F:$F,"MDO")</f>
        <v>-2000</v>
      </c>
      <c r="AC57" s="252">
        <v>-2237.23</v>
      </c>
      <c r="AD57" s="74">
        <v>-4220.5</v>
      </c>
      <c r="AE57" s="76">
        <f>SUM(AE58:AE59)+SUMIFS(Aut_Ajustes_Manuais!$G:$G,Aut_Ajustes_Manuais!$I:$I,DRE!AC$4,Aut_Ajustes_Manuais!$F:$F,"MDO")</f>
        <v>-2000</v>
      </c>
      <c r="AF57" s="252">
        <v>-2982.91</v>
      </c>
      <c r="AG57" s="74">
        <v>-4746.7053999999998</v>
      </c>
      <c r="AH57" s="76">
        <f>SUM(AH58:AH59)+SUMIFS(Aut_Ajustes_Manuais!$G:$G,Aut_Ajustes_Manuais!$I:$I,DRE!AF$4,Aut_Ajustes_Manuais!$F:$F,"MDO")</f>
        <v>-2000</v>
      </c>
      <c r="AI57" s="252">
        <v>-3060.64</v>
      </c>
      <c r="AJ57" s="74">
        <v>-5331.085</v>
      </c>
      <c r="AK57" s="76">
        <f>SUM(AK58:AK59)+SUMIFS(Aut_Ajustes_Manuais!$G:$G,Aut_Ajustes_Manuais!$I:$I,DRE!AI$4,Aut_Ajustes_Manuais!$F:$F,"MDO")</f>
        <v>-2000</v>
      </c>
      <c r="AL57" s="252">
        <v>-3930.22</v>
      </c>
      <c r="AM57" s="74">
        <v>-5405.5016060826856</v>
      </c>
      <c r="AN57" s="76">
        <f>SUM(AN58:AN59)+SUMIFS(Aut_Ajustes_Manuais!$G:$G,Aut_Ajustes_Manuais!$I:$I,DRE!AL$4,Aut_Ajustes_Manuais!$F:$F,"MDO")</f>
        <v>-2000</v>
      </c>
      <c r="AO57" s="252">
        <v>-4185.37</v>
      </c>
      <c r="AP57" s="74">
        <v>-7486</v>
      </c>
      <c r="AQ57" s="76">
        <f>SUM(AQ58:AQ59)+SUMIFS(Aut_Ajustes_Manuais!$G:$G,Aut_Ajustes_Manuais!$I:$I,DRE!AO$4,Aut_Ajustes_Manuais!$F:$F,"MDO")</f>
        <v>-2000</v>
      </c>
      <c r="AR57" s="252">
        <f t="shared" ref="AR57:AR84" ca="1" si="61">SUMIFS($H57:$AO57,$H$5:$AO$5,"&lt;"&amp;MONTH(TODAY()),$H$6:$AO$6,"REAL 25")</f>
        <v>-27323.98</v>
      </c>
      <c r="AS57" s="74">
        <f t="shared" ref="AS57:AS84" ca="1" si="62">SUMIFS($I57:$AP57,$I$5:$AP$5,"&lt;"&amp;MONTH(TODAY()),$I$6:$AP$6,"ORÇADO ")</f>
        <v>-26882.520060000003</v>
      </c>
      <c r="AT57" s="76">
        <f t="shared" ref="AT57:AT84" ca="1" si="63">SUMIFS($J57:$AQ57,$J$5:$AQ$5,"&lt;"&amp;MONTH(TODAY()),$J$6:$AQ$6,"REAL 26")</f>
        <v>-13948.669999999998</v>
      </c>
      <c r="AU57" s="252">
        <f t="shared" ref="AU57:BI57" si="64">SUM(AU58:AU59)</f>
        <v>-47768.21</v>
      </c>
      <c r="AV57" s="74">
        <f t="shared" si="64"/>
        <v>-59303.704186082687</v>
      </c>
      <c r="AW57" s="76">
        <f t="shared" si="64"/>
        <v>-25948.67</v>
      </c>
      <c r="AX57" s="252">
        <f t="shared" si="64"/>
        <v>-12735.36</v>
      </c>
      <c r="AY57" s="74">
        <f t="shared" si="64"/>
        <v>-13238.711880000001</v>
      </c>
      <c r="AZ57" s="76">
        <f t="shared" si="64"/>
        <v>-7196.05</v>
      </c>
      <c r="BA57" s="252">
        <f t="shared" si="64"/>
        <v>-14588.619999999999</v>
      </c>
      <c r="BB57" s="74">
        <f t="shared" si="64"/>
        <v>-13643.80818</v>
      </c>
      <c r="BC57" s="76">
        <f t="shared" si="64"/>
        <v>-6752.62</v>
      </c>
      <c r="BD57" s="252">
        <f t="shared" si="64"/>
        <v>-9268</v>
      </c>
      <c r="BE57" s="74">
        <f t="shared" si="64"/>
        <v>-14198.597519999999</v>
      </c>
      <c r="BF57" s="76">
        <f t="shared" si="64"/>
        <v>-6000</v>
      </c>
      <c r="BG57" s="252">
        <f t="shared" si="64"/>
        <v>-11176.23</v>
      </c>
      <c r="BH57" s="74">
        <f t="shared" si="64"/>
        <v>-18222.586606082685</v>
      </c>
      <c r="BI57" s="76">
        <f t="shared" si="64"/>
        <v>-6000</v>
      </c>
    </row>
    <row r="58" spans="1:61" s="29" customFormat="1" hidden="1" outlineLevel="1" x14ac:dyDescent="0.3">
      <c r="A58" s="22" t="s">
        <v>73</v>
      </c>
      <c r="B58" s="2"/>
      <c r="C58" s="24" t="s">
        <v>74</v>
      </c>
      <c r="D58" s="69"/>
      <c r="E58" s="80"/>
      <c r="F58" s="41"/>
      <c r="G58" s="23"/>
      <c r="H58" s="241">
        <v>-3500</v>
      </c>
      <c r="I58" s="27">
        <v>-4000</v>
      </c>
      <c r="J58" s="28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>-2000</v>
      </c>
      <c r="K58" s="241">
        <v>-3500</v>
      </c>
      <c r="L58" s="27">
        <v>-4000</v>
      </c>
      <c r="M58" s="28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>-2000</v>
      </c>
      <c r="N58" s="241">
        <v>-4000</v>
      </c>
      <c r="O58" s="27">
        <v>-4000</v>
      </c>
      <c r="P58" s="28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>-2000</v>
      </c>
      <c r="Q58" s="241">
        <v>-4000</v>
      </c>
      <c r="R58" s="27">
        <v>-4000</v>
      </c>
      <c r="S58" s="28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>-2000</v>
      </c>
      <c r="T58" s="241">
        <v>-4000</v>
      </c>
      <c r="U58" s="27">
        <v>-4000</v>
      </c>
      <c r="V58" s="28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>-2000</v>
      </c>
      <c r="W58" s="241">
        <v>-4000</v>
      </c>
      <c r="X58" s="27">
        <v>-4000</v>
      </c>
      <c r="Y58" s="28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>-2000</v>
      </c>
      <c r="Z58" s="241">
        <v>-2000</v>
      </c>
      <c r="AA58" s="27">
        <v>-4000</v>
      </c>
      <c r="AB58" s="28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>-2000</v>
      </c>
      <c r="AC58" s="241">
        <v>-2000</v>
      </c>
      <c r="AD58" s="27">
        <v>-4000</v>
      </c>
      <c r="AE58" s="28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>-2000</v>
      </c>
      <c r="AF58" s="241">
        <v>-2000</v>
      </c>
      <c r="AG58" s="27">
        <v>-4000</v>
      </c>
      <c r="AH58" s="28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>-2000</v>
      </c>
      <c r="AI58" s="241">
        <v>-2000</v>
      </c>
      <c r="AJ58" s="27">
        <v>-4000</v>
      </c>
      <c r="AK58" s="28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>-2000</v>
      </c>
      <c r="AL58" s="241">
        <v>-2000</v>
      </c>
      <c r="AM58" s="27">
        <v>-4000</v>
      </c>
      <c r="AN58" s="28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>-2000</v>
      </c>
      <c r="AO58" s="241">
        <v>-2000</v>
      </c>
      <c r="AP58" s="27">
        <v>-4000</v>
      </c>
      <c r="AQ58" s="28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>-2000</v>
      </c>
      <c r="AR58" s="241">
        <f t="shared" ca="1" si="61"/>
        <v>-23000</v>
      </c>
      <c r="AS58" s="27">
        <f t="shared" ca="1" si="62"/>
        <v>-24000</v>
      </c>
      <c r="AT58" s="28">
        <f t="shared" ca="1" si="63"/>
        <v>-12000</v>
      </c>
      <c r="AU58" s="241">
        <f t="shared" ref="AU58:AW59" si="65">SUM(H58,K58,N58,Q58,T58,W58,Z58,AC58,AF58,AI58,AL58,AO58)</f>
        <v>-35000</v>
      </c>
      <c r="AV58" s="27">
        <f t="shared" si="65"/>
        <v>-48000</v>
      </c>
      <c r="AW58" s="28">
        <f t="shared" si="65"/>
        <v>-24000</v>
      </c>
      <c r="AX58" s="241">
        <f t="shared" ref="AX58:AZ59" si="66">SUM(H58,K58,N58)</f>
        <v>-11000</v>
      </c>
      <c r="AY58" s="27">
        <f t="shared" si="66"/>
        <v>-12000</v>
      </c>
      <c r="AZ58" s="28">
        <f t="shared" si="66"/>
        <v>-6000</v>
      </c>
      <c r="BA58" s="241">
        <f t="shared" ref="BA58:BC59" si="67">SUM(Q58,T58,W58)</f>
        <v>-12000</v>
      </c>
      <c r="BB58" s="27">
        <f t="shared" si="67"/>
        <v>-12000</v>
      </c>
      <c r="BC58" s="28">
        <f t="shared" si="67"/>
        <v>-6000</v>
      </c>
      <c r="BD58" s="241">
        <f t="shared" ref="BD58:BF59" si="68">SUM(Z58,AC58,AF58)</f>
        <v>-6000</v>
      </c>
      <c r="BE58" s="27">
        <f t="shared" si="68"/>
        <v>-12000</v>
      </c>
      <c r="BF58" s="28">
        <f t="shared" si="68"/>
        <v>-6000</v>
      </c>
      <c r="BG58" s="241">
        <f t="shared" ref="BG58:BI59" si="69">SUM(AI58,AL58,AO58)</f>
        <v>-6000</v>
      </c>
      <c r="BH58" s="27">
        <f t="shared" si="69"/>
        <v>-12000</v>
      </c>
      <c r="BI58" s="28">
        <f t="shared" si="69"/>
        <v>-6000</v>
      </c>
    </row>
    <row r="59" spans="1:61" s="29" customFormat="1" hidden="1" outlineLevel="1" x14ac:dyDescent="0.3">
      <c r="A59" s="22" t="s">
        <v>75</v>
      </c>
      <c r="B59" s="2"/>
      <c r="C59" s="24"/>
      <c r="D59" s="69" t="s">
        <v>76</v>
      </c>
      <c r="E59" s="80">
        <v>-0.02</v>
      </c>
      <c r="F59" s="41"/>
      <c r="G59" s="23"/>
      <c r="H59" s="241">
        <v>-283.41000000000003</v>
      </c>
      <c r="I59" s="81">
        <v>-221.01408000000001</v>
      </c>
      <c r="J59" s="82">
        <f>SUMIFS(Aut_BlueMe_Sem_Pedido!$J:$J,Aut_BlueMe_Sem_Pedido!$Q:$Q,DRE!H$4,Aut_BlueMe_Sem_Pedido!$H:$H,DRE!$A59)+SUMIFS(Aut_Ajustes_Manuais!$G:$G,Aut_Ajustes_Manuais!$I:$I,DRE!H$4,Aut_Ajustes_Manuais!$F:$F,"Comissões de Vendas - Eventos")</f>
        <v>-451.65</v>
      </c>
      <c r="K59" s="254">
        <v>-829.58</v>
      </c>
      <c r="L59" s="81">
        <v>-532.34580000000005</v>
      </c>
      <c r="M59" s="82">
        <f>SUMIFS(Aut_BlueMe_Sem_Pedido!$J:$J,Aut_BlueMe_Sem_Pedido!$Q:$Q,DRE!K$4,Aut_BlueMe_Sem_Pedido!$H:$H,DRE!$A59)+SUMIFS(Aut_Ajustes_Manuais!$G:$G,Aut_Ajustes_Manuais!$I:$I,DRE!K$4,Aut_Ajustes_Manuais!$F:$F,"Comissões de Vendas - Eventos")</f>
        <v>-134.74</v>
      </c>
      <c r="N59" s="254">
        <v>-622.37</v>
      </c>
      <c r="O59" s="81">
        <v>-485.35199999999998</v>
      </c>
      <c r="P59" s="82">
        <f>SUMIFS(Aut_BlueMe_Sem_Pedido!$J:$J,Aut_BlueMe_Sem_Pedido!$Q:$Q,DRE!N$4,Aut_BlueMe_Sem_Pedido!$H:$H,DRE!$A59)+SUMIFS(Aut_Ajustes_Manuais!$G:$G,Aut_Ajustes_Manuais!$I:$I,DRE!N$4,Aut_Ajustes_Manuais!$F:$F,"Comissões de Vendas - Eventos")</f>
        <v>-609.66</v>
      </c>
      <c r="Q59" s="241">
        <v>-1388.17</v>
      </c>
      <c r="R59" s="81">
        <v>-858.40818000000002</v>
      </c>
      <c r="S59" s="82">
        <f>SUMIFS(Aut_BlueMe_Sem_Pedido!$J:$J,Aut_BlueMe_Sem_Pedido!$Q:$Q,DRE!Q$4,Aut_BlueMe_Sem_Pedido!$H:$H,DRE!$A59)+SUMIFS(Aut_Ajustes_Manuais!$G:$G,Aut_Ajustes_Manuais!$I:$I,DRE!Q$4,Aut_Ajustes_Manuais!$F:$F,"Comissões de Vendas - Eventos")</f>
        <v>-281.37</v>
      </c>
      <c r="T59" s="241">
        <v>-481.08</v>
      </c>
      <c r="U59" s="81">
        <v>-287.7</v>
      </c>
      <c r="V59" s="82">
        <f>SUMIFS(Aut_BlueMe_Sem_Pedido!$J:$J,Aut_BlueMe_Sem_Pedido!$Q:$Q,DRE!T$4,Aut_BlueMe_Sem_Pedido!$H:$H,DRE!$A59)+SUMIFS(Aut_Ajustes_Manuais!$G:$G,Aut_Ajustes_Manuais!$I:$I,DRE!T$4,Aut_Ajustes_Manuais!$F:$F,"Comissões de Vendas - Eventos")</f>
        <v>-471.25</v>
      </c>
      <c r="W59" s="241">
        <v>-719.37</v>
      </c>
      <c r="X59" s="81">
        <v>-497.7</v>
      </c>
      <c r="Y59" s="82">
        <f>SUMIFS(Aut_BlueMe_Sem_Pedido!$J:$J,Aut_BlueMe_Sem_Pedido!$Q:$Q,DRE!W$4,Aut_BlueMe_Sem_Pedido!$H:$H,DRE!$A59)+SUMIFS(Aut_Ajustes_Manuais!$G:$G,Aut_Ajustes_Manuais!$I:$I,DRE!W$4,Aut_Ajustes_Manuais!$F:$F,"Comissões de Vendas - Eventos")</f>
        <v>0</v>
      </c>
      <c r="Z59" s="241">
        <v>-2047.86</v>
      </c>
      <c r="AA59" s="81">
        <v>-1231.39212</v>
      </c>
      <c r="AB59" s="82">
        <f>SUMIFS(Aut_BlueMe_Sem_Pedido!$J:$J,Aut_BlueMe_Sem_Pedido!$Q:$Q,DRE!Z$4,Aut_BlueMe_Sem_Pedido!$H:$H,DRE!$A59)+SUMIFS(Aut_Ajustes_Manuais!$G:$G,Aut_Ajustes_Manuais!$I:$I,DRE!Z$4,Aut_Ajustes_Manuais!$F:$F,"Comissões de Vendas - Eventos")</f>
        <v>0</v>
      </c>
      <c r="AC59" s="241">
        <v>-237.23</v>
      </c>
      <c r="AD59" s="81">
        <v>-220.5</v>
      </c>
      <c r="AE59" s="82">
        <f>SUMIFS(Aut_BlueMe_Sem_Pedido!$J:$J,Aut_BlueMe_Sem_Pedido!$Q:$Q,DRE!AC$4,Aut_BlueMe_Sem_Pedido!$H:$H,DRE!$A59)+SUMIFS(Aut_Ajustes_Manuais!$G:$G,Aut_Ajustes_Manuais!$I:$I,DRE!AC$4,Aut_Ajustes_Manuais!$F:$F,"Comissões de Vendas - Eventos")</f>
        <v>0</v>
      </c>
      <c r="AF59" s="241">
        <v>-982.91</v>
      </c>
      <c r="AG59" s="81">
        <v>-746.70539999999994</v>
      </c>
      <c r="AH59" s="82">
        <f>SUMIFS(Aut_BlueMe_Sem_Pedido!$J:$J,Aut_BlueMe_Sem_Pedido!$Q:$Q,DRE!AF$4,Aut_BlueMe_Sem_Pedido!$H:$H,DRE!$A59)+SUMIFS(Aut_Ajustes_Manuais!$G:$G,Aut_Ajustes_Manuais!$I:$I,DRE!AF$4,Aut_Ajustes_Manuais!$F:$F,"Comissões de Vendas - Eventos")</f>
        <v>0</v>
      </c>
      <c r="AI59" s="241">
        <v>-1060.6400000000001</v>
      </c>
      <c r="AJ59" s="81">
        <v>-1331.085</v>
      </c>
      <c r="AK59" s="82">
        <f>SUMIFS(Aut_BlueMe_Sem_Pedido!$J:$J,Aut_BlueMe_Sem_Pedido!$Q:$Q,DRE!AI$4,Aut_BlueMe_Sem_Pedido!$H:$H,DRE!$A59)+SUMIFS(Aut_Ajustes_Manuais!$G:$G,Aut_Ajustes_Manuais!$I:$I,DRE!AI$4,Aut_Ajustes_Manuais!$F:$F,"Comissões de Vendas - Eventos")</f>
        <v>0</v>
      </c>
      <c r="AL59" s="241">
        <v>-1930.22</v>
      </c>
      <c r="AM59" s="81">
        <v>-1405.5016060826849</v>
      </c>
      <c r="AN59" s="82">
        <f>SUMIFS(Aut_BlueMe_Sem_Pedido!$J:$J,Aut_BlueMe_Sem_Pedido!$Q:$Q,DRE!AL$4,Aut_BlueMe_Sem_Pedido!$H:$H,DRE!$A59)+SUMIFS(Aut_Ajustes_Manuais!$G:$G,Aut_Ajustes_Manuais!$I:$I,DRE!AL$4,Aut_Ajustes_Manuais!$F:$F,"Comissões de Vendas - Eventos")</f>
        <v>0</v>
      </c>
      <c r="AO59" s="241">
        <v>-2185.37</v>
      </c>
      <c r="AP59" s="81">
        <v>-3486</v>
      </c>
      <c r="AQ59" s="82">
        <f>SUMIFS(Aut_BlueMe_Sem_Pedido!$J:$J,Aut_BlueMe_Sem_Pedido!$Q:$Q,DRE!AO$4,Aut_BlueMe_Sem_Pedido!$H:$H,DRE!$A59)+SUMIFS(Aut_Ajustes_Manuais!$G:$G,Aut_Ajustes_Manuais!$I:$I,DRE!AO$4,Aut_Ajustes_Manuais!$F:$F,"Comissões de Vendas - Eventos")</f>
        <v>0</v>
      </c>
      <c r="AR59" s="241">
        <f t="shared" ca="1" si="61"/>
        <v>-4323.9800000000005</v>
      </c>
      <c r="AS59" s="27">
        <f t="shared" ca="1" si="62"/>
        <v>-2882.5200599999998</v>
      </c>
      <c r="AT59" s="28">
        <f t="shared" ca="1" si="63"/>
        <v>-1948.67</v>
      </c>
      <c r="AU59" s="241">
        <f t="shared" si="65"/>
        <v>-12768.21</v>
      </c>
      <c r="AV59" s="81">
        <f t="shared" si="65"/>
        <v>-11303.704186082683</v>
      </c>
      <c r="AW59" s="82">
        <f t="shared" si="65"/>
        <v>-1948.67</v>
      </c>
      <c r="AX59" s="241">
        <f t="shared" si="66"/>
        <v>-1735.3600000000001</v>
      </c>
      <c r="AY59" s="81">
        <f t="shared" si="66"/>
        <v>-1238.7118800000001</v>
      </c>
      <c r="AZ59" s="82">
        <f t="shared" si="66"/>
        <v>-1196.05</v>
      </c>
      <c r="BA59" s="241">
        <f t="shared" si="67"/>
        <v>-2588.62</v>
      </c>
      <c r="BB59" s="81">
        <f t="shared" si="67"/>
        <v>-1643.80818</v>
      </c>
      <c r="BC59" s="82">
        <f t="shared" si="67"/>
        <v>-752.62</v>
      </c>
      <c r="BD59" s="241">
        <f t="shared" si="68"/>
        <v>-3267.9999999999995</v>
      </c>
      <c r="BE59" s="81">
        <f t="shared" si="68"/>
        <v>-2198.5975199999998</v>
      </c>
      <c r="BF59" s="82">
        <f t="shared" si="68"/>
        <v>0</v>
      </c>
      <c r="BG59" s="241">
        <f t="shared" si="69"/>
        <v>-5176.2299999999996</v>
      </c>
      <c r="BH59" s="81">
        <f t="shared" si="69"/>
        <v>-6222.5866060826847</v>
      </c>
      <c r="BI59" s="82">
        <f t="shared" si="69"/>
        <v>0</v>
      </c>
    </row>
    <row r="60" spans="1:61" hidden="1" outlineLevel="1" x14ac:dyDescent="0.3">
      <c r="A60" s="73" t="s">
        <v>77</v>
      </c>
      <c r="C60" s="24"/>
      <c r="D60" s="69"/>
      <c r="E60" s="80"/>
      <c r="F60" s="41"/>
      <c r="H60" s="252">
        <v>0</v>
      </c>
      <c r="I60" s="74">
        <v>-309.419712</v>
      </c>
      <c r="J60" s="76">
        <f>SUM(J61:J64)+SUMIFS(Aut_Ajustes_Manuais!$G:$G,Aut_Ajustes_Manuais!$I:$I,DRE!H$4,Aut_Ajustes_Manuais!$F:$F,"Serviços de Terceiros - Eventos")</f>
        <v>0</v>
      </c>
      <c r="K60" s="252">
        <v>0</v>
      </c>
      <c r="L60" s="74">
        <v>-745.28412000000003</v>
      </c>
      <c r="M60" s="76">
        <f>SUM(M61:M64)+SUMIFS(Aut_Ajustes_Manuais!$G:$G,Aut_Ajustes_Manuais!$I:$I,DRE!K$4,Aut_Ajustes_Manuais!$F:$F,"Serviços de Terceiros - Eventos")</f>
        <v>0</v>
      </c>
      <c r="N60" s="252">
        <v>0</v>
      </c>
      <c r="O60" s="74">
        <v>-679.4928000000001</v>
      </c>
      <c r="P60" s="76">
        <f>SUM(P61:P64)+SUMIFS(Aut_Ajustes_Manuais!$G:$G,Aut_Ajustes_Manuais!$I:$I,DRE!N$4,Aut_Ajustes_Manuais!$F:$F,"Serviços de Terceiros - Eventos")</f>
        <v>0</v>
      </c>
      <c r="Q60" s="252">
        <v>0</v>
      </c>
      <c r="R60" s="74">
        <v>-1201.771452</v>
      </c>
      <c r="S60" s="76">
        <f>SUM(S61:S64)+SUMIFS(Aut_Ajustes_Manuais!$G:$G,Aut_Ajustes_Manuais!$I:$I,DRE!Q$4,Aut_Ajustes_Manuais!$F:$F,"Serviços de Terceiros - Eventos")</f>
        <v>0</v>
      </c>
      <c r="T60" s="252">
        <v>0</v>
      </c>
      <c r="U60" s="74">
        <v>-402.78</v>
      </c>
      <c r="V60" s="76">
        <f>SUM(V61:V64)+SUMIFS(Aut_Ajustes_Manuais!$G:$G,Aut_Ajustes_Manuais!$I:$I,DRE!T$4,Aut_Ajustes_Manuais!$F:$F,"Serviços de Terceiros - Eventos")</f>
        <v>0</v>
      </c>
      <c r="W60" s="252">
        <v>0</v>
      </c>
      <c r="X60" s="74">
        <v>-696.78</v>
      </c>
      <c r="Y60" s="76">
        <f>SUM(Y61:Y64)+SUMIFS(Aut_Ajustes_Manuais!$G:$G,Aut_Ajustes_Manuais!$I:$I,DRE!W$4,Aut_Ajustes_Manuais!$F:$F,"Serviços de Terceiros - Eventos")</f>
        <v>0</v>
      </c>
      <c r="Z60" s="252">
        <v>0</v>
      </c>
      <c r="AA60" s="74">
        <v>-1723.9489679999999</v>
      </c>
      <c r="AB60" s="76">
        <f>SUM(AB61:AB64)+SUMIFS(Aut_Ajustes_Manuais!$G:$G,Aut_Ajustes_Manuais!$I:$I,DRE!Z$4,Aut_Ajustes_Manuais!$F:$F,"Serviços de Terceiros - Eventos")</f>
        <v>0</v>
      </c>
      <c r="AC60" s="252">
        <v>0</v>
      </c>
      <c r="AD60" s="74">
        <v>-308.7</v>
      </c>
      <c r="AE60" s="76">
        <f>SUM(AE61:AE64)+SUMIFS(Aut_Ajustes_Manuais!$G:$G,Aut_Ajustes_Manuais!$I:$I,DRE!AC$4,Aut_Ajustes_Manuais!$F:$F,"Serviços de Terceiros - Eventos")</f>
        <v>0</v>
      </c>
      <c r="AF60" s="252">
        <v>0</v>
      </c>
      <c r="AG60" s="74">
        <v>-1045.3875599999999</v>
      </c>
      <c r="AH60" s="76">
        <f>SUM(AH61:AH64)+SUMIFS(Aut_Ajustes_Manuais!$G:$G,Aut_Ajustes_Manuais!$I:$I,DRE!AF$4,Aut_Ajustes_Manuais!$F:$F,"Serviços de Terceiros - Eventos")</f>
        <v>0</v>
      </c>
      <c r="AI60" s="252">
        <v>0</v>
      </c>
      <c r="AJ60" s="74">
        <v>-1863.519</v>
      </c>
      <c r="AK60" s="76">
        <f>SUM(AK61:AK64)+SUMIFS(Aut_Ajustes_Manuais!$G:$G,Aut_Ajustes_Manuais!$I:$I,DRE!AI$4,Aut_Ajustes_Manuais!$F:$F,"Serviços de Terceiros - Eventos")</f>
        <v>0</v>
      </c>
      <c r="AL60" s="252">
        <v>0</v>
      </c>
      <c r="AM60" s="74">
        <v>-1967.7022485157599</v>
      </c>
      <c r="AN60" s="76">
        <f>SUM(AN61:AN64)+SUMIFS(Aut_Ajustes_Manuais!$G:$G,Aut_Ajustes_Manuais!$I:$I,DRE!AL$4,Aut_Ajustes_Manuais!$F:$F,"Serviços de Terceiros - Eventos")</f>
        <v>0</v>
      </c>
      <c r="AO60" s="252">
        <v>0</v>
      </c>
      <c r="AP60" s="74">
        <v>-4880.3999999999996</v>
      </c>
      <c r="AQ60" s="76">
        <f>SUM(AQ61:AQ64)+SUMIFS(Aut_Ajustes_Manuais!$G:$G,Aut_Ajustes_Manuais!$I:$I,DRE!AO$4,Aut_Ajustes_Manuais!$F:$F,"Serviços de Terceiros - Eventos")</f>
        <v>0</v>
      </c>
      <c r="AR60" s="74">
        <f t="shared" ca="1" si="61"/>
        <v>0</v>
      </c>
      <c r="AS60" s="74">
        <f t="shared" ca="1" si="62"/>
        <v>-4035.5280839999996</v>
      </c>
      <c r="AT60" s="76">
        <f t="shared" ca="1" si="63"/>
        <v>0</v>
      </c>
      <c r="AU60" s="252">
        <f t="shared" ref="AU60:BI60" si="70">SUM(AU61:AU64)</f>
        <v>0</v>
      </c>
      <c r="AV60" s="74">
        <f t="shared" si="70"/>
        <v>-15825.185860515761</v>
      </c>
      <c r="AW60" s="76">
        <f t="shared" si="70"/>
        <v>0</v>
      </c>
      <c r="AX60" s="252">
        <f t="shared" si="70"/>
        <v>0</v>
      </c>
      <c r="AY60" s="74">
        <f t="shared" si="70"/>
        <v>-1734.1966320000001</v>
      </c>
      <c r="AZ60" s="76">
        <f t="shared" si="70"/>
        <v>0</v>
      </c>
      <c r="BA60" s="252">
        <f t="shared" si="70"/>
        <v>0</v>
      </c>
      <c r="BB60" s="74">
        <f t="shared" si="70"/>
        <v>-2301.3314520000004</v>
      </c>
      <c r="BC60" s="76">
        <f t="shared" si="70"/>
        <v>0</v>
      </c>
      <c r="BD60" s="252">
        <f t="shared" si="70"/>
        <v>0</v>
      </c>
      <c r="BE60" s="74">
        <f t="shared" si="70"/>
        <v>-3078.0365280000001</v>
      </c>
      <c r="BF60" s="76">
        <f t="shared" si="70"/>
        <v>0</v>
      </c>
      <c r="BG60" s="252">
        <f t="shared" si="70"/>
        <v>0</v>
      </c>
      <c r="BH60" s="74">
        <f t="shared" si="70"/>
        <v>-8711.6212485157612</v>
      </c>
      <c r="BI60" s="76">
        <f t="shared" si="70"/>
        <v>0</v>
      </c>
    </row>
    <row r="61" spans="1:61" s="29" customFormat="1" hidden="1" outlineLevel="1" x14ac:dyDescent="0.3">
      <c r="A61" s="22" t="s">
        <v>78</v>
      </c>
      <c r="B61" s="2"/>
      <c r="C61" s="24" t="s">
        <v>79</v>
      </c>
      <c r="D61" s="69" t="s">
        <v>76</v>
      </c>
      <c r="E61" s="80">
        <v>-0.02</v>
      </c>
      <c r="F61" s="41"/>
      <c r="G61" s="23"/>
      <c r="H61" s="241">
        <v>0</v>
      </c>
      <c r="I61" s="81">
        <v>-235.74835200000001</v>
      </c>
      <c r="J61" s="82">
        <f>SUMIFS(Aut_BlueMe_Sem_Pedido!$J:$J,Aut_BlueMe_Sem_Pedido!$Q:$Q,DRE!H$4,Aut_BlueMe_Sem_Pedido!$H:$H,DRE!$A61)+SUMIFS(Aut_Ajustes_Manuais!$G:$G,Aut_Ajustes_Manuais!$I:$I,DRE!H$4,Aut_Ajustes_Manuais!$F:$F,"Serviços Terceirizados - Eventos")</f>
        <v>0</v>
      </c>
      <c r="K61" s="254">
        <v>0</v>
      </c>
      <c r="L61" s="81">
        <v>-567.83551999999997</v>
      </c>
      <c r="M61" s="82">
        <f>SUMIFS(Aut_BlueMe_Sem_Pedido!$J:$J,Aut_BlueMe_Sem_Pedido!$Q:$Q,DRE!K$4,Aut_BlueMe_Sem_Pedido!$H:$H,DRE!$A61)+SUMIFS(Aut_Ajustes_Manuais!$G:$G,Aut_Ajustes_Manuais!$I:$I,DRE!K$4,Aut_Ajustes_Manuais!$F:$F,"Serviços Terceirizados - Eventos")</f>
        <v>0</v>
      </c>
      <c r="N61" s="254">
        <v>0</v>
      </c>
      <c r="O61" s="81">
        <v>-517.70880000000011</v>
      </c>
      <c r="P61" s="82">
        <f>SUMIFS(Aut_BlueMe_Sem_Pedido!$J:$J,Aut_BlueMe_Sem_Pedido!$Q:$Q,DRE!N$4,Aut_BlueMe_Sem_Pedido!$H:$H,DRE!$A61)+SUMIFS(Aut_Ajustes_Manuais!$G:$G,Aut_Ajustes_Manuais!$I:$I,DRE!N$4,Aut_Ajustes_Manuais!$F:$F,"Serviços Terceirizados - Eventos")</f>
        <v>0</v>
      </c>
      <c r="Q61" s="241">
        <v>0</v>
      </c>
      <c r="R61" s="81">
        <v>-915.63539200000014</v>
      </c>
      <c r="S61" s="82">
        <f>SUMIFS(Aut_BlueMe_Sem_Pedido!$J:$J,Aut_BlueMe_Sem_Pedido!$Q:$Q,DRE!Q$4,Aut_BlueMe_Sem_Pedido!$H:$H,DRE!$A61)+SUMIFS(Aut_Ajustes_Manuais!$G:$G,Aut_Ajustes_Manuais!$I:$I,DRE!Q$4,Aut_Ajustes_Manuais!$F:$F,"Serviços Terceirizados - Eventos")</f>
        <v>0</v>
      </c>
      <c r="T61" s="241">
        <v>0</v>
      </c>
      <c r="U61" s="81">
        <v>-306.88</v>
      </c>
      <c r="V61" s="82">
        <f>SUMIFS(Aut_BlueMe_Sem_Pedido!$J:$J,Aut_BlueMe_Sem_Pedido!$Q:$Q,DRE!T$4,Aut_BlueMe_Sem_Pedido!$H:$H,DRE!$A61)+SUMIFS(Aut_Ajustes_Manuais!$G:$G,Aut_Ajustes_Manuais!$I:$I,DRE!T$4,Aut_Ajustes_Manuais!$F:$F,"Serviços Terceirizados - Eventos")</f>
        <v>0</v>
      </c>
      <c r="W61" s="241">
        <v>0</v>
      </c>
      <c r="X61" s="81">
        <v>-530.88</v>
      </c>
      <c r="Y61" s="82">
        <f>SUMIFS(Aut_BlueMe_Sem_Pedido!$J:$J,Aut_BlueMe_Sem_Pedido!$Q:$Q,DRE!W$4,Aut_BlueMe_Sem_Pedido!$H:$H,DRE!$A61)+SUMIFS(Aut_Ajustes_Manuais!$G:$G,Aut_Ajustes_Manuais!$I:$I,DRE!W$4,Aut_Ajustes_Manuais!$F:$F,"Serviços Terceirizados - Eventos")</f>
        <v>0</v>
      </c>
      <c r="Z61" s="241">
        <v>0</v>
      </c>
      <c r="AA61" s="81">
        <v>-1313.4849280000001</v>
      </c>
      <c r="AB61" s="82">
        <f>SUMIFS(Aut_BlueMe_Sem_Pedido!$J:$J,Aut_BlueMe_Sem_Pedido!$Q:$Q,DRE!Z$4,Aut_BlueMe_Sem_Pedido!$H:$H,DRE!$A61)+SUMIFS(Aut_Ajustes_Manuais!$G:$G,Aut_Ajustes_Manuais!$I:$I,DRE!Z$4,Aut_Ajustes_Manuais!$F:$F,"Serviços Terceirizados - Eventos")</f>
        <v>0</v>
      </c>
      <c r="AC61" s="241">
        <v>0</v>
      </c>
      <c r="AD61" s="81">
        <v>-235.2</v>
      </c>
      <c r="AE61" s="82">
        <f>SUMIFS(Aut_BlueMe_Sem_Pedido!$J:$J,Aut_BlueMe_Sem_Pedido!$Q:$Q,DRE!AC$4,Aut_BlueMe_Sem_Pedido!$H:$H,DRE!$A61)+SUMIFS(Aut_Ajustes_Manuais!$G:$G,Aut_Ajustes_Manuais!$I:$I,DRE!AC$4,Aut_Ajustes_Manuais!$F:$F,"Serviços Terceirizados - Eventos")</f>
        <v>0</v>
      </c>
      <c r="AF61" s="241">
        <v>0</v>
      </c>
      <c r="AG61" s="81">
        <v>-796.48576000000003</v>
      </c>
      <c r="AH61" s="82">
        <f>SUMIFS(Aut_BlueMe_Sem_Pedido!$J:$J,Aut_BlueMe_Sem_Pedido!$Q:$Q,DRE!AF$4,Aut_BlueMe_Sem_Pedido!$H:$H,DRE!$A61)+SUMIFS(Aut_Ajustes_Manuais!$G:$G,Aut_Ajustes_Manuais!$I:$I,DRE!AF$4,Aut_Ajustes_Manuais!$F:$F,"Serviços Terceirizados - Eventos")</f>
        <v>0</v>
      </c>
      <c r="AI61" s="241">
        <v>0</v>
      </c>
      <c r="AJ61" s="81">
        <v>-1419.8240000000001</v>
      </c>
      <c r="AK61" s="82">
        <f>SUMIFS(Aut_BlueMe_Sem_Pedido!$J:$J,Aut_BlueMe_Sem_Pedido!$Q:$Q,DRE!AI$4,Aut_BlueMe_Sem_Pedido!$H:$H,DRE!$A61)+SUMIFS(Aut_Ajustes_Manuais!$G:$G,Aut_Ajustes_Manuais!$I:$I,DRE!AI$4,Aut_Ajustes_Manuais!$F:$F,"Serviços Terceirizados - Eventos")</f>
        <v>0</v>
      </c>
      <c r="AL61" s="241">
        <v>0</v>
      </c>
      <c r="AM61" s="81">
        <v>-1499.201713154865</v>
      </c>
      <c r="AN61" s="82">
        <f>SUMIFS(Aut_BlueMe_Sem_Pedido!$J:$J,Aut_BlueMe_Sem_Pedido!$Q:$Q,DRE!AL$4,Aut_BlueMe_Sem_Pedido!$H:$H,DRE!$A61)+SUMIFS(Aut_Ajustes_Manuais!$G:$G,Aut_Ajustes_Manuais!$I:$I,DRE!AL$4,Aut_Ajustes_Manuais!$F:$F,"Serviços Terceirizados - Eventos")</f>
        <v>0</v>
      </c>
      <c r="AO61" s="241">
        <v>0</v>
      </c>
      <c r="AP61" s="81">
        <v>-3718.4</v>
      </c>
      <c r="AQ61" s="82">
        <f>SUMIFS(Aut_BlueMe_Sem_Pedido!$J:$J,Aut_BlueMe_Sem_Pedido!$Q:$Q,DRE!AO$4,Aut_BlueMe_Sem_Pedido!$H:$H,DRE!$A61)+SUMIFS(Aut_Ajustes_Manuais!$G:$G,Aut_Ajustes_Manuais!$I:$I,DRE!AO$4,Aut_Ajustes_Manuais!$F:$F,"Serviços Terceirizados - Eventos")</f>
        <v>0</v>
      </c>
      <c r="AR61" s="241">
        <f t="shared" ca="1" si="61"/>
        <v>0</v>
      </c>
      <c r="AS61" s="27">
        <f t="shared" ca="1" si="62"/>
        <v>-3074.6880640000004</v>
      </c>
      <c r="AT61" s="82">
        <f t="shared" ca="1" si="63"/>
        <v>0</v>
      </c>
      <c r="AU61" s="241">
        <f t="shared" ref="AU61:AW64" si="71">SUM(H61,K61,N61,Q61,T61,W61,Z61,AC61,AF61,AI61,AL61,AO61)</f>
        <v>0</v>
      </c>
      <c r="AV61" s="81">
        <f t="shared" si="71"/>
        <v>-12057.284465154866</v>
      </c>
      <c r="AW61" s="82">
        <f t="shared" si="71"/>
        <v>0</v>
      </c>
      <c r="AX61" s="241">
        <f t="shared" ref="AX61:AZ64" si="72">SUM(H61,K61,N61)</f>
        <v>0</v>
      </c>
      <c r="AY61" s="81">
        <f t="shared" si="72"/>
        <v>-1321.292672</v>
      </c>
      <c r="AZ61" s="82">
        <f t="shared" si="72"/>
        <v>0</v>
      </c>
      <c r="BA61" s="241">
        <f t="shared" ref="BA61:BC64" si="73">SUM(Q61,T61,W61)</f>
        <v>0</v>
      </c>
      <c r="BB61" s="81">
        <f t="shared" si="73"/>
        <v>-1753.3953920000004</v>
      </c>
      <c r="BC61" s="82">
        <f t="shared" si="73"/>
        <v>0</v>
      </c>
      <c r="BD61" s="241">
        <f t="shared" ref="BD61:BF64" si="74">SUM(Z61,AC61,AF61)</f>
        <v>0</v>
      </c>
      <c r="BE61" s="81">
        <f t="shared" si="74"/>
        <v>-2345.1706880000002</v>
      </c>
      <c r="BF61" s="82">
        <f t="shared" si="74"/>
        <v>0</v>
      </c>
      <c r="BG61" s="241">
        <f t="shared" ref="BG61:BI64" si="75">SUM(AI61,AL61,AO61)</f>
        <v>0</v>
      </c>
      <c r="BH61" s="81">
        <f t="shared" si="75"/>
        <v>-6637.4257131548657</v>
      </c>
      <c r="BI61" s="82">
        <f t="shared" si="75"/>
        <v>0</v>
      </c>
    </row>
    <row r="62" spans="1:61" s="29" customFormat="1" hidden="1" outlineLevel="1" x14ac:dyDescent="0.3">
      <c r="A62" s="22" t="s">
        <v>80</v>
      </c>
      <c r="B62" s="2"/>
      <c r="C62" s="24" t="s">
        <v>81</v>
      </c>
      <c r="D62" s="69" t="s">
        <v>76</v>
      </c>
      <c r="E62" s="80">
        <v>0</v>
      </c>
      <c r="F62" s="41"/>
      <c r="G62" s="23"/>
      <c r="H62" s="241">
        <v>0</v>
      </c>
      <c r="I62" s="81">
        <v>-73.671360000000007</v>
      </c>
      <c r="J62" s="82">
        <f>SUMIFS(Aut_BlueMe_Sem_Pedido!$J:$J,Aut_BlueMe_Sem_Pedido!$Q:$Q,DRE!H$4,Aut_BlueMe_Sem_Pedido!$H:$H,DRE!$A62)+SUMIFS(Aut_Ajustes_Manuais!$G:$G,Aut_Ajustes_Manuais!$I:$I,DRE!H$4,Aut_Ajustes_Manuais!$F:$F,"Serviço de Segurança - Eventos")</f>
        <v>0</v>
      </c>
      <c r="K62" s="254">
        <v>0</v>
      </c>
      <c r="L62" s="81">
        <v>-177.4486</v>
      </c>
      <c r="M62" s="82">
        <f>SUMIFS(Aut_BlueMe_Sem_Pedido!$J:$J,Aut_BlueMe_Sem_Pedido!$Q:$Q,DRE!K$4,Aut_BlueMe_Sem_Pedido!$H:$H,DRE!$A62)+SUMIFS(Aut_Ajustes_Manuais!$G:$G,Aut_Ajustes_Manuais!$I:$I,DRE!K$4,Aut_Ajustes_Manuais!$F:$F,"Serviço de Segurança - Eventos")</f>
        <v>0</v>
      </c>
      <c r="N62" s="254">
        <v>0</v>
      </c>
      <c r="O62" s="81">
        <v>-161.78399999999999</v>
      </c>
      <c r="P62" s="82">
        <f>SUMIFS(Aut_BlueMe_Sem_Pedido!$J:$J,Aut_BlueMe_Sem_Pedido!$Q:$Q,DRE!N$4,Aut_BlueMe_Sem_Pedido!$H:$H,DRE!$A62)+SUMIFS(Aut_Ajustes_Manuais!$G:$G,Aut_Ajustes_Manuais!$I:$I,DRE!N$4,Aut_Ajustes_Manuais!$F:$F,"Serviço de Segurança - Eventos")</f>
        <v>0</v>
      </c>
      <c r="Q62" s="241">
        <v>0</v>
      </c>
      <c r="R62" s="81">
        <v>-286.13605999999999</v>
      </c>
      <c r="S62" s="82">
        <f>SUMIFS(Aut_BlueMe_Sem_Pedido!$J:$J,Aut_BlueMe_Sem_Pedido!$Q:$Q,DRE!Q$4,Aut_BlueMe_Sem_Pedido!$H:$H,DRE!$A62)+SUMIFS(Aut_Ajustes_Manuais!$G:$G,Aut_Ajustes_Manuais!$I:$I,DRE!Q$4,Aut_Ajustes_Manuais!$F:$F,"Serviço de Segurança - Eventos")</f>
        <v>0</v>
      </c>
      <c r="T62" s="241">
        <v>0</v>
      </c>
      <c r="U62" s="81">
        <v>-95.9</v>
      </c>
      <c r="V62" s="82">
        <f>SUMIFS(Aut_BlueMe_Sem_Pedido!$J:$J,Aut_BlueMe_Sem_Pedido!$Q:$Q,DRE!T$4,Aut_BlueMe_Sem_Pedido!$H:$H,DRE!$A62)+SUMIFS(Aut_Ajustes_Manuais!$G:$G,Aut_Ajustes_Manuais!$I:$I,DRE!T$4,Aut_Ajustes_Manuais!$F:$F,"Serviço de Segurança - Eventos")</f>
        <v>0</v>
      </c>
      <c r="W62" s="241">
        <v>0</v>
      </c>
      <c r="X62" s="81">
        <v>-165.9</v>
      </c>
      <c r="Y62" s="82">
        <f>SUMIFS(Aut_BlueMe_Sem_Pedido!$J:$J,Aut_BlueMe_Sem_Pedido!$Q:$Q,DRE!W$4,Aut_BlueMe_Sem_Pedido!$H:$H,DRE!$A62)+SUMIFS(Aut_Ajustes_Manuais!$G:$G,Aut_Ajustes_Manuais!$I:$I,DRE!W$4,Aut_Ajustes_Manuais!$F:$F,"Serviço de Segurança - Eventos")</f>
        <v>0</v>
      </c>
      <c r="Z62" s="241">
        <v>0</v>
      </c>
      <c r="AA62" s="81">
        <v>-410.46404000000001</v>
      </c>
      <c r="AB62" s="82">
        <f>SUMIFS(Aut_BlueMe_Sem_Pedido!$J:$J,Aut_BlueMe_Sem_Pedido!$Q:$Q,DRE!Z$4,Aut_BlueMe_Sem_Pedido!$H:$H,DRE!$A62)+SUMIFS(Aut_Ajustes_Manuais!$G:$G,Aut_Ajustes_Manuais!$I:$I,DRE!Z$4,Aut_Ajustes_Manuais!$F:$F,"Serviço de Segurança - Eventos")</f>
        <v>0</v>
      </c>
      <c r="AC62" s="241">
        <v>0</v>
      </c>
      <c r="AD62" s="81">
        <v>-73.5</v>
      </c>
      <c r="AE62" s="82">
        <f>SUMIFS(Aut_BlueMe_Sem_Pedido!$J:$J,Aut_BlueMe_Sem_Pedido!$Q:$Q,DRE!AC$4,Aut_BlueMe_Sem_Pedido!$H:$H,DRE!$A62)+SUMIFS(Aut_Ajustes_Manuais!$G:$G,Aut_Ajustes_Manuais!$I:$I,DRE!AC$4,Aut_Ajustes_Manuais!$F:$F,"Serviço de Segurança - Eventos")</f>
        <v>0</v>
      </c>
      <c r="AF62" s="241">
        <v>0</v>
      </c>
      <c r="AG62" s="81">
        <v>-248.90180000000001</v>
      </c>
      <c r="AH62" s="82">
        <f>SUMIFS(Aut_BlueMe_Sem_Pedido!$J:$J,Aut_BlueMe_Sem_Pedido!$Q:$Q,DRE!AF$4,Aut_BlueMe_Sem_Pedido!$H:$H,DRE!$A62)+SUMIFS(Aut_Ajustes_Manuais!$G:$G,Aut_Ajustes_Manuais!$I:$I,DRE!AF$4,Aut_Ajustes_Manuais!$F:$F,"Serviço de Segurança - Eventos")</f>
        <v>0</v>
      </c>
      <c r="AI62" s="241">
        <v>0</v>
      </c>
      <c r="AJ62" s="81">
        <v>-443.69499999999999</v>
      </c>
      <c r="AK62" s="82">
        <f>SUMIFS(Aut_BlueMe_Sem_Pedido!$J:$J,Aut_BlueMe_Sem_Pedido!$Q:$Q,DRE!AI$4,Aut_BlueMe_Sem_Pedido!$H:$H,DRE!$A62)+SUMIFS(Aut_Ajustes_Manuais!$G:$G,Aut_Ajustes_Manuais!$I:$I,DRE!AI$4,Aut_Ajustes_Manuais!$F:$F,"Serviço de Segurança - Eventos")</f>
        <v>0</v>
      </c>
      <c r="AL62" s="241">
        <v>0</v>
      </c>
      <c r="AM62" s="81">
        <v>-468.50053536089519</v>
      </c>
      <c r="AN62" s="82">
        <f>SUMIFS(Aut_BlueMe_Sem_Pedido!$J:$J,Aut_BlueMe_Sem_Pedido!$Q:$Q,DRE!AL$4,Aut_BlueMe_Sem_Pedido!$H:$H,DRE!$A62)+SUMIFS(Aut_Ajustes_Manuais!$G:$G,Aut_Ajustes_Manuais!$I:$I,DRE!AL$4,Aut_Ajustes_Manuais!$F:$F,"Serviço de Segurança - Eventos")</f>
        <v>0</v>
      </c>
      <c r="AO62" s="241">
        <v>0</v>
      </c>
      <c r="AP62" s="81">
        <v>-1162</v>
      </c>
      <c r="AQ62" s="82">
        <f>SUMIFS(Aut_BlueMe_Sem_Pedido!$J:$J,Aut_BlueMe_Sem_Pedido!$Q:$Q,DRE!AO$4,Aut_BlueMe_Sem_Pedido!$H:$H,DRE!$A62)+SUMIFS(Aut_Ajustes_Manuais!$G:$G,Aut_Ajustes_Manuais!$I:$I,DRE!AO$4,Aut_Ajustes_Manuais!$F:$F,"Serviço de Segurança - Eventos")</f>
        <v>0</v>
      </c>
      <c r="AR62" s="241">
        <f t="shared" ca="1" si="61"/>
        <v>0</v>
      </c>
      <c r="AS62" s="27">
        <f t="shared" ca="1" si="62"/>
        <v>-960.84001999999987</v>
      </c>
      <c r="AT62" s="82">
        <f t="shared" ca="1" si="63"/>
        <v>0</v>
      </c>
      <c r="AU62" s="241">
        <f t="shared" si="71"/>
        <v>0</v>
      </c>
      <c r="AV62" s="81">
        <f t="shared" si="71"/>
        <v>-3767.9013953608955</v>
      </c>
      <c r="AW62" s="82">
        <f t="shared" si="71"/>
        <v>0</v>
      </c>
      <c r="AX62" s="241">
        <f t="shared" si="72"/>
        <v>0</v>
      </c>
      <c r="AY62" s="81">
        <f t="shared" si="72"/>
        <v>-412.90395999999998</v>
      </c>
      <c r="AZ62" s="82">
        <f t="shared" si="72"/>
        <v>0</v>
      </c>
      <c r="BA62" s="241">
        <f t="shared" si="73"/>
        <v>0</v>
      </c>
      <c r="BB62" s="81">
        <f t="shared" si="73"/>
        <v>-547.93606</v>
      </c>
      <c r="BC62" s="82">
        <f t="shared" si="73"/>
        <v>0</v>
      </c>
      <c r="BD62" s="241">
        <f t="shared" si="74"/>
        <v>0</v>
      </c>
      <c r="BE62" s="81">
        <f t="shared" si="74"/>
        <v>-732.86584000000005</v>
      </c>
      <c r="BF62" s="82">
        <f t="shared" si="74"/>
        <v>0</v>
      </c>
      <c r="BG62" s="241">
        <f t="shared" si="75"/>
        <v>0</v>
      </c>
      <c r="BH62" s="81">
        <f t="shared" si="75"/>
        <v>-2074.1955353608951</v>
      </c>
      <c r="BI62" s="82">
        <f t="shared" si="75"/>
        <v>0</v>
      </c>
    </row>
    <row r="63" spans="1:61" s="29" customFormat="1" hidden="1" outlineLevel="1" x14ac:dyDescent="0.3">
      <c r="A63" s="22" t="s">
        <v>82</v>
      </c>
      <c r="B63" s="2"/>
      <c r="C63" s="24" t="s">
        <v>83</v>
      </c>
      <c r="D63" s="69" t="s">
        <v>76</v>
      </c>
      <c r="E63" s="80"/>
      <c r="F63" s="41"/>
      <c r="G63" s="23"/>
      <c r="H63" s="241">
        <v>0</v>
      </c>
      <c r="I63" s="81">
        <v>0</v>
      </c>
      <c r="J63" s="82">
        <f>SUMIFS(Aut_BlueMe_Sem_Pedido!$J:$J,Aut_BlueMe_Sem_Pedido!$Q:$Q,DRE!H$4,Aut_BlueMe_Sem_Pedido!$H:$H,DRE!$A63)+SUMIFS(Aut_Ajustes_Manuais!$G:$G,Aut_Ajustes_Manuais!$I:$I,DRE!H$4,Aut_Ajustes_Manuais!$F:$F,"Artistas e Palestrantes - Eventos")</f>
        <v>0</v>
      </c>
      <c r="K63" s="254">
        <v>0</v>
      </c>
      <c r="L63" s="81">
        <v>0</v>
      </c>
      <c r="M63" s="82">
        <f>SUMIFS(Aut_BlueMe_Sem_Pedido!$J:$J,Aut_BlueMe_Sem_Pedido!$Q:$Q,DRE!K$4,Aut_BlueMe_Sem_Pedido!$H:$H,DRE!$A63)+SUMIFS(Aut_Ajustes_Manuais!$G:$G,Aut_Ajustes_Manuais!$I:$I,DRE!K$4,Aut_Ajustes_Manuais!$F:$F,"Artistas e Palestrantes - Eventos")</f>
        <v>0</v>
      </c>
      <c r="N63" s="254">
        <v>0</v>
      </c>
      <c r="O63" s="81">
        <v>0</v>
      </c>
      <c r="P63" s="82">
        <f>SUMIFS(Aut_BlueMe_Sem_Pedido!$J:$J,Aut_BlueMe_Sem_Pedido!$Q:$Q,DRE!N$4,Aut_BlueMe_Sem_Pedido!$H:$H,DRE!$A63)+SUMIFS(Aut_Ajustes_Manuais!$G:$G,Aut_Ajustes_Manuais!$I:$I,DRE!N$4,Aut_Ajustes_Manuais!$F:$F,"Artistas e Palestrantes - Eventos")</f>
        <v>0</v>
      </c>
      <c r="Q63" s="241">
        <v>0</v>
      </c>
      <c r="R63" s="81">
        <v>0</v>
      </c>
      <c r="S63" s="82">
        <f>SUMIFS(Aut_BlueMe_Sem_Pedido!$J:$J,Aut_BlueMe_Sem_Pedido!$Q:$Q,DRE!Q$4,Aut_BlueMe_Sem_Pedido!$H:$H,DRE!$A63)+SUMIFS(Aut_Ajustes_Manuais!$G:$G,Aut_Ajustes_Manuais!$I:$I,DRE!Q$4,Aut_Ajustes_Manuais!$F:$F,"Artistas e Palestrantes - Eventos")</f>
        <v>0</v>
      </c>
      <c r="T63" s="241">
        <v>0</v>
      </c>
      <c r="U63" s="81">
        <v>0</v>
      </c>
      <c r="V63" s="82">
        <f>SUMIFS(Aut_BlueMe_Sem_Pedido!$J:$J,Aut_BlueMe_Sem_Pedido!$Q:$Q,DRE!T$4,Aut_BlueMe_Sem_Pedido!$H:$H,DRE!$A63)+SUMIFS(Aut_Ajustes_Manuais!$G:$G,Aut_Ajustes_Manuais!$I:$I,DRE!T$4,Aut_Ajustes_Manuais!$F:$F,"Artistas e Palestrantes - Eventos")</f>
        <v>0</v>
      </c>
      <c r="W63" s="241">
        <v>0</v>
      </c>
      <c r="X63" s="81">
        <v>0</v>
      </c>
      <c r="Y63" s="82">
        <f>SUMIFS(Aut_BlueMe_Sem_Pedido!$J:$J,Aut_BlueMe_Sem_Pedido!$Q:$Q,DRE!W$4,Aut_BlueMe_Sem_Pedido!$H:$H,DRE!$A63)+SUMIFS(Aut_Ajustes_Manuais!$G:$G,Aut_Ajustes_Manuais!$I:$I,DRE!W$4,Aut_Ajustes_Manuais!$F:$F,"Artistas e Palestrantes - Eventos")</f>
        <v>0</v>
      </c>
      <c r="Z63" s="241">
        <v>0</v>
      </c>
      <c r="AA63" s="81">
        <v>0</v>
      </c>
      <c r="AB63" s="82">
        <f>SUMIFS(Aut_BlueMe_Sem_Pedido!$J:$J,Aut_BlueMe_Sem_Pedido!$Q:$Q,DRE!Z$4,Aut_BlueMe_Sem_Pedido!$H:$H,DRE!$A63)+SUMIFS(Aut_Ajustes_Manuais!$G:$G,Aut_Ajustes_Manuais!$I:$I,DRE!Z$4,Aut_Ajustes_Manuais!$F:$F,"Artistas e Palestrantes - Eventos")</f>
        <v>0</v>
      </c>
      <c r="AC63" s="241">
        <v>0</v>
      </c>
      <c r="AD63" s="81">
        <v>0</v>
      </c>
      <c r="AE63" s="82">
        <f>SUMIFS(Aut_BlueMe_Sem_Pedido!$J:$J,Aut_BlueMe_Sem_Pedido!$Q:$Q,DRE!AC$4,Aut_BlueMe_Sem_Pedido!$H:$H,DRE!$A63)+SUMIFS(Aut_Ajustes_Manuais!$G:$G,Aut_Ajustes_Manuais!$I:$I,DRE!AC$4,Aut_Ajustes_Manuais!$F:$F,"Artistas e Palestrantes - Eventos")</f>
        <v>0</v>
      </c>
      <c r="AF63" s="241">
        <v>0</v>
      </c>
      <c r="AG63" s="81">
        <v>0</v>
      </c>
      <c r="AH63" s="82">
        <f>SUMIFS(Aut_BlueMe_Sem_Pedido!$J:$J,Aut_BlueMe_Sem_Pedido!$Q:$Q,DRE!AF$4,Aut_BlueMe_Sem_Pedido!$H:$H,DRE!$A63)+SUMIFS(Aut_Ajustes_Manuais!$G:$G,Aut_Ajustes_Manuais!$I:$I,DRE!AF$4,Aut_Ajustes_Manuais!$F:$F,"Artistas e Palestrantes - Eventos")</f>
        <v>0</v>
      </c>
      <c r="AI63" s="241">
        <v>0</v>
      </c>
      <c r="AJ63" s="81">
        <v>0</v>
      </c>
      <c r="AK63" s="82">
        <f>SUMIFS(Aut_BlueMe_Sem_Pedido!$J:$J,Aut_BlueMe_Sem_Pedido!$Q:$Q,DRE!AI$4,Aut_BlueMe_Sem_Pedido!$H:$H,DRE!$A63)+SUMIFS(Aut_Ajustes_Manuais!$G:$G,Aut_Ajustes_Manuais!$I:$I,DRE!AI$4,Aut_Ajustes_Manuais!$F:$F,"Artistas e Palestrantes - Eventos")</f>
        <v>0</v>
      </c>
      <c r="AL63" s="241">
        <v>0</v>
      </c>
      <c r="AM63" s="81">
        <v>0</v>
      </c>
      <c r="AN63" s="82">
        <f>SUMIFS(Aut_BlueMe_Sem_Pedido!$J:$J,Aut_BlueMe_Sem_Pedido!$Q:$Q,DRE!AL$4,Aut_BlueMe_Sem_Pedido!$H:$H,DRE!$A63)+SUMIFS(Aut_Ajustes_Manuais!$G:$G,Aut_Ajustes_Manuais!$I:$I,DRE!AL$4,Aut_Ajustes_Manuais!$F:$F,"Artistas e Palestrantes - Eventos")</f>
        <v>0</v>
      </c>
      <c r="AO63" s="241">
        <v>0</v>
      </c>
      <c r="AP63" s="81">
        <v>0</v>
      </c>
      <c r="AQ63" s="82">
        <f>SUMIFS(Aut_BlueMe_Sem_Pedido!$J:$J,Aut_BlueMe_Sem_Pedido!$Q:$Q,DRE!AO$4,Aut_BlueMe_Sem_Pedido!$H:$H,DRE!$A63)+SUMIFS(Aut_Ajustes_Manuais!$G:$G,Aut_Ajustes_Manuais!$I:$I,DRE!AO$4,Aut_Ajustes_Manuais!$F:$F,"Artistas e Palestrantes - Eventos")</f>
        <v>0</v>
      </c>
      <c r="AR63" s="241">
        <f t="shared" ca="1" si="61"/>
        <v>0</v>
      </c>
      <c r="AS63" s="27">
        <f t="shared" ca="1" si="62"/>
        <v>0</v>
      </c>
      <c r="AT63" s="82">
        <f t="shared" ca="1" si="63"/>
        <v>0</v>
      </c>
      <c r="AU63" s="241">
        <f t="shared" si="71"/>
        <v>0</v>
      </c>
      <c r="AV63" s="81">
        <f t="shared" si="71"/>
        <v>0</v>
      </c>
      <c r="AW63" s="82">
        <f t="shared" si="71"/>
        <v>0</v>
      </c>
      <c r="AX63" s="241">
        <f t="shared" si="72"/>
        <v>0</v>
      </c>
      <c r="AY63" s="81">
        <f t="shared" si="72"/>
        <v>0</v>
      </c>
      <c r="AZ63" s="82">
        <f t="shared" si="72"/>
        <v>0</v>
      </c>
      <c r="BA63" s="241">
        <f t="shared" si="73"/>
        <v>0</v>
      </c>
      <c r="BB63" s="81">
        <f t="shared" si="73"/>
        <v>0</v>
      </c>
      <c r="BC63" s="82">
        <f t="shared" si="73"/>
        <v>0</v>
      </c>
      <c r="BD63" s="241">
        <f t="shared" si="74"/>
        <v>0</v>
      </c>
      <c r="BE63" s="81">
        <f t="shared" si="74"/>
        <v>0</v>
      </c>
      <c r="BF63" s="82">
        <f t="shared" si="74"/>
        <v>0</v>
      </c>
      <c r="BG63" s="241">
        <f t="shared" si="75"/>
        <v>0</v>
      </c>
      <c r="BH63" s="81">
        <f t="shared" si="75"/>
        <v>0</v>
      </c>
      <c r="BI63" s="82">
        <f t="shared" si="75"/>
        <v>0</v>
      </c>
    </row>
    <row r="64" spans="1:61" s="29" customFormat="1" hidden="1" outlineLevel="1" x14ac:dyDescent="0.3">
      <c r="A64" s="22" t="s">
        <v>84</v>
      </c>
      <c r="B64" s="2"/>
      <c r="C64" s="24"/>
      <c r="D64" s="69" t="s">
        <v>76</v>
      </c>
      <c r="E64" s="45">
        <v>-3.0000000000000001E-3</v>
      </c>
      <c r="F64" s="41"/>
      <c r="G64" s="23"/>
      <c r="H64" s="241">
        <v>0</v>
      </c>
      <c r="I64" s="81">
        <v>0</v>
      </c>
      <c r="J64" s="82">
        <f>SUMIFS(Aut_BlueMe_Sem_Pedido!$J:$J,Aut_BlueMe_Sem_Pedido!$Q:$Q,DRE!H$4,Aut_BlueMe_Sem_Pedido!$H:$H,DRE!$A64)+SUMIFS(Aut_Ajustes_Manuais!$G:$G,Aut_Ajustes_Manuais!$I:$I,DRE!H$4,Aut_Ajustes_Manuais!$F:$F,"Decoração - Eventos")</f>
        <v>0</v>
      </c>
      <c r="K64" s="254">
        <v>0</v>
      </c>
      <c r="L64" s="81">
        <v>0</v>
      </c>
      <c r="M64" s="82">
        <f>SUMIFS(Aut_BlueMe_Sem_Pedido!$J:$J,Aut_BlueMe_Sem_Pedido!$Q:$Q,DRE!K$4,Aut_BlueMe_Sem_Pedido!$H:$H,DRE!$A64)+SUMIFS(Aut_Ajustes_Manuais!$G:$G,Aut_Ajustes_Manuais!$I:$I,DRE!K$4,Aut_Ajustes_Manuais!$F:$F,"Decoração - Eventos")</f>
        <v>0</v>
      </c>
      <c r="N64" s="254">
        <v>0</v>
      </c>
      <c r="O64" s="81">
        <v>0</v>
      </c>
      <c r="P64" s="82">
        <f>SUMIFS(Aut_BlueMe_Sem_Pedido!$J:$J,Aut_BlueMe_Sem_Pedido!$Q:$Q,DRE!N$4,Aut_BlueMe_Sem_Pedido!$H:$H,DRE!$A64)+SUMIFS(Aut_Ajustes_Manuais!$G:$G,Aut_Ajustes_Manuais!$I:$I,DRE!N$4,Aut_Ajustes_Manuais!$F:$F,"Decoração - Eventos")</f>
        <v>0</v>
      </c>
      <c r="Q64" s="241">
        <v>0</v>
      </c>
      <c r="R64" s="81">
        <v>0</v>
      </c>
      <c r="S64" s="82">
        <f>SUMIFS(Aut_BlueMe_Sem_Pedido!$J:$J,Aut_BlueMe_Sem_Pedido!$Q:$Q,DRE!Q$4,Aut_BlueMe_Sem_Pedido!$H:$H,DRE!$A64)+SUMIFS(Aut_Ajustes_Manuais!$G:$G,Aut_Ajustes_Manuais!$I:$I,DRE!Q$4,Aut_Ajustes_Manuais!$F:$F,"Decoração - Eventos")</f>
        <v>0</v>
      </c>
      <c r="T64" s="241">
        <v>0</v>
      </c>
      <c r="U64" s="81">
        <v>0</v>
      </c>
      <c r="V64" s="82">
        <f>SUMIFS(Aut_BlueMe_Sem_Pedido!$J:$J,Aut_BlueMe_Sem_Pedido!$Q:$Q,DRE!T$4,Aut_BlueMe_Sem_Pedido!$H:$H,DRE!$A64)+SUMIFS(Aut_Ajustes_Manuais!$G:$G,Aut_Ajustes_Manuais!$I:$I,DRE!T$4,Aut_Ajustes_Manuais!$F:$F,"Decoração - Eventos")</f>
        <v>0</v>
      </c>
      <c r="W64" s="241">
        <v>0</v>
      </c>
      <c r="X64" s="81">
        <v>0</v>
      </c>
      <c r="Y64" s="82">
        <f>SUMIFS(Aut_BlueMe_Sem_Pedido!$J:$J,Aut_BlueMe_Sem_Pedido!$Q:$Q,DRE!W$4,Aut_BlueMe_Sem_Pedido!$H:$H,DRE!$A64)+SUMIFS(Aut_Ajustes_Manuais!$G:$G,Aut_Ajustes_Manuais!$I:$I,DRE!W$4,Aut_Ajustes_Manuais!$F:$F,"Decoração - Eventos")</f>
        <v>0</v>
      </c>
      <c r="Z64" s="241">
        <v>0</v>
      </c>
      <c r="AA64" s="81">
        <v>0</v>
      </c>
      <c r="AB64" s="82">
        <f>SUMIFS(Aut_BlueMe_Sem_Pedido!$J:$J,Aut_BlueMe_Sem_Pedido!$Q:$Q,DRE!Z$4,Aut_BlueMe_Sem_Pedido!$H:$H,DRE!$A64)+SUMIFS(Aut_Ajustes_Manuais!$G:$G,Aut_Ajustes_Manuais!$I:$I,DRE!Z$4,Aut_Ajustes_Manuais!$F:$F,"Decoração - Eventos")</f>
        <v>0</v>
      </c>
      <c r="AC64" s="241">
        <v>0</v>
      </c>
      <c r="AD64" s="81">
        <v>0</v>
      </c>
      <c r="AE64" s="82">
        <f>SUMIFS(Aut_BlueMe_Sem_Pedido!$J:$J,Aut_BlueMe_Sem_Pedido!$Q:$Q,DRE!AC$4,Aut_BlueMe_Sem_Pedido!$H:$H,DRE!$A64)+SUMIFS(Aut_Ajustes_Manuais!$G:$G,Aut_Ajustes_Manuais!$I:$I,DRE!AC$4,Aut_Ajustes_Manuais!$F:$F,"Decoração - Eventos")</f>
        <v>0</v>
      </c>
      <c r="AF64" s="241">
        <v>0</v>
      </c>
      <c r="AG64" s="81">
        <v>0</v>
      </c>
      <c r="AH64" s="82">
        <f>SUMIFS(Aut_BlueMe_Sem_Pedido!$J:$J,Aut_BlueMe_Sem_Pedido!$Q:$Q,DRE!AF$4,Aut_BlueMe_Sem_Pedido!$H:$H,DRE!$A64)+SUMIFS(Aut_Ajustes_Manuais!$G:$G,Aut_Ajustes_Manuais!$I:$I,DRE!AF$4,Aut_Ajustes_Manuais!$F:$F,"Decoração - Eventos")</f>
        <v>0</v>
      </c>
      <c r="AI64" s="241">
        <v>0</v>
      </c>
      <c r="AJ64" s="81">
        <v>0</v>
      </c>
      <c r="AK64" s="82">
        <f>SUMIFS(Aut_BlueMe_Sem_Pedido!$J:$J,Aut_BlueMe_Sem_Pedido!$Q:$Q,DRE!AI$4,Aut_BlueMe_Sem_Pedido!$H:$H,DRE!$A64)+SUMIFS(Aut_Ajustes_Manuais!$G:$G,Aut_Ajustes_Manuais!$I:$I,DRE!AI$4,Aut_Ajustes_Manuais!$F:$F,"Decoração - Eventos")</f>
        <v>0</v>
      </c>
      <c r="AL64" s="241">
        <v>0</v>
      </c>
      <c r="AM64" s="81">
        <v>0</v>
      </c>
      <c r="AN64" s="82">
        <f>SUMIFS(Aut_BlueMe_Sem_Pedido!$J:$J,Aut_BlueMe_Sem_Pedido!$Q:$Q,DRE!AL$4,Aut_BlueMe_Sem_Pedido!$H:$H,DRE!$A64)+SUMIFS(Aut_Ajustes_Manuais!$G:$G,Aut_Ajustes_Manuais!$I:$I,DRE!AL$4,Aut_Ajustes_Manuais!$F:$F,"Decoração - Eventos")</f>
        <v>0</v>
      </c>
      <c r="AO64" s="241">
        <v>0</v>
      </c>
      <c r="AP64" s="81">
        <v>0</v>
      </c>
      <c r="AQ64" s="82">
        <f>SUMIFS(Aut_BlueMe_Sem_Pedido!$J:$J,Aut_BlueMe_Sem_Pedido!$Q:$Q,DRE!AO$4,Aut_BlueMe_Sem_Pedido!$H:$H,DRE!$A64)+SUMIFS(Aut_Ajustes_Manuais!$G:$G,Aut_Ajustes_Manuais!$I:$I,DRE!AO$4,Aut_Ajustes_Manuais!$F:$F,"Decoração - Eventos")</f>
        <v>0</v>
      </c>
      <c r="AR64" s="241">
        <f t="shared" ca="1" si="61"/>
        <v>0</v>
      </c>
      <c r="AS64" s="27">
        <f t="shared" ca="1" si="62"/>
        <v>0</v>
      </c>
      <c r="AT64" s="82">
        <f t="shared" ca="1" si="63"/>
        <v>0</v>
      </c>
      <c r="AU64" s="241">
        <f t="shared" si="71"/>
        <v>0</v>
      </c>
      <c r="AV64" s="81">
        <f t="shared" si="71"/>
        <v>0</v>
      </c>
      <c r="AW64" s="82">
        <f t="shared" si="71"/>
        <v>0</v>
      </c>
      <c r="AX64" s="241">
        <f t="shared" si="72"/>
        <v>0</v>
      </c>
      <c r="AY64" s="81">
        <f t="shared" si="72"/>
        <v>0</v>
      </c>
      <c r="AZ64" s="82">
        <f t="shared" si="72"/>
        <v>0</v>
      </c>
      <c r="BA64" s="241">
        <f t="shared" si="73"/>
        <v>0</v>
      </c>
      <c r="BB64" s="81">
        <f t="shared" si="73"/>
        <v>0</v>
      </c>
      <c r="BC64" s="82">
        <f t="shared" si="73"/>
        <v>0</v>
      </c>
      <c r="BD64" s="241">
        <f t="shared" si="74"/>
        <v>0</v>
      </c>
      <c r="BE64" s="81">
        <f t="shared" si="74"/>
        <v>0</v>
      </c>
      <c r="BF64" s="82">
        <f t="shared" si="74"/>
        <v>0</v>
      </c>
      <c r="BG64" s="241">
        <f t="shared" si="75"/>
        <v>0</v>
      </c>
      <c r="BH64" s="81">
        <f t="shared" si="75"/>
        <v>0</v>
      </c>
      <c r="BI64" s="82">
        <f t="shared" si="75"/>
        <v>0</v>
      </c>
    </row>
    <row r="65" spans="1:61" hidden="1" outlineLevel="1" x14ac:dyDescent="0.3">
      <c r="A65" s="73" t="s">
        <v>85</v>
      </c>
      <c r="C65" s="24"/>
      <c r="D65" s="69"/>
      <c r="E65" s="80"/>
      <c r="F65" s="41"/>
      <c r="H65" s="252">
        <v>0</v>
      </c>
      <c r="I65" s="74">
        <v>0</v>
      </c>
      <c r="J65" s="76">
        <f>SUM(J66:J69)+SUMIFS(Aut_Ajustes_Manuais!$G:$G,Aut_Ajustes_Manuais!$I:$I,DRE!H$4,Aut_Ajustes_Manuais!$F:$F,"Material de Consumo")</f>
        <v>0</v>
      </c>
      <c r="K65" s="252">
        <v>0</v>
      </c>
      <c r="L65" s="74">
        <v>0</v>
      </c>
      <c r="M65" s="76">
        <f>SUM(M66:M69)+SUMIFS(Aut_Ajustes_Manuais!$G:$G,Aut_Ajustes_Manuais!$I:$I,DRE!K$4,Aut_Ajustes_Manuais!$F:$F,"Material de Consumo")</f>
        <v>0</v>
      </c>
      <c r="N65" s="252">
        <v>0</v>
      </c>
      <c r="O65" s="74">
        <v>0</v>
      </c>
      <c r="P65" s="76">
        <f>SUM(P66:P69)+SUMIFS(Aut_Ajustes_Manuais!$G:$G,Aut_Ajustes_Manuais!$I:$I,DRE!N$4,Aut_Ajustes_Manuais!$F:$F,"Material de Consumo")</f>
        <v>0</v>
      </c>
      <c r="Q65" s="252">
        <v>0</v>
      </c>
      <c r="R65" s="74">
        <v>0</v>
      </c>
      <c r="S65" s="76">
        <f>SUM(S66:S69)+SUMIFS(Aut_Ajustes_Manuais!$G:$G,Aut_Ajustes_Manuais!$I:$I,DRE!Q$4,Aut_Ajustes_Manuais!$F:$F,"Material de Consumo")</f>
        <v>0</v>
      </c>
      <c r="T65" s="252">
        <v>0</v>
      </c>
      <c r="U65" s="74">
        <v>0</v>
      </c>
      <c r="V65" s="76">
        <f>SUM(V66:V69)+SUMIFS(Aut_Ajustes_Manuais!$G:$G,Aut_Ajustes_Manuais!$I:$I,DRE!T$4,Aut_Ajustes_Manuais!$F:$F,"Material de Consumo")</f>
        <v>0</v>
      </c>
      <c r="W65" s="252">
        <v>0</v>
      </c>
      <c r="X65" s="74">
        <v>0</v>
      </c>
      <c r="Y65" s="76">
        <f>SUM(Y66:Y69)+SUMIFS(Aut_Ajustes_Manuais!$G:$G,Aut_Ajustes_Manuais!$I:$I,DRE!W$4,Aut_Ajustes_Manuais!$F:$F,"Material de Consumo")</f>
        <v>0</v>
      </c>
      <c r="Z65" s="252">
        <v>0</v>
      </c>
      <c r="AA65" s="74">
        <v>0</v>
      </c>
      <c r="AB65" s="76">
        <f>SUM(AB66:AB69)+SUMIFS(Aut_Ajustes_Manuais!$G:$G,Aut_Ajustes_Manuais!$I:$I,DRE!Z$4,Aut_Ajustes_Manuais!$F:$F,"Material de Consumo")</f>
        <v>0</v>
      </c>
      <c r="AC65" s="252">
        <v>0</v>
      </c>
      <c r="AD65" s="74">
        <v>0</v>
      </c>
      <c r="AE65" s="76">
        <f>SUM(AE66:AE69)+SUMIFS(Aut_Ajustes_Manuais!$G:$G,Aut_Ajustes_Manuais!$I:$I,DRE!AC$4,Aut_Ajustes_Manuais!$F:$F,"Material de Consumo")</f>
        <v>0</v>
      </c>
      <c r="AF65" s="252">
        <v>0</v>
      </c>
      <c r="AG65" s="74">
        <v>0</v>
      </c>
      <c r="AH65" s="76">
        <f>SUM(AH66:AH69)+SUMIFS(Aut_Ajustes_Manuais!$G:$G,Aut_Ajustes_Manuais!$I:$I,DRE!AF$4,Aut_Ajustes_Manuais!$F:$F,"Material de Consumo")</f>
        <v>0</v>
      </c>
      <c r="AI65" s="252">
        <v>0</v>
      </c>
      <c r="AJ65" s="74">
        <v>0</v>
      </c>
      <c r="AK65" s="76">
        <f>SUM(AK66:AK69)+SUMIFS(Aut_Ajustes_Manuais!$G:$G,Aut_Ajustes_Manuais!$I:$I,DRE!AI$4,Aut_Ajustes_Manuais!$F:$F,"Material de Consumo")</f>
        <v>0</v>
      </c>
      <c r="AL65" s="252">
        <v>0</v>
      </c>
      <c r="AM65" s="74">
        <v>0</v>
      </c>
      <c r="AN65" s="76">
        <f>SUM(AN66:AN69)+SUMIFS(Aut_Ajustes_Manuais!$G:$G,Aut_Ajustes_Manuais!$I:$I,DRE!AL$4,Aut_Ajustes_Manuais!$F:$F,"Material de Consumo")</f>
        <v>0</v>
      </c>
      <c r="AO65" s="252">
        <v>0</v>
      </c>
      <c r="AP65" s="74">
        <v>0</v>
      </c>
      <c r="AQ65" s="76">
        <f>SUM(AQ66:AQ69)+SUMIFS(Aut_Ajustes_Manuais!$G:$G,Aut_Ajustes_Manuais!$I:$I,DRE!AO$4,Aut_Ajustes_Manuais!$F:$F,"Material de Consumo")</f>
        <v>0</v>
      </c>
      <c r="AR65" s="74">
        <f t="shared" ca="1" si="61"/>
        <v>0</v>
      </c>
      <c r="AS65" s="74">
        <f t="shared" ca="1" si="62"/>
        <v>0</v>
      </c>
      <c r="AT65" s="76">
        <f t="shared" ca="1" si="63"/>
        <v>0</v>
      </c>
      <c r="AU65" s="252">
        <f t="shared" ref="AU65:BI65" si="76">SUM(AU66:AU69)</f>
        <v>0</v>
      </c>
      <c r="AV65" s="74">
        <f t="shared" si="76"/>
        <v>0</v>
      </c>
      <c r="AW65" s="76">
        <f t="shared" si="76"/>
        <v>0</v>
      </c>
      <c r="AX65" s="252">
        <f t="shared" si="76"/>
        <v>0</v>
      </c>
      <c r="AY65" s="74">
        <f t="shared" si="76"/>
        <v>0</v>
      </c>
      <c r="AZ65" s="76">
        <f t="shared" si="76"/>
        <v>0</v>
      </c>
      <c r="BA65" s="252">
        <f t="shared" si="76"/>
        <v>0</v>
      </c>
      <c r="BB65" s="74">
        <f t="shared" si="76"/>
        <v>0</v>
      </c>
      <c r="BC65" s="76">
        <f t="shared" si="76"/>
        <v>0</v>
      </c>
      <c r="BD65" s="252">
        <f t="shared" si="76"/>
        <v>0</v>
      </c>
      <c r="BE65" s="74">
        <f t="shared" si="76"/>
        <v>0</v>
      </c>
      <c r="BF65" s="76">
        <f t="shared" si="76"/>
        <v>0</v>
      </c>
      <c r="BG65" s="252">
        <f t="shared" si="76"/>
        <v>0</v>
      </c>
      <c r="BH65" s="74">
        <f t="shared" si="76"/>
        <v>0</v>
      </c>
      <c r="BI65" s="76">
        <f t="shared" si="76"/>
        <v>0</v>
      </c>
    </row>
    <row r="66" spans="1:61" s="29" customFormat="1" hidden="1" outlineLevel="1" x14ac:dyDescent="0.3">
      <c r="A66" s="22" t="s">
        <v>86</v>
      </c>
      <c r="B66" s="2"/>
      <c r="C66" s="24"/>
      <c r="D66" s="69" t="s">
        <v>76</v>
      </c>
      <c r="E66" s="80"/>
      <c r="F66" s="41"/>
      <c r="G66" s="23"/>
      <c r="H66" s="241">
        <v>0</v>
      </c>
      <c r="I66" s="81">
        <v>0</v>
      </c>
      <c r="J66" s="82">
        <f>SUMIFS(Aut_BlueMe_Sem_Pedido!$J:$J,Aut_BlueMe_Sem_Pedido!$Q:$Q,DRE!H$4,Aut_BlueMe_Sem_Pedido!$H:$H,DRE!$A66)+SUMIFS(Aut_Ajustes_Manuais!$G:$G,Aut_Ajustes_Manuais!$I:$I,DRE!H$4,Aut_Ajustes_Manuais!$F:$F,"Material Descartável - Eventos")</f>
        <v>0</v>
      </c>
      <c r="K66" s="254">
        <v>0</v>
      </c>
      <c r="L66" s="81">
        <v>0</v>
      </c>
      <c r="M66" s="82">
        <f>SUMIFS(Aut_BlueMe_Sem_Pedido!$J:$J,Aut_BlueMe_Sem_Pedido!$Q:$Q,DRE!K$4,Aut_BlueMe_Sem_Pedido!$H:$H,DRE!$A66)+SUMIFS(Aut_Ajustes_Manuais!$G:$G,Aut_Ajustes_Manuais!$I:$I,DRE!K$4,Aut_Ajustes_Manuais!$F:$F,"Material Descartável - Eventos")</f>
        <v>0</v>
      </c>
      <c r="N66" s="254">
        <v>0</v>
      </c>
      <c r="O66" s="81">
        <v>0</v>
      </c>
      <c r="P66" s="82">
        <f>SUMIFS(Aut_BlueMe_Sem_Pedido!$J:$J,Aut_BlueMe_Sem_Pedido!$Q:$Q,DRE!N$4,Aut_BlueMe_Sem_Pedido!$H:$H,DRE!$A66)+SUMIFS(Aut_Ajustes_Manuais!$G:$G,Aut_Ajustes_Manuais!$I:$I,DRE!N$4,Aut_Ajustes_Manuais!$F:$F,"Material Descartável - Eventos")</f>
        <v>0</v>
      </c>
      <c r="Q66" s="241">
        <v>0</v>
      </c>
      <c r="R66" s="81">
        <v>0</v>
      </c>
      <c r="S66" s="82">
        <f>SUMIFS(Aut_BlueMe_Sem_Pedido!$J:$J,Aut_BlueMe_Sem_Pedido!$Q:$Q,DRE!Q$4,Aut_BlueMe_Sem_Pedido!$H:$H,DRE!$A66)+SUMIFS(Aut_Ajustes_Manuais!$G:$G,Aut_Ajustes_Manuais!$I:$I,DRE!Q$4,Aut_Ajustes_Manuais!$F:$F,"Material Descartável - Eventos")</f>
        <v>0</v>
      </c>
      <c r="T66" s="241">
        <v>0</v>
      </c>
      <c r="U66" s="81">
        <v>0</v>
      </c>
      <c r="V66" s="82">
        <f>SUMIFS(Aut_BlueMe_Sem_Pedido!$J:$J,Aut_BlueMe_Sem_Pedido!$Q:$Q,DRE!T$4,Aut_BlueMe_Sem_Pedido!$H:$H,DRE!$A66)+SUMIFS(Aut_Ajustes_Manuais!$G:$G,Aut_Ajustes_Manuais!$I:$I,DRE!T$4,Aut_Ajustes_Manuais!$F:$F,"Material Descartável - Eventos")</f>
        <v>0</v>
      </c>
      <c r="W66" s="241">
        <v>0</v>
      </c>
      <c r="X66" s="81">
        <v>0</v>
      </c>
      <c r="Y66" s="82">
        <f>SUMIFS(Aut_BlueMe_Sem_Pedido!$J:$J,Aut_BlueMe_Sem_Pedido!$Q:$Q,DRE!W$4,Aut_BlueMe_Sem_Pedido!$H:$H,DRE!$A66)+SUMIFS(Aut_Ajustes_Manuais!$G:$G,Aut_Ajustes_Manuais!$I:$I,DRE!W$4,Aut_Ajustes_Manuais!$F:$F,"Material Descartável - Eventos")</f>
        <v>0</v>
      </c>
      <c r="Z66" s="241">
        <v>0</v>
      </c>
      <c r="AA66" s="81">
        <v>0</v>
      </c>
      <c r="AB66" s="82">
        <f>SUMIFS(Aut_BlueMe_Sem_Pedido!$J:$J,Aut_BlueMe_Sem_Pedido!$Q:$Q,DRE!Z$4,Aut_BlueMe_Sem_Pedido!$H:$H,DRE!$A66)+SUMIFS(Aut_Ajustes_Manuais!$G:$G,Aut_Ajustes_Manuais!$I:$I,DRE!Z$4,Aut_Ajustes_Manuais!$F:$F,"Material Descartável - Eventos")</f>
        <v>0</v>
      </c>
      <c r="AC66" s="241">
        <v>0</v>
      </c>
      <c r="AD66" s="81">
        <v>0</v>
      </c>
      <c r="AE66" s="82">
        <f>SUMIFS(Aut_BlueMe_Sem_Pedido!$J:$J,Aut_BlueMe_Sem_Pedido!$Q:$Q,DRE!AC$4,Aut_BlueMe_Sem_Pedido!$H:$H,DRE!$A66)+SUMIFS(Aut_Ajustes_Manuais!$G:$G,Aut_Ajustes_Manuais!$I:$I,DRE!AC$4,Aut_Ajustes_Manuais!$F:$F,"Material Descartável - Eventos")</f>
        <v>0</v>
      </c>
      <c r="AF66" s="241">
        <v>0</v>
      </c>
      <c r="AG66" s="81">
        <v>0</v>
      </c>
      <c r="AH66" s="82">
        <f>SUMIFS(Aut_BlueMe_Sem_Pedido!$J:$J,Aut_BlueMe_Sem_Pedido!$Q:$Q,DRE!AF$4,Aut_BlueMe_Sem_Pedido!$H:$H,DRE!$A66)+SUMIFS(Aut_Ajustes_Manuais!$G:$G,Aut_Ajustes_Manuais!$I:$I,DRE!AF$4,Aut_Ajustes_Manuais!$F:$F,"Material Descartável - Eventos")</f>
        <v>0</v>
      </c>
      <c r="AI66" s="241">
        <v>0</v>
      </c>
      <c r="AJ66" s="81">
        <v>0</v>
      </c>
      <c r="AK66" s="82">
        <f>SUMIFS(Aut_BlueMe_Sem_Pedido!$J:$J,Aut_BlueMe_Sem_Pedido!$Q:$Q,DRE!AI$4,Aut_BlueMe_Sem_Pedido!$H:$H,DRE!$A66)+SUMIFS(Aut_Ajustes_Manuais!$G:$G,Aut_Ajustes_Manuais!$I:$I,DRE!AI$4,Aut_Ajustes_Manuais!$F:$F,"Material Descartável - Eventos")</f>
        <v>0</v>
      </c>
      <c r="AL66" s="241">
        <v>0</v>
      </c>
      <c r="AM66" s="81">
        <v>0</v>
      </c>
      <c r="AN66" s="82">
        <f>SUMIFS(Aut_BlueMe_Sem_Pedido!$J:$J,Aut_BlueMe_Sem_Pedido!$Q:$Q,DRE!AL$4,Aut_BlueMe_Sem_Pedido!$H:$H,DRE!$A66)+SUMIFS(Aut_Ajustes_Manuais!$G:$G,Aut_Ajustes_Manuais!$I:$I,DRE!AL$4,Aut_Ajustes_Manuais!$F:$F,"Material Descartável - Eventos")</f>
        <v>0</v>
      </c>
      <c r="AO66" s="241">
        <v>0</v>
      </c>
      <c r="AP66" s="81">
        <v>0</v>
      </c>
      <c r="AQ66" s="82">
        <f>SUMIFS(Aut_BlueMe_Sem_Pedido!$J:$J,Aut_BlueMe_Sem_Pedido!$Q:$Q,DRE!AO$4,Aut_BlueMe_Sem_Pedido!$H:$H,DRE!$A66)+SUMIFS(Aut_Ajustes_Manuais!$G:$G,Aut_Ajustes_Manuais!$I:$I,DRE!AO$4,Aut_Ajustes_Manuais!$F:$F,"Material Descartável - Eventos")</f>
        <v>0</v>
      </c>
      <c r="AR66" s="241">
        <f t="shared" ca="1" si="61"/>
        <v>0</v>
      </c>
      <c r="AS66" s="27">
        <f t="shared" ca="1" si="62"/>
        <v>0</v>
      </c>
      <c r="AT66" s="82">
        <f t="shared" ca="1" si="63"/>
        <v>0</v>
      </c>
      <c r="AU66" s="241">
        <f t="shared" ref="AU66:AW69" si="77">SUM(H66,K66,N66,Q66,T66,W66,Z66,AC66,AF66,AI66,AL66,AO66)</f>
        <v>0</v>
      </c>
      <c r="AV66" s="81">
        <f t="shared" si="77"/>
        <v>0</v>
      </c>
      <c r="AW66" s="82">
        <f t="shared" si="77"/>
        <v>0</v>
      </c>
      <c r="AX66" s="241">
        <f t="shared" ref="AX66:AZ69" si="78">SUM(H66,K66,N66)</f>
        <v>0</v>
      </c>
      <c r="AY66" s="81">
        <f t="shared" si="78"/>
        <v>0</v>
      </c>
      <c r="AZ66" s="82">
        <f t="shared" si="78"/>
        <v>0</v>
      </c>
      <c r="BA66" s="241">
        <f t="shared" ref="BA66:BC69" si="79">SUM(Q66,T66,W66)</f>
        <v>0</v>
      </c>
      <c r="BB66" s="81">
        <f t="shared" si="79"/>
        <v>0</v>
      </c>
      <c r="BC66" s="82">
        <f t="shared" si="79"/>
        <v>0</v>
      </c>
      <c r="BD66" s="241">
        <f t="shared" ref="BD66:BF69" si="80">SUM(Z66,AC66,AF66)</f>
        <v>0</v>
      </c>
      <c r="BE66" s="81">
        <f t="shared" si="80"/>
        <v>0</v>
      </c>
      <c r="BF66" s="82">
        <f t="shared" si="80"/>
        <v>0</v>
      </c>
      <c r="BG66" s="241">
        <f t="shared" ref="BG66:BI69" si="81">SUM(AI66,AL66,AO66)</f>
        <v>0</v>
      </c>
      <c r="BH66" s="81">
        <f t="shared" si="81"/>
        <v>0</v>
      </c>
      <c r="BI66" s="82">
        <f t="shared" si="81"/>
        <v>0</v>
      </c>
    </row>
    <row r="67" spans="1:61" s="29" customFormat="1" hidden="1" outlineLevel="1" x14ac:dyDescent="0.3">
      <c r="A67" s="22" t="s">
        <v>87</v>
      </c>
      <c r="B67" s="2"/>
      <c r="C67" s="24"/>
      <c r="D67" s="69" t="s">
        <v>76</v>
      </c>
      <c r="E67" s="80"/>
      <c r="F67" s="41"/>
      <c r="G67" s="23"/>
      <c r="H67" s="241">
        <v>0</v>
      </c>
      <c r="I67" s="81">
        <v>0</v>
      </c>
      <c r="J67" s="82">
        <f>SUMIFS(Aut_BlueMe_Sem_Pedido!$J:$J,Aut_BlueMe_Sem_Pedido!$Q:$Q,DRE!H$4,Aut_BlueMe_Sem_Pedido!$H:$H,DRE!$A67)+SUMIFS(Aut_Ajustes_Manuais!$G:$G,Aut_Ajustes_Manuais!$I:$I,DRE!H$4,Aut_Ajustes_Manuais!$F:$F,"Brindes e Confraternizações - Eventos")</f>
        <v>0</v>
      </c>
      <c r="K67" s="254">
        <v>0</v>
      </c>
      <c r="L67" s="81">
        <v>0</v>
      </c>
      <c r="M67" s="82">
        <f>SUMIFS(Aut_BlueMe_Sem_Pedido!$J:$J,Aut_BlueMe_Sem_Pedido!$Q:$Q,DRE!K$4,Aut_BlueMe_Sem_Pedido!$H:$H,DRE!$A67)+SUMIFS(Aut_Ajustes_Manuais!$G:$G,Aut_Ajustes_Manuais!$I:$I,DRE!K$4,Aut_Ajustes_Manuais!$F:$F,"Brindes e Confraternizações - Eventos")</f>
        <v>0</v>
      </c>
      <c r="N67" s="254">
        <v>0</v>
      </c>
      <c r="O67" s="81">
        <v>0</v>
      </c>
      <c r="P67" s="82">
        <f>SUMIFS(Aut_BlueMe_Sem_Pedido!$J:$J,Aut_BlueMe_Sem_Pedido!$Q:$Q,DRE!N$4,Aut_BlueMe_Sem_Pedido!$H:$H,DRE!$A67)+SUMIFS(Aut_Ajustes_Manuais!$G:$G,Aut_Ajustes_Manuais!$I:$I,DRE!N$4,Aut_Ajustes_Manuais!$F:$F,"Brindes e Confraternizações - Eventos")</f>
        <v>0</v>
      </c>
      <c r="Q67" s="241">
        <v>0</v>
      </c>
      <c r="R67" s="81">
        <v>0</v>
      </c>
      <c r="S67" s="82">
        <f>SUMIFS(Aut_BlueMe_Sem_Pedido!$J:$J,Aut_BlueMe_Sem_Pedido!$Q:$Q,DRE!Q$4,Aut_BlueMe_Sem_Pedido!$H:$H,DRE!$A67)+SUMIFS(Aut_Ajustes_Manuais!$G:$G,Aut_Ajustes_Manuais!$I:$I,DRE!Q$4,Aut_Ajustes_Manuais!$F:$F,"Brindes e Confraternizações - Eventos")</f>
        <v>0</v>
      </c>
      <c r="T67" s="241">
        <v>0</v>
      </c>
      <c r="U67" s="81">
        <v>0</v>
      </c>
      <c r="V67" s="82">
        <f>SUMIFS(Aut_BlueMe_Sem_Pedido!$J:$J,Aut_BlueMe_Sem_Pedido!$Q:$Q,DRE!T$4,Aut_BlueMe_Sem_Pedido!$H:$H,DRE!$A67)+SUMIFS(Aut_Ajustes_Manuais!$G:$G,Aut_Ajustes_Manuais!$I:$I,DRE!T$4,Aut_Ajustes_Manuais!$F:$F,"Brindes e Confraternizações - Eventos")</f>
        <v>0</v>
      </c>
      <c r="W67" s="241">
        <v>0</v>
      </c>
      <c r="X67" s="81">
        <v>0</v>
      </c>
      <c r="Y67" s="82">
        <f>SUMIFS(Aut_BlueMe_Sem_Pedido!$J:$J,Aut_BlueMe_Sem_Pedido!$Q:$Q,DRE!W$4,Aut_BlueMe_Sem_Pedido!$H:$H,DRE!$A67)+SUMIFS(Aut_Ajustes_Manuais!$G:$G,Aut_Ajustes_Manuais!$I:$I,DRE!W$4,Aut_Ajustes_Manuais!$F:$F,"Brindes e Confraternizações - Eventos")</f>
        <v>0</v>
      </c>
      <c r="Z67" s="241">
        <v>0</v>
      </c>
      <c r="AA67" s="81">
        <v>0</v>
      </c>
      <c r="AB67" s="82">
        <f>SUMIFS(Aut_BlueMe_Sem_Pedido!$J:$J,Aut_BlueMe_Sem_Pedido!$Q:$Q,DRE!Z$4,Aut_BlueMe_Sem_Pedido!$H:$H,DRE!$A67)+SUMIFS(Aut_Ajustes_Manuais!$G:$G,Aut_Ajustes_Manuais!$I:$I,DRE!Z$4,Aut_Ajustes_Manuais!$F:$F,"Brindes e Confraternizações - Eventos")</f>
        <v>0</v>
      </c>
      <c r="AC67" s="241">
        <v>0</v>
      </c>
      <c r="AD67" s="81">
        <v>0</v>
      </c>
      <c r="AE67" s="82">
        <f>SUMIFS(Aut_BlueMe_Sem_Pedido!$J:$J,Aut_BlueMe_Sem_Pedido!$Q:$Q,DRE!AC$4,Aut_BlueMe_Sem_Pedido!$H:$H,DRE!$A67)+SUMIFS(Aut_Ajustes_Manuais!$G:$G,Aut_Ajustes_Manuais!$I:$I,DRE!AC$4,Aut_Ajustes_Manuais!$F:$F,"Brindes e Confraternizações - Eventos")</f>
        <v>0</v>
      </c>
      <c r="AF67" s="241">
        <v>0</v>
      </c>
      <c r="AG67" s="81">
        <v>0</v>
      </c>
      <c r="AH67" s="82">
        <f>SUMIFS(Aut_BlueMe_Sem_Pedido!$J:$J,Aut_BlueMe_Sem_Pedido!$Q:$Q,DRE!AF$4,Aut_BlueMe_Sem_Pedido!$H:$H,DRE!$A67)+SUMIFS(Aut_Ajustes_Manuais!$G:$G,Aut_Ajustes_Manuais!$I:$I,DRE!AF$4,Aut_Ajustes_Manuais!$F:$F,"Brindes e Confraternizações - Eventos")</f>
        <v>0</v>
      </c>
      <c r="AI67" s="241">
        <v>0</v>
      </c>
      <c r="AJ67" s="81">
        <v>0</v>
      </c>
      <c r="AK67" s="82">
        <f>SUMIFS(Aut_BlueMe_Sem_Pedido!$J:$J,Aut_BlueMe_Sem_Pedido!$Q:$Q,DRE!AI$4,Aut_BlueMe_Sem_Pedido!$H:$H,DRE!$A67)+SUMIFS(Aut_Ajustes_Manuais!$G:$G,Aut_Ajustes_Manuais!$I:$I,DRE!AI$4,Aut_Ajustes_Manuais!$F:$F,"Brindes e Confraternizações - Eventos")</f>
        <v>0</v>
      </c>
      <c r="AL67" s="241">
        <v>0</v>
      </c>
      <c r="AM67" s="81">
        <v>0</v>
      </c>
      <c r="AN67" s="82">
        <f>SUMIFS(Aut_BlueMe_Sem_Pedido!$J:$J,Aut_BlueMe_Sem_Pedido!$Q:$Q,DRE!AL$4,Aut_BlueMe_Sem_Pedido!$H:$H,DRE!$A67)+SUMIFS(Aut_Ajustes_Manuais!$G:$G,Aut_Ajustes_Manuais!$I:$I,DRE!AL$4,Aut_Ajustes_Manuais!$F:$F,"Brindes e Confraternizações - Eventos")</f>
        <v>0</v>
      </c>
      <c r="AO67" s="241">
        <v>0</v>
      </c>
      <c r="AP67" s="81">
        <v>0</v>
      </c>
      <c r="AQ67" s="82">
        <f>SUMIFS(Aut_BlueMe_Sem_Pedido!$J:$J,Aut_BlueMe_Sem_Pedido!$Q:$Q,DRE!AO$4,Aut_BlueMe_Sem_Pedido!$H:$H,DRE!$A67)+SUMIFS(Aut_Ajustes_Manuais!$G:$G,Aut_Ajustes_Manuais!$I:$I,DRE!AO$4,Aut_Ajustes_Manuais!$F:$F,"Brindes e Confraternizações - Eventos")</f>
        <v>0</v>
      </c>
      <c r="AR67" s="241">
        <f t="shared" ca="1" si="61"/>
        <v>0</v>
      </c>
      <c r="AS67" s="27">
        <f t="shared" ca="1" si="62"/>
        <v>0</v>
      </c>
      <c r="AT67" s="82">
        <f t="shared" ca="1" si="63"/>
        <v>0</v>
      </c>
      <c r="AU67" s="241">
        <f t="shared" si="77"/>
        <v>0</v>
      </c>
      <c r="AV67" s="81">
        <f t="shared" si="77"/>
        <v>0</v>
      </c>
      <c r="AW67" s="82">
        <f t="shared" si="77"/>
        <v>0</v>
      </c>
      <c r="AX67" s="241">
        <f t="shared" si="78"/>
        <v>0</v>
      </c>
      <c r="AY67" s="81">
        <f t="shared" si="78"/>
        <v>0</v>
      </c>
      <c r="AZ67" s="82">
        <f t="shared" si="78"/>
        <v>0</v>
      </c>
      <c r="BA67" s="241">
        <f t="shared" si="79"/>
        <v>0</v>
      </c>
      <c r="BB67" s="81">
        <f t="shared" si="79"/>
        <v>0</v>
      </c>
      <c r="BC67" s="82">
        <f t="shared" si="79"/>
        <v>0</v>
      </c>
      <c r="BD67" s="241">
        <f t="shared" si="80"/>
        <v>0</v>
      </c>
      <c r="BE67" s="81">
        <f t="shared" si="80"/>
        <v>0</v>
      </c>
      <c r="BF67" s="82">
        <f t="shared" si="80"/>
        <v>0</v>
      </c>
      <c r="BG67" s="241">
        <f t="shared" si="81"/>
        <v>0</v>
      </c>
      <c r="BH67" s="81">
        <f t="shared" si="81"/>
        <v>0</v>
      </c>
      <c r="BI67" s="82">
        <f t="shared" si="81"/>
        <v>0</v>
      </c>
    </row>
    <row r="68" spans="1:61" s="29" customFormat="1" hidden="1" outlineLevel="1" x14ac:dyDescent="0.3">
      <c r="A68" s="22" t="s">
        <v>88</v>
      </c>
      <c r="B68" s="2"/>
      <c r="C68" s="24"/>
      <c r="D68" s="69" t="s">
        <v>76</v>
      </c>
      <c r="E68" s="80"/>
      <c r="F68" s="41"/>
      <c r="G68" s="23"/>
      <c r="H68" s="241">
        <v>0</v>
      </c>
      <c r="I68" s="81">
        <v>0</v>
      </c>
      <c r="J68" s="82">
        <f>SUMIFS(Aut_BlueMe_Sem_Pedido!$J:$J,Aut_BlueMe_Sem_Pedido!$Q:$Q,DRE!H$4,Aut_BlueMe_Sem_Pedido!$H:$H,DRE!$A68)+SUMIFS(Aut_Ajustes_Manuais!$G:$G,Aut_Ajustes_Manuais!$I:$I,DRE!H$4,Aut_Ajustes_Manuais!$F:$F,"Material de Escritório - Eventos")</f>
        <v>0</v>
      </c>
      <c r="K68" s="254">
        <v>0</v>
      </c>
      <c r="L68" s="81">
        <v>0</v>
      </c>
      <c r="M68" s="82">
        <f>SUMIFS(Aut_BlueMe_Sem_Pedido!$J:$J,Aut_BlueMe_Sem_Pedido!$Q:$Q,DRE!K$4,Aut_BlueMe_Sem_Pedido!$H:$H,DRE!$A68)+SUMIFS(Aut_Ajustes_Manuais!$G:$G,Aut_Ajustes_Manuais!$I:$I,DRE!K$4,Aut_Ajustes_Manuais!$F:$F,"Material de Escritório - Eventos")</f>
        <v>0</v>
      </c>
      <c r="N68" s="254">
        <v>0</v>
      </c>
      <c r="O68" s="81">
        <v>0</v>
      </c>
      <c r="P68" s="82">
        <f>SUMIFS(Aut_BlueMe_Sem_Pedido!$J:$J,Aut_BlueMe_Sem_Pedido!$Q:$Q,DRE!N$4,Aut_BlueMe_Sem_Pedido!$H:$H,DRE!$A68)+SUMIFS(Aut_Ajustes_Manuais!$G:$G,Aut_Ajustes_Manuais!$I:$I,DRE!N$4,Aut_Ajustes_Manuais!$F:$F,"Material de Escritório - Eventos")</f>
        <v>0</v>
      </c>
      <c r="Q68" s="241">
        <v>0</v>
      </c>
      <c r="R68" s="81">
        <v>0</v>
      </c>
      <c r="S68" s="82">
        <f>SUMIFS(Aut_BlueMe_Sem_Pedido!$J:$J,Aut_BlueMe_Sem_Pedido!$Q:$Q,DRE!Q$4,Aut_BlueMe_Sem_Pedido!$H:$H,DRE!$A68)+SUMIFS(Aut_Ajustes_Manuais!$G:$G,Aut_Ajustes_Manuais!$I:$I,DRE!Q$4,Aut_Ajustes_Manuais!$F:$F,"Material de Escritório - Eventos")</f>
        <v>0</v>
      </c>
      <c r="T68" s="241">
        <v>0</v>
      </c>
      <c r="U68" s="81">
        <v>0</v>
      </c>
      <c r="V68" s="82">
        <f>SUMIFS(Aut_BlueMe_Sem_Pedido!$J:$J,Aut_BlueMe_Sem_Pedido!$Q:$Q,DRE!T$4,Aut_BlueMe_Sem_Pedido!$H:$H,DRE!$A68)+SUMIFS(Aut_Ajustes_Manuais!$G:$G,Aut_Ajustes_Manuais!$I:$I,DRE!T$4,Aut_Ajustes_Manuais!$F:$F,"Material de Escritório - Eventos")</f>
        <v>0</v>
      </c>
      <c r="W68" s="241">
        <v>0</v>
      </c>
      <c r="X68" s="81">
        <v>0</v>
      </c>
      <c r="Y68" s="82">
        <f>SUMIFS(Aut_BlueMe_Sem_Pedido!$J:$J,Aut_BlueMe_Sem_Pedido!$Q:$Q,DRE!W$4,Aut_BlueMe_Sem_Pedido!$H:$H,DRE!$A68)+SUMIFS(Aut_Ajustes_Manuais!$G:$G,Aut_Ajustes_Manuais!$I:$I,DRE!W$4,Aut_Ajustes_Manuais!$F:$F,"Material de Escritório - Eventos")</f>
        <v>0</v>
      </c>
      <c r="Z68" s="241">
        <v>0</v>
      </c>
      <c r="AA68" s="81">
        <v>0</v>
      </c>
      <c r="AB68" s="82">
        <f>SUMIFS(Aut_BlueMe_Sem_Pedido!$J:$J,Aut_BlueMe_Sem_Pedido!$Q:$Q,DRE!Z$4,Aut_BlueMe_Sem_Pedido!$H:$H,DRE!$A68)+SUMIFS(Aut_Ajustes_Manuais!$G:$G,Aut_Ajustes_Manuais!$I:$I,DRE!Z$4,Aut_Ajustes_Manuais!$F:$F,"Material de Escritório - Eventos")</f>
        <v>0</v>
      </c>
      <c r="AC68" s="241">
        <v>0</v>
      </c>
      <c r="AD68" s="81">
        <v>0</v>
      </c>
      <c r="AE68" s="82">
        <f>SUMIFS(Aut_BlueMe_Sem_Pedido!$J:$J,Aut_BlueMe_Sem_Pedido!$Q:$Q,DRE!AC$4,Aut_BlueMe_Sem_Pedido!$H:$H,DRE!$A68)+SUMIFS(Aut_Ajustes_Manuais!$G:$G,Aut_Ajustes_Manuais!$I:$I,DRE!AC$4,Aut_Ajustes_Manuais!$F:$F,"Material de Escritório - Eventos")</f>
        <v>0</v>
      </c>
      <c r="AF68" s="241">
        <v>0</v>
      </c>
      <c r="AG68" s="81">
        <v>0</v>
      </c>
      <c r="AH68" s="82">
        <f>SUMIFS(Aut_BlueMe_Sem_Pedido!$J:$J,Aut_BlueMe_Sem_Pedido!$Q:$Q,DRE!AF$4,Aut_BlueMe_Sem_Pedido!$H:$H,DRE!$A68)+SUMIFS(Aut_Ajustes_Manuais!$G:$G,Aut_Ajustes_Manuais!$I:$I,DRE!AF$4,Aut_Ajustes_Manuais!$F:$F,"Material de Escritório - Eventos")</f>
        <v>0</v>
      </c>
      <c r="AI68" s="241">
        <v>0</v>
      </c>
      <c r="AJ68" s="81">
        <v>0</v>
      </c>
      <c r="AK68" s="82">
        <f>SUMIFS(Aut_BlueMe_Sem_Pedido!$J:$J,Aut_BlueMe_Sem_Pedido!$Q:$Q,DRE!AI$4,Aut_BlueMe_Sem_Pedido!$H:$H,DRE!$A68)+SUMIFS(Aut_Ajustes_Manuais!$G:$G,Aut_Ajustes_Manuais!$I:$I,DRE!AI$4,Aut_Ajustes_Manuais!$F:$F,"Material de Escritório - Eventos")</f>
        <v>0</v>
      </c>
      <c r="AL68" s="241">
        <v>0</v>
      </c>
      <c r="AM68" s="81">
        <v>0</v>
      </c>
      <c r="AN68" s="82">
        <f>SUMIFS(Aut_BlueMe_Sem_Pedido!$J:$J,Aut_BlueMe_Sem_Pedido!$Q:$Q,DRE!AL$4,Aut_BlueMe_Sem_Pedido!$H:$H,DRE!$A68)+SUMIFS(Aut_Ajustes_Manuais!$G:$G,Aut_Ajustes_Manuais!$I:$I,DRE!AL$4,Aut_Ajustes_Manuais!$F:$F,"Material de Escritório - Eventos")</f>
        <v>0</v>
      </c>
      <c r="AO68" s="241">
        <v>0</v>
      </c>
      <c r="AP68" s="81">
        <v>0</v>
      </c>
      <c r="AQ68" s="82">
        <f>SUMIFS(Aut_BlueMe_Sem_Pedido!$J:$J,Aut_BlueMe_Sem_Pedido!$Q:$Q,DRE!AO$4,Aut_BlueMe_Sem_Pedido!$H:$H,DRE!$A68)+SUMIFS(Aut_Ajustes_Manuais!$G:$G,Aut_Ajustes_Manuais!$I:$I,DRE!AO$4,Aut_Ajustes_Manuais!$F:$F,"Material de Escritório - Eventos")</f>
        <v>0</v>
      </c>
      <c r="AR68" s="241">
        <f t="shared" ca="1" si="61"/>
        <v>0</v>
      </c>
      <c r="AS68" s="27">
        <f t="shared" ca="1" si="62"/>
        <v>0</v>
      </c>
      <c r="AT68" s="82">
        <f t="shared" ca="1" si="63"/>
        <v>0</v>
      </c>
      <c r="AU68" s="241">
        <f t="shared" si="77"/>
        <v>0</v>
      </c>
      <c r="AV68" s="81">
        <f t="shared" si="77"/>
        <v>0</v>
      </c>
      <c r="AW68" s="82">
        <f t="shared" si="77"/>
        <v>0</v>
      </c>
      <c r="AX68" s="241">
        <f t="shared" si="78"/>
        <v>0</v>
      </c>
      <c r="AY68" s="81">
        <f t="shared" si="78"/>
        <v>0</v>
      </c>
      <c r="AZ68" s="82">
        <f t="shared" si="78"/>
        <v>0</v>
      </c>
      <c r="BA68" s="241">
        <f t="shared" si="79"/>
        <v>0</v>
      </c>
      <c r="BB68" s="81">
        <f t="shared" si="79"/>
        <v>0</v>
      </c>
      <c r="BC68" s="82">
        <f t="shared" si="79"/>
        <v>0</v>
      </c>
      <c r="BD68" s="241">
        <f t="shared" si="80"/>
        <v>0</v>
      </c>
      <c r="BE68" s="81">
        <f t="shared" si="80"/>
        <v>0</v>
      </c>
      <c r="BF68" s="82">
        <f t="shared" si="80"/>
        <v>0</v>
      </c>
      <c r="BG68" s="241">
        <f t="shared" si="81"/>
        <v>0</v>
      </c>
      <c r="BH68" s="81">
        <f t="shared" si="81"/>
        <v>0</v>
      </c>
      <c r="BI68" s="82">
        <f t="shared" si="81"/>
        <v>0</v>
      </c>
    </row>
    <row r="69" spans="1:61" s="29" customFormat="1" hidden="1" outlineLevel="1" x14ac:dyDescent="0.3">
      <c r="A69" s="22" t="s">
        <v>89</v>
      </c>
      <c r="B69" s="2"/>
      <c r="C69" s="24"/>
      <c r="D69" s="69" t="s">
        <v>76</v>
      </c>
      <c r="E69" s="80"/>
      <c r="F69" s="41"/>
      <c r="G69" s="23"/>
      <c r="H69" s="241">
        <v>0</v>
      </c>
      <c r="I69" s="81">
        <v>0</v>
      </c>
      <c r="J69" s="82">
        <f>SUMIFS(Aut_BlueMe_Sem_Pedido!$J:$J,Aut_BlueMe_Sem_Pedido!$Q:$Q,DRE!H$4,Aut_BlueMe_Sem_Pedido!$H:$H,DRE!$A69)+SUMIFS(Aut_Ajustes_Manuais!$G:$G,Aut_Ajustes_Manuais!$I:$I,DRE!H$4,Aut_Ajustes_Manuais!$F:$F,"Material de Manutenção - Eventos")</f>
        <v>0</v>
      </c>
      <c r="K69" s="254">
        <v>0</v>
      </c>
      <c r="L69" s="81">
        <v>0</v>
      </c>
      <c r="M69" s="82">
        <f>SUMIFS(Aut_BlueMe_Sem_Pedido!$J:$J,Aut_BlueMe_Sem_Pedido!$Q:$Q,DRE!K$4,Aut_BlueMe_Sem_Pedido!$H:$H,DRE!$A69)+SUMIFS(Aut_Ajustes_Manuais!$G:$G,Aut_Ajustes_Manuais!$I:$I,DRE!K$4,Aut_Ajustes_Manuais!$F:$F,"Material de Manutenção - Eventos")</f>
        <v>0</v>
      </c>
      <c r="N69" s="254">
        <v>0</v>
      </c>
      <c r="O69" s="81">
        <v>0</v>
      </c>
      <c r="P69" s="82">
        <f>SUMIFS(Aut_BlueMe_Sem_Pedido!$J:$J,Aut_BlueMe_Sem_Pedido!$Q:$Q,DRE!N$4,Aut_BlueMe_Sem_Pedido!$H:$H,DRE!$A69)+SUMIFS(Aut_Ajustes_Manuais!$G:$G,Aut_Ajustes_Manuais!$I:$I,DRE!N$4,Aut_Ajustes_Manuais!$F:$F,"Material de Manutenção - Eventos")</f>
        <v>0</v>
      </c>
      <c r="Q69" s="241">
        <v>0</v>
      </c>
      <c r="R69" s="81">
        <v>0</v>
      </c>
      <c r="S69" s="82">
        <f>SUMIFS(Aut_BlueMe_Sem_Pedido!$J:$J,Aut_BlueMe_Sem_Pedido!$Q:$Q,DRE!Q$4,Aut_BlueMe_Sem_Pedido!$H:$H,DRE!$A69)+SUMIFS(Aut_Ajustes_Manuais!$G:$G,Aut_Ajustes_Manuais!$I:$I,DRE!Q$4,Aut_Ajustes_Manuais!$F:$F,"Material de Manutenção - Eventos")</f>
        <v>0</v>
      </c>
      <c r="T69" s="241">
        <v>0</v>
      </c>
      <c r="U69" s="81">
        <v>0</v>
      </c>
      <c r="V69" s="82">
        <f>SUMIFS(Aut_BlueMe_Sem_Pedido!$J:$J,Aut_BlueMe_Sem_Pedido!$Q:$Q,DRE!T$4,Aut_BlueMe_Sem_Pedido!$H:$H,DRE!$A69)+SUMIFS(Aut_Ajustes_Manuais!$G:$G,Aut_Ajustes_Manuais!$I:$I,DRE!T$4,Aut_Ajustes_Manuais!$F:$F,"Material de Manutenção - Eventos")</f>
        <v>0</v>
      </c>
      <c r="W69" s="241">
        <v>0</v>
      </c>
      <c r="X69" s="81">
        <v>0</v>
      </c>
      <c r="Y69" s="82">
        <f>SUMIFS(Aut_BlueMe_Sem_Pedido!$J:$J,Aut_BlueMe_Sem_Pedido!$Q:$Q,DRE!W$4,Aut_BlueMe_Sem_Pedido!$H:$H,DRE!$A69)+SUMIFS(Aut_Ajustes_Manuais!$G:$G,Aut_Ajustes_Manuais!$I:$I,DRE!W$4,Aut_Ajustes_Manuais!$F:$F,"Material de Manutenção - Eventos")</f>
        <v>0</v>
      </c>
      <c r="Z69" s="241">
        <v>0</v>
      </c>
      <c r="AA69" s="81">
        <v>0</v>
      </c>
      <c r="AB69" s="82">
        <f>SUMIFS(Aut_BlueMe_Sem_Pedido!$J:$J,Aut_BlueMe_Sem_Pedido!$Q:$Q,DRE!Z$4,Aut_BlueMe_Sem_Pedido!$H:$H,DRE!$A69)+SUMIFS(Aut_Ajustes_Manuais!$G:$G,Aut_Ajustes_Manuais!$I:$I,DRE!Z$4,Aut_Ajustes_Manuais!$F:$F,"Material de Manutenção - Eventos")</f>
        <v>0</v>
      </c>
      <c r="AC69" s="241">
        <v>0</v>
      </c>
      <c r="AD69" s="81">
        <v>0</v>
      </c>
      <c r="AE69" s="82">
        <f>SUMIFS(Aut_BlueMe_Sem_Pedido!$J:$J,Aut_BlueMe_Sem_Pedido!$Q:$Q,DRE!AC$4,Aut_BlueMe_Sem_Pedido!$H:$H,DRE!$A69)+SUMIFS(Aut_Ajustes_Manuais!$G:$G,Aut_Ajustes_Manuais!$I:$I,DRE!AC$4,Aut_Ajustes_Manuais!$F:$F,"Material de Manutenção - Eventos")</f>
        <v>0</v>
      </c>
      <c r="AF69" s="241">
        <v>0</v>
      </c>
      <c r="AG69" s="81">
        <v>0</v>
      </c>
      <c r="AH69" s="82">
        <f>SUMIFS(Aut_BlueMe_Sem_Pedido!$J:$J,Aut_BlueMe_Sem_Pedido!$Q:$Q,DRE!AF$4,Aut_BlueMe_Sem_Pedido!$H:$H,DRE!$A69)+SUMIFS(Aut_Ajustes_Manuais!$G:$G,Aut_Ajustes_Manuais!$I:$I,DRE!AF$4,Aut_Ajustes_Manuais!$F:$F,"Material de Manutenção - Eventos")</f>
        <v>0</v>
      </c>
      <c r="AI69" s="241">
        <v>0</v>
      </c>
      <c r="AJ69" s="81">
        <v>0</v>
      </c>
      <c r="AK69" s="82">
        <f>SUMIFS(Aut_BlueMe_Sem_Pedido!$J:$J,Aut_BlueMe_Sem_Pedido!$Q:$Q,DRE!AI$4,Aut_BlueMe_Sem_Pedido!$H:$H,DRE!$A69)+SUMIFS(Aut_Ajustes_Manuais!$G:$G,Aut_Ajustes_Manuais!$I:$I,DRE!AI$4,Aut_Ajustes_Manuais!$F:$F,"Material de Manutenção - Eventos")</f>
        <v>0</v>
      </c>
      <c r="AL69" s="241">
        <v>0</v>
      </c>
      <c r="AM69" s="81">
        <v>0</v>
      </c>
      <c r="AN69" s="82">
        <f>SUMIFS(Aut_BlueMe_Sem_Pedido!$J:$J,Aut_BlueMe_Sem_Pedido!$Q:$Q,DRE!AL$4,Aut_BlueMe_Sem_Pedido!$H:$H,DRE!$A69)+SUMIFS(Aut_Ajustes_Manuais!$G:$G,Aut_Ajustes_Manuais!$I:$I,DRE!AL$4,Aut_Ajustes_Manuais!$F:$F,"Material de Manutenção - Eventos")</f>
        <v>0</v>
      </c>
      <c r="AO69" s="241">
        <v>0</v>
      </c>
      <c r="AP69" s="81">
        <v>0</v>
      </c>
      <c r="AQ69" s="82">
        <f>SUMIFS(Aut_BlueMe_Sem_Pedido!$J:$J,Aut_BlueMe_Sem_Pedido!$Q:$Q,DRE!AO$4,Aut_BlueMe_Sem_Pedido!$H:$H,DRE!$A69)+SUMIFS(Aut_Ajustes_Manuais!$G:$G,Aut_Ajustes_Manuais!$I:$I,DRE!AO$4,Aut_Ajustes_Manuais!$F:$F,"Material de Manutenção - Eventos")</f>
        <v>0</v>
      </c>
      <c r="AR69" s="241">
        <f t="shared" ca="1" si="61"/>
        <v>0</v>
      </c>
      <c r="AS69" s="27">
        <f t="shared" ca="1" si="62"/>
        <v>0</v>
      </c>
      <c r="AT69" s="82">
        <f t="shared" ca="1" si="63"/>
        <v>0</v>
      </c>
      <c r="AU69" s="241">
        <f t="shared" si="77"/>
        <v>0</v>
      </c>
      <c r="AV69" s="81">
        <f t="shared" si="77"/>
        <v>0</v>
      </c>
      <c r="AW69" s="82">
        <f t="shared" si="77"/>
        <v>0</v>
      </c>
      <c r="AX69" s="241">
        <f t="shared" si="78"/>
        <v>0</v>
      </c>
      <c r="AY69" s="81">
        <f t="shared" si="78"/>
        <v>0</v>
      </c>
      <c r="AZ69" s="82">
        <f t="shared" si="78"/>
        <v>0</v>
      </c>
      <c r="BA69" s="241">
        <f t="shared" si="79"/>
        <v>0</v>
      </c>
      <c r="BB69" s="81">
        <f t="shared" si="79"/>
        <v>0</v>
      </c>
      <c r="BC69" s="82">
        <f t="shared" si="79"/>
        <v>0</v>
      </c>
      <c r="BD69" s="241">
        <f t="shared" si="80"/>
        <v>0</v>
      </c>
      <c r="BE69" s="81">
        <f t="shared" si="80"/>
        <v>0</v>
      </c>
      <c r="BF69" s="82">
        <f t="shared" si="80"/>
        <v>0</v>
      </c>
      <c r="BG69" s="241">
        <f t="shared" si="81"/>
        <v>0</v>
      </c>
      <c r="BH69" s="81">
        <f t="shared" si="81"/>
        <v>0</v>
      </c>
      <c r="BI69" s="82">
        <f t="shared" si="81"/>
        <v>0</v>
      </c>
    </row>
    <row r="70" spans="1:61" hidden="1" outlineLevel="1" x14ac:dyDescent="0.3">
      <c r="A70" s="73" t="s">
        <v>90</v>
      </c>
      <c r="C70" s="24"/>
      <c r="D70" s="69"/>
      <c r="E70" s="80"/>
      <c r="F70" s="41"/>
      <c r="H70" s="252">
        <v>0</v>
      </c>
      <c r="I70" s="74">
        <v>0</v>
      </c>
      <c r="J70" s="76">
        <f>SUM(J71:J72)+SUMIFS(Aut_Ajustes_Manuais!$G:$G,Aut_Ajustes_Manuais!$I:$I,DRE!H$4,Aut_Ajustes_Manuais!$F:$F,"Manutenção Geral")</f>
        <v>0</v>
      </c>
      <c r="K70" s="252">
        <v>0</v>
      </c>
      <c r="L70" s="74">
        <v>0</v>
      </c>
      <c r="M70" s="76">
        <f>SUM(M71:M72)+SUMIFS(Aut_Ajustes_Manuais!$G:$G,Aut_Ajustes_Manuais!$I:$I,DRE!K$4,Aut_Ajustes_Manuais!$F:$F,"Manutenção Geral")</f>
        <v>0</v>
      </c>
      <c r="N70" s="252">
        <v>0</v>
      </c>
      <c r="O70" s="74">
        <v>0</v>
      </c>
      <c r="P70" s="76">
        <f>SUM(P71:P72)+SUMIFS(Aut_Ajustes_Manuais!$G:$G,Aut_Ajustes_Manuais!$I:$I,DRE!N$4,Aut_Ajustes_Manuais!$F:$F,"Manutenção Geral")</f>
        <v>0</v>
      </c>
      <c r="Q70" s="252">
        <v>0</v>
      </c>
      <c r="R70" s="74">
        <v>0</v>
      </c>
      <c r="S70" s="76">
        <f>SUM(S71:S72)+SUMIFS(Aut_Ajustes_Manuais!$G:$G,Aut_Ajustes_Manuais!$I:$I,DRE!Q$4,Aut_Ajustes_Manuais!$F:$F,"Manutenção Geral")</f>
        <v>0</v>
      </c>
      <c r="T70" s="252">
        <v>0</v>
      </c>
      <c r="U70" s="74">
        <v>0</v>
      </c>
      <c r="V70" s="76">
        <f>SUM(V71:V72)+SUMIFS(Aut_Ajustes_Manuais!$G:$G,Aut_Ajustes_Manuais!$I:$I,DRE!T$4,Aut_Ajustes_Manuais!$F:$F,"Manutenção Geral")</f>
        <v>0</v>
      </c>
      <c r="W70" s="252">
        <v>0</v>
      </c>
      <c r="X70" s="74">
        <v>0</v>
      </c>
      <c r="Y70" s="76">
        <f>SUM(Y71:Y72)+SUMIFS(Aut_Ajustes_Manuais!$G:$G,Aut_Ajustes_Manuais!$I:$I,DRE!W$4,Aut_Ajustes_Manuais!$F:$F,"Manutenção Geral")</f>
        <v>0</v>
      </c>
      <c r="Z70" s="252">
        <v>0</v>
      </c>
      <c r="AA70" s="74">
        <v>0</v>
      </c>
      <c r="AB70" s="76">
        <f>SUM(AB71:AB72)+SUMIFS(Aut_Ajustes_Manuais!$G:$G,Aut_Ajustes_Manuais!$I:$I,DRE!Z$4,Aut_Ajustes_Manuais!$F:$F,"Manutenção Geral")</f>
        <v>0</v>
      </c>
      <c r="AC70" s="252">
        <v>0</v>
      </c>
      <c r="AD70" s="74">
        <v>0</v>
      </c>
      <c r="AE70" s="76">
        <f>SUM(AE71:AE72)+SUMIFS(Aut_Ajustes_Manuais!$G:$G,Aut_Ajustes_Manuais!$I:$I,DRE!AC$4,Aut_Ajustes_Manuais!$F:$F,"Manutenção Geral")</f>
        <v>0</v>
      </c>
      <c r="AF70" s="252">
        <v>0</v>
      </c>
      <c r="AG70" s="74">
        <v>0</v>
      </c>
      <c r="AH70" s="76">
        <f>SUM(AH71:AH72)+SUMIFS(Aut_Ajustes_Manuais!$G:$G,Aut_Ajustes_Manuais!$I:$I,DRE!AF$4,Aut_Ajustes_Manuais!$F:$F,"Manutenção Geral")</f>
        <v>0</v>
      </c>
      <c r="AI70" s="252">
        <v>0</v>
      </c>
      <c r="AJ70" s="74">
        <v>0</v>
      </c>
      <c r="AK70" s="76">
        <f>SUM(AK71:AK72)+SUMIFS(Aut_Ajustes_Manuais!$G:$G,Aut_Ajustes_Manuais!$I:$I,DRE!AI$4,Aut_Ajustes_Manuais!$F:$F,"Manutenção Geral")</f>
        <v>0</v>
      </c>
      <c r="AL70" s="252">
        <v>0</v>
      </c>
      <c r="AM70" s="74">
        <v>0</v>
      </c>
      <c r="AN70" s="76">
        <f>SUM(AN71:AN72)+SUMIFS(Aut_Ajustes_Manuais!$G:$G,Aut_Ajustes_Manuais!$I:$I,DRE!AL$4,Aut_Ajustes_Manuais!$F:$F,"Manutenção Geral")</f>
        <v>0</v>
      </c>
      <c r="AO70" s="252">
        <v>0</v>
      </c>
      <c r="AP70" s="74">
        <v>0</v>
      </c>
      <c r="AQ70" s="76">
        <f>SUM(AQ71:AQ72)+SUMIFS(Aut_Ajustes_Manuais!$G:$G,Aut_Ajustes_Manuais!$I:$I,DRE!AO$4,Aut_Ajustes_Manuais!$F:$F,"Manutenção Geral")</f>
        <v>0</v>
      </c>
      <c r="AR70" s="74">
        <f t="shared" ca="1" si="61"/>
        <v>0</v>
      </c>
      <c r="AS70" s="74">
        <f t="shared" ca="1" si="62"/>
        <v>0</v>
      </c>
      <c r="AT70" s="76">
        <f t="shared" ca="1" si="63"/>
        <v>0</v>
      </c>
      <c r="AU70" s="252">
        <f t="shared" ref="AU70:BI70" si="82">SUM(AU71:AU72)</f>
        <v>0</v>
      </c>
      <c r="AV70" s="74">
        <f t="shared" si="82"/>
        <v>0</v>
      </c>
      <c r="AW70" s="76">
        <f t="shared" si="82"/>
        <v>0</v>
      </c>
      <c r="AX70" s="252">
        <f t="shared" si="82"/>
        <v>0</v>
      </c>
      <c r="AY70" s="74">
        <f t="shared" si="82"/>
        <v>0</v>
      </c>
      <c r="AZ70" s="76">
        <f t="shared" si="82"/>
        <v>0</v>
      </c>
      <c r="BA70" s="252">
        <f t="shared" si="82"/>
        <v>0</v>
      </c>
      <c r="BB70" s="74">
        <f t="shared" si="82"/>
        <v>0</v>
      </c>
      <c r="BC70" s="76">
        <f t="shared" si="82"/>
        <v>0</v>
      </c>
      <c r="BD70" s="252">
        <f t="shared" si="82"/>
        <v>0</v>
      </c>
      <c r="BE70" s="74">
        <f t="shared" si="82"/>
        <v>0</v>
      </c>
      <c r="BF70" s="76">
        <f t="shared" si="82"/>
        <v>0</v>
      </c>
      <c r="BG70" s="252">
        <f t="shared" si="82"/>
        <v>0</v>
      </c>
      <c r="BH70" s="74">
        <f t="shared" si="82"/>
        <v>0</v>
      </c>
      <c r="BI70" s="76">
        <f t="shared" si="82"/>
        <v>0</v>
      </c>
    </row>
    <row r="71" spans="1:61" s="29" customFormat="1" hidden="1" outlineLevel="1" x14ac:dyDescent="0.3">
      <c r="A71" s="22" t="s">
        <v>91</v>
      </c>
      <c r="B71" s="2"/>
      <c r="C71" s="24" t="s">
        <v>92</v>
      </c>
      <c r="D71" s="69" t="s">
        <v>76</v>
      </c>
      <c r="E71" s="80"/>
      <c r="F71" s="41"/>
      <c r="G71" s="23"/>
      <c r="H71" s="241">
        <v>0</v>
      </c>
      <c r="I71" s="81">
        <v>0</v>
      </c>
      <c r="J71" s="82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>0</v>
      </c>
      <c r="K71" s="254">
        <v>0</v>
      </c>
      <c r="L71" s="81">
        <v>0</v>
      </c>
      <c r="M71" s="82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>0</v>
      </c>
      <c r="N71" s="254">
        <v>0</v>
      </c>
      <c r="O71" s="81">
        <v>0</v>
      </c>
      <c r="P71" s="82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>0</v>
      </c>
      <c r="Q71" s="241">
        <v>0</v>
      </c>
      <c r="R71" s="81">
        <v>0</v>
      </c>
      <c r="S71" s="82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>0</v>
      </c>
      <c r="T71" s="241">
        <v>0</v>
      </c>
      <c r="U71" s="81">
        <v>0</v>
      </c>
      <c r="V71" s="82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>0</v>
      </c>
      <c r="W71" s="241">
        <v>0</v>
      </c>
      <c r="X71" s="81">
        <v>0</v>
      </c>
      <c r="Y71" s="82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>0</v>
      </c>
      <c r="Z71" s="241">
        <v>0</v>
      </c>
      <c r="AA71" s="81">
        <v>0</v>
      </c>
      <c r="AB71" s="82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>0</v>
      </c>
      <c r="AC71" s="241">
        <v>0</v>
      </c>
      <c r="AD71" s="81">
        <v>0</v>
      </c>
      <c r="AE71" s="82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>0</v>
      </c>
      <c r="AF71" s="241">
        <v>0</v>
      </c>
      <c r="AG71" s="81">
        <v>0</v>
      </c>
      <c r="AH71" s="82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>0</v>
      </c>
      <c r="AI71" s="241">
        <v>0</v>
      </c>
      <c r="AJ71" s="81">
        <v>0</v>
      </c>
      <c r="AK71" s="82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>0</v>
      </c>
      <c r="AL71" s="241">
        <v>0</v>
      </c>
      <c r="AM71" s="81">
        <v>0</v>
      </c>
      <c r="AN71" s="82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>0</v>
      </c>
      <c r="AO71" s="241">
        <v>0</v>
      </c>
      <c r="AP71" s="81">
        <v>0</v>
      </c>
      <c r="AQ71" s="82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>0</v>
      </c>
      <c r="AR71" s="241">
        <f t="shared" ca="1" si="61"/>
        <v>0</v>
      </c>
      <c r="AS71" s="27">
        <f t="shared" ca="1" si="62"/>
        <v>0</v>
      </c>
      <c r="AT71" s="82">
        <f t="shared" ca="1" si="63"/>
        <v>0</v>
      </c>
      <c r="AU71" s="241">
        <f t="shared" ref="AU71:AW72" si="83">SUM(H71,K71,N71,Q71,T71,W71,Z71,AC71,AF71,AI71,AL71,AO71)</f>
        <v>0</v>
      </c>
      <c r="AV71" s="81">
        <f t="shared" si="83"/>
        <v>0</v>
      </c>
      <c r="AW71" s="82">
        <f t="shared" si="83"/>
        <v>0</v>
      </c>
      <c r="AX71" s="241">
        <f t="shared" ref="AX71:AZ72" si="84">SUM(H71,K71,N71)</f>
        <v>0</v>
      </c>
      <c r="AY71" s="81">
        <f t="shared" si="84"/>
        <v>0</v>
      </c>
      <c r="AZ71" s="82">
        <f t="shared" si="84"/>
        <v>0</v>
      </c>
      <c r="BA71" s="241">
        <f t="shared" ref="BA71:BC72" si="85">SUM(Q71,T71,W71)</f>
        <v>0</v>
      </c>
      <c r="BB71" s="81">
        <f t="shared" si="85"/>
        <v>0</v>
      </c>
      <c r="BC71" s="82">
        <f t="shared" si="85"/>
        <v>0</v>
      </c>
      <c r="BD71" s="241">
        <f t="shared" ref="BD71:BF72" si="86">SUM(Z71,AC71,AF71)</f>
        <v>0</v>
      </c>
      <c r="BE71" s="81">
        <f t="shared" si="86"/>
        <v>0</v>
      </c>
      <c r="BF71" s="82">
        <f t="shared" si="86"/>
        <v>0</v>
      </c>
      <c r="BG71" s="241">
        <f t="shared" ref="BG71:BI72" si="87">SUM(AI71,AL71,AO71)</f>
        <v>0</v>
      </c>
      <c r="BH71" s="81">
        <f t="shared" si="87"/>
        <v>0</v>
      </c>
      <c r="BI71" s="82">
        <f t="shared" si="87"/>
        <v>0</v>
      </c>
    </row>
    <row r="72" spans="1:61" s="29" customFormat="1" hidden="1" outlineLevel="1" x14ac:dyDescent="0.3">
      <c r="A72" s="22" t="s">
        <v>93</v>
      </c>
      <c r="B72" s="2"/>
      <c r="C72" s="24" t="s">
        <v>94</v>
      </c>
      <c r="D72" s="69" t="s">
        <v>76</v>
      </c>
      <c r="E72" s="80"/>
      <c r="F72" s="41"/>
      <c r="G72" s="23"/>
      <c r="H72" s="241">
        <v>0</v>
      </c>
      <c r="I72" s="81">
        <v>0</v>
      </c>
      <c r="J72" s="82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>0</v>
      </c>
      <c r="K72" s="254">
        <v>0</v>
      </c>
      <c r="L72" s="81">
        <v>0</v>
      </c>
      <c r="M72" s="82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>0</v>
      </c>
      <c r="N72" s="254">
        <v>0</v>
      </c>
      <c r="O72" s="81">
        <v>0</v>
      </c>
      <c r="P72" s="82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>0</v>
      </c>
      <c r="Q72" s="241">
        <v>0</v>
      </c>
      <c r="R72" s="81">
        <v>0</v>
      </c>
      <c r="S72" s="82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>0</v>
      </c>
      <c r="T72" s="241">
        <v>0</v>
      </c>
      <c r="U72" s="81">
        <v>0</v>
      </c>
      <c r="V72" s="82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>0</v>
      </c>
      <c r="W72" s="241">
        <v>0</v>
      </c>
      <c r="X72" s="81">
        <v>0</v>
      </c>
      <c r="Y72" s="82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>0</v>
      </c>
      <c r="Z72" s="241">
        <v>0</v>
      </c>
      <c r="AA72" s="81">
        <v>0</v>
      </c>
      <c r="AB72" s="82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>0</v>
      </c>
      <c r="AC72" s="241">
        <v>0</v>
      </c>
      <c r="AD72" s="81">
        <v>0</v>
      </c>
      <c r="AE72" s="82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>0</v>
      </c>
      <c r="AF72" s="241">
        <v>0</v>
      </c>
      <c r="AG72" s="81">
        <v>0</v>
      </c>
      <c r="AH72" s="82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>0</v>
      </c>
      <c r="AI72" s="241">
        <v>0</v>
      </c>
      <c r="AJ72" s="81">
        <v>0</v>
      </c>
      <c r="AK72" s="82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>0</v>
      </c>
      <c r="AL72" s="241">
        <v>0</v>
      </c>
      <c r="AM72" s="81">
        <v>0</v>
      </c>
      <c r="AN72" s="82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>0</v>
      </c>
      <c r="AO72" s="241">
        <v>0</v>
      </c>
      <c r="AP72" s="81">
        <v>0</v>
      </c>
      <c r="AQ72" s="82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>0</v>
      </c>
      <c r="AR72" s="241">
        <f t="shared" ca="1" si="61"/>
        <v>0</v>
      </c>
      <c r="AS72" s="27">
        <f t="shared" ca="1" si="62"/>
        <v>0</v>
      </c>
      <c r="AT72" s="82">
        <f t="shared" ca="1" si="63"/>
        <v>0</v>
      </c>
      <c r="AU72" s="241">
        <f t="shared" si="83"/>
        <v>0</v>
      </c>
      <c r="AV72" s="81">
        <f t="shared" si="83"/>
        <v>0</v>
      </c>
      <c r="AW72" s="82">
        <f t="shared" si="83"/>
        <v>0</v>
      </c>
      <c r="AX72" s="241">
        <f t="shared" si="84"/>
        <v>0</v>
      </c>
      <c r="AY72" s="81">
        <f t="shared" si="84"/>
        <v>0</v>
      </c>
      <c r="AZ72" s="82">
        <f t="shared" si="84"/>
        <v>0</v>
      </c>
      <c r="BA72" s="241">
        <f t="shared" si="85"/>
        <v>0</v>
      </c>
      <c r="BB72" s="81">
        <f t="shared" si="85"/>
        <v>0</v>
      </c>
      <c r="BC72" s="82">
        <f t="shared" si="85"/>
        <v>0</v>
      </c>
      <c r="BD72" s="241">
        <f t="shared" si="86"/>
        <v>0</v>
      </c>
      <c r="BE72" s="81">
        <f t="shared" si="86"/>
        <v>0</v>
      </c>
      <c r="BF72" s="82">
        <f t="shared" si="86"/>
        <v>0</v>
      </c>
      <c r="BG72" s="241">
        <f t="shared" si="87"/>
        <v>0</v>
      </c>
      <c r="BH72" s="81">
        <f t="shared" si="87"/>
        <v>0</v>
      </c>
      <c r="BI72" s="82">
        <f t="shared" si="87"/>
        <v>0</v>
      </c>
    </row>
    <row r="73" spans="1:61" hidden="1" outlineLevel="1" x14ac:dyDescent="0.3">
      <c r="A73" s="73" t="s">
        <v>95</v>
      </c>
      <c r="C73" s="24"/>
      <c r="D73" s="69"/>
      <c r="E73" s="80"/>
      <c r="F73" s="41"/>
      <c r="H73" s="252">
        <v>0</v>
      </c>
      <c r="I73" s="74">
        <v>0</v>
      </c>
      <c r="J73" s="76">
        <f>SUM(J74:J76)+SUMIFS(Aut_Ajustes_Manuais!$G:$G,Aut_Ajustes_Manuais!$I:$I,DRE!H$4,Aut_Ajustes_Manuais!$F:$F,"Transportes")</f>
        <v>0</v>
      </c>
      <c r="K73" s="252">
        <v>0</v>
      </c>
      <c r="L73" s="74">
        <v>0</v>
      </c>
      <c r="M73" s="76">
        <f>SUM(M74:M76)+SUMIFS(Aut_Ajustes_Manuais!$G:$G,Aut_Ajustes_Manuais!$I:$I,DRE!K$4,Aut_Ajustes_Manuais!$F:$F,"Transportes")</f>
        <v>0</v>
      </c>
      <c r="N73" s="252">
        <v>0</v>
      </c>
      <c r="O73" s="74">
        <v>0</v>
      </c>
      <c r="P73" s="76">
        <f>SUM(P74:P76)+SUMIFS(Aut_Ajustes_Manuais!$G:$G,Aut_Ajustes_Manuais!$I:$I,DRE!N$4,Aut_Ajustes_Manuais!$F:$F,"Transportes")</f>
        <v>0</v>
      </c>
      <c r="Q73" s="252">
        <v>0</v>
      </c>
      <c r="R73" s="74">
        <v>0</v>
      </c>
      <c r="S73" s="76">
        <f>SUM(S74:S76)+SUMIFS(Aut_Ajustes_Manuais!$G:$G,Aut_Ajustes_Manuais!$I:$I,DRE!Q$4,Aut_Ajustes_Manuais!$F:$F,"Transportes")</f>
        <v>0</v>
      </c>
      <c r="T73" s="252">
        <v>0</v>
      </c>
      <c r="U73" s="74">
        <v>0</v>
      </c>
      <c r="V73" s="76">
        <f>SUM(V74:V76)+SUMIFS(Aut_Ajustes_Manuais!$G:$G,Aut_Ajustes_Manuais!$I:$I,DRE!T$4,Aut_Ajustes_Manuais!$F:$F,"Transportes")</f>
        <v>0</v>
      </c>
      <c r="W73" s="252">
        <v>0</v>
      </c>
      <c r="X73" s="74">
        <v>0</v>
      </c>
      <c r="Y73" s="76">
        <f>SUM(Y74:Y76)+SUMIFS(Aut_Ajustes_Manuais!$G:$G,Aut_Ajustes_Manuais!$I:$I,DRE!W$4,Aut_Ajustes_Manuais!$F:$F,"Transportes")</f>
        <v>0</v>
      </c>
      <c r="Z73" s="252">
        <v>0</v>
      </c>
      <c r="AA73" s="74">
        <v>0</v>
      </c>
      <c r="AB73" s="76">
        <f>SUM(AB74:AB76)+SUMIFS(Aut_Ajustes_Manuais!$G:$G,Aut_Ajustes_Manuais!$I:$I,DRE!Z$4,Aut_Ajustes_Manuais!$F:$F,"Transportes")</f>
        <v>0</v>
      </c>
      <c r="AC73" s="252">
        <v>0</v>
      </c>
      <c r="AD73" s="74">
        <v>0</v>
      </c>
      <c r="AE73" s="76">
        <f>SUM(AE74:AE76)+SUMIFS(Aut_Ajustes_Manuais!$G:$G,Aut_Ajustes_Manuais!$I:$I,DRE!AC$4,Aut_Ajustes_Manuais!$F:$F,"Transportes")</f>
        <v>0</v>
      </c>
      <c r="AF73" s="252">
        <v>0</v>
      </c>
      <c r="AG73" s="74">
        <v>0</v>
      </c>
      <c r="AH73" s="76">
        <f>SUM(AH74:AH76)+SUMIFS(Aut_Ajustes_Manuais!$G:$G,Aut_Ajustes_Manuais!$I:$I,DRE!AF$4,Aut_Ajustes_Manuais!$F:$F,"Transportes")</f>
        <v>0</v>
      </c>
      <c r="AI73" s="252">
        <v>0</v>
      </c>
      <c r="AJ73" s="74">
        <v>0</v>
      </c>
      <c r="AK73" s="76">
        <f>SUM(AK74:AK76)+SUMIFS(Aut_Ajustes_Manuais!$G:$G,Aut_Ajustes_Manuais!$I:$I,DRE!AI$4,Aut_Ajustes_Manuais!$F:$F,"Transportes")</f>
        <v>0</v>
      </c>
      <c r="AL73" s="252">
        <v>0</v>
      </c>
      <c r="AM73" s="74">
        <v>0</v>
      </c>
      <c r="AN73" s="76">
        <f>SUM(AN74:AN76)+SUMIFS(Aut_Ajustes_Manuais!$G:$G,Aut_Ajustes_Manuais!$I:$I,DRE!AL$4,Aut_Ajustes_Manuais!$F:$F,"Transportes")</f>
        <v>0</v>
      </c>
      <c r="AO73" s="252">
        <v>0</v>
      </c>
      <c r="AP73" s="74">
        <v>0</v>
      </c>
      <c r="AQ73" s="76">
        <f>SUM(AQ74:AQ76)+SUMIFS(Aut_Ajustes_Manuais!$G:$G,Aut_Ajustes_Manuais!$I:$I,DRE!AO$4,Aut_Ajustes_Manuais!$F:$F,"Transportes")</f>
        <v>0</v>
      </c>
      <c r="AR73" s="74">
        <f t="shared" ca="1" si="61"/>
        <v>0</v>
      </c>
      <c r="AS73" s="74">
        <f t="shared" ca="1" si="62"/>
        <v>0</v>
      </c>
      <c r="AT73" s="76">
        <f t="shared" ca="1" si="63"/>
        <v>0</v>
      </c>
      <c r="AU73" s="252">
        <f t="shared" ref="AU73:BI73" si="88">SUM(AU74:AU76)</f>
        <v>0</v>
      </c>
      <c r="AV73" s="74">
        <f t="shared" si="88"/>
        <v>0</v>
      </c>
      <c r="AW73" s="76">
        <f t="shared" si="88"/>
        <v>0</v>
      </c>
      <c r="AX73" s="252">
        <f t="shared" si="88"/>
        <v>0</v>
      </c>
      <c r="AY73" s="74">
        <f t="shared" si="88"/>
        <v>0</v>
      </c>
      <c r="AZ73" s="76">
        <f t="shared" si="88"/>
        <v>0</v>
      </c>
      <c r="BA73" s="252">
        <f t="shared" si="88"/>
        <v>0</v>
      </c>
      <c r="BB73" s="74">
        <f t="shared" si="88"/>
        <v>0</v>
      </c>
      <c r="BC73" s="76">
        <f t="shared" si="88"/>
        <v>0</v>
      </c>
      <c r="BD73" s="252">
        <f t="shared" si="88"/>
        <v>0</v>
      </c>
      <c r="BE73" s="74">
        <f t="shared" si="88"/>
        <v>0</v>
      </c>
      <c r="BF73" s="76">
        <f t="shared" si="88"/>
        <v>0</v>
      </c>
      <c r="BG73" s="252">
        <f t="shared" si="88"/>
        <v>0</v>
      </c>
      <c r="BH73" s="74">
        <f t="shared" si="88"/>
        <v>0</v>
      </c>
      <c r="BI73" s="76">
        <f t="shared" si="88"/>
        <v>0</v>
      </c>
    </row>
    <row r="74" spans="1:61" s="29" customFormat="1" hidden="1" outlineLevel="1" x14ac:dyDescent="0.3">
      <c r="A74" s="22" t="s">
        <v>96</v>
      </c>
      <c r="B74" s="2"/>
      <c r="C74" s="24" t="s">
        <v>97</v>
      </c>
      <c r="D74" s="69" t="s">
        <v>76</v>
      </c>
      <c r="E74" s="80"/>
      <c r="F74" s="41"/>
      <c r="G74" s="23"/>
      <c r="H74" s="241">
        <v>0</v>
      </c>
      <c r="I74" s="81">
        <v>0</v>
      </c>
      <c r="J74" s="82">
        <f>SUMIFS(Aut_BlueMe_Sem_Pedido!$J:$J,Aut_BlueMe_Sem_Pedido!$Q:$Q,DRE!H$4,Aut_BlueMe_Sem_Pedido!$H:$H,DRE!$A74)+SUMIFS(Aut_Ajustes_Manuais!$G:$G,Aut_Ajustes_Manuais!$I:$I,DRE!H$4,Aut_Ajustes_Manuais!$F:$F,"Viagens e Estadias - Eventos")</f>
        <v>0</v>
      </c>
      <c r="K74" s="254">
        <v>0</v>
      </c>
      <c r="L74" s="81">
        <v>0</v>
      </c>
      <c r="M74" s="82">
        <f>SUMIFS(Aut_BlueMe_Sem_Pedido!$J:$J,Aut_BlueMe_Sem_Pedido!$Q:$Q,DRE!K$4,Aut_BlueMe_Sem_Pedido!$H:$H,DRE!$A74)+SUMIFS(Aut_Ajustes_Manuais!$G:$G,Aut_Ajustes_Manuais!$I:$I,DRE!K$4,Aut_Ajustes_Manuais!$F:$F,"Viagens e Estadias - Eventos")</f>
        <v>0</v>
      </c>
      <c r="N74" s="254">
        <v>0</v>
      </c>
      <c r="O74" s="81">
        <v>0</v>
      </c>
      <c r="P74" s="82">
        <f>SUMIFS(Aut_BlueMe_Sem_Pedido!$J:$J,Aut_BlueMe_Sem_Pedido!$Q:$Q,DRE!N$4,Aut_BlueMe_Sem_Pedido!$H:$H,DRE!$A74)+SUMIFS(Aut_Ajustes_Manuais!$G:$G,Aut_Ajustes_Manuais!$I:$I,DRE!N$4,Aut_Ajustes_Manuais!$F:$F,"Viagens e Estadias - Eventos")</f>
        <v>0</v>
      </c>
      <c r="Q74" s="241">
        <v>0</v>
      </c>
      <c r="R74" s="81">
        <v>0</v>
      </c>
      <c r="S74" s="82">
        <f>SUMIFS(Aut_BlueMe_Sem_Pedido!$J:$J,Aut_BlueMe_Sem_Pedido!$Q:$Q,DRE!Q$4,Aut_BlueMe_Sem_Pedido!$H:$H,DRE!$A74)+SUMIFS(Aut_Ajustes_Manuais!$G:$G,Aut_Ajustes_Manuais!$I:$I,DRE!Q$4,Aut_Ajustes_Manuais!$F:$F,"Viagens e Estadias - Eventos")</f>
        <v>0</v>
      </c>
      <c r="T74" s="241">
        <v>0</v>
      </c>
      <c r="U74" s="81">
        <v>0</v>
      </c>
      <c r="V74" s="82">
        <f>SUMIFS(Aut_BlueMe_Sem_Pedido!$J:$J,Aut_BlueMe_Sem_Pedido!$Q:$Q,DRE!T$4,Aut_BlueMe_Sem_Pedido!$H:$H,DRE!$A74)+SUMIFS(Aut_Ajustes_Manuais!$G:$G,Aut_Ajustes_Manuais!$I:$I,DRE!T$4,Aut_Ajustes_Manuais!$F:$F,"Viagens e Estadias - Eventos")</f>
        <v>0</v>
      </c>
      <c r="W74" s="241">
        <v>0</v>
      </c>
      <c r="X74" s="81">
        <v>0</v>
      </c>
      <c r="Y74" s="82">
        <f>SUMIFS(Aut_BlueMe_Sem_Pedido!$J:$J,Aut_BlueMe_Sem_Pedido!$Q:$Q,DRE!W$4,Aut_BlueMe_Sem_Pedido!$H:$H,DRE!$A74)+SUMIFS(Aut_Ajustes_Manuais!$G:$G,Aut_Ajustes_Manuais!$I:$I,DRE!W$4,Aut_Ajustes_Manuais!$F:$F,"Viagens e Estadias - Eventos")</f>
        <v>0</v>
      </c>
      <c r="Z74" s="241">
        <v>0</v>
      </c>
      <c r="AA74" s="81">
        <v>0</v>
      </c>
      <c r="AB74" s="82">
        <f>SUMIFS(Aut_BlueMe_Sem_Pedido!$J:$J,Aut_BlueMe_Sem_Pedido!$Q:$Q,DRE!Z$4,Aut_BlueMe_Sem_Pedido!$H:$H,DRE!$A74)+SUMIFS(Aut_Ajustes_Manuais!$G:$G,Aut_Ajustes_Manuais!$I:$I,DRE!Z$4,Aut_Ajustes_Manuais!$F:$F,"Viagens e Estadias - Eventos")</f>
        <v>0</v>
      </c>
      <c r="AC74" s="241">
        <v>0</v>
      </c>
      <c r="AD74" s="81">
        <v>0</v>
      </c>
      <c r="AE74" s="82">
        <f>SUMIFS(Aut_BlueMe_Sem_Pedido!$J:$J,Aut_BlueMe_Sem_Pedido!$Q:$Q,DRE!AC$4,Aut_BlueMe_Sem_Pedido!$H:$H,DRE!$A74)+SUMIFS(Aut_Ajustes_Manuais!$G:$G,Aut_Ajustes_Manuais!$I:$I,DRE!AC$4,Aut_Ajustes_Manuais!$F:$F,"Viagens e Estadias - Eventos")</f>
        <v>0</v>
      </c>
      <c r="AF74" s="241">
        <v>0</v>
      </c>
      <c r="AG74" s="81">
        <v>0</v>
      </c>
      <c r="AH74" s="82">
        <f>SUMIFS(Aut_BlueMe_Sem_Pedido!$J:$J,Aut_BlueMe_Sem_Pedido!$Q:$Q,DRE!AF$4,Aut_BlueMe_Sem_Pedido!$H:$H,DRE!$A74)+SUMIFS(Aut_Ajustes_Manuais!$G:$G,Aut_Ajustes_Manuais!$I:$I,DRE!AF$4,Aut_Ajustes_Manuais!$F:$F,"Viagens e Estadias - Eventos")</f>
        <v>0</v>
      </c>
      <c r="AI74" s="241">
        <v>0</v>
      </c>
      <c r="AJ74" s="81">
        <v>0</v>
      </c>
      <c r="AK74" s="82">
        <f>SUMIFS(Aut_BlueMe_Sem_Pedido!$J:$J,Aut_BlueMe_Sem_Pedido!$Q:$Q,DRE!AI$4,Aut_BlueMe_Sem_Pedido!$H:$H,DRE!$A74)+SUMIFS(Aut_Ajustes_Manuais!$G:$G,Aut_Ajustes_Manuais!$I:$I,DRE!AI$4,Aut_Ajustes_Manuais!$F:$F,"Viagens e Estadias - Eventos")</f>
        <v>0</v>
      </c>
      <c r="AL74" s="241">
        <v>0</v>
      </c>
      <c r="AM74" s="81">
        <v>0</v>
      </c>
      <c r="AN74" s="82">
        <f>SUMIFS(Aut_BlueMe_Sem_Pedido!$J:$J,Aut_BlueMe_Sem_Pedido!$Q:$Q,DRE!AL$4,Aut_BlueMe_Sem_Pedido!$H:$H,DRE!$A74)+SUMIFS(Aut_Ajustes_Manuais!$G:$G,Aut_Ajustes_Manuais!$I:$I,DRE!AL$4,Aut_Ajustes_Manuais!$F:$F,"Viagens e Estadias - Eventos")</f>
        <v>0</v>
      </c>
      <c r="AO74" s="241">
        <v>0</v>
      </c>
      <c r="AP74" s="81">
        <v>0</v>
      </c>
      <c r="AQ74" s="82">
        <f>SUMIFS(Aut_BlueMe_Sem_Pedido!$J:$J,Aut_BlueMe_Sem_Pedido!$Q:$Q,DRE!AO$4,Aut_BlueMe_Sem_Pedido!$H:$H,DRE!$A74)+SUMIFS(Aut_Ajustes_Manuais!$G:$G,Aut_Ajustes_Manuais!$I:$I,DRE!AO$4,Aut_Ajustes_Manuais!$F:$F,"Viagens e Estadias - Eventos")</f>
        <v>0</v>
      </c>
      <c r="AR74" s="241">
        <f t="shared" ca="1" si="61"/>
        <v>0</v>
      </c>
      <c r="AS74" s="27">
        <f t="shared" ca="1" si="62"/>
        <v>0</v>
      </c>
      <c r="AT74" s="82">
        <f t="shared" ca="1" si="63"/>
        <v>0</v>
      </c>
      <c r="AU74" s="241">
        <f t="shared" ref="AU74:AW76" si="89">SUM(H74,K74,N74,Q74,T74,W74,Z74,AC74,AF74,AI74,AL74,AO74)</f>
        <v>0</v>
      </c>
      <c r="AV74" s="81">
        <f t="shared" si="89"/>
        <v>0</v>
      </c>
      <c r="AW74" s="82">
        <f t="shared" si="89"/>
        <v>0</v>
      </c>
      <c r="AX74" s="241">
        <f t="shared" ref="AX74:AZ76" si="90">SUM(H74,K74,N74)</f>
        <v>0</v>
      </c>
      <c r="AY74" s="81">
        <f t="shared" si="90"/>
        <v>0</v>
      </c>
      <c r="AZ74" s="82">
        <f t="shared" si="90"/>
        <v>0</v>
      </c>
      <c r="BA74" s="241">
        <f t="shared" ref="BA74:BC76" si="91">SUM(Q74,T74,W74)</f>
        <v>0</v>
      </c>
      <c r="BB74" s="81">
        <f t="shared" si="91"/>
        <v>0</v>
      </c>
      <c r="BC74" s="82">
        <f t="shared" si="91"/>
        <v>0</v>
      </c>
      <c r="BD74" s="241">
        <f t="shared" ref="BD74:BF76" si="92">SUM(Z74,AC74,AF74)</f>
        <v>0</v>
      </c>
      <c r="BE74" s="81">
        <f t="shared" si="92"/>
        <v>0</v>
      </c>
      <c r="BF74" s="82">
        <f t="shared" si="92"/>
        <v>0</v>
      </c>
      <c r="BG74" s="241">
        <f t="shared" ref="BG74:BI76" si="93">SUM(AI74,AL74,AO74)</f>
        <v>0</v>
      </c>
      <c r="BH74" s="81">
        <f t="shared" si="93"/>
        <v>0</v>
      </c>
      <c r="BI74" s="82">
        <f t="shared" si="93"/>
        <v>0</v>
      </c>
    </row>
    <row r="75" spans="1:61" s="29" customFormat="1" ht="25.2" hidden="1" customHeight="1" outlineLevel="1" x14ac:dyDescent="0.3">
      <c r="A75" s="22" t="s">
        <v>98</v>
      </c>
      <c r="B75" s="2"/>
      <c r="C75" s="24" t="s">
        <v>99</v>
      </c>
      <c r="D75" s="69" t="s">
        <v>76</v>
      </c>
      <c r="E75" s="80"/>
      <c r="F75" s="41"/>
      <c r="G75" s="23"/>
      <c r="H75" s="241">
        <v>0</v>
      </c>
      <c r="I75" s="81">
        <v>0</v>
      </c>
      <c r="J75" s="82">
        <f>SUMIFS(Aut_BlueMe_Sem_Pedido!$J:$J,Aut_BlueMe_Sem_Pedido!$Q:$Q,DRE!H$4,Aut_BlueMe_Sem_Pedido!$H:$H,DRE!$A75)+SUMIFS(Aut_Ajustes_Manuais!$G:$G,Aut_Ajustes_Manuais!$I:$I,DRE!H$4,Aut_Ajustes_Manuais!$F:$F,"Transporte Equipe - Eventos")</f>
        <v>0</v>
      </c>
      <c r="K75" s="254">
        <v>0</v>
      </c>
      <c r="L75" s="81">
        <v>0</v>
      </c>
      <c r="M75" s="82">
        <f>SUMIFS(Aut_BlueMe_Sem_Pedido!$J:$J,Aut_BlueMe_Sem_Pedido!$Q:$Q,DRE!K$4,Aut_BlueMe_Sem_Pedido!$H:$H,DRE!$A75)+SUMIFS(Aut_Ajustes_Manuais!$G:$G,Aut_Ajustes_Manuais!$I:$I,DRE!K$4,Aut_Ajustes_Manuais!$F:$F,"Transporte Equipe - Eventos")</f>
        <v>0</v>
      </c>
      <c r="N75" s="254">
        <v>0</v>
      </c>
      <c r="O75" s="81">
        <v>0</v>
      </c>
      <c r="P75" s="82">
        <f>SUMIFS(Aut_BlueMe_Sem_Pedido!$J:$J,Aut_BlueMe_Sem_Pedido!$Q:$Q,DRE!N$4,Aut_BlueMe_Sem_Pedido!$H:$H,DRE!$A75)+SUMIFS(Aut_Ajustes_Manuais!$G:$G,Aut_Ajustes_Manuais!$I:$I,DRE!N$4,Aut_Ajustes_Manuais!$F:$F,"Transporte Equipe - Eventos")</f>
        <v>0</v>
      </c>
      <c r="Q75" s="241">
        <v>0</v>
      </c>
      <c r="R75" s="81">
        <v>0</v>
      </c>
      <c r="S75" s="82">
        <f>SUMIFS(Aut_BlueMe_Sem_Pedido!$J:$J,Aut_BlueMe_Sem_Pedido!$Q:$Q,DRE!Q$4,Aut_BlueMe_Sem_Pedido!$H:$H,DRE!$A75)+SUMIFS(Aut_Ajustes_Manuais!$G:$G,Aut_Ajustes_Manuais!$I:$I,DRE!Q$4,Aut_Ajustes_Manuais!$F:$F,"Transporte Equipe - Eventos")</f>
        <v>0</v>
      </c>
      <c r="T75" s="241">
        <v>0</v>
      </c>
      <c r="U75" s="81">
        <v>0</v>
      </c>
      <c r="V75" s="82">
        <f>SUMIFS(Aut_BlueMe_Sem_Pedido!$J:$J,Aut_BlueMe_Sem_Pedido!$Q:$Q,DRE!T$4,Aut_BlueMe_Sem_Pedido!$H:$H,DRE!$A75)+SUMIFS(Aut_Ajustes_Manuais!$G:$G,Aut_Ajustes_Manuais!$I:$I,DRE!T$4,Aut_Ajustes_Manuais!$F:$F,"Transporte Equipe - Eventos")</f>
        <v>0</v>
      </c>
      <c r="W75" s="241">
        <v>0</v>
      </c>
      <c r="X75" s="81">
        <v>0</v>
      </c>
      <c r="Y75" s="82">
        <f>SUMIFS(Aut_BlueMe_Sem_Pedido!$J:$J,Aut_BlueMe_Sem_Pedido!$Q:$Q,DRE!W$4,Aut_BlueMe_Sem_Pedido!$H:$H,DRE!$A75)+SUMIFS(Aut_Ajustes_Manuais!$G:$G,Aut_Ajustes_Manuais!$I:$I,DRE!W$4,Aut_Ajustes_Manuais!$F:$F,"Transporte Equipe - Eventos")</f>
        <v>0</v>
      </c>
      <c r="Z75" s="241">
        <v>0</v>
      </c>
      <c r="AA75" s="81">
        <v>0</v>
      </c>
      <c r="AB75" s="82">
        <f>SUMIFS(Aut_BlueMe_Sem_Pedido!$J:$J,Aut_BlueMe_Sem_Pedido!$Q:$Q,DRE!Z$4,Aut_BlueMe_Sem_Pedido!$H:$H,DRE!$A75)+SUMIFS(Aut_Ajustes_Manuais!$G:$G,Aut_Ajustes_Manuais!$I:$I,DRE!Z$4,Aut_Ajustes_Manuais!$F:$F,"Transporte Equipe - Eventos")</f>
        <v>0</v>
      </c>
      <c r="AC75" s="241">
        <v>0</v>
      </c>
      <c r="AD75" s="81">
        <v>0</v>
      </c>
      <c r="AE75" s="82">
        <f>SUMIFS(Aut_BlueMe_Sem_Pedido!$J:$J,Aut_BlueMe_Sem_Pedido!$Q:$Q,DRE!AC$4,Aut_BlueMe_Sem_Pedido!$H:$H,DRE!$A75)+SUMIFS(Aut_Ajustes_Manuais!$G:$G,Aut_Ajustes_Manuais!$I:$I,DRE!AC$4,Aut_Ajustes_Manuais!$F:$F,"Transporte Equipe - Eventos")</f>
        <v>0</v>
      </c>
      <c r="AF75" s="241">
        <v>0</v>
      </c>
      <c r="AG75" s="81">
        <v>0</v>
      </c>
      <c r="AH75" s="82">
        <f>SUMIFS(Aut_BlueMe_Sem_Pedido!$J:$J,Aut_BlueMe_Sem_Pedido!$Q:$Q,DRE!AF$4,Aut_BlueMe_Sem_Pedido!$H:$H,DRE!$A75)+SUMIFS(Aut_Ajustes_Manuais!$G:$G,Aut_Ajustes_Manuais!$I:$I,DRE!AF$4,Aut_Ajustes_Manuais!$F:$F,"Transporte Equipe - Eventos")</f>
        <v>0</v>
      </c>
      <c r="AI75" s="241">
        <v>0</v>
      </c>
      <c r="AJ75" s="81">
        <v>0</v>
      </c>
      <c r="AK75" s="82">
        <f>SUMIFS(Aut_BlueMe_Sem_Pedido!$J:$J,Aut_BlueMe_Sem_Pedido!$Q:$Q,DRE!AI$4,Aut_BlueMe_Sem_Pedido!$H:$H,DRE!$A75)+SUMIFS(Aut_Ajustes_Manuais!$G:$G,Aut_Ajustes_Manuais!$I:$I,DRE!AI$4,Aut_Ajustes_Manuais!$F:$F,"Transporte Equipe - Eventos")</f>
        <v>0</v>
      </c>
      <c r="AL75" s="241">
        <v>0</v>
      </c>
      <c r="AM75" s="81">
        <v>0</v>
      </c>
      <c r="AN75" s="82">
        <f>SUMIFS(Aut_BlueMe_Sem_Pedido!$J:$J,Aut_BlueMe_Sem_Pedido!$Q:$Q,DRE!AL$4,Aut_BlueMe_Sem_Pedido!$H:$H,DRE!$A75)+SUMIFS(Aut_Ajustes_Manuais!$G:$G,Aut_Ajustes_Manuais!$I:$I,DRE!AL$4,Aut_Ajustes_Manuais!$F:$F,"Transporte Equipe - Eventos")</f>
        <v>0</v>
      </c>
      <c r="AO75" s="241">
        <v>0</v>
      </c>
      <c r="AP75" s="81">
        <v>0</v>
      </c>
      <c r="AQ75" s="82">
        <f>SUMIFS(Aut_BlueMe_Sem_Pedido!$J:$J,Aut_BlueMe_Sem_Pedido!$Q:$Q,DRE!AO$4,Aut_BlueMe_Sem_Pedido!$H:$H,DRE!$A75)+SUMIFS(Aut_Ajustes_Manuais!$G:$G,Aut_Ajustes_Manuais!$I:$I,DRE!AO$4,Aut_Ajustes_Manuais!$F:$F,"Transporte Equipe - Eventos")</f>
        <v>0</v>
      </c>
      <c r="AR75" s="241">
        <f t="shared" ca="1" si="61"/>
        <v>0</v>
      </c>
      <c r="AS75" s="27">
        <f t="shared" ca="1" si="62"/>
        <v>0</v>
      </c>
      <c r="AT75" s="82">
        <f t="shared" ca="1" si="63"/>
        <v>0</v>
      </c>
      <c r="AU75" s="241">
        <f t="shared" si="89"/>
        <v>0</v>
      </c>
      <c r="AV75" s="81">
        <f t="shared" si="89"/>
        <v>0</v>
      </c>
      <c r="AW75" s="82">
        <f t="shared" si="89"/>
        <v>0</v>
      </c>
      <c r="AX75" s="241">
        <f t="shared" si="90"/>
        <v>0</v>
      </c>
      <c r="AY75" s="81">
        <f t="shared" si="90"/>
        <v>0</v>
      </c>
      <c r="AZ75" s="82">
        <f t="shared" si="90"/>
        <v>0</v>
      </c>
      <c r="BA75" s="241">
        <f t="shared" si="91"/>
        <v>0</v>
      </c>
      <c r="BB75" s="81">
        <f t="shared" si="91"/>
        <v>0</v>
      </c>
      <c r="BC75" s="82">
        <f t="shared" si="91"/>
        <v>0</v>
      </c>
      <c r="BD75" s="241">
        <f t="shared" si="92"/>
        <v>0</v>
      </c>
      <c r="BE75" s="81">
        <f t="shared" si="92"/>
        <v>0</v>
      </c>
      <c r="BF75" s="82">
        <f t="shared" si="92"/>
        <v>0</v>
      </c>
      <c r="BG75" s="241">
        <f t="shared" si="93"/>
        <v>0</v>
      </c>
      <c r="BH75" s="81">
        <f t="shared" si="93"/>
        <v>0</v>
      </c>
      <c r="BI75" s="82">
        <f t="shared" si="93"/>
        <v>0</v>
      </c>
    </row>
    <row r="76" spans="1:61" s="29" customFormat="1" hidden="1" outlineLevel="1" x14ac:dyDescent="0.3">
      <c r="A76" s="22" t="s">
        <v>100</v>
      </c>
      <c r="B76" s="2"/>
      <c r="C76" s="24"/>
      <c r="D76" s="69" t="s">
        <v>76</v>
      </c>
      <c r="E76" s="45">
        <v>-2E-3</v>
      </c>
      <c r="F76" s="41"/>
      <c r="G76" s="23"/>
      <c r="H76" s="241">
        <v>0</v>
      </c>
      <c r="I76" s="81">
        <v>0</v>
      </c>
      <c r="J76" s="82">
        <f>SUMIFS(Aut_BlueMe_Sem_Pedido!$J:$J,Aut_BlueMe_Sem_Pedido!$Q:$Q,DRE!H$4,Aut_BlueMe_Sem_Pedido!$H:$H,DRE!$A76)+SUMIFS(Aut_Ajustes_Manuais!$G:$G,Aut_Ajustes_Manuais!$I:$I,DRE!H$4,Aut_Ajustes_Manuais!$F:$F,"Fretes e Carretos - Eventos")</f>
        <v>0</v>
      </c>
      <c r="K76" s="254">
        <v>0</v>
      </c>
      <c r="L76" s="81">
        <v>0</v>
      </c>
      <c r="M76" s="82">
        <f>SUMIFS(Aut_BlueMe_Sem_Pedido!$J:$J,Aut_BlueMe_Sem_Pedido!$Q:$Q,DRE!K$4,Aut_BlueMe_Sem_Pedido!$H:$H,DRE!$A76)+SUMIFS(Aut_Ajustes_Manuais!$G:$G,Aut_Ajustes_Manuais!$I:$I,DRE!K$4,Aut_Ajustes_Manuais!$F:$F,"Fretes e Carretos - Eventos")</f>
        <v>0</v>
      </c>
      <c r="N76" s="254">
        <v>0</v>
      </c>
      <c r="O76" s="81">
        <v>0</v>
      </c>
      <c r="P76" s="82">
        <f>SUMIFS(Aut_BlueMe_Sem_Pedido!$J:$J,Aut_BlueMe_Sem_Pedido!$Q:$Q,DRE!N$4,Aut_BlueMe_Sem_Pedido!$H:$H,DRE!$A76)+SUMIFS(Aut_Ajustes_Manuais!$G:$G,Aut_Ajustes_Manuais!$I:$I,DRE!N$4,Aut_Ajustes_Manuais!$F:$F,"Fretes e Carretos - Eventos")</f>
        <v>0</v>
      </c>
      <c r="Q76" s="241">
        <v>0</v>
      </c>
      <c r="R76" s="81">
        <v>0</v>
      </c>
      <c r="S76" s="82">
        <f>SUMIFS(Aut_BlueMe_Sem_Pedido!$J:$J,Aut_BlueMe_Sem_Pedido!$Q:$Q,DRE!Q$4,Aut_BlueMe_Sem_Pedido!$H:$H,DRE!$A76)+SUMIFS(Aut_Ajustes_Manuais!$G:$G,Aut_Ajustes_Manuais!$I:$I,DRE!Q$4,Aut_Ajustes_Manuais!$F:$F,"Fretes e Carretos - Eventos")</f>
        <v>0</v>
      </c>
      <c r="T76" s="241">
        <v>0</v>
      </c>
      <c r="U76" s="81">
        <v>0</v>
      </c>
      <c r="V76" s="82">
        <f>SUMIFS(Aut_BlueMe_Sem_Pedido!$J:$J,Aut_BlueMe_Sem_Pedido!$Q:$Q,DRE!T$4,Aut_BlueMe_Sem_Pedido!$H:$H,DRE!$A76)+SUMIFS(Aut_Ajustes_Manuais!$G:$G,Aut_Ajustes_Manuais!$I:$I,DRE!T$4,Aut_Ajustes_Manuais!$F:$F,"Fretes e Carretos - Eventos")</f>
        <v>0</v>
      </c>
      <c r="W76" s="241">
        <v>0</v>
      </c>
      <c r="X76" s="81">
        <v>0</v>
      </c>
      <c r="Y76" s="82">
        <f>SUMIFS(Aut_BlueMe_Sem_Pedido!$J:$J,Aut_BlueMe_Sem_Pedido!$Q:$Q,DRE!W$4,Aut_BlueMe_Sem_Pedido!$H:$H,DRE!$A76)+SUMIFS(Aut_Ajustes_Manuais!$G:$G,Aut_Ajustes_Manuais!$I:$I,DRE!W$4,Aut_Ajustes_Manuais!$F:$F,"Fretes e Carretos - Eventos")</f>
        <v>0</v>
      </c>
      <c r="Z76" s="241">
        <v>0</v>
      </c>
      <c r="AA76" s="81">
        <v>0</v>
      </c>
      <c r="AB76" s="82">
        <f>SUMIFS(Aut_BlueMe_Sem_Pedido!$J:$J,Aut_BlueMe_Sem_Pedido!$Q:$Q,DRE!Z$4,Aut_BlueMe_Sem_Pedido!$H:$H,DRE!$A76)+SUMIFS(Aut_Ajustes_Manuais!$G:$G,Aut_Ajustes_Manuais!$I:$I,DRE!Z$4,Aut_Ajustes_Manuais!$F:$F,"Fretes e Carretos - Eventos")</f>
        <v>0</v>
      </c>
      <c r="AC76" s="241">
        <v>0</v>
      </c>
      <c r="AD76" s="81">
        <v>0</v>
      </c>
      <c r="AE76" s="82">
        <f>SUMIFS(Aut_BlueMe_Sem_Pedido!$J:$J,Aut_BlueMe_Sem_Pedido!$Q:$Q,DRE!AC$4,Aut_BlueMe_Sem_Pedido!$H:$H,DRE!$A76)+SUMIFS(Aut_Ajustes_Manuais!$G:$G,Aut_Ajustes_Manuais!$I:$I,DRE!AC$4,Aut_Ajustes_Manuais!$F:$F,"Fretes e Carretos - Eventos")</f>
        <v>0</v>
      </c>
      <c r="AF76" s="241">
        <v>0</v>
      </c>
      <c r="AG76" s="81">
        <v>0</v>
      </c>
      <c r="AH76" s="82">
        <f>SUMIFS(Aut_BlueMe_Sem_Pedido!$J:$J,Aut_BlueMe_Sem_Pedido!$Q:$Q,DRE!AF$4,Aut_BlueMe_Sem_Pedido!$H:$H,DRE!$A76)+SUMIFS(Aut_Ajustes_Manuais!$G:$G,Aut_Ajustes_Manuais!$I:$I,DRE!AF$4,Aut_Ajustes_Manuais!$F:$F,"Fretes e Carretos - Eventos")</f>
        <v>0</v>
      </c>
      <c r="AI76" s="241">
        <v>0</v>
      </c>
      <c r="AJ76" s="81">
        <v>0</v>
      </c>
      <c r="AK76" s="82">
        <f>SUMIFS(Aut_BlueMe_Sem_Pedido!$J:$J,Aut_BlueMe_Sem_Pedido!$Q:$Q,DRE!AI$4,Aut_BlueMe_Sem_Pedido!$H:$H,DRE!$A76)+SUMIFS(Aut_Ajustes_Manuais!$G:$G,Aut_Ajustes_Manuais!$I:$I,DRE!AI$4,Aut_Ajustes_Manuais!$F:$F,"Fretes e Carretos - Eventos")</f>
        <v>0</v>
      </c>
      <c r="AL76" s="241">
        <v>0</v>
      </c>
      <c r="AM76" s="81">
        <v>0</v>
      </c>
      <c r="AN76" s="82">
        <f>SUMIFS(Aut_BlueMe_Sem_Pedido!$J:$J,Aut_BlueMe_Sem_Pedido!$Q:$Q,DRE!AL$4,Aut_BlueMe_Sem_Pedido!$H:$H,DRE!$A76)+SUMIFS(Aut_Ajustes_Manuais!$G:$G,Aut_Ajustes_Manuais!$I:$I,DRE!AL$4,Aut_Ajustes_Manuais!$F:$F,"Fretes e Carretos - Eventos")</f>
        <v>0</v>
      </c>
      <c r="AO76" s="241">
        <v>0</v>
      </c>
      <c r="AP76" s="81">
        <v>0</v>
      </c>
      <c r="AQ76" s="82">
        <f>SUMIFS(Aut_BlueMe_Sem_Pedido!$J:$J,Aut_BlueMe_Sem_Pedido!$Q:$Q,DRE!AO$4,Aut_BlueMe_Sem_Pedido!$H:$H,DRE!$A76)+SUMIFS(Aut_Ajustes_Manuais!$G:$G,Aut_Ajustes_Manuais!$I:$I,DRE!AO$4,Aut_Ajustes_Manuais!$F:$F,"Fretes e Carretos - Eventos")</f>
        <v>0</v>
      </c>
      <c r="AR76" s="241">
        <f t="shared" ca="1" si="61"/>
        <v>0</v>
      </c>
      <c r="AS76" s="27">
        <f t="shared" ca="1" si="62"/>
        <v>0</v>
      </c>
      <c r="AT76" s="82">
        <f t="shared" ca="1" si="63"/>
        <v>0</v>
      </c>
      <c r="AU76" s="241">
        <f t="shared" si="89"/>
        <v>0</v>
      </c>
      <c r="AV76" s="81">
        <f t="shared" si="89"/>
        <v>0</v>
      </c>
      <c r="AW76" s="82">
        <f t="shared" si="89"/>
        <v>0</v>
      </c>
      <c r="AX76" s="241">
        <f t="shared" si="90"/>
        <v>0</v>
      </c>
      <c r="AY76" s="81">
        <f t="shared" si="90"/>
        <v>0</v>
      </c>
      <c r="AZ76" s="82">
        <f t="shared" si="90"/>
        <v>0</v>
      </c>
      <c r="BA76" s="241">
        <f t="shared" si="91"/>
        <v>0</v>
      </c>
      <c r="BB76" s="81">
        <f t="shared" si="91"/>
        <v>0</v>
      </c>
      <c r="BC76" s="82">
        <f t="shared" si="91"/>
        <v>0</v>
      </c>
      <c r="BD76" s="241">
        <f t="shared" si="92"/>
        <v>0</v>
      </c>
      <c r="BE76" s="81">
        <f t="shared" si="92"/>
        <v>0</v>
      </c>
      <c r="BF76" s="82">
        <f t="shared" si="92"/>
        <v>0</v>
      </c>
      <c r="BG76" s="241">
        <f t="shared" si="93"/>
        <v>0</v>
      </c>
      <c r="BH76" s="81">
        <f t="shared" si="93"/>
        <v>0</v>
      </c>
      <c r="BI76" s="82">
        <f t="shared" si="93"/>
        <v>0</v>
      </c>
    </row>
    <row r="77" spans="1:61" hidden="1" outlineLevel="1" x14ac:dyDescent="0.3">
      <c r="A77" s="73" t="s">
        <v>101</v>
      </c>
      <c r="C77" s="24"/>
      <c r="D77" s="69"/>
      <c r="E77" s="69"/>
      <c r="F77" s="41"/>
      <c r="H77" s="252">
        <v>0</v>
      </c>
      <c r="I77" s="74">
        <v>0</v>
      </c>
      <c r="J77" s="76">
        <f>SUM(J78:J81)+SUMIFS(Aut_Ajustes_Manuais!$G:$G,Aut_Ajustes_Manuais!$I:$I,DRE!H$4,Aut_Ajustes_Manuais!$F:$F,"Locações")</f>
        <v>0</v>
      </c>
      <c r="K77" s="252">
        <v>-1000</v>
      </c>
      <c r="L77" s="74">
        <v>0</v>
      </c>
      <c r="M77" s="76">
        <f>SUM(M78:M81)+SUMIFS(Aut_Ajustes_Manuais!$G:$G,Aut_Ajustes_Manuais!$I:$I,DRE!K$4,Aut_Ajustes_Manuais!$F:$F,"Locações")</f>
        <v>0</v>
      </c>
      <c r="N77" s="252">
        <v>0</v>
      </c>
      <c r="O77" s="74">
        <v>0</v>
      </c>
      <c r="P77" s="76">
        <f>SUM(P78:P81)+SUMIFS(Aut_Ajustes_Manuais!$G:$G,Aut_Ajustes_Manuais!$I:$I,DRE!N$4,Aut_Ajustes_Manuais!$F:$F,"Locações")</f>
        <v>0</v>
      </c>
      <c r="Q77" s="252">
        <v>0</v>
      </c>
      <c r="R77" s="74">
        <v>0</v>
      </c>
      <c r="S77" s="76">
        <f>SUM(S78:S81)+SUMIFS(Aut_Ajustes_Manuais!$G:$G,Aut_Ajustes_Manuais!$I:$I,DRE!Q$4,Aut_Ajustes_Manuais!$F:$F,"Locações")</f>
        <v>0</v>
      </c>
      <c r="T77" s="252">
        <v>0</v>
      </c>
      <c r="U77" s="74">
        <v>0</v>
      </c>
      <c r="V77" s="76">
        <f>SUM(V78:V81)+SUMIFS(Aut_Ajustes_Manuais!$G:$G,Aut_Ajustes_Manuais!$I:$I,DRE!T$4,Aut_Ajustes_Manuais!$F:$F,"Locações")</f>
        <v>0</v>
      </c>
      <c r="W77" s="252">
        <v>0</v>
      </c>
      <c r="X77" s="74">
        <v>0</v>
      </c>
      <c r="Y77" s="76">
        <f>SUM(Y78:Y81)+SUMIFS(Aut_Ajustes_Manuais!$G:$G,Aut_Ajustes_Manuais!$I:$I,DRE!W$4,Aut_Ajustes_Manuais!$F:$F,"Locações")</f>
        <v>0</v>
      </c>
      <c r="Z77" s="252">
        <v>0</v>
      </c>
      <c r="AA77" s="74">
        <v>0</v>
      </c>
      <c r="AB77" s="76">
        <f>SUM(AB78:AB81)+SUMIFS(Aut_Ajustes_Manuais!$G:$G,Aut_Ajustes_Manuais!$I:$I,DRE!Z$4,Aut_Ajustes_Manuais!$F:$F,"Locações")</f>
        <v>0</v>
      </c>
      <c r="AC77" s="252">
        <v>0</v>
      </c>
      <c r="AD77" s="74">
        <v>0</v>
      </c>
      <c r="AE77" s="76">
        <f>SUM(AE78:AE81)+SUMIFS(Aut_Ajustes_Manuais!$G:$G,Aut_Ajustes_Manuais!$I:$I,DRE!AC$4,Aut_Ajustes_Manuais!$F:$F,"Locações")</f>
        <v>0</v>
      </c>
      <c r="AF77" s="252">
        <v>0</v>
      </c>
      <c r="AG77" s="74">
        <v>0</v>
      </c>
      <c r="AH77" s="76">
        <f>SUM(AH78:AH81)+SUMIFS(Aut_Ajustes_Manuais!$G:$G,Aut_Ajustes_Manuais!$I:$I,DRE!AF$4,Aut_Ajustes_Manuais!$F:$F,"Locações")</f>
        <v>0</v>
      </c>
      <c r="AI77" s="252">
        <v>0</v>
      </c>
      <c r="AJ77" s="74">
        <v>0</v>
      </c>
      <c r="AK77" s="76">
        <f>SUM(AK78:AK81)+SUMIFS(Aut_Ajustes_Manuais!$G:$G,Aut_Ajustes_Manuais!$I:$I,DRE!AI$4,Aut_Ajustes_Manuais!$F:$F,"Locações")</f>
        <v>0</v>
      </c>
      <c r="AL77" s="252">
        <v>0</v>
      </c>
      <c r="AM77" s="74">
        <v>0</v>
      </c>
      <c r="AN77" s="76">
        <f>SUM(AN78:AN81)+SUMIFS(Aut_Ajustes_Manuais!$G:$G,Aut_Ajustes_Manuais!$I:$I,DRE!AL$4,Aut_Ajustes_Manuais!$F:$F,"Locações")</f>
        <v>0</v>
      </c>
      <c r="AO77" s="252">
        <v>0</v>
      </c>
      <c r="AP77" s="74">
        <v>0</v>
      </c>
      <c r="AQ77" s="76">
        <f>SUM(AQ78:AQ81)+SUMIFS(Aut_Ajustes_Manuais!$G:$G,Aut_Ajustes_Manuais!$I:$I,DRE!AO$4,Aut_Ajustes_Manuais!$F:$F,"Locações")</f>
        <v>0</v>
      </c>
      <c r="AR77" s="74">
        <f t="shared" ca="1" si="61"/>
        <v>-1000</v>
      </c>
      <c r="AS77" s="74">
        <f t="shared" ca="1" si="62"/>
        <v>0</v>
      </c>
      <c r="AT77" s="76">
        <f t="shared" ca="1" si="63"/>
        <v>0</v>
      </c>
      <c r="AU77" s="252">
        <f t="shared" ref="AU77:BI77" si="94">SUM(AU78:AU81)</f>
        <v>-1000</v>
      </c>
      <c r="AV77" s="74">
        <f t="shared" si="94"/>
        <v>0</v>
      </c>
      <c r="AW77" s="76">
        <f t="shared" si="94"/>
        <v>0</v>
      </c>
      <c r="AX77" s="252">
        <f t="shared" si="94"/>
        <v>-1000</v>
      </c>
      <c r="AY77" s="74">
        <f t="shared" si="94"/>
        <v>0</v>
      </c>
      <c r="AZ77" s="76">
        <f t="shared" si="94"/>
        <v>0</v>
      </c>
      <c r="BA77" s="252">
        <f t="shared" si="94"/>
        <v>0</v>
      </c>
      <c r="BB77" s="74">
        <f t="shared" si="94"/>
        <v>0</v>
      </c>
      <c r="BC77" s="76">
        <f t="shared" si="94"/>
        <v>0</v>
      </c>
      <c r="BD77" s="252">
        <f t="shared" si="94"/>
        <v>0</v>
      </c>
      <c r="BE77" s="74">
        <f t="shared" si="94"/>
        <v>0</v>
      </c>
      <c r="BF77" s="76">
        <f t="shared" si="94"/>
        <v>0</v>
      </c>
      <c r="BG77" s="252">
        <f t="shared" si="94"/>
        <v>0</v>
      </c>
      <c r="BH77" s="74">
        <f t="shared" si="94"/>
        <v>0</v>
      </c>
      <c r="BI77" s="76">
        <f t="shared" si="94"/>
        <v>0</v>
      </c>
    </row>
    <row r="78" spans="1:61" s="29" customFormat="1" hidden="1" outlineLevel="1" x14ac:dyDescent="0.3">
      <c r="A78" s="22" t="s">
        <v>102</v>
      </c>
      <c r="B78" s="2"/>
      <c r="C78" s="24"/>
      <c r="D78" s="69" t="s">
        <v>76</v>
      </c>
      <c r="E78" s="45">
        <v>-1.7999999999999999E-2</v>
      </c>
      <c r="F78" s="41"/>
      <c r="G78" s="23"/>
      <c r="H78" s="241">
        <v>0</v>
      </c>
      <c r="I78" s="81">
        <v>0</v>
      </c>
      <c r="J78" s="82">
        <f>SUMIFS(Aut_BlueMe_Sem_Pedido!$J:$J,Aut_BlueMe_Sem_Pedido!$Q:$Q,DRE!H$4,Aut_BlueMe_Sem_Pedido!$H:$H,DRE!$A78)+SUMIFS(Aut_Ajustes_Manuais!$G:$G,Aut_Ajustes_Manuais!$I:$I,DRE!H$4,Aut_Ajustes_Manuais!$F:$F,"Locação de Utensílios - Eventos")</f>
        <v>0</v>
      </c>
      <c r="K78" s="254">
        <v>0</v>
      </c>
      <c r="L78" s="81">
        <v>0</v>
      </c>
      <c r="M78" s="82">
        <f>SUMIFS(Aut_BlueMe_Sem_Pedido!$J:$J,Aut_BlueMe_Sem_Pedido!$Q:$Q,DRE!K$4,Aut_BlueMe_Sem_Pedido!$H:$H,DRE!$A78)+SUMIFS(Aut_Ajustes_Manuais!$G:$G,Aut_Ajustes_Manuais!$I:$I,DRE!K$4,Aut_Ajustes_Manuais!$F:$F,"Locação de Utensílios - Eventos")</f>
        <v>0</v>
      </c>
      <c r="N78" s="254">
        <v>0</v>
      </c>
      <c r="O78" s="81">
        <v>0</v>
      </c>
      <c r="P78" s="82">
        <f>SUMIFS(Aut_BlueMe_Sem_Pedido!$J:$J,Aut_BlueMe_Sem_Pedido!$Q:$Q,DRE!N$4,Aut_BlueMe_Sem_Pedido!$H:$H,DRE!$A78)+SUMIFS(Aut_Ajustes_Manuais!$G:$G,Aut_Ajustes_Manuais!$I:$I,DRE!N$4,Aut_Ajustes_Manuais!$F:$F,"Locação de Utensílios - Eventos")</f>
        <v>0</v>
      </c>
      <c r="Q78" s="241">
        <v>0</v>
      </c>
      <c r="R78" s="81">
        <v>0</v>
      </c>
      <c r="S78" s="82">
        <f>SUMIFS(Aut_BlueMe_Sem_Pedido!$J:$J,Aut_BlueMe_Sem_Pedido!$Q:$Q,DRE!Q$4,Aut_BlueMe_Sem_Pedido!$H:$H,DRE!$A78)+SUMIFS(Aut_Ajustes_Manuais!$G:$G,Aut_Ajustes_Manuais!$I:$I,DRE!Q$4,Aut_Ajustes_Manuais!$F:$F,"Locação de Utensílios - Eventos")</f>
        <v>0</v>
      </c>
      <c r="T78" s="241">
        <v>0</v>
      </c>
      <c r="U78" s="81">
        <v>0</v>
      </c>
      <c r="V78" s="82">
        <f>SUMIFS(Aut_BlueMe_Sem_Pedido!$J:$J,Aut_BlueMe_Sem_Pedido!$Q:$Q,DRE!T$4,Aut_BlueMe_Sem_Pedido!$H:$H,DRE!$A78)+SUMIFS(Aut_Ajustes_Manuais!$G:$G,Aut_Ajustes_Manuais!$I:$I,DRE!T$4,Aut_Ajustes_Manuais!$F:$F,"Locação de Utensílios - Eventos")</f>
        <v>0</v>
      </c>
      <c r="W78" s="241">
        <v>0</v>
      </c>
      <c r="X78" s="81">
        <v>0</v>
      </c>
      <c r="Y78" s="82">
        <f>SUMIFS(Aut_BlueMe_Sem_Pedido!$J:$J,Aut_BlueMe_Sem_Pedido!$Q:$Q,DRE!W$4,Aut_BlueMe_Sem_Pedido!$H:$H,DRE!$A78)+SUMIFS(Aut_Ajustes_Manuais!$G:$G,Aut_Ajustes_Manuais!$I:$I,DRE!W$4,Aut_Ajustes_Manuais!$F:$F,"Locação de Utensílios - Eventos")</f>
        <v>0</v>
      </c>
      <c r="Z78" s="241">
        <v>0</v>
      </c>
      <c r="AA78" s="81">
        <v>0</v>
      </c>
      <c r="AB78" s="82">
        <f>SUMIFS(Aut_BlueMe_Sem_Pedido!$J:$J,Aut_BlueMe_Sem_Pedido!$Q:$Q,DRE!Z$4,Aut_BlueMe_Sem_Pedido!$H:$H,DRE!$A78)+SUMIFS(Aut_Ajustes_Manuais!$G:$G,Aut_Ajustes_Manuais!$I:$I,DRE!Z$4,Aut_Ajustes_Manuais!$F:$F,"Locação de Utensílios - Eventos")</f>
        <v>0</v>
      </c>
      <c r="AC78" s="241">
        <v>0</v>
      </c>
      <c r="AD78" s="81">
        <v>0</v>
      </c>
      <c r="AE78" s="82">
        <f>SUMIFS(Aut_BlueMe_Sem_Pedido!$J:$J,Aut_BlueMe_Sem_Pedido!$Q:$Q,DRE!AC$4,Aut_BlueMe_Sem_Pedido!$H:$H,DRE!$A78)+SUMIFS(Aut_Ajustes_Manuais!$G:$G,Aut_Ajustes_Manuais!$I:$I,DRE!AC$4,Aut_Ajustes_Manuais!$F:$F,"Locação de Utensílios - Eventos")</f>
        <v>0</v>
      </c>
      <c r="AF78" s="241">
        <v>0</v>
      </c>
      <c r="AG78" s="81">
        <v>0</v>
      </c>
      <c r="AH78" s="82">
        <f>SUMIFS(Aut_BlueMe_Sem_Pedido!$J:$J,Aut_BlueMe_Sem_Pedido!$Q:$Q,DRE!AF$4,Aut_BlueMe_Sem_Pedido!$H:$H,DRE!$A78)+SUMIFS(Aut_Ajustes_Manuais!$G:$G,Aut_Ajustes_Manuais!$I:$I,DRE!AF$4,Aut_Ajustes_Manuais!$F:$F,"Locação de Utensílios - Eventos")</f>
        <v>0</v>
      </c>
      <c r="AI78" s="241">
        <v>0</v>
      </c>
      <c r="AJ78" s="81">
        <v>0</v>
      </c>
      <c r="AK78" s="82">
        <f>SUMIFS(Aut_BlueMe_Sem_Pedido!$J:$J,Aut_BlueMe_Sem_Pedido!$Q:$Q,DRE!AI$4,Aut_BlueMe_Sem_Pedido!$H:$H,DRE!$A78)+SUMIFS(Aut_Ajustes_Manuais!$G:$G,Aut_Ajustes_Manuais!$I:$I,DRE!AI$4,Aut_Ajustes_Manuais!$F:$F,"Locação de Utensílios - Eventos")</f>
        <v>0</v>
      </c>
      <c r="AL78" s="241">
        <v>0</v>
      </c>
      <c r="AM78" s="81">
        <v>0</v>
      </c>
      <c r="AN78" s="82">
        <f>SUMIFS(Aut_BlueMe_Sem_Pedido!$J:$J,Aut_BlueMe_Sem_Pedido!$Q:$Q,DRE!AL$4,Aut_BlueMe_Sem_Pedido!$H:$H,DRE!$A78)+SUMIFS(Aut_Ajustes_Manuais!$G:$G,Aut_Ajustes_Manuais!$I:$I,DRE!AL$4,Aut_Ajustes_Manuais!$F:$F,"Locação de Utensílios - Eventos")</f>
        <v>0</v>
      </c>
      <c r="AO78" s="241">
        <v>0</v>
      </c>
      <c r="AP78" s="81">
        <v>0</v>
      </c>
      <c r="AQ78" s="82">
        <f>SUMIFS(Aut_BlueMe_Sem_Pedido!$J:$J,Aut_BlueMe_Sem_Pedido!$Q:$Q,DRE!AO$4,Aut_BlueMe_Sem_Pedido!$H:$H,DRE!$A78)+SUMIFS(Aut_Ajustes_Manuais!$G:$G,Aut_Ajustes_Manuais!$I:$I,DRE!AO$4,Aut_Ajustes_Manuais!$F:$F,"Locação de Utensílios - Eventos")</f>
        <v>0</v>
      </c>
      <c r="AR78" s="241">
        <f t="shared" ca="1" si="61"/>
        <v>0</v>
      </c>
      <c r="AS78" s="27">
        <f t="shared" ca="1" si="62"/>
        <v>0</v>
      </c>
      <c r="AT78" s="82">
        <f t="shared" ca="1" si="63"/>
        <v>0</v>
      </c>
      <c r="AU78" s="241">
        <f t="shared" ref="AU78:AW81" si="95">SUM(H78,K78,N78,Q78,T78,W78,Z78,AC78,AF78,AI78,AL78,AO78)</f>
        <v>0</v>
      </c>
      <c r="AV78" s="81">
        <f t="shared" si="95"/>
        <v>0</v>
      </c>
      <c r="AW78" s="82">
        <f t="shared" si="95"/>
        <v>0</v>
      </c>
      <c r="AX78" s="241">
        <f t="shared" ref="AX78:AZ81" si="96">SUM(H78,K78,N78)</f>
        <v>0</v>
      </c>
      <c r="AY78" s="81">
        <f t="shared" si="96"/>
        <v>0</v>
      </c>
      <c r="AZ78" s="82">
        <f t="shared" si="96"/>
        <v>0</v>
      </c>
      <c r="BA78" s="241">
        <f t="shared" ref="BA78:BC81" si="97">SUM(Q78,T78,W78)</f>
        <v>0</v>
      </c>
      <c r="BB78" s="81">
        <f t="shared" si="97"/>
        <v>0</v>
      </c>
      <c r="BC78" s="82">
        <f t="shared" si="97"/>
        <v>0</v>
      </c>
      <c r="BD78" s="241">
        <f t="shared" ref="BD78:BF81" si="98">SUM(Z78,AC78,AF78)</f>
        <v>0</v>
      </c>
      <c r="BE78" s="81">
        <f t="shared" si="98"/>
        <v>0</v>
      </c>
      <c r="BF78" s="82">
        <f t="shared" si="98"/>
        <v>0</v>
      </c>
      <c r="BG78" s="241">
        <f t="shared" ref="BG78:BI81" si="99">SUM(AI78,AL78,AO78)</f>
        <v>0</v>
      </c>
      <c r="BH78" s="81">
        <f t="shared" si="99"/>
        <v>0</v>
      </c>
      <c r="BI78" s="82">
        <f t="shared" si="99"/>
        <v>0</v>
      </c>
    </row>
    <row r="79" spans="1:61" s="29" customFormat="1" hidden="1" outlineLevel="1" x14ac:dyDescent="0.3">
      <c r="A79" s="22" t="s">
        <v>103</v>
      </c>
      <c r="B79" s="2"/>
      <c r="C79" s="24"/>
      <c r="D79" s="69" t="s">
        <v>76</v>
      </c>
      <c r="E79" s="45">
        <v>-3.0000000000000001E-3</v>
      </c>
      <c r="F79" s="41"/>
      <c r="G79" s="23"/>
      <c r="H79" s="241">
        <v>0</v>
      </c>
      <c r="I79" s="81">
        <v>0</v>
      </c>
      <c r="J79" s="82">
        <f>SUMIFS(Aut_BlueMe_Sem_Pedido!$J:$J,Aut_BlueMe_Sem_Pedido!$Q:$Q,DRE!H$4,Aut_BlueMe_Sem_Pedido!$H:$H,DRE!$A79)+SUMIFS(Aut_Ajustes_Manuais!$G:$G,Aut_Ajustes_Manuais!$I:$I,DRE!H$4,Aut_Ajustes_Manuais!$F:$F,"Locação de Equipamentos - Eventos")</f>
        <v>0</v>
      </c>
      <c r="K79" s="254">
        <v>-1000</v>
      </c>
      <c r="L79" s="81">
        <v>0</v>
      </c>
      <c r="M79" s="82">
        <f>SUMIFS(Aut_BlueMe_Sem_Pedido!$J:$J,Aut_BlueMe_Sem_Pedido!$Q:$Q,DRE!K$4,Aut_BlueMe_Sem_Pedido!$H:$H,DRE!$A79)+SUMIFS(Aut_Ajustes_Manuais!$G:$G,Aut_Ajustes_Manuais!$I:$I,DRE!K$4,Aut_Ajustes_Manuais!$F:$F,"Locação de Equipamentos - Eventos")</f>
        <v>0</v>
      </c>
      <c r="N79" s="254">
        <v>0</v>
      </c>
      <c r="O79" s="81">
        <v>0</v>
      </c>
      <c r="P79" s="82">
        <f>SUMIFS(Aut_BlueMe_Sem_Pedido!$J:$J,Aut_BlueMe_Sem_Pedido!$Q:$Q,DRE!N$4,Aut_BlueMe_Sem_Pedido!$H:$H,DRE!$A79)+SUMIFS(Aut_Ajustes_Manuais!$G:$G,Aut_Ajustes_Manuais!$I:$I,DRE!N$4,Aut_Ajustes_Manuais!$F:$F,"Locação de Equipamentos - Eventos")</f>
        <v>0</v>
      </c>
      <c r="Q79" s="241">
        <v>0</v>
      </c>
      <c r="R79" s="81">
        <v>0</v>
      </c>
      <c r="S79" s="82">
        <f>SUMIFS(Aut_BlueMe_Sem_Pedido!$J:$J,Aut_BlueMe_Sem_Pedido!$Q:$Q,DRE!Q$4,Aut_BlueMe_Sem_Pedido!$H:$H,DRE!$A79)+SUMIFS(Aut_Ajustes_Manuais!$G:$G,Aut_Ajustes_Manuais!$I:$I,DRE!Q$4,Aut_Ajustes_Manuais!$F:$F,"Locação de Equipamentos - Eventos")</f>
        <v>0</v>
      </c>
      <c r="T79" s="241">
        <v>0</v>
      </c>
      <c r="U79" s="81">
        <v>0</v>
      </c>
      <c r="V79" s="82">
        <f>SUMIFS(Aut_BlueMe_Sem_Pedido!$J:$J,Aut_BlueMe_Sem_Pedido!$Q:$Q,DRE!T$4,Aut_BlueMe_Sem_Pedido!$H:$H,DRE!$A79)+SUMIFS(Aut_Ajustes_Manuais!$G:$G,Aut_Ajustes_Manuais!$I:$I,DRE!T$4,Aut_Ajustes_Manuais!$F:$F,"Locação de Equipamentos - Eventos")</f>
        <v>0</v>
      </c>
      <c r="W79" s="241">
        <v>0</v>
      </c>
      <c r="X79" s="81">
        <v>0</v>
      </c>
      <c r="Y79" s="82">
        <f>SUMIFS(Aut_BlueMe_Sem_Pedido!$J:$J,Aut_BlueMe_Sem_Pedido!$Q:$Q,DRE!W$4,Aut_BlueMe_Sem_Pedido!$H:$H,DRE!$A79)+SUMIFS(Aut_Ajustes_Manuais!$G:$G,Aut_Ajustes_Manuais!$I:$I,DRE!W$4,Aut_Ajustes_Manuais!$F:$F,"Locação de Equipamentos - Eventos")</f>
        <v>0</v>
      </c>
      <c r="Z79" s="241">
        <v>0</v>
      </c>
      <c r="AA79" s="81">
        <v>0</v>
      </c>
      <c r="AB79" s="82">
        <f>SUMIFS(Aut_BlueMe_Sem_Pedido!$J:$J,Aut_BlueMe_Sem_Pedido!$Q:$Q,DRE!Z$4,Aut_BlueMe_Sem_Pedido!$H:$H,DRE!$A79)+SUMIFS(Aut_Ajustes_Manuais!$G:$G,Aut_Ajustes_Manuais!$I:$I,DRE!Z$4,Aut_Ajustes_Manuais!$F:$F,"Locação de Equipamentos - Eventos")</f>
        <v>0</v>
      </c>
      <c r="AC79" s="241">
        <v>0</v>
      </c>
      <c r="AD79" s="81">
        <v>0</v>
      </c>
      <c r="AE79" s="82">
        <f>SUMIFS(Aut_BlueMe_Sem_Pedido!$J:$J,Aut_BlueMe_Sem_Pedido!$Q:$Q,DRE!AC$4,Aut_BlueMe_Sem_Pedido!$H:$H,DRE!$A79)+SUMIFS(Aut_Ajustes_Manuais!$G:$G,Aut_Ajustes_Manuais!$I:$I,DRE!AC$4,Aut_Ajustes_Manuais!$F:$F,"Locação de Equipamentos - Eventos")</f>
        <v>0</v>
      </c>
      <c r="AF79" s="241">
        <v>0</v>
      </c>
      <c r="AG79" s="81">
        <v>0</v>
      </c>
      <c r="AH79" s="82">
        <f>SUMIFS(Aut_BlueMe_Sem_Pedido!$J:$J,Aut_BlueMe_Sem_Pedido!$Q:$Q,DRE!AF$4,Aut_BlueMe_Sem_Pedido!$H:$H,DRE!$A79)+SUMIFS(Aut_Ajustes_Manuais!$G:$G,Aut_Ajustes_Manuais!$I:$I,DRE!AF$4,Aut_Ajustes_Manuais!$F:$F,"Locação de Equipamentos - Eventos")</f>
        <v>0</v>
      </c>
      <c r="AI79" s="241">
        <v>0</v>
      </c>
      <c r="AJ79" s="81">
        <v>0</v>
      </c>
      <c r="AK79" s="82">
        <f>SUMIFS(Aut_BlueMe_Sem_Pedido!$J:$J,Aut_BlueMe_Sem_Pedido!$Q:$Q,DRE!AI$4,Aut_BlueMe_Sem_Pedido!$H:$H,DRE!$A79)+SUMIFS(Aut_Ajustes_Manuais!$G:$G,Aut_Ajustes_Manuais!$I:$I,DRE!AI$4,Aut_Ajustes_Manuais!$F:$F,"Locação de Equipamentos - Eventos")</f>
        <v>0</v>
      </c>
      <c r="AL79" s="241">
        <v>0</v>
      </c>
      <c r="AM79" s="81">
        <v>0</v>
      </c>
      <c r="AN79" s="82">
        <f>SUMIFS(Aut_BlueMe_Sem_Pedido!$J:$J,Aut_BlueMe_Sem_Pedido!$Q:$Q,DRE!AL$4,Aut_BlueMe_Sem_Pedido!$H:$H,DRE!$A79)+SUMIFS(Aut_Ajustes_Manuais!$G:$G,Aut_Ajustes_Manuais!$I:$I,DRE!AL$4,Aut_Ajustes_Manuais!$F:$F,"Locação de Equipamentos - Eventos")</f>
        <v>0</v>
      </c>
      <c r="AO79" s="241">
        <v>0</v>
      </c>
      <c r="AP79" s="81">
        <v>0</v>
      </c>
      <c r="AQ79" s="82">
        <f>SUMIFS(Aut_BlueMe_Sem_Pedido!$J:$J,Aut_BlueMe_Sem_Pedido!$Q:$Q,DRE!AO$4,Aut_BlueMe_Sem_Pedido!$H:$H,DRE!$A79)+SUMIFS(Aut_Ajustes_Manuais!$G:$G,Aut_Ajustes_Manuais!$I:$I,DRE!AO$4,Aut_Ajustes_Manuais!$F:$F,"Locação de Equipamentos - Eventos")</f>
        <v>0</v>
      </c>
      <c r="AR79" s="241">
        <f t="shared" ca="1" si="61"/>
        <v>-1000</v>
      </c>
      <c r="AS79" s="27">
        <f t="shared" ca="1" si="62"/>
        <v>0</v>
      </c>
      <c r="AT79" s="82">
        <f t="shared" ca="1" si="63"/>
        <v>0</v>
      </c>
      <c r="AU79" s="241">
        <f t="shared" si="95"/>
        <v>-1000</v>
      </c>
      <c r="AV79" s="81">
        <f t="shared" si="95"/>
        <v>0</v>
      </c>
      <c r="AW79" s="82">
        <f t="shared" si="95"/>
        <v>0</v>
      </c>
      <c r="AX79" s="241">
        <f t="shared" si="96"/>
        <v>-1000</v>
      </c>
      <c r="AY79" s="81">
        <f t="shared" si="96"/>
        <v>0</v>
      </c>
      <c r="AZ79" s="82">
        <f t="shared" si="96"/>
        <v>0</v>
      </c>
      <c r="BA79" s="241">
        <f t="shared" si="97"/>
        <v>0</v>
      </c>
      <c r="BB79" s="81">
        <f t="shared" si="97"/>
        <v>0</v>
      </c>
      <c r="BC79" s="82">
        <f t="shared" si="97"/>
        <v>0</v>
      </c>
      <c r="BD79" s="241">
        <f t="shared" si="98"/>
        <v>0</v>
      </c>
      <c r="BE79" s="81">
        <f t="shared" si="98"/>
        <v>0</v>
      </c>
      <c r="BF79" s="82">
        <f t="shared" si="98"/>
        <v>0</v>
      </c>
      <c r="BG79" s="241">
        <f t="shared" si="99"/>
        <v>0</v>
      </c>
      <c r="BH79" s="81">
        <f t="shared" si="99"/>
        <v>0</v>
      </c>
      <c r="BI79" s="82">
        <f t="shared" si="99"/>
        <v>0</v>
      </c>
    </row>
    <row r="80" spans="1:61" s="29" customFormat="1" hidden="1" outlineLevel="1" x14ac:dyDescent="0.3">
      <c r="A80" s="22" t="s">
        <v>104</v>
      </c>
      <c r="B80" s="2"/>
      <c r="C80" s="24"/>
      <c r="D80" s="69" t="s">
        <v>76</v>
      </c>
      <c r="E80" s="69"/>
      <c r="F80" s="41"/>
      <c r="G80" s="23"/>
      <c r="H80" s="241">
        <v>0</v>
      </c>
      <c r="I80" s="81">
        <v>0</v>
      </c>
      <c r="J80" s="82">
        <f>SUMIFS(Aut_BlueMe_Sem_Pedido!$J:$J,Aut_BlueMe_Sem_Pedido!$Q:$Q,DRE!H$4,Aut_BlueMe_Sem_Pedido!$H:$H,DRE!$A80)+SUMIFS(Aut_Ajustes_Manuais!$G:$G,Aut_Ajustes_Manuais!$I:$I,DRE!H$4,Aut_Ajustes_Manuais!$F:$F,"Locação de Mobiliário - Eventos")</f>
        <v>0</v>
      </c>
      <c r="K80" s="254">
        <v>0</v>
      </c>
      <c r="L80" s="81">
        <v>0</v>
      </c>
      <c r="M80" s="82">
        <f>SUMIFS(Aut_BlueMe_Sem_Pedido!$J:$J,Aut_BlueMe_Sem_Pedido!$Q:$Q,DRE!K$4,Aut_BlueMe_Sem_Pedido!$H:$H,DRE!$A80)+SUMIFS(Aut_Ajustes_Manuais!$G:$G,Aut_Ajustes_Manuais!$I:$I,DRE!K$4,Aut_Ajustes_Manuais!$F:$F,"Locação de Mobiliário - Eventos")</f>
        <v>0</v>
      </c>
      <c r="N80" s="254">
        <v>0</v>
      </c>
      <c r="O80" s="81">
        <v>0</v>
      </c>
      <c r="P80" s="82">
        <f>SUMIFS(Aut_BlueMe_Sem_Pedido!$J:$J,Aut_BlueMe_Sem_Pedido!$Q:$Q,DRE!N$4,Aut_BlueMe_Sem_Pedido!$H:$H,DRE!$A80)+SUMIFS(Aut_Ajustes_Manuais!$G:$G,Aut_Ajustes_Manuais!$I:$I,DRE!N$4,Aut_Ajustes_Manuais!$F:$F,"Locação de Mobiliário - Eventos")</f>
        <v>0</v>
      </c>
      <c r="Q80" s="241">
        <v>0</v>
      </c>
      <c r="R80" s="81">
        <v>0</v>
      </c>
      <c r="S80" s="82">
        <f>SUMIFS(Aut_BlueMe_Sem_Pedido!$J:$J,Aut_BlueMe_Sem_Pedido!$Q:$Q,DRE!Q$4,Aut_BlueMe_Sem_Pedido!$H:$H,DRE!$A80)+SUMIFS(Aut_Ajustes_Manuais!$G:$G,Aut_Ajustes_Manuais!$I:$I,DRE!Q$4,Aut_Ajustes_Manuais!$F:$F,"Locação de Mobiliário - Eventos")</f>
        <v>0</v>
      </c>
      <c r="T80" s="241">
        <v>0</v>
      </c>
      <c r="U80" s="81">
        <v>0</v>
      </c>
      <c r="V80" s="82">
        <f>SUMIFS(Aut_BlueMe_Sem_Pedido!$J:$J,Aut_BlueMe_Sem_Pedido!$Q:$Q,DRE!T$4,Aut_BlueMe_Sem_Pedido!$H:$H,DRE!$A80)+SUMIFS(Aut_Ajustes_Manuais!$G:$G,Aut_Ajustes_Manuais!$I:$I,DRE!T$4,Aut_Ajustes_Manuais!$F:$F,"Locação de Mobiliário - Eventos")</f>
        <v>0</v>
      </c>
      <c r="W80" s="241">
        <v>0</v>
      </c>
      <c r="X80" s="81">
        <v>0</v>
      </c>
      <c r="Y80" s="82">
        <f>SUMIFS(Aut_BlueMe_Sem_Pedido!$J:$J,Aut_BlueMe_Sem_Pedido!$Q:$Q,DRE!W$4,Aut_BlueMe_Sem_Pedido!$H:$H,DRE!$A80)+SUMIFS(Aut_Ajustes_Manuais!$G:$G,Aut_Ajustes_Manuais!$I:$I,DRE!W$4,Aut_Ajustes_Manuais!$F:$F,"Locação de Mobiliário - Eventos")</f>
        <v>0</v>
      </c>
      <c r="Z80" s="241">
        <v>0</v>
      </c>
      <c r="AA80" s="81">
        <v>0</v>
      </c>
      <c r="AB80" s="82">
        <f>SUMIFS(Aut_BlueMe_Sem_Pedido!$J:$J,Aut_BlueMe_Sem_Pedido!$Q:$Q,DRE!Z$4,Aut_BlueMe_Sem_Pedido!$H:$H,DRE!$A80)+SUMIFS(Aut_Ajustes_Manuais!$G:$G,Aut_Ajustes_Manuais!$I:$I,DRE!Z$4,Aut_Ajustes_Manuais!$F:$F,"Locação de Mobiliário - Eventos")</f>
        <v>0</v>
      </c>
      <c r="AC80" s="241">
        <v>0</v>
      </c>
      <c r="AD80" s="81">
        <v>0</v>
      </c>
      <c r="AE80" s="82">
        <f>SUMIFS(Aut_BlueMe_Sem_Pedido!$J:$J,Aut_BlueMe_Sem_Pedido!$Q:$Q,DRE!AC$4,Aut_BlueMe_Sem_Pedido!$H:$H,DRE!$A80)+SUMIFS(Aut_Ajustes_Manuais!$G:$G,Aut_Ajustes_Manuais!$I:$I,DRE!AC$4,Aut_Ajustes_Manuais!$F:$F,"Locação de Mobiliário - Eventos")</f>
        <v>0</v>
      </c>
      <c r="AF80" s="241">
        <v>0</v>
      </c>
      <c r="AG80" s="81">
        <v>0</v>
      </c>
      <c r="AH80" s="82">
        <f>SUMIFS(Aut_BlueMe_Sem_Pedido!$J:$J,Aut_BlueMe_Sem_Pedido!$Q:$Q,DRE!AF$4,Aut_BlueMe_Sem_Pedido!$H:$H,DRE!$A80)+SUMIFS(Aut_Ajustes_Manuais!$G:$G,Aut_Ajustes_Manuais!$I:$I,DRE!AF$4,Aut_Ajustes_Manuais!$F:$F,"Locação de Mobiliário - Eventos")</f>
        <v>0</v>
      </c>
      <c r="AI80" s="241">
        <v>0</v>
      </c>
      <c r="AJ80" s="81">
        <v>0</v>
      </c>
      <c r="AK80" s="82">
        <f>SUMIFS(Aut_BlueMe_Sem_Pedido!$J:$J,Aut_BlueMe_Sem_Pedido!$Q:$Q,DRE!AI$4,Aut_BlueMe_Sem_Pedido!$H:$H,DRE!$A80)+SUMIFS(Aut_Ajustes_Manuais!$G:$G,Aut_Ajustes_Manuais!$I:$I,DRE!AI$4,Aut_Ajustes_Manuais!$F:$F,"Locação de Mobiliário - Eventos")</f>
        <v>0</v>
      </c>
      <c r="AL80" s="241">
        <v>0</v>
      </c>
      <c r="AM80" s="81">
        <v>0</v>
      </c>
      <c r="AN80" s="82">
        <f>SUMIFS(Aut_BlueMe_Sem_Pedido!$J:$J,Aut_BlueMe_Sem_Pedido!$Q:$Q,DRE!AL$4,Aut_BlueMe_Sem_Pedido!$H:$H,DRE!$A80)+SUMIFS(Aut_Ajustes_Manuais!$G:$G,Aut_Ajustes_Manuais!$I:$I,DRE!AL$4,Aut_Ajustes_Manuais!$F:$F,"Locação de Mobiliário - Eventos")</f>
        <v>0</v>
      </c>
      <c r="AO80" s="241">
        <v>0</v>
      </c>
      <c r="AP80" s="81">
        <v>0</v>
      </c>
      <c r="AQ80" s="82">
        <f>SUMIFS(Aut_BlueMe_Sem_Pedido!$J:$J,Aut_BlueMe_Sem_Pedido!$Q:$Q,DRE!AO$4,Aut_BlueMe_Sem_Pedido!$H:$H,DRE!$A80)+SUMIFS(Aut_Ajustes_Manuais!$G:$G,Aut_Ajustes_Manuais!$I:$I,DRE!AO$4,Aut_Ajustes_Manuais!$F:$F,"Locação de Mobiliário - Eventos")</f>
        <v>0</v>
      </c>
      <c r="AR80" s="241">
        <f t="shared" ca="1" si="61"/>
        <v>0</v>
      </c>
      <c r="AS80" s="27">
        <f t="shared" ca="1" si="62"/>
        <v>0</v>
      </c>
      <c r="AT80" s="82">
        <f t="shared" ca="1" si="63"/>
        <v>0</v>
      </c>
      <c r="AU80" s="241">
        <f t="shared" si="95"/>
        <v>0</v>
      </c>
      <c r="AV80" s="81">
        <f t="shared" si="95"/>
        <v>0</v>
      </c>
      <c r="AW80" s="82">
        <f t="shared" si="95"/>
        <v>0</v>
      </c>
      <c r="AX80" s="241">
        <f t="shared" si="96"/>
        <v>0</v>
      </c>
      <c r="AY80" s="81">
        <f t="shared" si="96"/>
        <v>0</v>
      </c>
      <c r="AZ80" s="82">
        <f t="shared" si="96"/>
        <v>0</v>
      </c>
      <c r="BA80" s="241">
        <f t="shared" si="97"/>
        <v>0</v>
      </c>
      <c r="BB80" s="81">
        <f t="shared" si="97"/>
        <v>0</v>
      </c>
      <c r="BC80" s="82">
        <f t="shared" si="97"/>
        <v>0</v>
      </c>
      <c r="BD80" s="241">
        <f t="shared" si="98"/>
        <v>0</v>
      </c>
      <c r="BE80" s="81">
        <f t="shared" si="98"/>
        <v>0</v>
      </c>
      <c r="BF80" s="82">
        <f t="shared" si="98"/>
        <v>0</v>
      </c>
      <c r="BG80" s="241">
        <f t="shared" si="99"/>
        <v>0</v>
      </c>
      <c r="BH80" s="81">
        <f t="shared" si="99"/>
        <v>0</v>
      </c>
      <c r="BI80" s="82">
        <f t="shared" si="99"/>
        <v>0</v>
      </c>
    </row>
    <row r="81" spans="1:61" s="29" customFormat="1" hidden="1" outlineLevel="1" x14ac:dyDescent="0.3">
      <c r="A81" s="22" t="s">
        <v>105</v>
      </c>
      <c r="B81" s="2"/>
      <c r="C81" s="24" t="s">
        <v>106</v>
      </c>
      <c r="D81" s="69" t="s">
        <v>76</v>
      </c>
      <c r="E81" s="69"/>
      <c r="F81" s="41"/>
      <c r="G81" s="23"/>
      <c r="H81" s="241">
        <v>0</v>
      </c>
      <c r="I81" s="81">
        <v>0</v>
      </c>
      <c r="J81" s="82">
        <f>SUMIFS(Aut_BlueMe_Sem_Pedido!$J:$J,Aut_BlueMe_Sem_Pedido!$Q:$Q,DRE!H$4,Aut_BlueMe_Sem_Pedido!$H:$H,DRE!$A81)+SUMIFS(Aut_Ajustes_Manuais!$G:$G,Aut_Ajustes_Manuais!$I:$I,DRE!H$4,Aut_Ajustes_Manuais!$F:$F,"Locação de Coberturas - Eventos")</f>
        <v>0</v>
      </c>
      <c r="K81" s="254">
        <v>0</v>
      </c>
      <c r="L81" s="81">
        <v>0</v>
      </c>
      <c r="M81" s="82">
        <f>SUMIFS(Aut_BlueMe_Sem_Pedido!$J:$J,Aut_BlueMe_Sem_Pedido!$Q:$Q,DRE!K$4,Aut_BlueMe_Sem_Pedido!$H:$H,DRE!$A81)+SUMIFS(Aut_Ajustes_Manuais!$G:$G,Aut_Ajustes_Manuais!$I:$I,DRE!K$4,Aut_Ajustes_Manuais!$F:$F,"Locação de Coberturas - Eventos")</f>
        <v>0</v>
      </c>
      <c r="N81" s="254">
        <v>0</v>
      </c>
      <c r="O81" s="81">
        <v>0</v>
      </c>
      <c r="P81" s="82">
        <f>SUMIFS(Aut_BlueMe_Sem_Pedido!$J:$J,Aut_BlueMe_Sem_Pedido!$Q:$Q,DRE!N$4,Aut_BlueMe_Sem_Pedido!$H:$H,DRE!$A81)+SUMIFS(Aut_Ajustes_Manuais!$G:$G,Aut_Ajustes_Manuais!$I:$I,DRE!N$4,Aut_Ajustes_Manuais!$F:$F,"Locação de Coberturas - Eventos")</f>
        <v>0</v>
      </c>
      <c r="Q81" s="241">
        <v>0</v>
      </c>
      <c r="R81" s="81">
        <v>0</v>
      </c>
      <c r="S81" s="82">
        <f>SUMIFS(Aut_BlueMe_Sem_Pedido!$J:$J,Aut_BlueMe_Sem_Pedido!$Q:$Q,DRE!Q$4,Aut_BlueMe_Sem_Pedido!$H:$H,DRE!$A81)+SUMIFS(Aut_Ajustes_Manuais!$G:$G,Aut_Ajustes_Manuais!$I:$I,DRE!Q$4,Aut_Ajustes_Manuais!$F:$F,"Locação de Coberturas - Eventos")</f>
        <v>0</v>
      </c>
      <c r="T81" s="241">
        <v>0</v>
      </c>
      <c r="U81" s="81">
        <v>0</v>
      </c>
      <c r="V81" s="82">
        <f>SUMIFS(Aut_BlueMe_Sem_Pedido!$J:$J,Aut_BlueMe_Sem_Pedido!$Q:$Q,DRE!T$4,Aut_BlueMe_Sem_Pedido!$H:$H,DRE!$A81)+SUMIFS(Aut_Ajustes_Manuais!$G:$G,Aut_Ajustes_Manuais!$I:$I,DRE!T$4,Aut_Ajustes_Manuais!$F:$F,"Locação de Coberturas - Eventos")</f>
        <v>0</v>
      </c>
      <c r="W81" s="241">
        <v>0</v>
      </c>
      <c r="X81" s="81">
        <v>0</v>
      </c>
      <c r="Y81" s="82">
        <f>SUMIFS(Aut_BlueMe_Sem_Pedido!$J:$J,Aut_BlueMe_Sem_Pedido!$Q:$Q,DRE!W$4,Aut_BlueMe_Sem_Pedido!$H:$H,DRE!$A81)+SUMIFS(Aut_Ajustes_Manuais!$G:$G,Aut_Ajustes_Manuais!$I:$I,DRE!W$4,Aut_Ajustes_Manuais!$F:$F,"Locação de Coberturas - Eventos")</f>
        <v>0</v>
      </c>
      <c r="Z81" s="241">
        <v>0</v>
      </c>
      <c r="AA81" s="81">
        <v>0</v>
      </c>
      <c r="AB81" s="82">
        <f>SUMIFS(Aut_BlueMe_Sem_Pedido!$J:$J,Aut_BlueMe_Sem_Pedido!$Q:$Q,DRE!Z$4,Aut_BlueMe_Sem_Pedido!$H:$H,DRE!$A81)+SUMIFS(Aut_Ajustes_Manuais!$G:$G,Aut_Ajustes_Manuais!$I:$I,DRE!Z$4,Aut_Ajustes_Manuais!$F:$F,"Locação de Coberturas - Eventos")</f>
        <v>0</v>
      </c>
      <c r="AC81" s="241">
        <v>0</v>
      </c>
      <c r="AD81" s="81">
        <v>0</v>
      </c>
      <c r="AE81" s="82">
        <f>SUMIFS(Aut_BlueMe_Sem_Pedido!$J:$J,Aut_BlueMe_Sem_Pedido!$Q:$Q,DRE!AC$4,Aut_BlueMe_Sem_Pedido!$H:$H,DRE!$A81)+SUMIFS(Aut_Ajustes_Manuais!$G:$G,Aut_Ajustes_Manuais!$I:$I,DRE!AC$4,Aut_Ajustes_Manuais!$F:$F,"Locação de Coberturas - Eventos")</f>
        <v>0</v>
      </c>
      <c r="AF81" s="241">
        <v>0</v>
      </c>
      <c r="AG81" s="81">
        <v>0</v>
      </c>
      <c r="AH81" s="82">
        <f>SUMIFS(Aut_BlueMe_Sem_Pedido!$J:$J,Aut_BlueMe_Sem_Pedido!$Q:$Q,DRE!AF$4,Aut_BlueMe_Sem_Pedido!$H:$H,DRE!$A81)+SUMIFS(Aut_Ajustes_Manuais!$G:$G,Aut_Ajustes_Manuais!$I:$I,DRE!AF$4,Aut_Ajustes_Manuais!$F:$F,"Locação de Coberturas - Eventos")</f>
        <v>0</v>
      </c>
      <c r="AI81" s="241">
        <v>0</v>
      </c>
      <c r="AJ81" s="81">
        <v>0</v>
      </c>
      <c r="AK81" s="82">
        <f>SUMIFS(Aut_BlueMe_Sem_Pedido!$J:$J,Aut_BlueMe_Sem_Pedido!$Q:$Q,DRE!AI$4,Aut_BlueMe_Sem_Pedido!$H:$H,DRE!$A81)+SUMIFS(Aut_Ajustes_Manuais!$G:$G,Aut_Ajustes_Manuais!$I:$I,DRE!AI$4,Aut_Ajustes_Manuais!$F:$F,"Locação de Coberturas - Eventos")</f>
        <v>0</v>
      </c>
      <c r="AL81" s="241">
        <v>0</v>
      </c>
      <c r="AM81" s="81">
        <v>0</v>
      </c>
      <c r="AN81" s="82">
        <f>SUMIFS(Aut_BlueMe_Sem_Pedido!$J:$J,Aut_BlueMe_Sem_Pedido!$Q:$Q,DRE!AL$4,Aut_BlueMe_Sem_Pedido!$H:$H,DRE!$A81)+SUMIFS(Aut_Ajustes_Manuais!$G:$G,Aut_Ajustes_Manuais!$I:$I,DRE!AL$4,Aut_Ajustes_Manuais!$F:$F,"Locação de Coberturas - Eventos")</f>
        <v>0</v>
      </c>
      <c r="AO81" s="241">
        <v>0</v>
      </c>
      <c r="AP81" s="81">
        <v>0</v>
      </c>
      <c r="AQ81" s="82">
        <f>SUMIFS(Aut_BlueMe_Sem_Pedido!$J:$J,Aut_BlueMe_Sem_Pedido!$Q:$Q,DRE!AO$4,Aut_BlueMe_Sem_Pedido!$H:$H,DRE!$A81)+SUMIFS(Aut_Ajustes_Manuais!$G:$G,Aut_Ajustes_Manuais!$I:$I,DRE!AO$4,Aut_Ajustes_Manuais!$F:$F,"Locação de Coberturas - Eventos")</f>
        <v>0</v>
      </c>
      <c r="AR81" s="241">
        <f t="shared" ca="1" si="61"/>
        <v>0</v>
      </c>
      <c r="AS81" s="27">
        <f t="shared" ca="1" si="62"/>
        <v>0</v>
      </c>
      <c r="AT81" s="82">
        <f t="shared" ca="1" si="63"/>
        <v>0</v>
      </c>
      <c r="AU81" s="241">
        <f t="shared" si="95"/>
        <v>0</v>
      </c>
      <c r="AV81" s="81">
        <f t="shared" si="95"/>
        <v>0</v>
      </c>
      <c r="AW81" s="82">
        <f t="shared" si="95"/>
        <v>0</v>
      </c>
      <c r="AX81" s="241">
        <f t="shared" si="96"/>
        <v>0</v>
      </c>
      <c r="AY81" s="81">
        <f t="shared" si="96"/>
        <v>0</v>
      </c>
      <c r="AZ81" s="82">
        <f t="shared" si="96"/>
        <v>0</v>
      </c>
      <c r="BA81" s="241">
        <f t="shared" si="97"/>
        <v>0</v>
      </c>
      <c r="BB81" s="81">
        <f t="shared" si="97"/>
        <v>0</v>
      </c>
      <c r="BC81" s="82">
        <f t="shared" si="97"/>
        <v>0</v>
      </c>
      <c r="BD81" s="241">
        <f t="shared" si="98"/>
        <v>0</v>
      </c>
      <c r="BE81" s="81">
        <f t="shared" si="98"/>
        <v>0</v>
      </c>
      <c r="BF81" s="82">
        <f t="shared" si="98"/>
        <v>0</v>
      </c>
      <c r="BG81" s="241">
        <f t="shared" si="99"/>
        <v>0</v>
      </c>
      <c r="BH81" s="81">
        <f t="shared" si="99"/>
        <v>0</v>
      </c>
      <c r="BI81" s="82">
        <f t="shared" si="99"/>
        <v>0</v>
      </c>
    </row>
    <row r="82" spans="1:61" hidden="1" outlineLevel="1" x14ac:dyDescent="0.3">
      <c r="A82" s="73" t="s">
        <v>107</v>
      </c>
      <c r="C82" s="24"/>
      <c r="D82" s="69"/>
      <c r="E82" s="69"/>
      <c r="F82" s="41"/>
      <c r="H82" s="252">
        <v>0</v>
      </c>
      <c r="I82" s="74">
        <v>0</v>
      </c>
      <c r="J82" s="76">
        <f>SUM(J83:J84)+SUMIFS(Aut_Ajustes_Manuais!$G:$G,Aut_Ajustes_Manuais!$I:$I,DRE!H$4,Aut_Ajustes_Manuais!$F:$F,"Repasses Locação de Espaço")</f>
        <v>0</v>
      </c>
      <c r="K82" s="252">
        <v>0</v>
      </c>
      <c r="L82" s="74">
        <v>0</v>
      </c>
      <c r="M82" s="76">
        <f>SUM(M83:M84)+SUMIFS(Aut_Ajustes_Manuais!$G:$G,Aut_Ajustes_Manuais!$I:$I,DRE!K$4,Aut_Ajustes_Manuais!$F:$F,"Repasses Locação de Espaço")</f>
        <v>0</v>
      </c>
      <c r="N82" s="252">
        <v>0</v>
      </c>
      <c r="O82" s="74">
        <v>0</v>
      </c>
      <c r="P82" s="76">
        <f>SUM(P83:P84)+SUMIFS(Aut_Ajustes_Manuais!$G:$G,Aut_Ajustes_Manuais!$I:$I,DRE!N$4,Aut_Ajustes_Manuais!$F:$F,"Repasses Locação de Espaço")</f>
        <v>0</v>
      </c>
      <c r="Q82" s="252">
        <v>0</v>
      </c>
      <c r="R82" s="74">
        <v>0</v>
      </c>
      <c r="S82" s="76">
        <f>SUM(S83:S84)+SUMIFS(Aut_Ajustes_Manuais!$G:$G,Aut_Ajustes_Manuais!$I:$I,DRE!Q$4,Aut_Ajustes_Manuais!$F:$F,"Repasses Locação de Espaço")</f>
        <v>0</v>
      </c>
      <c r="T82" s="252">
        <v>0</v>
      </c>
      <c r="U82" s="74">
        <v>0</v>
      </c>
      <c r="V82" s="76">
        <f>SUM(V83:V84)+SUMIFS(Aut_Ajustes_Manuais!$G:$G,Aut_Ajustes_Manuais!$I:$I,DRE!T$4,Aut_Ajustes_Manuais!$F:$F,"Repasses Locação de Espaço")</f>
        <v>0</v>
      </c>
      <c r="W82" s="252">
        <v>0</v>
      </c>
      <c r="X82" s="74">
        <v>0</v>
      </c>
      <c r="Y82" s="76">
        <f>SUM(Y83:Y84)+SUMIFS(Aut_Ajustes_Manuais!$G:$G,Aut_Ajustes_Manuais!$I:$I,DRE!W$4,Aut_Ajustes_Manuais!$F:$F,"Repasses Locação de Espaço")</f>
        <v>0</v>
      </c>
      <c r="Z82" s="252">
        <v>0</v>
      </c>
      <c r="AA82" s="74">
        <v>0</v>
      </c>
      <c r="AB82" s="76">
        <f>SUM(AB83:AB84)+SUMIFS(Aut_Ajustes_Manuais!$G:$G,Aut_Ajustes_Manuais!$I:$I,DRE!Z$4,Aut_Ajustes_Manuais!$F:$F,"Repasses Locação de Espaço")</f>
        <v>0</v>
      </c>
      <c r="AC82" s="252">
        <v>0</v>
      </c>
      <c r="AD82" s="74">
        <v>0</v>
      </c>
      <c r="AE82" s="76">
        <f>SUM(AE83:AE84)+SUMIFS(Aut_Ajustes_Manuais!$G:$G,Aut_Ajustes_Manuais!$I:$I,DRE!AC$4,Aut_Ajustes_Manuais!$F:$F,"Repasses Locação de Espaço")</f>
        <v>0</v>
      </c>
      <c r="AF82" s="252">
        <v>0</v>
      </c>
      <c r="AG82" s="74">
        <v>0</v>
      </c>
      <c r="AH82" s="76">
        <f>SUM(AH83:AH84)+SUMIFS(Aut_Ajustes_Manuais!$G:$G,Aut_Ajustes_Manuais!$I:$I,DRE!AF$4,Aut_Ajustes_Manuais!$F:$F,"Repasses Locação de Espaço")</f>
        <v>0</v>
      </c>
      <c r="AI82" s="252">
        <v>0</v>
      </c>
      <c r="AJ82" s="74">
        <v>0</v>
      </c>
      <c r="AK82" s="76">
        <f>SUM(AK83:AK84)+SUMIFS(Aut_Ajustes_Manuais!$G:$G,Aut_Ajustes_Manuais!$I:$I,DRE!AI$4,Aut_Ajustes_Manuais!$F:$F,"Repasses Locação de Espaço")</f>
        <v>0</v>
      </c>
      <c r="AL82" s="252">
        <v>0</v>
      </c>
      <c r="AM82" s="74">
        <v>0</v>
      </c>
      <c r="AN82" s="76">
        <f>SUM(AN83:AN84)+SUMIFS(Aut_Ajustes_Manuais!$G:$G,Aut_Ajustes_Manuais!$I:$I,DRE!AL$4,Aut_Ajustes_Manuais!$F:$F,"Repasses Locação de Espaço")</f>
        <v>0</v>
      </c>
      <c r="AO82" s="252">
        <v>0</v>
      </c>
      <c r="AP82" s="74">
        <v>0</v>
      </c>
      <c r="AQ82" s="76">
        <f>SUM(AQ83:AQ84)+SUMIFS(Aut_Ajustes_Manuais!$G:$G,Aut_Ajustes_Manuais!$I:$I,DRE!AO$4,Aut_Ajustes_Manuais!$F:$F,"Repasses Locação de Espaço")</f>
        <v>0</v>
      </c>
      <c r="AR82" s="74">
        <f t="shared" ca="1" si="61"/>
        <v>0</v>
      </c>
      <c r="AS82" s="74">
        <f t="shared" ca="1" si="62"/>
        <v>0</v>
      </c>
      <c r="AT82" s="76">
        <f t="shared" ca="1" si="63"/>
        <v>0</v>
      </c>
      <c r="AU82" s="252">
        <f t="shared" ref="AU82:BI82" si="100">SUM(AU83:AU84)</f>
        <v>0</v>
      </c>
      <c r="AV82" s="74">
        <f t="shared" si="100"/>
        <v>0</v>
      </c>
      <c r="AW82" s="76">
        <f t="shared" si="100"/>
        <v>0</v>
      </c>
      <c r="AX82" s="252">
        <f t="shared" si="100"/>
        <v>0</v>
      </c>
      <c r="AY82" s="74">
        <f t="shared" si="100"/>
        <v>0</v>
      </c>
      <c r="AZ82" s="76">
        <f t="shared" si="100"/>
        <v>0</v>
      </c>
      <c r="BA82" s="252">
        <f t="shared" si="100"/>
        <v>0</v>
      </c>
      <c r="BB82" s="74">
        <f t="shared" si="100"/>
        <v>0</v>
      </c>
      <c r="BC82" s="76">
        <f t="shared" si="100"/>
        <v>0</v>
      </c>
      <c r="BD82" s="252">
        <f t="shared" si="100"/>
        <v>0</v>
      </c>
      <c r="BE82" s="74">
        <f t="shared" si="100"/>
        <v>0</v>
      </c>
      <c r="BF82" s="76">
        <f t="shared" si="100"/>
        <v>0</v>
      </c>
      <c r="BG82" s="252">
        <f t="shared" si="100"/>
        <v>0</v>
      </c>
      <c r="BH82" s="74">
        <f t="shared" si="100"/>
        <v>0</v>
      </c>
      <c r="BI82" s="76">
        <f t="shared" si="100"/>
        <v>0</v>
      </c>
    </row>
    <row r="83" spans="1:61" s="29" customFormat="1" hidden="1" outlineLevel="1" x14ac:dyDescent="0.3">
      <c r="A83" s="22" t="s">
        <v>108</v>
      </c>
      <c r="B83" s="2"/>
      <c r="C83" s="24"/>
      <c r="D83" s="69" t="s">
        <v>76</v>
      </c>
      <c r="E83" s="80">
        <v>0</v>
      </c>
      <c r="F83" s="41"/>
      <c r="G83" s="23"/>
      <c r="H83" s="241">
        <v>0</v>
      </c>
      <c r="I83" s="81">
        <v>0</v>
      </c>
      <c r="J83" s="82">
        <f>SUMIFS(Aut_BlueMe_Sem_Pedido!$J:$J,Aut_BlueMe_Sem_Pedido!$Q:$Q,DRE!H$4,Aut_BlueMe_Sem_Pedido!$H:$H,DRE!$A83)+SUMIFS(Aut_Ajustes_Manuais!$G:$G,Aut_Ajustes_Manuais!$I:$I,DRE!H$4,Aut_Ajustes_Manuais!$F:$F,"Repasse Gazit - Locação Aroo")</f>
        <v>0</v>
      </c>
      <c r="K83" s="254">
        <v>0</v>
      </c>
      <c r="L83" s="81">
        <v>0</v>
      </c>
      <c r="M83" s="82">
        <f>SUMIFS(Aut_BlueMe_Sem_Pedido!$J:$J,Aut_BlueMe_Sem_Pedido!$Q:$Q,DRE!K$4,Aut_BlueMe_Sem_Pedido!$H:$H,DRE!$A83)+SUMIFS(Aut_Ajustes_Manuais!$G:$G,Aut_Ajustes_Manuais!$I:$I,DRE!K$4,Aut_Ajustes_Manuais!$F:$F,"Repasse Gazit - Locação Aroo")</f>
        <v>0</v>
      </c>
      <c r="N83" s="254">
        <v>0</v>
      </c>
      <c r="O83" s="81">
        <v>0</v>
      </c>
      <c r="P83" s="82">
        <f>SUMIFS(Aut_BlueMe_Sem_Pedido!$J:$J,Aut_BlueMe_Sem_Pedido!$Q:$Q,DRE!N$4,Aut_BlueMe_Sem_Pedido!$H:$H,DRE!$A83)+SUMIFS(Aut_Ajustes_Manuais!$G:$G,Aut_Ajustes_Manuais!$I:$I,DRE!N$4,Aut_Ajustes_Manuais!$F:$F,"Repasse Gazit - Locação Aroo")</f>
        <v>0</v>
      </c>
      <c r="Q83" s="241">
        <v>0</v>
      </c>
      <c r="R83" s="81">
        <v>0</v>
      </c>
      <c r="S83" s="82">
        <f>SUMIFS(Aut_BlueMe_Sem_Pedido!$J:$J,Aut_BlueMe_Sem_Pedido!$Q:$Q,DRE!Q$4,Aut_BlueMe_Sem_Pedido!$H:$H,DRE!$A83)+SUMIFS(Aut_Ajustes_Manuais!$G:$G,Aut_Ajustes_Manuais!$I:$I,DRE!Q$4,Aut_Ajustes_Manuais!$F:$F,"Repasse Gazit - Locação Aroo")</f>
        <v>0</v>
      </c>
      <c r="T83" s="241">
        <v>0</v>
      </c>
      <c r="U83" s="81">
        <v>0</v>
      </c>
      <c r="V83" s="82">
        <f>SUMIFS(Aut_BlueMe_Sem_Pedido!$J:$J,Aut_BlueMe_Sem_Pedido!$Q:$Q,DRE!T$4,Aut_BlueMe_Sem_Pedido!$H:$H,DRE!$A83)+SUMIFS(Aut_Ajustes_Manuais!$G:$G,Aut_Ajustes_Manuais!$I:$I,DRE!T$4,Aut_Ajustes_Manuais!$F:$F,"Repasse Gazit - Locação Aroo")</f>
        <v>0</v>
      </c>
      <c r="W83" s="241">
        <v>0</v>
      </c>
      <c r="X83" s="81">
        <v>0</v>
      </c>
      <c r="Y83" s="82">
        <f>SUMIFS(Aut_BlueMe_Sem_Pedido!$J:$J,Aut_BlueMe_Sem_Pedido!$Q:$Q,DRE!W$4,Aut_BlueMe_Sem_Pedido!$H:$H,DRE!$A83)+SUMIFS(Aut_Ajustes_Manuais!$G:$G,Aut_Ajustes_Manuais!$I:$I,DRE!W$4,Aut_Ajustes_Manuais!$F:$F,"Repasse Gazit - Locação Aroo")</f>
        <v>0</v>
      </c>
      <c r="Z83" s="241">
        <v>0</v>
      </c>
      <c r="AA83" s="81">
        <v>0</v>
      </c>
      <c r="AB83" s="82">
        <f>SUMIFS(Aut_BlueMe_Sem_Pedido!$J:$J,Aut_BlueMe_Sem_Pedido!$Q:$Q,DRE!Z$4,Aut_BlueMe_Sem_Pedido!$H:$H,DRE!$A83)+SUMIFS(Aut_Ajustes_Manuais!$G:$G,Aut_Ajustes_Manuais!$I:$I,DRE!Z$4,Aut_Ajustes_Manuais!$F:$F,"Repasse Gazit - Locação Aroo")</f>
        <v>0</v>
      </c>
      <c r="AC83" s="241">
        <v>0</v>
      </c>
      <c r="AD83" s="81">
        <v>0</v>
      </c>
      <c r="AE83" s="82">
        <f>SUMIFS(Aut_BlueMe_Sem_Pedido!$J:$J,Aut_BlueMe_Sem_Pedido!$Q:$Q,DRE!AC$4,Aut_BlueMe_Sem_Pedido!$H:$H,DRE!$A83)+SUMIFS(Aut_Ajustes_Manuais!$G:$G,Aut_Ajustes_Manuais!$I:$I,DRE!AC$4,Aut_Ajustes_Manuais!$F:$F,"Repasse Gazit - Locação Aroo")</f>
        <v>0</v>
      </c>
      <c r="AF83" s="241">
        <v>0</v>
      </c>
      <c r="AG83" s="81">
        <v>0</v>
      </c>
      <c r="AH83" s="82">
        <f>SUMIFS(Aut_BlueMe_Sem_Pedido!$J:$J,Aut_BlueMe_Sem_Pedido!$Q:$Q,DRE!AF$4,Aut_BlueMe_Sem_Pedido!$H:$H,DRE!$A83)+SUMIFS(Aut_Ajustes_Manuais!$G:$G,Aut_Ajustes_Manuais!$I:$I,DRE!AF$4,Aut_Ajustes_Manuais!$F:$F,"Repasse Gazit - Locação Aroo")</f>
        <v>0</v>
      </c>
      <c r="AI83" s="241">
        <v>0</v>
      </c>
      <c r="AJ83" s="81">
        <v>0</v>
      </c>
      <c r="AK83" s="82">
        <f>SUMIFS(Aut_BlueMe_Sem_Pedido!$J:$J,Aut_BlueMe_Sem_Pedido!$Q:$Q,DRE!AI$4,Aut_BlueMe_Sem_Pedido!$H:$H,DRE!$A83)+SUMIFS(Aut_Ajustes_Manuais!$G:$G,Aut_Ajustes_Manuais!$I:$I,DRE!AI$4,Aut_Ajustes_Manuais!$F:$F,"Repasse Gazit - Locação Aroo")</f>
        <v>0</v>
      </c>
      <c r="AL83" s="241">
        <v>0</v>
      </c>
      <c r="AM83" s="81">
        <v>0</v>
      </c>
      <c r="AN83" s="82">
        <f>SUMIFS(Aut_BlueMe_Sem_Pedido!$J:$J,Aut_BlueMe_Sem_Pedido!$Q:$Q,DRE!AL$4,Aut_BlueMe_Sem_Pedido!$H:$H,DRE!$A83)+SUMIFS(Aut_Ajustes_Manuais!$G:$G,Aut_Ajustes_Manuais!$I:$I,DRE!AL$4,Aut_Ajustes_Manuais!$F:$F,"Repasse Gazit - Locação Aroo")</f>
        <v>0</v>
      </c>
      <c r="AO83" s="241">
        <v>0</v>
      </c>
      <c r="AP83" s="81">
        <v>0</v>
      </c>
      <c r="AQ83" s="82">
        <f>SUMIFS(Aut_BlueMe_Sem_Pedido!$J:$J,Aut_BlueMe_Sem_Pedido!$Q:$Q,DRE!AO$4,Aut_BlueMe_Sem_Pedido!$H:$H,DRE!$A83)+SUMIFS(Aut_Ajustes_Manuais!$G:$G,Aut_Ajustes_Manuais!$I:$I,DRE!AO$4,Aut_Ajustes_Manuais!$F:$F,"Repasse Gazit - Locação Aroo")</f>
        <v>0</v>
      </c>
      <c r="AR83" s="241">
        <f t="shared" ca="1" si="61"/>
        <v>0</v>
      </c>
      <c r="AS83" s="27">
        <f t="shared" ca="1" si="62"/>
        <v>0</v>
      </c>
      <c r="AT83" s="82">
        <f t="shared" ca="1" si="63"/>
        <v>0</v>
      </c>
      <c r="AU83" s="241">
        <f t="shared" ref="AU83:AW84" si="101">SUM(H83,K83,N83,Q83,T83,W83,Z83,AC83,AF83,AI83,AL83,AO83)</f>
        <v>0</v>
      </c>
      <c r="AV83" s="81">
        <f t="shared" si="101"/>
        <v>0</v>
      </c>
      <c r="AW83" s="82">
        <f t="shared" si="101"/>
        <v>0</v>
      </c>
      <c r="AX83" s="241">
        <f t="shared" ref="AX83:AZ84" si="102">SUM(H83,K83,N83)</f>
        <v>0</v>
      </c>
      <c r="AY83" s="81">
        <f t="shared" si="102"/>
        <v>0</v>
      </c>
      <c r="AZ83" s="82">
        <f t="shared" si="102"/>
        <v>0</v>
      </c>
      <c r="BA83" s="241">
        <f t="shared" ref="BA83:BC84" si="103">SUM(Q83,T83,W83)</f>
        <v>0</v>
      </c>
      <c r="BB83" s="81">
        <f t="shared" si="103"/>
        <v>0</v>
      </c>
      <c r="BC83" s="82">
        <f t="shared" si="103"/>
        <v>0</v>
      </c>
      <c r="BD83" s="241">
        <f t="shared" ref="BD83:BF84" si="104">SUM(Z83,AC83,AF83)</f>
        <v>0</v>
      </c>
      <c r="BE83" s="81">
        <f t="shared" si="104"/>
        <v>0</v>
      </c>
      <c r="BF83" s="82">
        <f t="shared" si="104"/>
        <v>0</v>
      </c>
      <c r="BG83" s="241">
        <f t="shared" ref="BG83:BI84" si="105">SUM(AI83,AL83,AO83)</f>
        <v>0</v>
      </c>
      <c r="BH83" s="81">
        <f t="shared" si="105"/>
        <v>0</v>
      </c>
      <c r="BI83" s="82">
        <f t="shared" si="105"/>
        <v>0</v>
      </c>
    </row>
    <row r="84" spans="1:61" s="29" customFormat="1" hidden="1" outlineLevel="1" x14ac:dyDescent="0.3">
      <c r="A84" s="22" t="s">
        <v>109</v>
      </c>
      <c r="B84" s="2"/>
      <c r="C84" s="24"/>
      <c r="D84" s="69" t="s">
        <v>76</v>
      </c>
      <c r="E84" s="80">
        <v>0</v>
      </c>
      <c r="F84" s="41"/>
      <c r="G84" s="23"/>
      <c r="H84" s="241">
        <v>0</v>
      </c>
      <c r="I84" s="81">
        <v>0</v>
      </c>
      <c r="J84" s="82">
        <f>SUMIFS(Aut_BlueMe_Sem_Pedido!$J:$J,Aut_BlueMe_Sem_Pedido!$Q:$Q,DRE!H$4,Aut_BlueMe_Sem_Pedido!$H:$H,DRE!$A84)+SUMIFS(Aut_Ajustes_Manuais!$G:$G,Aut_Ajustes_Manuais!$I:$I,DRE!H$4,Aut_Ajustes_Manuais!$F:$F,"Repasse Gazit - Locação Anexo Abaru")</f>
        <v>0</v>
      </c>
      <c r="K84" s="254">
        <v>0</v>
      </c>
      <c r="L84" s="81">
        <v>0</v>
      </c>
      <c r="M84" s="82">
        <f>SUMIFS(Aut_BlueMe_Sem_Pedido!$J:$J,Aut_BlueMe_Sem_Pedido!$Q:$Q,DRE!K$4,Aut_BlueMe_Sem_Pedido!$H:$H,DRE!$A84)+SUMIFS(Aut_Ajustes_Manuais!$G:$G,Aut_Ajustes_Manuais!$I:$I,DRE!K$4,Aut_Ajustes_Manuais!$F:$F,"Repasse Gazit - Locação Anexo Abaru")</f>
        <v>0</v>
      </c>
      <c r="N84" s="254">
        <v>0</v>
      </c>
      <c r="O84" s="81">
        <v>0</v>
      </c>
      <c r="P84" s="82">
        <f>SUMIFS(Aut_BlueMe_Sem_Pedido!$J:$J,Aut_BlueMe_Sem_Pedido!$Q:$Q,DRE!N$4,Aut_BlueMe_Sem_Pedido!$H:$H,DRE!$A84)+SUMIFS(Aut_Ajustes_Manuais!$G:$G,Aut_Ajustes_Manuais!$I:$I,DRE!N$4,Aut_Ajustes_Manuais!$F:$F,"Repasse Gazit - Locação Anexo Abaru")</f>
        <v>0</v>
      </c>
      <c r="Q84" s="241">
        <v>0</v>
      </c>
      <c r="R84" s="81">
        <v>0</v>
      </c>
      <c r="S84" s="82">
        <f>SUMIFS(Aut_BlueMe_Sem_Pedido!$J:$J,Aut_BlueMe_Sem_Pedido!$Q:$Q,DRE!Q$4,Aut_BlueMe_Sem_Pedido!$H:$H,DRE!$A84)+SUMIFS(Aut_Ajustes_Manuais!$G:$G,Aut_Ajustes_Manuais!$I:$I,DRE!Q$4,Aut_Ajustes_Manuais!$F:$F,"Repasse Gazit - Locação Anexo Abaru")</f>
        <v>0</v>
      </c>
      <c r="T84" s="241">
        <v>0</v>
      </c>
      <c r="U84" s="81">
        <v>0</v>
      </c>
      <c r="V84" s="82">
        <f>SUMIFS(Aut_BlueMe_Sem_Pedido!$J:$J,Aut_BlueMe_Sem_Pedido!$Q:$Q,DRE!T$4,Aut_BlueMe_Sem_Pedido!$H:$H,DRE!$A84)+SUMIFS(Aut_Ajustes_Manuais!$G:$G,Aut_Ajustes_Manuais!$I:$I,DRE!T$4,Aut_Ajustes_Manuais!$F:$F,"Repasse Gazit - Locação Anexo Abaru")</f>
        <v>0</v>
      </c>
      <c r="W84" s="241">
        <v>0</v>
      </c>
      <c r="X84" s="81">
        <v>0</v>
      </c>
      <c r="Y84" s="82">
        <f>SUMIFS(Aut_BlueMe_Sem_Pedido!$J:$J,Aut_BlueMe_Sem_Pedido!$Q:$Q,DRE!W$4,Aut_BlueMe_Sem_Pedido!$H:$H,DRE!$A84)+SUMIFS(Aut_Ajustes_Manuais!$G:$G,Aut_Ajustes_Manuais!$I:$I,DRE!W$4,Aut_Ajustes_Manuais!$F:$F,"Repasse Gazit - Locação Anexo Abaru")</f>
        <v>0</v>
      </c>
      <c r="Z84" s="241">
        <v>0</v>
      </c>
      <c r="AA84" s="81">
        <v>0</v>
      </c>
      <c r="AB84" s="82">
        <f>SUMIFS(Aut_BlueMe_Sem_Pedido!$J:$J,Aut_BlueMe_Sem_Pedido!$Q:$Q,DRE!Z$4,Aut_BlueMe_Sem_Pedido!$H:$H,DRE!$A84)+SUMIFS(Aut_Ajustes_Manuais!$G:$G,Aut_Ajustes_Manuais!$I:$I,DRE!Z$4,Aut_Ajustes_Manuais!$F:$F,"Repasse Gazit - Locação Anexo Abaru")</f>
        <v>0</v>
      </c>
      <c r="AC84" s="241">
        <v>0</v>
      </c>
      <c r="AD84" s="81">
        <v>0</v>
      </c>
      <c r="AE84" s="82">
        <f>SUMIFS(Aut_BlueMe_Sem_Pedido!$J:$J,Aut_BlueMe_Sem_Pedido!$Q:$Q,DRE!AC$4,Aut_BlueMe_Sem_Pedido!$H:$H,DRE!$A84)+SUMIFS(Aut_Ajustes_Manuais!$G:$G,Aut_Ajustes_Manuais!$I:$I,DRE!AC$4,Aut_Ajustes_Manuais!$F:$F,"Repasse Gazit - Locação Anexo Abaru")</f>
        <v>0</v>
      </c>
      <c r="AF84" s="241">
        <v>0</v>
      </c>
      <c r="AG84" s="81">
        <v>0</v>
      </c>
      <c r="AH84" s="82">
        <f>SUMIFS(Aut_BlueMe_Sem_Pedido!$J:$J,Aut_BlueMe_Sem_Pedido!$Q:$Q,DRE!AF$4,Aut_BlueMe_Sem_Pedido!$H:$H,DRE!$A84)+SUMIFS(Aut_Ajustes_Manuais!$G:$G,Aut_Ajustes_Manuais!$I:$I,DRE!AF$4,Aut_Ajustes_Manuais!$F:$F,"Repasse Gazit - Locação Anexo Abaru")</f>
        <v>0</v>
      </c>
      <c r="AI84" s="241">
        <v>0</v>
      </c>
      <c r="AJ84" s="81">
        <v>0</v>
      </c>
      <c r="AK84" s="82">
        <f>SUMIFS(Aut_BlueMe_Sem_Pedido!$J:$J,Aut_BlueMe_Sem_Pedido!$Q:$Q,DRE!AI$4,Aut_BlueMe_Sem_Pedido!$H:$H,DRE!$A84)+SUMIFS(Aut_Ajustes_Manuais!$G:$G,Aut_Ajustes_Manuais!$I:$I,DRE!AI$4,Aut_Ajustes_Manuais!$F:$F,"Repasse Gazit - Locação Anexo Abaru")</f>
        <v>0</v>
      </c>
      <c r="AL84" s="241">
        <v>0</v>
      </c>
      <c r="AM84" s="81">
        <v>0</v>
      </c>
      <c r="AN84" s="82">
        <f>SUMIFS(Aut_BlueMe_Sem_Pedido!$J:$J,Aut_BlueMe_Sem_Pedido!$Q:$Q,DRE!AL$4,Aut_BlueMe_Sem_Pedido!$H:$H,DRE!$A84)+SUMIFS(Aut_Ajustes_Manuais!$G:$G,Aut_Ajustes_Manuais!$I:$I,DRE!AL$4,Aut_Ajustes_Manuais!$F:$F,"Repasse Gazit - Locação Anexo Abaru")</f>
        <v>0</v>
      </c>
      <c r="AO84" s="241">
        <v>0</v>
      </c>
      <c r="AP84" s="81">
        <v>0</v>
      </c>
      <c r="AQ84" s="82">
        <f>SUMIFS(Aut_BlueMe_Sem_Pedido!$J:$J,Aut_BlueMe_Sem_Pedido!$Q:$Q,DRE!AO$4,Aut_BlueMe_Sem_Pedido!$H:$H,DRE!$A84)+SUMIFS(Aut_Ajustes_Manuais!$G:$G,Aut_Ajustes_Manuais!$I:$I,DRE!AO$4,Aut_Ajustes_Manuais!$F:$F,"Repasse Gazit - Locação Anexo Abaru")</f>
        <v>0</v>
      </c>
      <c r="AR84" s="241">
        <f t="shared" ca="1" si="61"/>
        <v>0</v>
      </c>
      <c r="AS84" s="27">
        <f t="shared" ca="1" si="62"/>
        <v>0</v>
      </c>
      <c r="AT84" s="82">
        <f t="shared" ca="1" si="63"/>
        <v>0</v>
      </c>
      <c r="AU84" s="241">
        <f t="shared" si="101"/>
        <v>0</v>
      </c>
      <c r="AV84" s="81">
        <f t="shared" si="101"/>
        <v>0</v>
      </c>
      <c r="AW84" s="82">
        <f t="shared" si="101"/>
        <v>0</v>
      </c>
      <c r="AX84" s="241">
        <f t="shared" si="102"/>
        <v>0</v>
      </c>
      <c r="AY84" s="81">
        <f t="shared" si="102"/>
        <v>0</v>
      </c>
      <c r="AZ84" s="82">
        <f t="shared" si="102"/>
        <v>0</v>
      </c>
      <c r="BA84" s="241">
        <f t="shared" si="103"/>
        <v>0</v>
      </c>
      <c r="BB84" s="81">
        <f t="shared" si="103"/>
        <v>0</v>
      </c>
      <c r="BC84" s="82">
        <f t="shared" si="103"/>
        <v>0</v>
      </c>
      <c r="BD84" s="241">
        <f t="shared" si="104"/>
        <v>0</v>
      </c>
      <c r="BE84" s="81">
        <f t="shared" si="104"/>
        <v>0</v>
      </c>
      <c r="BF84" s="82">
        <f t="shared" si="104"/>
        <v>0</v>
      </c>
      <c r="BG84" s="241">
        <f t="shared" si="105"/>
        <v>0</v>
      </c>
      <c r="BH84" s="81">
        <f t="shared" si="105"/>
        <v>0</v>
      </c>
      <c r="BI84" s="82">
        <f t="shared" si="105"/>
        <v>0</v>
      </c>
    </row>
    <row r="85" spans="1:61" collapsed="1" x14ac:dyDescent="0.3">
      <c r="A85" s="71" t="s">
        <v>110</v>
      </c>
      <c r="C85" s="24"/>
      <c r="D85" s="69"/>
      <c r="E85" s="69"/>
      <c r="F85" s="41"/>
      <c r="H85" s="255">
        <v>-0.3594866444707957</v>
      </c>
      <c r="I85" s="83">
        <v>-0.30747591682846631</v>
      </c>
      <c r="J85" s="84">
        <f>IFERROR(J56/(J14+J15+J16),0)+SUMIFS(Aut_Ajustes_Manuais!$G:$G,Aut_Ajustes_Manuais!$I:$I,DRE!H$4,Aut_Ajustes_Manuais!$F:$F,"% sobre Receita de Eventos")</f>
        <v>-0.13620277777777778</v>
      </c>
      <c r="K85" s="255">
        <v>-0.2102415009191394</v>
      </c>
      <c r="L85" s="83">
        <v>-0.14870869423596469</v>
      </c>
      <c r="M85" s="84">
        <f>IFERROR(M56/(M14+M15+M16),0)+SUMIFS(Aut_Ajustes_Manuais!$G:$G,Aut_Ajustes_Manuais!$I:$I,DRE!K$4,Aut_Ajustes_Manuais!$F:$F,"% sobre Receita de Eventos")</f>
        <v>-0.59298333333333331</v>
      </c>
      <c r="N85" s="255">
        <v>-0.19999870197300099</v>
      </c>
      <c r="O85" s="83">
        <v>-0.15962161894872171</v>
      </c>
      <c r="P85" s="84">
        <f>IFERROR(P56/(P14+P15+P16),0)+SUMIFS(Aut_Ajustes_Manuais!$G:$G,Aut_Ajustes_Manuais!$I:$I,DRE!N$4,Aut_Ajustes_Manuais!$F:$F,"% sobre Receita de Eventos")</f>
        <v>-4.6878727434203148E-2</v>
      </c>
      <c r="Q85" s="255">
        <v>-0.1331182130506085</v>
      </c>
      <c r="R85" s="83">
        <v>-0.1058968176188629</v>
      </c>
      <c r="S85" s="84">
        <f>IFERROR(S56/(S14+S15+S16),0)+SUMIFS(Aut_Ajustes_Manuais!$G:$G,Aut_Ajustes_Manuais!$I:$I,DRE!Q$4,Aut_Ajustes_Manuais!$F:$F,"% sobre Receita de Eventos")</f>
        <v>-0.90530555555555547</v>
      </c>
      <c r="T85" s="255">
        <v>-0.32708613138686132</v>
      </c>
      <c r="U85" s="83">
        <v>-0.24455057351407711</v>
      </c>
      <c r="V85" s="84">
        <f>IFERROR(V56/(V14+V15+V16),0)+SUMIFS(Aut_Ajustes_Manuais!$G:$G,Aut_Ajustes_Manuais!$I:$I,DRE!T$4,Aut_Ajustes_Manuais!$F:$F,"% sobre Receita de Eventos")</f>
        <v>-6.0177519115570059E-2</v>
      </c>
      <c r="W85" s="255">
        <v>-0.19912953586497889</v>
      </c>
      <c r="X85" s="83">
        <v>-0.15655455093429779</v>
      </c>
      <c r="Y85" s="84">
        <f>IFERROR(Y56/(Y14+Y15+Y16),0)+SUMIFS(Aut_Ajustes_Manuais!$G:$G,Aut_Ajustes_Manuais!$I:$I,DRE!W$4,Aut_Ajustes_Manuais!$F:$F,"% sobre Receita de Eventos")</f>
        <v>-0.27397260273972601</v>
      </c>
      <c r="Z85" s="255">
        <v>-6.9031674492118722E-2</v>
      </c>
      <c r="AA85" s="83">
        <v>-8.4725340227124399E-2</v>
      </c>
      <c r="AB85" s="84">
        <f>IFERROR(AB56/(AB14+AB15+AB16),0)+SUMIFS(Aut_Ajustes_Manuais!$G:$G,Aut_Ajustes_Manuais!$I:$I,DRE!Z$4,Aut_Ajustes_Manuais!$F:$F,"% sobre Receita de Eventos")</f>
        <v>-9.7087378640776698E-2</v>
      </c>
      <c r="AC85" s="255">
        <v>-0.21306952380952379</v>
      </c>
      <c r="AD85" s="83">
        <v>-0.30810884353741502</v>
      </c>
      <c r="AE85" s="84">
        <f>IFERROR(AE56/(AE14+AE15+AE16),0)+SUMIFS(Aut_Ajustes_Manuais!$G:$G,Aut_Ajustes_Manuais!$I:$I,DRE!AC$4,Aut_Ajustes_Manuais!$F:$F,"% sobre Receita de Eventos")</f>
        <v>-5.3477337106694237E-2</v>
      </c>
      <c r="AF85" s="255">
        <v>-8.3801612028689493E-2</v>
      </c>
      <c r="AG85" s="83">
        <v>-0.1163529745465882</v>
      </c>
      <c r="AH85" s="84">
        <f>IFERROR(AH56/(AH14+AH15+AH16),0)+SUMIFS(Aut_Ajustes_Manuais!$G:$G,Aut_Ajustes_Manuais!$I:$I,DRE!AF$4,Aut_Ajustes_Manuais!$F:$F,"% sobre Receita de Eventos")</f>
        <v>0</v>
      </c>
      <c r="AI85" s="255">
        <v>-4.8286061277659692E-2</v>
      </c>
      <c r="AJ85" s="83">
        <v>-8.1076009420885969E-2</v>
      </c>
      <c r="AK85" s="84">
        <f>IFERROR(AK56/(AK14+AK15+AK16),0)+SUMIFS(Aut_Ajustes_Manuais!$G:$G,Aut_Ajustes_Manuais!$I:$I,DRE!AI$4,Aut_Ajustes_Manuais!$F:$F,"% sobre Receita de Eventos")</f>
        <v>0</v>
      </c>
      <c r="AL85" s="255">
        <v>-0.126699466989383</v>
      </c>
      <c r="AM85" s="83">
        <v>-7.868938558329204E-2</v>
      </c>
      <c r="AN85" s="84">
        <f>IFERROR(AN56/(AN14+AN15+AN16),0)+SUMIFS(Aut_Ajustes_Manuais!$G:$G,Aut_Ajustes_Manuais!$I:$I,DRE!AL$4,Aut_Ajustes_Manuais!$F:$F,"% sobre Receita de Eventos")</f>
        <v>-0.49751243781094528</v>
      </c>
      <c r="AO85" s="255">
        <v>-1.3174446452246351E-2</v>
      </c>
      <c r="AP85" s="83">
        <v>-5.321170395869191E-2</v>
      </c>
      <c r="AQ85" s="84">
        <f>IFERROR(AQ56/(AQ14+AQ15+AQ16),0)+SUMIFS(Aut_Ajustes_Manuais!$G:$G,Aut_Ajustes_Manuais!$I:$I,DRE!AO$4,Aut_Ajustes_Manuais!$F:$F,"% sobre Receita de Eventos")</f>
        <v>0</v>
      </c>
      <c r="AR85" s="255">
        <f t="shared" ref="AR85:BI85" ca="1" si="106">IFERROR(AR56/(AR14+AR15+AR16),0)</f>
        <v>-0.20695154258795997</v>
      </c>
      <c r="AS85" s="83">
        <f t="shared" ca="1" si="106"/>
        <v>-0.16089071801984267</v>
      </c>
      <c r="AT85" s="84">
        <f t="shared" ca="1" si="106"/>
        <v>-0.10884276082148457</v>
      </c>
      <c r="AU85" s="255">
        <f t="shared" si="106"/>
        <v>-7.4604540500776223E-2</v>
      </c>
      <c r="AV85" s="83">
        <f t="shared" si="106"/>
        <v>-9.9695934372245554E-2</v>
      </c>
      <c r="AW85" s="84">
        <f t="shared" si="106"/>
        <v>-0.13644746419240464</v>
      </c>
      <c r="AX85" s="255">
        <f t="shared" si="106"/>
        <v>-0.23285686095139413</v>
      </c>
      <c r="AY85" s="83">
        <f t="shared" si="106"/>
        <v>-0.18131224161667039</v>
      </c>
      <c r="AZ85" s="84">
        <f t="shared" si="106"/>
        <v>-9.3130664676027639E-2</v>
      </c>
      <c r="BA85" s="255">
        <f t="shared" si="106"/>
        <v>-0.18733000344904718</v>
      </c>
      <c r="BB85" s="83">
        <f t="shared" si="106"/>
        <v>-0.14550182764025421</v>
      </c>
      <c r="BC85" s="84">
        <f t="shared" si="106"/>
        <v>-0.13270093935463584</v>
      </c>
      <c r="BD85" s="255">
        <f t="shared" si="106"/>
        <v>-8.849200946180856E-2</v>
      </c>
      <c r="BE85" s="83">
        <f t="shared" si="106"/>
        <v>-0.11787037343697176</v>
      </c>
      <c r="BF85" s="84">
        <f t="shared" si="106"/>
        <v>-0.10345002381074714</v>
      </c>
      <c r="BG85" s="255">
        <f t="shared" si="106"/>
        <v>-2.7120578215523539E-2</v>
      </c>
      <c r="BH85" s="83">
        <f t="shared" si="106"/>
        <v>-6.4926877421689386E-2</v>
      </c>
      <c r="BI85" s="84">
        <f t="shared" si="106"/>
        <v>-1.4925373134328359</v>
      </c>
    </row>
    <row r="86" spans="1:61" x14ac:dyDescent="0.3">
      <c r="A86" s="71" t="s">
        <v>44</v>
      </c>
      <c r="C86" s="24"/>
      <c r="D86" s="69"/>
      <c r="E86" s="69"/>
      <c r="F86" s="41"/>
      <c r="H86" s="255">
        <v>-1.2432475772772251E-2</v>
      </c>
      <c r="I86" s="83">
        <v>-1.283680435112315E-2</v>
      </c>
      <c r="J86" s="84">
        <f>IFERROR(J56/J8,0)+SUMIFS(Aut_Ajustes_Manuais!$G:$G,Aut_Ajustes_Manuais!$I:$I,DRE!H$4,Aut_Ajustes_Manuais!$F:$F,"% sobre Receita Bruta")</f>
        <v>-6.0715327174668777E-3</v>
      </c>
      <c r="K86" s="255">
        <v>-1.6636785726972761E-2</v>
      </c>
      <c r="L86" s="83">
        <v>-1.364088282200478E-2</v>
      </c>
      <c r="M86" s="84">
        <f>IFERROR(M56/M8,0)+SUMIFS(Aut_Ajustes_Manuais!$G:$G,Aut_Ajustes_Manuais!$I:$I,DRE!K$4,Aut_Ajustes_Manuais!$F:$F,"% sobre Receita Bruta")</f>
        <v>-5.0371635753002431E-3</v>
      </c>
      <c r="N86" s="255">
        <v>-1.055092945060992E-2</v>
      </c>
      <c r="O86" s="83">
        <v>-1.0552993804683389E-2</v>
      </c>
      <c r="P86" s="84">
        <f>IFERROR(P56/P8,0)+SUMIFS(Aut_Ajustes_Manuais!$G:$G,Aut_Ajustes_Manuais!$I:$I,DRE!N$4,Aut_Ajustes_Manuais!$F:$F,"% sobre Receita Bruta")</f>
        <v>-4.6293957315738819E-3</v>
      </c>
      <c r="Q86" s="255">
        <v>-1.291442571818587E-2</v>
      </c>
      <c r="R86" s="83">
        <v>-1.3076376918526591E-2</v>
      </c>
      <c r="S86" s="84">
        <f>IFERROR(S56/S8,0)+SUMIFS(Aut_Ajustes_Manuais!$G:$G,Aut_Ajustes_Manuais!$I:$I,DRE!Q$4,Aut_Ajustes_Manuais!$F:$F,"% sobre Receita Bruta")</f>
        <v>-5.0993005390546084E-3</v>
      </c>
      <c r="T86" s="255">
        <v>-1.072517678693849E-2</v>
      </c>
      <c r="U86" s="83">
        <v>-1.0221475259399501E-2</v>
      </c>
      <c r="V86" s="84">
        <f>IFERROR(V56/V8,0)+SUMIFS(Aut_Ajustes_Manuais!$G:$G,Aut_Ajustes_Manuais!$I:$I,DRE!T$4,Aut_Ajustes_Manuais!$F:$F,"% sobre Receita Bruta")</f>
        <v>-5.359091786772489E-3</v>
      </c>
      <c r="W86" s="255">
        <v>-1.157195546693654E-2</v>
      </c>
      <c r="X86" s="83">
        <v>-1.2177634115717441E-2</v>
      </c>
      <c r="Y86" s="84">
        <f>IFERROR(Y56/Y8,0)+SUMIFS(Aut_Ajustes_Manuais!$G:$G,Aut_Ajustes_Manuais!$I:$I,DRE!W$4,Aut_Ajustes_Manuais!$F:$F,"% sobre Receita Bruta")</f>
        <v>-4.2532910530682913E-3</v>
      </c>
      <c r="Z86" s="255">
        <v>-8.1132683503804034E-3</v>
      </c>
      <c r="AA86" s="83">
        <v>-1.2468603393521779E-2</v>
      </c>
      <c r="AB86" s="84">
        <f>IFERROR(AB56/AB8,0)+SUMIFS(Aut_Ajustes_Manuais!$G:$G,Aut_Ajustes_Manuais!$I:$I,DRE!Z$4,Aut_Ajustes_Manuais!$F:$F,"% sobre Receita Bruta")</f>
        <v>-1.3240032589016215E-2</v>
      </c>
      <c r="AC86" s="255">
        <v>-4.6964060443270388E-3</v>
      </c>
      <c r="AD86" s="83">
        <v>-8.5823323775585866E-3</v>
      </c>
      <c r="AE86" s="84">
        <f>IFERROR(AE56/AE8,0)+SUMIFS(Aut_Ajustes_Manuais!$G:$G,Aut_Ajustes_Manuais!$I:$I,DRE!AC$4,Aut_Ajustes_Manuais!$F:$F,"% sobre Receita Bruta")</f>
        <v>-0.61728395061728392</v>
      </c>
      <c r="AF86" s="255">
        <v>-7.2281549564479006E-3</v>
      </c>
      <c r="AG86" s="83">
        <v>-1.2323816370777559E-2</v>
      </c>
      <c r="AH86" s="84">
        <f>IFERROR(AH56/AH8,0)+SUMIFS(Aut_Ajustes_Manuais!$G:$G,Aut_Ajustes_Manuais!$I:$I,DRE!AF$4,Aut_Ajustes_Manuais!$F:$F,"% sobre Receita Bruta")</f>
        <v>0</v>
      </c>
      <c r="AI86" s="255">
        <v>-7.284449711951929E-3</v>
      </c>
      <c r="AJ86" s="83">
        <v>-1.4823422411237779E-2</v>
      </c>
      <c r="AK86" s="84">
        <f>IFERROR(AK56/AK8,0)+SUMIFS(Aut_Ajustes_Manuais!$G:$G,Aut_Ajustes_Manuais!$I:$I,DRE!AI$4,Aut_Ajustes_Manuais!$F:$F,"% sobre Receita Bruta")</f>
        <v>0</v>
      </c>
      <c r="AL86" s="255">
        <v>-8.4558848050231596E-3</v>
      </c>
      <c r="AM86" s="83">
        <v>-1.4354911533676139E-2</v>
      </c>
      <c r="AN86" s="84">
        <f>IFERROR(AN56/AN8,0)+SUMIFS(Aut_Ajustes_Manuais!$G:$G,Aut_Ajustes_Manuais!$I:$I,DRE!AL$4,Aut_Ajustes_Manuais!$F:$F,"% sobre Receita Bruta")</f>
        <v>-0.49751243781094528</v>
      </c>
      <c r="AO86" s="255">
        <v>-5.3286330753785707E-3</v>
      </c>
      <c r="AP86" s="83">
        <v>-1.8852095387204101E-2</v>
      </c>
      <c r="AQ86" s="84">
        <f>IFERROR(AQ56/AQ8,0)+SUMIFS(Aut_Ajustes_Manuais!$G:$G,Aut_Ajustes_Manuais!$I:$I,DRE!AO$4,Aut_Ajustes_Manuais!$F:$F,"% sobre Receita Bruta")</f>
        <v>0</v>
      </c>
      <c r="AR86" s="255">
        <f t="shared" ref="AR86:BI86" ca="1" si="107">IFERROR(AR56/AR8,0)</f>
        <v>-1.2284728351735703E-2</v>
      </c>
      <c r="AS86" s="83">
        <f t="shared" ca="1" si="107"/>
        <v>-1.199242276588513E-2</v>
      </c>
      <c r="AT86" s="84">
        <f t="shared" ca="1" si="107"/>
        <v>-5.035525536324856E-3</v>
      </c>
      <c r="AU86" s="255">
        <f t="shared" si="107"/>
        <v>-9.0917706943604137E-3</v>
      </c>
      <c r="AV86" s="83">
        <f t="shared" si="107"/>
        <v>-1.2978661284716206E-2</v>
      </c>
      <c r="AW86" s="84">
        <f t="shared" si="107"/>
        <v>-8.8611324190436616E-3</v>
      </c>
      <c r="AX86" s="255">
        <f t="shared" si="107"/>
        <v>-1.2924154991776274E-2</v>
      </c>
      <c r="AY86" s="83">
        <f t="shared" si="107"/>
        <v>-1.2180590902716759E-2</v>
      </c>
      <c r="AZ86" s="84">
        <f t="shared" si="107"/>
        <v>-5.1721498884948003E-3</v>
      </c>
      <c r="BA86" s="255">
        <f t="shared" si="107"/>
        <v>-1.1737955597654913E-2</v>
      </c>
      <c r="BB86" s="83">
        <f t="shared" si="107"/>
        <v>-1.1820945018775043E-2</v>
      </c>
      <c r="BC86" s="84">
        <f t="shared" si="107"/>
        <v>-4.8976563587719152E-3</v>
      </c>
      <c r="BD86" s="255">
        <f t="shared" si="107"/>
        <v>-6.6773849694715705E-3</v>
      </c>
      <c r="BE86" s="83">
        <f t="shared" si="107"/>
        <v>-1.1106407602743791E-2</v>
      </c>
      <c r="BF86" s="84">
        <f t="shared" si="107"/>
        <v>-3.888603688612801E-2</v>
      </c>
      <c r="BG86" s="255">
        <f t="shared" si="107"/>
        <v>-6.6907468731339809E-3</v>
      </c>
      <c r="BH86" s="83">
        <f t="shared" si="107"/>
        <v>-1.6274843021024363E-2</v>
      </c>
      <c r="BI86" s="84">
        <f t="shared" si="107"/>
        <v>-1.4925373134328359</v>
      </c>
    </row>
    <row r="87" spans="1:61" x14ac:dyDescent="0.3">
      <c r="A87" s="18"/>
      <c r="C87" s="60"/>
      <c r="E87" s="16"/>
      <c r="F87" s="17"/>
      <c r="H87" s="256"/>
      <c r="I87" s="232"/>
      <c r="J87" s="85"/>
      <c r="K87" s="256"/>
      <c r="L87" s="232"/>
      <c r="M87" s="85"/>
      <c r="N87" s="256"/>
      <c r="O87" s="232"/>
      <c r="P87" s="85"/>
      <c r="Q87" s="256"/>
      <c r="R87" s="232"/>
      <c r="S87" s="85"/>
      <c r="T87" s="256"/>
      <c r="U87" s="232"/>
      <c r="V87" s="85"/>
      <c r="W87" s="256"/>
      <c r="X87" s="232"/>
      <c r="Y87" s="85"/>
      <c r="Z87" s="256"/>
      <c r="AA87" s="232"/>
      <c r="AB87" s="85"/>
      <c r="AC87" s="256"/>
      <c r="AD87" s="232"/>
      <c r="AE87" s="85"/>
      <c r="AF87" s="256"/>
      <c r="AG87" s="232"/>
      <c r="AH87" s="85"/>
      <c r="AI87" s="256"/>
      <c r="AJ87" s="232"/>
      <c r="AK87" s="85"/>
      <c r="AL87" s="256"/>
      <c r="AM87" s="232"/>
      <c r="AN87" s="85"/>
      <c r="AO87" s="256"/>
      <c r="AP87" s="232"/>
      <c r="AQ87" s="85"/>
      <c r="AR87" s="256"/>
      <c r="AS87" s="232"/>
      <c r="AT87" s="85"/>
      <c r="AU87" s="256"/>
      <c r="AV87" s="232"/>
      <c r="AW87" s="85"/>
      <c r="AX87" s="256"/>
      <c r="AY87" s="232"/>
      <c r="AZ87" s="85"/>
      <c r="BA87" s="256"/>
      <c r="BB87" s="232"/>
      <c r="BC87" s="85"/>
      <c r="BD87" s="256"/>
      <c r="BE87" s="232"/>
      <c r="BF87" s="85"/>
      <c r="BG87" s="256"/>
      <c r="BH87" s="232"/>
      <c r="BI87" s="85"/>
    </row>
    <row r="88" spans="1:61" x14ac:dyDescent="0.3">
      <c r="A88" s="39" t="s">
        <v>111</v>
      </c>
      <c r="C88" s="40" t="s">
        <v>35</v>
      </c>
      <c r="D88" s="40" t="s">
        <v>36</v>
      </c>
      <c r="E88" s="40" t="s">
        <v>37</v>
      </c>
      <c r="F88" s="41"/>
      <c r="G88" s="86"/>
      <c r="H88" s="251">
        <v>-20290</v>
      </c>
      <c r="I88" s="67">
        <v>-30071.965583201028</v>
      </c>
      <c r="J88" s="68">
        <f>SUM(J89:J90)+SUMIFS(Aut_Ajustes_Manuais!$G:$G,Aut_Ajustes_Manuais!$I:$I,DRE!H$4,Aut_Ajustes_Manuais!$F:$F,"(-) Dedução da Gorjeta")</f>
        <v>-20840</v>
      </c>
      <c r="K88" s="251">
        <v>-22386.42</v>
      </c>
      <c r="L88" s="67">
        <v>-30637.101231373708</v>
      </c>
      <c r="M88" s="68">
        <f>SUM(M89:M90)+SUMIFS(Aut_Ajustes_Manuais!$G:$G,Aut_Ajustes_Manuais!$I:$I,DRE!K$4,Aut_Ajustes_Manuais!$F:$F,"(-) Dedução da Gorjeta")</f>
        <v>-27390</v>
      </c>
      <c r="N88" s="251">
        <v>-26360</v>
      </c>
      <c r="O88" s="67">
        <v>-39482.256197829673</v>
      </c>
      <c r="P88" s="68">
        <f>SUM(P89:P90)+SUMIFS(Aut_Ajustes_Manuais!$G:$G,Aut_Ajustes_Manuais!$I:$I,DRE!N$4,Aut_Ajustes_Manuais!$F:$F,"(-) Dedução da Gorjeta")</f>
        <v>-32810</v>
      </c>
      <c r="Q88" s="251">
        <v>-30660</v>
      </c>
      <c r="R88" s="67">
        <v>-36658.556112734397</v>
      </c>
      <c r="S88" s="68">
        <f>SUM(S89:S90)+SUMIFS(Aut_Ajustes_Manuais!$G:$G,Aut_Ajustes_Manuais!$I:$I,DRE!Q$4,Aut_Ajustes_Manuais!$F:$F,"(-) Dedução da Gorjeta")</f>
        <v>-38160</v>
      </c>
      <c r="T88" s="251">
        <v>-32810</v>
      </c>
      <c r="U88" s="67">
        <v>-37129.078664395362</v>
      </c>
      <c r="V88" s="68">
        <f>SUM(V89:V90)+SUMIFS(Aut_Ajustes_Manuais!$G:$G,Aut_Ajustes_Manuais!$I:$I,DRE!T$4,Aut_Ajustes_Manuais!$F:$F,"(-) Dedução da Gorjeta")</f>
        <v>-25500</v>
      </c>
      <c r="W88" s="251">
        <v>-26383.439999999999</v>
      </c>
      <c r="X88" s="67">
        <v>-34045.945214648207</v>
      </c>
      <c r="Y88" s="68">
        <f>SUM(Y89:Y90)+SUMIFS(Aut_Ajustes_Manuais!$G:$G,Aut_Ajustes_Manuais!$I:$I,DRE!W$4,Aut_Ajustes_Manuais!$F:$F,"(-) Dedução da Gorjeta")</f>
        <v>-20210</v>
      </c>
      <c r="Z88" s="251">
        <v>-37985.35</v>
      </c>
      <c r="AA88" s="67">
        <v>-44117.705728227069</v>
      </c>
      <c r="AB88" s="68">
        <f>SUM(AB89:AB90)+SUMIFS(Aut_Ajustes_Manuais!$G:$G,Aut_Ajustes_Manuais!$I:$I,DRE!Z$4,Aut_Ajustes_Manuais!$F:$F,"(-) Dedução da Gorjeta")</f>
        <v>0</v>
      </c>
      <c r="AC88" s="251">
        <v>-30458.17</v>
      </c>
      <c r="AD88" s="67">
        <v>-42859.64025431998</v>
      </c>
      <c r="AE88" s="68">
        <f>SUM(AE89:AE90)+SUMIFS(Aut_Ajustes_Manuais!$G:$G,Aut_Ajustes_Manuais!$I:$I,DRE!AC$4,Aut_Ajustes_Manuais!$F:$F,"(-) Dedução da Gorjeta")</f>
        <v>0</v>
      </c>
      <c r="AF88" s="251">
        <v>-35108</v>
      </c>
      <c r="AG88" s="67">
        <v>-37600.575276827862</v>
      </c>
      <c r="AH88" s="68">
        <f>SUM(AH89:AH90)+SUMIFS(Aut_Ajustes_Manuais!$G:$G,Aut_Ajustes_Manuais!$I:$I,DRE!AF$4,Aut_Ajustes_Manuais!$F:$F,"(-) Dedução da Gorjeta")</f>
        <v>0</v>
      </c>
      <c r="AI88" s="251">
        <v>-31687.1</v>
      </c>
      <c r="AJ88" s="67">
        <v>-37661.390203844509</v>
      </c>
      <c r="AK88" s="68">
        <f>SUM(AK89:AK90)+SUMIFS(Aut_Ajustes_Manuais!$G:$G,Aut_Ajustes_Manuais!$I:$I,DRE!AI$4,Aut_Ajustes_Manuais!$F:$F,"(-) Dedução da Gorjeta")</f>
        <v>0</v>
      </c>
      <c r="AL88" s="251">
        <v>-27474.78</v>
      </c>
      <c r="AM88" s="67">
        <v>-39924.012989861942</v>
      </c>
      <c r="AN88" s="68">
        <f>SUM(AN89:AN90)+SUMIFS(Aut_Ajustes_Manuais!$G:$G,Aut_Ajustes_Manuais!$I:$I,DRE!AL$4,Aut_Ajustes_Manuais!$F:$F,"(-) Dedução da Gorjeta")</f>
        <v>0</v>
      </c>
      <c r="AO88" s="251">
        <v>-73970</v>
      </c>
      <c r="AP88" s="67">
        <v>-49232.896358029007</v>
      </c>
      <c r="AQ88" s="68">
        <f>SUM(AQ89:AQ90)+SUMIFS(Aut_Ajustes_Manuais!$G:$G,Aut_Ajustes_Manuais!$I:$I,DRE!AO$4,Aut_Ajustes_Manuais!$F:$F,"(-) Dedução da Gorjeta")</f>
        <v>0</v>
      </c>
      <c r="AR88" s="251">
        <f t="shared" ref="AR88:BI88" ca="1" si="108">SUM(AR89:AR90)</f>
        <v>-158889.85999999999</v>
      </c>
      <c r="AS88" s="67">
        <f t="shared" ca="1" si="108"/>
        <v>-208024.90300418239</v>
      </c>
      <c r="AT88" s="68">
        <f t="shared" ca="1" si="108"/>
        <v>-164910</v>
      </c>
      <c r="AU88" s="251">
        <f t="shared" si="108"/>
        <v>-395573.26</v>
      </c>
      <c r="AV88" s="67">
        <f t="shared" si="108"/>
        <v>-459421.12381529273</v>
      </c>
      <c r="AW88" s="68">
        <f t="shared" si="108"/>
        <v>-164910</v>
      </c>
      <c r="AX88" s="251">
        <f t="shared" si="108"/>
        <v>-69036.42</v>
      </c>
      <c r="AY88" s="67">
        <f t="shared" si="108"/>
        <v>-100191.32301240441</v>
      </c>
      <c r="AZ88" s="68">
        <f t="shared" si="108"/>
        <v>-81040</v>
      </c>
      <c r="BA88" s="251">
        <f t="shared" si="108"/>
        <v>-89853.440000000002</v>
      </c>
      <c r="BB88" s="67">
        <f t="shared" si="108"/>
        <v>-107833.57999177797</v>
      </c>
      <c r="BC88" s="68">
        <f t="shared" si="108"/>
        <v>-83870</v>
      </c>
      <c r="BD88" s="251">
        <f t="shared" si="108"/>
        <v>-103551.51999999999</v>
      </c>
      <c r="BE88" s="67">
        <f t="shared" si="108"/>
        <v>-124577.92125937491</v>
      </c>
      <c r="BF88" s="68">
        <f t="shared" si="108"/>
        <v>0</v>
      </c>
      <c r="BG88" s="251">
        <f t="shared" si="108"/>
        <v>-133131.88</v>
      </c>
      <c r="BH88" s="67">
        <f t="shared" si="108"/>
        <v>-126818.29955173546</v>
      </c>
      <c r="BI88" s="68">
        <f t="shared" si="108"/>
        <v>0</v>
      </c>
    </row>
    <row r="89" spans="1:61" s="29" customFormat="1" hidden="1" outlineLevel="1" x14ac:dyDescent="0.3">
      <c r="A89" s="22" t="s">
        <v>112</v>
      </c>
      <c r="B89" s="2"/>
      <c r="C89" s="24" t="s">
        <v>113</v>
      </c>
      <c r="D89" s="25" t="s">
        <v>114</v>
      </c>
      <c r="E89" s="87"/>
      <c r="F89" s="41"/>
      <c r="G89" s="23"/>
      <c r="H89" s="241">
        <v>-20290</v>
      </c>
      <c r="I89" s="81">
        <v>-30071.965583201028</v>
      </c>
      <c r="J89" s="82">
        <f>SUMIFS(Aut_BlueMe_Sem_Pedido!$J:$J,Aut_BlueMe_Sem_Pedido!$Q:$Q,DRE!H$4,Aut_BlueMe_Sem_Pedido!$H:$H,DRE!$A89)-SUMIFS(Aut_Folha!$J:$J,Aut_Folha!$K:$K,DRE!H$4,Aut_Folha!$G:$G,"Gorjeta")+SUMIFS(Aut_Ajustes_Manuais!$G:$G,Aut_Ajustes_Manuais!$I:$I,DRE!H$4,Aut_Ajustes_Manuais!$F:$F,"  -  Comissões e Gorjeta")</f>
        <v>-20840</v>
      </c>
      <c r="K89" s="254">
        <v>-22386.42</v>
      </c>
      <c r="L89" s="81">
        <v>-30637.101231373708</v>
      </c>
      <c r="M89" s="82">
        <f>SUMIFS(Aut_BlueMe_Sem_Pedido!$J:$J,Aut_BlueMe_Sem_Pedido!$Q:$Q,DRE!K$4,Aut_BlueMe_Sem_Pedido!$H:$H,DRE!$A89)-SUMIFS(Aut_Folha!$J:$J,Aut_Folha!$K:$K,DRE!K$4,Aut_Folha!$G:$G,"Gorjeta")+SUMIFS(Aut_Ajustes_Manuais!$G:$G,Aut_Ajustes_Manuais!$I:$I,DRE!K$4,Aut_Ajustes_Manuais!$F:$F,"  -  Comissões e Gorjeta")</f>
        <v>-27390</v>
      </c>
      <c r="N89" s="254">
        <v>-26360</v>
      </c>
      <c r="O89" s="81">
        <v>-39482.256197829673</v>
      </c>
      <c r="P89" s="82">
        <f>SUMIFS(Aut_BlueMe_Sem_Pedido!$J:$J,Aut_BlueMe_Sem_Pedido!$Q:$Q,DRE!N$4,Aut_BlueMe_Sem_Pedido!$H:$H,DRE!$A89)-SUMIFS(Aut_Folha!$J:$J,Aut_Folha!$K:$K,DRE!N$4,Aut_Folha!$G:$G,"Gorjeta")+SUMIFS(Aut_Ajustes_Manuais!$G:$G,Aut_Ajustes_Manuais!$I:$I,DRE!N$4,Aut_Ajustes_Manuais!$F:$F,"  -  Comissões e Gorjeta")</f>
        <v>-32810</v>
      </c>
      <c r="Q89" s="241">
        <v>-30660</v>
      </c>
      <c r="R89" s="81">
        <v>-36658.556112734397</v>
      </c>
      <c r="S89" s="82">
        <f>SUMIFS(Aut_BlueMe_Sem_Pedido!$J:$J,Aut_BlueMe_Sem_Pedido!$Q:$Q,DRE!Q$4,Aut_BlueMe_Sem_Pedido!$H:$H,DRE!$A89)-SUMIFS(Aut_Folha!$J:$J,Aut_Folha!$K:$K,DRE!Q$4,Aut_Folha!$G:$G,"Gorjeta")+SUMIFS(Aut_Ajustes_Manuais!$G:$G,Aut_Ajustes_Manuais!$I:$I,DRE!Q$4,Aut_Ajustes_Manuais!$F:$F,"  -  Comissões e Gorjeta")</f>
        <v>-38160</v>
      </c>
      <c r="T89" s="241">
        <v>-32810</v>
      </c>
      <c r="U89" s="81">
        <v>-37129.078664395362</v>
      </c>
      <c r="V89" s="82">
        <f>SUMIFS(Aut_BlueMe_Sem_Pedido!$J:$J,Aut_BlueMe_Sem_Pedido!$Q:$Q,DRE!T$4,Aut_BlueMe_Sem_Pedido!$H:$H,DRE!$A89)-SUMIFS(Aut_Folha!$J:$J,Aut_Folha!$K:$K,DRE!T$4,Aut_Folha!$G:$G,"Gorjeta")+SUMIFS(Aut_Ajustes_Manuais!$G:$G,Aut_Ajustes_Manuais!$I:$I,DRE!T$4,Aut_Ajustes_Manuais!$F:$F,"  -  Comissões e Gorjeta")</f>
        <v>-25500</v>
      </c>
      <c r="W89" s="241">
        <v>-26383.439999999999</v>
      </c>
      <c r="X89" s="81">
        <v>-34045.945214648207</v>
      </c>
      <c r="Y89" s="82">
        <f>SUMIFS(Aut_BlueMe_Sem_Pedido!$J:$J,Aut_BlueMe_Sem_Pedido!$Q:$Q,DRE!W$4,Aut_BlueMe_Sem_Pedido!$H:$H,DRE!$A89)-SUMIFS(Aut_Folha!$J:$J,Aut_Folha!$K:$K,DRE!W$4,Aut_Folha!$G:$G,"Gorjeta")+SUMIFS(Aut_Ajustes_Manuais!$G:$G,Aut_Ajustes_Manuais!$I:$I,DRE!W$4,Aut_Ajustes_Manuais!$F:$F,"  -  Comissões e Gorjeta")</f>
        <v>-20210</v>
      </c>
      <c r="Z89" s="241">
        <v>-37985.35</v>
      </c>
      <c r="AA89" s="81">
        <v>-44117.705728227069</v>
      </c>
      <c r="AB89" s="82">
        <f>SUMIFS(Aut_BlueMe_Sem_Pedido!$J:$J,Aut_BlueMe_Sem_Pedido!$Q:$Q,DRE!Z$4,Aut_BlueMe_Sem_Pedido!$H:$H,DRE!$A89)-SUMIFS(Aut_Folha!$J:$J,Aut_Folha!$K:$K,DRE!Z$4,Aut_Folha!$G:$G,"Gorjeta")+SUMIFS(Aut_Ajustes_Manuais!$G:$G,Aut_Ajustes_Manuais!$I:$I,DRE!Z$4,Aut_Ajustes_Manuais!$F:$F,"  -  Comissões e Gorjeta")</f>
        <v>0</v>
      </c>
      <c r="AC89" s="241">
        <v>-30458.17</v>
      </c>
      <c r="AD89" s="81">
        <v>-42859.64025431998</v>
      </c>
      <c r="AE89" s="82">
        <f>SUMIFS(Aut_BlueMe_Sem_Pedido!$J:$J,Aut_BlueMe_Sem_Pedido!$Q:$Q,DRE!AC$4,Aut_BlueMe_Sem_Pedido!$H:$H,DRE!$A89)-SUMIFS(Aut_Folha!$J:$J,Aut_Folha!$K:$K,DRE!AC$4,Aut_Folha!$G:$G,"Gorjeta")+SUMIFS(Aut_Ajustes_Manuais!$G:$G,Aut_Ajustes_Manuais!$I:$I,DRE!AC$4,Aut_Ajustes_Manuais!$F:$F,"  -  Comissões e Gorjeta")</f>
        <v>0</v>
      </c>
      <c r="AF89" s="241">
        <v>-35108</v>
      </c>
      <c r="AG89" s="81">
        <v>-37600.575276827862</v>
      </c>
      <c r="AH89" s="82">
        <f>SUMIFS(Aut_BlueMe_Sem_Pedido!$J:$J,Aut_BlueMe_Sem_Pedido!$Q:$Q,DRE!AF$4,Aut_BlueMe_Sem_Pedido!$H:$H,DRE!$A89)-SUMIFS(Aut_Folha!$J:$J,Aut_Folha!$K:$K,DRE!AF$4,Aut_Folha!$G:$G,"Gorjeta")+SUMIFS(Aut_Ajustes_Manuais!$G:$G,Aut_Ajustes_Manuais!$I:$I,DRE!AF$4,Aut_Ajustes_Manuais!$F:$F,"  -  Comissões e Gorjeta")</f>
        <v>0</v>
      </c>
      <c r="AI89" s="241">
        <v>-31687.1</v>
      </c>
      <c r="AJ89" s="81">
        <v>-37661.390203844509</v>
      </c>
      <c r="AK89" s="82">
        <f>SUMIFS(Aut_BlueMe_Sem_Pedido!$J:$J,Aut_BlueMe_Sem_Pedido!$Q:$Q,DRE!AI$4,Aut_BlueMe_Sem_Pedido!$H:$H,DRE!$A89)-SUMIFS(Aut_Folha!$J:$J,Aut_Folha!$K:$K,DRE!AI$4,Aut_Folha!$G:$G,"Gorjeta")+SUMIFS(Aut_Ajustes_Manuais!$G:$G,Aut_Ajustes_Manuais!$I:$I,DRE!AI$4,Aut_Ajustes_Manuais!$F:$F,"  -  Comissões e Gorjeta")</f>
        <v>0</v>
      </c>
      <c r="AL89" s="241">
        <v>-27474.78</v>
      </c>
      <c r="AM89" s="81">
        <v>-39924.012989861942</v>
      </c>
      <c r="AN89" s="82">
        <f>SUMIFS(Aut_BlueMe_Sem_Pedido!$J:$J,Aut_BlueMe_Sem_Pedido!$Q:$Q,DRE!AL$4,Aut_BlueMe_Sem_Pedido!$H:$H,DRE!$A89)-SUMIFS(Aut_Folha!$J:$J,Aut_Folha!$K:$K,DRE!AL$4,Aut_Folha!$G:$G,"Gorjeta")+SUMIFS(Aut_Ajustes_Manuais!$G:$G,Aut_Ajustes_Manuais!$I:$I,DRE!AL$4,Aut_Ajustes_Manuais!$F:$F,"  -  Comissões e Gorjeta")</f>
        <v>0</v>
      </c>
      <c r="AO89" s="241">
        <v>-73970</v>
      </c>
      <c r="AP89" s="81">
        <v>-49232.896358029007</v>
      </c>
      <c r="AQ89" s="82">
        <f>SUMIFS(Aut_BlueMe_Sem_Pedido!$J:$J,Aut_BlueMe_Sem_Pedido!$Q:$Q,DRE!AO$4,Aut_BlueMe_Sem_Pedido!$H:$H,DRE!$A89)-SUMIFS(Aut_Folha!$J:$J,Aut_Folha!$K:$K,DRE!AO$4,Aut_Folha!$G:$G,"Gorjeta")+SUMIFS(Aut_Ajustes_Manuais!$G:$G,Aut_Ajustes_Manuais!$I:$I,DRE!AO$4,Aut_Ajustes_Manuais!$F:$F,"  -  Comissões e Gorjeta")</f>
        <v>0</v>
      </c>
      <c r="AR89" s="241">
        <f ca="1">SUMIFS($H89:$AO89,$H$5:$AO$5,"&lt;"&amp;MONTH(TODAY()),$H$6:$AO$6,"REAL 25")</f>
        <v>-158889.85999999999</v>
      </c>
      <c r="AS89" s="81">
        <f ca="1">SUMIFS($I89:$AP89,$I$5:$AP$5,"&lt;"&amp;MONTH(TODAY()),$I$6:$AP$6,"ORÇADO ")</f>
        <v>-208024.90300418239</v>
      </c>
      <c r="AT89" s="82">
        <f ca="1">SUMIFS($J89:$AQ89,$J$5:$AQ$5,"&lt;"&amp;MONTH(TODAY()),$J$6:$AQ$6,"REAL 26")</f>
        <v>-164910</v>
      </c>
      <c r="AU89" s="241">
        <f t="shared" ref="AU89:AW90" si="109">SUM(H89,K89,N89,Q89,T89,W89,Z89,AC89,AF89,AI89,AL89,AO89)</f>
        <v>-395573.26</v>
      </c>
      <c r="AV89" s="81">
        <f t="shared" si="109"/>
        <v>-459421.12381529273</v>
      </c>
      <c r="AW89" s="82">
        <f t="shared" si="109"/>
        <v>-164910</v>
      </c>
      <c r="AX89" s="241">
        <f t="shared" ref="AX89:AZ90" si="110">SUM(H89,K89,N89)</f>
        <v>-69036.42</v>
      </c>
      <c r="AY89" s="81">
        <f t="shared" si="110"/>
        <v>-100191.32301240441</v>
      </c>
      <c r="AZ89" s="82">
        <f t="shared" si="110"/>
        <v>-81040</v>
      </c>
      <c r="BA89" s="241">
        <f t="shared" ref="BA89:BC90" si="111">SUM(Q89,T89,W89)</f>
        <v>-89853.440000000002</v>
      </c>
      <c r="BB89" s="81">
        <f t="shared" si="111"/>
        <v>-107833.57999177797</v>
      </c>
      <c r="BC89" s="82">
        <f t="shared" si="111"/>
        <v>-83870</v>
      </c>
      <c r="BD89" s="241">
        <f t="shared" ref="BD89:BF90" si="112">SUM(Z89,AC89,AF89)</f>
        <v>-103551.51999999999</v>
      </c>
      <c r="BE89" s="81">
        <f t="shared" si="112"/>
        <v>-124577.92125937491</v>
      </c>
      <c r="BF89" s="82">
        <f t="shared" si="112"/>
        <v>0</v>
      </c>
      <c r="BG89" s="241">
        <f t="shared" ref="BG89:BI90" si="113">SUM(AI89,AL89,AO89)</f>
        <v>-133131.88</v>
      </c>
      <c r="BH89" s="81">
        <f t="shared" si="113"/>
        <v>-126818.29955173546</v>
      </c>
      <c r="BI89" s="82">
        <f t="shared" si="113"/>
        <v>0</v>
      </c>
    </row>
    <row r="90" spans="1:61" s="29" customFormat="1" hidden="1" outlineLevel="1" x14ac:dyDescent="0.3">
      <c r="A90" s="22"/>
      <c r="B90" s="2"/>
      <c r="C90" s="24"/>
      <c r="D90" s="25"/>
      <c r="E90" s="25"/>
      <c r="F90" s="41"/>
      <c r="G90" s="23"/>
      <c r="H90" s="254"/>
      <c r="I90" s="81"/>
      <c r="J90" s="82">
        <f>SUMIFS(Aut_BlueMe_Sem_Pedido!$J:$J,Aut_BlueMe_Sem_Pedido!$Q:$Q,DRE!H$4,Aut_BlueMe_Sem_Pedido!$H:$H,DRE!$A90)</f>
        <v>0</v>
      </c>
      <c r="K90" s="254"/>
      <c r="L90" s="81"/>
      <c r="M90" s="82">
        <f>SUMIFS(Aut_BlueMe_Sem_Pedido!$J:$J,Aut_BlueMe_Sem_Pedido!$Q:$Q,DRE!K$4,Aut_BlueMe_Sem_Pedido!$H:$H,DRE!$A90)</f>
        <v>0</v>
      </c>
      <c r="N90" s="254"/>
      <c r="O90" s="81"/>
      <c r="P90" s="82">
        <f>SUMIFS(Aut_BlueMe_Sem_Pedido!$J:$J,Aut_BlueMe_Sem_Pedido!$Q:$Q,DRE!N$4,Aut_BlueMe_Sem_Pedido!$H:$H,DRE!$A90)</f>
        <v>0</v>
      </c>
      <c r="Q90" s="254"/>
      <c r="R90" s="81"/>
      <c r="S90" s="82">
        <f>SUMIFS(Aut_BlueMe_Sem_Pedido!$J:$J,Aut_BlueMe_Sem_Pedido!$Q:$Q,DRE!Q$4,Aut_BlueMe_Sem_Pedido!$H:$H,DRE!$A90)</f>
        <v>0</v>
      </c>
      <c r="T90" s="254"/>
      <c r="U90" s="81"/>
      <c r="V90" s="82">
        <f>SUMIFS(Aut_BlueMe_Sem_Pedido!$J:$J,Aut_BlueMe_Sem_Pedido!$Q:$Q,DRE!T$4,Aut_BlueMe_Sem_Pedido!$H:$H,DRE!$A90)</f>
        <v>0</v>
      </c>
      <c r="W90" s="254"/>
      <c r="X90" s="81"/>
      <c r="Y90" s="82">
        <f>SUMIFS(Aut_BlueMe_Sem_Pedido!$J:$J,Aut_BlueMe_Sem_Pedido!$Q:$Q,DRE!W$4,Aut_BlueMe_Sem_Pedido!$H:$H,DRE!$A90)</f>
        <v>0</v>
      </c>
      <c r="Z90" s="254"/>
      <c r="AA90" s="81"/>
      <c r="AB90" s="82">
        <f>SUMIFS(Aut_BlueMe_Sem_Pedido!$J:$J,Aut_BlueMe_Sem_Pedido!$Q:$Q,DRE!Z$4,Aut_BlueMe_Sem_Pedido!$H:$H,DRE!$A90)</f>
        <v>0</v>
      </c>
      <c r="AC90" s="254"/>
      <c r="AD90" s="81"/>
      <c r="AE90" s="82">
        <f>SUMIFS(Aut_BlueMe_Sem_Pedido!$J:$J,Aut_BlueMe_Sem_Pedido!$Q:$Q,DRE!AC$4,Aut_BlueMe_Sem_Pedido!$H:$H,DRE!$A90)</f>
        <v>0</v>
      </c>
      <c r="AF90" s="254"/>
      <c r="AG90" s="81"/>
      <c r="AH90" s="82">
        <f>SUMIFS(Aut_BlueMe_Sem_Pedido!$J:$J,Aut_BlueMe_Sem_Pedido!$Q:$Q,DRE!AF$4,Aut_BlueMe_Sem_Pedido!$H:$H,DRE!$A90)</f>
        <v>0</v>
      </c>
      <c r="AI90" s="254"/>
      <c r="AJ90" s="81"/>
      <c r="AK90" s="82">
        <f>SUMIFS(Aut_BlueMe_Sem_Pedido!$J:$J,Aut_BlueMe_Sem_Pedido!$Q:$Q,DRE!AI$4,Aut_BlueMe_Sem_Pedido!$H:$H,DRE!$A90)</f>
        <v>0</v>
      </c>
      <c r="AL90" s="254"/>
      <c r="AM90" s="81"/>
      <c r="AN90" s="82">
        <f>SUMIFS(Aut_BlueMe_Sem_Pedido!$J:$J,Aut_BlueMe_Sem_Pedido!$Q:$Q,DRE!AL$4,Aut_BlueMe_Sem_Pedido!$H:$H,DRE!$A90)</f>
        <v>0</v>
      </c>
      <c r="AO90" s="254"/>
      <c r="AP90" s="81"/>
      <c r="AQ90" s="82">
        <f>SUMIFS(Aut_BlueMe_Sem_Pedido!$J:$J,Aut_BlueMe_Sem_Pedido!$Q:$Q,DRE!AO$4,Aut_BlueMe_Sem_Pedido!$H:$H,DRE!$A90)</f>
        <v>0</v>
      </c>
      <c r="AR90" s="241">
        <f ca="1">SUMIFS($H90:$AO90,$H$5:$AO$5,"&lt;"&amp;MONTH(TODAY()),$H$6:$AO$6,"REAL 25")</f>
        <v>0</v>
      </c>
      <c r="AS90" s="81">
        <f ca="1">SUMIFS($I90:$AP90,$I$5:$AP$5,"&lt;"&amp;MONTH(TODAY()),$I$6:$AP$6,"ORÇADO ")</f>
        <v>0</v>
      </c>
      <c r="AT90" s="82">
        <f ca="1">SUMIFS($J90:$AQ90,$J$5:$AQ$5,"&lt;"&amp;MONTH(TODAY()),$J$6:$AQ$6,"REAL 26")</f>
        <v>0</v>
      </c>
      <c r="AU90" s="254">
        <f t="shared" si="109"/>
        <v>0</v>
      </c>
      <c r="AV90" s="81">
        <f t="shared" si="109"/>
        <v>0</v>
      </c>
      <c r="AW90" s="82">
        <f t="shared" si="109"/>
        <v>0</v>
      </c>
      <c r="AX90" s="254">
        <f t="shared" si="110"/>
        <v>0</v>
      </c>
      <c r="AY90" s="81">
        <f t="shared" si="110"/>
        <v>0</v>
      </c>
      <c r="AZ90" s="82">
        <f t="shared" si="110"/>
        <v>0</v>
      </c>
      <c r="BA90" s="254">
        <f t="shared" si="111"/>
        <v>0</v>
      </c>
      <c r="BB90" s="81">
        <f t="shared" si="111"/>
        <v>0</v>
      </c>
      <c r="BC90" s="82">
        <f t="shared" si="111"/>
        <v>0</v>
      </c>
      <c r="BD90" s="254">
        <f t="shared" si="112"/>
        <v>0</v>
      </c>
      <c r="BE90" s="81">
        <f t="shared" si="112"/>
        <v>0</v>
      </c>
      <c r="BF90" s="82">
        <f t="shared" si="112"/>
        <v>0</v>
      </c>
      <c r="BG90" s="254">
        <f t="shared" si="113"/>
        <v>0</v>
      </c>
      <c r="BH90" s="81">
        <f t="shared" si="113"/>
        <v>0</v>
      </c>
      <c r="BI90" s="82">
        <f t="shared" si="113"/>
        <v>0</v>
      </c>
    </row>
    <row r="91" spans="1:61" collapsed="1" x14ac:dyDescent="0.3">
      <c r="A91" s="71" t="s">
        <v>44</v>
      </c>
      <c r="C91" s="24"/>
      <c r="D91" s="25"/>
      <c r="E91" s="25"/>
      <c r="F91" s="41"/>
      <c r="H91" s="255">
        <v>-6.667396169845427E-2</v>
      </c>
      <c r="I91" s="83">
        <v>-8.5207721019325444E-2</v>
      </c>
      <c r="J91" s="84">
        <f>IFERROR(J88/J8,0)+SUMIFS(Aut_Ajustes_Manuais!$G:$G,Aut_Ajustes_Manuais!$I:$I,DRE!H$4,Aut_Ajustes_Manuais!$F:$F,"% sobre Receita Bruta")</f>
        <v>-5.1610442694515826E-2</v>
      </c>
      <c r="K91" s="255">
        <v>-6.9881317614899796E-2</v>
      </c>
      <c r="L91" s="83">
        <v>-7.9186512551654445E-2</v>
      </c>
      <c r="M91" s="84">
        <f>IFERROR(M88/M8,0)+SUMIFS(Aut_Ajustes_Manuais!$G:$G,Aut_Ajustes_Manuais!$I:$I,DRE!K$4,Aut_Ajustes_Manuais!$F:$F,"% sobre Receita Bruta")</f>
        <v>-6.4629842663497042E-2</v>
      </c>
      <c r="N91" s="255">
        <v>-6.0168809575624087E-2</v>
      </c>
      <c r="O91" s="83">
        <v>-8.067154409956695E-2</v>
      </c>
      <c r="P91" s="84">
        <f>IFERROR(P88/P8,0)+SUMIFS(Aut_Ajustes_Manuais!$G:$G,Aut_Ajustes_Manuais!$I:$I,DRE!N$4,Aut_Ajustes_Manuais!$F:$F,"% sobre Receita Bruta")</f>
        <v>-5.8203165911627983E-2</v>
      </c>
      <c r="Q91" s="255">
        <v>-7.3486228630421604E-2</v>
      </c>
      <c r="R91" s="83">
        <v>-7.9100146551410302E-2</v>
      </c>
      <c r="S91" s="84">
        <f>IFERROR(S88/S8,0)+SUMIFS(Aut_Ajustes_Manuais!$G:$G,Aut_Ajustes_Manuais!$I:$I,DRE!Q$4,Aut_Ajustes_Manuais!$F:$F,"% sobre Receita Bruta")</f>
        <v>-8.5294936187608264E-2</v>
      </c>
      <c r="T91" s="255">
        <v>-7.8528624880486786E-2</v>
      </c>
      <c r="U91" s="83">
        <v>-8.0911539751243988E-2</v>
      </c>
      <c r="V91" s="84">
        <f>IFERROR(V88/V8,0)+SUMIFS(Aut_Ajustes_Manuais!$G:$G,Aut_Ajustes_Manuais!$I:$I,DRE!T$4,Aut_Ajustes_Manuais!$F:$F,"% sobre Receita Bruta")</f>
        <v>-5.5298670940899734E-2</v>
      </c>
      <c r="W91" s="255">
        <v>-6.4692531576162143E-2</v>
      </c>
      <c r="X91" s="83">
        <v>-7.981531624873843E-2</v>
      </c>
      <c r="Y91" s="84">
        <f>IFERROR(Y88/Y8,0)+SUMIFS(Aut_Ajustes_Manuais!$G:$G,Aut_Ajustes_Manuais!$I:$I,DRE!W$4,Aut_Ajustes_Manuais!$F:$F,"% sobre Receita Bruta")</f>
        <v>-4.2979506091255081E-2</v>
      </c>
      <c r="Z91" s="255">
        <v>-7.6135374724699542E-2</v>
      </c>
      <c r="AA91" s="83">
        <v>-7.9088310464950018E-2</v>
      </c>
      <c r="AB91" s="84">
        <f>IFERROR(AB88/AB8,0)+SUMIFS(Aut_Ajustes_Manuais!$G:$G,Aut_Ajustes_Manuais!$I:$I,DRE!Z$4,Aut_Ajustes_Manuais!$F:$F,"% sobre Receita Bruta")</f>
        <v>0</v>
      </c>
      <c r="AC91" s="255">
        <v>-6.3937965111830461E-2</v>
      </c>
      <c r="AD91" s="83">
        <v>-8.1214271448636355E-2</v>
      </c>
      <c r="AE91" s="84">
        <f>IFERROR(AE88/AE8,0)+SUMIFS(Aut_Ajustes_Manuais!$G:$G,Aut_Ajustes_Manuais!$I:$I,DRE!AC$4,Aut_Ajustes_Manuais!$F:$F,"% sobre Receita Bruta")</f>
        <v>0</v>
      </c>
      <c r="AF91" s="255">
        <v>-8.507332243043636E-2</v>
      </c>
      <c r="AG91" s="83">
        <v>-8.000261534946515E-2</v>
      </c>
      <c r="AH91" s="84">
        <f>IFERROR(AH88/AH8,0)+SUMIFS(Aut_Ajustes_Manuais!$G:$G,Aut_Ajustes_Manuais!$I:$I,DRE!AF$4,Aut_Ajustes_Manuais!$F:$F,"% sobre Receita Bruta")</f>
        <v>0</v>
      </c>
      <c r="AI91" s="255">
        <v>-7.541660779039415E-2</v>
      </c>
      <c r="AJ91" s="83">
        <v>-7.7595750313156867E-2</v>
      </c>
      <c r="AK91" s="84">
        <f>IFERROR(AK88/AK8,0)+SUMIFS(Aut_Ajustes_Manuais!$G:$G,Aut_Ajustes_Manuais!$I:$I,DRE!AI$4,Aut_Ajustes_Manuais!$F:$F,"% sobre Receita Bruta")</f>
        <v>0</v>
      </c>
      <c r="AL91" s="255">
        <v>-5.9112104341068478E-2</v>
      </c>
      <c r="AM91" s="83">
        <v>-7.7728174324296795E-2</v>
      </c>
      <c r="AN91" s="84">
        <f>IFERROR(AN88/AN8,0)+SUMIFS(Aut_Ajustes_Manuais!$G:$G,Aut_Ajustes_Manuais!$I:$I,DRE!AL$4,Aut_Ajustes_Manuais!$F:$F,"% sobre Receita Bruta")</f>
        <v>0</v>
      </c>
      <c r="AO91" s="255">
        <v>-9.4175422623508281E-2</v>
      </c>
      <c r="AP91" s="83">
        <v>-7.5053633905574485E-2</v>
      </c>
      <c r="AQ91" s="84">
        <f>IFERROR(AQ88/AQ8,0)+SUMIFS(Aut_Ajustes_Manuais!$G:$G,Aut_Ajustes_Manuais!$I:$I,DRE!AO$4,Aut_Ajustes_Manuais!$F:$F,"% sobre Receita Bruta")</f>
        <v>0</v>
      </c>
      <c r="AR91" s="255">
        <f t="shared" ref="AR91:BI91" ca="1" si="114">IFERROR(AR88/AR8,0)</f>
        <v>-6.8914000361012695E-2</v>
      </c>
      <c r="AS91" s="83">
        <f t="shared" ca="1" si="114"/>
        <v>-8.0688230092640326E-2</v>
      </c>
      <c r="AT91" s="84">
        <f t="shared" ca="1" si="114"/>
        <v>-5.953316812250431E-2</v>
      </c>
      <c r="AU91" s="255">
        <f t="shared" si="114"/>
        <v>-7.3746019645597252E-2</v>
      </c>
      <c r="AV91" s="83">
        <f t="shared" si="114"/>
        <v>-7.9365889065365167E-2</v>
      </c>
      <c r="AW91" s="84">
        <f t="shared" si="114"/>
        <v>-5.6314614476367778E-2</v>
      </c>
      <c r="AX91" s="255">
        <f t="shared" si="114"/>
        <v>-6.4959155941843774E-2</v>
      </c>
      <c r="AY91" s="83">
        <f t="shared" si="114"/>
        <v>-8.1506510016939676E-2</v>
      </c>
      <c r="AZ91" s="84">
        <f t="shared" si="114"/>
        <v>-5.8247375569043941E-2</v>
      </c>
      <c r="BA91" s="255">
        <f t="shared" si="114"/>
        <v>-7.2295781850274396E-2</v>
      </c>
      <c r="BB91" s="83">
        <f t="shared" si="114"/>
        <v>-7.9942531058324939E-2</v>
      </c>
      <c r="BC91" s="84">
        <f t="shared" si="114"/>
        <v>-6.0830675916933058E-2</v>
      </c>
      <c r="BD91" s="255">
        <f t="shared" si="114"/>
        <v>-7.460653465838743E-2</v>
      </c>
      <c r="BE91" s="83">
        <f t="shared" si="114"/>
        <v>-8.0085806527186956E-2</v>
      </c>
      <c r="BF91" s="84">
        <f t="shared" si="114"/>
        <v>0</v>
      </c>
      <c r="BG91" s="255">
        <f t="shared" si="114"/>
        <v>-7.9700552854088405E-2</v>
      </c>
      <c r="BH91" s="83">
        <f t="shared" si="114"/>
        <v>-7.6629241466455958E-2</v>
      </c>
      <c r="BI91" s="84">
        <f t="shared" si="114"/>
        <v>0</v>
      </c>
    </row>
    <row r="92" spans="1:61" x14ac:dyDescent="0.3">
      <c r="A92" s="18"/>
      <c r="C92" s="60"/>
      <c r="E92" s="16"/>
      <c r="F92" s="17"/>
      <c r="H92" s="256"/>
      <c r="I92" s="232"/>
      <c r="J92" s="85"/>
      <c r="K92" s="256"/>
      <c r="L92" s="232"/>
      <c r="M92" s="85"/>
      <c r="N92" s="256"/>
      <c r="O92" s="232"/>
      <c r="P92" s="85"/>
      <c r="Q92" s="256"/>
      <c r="R92" s="232"/>
      <c r="S92" s="85"/>
      <c r="T92" s="256"/>
      <c r="U92" s="232"/>
      <c r="V92" s="85"/>
      <c r="W92" s="256"/>
      <c r="X92" s="232"/>
      <c r="Y92" s="85"/>
      <c r="Z92" s="256"/>
      <c r="AA92" s="232"/>
      <c r="AB92" s="85"/>
      <c r="AC92" s="256"/>
      <c r="AD92" s="232"/>
      <c r="AE92" s="85"/>
      <c r="AF92" s="256"/>
      <c r="AG92" s="232"/>
      <c r="AH92" s="85"/>
      <c r="AI92" s="256"/>
      <c r="AJ92" s="232"/>
      <c r="AK92" s="85"/>
      <c r="AL92" s="256"/>
      <c r="AM92" s="232"/>
      <c r="AN92" s="85"/>
      <c r="AO92" s="256"/>
      <c r="AP92" s="232"/>
      <c r="AQ92" s="85"/>
      <c r="AR92" s="256"/>
      <c r="AS92" s="232"/>
      <c r="AT92" s="85"/>
      <c r="AU92" s="256"/>
      <c r="AV92" s="232"/>
      <c r="AW92" s="85"/>
      <c r="AX92" s="256"/>
      <c r="AY92" s="232"/>
      <c r="AZ92" s="85"/>
      <c r="BA92" s="256"/>
      <c r="BB92" s="232"/>
      <c r="BC92" s="85"/>
      <c r="BD92" s="256"/>
      <c r="BE92" s="232"/>
      <c r="BF92" s="85"/>
      <c r="BG92" s="256"/>
      <c r="BH92" s="232"/>
      <c r="BI92" s="85"/>
    </row>
    <row r="93" spans="1:61" x14ac:dyDescent="0.3">
      <c r="A93" s="18"/>
      <c r="C93" s="60"/>
      <c r="E93" s="16"/>
      <c r="F93" s="17"/>
      <c r="H93" s="256"/>
      <c r="I93" s="232"/>
      <c r="J93" s="85"/>
      <c r="K93" s="256"/>
      <c r="L93" s="232"/>
      <c r="M93" s="85"/>
      <c r="N93" s="256"/>
      <c r="O93" s="232"/>
      <c r="P93" s="85"/>
      <c r="Q93" s="256"/>
      <c r="R93" s="232"/>
      <c r="S93" s="85"/>
      <c r="T93" s="256"/>
      <c r="U93" s="232"/>
      <c r="V93" s="85"/>
      <c r="W93" s="256"/>
      <c r="X93" s="232"/>
      <c r="Y93" s="85"/>
      <c r="Z93" s="256"/>
      <c r="AA93" s="232"/>
      <c r="AB93" s="85"/>
      <c r="AC93" s="256"/>
      <c r="AD93" s="232"/>
      <c r="AE93" s="85"/>
      <c r="AF93" s="256"/>
      <c r="AG93" s="232"/>
      <c r="AH93" s="85"/>
      <c r="AI93" s="256"/>
      <c r="AJ93" s="232"/>
      <c r="AK93" s="85"/>
      <c r="AL93" s="256"/>
      <c r="AM93" s="232"/>
      <c r="AN93" s="85"/>
      <c r="AO93" s="256"/>
      <c r="AP93" s="232"/>
      <c r="AQ93" s="85"/>
      <c r="AR93" s="256"/>
      <c r="AS93" s="232"/>
      <c r="AT93" s="85"/>
      <c r="AU93" s="256"/>
      <c r="AV93" s="232"/>
      <c r="AW93" s="85"/>
      <c r="AX93" s="256"/>
      <c r="AY93" s="232"/>
      <c r="AZ93" s="85"/>
      <c r="BA93" s="256"/>
      <c r="BB93" s="232"/>
      <c r="BC93" s="85"/>
      <c r="BD93" s="256"/>
      <c r="BE93" s="232"/>
      <c r="BF93" s="85"/>
      <c r="BG93" s="256"/>
      <c r="BH93" s="232"/>
      <c r="BI93" s="85"/>
    </row>
    <row r="94" spans="1:61" x14ac:dyDescent="0.3">
      <c r="A94" s="39" t="s">
        <v>115</v>
      </c>
      <c r="C94" s="40" t="s">
        <v>35</v>
      </c>
      <c r="D94" s="40" t="s">
        <v>36</v>
      </c>
      <c r="E94" s="40" t="s">
        <v>37</v>
      </c>
      <c r="F94" s="41"/>
      <c r="G94" s="88"/>
      <c r="H94" s="244">
        <v>-4410.59</v>
      </c>
      <c r="I94" s="42">
        <v>-9194.0735375509685</v>
      </c>
      <c r="J94" s="43">
        <f>SUM(J95:J98)+SUMIFS(Aut_Ajustes_Manuais!$G:$G,Aut_Ajustes_Manuais!$I:$I,DRE!H$4,Aut_Ajustes_Manuais!$F:$F,"(-) Deduções sobre Venda")</f>
        <v>-18488.78</v>
      </c>
      <c r="K94" s="244">
        <v>-5208.3599999999997</v>
      </c>
      <c r="L94" s="42">
        <v>-11734.58062077143</v>
      </c>
      <c r="M94" s="43">
        <f>SUM(M95:M98)+SUMIFS(Aut_Ajustes_Manuais!$G:$G,Aut_Ajustes_Manuais!$I:$I,DRE!K$4,Aut_Ajustes_Manuais!$F:$F,"(-) Deduções sobre Venda")</f>
        <v>-23760.92</v>
      </c>
      <c r="N94" s="244">
        <v>-8802.4</v>
      </c>
      <c r="O94" s="42">
        <v>-13562.45841979032</v>
      </c>
      <c r="P94" s="43">
        <f>SUM(P95:P98)+SUMIFS(Aut_Ajustes_Manuais!$G:$G,Aut_Ajustes_Manuais!$I:$I,DRE!N$4,Aut_Ajustes_Manuais!$F:$F,"(-) Deduções sobre Venda")</f>
        <v>-32570.450000000004</v>
      </c>
      <c r="Q94" s="244">
        <v>-6935.6</v>
      </c>
      <c r="R94" s="42">
        <v>-13290.35077019</v>
      </c>
      <c r="S94" s="43">
        <f>SUM(S95:S98)+SUMIFS(Aut_Ajustes_Manuais!$G:$G,Aut_Ajustes_Manuais!$I:$I,DRE!Q$4,Aut_Ajustes_Manuais!$F:$F,"(-) Deduções sobre Venda")</f>
        <v>-27704</v>
      </c>
      <c r="T94" s="244">
        <v>-9175.61</v>
      </c>
      <c r="U94" s="42">
        <v>-13074.255615180649</v>
      </c>
      <c r="V94" s="43">
        <f>SUM(V95:V98)+SUMIFS(Aut_Ajustes_Manuais!$G:$G,Aut_Ajustes_Manuais!$I:$I,DRE!T$4,Aut_Ajustes_Manuais!$F:$F,"(-) Deduções sobre Venda")</f>
        <v>-30547.019999999997</v>
      </c>
      <c r="W94" s="244">
        <v>-9935.1099999999988</v>
      </c>
      <c r="X94" s="42">
        <v>-12543.31708094161</v>
      </c>
      <c r="Y94" s="43">
        <f>SUM(Y95:Y98)+SUMIFS(Aut_Ajustes_Manuais!$G:$G,Aut_Ajustes_Manuais!$I:$I,DRE!W$4,Aut_Ajustes_Manuais!$F:$F,"(-) Deduções sobre Venda")</f>
        <v>-1128.5400000000002</v>
      </c>
      <c r="Z94" s="244">
        <v>-9352.76</v>
      </c>
      <c r="AA94" s="42">
        <v>-15227.5640972129</v>
      </c>
      <c r="AB94" s="43">
        <f>SUM(AB95:AB98)+SUMIFS(Aut_Ajustes_Manuais!$G:$G,Aut_Ajustes_Manuais!$I:$I,DRE!Z$4,Aut_Ajustes_Manuais!$F:$F,"(-) Deduções sobre Venda")</f>
        <v>0</v>
      </c>
      <c r="AC94" s="244">
        <v>-8489.01</v>
      </c>
      <c r="AD94" s="42">
        <v>-15028.6384053</v>
      </c>
      <c r="AE94" s="43">
        <f>SUM(AE95:AE98)+SUMIFS(Aut_Ajustes_Manuais!$G:$G,Aut_Ajustes_Manuais!$I:$I,DRE!AC$4,Aut_Ajustes_Manuais!$F:$F,"(-) Deduções sobre Venda")</f>
        <v>0</v>
      </c>
      <c r="AF94" s="244">
        <v>-10332.01</v>
      </c>
      <c r="AG94" s="42">
        <v>-12786.16281703441</v>
      </c>
      <c r="AH94" s="43">
        <f>SUM(AH95:AH98)+SUMIFS(Aut_Ajustes_Manuais!$G:$G,Aut_Ajustes_Manuais!$I:$I,DRE!AF$4,Aut_Ajustes_Manuais!$F:$F,"(-) Deduções sobre Venda")</f>
        <v>0</v>
      </c>
      <c r="AI94" s="244">
        <v>-10969.84</v>
      </c>
      <c r="AJ94" s="42">
        <v>-14239.337259010479</v>
      </c>
      <c r="AK94" s="43">
        <f>SUM(AK95:AK98)+SUMIFS(Aut_Ajustes_Manuais!$G:$G,Aut_Ajustes_Manuais!$I:$I,DRE!AI$4,Aut_Ajustes_Manuais!$F:$F,"(-) Deduções sobre Venda")</f>
        <v>0</v>
      </c>
      <c r="AL94" s="244">
        <v>-14839.4</v>
      </c>
      <c r="AM94" s="42">
        <v>-14891.697758772591</v>
      </c>
      <c r="AN94" s="43">
        <f>SUM(AN95:AN98)+SUMIFS(Aut_Ajustes_Manuais!$G:$G,Aut_Ajustes_Manuais!$I:$I,DRE!AL$4,Aut_Ajustes_Manuais!$F:$F,"(-) Deduções sobre Venda")</f>
        <v>0</v>
      </c>
      <c r="AO94" s="244">
        <v>-16383.87</v>
      </c>
      <c r="AP94" s="42">
        <v>-17193.413284808528</v>
      </c>
      <c r="AQ94" s="43">
        <f>SUM(AQ95:AQ98)+SUMIFS(Aut_Ajustes_Manuais!$G:$G,Aut_Ajustes_Manuais!$I:$I,DRE!AO$4,Aut_Ajustes_Manuais!$F:$F,"(-) Deduções sobre Venda")</f>
        <v>0</v>
      </c>
      <c r="AR94" s="244">
        <f t="shared" ref="AR94:BI94" ca="1" si="115">SUM(AR95:AR98)</f>
        <v>-44467.67</v>
      </c>
      <c r="AS94" s="42">
        <f t="shared" ca="1" si="115"/>
        <v>-73399.036044424967</v>
      </c>
      <c r="AT94" s="43">
        <f t="shared" ca="1" si="115"/>
        <v>-134199.71</v>
      </c>
      <c r="AU94" s="244">
        <f t="shared" si="115"/>
        <v>-114834.56</v>
      </c>
      <c r="AV94" s="42">
        <f t="shared" si="115"/>
        <v>-162765.84966656388</v>
      </c>
      <c r="AW94" s="43">
        <f t="shared" si="115"/>
        <v>-134199.71</v>
      </c>
      <c r="AX94" s="244">
        <f t="shared" si="115"/>
        <v>-18421.349999999999</v>
      </c>
      <c r="AY94" s="42">
        <f t="shared" si="115"/>
        <v>-34491.112578112719</v>
      </c>
      <c r="AZ94" s="43">
        <f t="shared" si="115"/>
        <v>-74820.149999999994</v>
      </c>
      <c r="BA94" s="244">
        <f t="shared" si="115"/>
        <v>-26046.32</v>
      </c>
      <c r="BB94" s="42">
        <f t="shared" si="115"/>
        <v>-38907.923466312255</v>
      </c>
      <c r="BC94" s="43">
        <f t="shared" si="115"/>
        <v>-59379.56</v>
      </c>
      <c r="BD94" s="244">
        <f t="shared" si="115"/>
        <v>-28173.780000000002</v>
      </c>
      <c r="BE94" s="42">
        <f t="shared" si="115"/>
        <v>-43042.365319547309</v>
      </c>
      <c r="BF94" s="43">
        <f t="shared" si="115"/>
        <v>0</v>
      </c>
      <c r="BG94" s="244">
        <f t="shared" si="115"/>
        <v>-42193.11</v>
      </c>
      <c r="BH94" s="42">
        <f t="shared" si="115"/>
        <v>-46324.448302591612</v>
      </c>
      <c r="BI94" s="43">
        <f t="shared" si="115"/>
        <v>0</v>
      </c>
    </row>
    <row r="95" spans="1:61" s="29" customFormat="1" hidden="1" outlineLevel="1" x14ac:dyDescent="0.3">
      <c r="A95" s="22" t="s">
        <v>116</v>
      </c>
      <c r="B95" s="23"/>
      <c r="C95" s="24" t="s">
        <v>117</v>
      </c>
      <c r="D95" s="55">
        <v>0.02</v>
      </c>
      <c r="E95" s="87">
        <v>0.85</v>
      </c>
      <c r="F95" s="56"/>
      <c r="G95" s="33"/>
      <c r="H95" s="241">
        <v>-3639.37</v>
      </c>
      <c r="I95" s="27">
        <v>-5999.7311135509672</v>
      </c>
      <c r="J95" s="28">
        <f>SUMIFS(Aut_BlueMe_Sem_Pedido!$J:$J,Aut_BlueMe_Sem_Pedido!$Q:$Q,DRE!H$4,Aut_BlueMe_Sem_Pedido!$H:$H,DRE!$A95)+SUMIFS(Aut_Ajustes_Manuais!$G:$G,Aut_Ajustes_Manuais!$I:$I,DRE!H$4,Aut_Ajustes_Manuais!$F:$F,"Meios de pagamento")</f>
        <v>-5638.62</v>
      </c>
      <c r="K95" s="241">
        <v>-3643.4</v>
      </c>
      <c r="L95" s="27">
        <v>-6577.2655487714292</v>
      </c>
      <c r="M95" s="28">
        <f>SUMIFS(Aut_BlueMe_Sem_Pedido!$J:$J,Aut_BlueMe_Sem_Pedido!$Q:$Q,DRE!K$4,Aut_BlueMe_Sem_Pedido!$H:$H,DRE!$A95)+SUMIFS(Aut_Ajustes_Manuais!$G:$G,Aut_Ajustes_Manuais!$I:$I,DRE!K$4,Aut_Ajustes_Manuais!$F:$F,"Meios de pagamento")</f>
        <v>-9496.4599999999991</v>
      </c>
      <c r="N95" s="241">
        <v>-5824.23</v>
      </c>
      <c r="O95" s="27">
        <v>-8320.1376997903226</v>
      </c>
      <c r="P95" s="28">
        <f>SUMIFS(Aut_BlueMe_Sem_Pedido!$J:$J,Aut_BlueMe_Sem_Pedido!$Q:$Q,DRE!N$4,Aut_BlueMe_Sem_Pedido!$H:$H,DRE!$A95)+SUMIFS(Aut_Ajustes_Manuais!$G:$G,Aut_Ajustes_Manuais!$I:$I,DRE!N$4,Aut_Ajustes_Manuais!$F:$F,"Meios de pagamento")</f>
        <v>-7927.7100000000009</v>
      </c>
      <c r="Q95" s="241">
        <v>-5222.75</v>
      </c>
      <c r="R95" s="27">
        <v>-7878.562570189999</v>
      </c>
      <c r="S95" s="28">
        <f>SUMIFS(Aut_BlueMe_Sem_Pedido!$J:$J,Aut_BlueMe_Sem_Pedido!$Q:$Q,DRE!Q$4,Aut_BlueMe_Sem_Pedido!$H:$H,DRE!$A95)+SUMIFS(Aut_Ajustes_Manuais!$G:$G,Aut_Ajustes_Manuais!$I:$I,DRE!Q$4,Aut_Ajustes_Manuais!$F:$F,"Meios de pagamento")</f>
        <v>-5969.74</v>
      </c>
      <c r="T95" s="241">
        <v>-5211.7700000000004</v>
      </c>
      <c r="U95" s="27">
        <v>-7801.0422151806442</v>
      </c>
      <c r="V95" s="28">
        <f>SUMIFS(Aut_BlueMe_Sem_Pedido!$J:$J,Aut_BlueMe_Sem_Pedido!$Q:$Q,DRE!T$4,Aut_BlueMe_Sem_Pedido!$H:$H,DRE!$A95)+SUMIFS(Aut_Ajustes_Manuais!$G:$G,Aut_Ajustes_Manuais!$I:$I,DRE!T$4,Aut_Ajustes_Manuais!$F:$F,"Meios de pagamento")</f>
        <v>-5257.9699999999993</v>
      </c>
      <c r="W95" s="241">
        <v>-5914.4699999999993</v>
      </c>
      <c r="X95" s="27">
        <v>-7251.5037946512903</v>
      </c>
      <c r="Y95" s="28">
        <f>SUMIFS(Aut_BlueMe_Sem_Pedido!$J:$J,Aut_BlueMe_Sem_Pedido!$Q:$Q,DRE!W$4,Aut_BlueMe_Sem_Pedido!$H:$H,DRE!$A95)+SUMIFS(Aut_Ajustes_Manuais!$G:$G,Aut_Ajustes_Manuais!$I:$I,DRE!W$4,Aut_Ajustes_Manuais!$F:$F,"Meios de pagamento")</f>
        <v>-1029.3900000000001</v>
      </c>
      <c r="Z95" s="241">
        <v>-6373.2000000000007</v>
      </c>
      <c r="AA95" s="27">
        <v>-9483.0828092128977</v>
      </c>
      <c r="AB95" s="28">
        <f>SUMIFS(Aut_BlueMe_Sem_Pedido!$J:$J,Aut_BlueMe_Sem_Pedido!$Q:$Q,DRE!Z$4,Aut_BlueMe_Sem_Pedido!$H:$H,DRE!$A95)+SUMIFS(Aut_Ajustes_Manuais!$G:$G,Aut_Ajustes_Manuais!$I:$I,DRE!Z$4,Aut_Ajustes_Manuais!$F:$F,"Meios de pagamento")</f>
        <v>0</v>
      </c>
      <c r="AC95" s="241">
        <v>-7820.07</v>
      </c>
      <c r="AD95" s="27">
        <v>-8971.5005913000005</v>
      </c>
      <c r="AE95" s="28">
        <f>SUMIFS(Aut_BlueMe_Sem_Pedido!$J:$J,Aut_BlueMe_Sem_Pedido!$Q:$Q,DRE!AC$4,Aut_BlueMe_Sem_Pedido!$H:$H,DRE!$A95)+SUMIFS(Aut_Ajustes_Manuais!$G:$G,Aut_Ajustes_Manuais!$I:$I,DRE!AC$4,Aut_Ajustes_Manuais!$F:$F,"Meios de pagamento")</f>
        <v>0</v>
      </c>
      <c r="AF95" s="241">
        <v>-6515.0499999999993</v>
      </c>
      <c r="AG95" s="27">
        <v>-7989.8610428408574</v>
      </c>
      <c r="AH95" s="28">
        <f>SUMIFS(Aut_BlueMe_Sem_Pedido!$J:$J,Aut_BlueMe_Sem_Pedido!$Q:$Q,DRE!AF$4,Aut_BlueMe_Sem_Pedido!$H:$H,DRE!$A95)+SUMIFS(Aut_Ajustes_Manuais!$G:$G,Aut_Ajustes_Manuais!$I:$I,DRE!AF$4,Aut_Ajustes_Manuais!$F:$F,"Meios de pagamento")</f>
        <v>0</v>
      </c>
      <c r="AI95" s="241">
        <v>-4738.22</v>
      </c>
      <c r="AJ95" s="27">
        <v>-8251.0141455104804</v>
      </c>
      <c r="AK95" s="28">
        <f>SUMIFS(Aut_BlueMe_Sem_Pedido!$J:$J,Aut_BlueMe_Sem_Pedido!$Q:$Q,DRE!AI$4,Aut_BlueMe_Sem_Pedido!$H:$H,DRE!$A95)+SUMIFS(Aut_Ajustes_Manuais!$G:$G,Aut_Ajustes_Manuais!$I:$I,DRE!AI$4,Aut_Ajustes_Manuais!$F:$F,"Meios de pagamento")</f>
        <v>0</v>
      </c>
      <c r="AL95" s="241">
        <v>-6703.7199999999993</v>
      </c>
      <c r="AM95" s="27">
        <v>-8731.8173458693709</v>
      </c>
      <c r="AN95" s="28">
        <f>SUMIFS(Aut_BlueMe_Sem_Pedido!$J:$J,Aut_BlueMe_Sem_Pedido!$Q:$Q,DRE!AL$4,Aut_BlueMe_Sem_Pedido!$H:$H,DRE!$A95)+SUMIFS(Aut_Ajustes_Manuais!$G:$G,Aut_Ajustes_Manuais!$I:$I,DRE!AL$4,Aut_Ajustes_Manuais!$F:$F,"Meios de pagamento")</f>
        <v>0</v>
      </c>
      <c r="AO95" s="241">
        <v>-7637.4599999999991</v>
      </c>
      <c r="AP95" s="27">
        <v>-11151.481874141869</v>
      </c>
      <c r="AQ95" s="28">
        <f>SUMIFS(Aut_BlueMe_Sem_Pedido!$J:$J,Aut_BlueMe_Sem_Pedido!$Q:$Q,DRE!AO$4,Aut_BlueMe_Sem_Pedido!$H:$H,DRE!$A95)+SUMIFS(Aut_Ajustes_Manuais!$G:$G,Aut_Ajustes_Manuais!$I:$I,DRE!AO$4,Aut_Ajustes_Manuais!$F:$F,"Meios de pagamento")</f>
        <v>0</v>
      </c>
      <c r="AR95" s="241">
        <f ca="1">SUMIFS($H95:$AO95,$H$5:$AO$5,"&lt;"&amp;MONTH(TODAY()),$H$6:$AO$6,"REAL 25")</f>
        <v>-29455.989999999998</v>
      </c>
      <c r="AS95" s="27">
        <f ca="1">SUMIFS($I95:$AP95,$I$5:$AP$5,"&lt;"&amp;MONTH(TODAY()),$I$6:$AP$6,"ORÇADO ")</f>
        <v>-43828.242942134646</v>
      </c>
      <c r="AT95" s="28">
        <f ca="1">SUMIFS($J95:$AQ95,$J$5:$AQ$5,"&lt;"&amp;MONTH(TODAY()),$J$6:$AQ$6,"REAL 26")</f>
        <v>-35319.89</v>
      </c>
      <c r="AU95" s="241">
        <f t="shared" ref="AU95:AW98" si="116">SUM(H95,K95,N95,Q95,T95,W95,Z95,AC95,AF95,AI95,AL95,AO95)</f>
        <v>-69243.709999999992</v>
      </c>
      <c r="AV95" s="27">
        <f t="shared" si="116"/>
        <v>-98407.000751010113</v>
      </c>
      <c r="AW95" s="28">
        <f t="shared" si="116"/>
        <v>-35319.89</v>
      </c>
      <c r="AX95" s="241">
        <f t="shared" ref="AX95:AZ98" si="117">SUM(H95,K95,N95)</f>
        <v>-13107</v>
      </c>
      <c r="AY95" s="27">
        <f t="shared" si="117"/>
        <v>-20897.134362112716</v>
      </c>
      <c r="AZ95" s="28">
        <f t="shared" si="117"/>
        <v>-23062.79</v>
      </c>
      <c r="BA95" s="241">
        <f t="shared" ref="BA95:BC98" si="118">SUM(Q95,T95,W95)</f>
        <v>-16348.99</v>
      </c>
      <c r="BB95" s="27">
        <f t="shared" si="118"/>
        <v>-22931.108580021933</v>
      </c>
      <c r="BC95" s="28">
        <f t="shared" si="118"/>
        <v>-12257.099999999999</v>
      </c>
      <c r="BD95" s="241">
        <f t="shared" ref="BD95:BF98" si="119">SUM(Z95,AC95,AF95)</f>
        <v>-20708.32</v>
      </c>
      <c r="BE95" s="27">
        <f t="shared" si="119"/>
        <v>-26444.444443353757</v>
      </c>
      <c r="BF95" s="28">
        <f t="shared" si="119"/>
        <v>0</v>
      </c>
      <c r="BG95" s="241">
        <f t="shared" ref="BG95:BI98" si="120">SUM(AI95,AL95,AO95)</f>
        <v>-19079.399999999998</v>
      </c>
      <c r="BH95" s="27">
        <f t="shared" si="120"/>
        <v>-28134.313365521724</v>
      </c>
      <c r="BI95" s="28">
        <f t="shared" si="120"/>
        <v>0</v>
      </c>
    </row>
    <row r="96" spans="1:61" s="29" customFormat="1" hidden="1" outlineLevel="1" x14ac:dyDescent="0.3">
      <c r="A96" s="22" t="s">
        <v>118</v>
      </c>
      <c r="B96" s="23"/>
      <c r="C96" s="24" t="s">
        <v>119</v>
      </c>
      <c r="D96" s="55">
        <v>0.26</v>
      </c>
      <c r="E96" s="87"/>
      <c r="F96" s="56"/>
      <c r="G96" s="33"/>
      <c r="H96" s="241">
        <v>-738.72</v>
      </c>
      <c r="I96" s="27">
        <v>-3194.3424239999999</v>
      </c>
      <c r="J96" s="28">
        <f>SUMIFS(Aut_BlueMe_Sem_Pedido!$J:$J,Aut_BlueMe_Sem_Pedido!$Q:$Q,DRE!H$4,Aut_BlueMe_Sem_Pedido!$H:$H,DRE!$A96)+SUMIFS(Aut_Ajustes_Manuais!$G:$G,Aut_Ajustes_Manuais!$I:$I,DRE!H$4,Aut_Ajustes_Manuais!$F:$F,"Meios de pagamento - Delivery")</f>
        <v>-12850.16</v>
      </c>
      <c r="K96" s="241">
        <v>-1564.96</v>
      </c>
      <c r="L96" s="27">
        <v>-5157.3150719999994</v>
      </c>
      <c r="M96" s="28">
        <f>SUMIFS(Aut_BlueMe_Sem_Pedido!$J:$J,Aut_BlueMe_Sem_Pedido!$Q:$Q,DRE!K$4,Aut_BlueMe_Sem_Pedido!$H:$H,DRE!$A96)+SUMIFS(Aut_Ajustes_Manuais!$G:$G,Aut_Ajustes_Manuais!$I:$I,DRE!K$4,Aut_Ajustes_Manuais!$F:$F,"Meios de pagamento - Delivery")</f>
        <v>-14173.46</v>
      </c>
      <c r="N96" s="241">
        <v>-2978.17</v>
      </c>
      <c r="O96" s="27">
        <v>-5242.3207200000024</v>
      </c>
      <c r="P96" s="28">
        <f>SUMIFS(Aut_BlueMe_Sem_Pedido!$J:$J,Aut_BlueMe_Sem_Pedido!$Q:$Q,DRE!N$4,Aut_BlueMe_Sem_Pedido!$H:$H,DRE!$A96)+SUMIFS(Aut_Ajustes_Manuais!$G:$G,Aut_Ajustes_Manuais!$I:$I,DRE!N$4,Aut_Ajustes_Manuais!$F:$F,"Meios de pagamento - Delivery")</f>
        <v>-24642.74</v>
      </c>
      <c r="Q96" s="241">
        <v>-1712.85</v>
      </c>
      <c r="R96" s="27">
        <v>-5411.7881999999991</v>
      </c>
      <c r="S96" s="28">
        <f>SUMIFS(Aut_BlueMe_Sem_Pedido!$J:$J,Aut_BlueMe_Sem_Pedido!$Q:$Q,DRE!Q$4,Aut_BlueMe_Sem_Pedido!$H:$H,DRE!$A96)+SUMIFS(Aut_Ajustes_Manuais!$G:$G,Aut_Ajustes_Manuais!$I:$I,DRE!Q$4,Aut_Ajustes_Manuais!$F:$F,"Meios de pagamento - Delivery")</f>
        <v>-21734.26</v>
      </c>
      <c r="T96" s="241">
        <v>-3963.84</v>
      </c>
      <c r="U96" s="27">
        <v>-5273.2134000000005</v>
      </c>
      <c r="V96" s="28">
        <f>SUMIFS(Aut_BlueMe_Sem_Pedido!$J:$J,Aut_BlueMe_Sem_Pedido!$Q:$Q,DRE!T$4,Aut_BlueMe_Sem_Pedido!$H:$H,DRE!$A96)+SUMIFS(Aut_Ajustes_Manuais!$G:$G,Aut_Ajustes_Manuais!$I:$I,DRE!T$4,Aut_Ajustes_Manuais!$F:$F,"Meios de pagamento - Delivery")</f>
        <v>-25289.05</v>
      </c>
      <c r="W96" s="241">
        <v>-3760.18</v>
      </c>
      <c r="X96" s="27">
        <v>-5291.8132862903221</v>
      </c>
      <c r="Y96" s="28">
        <f>SUMIFS(Aut_BlueMe_Sem_Pedido!$J:$J,Aut_BlueMe_Sem_Pedido!$Q:$Q,DRE!W$4,Aut_BlueMe_Sem_Pedido!$H:$H,DRE!$A96)+SUMIFS(Aut_Ajustes_Manuais!$G:$G,Aut_Ajustes_Manuais!$I:$I,DRE!W$4,Aut_Ajustes_Manuais!$F:$F,"Meios de pagamento - Delivery")</f>
        <v>0</v>
      </c>
      <c r="Z96" s="241">
        <v>-2630.75</v>
      </c>
      <c r="AA96" s="27">
        <v>-5744.4812880000027</v>
      </c>
      <c r="AB96" s="28">
        <f>SUMIFS(Aut_BlueMe_Sem_Pedido!$J:$J,Aut_BlueMe_Sem_Pedido!$Q:$Q,DRE!Z$4,Aut_BlueMe_Sem_Pedido!$H:$H,DRE!$A96)+SUMIFS(Aut_Ajustes_Manuais!$G:$G,Aut_Ajustes_Manuais!$I:$I,DRE!Z$4,Aut_Ajustes_Manuais!$F:$F,"Meios de pagamento - Delivery")</f>
        <v>0</v>
      </c>
      <c r="AC96" s="241">
        <v>-668.94</v>
      </c>
      <c r="AD96" s="27">
        <v>-6057.1378139999961</v>
      </c>
      <c r="AE96" s="28">
        <f>SUMIFS(Aut_BlueMe_Sem_Pedido!$J:$J,Aut_BlueMe_Sem_Pedido!$Q:$Q,DRE!AC$4,Aut_BlueMe_Sem_Pedido!$H:$H,DRE!$A96)+SUMIFS(Aut_Ajustes_Manuais!$G:$G,Aut_Ajustes_Manuais!$I:$I,DRE!AC$4,Aut_Ajustes_Manuais!$F:$F,"Meios de pagamento - Delivery")</f>
        <v>0</v>
      </c>
      <c r="AF96" s="241">
        <v>-3816.96</v>
      </c>
      <c r="AG96" s="27">
        <v>-4796.301774193551</v>
      </c>
      <c r="AH96" s="28">
        <f>SUMIFS(Aut_BlueMe_Sem_Pedido!$J:$J,Aut_BlueMe_Sem_Pedido!$Q:$Q,DRE!AF$4,Aut_BlueMe_Sem_Pedido!$H:$H,DRE!$A96)+SUMIFS(Aut_Ajustes_Manuais!$G:$G,Aut_Ajustes_Manuais!$I:$I,DRE!AF$4,Aut_Ajustes_Manuais!$F:$F,"Meios de pagamento - Delivery")</f>
        <v>0</v>
      </c>
      <c r="AI96" s="241">
        <v>-6231.62</v>
      </c>
      <c r="AJ96" s="27">
        <v>-5988.3231134999987</v>
      </c>
      <c r="AK96" s="28">
        <f>SUMIFS(Aut_BlueMe_Sem_Pedido!$J:$J,Aut_BlueMe_Sem_Pedido!$Q:$Q,DRE!AI$4,Aut_BlueMe_Sem_Pedido!$H:$H,DRE!$A96)+SUMIFS(Aut_Ajustes_Manuais!$G:$G,Aut_Ajustes_Manuais!$I:$I,DRE!AI$4,Aut_Ajustes_Manuais!$F:$F,"Meios de pagamento - Delivery")</f>
        <v>0</v>
      </c>
      <c r="AL96" s="241">
        <v>-8135.68</v>
      </c>
      <c r="AM96" s="27">
        <v>-6159.8804129032214</v>
      </c>
      <c r="AN96" s="28">
        <f>SUMIFS(Aut_BlueMe_Sem_Pedido!$J:$J,Aut_BlueMe_Sem_Pedido!$Q:$Q,DRE!AL$4,Aut_BlueMe_Sem_Pedido!$H:$H,DRE!$A96)+SUMIFS(Aut_Ajustes_Manuais!$G:$G,Aut_Ajustes_Manuais!$I:$I,DRE!AL$4,Aut_Ajustes_Manuais!$F:$F,"Meios de pagamento - Delivery")</f>
        <v>0</v>
      </c>
      <c r="AO96" s="241">
        <v>-8746.41</v>
      </c>
      <c r="AP96" s="27">
        <v>-6041.9314106666634</v>
      </c>
      <c r="AQ96" s="28">
        <f>SUMIFS(Aut_BlueMe_Sem_Pedido!$J:$J,Aut_BlueMe_Sem_Pedido!$Q:$Q,DRE!AO$4,Aut_BlueMe_Sem_Pedido!$H:$H,DRE!$A96)+SUMIFS(Aut_Ajustes_Manuais!$G:$G,Aut_Ajustes_Manuais!$I:$I,DRE!AO$4,Aut_Ajustes_Manuais!$F:$F,"Meios de pagamento - Delivery")</f>
        <v>0</v>
      </c>
      <c r="AR96" s="241">
        <f ca="1">SUMIFS($H96:$AO96,$H$5:$AO$5,"&lt;"&amp;MONTH(TODAY()),$H$6:$AO$6,"REAL 25")</f>
        <v>-14718.720000000001</v>
      </c>
      <c r="AS96" s="27">
        <f ca="1">SUMIFS($I96:$AP96,$I$5:$AP$5,"&lt;"&amp;MONTH(TODAY()),$I$6:$AP$6,"ORÇADO ")</f>
        <v>-29570.793102290325</v>
      </c>
      <c r="AT96" s="28">
        <f ca="1">SUMIFS($J96:$AQ96,$J$5:$AQ$5,"&lt;"&amp;MONTH(TODAY()),$J$6:$AQ$6,"REAL 26")</f>
        <v>-98689.67</v>
      </c>
      <c r="AU96" s="241">
        <f t="shared" si="116"/>
        <v>-44949.08</v>
      </c>
      <c r="AV96" s="27">
        <f t="shared" si="116"/>
        <v>-64358.848915553761</v>
      </c>
      <c r="AW96" s="28">
        <f t="shared" si="116"/>
        <v>-98689.67</v>
      </c>
      <c r="AX96" s="241">
        <f t="shared" si="117"/>
        <v>-5281.85</v>
      </c>
      <c r="AY96" s="27">
        <f t="shared" si="117"/>
        <v>-13593.978216000003</v>
      </c>
      <c r="AZ96" s="28">
        <f t="shared" si="117"/>
        <v>-51666.36</v>
      </c>
      <c r="BA96" s="241">
        <f t="shared" si="118"/>
        <v>-9436.8700000000008</v>
      </c>
      <c r="BB96" s="27">
        <f t="shared" si="118"/>
        <v>-15976.814886290322</v>
      </c>
      <c r="BC96" s="28">
        <f t="shared" si="118"/>
        <v>-47023.31</v>
      </c>
      <c r="BD96" s="241">
        <f t="shared" si="119"/>
        <v>-7116.65</v>
      </c>
      <c r="BE96" s="27">
        <f t="shared" si="119"/>
        <v>-16597.920876193552</v>
      </c>
      <c r="BF96" s="28">
        <f t="shared" si="119"/>
        <v>0</v>
      </c>
      <c r="BG96" s="241">
        <f t="shared" si="120"/>
        <v>-23113.71</v>
      </c>
      <c r="BH96" s="27">
        <f t="shared" si="120"/>
        <v>-18190.134937069884</v>
      </c>
      <c r="BI96" s="28">
        <f t="shared" si="120"/>
        <v>0</v>
      </c>
    </row>
    <row r="97" spans="1:61" s="29" customFormat="1" hidden="1" outlineLevel="1" x14ac:dyDescent="0.3">
      <c r="A97" s="22" t="s">
        <v>120</v>
      </c>
      <c r="B97" s="23"/>
      <c r="C97" s="24" t="s">
        <v>121</v>
      </c>
      <c r="D97" s="25"/>
      <c r="E97" s="25"/>
      <c r="F97" s="56"/>
      <c r="G97" s="33"/>
      <c r="H97" s="241">
        <v>0</v>
      </c>
      <c r="I97" s="27">
        <v>0</v>
      </c>
      <c r="J97" s="28">
        <f>SUMIFS(Aut_BlueMe_Sem_Pedido!$J:$J,Aut_BlueMe_Sem_Pedido!$Q:$Q,DRE!H$4,Aut_BlueMe_Sem_Pedido!$H:$H,DRE!$A97)+SUMIFS(Aut_Ajustes_Manuais!$G:$G,Aut_Ajustes_Manuais!$I:$I,DRE!H$4,Aut_Ajustes_Manuais!$F:$F,"Inadimplência")</f>
        <v>0</v>
      </c>
      <c r="K97" s="241">
        <v>0</v>
      </c>
      <c r="L97" s="27">
        <v>0</v>
      </c>
      <c r="M97" s="28">
        <f>SUMIFS(Aut_BlueMe_Sem_Pedido!$J:$J,Aut_BlueMe_Sem_Pedido!$Q:$Q,DRE!K$4,Aut_BlueMe_Sem_Pedido!$H:$H,DRE!$A97)+SUMIFS(Aut_Ajustes_Manuais!$G:$G,Aut_Ajustes_Manuais!$I:$I,DRE!K$4,Aut_Ajustes_Manuais!$F:$F,"Inadimplência")</f>
        <v>0</v>
      </c>
      <c r="N97" s="241">
        <v>0</v>
      </c>
      <c r="O97" s="27">
        <v>0</v>
      </c>
      <c r="P97" s="28">
        <f>SUMIFS(Aut_BlueMe_Sem_Pedido!$J:$J,Aut_BlueMe_Sem_Pedido!$Q:$Q,DRE!N$4,Aut_BlueMe_Sem_Pedido!$H:$H,DRE!$A97)+SUMIFS(Aut_Ajustes_Manuais!$G:$G,Aut_Ajustes_Manuais!$I:$I,DRE!N$4,Aut_Ajustes_Manuais!$F:$F,"Inadimplência")</f>
        <v>0</v>
      </c>
      <c r="Q97" s="241">
        <v>0</v>
      </c>
      <c r="R97" s="27">
        <v>0</v>
      </c>
      <c r="S97" s="28">
        <f>SUMIFS(Aut_BlueMe_Sem_Pedido!$J:$J,Aut_BlueMe_Sem_Pedido!$Q:$Q,DRE!Q$4,Aut_BlueMe_Sem_Pedido!$H:$H,DRE!$A97)+SUMIFS(Aut_Ajustes_Manuais!$G:$G,Aut_Ajustes_Manuais!$I:$I,DRE!Q$4,Aut_Ajustes_Manuais!$F:$F,"Inadimplência")</f>
        <v>0</v>
      </c>
      <c r="T97" s="241">
        <v>0</v>
      </c>
      <c r="U97" s="27">
        <v>0</v>
      </c>
      <c r="V97" s="28">
        <f>SUMIFS(Aut_BlueMe_Sem_Pedido!$J:$J,Aut_BlueMe_Sem_Pedido!$Q:$Q,DRE!T$4,Aut_BlueMe_Sem_Pedido!$H:$H,DRE!$A97)+SUMIFS(Aut_Ajustes_Manuais!$G:$G,Aut_Ajustes_Manuais!$I:$I,DRE!T$4,Aut_Ajustes_Manuais!$F:$F,"Inadimplência")</f>
        <v>0</v>
      </c>
      <c r="W97" s="241">
        <v>0</v>
      </c>
      <c r="X97" s="27">
        <v>0</v>
      </c>
      <c r="Y97" s="28">
        <f>SUMIFS(Aut_BlueMe_Sem_Pedido!$J:$J,Aut_BlueMe_Sem_Pedido!$Q:$Q,DRE!W$4,Aut_BlueMe_Sem_Pedido!$H:$H,DRE!$A97)+SUMIFS(Aut_Ajustes_Manuais!$G:$G,Aut_Ajustes_Manuais!$I:$I,DRE!W$4,Aut_Ajustes_Manuais!$F:$F,"Inadimplência")</f>
        <v>0</v>
      </c>
      <c r="Z97" s="241">
        <v>0</v>
      </c>
      <c r="AA97" s="27">
        <v>0</v>
      </c>
      <c r="AB97" s="28">
        <f>SUMIFS(Aut_BlueMe_Sem_Pedido!$J:$J,Aut_BlueMe_Sem_Pedido!$Q:$Q,DRE!Z$4,Aut_BlueMe_Sem_Pedido!$H:$H,DRE!$A97)+SUMIFS(Aut_Ajustes_Manuais!$G:$G,Aut_Ajustes_Manuais!$I:$I,DRE!Z$4,Aut_Ajustes_Manuais!$F:$F,"Inadimplência")</f>
        <v>0</v>
      </c>
      <c r="AC97" s="241">
        <v>0</v>
      </c>
      <c r="AD97" s="27">
        <v>0</v>
      </c>
      <c r="AE97" s="28">
        <f>SUMIFS(Aut_BlueMe_Sem_Pedido!$J:$J,Aut_BlueMe_Sem_Pedido!$Q:$Q,DRE!AC$4,Aut_BlueMe_Sem_Pedido!$H:$H,DRE!$A97)+SUMIFS(Aut_Ajustes_Manuais!$G:$G,Aut_Ajustes_Manuais!$I:$I,DRE!AC$4,Aut_Ajustes_Manuais!$F:$F,"Inadimplência")</f>
        <v>0</v>
      </c>
      <c r="AF97" s="241">
        <v>0</v>
      </c>
      <c r="AG97" s="27">
        <v>0</v>
      </c>
      <c r="AH97" s="28">
        <f>SUMIFS(Aut_BlueMe_Sem_Pedido!$J:$J,Aut_BlueMe_Sem_Pedido!$Q:$Q,DRE!AF$4,Aut_BlueMe_Sem_Pedido!$H:$H,DRE!$A97)+SUMIFS(Aut_Ajustes_Manuais!$G:$G,Aut_Ajustes_Manuais!$I:$I,DRE!AF$4,Aut_Ajustes_Manuais!$F:$F,"Inadimplência")</f>
        <v>0</v>
      </c>
      <c r="AI97" s="241">
        <v>0</v>
      </c>
      <c r="AJ97" s="27">
        <v>0</v>
      </c>
      <c r="AK97" s="28">
        <f>SUMIFS(Aut_BlueMe_Sem_Pedido!$J:$J,Aut_BlueMe_Sem_Pedido!$Q:$Q,DRE!AI$4,Aut_BlueMe_Sem_Pedido!$H:$H,DRE!$A97)+SUMIFS(Aut_Ajustes_Manuais!$G:$G,Aut_Ajustes_Manuais!$I:$I,DRE!AI$4,Aut_Ajustes_Manuais!$F:$F,"Inadimplência")</f>
        <v>0</v>
      </c>
      <c r="AL97" s="241">
        <v>0</v>
      </c>
      <c r="AM97" s="27">
        <v>0</v>
      </c>
      <c r="AN97" s="28">
        <f>SUMIFS(Aut_BlueMe_Sem_Pedido!$J:$J,Aut_BlueMe_Sem_Pedido!$Q:$Q,DRE!AL$4,Aut_BlueMe_Sem_Pedido!$H:$H,DRE!$A97)+SUMIFS(Aut_Ajustes_Manuais!$G:$G,Aut_Ajustes_Manuais!$I:$I,DRE!AL$4,Aut_Ajustes_Manuais!$F:$F,"Inadimplência")</f>
        <v>0</v>
      </c>
      <c r="AO97" s="241">
        <v>0</v>
      </c>
      <c r="AP97" s="27">
        <v>0</v>
      </c>
      <c r="AQ97" s="28">
        <f>SUMIFS(Aut_BlueMe_Sem_Pedido!$J:$J,Aut_BlueMe_Sem_Pedido!$Q:$Q,DRE!AO$4,Aut_BlueMe_Sem_Pedido!$H:$H,DRE!$A97)+SUMIFS(Aut_Ajustes_Manuais!$G:$G,Aut_Ajustes_Manuais!$I:$I,DRE!AO$4,Aut_Ajustes_Manuais!$F:$F,"Inadimplência")</f>
        <v>0</v>
      </c>
      <c r="AR97" s="241">
        <f ca="1">SUMIFS($H97:$AO97,$H$5:$AO$5,"&lt;"&amp;MONTH(TODAY()),$H$6:$AO$6,"REAL 25")</f>
        <v>0</v>
      </c>
      <c r="AS97" s="27">
        <f ca="1">SUMIFS($I97:$AP97,$I$5:$AP$5,"&lt;"&amp;MONTH(TODAY()),$I$6:$AP$6,"ORÇADO ")</f>
        <v>0</v>
      </c>
      <c r="AT97" s="28">
        <f ca="1">SUMIFS($J97:$AQ97,$J$5:$AQ$5,"&lt;"&amp;MONTH(TODAY()),$J$6:$AQ$6,"REAL 26")</f>
        <v>0</v>
      </c>
      <c r="AU97" s="241">
        <f t="shared" si="116"/>
        <v>0</v>
      </c>
      <c r="AV97" s="27">
        <f t="shared" si="116"/>
        <v>0</v>
      </c>
      <c r="AW97" s="28">
        <f t="shared" si="116"/>
        <v>0</v>
      </c>
      <c r="AX97" s="241">
        <f t="shared" si="117"/>
        <v>0</v>
      </c>
      <c r="AY97" s="27">
        <f t="shared" si="117"/>
        <v>0</v>
      </c>
      <c r="AZ97" s="28">
        <f t="shared" si="117"/>
        <v>0</v>
      </c>
      <c r="BA97" s="241">
        <f t="shared" si="118"/>
        <v>0</v>
      </c>
      <c r="BB97" s="27">
        <f t="shared" si="118"/>
        <v>0</v>
      </c>
      <c r="BC97" s="28">
        <f t="shared" si="118"/>
        <v>0</v>
      </c>
      <c r="BD97" s="241">
        <f t="shared" si="119"/>
        <v>0</v>
      </c>
      <c r="BE97" s="27">
        <f t="shared" si="119"/>
        <v>0</v>
      </c>
      <c r="BF97" s="28">
        <f t="shared" si="119"/>
        <v>0</v>
      </c>
      <c r="BG97" s="241">
        <f t="shared" si="120"/>
        <v>0</v>
      </c>
      <c r="BH97" s="27">
        <f t="shared" si="120"/>
        <v>0</v>
      </c>
      <c r="BI97" s="28">
        <f t="shared" si="120"/>
        <v>0</v>
      </c>
    </row>
    <row r="98" spans="1:61" s="29" customFormat="1" hidden="1" outlineLevel="1" x14ac:dyDescent="0.3">
      <c r="A98" s="22" t="s">
        <v>122</v>
      </c>
      <c r="B98" s="23"/>
      <c r="C98" s="24" t="s">
        <v>123</v>
      </c>
      <c r="D98" s="87" t="s">
        <v>124</v>
      </c>
      <c r="E98" s="89"/>
      <c r="F98" s="56"/>
      <c r="G98" s="33"/>
      <c r="H98" s="241">
        <v>-32.5</v>
      </c>
      <c r="I98" s="27">
        <v>0</v>
      </c>
      <c r="J98" s="28">
        <f>SUMIFS(Aut_BlueMe_Sem_Pedido!$J:$J,Aut_BlueMe_Sem_Pedido!$Q:$Q,DRE!H$4,Aut_BlueMe_Sem_Pedido!$H:$H,DRE!$A98)+SUMIFS(Aut_Ajustes_Manuais!$G:$G,Aut_Ajustes_Manuais!$I:$I,DRE!H$4,Aut_Ajustes_Manuais!$F:$F,"Outros D")</f>
        <v>0</v>
      </c>
      <c r="K98" s="241">
        <v>0</v>
      </c>
      <c r="L98" s="27">
        <v>0</v>
      </c>
      <c r="M98" s="28">
        <f>SUMIFS(Aut_BlueMe_Sem_Pedido!$J:$J,Aut_BlueMe_Sem_Pedido!$Q:$Q,DRE!K$4,Aut_BlueMe_Sem_Pedido!$H:$H,DRE!$A98)+SUMIFS(Aut_Ajustes_Manuais!$G:$G,Aut_Ajustes_Manuais!$I:$I,DRE!K$4,Aut_Ajustes_Manuais!$F:$F,"Outros D")</f>
        <v>-91</v>
      </c>
      <c r="N98" s="241">
        <v>0</v>
      </c>
      <c r="O98" s="27">
        <v>0</v>
      </c>
      <c r="P98" s="28">
        <f>SUMIFS(Aut_BlueMe_Sem_Pedido!$J:$J,Aut_BlueMe_Sem_Pedido!$Q:$Q,DRE!N$4,Aut_BlueMe_Sem_Pedido!$H:$H,DRE!$A98)+SUMIFS(Aut_Ajustes_Manuais!$G:$G,Aut_Ajustes_Manuais!$I:$I,DRE!N$4,Aut_Ajustes_Manuais!$F:$F,"Outros D")</f>
        <v>0</v>
      </c>
      <c r="Q98" s="241">
        <v>0</v>
      </c>
      <c r="R98" s="27">
        <v>0</v>
      </c>
      <c r="S98" s="28">
        <f>SUMIFS(Aut_BlueMe_Sem_Pedido!$J:$J,Aut_BlueMe_Sem_Pedido!$Q:$Q,DRE!Q$4,Aut_BlueMe_Sem_Pedido!$H:$H,DRE!$A98)+SUMIFS(Aut_Ajustes_Manuais!$G:$G,Aut_Ajustes_Manuais!$I:$I,DRE!Q$4,Aut_Ajustes_Manuais!$F:$F,"Outros D")</f>
        <v>0</v>
      </c>
      <c r="T98" s="241">
        <v>0</v>
      </c>
      <c r="U98" s="27">
        <v>0</v>
      </c>
      <c r="V98" s="28">
        <f>SUMIFS(Aut_BlueMe_Sem_Pedido!$J:$J,Aut_BlueMe_Sem_Pedido!$Q:$Q,DRE!T$4,Aut_BlueMe_Sem_Pedido!$H:$H,DRE!$A98)+SUMIFS(Aut_Ajustes_Manuais!$G:$G,Aut_Ajustes_Manuais!$I:$I,DRE!T$4,Aut_Ajustes_Manuais!$F:$F,"Outros D")</f>
        <v>0</v>
      </c>
      <c r="W98" s="241">
        <v>-260.45999999999998</v>
      </c>
      <c r="X98" s="27">
        <v>0</v>
      </c>
      <c r="Y98" s="28">
        <f>SUMIFS(Aut_BlueMe_Sem_Pedido!$J:$J,Aut_BlueMe_Sem_Pedido!$Q:$Q,DRE!W$4,Aut_BlueMe_Sem_Pedido!$H:$H,DRE!$A98)+SUMIFS(Aut_Ajustes_Manuais!$G:$G,Aut_Ajustes_Manuais!$I:$I,DRE!W$4,Aut_Ajustes_Manuais!$F:$F,"Outros D")</f>
        <v>-99.15</v>
      </c>
      <c r="Z98" s="241">
        <v>-348.81</v>
      </c>
      <c r="AA98" s="27">
        <v>0</v>
      </c>
      <c r="AB98" s="28">
        <f>SUMIFS(Aut_BlueMe_Sem_Pedido!$J:$J,Aut_BlueMe_Sem_Pedido!$Q:$Q,DRE!Z$4,Aut_BlueMe_Sem_Pedido!$H:$H,DRE!$A98)+SUMIFS(Aut_Ajustes_Manuais!$G:$G,Aut_Ajustes_Manuais!$I:$I,DRE!Z$4,Aut_Ajustes_Manuais!$F:$F,"Outros D")</f>
        <v>0</v>
      </c>
      <c r="AC98" s="241">
        <v>0</v>
      </c>
      <c r="AD98" s="27">
        <v>0</v>
      </c>
      <c r="AE98" s="28">
        <f>SUMIFS(Aut_BlueMe_Sem_Pedido!$J:$J,Aut_BlueMe_Sem_Pedido!$Q:$Q,DRE!AC$4,Aut_BlueMe_Sem_Pedido!$H:$H,DRE!$A98)+SUMIFS(Aut_Ajustes_Manuais!$G:$G,Aut_Ajustes_Manuais!$I:$I,DRE!AC$4,Aut_Ajustes_Manuais!$F:$F,"Outros D")</f>
        <v>0</v>
      </c>
      <c r="AF98" s="241">
        <v>0</v>
      </c>
      <c r="AG98" s="27">
        <v>0</v>
      </c>
      <c r="AH98" s="28">
        <f>SUMIFS(Aut_BlueMe_Sem_Pedido!$J:$J,Aut_BlueMe_Sem_Pedido!$Q:$Q,DRE!AF$4,Aut_BlueMe_Sem_Pedido!$H:$H,DRE!$A98)+SUMIFS(Aut_Ajustes_Manuais!$G:$G,Aut_Ajustes_Manuais!$I:$I,DRE!AF$4,Aut_Ajustes_Manuais!$F:$F,"Outros D")</f>
        <v>0</v>
      </c>
      <c r="AI98" s="241">
        <v>0</v>
      </c>
      <c r="AJ98" s="27">
        <v>0</v>
      </c>
      <c r="AK98" s="28">
        <f>SUMIFS(Aut_BlueMe_Sem_Pedido!$J:$J,Aut_BlueMe_Sem_Pedido!$Q:$Q,DRE!AI$4,Aut_BlueMe_Sem_Pedido!$H:$H,DRE!$A98)+SUMIFS(Aut_Ajustes_Manuais!$G:$G,Aut_Ajustes_Manuais!$I:$I,DRE!AI$4,Aut_Ajustes_Manuais!$F:$F,"Outros D")</f>
        <v>0</v>
      </c>
      <c r="AL98" s="241">
        <v>0</v>
      </c>
      <c r="AM98" s="27">
        <v>0</v>
      </c>
      <c r="AN98" s="28">
        <f>SUMIFS(Aut_BlueMe_Sem_Pedido!$J:$J,Aut_BlueMe_Sem_Pedido!$Q:$Q,DRE!AL$4,Aut_BlueMe_Sem_Pedido!$H:$H,DRE!$A98)+SUMIFS(Aut_Ajustes_Manuais!$G:$G,Aut_Ajustes_Manuais!$I:$I,DRE!AL$4,Aut_Ajustes_Manuais!$F:$F,"Outros D")</f>
        <v>0</v>
      </c>
      <c r="AO98" s="241">
        <v>0</v>
      </c>
      <c r="AP98" s="27">
        <v>0</v>
      </c>
      <c r="AQ98" s="28">
        <f>SUMIFS(Aut_BlueMe_Sem_Pedido!$J:$J,Aut_BlueMe_Sem_Pedido!$Q:$Q,DRE!AO$4,Aut_BlueMe_Sem_Pedido!$H:$H,DRE!$A98)+SUMIFS(Aut_Ajustes_Manuais!$G:$G,Aut_Ajustes_Manuais!$I:$I,DRE!AO$4,Aut_Ajustes_Manuais!$F:$F,"Outros D")</f>
        <v>0</v>
      </c>
      <c r="AR98" s="241">
        <f ca="1">SUMIFS($H98:$AO98,$H$5:$AO$5,"&lt;"&amp;MONTH(TODAY()),$H$6:$AO$6,"REAL 25")</f>
        <v>-292.95999999999998</v>
      </c>
      <c r="AS98" s="27">
        <f ca="1">SUMIFS($I98:$AP98,$I$5:$AP$5,"&lt;"&amp;MONTH(TODAY()),$I$6:$AP$6,"ORÇADO ")</f>
        <v>0</v>
      </c>
      <c r="AT98" s="28">
        <f ca="1">SUMIFS($J98:$AQ98,$J$5:$AQ$5,"&lt;"&amp;MONTH(TODAY()),$J$6:$AQ$6,"REAL 26")</f>
        <v>-190.15</v>
      </c>
      <c r="AU98" s="241">
        <f t="shared" si="116"/>
        <v>-641.77</v>
      </c>
      <c r="AV98" s="27">
        <f t="shared" si="116"/>
        <v>0</v>
      </c>
      <c r="AW98" s="28">
        <f t="shared" si="116"/>
        <v>-190.15</v>
      </c>
      <c r="AX98" s="241">
        <f t="shared" si="117"/>
        <v>-32.5</v>
      </c>
      <c r="AY98" s="27">
        <f t="shared" si="117"/>
        <v>0</v>
      </c>
      <c r="AZ98" s="28">
        <f t="shared" si="117"/>
        <v>-91</v>
      </c>
      <c r="BA98" s="241">
        <f t="shared" si="118"/>
        <v>-260.45999999999998</v>
      </c>
      <c r="BB98" s="27">
        <f t="shared" si="118"/>
        <v>0</v>
      </c>
      <c r="BC98" s="28">
        <f t="shared" si="118"/>
        <v>-99.15</v>
      </c>
      <c r="BD98" s="241">
        <f t="shared" si="119"/>
        <v>-348.81</v>
      </c>
      <c r="BE98" s="27">
        <f t="shared" si="119"/>
        <v>0</v>
      </c>
      <c r="BF98" s="28">
        <f t="shared" si="119"/>
        <v>0</v>
      </c>
      <c r="BG98" s="241">
        <f t="shared" si="120"/>
        <v>0</v>
      </c>
      <c r="BH98" s="27">
        <f t="shared" si="120"/>
        <v>0</v>
      </c>
      <c r="BI98" s="28">
        <f t="shared" si="120"/>
        <v>0</v>
      </c>
    </row>
    <row r="99" spans="1:61" collapsed="1" x14ac:dyDescent="0.3">
      <c r="A99" s="71" t="s">
        <v>44</v>
      </c>
      <c r="C99" s="24"/>
      <c r="D99" s="87"/>
      <c r="E99" s="25"/>
      <c r="F99" s="41"/>
      <c r="G99" s="47"/>
      <c r="H99" s="245">
        <v>-1.449342083428218E-2</v>
      </c>
      <c r="I99" s="50">
        <v>-2.6051042485112311E-2</v>
      </c>
      <c r="J99" s="51">
        <f>IFERROR(J94/J8,0)+SUMIFS(Aut_Ajustes_Manuais!$G:$G,Aut_Ajustes_Manuais!$I:$I,DRE!H$4,Aut_Ajustes_Manuais!$F:$F,"% sobre Receita Bruta")</f>
        <v>-4.5787625752471701E-2</v>
      </c>
      <c r="K99" s="245">
        <v>-1.625838608463253E-2</v>
      </c>
      <c r="L99" s="50">
        <v>-3.0329909758680301E-2</v>
      </c>
      <c r="M99" s="51">
        <f>IFERROR(M94/M8,0)+SUMIFS(Aut_Ajustes_Manuais!$G:$G,Aut_Ajustes_Manuais!$I:$I,DRE!K$4,Aut_Ajustes_Manuais!$F:$F,"% sobre Receita Bruta")</f>
        <v>-5.6066612673966412E-2</v>
      </c>
      <c r="N99" s="245">
        <v>-2.00921824510043E-2</v>
      </c>
      <c r="O99" s="50">
        <v>-2.7711295348182272E-2</v>
      </c>
      <c r="P99" s="51">
        <f>IFERROR(P94/P8,0)+SUMIFS(Aut_Ajustes_Manuais!$G:$G,Aut_Ajustes_Manuais!$I:$I,DRE!N$4,Aut_Ajustes_Manuais!$F:$F,"% sobre Receita Bruta")</f>
        <v>-5.7778217164473754E-2</v>
      </c>
      <c r="Q99" s="245">
        <v>-1.6623323134023229E-2</v>
      </c>
      <c r="R99" s="50">
        <v>-2.867730770433943E-2</v>
      </c>
      <c r="S99" s="51">
        <f>IFERROR(S94/S8,0)+SUMIFS(Aut_Ajustes_Manuais!$G:$G,Aut_Ajustes_Manuais!$I:$I,DRE!Q$4,Aut_Ajustes_Manuais!$F:$F,"% sobre Receita Bruta")</f>
        <v>-6.1923766041443902E-2</v>
      </c>
      <c r="T99" s="245">
        <v>-2.1961232421202171E-2</v>
      </c>
      <c r="U99" s="50">
        <v>-2.8491365554406779E-2</v>
      </c>
      <c r="V99" s="51">
        <f>IFERROR(V94/V8,0)+SUMIFS(Aut_Ajustes_Manuais!$G:$G,Aut_Ajustes_Manuais!$I:$I,DRE!T$4,Aut_Ajustes_Manuais!$F:$F,"% sobre Receita Bruta")</f>
        <v>-6.6243514008042459E-2</v>
      </c>
      <c r="W99" s="245">
        <v>-2.4361016508372069E-2</v>
      </c>
      <c r="X99" s="50">
        <v>-2.9405816560875361E-2</v>
      </c>
      <c r="Y99" s="51">
        <f>IFERROR(Y94/Y8,0)+SUMIFS(Aut_Ajustes_Manuais!$G:$G,Aut_Ajustes_Manuais!$I:$I,DRE!W$4,Aut_Ajustes_Manuais!$F:$F,"% sobre Receita Bruta")</f>
        <v>-2.400004542514845E-3</v>
      </c>
      <c r="Z99" s="245">
        <v>-1.874606624159527E-2</v>
      </c>
      <c r="AA99" s="50">
        <v>-2.72979362155444E-2</v>
      </c>
      <c r="AB99" s="51">
        <f>IFERROR(AB94/AB8,0)+SUMIFS(Aut_Ajustes_Manuais!$G:$G,Aut_Ajustes_Manuais!$I:$I,DRE!Z$4,Aut_Ajustes_Manuais!$F:$F,"% sobre Receita Bruta")</f>
        <v>0</v>
      </c>
      <c r="AC99" s="245">
        <v>-1.7820178468173891E-2</v>
      </c>
      <c r="AD99" s="50">
        <v>-2.8477605311407451E-2</v>
      </c>
      <c r="AE99" s="51">
        <f>IFERROR(AE94/AE8,0)+SUMIFS(Aut_Ajustes_Manuais!$G:$G,Aut_Ajustes_Manuais!$I:$I,DRE!AC$4,Aut_Ajustes_Manuais!$F:$F,"% sobre Receita Bruta")</f>
        <v>0</v>
      </c>
      <c r="AF99" s="245">
        <v>-2.503641386819223E-2</v>
      </c>
      <c r="AG99" s="50">
        <v>-2.720507487227828E-2</v>
      </c>
      <c r="AH99" s="51">
        <f>IFERROR(AH94/AH8,0)+SUMIFS(Aut_Ajustes_Manuais!$G:$G,Aut_Ajustes_Manuais!$I:$I,DRE!AF$4,Aut_Ajustes_Manuais!$F:$F,"% sobre Receita Bruta")</f>
        <v>0</v>
      </c>
      <c r="AI99" s="245">
        <v>-2.6108672639761209E-2</v>
      </c>
      <c r="AJ99" s="50">
        <v>-2.933805822341147E-2</v>
      </c>
      <c r="AK99" s="51">
        <f>IFERROR(AK94/AK8,0)+SUMIFS(Aut_Ajustes_Manuais!$G:$G,Aut_Ajustes_Manuais!$I:$I,DRE!AI$4,Aut_Ajustes_Manuais!$F:$F,"% sobre Receita Bruta")</f>
        <v>0</v>
      </c>
      <c r="AL99" s="245">
        <v>-3.1927031305031439E-2</v>
      </c>
      <c r="AM99" s="50">
        <v>-2.899268867767741E-2</v>
      </c>
      <c r="AN99" s="51">
        <f>IFERROR(AN94/AN8,0)+SUMIFS(Aut_Ajustes_Manuais!$G:$G,Aut_Ajustes_Manuais!$I:$I,DRE!AL$4,Aut_Ajustes_Manuais!$F:$F,"% sobre Receita Bruta")</f>
        <v>0</v>
      </c>
      <c r="AO99" s="245">
        <v>-2.0859238629966449E-2</v>
      </c>
      <c r="AP99" s="50">
        <v>-2.621068922862212E-2</v>
      </c>
      <c r="AQ99" s="51">
        <f>IFERROR(AQ94/AQ8,0)+SUMIFS(Aut_Ajustes_Manuais!$G:$G,Aut_Ajustes_Manuais!$I:$I,DRE!AO$4,Aut_Ajustes_Manuais!$F:$F,"% sobre Receita Bruta")</f>
        <v>0</v>
      </c>
      <c r="AR99" s="245">
        <f t="shared" ref="AR99:BI99" ca="1" si="121">IFERROR(AR94/AR8,0)</f>
        <v>-1.9286599072045212E-2</v>
      </c>
      <c r="AS99" s="50">
        <f t="shared" ca="1" si="121"/>
        <v>-2.8469852519587478E-2</v>
      </c>
      <c r="AT99" s="51">
        <f t="shared" ca="1" si="121"/>
        <v>-4.8446630873939252E-2</v>
      </c>
      <c r="AU99" s="245">
        <f t="shared" si="121"/>
        <v>-2.1408402877771657E-2</v>
      </c>
      <c r="AV99" s="50">
        <f t="shared" si="121"/>
        <v>-2.8118115817112568E-2</v>
      </c>
      <c r="AW99" s="51">
        <f t="shared" si="121"/>
        <v>-4.5827450921656403E-2</v>
      </c>
      <c r="AX99" s="245">
        <f t="shared" si="121"/>
        <v>-1.7333392248747602E-2</v>
      </c>
      <c r="AY99" s="50">
        <f t="shared" si="121"/>
        <v>-2.8058819150389751E-2</v>
      </c>
      <c r="AZ99" s="51">
        <f t="shared" si="121"/>
        <v>-5.3776867931665875E-2</v>
      </c>
      <c r="BA99" s="245">
        <f t="shared" si="121"/>
        <v>-2.0956783276438153E-2</v>
      </c>
      <c r="BB99" s="50">
        <f t="shared" si="121"/>
        <v>-2.8844427499835925E-2</v>
      </c>
      <c r="BC99" s="51">
        <f t="shared" si="121"/>
        <v>-4.3067828430309783E-2</v>
      </c>
      <c r="BD99" s="245">
        <f t="shared" si="121"/>
        <v>-2.0298573058394342E-2</v>
      </c>
      <c r="BE99" s="50">
        <f t="shared" si="121"/>
        <v>-2.7670091992278791E-2</v>
      </c>
      <c r="BF99" s="51">
        <f t="shared" si="121"/>
        <v>0</v>
      </c>
      <c r="BG99" s="245">
        <f t="shared" si="121"/>
        <v>-2.5259270684327192E-2</v>
      </c>
      <c r="BH99" s="50">
        <f t="shared" si="121"/>
        <v>-2.7991286331130048E-2</v>
      </c>
      <c r="BI99" s="51">
        <f t="shared" si="121"/>
        <v>0</v>
      </c>
    </row>
    <row r="100" spans="1:61" x14ac:dyDescent="0.3">
      <c r="A100" s="18"/>
      <c r="E100" s="16"/>
      <c r="F100" s="17"/>
      <c r="H100" s="247"/>
      <c r="I100" s="36" t="s">
        <v>125</v>
      </c>
      <c r="J100" s="447">
        <f>J96/J18</f>
        <v>-0.33942799303085075</v>
      </c>
      <c r="K100" s="247"/>
      <c r="L100" s="36" t="s">
        <v>125</v>
      </c>
      <c r="M100" s="447">
        <f>M96/M18</f>
        <v>-0.33792588950923547</v>
      </c>
      <c r="N100" s="247"/>
      <c r="O100" s="36" t="s">
        <v>125</v>
      </c>
      <c r="P100" s="447">
        <f>P96/P18</f>
        <v>-0.32973815091791225</v>
      </c>
      <c r="Q100" s="247"/>
      <c r="R100" s="36" t="s">
        <v>125</v>
      </c>
      <c r="S100" s="447">
        <f>S96/S18</f>
        <v>-0.29139193422187998</v>
      </c>
      <c r="T100" s="247"/>
      <c r="U100" s="36" t="s">
        <v>125</v>
      </c>
      <c r="V100" s="447">
        <f>V96/V18</f>
        <v>-0.27931618531872676</v>
      </c>
      <c r="W100" s="247"/>
      <c r="X100" s="17"/>
      <c r="Y100" s="57">
        <f>Y96/Y18</f>
        <v>0</v>
      </c>
      <c r="Z100" s="247"/>
      <c r="AA100" s="17"/>
      <c r="AB100" s="57">
        <f>AB96/AB18</f>
        <v>0</v>
      </c>
      <c r="AC100" s="247"/>
      <c r="AD100" s="17"/>
      <c r="AE100" s="57" t="e">
        <f>AE96/AE18</f>
        <v>#DIV/0!</v>
      </c>
      <c r="AF100" s="247"/>
      <c r="AG100" s="17"/>
      <c r="AH100" s="57" t="e">
        <f>AH96/AH18</f>
        <v>#DIV/0!</v>
      </c>
      <c r="AI100" s="247"/>
      <c r="AJ100" s="17"/>
      <c r="AK100" s="57" t="e">
        <f>AK96/AK18</f>
        <v>#DIV/0!</v>
      </c>
      <c r="AL100" s="247"/>
      <c r="AM100" s="17"/>
      <c r="AN100" s="57" t="e">
        <f>AN96/AN18</f>
        <v>#DIV/0!</v>
      </c>
      <c r="AO100" s="247"/>
      <c r="AP100" s="17"/>
      <c r="AQ100" s="57" t="e">
        <f>AQ96/AQ18</f>
        <v>#DIV/0!</v>
      </c>
      <c r="AR100" s="247"/>
      <c r="AS100" s="17"/>
      <c r="AT100" s="57"/>
      <c r="AU100" s="247"/>
      <c r="AV100" s="17"/>
      <c r="AW100" s="57"/>
      <c r="AX100" s="247"/>
      <c r="AY100" s="17"/>
      <c r="AZ100" s="57"/>
      <c r="BA100" s="247"/>
      <c r="BB100" s="17"/>
      <c r="BC100" s="57"/>
      <c r="BD100" s="247"/>
      <c r="BE100" s="17"/>
      <c r="BF100" s="57"/>
      <c r="BG100" s="247"/>
      <c r="BH100" s="17"/>
      <c r="BI100" s="57"/>
    </row>
    <row r="101" spans="1:61" x14ac:dyDescent="0.3">
      <c r="A101" s="18"/>
      <c r="E101" s="16"/>
      <c r="F101" s="17"/>
      <c r="H101" s="247"/>
      <c r="I101" s="17"/>
      <c r="J101" s="57"/>
      <c r="K101" s="247"/>
      <c r="L101" s="17"/>
      <c r="M101" s="57"/>
      <c r="N101" s="247"/>
      <c r="O101" s="17"/>
      <c r="P101" s="57"/>
      <c r="Q101" s="247"/>
      <c r="R101" s="17"/>
      <c r="S101" s="57"/>
      <c r="T101" s="247"/>
      <c r="U101" s="17"/>
      <c r="V101" s="57"/>
      <c r="W101" s="247"/>
      <c r="X101" s="17"/>
      <c r="Y101" s="57"/>
      <c r="Z101" s="247"/>
      <c r="AA101" s="17"/>
      <c r="AB101" s="57"/>
      <c r="AC101" s="247"/>
      <c r="AD101" s="17"/>
      <c r="AE101" s="57"/>
      <c r="AF101" s="247"/>
      <c r="AG101" s="17"/>
      <c r="AH101" s="57"/>
      <c r="AI101" s="247"/>
      <c r="AJ101" s="17"/>
      <c r="AK101" s="57"/>
      <c r="AL101" s="247"/>
      <c r="AM101" s="17"/>
      <c r="AN101" s="57"/>
      <c r="AO101" s="247"/>
      <c r="AP101" s="17"/>
      <c r="AQ101" s="57"/>
      <c r="AR101" s="247"/>
      <c r="AS101" s="17"/>
      <c r="AT101" s="57"/>
      <c r="AU101" s="247"/>
      <c r="AV101" s="17"/>
      <c r="AW101" s="57"/>
      <c r="AX101" s="247"/>
      <c r="AY101" s="17"/>
      <c r="AZ101" s="57"/>
      <c r="BA101" s="247"/>
      <c r="BB101" s="17"/>
      <c r="BC101" s="57"/>
      <c r="BD101" s="247"/>
      <c r="BE101" s="17"/>
      <c r="BF101" s="57"/>
      <c r="BG101" s="247"/>
      <c r="BH101" s="17"/>
      <c r="BI101" s="57"/>
    </row>
    <row r="102" spans="1:61" x14ac:dyDescent="0.3">
      <c r="A102" s="58" t="s">
        <v>126</v>
      </c>
      <c r="B102" s="59"/>
      <c r="C102" s="60"/>
      <c r="D102" s="61"/>
      <c r="E102" s="62"/>
      <c r="F102" s="63"/>
      <c r="G102" s="59"/>
      <c r="H102" s="248">
        <v>140859.34570370649</v>
      </c>
      <c r="I102" s="64">
        <f>SUM(I94,I88,I56,I42,I34,I32)</f>
        <v>178093.07012850468</v>
      </c>
      <c r="J102" s="65">
        <f>SUM(J94,J88,J56,J42,J34,J32)+SUMIFS(Aut_Ajustes_Manuais!$G:$G,Aut_Ajustes_Manuais!$I:$I,DRE!H$4,Aut_Ajustes_Manuais!$F:$F,"MARGEM BRUTA DE CONTRIBUIÇÃO")</f>
        <v>205531.25329280007</v>
      </c>
      <c r="K102" s="248">
        <v>154962.12565763819</v>
      </c>
      <c r="L102" s="64">
        <f>SUM(L94,L88,L56,L42,L34,L32)</f>
        <v>195692.93669633259</v>
      </c>
      <c r="M102" s="65">
        <f>SUM(M94,M88,M56,M42,M34,M32)+SUMIFS(Aut_Ajustes_Manuais!$G:$G,Aut_Ajustes_Manuais!$I:$I,DRE!K$4,Aut_Ajustes_Manuais!$F:$F,"MARGEM BRUTA DE CONTRIBUIÇÃO")</f>
        <v>217417.70987359999</v>
      </c>
      <c r="N102" s="248">
        <v>217518.01579528919</v>
      </c>
      <c r="O102" s="64">
        <f>SUM(O94,O88,O56,O42,O34,O32)</f>
        <v>249175.52626160509</v>
      </c>
      <c r="P102" s="65">
        <f>SUM(P94,P88,P56,P42,P34,P32)+SUMIFS(Aut_Ajustes_Manuais!$G:$G,Aut_Ajustes_Manuais!$I:$I,DRE!N$4,Aut_Ajustes_Manuais!$F:$F,"MARGEM BRUTA DE CONTRIBUIÇÃO")</f>
        <v>289070.63335999998</v>
      </c>
      <c r="Q102" s="248">
        <v>197698.8380267256</v>
      </c>
      <c r="R102" s="64">
        <f>SUM(R94,R88,R56,R42,R34,R32)</f>
        <v>236600.60541620231</v>
      </c>
      <c r="S102" s="65">
        <f>SUM(S94,S88,S56,S42,S34,S32)+SUMIFS(Aut_Ajustes_Manuais!$G:$G,Aut_Ajustes_Manuais!$I:$I,DRE!Q$4,Aut_Ajustes_Manuais!$F:$F,"MARGEM BRUTA DE CONTRIBUIÇÃO")</f>
        <v>214496.23176320008</v>
      </c>
      <c r="T102" s="248">
        <v>204888.2573996218</v>
      </c>
      <c r="U102" s="64">
        <f>SUM(U94,U88,U56,U42,U34,U32)</f>
        <v>232371.13517312857</v>
      </c>
      <c r="V102" s="65">
        <f>SUM(V94,V88,V56,V42,V34,V32)+SUMIFS(Aut_Ajustes_Manuais!$G:$G,Aut_Ajustes_Manuais!$I:$I,DRE!T$4,Aut_Ajustes_Manuais!$F:$F,"MARGEM BRUTA DE CONTRIBUIÇÃO")</f>
        <v>222042.3570079999</v>
      </c>
      <c r="W102" s="248">
        <v>200813.2237612913</v>
      </c>
      <c r="X102" s="64">
        <f>SUM(X94,X88,X56,X42,X34,X32)</f>
        <v>216221.82919366856</v>
      </c>
      <c r="Y102" s="65">
        <f>SUM(Y94,Y88,Y56,Y42,Y34,Y32)+SUMIFS(Aut_Ajustes_Manuais!$G:$G,Aut_Ajustes_Manuais!$I:$I,DRE!W$4,Aut_Ajustes_Manuais!$F:$F,"MARGEM BRUTA DE CONTRIBUIÇÃO")</f>
        <v>208427.71159200001</v>
      </c>
      <c r="Z102" s="248">
        <v>259025.3092582144</v>
      </c>
      <c r="AA102" s="64">
        <f>SUM(AA94,AA88,AA56,AA42,AA34,AA32)</f>
        <v>287223.04610562528</v>
      </c>
      <c r="AB102" s="65">
        <f>SUM(AB94,AB88,AB56,AB42,AB34,AB32)+SUMIFS(Aut_Ajustes_Manuais!$G:$G,Aut_Ajustes_Manuais!$I:$I,DRE!Z$4,Aut_Ajustes_Manuais!$F:$F,"MARGEM BRUTA DE CONTRIBUIÇÃO")</f>
        <v>91579.262311999992</v>
      </c>
      <c r="AC102" s="248">
        <v>257290.89740966129</v>
      </c>
      <c r="AD102" s="64">
        <f>SUM(AD94,AD88,AD56,AD42,AD34,AD32)</f>
        <v>267527.26239418262</v>
      </c>
      <c r="AE102" s="65">
        <f>SUM(AE94,AE88,AE56,AE42,AE34,AE32)+SUMIFS(Aut_Ajustes_Manuais!$G:$G,Aut_Ajustes_Manuais!$I:$I,DRE!AC$4,Aut_Ajustes_Manuais!$F:$F,"MARGEM BRUTA DE CONTRIBUIÇÃO")</f>
        <v>-11040.26</v>
      </c>
      <c r="AF102" s="248">
        <v>205936.10199638599</v>
      </c>
      <c r="AG102" s="64">
        <f>SUM(AG94,AG88,AG56,AG42,AG34,AG32)</f>
        <v>240412.39397091762</v>
      </c>
      <c r="AH102" s="65">
        <f>SUM(AH94,AH88,AH56,AH42,AH34,AH32)+SUMIFS(Aut_Ajustes_Manuais!$G:$G,Aut_Ajustes_Manuais!$I:$I,DRE!AF$4,Aut_Ajustes_Manuais!$F:$F,"MARGEM BRUTA DE CONTRIBUIÇÃO")</f>
        <v>-2000</v>
      </c>
      <c r="AI102" s="248">
        <v>228712.03311210871</v>
      </c>
      <c r="AJ102" s="64">
        <f>SUM(AJ94,AJ88,AJ56,AJ42,AJ34,AJ32)</f>
        <v>249023.20128596117</v>
      </c>
      <c r="AK102" s="65">
        <f>SUM(AK94,AK88,AK56,AK42,AK34,AK32)+SUMIFS(Aut_Ajustes_Manuais!$G:$G,Aut_Ajustes_Manuais!$I:$I,DRE!AI$4,Aut_Ajustes_Manuais!$F:$F,"MARGEM BRUTA DE CONTRIBUIÇÃO")</f>
        <v>-2000</v>
      </c>
      <c r="AL102" s="248">
        <v>237236.84737256999</v>
      </c>
      <c r="AM102" s="64">
        <f>SUM(AM94,AM88,AM56,AM42,AM34,AM32)</f>
        <v>263659.35209704342</v>
      </c>
      <c r="AN102" s="65">
        <f>SUM(AN94,AN88,AN56,AN42,AN34,AN32)+SUMIFS(Aut_Ajustes_Manuais!$G:$G,Aut_Ajustes_Manuais!$I:$I,DRE!AL$4,Aut_Ajustes_Manuais!$F:$F,"MARGEM BRUTA DE CONTRIBUIÇÃO")</f>
        <v>1689.46</v>
      </c>
      <c r="AO102" s="248">
        <v>485523.49124630692</v>
      </c>
      <c r="AP102" s="64">
        <f>SUM(AP94,AP88,AP56,AP42,AP34,AP32)</f>
        <v>345357.84804419655</v>
      </c>
      <c r="AQ102" s="65">
        <f>SUM(AQ94,AQ88,AQ56,AQ42,AQ34,AQ32)+SUMIFS(Aut_Ajustes_Manuais!$G:$G,Aut_Ajustes_Manuais!$I:$I,DRE!AO$4,Aut_Ajustes_Manuais!$F:$F,"MARGEM BRUTA DE CONTRIBUIÇÃO")</f>
        <v>-2000</v>
      </c>
      <c r="AR102" s="248">
        <f t="shared" ref="AR102:BI102" ca="1" si="122">SUM(AR94,AR88,AR56,AR42,AR34,AR32)</f>
        <v>1116739.8063442721</v>
      </c>
      <c r="AS102" s="64">
        <f t="shared" ca="1" si="122"/>
        <v>1308155.1028694422</v>
      </c>
      <c r="AT102" s="65">
        <f t="shared" ca="1" si="122"/>
        <v>1356985.8968896</v>
      </c>
      <c r="AU102" s="248">
        <f t="shared" si="122"/>
        <v>2790464.48673952</v>
      </c>
      <c r="AV102" s="64">
        <f t="shared" si="122"/>
        <v>2961358.2067673677</v>
      </c>
      <c r="AW102" s="65">
        <f t="shared" si="122"/>
        <v>1433214.3592015998</v>
      </c>
      <c r="AX102" s="248">
        <f t="shared" si="122"/>
        <v>513339.48715663387</v>
      </c>
      <c r="AY102" s="64">
        <f t="shared" si="122"/>
        <v>622961.53308644262</v>
      </c>
      <c r="AZ102" s="65">
        <f t="shared" si="122"/>
        <v>712019.59652640007</v>
      </c>
      <c r="BA102" s="248">
        <f t="shared" si="122"/>
        <v>603400.31918763858</v>
      </c>
      <c r="BB102" s="64">
        <f t="shared" si="122"/>
        <v>685193.56978299981</v>
      </c>
      <c r="BC102" s="65">
        <f t="shared" si="122"/>
        <v>644966.30036319967</v>
      </c>
      <c r="BD102" s="248">
        <f t="shared" si="122"/>
        <v>722252.30866426136</v>
      </c>
      <c r="BE102" s="64">
        <f t="shared" si="122"/>
        <v>795162.70247072564</v>
      </c>
      <c r="BF102" s="65">
        <f t="shared" si="122"/>
        <v>78539.002312000011</v>
      </c>
      <c r="BG102" s="248">
        <f t="shared" si="122"/>
        <v>951472.37173098547</v>
      </c>
      <c r="BH102" s="64">
        <f t="shared" si="122"/>
        <v>858040.40142720111</v>
      </c>
      <c r="BI102" s="65">
        <f t="shared" si="122"/>
        <v>-2310.54</v>
      </c>
    </row>
    <row r="103" spans="1:61" x14ac:dyDescent="0.3">
      <c r="A103" s="71" t="s">
        <v>127</v>
      </c>
      <c r="B103" s="59"/>
      <c r="C103" s="60"/>
      <c r="D103" s="61"/>
      <c r="E103" s="62"/>
      <c r="F103" s="63"/>
      <c r="G103" s="59"/>
      <c r="H103" s="245">
        <v>0.46287090292352168</v>
      </c>
      <c r="I103" s="50">
        <v>0.50461964626156253</v>
      </c>
      <c r="J103" s="51">
        <f>IFERROR(J102/J8,0)+SUMIFS(Aut_Ajustes_Manuais!$G:$G,Aut_Ajustes_Manuais!$I:$I,DRE!H$4,Aut_Ajustes_Manuais!$F:$F,"% sobre Receita")</f>
        <v>0.50899995057581937</v>
      </c>
      <c r="K103" s="245">
        <v>0.48372886425616179</v>
      </c>
      <c r="L103" s="50">
        <v>0.50579984937039135</v>
      </c>
      <c r="M103" s="51">
        <f>IFERROR(M102/M8,0)+SUMIFS(Aut_Ajustes_Manuais!$G:$G,Aut_Ajustes_Manuais!$I:$I,DRE!K$4,Aut_Ajustes_Manuais!$F:$F,"% sobre Receita")</f>
        <v>0.51302199274876281</v>
      </c>
      <c r="N103" s="245">
        <v>0.49650227889432291</v>
      </c>
      <c r="O103" s="50">
        <v>0.50912425963263086</v>
      </c>
      <c r="P103" s="51">
        <f>IFERROR(P102/P8,0)+SUMIFS(Aut_Ajustes_Manuais!$G:$G,Aut_Ajustes_Manuais!$I:$I,DRE!N$4,Aut_Ajustes_Manuais!$F:$F,"% sobre Receita")</f>
        <v>0.51279567307624085</v>
      </c>
      <c r="Q103" s="245">
        <v>0.47384677140249992</v>
      </c>
      <c r="R103" s="50">
        <v>0.51052590573999068</v>
      </c>
      <c r="S103" s="51">
        <f>IFERROR(S102/S8,0)+SUMIFS(Aut_Ajustes_Manuais!$G:$G,Aut_Ajustes_Manuais!$I:$I,DRE!Q$4,Aut_Ajustes_Manuais!$F:$F,"% sobre Receita")</f>
        <v>0.47944031448439678</v>
      </c>
      <c r="T103" s="245">
        <v>0.49038686704515461</v>
      </c>
      <c r="U103" s="50">
        <v>0.50638224854827418</v>
      </c>
      <c r="V103" s="51">
        <f>IFERROR(V102/V8,0)+SUMIFS(Aut_Ajustes_Manuais!$G:$G,Aut_Ajustes_Manuais!$I:$I,DRE!T$4,Aut_Ajustes_Manuais!$F:$F,"% sobre Receita")</f>
        <v>0.48151557784812421</v>
      </c>
      <c r="W103" s="245">
        <v>0.49239658737026898</v>
      </c>
      <c r="X103" s="50">
        <v>0.50689776912253903</v>
      </c>
      <c r="Y103" s="51">
        <f>IFERROR(Y102/Y8,0)+SUMIFS(Aut_Ajustes_Manuais!$G:$G,Aut_Ajustes_Manuais!$I:$I,DRE!W$4,Aut_Ajustes_Manuais!$F:$F,"% sobre Receita")</f>
        <v>0.4432518604628759</v>
      </c>
      <c r="Z103" s="245">
        <v>0.51917354936983173</v>
      </c>
      <c r="AA103" s="50">
        <v>0.51489498531552969</v>
      </c>
      <c r="AB103" s="51">
        <f>IFERROR(AB102/AB8,0)+SUMIFS(Aut_Ajustes_Manuais!$G:$G,Aut_Ajustes_Manuais!$I:$I,DRE!Z$4,Aut_Ajustes_Manuais!$F:$F,"% sobre Receita")</f>
        <v>0.60625620874447217</v>
      </c>
      <c r="AC103" s="245">
        <v>0.54010652715414209</v>
      </c>
      <c r="AD103" s="50">
        <v>0.50693453279281242</v>
      </c>
      <c r="AE103" s="51">
        <f>IFERROR(AE102/AE8,0)+SUMIFS(Aut_Ajustes_Manuais!$G:$G,Aut_Ajustes_Manuais!$I:$I,DRE!AC$4,Aut_Ajustes_Manuais!$F:$F,"% sobre Receita")</f>
        <v>-3.4074876543209878</v>
      </c>
      <c r="AF103" s="245">
        <v>0.49902211476602992</v>
      </c>
      <c r="AG103" s="50">
        <v>0.51152462797430953</v>
      </c>
      <c r="AH103" s="51">
        <f>IFERROR(AH102/AH8,0)+SUMIFS(Aut_Ajustes_Manuais!$G:$G,Aut_Ajustes_Manuais!$I:$I,DRE!AF$4,Aut_Ajustes_Manuais!$F:$F,"% sobre Receita")</f>
        <v>0</v>
      </c>
      <c r="AI103" s="245">
        <v>0.54434409264841355</v>
      </c>
      <c r="AJ103" s="50">
        <v>0.51307564709058251</v>
      </c>
      <c r="AK103" s="51">
        <f>IFERROR(AK102/AK8,0)+SUMIFS(Aut_Ajustes_Manuais!$G:$G,Aut_Ajustes_Manuais!$I:$I,DRE!AI$4,Aut_Ajustes_Manuais!$F:$F,"% sobre Receita")</f>
        <v>0</v>
      </c>
      <c r="AL103" s="245">
        <v>0.51041607159123747</v>
      </c>
      <c r="AM103" s="50">
        <v>0.51331914172140458</v>
      </c>
      <c r="AN103" s="51">
        <f>IFERROR(AN102/AN8,0)+SUMIFS(Aut_Ajustes_Manuais!$G:$G,Aut_Ajustes_Manuais!$I:$I,DRE!AL$4,Aut_Ajustes_Manuais!$F:$F,"% sobre Receita")</f>
        <v>0.42026368159203981</v>
      </c>
      <c r="AO103" s="245">
        <v>0.61814762716996319</v>
      </c>
      <c r="AP103" s="50">
        <v>0.52648459487391097</v>
      </c>
      <c r="AQ103" s="51">
        <f>IFERROR(AQ102/AQ8,0)+SUMIFS(Aut_Ajustes_Manuais!$G:$G,Aut_Ajustes_Manuais!$I:$I,DRE!AO$4,Aut_Ajustes_Manuais!$F:$F,"% sobre Receita")</f>
        <v>0</v>
      </c>
      <c r="AR103" s="245">
        <f t="shared" ref="AR103:BI103" ca="1" si="123">IFERROR(AR102/AR8,0)</f>
        <v>0.48435442902125048</v>
      </c>
      <c r="AS103" s="50">
        <f t="shared" ca="1" si="123"/>
        <v>0.50740425022608449</v>
      </c>
      <c r="AT103" s="51">
        <f t="shared" ca="1" si="123"/>
        <v>0.48987732423379937</v>
      </c>
      <c r="AU103" s="245">
        <f t="shared" si="123"/>
        <v>0.52022133361449685</v>
      </c>
      <c r="AV103" s="50">
        <f t="shared" si="123"/>
        <v>0.51158036654753436</v>
      </c>
      <c r="AW103" s="51">
        <f t="shared" si="123"/>
        <v>0.48942401370706801</v>
      </c>
      <c r="AX103" s="245">
        <f t="shared" si="123"/>
        <v>0.48302185711996498</v>
      </c>
      <c r="AY103" s="50">
        <f t="shared" si="123"/>
        <v>0.50678460878684939</v>
      </c>
      <c r="AZ103" s="51">
        <f t="shared" si="123"/>
        <v>0.51176299174965889</v>
      </c>
      <c r="BA103" s="245">
        <f t="shared" si="123"/>
        <v>0.48549390924126506</v>
      </c>
      <c r="BB103" s="50">
        <f t="shared" si="123"/>
        <v>0.50796892987804487</v>
      </c>
      <c r="BC103" s="51">
        <f t="shared" si="123"/>
        <v>0.46779224984782525</v>
      </c>
      <c r="BD103" s="245">
        <f t="shared" si="123"/>
        <v>0.52036649870963314</v>
      </c>
      <c r="BE103" s="50">
        <f t="shared" si="123"/>
        <v>0.51117602303797816</v>
      </c>
      <c r="BF103" s="51">
        <f t="shared" si="123"/>
        <v>0.50901175681735422</v>
      </c>
      <c r="BG103" s="245">
        <f t="shared" si="123"/>
        <v>0.56960717487314272</v>
      </c>
      <c r="BH103" s="50">
        <f t="shared" si="123"/>
        <v>0.51846606792040073</v>
      </c>
      <c r="BI103" s="51">
        <f t="shared" si="123"/>
        <v>-0.57476119402985071</v>
      </c>
    </row>
    <row r="104" spans="1:61" x14ac:dyDescent="0.3">
      <c r="A104" s="18"/>
      <c r="E104" s="16"/>
      <c r="F104" s="17"/>
      <c r="H104" s="247"/>
      <c r="I104" s="17"/>
      <c r="J104" s="57"/>
      <c r="K104" s="247"/>
      <c r="L104" s="17"/>
      <c r="M104" s="57"/>
      <c r="N104" s="247"/>
      <c r="O104" s="17"/>
      <c r="P104" s="57"/>
      <c r="Q104" s="247"/>
      <c r="R104" s="17"/>
      <c r="S104" s="57"/>
      <c r="T104" s="247"/>
      <c r="U104" s="17"/>
      <c r="V104" s="57"/>
      <c r="W104" s="247"/>
      <c r="X104" s="17"/>
      <c r="Y104" s="57"/>
      <c r="Z104" s="247"/>
      <c r="AA104" s="17"/>
      <c r="AB104" s="57"/>
      <c r="AC104" s="247"/>
      <c r="AD104" s="17"/>
      <c r="AE104" s="57"/>
      <c r="AF104" s="247"/>
      <c r="AG104" s="17"/>
      <c r="AH104" s="57"/>
      <c r="AI104" s="247"/>
      <c r="AJ104" s="17"/>
      <c r="AK104" s="57"/>
      <c r="AL104" s="247"/>
      <c r="AM104" s="17"/>
      <c r="AN104" s="57"/>
      <c r="AO104" s="247"/>
      <c r="AP104" s="17"/>
      <c r="AQ104" s="57"/>
      <c r="AR104" s="247"/>
      <c r="AS104" s="17"/>
      <c r="AT104" s="57"/>
      <c r="AU104" s="247"/>
      <c r="AV104" s="17"/>
      <c r="AW104" s="57"/>
      <c r="AX104" s="247"/>
      <c r="AY104" s="17"/>
      <c r="AZ104" s="57"/>
      <c r="BA104" s="247"/>
      <c r="BB104" s="17"/>
      <c r="BC104" s="57"/>
      <c r="BD104" s="247"/>
      <c r="BE104" s="17"/>
      <c r="BF104" s="57"/>
      <c r="BG104" s="247"/>
      <c r="BH104" s="17"/>
      <c r="BI104" s="57"/>
    </row>
    <row r="105" spans="1:61" s="14" customFormat="1" x14ac:dyDescent="0.3">
      <c r="A105" s="90"/>
      <c r="B105" s="5"/>
      <c r="C105" s="91"/>
      <c r="D105" s="5"/>
      <c r="E105" s="92"/>
      <c r="F105" s="92"/>
      <c r="G105" s="5"/>
      <c r="H105" s="257"/>
      <c r="I105" s="92"/>
      <c r="J105" s="93"/>
      <c r="K105" s="257"/>
      <c r="L105" s="92"/>
      <c r="M105" s="93"/>
      <c r="N105" s="257"/>
      <c r="O105" s="92"/>
      <c r="P105" s="93"/>
      <c r="Q105" s="257"/>
      <c r="R105" s="92"/>
      <c r="S105" s="93"/>
      <c r="T105" s="257"/>
      <c r="U105" s="92"/>
      <c r="V105" s="93"/>
      <c r="W105" s="257"/>
      <c r="X105" s="92"/>
      <c r="Y105" s="93"/>
      <c r="Z105" s="257"/>
      <c r="AA105" s="92"/>
      <c r="AB105" s="93"/>
      <c r="AC105" s="257"/>
      <c r="AD105" s="92"/>
      <c r="AE105" s="93"/>
      <c r="AF105" s="257"/>
      <c r="AG105" s="92"/>
      <c r="AH105" s="93"/>
      <c r="AI105" s="257"/>
      <c r="AJ105" s="92"/>
      <c r="AK105" s="93"/>
      <c r="AL105" s="257"/>
      <c r="AM105" s="92"/>
      <c r="AN105" s="93"/>
      <c r="AO105" s="257"/>
      <c r="AP105" s="92"/>
      <c r="AQ105" s="93"/>
      <c r="AR105" s="257"/>
      <c r="AS105" s="92"/>
      <c r="AT105" s="93"/>
      <c r="AU105" s="257"/>
      <c r="AV105" s="92"/>
      <c r="AW105" s="93"/>
      <c r="AX105" s="257"/>
      <c r="AY105" s="92"/>
      <c r="AZ105" s="93"/>
      <c r="BA105" s="257"/>
      <c r="BB105" s="92"/>
      <c r="BC105" s="93"/>
      <c r="BD105" s="257"/>
      <c r="BE105" s="92"/>
      <c r="BF105" s="93"/>
      <c r="BG105" s="257"/>
      <c r="BH105" s="92"/>
      <c r="BI105" s="93"/>
    </row>
    <row r="106" spans="1:61" x14ac:dyDescent="0.3">
      <c r="A106" s="39" t="s">
        <v>128</v>
      </c>
      <c r="C106" s="40" t="s">
        <v>35</v>
      </c>
      <c r="D106" s="40" t="s">
        <v>36</v>
      </c>
      <c r="E106" s="40" t="s">
        <v>37</v>
      </c>
      <c r="F106" s="41"/>
      <c r="G106" s="88"/>
      <c r="H106" s="244">
        <v>-115830.62090570841</v>
      </c>
      <c r="I106" s="42">
        <v>-113777.27884508</v>
      </c>
      <c r="J106" s="43">
        <f>SUM(J107,J120,J179,J182,J199,J205)+SUMIFS(Aut_Ajustes_Manuais!$G:$G,Aut_Ajustes_Manuais!$I:$I,DRE!H$4,Aut_Ajustes_Manuais!$F:$F,"PESSOAL")</f>
        <v>-114926.65156840728</v>
      </c>
      <c r="K106" s="244">
        <v>-117762.8843045746</v>
      </c>
      <c r="L106" s="42">
        <v>-115000.7263479612</v>
      </c>
      <c r="M106" s="43">
        <f>SUM(M107,M120,M179,M182,M199,M205)+SUMIFS(Aut_Ajustes_Manuais!$G:$G,Aut_Ajustes_Manuais!$I:$I,DRE!K$4,Aut_Ajustes_Manuais!$F:$F,"PESSOAL")</f>
        <v>-104173.54289896927</v>
      </c>
      <c r="N106" s="244">
        <v>-129794.9467176215</v>
      </c>
      <c r="O106" s="42">
        <v>-121068.13347795801</v>
      </c>
      <c r="P106" s="43">
        <f>SUM(P107,P120,P179,P182,P199,P205)+SUMIFS(Aut_Ajustes_Manuais!$G:$G,Aut_Ajustes_Manuais!$I:$I,DRE!N$4,Aut_Ajustes_Manuais!$F:$F,"PESSOAL")</f>
        <v>-115349.94894783164</v>
      </c>
      <c r="Q106" s="244">
        <v>-111901.0099269351</v>
      </c>
      <c r="R106" s="42">
        <v>-119951.1562635669</v>
      </c>
      <c r="S106" s="43">
        <f>SUM(S107,S120,S179,S182,S199,S205)+SUMIFS(Aut_Ajustes_Manuais!$G:$G,Aut_Ajustes_Manuais!$I:$I,DRE!Q$4,Aut_Ajustes_Manuais!$F:$F,"PESSOAL")</f>
        <v>-115412.35088792084</v>
      </c>
      <c r="T106" s="244">
        <v>-136389.04173324339</v>
      </c>
      <c r="U106" s="42">
        <v>-121535.37777074359</v>
      </c>
      <c r="V106" s="43">
        <f>SUM(V107,V120,V179,V182,V199,V205)+SUMIFS(Aut_Ajustes_Manuais!$G:$G,Aut_Ajustes_Manuais!$I:$I,DRE!T$4,Aut_Ajustes_Manuais!$F:$F,"PESSOAL")</f>
        <v>-120939.33854806334</v>
      </c>
      <c r="W106" s="244">
        <v>-121669.6289657678</v>
      </c>
      <c r="X106" s="42">
        <v>-120178.01742765711</v>
      </c>
      <c r="Y106" s="43">
        <f>SUM(Y107,Y120,Y179,Y182,Y199,Y205)+SUMIFS(Aut_Ajustes_Manuais!$G:$G,Aut_Ajustes_Manuais!$I:$I,DRE!W$4,Aut_Ajustes_Manuais!$F:$F,"PESSOAL")</f>
        <v>-110505.87485326506</v>
      </c>
      <c r="Z106" s="244">
        <v>-134249.474296559</v>
      </c>
      <c r="AA106" s="42">
        <v>-125504.16991188729</v>
      </c>
      <c r="AB106" s="43">
        <f>SUM(AB107,AB120,AB179,AB182,AB199,AB205)+SUMIFS(Aut_Ajustes_Manuais!$G:$G,Aut_Ajustes_Manuais!$I:$I,DRE!Z$4,Aut_Ajustes_Manuais!$F:$F,"PESSOAL")</f>
        <v>-178245.924852</v>
      </c>
      <c r="AC106" s="244">
        <v>-125084.1001654719</v>
      </c>
      <c r="AD106" s="42">
        <v>-124362.936534369</v>
      </c>
      <c r="AE106" s="43">
        <f>SUM(AE107,AE120,AE179,AE182,AE199,AE205)+SUMIFS(Aut_Ajustes_Manuais!$G:$G,Aut_Ajustes_Manuais!$I:$I,DRE!AC$4,Aut_Ajustes_Manuais!$F:$F,"PESSOAL")</f>
        <v>-175025.96485199998</v>
      </c>
      <c r="AF106" s="244">
        <v>-138243.42979365171</v>
      </c>
      <c r="AG106" s="42">
        <v>-121957.1367468846</v>
      </c>
      <c r="AH106" s="43">
        <f>SUM(AH107,AH120,AH179,AH182,AH199,AH205)+SUMIFS(Aut_Ajustes_Manuais!$G:$G,Aut_Ajustes_Manuais!$I:$I,DRE!AF$4,Aut_Ajustes_Manuais!$F:$F,"PESSOAL")</f>
        <v>-139025.96485199998</v>
      </c>
      <c r="AI106" s="244">
        <v>-135566.57666248211</v>
      </c>
      <c r="AJ106" s="42">
        <v>-122495.58084415361</v>
      </c>
      <c r="AK106" s="43">
        <f>SUM(AK107,AK120,AK179,AK182,AK199,AK205)+SUMIFS(Aut_Ajustes_Manuais!$G:$G,Aut_Ajustes_Manuais!$I:$I,DRE!AI$4,Aut_Ajustes_Manuais!$F:$F,"PESSOAL")</f>
        <v>-130025.964852</v>
      </c>
      <c r="AL106" s="244">
        <v>-135008.72806805011</v>
      </c>
      <c r="AM106" s="42">
        <v>-121816.8137454845</v>
      </c>
      <c r="AN106" s="43">
        <f>SUM(AN107,AN120,AN179,AN182,AN199,AN205)+SUMIFS(Aut_Ajustes_Manuais!$G:$G,Aut_Ajustes_Manuais!$I:$I,DRE!AL$4,Aut_Ajustes_Manuais!$F:$F,"PESSOAL")</f>
        <v>-130025.964852</v>
      </c>
      <c r="AO106" s="244">
        <v>-150774.44080297649</v>
      </c>
      <c r="AP106" s="42">
        <v>-127469.52551454811</v>
      </c>
      <c r="AQ106" s="43">
        <f>SUM(AQ107,AQ120,AQ179,AQ182,AQ199,AQ205)+SUMIFS(Aut_Ajustes_Manuais!$G:$G,Aut_Ajustes_Manuais!$I:$I,DRE!AO$4,Aut_Ajustes_Manuais!$F:$F,"PESSOAL")</f>
        <v>-135174.994852</v>
      </c>
      <c r="AR106" s="244">
        <f t="shared" ref="AR106:BI106" ca="1" si="124">SUM(AR107,AR120,AR179,AR182,AR199,AR205)</f>
        <v>-733348.13255385088</v>
      </c>
      <c r="AS106" s="42">
        <f t="shared" ca="1" si="124"/>
        <v>-711510.69013296673</v>
      </c>
      <c r="AT106" s="43">
        <f t="shared" ca="1" si="124"/>
        <v>-681307.70770445745</v>
      </c>
      <c r="AU106" s="244">
        <f t="shared" si="124"/>
        <v>-1552274.8823430422</v>
      </c>
      <c r="AV106" s="42">
        <f t="shared" si="124"/>
        <v>-1455116.853430294</v>
      </c>
      <c r="AW106" s="43">
        <f t="shared" si="124"/>
        <v>-1568832.4868164575</v>
      </c>
      <c r="AX106" s="244">
        <f t="shared" si="124"/>
        <v>-363388.45192790451</v>
      </c>
      <c r="AY106" s="42">
        <f t="shared" si="124"/>
        <v>-349846.13867099915</v>
      </c>
      <c r="AZ106" s="43">
        <f t="shared" si="124"/>
        <v>-334450.14341520821</v>
      </c>
      <c r="BA106" s="244">
        <f t="shared" si="124"/>
        <v>-369959.68062594632</v>
      </c>
      <c r="BB106" s="42">
        <f t="shared" si="124"/>
        <v>-361664.55146196758</v>
      </c>
      <c r="BC106" s="43">
        <f t="shared" si="124"/>
        <v>-346857.56428924925</v>
      </c>
      <c r="BD106" s="244">
        <f t="shared" si="124"/>
        <v>-397577.0042556827</v>
      </c>
      <c r="BE106" s="42">
        <f t="shared" si="124"/>
        <v>-371824.24319314095</v>
      </c>
      <c r="BF106" s="43">
        <f t="shared" si="124"/>
        <v>-492297.85455599998</v>
      </c>
      <c r="BG106" s="244">
        <f t="shared" si="124"/>
        <v>-421349.74553350871</v>
      </c>
      <c r="BH106" s="42">
        <f t="shared" si="124"/>
        <v>-371781.92010418611</v>
      </c>
      <c r="BI106" s="43">
        <f t="shared" si="124"/>
        <v>-395226.92455600004</v>
      </c>
    </row>
    <row r="107" spans="1:61" x14ac:dyDescent="0.3">
      <c r="A107" s="73" t="s">
        <v>129</v>
      </c>
      <c r="C107" s="24"/>
      <c r="D107" s="55"/>
      <c r="E107" s="87"/>
      <c r="F107" s="41"/>
      <c r="G107" s="47"/>
      <c r="H107" s="252">
        <v>-33836.33</v>
      </c>
      <c r="I107" s="74">
        <v>-33850</v>
      </c>
      <c r="J107" s="76">
        <f>SUM(J108:J119)</f>
        <v>-30810</v>
      </c>
      <c r="K107" s="252">
        <v>-35928.57</v>
      </c>
      <c r="L107" s="74">
        <v>-33850</v>
      </c>
      <c r="M107" s="76">
        <f>SUM(M108:M119)</f>
        <v>-27716.67</v>
      </c>
      <c r="N107" s="252">
        <v>-48016.67</v>
      </c>
      <c r="O107" s="74">
        <v>-33850</v>
      </c>
      <c r="P107" s="76">
        <f>SUM(P108:P119)</f>
        <v>-37450</v>
      </c>
      <c r="Q107" s="252">
        <v>-33191.67</v>
      </c>
      <c r="R107" s="74">
        <v>-33850</v>
      </c>
      <c r="S107" s="76">
        <f>SUM(S108:S119)</f>
        <v>-29850</v>
      </c>
      <c r="T107" s="252">
        <v>-37408.61</v>
      </c>
      <c r="U107" s="74">
        <v>-33850</v>
      </c>
      <c r="V107" s="76">
        <f>SUM(V108:V119)</f>
        <v>-29850</v>
      </c>
      <c r="W107" s="252">
        <v>-37883.339999999997</v>
      </c>
      <c r="X107" s="74">
        <v>-33850</v>
      </c>
      <c r="Y107" s="76">
        <f>SUM(Y108:Y119)</f>
        <v>-29850</v>
      </c>
      <c r="Z107" s="252">
        <v>-33850</v>
      </c>
      <c r="AA107" s="74">
        <v>-33850</v>
      </c>
      <c r="AB107" s="76">
        <f>SUM(AB108:AB119)</f>
        <v>-29850</v>
      </c>
      <c r="AC107" s="252">
        <v>-36366.129999999997</v>
      </c>
      <c r="AD107" s="74">
        <v>-33850</v>
      </c>
      <c r="AE107" s="76">
        <f>SUM(AE108:AE119)</f>
        <v>-29850</v>
      </c>
      <c r="AF107" s="252">
        <v>-34725</v>
      </c>
      <c r="AG107" s="74">
        <v>-33850</v>
      </c>
      <c r="AH107" s="76">
        <f>SUM(AH108:AH119)</f>
        <v>-29850</v>
      </c>
      <c r="AI107" s="252">
        <v>-36475</v>
      </c>
      <c r="AJ107" s="74">
        <v>-33850</v>
      </c>
      <c r="AK107" s="76">
        <f>SUM(AK108:AK119)</f>
        <v>-29850</v>
      </c>
      <c r="AL107" s="252">
        <v>-33850</v>
      </c>
      <c r="AM107" s="74">
        <v>-33850</v>
      </c>
      <c r="AN107" s="76">
        <f>SUM(AN108:AN119)</f>
        <v>-29850</v>
      </c>
      <c r="AO107" s="252">
        <v>-36791.620000000003</v>
      </c>
      <c r="AP107" s="74">
        <v>-33850</v>
      </c>
      <c r="AQ107" s="76">
        <f>SUM(AQ108:AQ119)</f>
        <v>-29850</v>
      </c>
      <c r="AR107" s="252">
        <f t="shared" ref="AR107:AR138" ca="1" si="125">SUMIFS($H107:$AO107,$H$5:$AO$5,"&lt;"&amp;MONTH(TODAY()),$H$6:$AO$6,"REAL 25")</f>
        <v>-226265.18999999997</v>
      </c>
      <c r="AS107" s="74">
        <f t="shared" ref="AS107:AS138" ca="1" si="126">SUMIFS($I107:$AP107,$I$5:$AP$5,"&lt;"&amp;MONTH(TODAY()),$I$6:$AP$6,"ORÇADO ")</f>
        <v>-203100</v>
      </c>
      <c r="AT107" s="76">
        <f t="shared" ref="AT107:AT138" ca="1" si="127">SUMIFS($J107:$AQ107,$J$5:$AQ$5,"&lt;"&amp;MONTH(TODAY()),$J$6:$AQ$6,"REAL 26")</f>
        <v>-185526.66999999998</v>
      </c>
      <c r="AU107" s="252">
        <f t="shared" ref="AU107:BI107" si="128">SUM(AU108:AU119)</f>
        <v>-438322.94</v>
      </c>
      <c r="AV107" s="74">
        <f t="shared" si="128"/>
        <v>-406200</v>
      </c>
      <c r="AW107" s="76">
        <f t="shared" si="128"/>
        <v>-364626.67</v>
      </c>
      <c r="AX107" s="252">
        <f t="shared" si="128"/>
        <v>-117781.57</v>
      </c>
      <c r="AY107" s="74">
        <f t="shared" si="128"/>
        <v>-101550</v>
      </c>
      <c r="AZ107" s="76">
        <f t="shared" si="128"/>
        <v>-95976.67</v>
      </c>
      <c r="BA107" s="252">
        <f t="shared" si="128"/>
        <v>-108483.62</v>
      </c>
      <c r="BB107" s="74">
        <f t="shared" si="128"/>
        <v>-101550</v>
      </c>
      <c r="BC107" s="76">
        <f t="shared" si="128"/>
        <v>-89550</v>
      </c>
      <c r="BD107" s="252">
        <f t="shared" si="128"/>
        <v>-104941.13</v>
      </c>
      <c r="BE107" s="74">
        <f t="shared" si="128"/>
        <v>-101550</v>
      </c>
      <c r="BF107" s="76">
        <f t="shared" si="128"/>
        <v>-89550</v>
      </c>
      <c r="BG107" s="252">
        <f t="shared" si="128"/>
        <v>-107116.62</v>
      </c>
      <c r="BH107" s="74">
        <f t="shared" si="128"/>
        <v>-101550</v>
      </c>
      <c r="BI107" s="76">
        <f t="shared" si="128"/>
        <v>-89550</v>
      </c>
    </row>
    <row r="108" spans="1:61" hidden="1" outlineLevel="1" x14ac:dyDescent="0.3">
      <c r="A108" s="22" t="s">
        <v>130</v>
      </c>
      <c r="C108" s="24"/>
      <c r="D108" s="55"/>
      <c r="E108" s="87"/>
      <c r="F108" s="41"/>
      <c r="G108" s="47"/>
      <c r="H108" s="241">
        <v>-3350</v>
      </c>
      <c r="I108" s="27">
        <v>0</v>
      </c>
      <c r="J108" s="28">
        <f>SUMIFS(Aut_BlueMe_Sem_Pedido!$J:$J,Aut_BlueMe_Sem_Pedido!$Q:$Q,DRE!H$4,Aut_BlueMe_Sem_Pedido!$N:$N,DRE!$A108,Aut_BlueMe_Sem_Pedido!$H:$H,"MDO PJ Fixo")+SUMIFS(Aut_Ajustes_Manuais!$G:$G,Aut_Ajustes_Manuais!$I:$I,DRE!H$4,Aut_Ajustes_Manuais!$J:$J,"  - Squad")</f>
        <v>0</v>
      </c>
      <c r="K108" s="241">
        <v>-4850</v>
      </c>
      <c r="L108" s="27">
        <v>0</v>
      </c>
      <c r="M108" s="28">
        <f>SUMIFS(Aut_BlueMe_Sem_Pedido!$J:$J,Aut_BlueMe_Sem_Pedido!$Q:$Q,DRE!K$4,Aut_BlueMe_Sem_Pedido!$N:$N,DRE!$A108,Aut_BlueMe_Sem_Pedido!$H:$H,"MDO PJ Fixo")+SUMIFS(Aut_Ajustes_Manuais!$G:$G,Aut_Ajustes_Manuais!$I:$I,DRE!K$4,Aut_Ajustes_Manuais!$J:$J,"  - Squad")</f>
        <v>0</v>
      </c>
      <c r="N108" s="241">
        <v>-4850</v>
      </c>
      <c r="O108" s="27">
        <v>0</v>
      </c>
      <c r="P108" s="28">
        <f>SUMIFS(Aut_BlueMe_Sem_Pedido!$J:$J,Aut_BlueMe_Sem_Pedido!$Q:$Q,DRE!N$4,Aut_BlueMe_Sem_Pedido!$N:$N,DRE!$A108,Aut_BlueMe_Sem_Pedido!$H:$H,"MDO PJ Fixo")+SUMIFS(Aut_Ajustes_Manuais!$G:$G,Aut_Ajustes_Manuais!$I:$I,DRE!N$4,Aut_Ajustes_Manuais!$J:$J,"  - Squad")</f>
        <v>0</v>
      </c>
      <c r="Q108" s="241">
        <v>-4850</v>
      </c>
      <c r="R108" s="27">
        <v>0</v>
      </c>
      <c r="S108" s="28">
        <f>SUMIFS(Aut_BlueMe_Sem_Pedido!$J:$J,Aut_BlueMe_Sem_Pedido!$Q:$Q,DRE!Q$4,Aut_BlueMe_Sem_Pedido!$N:$N,DRE!$A108,Aut_BlueMe_Sem_Pedido!$H:$H,"MDO PJ Fixo")+SUMIFS(Aut_Ajustes_Manuais!$G:$G,Aut_Ajustes_Manuais!$I:$I,DRE!Q$4,Aut_Ajustes_Manuais!$J:$J,"  - Squad")</f>
        <v>0</v>
      </c>
      <c r="T108" s="241">
        <v>-5350</v>
      </c>
      <c r="U108" s="27">
        <v>0</v>
      </c>
      <c r="V108" s="28">
        <f>SUMIFS(Aut_BlueMe_Sem_Pedido!$J:$J,Aut_BlueMe_Sem_Pedido!$Q:$Q,DRE!T$4,Aut_BlueMe_Sem_Pedido!$N:$N,DRE!$A108,Aut_BlueMe_Sem_Pedido!$H:$H,"MDO PJ Fixo")+SUMIFS(Aut_Ajustes_Manuais!$G:$G,Aut_Ajustes_Manuais!$I:$I,DRE!T$4,Aut_Ajustes_Manuais!$J:$J,"  - Squad")</f>
        <v>0</v>
      </c>
      <c r="W108" s="241">
        <v>-4033.34</v>
      </c>
      <c r="X108" s="27">
        <v>0</v>
      </c>
      <c r="Y108" s="28">
        <f>SUMIFS(Aut_BlueMe_Sem_Pedido!$J:$J,Aut_BlueMe_Sem_Pedido!$Q:$Q,DRE!W$4,Aut_BlueMe_Sem_Pedido!$N:$N,DRE!$A108,Aut_BlueMe_Sem_Pedido!$H:$H,"MDO PJ Fixo")+SUMIFS(Aut_Ajustes_Manuais!$G:$G,Aut_Ajustes_Manuais!$I:$I,DRE!W$4,Aut_Ajustes_Manuais!$J:$J,"  - Squad")</f>
        <v>0</v>
      </c>
      <c r="Z108" s="241">
        <v>0</v>
      </c>
      <c r="AA108" s="27">
        <v>0</v>
      </c>
      <c r="AB108" s="28">
        <f>SUMIFS(Aut_BlueMe_Sem_Pedido!$J:$J,Aut_BlueMe_Sem_Pedido!$Q:$Q,DRE!Z$4,Aut_BlueMe_Sem_Pedido!$N:$N,DRE!$A108,Aut_BlueMe_Sem_Pedido!$H:$H,"MDO PJ Fixo")+SUMIFS(Aut_Ajustes_Manuais!$G:$G,Aut_Ajustes_Manuais!$I:$I,DRE!Z$4,Aut_Ajustes_Manuais!$J:$J,"  - Squad")</f>
        <v>0</v>
      </c>
      <c r="AC108" s="241">
        <v>0</v>
      </c>
      <c r="AD108" s="27">
        <v>0</v>
      </c>
      <c r="AE108" s="28">
        <f>SUMIFS(Aut_BlueMe_Sem_Pedido!$J:$J,Aut_BlueMe_Sem_Pedido!$Q:$Q,DRE!AC$4,Aut_BlueMe_Sem_Pedido!$N:$N,DRE!$A108,Aut_BlueMe_Sem_Pedido!$H:$H,"MDO PJ Fixo")+SUMIFS(Aut_Ajustes_Manuais!$G:$G,Aut_Ajustes_Manuais!$I:$I,DRE!AC$4,Aut_Ajustes_Manuais!$J:$J,"  - Squad")</f>
        <v>0</v>
      </c>
      <c r="AF108" s="241">
        <v>0</v>
      </c>
      <c r="AG108" s="27">
        <v>0</v>
      </c>
      <c r="AH108" s="28">
        <f>SUMIFS(Aut_BlueMe_Sem_Pedido!$J:$J,Aut_BlueMe_Sem_Pedido!$Q:$Q,DRE!AF$4,Aut_BlueMe_Sem_Pedido!$N:$N,DRE!$A108,Aut_BlueMe_Sem_Pedido!$H:$H,"MDO PJ Fixo")+SUMIFS(Aut_Ajustes_Manuais!$G:$G,Aut_Ajustes_Manuais!$I:$I,DRE!AF$4,Aut_Ajustes_Manuais!$J:$J,"  - Squad")</f>
        <v>0</v>
      </c>
      <c r="AI108" s="241">
        <v>0</v>
      </c>
      <c r="AJ108" s="27">
        <v>0</v>
      </c>
      <c r="AK108" s="28">
        <f>SUMIFS(Aut_BlueMe_Sem_Pedido!$J:$J,Aut_BlueMe_Sem_Pedido!$Q:$Q,DRE!AI$4,Aut_BlueMe_Sem_Pedido!$N:$N,DRE!$A108,Aut_BlueMe_Sem_Pedido!$H:$H,"MDO PJ Fixo")+SUMIFS(Aut_Ajustes_Manuais!$G:$G,Aut_Ajustes_Manuais!$I:$I,DRE!AI$4,Aut_Ajustes_Manuais!$J:$J,"  - Squad")</f>
        <v>0</v>
      </c>
      <c r="AL108" s="241">
        <v>0</v>
      </c>
      <c r="AM108" s="27">
        <v>0</v>
      </c>
      <c r="AN108" s="28">
        <f>SUMIFS(Aut_BlueMe_Sem_Pedido!$J:$J,Aut_BlueMe_Sem_Pedido!$Q:$Q,DRE!AL$4,Aut_BlueMe_Sem_Pedido!$N:$N,DRE!$A108,Aut_BlueMe_Sem_Pedido!$H:$H,"MDO PJ Fixo")+SUMIFS(Aut_Ajustes_Manuais!$G:$G,Aut_Ajustes_Manuais!$I:$I,DRE!AL$4,Aut_Ajustes_Manuais!$J:$J,"  - Squad")</f>
        <v>0</v>
      </c>
      <c r="AO108" s="241">
        <v>0</v>
      </c>
      <c r="AP108" s="27">
        <v>0</v>
      </c>
      <c r="AQ108" s="28">
        <f>SUMIFS(Aut_BlueMe_Sem_Pedido!$J:$J,Aut_BlueMe_Sem_Pedido!$Q:$Q,DRE!AO$4,Aut_BlueMe_Sem_Pedido!$N:$N,DRE!$A108,Aut_BlueMe_Sem_Pedido!$H:$H,"MDO PJ Fixo")+SUMIFS(Aut_Ajustes_Manuais!$G:$G,Aut_Ajustes_Manuais!$I:$I,DRE!AO$4,Aut_Ajustes_Manuais!$J:$J,"  - Squad")</f>
        <v>0</v>
      </c>
      <c r="AR108" s="241">
        <f t="shared" ca="1" si="125"/>
        <v>-27283.34</v>
      </c>
      <c r="AS108" s="27">
        <f t="shared" ca="1" si="126"/>
        <v>0</v>
      </c>
      <c r="AT108" s="28">
        <f t="shared" ca="1" si="127"/>
        <v>0</v>
      </c>
      <c r="AU108" s="241">
        <f t="shared" ref="AU108:AU120" si="129">SUM(H108,K108,N108,Q108,T108,W108,Z108,AC108,AF108,AI108,AL108,AO108)</f>
        <v>-27283.34</v>
      </c>
      <c r="AV108" s="27">
        <f t="shared" ref="AV108:AV120" si="130">SUM(I108,L108,O108,R108,U108,X108,AA108,AD108,AG108,AJ108,AM108,AP108)</f>
        <v>0</v>
      </c>
      <c r="AW108" s="28">
        <f t="shared" ref="AW108:AW120" si="131">SUM(J108,M108,P108,S108,V108,Y108,AB108,AE108,AH108,AK108,AN108,AQ108)</f>
        <v>0</v>
      </c>
      <c r="AX108" s="241">
        <f t="shared" ref="AX108:AX120" si="132">SUM(H108,K108,N108)</f>
        <v>-13050</v>
      </c>
      <c r="AY108" s="27">
        <f t="shared" ref="AY108:AY120" si="133">SUM(I108,L108,O108)</f>
        <v>0</v>
      </c>
      <c r="AZ108" s="28">
        <f t="shared" ref="AZ108:AZ120" si="134">SUM(J108,M108,P108)</f>
        <v>0</v>
      </c>
      <c r="BA108" s="241">
        <f t="shared" ref="BA108:BA120" si="135">SUM(Q108,T108,W108)</f>
        <v>-14233.34</v>
      </c>
      <c r="BB108" s="27">
        <f t="shared" ref="BB108:BB120" si="136">SUM(R108,U108,X108)</f>
        <v>0</v>
      </c>
      <c r="BC108" s="28">
        <f t="shared" ref="BC108:BC120" si="137">SUM(S108,V108,Y108)</f>
        <v>0</v>
      </c>
      <c r="BD108" s="241">
        <f t="shared" ref="BD108:BD120" si="138">SUM(Z108,AC108,AF108)</f>
        <v>0</v>
      </c>
      <c r="BE108" s="27">
        <f t="shared" ref="BE108:BE120" si="139">SUM(AA108,AD108,AG108)</f>
        <v>0</v>
      </c>
      <c r="BF108" s="28">
        <f t="shared" ref="BF108:BF120" si="140">SUM(AB108,AE108,AH108)</f>
        <v>0</v>
      </c>
      <c r="BG108" s="241">
        <f t="shared" ref="BG108:BG120" si="141">SUM(AI108,AL108,AO108)</f>
        <v>0</v>
      </c>
      <c r="BH108" s="27">
        <f t="shared" ref="BH108:BH120" si="142">SUM(AJ108,AM108,AP108)</f>
        <v>0</v>
      </c>
      <c r="BI108" s="28">
        <f t="shared" ref="BI108:BI120" si="143">SUM(AK108,AN108,AQ108)</f>
        <v>0</v>
      </c>
    </row>
    <row r="109" spans="1:61" s="94" customFormat="1" hidden="1" outlineLevel="1" x14ac:dyDescent="0.3">
      <c r="A109" s="22" t="s">
        <v>131</v>
      </c>
      <c r="B109" s="2"/>
      <c r="C109" s="24"/>
      <c r="D109" s="55"/>
      <c r="E109" s="87"/>
      <c r="F109" s="41"/>
      <c r="G109" s="33"/>
      <c r="H109" s="241">
        <v>-21600</v>
      </c>
      <c r="I109" s="27">
        <v>-17600</v>
      </c>
      <c r="J109" s="28">
        <f>SUMIFS(Aut_BlueMe_Sem_Pedido!$J:$J,Aut_BlueMe_Sem_Pedido!$Q:$Q,DRE!H$4,Aut_BlueMe_Sem_Pedido!$N:$N,DRE!$A109,Aut_BlueMe_Sem_Pedido!$H:$H,"MDO PJ Fixo")+SUMIFS(Aut_Ajustes_Manuais!$G:$G,Aut_Ajustes_Manuais!$I:$I,DRE!H$4,Aut_Ajustes_Manuais!$J:$J,"  - Gerente")</f>
        <v>-17600</v>
      </c>
      <c r="K109" s="241">
        <v>-21600</v>
      </c>
      <c r="L109" s="27">
        <v>-17600</v>
      </c>
      <c r="M109" s="28">
        <f>SUMIFS(Aut_BlueMe_Sem_Pedido!$J:$J,Aut_BlueMe_Sem_Pedido!$Q:$Q,DRE!K$4,Aut_BlueMe_Sem_Pedido!$N:$N,DRE!$A109,Aut_BlueMe_Sem_Pedido!$H:$H,"MDO PJ Fixo")+SUMIFS(Aut_Ajustes_Manuais!$G:$G,Aut_Ajustes_Manuais!$I:$I,DRE!K$4,Aut_Ajustes_Manuais!$J:$J,"  - Gerente")</f>
        <v>-17600</v>
      </c>
      <c r="N109" s="241">
        <v>-28200</v>
      </c>
      <c r="O109" s="27">
        <v>-17600</v>
      </c>
      <c r="P109" s="28">
        <f>SUMIFS(Aut_BlueMe_Sem_Pedido!$J:$J,Aut_BlueMe_Sem_Pedido!$Q:$Q,DRE!N$4,Aut_BlueMe_Sem_Pedido!$N:$N,DRE!$A109,Aut_BlueMe_Sem_Pedido!$H:$H,"MDO PJ Fixo")+SUMIFS(Aut_Ajustes_Manuais!$G:$G,Aut_Ajustes_Manuais!$I:$I,DRE!N$4,Aut_Ajustes_Manuais!$J:$J,"  - Gerente")</f>
        <v>-17600</v>
      </c>
      <c r="Q109" s="241">
        <v>-17600</v>
      </c>
      <c r="R109" s="27">
        <v>-17600</v>
      </c>
      <c r="S109" s="28">
        <f>SUMIFS(Aut_BlueMe_Sem_Pedido!$J:$J,Aut_BlueMe_Sem_Pedido!$Q:$Q,DRE!Q$4,Aut_BlueMe_Sem_Pedido!$N:$N,DRE!$A109,Aut_BlueMe_Sem_Pedido!$H:$H,"MDO PJ Fixo")+SUMIFS(Aut_Ajustes_Manuais!$G:$G,Aut_Ajustes_Manuais!$I:$I,DRE!Q$4,Aut_Ajustes_Manuais!$J:$J,"  - Gerente")</f>
        <v>-17600</v>
      </c>
      <c r="T109" s="241">
        <v>-17600</v>
      </c>
      <c r="U109" s="27">
        <v>-17600</v>
      </c>
      <c r="V109" s="28">
        <f>SUMIFS(Aut_BlueMe_Sem_Pedido!$J:$J,Aut_BlueMe_Sem_Pedido!$Q:$Q,DRE!T$4,Aut_BlueMe_Sem_Pedido!$N:$N,DRE!$A109,Aut_BlueMe_Sem_Pedido!$H:$H,"MDO PJ Fixo")+SUMIFS(Aut_Ajustes_Manuais!$G:$G,Aut_Ajustes_Manuais!$I:$I,DRE!T$4,Aut_Ajustes_Manuais!$J:$J,"  - Gerente")</f>
        <v>-17600</v>
      </c>
      <c r="W109" s="241">
        <v>-17600</v>
      </c>
      <c r="X109" s="27">
        <v>-17600</v>
      </c>
      <c r="Y109" s="28">
        <f>SUMIFS(Aut_BlueMe_Sem_Pedido!$J:$J,Aut_BlueMe_Sem_Pedido!$Q:$Q,DRE!W$4,Aut_BlueMe_Sem_Pedido!$N:$N,DRE!$A109,Aut_BlueMe_Sem_Pedido!$H:$H,"MDO PJ Fixo")+SUMIFS(Aut_Ajustes_Manuais!$G:$G,Aut_Ajustes_Manuais!$I:$I,DRE!W$4,Aut_Ajustes_Manuais!$J:$J,"  - Gerente")</f>
        <v>-17600</v>
      </c>
      <c r="Z109" s="241">
        <v>-17600</v>
      </c>
      <c r="AA109" s="27">
        <v>-17600</v>
      </c>
      <c r="AB109" s="28">
        <f>SUMIFS(Aut_BlueMe_Sem_Pedido!$J:$J,Aut_BlueMe_Sem_Pedido!$Q:$Q,DRE!Z$4,Aut_BlueMe_Sem_Pedido!$N:$N,DRE!$A109,Aut_BlueMe_Sem_Pedido!$H:$H,"MDO PJ Fixo")+SUMIFS(Aut_Ajustes_Manuais!$G:$G,Aut_Ajustes_Manuais!$I:$I,DRE!Z$4,Aut_Ajustes_Manuais!$J:$J,"  - Gerente")</f>
        <v>-17600</v>
      </c>
      <c r="AC109" s="241">
        <v>-17600</v>
      </c>
      <c r="AD109" s="27">
        <v>-17600</v>
      </c>
      <c r="AE109" s="28">
        <f>SUMIFS(Aut_BlueMe_Sem_Pedido!$J:$J,Aut_BlueMe_Sem_Pedido!$Q:$Q,DRE!AC$4,Aut_BlueMe_Sem_Pedido!$N:$N,DRE!$A109,Aut_BlueMe_Sem_Pedido!$H:$H,"MDO PJ Fixo")+SUMIFS(Aut_Ajustes_Manuais!$G:$G,Aut_Ajustes_Manuais!$I:$I,DRE!AC$4,Aut_Ajustes_Manuais!$J:$J,"  - Gerente")</f>
        <v>-17600</v>
      </c>
      <c r="AF109" s="241">
        <v>-17600</v>
      </c>
      <c r="AG109" s="27">
        <v>-17600</v>
      </c>
      <c r="AH109" s="28">
        <f>SUMIFS(Aut_BlueMe_Sem_Pedido!$J:$J,Aut_BlueMe_Sem_Pedido!$Q:$Q,DRE!AF$4,Aut_BlueMe_Sem_Pedido!$N:$N,DRE!$A109,Aut_BlueMe_Sem_Pedido!$H:$H,"MDO PJ Fixo")+SUMIFS(Aut_Ajustes_Manuais!$G:$G,Aut_Ajustes_Manuais!$I:$I,DRE!AF$4,Aut_Ajustes_Manuais!$J:$J,"  - Gerente")</f>
        <v>-17600</v>
      </c>
      <c r="AI109" s="241">
        <v>-17600</v>
      </c>
      <c r="AJ109" s="27">
        <v>-17600</v>
      </c>
      <c r="AK109" s="28">
        <f>SUMIFS(Aut_BlueMe_Sem_Pedido!$J:$J,Aut_BlueMe_Sem_Pedido!$Q:$Q,DRE!AI$4,Aut_BlueMe_Sem_Pedido!$N:$N,DRE!$A109,Aut_BlueMe_Sem_Pedido!$H:$H,"MDO PJ Fixo")+SUMIFS(Aut_Ajustes_Manuais!$G:$G,Aut_Ajustes_Manuais!$I:$I,DRE!AI$4,Aut_Ajustes_Manuais!$J:$J,"  - Gerente")</f>
        <v>-17600</v>
      </c>
      <c r="AL109" s="241">
        <v>-17600</v>
      </c>
      <c r="AM109" s="27">
        <v>-17600</v>
      </c>
      <c r="AN109" s="28">
        <f>SUMIFS(Aut_BlueMe_Sem_Pedido!$J:$J,Aut_BlueMe_Sem_Pedido!$Q:$Q,DRE!AL$4,Aut_BlueMe_Sem_Pedido!$N:$N,DRE!$A109,Aut_BlueMe_Sem_Pedido!$H:$H,"MDO PJ Fixo")+SUMIFS(Aut_Ajustes_Manuais!$G:$G,Aut_Ajustes_Manuais!$I:$I,DRE!AL$4,Aut_Ajustes_Manuais!$J:$J,"  - Gerente")</f>
        <v>-17600</v>
      </c>
      <c r="AO109" s="241">
        <v>-17600</v>
      </c>
      <c r="AP109" s="27">
        <v>-17600</v>
      </c>
      <c r="AQ109" s="28">
        <f>SUMIFS(Aut_BlueMe_Sem_Pedido!$J:$J,Aut_BlueMe_Sem_Pedido!$Q:$Q,DRE!AO$4,Aut_BlueMe_Sem_Pedido!$N:$N,DRE!$A109,Aut_BlueMe_Sem_Pedido!$H:$H,"MDO PJ Fixo")+SUMIFS(Aut_Ajustes_Manuais!$G:$G,Aut_Ajustes_Manuais!$I:$I,DRE!AO$4,Aut_Ajustes_Manuais!$J:$J,"  - Gerente")</f>
        <v>-17600</v>
      </c>
      <c r="AR109" s="241">
        <f t="shared" ca="1" si="125"/>
        <v>-124200</v>
      </c>
      <c r="AS109" s="27">
        <f t="shared" ca="1" si="126"/>
        <v>-105600</v>
      </c>
      <c r="AT109" s="28">
        <f t="shared" ca="1" si="127"/>
        <v>-105600</v>
      </c>
      <c r="AU109" s="241">
        <f t="shared" si="129"/>
        <v>-229800</v>
      </c>
      <c r="AV109" s="27">
        <f t="shared" si="130"/>
        <v>-211200</v>
      </c>
      <c r="AW109" s="28">
        <f t="shared" si="131"/>
        <v>-211200</v>
      </c>
      <c r="AX109" s="241">
        <f t="shared" si="132"/>
        <v>-71400</v>
      </c>
      <c r="AY109" s="27">
        <f t="shared" si="133"/>
        <v>-52800</v>
      </c>
      <c r="AZ109" s="28">
        <f t="shared" si="134"/>
        <v>-52800</v>
      </c>
      <c r="BA109" s="241">
        <f t="shared" si="135"/>
        <v>-52800</v>
      </c>
      <c r="BB109" s="27">
        <f t="shared" si="136"/>
        <v>-52800</v>
      </c>
      <c r="BC109" s="28">
        <f t="shared" si="137"/>
        <v>-52800</v>
      </c>
      <c r="BD109" s="241">
        <f t="shared" si="138"/>
        <v>-52800</v>
      </c>
      <c r="BE109" s="27">
        <f t="shared" si="139"/>
        <v>-52800</v>
      </c>
      <c r="BF109" s="28">
        <f t="shared" si="140"/>
        <v>-52800</v>
      </c>
      <c r="BG109" s="241">
        <f t="shared" si="141"/>
        <v>-52800</v>
      </c>
      <c r="BH109" s="27">
        <f t="shared" si="142"/>
        <v>-52800</v>
      </c>
      <c r="BI109" s="28">
        <f t="shared" si="143"/>
        <v>-52800</v>
      </c>
    </row>
    <row r="110" spans="1:61" s="94" customFormat="1" hidden="1" outlineLevel="1" x14ac:dyDescent="0.3">
      <c r="A110" s="22" t="s">
        <v>132</v>
      </c>
      <c r="B110" s="2"/>
      <c r="C110" s="24"/>
      <c r="D110" s="55"/>
      <c r="E110" s="87"/>
      <c r="F110" s="41"/>
      <c r="G110" s="33"/>
      <c r="H110" s="241">
        <v>0</v>
      </c>
      <c r="I110" s="27">
        <v>0</v>
      </c>
      <c r="J110" s="28">
        <f>SUMIFS(Aut_BlueMe_Sem_Pedido!$J:$J,Aut_BlueMe_Sem_Pedido!$Q:$Q,DRE!H$4,Aut_BlueMe_Sem_Pedido!$N:$N,DRE!$A110,Aut_BlueMe_Sem_Pedido!$H:$H,"MDO PJ Fixo")+SUMIFS(Aut_Ajustes_Manuais!$G:$G,Aut_Ajustes_Manuais!$I:$I,DRE!H$4,Aut_Ajustes_Manuais!$J:$J,"  - Subgerente")</f>
        <v>0</v>
      </c>
      <c r="K110" s="241">
        <v>0</v>
      </c>
      <c r="L110" s="27">
        <v>0</v>
      </c>
      <c r="M110" s="28">
        <f>SUMIFS(Aut_BlueMe_Sem_Pedido!$J:$J,Aut_BlueMe_Sem_Pedido!$Q:$Q,DRE!K$4,Aut_BlueMe_Sem_Pedido!$N:$N,DRE!$A110,Aut_BlueMe_Sem_Pedido!$H:$H,"MDO PJ Fixo")+SUMIFS(Aut_Ajustes_Manuais!$G:$G,Aut_Ajustes_Manuais!$I:$I,DRE!K$4,Aut_Ajustes_Manuais!$J:$J,"  - Subgerente")</f>
        <v>0</v>
      </c>
      <c r="N110" s="241">
        <v>0</v>
      </c>
      <c r="O110" s="27">
        <v>0</v>
      </c>
      <c r="P110" s="28">
        <f>SUMIFS(Aut_BlueMe_Sem_Pedido!$J:$J,Aut_BlueMe_Sem_Pedido!$Q:$Q,DRE!N$4,Aut_BlueMe_Sem_Pedido!$N:$N,DRE!$A110,Aut_BlueMe_Sem_Pedido!$H:$H,"MDO PJ Fixo")+SUMIFS(Aut_Ajustes_Manuais!$G:$G,Aut_Ajustes_Manuais!$I:$I,DRE!N$4,Aut_Ajustes_Manuais!$J:$J,"  - Subgerente")</f>
        <v>0</v>
      </c>
      <c r="Q110" s="241">
        <v>0</v>
      </c>
      <c r="R110" s="27">
        <v>0</v>
      </c>
      <c r="S110" s="28">
        <f>SUMIFS(Aut_BlueMe_Sem_Pedido!$J:$J,Aut_BlueMe_Sem_Pedido!$Q:$Q,DRE!Q$4,Aut_BlueMe_Sem_Pedido!$N:$N,DRE!$A110,Aut_BlueMe_Sem_Pedido!$H:$H,"MDO PJ Fixo")+SUMIFS(Aut_Ajustes_Manuais!$G:$G,Aut_Ajustes_Manuais!$I:$I,DRE!Q$4,Aut_Ajustes_Manuais!$J:$J,"  - Subgerente")</f>
        <v>0</v>
      </c>
      <c r="T110" s="241">
        <v>0</v>
      </c>
      <c r="U110" s="27">
        <v>0</v>
      </c>
      <c r="V110" s="28">
        <f>SUMIFS(Aut_BlueMe_Sem_Pedido!$J:$J,Aut_BlueMe_Sem_Pedido!$Q:$Q,DRE!T$4,Aut_BlueMe_Sem_Pedido!$N:$N,DRE!$A110,Aut_BlueMe_Sem_Pedido!$H:$H,"MDO PJ Fixo")+SUMIFS(Aut_Ajustes_Manuais!$G:$G,Aut_Ajustes_Manuais!$I:$I,DRE!T$4,Aut_Ajustes_Manuais!$J:$J,"  - Subgerente")</f>
        <v>0</v>
      </c>
      <c r="W110" s="241">
        <v>0</v>
      </c>
      <c r="X110" s="27">
        <v>0</v>
      </c>
      <c r="Y110" s="28">
        <f>SUMIFS(Aut_BlueMe_Sem_Pedido!$J:$J,Aut_BlueMe_Sem_Pedido!$Q:$Q,DRE!W$4,Aut_BlueMe_Sem_Pedido!$N:$N,DRE!$A110,Aut_BlueMe_Sem_Pedido!$H:$H,"MDO PJ Fixo")+SUMIFS(Aut_Ajustes_Manuais!$G:$G,Aut_Ajustes_Manuais!$I:$I,DRE!W$4,Aut_Ajustes_Manuais!$J:$J,"  - Subgerente")</f>
        <v>0</v>
      </c>
      <c r="Z110" s="241">
        <v>0</v>
      </c>
      <c r="AA110" s="27">
        <v>0</v>
      </c>
      <c r="AB110" s="28">
        <f>SUMIFS(Aut_BlueMe_Sem_Pedido!$J:$J,Aut_BlueMe_Sem_Pedido!$Q:$Q,DRE!Z$4,Aut_BlueMe_Sem_Pedido!$N:$N,DRE!$A110,Aut_BlueMe_Sem_Pedido!$H:$H,"MDO PJ Fixo")+SUMIFS(Aut_Ajustes_Manuais!$G:$G,Aut_Ajustes_Manuais!$I:$I,DRE!Z$4,Aut_Ajustes_Manuais!$J:$J,"  - Subgerente")</f>
        <v>0</v>
      </c>
      <c r="AC110" s="241">
        <v>0</v>
      </c>
      <c r="AD110" s="27">
        <v>0</v>
      </c>
      <c r="AE110" s="28">
        <f>SUMIFS(Aut_BlueMe_Sem_Pedido!$J:$J,Aut_BlueMe_Sem_Pedido!$Q:$Q,DRE!AC$4,Aut_BlueMe_Sem_Pedido!$N:$N,DRE!$A110,Aut_BlueMe_Sem_Pedido!$H:$H,"MDO PJ Fixo")+SUMIFS(Aut_Ajustes_Manuais!$G:$G,Aut_Ajustes_Manuais!$I:$I,DRE!AC$4,Aut_Ajustes_Manuais!$J:$J,"  - Subgerente")</f>
        <v>0</v>
      </c>
      <c r="AF110" s="241">
        <v>0</v>
      </c>
      <c r="AG110" s="27">
        <v>0</v>
      </c>
      <c r="AH110" s="28">
        <f>SUMIFS(Aut_BlueMe_Sem_Pedido!$J:$J,Aut_BlueMe_Sem_Pedido!$Q:$Q,DRE!AF$4,Aut_BlueMe_Sem_Pedido!$N:$N,DRE!$A110,Aut_BlueMe_Sem_Pedido!$H:$H,"MDO PJ Fixo")+SUMIFS(Aut_Ajustes_Manuais!$G:$G,Aut_Ajustes_Manuais!$I:$I,DRE!AF$4,Aut_Ajustes_Manuais!$J:$J,"  - Subgerente")</f>
        <v>0</v>
      </c>
      <c r="AI110" s="241">
        <v>0</v>
      </c>
      <c r="AJ110" s="27">
        <v>0</v>
      </c>
      <c r="AK110" s="28">
        <f>SUMIFS(Aut_BlueMe_Sem_Pedido!$J:$J,Aut_BlueMe_Sem_Pedido!$Q:$Q,DRE!AI$4,Aut_BlueMe_Sem_Pedido!$N:$N,DRE!$A110,Aut_BlueMe_Sem_Pedido!$H:$H,"MDO PJ Fixo")+SUMIFS(Aut_Ajustes_Manuais!$G:$G,Aut_Ajustes_Manuais!$I:$I,DRE!AI$4,Aut_Ajustes_Manuais!$J:$J,"  - Subgerente")</f>
        <v>0</v>
      </c>
      <c r="AL110" s="241">
        <v>0</v>
      </c>
      <c r="AM110" s="27">
        <v>0</v>
      </c>
      <c r="AN110" s="28">
        <f>SUMIFS(Aut_BlueMe_Sem_Pedido!$J:$J,Aut_BlueMe_Sem_Pedido!$Q:$Q,DRE!AL$4,Aut_BlueMe_Sem_Pedido!$N:$N,DRE!$A110,Aut_BlueMe_Sem_Pedido!$H:$H,"MDO PJ Fixo")+SUMIFS(Aut_Ajustes_Manuais!$G:$G,Aut_Ajustes_Manuais!$I:$I,DRE!AL$4,Aut_Ajustes_Manuais!$J:$J,"  - Subgerente")</f>
        <v>0</v>
      </c>
      <c r="AO110" s="241">
        <v>0</v>
      </c>
      <c r="AP110" s="27">
        <v>0</v>
      </c>
      <c r="AQ110" s="28">
        <f>SUMIFS(Aut_BlueMe_Sem_Pedido!$J:$J,Aut_BlueMe_Sem_Pedido!$Q:$Q,DRE!AO$4,Aut_BlueMe_Sem_Pedido!$N:$N,DRE!$A110,Aut_BlueMe_Sem_Pedido!$H:$H,"MDO PJ Fixo")+SUMIFS(Aut_Ajustes_Manuais!$G:$G,Aut_Ajustes_Manuais!$I:$I,DRE!AO$4,Aut_Ajustes_Manuais!$J:$J,"  - Subgerente")</f>
        <v>0</v>
      </c>
      <c r="AR110" s="241">
        <f t="shared" ca="1" si="125"/>
        <v>0</v>
      </c>
      <c r="AS110" s="27">
        <f t="shared" ca="1" si="126"/>
        <v>0</v>
      </c>
      <c r="AT110" s="28">
        <f t="shared" ca="1" si="127"/>
        <v>0</v>
      </c>
      <c r="AU110" s="241">
        <f t="shared" si="129"/>
        <v>0</v>
      </c>
      <c r="AV110" s="27">
        <f t="shared" si="130"/>
        <v>0</v>
      </c>
      <c r="AW110" s="28">
        <f t="shared" si="131"/>
        <v>0</v>
      </c>
      <c r="AX110" s="241">
        <f t="shared" si="132"/>
        <v>0</v>
      </c>
      <c r="AY110" s="27">
        <f t="shared" si="133"/>
        <v>0</v>
      </c>
      <c r="AZ110" s="28">
        <f t="shared" si="134"/>
        <v>0</v>
      </c>
      <c r="BA110" s="241">
        <f t="shared" si="135"/>
        <v>0</v>
      </c>
      <c r="BB110" s="27">
        <f t="shared" si="136"/>
        <v>0</v>
      </c>
      <c r="BC110" s="28">
        <f t="shared" si="137"/>
        <v>0</v>
      </c>
      <c r="BD110" s="241">
        <f t="shared" si="138"/>
        <v>0</v>
      </c>
      <c r="BE110" s="27">
        <f t="shared" si="139"/>
        <v>0</v>
      </c>
      <c r="BF110" s="28">
        <f t="shared" si="140"/>
        <v>0</v>
      </c>
      <c r="BG110" s="241">
        <f t="shared" si="141"/>
        <v>0</v>
      </c>
      <c r="BH110" s="27">
        <f t="shared" si="142"/>
        <v>0</v>
      </c>
      <c r="BI110" s="28">
        <f t="shared" si="143"/>
        <v>0</v>
      </c>
    </row>
    <row r="111" spans="1:61" s="94" customFormat="1" hidden="1" outlineLevel="1" x14ac:dyDescent="0.3">
      <c r="A111" s="22" t="s">
        <v>133</v>
      </c>
      <c r="B111" s="2"/>
      <c r="C111" s="24"/>
      <c r="D111" s="55"/>
      <c r="E111" s="87"/>
      <c r="F111" s="41"/>
      <c r="G111" s="33"/>
      <c r="H111" s="241">
        <v>0</v>
      </c>
      <c r="I111" s="27">
        <v>-4000</v>
      </c>
      <c r="J111" s="28">
        <f>SUMIFS(Aut_BlueMe_Sem_Pedido!$J:$J,Aut_BlueMe_Sem_Pedido!$Q:$Q,DRE!H$4,Aut_BlueMe_Sem_Pedido!$N:$N,DRE!$A111,Aut_BlueMe_Sem_Pedido!$H:$H,"MDO PJ Fixo")+SUMIFS(Aut_Ajustes_Manuais!$G:$G,Aut_Ajustes_Manuais!$I:$I,DRE!H$4,Aut_Ajustes_Manuais!$J:$J,"  - Coordenador")</f>
        <v>-4000</v>
      </c>
      <c r="K111" s="241">
        <v>0</v>
      </c>
      <c r="L111" s="27">
        <v>-4000</v>
      </c>
      <c r="M111" s="28">
        <f>SUMIFS(Aut_BlueMe_Sem_Pedido!$J:$J,Aut_BlueMe_Sem_Pedido!$Q:$Q,DRE!K$4,Aut_BlueMe_Sem_Pedido!$N:$N,DRE!$A111,Aut_BlueMe_Sem_Pedido!$H:$H,"MDO PJ Fixo")+SUMIFS(Aut_Ajustes_Manuais!$G:$G,Aut_Ajustes_Manuais!$I:$I,DRE!K$4,Aut_Ajustes_Manuais!$J:$J,"  - Coordenador")</f>
        <v>-1866.67</v>
      </c>
      <c r="N111" s="241">
        <v>-2666.67</v>
      </c>
      <c r="O111" s="27">
        <v>-4000</v>
      </c>
      <c r="P111" s="27">
        <f>SUMIFS(Aut_BlueMe_Sem_Pedido!$J:$J,Aut_BlueMe_Sem_Pedido!$Q:$Q,DRE!N$4,Aut_BlueMe_Sem_Pedido!$N:$N,DRE!$A111,Aut_BlueMe_Sem_Pedido!$H:$H,"MDO PJ Fixo")+SUMIFS(Aut_Ajustes_Manuais!$G:$G,Aut_Ajustes_Manuais!$I:$I,DRE!N$4,Aut_Ajustes_Manuais!$J:$J,"  - Coordenador")</f>
        <v>-11600</v>
      </c>
      <c r="Q111" s="241">
        <v>-2266.67</v>
      </c>
      <c r="R111" s="27">
        <v>-4000</v>
      </c>
      <c r="S111" s="28">
        <f>SUMIFS(Aut_BlueMe_Sem_Pedido!$J:$J,Aut_BlueMe_Sem_Pedido!$Q:$Q,DRE!Q$4,Aut_BlueMe_Sem_Pedido!$N:$N,DRE!$A111,Aut_BlueMe_Sem_Pedido!$H:$H,"MDO PJ Fixo")+SUMIFS(Aut_Ajustes_Manuais!$G:$G,Aut_Ajustes_Manuais!$I:$I,DRE!Q$4,Aut_Ajustes_Manuais!$J:$J,"  - Coordenador")</f>
        <v>-4000</v>
      </c>
      <c r="T111" s="241">
        <v>-2215.06</v>
      </c>
      <c r="U111" s="27">
        <v>-4000</v>
      </c>
      <c r="V111" s="28">
        <f>SUMIFS(Aut_BlueMe_Sem_Pedido!$J:$J,Aut_BlueMe_Sem_Pedido!$Q:$Q,DRE!T$4,Aut_BlueMe_Sem_Pedido!$N:$N,DRE!$A111,Aut_BlueMe_Sem_Pedido!$H:$H,"MDO PJ Fixo")+SUMIFS(Aut_Ajustes_Manuais!$G:$G,Aut_Ajustes_Manuais!$I:$I,DRE!T$4,Aut_Ajustes_Manuais!$J:$J,"  - Coordenador")</f>
        <v>-4000</v>
      </c>
      <c r="W111" s="241">
        <v>-4000</v>
      </c>
      <c r="X111" s="27">
        <v>-4000</v>
      </c>
      <c r="Y111" s="28">
        <f>SUMIFS(Aut_BlueMe_Sem_Pedido!$J:$J,Aut_BlueMe_Sem_Pedido!$Q:$Q,DRE!W$4,Aut_BlueMe_Sem_Pedido!$N:$N,DRE!$A111,Aut_BlueMe_Sem_Pedido!$H:$H,"MDO PJ Fixo")+SUMIFS(Aut_Ajustes_Manuais!$G:$G,Aut_Ajustes_Manuais!$I:$I,DRE!W$4,Aut_Ajustes_Manuais!$J:$J,"  - Coordenador")</f>
        <v>-4000</v>
      </c>
      <c r="Z111" s="241">
        <v>-4000</v>
      </c>
      <c r="AA111" s="27">
        <v>-4000</v>
      </c>
      <c r="AB111" s="28">
        <f>SUMIFS(Aut_BlueMe_Sem_Pedido!$J:$J,Aut_BlueMe_Sem_Pedido!$Q:$Q,DRE!Z$4,Aut_BlueMe_Sem_Pedido!$N:$N,DRE!$A111,Aut_BlueMe_Sem_Pedido!$H:$H,"MDO PJ Fixo")+SUMIFS(Aut_Ajustes_Manuais!$G:$G,Aut_Ajustes_Manuais!$I:$I,DRE!Z$4,Aut_Ajustes_Manuais!$J:$J,"  - Coordenador")</f>
        <v>-4000</v>
      </c>
      <c r="AC111" s="241">
        <v>-4000</v>
      </c>
      <c r="AD111" s="27">
        <v>-4000</v>
      </c>
      <c r="AE111" s="28">
        <f>SUMIFS(Aut_BlueMe_Sem_Pedido!$J:$J,Aut_BlueMe_Sem_Pedido!$Q:$Q,DRE!AC$4,Aut_BlueMe_Sem_Pedido!$N:$N,DRE!$A111,Aut_BlueMe_Sem_Pedido!$H:$H,"MDO PJ Fixo")+SUMIFS(Aut_Ajustes_Manuais!$G:$G,Aut_Ajustes_Manuais!$I:$I,DRE!AC$4,Aut_Ajustes_Manuais!$J:$J,"  - Coordenador")</f>
        <v>-4000</v>
      </c>
      <c r="AF111" s="241">
        <v>-4000</v>
      </c>
      <c r="AG111" s="27">
        <v>-4000</v>
      </c>
      <c r="AH111" s="28">
        <f>SUMIFS(Aut_BlueMe_Sem_Pedido!$J:$J,Aut_BlueMe_Sem_Pedido!$Q:$Q,DRE!AF$4,Aut_BlueMe_Sem_Pedido!$N:$N,DRE!$A111,Aut_BlueMe_Sem_Pedido!$H:$H,"MDO PJ Fixo")+SUMIFS(Aut_Ajustes_Manuais!$G:$G,Aut_Ajustes_Manuais!$I:$I,DRE!AF$4,Aut_Ajustes_Manuais!$J:$J,"  - Coordenador")</f>
        <v>-4000</v>
      </c>
      <c r="AI111" s="241">
        <v>-4000</v>
      </c>
      <c r="AJ111" s="27">
        <v>-4000</v>
      </c>
      <c r="AK111" s="28">
        <f>SUMIFS(Aut_BlueMe_Sem_Pedido!$J:$J,Aut_BlueMe_Sem_Pedido!$Q:$Q,DRE!AI$4,Aut_BlueMe_Sem_Pedido!$N:$N,DRE!$A111,Aut_BlueMe_Sem_Pedido!$H:$H,"MDO PJ Fixo")+SUMIFS(Aut_Ajustes_Manuais!$G:$G,Aut_Ajustes_Manuais!$I:$I,DRE!AI$4,Aut_Ajustes_Manuais!$J:$J,"  - Coordenador")</f>
        <v>-4000</v>
      </c>
      <c r="AL111" s="241">
        <v>-4000</v>
      </c>
      <c r="AM111" s="27">
        <v>-4000</v>
      </c>
      <c r="AN111" s="28">
        <f>SUMIFS(Aut_BlueMe_Sem_Pedido!$J:$J,Aut_BlueMe_Sem_Pedido!$Q:$Q,DRE!AL$4,Aut_BlueMe_Sem_Pedido!$N:$N,DRE!$A111,Aut_BlueMe_Sem_Pedido!$H:$H,"MDO PJ Fixo")+SUMIFS(Aut_Ajustes_Manuais!$G:$G,Aut_Ajustes_Manuais!$I:$I,DRE!AL$4,Aut_Ajustes_Manuais!$J:$J,"  - Coordenador")</f>
        <v>-4000</v>
      </c>
      <c r="AO111" s="241">
        <v>-4000</v>
      </c>
      <c r="AP111" s="27">
        <v>-4000</v>
      </c>
      <c r="AQ111" s="28">
        <f>SUMIFS(Aut_BlueMe_Sem_Pedido!$J:$J,Aut_BlueMe_Sem_Pedido!$Q:$Q,DRE!AO$4,Aut_BlueMe_Sem_Pedido!$N:$N,DRE!$A111,Aut_BlueMe_Sem_Pedido!$H:$H,"MDO PJ Fixo")+SUMIFS(Aut_Ajustes_Manuais!$G:$G,Aut_Ajustes_Manuais!$I:$I,DRE!AO$4,Aut_Ajustes_Manuais!$J:$J,"  - Coordenador")</f>
        <v>-4000</v>
      </c>
      <c r="AR111" s="241">
        <f t="shared" ca="1" si="125"/>
        <v>-11148.4</v>
      </c>
      <c r="AS111" s="27">
        <f t="shared" ca="1" si="126"/>
        <v>-24000</v>
      </c>
      <c r="AT111" s="28">
        <f t="shared" ca="1" si="127"/>
        <v>-29466.67</v>
      </c>
      <c r="AU111" s="241">
        <f t="shared" si="129"/>
        <v>-35148.400000000001</v>
      </c>
      <c r="AV111" s="27">
        <f t="shared" si="130"/>
        <v>-48000</v>
      </c>
      <c r="AW111" s="28">
        <f t="shared" si="131"/>
        <v>-53466.67</v>
      </c>
      <c r="AX111" s="241">
        <f t="shared" si="132"/>
        <v>-2666.67</v>
      </c>
      <c r="AY111" s="27">
        <f t="shared" si="133"/>
        <v>-12000</v>
      </c>
      <c r="AZ111" s="28">
        <f t="shared" si="134"/>
        <v>-17466.669999999998</v>
      </c>
      <c r="BA111" s="241">
        <f t="shared" si="135"/>
        <v>-8481.73</v>
      </c>
      <c r="BB111" s="27">
        <f t="shared" si="136"/>
        <v>-12000</v>
      </c>
      <c r="BC111" s="28">
        <f t="shared" si="137"/>
        <v>-12000</v>
      </c>
      <c r="BD111" s="241">
        <f t="shared" si="138"/>
        <v>-12000</v>
      </c>
      <c r="BE111" s="27">
        <f t="shared" si="139"/>
        <v>-12000</v>
      </c>
      <c r="BF111" s="28">
        <f t="shared" si="140"/>
        <v>-12000</v>
      </c>
      <c r="BG111" s="241">
        <f t="shared" si="141"/>
        <v>-12000</v>
      </c>
      <c r="BH111" s="27">
        <f t="shared" si="142"/>
        <v>-12000</v>
      </c>
      <c r="BI111" s="28">
        <f t="shared" si="143"/>
        <v>-12000</v>
      </c>
    </row>
    <row r="112" spans="1:61" s="94" customFormat="1" hidden="1" outlineLevel="1" x14ac:dyDescent="0.3">
      <c r="A112" s="22" t="s">
        <v>134</v>
      </c>
      <c r="B112" s="2"/>
      <c r="C112" s="24"/>
      <c r="D112" s="55"/>
      <c r="E112" s="87"/>
      <c r="F112" s="41"/>
      <c r="G112" s="33"/>
      <c r="H112" s="241">
        <v>-1200</v>
      </c>
      <c r="I112" s="27">
        <v>-1750</v>
      </c>
      <c r="J112" s="28">
        <f>SUMIFS(Aut_BlueMe_Sem_Pedido!$J:$J,Aut_BlueMe_Sem_Pedido!$Q:$Q,DRE!H$4,Aut_BlueMe_Sem_Pedido!$N:$N,DRE!$A112,Aut_BlueMe_Sem_Pedido!$H:$H,"MDO PJ Fixo")+SUMIFS(Aut_Ajustes_Manuais!$G:$G,Aut_Ajustes_Manuais!$I:$I,DRE!H$4,Aut_Ajustes_Manuais!$J:$J,"  - Administrativa")</f>
        <v>-1750</v>
      </c>
      <c r="K112" s="241">
        <v>-1607.14</v>
      </c>
      <c r="L112" s="27">
        <v>-1750</v>
      </c>
      <c r="M112" s="28">
        <f>SUMIFS(Aut_BlueMe_Sem_Pedido!$J:$J,Aut_BlueMe_Sem_Pedido!$Q:$Q,DRE!K$4,Aut_BlueMe_Sem_Pedido!$N:$N,DRE!$A112,Aut_BlueMe_Sem_Pedido!$H:$H,"MDO PJ Fixo")+SUMIFS(Aut_Ajustes_Manuais!$G:$G,Aut_Ajustes_Manuais!$I:$I,DRE!K$4,Aut_Ajustes_Manuais!$J:$J,"  - Administrativa")</f>
        <v>-1750</v>
      </c>
      <c r="N112" s="241">
        <v>-1800</v>
      </c>
      <c r="O112" s="27">
        <v>-1750</v>
      </c>
      <c r="P112" s="28">
        <f>SUMIFS(Aut_BlueMe_Sem_Pedido!$J:$J,Aut_BlueMe_Sem_Pedido!$Q:$Q,DRE!N$4,Aut_BlueMe_Sem_Pedido!$N:$N,DRE!$A112,Aut_BlueMe_Sem_Pedido!$H:$H,"MDO PJ Fixo")+SUMIFS(Aut_Ajustes_Manuais!$G:$G,Aut_Ajustes_Manuais!$I:$I,DRE!N$4,Aut_Ajustes_Manuais!$J:$J,"  - Administrativa")</f>
        <v>-1750</v>
      </c>
      <c r="Q112" s="241">
        <v>-1975</v>
      </c>
      <c r="R112" s="27">
        <v>-1750</v>
      </c>
      <c r="S112" s="28">
        <f>SUMIFS(Aut_BlueMe_Sem_Pedido!$J:$J,Aut_BlueMe_Sem_Pedido!$Q:$Q,DRE!Q$4,Aut_BlueMe_Sem_Pedido!$N:$N,DRE!$A112,Aut_BlueMe_Sem_Pedido!$H:$H,"MDO PJ Fixo")+SUMIFS(Aut_Ajustes_Manuais!$G:$G,Aut_Ajustes_Manuais!$I:$I,DRE!Q$4,Aut_Ajustes_Manuais!$J:$J,"  - Administrativa")</f>
        <v>-1750</v>
      </c>
      <c r="T112" s="241">
        <v>-3550</v>
      </c>
      <c r="U112" s="27">
        <v>-1750</v>
      </c>
      <c r="V112" s="28">
        <f>SUMIFS(Aut_BlueMe_Sem_Pedido!$J:$J,Aut_BlueMe_Sem_Pedido!$Q:$Q,DRE!T$4,Aut_BlueMe_Sem_Pedido!$N:$N,DRE!$A112,Aut_BlueMe_Sem_Pedido!$H:$H,"MDO PJ Fixo")+SUMIFS(Aut_Ajustes_Manuais!$G:$G,Aut_Ajustes_Manuais!$I:$I,DRE!T$4,Aut_Ajustes_Manuais!$J:$J,"  - Administrativa")</f>
        <v>-1750</v>
      </c>
      <c r="W112" s="241">
        <v>-1750</v>
      </c>
      <c r="X112" s="27">
        <v>-1750</v>
      </c>
      <c r="Y112" s="28">
        <f>SUMIFS(Aut_BlueMe_Sem_Pedido!$J:$J,Aut_BlueMe_Sem_Pedido!$Q:$Q,DRE!W$4,Aut_BlueMe_Sem_Pedido!$N:$N,DRE!$A112,Aut_BlueMe_Sem_Pedido!$H:$H,"MDO PJ Fixo")+SUMIFS(Aut_Ajustes_Manuais!$G:$G,Aut_Ajustes_Manuais!$I:$I,DRE!W$4,Aut_Ajustes_Manuais!$J:$J,"  - Administrativa")</f>
        <v>-1750</v>
      </c>
      <c r="Z112" s="241">
        <v>-1750</v>
      </c>
      <c r="AA112" s="27">
        <v>-1750</v>
      </c>
      <c r="AB112" s="28">
        <f>SUMIFS(Aut_BlueMe_Sem_Pedido!$J:$J,Aut_BlueMe_Sem_Pedido!$Q:$Q,DRE!Z$4,Aut_BlueMe_Sem_Pedido!$N:$N,DRE!$A112,Aut_BlueMe_Sem_Pedido!$H:$H,"MDO PJ Fixo")+SUMIFS(Aut_Ajustes_Manuais!$G:$G,Aut_Ajustes_Manuais!$I:$I,DRE!Z$4,Aut_Ajustes_Manuais!$J:$J,"  - Administrativa")</f>
        <v>-1750</v>
      </c>
      <c r="AC112" s="241">
        <v>-1750</v>
      </c>
      <c r="AD112" s="27">
        <v>-1750</v>
      </c>
      <c r="AE112" s="28">
        <f>SUMIFS(Aut_BlueMe_Sem_Pedido!$J:$J,Aut_BlueMe_Sem_Pedido!$Q:$Q,DRE!AC$4,Aut_BlueMe_Sem_Pedido!$N:$N,DRE!$A112,Aut_BlueMe_Sem_Pedido!$H:$H,"MDO PJ Fixo")+SUMIFS(Aut_Ajustes_Manuais!$G:$G,Aut_Ajustes_Manuais!$I:$I,DRE!AC$4,Aut_Ajustes_Manuais!$J:$J,"  - Administrativa")</f>
        <v>-1750</v>
      </c>
      <c r="AF112" s="241">
        <v>-2625</v>
      </c>
      <c r="AG112" s="27">
        <v>-1750</v>
      </c>
      <c r="AH112" s="28">
        <f>SUMIFS(Aut_BlueMe_Sem_Pedido!$J:$J,Aut_BlueMe_Sem_Pedido!$Q:$Q,DRE!AF$4,Aut_BlueMe_Sem_Pedido!$N:$N,DRE!$A112,Aut_BlueMe_Sem_Pedido!$H:$H,"MDO PJ Fixo")+SUMIFS(Aut_Ajustes_Manuais!$G:$G,Aut_Ajustes_Manuais!$I:$I,DRE!AF$4,Aut_Ajustes_Manuais!$J:$J,"  - Administrativa")</f>
        <v>-1750</v>
      </c>
      <c r="AI112" s="241">
        <v>-4375</v>
      </c>
      <c r="AJ112" s="27">
        <v>-1750</v>
      </c>
      <c r="AK112" s="28">
        <f>SUMIFS(Aut_BlueMe_Sem_Pedido!$J:$J,Aut_BlueMe_Sem_Pedido!$Q:$Q,DRE!AI$4,Aut_BlueMe_Sem_Pedido!$N:$N,DRE!$A112,Aut_BlueMe_Sem_Pedido!$H:$H,"MDO PJ Fixo")+SUMIFS(Aut_Ajustes_Manuais!$G:$G,Aut_Ajustes_Manuais!$I:$I,DRE!AI$4,Aut_Ajustes_Manuais!$J:$J,"  - Administrativa")</f>
        <v>-1750</v>
      </c>
      <c r="AL112" s="241">
        <v>-1750</v>
      </c>
      <c r="AM112" s="27">
        <v>-1750</v>
      </c>
      <c r="AN112" s="28">
        <f>SUMIFS(Aut_BlueMe_Sem_Pedido!$J:$J,Aut_BlueMe_Sem_Pedido!$Q:$Q,DRE!AL$4,Aut_BlueMe_Sem_Pedido!$N:$N,DRE!$A112,Aut_BlueMe_Sem_Pedido!$H:$H,"MDO PJ Fixo")+SUMIFS(Aut_Ajustes_Manuais!$G:$G,Aut_Ajustes_Manuais!$I:$I,DRE!AL$4,Aut_Ajustes_Manuais!$J:$J,"  - Administrativa")</f>
        <v>-1750</v>
      </c>
      <c r="AO112" s="241">
        <v>-4024.97</v>
      </c>
      <c r="AP112" s="27">
        <v>-1750</v>
      </c>
      <c r="AQ112" s="28">
        <f>SUMIFS(Aut_BlueMe_Sem_Pedido!$J:$J,Aut_BlueMe_Sem_Pedido!$Q:$Q,DRE!AO$4,Aut_BlueMe_Sem_Pedido!$N:$N,DRE!$A112,Aut_BlueMe_Sem_Pedido!$H:$H,"MDO PJ Fixo")+SUMIFS(Aut_Ajustes_Manuais!$G:$G,Aut_Ajustes_Manuais!$I:$I,DRE!AO$4,Aut_Ajustes_Manuais!$J:$J,"  - Administrativa")</f>
        <v>-1750</v>
      </c>
      <c r="AR112" s="241">
        <f t="shared" ca="1" si="125"/>
        <v>-11882.14</v>
      </c>
      <c r="AS112" s="27">
        <f t="shared" ca="1" si="126"/>
        <v>-10500</v>
      </c>
      <c r="AT112" s="28">
        <f t="shared" ca="1" si="127"/>
        <v>-10500</v>
      </c>
      <c r="AU112" s="241">
        <f t="shared" si="129"/>
        <v>-28157.11</v>
      </c>
      <c r="AV112" s="27">
        <f t="shared" si="130"/>
        <v>-21000</v>
      </c>
      <c r="AW112" s="28">
        <f t="shared" si="131"/>
        <v>-21000</v>
      </c>
      <c r="AX112" s="241">
        <f t="shared" si="132"/>
        <v>-4607.1400000000003</v>
      </c>
      <c r="AY112" s="27">
        <f t="shared" si="133"/>
        <v>-5250</v>
      </c>
      <c r="AZ112" s="28">
        <f t="shared" si="134"/>
        <v>-5250</v>
      </c>
      <c r="BA112" s="241">
        <f t="shared" si="135"/>
        <v>-7275</v>
      </c>
      <c r="BB112" s="27">
        <f t="shared" si="136"/>
        <v>-5250</v>
      </c>
      <c r="BC112" s="28">
        <f t="shared" si="137"/>
        <v>-5250</v>
      </c>
      <c r="BD112" s="241">
        <f t="shared" si="138"/>
        <v>-6125</v>
      </c>
      <c r="BE112" s="27">
        <f t="shared" si="139"/>
        <v>-5250</v>
      </c>
      <c r="BF112" s="28">
        <f t="shared" si="140"/>
        <v>-5250</v>
      </c>
      <c r="BG112" s="241">
        <f t="shared" si="141"/>
        <v>-10149.969999999999</v>
      </c>
      <c r="BH112" s="27">
        <f t="shared" si="142"/>
        <v>-5250</v>
      </c>
      <c r="BI112" s="28">
        <f t="shared" si="143"/>
        <v>-5250</v>
      </c>
    </row>
    <row r="113" spans="1:61" s="94" customFormat="1" hidden="1" outlineLevel="1" x14ac:dyDescent="0.3">
      <c r="A113" s="22" t="s">
        <v>135</v>
      </c>
      <c r="B113" s="2"/>
      <c r="C113" s="24"/>
      <c r="D113" s="55"/>
      <c r="E113" s="87"/>
      <c r="F113" s="41"/>
      <c r="G113" s="33"/>
      <c r="H113" s="241">
        <v>-3686.33</v>
      </c>
      <c r="I113" s="27">
        <v>-6500</v>
      </c>
      <c r="J113" s="28">
        <f>SUMIFS(Aut_BlueMe_Sem_Pedido!$J:$J,Aut_BlueMe_Sem_Pedido!$Q:$Q,DRE!H$4,Aut_BlueMe_Sem_Pedido!$N:$N,DRE!$A113,Aut_BlueMe_Sem_Pedido!$H:$H,"MDO PJ Fixo")+SUMIFS(Aut_Ajustes_Manuais!$G:$G,Aut_Ajustes_Manuais!$I:$I,DRE!H$4,Aut_Ajustes_Manuais!$J:$J,"  - Chefe de Cozinha")</f>
        <v>-6500</v>
      </c>
      <c r="K113" s="241">
        <v>-6500</v>
      </c>
      <c r="L113" s="27">
        <v>-6500</v>
      </c>
      <c r="M113" s="28">
        <f>SUMIFS(Aut_BlueMe_Sem_Pedido!$J:$J,Aut_BlueMe_Sem_Pedido!$Q:$Q,DRE!K$4,Aut_BlueMe_Sem_Pedido!$N:$N,DRE!$A113,Aut_BlueMe_Sem_Pedido!$H:$H,"MDO PJ Fixo")+SUMIFS(Aut_Ajustes_Manuais!$G:$G,Aut_Ajustes_Manuais!$I:$I,DRE!K$4,Aut_Ajustes_Manuais!$J:$J,"  - Chefe de Cozinha")</f>
        <v>-6500</v>
      </c>
      <c r="N113" s="241">
        <v>-6500</v>
      </c>
      <c r="O113" s="27">
        <v>-6500</v>
      </c>
      <c r="P113" s="28">
        <f>SUMIFS(Aut_BlueMe_Sem_Pedido!$J:$J,Aut_BlueMe_Sem_Pedido!$Q:$Q,DRE!N$4,Aut_BlueMe_Sem_Pedido!$N:$N,DRE!$A113,Aut_BlueMe_Sem_Pedido!$H:$H,"MDO PJ Fixo")+SUMIFS(Aut_Ajustes_Manuais!$G:$G,Aut_Ajustes_Manuais!$I:$I,DRE!N$4,Aut_Ajustes_Manuais!$J:$J,"  - Chefe de Cozinha")</f>
        <v>-6500</v>
      </c>
      <c r="Q113" s="241">
        <v>-6500</v>
      </c>
      <c r="R113" s="27">
        <v>-6500</v>
      </c>
      <c r="S113" s="28">
        <f>SUMIFS(Aut_BlueMe_Sem_Pedido!$J:$J,Aut_BlueMe_Sem_Pedido!$Q:$Q,DRE!Q$4,Aut_BlueMe_Sem_Pedido!$N:$N,DRE!$A113,Aut_BlueMe_Sem_Pedido!$H:$H,"MDO PJ Fixo")+SUMIFS(Aut_Ajustes_Manuais!$G:$G,Aut_Ajustes_Manuais!$I:$I,DRE!Q$4,Aut_Ajustes_Manuais!$J:$J,"  - Chefe de Cozinha")</f>
        <v>-6500</v>
      </c>
      <c r="T113" s="241">
        <v>-6500</v>
      </c>
      <c r="U113" s="27">
        <v>-6500</v>
      </c>
      <c r="V113" s="28">
        <f>SUMIFS(Aut_BlueMe_Sem_Pedido!$J:$J,Aut_BlueMe_Sem_Pedido!$Q:$Q,DRE!T$4,Aut_BlueMe_Sem_Pedido!$N:$N,DRE!$A113,Aut_BlueMe_Sem_Pedido!$H:$H,"MDO PJ Fixo")+SUMIFS(Aut_Ajustes_Manuais!$G:$G,Aut_Ajustes_Manuais!$I:$I,DRE!T$4,Aut_Ajustes_Manuais!$J:$J,"  - Chefe de Cozinha")</f>
        <v>-6500</v>
      </c>
      <c r="W113" s="241">
        <v>-6500</v>
      </c>
      <c r="X113" s="27">
        <v>-6500</v>
      </c>
      <c r="Y113" s="28">
        <f>SUMIFS(Aut_BlueMe_Sem_Pedido!$J:$J,Aut_BlueMe_Sem_Pedido!$Q:$Q,DRE!W$4,Aut_BlueMe_Sem_Pedido!$N:$N,DRE!$A113,Aut_BlueMe_Sem_Pedido!$H:$H,"MDO PJ Fixo")+SUMIFS(Aut_Ajustes_Manuais!$G:$G,Aut_Ajustes_Manuais!$I:$I,DRE!W$4,Aut_Ajustes_Manuais!$J:$J,"  - Chefe de Cozinha")</f>
        <v>-6500</v>
      </c>
      <c r="Z113" s="241">
        <v>-6500</v>
      </c>
      <c r="AA113" s="27">
        <v>-6500</v>
      </c>
      <c r="AB113" s="28">
        <f>SUMIFS(Aut_BlueMe_Sem_Pedido!$J:$J,Aut_BlueMe_Sem_Pedido!$Q:$Q,DRE!Z$4,Aut_BlueMe_Sem_Pedido!$N:$N,DRE!$A113,Aut_BlueMe_Sem_Pedido!$H:$H,"MDO PJ Fixo")+SUMIFS(Aut_Ajustes_Manuais!$G:$G,Aut_Ajustes_Manuais!$I:$I,DRE!Z$4,Aut_Ajustes_Manuais!$J:$J,"  - Chefe de Cozinha")</f>
        <v>-6500</v>
      </c>
      <c r="AC113" s="241">
        <v>-9016.130000000001</v>
      </c>
      <c r="AD113" s="27">
        <v>-6500</v>
      </c>
      <c r="AE113" s="28">
        <f>SUMIFS(Aut_BlueMe_Sem_Pedido!$J:$J,Aut_BlueMe_Sem_Pedido!$Q:$Q,DRE!AC$4,Aut_BlueMe_Sem_Pedido!$N:$N,DRE!$A113,Aut_BlueMe_Sem_Pedido!$H:$H,"MDO PJ Fixo")+SUMIFS(Aut_Ajustes_Manuais!$G:$G,Aut_Ajustes_Manuais!$I:$I,DRE!AC$4,Aut_Ajustes_Manuais!$J:$J,"  - Chefe de Cozinha")</f>
        <v>-6500</v>
      </c>
      <c r="AF113" s="241">
        <v>-6500</v>
      </c>
      <c r="AG113" s="27">
        <v>-6500</v>
      </c>
      <c r="AH113" s="28">
        <f>SUMIFS(Aut_BlueMe_Sem_Pedido!$J:$J,Aut_BlueMe_Sem_Pedido!$Q:$Q,DRE!AF$4,Aut_BlueMe_Sem_Pedido!$N:$N,DRE!$A113,Aut_BlueMe_Sem_Pedido!$H:$H,"MDO PJ Fixo")+SUMIFS(Aut_Ajustes_Manuais!$G:$G,Aut_Ajustes_Manuais!$I:$I,DRE!AF$4,Aut_Ajustes_Manuais!$J:$J,"  - Chefe de Cozinha")</f>
        <v>-6500</v>
      </c>
      <c r="AI113" s="241">
        <v>-6500</v>
      </c>
      <c r="AJ113" s="27">
        <v>-6500</v>
      </c>
      <c r="AK113" s="28">
        <f>SUMIFS(Aut_BlueMe_Sem_Pedido!$J:$J,Aut_BlueMe_Sem_Pedido!$Q:$Q,DRE!AI$4,Aut_BlueMe_Sem_Pedido!$N:$N,DRE!$A113,Aut_BlueMe_Sem_Pedido!$H:$H,"MDO PJ Fixo")+SUMIFS(Aut_Ajustes_Manuais!$G:$G,Aut_Ajustes_Manuais!$I:$I,DRE!AI$4,Aut_Ajustes_Manuais!$J:$J,"  - Chefe de Cozinha")</f>
        <v>-6500</v>
      </c>
      <c r="AL113" s="241">
        <v>-6500</v>
      </c>
      <c r="AM113" s="27">
        <v>-6500</v>
      </c>
      <c r="AN113" s="28">
        <f>SUMIFS(Aut_BlueMe_Sem_Pedido!$J:$J,Aut_BlueMe_Sem_Pedido!$Q:$Q,DRE!AL$4,Aut_BlueMe_Sem_Pedido!$N:$N,DRE!$A113,Aut_BlueMe_Sem_Pedido!$H:$H,"MDO PJ Fixo")+SUMIFS(Aut_Ajustes_Manuais!$G:$G,Aut_Ajustes_Manuais!$I:$I,DRE!AL$4,Aut_Ajustes_Manuais!$J:$J,"  - Chefe de Cozinha")</f>
        <v>-6500</v>
      </c>
      <c r="AO113" s="241">
        <v>-6500</v>
      </c>
      <c r="AP113" s="27">
        <v>-6500</v>
      </c>
      <c r="AQ113" s="28">
        <f>SUMIFS(Aut_BlueMe_Sem_Pedido!$J:$J,Aut_BlueMe_Sem_Pedido!$Q:$Q,DRE!AO$4,Aut_BlueMe_Sem_Pedido!$N:$N,DRE!$A113,Aut_BlueMe_Sem_Pedido!$H:$H,"MDO PJ Fixo")+SUMIFS(Aut_Ajustes_Manuais!$G:$G,Aut_Ajustes_Manuais!$I:$I,DRE!AO$4,Aut_Ajustes_Manuais!$J:$J,"  - Chefe de Cozinha")</f>
        <v>-6500</v>
      </c>
      <c r="AR113" s="241">
        <f t="shared" ca="1" si="125"/>
        <v>-36186.33</v>
      </c>
      <c r="AS113" s="27">
        <f t="shared" ca="1" si="126"/>
        <v>-39000</v>
      </c>
      <c r="AT113" s="28">
        <f t="shared" ca="1" si="127"/>
        <v>-39000</v>
      </c>
      <c r="AU113" s="241">
        <f t="shared" si="129"/>
        <v>-77702.460000000006</v>
      </c>
      <c r="AV113" s="27">
        <f t="shared" si="130"/>
        <v>-78000</v>
      </c>
      <c r="AW113" s="28">
        <f t="shared" si="131"/>
        <v>-78000</v>
      </c>
      <c r="AX113" s="241">
        <f t="shared" si="132"/>
        <v>-16686.330000000002</v>
      </c>
      <c r="AY113" s="27">
        <f t="shared" si="133"/>
        <v>-19500</v>
      </c>
      <c r="AZ113" s="28">
        <f t="shared" si="134"/>
        <v>-19500</v>
      </c>
      <c r="BA113" s="241">
        <f t="shared" si="135"/>
        <v>-19500</v>
      </c>
      <c r="BB113" s="27">
        <f t="shared" si="136"/>
        <v>-19500</v>
      </c>
      <c r="BC113" s="28">
        <f t="shared" si="137"/>
        <v>-19500</v>
      </c>
      <c r="BD113" s="241">
        <f t="shared" si="138"/>
        <v>-22016.13</v>
      </c>
      <c r="BE113" s="27">
        <f t="shared" si="139"/>
        <v>-19500</v>
      </c>
      <c r="BF113" s="28">
        <f t="shared" si="140"/>
        <v>-19500</v>
      </c>
      <c r="BG113" s="241">
        <f t="shared" si="141"/>
        <v>-19500</v>
      </c>
      <c r="BH113" s="27">
        <f t="shared" si="142"/>
        <v>-19500</v>
      </c>
      <c r="BI113" s="28">
        <f t="shared" si="143"/>
        <v>-19500</v>
      </c>
    </row>
    <row r="114" spans="1:61" s="94" customFormat="1" hidden="1" outlineLevel="1" x14ac:dyDescent="0.3">
      <c r="A114" s="22" t="s">
        <v>136</v>
      </c>
      <c r="B114" s="2"/>
      <c r="C114" s="24"/>
      <c r="D114" s="55"/>
      <c r="E114" s="87"/>
      <c r="F114" s="41"/>
      <c r="G114" s="33"/>
      <c r="H114" s="241">
        <v>0</v>
      </c>
      <c r="I114" s="27">
        <v>0</v>
      </c>
      <c r="J114" s="28">
        <f>SUMIFS(Aut_BlueMe_Sem_Pedido!$J:$J,Aut_BlueMe_Sem_Pedido!$Q:$Q,DRE!H$4,Aut_BlueMe_Sem_Pedido!$N:$N,DRE!$A114,Aut_BlueMe_Sem_Pedido!$H:$H,"MDO PJ Fixo")+SUMIFS(Aut_Ajustes_Manuais!$G:$G,Aut_Ajustes_Manuais!$I:$I,DRE!H$4,Aut_Ajustes_Manuais!$J:$J,"  - Chefe de Bar")</f>
        <v>0</v>
      </c>
      <c r="K114" s="241">
        <v>0</v>
      </c>
      <c r="L114" s="27">
        <v>0</v>
      </c>
      <c r="M114" s="28">
        <f>SUMIFS(Aut_BlueMe_Sem_Pedido!$J:$J,Aut_BlueMe_Sem_Pedido!$Q:$Q,DRE!K$4,Aut_BlueMe_Sem_Pedido!$N:$N,DRE!$A114,Aut_BlueMe_Sem_Pedido!$H:$H,"MDO PJ Fixo")+SUMIFS(Aut_Ajustes_Manuais!$G:$G,Aut_Ajustes_Manuais!$I:$I,DRE!K$4,Aut_Ajustes_Manuais!$J:$J,"  - Chefe de Bar")</f>
        <v>0</v>
      </c>
      <c r="N114" s="241">
        <v>0</v>
      </c>
      <c r="O114" s="27">
        <v>0</v>
      </c>
      <c r="P114" s="28">
        <f>SUMIFS(Aut_BlueMe_Sem_Pedido!$J:$J,Aut_BlueMe_Sem_Pedido!$Q:$Q,DRE!N$4,Aut_BlueMe_Sem_Pedido!$N:$N,DRE!$A114,Aut_BlueMe_Sem_Pedido!$H:$H,"MDO PJ Fixo")+SUMIFS(Aut_Ajustes_Manuais!$G:$G,Aut_Ajustes_Manuais!$I:$I,DRE!N$4,Aut_Ajustes_Manuais!$J:$J,"  - Chefe de Bar")</f>
        <v>0</v>
      </c>
      <c r="Q114" s="241">
        <v>0</v>
      </c>
      <c r="R114" s="27">
        <v>0</v>
      </c>
      <c r="S114" s="28">
        <f>SUMIFS(Aut_BlueMe_Sem_Pedido!$J:$J,Aut_BlueMe_Sem_Pedido!$Q:$Q,DRE!Q$4,Aut_BlueMe_Sem_Pedido!$N:$N,DRE!$A114,Aut_BlueMe_Sem_Pedido!$H:$H,"MDO PJ Fixo")+SUMIFS(Aut_Ajustes_Manuais!$G:$G,Aut_Ajustes_Manuais!$I:$I,DRE!Q$4,Aut_Ajustes_Manuais!$J:$J,"  - Chefe de Bar")</f>
        <v>0</v>
      </c>
      <c r="T114" s="241">
        <v>0</v>
      </c>
      <c r="U114" s="27">
        <v>0</v>
      </c>
      <c r="V114" s="28">
        <f>SUMIFS(Aut_BlueMe_Sem_Pedido!$J:$J,Aut_BlueMe_Sem_Pedido!$Q:$Q,DRE!T$4,Aut_BlueMe_Sem_Pedido!$N:$N,DRE!$A114,Aut_BlueMe_Sem_Pedido!$H:$H,"MDO PJ Fixo")+SUMIFS(Aut_Ajustes_Manuais!$G:$G,Aut_Ajustes_Manuais!$I:$I,DRE!T$4,Aut_Ajustes_Manuais!$J:$J,"  - Chefe de Bar")</f>
        <v>0</v>
      </c>
      <c r="W114" s="241">
        <v>0</v>
      </c>
      <c r="X114" s="27">
        <v>0</v>
      </c>
      <c r="Y114" s="28">
        <f>SUMIFS(Aut_BlueMe_Sem_Pedido!$J:$J,Aut_BlueMe_Sem_Pedido!$Q:$Q,DRE!W$4,Aut_BlueMe_Sem_Pedido!$N:$N,DRE!$A114,Aut_BlueMe_Sem_Pedido!$H:$H,"MDO PJ Fixo")+SUMIFS(Aut_Ajustes_Manuais!$G:$G,Aut_Ajustes_Manuais!$I:$I,DRE!W$4,Aut_Ajustes_Manuais!$J:$J,"  - Chefe de Bar")</f>
        <v>0</v>
      </c>
      <c r="Z114" s="241">
        <v>0</v>
      </c>
      <c r="AA114" s="27">
        <v>0</v>
      </c>
      <c r="AB114" s="28">
        <f>SUMIFS(Aut_BlueMe_Sem_Pedido!$J:$J,Aut_BlueMe_Sem_Pedido!$Q:$Q,DRE!Z$4,Aut_BlueMe_Sem_Pedido!$N:$N,DRE!$A114,Aut_BlueMe_Sem_Pedido!$H:$H,"MDO PJ Fixo")+SUMIFS(Aut_Ajustes_Manuais!$G:$G,Aut_Ajustes_Manuais!$I:$I,DRE!Z$4,Aut_Ajustes_Manuais!$J:$J,"  - Chefe de Bar")</f>
        <v>0</v>
      </c>
      <c r="AC114" s="241">
        <v>0</v>
      </c>
      <c r="AD114" s="27">
        <v>0</v>
      </c>
      <c r="AE114" s="28">
        <f>SUMIFS(Aut_BlueMe_Sem_Pedido!$J:$J,Aut_BlueMe_Sem_Pedido!$Q:$Q,DRE!AC$4,Aut_BlueMe_Sem_Pedido!$N:$N,DRE!$A114,Aut_BlueMe_Sem_Pedido!$H:$H,"MDO PJ Fixo")+SUMIFS(Aut_Ajustes_Manuais!$G:$G,Aut_Ajustes_Manuais!$I:$I,DRE!AC$4,Aut_Ajustes_Manuais!$J:$J,"  - Chefe de Bar")</f>
        <v>0</v>
      </c>
      <c r="AF114" s="241">
        <v>0</v>
      </c>
      <c r="AG114" s="27">
        <v>0</v>
      </c>
      <c r="AH114" s="28">
        <f>SUMIFS(Aut_BlueMe_Sem_Pedido!$J:$J,Aut_BlueMe_Sem_Pedido!$Q:$Q,DRE!AF$4,Aut_BlueMe_Sem_Pedido!$N:$N,DRE!$A114,Aut_BlueMe_Sem_Pedido!$H:$H,"MDO PJ Fixo")+SUMIFS(Aut_Ajustes_Manuais!$G:$G,Aut_Ajustes_Manuais!$I:$I,DRE!AF$4,Aut_Ajustes_Manuais!$J:$J,"  - Chefe de Bar")</f>
        <v>0</v>
      </c>
      <c r="AI114" s="241">
        <v>0</v>
      </c>
      <c r="AJ114" s="27">
        <v>0</v>
      </c>
      <c r="AK114" s="28">
        <f>SUMIFS(Aut_BlueMe_Sem_Pedido!$J:$J,Aut_BlueMe_Sem_Pedido!$Q:$Q,DRE!AI$4,Aut_BlueMe_Sem_Pedido!$N:$N,DRE!$A114,Aut_BlueMe_Sem_Pedido!$H:$H,"MDO PJ Fixo")+SUMIFS(Aut_Ajustes_Manuais!$G:$G,Aut_Ajustes_Manuais!$I:$I,DRE!AI$4,Aut_Ajustes_Manuais!$J:$J,"  - Chefe de Bar")</f>
        <v>0</v>
      </c>
      <c r="AL114" s="241">
        <v>0</v>
      </c>
      <c r="AM114" s="27">
        <v>0</v>
      </c>
      <c r="AN114" s="28">
        <f>SUMIFS(Aut_BlueMe_Sem_Pedido!$J:$J,Aut_BlueMe_Sem_Pedido!$Q:$Q,DRE!AL$4,Aut_BlueMe_Sem_Pedido!$N:$N,DRE!$A114,Aut_BlueMe_Sem_Pedido!$H:$H,"MDO PJ Fixo")+SUMIFS(Aut_Ajustes_Manuais!$G:$G,Aut_Ajustes_Manuais!$I:$I,DRE!AL$4,Aut_Ajustes_Manuais!$J:$J,"  - Chefe de Bar")</f>
        <v>0</v>
      </c>
      <c r="AO114" s="241">
        <v>0</v>
      </c>
      <c r="AP114" s="27">
        <v>0</v>
      </c>
      <c r="AQ114" s="28">
        <f>SUMIFS(Aut_BlueMe_Sem_Pedido!$J:$J,Aut_BlueMe_Sem_Pedido!$Q:$Q,DRE!AO$4,Aut_BlueMe_Sem_Pedido!$N:$N,DRE!$A114,Aut_BlueMe_Sem_Pedido!$H:$H,"MDO PJ Fixo")+SUMIFS(Aut_Ajustes_Manuais!$G:$G,Aut_Ajustes_Manuais!$I:$I,DRE!AO$4,Aut_Ajustes_Manuais!$J:$J,"  - Chefe de Bar")</f>
        <v>0</v>
      </c>
      <c r="AR114" s="241">
        <f t="shared" ca="1" si="125"/>
        <v>0</v>
      </c>
      <c r="AS114" s="27">
        <f t="shared" ca="1" si="126"/>
        <v>0</v>
      </c>
      <c r="AT114" s="28">
        <f t="shared" ca="1" si="127"/>
        <v>0</v>
      </c>
      <c r="AU114" s="241">
        <f t="shared" si="129"/>
        <v>0</v>
      </c>
      <c r="AV114" s="27">
        <f t="shared" si="130"/>
        <v>0</v>
      </c>
      <c r="AW114" s="28">
        <f t="shared" si="131"/>
        <v>0</v>
      </c>
      <c r="AX114" s="241">
        <f t="shared" si="132"/>
        <v>0</v>
      </c>
      <c r="AY114" s="27">
        <f t="shared" si="133"/>
        <v>0</v>
      </c>
      <c r="AZ114" s="28">
        <f t="shared" si="134"/>
        <v>0</v>
      </c>
      <c r="BA114" s="241">
        <f t="shared" si="135"/>
        <v>0</v>
      </c>
      <c r="BB114" s="27">
        <f t="shared" si="136"/>
        <v>0</v>
      </c>
      <c r="BC114" s="28">
        <f t="shared" si="137"/>
        <v>0</v>
      </c>
      <c r="BD114" s="241">
        <f t="shared" si="138"/>
        <v>0</v>
      </c>
      <c r="BE114" s="27">
        <f t="shared" si="139"/>
        <v>0</v>
      </c>
      <c r="BF114" s="28">
        <f t="shared" si="140"/>
        <v>0</v>
      </c>
      <c r="BG114" s="241">
        <f t="shared" si="141"/>
        <v>0</v>
      </c>
      <c r="BH114" s="27">
        <f t="shared" si="142"/>
        <v>0</v>
      </c>
      <c r="BI114" s="28">
        <f t="shared" si="143"/>
        <v>0</v>
      </c>
    </row>
    <row r="115" spans="1:61" s="94" customFormat="1" hidden="1" outlineLevel="1" x14ac:dyDescent="0.3">
      <c r="A115" s="22" t="s">
        <v>137</v>
      </c>
      <c r="B115" s="2"/>
      <c r="C115" s="24"/>
      <c r="D115" s="55"/>
      <c r="E115" s="87"/>
      <c r="F115" s="41"/>
      <c r="G115" s="33"/>
      <c r="H115" s="241">
        <v>-4000</v>
      </c>
      <c r="I115" s="27">
        <v>-4000</v>
      </c>
      <c r="J115" s="28">
        <f>SUMIFS(Aut_BlueMe_Sem_Pedido!$J:$J,Aut_BlueMe_Sem_Pedido!$Q:$Q,DRE!H$4,Aut_BlueMe_Sem_Pedido!$N:$N,DRE!$A115,Aut_BlueMe_Sem_Pedido!$H:$H,"MDO PJ Fixo")+SUMIFS(Aut_Ajustes_Manuais!$G:$G,Aut_Ajustes_Manuais!$I:$I,DRE!H$4,Aut_Ajustes_Manuais!$J:$J,"  - Sub Chefe de Cozinha")</f>
        <v>-960</v>
      </c>
      <c r="K115" s="241">
        <v>-1371.43</v>
      </c>
      <c r="L115" s="27">
        <v>-4000</v>
      </c>
      <c r="M115" s="28">
        <f>SUMIFS(Aut_BlueMe_Sem_Pedido!$J:$J,Aut_BlueMe_Sem_Pedido!$Q:$Q,DRE!K$4,Aut_BlueMe_Sem_Pedido!$N:$N,DRE!$A115,Aut_BlueMe_Sem_Pedido!$H:$H,"MDO PJ Fixo")+SUMIFS(Aut_Ajustes_Manuais!$G:$G,Aut_Ajustes_Manuais!$I:$I,DRE!K$4,Aut_Ajustes_Manuais!$J:$J,"  - Sub Chefe de Cozinha")</f>
        <v>0</v>
      </c>
      <c r="N115" s="241">
        <v>-4000</v>
      </c>
      <c r="O115" s="27">
        <v>-4000</v>
      </c>
      <c r="P115" s="28">
        <f>SUMIFS(Aut_BlueMe_Sem_Pedido!$J:$J,Aut_BlueMe_Sem_Pedido!$Q:$Q,DRE!N$4,Aut_BlueMe_Sem_Pedido!$N:$N,DRE!$A115,Aut_BlueMe_Sem_Pedido!$H:$H,"MDO PJ Fixo")+SUMIFS(Aut_Ajustes_Manuais!$G:$G,Aut_Ajustes_Manuais!$I:$I,DRE!N$4,Aut_Ajustes_Manuais!$J:$J,"  - Sub Chefe de Cozinha")</f>
        <v>0</v>
      </c>
      <c r="Q115" s="241">
        <v>0</v>
      </c>
      <c r="R115" s="27">
        <v>-4000</v>
      </c>
      <c r="S115" s="28">
        <f>SUMIFS(Aut_BlueMe_Sem_Pedido!$J:$J,Aut_BlueMe_Sem_Pedido!$Q:$Q,DRE!Q$4,Aut_BlueMe_Sem_Pedido!$N:$N,DRE!$A115,Aut_BlueMe_Sem_Pedido!$H:$H,"MDO PJ Fixo")+SUMIFS(Aut_Ajustes_Manuais!$G:$G,Aut_Ajustes_Manuais!$I:$I,DRE!Q$4,Aut_Ajustes_Manuais!$J:$J,"  - Sub Chefe de Cozinha")</f>
        <v>0</v>
      </c>
      <c r="T115" s="241">
        <v>-2193.5500000000002</v>
      </c>
      <c r="U115" s="27">
        <v>-4000</v>
      </c>
      <c r="V115" s="28">
        <f>SUMIFS(Aut_BlueMe_Sem_Pedido!$J:$J,Aut_BlueMe_Sem_Pedido!$Q:$Q,DRE!T$4,Aut_BlueMe_Sem_Pedido!$N:$N,DRE!$A115,Aut_BlueMe_Sem_Pedido!$H:$H,"MDO PJ Fixo")+SUMIFS(Aut_Ajustes_Manuais!$G:$G,Aut_Ajustes_Manuais!$I:$I,DRE!T$4,Aut_Ajustes_Manuais!$J:$J,"  - Sub Chefe de Cozinha")</f>
        <v>0</v>
      </c>
      <c r="W115" s="241">
        <v>-4000</v>
      </c>
      <c r="X115" s="27">
        <v>-4000</v>
      </c>
      <c r="Y115" s="28">
        <f>SUMIFS(Aut_BlueMe_Sem_Pedido!$J:$J,Aut_BlueMe_Sem_Pedido!$Q:$Q,DRE!W$4,Aut_BlueMe_Sem_Pedido!$N:$N,DRE!$A115,Aut_BlueMe_Sem_Pedido!$H:$H,"MDO PJ Fixo")+SUMIFS(Aut_Ajustes_Manuais!$G:$G,Aut_Ajustes_Manuais!$I:$I,DRE!W$4,Aut_Ajustes_Manuais!$J:$J,"  - Sub Chefe de Cozinha")</f>
        <v>0</v>
      </c>
      <c r="Z115" s="241">
        <v>-4000</v>
      </c>
      <c r="AA115" s="27">
        <v>-4000</v>
      </c>
      <c r="AB115" s="28">
        <f>SUMIFS(Aut_BlueMe_Sem_Pedido!$J:$J,Aut_BlueMe_Sem_Pedido!$Q:$Q,DRE!Z$4,Aut_BlueMe_Sem_Pedido!$N:$N,DRE!$A115,Aut_BlueMe_Sem_Pedido!$H:$H,"MDO PJ Fixo")+SUMIFS(Aut_Ajustes_Manuais!$G:$G,Aut_Ajustes_Manuais!$I:$I,DRE!Z$4,Aut_Ajustes_Manuais!$J:$J,"  - Sub Chefe de Cozinha")</f>
        <v>0</v>
      </c>
      <c r="AC115" s="241">
        <v>-4000</v>
      </c>
      <c r="AD115" s="27">
        <v>-4000</v>
      </c>
      <c r="AE115" s="28">
        <f>SUMIFS(Aut_BlueMe_Sem_Pedido!$J:$J,Aut_BlueMe_Sem_Pedido!$Q:$Q,DRE!AC$4,Aut_BlueMe_Sem_Pedido!$N:$N,DRE!$A115,Aut_BlueMe_Sem_Pedido!$H:$H,"MDO PJ Fixo")+SUMIFS(Aut_Ajustes_Manuais!$G:$G,Aut_Ajustes_Manuais!$I:$I,DRE!AC$4,Aut_Ajustes_Manuais!$J:$J,"  - Sub Chefe de Cozinha")</f>
        <v>0</v>
      </c>
      <c r="AF115" s="241">
        <v>-4000</v>
      </c>
      <c r="AG115" s="27">
        <v>-4000</v>
      </c>
      <c r="AH115" s="28">
        <f>SUMIFS(Aut_BlueMe_Sem_Pedido!$J:$J,Aut_BlueMe_Sem_Pedido!$Q:$Q,DRE!AF$4,Aut_BlueMe_Sem_Pedido!$N:$N,DRE!$A115,Aut_BlueMe_Sem_Pedido!$H:$H,"MDO PJ Fixo")+SUMIFS(Aut_Ajustes_Manuais!$G:$G,Aut_Ajustes_Manuais!$I:$I,DRE!AF$4,Aut_Ajustes_Manuais!$J:$J,"  - Sub Chefe de Cozinha")</f>
        <v>0</v>
      </c>
      <c r="AI115" s="241">
        <v>-4000</v>
      </c>
      <c r="AJ115" s="27">
        <v>-4000</v>
      </c>
      <c r="AK115" s="28">
        <f>SUMIFS(Aut_BlueMe_Sem_Pedido!$J:$J,Aut_BlueMe_Sem_Pedido!$Q:$Q,DRE!AI$4,Aut_BlueMe_Sem_Pedido!$N:$N,DRE!$A115,Aut_BlueMe_Sem_Pedido!$H:$H,"MDO PJ Fixo")+SUMIFS(Aut_Ajustes_Manuais!$G:$G,Aut_Ajustes_Manuais!$I:$I,DRE!AI$4,Aut_Ajustes_Manuais!$J:$J,"  - Sub Chefe de Cozinha")</f>
        <v>0</v>
      </c>
      <c r="AL115" s="241">
        <v>-4000</v>
      </c>
      <c r="AM115" s="27">
        <v>-4000</v>
      </c>
      <c r="AN115" s="28">
        <f>SUMIFS(Aut_BlueMe_Sem_Pedido!$J:$J,Aut_BlueMe_Sem_Pedido!$Q:$Q,DRE!AL$4,Aut_BlueMe_Sem_Pedido!$N:$N,DRE!$A115,Aut_BlueMe_Sem_Pedido!$H:$H,"MDO PJ Fixo")+SUMIFS(Aut_Ajustes_Manuais!$G:$G,Aut_Ajustes_Manuais!$I:$I,DRE!AL$4,Aut_Ajustes_Manuais!$J:$J,"  - Sub Chefe de Cozinha")</f>
        <v>0</v>
      </c>
      <c r="AO115" s="241">
        <v>-4666.6499999999996</v>
      </c>
      <c r="AP115" s="27">
        <v>-4000</v>
      </c>
      <c r="AQ115" s="28">
        <f>SUMIFS(Aut_BlueMe_Sem_Pedido!$J:$J,Aut_BlueMe_Sem_Pedido!$Q:$Q,DRE!AO$4,Aut_BlueMe_Sem_Pedido!$N:$N,DRE!$A115,Aut_BlueMe_Sem_Pedido!$H:$H,"MDO PJ Fixo")+SUMIFS(Aut_Ajustes_Manuais!$G:$G,Aut_Ajustes_Manuais!$I:$I,DRE!AO$4,Aut_Ajustes_Manuais!$J:$J,"  - Sub Chefe de Cozinha")</f>
        <v>0</v>
      </c>
      <c r="AR115" s="241">
        <f t="shared" ca="1" si="125"/>
        <v>-15564.98</v>
      </c>
      <c r="AS115" s="27">
        <f t="shared" ca="1" si="126"/>
        <v>-24000</v>
      </c>
      <c r="AT115" s="28">
        <f t="shared" ca="1" si="127"/>
        <v>-960</v>
      </c>
      <c r="AU115" s="241">
        <f t="shared" si="129"/>
        <v>-40231.629999999997</v>
      </c>
      <c r="AV115" s="27">
        <f t="shared" si="130"/>
        <v>-48000</v>
      </c>
      <c r="AW115" s="28">
        <f t="shared" si="131"/>
        <v>-960</v>
      </c>
      <c r="AX115" s="241">
        <f t="shared" si="132"/>
        <v>-9371.43</v>
      </c>
      <c r="AY115" s="27">
        <f t="shared" si="133"/>
        <v>-12000</v>
      </c>
      <c r="AZ115" s="28">
        <f t="shared" si="134"/>
        <v>-960</v>
      </c>
      <c r="BA115" s="241">
        <f t="shared" si="135"/>
        <v>-6193.55</v>
      </c>
      <c r="BB115" s="27">
        <f t="shared" si="136"/>
        <v>-12000</v>
      </c>
      <c r="BC115" s="28">
        <f t="shared" si="137"/>
        <v>0</v>
      </c>
      <c r="BD115" s="241">
        <f t="shared" si="138"/>
        <v>-12000</v>
      </c>
      <c r="BE115" s="27">
        <f t="shared" si="139"/>
        <v>-12000</v>
      </c>
      <c r="BF115" s="28">
        <f t="shared" si="140"/>
        <v>0</v>
      </c>
      <c r="BG115" s="241">
        <f t="shared" si="141"/>
        <v>-12666.65</v>
      </c>
      <c r="BH115" s="27">
        <f t="shared" si="142"/>
        <v>-12000</v>
      </c>
      <c r="BI115" s="28">
        <f t="shared" si="143"/>
        <v>0</v>
      </c>
    </row>
    <row r="116" spans="1:61" s="94" customFormat="1" hidden="1" outlineLevel="1" x14ac:dyDescent="0.3">
      <c r="A116" s="22" t="s">
        <v>138</v>
      </c>
      <c r="B116" s="2"/>
      <c r="C116" s="24"/>
      <c r="D116" s="55"/>
      <c r="E116" s="87"/>
      <c r="F116" s="41"/>
      <c r="G116" s="33"/>
      <c r="H116" s="241">
        <v>0</v>
      </c>
      <c r="I116" s="27">
        <v>0</v>
      </c>
      <c r="J116" s="28">
        <f>SUMIFS(Aut_BlueMe_Sem_Pedido!$J:$J,Aut_BlueMe_Sem_Pedido!$Q:$Q,DRE!H$4,Aut_BlueMe_Sem_Pedido!$N:$N,DRE!$A116)+SUMIFS(Aut_Ajustes_Manuais!$G:$G,Aut_Ajustes_Manuais!$I:$I,DRE!H$4,Aut_Ajustes_Manuais!$J:$J,"  - Sub Chefe De Bar")</f>
        <v>0</v>
      </c>
      <c r="K116" s="241">
        <v>0</v>
      </c>
      <c r="L116" s="27">
        <v>0</v>
      </c>
      <c r="M116" s="28">
        <f>SUMIFS(Aut_BlueMe_Sem_Pedido!$J:$J,Aut_BlueMe_Sem_Pedido!$Q:$Q,DRE!K$4,Aut_BlueMe_Sem_Pedido!$N:$N,DRE!$A116)+SUMIFS(Aut_Ajustes_Manuais!$G:$G,Aut_Ajustes_Manuais!$I:$I,DRE!K$4,Aut_Ajustes_Manuais!$J:$J,"  - Sub Chefe De Bar")</f>
        <v>0</v>
      </c>
      <c r="N116" s="241">
        <v>0</v>
      </c>
      <c r="O116" s="27">
        <v>0</v>
      </c>
      <c r="P116" s="28">
        <f>SUMIFS(Aut_BlueMe_Sem_Pedido!$J:$J,Aut_BlueMe_Sem_Pedido!$Q:$Q,DRE!N$4,Aut_BlueMe_Sem_Pedido!$N:$N,DRE!$A116)+SUMIFS(Aut_Ajustes_Manuais!$G:$G,Aut_Ajustes_Manuais!$I:$I,DRE!N$4,Aut_Ajustes_Manuais!$J:$J,"  - Sub Chefe De Bar")</f>
        <v>0</v>
      </c>
      <c r="Q116" s="241">
        <v>0</v>
      </c>
      <c r="R116" s="27">
        <v>0</v>
      </c>
      <c r="S116" s="28">
        <f>SUMIFS(Aut_BlueMe_Sem_Pedido!$J:$J,Aut_BlueMe_Sem_Pedido!$Q:$Q,DRE!Q$4,Aut_BlueMe_Sem_Pedido!$N:$N,DRE!$A116)+SUMIFS(Aut_Ajustes_Manuais!$G:$G,Aut_Ajustes_Manuais!$I:$I,DRE!Q$4,Aut_Ajustes_Manuais!$J:$J,"  - Sub Chefe De Bar")</f>
        <v>0</v>
      </c>
      <c r="T116" s="241">
        <v>0</v>
      </c>
      <c r="U116" s="27">
        <v>0</v>
      </c>
      <c r="V116" s="28">
        <f>SUMIFS(Aut_BlueMe_Sem_Pedido!$J:$J,Aut_BlueMe_Sem_Pedido!$Q:$Q,DRE!T$4,Aut_BlueMe_Sem_Pedido!$N:$N,DRE!$A116)+SUMIFS(Aut_Ajustes_Manuais!$G:$G,Aut_Ajustes_Manuais!$I:$I,DRE!T$4,Aut_Ajustes_Manuais!$J:$J,"  - Sub Chefe De Bar")</f>
        <v>0</v>
      </c>
      <c r="W116" s="241">
        <v>0</v>
      </c>
      <c r="X116" s="27">
        <v>0</v>
      </c>
      <c r="Y116" s="28">
        <f>SUMIFS(Aut_BlueMe_Sem_Pedido!$J:$J,Aut_BlueMe_Sem_Pedido!$Q:$Q,DRE!W$4,Aut_BlueMe_Sem_Pedido!$N:$N,DRE!$A116)+SUMIFS(Aut_Ajustes_Manuais!$G:$G,Aut_Ajustes_Manuais!$I:$I,DRE!W$4,Aut_Ajustes_Manuais!$J:$J,"  - Sub Chefe De Bar")</f>
        <v>0</v>
      </c>
      <c r="Z116" s="241">
        <v>0</v>
      </c>
      <c r="AA116" s="27">
        <v>0</v>
      </c>
      <c r="AB116" s="28">
        <f>SUMIFS(Aut_BlueMe_Sem_Pedido!$J:$J,Aut_BlueMe_Sem_Pedido!$Q:$Q,DRE!Z$4,Aut_BlueMe_Sem_Pedido!$N:$N,DRE!$A116)+SUMIFS(Aut_Ajustes_Manuais!$G:$G,Aut_Ajustes_Manuais!$I:$I,DRE!Z$4,Aut_Ajustes_Manuais!$J:$J,"  - Sub Chefe De Bar")</f>
        <v>0</v>
      </c>
      <c r="AC116" s="241">
        <v>0</v>
      </c>
      <c r="AD116" s="27">
        <v>0</v>
      </c>
      <c r="AE116" s="28">
        <f>SUMIFS(Aut_BlueMe_Sem_Pedido!$J:$J,Aut_BlueMe_Sem_Pedido!$Q:$Q,DRE!AC$4,Aut_BlueMe_Sem_Pedido!$N:$N,DRE!$A116)+SUMIFS(Aut_Ajustes_Manuais!$G:$G,Aut_Ajustes_Manuais!$I:$I,DRE!AC$4,Aut_Ajustes_Manuais!$J:$J,"  - Sub Chefe De Bar")</f>
        <v>0</v>
      </c>
      <c r="AF116" s="241">
        <v>0</v>
      </c>
      <c r="AG116" s="27">
        <v>0</v>
      </c>
      <c r="AH116" s="28">
        <f>SUMIFS(Aut_BlueMe_Sem_Pedido!$J:$J,Aut_BlueMe_Sem_Pedido!$Q:$Q,DRE!AF$4,Aut_BlueMe_Sem_Pedido!$N:$N,DRE!$A116)+SUMIFS(Aut_Ajustes_Manuais!$G:$G,Aut_Ajustes_Manuais!$I:$I,DRE!AF$4,Aut_Ajustes_Manuais!$J:$J,"  - Sub Chefe De Bar")</f>
        <v>0</v>
      </c>
      <c r="AI116" s="241">
        <v>0</v>
      </c>
      <c r="AJ116" s="27">
        <v>0</v>
      </c>
      <c r="AK116" s="28">
        <f>SUMIFS(Aut_BlueMe_Sem_Pedido!$J:$J,Aut_BlueMe_Sem_Pedido!$Q:$Q,DRE!AI$4,Aut_BlueMe_Sem_Pedido!$N:$N,DRE!$A116)+SUMIFS(Aut_Ajustes_Manuais!$G:$G,Aut_Ajustes_Manuais!$I:$I,DRE!AI$4,Aut_Ajustes_Manuais!$J:$J,"  - Sub Chefe De Bar")</f>
        <v>0</v>
      </c>
      <c r="AL116" s="241">
        <v>0</v>
      </c>
      <c r="AM116" s="27">
        <v>0</v>
      </c>
      <c r="AN116" s="28">
        <f>SUMIFS(Aut_BlueMe_Sem_Pedido!$J:$J,Aut_BlueMe_Sem_Pedido!$Q:$Q,DRE!AL$4,Aut_BlueMe_Sem_Pedido!$N:$N,DRE!$A116)+SUMIFS(Aut_Ajustes_Manuais!$G:$G,Aut_Ajustes_Manuais!$I:$I,DRE!AL$4,Aut_Ajustes_Manuais!$J:$J,"  - Sub Chefe De Bar")</f>
        <v>0</v>
      </c>
      <c r="AO116" s="241">
        <v>0</v>
      </c>
      <c r="AP116" s="27">
        <v>0</v>
      </c>
      <c r="AQ116" s="28">
        <f>SUMIFS(Aut_BlueMe_Sem_Pedido!$J:$J,Aut_BlueMe_Sem_Pedido!$Q:$Q,DRE!AO$4,Aut_BlueMe_Sem_Pedido!$N:$N,DRE!$A116)+SUMIFS(Aut_Ajustes_Manuais!$G:$G,Aut_Ajustes_Manuais!$I:$I,DRE!AO$4,Aut_Ajustes_Manuais!$J:$J,"  - Sub Chefe De Bar")</f>
        <v>0</v>
      </c>
      <c r="AR116" s="241">
        <f t="shared" ca="1" si="125"/>
        <v>0</v>
      </c>
      <c r="AS116" s="27">
        <f t="shared" ca="1" si="126"/>
        <v>0</v>
      </c>
      <c r="AT116" s="28">
        <f t="shared" ca="1" si="127"/>
        <v>0</v>
      </c>
      <c r="AU116" s="241">
        <f t="shared" si="129"/>
        <v>0</v>
      </c>
      <c r="AV116" s="27">
        <f t="shared" si="130"/>
        <v>0</v>
      </c>
      <c r="AW116" s="28">
        <f t="shared" si="131"/>
        <v>0</v>
      </c>
      <c r="AX116" s="241">
        <f t="shared" si="132"/>
        <v>0</v>
      </c>
      <c r="AY116" s="27">
        <f t="shared" si="133"/>
        <v>0</v>
      </c>
      <c r="AZ116" s="28">
        <f t="shared" si="134"/>
        <v>0</v>
      </c>
      <c r="BA116" s="241">
        <f t="shared" si="135"/>
        <v>0</v>
      </c>
      <c r="BB116" s="27">
        <f t="shared" si="136"/>
        <v>0</v>
      </c>
      <c r="BC116" s="28">
        <f t="shared" si="137"/>
        <v>0</v>
      </c>
      <c r="BD116" s="241">
        <f t="shared" si="138"/>
        <v>0</v>
      </c>
      <c r="BE116" s="27">
        <f t="shared" si="139"/>
        <v>0</v>
      </c>
      <c r="BF116" s="28">
        <f t="shared" si="140"/>
        <v>0</v>
      </c>
      <c r="BG116" s="241">
        <f t="shared" si="141"/>
        <v>0</v>
      </c>
      <c r="BH116" s="27">
        <f t="shared" si="142"/>
        <v>0</v>
      </c>
      <c r="BI116" s="28">
        <f t="shared" si="143"/>
        <v>0</v>
      </c>
    </row>
    <row r="117" spans="1:61" s="94" customFormat="1" hidden="1" outlineLevel="1" x14ac:dyDescent="0.3">
      <c r="A117" s="22" t="s">
        <v>139</v>
      </c>
      <c r="B117" s="2"/>
      <c r="C117" s="24"/>
      <c r="D117" s="55"/>
      <c r="E117" s="87"/>
      <c r="F117" s="41"/>
      <c r="G117" s="33"/>
      <c r="H117" s="241">
        <v>0</v>
      </c>
      <c r="I117" s="27">
        <v>0</v>
      </c>
      <c r="J117" s="28">
        <f>SUMIFS(Aut_BlueMe_Sem_Pedido!$J:$J,Aut_BlueMe_Sem_Pedido!$Q:$Q,DRE!H$4,Aut_BlueMe_Sem_Pedido!$N:$N,DRE!$A117)+SUMIFS(Aut_Ajustes_Manuais!$G:$G,Aut_Ajustes_Manuais!$I:$I,DRE!H$4,Aut_Ajustes_Manuais!$J:$J,"  - Maitre")</f>
        <v>0</v>
      </c>
      <c r="K117" s="241">
        <v>0</v>
      </c>
      <c r="L117" s="27">
        <v>0</v>
      </c>
      <c r="M117" s="28">
        <f>SUMIFS(Aut_BlueMe_Sem_Pedido!$J:$J,Aut_BlueMe_Sem_Pedido!$Q:$Q,DRE!K$4,Aut_BlueMe_Sem_Pedido!$N:$N,DRE!$A117)+SUMIFS(Aut_Ajustes_Manuais!$G:$G,Aut_Ajustes_Manuais!$I:$I,DRE!K$4,Aut_Ajustes_Manuais!$J:$J,"  - Maitre")</f>
        <v>0</v>
      </c>
      <c r="N117" s="241">
        <v>0</v>
      </c>
      <c r="O117" s="27">
        <v>0</v>
      </c>
      <c r="P117" s="28">
        <f>SUMIFS(Aut_BlueMe_Sem_Pedido!$J:$J,Aut_BlueMe_Sem_Pedido!$Q:$Q,DRE!N$4,Aut_BlueMe_Sem_Pedido!$N:$N,DRE!$A117)+SUMIFS(Aut_Ajustes_Manuais!$G:$G,Aut_Ajustes_Manuais!$I:$I,DRE!N$4,Aut_Ajustes_Manuais!$J:$J,"  - Maitre")</f>
        <v>0</v>
      </c>
      <c r="Q117" s="241">
        <v>0</v>
      </c>
      <c r="R117" s="27">
        <v>0</v>
      </c>
      <c r="S117" s="28">
        <f>SUMIFS(Aut_BlueMe_Sem_Pedido!$J:$J,Aut_BlueMe_Sem_Pedido!$Q:$Q,DRE!Q$4,Aut_BlueMe_Sem_Pedido!$N:$N,DRE!$A117)+SUMIFS(Aut_Ajustes_Manuais!$G:$G,Aut_Ajustes_Manuais!$I:$I,DRE!Q$4,Aut_Ajustes_Manuais!$J:$J,"  - Maitre")</f>
        <v>0</v>
      </c>
      <c r="T117" s="241">
        <v>0</v>
      </c>
      <c r="U117" s="27">
        <v>0</v>
      </c>
      <c r="V117" s="28">
        <f>SUMIFS(Aut_BlueMe_Sem_Pedido!$J:$J,Aut_BlueMe_Sem_Pedido!$Q:$Q,DRE!T$4,Aut_BlueMe_Sem_Pedido!$N:$N,DRE!$A117)+SUMIFS(Aut_Ajustes_Manuais!$G:$G,Aut_Ajustes_Manuais!$I:$I,DRE!T$4,Aut_Ajustes_Manuais!$J:$J,"  - Maitre")</f>
        <v>0</v>
      </c>
      <c r="W117" s="241">
        <v>0</v>
      </c>
      <c r="X117" s="27">
        <v>0</v>
      </c>
      <c r="Y117" s="28">
        <f>SUMIFS(Aut_BlueMe_Sem_Pedido!$J:$J,Aut_BlueMe_Sem_Pedido!$Q:$Q,DRE!W$4,Aut_BlueMe_Sem_Pedido!$N:$N,DRE!$A117)+SUMIFS(Aut_Ajustes_Manuais!$G:$G,Aut_Ajustes_Manuais!$I:$I,DRE!W$4,Aut_Ajustes_Manuais!$J:$J,"  - Maitre")</f>
        <v>0</v>
      </c>
      <c r="Z117" s="241">
        <v>0</v>
      </c>
      <c r="AA117" s="27">
        <v>0</v>
      </c>
      <c r="AB117" s="28">
        <f>SUMIFS(Aut_BlueMe_Sem_Pedido!$J:$J,Aut_BlueMe_Sem_Pedido!$Q:$Q,DRE!Z$4,Aut_BlueMe_Sem_Pedido!$N:$N,DRE!$A117)+SUMIFS(Aut_Ajustes_Manuais!$G:$G,Aut_Ajustes_Manuais!$I:$I,DRE!Z$4,Aut_Ajustes_Manuais!$J:$J,"  - Maitre")</f>
        <v>0</v>
      </c>
      <c r="AC117" s="241">
        <v>0</v>
      </c>
      <c r="AD117" s="27">
        <v>0</v>
      </c>
      <c r="AE117" s="28">
        <f>SUMIFS(Aut_BlueMe_Sem_Pedido!$J:$J,Aut_BlueMe_Sem_Pedido!$Q:$Q,DRE!AC$4,Aut_BlueMe_Sem_Pedido!$N:$N,DRE!$A117)+SUMIFS(Aut_Ajustes_Manuais!$G:$G,Aut_Ajustes_Manuais!$I:$I,DRE!AC$4,Aut_Ajustes_Manuais!$J:$J,"  - Maitre")</f>
        <v>0</v>
      </c>
      <c r="AF117" s="241">
        <v>0</v>
      </c>
      <c r="AG117" s="27">
        <v>0</v>
      </c>
      <c r="AH117" s="28">
        <f>SUMIFS(Aut_BlueMe_Sem_Pedido!$J:$J,Aut_BlueMe_Sem_Pedido!$Q:$Q,DRE!AF$4,Aut_BlueMe_Sem_Pedido!$N:$N,DRE!$A117)+SUMIFS(Aut_Ajustes_Manuais!$G:$G,Aut_Ajustes_Manuais!$I:$I,DRE!AF$4,Aut_Ajustes_Manuais!$J:$J,"  - Maitre")</f>
        <v>0</v>
      </c>
      <c r="AI117" s="241">
        <v>0</v>
      </c>
      <c r="AJ117" s="27">
        <v>0</v>
      </c>
      <c r="AK117" s="28">
        <f>SUMIFS(Aut_BlueMe_Sem_Pedido!$J:$J,Aut_BlueMe_Sem_Pedido!$Q:$Q,DRE!AI$4,Aut_BlueMe_Sem_Pedido!$N:$N,DRE!$A117)+SUMIFS(Aut_Ajustes_Manuais!$G:$G,Aut_Ajustes_Manuais!$I:$I,DRE!AI$4,Aut_Ajustes_Manuais!$J:$J,"  - Maitre")</f>
        <v>0</v>
      </c>
      <c r="AL117" s="241">
        <v>0</v>
      </c>
      <c r="AM117" s="27">
        <v>0</v>
      </c>
      <c r="AN117" s="28">
        <f>SUMIFS(Aut_BlueMe_Sem_Pedido!$J:$J,Aut_BlueMe_Sem_Pedido!$Q:$Q,DRE!AL$4,Aut_BlueMe_Sem_Pedido!$N:$N,DRE!$A117)+SUMIFS(Aut_Ajustes_Manuais!$G:$G,Aut_Ajustes_Manuais!$I:$I,DRE!AL$4,Aut_Ajustes_Manuais!$J:$J,"  - Maitre")</f>
        <v>0</v>
      </c>
      <c r="AO117" s="241">
        <v>0</v>
      </c>
      <c r="AP117" s="27">
        <v>0</v>
      </c>
      <c r="AQ117" s="28">
        <f>SUMIFS(Aut_BlueMe_Sem_Pedido!$J:$J,Aut_BlueMe_Sem_Pedido!$Q:$Q,DRE!AO$4,Aut_BlueMe_Sem_Pedido!$N:$N,DRE!$A117)+SUMIFS(Aut_Ajustes_Manuais!$G:$G,Aut_Ajustes_Manuais!$I:$I,DRE!AO$4,Aut_Ajustes_Manuais!$J:$J,"  - Maitre")</f>
        <v>0</v>
      </c>
      <c r="AR117" s="241">
        <f t="shared" ca="1" si="125"/>
        <v>0</v>
      </c>
      <c r="AS117" s="27">
        <f t="shared" ca="1" si="126"/>
        <v>0</v>
      </c>
      <c r="AT117" s="28">
        <f t="shared" ca="1" si="127"/>
        <v>0</v>
      </c>
      <c r="AU117" s="241">
        <f t="shared" si="129"/>
        <v>0</v>
      </c>
      <c r="AV117" s="27">
        <f t="shared" si="130"/>
        <v>0</v>
      </c>
      <c r="AW117" s="28">
        <f t="shared" si="131"/>
        <v>0</v>
      </c>
      <c r="AX117" s="241">
        <f t="shared" si="132"/>
        <v>0</v>
      </c>
      <c r="AY117" s="27">
        <f t="shared" si="133"/>
        <v>0</v>
      </c>
      <c r="AZ117" s="28">
        <f t="shared" si="134"/>
        <v>0</v>
      </c>
      <c r="BA117" s="241">
        <f t="shared" si="135"/>
        <v>0</v>
      </c>
      <c r="BB117" s="27">
        <f t="shared" si="136"/>
        <v>0</v>
      </c>
      <c r="BC117" s="28">
        <f t="shared" si="137"/>
        <v>0</v>
      </c>
      <c r="BD117" s="241">
        <f t="shared" si="138"/>
        <v>0</v>
      </c>
      <c r="BE117" s="27">
        <f t="shared" si="139"/>
        <v>0</v>
      </c>
      <c r="BF117" s="28">
        <f t="shared" si="140"/>
        <v>0</v>
      </c>
      <c r="BG117" s="241">
        <f t="shared" si="141"/>
        <v>0</v>
      </c>
      <c r="BH117" s="27">
        <f t="shared" si="142"/>
        <v>0</v>
      </c>
      <c r="BI117" s="28">
        <f t="shared" si="143"/>
        <v>0</v>
      </c>
    </row>
    <row r="118" spans="1:61" s="94" customFormat="1" hidden="1" outlineLevel="1" x14ac:dyDescent="0.3">
      <c r="A118" s="22" t="s">
        <v>140</v>
      </c>
      <c r="B118" s="2"/>
      <c r="C118" s="24"/>
      <c r="D118" s="55"/>
      <c r="E118" s="87"/>
      <c r="F118" s="41"/>
      <c r="G118" s="33"/>
      <c r="H118" s="241">
        <v>0</v>
      </c>
      <c r="I118" s="27">
        <v>0</v>
      </c>
      <c r="J118" s="28">
        <f>SUMIFS(Aut_BlueMe_Sem_Pedido!$J:$J,Aut_BlueMe_Sem_Pedido!$Q:$Q,DRE!H$4,Aut_BlueMe_Sem_Pedido!$N:$N,DRE!$A118)+SUMIFS(Aut_Ajustes_Manuais!$G:$G,Aut_Ajustes_Manuais!$I:$I,DRE!H$4,Aut_Ajustes_Manuais!$J:$J,"  - Chefe de Fila")</f>
        <v>0</v>
      </c>
      <c r="K118" s="241">
        <v>0</v>
      </c>
      <c r="L118" s="27">
        <v>0</v>
      </c>
      <c r="M118" s="28">
        <f>SUMIFS(Aut_BlueMe_Sem_Pedido!$J:$J,Aut_BlueMe_Sem_Pedido!$Q:$Q,DRE!K$4,Aut_BlueMe_Sem_Pedido!$N:$N,DRE!$A118)+SUMIFS(Aut_Ajustes_Manuais!$G:$G,Aut_Ajustes_Manuais!$I:$I,DRE!K$4,Aut_Ajustes_Manuais!$J:$J,"  - Chefe de Fila")</f>
        <v>0</v>
      </c>
      <c r="N118" s="241">
        <v>0</v>
      </c>
      <c r="O118" s="27">
        <v>0</v>
      </c>
      <c r="P118" s="28">
        <f>SUMIFS(Aut_BlueMe_Sem_Pedido!$J:$J,Aut_BlueMe_Sem_Pedido!$Q:$Q,DRE!N$4,Aut_BlueMe_Sem_Pedido!$N:$N,DRE!$A118)+SUMIFS(Aut_Ajustes_Manuais!$G:$G,Aut_Ajustes_Manuais!$I:$I,DRE!N$4,Aut_Ajustes_Manuais!$J:$J,"  - Chefe de Fila")</f>
        <v>0</v>
      </c>
      <c r="Q118" s="241">
        <v>0</v>
      </c>
      <c r="R118" s="27">
        <v>0</v>
      </c>
      <c r="S118" s="28">
        <f>SUMIFS(Aut_BlueMe_Sem_Pedido!$J:$J,Aut_BlueMe_Sem_Pedido!$Q:$Q,DRE!Q$4,Aut_BlueMe_Sem_Pedido!$N:$N,DRE!$A118)+SUMIFS(Aut_Ajustes_Manuais!$G:$G,Aut_Ajustes_Manuais!$I:$I,DRE!Q$4,Aut_Ajustes_Manuais!$J:$J,"  - Chefe de Fila")</f>
        <v>0</v>
      </c>
      <c r="T118" s="241">
        <v>0</v>
      </c>
      <c r="U118" s="27">
        <v>0</v>
      </c>
      <c r="V118" s="28">
        <f>SUMIFS(Aut_BlueMe_Sem_Pedido!$J:$J,Aut_BlueMe_Sem_Pedido!$Q:$Q,DRE!T$4,Aut_BlueMe_Sem_Pedido!$N:$N,DRE!$A118)+SUMIFS(Aut_Ajustes_Manuais!$G:$G,Aut_Ajustes_Manuais!$I:$I,DRE!T$4,Aut_Ajustes_Manuais!$J:$J,"  - Chefe de Fila")</f>
        <v>0</v>
      </c>
      <c r="W118" s="241">
        <v>0</v>
      </c>
      <c r="X118" s="27">
        <v>0</v>
      </c>
      <c r="Y118" s="28">
        <f>SUMIFS(Aut_BlueMe_Sem_Pedido!$J:$J,Aut_BlueMe_Sem_Pedido!$Q:$Q,DRE!W$4,Aut_BlueMe_Sem_Pedido!$N:$N,DRE!$A118)+SUMIFS(Aut_Ajustes_Manuais!$G:$G,Aut_Ajustes_Manuais!$I:$I,DRE!W$4,Aut_Ajustes_Manuais!$J:$J,"  - Chefe de Fila")</f>
        <v>0</v>
      </c>
      <c r="Z118" s="241">
        <v>0</v>
      </c>
      <c r="AA118" s="27">
        <v>0</v>
      </c>
      <c r="AB118" s="28">
        <f>SUMIFS(Aut_BlueMe_Sem_Pedido!$J:$J,Aut_BlueMe_Sem_Pedido!$Q:$Q,DRE!Z$4,Aut_BlueMe_Sem_Pedido!$N:$N,DRE!$A118)+SUMIFS(Aut_Ajustes_Manuais!$G:$G,Aut_Ajustes_Manuais!$I:$I,DRE!Z$4,Aut_Ajustes_Manuais!$J:$J,"  - Chefe de Fila")</f>
        <v>0</v>
      </c>
      <c r="AC118" s="241">
        <v>0</v>
      </c>
      <c r="AD118" s="27">
        <v>0</v>
      </c>
      <c r="AE118" s="28">
        <f>SUMIFS(Aut_BlueMe_Sem_Pedido!$J:$J,Aut_BlueMe_Sem_Pedido!$Q:$Q,DRE!AC$4,Aut_BlueMe_Sem_Pedido!$N:$N,DRE!$A118)+SUMIFS(Aut_Ajustes_Manuais!$G:$G,Aut_Ajustes_Manuais!$I:$I,DRE!AC$4,Aut_Ajustes_Manuais!$J:$J,"  - Chefe de Fila")</f>
        <v>0</v>
      </c>
      <c r="AF118" s="241">
        <v>0</v>
      </c>
      <c r="AG118" s="27">
        <v>0</v>
      </c>
      <c r="AH118" s="28">
        <f>SUMIFS(Aut_BlueMe_Sem_Pedido!$J:$J,Aut_BlueMe_Sem_Pedido!$Q:$Q,DRE!AF$4,Aut_BlueMe_Sem_Pedido!$N:$N,DRE!$A118)+SUMIFS(Aut_Ajustes_Manuais!$G:$G,Aut_Ajustes_Manuais!$I:$I,DRE!AF$4,Aut_Ajustes_Manuais!$J:$J,"  - Chefe de Fila")</f>
        <v>0</v>
      </c>
      <c r="AI118" s="241">
        <v>0</v>
      </c>
      <c r="AJ118" s="27">
        <v>0</v>
      </c>
      <c r="AK118" s="28">
        <f>SUMIFS(Aut_BlueMe_Sem_Pedido!$J:$J,Aut_BlueMe_Sem_Pedido!$Q:$Q,DRE!AI$4,Aut_BlueMe_Sem_Pedido!$N:$N,DRE!$A118)+SUMIFS(Aut_Ajustes_Manuais!$G:$G,Aut_Ajustes_Manuais!$I:$I,DRE!AI$4,Aut_Ajustes_Manuais!$J:$J,"  - Chefe de Fila")</f>
        <v>0</v>
      </c>
      <c r="AL118" s="241">
        <v>0</v>
      </c>
      <c r="AM118" s="27">
        <v>0</v>
      </c>
      <c r="AN118" s="28">
        <f>SUMIFS(Aut_BlueMe_Sem_Pedido!$J:$J,Aut_BlueMe_Sem_Pedido!$Q:$Q,DRE!AL$4,Aut_BlueMe_Sem_Pedido!$N:$N,DRE!$A118)+SUMIFS(Aut_Ajustes_Manuais!$G:$G,Aut_Ajustes_Manuais!$I:$I,DRE!AL$4,Aut_Ajustes_Manuais!$J:$J,"  - Chefe de Fila")</f>
        <v>0</v>
      </c>
      <c r="AO118" s="241">
        <v>0</v>
      </c>
      <c r="AP118" s="27">
        <v>0</v>
      </c>
      <c r="AQ118" s="28">
        <f>SUMIFS(Aut_BlueMe_Sem_Pedido!$J:$J,Aut_BlueMe_Sem_Pedido!$Q:$Q,DRE!AO$4,Aut_BlueMe_Sem_Pedido!$N:$N,DRE!$A118)+SUMIFS(Aut_Ajustes_Manuais!$G:$G,Aut_Ajustes_Manuais!$I:$I,DRE!AO$4,Aut_Ajustes_Manuais!$J:$J,"  - Chefe de Fila")</f>
        <v>0</v>
      </c>
      <c r="AR118" s="241">
        <f t="shared" ca="1" si="125"/>
        <v>0</v>
      </c>
      <c r="AS118" s="27">
        <f t="shared" ca="1" si="126"/>
        <v>0</v>
      </c>
      <c r="AT118" s="28">
        <f t="shared" ca="1" si="127"/>
        <v>0</v>
      </c>
      <c r="AU118" s="241">
        <f t="shared" si="129"/>
        <v>0</v>
      </c>
      <c r="AV118" s="27">
        <f t="shared" si="130"/>
        <v>0</v>
      </c>
      <c r="AW118" s="28">
        <f t="shared" si="131"/>
        <v>0</v>
      </c>
      <c r="AX118" s="241">
        <f t="shared" si="132"/>
        <v>0</v>
      </c>
      <c r="AY118" s="27">
        <f t="shared" si="133"/>
        <v>0</v>
      </c>
      <c r="AZ118" s="28">
        <f t="shared" si="134"/>
        <v>0</v>
      </c>
      <c r="BA118" s="241">
        <f t="shared" si="135"/>
        <v>0</v>
      </c>
      <c r="BB118" s="27">
        <f t="shared" si="136"/>
        <v>0</v>
      </c>
      <c r="BC118" s="28">
        <f t="shared" si="137"/>
        <v>0</v>
      </c>
      <c r="BD118" s="241">
        <f t="shared" si="138"/>
        <v>0</v>
      </c>
      <c r="BE118" s="27">
        <f t="shared" si="139"/>
        <v>0</v>
      </c>
      <c r="BF118" s="28">
        <f t="shared" si="140"/>
        <v>0</v>
      </c>
      <c r="BG118" s="241">
        <f t="shared" si="141"/>
        <v>0</v>
      </c>
      <c r="BH118" s="27">
        <f t="shared" si="142"/>
        <v>0</v>
      </c>
      <c r="BI118" s="28">
        <f t="shared" si="143"/>
        <v>0</v>
      </c>
    </row>
    <row r="119" spans="1:61" s="94" customFormat="1" hidden="1" outlineLevel="1" x14ac:dyDescent="0.3">
      <c r="A119" s="22" t="s">
        <v>141</v>
      </c>
      <c r="B119" s="2"/>
      <c r="C119" s="24"/>
      <c r="D119" s="55"/>
      <c r="E119" s="87"/>
      <c r="F119" s="41"/>
      <c r="G119" s="33"/>
      <c r="H119" s="241">
        <v>0</v>
      </c>
      <c r="I119" s="27">
        <v>0</v>
      </c>
      <c r="J119" s="28">
        <f>SUMIFS(Aut_BlueMe_Sem_Pedido!$J:$J,Aut_BlueMe_Sem_Pedido!$Q:$Q,DRE!H$4,Aut_BlueMe_Sem_Pedido!$N:$N,DRE!$A119)+SUMIFS(Aut_Ajustes_Manuais!$G:$G,Aut_Ajustes_Manuais!$I:$I,DRE!H$4,Aut_Ajustes_Manuais!$J:$J,"  - Hostess")</f>
        <v>0</v>
      </c>
      <c r="K119" s="241">
        <v>0</v>
      </c>
      <c r="L119" s="27">
        <v>0</v>
      </c>
      <c r="M119" s="28">
        <f>SUMIFS(Aut_BlueMe_Sem_Pedido!$J:$J,Aut_BlueMe_Sem_Pedido!$Q:$Q,DRE!K$4,Aut_BlueMe_Sem_Pedido!$N:$N,DRE!$A119)+SUMIFS(Aut_Ajustes_Manuais!$G:$G,Aut_Ajustes_Manuais!$I:$I,DRE!K$4,Aut_Ajustes_Manuais!$J:$J,"  - Hostess")</f>
        <v>0</v>
      </c>
      <c r="N119" s="241">
        <v>0</v>
      </c>
      <c r="O119" s="27">
        <v>0</v>
      </c>
      <c r="P119" s="28">
        <f>SUMIFS(Aut_BlueMe_Sem_Pedido!$J:$J,Aut_BlueMe_Sem_Pedido!$Q:$Q,DRE!N$4,Aut_BlueMe_Sem_Pedido!$N:$N,DRE!$A119)+SUMIFS(Aut_Ajustes_Manuais!$G:$G,Aut_Ajustes_Manuais!$I:$I,DRE!N$4,Aut_Ajustes_Manuais!$J:$J,"  - Hostess")</f>
        <v>0</v>
      </c>
      <c r="Q119" s="241">
        <v>0</v>
      </c>
      <c r="R119" s="27">
        <v>0</v>
      </c>
      <c r="S119" s="28">
        <f>SUMIFS(Aut_BlueMe_Sem_Pedido!$J:$J,Aut_BlueMe_Sem_Pedido!$Q:$Q,DRE!Q$4,Aut_BlueMe_Sem_Pedido!$N:$N,DRE!$A119)+SUMIFS(Aut_Ajustes_Manuais!$G:$G,Aut_Ajustes_Manuais!$I:$I,DRE!Q$4,Aut_Ajustes_Manuais!$J:$J,"  - Hostess")</f>
        <v>0</v>
      </c>
      <c r="T119" s="241">
        <v>0</v>
      </c>
      <c r="U119" s="27">
        <v>0</v>
      </c>
      <c r="V119" s="28">
        <f>SUMIFS(Aut_BlueMe_Sem_Pedido!$J:$J,Aut_BlueMe_Sem_Pedido!$Q:$Q,DRE!T$4,Aut_BlueMe_Sem_Pedido!$N:$N,DRE!$A119)+SUMIFS(Aut_Ajustes_Manuais!$G:$G,Aut_Ajustes_Manuais!$I:$I,DRE!T$4,Aut_Ajustes_Manuais!$J:$J,"  - Hostess")</f>
        <v>0</v>
      </c>
      <c r="W119" s="241">
        <v>0</v>
      </c>
      <c r="X119" s="27">
        <v>0</v>
      </c>
      <c r="Y119" s="28">
        <f>SUMIFS(Aut_BlueMe_Sem_Pedido!$J:$J,Aut_BlueMe_Sem_Pedido!$Q:$Q,DRE!W$4,Aut_BlueMe_Sem_Pedido!$N:$N,DRE!$A119)+SUMIFS(Aut_Ajustes_Manuais!$G:$G,Aut_Ajustes_Manuais!$I:$I,DRE!W$4,Aut_Ajustes_Manuais!$J:$J,"  - Hostess")</f>
        <v>0</v>
      </c>
      <c r="Z119" s="241">
        <v>0</v>
      </c>
      <c r="AA119" s="27">
        <v>0</v>
      </c>
      <c r="AB119" s="28">
        <f>SUMIFS(Aut_BlueMe_Sem_Pedido!$J:$J,Aut_BlueMe_Sem_Pedido!$Q:$Q,DRE!Z$4,Aut_BlueMe_Sem_Pedido!$N:$N,DRE!$A119)+SUMIFS(Aut_Ajustes_Manuais!$G:$G,Aut_Ajustes_Manuais!$I:$I,DRE!Z$4,Aut_Ajustes_Manuais!$J:$J,"  - Hostess")</f>
        <v>0</v>
      </c>
      <c r="AC119" s="241">
        <v>0</v>
      </c>
      <c r="AD119" s="27">
        <v>0</v>
      </c>
      <c r="AE119" s="28">
        <f>SUMIFS(Aut_BlueMe_Sem_Pedido!$J:$J,Aut_BlueMe_Sem_Pedido!$Q:$Q,DRE!AC$4,Aut_BlueMe_Sem_Pedido!$N:$N,DRE!$A119)+SUMIFS(Aut_Ajustes_Manuais!$G:$G,Aut_Ajustes_Manuais!$I:$I,DRE!AC$4,Aut_Ajustes_Manuais!$J:$J,"  - Hostess")</f>
        <v>0</v>
      </c>
      <c r="AF119" s="241">
        <v>0</v>
      </c>
      <c r="AG119" s="27">
        <v>0</v>
      </c>
      <c r="AH119" s="28">
        <f>SUMIFS(Aut_BlueMe_Sem_Pedido!$J:$J,Aut_BlueMe_Sem_Pedido!$Q:$Q,DRE!AF$4,Aut_BlueMe_Sem_Pedido!$N:$N,DRE!$A119)+SUMIFS(Aut_Ajustes_Manuais!$G:$G,Aut_Ajustes_Manuais!$I:$I,DRE!AF$4,Aut_Ajustes_Manuais!$J:$J,"  - Hostess")</f>
        <v>0</v>
      </c>
      <c r="AI119" s="241">
        <v>0</v>
      </c>
      <c r="AJ119" s="27">
        <v>0</v>
      </c>
      <c r="AK119" s="28">
        <f>SUMIFS(Aut_BlueMe_Sem_Pedido!$J:$J,Aut_BlueMe_Sem_Pedido!$Q:$Q,DRE!AI$4,Aut_BlueMe_Sem_Pedido!$N:$N,DRE!$A119)+SUMIFS(Aut_Ajustes_Manuais!$G:$G,Aut_Ajustes_Manuais!$I:$I,DRE!AI$4,Aut_Ajustes_Manuais!$J:$J,"  - Hostess")</f>
        <v>0</v>
      </c>
      <c r="AL119" s="241">
        <v>0</v>
      </c>
      <c r="AM119" s="27">
        <v>0</v>
      </c>
      <c r="AN119" s="28">
        <f>SUMIFS(Aut_BlueMe_Sem_Pedido!$J:$J,Aut_BlueMe_Sem_Pedido!$Q:$Q,DRE!AL$4,Aut_BlueMe_Sem_Pedido!$N:$N,DRE!$A119)+SUMIFS(Aut_Ajustes_Manuais!$G:$G,Aut_Ajustes_Manuais!$I:$I,DRE!AL$4,Aut_Ajustes_Manuais!$J:$J,"  - Hostess")</f>
        <v>0</v>
      </c>
      <c r="AO119" s="241">
        <v>0</v>
      </c>
      <c r="AP119" s="27">
        <v>0</v>
      </c>
      <c r="AQ119" s="28">
        <f>SUMIFS(Aut_BlueMe_Sem_Pedido!$J:$J,Aut_BlueMe_Sem_Pedido!$Q:$Q,DRE!AO$4,Aut_BlueMe_Sem_Pedido!$N:$N,DRE!$A119)+SUMIFS(Aut_Ajustes_Manuais!$G:$G,Aut_Ajustes_Manuais!$I:$I,DRE!AO$4,Aut_Ajustes_Manuais!$J:$J,"  - Hostess")</f>
        <v>0</v>
      </c>
      <c r="AR119" s="241">
        <f t="shared" ca="1" si="125"/>
        <v>0</v>
      </c>
      <c r="AS119" s="27">
        <f t="shared" ca="1" si="126"/>
        <v>0</v>
      </c>
      <c r="AT119" s="28">
        <f t="shared" ca="1" si="127"/>
        <v>0</v>
      </c>
      <c r="AU119" s="241">
        <f t="shared" si="129"/>
        <v>0</v>
      </c>
      <c r="AV119" s="27">
        <f t="shared" si="130"/>
        <v>0</v>
      </c>
      <c r="AW119" s="28">
        <f t="shared" si="131"/>
        <v>0</v>
      </c>
      <c r="AX119" s="241">
        <f t="shared" si="132"/>
        <v>0</v>
      </c>
      <c r="AY119" s="27">
        <f t="shared" si="133"/>
        <v>0</v>
      </c>
      <c r="AZ119" s="28">
        <f t="shared" si="134"/>
        <v>0</v>
      </c>
      <c r="BA119" s="241">
        <f t="shared" si="135"/>
        <v>0</v>
      </c>
      <c r="BB119" s="27">
        <f t="shared" si="136"/>
        <v>0</v>
      </c>
      <c r="BC119" s="28">
        <f t="shared" si="137"/>
        <v>0</v>
      </c>
      <c r="BD119" s="241">
        <f t="shared" si="138"/>
        <v>0</v>
      </c>
      <c r="BE119" s="27">
        <f t="shared" si="139"/>
        <v>0</v>
      </c>
      <c r="BF119" s="28">
        <f t="shared" si="140"/>
        <v>0</v>
      </c>
      <c r="BG119" s="241">
        <f t="shared" si="141"/>
        <v>0</v>
      </c>
      <c r="BH119" s="27">
        <f t="shared" si="142"/>
        <v>0</v>
      </c>
      <c r="BI119" s="28">
        <f t="shared" si="143"/>
        <v>0</v>
      </c>
    </row>
    <row r="120" spans="1:61" collapsed="1" x14ac:dyDescent="0.3">
      <c r="A120" s="73" t="s">
        <v>142</v>
      </c>
      <c r="C120" s="40" t="s">
        <v>35</v>
      </c>
      <c r="D120" s="40" t="s">
        <v>36</v>
      </c>
      <c r="E120" s="40" t="s">
        <v>37</v>
      </c>
      <c r="F120" s="41"/>
      <c r="G120" s="86"/>
      <c r="H120" s="252">
        <v>-31049.820000000022</v>
      </c>
      <c r="I120" s="74">
        <v>-35043.31</v>
      </c>
      <c r="J120" s="76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>-33226.17</v>
      </c>
      <c r="K120" s="252">
        <v>-31905.669999999991</v>
      </c>
      <c r="L120" s="74">
        <v>-35043.31</v>
      </c>
      <c r="M120" s="76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>-35558.550000000025</v>
      </c>
      <c r="N120" s="252">
        <v>-31144.25</v>
      </c>
      <c r="O120" s="74">
        <v>-35043.31</v>
      </c>
      <c r="P120" s="76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>-30354.770000000015</v>
      </c>
      <c r="Q120" s="252">
        <v>-28282.880000000001</v>
      </c>
      <c r="R120" s="74">
        <v>-35043.31</v>
      </c>
      <c r="S120" s="76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>-32573.910000000003</v>
      </c>
      <c r="T120" s="252">
        <v>-31011.19999999999</v>
      </c>
      <c r="U120" s="74">
        <v>-36515.12902</v>
      </c>
      <c r="V120" s="76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>-34658.000000000007</v>
      </c>
      <c r="W120" s="252">
        <v>-32003.240000000009</v>
      </c>
      <c r="X120" s="74">
        <v>-36515.12902</v>
      </c>
      <c r="Y120" s="76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>-43403.23</v>
      </c>
      <c r="Z120" s="252">
        <v>-29264.36</v>
      </c>
      <c r="AA120" s="74">
        <v>-36515.12902</v>
      </c>
      <c r="AB120" s="76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>-79200</v>
      </c>
      <c r="AC120" s="252">
        <v>-31532.82</v>
      </c>
      <c r="AD120" s="74">
        <v>-36515.12902</v>
      </c>
      <c r="AE120" s="76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>-79200</v>
      </c>
      <c r="AF120" s="252">
        <v>-28007.270000000011</v>
      </c>
      <c r="AG120" s="74">
        <v>-36515.12902</v>
      </c>
      <c r="AH120" s="76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>-79200</v>
      </c>
      <c r="AI120" s="252">
        <v>-30553.650000000009</v>
      </c>
      <c r="AJ120" s="74">
        <v>-36515.12902</v>
      </c>
      <c r="AK120" s="76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>-79200</v>
      </c>
      <c r="AL120" s="252">
        <v>-32723.83000000002</v>
      </c>
      <c r="AM120" s="74">
        <v>-36515.12902</v>
      </c>
      <c r="AN120" s="76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>-79200</v>
      </c>
      <c r="AO120" s="252">
        <v>-30465.000000000011</v>
      </c>
      <c r="AP120" s="74">
        <v>-36515.12902</v>
      </c>
      <c r="AQ120" s="76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>-79200</v>
      </c>
      <c r="AR120" s="252">
        <f t="shared" ca="1" si="125"/>
        <v>-185397.06000000003</v>
      </c>
      <c r="AS120" s="74">
        <f t="shared" ca="1" si="126"/>
        <v>-213203.49803999998</v>
      </c>
      <c r="AT120" s="76">
        <f t="shared" ca="1" si="127"/>
        <v>-209774.63000000006</v>
      </c>
      <c r="AU120" s="252">
        <f t="shared" si="129"/>
        <v>-367943.99000000011</v>
      </c>
      <c r="AV120" s="74">
        <f t="shared" si="130"/>
        <v>-432294.27215999993</v>
      </c>
      <c r="AW120" s="76">
        <f t="shared" si="131"/>
        <v>-684974.63000000012</v>
      </c>
      <c r="AX120" s="252">
        <f t="shared" si="132"/>
        <v>-94099.74000000002</v>
      </c>
      <c r="AY120" s="74">
        <f t="shared" si="133"/>
        <v>-105129.93</v>
      </c>
      <c r="AZ120" s="76">
        <f t="shared" si="134"/>
        <v>-99139.490000000049</v>
      </c>
      <c r="BA120" s="252">
        <f t="shared" si="135"/>
        <v>-91297.319999999992</v>
      </c>
      <c r="BB120" s="74">
        <f t="shared" si="136"/>
        <v>-108073.56803999998</v>
      </c>
      <c r="BC120" s="76">
        <f t="shared" si="137"/>
        <v>-110635.14000000001</v>
      </c>
      <c r="BD120" s="252">
        <f t="shared" si="138"/>
        <v>-88804.450000000012</v>
      </c>
      <c r="BE120" s="74">
        <f t="shared" si="139"/>
        <v>-109545.38706000001</v>
      </c>
      <c r="BF120" s="76">
        <f t="shared" si="140"/>
        <v>-237600</v>
      </c>
      <c r="BG120" s="252">
        <f t="shared" si="141"/>
        <v>-93742.48000000004</v>
      </c>
      <c r="BH120" s="74">
        <f t="shared" si="142"/>
        <v>-109545.38706000001</v>
      </c>
      <c r="BI120" s="76">
        <f t="shared" si="143"/>
        <v>-237600</v>
      </c>
    </row>
    <row r="121" spans="1:61" s="29" customFormat="1" hidden="1" outlineLevel="1" x14ac:dyDescent="0.3">
      <c r="A121" s="95" t="s">
        <v>143</v>
      </c>
      <c r="B121" s="2"/>
      <c r="C121" s="24"/>
      <c r="D121" s="55" t="s">
        <v>144</v>
      </c>
      <c r="E121" s="87"/>
      <c r="F121" s="56"/>
      <c r="G121" s="33"/>
      <c r="H121" s="241"/>
      <c r="I121" s="27">
        <v>0</v>
      </c>
      <c r="J121" s="28">
        <f>SUMIFS(T_REAL!$D:$D,T_REAL!$E:$E,DRE!J$7,T_REAL!$C:$C,DRE!$A121)+SUMIFS(Aut_Ajustes_Manuais!$G:$G,Aut_Ajustes_Manuais!$I:$I,DRE!H$4,Aut_Ajustes_Manuais!$F:$F,"  -  Maitre")</f>
        <v>0</v>
      </c>
      <c r="K121" s="241"/>
      <c r="L121" s="27">
        <v>0</v>
      </c>
      <c r="M121" s="28">
        <f>SUMIFS(T_REAL!$D:$D,T_REAL!$E:$E,DRE!M$7,T_REAL!$C:$C,DRE!$A121)+SUMIFS(Aut_Ajustes_Manuais!$G:$G,Aut_Ajustes_Manuais!$I:$I,DRE!K$4,Aut_Ajustes_Manuais!$F:$F,"  -  Maitre")</f>
        <v>0</v>
      </c>
      <c r="N121" s="241"/>
      <c r="O121" s="27">
        <v>0</v>
      </c>
      <c r="P121" s="28">
        <f>SUMIFS(T_REAL!$D:$D,T_REAL!$E:$E,DRE!P$7,T_REAL!$C:$C,DRE!$A121)+SUMIFS(Aut_Ajustes_Manuais!$G:$G,Aut_Ajustes_Manuais!$I:$I,DRE!N$4,Aut_Ajustes_Manuais!$F:$F,"  -  Maitre")</f>
        <v>0</v>
      </c>
      <c r="Q121" s="241"/>
      <c r="R121" s="27">
        <v>0</v>
      </c>
      <c r="S121" s="28">
        <f>SUMIFS(T_REAL!$D:$D,T_REAL!$E:$E,DRE!S$7,T_REAL!$C:$C,DRE!$A121)+SUMIFS(Aut_Ajustes_Manuais!$G:$G,Aut_Ajustes_Manuais!$I:$I,DRE!Q$4,Aut_Ajustes_Manuais!$F:$F,"  -  Maitre")</f>
        <v>0</v>
      </c>
      <c r="T121" s="241"/>
      <c r="U121" s="27">
        <v>0</v>
      </c>
      <c r="V121" s="28">
        <f>SUMIFS(T_REAL!$D:$D,T_REAL!$E:$E,DRE!V$7,T_REAL!$C:$C,DRE!$A121)+SUMIFS(Aut_Ajustes_Manuais!$G:$G,Aut_Ajustes_Manuais!$I:$I,DRE!T$4,Aut_Ajustes_Manuais!$F:$F,"  -  Maitre")</f>
        <v>0</v>
      </c>
      <c r="W121" s="241"/>
      <c r="X121" s="27">
        <v>0</v>
      </c>
      <c r="Y121" s="28">
        <f>SUMIFS(T_REAL!$D:$D,T_REAL!$E:$E,DRE!Y$7,T_REAL!$C:$C,DRE!$A121)+SUMIFS(Aut_Ajustes_Manuais!$G:$G,Aut_Ajustes_Manuais!$I:$I,DRE!W$4,Aut_Ajustes_Manuais!$F:$F,"  -  Maitre")</f>
        <v>0</v>
      </c>
      <c r="Z121" s="241"/>
      <c r="AA121" s="27">
        <v>0</v>
      </c>
      <c r="AB121" s="28">
        <f>SUMIFS(T_REAL!$D:$D,T_REAL!$E:$E,DRE!AB$7,T_REAL!$C:$C,DRE!$A121)+SUMIFS(Aut_Ajustes_Manuais!$G:$G,Aut_Ajustes_Manuais!$I:$I,DRE!Z$4,Aut_Ajustes_Manuais!$F:$F,"  -  Maitre")</f>
        <v>0</v>
      </c>
      <c r="AC121" s="241"/>
      <c r="AD121" s="27">
        <v>0</v>
      </c>
      <c r="AE121" s="28">
        <f>SUMIFS(T_REAL!$D:$D,T_REAL!$E:$E,DRE!AE$7,T_REAL!$C:$C,DRE!$A121)+SUMIFS(Aut_Ajustes_Manuais!$G:$G,Aut_Ajustes_Manuais!$I:$I,DRE!AC$4,Aut_Ajustes_Manuais!$F:$F,"  -  Maitre")</f>
        <v>0</v>
      </c>
      <c r="AF121" s="241"/>
      <c r="AG121" s="27">
        <v>0</v>
      </c>
      <c r="AH121" s="28">
        <f>SUMIFS(T_REAL!$D:$D,T_REAL!$E:$E,DRE!AH$7,T_REAL!$C:$C,DRE!$A121)+SUMIFS(Aut_Ajustes_Manuais!$G:$G,Aut_Ajustes_Manuais!$I:$I,DRE!AF$4,Aut_Ajustes_Manuais!$F:$F,"  -  Maitre")</f>
        <v>0</v>
      </c>
      <c r="AI121" s="241"/>
      <c r="AJ121" s="27">
        <v>0</v>
      </c>
      <c r="AK121" s="28">
        <f>SUMIFS(T_REAL!$D:$D,T_REAL!$E:$E,DRE!AK$7,T_REAL!$C:$C,DRE!$A121)+SUMIFS(Aut_Ajustes_Manuais!$G:$G,Aut_Ajustes_Manuais!$I:$I,DRE!AI$4,Aut_Ajustes_Manuais!$F:$F,"  -  Maitre")</f>
        <v>0</v>
      </c>
      <c r="AL121" s="241"/>
      <c r="AM121" s="27">
        <v>0</v>
      </c>
      <c r="AN121" s="28">
        <f>SUMIFS(T_REAL!$D:$D,T_REAL!$E:$E,DRE!AN$7,T_REAL!$C:$C,DRE!$A121)+SUMIFS(Aut_Ajustes_Manuais!$G:$G,Aut_Ajustes_Manuais!$I:$I,DRE!AL$4,Aut_Ajustes_Manuais!$F:$F,"  -  Maitre")</f>
        <v>0</v>
      </c>
      <c r="AO121" s="241"/>
      <c r="AP121" s="27">
        <v>0</v>
      </c>
      <c r="AQ121" s="28">
        <f>SUMIFS(T_REAL!$D:$D,T_REAL!$E:$E,DRE!AQ$7,T_REAL!$C:$C,DRE!$A121)+SUMIFS(Aut_Ajustes_Manuais!$G:$G,Aut_Ajustes_Manuais!$I:$I,DRE!AO$4,Aut_Ajustes_Manuais!$F:$F,"  -  Maitre")</f>
        <v>0</v>
      </c>
      <c r="AR121" s="241">
        <f t="shared" ca="1" si="125"/>
        <v>0</v>
      </c>
      <c r="AS121" s="27">
        <f t="shared" ca="1" si="126"/>
        <v>0</v>
      </c>
      <c r="AT121" s="28">
        <f t="shared" ca="1" si="127"/>
        <v>0</v>
      </c>
      <c r="AU121" s="241"/>
      <c r="AV121" s="27"/>
      <c r="AW121" s="28"/>
      <c r="AX121" s="241"/>
      <c r="AY121" s="27">
        <v>-8835.119999999999</v>
      </c>
      <c r="AZ121" s="28"/>
      <c r="BA121" s="241"/>
      <c r="BB121" s="27">
        <v>-9082.5033599999988</v>
      </c>
      <c r="BC121" s="28"/>
      <c r="BD121" s="241"/>
      <c r="BE121" s="27">
        <v>-9206.1950399999987</v>
      </c>
      <c r="BF121" s="28"/>
      <c r="BG121" s="241"/>
      <c r="BH121" s="27">
        <v>-9206.1950399999987</v>
      </c>
      <c r="BI121" s="28"/>
    </row>
    <row r="122" spans="1:61" s="29" customFormat="1" hidden="1" outlineLevel="1" x14ac:dyDescent="0.3">
      <c r="A122" s="95" t="s">
        <v>145</v>
      </c>
      <c r="B122" s="2"/>
      <c r="C122" s="24"/>
      <c r="D122" s="55" t="s">
        <v>144</v>
      </c>
      <c r="E122" s="87"/>
      <c r="F122" s="56"/>
      <c r="G122" s="33"/>
      <c r="H122" s="241"/>
      <c r="I122" s="27">
        <v>0</v>
      </c>
      <c r="J122" s="28">
        <f>SUMIFS(T_REAL!$D:$D,T_REAL!$E:$E,DRE!J$7,T_REAL!$C:$C,DRE!$A122)+SUMIFS(Aut_Ajustes_Manuais!$G:$G,Aut_Ajustes_Manuais!$I:$I,DRE!H$4,Aut_Ajustes_Manuais!$F:$F,"  -  Garçon III")</f>
        <v>0</v>
      </c>
      <c r="K122" s="241"/>
      <c r="L122" s="27">
        <v>0</v>
      </c>
      <c r="M122" s="28">
        <f>SUMIFS(T_REAL!$D:$D,T_REAL!$E:$E,DRE!M$7,T_REAL!$C:$C,DRE!$A122)+SUMIFS(Aut_Ajustes_Manuais!$G:$G,Aut_Ajustes_Manuais!$I:$I,DRE!K$4,Aut_Ajustes_Manuais!$F:$F,"  -  Garçon III")</f>
        <v>0</v>
      </c>
      <c r="N122" s="241"/>
      <c r="O122" s="27">
        <v>0</v>
      </c>
      <c r="P122" s="28">
        <f>SUMIFS(T_REAL!$D:$D,T_REAL!$E:$E,DRE!P$7,T_REAL!$C:$C,DRE!$A122)+SUMIFS(Aut_Ajustes_Manuais!$G:$G,Aut_Ajustes_Manuais!$I:$I,DRE!N$4,Aut_Ajustes_Manuais!$F:$F,"  -  Garçon III")</f>
        <v>0</v>
      </c>
      <c r="Q122" s="241"/>
      <c r="R122" s="27">
        <v>0</v>
      </c>
      <c r="S122" s="28">
        <f>SUMIFS(T_REAL!$D:$D,T_REAL!$E:$E,DRE!S$7,T_REAL!$C:$C,DRE!$A122)+SUMIFS(Aut_Ajustes_Manuais!$G:$G,Aut_Ajustes_Manuais!$I:$I,DRE!Q$4,Aut_Ajustes_Manuais!$F:$F,"  -  Garçon III")</f>
        <v>0</v>
      </c>
      <c r="T122" s="241"/>
      <c r="U122" s="27">
        <v>0</v>
      </c>
      <c r="V122" s="28">
        <f>SUMIFS(T_REAL!$D:$D,T_REAL!$E:$E,DRE!V$7,T_REAL!$C:$C,DRE!$A122)+SUMIFS(Aut_Ajustes_Manuais!$G:$G,Aut_Ajustes_Manuais!$I:$I,DRE!T$4,Aut_Ajustes_Manuais!$F:$F,"  -  Garçon III")</f>
        <v>0</v>
      </c>
      <c r="W122" s="241"/>
      <c r="X122" s="27">
        <v>0</v>
      </c>
      <c r="Y122" s="28">
        <f>SUMIFS(T_REAL!$D:$D,T_REAL!$E:$E,DRE!Y$7,T_REAL!$C:$C,DRE!$A122)+SUMIFS(Aut_Ajustes_Manuais!$G:$G,Aut_Ajustes_Manuais!$I:$I,DRE!W$4,Aut_Ajustes_Manuais!$F:$F,"  -  Garçon III")</f>
        <v>0</v>
      </c>
      <c r="Z122" s="241"/>
      <c r="AA122" s="27">
        <v>0</v>
      </c>
      <c r="AB122" s="28">
        <f>SUMIFS(T_REAL!$D:$D,T_REAL!$E:$E,DRE!AB$7,T_REAL!$C:$C,DRE!$A122)+SUMIFS(Aut_Ajustes_Manuais!$G:$G,Aut_Ajustes_Manuais!$I:$I,DRE!Z$4,Aut_Ajustes_Manuais!$F:$F,"  -  Garçon III")</f>
        <v>0</v>
      </c>
      <c r="AC122" s="241"/>
      <c r="AD122" s="27">
        <v>0</v>
      </c>
      <c r="AE122" s="28">
        <f>SUMIFS(T_REAL!$D:$D,T_REAL!$E:$E,DRE!AE$7,T_REAL!$C:$C,DRE!$A122)+SUMIFS(Aut_Ajustes_Manuais!$G:$G,Aut_Ajustes_Manuais!$I:$I,DRE!AC$4,Aut_Ajustes_Manuais!$F:$F,"  -  Garçon III")</f>
        <v>0</v>
      </c>
      <c r="AF122" s="241"/>
      <c r="AG122" s="27">
        <v>0</v>
      </c>
      <c r="AH122" s="28">
        <f>SUMIFS(T_REAL!$D:$D,T_REAL!$E:$E,DRE!AH$7,T_REAL!$C:$C,DRE!$A122)+SUMIFS(Aut_Ajustes_Manuais!$G:$G,Aut_Ajustes_Manuais!$I:$I,DRE!AF$4,Aut_Ajustes_Manuais!$F:$F,"  -  Garçon III")</f>
        <v>0</v>
      </c>
      <c r="AI122" s="241"/>
      <c r="AJ122" s="27">
        <v>0</v>
      </c>
      <c r="AK122" s="28">
        <f>SUMIFS(T_REAL!$D:$D,T_REAL!$E:$E,DRE!AK$7,T_REAL!$C:$C,DRE!$A122)+SUMIFS(Aut_Ajustes_Manuais!$G:$G,Aut_Ajustes_Manuais!$I:$I,DRE!AI$4,Aut_Ajustes_Manuais!$F:$F,"  -  Garçon III")</f>
        <v>0</v>
      </c>
      <c r="AL122" s="241"/>
      <c r="AM122" s="27">
        <v>0</v>
      </c>
      <c r="AN122" s="28">
        <f>SUMIFS(T_REAL!$D:$D,T_REAL!$E:$E,DRE!AN$7,T_REAL!$C:$C,DRE!$A122)+SUMIFS(Aut_Ajustes_Manuais!$G:$G,Aut_Ajustes_Manuais!$I:$I,DRE!AL$4,Aut_Ajustes_Manuais!$F:$F,"  -  Garçon III")</f>
        <v>0</v>
      </c>
      <c r="AO122" s="241"/>
      <c r="AP122" s="27">
        <v>0</v>
      </c>
      <c r="AQ122" s="28">
        <f>SUMIFS(T_REAL!$D:$D,T_REAL!$E:$E,DRE!AQ$7,T_REAL!$C:$C,DRE!$A122)+SUMIFS(Aut_Ajustes_Manuais!$G:$G,Aut_Ajustes_Manuais!$I:$I,DRE!AO$4,Aut_Ajustes_Manuais!$F:$F,"  -  Garçon III")</f>
        <v>0</v>
      </c>
      <c r="AR122" s="241">
        <f t="shared" ca="1" si="125"/>
        <v>0</v>
      </c>
      <c r="AS122" s="27">
        <f t="shared" ca="1" si="126"/>
        <v>0</v>
      </c>
      <c r="AT122" s="28">
        <f t="shared" ca="1" si="127"/>
        <v>0</v>
      </c>
      <c r="AU122" s="241"/>
      <c r="AV122" s="27"/>
      <c r="AW122" s="28"/>
      <c r="AX122" s="241"/>
      <c r="AY122" s="27">
        <v>-19385.599999999999</v>
      </c>
      <c r="AZ122" s="28"/>
      <c r="BA122" s="241"/>
      <c r="BB122" s="27">
        <v>-11794.19904</v>
      </c>
      <c r="BC122" s="28"/>
      <c r="BD122" s="241"/>
      <c r="BE122" s="27">
        <v>-12119.877119999999</v>
      </c>
      <c r="BF122" s="28"/>
      <c r="BG122" s="241"/>
      <c r="BH122" s="27">
        <v>-12119.877119999999</v>
      </c>
      <c r="BI122" s="28"/>
    </row>
    <row r="123" spans="1:61" s="29" customFormat="1" hidden="1" outlineLevel="1" x14ac:dyDescent="0.3">
      <c r="A123" s="95" t="s">
        <v>146</v>
      </c>
      <c r="B123" s="2"/>
      <c r="C123" s="24"/>
      <c r="D123" s="55" t="s">
        <v>144</v>
      </c>
      <c r="E123" s="87"/>
      <c r="F123" s="56"/>
      <c r="G123" s="33"/>
      <c r="H123" s="241"/>
      <c r="I123" s="27">
        <v>0</v>
      </c>
      <c r="J123" s="28">
        <f>SUMIFS(T_REAL!$D:$D,T_REAL!$E:$E,DRE!J$7,T_REAL!$C:$C,DRE!$A123)+SUMIFS(Aut_Ajustes_Manuais!$G:$G,Aut_Ajustes_Manuais!$I:$I,DRE!H$4,Aut_Ajustes_Manuais!$F:$F,"  -  Garçon II")</f>
        <v>0</v>
      </c>
      <c r="K123" s="241"/>
      <c r="L123" s="27">
        <v>0</v>
      </c>
      <c r="M123" s="28">
        <f>SUMIFS(T_REAL!$D:$D,T_REAL!$E:$E,DRE!M$7,T_REAL!$C:$C,DRE!$A123)+SUMIFS(Aut_Ajustes_Manuais!$G:$G,Aut_Ajustes_Manuais!$I:$I,DRE!K$4,Aut_Ajustes_Manuais!$F:$F,"  -  Garçon II")</f>
        <v>0</v>
      </c>
      <c r="N123" s="241"/>
      <c r="O123" s="27">
        <v>0</v>
      </c>
      <c r="P123" s="28">
        <f>SUMIFS(T_REAL!$D:$D,T_REAL!$E:$E,DRE!P$7,T_REAL!$C:$C,DRE!$A123)+SUMIFS(Aut_Ajustes_Manuais!$G:$G,Aut_Ajustes_Manuais!$I:$I,DRE!N$4,Aut_Ajustes_Manuais!$F:$F,"  -  Garçon II")</f>
        <v>0</v>
      </c>
      <c r="Q123" s="241"/>
      <c r="R123" s="27">
        <v>0</v>
      </c>
      <c r="S123" s="28">
        <f>SUMIFS(T_REAL!$D:$D,T_REAL!$E:$E,DRE!S$7,T_REAL!$C:$C,DRE!$A123)+SUMIFS(Aut_Ajustes_Manuais!$G:$G,Aut_Ajustes_Manuais!$I:$I,DRE!Q$4,Aut_Ajustes_Manuais!$F:$F,"  -  Garçon II")</f>
        <v>0</v>
      </c>
      <c r="T123" s="241"/>
      <c r="U123" s="27">
        <v>0</v>
      </c>
      <c r="V123" s="28">
        <f>SUMIFS(T_REAL!$D:$D,T_REAL!$E:$E,DRE!V$7,T_REAL!$C:$C,DRE!$A123)+SUMIFS(Aut_Ajustes_Manuais!$G:$G,Aut_Ajustes_Manuais!$I:$I,DRE!T$4,Aut_Ajustes_Manuais!$F:$F,"  -  Garçon II")</f>
        <v>0</v>
      </c>
      <c r="W123" s="241"/>
      <c r="X123" s="27">
        <v>0</v>
      </c>
      <c r="Y123" s="28">
        <f>SUMIFS(T_REAL!$D:$D,T_REAL!$E:$E,DRE!Y$7,T_REAL!$C:$C,DRE!$A123)+SUMIFS(Aut_Ajustes_Manuais!$G:$G,Aut_Ajustes_Manuais!$I:$I,DRE!W$4,Aut_Ajustes_Manuais!$F:$F,"  -  Garçon II")</f>
        <v>0</v>
      </c>
      <c r="Z123" s="241"/>
      <c r="AA123" s="27">
        <v>0</v>
      </c>
      <c r="AB123" s="28">
        <f>SUMIFS(T_REAL!$D:$D,T_REAL!$E:$E,DRE!AB$7,T_REAL!$C:$C,DRE!$A123)+SUMIFS(Aut_Ajustes_Manuais!$G:$G,Aut_Ajustes_Manuais!$I:$I,DRE!Z$4,Aut_Ajustes_Manuais!$F:$F,"  -  Garçon II")</f>
        <v>0</v>
      </c>
      <c r="AC123" s="241"/>
      <c r="AD123" s="27">
        <v>0</v>
      </c>
      <c r="AE123" s="28">
        <f>SUMIFS(T_REAL!$D:$D,T_REAL!$E:$E,DRE!AE$7,T_REAL!$C:$C,DRE!$A123)+SUMIFS(Aut_Ajustes_Manuais!$G:$G,Aut_Ajustes_Manuais!$I:$I,DRE!AC$4,Aut_Ajustes_Manuais!$F:$F,"  -  Garçon II")</f>
        <v>0</v>
      </c>
      <c r="AF123" s="241"/>
      <c r="AG123" s="27">
        <v>0</v>
      </c>
      <c r="AH123" s="28">
        <f>SUMIFS(T_REAL!$D:$D,T_REAL!$E:$E,DRE!AH$7,T_REAL!$C:$C,DRE!$A123)+SUMIFS(Aut_Ajustes_Manuais!$G:$G,Aut_Ajustes_Manuais!$I:$I,DRE!AF$4,Aut_Ajustes_Manuais!$F:$F,"  -  Garçon II")</f>
        <v>0</v>
      </c>
      <c r="AI123" s="241"/>
      <c r="AJ123" s="27">
        <v>0</v>
      </c>
      <c r="AK123" s="28">
        <f>SUMIFS(T_REAL!$D:$D,T_REAL!$E:$E,DRE!AK$7,T_REAL!$C:$C,DRE!$A123)+SUMIFS(Aut_Ajustes_Manuais!$G:$G,Aut_Ajustes_Manuais!$I:$I,DRE!AI$4,Aut_Ajustes_Manuais!$F:$F,"  -  Garçon II")</f>
        <v>0</v>
      </c>
      <c r="AL123" s="241"/>
      <c r="AM123" s="27">
        <v>0</v>
      </c>
      <c r="AN123" s="28">
        <f>SUMIFS(T_REAL!$D:$D,T_REAL!$E:$E,DRE!AN$7,T_REAL!$C:$C,DRE!$A123)+SUMIFS(Aut_Ajustes_Manuais!$G:$G,Aut_Ajustes_Manuais!$I:$I,DRE!AL$4,Aut_Ajustes_Manuais!$F:$F,"  -  Garçon II")</f>
        <v>0</v>
      </c>
      <c r="AO123" s="241"/>
      <c r="AP123" s="27">
        <v>0</v>
      </c>
      <c r="AQ123" s="28">
        <f>SUMIFS(T_REAL!$D:$D,T_REAL!$E:$E,DRE!AQ$7,T_REAL!$C:$C,DRE!$A123)+SUMIFS(Aut_Ajustes_Manuais!$G:$G,Aut_Ajustes_Manuais!$I:$I,DRE!AO$4,Aut_Ajustes_Manuais!$F:$F,"  -  Garçon II")</f>
        <v>0</v>
      </c>
      <c r="AR123" s="241">
        <f t="shared" ca="1" si="125"/>
        <v>0</v>
      </c>
      <c r="AS123" s="27">
        <f t="shared" ca="1" si="126"/>
        <v>0</v>
      </c>
      <c r="AT123" s="28">
        <f t="shared" ca="1" si="127"/>
        <v>0</v>
      </c>
      <c r="AU123" s="241"/>
      <c r="AV123" s="27"/>
      <c r="AW123" s="28"/>
      <c r="AX123" s="241"/>
      <c r="AY123" s="27">
        <v>-8478.2000000000007</v>
      </c>
      <c r="AZ123" s="28"/>
      <c r="BA123" s="241"/>
      <c r="BB123" s="27">
        <v>-12895.342199999999</v>
      </c>
      <c r="BC123" s="28"/>
      <c r="BD123" s="241"/>
      <c r="BE123" s="27">
        <v>-13251.426600000001</v>
      </c>
      <c r="BF123" s="28"/>
      <c r="BG123" s="241"/>
      <c r="BH123" s="27">
        <v>-13251.426600000001</v>
      </c>
      <c r="BI123" s="28"/>
    </row>
    <row r="124" spans="1:61" s="29" customFormat="1" hidden="1" outlineLevel="1" x14ac:dyDescent="0.3">
      <c r="A124" s="95" t="s">
        <v>147</v>
      </c>
      <c r="B124" s="2"/>
      <c r="C124" s="24"/>
      <c r="D124" s="55" t="s">
        <v>144</v>
      </c>
      <c r="E124" s="87"/>
      <c r="F124" s="56"/>
      <c r="G124" s="33"/>
      <c r="H124" s="241"/>
      <c r="I124" s="27">
        <v>-8414.4</v>
      </c>
      <c r="J124" s="28">
        <f>SUMIFS(T_REAL!$D:$D,T_REAL!$E:$E,DRE!J$7,T_REAL!$C:$C,DRE!$A124)+SUMIFS(Aut_Ajustes_Manuais!$G:$G,Aut_Ajustes_Manuais!$I:$I,DRE!H$4,Aut_Ajustes_Manuais!$F:$F,"  -  Garçon I")</f>
        <v>0</v>
      </c>
      <c r="K124" s="241"/>
      <c r="L124" s="27">
        <v>-8414.4</v>
      </c>
      <c r="M124" s="28">
        <f>SUMIFS(T_REAL!$D:$D,T_REAL!$E:$E,DRE!M$7,T_REAL!$C:$C,DRE!$A124)+SUMIFS(Aut_Ajustes_Manuais!$G:$G,Aut_Ajustes_Manuais!$I:$I,DRE!K$4,Aut_Ajustes_Manuais!$F:$F,"  -  Garçon I")</f>
        <v>0</v>
      </c>
      <c r="N124" s="241"/>
      <c r="O124" s="27">
        <v>-8414.4</v>
      </c>
      <c r="P124" s="28">
        <f>SUMIFS(T_REAL!$D:$D,T_REAL!$E:$E,DRE!P$7,T_REAL!$C:$C,DRE!$A124)+SUMIFS(Aut_Ajustes_Manuais!$G:$G,Aut_Ajustes_Manuais!$I:$I,DRE!N$4,Aut_Ajustes_Manuais!$F:$F,"  -  Garçon I")</f>
        <v>0</v>
      </c>
      <c r="Q124" s="241"/>
      <c r="R124" s="27">
        <v>-8414.4</v>
      </c>
      <c r="S124" s="28">
        <f>SUMIFS(T_REAL!$D:$D,T_REAL!$E:$E,DRE!S$7,T_REAL!$C:$C,DRE!$A124)+SUMIFS(Aut_Ajustes_Manuais!$G:$G,Aut_Ajustes_Manuais!$I:$I,DRE!Q$4,Aut_Ajustes_Manuais!$F:$F,"  -  Garçon I")</f>
        <v>0</v>
      </c>
      <c r="T124" s="241"/>
      <c r="U124" s="27">
        <v>-8767.8047999999999</v>
      </c>
      <c r="V124" s="28">
        <f>SUMIFS(T_REAL!$D:$D,T_REAL!$E:$E,DRE!V$7,T_REAL!$C:$C,DRE!$A124)+SUMIFS(Aut_Ajustes_Manuais!$G:$G,Aut_Ajustes_Manuais!$I:$I,DRE!T$4,Aut_Ajustes_Manuais!$F:$F,"  -  Garçon I")</f>
        <v>0</v>
      </c>
      <c r="W124" s="241"/>
      <c r="X124" s="27">
        <v>-8767.8047999999999</v>
      </c>
      <c r="Y124" s="28">
        <f>SUMIFS(T_REAL!$D:$D,T_REAL!$E:$E,DRE!Y$7,T_REAL!$C:$C,DRE!$A124)+SUMIFS(Aut_Ajustes_Manuais!$G:$G,Aut_Ajustes_Manuais!$I:$I,DRE!W$4,Aut_Ajustes_Manuais!$F:$F,"  -  Garçon I")</f>
        <v>0</v>
      </c>
      <c r="Z124" s="241"/>
      <c r="AA124" s="27">
        <v>-8767.8047999999999</v>
      </c>
      <c r="AB124" s="28">
        <f>SUMIFS(T_REAL!$D:$D,T_REAL!$E:$E,DRE!AB$7,T_REAL!$C:$C,DRE!$A124)+SUMIFS(Aut_Ajustes_Manuais!$G:$G,Aut_Ajustes_Manuais!$I:$I,DRE!Z$4,Aut_Ajustes_Manuais!$F:$F,"  -  Garçon I")</f>
        <v>0</v>
      </c>
      <c r="AC124" s="241"/>
      <c r="AD124" s="27">
        <v>-8767.8047999999999</v>
      </c>
      <c r="AE124" s="28">
        <f>SUMIFS(T_REAL!$D:$D,T_REAL!$E:$E,DRE!AE$7,T_REAL!$C:$C,DRE!$A124)+SUMIFS(Aut_Ajustes_Manuais!$G:$G,Aut_Ajustes_Manuais!$I:$I,DRE!AC$4,Aut_Ajustes_Manuais!$F:$F,"  -  Garçon I")</f>
        <v>0</v>
      </c>
      <c r="AF124" s="241"/>
      <c r="AG124" s="27">
        <v>-8767.8047999999999</v>
      </c>
      <c r="AH124" s="28">
        <f>SUMIFS(T_REAL!$D:$D,T_REAL!$E:$E,DRE!AH$7,T_REAL!$C:$C,DRE!$A124)+SUMIFS(Aut_Ajustes_Manuais!$G:$G,Aut_Ajustes_Manuais!$I:$I,DRE!AF$4,Aut_Ajustes_Manuais!$F:$F,"  -  Garçon I")</f>
        <v>0</v>
      </c>
      <c r="AI124" s="241"/>
      <c r="AJ124" s="27">
        <v>-8767.8047999999999</v>
      </c>
      <c r="AK124" s="28">
        <f>SUMIFS(T_REAL!$D:$D,T_REAL!$E:$E,DRE!AK$7,T_REAL!$C:$C,DRE!$A124)+SUMIFS(Aut_Ajustes_Manuais!$G:$G,Aut_Ajustes_Manuais!$I:$I,DRE!AI$4,Aut_Ajustes_Manuais!$F:$F,"  -  Garçon I")</f>
        <v>0</v>
      </c>
      <c r="AL124" s="241"/>
      <c r="AM124" s="27">
        <v>-8767.8047999999999</v>
      </c>
      <c r="AN124" s="28">
        <f>SUMIFS(T_REAL!$D:$D,T_REAL!$E:$E,DRE!AN$7,T_REAL!$C:$C,DRE!$A124)+SUMIFS(Aut_Ajustes_Manuais!$G:$G,Aut_Ajustes_Manuais!$I:$I,DRE!AL$4,Aut_Ajustes_Manuais!$F:$F,"  -  Garçon I")</f>
        <v>0</v>
      </c>
      <c r="AO124" s="241"/>
      <c r="AP124" s="27">
        <v>-8767.8047999999999</v>
      </c>
      <c r="AQ124" s="28">
        <f>SUMIFS(T_REAL!$D:$D,T_REAL!$E:$E,DRE!AQ$7,T_REAL!$C:$C,DRE!$A124)+SUMIFS(Aut_Ajustes_Manuais!$G:$G,Aut_Ajustes_Manuais!$I:$I,DRE!AO$4,Aut_Ajustes_Manuais!$F:$F,"  -  Garçon I")</f>
        <v>0</v>
      </c>
      <c r="AR124" s="241">
        <f t="shared" ca="1" si="125"/>
        <v>0</v>
      </c>
      <c r="AS124" s="27">
        <f t="shared" ca="1" si="126"/>
        <v>-51193.209599999995</v>
      </c>
      <c r="AT124" s="28">
        <f t="shared" ca="1" si="127"/>
        <v>0</v>
      </c>
      <c r="AU124" s="241"/>
      <c r="AV124" s="27"/>
      <c r="AW124" s="28"/>
      <c r="AX124" s="241"/>
      <c r="AY124" s="27">
        <v>-12769.4</v>
      </c>
      <c r="AZ124" s="28"/>
      <c r="BA124" s="241"/>
      <c r="BB124" s="27">
        <v>-15537.805920000001</v>
      </c>
      <c r="BC124" s="28"/>
      <c r="BD124" s="241"/>
      <c r="BE124" s="27">
        <v>-15966.857760000001</v>
      </c>
      <c r="BF124" s="28"/>
      <c r="BG124" s="241"/>
      <c r="BH124" s="27">
        <v>-15966.857760000001</v>
      </c>
      <c r="BI124" s="28"/>
    </row>
    <row r="125" spans="1:61" s="29" customFormat="1" hidden="1" outlineLevel="1" x14ac:dyDescent="0.3">
      <c r="A125" s="95" t="s">
        <v>148</v>
      </c>
      <c r="B125" s="2"/>
      <c r="C125" s="24"/>
      <c r="D125" s="55" t="s">
        <v>144</v>
      </c>
      <c r="E125" s="87"/>
      <c r="F125" s="56"/>
      <c r="G125" s="33"/>
      <c r="H125" s="241"/>
      <c r="I125" s="27">
        <v>0</v>
      </c>
      <c r="J125" s="28">
        <f>SUMIFS(T_REAL!$D:$D,T_REAL!$E:$E,DRE!J$7,T_REAL!$C:$C,DRE!$A125)+SUMIFS(Aut_Ajustes_Manuais!$G:$G,Aut_Ajustes_Manuais!$I:$I,DRE!H$4,Aut_Ajustes_Manuais!$F:$F,"  -  Passador de Chopp")</f>
        <v>0</v>
      </c>
      <c r="K125" s="241"/>
      <c r="L125" s="27">
        <v>0</v>
      </c>
      <c r="M125" s="28">
        <f>SUMIFS(T_REAL!$D:$D,T_REAL!$E:$E,DRE!M$7,T_REAL!$C:$C,DRE!$A125)+SUMIFS(Aut_Ajustes_Manuais!$G:$G,Aut_Ajustes_Manuais!$I:$I,DRE!K$4,Aut_Ajustes_Manuais!$F:$F,"  -  Passador de Chopp")</f>
        <v>0</v>
      </c>
      <c r="N125" s="241"/>
      <c r="O125" s="27">
        <v>0</v>
      </c>
      <c r="P125" s="28">
        <f>SUMIFS(T_REAL!$D:$D,T_REAL!$E:$E,DRE!P$7,T_REAL!$C:$C,DRE!$A125)+SUMIFS(Aut_Ajustes_Manuais!$G:$G,Aut_Ajustes_Manuais!$I:$I,DRE!N$4,Aut_Ajustes_Manuais!$F:$F,"  -  Passador de Chopp")</f>
        <v>0</v>
      </c>
      <c r="Q125" s="241"/>
      <c r="R125" s="27">
        <v>0</v>
      </c>
      <c r="S125" s="28">
        <f>SUMIFS(T_REAL!$D:$D,T_REAL!$E:$E,DRE!S$7,T_REAL!$C:$C,DRE!$A125)+SUMIFS(Aut_Ajustes_Manuais!$G:$G,Aut_Ajustes_Manuais!$I:$I,DRE!Q$4,Aut_Ajustes_Manuais!$F:$F,"  -  Passador de Chopp")</f>
        <v>0</v>
      </c>
      <c r="T125" s="241"/>
      <c r="U125" s="27">
        <v>0</v>
      </c>
      <c r="V125" s="28">
        <f>SUMIFS(T_REAL!$D:$D,T_REAL!$E:$E,DRE!V$7,T_REAL!$C:$C,DRE!$A125)+SUMIFS(Aut_Ajustes_Manuais!$G:$G,Aut_Ajustes_Manuais!$I:$I,DRE!T$4,Aut_Ajustes_Manuais!$F:$F,"  -  Passador de Chopp")</f>
        <v>0</v>
      </c>
      <c r="W125" s="241"/>
      <c r="X125" s="27">
        <v>0</v>
      </c>
      <c r="Y125" s="28">
        <f>SUMIFS(T_REAL!$D:$D,T_REAL!$E:$E,DRE!Y$7,T_REAL!$C:$C,DRE!$A125)+SUMIFS(Aut_Ajustes_Manuais!$G:$G,Aut_Ajustes_Manuais!$I:$I,DRE!W$4,Aut_Ajustes_Manuais!$F:$F,"  -  Passador de Chopp")</f>
        <v>0</v>
      </c>
      <c r="Z125" s="241"/>
      <c r="AA125" s="27">
        <v>0</v>
      </c>
      <c r="AB125" s="28">
        <f>SUMIFS(T_REAL!$D:$D,T_REAL!$E:$E,DRE!AB$7,T_REAL!$C:$C,DRE!$A125)+SUMIFS(Aut_Ajustes_Manuais!$G:$G,Aut_Ajustes_Manuais!$I:$I,DRE!Z$4,Aut_Ajustes_Manuais!$F:$F,"  -  Passador de Chopp")</f>
        <v>0</v>
      </c>
      <c r="AC125" s="241"/>
      <c r="AD125" s="27">
        <v>0</v>
      </c>
      <c r="AE125" s="28">
        <f>SUMIFS(T_REAL!$D:$D,T_REAL!$E:$E,DRE!AE$7,T_REAL!$C:$C,DRE!$A125)+SUMIFS(Aut_Ajustes_Manuais!$G:$G,Aut_Ajustes_Manuais!$I:$I,DRE!AC$4,Aut_Ajustes_Manuais!$F:$F,"  -  Passador de Chopp")</f>
        <v>0</v>
      </c>
      <c r="AF125" s="241"/>
      <c r="AG125" s="27">
        <v>0</v>
      </c>
      <c r="AH125" s="28">
        <f>SUMIFS(T_REAL!$D:$D,T_REAL!$E:$E,DRE!AH$7,T_REAL!$C:$C,DRE!$A125)+SUMIFS(Aut_Ajustes_Manuais!$G:$G,Aut_Ajustes_Manuais!$I:$I,DRE!AF$4,Aut_Ajustes_Manuais!$F:$F,"  -  Passador de Chopp")</f>
        <v>0</v>
      </c>
      <c r="AI125" s="241"/>
      <c r="AJ125" s="27">
        <v>0</v>
      </c>
      <c r="AK125" s="28">
        <f>SUMIFS(T_REAL!$D:$D,T_REAL!$E:$E,DRE!AK$7,T_REAL!$C:$C,DRE!$A125)+SUMIFS(Aut_Ajustes_Manuais!$G:$G,Aut_Ajustes_Manuais!$I:$I,DRE!AI$4,Aut_Ajustes_Manuais!$F:$F,"  -  Passador de Chopp")</f>
        <v>0</v>
      </c>
      <c r="AL125" s="241"/>
      <c r="AM125" s="27">
        <v>0</v>
      </c>
      <c r="AN125" s="28">
        <f>SUMIFS(T_REAL!$D:$D,T_REAL!$E:$E,DRE!AN$7,T_REAL!$C:$C,DRE!$A125)+SUMIFS(Aut_Ajustes_Manuais!$G:$G,Aut_Ajustes_Manuais!$I:$I,DRE!AL$4,Aut_Ajustes_Manuais!$F:$F,"  -  Passador de Chopp")</f>
        <v>0</v>
      </c>
      <c r="AO125" s="241"/>
      <c r="AP125" s="27">
        <v>0</v>
      </c>
      <c r="AQ125" s="28">
        <f>SUMIFS(T_REAL!$D:$D,T_REAL!$E:$E,DRE!AQ$7,T_REAL!$C:$C,DRE!$A125)+SUMIFS(Aut_Ajustes_Manuais!$G:$G,Aut_Ajustes_Manuais!$I:$I,DRE!AO$4,Aut_Ajustes_Manuais!$F:$F,"  -  Passador de Chopp")</f>
        <v>0</v>
      </c>
      <c r="AR125" s="241">
        <f t="shared" ca="1" si="125"/>
        <v>0</v>
      </c>
      <c r="AS125" s="27">
        <f t="shared" ca="1" si="126"/>
        <v>0</v>
      </c>
      <c r="AT125" s="28">
        <f t="shared" ca="1" si="127"/>
        <v>0</v>
      </c>
      <c r="AU125" s="241"/>
      <c r="AV125" s="27"/>
      <c r="AW125" s="28"/>
      <c r="AX125" s="241"/>
      <c r="AY125" s="27">
        <v>0</v>
      </c>
      <c r="AZ125" s="28"/>
      <c r="BA125" s="241"/>
      <c r="BB125" s="27">
        <v>0</v>
      </c>
      <c r="BC125" s="28"/>
      <c r="BD125" s="241"/>
      <c r="BE125" s="27">
        <v>0</v>
      </c>
      <c r="BF125" s="28"/>
      <c r="BG125" s="241"/>
      <c r="BH125" s="27">
        <v>0</v>
      </c>
      <c r="BI125" s="28"/>
    </row>
    <row r="126" spans="1:61" s="29" customFormat="1" hidden="1" outlineLevel="1" x14ac:dyDescent="0.3">
      <c r="A126" s="95" t="s">
        <v>149</v>
      </c>
      <c r="B126" s="2"/>
      <c r="C126" s="24"/>
      <c r="D126" s="55" t="s">
        <v>144</v>
      </c>
      <c r="E126" s="87"/>
      <c r="F126" s="56"/>
      <c r="G126" s="33"/>
      <c r="H126" s="241"/>
      <c r="I126" s="27">
        <v>-2103.6</v>
      </c>
      <c r="J126" s="28">
        <f>SUMIFS(T_REAL!$D:$D,T_REAL!$E:$E,DRE!J$7,T_REAL!$C:$C,DRE!$A126)+SUMIFS(Aut_Ajustes_Manuais!$G:$G,Aut_Ajustes_Manuais!$I:$I,DRE!H$4,Aut_Ajustes_Manuais!$F:$F,"  -  Cumin")</f>
        <v>0</v>
      </c>
      <c r="K126" s="241"/>
      <c r="L126" s="27">
        <v>-2103.6</v>
      </c>
      <c r="M126" s="28">
        <f>SUMIFS(T_REAL!$D:$D,T_REAL!$E:$E,DRE!M$7,T_REAL!$C:$C,DRE!$A126)+SUMIFS(Aut_Ajustes_Manuais!$G:$G,Aut_Ajustes_Manuais!$I:$I,DRE!K$4,Aut_Ajustes_Manuais!$F:$F,"  -  Cumin")</f>
        <v>0</v>
      </c>
      <c r="N126" s="241"/>
      <c r="O126" s="27">
        <v>-2103.6</v>
      </c>
      <c r="P126" s="28">
        <f>SUMIFS(T_REAL!$D:$D,T_REAL!$E:$E,DRE!P$7,T_REAL!$C:$C,DRE!$A126)+SUMIFS(Aut_Ajustes_Manuais!$G:$G,Aut_Ajustes_Manuais!$I:$I,DRE!N$4,Aut_Ajustes_Manuais!$F:$F,"  -  Cumin")</f>
        <v>0</v>
      </c>
      <c r="Q126" s="241"/>
      <c r="R126" s="27">
        <v>-2103.6</v>
      </c>
      <c r="S126" s="28">
        <f>SUMIFS(T_REAL!$D:$D,T_REAL!$E:$E,DRE!S$7,T_REAL!$C:$C,DRE!$A126)+SUMIFS(Aut_Ajustes_Manuais!$G:$G,Aut_Ajustes_Manuais!$I:$I,DRE!Q$4,Aut_Ajustes_Manuais!$F:$F,"  -  Cumin")</f>
        <v>0</v>
      </c>
      <c r="T126" s="241"/>
      <c r="U126" s="27">
        <v>-2191.9512</v>
      </c>
      <c r="V126" s="28">
        <f>SUMIFS(T_REAL!$D:$D,T_REAL!$E:$E,DRE!V$7,T_REAL!$C:$C,DRE!$A126)+SUMIFS(Aut_Ajustes_Manuais!$G:$G,Aut_Ajustes_Manuais!$I:$I,DRE!T$4,Aut_Ajustes_Manuais!$F:$F,"  -  Cumin")</f>
        <v>0</v>
      </c>
      <c r="W126" s="241"/>
      <c r="X126" s="27">
        <v>-2191.9512</v>
      </c>
      <c r="Y126" s="28">
        <f>SUMIFS(T_REAL!$D:$D,T_REAL!$E:$E,DRE!Y$7,T_REAL!$C:$C,DRE!$A126)+SUMIFS(Aut_Ajustes_Manuais!$G:$G,Aut_Ajustes_Manuais!$I:$I,DRE!W$4,Aut_Ajustes_Manuais!$F:$F,"  -  Cumin")</f>
        <v>0</v>
      </c>
      <c r="Z126" s="241"/>
      <c r="AA126" s="27">
        <v>-2191.9512</v>
      </c>
      <c r="AB126" s="28">
        <f>SUMIFS(T_REAL!$D:$D,T_REAL!$E:$E,DRE!AB$7,T_REAL!$C:$C,DRE!$A126)+SUMIFS(Aut_Ajustes_Manuais!$G:$G,Aut_Ajustes_Manuais!$I:$I,DRE!Z$4,Aut_Ajustes_Manuais!$F:$F,"  -  Cumin")</f>
        <v>0</v>
      </c>
      <c r="AC126" s="241"/>
      <c r="AD126" s="27">
        <v>-2191.9512</v>
      </c>
      <c r="AE126" s="28">
        <f>SUMIFS(T_REAL!$D:$D,T_REAL!$E:$E,DRE!AE$7,T_REAL!$C:$C,DRE!$A126)+SUMIFS(Aut_Ajustes_Manuais!$G:$G,Aut_Ajustes_Manuais!$I:$I,DRE!AC$4,Aut_Ajustes_Manuais!$F:$F,"  -  Cumin")</f>
        <v>0</v>
      </c>
      <c r="AF126" s="241"/>
      <c r="AG126" s="27">
        <v>-2191.9512</v>
      </c>
      <c r="AH126" s="28">
        <f>SUMIFS(T_REAL!$D:$D,T_REAL!$E:$E,DRE!AH$7,T_REAL!$C:$C,DRE!$A126)+SUMIFS(Aut_Ajustes_Manuais!$G:$G,Aut_Ajustes_Manuais!$I:$I,DRE!AF$4,Aut_Ajustes_Manuais!$F:$F,"  -  Cumin")</f>
        <v>0</v>
      </c>
      <c r="AI126" s="241"/>
      <c r="AJ126" s="27">
        <v>-2191.9512</v>
      </c>
      <c r="AK126" s="28">
        <f>SUMIFS(T_REAL!$D:$D,T_REAL!$E:$E,DRE!AK$7,T_REAL!$C:$C,DRE!$A126)+SUMIFS(Aut_Ajustes_Manuais!$G:$G,Aut_Ajustes_Manuais!$I:$I,DRE!AI$4,Aut_Ajustes_Manuais!$F:$F,"  -  Cumin")</f>
        <v>0</v>
      </c>
      <c r="AL126" s="241"/>
      <c r="AM126" s="27">
        <v>-2191.9512</v>
      </c>
      <c r="AN126" s="28">
        <f>SUMIFS(T_REAL!$D:$D,T_REAL!$E:$E,DRE!AN$7,T_REAL!$C:$C,DRE!$A126)+SUMIFS(Aut_Ajustes_Manuais!$G:$G,Aut_Ajustes_Manuais!$I:$I,DRE!AL$4,Aut_Ajustes_Manuais!$F:$F,"  -  Cumin")</f>
        <v>0</v>
      </c>
      <c r="AO126" s="241"/>
      <c r="AP126" s="27">
        <v>-2191.9512</v>
      </c>
      <c r="AQ126" s="28">
        <f>SUMIFS(T_REAL!$D:$D,T_REAL!$E:$E,DRE!AQ$7,T_REAL!$C:$C,DRE!$A126)+SUMIFS(Aut_Ajustes_Manuais!$G:$G,Aut_Ajustes_Manuais!$I:$I,DRE!AO$4,Aut_Ajustes_Manuais!$F:$F,"  -  Cumin")</f>
        <v>0</v>
      </c>
      <c r="AR126" s="241">
        <f t="shared" ca="1" si="125"/>
        <v>0</v>
      </c>
      <c r="AS126" s="27">
        <f t="shared" ca="1" si="126"/>
        <v>-12798.302399999999</v>
      </c>
      <c r="AT126" s="28">
        <f t="shared" ca="1" si="127"/>
        <v>0</v>
      </c>
      <c r="AU126" s="241"/>
      <c r="AV126" s="27"/>
      <c r="AW126" s="28"/>
      <c r="AX126" s="241"/>
      <c r="AY126" s="27">
        <v>-1869.4</v>
      </c>
      <c r="AZ126" s="28"/>
      <c r="BA126" s="241"/>
      <c r="BB126" s="27">
        <v>0</v>
      </c>
      <c r="BC126" s="28"/>
      <c r="BD126" s="241"/>
      <c r="BE126" s="27">
        <v>0</v>
      </c>
      <c r="BF126" s="28"/>
      <c r="BG126" s="241"/>
      <c r="BH126" s="27">
        <v>0</v>
      </c>
      <c r="BI126" s="28"/>
    </row>
    <row r="127" spans="1:61" s="29" customFormat="1" hidden="1" outlineLevel="1" x14ac:dyDescent="0.3">
      <c r="A127" s="95" t="s">
        <v>150</v>
      </c>
      <c r="B127" s="2"/>
      <c r="C127" s="24"/>
      <c r="D127" s="55" t="s">
        <v>144</v>
      </c>
      <c r="E127" s="87"/>
      <c r="F127" s="56"/>
      <c r="G127" s="33"/>
      <c r="H127" s="241"/>
      <c r="I127" s="27">
        <v>0</v>
      </c>
      <c r="J127" s="28">
        <f>SUMIFS(T_REAL!$D:$D,T_REAL!$E:$E,DRE!J$7,T_REAL!$C:$C,DRE!$A127)+SUMIFS(Aut_Ajustes_Manuais!$G:$G,Aut_Ajustes_Manuais!$I:$I,DRE!H$4,Aut_Ajustes_Manuais!$F:$F,"  -  Sub Chefe de Bar")</f>
        <v>0</v>
      </c>
      <c r="K127" s="241"/>
      <c r="L127" s="27">
        <v>0</v>
      </c>
      <c r="M127" s="28">
        <f>SUMIFS(T_REAL!$D:$D,T_REAL!$E:$E,DRE!M$7,T_REAL!$C:$C,DRE!$A127)+SUMIFS(Aut_Ajustes_Manuais!$G:$G,Aut_Ajustes_Manuais!$I:$I,DRE!K$4,Aut_Ajustes_Manuais!$F:$F,"  -  Sub Chefe de Bar")</f>
        <v>0</v>
      </c>
      <c r="N127" s="241"/>
      <c r="O127" s="27">
        <v>0</v>
      </c>
      <c r="P127" s="28">
        <f>SUMIFS(T_REAL!$D:$D,T_REAL!$E:$E,DRE!P$7,T_REAL!$C:$C,DRE!$A127)+SUMIFS(Aut_Ajustes_Manuais!$G:$G,Aut_Ajustes_Manuais!$I:$I,DRE!N$4,Aut_Ajustes_Manuais!$F:$F,"  -  Sub Chefe de Bar")</f>
        <v>0</v>
      </c>
      <c r="Q127" s="241"/>
      <c r="R127" s="27">
        <v>0</v>
      </c>
      <c r="S127" s="28">
        <f>SUMIFS(T_REAL!$D:$D,T_REAL!$E:$E,DRE!S$7,T_REAL!$C:$C,DRE!$A127)+SUMIFS(Aut_Ajustes_Manuais!$G:$G,Aut_Ajustes_Manuais!$I:$I,DRE!Q$4,Aut_Ajustes_Manuais!$F:$F,"  -  Sub Chefe de Bar")</f>
        <v>0</v>
      </c>
      <c r="T127" s="241"/>
      <c r="U127" s="27">
        <v>0</v>
      </c>
      <c r="V127" s="28">
        <f>SUMIFS(T_REAL!$D:$D,T_REAL!$E:$E,DRE!V$7,T_REAL!$C:$C,DRE!$A127)+SUMIFS(Aut_Ajustes_Manuais!$G:$G,Aut_Ajustes_Manuais!$I:$I,DRE!T$4,Aut_Ajustes_Manuais!$F:$F,"  -  Sub Chefe de Bar")</f>
        <v>0</v>
      </c>
      <c r="W127" s="241"/>
      <c r="X127" s="27">
        <v>0</v>
      </c>
      <c r="Y127" s="28">
        <f>SUMIFS(T_REAL!$D:$D,T_REAL!$E:$E,DRE!Y$7,T_REAL!$C:$C,DRE!$A127)+SUMIFS(Aut_Ajustes_Manuais!$G:$G,Aut_Ajustes_Manuais!$I:$I,DRE!W$4,Aut_Ajustes_Manuais!$F:$F,"  -  Sub Chefe de Bar")</f>
        <v>0</v>
      </c>
      <c r="Z127" s="241"/>
      <c r="AA127" s="27">
        <v>0</v>
      </c>
      <c r="AB127" s="28">
        <f>SUMIFS(T_REAL!$D:$D,T_REAL!$E:$E,DRE!AB$7,T_REAL!$C:$C,DRE!$A127)+SUMIFS(Aut_Ajustes_Manuais!$G:$G,Aut_Ajustes_Manuais!$I:$I,DRE!Z$4,Aut_Ajustes_Manuais!$F:$F,"  -  Sub Chefe de Bar")</f>
        <v>0</v>
      </c>
      <c r="AC127" s="241"/>
      <c r="AD127" s="27">
        <v>0</v>
      </c>
      <c r="AE127" s="28">
        <f>SUMIFS(T_REAL!$D:$D,T_REAL!$E:$E,DRE!AE$7,T_REAL!$C:$C,DRE!$A127)+SUMIFS(Aut_Ajustes_Manuais!$G:$G,Aut_Ajustes_Manuais!$I:$I,DRE!AC$4,Aut_Ajustes_Manuais!$F:$F,"  -  Sub Chefe de Bar")</f>
        <v>0</v>
      </c>
      <c r="AF127" s="241"/>
      <c r="AG127" s="27">
        <v>0</v>
      </c>
      <c r="AH127" s="28">
        <f>SUMIFS(T_REAL!$D:$D,T_REAL!$E:$E,DRE!AH$7,T_REAL!$C:$C,DRE!$A127)+SUMIFS(Aut_Ajustes_Manuais!$G:$G,Aut_Ajustes_Manuais!$I:$I,DRE!AF$4,Aut_Ajustes_Manuais!$F:$F,"  -  Sub Chefe de Bar")</f>
        <v>0</v>
      </c>
      <c r="AI127" s="241"/>
      <c r="AJ127" s="27">
        <v>0</v>
      </c>
      <c r="AK127" s="28">
        <f>SUMIFS(T_REAL!$D:$D,T_REAL!$E:$E,DRE!AK$7,T_REAL!$C:$C,DRE!$A127)+SUMIFS(Aut_Ajustes_Manuais!$G:$G,Aut_Ajustes_Manuais!$I:$I,DRE!AI$4,Aut_Ajustes_Manuais!$F:$F,"  -  Sub Chefe de Bar")</f>
        <v>0</v>
      </c>
      <c r="AL127" s="241"/>
      <c r="AM127" s="27">
        <v>0</v>
      </c>
      <c r="AN127" s="28">
        <f>SUMIFS(T_REAL!$D:$D,T_REAL!$E:$E,DRE!AN$7,T_REAL!$C:$C,DRE!$A127)+SUMIFS(Aut_Ajustes_Manuais!$G:$G,Aut_Ajustes_Manuais!$I:$I,DRE!AL$4,Aut_Ajustes_Manuais!$F:$F,"  -  Sub Chefe de Bar")</f>
        <v>0</v>
      </c>
      <c r="AO127" s="241"/>
      <c r="AP127" s="27">
        <v>0</v>
      </c>
      <c r="AQ127" s="28">
        <f>SUMIFS(T_REAL!$D:$D,T_REAL!$E:$E,DRE!AQ$7,T_REAL!$C:$C,DRE!$A127)+SUMIFS(Aut_Ajustes_Manuais!$G:$G,Aut_Ajustes_Manuais!$I:$I,DRE!AO$4,Aut_Ajustes_Manuais!$F:$F,"  -  Sub Chefe de Bar")</f>
        <v>0</v>
      </c>
      <c r="AR127" s="241">
        <f t="shared" ca="1" si="125"/>
        <v>0</v>
      </c>
      <c r="AS127" s="27">
        <f t="shared" ca="1" si="126"/>
        <v>0</v>
      </c>
      <c r="AT127" s="28">
        <f t="shared" ca="1" si="127"/>
        <v>0</v>
      </c>
      <c r="AU127" s="241"/>
      <c r="AV127" s="27"/>
      <c r="AW127" s="28"/>
      <c r="AX127" s="241"/>
      <c r="AY127" s="27">
        <v>0</v>
      </c>
      <c r="AZ127" s="28"/>
      <c r="BA127" s="241"/>
      <c r="BB127" s="27">
        <v>0</v>
      </c>
      <c r="BC127" s="28"/>
      <c r="BD127" s="241"/>
      <c r="BE127" s="27">
        <v>0</v>
      </c>
      <c r="BF127" s="28"/>
      <c r="BG127" s="241"/>
      <c r="BH127" s="27">
        <v>0</v>
      </c>
      <c r="BI127" s="28"/>
    </row>
    <row r="128" spans="1:61" s="29" customFormat="1" hidden="1" outlineLevel="1" x14ac:dyDescent="0.3">
      <c r="A128" s="95" t="s">
        <v>151</v>
      </c>
      <c r="B128" s="2"/>
      <c r="C128" s="24"/>
      <c r="D128" s="55" t="s">
        <v>144</v>
      </c>
      <c r="E128" s="87"/>
      <c r="F128" s="56"/>
      <c r="G128" s="33"/>
      <c r="H128" s="241"/>
      <c r="I128" s="27">
        <v>-2782.01</v>
      </c>
      <c r="J128" s="28">
        <f>SUMIFS(T_REAL!$D:$D,T_REAL!$E:$E,DRE!J$7,T_REAL!$C:$C,DRE!$A128)+SUMIFS(Aut_Ajustes_Manuais!$G:$G,Aut_Ajustes_Manuais!$I:$I,DRE!H$4,Aut_Ajustes_Manuais!$F:$F,"  -  Bartender III")</f>
        <v>0</v>
      </c>
      <c r="K128" s="241"/>
      <c r="L128" s="27">
        <v>-2782.01</v>
      </c>
      <c r="M128" s="28">
        <f>SUMIFS(T_REAL!$D:$D,T_REAL!$E:$E,DRE!M$7,T_REAL!$C:$C,DRE!$A128)+SUMIFS(Aut_Ajustes_Manuais!$G:$G,Aut_Ajustes_Manuais!$I:$I,DRE!K$4,Aut_Ajustes_Manuais!$F:$F,"  -  Bartender III")</f>
        <v>0</v>
      </c>
      <c r="N128" s="241"/>
      <c r="O128" s="27">
        <v>-2782.01</v>
      </c>
      <c r="P128" s="28">
        <f>SUMIFS(T_REAL!$D:$D,T_REAL!$E:$E,DRE!P$7,T_REAL!$C:$C,DRE!$A128)+SUMIFS(Aut_Ajustes_Manuais!$G:$G,Aut_Ajustes_Manuais!$I:$I,DRE!N$4,Aut_Ajustes_Manuais!$F:$F,"  -  Bartender III")</f>
        <v>0</v>
      </c>
      <c r="Q128" s="241"/>
      <c r="R128" s="27">
        <v>-2782.01</v>
      </c>
      <c r="S128" s="28">
        <f>SUMIFS(T_REAL!$D:$D,T_REAL!$E:$E,DRE!S$7,T_REAL!$C:$C,DRE!$A128)+SUMIFS(Aut_Ajustes_Manuais!$G:$G,Aut_Ajustes_Manuais!$I:$I,DRE!Q$4,Aut_Ajustes_Manuais!$F:$F,"  -  Bartender III")</f>
        <v>0</v>
      </c>
      <c r="T128" s="241"/>
      <c r="U128" s="27">
        <v>-2898.8544200000001</v>
      </c>
      <c r="V128" s="28">
        <f>SUMIFS(T_REAL!$D:$D,T_REAL!$E:$E,DRE!V$7,T_REAL!$C:$C,DRE!$A128)+SUMIFS(Aut_Ajustes_Manuais!$G:$G,Aut_Ajustes_Manuais!$I:$I,DRE!T$4,Aut_Ajustes_Manuais!$F:$F,"  -  Bartender III")</f>
        <v>0</v>
      </c>
      <c r="W128" s="241"/>
      <c r="X128" s="27">
        <v>-2898.8544200000001</v>
      </c>
      <c r="Y128" s="28">
        <f>SUMIFS(T_REAL!$D:$D,T_REAL!$E:$E,DRE!Y$7,T_REAL!$C:$C,DRE!$A128)+SUMIFS(Aut_Ajustes_Manuais!$G:$G,Aut_Ajustes_Manuais!$I:$I,DRE!W$4,Aut_Ajustes_Manuais!$F:$F,"  -  Bartender III")</f>
        <v>0</v>
      </c>
      <c r="Z128" s="241"/>
      <c r="AA128" s="27">
        <v>-2898.8544200000001</v>
      </c>
      <c r="AB128" s="28">
        <f>SUMIFS(T_REAL!$D:$D,T_REAL!$E:$E,DRE!AB$7,T_REAL!$C:$C,DRE!$A128)+SUMIFS(Aut_Ajustes_Manuais!$G:$G,Aut_Ajustes_Manuais!$I:$I,DRE!Z$4,Aut_Ajustes_Manuais!$F:$F,"  -  Bartender III")</f>
        <v>0</v>
      </c>
      <c r="AC128" s="241"/>
      <c r="AD128" s="27">
        <v>-2898.8544200000001</v>
      </c>
      <c r="AE128" s="28">
        <f>SUMIFS(T_REAL!$D:$D,T_REAL!$E:$E,DRE!AE$7,T_REAL!$C:$C,DRE!$A128)+SUMIFS(Aut_Ajustes_Manuais!$G:$G,Aut_Ajustes_Manuais!$I:$I,DRE!AC$4,Aut_Ajustes_Manuais!$F:$F,"  -  Bartender III")</f>
        <v>0</v>
      </c>
      <c r="AF128" s="241"/>
      <c r="AG128" s="27">
        <v>-2898.8544200000001</v>
      </c>
      <c r="AH128" s="28">
        <f>SUMIFS(T_REAL!$D:$D,T_REAL!$E:$E,DRE!AH$7,T_REAL!$C:$C,DRE!$A128)+SUMIFS(Aut_Ajustes_Manuais!$G:$G,Aut_Ajustes_Manuais!$I:$I,DRE!AF$4,Aut_Ajustes_Manuais!$F:$F,"  -  Bartender III")</f>
        <v>0</v>
      </c>
      <c r="AI128" s="241"/>
      <c r="AJ128" s="27">
        <v>-2898.8544200000001</v>
      </c>
      <c r="AK128" s="28">
        <f>SUMIFS(T_REAL!$D:$D,T_REAL!$E:$E,DRE!AK$7,T_REAL!$C:$C,DRE!$A128)+SUMIFS(Aut_Ajustes_Manuais!$G:$G,Aut_Ajustes_Manuais!$I:$I,DRE!AI$4,Aut_Ajustes_Manuais!$F:$F,"  -  Bartender III")</f>
        <v>0</v>
      </c>
      <c r="AL128" s="241"/>
      <c r="AM128" s="27">
        <v>-2898.8544200000001</v>
      </c>
      <c r="AN128" s="28">
        <f>SUMIFS(T_REAL!$D:$D,T_REAL!$E:$E,DRE!AN$7,T_REAL!$C:$C,DRE!$A128)+SUMIFS(Aut_Ajustes_Manuais!$G:$G,Aut_Ajustes_Manuais!$I:$I,DRE!AL$4,Aut_Ajustes_Manuais!$F:$F,"  -  Bartender III")</f>
        <v>0</v>
      </c>
      <c r="AO128" s="241"/>
      <c r="AP128" s="27">
        <v>-2898.8544200000001</v>
      </c>
      <c r="AQ128" s="28">
        <f>SUMIFS(T_REAL!$D:$D,T_REAL!$E:$E,DRE!AQ$7,T_REAL!$C:$C,DRE!$A128)+SUMIFS(Aut_Ajustes_Manuais!$G:$G,Aut_Ajustes_Manuais!$I:$I,DRE!AO$4,Aut_Ajustes_Manuais!$F:$F,"  -  Bartender III")</f>
        <v>0</v>
      </c>
      <c r="AR128" s="241">
        <f t="shared" ca="1" si="125"/>
        <v>0</v>
      </c>
      <c r="AS128" s="27">
        <f t="shared" ca="1" si="126"/>
        <v>-16925.74884</v>
      </c>
      <c r="AT128" s="28">
        <f t="shared" ca="1" si="127"/>
        <v>0</v>
      </c>
      <c r="AU128" s="241"/>
      <c r="AV128" s="27"/>
      <c r="AW128" s="28"/>
      <c r="AX128" s="241"/>
      <c r="AY128" s="27">
        <v>-15508.48</v>
      </c>
      <c r="AZ128" s="28"/>
      <c r="BA128" s="241"/>
      <c r="BB128" s="27">
        <v>-11794.19904</v>
      </c>
      <c r="BC128" s="28"/>
      <c r="BD128" s="241"/>
      <c r="BE128" s="27">
        <v>-12119.877119999999</v>
      </c>
      <c r="BF128" s="28"/>
      <c r="BG128" s="241"/>
      <c r="BH128" s="27">
        <v>-12119.877119999999</v>
      </c>
      <c r="BI128" s="28"/>
    </row>
    <row r="129" spans="1:61" s="29" customFormat="1" hidden="1" outlineLevel="1" x14ac:dyDescent="0.3">
      <c r="A129" s="95" t="s">
        <v>152</v>
      </c>
      <c r="B129" s="2"/>
      <c r="C129" s="24"/>
      <c r="D129" s="55" t="s">
        <v>144</v>
      </c>
      <c r="E129" s="87"/>
      <c r="F129" s="56"/>
      <c r="G129" s="33"/>
      <c r="H129" s="241"/>
      <c r="I129" s="27">
        <v>0</v>
      </c>
      <c r="J129" s="28">
        <f>SUMIFS(T_REAL!$D:$D,T_REAL!$E:$E,DRE!J$7,T_REAL!$C:$C,DRE!$A129)+SUMIFS(Aut_Ajustes_Manuais!$G:$G,Aut_Ajustes_Manuais!$I:$I,DRE!H$4,Aut_Ajustes_Manuais!$F:$F,"  -  Bartender II")</f>
        <v>0</v>
      </c>
      <c r="K129" s="241"/>
      <c r="L129" s="27">
        <v>0</v>
      </c>
      <c r="M129" s="28">
        <f>SUMIFS(T_REAL!$D:$D,T_REAL!$E:$E,DRE!M$7,T_REAL!$C:$C,DRE!$A129)+SUMIFS(Aut_Ajustes_Manuais!$G:$G,Aut_Ajustes_Manuais!$I:$I,DRE!K$4,Aut_Ajustes_Manuais!$F:$F,"  -  Bartender II")</f>
        <v>0</v>
      </c>
      <c r="N129" s="241"/>
      <c r="O129" s="27">
        <v>0</v>
      </c>
      <c r="P129" s="28">
        <f>SUMIFS(T_REAL!$D:$D,T_REAL!$E:$E,DRE!P$7,T_REAL!$C:$C,DRE!$A129)+SUMIFS(Aut_Ajustes_Manuais!$G:$G,Aut_Ajustes_Manuais!$I:$I,DRE!N$4,Aut_Ajustes_Manuais!$F:$F,"  -  Bartender II")</f>
        <v>0</v>
      </c>
      <c r="Q129" s="241"/>
      <c r="R129" s="27">
        <v>0</v>
      </c>
      <c r="S129" s="28">
        <f>SUMIFS(T_REAL!$D:$D,T_REAL!$E:$E,DRE!S$7,T_REAL!$C:$C,DRE!$A129)+SUMIFS(Aut_Ajustes_Manuais!$G:$G,Aut_Ajustes_Manuais!$I:$I,DRE!Q$4,Aut_Ajustes_Manuais!$F:$F,"  -  Bartender II")</f>
        <v>0</v>
      </c>
      <c r="T129" s="241"/>
      <c r="U129" s="27">
        <v>0</v>
      </c>
      <c r="V129" s="28">
        <f>SUMIFS(T_REAL!$D:$D,T_REAL!$E:$E,DRE!V$7,T_REAL!$C:$C,DRE!$A129)+SUMIFS(Aut_Ajustes_Manuais!$G:$G,Aut_Ajustes_Manuais!$I:$I,DRE!T$4,Aut_Ajustes_Manuais!$F:$F,"  -  Bartender II")</f>
        <v>0</v>
      </c>
      <c r="W129" s="241"/>
      <c r="X129" s="27">
        <v>0</v>
      </c>
      <c r="Y129" s="28">
        <f>SUMIFS(T_REAL!$D:$D,T_REAL!$E:$E,DRE!Y$7,T_REAL!$C:$C,DRE!$A129)+SUMIFS(Aut_Ajustes_Manuais!$G:$G,Aut_Ajustes_Manuais!$I:$I,DRE!W$4,Aut_Ajustes_Manuais!$F:$F,"  -  Bartender II")</f>
        <v>0</v>
      </c>
      <c r="Z129" s="241"/>
      <c r="AA129" s="27">
        <v>0</v>
      </c>
      <c r="AB129" s="28">
        <f>SUMIFS(T_REAL!$D:$D,T_REAL!$E:$E,DRE!AB$7,T_REAL!$C:$C,DRE!$A129)+SUMIFS(Aut_Ajustes_Manuais!$G:$G,Aut_Ajustes_Manuais!$I:$I,DRE!Z$4,Aut_Ajustes_Manuais!$F:$F,"  -  Bartender II")</f>
        <v>0</v>
      </c>
      <c r="AC129" s="241"/>
      <c r="AD129" s="27">
        <v>0</v>
      </c>
      <c r="AE129" s="28">
        <f>SUMIFS(T_REAL!$D:$D,T_REAL!$E:$E,DRE!AE$7,T_REAL!$C:$C,DRE!$A129)+SUMIFS(Aut_Ajustes_Manuais!$G:$G,Aut_Ajustes_Manuais!$I:$I,DRE!AC$4,Aut_Ajustes_Manuais!$F:$F,"  -  Bartender II")</f>
        <v>0</v>
      </c>
      <c r="AF129" s="241"/>
      <c r="AG129" s="27">
        <v>0</v>
      </c>
      <c r="AH129" s="28">
        <f>SUMIFS(T_REAL!$D:$D,T_REAL!$E:$E,DRE!AH$7,T_REAL!$C:$C,DRE!$A129)+SUMIFS(Aut_Ajustes_Manuais!$G:$G,Aut_Ajustes_Manuais!$I:$I,DRE!AF$4,Aut_Ajustes_Manuais!$F:$F,"  -  Bartender II")</f>
        <v>0</v>
      </c>
      <c r="AI129" s="241"/>
      <c r="AJ129" s="27">
        <v>0</v>
      </c>
      <c r="AK129" s="28">
        <f>SUMIFS(T_REAL!$D:$D,T_REAL!$E:$E,DRE!AK$7,T_REAL!$C:$C,DRE!$A129)+SUMIFS(Aut_Ajustes_Manuais!$G:$G,Aut_Ajustes_Manuais!$I:$I,DRE!AI$4,Aut_Ajustes_Manuais!$F:$F,"  -  Bartender II")</f>
        <v>0</v>
      </c>
      <c r="AL129" s="241"/>
      <c r="AM129" s="27">
        <v>0</v>
      </c>
      <c r="AN129" s="28">
        <f>SUMIFS(T_REAL!$D:$D,T_REAL!$E:$E,DRE!AN$7,T_REAL!$C:$C,DRE!$A129)+SUMIFS(Aut_Ajustes_Manuais!$G:$G,Aut_Ajustes_Manuais!$I:$I,DRE!AL$4,Aut_Ajustes_Manuais!$F:$F,"  -  Bartender II")</f>
        <v>0</v>
      </c>
      <c r="AO129" s="241"/>
      <c r="AP129" s="27">
        <v>0</v>
      </c>
      <c r="AQ129" s="28">
        <f>SUMIFS(T_REAL!$D:$D,T_REAL!$E:$E,DRE!AQ$7,T_REAL!$C:$C,DRE!$A129)+SUMIFS(Aut_Ajustes_Manuais!$G:$G,Aut_Ajustes_Manuais!$I:$I,DRE!AO$4,Aut_Ajustes_Manuais!$F:$F,"  -  Bartender II")</f>
        <v>0</v>
      </c>
      <c r="AR129" s="241">
        <f t="shared" ca="1" si="125"/>
        <v>0</v>
      </c>
      <c r="AS129" s="27">
        <f t="shared" ca="1" si="126"/>
        <v>0</v>
      </c>
      <c r="AT129" s="28">
        <f t="shared" ca="1" si="127"/>
        <v>0</v>
      </c>
      <c r="AU129" s="241"/>
      <c r="AV129" s="27"/>
      <c r="AW129" s="28"/>
      <c r="AX129" s="241"/>
      <c r="AY129" s="27">
        <v>-7861.28</v>
      </c>
      <c r="AZ129" s="28"/>
      <c r="BA129" s="241"/>
      <c r="BB129" s="27">
        <v>-11957.006880000001</v>
      </c>
      <c r="BC129" s="28"/>
      <c r="BD129" s="241"/>
      <c r="BE129" s="27">
        <v>-12287.18064</v>
      </c>
      <c r="BF129" s="28"/>
      <c r="BG129" s="241"/>
      <c r="BH129" s="27">
        <v>-12287.18064</v>
      </c>
      <c r="BI129" s="28"/>
    </row>
    <row r="130" spans="1:61" s="29" customFormat="1" hidden="1" outlineLevel="1" x14ac:dyDescent="0.3">
      <c r="A130" s="95" t="s">
        <v>153</v>
      </c>
      <c r="B130" s="2"/>
      <c r="C130" s="24"/>
      <c r="D130" s="55" t="s">
        <v>144</v>
      </c>
      <c r="E130" s="87"/>
      <c r="F130" s="56"/>
      <c r="G130" s="33"/>
      <c r="H130" s="241"/>
      <c r="I130" s="27">
        <v>-2103.6</v>
      </c>
      <c r="J130" s="28">
        <f>SUMIFS(T_REAL!$D:$D,T_REAL!$E:$E,DRE!J$7,T_REAL!$C:$C,DRE!$A130)+SUMIFS(Aut_Ajustes_Manuais!$G:$G,Aut_Ajustes_Manuais!$I:$I,DRE!H$4,Aut_Ajustes_Manuais!$F:$F,"  -  Bartender I")</f>
        <v>0</v>
      </c>
      <c r="K130" s="241"/>
      <c r="L130" s="27">
        <v>-2103.6</v>
      </c>
      <c r="M130" s="28">
        <f>SUMIFS(T_REAL!$D:$D,T_REAL!$E:$E,DRE!M$7,T_REAL!$C:$C,DRE!$A130)+SUMIFS(Aut_Ajustes_Manuais!$G:$G,Aut_Ajustes_Manuais!$I:$I,DRE!K$4,Aut_Ajustes_Manuais!$F:$F,"  -  Bartender I")</f>
        <v>0</v>
      </c>
      <c r="N130" s="241"/>
      <c r="O130" s="27">
        <v>-2103.6</v>
      </c>
      <c r="P130" s="28">
        <f>SUMIFS(T_REAL!$D:$D,T_REAL!$E:$E,DRE!P$7,T_REAL!$C:$C,DRE!$A130)+SUMIFS(Aut_Ajustes_Manuais!$G:$G,Aut_Ajustes_Manuais!$I:$I,DRE!N$4,Aut_Ajustes_Manuais!$F:$F,"  -  Bartender I")</f>
        <v>0</v>
      </c>
      <c r="Q130" s="241"/>
      <c r="R130" s="27">
        <v>-2103.6</v>
      </c>
      <c r="S130" s="28">
        <f>SUMIFS(T_REAL!$D:$D,T_REAL!$E:$E,DRE!S$7,T_REAL!$C:$C,DRE!$A130)+SUMIFS(Aut_Ajustes_Manuais!$G:$G,Aut_Ajustes_Manuais!$I:$I,DRE!Q$4,Aut_Ajustes_Manuais!$F:$F,"  -  Bartender I")</f>
        <v>0</v>
      </c>
      <c r="T130" s="241"/>
      <c r="U130" s="27">
        <v>-2191.9512</v>
      </c>
      <c r="V130" s="28">
        <f>SUMIFS(T_REAL!$D:$D,T_REAL!$E:$E,DRE!V$7,T_REAL!$C:$C,DRE!$A130)+SUMIFS(Aut_Ajustes_Manuais!$G:$G,Aut_Ajustes_Manuais!$I:$I,DRE!T$4,Aut_Ajustes_Manuais!$F:$F,"  -  Bartender I")</f>
        <v>0</v>
      </c>
      <c r="W130" s="241"/>
      <c r="X130" s="27">
        <v>-2191.9512</v>
      </c>
      <c r="Y130" s="28">
        <f>SUMIFS(T_REAL!$D:$D,T_REAL!$E:$E,DRE!Y$7,T_REAL!$C:$C,DRE!$A130)+SUMIFS(Aut_Ajustes_Manuais!$G:$G,Aut_Ajustes_Manuais!$I:$I,DRE!W$4,Aut_Ajustes_Manuais!$F:$F,"  -  Bartender I")</f>
        <v>0</v>
      </c>
      <c r="Z130" s="241"/>
      <c r="AA130" s="27">
        <v>-2191.9512</v>
      </c>
      <c r="AB130" s="28">
        <f>SUMIFS(T_REAL!$D:$D,T_REAL!$E:$E,DRE!AB$7,T_REAL!$C:$C,DRE!$A130)+SUMIFS(Aut_Ajustes_Manuais!$G:$G,Aut_Ajustes_Manuais!$I:$I,DRE!Z$4,Aut_Ajustes_Manuais!$F:$F,"  -  Bartender I")</f>
        <v>0</v>
      </c>
      <c r="AC130" s="241"/>
      <c r="AD130" s="27">
        <v>-2191.9512</v>
      </c>
      <c r="AE130" s="28">
        <f>SUMIFS(T_REAL!$D:$D,T_REAL!$E:$E,DRE!AE$7,T_REAL!$C:$C,DRE!$A130)+SUMIFS(Aut_Ajustes_Manuais!$G:$G,Aut_Ajustes_Manuais!$I:$I,DRE!AC$4,Aut_Ajustes_Manuais!$F:$F,"  -  Bartender I")</f>
        <v>0</v>
      </c>
      <c r="AF130" s="241"/>
      <c r="AG130" s="27">
        <v>-2191.9512</v>
      </c>
      <c r="AH130" s="28">
        <f>SUMIFS(T_REAL!$D:$D,T_REAL!$E:$E,DRE!AH$7,T_REAL!$C:$C,DRE!$A130)+SUMIFS(Aut_Ajustes_Manuais!$G:$G,Aut_Ajustes_Manuais!$I:$I,DRE!AF$4,Aut_Ajustes_Manuais!$F:$F,"  -  Bartender I")</f>
        <v>0</v>
      </c>
      <c r="AI130" s="241"/>
      <c r="AJ130" s="27">
        <v>-2191.9512</v>
      </c>
      <c r="AK130" s="28">
        <f>SUMIFS(T_REAL!$D:$D,T_REAL!$E:$E,DRE!AK$7,T_REAL!$C:$C,DRE!$A130)+SUMIFS(Aut_Ajustes_Manuais!$G:$G,Aut_Ajustes_Manuais!$I:$I,DRE!AI$4,Aut_Ajustes_Manuais!$F:$F,"  -  Bartender I")</f>
        <v>0</v>
      </c>
      <c r="AL130" s="241"/>
      <c r="AM130" s="27">
        <v>-2191.9512</v>
      </c>
      <c r="AN130" s="28">
        <f>SUMIFS(T_REAL!$D:$D,T_REAL!$E:$E,DRE!AN$7,T_REAL!$C:$C,DRE!$A130)+SUMIFS(Aut_Ajustes_Manuais!$G:$G,Aut_Ajustes_Manuais!$I:$I,DRE!AL$4,Aut_Ajustes_Manuais!$F:$F,"  -  Bartender I")</f>
        <v>0</v>
      </c>
      <c r="AO130" s="241"/>
      <c r="AP130" s="27">
        <v>-2191.9512</v>
      </c>
      <c r="AQ130" s="28">
        <f>SUMIFS(T_REAL!$D:$D,T_REAL!$E:$E,DRE!AQ$7,T_REAL!$C:$C,DRE!$A130)+SUMIFS(Aut_Ajustes_Manuais!$G:$G,Aut_Ajustes_Manuais!$I:$I,DRE!AO$4,Aut_Ajustes_Manuais!$F:$F,"  -  Bartender I")</f>
        <v>0</v>
      </c>
      <c r="AR130" s="241">
        <f t="shared" ca="1" si="125"/>
        <v>0</v>
      </c>
      <c r="AS130" s="27">
        <f t="shared" ca="1" si="126"/>
        <v>-12798.302399999999</v>
      </c>
      <c r="AT130" s="28">
        <f t="shared" ca="1" si="127"/>
        <v>0</v>
      </c>
      <c r="AU130" s="241"/>
      <c r="AV130" s="27"/>
      <c r="AW130" s="28"/>
      <c r="AX130" s="241"/>
      <c r="AY130" s="27">
        <v>-7691.49</v>
      </c>
      <c r="AZ130" s="28"/>
      <c r="BA130" s="241"/>
      <c r="BB130" s="27">
        <v>-7799.1708600000002</v>
      </c>
      <c r="BC130" s="28"/>
      <c r="BD130" s="241"/>
      <c r="BE130" s="27">
        <v>-8014.5325799999991</v>
      </c>
      <c r="BF130" s="28"/>
      <c r="BG130" s="241"/>
      <c r="BH130" s="27">
        <v>-8014.5325799999991</v>
      </c>
      <c r="BI130" s="28"/>
    </row>
    <row r="131" spans="1:61" s="29" customFormat="1" hidden="1" outlineLevel="1" x14ac:dyDescent="0.3">
      <c r="A131" s="95" t="s">
        <v>154</v>
      </c>
      <c r="B131" s="2"/>
      <c r="C131" s="24"/>
      <c r="D131" s="55" t="s">
        <v>144</v>
      </c>
      <c r="E131" s="87"/>
      <c r="F131" s="56"/>
      <c r="G131" s="33"/>
      <c r="H131" s="241"/>
      <c r="I131" s="27">
        <v>0</v>
      </c>
      <c r="J131" s="28">
        <f>SUMIFS(T_REAL!$D:$D,T_REAL!$E:$E,DRE!J$7,T_REAL!$C:$C,DRE!$A131)+SUMIFS(Aut_Ajustes_Manuais!$G:$G,Aut_Ajustes_Manuais!$I:$I,DRE!H$4,Aut_Ajustes_Manuais!$F:$F,"  -  Bar Back")</f>
        <v>0</v>
      </c>
      <c r="K131" s="241"/>
      <c r="L131" s="27">
        <v>0</v>
      </c>
      <c r="M131" s="28">
        <f>SUMIFS(T_REAL!$D:$D,T_REAL!$E:$E,DRE!M$7,T_REAL!$C:$C,DRE!$A131)+SUMIFS(Aut_Ajustes_Manuais!$G:$G,Aut_Ajustes_Manuais!$I:$I,DRE!K$4,Aut_Ajustes_Manuais!$F:$F,"  -  Bar Back")</f>
        <v>0</v>
      </c>
      <c r="N131" s="241"/>
      <c r="O131" s="27">
        <v>0</v>
      </c>
      <c r="P131" s="28">
        <f>SUMIFS(T_REAL!$D:$D,T_REAL!$E:$E,DRE!P$7,T_REAL!$C:$C,DRE!$A131)+SUMIFS(Aut_Ajustes_Manuais!$G:$G,Aut_Ajustes_Manuais!$I:$I,DRE!N$4,Aut_Ajustes_Manuais!$F:$F,"  -  Bar Back")</f>
        <v>0</v>
      </c>
      <c r="Q131" s="241"/>
      <c r="R131" s="27">
        <v>0</v>
      </c>
      <c r="S131" s="28">
        <f>SUMIFS(T_REAL!$D:$D,T_REAL!$E:$E,DRE!S$7,T_REAL!$C:$C,DRE!$A131)+SUMIFS(Aut_Ajustes_Manuais!$G:$G,Aut_Ajustes_Manuais!$I:$I,DRE!Q$4,Aut_Ajustes_Manuais!$F:$F,"  -  Bar Back")</f>
        <v>0</v>
      </c>
      <c r="T131" s="241"/>
      <c r="U131" s="27">
        <v>0</v>
      </c>
      <c r="V131" s="28">
        <f>SUMIFS(T_REAL!$D:$D,T_REAL!$E:$E,DRE!V$7,T_REAL!$C:$C,DRE!$A131)+SUMIFS(Aut_Ajustes_Manuais!$G:$G,Aut_Ajustes_Manuais!$I:$I,DRE!T$4,Aut_Ajustes_Manuais!$F:$F,"  -  Bar Back")</f>
        <v>0</v>
      </c>
      <c r="W131" s="241"/>
      <c r="X131" s="27">
        <v>0</v>
      </c>
      <c r="Y131" s="28">
        <f>SUMIFS(T_REAL!$D:$D,T_REAL!$E:$E,DRE!Y$7,T_REAL!$C:$C,DRE!$A131)+SUMIFS(Aut_Ajustes_Manuais!$G:$G,Aut_Ajustes_Manuais!$I:$I,DRE!W$4,Aut_Ajustes_Manuais!$F:$F,"  -  Bar Back")</f>
        <v>0</v>
      </c>
      <c r="Z131" s="241"/>
      <c r="AA131" s="27">
        <v>0</v>
      </c>
      <c r="AB131" s="28">
        <f>SUMIFS(T_REAL!$D:$D,T_REAL!$E:$E,DRE!AB$7,T_REAL!$C:$C,DRE!$A131)+SUMIFS(Aut_Ajustes_Manuais!$G:$G,Aut_Ajustes_Manuais!$I:$I,DRE!Z$4,Aut_Ajustes_Manuais!$F:$F,"  -  Bar Back")</f>
        <v>0</v>
      </c>
      <c r="AC131" s="241"/>
      <c r="AD131" s="27">
        <v>0</v>
      </c>
      <c r="AE131" s="28">
        <f>SUMIFS(T_REAL!$D:$D,T_REAL!$E:$E,DRE!AE$7,T_REAL!$C:$C,DRE!$A131)+SUMIFS(Aut_Ajustes_Manuais!$G:$G,Aut_Ajustes_Manuais!$I:$I,DRE!AC$4,Aut_Ajustes_Manuais!$F:$F,"  -  Bar Back")</f>
        <v>0</v>
      </c>
      <c r="AF131" s="241"/>
      <c r="AG131" s="27">
        <v>0</v>
      </c>
      <c r="AH131" s="28">
        <f>SUMIFS(T_REAL!$D:$D,T_REAL!$E:$E,DRE!AH$7,T_REAL!$C:$C,DRE!$A131)+SUMIFS(Aut_Ajustes_Manuais!$G:$G,Aut_Ajustes_Manuais!$I:$I,DRE!AF$4,Aut_Ajustes_Manuais!$F:$F,"  -  Bar Back")</f>
        <v>0</v>
      </c>
      <c r="AI131" s="241"/>
      <c r="AJ131" s="27">
        <v>0</v>
      </c>
      <c r="AK131" s="28">
        <f>SUMIFS(T_REAL!$D:$D,T_REAL!$E:$E,DRE!AK$7,T_REAL!$C:$C,DRE!$A131)+SUMIFS(Aut_Ajustes_Manuais!$G:$G,Aut_Ajustes_Manuais!$I:$I,DRE!AI$4,Aut_Ajustes_Manuais!$F:$F,"  -  Bar Back")</f>
        <v>0</v>
      </c>
      <c r="AL131" s="241"/>
      <c r="AM131" s="27">
        <v>0</v>
      </c>
      <c r="AN131" s="28">
        <f>SUMIFS(T_REAL!$D:$D,T_REAL!$E:$E,DRE!AN$7,T_REAL!$C:$C,DRE!$A131)+SUMIFS(Aut_Ajustes_Manuais!$G:$G,Aut_Ajustes_Manuais!$I:$I,DRE!AL$4,Aut_Ajustes_Manuais!$F:$F,"  -  Bar Back")</f>
        <v>0</v>
      </c>
      <c r="AO131" s="241"/>
      <c r="AP131" s="27">
        <v>0</v>
      </c>
      <c r="AQ131" s="28">
        <f>SUMIFS(T_REAL!$D:$D,T_REAL!$E:$E,DRE!AQ$7,T_REAL!$C:$C,DRE!$A131)+SUMIFS(Aut_Ajustes_Manuais!$G:$G,Aut_Ajustes_Manuais!$I:$I,DRE!AO$4,Aut_Ajustes_Manuais!$F:$F,"  -  Bar Back")</f>
        <v>0</v>
      </c>
      <c r="AR131" s="241">
        <f t="shared" ca="1" si="125"/>
        <v>0</v>
      </c>
      <c r="AS131" s="27">
        <f t="shared" ca="1" si="126"/>
        <v>0</v>
      </c>
      <c r="AT131" s="28">
        <f t="shared" ca="1" si="127"/>
        <v>0</v>
      </c>
      <c r="AU131" s="241"/>
      <c r="AV131" s="27"/>
      <c r="AW131" s="28"/>
      <c r="AX131" s="241"/>
      <c r="AY131" s="27">
        <v>-11216.4</v>
      </c>
      <c r="AZ131" s="28"/>
      <c r="BA131" s="241"/>
      <c r="BB131" s="27">
        <v>-11373.429599999999</v>
      </c>
      <c r="BC131" s="28"/>
      <c r="BD131" s="241"/>
      <c r="BE131" s="27">
        <v>-11687.488799999999</v>
      </c>
      <c r="BF131" s="28"/>
      <c r="BG131" s="241"/>
      <c r="BH131" s="27">
        <v>-11687.488799999999</v>
      </c>
      <c r="BI131" s="28"/>
    </row>
    <row r="132" spans="1:61" s="29" customFormat="1" hidden="1" outlineLevel="1" x14ac:dyDescent="0.3">
      <c r="A132" s="95" t="s">
        <v>155</v>
      </c>
      <c r="B132" s="2"/>
      <c r="C132" s="24"/>
      <c r="D132" s="55" t="s">
        <v>144</v>
      </c>
      <c r="E132" s="87"/>
      <c r="F132" s="56"/>
      <c r="G132" s="33"/>
      <c r="H132" s="241"/>
      <c r="I132" s="27">
        <v>0</v>
      </c>
      <c r="J132" s="28">
        <f>SUMIFS(T_REAL!$D:$D,T_REAL!$E:$E,DRE!J$7,T_REAL!$C:$C,DRE!$A132)+SUMIFS(Aut_Ajustes_Manuais!$G:$G,Aut_Ajustes_Manuais!$I:$I,DRE!H$4,Aut_Ajustes_Manuais!$F:$F,"  -  Barista III")</f>
        <v>0</v>
      </c>
      <c r="K132" s="241"/>
      <c r="L132" s="27">
        <v>0</v>
      </c>
      <c r="M132" s="28">
        <f>SUMIFS(T_REAL!$D:$D,T_REAL!$E:$E,DRE!M$7,T_REAL!$C:$C,DRE!$A132)+SUMIFS(Aut_Ajustes_Manuais!$G:$G,Aut_Ajustes_Manuais!$I:$I,DRE!K$4,Aut_Ajustes_Manuais!$F:$F,"  -  Barista III")</f>
        <v>0</v>
      </c>
      <c r="N132" s="241"/>
      <c r="O132" s="27">
        <v>0</v>
      </c>
      <c r="P132" s="28">
        <f>SUMIFS(T_REAL!$D:$D,T_REAL!$E:$E,DRE!P$7,T_REAL!$C:$C,DRE!$A132)+SUMIFS(Aut_Ajustes_Manuais!$G:$G,Aut_Ajustes_Manuais!$I:$I,DRE!N$4,Aut_Ajustes_Manuais!$F:$F,"  -  Barista III")</f>
        <v>0</v>
      </c>
      <c r="Q132" s="241"/>
      <c r="R132" s="27">
        <v>0</v>
      </c>
      <c r="S132" s="28">
        <f>SUMIFS(T_REAL!$D:$D,T_REAL!$E:$E,DRE!S$7,T_REAL!$C:$C,DRE!$A132)+SUMIFS(Aut_Ajustes_Manuais!$G:$G,Aut_Ajustes_Manuais!$I:$I,DRE!Q$4,Aut_Ajustes_Manuais!$F:$F,"  -  Barista III")</f>
        <v>0</v>
      </c>
      <c r="T132" s="241"/>
      <c r="U132" s="27">
        <v>0</v>
      </c>
      <c r="V132" s="28">
        <f>SUMIFS(T_REAL!$D:$D,T_REAL!$E:$E,DRE!V$7,T_REAL!$C:$C,DRE!$A132)+SUMIFS(Aut_Ajustes_Manuais!$G:$G,Aut_Ajustes_Manuais!$I:$I,DRE!T$4,Aut_Ajustes_Manuais!$F:$F,"  -  Barista III")</f>
        <v>0</v>
      </c>
      <c r="W132" s="241"/>
      <c r="X132" s="27">
        <v>0</v>
      </c>
      <c r="Y132" s="28">
        <f>SUMIFS(T_REAL!$D:$D,T_REAL!$E:$E,DRE!Y$7,T_REAL!$C:$C,DRE!$A132)+SUMIFS(Aut_Ajustes_Manuais!$G:$G,Aut_Ajustes_Manuais!$I:$I,DRE!W$4,Aut_Ajustes_Manuais!$F:$F,"  -  Barista III")</f>
        <v>0</v>
      </c>
      <c r="Z132" s="241"/>
      <c r="AA132" s="27">
        <v>0</v>
      </c>
      <c r="AB132" s="28">
        <f>SUMIFS(T_REAL!$D:$D,T_REAL!$E:$E,DRE!AB$7,T_REAL!$C:$C,DRE!$A132)+SUMIFS(Aut_Ajustes_Manuais!$G:$G,Aut_Ajustes_Manuais!$I:$I,DRE!Z$4,Aut_Ajustes_Manuais!$F:$F,"  -  Barista III")</f>
        <v>0</v>
      </c>
      <c r="AC132" s="241"/>
      <c r="AD132" s="27">
        <v>0</v>
      </c>
      <c r="AE132" s="28">
        <f>SUMIFS(T_REAL!$D:$D,T_REAL!$E:$E,DRE!AE$7,T_REAL!$C:$C,DRE!$A132)+SUMIFS(Aut_Ajustes_Manuais!$G:$G,Aut_Ajustes_Manuais!$I:$I,DRE!AC$4,Aut_Ajustes_Manuais!$F:$F,"  -  Barista III")</f>
        <v>0</v>
      </c>
      <c r="AF132" s="241"/>
      <c r="AG132" s="27">
        <v>0</v>
      </c>
      <c r="AH132" s="28">
        <f>SUMIFS(T_REAL!$D:$D,T_REAL!$E:$E,DRE!AH$7,T_REAL!$C:$C,DRE!$A132)+SUMIFS(Aut_Ajustes_Manuais!$G:$G,Aut_Ajustes_Manuais!$I:$I,DRE!AF$4,Aut_Ajustes_Manuais!$F:$F,"  -  Barista III")</f>
        <v>0</v>
      </c>
      <c r="AI132" s="241"/>
      <c r="AJ132" s="27">
        <v>0</v>
      </c>
      <c r="AK132" s="28">
        <f>SUMIFS(T_REAL!$D:$D,T_REAL!$E:$E,DRE!AK$7,T_REAL!$C:$C,DRE!$A132)+SUMIFS(Aut_Ajustes_Manuais!$G:$G,Aut_Ajustes_Manuais!$I:$I,DRE!AI$4,Aut_Ajustes_Manuais!$F:$F,"  -  Barista III")</f>
        <v>0</v>
      </c>
      <c r="AL132" s="241"/>
      <c r="AM132" s="27">
        <v>0</v>
      </c>
      <c r="AN132" s="28">
        <f>SUMIFS(T_REAL!$D:$D,T_REAL!$E:$E,DRE!AN$7,T_REAL!$C:$C,DRE!$A132)+SUMIFS(Aut_Ajustes_Manuais!$G:$G,Aut_Ajustes_Manuais!$I:$I,DRE!AL$4,Aut_Ajustes_Manuais!$F:$F,"  -  Barista III")</f>
        <v>0</v>
      </c>
      <c r="AO132" s="241"/>
      <c r="AP132" s="27">
        <v>0</v>
      </c>
      <c r="AQ132" s="28">
        <f>SUMIFS(T_REAL!$D:$D,T_REAL!$E:$E,DRE!AQ$7,T_REAL!$C:$C,DRE!$A132)+SUMIFS(Aut_Ajustes_Manuais!$G:$G,Aut_Ajustes_Manuais!$I:$I,DRE!AO$4,Aut_Ajustes_Manuais!$F:$F,"  -  Barista III")</f>
        <v>0</v>
      </c>
      <c r="AR132" s="241">
        <f t="shared" ca="1" si="125"/>
        <v>0</v>
      </c>
      <c r="AS132" s="27">
        <f t="shared" ca="1" si="126"/>
        <v>0</v>
      </c>
      <c r="AT132" s="28">
        <f t="shared" ca="1" si="127"/>
        <v>0</v>
      </c>
      <c r="AU132" s="241"/>
      <c r="AV132" s="27"/>
      <c r="AW132" s="28"/>
      <c r="AX132" s="241"/>
      <c r="AY132" s="27">
        <v>-2330.67</v>
      </c>
      <c r="AZ132" s="28"/>
      <c r="BA132" s="241"/>
      <c r="BB132" s="27">
        <v>0</v>
      </c>
      <c r="BC132" s="28"/>
      <c r="BD132" s="241"/>
      <c r="BE132" s="27">
        <v>0</v>
      </c>
      <c r="BF132" s="28"/>
      <c r="BG132" s="241"/>
      <c r="BH132" s="27">
        <v>0</v>
      </c>
      <c r="BI132" s="28"/>
    </row>
    <row r="133" spans="1:61" s="29" customFormat="1" hidden="1" outlineLevel="1" x14ac:dyDescent="0.3">
      <c r="A133" s="95" t="s">
        <v>156</v>
      </c>
      <c r="B133" s="2"/>
      <c r="C133" s="24"/>
      <c r="D133" s="55" t="s">
        <v>144</v>
      </c>
      <c r="E133" s="87"/>
      <c r="F133" s="56"/>
      <c r="G133" s="33"/>
      <c r="H133" s="241"/>
      <c r="I133" s="27">
        <v>0</v>
      </c>
      <c r="J133" s="28">
        <f>SUMIFS(T_REAL!$D:$D,T_REAL!$E:$E,DRE!J$7,T_REAL!$C:$C,DRE!$A133)+SUMIFS(Aut_Ajustes_Manuais!$G:$G,Aut_Ajustes_Manuais!$I:$I,DRE!H$4,Aut_Ajustes_Manuais!$F:$F,"  -  Barista II")</f>
        <v>0</v>
      </c>
      <c r="K133" s="241"/>
      <c r="L133" s="27">
        <v>0</v>
      </c>
      <c r="M133" s="28">
        <f>SUMIFS(T_REAL!$D:$D,T_REAL!$E:$E,DRE!M$7,T_REAL!$C:$C,DRE!$A133)+SUMIFS(Aut_Ajustes_Manuais!$G:$G,Aut_Ajustes_Manuais!$I:$I,DRE!K$4,Aut_Ajustes_Manuais!$F:$F,"  -  Barista II")</f>
        <v>0</v>
      </c>
      <c r="N133" s="241"/>
      <c r="O133" s="27">
        <v>0</v>
      </c>
      <c r="P133" s="28">
        <f>SUMIFS(T_REAL!$D:$D,T_REAL!$E:$E,DRE!P$7,T_REAL!$C:$C,DRE!$A133)+SUMIFS(Aut_Ajustes_Manuais!$G:$G,Aut_Ajustes_Manuais!$I:$I,DRE!N$4,Aut_Ajustes_Manuais!$F:$F,"  -  Barista II")</f>
        <v>0</v>
      </c>
      <c r="Q133" s="241"/>
      <c r="R133" s="27">
        <v>0</v>
      </c>
      <c r="S133" s="28">
        <f>SUMIFS(T_REAL!$D:$D,T_REAL!$E:$E,DRE!S$7,T_REAL!$C:$C,DRE!$A133)+SUMIFS(Aut_Ajustes_Manuais!$G:$G,Aut_Ajustes_Manuais!$I:$I,DRE!Q$4,Aut_Ajustes_Manuais!$F:$F,"  -  Barista II")</f>
        <v>0</v>
      </c>
      <c r="T133" s="241"/>
      <c r="U133" s="27">
        <v>0</v>
      </c>
      <c r="V133" s="28">
        <f>SUMIFS(T_REAL!$D:$D,T_REAL!$E:$E,DRE!V$7,T_REAL!$C:$C,DRE!$A133)+SUMIFS(Aut_Ajustes_Manuais!$G:$G,Aut_Ajustes_Manuais!$I:$I,DRE!T$4,Aut_Ajustes_Manuais!$F:$F,"  -  Barista II")</f>
        <v>0</v>
      </c>
      <c r="W133" s="241"/>
      <c r="X133" s="27">
        <v>0</v>
      </c>
      <c r="Y133" s="28">
        <f>SUMIFS(T_REAL!$D:$D,T_REAL!$E:$E,DRE!Y$7,T_REAL!$C:$C,DRE!$A133)+SUMIFS(Aut_Ajustes_Manuais!$G:$G,Aut_Ajustes_Manuais!$I:$I,DRE!W$4,Aut_Ajustes_Manuais!$F:$F,"  -  Barista II")</f>
        <v>0</v>
      </c>
      <c r="Z133" s="241"/>
      <c r="AA133" s="27">
        <v>0</v>
      </c>
      <c r="AB133" s="28">
        <f>SUMIFS(T_REAL!$D:$D,T_REAL!$E:$E,DRE!AB$7,T_REAL!$C:$C,DRE!$A133)+SUMIFS(Aut_Ajustes_Manuais!$G:$G,Aut_Ajustes_Manuais!$I:$I,DRE!Z$4,Aut_Ajustes_Manuais!$F:$F,"  -  Barista II")</f>
        <v>0</v>
      </c>
      <c r="AC133" s="241"/>
      <c r="AD133" s="27">
        <v>0</v>
      </c>
      <c r="AE133" s="28">
        <f>SUMIFS(T_REAL!$D:$D,T_REAL!$E:$E,DRE!AE$7,T_REAL!$C:$C,DRE!$A133)+SUMIFS(Aut_Ajustes_Manuais!$G:$G,Aut_Ajustes_Manuais!$I:$I,DRE!AC$4,Aut_Ajustes_Manuais!$F:$F,"  -  Barista II")</f>
        <v>0</v>
      </c>
      <c r="AF133" s="241"/>
      <c r="AG133" s="27">
        <v>0</v>
      </c>
      <c r="AH133" s="28">
        <f>SUMIFS(T_REAL!$D:$D,T_REAL!$E:$E,DRE!AH$7,T_REAL!$C:$C,DRE!$A133)+SUMIFS(Aut_Ajustes_Manuais!$G:$G,Aut_Ajustes_Manuais!$I:$I,DRE!AF$4,Aut_Ajustes_Manuais!$F:$F,"  -  Barista II")</f>
        <v>0</v>
      </c>
      <c r="AI133" s="241"/>
      <c r="AJ133" s="27">
        <v>0</v>
      </c>
      <c r="AK133" s="28">
        <f>SUMIFS(T_REAL!$D:$D,T_REAL!$E:$E,DRE!AK$7,T_REAL!$C:$C,DRE!$A133)+SUMIFS(Aut_Ajustes_Manuais!$G:$G,Aut_Ajustes_Manuais!$I:$I,DRE!AI$4,Aut_Ajustes_Manuais!$F:$F,"  -  Barista II")</f>
        <v>0</v>
      </c>
      <c r="AL133" s="241"/>
      <c r="AM133" s="27">
        <v>0</v>
      </c>
      <c r="AN133" s="28">
        <f>SUMIFS(T_REAL!$D:$D,T_REAL!$E:$E,DRE!AN$7,T_REAL!$C:$C,DRE!$A133)+SUMIFS(Aut_Ajustes_Manuais!$G:$G,Aut_Ajustes_Manuais!$I:$I,DRE!AL$4,Aut_Ajustes_Manuais!$F:$F,"  -  Barista II")</f>
        <v>0</v>
      </c>
      <c r="AO133" s="241"/>
      <c r="AP133" s="27">
        <v>0</v>
      </c>
      <c r="AQ133" s="28">
        <f>SUMIFS(T_REAL!$D:$D,T_REAL!$E:$E,DRE!AQ$7,T_REAL!$C:$C,DRE!$A133)+SUMIFS(Aut_Ajustes_Manuais!$G:$G,Aut_Ajustes_Manuais!$I:$I,DRE!AO$4,Aut_Ajustes_Manuais!$F:$F,"  -  Barista II")</f>
        <v>0</v>
      </c>
      <c r="AR133" s="241">
        <f t="shared" ca="1" si="125"/>
        <v>0</v>
      </c>
      <c r="AS133" s="27">
        <f t="shared" ca="1" si="126"/>
        <v>0</v>
      </c>
      <c r="AT133" s="28">
        <f t="shared" ca="1" si="127"/>
        <v>0</v>
      </c>
      <c r="AU133" s="241"/>
      <c r="AV133" s="27"/>
      <c r="AW133" s="28"/>
      <c r="AX133" s="241"/>
      <c r="AY133" s="27">
        <v>-5107.76</v>
      </c>
      <c r="AZ133" s="28"/>
      <c r="BA133" s="241"/>
      <c r="BB133" s="27">
        <v>-7768.9029600000003</v>
      </c>
      <c r="BC133" s="28"/>
      <c r="BD133" s="241"/>
      <c r="BE133" s="27">
        <v>-7983.4288800000004</v>
      </c>
      <c r="BF133" s="28"/>
      <c r="BG133" s="241"/>
      <c r="BH133" s="27">
        <v>-7983.4288800000004</v>
      </c>
      <c r="BI133" s="28"/>
    </row>
    <row r="134" spans="1:61" s="29" customFormat="1" hidden="1" outlineLevel="1" x14ac:dyDescent="0.3">
      <c r="A134" s="95" t="s">
        <v>157</v>
      </c>
      <c r="B134" s="2"/>
      <c r="C134" s="24"/>
      <c r="D134" s="55" t="s">
        <v>144</v>
      </c>
      <c r="E134" s="87"/>
      <c r="F134" s="56"/>
      <c r="G134" s="33"/>
      <c r="H134" s="241"/>
      <c r="I134" s="27">
        <v>0</v>
      </c>
      <c r="J134" s="28">
        <f>SUMIFS(T_REAL!$D:$D,T_REAL!$E:$E,DRE!J$7,T_REAL!$C:$C,DRE!$A134)+SUMIFS(Aut_Ajustes_Manuais!$G:$G,Aut_Ajustes_Manuais!$I:$I,DRE!H$4,Aut_Ajustes_Manuais!$F:$F,"  -  Barista I")</f>
        <v>0</v>
      </c>
      <c r="K134" s="241"/>
      <c r="L134" s="27">
        <v>0</v>
      </c>
      <c r="M134" s="28">
        <f>SUMIFS(T_REAL!$D:$D,T_REAL!$E:$E,DRE!M$7,T_REAL!$C:$C,DRE!$A134)+SUMIFS(Aut_Ajustes_Manuais!$G:$G,Aut_Ajustes_Manuais!$I:$I,DRE!K$4,Aut_Ajustes_Manuais!$F:$F,"  -  Barista I")</f>
        <v>0</v>
      </c>
      <c r="N134" s="241"/>
      <c r="O134" s="27">
        <v>0</v>
      </c>
      <c r="P134" s="28">
        <f>SUMIFS(T_REAL!$D:$D,T_REAL!$E:$E,DRE!P$7,T_REAL!$C:$C,DRE!$A134)+SUMIFS(Aut_Ajustes_Manuais!$G:$G,Aut_Ajustes_Manuais!$I:$I,DRE!N$4,Aut_Ajustes_Manuais!$F:$F,"  -  Barista I")</f>
        <v>0</v>
      </c>
      <c r="Q134" s="241"/>
      <c r="R134" s="27">
        <v>0</v>
      </c>
      <c r="S134" s="28">
        <f>SUMIFS(T_REAL!$D:$D,T_REAL!$E:$E,DRE!S$7,T_REAL!$C:$C,DRE!$A134)+SUMIFS(Aut_Ajustes_Manuais!$G:$G,Aut_Ajustes_Manuais!$I:$I,DRE!Q$4,Aut_Ajustes_Manuais!$F:$F,"  -  Barista I")</f>
        <v>0</v>
      </c>
      <c r="T134" s="241"/>
      <c r="U134" s="27">
        <v>0</v>
      </c>
      <c r="V134" s="28">
        <f>SUMIFS(T_REAL!$D:$D,T_REAL!$E:$E,DRE!V$7,T_REAL!$C:$C,DRE!$A134)+SUMIFS(Aut_Ajustes_Manuais!$G:$G,Aut_Ajustes_Manuais!$I:$I,DRE!T$4,Aut_Ajustes_Manuais!$F:$F,"  -  Barista I")</f>
        <v>0</v>
      </c>
      <c r="W134" s="241"/>
      <c r="X134" s="27">
        <v>0</v>
      </c>
      <c r="Y134" s="28">
        <f>SUMIFS(T_REAL!$D:$D,T_REAL!$E:$E,DRE!Y$7,T_REAL!$C:$C,DRE!$A134)+SUMIFS(Aut_Ajustes_Manuais!$G:$G,Aut_Ajustes_Manuais!$I:$I,DRE!W$4,Aut_Ajustes_Manuais!$F:$F,"  -  Barista I")</f>
        <v>0</v>
      </c>
      <c r="Z134" s="241"/>
      <c r="AA134" s="27">
        <v>0</v>
      </c>
      <c r="AB134" s="28">
        <f>SUMIFS(T_REAL!$D:$D,T_REAL!$E:$E,DRE!AB$7,T_REAL!$C:$C,DRE!$A134)+SUMIFS(Aut_Ajustes_Manuais!$G:$G,Aut_Ajustes_Manuais!$I:$I,DRE!Z$4,Aut_Ajustes_Manuais!$F:$F,"  -  Barista I")</f>
        <v>0</v>
      </c>
      <c r="AC134" s="241"/>
      <c r="AD134" s="27">
        <v>0</v>
      </c>
      <c r="AE134" s="28">
        <f>SUMIFS(T_REAL!$D:$D,T_REAL!$E:$E,DRE!AE$7,T_REAL!$C:$C,DRE!$A134)+SUMIFS(Aut_Ajustes_Manuais!$G:$G,Aut_Ajustes_Manuais!$I:$I,DRE!AC$4,Aut_Ajustes_Manuais!$F:$F,"  -  Barista I")</f>
        <v>0</v>
      </c>
      <c r="AF134" s="241"/>
      <c r="AG134" s="27">
        <v>0</v>
      </c>
      <c r="AH134" s="28">
        <f>SUMIFS(T_REAL!$D:$D,T_REAL!$E:$E,DRE!AH$7,T_REAL!$C:$C,DRE!$A134)+SUMIFS(Aut_Ajustes_Manuais!$G:$G,Aut_Ajustes_Manuais!$I:$I,DRE!AF$4,Aut_Ajustes_Manuais!$F:$F,"  -  Barista I")</f>
        <v>0</v>
      </c>
      <c r="AI134" s="241"/>
      <c r="AJ134" s="27">
        <v>0</v>
      </c>
      <c r="AK134" s="28">
        <f>SUMIFS(T_REAL!$D:$D,T_REAL!$E:$E,DRE!AK$7,T_REAL!$C:$C,DRE!$A134)+SUMIFS(Aut_Ajustes_Manuais!$G:$G,Aut_Ajustes_Manuais!$I:$I,DRE!AI$4,Aut_Ajustes_Manuais!$F:$F,"  -  Barista I")</f>
        <v>0</v>
      </c>
      <c r="AL134" s="241"/>
      <c r="AM134" s="27">
        <v>0</v>
      </c>
      <c r="AN134" s="28">
        <f>SUMIFS(T_REAL!$D:$D,T_REAL!$E:$E,DRE!AN$7,T_REAL!$C:$C,DRE!$A134)+SUMIFS(Aut_Ajustes_Manuais!$G:$G,Aut_Ajustes_Manuais!$I:$I,DRE!AL$4,Aut_Ajustes_Manuais!$F:$F,"  -  Barista I")</f>
        <v>0</v>
      </c>
      <c r="AO134" s="241"/>
      <c r="AP134" s="27">
        <v>0</v>
      </c>
      <c r="AQ134" s="28">
        <f>SUMIFS(T_REAL!$D:$D,T_REAL!$E:$E,DRE!AQ$7,T_REAL!$C:$C,DRE!$A134)+SUMIFS(Aut_Ajustes_Manuais!$G:$G,Aut_Ajustes_Manuais!$I:$I,DRE!AO$4,Aut_Ajustes_Manuais!$F:$F,"  -  Barista I")</f>
        <v>0</v>
      </c>
      <c r="AR134" s="241">
        <f t="shared" ca="1" si="125"/>
        <v>0</v>
      </c>
      <c r="AS134" s="27">
        <f t="shared" ca="1" si="126"/>
        <v>0</v>
      </c>
      <c r="AT134" s="28">
        <f t="shared" ca="1" si="127"/>
        <v>0</v>
      </c>
      <c r="AU134" s="241"/>
      <c r="AV134" s="27"/>
      <c r="AW134" s="28"/>
      <c r="AX134" s="241"/>
      <c r="AY134" s="27">
        <v>0</v>
      </c>
      <c r="AZ134" s="28"/>
      <c r="BA134" s="241"/>
      <c r="BB134" s="27">
        <v>0</v>
      </c>
      <c r="BC134" s="28"/>
      <c r="BD134" s="241"/>
      <c r="BE134" s="27">
        <v>0</v>
      </c>
      <c r="BF134" s="28"/>
      <c r="BG134" s="241"/>
      <c r="BH134" s="27">
        <v>0</v>
      </c>
      <c r="BI134" s="28"/>
    </row>
    <row r="135" spans="1:61" s="29" customFormat="1" hidden="1" outlineLevel="1" x14ac:dyDescent="0.3">
      <c r="A135" s="95" t="s">
        <v>158</v>
      </c>
      <c r="B135" s="2"/>
      <c r="C135" s="24"/>
      <c r="D135" s="55" t="s">
        <v>144</v>
      </c>
      <c r="E135" s="87"/>
      <c r="F135" s="56"/>
      <c r="G135" s="33"/>
      <c r="H135" s="241"/>
      <c r="I135" s="27">
        <v>0</v>
      </c>
      <c r="J135" s="28">
        <f>SUMIFS(T_REAL!$D:$D,T_REAL!$E:$E,DRE!J$7,T_REAL!$C:$C,DRE!$A135)+SUMIFS(Aut_Ajustes_Manuais!$G:$G,Aut_Ajustes_Manuais!$I:$I,DRE!H$4,Aut_Ajustes_Manuais!$F:$F,"  -  Chopeiro III")</f>
        <v>0</v>
      </c>
      <c r="K135" s="241"/>
      <c r="L135" s="27">
        <v>0</v>
      </c>
      <c r="M135" s="28">
        <f>SUMIFS(T_REAL!$D:$D,T_REAL!$E:$E,DRE!M$7,T_REAL!$C:$C,DRE!$A135)+SUMIFS(Aut_Ajustes_Manuais!$G:$G,Aut_Ajustes_Manuais!$I:$I,DRE!K$4,Aut_Ajustes_Manuais!$F:$F,"  -  Chopeiro III")</f>
        <v>0</v>
      </c>
      <c r="N135" s="241"/>
      <c r="O135" s="27">
        <v>0</v>
      </c>
      <c r="P135" s="28">
        <f>SUMIFS(T_REAL!$D:$D,T_REAL!$E:$E,DRE!P$7,T_REAL!$C:$C,DRE!$A135)+SUMIFS(Aut_Ajustes_Manuais!$G:$G,Aut_Ajustes_Manuais!$I:$I,DRE!N$4,Aut_Ajustes_Manuais!$F:$F,"  -  Chopeiro III")</f>
        <v>0</v>
      </c>
      <c r="Q135" s="241"/>
      <c r="R135" s="27">
        <v>0</v>
      </c>
      <c r="S135" s="28">
        <f>SUMIFS(T_REAL!$D:$D,T_REAL!$E:$E,DRE!S$7,T_REAL!$C:$C,DRE!$A135)+SUMIFS(Aut_Ajustes_Manuais!$G:$G,Aut_Ajustes_Manuais!$I:$I,DRE!Q$4,Aut_Ajustes_Manuais!$F:$F,"  -  Chopeiro III")</f>
        <v>0</v>
      </c>
      <c r="T135" s="241"/>
      <c r="U135" s="27">
        <v>0</v>
      </c>
      <c r="V135" s="28">
        <f>SUMIFS(T_REAL!$D:$D,T_REAL!$E:$E,DRE!V$7,T_REAL!$C:$C,DRE!$A135)+SUMIFS(Aut_Ajustes_Manuais!$G:$G,Aut_Ajustes_Manuais!$I:$I,DRE!T$4,Aut_Ajustes_Manuais!$F:$F,"  -  Chopeiro III")</f>
        <v>0</v>
      </c>
      <c r="W135" s="241"/>
      <c r="X135" s="27">
        <v>0</v>
      </c>
      <c r="Y135" s="28">
        <f>SUMIFS(T_REAL!$D:$D,T_REAL!$E:$E,DRE!Y$7,T_REAL!$C:$C,DRE!$A135)+SUMIFS(Aut_Ajustes_Manuais!$G:$G,Aut_Ajustes_Manuais!$I:$I,DRE!W$4,Aut_Ajustes_Manuais!$F:$F,"  -  Chopeiro III")</f>
        <v>0</v>
      </c>
      <c r="Z135" s="241"/>
      <c r="AA135" s="27">
        <v>0</v>
      </c>
      <c r="AB135" s="28">
        <f>SUMIFS(T_REAL!$D:$D,T_REAL!$E:$E,DRE!AB$7,T_REAL!$C:$C,DRE!$A135)+SUMIFS(Aut_Ajustes_Manuais!$G:$G,Aut_Ajustes_Manuais!$I:$I,DRE!Z$4,Aut_Ajustes_Manuais!$F:$F,"  -  Chopeiro III")</f>
        <v>0</v>
      </c>
      <c r="AC135" s="241"/>
      <c r="AD135" s="27">
        <v>0</v>
      </c>
      <c r="AE135" s="28">
        <f>SUMIFS(T_REAL!$D:$D,T_REAL!$E:$E,DRE!AE$7,T_REAL!$C:$C,DRE!$A135)+SUMIFS(Aut_Ajustes_Manuais!$G:$G,Aut_Ajustes_Manuais!$I:$I,DRE!AC$4,Aut_Ajustes_Manuais!$F:$F,"  -  Chopeiro III")</f>
        <v>0</v>
      </c>
      <c r="AF135" s="241"/>
      <c r="AG135" s="27">
        <v>0</v>
      </c>
      <c r="AH135" s="28">
        <f>SUMIFS(T_REAL!$D:$D,T_REAL!$E:$E,DRE!AH$7,T_REAL!$C:$C,DRE!$A135)+SUMIFS(Aut_Ajustes_Manuais!$G:$G,Aut_Ajustes_Manuais!$I:$I,DRE!AF$4,Aut_Ajustes_Manuais!$F:$F,"  -  Chopeiro III")</f>
        <v>0</v>
      </c>
      <c r="AI135" s="241"/>
      <c r="AJ135" s="27">
        <v>0</v>
      </c>
      <c r="AK135" s="28">
        <f>SUMIFS(T_REAL!$D:$D,T_REAL!$E:$E,DRE!AK$7,T_REAL!$C:$C,DRE!$A135)+SUMIFS(Aut_Ajustes_Manuais!$G:$G,Aut_Ajustes_Manuais!$I:$I,DRE!AI$4,Aut_Ajustes_Manuais!$F:$F,"  -  Chopeiro III")</f>
        <v>0</v>
      </c>
      <c r="AL135" s="241"/>
      <c r="AM135" s="27">
        <v>0</v>
      </c>
      <c r="AN135" s="28">
        <f>SUMIFS(T_REAL!$D:$D,T_REAL!$E:$E,DRE!AN$7,T_REAL!$C:$C,DRE!$A135)+SUMIFS(Aut_Ajustes_Manuais!$G:$G,Aut_Ajustes_Manuais!$I:$I,DRE!AL$4,Aut_Ajustes_Manuais!$F:$F,"  -  Chopeiro III")</f>
        <v>0</v>
      </c>
      <c r="AO135" s="241"/>
      <c r="AP135" s="27">
        <v>0</v>
      </c>
      <c r="AQ135" s="28">
        <f>SUMIFS(T_REAL!$D:$D,T_REAL!$E:$E,DRE!AQ$7,T_REAL!$C:$C,DRE!$A135)+SUMIFS(Aut_Ajustes_Manuais!$G:$G,Aut_Ajustes_Manuais!$I:$I,DRE!AO$4,Aut_Ajustes_Manuais!$F:$F,"  -  Chopeiro III")</f>
        <v>0</v>
      </c>
      <c r="AR135" s="241">
        <f t="shared" ca="1" si="125"/>
        <v>0</v>
      </c>
      <c r="AS135" s="27">
        <f t="shared" ca="1" si="126"/>
        <v>0</v>
      </c>
      <c r="AT135" s="28">
        <f t="shared" ca="1" si="127"/>
        <v>0</v>
      </c>
      <c r="AU135" s="241"/>
      <c r="AV135" s="27"/>
      <c r="AW135" s="28"/>
      <c r="AX135" s="241"/>
      <c r="AY135" s="27">
        <v>0</v>
      </c>
      <c r="AZ135" s="28"/>
      <c r="BA135" s="241"/>
      <c r="BB135" s="27">
        <v>0</v>
      </c>
      <c r="BC135" s="28"/>
      <c r="BD135" s="241"/>
      <c r="BE135" s="27">
        <v>0</v>
      </c>
      <c r="BF135" s="28"/>
      <c r="BG135" s="241"/>
      <c r="BH135" s="27">
        <v>0</v>
      </c>
      <c r="BI135" s="28"/>
    </row>
    <row r="136" spans="1:61" s="29" customFormat="1" hidden="1" outlineLevel="1" x14ac:dyDescent="0.3">
      <c r="A136" s="95" t="s">
        <v>159</v>
      </c>
      <c r="B136" s="2"/>
      <c r="C136" s="24"/>
      <c r="D136" s="55" t="s">
        <v>144</v>
      </c>
      <c r="E136" s="87"/>
      <c r="F136" s="56"/>
      <c r="G136" s="33"/>
      <c r="H136" s="241"/>
      <c r="I136" s="27">
        <v>0</v>
      </c>
      <c r="J136" s="28">
        <f>SUMIFS(T_REAL!$D:$D,T_REAL!$E:$E,DRE!J$7,T_REAL!$C:$C,DRE!$A136)+SUMIFS(Aut_Ajustes_Manuais!$G:$G,Aut_Ajustes_Manuais!$I:$I,DRE!H$4,Aut_Ajustes_Manuais!$F:$F,"  -  Chopeiro II")</f>
        <v>0</v>
      </c>
      <c r="K136" s="241"/>
      <c r="L136" s="27">
        <v>0</v>
      </c>
      <c r="M136" s="28">
        <f>SUMIFS(T_REAL!$D:$D,T_REAL!$E:$E,DRE!M$7,T_REAL!$C:$C,DRE!$A136)+SUMIFS(Aut_Ajustes_Manuais!$G:$G,Aut_Ajustes_Manuais!$I:$I,DRE!K$4,Aut_Ajustes_Manuais!$F:$F,"  -  Chopeiro II")</f>
        <v>0</v>
      </c>
      <c r="N136" s="241"/>
      <c r="O136" s="27">
        <v>0</v>
      </c>
      <c r="P136" s="28">
        <f>SUMIFS(T_REAL!$D:$D,T_REAL!$E:$E,DRE!P$7,T_REAL!$C:$C,DRE!$A136)+SUMIFS(Aut_Ajustes_Manuais!$G:$G,Aut_Ajustes_Manuais!$I:$I,DRE!N$4,Aut_Ajustes_Manuais!$F:$F,"  -  Chopeiro II")</f>
        <v>0</v>
      </c>
      <c r="Q136" s="241"/>
      <c r="R136" s="27">
        <v>0</v>
      </c>
      <c r="S136" s="28">
        <f>SUMIFS(T_REAL!$D:$D,T_REAL!$E:$E,DRE!S$7,T_REAL!$C:$C,DRE!$A136)+SUMIFS(Aut_Ajustes_Manuais!$G:$G,Aut_Ajustes_Manuais!$I:$I,DRE!Q$4,Aut_Ajustes_Manuais!$F:$F,"  -  Chopeiro II")</f>
        <v>0</v>
      </c>
      <c r="T136" s="241"/>
      <c r="U136" s="27">
        <v>0</v>
      </c>
      <c r="V136" s="28">
        <f>SUMIFS(T_REAL!$D:$D,T_REAL!$E:$E,DRE!V$7,T_REAL!$C:$C,DRE!$A136)+SUMIFS(Aut_Ajustes_Manuais!$G:$G,Aut_Ajustes_Manuais!$I:$I,DRE!T$4,Aut_Ajustes_Manuais!$F:$F,"  -  Chopeiro II")</f>
        <v>0</v>
      </c>
      <c r="W136" s="241"/>
      <c r="X136" s="27">
        <v>0</v>
      </c>
      <c r="Y136" s="28">
        <f>SUMIFS(T_REAL!$D:$D,T_REAL!$E:$E,DRE!Y$7,T_REAL!$C:$C,DRE!$A136)+SUMIFS(Aut_Ajustes_Manuais!$G:$G,Aut_Ajustes_Manuais!$I:$I,DRE!W$4,Aut_Ajustes_Manuais!$F:$F,"  -  Chopeiro II")</f>
        <v>0</v>
      </c>
      <c r="Z136" s="241"/>
      <c r="AA136" s="27">
        <v>0</v>
      </c>
      <c r="AB136" s="28">
        <f>SUMIFS(T_REAL!$D:$D,T_REAL!$E:$E,DRE!AB$7,T_REAL!$C:$C,DRE!$A136)+SUMIFS(Aut_Ajustes_Manuais!$G:$G,Aut_Ajustes_Manuais!$I:$I,DRE!Z$4,Aut_Ajustes_Manuais!$F:$F,"  -  Chopeiro II")</f>
        <v>0</v>
      </c>
      <c r="AC136" s="241"/>
      <c r="AD136" s="27">
        <v>0</v>
      </c>
      <c r="AE136" s="28">
        <f>SUMIFS(T_REAL!$D:$D,T_REAL!$E:$E,DRE!AE$7,T_REAL!$C:$C,DRE!$A136)+SUMIFS(Aut_Ajustes_Manuais!$G:$G,Aut_Ajustes_Manuais!$I:$I,DRE!AC$4,Aut_Ajustes_Manuais!$F:$F,"  -  Chopeiro II")</f>
        <v>0</v>
      </c>
      <c r="AF136" s="241"/>
      <c r="AG136" s="27">
        <v>0</v>
      </c>
      <c r="AH136" s="28">
        <f>SUMIFS(T_REAL!$D:$D,T_REAL!$E:$E,DRE!AH$7,T_REAL!$C:$C,DRE!$A136)+SUMIFS(Aut_Ajustes_Manuais!$G:$G,Aut_Ajustes_Manuais!$I:$I,DRE!AF$4,Aut_Ajustes_Manuais!$F:$F,"  -  Chopeiro II")</f>
        <v>0</v>
      </c>
      <c r="AI136" s="241"/>
      <c r="AJ136" s="27">
        <v>0</v>
      </c>
      <c r="AK136" s="28">
        <f>SUMIFS(T_REAL!$D:$D,T_REAL!$E:$E,DRE!AK$7,T_REAL!$C:$C,DRE!$A136)+SUMIFS(Aut_Ajustes_Manuais!$G:$G,Aut_Ajustes_Manuais!$I:$I,DRE!AI$4,Aut_Ajustes_Manuais!$F:$F,"  -  Chopeiro II")</f>
        <v>0</v>
      </c>
      <c r="AL136" s="241"/>
      <c r="AM136" s="27">
        <v>0</v>
      </c>
      <c r="AN136" s="28">
        <f>SUMIFS(T_REAL!$D:$D,T_REAL!$E:$E,DRE!AN$7,T_REAL!$C:$C,DRE!$A136)+SUMIFS(Aut_Ajustes_Manuais!$G:$G,Aut_Ajustes_Manuais!$I:$I,DRE!AL$4,Aut_Ajustes_Manuais!$F:$F,"  -  Chopeiro II")</f>
        <v>0</v>
      </c>
      <c r="AO136" s="241"/>
      <c r="AP136" s="27">
        <v>0</v>
      </c>
      <c r="AQ136" s="28">
        <f>SUMIFS(T_REAL!$D:$D,T_REAL!$E:$E,DRE!AQ$7,T_REAL!$C:$C,DRE!$A136)+SUMIFS(Aut_Ajustes_Manuais!$G:$G,Aut_Ajustes_Manuais!$I:$I,DRE!AO$4,Aut_Ajustes_Manuais!$F:$F,"  -  Chopeiro II")</f>
        <v>0</v>
      </c>
      <c r="AR136" s="241">
        <f t="shared" ca="1" si="125"/>
        <v>0</v>
      </c>
      <c r="AS136" s="27">
        <f t="shared" ca="1" si="126"/>
        <v>0</v>
      </c>
      <c r="AT136" s="28">
        <f t="shared" ca="1" si="127"/>
        <v>0</v>
      </c>
      <c r="AU136" s="241"/>
      <c r="AV136" s="27"/>
      <c r="AW136" s="28"/>
      <c r="AX136" s="241"/>
      <c r="AY136" s="27">
        <v>0</v>
      </c>
      <c r="AZ136" s="28"/>
      <c r="BA136" s="241"/>
      <c r="BB136" s="27">
        <v>0</v>
      </c>
      <c r="BC136" s="28"/>
      <c r="BD136" s="241"/>
      <c r="BE136" s="27">
        <v>0</v>
      </c>
      <c r="BF136" s="28"/>
      <c r="BG136" s="241"/>
      <c r="BH136" s="27">
        <v>0</v>
      </c>
      <c r="BI136" s="28"/>
    </row>
    <row r="137" spans="1:61" s="29" customFormat="1" hidden="1" outlineLevel="1" x14ac:dyDescent="0.3">
      <c r="A137" s="95" t="s">
        <v>160</v>
      </c>
      <c r="B137" s="2"/>
      <c r="C137" s="24"/>
      <c r="D137" s="55" t="s">
        <v>144</v>
      </c>
      <c r="E137" s="87"/>
      <c r="F137" s="56"/>
      <c r="G137" s="33"/>
      <c r="H137" s="241"/>
      <c r="I137" s="27">
        <v>0</v>
      </c>
      <c r="J137" s="28">
        <f>SUMIFS(T_REAL!$D:$D,T_REAL!$E:$E,DRE!J$7,T_REAL!$C:$C,DRE!$A137)+SUMIFS(Aut_Ajustes_Manuais!$G:$G,Aut_Ajustes_Manuais!$I:$I,DRE!H$4,Aut_Ajustes_Manuais!$F:$F,"  -  Chopeiro I")</f>
        <v>0</v>
      </c>
      <c r="K137" s="241"/>
      <c r="L137" s="27">
        <v>0</v>
      </c>
      <c r="M137" s="28">
        <f>SUMIFS(T_REAL!$D:$D,T_REAL!$E:$E,DRE!M$7,T_REAL!$C:$C,DRE!$A137)+SUMIFS(Aut_Ajustes_Manuais!$G:$G,Aut_Ajustes_Manuais!$I:$I,DRE!K$4,Aut_Ajustes_Manuais!$F:$F,"  -  Chopeiro I")</f>
        <v>0</v>
      </c>
      <c r="N137" s="241"/>
      <c r="O137" s="27">
        <v>0</v>
      </c>
      <c r="P137" s="28">
        <f>SUMIFS(T_REAL!$D:$D,T_REAL!$E:$E,DRE!P$7,T_REAL!$C:$C,DRE!$A137)+SUMIFS(Aut_Ajustes_Manuais!$G:$G,Aut_Ajustes_Manuais!$I:$I,DRE!N$4,Aut_Ajustes_Manuais!$F:$F,"  -  Chopeiro I")</f>
        <v>0</v>
      </c>
      <c r="Q137" s="241"/>
      <c r="R137" s="27">
        <v>0</v>
      </c>
      <c r="S137" s="28">
        <f>SUMIFS(T_REAL!$D:$D,T_REAL!$E:$E,DRE!S$7,T_REAL!$C:$C,DRE!$A137)+SUMIFS(Aut_Ajustes_Manuais!$G:$G,Aut_Ajustes_Manuais!$I:$I,DRE!Q$4,Aut_Ajustes_Manuais!$F:$F,"  -  Chopeiro I")</f>
        <v>0</v>
      </c>
      <c r="T137" s="241"/>
      <c r="U137" s="27">
        <v>0</v>
      </c>
      <c r="V137" s="28">
        <f>SUMIFS(T_REAL!$D:$D,T_REAL!$E:$E,DRE!V$7,T_REAL!$C:$C,DRE!$A137)+SUMIFS(Aut_Ajustes_Manuais!$G:$G,Aut_Ajustes_Manuais!$I:$I,DRE!T$4,Aut_Ajustes_Manuais!$F:$F,"  -  Chopeiro I")</f>
        <v>0</v>
      </c>
      <c r="W137" s="241"/>
      <c r="X137" s="27">
        <v>0</v>
      </c>
      <c r="Y137" s="28">
        <f>SUMIFS(T_REAL!$D:$D,T_REAL!$E:$E,DRE!Y$7,T_REAL!$C:$C,DRE!$A137)+SUMIFS(Aut_Ajustes_Manuais!$G:$G,Aut_Ajustes_Manuais!$I:$I,DRE!W$4,Aut_Ajustes_Manuais!$F:$F,"  -  Chopeiro I")</f>
        <v>0</v>
      </c>
      <c r="Z137" s="241"/>
      <c r="AA137" s="27">
        <v>0</v>
      </c>
      <c r="AB137" s="28">
        <f>SUMIFS(T_REAL!$D:$D,T_REAL!$E:$E,DRE!AB$7,T_REAL!$C:$C,DRE!$A137)+SUMIFS(Aut_Ajustes_Manuais!$G:$G,Aut_Ajustes_Manuais!$I:$I,DRE!Z$4,Aut_Ajustes_Manuais!$F:$F,"  -  Chopeiro I")</f>
        <v>0</v>
      </c>
      <c r="AC137" s="241"/>
      <c r="AD137" s="27">
        <v>0</v>
      </c>
      <c r="AE137" s="28">
        <f>SUMIFS(T_REAL!$D:$D,T_REAL!$E:$E,DRE!AE$7,T_REAL!$C:$C,DRE!$A137)+SUMIFS(Aut_Ajustes_Manuais!$G:$G,Aut_Ajustes_Manuais!$I:$I,DRE!AC$4,Aut_Ajustes_Manuais!$F:$F,"  -  Chopeiro I")</f>
        <v>0</v>
      </c>
      <c r="AF137" s="241"/>
      <c r="AG137" s="27">
        <v>0</v>
      </c>
      <c r="AH137" s="28">
        <f>SUMIFS(T_REAL!$D:$D,T_REAL!$E:$E,DRE!AH$7,T_REAL!$C:$C,DRE!$A137)+SUMIFS(Aut_Ajustes_Manuais!$G:$G,Aut_Ajustes_Manuais!$I:$I,DRE!AF$4,Aut_Ajustes_Manuais!$F:$F,"  -  Chopeiro I")</f>
        <v>0</v>
      </c>
      <c r="AI137" s="241"/>
      <c r="AJ137" s="27">
        <v>0</v>
      </c>
      <c r="AK137" s="28">
        <f>SUMIFS(T_REAL!$D:$D,T_REAL!$E:$E,DRE!AK$7,T_REAL!$C:$C,DRE!$A137)+SUMIFS(Aut_Ajustes_Manuais!$G:$G,Aut_Ajustes_Manuais!$I:$I,DRE!AI$4,Aut_Ajustes_Manuais!$F:$F,"  -  Chopeiro I")</f>
        <v>0</v>
      </c>
      <c r="AL137" s="241"/>
      <c r="AM137" s="27">
        <v>0</v>
      </c>
      <c r="AN137" s="28">
        <f>SUMIFS(T_REAL!$D:$D,T_REAL!$E:$E,DRE!AN$7,T_REAL!$C:$C,DRE!$A137)+SUMIFS(Aut_Ajustes_Manuais!$G:$G,Aut_Ajustes_Manuais!$I:$I,DRE!AL$4,Aut_Ajustes_Manuais!$F:$F,"  -  Chopeiro I")</f>
        <v>0</v>
      </c>
      <c r="AO137" s="241"/>
      <c r="AP137" s="27">
        <v>0</v>
      </c>
      <c r="AQ137" s="28">
        <f>SUMIFS(T_REAL!$D:$D,T_REAL!$E:$E,DRE!AQ$7,T_REAL!$C:$C,DRE!$A137)+SUMIFS(Aut_Ajustes_Manuais!$G:$G,Aut_Ajustes_Manuais!$I:$I,DRE!AO$4,Aut_Ajustes_Manuais!$F:$F,"  -  Chopeiro I")</f>
        <v>0</v>
      </c>
      <c r="AR137" s="241">
        <f t="shared" ca="1" si="125"/>
        <v>0</v>
      </c>
      <c r="AS137" s="27">
        <f t="shared" ca="1" si="126"/>
        <v>0</v>
      </c>
      <c r="AT137" s="28">
        <f t="shared" ca="1" si="127"/>
        <v>0</v>
      </c>
      <c r="AU137" s="241"/>
      <c r="AV137" s="27"/>
      <c r="AW137" s="28"/>
      <c r="AX137" s="241"/>
      <c r="AY137" s="27">
        <v>0</v>
      </c>
      <c r="AZ137" s="28"/>
      <c r="BA137" s="241"/>
      <c r="BB137" s="27">
        <v>0</v>
      </c>
      <c r="BC137" s="28"/>
      <c r="BD137" s="241"/>
      <c r="BE137" s="27">
        <v>0</v>
      </c>
      <c r="BF137" s="28"/>
      <c r="BG137" s="241"/>
      <c r="BH137" s="27">
        <v>0</v>
      </c>
      <c r="BI137" s="28"/>
    </row>
    <row r="138" spans="1:61" s="29" customFormat="1" hidden="1" outlineLevel="1" x14ac:dyDescent="0.3">
      <c r="A138" s="95" t="s">
        <v>161</v>
      </c>
      <c r="B138" s="2"/>
      <c r="C138" s="24"/>
      <c r="D138" s="55" t="s">
        <v>144</v>
      </c>
      <c r="E138" s="87"/>
      <c r="F138" s="56"/>
      <c r="G138" s="33"/>
      <c r="H138" s="241"/>
      <c r="I138" s="27">
        <v>0</v>
      </c>
      <c r="J138" s="28">
        <f>SUMIFS(T_REAL!$D:$D,T_REAL!$E:$E,DRE!J$7,T_REAL!$C:$C,DRE!$A138)+SUMIFS(Aut_Ajustes_Manuais!$G:$G,Aut_Ajustes_Manuais!$I:$I,DRE!H$4,Aut_Ajustes_Manuais!$F:$F,"  -  Sub Chefe de Cozinha")</f>
        <v>0</v>
      </c>
      <c r="K138" s="241"/>
      <c r="L138" s="27">
        <v>0</v>
      </c>
      <c r="M138" s="28">
        <f>SUMIFS(T_REAL!$D:$D,T_REAL!$E:$E,DRE!M$7,T_REAL!$C:$C,DRE!$A138)+SUMIFS(Aut_Ajustes_Manuais!$G:$G,Aut_Ajustes_Manuais!$I:$I,DRE!K$4,Aut_Ajustes_Manuais!$F:$F,"  -  Sub Chefe de Cozinha")</f>
        <v>0</v>
      </c>
      <c r="N138" s="241"/>
      <c r="O138" s="27">
        <v>0</v>
      </c>
      <c r="P138" s="28">
        <f>SUMIFS(T_REAL!$D:$D,T_REAL!$E:$E,DRE!P$7,T_REAL!$C:$C,DRE!$A138)+SUMIFS(Aut_Ajustes_Manuais!$G:$G,Aut_Ajustes_Manuais!$I:$I,DRE!N$4,Aut_Ajustes_Manuais!$F:$F,"  -  Sub Chefe de Cozinha")</f>
        <v>0</v>
      </c>
      <c r="Q138" s="241"/>
      <c r="R138" s="27">
        <v>0</v>
      </c>
      <c r="S138" s="28">
        <f>SUMIFS(T_REAL!$D:$D,T_REAL!$E:$E,DRE!S$7,T_REAL!$C:$C,DRE!$A138)+SUMIFS(Aut_Ajustes_Manuais!$G:$G,Aut_Ajustes_Manuais!$I:$I,DRE!Q$4,Aut_Ajustes_Manuais!$F:$F,"  -  Sub Chefe de Cozinha")</f>
        <v>0</v>
      </c>
      <c r="T138" s="241"/>
      <c r="U138" s="27">
        <v>0</v>
      </c>
      <c r="V138" s="28">
        <f>SUMIFS(T_REAL!$D:$D,T_REAL!$E:$E,DRE!V$7,T_REAL!$C:$C,DRE!$A138)+SUMIFS(Aut_Ajustes_Manuais!$G:$G,Aut_Ajustes_Manuais!$I:$I,DRE!T$4,Aut_Ajustes_Manuais!$F:$F,"  -  Sub Chefe de Cozinha")</f>
        <v>0</v>
      </c>
      <c r="W138" s="241"/>
      <c r="X138" s="27">
        <v>0</v>
      </c>
      <c r="Y138" s="28">
        <f>SUMIFS(T_REAL!$D:$D,T_REAL!$E:$E,DRE!Y$7,T_REAL!$C:$C,DRE!$A138)+SUMIFS(Aut_Ajustes_Manuais!$G:$G,Aut_Ajustes_Manuais!$I:$I,DRE!W$4,Aut_Ajustes_Manuais!$F:$F,"  -  Sub Chefe de Cozinha")</f>
        <v>0</v>
      </c>
      <c r="Z138" s="241"/>
      <c r="AA138" s="27">
        <v>0</v>
      </c>
      <c r="AB138" s="28">
        <f>SUMIFS(T_REAL!$D:$D,T_REAL!$E:$E,DRE!AB$7,T_REAL!$C:$C,DRE!$A138)+SUMIFS(Aut_Ajustes_Manuais!$G:$G,Aut_Ajustes_Manuais!$I:$I,DRE!Z$4,Aut_Ajustes_Manuais!$F:$F,"  -  Sub Chefe de Cozinha")</f>
        <v>0</v>
      </c>
      <c r="AC138" s="241"/>
      <c r="AD138" s="27">
        <v>0</v>
      </c>
      <c r="AE138" s="28">
        <f>SUMIFS(T_REAL!$D:$D,T_REAL!$E:$E,DRE!AE$7,T_REAL!$C:$C,DRE!$A138)+SUMIFS(Aut_Ajustes_Manuais!$G:$G,Aut_Ajustes_Manuais!$I:$I,DRE!AC$4,Aut_Ajustes_Manuais!$F:$F,"  -  Sub Chefe de Cozinha")</f>
        <v>0</v>
      </c>
      <c r="AF138" s="241"/>
      <c r="AG138" s="27">
        <v>0</v>
      </c>
      <c r="AH138" s="28">
        <f>SUMIFS(T_REAL!$D:$D,T_REAL!$E:$E,DRE!AH$7,T_REAL!$C:$C,DRE!$A138)+SUMIFS(Aut_Ajustes_Manuais!$G:$G,Aut_Ajustes_Manuais!$I:$I,DRE!AF$4,Aut_Ajustes_Manuais!$F:$F,"  -  Sub Chefe de Cozinha")</f>
        <v>0</v>
      </c>
      <c r="AI138" s="241"/>
      <c r="AJ138" s="27">
        <v>0</v>
      </c>
      <c r="AK138" s="28">
        <f>SUMIFS(T_REAL!$D:$D,T_REAL!$E:$E,DRE!AK$7,T_REAL!$C:$C,DRE!$A138)+SUMIFS(Aut_Ajustes_Manuais!$G:$G,Aut_Ajustes_Manuais!$I:$I,DRE!AI$4,Aut_Ajustes_Manuais!$F:$F,"  -  Sub Chefe de Cozinha")</f>
        <v>0</v>
      </c>
      <c r="AL138" s="241"/>
      <c r="AM138" s="27">
        <v>0</v>
      </c>
      <c r="AN138" s="28">
        <f>SUMIFS(T_REAL!$D:$D,T_REAL!$E:$E,DRE!AN$7,T_REAL!$C:$C,DRE!$A138)+SUMIFS(Aut_Ajustes_Manuais!$G:$G,Aut_Ajustes_Manuais!$I:$I,DRE!AL$4,Aut_Ajustes_Manuais!$F:$F,"  -  Sub Chefe de Cozinha")</f>
        <v>0</v>
      </c>
      <c r="AO138" s="241"/>
      <c r="AP138" s="27">
        <v>0</v>
      </c>
      <c r="AQ138" s="28">
        <f>SUMIFS(T_REAL!$D:$D,T_REAL!$E:$E,DRE!AQ$7,T_REAL!$C:$C,DRE!$A138)+SUMIFS(Aut_Ajustes_Manuais!$G:$G,Aut_Ajustes_Manuais!$I:$I,DRE!AO$4,Aut_Ajustes_Manuais!$F:$F,"  -  Sub Chefe de Cozinha")</f>
        <v>0</v>
      </c>
      <c r="AR138" s="241">
        <f t="shared" ca="1" si="125"/>
        <v>0</v>
      </c>
      <c r="AS138" s="27">
        <f t="shared" ca="1" si="126"/>
        <v>0</v>
      </c>
      <c r="AT138" s="28">
        <f t="shared" ca="1" si="127"/>
        <v>0</v>
      </c>
      <c r="AU138" s="241"/>
      <c r="AV138" s="27"/>
      <c r="AW138" s="28"/>
      <c r="AX138" s="241"/>
      <c r="AY138" s="27">
        <v>0</v>
      </c>
      <c r="AZ138" s="28"/>
      <c r="BA138" s="241"/>
      <c r="BB138" s="27">
        <v>0</v>
      </c>
      <c r="BC138" s="28"/>
      <c r="BD138" s="241"/>
      <c r="BE138" s="27">
        <v>0</v>
      </c>
      <c r="BF138" s="28"/>
      <c r="BG138" s="241"/>
      <c r="BH138" s="27">
        <v>0</v>
      </c>
      <c r="BI138" s="28"/>
    </row>
    <row r="139" spans="1:61" s="29" customFormat="1" hidden="1" outlineLevel="1" x14ac:dyDescent="0.3">
      <c r="A139" s="95" t="s">
        <v>162</v>
      </c>
      <c r="B139" s="2"/>
      <c r="C139" s="24"/>
      <c r="D139" s="55" t="s">
        <v>144</v>
      </c>
      <c r="E139" s="87"/>
      <c r="F139" s="56"/>
      <c r="G139" s="33"/>
      <c r="H139" s="241"/>
      <c r="I139" s="27">
        <v>0</v>
      </c>
      <c r="J139" s="28">
        <f>SUMIFS(T_REAL!$D:$D,T_REAL!$E:$E,DRE!J$7,T_REAL!$C:$C,DRE!$A139)+SUMIFS(Aut_Ajustes_Manuais!$G:$G,Aut_Ajustes_Manuais!$I:$I,DRE!H$4,Aut_Ajustes_Manuais!$F:$F,"  -  Cozinheiro Líder")</f>
        <v>0</v>
      </c>
      <c r="K139" s="241"/>
      <c r="L139" s="27">
        <v>0</v>
      </c>
      <c r="M139" s="28">
        <f>SUMIFS(T_REAL!$D:$D,T_REAL!$E:$E,DRE!M$7,T_REAL!$C:$C,DRE!$A139)+SUMIFS(Aut_Ajustes_Manuais!$G:$G,Aut_Ajustes_Manuais!$I:$I,DRE!K$4,Aut_Ajustes_Manuais!$F:$F,"  -  Cozinheiro Líder")</f>
        <v>0</v>
      </c>
      <c r="N139" s="241"/>
      <c r="O139" s="27">
        <v>0</v>
      </c>
      <c r="P139" s="28">
        <f>SUMIFS(T_REAL!$D:$D,T_REAL!$E:$E,DRE!P$7,T_REAL!$C:$C,DRE!$A139)+SUMIFS(Aut_Ajustes_Manuais!$G:$G,Aut_Ajustes_Manuais!$I:$I,DRE!N$4,Aut_Ajustes_Manuais!$F:$F,"  -  Cozinheiro Líder")</f>
        <v>0</v>
      </c>
      <c r="Q139" s="241"/>
      <c r="R139" s="27">
        <v>0</v>
      </c>
      <c r="S139" s="28">
        <f>SUMIFS(T_REAL!$D:$D,T_REAL!$E:$E,DRE!S$7,T_REAL!$C:$C,DRE!$A139)+SUMIFS(Aut_Ajustes_Manuais!$G:$G,Aut_Ajustes_Manuais!$I:$I,DRE!Q$4,Aut_Ajustes_Manuais!$F:$F,"  -  Cozinheiro Líder")</f>
        <v>0</v>
      </c>
      <c r="T139" s="241"/>
      <c r="U139" s="27">
        <v>0</v>
      </c>
      <c r="V139" s="28">
        <f>SUMIFS(T_REAL!$D:$D,T_REAL!$E:$E,DRE!V$7,T_REAL!$C:$C,DRE!$A139)+SUMIFS(Aut_Ajustes_Manuais!$G:$G,Aut_Ajustes_Manuais!$I:$I,DRE!T$4,Aut_Ajustes_Manuais!$F:$F,"  -  Cozinheiro Líder")</f>
        <v>0</v>
      </c>
      <c r="W139" s="241"/>
      <c r="X139" s="27">
        <v>0</v>
      </c>
      <c r="Y139" s="28">
        <f>SUMIFS(T_REAL!$D:$D,T_REAL!$E:$E,DRE!Y$7,T_REAL!$C:$C,DRE!$A139)+SUMIFS(Aut_Ajustes_Manuais!$G:$G,Aut_Ajustes_Manuais!$I:$I,DRE!W$4,Aut_Ajustes_Manuais!$F:$F,"  -  Cozinheiro Líder")</f>
        <v>0</v>
      </c>
      <c r="Z139" s="241"/>
      <c r="AA139" s="27">
        <v>0</v>
      </c>
      <c r="AB139" s="28">
        <f>SUMIFS(T_REAL!$D:$D,T_REAL!$E:$E,DRE!AB$7,T_REAL!$C:$C,DRE!$A139)+SUMIFS(Aut_Ajustes_Manuais!$G:$G,Aut_Ajustes_Manuais!$I:$I,DRE!Z$4,Aut_Ajustes_Manuais!$F:$F,"  -  Cozinheiro Líder")</f>
        <v>0</v>
      </c>
      <c r="AC139" s="241"/>
      <c r="AD139" s="27">
        <v>0</v>
      </c>
      <c r="AE139" s="28">
        <f>SUMIFS(T_REAL!$D:$D,T_REAL!$E:$E,DRE!AE$7,T_REAL!$C:$C,DRE!$A139)+SUMIFS(Aut_Ajustes_Manuais!$G:$G,Aut_Ajustes_Manuais!$I:$I,DRE!AC$4,Aut_Ajustes_Manuais!$F:$F,"  -  Cozinheiro Líder")</f>
        <v>0</v>
      </c>
      <c r="AF139" s="241"/>
      <c r="AG139" s="27">
        <v>0</v>
      </c>
      <c r="AH139" s="28">
        <f>SUMIFS(T_REAL!$D:$D,T_REAL!$E:$E,DRE!AH$7,T_REAL!$C:$C,DRE!$A139)+SUMIFS(Aut_Ajustes_Manuais!$G:$G,Aut_Ajustes_Manuais!$I:$I,DRE!AF$4,Aut_Ajustes_Manuais!$F:$F,"  -  Cozinheiro Líder")</f>
        <v>0</v>
      </c>
      <c r="AI139" s="241"/>
      <c r="AJ139" s="27">
        <v>0</v>
      </c>
      <c r="AK139" s="28">
        <f>SUMIFS(T_REAL!$D:$D,T_REAL!$E:$E,DRE!AK$7,T_REAL!$C:$C,DRE!$A139)+SUMIFS(Aut_Ajustes_Manuais!$G:$G,Aut_Ajustes_Manuais!$I:$I,DRE!AI$4,Aut_Ajustes_Manuais!$F:$F,"  -  Cozinheiro Líder")</f>
        <v>0</v>
      </c>
      <c r="AL139" s="241"/>
      <c r="AM139" s="27">
        <v>0</v>
      </c>
      <c r="AN139" s="28">
        <f>SUMIFS(T_REAL!$D:$D,T_REAL!$E:$E,DRE!AN$7,T_REAL!$C:$C,DRE!$A139)+SUMIFS(Aut_Ajustes_Manuais!$G:$G,Aut_Ajustes_Manuais!$I:$I,DRE!AL$4,Aut_Ajustes_Manuais!$F:$F,"  -  Cozinheiro Líder")</f>
        <v>0</v>
      </c>
      <c r="AO139" s="241"/>
      <c r="AP139" s="27">
        <v>0</v>
      </c>
      <c r="AQ139" s="28">
        <f>SUMIFS(T_REAL!$D:$D,T_REAL!$E:$E,DRE!AQ$7,T_REAL!$C:$C,DRE!$A139)+SUMIFS(Aut_Ajustes_Manuais!$G:$G,Aut_Ajustes_Manuais!$I:$I,DRE!AO$4,Aut_Ajustes_Manuais!$F:$F,"  -  Cozinheiro Líder")</f>
        <v>0</v>
      </c>
      <c r="AR139" s="241">
        <f t="shared" ref="AR139:AR170" ca="1" si="144">SUMIFS($H139:$AO139,$H$5:$AO$5,"&lt;"&amp;MONTH(TODAY()),$H$6:$AO$6,"REAL 25")</f>
        <v>0</v>
      </c>
      <c r="AS139" s="27">
        <f t="shared" ref="AS139:AS170" ca="1" si="145">SUMIFS($I139:$AP139,$I$5:$AP$5,"&lt;"&amp;MONTH(TODAY()),$I$6:$AP$6,"ORÇADO ")</f>
        <v>0</v>
      </c>
      <c r="AT139" s="28">
        <f t="shared" ref="AT139:AT170" ca="1" si="146">SUMIFS($J139:$AQ139,$J$5:$AQ$5,"&lt;"&amp;MONTH(TODAY()),$J$6:$AQ$6,"REAL 26")</f>
        <v>0</v>
      </c>
      <c r="AU139" s="241"/>
      <c r="AV139" s="27"/>
      <c r="AW139" s="28"/>
      <c r="AX139" s="241"/>
      <c r="AY139" s="27">
        <v>0</v>
      </c>
      <c r="AZ139" s="28"/>
      <c r="BA139" s="241"/>
      <c r="BB139" s="27">
        <v>0</v>
      </c>
      <c r="BC139" s="28"/>
      <c r="BD139" s="241"/>
      <c r="BE139" s="27">
        <v>0</v>
      </c>
      <c r="BF139" s="28"/>
      <c r="BG139" s="241"/>
      <c r="BH139" s="27">
        <v>0</v>
      </c>
      <c r="BI139" s="28"/>
    </row>
    <row r="140" spans="1:61" s="29" customFormat="1" hidden="1" outlineLevel="1" x14ac:dyDescent="0.3">
      <c r="A140" s="95" t="s">
        <v>163</v>
      </c>
      <c r="B140" s="2"/>
      <c r="C140" s="24"/>
      <c r="D140" s="55" t="s">
        <v>144</v>
      </c>
      <c r="E140" s="87"/>
      <c r="F140" s="56"/>
      <c r="G140" s="33"/>
      <c r="H140" s="241"/>
      <c r="I140" s="27">
        <v>0</v>
      </c>
      <c r="J140" s="28">
        <f>SUMIFS(T_REAL!$D:$D,T_REAL!$E:$E,DRE!J$7,T_REAL!$C:$C,DRE!$A140)+SUMIFS(Aut_Ajustes_Manuais!$G:$G,Aut_Ajustes_Manuais!$I:$I,DRE!H$4,Aut_Ajustes_Manuais!$F:$F,"  -  Cozinheiro III")</f>
        <v>0</v>
      </c>
      <c r="K140" s="241"/>
      <c r="L140" s="27">
        <v>0</v>
      </c>
      <c r="M140" s="28">
        <f>SUMIFS(T_REAL!$D:$D,T_REAL!$E:$E,DRE!M$7,T_REAL!$C:$C,DRE!$A140)+SUMIFS(Aut_Ajustes_Manuais!$G:$G,Aut_Ajustes_Manuais!$I:$I,DRE!K$4,Aut_Ajustes_Manuais!$F:$F,"  -  Cozinheiro III")</f>
        <v>0</v>
      </c>
      <c r="N140" s="241"/>
      <c r="O140" s="27">
        <v>0</v>
      </c>
      <c r="P140" s="28">
        <f>SUMIFS(T_REAL!$D:$D,T_REAL!$E:$E,DRE!P$7,T_REAL!$C:$C,DRE!$A140)+SUMIFS(Aut_Ajustes_Manuais!$G:$G,Aut_Ajustes_Manuais!$I:$I,DRE!N$4,Aut_Ajustes_Manuais!$F:$F,"  -  Cozinheiro III")</f>
        <v>0</v>
      </c>
      <c r="Q140" s="241"/>
      <c r="R140" s="27">
        <v>0</v>
      </c>
      <c r="S140" s="28">
        <f>SUMIFS(T_REAL!$D:$D,T_REAL!$E:$E,DRE!S$7,T_REAL!$C:$C,DRE!$A140)+SUMIFS(Aut_Ajustes_Manuais!$G:$G,Aut_Ajustes_Manuais!$I:$I,DRE!Q$4,Aut_Ajustes_Manuais!$F:$F,"  -  Cozinheiro III")</f>
        <v>0</v>
      </c>
      <c r="T140" s="241"/>
      <c r="U140" s="27">
        <v>0</v>
      </c>
      <c r="V140" s="28">
        <f>SUMIFS(T_REAL!$D:$D,T_REAL!$E:$E,DRE!V$7,T_REAL!$C:$C,DRE!$A140)+SUMIFS(Aut_Ajustes_Manuais!$G:$G,Aut_Ajustes_Manuais!$I:$I,DRE!T$4,Aut_Ajustes_Manuais!$F:$F,"  -  Cozinheiro III")</f>
        <v>0</v>
      </c>
      <c r="W140" s="241"/>
      <c r="X140" s="27">
        <v>0</v>
      </c>
      <c r="Y140" s="28">
        <f>SUMIFS(T_REAL!$D:$D,T_REAL!$E:$E,DRE!Y$7,T_REAL!$C:$C,DRE!$A140)+SUMIFS(Aut_Ajustes_Manuais!$G:$G,Aut_Ajustes_Manuais!$I:$I,DRE!W$4,Aut_Ajustes_Manuais!$F:$F,"  -  Cozinheiro III")</f>
        <v>0</v>
      </c>
      <c r="Z140" s="241"/>
      <c r="AA140" s="27">
        <v>0</v>
      </c>
      <c r="AB140" s="28">
        <f>SUMIFS(T_REAL!$D:$D,T_REAL!$E:$E,DRE!AB$7,T_REAL!$C:$C,DRE!$A140)+SUMIFS(Aut_Ajustes_Manuais!$G:$G,Aut_Ajustes_Manuais!$I:$I,DRE!Z$4,Aut_Ajustes_Manuais!$F:$F,"  -  Cozinheiro III")</f>
        <v>0</v>
      </c>
      <c r="AC140" s="241"/>
      <c r="AD140" s="27">
        <v>0</v>
      </c>
      <c r="AE140" s="28">
        <f>SUMIFS(T_REAL!$D:$D,T_REAL!$E:$E,DRE!AE$7,T_REAL!$C:$C,DRE!$A140)+SUMIFS(Aut_Ajustes_Manuais!$G:$G,Aut_Ajustes_Manuais!$I:$I,DRE!AC$4,Aut_Ajustes_Manuais!$F:$F,"  -  Cozinheiro III")</f>
        <v>0</v>
      </c>
      <c r="AF140" s="241"/>
      <c r="AG140" s="27">
        <v>0</v>
      </c>
      <c r="AH140" s="28">
        <f>SUMIFS(T_REAL!$D:$D,T_REAL!$E:$E,DRE!AH$7,T_REAL!$C:$C,DRE!$A140)+SUMIFS(Aut_Ajustes_Manuais!$G:$G,Aut_Ajustes_Manuais!$I:$I,DRE!AF$4,Aut_Ajustes_Manuais!$F:$F,"  -  Cozinheiro III")</f>
        <v>0</v>
      </c>
      <c r="AI140" s="241"/>
      <c r="AJ140" s="27">
        <v>0</v>
      </c>
      <c r="AK140" s="28">
        <f>SUMIFS(T_REAL!$D:$D,T_REAL!$E:$E,DRE!AK$7,T_REAL!$C:$C,DRE!$A140)+SUMIFS(Aut_Ajustes_Manuais!$G:$G,Aut_Ajustes_Manuais!$I:$I,DRE!AI$4,Aut_Ajustes_Manuais!$F:$F,"  -  Cozinheiro III")</f>
        <v>0</v>
      </c>
      <c r="AL140" s="241"/>
      <c r="AM140" s="27">
        <v>0</v>
      </c>
      <c r="AN140" s="28">
        <f>SUMIFS(T_REAL!$D:$D,T_REAL!$E:$E,DRE!AN$7,T_REAL!$C:$C,DRE!$A140)+SUMIFS(Aut_Ajustes_Manuais!$G:$G,Aut_Ajustes_Manuais!$I:$I,DRE!AL$4,Aut_Ajustes_Manuais!$F:$F,"  -  Cozinheiro III")</f>
        <v>0</v>
      </c>
      <c r="AO140" s="241"/>
      <c r="AP140" s="27">
        <v>0</v>
      </c>
      <c r="AQ140" s="28">
        <f>SUMIFS(T_REAL!$D:$D,T_REAL!$E:$E,DRE!AQ$7,T_REAL!$C:$C,DRE!$A140)+SUMIFS(Aut_Ajustes_Manuais!$G:$G,Aut_Ajustes_Manuais!$I:$I,DRE!AO$4,Aut_Ajustes_Manuais!$F:$F,"  -  Cozinheiro III")</f>
        <v>0</v>
      </c>
      <c r="AR140" s="241">
        <f t="shared" ca="1" si="144"/>
        <v>0</v>
      </c>
      <c r="AS140" s="27">
        <f t="shared" ca="1" si="145"/>
        <v>0</v>
      </c>
      <c r="AT140" s="28">
        <f t="shared" ca="1" si="146"/>
        <v>0</v>
      </c>
      <c r="AU140" s="241"/>
      <c r="AV140" s="27"/>
      <c r="AW140" s="28"/>
      <c r="AX140" s="241"/>
      <c r="AY140" s="27">
        <v>-23262.720000000001</v>
      </c>
      <c r="AZ140" s="28"/>
      <c r="BA140" s="241"/>
      <c r="BB140" s="27">
        <v>-23588.398079999999</v>
      </c>
      <c r="BC140" s="28"/>
      <c r="BD140" s="241"/>
      <c r="BE140" s="27">
        <v>-24239.754239999998</v>
      </c>
      <c r="BF140" s="28"/>
      <c r="BG140" s="241"/>
      <c r="BH140" s="27">
        <v>-24239.754239999998</v>
      </c>
      <c r="BI140" s="28"/>
    </row>
    <row r="141" spans="1:61" s="29" customFormat="1" hidden="1" outlineLevel="1" x14ac:dyDescent="0.3">
      <c r="A141" s="95" t="s">
        <v>164</v>
      </c>
      <c r="B141" s="2"/>
      <c r="C141" s="24"/>
      <c r="D141" s="55" t="s">
        <v>144</v>
      </c>
      <c r="E141" s="87"/>
      <c r="F141" s="56"/>
      <c r="G141" s="33"/>
      <c r="H141" s="241"/>
      <c r="I141" s="27">
        <v>0</v>
      </c>
      <c r="J141" s="28">
        <f>SUMIFS(T_REAL!$D:$D,T_REAL!$E:$E,DRE!J$7,T_REAL!$C:$C,DRE!$A141)+SUMIFS(Aut_Ajustes_Manuais!$G:$G,Aut_Ajustes_Manuais!$I:$I,DRE!H$4,Aut_Ajustes_Manuais!$F:$F,"  -  Cozinheiro II")</f>
        <v>0</v>
      </c>
      <c r="K141" s="241"/>
      <c r="L141" s="27">
        <v>0</v>
      </c>
      <c r="M141" s="28">
        <f>SUMIFS(T_REAL!$D:$D,T_REAL!$E:$E,DRE!M$7,T_REAL!$C:$C,DRE!$A141)+SUMIFS(Aut_Ajustes_Manuais!$G:$G,Aut_Ajustes_Manuais!$I:$I,DRE!K$4,Aut_Ajustes_Manuais!$F:$F,"  -  Cozinheiro II")</f>
        <v>0</v>
      </c>
      <c r="N141" s="241"/>
      <c r="O141" s="27">
        <v>0</v>
      </c>
      <c r="P141" s="28">
        <f>SUMIFS(T_REAL!$D:$D,T_REAL!$E:$E,DRE!P$7,T_REAL!$C:$C,DRE!$A141)+SUMIFS(Aut_Ajustes_Manuais!$G:$G,Aut_Ajustes_Manuais!$I:$I,DRE!N$4,Aut_Ajustes_Manuais!$F:$F,"  -  Cozinheiro II")</f>
        <v>0</v>
      </c>
      <c r="Q141" s="241"/>
      <c r="R141" s="27">
        <v>0</v>
      </c>
      <c r="S141" s="28">
        <f>SUMIFS(T_REAL!$D:$D,T_REAL!$E:$E,DRE!S$7,T_REAL!$C:$C,DRE!$A141)+SUMIFS(Aut_Ajustes_Manuais!$G:$G,Aut_Ajustes_Manuais!$I:$I,DRE!Q$4,Aut_Ajustes_Manuais!$F:$F,"  -  Cozinheiro II")</f>
        <v>0</v>
      </c>
      <c r="T141" s="241"/>
      <c r="U141" s="27">
        <v>0</v>
      </c>
      <c r="V141" s="28">
        <f>SUMIFS(T_REAL!$D:$D,T_REAL!$E:$E,DRE!V$7,T_REAL!$C:$C,DRE!$A141)+SUMIFS(Aut_Ajustes_Manuais!$G:$G,Aut_Ajustes_Manuais!$I:$I,DRE!T$4,Aut_Ajustes_Manuais!$F:$F,"  -  Cozinheiro II")</f>
        <v>0</v>
      </c>
      <c r="W141" s="241"/>
      <c r="X141" s="27">
        <v>0</v>
      </c>
      <c r="Y141" s="28">
        <f>SUMIFS(T_REAL!$D:$D,T_REAL!$E:$E,DRE!Y$7,T_REAL!$C:$C,DRE!$A141)+SUMIFS(Aut_Ajustes_Manuais!$G:$G,Aut_Ajustes_Manuais!$I:$I,DRE!W$4,Aut_Ajustes_Manuais!$F:$F,"  -  Cozinheiro II")</f>
        <v>0</v>
      </c>
      <c r="Z141" s="241"/>
      <c r="AA141" s="27">
        <v>0</v>
      </c>
      <c r="AB141" s="28">
        <f>SUMIFS(T_REAL!$D:$D,T_REAL!$E:$E,DRE!AB$7,T_REAL!$C:$C,DRE!$A141)+SUMIFS(Aut_Ajustes_Manuais!$G:$G,Aut_Ajustes_Manuais!$I:$I,DRE!Z$4,Aut_Ajustes_Manuais!$F:$F,"  -  Cozinheiro II")</f>
        <v>0</v>
      </c>
      <c r="AC141" s="241"/>
      <c r="AD141" s="27">
        <v>0</v>
      </c>
      <c r="AE141" s="28">
        <f>SUMIFS(T_REAL!$D:$D,T_REAL!$E:$E,DRE!AE$7,T_REAL!$C:$C,DRE!$A141)+SUMIFS(Aut_Ajustes_Manuais!$G:$G,Aut_Ajustes_Manuais!$I:$I,DRE!AC$4,Aut_Ajustes_Manuais!$F:$F,"  -  Cozinheiro II")</f>
        <v>0</v>
      </c>
      <c r="AF141" s="241"/>
      <c r="AG141" s="27">
        <v>0</v>
      </c>
      <c r="AH141" s="28">
        <f>SUMIFS(T_REAL!$D:$D,T_REAL!$E:$E,DRE!AH$7,T_REAL!$C:$C,DRE!$A141)+SUMIFS(Aut_Ajustes_Manuais!$G:$G,Aut_Ajustes_Manuais!$I:$I,DRE!AF$4,Aut_Ajustes_Manuais!$F:$F,"  -  Cozinheiro II")</f>
        <v>0</v>
      </c>
      <c r="AI141" s="241"/>
      <c r="AJ141" s="27">
        <v>0</v>
      </c>
      <c r="AK141" s="28">
        <f>SUMIFS(T_REAL!$D:$D,T_REAL!$E:$E,DRE!AK$7,T_REAL!$C:$C,DRE!$A141)+SUMIFS(Aut_Ajustes_Manuais!$G:$G,Aut_Ajustes_Manuais!$I:$I,DRE!AI$4,Aut_Ajustes_Manuais!$F:$F,"  -  Cozinheiro II")</f>
        <v>0</v>
      </c>
      <c r="AL141" s="241"/>
      <c r="AM141" s="27">
        <v>0</v>
      </c>
      <c r="AN141" s="28">
        <f>SUMIFS(T_REAL!$D:$D,T_REAL!$E:$E,DRE!AN$7,T_REAL!$C:$C,DRE!$A141)+SUMIFS(Aut_Ajustes_Manuais!$G:$G,Aut_Ajustes_Manuais!$I:$I,DRE!AL$4,Aut_Ajustes_Manuais!$F:$F,"  -  Cozinheiro II")</f>
        <v>0</v>
      </c>
      <c r="AO141" s="241"/>
      <c r="AP141" s="27">
        <v>0</v>
      </c>
      <c r="AQ141" s="28">
        <f>SUMIFS(T_REAL!$D:$D,T_REAL!$E:$E,DRE!AQ$7,T_REAL!$C:$C,DRE!$A141)+SUMIFS(Aut_Ajustes_Manuais!$G:$G,Aut_Ajustes_Manuais!$I:$I,DRE!AO$4,Aut_Ajustes_Manuais!$F:$F,"  -  Cozinheiro II")</f>
        <v>0</v>
      </c>
      <c r="AR141" s="241">
        <f t="shared" ca="1" si="144"/>
        <v>0</v>
      </c>
      <c r="AS141" s="27">
        <f t="shared" ca="1" si="145"/>
        <v>0</v>
      </c>
      <c r="AT141" s="28">
        <f t="shared" ca="1" si="146"/>
        <v>0</v>
      </c>
      <c r="AU141" s="241"/>
      <c r="AV141" s="27"/>
      <c r="AW141" s="28"/>
      <c r="AX141" s="241"/>
      <c r="AY141" s="27">
        <v>-6688.02</v>
      </c>
      <c r="AZ141" s="28"/>
      <c r="BA141" s="241"/>
      <c r="BB141" s="27">
        <v>-6781.6522800000002</v>
      </c>
      <c r="BC141" s="28"/>
      <c r="BD141" s="241"/>
      <c r="BE141" s="27">
        <v>-6968.9168399999999</v>
      </c>
      <c r="BF141" s="28"/>
      <c r="BG141" s="241"/>
      <c r="BH141" s="27">
        <v>-6968.9168399999999</v>
      </c>
      <c r="BI141" s="28"/>
    </row>
    <row r="142" spans="1:61" s="29" customFormat="1" hidden="1" outlineLevel="1" x14ac:dyDescent="0.3">
      <c r="A142" s="95" t="s">
        <v>165</v>
      </c>
      <c r="B142" s="2"/>
      <c r="C142" s="24"/>
      <c r="D142" s="55" t="s">
        <v>144</v>
      </c>
      <c r="E142" s="87"/>
      <c r="F142" s="56"/>
      <c r="G142" s="33"/>
      <c r="H142" s="241"/>
      <c r="I142" s="27">
        <v>-5137.84</v>
      </c>
      <c r="J142" s="28">
        <f>SUMIFS(T_REAL!$D:$D,T_REAL!$E:$E,DRE!J$7,T_REAL!$C:$C,DRE!$A142)+SUMIFS(Aut_Ajustes_Manuais!$G:$G,Aut_Ajustes_Manuais!$I:$I,DRE!H$4,Aut_Ajustes_Manuais!$F:$F,"  -  Cozinheiro I")</f>
        <v>0</v>
      </c>
      <c r="K142" s="241"/>
      <c r="L142" s="27">
        <v>-5137.84</v>
      </c>
      <c r="M142" s="28">
        <f>SUMIFS(T_REAL!$D:$D,T_REAL!$E:$E,DRE!M$7,T_REAL!$C:$C,DRE!$A142)+SUMIFS(Aut_Ajustes_Manuais!$G:$G,Aut_Ajustes_Manuais!$I:$I,DRE!K$4,Aut_Ajustes_Manuais!$F:$F,"  -  Cozinheiro I")</f>
        <v>0</v>
      </c>
      <c r="N142" s="241"/>
      <c r="O142" s="27">
        <v>-5137.84</v>
      </c>
      <c r="P142" s="28">
        <f>SUMIFS(T_REAL!$D:$D,T_REAL!$E:$E,DRE!P$7,T_REAL!$C:$C,DRE!$A142)+SUMIFS(Aut_Ajustes_Manuais!$G:$G,Aut_Ajustes_Manuais!$I:$I,DRE!N$4,Aut_Ajustes_Manuais!$F:$F,"  -  Cozinheiro I")</f>
        <v>0</v>
      </c>
      <c r="Q142" s="241"/>
      <c r="R142" s="27">
        <v>-5137.84</v>
      </c>
      <c r="S142" s="28">
        <f>SUMIFS(T_REAL!$D:$D,T_REAL!$E:$E,DRE!S$7,T_REAL!$C:$C,DRE!$A142)+SUMIFS(Aut_Ajustes_Manuais!$G:$G,Aut_Ajustes_Manuais!$I:$I,DRE!Q$4,Aut_Ajustes_Manuais!$F:$F,"  -  Cozinheiro I")</f>
        <v>0</v>
      </c>
      <c r="T142" s="241"/>
      <c r="U142" s="27">
        <v>-5353.6292800000001</v>
      </c>
      <c r="V142" s="28">
        <f>SUMIFS(T_REAL!$D:$D,T_REAL!$E:$E,DRE!V$7,T_REAL!$C:$C,DRE!$A142)+SUMIFS(Aut_Ajustes_Manuais!$G:$G,Aut_Ajustes_Manuais!$I:$I,DRE!T$4,Aut_Ajustes_Manuais!$F:$F,"  -  Cozinheiro I")</f>
        <v>0</v>
      </c>
      <c r="W142" s="241"/>
      <c r="X142" s="27">
        <v>-5353.6292800000001</v>
      </c>
      <c r="Y142" s="28">
        <f>SUMIFS(T_REAL!$D:$D,T_REAL!$E:$E,DRE!Y$7,T_REAL!$C:$C,DRE!$A142)+SUMIFS(Aut_Ajustes_Manuais!$G:$G,Aut_Ajustes_Manuais!$I:$I,DRE!W$4,Aut_Ajustes_Manuais!$F:$F,"  -  Cozinheiro I")</f>
        <v>0</v>
      </c>
      <c r="Z142" s="241"/>
      <c r="AA142" s="27">
        <v>-5353.6292800000001</v>
      </c>
      <c r="AB142" s="28">
        <f>SUMIFS(T_REAL!$D:$D,T_REAL!$E:$E,DRE!AB$7,T_REAL!$C:$C,DRE!$A142)+SUMIFS(Aut_Ajustes_Manuais!$G:$G,Aut_Ajustes_Manuais!$I:$I,DRE!Z$4,Aut_Ajustes_Manuais!$F:$F,"  -  Cozinheiro I")</f>
        <v>0</v>
      </c>
      <c r="AC142" s="241"/>
      <c r="AD142" s="27">
        <v>-5353.6292800000001</v>
      </c>
      <c r="AE142" s="28">
        <f>SUMIFS(T_REAL!$D:$D,T_REAL!$E:$E,DRE!AE$7,T_REAL!$C:$C,DRE!$A142)+SUMIFS(Aut_Ajustes_Manuais!$G:$G,Aut_Ajustes_Manuais!$I:$I,DRE!AC$4,Aut_Ajustes_Manuais!$F:$F,"  -  Cozinheiro I")</f>
        <v>0</v>
      </c>
      <c r="AF142" s="241"/>
      <c r="AG142" s="27">
        <v>-5353.6292800000001</v>
      </c>
      <c r="AH142" s="28">
        <f>SUMIFS(T_REAL!$D:$D,T_REAL!$E:$E,DRE!AH$7,T_REAL!$C:$C,DRE!$A142)+SUMIFS(Aut_Ajustes_Manuais!$G:$G,Aut_Ajustes_Manuais!$I:$I,DRE!AF$4,Aut_Ajustes_Manuais!$F:$F,"  -  Cozinheiro I")</f>
        <v>0</v>
      </c>
      <c r="AI142" s="241"/>
      <c r="AJ142" s="27">
        <v>-5353.6292800000001</v>
      </c>
      <c r="AK142" s="28">
        <f>SUMIFS(T_REAL!$D:$D,T_REAL!$E:$E,DRE!AK$7,T_REAL!$C:$C,DRE!$A142)+SUMIFS(Aut_Ajustes_Manuais!$G:$G,Aut_Ajustes_Manuais!$I:$I,DRE!AI$4,Aut_Ajustes_Manuais!$F:$F,"  -  Cozinheiro I")</f>
        <v>0</v>
      </c>
      <c r="AL142" s="241"/>
      <c r="AM142" s="27">
        <v>-5353.6292800000001</v>
      </c>
      <c r="AN142" s="28">
        <f>SUMIFS(T_REAL!$D:$D,T_REAL!$E:$E,DRE!AN$7,T_REAL!$C:$C,DRE!$A142)+SUMIFS(Aut_Ajustes_Manuais!$G:$G,Aut_Ajustes_Manuais!$I:$I,DRE!AL$4,Aut_Ajustes_Manuais!$F:$F,"  -  Cozinheiro I")</f>
        <v>0</v>
      </c>
      <c r="AO142" s="241"/>
      <c r="AP142" s="27">
        <v>-5353.6292800000001</v>
      </c>
      <c r="AQ142" s="28">
        <f>SUMIFS(T_REAL!$D:$D,T_REAL!$E:$E,DRE!AQ$7,T_REAL!$C:$C,DRE!$A142)+SUMIFS(Aut_Ajustes_Manuais!$G:$G,Aut_Ajustes_Manuais!$I:$I,DRE!AO$4,Aut_Ajustes_Manuais!$F:$F,"  -  Cozinheiro I")</f>
        <v>0</v>
      </c>
      <c r="AR142" s="241">
        <f t="shared" ca="1" si="144"/>
        <v>0</v>
      </c>
      <c r="AS142" s="27">
        <f t="shared" ca="1" si="145"/>
        <v>-31258.618560000003</v>
      </c>
      <c r="AT142" s="28">
        <f t="shared" ca="1" si="146"/>
        <v>0</v>
      </c>
      <c r="AU142" s="241"/>
      <c r="AV142" s="27"/>
      <c r="AW142" s="28"/>
      <c r="AX142" s="241"/>
      <c r="AY142" s="27">
        <v>-7691.25</v>
      </c>
      <c r="AZ142" s="28"/>
      <c r="BA142" s="241"/>
      <c r="BB142" s="27">
        <v>-7798.9274999999998</v>
      </c>
      <c r="BC142" s="28"/>
      <c r="BD142" s="241"/>
      <c r="BE142" s="27">
        <v>-8014.2824999999993</v>
      </c>
      <c r="BF142" s="28"/>
      <c r="BG142" s="241"/>
      <c r="BH142" s="27">
        <v>-8014.2824999999993</v>
      </c>
      <c r="BI142" s="28"/>
    </row>
    <row r="143" spans="1:61" s="29" customFormat="1" hidden="1" outlineLevel="1" x14ac:dyDescent="0.3">
      <c r="A143" s="95" t="s">
        <v>166</v>
      </c>
      <c r="B143" s="2"/>
      <c r="C143" s="24"/>
      <c r="D143" s="55" t="s">
        <v>144</v>
      </c>
      <c r="E143" s="87"/>
      <c r="F143" s="56"/>
      <c r="G143" s="33"/>
      <c r="H143" s="241"/>
      <c r="I143" s="27">
        <v>-4720.12</v>
      </c>
      <c r="J143" s="28">
        <f>SUMIFS(T_REAL!$D:$D,T_REAL!$E:$E,DRE!J$7,T_REAL!$C:$C,DRE!$A143)+SUMIFS(Aut_Ajustes_Manuais!$G:$G,Aut_Ajustes_Manuais!$I:$I,DRE!H$4,Aut_Ajustes_Manuais!$F:$F,"  -  Ajud cozinha")</f>
        <v>0</v>
      </c>
      <c r="K143" s="241"/>
      <c r="L143" s="27">
        <v>-4720.12</v>
      </c>
      <c r="M143" s="28">
        <f>SUMIFS(T_REAL!$D:$D,T_REAL!$E:$E,DRE!M$7,T_REAL!$C:$C,DRE!$A143)+SUMIFS(Aut_Ajustes_Manuais!$G:$G,Aut_Ajustes_Manuais!$I:$I,DRE!K$4,Aut_Ajustes_Manuais!$F:$F,"  -  Ajud cozinha")</f>
        <v>0</v>
      </c>
      <c r="N143" s="241"/>
      <c r="O143" s="27">
        <v>-4720.12</v>
      </c>
      <c r="P143" s="28">
        <f>SUMIFS(T_REAL!$D:$D,T_REAL!$E:$E,DRE!P$7,T_REAL!$C:$C,DRE!$A143)+SUMIFS(Aut_Ajustes_Manuais!$G:$G,Aut_Ajustes_Manuais!$I:$I,DRE!N$4,Aut_Ajustes_Manuais!$F:$F,"  -  Ajud cozinha")</f>
        <v>0</v>
      </c>
      <c r="Q143" s="241"/>
      <c r="R143" s="27">
        <v>-4720.12</v>
      </c>
      <c r="S143" s="28">
        <f>SUMIFS(T_REAL!$D:$D,T_REAL!$E:$E,DRE!S$7,T_REAL!$C:$C,DRE!$A143)+SUMIFS(Aut_Ajustes_Manuais!$G:$G,Aut_Ajustes_Manuais!$I:$I,DRE!Q$4,Aut_Ajustes_Manuais!$F:$F,"  -  Ajud cozinha")</f>
        <v>0</v>
      </c>
      <c r="T143" s="241"/>
      <c r="U143" s="27">
        <v>-4918.3650399999997</v>
      </c>
      <c r="V143" s="28">
        <f>SUMIFS(T_REAL!$D:$D,T_REAL!$E:$E,DRE!V$7,T_REAL!$C:$C,DRE!$A143)+SUMIFS(Aut_Ajustes_Manuais!$G:$G,Aut_Ajustes_Manuais!$I:$I,DRE!T$4,Aut_Ajustes_Manuais!$F:$F,"  -  Ajud cozinha")</f>
        <v>0</v>
      </c>
      <c r="W143" s="241"/>
      <c r="X143" s="27">
        <v>-4918.3650399999997</v>
      </c>
      <c r="Y143" s="28">
        <f>SUMIFS(T_REAL!$D:$D,T_REAL!$E:$E,DRE!Y$7,T_REAL!$C:$C,DRE!$A143)+SUMIFS(Aut_Ajustes_Manuais!$G:$G,Aut_Ajustes_Manuais!$I:$I,DRE!W$4,Aut_Ajustes_Manuais!$F:$F,"  -  Ajud cozinha")</f>
        <v>0</v>
      </c>
      <c r="Z143" s="241"/>
      <c r="AA143" s="27">
        <v>-4918.3650399999997</v>
      </c>
      <c r="AB143" s="28">
        <f>SUMIFS(T_REAL!$D:$D,T_REAL!$E:$E,DRE!AB$7,T_REAL!$C:$C,DRE!$A143)+SUMIFS(Aut_Ajustes_Manuais!$G:$G,Aut_Ajustes_Manuais!$I:$I,DRE!Z$4,Aut_Ajustes_Manuais!$F:$F,"  -  Ajud cozinha")</f>
        <v>0</v>
      </c>
      <c r="AC143" s="241"/>
      <c r="AD143" s="27">
        <v>-4918.3650399999997</v>
      </c>
      <c r="AE143" s="28">
        <f>SUMIFS(T_REAL!$D:$D,T_REAL!$E:$E,DRE!AE$7,T_REAL!$C:$C,DRE!$A143)+SUMIFS(Aut_Ajustes_Manuais!$G:$G,Aut_Ajustes_Manuais!$I:$I,DRE!AC$4,Aut_Ajustes_Manuais!$F:$F,"  -  Ajud cozinha")</f>
        <v>0</v>
      </c>
      <c r="AF143" s="241"/>
      <c r="AG143" s="27">
        <v>-4918.3650399999997</v>
      </c>
      <c r="AH143" s="28">
        <f>SUMIFS(T_REAL!$D:$D,T_REAL!$E:$E,DRE!AH$7,T_REAL!$C:$C,DRE!$A143)+SUMIFS(Aut_Ajustes_Manuais!$G:$G,Aut_Ajustes_Manuais!$I:$I,DRE!AF$4,Aut_Ajustes_Manuais!$F:$F,"  -  Ajud cozinha")</f>
        <v>0</v>
      </c>
      <c r="AI143" s="241"/>
      <c r="AJ143" s="27">
        <v>-4918.3650399999997</v>
      </c>
      <c r="AK143" s="28">
        <f>SUMIFS(T_REAL!$D:$D,T_REAL!$E:$E,DRE!AK$7,T_REAL!$C:$C,DRE!$A143)+SUMIFS(Aut_Ajustes_Manuais!$G:$G,Aut_Ajustes_Manuais!$I:$I,DRE!AI$4,Aut_Ajustes_Manuais!$F:$F,"  -  Ajud cozinha")</f>
        <v>0</v>
      </c>
      <c r="AL143" s="241"/>
      <c r="AM143" s="27">
        <v>-4918.3650399999997</v>
      </c>
      <c r="AN143" s="28">
        <f>SUMIFS(T_REAL!$D:$D,T_REAL!$E:$E,DRE!AN$7,T_REAL!$C:$C,DRE!$A143)+SUMIFS(Aut_Ajustes_Manuais!$G:$G,Aut_Ajustes_Manuais!$I:$I,DRE!AL$4,Aut_Ajustes_Manuais!$F:$F,"  -  Ajud cozinha")</f>
        <v>0</v>
      </c>
      <c r="AO143" s="241"/>
      <c r="AP143" s="27">
        <v>-4918.3650399999997</v>
      </c>
      <c r="AQ143" s="28">
        <f>SUMIFS(T_REAL!$D:$D,T_REAL!$E:$E,DRE!AQ$7,T_REAL!$C:$C,DRE!$A143)+SUMIFS(Aut_Ajustes_Manuais!$G:$G,Aut_Ajustes_Manuais!$I:$I,DRE!AO$4,Aut_Ajustes_Manuais!$F:$F,"  -  Ajud cozinha")</f>
        <v>0</v>
      </c>
      <c r="AR143" s="241">
        <f t="shared" ca="1" si="144"/>
        <v>0</v>
      </c>
      <c r="AS143" s="27">
        <f t="shared" ca="1" si="145"/>
        <v>-28717.210080000001</v>
      </c>
      <c r="AT143" s="28">
        <f t="shared" ca="1" si="146"/>
        <v>0</v>
      </c>
      <c r="AU143" s="241"/>
      <c r="AV143" s="27"/>
      <c r="AW143" s="28"/>
      <c r="AX143" s="241"/>
      <c r="AY143" s="27">
        <v>0</v>
      </c>
      <c r="AZ143" s="28"/>
      <c r="BA143" s="241"/>
      <c r="BB143" s="27">
        <v>0</v>
      </c>
      <c r="BC143" s="28"/>
      <c r="BD143" s="241"/>
      <c r="BE143" s="27">
        <v>0</v>
      </c>
      <c r="BF143" s="28"/>
      <c r="BG143" s="241"/>
      <c r="BH143" s="27">
        <v>0</v>
      </c>
      <c r="BI143" s="28"/>
    </row>
    <row r="144" spans="1:61" s="29" customFormat="1" hidden="1" outlineLevel="1" x14ac:dyDescent="0.3">
      <c r="A144" s="95" t="s">
        <v>167</v>
      </c>
      <c r="B144" s="2"/>
      <c r="C144" s="24"/>
      <c r="D144" s="55" t="s">
        <v>144</v>
      </c>
      <c r="E144" s="87"/>
      <c r="F144" s="56"/>
      <c r="G144" s="33"/>
      <c r="H144" s="241"/>
      <c r="I144" s="27">
        <v>0</v>
      </c>
      <c r="J144" s="28">
        <f>SUMIFS(T_REAL!$D:$D,T_REAL!$E:$E,DRE!J$7,T_REAL!$C:$C,DRE!$A144)+SUMIFS(Aut_Ajustes_Manuais!$G:$G,Aut_Ajustes_Manuais!$I:$I,DRE!H$4,Aut_Ajustes_Manuais!$F:$F,"  -  Saladeiro")</f>
        <v>0</v>
      </c>
      <c r="K144" s="241"/>
      <c r="L144" s="27">
        <v>0</v>
      </c>
      <c r="M144" s="28">
        <f>SUMIFS(T_REAL!$D:$D,T_REAL!$E:$E,DRE!M$7,T_REAL!$C:$C,DRE!$A144)+SUMIFS(Aut_Ajustes_Manuais!$G:$G,Aut_Ajustes_Manuais!$I:$I,DRE!K$4,Aut_Ajustes_Manuais!$F:$F,"  -  Saladeiro")</f>
        <v>0</v>
      </c>
      <c r="N144" s="241"/>
      <c r="O144" s="27">
        <v>0</v>
      </c>
      <c r="P144" s="28">
        <f>SUMIFS(T_REAL!$D:$D,T_REAL!$E:$E,DRE!P$7,T_REAL!$C:$C,DRE!$A144)+SUMIFS(Aut_Ajustes_Manuais!$G:$G,Aut_Ajustes_Manuais!$I:$I,DRE!N$4,Aut_Ajustes_Manuais!$F:$F,"  -  Saladeiro")</f>
        <v>0</v>
      </c>
      <c r="Q144" s="241"/>
      <c r="R144" s="27">
        <v>0</v>
      </c>
      <c r="S144" s="28">
        <f>SUMIFS(T_REAL!$D:$D,T_REAL!$E:$E,DRE!S$7,T_REAL!$C:$C,DRE!$A144)+SUMIFS(Aut_Ajustes_Manuais!$G:$G,Aut_Ajustes_Manuais!$I:$I,DRE!Q$4,Aut_Ajustes_Manuais!$F:$F,"  -  Saladeiro")</f>
        <v>0</v>
      </c>
      <c r="T144" s="241"/>
      <c r="U144" s="27">
        <v>0</v>
      </c>
      <c r="V144" s="28">
        <f>SUMIFS(T_REAL!$D:$D,T_REAL!$E:$E,DRE!V$7,T_REAL!$C:$C,DRE!$A144)+SUMIFS(Aut_Ajustes_Manuais!$G:$G,Aut_Ajustes_Manuais!$I:$I,DRE!T$4,Aut_Ajustes_Manuais!$F:$F,"  -  Saladeiro")</f>
        <v>0</v>
      </c>
      <c r="W144" s="241"/>
      <c r="X144" s="27">
        <v>0</v>
      </c>
      <c r="Y144" s="28">
        <f>SUMIFS(T_REAL!$D:$D,T_REAL!$E:$E,DRE!Y$7,T_REAL!$C:$C,DRE!$A144)+SUMIFS(Aut_Ajustes_Manuais!$G:$G,Aut_Ajustes_Manuais!$I:$I,DRE!W$4,Aut_Ajustes_Manuais!$F:$F,"  -  Saladeiro")</f>
        <v>0</v>
      </c>
      <c r="Z144" s="241"/>
      <c r="AA144" s="27">
        <v>0</v>
      </c>
      <c r="AB144" s="28">
        <f>SUMIFS(T_REAL!$D:$D,T_REAL!$E:$E,DRE!AB$7,T_REAL!$C:$C,DRE!$A144)+SUMIFS(Aut_Ajustes_Manuais!$G:$G,Aut_Ajustes_Manuais!$I:$I,DRE!Z$4,Aut_Ajustes_Manuais!$F:$F,"  -  Saladeiro")</f>
        <v>0</v>
      </c>
      <c r="AC144" s="241"/>
      <c r="AD144" s="27">
        <v>0</v>
      </c>
      <c r="AE144" s="28">
        <f>SUMIFS(T_REAL!$D:$D,T_REAL!$E:$E,DRE!AE$7,T_REAL!$C:$C,DRE!$A144)+SUMIFS(Aut_Ajustes_Manuais!$G:$G,Aut_Ajustes_Manuais!$I:$I,DRE!AC$4,Aut_Ajustes_Manuais!$F:$F,"  -  Saladeiro")</f>
        <v>0</v>
      </c>
      <c r="AF144" s="241"/>
      <c r="AG144" s="27">
        <v>0</v>
      </c>
      <c r="AH144" s="28">
        <f>SUMIFS(T_REAL!$D:$D,T_REAL!$E:$E,DRE!AH$7,T_REAL!$C:$C,DRE!$A144)+SUMIFS(Aut_Ajustes_Manuais!$G:$G,Aut_Ajustes_Manuais!$I:$I,DRE!AF$4,Aut_Ajustes_Manuais!$F:$F,"  -  Saladeiro")</f>
        <v>0</v>
      </c>
      <c r="AI144" s="241"/>
      <c r="AJ144" s="27">
        <v>0</v>
      </c>
      <c r="AK144" s="28">
        <f>SUMIFS(T_REAL!$D:$D,T_REAL!$E:$E,DRE!AK$7,T_REAL!$C:$C,DRE!$A144)+SUMIFS(Aut_Ajustes_Manuais!$G:$G,Aut_Ajustes_Manuais!$I:$I,DRE!AI$4,Aut_Ajustes_Manuais!$F:$F,"  -  Saladeiro")</f>
        <v>0</v>
      </c>
      <c r="AL144" s="241"/>
      <c r="AM144" s="27">
        <v>0</v>
      </c>
      <c r="AN144" s="28">
        <f>SUMIFS(T_REAL!$D:$D,T_REAL!$E:$E,DRE!AN$7,T_REAL!$C:$C,DRE!$A144)+SUMIFS(Aut_Ajustes_Manuais!$G:$G,Aut_Ajustes_Manuais!$I:$I,DRE!AL$4,Aut_Ajustes_Manuais!$F:$F,"  -  Saladeiro")</f>
        <v>0</v>
      </c>
      <c r="AO144" s="241"/>
      <c r="AP144" s="27">
        <v>0</v>
      </c>
      <c r="AQ144" s="28">
        <f>SUMIFS(T_REAL!$D:$D,T_REAL!$E:$E,DRE!AQ$7,T_REAL!$C:$C,DRE!$A144)+SUMIFS(Aut_Ajustes_Manuais!$G:$G,Aut_Ajustes_Manuais!$I:$I,DRE!AO$4,Aut_Ajustes_Manuais!$F:$F,"  -  Saladeiro")</f>
        <v>0</v>
      </c>
      <c r="AR144" s="241">
        <f t="shared" ca="1" si="144"/>
        <v>0</v>
      </c>
      <c r="AS144" s="27">
        <f t="shared" ca="1" si="145"/>
        <v>0</v>
      </c>
      <c r="AT144" s="28">
        <f t="shared" ca="1" si="146"/>
        <v>0</v>
      </c>
      <c r="AU144" s="241"/>
      <c r="AV144" s="27"/>
      <c r="AW144" s="28"/>
      <c r="AX144" s="241"/>
      <c r="AY144" s="27">
        <v>0</v>
      </c>
      <c r="AZ144" s="28"/>
      <c r="BA144" s="241"/>
      <c r="BB144" s="27">
        <v>0</v>
      </c>
      <c r="BC144" s="28"/>
      <c r="BD144" s="241"/>
      <c r="BE144" s="27">
        <v>0</v>
      </c>
      <c r="BF144" s="28"/>
      <c r="BG144" s="241"/>
      <c r="BH144" s="27">
        <v>0</v>
      </c>
      <c r="BI144" s="28"/>
    </row>
    <row r="145" spans="1:61" s="29" customFormat="1" hidden="1" outlineLevel="1" x14ac:dyDescent="0.3">
      <c r="A145" s="95" t="s">
        <v>168</v>
      </c>
      <c r="B145" s="2"/>
      <c r="C145" s="24"/>
      <c r="D145" s="55" t="s">
        <v>144</v>
      </c>
      <c r="E145" s="87"/>
      <c r="F145" s="56"/>
      <c r="G145" s="33"/>
      <c r="H145" s="241"/>
      <c r="I145" s="27">
        <v>0</v>
      </c>
      <c r="J145" s="28">
        <f>SUMIFS(T_REAL!$D:$D,T_REAL!$E:$E,DRE!J$7,T_REAL!$C:$C,DRE!$A145)+SUMIFS(Aut_Ajustes_Manuais!$G:$G,Aut_Ajustes_Manuais!$I:$I,DRE!H$4,Aut_Ajustes_Manuais!$F:$F,"  -  Pia")</f>
        <v>0</v>
      </c>
      <c r="K145" s="241"/>
      <c r="L145" s="27">
        <v>0</v>
      </c>
      <c r="M145" s="28">
        <f>SUMIFS(T_REAL!$D:$D,T_REAL!$E:$E,DRE!M$7,T_REAL!$C:$C,DRE!$A145)+SUMIFS(Aut_Ajustes_Manuais!$G:$G,Aut_Ajustes_Manuais!$I:$I,DRE!K$4,Aut_Ajustes_Manuais!$F:$F,"  -  Pia")</f>
        <v>0</v>
      </c>
      <c r="N145" s="241"/>
      <c r="O145" s="27">
        <v>0</v>
      </c>
      <c r="P145" s="28">
        <f>SUMIFS(T_REAL!$D:$D,T_REAL!$E:$E,DRE!P$7,T_REAL!$C:$C,DRE!$A145)+SUMIFS(Aut_Ajustes_Manuais!$G:$G,Aut_Ajustes_Manuais!$I:$I,DRE!N$4,Aut_Ajustes_Manuais!$F:$F,"  -  Pia")</f>
        <v>0</v>
      </c>
      <c r="Q145" s="241"/>
      <c r="R145" s="27">
        <v>0</v>
      </c>
      <c r="S145" s="28">
        <f>SUMIFS(T_REAL!$D:$D,T_REAL!$E:$E,DRE!S$7,T_REAL!$C:$C,DRE!$A145)+SUMIFS(Aut_Ajustes_Manuais!$G:$G,Aut_Ajustes_Manuais!$I:$I,DRE!Q$4,Aut_Ajustes_Manuais!$F:$F,"  -  Pia")</f>
        <v>0</v>
      </c>
      <c r="T145" s="241"/>
      <c r="U145" s="27">
        <v>0</v>
      </c>
      <c r="V145" s="28">
        <f>SUMIFS(T_REAL!$D:$D,T_REAL!$E:$E,DRE!V$7,T_REAL!$C:$C,DRE!$A145)+SUMIFS(Aut_Ajustes_Manuais!$G:$G,Aut_Ajustes_Manuais!$I:$I,DRE!T$4,Aut_Ajustes_Manuais!$F:$F,"  -  Pia")</f>
        <v>0</v>
      </c>
      <c r="W145" s="241"/>
      <c r="X145" s="27">
        <v>0</v>
      </c>
      <c r="Y145" s="28">
        <f>SUMIFS(T_REAL!$D:$D,T_REAL!$E:$E,DRE!Y$7,T_REAL!$C:$C,DRE!$A145)+SUMIFS(Aut_Ajustes_Manuais!$G:$G,Aut_Ajustes_Manuais!$I:$I,DRE!W$4,Aut_Ajustes_Manuais!$F:$F,"  -  Pia")</f>
        <v>0</v>
      </c>
      <c r="Z145" s="241"/>
      <c r="AA145" s="27">
        <v>0</v>
      </c>
      <c r="AB145" s="28">
        <f>SUMIFS(T_REAL!$D:$D,T_REAL!$E:$E,DRE!AB$7,T_REAL!$C:$C,DRE!$A145)+SUMIFS(Aut_Ajustes_Manuais!$G:$G,Aut_Ajustes_Manuais!$I:$I,DRE!Z$4,Aut_Ajustes_Manuais!$F:$F,"  -  Pia")</f>
        <v>0</v>
      </c>
      <c r="AC145" s="241"/>
      <c r="AD145" s="27">
        <v>0</v>
      </c>
      <c r="AE145" s="28">
        <f>SUMIFS(T_REAL!$D:$D,T_REAL!$E:$E,DRE!AE$7,T_REAL!$C:$C,DRE!$A145)+SUMIFS(Aut_Ajustes_Manuais!$G:$G,Aut_Ajustes_Manuais!$I:$I,DRE!AC$4,Aut_Ajustes_Manuais!$F:$F,"  -  Pia")</f>
        <v>0</v>
      </c>
      <c r="AF145" s="241"/>
      <c r="AG145" s="27">
        <v>0</v>
      </c>
      <c r="AH145" s="28">
        <f>SUMIFS(T_REAL!$D:$D,T_REAL!$E:$E,DRE!AH$7,T_REAL!$C:$C,DRE!$A145)+SUMIFS(Aut_Ajustes_Manuais!$G:$G,Aut_Ajustes_Manuais!$I:$I,DRE!AF$4,Aut_Ajustes_Manuais!$F:$F,"  -  Pia")</f>
        <v>0</v>
      </c>
      <c r="AI145" s="241"/>
      <c r="AJ145" s="27">
        <v>0</v>
      </c>
      <c r="AK145" s="28">
        <f>SUMIFS(T_REAL!$D:$D,T_REAL!$E:$E,DRE!AK$7,T_REAL!$C:$C,DRE!$A145)+SUMIFS(Aut_Ajustes_Manuais!$G:$G,Aut_Ajustes_Manuais!$I:$I,DRE!AI$4,Aut_Ajustes_Manuais!$F:$F,"  -  Pia")</f>
        <v>0</v>
      </c>
      <c r="AL145" s="241"/>
      <c r="AM145" s="27">
        <v>0</v>
      </c>
      <c r="AN145" s="28">
        <f>SUMIFS(T_REAL!$D:$D,T_REAL!$E:$E,DRE!AN$7,T_REAL!$C:$C,DRE!$A145)+SUMIFS(Aut_Ajustes_Manuais!$G:$G,Aut_Ajustes_Manuais!$I:$I,DRE!AL$4,Aut_Ajustes_Manuais!$F:$F,"  -  Pia")</f>
        <v>0</v>
      </c>
      <c r="AO145" s="241"/>
      <c r="AP145" s="27">
        <v>0</v>
      </c>
      <c r="AQ145" s="28">
        <f>SUMIFS(T_REAL!$D:$D,T_REAL!$E:$E,DRE!AQ$7,T_REAL!$C:$C,DRE!$A145)+SUMIFS(Aut_Ajustes_Manuais!$G:$G,Aut_Ajustes_Manuais!$I:$I,DRE!AO$4,Aut_Ajustes_Manuais!$F:$F,"  -  Pia")</f>
        <v>0</v>
      </c>
      <c r="AR145" s="241">
        <f t="shared" ca="1" si="144"/>
        <v>0</v>
      </c>
      <c r="AS145" s="27">
        <f t="shared" ca="1" si="145"/>
        <v>0</v>
      </c>
      <c r="AT145" s="28">
        <f t="shared" ca="1" si="146"/>
        <v>0</v>
      </c>
      <c r="AU145" s="241"/>
      <c r="AV145" s="27"/>
      <c r="AW145" s="28"/>
      <c r="AX145" s="241"/>
      <c r="AY145" s="27">
        <v>0</v>
      </c>
      <c r="AZ145" s="28"/>
      <c r="BA145" s="241"/>
      <c r="BB145" s="27">
        <v>0</v>
      </c>
      <c r="BC145" s="28"/>
      <c r="BD145" s="241"/>
      <c r="BE145" s="27">
        <v>0</v>
      </c>
      <c r="BF145" s="28"/>
      <c r="BG145" s="241"/>
      <c r="BH145" s="27">
        <v>0</v>
      </c>
      <c r="BI145" s="28"/>
    </row>
    <row r="146" spans="1:61" s="29" customFormat="1" hidden="1" outlineLevel="1" x14ac:dyDescent="0.3">
      <c r="A146" s="95" t="s">
        <v>169</v>
      </c>
      <c r="B146" s="2"/>
      <c r="C146" s="24"/>
      <c r="D146" s="55" t="s">
        <v>144</v>
      </c>
      <c r="E146" s="87"/>
      <c r="F146" s="56"/>
      <c r="G146" s="33"/>
      <c r="H146" s="241"/>
      <c r="I146" s="27">
        <v>0</v>
      </c>
      <c r="J146" s="28">
        <f>SUMIFS(T_REAL!$D:$D,T_REAL!$E:$E,DRE!J$7,T_REAL!$C:$C,DRE!$A146)+SUMIFS(Aut_Ajustes_Manuais!$G:$G,Aut_Ajustes_Manuais!$I:$I,DRE!H$4,Aut_Ajustes_Manuais!$F:$F,"  -  Sub Chefe de Confeitaria")</f>
        <v>0</v>
      </c>
      <c r="K146" s="241"/>
      <c r="L146" s="27">
        <v>0</v>
      </c>
      <c r="M146" s="28">
        <f>SUMIFS(T_REAL!$D:$D,T_REAL!$E:$E,DRE!M$7,T_REAL!$C:$C,DRE!$A146)+SUMIFS(Aut_Ajustes_Manuais!$G:$G,Aut_Ajustes_Manuais!$I:$I,DRE!K$4,Aut_Ajustes_Manuais!$F:$F,"  -  Sub Chefe de Confeitaria")</f>
        <v>0</v>
      </c>
      <c r="N146" s="241"/>
      <c r="O146" s="27">
        <v>0</v>
      </c>
      <c r="P146" s="28">
        <f>SUMIFS(T_REAL!$D:$D,T_REAL!$E:$E,DRE!P$7,T_REAL!$C:$C,DRE!$A146)+SUMIFS(Aut_Ajustes_Manuais!$G:$G,Aut_Ajustes_Manuais!$I:$I,DRE!N$4,Aut_Ajustes_Manuais!$F:$F,"  -  Sub Chefe de Confeitaria")</f>
        <v>0</v>
      </c>
      <c r="Q146" s="241"/>
      <c r="R146" s="27">
        <v>0</v>
      </c>
      <c r="S146" s="28">
        <f>SUMIFS(T_REAL!$D:$D,T_REAL!$E:$E,DRE!S$7,T_REAL!$C:$C,DRE!$A146)+SUMIFS(Aut_Ajustes_Manuais!$G:$G,Aut_Ajustes_Manuais!$I:$I,DRE!Q$4,Aut_Ajustes_Manuais!$F:$F,"  -  Sub Chefe de Confeitaria")</f>
        <v>0</v>
      </c>
      <c r="T146" s="241"/>
      <c r="U146" s="27">
        <v>0</v>
      </c>
      <c r="V146" s="28">
        <f>SUMIFS(T_REAL!$D:$D,T_REAL!$E:$E,DRE!V$7,T_REAL!$C:$C,DRE!$A146)+SUMIFS(Aut_Ajustes_Manuais!$G:$G,Aut_Ajustes_Manuais!$I:$I,DRE!T$4,Aut_Ajustes_Manuais!$F:$F,"  -  Sub Chefe de Confeitaria")</f>
        <v>0</v>
      </c>
      <c r="W146" s="241"/>
      <c r="X146" s="27">
        <v>0</v>
      </c>
      <c r="Y146" s="28">
        <f>SUMIFS(T_REAL!$D:$D,T_REAL!$E:$E,DRE!Y$7,T_REAL!$C:$C,DRE!$A146)+SUMIFS(Aut_Ajustes_Manuais!$G:$G,Aut_Ajustes_Manuais!$I:$I,DRE!W$4,Aut_Ajustes_Manuais!$F:$F,"  -  Sub Chefe de Confeitaria")</f>
        <v>0</v>
      </c>
      <c r="Z146" s="241"/>
      <c r="AA146" s="27">
        <v>0</v>
      </c>
      <c r="AB146" s="28">
        <f>SUMIFS(T_REAL!$D:$D,T_REAL!$E:$E,DRE!AB$7,T_REAL!$C:$C,DRE!$A146)+SUMIFS(Aut_Ajustes_Manuais!$G:$G,Aut_Ajustes_Manuais!$I:$I,DRE!Z$4,Aut_Ajustes_Manuais!$F:$F,"  -  Sub Chefe de Confeitaria")</f>
        <v>0</v>
      </c>
      <c r="AC146" s="241"/>
      <c r="AD146" s="27">
        <v>0</v>
      </c>
      <c r="AE146" s="28">
        <f>SUMIFS(T_REAL!$D:$D,T_REAL!$E:$E,DRE!AE$7,T_REAL!$C:$C,DRE!$A146)+SUMIFS(Aut_Ajustes_Manuais!$G:$G,Aut_Ajustes_Manuais!$I:$I,DRE!AC$4,Aut_Ajustes_Manuais!$F:$F,"  -  Sub Chefe de Confeitaria")</f>
        <v>0</v>
      </c>
      <c r="AF146" s="241"/>
      <c r="AG146" s="27">
        <v>0</v>
      </c>
      <c r="AH146" s="28">
        <f>SUMIFS(T_REAL!$D:$D,T_REAL!$E:$E,DRE!AH$7,T_REAL!$C:$C,DRE!$A146)+SUMIFS(Aut_Ajustes_Manuais!$G:$G,Aut_Ajustes_Manuais!$I:$I,DRE!AF$4,Aut_Ajustes_Manuais!$F:$F,"  -  Sub Chefe de Confeitaria")</f>
        <v>0</v>
      </c>
      <c r="AI146" s="241"/>
      <c r="AJ146" s="27">
        <v>0</v>
      </c>
      <c r="AK146" s="28">
        <f>SUMIFS(T_REAL!$D:$D,T_REAL!$E:$E,DRE!AK$7,T_REAL!$C:$C,DRE!$A146)+SUMIFS(Aut_Ajustes_Manuais!$G:$G,Aut_Ajustes_Manuais!$I:$I,DRE!AI$4,Aut_Ajustes_Manuais!$F:$F,"  -  Sub Chefe de Confeitaria")</f>
        <v>0</v>
      </c>
      <c r="AL146" s="241"/>
      <c r="AM146" s="27">
        <v>0</v>
      </c>
      <c r="AN146" s="28">
        <f>SUMIFS(T_REAL!$D:$D,T_REAL!$E:$E,DRE!AN$7,T_REAL!$C:$C,DRE!$A146)+SUMIFS(Aut_Ajustes_Manuais!$G:$G,Aut_Ajustes_Manuais!$I:$I,DRE!AL$4,Aut_Ajustes_Manuais!$F:$F,"  -  Sub Chefe de Confeitaria")</f>
        <v>0</v>
      </c>
      <c r="AO146" s="241"/>
      <c r="AP146" s="27">
        <v>0</v>
      </c>
      <c r="AQ146" s="28">
        <f>SUMIFS(T_REAL!$D:$D,T_REAL!$E:$E,DRE!AQ$7,T_REAL!$C:$C,DRE!$A146)+SUMIFS(Aut_Ajustes_Manuais!$G:$G,Aut_Ajustes_Manuais!$I:$I,DRE!AO$4,Aut_Ajustes_Manuais!$F:$F,"  -  Sub Chefe de Confeitaria")</f>
        <v>0</v>
      </c>
      <c r="AR146" s="241">
        <f t="shared" ca="1" si="144"/>
        <v>0</v>
      </c>
      <c r="AS146" s="27">
        <f t="shared" ca="1" si="145"/>
        <v>0</v>
      </c>
      <c r="AT146" s="28">
        <f t="shared" ca="1" si="146"/>
        <v>0</v>
      </c>
      <c r="AU146" s="241"/>
      <c r="AV146" s="27"/>
      <c r="AW146" s="28"/>
      <c r="AX146" s="241"/>
      <c r="AY146" s="27">
        <v>0</v>
      </c>
      <c r="AZ146" s="28"/>
      <c r="BA146" s="241"/>
      <c r="BB146" s="27">
        <v>0</v>
      </c>
      <c r="BC146" s="28"/>
      <c r="BD146" s="241"/>
      <c r="BE146" s="27">
        <v>0</v>
      </c>
      <c r="BF146" s="28"/>
      <c r="BG146" s="241"/>
      <c r="BH146" s="27">
        <v>0</v>
      </c>
      <c r="BI146" s="28"/>
    </row>
    <row r="147" spans="1:61" s="29" customFormat="1" hidden="1" outlineLevel="1" x14ac:dyDescent="0.3">
      <c r="A147" s="95" t="s">
        <v>170</v>
      </c>
      <c r="B147" s="2"/>
      <c r="C147" s="24"/>
      <c r="D147" s="55" t="s">
        <v>144</v>
      </c>
      <c r="E147" s="87"/>
      <c r="F147" s="56"/>
      <c r="G147" s="33"/>
      <c r="H147" s="241"/>
      <c r="I147" s="27">
        <v>0</v>
      </c>
      <c r="J147" s="28">
        <f>SUMIFS(T_REAL!$D:$D,T_REAL!$E:$E,DRE!J$7,T_REAL!$C:$C,DRE!$A147)+SUMIFS(Aut_Ajustes_Manuais!$G:$G,Aut_Ajustes_Manuais!$I:$I,DRE!H$4,Aut_Ajustes_Manuais!$F:$F,"  -  Confeiteiro III")</f>
        <v>0</v>
      </c>
      <c r="K147" s="241"/>
      <c r="L147" s="27">
        <v>0</v>
      </c>
      <c r="M147" s="28">
        <f>SUMIFS(T_REAL!$D:$D,T_REAL!$E:$E,DRE!M$7,T_REAL!$C:$C,DRE!$A147)+SUMIFS(Aut_Ajustes_Manuais!$G:$G,Aut_Ajustes_Manuais!$I:$I,DRE!K$4,Aut_Ajustes_Manuais!$F:$F,"  -  Confeiteiro III")</f>
        <v>0</v>
      </c>
      <c r="N147" s="241"/>
      <c r="O147" s="27">
        <v>0</v>
      </c>
      <c r="P147" s="28">
        <f>SUMIFS(T_REAL!$D:$D,T_REAL!$E:$E,DRE!P$7,T_REAL!$C:$C,DRE!$A147)+SUMIFS(Aut_Ajustes_Manuais!$G:$G,Aut_Ajustes_Manuais!$I:$I,DRE!N$4,Aut_Ajustes_Manuais!$F:$F,"  -  Confeiteiro III")</f>
        <v>0</v>
      </c>
      <c r="Q147" s="241"/>
      <c r="R147" s="27">
        <v>0</v>
      </c>
      <c r="S147" s="28">
        <f>SUMIFS(T_REAL!$D:$D,T_REAL!$E:$E,DRE!S$7,T_REAL!$C:$C,DRE!$A147)+SUMIFS(Aut_Ajustes_Manuais!$G:$G,Aut_Ajustes_Manuais!$I:$I,DRE!Q$4,Aut_Ajustes_Manuais!$F:$F,"  -  Confeiteiro III")</f>
        <v>0</v>
      </c>
      <c r="T147" s="241"/>
      <c r="U147" s="27">
        <v>0</v>
      </c>
      <c r="V147" s="28">
        <f>SUMIFS(T_REAL!$D:$D,T_REAL!$E:$E,DRE!V$7,T_REAL!$C:$C,DRE!$A147)+SUMIFS(Aut_Ajustes_Manuais!$G:$G,Aut_Ajustes_Manuais!$I:$I,DRE!T$4,Aut_Ajustes_Manuais!$F:$F,"  -  Confeiteiro III")</f>
        <v>0</v>
      </c>
      <c r="W147" s="241"/>
      <c r="X147" s="27">
        <v>0</v>
      </c>
      <c r="Y147" s="28">
        <f>SUMIFS(T_REAL!$D:$D,T_REAL!$E:$E,DRE!Y$7,T_REAL!$C:$C,DRE!$A147)+SUMIFS(Aut_Ajustes_Manuais!$G:$G,Aut_Ajustes_Manuais!$I:$I,DRE!W$4,Aut_Ajustes_Manuais!$F:$F,"  -  Confeiteiro III")</f>
        <v>0</v>
      </c>
      <c r="Z147" s="241"/>
      <c r="AA147" s="27">
        <v>0</v>
      </c>
      <c r="AB147" s="28">
        <f>SUMIFS(T_REAL!$D:$D,T_REAL!$E:$E,DRE!AB$7,T_REAL!$C:$C,DRE!$A147)+SUMIFS(Aut_Ajustes_Manuais!$G:$G,Aut_Ajustes_Manuais!$I:$I,DRE!Z$4,Aut_Ajustes_Manuais!$F:$F,"  -  Confeiteiro III")</f>
        <v>0</v>
      </c>
      <c r="AC147" s="241"/>
      <c r="AD147" s="27">
        <v>0</v>
      </c>
      <c r="AE147" s="28">
        <f>SUMIFS(T_REAL!$D:$D,T_REAL!$E:$E,DRE!AE$7,T_REAL!$C:$C,DRE!$A147)+SUMIFS(Aut_Ajustes_Manuais!$G:$G,Aut_Ajustes_Manuais!$I:$I,DRE!AC$4,Aut_Ajustes_Manuais!$F:$F,"  -  Confeiteiro III")</f>
        <v>0</v>
      </c>
      <c r="AF147" s="241"/>
      <c r="AG147" s="27">
        <v>0</v>
      </c>
      <c r="AH147" s="28">
        <f>SUMIFS(T_REAL!$D:$D,T_REAL!$E:$E,DRE!AH$7,T_REAL!$C:$C,DRE!$A147)+SUMIFS(Aut_Ajustes_Manuais!$G:$G,Aut_Ajustes_Manuais!$I:$I,DRE!AF$4,Aut_Ajustes_Manuais!$F:$F,"  -  Confeiteiro III")</f>
        <v>0</v>
      </c>
      <c r="AI147" s="241"/>
      <c r="AJ147" s="27">
        <v>0</v>
      </c>
      <c r="AK147" s="28">
        <f>SUMIFS(T_REAL!$D:$D,T_REAL!$E:$E,DRE!AK$7,T_REAL!$C:$C,DRE!$A147)+SUMIFS(Aut_Ajustes_Manuais!$G:$G,Aut_Ajustes_Manuais!$I:$I,DRE!AI$4,Aut_Ajustes_Manuais!$F:$F,"  -  Confeiteiro III")</f>
        <v>0</v>
      </c>
      <c r="AL147" s="241"/>
      <c r="AM147" s="27">
        <v>0</v>
      </c>
      <c r="AN147" s="28">
        <f>SUMIFS(T_REAL!$D:$D,T_REAL!$E:$E,DRE!AN$7,T_REAL!$C:$C,DRE!$A147)+SUMIFS(Aut_Ajustes_Manuais!$G:$G,Aut_Ajustes_Manuais!$I:$I,DRE!AL$4,Aut_Ajustes_Manuais!$F:$F,"  -  Confeiteiro III")</f>
        <v>0</v>
      </c>
      <c r="AO147" s="241"/>
      <c r="AP147" s="27">
        <v>0</v>
      </c>
      <c r="AQ147" s="28">
        <f>SUMIFS(T_REAL!$D:$D,T_REAL!$E:$E,DRE!AQ$7,T_REAL!$C:$C,DRE!$A147)+SUMIFS(Aut_Ajustes_Manuais!$G:$G,Aut_Ajustes_Manuais!$I:$I,DRE!AO$4,Aut_Ajustes_Manuais!$F:$F,"  -  Confeiteiro III")</f>
        <v>0</v>
      </c>
      <c r="AR147" s="241">
        <f t="shared" ca="1" si="144"/>
        <v>0</v>
      </c>
      <c r="AS147" s="27">
        <f t="shared" ca="1" si="145"/>
        <v>0</v>
      </c>
      <c r="AT147" s="28">
        <f t="shared" ca="1" si="146"/>
        <v>0</v>
      </c>
      <c r="AU147" s="241"/>
      <c r="AV147" s="27"/>
      <c r="AW147" s="28"/>
      <c r="AX147" s="241"/>
      <c r="AY147" s="27">
        <v>0</v>
      </c>
      <c r="AZ147" s="28"/>
      <c r="BA147" s="241"/>
      <c r="BB147" s="27">
        <v>0</v>
      </c>
      <c r="BC147" s="28"/>
      <c r="BD147" s="241"/>
      <c r="BE147" s="27">
        <v>0</v>
      </c>
      <c r="BF147" s="28"/>
      <c r="BG147" s="241"/>
      <c r="BH147" s="27">
        <v>0</v>
      </c>
      <c r="BI147" s="28"/>
    </row>
    <row r="148" spans="1:61" s="29" customFormat="1" hidden="1" outlineLevel="1" x14ac:dyDescent="0.3">
      <c r="A148" s="95" t="s">
        <v>171</v>
      </c>
      <c r="B148" s="2"/>
      <c r="C148" s="24"/>
      <c r="D148" s="55" t="s">
        <v>144</v>
      </c>
      <c r="E148" s="87"/>
      <c r="F148" s="56"/>
      <c r="G148" s="33"/>
      <c r="H148" s="241"/>
      <c r="I148" s="27">
        <v>0</v>
      </c>
      <c r="J148" s="28">
        <f>SUMIFS(T_REAL!$D:$D,T_REAL!$E:$E,DRE!J$7,T_REAL!$C:$C,DRE!$A148)+SUMIFS(Aut_Ajustes_Manuais!$G:$G,Aut_Ajustes_Manuais!$I:$I,DRE!H$4,Aut_Ajustes_Manuais!$F:$F,"  -  Confeiteiro II")</f>
        <v>0</v>
      </c>
      <c r="K148" s="241"/>
      <c r="L148" s="27">
        <v>0</v>
      </c>
      <c r="M148" s="28">
        <f>SUMIFS(T_REAL!$D:$D,T_REAL!$E:$E,DRE!M$7,T_REAL!$C:$C,DRE!$A148)+SUMIFS(Aut_Ajustes_Manuais!$G:$G,Aut_Ajustes_Manuais!$I:$I,DRE!K$4,Aut_Ajustes_Manuais!$F:$F,"  -  Confeiteiro II")</f>
        <v>0</v>
      </c>
      <c r="N148" s="241"/>
      <c r="O148" s="27">
        <v>0</v>
      </c>
      <c r="P148" s="28">
        <f>SUMIFS(T_REAL!$D:$D,T_REAL!$E:$E,DRE!P$7,T_REAL!$C:$C,DRE!$A148)+SUMIFS(Aut_Ajustes_Manuais!$G:$G,Aut_Ajustes_Manuais!$I:$I,DRE!N$4,Aut_Ajustes_Manuais!$F:$F,"  -  Confeiteiro II")</f>
        <v>0</v>
      </c>
      <c r="Q148" s="241"/>
      <c r="R148" s="27">
        <v>0</v>
      </c>
      <c r="S148" s="28">
        <f>SUMIFS(T_REAL!$D:$D,T_REAL!$E:$E,DRE!S$7,T_REAL!$C:$C,DRE!$A148)+SUMIFS(Aut_Ajustes_Manuais!$G:$G,Aut_Ajustes_Manuais!$I:$I,DRE!Q$4,Aut_Ajustes_Manuais!$F:$F,"  -  Confeiteiro II")</f>
        <v>0</v>
      </c>
      <c r="T148" s="241"/>
      <c r="U148" s="27">
        <v>0</v>
      </c>
      <c r="V148" s="28">
        <f>SUMIFS(T_REAL!$D:$D,T_REAL!$E:$E,DRE!V$7,T_REAL!$C:$C,DRE!$A148)+SUMIFS(Aut_Ajustes_Manuais!$G:$G,Aut_Ajustes_Manuais!$I:$I,DRE!T$4,Aut_Ajustes_Manuais!$F:$F,"  -  Confeiteiro II")</f>
        <v>0</v>
      </c>
      <c r="W148" s="241"/>
      <c r="X148" s="27">
        <v>0</v>
      </c>
      <c r="Y148" s="28">
        <f>SUMIFS(T_REAL!$D:$D,T_REAL!$E:$E,DRE!Y$7,T_REAL!$C:$C,DRE!$A148)+SUMIFS(Aut_Ajustes_Manuais!$G:$G,Aut_Ajustes_Manuais!$I:$I,DRE!W$4,Aut_Ajustes_Manuais!$F:$F,"  -  Confeiteiro II")</f>
        <v>0</v>
      </c>
      <c r="Z148" s="241"/>
      <c r="AA148" s="27">
        <v>0</v>
      </c>
      <c r="AB148" s="28">
        <f>SUMIFS(T_REAL!$D:$D,T_REAL!$E:$E,DRE!AB$7,T_REAL!$C:$C,DRE!$A148)+SUMIFS(Aut_Ajustes_Manuais!$G:$G,Aut_Ajustes_Manuais!$I:$I,DRE!Z$4,Aut_Ajustes_Manuais!$F:$F,"  -  Confeiteiro II")</f>
        <v>0</v>
      </c>
      <c r="AC148" s="241"/>
      <c r="AD148" s="27">
        <v>0</v>
      </c>
      <c r="AE148" s="28">
        <f>SUMIFS(T_REAL!$D:$D,T_REAL!$E:$E,DRE!AE$7,T_REAL!$C:$C,DRE!$A148)+SUMIFS(Aut_Ajustes_Manuais!$G:$G,Aut_Ajustes_Manuais!$I:$I,DRE!AC$4,Aut_Ajustes_Manuais!$F:$F,"  -  Confeiteiro II")</f>
        <v>0</v>
      </c>
      <c r="AF148" s="241"/>
      <c r="AG148" s="27">
        <v>0</v>
      </c>
      <c r="AH148" s="28">
        <f>SUMIFS(T_REAL!$D:$D,T_REAL!$E:$E,DRE!AH$7,T_REAL!$C:$C,DRE!$A148)+SUMIFS(Aut_Ajustes_Manuais!$G:$G,Aut_Ajustes_Manuais!$I:$I,DRE!AF$4,Aut_Ajustes_Manuais!$F:$F,"  -  Confeiteiro II")</f>
        <v>0</v>
      </c>
      <c r="AI148" s="241"/>
      <c r="AJ148" s="27">
        <v>0</v>
      </c>
      <c r="AK148" s="28">
        <f>SUMIFS(T_REAL!$D:$D,T_REAL!$E:$E,DRE!AK$7,T_REAL!$C:$C,DRE!$A148)+SUMIFS(Aut_Ajustes_Manuais!$G:$G,Aut_Ajustes_Manuais!$I:$I,DRE!AI$4,Aut_Ajustes_Manuais!$F:$F,"  -  Confeiteiro II")</f>
        <v>0</v>
      </c>
      <c r="AL148" s="241"/>
      <c r="AM148" s="27">
        <v>0</v>
      </c>
      <c r="AN148" s="28">
        <f>SUMIFS(T_REAL!$D:$D,T_REAL!$E:$E,DRE!AN$7,T_REAL!$C:$C,DRE!$A148)+SUMIFS(Aut_Ajustes_Manuais!$G:$G,Aut_Ajustes_Manuais!$I:$I,DRE!AL$4,Aut_Ajustes_Manuais!$F:$F,"  -  Confeiteiro II")</f>
        <v>0</v>
      </c>
      <c r="AO148" s="241"/>
      <c r="AP148" s="27">
        <v>0</v>
      </c>
      <c r="AQ148" s="28">
        <f>SUMIFS(T_REAL!$D:$D,T_REAL!$E:$E,DRE!AQ$7,T_REAL!$C:$C,DRE!$A148)+SUMIFS(Aut_Ajustes_Manuais!$G:$G,Aut_Ajustes_Manuais!$I:$I,DRE!AO$4,Aut_Ajustes_Manuais!$F:$F,"  -  Confeiteiro II")</f>
        <v>0</v>
      </c>
      <c r="AR148" s="241">
        <f t="shared" ca="1" si="144"/>
        <v>0</v>
      </c>
      <c r="AS148" s="27">
        <f t="shared" ca="1" si="145"/>
        <v>0</v>
      </c>
      <c r="AT148" s="28">
        <f t="shared" ca="1" si="146"/>
        <v>0</v>
      </c>
      <c r="AU148" s="241"/>
      <c r="AV148" s="27"/>
      <c r="AW148" s="28"/>
      <c r="AX148" s="241"/>
      <c r="AY148" s="27">
        <v>0</v>
      </c>
      <c r="AZ148" s="28"/>
      <c r="BA148" s="241"/>
      <c r="BB148" s="27">
        <v>0</v>
      </c>
      <c r="BC148" s="28"/>
      <c r="BD148" s="241"/>
      <c r="BE148" s="27">
        <v>0</v>
      </c>
      <c r="BF148" s="28"/>
      <c r="BG148" s="241"/>
      <c r="BH148" s="27">
        <v>0</v>
      </c>
      <c r="BI148" s="28"/>
    </row>
    <row r="149" spans="1:61" s="29" customFormat="1" hidden="1" outlineLevel="1" x14ac:dyDescent="0.3">
      <c r="A149" s="95" t="s">
        <v>172</v>
      </c>
      <c r="B149" s="2"/>
      <c r="C149" s="24"/>
      <c r="D149" s="55" t="s">
        <v>144</v>
      </c>
      <c r="E149" s="87"/>
      <c r="F149" s="56"/>
      <c r="G149" s="33"/>
      <c r="H149" s="241"/>
      <c r="I149" s="27">
        <v>0</v>
      </c>
      <c r="J149" s="28">
        <f>SUMIFS(T_REAL!$D:$D,T_REAL!$E:$E,DRE!J$7,T_REAL!$C:$C,DRE!$A149)+SUMIFS(Aut_Ajustes_Manuais!$G:$G,Aut_Ajustes_Manuais!$I:$I,DRE!H$4,Aut_Ajustes_Manuais!$F:$F,"  -  Confeiteiro I")</f>
        <v>0</v>
      </c>
      <c r="K149" s="241"/>
      <c r="L149" s="27">
        <v>0</v>
      </c>
      <c r="M149" s="28">
        <f>SUMIFS(T_REAL!$D:$D,T_REAL!$E:$E,DRE!M$7,T_REAL!$C:$C,DRE!$A149)+SUMIFS(Aut_Ajustes_Manuais!$G:$G,Aut_Ajustes_Manuais!$I:$I,DRE!K$4,Aut_Ajustes_Manuais!$F:$F,"  -  Confeiteiro I")</f>
        <v>0</v>
      </c>
      <c r="N149" s="241"/>
      <c r="O149" s="27">
        <v>0</v>
      </c>
      <c r="P149" s="28">
        <f>SUMIFS(T_REAL!$D:$D,T_REAL!$E:$E,DRE!P$7,T_REAL!$C:$C,DRE!$A149)+SUMIFS(Aut_Ajustes_Manuais!$G:$G,Aut_Ajustes_Manuais!$I:$I,DRE!N$4,Aut_Ajustes_Manuais!$F:$F,"  -  Confeiteiro I")</f>
        <v>0</v>
      </c>
      <c r="Q149" s="241"/>
      <c r="R149" s="27">
        <v>0</v>
      </c>
      <c r="S149" s="28">
        <f>SUMIFS(T_REAL!$D:$D,T_REAL!$E:$E,DRE!S$7,T_REAL!$C:$C,DRE!$A149)+SUMIFS(Aut_Ajustes_Manuais!$G:$G,Aut_Ajustes_Manuais!$I:$I,DRE!Q$4,Aut_Ajustes_Manuais!$F:$F,"  -  Confeiteiro I")</f>
        <v>0</v>
      </c>
      <c r="T149" s="241"/>
      <c r="U149" s="27">
        <v>0</v>
      </c>
      <c r="V149" s="28">
        <f>SUMIFS(T_REAL!$D:$D,T_REAL!$E:$E,DRE!V$7,T_REAL!$C:$C,DRE!$A149)+SUMIFS(Aut_Ajustes_Manuais!$G:$G,Aut_Ajustes_Manuais!$I:$I,DRE!T$4,Aut_Ajustes_Manuais!$F:$F,"  -  Confeiteiro I")</f>
        <v>0</v>
      </c>
      <c r="W149" s="241"/>
      <c r="X149" s="27">
        <v>0</v>
      </c>
      <c r="Y149" s="28">
        <f>SUMIFS(T_REAL!$D:$D,T_REAL!$E:$E,DRE!Y$7,T_REAL!$C:$C,DRE!$A149)+SUMIFS(Aut_Ajustes_Manuais!$G:$G,Aut_Ajustes_Manuais!$I:$I,DRE!W$4,Aut_Ajustes_Manuais!$F:$F,"  -  Confeiteiro I")</f>
        <v>0</v>
      </c>
      <c r="Z149" s="241"/>
      <c r="AA149" s="27">
        <v>0</v>
      </c>
      <c r="AB149" s="28">
        <f>SUMIFS(T_REAL!$D:$D,T_REAL!$E:$E,DRE!AB$7,T_REAL!$C:$C,DRE!$A149)+SUMIFS(Aut_Ajustes_Manuais!$G:$G,Aut_Ajustes_Manuais!$I:$I,DRE!Z$4,Aut_Ajustes_Manuais!$F:$F,"  -  Confeiteiro I")</f>
        <v>0</v>
      </c>
      <c r="AC149" s="241"/>
      <c r="AD149" s="27">
        <v>0</v>
      </c>
      <c r="AE149" s="28">
        <f>SUMIFS(T_REAL!$D:$D,T_REAL!$E:$E,DRE!AE$7,T_REAL!$C:$C,DRE!$A149)+SUMIFS(Aut_Ajustes_Manuais!$G:$G,Aut_Ajustes_Manuais!$I:$I,DRE!AC$4,Aut_Ajustes_Manuais!$F:$F,"  -  Confeiteiro I")</f>
        <v>0</v>
      </c>
      <c r="AF149" s="241"/>
      <c r="AG149" s="27">
        <v>0</v>
      </c>
      <c r="AH149" s="28">
        <f>SUMIFS(T_REAL!$D:$D,T_REAL!$E:$E,DRE!AH$7,T_REAL!$C:$C,DRE!$A149)+SUMIFS(Aut_Ajustes_Manuais!$G:$G,Aut_Ajustes_Manuais!$I:$I,DRE!AF$4,Aut_Ajustes_Manuais!$F:$F,"  -  Confeiteiro I")</f>
        <v>0</v>
      </c>
      <c r="AI149" s="241"/>
      <c r="AJ149" s="27">
        <v>0</v>
      </c>
      <c r="AK149" s="28">
        <f>SUMIFS(T_REAL!$D:$D,T_REAL!$E:$E,DRE!AK$7,T_REAL!$C:$C,DRE!$A149)+SUMIFS(Aut_Ajustes_Manuais!$G:$G,Aut_Ajustes_Manuais!$I:$I,DRE!AI$4,Aut_Ajustes_Manuais!$F:$F,"  -  Confeiteiro I")</f>
        <v>0</v>
      </c>
      <c r="AL149" s="241"/>
      <c r="AM149" s="27">
        <v>0</v>
      </c>
      <c r="AN149" s="28">
        <f>SUMIFS(T_REAL!$D:$D,T_REAL!$E:$E,DRE!AN$7,T_REAL!$C:$C,DRE!$A149)+SUMIFS(Aut_Ajustes_Manuais!$G:$G,Aut_Ajustes_Manuais!$I:$I,DRE!AL$4,Aut_Ajustes_Manuais!$F:$F,"  -  Confeiteiro I")</f>
        <v>0</v>
      </c>
      <c r="AO149" s="241"/>
      <c r="AP149" s="27">
        <v>0</v>
      </c>
      <c r="AQ149" s="28">
        <f>SUMIFS(T_REAL!$D:$D,T_REAL!$E:$E,DRE!AQ$7,T_REAL!$C:$C,DRE!$A149)+SUMIFS(Aut_Ajustes_Manuais!$G:$G,Aut_Ajustes_Manuais!$I:$I,DRE!AO$4,Aut_Ajustes_Manuais!$F:$F,"  -  Confeiteiro I")</f>
        <v>0</v>
      </c>
      <c r="AR149" s="241">
        <f t="shared" ca="1" si="144"/>
        <v>0</v>
      </c>
      <c r="AS149" s="27">
        <f t="shared" ca="1" si="145"/>
        <v>0</v>
      </c>
      <c r="AT149" s="28">
        <f t="shared" ca="1" si="146"/>
        <v>0</v>
      </c>
      <c r="AU149" s="241"/>
      <c r="AV149" s="27"/>
      <c r="AW149" s="28"/>
      <c r="AX149" s="241"/>
      <c r="AY149" s="27">
        <v>-6444.84</v>
      </c>
      <c r="AZ149" s="28"/>
      <c r="BA149" s="241"/>
      <c r="BB149" s="27">
        <v>-6535.0677600000008</v>
      </c>
      <c r="BC149" s="28"/>
      <c r="BD149" s="241"/>
      <c r="BE149" s="27">
        <v>-6715.5232800000013</v>
      </c>
      <c r="BF149" s="28"/>
      <c r="BG149" s="241"/>
      <c r="BH149" s="27">
        <v>-6715.5232800000013</v>
      </c>
      <c r="BI149" s="28"/>
    </row>
    <row r="150" spans="1:61" s="29" customFormat="1" hidden="1" outlineLevel="1" x14ac:dyDescent="0.3">
      <c r="A150" s="95" t="s">
        <v>173</v>
      </c>
      <c r="B150" s="2"/>
      <c r="C150" s="24"/>
      <c r="D150" s="55" t="s">
        <v>144</v>
      </c>
      <c r="E150" s="87"/>
      <c r="F150" s="56"/>
      <c r="G150" s="33"/>
      <c r="H150" s="241"/>
      <c r="I150" s="27">
        <v>0</v>
      </c>
      <c r="J150" s="28">
        <f>SUMIFS(T_REAL!$D:$D,T_REAL!$E:$E,DRE!J$7,T_REAL!$C:$C,DRE!$A150)+SUMIFS(Aut_Ajustes_Manuais!$G:$G,Aut_Ajustes_Manuais!$I:$I,DRE!H$4,Aut_Ajustes_Manuais!$F:$F,"  -  Copeiro")</f>
        <v>0</v>
      </c>
      <c r="K150" s="241"/>
      <c r="L150" s="27">
        <v>0</v>
      </c>
      <c r="M150" s="28">
        <f>SUMIFS(T_REAL!$D:$D,T_REAL!$E:$E,DRE!M$7,T_REAL!$C:$C,DRE!$A150)+SUMIFS(Aut_Ajustes_Manuais!$G:$G,Aut_Ajustes_Manuais!$I:$I,DRE!K$4,Aut_Ajustes_Manuais!$F:$F,"  -  Copeiro")</f>
        <v>0</v>
      </c>
      <c r="N150" s="241"/>
      <c r="O150" s="27">
        <v>0</v>
      </c>
      <c r="P150" s="28">
        <f>SUMIFS(T_REAL!$D:$D,T_REAL!$E:$E,DRE!P$7,T_REAL!$C:$C,DRE!$A150)+SUMIFS(Aut_Ajustes_Manuais!$G:$G,Aut_Ajustes_Manuais!$I:$I,DRE!N$4,Aut_Ajustes_Manuais!$F:$F,"  -  Copeiro")</f>
        <v>0</v>
      </c>
      <c r="Q150" s="241"/>
      <c r="R150" s="27">
        <v>0</v>
      </c>
      <c r="S150" s="28">
        <f>SUMIFS(T_REAL!$D:$D,T_REAL!$E:$E,DRE!S$7,T_REAL!$C:$C,DRE!$A150)+SUMIFS(Aut_Ajustes_Manuais!$G:$G,Aut_Ajustes_Manuais!$I:$I,DRE!Q$4,Aut_Ajustes_Manuais!$F:$F,"  -  Copeiro")</f>
        <v>0</v>
      </c>
      <c r="T150" s="241"/>
      <c r="U150" s="27">
        <v>0</v>
      </c>
      <c r="V150" s="28">
        <f>SUMIFS(T_REAL!$D:$D,T_REAL!$E:$E,DRE!V$7,T_REAL!$C:$C,DRE!$A150)+SUMIFS(Aut_Ajustes_Manuais!$G:$G,Aut_Ajustes_Manuais!$I:$I,DRE!T$4,Aut_Ajustes_Manuais!$F:$F,"  -  Copeiro")</f>
        <v>0</v>
      </c>
      <c r="W150" s="241"/>
      <c r="X150" s="27">
        <v>0</v>
      </c>
      <c r="Y150" s="28">
        <f>SUMIFS(T_REAL!$D:$D,T_REAL!$E:$E,DRE!Y$7,T_REAL!$C:$C,DRE!$A150)+SUMIFS(Aut_Ajustes_Manuais!$G:$G,Aut_Ajustes_Manuais!$I:$I,DRE!W$4,Aut_Ajustes_Manuais!$F:$F,"  -  Copeiro")</f>
        <v>0</v>
      </c>
      <c r="Z150" s="241"/>
      <c r="AA150" s="27">
        <v>0</v>
      </c>
      <c r="AB150" s="28">
        <f>SUMIFS(T_REAL!$D:$D,T_REAL!$E:$E,DRE!AB$7,T_REAL!$C:$C,DRE!$A150)+SUMIFS(Aut_Ajustes_Manuais!$G:$G,Aut_Ajustes_Manuais!$I:$I,DRE!Z$4,Aut_Ajustes_Manuais!$F:$F,"  -  Copeiro")</f>
        <v>0</v>
      </c>
      <c r="AC150" s="241"/>
      <c r="AD150" s="27">
        <v>0</v>
      </c>
      <c r="AE150" s="28">
        <f>SUMIFS(T_REAL!$D:$D,T_REAL!$E:$E,DRE!AE$7,T_REAL!$C:$C,DRE!$A150)+SUMIFS(Aut_Ajustes_Manuais!$G:$G,Aut_Ajustes_Manuais!$I:$I,DRE!AC$4,Aut_Ajustes_Manuais!$F:$F,"  -  Copeiro")</f>
        <v>0</v>
      </c>
      <c r="AF150" s="241"/>
      <c r="AG150" s="27">
        <v>0</v>
      </c>
      <c r="AH150" s="28">
        <f>SUMIFS(T_REAL!$D:$D,T_REAL!$E:$E,DRE!AH$7,T_REAL!$C:$C,DRE!$A150)+SUMIFS(Aut_Ajustes_Manuais!$G:$G,Aut_Ajustes_Manuais!$I:$I,DRE!AF$4,Aut_Ajustes_Manuais!$F:$F,"  -  Copeiro")</f>
        <v>0</v>
      </c>
      <c r="AI150" s="241"/>
      <c r="AJ150" s="27">
        <v>0</v>
      </c>
      <c r="AK150" s="28">
        <f>SUMIFS(T_REAL!$D:$D,T_REAL!$E:$E,DRE!AK$7,T_REAL!$C:$C,DRE!$A150)+SUMIFS(Aut_Ajustes_Manuais!$G:$G,Aut_Ajustes_Manuais!$I:$I,DRE!AI$4,Aut_Ajustes_Manuais!$F:$F,"  -  Copeiro")</f>
        <v>0</v>
      </c>
      <c r="AL150" s="241"/>
      <c r="AM150" s="27">
        <v>0</v>
      </c>
      <c r="AN150" s="28">
        <f>SUMIFS(T_REAL!$D:$D,T_REAL!$E:$E,DRE!AN$7,T_REAL!$C:$C,DRE!$A150)+SUMIFS(Aut_Ajustes_Manuais!$G:$G,Aut_Ajustes_Manuais!$I:$I,DRE!AL$4,Aut_Ajustes_Manuais!$F:$F,"  -  Copeiro")</f>
        <v>0</v>
      </c>
      <c r="AO150" s="241"/>
      <c r="AP150" s="27">
        <v>0</v>
      </c>
      <c r="AQ150" s="28">
        <f>SUMIFS(T_REAL!$D:$D,T_REAL!$E:$E,DRE!AQ$7,T_REAL!$C:$C,DRE!$A150)+SUMIFS(Aut_Ajustes_Manuais!$G:$G,Aut_Ajustes_Manuais!$I:$I,DRE!AO$4,Aut_Ajustes_Manuais!$F:$F,"  -  Copeiro")</f>
        <v>0</v>
      </c>
      <c r="AR150" s="241">
        <f t="shared" ca="1" si="144"/>
        <v>0</v>
      </c>
      <c r="AS150" s="27">
        <f t="shared" ca="1" si="145"/>
        <v>0</v>
      </c>
      <c r="AT150" s="28">
        <f t="shared" ca="1" si="146"/>
        <v>0</v>
      </c>
      <c r="AU150" s="241"/>
      <c r="AV150" s="27"/>
      <c r="AW150" s="28"/>
      <c r="AX150" s="241"/>
      <c r="AY150" s="27">
        <v>0</v>
      </c>
      <c r="AZ150" s="28"/>
      <c r="BA150" s="241"/>
      <c r="BB150" s="27">
        <v>0</v>
      </c>
      <c r="BC150" s="28"/>
      <c r="BD150" s="241"/>
      <c r="BE150" s="27">
        <v>0</v>
      </c>
      <c r="BF150" s="28"/>
      <c r="BG150" s="241"/>
      <c r="BH150" s="27">
        <v>0</v>
      </c>
      <c r="BI150" s="28"/>
    </row>
    <row r="151" spans="1:61" s="29" customFormat="1" hidden="1" outlineLevel="1" x14ac:dyDescent="0.3">
      <c r="A151" s="95" t="s">
        <v>174</v>
      </c>
      <c r="B151" s="2"/>
      <c r="C151" s="24"/>
      <c r="D151" s="55" t="s">
        <v>144</v>
      </c>
      <c r="E151" s="87"/>
      <c r="F151" s="56"/>
      <c r="G151" s="33"/>
      <c r="H151" s="241"/>
      <c r="I151" s="27">
        <v>0</v>
      </c>
      <c r="J151" s="28">
        <f>SUMIFS(T_REAL!$D:$D,T_REAL!$E:$E,DRE!J$7,T_REAL!$C:$C,DRE!$A151)+SUMIFS(Aut_Ajustes_Manuais!$G:$G,Aut_Ajustes_Manuais!$I:$I,DRE!H$4,Aut_Ajustes_Manuais!$F:$F,"  -  Pizzaiolo")</f>
        <v>0</v>
      </c>
      <c r="K151" s="241"/>
      <c r="L151" s="27">
        <v>0</v>
      </c>
      <c r="M151" s="28">
        <f>SUMIFS(T_REAL!$D:$D,T_REAL!$E:$E,DRE!M$7,T_REAL!$C:$C,DRE!$A151)+SUMIFS(Aut_Ajustes_Manuais!$G:$G,Aut_Ajustes_Manuais!$I:$I,DRE!K$4,Aut_Ajustes_Manuais!$F:$F,"  -  Pizzaiolo")</f>
        <v>0</v>
      </c>
      <c r="N151" s="241"/>
      <c r="O151" s="27">
        <v>0</v>
      </c>
      <c r="P151" s="28">
        <f>SUMIFS(T_REAL!$D:$D,T_REAL!$E:$E,DRE!P$7,T_REAL!$C:$C,DRE!$A151)+SUMIFS(Aut_Ajustes_Manuais!$G:$G,Aut_Ajustes_Manuais!$I:$I,DRE!N$4,Aut_Ajustes_Manuais!$F:$F,"  -  Pizzaiolo")</f>
        <v>0</v>
      </c>
      <c r="Q151" s="241"/>
      <c r="R151" s="27">
        <v>0</v>
      </c>
      <c r="S151" s="28">
        <f>SUMIFS(T_REAL!$D:$D,T_REAL!$E:$E,DRE!S$7,T_REAL!$C:$C,DRE!$A151)+SUMIFS(Aut_Ajustes_Manuais!$G:$G,Aut_Ajustes_Manuais!$I:$I,DRE!Q$4,Aut_Ajustes_Manuais!$F:$F,"  -  Pizzaiolo")</f>
        <v>0</v>
      </c>
      <c r="T151" s="241"/>
      <c r="U151" s="27">
        <v>0</v>
      </c>
      <c r="V151" s="28">
        <f>SUMIFS(T_REAL!$D:$D,T_REAL!$E:$E,DRE!V$7,T_REAL!$C:$C,DRE!$A151)+SUMIFS(Aut_Ajustes_Manuais!$G:$G,Aut_Ajustes_Manuais!$I:$I,DRE!T$4,Aut_Ajustes_Manuais!$F:$F,"  -  Pizzaiolo")</f>
        <v>0</v>
      </c>
      <c r="W151" s="241"/>
      <c r="X151" s="27">
        <v>0</v>
      </c>
      <c r="Y151" s="28">
        <f>SUMIFS(T_REAL!$D:$D,T_REAL!$E:$E,DRE!Y$7,T_REAL!$C:$C,DRE!$A151)+SUMIFS(Aut_Ajustes_Manuais!$G:$G,Aut_Ajustes_Manuais!$I:$I,DRE!W$4,Aut_Ajustes_Manuais!$F:$F,"  -  Pizzaiolo")</f>
        <v>0</v>
      </c>
      <c r="Z151" s="241"/>
      <c r="AA151" s="27">
        <v>0</v>
      </c>
      <c r="AB151" s="28">
        <f>SUMIFS(T_REAL!$D:$D,T_REAL!$E:$E,DRE!AB$7,T_REAL!$C:$C,DRE!$A151)+SUMIFS(Aut_Ajustes_Manuais!$G:$G,Aut_Ajustes_Manuais!$I:$I,DRE!Z$4,Aut_Ajustes_Manuais!$F:$F,"  -  Pizzaiolo")</f>
        <v>0</v>
      </c>
      <c r="AC151" s="241"/>
      <c r="AD151" s="27">
        <v>0</v>
      </c>
      <c r="AE151" s="28">
        <f>SUMIFS(T_REAL!$D:$D,T_REAL!$E:$E,DRE!AE$7,T_REAL!$C:$C,DRE!$A151)+SUMIFS(Aut_Ajustes_Manuais!$G:$G,Aut_Ajustes_Manuais!$I:$I,DRE!AC$4,Aut_Ajustes_Manuais!$F:$F,"  -  Pizzaiolo")</f>
        <v>0</v>
      </c>
      <c r="AF151" s="241"/>
      <c r="AG151" s="27">
        <v>0</v>
      </c>
      <c r="AH151" s="28">
        <f>SUMIFS(T_REAL!$D:$D,T_REAL!$E:$E,DRE!AH$7,T_REAL!$C:$C,DRE!$A151)+SUMIFS(Aut_Ajustes_Manuais!$G:$G,Aut_Ajustes_Manuais!$I:$I,DRE!AF$4,Aut_Ajustes_Manuais!$F:$F,"  -  Pizzaiolo")</f>
        <v>0</v>
      </c>
      <c r="AI151" s="241"/>
      <c r="AJ151" s="27">
        <v>0</v>
      </c>
      <c r="AK151" s="28">
        <f>SUMIFS(T_REAL!$D:$D,T_REAL!$E:$E,DRE!AK$7,T_REAL!$C:$C,DRE!$A151)+SUMIFS(Aut_Ajustes_Manuais!$G:$G,Aut_Ajustes_Manuais!$I:$I,DRE!AI$4,Aut_Ajustes_Manuais!$F:$F,"  -  Pizzaiolo")</f>
        <v>0</v>
      </c>
      <c r="AL151" s="241"/>
      <c r="AM151" s="27">
        <v>0</v>
      </c>
      <c r="AN151" s="28">
        <f>SUMIFS(T_REAL!$D:$D,T_REAL!$E:$E,DRE!AN$7,T_REAL!$C:$C,DRE!$A151)+SUMIFS(Aut_Ajustes_Manuais!$G:$G,Aut_Ajustes_Manuais!$I:$I,DRE!AL$4,Aut_Ajustes_Manuais!$F:$F,"  -  Pizzaiolo")</f>
        <v>0</v>
      </c>
      <c r="AO151" s="241"/>
      <c r="AP151" s="27">
        <v>0</v>
      </c>
      <c r="AQ151" s="28">
        <f>SUMIFS(T_REAL!$D:$D,T_REAL!$E:$E,DRE!AQ$7,T_REAL!$C:$C,DRE!$A151)+SUMIFS(Aut_Ajustes_Manuais!$G:$G,Aut_Ajustes_Manuais!$I:$I,DRE!AO$4,Aut_Ajustes_Manuais!$F:$F,"  -  Pizzaiolo")</f>
        <v>0</v>
      </c>
      <c r="AR151" s="241">
        <f t="shared" ca="1" si="144"/>
        <v>0</v>
      </c>
      <c r="AS151" s="27">
        <f t="shared" ca="1" si="145"/>
        <v>0</v>
      </c>
      <c r="AT151" s="28">
        <f t="shared" ca="1" si="146"/>
        <v>0</v>
      </c>
      <c r="AU151" s="241"/>
      <c r="AV151" s="27"/>
      <c r="AW151" s="28"/>
      <c r="AX151" s="241"/>
      <c r="AY151" s="27">
        <v>0</v>
      </c>
      <c r="AZ151" s="28"/>
      <c r="BA151" s="241"/>
      <c r="BB151" s="27">
        <v>0</v>
      </c>
      <c r="BC151" s="28"/>
      <c r="BD151" s="241"/>
      <c r="BE151" s="27">
        <v>0</v>
      </c>
      <c r="BF151" s="28"/>
      <c r="BG151" s="241"/>
      <c r="BH151" s="27">
        <v>0</v>
      </c>
      <c r="BI151" s="28"/>
    </row>
    <row r="152" spans="1:61" s="29" customFormat="1" hidden="1" outlineLevel="1" x14ac:dyDescent="0.3">
      <c r="A152" s="95" t="s">
        <v>175</v>
      </c>
      <c r="B152" s="2"/>
      <c r="C152" s="24"/>
      <c r="D152" s="55" t="s">
        <v>144</v>
      </c>
      <c r="E152" s="87"/>
      <c r="F152" s="56"/>
      <c r="G152" s="33"/>
      <c r="H152" s="241"/>
      <c r="I152" s="27">
        <v>0</v>
      </c>
      <c r="J152" s="28">
        <f>SUMIFS(T_REAL!$D:$D,T_REAL!$E:$E,DRE!J$7,T_REAL!$C:$C,DRE!$A152)+SUMIFS(Aut_Ajustes_Manuais!$G:$G,Aut_Ajustes_Manuais!$I:$I,DRE!H$4,Aut_Ajustes_Manuais!$F:$F,"  -  Ajudante de Pizzaiolo")</f>
        <v>0</v>
      </c>
      <c r="K152" s="241"/>
      <c r="L152" s="27">
        <v>0</v>
      </c>
      <c r="M152" s="28">
        <f>SUMIFS(T_REAL!$D:$D,T_REAL!$E:$E,DRE!M$7,T_REAL!$C:$C,DRE!$A152)+SUMIFS(Aut_Ajustes_Manuais!$G:$G,Aut_Ajustes_Manuais!$I:$I,DRE!K$4,Aut_Ajustes_Manuais!$F:$F,"  -  Ajudante de Pizzaiolo")</f>
        <v>0</v>
      </c>
      <c r="N152" s="241"/>
      <c r="O152" s="27">
        <v>0</v>
      </c>
      <c r="P152" s="28">
        <f>SUMIFS(T_REAL!$D:$D,T_REAL!$E:$E,DRE!P$7,T_REAL!$C:$C,DRE!$A152)+SUMIFS(Aut_Ajustes_Manuais!$G:$G,Aut_Ajustes_Manuais!$I:$I,DRE!N$4,Aut_Ajustes_Manuais!$F:$F,"  -  Ajudante de Pizzaiolo")</f>
        <v>0</v>
      </c>
      <c r="Q152" s="241"/>
      <c r="R152" s="27">
        <v>0</v>
      </c>
      <c r="S152" s="28">
        <f>SUMIFS(T_REAL!$D:$D,T_REAL!$E:$E,DRE!S$7,T_REAL!$C:$C,DRE!$A152)+SUMIFS(Aut_Ajustes_Manuais!$G:$G,Aut_Ajustes_Manuais!$I:$I,DRE!Q$4,Aut_Ajustes_Manuais!$F:$F,"  -  Ajudante de Pizzaiolo")</f>
        <v>0</v>
      </c>
      <c r="T152" s="241"/>
      <c r="U152" s="27">
        <v>0</v>
      </c>
      <c r="V152" s="28">
        <f>SUMIFS(T_REAL!$D:$D,T_REAL!$E:$E,DRE!V$7,T_REAL!$C:$C,DRE!$A152)+SUMIFS(Aut_Ajustes_Manuais!$G:$G,Aut_Ajustes_Manuais!$I:$I,DRE!T$4,Aut_Ajustes_Manuais!$F:$F,"  -  Ajudante de Pizzaiolo")</f>
        <v>0</v>
      </c>
      <c r="W152" s="241"/>
      <c r="X152" s="27">
        <v>0</v>
      </c>
      <c r="Y152" s="28">
        <f>SUMIFS(T_REAL!$D:$D,T_REAL!$E:$E,DRE!Y$7,T_REAL!$C:$C,DRE!$A152)+SUMIFS(Aut_Ajustes_Manuais!$G:$G,Aut_Ajustes_Manuais!$I:$I,DRE!W$4,Aut_Ajustes_Manuais!$F:$F,"  -  Ajudante de Pizzaiolo")</f>
        <v>0</v>
      </c>
      <c r="Z152" s="241"/>
      <c r="AA152" s="27">
        <v>0</v>
      </c>
      <c r="AB152" s="28">
        <f>SUMIFS(T_REAL!$D:$D,T_REAL!$E:$E,DRE!AB$7,T_REAL!$C:$C,DRE!$A152)+SUMIFS(Aut_Ajustes_Manuais!$G:$G,Aut_Ajustes_Manuais!$I:$I,DRE!Z$4,Aut_Ajustes_Manuais!$F:$F,"  -  Ajudante de Pizzaiolo")</f>
        <v>0</v>
      </c>
      <c r="AC152" s="241"/>
      <c r="AD152" s="27">
        <v>0</v>
      </c>
      <c r="AE152" s="28">
        <f>SUMIFS(T_REAL!$D:$D,T_REAL!$E:$E,DRE!AE$7,T_REAL!$C:$C,DRE!$A152)+SUMIFS(Aut_Ajustes_Manuais!$G:$G,Aut_Ajustes_Manuais!$I:$I,DRE!AC$4,Aut_Ajustes_Manuais!$F:$F,"  -  Ajudante de Pizzaiolo")</f>
        <v>0</v>
      </c>
      <c r="AF152" s="241"/>
      <c r="AG152" s="27">
        <v>0</v>
      </c>
      <c r="AH152" s="28">
        <f>SUMIFS(T_REAL!$D:$D,T_REAL!$E:$E,DRE!AH$7,T_REAL!$C:$C,DRE!$A152)+SUMIFS(Aut_Ajustes_Manuais!$G:$G,Aut_Ajustes_Manuais!$I:$I,DRE!AF$4,Aut_Ajustes_Manuais!$F:$F,"  -  Ajudante de Pizzaiolo")</f>
        <v>0</v>
      </c>
      <c r="AI152" s="241"/>
      <c r="AJ152" s="27">
        <v>0</v>
      </c>
      <c r="AK152" s="28">
        <f>SUMIFS(T_REAL!$D:$D,T_REAL!$E:$E,DRE!AK$7,T_REAL!$C:$C,DRE!$A152)+SUMIFS(Aut_Ajustes_Manuais!$G:$G,Aut_Ajustes_Manuais!$I:$I,DRE!AI$4,Aut_Ajustes_Manuais!$F:$F,"  -  Ajudante de Pizzaiolo")</f>
        <v>0</v>
      </c>
      <c r="AL152" s="241"/>
      <c r="AM152" s="27">
        <v>0</v>
      </c>
      <c r="AN152" s="28">
        <f>SUMIFS(T_REAL!$D:$D,T_REAL!$E:$E,DRE!AN$7,T_REAL!$C:$C,DRE!$A152)+SUMIFS(Aut_Ajustes_Manuais!$G:$G,Aut_Ajustes_Manuais!$I:$I,DRE!AL$4,Aut_Ajustes_Manuais!$F:$F,"  -  Ajudante de Pizzaiolo")</f>
        <v>0</v>
      </c>
      <c r="AO152" s="241"/>
      <c r="AP152" s="27">
        <v>0</v>
      </c>
      <c r="AQ152" s="28">
        <f>SUMIFS(T_REAL!$D:$D,T_REAL!$E:$E,DRE!AQ$7,T_REAL!$C:$C,DRE!$A152)+SUMIFS(Aut_Ajustes_Manuais!$G:$G,Aut_Ajustes_Manuais!$I:$I,DRE!AO$4,Aut_Ajustes_Manuais!$F:$F,"  -  Ajudante de Pizzaiolo")</f>
        <v>0</v>
      </c>
      <c r="AR152" s="241">
        <f t="shared" ca="1" si="144"/>
        <v>0</v>
      </c>
      <c r="AS152" s="27">
        <f t="shared" ca="1" si="145"/>
        <v>0</v>
      </c>
      <c r="AT152" s="28">
        <f t="shared" ca="1" si="146"/>
        <v>0</v>
      </c>
      <c r="AU152" s="241"/>
      <c r="AV152" s="27"/>
      <c r="AW152" s="28"/>
      <c r="AX152" s="241"/>
      <c r="AY152" s="27">
        <v>0</v>
      </c>
      <c r="AZ152" s="28"/>
      <c r="BA152" s="241"/>
      <c r="BB152" s="27">
        <v>0</v>
      </c>
      <c r="BC152" s="28"/>
      <c r="BD152" s="241"/>
      <c r="BE152" s="27">
        <v>0</v>
      </c>
      <c r="BF152" s="28"/>
      <c r="BG152" s="241"/>
      <c r="BH152" s="27">
        <v>0</v>
      </c>
      <c r="BI152" s="28"/>
    </row>
    <row r="153" spans="1:61" s="29" customFormat="1" hidden="1" outlineLevel="1" x14ac:dyDescent="0.3">
      <c r="A153" s="95" t="s">
        <v>176</v>
      </c>
      <c r="B153" s="2"/>
      <c r="C153" s="24"/>
      <c r="D153" s="55" t="s">
        <v>144</v>
      </c>
      <c r="E153" s="87"/>
      <c r="F153" s="56"/>
      <c r="G153" s="33"/>
      <c r="H153" s="241"/>
      <c r="I153" s="27">
        <v>0</v>
      </c>
      <c r="J153" s="28">
        <f>SUMIFS(T_REAL!$D:$D,T_REAL!$E:$E,DRE!J$7,T_REAL!$C:$C,DRE!$A153)+SUMIFS(Aut_Ajustes_Manuais!$G:$G,Aut_Ajustes_Manuais!$I:$I,DRE!H$4,Aut_Ajustes_Manuais!$F:$F,"  -  Boqueta")</f>
        <v>0</v>
      </c>
      <c r="K153" s="241"/>
      <c r="L153" s="27">
        <v>0</v>
      </c>
      <c r="M153" s="28">
        <f>SUMIFS(T_REAL!$D:$D,T_REAL!$E:$E,DRE!M$7,T_REAL!$C:$C,DRE!$A153)+SUMIFS(Aut_Ajustes_Manuais!$G:$G,Aut_Ajustes_Manuais!$I:$I,DRE!K$4,Aut_Ajustes_Manuais!$F:$F,"  -  Boqueta")</f>
        <v>0</v>
      </c>
      <c r="N153" s="241"/>
      <c r="O153" s="27">
        <v>0</v>
      </c>
      <c r="P153" s="28">
        <f>SUMIFS(T_REAL!$D:$D,T_REAL!$E:$E,DRE!P$7,T_REAL!$C:$C,DRE!$A153)+SUMIFS(Aut_Ajustes_Manuais!$G:$G,Aut_Ajustes_Manuais!$I:$I,DRE!N$4,Aut_Ajustes_Manuais!$F:$F,"  -  Boqueta")</f>
        <v>0</v>
      </c>
      <c r="Q153" s="241"/>
      <c r="R153" s="27">
        <v>0</v>
      </c>
      <c r="S153" s="28">
        <f>SUMIFS(T_REAL!$D:$D,T_REAL!$E:$E,DRE!S$7,T_REAL!$C:$C,DRE!$A153)+SUMIFS(Aut_Ajustes_Manuais!$G:$G,Aut_Ajustes_Manuais!$I:$I,DRE!Q$4,Aut_Ajustes_Manuais!$F:$F,"  -  Boqueta")</f>
        <v>0</v>
      </c>
      <c r="T153" s="241"/>
      <c r="U153" s="27">
        <v>0</v>
      </c>
      <c r="V153" s="28">
        <f>SUMIFS(T_REAL!$D:$D,T_REAL!$E:$E,DRE!V$7,T_REAL!$C:$C,DRE!$A153)+SUMIFS(Aut_Ajustes_Manuais!$G:$G,Aut_Ajustes_Manuais!$I:$I,DRE!T$4,Aut_Ajustes_Manuais!$F:$F,"  -  Boqueta")</f>
        <v>0</v>
      </c>
      <c r="W153" s="241"/>
      <c r="X153" s="27">
        <v>0</v>
      </c>
      <c r="Y153" s="28">
        <f>SUMIFS(T_REAL!$D:$D,T_REAL!$E:$E,DRE!Y$7,T_REAL!$C:$C,DRE!$A153)+SUMIFS(Aut_Ajustes_Manuais!$G:$G,Aut_Ajustes_Manuais!$I:$I,DRE!W$4,Aut_Ajustes_Manuais!$F:$F,"  -  Boqueta")</f>
        <v>0</v>
      </c>
      <c r="Z153" s="241"/>
      <c r="AA153" s="27">
        <v>0</v>
      </c>
      <c r="AB153" s="28">
        <f>SUMIFS(T_REAL!$D:$D,T_REAL!$E:$E,DRE!AB$7,T_REAL!$C:$C,DRE!$A153)+SUMIFS(Aut_Ajustes_Manuais!$G:$G,Aut_Ajustes_Manuais!$I:$I,DRE!Z$4,Aut_Ajustes_Manuais!$F:$F,"  -  Boqueta")</f>
        <v>0</v>
      </c>
      <c r="AC153" s="241"/>
      <c r="AD153" s="27">
        <v>0</v>
      </c>
      <c r="AE153" s="28">
        <f>SUMIFS(T_REAL!$D:$D,T_REAL!$E:$E,DRE!AE$7,T_REAL!$C:$C,DRE!$A153)+SUMIFS(Aut_Ajustes_Manuais!$G:$G,Aut_Ajustes_Manuais!$I:$I,DRE!AC$4,Aut_Ajustes_Manuais!$F:$F,"  -  Boqueta")</f>
        <v>0</v>
      </c>
      <c r="AF153" s="241"/>
      <c r="AG153" s="27">
        <v>0</v>
      </c>
      <c r="AH153" s="28">
        <f>SUMIFS(T_REAL!$D:$D,T_REAL!$E:$E,DRE!AH$7,T_REAL!$C:$C,DRE!$A153)+SUMIFS(Aut_Ajustes_Manuais!$G:$G,Aut_Ajustes_Manuais!$I:$I,DRE!AF$4,Aut_Ajustes_Manuais!$F:$F,"  -  Boqueta")</f>
        <v>0</v>
      </c>
      <c r="AI153" s="241"/>
      <c r="AJ153" s="27">
        <v>0</v>
      </c>
      <c r="AK153" s="28">
        <f>SUMIFS(T_REAL!$D:$D,T_REAL!$E:$E,DRE!AK$7,T_REAL!$C:$C,DRE!$A153)+SUMIFS(Aut_Ajustes_Manuais!$G:$G,Aut_Ajustes_Manuais!$I:$I,DRE!AI$4,Aut_Ajustes_Manuais!$F:$F,"  -  Boqueta")</f>
        <v>0</v>
      </c>
      <c r="AL153" s="241"/>
      <c r="AM153" s="27">
        <v>0</v>
      </c>
      <c r="AN153" s="28">
        <f>SUMIFS(T_REAL!$D:$D,T_REAL!$E:$E,DRE!AN$7,T_REAL!$C:$C,DRE!$A153)+SUMIFS(Aut_Ajustes_Manuais!$G:$G,Aut_Ajustes_Manuais!$I:$I,DRE!AL$4,Aut_Ajustes_Manuais!$F:$F,"  -  Boqueta")</f>
        <v>0</v>
      </c>
      <c r="AO153" s="241"/>
      <c r="AP153" s="27">
        <v>0</v>
      </c>
      <c r="AQ153" s="28">
        <f>SUMIFS(T_REAL!$D:$D,T_REAL!$E:$E,DRE!AQ$7,T_REAL!$C:$C,DRE!$A153)+SUMIFS(Aut_Ajustes_Manuais!$G:$G,Aut_Ajustes_Manuais!$I:$I,DRE!AO$4,Aut_Ajustes_Manuais!$F:$F,"  -  Boqueta")</f>
        <v>0</v>
      </c>
      <c r="AR153" s="241">
        <f t="shared" ca="1" si="144"/>
        <v>0</v>
      </c>
      <c r="AS153" s="27">
        <f t="shared" ca="1" si="145"/>
        <v>0</v>
      </c>
      <c r="AT153" s="28">
        <f t="shared" ca="1" si="146"/>
        <v>0</v>
      </c>
      <c r="AU153" s="241"/>
      <c r="AV153" s="27"/>
      <c r="AW153" s="28"/>
      <c r="AX153" s="241"/>
      <c r="AY153" s="27">
        <v>0</v>
      </c>
      <c r="AZ153" s="28"/>
      <c r="BA153" s="241"/>
      <c r="BB153" s="27">
        <v>0</v>
      </c>
      <c r="BC153" s="28"/>
      <c r="BD153" s="241"/>
      <c r="BE153" s="27">
        <v>0</v>
      </c>
      <c r="BF153" s="28"/>
      <c r="BG153" s="241"/>
      <c r="BH153" s="27">
        <v>0</v>
      </c>
      <c r="BI153" s="28"/>
    </row>
    <row r="154" spans="1:61" s="29" customFormat="1" hidden="1" outlineLevel="1" x14ac:dyDescent="0.3">
      <c r="A154" s="95" t="s">
        <v>177</v>
      </c>
      <c r="B154" s="2"/>
      <c r="C154" s="24"/>
      <c r="D154" s="55" t="s">
        <v>144</v>
      </c>
      <c r="E154" s="87"/>
      <c r="F154" s="56"/>
      <c r="G154" s="33"/>
      <c r="H154" s="241"/>
      <c r="I154" s="27">
        <v>-5259</v>
      </c>
      <c r="J154" s="28">
        <f>SUMIFS(T_REAL!$D:$D,T_REAL!$E:$E,DRE!J$7,T_REAL!$C:$C,DRE!$A154)+SUMIFS(Aut_Ajustes_Manuais!$G:$G,Aut_Ajustes_Manuais!$I:$I,DRE!H$4,Aut_Ajustes_Manuais!$F:$F,"  -  Churrasqueiro I")</f>
        <v>0</v>
      </c>
      <c r="K154" s="241"/>
      <c r="L154" s="27">
        <v>-5259</v>
      </c>
      <c r="M154" s="28">
        <f>SUMIFS(T_REAL!$D:$D,T_REAL!$E:$E,DRE!M$7,T_REAL!$C:$C,DRE!$A154)+SUMIFS(Aut_Ajustes_Manuais!$G:$G,Aut_Ajustes_Manuais!$I:$I,DRE!K$4,Aut_Ajustes_Manuais!$F:$F,"  -  Churrasqueiro I")</f>
        <v>0</v>
      </c>
      <c r="N154" s="241"/>
      <c r="O154" s="27">
        <v>-5259</v>
      </c>
      <c r="P154" s="28">
        <f>SUMIFS(T_REAL!$D:$D,T_REAL!$E:$E,DRE!P$7,T_REAL!$C:$C,DRE!$A154)+SUMIFS(Aut_Ajustes_Manuais!$G:$G,Aut_Ajustes_Manuais!$I:$I,DRE!N$4,Aut_Ajustes_Manuais!$F:$F,"  -  Churrasqueiro I")</f>
        <v>0</v>
      </c>
      <c r="Q154" s="241"/>
      <c r="R154" s="27">
        <v>-5259</v>
      </c>
      <c r="S154" s="28">
        <f>SUMIFS(T_REAL!$D:$D,T_REAL!$E:$E,DRE!S$7,T_REAL!$C:$C,DRE!$A154)+SUMIFS(Aut_Ajustes_Manuais!$G:$G,Aut_Ajustes_Manuais!$I:$I,DRE!Q$4,Aut_Ajustes_Manuais!$F:$F,"  -  Churrasqueiro I")</f>
        <v>0</v>
      </c>
      <c r="T154" s="241"/>
      <c r="U154" s="27">
        <v>-5479.8779999999997</v>
      </c>
      <c r="V154" s="28">
        <f>SUMIFS(T_REAL!$D:$D,T_REAL!$E:$E,DRE!V$7,T_REAL!$C:$C,DRE!$A154)+SUMIFS(Aut_Ajustes_Manuais!$G:$G,Aut_Ajustes_Manuais!$I:$I,DRE!T$4,Aut_Ajustes_Manuais!$F:$F,"  -  Churrasqueiro I")</f>
        <v>0</v>
      </c>
      <c r="W154" s="241"/>
      <c r="X154" s="27">
        <v>-5479.8779999999997</v>
      </c>
      <c r="Y154" s="28">
        <f>SUMIFS(T_REAL!$D:$D,T_REAL!$E:$E,DRE!Y$7,T_REAL!$C:$C,DRE!$A154)+SUMIFS(Aut_Ajustes_Manuais!$G:$G,Aut_Ajustes_Manuais!$I:$I,DRE!W$4,Aut_Ajustes_Manuais!$F:$F,"  -  Churrasqueiro I")</f>
        <v>0</v>
      </c>
      <c r="Z154" s="241"/>
      <c r="AA154" s="27">
        <v>-5479.8779999999997</v>
      </c>
      <c r="AB154" s="28">
        <f>SUMIFS(T_REAL!$D:$D,T_REAL!$E:$E,DRE!AB$7,T_REAL!$C:$C,DRE!$A154)+SUMIFS(Aut_Ajustes_Manuais!$G:$G,Aut_Ajustes_Manuais!$I:$I,DRE!Z$4,Aut_Ajustes_Manuais!$F:$F,"  -  Churrasqueiro I")</f>
        <v>0</v>
      </c>
      <c r="AC154" s="241"/>
      <c r="AD154" s="27">
        <v>-5479.8779999999997</v>
      </c>
      <c r="AE154" s="28">
        <f>SUMIFS(T_REAL!$D:$D,T_REAL!$E:$E,DRE!AE$7,T_REAL!$C:$C,DRE!$A154)+SUMIFS(Aut_Ajustes_Manuais!$G:$G,Aut_Ajustes_Manuais!$I:$I,DRE!AC$4,Aut_Ajustes_Manuais!$F:$F,"  -  Churrasqueiro I")</f>
        <v>0</v>
      </c>
      <c r="AF154" s="241"/>
      <c r="AG154" s="27">
        <v>-5479.8779999999997</v>
      </c>
      <c r="AH154" s="28">
        <f>SUMIFS(T_REAL!$D:$D,T_REAL!$E:$E,DRE!AH$7,T_REAL!$C:$C,DRE!$A154)+SUMIFS(Aut_Ajustes_Manuais!$G:$G,Aut_Ajustes_Manuais!$I:$I,DRE!AF$4,Aut_Ajustes_Manuais!$F:$F,"  -  Churrasqueiro I")</f>
        <v>0</v>
      </c>
      <c r="AI154" s="241"/>
      <c r="AJ154" s="27">
        <v>-5479.8779999999997</v>
      </c>
      <c r="AK154" s="28">
        <f>SUMIFS(T_REAL!$D:$D,T_REAL!$E:$E,DRE!AK$7,T_REAL!$C:$C,DRE!$A154)+SUMIFS(Aut_Ajustes_Manuais!$G:$G,Aut_Ajustes_Manuais!$I:$I,DRE!AI$4,Aut_Ajustes_Manuais!$F:$F,"  -  Churrasqueiro I")</f>
        <v>0</v>
      </c>
      <c r="AL154" s="241"/>
      <c r="AM154" s="27">
        <v>-5479.8779999999997</v>
      </c>
      <c r="AN154" s="28">
        <f>SUMIFS(T_REAL!$D:$D,T_REAL!$E:$E,DRE!AN$7,T_REAL!$C:$C,DRE!$A154)+SUMIFS(Aut_Ajustes_Manuais!$G:$G,Aut_Ajustes_Manuais!$I:$I,DRE!AL$4,Aut_Ajustes_Manuais!$F:$F,"  -  Churrasqueiro I")</f>
        <v>0</v>
      </c>
      <c r="AO154" s="241"/>
      <c r="AP154" s="27">
        <v>-5479.8779999999997</v>
      </c>
      <c r="AQ154" s="28">
        <f>SUMIFS(T_REAL!$D:$D,T_REAL!$E:$E,DRE!AQ$7,T_REAL!$C:$C,DRE!$A154)+SUMIFS(Aut_Ajustes_Manuais!$G:$G,Aut_Ajustes_Manuais!$I:$I,DRE!AO$4,Aut_Ajustes_Manuais!$F:$F,"  -  Churrasqueiro I")</f>
        <v>0</v>
      </c>
      <c r="AR154" s="241">
        <f t="shared" ca="1" si="144"/>
        <v>0</v>
      </c>
      <c r="AS154" s="27">
        <f t="shared" ca="1" si="145"/>
        <v>-31995.756000000001</v>
      </c>
      <c r="AT154" s="28">
        <f t="shared" ca="1" si="146"/>
        <v>0</v>
      </c>
      <c r="AU154" s="241"/>
      <c r="AV154" s="27"/>
      <c r="AW154" s="28"/>
      <c r="AX154" s="241"/>
      <c r="AY154" s="27">
        <v>0</v>
      </c>
      <c r="AZ154" s="28"/>
      <c r="BA154" s="241"/>
      <c r="BB154" s="27">
        <v>0</v>
      </c>
      <c r="BC154" s="28"/>
      <c r="BD154" s="241"/>
      <c r="BE154" s="27">
        <v>0</v>
      </c>
      <c r="BF154" s="28"/>
      <c r="BG154" s="241"/>
      <c r="BH154" s="27">
        <v>0</v>
      </c>
      <c r="BI154" s="28"/>
    </row>
    <row r="155" spans="1:61" s="29" customFormat="1" hidden="1" outlineLevel="1" x14ac:dyDescent="0.3">
      <c r="A155" s="95" t="s">
        <v>178</v>
      </c>
      <c r="B155" s="2"/>
      <c r="C155" s="24"/>
      <c r="D155" s="55" t="s">
        <v>144</v>
      </c>
      <c r="E155" s="87"/>
      <c r="F155" s="56"/>
      <c r="G155" s="33"/>
      <c r="H155" s="241"/>
      <c r="I155" s="27">
        <v>0</v>
      </c>
      <c r="J155" s="28">
        <f>SUMIFS(T_REAL!$D:$D,T_REAL!$E:$E,DRE!J$7,T_REAL!$C:$C,DRE!$A155)+SUMIFS(Aut_Ajustes_Manuais!$G:$G,Aut_Ajustes_Manuais!$I:$I,DRE!H$4,Aut_Ajustes_Manuais!$F:$F,"  -  Churrasqueiro II")</f>
        <v>0</v>
      </c>
      <c r="K155" s="241"/>
      <c r="L155" s="27">
        <v>0</v>
      </c>
      <c r="M155" s="28">
        <f>SUMIFS(T_REAL!$D:$D,T_REAL!$E:$E,DRE!M$7,T_REAL!$C:$C,DRE!$A155)+SUMIFS(Aut_Ajustes_Manuais!$G:$G,Aut_Ajustes_Manuais!$I:$I,DRE!K$4,Aut_Ajustes_Manuais!$F:$F,"  -  Churrasqueiro II")</f>
        <v>0</v>
      </c>
      <c r="N155" s="241"/>
      <c r="O155" s="27">
        <v>0</v>
      </c>
      <c r="P155" s="28">
        <f>SUMIFS(T_REAL!$D:$D,T_REAL!$E:$E,DRE!P$7,T_REAL!$C:$C,DRE!$A155)+SUMIFS(Aut_Ajustes_Manuais!$G:$G,Aut_Ajustes_Manuais!$I:$I,DRE!N$4,Aut_Ajustes_Manuais!$F:$F,"  -  Churrasqueiro II")</f>
        <v>0</v>
      </c>
      <c r="Q155" s="241"/>
      <c r="R155" s="27">
        <v>0</v>
      </c>
      <c r="S155" s="28">
        <f>SUMIFS(T_REAL!$D:$D,T_REAL!$E:$E,DRE!S$7,T_REAL!$C:$C,DRE!$A155)+SUMIFS(Aut_Ajustes_Manuais!$G:$G,Aut_Ajustes_Manuais!$I:$I,DRE!Q$4,Aut_Ajustes_Manuais!$F:$F,"  -  Churrasqueiro II")</f>
        <v>0</v>
      </c>
      <c r="T155" s="241"/>
      <c r="U155" s="27">
        <v>0</v>
      </c>
      <c r="V155" s="28">
        <f>SUMIFS(T_REAL!$D:$D,T_REAL!$E:$E,DRE!V$7,T_REAL!$C:$C,DRE!$A155)+SUMIFS(Aut_Ajustes_Manuais!$G:$G,Aut_Ajustes_Manuais!$I:$I,DRE!T$4,Aut_Ajustes_Manuais!$F:$F,"  -  Churrasqueiro II")</f>
        <v>0</v>
      </c>
      <c r="W155" s="241"/>
      <c r="X155" s="27">
        <v>0</v>
      </c>
      <c r="Y155" s="28">
        <f>SUMIFS(T_REAL!$D:$D,T_REAL!$E:$E,DRE!Y$7,T_REAL!$C:$C,DRE!$A155)+SUMIFS(Aut_Ajustes_Manuais!$G:$G,Aut_Ajustes_Manuais!$I:$I,DRE!W$4,Aut_Ajustes_Manuais!$F:$F,"  -  Churrasqueiro II")</f>
        <v>0</v>
      </c>
      <c r="Z155" s="241"/>
      <c r="AA155" s="27">
        <v>0</v>
      </c>
      <c r="AB155" s="28">
        <f>SUMIFS(T_REAL!$D:$D,T_REAL!$E:$E,DRE!AB$7,T_REAL!$C:$C,DRE!$A155)+SUMIFS(Aut_Ajustes_Manuais!$G:$G,Aut_Ajustes_Manuais!$I:$I,DRE!Z$4,Aut_Ajustes_Manuais!$F:$F,"  -  Churrasqueiro II")</f>
        <v>0</v>
      </c>
      <c r="AC155" s="241"/>
      <c r="AD155" s="27">
        <v>0</v>
      </c>
      <c r="AE155" s="28">
        <f>SUMIFS(T_REAL!$D:$D,T_REAL!$E:$E,DRE!AE$7,T_REAL!$C:$C,DRE!$A155)+SUMIFS(Aut_Ajustes_Manuais!$G:$G,Aut_Ajustes_Manuais!$I:$I,DRE!AC$4,Aut_Ajustes_Manuais!$F:$F,"  -  Churrasqueiro II")</f>
        <v>0</v>
      </c>
      <c r="AF155" s="241"/>
      <c r="AG155" s="27">
        <v>0</v>
      </c>
      <c r="AH155" s="28">
        <f>SUMIFS(T_REAL!$D:$D,T_REAL!$E:$E,DRE!AH$7,T_REAL!$C:$C,DRE!$A155)+SUMIFS(Aut_Ajustes_Manuais!$G:$G,Aut_Ajustes_Manuais!$I:$I,DRE!AF$4,Aut_Ajustes_Manuais!$F:$F,"  -  Churrasqueiro II")</f>
        <v>0</v>
      </c>
      <c r="AI155" s="241"/>
      <c r="AJ155" s="27">
        <v>0</v>
      </c>
      <c r="AK155" s="28">
        <f>SUMIFS(T_REAL!$D:$D,T_REAL!$E:$E,DRE!AK$7,T_REAL!$C:$C,DRE!$A155)+SUMIFS(Aut_Ajustes_Manuais!$G:$G,Aut_Ajustes_Manuais!$I:$I,DRE!AI$4,Aut_Ajustes_Manuais!$F:$F,"  -  Churrasqueiro II")</f>
        <v>0</v>
      </c>
      <c r="AL155" s="241"/>
      <c r="AM155" s="27">
        <v>0</v>
      </c>
      <c r="AN155" s="28">
        <f>SUMIFS(T_REAL!$D:$D,T_REAL!$E:$E,DRE!AN$7,T_REAL!$C:$C,DRE!$A155)+SUMIFS(Aut_Ajustes_Manuais!$G:$G,Aut_Ajustes_Manuais!$I:$I,DRE!AL$4,Aut_Ajustes_Manuais!$F:$F,"  -  Churrasqueiro II")</f>
        <v>0</v>
      </c>
      <c r="AO155" s="241"/>
      <c r="AP155" s="27">
        <v>0</v>
      </c>
      <c r="AQ155" s="28">
        <f>SUMIFS(T_REAL!$D:$D,T_REAL!$E:$E,DRE!AQ$7,T_REAL!$C:$C,DRE!$A155)+SUMIFS(Aut_Ajustes_Manuais!$G:$G,Aut_Ajustes_Manuais!$I:$I,DRE!AO$4,Aut_Ajustes_Manuais!$F:$F,"  -  Churrasqueiro II")</f>
        <v>0</v>
      </c>
      <c r="AR155" s="241">
        <f t="shared" ca="1" si="144"/>
        <v>0</v>
      </c>
      <c r="AS155" s="27">
        <f t="shared" ca="1" si="145"/>
        <v>0</v>
      </c>
      <c r="AT155" s="28">
        <f t="shared" ca="1" si="146"/>
        <v>0</v>
      </c>
      <c r="AU155" s="241"/>
      <c r="AV155" s="27"/>
      <c r="AW155" s="28"/>
      <c r="AX155" s="241"/>
      <c r="AY155" s="27">
        <v>0</v>
      </c>
      <c r="AZ155" s="28"/>
      <c r="BA155" s="241"/>
      <c r="BB155" s="27">
        <v>0</v>
      </c>
      <c r="BC155" s="28"/>
      <c r="BD155" s="241"/>
      <c r="BE155" s="27">
        <v>0</v>
      </c>
      <c r="BF155" s="28"/>
      <c r="BG155" s="241"/>
      <c r="BH155" s="27">
        <v>0</v>
      </c>
      <c r="BI155" s="28"/>
    </row>
    <row r="156" spans="1:61" s="29" customFormat="1" hidden="1" outlineLevel="1" x14ac:dyDescent="0.3">
      <c r="A156" s="95" t="s">
        <v>179</v>
      </c>
      <c r="B156" s="2"/>
      <c r="C156" s="24"/>
      <c r="D156" s="55" t="s">
        <v>144</v>
      </c>
      <c r="E156" s="87"/>
      <c r="F156" s="56"/>
      <c r="G156" s="33"/>
      <c r="H156" s="241"/>
      <c r="I156" s="27">
        <v>0</v>
      </c>
      <c r="J156" s="28">
        <f>SUMIFS(T_REAL!$D:$D,T_REAL!$E:$E,DRE!J$7,T_REAL!$C:$C,DRE!$A156)+SUMIFS(Aut_Ajustes_Manuais!$G:$G,Aut_Ajustes_Manuais!$I:$I,DRE!H$4,Aut_Ajustes_Manuais!$F:$F,"  -  Churrasqueiro III")</f>
        <v>0</v>
      </c>
      <c r="K156" s="241"/>
      <c r="L156" s="27">
        <v>0</v>
      </c>
      <c r="M156" s="28">
        <f>SUMIFS(T_REAL!$D:$D,T_REAL!$E:$E,DRE!M$7,T_REAL!$C:$C,DRE!$A156)+SUMIFS(Aut_Ajustes_Manuais!$G:$G,Aut_Ajustes_Manuais!$I:$I,DRE!K$4,Aut_Ajustes_Manuais!$F:$F,"  -  Churrasqueiro III")</f>
        <v>0</v>
      </c>
      <c r="N156" s="241"/>
      <c r="O156" s="27">
        <v>0</v>
      </c>
      <c r="P156" s="28">
        <f>SUMIFS(T_REAL!$D:$D,T_REAL!$E:$E,DRE!P$7,T_REAL!$C:$C,DRE!$A156)+SUMIFS(Aut_Ajustes_Manuais!$G:$G,Aut_Ajustes_Manuais!$I:$I,DRE!N$4,Aut_Ajustes_Manuais!$F:$F,"  -  Churrasqueiro III")</f>
        <v>0</v>
      </c>
      <c r="Q156" s="241"/>
      <c r="R156" s="27">
        <v>0</v>
      </c>
      <c r="S156" s="28">
        <f>SUMIFS(T_REAL!$D:$D,T_REAL!$E:$E,DRE!S$7,T_REAL!$C:$C,DRE!$A156)+SUMIFS(Aut_Ajustes_Manuais!$G:$G,Aut_Ajustes_Manuais!$I:$I,DRE!Q$4,Aut_Ajustes_Manuais!$F:$F,"  -  Churrasqueiro III")</f>
        <v>0</v>
      </c>
      <c r="T156" s="241"/>
      <c r="U156" s="27">
        <v>0</v>
      </c>
      <c r="V156" s="28">
        <f>SUMIFS(T_REAL!$D:$D,T_REAL!$E:$E,DRE!V$7,T_REAL!$C:$C,DRE!$A156)+SUMIFS(Aut_Ajustes_Manuais!$G:$G,Aut_Ajustes_Manuais!$I:$I,DRE!T$4,Aut_Ajustes_Manuais!$F:$F,"  -  Churrasqueiro III")</f>
        <v>0</v>
      </c>
      <c r="W156" s="241"/>
      <c r="X156" s="27">
        <v>0</v>
      </c>
      <c r="Y156" s="28">
        <f>SUMIFS(T_REAL!$D:$D,T_REAL!$E:$E,DRE!Y$7,T_REAL!$C:$C,DRE!$A156)+SUMIFS(Aut_Ajustes_Manuais!$G:$G,Aut_Ajustes_Manuais!$I:$I,DRE!W$4,Aut_Ajustes_Manuais!$F:$F,"  -  Churrasqueiro III")</f>
        <v>0</v>
      </c>
      <c r="Z156" s="241"/>
      <c r="AA156" s="27">
        <v>0</v>
      </c>
      <c r="AB156" s="28">
        <f>SUMIFS(T_REAL!$D:$D,T_REAL!$E:$E,DRE!AB$7,T_REAL!$C:$C,DRE!$A156)+SUMIFS(Aut_Ajustes_Manuais!$G:$G,Aut_Ajustes_Manuais!$I:$I,DRE!Z$4,Aut_Ajustes_Manuais!$F:$F,"  -  Churrasqueiro III")</f>
        <v>0</v>
      </c>
      <c r="AC156" s="241"/>
      <c r="AD156" s="27">
        <v>0</v>
      </c>
      <c r="AE156" s="28">
        <f>SUMIFS(T_REAL!$D:$D,T_REAL!$E:$E,DRE!AE$7,T_REAL!$C:$C,DRE!$A156)+SUMIFS(Aut_Ajustes_Manuais!$G:$G,Aut_Ajustes_Manuais!$I:$I,DRE!AC$4,Aut_Ajustes_Manuais!$F:$F,"  -  Churrasqueiro III")</f>
        <v>0</v>
      </c>
      <c r="AF156" s="241"/>
      <c r="AG156" s="27">
        <v>0</v>
      </c>
      <c r="AH156" s="28">
        <f>SUMIFS(T_REAL!$D:$D,T_REAL!$E:$E,DRE!AH$7,T_REAL!$C:$C,DRE!$A156)+SUMIFS(Aut_Ajustes_Manuais!$G:$G,Aut_Ajustes_Manuais!$I:$I,DRE!AF$4,Aut_Ajustes_Manuais!$F:$F,"  -  Churrasqueiro III")</f>
        <v>0</v>
      </c>
      <c r="AI156" s="241"/>
      <c r="AJ156" s="27">
        <v>0</v>
      </c>
      <c r="AK156" s="28">
        <f>SUMIFS(T_REAL!$D:$D,T_REAL!$E:$E,DRE!AK$7,T_REAL!$C:$C,DRE!$A156)+SUMIFS(Aut_Ajustes_Manuais!$G:$G,Aut_Ajustes_Manuais!$I:$I,DRE!AI$4,Aut_Ajustes_Manuais!$F:$F,"  -  Churrasqueiro III")</f>
        <v>0</v>
      </c>
      <c r="AL156" s="241"/>
      <c r="AM156" s="27">
        <v>0</v>
      </c>
      <c r="AN156" s="28">
        <f>SUMIFS(T_REAL!$D:$D,T_REAL!$E:$E,DRE!AN$7,T_REAL!$C:$C,DRE!$A156)+SUMIFS(Aut_Ajustes_Manuais!$G:$G,Aut_Ajustes_Manuais!$I:$I,DRE!AL$4,Aut_Ajustes_Manuais!$F:$F,"  -  Churrasqueiro III")</f>
        <v>0</v>
      </c>
      <c r="AO156" s="241"/>
      <c r="AP156" s="27">
        <v>0</v>
      </c>
      <c r="AQ156" s="28">
        <f>SUMIFS(T_REAL!$D:$D,T_REAL!$E:$E,DRE!AQ$7,T_REAL!$C:$C,DRE!$A156)+SUMIFS(Aut_Ajustes_Manuais!$G:$G,Aut_Ajustes_Manuais!$I:$I,DRE!AO$4,Aut_Ajustes_Manuais!$F:$F,"  -  Churrasqueiro III")</f>
        <v>0</v>
      </c>
      <c r="AR156" s="241">
        <f t="shared" ca="1" si="144"/>
        <v>0</v>
      </c>
      <c r="AS156" s="27">
        <f t="shared" ca="1" si="145"/>
        <v>0</v>
      </c>
      <c r="AT156" s="28">
        <f t="shared" ca="1" si="146"/>
        <v>0</v>
      </c>
      <c r="AU156" s="241"/>
      <c r="AV156" s="27"/>
      <c r="AW156" s="28"/>
      <c r="AX156" s="241"/>
      <c r="AY156" s="27">
        <v>0</v>
      </c>
      <c r="AZ156" s="28"/>
      <c r="BA156" s="241"/>
      <c r="BB156" s="27">
        <v>0</v>
      </c>
      <c r="BC156" s="28"/>
      <c r="BD156" s="241"/>
      <c r="BE156" s="27">
        <v>0</v>
      </c>
      <c r="BF156" s="28"/>
      <c r="BG156" s="241"/>
      <c r="BH156" s="27">
        <v>0</v>
      </c>
      <c r="BI156" s="28"/>
    </row>
    <row r="157" spans="1:61" s="29" customFormat="1" hidden="1" outlineLevel="1" x14ac:dyDescent="0.3">
      <c r="A157" s="95" t="s">
        <v>180</v>
      </c>
      <c r="B157" s="2"/>
      <c r="C157" s="24"/>
      <c r="D157" s="55" t="s">
        <v>144</v>
      </c>
      <c r="E157" s="87"/>
      <c r="F157" s="56"/>
      <c r="G157" s="33"/>
      <c r="H157" s="241"/>
      <c r="I157" s="27">
        <v>0</v>
      </c>
      <c r="J157" s="28">
        <f>SUMIFS(T_REAL!$D:$D,T_REAL!$E:$E,DRE!J$7,T_REAL!$C:$C,DRE!$A157)+SUMIFS(Aut_Ajustes_Manuais!$G:$G,Aut_Ajustes_Manuais!$I:$I,DRE!H$4,Aut_Ajustes_Manuais!$F:$F,"  -  Ajud Limpeza")</f>
        <v>0</v>
      </c>
      <c r="K157" s="241"/>
      <c r="L157" s="27">
        <v>0</v>
      </c>
      <c r="M157" s="28">
        <f>SUMIFS(T_REAL!$D:$D,T_REAL!$E:$E,DRE!M$7,T_REAL!$C:$C,DRE!$A157)+SUMIFS(Aut_Ajustes_Manuais!$G:$G,Aut_Ajustes_Manuais!$I:$I,DRE!K$4,Aut_Ajustes_Manuais!$F:$F,"  -  Ajud Limpeza")</f>
        <v>0</v>
      </c>
      <c r="N157" s="241"/>
      <c r="O157" s="27">
        <v>0</v>
      </c>
      <c r="P157" s="28">
        <f>SUMIFS(T_REAL!$D:$D,T_REAL!$E:$E,DRE!P$7,T_REAL!$C:$C,DRE!$A157)+SUMIFS(Aut_Ajustes_Manuais!$G:$G,Aut_Ajustes_Manuais!$I:$I,DRE!N$4,Aut_Ajustes_Manuais!$F:$F,"  -  Ajud Limpeza")</f>
        <v>0</v>
      </c>
      <c r="Q157" s="241"/>
      <c r="R157" s="27">
        <v>0</v>
      </c>
      <c r="S157" s="28">
        <f>SUMIFS(T_REAL!$D:$D,T_REAL!$E:$E,DRE!S$7,T_REAL!$C:$C,DRE!$A157)+SUMIFS(Aut_Ajustes_Manuais!$G:$G,Aut_Ajustes_Manuais!$I:$I,DRE!Q$4,Aut_Ajustes_Manuais!$F:$F,"  -  Ajud Limpeza")</f>
        <v>0</v>
      </c>
      <c r="T157" s="241"/>
      <c r="U157" s="27">
        <v>0</v>
      </c>
      <c r="V157" s="28">
        <f>SUMIFS(T_REAL!$D:$D,T_REAL!$E:$E,DRE!V$7,T_REAL!$C:$C,DRE!$A157)+SUMIFS(Aut_Ajustes_Manuais!$G:$G,Aut_Ajustes_Manuais!$I:$I,DRE!T$4,Aut_Ajustes_Manuais!$F:$F,"  -  Ajud Limpeza")</f>
        <v>0</v>
      </c>
      <c r="W157" s="241"/>
      <c r="X157" s="27">
        <v>0</v>
      </c>
      <c r="Y157" s="28">
        <f>SUMIFS(T_REAL!$D:$D,T_REAL!$E:$E,DRE!Y$7,T_REAL!$C:$C,DRE!$A157)+SUMIFS(Aut_Ajustes_Manuais!$G:$G,Aut_Ajustes_Manuais!$I:$I,DRE!W$4,Aut_Ajustes_Manuais!$F:$F,"  -  Ajud Limpeza")</f>
        <v>0</v>
      </c>
      <c r="Z157" s="241"/>
      <c r="AA157" s="27">
        <v>0</v>
      </c>
      <c r="AB157" s="28">
        <f>SUMIFS(T_REAL!$D:$D,T_REAL!$E:$E,DRE!AB$7,T_REAL!$C:$C,DRE!$A157)+SUMIFS(Aut_Ajustes_Manuais!$G:$G,Aut_Ajustes_Manuais!$I:$I,DRE!Z$4,Aut_Ajustes_Manuais!$F:$F,"  -  Ajud Limpeza")</f>
        <v>0</v>
      </c>
      <c r="AC157" s="241"/>
      <c r="AD157" s="27">
        <v>0</v>
      </c>
      <c r="AE157" s="28">
        <f>SUMIFS(T_REAL!$D:$D,T_REAL!$E:$E,DRE!AE$7,T_REAL!$C:$C,DRE!$A157)+SUMIFS(Aut_Ajustes_Manuais!$G:$G,Aut_Ajustes_Manuais!$I:$I,DRE!AC$4,Aut_Ajustes_Manuais!$F:$F,"  -  Ajud Limpeza")</f>
        <v>0</v>
      </c>
      <c r="AF157" s="241"/>
      <c r="AG157" s="27">
        <v>0</v>
      </c>
      <c r="AH157" s="28">
        <f>SUMIFS(T_REAL!$D:$D,T_REAL!$E:$E,DRE!AH$7,T_REAL!$C:$C,DRE!$A157)+SUMIFS(Aut_Ajustes_Manuais!$G:$G,Aut_Ajustes_Manuais!$I:$I,DRE!AF$4,Aut_Ajustes_Manuais!$F:$F,"  -  Ajud Limpeza")</f>
        <v>0</v>
      </c>
      <c r="AI157" s="241"/>
      <c r="AJ157" s="27">
        <v>0</v>
      </c>
      <c r="AK157" s="28">
        <f>SUMIFS(T_REAL!$D:$D,T_REAL!$E:$E,DRE!AK$7,T_REAL!$C:$C,DRE!$A157)+SUMIFS(Aut_Ajustes_Manuais!$G:$G,Aut_Ajustes_Manuais!$I:$I,DRE!AI$4,Aut_Ajustes_Manuais!$F:$F,"  -  Ajud Limpeza")</f>
        <v>0</v>
      </c>
      <c r="AL157" s="241"/>
      <c r="AM157" s="27">
        <v>0</v>
      </c>
      <c r="AN157" s="28">
        <f>SUMIFS(T_REAL!$D:$D,T_REAL!$E:$E,DRE!AN$7,T_REAL!$C:$C,DRE!$A157)+SUMIFS(Aut_Ajustes_Manuais!$G:$G,Aut_Ajustes_Manuais!$I:$I,DRE!AL$4,Aut_Ajustes_Manuais!$F:$F,"  -  Ajud Limpeza")</f>
        <v>0</v>
      </c>
      <c r="AO157" s="241"/>
      <c r="AP157" s="27">
        <v>0</v>
      </c>
      <c r="AQ157" s="28">
        <f>SUMIFS(T_REAL!$D:$D,T_REAL!$E:$E,DRE!AQ$7,T_REAL!$C:$C,DRE!$A157)+SUMIFS(Aut_Ajustes_Manuais!$G:$G,Aut_Ajustes_Manuais!$I:$I,DRE!AO$4,Aut_Ajustes_Manuais!$F:$F,"  -  Ajud Limpeza")</f>
        <v>0</v>
      </c>
      <c r="AR157" s="241">
        <f t="shared" ca="1" si="144"/>
        <v>0</v>
      </c>
      <c r="AS157" s="27">
        <f t="shared" ca="1" si="145"/>
        <v>0</v>
      </c>
      <c r="AT157" s="28">
        <f t="shared" ca="1" si="146"/>
        <v>0</v>
      </c>
      <c r="AU157" s="241"/>
      <c r="AV157" s="27"/>
      <c r="AW157" s="28"/>
      <c r="AX157" s="241"/>
      <c r="AY157" s="27">
        <v>-11216.4</v>
      </c>
      <c r="AZ157" s="28"/>
      <c r="BA157" s="241"/>
      <c r="BB157" s="27">
        <v>-11373.429599999999</v>
      </c>
      <c r="BC157" s="28"/>
      <c r="BD157" s="241"/>
      <c r="BE157" s="27">
        <v>-11687.488799999999</v>
      </c>
      <c r="BF157" s="28"/>
      <c r="BG157" s="241"/>
      <c r="BH157" s="27">
        <v>-11687.488799999999</v>
      </c>
      <c r="BI157" s="28"/>
    </row>
    <row r="158" spans="1:61" s="29" customFormat="1" hidden="1" outlineLevel="1" x14ac:dyDescent="0.3">
      <c r="A158" s="95" t="s">
        <v>181</v>
      </c>
      <c r="B158" s="2"/>
      <c r="C158" s="24"/>
      <c r="D158" s="55" t="s">
        <v>144</v>
      </c>
      <c r="E158" s="87"/>
      <c r="F158" s="56"/>
      <c r="G158" s="33"/>
      <c r="H158" s="241"/>
      <c r="I158" s="27">
        <v>0</v>
      </c>
      <c r="J158" s="28">
        <f>SUMIFS(T_REAL!$D:$D,T_REAL!$E:$E,DRE!J$7,T_REAL!$C:$C,DRE!$A158)+SUMIFS(Aut_Ajustes_Manuais!$G:$G,Aut_Ajustes_Manuais!$I:$I,DRE!H$4,Aut_Ajustes_Manuais!$F:$F,"  -  Estoquista III")</f>
        <v>0</v>
      </c>
      <c r="K158" s="241"/>
      <c r="L158" s="27">
        <v>0</v>
      </c>
      <c r="M158" s="28">
        <f>SUMIFS(T_REAL!$D:$D,T_REAL!$E:$E,DRE!M$7,T_REAL!$C:$C,DRE!$A158)+SUMIFS(Aut_Ajustes_Manuais!$G:$G,Aut_Ajustes_Manuais!$I:$I,DRE!K$4,Aut_Ajustes_Manuais!$F:$F,"  -  Estoquista III")</f>
        <v>0</v>
      </c>
      <c r="N158" s="241"/>
      <c r="O158" s="27">
        <v>0</v>
      </c>
      <c r="P158" s="28">
        <f>SUMIFS(T_REAL!$D:$D,T_REAL!$E:$E,DRE!P$7,T_REAL!$C:$C,DRE!$A158)+SUMIFS(Aut_Ajustes_Manuais!$G:$G,Aut_Ajustes_Manuais!$I:$I,DRE!N$4,Aut_Ajustes_Manuais!$F:$F,"  -  Estoquista III")</f>
        <v>0</v>
      </c>
      <c r="Q158" s="241"/>
      <c r="R158" s="27">
        <v>0</v>
      </c>
      <c r="S158" s="28">
        <f>SUMIFS(T_REAL!$D:$D,T_REAL!$E:$E,DRE!S$7,T_REAL!$C:$C,DRE!$A158)+SUMIFS(Aut_Ajustes_Manuais!$G:$G,Aut_Ajustes_Manuais!$I:$I,DRE!Q$4,Aut_Ajustes_Manuais!$F:$F,"  -  Estoquista III")</f>
        <v>0</v>
      </c>
      <c r="T158" s="241"/>
      <c r="U158" s="27">
        <v>0</v>
      </c>
      <c r="V158" s="28">
        <f>SUMIFS(T_REAL!$D:$D,T_REAL!$E:$E,DRE!V$7,T_REAL!$C:$C,DRE!$A158)+SUMIFS(Aut_Ajustes_Manuais!$G:$G,Aut_Ajustes_Manuais!$I:$I,DRE!T$4,Aut_Ajustes_Manuais!$F:$F,"  -  Estoquista III")</f>
        <v>0</v>
      </c>
      <c r="W158" s="241"/>
      <c r="X158" s="27">
        <v>0</v>
      </c>
      <c r="Y158" s="28">
        <f>SUMIFS(T_REAL!$D:$D,T_REAL!$E:$E,DRE!Y$7,T_REAL!$C:$C,DRE!$A158)+SUMIFS(Aut_Ajustes_Manuais!$G:$G,Aut_Ajustes_Manuais!$I:$I,DRE!W$4,Aut_Ajustes_Manuais!$F:$F,"  -  Estoquista III")</f>
        <v>0</v>
      </c>
      <c r="Z158" s="241"/>
      <c r="AA158" s="27">
        <v>0</v>
      </c>
      <c r="AB158" s="28">
        <f>SUMIFS(T_REAL!$D:$D,T_REAL!$E:$E,DRE!AB$7,T_REAL!$C:$C,DRE!$A158)+SUMIFS(Aut_Ajustes_Manuais!$G:$G,Aut_Ajustes_Manuais!$I:$I,DRE!Z$4,Aut_Ajustes_Manuais!$F:$F,"  -  Estoquista III")</f>
        <v>0</v>
      </c>
      <c r="AC158" s="241"/>
      <c r="AD158" s="27">
        <v>0</v>
      </c>
      <c r="AE158" s="28">
        <f>SUMIFS(T_REAL!$D:$D,T_REAL!$E:$E,DRE!AE$7,T_REAL!$C:$C,DRE!$A158)+SUMIFS(Aut_Ajustes_Manuais!$G:$G,Aut_Ajustes_Manuais!$I:$I,DRE!AC$4,Aut_Ajustes_Manuais!$F:$F,"  -  Estoquista III")</f>
        <v>0</v>
      </c>
      <c r="AF158" s="241"/>
      <c r="AG158" s="27">
        <v>0</v>
      </c>
      <c r="AH158" s="28">
        <f>SUMIFS(T_REAL!$D:$D,T_REAL!$E:$E,DRE!AH$7,T_REAL!$C:$C,DRE!$A158)+SUMIFS(Aut_Ajustes_Manuais!$G:$G,Aut_Ajustes_Manuais!$I:$I,DRE!AF$4,Aut_Ajustes_Manuais!$F:$F,"  -  Estoquista III")</f>
        <v>0</v>
      </c>
      <c r="AI158" s="241"/>
      <c r="AJ158" s="27">
        <v>0</v>
      </c>
      <c r="AK158" s="28">
        <f>SUMIFS(T_REAL!$D:$D,T_REAL!$E:$E,DRE!AK$7,T_REAL!$C:$C,DRE!$A158)+SUMIFS(Aut_Ajustes_Manuais!$G:$G,Aut_Ajustes_Manuais!$I:$I,DRE!AI$4,Aut_Ajustes_Manuais!$F:$F,"  -  Estoquista III")</f>
        <v>0</v>
      </c>
      <c r="AL158" s="241"/>
      <c r="AM158" s="27">
        <v>0</v>
      </c>
      <c r="AN158" s="28">
        <f>SUMIFS(T_REAL!$D:$D,T_REAL!$E:$E,DRE!AN$7,T_REAL!$C:$C,DRE!$A158)+SUMIFS(Aut_Ajustes_Manuais!$G:$G,Aut_Ajustes_Manuais!$I:$I,DRE!AL$4,Aut_Ajustes_Manuais!$F:$F,"  -  Estoquista III")</f>
        <v>0</v>
      </c>
      <c r="AO158" s="241"/>
      <c r="AP158" s="27">
        <v>0</v>
      </c>
      <c r="AQ158" s="28">
        <f>SUMIFS(T_REAL!$D:$D,T_REAL!$E:$E,DRE!AQ$7,T_REAL!$C:$C,DRE!$A158)+SUMIFS(Aut_Ajustes_Manuais!$G:$G,Aut_Ajustes_Manuais!$I:$I,DRE!AO$4,Aut_Ajustes_Manuais!$F:$F,"  -  Estoquista III")</f>
        <v>0</v>
      </c>
      <c r="AR158" s="241">
        <f t="shared" ca="1" si="144"/>
        <v>0</v>
      </c>
      <c r="AS158" s="27">
        <f t="shared" ca="1" si="145"/>
        <v>0</v>
      </c>
      <c r="AT158" s="28">
        <f t="shared" ca="1" si="146"/>
        <v>0</v>
      </c>
      <c r="AU158" s="241"/>
      <c r="AV158" s="27"/>
      <c r="AW158" s="28"/>
      <c r="AX158" s="241"/>
      <c r="AY158" s="27">
        <v>0</v>
      </c>
      <c r="AZ158" s="28"/>
      <c r="BA158" s="241"/>
      <c r="BB158" s="27">
        <v>0</v>
      </c>
      <c r="BC158" s="28"/>
      <c r="BD158" s="241"/>
      <c r="BE158" s="27">
        <v>0</v>
      </c>
      <c r="BF158" s="28"/>
      <c r="BG158" s="241"/>
      <c r="BH158" s="27">
        <v>0</v>
      </c>
      <c r="BI158" s="28"/>
    </row>
    <row r="159" spans="1:61" s="29" customFormat="1" hidden="1" outlineLevel="1" x14ac:dyDescent="0.3">
      <c r="A159" s="95" t="s">
        <v>182</v>
      </c>
      <c r="B159" s="2"/>
      <c r="C159" s="24"/>
      <c r="D159" s="55" t="s">
        <v>144</v>
      </c>
      <c r="E159" s="87"/>
      <c r="F159" s="56"/>
      <c r="G159" s="33"/>
      <c r="H159" s="241"/>
      <c r="I159" s="27">
        <v>0</v>
      </c>
      <c r="J159" s="28">
        <f>SUMIFS(T_REAL!$D:$D,T_REAL!$E:$E,DRE!J$7,T_REAL!$C:$C,DRE!$A159)+SUMIFS(Aut_Ajustes_Manuais!$G:$G,Aut_Ajustes_Manuais!$I:$I,DRE!H$4,Aut_Ajustes_Manuais!$F:$F,"  -  Estoquista II")</f>
        <v>0</v>
      </c>
      <c r="K159" s="241"/>
      <c r="L159" s="27">
        <v>0</v>
      </c>
      <c r="M159" s="28">
        <f>SUMIFS(T_REAL!$D:$D,T_REAL!$E:$E,DRE!M$7,T_REAL!$C:$C,DRE!$A159)+SUMIFS(Aut_Ajustes_Manuais!$G:$G,Aut_Ajustes_Manuais!$I:$I,DRE!K$4,Aut_Ajustes_Manuais!$F:$F,"  -  Estoquista II")</f>
        <v>0</v>
      </c>
      <c r="N159" s="241"/>
      <c r="O159" s="27">
        <v>0</v>
      </c>
      <c r="P159" s="28">
        <f>SUMIFS(T_REAL!$D:$D,T_REAL!$E:$E,DRE!P$7,T_REAL!$C:$C,DRE!$A159)+SUMIFS(Aut_Ajustes_Manuais!$G:$G,Aut_Ajustes_Manuais!$I:$I,DRE!N$4,Aut_Ajustes_Manuais!$F:$F,"  -  Estoquista II")</f>
        <v>0</v>
      </c>
      <c r="Q159" s="241"/>
      <c r="R159" s="27">
        <v>0</v>
      </c>
      <c r="S159" s="28">
        <f>SUMIFS(T_REAL!$D:$D,T_REAL!$E:$E,DRE!S$7,T_REAL!$C:$C,DRE!$A159)+SUMIFS(Aut_Ajustes_Manuais!$G:$G,Aut_Ajustes_Manuais!$I:$I,DRE!Q$4,Aut_Ajustes_Manuais!$F:$F,"  -  Estoquista II")</f>
        <v>0</v>
      </c>
      <c r="T159" s="241"/>
      <c r="U159" s="27">
        <v>0</v>
      </c>
      <c r="V159" s="28">
        <f>SUMIFS(T_REAL!$D:$D,T_REAL!$E:$E,DRE!V$7,T_REAL!$C:$C,DRE!$A159)+SUMIFS(Aut_Ajustes_Manuais!$G:$G,Aut_Ajustes_Manuais!$I:$I,DRE!T$4,Aut_Ajustes_Manuais!$F:$F,"  -  Estoquista II")</f>
        <v>0</v>
      </c>
      <c r="W159" s="241"/>
      <c r="X159" s="27">
        <v>0</v>
      </c>
      <c r="Y159" s="28">
        <f>SUMIFS(T_REAL!$D:$D,T_REAL!$E:$E,DRE!Y$7,T_REAL!$C:$C,DRE!$A159)+SUMIFS(Aut_Ajustes_Manuais!$G:$G,Aut_Ajustes_Manuais!$I:$I,DRE!W$4,Aut_Ajustes_Manuais!$F:$F,"  -  Estoquista II")</f>
        <v>0</v>
      </c>
      <c r="Z159" s="241"/>
      <c r="AA159" s="27">
        <v>0</v>
      </c>
      <c r="AB159" s="28">
        <f>SUMIFS(T_REAL!$D:$D,T_REAL!$E:$E,DRE!AB$7,T_REAL!$C:$C,DRE!$A159)+SUMIFS(Aut_Ajustes_Manuais!$G:$G,Aut_Ajustes_Manuais!$I:$I,DRE!Z$4,Aut_Ajustes_Manuais!$F:$F,"  -  Estoquista II")</f>
        <v>0</v>
      </c>
      <c r="AC159" s="241"/>
      <c r="AD159" s="27">
        <v>0</v>
      </c>
      <c r="AE159" s="28">
        <f>SUMIFS(T_REAL!$D:$D,T_REAL!$E:$E,DRE!AE$7,T_REAL!$C:$C,DRE!$A159)+SUMIFS(Aut_Ajustes_Manuais!$G:$G,Aut_Ajustes_Manuais!$I:$I,DRE!AC$4,Aut_Ajustes_Manuais!$F:$F,"  -  Estoquista II")</f>
        <v>0</v>
      </c>
      <c r="AF159" s="241"/>
      <c r="AG159" s="27">
        <v>0</v>
      </c>
      <c r="AH159" s="28">
        <f>SUMIFS(T_REAL!$D:$D,T_REAL!$E:$E,DRE!AH$7,T_REAL!$C:$C,DRE!$A159)+SUMIFS(Aut_Ajustes_Manuais!$G:$G,Aut_Ajustes_Manuais!$I:$I,DRE!AF$4,Aut_Ajustes_Manuais!$F:$F,"  -  Estoquista II")</f>
        <v>0</v>
      </c>
      <c r="AI159" s="241"/>
      <c r="AJ159" s="27">
        <v>0</v>
      </c>
      <c r="AK159" s="28">
        <f>SUMIFS(T_REAL!$D:$D,T_REAL!$E:$E,DRE!AK$7,T_REAL!$C:$C,DRE!$A159)+SUMIFS(Aut_Ajustes_Manuais!$G:$G,Aut_Ajustes_Manuais!$I:$I,DRE!AI$4,Aut_Ajustes_Manuais!$F:$F,"  -  Estoquista II")</f>
        <v>0</v>
      </c>
      <c r="AL159" s="241"/>
      <c r="AM159" s="27">
        <v>0</v>
      </c>
      <c r="AN159" s="28">
        <f>SUMIFS(T_REAL!$D:$D,T_REAL!$E:$E,DRE!AN$7,T_REAL!$C:$C,DRE!$A159)+SUMIFS(Aut_Ajustes_Manuais!$G:$G,Aut_Ajustes_Manuais!$I:$I,DRE!AL$4,Aut_Ajustes_Manuais!$F:$F,"  -  Estoquista II")</f>
        <v>0</v>
      </c>
      <c r="AO159" s="241"/>
      <c r="AP159" s="27">
        <v>0</v>
      </c>
      <c r="AQ159" s="28">
        <f>SUMIFS(T_REAL!$D:$D,T_REAL!$E:$E,DRE!AQ$7,T_REAL!$C:$C,DRE!$A159)+SUMIFS(Aut_Ajustes_Manuais!$G:$G,Aut_Ajustes_Manuais!$I:$I,DRE!AO$4,Aut_Ajustes_Manuais!$F:$F,"  -  Estoquista II")</f>
        <v>0</v>
      </c>
      <c r="AR159" s="241">
        <f t="shared" ca="1" si="144"/>
        <v>0</v>
      </c>
      <c r="AS159" s="27">
        <f t="shared" ca="1" si="145"/>
        <v>0</v>
      </c>
      <c r="AT159" s="28">
        <f t="shared" ca="1" si="146"/>
        <v>0</v>
      </c>
      <c r="AU159" s="241"/>
      <c r="AV159" s="27"/>
      <c r="AW159" s="28"/>
      <c r="AX159" s="241"/>
      <c r="AY159" s="27">
        <v>-5819.5499999999993</v>
      </c>
      <c r="AZ159" s="28"/>
      <c r="BA159" s="241"/>
      <c r="BB159" s="27">
        <v>-5901.0236999999997</v>
      </c>
      <c r="BC159" s="28"/>
      <c r="BD159" s="241"/>
      <c r="BE159" s="27">
        <v>-6063.9710999999998</v>
      </c>
      <c r="BF159" s="28"/>
      <c r="BG159" s="241"/>
      <c r="BH159" s="27">
        <v>-6063.9710999999998</v>
      </c>
      <c r="BI159" s="28"/>
    </row>
    <row r="160" spans="1:61" s="29" customFormat="1" hidden="1" outlineLevel="1" x14ac:dyDescent="0.3">
      <c r="A160" s="95" t="s">
        <v>183</v>
      </c>
      <c r="B160" s="2"/>
      <c r="C160" s="24"/>
      <c r="D160" s="55" t="s">
        <v>144</v>
      </c>
      <c r="E160" s="87"/>
      <c r="F160" s="56"/>
      <c r="G160" s="33"/>
      <c r="H160" s="241"/>
      <c r="I160" s="27">
        <v>-2419.14</v>
      </c>
      <c r="J160" s="28">
        <f>SUMIFS(T_REAL!$D:$D,T_REAL!$E:$E,DRE!J$7,T_REAL!$C:$C,DRE!$A160)+SUMIFS(Aut_Ajustes_Manuais!$G:$G,Aut_Ajustes_Manuais!$I:$I,DRE!H$4,Aut_Ajustes_Manuais!$F:$F,"  -  Estoquista I")</f>
        <v>0</v>
      </c>
      <c r="K160" s="241"/>
      <c r="L160" s="27">
        <v>-2419.14</v>
      </c>
      <c r="M160" s="28">
        <f>SUMIFS(T_REAL!$D:$D,T_REAL!$E:$E,DRE!M$7,T_REAL!$C:$C,DRE!$A160)+SUMIFS(Aut_Ajustes_Manuais!$G:$G,Aut_Ajustes_Manuais!$I:$I,DRE!K$4,Aut_Ajustes_Manuais!$F:$F,"  -  Estoquista I")</f>
        <v>0</v>
      </c>
      <c r="N160" s="241"/>
      <c r="O160" s="27">
        <v>-2419.14</v>
      </c>
      <c r="P160" s="28">
        <f>SUMIFS(T_REAL!$D:$D,T_REAL!$E:$E,DRE!P$7,T_REAL!$C:$C,DRE!$A160)+SUMIFS(Aut_Ajustes_Manuais!$G:$G,Aut_Ajustes_Manuais!$I:$I,DRE!N$4,Aut_Ajustes_Manuais!$F:$F,"  -  Estoquista I")</f>
        <v>0</v>
      </c>
      <c r="Q160" s="241"/>
      <c r="R160" s="27">
        <v>-2419.14</v>
      </c>
      <c r="S160" s="28">
        <f>SUMIFS(T_REAL!$D:$D,T_REAL!$E:$E,DRE!S$7,T_REAL!$C:$C,DRE!$A160)+SUMIFS(Aut_Ajustes_Manuais!$G:$G,Aut_Ajustes_Manuais!$I:$I,DRE!Q$4,Aut_Ajustes_Manuais!$F:$F,"  -  Estoquista I")</f>
        <v>0</v>
      </c>
      <c r="T160" s="241"/>
      <c r="U160" s="27">
        <v>-2520.74388</v>
      </c>
      <c r="V160" s="28">
        <f>SUMIFS(T_REAL!$D:$D,T_REAL!$E:$E,DRE!V$7,T_REAL!$C:$C,DRE!$A160)+SUMIFS(Aut_Ajustes_Manuais!$G:$G,Aut_Ajustes_Manuais!$I:$I,DRE!T$4,Aut_Ajustes_Manuais!$F:$F,"  -  Estoquista I")</f>
        <v>0</v>
      </c>
      <c r="W160" s="241"/>
      <c r="X160" s="27">
        <v>-2520.74388</v>
      </c>
      <c r="Y160" s="28">
        <f>SUMIFS(T_REAL!$D:$D,T_REAL!$E:$E,DRE!Y$7,T_REAL!$C:$C,DRE!$A160)+SUMIFS(Aut_Ajustes_Manuais!$G:$G,Aut_Ajustes_Manuais!$I:$I,DRE!W$4,Aut_Ajustes_Manuais!$F:$F,"  -  Estoquista I")</f>
        <v>0</v>
      </c>
      <c r="Z160" s="241"/>
      <c r="AA160" s="27">
        <v>-2520.74388</v>
      </c>
      <c r="AB160" s="28">
        <f>SUMIFS(T_REAL!$D:$D,T_REAL!$E:$E,DRE!AB$7,T_REAL!$C:$C,DRE!$A160)+SUMIFS(Aut_Ajustes_Manuais!$G:$G,Aut_Ajustes_Manuais!$I:$I,DRE!Z$4,Aut_Ajustes_Manuais!$F:$F,"  -  Estoquista I")</f>
        <v>0</v>
      </c>
      <c r="AC160" s="241"/>
      <c r="AD160" s="27">
        <v>-2520.74388</v>
      </c>
      <c r="AE160" s="28">
        <f>SUMIFS(T_REAL!$D:$D,T_REAL!$E:$E,DRE!AE$7,T_REAL!$C:$C,DRE!$A160)+SUMIFS(Aut_Ajustes_Manuais!$G:$G,Aut_Ajustes_Manuais!$I:$I,DRE!AC$4,Aut_Ajustes_Manuais!$F:$F,"  -  Estoquista I")</f>
        <v>0</v>
      </c>
      <c r="AF160" s="241"/>
      <c r="AG160" s="27">
        <v>-2520.74388</v>
      </c>
      <c r="AH160" s="28">
        <f>SUMIFS(T_REAL!$D:$D,T_REAL!$E:$E,DRE!AH$7,T_REAL!$C:$C,DRE!$A160)+SUMIFS(Aut_Ajustes_Manuais!$G:$G,Aut_Ajustes_Manuais!$I:$I,DRE!AF$4,Aut_Ajustes_Manuais!$F:$F,"  -  Estoquista I")</f>
        <v>0</v>
      </c>
      <c r="AI160" s="241"/>
      <c r="AJ160" s="27">
        <v>-2520.74388</v>
      </c>
      <c r="AK160" s="28">
        <f>SUMIFS(T_REAL!$D:$D,T_REAL!$E:$E,DRE!AK$7,T_REAL!$C:$C,DRE!$A160)+SUMIFS(Aut_Ajustes_Manuais!$G:$G,Aut_Ajustes_Manuais!$I:$I,DRE!AI$4,Aut_Ajustes_Manuais!$F:$F,"  -  Estoquista I")</f>
        <v>0</v>
      </c>
      <c r="AL160" s="241"/>
      <c r="AM160" s="27">
        <v>-2520.74388</v>
      </c>
      <c r="AN160" s="28">
        <f>SUMIFS(T_REAL!$D:$D,T_REAL!$E:$E,DRE!AN$7,T_REAL!$C:$C,DRE!$A160)+SUMIFS(Aut_Ajustes_Manuais!$G:$G,Aut_Ajustes_Manuais!$I:$I,DRE!AL$4,Aut_Ajustes_Manuais!$F:$F,"  -  Estoquista I")</f>
        <v>0</v>
      </c>
      <c r="AO160" s="241"/>
      <c r="AP160" s="27">
        <v>-2520.74388</v>
      </c>
      <c r="AQ160" s="28">
        <f>SUMIFS(T_REAL!$D:$D,T_REAL!$E:$E,DRE!AQ$7,T_REAL!$C:$C,DRE!$A160)+SUMIFS(Aut_Ajustes_Manuais!$G:$G,Aut_Ajustes_Manuais!$I:$I,DRE!AO$4,Aut_Ajustes_Manuais!$F:$F,"  -  Estoquista I")</f>
        <v>0</v>
      </c>
      <c r="AR160" s="241">
        <f t="shared" ca="1" si="144"/>
        <v>0</v>
      </c>
      <c r="AS160" s="27">
        <f t="shared" ca="1" si="145"/>
        <v>-14718.047759999999</v>
      </c>
      <c r="AT160" s="28">
        <f t="shared" ca="1" si="146"/>
        <v>0</v>
      </c>
      <c r="AU160" s="241"/>
      <c r="AV160" s="27"/>
      <c r="AW160" s="28"/>
      <c r="AX160" s="241"/>
      <c r="AY160" s="27">
        <v>0</v>
      </c>
      <c r="AZ160" s="28"/>
      <c r="BA160" s="241"/>
      <c r="BB160" s="27">
        <v>0</v>
      </c>
      <c r="BC160" s="28"/>
      <c r="BD160" s="241"/>
      <c r="BE160" s="27">
        <v>0</v>
      </c>
      <c r="BF160" s="28"/>
      <c r="BG160" s="241"/>
      <c r="BH160" s="27">
        <v>0</v>
      </c>
      <c r="BI160" s="28"/>
    </row>
    <row r="161" spans="1:61" s="29" customFormat="1" hidden="1" outlineLevel="1" x14ac:dyDescent="0.3">
      <c r="A161" s="95" t="s">
        <v>184</v>
      </c>
      <c r="B161" s="2"/>
      <c r="C161" s="24"/>
      <c r="D161" s="55" t="s">
        <v>144</v>
      </c>
      <c r="E161" s="87"/>
      <c r="F161" s="56"/>
      <c r="G161" s="33"/>
      <c r="H161" s="241"/>
      <c r="I161" s="27">
        <v>0</v>
      </c>
      <c r="J161" s="28">
        <f>SUMIFS(T_REAL!$D:$D,T_REAL!$E:$E,DRE!J$7,T_REAL!$C:$C,DRE!$A161)+SUMIFS(Aut_Ajustes_Manuais!$G:$G,Aut_Ajustes_Manuais!$I:$I,DRE!H$4,Aut_Ajustes_Manuais!$F:$F,"  -  Chefe de Manutenção")</f>
        <v>0</v>
      </c>
      <c r="K161" s="241"/>
      <c r="L161" s="27">
        <v>0</v>
      </c>
      <c r="M161" s="28">
        <f>SUMIFS(T_REAL!$D:$D,T_REAL!$E:$E,DRE!M$7,T_REAL!$C:$C,DRE!$A161)+SUMIFS(Aut_Ajustes_Manuais!$G:$G,Aut_Ajustes_Manuais!$I:$I,DRE!K$4,Aut_Ajustes_Manuais!$F:$F,"  -  Chefe de Manutenção")</f>
        <v>0</v>
      </c>
      <c r="N161" s="241"/>
      <c r="O161" s="27">
        <v>0</v>
      </c>
      <c r="P161" s="28">
        <f>SUMIFS(T_REAL!$D:$D,T_REAL!$E:$E,DRE!P$7,T_REAL!$C:$C,DRE!$A161)+SUMIFS(Aut_Ajustes_Manuais!$G:$G,Aut_Ajustes_Manuais!$I:$I,DRE!N$4,Aut_Ajustes_Manuais!$F:$F,"  -  Chefe de Manutenção")</f>
        <v>0</v>
      </c>
      <c r="Q161" s="241"/>
      <c r="R161" s="27">
        <v>0</v>
      </c>
      <c r="S161" s="28">
        <f>SUMIFS(T_REAL!$D:$D,T_REAL!$E:$E,DRE!S$7,T_REAL!$C:$C,DRE!$A161)+SUMIFS(Aut_Ajustes_Manuais!$G:$G,Aut_Ajustes_Manuais!$I:$I,DRE!Q$4,Aut_Ajustes_Manuais!$F:$F,"  -  Chefe de Manutenção")</f>
        <v>0</v>
      </c>
      <c r="T161" s="241"/>
      <c r="U161" s="27">
        <v>0</v>
      </c>
      <c r="V161" s="28">
        <f>SUMIFS(T_REAL!$D:$D,T_REAL!$E:$E,DRE!V$7,T_REAL!$C:$C,DRE!$A161)+SUMIFS(Aut_Ajustes_Manuais!$G:$G,Aut_Ajustes_Manuais!$I:$I,DRE!T$4,Aut_Ajustes_Manuais!$F:$F,"  -  Chefe de Manutenção")</f>
        <v>0</v>
      </c>
      <c r="W161" s="241"/>
      <c r="X161" s="27">
        <v>0</v>
      </c>
      <c r="Y161" s="28">
        <f>SUMIFS(T_REAL!$D:$D,T_REAL!$E:$E,DRE!Y$7,T_REAL!$C:$C,DRE!$A161)+SUMIFS(Aut_Ajustes_Manuais!$G:$G,Aut_Ajustes_Manuais!$I:$I,DRE!W$4,Aut_Ajustes_Manuais!$F:$F,"  -  Chefe de Manutenção")</f>
        <v>0</v>
      </c>
      <c r="Z161" s="241"/>
      <c r="AA161" s="27">
        <v>0</v>
      </c>
      <c r="AB161" s="28">
        <f>SUMIFS(T_REAL!$D:$D,T_REAL!$E:$E,DRE!AB$7,T_REAL!$C:$C,DRE!$A161)+SUMIFS(Aut_Ajustes_Manuais!$G:$G,Aut_Ajustes_Manuais!$I:$I,DRE!Z$4,Aut_Ajustes_Manuais!$F:$F,"  -  Chefe de Manutenção")</f>
        <v>0</v>
      </c>
      <c r="AC161" s="241"/>
      <c r="AD161" s="27">
        <v>0</v>
      </c>
      <c r="AE161" s="28">
        <f>SUMIFS(T_REAL!$D:$D,T_REAL!$E:$E,DRE!AE$7,T_REAL!$C:$C,DRE!$A161)+SUMIFS(Aut_Ajustes_Manuais!$G:$G,Aut_Ajustes_Manuais!$I:$I,DRE!AC$4,Aut_Ajustes_Manuais!$F:$F,"  -  Chefe de Manutenção")</f>
        <v>0</v>
      </c>
      <c r="AF161" s="241"/>
      <c r="AG161" s="27">
        <v>0</v>
      </c>
      <c r="AH161" s="28">
        <f>SUMIFS(T_REAL!$D:$D,T_REAL!$E:$E,DRE!AH$7,T_REAL!$C:$C,DRE!$A161)+SUMIFS(Aut_Ajustes_Manuais!$G:$G,Aut_Ajustes_Manuais!$I:$I,DRE!AF$4,Aut_Ajustes_Manuais!$F:$F,"  -  Chefe de Manutenção")</f>
        <v>0</v>
      </c>
      <c r="AI161" s="241"/>
      <c r="AJ161" s="27">
        <v>0</v>
      </c>
      <c r="AK161" s="28">
        <f>SUMIFS(T_REAL!$D:$D,T_REAL!$E:$E,DRE!AK$7,T_REAL!$C:$C,DRE!$A161)+SUMIFS(Aut_Ajustes_Manuais!$G:$G,Aut_Ajustes_Manuais!$I:$I,DRE!AI$4,Aut_Ajustes_Manuais!$F:$F,"  -  Chefe de Manutenção")</f>
        <v>0</v>
      </c>
      <c r="AL161" s="241"/>
      <c r="AM161" s="27">
        <v>0</v>
      </c>
      <c r="AN161" s="28">
        <f>SUMIFS(T_REAL!$D:$D,T_REAL!$E:$E,DRE!AN$7,T_REAL!$C:$C,DRE!$A161)+SUMIFS(Aut_Ajustes_Manuais!$G:$G,Aut_Ajustes_Manuais!$I:$I,DRE!AL$4,Aut_Ajustes_Manuais!$F:$F,"  -  Chefe de Manutenção")</f>
        <v>0</v>
      </c>
      <c r="AO161" s="241"/>
      <c r="AP161" s="27">
        <v>0</v>
      </c>
      <c r="AQ161" s="28">
        <f>SUMIFS(T_REAL!$D:$D,T_REAL!$E:$E,DRE!AQ$7,T_REAL!$C:$C,DRE!$A161)+SUMIFS(Aut_Ajustes_Manuais!$G:$G,Aut_Ajustes_Manuais!$I:$I,DRE!AO$4,Aut_Ajustes_Manuais!$F:$F,"  -  Chefe de Manutenção")</f>
        <v>0</v>
      </c>
      <c r="AR161" s="241">
        <f t="shared" ca="1" si="144"/>
        <v>0</v>
      </c>
      <c r="AS161" s="27">
        <f t="shared" ca="1" si="145"/>
        <v>0</v>
      </c>
      <c r="AT161" s="28">
        <f t="shared" ca="1" si="146"/>
        <v>0</v>
      </c>
      <c r="AU161" s="241"/>
      <c r="AV161" s="27"/>
      <c r="AW161" s="28"/>
      <c r="AX161" s="241"/>
      <c r="AY161" s="27">
        <v>0</v>
      </c>
      <c r="AZ161" s="28"/>
      <c r="BA161" s="241"/>
      <c r="BB161" s="27">
        <v>0</v>
      </c>
      <c r="BC161" s="28"/>
      <c r="BD161" s="241"/>
      <c r="BE161" s="27">
        <v>0</v>
      </c>
      <c r="BF161" s="28"/>
      <c r="BG161" s="241"/>
      <c r="BH161" s="27">
        <v>0</v>
      </c>
      <c r="BI161" s="28"/>
    </row>
    <row r="162" spans="1:61" s="29" customFormat="1" hidden="1" outlineLevel="1" x14ac:dyDescent="0.3">
      <c r="A162" s="95" t="s">
        <v>185</v>
      </c>
      <c r="B162" s="2"/>
      <c r="C162" s="24"/>
      <c r="D162" s="55" t="s">
        <v>144</v>
      </c>
      <c r="E162" s="87"/>
      <c r="F162" s="56"/>
      <c r="G162" s="33"/>
      <c r="H162" s="241"/>
      <c r="I162" s="27">
        <v>0</v>
      </c>
      <c r="J162" s="28">
        <f>SUMIFS(T_REAL!$D:$D,T_REAL!$E:$E,DRE!J$7,T_REAL!$C:$C,DRE!$A162)+SUMIFS(Aut_Ajustes_Manuais!$G:$G,Aut_Ajustes_Manuais!$I:$I,DRE!H$4,Aut_Ajustes_Manuais!$F:$F,"  -  Aux. Manutenção III")</f>
        <v>0</v>
      </c>
      <c r="K162" s="241"/>
      <c r="L162" s="27">
        <v>0</v>
      </c>
      <c r="M162" s="28">
        <f>SUMIFS(T_REAL!$D:$D,T_REAL!$E:$E,DRE!M$7,T_REAL!$C:$C,DRE!$A162)+SUMIFS(Aut_Ajustes_Manuais!$G:$G,Aut_Ajustes_Manuais!$I:$I,DRE!K$4,Aut_Ajustes_Manuais!$F:$F,"  -  Aux. Manutenção III")</f>
        <v>0</v>
      </c>
      <c r="N162" s="241"/>
      <c r="O162" s="27">
        <v>0</v>
      </c>
      <c r="P162" s="28">
        <f>SUMIFS(T_REAL!$D:$D,T_REAL!$E:$E,DRE!P$7,T_REAL!$C:$C,DRE!$A162)+SUMIFS(Aut_Ajustes_Manuais!$G:$G,Aut_Ajustes_Manuais!$I:$I,DRE!N$4,Aut_Ajustes_Manuais!$F:$F,"  -  Aux. Manutenção III")</f>
        <v>0</v>
      </c>
      <c r="Q162" s="241"/>
      <c r="R162" s="27">
        <v>0</v>
      </c>
      <c r="S162" s="28">
        <f>SUMIFS(T_REAL!$D:$D,T_REAL!$E:$E,DRE!S$7,T_REAL!$C:$C,DRE!$A162)+SUMIFS(Aut_Ajustes_Manuais!$G:$G,Aut_Ajustes_Manuais!$I:$I,DRE!Q$4,Aut_Ajustes_Manuais!$F:$F,"  -  Aux. Manutenção III")</f>
        <v>0</v>
      </c>
      <c r="T162" s="241"/>
      <c r="U162" s="27">
        <v>0</v>
      </c>
      <c r="V162" s="28">
        <f>SUMIFS(T_REAL!$D:$D,T_REAL!$E:$E,DRE!V$7,T_REAL!$C:$C,DRE!$A162)+SUMIFS(Aut_Ajustes_Manuais!$G:$G,Aut_Ajustes_Manuais!$I:$I,DRE!T$4,Aut_Ajustes_Manuais!$F:$F,"  -  Aux. Manutenção III")</f>
        <v>0</v>
      </c>
      <c r="W162" s="241"/>
      <c r="X162" s="27">
        <v>0</v>
      </c>
      <c r="Y162" s="28">
        <f>SUMIFS(T_REAL!$D:$D,T_REAL!$E:$E,DRE!Y$7,T_REAL!$C:$C,DRE!$A162)+SUMIFS(Aut_Ajustes_Manuais!$G:$G,Aut_Ajustes_Manuais!$I:$I,DRE!W$4,Aut_Ajustes_Manuais!$F:$F,"  -  Aux. Manutenção III")</f>
        <v>0</v>
      </c>
      <c r="Z162" s="241"/>
      <c r="AA162" s="27">
        <v>0</v>
      </c>
      <c r="AB162" s="28">
        <f>SUMIFS(T_REAL!$D:$D,T_REAL!$E:$E,DRE!AB$7,T_REAL!$C:$C,DRE!$A162)+SUMIFS(Aut_Ajustes_Manuais!$G:$G,Aut_Ajustes_Manuais!$I:$I,DRE!Z$4,Aut_Ajustes_Manuais!$F:$F,"  -  Aux. Manutenção III")</f>
        <v>0</v>
      </c>
      <c r="AC162" s="241"/>
      <c r="AD162" s="27">
        <v>0</v>
      </c>
      <c r="AE162" s="28">
        <f>SUMIFS(T_REAL!$D:$D,T_REAL!$E:$E,DRE!AE$7,T_REAL!$C:$C,DRE!$A162)+SUMIFS(Aut_Ajustes_Manuais!$G:$G,Aut_Ajustes_Manuais!$I:$I,DRE!AC$4,Aut_Ajustes_Manuais!$F:$F,"  -  Aux. Manutenção III")</f>
        <v>0</v>
      </c>
      <c r="AF162" s="241"/>
      <c r="AG162" s="27">
        <v>0</v>
      </c>
      <c r="AH162" s="28">
        <f>SUMIFS(T_REAL!$D:$D,T_REAL!$E:$E,DRE!AH$7,T_REAL!$C:$C,DRE!$A162)+SUMIFS(Aut_Ajustes_Manuais!$G:$G,Aut_Ajustes_Manuais!$I:$I,DRE!AF$4,Aut_Ajustes_Manuais!$F:$F,"  -  Aux. Manutenção III")</f>
        <v>0</v>
      </c>
      <c r="AI162" s="241"/>
      <c r="AJ162" s="27">
        <v>0</v>
      </c>
      <c r="AK162" s="28">
        <f>SUMIFS(T_REAL!$D:$D,T_REAL!$E:$E,DRE!AK$7,T_REAL!$C:$C,DRE!$A162)+SUMIFS(Aut_Ajustes_Manuais!$G:$G,Aut_Ajustes_Manuais!$I:$I,DRE!AI$4,Aut_Ajustes_Manuais!$F:$F,"  -  Aux. Manutenção III")</f>
        <v>0</v>
      </c>
      <c r="AL162" s="241"/>
      <c r="AM162" s="27">
        <v>0</v>
      </c>
      <c r="AN162" s="28">
        <f>SUMIFS(T_REAL!$D:$D,T_REAL!$E:$E,DRE!AN$7,T_REAL!$C:$C,DRE!$A162)+SUMIFS(Aut_Ajustes_Manuais!$G:$G,Aut_Ajustes_Manuais!$I:$I,DRE!AL$4,Aut_Ajustes_Manuais!$F:$F,"  -  Aux. Manutenção III")</f>
        <v>0</v>
      </c>
      <c r="AO162" s="241"/>
      <c r="AP162" s="27">
        <v>0</v>
      </c>
      <c r="AQ162" s="28">
        <f>SUMIFS(T_REAL!$D:$D,T_REAL!$E:$E,DRE!AQ$7,T_REAL!$C:$C,DRE!$A162)+SUMIFS(Aut_Ajustes_Manuais!$G:$G,Aut_Ajustes_Manuais!$I:$I,DRE!AO$4,Aut_Ajustes_Manuais!$F:$F,"  -  Aux. Manutenção III")</f>
        <v>0</v>
      </c>
      <c r="AR162" s="241">
        <f t="shared" ca="1" si="144"/>
        <v>0</v>
      </c>
      <c r="AS162" s="27">
        <f t="shared" ca="1" si="145"/>
        <v>0</v>
      </c>
      <c r="AT162" s="28">
        <f t="shared" ca="1" si="146"/>
        <v>0</v>
      </c>
      <c r="AU162" s="241"/>
      <c r="AV162" s="27"/>
      <c r="AW162" s="28"/>
      <c r="AX162" s="241"/>
      <c r="AY162" s="27">
        <v>0</v>
      </c>
      <c r="AZ162" s="28"/>
      <c r="BA162" s="241"/>
      <c r="BB162" s="27">
        <v>0</v>
      </c>
      <c r="BC162" s="28"/>
      <c r="BD162" s="241"/>
      <c r="BE162" s="27">
        <v>0</v>
      </c>
      <c r="BF162" s="28"/>
      <c r="BG162" s="241"/>
      <c r="BH162" s="27">
        <v>0</v>
      </c>
      <c r="BI162" s="28"/>
    </row>
    <row r="163" spans="1:61" s="29" customFormat="1" hidden="1" outlineLevel="1" x14ac:dyDescent="0.3">
      <c r="A163" s="95" t="s">
        <v>186</v>
      </c>
      <c r="B163" s="2"/>
      <c r="C163" s="24"/>
      <c r="D163" s="55" t="s">
        <v>144</v>
      </c>
      <c r="E163" s="87"/>
      <c r="F163" s="56"/>
      <c r="G163" s="33"/>
      <c r="H163" s="241"/>
      <c r="I163" s="27">
        <v>0</v>
      </c>
      <c r="J163" s="28">
        <f>SUMIFS(T_REAL!$D:$D,T_REAL!$E:$E,DRE!J$7,T_REAL!$C:$C,DRE!$A163)+SUMIFS(Aut_Ajustes_Manuais!$G:$G,Aut_Ajustes_Manuais!$I:$I,DRE!H$4,Aut_Ajustes_Manuais!$F:$F,"  -  Aux. Manutenção II")</f>
        <v>0</v>
      </c>
      <c r="K163" s="241"/>
      <c r="L163" s="27">
        <v>0</v>
      </c>
      <c r="M163" s="28">
        <f>SUMIFS(T_REAL!$D:$D,T_REAL!$E:$E,DRE!M$7,T_REAL!$C:$C,DRE!$A163)+SUMIFS(Aut_Ajustes_Manuais!$G:$G,Aut_Ajustes_Manuais!$I:$I,DRE!K$4,Aut_Ajustes_Manuais!$F:$F,"  -  Aux. Manutenção II")</f>
        <v>0</v>
      </c>
      <c r="N163" s="241"/>
      <c r="O163" s="27">
        <v>0</v>
      </c>
      <c r="P163" s="28">
        <f>SUMIFS(T_REAL!$D:$D,T_REAL!$E:$E,DRE!P$7,T_REAL!$C:$C,DRE!$A163)+SUMIFS(Aut_Ajustes_Manuais!$G:$G,Aut_Ajustes_Manuais!$I:$I,DRE!N$4,Aut_Ajustes_Manuais!$F:$F,"  -  Aux. Manutenção II")</f>
        <v>0</v>
      </c>
      <c r="Q163" s="241"/>
      <c r="R163" s="27">
        <v>0</v>
      </c>
      <c r="S163" s="28">
        <f>SUMIFS(T_REAL!$D:$D,T_REAL!$E:$E,DRE!S$7,T_REAL!$C:$C,DRE!$A163)+SUMIFS(Aut_Ajustes_Manuais!$G:$G,Aut_Ajustes_Manuais!$I:$I,DRE!Q$4,Aut_Ajustes_Manuais!$F:$F,"  -  Aux. Manutenção II")</f>
        <v>0</v>
      </c>
      <c r="T163" s="241"/>
      <c r="U163" s="27">
        <v>0</v>
      </c>
      <c r="V163" s="28">
        <f>SUMIFS(T_REAL!$D:$D,T_REAL!$E:$E,DRE!V$7,T_REAL!$C:$C,DRE!$A163)+SUMIFS(Aut_Ajustes_Manuais!$G:$G,Aut_Ajustes_Manuais!$I:$I,DRE!T$4,Aut_Ajustes_Manuais!$F:$F,"  -  Aux. Manutenção II")</f>
        <v>0</v>
      </c>
      <c r="W163" s="241"/>
      <c r="X163" s="27">
        <v>0</v>
      </c>
      <c r="Y163" s="28">
        <f>SUMIFS(T_REAL!$D:$D,T_REAL!$E:$E,DRE!Y$7,T_REAL!$C:$C,DRE!$A163)+SUMIFS(Aut_Ajustes_Manuais!$G:$G,Aut_Ajustes_Manuais!$I:$I,DRE!W$4,Aut_Ajustes_Manuais!$F:$F,"  -  Aux. Manutenção II")</f>
        <v>0</v>
      </c>
      <c r="Z163" s="241"/>
      <c r="AA163" s="27">
        <v>0</v>
      </c>
      <c r="AB163" s="28">
        <f>SUMIFS(T_REAL!$D:$D,T_REAL!$E:$E,DRE!AB$7,T_REAL!$C:$C,DRE!$A163)+SUMIFS(Aut_Ajustes_Manuais!$G:$G,Aut_Ajustes_Manuais!$I:$I,DRE!Z$4,Aut_Ajustes_Manuais!$F:$F,"  -  Aux. Manutenção II")</f>
        <v>0</v>
      </c>
      <c r="AC163" s="241"/>
      <c r="AD163" s="27">
        <v>0</v>
      </c>
      <c r="AE163" s="28">
        <f>SUMIFS(T_REAL!$D:$D,T_REAL!$E:$E,DRE!AE$7,T_REAL!$C:$C,DRE!$A163)+SUMIFS(Aut_Ajustes_Manuais!$G:$G,Aut_Ajustes_Manuais!$I:$I,DRE!AC$4,Aut_Ajustes_Manuais!$F:$F,"  -  Aux. Manutenção II")</f>
        <v>0</v>
      </c>
      <c r="AF163" s="241"/>
      <c r="AG163" s="27">
        <v>0</v>
      </c>
      <c r="AH163" s="28">
        <f>SUMIFS(T_REAL!$D:$D,T_REAL!$E:$E,DRE!AH$7,T_REAL!$C:$C,DRE!$A163)+SUMIFS(Aut_Ajustes_Manuais!$G:$G,Aut_Ajustes_Manuais!$I:$I,DRE!AF$4,Aut_Ajustes_Manuais!$F:$F,"  -  Aux. Manutenção II")</f>
        <v>0</v>
      </c>
      <c r="AI163" s="241"/>
      <c r="AJ163" s="27">
        <v>0</v>
      </c>
      <c r="AK163" s="28">
        <f>SUMIFS(T_REAL!$D:$D,T_REAL!$E:$E,DRE!AK$7,T_REAL!$C:$C,DRE!$A163)+SUMIFS(Aut_Ajustes_Manuais!$G:$G,Aut_Ajustes_Manuais!$I:$I,DRE!AI$4,Aut_Ajustes_Manuais!$F:$F,"  -  Aux. Manutenção II")</f>
        <v>0</v>
      </c>
      <c r="AL163" s="241"/>
      <c r="AM163" s="27">
        <v>0</v>
      </c>
      <c r="AN163" s="28">
        <f>SUMIFS(T_REAL!$D:$D,T_REAL!$E:$E,DRE!AN$7,T_REAL!$C:$C,DRE!$A163)+SUMIFS(Aut_Ajustes_Manuais!$G:$G,Aut_Ajustes_Manuais!$I:$I,DRE!AL$4,Aut_Ajustes_Manuais!$F:$F,"  -  Aux. Manutenção II")</f>
        <v>0</v>
      </c>
      <c r="AO163" s="241"/>
      <c r="AP163" s="27">
        <v>0</v>
      </c>
      <c r="AQ163" s="28">
        <f>SUMIFS(T_REAL!$D:$D,T_REAL!$E:$E,DRE!AQ$7,T_REAL!$C:$C,DRE!$A163)+SUMIFS(Aut_Ajustes_Manuais!$G:$G,Aut_Ajustes_Manuais!$I:$I,DRE!AO$4,Aut_Ajustes_Manuais!$F:$F,"  -  Aux. Manutenção II")</f>
        <v>0</v>
      </c>
      <c r="AR163" s="241">
        <f t="shared" ca="1" si="144"/>
        <v>0</v>
      </c>
      <c r="AS163" s="27">
        <f t="shared" ca="1" si="145"/>
        <v>0</v>
      </c>
      <c r="AT163" s="28">
        <f t="shared" ca="1" si="146"/>
        <v>0</v>
      </c>
      <c r="AU163" s="241"/>
      <c r="AV163" s="27"/>
      <c r="AW163" s="28"/>
      <c r="AX163" s="241"/>
      <c r="AY163" s="27">
        <v>0</v>
      </c>
      <c r="AZ163" s="28"/>
      <c r="BA163" s="241"/>
      <c r="BB163" s="27">
        <v>0</v>
      </c>
      <c r="BC163" s="28"/>
      <c r="BD163" s="241"/>
      <c r="BE163" s="27">
        <v>0</v>
      </c>
      <c r="BF163" s="28"/>
      <c r="BG163" s="241"/>
      <c r="BH163" s="27">
        <v>0</v>
      </c>
      <c r="BI163" s="28"/>
    </row>
    <row r="164" spans="1:61" s="29" customFormat="1" hidden="1" outlineLevel="1" x14ac:dyDescent="0.3">
      <c r="A164" s="95" t="s">
        <v>187</v>
      </c>
      <c r="B164" s="2"/>
      <c r="C164" s="24"/>
      <c r="D164" s="55" t="s">
        <v>144</v>
      </c>
      <c r="E164" s="87"/>
      <c r="F164" s="56"/>
      <c r="G164" s="33"/>
      <c r="H164" s="241"/>
      <c r="I164" s="27">
        <v>0</v>
      </c>
      <c r="J164" s="28">
        <f>SUMIFS(T_REAL!$D:$D,T_REAL!$E:$E,DRE!J$7,T_REAL!$C:$C,DRE!$A164)+SUMIFS(Aut_Ajustes_Manuais!$G:$G,Aut_Ajustes_Manuais!$I:$I,DRE!H$4,Aut_Ajustes_Manuais!$F:$F,"  -  Aux. Manutenção I")</f>
        <v>0</v>
      </c>
      <c r="K164" s="241"/>
      <c r="L164" s="27">
        <v>0</v>
      </c>
      <c r="M164" s="28">
        <f>SUMIFS(T_REAL!$D:$D,T_REAL!$E:$E,DRE!M$7,T_REAL!$C:$C,DRE!$A164)+SUMIFS(Aut_Ajustes_Manuais!$G:$G,Aut_Ajustes_Manuais!$I:$I,DRE!K$4,Aut_Ajustes_Manuais!$F:$F,"  -  Aux. Manutenção I")</f>
        <v>0</v>
      </c>
      <c r="N164" s="241"/>
      <c r="O164" s="27">
        <v>0</v>
      </c>
      <c r="P164" s="28">
        <f>SUMIFS(T_REAL!$D:$D,T_REAL!$E:$E,DRE!P$7,T_REAL!$C:$C,DRE!$A164)+SUMIFS(Aut_Ajustes_Manuais!$G:$G,Aut_Ajustes_Manuais!$I:$I,DRE!N$4,Aut_Ajustes_Manuais!$F:$F,"  -  Aux. Manutenção I")</f>
        <v>0</v>
      </c>
      <c r="Q164" s="241"/>
      <c r="R164" s="27">
        <v>0</v>
      </c>
      <c r="S164" s="28">
        <f>SUMIFS(T_REAL!$D:$D,T_REAL!$E:$E,DRE!S$7,T_REAL!$C:$C,DRE!$A164)+SUMIFS(Aut_Ajustes_Manuais!$G:$G,Aut_Ajustes_Manuais!$I:$I,DRE!Q$4,Aut_Ajustes_Manuais!$F:$F,"  -  Aux. Manutenção I")</f>
        <v>0</v>
      </c>
      <c r="T164" s="241"/>
      <c r="U164" s="27">
        <v>0</v>
      </c>
      <c r="V164" s="28">
        <f>SUMIFS(T_REAL!$D:$D,T_REAL!$E:$E,DRE!V$7,T_REAL!$C:$C,DRE!$A164)+SUMIFS(Aut_Ajustes_Manuais!$G:$G,Aut_Ajustes_Manuais!$I:$I,DRE!T$4,Aut_Ajustes_Manuais!$F:$F,"  -  Aux. Manutenção I")</f>
        <v>0</v>
      </c>
      <c r="W164" s="241"/>
      <c r="X164" s="27">
        <v>0</v>
      </c>
      <c r="Y164" s="28">
        <f>SUMIFS(T_REAL!$D:$D,T_REAL!$E:$E,DRE!Y$7,T_REAL!$C:$C,DRE!$A164)+SUMIFS(Aut_Ajustes_Manuais!$G:$G,Aut_Ajustes_Manuais!$I:$I,DRE!W$4,Aut_Ajustes_Manuais!$F:$F,"  -  Aux. Manutenção I")</f>
        <v>0</v>
      </c>
      <c r="Z164" s="241"/>
      <c r="AA164" s="27">
        <v>0</v>
      </c>
      <c r="AB164" s="28">
        <f>SUMIFS(T_REAL!$D:$D,T_REAL!$E:$E,DRE!AB$7,T_REAL!$C:$C,DRE!$A164)+SUMIFS(Aut_Ajustes_Manuais!$G:$G,Aut_Ajustes_Manuais!$I:$I,DRE!Z$4,Aut_Ajustes_Manuais!$F:$F,"  -  Aux. Manutenção I")</f>
        <v>0</v>
      </c>
      <c r="AC164" s="241"/>
      <c r="AD164" s="27">
        <v>0</v>
      </c>
      <c r="AE164" s="28">
        <f>SUMIFS(T_REAL!$D:$D,T_REAL!$E:$E,DRE!AE$7,T_REAL!$C:$C,DRE!$A164)+SUMIFS(Aut_Ajustes_Manuais!$G:$G,Aut_Ajustes_Manuais!$I:$I,DRE!AC$4,Aut_Ajustes_Manuais!$F:$F,"  -  Aux. Manutenção I")</f>
        <v>0</v>
      </c>
      <c r="AF164" s="241"/>
      <c r="AG164" s="27">
        <v>0</v>
      </c>
      <c r="AH164" s="28">
        <f>SUMIFS(T_REAL!$D:$D,T_REAL!$E:$E,DRE!AH$7,T_REAL!$C:$C,DRE!$A164)+SUMIFS(Aut_Ajustes_Manuais!$G:$G,Aut_Ajustes_Manuais!$I:$I,DRE!AF$4,Aut_Ajustes_Manuais!$F:$F,"  -  Aux. Manutenção I")</f>
        <v>0</v>
      </c>
      <c r="AI164" s="241"/>
      <c r="AJ164" s="27">
        <v>0</v>
      </c>
      <c r="AK164" s="28">
        <f>SUMIFS(T_REAL!$D:$D,T_REAL!$E:$E,DRE!AK$7,T_REAL!$C:$C,DRE!$A164)+SUMIFS(Aut_Ajustes_Manuais!$G:$G,Aut_Ajustes_Manuais!$I:$I,DRE!AI$4,Aut_Ajustes_Manuais!$F:$F,"  -  Aux. Manutenção I")</f>
        <v>0</v>
      </c>
      <c r="AL164" s="241"/>
      <c r="AM164" s="27">
        <v>0</v>
      </c>
      <c r="AN164" s="28">
        <f>SUMIFS(T_REAL!$D:$D,T_REAL!$E:$E,DRE!AN$7,T_REAL!$C:$C,DRE!$A164)+SUMIFS(Aut_Ajustes_Manuais!$G:$G,Aut_Ajustes_Manuais!$I:$I,DRE!AL$4,Aut_Ajustes_Manuais!$F:$F,"  -  Aux. Manutenção I")</f>
        <v>0</v>
      </c>
      <c r="AO164" s="241"/>
      <c r="AP164" s="27">
        <v>0</v>
      </c>
      <c r="AQ164" s="28">
        <f>SUMIFS(T_REAL!$D:$D,T_REAL!$E:$E,DRE!AQ$7,T_REAL!$C:$C,DRE!$A164)+SUMIFS(Aut_Ajustes_Manuais!$G:$G,Aut_Ajustes_Manuais!$I:$I,DRE!AO$4,Aut_Ajustes_Manuais!$F:$F,"  -  Aux. Manutenção I")</f>
        <v>0</v>
      </c>
      <c r="AR164" s="241">
        <f t="shared" ca="1" si="144"/>
        <v>0</v>
      </c>
      <c r="AS164" s="27">
        <f t="shared" ca="1" si="145"/>
        <v>0</v>
      </c>
      <c r="AT164" s="28">
        <f t="shared" ca="1" si="146"/>
        <v>0</v>
      </c>
      <c r="AU164" s="241"/>
      <c r="AV164" s="27"/>
      <c r="AW164" s="28"/>
      <c r="AX164" s="241"/>
      <c r="AY164" s="27">
        <v>0</v>
      </c>
      <c r="AZ164" s="28"/>
      <c r="BA164" s="241"/>
      <c r="BB164" s="27">
        <v>0</v>
      </c>
      <c r="BC164" s="28"/>
      <c r="BD164" s="241"/>
      <c r="BE164" s="27">
        <v>0</v>
      </c>
      <c r="BF164" s="28"/>
      <c r="BG164" s="241"/>
      <c r="BH164" s="27">
        <v>0</v>
      </c>
      <c r="BI164" s="28"/>
    </row>
    <row r="165" spans="1:61" s="29" customFormat="1" hidden="1" outlineLevel="1" x14ac:dyDescent="0.3">
      <c r="A165" s="95" t="s">
        <v>188</v>
      </c>
      <c r="B165" s="2"/>
      <c r="C165" s="24"/>
      <c r="D165" s="55" t="s">
        <v>144</v>
      </c>
      <c r="E165" s="87"/>
      <c r="F165" s="56"/>
      <c r="G165" s="33"/>
      <c r="H165" s="241"/>
      <c r="I165" s="27">
        <v>0</v>
      </c>
      <c r="J165" s="28">
        <f>SUMIFS(T_REAL!$D:$D,T_REAL!$E:$E,DRE!J$7,T_REAL!$C:$C,DRE!$A165)+SUMIFS(Aut_Ajustes_Manuais!$G:$G,Aut_Ajustes_Manuais!$I:$I,DRE!H$4,Aut_Ajustes_Manuais!$F:$F,"  -  Chefe da Portaria")</f>
        <v>0</v>
      </c>
      <c r="K165" s="241"/>
      <c r="L165" s="27">
        <v>0</v>
      </c>
      <c r="M165" s="28">
        <f>SUMIFS(T_REAL!$D:$D,T_REAL!$E:$E,DRE!M$7,T_REAL!$C:$C,DRE!$A165)+SUMIFS(Aut_Ajustes_Manuais!$G:$G,Aut_Ajustes_Manuais!$I:$I,DRE!K$4,Aut_Ajustes_Manuais!$F:$F,"  -  Chefe da Portaria")</f>
        <v>0</v>
      </c>
      <c r="N165" s="241"/>
      <c r="O165" s="27">
        <v>0</v>
      </c>
      <c r="P165" s="28">
        <f>SUMIFS(T_REAL!$D:$D,T_REAL!$E:$E,DRE!P$7,T_REAL!$C:$C,DRE!$A165)+SUMIFS(Aut_Ajustes_Manuais!$G:$G,Aut_Ajustes_Manuais!$I:$I,DRE!N$4,Aut_Ajustes_Manuais!$F:$F,"  -  Chefe da Portaria")</f>
        <v>0</v>
      </c>
      <c r="Q165" s="241"/>
      <c r="R165" s="27">
        <v>0</v>
      </c>
      <c r="S165" s="28">
        <f>SUMIFS(T_REAL!$D:$D,T_REAL!$E:$E,DRE!S$7,T_REAL!$C:$C,DRE!$A165)+SUMIFS(Aut_Ajustes_Manuais!$G:$G,Aut_Ajustes_Manuais!$I:$I,DRE!Q$4,Aut_Ajustes_Manuais!$F:$F,"  -  Chefe da Portaria")</f>
        <v>0</v>
      </c>
      <c r="T165" s="241"/>
      <c r="U165" s="27">
        <v>0</v>
      </c>
      <c r="V165" s="28">
        <f>SUMIFS(T_REAL!$D:$D,T_REAL!$E:$E,DRE!V$7,T_REAL!$C:$C,DRE!$A165)+SUMIFS(Aut_Ajustes_Manuais!$G:$G,Aut_Ajustes_Manuais!$I:$I,DRE!T$4,Aut_Ajustes_Manuais!$F:$F,"  -  Chefe da Portaria")</f>
        <v>0</v>
      </c>
      <c r="W165" s="241"/>
      <c r="X165" s="27">
        <v>0</v>
      </c>
      <c r="Y165" s="28">
        <f>SUMIFS(T_REAL!$D:$D,T_REAL!$E:$E,DRE!Y$7,T_REAL!$C:$C,DRE!$A165)+SUMIFS(Aut_Ajustes_Manuais!$G:$G,Aut_Ajustes_Manuais!$I:$I,DRE!W$4,Aut_Ajustes_Manuais!$F:$F,"  -  Chefe da Portaria")</f>
        <v>0</v>
      </c>
      <c r="Z165" s="241"/>
      <c r="AA165" s="27">
        <v>0</v>
      </c>
      <c r="AB165" s="28">
        <f>SUMIFS(T_REAL!$D:$D,T_REAL!$E:$E,DRE!AB$7,T_REAL!$C:$C,DRE!$A165)+SUMIFS(Aut_Ajustes_Manuais!$G:$G,Aut_Ajustes_Manuais!$I:$I,DRE!Z$4,Aut_Ajustes_Manuais!$F:$F,"  -  Chefe da Portaria")</f>
        <v>0</v>
      </c>
      <c r="AC165" s="241"/>
      <c r="AD165" s="27">
        <v>0</v>
      </c>
      <c r="AE165" s="28">
        <f>SUMIFS(T_REAL!$D:$D,T_REAL!$E:$E,DRE!AE$7,T_REAL!$C:$C,DRE!$A165)+SUMIFS(Aut_Ajustes_Manuais!$G:$G,Aut_Ajustes_Manuais!$I:$I,DRE!AC$4,Aut_Ajustes_Manuais!$F:$F,"  -  Chefe da Portaria")</f>
        <v>0</v>
      </c>
      <c r="AF165" s="241"/>
      <c r="AG165" s="27">
        <v>0</v>
      </c>
      <c r="AH165" s="28">
        <f>SUMIFS(T_REAL!$D:$D,T_REAL!$E:$E,DRE!AH$7,T_REAL!$C:$C,DRE!$A165)+SUMIFS(Aut_Ajustes_Manuais!$G:$G,Aut_Ajustes_Manuais!$I:$I,DRE!AF$4,Aut_Ajustes_Manuais!$F:$F,"  -  Chefe da Portaria")</f>
        <v>0</v>
      </c>
      <c r="AI165" s="241"/>
      <c r="AJ165" s="27">
        <v>0</v>
      </c>
      <c r="AK165" s="28">
        <f>SUMIFS(T_REAL!$D:$D,T_REAL!$E:$E,DRE!AK$7,T_REAL!$C:$C,DRE!$A165)+SUMIFS(Aut_Ajustes_Manuais!$G:$G,Aut_Ajustes_Manuais!$I:$I,DRE!AI$4,Aut_Ajustes_Manuais!$F:$F,"  -  Chefe da Portaria")</f>
        <v>0</v>
      </c>
      <c r="AL165" s="241"/>
      <c r="AM165" s="27">
        <v>0</v>
      </c>
      <c r="AN165" s="28">
        <f>SUMIFS(T_REAL!$D:$D,T_REAL!$E:$E,DRE!AN$7,T_REAL!$C:$C,DRE!$A165)+SUMIFS(Aut_Ajustes_Manuais!$G:$G,Aut_Ajustes_Manuais!$I:$I,DRE!AL$4,Aut_Ajustes_Manuais!$F:$F,"  -  Chefe da Portaria")</f>
        <v>0</v>
      </c>
      <c r="AO165" s="241"/>
      <c r="AP165" s="27">
        <v>0</v>
      </c>
      <c r="AQ165" s="28">
        <f>SUMIFS(T_REAL!$D:$D,T_REAL!$E:$E,DRE!AQ$7,T_REAL!$C:$C,DRE!$A165)+SUMIFS(Aut_Ajustes_Manuais!$G:$G,Aut_Ajustes_Manuais!$I:$I,DRE!AO$4,Aut_Ajustes_Manuais!$F:$F,"  -  Chefe da Portaria")</f>
        <v>0</v>
      </c>
      <c r="AR165" s="241">
        <f t="shared" ca="1" si="144"/>
        <v>0</v>
      </c>
      <c r="AS165" s="27">
        <f t="shared" ca="1" si="145"/>
        <v>0</v>
      </c>
      <c r="AT165" s="28">
        <f t="shared" ca="1" si="146"/>
        <v>0</v>
      </c>
      <c r="AU165" s="241"/>
      <c r="AV165" s="27"/>
      <c r="AW165" s="28"/>
      <c r="AX165" s="241"/>
      <c r="AY165" s="27">
        <v>0</v>
      </c>
      <c r="AZ165" s="28"/>
      <c r="BA165" s="241"/>
      <c r="BB165" s="27">
        <v>0</v>
      </c>
      <c r="BC165" s="28"/>
      <c r="BD165" s="241"/>
      <c r="BE165" s="27">
        <v>0</v>
      </c>
      <c r="BF165" s="28"/>
      <c r="BG165" s="241"/>
      <c r="BH165" s="27">
        <v>0</v>
      </c>
      <c r="BI165" s="28"/>
    </row>
    <row r="166" spans="1:61" s="29" customFormat="1" hidden="1" outlineLevel="1" x14ac:dyDescent="0.3">
      <c r="A166" s="95" t="s">
        <v>189</v>
      </c>
      <c r="B166" s="2"/>
      <c r="C166" s="24"/>
      <c r="D166" s="55" t="s">
        <v>144</v>
      </c>
      <c r="E166" s="87"/>
      <c r="F166" s="56"/>
      <c r="G166" s="33"/>
      <c r="H166" s="241"/>
      <c r="I166" s="27">
        <v>0</v>
      </c>
      <c r="J166" s="28">
        <f>SUMIFS(T_REAL!$D:$D,T_REAL!$E:$E,DRE!J$7,T_REAL!$C:$C,DRE!$A166)+SUMIFS(Aut_Ajustes_Manuais!$G:$G,Aut_Ajustes_Manuais!$I:$I,DRE!H$4,Aut_Ajustes_Manuais!$F:$F,"  -  Porteiro III")</f>
        <v>0</v>
      </c>
      <c r="K166" s="241"/>
      <c r="L166" s="27">
        <v>0</v>
      </c>
      <c r="M166" s="28">
        <f>SUMIFS(T_REAL!$D:$D,T_REAL!$E:$E,DRE!M$7,T_REAL!$C:$C,DRE!$A166)+SUMIFS(Aut_Ajustes_Manuais!$G:$G,Aut_Ajustes_Manuais!$I:$I,DRE!K$4,Aut_Ajustes_Manuais!$F:$F,"  -  Porteiro III")</f>
        <v>0</v>
      </c>
      <c r="N166" s="241"/>
      <c r="O166" s="27">
        <v>0</v>
      </c>
      <c r="P166" s="28">
        <f>SUMIFS(T_REAL!$D:$D,T_REAL!$E:$E,DRE!P$7,T_REAL!$C:$C,DRE!$A166)+SUMIFS(Aut_Ajustes_Manuais!$G:$G,Aut_Ajustes_Manuais!$I:$I,DRE!N$4,Aut_Ajustes_Manuais!$F:$F,"  -  Porteiro III")</f>
        <v>0</v>
      </c>
      <c r="Q166" s="241"/>
      <c r="R166" s="27">
        <v>0</v>
      </c>
      <c r="S166" s="28">
        <f>SUMIFS(T_REAL!$D:$D,T_REAL!$E:$E,DRE!S$7,T_REAL!$C:$C,DRE!$A166)+SUMIFS(Aut_Ajustes_Manuais!$G:$G,Aut_Ajustes_Manuais!$I:$I,DRE!Q$4,Aut_Ajustes_Manuais!$F:$F,"  -  Porteiro III")</f>
        <v>0</v>
      </c>
      <c r="T166" s="241"/>
      <c r="U166" s="27">
        <v>0</v>
      </c>
      <c r="V166" s="28">
        <f>SUMIFS(T_REAL!$D:$D,T_REAL!$E:$E,DRE!V$7,T_REAL!$C:$C,DRE!$A166)+SUMIFS(Aut_Ajustes_Manuais!$G:$G,Aut_Ajustes_Manuais!$I:$I,DRE!T$4,Aut_Ajustes_Manuais!$F:$F,"  -  Porteiro III")</f>
        <v>0</v>
      </c>
      <c r="W166" s="241"/>
      <c r="X166" s="27">
        <v>0</v>
      </c>
      <c r="Y166" s="28">
        <f>SUMIFS(T_REAL!$D:$D,T_REAL!$E:$E,DRE!Y$7,T_REAL!$C:$C,DRE!$A166)+SUMIFS(Aut_Ajustes_Manuais!$G:$G,Aut_Ajustes_Manuais!$I:$I,DRE!W$4,Aut_Ajustes_Manuais!$F:$F,"  -  Porteiro III")</f>
        <v>0</v>
      </c>
      <c r="Z166" s="241"/>
      <c r="AA166" s="27">
        <v>0</v>
      </c>
      <c r="AB166" s="28">
        <f>SUMIFS(T_REAL!$D:$D,T_REAL!$E:$E,DRE!AB$7,T_REAL!$C:$C,DRE!$A166)+SUMIFS(Aut_Ajustes_Manuais!$G:$G,Aut_Ajustes_Manuais!$I:$I,DRE!Z$4,Aut_Ajustes_Manuais!$F:$F,"  -  Porteiro III")</f>
        <v>0</v>
      </c>
      <c r="AC166" s="241"/>
      <c r="AD166" s="27">
        <v>0</v>
      </c>
      <c r="AE166" s="28">
        <f>SUMIFS(T_REAL!$D:$D,T_REAL!$E:$E,DRE!AE$7,T_REAL!$C:$C,DRE!$A166)+SUMIFS(Aut_Ajustes_Manuais!$G:$G,Aut_Ajustes_Manuais!$I:$I,DRE!AC$4,Aut_Ajustes_Manuais!$F:$F,"  -  Porteiro III")</f>
        <v>0</v>
      </c>
      <c r="AF166" s="241"/>
      <c r="AG166" s="27">
        <v>0</v>
      </c>
      <c r="AH166" s="28">
        <f>SUMIFS(T_REAL!$D:$D,T_REAL!$E:$E,DRE!AH$7,T_REAL!$C:$C,DRE!$A166)+SUMIFS(Aut_Ajustes_Manuais!$G:$G,Aut_Ajustes_Manuais!$I:$I,DRE!AF$4,Aut_Ajustes_Manuais!$F:$F,"  -  Porteiro III")</f>
        <v>0</v>
      </c>
      <c r="AI166" s="241"/>
      <c r="AJ166" s="27">
        <v>0</v>
      </c>
      <c r="AK166" s="28">
        <f>SUMIFS(T_REAL!$D:$D,T_REAL!$E:$E,DRE!AK$7,T_REAL!$C:$C,DRE!$A166)+SUMIFS(Aut_Ajustes_Manuais!$G:$G,Aut_Ajustes_Manuais!$I:$I,DRE!AI$4,Aut_Ajustes_Manuais!$F:$F,"  -  Porteiro III")</f>
        <v>0</v>
      </c>
      <c r="AL166" s="241"/>
      <c r="AM166" s="27">
        <v>0</v>
      </c>
      <c r="AN166" s="28">
        <f>SUMIFS(T_REAL!$D:$D,T_REAL!$E:$E,DRE!AN$7,T_REAL!$C:$C,DRE!$A166)+SUMIFS(Aut_Ajustes_Manuais!$G:$G,Aut_Ajustes_Manuais!$I:$I,DRE!AL$4,Aut_Ajustes_Manuais!$F:$F,"  -  Porteiro III")</f>
        <v>0</v>
      </c>
      <c r="AO166" s="241"/>
      <c r="AP166" s="27">
        <v>0</v>
      </c>
      <c r="AQ166" s="28">
        <f>SUMIFS(T_REAL!$D:$D,T_REAL!$E:$E,DRE!AQ$7,T_REAL!$C:$C,DRE!$A166)+SUMIFS(Aut_Ajustes_Manuais!$G:$G,Aut_Ajustes_Manuais!$I:$I,DRE!AO$4,Aut_Ajustes_Manuais!$F:$F,"  -  Porteiro III")</f>
        <v>0</v>
      </c>
      <c r="AR166" s="241">
        <f t="shared" ca="1" si="144"/>
        <v>0</v>
      </c>
      <c r="AS166" s="27">
        <f t="shared" ca="1" si="145"/>
        <v>0</v>
      </c>
      <c r="AT166" s="28">
        <f t="shared" ca="1" si="146"/>
        <v>0</v>
      </c>
      <c r="AU166" s="241"/>
      <c r="AV166" s="27"/>
      <c r="AW166" s="28"/>
      <c r="AX166" s="241"/>
      <c r="AY166" s="27">
        <v>0</v>
      </c>
      <c r="AZ166" s="28"/>
      <c r="BA166" s="241"/>
      <c r="BB166" s="27">
        <v>0</v>
      </c>
      <c r="BC166" s="28"/>
      <c r="BD166" s="241"/>
      <c r="BE166" s="27">
        <v>0</v>
      </c>
      <c r="BF166" s="28"/>
      <c r="BG166" s="241"/>
      <c r="BH166" s="27">
        <v>0</v>
      </c>
      <c r="BI166" s="28"/>
    </row>
    <row r="167" spans="1:61" s="29" customFormat="1" hidden="1" outlineLevel="1" x14ac:dyDescent="0.3">
      <c r="A167" s="95" t="s">
        <v>190</v>
      </c>
      <c r="B167" s="2"/>
      <c r="C167" s="24"/>
      <c r="D167" s="55" t="s">
        <v>144</v>
      </c>
      <c r="E167" s="87"/>
      <c r="F167" s="56"/>
      <c r="G167" s="33"/>
      <c r="H167" s="241"/>
      <c r="I167" s="27">
        <v>0</v>
      </c>
      <c r="J167" s="28">
        <f>SUMIFS(T_REAL!$D:$D,T_REAL!$E:$E,DRE!J$7,T_REAL!$C:$C,DRE!$A167)+SUMIFS(Aut_Ajustes_Manuais!$G:$G,Aut_Ajustes_Manuais!$I:$I,DRE!H$4,Aut_Ajustes_Manuais!$F:$F,"  -  Porteiro II")</f>
        <v>0</v>
      </c>
      <c r="K167" s="241"/>
      <c r="L167" s="27">
        <v>0</v>
      </c>
      <c r="M167" s="28">
        <f>SUMIFS(T_REAL!$D:$D,T_REAL!$E:$E,DRE!M$7,T_REAL!$C:$C,DRE!$A167)+SUMIFS(Aut_Ajustes_Manuais!$G:$G,Aut_Ajustes_Manuais!$I:$I,DRE!K$4,Aut_Ajustes_Manuais!$F:$F,"  -  Porteiro II")</f>
        <v>0</v>
      </c>
      <c r="N167" s="241"/>
      <c r="O167" s="27">
        <v>0</v>
      </c>
      <c r="P167" s="28">
        <f>SUMIFS(T_REAL!$D:$D,T_REAL!$E:$E,DRE!P$7,T_REAL!$C:$C,DRE!$A167)+SUMIFS(Aut_Ajustes_Manuais!$G:$G,Aut_Ajustes_Manuais!$I:$I,DRE!N$4,Aut_Ajustes_Manuais!$F:$F,"  -  Porteiro II")</f>
        <v>0</v>
      </c>
      <c r="Q167" s="241"/>
      <c r="R167" s="27">
        <v>0</v>
      </c>
      <c r="S167" s="28">
        <f>SUMIFS(T_REAL!$D:$D,T_REAL!$E:$E,DRE!S$7,T_REAL!$C:$C,DRE!$A167)+SUMIFS(Aut_Ajustes_Manuais!$G:$G,Aut_Ajustes_Manuais!$I:$I,DRE!Q$4,Aut_Ajustes_Manuais!$F:$F,"  -  Porteiro II")</f>
        <v>0</v>
      </c>
      <c r="T167" s="241"/>
      <c r="U167" s="27">
        <v>0</v>
      </c>
      <c r="V167" s="28">
        <f>SUMIFS(T_REAL!$D:$D,T_REAL!$E:$E,DRE!V$7,T_REAL!$C:$C,DRE!$A167)+SUMIFS(Aut_Ajustes_Manuais!$G:$G,Aut_Ajustes_Manuais!$I:$I,DRE!T$4,Aut_Ajustes_Manuais!$F:$F,"  -  Porteiro II")</f>
        <v>0</v>
      </c>
      <c r="W167" s="241"/>
      <c r="X167" s="27">
        <v>0</v>
      </c>
      <c r="Y167" s="28">
        <f>SUMIFS(T_REAL!$D:$D,T_REAL!$E:$E,DRE!Y$7,T_REAL!$C:$C,DRE!$A167)+SUMIFS(Aut_Ajustes_Manuais!$G:$G,Aut_Ajustes_Manuais!$I:$I,DRE!W$4,Aut_Ajustes_Manuais!$F:$F,"  -  Porteiro II")</f>
        <v>0</v>
      </c>
      <c r="Z167" s="241"/>
      <c r="AA167" s="27">
        <v>0</v>
      </c>
      <c r="AB167" s="28">
        <f>SUMIFS(T_REAL!$D:$D,T_REAL!$E:$E,DRE!AB$7,T_REAL!$C:$C,DRE!$A167)+SUMIFS(Aut_Ajustes_Manuais!$G:$G,Aut_Ajustes_Manuais!$I:$I,DRE!Z$4,Aut_Ajustes_Manuais!$F:$F,"  -  Porteiro II")</f>
        <v>0</v>
      </c>
      <c r="AC167" s="241"/>
      <c r="AD167" s="27">
        <v>0</v>
      </c>
      <c r="AE167" s="28">
        <f>SUMIFS(T_REAL!$D:$D,T_REAL!$E:$E,DRE!AE$7,T_REAL!$C:$C,DRE!$A167)+SUMIFS(Aut_Ajustes_Manuais!$G:$G,Aut_Ajustes_Manuais!$I:$I,DRE!AC$4,Aut_Ajustes_Manuais!$F:$F,"  -  Porteiro II")</f>
        <v>0</v>
      </c>
      <c r="AF167" s="241"/>
      <c r="AG167" s="27">
        <v>0</v>
      </c>
      <c r="AH167" s="28">
        <f>SUMIFS(T_REAL!$D:$D,T_REAL!$E:$E,DRE!AH$7,T_REAL!$C:$C,DRE!$A167)+SUMIFS(Aut_Ajustes_Manuais!$G:$G,Aut_Ajustes_Manuais!$I:$I,DRE!AF$4,Aut_Ajustes_Manuais!$F:$F,"  -  Porteiro II")</f>
        <v>0</v>
      </c>
      <c r="AI167" s="241"/>
      <c r="AJ167" s="27">
        <v>0</v>
      </c>
      <c r="AK167" s="28">
        <f>SUMIFS(T_REAL!$D:$D,T_REAL!$E:$E,DRE!AK$7,T_REAL!$C:$C,DRE!$A167)+SUMIFS(Aut_Ajustes_Manuais!$G:$G,Aut_Ajustes_Manuais!$I:$I,DRE!AI$4,Aut_Ajustes_Manuais!$F:$F,"  -  Porteiro II")</f>
        <v>0</v>
      </c>
      <c r="AL167" s="241"/>
      <c r="AM167" s="27">
        <v>0</v>
      </c>
      <c r="AN167" s="28">
        <f>SUMIFS(T_REAL!$D:$D,T_REAL!$E:$E,DRE!AN$7,T_REAL!$C:$C,DRE!$A167)+SUMIFS(Aut_Ajustes_Manuais!$G:$G,Aut_Ajustes_Manuais!$I:$I,DRE!AL$4,Aut_Ajustes_Manuais!$F:$F,"  -  Porteiro II")</f>
        <v>0</v>
      </c>
      <c r="AO167" s="241"/>
      <c r="AP167" s="27">
        <v>0</v>
      </c>
      <c r="AQ167" s="28">
        <f>SUMIFS(T_REAL!$D:$D,T_REAL!$E:$E,DRE!AQ$7,T_REAL!$C:$C,DRE!$A167)+SUMIFS(Aut_Ajustes_Manuais!$G:$G,Aut_Ajustes_Manuais!$I:$I,DRE!AO$4,Aut_Ajustes_Manuais!$F:$F,"  -  Porteiro II")</f>
        <v>0</v>
      </c>
      <c r="AR167" s="241">
        <f t="shared" ca="1" si="144"/>
        <v>0</v>
      </c>
      <c r="AS167" s="27">
        <f t="shared" ca="1" si="145"/>
        <v>0</v>
      </c>
      <c r="AT167" s="28">
        <f t="shared" ca="1" si="146"/>
        <v>0</v>
      </c>
      <c r="AU167" s="241"/>
      <c r="AV167" s="27"/>
      <c r="AW167" s="28"/>
      <c r="AX167" s="241"/>
      <c r="AY167" s="27">
        <v>0</v>
      </c>
      <c r="AZ167" s="28"/>
      <c r="BA167" s="241"/>
      <c r="BB167" s="27">
        <v>0</v>
      </c>
      <c r="BC167" s="28"/>
      <c r="BD167" s="241"/>
      <c r="BE167" s="27">
        <v>0</v>
      </c>
      <c r="BF167" s="28"/>
      <c r="BG167" s="241"/>
      <c r="BH167" s="27">
        <v>0</v>
      </c>
      <c r="BI167" s="28"/>
    </row>
    <row r="168" spans="1:61" s="29" customFormat="1" hidden="1" outlineLevel="1" x14ac:dyDescent="0.3">
      <c r="A168" s="95" t="s">
        <v>191</v>
      </c>
      <c r="B168" s="2"/>
      <c r="C168" s="24"/>
      <c r="D168" s="55" t="s">
        <v>144</v>
      </c>
      <c r="E168" s="87"/>
      <c r="F168" s="56"/>
      <c r="G168" s="33"/>
      <c r="H168" s="241"/>
      <c r="I168" s="27">
        <v>0</v>
      </c>
      <c r="J168" s="28">
        <f>SUMIFS(T_REAL!$D:$D,T_REAL!$E:$E,DRE!J$7,T_REAL!$C:$C,DRE!$A168)+SUMIFS(Aut_Ajustes_Manuais!$G:$G,Aut_Ajustes_Manuais!$I:$I,DRE!H$4,Aut_Ajustes_Manuais!$F:$F,"  -  Porteiro I")</f>
        <v>0</v>
      </c>
      <c r="K168" s="241"/>
      <c r="L168" s="27">
        <v>0</v>
      </c>
      <c r="M168" s="28">
        <f>SUMIFS(T_REAL!$D:$D,T_REAL!$E:$E,DRE!M$7,T_REAL!$C:$C,DRE!$A168)+SUMIFS(Aut_Ajustes_Manuais!$G:$G,Aut_Ajustes_Manuais!$I:$I,DRE!K$4,Aut_Ajustes_Manuais!$F:$F,"  -  Porteiro I")</f>
        <v>0</v>
      </c>
      <c r="N168" s="241"/>
      <c r="O168" s="27">
        <v>0</v>
      </c>
      <c r="P168" s="28">
        <f>SUMIFS(T_REAL!$D:$D,T_REAL!$E:$E,DRE!P$7,T_REAL!$C:$C,DRE!$A168)+SUMIFS(Aut_Ajustes_Manuais!$G:$G,Aut_Ajustes_Manuais!$I:$I,DRE!N$4,Aut_Ajustes_Manuais!$F:$F,"  -  Porteiro I")</f>
        <v>0</v>
      </c>
      <c r="Q168" s="241"/>
      <c r="R168" s="27">
        <v>0</v>
      </c>
      <c r="S168" s="28">
        <f>SUMIFS(T_REAL!$D:$D,T_REAL!$E:$E,DRE!S$7,T_REAL!$C:$C,DRE!$A168)+SUMIFS(Aut_Ajustes_Manuais!$G:$G,Aut_Ajustes_Manuais!$I:$I,DRE!Q$4,Aut_Ajustes_Manuais!$F:$F,"  -  Porteiro I")</f>
        <v>0</v>
      </c>
      <c r="T168" s="241"/>
      <c r="U168" s="27">
        <v>0</v>
      </c>
      <c r="V168" s="28">
        <f>SUMIFS(T_REAL!$D:$D,T_REAL!$E:$E,DRE!V$7,T_REAL!$C:$C,DRE!$A168)+SUMIFS(Aut_Ajustes_Manuais!$G:$G,Aut_Ajustes_Manuais!$I:$I,DRE!T$4,Aut_Ajustes_Manuais!$F:$F,"  -  Porteiro I")</f>
        <v>0</v>
      </c>
      <c r="W168" s="241"/>
      <c r="X168" s="27">
        <v>0</v>
      </c>
      <c r="Y168" s="28">
        <f>SUMIFS(T_REAL!$D:$D,T_REAL!$E:$E,DRE!Y$7,T_REAL!$C:$C,DRE!$A168)+SUMIFS(Aut_Ajustes_Manuais!$G:$G,Aut_Ajustes_Manuais!$I:$I,DRE!W$4,Aut_Ajustes_Manuais!$F:$F,"  -  Porteiro I")</f>
        <v>0</v>
      </c>
      <c r="Z168" s="241"/>
      <c r="AA168" s="27">
        <v>0</v>
      </c>
      <c r="AB168" s="28">
        <f>SUMIFS(T_REAL!$D:$D,T_REAL!$E:$E,DRE!AB$7,T_REAL!$C:$C,DRE!$A168)+SUMIFS(Aut_Ajustes_Manuais!$G:$G,Aut_Ajustes_Manuais!$I:$I,DRE!Z$4,Aut_Ajustes_Manuais!$F:$F,"  -  Porteiro I")</f>
        <v>0</v>
      </c>
      <c r="AC168" s="241"/>
      <c r="AD168" s="27">
        <v>0</v>
      </c>
      <c r="AE168" s="28">
        <f>SUMIFS(T_REAL!$D:$D,T_REAL!$E:$E,DRE!AE$7,T_REAL!$C:$C,DRE!$A168)+SUMIFS(Aut_Ajustes_Manuais!$G:$G,Aut_Ajustes_Manuais!$I:$I,DRE!AC$4,Aut_Ajustes_Manuais!$F:$F,"  -  Porteiro I")</f>
        <v>0</v>
      </c>
      <c r="AF168" s="241"/>
      <c r="AG168" s="27">
        <v>0</v>
      </c>
      <c r="AH168" s="28">
        <f>SUMIFS(T_REAL!$D:$D,T_REAL!$E:$E,DRE!AH$7,T_REAL!$C:$C,DRE!$A168)+SUMIFS(Aut_Ajustes_Manuais!$G:$G,Aut_Ajustes_Manuais!$I:$I,DRE!AF$4,Aut_Ajustes_Manuais!$F:$F,"  -  Porteiro I")</f>
        <v>0</v>
      </c>
      <c r="AI168" s="241"/>
      <c r="AJ168" s="27">
        <v>0</v>
      </c>
      <c r="AK168" s="28">
        <f>SUMIFS(T_REAL!$D:$D,T_REAL!$E:$E,DRE!AK$7,T_REAL!$C:$C,DRE!$A168)+SUMIFS(Aut_Ajustes_Manuais!$G:$G,Aut_Ajustes_Manuais!$I:$I,DRE!AI$4,Aut_Ajustes_Manuais!$F:$F,"  -  Porteiro I")</f>
        <v>0</v>
      </c>
      <c r="AL168" s="241"/>
      <c r="AM168" s="27">
        <v>0</v>
      </c>
      <c r="AN168" s="28">
        <f>SUMIFS(T_REAL!$D:$D,T_REAL!$E:$E,DRE!AN$7,T_REAL!$C:$C,DRE!$A168)+SUMIFS(Aut_Ajustes_Manuais!$G:$G,Aut_Ajustes_Manuais!$I:$I,DRE!AL$4,Aut_Ajustes_Manuais!$F:$F,"  -  Porteiro I")</f>
        <v>0</v>
      </c>
      <c r="AO168" s="241"/>
      <c r="AP168" s="27">
        <v>0</v>
      </c>
      <c r="AQ168" s="28">
        <f>SUMIFS(T_REAL!$D:$D,T_REAL!$E:$E,DRE!AQ$7,T_REAL!$C:$C,DRE!$A168)+SUMIFS(Aut_Ajustes_Manuais!$G:$G,Aut_Ajustes_Manuais!$I:$I,DRE!AO$4,Aut_Ajustes_Manuais!$F:$F,"  -  Porteiro I")</f>
        <v>0</v>
      </c>
      <c r="AR168" s="241">
        <f t="shared" ca="1" si="144"/>
        <v>0</v>
      </c>
      <c r="AS168" s="27">
        <f t="shared" ca="1" si="145"/>
        <v>0</v>
      </c>
      <c r="AT168" s="28">
        <f t="shared" ca="1" si="146"/>
        <v>0</v>
      </c>
      <c r="AU168" s="241"/>
      <c r="AV168" s="27"/>
      <c r="AW168" s="28"/>
      <c r="AX168" s="241"/>
      <c r="AY168" s="27">
        <v>0</v>
      </c>
      <c r="AZ168" s="28"/>
      <c r="BA168" s="241"/>
      <c r="BB168" s="27">
        <v>0</v>
      </c>
      <c r="BC168" s="28"/>
      <c r="BD168" s="241"/>
      <c r="BE168" s="27">
        <v>0</v>
      </c>
      <c r="BF168" s="28"/>
      <c r="BG168" s="241"/>
      <c r="BH168" s="27">
        <v>0</v>
      </c>
      <c r="BI168" s="28"/>
    </row>
    <row r="169" spans="1:61" s="29" customFormat="1" hidden="1" outlineLevel="1" x14ac:dyDescent="0.3">
      <c r="A169" s="95" t="s">
        <v>192</v>
      </c>
      <c r="B169" s="2"/>
      <c r="C169" s="24"/>
      <c r="D169" s="55" t="s">
        <v>144</v>
      </c>
      <c r="E169" s="87"/>
      <c r="F169" s="56"/>
      <c r="G169" s="33"/>
      <c r="H169" s="241"/>
      <c r="I169" s="27">
        <v>0</v>
      </c>
      <c r="J169" s="28">
        <f>SUMIFS(T_REAL!$D:$D,T_REAL!$E:$E,DRE!J$7,T_REAL!$C:$C,DRE!$A169)+SUMIFS(Aut_Ajustes_Manuais!$G:$G,Aut_Ajustes_Manuais!$I:$I,DRE!H$4,Aut_Ajustes_Manuais!$F:$F,"  -  Hostess III")</f>
        <v>0</v>
      </c>
      <c r="K169" s="241"/>
      <c r="L169" s="27">
        <v>0</v>
      </c>
      <c r="M169" s="28">
        <f>SUMIFS(T_REAL!$D:$D,T_REAL!$E:$E,DRE!M$7,T_REAL!$C:$C,DRE!$A169)+SUMIFS(Aut_Ajustes_Manuais!$G:$G,Aut_Ajustes_Manuais!$I:$I,DRE!K$4,Aut_Ajustes_Manuais!$F:$F,"  -  Hostess III")</f>
        <v>0</v>
      </c>
      <c r="N169" s="241"/>
      <c r="O169" s="27">
        <v>0</v>
      </c>
      <c r="P169" s="28">
        <f>SUMIFS(T_REAL!$D:$D,T_REAL!$E:$E,DRE!P$7,T_REAL!$C:$C,DRE!$A169)+SUMIFS(Aut_Ajustes_Manuais!$G:$G,Aut_Ajustes_Manuais!$I:$I,DRE!N$4,Aut_Ajustes_Manuais!$F:$F,"  -  Hostess III")</f>
        <v>0</v>
      </c>
      <c r="Q169" s="241"/>
      <c r="R169" s="27">
        <v>0</v>
      </c>
      <c r="S169" s="28">
        <f>SUMIFS(T_REAL!$D:$D,T_REAL!$E:$E,DRE!S$7,T_REAL!$C:$C,DRE!$A169)+SUMIFS(Aut_Ajustes_Manuais!$G:$G,Aut_Ajustes_Manuais!$I:$I,DRE!Q$4,Aut_Ajustes_Manuais!$F:$F,"  -  Hostess III")</f>
        <v>0</v>
      </c>
      <c r="T169" s="241"/>
      <c r="U169" s="27">
        <v>0</v>
      </c>
      <c r="V169" s="28">
        <f>SUMIFS(T_REAL!$D:$D,T_REAL!$E:$E,DRE!V$7,T_REAL!$C:$C,DRE!$A169)+SUMIFS(Aut_Ajustes_Manuais!$G:$G,Aut_Ajustes_Manuais!$I:$I,DRE!T$4,Aut_Ajustes_Manuais!$F:$F,"  -  Hostess III")</f>
        <v>0</v>
      </c>
      <c r="W169" s="241"/>
      <c r="X169" s="27">
        <v>0</v>
      </c>
      <c r="Y169" s="28">
        <f>SUMIFS(T_REAL!$D:$D,T_REAL!$E:$E,DRE!Y$7,T_REAL!$C:$C,DRE!$A169)+SUMIFS(Aut_Ajustes_Manuais!$G:$G,Aut_Ajustes_Manuais!$I:$I,DRE!W$4,Aut_Ajustes_Manuais!$F:$F,"  -  Hostess III")</f>
        <v>0</v>
      </c>
      <c r="Z169" s="241"/>
      <c r="AA169" s="27">
        <v>0</v>
      </c>
      <c r="AB169" s="28">
        <f>SUMIFS(T_REAL!$D:$D,T_REAL!$E:$E,DRE!AB$7,T_REAL!$C:$C,DRE!$A169)+SUMIFS(Aut_Ajustes_Manuais!$G:$G,Aut_Ajustes_Manuais!$I:$I,DRE!Z$4,Aut_Ajustes_Manuais!$F:$F,"  -  Hostess III")</f>
        <v>0</v>
      </c>
      <c r="AC169" s="241"/>
      <c r="AD169" s="27">
        <v>0</v>
      </c>
      <c r="AE169" s="28">
        <f>SUMIFS(T_REAL!$D:$D,T_REAL!$E:$E,DRE!AE$7,T_REAL!$C:$C,DRE!$A169)+SUMIFS(Aut_Ajustes_Manuais!$G:$G,Aut_Ajustes_Manuais!$I:$I,DRE!AC$4,Aut_Ajustes_Manuais!$F:$F,"  -  Hostess III")</f>
        <v>0</v>
      </c>
      <c r="AF169" s="241"/>
      <c r="AG169" s="27">
        <v>0</v>
      </c>
      <c r="AH169" s="28">
        <f>SUMIFS(T_REAL!$D:$D,T_REAL!$E:$E,DRE!AH$7,T_REAL!$C:$C,DRE!$A169)+SUMIFS(Aut_Ajustes_Manuais!$G:$G,Aut_Ajustes_Manuais!$I:$I,DRE!AF$4,Aut_Ajustes_Manuais!$F:$F,"  -  Hostess III")</f>
        <v>0</v>
      </c>
      <c r="AI169" s="241"/>
      <c r="AJ169" s="27">
        <v>0</v>
      </c>
      <c r="AK169" s="28">
        <f>SUMIFS(T_REAL!$D:$D,T_REAL!$E:$E,DRE!AK$7,T_REAL!$C:$C,DRE!$A169)+SUMIFS(Aut_Ajustes_Manuais!$G:$G,Aut_Ajustes_Manuais!$I:$I,DRE!AI$4,Aut_Ajustes_Manuais!$F:$F,"  -  Hostess III")</f>
        <v>0</v>
      </c>
      <c r="AL169" s="241"/>
      <c r="AM169" s="27">
        <v>0</v>
      </c>
      <c r="AN169" s="28">
        <f>SUMIFS(T_REAL!$D:$D,T_REAL!$E:$E,DRE!AN$7,T_REAL!$C:$C,DRE!$A169)+SUMIFS(Aut_Ajustes_Manuais!$G:$G,Aut_Ajustes_Manuais!$I:$I,DRE!AL$4,Aut_Ajustes_Manuais!$F:$F,"  -  Hostess III")</f>
        <v>0</v>
      </c>
      <c r="AO169" s="241"/>
      <c r="AP169" s="27">
        <v>0</v>
      </c>
      <c r="AQ169" s="28">
        <f>SUMIFS(T_REAL!$D:$D,T_REAL!$E:$E,DRE!AQ$7,T_REAL!$C:$C,DRE!$A169)+SUMIFS(Aut_Ajustes_Manuais!$G:$G,Aut_Ajustes_Manuais!$I:$I,DRE!AO$4,Aut_Ajustes_Manuais!$F:$F,"  -  Hostess III")</f>
        <v>0</v>
      </c>
      <c r="AR169" s="241">
        <f t="shared" ca="1" si="144"/>
        <v>0</v>
      </c>
      <c r="AS169" s="27">
        <f t="shared" ca="1" si="145"/>
        <v>0</v>
      </c>
      <c r="AT169" s="28">
        <f t="shared" ca="1" si="146"/>
        <v>0</v>
      </c>
      <c r="AU169" s="241"/>
      <c r="AV169" s="27"/>
      <c r="AW169" s="28"/>
      <c r="AX169" s="241"/>
      <c r="AY169" s="27">
        <v>0</v>
      </c>
      <c r="AZ169" s="28"/>
      <c r="BA169" s="241"/>
      <c r="BB169" s="27">
        <v>0</v>
      </c>
      <c r="BC169" s="28"/>
      <c r="BD169" s="241"/>
      <c r="BE169" s="27">
        <v>0</v>
      </c>
      <c r="BF169" s="28"/>
      <c r="BG169" s="241"/>
      <c r="BH169" s="27">
        <v>0</v>
      </c>
      <c r="BI169" s="28"/>
    </row>
    <row r="170" spans="1:61" s="29" customFormat="1" hidden="1" outlineLevel="1" x14ac:dyDescent="0.3">
      <c r="A170" s="95" t="s">
        <v>193</v>
      </c>
      <c r="B170" s="2"/>
      <c r="C170" s="24"/>
      <c r="D170" s="55" t="s">
        <v>144</v>
      </c>
      <c r="E170" s="87"/>
      <c r="F170" s="56"/>
      <c r="G170" s="33"/>
      <c r="H170" s="241"/>
      <c r="I170" s="27">
        <v>0</v>
      </c>
      <c r="J170" s="28">
        <f>SUMIFS(T_REAL!$D:$D,T_REAL!$E:$E,DRE!J$7,T_REAL!$C:$C,DRE!$A170)+SUMIFS(Aut_Ajustes_Manuais!$G:$G,Aut_Ajustes_Manuais!$I:$I,DRE!H$4,Aut_Ajustes_Manuais!$F:$F,"  -  Hostess II")</f>
        <v>0</v>
      </c>
      <c r="K170" s="241"/>
      <c r="L170" s="27">
        <v>0</v>
      </c>
      <c r="M170" s="28">
        <f>SUMIFS(T_REAL!$D:$D,T_REAL!$E:$E,DRE!M$7,T_REAL!$C:$C,DRE!$A170)+SUMIFS(Aut_Ajustes_Manuais!$G:$G,Aut_Ajustes_Manuais!$I:$I,DRE!K$4,Aut_Ajustes_Manuais!$F:$F,"  -  Hostess II")</f>
        <v>0</v>
      </c>
      <c r="N170" s="241"/>
      <c r="O170" s="27">
        <v>0</v>
      </c>
      <c r="P170" s="28">
        <f>SUMIFS(T_REAL!$D:$D,T_REAL!$E:$E,DRE!P$7,T_REAL!$C:$C,DRE!$A170)+SUMIFS(Aut_Ajustes_Manuais!$G:$G,Aut_Ajustes_Manuais!$I:$I,DRE!N$4,Aut_Ajustes_Manuais!$F:$F,"  -  Hostess II")</f>
        <v>0</v>
      </c>
      <c r="Q170" s="241"/>
      <c r="R170" s="27">
        <v>0</v>
      </c>
      <c r="S170" s="28">
        <f>SUMIFS(T_REAL!$D:$D,T_REAL!$E:$E,DRE!S$7,T_REAL!$C:$C,DRE!$A170)+SUMIFS(Aut_Ajustes_Manuais!$G:$G,Aut_Ajustes_Manuais!$I:$I,DRE!Q$4,Aut_Ajustes_Manuais!$F:$F,"  -  Hostess II")</f>
        <v>0</v>
      </c>
      <c r="T170" s="241"/>
      <c r="U170" s="27">
        <v>0</v>
      </c>
      <c r="V170" s="28">
        <f>SUMIFS(T_REAL!$D:$D,T_REAL!$E:$E,DRE!V$7,T_REAL!$C:$C,DRE!$A170)+SUMIFS(Aut_Ajustes_Manuais!$G:$G,Aut_Ajustes_Manuais!$I:$I,DRE!T$4,Aut_Ajustes_Manuais!$F:$F,"  -  Hostess II")</f>
        <v>0</v>
      </c>
      <c r="W170" s="241"/>
      <c r="X170" s="27">
        <v>0</v>
      </c>
      <c r="Y170" s="28">
        <f>SUMIFS(T_REAL!$D:$D,T_REAL!$E:$E,DRE!Y$7,T_REAL!$C:$C,DRE!$A170)+SUMIFS(Aut_Ajustes_Manuais!$G:$G,Aut_Ajustes_Manuais!$I:$I,DRE!W$4,Aut_Ajustes_Manuais!$F:$F,"  -  Hostess II")</f>
        <v>0</v>
      </c>
      <c r="Z170" s="241"/>
      <c r="AA170" s="27">
        <v>0</v>
      </c>
      <c r="AB170" s="28">
        <f>SUMIFS(T_REAL!$D:$D,T_REAL!$E:$E,DRE!AB$7,T_REAL!$C:$C,DRE!$A170)+SUMIFS(Aut_Ajustes_Manuais!$G:$G,Aut_Ajustes_Manuais!$I:$I,DRE!Z$4,Aut_Ajustes_Manuais!$F:$F,"  -  Hostess II")</f>
        <v>0</v>
      </c>
      <c r="AC170" s="241"/>
      <c r="AD170" s="27">
        <v>0</v>
      </c>
      <c r="AE170" s="28">
        <f>SUMIFS(T_REAL!$D:$D,T_REAL!$E:$E,DRE!AE$7,T_REAL!$C:$C,DRE!$A170)+SUMIFS(Aut_Ajustes_Manuais!$G:$G,Aut_Ajustes_Manuais!$I:$I,DRE!AC$4,Aut_Ajustes_Manuais!$F:$F,"  -  Hostess II")</f>
        <v>0</v>
      </c>
      <c r="AF170" s="241"/>
      <c r="AG170" s="27">
        <v>0</v>
      </c>
      <c r="AH170" s="28">
        <f>SUMIFS(T_REAL!$D:$D,T_REAL!$E:$E,DRE!AH$7,T_REAL!$C:$C,DRE!$A170)+SUMIFS(Aut_Ajustes_Manuais!$G:$G,Aut_Ajustes_Manuais!$I:$I,DRE!AF$4,Aut_Ajustes_Manuais!$F:$F,"  -  Hostess II")</f>
        <v>0</v>
      </c>
      <c r="AI170" s="241"/>
      <c r="AJ170" s="27">
        <v>0</v>
      </c>
      <c r="AK170" s="28">
        <f>SUMIFS(T_REAL!$D:$D,T_REAL!$E:$E,DRE!AK$7,T_REAL!$C:$C,DRE!$A170)+SUMIFS(Aut_Ajustes_Manuais!$G:$G,Aut_Ajustes_Manuais!$I:$I,DRE!AI$4,Aut_Ajustes_Manuais!$F:$F,"  -  Hostess II")</f>
        <v>0</v>
      </c>
      <c r="AL170" s="241"/>
      <c r="AM170" s="27">
        <v>0</v>
      </c>
      <c r="AN170" s="28">
        <f>SUMIFS(T_REAL!$D:$D,T_REAL!$E:$E,DRE!AN$7,T_REAL!$C:$C,DRE!$A170)+SUMIFS(Aut_Ajustes_Manuais!$G:$G,Aut_Ajustes_Manuais!$I:$I,DRE!AL$4,Aut_Ajustes_Manuais!$F:$F,"  -  Hostess II")</f>
        <v>0</v>
      </c>
      <c r="AO170" s="241"/>
      <c r="AP170" s="27">
        <v>0</v>
      </c>
      <c r="AQ170" s="28">
        <f>SUMIFS(T_REAL!$D:$D,T_REAL!$E:$E,DRE!AQ$7,T_REAL!$C:$C,DRE!$A170)+SUMIFS(Aut_Ajustes_Manuais!$G:$G,Aut_Ajustes_Manuais!$I:$I,DRE!AO$4,Aut_Ajustes_Manuais!$F:$F,"  -  Hostess II")</f>
        <v>0</v>
      </c>
      <c r="AR170" s="241">
        <f t="shared" ca="1" si="144"/>
        <v>0</v>
      </c>
      <c r="AS170" s="27">
        <f t="shared" ca="1" si="145"/>
        <v>0</v>
      </c>
      <c r="AT170" s="28">
        <f t="shared" ca="1" si="146"/>
        <v>0</v>
      </c>
      <c r="AU170" s="241"/>
      <c r="AV170" s="27"/>
      <c r="AW170" s="28"/>
      <c r="AX170" s="241"/>
      <c r="AY170" s="27">
        <v>0</v>
      </c>
      <c r="AZ170" s="28"/>
      <c r="BA170" s="241"/>
      <c r="BB170" s="27">
        <v>0</v>
      </c>
      <c r="BC170" s="28"/>
      <c r="BD170" s="241"/>
      <c r="BE170" s="27">
        <v>0</v>
      </c>
      <c r="BF170" s="28"/>
      <c r="BG170" s="241"/>
      <c r="BH170" s="27">
        <v>0</v>
      </c>
      <c r="BI170" s="28"/>
    </row>
    <row r="171" spans="1:61" s="29" customFormat="1" hidden="1" outlineLevel="1" x14ac:dyDescent="0.3">
      <c r="A171" s="95" t="s">
        <v>194</v>
      </c>
      <c r="B171" s="2"/>
      <c r="C171" s="24"/>
      <c r="D171" s="55" t="s">
        <v>144</v>
      </c>
      <c r="E171" s="87"/>
      <c r="F171" s="56"/>
      <c r="G171" s="33"/>
      <c r="H171" s="241"/>
      <c r="I171" s="27">
        <v>-2103.6</v>
      </c>
      <c r="J171" s="28">
        <f>SUMIFS(T_REAL!$D:$D,T_REAL!$E:$E,DRE!J$7,T_REAL!$C:$C,DRE!$A171)+SUMIFS(Aut_Ajustes_Manuais!$G:$G,Aut_Ajustes_Manuais!$I:$I,DRE!H$4,Aut_Ajustes_Manuais!$F:$F,"  -  Hostess I")</f>
        <v>0</v>
      </c>
      <c r="K171" s="241"/>
      <c r="L171" s="27">
        <v>-2103.6</v>
      </c>
      <c r="M171" s="28">
        <f>SUMIFS(T_REAL!$D:$D,T_REAL!$E:$E,DRE!M$7,T_REAL!$C:$C,DRE!$A171)+SUMIFS(Aut_Ajustes_Manuais!$G:$G,Aut_Ajustes_Manuais!$I:$I,DRE!K$4,Aut_Ajustes_Manuais!$F:$F,"  -  Hostess I")</f>
        <v>0</v>
      </c>
      <c r="N171" s="241"/>
      <c r="O171" s="27">
        <v>-2103.6</v>
      </c>
      <c r="P171" s="28">
        <f>SUMIFS(T_REAL!$D:$D,T_REAL!$E:$E,DRE!P$7,T_REAL!$C:$C,DRE!$A171)+SUMIFS(Aut_Ajustes_Manuais!$G:$G,Aut_Ajustes_Manuais!$I:$I,DRE!N$4,Aut_Ajustes_Manuais!$F:$F,"  -  Hostess I")</f>
        <v>0</v>
      </c>
      <c r="Q171" s="241"/>
      <c r="R171" s="27">
        <v>-2103.6</v>
      </c>
      <c r="S171" s="28">
        <f>SUMIFS(T_REAL!$D:$D,T_REAL!$E:$E,DRE!S$7,T_REAL!$C:$C,DRE!$A171)+SUMIFS(Aut_Ajustes_Manuais!$G:$G,Aut_Ajustes_Manuais!$I:$I,DRE!Q$4,Aut_Ajustes_Manuais!$F:$F,"  -  Hostess I")</f>
        <v>0</v>
      </c>
      <c r="T171" s="241"/>
      <c r="U171" s="27">
        <v>-2191.9512</v>
      </c>
      <c r="V171" s="28">
        <f>SUMIFS(T_REAL!$D:$D,T_REAL!$E:$E,DRE!V$7,T_REAL!$C:$C,DRE!$A171)+SUMIFS(Aut_Ajustes_Manuais!$G:$G,Aut_Ajustes_Manuais!$I:$I,DRE!T$4,Aut_Ajustes_Manuais!$F:$F,"  -  Hostess I")</f>
        <v>0</v>
      </c>
      <c r="W171" s="241"/>
      <c r="X171" s="27">
        <v>-2191.9512</v>
      </c>
      <c r="Y171" s="28">
        <f>SUMIFS(T_REAL!$D:$D,T_REAL!$E:$E,DRE!Y$7,T_REAL!$C:$C,DRE!$A171)+SUMIFS(Aut_Ajustes_Manuais!$G:$G,Aut_Ajustes_Manuais!$I:$I,DRE!W$4,Aut_Ajustes_Manuais!$F:$F,"  -  Hostess I")</f>
        <v>0</v>
      </c>
      <c r="Z171" s="241"/>
      <c r="AA171" s="27">
        <v>-2191.9512</v>
      </c>
      <c r="AB171" s="28">
        <f>SUMIFS(T_REAL!$D:$D,T_REAL!$E:$E,DRE!AB$7,T_REAL!$C:$C,DRE!$A171)+SUMIFS(Aut_Ajustes_Manuais!$G:$G,Aut_Ajustes_Manuais!$I:$I,DRE!Z$4,Aut_Ajustes_Manuais!$F:$F,"  -  Hostess I")</f>
        <v>0</v>
      </c>
      <c r="AC171" s="241"/>
      <c r="AD171" s="27">
        <v>-2191.9512</v>
      </c>
      <c r="AE171" s="28">
        <f>SUMIFS(T_REAL!$D:$D,T_REAL!$E:$E,DRE!AE$7,T_REAL!$C:$C,DRE!$A171)+SUMIFS(Aut_Ajustes_Manuais!$G:$G,Aut_Ajustes_Manuais!$I:$I,DRE!AC$4,Aut_Ajustes_Manuais!$F:$F,"  -  Hostess I")</f>
        <v>0</v>
      </c>
      <c r="AF171" s="241"/>
      <c r="AG171" s="27">
        <v>-2191.9512</v>
      </c>
      <c r="AH171" s="28">
        <f>SUMIFS(T_REAL!$D:$D,T_REAL!$E:$E,DRE!AH$7,T_REAL!$C:$C,DRE!$A171)+SUMIFS(Aut_Ajustes_Manuais!$G:$G,Aut_Ajustes_Manuais!$I:$I,DRE!AF$4,Aut_Ajustes_Manuais!$F:$F,"  -  Hostess I")</f>
        <v>0</v>
      </c>
      <c r="AI171" s="241"/>
      <c r="AJ171" s="27">
        <v>-2191.9512</v>
      </c>
      <c r="AK171" s="28">
        <f>SUMIFS(T_REAL!$D:$D,T_REAL!$E:$E,DRE!AK$7,T_REAL!$C:$C,DRE!$A171)+SUMIFS(Aut_Ajustes_Manuais!$G:$G,Aut_Ajustes_Manuais!$I:$I,DRE!AI$4,Aut_Ajustes_Manuais!$F:$F,"  -  Hostess I")</f>
        <v>0</v>
      </c>
      <c r="AL171" s="241"/>
      <c r="AM171" s="27">
        <v>-2191.9512</v>
      </c>
      <c r="AN171" s="28">
        <f>SUMIFS(T_REAL!$D:$D,T_REAL!$E:$E,DRE!AN$7,T_REAL!$C:$C,DRE!$A171)+SUMIFS(Aut_Ajustes_Manuais!$G:$G,Aut_Ajustes_Manuais!$I:$I,DRE!AL$4,Aut_Ajustes_Manuais!$F:$F,"  -  Hostess I")</f>
        <v>0</v>
      </c>
      <c r="AO171" s="241"/>
      <c r="AP171" s="27">
        <v>-2191.9512</v>
      </c>
      <c r="AQ171" s="28">
        <f>SUMIFS(T_REAL!$D:$D,T_REAL!$E:$E,DRE!AQ$7,T_REAL!$C:$C,DRE!$A171)+SUMIFS(Aut_Ajustes_Manuais!$G:$G,Aut_Ajustes_Manuais!$I:$I,DRE!AO$4,Aut_Ajustes_Manuais!$F:$F,"  -  Hostess I")</f>
        <v>0</v>
      </c>
      <c r="AR171" s="241">
        <f t="shared" ref="AR171:AR202" ca="1" si="147">SUMIFS($H171:$AO171,$H$5:$AO$5,"&lt;"&amp;MONTH(TODAY()),$H$6:$AO$6,"REAL 25")</f>
        <v>0</v>
      </c>
      <c r="AS171" s="27">
        <f t="shared" ref="AS171:AS202" ca="1" si="148">SUMIFS($I171:$AP171,$I$5:$AP$5,"&lt;"&amp;MONTH(TODAY()),$I$6:$AP$6,"ORÇADO ")</f>
        <v>-12798.302399999999</v>
      </c>
      <c r="AT171" s="28">
        <f t="shared" ref="AT171:AT202" ca="1" si="149">SUMIFS($J171:$AQ171,$J$5:$AQ$5,"&lt;"&amp;MONTH(TODAY()),$J$6:$AQ$6,"REAL 26")</f>
        <v>0</v>
      </c>
      <c r="AU171" s="241"/>
      <c r="AV171" s="27"/>
      <c r="AW171" s="28"/>
      <c r="AX171" s="241"/>
      <c r="AY171" s="27">
        <v>0</v>
      </c>
      <c r="AZ171" s="28"/>
      <c r="BA171" s="241"/>
      <c r="BB171" s="27">
        <v>0</v>
      </c>
      <c r="BC171" s="28"/>
      <c r="BD171" s="241"/>
      <c r="BE171" s="27">
        <v>0</v>
      </c>
      <c r="BF171" s="28"/>
      <c r="BG171" s="241"/>
      <c r="BH171" s="27">
        <v>0</v>
      </c>
      <c r="BI171" s="28"/>
    </row>
    <row r="172" spans="1:61" s="29" customFormat="1" hidden="1" outlineLevel="1" x14ac:dyDescent="0.3">
      <c r="A172" s="95" t="s">
        <v>195</v>
      </c>
      <c r="B172" s="2"/>
      <c r="C172" s="24"/>
      <c r="D172" s="55" t="s">
        <v>144</v>
      </c>
      <c r="E172" s="87"/>
      <c r="F172" s="56"/>
      <c r="G172" s="33"/>
      <c r="H172" s="241"/>
      <c r="I172" s="27">
        <v>0</v>
      </c>
      <c r="J172" s="28">
        <f>SUMIFS(T_REAL!$D:$D,T_REAL!$E:$E,DRE!J$7,T_REAL!$C:$C,DRE!$A172)+SUMIFS(Aut_Ajustes_Manuais!$G:$G,Aut_Ajustes_Manuais!$I:$I,DRE!H$4,Aut_Ajustes_Manuais!$F:$F,"  -  Chefe de Bilheteria")</f>
        <v>0</v>
      </c>
      <c r="K172" s="241"/>
      <c r="L172" s="27">
        <v>0</v>
      </c>
      <c r="M172" s="28">
        <f>SUMIFS(T_REAL!$D:$D,T_REAL!$E:$E,DRE!M$7,T_REAL!$C:$C,DRE!$A172)+SUMIFS(Aut_Ajustes_Manuais!$G:$G,Aut_Ajustes_Manuais!$I:$I,DRE!K$4,Aut_Ajustes_Manuais!$F:$F,"  -  Chefe de Bilheteria")</f>
        <v>0</v>
      </c>
      <c r="N172" s="241"/>
      <c r="O172" s="27">
        <v>0</v>
      </c>
      <c r="P172" s="28">
        <f>SUMIFS(T_REAL!$D:$D,T_REAL!$E:$E,DRE!P$7,T_REAL!$C:$C,DRE!$A172)+SUMIFS(Aut_Ajustes_Manuais!$G:$G,Aut_Ajustes_Manuais!$I:$I,DRE!N$4,Aut_Ajustes_Manuais!$F:$F,"  -  Chefe de Bilheteria")</f>
        <v>0</v>
      </c>
      <c r="Q172" s="241"/>
      <c r="R172" s="27">
        <v>0</v>
      </c>
      <c r="S172" s="28">
        <f>SUMIFS(T_REAL!$D:$D,T_REAL!$E:$E,DRE!S$7,T_REAL!$C:$C,DRE!$A172)+SUMIFS(Aut_Ajustes_Manuais!$G:$G,Aut_Ajustes_Manuais!$I:$I,DRE!Q$4,Aut_Ajustes_Manuais!$F:$F,"  -  Chefe de Bilheteria")</f>
        <v>0</v>
      </c>
      <c r="T172" s="241"/>
      <c r="U172" s="27">
        <v>0</v>
      </c>
      <c r="V172" s="28">
        <f>SUMIFS(T_REAL!$D:$D,T_REAL!$E:$E,DRE!V$7,T_REAL!$C:$C,DRE!$A172)+SUMIFS(Aut_Ajustes_Manuais!$G:$G,Aut_Ajustes_Manuais!$I:$I,DRE!T$4,Aut_Ajustes_Manuais!$F:$F,"  -  Chefe de Bilheteria")</f>
        <v>0</v>
      </c>
      <c r="W172" s="241"/>
      <c r="X172" s="27">
        <v>0</v>
      </c>
      <c r="Y172" s="28">
        <f>SUMIFS(T_REAL!$D:$D,T_REAL!$E:$E,DRE!Y$7,T_REAL!$C:$C,DRE!$A172)+SUMIFS(Aut_Ajustes_Manuais!$G:$G,Aut_Ajustes_Manuais!$I:$I,DRE!W$4,Aut_Ajustes_Manuais!$F:$F,"  -  Chefe de Bilheteria")</f>
        <v>0</v>
      </c>
      <c r="Z172" s="241"/>
      <c r="AA172" s="27">
        <v>0</v>
      </c>
      <c r="AB172" s="28">
        <f>SUMIFS(T_REAL!$D:$D,T_REAL!$E:$E,DRE!AB$7,T_REAL!$C:$C,DRE!$A172)+SUMIFS(Aut_Ajustes_Manuais!$G:$G,Aut_Ajustes_Manuais!$I:$I,DRE!Z$4,Aut_Ajustes_Manuais!$F:$F,"  -  Chefe de Bilheteria")</f>
        <v>0</v>
      </c>
      <c r="AC172" s="241"/>
      <c r="AD172" s="27">
        <v>0</v>
      </c>
      <c r="AE172" s="28">
        <f>SUMIFS(T_REAL!$D:$D,T_REAL!$E:$E,DRE!AE$7,T_REAL!$C:$C,DRE!$A172)+SUMIFS(Aut_Ajustes_Manuais!$G:$G,Aut_Ajustes_Manuais!$I:$I,DRE!AC$4,Aut_Ajustes_Manuais!$F:$F,"  -  Chefe de Bilheteria")</f>
        <v>0</v>
      </c>
      <c r="AF172" s="241"/>
      <c r="AG172" s="27">
        <v>0</v>
      </c>
      <c r="AH172" s="28">
        <f>SUMIFS(T_REAL!$D:$D,T_REAL!$E:$E,DRE!AH$7,T_REAL!$C:$C,DRE!$A172)+SUMIFS(Aut_Ajustes_Manuais!$G:$G,Aut_Ajustes_Manuais!$I:$I,DRE!AF$4,Aut_Ajustes_Manuais!$F:$F,"  -  Chefe de Bilheteria")</f>
        <v>0</v>
      </c>
      <c r="AI172" s="241"/>
      <c r="AJ172" s="27">
        <v>0</v>
      </c>
      <c r="AK172" s="28">
        <f>SUMIFS(T_REAL!$D:$D,T_REAL!$E:$E,DRE!AK$7,T_REAL!$C:$C,DRE!$A172)+SUMIFS(Aut_Ajustes_Manuais!$G:$G,Aut_Ajustes_Manuais!$I:$I,DRE!AI$4,Aut_Ajustes_Manuais!$F:$F,"  -  Chefe de Bilheteria")</f>
        <v>0</v>
      </c>
      <c r="AL172" s="241"/>
      <c r="AM172" s="27">
        <v>0</v>
      </c>
      <c r="AN172" s="28">
        <f>SUMIFS(T_REAL!$D:$D,T_REAL!$E:$E,DRE!AN$7,T_REAL!$C:$C,DRE!$A172)+SUMIFS(Aut_Ajustes_Manuais!$G:$G,Aut_Ajustes_Manuais!$I:$I,DRE!AL$4,Aut_Ajustes_Manuais!$F:$F,"  -  Chefe de Bilheteria")</f>
        <v>0</v>
      </c>
      <c r="AO172" s="241"/>
      <c r="AP172" s="27">
        <v>0</v>
      </c>
      <c r="AQ172" s="28">
        <f>SUMIFS(T_REAL!$D:$D,T_REAL!$E:$E,DRE!AQ$7,T_REAL!$C:$C,DRE!$A172)+SUMIFS(Aut_Ajustes_Manuais!$G:$G,Aut_Ajustes_Manuais!$I:$I,DRE!AO$4,Aut_Ajustes_Manuais!$F:$F,"  -  Chefe de Bilheteria")</f>
        <v>0</v>
      </c>
      <c r="AR172" s="241">
        <f t="shared" ca="1" si="147"/>
        <v>0</v>
      </c>
      <c r="AS172" s="27">
        <f t="shared" ca="1" si="148"/>
        <v>0</v>
      </c>
      <c r="AT172" s="28">
        <f t="shared" ca="1" si="149"/>
        <v>0</v>
      </c>
      <c r="AU172" s="241"/>
      <c r="AV172" s="27"/>
      <c r="AW172" s="28"/>
      <c r="AX172" s="241"/>
      <c r="AY172" s="27">
        <v>0</v>
      </c>
      <c r="AZ172" s="28"/>
      <c r="BA172" s="241"/>
      <c r="BB172" s="27">
        <v>0</v>
      </c>
      <c r="BC172" s="28"/>
      <c r="BD172" s="241"/>
      <c r="BE172" s="27">
        <v>0</v>
      </c>
      <c r="BF172" s="28"/>
      <c r="BG172" s="241"/>
      <c r="BH172" s="27">
        <v>0</v>
      </c>
      <c r="BI172" s="28"/>
    </row>
    <row r="173" spans="1:61" s="29" customFormat="1" hidden="1" outlineLevel="1" x14ac:dyDescent="0.3">
      <c r="A173" s="95" t="s">
        <v>196</v>
      </c>
      <c r="B173" s="2"/>
      <c r="C173" s="24"/>
      <c r="D173" s="55" t="s">
        <v>144</v>
      </c>
      <c r="E173" s="87"/>
      <c r="F173" s="56"/>
      <c r="G173" s="33"/>
      <c r="H173" s="241"/>
      <c r="I173" s="27">
        <v>0</v>
      </c>
      <c r="J173" s="28">
        <f>SUMIFS(T_REAL!$D:$D,T_REAL!$E:$E,DRE!J$7,T_REAL!$C:$C,DRE!$A173)+SUMIFS(Aut_Ajustes_Manuais!$G:$G,Aut_Ajustes_Manuais!$I:$I,DRE!H$4,Aut_Ajustes_Manuais!$F:$F,"  -  Bilheteiro III")</f>
        <v>0</v>
      </c>
      <c r="K173" s="241"/>
      <c r="L173" s="27">
        <v>0</v>
      </c>
      <c r="M173" s="28">
        <f>SUMIFS(T_REAL!$D:$D,T_REAL!$E:$E,DRE!M$7,T_REAL!$C:$C,DRE!$A173)+SUMIFS(Aut_Ajustes_Manuais!$G:$G,Aut_Ajustes_Manuais!$I:$I,DRE!K$4,Aut_Ajustes_Manuais!$F:$F,"  -  Bilheteiro III")</f>
        <v>0</v>
      </c>
      <c r="N173" s="241"/>
      <c r="O173" s="27">
        <v>0</v>
      </c>
      <c r="P173" s="28">
        <f>SUMIFS(T_REAL!$D:$D,T_REAL!$E:$E,DRE!P$7,T_REAL!$C:$C,DRE!$A173)+SUMIFS(Aut_Ajustes_Manuais!$G:$G,Aut_Ajustes_Manuais!$I:$I,DRE!N$4,Aut_Ajustes_Manuais!$F:$F,"  -  Bilheteiro III")</f>
        <v>0</v>
      </c>
      <c r="Q173" s="241"/>
      <c r="R173" s="27">
        <v>0</v>
      </c>
      <c r="S173" s="28">
        <f>SUMIFS(T_REAL!$D:$D,T_REAL!$E:$E,DRE!S$7,T_REAL!$C:$C,DRE!$A173)+SUMIFS(Aut_Ajustes_Manuais!$G:$G,Aut_Ajustes_Manuais!$I:$I,DRE!Q$4,Aut_Ajustes_Manuais!$F:$F,"  -  Bilheteiro III")</f>
        <v>0</v>
      </c>
      <c r="T173" s="241"/>
      <c r="U173" s="27">
        <v>0</v>
      </c>
      <c r="V173" s="28">
        <f>SUMIFS(T_REAL!$D:$D,T_REAL!$E:$E,DRE!V$7,T_REAL!$C:$C,DRE!$A173)+SUMIFS(Aut_Ajustes_Manuais!$G:$G,Aut_Ajustes_Manuais!$I:$I,DRE!T$4,Aut_Ajustes_Manuais!$F:$F,"  -  Bilheteiro III")</f>
        <v>0</v>
      </c>
      <c r="W173" s="241"/>
      <c r="X173" s="27">
        <v>0</v>
      </c>
      <c r="Y173" s="28">
        <f>SUMIFS(T_REAL!$D:$D,T_REAL!$E:$E,DRE!Y$7,T_REAL!$C:$C,DRE!$A173)+SUMIFS(Aut_Ajustes_Manuais!$G:$G,Aut_Ajustes_Manuais!$I:$I,DRE!W$4,Aut_Ajustes_Manuais!$F:$F,"  -  Bilheteiro III")</f>
        <v>0</v>
      </c>
      <c r="Z173" s="241"/>
      <c r="AA173" s="27">
        <v>0</v>
      </c>
      <c r="AB173" s="28">
        <f>SUMIFS(T_REAL!$D:$D,T_REAL!$E:$E,DRE!AB$7,T_REAL!$C:$C,DRE!$A173)+SUMIFS(Aut_Ajustes_Manuais!$G:$G,Aut_Ajustes_Manuais!$I:$I,DRE!Z$4,Aut_Ajustes_Manuais!$F:$F,"  -  Bilheteiro III")</f>
        <v>0</v>
      </c>
      <c r="AC173" s="241"/>
      <c r="AD173" s="27">
        <v>0</v>
      </c>
      <c r="AE173" s="28">
        <f>SUMIFS(T_REAL!$D:$D,T_REAL!$E:$E,DRE!AE$7,T_REAL!$C:$C,DRE!$A173)+SUMIFS(Aut_Ajustes_Manuais!$G:$G,Aut_Ajustes_Manuais!$I:$I,DRE!AC$4,Aut_Ajustes_Manuais!$F:$F,"  -  Bilheteiro III")</f>
        <v>0</v>
      </c>
      <c r="AF173" s="241"/>
      <c r="AG173" s="27">
        <v>0</v>
      </c>
      <c r="AH173" s="28">
        <f>SUMIFS(T_REAL!$D:$D,T_REAL!$E:$E,DRE!AH$7,T_REAL!$C:$C,DRE!$A173)+SUMIFS(Aut_Ajustes_Manuais!$G:$G,Aut_Ajustes_Manuais!$I:$I,DRE!AF$4,Aut_Ajustes_Manuais!$F:$F,"  -  Bilheteiro III")</f>
        <v>0</v>
      </c>
      <c r="AI173" s="241"/>
      <c r="AJ173" s="27">
        <v>0</v>
      </c>
      <c r="AK173" s="28">
        <f>SUMIFS(T_REAL!$D:$D,T_REAL!$E:$E,DRE!AK$7,T_REAL!$C:$C,DRE!$A173)+SUMIFS(Aut_Ajustes_Manuais!$G:$G,Aut_Ajustes_Manuais!$I:$I,DRE!AI$4,Aut_Ajustes_Manuais!$F:$F,"  -  Bilheteiro III")</f>
        <v>0</v>
      </c>
      <c r="AL173" s="241"/>
      <c r="AM173" s="27">
        <v>0</v>
      </c>
      <c r="AN173" s="28">
        <f>SUMIFS(T_REAL!$D:$D,T_REAL!$E:$E,DRE!AN$7,T_REAL!$C:$C,DRE!$A173)+SUMIFS(Aut_Ajustes_Manuais!$G:$G,Aut_Ajustes_Manuais!$I:$I,DRE!AL$4,Aut_Ajustes_Manuais!$F:$F,"  -  Bilheteiro III")</f>
        <v>0</v>
      </c>
      <c r="AO173" s="241"/>
      <c r="AP173" s="27">
        <v>0</v>
      </c>
      <c r="AQ173" s="28">
        <f>SUMIFS(T_REAL!$D:$D,T_REAL!$E:$E,DRE!AQ$7,T_REAL!$C:$C,DRE!$A173)+SUMIFS(Aut_Ajustes_Manuais!$G:$G,Aut_Ajustes_Manuais!$I:$I,DRE!AO$4,Aut_Ajustes_Manuais!$F:$F,"  -  Bilheteiro III")</f>
        <v>0</v>
      </c>
      <c r="AR173" s="241">
        <f t="shared" ca="1" si="147"/>
        <v>0</v>
      </c>
      <c r="AS173" s="27">
        <f t="shared" ca="1" si="148"/>
        <v>0</v>
      </c>
      <c r="AT173" s="28">
        <f t="shared" ca="1" si="149"/>
        <v>0</v>
      </c>
      <c r="AU173" s="241"/>
      <c r="AV173" s="27"/>
      <c r="AW173" s="28"/>
      <c r="AX173" s="241"/>
      <c r="AY173" s="27">
        <v>0</v>
      </c>
      <c r="AZ173" s="28"/>
      <c r="BA173" s="241"/>
      <c r="BB173" s="27">
        <v>0</v>
      </c>
      <c r="BC173" s="28"/>
      <c r="BD173" s="241"/>
      <c r="BE173" s="27">
        <v>0</v>
      </c>
      <c r="BF173" s="28"/>
      <c r="BG173" s="241"/>
      <c r="BH173" s="27">
        <v>0</v>
      </c>
      <c r="BI173" s="28"/>
    </row>
    <row r="174" spans="1:61" s="29" customFormat="1" hidden="1" outlineLevel="1" x14ac:dyDescent="0.3">
      <c r="A174" s="95" t="s">
        <v>197</v>
      </c>
      <c r="B174" s="2"/>
      <c r="C174" s="24"/>
      <c r="D174" s="55" t="s">
        <v>144</v>
      </c>
      <c r="E174" s="87"/>
      <c r="F174" s="56"/>
      <c r="G174" s="33"/>
      <c r="H174" s="241"/>
      <c r="I174" s="27">
        <v>0</v>
      </c>
      <c r="J174" s="28">
        <f>SUMIFS(T_REAL!$D:$D,T_REAL!$E:$E,DRE!J$7,T_REAL!$C:$C,DRE!$A174)+SUMIFS(Aut_Ajustes_Manuais!$G:$G,Aut_Ajustes_Manuais!$I:$I,DRE!H$4,Aut_Ajustes_Manuais!$F:$F,"  -  Bilheteiro II")</f>
        <v>0</v>
      </c>
      <c r="K174" s="241"/>
      <c r="L174" s="27">
        <v>0</v>
      </c>
      <c r="M174" s="28">
        <f>SUMIFS(T_REAL!$D:$D,T_REAL!$E:$E,DRE!M$7,T_REAL!$C:$C,DRE!$A174)+SUMIFS(Aut_Ajustes_Manuais!$G:$G,Aut_Ajustes_Manuais!$I:$I,DRE!K$4,Aut_Ajustes_Manuais!$F:$F,"  -  Bilheteiro II")</f>
        <v>0</v>
      </c>
      <c r="N174" s="241"/>
      <c r="O174" s="27">
        <v>0</v>
      </c>
      <c r="P174" s="28">
        <f>SUMIFS(T_REAL!$D:$D,T_REAL!$E:$E,DRE!P$7,T_REAL!$C:$C,DRE!$A174)+SUMIFS(Aut_Ajustes_Manuais!$G:$G,Aut_Ajustes_Manuais!$I:$I,DRE!N$4,Aut_Ajustes_Manuais!$F:$F,"  -  Bilheteiro II")</f>
        <v>0</v>
      </c>
      <c r="Q174" s="241"/>
      <c r="R174" s="27">
        <v>0</v>
      </c>
      <c r="S174" s="28">
        <f>SUMIFS(T_REAL!$D:$D,T_REAL!$E:$E,DRE!S$7,T_REAL!$C:$C,DRE!$A174)+SUMIFS(Aut_Ajustes_Manuais!$G:$G,Aut_Ajustes_Manuais!$I:$I,DRE!Q$4,Aut_Ajustes_Manuais!$F:$F,"  -  Bilheteiro II")</f>
        <v>0</v>
      </c>
      <c r="T174" s="241"/>
      <c r="U174" s="27">
        <v>0</v>
      </c>
      <c r="V174" s="28">
        <f>SUMIFS(T_REAL!$D:$D,T_REAL!$E:$E,DRE!V$7,T_REAL!$C:$C,DRE!$A174)+SUMIFS(Aut_Ajustes_Manuais!$G:$G,Aut_Ajustes_Manuais!$I:$I,DRE!T$4,Aut_Ajustes_Manuais!$F:$F,"  -  Bilheteiro II")</f>
        <v>0</v>
      </c>
      <c r="W174" s="241"/>
      <c r="X174" s="27">
        <v>0</v>
      </c>
      <c r="Y174" s="28">
        <f>SUMIFS(T_REAL!$D:$D,T_REAL!$E:$E,DRE!Y$7,T_REAL!$C:$C,DRE!$A174)+SUMIFS(Aut_Ajustes_Manuais!$G:$G,Aut_Ajustes_Manuais!$I:$I,DRE!W$4,Aut_Ajustes_Manuais!$F:$F,"  -  Bilheteiro II")</f>
        <v>0</v>
      </c>
      <c r="Z174" s="241"/>
      <c r="AA174" s="27">
        <v>0</v>
      </c>
      <c r="AB174" s="28">
        <f>SUMIFS(T_REAL!$D:$D,T_REAL!$E:$E,DRE!AB$7,T_REAL!$C:$C,DRE!$A174)+SUMIFS(Aut_Ajustes_Manuais!$G:$G,Aut_Ajustes_Manuais!$I:$I,DRE!Z$4,Aut_Ajustes_Manuais!$F:$F,"  -  Bilheteiro II")</f>
        <v>0</v>
      </c>
      <c r="AC174" s="241"/>
      <c r="AD174" s="27">
        <v>0</v>
      </c>
      <c r="AE174" s="28">
        <f>SUMIFS(T_REAL!$D:$D,T_REAL!$E:$E,DRE!AE$7,T_REAL!$C:$C,DRE!$A174)+SUMIFS(Aut_Ajustes_Manuais!$G:$G,Aut_Ajustes_Manuais!$I:$I,DRE!AC$4,Aut_Ajustes_Manuais!$F:$F,"  -  Bilheteiro II")</f>
        <v>0</v>
      </c>
      <c r="AF174" s="241"/>
      <c r="AG174" s="27">
        <v>0</v>
      </c>
      <c r="AH174" s="28">
        <f>SUMIFS(T_REAL!$D:$D,T_REAL!$E:$E,DRE!AH$7,T_REAL!$C:$C,DRE!$A174)+SUMIFS(Aut_Ajustes_Manuais!$G:$G,Aut_Ajustes_Manuais!$I:$I,DRE!AF$4,Aut_Ajustes_Manuais!$F:$F,"  -  Bilheteiro II")</f>
        <v>0</v>
      </c>
      <c r="AI174" s="241"/>
      <c r="AJ174" s="27">
        <v>0</v>
      </c>
      <c r="AK174" s="28">
        <f>SUMIFS(T_REAL!$D:$D,T_REAL!$E:$E,DRE!AK$7,T_REAL!$C:$C,DRE!$A174)+SUMIFS(Aut_Ajustes_Manuais!$G:$G,Aut_Ajustes_Manuais!$I:$I,DRE!AI$4,Aut_Ajustes_Manuais!$F:$F,"  -  Bilheteiro II")</f>
        <v>0</v>
      </c>
      <c r="AL174" s="241"/>
      <c r="AM174" s="27">
        <v>0</v>
      </c>
      <c r="AN174" s="28">
        <f>SUMIFS(T_REAL!$D:$D,T_REAL!$E:$E,DRE!AN$7,T_REAL!$C:$C,DRE!$A174)+SUMIFS(Aut_Ajustes_Manuais!$G:$G,Aut_Ajustes_Manuais!$I:$I,DRE!AL$4,Aut_Ajustes_Manuais!$F:$F,"  -  Bilheteiro II")</f>
        <v>0</v>
      </c>
      <c r="AO174" s="241"/>
      <c r="AP174" s="27">
        <v>0</v>
      </c>
      <c r="AQ174" s="28">
        <f>SUMIFS(T_REAL!$D:$D,T_REAL!$E:$E,DRE!AQ$7,T_REAL!$C:$C,DRE!$A174)+SUMIFS(Aut_Ajustes_Manuais!$G:$G,Aut_Ajustes_Manuais!$I:$I,DRE!AO$4,Aut_Ajustes_Manuais!$F:$F,"  -  Bilheteiro II")</f>
        <v>0</v>
      </c>
      <c r="AR174" s="241">
        <f t="shared" ca="1" si="147"/>
        <v>0</v>
      </c>
      <c r="AS174" s="27">
        <f t="shared" ca="1" si="148"/>
        <v>0</v>
      </c>
      <c r="AT174" s="28">
        <f t="shared" ca="1" si="149"/>
        <v>0</v>
      </c>
      <c r="AU174" s="241"/>
      <c r="AV174" s="27"/>
      <c r="AW174" s="28"/>
      <c r="AX174" s="241"/>
      <c r="AY174" s="27">
        <v>0</v>
      </c>
      <c r="AZ174" s="28"/>
      <c r="BA174" s="241"/>
      <c r="BB174" s="27">
        <v>0</v>
      </c>
      <c r="BC174" s="28"/>
      <c r="BD174" s="241"/>
      <c r="BE174" s="27">
        <v>0</v>
      </c>
      <c r="BF174" s="28"/>
      <c r="BG174" s="241"/>
      <c r="BH174" s="27">
        <v>0</v>
      </c>
      <c r="BI174" s="28"/>
    </row>
    <row r="175" spans="1:61" s="29" customFormat="1" hidden="1" outlineLevel="1" x14ac:dyDescent="0.3">
      <c r="A175" s="95" t="s">
        <v>198</v>
      </c>
      <c r="B175" s="2"/>
      <c r="C175" s="24"/>
      <c r="D175" s="55" t="s">
        <v>144</v>
      </c>
      <c r="E175" s="87"/>
      <c r="F175" s="56"/>
      <c r="G175" s="33"/>
      <c r="H175" s="241"/>
      <c r="I175" s="27">
        <v>0</v>
      </c>
      <c r="J175" s="28">
        <f>SUMIFS(T_REAL!$D:$D,T_REAL!$E:$E,DRE!J$7,T_REAL!$C:$C,DRE!$A175)+SUMIFS(Aut_Ajustes_Manuais!$G:$G,Aut_Ajustes_Manuais!$I:$I,DRE!H$4,Aut_Ajustes_Manuais!$F:$F,"  -  Bilheteiro I")</f>
        <v>0</v>
      </c>
      <c r="K175" s="241"/>
      <c r="L175" s="27">
        <v>0</v>
      </c>
      <c r="M175" s="28">
        <f>SUMIFS(T_REAL!$D:$D,T_REAL!$E:$E,DRE!M$7,T_REAL!$C:$C,DRE!$A175)+SUMIFS(Aut_Ajustes_Manuais!$G:$G,Aut_Ajustes_Manuais!$I:$I,DRE!K$4,Aut_Ajustes_Manuais!$F:$F,"  -  Bilheteiro I")</f>
        <v>0</v>
      </c>
      <c r="N175" s="241"/>
      <c r="O175" s="27">
        <v>0</v>
      </c>
      <c r="P175" s="28">
        <f>SUMIFS(T_REAL!$D:$D,T_REAL!$E:$E,DRE!P$7,T_REAL!$C:$C,DRE!$A175)+SUMIFS(Aut_Ajustes_Manuais!$G:$G,Aut_Ajustes_Manuais!$I:$I,DRE!N$4,Aut_Ajustes_Manuais!$F:$F,"  -  Bilheteiro I")</f>
        <v>0</v>
      </c>
      <c r="Q175" s="241"/>
      <c r="R175" s="27">
        <v>0</v>
      </c>
      <c r="S175" s="28">
        <f>SUMIFS(T_REAL!$D:$D,T_REAL!$E:$E,DRE!S$7,T_REAL!$C:$C,DRE!$A175)+SUMIFS(Aut_Ajustes_Manuais!$G:$G,Aut_Ajustes_Manuais!$I:$I,DRE!Q$4,Aut_Ajustes_Manuais!$F:$F,"  -  Bilheteiro I")</f>
        <v>0</v>
      </c>
      <c r="T175" s="241"/>
      <c r="U175" s="27">
        <v>0</v>
      </c>
      <c r="V175" s="28">
        <f>SUMIFS(T_REAL!$D:$D,T_REAL!$E:$E,DRE!V$7,T_REAL!$C:$C,DRE!$A175)+SUMIFS(Aut_Ajustes_Manuais!$G:$G,Aut_Ajustes_Manuais!$I:$I,DRE!T$4,Aut_Ajustes_Manuais!$F:$F,"  -  Bilheteiro I")</f>
        <v>0</v>
      </c>
      <c r="W175" s="241"/>
      <c r="X175" s="27">
        <v>0</v>
      </c>
      <c r="Y175" s="28">
        <f>SUMIFS(T_REAL!$D:$D,T_REAL!$E:$E,DRE!Y$7,T_REAL!$C:$C,DRE!$A175)+SUMIFS(Aut_Ajustes_Manuais!$G:$G,Aut_Ajustes_Manuais!$I:$I,DRE!W$4,Aut_Ajustes_Manuais!$F:$F,"  -  Bilheteiro I")</f>
        <v>0</v>
      </c>
      <c r="Z175" s="241"/>
      <c r="AA175" s="27">
        <v>0</v>
      </c>
      <c r="AB175" s="28">
        <f>SUMIFS(T_REAL!$D:$D,T_REAL!$E:$E,DRE!AB$7,T_REAL!$C:$C,DRE!$A175)+SUMIFS(Aut_Ajustes_Manuais!$G:$G,Aut_Ajustes_Manuais!$I:$I,DRE!Z$4,Aut_Ajustes_Manuais!$F:$F,"  -  Bilheteiro I")</f>
        <v>0</v>
      </c>
      <c r="AC175" s="241"/>
      <c r="AD175" s="27">
        <v>0</v>
      </c>
      <c r="AE175" s="28">
        <f>SUMIFS(T_REAL!$D:$D,T_REAL!$E:$E,DRE!AE$7,T_REAL!$C:$C,DRE!$A175)+SUMIFS(Aut_Ajustes_Manuais!$G:$G,Aut_Ajustes_Manuais!$I:$I,DRE!AC$4,Aut_Ajustes_Manuais!$F:$F,"  -  Bilheteiro I")</f>
        <v>0</v>
      </c>
      <c r="AF175" s="241"/>
      <c r="AG175" s="27">
        <v>0</v>
      </c>
      <c r="AH175" s="28">
        <f>SUMIFS(T_REAL!$D:$D,T_REAL!$E:$E,DRE!AH$7,T_REAL!$C:$C,DRE!$A175)+SUMIFS(Aut_Ajustes_Manuais!$G:$G,Aut_Ajustes_Manuais!$I:$I,DRE!AF$4,Aut_Ajustes_Manuais!$F:$F,"  -  Bilheteiro I")</f>
        <v>0</v>
      </c>
      <c r="AI175" s="241"/>
      <c r="AJ175" s="27">
        <v>0</v>
      </c>
      <c r="AK175" s="28">
        <f>SUMIFS(T_REAL!$D:$D,T_REAL!$E:$E,DRE!AK$7,T_REAL!$C:$C,DRE!$A175)+SUMIFS(Aut_Ajustes_Manuais!$G:$G,Aut_Ajustes_Manuais!$I:$I,DRE!AI$4,Aut_Ajustes_Manuais!$F:$F,"  -  Bilheteiro I")</f>
        <v>0</v>
      </c>
      <c r="AL175" s="241"/>
      <c r="AM175" s="27">
        <v>0</v>
      </c>
      <c r="AN175" s="28">
        <f>SUMIFS(T_REAL!$D:$D,T_REAL!$E:$E,DRE!AN$7,T_REAL!$C:$C,DRE!$A175)+SUMIFS(Aut_Ajustes_Manuais!$G:$G,Aut_Ajustes_Manuais!$I:$I,DRE!AL$4,Aut_Ajustes_Manuais!$F:$F,"  -  Bilheteiro I")</f>
        <v>0</v>
      </c>
      <c r="AO175" s="241"/>
      <c r="AP175" s="27">
        <v>0</v>
      </c>
      <c r="AQ175" s="28">
        <f>SUMIFS(T_REAL!$D:$D,T_REAL!$E:$E,DRE!AQ$7,T_REAL!$C:$C,DRE!$A175)+SUMIFS(Aut_Ajustes_Manuais!$G:$G,Aut_Ajustes_Manuais!$I:$I,DRE!AO$4,Aut_Ajustes_Manuais!$F:$F,"  -  Bilheteiro I")</f>
        <v>0</v>
      </c>
      <c r="AR175" s="241">
        <f t="shared" ca="1" si="147"/>
        <v>0</v>
      </c>
      <c r="AS175" s="27">
        <f t="shared" ca="1" si="148"/>
        <v>0</v>
      </c>
      <c r="AT175" s="28">
        <f t="shared" ca="1" si="149"/>
        <v>0</v>
      </c>
      <c r="AU175" s="241"/>
      <c r="AV175" s="27"/>
      <c r="AW175" s="28"/>
      <c r="AX175" s="241"/>
      <c r="AY175" s="27">
        <v>0</v>
      </c>
      <c r="AZ175" s="28"/>
      <c r="BA175" s="241"/>
      <c r="BB175" s="27">
        <v>0</v>
      </c>
      <c r="BC175" s="28"/>
      <c r="BD175" s="241"/>
      <c r="BE175" s="27">
        <v>0</v>
      </c>
      <c r="BF175" s="28"/>
      <c r="BG175" s="241"/>
      <c r="BH175" s="27">
        <v>0</v>
      </c>
      <c r="BI175" s="28"/>
    </row>
    <row r="176" spans="1:61" s="29" customFormat="1" hidden="1" outlineLevel="1" x14ac:dyDescent="0.3">
      <c r="A176" s="95" t="s">
        <v>199</v>
      </c>
      <c r="B176" s="2"/>
      <c r="C176" s="24"/>
      <c r="D176" s="55" t="s">
        <v>144</v>
      </c>
      <c r="E176" s="87"/>
      <c r="F176" s="56"/>
      <c r="G176" s="33"/>
      <c r="H176" s="241"/>
      <c r="I176" s="27">
        <v>0</v>
      </c>
      <c r="J176" s="28">
        <f>SUMIFS(T_REAL!$D:$D,T_REAL!$E:$E,DRE!J$7,T_REAL!$C:$C,DRE!$A176)+SUMIFS(Aut_Ajustes_Manuais!$G:$G,Aut_Ajustes_Manuais!$I:$I,DRE!H$4,Aut_Ajustes_Manuais!$F:$F,"  -  Caixa")</f>
        <v>0</v>
      </c>
      <c r="K176" s="241"/>
      <c r="L176" s="27">
        <v>0</v>
      </c>
      <c r="M176" s="28">
        <f>SUMIFS(T_REAL!$D:$D,T_REAL!$E:$E,DRE!M$7,T_REAL!$C:$C,DRE!$A176)+SUMIFS(Aut_Ajustes_Manuais!$G:$G,Aut_Ajustes_Manuais!$I:$I,DRE!K$4,Aut_Ajustes_Manuais!$F:$F,"  -  Caixa")</f>
        <v>0</v>
      </c>
      <c r="N176" s="241"/>
      <c r="O176" s="27">
        <v>0</v>
      </c>
      <c r="P176" s="28">
        <f>SUMIFS(T_REAL!$D:$D,T_REAL!$E:$E,DRE!P$7,T_REAL!$C:$C,DRE!$A176)+SUMIFS(Aut_Ajustes_Manuais!$G:$G,Aut_Ajustes_Manuais!$I:$I,DRE!N$4,Aut_Ajustes_Manuais!$F:$F,"  -  Caixa")</f>
        <v>0</v>
      </c>
      <c r="Q176" s="241"/>
      <c r="R176" s="27">
        <v>0</v>
      </c>
      <c r="S176" s="28">
        <f>SUMIFS(T_REAL!$D:$D,T_REAL!$E:$E,DRE!S$7,T_REAL!$C:$C,DRE!$A176)+SUMIFS(Aut_Ajustes_Manuais!$G:$G,Aut_Ajustes_Manuais!$I:$I,DRE!Q$4,Aut_Ajustes_Manuais!$F:$F,"  -  Caixa")</f>
        <v>0</v>
      </c>
      <c r="T176" s="241"/>
      <c r="U176" s="27">
        <v>0</v>
      </c>
      <c r="V176" s="28">
        <f>SUMIFS(T_REAL!$D:$D,T_REAL!$E:$E,DRE!V$7,T_REAL!$C:$C,DRE!$A176)+SUMIFS(Aut_Ajustes_Manuais!$G:$G,Aut_Ajustes_Manuais!$I:$I,DRE!T$4,Aut_Ajustes_Manuais!$F:$F,"  -  Caixa")</f>
        <v>0</v>
      </c>
      <c r="W176" s="241"/>
      <c r="X176" s="27">
        <v>0</v>
      </c>
      <c r="Y176" s="28">
        <f>SUMIFS(T_REAL!$D:$D,T_REAL!$E:$E,DRE!Y$7,T_REAL!$C:$C,DRE!$A176)+SUMIFS(Aut_Ajustes_Manuais!$G:$G,Aut_Ajustes_Manuais!$I:$I,DRE!W$4,Aut_Ajustes_Manuais!$F:$F,"  -  Caixa")</f>
        <v>0</v>
      </c>
      <c r="Z176" s="241"/>
      <c r="AA176" s="27">
        <v>0</v>
      </c>
      <c r="AB176" s="28">
        <f>SUMIFS(T_REAL!$D:$D,T_REAL!$E:$E,DRE!AB$7,T_REAL!$C:$C,DRE!$A176)+SUMIFS(Aut_Ajustes_Manuais!$G:$G,Aut_Ajustes_Manuais!$I:$I,DRE!Z$4,Aut_Ajustes_Manuais!$F:$F,"  -  Caixa")</f>
        <v>0</v>
      </c>
      <c r="AC176" s="241"/>
      <c r="AD176" s="27">
        <v>0</v>
      </c>
      <c r="AE176" s="28">
        <f>SUMIFS(T_REAL!$D:$D,T_REAL!$E:$E,DRE!AE$7,T_REAL!$C:$C,DRE!$A176)+SUMIFS(Aut_Ajustes_Manuais!$G:$G,Aut_Ajustes_Manuais!$I:$I,DRE!AC$4,Aut_Ajustes_Manuais!$F:$F,"  -  Caixa")</f>
        <v>0</v>
      </c>
      <c r="AF176" s="241"/>
      <c r="AG176" s="27">
        <v>0</v>
      </c>
      <c r="AH176" s="28">
        <f>SUMIFS(T_REAL!$D:$D,T_REAL!$E:$E,DRE!AH$7,T_REAL!$C:$C,DRE!$A176)+SUMIFS(Aut_Ajustes_Manuais!$G:$G,Aut_Ajustes_Manuais!$I:$I,DRE!AF$4,Aut_Ajustes_Manuais!$F:$F,"  -  Caixa")</f>
        <v>0</v>
      </c>
      <c r="AI176" s="241"/>
      <c r="AJ176" s="27">
        <v>0</v>
      </c>
      <c r="AK176" s="28">
        <f>SUMIFS(T_REAL!$D:$D,T_REAL!$E:$E,DRE!AK$7,T_REAL!$C:$C,DRE!$A176)+SUMIFS(Aut_Ajustes_Manuais!$G:$G,Aut_Ajustes_Manuais!$I:$I,DRE!AI$4,Aut_Ajustes_Manuais!$F:$F,"  -  Caixa")</f>
        <v>0</v>
      </c>
      <c r="AL176" s="241"/>
      <c r="AM176" s="27">
        <v>0</v>
      </c>
      <c r="AN176" s="28">
        <f>SUMIFS(T_REAL!$D:$D,T_REAL!$E:$E,DRE!AN$7,T_REAL!$C:$C,DRE!$A176)+SUMIFS(Aut_Ajustes_Manuais!$G:$G,Aut_Ajustes_Manuais!$I:$I,DRE!AL$4,Aut_Ajustes_Manuais!$F:$F,"  -  Caixa")</f>
        <v>0</v>
      </c>
      <c r="AO176" s="241"/>
      <c r="AP176" s="27">
        <v>0</v>
      </c>
      <c r="AQ176" s="28">
        <f>SUMIFS(T_REAL!$D:$D,T_REAL!$E:$E,DRE!AQ$7,T_REAL!$C:$C,DRE!$A176)+SUMIFS(Aut_Ajustes_Manuais!$G:$G,Aut_Ajustes_Manuais!$I:$I,DRE!AO$4,Aut_Ajustes_Manuais!$F:$F,"  -  Caixa")</f>
        <v>0</v>
      </c>
      <c r="AR176" s="241">
        <f t="shared" ca="1" si="147"/>
        <v>0</v>
      </c>
      <c r="AS176" s="27">
        <f t="shared" ca="1" si="148"/>
        <v>0</v>
      </c>
      <c r="AT176" s="28">
        <f t="shared" ca="1" si="149"/>
        <v>0</v>
      </c>
      <c r="AU176" s="241"/>
      <c r="AV176" s="27"/>
      <c r="AW176" s="28"/>
      <c r="AX176" s="241"/>
      <c r="AY176" s="27">
        <v>0</v>
      </c>
      <c r="AZ176" s="28"/>
      <c r="BA176" s="241"/>
      <c r="BB176" s="27">
        <v>0</v>
      </c>
      <c r="BC176" s="28"/>
      <c r="BD176" s="241"/>
      <c r="BE176" s="27">
        <v>0</v>
      </c>
      <c r="BF176" s="28"/>
      <c r="BG176" s="241"/>
      <c r="BH176" s="27">
        <v>0</v>
      </c>
      <c r="BI176" s="28"/>
    </row>
    <row r="177" spans="1:61" s="29" customFormat="1" hidden="1" outlineLevel="1" x14ac:dyDescent="0.3">
      <c r="A177" s="95" t="s">
        <v>200</v>
      </c>
      <c r="B177" s="2"/>
      <c r="C177" s="24"/>
      <c r="D177" s="55" t="s">
        <v>144</v>
      </c>
      <c r="E177" s="87"/>
      <c r="F177" s="56"/>
      <c r="G177" s="33"/>
      <c r="H177" s="241"/>
      <c r="I177" s="27">
        <v>0</v>
      </c>
      <c r="J177" s="28">
        <f>SUMIFS(T_REAL!$D:$D,T_REAL!$E:$E,DRE!J$7,T_REAL!$C:$C,DRE!$A177)+SUMIFS(Aut_Ajustes_Manuais!$G:$G,Aut_Ajustes_Manuais!$I:$I,DRE!H$4,Aut_Ajustes_Manuais!$F:$F,"  -  Operador de Delivery")</f>
        <v>0</v>
      </c>
      <c r="K177" s="241"/>
      <c r="L177" s="27">
        <v>0</v>
      </c>
      <c r="M177" s="28">
        <f>SUMIFS(T_REAL!$D:$D,T_REAL!$E:$E,DRE!M$7,T_REAL!$C:$C,DRE!$A177)+SUMIFS(Aut_Ajustes_Manuais!$G:$G,Aut_Ajustes_Manuais!$I:$I,DRE!K$4,Aut_Ajustes_Manuais!$F:$F,"  -  Operador de Delivery")</f>
        <v>0</v>
      </c>
      <c r="N177" s="241"/>
      <c r="O177" s="27">
        <v>0</v>
      </c>
      <c r="P177" s="28">
        <f>SUMIFS(T_REAL!$D:$D,T_REAL!$E:$E,DRE!P$7,T_REAL!$C:$C,DRE!$A177)+SUMIFS(Aut_Ajustes_Manuais!$G:$G,Aut_Ajustes_Manuais!$I:$I,DRE!N$4,Aut_Ajustes_Manuais!$F:$F,"  -  Operador de Delivery")</f>
        <v>0</v>
      </c>
      <c r="Q177" s="241"/>
      <c r="R177" s="27">
        <v>0</v>
      </c>
      <c r="S177" s="28">
        <f>SUMIFS(T_REAL!$D:$D,T_REAL!$E:$E,DRE!S$7,T_REAL!$C:$C,DRE!$A177)+SUMIFS(Aut_Ajustes_Manuais!$G:$G,Aut_Ajustes_Manuais!$I:$I,DRE!Q$4,Aut_Ajustes_Manuais!$F:$F,"  -  Operador de Delivery")</f>
        <v>0</v>
      </c>
      <c r="T177" s="241"/>
      <c r="U177" s="27">
        <v>0</v>
      </c>
      <c r="V177" s="28">
        <f>SUMIFS(T_REAL!$D:$D,T_REAL!$E:$E,DRE!V$7,T_REAL!$C:$C,DRE!$A177)+SUMIFS(Aut_Ajustes_Manuais!$G:$G,Aut_Ajustes_Manuais!$I:$I,DRE!T$4,Aut_Ajustes_Manuais!$F:$F,"  -  Operador de Delivery")</f>
        <v>0</v>
      </c>
      <c r="W177" s="241"/>
      <c r="X177" s="27">
        <v>0</v>
      </c>
      <c r="Y177" s="28">
        <f>SUMIFS(T_REAL!$D:$D,T_REAL!$E:$E,DRE!Y$7,T_REAL!$C:$C,DRE!$A177)+SUMIFS(Aut_Ajustes_Manuais!$G:$G,Aut_Ajustes_Manuais!$I:$I,DRE!W$4,Aut_Ajustes_Manuais!$F:$F,"  -  Operador de Delivery")</f>
        <v>0</v>
      </c>
      <c r="Z177" s="241"/>
      <c r="AA177" s="27">
        <v>0</v>
      </c>
      <c r="AB177" s="28">
        <f>SUMIFS(T_REAL!$D:$D,T_REAL!$E:$E,DRE!AB$7,T_REAL!$C:$C,DRE!$A177)+SUMIFS(Aut_Ajustes_Manuais!$G:$G,Aut_Ajustes_Manuais!$I:$I,DRE!Z$4,Aut_Ajustes_Manuais!$F:$F,"  -  Operador de Delivery")</f>
        <v>0</v>
      </c>
      <c r="AC177" s="241"/>
      <c r="AD177" s="27">
        <v>0</v>
      </c>
      <c r="AE177" s="28">
        <f>SUMIFS(T_REAL!$D:$D,T_REAL!$E:$E,DRE!AE$7,T_REAL!$C:$C,DRE!$A177)+SUMIFS(Aut_Ajustes_Manuais!$G:$G,Aut_Ajustes_Manuais!$I:$I,DRE!AC$4,Aut_Ajustes_Manuais!$F:$F,"  -  Operador de Delivery")</f>
        <v>0</v>
      </c>
      <c r="AF177" s="241"/>
      <c r="AG177" s="27">
        <v>0</v>
      </c>
      <c r="AH177" s="28">
        <f>SUMIFS(T_REAL!$D:$D,T_REAL!$E:$E,DRE!AH$7,T_REAL!$C:$C,DRE!$A177)+SUMIFS(Aut_Ajustes_Manuais!$G:$G,Aut_Ajustes_Manuais!$I:$I,DRE!AF$4,Aut_Ajustes_Manuais!$F:$F,"  -  Operador de Delivery")</f>
        <v>0</v>
      </c>
      <c r="AI177" s="241"/>
      <c r="AJ177" s="27">
        <v>0</v>
      </c>
      <c r="AK177" s="28">
        <f>SUMIFS(T_REAL!$D:$D,T_REAL!$E:$E,DRE!AK$7,T_REAL!$C:$C,DRE!$A177)+SUMIFS(Aut_Ajustes_Manuais!$G:$G,Aut_Ajustes_Manuais!$I:$I,DRE!AI$4,Aut_Ajustes_Manuais!$F:$F,"  -  Operador de Delivery")</f>
        <v>0</v>
      </c>
      <c r="AL177" s="241"/>
      <c r="AM177" s="27">
        <v>0</v>
      </c>
      <c r="AN177" s="28">
        <f>SUMIFS(T_REAL!$D:$D,T_REAL!$E:$E,DRE!AN$7,T_REAL!$C:$C,DRE!$A177)+SUMIFS(Aut_Ajustes_Manuais!$G:$G,Aut_Ajustes_Manuais!$I:$I,DRE!AL$4,Aut_Ajustes_Manuais!$F:$F,"  -  Operador de Delivery")</f>
        <v>0</v>
      </c>
      <c r="AO177" s="241"/>
      <c r="AP177" s="27">
        <v>0</v>
      </c>
      <c r="AQ177" s="28">
        <f>SUMIFS(T_REAL!$D:$D,T_REAL!$E:$E,DRE!AQ$7,T_REAL!$C:$C,DRE!$A177)+SUMIFS(Aut_Ajustes_Manuais!$G:$G,Aut_Ajustes_Manuais!$I:$I,DRE!AO$4,Aut_Ajustes_Manuais!$F:$F,"  -  Operador de Delivery")</f>
        <v>0</v>
      </c>
      <c r="AR177" s="241">
        <f t="shared" ca="1" si="147"/>
        <v>0</v>
      </c>
      <c r="AS177" s="27">
        <f t="shared" ca="1" si="148"/>
        <v>0</v>
      </c>
      <c r="AT177" s="28">
        <f t="shared" ca="1" si="149"/>
        <v>0</v>
      </c>
      <c r="AU177" s="241"/>
      <c r="AV177" s="27"/>
      <c r="AW177" s="28"/>
      <c r="AX177" s="241"/>
      <c r="AY177" s="27">
        <v>0</v>
      </c>
      <c r="AZ177" s="28"/>
      <c r="BA177" s="241"/>
      <c r="BB177" s="27">
        <v>0</v>
      </c>
      <c r="BC177" s="28"/>
      <c r="BD177" s="241"/>
      <c r="BE177" s="27">
        <v>0</v>
      </c>
      <c r="BF177" s="28"/>
      <c r="BG177" s="241"/>
      <c r="BH177" s="27">
        <v>0</v>
      </c>
      <c r="BI177" s="28"/>
    </row>
    <row r="178" spans="1:61" s="29" customFormat="1" hidden="1" outlineLevel="1" x14ac:dyDescent="0.3">
      <c r="A178" s="95"/>
      <c r="B178" s="2"/>
      <c r="C178" s="24"/>
      <c r="D178" s="55" t="s">
        <v>144</v>
      </c>
      <c r="E178" s="87"/>
      <c r="F178" s="56"/>
      <c r="G178" s="33"/>
      <c r="H178" s="241"/>
      <c r="I178" s="27"/>
      <c r="J178" s="28"/>
      <c r="K178" s="241"/>
      <c r="L178" s="27"/>
      <c r="M178" s="28"/>
      <c r="N178" s="241"/>
      <c r="O178" s="27"/>
      <c r="P178" s="28"/>
      <c r="Q178" s="241"/>
      <c r="R178" s="27"/>
      <c r="S178" s="27"/>
      <c r="T178" s="241"/>
      <c r="U178" s="27"/>
      <c r="V178" s="28"/>
      <c r="W178" s="241"/>
      <c r="X178" s="27"/>
      <c r="Y178" s="28"/>
      <c r="Z178" s="241"/>
      <c r="AA178" s="27"/>
      <c r="AB178" s="28"/>
      <c r="AC178" s="241"/>
      <c r="AD178" s="27"/>
      <c r="AE178" s="28"/>
      <c r="AF178" s="241"/>
      <c r="AG178" s="27"/>
      <c r="AH178" s="28"/>
      <c r="AI178" s="241"/>
      <c r="AJ178" s="27"/>
      <c r="AK178" s="28"/>
      <c r="AL178" s="241"/>
      <c r="AM178" s="27"/>
      <c r="AN178" s="28"/>
      <c r="AO178" s="241"/>
      <c r="AP178" s="27"/>
      <c r="AQ178" s="28"/>
      <c r="AR178" s="241">
        <f t="shared" ca="1" si="147"/>
        <v>0</v>
      </c>
      <c r="AS178" s="27">
        <f t="shared" ca="1" si="148"/>
        <v>0</v>
      </c>
      <c r="AT178" s="28">
        <f t="shared" ca="1" si="149"/>
        <v>0</v>
      </c>
      <c r="AU178" s="241"/>
      <c r="AV178" s="27"/>
      <c r="AW178" s="28"/>
      <c r="AX178" s="241"/>
      <c r="AY178" s="27">
        <v>0</v>
      </c>
      <c r="AZ178" s="28"/>
      <c r="BA178" s="241"/>
      <c r="BB178" s="27">
        <v>0</v>
      </c>
      <c r="BC178" s="28"/>
      <c r="BD178" s="241"/>
      <c r="BE178" s="27">
        <v>0</v>
      </c>
      <c r="BF178" s="28"/>
      <c r="BG178" s="241"/>
      <c r="BH178" s="27">
        <v>0</v>
      </c>
      <c r="BI178" s="28"/>
    </row>
    <row r="179" spans="1:61" collapsed="1" x14ac:dyDescent="0.3">
      <c r="A179" s="73" t="s">
        <v>201</v>
      </c>
      <c r="C179" s="40" t="s">
        <v>35</v>
      </c>
      <c r="D179" s="40" t="s">
        <v>36</v>
      </c>
      <c r="E179" s="40" t="s">
        <v>202</v>
      </c>
      <c r="F179" s="41"/>
      <c r="G179" s="6"/>
      <c r="H179" s="252">
        <v>-14610</v>
      </c>
      <c r="I179" s="74">
        <f>SUM(I180)</f>
        <v>-10587.760788619349</v>
      </c>
      <c r="J179" s="76">
        <f>SUM(J180)+SUMIFS(Aut_Ajustes_Manuais!$G:$G,Aut_Ajustes_Manuais!$I:$I,DRE!H$4,Aut_Ajustes_Manuais!$F:$F,"E-Staff")</f>
        <v>-7715.88</v>
      </c>
      <c r="K179" s="252">
        <v>-11652</v>
      </c>
      <c r="L179" s="74">
        <f>SUM(L180)</f>
        <v>-11606.93920371429</v>
      </c>
      <c r="M179" s="76">
        <f>SUM(M180)+SUMIFS(Aut_Ajustes_Manuais!$G:$G,Aut_Ajustes_Manuais!$I:$I,DRE!K$4,Aut_Ajustes_Manuais!$F:$F,"E-Staff")</f>
        <v>-13003.880000000001</v>
      </c>
      <c r="N179" s="252">
        <v>-11885.5</v>
      </c>
      <c r="O179" s="74">
        <f>SUM(O180)</f>
        <v>-14682.59594080645</v>
      </c>
      <c r="P179" s="76">
        <f>SUM(P180)+SUMIFS(Aut_Ajustes_Manuais!$G:$G,Aut_Ajustes_Manuais!$I:$I,DRE!N$4,Aut_Ajustes_Manuais!$F:$F,"E-Staff")</f>
        <v>-9960.77</v>
      </c>
      <c r="Q179" s="252">
        <v>-10778</v>
      </c>
      <c r="R179" s="74">
        <f>SUM(R180)</f>
        <v>-13903.345712099999</v>
      </c>
      <c r="S179" s="76">
        <f>SUM(S180)+SUMIFS(Aut_Ajustes_Manuais!$G:$G,Aut_Ajustes_Manuais!$I:$I,DRE!Q$4,Aut_Ajustes_Manuais!$F:$F,"E-Staff")</f>
        <v>-12347.119999999999</v>
      </c>
      <c r="T179" s="252">
        <v>-11352</v>
      </c>
      <c r="U179" s="74">
        <f>SUM(U180)</f>
        <v>-13766.545085612899</v>
      </c>
      <c r="V179" s="76">
        <f>SUM(V180)+SUMIFS(Aut_Ajustes_Manuais!$G:$G,Aut_Ajustes_Manuais!$I:$I,DRE!T$4,Aut_Ajustes_Manuais!$F:$F,"E-Staff")</f>
        <v>-15377.65</v>
      </c>
      <c r="W179" s="252">
        <v>-13651</v>
      </c>
      <c r="X179" s="74">
        <f>SUM(X180)</f>
        <v>-12796.771402325799</v>
      </c>
      <c r="Y179" s="76">
        <f>SUM(Y180)+SUMIFS(Aut_Ajustes_Manuais!$G:$G,Aut_Ajustes_Manuais!$I:$I,DRE!W$4,Aut_Ajustes_Manuais!$F:$F,"E-Staff")</f>
        <v>-10945.240000000002</v>
      </c>
      <c r="Z179" s="252">
        <v>-7848.5</v>
      </c>
      <c r="AA179" s="74">
        <f>SUM(AA180)</f>
        <v>-16734.852016258061</v>
      </c>
      <c r="AB179" s="76">
        <f>SUM(AB180)+SUMIFS(Aut_Ajustes_Manuais!$G:$G,Aut_Ajustes_Manuais!$I:$I,DRE!Z$4,Aut_Ajustes_Manuais!$F:$F,"E-Staff")</f>
        <v>-36000</v>
      </c>
      <c r="AC179" s="252">
        <v>-11465.6</v>
      </c>
      <c r="AD179" s="74">
        <f>SUM(AD180)</f>
        <v>-15832.059867</v>
      </c>
      <c r="AE179" s="76">
        <f>SUM(AE180)+SUMIFS(Aut_Ajustes_Manuais!$G:$G,Aut_Ajustes_Manuais!$I:$I,DRE!AC$4,Aut_Ajustes_Manuais!$F:$F,"E-Staff")</f>
        <v>-45000</v>
      </c>
      <c r="AF179" s="252">
        <v>-12193.5</v>
      </c>
      <c r="AG179" s="74">
        <f>SUM(AG180)</f>
        <v>-14099.754781483871</v>
      </c>
      <c r="AH179" s="76">
        <f>SUM(AH180)+SUMIFS(Aut_Ajustes_Manuais!$G:$G,Aut_Ajustes_Manuais!$I:$I,DRE!AF$4,Aut_Ajustes_Manuais!$F:$F,"E-Staff")</f>
        <v>-9000</v>
      </c>
      <c r="AI179" s="252">
        <v>-9031</v>
      </c>
      <c r="AJ179" s="74">
        <f>SUM(AJ180)</f>
        <v>-14560.61319795967</v>
      </c>
      <c r="AK179" s="76">
        <f>SUM(AK180)+SUMIFS(Aut_Ajustes_Manuais!$G:$G,Aut_Ajustes_Manuais!$I:$I,DRE!AI$4,Aut_Ajustes_Manuais!$F:$F,"E-Staff")</f>
        <v>0</v>
      </c>
      <c r="AL179" s="252">
        <v>-8880.66</v>
      </c>
      <c r="AM179" s="74">
        <f>SUM(AM180)</f>
        <v>-15409.08943388712</v>
      </c>
      <c r="AN179" s="76">
        <f>SUM(AN180)+SUMIFS(Aut_Ajustes_Manuais!$G:$G,Aut_Ajustes_Manuais!$I:$I,DRE!AL$4,Aut_Ajustes_Manuais!$F:$F,"E-Staff")</f>
        <v>0</v>
      </c>
      <c r="AO179" s="252">
        <v>-17787.46</v>
      </c>
      <c r="AP179" s="74">
        <f>SUM(AP180)</f>
        <v>-19679.085660250352</v>
      </c>
      <c r="AQ179" s="76">
        <f>SUM(AQ180)+SUMIFS(Aut_Ajustes_Manuais!$G:$G,Aut_Ajustes_Manuais!$I:$I,DRE!AO$4,Aut_Ajustes_Manuais!$F:$F,"E-Staff")</f>
        <v>0</v>
      </c>
      <c r="AR179" s="252">
        <f t="shared" ca="1" si="147"/>
        <v>-73928.5</v>
      </c>
      <c r="AS179" s="74">
        <f t="shared" ca="1" si="148"/>
        <v>-77343.958133178792</v>
      </c>
      <c r="AT179" s="76">
        <f t="shared" ca="1" si="149"/>
        <v>-69350.540000000008</v>
      </c>
      <c r="AU179" s="252">
        <f t="shared" ref="AU179:BI179" si="150">SUM(AU180)</f>
        <v>-141135.22</v>
      </c>
      <c r="AV179" s="74">
        <f t="shared" si="150"/>
        <v>-173659.41309001789</v>
      </c>
      <c r="AW179" s="76">
        <f t="shared" si="150"/>
        <v>-159350.54</v>
      </c>
      <c r="AX179" s="252">
        <f t="shared" si="150"/>
        <v>-38147.5</v>
      </c>
      <c r="AY179" s="74">
        <f t="shared" si="150"/>
        <v>-36877.295933140093</v>
      </c>
      <c r="AZ179" s="76">
        <f t="shared" si="150"/>
        <v>-30680.530000000002</v>
      </c>
      <c r="BA179" s="252">
        <f t="shared" si="150"/>
        <v>-35781</v>
      </c>
      <c r="BB179" s="74">
        <f t="shared" si="150"/>
        <v>-40466.6622000387</v>
      </c>
      <c r="BC179" s="76">
        <f t="shared" si="150"/>
        <v>-38670.009999999995</v>
      </c>
      <c r="BD179" s="252">
        <f t="shared" si="150"/>
        <v>-31507.599999999999</v>
      </c>
      <c r="BE179" s="74">
        <f t="shared" si="150"/>
        <v>-46666.666664741933</v>
      </c>
      <c r="BF179" s="76">
        <f t="shared" si="150"/>
        <v>-90000</v>
      </c>
      <c r="BG179" s="252">
        <f t="shared" si="150"/>
        <v>-35699.119999999995</v>
      </c>
      <c r="BH179" s="74">
        <f t="shared" si="150"/>
        <v>-49648.788292097146</v>
      </c>
      <c r="BI179" s="76">
        <f t="shared" si="150"/>
        <v>0</v>
      </c>
    </row>
    <row r="180" spans="1:61" s="29" customFormat="1" hidden="1" outlineLevel="1" x14ac:dyDescent="0.3">
      <c r="A180" s="22" t="s">
        <v>203</v>
      </c>
      <c r="B180" s="2"/>
      <c r="C180" s="24"/>
      <c r="D180" s="55"/>
      <c r="E180" s="96"/>
      <c r="F180" s="41"/>
      <c r="G180" s="33"/>
      <c r="H180" s="241">
        <v>-14610</v>
      </c>
      <c r="I180" s="27">
        <v>-10587.760788619349</v>
      </c>
      <c r="J180" s="28">
        <f>SUMIFS(Aut_BlueMe_Sem_Pedido!$J:$J,Aut_BlueMe_Sem_Pedido!$Q:$Q,DRE!H$4,Aut_BlueMe_Sem_Pedido!$H:$H,DRE!$A180)+SUMIFS(Aut_Ajustes_Manuais!$G:$G,Aut_Ajustes_Manuais!$I:$I,DRE!H$4,Aut_Ajustes_Manuais!$F:$F,"Mão de Obra Extra")</f>
        <v>-7715.88</v>
      </c>
      <c r="K180" s="241">
        <v>-11652</v>
      </c>
      <c r="L180" s="27">
        <v>-11606.93920371429</v>
      </c>
      <c r="M180" s="28">
        <f>SUMIFS(Aut_BlueMe_Sem_Pedido!$J:$J,Aut_BlueMe_Sem_Pedido!$Q:$Q,DRE!K$4,Aut_BlueMe_Sem_Pedido!$H:$H,DRE!$A180)+SUMIFS(Aut_Ajustes_Manuais!$G:$G,Aut_Ajustes_Manuais!$I:$I,DRE!K$4,Aut_Ajustes_Manuais!$F:$F,"Mão de Obra Extra")</f>
        <v>-13003.880000000001</v>
      </c>
      <c r="N180" s="241">
        <v>-11885.5</v>
      </c>
      <c r="O180" s="27">
        <v>-14682.59594080645</v>
      </c>
      <c r="P180" s="28">
        <f>SUMIFS(Aut_BlueMe_Sem_Pedido!$J:$J,Aut_BlueMe_Sem_Pedido!$Q:$Q,DRE!N$4,Aut_BlueMe_Sem_Pedido!$H:$H,DRE!$A180)+SUMIFS(Aut_Ajustes_Manuais!$G:$G,Aut_Ajustes_Manuais!$I:$I,DRE!N$4,Aut_Ajustes_Manuais!$F:$F,"Mão de Obra Extra")</f>
        <v>-9960.77</v>
      </c>
      <c r="Q180" s="241">
        <v>-10778</v>
      </c>
      <c r="R180" s="27">
        <v>-13903.345712099999</v>
      </c>
      <c r="S180" s="28">
        <f>SUMIFS(Aut_BlueMe_Sem_Pedido!$J:$J,Aut_BlueMe_Sem_Pedido!$Q:$Q,DRE!Q$4,Aut_BlueMe_Sem_Pedido!$H:$H,DRE!$A180)+SUMIFS(Aut_Ajustes_Manuais!$G:$G,Aut_Ajustes_Manuais!$I:$I,DRE!Q$4,Aut_Ajustes_Manuais!$F:$F,"Mão de Obra Extra")</f>
        <v>-12347.119999999999</v>
      </c>
      <c r="T180" s="241">
        <v>-11352</v>
      </c>
      <c r="U180" s="27">
        <v>-13766.545085612899</v>
      </c>
      <c r="V180" s="28">
        <f>SUMIFS(Aut_BlueMe_Sem_Pedido!$J:$J,Aut_BlueMe_Sem_Pedido!$Q:$Q,DRE!T$4,Aut_BlueMe_Sem_Pedido!$H:$H,DRE!$A180)+SUMIFS(Aut_Ajustes_Manuais!$G:$G,Aut_Ajustes_Manuais!$I:$I,DRE!T$4,Aut_Ajustes_Manuais!$F:$F,"Mão de Obra Extra")</f>
        <v>-15377.65</v>
      </c>
      <c r="W180" s="241">
        <v>-13651</v>
      </c>
      <c r="X180" s="27">
        <v>-12796.771402325799</v>
      </c>
      <c r="Y180" s="28">
        <f>SUMIFS(Aut_BlueMe_Sem_Pedido!$J:$J,Aut_BlueMe_Sem_Pedido!$Q:$Q,DRE!W$4,Aut_BlueMe_Sem_Pedido!$H:$H,DRE!$A180)+SUMIFS(Aut_Ajustes_Manuais!$G:$G,Aut_Ajustes_Manuais!$I:$I,DRE!W$4,Aut_Ajustes_Manuais!$F:$F,"Mão de Obra Extra")</f>
        <v>-10945.240000000002</v>
      </c>
      <c r="Z180" s="241">
        <v>-7848.5</v>
      </c>
      <c r="AA180" s="27">
        <v>-16734.852016258061</v>
      </c>
      <c r="AB180" s="28">
        <f>SUMIFS(Aut_BlueMe_Sem_Pedido!$J:$J,Aut_BlueMe_Sem_Pedido!$Q:$Q,DRE!Z$4,Aut_BlueMe_Sem_Pedido!$H:$H,DRE!$A180)+SUMIFS(Aut_Ajustes_Manuais!$G:$G,Aut_Ajustes_Manuais!$I:$I,DRE!Z$4,Aut_Ajustes_Manuais!$F:$F,"Mão de Obra Extra")</f>
        <v>-36000</v>
      </c>
      <c r="AC180" s="241">
        <v>-11465.6</v>
      </c>
      <c r="AD180" s="27">
        <v>-15832.059867</v>
      </c>
      <c r="AE180" s="28">
        <f>SUMIFS(Aut_BlueMe_Sem_Pedido!$J:$J,Aut_BlueMe_Sem_Pedido!$Q:$Q,DRE!AC$4,Aut_BlueMe_Sem_Pedido!$H:$H,DRE!$A180)+SUMIFS(Aut_Ajustes_Manuais!$G:$G,Aut_Ajustes_Manuais!$I:$I,DRE!AC$4,Aut_Ajustes_Manuais!$F:$F,"Mão de Obra Extra")</f>
        <v>-45000</v>
      </c>
      <c r="AF180" s="241">
        <v>-12193.5</v>
      </c>
      <c r="AG180" s="27">
        <v>-14099.754781483871</v>
      </c>
      <c r="AH180" s="28">
        <f>SUMIFS(Aut_BlueMe_Sem_Pedido!$J:$J,Aut_BlueMe_Sem_Pedido!$Q:$Q,DRE!AF$4,Aut_BlueMe_Sem_Pedido!$H:$H,DRE!$A180)+SUMIFS(Aut_Ajustes_Manuais!$G:$G,Aut_Ajustes_Manuais!$I:$I,DRE!AF$4,Aut_Ajustes_Manuais!$F:$F,"Mão de Obra Extra")</f>
        <v>-9000</v>
      </c>
      <c r="AI180" s="241">
        <v>-9031</v>
      </c>
      <c r="AJ180" s="27">
        <v>-14560.61319795967</v>
      </c>
      <c r="AK180" s="28">
        <f>SUMIFS(Aut_BlueMe_Sem_Pedido!$J:$J,Aut_BlueMe_Sem_Pedido!$Q:$Q,DRE!AI$4,Aut_BlueMe_Sem_Pedido!$H:$H,DRE!$A180)+SUMIFS(Aut_Ajustes_Manuais!$G:$G,Aut_Ajustes_Manuais!$I:$I,DRE!AI$4,Aut_Ajustes_Manuais!$F:$F,"Mão de Obra Extra")</f>
        <v>0</v>
      </c>
      <c r="AL180" s="241">
        <v>-8880.66</v>
      </c>
      <c r="AM180" s="27">
        <v>-15409.08943388712</v>
      </c>
      <c r="AN180" s="28">
        <f>SUMIFS(Aut_BlueMe_Sem_Pedido!$J:$J,Aut_BlueMe_Sem_Pedido!$Q:$Q,DRE!AL$4,Aut_BlueMe_Sem_Pedido!$H:$H,DRE!$A180)+SUMIFS(Aut_Ajustes_Manuais!$G:$G,Aut_Ajustes_Manuais!$I:$I,DRE!AL$4,Aut_Ajustes_Manuais!$F:$F,"Mão de Obra Extra")</f>
        <v>0</v>
      </c>
      <c r="AO180" s="241">
        <v>-17787.46</v>
      </c>
      <c r="AP180" s="27">
        <v>-19679.085660250352</v>
      </c>
      <c r="AQ180" s="28">
        <f>SUMIFS(Aut_BlueMe_Sem_Pedido!$J:$J,Aut_BlueMe_Sem_Pedido!$Q:$Q,DRE!AO$4,Aut_BlueMe_Sem_Pedido!$H:$H,DRE!$A180)+SUMIFS(Aut_Ajustes_Manuais!$G:$G,Aut_Ajustes_Manuais!$I:$I,DRE!AO$4,Aut_Ajustes_Manuais!$F:$F,"Mão de Obra Extra")</f>
        <v>0</v>
      </c>
      <c r="AR180" s="241">
        <f t="shared" ca="1" si="147"/>
        <v>-73928.5</v>
      </c>
      <c r="AS180" s="27">
        <f t="shared" ca="1" si="148"/>
        <v>-77343.958133178792</v>
      </c>
      <c r="AT180" s="28">
        <f t="shared" ca="1" si="149"/>
        <v>-69350.540000000008</v>
      </c>
      <c r="AU180" s="241">
        <f t="shared" ref="AU180:AW181" si="151">SUM(H180,K180,N180,Q180,T180,W180,Z180,AC180,AF180,AI180,AL180,AO180)</f>
        <v>-141135.22</v>
      </c>
      <c r="AV180" s="27">
        <f t="shared" si="151"/>
        <v>-173659.41309001789</v>
      </c>
      <c r="AW180" s="28">
        <f t="shared" si="151"/>
        <v>-159350.54</v>
      </c>
      <c r="AX180" s="241">
        <f t="shared" ref="AX180:AZ181" si="152">SUM(H180,K180,N180)</f>
        <v>-38147.5</v>
      </c>
      <c r="AY180" s="27">
        <f t="shared" si="152"/>
        <v>-36877.295933140093</v>
      </c>
      <c r="AZ180" s="28">
        <f t="shared" si="152"/>
        <v>-30680.530000000002</v>
      </c>
      <c r="BA180" s="241">
        <f t="shared" ref="BA180:BC181" si="153">SUM(Q180,T180,W180)</f>
        <v>-35781</v>
      </c>
      <c r="BB180" s="27">
        <f t="shared" si="153"/>
        <v>-40466.6622000387</v>
      </c>
      <c r="BC180" s="28">
        <f t="shared" si="153"/>
        <v>-38670.009999999995</v>
      </c>
      <c r="BD180" s="241">
        <f t="shared" ref="BD180:BF181" si="154">SUM(Z180,AC180,AF180)</f>
        <v>-31507.599999999999</v>
      </c>
      <c r="BE180" s="27">
        <f t="shared" si="154"/>
        <v>-46666.666664741933</v>
      </c>
      <c r="BF180" s="28">
        <f t="shared" si="154"/>
        <v>-90000</v>
      </c>
      <c r="BG180" s="241">
        <f t="shared" ref="BG180:BI181" si="155">SUM(AI180,AL180,AO180)</f>
        <v>-35699.119999999995</v>
      </c>
      <c r="BH180" s="27">
        <f t="shared" si="155"/>
        <v>-49648.788292097146</v>
      </c>
      <c r="BI180" s="28">
        <f t="shared" si="155"/>
        <v>0</v>
      </c>
    </row>
    <row r="181" spans="1:61" s="29" customFormat="1" hidden="1" outlineLevel="1" x14ac:dyDescent="0.3">
      <c r="A181" s="22" t="s">
        <v>204</v>
      </c>
      <c r="B181" s="2"/>
      <c r="C181" s="24"/>
      <c r="D181" s="55"/>
      <c r="E181" s="96"/>
      <c r="F181" s="41"/>
      <c r="G181" s="33"/>
      <c r="H181" s="241">
        <v>7305</v>
      </c>
      <c r="I181" s="27">
        <v>5293.8803943096764</v>
      </c>
      <c r="J181" s="28">
        <f>-J180/2+SUMIFS(Aut_Ajustes_Manuais!$G:$G,Aut_Ajustes_Manuais!$I:$I,DRE!H$4,Aut_Ajustes_Manuais!$F:$F,"  -  Gorjeta (Retenção Estaff) (+)")</f>
        <v>3857.94</v>
      </c>
      <c r="K181" s="241">
        <v>5826</v>
      </c>
      <c r="L181" s="27">
        <v>5803.4696018571431</v>
      </c>
      <c r="M181" s="28">
        <f>-M180/2+SUMIFS(Aut_Ajustes_Manuais!$G:$G,Aut_Ajustes_Manuais!$I:$I,DRE!K$4,Aut_Ajustes_Manuais!$F:$F,"  -  Gorjeta (Retenção Estaff) (+)")</f>
        <v>6501.9400000000005</v>
      </c>
      <c r="N181" s="241">
        <v>5942.75</v>
      </c>
      <c r="O181" s="27">
        <v>7341.297970403225</v>
      </c>
      <c r="P181" s="28">
        <f>-P180/2+SUMIFS(Aut_Ajustes_Manuais!$G:$G,Aut_Ajustes_Manuais!$I:$I,DRE!N$4,Aut_Ajustes_Manuais!$F:$F,"  -  Gorjeta (Retenção Estaff) (+)")</f>
        <v>4980.3850000000002</v>
      </c>
      <c r="Q181" s="241">
        <v>5389</v>
      </c>
      <c r="R181" s="27">
        <v>6951.6728560499996</v>
      </c>
      <c r="S181" s="28">
        <f>-S180/2+SUMIFS(Aut_Ajustes_Manuais!$G:$G,Aut_Ajustes_Manuais!$I:$I,DRE!Q$4,Aut_Ajustes_Manuais!$F:$F,"  -  Gorjeta (Retenção Estaff) (+)")</f>
        <v>6173.5599999999995</v>
      </c>
      <c r="T181" s="241">
        <v>5676</v>
      </c>
      <c r="U181" s="27">
        <v>6883.2725428064496</v>
      </c>
      <c r="V181" s="28">
        <f>-V180/2+SUMIFS(Aut_Ajustes_Manuais!$G:$G,Aut_Ajustes_Manuais!$I:$I,DRE!T$4,Aut_Ajustes_Manuais!$F:$F,"  -  Gorjeta (Retenção Estaff) (+)")</f>
        <v>7688.8249999999998</v>
      </c>
      <c r="W181" s="241">
        <v>6825.5</v>
      </c>
      <c r="X181" s="27">
        <v>6398.3857011629016</v>
      </c>
      <c r="Y181" s="28">
        <f>-Y180/2+SUMIFS(Aut_Ajustes_Manuais!$G:$G,Aut_Ajustes_Manuais!$I:$I,DRE!W$4,Aut_Ajustes_Manuais!$F:$F,"  -  Gorjeta (Retenção Estaff) (+)")</f>
        <v>5472.6200000000008</v>
      </c>
      <c r="Z181" s="241">
        <v>3924.25</v>
      </c>
      <c r="AA181" s="27">
        <v>8367.4260081290286</v>
      </c>
      <c r="AB181" s="28">
        <f>-AB180/2+SUMIFS(Aut_Ajustes_Manuais!$G:$G,Aut_Ajustes_Manuais!$I:$I,DRE!Z$4,Aut_Ajustes_Manuais!$F:$F,"  -  Gorjeta (Retenção Estaff) (+)")</f>
        <v>18000</v>
      </c>
      <c r="AC181" s="241">
        <v>5732.8</v>
      </c>
      <c r="AD181" s="27">
        <v>7916.0299334999991</v>
      </c>
      <c r="AE181" s="28">
        <f>-AE180/2+SUMIFS(Aut_Ajustes_Manuais!$G:$G,Aut_Ajustes_Manuais!$I:$I,DRE!AC$4,Aut_Ajustes_Manuais!$F:$F,"  -  Gorjeta (Retenção Estaff) (+)")</f>
        <v>22500</v>
      </c>
      <c r="AF181" s="241">
        <v>6096.75</v>
      </c>
      <c r="AG181" s="27">
        <v>7049.8773907419327</v>
      </c>
      <c r="AH181" s="28">
        <f>-AH180/2+SUMIFS(Aut_Ajustes_Manuais!$G:$G,Aut_Ajustes_Manuais!$I:$I,DRE!AF$4,Aut_Ajustes_Manuais!$F:$F,"  -  Gorjeta (Retenção Estaff) (+)")</f>
        <v>4500</v>
      </c>
      <c r="AI181" s="241">
        <v>4515.5</v>
      </c>
      <c r="AJ181" s="27">
        <v>7280.3065989798361</v>
      </c>
      <c r="AK181" s="28">
        <f>-AK180/2+SUMIFS(Aut_Ajustes_Manuais!$G:$G,Aut_Ajustes_Manuais!$I:$I,DRE!AI$4,Aut_Ajustes_Manuais!$F:$F,"  -  Gorjeta (Retenção Estaff) (+)")</f>
        <v>0</v>
      </c>
      <c r="AL181" s="241">
        <v>4440.33</v>
      </c>
      <c r="AM181" s="27">
        <v>7704.5447169435611</v>
      </c>
      <c r="AN181" s="28">
        <f>-AN180/2+SUMIFS(Aut_Ajustes_Manuais!$G:$G,Aut_Ajustes_Manuais!$I:$I,DRE!AL$4,Aut_Ajustes_Manuais!$F:$F,"  -  Gorjeta (Retenção Estaff) (+)")</f>
        <v>0</v>
      </c>
      <c r="AO181" s="241">
        <v>8893.73</v>
      </c>
      <c r="AP181" s="27">
        <v>9839.5428301251741</v>
      </c>
      <c r="AQ181" s="28">
        <f>-AQ180/2+SUMIFS(Aut_Ajustes_Manuais!$G:$G,Aut_Ajustes_Manuais!$I:$I,DRE!AO$4,Aut_Ajustes_Manuais!$F:$F,"  -  Gorjeta (Retenção Estaff) (+)")</f>
        <v>0</v>
      </c>
      <c r="AR181" s="241">
        <f t="shared" ca="1" si="147"/>
        <v>36964.25</v>
      </c>
      <c r="AS181" s="27">
        <f t="shared" ca="1" si="148"/>
        <v>38671.979066589396</v>
      </c>
      <c r="AT181" s="28">
        <f t="shared" ca="1" si="149"/>
        <v>34675.270000000004</v>
      </c>
      <c r="AU181" s="241">
        <f t="shared" si="151"/>
        <v>70567.61</v>
      </c>
      <c r="AV181" s="27">
        <f t="shared" si="151"/>
        <v>86829.706545008929</v>
      </c>
      <c r="AW181" s="28">
        <f t="shared" si="151"/>
        <v>79675.27</v>
      </c>
      <c r="AX181" s="241">
        <f t="shared" si="152"/>
        <v>19073.75</v>
      </c>
      <c r="AY181" s="27">
        <f t="shared" si="152"/>
        <v>18438.647966570046</v>
      </c>
      <c r="AZ181" s="28">
        <f t="shared" si="152"/>
        <v>15340.265000000001</v>
      </c>
      <c r="BA181" s="241">
        <f t="shared" si="153"/>
        <v>17890.5</v>
      </c>
      <c r="BB181" s="27">
        <f t="shared" si="153"/>
        <v>20233.33110001935</v>
      </c>
      <c r="BC181" s="28">
        <f t="shared" si="153"/>
        <v>19335.004999999997</v>
      </c>
      <c r="BD181" s="241">
        <f t="shared" si="154"/>
        <v>15753.8</v>
      </c>
      <c r="BE181" s="27">
        <f t="shared" si="154"/>
        <v>23333.333332370959</v>
      </c>
      <c r="BF181" s="28">
        <f t="shared" si="154"/>
        <v>45000</v>
      </c>
      <c r="BG181" s="241">
        <f t="shared" si="155"/>
        <v>17849.559999999998</v>
      </c>
      <c r="BH181" s="27">
        <f t="shared" si="155"/>
        <v>24824.394146048573</v>
      </c>
      <c r="BI181" s="28">
        <f t="shared" si="155"/>
        <v>0</v>
      </c>
    </row>
    <row r="182" spans="1:61" collapsed="1" x14ac:dyDescent="0.3">
      <c r="A182" s="73" t="s">
        <v>205</v>
      </c>
      <c r="C182" s="40" t="s">
        <v>35</v>
      </c>
      <c r="D182" s="40" t="s">
        <v>36</v>
      </c>
      <c r="E182" s="40" t="s">
        <v>202</v>
      </c>
      <c r="F182" s="41"/>
      <c r="G182" s="47"/>
      <c r="H182" s="258">
        <v>-15660.839097818191</v>
      </c>
      <c r="I182" s="75">
        <v>-13225.65259826257</v>
      </c>
      <c r="J182" s="76">
        <f>SUM(J183:J198)+SUMIFS(Aut_Ajustes_Manuais!$G:$G,Aut_Ajustes_Manuais!$I:$I,DRE!H$4,Aut_Ajustes_Manuais!$F:$F,"Encargos e Provisões")</f>
        <v>-18986.551568407278</v>
      </c>
      <c r="K182" s="258">
        <v>-16673.342820000002</v>
      </c>
      <c r="L182" s="75">
        <v>-13268.55177032549</v>
      </c>
      <c r="M182" s="76">
        <f>SUM(M183:M198)+SUMIFS(Aut_Ajustes_Manuais!$G:$G,Aut_Ajustes_Manuais!$I:$I,DRE!K$4,Aut_Ajustes_Manuais!$F:$F,"Encargos e Provisões")</f>
        <v>-5671.9728989692503</v>
      </c>
      <c r="N182" s="258">
        <v>-15065.874943999999</v>
      </c>
      <c r="O182" s="75">
        <v>-15773.323179857171</v>
      </c>
      <c r="P182" s="76">
        <f>SUM(P183:P198)+SUMIFS(Aut_Ajustes_Manuais!$G:$G,Aut_Ajustes_Manuais!$I:$I,DRE!N$4,Aut_Ajustes_Manuais!$F:$F,"Encargos e Provisões")</f>
        <v>-14950.098947831619</v>
      </c>
      <c r="Q182" s="258">
        <v>-17029.203669454539</v>
      </c>
      <c r="R182" s="75">
        <v>-15558.97748038437</v>
      </c>
      <c r="S182" s="76">
        <f>SUM(S183:S198)+SUMIFS(Aut_Ajustes_Manuais!$G:$G,Aut_Ajustes_Manuais!$I:$I,DRE!Q$4,Aut_Ajustes_Manuais!$F:$F,"Encargos e Provisões")</f>
        <v>-15601.750887920851</v>
      </c>
      <c r="T182" s="258">
        <v>-30296.606124000009</v>
      </c>
      <c r="U182" s="75">
        <v>-15829.840693242009</v>
      </c>
      <c r="V182" s="76">
        <f>SUM(V183:V198)+SUMIFS(Aut_Ajustes_Manuais!$G:$G,Aut_Ajustes_Manuais!$I:$I,DRE!T$4,Aut_Ajustes_Manuais!$F:$F,"Encargos e Provisões")</f>
        <v>-14593.448548063336</v>
      </c>
      <c r="W182" s="258">
        <v>-15614.96699563637</v>
      </c>
      <c r="X182" s="75">
        <v>-15595.80153329641</v>
      </c>
      <c r="Y182" s="76">
        <f>SUM(Y183:Y198)+SUMIFS(Aut_Ajustes_Manuais!$G:$G,Aut_Ajustes_Manuais!$I:$I,DRE!W$4,Aut_Ajustes_Manuais!$F:$F,"Encargos e Provisões")</f>
        <v>-8772.0348532650478</v>
      </c>
      <c r="Z182" s="258">
        <v>-38190.647432909092</v>
      </c>
      <c r="AA182" s="75">
        <v>-16360.34397305508</v>
      </c>
      <c r="AB182" s="76">
        <f>SUM(AB183:AB198)+SUMIFS(Aut_Ajustes_Manuais!$G:$G,Aut_Ajustes_Manuais!$I:$I,DRE!Z$4,Aut_Ajustes_Manuais!$F:$F,"Encargos e Provisões")</f>
        <v>-19958.964851999997</v>
      </c>
      <c r="AC182" s="258">
        <v>-20013.517976181822</v>
      </c>
      <c r="AD182" s="75">
        <v>-16264.844835094011</v>
      </c>
      <c r="AE182" s="76">
        <f>SUM(AE183:AE198)+SUMIFS(Aut_Ajustes_Manuais!$G:$G,Aut_Ajustes_Manuais!$I:$I,DRE!AC$4,Aut_Ajustes_Manuais!$F:$F,"Encargos e Provisões")</f>
        <v>-5362.6448519999994</v>
      </c>
      <c r="AF182" s="258">
        <v>-36773.060962545453</v>
      </c>
      <c r="AG182" s="75">
        <v>-15865.63177166579</v>
      </c>
      <c r="AH182" s="76">
        <f>SUM(AH183:AH198)+SUMIFS(Aut_Ajustes_Manuais!$G:$G,Aut_Ajustes_Manuais!$I:$I,DRE!AF$4,Aut_Ajustes_Manuais!$F:$F,"Encargos e Provisões")</f>
        <v>-5362.6448519999994</v>
      </c>
      <c r="AI182" s="258">
        <v>-28593.939574181819</v>
      </c>
      <c r="AJ182" s="75">
        <v>-15870.248203183641</v>
      </c>
      <c r="AK182" s="76">
        <f>SUM(AK183:AK198)+SUMIFS(Aut_Ajustes_Manuais!$G:$G,Aut_Ajustes_Manuais!$I:$I,DRE!AI$4,Aut_Ajustes_Manuais!$F:$F,"Encargos e Provisões")</f>
        <v>-5362.6448519999994</v>
      </c>
      <c r="AL182" s="258">
        <v>-35268.244700000003</v>
      </c>
      <c r="AM182" s="75">
        <v>-14208.66279789854</v>
      </c>
      <c r="AN182" s="76">
        <f>SUM(AN183:AN198)+SUMIFS(Aut_Ajustes_Manuais!$G:$G,Aut_Ajustes_Manuais!$I:$I,DRE!AL$4,Aut_Ajustes_Manuais!$F:$F,"Encargos e Provisões")</f>
        <v>-5362.6448519999994</v>
      </c>
      <c r="AO182" s="258">
        <v>-34227.424700000003</v>
      </c>
      <c r="AP182" s="75">
        <v>-14915.295604758079</v>
      </c>
      <c r="AQ182" s="76">
        <f>SUM(AQ183:AQ198)+SUMIFS(Aut_Ajustes_Manuais!$G:$G,Aut_Ajustes_Manuais!$I:$I,DRE!AO$4,Aut_Ajustes_Manuais!$F:$F,"Encargos e Provisões")</f>
        <v>-10511.674852</v>
      </c>
      <c r="AR182" s="258">
        <f t="shared" ca="1" si="147"/>
        <v>-110340.8336509091</v>
      </c>
      <c r="AS182" s="75">
        <f t="shared" ca="1" si="148"/>
        <v>-89252.147255368021</v>
      </c>
      <c r="AT182" s="76">
        <f t="shared" ca="1" si="149"/>
        <v>-78575.857704457376</v>
      </c>
      <c r="AU182" s="258">
        <f t="shared" ref="AU182:BI182" si="156">SUM(AU183:AU198)</f>
        <v>-303407.66899672727</v>
      </c>
      <c r="AV182" s="75">
        <f t="shared" si="156"/>
        <v>-182737.17444102315</v>
      </c>
      <c r="AW182" s="76">
        <f t="shared" si="156"/>
        <v>-130497.07681645737</v>
      </c>
      <c r="AX182" s="258">
        <f t="shared" si="156"/>
        <v>-47400.056861818186</v>
      </c>
      <c r="AY182" s="75">
        <f t="shared" si="156"/>
        <v>-42267.527548445214</v>
      </c>
      <c r="AZ182" s="76">
        <f t="shared" si="156"/>
        <v>-39608.623415208152</v>
      </c>
      <c r="BA182" s="258">
        <f t="shared" si="156"/>
        <v>-62940.776789090902</v>
      </c>
      <c r="BB182" s="75">
        <f t="shared" si="156"/>
        <v>-46984.619706922786</v>
      </c>
      <c r="BC182" s="76">
        <f t="shared" si="156"/>
        <v>-38967.234289249238</v>
      </c>
      <c r="BD182" s="258">
        <f t="shared" si="156"/>
        <v>-94977.226371636381</v>
      </c>
      <c r="BE182" s="75">
        <f t="shared" si="156"/>
        <v>-48490.820579814885</v>
      </c>
      <c r="BF182" s="76">
        <f t="shared" si="156"/>
        <v>-30684.254556</v>
      </c>
      <c r="BG182" s="258">
        <f t="shared" si="156"/>
        <v>-98089.608974181829</v>
      </c>
      <c r="BH182" s="75">
        <f t="shared" si="156"/>
        <v>-44994.206605840263</v>
      </c>
      <c r="BI182" s="76">
        <f t="shared" si="156"/>
        <v>-21236.964555999999</v>
      </c>
    </row>
    <row r="183" spans="1:61" s="29" customFormat="1" hidden="1" outlineLevel="1" x14ac:dyDescent="0.3">
      <c r="A183" s="22" t="s">
        <v>206</v>
      </c>
      <c r="B183" s="2"/>
      <c r="C183" s="467" t="s">
        <v>207</v>
      </c>
      <c r="D183" s="97" t="s">
        <v>208</v>
      </c>
      <c r="E183" s="98">
        <v>0.08</v>
      </c>
      <c r="F183" s="41"/>
      <c r="G183" s="33"/>
      <c r="H183" s="241">
        <v>-3773.73</v>
      </c>
      <c r="I183" s="27">
        <v>-5344.1882542285357</v>
      </c>
      <c r="J183" s="28">
        <f>SUMIFS(Aut_BlueMe_Sem_Pedido!$J:$J,Aut_BlueMe_Sem_Pedido!$Q:$Q,DRE!H$4,Aut_BlueMe_Sem_Pedido!$H:$H,DRE!$A183)+SUMIFS(Aut_Ajustes_Manuais!$G:$G,Aut_Ajustes_Manuais!$I:$I,DRE!H$4,Aut_Ajustes_Manuais!$F:$F,"  -  FGTS")</f>
        <v>-4537.4399999999996</v>
      </c>
      <c r="K183" s="241">
        <v>-4225.12</v>
      </c>
      <c r="L183" s="27">
        <v>-5344.1882542285357</v>
      </c>
      <c r="M183" s="28">
        <f>SUMIFS(Aut_BlueMe_Sem_Pedido!$J:$J,Aut_BlueMe_Sem_Pedido!$Q:$Q,DRE!K$4,Aut_BlueMe_Sem_Pedido!$H:$H,DRE!$A183)+SUMIFS(Aut_Ajustes_Manuais!$G:$G,Aut_Ajustes_Manuais!$I:$I,DRE!K$4,Aut_Ajustes_Manuais!$F:$F,"  -  FGTS")</f>
        <v>-5224.78</v>
      </c>
      <c r="N183" s="241">
        <v>-4421.7</v>
      </c>
      <c r="O183" s="27">
        <v>-5344.1882542285357</v>
      </c>
      <c r="P183" s="28">
        <f>SUMIFS(Aut_BlueMe_Sem_Pedido!$J:$J,Aut_BlueMe_Sem_Pedido!$Q:$Q,DRE!N$4,Aut_BlueMe_Sem_Pedido!$H:$H,DRE!$A183)+SUMIFS(Aut_Ajustes_Manuais!$G:$G,Aut_Ajustes_Manuais!$I:$I,DRE!N$4,Aut_Ajustes_Manuais!$F:$F,"  -  FGTS")</f>
        <v>-5206.8900000000003</v>
      </c>
      <c r="Q183" s="241">
        <v>-4870.75</v>
      </c>
      <c r="R183" s="27">
        <v>-5344.1882542285357</v>
      </c>
      <c r="S183" s="28">
        <f>SUMIFS(Aut_BlueMe_Sem_Pedido!$J:$J,Aut_BlueMe_Sem_Pedido!$Q:$Q,DRE!Q$4,Aut_BlueMe_Sem_Pedido!$H:$H,DRE!$A183)+SUMIFS(Aut_Ajustes_Manuais!$G:$G,Aut_Ajustes_Manuais!$I:$I,DRE!Q$4,Aut_Ajustes_Manuais!$F:$F,"  -  FGTS")</f>
        <v>-5523.77</v>
      </c>
      <c r="T183" s="241">
        <v>-5477.12</v>
      </c>
      <c r="U183" s="27">
        <v>-5344.1882542285357</v>
      </c>
      <c r="V183" s="28">
        <f>SUMIFS(Aut_BlueMe_Sem_Pedido!$J:$J,Aut_BlueMe_Sem_Pedido!$Q:$Q,DRE!T$4,Aut_BlueMe_Sem_Pedido!$H:$H,DRE!$A183)+SUMIFS(Aut_Ajustes_Manuais!$G:$G,Aut_Ajustes_Manuais!$I:$I,DRE!T$4,Aut_Ajustes_Manuais!$F:$F,"  -  FGTS")</f>
        <v>-4939.0200000000004</v>
      </c>
      <c r="W183" s="241">
        <v>-4742.66</v>
      </c>
      <c r="X183" s="27">
        <v>-5344.1882542285357</v>
      </c>
      <c r="Y183" s="28">
        <f>SUMIFS(Aut_BlueMe_Sem_Pedido!$J:$J,Aut_BlueMe_Sem_Pedido!$Q:$Q,DRE!W$4,Aut_BlueMe_Sem_Pedido!$H:$H,DRE!$A183)+SUMIFS(Aut_Ajustes_Manuais!$G:$G,Aut_Ajustes_Manuais!$I:$I,DRE!W$4,Aut_Ajustes_Manuais!$F:$F,"  -  FGTS")</f>
        <v>-4800</v>
      </c>
      <c r="Z183" s="241">
        <v>-5565.13</v>
      </c>
      <c r="AA183" s="27">
        <v>-5344.1882542285357</v>
      </c>
      <c r="AB183" s="28">
        <f>SUMIFS(Aut_BlueMe_Sem_Pedido!$J:$J,Aut_BlueMe_Sem_Pedido!$Q:$Q,DRE!Z$4,Aut_BlueMe_Sem_Pedido!$H:$H,DRE!$A183)+SUMIFS(Aut_Ajustes_Manuais!$G:$G,Aut_Ajustes_Manuais!$I:$I,DRE!Z$4,Aut_Ajustes_Manuais!$F:$F,"  -  FGTS")</f>
        <v>-4800</v>
      </c>
      <c r="AC183" s="241">
        <v>-5210.84</v>
      </c>
      <c r="AD183" s="27">
        <v>-5344.1882542285357</v>
      </c>
      <c r="AE183" s="28">
        <f>SUMIFS(Aut_BlueMe_Sem_Pedido!$J:$J,Aut_BlueMe_Sem_Pedido!$Q:$Q,DRE!AC$4,Aut_BlueMe_Sem_Pedido!$H:$H,DRE!$A183)+SUMIFS(Aut_Ajustes_Manuais!$G:$G,Aut_Ajustes_Manuais!$I:$I,DRE!AC$4,Aut_Ajustes_Manuais!$F:$F,"  -  FGTS")</f>
        <v>-4800</v>
      </c>
      <c r="AF183" s="241">
        <v>-4854.09</v>
      </c>
      <c r="AG183" s="27">
        <v>-5344.1882542285357</v>
      </c>
      <c r="AH183" s="28">
        <f>SUMIFS(Aut_BlueMe_Sem_Pedido!$J:$J,Aut_BlueMe_Sem_Pedido!$Q:$Q,DRE!AF$4,Aut_BlueMe_Sem_Pedido!$H:$H,DRE!$A183)+SUMIFS(Aut_Ajustes_Manuais!$G:$G,Aut_Ajustes_Manuais!$I:$I,DRE!AF$4,Aut_Ajustes_Manuais!$F:$F,"  -  FGTS")</f>
        <v>-4800</v>
      </c>
      <c r="AI183" s="241">
        <v>-4919.68</v>
      </c>
      <c r="AJ183" s="27">
        <v>-5344.1882542285357</v>
      </c>
      <c r="AK183" s="28">
        <f>SUMIFS(Aut_BlueMe_Sem_Pedido!$J:$J,Aut_BlueMe_Sem_Pedido!$Q:$Q,DRE!AI$4,Aut_BlueMe_Sem_Pedido!$H:$H,DRE!$A183)+SUMIFS(Aut_Ajustes_Manuais!$G:$G,Aut_Ajustes_Manuais!$I:$I,DRE!AI$4,Aut_Ajustes_Manuais!$F:$F,"  -  FGTS")</f>
        <v>-4800</v>
      </c>
      <c r="AL183" s="241">
        <v>-6487.33</v>
      </c>
      <c r="AM183" s="27">
        <v>-5344.1882542285357</v>
      </c>
      <c r="AN183" s="28">
        <f>SUMIFS(Aut_BlueMe_Sem_Pedido!$J:$J,Aut_BlueMe_Sem_Pedido!$Q:$Q,DRE!AL$4,Aut_BlueMe_Sem_Pedido!$H:$H,DRE!$A183)+SUMIFS(Aut_Ajustes_Manuais!$G:$G,Aut_Ajustes_Manuais!$I:$I,DRE!AL$4,Aut_Ajustes_Manuais!$F:$F,"  -  FGTS")</f>
        <v>-4800</v>
      </c>
      <c r="AO183" s="241">
        <v>-9870.93</v>
      </c>
      <c r="AP183" s="27">
        <v>-5344.1882542285357</v>
      </c>
      <c r="AQ183" s="28">
        <f>SUMIFS(Aut_BlueMe_Sem_Pedido!$J:$J,Aut_BlueMe_Sem_Pedido!$Q:$Q,DRE!AO$4,Aut_BlueMe_Sem_Pedido!$H:$H,DRE!$A183)+SUMIFS(Aut_Ajustes_Manuais!$G:$G,Aut_Ajustes_Manuais!$I:$I,DRE!AO$4,Aut_Ajustes_Manuais!$F:$F,"  -  FGTS")</f>
        <v>-4800</v>
      </c>
      <c r="AR183" s="241">
        <f t="shared" ca="1" si="147"/>
        <v>-27511.079999999998</v>
      </c>
      <c r="AS183" s="27">
        <f t="shared" ca="1" si="148"/>
        <v>-32065.129525371212</v>
      </c>
      <c r="AT183" s="28">
        <f t="shared" ca="1" si="149"/>
        <v>-30231.9</v>
      </c>
      <c r="AU183" s="241">
        <f t="shared" ref="AU183:AU198" si="157">SUM(H183,K183,N183,Q183,T183,W183,Z183,AC183,AF183,AI183,AL183,AO183)</f>
        <v>-64419.08</v>
      </c>
      <c r="AV183" s="27">
        <f t="shared" ref="AV183:AV198" si="158">SUM(I183,L183,O183,R183,U183,X183,AA183,AD183,AG183,AJ183,AM183,AP183)</f>
        <v>-64130.259050742439</v>
      </c>
      <c r="AW183" s="28">
        <f t="shared" ref="AW183:AW198" si="159">SUM(J183,M183,P183,S183,V183,Y183,AB183,AE183,AH183,AK183,AN183,AQ183)</f>
        <v>-59031.9</v>
      </c>
      <c r="AX183" s="241">
        <f t="shared" ref="AX183:AX198" si="160">SUM(H183,K183,N183)</f>
        <v>-12420.55</v>
      </c>
      <c r="AY183" s="27">
        <f t="shared" ref="AY183:AY198" si="161">SUM(I183,L183,O183)</f>
        <v>-16032.564762685608</v>
      </c>
      <c r="AZ183" s="28">
        <f t="shared" ref="AZ183:AZ198" si="162">SUM(J183,M183,P183)</f>
        <v>-14969.11</v>
      </c>
      <c r="BA183" s="241">
        <f t="shared" ref="BA183:BA198" si="163">SUM(Q183,T183,W183)</f>
        <v>-15090.529999999999</v>
      </c>
      <c r="BB183" s="27">
        <f t="shared" ref="BB183:BB198" si="164">SUM(R183,U183,X183)</f>
        <v>-16032.564762685608</v>
      </c>
      <c r="BC183" s="28">
        <f t="shared" ref="BC183:BC198" si="165">SUM(S183,V183,Y183)</f>
        <v>-15262.79</v>
      </c>
      <c r="BD183" s="241">
        <f t="shared" ref="BD183:BD198" si="166">SUM(Z183,AC183,AF183)</f>
        <v>-15630.060000000001</v>
      </c>
      <c r="BE183" s="27">
        <f t="shared" ref="BE183:BE198" si="167">SUM(AA183,AD183,AG183)</f>
        <v>-16032.564762685608</v>
      </c>
      <c r="BF183" s="28">
        <f t="shared" ref="BF183:BF198" si="168">SUM(AB183,AE183,AH183)</f>
        <v>-14400</v>
      </c>
      <c r="BG183" s="241">
        <f t="shared" ref="BG183:BG198" si="169">SUM(AI183,AL183,AO183)</f>
        <v>-21277.940000000002</v>
      </c>
      <c r="BH183" s="27">
        <f t="shared" ref="BH183:BH198" si="170">SUM(AJ183,AM183,AP183)</f>
        <v>-16032.564762685608</v>
      </c>
      <c r="BI183" s="28">
        <f t="shared" ref="BI183:BI198" si="171">SUM(AK183,AN183,AQ183)</f>
        <v>-14400</v>
      </c>
    </row>
    <row r="184" spans="1:61" s="29" customFormat="1" hidden="1" outlineLevel="1" x14ac:dyDescent="0.3">
      <c r="A184" s="22" t="s">
        <v>209</v>
      </c>
      <c r="B184" s="2"/>
      <c r="C184" s="468"/>
      <c r="D184" s="97" t="s">
        <v>210</v>
      </c>
      <c r="E184" s="98">
        <v>0.2</v>
      </c>
      <c r="F184" s="41"/>
      <c r="G184" s="33"/>
      <c r="H184" s="241">
        <v>0</v>
      </c>
      <c r="I184" s="27">
        <v>0</v>
      </c>
      <c r="J184" s="28">
        <f>SUMIFS(Aut_BlueMe_Sem_Pedido!$J:$J,Aut_BlueMe_Sem_Pedido!$Q:$Q,DRE!H$4,Aut_BlueMe_Sem_Pedido!$H:$H,DRE!$A184)+SUMIFS(Aut_Ajustes_Manuais!$G:$G,Aut_Ajustes_Manuais!$I:$I,DRE!H$4,Aut_Ajustes_Manuais!$F:$F,"  -  INSS Patronal")</f>
        <v>0</v>
      </c>
      <c r="K184" s="241">
        <v>0</v>
      </c>
      <c r="L184" s="27">
        <v>0</v>
      </c>
      <c r="M184" s="28">
        <f>SUMIFS(Aut_BlueMe_Sem_Pedido!$J:$J,Aut_BlueMe_Sem_Pedido!$Q:$Q,DRE!K$4,Aut_BlueMe_Sem_Pedido!$H:$H,DRE!$A184)+SUMIFS(Aut_Ajustes_Manuais!$G:$G,Aut_Ajustes_Manuais!$I:$I,DRE!K$4,Aut_Ajustes_Manuais!$F:$F,"  -  INSS Patronal")</f>
        <v>0</v>
      </c>
      <c r="N184" s="241">
        <v>0</v>
      </c>
      <c r="O184" s="27">
        <v>0</v>
      </c>
      <c r="P184" s="28">
        <f>SUMIFS(Aut_BlueMe_Sem_Pedido!$J:$J,Aut_BlueMe_Sem_Pedido!$Q:$Q,DRE!N$4,Aut_BlueMe_Sem_Pedido!$H:$H,DRE!$A184)+SUMIFS(Aut_Ajustes_Manuais!$G:$G,Aut_Ajustes_Manuais!$I:$I,DRE!N$4,Aut_Ajustes_Manuais!$F:$F,"  -  INSS Patronal")</f>
        <v>0</v>
      </c>
      <c r="Q184" s="241">
        <v>0</v>
      </c>
      <c r="R184" s="27">
        <v>0</v>
      </c>
      <c r="S184" s="28">
        <f>SUMIFS(Aut_BlueMe_Sem_Pedido!$J:$J,Aut_BlueMe_Sem_Pedido!$Q:$Q,DRE!Q$4,Aut_BlueMe_Sem_Pedido!$H:$H,DRE!$A184)+SUMIFS(Aut_Ajustes_Manuais!$G:$G,Aut_Ajustes_Manuais!$I:$I,DRE!Q$4,Aut_Ajustes_Manuais!$F:$F,"  -  INSS Patronal")</f>
        <v>0</v>
      </c>
      <c r="T184" s="241">
        <v>0</v>
      </c>
      <c r="U184" s="27">
        <v>0</v>
      </c>
      <c r="V184" s="28">
        <f>SUMIFS(Aut_BlueMe_Sem_Pedido!$J:$J,Aut_BlueMe_Sem_Pedido!$Q:$Q,DRE!T$4,Aut_BlueMe_Sem_Pedido!$H:$H,DRE!$A184)+SUMIFS(Aut_Ajustes_Manuais!$G:$G,Aut_Ajustes_Manuais!$I:$I,DRE!T$4,Aut_Ajustes_Manuais!$F:$F,"  -  INSS Patronal")</f>
        <v>0</v>
      </c>
      <c r="W184" s="241">
        <v>0</v>
      </c>
      <c r="X184" s="27">
        <v>0</v>
      </c>
      <c r="Y184" s="28">
        <f>SUMIFS(Aut_BlueMe_Sem_Pedido!$J:$J,Aut_BlueMe_Sem_Pedido!$Q:$Q,DRE!W$4,Aut_BlueMe_Sem_Pedido!$H:$H,DRE!$A184)+SUMIFS(Aut_Ajustes_Manuais!$G:$G,Aut_Ajustes_Manuais!$I:$I,DRE!W$4,Aut_Ajustes_Manuais!$F:$F,"  -  INSS Patronal")</f>
        <v>0</v>
      </c>
      <c r="Z184" s="241">
        <v>0</v>
      </c>
      <c r="AA184" s="27">
        <v>0</v>
      </c>
      <c r="AB184" s="28">
        <f>SUMIFS(Aut_BlueMe_Sem_Pedido!$J:$J,Aut_BlueMe_Sem_Pedido!$Q:$Q,DRE!Z$4,Aut_BlueMe_Sem_Pedido!$H:$H,DRE!$A184)+SUMIFS(Aut_Ajustes_Manuais!$G:$G,Aut_Ajustes_Manuais!$I:$I,DRE!Z$4,Aut_Ajustes_Manuais!$F:$F,"  -  INSS Patronal")</f>
        <v>0</v>
      </c>
      <c r="AC184" s="241">
        <v>0</v>
      </c>
      <c r="AD184" s="27">
        <v>0</v>
      </c>
      <c r="AE184" s="28">
        <f>SUMIFS(Aut_BlueMe_Sem_Pedido!$J:$J,Aut_BlueMe_Sem_Pedido!$Q:$Q,DRE!AC$4,Aut_BlueMe_Sem_Pedido!$H:$H,DRE!$A184)+SUMIFS(Aut_Ajustes_Manuais!$G:$G,Aut_Ajustes_Manuais!$I:$I,DRE!AC$4,Aut_Ajustes_Manuais!$F:$F,"  -  INSS Patronal")</f>
        <v>0</v>
      </c>
      <c r="AF184" s="241">
        <v>0</v>
      </c>
      <c r="AG184" s="27">
        <v>0</v>
      </c>
      <c r="AH184" s="28">
        <f>SUMIFS(Aut_BlueMe_Sem_Pedido!$J:$J,Aut_BlueMe_Sem_Pedido!$Q:$Q,DRE!AF$4,Aut_BlueMe_Sem_Pedido!$H:$H,DRE!$A184)+SUMIFS(Aut_Ajustes_Manuais!$G:$G,Aut_Ajustes_Manuais!$I:$I,DRE!AF$4,Aut_Ajustes_Manuais!$F:$F,"  -  INSS Patronal")</f>
        <v>0</v>
      </c>
      <c r="AI184" s="241">
        <v>0</v>
      </c>
      <c r="AJ184" s="27">
        <v>0</v>
      </c>
      <c r="AK184" s="28">
        <f>SUMIFS(Aut_BlueMe_Sem_Pedido!$J:$J,Aut_BlueMe_Sem_Pedido!$Q:$Q,DRE!AI$4,Aut_BlueMe_Sem_Pedido!$H:$H,DRE!$A184)+SUMIFS(Aut_Ajustes_Manuais!$G:$G,Aut_Ajustes_Manuais!$I:$I,DRE!AI$4,Aut_Ajustes_Manuais!$F:$F,"  -  INSS Patronal")</f>
        <v>0</v>
      </c>
      <c r="AL184" s="241">
        <v>0</v>
      </c>
      <c r="AM184" s="27">
        <v>0</v>
      </c>
      <c r="AN184" s="28">
        <f>SUMIFS(Aut_BlueMe_Sem_Pedido!$J:$J,Aut_BlueMe_Sem_Pedido!$Q:$Q,DRE!AL$4,Aut_BlueMe_Sem_Pedido!$H:$H,DRE!$A184)+SUMIFS(Aut_Ajustes_Manuais!$G:$G,Aut_Ajustes_Manuais!$I:$I,DRE!AL$4,Aut_Ajustes_Manuais!$F:$F,"  -  INSS Patronal")</f>
        <v>0</v>
      </c>
      <c r="AO184" s="241">
        <v>0</v>
      </c>
      <c r="AP184" s="27">
        <v>0</v>
      </c>
      <c r="AQ184" s="28">
        <f>SUMIFS(Aut_BlueMe_Sem_Pedido!$J:$J,Aut_BlueMe_Sem_Pedido!$Q:$Q,DRE!AO$4,Aut_BlueMe_Sem_Pedido!$H:$H,DRE!$A184)+SUMIFS(Aut_Ajustes_Manuais!$G:$G,Aut_Ajustes_Manuais!$I:$I,DRE!AO$4,Aut_Ajustes_Manuais!$F:$F,"  -  INSS Patronal")</f>
        <v>0</v>
      </c>
      <c r="AR184" s="241">
        <f t="shared" ca="1" si="147"/>
        <v>0</v>
      </c>
      <c r="AS184" s="27">
        <f t="shared" ca="1" si="148"/>
        <v>0</v>
      </c>
      <c r="AT184" s="28">
        <f t="shared" ca="1" si="149"/>
        <v>0</v>
      </c>
      <c r="AU184" s="241">
        <f t="shared" si="157"/>
        <v>0</v>
      </c>
      <c r="AV184" s="27">
        <f t="shared" si="158"/>
        <v>0</v>
      </c>
      <c r="AW184" s="28">
        <f t="shared" si="159"/>
        <v>0</v>
      </c>
      <c r="AX184" s="241">
        <f t="shared" si="160"/>
        <v>0</v>
      </c>
      <c r="AY184" s="27">
        <f t="shared" si="161"/>
        <v>0</v>
      </c>
      <c r="AZ184" s="28">
        <f t="shared" si="162"/>
        <v>0</v>
      </c>
      <c r="BA184" s="241">
        <f t="shared" si="163"/>
        <v>0</v>
      </c>
      <c r="BB184" s="27">
        <f t="shared" si="164"/>
        <v>0</v>
      </c>
      <c r="BC184" s="28">
        <f t="shared" si="165"/>
        <v>0</v>
      </c>
      <c r="BD184" s="241">
        <f t="shared" si="166"/>
        <v>0</v>
      </c>
      <c r="BE184" s="27">
        <f t="shared" si="167"/>
        <v>0</v>
      </c>
      <c r="BF184" s="28">
        <f t="shared" si="168"/>
        <v>0</v>
      </c>
      <c r="BG184" s="241">
        <f t="shared" si="169"/>
        <v>0</v>
      </c>
      <c r="BH184" s="27">
        <f t="shared" si="170"/>
        <v>0</v>
      </c>
      <c r="BI184" s="28">
        <f t="shared" si="171"/>
        <v>0</v>
      </c>
    </row>
    <row r="185" spans="1:61" s="29" customFormat="1" ht="25.2" hidden="1" customHeight="1" outlineLevel="1" x14ac:dyDescent="0.3">
      <c r="A185" s="22" t="s">
        <v>211</v>
      </c>
      <c r="B185" s="2"/>
      <c r="C185" s="468"/>
      <c r="D185" s="99" t="s">
        <v>212</v>
      </c>
      <c r="E185" s="98">
        <v>0</v>
      </c>
      <c r="F185" s="41"/>
      <c r="G185" s="33"/>
      <c r="H185" s="241">
        <v>-4162</v>
      </c>
      <c r="I185" s="27">
        <v>0</v>
      </c>
      <c r="J185" s="28">
        <f>SUMIFS(Aut_BlueMe_Sem_Pedido!$J:$J,Aut_BlueMe_Sem_Pedido!$Q:$Q,DRE!H$4,Aut_BlueMe_Sem_Pedido!$H:$H,DRE!$A185)-SUMIFS(Aut_BlueMe_Sem_Pedido!$J:$J,Aut_BlueMe_Sem_Pedido!$Q:$Q,DRE!H$4,Aut_BlueMe_Sem_Pedido!$H:$H,"  -  INSS Segurados")+SUMIFS(Aut_Ajustes_Manuais!$G:$G,Aut_Ajustes_Manuais!$I:$I,DRE!H$4,Aut_Ajustes_Manuais!$F:$F,"  -  INSS Segurados")</f>
        <v>0</v>
      </c>
      <c r="K185" s="241">
        <v>-4844</v>
      </c>
      <c r="L185" s="27">
        <v>0</v>
      </c>
      <c r="M185" s="28">
        <f>SUMIFS(Aut_BlueMe_Sem_Pedido!$J:$J,Aut_BlueMe_Sem_Pedido!$Q:$Q,DRE!K$4,Aut_BlueMe_Sem_Pedido!$H:$H,DRE!$A185)-SUMIFS(Aut_BlueMe_Sem_Pedido!$J:$J,Aut_BlueMe_Sem_Pedido!$Q:$Q,DRE!K$4,Aut_BlueMe_Sem_Pedido!$H:$H,"  -  INSS Segurados")+SUMIFS(Aut_Ajustes_Manuais!$G:$G,Aut_Ajustes_Manuais!$I:$I,DRE!K$4,Aut_Ajustes_Manuais!$F:$F,"  -  INSS Segurados")</f>
        <v>0</v>
      </c>
      <c r="N185" s="241">
        <v>-5133.45</v>
      </c>
      <c r="O185" s="27">
        <v>0</v>
      </c>
      <c r="P185" s="28">
        <f>SUMIFS(Aut_BlueMe_Sem_Pedido!$J:$J,Aut_BlueMe_Sem_Pedido!$Q:$Q,DRE!N$4,Aut_BlueMe_Sem_Pedido!$H:$H,DRE!$A185)-SUMIFS(Aut_BlueMe_Sem_Pedido!$J:$J,Aut_BlueMe_Sem_Pedido!$Q:$Q,DRE!N$4,Aut_BlueMe_Sem_Pedido!$H:$H,"  -  INSS Segurados")+SUMIFS(Aut_Ajustes_Manuais!$G:$G,Aut_Ajustes_Manuais!$I:$I,DRE!N$4,Aut_Ajustes_Manuais!$F:$F,"  -  INSS Segurados")</f>
        <v>0</v>
      </c>
      <c r="Q185" s="241">
        <v>-5577.84</v>
      </c>
      <c r="R185" s="27">
        <v>0</v>
      </c>
      <c r="S185" s="28">
        <f>SUMIFS(Aut_BlueMe_Sem_Pedido!$J:$J,Aut_BlueMe_Sem_Pedido!$Q:$Q,DRE!Q$4,Aut_BlueMe_Sem_Pedido!$H:$H,DRE!$A185)-SUMIFS(Aut_BlueMe_Sem_Pedido!$J:$J,Aut_BlueMe_Sem_Pedido!$Q:$Q,DRE!Q$4,Aut_BlueMe_Sem_Pedido!$H:$H,"  -  INSS Segurados")+SUMIFS(Aut_Ajustes_Manuais!$G:$G,Aut_Ajustes_Manuais!$I:$I,DRE!Q$4,Aut_Ajustes_Manuais!$F:$F,"  -  INSS Segurados")</f>
        <v>0</v>
      </c>
      <c r="T185" s="241">
        <v>-6466.83</v>
      </c>
      <c r="U185" s="27">
        <v>0</v>
      </c>
      <c r="V185" s="28">
        <f>SUMIFS(Aut_BlueMe_Sem_Pedido!$J:$J,Aut_BlueMe_Sem_Pedido!$Q:$Q,DRE!T$4,Aut_BlueMe_Sem_Pedido!$H:$H,DRE!$A185)-SUMIFS(Aut_BlueMe_Sem_Pedido!$J:$J,Aut_BlueMe_Sem_Pedido!$Q:$Q,DRE!T$4,Aut_BlueMe_Sem_Pedido!$H:$H,"  -  INSS Segurados")+SUMIFS(Aut_Ajustes_Manuais!$G:$G,Aut_Ajustes_Manuais!$I:$I,DRE!T$4,Aut_Ajustes_Manuais!$F:$F,"  -  INSS Segurados")</f>
        <v>0</v>
      </c>
      <c r="W185" s="241">
        <v>-5603.81</v>
      </c>
      <c r="X185" s="27">
        <v>0</v>
      </c>
      <c r="Y185" s="28">
        <f>SUMIFS(Aut_BlueMe_Sem_Pedido!$J:$J,Aut_BlueMe_Sem_Pedido!$Q:$Q,DRE!W$4,Aut_BlueMe_Sem_Pedido!$H:$H,DRE!$A185)-SUMIFS(Aut_BlueMe_Sem_Pedido!$J:$J,Aut_BlueMe_Sem_Pedido!$Q:$Q,DRE!W$4,Aut_BlueMe_Sem_Pedido!$H:$H,"  -  INSS Segurados")+SUMIFS(Aut_Ajustes_Manuais!$G:$G,Aut_Ajustes_Manuais!$I:$I,DRE!W$4,Aut_Ajustes_Manuais!$F:$F,"  -  INSS Segurados")</f>
        <v>0</v>
      </c>
      <c r="Z185" s="241">
        <v>-7016.38</v>
      </c>
      <c r="AA185" s="27">
        <v>0</v>
      </c>
      <c r="AB185" s="28">
        <f>SUMIFS(Aut_BlueMe_Sem_Pedido!$J:$J,Aut_BlueMe_Sem_Pedido!$Q:$Q,DRE!Z$4,Aut_BlueMe_Sem_Pedido!$H:$H,DRE!$A185)-SUMIFS(Aut_BlueMe_Sem_Pedido!$J:$J,Aut_BlueMe_Sem_Pedido!$Q:$Q,DRE!Z$4,Aut_BlueMe_Sem_Pedido!$H:$H,"  -  INSS Segurados")+SUMIFS(Aut_Ajustes_Manuais!$G:$G,Aut_Ajustes_Manuais!$I:$I,DRE!Z$4,Aut_Ajustes_Manuais!$F:$F,"  -  INSS Segurados")</f>
        <v>0</v>
      </c>
      <c r="AC185" s="241">
        <v>-6171.11</v>
      </c>
      <c r="AD185" s="27">
        <v>0</v>
      </c>
      <c r="AE185" s="28">
        <f>SUMIFS(Aut_BlueMe_Sem_Pedido!$J:$J,Aut_BlueMe_Sem_Pedido!$Q:$Q,DRE!AC$4,Aut_BlueMe_Sem_Pedido!$H:$H,DRE!$A185)-SUMIFS(Aut_BlueMe_Sem_Pedido!$J:$J,Aut_BlueMe_Sem_Pedido!$Q:$Q,DRE!AC$4,Aut_BlueMe_Sem_Pedido!$H:$H,"  -  INSS Segurados")+SUMIFS(Aut_Ajustes_Manuais!$G:$G,Aut_Ajustes_Manuais!$I:$I,DRE!AC$4,Aut_Ajustes_Manuais!$F:$F,"  -  INSS Segurados")</f>
        <v>0</v>
      </c>
      <c r="AF185" s="241">
        <v>-6517.91</v>
      </c>
      <c r="AG185" s="27">
        <v>0</v>
      </c>
      <c r="AH185" s="28">
        <f>SUMIFS(Aut_BlueMe_Sem_Pedido!$J:$J,Aut_BlueMe_Sem_Pedido!$Q:$Q,DRE!AF$4,Aut_BlueMe_Sem_Pedido!$H:$H,DRE!$A185)-SUMIFS(Aut_BlueMe_Sem_Pedido!$J:$J,Aut_BlueMe_Sem_Pedido!$Q:$Q,DRE!AF$4,Aut_BlueMe_Sem_Pedido!$H:$H,"  -  INSS Segurados")+SUMIFS(Aut_Ajustes_Manuais!$G:$G,Aut_Ajustes_Manuais!$I:$I,DRE!AF$4,Aut_Ajustes_Manuais!$F:$F,"  -  INSS Segurados")</f>
        <v>0</v>
      </c>
      <c r="AI185" s="241">
        <v>-5738.46</v>
      </c>
      <c r="AJ185" s="27">
        <v>0</v>
      </c>
      <c r="AK185" s="28">
        <f>SUMIFS(Aut_BlueMe_Sem_Pedido!$J:$J,Aut_BlueMe_Sem_Pedido!$Q:$Q,DRE!AI$4,Aut_BlueMe_Sem_Pedido!$H:$H,DRE!$A185)-SUMIFS(Aut_BlueMe_Sem_Pedido!$J:$J,Aut_BlueMe_Sem_Pedido!$Q:$Q,DRE!AI$4,Aut_BlueMe_Sem_Pedido!$H:$H,"  -  INSS Segurados")+SUMIFS(Aut_Ajustes_Manuais!$G:$G,Aut_Ajustes_Manuais!$I:$I,DRE!AI$4,Aut_Ajustes_Manuais!$F:$F,"  -  INSS Segurados")</f>
        <v>0</v>
      </c>
      <c r="AL185" s="241">
        <v>-5625.5</v>
      </c>
      <c r="AM185" s="27">
        <v>0</v>
      </c>
      <c r="AN185" s="28">
        <f>SUMIFS(Aut_BlueMe_Sem_Pedido!$J:$J,Aut_BlueMe_Sem_Pedido!$Q:$Q,DRE!AL$4,Aut_BlueMe_Sem_Pedido!$H:$H,DRE!$A185)-SUMIFS(Aut_BlueMe_Sem_Pedido!$J:$J,Aut_BlueMe_Sem_Pedido!$Q:$Q,DRE!AL$4,Aut_BlueMe_Sem_Pedido!$H:$H,"  -  INSS Segurados")+SUMIFS(Aut_Ajustes_Manuais!$G:$G,Aut_Ajustes_Manuais!$I:$I,DRE!AL$4,Aut_Ajustes_Manuais!$F:$F,"  -  INSS Segurados")</f>
        <v>0</v>
      </c>
      <c r="AO185" s="241">
        <v>-10646.58</v>
      </c>
      <c r="AP185" s="27">
        <v>0</v>
      </c>
      <c r="AQ185" s="28">
        <f>SUMIFS(Aut_BlueMe_Sem_Pedido!$J:$J,Aut_BlueMe_Sem_Pedido!$Q:$Q,DRE!AO$4,Aut_BlueMe_Sem_Pedido!$H:$H,DRE!$A185)-SUMIFS(Aut_BlueMe_Sem_Pedido!$J:$J,Aut_BlueMe_Sem_Pedido!$Q:$Q,DRE!AO$4,Aut_BlueMe_Sem_Pedido!$H:$H,"  -  INSS Segurados")+SUMIFS(Aut_Ajustes_Manuais!$G:$G,Aut_Ajustes_Manuais!$I:$I,DRE!AO$4,Aut_Ajustes_Manuais!$F:$F,"  -  INSS Segurados")</f>
        <v>0</v>
      </c>
      <c r="AR185" s="241">
        <f t="shared" ca="1" si="147"/>
        <v>-31787.930000000004</v>
      </c>
      <c r="AS185" s="27">
        <f t="shared" ca="1" si="148"/>
        <v>0</v>
      </c>
      <c r="AT185" s="28">
        <f t="shared" ca="1" si="149"/>
        <v>0</v>
      </c>
      <c r="AU185" s="241">
        <f t="shared" si="157"/>
        <v>-73503.87</v>
      </c>
      <c r="AV185" s="27">
        <f t="shared" si="158"/>
        <v>0</v>
      </c>
      <c r="AW185" s="28">
        <f t="shared" si="159"/>
        <v>0</v>
      </c>
      <c r="AX185" s="241">
        <f t="shared" si="160"/>
        <v>-14139.45</v>
      </c>
      <c r="AY185" s="27">
        <f t="shared" si="161"/>
        <v>0</v>
      </c>
      <c r="AZ185" s="28">
        <f t="shared" si="162"/>
        <v>0</v>
      </c>
      <c r="BA185" s="241">
        <f t="shared" si="163"/>
        <v>-17648.48</v>
      </c>
      <c r="BB185" s="27">
        <f t="shared" si="164"/>
        <v>0</v>
      </c>
      <c r="BC185" s="28">
        <f t="shared" si="165"/>
        <v>0</v>
      </c>
      <c r="BD185" s="241">
        <f t="shared" si="166"/>
        <v>-19705.400000000001</v>
      </c>
      <c r="BE185" s="27">
        <f t="shared" si="167"/>
        <v>0</v>
      </c>
      <c r="BF185" s="28">
        <f t="shared" si="168"/>
        <v>0</v>
      </c>
      <c r="BG185" s="241">
        <f t="shared" si="169"/>
        <v>-22010.54</v>
      </c>
      <c r="BH185" s="27">
        <f t="shared" si="170"/>
        <v>0</v>
      </c>
      <c r="BI185" s="28">
        <f t="shared" si="171"/>
        <v>0</v>
      </c>
    </row>
    <row r="186" spans="1:61" s="29" customFormat="1" hidden="1" outlineLevel="1" x14ac:dyDescent="0.3">
      <c r="A186" s="22" t="s">
        <v>213</v>
      </c>
      <c r="B186" s="2"/>
      <c r="C186" s="468"/>
      <c r="D186" s="97" t="s">
        <v>214</v>
      </c>
      <c r="E186" s="98">
        <v>8.3299999999999999E-2</v>
      </c>
      <c r="F186" s="41"/>
      <c r="G186" s="33"/>
      <c r="H186" s="241">
        <v>-2619.2522666666682</v>
      </c>
      <c r="I186" s="27">
        <v>-3127.8572840900538</v>
      </c>
      <c r="J186" s="28">
        <f>((J120+J89)/12)*$E$186+SUMIFS(Aut_Ajustes_Manuais!$G:$G,Aut_Ajustes_Manuais!$I:$I,DRE!H$4,Aut_Ajustes_Manuais!$F:$F,"  -  13º Salário")</f>
        <v>-375.30933008333335</v>
      </c>
      <c r="K186" s="241">
        <v>-2701.6963999999998</v>
      </c>
      <c r="L186" s="27">
        <v>-3131.7802673811188</v>
      </c>
      <c r="M186" s="28">
        <f>((M120+M89)/12)*$E$186+SUMIFS(Aut_Ajustes_Manuais!$G:$G,Aut_Ajustes_Manuais!$I:$I,DRE!K$4,Aut_Ajustes_Manuais!$F:$F,"  -  13º Salário")</f>
        <v>-436.96785125000019</v>
      </c>
      <c r="N186" s="241">
        <v>-2667.273333333334</v>
      </c>
      <c r="O186" s="27">
        <v>-3193.1803847732681</v>
      </c>
      <c r="P186" s="28">
        <f>((P120+P89)/12)*$E$186+SUMIFS(Aut_Ajustes_Manuais!$G:$G,Aut_Ajustes_Manuais!$I:$I,DRE!N$4,Aut_Ajustes_Manuais!$F:$F,"  -  13º Salário")</f>
        <v>-438.46877841666679</v>
      </c>
      <c r="Q186" s="241">
        <v>-2467.030400000001</v>
      </c>
      <c r="R186" s="27">
        <v>-3173.5792000158981</v>
      </c>
      <c r="S186" s="28">
        <f>((S120+S89)/12)*$E$186+SUMIFS(Aut_Ajustes_Manuais!$G:$G,Aut_Ajustes_Manuais!$I:$I,DRE!Q$4,Aut_Ajustes_Manuais!$F:$F,"  -  13º Salário")</f>
        <v>-491.01122525</v>
      </c>
      <c r="T186" s="241">
        <v>-2699.6293333333319</v>
      </c>
      <c r="U186" s="27">
        <v>-3299.4479350946781</v>
      </c>
      <c r="V186" s="28">
        <f>((V120+V89)/12)*$E$186+SUMIFS(Aut_Ajustes_Manuais!$G:$G,Aut_Ajustes_Manuais!$I:$I,DRE!T$4,Aut_Ajustes_Manuais!$F:$F,"  -  13º Salário")</f>
        <v>-417.59678333333335</v>
      </c>
      <c r="W186" s="241">
        <v>-2736.1488000000008</v>
      </c>
      <c r="X186" s="27">
        <v>-3278.0458503976829</v>
      </c>
      <c r="Y186" s="28">
        <f>((Y120+Y89)/12)*$E$186+SUMIFS(Aut_Ajustes_Manuais!$G:$G,Aut_Ajustes_Manuais!$I:$I,DRE!W$4,Aut_Ajustes_Manuais!$F:$F,"  -  13º Salário")</f>
        <v>-441.58183824999998</v>
      </c>
      <c r="Z186" s="241">
        <v>-2594.384466666666</v>
      </c>
      <c r="AA186" s="27">
        <v>-3347.9606546294431</v>
      </c>
      <c r="AB186" s="28">
        <f>((AB120+AB89)/12)*$E$186+SUMIFS(Aut_Ajustes_Manuais!$G:$G,Aut_Ajustes_Manuais!$I:$I,DRE!Z$4,Aut_Ajustes_Manuais!$F:$F,"  -  13º Salário")</f>
        <v>-549.78</v>
      </c>
      <c r="AC186" s="241">
        <v>-2725.6800666666668</v>
      </c>
      <c r="AD186" s="27">
        <v>-3339.227583464738</v>
      </c>
      <c r="AE186" s="28">
        <f>((AE120+AE89)/12)*$E$186+SUMIFS(Aut_Ajustes_Manuais!$G:$G,Aut_Ajustes_Manuais!$I:$I,DRE!AC$4,Aut_Ajustes_Manuais!$F:$F,"  -  13º Salário")</f>
        <v>-549.78</v>
      </c>
      <c r="AF186" s="241">
        <v>-2474.6349333333342</v>
      </c>
      <c r="AG186" s="27">
        <v>-3302.7209074126472</v>
      </c>
      <c r="AH186" s="28">
        <f>((AH120+AH89)/12)*$E$186+SUMIFS(Aut_Ajustes_Manuais!$G:$G,Aut_Ajustes_Manuais!$I:$I,DRE!AF$4,Aut_Ajustes_Manuais!$F:$F,"  -  13º Salário")</f>
        <v>-549.78</v>
      </c>
      <c r="AI186" s="241">
        <v>-2655.5393333333341</v>
      </c>
      <c r="AJ186" s="27">
        <v>-3303.1430643643539</v>
      </c>
      <c r="AK186" s="28">
        <f>((AK120+AK89)/12)*$E$186+SUMIFS(Aut_Ajustes_Manuais!$G:$G,Aut_Ajustes_Manuais!$I:$I,DRE!AI$4,Aut_Ajustes_Manuais!$F:$F,"  -  13º Salário")</f>
        <v>-549.78</v>
      </c>
      <c r="AL186" s="241">
        <v>-7846.77</v>
      </c>
      <c r="AM186" s="27">
        <v>-3318.849437537292</v>
      </c>
      <c r="AN186" s="28">
        <f>((AN120+AN89)/12)*$E$186+SUMIFS(Aut_Ajustes_Manuais!$G:$G,Aut_Ajustes_Manuais!$I:$I,DRE!AL$4,Aut_Ajustes_Manuais!$F:$F,"  -  13º Salário")</f>
        <v>-549.78</v>
      </c>
      <c r="AO186" s="241">
        <v>-7846.77</v>
      </c>
      <c r="AP186" s="27">
        <v>-3383.4686029179852</v>
      </c>
      <c r="AQ186" s="28">
        <f>((AQ120+AQ89)/12)*$E$186+SUMIFS(Aut_Ajustes_Manuais!$G:$G,Aut_Ajustes_Manuais!$I:$I,DRE!AO$4,Aut_Ajustes_Manuais!$F:$F,"  -  13º Salário")</f>
        <v>-549.78</v>
      </c>
      <c r="AR186" s="241">
        <f t="shared" ca="1" si="147"/>
        <v>-15891.030533333336</v>
      </c>
      <c r="AS186" s="27">
        <f t="shared" ca="1" si="148"/>
        <v>-19203.8909217527</v>
      </c>
      <c r="AT186" s="28">
        <f t="shared" ca="1" si="149"/>
        <v>-2600.9358065833339</v>
      </c>
      <c r="AU186" s="241">
        <f t="shared" si="157"/>
        <v>-42034.809333333338</v>
      </c>
      <c r="AV186" s="27">
        <f t="shared" si="158"/>
        <v>-39199.261172079161</v>
      </c>
      <c r="AW186" s="28">
        <f t="shared" si="159"/>
        <v>-5899.6158065833324</v>
      </c>
      <c r="AX186" s="241">
        <f t="shared" si="160"/>
        <v>-7988.2220000000016</v>
      </c>
      <c r="AY186" s="27">
        <f t="shared" si="161"/>
        <v>-9452.8179362444407</v>
      </c>
      <c r="AZ186" s="28">
        <f t="shared" si="162"/>
        <v>-1250.7459597500003</v>
      </c>
      <c r="BA186" s="241">
        <f t="shared" si="163"/>
        <v>-7902.8085333333338</v>
      </c>
      <c r="BB186" s="27">
        <f t="shared" si="164"/>
        <v>-9751.0729855082591</v>
      </c>
      <c r="BC186" s="28">
        <f t="shared" si="165"/>
        <v>-1350.1898468333334</v>
      </c>
      <c r="BD186" s="241">
        <f t="shared" si="166"/>
        <v>-7794.6994666666669</v>
      </c>
      <c r="BE186" s="27">
        <f t="shared" si="167"/>
        <v>-9989.9091455068283</v>
      </c>
      <c r="BF186" s="28">
        <f t="shared" si="168"/>
        <v>-1649.34</v>
      </c>
      <c r="BG186" s="241">
        <f t="shared" si="169"/>
        <v>-18349.079333333335</v>
      </c>
      <c r="BH186" s="27">
        <f t="shared" si="170"/>
        <v>-10005.461104819631</v>
      </c>
      <c r="BI186" s="28">
        <f t="shared" si="171"/>
        <v>-1649.34</v>
      </c>
    </row>
    <row r="187" spans="1:61" s="29" customFormat="1" ht="25.2" hidden="1" customHeight="1" outlineLevel="1" x14ac:dyDescent="0.3">
      <c r="A187" s="22" t="s">
        <v>215</v>
      </c>
      <c r="B187" s="2"/>
      <c r="C187" s="468"/>
      <c r="D187" s="99" t="s">
        <v>216</v>
      </c>
      <c r="E187" s="97"/>
      <c r="F187" s="41"/>
      <c r="G187" s="33"/>
      <c r="H187" s="241">
        <v>-4141.1899999999996</v>
      </c>
      <c r="I187" s="27">
        <v>-1806.948897433829</v>
      </c>
      <c r="J187" s="27">
        <f>SUMIFS(Aut_BlueMe_Sem_Pedido!$J:$J,Aut_BlueMe_Sem_Pedido!$Q:$Q,DRE!H$4,Aut_BlueMe_Sem_Pedido!$H:$H,DRE!$A187)+SUMIFS(Aut_Ajustes_Manuais!$G:$G,Aut_Ajustes_Manuais!$I:$I,DRE!H$4,Aut_Ajustes_Manuais!$F:$F,"  -  Férias")</f>
        <v>-4765.37</v>
      </c>
      <c r="K187" s="241">
        <v>0</v>
      </c>
      <c r="L187" s="27">
        <v>-1822.631411670621</v>
      </c>
      <c r="M187" s="28">
        <f>SUMIFS(Aut_BlueMe_Sem_Pedido!$J:$J,Aut_BlueMe_Sem_Pedido!$Q:$Q,DRE!K$4,Aut_BlueMe_Sem_Pedido!$H:$H,DRE!$A187)+SUMIFS(Aut_Ajustes_Manuais!$G:$G,Aut_Ajustes_Manuais!$I:$I,DRE!K$4,Aut_Ajustes_Manuais!$F:$F,"  -  Férias")</f>
        <v>0</v>
      </c>
      <c r="N187" s="241">
        <v>0</v>
      </c>
      <c r="O187" s="27">
        <v>-2068.084461989773</v>
      </c>
      <c r="P187" s="28">
        <f>SUMIFS(Aut_BlueMe_Sem_Pedido!$J:$J,Aut_BlueMe_Sem_Pedido!$Q:$Q,DRE!N$4,Aut_BlueMe_Sem_Pedido!$H:$H,DRE!$A187)+SUMIFS(Aut_Ajustes_Manuais!$G:$G,Aut_Ajustes_Manuais!$I:$I,DRE!N$4,Aut_Ajustes_Manuais!$F:$F,"  -  Férias")</f>
        <v>-5229.26</v>
      </c>
      <c r="Q187" s="241">
        <v>0</v>
      </c>
      <c r="R187" s="27">
        <v>-1989.7267846283801</v>
      </c>
      <c r="S187" s="28">
        <f>SUMIFS(Aut_BlueMe_Sem_Pedido!$J:$J,Aut_BlueMe_Sem_Pedido!$Q:$Q,DRE!Q$4,Aut_BlueMe_Sem_Pedido!$H:$H,DRE!$A187)+SUMIFS(Aut_Ajustes_Manuais!$G:$G,Aut_Ajustes_Manuais!$I:$I,DRE!Q$4,Aut_Ajustes_Manuais!$F:$F,"  -  Férias")</f>
        <v>-9575.48</v>
      </c>
      <c r="T187" s="241">
        <v>-8564.4700000000012</v>
      </c>
      <c r="U187" s="27">
        <v>-2043.626763241972</v>
      </c>
      <c r="V187" s="28">
        <f>SUMIFS(Aut_BlueMe_Sem_Pedido!$J:$J,Aut_BlueMe_Sem_Pedido!$Q:$Q,DRE!T$4,Aut_BlueMe_Sem_Pedido!$H:$H,DRE!$A187)+SUMIFS(Aut_Ajustes_Manuais!$G:$G,Aut_Ajustes_Manuais!$I:$I,DRE!T$4,Aut_Ajustes_Manuais!$F:$F,"  -  Férias")</f>
        <v>-9227.0600000000013</v>
      </c>
      <c r="W187" s="241">
        <v>0</v>
      </c>
      <c r="X187" s="27">
        <v>-1958.069810011488</v>
      </c>
      <c r="Y187" s="28">
        <f>SUMIFS(Aut_BlueMe_Sem_Pedido!$J:$J,Aut_BlueMe_Sem_Pedido!$Q:$Q,DRE!W$4,Aut_BlueMe_Sem_Pedido!$H:$H,DRE!$A187)+SUMIFS(Aut_Ajustes_Manuais!$G:$G,Aut_Ajustes_Manuais!$I:$I,DRE!W$4,Aut_Ajustes_Manuais!$F:$F,"  -  Férias")</f>
        <v>-3520.12</v>
      </c>
      <c r="Z187" s="241">
        <v>-4110.8999999999996</v>
      </c>
      <c r="AA187" s="27">
        <v>-2237.5611642633012</v>
      </c>
      <c r="AB187" s="28">
        <f>SUMIFS(Aut_BlueMe_Sem_Pedido!$J:$J,Aut_BlueMe_Sem_Pedido!$Q:$Q,DRE!Z$4,Aut_BlueMe_Sem_Pedido!$H:$H,DRE!$A187)+SUMIFS(Aut_Ajustes_Manuais!$G:$G,Aut_Ajustes_Manuais!$I:$I,DRE!Z$4,Aut_Ajustes_Manuais!$F:$F,"  -  Férias")</f>
        <v>-10596.32</v>
      </c>
      <c r="AC187" s="241">
        <v>-3714.29</v>
      </c>
      <c r="AD187" s="27">
        <v>-2202.6498473623801</v>
      </c>
      <c r="AE187" s="28">
        <f>SUMIFS(Aut_BlueMe_Sem_Pedido!$J:$J,Aut_BlueMe_Sem_Pedido!$Q:$Q,DRE!AC$4,Aut_BlueMe_Sem_Pedido!$H:$H,DRE!$A187)+SUMIFS(Aut_Ajustes_Manuais!$G:$G,Aut_Ajustes_Manuais!$I:$I,DRE!AC$4,Aut_Ajustes_Manuais!$F:$F,"  -  Férias")</f>
        <v>0</v>
      </c>
      <c r="AF187" s="241">
        <v>0</v>
      </c>
      <c r="AG187" s="27">
        <v>-2056.710794236973</v>
      </c>
      <c r="AH187" s="28">
        <f>SUMIFS(Aut_BlueMe_Sem_Pedido!$J:$J,Aut_BlueMe_Sem_Pedido!$Q:$Q,DRE!AF$4,Aut_BlueMe_Sem_Pedido!$H:$H,DRE!$A187)+SUMIFS(Aut_Ajustes_Manuais!$G:$G,Aut_Ajustes_Manuais!$I:$I,DRE!AF$4,Aut_Ajustes_Manuais!$F:$F,"  -  Férias")</f>
        <v>0</v>
      </c>
      <c r="AI187" s="241">
        <v>-4751.24</v>
      </c>
      <c r="AJ187" s="27">
        <v>-2058.398408461685</v>
      </c>
      <c r="AK187" s="28">
        <f>SUMIFS(Aut_BlueMe_Sem_Pedido!$J:$J,Aut_BlueMe_Sem_Pedido!$Q:$Q,DRE!AI$4,Aut_BlueMe_Sem_Pedido!$H:$H,DRE!$A187)+SUMIFS(Aut_Ajustes_Manuais!$G:$G,Aut_Ajustes_Manuais!$I:$I,DRE!AI$4,Aut_Ajustes_Manuais!$F:$F,"  -  Férias")</f>
        <v>0</v>
      </c>
      <c r="AL187" s="241">
        <v>0</v>
      </c>
      <c r="AM187" s="27">
        <v>-2121.1861907736688</v>
      </c>
      <c r="AN187" s="28">
        <f>SUMIFS(Aut_BlueMe_Sem_Pedido!$J:$J,Aut_BlueMe_Sem_Pedido!$Q:$Q,DRE!AL$4,Aut_BlueMe_Sem_Pedido!$H:$H,DRE!$A187)+SUMIFS(Aut_Ajustes_Manuais!$G:$G,Aut_Ajustes_Manuais!$I:$I,DRE!AL$4,Aut_Ajustes_Manuais!$F:$F,"  -  Férias")</f>
        <v>0</v>
      </c>
      <c r="AO187" s="241">
        <v>0</v>
      </c>
      <c r="AP187" s="27">
        <v>-2379.507704240305</v>
      </c>
      <c r="AQ187" s="28">
        <f>SUMIFS(Aut_BlueMe_Sem_Pedido!$J:$J,Aut_BlueMe_Sem_Pedido!$Q:$Q,DRE!AO$4,Aut_BlueMe_Sem_Pedido!$H:$H,DRE!$A187)+SUMIFS(Aut_Ajustes_Manuais!$G:$G,Aut_Ajustes_Manuais!$I:$I,DRE!AO$4,Aut_Ajustes_Manuais!$F:$F,"  -  Férias")</f>
        <v>-5149.03</v>
      </c>
      <c r="AR187" s="241">
        <f t="shared" ca="1" si="147"/>
        <v>-12705.66</v>
      </c>
      <c r="AS187" s="27">
        <f t="shared" ca="1" si="148"/>
        <v>-11689.088128976064</v>
      </c>
      <c r="AT187" s="28">
        <f t="shared" ca="1" si="149"/>
        <v>-32317.29</v>
      </c>
      <c r="AU187" s="241">
        <f t="shared" si="157"/>
        <v>-25282.089999999997</v>
      </c>
      <c r="AV187" s="27">
        <f t="shared" si="158"/>
        <v>-24745.102238314375</v>
      </c>
      <c r="AW187" s="28">
        <f t="shared" si="159"/>
        <v>-48062.64</v>
      </c>
      <c r="AX187" s="241">
        <f t="shared" si="160"/>
        <v>-4141.1899999999996</v>
      </c>
      <c r="AY187" s="27">
        <f t="shared" si="161"/>
        <v>-5697.6647710942234</v>
      </c>
      <c r="AZ187" s="28">
        <f t="shared" si="162"/>
        <v>-9994.630000000001</v>
      </c>
      <c r="BA187" s="241">
        <f t="shared" si="163"/>
        <v>-8564.4700000000012</v>
      </c>
      <c r="BB187" s="27">
        <f t="shared" si="164"/>
        <v>-5991.4233578818403</v>
      </c>
      <c r="BC187" s="28">
        <f t="shared" si="165"/>
        <v>-22322.66</v>
      </c>
      <c r="BD187" s="241">
        <f t="shared" si="166"/>
        <v>-7825.19</v>
      </c>
      <c r="BE187" s="27">
        <f t="shared" si="167"/>
        <v>-6496.9218058626539</v>
      </c>
      <c r="BF187" s="28">
        <f t="shared" si="168"/>
        <v>-10596.32</v>
      </c>
      <c r="BG187" s="241">
        <f t="shared" si="169"/>
        <v>-4751.24</v>
      </c>
      <c r="BH187" s="27">
        <f t="shared" si="170"/>
        <v>-6559.0923034756579</v>
      </c>
      <c r="BI187" s="28">
        <f t="shared" si="171"/>
        <v>-5149.03</v>
      </c>
    </row>
    <row r="188" spans="1:61" s="29" customFormat="1" hidden="1" outlineLevel="1" x14ac:dyDescent="0.3">
      <c r="A188" s="22" t="s">
        <v>217</v>
      </c>
      <c r="B188" s="2"/>
      <c r="C188" s="468"/>
      <c r="D188" s="97" t="s">
        <v>218</v>
      </c>
      <c r="E188" s="98">
        <v>6.7000000000000002E-3</v>
      </c>
      <c r="F188" s="41"/>
      <c r="G188" s="33"/>
      <c r="H188" s="241">
        <v>0</v>
      </c>
      <c r="I188" s="27">
        <v>-27.837929828401482</v>
      </c>
      <c r="J188" s="28">
        <f>J186*$E$188+SUMIFS(Aut_Ajustes_Manuais!$G:$G,Aut_Ajustes_Manuais!$I:$I,DRE!H$4,Aut_Ajustes_Manuais!$F:$F,"  -  FGTS sobre 13º Salários")</f>
        <v>-2.5145725115583337</v>
      </c>
      <c r="K188" s="241">
        <v>0</v>
      </c>
      <c r="L188" s="27">
        <v>-27.872844379691958</v>
      </c>
      <c r="M188" s="28">
        <f>M186*$E$188+SUMIFS(Aut_Ajustes_Manuais!$G:$G,Aut_Ajustes_Manuais!$I:$I,DRE!K$4,Aut_Ajustes_Manuais!$F:$F,"  -  FGTS sobre 13º Salários")</f>
        <v>-2.9276846033750012</v>
      </c>
      <c r="N188" s="241">
        <v>0</v>
      </c>
      <c r="O188" s="27">
        <v>-28.419305424482079</v>
      </c>
      <c r="P188" s="28">
        <f>P186*$E$188+SUMIFS(Aut_Ajustes_Manuais!$G:$G,Aut_Ajustes_Manuais!$I:$I,DRE!N$4,Aut_Ajustes_Manuais!$F:$F,"  -  FGTS sobre 13º Salários")</f>
        <v>-2.9377408153916678</v>
      </c>
      <c r="Q188" s="241">
        <v>0</v>
      </c>
      <c r="R188" s="27">
        <v>-28.244854880141489</v>
      </c>
      <c r="S188" s="28">
        <f>S186*$E$188+SUMIFS(Aut_Ajustes_Manuais!$G:$G,Aut_Ajustes_Manuais!$I:$I,DRE!Q$4,Aut_Ajustes_Manuais!$F:$F,"  -  FGTS sobre 13º Salários")</f>
        <v>-3.2897752091750001</v>
      </c>
      <c r="T188" s="241">
        <v>0</v>
      </c>
      <c r="U188" s="27">
        <v>-29.365086622342631</v>
      </c>
      <c r="V188" s="28">
        <f>V186*$E$188+SUMIFS(Aut_Ajustes_Manuais!$G:$G,Aut_Ajustes_Manuais!$I:$I,DRE!T$4,Aut_Ajustes_Manuais!$F:$F,"  -  FGTS sobre 13º Salários")</f>
        <v>-2.7978984483333336</v>
      </c>
      <c r="W188" s="241">
        <v>0</v>
      </c>
      <c r="X188" s="27">
        <v>-29.174608068539381</v>
      </c>
      <c r="Y188" s="28">
        <f>Y186*$E$188+SUMIFS(Aut_Ajustes_Manuais!$G:$G,Aut_Ajustes_Manuais!$I:$I,DRE!W$4,Aut_Ajustes_Manuais!$F:$F,"  -  FGTS sobre 13º Salários")</f>
        <v>-2.9585983162749998</v>
      </c>
      <c r="Z188" s="241">
        <v>0</v>
      </c>
      <c r="AA188" s="27">
        <v>-29.796849826202038</v>
      </c>
      <c r="AB188" s="28">
        <f>AB186*$E$188+SUMIFS(Aut_Ajustes_Manuais!$G:$G,Aut_Ajustes_Manuais!$I:$I,DRE!Z$4,Aut_Ajustes_Manuais!$F:$F,"  -  FGTS sobre 13º Salários")</f>
        <v>-3.6835260000000001</v>
      </c>
      <c r="AC188" s="241">
        <v>0</v>
      </c>
      <c r="AD188" s="27">
        <v>-29.71912549283617</v>
      </c>
      <c r="AE188" s="28">
        <f>AE186*$E$188+SUMIFS(Aut_Ajustes_Manuais!$G:$G,Aut_Ajustes_Manuais!$I:$I,DRE!AC$4,Aut_Ajustes_Manuais!$F:$F,"  -  FGTS sobre 13º Salários")</f>
        <v>-3.6835260000000001</v>
      </c>
      <c r="AF188" s="241">
        <v>0</v>
      </c>
      <c r="AG188" s="27">
        <v>-29.394216075972551</v>
      </c>
      <c r="AH188" s="28">
        <f>AH186*$E$188+SUMIFS(Aut_Ajustes_Manuais!$G:$G,Aut_Ajustes_Manuais!$I:$I,DRE!AF$4,Aut_Ajustes_Manuais!$F:$F,"  -  FGTS sobre 13º Salários")</f>
        <v>-3.6835260000000001</v>
      </c>
      <c r="AI188" s="241">
        <v>0</v>
      </c>
      <c r="AJ188" s="27">
        <v>-29.397973272842751</v>
      </c>
      <c r="AK188" s="28">
        <f>AK186*$E$188+SUMIFS(Aut_Ajustes_Manuais!$G:$G,Aut_Ajustes_Manuais!$I:$I,DRE!AI$4,Aut_Ajustes_Manuais!$F:$F,"  -  FGTS sobre 13º Salários")</f>
        <v>-3.6835260000000001</v>
      </c>
      <c r="AL188" s="241">
        <v>0</v>
      </c>
      <c r="AM188" s="27">
        <v>-29.537759994081899</v>
      </c>
      <c r="AN188" s="28">
        <f>AN186*$E$188+SUMIFS(Aut_Ajustes_Manuais!$G:$G,Aut_Ajustes_Manuais!$I:$I,DRE!AL$4,Aut_Ajustes_Manuais!$F:$F,"  -  FGTS sobre 13º Salários")</f>
        <v>-3.6835260000000001</v>
      </c>
      <c r="AO188" s="241">
        <v>0</v>
      </c>
      <c r="AP188" s="27">
        <v>-30.112870565970059</v>
      </c>
      <c r="AQ188" s="28">
        <f>AQ186*$E$188+SUMIFS(Aut_Ajustes_Manuais!$G:$G,Aut_Ajustes_Manuais!$I:$I,DRE!AO$4,Aut_Ajustes_Manuais!$F:$F,"  -  FGTS sobre 13º Salários")</f>
        <v>-3.6835260000000001</v>
      </c>
      <c r="AR188" s="241">
        <f t="shared" ca="1" si="147"/>
        <v>0</v>
      </c>
      <c r="AS188" s="27">
        <f t="shared" ca="1" si="148"/>
        <v>-170.91462920359902</v>
      </c>
      <c r="AT188" s="28">
        <f t="shared" ca="1" si="149"/>
        <v>-17.426269904108338</v>
      </c>
      <c r="AU188" s="241">
        <f t="shared" si="157"/>
        <v>0</v>
      </c>
      <c r="AV188" s="27">
        <f t="shared" si="158"/>
        <v>-348.87342443150453</v>
      </c>
      <c r="AW188" s="28">
        <f t="shared" si="159"/>
        <v>-39.527425904108341</v>
      </c>
      <c r="AX188" s="241">
        <f t="shared" si="160"/>
        <v>0</v>
      </c>
      <c r="AY188" s="27">
        <f t="shared" si="161"/>
        <v>-84.130079632575516</v>
      </c>
      <c r="AZ188" s="28">
        <f t="shared" si="162"/>
        <v>-8.3799979303250041</v>
      </c>
      <c r="BA188" s="241">
        <f t="shared" si="163"/>
        <v>0</v>
      </c>
      <c r="BB188" s="27">
        <f t="shared" si="164"/>
        <v>-86.784549571023504</v>
      </c>
      <c r="BC188" s="28">
        <f t="shared" si="165"/>
        <v>-9.0462719737833339</v>
      </c>
      <c r="BD188" s="241">
        <f t="shared" si="166"/>
        <v>0</v>
      </c>
      <c r="BE188" s="27">
        <f t="shared" si="167"/>
        <v>-88.910191395010756</v>
      </c>
      <c r="BF188" s="28">
        <f t="shared" si="168"/>
        <v>-11.050578</v>
      </c>
      <c r="BG188" s="241">
        <f t="shared" si="169"/>
        <v>0</v>
      </c>
      <c r="BH188" s="27">
        <f t="shared" si="170"/>
        <v>-89.048603832894713</v>
      </c>
      <c r="BI188" s="28">
        <f t="shared" si="171"/>
        <v>-11.050578</v>
      </c>
    </row>
    <row r="189" spans="1:61" s="29" customFormat="1" hidden="1" outlineLevel="1" x14ac:dyDescent="0.3">
      <c r="A189" s="22" t="s">
        <v>219</v>
      </c>
      <c r="B189" s="2"/>
      <c r="C189" s="468"/>
      <c r="D189" s="97" t="s">
        <v>220</v>
      </c>
      <c r="E189" s="98">
        <v>8.8999999999999999E-3</v>
      </c>
      <c r="F189" s="41"/>
      <c r="G189" s="33"/>
      <c r="H189" s="241">
        <v>0</v>
      </c>
      <c r="I189" s="27">
        <v>-16.081845187161068</v>
      </c>
      <c r="J189" s="28">
        <f>SUMIFS(Aut_BlueMe_Sem_Pedido!$J:$J,Aut_BlueMe_Sem_Pedido!$Q:$Q,DRE!H$4,Aut_BlueMe_Sem_Pedido!$H:$H,DRE!$A189)+SUMIFS(Aut_Ajustes_Manuais!$G:$G,Aut_Ajustes_Manuais!$I:$I,DRE!H$4,Aut_Ajustes_Manuais!$F:$F,"  -  FGTS sobre Férias")</f>
        <v>0</v>
      </c>
      <c r="K189" s="241">
        <v>0</v>
      </c>
      <c r="L189" s="27">
        <v>-16.22141956386853</v>
      </c>
      <c r="M189" s="28">
        <f>SUMIFS(Aut_BlueMe_Sem_Pedido!$J:$J,Aut_BlueMe_Sem_Pedido!$Q:$Q,DRE!K$4,Aut_BlueMe_Sem_Pedido!$H:$H,DRE!$A189)+SUMIFS(Aut_Ajustes_Manuais!$G:$G,Aut_Ajustes_Manuais!$I:$I,DRE!K$4,Aut_Ajustes_Manuais!$F:$F,"  -  FGTS sobre Férias")</f>
        <v>0</v>
      </c>
      <c r="N189" s="241">
        <v>0</v>
      </c>
      <c r="O189" s="27">
        <v>-18.40595171170898</v>
      </c>
      <c r="P189" s="28">
        <f>SUMIFS(Aut_BlueMe_Sem_Pedido!$J:$J,Aut_BlueMe_Sem_Pedido!$Q:$Q,DRE!N$4,Aut_BlueMe_Sem_Pedido!$H:$H,DRE!$A189)+SUMIFS(Aut_Ajustes_Manuais!$G:$G,Aut_Ajustes_Manuais!$I:$I,DRE!N$4,Aut_Ajustes_Manuais!$F:$F,"  -  FGTS sobre Férias")</f>
        <v>0</v>
      </c>
      <c r="Q189" s="241">
        <v>0</v>
      </c>
      <c r="R189" s="27">
        <v>-17.708568383192581</v>
      </c>
      <c r="S189" s="28">
        <f>SUMIFS(Aut_BlueMe_Sem_Pedido!$J:$J,Aut_BlueMe_Sem_Pedido!$Q:$Q,DRE!Q$4,Aut_BlueMe_Sem_Pedido!$H:$H,DRE!$A189)+SUMIFS(Aut_Ajustes_Manuais!$G:$G,Aut_Ajustes_Manuais!$I:$I,DRE!Q$4,Aut_Ajustes_Manuais!$F:$F,"  -  FGTS sobre Férias")</f>
        <v>0</v>
      </c>
      <c r="T189" s="241">
        <v>0</v>
      </c>
      <c r="U189" s="27">
        <v>-18.188278192853549</v>
      </c>
      <c r="V189" s="28">
        <f>SUMIFS(Aut_BlueMe_Sem_Pedido!$J:$J,Aut_BlueMe_Sem_Pedido!$Q:$Q,DRE!T$4,Aut_BlueMe_Sem_Pedido!$H:$H,DRE!$A189)+SUMIFS(Aut_Ajustes_Manuais!$G:$G,Aut_Ajustes_Manuais!$I:$I,DRE!T$4,Aut_Ajustes_Manuais!$F:$F,"  -  FGTS sobre Férias")</f>
        <v>0</v>
      </c>
      <c r="W189" s="241">
        <v>0</v>
      </c>
      <c r="X189" s="27">
        <v>-17.426821309102241</v>
      </c>
      <c r="Y189" s="28">
        <f>SUMIFS(Aut_BlueMe_Sem_Pedido!$J:$J,Aut_BlueMe_Sem_Pedido!$Q:$Q,DRE!W$4,Aut_BlueMe_Sem_Pedido!$H:$H,DRE!$A189)+SUMIFS(Aut_Ajustes_Manuais!$G:$G,Aut_Ajustes_Manuais!$I:$I,DRE!W$4,Aut_Ajustes_Manuais!$F:$F,"  -  FGTS sobre Férias")</f>
        <v>0</v>
      </c>
      <c r="Z189" s="241">
        <v>0</v>
      </c>
      <c r="AA189" s="27">
        <v>-19.91429436194338</v>
      </c>
      <c r="AB189" s="28">
        <f>SUMIFS(Aut_BlueMe_Sem_Pedido!$J:$J,Aut_BlueMe_Sem_Pedido!$Q:$Q,DRE!Z$4,Aut_BlueMe_Sem_Pedido!$H:$H,DRE!$A189)+SUMIFS(Aut_Ajustes_Manuais!$G:$G,Aut_Ajustes_Manuais!$I:$I,DRE!Z$4,Aut_Ajustes_Manuais!$F:$F,"  -  FGTS sobre Férias")</f>
        <v>0</v>
      </c>
      <c r="AC189" s="241">
        <v>0</v>
      </c>
      <c r="AD189" s="27">
        <v>-19.60358364152518</v>
      </c>
      <c r="AE189" s="28">
        <f>SUMIFS(Aut_BlueMe_Sem_Pedido!$J:$J,Aut_BlueMe_Sem_Pedido!$Q:$Q,DRE!AC$4,Aut_BlueMe_Sem_Pedido!$H:$H,DRE!$A189)+SUMIFS(Aut_Ajustes_Manuais!$G:$G,Aut_Ajustes_Manuais!$I:$I,DRE!AC$4,Aut_Ajustes_Manuais!$F:$F,"  -  FGTS sobre Férias")</f>
        <v>0</v>
      </c>
      <c r="AF189" s="241">
        <v>0</v>
      </c>
      <c r="AG189" s="27">
        <v>-18.304726068709058</v>
      </c>
      <c r="AH189" s="28">
        <f>SUMIFS(Aut_BlueMe_Sem_Pedido!$J:$J,Aut_BlueMe_Sem_Pedido!$Q:$Q,DRE!AF$4,Aut_BlueMe_Sem_Pedido!$H:$H,DRE!$A189)+SUMIFS(Aut_Ajustes_Manuais!$G:$G,Aut_Ajustes_Manuais!$I:$I,DRE!AF$4,Aut_Ajustes_Manuais!$F:$F,"  -  FGTS sobre Férias")</f>
        <v>0</v>
      </c>
      <c r="AI189" s="241">
        <v>0</v>
      </c>
      <c r="AJ189" s="27">
        <v>-18.319745835309</v>
      </c>
      <c r="AK189" s="28">
        <f>SUMIFS(Aut_BlueMe_Sem_Pedido!$J:$J,Aut_BlueMe_Sem_Pedido!$Q:$Q,DRE!AI$4,Aut_BlueMe_Sem_Pedido!$H:$H,DRE!$A189)+SUMIFS(Aut_Ajustes_Manuais!$G:$G,Aut_Ajustes_Manuais!$I:$I,DRE!AI$4,Aut_Ajustes_Manuais!$F:$F,"  -  FGTS sobre Férias")</f>
        <v>0</v>
      </c>
      <c r="AL189" s="241">
        <v>0</v>
      </c>
      <c r="AM189" s="27">
        <v>-18.878557097885651</v>
      </c>
      <c r="AN189" s="28">
        <f>SUMIFS(Aut_BlueMe_Sem_Pedido!$J:$J,Aut_BlueMe_Sem_Pedido!$Q:$Q,DRE!AL$4,Aut_BlueMe_Sem_Pedido!$H:$H,DRE!$A189)+SUMIFS(Aut_Ajustes_Manuais!$G:$G,Aut_Ajustes_Manuais!$I:$I,DRE!AL$4,Aut_Ajustes_Manuais!$F:$F,"  -  FGTS sobre Férias")</f>
        <v>0</v>
      </c>
      <c r="AO189" s="241">
        <v>0</v>
      </c>
      <c r="AP189" s="27">
        <v>-21.177618567738719</v>
      </c>
      <c r="AQ189" s="28">
        <f>SUMIFS(Aut_BlueMe_Sem_Pedido!$J:$J,Aut_BlueMe_Sem_Pedido!$Q:$Q,DRE!AO$4,Aut_BlueMe_Sem_Pedido!$H:$H,DRE!$A189)+SUMIFS(Aut_Ajustes_Manuais!$G:$G,Aut_Ajustes_Manuais!$I:$I,DRE!AO$4,Aut_Ajustes_Manuais!$F:$F,"  -  FGTS sobre Férias")</f>
        <v>0</v>
      </c>
      <c r="AR189" s="241">
        <f t="shared" ca="1" si="147"/>
        <v>0</v>
      </c>
      <c r="AS189" s="27">
        <f t="shared" ca="1" si="148"/>
        <v>-104.03288434788695</v>
      </c>
      <c r="AT189" s="28">
        <f t="shared" ca="1" si="149"/>
        <v>0</v>
      </c>
      <c r="AU189" s="241">
        <f t="shared" si="157"/>
        <v>0</v>
      </c>
      <c r="AV189" s="27">
        <f t="shared" si="158"/>
        <v>-220.23140992099792</v>
      </c>
      <c r="AW189" s="28">
        <f t="shared" si="159"/>
        <v>0</v>
      </c>
      <c r="AX189" s="241">
        <f t="shared" si="160"/>
        <v>0</v>
      </c>
      <c r="AY189" s="27">
        <f t="shared" si="161"/>
        <v>-50.709216462738581</v>
      </c>
      <c r="AZ189" s="28">
        <f t="shared" si="162"/>
        <v>0</v>
      </c>
      <c r="BA189" s="241">
        <f t="shared" si="163"/>
        <v>0</v>
      </c>
      <c r="BB189" s="27">
        <f t="shared" si="164"/>
        <v>-53.323667885148367</v>
      </c>
      <c r="BC189" s="28">
        <f t="shared" si="165"/>
        <v>0</v>
      </c>
      <c r="BD189" s="241">
        <f t="shared" si="166"/>
        <v>0</v>
      </c>
      <c r="BE189" s="27">
        <f t="shared" si="167"/>
        <v>-57.822604072177619</v>
      </c>
      <c r="BF189" s="28">
        <f t="shared" si="168"/>
        <v>0</v>
      </c>
      <c r="BG189" s="241">
        <f t="shared" si="169"/>
        <v>0</v>
      </c>
      <c r="BH189" s="27">
        <f t="shared" si="170"/>
        <v>-58.375921500933373</v>
      </c>
      <c r="BI189" s="28">
        <f t="shared" si="171"/>
        <v>0</v>
      </c>
    </row>
    <row r="190" spans="1:61" s="29" customFormat="1" hidden="1" outlineLevel="1" x14ac:dyDescent="0.3">
      <c r="A190" s="22" t="s">
        <v>221</v>
      </c>
      <c r="B190" s="2"/>
      <c r="C190" s="468"/>
      <c r="D190" s="97" t="s">
        <v>222</v>
      </c>
      <c r="E190" s="98">
        <v>1.67E-2</v>
      </c>
      <c r="F190" s="41"/>
      <c r="G190" s="33"/>
      <c r="H190" s="241">
        <v>-288.11774933333351</v>
      </c>
      <c r="I190" s="27">
        <v>0</v>
      </c>
      <c r="J190" s="28">
        <f>J186*$E$190+SUMIFS(Aut_Ajustes_Manuais!$G:$G,Aut_Ajustes_Manuais!$I:$I,DRE!H$4,Aut_Ajustes_Manuais!$F:$F,"  -  INSS sobre 13º Salários")</f>
        <v>-6.2676658123916669</v>
      </c>
      <c r="K190" s="241">
        <v>-297.18660399999999</v>
      </c>
      <c r="L190" s="27">
        <v>0</v>
      </c>
      <c r="M190" s="28">
        <f>M186*$E$190+SUMIFS(Aut_Ajustes_Manuais!$G:$G,Aut_Ajustes_Manuais!$I:$I,DRE!K$4,Aut_Ajustes_Manuais!$F:$F,"  -  INSS sobre 13º Salários")</f>
        <v>-7.2973631158750027</v>
      </c>
      <c r="N190" s="241">
        <v>-293.40006666666682</v>
      </c>
      <c r="O190" s="27">
        <v>0</v>
      </c>
      <c r="P190" s="28">
        <f>P186*$E$190+SUMIFS(Aut_Ajustes_Manuais!$G:$G,Aut_Ajustes_Manuais!$I:$I,DRE!N$4,Aut_Ajustes_Manuais!$F:$F,"  -  INSS sobre 13º Salários")</f>
        <v>-7.3224285995583349</v>
      </c>
      <c r="Q190" s="241">
        <v>-271.37334400000009</v>
      </c>
      <c r="R190" s="27">
        <v>0</v>
      </c>
      <c r="S190" s="28">
        <f>S186*$E$190+SUMIFS(Aut_Ajustes_Manuais!$G:$G,Aut_Ajustes_Manuais!$I:$I,DRE!Q$4,Aut_Ajustes_Manuais!$F:$F,"  -  INSS sobre 13º Salários")</f>
        <v>-8.199887461674999</v>
      </c>
      <c r="T190" s="241">
        <v>-296.95922666666661</v>
      </c>
      <c r="U190" s="27">
        <v>0</v>
      </c>
      <c r="V190" s="28">
        <f>V186*$E$190+SUMIFS(Aut_Ajustes_Manuais!$G:$G,Aut_Ajustes_Manuais!$I:$I,DRE!T$4,Aut_Ajustes_Manuais!$F:$F,"  -  INSS sobre 13º Salários")</f>
        <v>-6.973866281666667</v>
      </c>
      <c r="W190" s="241">
        <v>-300.97636800000021</v>
      </c>
      <c r="X190" s="27">
        <v>0</v>
      </c>
      <c r="Y190" s="28">
        <f>Y186*$E$190+SUMIFS(Aut_Ajustes_Manuais!$G:$G,Aut_Ajustes_Manuais!$I:$I,DRE!W$4,Aut_Ajustes_Manuais!$F:$F,"  -  INSS sobre 13º Salários")</f>
        <v>-7.3744166987749997</v>
      </c>
      <c r="Z190" s="241">
        <v>-285.38229133333328</v>
      </c>
      <c r="AA190" s="27">
        <v>0</v>
      </c>
      <c r="AB190" s="28">
        <f>AB186*$E$190+SUMIFS(Aut_Ajustes_Manuais!$G:$G,Aut_Ajustes_Manuais!$I:$I,DRE!Z$4,Aut_Ajustes_Manuais!$F:$F,"  -  INSS sobre 13º Salários")</f>
        <v>-9.1813259999999985</v>
      </c>
      <c r="AC190" s="241">
        <v>-299.82480733333341</v>
      </c>
      <c r="AD190" s="27">
        <v>0</v>
      </c>
      <c r="AE190" s="28">
        <f>AE186*$E$190+SUMIFS(Aut_Ajustes_Manuais!$G:$G,Aut_Ajustes_Manuais!$I:$I,DRE!AC$4,Aut_Ajustes_Manuais!$F:$F,"  -  INSS sobre 13º Salários")</f>
        <v>-9.1813259999999985</v>
      </c>
      <c r="AF190" s="241">
        <v>-272.20984266666682</v>
      </c>
      <c r="AG190" s="27">
        <v>0</v>
      </c>
      <c r="AH190" s="28">
        <f>AH186*$E$190+SUMIFS(Aut_Ajustes_Manuais!$G:$G,Aut_Ajustes_Manuais!$I:$I,DRE!AF$4,Aut_Ajustes_Manuais!$F:$F,"  -  INSS sobre 13º Salários")</f>
        <v>-9.1813259999999985</v>
      </c>
      <c r="AI190" s="241">
        <v>-292.10932666666668</v>
      </c>
      <c r="AJ190" s="27">
        <v>0</v>
      </c>
      <c r="AK190" s="28">
        <f>AK186*$E$190+SUMIFS(Aut_Ajustes_Manuais!$G:$G,Aut_Ajustes_Manuais!$I:$I,DRE!AI$4,Aut_Ajustes_Manuais!$F:$F,"  -  INSS sobre 13º Salários")</f>
        <v>-9.1813259999999985</v>
      </c>
      <c r="AL190" s="241">
        <v>-863.14470000000006</v>
      </c>
      <c r="AM190" s="27">
        <v>0</v>
      </c>
      <c r="AN190" s="28">
        <f>AN186*$E$190+SUMIFS(Aut_Ajustes_Manuais!$G:$G,Aut_Ajustes_Manuais!$I:$I,DRE!AL$4,Aut_Ajustes_Manuais!$F:$F,"  -  INSS sobre 13º Salários")</f>
        <v>-9.1813259999999985</v>
      </c>
      <c r="AO190" s="241">
        <v>-863.14470000000006</v>
      </c>
      <c r="AP190" s="27">
        <v>0</v>
      </c>
      <c r="AQ190" s="28">
        <f>AQ186*$E$190+SUMIFS(Aut_Ajustes_Manuais!$G:$G,Aut_Ajustes_Manuais!$I:$I,DRE!AO$4,Aut_Ajustes_Manuais!$F:$F,"  -  INSS sobre 13º Salários")</f>
        <v>-9.1813259999999985</v>
      </c>
      <c r="AR190" s="241">
        <f t="shared" ca="1" si="147"/>
        <v>-1748.013358666667</v>
      </c>
      <c r="AS190" s="27">
        <f t="shared" ca="1" si="148"/>
        <v>0</v>
      </c>
      <c r="AT190" s="28">
        <f t="shared" ca="1" si="149"/>
        <v>-43.43562796994167</v>
      </c>
      <c r="AU190" s="241">
        <f t="shared" si="157"/>
        <v>-4623.8290266666672</v>
      </c>
      <c r="AV190" s="27">
        <f t="shared" si="158"/>
        <v>0</v>
      </c>
      <c r="AW190" s="28">
        <f t="shared" si="159"/>
        <v>-98.523583969941669</v>
      </c>
      <c r="AX190" s="241">
        <f t="shared" si="160"/>
        <v>-878.70442000000025</v>
      </c>
      <c r="AY190" s="27">
        <f t="shared" si="161"/>
        <v>0</v>
      </c>
      <c r="AZ190" s="28">
        <f t="shared" si="162"/>
        <v>-20.887457527825006</v>
      </c>
      <c r="BA190" s="241">
        <f t="shared" si="163"/>
        <v>-869.3089386666669</v>
      </c>
      <c r="BB190" s="27">
        <f t="shared" si="164"/>
        <v>0</v>
      </c>
      <c r="BC190" s="28">
        <f t="shared" si="165"/>
        <v>-22.548170442116668</v>
      </c>
      <c r="BD190" s="241">
        <f t="shared" si="166"/>
        <v>-857.41694133333363</v>
      </c>
      <c r="BE190" s="27">
        <f t="shared" si="167"/>
        <v>0</v>
      </c>
      <c r="BF190" s="28">
        <f t="shared" si="168"/>
        <v>-27.543977999999996</v>
      </c>
      <c r="BG190" s="241">
        <f t="shared" si="169"/>
        <v>-2018.3987266666668</v>
      </c>
      <c r="BH190" s="27">
        <f t="shared" si="170"/>
        <v>0</v>
      </c>
      <c r="BI190" s="28">
        <f t="shared" si="171"/>
        <v>-27.543977999999996</v>
      </c>
    </row>
    <row r="191" spans="1:61" s="29" customFormat="1" hidden="1" outlineLevel="1" x14ac:dyDescent="0.3">
      <c r="A191" s="22" t="s">
        <v>223</v>
      </c>
      <c r="B191" s="2"/>
      <c r="C191" s="468"/>
      <c r="D191" s="97" t="s">
        <v>224</v>
      </c>
      <c r="E191" s="98">
        <v>2.2200000000000001E-2</v>
      </c>
      <c r="F191" s="41"/>
      <c r="G191" s="33"/>
      <c r="H191" s="241">
        <v>-455.53089999999997</v>
      </c>
      <c r="I191" s="27">
        <v>0</v>
      </c>
      <c r="J191" s="28">
        <f>SUMIFS(Aut_BlueMe_Sem_Pedido!$J:$J,Aut_BlueMe_Sem_Pedido!$Q:$Q,DRE!H$4,Aut_BlueMe_Sem_Pedido!$H:$H,DRE!$A191)+SUMIFS(Aut_Ajustes_Manuais!$G:$G,Aut_Ajustes_Manuais!$I:$I,DRE!H$4,Aut_Ajustes_Manuais!$F:$F,"  -  INSS sobre Férias")</f>
        <v>0</v>
      </c>
      <c r="K191" s="241">
        <v>0</v>
      </c>
      <c r="L191" s="27">
        <v>0</v>
      </c>
      <c r="M191" s="28">
        <f>SUMIFS(Aut_BlueMe_Sem_Pedido!$J:$J,Aut_BlueMe_Sem_Pedido!$Q:$Q,DRE!K$4,Aut_BlueMe_Sem_Pedido!$H:$H,DRE!$A191)+SUMIFS(Aut_Ajustes_Manuais!$G:$G,Aut_Ajustes_Manuais!$I:$I,DRE!K$4,Aut_Ajustes_Manuais!$F:$F,"  -  INSS sobre Férias")</f>
        <v>0</v>
      </c>
      <c r="N191" s="241">
        <v>0</v>
      </c>
      <c r="O191" s="27">
        <v>0</v>
      </c>
      <c r="P191" s="28">
        <f>SUMIFS(Aut_BlueMe_Sem_Pedido!$J:$J,Aut_BlueMe_Sem_Pedido!$Q:$Q,DRE!N$4,Aut_BlueMe_Sem_Pedido!$H:$H,DRE!$A191)+SUMIFS(Aut_Ajustes_Manuais!$G:$G,Aut_Ajustes_Manuais!$I:$I,DRE!N$4,Aut_Ajustes_Manuais!$F:$F,"  -  INSS sobre Férias")</f>
        <v>0</v>
      </c>
      <c r="Q191" s="241">
        <v>0</v>
      </c>
      <c r="R191" s="27">
        <v>0</v>
      </c>
      <c r="S191" s="28">
        <f>SUMIFS(Aut_BlueMe_Sem_Pedido!$J:$J,Aut_BlueMe_Sem_Pedido!$Q:$Q,DRE!Q$4,Aut_BlueMe_Sem_Pedido!$H:$H,DRE!$A191)+SUMIFS(Aut_Ajustes_Manuais!$G:$G,Aut_Ajustes_Manuais!$I:$I,DRE!Q$4,Aut_Ajustes_Manuais!$F:$F,"  -  INSS sobre Férias")</f>
        <v>0</v>
      </c>
      <c r="T191" s="241">
        <v>-942.09170000000017</v>
      </c>
      <c r="U191" s="27">
        <v>0</v>
      </c>
      <c r="V191" s="28">
        <f>SUMIFS(Aut_BlueMe_Sem_Pedido!$J:$J,Aut_BlueMe_Sem_Pedido!$Q:$Q,DRE!T$4,Aut_BlueMe_Sem_Pedido!$H:$H,DRE!$A191)+SUMIFS(Aut_Ajustes_Manuais!$G:$G,Aut_Ajustes_Manuais!$I:$I,DRE!T$4,Aut_Ajustes_Manuais!$F:$F,"  -  INSS sobre Férias")</f>
        <v>0</v>
      </c>
      <c r="W191" s="241">
        <v>0</v>
      </c>
      <c r="X191" s="27">
        <v>0</v>
      </c>
      <c r="Y191" s="28">
        <f>SUMIFS(Aut_BlueMe_Sem_Pedido!$J:$J,Aut_BlueMe_Sem_Pedido!$Q:$Q,DRE!W$4,Aut_BlueMe_Sem_Pedido!$H:$H,DRE!$A191)+SUMIFS(Aut_Ajustes_Manuais!$G:$G,Aut_Ajustes_Manuais!$I:$I,DRE!W$4,Aut_Ajustes_Manuais!$F:$F,"  -  INSS sobre Férias")</f>
        <v>0</v>
      </c>
      <c r="Z191" s="241">
        <v>-452.19900000000001</v>
      </c>
      <c r="AA191" s="27">
        <v>0</v>
      </c>
      <c r="AB191" s="28">
        <f>SUMIFS(Aut_BlueMe_Sem_Pedido!$J:$J,Aut_BlueMe_Sem_Pedido!$Q:$Q,DRE!Z$4,Aut_BlueMe_Sem_Pedido!$H:$H,DRE!$A191)+SUMIFS(Aut_Ajustes_Manuais!$G:$G,Aut_Ajustes_Manuais!$I:$I,DRE!Z$4,Aut_Ajustes_Manuais!$F:$F,"  -  INSS sobre Férias")</f>
        <v>0</v>
      </c>
      <c r="AC191" s="241">
        <v>-408.57190000000003</v>
      </c>
      <c r="AD191" s="27">
        <v>0</v>
      </c>
      <c r="AE191" s="28">
        <f>SUMIFS(Aut_BlueMe_Sem_Pedido!$J:$J,Aut_BlueMe_Sem_Pedido!$Q:$Q,DRE!AC$4,Aut_BlueMe_Sem_Pedido!$H:$H,DRE!$A191)+SUMIFS(Aut_Ajustes_Manuais!$G:$G,Aut_Ajustes_Manuais!$I:$I,DRE!AC$4,Aut_Ajustes_Manuais!$F:$F,"  -  INSS sobre Férias")</f>
        <v>0</v>
      </c>
      <c r="AF191" s="241">
        <v>0</v>
      </c>
      <c r="AG191" s="27">
        <v>0</v>
      </c>
      <c r="AH191" s="28">
        <f>SUMIFS(Aut_BlueMe_Sem_Pedido!$J:$J,Aut_BlueMe_Sem_Pedido!$Q:$Q,DRE!AF$4,Aut_BlueMe_Sem_Pedido!$H:$H,DRE!$A191)+SUMIFS(Aut_Ajustes_Manuais!$G:$G,Aut_Ajustes_Manuais!$I:$I,DRE!AF$4,Aut_Ajustes_Manuais!$F:$F,"  -  INSS sobre Férias")</f>
        <v>0</v>
      </c>
      <c r="AI191" s="241">
        <v>-522.63639999999998</v>
      </c>
      <c r="AJ191" s="27">
        <v>0</v>
      </c>
      <c r="AK191" s="28">
        <f>SUMIFS(Aut_BlueMe_Sem_Pedido!$J:$J,Aut_BlueMe_Sem_Pedido!$Q:$Q,DRE!AI$4,Aut_BlueMe_Sem_Pedido!$H:$H,DRE!$A191)+SUMIFS(Aut_Ajustes_Manuais!$G:$G,Aut_Ajustes_Manuais!$I:$I,DRE!AI$4,Aut_Ajustes_Manuais!$F:$F,"  -  INSS sobre Férias")</f>
        <v>0</v>
      </c>
      <c r="AL191" s="241">
        <v>0</v>
      </c>
      <c r="AM191" s="27">
        <v>0</v>
      </c>
      <c r="AN191" s="28">
        <f>SUMIFS(Aut_BlueMe_Sem_Pedido!$J:$J,Aut_BlueMe_Sem_Pedido!$Q:$Q,DRE!AL$4,Aut_BlueMe_Sem_Pedido!$H:$H,DRE!$A191)+SUMIFS(Aut_Ajustes_Manuais!$G:$G,Aut_Ajustes_Manuais!$I:$I,DRE!AL$4,Aut_Ajustes_Manuais!$F:$F,"  -  INSS sobre Férias")</f>
        <v>0</v>
      </c>
      <c r="AO191" s="241">
        <v>0</v>
      </c>
      <c r="AP191" s="27">
        <v>0</v>
      </c>
      <c r="AQ191" s="28">
        <f>SUMIFS(Aut_BlueMe_Sem_Pedido!$J:$J,Aut_BlueMe_Sem_Pedido!$Q:$Q,DRE!AO$4,Aut_BlueMe_Sem_Pedido!$H:$H,DRE!$A191)+SUMIFS(Aut_Ajustes_Manuais!$G:$G,Aut_Ajustes_Manuais!$I:$I,DRE!AO$4,Aut_Ajustes_Manuais!$F:$F,"  -  INSS sobre Férias")</f>
        <v>0</v>
      </c>
      <c r="AR191" s="241">
        <f t="shared" ca="1" si="147"/>
        <v>-1397.6226000000001</v>
      </c>
      <c r="AS191" s="27">
        <f t="shared" ca="1" si="148"/>
        <v>0</v>
      </c>
      <c r="AT191" s="28">
        <f t="shared" ca="1" si="149"/>
        <v>0</v>
      </c>
      <c r="AU191" s="241">
        <f t="shared" si="157"/>
        <v>-2781.0299</v>
      </c>
      <c r="AV191" s="27">
        <f t="shared" si="158"/>
        <v>0</v>
      </c>
      <c r="AW191" s="28">
        <f t="shared" si="159"/>
        <v>0</v>
      </c>
      <c r="AX191" s="241">
        <f t="shared" si="160"/>
        <v>-455.53089999999997</v>
      </c>
      <c r="AY191" s="27">
        <f t="shared" si="161"/>
        <v>0</v>
      </c>
      <c r="AZ191" s="28">
        <f t="shared" si="162"/>
        <v>0</v>
      </c>
      <c r="BA191" s="241">
        <f t="shared" si="163"/>
        <v>-942.09170000000017</v>
      </c>
      <c r="BB191" s="27">
        <f t="shared" si="164"/>
        <v>0</v>
      </c>
      <c r="BC191" s="28">
        <f t="shared" si="165"/>
        <v>0</v>
      </c>
      <c r="BD191" s="241">
        <f t="shared" si="166"/>
        <v>-860.77089999999998</v>
      </c>
      <c r="BE191" s="27">
        <f t="shared" si="167"/>
        <v>0</v>
      </c>
      <c r="BF191" s="28">
        <f t="shared" si="168"/>
        <v>0</v>
      </c>
      <c r="BG191" s="241">
        <f t="shared" si="169"/>
        <v>-522.63639999999998</v>
      </c>
      <c r="BH191" s="27">
        <f t="shared" si="170"/>
        <v>0</v>
      </c>
      <c r="BI191" s="28">
        <f t="shared" si="171"/>
        <v>0</v>
      </c>
    </row>
    <row r="192" spans="1:61" s="29" customFormat="1" hidden="1" outlineLevel="1" x14ac:dyDescent="0.3">
      <c r="A192" s="22" t="s">
        <v>225</v>
      </c>
      <c r="B192" s="2"/>
      <c r="C192" s="468"/>
      <c r="D192" s="97" t="s">
        <v>226</v>
      </c>
      <c r="E192" s="98">
        <v>0.04</v>
      </c>
      <c r="F192" s="41"/>
      <c r="G192" s="33"/>
      <c r="H192" s="241">
        <v>0</v>
      </c>
      <c r="I192" s="27">
        <v>-976.72913374801544</v>
      </c>
      <c r="J192" s="27">
        <f>SUMIFS(Aut_BlueMe_Sem_Pedido!$J:$J,Aut_BlueMe_Sem_Pedido!$Q:$Q,DRE!H$4,Aut_BlueMe_Sem_Pedido!$H:$H,DRE!$A192)+SUMIFS(Aut_Ajustes_Manuais!$G:$G,Aut_Ajustes_Manuais!$I:$I,DRE!H$4,Aut_Ajustes_Manuais!$F:$F,"  -  Rescisão")</f>
        <v>-9075.64</v>
      </c>
      <c r="K192" s="241">
        <v>-1523.38</v>
      </c>
      <c r="L192" s="27">
        <v>-985.20616847060569</v>
      </c>
      <c r="M192" s="28">
        <f>SUMIFS(Aut_BlueMe_Sem_Pedido!$J:$J,Aut_BlueMe_Sem_Pedido!$Q:$Q,DRE!K$4,Aut_BlueMe_Sem_Pedido!$H:$H,DRE!$A192)+SUMIFS(Aut_Ajustes_Manuais!$G:$G,Aut_Ajustes_Manuais!$I:$I,DRE!K$4,Aut_Ajustes_Manuais!$F:$F,"  -  Rescisão")</f>
        <v>0</v>
      </c>
      <c r="N192" s="241">
        <v>-1489.16</v>
      </c>
      <c r="O192" s="27">
        <v>-1117.8834929674449</v>
      </c>
      <c r="P192" s="28">
        <f>SUMIFS(Aut_BlueMe_Sem_Pedido!$J:$J,Aut_BlueMe_Sem_Pedido!$Q:$Q,DRE!N$4,Aut_BlueMe_Sem_Pedido!$H:$H,DRE!$A192)+SUMIFS(Aut_Ajustes_Manuais!$G:$G,Aut_Ajustes_Manuais!$I:$I,DRE!N$4,Aut_Ajustes_Manuais!$F:$F,"  -  Rescisão")</f>
        <v>-4065.22</v>
      </c>
      <c r="Q192" s="241">
        <v>-3320.85</v>
      </c>
      <c r="R192" s="27">
        <v>-1075.527991691016</v>
      </c>
      <c r="S192" s="28">
        <f>SUMIFS(Aut_BlueMe_Sem_Pedido!$J:$J,Aut_BlueMe_Sem_Pedido!$Q:$Q,DRE!Q$4,Aut_BlueMe_Sem_Pedido!$H:$H,DRE!$A192)+SUMIFS(Aut_Ajustes_Manuais!$G:$G,Aut_Ajustes_Manuais!$I:$I,DRE!Q$4,Aut_Ajustes_Manuais!$F:$F,"  -  Rescisão")</f>
        <v>0</v>
      </c>
      <c r="T192" s="241">
        <v>0</v>
      </c>
      <c r="U192" s="27">
        <v>-1104.6631152659299</v>
      </c>
      <c r="V192" s="28">
        <f>SUMIFS(Aut_BlueMe_Sem_Pedido!$J:$J,Aut_BlueMe_Sem_Pedido!$Q:$Q,DRE!T$4,Aut_BlueMe_Sem_Pedido!$H:$H,DRE!$A192)+SUMIFS(Aut_Ajustes_Manuais!$G:$G,Aut_Ajustes_Manuais!$I:$I,DRE!T$4,Aut_Ajustes_Manuais!$F:$F,"  -  Rescisão")</f>
        <v>0</v>
      </c>
      <c r="W192" s="241">
        <v>0</v>
      </c>
      <c r="X192" s="27">
        <v>-1058.416113519723</v>
      </c>
      <c r="Y192" s="28">
        <f>SUMIFS(Aut_BlueMe_Sem_Pedido!$J:$J,Aut_BlueMe_Sem_Pedido!$Q:$Q,DRE!W$4,Aut_BlueMe_Sem_Pedido!$H:$H,DRE!$A192)+SUMIFS(Aut_Ajustes_Manuais!$G:$G,Aut_Ajustes_Manuais!$I:$I,DRE!W$4,Aut_Ajustes_Manuais!$F:$F,"  -  Rescisão")</f>
        <v>0</v>
      </c>
      <c r="Z192" s="241">
        <v>-9145.66</v>
      </c>
      <c r="AA192" s="27">
        <v>-1209.4925212234059</v>
      </c>
      <c r="AB192" s="28">
        <f>SUMIFS(Aut_BlueMe_Sem_Pedido!$J:$J,Aut_BlueMe_Sem_Pedido!$Q:$Q,DRE!Z$4,Aut_BlueMe_Sem_Pedido!$H:$H,DRE!$A192)+SUMIFS(Aut_Ajustes_Manuais!$G:$G,Aut_Ajustes_Manuais!$I:$I,DRE!Z$4,Aut_Ajustes_Manuais!$F:$F,"  -  Rescisão")</f>
        <v>-3500</v>
      </c>
      <c r="AC192" s="241">
        <v>-540.79</v>
      </c>
      <c r="AD192" s="27">
        <v>-1190.6215391148</v>
      </c>
      <c r="AE192" s="28">
        <f>SUMIFS(Aut_BlueMe_Sem_Pedido!$J:$J,Aut_BlueMe_Sem_Pedido!$Q:$Q,DRE!AC$4,Aut_BlueMe_Sem_Pedido!$H:$H,DRE!$A192)+SUMIFS(Aut_Ajustes_Manuais!$G:$G,Aut_Ajustes_Manuais!$I:$I,DRE!AC$4,Aut_Ajustes_Manuais!$F:$F,"  -  Rescisão")</f>
        <v>0</v>
      </c>
      <c r="AF192" s="241">
        <v>-16699.5</v>
      </c>
      <c r="AG192" s="27">
        <v>-1111.735564452418</v>
      </c>
      <c r="AH192" s="28">
        <f>SUMIFS(Aut_BlueMe_Sem_Pedido!$J:$J,Aut_BlueMe_Sem_Pedido!$Q:$Q,DRE!AF$4,Aut_BlueMe_Sem_Pedido!$H:$H,DRE!$A192)+SUMIFS(Aut_Ajustes_Manuais!$G:$G,Aut_Ajustes_Manuais!$I:$I,DRE!AF$4,Aut_Ajustes_Manuais!$F:$F,"  -  Rescisão")</f>
        <v>0</v>
      </c>
      <c r="AI192" s="241">
        <v>0</v>
      </c>
      <c r="AJ192" s="27">
        <v>-1112.6477883576681</v>
      </c>
      <c r="AK192" s="28">
        <f>SUMIFS(Aut_BlueMe_Sem_Pedido!$J:$J,Aut_BlueMe_Sem_Pedido!$Q:$Q,DRE!AI$4,Aut_BlueMe_Sem_Pedido!$H:$H,DRE!$A192)+SUMIFS(Aut_Ajustes_Manuais!$G:$G,Aut_Ajustes_Manuais!$I:$I,DRE!AI$4,Aut_Ajustes_Manuais!$F:$F,"  -  Rescisão")</f>
        <v>0</v>
      </c>
      <c r="AL192" s="241">
        <v>-7937.16</v>
      </c>
      <c r="AM192" s="27">
        <v>-1146.587130147929</v>
      </c>
      <c r="AN192" s="28">
        <f>SUMIFS(Aut_BlueMe_Sem_Pedido!$J:$J,Aut_BlueMe_Sem_Pedido!$Q:$Q,DRE!AL$4,Aut_BlueMe_Sem_Pedido!$H:$H,DRE!$A192)+SUMIFS(Aut_Ajustes_Manuais!$G:$G,Aut_Ajustes_Manuais!$I:$I,DRE!AL$4,Aut_Ajustes_Manuais!$F:$F,"  -  Rescisão")</f>
        <v>0</v>
      </c>
      <c r="AO192" s="241">
        <v>0</v>
      </c>
      <c r="AP192" s="27">
        <v>-1286.2203806704349</v>
      </c>
      <c r="AQ192" s="28">
        <f>SUMIFS(Aut_BlueMe_Sem_Pedido!$J:$J,Aut_BlueMe_Sem_Pedido!$Q:$Q,DRE!AO$4,Aut_BlueMe_Sem_Pedido!$H:$H,DRE!$A192)+SUMIFS(Aut_Ajustes_Manuais!$G:$G,Aut_Ajustes_Manuais!$I:$I,DRE!AO$4,Aut_Ajustes_Manuais!$F:$F,"  -  Rescisão")</f>
        <v>0</v>
      </c>
      <c r="AR192" s="241">
        <f t="shared" ca="1" si="147"/>
        <v>-6333.3899999999994</v>
      </c>
      <c r="AS192" s="27">
        <f t="shared" ca="1" si="148"/>
        <v>-6318.4260156627352</v>
      </c>
      <c r="AT192" s="28">
        <f t="shared" ca="1" si="149"/>
        <v>-13140.859999999999</v>
      </c>
      <c r="AU192" s="241">
        <f t="shared" si="157"/>
        <v>-40656.5</v>
      </c>
      <c r="AV192" s="27">
        <f t="shared" si="158"/>
        <v>-13375.730939629391</v>
      </c>
      <c r="AW192" s="28">
        <f t="shared" si="159"/>
        <v>-16640.86</v>
      </c>
      <c r="AX192" s="241">
        <f t="shared" si="160"/>
        <v>-3012.54</v>
      </c>
      <c r="AY192" s="27">
        <f t="shared" si="161"/>
        <v>-3079.8187951860659</v>
      </c>
      <c r="AZ192" s="28">
        <f t="shared" si="162"/>
        <v>-13140.859999999999</v>
      </c>
      <c r="BA192" s="241">
        <f t="shared" si="163"/>
        <v>-3320.85</v>
      </c>
      <c r="BB192" s="27">
        <f t="shared" si="164"/>
        <v>-3238.6072204766688</v>
      </c>
      <c r="BC192" s="28">
        <f t="shared" si="165"/>
        <v>0</v>
      </c>
      <c r="BD192" s="241">
        <f t="shared" si="166"/>
        <v>-26385.95</v>
      </c>
      <c r="BE192" s="27">
        <f t="shared" si="167"/>
        <v>-3511.8496247906241</v>
      </c>
      <c r="BF192" s="28">
        <f t="shared" si="168"/>
        <v>-3500</v>
      </c>
      <c r="BG192" s="241">
        <f t="shared" si="169"/>
        <v>-7937.16</v>
      </c>
      <c r="BH192" s="27">
        <f t="shared" si="170"/>
        <v>-3545.455299176032</v>
      </c>
      <c r="BI192" s="28">
        <f t="shared" si="171"/>
        <v>0</v>
      </c>
    </row>
    <row r="193" spans="1:61" s="29" customFormat="1" hidden="1" outlineLevel="1" x14ac:dyDescent="0.3">
      <c r="A193" s="22" t="s">
        <v>227</v>
      </c>
      <c r="B193" s="2"/>
      <c r="C193" s="468"/>
      <c r="D193" s="97" t="s">
        <v>228</v>
      </c>
      <c r="E193" s="98">
        <v>0</v>
      </c>
      <c r="F193" s="41"/>
      <c r="G193" s="33"/>
      <c r="H193" s="241">
        <v>0</v>
      </c>
      <c r="I193" s="27"/>
      <c r="J193" s="28">
        <f>SUMIFS(Aut_BlueMe_Sem_Pedido!$J:$J,Aut_BlueMe_Sem_Pedido!$Q:$Q,DRE!H$4,Aut_BlueMe_Sem_Pedido!$H:$H,DRE!$A193)+SUMIFS(Aut_Ajustes_Manuais!$G:$G,Aut_Ajustes_Manuais!$I:$I,DRE!H$4,Aut_Ajustes_Manuais!$F:$F,"  -  Multa Rescisória")</f>
        <v>-224.01</v>
      </c>
      <c r="K193" s="241">
        <v>-192.53</v>
      </c>
      <c r="L193" s="27"/>
      <c r="M193" s="28">
        <f>SUMIFS(Aut_BlueMe_Sem_Pedido!$J:$J,Aut_BlueMe_Sem_Pedido!$Q:$Q,DRE!K$4,Aut_BlueMe_Sem_Pedido!$H:$H,DRE!$A193)+SUMIFS(Aut_Ajustes_Manuais!$G:$G,Aut_Ajustes_Manuais!$I:$I,DRE!K$4,Aut_Ajustes_Manuais!$F:$F,"  -  Multa Rescisória")</f>
        <v>0</v>
      </c>
      <c r="N193" s="241">
        <v>-193.73</v>
      </c>
      <c r="O193" s="27"/>
      <c r="P193" s="28">
        <f>SUMIFS(Aut_BlueMe_Sem_Pedido!$J:$J,Aut_BlueMe_Sem_Pedido!$Q:$Q,DRE!N$4,Aut_BlueMe_Sem_Pedido!$H:$H,DRE!$A193)+SUMIFS(Aut_Ajustes_Manuais!$G:$G,Aut_Ajustes_Manuais!$I:$I,DRE!N$4,Aut_Ajustes_Manuais!$F:$F,"  -  Multa Rescisória")</f>
        <v>0</v>
      </c>
      <c r="Q193" s="241">
        <v>0</v>
      </c>
      <c r="R193" s="27"/>
      <c r="S193" s="28">
        <f>SUMIFS(Aut_BlueMe_Sem_Pedido!$J:$J,Aut_BlueMe_Sem_Pedido!$Q:$Q,DRE!Q$4,Aut_BlueMe_Sem_Pedido!$H:$H,DRE!$A193)+SUMIFS(Aut_Ajustes_Manuais!$G:$G,Aut_Ajustes_Manuais!$I:$I,DRE!Q$4,Aut_Ajustes_Manuais!$F:$F,"  -  Multa Rescisória")</f>
        <v>0</v>
      </c>
      <c r="T193" s="241">
        <v>0</v>
      </c>
      <c r="U193" s="27"/>
      <c r="V193" s="28">
        <f>SUMIFS(Aut_BlueMe_Sem_Pedido!$J:$J,Aut_BlueMe_Sem_Pedido!$Q:$Q,DRE!T$4,Aut_BlueMe_Sem_Pedido!$H:$H,DRE!$A193)+SUMIFS(Aut_Ajustes_Manuais!$G:$G,Aut_Ajustes_Manuais!$I:$I,DRE!T$4,Aut_Ajustes_Manuais!$F:$F,"  -  Multa Rescisória")</f>
        <v>0</v>
      </c>
      <c r="W193" s="241">
        <v>-204.53</v>
      </c>
      <c r="X193" s="27"/>
      <c r="Y193" s="28">
        <f>SUMIFS(Aut_BlueMe_Sem_Pedido!$J:$J,Aut_BlueMe_Sem_Pedido!$Q:$Q,DRE!W$4,Aut_BlueMe_Sem_Pedido!$H:$H,DRE!$A193)+SUMIFS(Aut_Ajustes_Manuais!$G:$G,Aut_Ajustes_Manuais!$I:$I,DRE!W$4,Aut_Ajustes_Manuais!$F:$F,"  -  Multa Rescisória")</f>
        <v>0</v>
      </c>
      <c r="Z193" s="241">
        <v>-4381.8500000000004</v>
      </c>
      <c r="AA193" s="27"/>
      <c r="AB193" s="28">
        <f>SUMIFS(Aut_BlueMe_Sem_Pedido!$J:$J,Aut_BlueMe_Sem_Pedido!$Q:$Q,DRE!Z$4,Aut_BlueMe_Sem_Pedido!$H:$H,DRE!$A193)+SUMIFS(Aut_Ajustes_Manuais!$G:$G,Aut_Ajustes_Manuais!$I:$I,DRE!Z$4,Aut_Ajustes_Manuais!$F:$F,"  -  Multa Rescisória")</f>
        <v>-500</v>
      </c>
      <c r="AC193" s="241">
        <v>-118.28</v>
      </c>
      <c r="AD193" s="27"/>
      <c r="AE193" s="28">
        <f>SUMIFS(Aut_BlueMe_Sem_Pedido!$J:$J,Aut_BlueMe_Sem_Pedido!$Q:$Q,DRE!AC$4,Aut_BlueMe_Sem_Pedido!$H:$H,DRE!$A193)+SUMIFS(Aut_Ajustes_Manuais!$G:$G,Aut_Ajustes_Manuais!$I:$I,DRE!AC$4,Aut_Ajustes_Manuais!$F:$F,"  -  Multa Rescisória")</f>
        <v>0</v>
      </c>
      <c r="AF193" s="241">
        <v>-4315.87</v>
      </c>
      <c r="AG193" s="27"/>
      <c r="AH193" s="28">
        <f>SUMIFS(Aut_BlueMe_Sem_Pedido!$J:$J,Aut_BlueMe_Sem_Pedido!$Q:$Q,DRE!AF$4,Aut_BlueMe_Sem_Pedido!$H:$H,DRE!$A193)+SUMIFS(Aut_Ajustes_Manuais!$G:$G,Aut_Ajustes_Manuais!$I:$I,DRE!AF$4,Aut_Ajustes_Manuais!$F:$F,"  -  Multa Rescisória")</f>
        <v>0</v>
      </c>
      <c r="AI193" s="241">
        <v>0</v>
      </c>
      <c r="AJ193" s="27"/>
      <c r="AK193" s="28">
        <f>SUMIFS(Aut_BlueMe_Sem_Pedido!$J:$J,Aut_BlueMe_Sem_Pedido!$Q:$Q,DRE!AI$4,Aut_BlueMe_Sem_Pedido!$H:$H,DRE!$A193)+SUMIFS(Aut_Ajustes_Manuais!$G:$G,Aut_Ajustes_Manuais!$I:$I,DRE!AI$4,Aut_Ajustes_Manuais!$F:$F,"  -  Multa Rescisória")</f>
        <v>0</v>
      </c>
      <c r="AL193" s="241">
        <v>-1508.34</v>
      </c>
      <c r="AM193" s="27"/>
      <c r="AN193" s="28">
        <f>SUMIFS(Aut_BlueMe_Sem_Pedido!$J:$J,Aut_BlueMe_Sem_Pedido!$Q:$Q,DRE!AL$4,Aut_BlueMe_Sem_Pedido!$H:$H,DRE!$A193)+SUMIFS(Aut_Ajustes_Manuais!$G:$G,Aut_Ajustes_Manuais!$I:$I,DRE!AL$4,Aut_Ajustes_Manuais!$F:$F,"  -  Multa Rescisória")</f>
        <v>0</v>
      </c>
      <c r="AO193" s="241">
        <v>0</v>
      </c>
      <c r="AP193" s="27"/>
      <c r="AQ193" s="28">
        <f>SUMIFS(Aut_BlueMe_Sem_Pedido!$J:$J,Aut_BlueMe_Sem_Pedido!$Q:$Q,DRE!AO$4,Aut_BlueMe_Sem_Pedido!$H:$H,DRE!$A193)+SUMIFS(Aut_Ajustes_Manuais!$G:$G,Aut_Ajustes_Manuais!$I:$I,DRE!AO$4,Aut_Ajustes_Manuais!$F:$F,"  -  Multa Rescisória")</f>
        <v>0</v>
      </c>
      <c r="AR193" s="241">
        <f t="shared" ca="1" si="147"/>
        <v>-590.79</v>
      </c>
      <c r="AS193" s="27">
        <f t="shared" ca="1" si="148"/>
        <v>0</v>
      </c>
      <c r="AT193" s="28">
        <f t="shared" ca="1" si="149"/>
        <v>-224.01</v>
      </c>
      <c r="AU193" s="241">
        <f t="shared" si="157"/>
        <v>-10915.130000000001</v>
      </c>
      <c r="AV193" s="27">
        <f t="shared" si="158"/>
        <v>0</v>
      </c>
      <c r="AW193" s="28">
        <f t="shared" si="159"/>
        <v>-724.01</v>
      </c>
      <c r="AX193" s="241">
        <f t="shared" si="160"/>
        <v>-386.26</v>
      </c>
      <c r="AY193" s="27">
        <f t="shared" si="161"/>
        <v>0</v>
      </c>
      <c r="AZ193" s="28">
        <f t="shared" si="162"/>
        <v>-224.01</v>
      </c>
      <c r="BA193" s="241">
        <f t="shared" si="163"/>
        <v>-204.53</v>
      </c>
      <c r="BB193" s="27">
        <f t="shared" si="164"/>
        <v>0</v>
      </c>
      <c r="BC193" s="28">
        <f t="shared" si="165"/>
        <v>0</v>
      </c>
      <c r="BD193" s="241">
        <f t="shared" si="166"/>
        <v>-8816</v>
      </c>
      <c r="BE193" s="27">
        <f t="shared" si="167"/>
        <v>0</v>
      </c>
      <c r="BF193" s="28">
        <f t="shared" si="168"/>
        <v>-500</v>
      </c>
      <c r="BG193" s="241">
        <f t="shared" si="169"/>
        <v>-1508.34</v>
      </c>
      <c r="BH193" s="27">
        <f t="shared" si="170"/>
        <v>0</v>
      </c>
      <c r="BI193" s="28">
        <f t="shared" si="171"/>
        <v>0</v>
      </c>
    </row>
    <row r="194" spans="1:61" s="29" customFormat="1" hidden="1" outlineLevel="1" x14ac:dyDescent="0.3">
      <c r="A194" s="22" t="s">
        <v>229</v>
      </c>
      <c r="B194" s="2"/>
      <c r="C194" s="468"/>
      <c r="D194" s="97" t="s">
        <v>230</v>
      </c>
      <c r="E194" s="98"/>
      <c r="F194" s="41"/>
      <c r="G194" s="33"/>
      <c r="H194" s="241">
        <v>0</v>
      </c>
      <c r="I194" s="27">
        <v>0</v>
      </c>
      <c r="J194" s="28">
        <f>SUMIFS(Aut_Endividamentos!$N:$N,Aut_Endividamentos!$S:$S,DRE!H$4,Aut_Endividamentos!$G:$G,DRE!$A194)+SUMIFS(Aut_Ajustes_Manuais!$G:$G,Aut_Ajustes_Manuais!$I:$I,DRE!H$4,Aut_Ajustes_Manuais!$F:$F,"  -  Ações trabalhistas")</f>
        <v>0</v>
      </c>
      <c r="K194" s="241">
        <v>0</v>
      </c>
      <c r="L194" s="27">
        <v>0</v>
      </c>
      <c r="M194" s="28">
        <f>SUMIFS(Aut_Endividamentos!$N:$N,Aut_Endividamentos!$S:$S,DRE!K$4,Aut_Endividamentos!$G:$G,DRE!$A194)+SUMIFS(Aut_Ajustes_Manuais!$G:$G,Aut_Ajustes_Manuais!$I:$I,DRE!K$4,Aut_Ajustes_Manuais!$F:$F,"  -  Ações trabalhistas")</f>
        <v>0</v>
      </c>
      <c r="N194" s="241">
        <v>0</v>
      </c>
      <c r="O194" s="27">
        <v>-1833.34</v>
      </c>
      <c r="P194" s="28">
        <f>SUMIFS(Aut_Endividamentos!$N:$N,Aut_Endividamentos!$S:$S,DRE!N$4,Aut_Endividamentos!$G:$G,DRE!$A194)+SUMIFS(Aut_Ajustes_Manuais!$G:$G,Aut_Ajustes_Manuais!$I:$I,DRE!N$4,Aut_Ajustes_Manuais!$F:$F,"  -  Ações trabalhistas")</f>
        <v>0</v>
      </c>
      <c r="Q194" s="241">
        <v>0</v>
      </c>
      <c r="R194" s="27">
        <v>-1833.34</v>
      </c>
      <c r="S194" s="28">
        <f>SUMIFS(Aut_Endividamentos!$N:$N,Aut_Endividamentos!$S:$S,DRE!Q$4,Aut_Endividamentos!$G:$G,DRE!$A194)+SUMIFS(Aut_Ajustes_Manuais!$G:$G,Aut_Ajustes_Manuais!$I:$I,DRE!Q$4,Aut_Ajustes_Manuais!$F:$F,"  -  Ações trabalhistas")</f>
        <v>0</v>
      </c>
      <c r="T194" s="241">
        <v>0</v>
      </c>
      <c r="U194" s="27">
        <v>-1833.34</v>
      </c>
      <c r="V194" s="28">
        <f>SUMIFS(Aut_Endividamentos!$N:$N,Aut_Endividamentos!$S:$S,DRE!T$4,Aut_Endividamentos!$G:$G,DRE!$A194)+SUMIFS(Aut_Ajustes_Manuais!$G:$G,Aut_Ajustes_Manuais!$I:$I,DRE!T$4,Aut_Ajustes_Manuais!$F:$F,"  -  Ações trabalhistas")</f>
        <v>0</v>
      </c>
      <c r="W194" s="241">
        <v>0</v>
      </c>
      <c r="X194" s="27">
        <v>-1833.34</v>
      </c>
      <c r="Y194" s="28">
        <f>SUMIFS(Aut_Endividamentos!$N:$N,Aut_Endividamentos!$S:$S,DRE!W$4,Aut_Endividamentos!$G:$G,DRE!$A194)+SUMIFS(Aut_Ajustes_Manuais!$G:$G,Aut_Ajustes_Manuais!$I:$I,DRE!W$4,Aut_Ajustes_Manuais!$F:$F,"  -  Ações trabalhistas")</f>
        <v>0</v>
      </c>
      <c r="Z194" s="241">
        <v>0</v>
      </c>
      <c r="AA194" s="27">
        <v>-1833.34</v>
      </c>
      <c r="AB194" s="28">
        <f>SUMIFS(Aut_Endividamentos!$N:$N,Aut_Endividamentos!$S:$S,DRE!Z$4,Aut_Endividamentos!$G:$G,DRE!$A194)+SUMIFS(Aut_Ajustes_Manuais!$G:$G,Aut_Ajustes_Manuais!$I:$I,DRE!Z$4,Aut_Ajustes_Manuais!$F:$F,"  -  Ações trabalhistas")</f>
        <v>0</v>
      </c>
      <c r="AC194" s="241">
        <v>0</v>
      </c>
      <c r="AD194" s="27">
        <v>-1833.34</v>
      </c>
      <c r="AE194" s="28">
        <f>SUMIFS(Aut_Endividamentos!$N:$N,Aut_Endividamentos!$S:$S,DRE!AC$4,Aut_Endividamentos!$G:$G,DRE!$A194)+SUMIFS(Aut_Ajustes_Manuais!$G:$G,Aut_Ajustes_Manuais!$I:$I,DRE!AC$4,Aut_Ajustes_Manuais!$F:$F,"  -  Ações trabalhistas")</f>
        <v>0</v>
      </c>
      <c r="AF194" s="241">
        <v>0</v>
      </c>
      <c r="AG194" s="27">
        <v>-1833.34</v>
      </c>
      <c r="AH194" s="28">
        <f>SUMIFS(Aut_Endividamentos!$N:$N,Aut_Endividamentos!$S:$S,DRE!AF$4,Aut_Endividamentos!$G:$G,DRE!$A194)+SUMIFS(Aut_Ajustes_Manuais!$G:$G,Aut_Ajustes_Manuais!$I:$I,DRE!AF$4,Aut_Ajustes_Manuais!$F:$F,"  -  Ações trabalhistas")</f>
        <v>0</v>
      </c>
      <c r="AI194" s="241">
        <v>0</v>
      </c>
      <c r="AJ194" s="27">
        <v>-1833.34</v>
      </c>
      <c r="AK194" s="28">
        <f>SUMIFS(Aut_Endividamentos!$N:$N,Aut_Endividamentos!$S:$S,DRE!AI$4,Aut_Endividamentos!$G:$G,DRE!$A194)+SUMIFS(Aut_Ajustes_Manuais!$G:$G,Aut_Ajustes_Manuais!$I:$I,DRE!AI$4,Aut_Ajustes_Manuais!$F:$F,"  -  Ações trabalhistas")</f>
        <v>0</v>
      </c>
      <c r="AL194" s="241">
        <v>0</v>
      </c>
      <c r="AM194" s="27">
        <v>0</v>
      </c>
      <c r="AN194" s="28">
        <f>SUMIFS(Aut_Endividamentos!$N:$N,Aut_Endividamentos!$S:$S,DRE!AL$4,Aut_Endividamentos!$G:$G,DRE!$A194)+SUMIFS(Aut_Ajustes_Manuais!$G:$G,Aut_Ajustes_Manuais!$I:$I,DRE!AL$4,Aut_Ajustes_Manuais!$F:$F,"  -  Ações trabalhistas")</f>
        <v>0</v>
      </c>
      <c r="AO194" s="241">
        <v>0</v>
      </c>
      <c r="AP194" s="27">
        <v>0</v>
      </c>
      <c r="AQ194" s="28">
        <f>SUMIFS(Aut_Endividamentos!$N:$N,Aut_Endividamentos!$S:$S,DRE!AO$4,Aut_Endividamentos!$G:$G,DRE!$A194)+SUMIFS(Aut_Ajustes_Manuais!$G:$G,Aut_Ajustes_Manuais!$I:$I,DRE!AO$4,Aut_Ajustes_Manuais!$F:$F,"  -  Ações trabalhistas")</f>
        <v>0</v>
      </c>
      <c r="AR194" s="241">
        <f t="shared" ca="1" si="147"/>
        <v>0</v>
      </c>
      <c r="AS194" s="27">
        <f t="shared" ca="1" si="148"/>
        <v>-7333.36</v>
      </c>
      <c r="AT194" s="28">
        <f t="shared" ca="1" si="149"/>
        <v>0</v>
      </c>
      <c r="AU194" s="241">
        <f t="shared" si="157"/>
        <v>0</v>
      </c>
      <c r="AV194" s="27">
        <f t="shared" si="158"/>
        <v>-14666.72</v>
      </c>
      <c r="AW194" s="28">
        <f t="shared" si="159"/>
        <v>0</v>
      </c>
      <c r="AX194" s="241">
        <f t="shared" si="160"/>
        <v>0</v>
      </c>
      <c r="AY194" s="27">
        <f t="shared" si="161"/>
        <v>-1833.34</v>
      </c>
      <c r="AZ194" s="28">
        <f t="shared" si="162"/>
        <v>0</v>
      </c>
      <c r="BA194" s="241">
        <f t="shared" si="163"/>
        <v>0</v>
      </c>
      <c r="BB194" s="27">
        <f t="shared" si="164"/>
        <v>-5500.0199999999995</v>
      </c>
      <c r="BC194" s="28">
        <f t="shared" si="165"/>
        <v>0</v>
      </c>
      <c r="BD194" s="241">
        <f t="shared" si="166"/>
        <v>0</v>
      </c>
      <c r="BE194" s="27">
        <f t="shared" si="167"/>
        <v>-5500.0199999999995</v>
      </c>
      <c r="BF194" s="28">
        <f t="shared" si="168"/>
        <v>0</v>
      </c>
      <c r="BG194" s="241">
        <f t="shared" si="169"/>
        <v>0</v>
      </c>
      <c r="BH194" s="27">
        <f t="shared" si="170"/>
        <v>-1833.34</v>
      </c>
      <c r="BI194" s="28">
        <f t="shared" si="171"/>
        <v>0</v>
      </c>
    </row>
    <row r="195" spans="1:61" s="29" customFormat="1" hidden="1" outlineLevel="1" x14ac:dyDescent="0.3">
      <c r="A195" s="22" t="s">
        <v>231</v>
      </c>
      <c r="B195" s="2"/>
      <c r="C195" s="468"/>
      <c r="D195" s="97" t="s">
        <v>232</v>
      </c>
      <c r="E195" s="100" t="s">
        <v>233</v>
      </c>
      <c r="F195" s="41"/>
      <c r="G195" s="33"/>
      <c r="H195" s="241">
        <v>0</v>
      </c>
      <c r="I195" s="27">
        <v>-1687.077594655663</v>
      </c>
      <c r="J195" s="28">
        <f>SUMIFS(Aut_BlueMe_Sem_Pedido!$J:$J,Aut_BlueMe_Sem_Pedido!$Q:$Q,DRE!H$4,Aut_BlueMe_Sem_Pedido!$H:$H,DRE!$A195)+SUMIFS(Aut_Ajustes_Manuais!$G:$G,Aut_Ajustes_Manuais!$I:$I,DRE!H$4,Aut_Ajustes_Manuais!$F:$F,"  -  Adicional Noturno")</f>
        <v>0</v>
      </c>
      <c r="K195" s="241">
        <v>0</v>
      </c>
      <c r="L195" s="27">
        <v>-1701.719745540137</v>
      </c>
      <c r="M195" s="28">
        <f>SUMIFS(Aut_BlueMe_Sem_Pedido!$J:$J,Aut_BlueMe_Sem_Pedido!$Q:$Q,DRE!K$4,Aut_BlueMe_Sem_Pedido!$H:$H,DRE!$A195)+SUMIFS(Aut_Ajustes_Manuais!$G:$G,Aut_Ajustes_Manuais!$I:$I,DRE!K$4,Aut_Ajustes_Manuais!$F:$F,"  -  Adicional Noturno")</f>
        <v>0</v>
      </c>
      <c r="N195" s="241">
        <v>0</v>
      </c>
      <c r="O195" s="27">
        <v>-1930.889669671041</v>
      </c>
      <c r="P195" s="28">
        <f>SUMIFS(Aut_BlueMe_Sem_Pedido!$J:$J,Aut_BlueMe_Sem_Pedido!$Q:$Q,DRE!N$4,Aut_BlueMe_Sem_Pedido!$H:$H,DRE!$A195)+SUMIFS(Aut_Ajustes_Manuais!$G:$G,Aut_Ajustes_Manuais!$I:$I,DRE!N$4,Aut_Ajustes_Manuais!$F:$F,"  -  Adicional Noturno")</f>
        <v>0</v>
      </c>
      <c r="Q195" s="241">
        <v>0</v>
      </c>
      <c r="R195" s="27">
        <v>-1857.7301674662999</v>
      </c>
      <c r="S195" s="28">
        <f>SUMIFS(Aut_BlueMe_Sem_Pedido!$J:$J,Aut_BlueMe_Sem_Pedido!$Q:$Q,DRE!Q$4,Aut_BlueMe_Sem_Pedido!$H:$H,DRE!$A195)+SUMIFS(Aut_Ajustes_Manuais!$G:$G,Aut_Ajustes_Manuais!$I:$I,DRE!Q$4,Aut_Ajustes_Manuais!$F:$F,"  -  Adicional Noturno")</f>
        <v>0</v>
      </c>
      <c r="T195" s="241">
        <v>0</v>
      </c>
      <c r="U195" s="27">
        <v>-1908.054471822971</v>
      </c>
      <c r="V195" s="28">
        <f>SUMIFS(Aut_BlueMe_Sem_Pedido!$J:$J,Aut_BlueMe_Sem_Pedido!$Q:$Q,DRE!T$4,Aut_BlueMe_Sem_Pedido!$H:$H,DRE!$A195)+SUMIFS(Aut_Ajustes_Manuais!$G:$G,Aut_Ajustes_Manuais!$I:$I,DRE!T$4,Aut_Ajustes_Manuais!$F:$F,"  -  Adicional Noturno")</f>
        <v>0</v>
      </c>
      <c r="W195" s="241">
        <v>0</v>
      </c>
      <c r="X195" s="27">
        <v>-1828.1732869886121</v>
      </c>
      <c r="Y195" s="28">
        <f>SUMIFS(Aut_BlueMe_Sem_Pedido!$J:$J,Aut_BlueMe_Sem_Pedido!$Q:$Q,DRE!W$4,Aut_BlueMe_Sem_Pedido!$H:$H,DRE!$A195)+SUMIFS(Aut_Ajustes_Manuais!$G:$G,Aut_Ajustes_Manuais!$I:$I,DRE!W$4,Aut_Ajustes_Manuais!$F:$F,"  -  Adicional Noturno")</f>
        <v>0</v>
      </c>
      <c r="Z195" s="241">
        <v>0</v>
      </c>
      <c r="AA195" s="27">
        <v>-2089.1234457495189</v>
      </c>
      <c r="AB195" s="28">
        <f>SUMIFS(Aut_BlueMe_Sem_Pedido!$J:$J,Aut_BlueMe_Sem_Pedido!$Q:$Q,DRE!Z$4,Aut_BlueMe_Sem_Pedido!$H:$H,DRE!$A195)+SUMIFS(Aut_Ajustes_Manuais!$G:$G,Aut_Ajustes_Manuais!$I:$I,DRE!Z$4,Aut_Ajustes_Manuais!$F:$F,"  -  Adicional Noturno")</f>
        <v>0</v>
      </c>
      <c r="AC195" s="241">
        <v>0</v>
      </c>
      <c r="AD195" s="27">
        <v>-2056.5281130164731</v>
      </c>
      <c r="AE195" s="28">
        <f>SUMIFS(Aut_BlueMe_Sem_Pedido!$J:$J,Aut_BlueMe_Sem_Pedido!$Q:$Q,DRE!AC$4,Aut_BlueMe_Sem_Pedido!$H:$H,DRE!$A195)+SUMIFS(Aut_Ajustes_Manuais!$G:$G,Aut_Ajustes_Manuais!$I:$I,DRE!AC$4,Aut_Ajustes_Manuais!$F:$F,"  -  Adicional Noturno")</f>
        <v>0</v>
      </c>
      <c r="AF195" s="241">
        <v>0</v>
      </c>
      <c r="AG195" s="27">
        <v>-1920.270520417813</v>
      </c>
      <c r="AH195" s="28">
        <f>SUMIFS(Aut_BlueMe_Sem_Pedido!$J:$J,Aut_BlueMe_Sem_Pedido!$Q:$Q,DRE!AF$4,Aut_BlueMe_Sem_Pedido!$H:$H,DRE!$A195)+SUMIFS(Aut_Ajustes_Manuais!$G:$G,Aut_Ajustes_Manuais!$I:$I,DRE!AF$4,Aut_Ajustes_Manuais!$F:$F,"  -  Adicional Noturno")</f>
        <v>0</v>
      </c>
      <c r="AI195" s="241">
        <v>0</v>
      </c>
      <c r="AJ195" s="27">
        <v>-1921.8461798905171</v>
      </c>
      <c r="AK195" s="28">
        <f>SUMIFS(Aut_BlueMe_Sem_Pedido!$J:$J,Aut_BlueMe_Sem_Pedido!$Q:$Q,DRE!AI$4,Aut_BlueMe_Sem_Pedido!$H:$H,DRE!$A195)+SUMIFS(Aut_Ajustes_Manuais!$G:$G,Aut_Ajustes_Manuais!$I:$I,DRE!AI$4,Aut_Ajustes_Manuais!$F:$F,"  -  Adicional Noturno")</f>
        <v>0</v>
      </c>
      <c r="AL195" s="241">
        <v>0</v>
      </c>
      <c r="AM195" s="27">
        <v>-1980.468679346423</v>
      </c>
      <c r="AN195" s="28">
        <f>SUMIFS(Aut_BlueMe_Sem_Pedido!$J:$J,Aut_BlueMe_Sem_Pedido!$Q:$Q,DRE!AL$4,Aut_BlueMe_Sem_Pedido!$H:$H,DRE!$A195)+SUMIFS(Aut_Ajustes_Manuais!$G:$G,Aut_Ajustes_Manuais!$I:$I,DRE!AL$4,Aut_Ajustes_Manuais!$F:$F,"  -  Adicional Noturno")</f>
        <v>0</v>
      </c>
      <c r="AO195" s="241">
        <v>0</v>
      </c>
      <c r="AP195" s="27">
        <v>-2221.6533847943879</v>
      </c>
      <c r="AQ195" s="28">
        <f>SUMIFS(Aut_BlueMe_Sem_Pedido!$J:$J,Aut_BlueMe_Sem_Pedido!$Q:$Q,DRE!AO$4,Aut_BlueMe_Sem_Pedido!$H:$H,DRE!$A195)+SUMIFS(Aut_Ajustes_Manuais!$G:$G,Aut_Ajustes_Manuais!$I:$I,DRE!AO$4,Aut_Ajustes_Manuais!$F:$F,"  -  Adicional Noturno")</f>
        <v>0</v>
      </c>
      <c r="AR195" s="241">
        <f t="shared" ca="1" si="147"/>
        <v>0</v>
      </c>
      <c r="AS195" s="27">
        <f t="shared" ca="1" si="148"/>
        <v>-10913.644936144723</v>
      </c>
      <c r="AT195" s="28">
        <f t="shared" ca="1" si="149"/>
        <v>0</v>
      </c>
      <c r="AU195" s="241">
        <f t="shared" si="157"/>
        <v>0</v>
      </c>
      <c r="AV195" s="27">
        <f t="shared" si="158"/>
        <v>-23103.535259359855</v>
      </c>
      <c r="AW195" s="28">
        <f t="shared" si="159"/>
        <v>0</v>
      </c>
      <c r="AX195" s="241">
        <f t="shared" si="160"/>
        <v>0</v>
      </c>
      <c r="AY195" s="27">
        <f t="shared" si="161"/>
        <v>-5319.6870098668405</v>
      </c>
      <c r="AZ195" s="28">
        <f t="shared" si="162"/>
        <v>0</v>
      </c>
      <c r="BA195" s="241">
        <f t="shared" si="163"/>
        <v>0</v>
      </c>
      <c r="BB195" s="27">
        <f t="shared" si="164"/>
        <v>-5593.9579262778825</v>
      </c>
      <c r="BC195" s="28">
        <f t="shared" si="165"/>
        <v>0</v>
      </c>
      <c r="BD195" s="241">
        <f t="shared" si="166"/>
        <v>0</v>
      </c>
      <c r="BE195" s="27">
        <f t="shared" si="167"/>
        <v>-6065.9220791838052</v>
      </c>
      <c r="BF195" s="28">
        <f t="shared" si="168"/>
        <v>0</v>
      </c>
      <c r="BG195" s="241">
        <f t="shared" si="169"/>
        <v>0</v>
      </c>
      <c r="BH195" s="27">
        <f t="shared" si="170"/>
        <v>-6123.9682440313281</v>
      </c>
      <c r="BI195" s="28">
        <f t="shared" si="171"/>
        <v>0</v>
      </c>
    </row>
    <row r="196" spans="1:61" s="29" customFormat="1" hidden="1" outlineLevel="1" x14ac:dyDescent="0.3">
      <c r="A196" s="22" t="s">
        <v>234</v>
      </c>
      <c r="B196" s="2"/>
      <c r="C196" s="468"/>
      <c r="D196" s="97" t="s">
        <v>235</v>
      </c>
      <c r="E196" s="100"/>
      <c r="F196" s="41"/>
      <c r="G196" s="33"/>
      <c r="H196" s="241">
        <v>-221.0181818181818</v>
      </c>
      <c r="I196" s="27">
        <v>-238.93165909090911</v>
      </c>
      <c r="J196" s="28">
        <f>SUMIFS(Aut_BlueMe_Sem_Pedido!$J:$J,Aut_BlueMe_Sem_Pedido!$Q:$Q,DRE!H$4,Aut_BlueMe_Sem_Pedido!$H:$H,DRE!$A196)+SUMIFS(Aut_Ajustes_Manuais!$G:$G,Aut_Ajustes_Manuais!$I:$I,DRE!H$4,Aut_Ajustes_Manuais!$F:$F,"  -  Hora Extra")</f>
        <v>0</v>
      </c>
      <c r="K196" s="241">
        <v>-2889.4298159999998</v>
      </c>
      <c r="L196" s="27">
        <v>-238.93165909090911</v>
      </c>
      <c r="M196" s="28">
        <f>SUMIFS(Aut_BlueMe_Sem_Pedido!$J:$J,Aut_BlueMe_Sem_Pedido!$Q:$Q,DRE!K$4,Aut_BlueMe_Sem_Pedido!$H:$H,DRE!$A196)+SUMIFS(Aut_Ajustes_Manuais!$G:$G,Aut_Ajustes_Manuais!$I:$I,DRE!K$4,Aut_Ajustes_Manuais!$F:$F,"  -  Hora Extra")</f>
        <v>0</v>
      </c>
      <c r="N196" s="241">
        <v>-867.16154399999994</v>
      </c>
      <c r="O196" s="27">
        <v>-238.93165909090911</v>
      </c>
      <c r="P196" s="28">
        <f>SUMIFS(Aut_BlueMe_Sem_Pedido!$J:$J,Aut_BlueMe_Sem_Pedido!$Q:$Q,DRE!N$4,Aut_BlueMe_Sem_Pedido!$H:$H,DRE!$A196)+SUMIFS(Aut_Ajustes_Manuais!$G:$G,Aut_Ajustes_Manuais!$I:$I,DRE!N$4,Aut_Ajustes_Manuais!$F:$F,"  -  Hora Extra")</f>
        <v>0</v>
      </c>
      <c r="Q196" s="241">
        <v>-521.35992545454553</v>
      </c>
      <c r="R196" s="27">
        <v>-238.93165909090911</v>
      </c>
      <c r="S196" s="28">
        <f>SUMIFS(Aut_BlueMe_Sem_Pedido!$J:$J,Aut_BlueMe_Sem_Pedido!$Q:$Q,DRE!Q$4,Aut_BlueMe_Sem_Pedido!$H:$H,DRE!$A196)+SUMIFS(Aut_Ajustes_Manuais!$G:$G,Aut_Ajustes_Manuais!$I:$I,DRE!Q$4,Aut_Ajustes_Manuais!$F:$F,"  -  Hora Extra")</f>
        <v>0</v>
      </c>
      <c r="T196" s="241">
        <v>-5849.5058640000007</v>
      </c>
      <c r="U196" s="27">
        <v>-248.96678877272731</v>
      </c>
      <c r="V196" s="28">
        <f>SUMIFS(Aut_BlueMe_Sem_Pedido!$J:$J,Aut_BlueMe_Sem_Pedido!$Q:$Q,DRE!T$4,Aut_BlueMe_Sem_Pedido!$H:$H,DRE!$A196)+SUMIFS(Aut_Ajustes_Manuais!$G:$G,Aut_Ajustes_Manuais!$I:$I,DRE!T$4,Aut_Ajustes_Manuais!$F:$F,"  -  Hora Extra")</f>
        <v>0</v>
      </c>
      <c r="W196" s="241">
        <v>-2026.8418276363641</v>
      </c>
      <c r="X196" s="27">
        <v>-248.96678877272731</v>
      </c>
      <c r="Y196" s="28">
        <f>SUMIFS(Aut_BlueMe_Sem_Pedido!$J:$J,Aut_BlueMe_Sem_Pedido!$Q:$Q,DRE!W$4,Aut_BlueMe_Sem_Pedido!$H:$H,DRE!$A196)+SUMIFS(Aut_Ajustes_Manuais!$G:$G,Aut_Ajustes_Manuais!$I:$I,DRE!W$4,Aut_Ajustes_Manuais!$F:$F,"  -  Hora Extra")</f>
        <v>0</v>
      </c>
      <c r="Z196" s="241">
        <v>-4638.7616749090903</v>
      </c>
      <c r="AA196" s="27">
        <v>-248.96678877272731</v>
      </c>
      <c r="AB196" s="28">
        <f>SUMIFS(Aut_BlueMe_Sem_Pedido!$J:$J,Aut_BlueMe_Sem_Pedido!$Q:$Q,DRE!Z$4,Aut_BlueMe_Sem_Pedido!$H:$H,DRE!$A196)+SUMIFS(Aut_Ajustes_Manuais!$G:$G,Aut_Ajustes_Manuais!$I:$I,DRE!Z$4,Aut_Ajustes_Manuais!$F:$F,"  -  Hora Extra")</f>
        <v>0</v>
      </c>
      <c r="AC196" s="241">
        <v>-824.13120218181825</v>
      </c>
      <c r="AD196" s="27">
        <v>-248.96678877272731</v>
      </c>
      <c r="AE196" s="28">
        <f>SUMIFS(Aut_BlueMe_Sem_Pedido!$J:$J,Aut_BlueMe_Sem_Pedido!$Q:$Q,DRE!AC$4,Aut_BlueMe_Sem_Pedido!$H:$H,DRE!$A196)+SUMIFS(Aut_Ajustes_Manuais!$G:$G,Aut_Ajustes_Manuais!$I:$I,DRE!AC$4,Aut_Ajustes_Manuais!$F:$F,"  -  Hora Extra")</f>
        <v>0</v>
      </c>
      <c r="AF196" s="241">
        <v>-1638.8461865454551</v>
      </c>
      <c r="AG196" s="27">
        <v>-248.96678877272731</v>
      </c>
      <c r="AH196" s="28">
        <f>SUMIFS(Aut_BlueMe_Sem_Pedido!$J:$J,Aut_BlueMe_Sem_Pedido!$Q:$Q,DRE!AF$4,Aut_BlueMe_Sem_Pedido!$H:$H,DRE!$A196)+SUMIFS(Aut_Ajustes_Manuais!$G:$G,Aut_Ajustes_Manuais!$I:$I,DRE!AF$4,Aut_Ajustes_Manuais!$F:$F,"  -  Hora Extra")</f>
        <v>0</v>
      </c>
      <c r="AI196" s="241">
        <v>-9714.2745141818177</v>
      </c>
      <c r="AJ196" s="27">
        <v>-248.96678877272731</v>
      </c>
      <c r="AK196" s="28">
        <f>SUMIFS(Aut_BlueMe_Sem_Pedido!$J:$J,Aut_BlueMe_Sem_Pedido!$Q:$Q,DRE!AI$4,Aut_BlueMe_Sem_Pedido!$H:$H,DRE!$A196)+SUMIFS(Aut_Ajustes_Manuais!$G:$G,Aut_Ajustes_Manuais!$I:$I,DRE!AI$4,Aut_Ajustes_Manuais!$F:$F,"  -  Hora Extra")</f>
        <v>0</v>
      </c>
      <c r="AL196" s="241">
        <v>-5000</v>
      </c>
      <c r="AM196" s="27">
        <v>-248.96678877272731</v>
      </c>
      <c r="AN196" s="28">
        <f>SUMIFS(Aut_BlueMe_Sem_Pedido!$J:$J,Aut_BlueMe_Sem_Pedido!$Q:$Q,DRE!AL$4,Aut_BlueMe_Sem_Pedido!$H:$H,DRE!$A196)+SUMIFS(Aut_Ajustes_Manuais!$G:$G,Aut_Ajustes_Manuais!$I:$I,DRE!AL$4,Aut_Ajustes_Manuais!$F:$F,"  -  Hora Extra")</f>
        <v>0</v>
      </c>
      <c r="AO196" s="241">
        <v>-5000</v>
      </c>
      <c r="AP196" s="27">
        <v>-248.96678877272731</v>
      </c>
      <c r="AQ196" s="28">
        <f>SUMIFS(Aut_BlueMe_Sem_Pedido!$J:$J,Aut_BlueMe_Sem_Pedido!$Q:$Q,DRE!AO$4,Aut_BlueMe_Sem_Pedido!$H:$H,DRE!$A196)+SUMIFS(Aut_Ajustes_Manuais!$G:$G,Aut_Ajustes_Manuais!$I:$I,DRE!AO$4,Aut_Ajustes_Manuais!$F:$F,"  -  Hora Extra")</f>
        <v>0</v>
      </c>
      <c r="AR196" s="241">
        <f t="shared" ca="1" si="147"/>
        <v>-12375.317158909093</v>
      </c>
      <c r="AS196" s="27">
        <f t="shared" ca="1" si="148"/>
        <v>-1453.660213909091</v>
      </c>
      <c r="AT196" s="28">
        <f t="shared" ca="1" si="149"/>
        <v>0</v>
      </c>
      <c r="AU196" s="241">
        <f t="shared" si="157"/>
        <v>-39191.330736727272</v>
      </c>
      <c r="AV196" s="27">
        <f t="shared" si="158"/>
        <v>-2947.460946545455</v>
      </c>
      <c r="AW196" s="28">
        <f t="shared" si="159"/>
        <v>0</v>
      </c>
      <c r="AX196" s="241">
        <f t="shared" si="160"/>
        <v>-3977.6095418181817</v>
      </c>
      <c r="AY196" s="27">
        <f t="shared" si="161"/>
        <v>-716.79497727272735</v>
      </c>
      <c r="AZ196" s="28">
        <f t="shared" si="162"/>
        <v>0</v>
      </c>
      <c r="BA196" s="241">
        <f t="shared" si="163"/>
        <v>-8397.7076170909095</v>
      </c>
      <c r="BB196" s="27">
        <f t="shared" si="164"/>
        <v>-736.86523663636376</v>
      </c>
      <c r="BC196" s="28">
        <f t="shared" si="165"/>
        <v>0</v>
      </c>
      <c r="BD196" s="241">
        <f t="shared" si="166"/>
        <v>-7101.7390636363634</v>
      </c>
      <c r="BE196" s="27">
        <f t="shared" si="167"/>
        <v>-746.90036631818191</v>
      </c>
      <c r="BF196" s="28">
        <f t="shared" si="168"/>
        <v>0</v>
      </c>
      <c r="BG196" s="241">
        <f t="shared" si="169"/>
        <v>-19714.274514181816</v>
      </c>
      <c r="BH196" s="27">
        <f t="shared" si="170"/>
        <v>-746.90036631818191</v>
      </c>
      <c r="BI196" s="28">
        <f t="shared" si="171"/>
        <v>0</v>
      </c>
    </row>
    <row r="197" spans="1:61" s="29" customFormat="1" hidden="1" outlineLevel="1" x14ac:dyDescent="0.3">
      <c r="A197" s="22" t="s">
        <v>236</v>
      </c>
      <c r="B197" s="2"/>
      <c r="C197" s="468"/>
      <c r="D197" s="97"/>
      <c r="E197" s="100"/>
      <c r="F197" s="41"/>
      <c r="G197" s="33"/>
      <c r="H197" s="241">
        <v>0</v>
      </c>
      <c r="I197" s="27"/>
      <c r="J197" s="28">
        <f>SUMIFS(Aut_BlueMe_Sem_Pedido!$J:$J,Aut_BlueMe_Sem_Pedido!$Q:$Q,DRE!H$4,Aut_BlueMe_Sem_Pedido!$H:$H,DRE!$A197)+SUMIFS(Aut_Ajustes_Manuais!$G:$G,Aut_Ajustes_Manuais!$I:$I,DRE!H$4,Aut_Ajustes_Manuais!$F:$F,"  -  Remuneração Variável")</f>
        <v>0</v>
      </c>
      <c r="K197" s="241">
        <v>0</v>
      </c>
      <c r="L197" s="27"/>
      <c r="M197" s="28">
        <f>SUMIFS(Aut_BlueMe_Sem_Pedido!$J:$J,Aut_BlueMe_Sem_Pedido!$Q:$Q,DRE!K$4,Aut_BlueMe_Sem_Pedido!$H:$H,DRE!$A197)+SUMIFS(Aut_Ajustes_Manuais!$G:$G,Aut_Ajustes_Manuais!$I:$I,DRE!K$4,Aut_Ajustes_Manuais!$F:$F,"  -  Remuneração Variável")</f>
        <v>0</v>
      </c>
      <c r="N197" s="241">
        <v>0</v>
      </c>
      <c r="O197" s="27"/>
      <c r="P197" s="28">
        <f>SUMIFS(Aut_BlueMe_Sem_Pedido!$J:$J,Aut_BlueMe_Sem_Pedido!$Q:$Q,DRE!N$4,Aut_BlueMe_Sem_Pedido!$H:$H,DRE!$A197)+SUMIFS(Aut_Ajustes_Manuais!$G:$G,Aut_Ajustes_Manuais!$I:$I,DRE!N$4,Aut_Ajustes_Manuais!$F:$F,"  -  Remuneração Variável")</f>
        <v>0</v>
      </c>
      <c r="Q197" s="241">
        <v>0</v>
      </c>
      <c r="R197" s="27"/>
      <c r="S197" s="28">
        <f>SUMIFS(Aut_BlueMe_Sem_Pedido!$J:$J,Aut_BlueMe_Sem_Pedido!$Q:$Q,DRE!Q$4,Aut_BlueMe_Sem_Pedido!$H:$H,DRE!$A197)+SUMIFS(Aut_Ajustes_Manuais!$G:$G,Aut_Ajustes_Manuais!$I:$I,DRE!Q$4,Aut_Ajustes_Manuais!$F:$F,"  -  Remuneração Variável")</f>
        <v>0</v>
      </c>
      <c r="T197" s="241">
        <v>0</v>
      </c>
      <c r="U197" s="27"/>
      <c r="V197" s="28">
        <f>SUMIFS(Aut_BlueMe_Sem_Pedido!$J:$J,Aut_BlueMe_Sem_Pedido!$Q:$Q,DRE!T$4,Aut_BlueMe_Sem_Pedido!$H:$H,DRE!$A197)+SUMIFS(Aut_Ajustes_Manuais!$G:$G,Aut_Ajustes_Manuais!$I:$I,DRE!T$4,Aut_Ajustes_Manuais!$F:$F,"  -  Remuneração Variável")</f>
        <v>0</v>
      </c>
      <c r="W197" s="241">
        <v>0</v>
      </c>
      <c r="X197" s="27"/>
      <c r="Y197" s="28">
        <f>SUMIFS(Aut_BlueMe_Sem_Pedido!$J:$J,Aut_BlueMe_Sem_Pedido!$Q:$Q,DRE!W$4,Aut_BlueMe_Sem_Pedido!$H:$H,DRE!$A197)+SUMIFS(Aut_Ajustes_Manuais!$G:$G,Aut_Ajustes_Manuais!$I:$I,DRE!W$4,Aut_Ajustes_Manuais!$F:$F,"  -  Remuneração Variável")</f>
        <v>0</v>
      </c>
      <c r="Z197" s="241">
        <v>0</v>
      </c>
      <c r="AA197" s="27"/>
      <c r="AB197" s="28">
        <f>SUMIFS(Aut_BlueMe_Sem_Pedido!$J:$J,Aut_BlueMe_Sem_Pedido!$Q:$Q,DRE!Z$4,Aut_BlueMe_Sem_Pedido!$H:$H,DRE!$A197)+SUMIFS(Aut_Ajustes_Manuais!$G:$G,Aut_Ajustes_Manuais!$I:$I,DRE!Z$4,Aut_Ajustes_Manuais!$F:$F,"  -  Remuneração Variável")</f>
        <v>0</v>
      </c>
      <c r="AC197" s="241">
        <v>0</v>
      </c>
      <c r="AD197" s="27"/>
      <c r="AE197" s="28">
        <f>SUMIFS(Aut_BlueMe_Sem_Pedido!$J:$J,Aut_BlueMe_Sem_Pedido!$Q:$Q,DRE!AC$4,Aut_BlueMe_Sem_Pedido!$H:$H,DRE!$A197)+SUMIFS(Aut_Ajustes_Manuais!$G:$G,Aut_Ajustes_Manuais!$I:$I,DRE!AC$4,Aut_Ajustes_Manuais!$F:$F,"  -  Remuneração Variável")</f>
        <v>0</v>
      </c>
      <c r="AF197" s="241">
        <v>0</v>
      </c>
      <c r="AG197" s="27"/>
      <c r="AH197" s="28">
        <f>SUMIFS(Aut_BlueMe_Sem_Pedido!$J:$J,Aut_BlueMe_Sem_Pedido!$Q:$Q,DRE!AF$4,Aut_BlueMe_Sem_Pedido!$H:$H,DRE!$A197)+SUMIFS(Aut_Ajustes_Manuais!$G:$G,Aut_Ajustes_Manuais!$I:$I,DRE!AF$4,Aut_Ajustes_Manuais!$F:$F,"  -  Remuneração Variável")</f>
        <v>0</v>
      </c>
      <c r="AI197" s="241">
        <v>0</v>
      </c>
      <c r="AJ197" s="27"/>
      <c r="AK197" s="28">
        <f>SUMIFS(Aut_BlueMe_Sem_Pedido!$J:$J,Aut_BlueMe_Sem_Pedido!$Q:$Q,DRE!AI$4,Aut_BlueMe_Sem_Pedido!$H:$H,DRE!$A197)+SUMIFS(Aut_Ajustes_Manuais!$G:$G,Aut_Ajustes_Manuais!$I:$I,DRE!AI$4,Aut_Ajustes_Manuais!$F:$F,"  -  Remuneração Variável")</f>
        <v>0</v>
      </c>
      <c r="AL197" s="241">
        <v>0</v>
      </c>
      <c r="AM197" s="27"/>
      <c r="AN197" s="28">
        <f>SUMIFS(Aut_BlueMe_Sem_Pedido!$J:$J,Aut_BlueMe_Sem_Pedido!$Q:$Q,DRE!AL$4,Aut_BlueMe_Sem_Pedido!$H:$H,DRE!$A197)+SUMIFS(Aut_Ajustes_Manuais!$G:$G,Aut_Ajustes_Manuais!$I:$I,DRE!AL$4,Aut_Ajustes_Manuais!$F:$F,"  -  Remuneração Variável")</f>
        <v>0</v>
      </c>
      <c r="AO197" s="241">
        <v>0</v>
      </c>
      <c r="AP197" s="27"/>
      <c r="AQ197" s="28">
        <f>SUMIFS(Aut_BlueMe_Sem_Pedido!$J:$J,Aut_BlueMe_Sem_Pedido!$Q:$Q,DRE!AO$4,Aut_BlueMe_Sem_Pedido!$H:$H,DRE!$A197)+SUMIFS(Aut_Ajustes_Manuais!$G:$G,Aut_Ajustes_Manuais!$I:$I,DRE!AO$4,Aut_Ajustes_Manuais!$F:$F,"  -  Remuneração Variável")</f>
        <v>0</v>
      </c>
      <c r="AR197" s="241">
        <f t="shared" ca="1" si="147"/>
        <v>0</v>
      </c>
      <c r="AS197" s="27">
        <f t="shared" ca="1" si="148"/>
        <v>0</v>
      </c>
      <c r="AT197" s="28">
        <f t="shared" ca="1" si="149"/>
        <v>0</v>
      </c>
      <c r="AU197" s="241">
        <f t="shared" si="157"/>
        <v>0</v>
      </c>
      <c r="AV197" s="27">
        <f t="shared" si="158"/>
        <v>0</v>
      </c>
      <c r="AW197" s="28">
        <f t="shared" si="159"/>
        <v>0</v>
      </c>
      <c r="AX197" s="241">
        <f t="shared" si="160"/>
        <v>0</v>
      </c>
      <c r="AY197" s="27">
        <f t="shared" si="161"/>
        <v>0</v>
      </c>
      <c r="AZ197" s="28">
        <f t="shared" si="162"/>
        <v>0</v>
      </c>
      <c r="BA197" s="241">
        <f t="shared" si="163"/>
        <v>0</v>
      </c>
      <c r="BB197" s="27">
        <f t="shared" si="164"/>
        <v>0</v>
      </c>
      <c r="BC197" s="28">
        <f t="shared" si="165"/>
        <v>0</v>
      </c>
      <c r="BD197" s="241">
        <f t="shared" si="166"/>
        <v>0</v>
      </c>
      <c r="BE197" s="27">
        <f t="shared" si="167"/>
        <v>0</v>
      </c>
      <c r="BF197" s="28">
        <f t="shared" si="168"/>
        <v>0</v>
      </c>
      <c r="BG197" s="241">
        <f t="shared" si="169"/>
        <v>0</v>
      </c>
      <c r="BH197" s="27">
        <f t="shared" si="170"/>
        <v>0</v>
      </c>
      <c r="BI197" s="28">
        <f t="shared" si="171"/>
        <v>0</v>
      </c>
    </row>
    <row r="198" spans="1:61" s="29" customFormat="1" hidden="1" outlineLevel="1" x14ac:dyDescent="0.3">
      <c r="A198" s="22" t="s">
        <v>237</v>
      </c>
      <c r="B198" s="2"/>
      <c r="C198" s="469"/>
      <c r="D198" s="97"/>
      <c r="E198" s="100"/>
      <c r="F198" s="41"/>
      <c r="G198" s="33"/>
      <c r="H198" s="241">
        <v>0</v>
      </c>
      <c r="I198" s="27"/>
      <c r="J198" s="28">
        <f>SUMIFS(Aut_BlueMe_Sem_Pedido!$J:$J,Aut_BlueMe_Sem_Pedido!$Q:$Q,DRE!H$4,Aut_BlueMe_Sem_Pedido!$H:$H,DRE!$A198)+SUMIFS(Aut_Ajustes_Manuais!$G:$G,Aut_Ajustes_Manuais!$I:$I,DRE!H$4,Aut_Ajustes_Manuais!$F:$F,"  -  Premiação")</f>
        <v>0</v>
      </c>
      <c r="K198" s="241">
        <v>0</v>
      </c>
      <c r="L198" s="27"/>
      <c r="M198" s="28">
        <f>SUMIFS(Aut_BlueMe_Sem_Pedido!$J:$J,Aut_BlueMe_Sem_Pedido!$Q:$Q,DRE!K$4,Aut_BlueMe_Sem_Pedido!$H:$H,DRE!$A198)+SUMIFS(Aut_Ajustes_Manuais!$G:$G,Aut_Ajustes_Manuais!$I:$I,DRE!K$4,Aut_Ajustes_Manuais!$F:$F,"  -  Premiação")</f>
        <v>0</v>
      </c>
      <c r="N198" s="241">
        <v>0</v>
      </c>
      <c r="O198" s="27"/>
      <c r="P198" s="28">
        <f>SUMIFS(Aut_BlueMe_Sem_Pedido!$J:$J,Aut_BlueMe_Sem_Pedido!$Q:$Q,DRE!N$4,Aut_BlueMe_Sem_Pedido!$H:$H,DRE!$A198)+SUMIFS(Aut_Ajustes_Manuais!$G:$G,Aut_Ajustes_Manuais!$I:$I,DRE!N$4,Aut_Ajustes_Manuais!$F:$F,"  -  Premiação")</f>
        <v>0</v>
      </c>
      <c r="Q198" s="241">
        <v>0</v>
      </c>
      <c r="R198" s="27"/>
      <c r="S198" s="28">
        <f>SUMIFS(Aut_BlueMe_Sem_Pedido!$J:$J,Aut_BlueMe_Sem_Pedido!$Q:$Q,DRE!Q$4,Aut_BlueMe_Sem_Pedido!$H:$H,DRE!$A198)+SUMIFS(Aut_Ajustes_Manuais!$G:$G,Aut_Ajustes_Manuais!$I:$I,DRE!Q$4,Aut_Ajustes_Manuais!$F:$F,"  -  Premiação")</f>
        <v>0</v>
      </c>
      <c r="T198" s="241">
        <v>0</v>
      </c>
      <c r="U198" s="27"/>
      <c r="V198" s="28">
        <f>SUMIFS(Aut_BlueMe_Sem_Pedido!$J:$J,Aut_BlueMe_Sem_Pedido!$Q:$Q,DRE!T$4,Aut_BlueMe_Sem_Pedido!$H:$H,DRE!$A198)+SUMIFS(Aut_Ajustes_Manuais!$G:$G,Aut_Ajustes_Manuais!$I:$I,DRE!T$4,Aut_Ajustes_Manuais!$F:$F,"  -  Premiação")</f>
        <v>0</v>
      </c>
      <c r="W198" s="241">
        <v>0</v>
      </c>
      <c r="X198" s="27"/>
      <c r="Y198" s="28">
        <f>SUMIFS(Aut_BlueMe_Sem_Pedido!$J:$J,Aut_BlueMe_Sem_Pedido!$Q:$Q,DRE!W$4,Aut_BlueMe_Sem_Pedido!$H:$H,DRE!$A198)+SUMIFS(Aut_Ajustes_Manuais!$G:$G,Aut_Ajustes_Manuais!$I:$I,DRE!W$4,Aut_Ajustes_Manuais!$F:$F,"  -  Premiação")</f>
        <v>0</v>
      </c>
      <c r="Z198" s="241">
        <v>0</v>
      </c>
      <c r="AA198" s="27"/>
      <c r="AB198" s="28">
        <f>SUMIFS(Aut_BlueMe_Sem_Pedido!$J:$J,Aut_BlueMe_Sem_Pedido!$Q:$Q,DRE!Z$4,Aut_BlueMe_Sem_Pedido!$H:$H,DRE!$A198)+SUMIFS(Aut_Ajustes_Manuais!$G:$G,Aut_Ajustes_Manuais!$I:$I,DRE!Z$4,Aut_Ajustes_Manuais!$F:$F,"  -  Premiação")</f>
        <v>0</v>
      </c>
      <c r="AC198" s="241">
        <v>0</v>
      </c>
      <c r="AD198" s="27"/>
      <c r="AE198" s="28">
        <f>SUMIFS(Aut_BlueMe_Sem_Pedido!$J:$J,Aut_BlueMe_Sem_Pedido!$Q:$Q,DRE!AC$4,Aut_BlueMe_Sem_Pedido!$H:$H,DRE!$A198)+SUMIFS(Aut_Ajustes_Manuais!$G:$G,Aut_Ajustes_Manuais!$I:$I,DRE!AC$4,Aut_Ajustes_Manuais!$F:$F,"  -  Premiação")</f>
        <v>0</v>
      </c>
      <c r="AF198" s="241">
        <v>0</v>
      </c>
      <c r="AG198" s="27"/>
      <c r="AH198" s="28">
        <f>SUMIFS(Aut_BlueMe_Sem_Pedido!$J:$J,Aut_BlueMe_Sem_Pedido!$Q:$Q,DRE!AF$4,Aut_BlueMe_Sem_Pedido!$H:$H,DRE!$A198)+SUMIFS(Aut_Ajustes_Manuais!$G:$G,Aut_Ajustes_Manuais!$I:$I,DRE!AF$4,Aut_Ajustes_Manuais!$F:$F,"  -  Premiação")</f>
        <v>0</v>
      </c>
      <c r="AI198" s="241">
        <v>0</v>
      </c>
      <c r="AJ198" s="27"/>
      <c r="AK198" s="28">
        <f>SUMIFS(Aut_BlueMe_Sem_Pedido!$J:$J,Aut_BlueMe_Sem_Pedido!$Q:$Q,DRE!AI$4,Aut_BlueMe_Sem_Pedido!$H:$H,DRE!$A198)+SUMIFS(Aut_Ajustes_Manuais!$G:$G,Aut_Ajustes_Manuais!$I:$I,DRE!AI$4,Aut_Ajustes_Manuais!$F:$F,"  -  Premiação")</f>
        <v>0</v>
      </c>
      <c r="AL198" s="241">
        <v>0</v>
      </c>
      <c r="AM198" s="27"/>
      <c r="AN198" s="28">
        <f>SUMIFS(Aut_BlueMe_Sem_Pedido!$J:$J,Aut_BlueMe_Sem_Pedido!$Q:$Q,DRE!AL$4,Aut_BlueMe_Sem_Pedido!$H:$H,DRE!$A198)+SUMIFS(Aut_Ajustes_Manuais!$G:$G,Aut_Ajustes_Manuais!$I:$I,DRE!AL$4,Aut_Ajustes_Manuais!$F:$F,"  -  Premiação")</f>
        <v>0</v>
      </c>
      <c r="AO198" s="241">
        <v>0</v>
      </c>
      <c r="AP198" s="27"/>
      <c r="AQ198" s="28">
        <f>SUMIFS(Aut_BlueMe_Sem_Pedido!$J:$J,Aut_BlueMe_Sem_Pedido!$Q:$Q,DRE!AO$4,Aut_BlueMe_Sem_Pedido!$H:$H,DRE!$A198)+SUMIFS(Aut_Ajustes_Manuais!$G:$G,Aut_Ajustes_Manuais!$I:$I,DRE!AO$4,Aut_Ajustes_Manuais!$F:$F,"  -  Premiação")</f>
        <v>0</v>
      </c>
      <c r="AR198" s="241">
        <f t="shared" ca="1" si="147"/>
        <v>0</v>
      </c>
      <c r="AS198" s="27">
        <f t="shared" ca="1" si="148"/>
        <v>0</v>
      </c>
      <c r="AT198" s="28">
        <f t="shared" ca="1" si="149"/>
        <v>0</v>
      </c>
      <c r="AU198" s="241">
        <f t="shared" si="157"/>
        <v>0</v>
      </c>
      <c r="AV198" s="27">
        <f t="shared" si="158"/>
        <v>0</v>
      </c>
      <c r="AW198" s="28">
        <f t="shared" si="159"/>
        <v>0</v>
      </c>
      <c r="AX198" s="241">
        <f t="shared" si="160"/>
        <v>0</v>
      </c>
      <c r="AY198" s="27">
        <f t="shared" si="161"/>
        <v>0</v>
      </c>
      <c r="AZ198" s="28">
        <f t="shared" si="162"/>
        <v>0</v>
      </c>
      <c r="BA198" s="241">
        <f t="shared" si="163"/>
        <v>0</v>
      </c>
      <c r="BB198" s="27">
        <f t="shared" si="164"/>
        <v>0</v>
      </c>
      <c r="BC198" s="28">
        <f t="shared" si="165"/>
        <v>0</v>
      </c>
      <c r="BD198" s="241">
        <f t="shared" si="166"/>
        <v>0</v>
      </c>
      <c r="BE198" s="27">
        <f t="shared" si="167"/>
        <v>0</v>
      </c>
      <c r="BF198" s="28">
        <f t="shared" si="168"/>
        <v>0</v>
      </c>
      <c r="BG198" s="241">
        <f t="shared" si="169"/>
        <v>0</v>
      </c>
      <c r="BH198" s="27">
        <f t="shared" si="170"/>
        <v>0</v>
      </c>
      <c r="BI198" s="28">
        <f t="shared" si="171"/>
        <v>0</v>
      </c>
    </row>
    <row r="199" spans="1:61" collapsed="1" x14ac:dyDescent="0.3">
      <c r="A199" s="73" t="s">
        <v>238</v>
      </c>
      <c r="C199" s="40" t="s">
        <v>35</v>
      </c>
      <c r="D199" s="40" t="s">
        <v>36</v>
      </c>
      <c r="E199" s="40" t="s">
        <v>202</v>
      </c>
      <c r="F199" s="41"/>
      <c r="G199" s="47"/>
      <c r="H199" s="252">
        <v>-7017.9900000000007</v>
      </c>
      <c r="I199" s="74">
        <v>-4650</v>
      </c>
      <c r="J199" s="76">
        <f>SUM(J200:J204)+SUMIFS(Aut_Ajustes_Manuais!$G:$G,Aut_Ajustes_Manuais!$I:$I,DRE!H$4,Aut_Ajustes_Manuais!$F:$F,"Benefícios")</f>
        <v>-8384.26</v>
      </c>
      <c r="K199" s="252">
        <v>-6797.18</v>
      </c>
      <c r="L199" s="74">
        <v>-4650</v>
      </c>
      <c r="M199" s="76">
        <f>SUM(M200:M204)+SUMIFS(Aut_Ajustes_Manuais!$G:$G,Aut_Ajustes_Manuais!$I:$I,DRE!K$4,Aut_Ajustes_Manuais!$F:$F,"Benefícios")</f>
        <v>-6822.98</v>
      </c>
      <c r="N199" s="252">
        <v>-7662.4300000000012</v>
      </c>
      <c r="O199" s="74">
        <v>-4650</v>
      </c>
      <c r="P199" s="76">
        <f>SUM(P200:P204)+SUMIFS(Aut_Ajustes_Manuais!$G:$G,Aut_Ajustes_Manuais!$I:$I,DRE!N$4,Aut_Ajustes_Manuais!$F:$F,"Benefícios")</f>
        <v>-3385.7000000000003</v>
      </c>
      <c r="Q199" s="252">
        <v>-7721.5000000000009</v>
      </c>
      <c r="R199" s="74">
        <v>-4650</v>
      </c>
      <c r="S199" s="76">
        <f>SUM(S200:S204)+SUMIFS(Aut_Ajustes_Manuais!$G:$G,Aut_Ajustes_Manuais!$I:$I,DRE!Q$4,Aut_Ajustes_Manuais!$F:$F,"Benefícios")</f>
        <v>-7710.7099999999991</v>
      </c>
      <c r="T199" s="252">
        <v>-9878.6200000000008</v>
      </c>
      <c r="U199" s="74">
        <v>-4650</v>
      </c>
      <c r="V199" s="76">
        <f>SUM(V200:V204)+SUMIFS(Aut_Ajustes_Manuais!$G:$G,Aut_Ajustes_Manuais!$I:$I,DRE!T$4,Aut_Ajustes_Manuais!$F:$F,"Benefícios")</f>
        <v>-7013.7999999999993</v>
      </c>
      <c r="W199" s="252">
        <v>-6920.1900000000014</v>
      </c>
      <c r="X199" s="74">
        <v>-4650</v>
      </c>
      <c r="Y199" s="76">
        <f>SUM(Y200:Y204)+SUMIFS(Aut_Ajustes_Manuais!$G:$G,Aut_Ajustes_Manuais!$I:$I,DRE!W$4,Aut_Ajustes_Manuais!$F:$F,"Benefícios")</f>
        <v>-8325.93</v>
      </c>
      <c r="Z199" s="252">
        <v>-8093.1600000000008</v>
      </c>
      <c r="AA199" s="74">
        <v>-4650</v>
      </c>
      <c r="AB199" s="76">
        <f>SUM(AB200:AB204)+SUMIFS(Aut_Ajustes_Manuais!$G:$G,Aut_Ajustes_Manuais!$I:$I,DRE!Z$4,Aut_Ajustes_Manuais!$F:$F,"Benefícios")</f>
        <v>-8969.1299999999992</v>
      </c>
      <c r="AC199" s="252">
        <v>-8534.5300000000007</v>
      </c>
      <c r="AD199" s="74">
        <v>-4650</v>
      </c>
      <c r="AE199" s="76">
        <f>SUM(AE200:AE204)+SUMIFS(Aut_Ajustes_Manuais!$G:$G,Aut_Ajustes_Manuais!$I:$I,DRE!AC$4,Aut_Ajustes_Manuais!$F:$F,"Benefícios")</f>
        <v>-11345.49</v>
      </c>
      <c r="AF199" s="252">
        <v>-8029.41</v>
      </c>
      <c r="AG199" s="74">
        <v>-4650</v>
      </c>
      <c r="AH199" s="76">
        <f>SUM(AH200:AH204)+SUMIFS(Aut_Ajustes_Manuais!$G:$G,Aut_Ajustes_Manuais!$I:$I,DRE!AF$4,Aut_Ajustes_Manuais!$F:$F,"Benefícios")</f>
        <v>-11345.49</v>
      </c>
      <c r="AI199" s="252">
        <v>-8038.7</v>
      </c>
      <c r="AJ199" s="74">
        <v>-4650</v>
      </c>
      <c r="AK199" s="76">
        <f>SUM(AK200:AK204)+SUMIFS(Aut_Ajustes_Manuais!$G:$G,Aut_Ajustes_Manuais!$I:$I,DRE!AI$4,Aut_Ajustes_Manuais!$F:$F,"Benefícios")</f>
        <v>-11345.49</v>
      </c>
      <c r="AL199" s="252">
        <v>-8105.62</v>
      </c>
      <c r="AM199" s="74">
        <v>-4650</v>
      </c>
      <c r="AN199" s="76">
        <f>SUM(AN200:AN204)+SUMIFS(Aut_Ajustes_Manuais!$G:$G,Aut_Ajustes_Manuais!$I:$I,DRE!AL$4,Aut_Ajustes_Manuais!$F:$F,"Benefícios")</f>
        <v>-11345.49</v>
      </c>
      <c r="AO199" s="252">
        <v>-7946.13</v>
      </c>
      <c r="AP199" s="74">
        <v>-4650</v>
      </c>
      <c r="AQ199" s="76">
        <f>SUM(AQ200:AQ204)+SUMIFS(Aut_Ajustes_Manuais!$G:$G,Aut_Ajustes_Manuais!$I:$I,DRE!AO$4,Aut_Ajustes_Manuais!$F:$F,"Benefícios")</f>
        <v>-11345.49</v>
      </c>
      <c r="AR199" s="252">
        <f t="shared" ca="1" si="147"/>
        <v>-45997.91</v>
      </c>
      <c r="AS199" s="74">
        <f t="shared" ca="1" si="148"/>
        <v>-27900</v>
      </c>
      <c r="AT199" s="76">
        <f t="shared" ca="1" si="149"/>
        <v>-41643.379999999997</v>
      </c>
      <c r="AU199" s="252">
        <f t="shared" ref="AU199:BI199" si="172">SUM(AU200:AU204)</f>
        <v>-94745.459999999992</v>
      </c>
      <c r="AV199" s="74">
        <f t="shared" si="172"/>
        <v>-55800</v>
      </c>
      <c r="AW199" s="76">
        <f t="shared" si="172"/>
        <v>-107339.95999999999</v>
      </c>
      <c r="AX199" s="252">
        <f t="shared" si="172"/>
        <v>-21477.600000000002</v>
      </c>
      <c r="AY199" s="74">
        <f t="shared" si="172"/>
        <v>-13950</v>
      </c>
      <c r="AZ199" s="76">
        <f t="shared" si="172"/>
        <v>-18592.939999999999</v>
      </c>
      <c r="BA199" s="252">
        <f t="shared" si="172"/>
        <v>-24520.31</v>
      </c>
      <c r="BB199" s="74">
        <f t="shared" si="172"/>
        <v>-13950</v>
      </c>
      <c r="BC199" s="76">
        <f t="shared" si="172"/>
        <v>-23050.440000000002</v>
      </c>
      <c r="BD199" s="252">
        <f t="shared" si="172"/>
        <v>-24657.1</v>
      </c>
      <c r="BE199" s="74">
        <f t="shared" si="172"/>
        <v>-13950</v>
      </c>
      <c r="BF199" s="76">
        <f t="shared" si="172"/>
        <v>-31660.11</v>
      </c>
      <c r="BG199" s="252">
        <f t="shared" si="172"/>
        <v>-24090.45</v>
      </c>
      <c r="BH199" s="74">
        <f t="shared" si="172"/>
        <v>-13950</v>
      </c>
      <c r="BI199" s="76">
        <f t="shared" si="172"/>
        <v>-34036.47</v>
      </c>
    </row>
    <row r="200" spans="1:61" s="29" customFormat="1" hidden="1" outlineLevel="1" x14ac:dyDescent="0.3">
      <c r="A200" s="22" t="s">
        <v>239</v>
      </c>
      <c r="B200" s="2"/>
      <c r="C200" s="24"/>
      <c r="D200" s="55"/>
      <c r="E200" s="101">
        <v>-280</v>
      </c>
      <c r="F200" s="41"/>
      <c r="G200" s="33"/>
      <c r="H200" s="241">
        <v>-5560.81</v>
      </c>
      <c r="I200" s="27">
        <v>-4500</v>
      </c>
      <c r="J200" s="27">
        <f>SUMIFS(Aut_BlueMe_Sem_Pedido!$J:$J,Aut_BlueMe_Sem_Pedido!$Q:$Q,DRE!H$4,Aut_BlueMe_Sem_Pedido!$H:$H,DRE!$A200)+SUMIFS(Aut_Ajustes_Manuais!$G:$G,Aut_Ajustes_Manuais!$I:$I,DRE!H$4,Aut_Ajustes_Manuais!$F:$F,"  -  Vale-transporte")</f>
        <v>-6631.12</v>
      </c>
      <c r="K200" s="241">
        <v>-5340</v>
      </c>
      <c r="L200" s="27">
        <v>-4500</v>
      </c>
      <c r="M200" s="28">
        <f>SUMIFS(Aut_BlueMe_Sem_Pedido!$J:$J,Aut_BlueMe_Sem_Pedido!$Q:$Q,DRE!K$4,Aut_BlueMe_Sem_Pedido!$H:$H,DRE!$A200)+SUMIFS(Aut_Ajustes_Manuais!$G:$G,Aut_Ajustes_Manuais!$I:$I,DRE!K$4,Aut_Ajustes_Manuais!$F:$F,"  -  Vale-transporte")</f>
        <v>-5069.84</v>
      </c>
      <c r="N200" s="241">
        <v>-6004.48</v>
      </c>
      <c r="O200" s="27">
        <v>-4500</v>
      </c>
      <c r="P200" s="27">
        <f>SUMIFS(Aut_BlueMe_Sem_Pedido!$J:$J,Aut_BlueMe_Sem_Pedido!$Q:$Q,DRE!N$4,Aut_BlueMe_Sem_Pedido!$H:$H,DRE!$A200)+SUMIFS(Aut_Ajustes_Manuais!$G:$G,Aut_Ajustes_Manuais!$I:$I,DRE!N$4,Aut_Ajustes_Manuais!$F:$F,"  -  Vale-transporte")</f>
        <v>-1632.56</v>
      </c>
      <c r="Q200" s="241">
        <v>-6063.55</v>
      </c>
      <c r="R200" s="27">
        <v>-4500</v>
      </c>
      <c r="S200" s="27">
        <f>SUMIFS(Aut_BlueMe_Sem_Pedido!$J:$J,Aut_BlueMe_Sem_Pedido!$Q:$Q,DRE!Q$4,Aut_BlueMe_Sem_Pedido!$H:$H,DRE!$A200)+SUMIFS(Aut_Ajustes_Manuais!$G:$G,Aut_Ajustes_Manuais!$I:$I,DRE!Q$4,Aut_Ajustes_Manuais!$F:$F,"  -  Vale-transporte")</f>
        <v>-5957.57</v>
      </c>
      <c r="T200" s="241">
        <v>-8220.67</v>
      </c>
      <c r="U200" s="27">
        <v>-4500</v>
      </c>
      <c r="V200" s="28">
        <f>SUMIFS(Aut_BlueMe_Sem_Pedido!$J:$J,Aut_BlueMe_Sem_Pedido!$Q:$Q,DRE!T$4,Aut_BlueMe_Sem_Pedido!$H:$H,DRE!$A200)+SUMIFS(Aut_Ajustes_Manuais!$G:$G,Aut_Ajustes_Manuais!$I:$I,DRE!T$4,Aut_Ajustes_Manuais!$F:$F,"  -  Vale-transporte")</f>
        <v>-5260.66</v>
      </c>
      <c r="W200" s="241">
        <v>-5262.24</v>
      </c>
      <c r="X200" s="27">
        <v>-4500</v>
      </c>
      <c r="Y200" s="28">
        <f>SUMIFS(Aut_BlueMe_Sem_Pedido!$J:$J,Aut_BlueMe_Sem_Pedido!$Q:$Q,DRE!W$4,Aut_BlueMe_Sem_Pedido!$H:$H,DRE!$A200)+SUMIFS(Aut_Ajustes_Manuais!$G:$G,Aut_Ajustes_Manuais!$I:$I,DRE!W$4,Aut_Ajustes_Manuais!$F:$F,"  -  Vale-transporte")</f>
        <v>-6572.79</v>
      </c>
      <c r="Z200" s="241">
        <v>-6400.64</v>
      </c>
      <c r="AA200" s="27">
        <v>-4500</v>
      </c>
      <c r="AB200" s="28">
        <f>SUMIFS(Aut_BlueMe_Sem_Pedido!$J:$J,Aut_BlueMe_Sem_Pedido!$Q:$Q,DRE!Z$4,Aut_BlueMe_Sem_Pedido!$H:$H,DRE!$A200)+SUMIFS(Aut_Ajustes_Manuais!$G:$G,Aut_Ajustes_Manuais!$I:$I,DRE!Z$4,Aut_Ajustes_Manuais!$F:$F,"  -  Vale-transporte")</f>
        <v>-6965.7</v>
      </c>
      <c r="AC200" s="241">
        <v>-6665.39</v>
      </c>
      <c r="AD200" s="27">
        <v>-4500</v>
      </c>
      <c r="AE200" s="28">
        <f>SUMIFS(Aut_BlueMe_Sem_Pedido!$J:$J,Aut_BlueMe_Sem_Pedido!$Q:$Q,DRE!AC$4,Aut_BlueMe_Sem_Pedido!$H:$H,DRE!$A200)+SUMIFS(Aut_Ajustes_Manuais!$G:$G,Aut_Ajustes_Manuais!$I:$I,DRE!AC$4,Aut_Ajustes_Manuais!$F:$F,"  -  Vale-transporte")</f>
        <v>-9500</v>
      </c>
      <c r="AF200" s="241">
        <v>-6160.07</v>
      </c>
      <c r="AG200" s="27">
        <v>-4500</v>
      </c>
      <c r="AH200" s="28">
        <f>SUMIFS(Aut_BlueMe_Sem_Pedido!$J:$J,Aut_BlueMe_Sem_Pedido!$Q:$Q,DRE!AF$4,Aut_BlueMe_Sem_Pedido!$H:$H,DRE!$A200)+SUMIFS(Aut_Ajustes_Manuais!$G:$G,Aut_Ajustes_Manuais!$I:$I,DRE!AF$4,Aut_Ajustes_Manuais!$F:$F,"  -  Vale-transporte")</f>
        <v>-9500</v>
      </c>
      <c r="AI200" s="241">
        <v>-6197.05</v>
      </c>
      <c r="AJ200" s="27">
        <v>-4500</v>
      </c>
      <c r="AK200" s="28">
        <f>SUMIFS(Aut_BlueMe_Sem_Pedido!$J:$J,Aut_BlueMe_Sem_Pedido!$Q:$Q,DRE!AI$4,Aut_BlueMe_Sem_Pedido!$H:$H,DRE!$A200)+SUMIFS(Aut_Ajustes_Manuais!$G:$G,Aut_Ajustes_Manuais!$I:$I,DRE!AI$4,Aut_Ajustes_Manuais!$F:$F,"  -  Vale-transporte")</f>
        <v>-9500</v>
      </c>
      <c r="AL200" s="241">
        <v>-6263.97</v>
      </c>
      <c r="AM200" s="27">
        <v>-4500</v>
      </c>
      <c r="AN200" s="28">
        <f>SUMIFS(Aut_BlueMe_Sem_Pedido!$J:$J,Aut_BlueMe_Sem_Pedido!$Q:$Q,DRE!AL$4,Aut_BlueMe_Sem_Pedido!$H:$H,DRE!$A200)+SUMIFS(Aut_Ajustes_Manuais!$G:$G,Aut_Ajustes_Manuais!$I:$I,DRE!AL$4,Aut_Ajustes_Manuais!$F:$F,"  -  Vale-transporte")</f>
        <v>-9500</v>
      </c>
      <c r="AO200" s="241">
        <v>-6104.48</v>
      </c>
      <c r="AP200" s="27">
        <v>-4500</v>
      </c>
      <c r="AQ200" s="28">
        <f>SUMIFS(Aut_BlueMe_Sem_Pedido!$J:$J,Aut_BlueMe_Sem_Pedido!$Q:$Q,DRE!AO$4,Aut_BlueMe_Sem_Pedido!$H:$H,DRE!$A200)+SUMIFS(Aut_Ajustes_Manuais!$G:$G,Aut_Ajustes_Manuais!$I:$I,DRE!AO$4,Aut_Ajustes_Manuais!$F:$F,"  -  Vale-transporte")</f>
        <v>-9500</v>
      </c>
      <c r="AR200" s="241">
        <f t="shared" ca="1" si="147"/>
        <v>-36451.75</v>
      </c>
      <c r="AS200" s="27">
        <f t="shared" ca="1" si="148"/>
        <v>-27000</v>
      </c>
      <c r="AT200" s="28">
        <f t="shared" ca="1" si="149"/>
        <v>-31124.539999999997</v>
      </c>
      <c r="AU200" s="241">
        <f t="shared" ref="AU200:AW204" si="173">SUM(H200,K200,N200,Q200,T200,W200,Z200,AC200,AF200,AI200,AL200,AO200)</f>
        <v>-74243.349999999991</v>
      </c>
      <c r="AV200" s="27">
        <f t="shared" si="173"/>
        <v>-54000</v>
      </c>
      <c r="AW200" s="28">
        <f t="shared" si="173"/>
        <v>-85590.239999999991</v>
      </c>
      <c r="AX200" s="241">
        <f t="shared" ref="AX200:AZ204" si="174">SUM(H200,K200,N200)</f>
        <v>-16905.29</v>
      </c>
      <c r="AY200" s="27">
        <f t="shared" si="174"/>
        <v>-13500</v>
      </c>
      <c r="AZ200" s="28">
        <f t="shared" si="174"/>
        <v>-13333.519999999999</v>
      </c>
      <c r="BA200" s="241">
        <f t="shared" ref="BA200:BC204" si="175">SUM(Q200,T200,W200)</f>
        <v>-19546.46</v>
      </c>
      <c r="BB200" s="27">
        <f t="shared" si="175"/>
        <v>-13500</v>
      </c>
      <c r="BC200" s="28">
        <f t="shared" si="175"/>
        <v>-17791.02</v>
      </c>
      <c r="BD200" s="241">
        <f t="shared" ref="BD200:BF204" si="176">SUM(Z200,AC200,AF200)</f>
        <v>-19226.099999999999</v>
      </c>
      <c r="BE200" s="27">
        <f t="shared" si="176"/>
        <v>-13500</v>
      </c>
      <c r="BF200" s="28">
        <f t="shared" si="176"/>
        <v>-25965.7</v>
      </c>
      <c r="BG200" s="241">
        <f t="shared" ref="BG200:BI204" si="177">SUM(AI200,AL200,AO200)</f>
        <v>-18565.5</v>
      </c>
      <c r="BH200" s="27">
        <f t="shared" si="177"/>
        <v>-13500</v>
      </c>
      <c r="BI200" s="28">
        <f t="shared" si="177"/>
        <v>-28500</v>
      </c>
    </row>
    <row r="201" spans="1:61" s="29" customFormat="1" hidden="1" outlineLevel="1" x14ac:dyDescent="0.3">
      <c r="A201" s="22" t="s">
        <v>240</v>
      </c>
      <c r="B201" s="2"/>
      <c r="C201" s="24"/>
      <c r="D201" s="55"/>
      <c r="E201" s="101">
        <v>-350</v>
      </c>
      <c r="F201" s="41"/>
      <c r="G201" s="102"/>
      <c r="H201" s="241">
        <v>-1457.18</v>
      </c>
      <c r="I201" s="27">
        <v>0</v>
      </c>
      <c r="J201" s="27">
        <f>SUMIFS(Aut_BlueMe_Sem_Pedido!$J:$J,Aut_BlueMe_Sem_Pedido!$Q:$Q,DRE!H$4,Aut_BlueMe_Sem_Pedido!$H:$H,DRE!$A201)+SUMIFS(Aut_Ajustes_Manuais!$G:$G,Aut_Ajustes_Manuais!$I:$I,DRE!H$4,Aut_Ajustes_Manuais!$F:$F,"  -  Assist. Médica")</f>
        <v>-1545.49</v>
      </c>
      <c r="K201" s="241">
        <v>-1457.18</v>
      </c>
      <c r="L201" s="27">
        <v>0</v>
      </c>
      <c r="M201" s="27">
        <f>SUMIFS(Aut_BlueMe_Sem_Pedido!$J:$J,Aut_BlueMe_Sem_Pedido!$Q:$Q,DRE!K$4,Aut_BlueMe_Sem_Pedido!$H:$H,DRE!$A201)+SUMIFS(Aut_Ajustes_Manuais!$G:$G,Aut_Ajustes_Manuais!$I:$I,DRE!K$4,Aut_Ajustes_Manuais!$F:$F,"  -  Assist. Médica")</f>
        <v>-1545.49</v>
      </c>
      <c r="N201" s="241">
        <v>-1457.18</v>
      </c>
      <c r="O201" s="27">
        <v>0</v>
      </c>
      <c r="P201" s="27">
        <f>SUMIFS(Aut_BlueMe_Sem_Pedido!$J:$J,Aut_BlueMe_Sem_Pedido!$Q:$Q,DRE!N$4,Aut_BlueMe_Sem_Pedido!$H:$H,DRE!$A201)+SUMIFS(Aut_Ajustes_Manuais!$G:$G,Aut_Ajustes_Manuais!$I:$I,DRE!N$4,Aut_Ajustes_Manuais!$F:$F,"  -  Assist. Médica")</f>
        <v>-1545.49</v>
      </c>
      <c r="Q201" s="241">
        <v>-1457.18</v>
      </c>
      <c r="R201" s="27">
        <v>0</v>
      </c>
      <c r="S201" s="27">
        <f>SUMIFS(Aut_BlueMe_Sem_Pedido!$J:$J,Aut_BlueMe_Sem_Pedido!$Q:$Q,DRE!Q$4,Aut_BlueMe_Sem_Pedido!$H:$H,DRE!$A201)+SUMIFS(Aut_Ajustes_Manuais!$G:$G,Aut_Ajustes_Manuais!$I:$I,DRE!Q$4,Aut_Ajustes_Manuais!$F:$F,"  -  Assist. Médica")</f>
        <v>-1545.49</v>
      </c>
      <c r="T201" s="241">
        <v>-1457.18</v>
      </c>
      <c r="U201" s="27">
        <v>0</v>
      </c>
      <c r="V201" s="27">
        <f>SUMIFS(Aut_BlueMe_Sem_Pedido!$J:$J,Aut_BlueMe_Sem_Pedido!$Q:$Q,DRE!T$4,Aut_BlueMe_Sem_Pedido!$H:$H,DRE!$A201)+SUMIFS(Aut_Ajustes_Manuais!$G:$G,Aut_Ajustes_Manuais!$I:$I,DRE!T$4,Aut_Ajustes_Manuais!$F:$F,"  -  Assist. Médica")</f>
        <v>-1545.49</v>
      </c>
      <c r="W201" s="241">
        <v>-1457.18</v>
      </c>
      <c r="X201" s="27">
        <v>0</v>
      </c>
      <c r="Y201" s="28">
        <f>SUMIFS(Aut_BlueMe_Sem_Pedido!$J:$J,Aut_BlueMe_Sem_Pedido!$Q:$Q,DRE!W$4,Aut_BlueMe_Sem_Pedido!$H:$H,DRE!$A201)+SUMIFS(Aut_Ajustes_Manuais!$G:$G,Aut_Ajustes_Manuais!$I:$I,DRE!W$4,Aut_Ajustes_Manuais!$F:$F,"  -  Assist. Médica")</f>
        <v>-1545.49</v>
      </c>
      <c r="Z201" s="241">
        <v>-1457.18</v>
      </c>
      <c r="AA201" s="27">
        <v>0</v>
      </c>
      <c r="AB201" s="28">
        <f>SUMIFS(Aut_BlueMe_Sem_Pedido!$J:$J,Aut_BlueMe_Sem_Pedido!$Q:$Q,DRE!Z$4,Aut_BlueMe_Sem_Pedido!$H:$H,DRE!$A201)+SUMIFS(Aut_Ajustes_Manuais!$G:$G,Aut_Ajustes_Manuais!$I:$I,DRE!Z$4,Aut_Ajustes_Manuais!$F:$F,"  -  Assist. Médica")</f>
        <v>-1703.43</v>
      </c>
      <c r="AC201" s="241">
        <v>-1633.8</v>
      </c>
      <c r="AD201" s="27">
        <v>0</v>
      </c>
      <c r="AE201" s="28">
        <f>SUMIFS(Aut_BlueMe_Sem_Pedido!$J:$J,Aut_BlueMe_Sem_Pedido!$Q:$Q,DRE!AC$4,Aut_BlueMe_Sem_Pedido!$H:$H,DRE!$A201)+SUMIFS(Aut_Ajustes_Manuais!$G:$G,Aut_Ajustes_Manuais!$I:$I,DRE!AC$4,Aut_Ajustes_Manuais!$F:$F,"  -  Assist. Médica")</f>
        <v>-1545.49</v>
      </c>
      <c r="AF201" s="241">
        <v>-1634</v>
      </c>
      <c r="AG201" s="27">
        <v>0</v>
      </c>
      <c r="AH201" s="28">
        <f>SUMIFS(Aut_BlueMe_Sem_Pedido!$J:$J,Aut_BlueMe_Sem_Pedido!$Q:$Q,DRE!AF$4,Aut_BlueMe_Sem_Pedido!$H:$H,DRE!$A201)+SUMIFS(Aut_Ajustes_Manuais!$G:$G,Aut_Ajustes_Manuais!$I:$I,DRE!AF$4,Aut_Ajustes_Manuais!$F:$F,"  -  Assist. Médica")</f>
        <v>-1545.49</v>
      </c>
      <c r="AI201" s="241">
        <v>-1634</v>
      </c>
      <c r="AJ201" s="27">
        <v>0</v>
      </c>
      <c r="AK201" s="28">
        <f>SUMIFS(Aut_BlueMe_Sem_Pedido!$J:$J,Aut_BlueMe_Sem_Pedido!$Q:$Q,DRE!AI$4,Aut_BlueMe_Sem_Pedido!$H:$H,DRE!$A201)+SUMIFS(Aut_Ajustes_Manuais!$G:$G,Aut_Ajustes_Manuais!$I:$I,DRE!AI$4,Aut_Ajustes_Manuais!$F:$F,"  -  Assist. Médica")</f>
        <v>-1545.49</v>
      </c>
      <c r="AL201" s="241">
        <v>-1634</v>
      </c>
      <c r="AM201" s="27">
        <v>0</v>
      </c>
      <c r="AN201" s="28">
        <f>SUMIFS(Aut_BlueMe_Sem_Pedido!$J:$J,Aut_BlueMe_Sem_Pedido!$Q:$Q,DRE!AL$4,Aut_BlueMe_Sem_Pedido!$H:$H,DRE!$A201)+SUMIFS(Aut_Ajustes_Manuais!$G:$G,Aut_Ajustes_Manuais!$I:$I,DRE!AL$4,Aut_Ajustes_Manuais!$F:$F,"  -  Assist. Médica")</f>
        <v>-1545.49</v>
      </c>
      <c r="AO201" s="241">
        <v>-1634</v>
      </c>
      <c r="AP201" s="27">
        <v>0</v>
      </c>
      <c r="AQ201" s="28">
        <f>SUMIFS(Aut_BlueMe_Sem_Pedido!$J:$J,Aut_BlueMe_Sem_Pedido!$Q:$Q,DRE!AO$4,Aut_BlueMe_Sem_Pedido!$H:$H,DRE!$A201)+SUMIFS(Aut_Ajustes_Manuais!$G:$G,Aut_Ajustes_Manuais!$I:$I,DRE!AO$4,Aut_Ajustes_Manuais!$F:$F,"  -  Assist. Médica")</f>
        <v>-1545.49</v>
      </c>
      <c r="AR201" s="241">
        <f t="shared" ca="1" si="147"/>
        <v>-8743.08</v>
      </c>
      <c r="AS201" s="27">
        <f t="shared" ca="1" si="148"/>
        <v>0</v>
      </c>
      <c r="AT201" s="28">
        <f t="shared" ca="1" si="149"/>
        <v>-9272.94</v>
      </c>
      <c r="AU201" s="241">
        <f t="shared" si="173"/>
        <v>-18370.059999999998</v>
      </c>
      <c r="AV201" s="27">
        <f t="shared" si="173"/>
        <v>0</v>
      </c>
      <c r="AW201" s="28">
        <f t="shared" si="173"/>
        <v>-18703.820000000003</v>
      </c>
      <c r="AX201" s="241">
        <f t="shared" si="174"/>
        <v>-4371.54</v>
      </c>
      <c r="AY201" s="27">
        <f t="shared" si="174"/>
        <v>0</v>
      </c>
      <c r="AZ201" s="28">
        <f t="shared" si="174"/>
        <v>-4636.47</v>
      </c>
      <c r="BA201" s="241">
        <f t="shared" si="175"/>
        <v>-4371.54</v>
      </c>
      <c r="BB201" s="27">
        <f t="shared" si="175"/>
        <v>0</v>
      </c>
      <c r="BC201" s="28">
        <f t="shared" si="175"/>
        <v>-4636.47</v>
      </c>
      <c r="BD201" s="241">
        <f t="shared" si="176"/>
        <v>-4724.9799999999996</v>
      </c>
      <c r="BE201" s="27">
        <f t="shared" si="176"/>
        <v>0</v>
      </c>
      <c r="BF201" s="28">
        <f t="shared" si="176"/>
        <v>-4794.41</v>
      </c>
      <c r="BG201" s="241">
        <f t="shared" si="177"/>
        <v>-4902</v>
      </c>
      <c r="BH201" s="27">
        <f t="shared" si="177"/>
        <v>0</v>
      </c>
      <c r="BI201" s="28">
        <f t="shared" si="177"/>
        <v>-4636.47</v>
      </c>
    </row>
    <row r="202" spans="1:61" s="29" customFormat="1" hidden="1" outlineLevel="1" x14ac:dyDescent="0.3">
      <c r="A202" s="22" t="s">
        <v>241</v>
      </c>
      <c r="B202" s="2"/>
      <c r="C202" s="24"/>
      <c r="D202" s="55"/>
      <c r="E202" s="87"/>
      <c r="F202" s="41"/>
      <c r="G202" s="103"/>
      <c r="H202" s="241">
        <v>0</v>
      </c>
      <c r="I202" s="27"/>
      <c r="J202" s="28">
        <f>SUMIFS(Aut_BlueMe_Sem_Pedido!$J:$J,Aut_BlueMe_Sem_Pedido!$Q:$Q,DRE!H$4,Aut_BlueMe_Sem_Pedido!$H:$H,DRE!$A202)+SUMIFS(Aut_Ajustes_Manuais!$G:$G,Aut_Ajustes_Manuais!$I:$I,DRE!H$4,Aut_Ajustes_Manuais!$F:$F,"  -  Assist. Odontologica")</f>
        <v>0</v>
      </c>
      <c r="K202" s="241">
        <v>0</v>
      </c>
      <c r="L202" s="27"/>
      <c r="M202" s="28">
        <f>SUMIFS(Aut_BlueMe_Sem_Pedido!$J:$J,Aut_BlueMe_Sem_Pedido!$Q:$Q,DRE!K$4,Aut_BlueMe_Sem_Pedido!$H:$H,DRE!$A202)+SUMIFS(Aut_Ajustes_Manuais!$G:$G,Aut_Ajustes_Manuais!$I:$I,DRE!K$4,Aut_Ajustes_Manuais!$F:$F,"  -  Assist. Odontologica")</f>
        <v>0</v>
      </c>
      <c r="N202" s="241">
        <v>0</v>
      </c>
      <c r="O202" s="27"/>
      <c r="P202" s="28">
        <f>SUMIFS(Aut_BlueMe_Sem_Pedido!$J:$J,Aut_BlueMe_Sem_Pedido!$Q:$Q,DRE!N$4,Aut_BlueMe_Sem_Pedido!$H:$H,DRE!$A202)+SUMIFS(Aut_Ajustes_Manuais!$G:$G,Aut_Ajustes_Manuais!$I:$I,DRE!N$4,Aut_Ajustes_Manuais!$F:$F,"  -  Assist. Odontologica")</f>
        <v>0</v>
      </c>
      <c r="Q202" s="241">
        <v>0</v>
      </c>
      <c r="R202" s="27"/>
      <c r="S202" s="27">
        <f>SUMIFS(Aut_BlueMe_Sem_Pedido!$J:$J,Aut_BlueMe_Sem_Pedido!$Q:$Q,DRE!Q$4,Aut_BlueMe_Sem_Pedido!$H:$H,DRE!$A202)+SUMIFS(Aut_Ajustes_Manuais!$G:$G,Aut_Ajustes_Manuais!$I:$I,DRE!Q$4,Aut_Ajustes_Manuais!$F:$F,"  -  Assist. Odontologica")</f>
        <v>0</v>
      </c>
      <c r="T202" s="241">
        <v>0</v>
      </c>
      <c r="U202" s="27"/>
      <c r="V202" s="28">
        <f>SUMIFS(Aut_BlueMe_Sem_Pedido!$J:$J,Aut_BlueMe_Sem_Pedido!$Q:$Q,DRE!T$4,Aut_BlueMe_Sem_Pedido!$H:$H,DRE!$A202)+SUMIFS(Aut_Ajustes_Manuais!$G:$G,Aut_Ajustes_Manuais!$I:$I,DRE!T$4,Aut_Ajustes_Manuais!$F:$F,"  -  Assist. Odontologica")</f>
        <v>0</v>
      </c>
      <c r="W202" s="241">
        <v>0</v>
      </c>
      <c r="X202" s="27"/>
      <c r="Y202" s="28">
        <f>SUMIFS(Aut_BlueMe_Sem_Pedido!$J:$J,Aut_BlueMe_Sem_Pedido!$Q:$Q,DRE!W$4,Aut_BlueMe_Sem_Pedido!$H:$H,DRE!$A202)+SUMIFS(Aut_Ajustes_Manuais!$G:$G,Aut_Ajustes_Manuais!$I:$I,DRE!W$4,Aut_Ajustes_Manuais!$F:$F,"  -  Assist. Odontologica")</f>
        <v>0</v>
      </c>
      <c r="Z202" s="241">
        <v>0</v>
      </c>
      <c r="AA202" s="27"/>
      <c r="AB202" s="28">
        <f>SUMIFS(Aut_BlueMe_Sem_Pedido!$J:$J,Aut_BlueMe_Sem_Pedido!$Q:$Q,DRE!Z$4,Aut_BlueMe_Sem_Pedido!$H:$H,DRE!$A202)+SUMIFS(Aut_Ajustes_Manuais!$G:$G,Aut_Ajustes_Manuais!$I:$I,DRE!Z$4,Aut_Ajustes_Manuais!$F:$F,"  -  Assist. Odontologica")</f>
        <v>0</v>
      </c>
      <c r="AC202" s="241">
        <v>0</v>
      </c>
      <c r="AD202" s="27"/>
      <c r="AE202" s="28">
        <f>SUMIFS(Aut_BlueMe_Sem_Pedido!$J:$J,Aut_BlueMe_Sem_Pedido!$Q:$Q,DRE!AC$4,Aut_BlueMe_Sem_Pedido!$H:$H,DRE!$A202)+SUMIFS(Aut_Ajustes_Manuais!$G:$G,Aut_Ajustes_Manuais!$I:$I,DRE!AC$4,Aut_Ajustes_Manuais!$F:$F,"  -  Assist. Odontologica")</f>
        <v>0</v>
      </c>
      <c r="AF202" s="241">
        <v>0</v>
      </c>
      <c r="AG202" s="27"/>
      <c r="AH202" s="28">
        <f>SUMIFS(Aut_BlueMe_Sem_Pedido!$J:$J,Aut_BlueMe_Sem_Pedido!$Q:$Q,DRE!AF$4,Aut_BlueMe_Sem_Pedido!$H:$H,DRE!$A202)+SUMIFS(Aut_Ajustes_Manuais!$G:$G,Aut_Ajustes_Manuais!$I:$I,DRE!AF$4,Aut_Ajustes_Manuais!$F:$F,"  -  Assist. Odontologica")</f>
        <v>0</v>
      </c>
      <c r="AI202" s="241">
        <v>0</v>
      </c>
      <c r="AJ202" s="27"/>
      <c r="AK202" s="28">
        <f>SUMIFS(Aut_BlueMe_Sem_Pedido!$J:$J,Aut_BlueMe_Sem_Pedido!$Q:$Q,DRE!AI$4,Aut_BlueMe_Sem_Pedido!$H:$H,DRE!$A202)+SUMIFS(Aut_Ajustes_Manuais!$G:$G,Aut_Ajustes_Manuais!$I:$I,DRE!AI$4,Aut_Ajustes_Manuais!$F:$F,"  -  Assist. Odontologica")</f>
        <v>0</v>
      </c>
      <c r="AL202" s="241">
        <v>0</v>
      </c>
      <c r="AM202" s="27"/>
      <c r="AN202" s="28">
        <f>SUMIFS(Aut_BlueMe_Sem_Pedido!$J:$J,Aut_BlueMe_Sem_Pedido!$Q:$Q,DRE!AL$4,Aut_BlueMe_Sem_Pedido!$H:$H,DRE!$A202)+SUMIFS(Aut_Ajustes_Manuais!$G:$G,Aut_Ajustes_Manuais!$I:$I,DRE!AL$4,Aut_Ajustes_Manuais!$F:$F,"  -  Assist. Odontologica")</f>
        <v>0</v>
      </c>
      <c r="AO202" s="241">
        <v>0</v>
      </c>
      <c r="AP202" s="27"/>
      <c r="AQ202" s="28">
        <f>SUMIFS(Aut_BlueMe_Sem_Pedido!$J:$J,Aut_BlueMe_Sem_Pedido!$Q:$Q,DRE!AO$4,Aut_BlueMe_Sem_Pedido!$H:$H,DRE!$A202)+SUMIFS(Aut_Ajustes_Manuais!$G:$G,Aut_Ajustes_Manuais!$I:$I,DRE!AO$4,Aut_Ajustes_Manuais!$F:$F,"  -  Assist. Odontologica")</f>
        <v>0</v>
      </c>
      <c r="AR202" s="241">
        <f t="shared" ca="1" si="147"/>
        <v>0</v>
      </c>
      <c r="AS202" s="27">
        <f t="shared" ca="1" si="148"/>
        <v>0</v>
      </c>
      <c r="AT202" s="28">
        <f t="shared" ca="1" si="149"/>
        <v>0</v>
      </c>
      <c r="AU202" s="241">
        <f t="shared" si="173"/>
        <v>0</v>
      </c>
      <c r="AV202" s="27">
        <f t="shared" si="173"/>
        <v>0</v>
      </c>
      <c r="AW202" s="28">
        <f t="shared" si="173"/>
        <v>0</v>
      </c>
      <c r="AX202" s="241">
        <f t="shared" si="174"/>
        <v>0</v>
      </c>
      <c r="AY202" s="27">
        <f t="shared" si="174"/>
        <v>0</v>
      </c>
      <c r="AZ202" s="28">
        <f t="shared" si="174"/>
        <v>0</v>
      </c>
      <c r="BA202" s="241">
        <f t="shared" si="175"/>
        <v>0</v>
      </c>
      <c r="BB202" s="27">
        <f t="shared" si="175"/>
        <v>0</v>
      </c>
      <c r="BC202" s="28">
        <f t="shared" si="175"/>
        <v>0</v>
      </c>
      <c r="BD202" s="241">
        <f t="shared" si="176"/>
        <v>0</v>
      </c>
      <c r="BE202" s="27">
        <f t="shared" si="176"/>
        <v>0</v>
      </c>
      <c r="BF202" s="28">
        <f t="shared" si="176"/>
        <v>0</v>
      </c>
      <c r="BG202" s="241">
        <f t="shared" si="177"/>
        <v>0</v>
      </c>
      <c r="BH202" s="27">
        <f t="shared" si="177"/>
        <v>0</v>
      </c>
      <c r="BI202" s="28">
        <f t="shared" si="177"/>
        <v>0</v>
      </c>
    </row>
    <row r="203" spans="1:61" s="29" customFormat="1" hidden="1" outlineLevel="1" x14ac:dyDescent="0.3">
      <c r="A203" s="22" t="s">
        <v>242</v>
      </c>
      <c r="B203" s="2"/>
      <c r="C203" s="24"/>
      <c r="D203" s="55" t="s">
        <v>243</v>
      </c>
      <c r="E203" s="101">
        <v>-5</v>
      </c>
      <c r="F203" s="41"/>
      <c r="G203" s="102"/>
      <c r="H203" s="241">
        <v>0</v>
      </c>
      <c r="I203" s="27">
        <v>-150</v>
      </c>
      <c r="J203" s="28">
        <f>SUMIFS(Aut_BlueMe_Sem_Pedido!$J:$J,Aut_BlueMe_Sem_Pedido!$Q:$Q,DRE!H$4,Aut_BlueMe_Sem_Pedido!$H:$H,DRE!$A203)+SUMIFS(Aut_Ajustes_Manuais!$G:$G,Aut_Ajustes_Manuais!$I:$I,DRE!H$4,Aut_Ajustes_Manuais!$F:$F,"  -  Seguro de Vida")</f>
        <v>-207.65</v>
      </c>
      <c r="K203" s="241">
        <v>0</v>
      </c>
      <c r="L203" s="27">
        <v>-150</v>
      </c>
      <c r="M203" s="28">
        <f>SUMIFS(Aut_BlueMe_Sem_Pedido!$J:$J,Aut_BlueMe_Sem_Pedido!$Q:$Q,DRE!K$4,Aut_BlueMe_Sem_Pedido!$H:$H,DRE!$A203)+SUMIFS(Aut_Ajustes_Manuais!$G:$G,Aut_Ajustes_Manuais!$I:$I,DRE!K$4,Aut_Ajustes_Manuais!$F:$F,"  -  Seguro de Vida")</f>
        <v>-207.65</v>
      </c>
      <c r="N203" s="241">
        <v>-200.77</v>
      </c>
      <c r="O203" s="27">
        <v>-150</v>
      </c>
      <c r="P203" s="28">
        <f>SUMIFS(Aut_BlueMe_Sem_Pedido!$J:$J,Aut_BlueMe_Sem_Pedido!$Q:$Q,DRE!N$4,Aut_BlueMe_Sem_Pedido!$H:$H,DRE!$A203)+SUMIFS(Aut_Ajustes_Manuais!$G:$G,Aut_Ajustes_Manuais!$I:$I,DRE!N$4,Aut_Ajustes_Manuais!$F:$F,"  -  Seguro de Vida")</f>
        <v>-207.65</v>
      </c>
      <c r="Q203" s="241">
        <v>-200.77</v>
      </c>
      <c r="R203" s="27">
        <v>-150</v>
      </c>
      <c r="S203" s="27">
        <f>SUMIFS(Aut_BlueMe_Sem_Pedido!$J:$J,Aut_BlueMe_Sem_Pedido!$Q:$Q,DRE!Q$4,Aut_BlueMe_Sem_Pedido!$H:$H,DRE!$A203)+SUMIFS(Aut_Ajustes_Manuais!$G:$G,Aut_Ajustes_Manuais!$I:$I,DRE!Q$4,Aut_Ajustes_Manuais!$F:$F,"  -  Seguro de Vida")</f>
        <v>-207.65</v>
      </c>
      <c r="T203" s="241">
        <v>-200.77</v>
      </c>
      <c r="U203" s="27">
        <v>-150</v>
      </c>
      <c r="V203" s="28">
        <f>SUMIFS(Aut_BlueMe_Sem_Pedido!$J:$J,Aut_BlueMe_Sem_Pedido!$Q:$Q,DRE!T$4,Aut_BlueMe_Sem_Pedido!$H:$H,DRE!$A203)+SUMIFS(Aut_Ajustes_Manuais!$G:$G,Aut_Ajustes_Manuais!$I:$I,DRE!T$4,Aut_Ajustes_Manuais!$F:$F,"  -  Seguro de Vida")</f>
        <v>-207.65</v>
      </c>
      <c r="W203" s="241">
        <v>-200.77</v>
      </c>
      <c r="X203" s="27">
        <v>-150</v>
      </c>
      <c r="Y203" s="28">
        <f>SUMIFS(Aut_BlueMe_Sem_Pedido!$J:$J,Aut_BlueMe_Sem_Pedido!$Q:$Q,DRE!W$4,Aut_BlueMe_Sem_Pedido!$H:$H,DRE!$A203)+SUMIFS(Aut_Ajustes_Manuais!$G:$G,Aut_Ajustes_Manuais!$I:$I,DRE!W$4,Aut_Ajustes_Manuais!$F:$F,"  -  Seguro de Vida")</f>
        <v>-207.65</v>
      </c>
      <c r="Z203" s="241">
        <v>-235.34</v>
      </c>
      <c r="AA203" s="27">
        <v>-150</v>
      </c>
      <c r="AB203" s="28">
        <f>SUMIFS(Aut_BlueMe_Sem_Pedido!$J:$J,Aut_BlueMe_Sem_Pedido!$Q:$Q,DRE!Z$4,Aut_BlueMe_Sem_Pedido!$H:$H,DRE!$A203)+SUMIFS(Aut_Ajustes_Manuais!$G:$G,Aut_Ajustes_Manuais!$I:$I,DRE!Z$4,Aut_Ajustes_Manuais!$F:$F,"  -  Seguro de Vida")</f>
        <v>-300</v>
      </c>
      <c r="AC203" s="241">
        <v>-235.34</v>
      </c>
      <c r="AD203" s="27">
        <v>-150</v>
      </c>
      <c r="AE203" s="28">
        <f>SUMIFS(Aut_BlueMe_Sem_Pedido!$J:$J,Aut_BlueMe_Sem_Pedido!$Q:$Q,DRE!AC$4,Aut_BlueMe_Sem_Pedido!$H:$H,DRE!$A203)+SUMIFS(Aut_Ajustes_Manuais!$G:$G,Aut_Ajustes_Manuais!$I:$I,DRE!AC$4,Aut_Ajustes_Manuais!$F:$F,"  -  Seguro de Vida")</f>
        <v>-300</v>
      </c>
      <c r="AF203" s="241">
        <v>-235.34</v>
      </c>
      <c r="AG203" s="27">
        <v>-150</v>
      </c>
      <c r="AH203" s="28">
        <f>SUMIFS(Aut_BlueMe_Sem_Pedido!$J:$J,Aut_BlueMe_Sem_Pedido!$Q:$Q,DRE!AF$4,Aut_BlueMe_Sem_Pedido!$H:$H,DRE!$A203)+SUMIFS(Aut_Ajustes_Manuais!$G:$G,Aut_Ajustes_Manuais!$I:$I,DRE!AF$4,Aut_Ajustes_Manuais!$F:$F,"  -  Seguro de Vida")</f>
        <v>-300</v>
      </c>
      <c r="AI203" s="241">
        <v>-207.65</v>
      </c>
      <c r="AJ203" s="27">
        <v>-150</v>
      </c>
      <c r="AK203" s="28">
        <f>SUMIFS(Aut_BlueMe_Sem_Pedido!$J:$J,Aut_BlueMe_Sem_Pedido!$Q:$Q,DRE!AI$4,Aut_BlueMe_Sem_Pedido!$H:$H,DRE!$A203)+SUMIFS(Aut_Ajustes_Manuais!$G:$G,Aut_Ajustes_Manuais!$I:$I,DRE!AI$4,Aut_Ajustes_Manuais!$F:$F,"  -  Seguro de Vida")</f>
        <v>-300</v>
      </c>
      <c r="AL203" s="241">
        <v>-207.65</v>
      </c>
      <c r="AM203" s="27">
        <v>-150</v>
      </c>
      <c r="AN203" s="28">
        <f>SUMIFS(Aut_BlueMe_Sem_Pedido!$J:$J,Aut_BlueMe_Sem_Pedido!$Q:$Q,DRE!AL$4,Aut_BlueMe_Sem_Pedido!$H:$H,DRE!$A203)+SUMIFS(Aut_Ajustes_Manuais!$G:$G,Aut_Ajustes_Manuais!$I:$I,DRE!AL$4,Aut_Ajustes_Manuais!$F:$F,"  -  Seguro de Vida")</f>
        <v>-300</v>
      </c>
      <c r="AO203" s="241">
        <v>-207.65</v>
      </c>
      <c r="AP203" s="27">
        <v>-150</v>
      </c>
      <c r="AQ203" s="28">
        <f>SUMIFS(Aut_BlueMe_Sem_Pedido!$J:$J,Aut_BlueMe_Sem_Pedido!$Q:$Q,DRE!AO$4,Aut_BlueMe_Sem_Pedido!$H:$H,DRE!$A203)+SUMIFS(Aut_Ajustes_Manuais!$G:$G,Aut_Ajustes_Manuais!$I:$I,DRE!AO$4,Aut_Ajustes_Manuais!$F:$F,"  -  Seguro de Vida")</f>
        <v>-300</v>
      </c>
      <c r="AR203" s="241">
        <f t="shared" ref="AR203:AR212" ca="1" si="178">SUMIFS($H203:$AO203,$H$5:$AO$5,"&lt;"&amp;MONTH(TODAY()),$H$6:$AO$6,"REAL 25")</f>
        <v>-803.08</v>
      </c>
      <c r="AS203" s="27">
        <f t="shared" ref="AS203:AS212" ca="1" si="179">SUMIFS($I203:$AP203,$I$5:$AP$5,"&lt;"&amp;MONTH(TODAY()),$I$6:$AP$6,"ORÇADO ")</f>
        <v>-900</v>
      </c>
      <c r="AT203" s="28">
        <f t="shared" ref="AT203:AT212" ca="1" si="180">SUMIFS($J203:$AQ203,$J$5:$AQ$5,"&lt;"&amp;MONTH(TODAY()),$J$6:$AQ$6,"REAL 26")</f>
        <v>-1245.9000000000001</v>
      </c>
      <c r="AU203" s="241">
        <f t="shared" si="173"/>
        <v>-2132.0500000000002</v>
      </c>
      <c r="AV203" s="27">
        <f t="shared" si="173"/>
        <v>-1800</v>
      </c>
      <c r="AW203" s="28">
        <f t="shared" si="173"/>
        <v>-3045.9</v>
      </c>
      <c r="AX203" s="241">
        <f t="shared" si="174"/>
        <v>-200.77</v>
      </c>
      <c r="AY203" s="27">
        <f t="shared" si="174"/>
        <v>-450</v>
      </c>
      <c r="AZ203" s="28">
        <f t="shared" si="174"/>
        <v>-622.95000000000005</v>
      </c>
      <c r="BA203" s="241">
        <f t="shared" si="175"/>
        <v>-602.31000000000006</v>
      </c>
      <c r="BB203" s="27">
        <f t="shared" si="175"/>
        <v>-450</v>
      </c>
      <c r="BC203" s="28">
        <f t="shared" si="175"/>
        <v>-622.95000000000005</v>
      </c>
      <c r="BD203" s="241">
        <f t="shared" si="176"/>
        <v>-706.02</v>
      </c>
      <c r="BE203" s="27">
        <f t="shared" si="176"/>
        <v>-450</v>
      </c>
      <c r="BF203" s="28">
        <f t="shared" si="176"/>
        <v>-900</v>
      </c>
      <c r="BG203" s="241">
        <f t="shared" si="177"/>
        <v>-622.95000000000005</v>
      </c>
      <c r="BH203" s="27">
        <f t="shared" si="177"/>
        <v>-450</v>
      </c>
      <c r="BI203" s="28">
        <f t="shared" si="177"/>
        <v>-900</v>
      </c>
    </row>
    <row r="204" spans="1:61" s="29" customFormat="1" hidden="1" outlineLevel="1" x14ac:dyDescent="0.3">
      <c r="A204" s="22" t="s">
        <v>244</v>
      </c>
      <c r="B204" s="2"/>
      <c r="C204" s="24"/>
      <c r="D204" s="55"/>
      <c r="E204" s="87"/>
      <c r="F204" s="41"/>
      <c r="G204" s="104"/>
      <c r="H204" s="241">
        <v>0</v>
      </c>
      <c r="I204" s="27"/>
      <c r="J204" s="28">
        <f>SUMIFS(Aut_BlueMe_Sem_Pedido!$J:$J,Aut_BlueMe_Sem_Pedido!$Q:$Q,DRE!H$4,Aut_BlueMe_Sem_Pedido!$H:$H,DRE!$A204)+SUMIFS(Aut_Ajustes_Manuais!$G:$G,Aut_Ajustes_Manuais!$I:$I,DRE!H$4,Aut_Ajustes_Manuais!$F:$F,"  -  Ajuda de Custo")</f>
        <v>0</v>
      </c>
      <c r="K204" s="241">
        <v>0</v>
      </c>
      <c r="L204" s="27"/>
      <c r="M204" s="28">
        <f>SUMIFS(Aut_BlueMe_Sem_Pedido!$J:$J,Aut_BlueMe_Sem_Pedido!$Q:$Q,DRE!K$4,Aut_BlueMe_Sem_Pedido!$H:$H,DRE!$A204)+SUMIFS(Aut_Ajustes_Manuais!$G:$G,Aut_Ajustes_Manuais!$I:$I,DRE!K$4,Aut_Ajustes_Manuais!$F:$F,"  -  Ajuda de Custo")</f>
        <v>0</v>
      </c>
      <c r="N204" s="241">
        <v>0</v>
      </c>
      <c r="O204" s="27"/>
      <c r="P204" s="28">
        <f>SUMIFS(Aut_BlueMe_Sem_Pedido!$J:$J,Aut_BlueMe_Sem_Pedido!$Q:$Q,DRE!N$4,Aut_BlueMe_Sem_Pedido!$H:$H,DRE!$A204)+SUMIFS(Aut_Ajustes_Manuais!$G:$G,Aut_Ajustes_Manuais!$I:$I,DRE!N$4,Aut_Ajustes_Manuais!$F:$F,"  -  Ajuda de Custo")</f>
        <v>0</v>
      </c>
      <c r="Q204" s="241">
        <v>0</v>
      </c>
      <c r="R204" s="27"/>
      <c r="S204" s="28">
        <f>SUMIFS(Aut_BlueMe_Sem_Pedido!$J:$J,Aut_BlueMe_Sem_Pedido!$Q:$Q,DRE!Q$4,Aut_BlueMe_Sem_Pedido!$H:$H,DRE!$A204)+SUMIFS(Aut_Ajustes_Manuais!$G:$G,Aut_Ajustes_Manuais!$I:$I,DRE!Q$4,Aut_Ajustes_Manuais!$F:$F,"  -  Ajuda de Custo")</f>
        <v>0</v>
      </c>
      <c r="T204" s="241">
        <v>0</v>
      </c>
      <c r="U204" s="27"/>
      <c r="V204" s="28">
        <f>SUMIFS(Aut_BlueMe_Sem_Pedido!$J:$J,Aut_BlueMe_Sem_Pedido!$Q:$Q,DRE!T$4,Aut_BlueMe_Sem_Pedido!$H:$H,DRE!$A204)+SUMIFS(Aut_Ajustes_Manuais!$G:$G,Aut_Ajustes_Manuais!$I:$I,DRE!T$4,Aut_Ajustes_Manuais!$F:$F,"  -  Ajuda de Custo")</f>
        <v>0</v>
      </c>
      <c r="W204" s="241">
        <v>0</v>
      </c>
      <c r="X204" s="27"/>
      <c r="Y204" s="28">
        <f>SUMIFS(Aut_BlueMe_Sem_Pedido!$J:$J,Aut_BlueMe_Sem_Pedido!$Q:$Q,DRE!W$4,Aut_BlueMe_Sem_Pedido!$H:$H,DRE!$A204)+SUMIFS(Aut_Ajustes_Manuais!$G:$G,Aut_Ajustes_Manuais!$I:$I,DRE!W$4,Aut_Ajustes_Manuais!$F:$F,"  -  Ajuda de Custo")</f>
        <v>0</v>
      </c>
      <c r="Z204" s="241">
        <v>0</v>
      </c>
      <c r="AA204" s="27"/>
      <c r="AB204" s="28">
        <f>SUMIFS(Aut_BlueMe_Sem_Pedido!$J:$J,Aut_BlueMe_Sem_Pedido!$Q:$Q,DRE!Z$4,Aut_BlueMe_Sem_Pedido!$H:$H,DRE!$A204)+SUMIFS(Aut_Ajustes_Manuais!$G:$G,Aut_Ajustes_Manuais!$I:$I,DRE!Z$4,Aut_Ajustes_Manuais!$F:$F,"  -  Ajuda de Custo")</f>
        <v>0</v>
      </c>
      <c r="AC204" s="241">
        <v>0</v>
      </c>
      <c r="AD204" s="27"/>
      <c r="AE204" s="28">
        <f>SUMIFS(Aut_BlueMe_Sem_Pedido!$J:$J,Aut_BlueMe_Sem_Pedido!$Q:$Q,DRE!AC$4,Aut_BlueMe_Sem_Pedido!$H:$H,DRE!$A204)+SUMIFS(Aut_Ajustes_Manuais!$G:$G,Aut_Ajustes_Manuais!$I:$I,DRE!AC$4,Aut_Ajustes_Manuais!$F:$F,"  -  Ajuda de Custo")</f>
        <v>0</v>
      </c>
      <c r="AF204" s="241">
        <v>0</v>
      </c>
      <c r="AG204" s="27"/>
      <c r="AH204" s="28">
        <f>SUMIFS(Aut_BlueMe_Sem_Pedido!$J:$J,Aut_BlueMe_Sem_Pedido!$Q:$Q,DRE!AF$4,Aut_BlueMe_Sem_Pedido!$H:$H,DRE!$A204)+SUMIFS(Aut_Ajustes_Manuais!$G:$G,Aut_Ajustes_Manuais!$I:$I,DRE!AF$4,Aut_Ajustes_Manuais!$F:$F,"  -  Ajuda de Custo")</f>
        <v>0</v>
      </c>
      <c r="AI204" s="241">
        <v>0</v>
      </c>
      <c r="AJ204" s="27"/>
      <c r="AK204" s="28">
        <f>SUMIFS(Aut_BlueMe_Sem_Pedido!$J:$J,Aut_BlueMe_Sem_Pedido!$Q:$Q,DRE!AI$4,Aut_BlueMe_Sem_Pedido!$H:$H,DRE!$A204)+SUMIFS(Aut_Ajustes_Manuais!$G:$G,Aut_Ajustes_Manuais!$I:$I,DRE!AI$4,Aut_Ajustes_Manuais!$F:$F,"  -  Ajuda de Custo")</f>
        <v>0</v>
      </c>
      <c r="AL204" s="241">
        <v>0</v>
      </c>
      <c r="AM204" s="27"/>
      <c r="AN204" s="28">
        <f>SUMIFS(Aut_BlueMe_Sem_Pedido!$J:$J,Aut_BlueMe_Sem_Pedido!$Q:$Q,DRE!AL$4,Aut_BlueMe_Sem_Pedido!$H:$H,DRE!$A204)+SUMIFS(Aut_Ajustes_Manuais!$G:$G,Aut_Ajustes_Manuais!$I:$I,DRE!AL$4,Aut_Ajustes_Manuais!$F:$F,"  -  Ajuda de Custo")</f>
        <v>0</v>
      </c>
      <c r="AO204" s="241">
        <v>0</v>
      </c>
      <c r="AP204" s="27"/>
      <c r="AQ204" s="28">
        <f>SUMIFS(Aut_BlueMe_Sem_Pedido!$J:$J,Aut_BlueMe_Sem_Pedido!$Q:$Q,DRE!AO$4,Aut_BlueMe_Sem_Pedido!$H:$H,DRE!$A204)+SUMIFS(Aut_Ajustes_Manuais!$G:$G,Aut_Ajustes_Manuais!$I:$I,DRE!AO$4,Aut_Ajustes_Manuais!$F:$F,"  -  Ajuda de Custo")</f>
        <v>0</v>
      </c>
      <c r="AR204" s="241">
        <f t="shared" ca="1" si="178"/>
        <v>0</v>
      </c>
      <c r="AS204" s="27">
        <f t="shared" ca="1" si="179"/>
        <v>0</v>
      </c>
      <c r="AT204" s="28">
        <f t="shared" ca="1" si="180"/>
        <v>0</v>
      </c>
      <c r="AU204" s="241">
        <f t="shared" si="173"/>
        <v>0</v>
      </c>
      <c r="AV204" s="27">
        <f t="shared" si="173"/>
        <v>0</v>
      </c>
      <c r="AW204" s="28">
        <f t="shared" si="173"/>
        <v>0</v>
      </c>
      <c r="AX204" s="241">
        <f t="shared" si="174"/>
        <v>0</v>
      </c>
      <c r="AY204" s="27">
        <f t="shared" si="174"/>
        <v>0</v>
      </c>
      <c r="AZ204" s="28">
        <f t="shared" si="174"/>
        <v>0</v>
      </c>
      <c r="BA204" s="241">
        <f t="shared" si="175"/>
        <v>0</v>
      </c>
      <c r="BB204" s="27">
        <f t="shared" si="175"/>
        <v>0</v>
      </c>
      <c r="BC204" s="28">
        <f t="shared" si="175"/>
        <v>0</v>
      </c>
      <c r="BD204" s="241">
        <f t="shared" si="176"/>
        <v>0</v>
      </c>
      <c r="BE204" s="27">
        <f t="shared" si="176"/>
        <v>0</v>
      </c>
      <c r="BF204" s="28">
        <f t="shared" si="176"/>
        <v>0</v>
      </c>
      <c r="BG204" s="241">
        <f t="shared" si="177"/>
        <v>0</v>
      </c>
      <c r="BH204" s="27">
        <f t="shared" si="177"/>
        <v>0</v>
      </c>
      <c r="BI204" s="28">
        <f t="shared" si="177"/>
        <v>0</v>
      </c>
    </row>
    <row r="205" spans="1:61" collapsed="1" x14ac:dyDescent="0.3">
      <c r="A205" s="73" t="s">
        <v>245</v>
      </c>
      <c r="C205" s="40" t="s">
        <v>35</v>
      </c>
      <c r="D205" s="40" t="s">
        <v>36</v>
      </c>
      <c r="E205" s="40" t="s">
        <v>202</v>
      </c>
      <c r="F205" s="41"/>
      <c r="G205" s="47"/>
      <c r="H205" s="252">
        <v>-13655.641807890161</v>
      </c>
      <c r="I205" s="74">
        <v>-16420.555458198069</v>
      </c>
      <c r="J205" s="76">
        <f>SUM(J206:J212)+SUMIFS(Aut_Ajustes_Manuais!$G:$G,Aut_Ajustes_Manuais!$I:$I,DRE!H$4,Aut_Ajustes_Manuais!$F:$F,"Outros B")</f>
        <v>-15803.79</v>
      </c>
      <c r="K205" s="252">
        <v>-14806.1214845746</v>
      </c>
      <c r="L205" s="74">
        <v>-16581.925373921429</v>
      </c>
      <c r="M205" s="76">
        <f>SUM(M206:M212)+SUMIFS(Aut_Ajustes_Manuais!$G:$G,Aut_Ajustes_Manuais!$I:$I,DRE!K$4,Aut_Ajustes_Manuais!$F:$F,"Outros B")</f>
        <v>-15399.49</v>
      </c>
      <c r="N205" s="252">
        <v>-16020.221773621541</v>
      </c>
      <c r="O205" s="74">
        <v>-17068.904357294359</v>
      </c>
      <c r="P205" s="76">
        <f>SUM(P206:P212)+SUMIFS(Aut_Ajustes_Manuais!$G:$G,Aut_Ajustes_Manuais!$I:$I,DRE!N$4,Aut_Ajustes_Manuais!$F:$F,"Outros B")</f>
        <v>-19248.609999999997</v>
      </c>
      <c r="Q205" s="252">
        <v>-14897.756257480591</v>
      </c>
      <c r="R205" s="74">
        <v>-16945.523071082502</v>
      </c>
      <c r="S205" s="76">
        <f>SUM(S206:S212)+SUMIFS(Aut_Ajustes_Manuais!$G:$G,Aut_Ajustes_Manuais!$I:$I,DRE!Q$4,Aut_Ajustes_Manuais!$F:$F,"Outros B")</f>
        <v>-17328.859999999997</v>
      </c>
      <c r="T205" s="252">
        <v>-16442.005609243421</v>
      </c>
      <c r="U205" s="74">
        <v>-16923.86297188871</v>
      </c>
      <c r="V205" s="76">
        <f>SUM(V206:V212)+SUMIFS(Aut_Ajustes_Manuais!$G:$G,Aut_Ajustes_Manuais!$I:$I,DRE!T$4,Aut_Ajustes_Manuais!$F:$F,"Outros B")</f>
        <v>-19446.439999999999</v>
      </c>
      <c r="W205" s="252">
        <v>-15596.891970131441</v>
      </c>
      <c r="X205" s="74">
        <v>-16770.315472034919</v>
      </c>
      <c r="Y205" s="76">
        <f>SUM(Y206:Y212)+SUMIFS(Aut_Ajustes_Manuais!$G:$G,Aut_Ajustes_Manuais!$I:$I,DRE!W$4,Aut_Ajustes_Manuais!$F:$F,"Outros B")</f>
        <v>-9209.44</v>
      </c>
      <c r="Z205" s="252">
        <v>-17002.80686364993</v>
      </c>
      <c r="AA205" s="74">
        <v>-17393.84490257419</v>
      </c>
      <c r="AB205" s="76">
        <f>SUM(AB206:AB212)+SUMIFS(Aut_Ajustes_Manuais!$G:$G,Aut_Ajustes_Manuais!$I:$I,DRE!Z$4,Aut_Ajustes_Manuais!$F:$F,"Outros B")</f>
        <v>-4267.83</v>
      </c>
      <c r="AC205" s="252">
        <v>-17171.50218929011</v>
      </c>
      <c r="AD205" s="74">
        <v>-17250.902812274999</v>
      </c>
      <c r="AE205" s="76">
        <f>SUM(AE206:AE212)+SUMIFS(Aut_Ajustes_Manuais!$G:$G,Aut_Ajustes_Manuais!$I:$I,DRE!AC$4,Aut_Ajustes_Manuais!$F:$F,"Outros B")</f>
        <v>-4267.83</v>
      </c>
      <c r="AF205" s="252">
        <v>-18515.18883110621</v>
      </c>
      <c r="AG205" s="74">
        <v>-16976.621173734951</v>
      </c>
      <c r="AH205" s="76">
        <f>SUM(AH206:AH212)+SUMIFS(Aut_Ajustes_Manuais!$G:$G,Aut_Ajustes_Manuais!$I:$I,DRE!AF$4,Aut_Ajustes_Manuais!$F:$F,"Outros B")</f>
        <v>-4267.83</v>
      </c>
      <c r="AI205" s="252">
        <v>-22874.28708830028</v>
      </c>
      <c r="AJ205" s="74">
        <v>-17049.590423010279</v>
      </c>
      <c r="AK205" s="76">
        <f>SUM(AK206:AK212)+SUMIFS(Aut_Ajustes_Manuais!$G:$G,Aut_Ajustes_Manuais!$I:$I,DRE!AI$4,Aut_Ajustes_Manuais!$F:$F,"Outros B")</f>
        <v>-4267.83</v>
      </c>
      <c r="AL205" s="252">
        <v>-16180.37336805007</v>
      </c>
      <c r="AM205" s="74">
        <v>-17183.93249369879</v>
      </c>
      <c r="AN205" s="76">
        <f>SUM(AN206:AN212)+SUMIFS(Aut_Ajustes_Manuais!$G:$G,Aut_Ajustes_Manuais!$I:$I,DRE!AL$4,Aut_Ajustes_Manuais!$F:$F,"Outros B")</f>
        <v>-4267.83</v>
      </c>
      <c r="AO205" s="252">
        <v>-23556.80610297649</v>
      </c>
      <c r="AP205" s="74">
        <v>-17860.01522953964</v>
      </c>
      <c r="AQ205" s="76">
        <f>SUM(AQ206:AQ212)+SUMIFS(Aut_Ajustes_Manuais!$G:$G,Aut_Ajustes_Manuais!$I:$I,DRE!AO$4,Aut_Ajustes_Manuais!$F:$F,"Outros B")</f>
        <v>-4267.83</v>
      </c>
      <c r="AR205" s="252">
        <f t="shared" ca="1" si="178"/>
        <v>-91418.638902941762</v>
      </c>
      <c r="AS205" s="74">
        <f t="shared" ca="1" si="179"/>
        <v>-100711.08670441998</v>
      </c>
      <c r="AT205" s="76">
        <f t="shared" ca="1" si="180"/>
        <v>-96436.63</v>
      </c>
      <c r="AU205" s="252">
        <f t="shared" ref="AU205:BI205" si="181">SUM(AU206:AU212)</f>
        <v>-206719.60334631486</v>
      </c>
      <c r="AV205" s="74">
        <f t="shared" si="181"/>
        <v>-204425.99373925288</v>
      </c>
      <c r="AW205" s="76">
        <f t="shared" si="181"/>
        <v>-122043.61</v>
      </c>
      <c r="AX205" s="252">
        <f t="shared" si="181"/>
        <v>-44481.985066086301</v>
      </c>
      <c r="AY205" s="74">
        <f t="shared" si="181"/>
        <v>-50071.385189413864</v>
      </c>
      <c r="AZ205" s="76">
        <f t="shared" si="181"/>
        <v>-50451.89</v>
      </c>
      <c r="BA205" s="252">
        <f t="shared" si="181"/>
        <v>-46936.653836855454</v>
      </c>
      <c r="BB205" s="74">
        <f t="shared" si="181"/>
        <v>-50639.701515006127</v>
      </c>
      <c r="BC205" s="76">
        <f t="shared" si="181"/>
        <v>-45984.740000000005</v>
      </c>
      <c r="BD205" s="252">
        <f t="shared" si="181"/>
        <v>-52689.497884046257</v>
      </c>
      <c r="BE205" s="74">
        <f t="shared" si="181"/>
        <v>-51621.368888584147</v>
      </c>
      <c r="BF205" s="76">
        <f t="shared" si="181"/>
        <v>-12803.49</v>
      </c>
      <c r="BG205" s="252">
        <f t="shared" si="181"/>
        <v>-62611.466559326829</v>
      </c>
      <c r="BH205" s="74">
        <f t="shared" si="181"/>
        <v>-52093.538146248706</v>
      </c>
      <c r="BI205" s="76">
        <f t="shared" si="181"/>
        <v>-12803.49</v>
      </c>
    </row>
    <row r="206" spans="1:61" s="29" customFormat="1" hidden="1" outlineLevel="2" x14ac:dyDescent="0.3">
      <c r="A206" s="22" t="s">
        <v>246</v>
      </c>
      <c r="B206" s="2"/>
      <c r="C206" s="24"/>
      <c r="D206" s="105"/>
      <c r="E206" s="101"/>
      <c r="F206" s="41"/>
      <c r="G206" s="33"/>
      <c r="H206" s="241">
        <v>0</v>
      </c>
      <c r="I206" s="27"/>
      <c r="J206" s="28">
        <f>SUMIFS(Aut_BlueMe_Sem_Pedido!$J:$J,Aut_BlueMe_Sem_Pedido!$Q:$Q,DRE!H$4,Aut_BlueMe_Sem_Pedido!$H:$H,DRE!$A206)+SUMIFS(Aut_Ajustes_Manuais!$G:$G,Aut_Ajustes_Manuais!$I:$I,DRE!H$4,Aut_Ajustes_Manuais!$F:$F,"  -  Uniformes Manutenção e Reposição")</f>
        <v>0</v>
      </c>
      <c r="K206" s="241">
        <v>0</v>
      </c>
      <c r="L206" s="27"/>
      <c r="M206" s="28">
        <f>SUMIFS(Aut_BlueMe_Sem_Pedido!$J:$J,Aut_BlueMe_Sem_Pedido!$Q:$Q,DRE!K$4,Aut_BlueMe_Sem_Pedido!$H:$H,DRE!$A206)+SUMIFS(Aut_Ajustes_Manuais!$G:$G,Aut_Ajustes_Manuais!$I:$I,DRE!K$4,Aut_Ajustes_Manuais!$F:$F,"  -  Uniformes Manutenção e Reposição")</f>
        <v>0</v>
      </c>
      <c r="N206" s="241">
        <v>-1091.49</v>
      </c>
      <c r="O206" s="27"/>
      <c r="P206" s="28">
        <f>SUMIFS(Aut_BlueMe_Sem_Pedido!$J:$J,Aut_BlueMe_Sem_Pedido!$Q:$Q,DRE!N$4,Aut_BlueMe_Sem_Pedido!$H:$H,DRE!$A206)+SUMIFS(Aut_Ajustes_Manuais!$G:$G,Aut_Ajustes_Manuais!$I:$I,DRE!N$4,Aut_Ajustes_Manuais!$F:$F,"  -  Uniformes Manutenção e Reposição")</f>
        <v>-132.97999999999999</v>
      </c>
      <c r="Q206" s="241">
        <v>0</v>
      </c>
      <c r="R206" s="27"/>
      <c r="S206" s="28">
        <f>SUMIFS(Aut_BlueMe_Sem_Pedido!$J:$J,Aut_BlueMe_Sem_Pedido!$Q:$Q,DRE!Q$4,Aut_BlueMe_Sem_Pedido!$H:$H,DRE!$A206)+SUMIFS(Aut_Ajustes_Manuais!$G:$G,Aut_Ajustes_Manuais!$I:$I,DRE!Q$4,Aut_Ajustes_Manuais!$F:$F,"  -  Uniformes Manutenção e Reposição")</f>
        <v>-479.4</v>
      </c>
      <c r="T206" s="241">
        <v>0</v>
      </c>
      <c r="U206" s="27"/>
      <c r="V206" s="28">
        <f>SUMIFS(Aut_BlueMe_Sem_Pedido!$J:$J,Aut_BlueMe_Sem_Pedido!$Q:$Q,DRE!T$4,Aut_BlueMe_Sem_Pedido!$H:$H,DRE!$A206)+SUMIFS(Aut_Ajustes_Manuais!$G:$G,Aut_Ajustes_Manuais!$I:$I,DRE!T$4,Aut_Ajustes_Manuais!$F:$F,"  -  Uniformes Manutenção e Reposição")</f>
        <v>-1677.6</v>
      </c>
      <c r="W206" s="241">
        <v>-159.97999999999999</v>
      </c>
      <c r="X206" s="27"/>
      <c r="Y206" s="28">
        <f>SUMIFS(Aut_BlueMe_Sem_Pedido!$J:$J,Aut_BlueMe_Sem_Pedido!$Q:$Q,DRE!W$4,Aut_BlueMe_Sem_Pedido!$H:$H,DRE!$A206)+SUMIFS(Aut_Ajustes_Manuais!$G:$G,Aut_Ajustes_Manuais!$I:$I,DRE!W$4,Aut_Ajustes_Manuais!$F:$F,"  -  Uniformes Manutenção e Reposição")</f>
        <v>0</v>
      </c>
      <c r="Z206" s="241">
        <v>-419.4</v>
      </c>
      <c r="AA206" s="27"/>
      <c r="AB206" s="28">
        <f>SUMIFS(Aut_BlueMe_Sem_Pedido!$J:$J,Aut_BlueMe_Sem_Pedido!$Q:$Q,DRE!Z$4,Aut_BlueMe_Sem_Pedido!$H:$H,DRE!$A206)+SUMIFS(Aut_Ajustes_Manuais!$G:$G,Aut_Ajustes_Manuais!$I:$I,DRE!Z$4,Aut_Ajustes_Manuais!$F:$F,"  -  Uniformes Manutenção e Reposição")</f>
        <v>0</v>
      </c>
      <c r="AC206" s="241">
        <v>0</v>
      </c>
      <c r="AD206" s="27"/>
      <c r="AE206" s="28">
        <f>SUMIFS(Aut_BlueMe_Sem_Pedido!$J:$J,Aut_BlueMe_Sem_Pedido!$Q:$Q,DRE!AC$4,Aut_BlueMe_Sem_Pedido!$H:$H,DRE!$A206)+SUMIFS(Aut_Ajustes_Manuais!$G:$G,Aut_Ajustes_Manuais!$I:$I,DRE!AC$4,Aut_Ajustes_Manuais!$F:$F,"  -  Uniformes Manutenção e Reposição")</f>
        <v>0</v>
      </c>
      <c r="AF206" s="241">
        <v>0</v>
      </c>
      <c r="AG206" s="27"/>
      <c r="AH206" s="28">
        <f>SUMIFS(Aut_BlueMe_Sem_Pedido!$J:$J,Aut_BlueMe_Sem_Pedido!$Q:$Q,DRE!AF$4,Aut_BlueMe_Sem_Pedido!$H:$H,DRE!$A206)+SUMIFS(Aut_Ajustes_Manuais!$G:$G,Aut_Ajustes_Manuais!$I:$I,DRE!AF$4,Aut_Ajustes_Manuais!$F:$F,"  -  Uniformes Manutenção e Reposição")</f>
        <v>0</v>
      </c>
      <c r="AI206" s="241">
        <v>-2718.2</v>
      </c>
      <c r="AJ206" s="27"/>
      <c r="AK206" s="28">
        <f>SUMIFS(Aut_BlueMe_Sem_Pedido!$J:$J,Aut_BlueMe_Sem_Pedido!$Q:$Q,DRE!AI$4,Aut_BlueMe_Sem_Pedido!$H:$H,DRE!$A206)+SUMIFS(Aut_Ajustes_Manuais!$G:$G,Aut_Ajustes_Manuais!$I:$I,DRE!AI$4,Aut_Ajustes_Manuais!$F:$F,"  -  Uniformes Manutenção e Reposição")</f>
        <v>0</v>
      </c>
      <c r="AL206" s="241">
        <v>0</v>
      </c>
      <c r="AM206" s="27"/>
      <c r="AN206" s="28">
        <f>SUMIFS(Aut_BlueMe_Sem_Pedido!$J:$J,Aut_BlueMe_Sem_Pedido!$Q:$Q,DRE!AL$4,Aut_BlueMe_Sem_Pedido!$H:$H,DRE!$A206)+SUMIFS(Aut_Ajustes_Manuais!$G:$G,Aut_Ajustes_Manuais!$I:$I,DRE!AL$4,Aut_Ajustes_Manuais!$F:$F,"  -  Uniformes Manutenção e Reposição")</f>
        <v>0</v>
      </c>
      <c r="AO206" s="241">
        <v>0</v>
      </c>
      <c r="AP206" s="27"/>
      <c r="AQ206" s="28">
        <f>SUMIFS(Aut_BlueMe_Sem_Pedido!$J:$J,Aut_BlueMe_Sem_Pedido!$Q:$Q,DRE!AO$4,Aut_BlueMe_Sem_Pedido!$H:$H,DRE!$A206)+SUMIFS(Aut_Ajustes_Manuais!$G:$G,Aut_Ajustes_Manuais!$I:$I,DRE!AO$4,Aut_Ajustes_Manuais!$F:$F,"  -  Uniformes Manutenção e Reposição")</f>
        <v>0</v>
      </c>
      <c r="AR206" s="241">
        <f t="shared" ca="1" si="178"/>
        <v>-1251.47</v>
      </c>
      <c r="AS206" s="27">
        <f t="shared" ca="1" si="179"/>
        <v>0</v>
      </c>
      <c r="AT206" s="28">
        <f t="shared" ca="1" si="180"/>
        <v>-2289.98</v>
      </c>
      <c r="AU206" s="241">
        <f t="shared" ref="AU206:AW212" si="182">SUM(H206,K206,N206,Q206,T206,W206,Z206,AC206,AF206,AI206,AL206,AO206)</f>
        <v>-4389.07</v>
      </c>
      <c r="AV206" s="27">
        <f t="shared" si="182"/>
        <v>0</v>
      </c>
      <c r="AW206" s="28">
        <f t="shared" si="182"/>
        <v>-2289.98</v>
      </c>
      <c r="AX206" s="241">
        <f t="shared" ref="AX206:AZ212" si="183">SUM(H206,K206,N206)</f>
        <v>-1091.49</v>
      </c>
      <c r="AY206" s="27">
        <f t="shared" si="183"/>
        <v>0</v>
      </c>
      <c r="AZ206" s="28">
        <f t="shared" si="183"/>
        <v>-132.97999999999999</v>
      </c>
      <c r="BA206" s="241">
        <f t="shared" ref="BA206:BC212" si="184">SUM(Q206,T206,W206)</f>
        <v>-159.97999999999999</v>
      </c>
      <c r="BB206" s="27">
        <f t="shared" si="184"/>
        <v>0</v>
      </c>
      <c r="BC206" s="28">
        <f t="shared" si="184"/>
        <v>-2157</v>
      </c>
      <c r="BD206" s="241">
        <f t="shared" ref="BD206:BF212" si="185">SUM(Z206,AC206,AF206)</f>
        <v>-419.4</v>
      </c>
      <c r="BE206" s="27">
        <f t="shared" si="185"/>
        <v>0</v>
      </c>
      <c r="BF206" s="28">
        <f t="shared" si="185"/>
        <v>0</v>
      </c>
      <c r="BG206" s="241">
        <f t="shared" ref="BG206:BI212" si="186">SUM(AI206,AL206,AO206)</f>
        <v>-2718.2</v>
      </c>
      <c r="BH206" s="27">
        <f t="shared" si="186"/>
        <v>0</v>
      </c>
      <c r="BI206" s="28">
        <f t="shared" si="186"/>
        <v>0</v>
      </c>
    </row>
    <row r="207" spans="1:61" s="29" customFormat="1" ht="25.2" hidden="1" customHeight="1" outlineLevel="2" x14ac:dyDescent="0.3">
      <c r="A207" s="22" t="s">
        <v>247</v>
      </c>
      <c r="B207" s="2"/>
      <c r="C207" s="24"/>
      <c r="D207" s="99" t="s">
        <v>248</v>
      </c>
      <c r="E207" s="101">
        <v>-49.44</v>
      </c>
      <c r="F207" s="41"/>
      <c r="G207" s="33"/>
      <c r="H207" s="241">
        <v>-535.04999999999995</v>
      </c>
      <c r="I207" s="27">
        <v>-74.16</v>
      </c>
      <c r="J207" s="28">
        <f>SUMIFS(Aut_BlueMe_Sem_Pedido!$J:$J,Aut_BlueMe_Sem_Pedido!$Q:$Q,DRE!H$4,Aut_BlueMe_Sem_Pedido!$H:$H,DRE!$A207)+SUMIFS(Aut_Ajustes_Manuais!$G:$G,Aut_Ajustes_Manuais!$I:$I,DRE!H$4,Aut_Ajustes_Manuais!$F:$F,"  -  Exames Periódicos")</f>
        <v>-463.74</v>
      </c>
      <c r="K207" s="241">
        <v>-1086.56</v>
      </c>
      <c r="L207" s="27">
        <v>-74.16</v>
      </c>
      <c r="M207" s="28">
        <f>SUMIFS(Aut_BlueMe_Sem_Pedido!$J:$J,Aut_BlueMe_Sem_Pedido!$Q:$Q,DRE!K$4,Aut_BlueMe_Sem_Pedido!$H:$H,DRE!$A207)+SUMIFS(Aut_Ajustes_Manuais!$G:$G,Aut_Ajustes_Manuais!$I:$I,DRE!K$4,Aut_Ajustes_Manuais!$F:$F,"  -  Exames Periódicos")</f>
        <v>-993.13</v>
      </c>
      <c r="N207" s="241">
        <v>-346.93</v>
      </c>
      <c r="O207" s="27">
        <v>-74.16</v>
      </c>
      <c r="P207" s="28">
        <f>SUMIFS(Aut_BlueMe_Sem_Pedido!$J:$J,Aut_BlueMe_Sem_Pedido!$Q:$Q,DRE!N$4,Aut_BlueMe_Sem_Pedido!$H:$H,DRE!$A207)+SUMIFS(Aut_Ajustes_Manuais!$G:$G,Aut_Ajustes_Manuais!$I:$I,DRE!N$4,Aut_Ajustes_Manuais!$F:$F,"  -  Exames Periódicos")</f>
        <v>-537.78</v>
      </c>
      <c r="Q207" s="241">
        <v>-272.39999999999998</v>
      </c>
      <c r="R207" s="27">
        <v>-74.16</v>
      </c>
      <c r="S207" s="28">
        <f>SUMIFS(Aut_BlueMe_Sem_Pedido!$J:$J,Aut_BlueMe_Sem_Pedido!$Q:$Q,DRE!Q$4,Aut_BlueMe_Sem_Pedido!$H:$H,DRE!$A207)+SUMIFS(Aut_Ajustes_Manuais!$G:$G,Aut_Ajustes_Manuais!$I:$I,DRE!Q$4,Aut_Ajustes_Manuais!$F:$F,"  -  Exames Periódicos")</f>
        <v>-461.45</v>
      </c>
      <c r="T207" s="241">
        <v>-531.54999999999995</v>
      </c>
      <c r="U207" s="27">
        <v>-74.16</v>
      </c>
      <c r="V207" s="28">
        <f>SUMIFS(Aut_BlueMe_Sem_Pedido!$J:$J,Aut_BlueMe_Sem_Pedido!$Q:$Q,DRE!T$4,Aut_BlueMe_Sem_Pedido!$H:$H,DRE!$A207)+SUMIFS(Aut_Ajustes_Manuais!$G:$G,Aut_Ajustes_Manuais!$I:$I,DRE!T$4,Aut_Ajustes_Manuais!$F:$F,"  -  Exames Periódicos")</f>
        <v>-302.27</v>
      </c>
      <c r="W207" s="241">
        <v>-454.47</v>
      </c>
      <c r="X207" s="27">
        <v>-74.16</v>
      </c>
      <c r="Y207" s="28">
        <f>SUMIFS(Aut_BlueMe_Sem_Pedido!$J:$J,Aut_BlueMe_Sem_Pedido!$Q:$Q,DRE!W$4,Aut_BlueMe_Sem_Pedido!$H:$H,DRE!$A207)+SUMIFS(Aut_Ajustes_Manuais!$G:$G,Aut_Ajustes_Manuais!$I:$I,DRE!W$4,Aut_Ajustes_Manuais!$F:$F,"  -  Exames Periódicos")</f>
        <v>-391.22</v>
      </c>
      <c r="Z207" s="241">
        <v>-726.23</v>
      </c>
      <c r="AA207" s="27">
        <v>-74.16</v>
      </c>
      <c r="AB207" s="28">
        <f>SUMIFS(Aut_BlueMe_Sem_Pedido!$J:$J,Aut_BlueMe_Sem_Pedido!$Q:$Q,DRE!Z$4,Aut_BlueMe_Sem_Pedido!$H:$H,DRE!$A207)+SUMIFS(Aut_Ajustes_Manuais!$G:$G,Aut_Ajustes_Manuais!$I:$I,DRE!Z$4,Aut_Ajustes_Manuais!$F:$F,"  -  Exames Periódicos")</f>
        <v>-267.83</v>
      </c>
      <c r="AC207" s="241">
        <v>-954.34</v>
      </c>
      <c r="AD207" s="27">
        <v>-74.16</v>
      </c>
      <c r="AE207" s="28">
        <f>SUMIFS(Aut_BlueMe_Sem_Pedido!$J:$J,Aut_BlueMe_Sem_Pedido!$Q:$Q,DRE!AC$4,Aut_BlueMe_Sem_Pedido!$H:$H,DRE!$A207)+SUMIFS(Aut_Ajustes_Manuais!$G:$G,Aut_Ajustes_Manuais!$I:$I,DRE!AC$4,Aut_Ajustes_Manuais!$F:$F,"  -  Exames Periódicos")</f>
        <v>-267.83</v>
      </c>
      <c r="AF207" s="241">
        <v>-384.86</v>
      </c>
      <c r="AG207" s="27">
        <v>-74.16</v>
      </c>
      <c r="AH207" s="28">
        <f>SUMIFS(Aut_BlueMe_Sem_Pedido!$J:$J,Aut_BlueMe_Sem_Pedido!$Q:$Q,DRE!AF$4,Aut_BlueMe_Sem_Pedido!$H:$H,DRE!$A207)+SUMIFS(Aut_Ajustes_Manuais!$G:$G,Aut_Ajustes_Manuais!$I:$I,DRE!AF$4,Aut_Ajustes_Manuais!$F:$F,"  -  Exames Periódicos")</f>
        <v>-267.83</v>
      </c>
      <c r="AI207" s="241">
        <v>-332.55</v>
      </c>
      <c r="AJ207" s="27">
        <v>-74.16</v>
      </c>
      <c r="AK207" s="28">
        <f>SUMIFS(Aut_BlueMe_Sem_Pedido!$J:$J,Aut_BlueMe_Sem_Pedido!$Q:$Q,DRE!AI$4,Aut_BlueMe_Sem_Pedido!$H:$H,DRE!$A207)+SUMIFS(Aut_Ajustes_Manuais!$G:$G,Aut_Ajustes_Manuais!$I:$I,DRE!AI$4,Aut_Ajustes_Manuais!$F:$F,"  -  Exames Periódicos")</f>
        <v>-267.83</v>
      </c>
      <c r="AL207" s="241">
        <v>-504.3</v>
      </c>
      <c r="AM207" s="27">
        <v>-74.16</v>
      </c>
      <c r="AN207" s="28">
        <f>SUMIFS(Aut_BlueMe_Sem_Pedido!$J:$J,Aut_BlueMe_Sem_Pedido!$Q:$Q,DRE!AL$4,Aut_BlueMe_Sem_Pedido!$H:$H,DRE!$A207)+SUMIFS(Aut_Ajustes_Manuais!$G:$G,Aut_Ajustes_Manuais!$I:$I,DRE!AL$4,Aut_Ajustes_Manuais!$F:$F,"  -  Exames Periódicos")</f>
        <v>-267.83</v>
      </c>
      <c r="AO207" s="241">
        <v>-267.83</v>
      </c>
      <c r="AP207" s="27">
        <v>-74.16</v>
      </c>
      <c r="AQ207" s="28">
        <f>SUMIFS(Aut_BlueMe_Sem_Pedido!$J:$J,Aut_BlueMe_Sem_Pedido!$Q:$Q,DRE!AO$4,Aut_BlueMe_Sem_Pedido!$H:$H,DRE!$A207)+SUMIFS(Aut_Ajustes_Manuais!$G:$G,Aut_Ajustes_Manuais!$I:$I,DRE!AO$4,Aut_Ajustes_Manuais!$F:$F,"  -  Exames Periódicos")</f>
        <v>-267.83</v>
      </c>
      <c r="AR207" s="241">
        <f t="shared" ca="1" si="178"/>
        <v>-3226.96</v>
      </c>
      <c r="AS207" s="27">
        <f t="shared" ca="1" si="179"/>
        <v>-444.95999999999992</v>
      </c>
      <c r="AT207" s="28">
        <f t="shared" ca="1" si="180"/>
        <v>-3149.59</v>
      </c>
      <c r="AU207" s="241">
        <f t="shared" si="182"/>
        <v>-6397.07</v>
      </c>
      <c r="AV207" s="27">
        <f t="shared" si="182"/>
        <v>-889.91999999999973</v>
      </c>
      <c r="AW207" s="28">
        <f t="shared" si="182"/>
        <v>-4756.57</v>
      </c>
      <c r="AX207" s="241">
        <f t="shared" si="183"/>
        <v>-1968.54</v>
      </c>
      <c r="AY207" s="27">
        <f t="shared" si="183"/>
        <v>-222.48</v>
      </c>
      <c r="AZ207" s="28">
        <f t="shared" si="183"/>
        <v>-1994.6499999999999</v>
      </c>
      <c r="BA207" s="241">
        <f t="shared" si="184"/>
        <v>-1258.42</v>
      </c>
      <c r="BB207" s="27">
        <f t="shared" si="184"/>
        <v>-222.48</v>
      </c>
      <c r="BC207" s="28">
        <f t="shared" si="184"/>
        <v>-1154.94</v>
      </c>
      <c r="BD207" s="241">
        <f t="shared" si="185"/>
        <v>-2065.4300000000003</v>
      </c>
      <c r="BE207" s="27">
        <f t="shared" si="185"/>
        <v>-222.48</v>
      </c>
      <c r="BF207" s="28">
        <f t="shared" si="185"/>
        <v>-803.49</v>
      </c>
      <c r="BG207" s="241">
        <f t="shared" si="186"/>
        <v>-1104.68</v>
      </c>
      <c r="BH207" s="27">
        <f t="shared" si="186"/>
        <v>-222.48</v>
      </c>
      <c r="BI207" s="28">
        <f t="shared" si="186"/>
        <v>-803.49</v>
      </c>
    </row>
    <row r="208" spans="1:61" s="29" customFormat="1" hidden="1" outlineLevel="2" x14ac:dyDescent="0.3">
      <c r="A208" s="22" t="s">
        <v>249</v>
      </c>
      <c r="B208" s="2"/>
      <c r="C208" s="24"/>
      <c r="D208" s="55"/>
      <c r="E208" s="87"/>
      <c r="F208" s="41"/>
      <c r="G208" s="33"/>
      <c r="H208" s="241">
        <v>0</v>
      </c>
      <c r="I208" s="27"/>
      <c r="J208" s="28">
        <f>SUMIFS(Aut_BlueMe_Sem_Pedido!$J:$J,Aut_BlueMe_Sem_Pedido!$Q:$Q,DRE!H$4,Aut_BlueMe_Sem_Pedido!$H:$H,DRE!$A208)+SUMIFS(Aut_Ajustes_Manuais!$G:$G,Aut_Ajustes_Manuais!$I:$I,DRE!H$4,Aut_Ajustes_Manuais!$F:$F,"  -  Diversos - Vale Combustível")</f>
        <v>0</v>
      </c>
      <c r="K208" s="241">
        <v>0</v>
      </c>
      <c r="L208" s="27"/>
      <c r="M208" s="28">
        <f>SUMIFS(Aut_BlueMe_Sem_Pedido!$J:$J,Aut_BlueMe_Sem_Pedido!$Q:$Q,DRE!K$4,Aut_BlueMe_Sem_Pedido!$H:$H,DRE!$A208)+SUMIFS(Aut_Ajustes_Manuais!$G:$G,Aut_Ajustes_Manuais!$I:$I,DRE!K$4,Aut_Ajustes_Manuais!$F:$F,"  -  Diversos - Vale Combustível")</f>
        <v>0</v>
      </c>
      <c r="N208" s="241">
        <v>0</v>
      </c>
      <c r="O208" s="27"/>
      <c r="P208" s="28">
        <f>SUMIFS(Aut_BlueMe_Sem_Pedido!$J:$J,Aut_BlueMe_Sem_Pedido!$Q:$Q,DRE!N$4,Aut_BlueMe_Sem_Pedido!$H:$H,DRE!$A208)+SUMIFS(Aut_Ajustes_Manuais!$G:$G,Aut_Ajustes_Manuais!$I:$I,DRE!N$4,Aut_Ajustes_Manuais!$F:$F,"  -  Diversos - Vale Combustível")</f>
        <v>0</v>
      </c>
      <c r="Q208" s="241">
        <v>0</v>
      </c>
      <c r="R208" s="27"/>
      <c r="S208" s="28">
        <f>SUMIFS(Aut_BlueMe_Sem_Pedido!$J:$J,Aut_BlueMe_Sem_Pedido!$Q:$Q,DRE!Q$4,Aut_BlueMe_Sem_Pedido!$H:$H,DRE!$A208)+SUMIFS(Aut_Ajustes_Manuais!$G:$G,Aut_Ajustes_Manuais!$I:$I,DRE!Q$4,Aut_Ajustes_Manuais!$F:$F,"  -  Diversos - Vale Combustível")</f>
        <v>0</v>
      </c>
      <c r="T208" s="241">
        <v>0</v>
      </c>
      <c r="U208" s="27"/>
      <c r="V208" s="28">
        <f>SUMIFS(Aut_BlueMe_Sem_Pedido!$J:$J,Aut_BlueMe_Sem_Pedido!$Q:$Q,DRE!T$4,Aut_BlueMe_Sem_Pedido!$H:$H,DRE!$A208)+SUMIFS(Aut_Ajustes_Manuais!$G:$G,Aut_Ajustes_Manuais!$I:$I,DRE!T$4,Aut_Ajustes_Manuais!$F:$F,"  -  Diversos - Vale Combustível")</f>
        <v>0</v>
      </c>
      <c r="W208" s="241">
        <v>0</v>
      </c>
      <c r="X208" s="27"/>
      <c r="Y208" s="28">
        <f>SUMIFS(Aut_BlueMe_Sem_Pedido!$J:$J,Aut_BlueMe_Sem_Pedido!$Q:$Q,DRE!W$4,Aut_BlueMe_Sem_Pedido!$H:$H,DRE!$A208)+SUMIFS(Aut_Ajustes_Manuais!$G:$G,Aut_Ajustes_Manuais!$I:$I,DRE!W$4,Aut_Ajustes_Manuais!$F:$F,"  -  Diversos - Vale Combustível")</f>
        <v>0</v>
      </c>
      <c r="Z208" s="241">
        <v>0</v>
      </c>
      <c r="AA208" s="27"/>
      <c r="AB208" s="28">
        <f>SUMIFS(Aut_BlueMe_Sem_Pedido!$J:$J,Aut_BlueMe_Sem_Pedido!$Q:$Q,DRE!Z$4,Aut_BlueMe_Sem_Pedido!$H:$H,DRE!$A208)+SUMIFS(Aut_Ajustes_Manuais!$G:$G,Aut_Ajustes_Manuais!$I:$I,DRE!Z$4,Aut_Ajustes_Manuais!$F:$F,"  -  Diversos - Vale Combustível")</f>
        <v>0</v>
      </c>
      <c r="AC208" s="241">
        <v>0</v>
      </c>
      <c r="AD208" s="27"/>
      <c r="AE208" s="28">
        <f>SUMIFS(Aut_BlueMe_Sem_Pedido!$J:$J,Aut_BlueMe_Sem_Pedido!$Q:$Q,DRE!AC$4,Aut_BlueMe_Sem_Pedido!$H:$H,DRE!$A208)+SUMIFS(Aut_Ajustes_Manuais!$G:$G,Aut_Ajustes_Manuais!$I:$I,DRE!AC$4,Aut_Ajustes_Manuais!$F:$F,"  -  Diversos - Vale Combustível")</f>
        <v>0</v>
      </c>
      <c r="AF208" s="241">
        <v>0</v>
      </c>
      <c r="AG208" s="27"/>
      <c r="AH208" s="28">
        <f>SUMIFS(Aut_BlueMe_Sem_Pedido!$J:$J,Aut_BlueMe_Sem_Pedido!$Q:$Q,DRE!AF$4,Aut_BlueMe_Sem_Pedido!$H:$H,DRE!$A208)+SUMIFS(Aut_Ajustes_Manuais!$G:$G,Aut_Ajustes_Manuais!$I:$I,DRE!AF$4,Aut_Ajustes_Manuais!$F:$F,"  -  Diversos - Vale Combustível")</f>
        <v>0</v>
      </c>
      <c r="AI208" s="241">
        <v>0</v>
      </c>
      <c r="AJ208" s="27"/>
      <c r="AK208" s="28">
        <f>SUMIFS(Aut_BlueMe_Sem_Pedido!$J:$J,Aut_BlueMe_Sem_Pedido!$Q:$Q,DRE!AI$4,Aut_BlueMe_Sem_Pedido!$H:$H,DRE!$A208)+SUMIFS(Aut_Ajustes_Manuais!$G:$G,Aut_Ajustes_Manuais!$I:$I,DRE!AI$4,Aut_Ajustes_Manuais!$F:$F,"  -  Diversos - Vale Combustível")</f>
        <v>0</v>
      </c>
      <c r="AL208" s="241">
        <v>0</v>
      </c>
      <c r="AM208" s="27"/>
      <c r="AN208" s="28">
        <f>SUMIFS(Aut_BlueMe_Sem_Pedido!$J:$J,Aut_BlueMe_Sem_Pedido!$Q:$Q,DRE!AL$4,Aut_BlueMe_Sem_Pedido!$H:$H,DRE!$A208)+SUMIFS(Aut_Ajustes_Manuais!$G:$G,Aut_Ajustes_Manuais!$I:$I,DRE!AL$4,Aut_Ajustes_Manuais!$F:$F,"  -  Diversos - Vale Combustível")</f>
        <v>0</v>
      </c>
      <c r="AO208" s="241">
        <v>0</v>
      </c>
      <c r="AP208" s="27"/>
      <c r="AQ208" s="28">
        <f>SUMIFS(Aut_BlueMe_Sem_Pedido!$J:$J,Aut_BlueMe_Sem_Pedido!$Q:$Q,DRE!AO$4,Aut_BlueMe_Sem_Pedido!$H:$H,DRE!$A208)+SUMIFS(Aut_Ajustes_Manuais!$G:$G,Aut_Ajustes_Manuais!$I:$I,DRE!AO$4,Aut_Ajustes_Manuais!$F:$F,"  -  Diversos - Vale Combustível")</f>
        <v>0</v>
      </c>
      <c r="AR208" s="241">
        <f t="shared" ca="1" si="178"/>
        <v>0</v>
      </c>
      <c r="AS208" s="27">
        <f t="shared" ca="1" si="179"/>
        <v>0</v>
      </c>
      <c r="AT208" s="28">
        <f t="shared" ca="1" si="180"/>
        <v>0</v>
      </c>
      <c r="AU208" s="241">
        <f t="shared" si="182"/>
        <v>0</v>
      </c>
      <c r="AV208" s="27">
        <f t="shared" si="182"/>
        <v>0</v>
      </c>
      <c r="AW208" s="28">
        <f t="shared" si="182"/>
        <v>0</v>
      </c>
      <c r="AX208" s="241">
        <f t="shared" si="183"/>
        <v>0</v>
      </c>
      <c r="AY208" s="27">
        <f t="shared" si="183"/>
        <v>0</v>
      </c>
      <c r="AZ208" s="28">
        <f t="shared" si="183"/>
        <v>0</v>
      </c>
      <c r="BA208" s="241">
        <f t="shared" si="184"/>
        <v>0</v>
      </c>
      <c r="BB208" s="27">
        <f t="shared" si="184"/>
        <v>0</v>
      </c>
      <c r="BC208" s="28">
        <f t="shared" si="184"/>
        <v>0</v>
      </c>
      <c r="BD208" s="241">
        <f t="shared" si="185"/>
        <v>0</v>
      </c>
      <c r="BE208" s="27">
        <f t="shared" si="185"/>
        <v>0</v>
      </c>
      <c r="BF208" s="28">
        <f t="shared" si="185"/>
        <v>0</v>
      </c>
      <c r="BG208" s="241">
        <f t="shared" si="186"/>
        <v>0</v>
      </c>
      <c r="BH208" s="27">
        <f t="shared" si="186"/>
        <v>0</v>
      </c>
      <c r="BI208" s="28">
        <f t="shared" si="186"/>
        <v>0</v>
      </c>
    </row>
    <row r="209" spans="1:61" s="29" customFormat="1" hidden="1" outlineLevel="2" x14ac:dyDescent="0.3">
      <c r="A209" s="22" t="s">
        <v>250</v>
      </c>
      <c r="B209" s="2"/>
      <c r="C209" s="24"/>
      <c r="D209" s="55"/>
      <c r="E209" s="87"/>
      <c r="F209" s="41"/>
      <c r="G209" s="33"/>
      <c r="H209" s="241">
        <v>-2400</v>
      </c>
      <c r="I209" s="27"/>
      <c r="J209" s="28">
        <f>SUMIFS(Aut_BlueMe_Sem_Pedido!$J:$J,Aut_BlueMe_Sem_Pedido!$Q:$Q,DRE!H$4,Aut_BlueMe_Sem_Pedido!$H:$H,DRE!$A209)+SUMIFS(Aut_Ajustes_Manuais!$G:$G,Aut_Ajustes_Manuais!$I:$I,DRE!H$4,Aut_Ajustes_Manuais!$F:$F,"  -  Gratificações")</f>
        <v>0</v>
      </c>
      <c r="K209" s="241">
        <v>-2700</v>
      </c>
      <c r="L209" s="27"/>
      <c r="M209" s="28">
        <f>SUMIFS(Aut_BlueMe_Sem_Pedido!$J:$J,Aut_BlueMe_Sem_Pedido!$Q:$Q,DRE!K$4,Aut_BlueMe_Sem_Pedido!$H:$H,DRE!$A209)+SUMIFS(Aut_Ajustes_Manuais!$G:$G,Aut_Ajustes_Manuais!$I:$I,DRE!K$4,Aut_Ajustes_Manuais!$F:$F,"  -  Gratificações")</f>
        <v>0</v>
      </c>
      <c r="N209" s="241">
        <v>-2700</v>
      </c>
      <c r="O209" s="27"/>
      <c r="P209" s="28">
        <f>SUMIFS(Aut_BlueMe_Sem_Pedido!$J:$J,Aut_BlueMe_Sem_Pedido!$Q:$Q,DRE!N$4,Aut_BlueMe_Sem_Pedido!$H:$H,DRE!$A209)+SUMIFS(Aut_Ajustes_Manuais!$G:$G,Aut_Ajustes_Manuais!$I:$I,DRE!N$4,Aut_Ajustes_Manuais!$F:$F,"  -  Gratificações")</f>
        <v>0</v>
      </c>
      <c r="Q209" s="241">
        <v>-2100</v>
      </c>
      <c r="R209" s="27"/>
      <c r="S209" s="28">
        <f>SUMIFS(Aut_BlueMe_Sem_Pedido!$J:$J,Aut_BlueMe_Sem_Pedido!$Q:$Q,DRE!Q$4,Aut_BlueMe_Sem_Pedido!$H:$H,DRE!$A209)+SUMIFS(Aut_Ajustes_Manuais!$G:$G,Aut_Ajustes_Manuais!$I:$I,DRE!Q$4,Aut_Ajustes_Manuais!$F:$F,"  -  Gratificações")</f>
        <v>0</v>
      </c>
      <c r="T209" s="241">
        <v>-2700</v>
      </c>
      <c r="U209" s="27"/>
      <c r="V209" s="28">
        <f>SUMIFS(Aut_BlueMe_Sem_Pedido!$J:$J,Aut_BlueMe_Sem_Pedido!$Q:$Q,DRE!T$4,Aut_BlueMe_Sem_Pedido!$H:$H,DRE!$A209)+SUMIFS(Aut_Ajustes_Manuais!$G:$G,Aut_Ajustes_Manuais!$I:$I,DRE!T$4,Aut_Ajustes_Manuais!$F:$F,"  -  Gratificações")</f>
        <v>0</v>
      </c>
      <c r="W209" s="241">
        <v>-2700</v>
      </c>
      <c r="X209" s="27"/>
      <c r="Y209" s="28">
        <f>SUMIFS(Aut_BlueMe_Sem_Pedido!$J:$J,Aut_BlueMe_Sem_Pedido!$Q:$Q,DRE!W$4,Aut_BlueMe_Sem_Pedido!$H:$H,DRE!$A209)+SUMIFS(Aut_Ajustes_Manuais!$G:$G,Aut_Ajustes_Manuais!$I:$I,DRE!W$4,Aut_Ajustes_Manuais!$F:$F,"  -  Gratificações")</f>
        <v>0</v>
      </c>
      <c r="Z209" s="241">
        <v>-3000</v>
      </c>
      <c r="AA209" s="27"/>
      <c r="AB209" s="28">
        <f>SUMIFS(Aut_BlueMe_Sem_Pedido!$J:$J,Aut_BlueMe_Sem_Pedido!$Q:$Q,DRE!Z$4,Aut_BlueMe_Sem_Pedido!$H:$H,DRE!$A209)+SUMIFS(Aut_Ajustes_Manuais!$G:$G,Aut_Ajustes_Manuais!$I:$I,DRE!Z$4,Aut_Ajustes_Manuais!$F:$F,"  -  Gratificações")</f>
        <v>0</v>
      </c>
      <c r="AC209" s="241">
        <v>-2700</v>
      </c>
      <c r="AD209" s="27"/>
      <c r="AE209" s="28">
        <f>SUMIFS(Aut_BlueMe_Sem_Pedido!$J:$J,Aut_BlueMe_Sem_Pedido!$Q:$Q,DRE!AC$4,Aut_BlueMe_Sem_Pedido!$H:$H,DRE!$A209)+SUMIFS(Aut_Ajustes_Manuais!$G:$G,Aut_Ajustes_Manuais!$I:$I,DRE!AC$4,Aut_Ajustes_Manuais!$F:$F,"  -  Gratificações")</f>
        <v>0</v>
      </c>
      <c r="AF209" s="241">
        <v>-2700</v>
      </c>
      <c r="AG209" s="27"/>
      <c r="AH209" s="28">
        <f>SUMIFS(Aut_BlueMe_Sem_Pedido!$J:$J,Aut_BlueMe_Sem_Pedido!$Q:$Q,DRE!AF$4,Aut_BlueMe_Sem_Pedido!$H:$H,DRE!$A209)+SUMIFS(Aut_Ajustes_Manuais!$G:$G,Aut_Ajustes_Manuais!$I:$I,DRE!AF$4,Aut_Ajustes_Manuais!$F:$F,"  -  Gratificações")</f>
        <v>0</v>
      </c>
      <c r="AI209" s="241">
        <v>-3000</v>
      </c>
      <c r="AJ209" s="27"/>
      <c r="AK209" s="28">
        <f>SUMIFS(Aut_BlueMe_Sem_Pedido!$J:$J,Aut_BlueMe_Sem_Pedido!$Q:$Q,DRE!AI$4,Aut_BlueMe_Sem_Pedido!$H:$H,DRE!$A209)+SUMIFS(Aut_Ajustes_Manuais!$G:$G,Aut_Ajustes_Manuais!$I:$I,DRE!AI$4,Aut_Ajustes_Manuais!$F:$F,"  -  Gratificações")</f>
        <v>0</v>
      </c>
      <c r="AL209" s="241">
        <v>0</v>
      </c>
      <c r="AM209" s="27"/>
      <c r="AN209" s="28">
        <f>SUMIFS(Aut_BlueMe_Sem_Pedido!$J:$J,Aut_BlueMe_Sem_Pedido!$Q:$Q,DRE!AL$4,Aut_BlueMe_Sem_Pedido!$H:$H,DRE!$A209)+SUMIFS(Aut_Ajustes_Manuais!$G:$G,Aut_Ajustes_Manuais!$I:$I,DRE!AL$4,Aut_Ajustes_Manuais!$F:$F,"  -  Gratificações")</f>
        <v>0</v>
      </c>
      <c r="AO209" s="241">
        <v>-3000</v>
      </c>
      <c r="AP209" s="27"/>
      <c r="AQ209" s="28">
        <f>SUMIFS(Aut_BlueMe_Sem_Pedido!$J:$J,Aut_BlueMe_Sem_Pedido!$Q:$Q,DRE!AO$4,Aut_BlueMe_Sem_Pedido!$H:$H,DRE!$A209)+SUMIFS(Aut_Ajustes_Manuais!$G:$G,Aut_Ajustes_Manuais!$I:$I,DRE!AO$4,Aut_Ajustes_Manuais!$F:$F,"  -  Gratificações")</f>
        <v>0</v>
      </c>
      <c r="AR209" s="241">
        <f t="shared" ca="1" si="178"/>
        <v>-15300</v>
      </c>
      <c r="AS209" s="27">
        <f t="shared" ca="1" si="179"/>
        <v>0</v>
      </c>
      <c r="AT209" s="28">
        <f t="shared" ca="1" si="180"/>
        <v>0</v>
      </c>
      <c r="AU209" s="241">
        <f t="shared" si="182"/>
        <v>-29700</v>
      </c>
      <c r="AV209" s="27">
        <f t="shared" si="182"/>
        <v>0</v>
      </c>
      <c r="AW209" s="28">
        <f t="shared" si="182"/>
        <v>0</v>
      </c>
      <c r="AX209" s="241">
        <f t="shared" si="183"/>
        <v>-7800</v>
      </c>
      <c r="AY209" s="27">
        <f t="shared" si="183"/>
        <v>0</v>
      </c>
      <c r="AZ209" s="28">
        <f t="shared" si="183"/>
        <v>0</v>
      </c>
      <c r="BA209" s="241">
        <f t="shared" si="184"/>
        <v>-7500</v>
      </c>
      <c r="BB209" s="27">
        <f t="shared" si="184"/>
        <v>0</v>
      </c>
      <c r="BC209" s="28">
        <f t="shared" si="184"/>
        <v>0</v>
      </c>
      <c r="BD209" s="241">
        <f t="shared" si="185"/>
        <v>-8400</v>
      </c>
      <c r="BE209" s="27">
        <f t="shared" si="185"/>
        <v>0</v>
      </c>
      <c r="BF209" s="28">
        <f t="shared" si="185"/>
        <v>0</v>
      </c>
      <c r="BG209" s="241">
        <f t="shared" si="186"/>
        <v>-6000</v>
      </c>
      <c r="BH209" s="27">
        <f t="shared" si="186"/>
        <v>0</v>
      </c>
      <c r="BI209" s="28">
        <f t="shared" si="186"/>
        <v>0</v>
      </c>
    </row>
    <row r="210" spans="1:61" s="29" customFormat="1" hidden="1" outlineLevel="2" x14ac:dyDescent="0.3">
      <c r="A210" s="22" t="s">
        <v>251</v>
      </c>
      <c r="B210" s="2"/>
      <c r="C210" s="24"/>
      <c r="D210" s="55"/>
      <c r="E210" s="87"/>
      <c r="F210" s="41"/>
      <c r="G210" s="33"/>
      <c r="H210" s="241">
        <v>0</v>
      </c>
      <c r="I210" s="27"/>
      <c r="J210" s="28">
        <f>SUMIFS(Aut_BlueMe_Sem_Pedido!$J:$J,Aut_BlueMe_Sem_Pedido!$Q:$Q,DRE!H$4,Aut_BlueMe_Sem_Pedido!$H:$H,DRE!$A210)+SUMIFS(Aut_Ajustes_Manuais!$G:$G,Aut_Ajustes_Manuais!$I:$I,DRE!H$4,Aut_Ajustes_Manuais!$F:$F,"  -  Cursos e Treinamentos")</f>
        <v>0</v>
      </c>
      <c r="K210" s="241">
        <v>0</v>
      </c>
      <c r="L210" s="27"/>
      <c r="M210" s="28">
        <f>SUMIFS(Aut_BlueMe_Sem_Pedido!$J:$J,Aut_BlueMe_Sem_Pedido!$Q:$Q,DRE!K$4,Aut_BlueMe_Sem_Pedido!$H:$H,DRE!$A210)+SUMIFS(Aut_Ajustes_Manuais!$G:$G,Aut_Ajustes_Manuais!$I:$I,DRE!K$4,Aut_Ajustes_Manuais!$F:$F,"  -  Cursos e Treinamentos")</f>
        <v>0</v>
      </c>
      <c r="N210" s="241">
        <v>0</v>
      </c>
      <c r="O210" s="27"/>
      <c r="P210" s="28">
        <f>SUMIFS(Aut_BlueMe_Sem_Pedido!$J:$J,Aut_BlueMe_Sem_Pedido!$Q:$Q,DRE!N$4,Aut_BlueMe_Sem_Pedido!$H:$H,DRE!$A210)+SUMIFS(Aut_Ajustes_Manuais!$G:$G,Aut_Ajustes_Manuais!$I:$I,DRE!N$4,Aut_Ajustes_Manuais!$F:$F,"  -  Cursos e Treinamentos")</f>
        <v>0</v>
      </c>
      <c r="Q210" s="241">
        <v>0</v>
      </c>
      <c r="R210" s="27"/>
      <c r="S210" s="28">
        <f>SUMIFS(Aut_BlueMe_Sem_Pedido!$J:$J,Aut_BlueMe_Sem_Pedido!$Q:$Q,DRE!Q$4,Aut_BlueMe_Sem_Pedido!$H:$H,DRE!$A210)+SUMIFS(Aut_Ajustes_Manuais!$G:$G,Aut_Ajustes_Manuais!$I:$I,DRE!Q$4,Aut_Ajustes_Manuais!$F:$F,"  -  Cursos e Treinamentos")</f>
        <v>0</v>
      </c>
      <c r="T210" s="241">
        <v>0</v>
      </c>
      <c r="U210" s="27"/>
      <c r="V210" s="28">
        <f>SUMIFS(Aut_BlueMe_Sem_Pedido!$J:$J,Aut_BlueMe_Sem_Pedido!$Q:$Q,DRE!T$4,Aut_BlueMe_Sem_Pedido!$H:$H,DRE!$A210)+SUMIFS(Aut_Ajustes_Manuais!$G:$G,Aut_Ajustes_Manuais!$I:$I,DRE!T$4,Aut_Ajustes_Manuais!$F:$F,"  -  Cursos e Treinamentos")</f>
        <v>0</v>
      </c>
      <c r="W210" s="241">
        <v>0</v>
      </c>
      <c r="X210" s="27"/>
      <c r="Y210" s="28">
        <f>SUMIFS(Aut_BlueMe_Sem_Pedido!$J:$J,Aut_BlueMe_Sem_Pedido!$Q:$Q,DRE!W$4,Aut_BlueMe_Sem_Pedido!$H:$H,DRE!$A210)+SUMIFS(Aut_Ajustes_Manuais!$G:$G,Aut_Ajustes_Manuais!$I:$I,DRE!W$4,Aut_Ajustes_Manuais!$F:$F,"  -  Cursos e Treinamentos")</f>
        <v>0</v>
      </c>
      <c r="Z210" s="241">
        <v>0</v>
      </c>
      <c r="AA210" s="27"/>
      <c r="AB210" s="28">
        <f>SUMIFS(Aut_BlueMe_Sem_Pedido!$J:$J,Aut_BlueMe_Sem_Pedido!$Q:$Q,DRE!Z$4,Aut_BlueMe_Sem_Pedido!$H:$H,DRE!$A210)+SUMIFS(Aut_Ajustes_Manuais!$G:$G,Aut_Ajustes_Manuais!$I:$I,DRE!Z$4,Aut_Ajustes_Manuais!$F:$F,"  -  Cursos e Treinamentos")</f>
        <v>0</v>
      </c>
      <c r="AC210" s="241">
        <v>0</v>
      </c>
      <c r="AD210" s="27"/>
      <c r="AE210" s="28">
        <f>SUMIFS(Aut_BlueMe_Sem_Pedido!$J:$J,Aut_BlueMe_Sem_Pedido!$Q:$Q,DRE!AC$4,Aut_BlueMe_Sem_Pedido!$H:$H,DRE!$A210)+SUMIFS(Aut_Ajustes_Manuais!$G:$G,Aut_Ajustes_Manuais!$I:$I,DRE!AC$4,Aut_Ajustes_Manuais!$F:$F,"  -  Cursos e Treinamentos")</f>
        <v>0</v>
      </c>
      <c r="AF210" s="241">
        <v>0</v>
      </c>
      <c r="AG210" s="27"/>
      <c r="AH210" s="28">
        <f>SUMIFS(Aut_BlueMe_Sem_Pedido!$J:$J,Aut_BlueMe_Sem_Pedido!$Q:$Q,DRE!AF$4,Aut_BlueMe_Sem_Pedido!$H:$H,DRE!$A210)+SUMIFS(Aut_Ajustes_Manuais!$G:$G,Aut_Ajustes_Manuais!$I:$I,DRE!AF$4,Aut_Ajustes_Manuais!$F:$F,"  -  Cursos e Treinamentos")</f>
        <v>0</v>
      </c>
      <c r="AI210" s="241">
        <v>0</v>
      </c>
      <c r="AJ210" s="27"/>
      <c r="AK210" s="28">
        <f>SUMIFS(Aut_BlueMe_Sem_Pedido!$J:$J,Aut_BlueMe_Sem_Pedido!$Q:$Q,DRE!AI$4,Aut_BlueMe_Sem_Pedido!$H:$H,DRE!$A210)+SUMIFS(Aut_Ajustes_Manuais!$G:$G,Aut_Ajustes_Manuais!$I:$I,DRE!AI$4,Aut_Ajustes_Manuais!$F:$F,"  -  Cursos e Treinamentos")</f>
        <v>0</v>
      </c>
      <c r="AL210" s="241">
        <v>0</v>
      </c>
      <c r="AM210" s="27"/>
      <c r="AN210" s="28">
        <f>SUMIFS(Aut_BlueMe_Sem_Pedido!$J:$J,Aut_BlueMe_Sem_Pedido!$Q:$Q,DRE!AL$4,Aut_BlueMe_Sem_Pedido!$H:$H,DRE!$A210)+SUMIFS(Aut_Ajustes_Manuais!$G:$G,Aut_Ajustes_Manuais!$I:$I,DRE!AL$4,Aut_Ajustes_Manuais!$F:$F,"  -  Cursos e Treinamentos")</f>
        <v>0</v>
      </c>
      <c r="AO210" s="241">
        <v>0</v>
      </c>
      <c r="AP210" s="27"/>
      <c r="AQ210" s="28">
        <f>SUMIFS(Aut_BlueMe_Sem_Pedido!$J:$J,Aut_BlueMe_Sem_Pedido!$Q:$Q,DRE!AO$4,Aut_BlueMe_Sem_Pedido!$H:$H,DRE!$A210)+SUMIFS(Aut_Ajustes_Manuais!$G:$G,Aut_Ajustes_Manuais!$I:$I,DRE!AO$4,Aut_Ajustes_Manuais!$F:$F,"  -  Cursos e Treinamentos")</f>
        <v>0</v>
      </c>
      <c r="AR210" s="241">
        <f t="shared" ca="1" si="178"/>
        <v>0</v>
      </c>
      <c r="AS210" s="27">
        <f t="shared" ca="1" si="179"/>
        <v>0</v>
      </c>
      <c r="AT210" s="28">
        <f t="shared" ca="1" si="180"/>
        <v>0</v>
      </c>
      <c r="AU210" s="241">
        <f t="shared" si="182"/>
        <v>0</v>
      </c>
      <c r="AV210" s="27">
        <f t="shared" si="182"/>
        <v>0</v>
      </c>
      <c r="AW210" s="28">
        <f t="shared" si="182"/>
        <v>0</v>
      </c>
      <c r="AX210" s="241">
        <f t="shared" si="183"/>
        <v>0</v>
      </c>
      <c r="AY210" s="27">
        <f t="shared" si="183"/>
        <v>0</v>
      </c>
      <c r="AZ210" s="28">
        <f t="shared" si="183"/>
        <v>0</v>
      </c>
      <c r="BA210" s="241">
        <f t="shared" si="184"/>
        <v>0</v>
      </c>
      <c r="BB210" s="27">
        <f t="shared" si="184"/>
        <v>0</v>
      </c>
      <c r="BC210" s="28">
        <f t="shared" si="184"/>
        <v>0</v>
      </c>
      <c r="BD210" s="241">
        <f t="shared" si="185"/>
        <v>0</v>
      </c>
      <c r="BE210" s="27">
        <f t="shared" si="185"/>
        <v>0</v>
      </c>
      <c r="BF210" s="28">
        <f t="shared" si="185"/>
        <v>0</v>
      </c>
      <c r="BG210" s="241">
        <f t="shared" si="186"/>
        <v>0</v>
      </c>
      <c r="BH210" s="27">
        <f t="shared" si="186"/>
        <v>0</v>
      </c>
      <c r="BI210" s="28">
        <f t="shared" si="186"/>
        <v>0</v>
      </c>
    </row>
    <row r="211" spans="1:61" s="29" customFormat="1" hidden="1" outlineLevel="2" x14ac:dyDescent="0.3">
      <c r="A211" s="22" t="s">
        <v>252</v>
      </c>
      <c r="B211" s="2"/>
      <c r="C211" s="106"/>
      <c r="D211" s="107"/>
      <c r="E211" s="101">
        <v>-22</v>
      </c>
      <c r="F211" s="41"/>
      <c r="G211" s="33"/>
      <c r="H211" s="241">
        <v>-10720.59180789016</v>
      </c>
      <c r="I211" s="27">
        <v>-16346.395458198071</v>
      </c>
      <c r="J211" s="28">
        <f>SUMIFS(Aut_BlueMe_Sem_Pedido!$J:$J,Aut_BlueMe_Sem_Pedido!$Q:$Q,DRE!H$4,Aut_BlueMe_Sem_Pedido!$H:$H,DRE!$A211)-SUMIFS(Aut_Descontos!$G:$G,Aut_Descontos!$H:$H,A211,Aut_Descontos!$L:$L,DRE!H$4)-CMV_Manual!D15-SUMIFS(Aut_Consumo_Cartao_Black!$H:$H,Aut_Consumo_Cartao_Black!$I:$I,DRE!H$4)+SUMIFS(Aut_Ajustes_Manuais!$G:$G,Aut_Ajustes_Manuais!$I:$I,DRE!H$4,Aut_Ajustes_Manuais!$F:$F,"  -  Alimentação Funcionário")</f>
        <v>-15340.050000000001</v>
      </c>
      <c r="K211" s="241">
        <v>-11019.5614845746</v>
      </c>
      <c r="L211" s="27">
        <v>-16507.765373921429</v>
      </c>
      <c r="M211" s="28">
        <f>SUMIFS(Aut_BlueMe_Sem_Pedido!$J:$J,Aut_BlueMe_Sem_Pedido!$Q:$Q,DRE!K$4,Aut_BlueMe_Sem_Pedido!$H:$H,DRE!$A211)-SUMIFS(Aut_Descontos!$G:$G,Aut_Descontos!$H:$H,A211,Aut_Descontos!$L:$L,DRE!K$4)-CMV_Manual!E15-SUMIFS(Aut_Consumo_Cartao_Black!$H:$H,Aut_Consumo_Cartao_Black!$I:$I,DRE!K$4)+SUMIFS(Aut_Ajustes_Manuais!$G:$G,Aut_Ajustes_Manuais!$I:$I,DRE!K$4,Aut_Ajustes_Manuais!$F:$F,"  -  Alimentação Funcionário")</f>
        <v>-14406.36</v>
      </c>
      <c r="N211" s="241">
        <v>-11881.801773621541</v>
      </c>
      <c r="O211" s="27">
        <v>-16994.744357294359</v>
      </c>
      <c r="P211" s="28">
        <f>SUMIFS(Aut_BlueMe_Sem_Pedido!$J:$J,Aut_BlueMe_Sem_Pedido!$Q:$Q,DRE!N$4,Aut_BlueMe_Sem_Pedido!$H:$H,DRE!$A211)-SUMIFS(Aut_Descontos!$G:$G,Aut_Descontos!$H:$H,A211,Aut_Descontos!$L:$L,DRE!N$4)-CMV_Manual!F15-SUMIFS(Aut_Consumo_Cartao_Black!$H:$H,Aut_Consumo_Cartao_Black!$I:$I,DRE!N$4)+SUMIFS(Aut_Ajustes_Manuais!$G:$G,Aut_Ajustes_Manuais!$I:$I,DRE!N$4,Aut_Ajustes_Manuais!$F:$F,"  -  Alimentação Funcionário")</f>
        <v>-18577.849999999999</v>
      </c>
      <c r="Q211" s="241">
        <v>-12525.356257480589</v>
      </c>
      <c r="R211" s="27">
        <v>-16871.363071082498</v>
      </c>
      <c r="S211" s="28">
        <f>SUMIFS(Aut_BlueMe_Sem_Pedido!$J:$J,Aut_BlueMe_Sem_Pedido!$Q:$Q,DRE!Q$4,Aut_BlueMe_Sem_Pedido!$H:$H,DRE!$A211)-SUMIFS(Aut_Descontos!$G:$G,Aut_Descontos!$H:$H,A211,Aut_Descontos!$L:$L,DRE!Q$4)-CMV_Manual!G15-SUMIFS(Aut_Consumo_Cartao_Black!$H:$H,Aut_Consumo_Cartao_Black!$I:$I,DRE!Q$4)+SUMIFS(Aut_Ajustes_Manuais!$G:$G,Aut_Ajustes_Manuais!$I:$I,DRE!Q$4,Aut_Ajustes_Manuais!$F:$F,"  -  Alimentação Funcionário")</f>
        <v>-16388.009999999998</v>
      </c>
      <c r="T211" s="241">
        <v>-13210.45560924342</v>
      </c>
      <c r="U211" s="27">
        <v>-16849.70297188871</v>
      </c>
      <c r="V211" s="28">
        <f>SUMIFS(Aut_BlueMe_Sem_Pedido!$J:$J,Aut_BlueMe_Sem_Pedido!$Q:$Q,DRE!T$4,Aut_BlueMe_Sem_Pedido!$H:$H,DRE!$A211)-SUMIFS(Aut_Descontos!$G:$G,Aut_Descontos!$H:$H,A211,Aut_Descontos!$L:$L,DRE!T$4)-CMV_Manual!H15-SUMIFS(Aut_Consumo_Cartao_Black!$H:$H,Aut_Consumo_Cartao_Black!$I:$I,DRE!T$4)+SUMIFS(Aut_Ajustes_Manuais!$G:$G,Aut_Ajustes_Manuais!$I:$I,DRE!T$4,Aut_Ajustes_Manuais!$F:$F,"  -  Alimentação Funcionário")</f>
        <v>-17466.57</v>
      </c>
      <c r="W211" s="241">
        <v>-12282.44197013144</v>
      </c>
      <c r="X211" s="27">
        <v>-16696.15547203492</v>
      </c>
      <c r="Y211" s="28">
        <f>SUMIFS(Aut_BlueMe_Sem_Pedido!$J:$J,Aut_BlueMe_Sem_Pedido!$Q:$Q,DRE!W$4,Aut_BlueMe_Sem_Pedido!$H:$H,DRE!$A211)-SUMIFS(Aut_Descontos!$G:$G,Aut_Descontos!$H:$H,A211,Aut_Descontos!$L:$L,DRE!W$4)-CMV_Manual!I15-SUMIFS(Aut_Consumo_Cartao_Black!$H:$H,Aut_Consumo_Cartao_Black!$I:$I,DRE!W$4)+SUMIFS(Aut_Ajustes_Manuais!$G:$G,Aut_Ajustes_Manuais!$I:$I,DRE!W$4,Aut_Ajustes_Manuais!$F:$F,"  -  Alimentação Funcionário")</f>
        <v>-8818.2200000000012</v>
      </c>
      <c r="Z211" s="241">
        <v>-12857.176863649929</v>
      </c>
      <c r="AA211" s="27">
        <v>-17319.68490257419</v>
      </c>
      <c r="AB211" s="28">
        <f>SUMIFS(Aut_BlueMe_Sem_Pedido!$J:$J,Aut_BlueMe_Sem_Pedido!$Q:$Q,DRE!Z$4,Aut_BlueMe_Sem_Pedido!$H:$H,DRE!$A211)-SUMIFS(Aut_Descontos!$G:$G,Aut_Descontos!$H:$H,A211,Aut_Descontos!$L:$L,DRE!Z$4)-CMV_Manual!J15-SUMIFS(Aut_Consumo_Cartao_Black!$H:$H,Aut_Consumo_Cartao_Black!$I:$I,DRE!Z$4)+SUMIFS(Aut_Ajustes_Manuais!$G:$G,Aut_Ajustes_Manuais!$I:$I,DRE!Z$4,Aut_Ajustes_Manuais!$F:$F,"  -  Alimentação Funcionário")</f>
        <v>-4000</v>
      </c>
      <c r="AC211" s="241">
        <v>-13517.162189290109</v>
      </c>
      <c r="AD211" s="27">
        <v>-17176.742812274999</v>
      </c>
      <c r="AE211" s="28">
        <f>SUMIFS(Aut_BlueMe_Sem_Pedido!$J:$J,Aut_BlueMe_Sem_Pedido!$Q:$Q,DRE!AC$4,Aut_BlueMe_Sem_Pedido!$H:$H,DRE!$A211)-SUMIFS(Aut_Descontos!$G:$G,Aut_Descontos!$H:$H,A211,Aut_Descontos!$L:$L,DRE!AC$4)-CMV_Manual!K15-SUMIFS(Aut_Consumo_Cartao_Black!$H:$H,Aut_Consumo_Cartao_Black!$I:$I,DRE!AC$4)+SUMIFS(Aut_Ajustes_Manuais!$G:$G,Aut_Ajustes_Manuais!$I:$I,DRE!AC$4,Aut_Ajustes_Manuais!$F:$F,"  -  Alimentação Funcionário")</f>
        <v>-4000</v>
      </c>
      <c r="AF211" s="241">
        <v>-15430.328831106221</v>
      </c>
      <c r="AG211" s="27">
        <v>-16902.461173734951</v>
      </c>
      <c r="AH211" s="28">
        <f>SUMIFS(Aut_BlueMe_Sem_Pedido!$J:$J,Aut_BlueMe_Sem_Pedido!$Q:$Q,DRE!AF$4,Aut_BlueMe_Sem_Pedido!$H:$H,DRE!$A211)-SUMIFS(Aut_Descontos!$G:$G,Aut_Descontos!$H:$H,A211,Aut_Descontos!$L:$L,DRE!AF$4)-CMV_Manual!L15-SUMIFS(Aut_Consumo_Cartao_Black!$H:$H,Aut_Consumo_Cartao_Black!$I:$I,DRE!AF$4)+SUMIFS(Aut_Ajustes_Manuais!$G:$G,Aut_Ajustes_Manuais!$I:$I,DRE!AF$4,Aut_Ajustes_Manuais!$F:$F,"  -  Alimentação Funcionário")</f>
        <v>-4000</v>
      </c>
      <c r="AI211" s="241">
        <v>-16823.53708830028</v>
      </c>
      <c r="AJ211" s="27">
        <v>-16975.430423010279</v>
      </c>
      <c r="AK211" s="28">
        <f>SUMIFS(Aut_BlueMe_Sem_Pedido!$J:$J,Aut_BlueMe_Sem_Pedido!$Q:$Q,DRE!AI$4,Aut_BlueMe_Sem_Pedido!$H:$H,DRE!$A211)-SUMIFS(Aut_Descontos!$G:$G,Aut_Descontos!$H:$H,A211,Aut_Descontos!$L:$L,DRE!AI$4)-CMV_Manual!M15-SUMIFS(Aut_Consumo_Cartao_Black!$H:$H,Aut_Consumo_Cartao_Black!$I:$I,DRE!AI$4)+SUMIFS(Aut_Ajustes_Manuais!$G:$G,Aut_Ajustes_Manuais!$I:$I,DRE!AI$4,Aut_Ajustes_Manuais!$F:$F,"  -  Alimentação Funcionário")</f>
        <v>-4000</v>
      </c>
      <c r="AL211" s="241">
        <v>-15676.073368050071</v>
      </c>
      <c r="AM211" s="27">
        <v>-17109.772493698791</v>
      </c>
      <c r="AN211" s="28">
        <f>SUMIFS(Aut_BlueMe_Sem_Pedido!$J:$J,Aut_BlueMe_Sem_Pedido!$Q:$Q,DRE!AL$4,Aut_BlueMe_Sem_Pedido!$H:$H,DRE!$A211)-SUMIFS(Aut_Descontos!$G:$G,Aut_Descontos!$H:$H,A211,Aut_Descontos!$L:$L,DRE!AL$4)-CMV_Manual!N15-SUMIFS(Aut_Consumo_Cartao_Black!$H:$H,Aut_Consumo_Cartao_Black!$I:$I,DRE!AL$4)+SUMIFS(Aut_Ajustes_Manuais!$G:$G,Aut_Ajustes_Manuais!$I:$I,DRE!AL$4,Aut_Ajustes_Manuais!$F:$F,"  -  Alimentação Funcionário")</f>
        <v>-4000</v>
      </c>
      <c r="AO211" s="241">
        <v>-20288.976102976481</v>
      </c>
      <c r="AP211" s="27">
        <v>-17785.85522953964</v>
      </c>
      <c r="AQ211" s="28">
        <f>SUMIFS(Aut_BlueMe_Sem_Pedido!$J:$J,Aut_BlueMe_Sem_Pedido!$Q:$Q,DRE!AO$4,Aut_BlueMe_Sem_Pedido!$H:$H,DRE!$A211)-SUMIFS(Aut_Descontos!$G:$G,Aut_Descontos!$H:$H,A211,Aut_Descontos!$L:$L,DRE!AO$4)-CMV_Manual!O15-SUMIFS(Aut_Consumo_Cartao_Black!$H:$H,Aut_Consumo_Cartao_Black!$I:$I,DRE!AO$4)+SUMIFS(Aut_Ajustes_Manuais!$G:$G,Aut_Ajustes_Manuais!$I:$I,DRE!AO$4,Aut_Ajustes_Manuais!$F:$F,"  -  Alimentação Funcionário")</f>
        <v>-4000</v>
      </c>
      <c r="AR211" s="241">
        <f t="shared" ca="1" si="178"/>
        <v>-71640.208902941755</v>
      </c>
      <c r="AS211" s="27">
        <f t="shared" ca="1" si="179"/>
        <v>-100266.12670441999</v>
      </c>
      <c r="AT211" s="28">
        <f t="shared" ca="1" si="180"/>
        <v>-90997.06</v>
      </c>
      <c r="AU211" s="241">
        <f t="shared" si="182"/>
        <v>-166233.46334631485</v>
      </c>
      <c r="AV211" s="27">
        <f t="shared" si="182"/>
        <v>-203536.07373925287</v>
      </c>
      <c r="AW211" s="28">
        <f t="shared" si="182"/>
        <v>-114997.06</v>
      </c>
      <c r="AX211" s="241">
        <f t="shared" si="183"/>
        <v>-33621.955066086302</v>
      </c>
      <c r="AY211" s="27">
        <f t="shared" si="183"/>
        <v>-49848.905189413861</v>
      </c>
      <c r="AZ211" s="28">
        <f t="shared" si="183"/>
        <v>-48324.26</v>
      </c>
      <c r="BA211" s="241">
        <f t="shared" si="184"/>
        <v>-38018.253836855452</v>
      </c>
      <c r="BB211" s="27">
        <f t="shared" si="184"/>
        <v>-50417.221515006124</v>
      </c>
      <c r="BC211" s="28">
        <f t="shared" si="184"/>
        <v>-42672.800000000003</v>
      </c>
      <c r="BD211" s="241">
        <f t="shared" si="185"/>
        <v>-41804.667884046255</v>
      </c>
      <c r="BE211" s="27">
        <f t="shared" si="185"/>
        <v>-51398.888888584144</v>
      </c>
      <c r="BF211" s="28">
        <f t="shared" si="185"/>
        <v>-12000</v>
      </c>
      <c r="BG211" s="241">
        <f t="shared" si="186"/>
        <v>-52788.586559326832</v>
      </c>
      <c r="BH211" s="27">
        <f t="shared" si="186"/>
        <v>-51871.058146248703</v>
      </c>
      <c r="BI211" s="28">
        <f t="shared" si="186"/>
        <v>-12000</v>
      </c>
    </row>
    <row r="212" spans="1:61" s="29" customFormat="1" hidden="1" outlineLevel="2" x14ac:dyDescent="0.3">
      <c r="A212" s="22" t="s">
        <v>253</v>
      </c>
      <c r="B212" s="2"/>
      <c r="C212" s="24"/>
      <c r="D212" s="55"/>
      <c r="E212" s="101"/>
      <c r="F212" s="41"/>
      <c r="G212" s="33"/>
      <c r="H212" s="241">
        <v>0</v>
      </c>
      <c r="I212" s="27"/>
      <c r="J212" s="28">
        <f>SUMIFS(Aut_BlueMe_Sem_Pedido!$J:$J,Aut_BlueMe_Sem_Pedido!$Q:$Q,DRE!H$4,Aut_BlueMe_Sem_Pedido!$H:$H,DRE!$A212)+SUMIFS(Aut_Ajustes_Manuais!$G:$G,Aut_Ajustes_Manuais!$I:$I,DRE!H$4,Aut_Ajustes_Manuais!$F:$F,"  -  Pro Labore")</f>
        <v>0</v>
      </c>
      <c r="K212" s="241">
        <v>0</v>
      </c>
      <c r="L212" s="27"/>
      <c r="M212" s="28">
        <f>SUMIFS(Aut_BlueMe_Sem_Pedido!$J:$J,Aut_BlueMe_Sem_Pedido!$Q:$Q,DRE!K$4,Aut_BlueMe_Sem_Pedido!$H:$H,DRE!$A212)+SUMIFS(Aut_Ajustes_Manuais!$G:$G,Aut_Ajustes_Manuais!$I:$I,DRE!K$4,Aut_Ajustes_Manuais!$F:$F,"  -  Pro Labore")</f>
        <v>0</v>
      </c>
      <c r="N212" s="241">
        <v>0</v>
      </c>
      <c r="O212" s="27"/>
      <c r="P212" s="28">
        <f>SUMIFS(Aut_BlueMe_Sem_Pedido!$J:$J,Aut_BlueMe_Sem_Pedido!$Q:$Q,DRE!N$4,Aut_BlueMe_Sem_Pedido!$H:$H,DRE!$A212)+SUMIFS(Aut_Ajustes_Manuais!$G:$G,Aut_Ajustes_Manuais!$I:$I,DRE!N$4,Aut_Ajustes_Manuais!$F:$F,"  -  Pro Labore")</f>
        <v>0</v>
      </c>
      <c r="Q212" s="241">
        <v>0</v>
      </c>
      <c r="R212" s="27"/>
      <c r="S212" s="28">
        <f>SUMIFS(Aut_BlueMe_Sem_Pedido!$J:$J,Aut_BlueMe_Sem_Pedido!$Q:$Q,DRE!Q$4,Aut_BlueMe_Sem_Pedido!$H:$H,DRE!$A212)+SUMIFS(Aut_Ajustes_Manuais!$G:$G,Aut_Ajustes_Manuais!$I:$I,DRE!Q$4,Aut_Ajustes_Manuais!$F:$F,"  -  Pro Labore")</f>
        <v>0</v>
      </c>
      <c r="T212" s="241">
        <v>0</v>
      </c>
      <c r="U212" s="27"/>
      <c r="V212" s="28">
        <f>SUMIFS(Aut_BlueMe_Sem_Pedido!$J:$J,Aut_BlueMe_Sem_Pedido!$Q:$Q,DRE!T$4,Aut_BlueMe_Sem_Pedido!$H:$H,DRE!$A212)+SUMIFS(Aut_Ajustes_Manuais!$G:$G,Aut_Ajustes_Manuais!$I:$I,DRE!T$4,Aut_Ajustes_Manuais!$F:$F,"  -  Pro Labore")</f>
        <v>0</v>
      </c>
      <c r="W212" s="241">
        <v>0</v>
      </c>
      <c r="X212" s="27"/>
      <c r="Y212" s="28">
        <f>SUMIFS(Aut_BlueMe_Sem_Pedido!$J:$J,Aut_BlueMe_Sem_Pedido!$Q:$Q,DRE!W$4,Aut_BlueMe_Sem_Pedido!$H:$H,DRE!$A212)+SUMIFS(Aut_Ajustes_Manuais!$G:$G,Aut_Ajustes_Manuais!$I:$I,DRE!W$4,Aut_Ajustes_Manuais!$F:$F,"  -  Pro Labore")</f>
        <v>0</v>
      </c>
      <c r="Z212" s="241">
        <v>0</v>
      </c>
      <c r="AA212" s="27"/>
      <c r="AB212" s="28">
        <f>SUMIFS(Aut_BlueMe_Sem_Pedido!$J:$J,Aut_BlueMe_Sem_Pedido!$Q:$Q,DRE!Z$4,Aut_BlueMe_Sem_Pedido!$H:$H,DRE!$A212)+SUMIFS(Aut_Ajustes_Manuais!$G:$G,Aut_Ajustes_Manuais!$I:$I,DRE!Z$4,Aut_Ajustes_Manuais!$F:$F,"  -  Pro Labore")</f>
        <v>0</v>
      </c>
      <c r="AC212" s="241">
        <v>0</v>
      </c>
      <c r="AD212" s="27"/>
      <c r="AE212" s="28">
        <f>SUMIFS(Aut_BlueMe_Sem_Pedido!$J:$J,Aut_BlueMe_Sem_Pedido!$Q:$Q,DRE!AC$4,Aut_BlueMe_Sem_Pedido!$H:$H,DRE!$A212)+SUMIFS(Aut_Ajustes_Manuais!$G:$G,Aut_Ajustes_Manuais!$I:$I,DRE!AC$4,Aut_Ajustes_Manuais!$F:$F,"  -  Pro Labore")</f>
        <v>0</v>
      </c>
      <c r="AF212" s="241">
        <v>0</v>
      </c>
      <c r="AG212" s="27"/>
      <c r="AH212" s="28">
        <f>SUMIFS(Aut_BlueMe_Sem_Pedido!$J:$J,Aut_BlueMe_Sem_Pedido!$Q:$Q,DRE!AF$4,Aut_BlueMe_Sem_Pedido!$H:$H,DRE!$A212)+SUMIFS(Aut_Ajustes_Manuais!$G:$G,Aut_Ajustes_Manuais!$I:$I,DRE!AF$4,Aut_Ajustes_Manuais!$F:$F,"  -  Pro Labore")</f>
        <v>0</v>
      </c>
      <c r="AI212" s="241">
        <v>0</v>
      </c>
      <c r="AJ212" s="27"/>
      <c r="AK212" s="28">
        <f>SUMIFS(Aut_BlueMe_Sem_Pedido!$J:$J,Aut_BlueMe_Sem_Pedido!$Q:$Q,DRE!AI$4,Aut_BlueMe_Sem_Pedido!$H:$H,DRE!$A212)+SUMIFS(Aut_Ajustes_Manuais!$G:$G,Aut_Ajustes_Manuais!$I:$I,DRE!AI$4,Aut_Ajustes_Manuais!$F:$F,"  -  Pro Labore")</f>
        <v>0</v>
      </c>
      <c r="AL212" s="241">
        <v>0</v>
      </c>
      <c r="AM212" s="27"/>
      <c r="AN212" s="28">
        <f>SUMIFS(Aut_BlueMe_Sem_Pedido!$J:$J,Aut_BlueMe_Sem_Pedido!$Q:$Q,DRE!AL$4,Aut_BlueMe_Sem_Pedido!$H:$H,DRE!$A212)+SUMIFS(Aut_Ajustes_Manuais!$G:$G,Aut_Ajustes_Manuais!$I:$I,DRE!AL$4,Aut_Ajustes_Manuais!$F:$F,"  -  Pro Labore")</f>
        <v>0</v>
      </c>
      <c r="AO212" s="241">
        <v>0</v>
      </c>
      <c r="AP212" s="27"/>
      <c r="AQ212" s="28">
        <f>SUMIFS(Aut_BlueMe_Sem_Pedido!$J:$J,Aut_BlueMe_Sem_Pedido!$Q:$Q,DRE!AO$4,Aut_BlueMe_Sem_Pedido!$H:$H,DRE!$A212)+SUMIFS(Aut_Ajustes_Manuais!$G:$G,Aut_Ajustes_Manuais!$I:$I,DRE!AO$4,Aut_Ajustes_Manuais!$F:$F,"  -  Pro Labore")</f>
        <v>0</v>
      </c>
      <c r="AR212" s="241">
        <f t="shared" ca="1" si="178"/>
        <v>0</v>
      </c>
      <c r="AS212" s="27">
        <f t="shared" ca="1" si="179"/>
        <v>0</v>
      </c>
      <c r="AT212" s="28">
        <f t="shared" ca="1" si="180"/>
        <v>0</v>
      </c>
      <c r="AU212" s="241">
        <f t="shared" si="182"/>
        <v>0</v>
      </c>
      <c r="AV212" s="27">
        <f t="shared" si="182"/>
        <v>0</v>
      </c>
      <c r="AW212" s="28">
        <f t="shared" si="182"/>
        <v>0</v>
      </c>
      <c r="AX212" s="241">
        <f t="shared" si="183"/>
        <v>0</v>
      </c>
      <c r="AY212" s="27">
        <f t="shared" si="183"/>
        <v>0</v>
      </c>
      <c r="AZ212" s="28">
        <f t="shared" si="183"/>
        <v>0</v>
      </c>
      <c r="BA212" s="241">
        <f t="shared" si="184"/>
        <v>0</v>
      </c>
      <c r="BB212" s="27">
        <f t="shared" si="184"/>
        <v>0</v>
      </c>
      <c r="BC212" s="28">
        <f t="shared" si="184"/>
        <v>0</v>
      </c>
      <c r="BD212" s="241">
        <f t="shared" si="185"/>
        <v>0</v>
      </c>
      <c r="BE212" s="27">
        <f t="shared" si="185"/>
        <v>0</v>
      </c>
      <c r="BF212" s="28">
        <f t="shared" si="185"/>
        <v>0</v>
      </c>
      <c r="BG212" s="241">
        <f t="shared" si="186"/>
        <v>0</v>
      </c>
      <c r="BH212" s="27">
        <f t="shared" si="186"/>
        <v>0</v>
      </c>
      <c r="BI212" s="28">
        <f t="shared" si="186"/>
        <v>0</v>
      </c>
    </row>
    <row r="213" spans="1:61" collapsed="1" x14ac:dyDescent="0.3">
      <c r="A213" s="71" t="s">
        <v>254</v>
      </c>
      <c r="B213" s="59"/>
      <c r="C213" s="24"/>
      <c r="D213" s="55"/>
      <c r="E213" s="87"/>
      <c r="F213" s="63"/>
      <c r="G213" s="59"/>
      <c r="H213" s="245">
        <v>-0.38062525292140842</v>
      </c>
      <c r="I213" s="50">
        <v>-0.32238340414918809</v>
      </c>
      <c r="J213" s="51">
        <f>IFERROR(J106/J8,0)+SUMIFS(Aut_Ajustes_Manuais!$G:$G,Aut_Ajustes_Manuais!$I:$I,DRE!H$4,Aut_Ajustes_Manuais!$F:$F,"% sobre Receita c/ Squad")</f>
        <v>-0.28461686011726828</v>
      </c>
      <c r="K213" s="245">
        <v>-0.36760793022442512</v>
      </c>
      <c r="L213" s="50">
        <v>-0.29723786175556172</v>
      </c>
      <c r="M213" s="51">
        <f>IFERROR(M106/M8,0)+SUMIFS(Aut_Ajustes_Manuais!$G:$G,Aut_Ajustes_Manuais!$I:$I,DRE!K$4,Aut_Ajustes_Manuais!$F:$F,"% sobre Receita c/ Squad")</f>
        <v>-0.24580940807811039</v>
      </c>
      <c r="N213" s="245">
        <v>-0.29626735329783171</v>
      </c>
      <c r="O213" s="50">
        <v>-0.24737069786443</v>
      </c>
      <c r="P213" s="51">
        <f>IFERROR(P106/P8,0)+SUMIFS(Aut_Ajustes_Manuais!$G:$G,Aut_Ajustes_Manuais!$I:$I,DRE!N$4,Aut_Ajustes_Manuais!$F:$F,"% sobre Receita c/ Squad")</f>
        <v>-0.20462457228005068</v>
      </c>
      <c r="Q213" s="245">
        <v>-0.26820558380514792</v>
      </c>
      <c r="R213" s="50">
        <v>-0.25882508875365318</v>
      </c>
      <c r="S213" s="51">
        <f>IFERROR(S106/S8,0)+SUMIFS(Aut_Ajustes_Manuais!$G:$G,Aut_Ajustes_Manuais!$I:$I,DRE!Q$4,Aut_Ajustes_Manuais!$F:$F,"% sobre Receita c/ Squad")</f>
        <v>-0.25796879204001733</v>
      </c>
      <c r="T213" s="245">
        <v>-0.32643839975857752</v>
      </c>
      <c r="U213" s="50">
        <v>-0.26484940923432732</v>
      </c>
      <c r="V213" s="51">
        <f>IFERROR(V106/V8,0)+SUMIFS(Aut_Ajustes_Manuais!$G:$G,Aut_Ajustes_Manuais!$I:$I,DRE!T$4,Aut_Ajustes_Manuais!$F:$F,"% sobre Receita c/ Squad")</f>
        <v>-0.26226606612468334</v>
      </c>
      <c r="W213" s="245">
        <v>-0.29833548292898371</v>
      </c>
      <c r="X213" s="50">
        <v>-0.28173829237696979</v>
      </c>
      <c r="Y213" s="51">
        <f>IFERROR(Y106/Y8,0)+SUMIFS(Aut_Ajustes_Manuais!$G:$G,Aut_Ajustes_Manuais!$I:$I,DRE!W$4,Aut_Ajustes_Manuais!$F:$F,"% sobre Receita c/ Squad")</f>
        <v>-0.23500682441243828</v>
      </c>
      <c r="Z213" s="245">
        <v>-0.26908094915967451</v>
      </c>
      <c r="AA213" s="50">
        <v>-0.22498705657503079</v>
      </c>
      <c r="AB213" s="51">
        <f>IFERROR(AB106/AB8,0)+SUMIFS(Aut_Ajustes_Manuais!$G:$G,Aut_Ajustes_Manuais!$I:$I,DRE!Z$4,Aut_Ajustes_Manuais!$F:$F,"% sobre Receita c/ Squad")</f>
        <v>-1.1799909269499076</v>
      </c>
      <c r="AC213" s="245">
        <v>-0.26257726030239681</v>
      </c>
      <c r="AD213" s="50">
        <v>-0.2356539911655875</v>
      </c>
      <c r="AE213" s="51">
        <f>IFERROR(AE106/AE8,0)+SUMIFS(Aut_Ajustes_Manuais!$G:$G,Aut_Ajustes_Manuais!$I:$I,DRE!AC$4,Aut_Ajustes_Manuais!$F:$F,"% sobre Receita c/ Squad")</f>
        <v>-54.020359522222215</v>
      </c>
      <c r="AF213" s="245">
        <v>-0.33498997028383048</v>
      </c>
      <c r="AG213" s="50">
        <v>-0.25948778252592369</v>
      </c>
      <c r="AH213" s="51">
        <f>IFERROR(AH106/AH8,0)+SUMIFS(Aut_Ajustes_Manuais!$G:$G,Aut_Ajustes_Manuais!$I:$I,DRE!AF$4,Aut_Ajustes_Manuais!$F:$F,"% sobre Receita c/ Squad")</f>
        <v>0</v>
      </c>
      <c r="AI213" s="245">
        <v>-0.32265405611876169</v>
      </c>
      <c r="AJ213" s="50">
        <v>-0.25238411153175572</v>
      </c>
      <c r="AK213" s="51">
        <f>IFERROR(AK106/AK8,0)+SUMIFS(Aut_Ajustes_Manuais!$G:$G,Aut_Ajustes_Manuais!$I:$I,DRE!AI$4,Aut_Ajustes_Manuais!$F:$F,"% sobre Receita c/ Squad")</f>
        <v>0</v>
      </c>
      <c r="AL213" s="245">
        <v>-0.29047184437922768</v>
      </c>
      <c r="AM213" s="50">
        <v>-0.23716550079381571</v>
      </c>
      <c r="AN213" s="51">
        <f>IFERROR(AN106/AN8,0)+SUMIFS(Aut_Ajustes_Manuais!$G:$G,Aut_Ajustes_Manuais!$I:$I,DRE!AL$4,Aut_Ajustes_Manuais!$F:$F,"% sobre Receita c/ Squad")</f>
        <v>-32.344767376119407</v>
      </c>
      <c r="AO213" s="245">
        <v>-0.1919595333708726</v>
      </c>
      <c r="AP213" s="50">
        <v>-0.1943223293732943</v>
      </c>
      <c r="AQ213" s="51">
        <f>IFERROR(AQ106/AQ8,0)+SUMIFS(Aut_Ajustes_Manuais!$G:$G,Aut_Ajustes_Manuais!$I:$I,DRE!AO$4,Aut_Ajustes_Manuais!$F:$F,"% sobre Receita c/ Squad")</f>
        <v>0</v>
      </c>
      <c r="AR213" s="245">
        <f t="shared" ref="AR213:BI213" ca="1" si="187">IFERROR(AR106/AR8,0)</f>
        <v>-0.31806909183231752</v>
      </c>
      <c r="AS213" s="50">
        <f t="shared" ca="1" si="187"/>
        <v>-0.27597916138755696</v>
      </c>
      <c r="AT213" s="51">
        <f t="shared" ca="1" si="187"/>
        <v>-0.24595480144277174</v>
      </c>
      <c r="AU213" s="245">
        <f t="shared" si="187"/>
        <v>-0.28938784681410762</v>
      </c>
      <c r="AV213" s="50">
        <f t="shared" si="187"/>
        <v>-0.2513742550787077</v>
      </c>
      <c r="AW213" s="51">
        <f t="shared" si="187"/>
        <v>-0.5357358357471963</v>
      </c>
      <c r="AX213" s="245">
        <f t="shared" si="187"/>
        <v>-0.34192687158821317</v>
      </c>
      <c r="AY213" s="50">
        <f t="shared" si="187"/>
        <v>-0.28460286728068385</v>
      </c>
      <c r="AZ213" s="51">
        <f t="shared" si="187"/>
        <v>-0.24038552705609872</v>
      </c>
      <c r="BA213" s="245">
        <f t="shared" si="187"/>
        <v>-0.2976683403988829</v>
      </c>
      <c r="BB213" s="50">
        <f t="shared" si="187"/>
        <v>-0.2681203725235497</v>
      </c>
      <c r="BC213" s="51">
        <f t="shared" si="187"/>
        <v>-0.25157481915602831</v>
      </c>
      <c r="BD213" s="245">
        <f t="shared" si="187"/>
        <v>-0.28644526461204473</v>
      </c>
      <c r="BE213" s="50">
        <f t="shared" si="187"/>
        <v>-0.23902987063402067</v>
      </c>
      <c r="BF213" s="51">
        <f t="shared" si="187"/>
        <v>-3.1905854218710497</v>
      </c>
      <c r="BG213" s="245">
        <f t="shared" si="187"/>
        <v>-0.25224467395750821</v>
      </c>
      <c r="BH213" s="50">
        <f t="shared" si="187"/>
        <v>-0.22464712607902532</v>
      </c>
      <c r="BI213" s="51">
        <f t="shared" si="187"/>
        <v>-98.31515536218906</v>
      </c>
    </row>
    <row r="214" spans="1:61" x14ac:dyDescent="0.3">
      <c r="A214" s="71" t="s">
        <v>255</v>
      </c>
      <c r="B214" s="59"/>
      <c r="C214" s="24"/>
      <c r="D214" s="55"/>
      <c r="E214" s="87"/>
      <c r="F214" s="63"/>
      <c r="G214" s="59"/>
      <c r="H214" s="245">
        <v>-0.2694373687205085</v>
      </c>
      <c r="I214" s="50">
        <v>-0.32238340414918809</v>
      </c>
      <c r="J214" s="51">
        <f>IFERROR((J106-J108)/J8,0)+SUMIFS(Aut_Ajustes_Manuais!$G:$G,Aut_Ajustes_Manuais!$I:$I,DRE!H$4,Aut_Ajustes_Manuais!$F:$F,"% sobre Receita s/ Squad")</f>
        <v>-0.28461686011726828</v>
      </c>
      <c r="K214" s="245">
        <v>-0.25545351644950431</v>
      </c>
      <c r="L214" s="50">
        <v>-0.29723786175556172</v>
      </c>
      <c r="M214" s="51">
        <f>IFERROR((M106-M108)/M8,0)+SUMIFS(Aut_Ajustes_Manuais!$G:$G,Aut_Ajustes_Manuais!$I:$I,DRE!K$4,Aut_Ajustes_Manuais!$F:$F,"% sobre Receita s/ Squad")</f>
        <v>-0.24580940807811039</v>
      </c>
      <c r="N214" s="245">
        <v>-0.1866654612763757</v>
      </c>
      <c r="O214" s="50">
        <v>-0.24737069786443</v>
      </c>
      <c r="P214" s="51">
        <f>IFERROR((P106-P108)/P8,0)+SUMIFS(Aut_Ajustes_Manuais!$G:$G,Aut_Ajustes_Manuais!$I:$I,DRE!N$4,Aut_Ajustes_Manuais!$F:$F,"% sobre Receita s/ Squad")</f>
        <v>-0.20462457228005068</v>
      </c>
      <c r="Q214" s="245">
        <v>-0.1886514203920524</v>
      </c>
      <c r="R214" s="50">
        <v>-0.25882508875365318</v>
      </c>
      <c r="S214" s="51">
        <f>IFERROR((S106-S108)/S8,0)+SUMIFS(Aut_Ajustes_Manuais!$G:$G,Aut_Ajustes_Manuais!$I:$I,DRE!Q$4,Aut_Ajustes_Manuais!$F:$F,"% sobre Receita s/ Squad")</f>
        <v>-0.25796879204001733</v>
      </c>
      <c r="T214" s="245">
        <v>-0.2369032975948949</v>
      </c>
      <c r="U214" s="50">
        <v>-0.26484940923432732</v>
      </c>
      <c r="V214" s="51">
        <f>IFERROR((V106-V108)/V8,0)+SUMIFS(Aut_Ajustes_Manuais!$G:$G,Aut_Ajustes_Manuais!$I:$I,DRE!T$4,Aut_Ajustes_Manuais!$F:$F,"% sobre Receita s/ Squad")</f>
        <v>-0.26226606612468334</v>
      </c>
      <c r="W214" s="245">
        <v>-0.2054450497951511</v>
      </c>
      <c r="X214" s="50">
        <v>-0.28173829237696979</v>
      </c>
      <c r="Y214" s="51">
        <f>IFERROR((Y106-Y108)/Y8,0)+SUMIFS(Aut_Ajustes_Manuais!$G:$G,Aut_Ajustes_Manuais!$I:$I,DRE!W$4,Aut_Ajustes_Manuais!$F:$F,"% sobre Receita s/ Squad")</f>
        <v>-0.23500682441243828</v>
      </c>
      <c r="Z214" s="245">
        <v>-0.20123420207346679</v>
      </c>
      <c r="AA214" s="50">
        <v>-0.22498705657503079</v>
      </c>
      <c r="AB214" s="51">
        <f>IFERROR((AB106-AB108)/AB8,0)+SUMIFS(Aut_Ajustes_Manuais!$G:$G,Aut_Ajustes_Manuais!$I:$I,DRE!Z$4,Aut_Ajustes_Manuais!$F:$F,"% sobre Receita s/ Squad")</f>
        <v>-1.1799909269499076</v>
      </c>
      <c r="AC214" s="245">
        <v>-0.18623727168219109</v>
      </c>
      <c r="AD214" s="50">
        <v>-0.2356539911655875</v>
      </c>
      <c r="AE214" s="51">
        <f>IFERROR((AE106-AE108)/AE8,0)+SUMIFS(Aut_Ajustes_Manuais!$G:$G,Aut_Ajustes_Manuais!$I:$I,DRE!AC$4,Aut_Ajustes_Manuais!$F:$F,"% sobre Receita s/ Squad")</f>
        <v>-54.020359522222215</v>
      </c>
      <c r="AF214" s="245">
        <v>-0.25084472927332291</v>
      </c>
      <c r="AG214" s="50">
        <v>-0.25948778252592369</v>
      </c>
      <c r="AH214" s="51">
        <f>IFERROR((AH106-AH108)/AH8,0)+SUMIFS(Aut_Ajustes_Manuais!$G:$G,Aut_Ajustes_Manuais!$I:$I,DRE!AF$4,Aut_Ajustes_Manuais!$F:$F,"% sobre Receita s/ Squad")</f>
        <v>0</v>
      </c>
      <c r="AI214" s="245">
        <v>-0.2358420484198992</v>
      </c>
      <c r="AJ214" s="50">
        <v>-0.25238411153175572</v>
      </c>
      <c r="AK214" s="51">
        <f>IFERROR((AK106-AK108)/AK8,0)+SUMIFS(Aut_Ajustes_Manuais!$G:$G,Aut_Ajustes_Manuais!$I:$I,DRE!AI$4,Aut_Ajustes_Manuais!$F:$F,"% sobre Receita s/ Squad")</f>
        <v>0</v>
      </c>
      <c r="AL214" s="245">
        <v>-0.21764342748398169</v>
      </c>
      <c r="AM214" s="50">
        <v>-0.23716550079381571</v>
      </c>
      <c r="AN214" s="51">
        <f>IFERROR((AN106-AN108)/AN8,0)+SUMIFS(Aut_Ajustes_Manuais!$G:$G,Aut_Ajustes_Manuais!$I:$I,DRE!AL$4,Aut_Ajustes_Manuais!$F:$F,"% sobre Receita s/ Squad")</f>
        <v>-32.344767376119407</v>
      </c>
      <c r="AO214" s="245">
        <v>-0.14511802515803601</v>
      </c>
      <c r="AP214" s="50">
        <v>-0.1943223293732943</v>
      </c>
      <c r="AQ214" s="51">
        <f>IFERROR((AQ106-AQ108)/AQ8,0)+SUMIFS(Aut_Ajustes_Manuais!$G:$G,Aut_Ajustes_Manuais!$I:$I,DRE!AO$4,Aut_Ajustes_Manuais!$F:$F,"% sobre Receita s/ Squad")</f>
        <v>0</v>
      </c>
      <c r="AR214" s="245">
        <f t="shared" ref="AR214:BH214" ca="1" si="188">IFERROR((AR106-AR108)/AR8,0)</f>
        <v>-0.30623571176256587</v>
      </c>
      <c r="AS214" s="50">
        <f t="shared" ca="1" si="188"/>
        <v>-0.27597916138755696</v>
      </c>
      <c r="AT214" s="51">
        <f t="shared" ca="1" si="188"/>
        <v>-0.24595480144277174</v>
      </c>
      <c r="AU214" s="245">
        <f t="shared" si="188"/>
        <v>-0.28430146223988861</v>
      </c>
      <c r="AV214" s="50">
        <f t="shared" si="188"/>
        <v>-0.2513742550787077</v>
      </c>
      <c r="AW214" s="51">
        <f t="shared" si="188"/>
        <v>-0.5357358357471963</v>
      </c>
      <c r="AX214" s="245">
        <f t="shared" si="188"/>
        <v>-0.32964759950195693</v>
      </c>
      <c r="AY214" s="50">
        <f t="shared" si="188"/>
        <v>-0.28460286728068385</v>
      </c>
      <c r="AZ214" s="51">
        <f t="shared" si="188"/>
        <v>-0.24038552705609872</v>
      </c>
      <c r="BA214" s="245">
        <f t="shared" si="188"/>
        <v>-0.28621624191894951</v>
      </c>
      <c r="BB214" s="50">
        <f t="shared" si="188"/>
        <v>-0.2681203725235497</v>
      </c>
      <c r="BC214" s="51">
        <f t="shared" si="188"/>
        <v>-0.25157481915602831</v>
      </c>
      <c r="BD214" s="245">
        <f t="shared" si="188"/>
        <v>-0.28644526461204473</v>
      </c>
      <c r="BE214" s="50">
        <f t="shared" si="188"/>
        <v>-0.23902987063402067</v>
      </c>
      <c r="BF214" s="51">
        <f t="shared" si="188"/>
        <v>-3.1905854218710497</v>
      </c>
      <c r="BG214" s="245">
        <f t="shared" si="188"/>
        <v>-0.25224467395750821</v>
      </c>
      <c r="BH214" s="50">
        <f t="shared" si="188"/>
        <v>-0.22464712607902532</v>
      </c>
      <c r="BI214" s="51"/>
    </row>
    <row r="215" spans="1:61" x14ac:dyDescent="0.3">
      <c r="A215" s="18"/>
      <c r="E215" s="16"/>
      <c r="F215" s="17"/>
      <c r="H215" s="259"/>
      <c r="I215" s="108"/>
      <c r="J215" s="260"/>
      <c r="K215" s="259"/>
      <c r="L215" s="108"/>
      <c r="M215" s="260"/>
      <c r="N215" s="259"/>
      <c r="O215" s="108"/>
      <c r="P215" s="260"/>
      <c r="Q215" s="259"/>
      <c r="R215" s="108"/>
      <c r="S215" s="260"/>
      <c r="T215" s="259"/>
      <c r="U215" s="108"/>
      <c r="V215" s="260"/>
      <c r="W215" s="259"/>
      <c r="X215" s="108"/>
      <c r="Y215" s="260"/>
      <c r="Z215" s="259"/>
      <c r="AA215" s="108"/>
      <c r="AB215" s="260"/>
      <c r="AC215" s="259"/>
      <c r="AD215" s="108"/>
      <c r="AE215" s="260"/>
      <c r="AF215" s="259"/>
      <c r="AG215" s="108"/>
      <c r="AH215" s="260"/>
      <c r="AI215" s="259"/>
      <c r="AJ215" s="108"/>
      <c r="AK215" s="260"/>
      <c r="AL215" s="259"/>
      <c r="AM215" s="108"/>
      <c r="AN215" s="260"/>
      <c r="AO215" s="259"/>
      <c r="AP215" s="108"/>
      <c r="AQ215" s="260"/>
      <c r="AR215" s="259"/>
      <c r="AS215" s="108"/>
      <c r="AT215" s="260"/>
      <c r="AU215" s="259"/>
      <c r="AV215" s="108"/>
      <c r="AW215" s="260"/>
      <c r="AX215" s="259"/>
      <c r="AY215" s="108"/>
      <c r="AZ215" s="260"/>
      <c r="BA215" s="259"/>
      <c r="BB215" s="108"/>
      <c r="BC215" s="260"/>
      <c r="BD215" s="259"/>
      <c r="BE215" s="108"/>
      <c r="BF215" s="260"/>
      <c r="BG215" s="259"/>
      <c r="BH215" s="108"/>
      <c r="BI215" s="260"/>
    </row>
    <row r="216" spans="1:61" x14ac:dyDescent="0.3">
      <c r="A216" s="39" t="s">
        <v>256</v>
      </c>
      <c r="C216" s="40" t="s">
        <v>35</v>
      </c>
      <c r="D216" s="40" t="s">
        <v>36</v>
      </c>
      <c r="E216" s="40" t="s">
        <v>202</v>
      </c>
      <c r="F216" s="41"/>
      <c r="H216" s="244">
        <v>-53049.866666666661</v>
      </c>
      <c r="I216" s="42">
        <v>-54586.993666666669</v>
      </c>
      <c r="J216" s="43">
        <f>SUM(J217:J223)+SUMIFS(Aut_Ajustes_Manuais!$G:$G,Aut_Ajustes_Manuais!$I:$I,DRE!H$4,Aut_Ajustes_Manuais!$F:$F,"Custo de Ocupação")</f>
        <v>-53525.23</v>
      </c>
      <c r="K216" s="244">
        <v>-54515.216666666667</v>
      </c>
      <c r="L216" s="42">
        <v>-54300.01666666667</v>
      </c>
      <c r="M216" s="43">
        <f>SUM(M217:M223)+SUMIFS(Aut_Ajustes_Manuais!$G:$G,Aut_Ajustes_Manuais!$I:$I,DRE!K$4,Aut_Ajustes_Manuais!$F:$F,"Custo de Ocupação")</f>
        <v>-54857.880000000005</v>
      </c>
      <c r="N216" s="244">
        <v>-51438.166666666657</v>
      </c>
      <c r="O216" s="42">
        <v>-54300.01666666667</v>
      </c>
      <c r="P216" s="43">
        <f>SUM(P217:P223)+SUMIFS(Aut_Ajustes_Manuais!$G:$G,Aut_Ajustes_Manuais!$I:$I,DRE!N$4,Aut_Ajustes_Manuais!$F:$F,"Custo de Ocupação")</f>
        <v>-54787.880000000005</v>
      </c>
      <c r="Q216" s="244">
        <v>-51438.166666666657</v>
      </c>
      <c r="R216" s="42">
        <v>-54300.01666666667</v>
      </c>
      <c r="S216" s="43">
        <f>SUM(S217:S223)+SUMIFS(Aut_Ajustes_Manuais!$G:$G,Aut_Ajustes_Manuais!$I:$I,DRE!Q$4,Aut_Ajustes_Manuais!$F:$F,"Custo de Ocupação")</f>
        <v>-54787.880000000005</v>
      </c>
      <c r="T216" s="244">
        <v>-51438.166666666657</v>
      </c>
      <c r="U216" s="42">
        <v>-54300.01666666667</v>
      </c>
      <c r="V216" s="43">
        <f>SUM(V217:V223)+SUMIFS(Aut_Ajustes_Manuais!$G:$G,Aut_Ajustes_Manuais!$I:$I,DRE!T$4,Aut_Ajustes_Manuais!$F:$F,"Custo de Ocupação")</f>
        <v>-54787.880000000005</v>
      </c>
      <c r="W216" s="244">
        <v>-51664.846666666657</v>
      </c>
      <c r="X216" s="42">
        <v>-54520.571266666673</v>
      </c>
      <c r="Y216" s="43">
        <f>SUM(Y217:Y223)+SUMIFS(Aut_Ajustes_Manuais!$G:$G,Aut_Ajustes_Manuais!$I:$I,DRE!W$4,Aut_Ajustes_Manuais!$F:$F,"Custo de Ocupação")</f>
        <v>-55260.58</v>
      </c>
      <c r="Z216" s="244">
        <v>-51438.166666666657</v>
      </c>
      <c r="AA216" s="42">
        <v>-54300.01666666667</v>
      </c>
      <c r="AB216" s="43">
        <f>SUM(AB217:AB223)+SUMIFS(Aut_Ajustes_Manuais!$G:$G,Aut_Ajustes_Manuais!$I:$I,DRE!Z$4,Aut_Ajustes_Manuais!$F:$F,"Custo de Ocupação")</f>
        <v>-47850.33</v>
      </c>
      <c r="AC216" s="244">
        <v>-51719.516666666663</v>
      </c>
      <c r="AD216" s="42">
        <v>-54586.993666666669</v>
      </c>
      <c r="AE216" s="43">
        <f>SUM(AE217:AE223)+SUMIFS(Aut_Ajustes_Manuais!$G:$G,Aut_Ajustes_Manuais!$I:$I,DRE!AC$4,Aut_Ajustes_Manuais!$F:$F,"Custo de Ocupação")</f>
        <v>-47850.33</v>
      </c>
      <c r="AF216" s="244">
        <v>-51719.516666666663</v>
      </c>
      <c r="AG216" s="42">
        <v>-54586.993666666669</v>
      </c>
      <c r="AH216" s="43">
        <f>SUM(AH217:AH223)+SUMIFS(Aut_Ajustes_Manuais!$G:$G,Aut_Ajustes_Manuais!$I:$I,DRE!AF$4,Aut_Ajustes_Manuais!$F:$F,"Custo de Ocupação")</f>
        <v>-47850.33</v>
      </c>
      <c r="AI216" s="244">
        <v>-51719.516666666663</v>
      </c>
      <c r="AJ216" s="42">
        <v>-54586.993666666669</v>
      </c>
      <c r="AK216" s="43">
        <f>SUM(AK217:AK223)+SUMIFS(Aut_Ajustes_Manuais!$G:$G,Aut_Ajustes_Manuais!$I:$I,DRE!AI$4,Aut_Ajustes_Manuais!$F:$F,"Custo de Ocupação")</f>
        <v>-47850.33</v>
      </c>
      <c r="AL216" s="244">
        <v>-51719.516666666663</v>
      </c>
      <c r="AM216" s="42">
        <v>-54586.993666666669</v>
      </c>
      <c r="AN216" s="43">
        <f>SUM(AN217:AN223)+SUMIFS(Aut_Ajustes_Manuais!$G:$G,Aut_Ajustes_Manuais!$I:$I,DRE!AL$4,Aut_Ajustes_Manuais!$F:$F,"Custo de Ocupação")</f>
        <v>-47850.33</v>
      </c>
      <c r="AO216" s="244">
        <v>-51719.516666666663</v>
      </c>
      <c r="AP216" s="42">
        <v>-54586.993666666669</v>
      </c>
      <c r="AQ216" s="43">
        <f>SUM(AQ217:AQ223)+SUMIFS(Aut_Ajustes_Manuais!$G:$G,Aut_Ajustes_Manuais!$I:$I,DRE!AO$4,Aut_Ajustes_Manuais!$F:$F,"Custo de Ocupação")</f>
        <v>-47850.33</v>
      </c>
      <c r="AR216" s="244">
        <f t="shared" ref="AR216:BI216" ca="1" si="189">SUM(AR217:AR223)</f>
        <v>-313544.43</v>
      </c>
      <c r="AS216" s="42">
        <f t="shared" ca="1" si="189"/>
        <v>-326307.63160000008</v>
      </c>
      <c r="AT216" s="43">
        <f t="shared" ca="1" si="189"/>
        <v>-328007.32999999996</v>
      </c>
      <c r="AU216" s="244">
        <f t="shared" si="189"/>
        <v>-623580.18000000005</v>
      </c>
      <c r="AV216" s="42">
        <f t="shared" si="189"/>
        <v>-653542.61660000018</v>
      </c>
      <c r="AW216" s="43">
        <f t="shared" si="189"/>
        <v>-615109.30999999994</v>
      </c>
      <c r="AX216" s="244">
        <f t="shared" si="189"/>
        <v>-159003.25</v>
      </c>
      <c r="AY216" s="42">
        <f t="shared" si="189"/>
        <v>-163187.02700000006</v>
      </c>
      <c r="AZ216" s="43">
        <f t="shared" si="189"/>
        <v>-163170.99000000002</v>
      </c>
      <c r="BA216" s="244">
        <f t="shared" si="189"/>
        <v>-154541.18</v>
      </c>
      <c r="BB216" s="42">
        <f t="shared" si="189"/>
        <v>-163120.60460000005</v>
      </c>
      <c r="BC216" s="43">
        <f t="shared" si="189"/>
        <v>-164836.34000000003</v>
      </c>
      <c r="BD216" s="244">
        <f t="shared" si="189"/>
        <v>-154877.20000000001</v>
      </c>
      <c r="BE216" s="42">
        <f t="shared" si="189"/>
        <v>-163474.00400000004</v>
      </c>
      <c r="BF216" s="43">
        <f t="shared" si="189"/>
        <v>-143550.99</v>
      </c>
      <c r="BG216" s="244">
        <f t="shared" si="189"/>
        <v>-155158.54999999999</v>
      </c>
      <c r="BH216" s="42">
        <f t="shared" si="189"/>
        <v>-163760.98100000006</v>
      </c>
      <c r="BI216" s="43">
        <f t="shared" si="189"/>
        <v>-143550.99</v>
      </c>
    </row>
    <row r="217" spans="1:61" s="29" customFormat="1" hidden="1" outlineLevel="1" x14ac:dyDescent="0.3">
      <c r="A217" s="22" t="s">
        <v>257</v>
      </c>
      <c r="B217" s="2"/>
      <c r="C217" s="24" t="s">
        <v>67</v>
      </c>
      <c r="D217" s="109"/>
      <c r="E217" s="25"/>
      <c r="F217" s="41"/>
      <c r="G217" s="33"/>
      <c r="H217" s="241">
        <v>-50613.7</v>
      </c>
      <c r="I217" s="27">
        <v>-51452.100000000013</v>
      </c>
      <c r="J217" s="28">
        <f>SUMIFS(Aut_BlueMe_Sem_Pedido!$J:$J,Aut_BlueMe_Sem_Pedido!$Q:$Q,DRE!H$4,Aut_BlueMe_Sem_Pedido!$H:$H,DRE!$A217)+SUMIFS(Aut_Ajustes_Manuais!$G:$G,Aut_Ajustes_Manuais!$I:$I,DRE!H$4,Aut_Ajustes_Manuais!$F:$F,"Aluguel de Imoveis")</f>
        <v>-50395.55</v>
      </c>
      <c r="K217" s="241">
        <v>-52079.05</v>
      </c>
      <c r="L217" s="27">
        <v>-51452.100000000013</v>
      </c>
      <c r="M217" s="28">
        <f>SUMIFS(Aut_BlueMe_Sem_Pedido!$J:$J,Aut_BlueMe_Sem_Pedido!$Q:$Q,DRE!K$4,Aut_BlueMe_Sem_Pedido!$H:$H,DRE!$A217)+SUMIFS(Aut_Ajustes_Manuais!$G:$G,Aut_Ajustes_Manuais!$I:$I,DRE!K$4,Aut_Ajustes_Manuais!$F:$F,"Aluguel de Imoveis")</f>
        <v>-52009.55</v>
      </c>
      <c r="N217" s="241">
        <v>-49002</v>
      </c>
      <c r="O217" s="27">
        <v>-51452.100000000013</v>
      </c>
      <c r="P217" s="28">
        <f>SUMIFS(Aut_BlueMe_Sem_Pedido!$J:$J,Aut_BlueMe_Sem_Pedido!$Q:$Q,DRE!N$4,Aut_BlueMe_Sem_Pedido!$H:$H,DRE!$A217)+SUMIFS(Aut_Ajustes_Manuais!$G:$G,Aut_Ajustes_Manuais!$I:$I,DRE!N$4,Aut_Ajustes_Manuais!$F:$F,"Aluguel de Imoveis")</f>
        <v>-51939.55</v>
      </c>
      <c r="Q217" s="241">
        <v>-49002</v>
      </c>
      <c r="R217" s="27">
        <v>-51452.100000000013</v>
      </c>
      <c r="S217" s="28">
        <f>SUMIFS(Aut_BlueMe_Sem_Pedido!$J:$J,Aut_BlueMe_Sem_Pedido!$Q:$Q,DRE!Q$4,Aut_BlueMe_Sem_Pedido!$H:$H,DRE!$A217)+SUMIFS(Aut_Ajustes_Manuais!$G:$G,Aut_Ajustes_Manuais!$I:$I,DRE!Q$4,Aut_Ajustes_Manuais!$F:$F,"Aluguel de Imoveis")</f>
        <v>-51939.55</v>
      </c>
      <c r="T217" s="241">
        <v>-49002</v>
      </c>
      <c r="U217" s="27">
        <v>-51452.100000000013</v>
      </c>
      <c r="V217" s="28">
        <f>SUMIFS(Aut_BlueMe_Sem_Pedido!$J:$J,Aut_BlueMe_Sem_Pedido!$Q:$Q,DRE!T$4,Aut_BlueMe_Sem_Pedido!$H:$H,DRE!$A217)+SUMIFS(Aut_Ajustes_Manuais!$G:$G,Aut_Ajustes_Manuais!$I:$I,DRE!T$4,Aut_Ajustes_Manuais!$F:$F,"Aluguel de Imoveis")</f>
        <v>-51939.55</v>
      </c>
      <c r="W217" s="241">
        <v>-49002</v>
      </c>
      <c r="X217" s="27">
        <v>-51452.100000000013</v>
      </c>
      <c r="Y217" s="28">
        <f>SUMIFS(Aut_BlueMe_Sem_Pedido!$J:$J,Aut_BlueMe_Sem_Pedido!$Q:$Q,DRE!W$4,Aut_BlueMe_Sem_Pedido!$H:$H,DRE!$A217)+SUMIFS(Aut_Ajustes_Manuais!$G:$G,Aut_Ajustes_Manuais!$I:$I,DRE!W$4,Aut_Ajustes_Manuais!$F:$F,"Aluguel de Imoveis")</f>
        <v>-51939.55</v>
      </c>
      <c r="Z217" s="241">
        <v>-49002</v>
      </c>
      <c r="AA217" s="27">
        <v>-51452.100000000013</v>
      </c>
      <c r="AB217" s="28">
        <f>SUMIFS(Aut_BlueMe_Sem_Pedido!$J:$J,Aut_BlueMe_Sem_Pedido!$Q:$Q,DRE!Z$4,Aut_BlueMe_Sem_Pedido!$H:$H,DRE!$A217)+SUMIFS(Aut_Ajustes_Manuais!$G:$G,Aut_Ajustes_Manuais!$I:$I,DRE!Z$4,Aut_Ajustes_Manuais!$F:$F,"Aluguel de Imoveis")</f>
        <v>-45002</v>
      </c>
      <c r="AC217" s="241">
        <v>-49002</v>
      </c>
      <c r="AD217" s="27">
        <v>-51452.100000000013</v>
      </c>
      <c r="AE217" s="28">
        <f>SUMIFS(Aut_BlueMe_Sem_Pedido!$J:$J,Aut_BlueMe_Sem_Pedido!$Q:$Q,DRE!AC$4,Aut_BlueMe_Sem_Pedido!$H:$H,DRE!$A217)+SUMIFS(Aut_Ajustes_Manuais!$G:$G,Aut_Ajustes_Manuais!$I:$I,DRE!AC$4,Aut_Ajustes_Manuais!$F:$F,"Aluguel de Imoveis")</f>
        <v>-45002</v>
      </c>
      <c r="AF217" s="241">
        <v>-49002</v>
      </c>
      <c r="AG217" s="27">
        <v>-51452.100000000013</v>
      </c>
      <c r="AH217" s="28">
        <f>SUMIFS(Aut_BlueMe_Sem_Pedido!$J:$J,Aut_BlueMe_Sem_Pedido!$Q:$Q,DRE!AF$4,Aut_BlueMe_Sem_Pedido!$H:$H,DRE!$A217)+SUMIFS(Aut_Ajustes_Manuais!$G:$G,Aut_Ajustes_Manuais!$I:$I,DRE!AF$4,Aut_Ajustes_Manuais!$F:$F,"Aluguel de Imoveis")</f>
        <v>-45002</v>
      </c>
      <c r="AI217" s="241">
        <v>-49002</v>
      </c>
      <c r="AJ217" s="27">
        <v>-51452.100000000013</v>
      </c>
      <c r="AK217" s="28">
        <f>SUMIFS(Aut_BlueMe_Sem_Pedido!$J:$J,Aut_BlueMe_Sem_Pedido!$Q:$Q,DRE!AI$4,Aut_BlueMe_Sem_Pedido!$H:$H,DRE!$A217)+SUMIFS(Aut_Ajustes_Manuais!$G:$G,Aut_Ajustes_Manuais!$I:$I,DRE!AI$4,Aut_Ajustes_Manuais!$F:$F,"Aluguel de Imoveis")</f>
        <v>-45002</v>
      </c>
      <c r="AL217" s="241">
        <v>-49002</v>
      </c>
      <c r="AM217" s="27">
        <v>-51452.100000000013</v>
      </c>
      <c r="AN217" s="28">
        <f>SUMIFS(Aut_BlueMe_Sem_Pedido!$J:$J,Aut_BlueMe_Sem_Pedido!$Q:$Q,DRE!AL$4,Aut_BlueMe_Sem_Pedido!$H:$H,DRE!$A217)+SUMIFS(Aut_Ajustes_Manuais!$G:$G,Aut_Ajustes_Manuais!$I:$I,DRE!AL$4,Aut_Ajustes_Manuais!$F:$F,"Aluguel de Imoveis")</f>
        <v>-45002</v>
      </c>
      <c r="AO217" s="241">
        <v>-49002</v>
      </c>
      <c r="AP217" s="27">
        <v>-51452.100000000013</v>
      </c>
      <c r="AQ217" s="28">
        <f>SUMIFS(Aut_BlueMe_Sem_Pedido!$J:$J,Aut_BlueMe_Sem_Pedido!$Q:$Q,DRE!AO$4,Aut_BlueMe_Sem_Pedido!$H:$H,DRE!$A217)+SUMIFS(Aut_Ajustes_Manuais!$G:$G,Aut_Ajustes_Manuais!$I:$I,DRE!AO$4,Aut_Ajustes_Manuais!$F:$F,"Aluguel de Imoveis")</f>
        <v>-45002</v>
      </c>
      <c r="AR217" s="241">
        <f t="shared" ref="AR217:AR223" ca="1" si="190">SUMIFS($H217:$AO217,$H$5:$AO$5,"&lt;"&amp;MONTH(TODAY()),$H$6:$AO$6,"REAL 25")</f>
        <v>-298700.75</v>
      </c>
      <c r="AS217" s="27">
        <f t="shared" ref="AS217:AS223" ca="1" si="191">SUMIFS($I217:$AP217,$I$5:$AP$5,"&lt;"&amp;MONTH(TODAY()),$I$6:$AP$6,"ORÇADO ")</f>
        <v>-308712.60000000009</v>
      </c>
      <c r="AT217" s="28">
        <f t="shared" ref="AT217:AT223" ca="1" si="192">SUMIFS($J217:$AQ217,$J$5:$AQ$5,"&lt;"&amp;MONTH(TODAY()),$J$6:$AQ$6,"REAL 26")</f>
        <v>-310163.3</v>
      </c>
      <c r="AU217" s="241">
        <f t="shared" ref="AU217:AW223" si="193">SUM(H217,K217,N217,Q217,T217,W217,Z217,AC217,AF217,AI217,AL217,AO217)</f>
        <v>-592712.75</v>
      </c>
      <c r="AV217" s="27">
        <f t="shared" si="193"/>
        <v>-617425.20000000019</v>
      </c>
      <c r="AW217" s="28">
        <f t="shared" si="193"/>
        <v>-580175.30000000005</v>
      </c>
      <c r="AX217" s="241">
        <f t="shared" ref="AX217:AZ223" si="194">SUM(H217,K217,N217)</f>
        <v>-151694.75</v>
      </c>
      <c r="AY217" s="27">
        <f t="shared" si="194"/>
        <v>-154356.30000000005</v>
      </c>
      <c r="AZ217" s="28">
        <f t="shared" si="194"/>
        <v>-154344.65000000002</v>
      </c>
      <c r="BA217" s="241">
        <f t="shared" ref="BA217:BC223" si="195">SUM(Q217,T217,W217)</f>
        <v>-147006</v>
      </c>
      <c r="BB217" s="27">
        <f t="shared" si="195"/>
        <v>-154356.30000000005</v>
      </c>
      <c r="BC217" s="28">
        <f t="shared" si="195"/>
        <v>-155818.65000000002</v>
      </c>
      <c r="BD217" s="241">
        <f t="shared" ref="BD217:BF223" si="196">SUM(Z217,AC217,AF217)</f>
        <v>-147006</v>
      </c>
      <c r="BE217" s="27">
        <f t="shared" si="196"/>
        <v>-154356.30000000005</v>
      </c>
      <c r="BF217" s="28">
        <f t="shared" si="196"/>
        <v>-135006</v>
      </c>
      <c r="BG217" s="241">
        <f t="shared" ref="BG217:BI223" si="197">SUM(AI217,AL217,AO217)</f>
        <v>-147006</v>
      </c>
      <c r="BH217" s="27">
        <f t="shared" si="197"/>
        <v>-154356.30000000005</v>
      </c>
      <c r="BI217" s="28">
        <f t="shared" si="197"/>
        <v>-135006</v>
      </c>
    </row>
    <row r="218" spans="1:61" s="29" customFormat="1" hidden="1" outlineLevel="1" x14ac:dyDescent="0.3">
      <c r="A218" s="22" t="s">
        <v>258</v>
      </c>
      <c r="B218" s="2"/>
      <c r="C218" s="24" t="s">
        <v>67</v>
      </c>
      <c r="D218" s="109"/>
      <c r="E218" s="25"/>
      <c r="F218" s="41"/>
      <c r="G218" s="33"/>
      <c r="H218" s="241">
        <v>0</v>
      </c>
      <c r="I218" s="27">
        <v>0</v>
      </c>
      <c r="J218" s="28">
        <f>SUMIFS(Aut_BlueMe_Sem_Pedido!$J:$J,Aut_BlueMe_Sem_Pedido!$Q:$Q,DRE!H$4,Aut_BlueMe_Sem_Pedido!$H:$H,DRE!$A218)+SUMIFS(Aut_Ajustes_Manuais!$G:$G,Aut_Ajustes_Manuais!$I:$I,DRE!H$4,Aut_Ajustes_Manuais!$F:$F,"Condominio")</f>
        <v>0</v>
      </c>
      <c r="K218" s="241">
        <v>0</v>
      </c>
      <c r="L218" s="27">
        <v>0</v>
      </c>
      <c r="M218" s="28">
        <f>SUMIFS(Aut_BlueMe_Sem_Pedido!$J:$J,Aut_BlueMe_Sem_Pedido!$Q:$Q,DRE!K$4,Aut_BlueMe_Sem_Pedido!$H:$H,DRE!$A218)+SUMIFS(Aut_Ajustes_Manuais!$G:$G,Aut_Ajustes_Manuais!$I:$I,DRE!K$4,Aut_Ajustes_Manuais!$F:$F,"Condominio")</f>
        <v>0</v>
      </c>
      <c r="N218" s="241">
        <v>0</v>
      </c>
      <c r="O218" s="27">
        <v>0</v>
      </c>
      <c r="P218" s="28">
        <f>SUMIFS(Aut_BlueMe_Sem_Pedido!$J:$J,Aut_BlueMe_Sem_Pedido!$Q:$Q,DRE!N$4,Aut_BlueMe_Sem_Pedido!$H:$H,DRE!$A218)+SUMIFS(Aut_Ajustes_Manuais!$G:$G,Aut_Ajustes_Manuais!$I:$I,DRE!N$4,Aut_Ajustes_Manuais!$F:$F,"Condominio")</f>
        <v>0</v>
      </c>
      <c r="Q218" s="241">
        <v>0</v>
      </c>
      <c r="R218" s="27">
        <v>0</v>
      </c>
      <c r="S218" s="28">
        <f>SUMIFS(Aut_BlueMe_Sem_Pedido!$J:$J,Aut_BlueMe_Sem_Pedido!$Q:$Q,DRE!Q$4,Aut_BlueMe_Sem_Pedido!$H:$H,DRE!$A218)+SUMIFS(Aut_Ajustes_Manuais!$G:$G,Aut_Ajustes_Manuais!$I:$I,DRE!Q$4,Aut_Ajustes_Manuais!$F:$F,"Condominio")</f>
        <v>0</v>
      </c>
      <c r="T218" s="241">
        <v>0</v>
      </c>
      <c r="U218" s="27">
        <v>0</v>
      </c>
      <c r="V218" s="28">
        <f>SUMIFS(Aut_BlueMe_Sem_Pedido!$J:$J,Aut_BlueMe_Sem_Pedido!$Q:$Q,DRE!T$4,Aut_BlueMe_Sem_Pedido!$H:$H,DRE!$A218)+SUMIFS(Aut_Ajustes_Manuais!$G:$G,Aut_Ajustes_Manuais!$I:$I,DRE!T$4,Aut_Ajustes_Manuais!$F:$F,"Condominio")</f>
        <v>0</v>
      </c>
      <c r="W218" s="241">
        <v>0</v>
      </c>
      <c r="X218" s="27">
        <v>0</v>
      </c>
      <c r="Y218" s="28">
        <f>SUMIFS(Aut_BlueMe_Sem_Pedido!$J:$J,Aut_BlueMe_Sem_Pedido!$Q:$Q,DRE!W$4,Aut_BlueMe_Sem_Pedido!$H:$H,DRE!$A218)+SUMIFS(Aut_Ajustes_Manuais!$G:$G,Aut_Ajustes_Manuais!$I:$I,DRE!W$4,Aut_Ajustes_Manuais!$F:$F,"Condominio")</f>
        <v>0</v>
      </c>
      <c r="Z218" s="241">
        <v>0</v>
      </c>
      <c r="AA218" s="27">
        <v>0</v>
      </c>
      <c r="AB218" s="28">
        <f>SUMIFS(Aut_BlueMe_Sem_Pedido!$J:$J,Aut_BlueMe_Sem_Pedido!$Q:$Q,DRE!Z$4,Aut_BlueMe_Sem_Pedido!$H:$H,DRE!$A218)+SUMIFS(Aut_Ajustes_Manuais!$G:$G,Aut_Ajustes_Manuais!$I:$I,DRE!Z$4,Aut_Ajustes_Manuais!$F:$F,"Condominio")</f>
        <v>0</v>
      </c>
      <c r="AC218" s="241">
        <v>0</v>
      </c>
      <c r="AD218" s="27">
        <v>0</v>
      </c>
      <c r="AE218" s="28">
        <f>SUMIFS(Aut_BlueMe_Sem_Pedido!$J:$J,Aut_BlueMe_Sem_Pedido!$Q:$Q,DRE!AC$4,Aut_BlueMe_Sem_Pedido!$H:$H,DRE!$A218)+SUMIFS(Aut_Ajustes_Manuais!$G:$G,Aut_Ajustes_Manuais!$I:$I,DRE!AC$4,Aut_Ajustes_Manuais!$F:$F,"Condominio")</f>
        <v>0</v>
      </c>
      <c r="AF218" s="241">
        <v>0</v>
      </c>
      <c r="AG218" s="27">
        <v>0</v>
      </c>
      <c r="AH218" s="28">
        <f>SUMIFS(Aut_BlueMe_Sem_Pedido!$J:$J,Aut_BlueMe_Sem_Pedido!$Q:$Q,DRE!AF$4,Aut_BlueMe_Sem_Pedido!$H:$H,DRE!$A218)+SUMIFS(Aut_Ajustes_Manuais!$G:$G,Aut_Ajustes_Manuais!$I:$I,DRE!AF$4,Aut_Ajustes_Manuais!$F:$F,"Condominio")</f>
        <v>0</v>
      </c>
      <c r="AI218" s="241">
        <v>0</v>
      </c>
      <c r="AJ218" s="27">
        <v>0</v>
      </c>
      <c r="AK218" s="28">
        <f>SUMIFS(Aut_BlueMe_Sem_Pedido!$J:$J,Aut_BlueMe_Sem_Pedido!$Q:$Q,DRE!AI$4,Aut_BlueMe_Sem_Pedido!$H:$H,DRE!$A218)+SUMIFS(Aut_Ajustes_Manuais!$G:$G,Aut_Ajustes_Manuais!$I:$I,DRE!AI$4,Aut_Ajustes_Manuais!$F:$F,"Condominio")</f>
        <v>0</v>
      </c>
      <c r="AL218" s="241">
        <v>0</v>
      </c>
      <c r="AM218" s="27">
        <v>0</v>
      </c>
      <c r="AN218" s="28">
        <f>SUMIFS(Aut_BlueMe_Sem_Pedido!$J:$J,Aut_BlueMe_Sem_Pedido!$Q:$Q,DRE!AL$4,Aut_BlueMe_Sem_Pedido!$H:$H,DRE!$A218)+SUMIFS(Aut_Ajustes_Manuais!$G:$G,Aut_Ajustes_Manuais!$I:$I,DRE!AL$4,Aut_Ajustes_Manuais!$F:$F,"Condominio")</f>
        <v>0</v>
      </c>
      <c r="AO218" s="241">
        <v>0</v>
      </c>
      <c r="AP218" s="27">
        <v>0</v>
      </c>
      <c r="AQ218" s="28">
        <f>SUMIFS(Aut_BlueMe_Sem_Pedido!$J:$J,Aut_BlueMe_Sem_Pedido!$Q:$Q,DRE!AO$4,Aut_BlueMe_Sem_Pedido!$H:$H,DRE!$A218)+SUMIFS(Aut_Ajustes_Manuais!$G:$G,Aut_Ajustes_Manuais!$I:$I,DRE!AO$4,Aut_Ajustes_Manuais!$F:$F,"Condominio")</f>
        <v>0</v>
      </c>
      <c r="AR218" s="241">
        <f t="shared" ca="1" si="190"/>
        <v>0</v>
      </c>
      <c r="AS218" s="27">
        <f t="shared" ca="1" si="191"/>
        <v>0</v>
      </c>
      <c r="AT218" s="28">
        <f t="shared" ca="1" si="192"/>
        <v>0</v>
      </c>
      <c r="AU218" s="241">
        <f t="shared" si="193"/>
        <v>0</v>
      </c>
      <c r="AV218" s="27">
        <f t="shared" si="193"/>
        <v>0</v>
      </c>
      <c r="AW218" s="28">
        <f t="shared" si="193"/>
        <v>0</v>
      </c>
      <c r="AX218" s="241">
        <f t="shared" si="194"/>
        <v>0</v>
      </c>
      <c r="AY218" s="27">
        <f t="shared" si="194"/>
        <v>0</v>
      </c>
      <c r="AZ218" s="28">
        <f t="shared" si="194"/>
        <v>0</v>
      </c>
      <c r="BA218" s="241">
        <f t="shared" si="195"/>
        <v>0</v>
      </c>
      <c r="BB218" s="27">
        <f t="shared" si="195"/>
        <v>0</v>
      </c>
      <c r="BC218" s="28">
        <f t="shared" si="195"/>
        <v>0</v>
      </c>
      <c r="BD218" s="241">
        <f t="shared" si="196"/>
        <v>0</v>
      </c>
      <c r="BE218" s="27">
        <f t="shared" si="196"/>
        <v>0</v>
      </c>
      <c r="BF218" s="28">
        <f t="shared" si="196"/>
        <v>0</v>
      </c>
      <c r="BG218" s="241">
        <f t="shared" si="197"/>
        <v>0</v>
      </c>
      <c r="BH218" s="27">
        <f t="shared" si="197"/>
        <v>0</v>
      </c>
      <c r="BI218" s="28">
        <f t="shared" si="197"/>
        <v>0</v>
      </c>
    </row>
    <row r="219" spans="1:61" s="29" customFormat="1" hidden="1" outlineLevel="1" x14ac:dyDescent="0.3">
      <c r="A219" s="22" t="s">
        <v>259</v>
      </c>
      <c r="B219" s="2"/>
      <c r="C219" s="24" t="s">
        <v>67</v>
      </c>
      <c r="D219" s="25"/>
      <c r="E219" s="25"/>
      <c r="F219" s="41"/>
      <c r="G219" s="33"/>
      <c r="H219" s="241">
        <v>-2436.166666666667</v>
      </c>
      <c r="I219" s="27">
        <v>-2847.916666666667</v>
      </c>
      <c r="J219" s="28">
        <f>SUMIFS(Aut_BlueMe_Sem_Pedido!$J:$J,Aut_BlueMe_Sem_Pedido!$Q:$Q,DRE!H$4,Aut_BlueMe_Sem_Pedido!$H:$H,DRE!$A219)+SUMIFS(Aut_Ajustes_Manuais!$G:$G,Aut_Ajustes_Manuais!$I:$I,DRE!H$4,Aut_Ajustes_Manuais!$F:$F,"IPTU")</f>
        <v>-2848.33</v>
      </c>
      <c r="K219" s="241">
        <v>-2436.166666666667</v>
      </c>
      <c r="L219" s="27">
        <v>-2847.916666666667</v>
      </c>
      <c r="M219" s="28">
        <f>SUMIFS(Aut_BlueMe_Sem_Pedido!$J:$J,Aut_BlueMe_Sem_Pedido!$Q:$Q,DRE!K$4,Aut_BlueMe_Sem_Pedido!$H:$H,DRE!$A219)+SUMIFS(Aut_Ajustes_Manuais!$G:$G,Aut_Ajustes_Manuais!$I:$I,DRE!K$4,Aut_Ajustes_Manuais!$F:$F,"IPTU")</f>
        <v>-2848.33</v>
      </c>
      <c r="N219" s="241">
        <v>-2436.166666666667</v>
      </c>
      <c r="O219" s="27">
        <v>-2847.916666666667</v>
      </c>
      <c r="P219" s="28">
        <v>-2848.33</v>
      </c>
      <c r="Q219" s="241">
        <v>-2436.166666666667</v>
      </c>
      <c r="R219" s="27">
        <v>-2847.916666666667</v>
      </c>
      <c r="S219" s="28">
        <v>-2848.33</v>
      </c>
      <c r="T219" s="241">
        <v>-2436.166666666667</v>
      </c>
      <c r="U219" s="27">
        <v>-2847.916666666667</v>
      </c>
      <c r="V219" s="28">
        <v>-2848.33</v>
      </c>
      <c r="W219" s="241">
        <v>-2436.166666666667</v>
      </c>
      <c r="X219" s="27">
        <v>-2847.916666666667</v>
      </c>
      <c r="Y219" s="28">
        <v>-2848.33</v>
      </c>
      <c r="Z219" s="241">
        <v>-2436.166666666667</v>
      </c>
      <c r="AA219" s="27">
        <v>-2847.916666666667</v>
      </c>
      <c r="AB219" s="28">
        <v>-2848.33</v>
      </c>
      <c r="AC219" s="241">
        <v>-2436.166666666667</v>
      </c>
      <c r="AD219" s="27">
        <v>-2847.916666666667</v>
      </c>
      <c r="AE219" s="28">
        <v>-2848.33</v>
      </c>
      <c r="AF219" s="241">
        <v>-2436.166666666667</v>
      </c>
      <c r="AG219" s="27">
        <v>-2847.916666666667</v>
      </c>
      <c r="AH219" s="28">
        <v>-2848.33</v>
      </c>
      <c r="AI219" s="241">
        <v>-2436.166666666667</v>
      </c>
      <c r="AJ219" s="27">
        <v>-2847.916666666667</v>
      </c>
      <c r="AK219" s="28">
        <v>-2848.33</v>
      </c>
      <c r="AL219" s="241">
        <v>-2436.166666666667</v>
      </c>
      <c r="AM219" s="27">
        <v>-2847.916666666667</v>
      </c>
      <c r="AN219" s="28">
        <v>-2848.33</v>
      </c>
      <c r="AO219" s="241">
        <v>-2436.166666666667</v>
      </c>
      <c r="AP219" s="27">
        <v>-2847.916666666667</v>
      </c>
      <c r="AQ219" s="28">
        <v>-2848.33</v>
      </c>
      <c r="AR219" s="241">
        <f t="shared" ca="1" si="190"/>
        <v>-14617.000000000004</v>
      </c>
      <c r="AS219" s="27">
        <f t="shared" ca="1" si="191"/>
        <v>-17087.500000000004</v>
      </c>
      <c r="AT219" s="28">
        <f t="shared" ca="1" si="192"/>
        <v>-17089.98</v>
      </c>
      <c r="AU219" s="241">
        <f t="shared" si="193"/>
        <v>-29234.000000000011</v>
      </c>
      <c r="AV219" s="27">
        <f t="shared" si="193"/>
        <v>-34175.000000000007</v>
      </c>
      <c r="AW219" s="28">
        <f t="shared" si="193"/>
        <v>-34179.960000000006</v>
      </c>
      <c r="AX219" s="241">
        <f t="shared" si="194"/>
        <v>-7308.5000000000009</v>
      </c>
      <c r="AY219" s="27">
        <f t="shared" si="194"/>
        <v>-8543.75</v>
      </c>
      <c r="AZ219" s="28">
        <f t="shared" si="194"/>
        <v>-8544.99</v>
      </c>
      <c r="BA219" s="241">
        <f t="shared" si="195"/>
        <v>-7308.5000000000009</v>
      </c>
      <c r="BB219" s="27">
        <f t="shared" si="195"/>
        <v>-8543.75</v>
      </c>
      <c r="BC219" s="28">
        <f t="shared" si="195"/>
        <v>-8544.99</v>
      </c>
      <c r="BD219" s="241">
        <f t="shared" si="196"/>
        <v>-7308.5000000000009</v>
      </c>
      <c r="BE219" s="27">
        <f t="shared" si="196"/>
        <v>-8543.75</v>
      </c>
      <c r="BF219" s="28">
        <f t="shared" si="196"/>
        <v>-8544.99</v>
      </c>
      <c r="BG219" s="241">
        <f t="shared" si="197"/>
        <v>-7308.5000000000009</v>
      </c>
      <c r="BH219" s="27">
        <f t="shared" si="197"/>
        <v>-8543.75</v>
      </c>
      <c r="BI219" s="28">
        <f t="shared" si="197"/>
        <v>-8544.99</v>
      </c>
    </row>
    <row r="220" spans="1:61" s="29" customFormat="1" hidden="1" outlineLevel="1" x14ac:dyDescent="0.3">
      <c r="A220" s="22" t="s">
        <v>260</v>
      </c>
      <c r="B220" s="2"/>
      <c r="C220" s="24" t="s">
        <v>67</v>
      </c>
      <c r="D220" s="25"/>
      <c r="E220" s="25"/>
      <c r="F220" s="41"/>
      <c r="G220" s="33"/>
      <c r="H220" s="241">
        <v>0</v>
      </c>
      <c r="I220" s="27">
        <v>0</v>
      </c>
      <c r="J220" s="28">
        <f>SUMIFS(Aut_BlueMe_Sem_Pedido!$J:$J,Aut_BlueMe_Sem_Pedido!$Q:$Q,DRE!H$4,Aut_BlueMe_Sem_Pedido!$H:$H,DRE!$A220)+SUMIFS(Aut_Ajustes_Manuais!$G:$G,Aut_Ajustes_Manuais!$I:$I,DRE!H$4,Aut_Ajustes_Manuais!$F:$F,"Fundo de Promoção")</f>
        <v>0</v>
      </c>
      <c r="K220" s="241">
        <v>0</v>
      </c>
      <c r="L220" s="27">
        <v>0</v>
      </c>
      <c r="M220" s="28">
        <f>SUMIFS(Aut_BlueMe_Sem_Pedido!$J:$J,Aut_BlueMe_Sem_Pedido!$Q:$Q,DRE!K$4,Aut_BlueMe_Sem_Pedido!$H:$H,DRE!$A220)+SUMIFS(Aut_Ajustes_Manuais!$G:$G,Aut_Ajustes_Manuais!$I:$I,DRE!K$4,Aut_Ajustes_Manuais!$F:$F,"Fundo de Promoção")</f>
        <v>0</v>
      </c>
      <c r="N220" s="241">
        <v>0</v>
      </c>
      <c r="O220" s="27">
        <v>0</v>
      </c>
      <c r="P220" s="28">
        <f>SUMIFS(Aut_BlueMe_Sem_Pedido!$J:$J,Aut_BlueMe_Sem_Pedido!$Q:$Q,DRE!N$4,Aut_BlueMe_Sem_Pedido!$H:$H,DRE!$A220)+SUMIFS(Aut_Ajustes_Manuais!$G:$G,Aut_Ajustes_Manuais!$I:$I,DRE!N$4,Aut_Ajustes_Manuais!$F:$F,"Fundo de Promoção")</f>
        <v>0</v>
      </c>
      <c r="Q220" s="241">
        <v>0</v>
      </c>
      <c r="R220" s="27">
        <v>0</v>
      </c>
      <c r="S220" s="28">
        <f>SUMIFS(Aut_BlueMe_Sem_Pedido!$J:$J,Aut_BlueMe_Sem_Pedido!$Q:$Q,DRE!Q$4,Aut_BlueMe_Sem_Pedido!$H:$H,DRE!$A220)+SUMIFS(Aut_Ajustes_Manuais!$G:$G,Aut_Ajustes_Manuais!$I:$I,DRE!Q$4,Aut_Ajustes_Manuais!$F:$F,"Fundo de Promoção")</f>
        <v>0</v>
      </c>
      <c r="T220" s="241">
        <v>0</v>
      </c>
      <c r="U220" s="27">
        <v>0</v>
      </c>
      <c r="V220" s="28">
        <f>SUMIFS(Aut_BlueMe_Sem_Pedido!$J:$J,Aut_BlueMe_Sem_Pedido!$Q:$Q,DRE!T$4,Aut_BlueMe_Sem_Pedido!$H:$H,DRE!$A220)+SUMIFS(Aut_Ajustes_Manuais!$G:$G,Aut_Ajustes_Manuais!$I:$I,DRE!T$4,Aut_Ajustes_Manuais!$F:$F,"Fundo de Promoção")</f>
        <v>0</v>
      </c>
      <c r="W220" s="241">
        <v>0</v>
      </c>
      <c r="X220" s="27">
        <v>0</v>
      </c>
      <c r="Y220" s="28">
        <f>SUMIFS(Aut_BlueMe_Sem_Pedido!$J:$J,Aut_BlueMe_Sem_Pedido!$Q:$Q,DRE!W$4,Aut_BlueMe_Sem_Pedido!$H:$H,DRE!$A220)+SUMIFS(Aut_Ajustes_Manuais!$G:$G,Aut_Ajustes_Manuais!$I:$I,DRE!W$4,Aut_Ajustes_Manuais!$F:$F,"Fundo de Promoção")</f>
        <v>0</v>
      </c>
      <c r="Z220" s="241">
        <v>0</v>
      </c>
      <c r="AA220" s="27">
        <v>0</v>
      </c>
      <c r="AB220" s="28">
        <f>SUMIFS(Aut_BlueMe_Sem_Pedido!$J:$J,Aut_BlueMe_Sem_Pedido!$Q:$Q,DRE!Z$4,Aut_BlueMe_Sem_Pedido!$H:$H,DRE!$A220)+SUMIFS(Aut_Ajustes_Manuais!$G:$G,Aut_Ajustes_Manuais!$I:$I,DRE!Z$4,Aut_Ajustes_Manuais!$F:$F,"Fundo de Promoção")</f>
        <v>0</v>
      </c>
      <c r="AC220" s="241">
        <v>0</v>
      </c>
      <c r="AD220" s="27">
        <v>0</v>
      </c>
      <c r="AE220" s="28">
        <f>SUMIFS(Aut_BlueMe_Sem_Pedido!$J:$J,Aut_BlueMe_Sem_Pedido!$Q:$Q,DRE!AC$4,Aut_BlueMe_Sem_Pedido!$H:$H,DRE!$A220)+SUMIFS(Aut_Ajustes_Manuais!$G:$G,Aut_Ajustes_Manuais!$I:$I,DRE!AC$4,Aut_Ajustes_Manuais!$F:$F,"Fundo de Promoção")</f>
        <v>0</v>
      </c>
      <c r="AF220" s="241">
        <v>0</v>
      </c>
      <c r="AG220" s="27">
        <v>0</v>
      </c>
      <c r="AH220" s="28">
        <f>SUMIFS(Aut_BlueMe_Sem_Pedido!$J:$J,Aut_BlueMe_Sem_Pedido!$Q:$Q,DRE!AF$4,Aut_BlueMe_Sem_Pedido!$H:$H,DRE!$A220)+SUMIFS(Aut_Ajustes_Manuais!$G:$G,Aut_Ajustes_Manuais!$I:$I,DRE!AF$4,Aut_Ajustes_Manuais!$F:$F,"Fundo de Promoção")</f>
        <v>0</v>
      </c>
      <c r="AI220" s="241">
        <v>0</v>
      </c>
      <c r="AJ220" s="27">
        <v>0</v>
      </c>
      <c r="AK220" s="28">
        <f>SUMIFS(Aut_BlueMe_Sem_Pedido!$J:$J,Aut_BlueMe_Sem_Pedido!$Q:$Q,DRE!AI$4,Aut_BlueMe_Sem_Pedido!$H:$H,DRE!$A220)+SUMIFS(Aut_Ajustes_Manuais!$G:$G,Aut_Ajustes_Manuais!$I:$I,DRE!AI$4,Aut_Ajustes_Manuais!$F:$F,"Fundo de Promoção")</f>
        <v>0</v>
      </c>
      <c r="AL220" s="241">
        <v>0</v>
      </c>
      <c r="AM220" s="27">
        <v>0</v>
      </c>
      <c r="AN220" s="28">
        <f>SUMIFS(Aut_BlueMe_Sem_Pedido!$J:$J,Aut_BlueMe_Sem_Pedido!$Q:$Q,DRE!AL$4,Aut_BlueMe_Sem_Pedido!$H:$H,DRE!$A220)+SUMIFS(Aut_Ajustes_Manuais!$G:$G,Aut_Ajustes_Manuais!$I:$I,DRE!AL$4,Aut_Ajustes_Manuais!$F:$F,"Fundo de Promoção")</f>
        <v>0</v>
      </c>
      <c r="AO220" s="241">
        <v>0</v>
      </c>
      <c r="AP220" s="27">
        <v>0</v>
      </c>
      <c r="AQ220" s="28">
        <f>SUMIFS(Aut_BlueMe_Sem_Pedido!$J:$J,Aut_BlueMe_Sem_Pedido!$Q:$Q,DRE!AO$4,Aut_BlueMe_Sem_Pedido!$H:$H,DRE!$A220)+SUMIFS(Aut_Ajustes_Manuais!$G:$G,Aut_Ajustes_Manuais!$I:$I,DRE!AO$4,Aut_Ajustes_Manuais!$F:$F,"Fundo de Promoção")</f>
        <v>0</v>
      </c>
      <c r="AR220" s="241">
        <f t="shared" ca="1" si="190"/>
        <v>0</v>
      </c>
      <c r="AS220" s="27">
        <f t="shared" ca="1" si="191"/>
        <v>0</v>
      </c>
      <c r="AT220" s="28">
        <f t="shared" ca="1" si="192"/>
        <v>0</v>
      </c>
      <c r="AU220" s="241">
        <f t="shared" si="193"/>
        <v>0</v>
      </c>
      <c r="AV220" s="27">
        <f t="shared" si="193"/>
        <v>0</v>
      </c>
      <c r="AW220" s="28">
        <f t="shared" si="193"/>
        <v>0</v>
      </c>
      <c r="AX220" s="241">
        <f t="shared" si="194"/>
        <v>0</v>
      </c>
      <c r="AY220" s="27">
        <f t="shared" si="194"/>
        <v>0</v>
      </c>
      <c r="AZ220" s="28">
        <f t="shared" si="194"/>
        <v>0</v>
      </c>
      <c r="BA220" s="241">
        <f t="shared" si="195"/>
        <v>0</v>
      </c>
      <c r="BB220" s="27">
        <f t="shared" si="195"/>
        <v>0</v>
      </c>
      <c r="BC220" s="28">
        <f t="shared" si="195"/>
        <v>0</v>
      </c>
      <c r="BD220" s="241">
        <f t="shared" si="196"/>
        <v>0</v>
      </c>
      <c r="BE220" s="27">
        <f t="shared" si="196"/>
        <v>0</v>
      </c>
      <c r="BF220" s="28">
        <f t="shared" si="196"/>
        <v>0</v>
      </c>
      <c r="BG220" s="241">
        <f t="shared" si="197"/>
        <v>0</v>
      </c>
      <c r="BH220" s="27">
        <f t="shared" si="197"/>
        <v>0</v>
      </c>
      <c r="BI220" s="28">
        <f t="shared" si="197"/>
        <v>0</v>
      </c>
    </row>
    <row r="221" spans="1:61" s="29" customFormat="1" hidden="1" outlineLevel="1" x14ac:dyDescent="0.3">
      <c r="A221" s="22" t="s">
        <v>261</v>
      </c>
      <c r="B221" s="2"/>
      <c r="C221" s="24" t="s">
        <v>60</v>
      </c>
      <c r="D221" s="25"/>
      <c r="E221" s="25"/>
      <c r="F221" s="41"/>
      <c r="G221" s="33"/>
      <c r="H221" s="241">
        <v>0</v>
      </c>
      <c r="I221" s="27">
        <v>-286.97699999999998</v>
      </c>
      <c r="J221" s="28">
        <f>SUMIFS(Aut_BlueMe_Sem_Pedido!$J:$J,Aut_BlueMe_Sem_Pedido!$Q:$Q,DRE!H$4,Aut_BlueMe_Sem_Pedido!$H:$H,DRE!$A221)+SUMIFS(Aut_Ajustes_Manuais!$G:$G,Aut_Ajustes_Manuais!$I:$I,DRE!H$4,Aut_Ajustes_Manuais!$F:$F,"Seguro Patrimonial")</f>
        <v>-281.35000000000002</v>
      </c>
      <c r="K221" s="241">
        <v>0</v>
      </c>
      <c r="L221" s="27">
        <v>0</v>
      </c>
      <c r="M221" s="28">
        <f>SUMIFS(Aut_BlueMe_Sem_Pedido!$J:$J,Aut_BlueMe_Sem_Pedido!$Q:$Q,DRE!K$4,Aut_BlueMe_Sem_Pedido!$H:$H,DRE!$A221)+SUMIFS(Aut_Ajustes_Manuais!$G:$G,Aut_Ajustes_Manuais!$I:$I,DRE!K$4,Aut_Ajustes_Manuais!$F:$F,"Seguro Patrimonial")</f>
        <v>0</v>
      </c>
      <c r="N221" s="241">
        <v>0</v>
      </c>
      <c r="O221" s="27">
        <v>0</v>
      </c>
      <c r="P221" s="28">
        <f>SUMIFS(Aut_BlueMe_Sem_Pedido!$J:$J,Aut_BlueMe_Sem_Pedido!$Q:$Q,DRE!N$4,Aut_BlueMe_Sem_Pedido!$H:$H,DRE!$A221)+SUMIFS(Aut_Ajustes_Manuais!$G:$G,Aut_Ajustes_Manuais!$I:$I,DRE!N$4,Aut_Ajustes_Manuais!$F:$F,"Seguro Patrimonial")</f>
        <v>0</v>
      </c>
      <c r="Q221" s="241">
        <v>0</v>
      </c>
      <c r="R221" s="27">
        <v>0</v>
      </c>
      <c r="S221" s="28">
        <f>SUMIFS(Aut_BlueMe_Sem_Pedido!$J:$J,Aut_BlueMe_Sem_Pedido!$Q:$Q,DRE!Q$4,Aut_BlueMe_Sem_Pedido!$H:$H,DRE!$A221)+SUMIFS(Aut_Ajustes_Manuais!$G:$G,Aut_Ajustes_Manuais!$I:$I,DRE!Q$4,Aut_Ajustes_Manuais!$F:$F,"Seguro Patrimonial")</f>
        <v>0</v>
      </c>
      <c r="T221" s="241">
        <v>0</v>
      </c>
      <c r="U221" s="27">
        <v>0</v>
      </c>
      <c r="V221" s="28">
        <f>SUMIFS(Aut_BlueMe_Sem_Pedido!$J:$J,Aut_BlueMe_Sem_Pedido!$Q:$Q,DRE!T$4,Aut_BlueMe_Sem_Pedido!$H:$H,DRE!$A221)+SUMIFS(Aut_Ajustes_Manuais!$G:$G,Aut_Ajustes_Manuais!$I:$I,DRE!T$4,Aut_Ajustes_Manuais!$F:$F,"Seguro Patrimonial")</f>
        <v>0</v>
      </c>
      <c r="W221" s="241">
        <v>0</v>
      </c>
      <c r="X221" s="27">
        <v>0</v>
      </c>
      <c r="Y221" s="28">
        <f>SUMIFS(Aut_BlueMe_Sem_Pedido!$J:$J,Aut_BlueMe_Sem_Pedido!$Q:$Q,DRE!W$4,Aut_BlueMe_Sem_Pedido!$H:$H,DRE!$A221)+SUMIFS(Aut_Ajustes_Manuais!$G:$G,Aut_Ajustes_Manuais!$I:$I,DRE!W$4,Aut_Ajustes_Manuais!$F:$F,"Seguro Patrimonial")</f>
        <v>0</v>
      </c>
      <c r="Z221" s="241">
        <v>0</v>
      </c>
      <c r="AA221" s="27">
        <v>0</v>
      </c>
      <c r="AB221" s="28">
        <f>SUMIFS(Aut_BlueMe_Sem_Pedido!$J:$J,Aut_BlueMe_Sem_Pedido!$Q:$Q,DRE!Z$4,Aut_BlueMe_Sem_Pedido!$H:$H,DRE!$A221)+SUMIFS(Aut_Ajustes_Manuais!$G:$G,Aut_Ajustes_Manuais!$I:$I,DRE!Z$4,Aut_Ajustes_Manuais!$F:$F,"Seguro Patrimonial")</f>
        <v>0</v>
      </c>
      <c r="AC221" s="241">
        <v>-281.35000000000002</v>
      </c>
      <c r="AD221" s="27">
        <v>-286.97699999999998</v>
      </c>
      <c r="AE221" s="28">
        <f>SUMIFS(Aut_BlueMe_Sem_Pedido!$J:$J,Aut_BlueMe_Sem_Pedido!$Q:$Q,DRE!AC$4,Aut_BlueMe_Sem_Pedido!$H:$H,DRE!$A221)+SUMIFS(Aut_Ajustes_Manuais!$G:$G,Aut_Ajustes_Manuais!$I:$I,DRE!AC$4,Aut_Ajustes_Manuais!$F:$F,"Seguro Patrimonial")</f>
        <v>0</v>
      </c>
      <c r="AF221" s="241">
        <v>-281.35000000000002</v>
      </c>
      <c r="AG221" s="27">
        <v>-286.97699999999998</v>
      </c>
      <c r="AH221" s="28">
        <f>SUMIFS(Aut_BlueMe_Sem_Pedido!$J:$J,Aut_BlueMe_Sem_Pedido!$Q:$Q,DRE!AF$4,Aut_BlueMe_Sem_Pedido!$H:$H,DRE!$A221)+SUMIFS(Aut_Ajustes_Manuais!$G:$G,Aut_Ajustes_Manuais!$I:$I,DRE!AF$4,Aut_Ajustes_Manuais!$F:$F,"Seguro Patrimonial")</f>
        <v>0</v>
      </c>
      <c r="AI221" s="241">
        <v>-281.35000000000002</v>
      </c>
      <c r="AJ221" s="27">
        <v>-286.97699999999998</v>
      </c>
      <c r="AK221" s="28">
        <f>SUMIFS(Aut_BlueMe_Sem_Pedido!$J:$J,Aut_BlueMe_Sem_Pedido!$Q:$Q,DRE!AI$4,Aut_BlueMe_Sem_Pedido!$H:$H,DRE!$A221)+SUMIFS(Aut_Ajustes_Manuais!$G:$G,Aut_Ajustes_Manuais!$I:$I,DRE!AI$4,Aut_Ajustes_Manuais!$F:$F,"Seguro Patrimonial")</f>
        <v>0</v>
      </c>
      <c r="AL221" s="241">
        <v>-281.35000000000002</v>
      </c>
      <c r="AM221" s="27">
        <v>-286.97699999999998</v>
      </c>
      <c r="AN221" s="28">
        <f>SUMIFS(Aut_BlueMe_Sem_Pedido!$J:$J,Aut_BlueMe_Sem_Pedido!$Q:$Q,DRE!AL$4,Aut_BlueMe_Sem_Pedido!$H:$H,DRE!$A221)+SUMIFS(Aut_Ajustes_Manuais!$G:$G,Aut_Ajustes_Manuais!$I:$I,DRE!AL$4,Aut_Ajustes_Manuais!$F:$F,"Seguro Patrimonial")</f>
        <v>0</v>
      </c>
      <c r="AO221" s="241">
        <v>-281.35000000000002</v>
      </c>
      <c r="AP221" s="27">
        <v>-286.97699999999998</v>
      </c>
      <c r="AQ221" s="28">
        <f>SUMIFS(Aut_BlueMe_Sem_Pedido!$J:$J,Aut_BlueMe_Sem_Pedido!$Q:$Q,DRE!AO$4,Aut_BlueMe_Sem_Pedido!$H:$H,DRE!$A221)+SUMIFS(Aut_Ajustes_Manuais!$G:$G,Aut_Ajustes_Manuais!$I:$I,DRE!AO$4,Aut_Ajustes_Manuais!$F:$F,"Seguro Patrimonial")</f>
        <v>0</v>
      </c>
      <c r="AR221" s="241">
        <f t="shared" ca="1" si="190"/>
        <v>0</v>
      </c>
      <c r="AS221" s="27">
        <f t="shared" ca="1" si="191"/>
        <v>-286.97699999999998</v>
      </c>
      <c r="AT221" s="28">
        <f t="shared" ca="1" si="192"/>
        <v>-281.35000000000002</v>
      </c>
      <c r="AU221" s="241">
        <f t="shared" si="193"/>
        <v>-1406.75</v>
      </c>
      <c r="AV221" s="27">
        <f t="shared" si="193"/>
        <v>-1721.8619999999996</v>
      </c>
      <c r="AW221" s="28">
        <f t="shared" si="193"/>
        <v>-281.35000000000002</v>
      </c>
      <c r="AX221" s="241">
        <f t="shared" si="194"/>
        <v>0</v>
      </c>
      <c r="AY221" s="27">
        <f t="shared" si="194"/>
        <v>-286.97699999999998</v>
      </c>
      <c r="AZ221" s="28">
        <f t="shared" si="194"/>
        <v>-281.35000000000002</v>
      </c>
      <c r="BA221" s="241">
        <f t="shared" si="195"/>
        <v>0</v>
      </c>
      <c r="BB221" s="27">
        <f t="shared" si="195"/>
        <v>0</v>
      </c>
      <c r="BC221" s="28">
        <f t="shared" si="195"/>
        <v>0</v>
      </c>
      <c r="BD221" s="241">
        <f t="shared" si="196"/>
        <v>-562.70000000000005</v>
      </c>
      <c r="BE221" s="27">
        <f t="shared" si="196"/>
        <v>-573.95399999999995</v>
      </c>
      <c r="BF221" s="28">
        <f t="shared" si="196"/>
        <v>0</v>
      </c>
      <c r="BG221" s="241">
        <f t="shared" si="197"/>
        <v>-844.05000000000007</v>
      </c>
      <c r="BH221" s="27">
        <f t="shared" si="197"/>
        <v>-860.93099999999993</v>
      </c>
      <c r="BI221" s="28">
        <f t="shared" si="197"/>
        <v>0</v>
      </c>
    </row>
    <row r="222" spans="1:61" s="29" customFormat="1" hidden="1" outlineLevel="1" x14ac:dyDescent="0.3">
      <c r="A222" s="22" t="s">
        <v>262</v>
      </c>
      <c r="B222" s="2"/>
      <c r="C222" s="24" t="s">
        <v>60</v>
      </c>
      <c r="D222" s="25"/>
      <c r="E222" s="55"/>
      <c r="F222" s="41"/>
      <c r="G222" s="33"/>
      <c r="H222" s="241">
        <v>0</v>
      </c>
      <c r="I222" s="27">
        <v>0</v>
      </c>
      <c r="J222" s="28">
        <f>SUMIFS(Aut_BlueMe_Sem_Pedido!$J:$J,Aut_BlueMe_Sem_Pedido!$Q:$Q,DRE!H$4,Aut_BlueMe_Sem_Pedido!$H:$H,DRE!$A222)+SUMIFS(Aut_Ajustes_Manuais!$G:$G,Aut_Ajustes_Manuais!$I:$I,DRE!H$4,Aut_Ajustes_Manuais!$F:$F,"Arrendamento")</f>
        <v>0</v>
      </c>
      <c r="K222" s="241">
        <v>0</v>
      </c>
      <c r="L222" s="27">
        <v>0</v>
      </c>
      <c r="M222" s="28">
        <f>SUMIFS(Aut_BlueMe_Sem_Pedido!$J:$J,Aut_BlueMe_Sem_Pedido!$Q:$Q,DRE!K$4,Aut_BlueMe_Sem_Pedido!$H:$H,DRE!$A222)+SUMIFS(Aut_Ajustes_Manuais!$G:$G,Aut_Ajustes_Manuais!$I:$I,DRE!K$4,Aut_Ajustes_Manuais!$F:$F,"Arrendamento")</f>
        <v>0</v>
      </c>
      <c r="N222" s="241">
        <v>0</v>
      </c>
      <c r="O222" s="27">
        <v>0</v>
      </c>
      <c r="P222" s="28">
        <f>SUMIFS(Aut_BlueMe_Sem_Pedido!$J:$J,Aut_BlueMe_Sem_Pedido!$Q:$Q,DRE!N$4,Aut_BlueMe_Sem_Pedido!$H:$H,DRE!$A222)+SUMIFS(Aut_Ajustes_Manuais!$G:$G,Aut_Ajustes_Manuais!$I:$I,DRE!N$4,Aut_Ajustes_Manuais!$F:$F,"Arrendamento")</f>
        <v>0</v>
      </c>
      <c r="Q222" s="241">
        <v>0</v>
      </c>
      <c r="R222" s="27">
        <v>0</v>
      </c>
      <c r="S222" s="28">
        <f>SUMIFS(Aut_BlueMe_Sem_Pedido!$J:$J,Aut_BlueMe_Sem_Pedido!$Q:$Q,DRE!Q$4,Aut_BlueMe_Sem_Pedido!$H:$H,DRE!$A222)+SUMIFS(Aut_Ajustes_Manuais!$G:$G,Aut_Ajustes_Manuais!$I:$I,DRE!Q$4,Aut_Ajustes_Manuais!$F:$F,"Arrendamento")</f>
        <v>0</v>
      </c>
      <c r="T222" s="241">
        <v>0</v>
      </c>
      <c r="U222" s="27">
        <v>0</v>
      </c>
      <c r="V222" s="28">
        <f>SUMIFS(Aut_BlueMe_Sem_Pedido!$J:$J,Aut_BlueMe_Sem_Pedido!$Q:$Q,DRE!T$4,Aut_BlueMe_Sem_Pedido!$H:$H,DRE!$A222)+SUMIFS(Aut_Ajustes_Manuais!$G:$G,Aut_Ajustes_Manuais!$I:$I,DRE!T$4,Aut_Ajustes_Manuais!$F:$F,"Arrendamento")</f>
        <v>0</v>
      </c>
      <c r="W222" s="241">
        <v>0</v>
      </c>
      <c r="X222" s="27">
        <v>0</v>
      </c>
      <c r="Y222" s="28">
        <f>SUMIFS(Aut_BlueMe_Sem_Pedido!$J:$J,Aut_BlueMe_Sem_Pedido!$Q:$Q,DRE!W$4,Aut_BlueMe_Sem_Pedido!$H:$H,DRE!$A222)+SUMIFS(Aut_Ajustes_Manuais!$G:$G,Aut_Ajustes_Manuais!$I:$I,DRE!W$4,Aut_Ajustes_Manuais!$F:$F,"Arrendamento")</f>
        <v>0</v>
      </c>
      <c r="Z222" s="241">
        <v>0</v>
      </c>
      <c r="AA222" s="27">
        <v>0</v>
      </c>
      <c r="AB222" s="28">
        <f>SUMIFS(Aut_BlueMe_Sem_Pedido!$J:$J,Aut_BlueMe_Sem_Pedido!$Q:$Q,DRE!Z$4,Aut_BlueMe_Sem_Pedido!$H:$H,DRE!$A222)+SUMIFS(Aut_Ajustes_Manuais!$G:$G,Aut_Ajustes_Manuais!$I:$I,DRE!Z$4,Aut_Ajustes_Manuais!$F:$F,"Arrendamento")</f>
        <v>0</v>
      </c>
      <c r="AC222" s="241">
        <v>0</v>
      </c>
      <c r="AD222" s="27">
        <v>0</v>
      </c>
      <c r="AE222" s="28">
        <f>SUMIFS(Aut_BlueMe_Sem_Pedido!$J:$J,Aut_BlueMe_Sem_Pedido!$Q:$Q,DRE!AC$4,Aut_BlueMe_Sem_Pedido!$H:$H,DRE!$A222)+SUMIFS(Aut_Ajustes_Manuais!$G:$G,Aut_Ajustes_Manuais!$I:$I,DRE!AC$4,Aut_Ajustes_Manuais!$F:$F,"Arrendamento")</f>
        <v>0</v>
      </c>
      <c r="AF222" s="241">
        <v>0</v>
      </c>
      <c r="AG222" s="27">
        <v>0</v>
      </c>
      <c r="AH222" s="28">
        <f>SUMIFS(Aut_BlueMe_Sem_Pedido!$J:$J,Aut_BlueMe_Sem_Pedido!$Q:$Q,DRE!AF$4,Aut_BlueMe_Sem_Pedido!$H:$H,DRE!$A222)+SUMIFS(Aut_Ajustes_Manuais!$G:$G,Aut_Ajustes_Manuais!$I:$I,DRE!AF$4,Aut_Ajustes_Manuais!$F:$F,"Arrendamento")</f>
        <v>0</v>
      </c>
      <c r="AI222" s="241">
        <v>0</v>
      </c>
      <c r="AJ222" s="27">
        <v>0</v>
      </c>
      <c r="AK222" s="28">
        <f>SUMIFS(Aut_BlueMe_Sem_Pedido!$J:$J,Aut_BlueMe_Sem_Pedido!$Q:$Q,DRE!AI$4,Aut_BlueMe_Sem_Pedido!$H:$H,DRE!$A222)+SUMIFS(Aut_Ajustes_Manuais!$G:$G,Aut_Ajustes_Manuais!$I:$I,DRE!AI$4,Aut_Ajustes_Manuais!$F:$F,"Arrendamento")</f>
        <v>0</v>
      </c>
      <c r="AL222" s="241">
        <v>0</v>
      </c>
      <c r="AM222" s="27">
        <v>0</v>
      </c>
      <c r="AN222" s="28">
        <f>SUMIFS(Aut_BlueMe_Sem_Pedido!$J:$J,Aut_BlueMe_Sem_Pedido!$Q:$Q,DRE!AL$4,Aut_BlueMe_Sem_Pedido!$H:$H,DRE!$A222)+SUMIFS(Aut_Ajustes_Manuais!$G:$G,Aut_Ajustes_Manuais!$I:$I,DRE!AL$4,Aut_Ajustes_Manuais!$F:$F,"Arrendamento")</f>
        <v>0</v>
      </c>
      <c r="AO222" s="241">
        <v>0</v>
      </c>
      <c r="AP222" s="27">
        <v>0</v>
      </c>
      <c r="AQ222" s="28">
        <f>SUMIFS(Aut_BlueMe_Sem_Pedido!$J:$J,Aut_BlueMe_Sem_Pedido!$Q:$Q,DRE!AO$4,Aut_BlueMe_Sem_Pedido!$H:$H,DRE!$A222)+SUMIFS(Aut_Ajustes_Manuais!$G:$G,Aut_Ajustes_Manuais!$I:$I,DRE!AO$4,Aut_Ajustes_Manuais!$F:$F,"Arrendamento")</f>
        <v>0</v>
      </c>
      <c r="AR222" s="241">
        <f t="shared" ca="1" si="190"/>
        <v>0</v>
      </c>
      <c r="AS222" s="27">
        <f t="shared" ca="1" si="191"/>
        <v>0</v>
      </c>
      <c r="AT222" s="28">
        <f t="shared" ca="1" si="192"/>
        <v>0</v>
      </c>
      <c r="AU222" s="241">
        <f t="shared" si="193"/>
        <v>0</v>
      </c>
      <c r="AV222" s="27">
        <f t="shared" si="193"/>
        <v>0</v>
      </c>
      <c r="AW222" s="28">
        <f t="shared" si="193"/>
        <v>0</v>
      </c>
      <c r="AX222" s="241">
        <f t="shared" si="194"/>
        <v>0</v>
      </c>
      <c r="AY222" s="27">
        <f t="shared" si="194"/>
        <v>0</v>
      </c>
      <c r="AZ222" s="28">
        <f t="shared" si="194"/>
        <v>0</v>
      </c>
      <c r="BA222" s="241">
        <f t="shared" si="195"/>
        <v>0</v>
      </c>
      <c r="BB222" s="27">
        <f t="shared" si="195"/>
        <v>0</v>
      </c>
      <c r="BC222" s="28">
        <f t="shared" si="195"/>
        <v>0</v>
      </c>
      <c r="BD222" s="241">
        <f t="shared" si="196"/>
        <v>0</v>
      </c>
      <c r="BE222" s="27">
        <f t="shared" si="196"/>
        <v>0</v>
      </c>
      <c r="BF222" s="28">
        <f t="shared" si="196"/>
        <v>0</v>
      </c>
      <c r="BG222" s="241">
        <f t="shared" si="197"/>
        <v>0</v>
      </c>
      <c r="BH222" s="27">
        <f t="shared" si="197"/>
        <v>0</v>
      </c>
      <c r="BI222" s="28">
        <f t="shared" si="197"/>
        <v>0</v>
      </c>
    </row>
    <row r="223" spans="1:61" s="29" customFormat="1" hidden="1" outlineLevel="1" x14ac:dyDescent="0.3">
      <c r="A223" s="22" t="s">
        <v>263</v>
      </c>
      <c r="B223" s="2"/>
      <c r="C223" s="24" t="s">
        <v>60</v>
      </c>
      <c r="D223" s="111"/>
      <c r="E223" s="55"/>
      <c r="F223" s="41"/>
      <c r="G223" s="33"/>
      <c r="H223" s="241">
        <v>0</v>
      </c>
      <c r="I223" s="27">
        <v>0</v>
      </c>
      <c r="J223" s="28">
        <f>SUMIFS(Aut_BlueMe_Sem_Pedido!$J:$J,Aut_BlueMe_Sem_Pedido!$Q:$Q,DRE!H$4,Aut_BlueMe_Sem_Pedido!$H:$H,DRE!$A223)+SUMIFS(Aut_Ajustes_Manuais!$G:$G,Aut_Ajustes_Manuais!$I:$I,DRE!H$4,Aut_Ajustes_Manuais!$F:$F,"Taxas publicas administrativas - Ocupação")</f>
        <v>0</v>
      </c>
      <c r="K223" s="241">
        <v>0</v>
      </c>
      <c r="L223" s="27">
        <v>0</v>
      </c>
      <c r="M223" s="28">
        <f>SUMIFS(Aut_BlueMe_Sem_Pedido!$J:$J,Aut_BlueMe_Sem_Pedido!$Q:$Q,DRE!K$4,Aut_BlueMe_Sem_Pedido!$H:$H,DRE!$A223)+SUMIFS(Aut_Ajustes_Manuais!$G:$G,Aut_Ajustes_Manuais!$I:$I,DRE!K$4,Aut_Ajustes_Manuais!$F:$F,"Taxas publicas administrativas - Ocupação")</f>
        <v>0</v>
      </c>
      <c r="N223" s="241">
        <v>0</v>
      </c>
      <c r="O223" s="27">
        <v>0</v>
      </c>
      <c r="P223" s="28">
        <f>SUMIFS(Aut_BlueMe_Sem_Pedido!$J:$J,Aut_BlueMe_Sem_Pedido!$Q:$Q,DRE!N$4,Aut_BlueMe_Sem_Pedido!$H:$H,DRE!$A223)+SUMIFS(Aut_Ajustes_Manuais!$G:$G,Aut_Ajustes_Manuais!$I:$I,DRE!N$4,Aut_Ajustes_Manuais!$F:$F,"Taxas publicas administrativas - Ocupação")</f>
        <v>0</v>
      </c>
      <c r="Q223" s="241">
        <v>0</v>
      </c>
      <c r="R223" s="27">
        <v>0</v>
      </c>
      <c r="S223" s="28">
        <f>SUMIFS(Aut_BlueMe_Sem_Pedido!$J:$J,Aut_BlueMe_Sem_Pedido!$Q:$Q,DRE!Q$4,Aut_BlueMe_Sem_Pedido!$H:$H,DRE!$A223)+SUMIFS(Aut_Ajustes_Manuais!$G:$G,Aut_Ajustes_Manuais!$I:$I,DRE!Q$4,Aut_Ajustes_Manuais!$F:$F,"Taxas publicas administrativas - Ocupação")</f>
        <v>0</v>
      </c>
      <c r="T223" s="241">
        <v>0</v>
      </c>
      <c r="U223" s="27">
        <v>0</v>
      </c>
      <c r="V223" s="28">
        <f>SUMIFS(Aut_BlueMe_Sem_Pedido!$J:$J,Aut_BlueMe_Sem_Pedido!$Q:$Q,DRE!T$4,Aut_BlueMe_Sem_Pedido!$H:$H,DRE!$A223)+SUMIFS(Aut_Ajustes_Manuais!$G:$G,Aut_Ajustes_Manuais!$I:$I,DRE!T$4,Aut_Ajustes_Manuais!$F:$F,"Taxas publicas administrativas - Ocupação")</f>
        <v>0</v>
      </c>
      <c r="W223" s="241">
        <v>-226.68</v>
      </c>
      <c r="X223" s="27">
        <v>-220.55459999999999</v>
      </c>
      <c r="Y223" s="28">
        <f>SUMIFS(Aut_BlueMe_Sem_Pedido!$J:$J,Aut_BlueMe_Sem_Pedido!$Q:$Q,DRE!W$4,Aut_BlueMe_Sem_Pedido!$H:$H,DRE!$A223)+SUMIFS(Aut_Ajustes_Manuais!$G:$G,Aut_Ajustes_Manuais!$I:$I,DRE!W$4,Aut_Ajustes_Manuais!$F:$F,"Taxas publicas administrativas - Ocupação")</f>
        <v>-472.7</v>
      </c>
      <c r="Z223" s="241">
        <v>0</v>
      </c>
      <c r="AA223" s="27">
        <v>0</v>
      </c>
      <c r="AB223" s="28">
        <f>SUMIFS(Aut_BlueMe_Sem_Pedido!$J:$J,Aut_BlueMe_Sem_Pedido!$Q:$Q,DRE!Z$4,Aut_BlueMe_Sem_Pedido!$H:$H,DRE!$A223)+SUMIFS(Aut_Ajustes_Manuais!$G:$G,Aut_Ajustes_Manuais!$I:$I,DRE!Z$4,Aut_Ajustes_Manuais!$F:$F,"Taxas publicas administrativas - Ocupação")</f>
        <v>0</v>
      </c>
      <c r="AC223" s="241">
        <v>0</v>
      </c>
      <c r="AD223" s="27">
        <v>0</v>
      </c>
      <c r="AE223" s="28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>0</v>
      </c>
      <c r="AF223" s="241">
        <v>0</v>
      </c>
      <c r="AG223" s="27">
        <v>0</v>
      </c>
      <c r="AH223" s="28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>0</v>
      </c>
      <c r="AI223" s="241">
        <v>0</v>
      </c>
      <c r="AJ223" s="27">
        <v>0</v>
      </c>
      <c r="AK223" s="28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>0</v>
      </c>
      <c r="AL223" s="241">
        <v>0</v>
      </c>
      <c r="AM223" s="27">
        <v>0</v>
      </c>
      <c r="AN223" s="28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>0</v>
      </c>
      <c r="AO223" s="241">
        <v>0</v>
      </c>
      <c r="AP223" s="27">
        <v>0</v>
      </c>
      <c r="AQ223" s="28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>0</v>
      </c>
      <c r="AR223" s="241">
        <f t="shared" ca="1" si="190"/>
        <v>-226.68</v>
      </c>
      <c r="AS223" s="27">
        <f t="shared" ca="1" si="191"/>
        <v>-220.55459999999999</v>
      </c>
      <c r="AT223" s="28">
        <f t="shared" ca="1" si="192"/>
        <v>-472.7</v>
      </c>
      <c r="AU223" s="241">
        <f t="shared" si="193"/>
        <v>-226.68</v>
      </c>
      <c r="AV223" s="27">
        <f t="shared" si="193"/>
        <v>-220.55459999999999</v>
      </c>
      <c r="AW223" s="28">
        <f t="shared" si="193"/>
        <v>-472.7</v>
      </c>
      <c r="AX223" s="241">
        <f t="shared" si="194"/>
        <v>0</v>
      </c>
      <c r="AY223" s="27">
        <f t="shared" si="194"/>
        <v>0</v>
      </c>
      <c r="AZ223" s="28">
        <f t="shared" si="194"/>
        <v>0</v>
      </c>
      <c r="BA223" s="241">
        <f t="shared" si="195"/>
        <v>-226.68</v>
      </c>
      <c r="BB223" s="27">
        <f t="shared" si="195"/>
        <v>-220.55459999999999</v>
      </c>
      <c r="BC223" s="28">
        <f t="shared" si="195"/>
        <v>-472.7</v>
      </c>
      <c r="BD223" s="241">
        <f t="shared" si="196"/>
        <v>0</v>
      </c>
      <c r="BE223" s="27">
        <f t="shared" si="196"/>
        <v>0</v>
      </c>
      <c r="BF223" s="28">
        <f t="shared" si="196"/>
        <v>0</v>
      </c>
      <c r="BG223" s="241">
        <f t="shared" si="197"/>
        <v>0</v>
      </c>
      <c r="BH223" s="27">
        <f t="shared" si="197"/>
        <v>0</v>
      </c>
      <c r="BI223" s="28">
        <f t="shared" si="197"/>
        <v>0</v>
      </c>
    </row>
    <row r="224" spans="1:61" collapsed="1" x14ac:dyDescent="0.3">
      <c r="A224" s="71" t="s">
        <v>44</v>
      </c>
      <c r="B224" s="59"/>
      <c r="C224" s="60"/>
      <c r="D224" s="61"/>
      <c r="E224" s="62"/>
      <c r="F224" s="63"/>
      <c r="G224" s="47"/>
      <c r="H224" s="245">
        <v>-0.1743245331809482</v>
      </c>
      <c r="I224" s="50">
        <v>-0.15467008017032699</v>
      </c>
      <c r="J224" s="51">
        <f>IFERROR(J216/J8,0)+SUMIFS(Aut_Ajustes_Manuais!$G:$G,Aut_Ajustes_Manuais!$I:$I,DRE!H$4,Aut_Ajustes_Manuais!$F:$F,"% sobre Receita Bruta")</f>
        <v>-0.13255570132561323</v>
      </c>
      <c r="K224" s="245">
        <v>-0.17017438119754799</v>
      </c>
      <c r="L224" s="50">
        <v>-0.1403471209256193</v>
      </c>
      <c r="M224" s="51">
        <f>IFERROR(M216/M8,0)+SUMIFS(Aut_Ajustes_Manuais!$G:$G,Aut_Ajustes_Manuais!$I:$I,DRE!K$4,Aut_Ajustes_Manuais!$F:$F,"% sobre Receita Bruta")</f>
        <v>-0.1294434521085433</v>
      </c>
      <c r="N224" s="245">
        <v>-0.1174117319835311</v>
      </c>
      <c r="O224" s="50">
        <v>-0.11094771704999511</v>
      </c>
      <c r="P224" s="51">
        <f>IFERROR(P216/P8,0)+SUMIFS(Aut_Ajustes_Manuais!$G:$G,Aut_Ajustes_Manuais!$I:$I,DRE!N$4,Aut_Ajustes_Manuais!$F:$F,"% sobre Receita Bruta")</f>
        <v>-9.719073665304373E-2</v>
      </c>
      <c r="Q224" s="245">
        <v>-0.12328756934104371</v>
      </c>
      <c r="R224" s="50">
        <v>-0.117166078851243</v>
      </c>
      <c r="S224" s="51">
        <f>IFERROR(S216/S8,0)+SUMIFS(Aut_Ajustes_Manuais!$G:$G,Aut_Ajustes_Manuais!$I:$I,DRE!Q$4,Aut_Ajustes_Manuais!$F:$F,"% sobre Receita Bruta")</f>
        <v>-0.12246144466599421</v>
      </c>
      <c r="T224" s="245">
        <v>-0.1231139437582025</v>
      </c>
      <c r="U224" s="50">
        <v>-0.1183303791815153</v>
      </c>
      <c r="V224" s="51">
        <f>IFERROR(V216/V8,0)+SUMIFS(Aut_Ajustes_Manuais!$G:$G,Aut_Ajustes_Manuais!$I:$I,DRE!T$4,Aut_Ajustes_Manuais!$F:$F,"% sobre Receita Bruta")</f>
        <v>-0.11881164500664713</v>
      </c>
      <c r="W224" s="245">
        <v>-0.12668286335522999</v>
      </c>
      <c r="X224" s="50">
        <v>-0.12781482817632639</v>
      </c>
      <c r="Y224" s="51">
        <f>IFERROR(Y216/Y8,0)+SUMIFS(Aut_Ajustes_Manuais!$G:$G,Aut_Ajustes_Manuais!$I:$I,DRE!W$4,Aut_Ajustes_Manuais!$F:$F,"% sobre Receita Bruta")</f>
        <v>-0.11751966525068229</v>
      </c>
      <c r="Z224" s="245">
        <v>-0.103099328933871</v>
      </c>
      <c r="AA224" s="50">
        <v>-9.7341792949074885E-2</v>
      </c>
      <c r="AB224" s="51">
        <f>IFERROR(AB216/AB8,0)+SUMIFS(Aut_Ajustes_Manuais!$G:$G,Aut_Ajustes_Manuais!$I:$I,DRE!Z$4,Aut_Ajustes_Manuais!$F:$F,"% sobre Receita Bruta")</f>
        <v>-0.31676996429759013</v>
      </c>
      <c r="AC224" s="245">
        <v>-0.1085699059475362</v>
      </c>
      <c r="AD224" s="50">
        <v>-0.1034363073255804</v>
      </c>
      <c r="AE224" s="51">
        <f>IFERROR(AE216/AE8,0)+SUMIFS(Aut_Ajustes_Manuais!$G:$G,Aut_Ajustes_Manuais!$I:$I,DRE!AC$4,Aut_Ajustes_Manuais!$F:$F,"% sobre Receita Bruta")</f>
        <v>-14.768620370370371</v>
      </c>
      <c r="AF224" s="245">
        <v>-0.12532616831860721</v>
      </c>
      <c r="AG224" s="50">
        <v>-0.1161445596309624</v>
      </c>
      <c r="AH224" s="51">
        <f>IFERROR(AH216/AH8,0)+SUMIFS(Aut_Ajustes_Manuais!$G:$G,Aut_Ajustes_Manuais!$I:$I,DRE!AF$4,Aut_Ajustes_Manuais!$F:$F,"% sobre Receita Bruta")</f>
        <v>0</v>
      </c>
      <c r="AI224" s="245">
        <v>-0.1230945874996056</v>
      </c>
      <c r="AJ224" s="50">
        <v>-0.11246846459938049</v>
      </c>
      <c r="AK224" s="51">
        <f>IFERROR(AK216/AK8,0)+SUMIFS(Aut_Ajustes_Manuais!$G:$G,Aut_Ajustes_Manuais!$I:$I,DRE!AI$4,Aut_Ajustes_Manuais!$F:$F,"% sobre Receita Bruta")</f>
        <v>0</v>
      </c>
      <c r="AL224" s="245">
        <v>-0.1112747569105059</v>
      </c>
      <c r="AM224" s="50">
        <v>-0.10627557306524719</v>
      </c>
      <c r="AN224" s="51">
        <f>IFERROR(AN216/AN8,0)+SUMIFS(Aut_Ajustes_Manuais!$G:$G,Aut_Ajustes_Manuais!$I:$I,DRE!AL$4,Aut_Ajustes_Manuais!$F:$F,"% sobre Receita Bruta")</f>
        <v>-11.903067164179104</v>
      </c>
      <c r="AO224" s="245">
        <v>-6.5847064214775083E-2</v>
      </c>
      <c r="AP224" s="50">
        <v>-8.3215746822414463E-2</v>
      </c>
      <c r="AQ224" s="51">
        <f>IFERROR(AQ216/AQ8,0)+SUMIFS(Aut_Ajustes_Manuais!$G:$G,Aut_Ajustes_Manuais!$I:$I,DRE!AO$4,Aut_Ajustes_Manuais!$F:$F,"% sobre Receita Bruta")</f>
        <v>0</v>
      </c>
      <c r="AR224" s="245">
        <f t="shared" ref="AR224:BI224" ca="1" si="198">IFERROR(AR216/AR8,0)</f>
        <v>-0.13599106300561611</v>
      </c>
      <c r="AS224" s="50">
        <f t="shared" ca="1" si="198"/>
        <v>-0.12656746802567173</v>
      </c>
      <c r="AT224" s="51">
        <f t="shared" ca="1" si="198"/>
        <v>-0.11841195514100872</v>
      </c>
      <c r="AU224" s="245">
        <f t="shared" si="198"/>
        <v>-0.11625294441005714</v>
      </c>
      <c r="AV224" s="50">
        <f t="shared" si="198"/>
        <v>-0.11290075296889851</v>
      </c>
      <c r="AW224" s="51">
        <f t="shared" si="198"/>
        <v>-0.21005180797692433</v>
      </c>
      <c r="AX224" s="245">
        <f t="shared" si="198"/>
        <v>-0.14961258002674491</v>
      </c>
      <c r="AY224" s="50">
        <f t="shared" si="198"/>
        <v>-0.13275406143866744</v>
      </c>
      <c r="AZ224" s="51">
        <f t="shared" si="198"/>
        <v>-0.11727889852545303</v>
      </c>
      <c r="BA224" s="245">
        <f t="shared" si="198"/>
        <v>-0.1243433243753827</v>
      </c>
      <c r="BB224" s="50">
        <f t="shared" si="198"/>
        <v>-0.12092962137102871</v>
      </c>
      <c r="BC224" s="51">
        <f t="shared" si="198"/>
        <v>-0.11955533537466784</v>
      </c>
      <c r="BD224" s="245">
        <f t="shared" si="198"/>
        <v>-0.11158552949868822</v>
      </c>
      <c r="BE224" s="50">
        <f t="shared" si="198"/>
        <v>-0.10509043114719156</v>
      </c>
      <c r="BF224" s="51">
        <f t="shared" si="198"/>
        <v>-0.93035484869669882</v>
      </c>
      <c r="BG224" s="245">
        <f t="shared" si="198"/>
        <v>-9.2887009595588349E-2</v>
      </c>
      <c r="BH224" s="50">
        <f t="shared" si="198"/>
        <v>-9.8951648146909599E-2</v>
      </c>
      <c r="BI224" s="51">
        <f t="shared" si="198"/>
        <v>-35.709201492537311</v>
      </c>
    </row>
    <row r="225" spans="1:61" x14ac:dyDescent="0.3">
      <c r="A225" s="18"/>
      <c r="E225" s="16"/>
      <c r="F225" s="17"/>
      <c r="H225" s="261"/>
      <c r="I225" s="233"/>
      <c r="J225" s="112"/>
      <c r="K225" s="261"/>
      <c r="L225" s="233"/>
      <c r="M225" s="112"/>
      <c r="N225" s="261"/>
      <c r="O225" s="233"/>
      <c r="P225" s="112"/>
      <c r="Q225" s="261"/>
      <c r="R225" s="233"/>
      <c r="S225" s="112"/>
      <c r="T225" s="261"/>
      <c r="U225" s="233"/>
      <c r="V225" s="112"/>
      <c r="W225" s="261"/>
      <c r="X225" s="233"/>
      <c r="Y225" s="112"/>
      <c r="Z225" s="261"/>
      <c r="AA225" s="233"/>
      <c r="AB225" s="112"/>
      <c r="AC225" s="261"/>
      <c r="AD225" s="233"/>
      <c r="AE225" s="112"/>
      <c r="AF225" s="261"/>
      <c r="AG225" s="233"/>
      <c r="AH225" s="112"/>
      <c r="AI225" s="261"/>
      <c r="AJ225" s="233"/>
      <c r="AK225" s="112"/>
      <c r="AL225" s="261"/>
      <c r="AM225" s="233"/>
      <c r="AN225" s="112"/>
      <c r="AO225" s="261"/>
      <c r="AP225" s="233"/>
      <c r="AQ225" s="112"/>
      <c r="AR225" s="261"/>
      <c r="AS225" s="233"/>
      <c r="AT225" s="112"/>
      <c r="AU225" s="261"/>
      <c r="AV225" s="233"/>
      <c r="AW225" s="112"/>
      <c r="AX225" s="261"/>
      <c r="AY225" s="233"/>
      <c r="AZ225" s="112"/>
      <c r="BA225" s="261"/>
      <c r="BB225" s="233"/>
      <c r="BC225" s="112"/>
      <c r="BD225" s="261"/>
      <c r="BE225" s="233"/>
      <c r="BF225" s="112"/>
      <c r="BG225" s="261"/>
      <c r="BH225" s="233"/>
      <c r="BI225" s="112"/>
    </row>
    <row r="226" spans="1:61" x14ac:dyDescent="0.3">
      <c r="A226" s="39" t="s">
        <v>264</v>
      </c>
      <c r="C226" s="40" t="s">
        <v>35</v>
      </c>
      <c r="D226" s="40" t="s">
        <v>36</v>
      </c>
      <c r="E226" s="40" t="s">
        <v>202</v>
      </c>
      <c r="F226" s="41"/>
      <c r="H226" s="244">
        <v>-38294.519999999997</v>
      </c>
      <c r="I226" s="42">
        <v>-40580.089477913541</v>
      </c>
      <c r="J226" s="43">
        <f>SUM(J227:J240)+SUMIFS(Aut_Ajustes_Manuais!$G:$G,Aut_Ajustes_Manuais!$I:$I,DRE!H$4,Aut_Ajustes_Manuais!$F:$F,"Utilidades")</f>
        <v>-39696.579999999994</v>
      </c>
      <c r="K226" s="244">
        <v>-37223.589999999997</v>
      </c>
      <c r="L226" s="42">
        <v>-41014.90085401429</v>
      </c>
      <c r="M226" s="43">
        <f>SUM(M227:M240)+SUMIFS(Aut_Ajustes_Manuais!$G:$G,Aut_Ajustes_Manuais!$I:$I,DRE!K$4,Aut_Ajustes_Manuais!$F:$F,"Utilidades")</f>
        <v>-40302.720000000001</v>
      </c>
      <c r="N226" s="244">
        <v>-38943.480000000003</v>
      </c>
      <c r="O226" s="42">
        <v>-41573.987455814531</v>
      </c>
      <c r="P226" s="43">
        <f>SUM(P227:P240)+SUMIFS(Aut_Ajustes_Manuais!$G:$G,Aut_Ajustes_Manuais!$I:$I,DRE!N$4,Aut_Ajustes_Manuais!$F:$F,"Utilidades")</f>
        <v>-39667.700000000004</v>
      </c>
      <c r="Q226" s="244">
        <v>-33760.180000000008</v>
      </c>
      <c r="R226" s="42">
        <v>-41311.927713885008</v>
      </c>
      <c r="S226" s="43">
        <f>SUM(S227:S240)+SUMIFS(Aut_Ajustes_Manuais!$G:$G,Aut_Ajustes_Manuais!$I:$I,DRE!Q$4,Aut_Ajustes_Manuais!$F:$F,"Utilidades")</f>
        <v>-42452.770000000004</v>
      </c>
      <c r="T226" s="244">
        <v>-35431.489999999991</v>
      </c>
      <c r="U226" s="42">
        <v>-41162.866599029017</v>
      </c>
      <c r="V226" s="43">
        <f>SUM(V227:V240)+SUMIFS(Aut_Ajustes_Manuais!$G:$G,Aut_Ajustes_Manuais!$I:$I,DRE!T$4,Aut_Ajustes_Manuais!$F:$F,"Utilidades")</f>
        <v>-48392.36</v>
      </c>
      <c r="W226" s="244">
        <v>-31730.60999999999</v>
      </c>
      <c r="X226" s="42">
        <v>-41109.055757093069</v>
      </c>
      <c r="Y226" s="43">
        <f>SUM(Y227:Y240)+SUMIFS(Aut_Ajustes_Manuais!$G:$G,Aut_Ajustes_Manuais!$I:$I,DRE!W$4,Aut_Ajustes_Manuais!$F:$F,"Utilidades")</f>
        <v>-31273.79</v>
      </c>
      <c r="Z226" s="244">
        <v>-38460.730000000003</v>
      </c>
      <c r="AA226" s="42">
        <v>-41707.056202980653</v>
      </c>
      <c r="AB226" s="43">
        <f>SUM(AB227:AB240)+SUMIFS(Aut_Ajustes_Manuais!$G:$G,Aut_Ajustes_Manuais!$I:$I,DRE!Z$4,Aut_Ajustes_Manuais!$F:$F,"Utilidades")</f>
        <v>-39256.42</v>
      </c>
      <c r="AC226" s="244">
        <v>-43978.390000000007</v>
      </c>
      <c r="AD226" s="42">
        <v>-41665.525308949997</v>
      </c>
      <c r="AE226" s="43">
        <f>SUM(AE227:AE240)+SUMIFS(Aut_Ajustes_Manuais!$G:$G,Aut_Ajustes_Manuais!$I:$I,DRE!AC$4,Aut_Ajustes_Manuais!$F:$F,"Utilidades")</f>
        <v>-34150</v>
      </c>
      <c r="AF226" s="244">
        <v>-38582.730000000003</v>
      </c>
      <c r="AG226" s="42">
        <v>-41223.955043272043</v>
      </c>
      <c r="AH226" s="43">
        <f>SUM(AH227:AH240)+SUMIFS(Aut_Ajustes_Manuais!$G:$G,Aut_Ajustes_Manuais!$I:$I,DRE!AF$4,Aut_Ajustes_Manuais!$F:$F,"Utilidades")</f>
        <v>-34150</v>
      </c>
      <c r="AI226" s="244">
        <v>-33246.93</v>
      </c>
      <c r="AJ226" s="42">
        <v>-41308.445752959269</v>
      </c>
      <c r="AK226" s="43">
        <f>SUM(AK227:AK240)+SUMIFS(Aut_Ajustes_Manuais!$G:$G,Aut_Ajustes_Manuais!$I:$I,DRE!AI$4,Aut_Ajustes_Manuais!$F:$F,"Utilidades")</f>
        <v>-34150</v>
      </c>
      <c r="AL226" s="244">
        <v>-39785.31</v>
      </c>
      <c r="AM226" s="42">
        <v>-41463.999729545969</v>
      </c>
      <c r="AN226" s="43">
        <f>SUM(AN227:AN240)+SUMIFS(Aut_Ajustes_Manuais!$G:$G,Aut_Ajustes_Manuais!$I:$I,DRE!AL$4,Aut_Ajustes_Manuais!$F:$F,"Utilidades")</f>
        <v>-34150</v>
      </c>
      <c r="AO226" s="244">
        <v>-41906.81</v>
      </c>
      <c r="AP226" s="42">
        <v>-42246.832371045908</v>
      </c>
      <c r="AQ226" s="43">
        <f>SUM(AQ227:AQ240)+SUMIFS(Aut_Ajustes_Manuais!$G:$G,Aut_Ajustes_Manuais!$I:$I,DRE!AO$4,Aut_Ajustes_Manuais!$F:$F,"Utilidades")</f>
        <v>-33600</v>
      </c>
      <c r="AR226" s="244">
        <f t="shared" ref="AR226:BI226" ca="1" si="199">SUM(AR227:AR240)</f>
        <v>-215383.87000000002</v>
      </c>
      <c r="AS226" s="42">
        <f t="shared" ca="1" si="199"/>
        <v>-246752.82785774939</v>
      </c>
      <c r="AT226" s="43">
        <f t="shared" ca="1" si="199"/>
        <v>-241785.91999999998</v>
      </c>
      <c r="AU226" s="244">
        <f t="shared" si="199"/>
        <v>-451344.77</v>
      </c>
      <c r="AV226" s="42">
        <f t="shared" si="199"/>
        <v>-496368.64226650313</v>
      </c>
      <c r="AW226" s="43">
        <f t="shared" si="199"/>
        <v>-451242.34</v>
      </c>
      <c r="AX226" s="244">
        <f t="shared" si="199"/>
        <v>-114461.59</v>
      </c>
      <c r="AY226" s="42">
        <f t="shared" si="199"/>
        <v>-123168.97778774236</v>
      </c>
      <c r="AZ226" s="43">
        <f t="shared" si="199"/>
        <v>-119667</v>
      </c>
      <c r="BA226" s="244">
        <f t="shared" si="199"/>
        <v>-100922.28</v>
      </c>
      <c r="BB226" s="42">
        <f t="shared" si="199"/>
        <v>-123583.85007000715</v>
      </c>
      <c r="BC226" s="43">
        <f t="shared" si="199"/>
        <v>-122118.92</v>
      </c>
      <c r="BD226" s="244">
        <f t="shared" si="199"/>
        <v>-121021.85</v>
      </c>
      <c r="BE226" s="42">
        <f t="shared" si="199"/>
        <v>-124596.53655520265</v>
      </c>
      <c r="BF226" s="43">
        <f t="shared" si="199"/>
        <v>-107556.41999999998</v>
      </c>
      <c r="BG226" s="244">
        <f t="shared" si="199"/>
        <v>-114939.04999999999</v>
      </c>
      <c r="BH226" s="42">
        <f t="shared" si="199"/>
        <v>-125019.27785355115</v>
      </c>
      <c r="BI226" s="43">
        <f t="shared" si="199"/>
        <v>-101900</v>
      </c>
    </row>
    <row r="227" spans="1:61" s="29" customFormat="1" hidden="1" outlineLevel="1" x14ac:dyDescent="0.3">
      <c r="A227" s="22" t="s">
        <v>265</v>
      </c>
      <c r="B227" s="23"/>
      <c r="C227" s="24" t="s">
        <v>60</v>
      </c>
      <c r="D227" s="113">
        <v>-14800</v>
      </c>
      <c r="E227" s="114">
        <v>-8.0000000000000004E-4</v>
      </c>
      <c r="F227" s="56"/>
      <c r="G227" s="33"/>
      <c r="H227" s="241">
        <v>-3752.63</v>
      </c>
      <c r="I227" s="27">
        <v>-5176.4626798103227</v>
      </c>
      <c r="J227" s="28">
        <f>SUMIFS(Aut_BlueMe_Sem_Pedido!$J:$J,Aut_BlueMe_Sem_Pedido!$Q:$Q,DRE!H$4,Aut_BlueMe_Sem_Pedido!$H:$H,DRE!$A227)+SUMIFS(Aut_Ajustes_Manuais!$G:$G,Aut_Ajustes_Manuais!$I:$I,DRE!H$4,Aut_Ajustes_Manuais!$F:$F,"Agua/Esgoto")</f>
        <v>-4055.66</v>
      </c>
      <c r="K227" s="241">
        <v>-5004.92</v>
      </c>
      <c r="L227" s="27">
        <v>-5193.4489867285711</v>
      </c>
      <c r="M227" s="28">
        <f>SUMIFS(Aut_BlueMe_Sem_Pedido!$J:$J,Aut_BlueMe_Sem_Pedido!$Q:$Q,DRE!K$4,Aut_BlueMe_Sem_Pedido!$H:$H,DRE!$A227)+SUMIFS(Aut_Ajustes_Manuais!$G:$G,Aut_Ajustes_Manuais!$I:$I,DRE!K$4,Aut_Ajustes_Manuais!$F:$F,"Agua/Esgoto")</f>
        <v>-5595.23</v>
      </c>
      <c r="N227" s="241">
        <v>-5826.63</v>
      </c>
      <c r="O227" s="27">
        <v>-5244.7099323467746</v>
      </c>
      <c r="P227" s="28">
        <f>SUMIFS(Aut_BlueMe_Sem_Pedido!$J:$J,Aut_BlueMe_Sem_Pedido!$Q:$Q,DRE!N$4,Aut_BlueMe_Sem_Pedido!$H:$H,DRE!$A227)+SUMIFS(Aut_Ajustes_Manuais!$G:$G,Aut_Ajustes_Manuais!$I:$I,DRE!N$4,Aut_Ajustes_Manuais!$F:$F,"Agua/Esgoto")</f>
        <v>-5423.6399999999994</v>
      </c>
      <c r="Q227" s="241">
        <v>-4474.05</v>
      </c>
      <c r="R227" s="27">
        <v>-5231.7224285350003</v>
      </c>
      <c r="S227" s="28">
        <f>SUMIFS(Aut_BlueMe_Sem_Pedido!$J:$J,Aut_BlueMe_Sem_Pedido!$Q:$Q,DRE!Q$4,Aut_BlueMe_Sem_Pedido!$H:$H,DRE!$A227)+SUMIFS(Aut_Ajustes_Manuais!$G:$G,Aut_Ajustes_Manuais!$I:$I,DRE!Q$4,Aut_Ajustes_Manuais!$F:$F,"Agua/Esgoto")</f>
        <v>-5817.84</v>
      </c>
      <c r="T227" s="241">
        <v>-4776.4299999999994</v>
      </c>
      <c r="U227" s="27">
        <v>-5229.4424180935484</v>
      </c>
      <c r="V227" s="28">
        <f>SUMIFS(Aut_BlueMe_Sem_Pedido!$J:$J,Aut_BlueMe_Sem_Pedido!$Q:$Q,DRE!T$4,Aut_BlueMe_Sem_Pedido!$H:$H,DRE!$A227)+SUMIFS(Aut_Ajustes_Manuais!$G:$G,Aut_Ajustes_Manuais!$I:$I,DRE!T$4,Aut_Ajustes_Manuais!$F:$F,"Agua/Esgoto")</f>
        <v>-5468.24</v>
      </c>
      <c r="W227" s="241">
        <v>-4958.03</v>
      </c>
      <c r="X227" s="27">
        <v>-5213.2795233720972</v>
      </c>
      <c r="Y227" s="28">
        <f>SUMIFS(Aut_BlueMe_Sem_Pedido!$J:$J,Aut_BlueMe_Sem_Pedido!$Q:$Q,DRE!W$4,Aut_BlueMe_Sem_Pedido!$H:$H,DRE!$A227)+SUMIFS(Aut_Ajustes_Manuais!$G:$G,Aut_Ajustes_Manuais!$I:$I,DRE!W$4,Aut_Ajustes_Manuais!$F:$F,"Agua/Esgoto")</f>
        <v>-5084.12</v>
      </c>
      <c r="Z227" s="241">
        <v>-5075.05</v>
      </c>
      <c r="AA227" s="27">
        <v>-5278.9142002709677</v>
      </c>
      <c r="AB227" s="28">
        <f>SUMIFS(Aut_BlueMe_Sem_Pedido!$J:$J,Aut_BlueMe_Sem_Pedido!$Q:$Q,DRE!Z$4,Aut_BlueMe_Sem_Pedido!$H:$H,DRE!$A227)+SUMIFS(Aut_Ajustes_Manuais!$G:$G,Aut_Ajustes_Manuais!$I:$I,DRE!Z$4,Aut_Ajustes_Manuais!$F:$F,"Agua/Esgoto")</f>
        <v>-7000</v>
      </c>
      <c r="AC227" s="241">
        <v>-4323.5</v>
      </c>
      <c r="AD227" s="27">
        <v>-5263.8676644500001</v>
      </c>
      <c r="AE227" s="28">
        <f>SUMIFS(Aut_BlueMe_Sem_Pedido!$J:$J,Aut_BlueMe_Sem_Pedido!$Q:$Q,DRE!AC$4,Aut_BlueMe_Sem_Pedido!$H:$H,DRE!$A227)+SUMIFS(Aut_Ajustes_Manuais!$G:$G,Aut_Ajustes_Manuais!$I:$I,DRE!AC$4,Aut_Ajustes_Manuais!$F:$F,"Agua/Esgoto")</f>
        <v>-7000</v>
      </c>
      <c r="AF227" s="241">
        <v>-5465.75</v>
      </c>
      <c r="AG227" s="27">
        <v>-5234.9959130247307</v>
      </c>
      <c r="AH227" s="28">
        <f>SUMIFS(Aut_BlueMe_Sem_Pedido!$J:$J,Aut_BlueMe_Sem_Pedido!$Q:$Q,DRE!AF$4,Aut_BlueMe_Sem_Pedido!$H:$H,DRE!$A227)+SUMIFS(Aut_Ajustes_Manuais!$G:$G,Aut_Ajustes_Manuais!$I:$I,DRE!AF$4,Aut_Ajustes_Manuais!$F:$F,"Agua/Esgoto")</f>
        <v>-7000</v>
      </c>
      <c r="AI227" s="241">
        <v>-4383.6000000000004</v>
      </c>
      <c r="AJ227" s="27">
        <v>-5242.6768866326611</v>
      </c>
      <c r="AK227" s="28">
        <f>SUMIFS(Aut_BlueMe_Sem_Pedido!$J:$J,Aut_BlueMe_Sem_Pedido!$Q:$Q,DRE!AI$4,Aut_BlueMe_Sem_Pedido!$H:$H,DRE!$A227)+SUMIFS(Aut_Ajustes_Manuais!$G:$G,Aut_Ajustes_Manuais!$I:$I,DRE!AI$4,Aut_Ajustes_Manuais!$F:$F,"Agua/Esgoto")</f>
        <v>-7000</v>
      </c>
      <c r="AL227" s="241">
        <v>-4925.0999999999995</v>
      </c>
      <c r="AM227" s="27">
        <v>-5256.8181572314516</v>
      </c>
      <c r="AN227" s="28">
        <f>SUMIFS(Aut_BlueMe_Sem_Pedido!$J:$J,Aut_BlueMe_Sem_Pedido!$Q:$Q,DRE!AL$4,Aut_BlueMe_Sem_Pedido!$H:$H,DRE!$A227)+SUMIFS(Aut_Ajustes_Manuais!$G:$G,Aut_Ajustes_Manuais!$I:$I,DRE!AL$4,Aut_Ajustes_Manuais!$F:$F,"Agua/Esgoto")</f>
        <v>-7000</v>
      </c>
      <c r="AO227" s="241">
        <v>-6846.1799999999994</v>
      </c>
      <c r="AP227" s="27">
        <v>-5327.9847610041716</v>
      </c>
      <c r="AQ227" s="28">
        <f>SUMIFS(Aut_BlueMe_Sem_Pedido!$J:$J,Aut_BlueMe_Sem_Pedido!$Q:$Q,DRE!AO$4,Aut_BlueMe_Sem_Pedido!$H:$H,DRE!$A227)+SUMIFS(Aut_Ajustes_Manuais!$G:$G,Aut_Ajustes_Manuais!$I:$I,DRE!AO$4,Aut_Ajustes_Manuais!$F:$F,"Agua/Esgoto")</f>
        <v>-7000</v>
      </c>
      <c r="AR227" s="241">
        <f t="shared" ref="AR227:AR240" ca="1" si="200">SUMIFS($H227:$AO227,$H$5:$AO$5,"&lt;"&amp;MONTH(TODAY()),$H$6:$AO$6,"REAL 25")</f>
        <v>-28792.69</v>
      </c>
      <c r="AS227" s="27">
        <f t="shared" ref="AS227:AS240" ca="1" si="201">SUMIFS($I227:$AP227,$I$5:$AP$5,"&lt;"&amp;MONTH(TODAY()),$I$6:$AP$6,"ORÇADO ")</f>
        <v>-31289.065968886312</v>
      </c>
      <c r="AT227" s="28">
        <f t="shared" ref="AT227:AT240" ca="1" si="202">SUMIFS($J227:$AQ227,$J$5:$AQ$5,"&lt;"&amp;MONTH(TODAY()),$J$6:$AQ$6,"REAL 26")</f>
        <v>-31444.73</v>
      </c>
      <c r="AU227" s="241">
        <f t="shared" ref="AU227:AU240" si="203">SUM(H227,K227,N227,Q227,T227,W227,Z227,AC227,AF227,AI227,AL227,AO227)</f>
        <v>-59811.869999999995</v>
      </c>
      <c r="AV227" s="27">
        <f t="shared" ref="AV227:AV240" si="204">SUM(I227,L227,O227,R227,U227,X227,AA227,AD227,AG227,AJ227,AM227,AP227)</f>
        <v>-62894.323551500289</v>
      </c>
      <c r="AW227" s="28">
        <f t="shared" ref="AW227:AW240" si="205">SUM(J227,M227,P227,S227,V227,Y227,AB227,AE227,AH227,AK227,AN227,AQ227)</f>
        <v>-73444.73</v>
      </c>
      <c r="AX227" s="241">
        <f t="shared" ref="AX227:AX240" si="206">SUM(H227,K227,N227)</f>
        <v>-14584.18</v>
      </c>
      <c r="AY227" s="27">
        <f t="shared" ref="AY227:AY240" si="207">SUM(I227,L227,O227)</f>
        <v>-15614.621598885667</v>
      </c>
      <c r="AZ227" s="28">
        <f t="shared" ref="AZ227:AZ240" si="208">SUM(J227,M227,P227)</f>
        <v>-15074.529999999999</v>
      </c>
      <c r="BA227" s="241">
        <f t="shared" ref="BA227:BA240" si="209">SUM(Q227,T227,W227)</f>
        <v>-14208.509999999998</v>
      </c>
      <c r="BB227" s="27">
        <f t="shared" ref="BB227:BB240" si="210">SUM(R227,U227,X227)</f>
        <v>-15674.444370000645</v>
      </c>
      <c r="BC227" s="28">
        <f t="shared" ref="BC227:BC240" si="211">SUM(S227,V227,Y227)</f>
        <v>-16370.2</v>
      </c>
      <c r="BD227" s="241">
        <f t="shared" ref="BD227:BD240" si="212">SUM(Z227,AC227,AF227)</f>
        <v>-14864.3</v>
      </c>
      <c r="BE227" s="27">
        <f t="shared" ref="BE227:BE240" si="213">SUM(AA227,AD227,AG227)</f>
        <v>-15777.777777745698</v>
      </c>
      <c r="BF227" s="28">
        <f t="shared" ref="BF227:BF240" si="214">SUM(AB227,AE227,AH227)</f>
        <v>-21000</v>
      </c>
      <c r="BG227" s="241">
        <f t="shared" ref="BG227:BG240" si="215">SUM(AI227,AL227,AO227)</f>
        <v>-16154.880000000001</v>
      </c>
      <c r="BH227" s="27">
        <f t="shared" ref="BH227:BH240" si="216">SUM(AJ227,AM227,AP227)</f>
        <v>-15827.479804868286</v>
      </c>
      <c r="BI227" s="28">
        <f t="shared" ref="BI227:BI240" si="217">SUM(AK227,AN227,AQ227)</f>
        <v>-21000</v>
      </c>
    </row>
    <row r="228" spans="1:61" s="29" customFormat="1" hidden="1" outlineLevel="1" x14ac:dyDescent="0.3">
      <c r="A228" s="22" t="s">
        <v>266</v>
      </c>
      <c r="B228" s="23"/>
      <c r="C228" s="24" t="s">
        <v>60</v>
      </c>
      <c r="D228" s="113">
        <v>-6600</v>
      </c>
      <c r="E228" s="114"/>
      <c r="F228" s="56"/>
      <c r="G228" s="33"/>
      <c r="H228" s="241">
        <v>-10232.629999999999</v>
      </c>
      <c r="I228" s="27">
        <v>-11026.46267981032</v>
      </c>
      <c r="J228" s="28">
        <f>SUMIFS(Aut_BlueMe_Sem_Pedido!$J:$J,Aut_BlueMe_Sem_Pedido!$Q:$Q,DRE!H$4,Aut_BlueMe_Sem_Pedido!$H:$H,DRE!$A228)+SUMIFS(Aut_Ajustes_Manuais!$G:$G,Aut_Ajustes_Manuais!$I:$I,DRE!H$4,Aut_Ajustes_Manuais!$F:$F,"Energia Eletrica")</f>
        <v>-13009.5</v>
      </c>
      <c r="K228" s="241">
        <v>-11241.79</v>
      </c>
      <c r="L228" s="27">
        <v>-11043.44898672857</v>
      </c>
      <c r="M228" s="28">
        <f>SUMIFS(Aut_BlueMe_Sem_Pedido!$J:$J,Aut_BlueMe_Sem_Pedido!$Q:$Q,DRE!K$4,Aut_BlueMe_Sem_Pedido!$H:$H,DRE!$A228)+SUMIFS(Aut_Ajustes_Manuais!$G:$G,Aut_Ajustes_Manuais!$I:$I,DRE!K$4,Aut_Ajustes_Manuais!$F:$F,"Energia Eletrica")</f>
        <v>-12084.36</v>
      </c>
      <c r="N228" s="241">
        <v>-15133.43</v>
      </c>
      <c r="O228" s="27">
        <v>-11094.70993234677</v>
      </c>
      <c r="P228" s="28">
        <f>SUMIFS(Aut_BlueMe_Sem_Pedido!$J:$J,Aut_BlueMe_Sem_Pedido!$Q:$Q,DRE!N$4,Aut_BlueMe_Sem_Pedido!$H:$H,DRE!$A228)+SUMIFS(Aut_Ajustes_Manuais!$G:$G,Aut_Ajustes_Manuais!$I:$I,DRE!N$4,Aut_Ajustes_Manuais!$F:$F,"Energia Eletrica")</f>
        <v>-13034.09</v>
      </c>
      <c r="Q228" s="241">
        <v>-10145.4</v>
      </c>
      <c r="R228" s="27">
        <v>-11081.722428535</v>
      </c>
      <c r="S228" s="28">
        <f>SUMIFS(Aut_BlueMe_Sem_Pedido!$J:$J,Aut_BlueMe_Sem_Pedido!$Q:$Q,DRE!Q$4,Aut_BlueMe_Sem_Pedido!$H:$H,DRE!$A228)+SUMIFS(Aut_Ajustes_Manuais!$G:$G,Aut_Ajustes_Manuais!$I:$I,DRE!Q$4,Aut_Ajustes_Manuais!$F:$F,"Energia Eletrica")</f>
        <v>-12787.67</v>
      </c>
      <c r="T228" s="241">
        <v>-10190.17</v>
      </c>
      <c r="U228" s="27">
        <v>-11079.442418093549</v>
      </c>
      <c r="V228" s="28">
        <f>SUMIFS(Aut_BlueMe_Sem_Pedido!$J:$J,Aut_BlueMe_Sem_Pedido!$Q:$Q,DRE!T$4,Aut_BlueMe_Sem_Pedido!$H:$H,DRE!$A228)+SUMIFS(Aut_Ajustes_Manuais!$G:$G,Aut_Ajustes_Manuais!$I:$I,DRE!T$4,Aut_Ajustes_Manuais!$F:$F,"Energia Eletrica")</f>
        <v>-11348.7</v>
      </c>
      <c r="W228" s="241">
        <v>-8774.4599999999991</v>
      </c>
      <c r="X228" s="27">
        <v>-11063.279523372101</v>
      </c>
      <c r="Y228" s="28">
        <f>SUMIFS(Aut_BlueMe_Sem_Pedido!$J:$J,Aut_BlueMe_Sem_Pedido!$Q:$Q,DRE!W$4,Aut_BlueMe_Sem_Pedido!$H:$H,DRE!$A228)+SUMIFS(Aut_Ajustes_Manuais!$G:$G,Aut_Ajustes_Manuais!$I:$I,DRE!W$4,Aut_Ajustes_Manuais!$F:$F,"Energia Eletrica")</f>
        <v>-9957.5300000000007</v>
      </c>
      <c r="Z228" s="241">
        <v>-10869.82</v>
      </c>
      <c r="AA228" s="27">
        <v>-11128.91420027097</v>
      </c>
      <c r="AB228" s="28">
        <f>SUMIFS(Aut_BlueMe_Sem_Pedido!$J:$J,Aut_BlueMe_Sem_Pedido!$Q:$Q,DRE!Z$4,Aut_BlueMe_Sem_Pedido!$H:$H,DRE!$A228)+SUMIFS(Aut_Ajustes_Manuais!$G:$G,Aut_Ajustes_Manuais!$I:$I,DRE!Z$4,Aut_Ajustes_Manuais!$F:$F,"Energia Eletrica")</f>
        <v>-15000</v>
      </c>
      <c r="AC228" s="241">
        <v>-10535.19</v>
      </c>
      <c r="AD228" s="27">
        <v>-11113.867664449999</v>
      </c>
      <c r="AE228" s="28">
        <f>SUMIFS(Aut_BlueMe_Sem_Pedido!$J:$J,Aut_BlueMe_Sem_Pedido!$Q:$Q,DRE!AC$4,Aut_BlueMe_Sem_Pedido!$H:$H,DRE!$A228)+SUMIFS(Aut_Ajustes_Manuais!$G:$G,Aut_Ajustes_Manuais!$I:$I,DRE!AC$4,Aut_Ajustes_Manuais!$F:$F,"Energia Eletrica")</f>
        <v>-15000</v>
      </c>
      <c r="AF228" s="241">
        <v>-11640.44</v>
      </c>
      <c r="AG228" s="27">
        <v>-11084.99591302473</v>
      </c>
      <c r="AH228" s="28">
        <f>SUMIFS(Aut_BlueMe_Sem_Pedido!$J:$J,Aut_BlueMe_Sem_Pedido!$Q:$Q,DRE!AF$4,Aut_BlueMe_Sem_Pedido!$H:$H,DRE!$A228)+SUMIFS(Aut_Ajustes_Manuais!$G:$G,Aut_Ajustes_Manuais!$I:$I,DRE!AF$4,Aut_Ajustes_Manuais!$F:$F,"Energia Eletrica")</f>
        <v>-15000</v>
      </c>
      <c r="AI228" s="241">
        <v>-11502.07</v>
      </c>
      <c r="AJ228" s="27">
        <v>-11092.67688663266</v>
      </c>
      <c r="AK228" s="28">
        <f>SUMIFS(Aut_BlueMe_Sem_Pedido!$J:$J,Aut_BlueMe_Sem_Pedido!$Q:$Q,DRE!AI$4,Aut_BlueMe_Sem_Pedido!$H:$H,DRE!$A228)+SUMIFS(Aut_Ajustes_Manuais!$G:$G,Aut_Ajustes_Manuais!$I:$I,DRE!AI$4,Aut_Ajustes_Manuais!$F:$F,"Energia Eletrica")</f>
        <v>-15000</v>
      </c>
      <c r="AL228" s="241">
        <v>-11271.49</v>
      </c>
      <c r="AM228" s="27">
        <v>-11106.81815723145</v>
      </c>
      <c r="AN228" s="28">
        <f>SUMIFS(Aut_BlueMe_Sem_Pedido!$J:$J,Aut_BlueMe_Sem_Pedido!$Q:$Q,DRE!AL$4,Aut_BlueMe_Sem_Pedido!$H:$H,DRE!$A228)+SUMIFS(Aut_Ajustes_Manuais!$G:$G,Aut_Ajustes_Manuais!$I:$I,DRE!AL$4,Aut_Ajustes_Manuais!$F:$F,"Energia Eletrica")</f>
        <v>-15000</v>
      </c>
      <c r="AO228" s="241">
        <v>-13457.95</v>
      </c>
      <c r="AP228" s="27">
        <v>-11177.984761004171</v>
      </c>
      <c r="AQ228" s="28">
        <f>SUMIFS(Aut_BlueMe_Sem_Pedido!$J:$J,Aut_BlueMe_Sem_Pedido!$Q:$Q,DRE!AO$4,Aut_BlueMe_Sem_Pedido!$H:$H,DRE!$A228)+SUMIFS(Aut_Ajustes_Manuais!$G:$G,Aut_Ajustes_Manuais!$I:$I,DRE!AO$4,Aut_Ajustes_Manuais!$F:$F,"Energia Eletrica")</f>
        <v>-15000</v>
      </c>
      <c r="AR228" s="241">
        <f t="shared" ca="1" si="200"/>
        <v>-65717.88</v>
      </c>
      <c r="AS228" s="27">
        <f t="shared" ca="1" si="201"/>
        <v>-66389.065968886309</v>
      </c>
      <c r="AT228" s="28">
        <f t="shared" ca="1" si="202"/>
        <v>-72221.849999999991</v>
      </c>
      <c r="AU228" s="241">
        <f t="shared" si="203"/>
        <v>-134994.84000000003</v>
      </c>
      <c r="AV228" s="27">
        <f t="shared" si="204"/>
        <v>-133094.32355150027</v>
      </c>
      <c r="AW228" s="28">
        <f t="shared" si="205"/>
        <v>-162221.84999999998</v>
      </c>
      <c r="AX228" s="241">
        <f t="shared" si="206"/>
        <v>-36607.85</v>
      </c>
      <c r="AY228" s="27">
        <f t="shared" si="207"/>
        <v>-33164.621598885657</v>
      </c>
      <c r="AZ228" s="28">
        <f t="shared" si="208"/>
        <v>-38127.949999999997</v>
      </c>
      <c r="BA228" s="241">
        <f t="shared" si="209"/>
        <v>-29110.03</v>
      </c>
      <c r="BB228" s="27">
        <f t="shared" si="210"/>
        <v>-33224.444370000652</v>
      </c>
      <c r="BC228" s="28">
        <f t="shared" si="211"/>
        <v>-34093.9</v>
      </c>
      <c r="BD228" s="241">
        <f t="shared" si="212"/>
        <v>-33045.450000000004</v>
      </c>
      <c r="BE228" s="27">
        <f t="shared" si="213"/>
        <v>-33327.777777745701</v>
      </c>
      <c r="BF228" s="28">
        <f t="shared" si="214"/>
        <v>-45000</v>
      </c>
      <c r="BG228" s="241">
        <f t="shared" si="215"/>
        <v>-36231.509999999995</v>
      </c>
      <c r="BH228" s="27">
        <f t="shared" si="216"/>
        <v>-33377.479804868279</v>
      </c>
      <c r="BI228" s="28">
        <f t="shared" si="217"/>
        <v>-45000</v>
      </c>
    </row>
    <row r="229" spans="1:61" s="29" customFormat="1" hidden="1" outlineLevel="1" x14ac:dyDescent="0.3">
      <c r="A229" s="22" t="s">
        <v>267</v>
      </c>
      <c r="B229" s="23"/>
      <c r="C229" s="24" t="s">
        <v>60</v>
      </c>
      <c r="D229" s="113">
        <v>-6300</v>
      </c>
      <c r="E229" s="114">
        <v>-8.0000000000000004E-4</v>
      </c>
      <c r="F229" s="56"/>
      <c r="G229" s="33"/>
      <c r="H229" s="241">
        <v>-5910.49</v>
      </c>
      <c r="I229" s="27">
        <v>-6876.4626798103227</v>
      </c>
      <c r="J229" s="28">
        <f>SUMIFS(Aut_BlueMe_Sem_Pedido!$J:$J,Aut_BlueMe_Sem_Pedido!$Q:$Q,DRE!H$4,Aut_BlueMe_Sem_Pedido!$H:$H,DRE!$A229)+SUMIFS(Aut_Ajustes_Manuais!$G:$G,Aut_Ajustes_Manuais!$I:$I,DRE!H$4,Aut_Ajustes_Manuais!$F:$F,"Gas de Cozinha")</f>
        <v>-5642.05</v>
      </c>
      <c r="K229" s="241">
        <v>-5805.22</v>
      </c>
      <c r="L229" s="27">
        <v>-6893.4489867285711</v>
      </c>
      <c r="M229" s="28">
        <f>SUMIFS(Aut_BlueMe_Sem_Pedido!$J:$J,Aut_BlueMe_Sem_Pedido!$Q:$Q,DRE!K$4,Aut_BlueMe_Sem_Pedido!$H:$H,DRE!$A229)+SUMIFS(Aut_Ajustes_Manuais!$G:$G,Aut_Ajustes_Manuais!$I:$I,DRE!K$4,Aut_Ajustes_Manuais!$F:$F,"Gas de Cozinha")</f>
        <v>-5086.5200000000004</v>
      </c>
      <c r="N229" s="241">
        <v>-4959.13</v>
      </c>
      <c r="O229" s="27">
        <v>-6944.7099323467746</v>
      </c>
      <c r="P229" s="28">
        <f>SUMIFS(Aut_BlueMe_Sem_Pedido!$J:$J,Aut_BlueMe_Sem_Pedido!$Q:$Q,DRE!N$4,Aut_BlueMe_Sem_Pedido!$H:$H,DRE!$A229)+SUMIFS(Aut_Ajustes_Manuais!$G:$G,Aut_Ajustes_Manuais!$I:$I,DRE!N$4,Aut_Ajustes_Manuais!$F:$F,"Gas de Cozinha")</f>
        <v>-6033.99</v>
      </c>
      <c r="Q229" s="241">
        <v>-5295.93</v>
      </c>
      <c r="R229" s="27">
        <v>-6931.7224285350003</v>
      </c>
      <c r="S229" s="28">
        <f>SUMIFS(Aut_BlueMe_Sem_Pedido!$J:$J,Aut_BlueMe_Sem_Pedido!$Q:$Q,DRE!Q$4,Aut_BlueMe_Sem_Pedido!$H:$H,DRE!$A229)+SUMIFS(Aut_Ajustes_Manuais!$G:$G,Aut_Ajustes_Manuais!$I:$I,DRE!Q$4,Aut_Ajustes_Manuais!$F:$F,"Gas de Cozinha")</f>
        <v>-6385.65</v>
      </c>
      <c r="T229" s="241">
        <v>-5552.69</v>
      </c>
      <c r="U229" s="27">
        <v>-6929.4424180935484</v>
      </c>
      <c r="V229" s="28">
        <f>SUMIFS(Aut_BlueMe_Sem_Pedido!$J:$J,Aut_BlueMe_Sem_Pedido!$Q:$Q,DRE!T$4,Aut_BlueMe_Sem_Pedido!$H:$H,DRE!$A229)+SUMIFS(Aut_Ajustes_Manuais!$G:$G,Aut_Ajustes_Manuais!$I:$I,DRE!T$4,Aut_Ajustes_Manuais!$F:$F,"Gas de Cozinha")</f>
        <v>-13093.04</v>
      </c>
      <c r="W229" s="241">
        <v>-6273.14</v>
      </c>
      <c r="X229" s="27">
        <v>-6913.2795233720972</v>
      </c>
      <c r="Y229" s="28">
        <f>SUMIFS(Aut_BlueMe_Sem_Pedido!$J:$J,Aut_BlueMe_Sem_Pedido!$Q:$Q,DRE!W$4,Aut_BlueMe_Sem_Pedido!$H:$H,DRE!$A229)+SUMIFS(Aut_Ajustes_Manuais!$G:$G,Aut_Ajustes_Manuais!$I:$I,DRE!W$4,Aut_Ajustes_Manuais!$F:$F,"Gas de Cozinha")</f>
        <v>0</v>
      </c>
      <c r="Z229" s="241">
        <v>-6000.85</v>
      </c>
      <c r="AA229" s="27">
        <v>-6978.9142002709677</v>
      </c>
      <c r="AB229" s="28">
        <f>SUMIFS(Aut_BlueMe_Sem_Pedido!$J:$J,Aut_BlueMe_Sem_Pedido!$Q:$Q,DRE!Z$4,Aut_BlueMe_Sem_Pedido!$H:$H,DRE!$A229)+SUMIFS(Aut_Ajustes_Manuais!$G:$G,Aut_Ajustes_Manuais!$I:$I,DRE!Z$4,Aut_Ajustes_Manuais!$F:$F,"Gas de Cozinha")</f>
        <v>-6335.77</v>
      </c>
      <c r="AC229" s="241">
        <v>-7290.13</v>
      </c>
      <c r="AD229" s="27">
        <v>-6963.8676644500001</v>
      </c>
      <c r="AE229" s="28">
        <f>SUMIFS(Aut_BlueMe_Sem_Pedido!$J:$J,Aut_BlueMe_Sem_Pedido!$Q:$Q,DRE!AC$4,Aut_BlueMe_Sem_Pedido!$H:$H,DRE!$A229)+SUMIFS(Aut_Ajustes_Manuais!$G:$G,Aut_Ajustes_Manuais!$I:$I,DRE!AC$4,Aut_Ajustes_Manuais!$F:$F,"Gas de Cozinha")</f>
        <v>-8000</v>
      </c>
      <c r="AF229" s="241">
        <v>-6452.75</v>
      </c>
      <c r="AG229" s="27">
        <v>-6934.9959130247307</v>
      </c>
      <c r="AH229" s="28">
        <f>SUMIFS(Aut_BlueMe_Sem_Pedido!$J:$J,Aut_BlueMe_Sem_Pedido!$Q:$Q,DRE!AF$4,Aut_BlueMe_Sem_Pedido!$H:$H,DRE!$A229)+SUMIFS(Aut_Ajustes_Manuais!$G:$G,Aut_Ajustes_Manuais!$I:$I,DRE!AF$4,Aut_Ajustes_Manuais!$F:$F,"Gas de Cozinha")</f>
        <v>-8000</v>
      </c>
      <c r="AI229" s="241">
        <v>-6686.21</v>
      </c>
      <c r="AJ229" s="27">
        <v>-6942.6768866326611</v>
      </c>
      <c r="AK229" s="28">
        <f>SUMIFS(Aut_BlueMe_Sem_Pedido!$J:$J,Aut_BlueMe_Sem_Pedido!$Q:$Q,DRE!AI$4,Aut_BlueMe_Sem_Pedido!$H:$H,DRE!$A229)+SUMIFS(Aut_Ajustes_Manuais!$G:$G,Aut_Ajustes_Manuais!$I:$I,DRE!AI$4,Aut_Ajustes_Manuais!$F:$F,"Gas de Cozinha")</f>
        <v>-8000</v>
      </c>
      <c r="AL229" s="241">
        <v>-6402.98</v>
      </c>
      <c r="AM229" s="27">
        <v>-6956.8181572314516</v>
      </c>
      <c r="AN229" s="28">
        <f>SUMIFS(Aut_BlueMe_Sem_Pedido!$J:$J,Aut_BlueMe_Sem_Pedido!$Q:$Q,DRE!AL$4,Aut_BlueMe_Sem_Pedido!$H:$H,DRE!$A229)+SUMIFS(Aut_Ajustes_Manuais!$G:$G,Aut_Ajustes_Manuais!$I:$I,DRE!AL$4,Aut_Ajustes_Manuais!$F:$F,"Gas de Cozinha")</f>
        <v>-8000</v>
      </c>
      <c r="AO229" s="241">
        <v>-5907.45</v>
      </c>
      <c r="AP229" s="27">
        <v>-7027.9847610041716</v>
      </c>
      <c r="AQ229" s="28">
        <f>SUMIFS(Aut_BlueMe_Sem_Pedido!$J:$J,Aut_BlueMe_Sem_Pedido!$Q:$Q,DRE!AO$4,Aut_BlueMe_Sem_Pedido!$H:$H,DRE!$A229)+SUMIFS(Aut_Ajustes_Manuais!$G:$G,Aut_Ajustes_Manuais!$I:$I,DRE!AO$4,Aut_Ajustes_Manuais!$F:$F,"Gas de Cozinha")</f>
        <v>-8000</v>
      </c>
      <c r="AR229" s="241">
        <f t="shared" ca="1" si="200"/>
        <v>-33796.6</v>
      </c>
      <c r="AS229" s="27">
        <f t="shared" ca="1" si="201"/>
        <v>-41489.065968886309</v>
      </c>
      <c r="AT229" s="28">
        <f t="shared" ca="1" si="202"/>
        <v>-36241.25</v>
      </c>
      <c r="AU229" s="241">
        <f t="shared" si="203"/>
        <v>-72536.969999999987</v>
      </c>
      <c r="AV229" s="27">
        <f t="shared" si="204"/>
        <v>-83294.323551500303</v>
      </c>
      <c r="AW229" s="28">
        <f t="shared" si="205"/>
        <v>-82577.02</v>
      </c>
      <c r="AX229" s="241">
        <f t="shared" si="206"/>
        <v>-16674.84</v>
      </c>
      <c r="AY229" s="27">
        <f t="shared" si="207"/>
        <v>-20714.621598885667</v>
      </c>
      <c r="AZ229" s="28">
        <f t="shared" si="208"/>
        <v>-16762.559999999998</v>
      </c>
      <c r="BA229" s="241">
        <f t="shared" si="209"/>
        <v>-17121.759999999998</v>
      </c>
      <c r="BB229" s="27">
        <f t="shared" si="210"/>
        <v>-20774.444370000645</v>
      </c>
      <c r="BC229" s="28">
        <f t="shared" si="211"/>
        <v>-19478.690000000002</v>
      </c>
      <c r="BD229" s="241">
        <f t="shared" si="212"/>
        <v>-19743.73</v>
      </c>
      <c r="BE229" s="27">
        <f t="shared" si="213"/>
        <v>-20877.777777745698</v>
      </c>
      <c r="BF229" s="28">
        <f t="shared" si="214"/>
        <v>-22335.77</v>
      </c>
      <c r="BG229" s="241">
        <f t="shared" si="215"/>
        <v>-18996.64</v>
      </c>
      <c r="BH229" s="27">
        <f t="shared" si="216"/>
        <v>-20927.479804868286</v>
      </c>
      <c r="BI229" s="28">
        <f t="shared" si="217"/>
        <v>-24000</v>
      </c>
    </row>
    <row r="230" spans="1:61" s="29" customFormat="1" hidden="1" outlineLevel="1" x14ac:dyDescent="0.3">
      <c r="A230" s="22" t="s">
        <v>268</v>
      </c>
      <c r="B230" s="23"/>
      <c r="C230" s="24" t="s">
        <v>60</v>
      </c>
      <c r="D230" s="113">
        <v>-25500</v>
      </c>
      <c r="E230" s="114">
        <v>-8.0000000000000004E-4</v>
      </c>
      <c r="F230" s="56"/>
      <c r="G230" s="33"/>
      <c r="H230" s="241">
        <v>-5947.15</v>
      </c>
      <c r="I230" s="27">
        <v>-6476.4626798103227</v>
      </c>
      <c r="J230" s="28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>-7437.59</v>
      </c>
      <c r="K230" s="241">
        <v>-5372.95</v>
      </c>
      <c r="L230" s="27">
        <v>-6493.4489867285711</v>
      </c>
      <c r="M230" s="28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>-5877.2300000000005</v>
      </c>
      <c r="N230" s="241">
        <v>-5359.78</v>
      </c>
      <c r="O230" s="27">
        <v>-6544.7099323467746</v>
      </c>
      <c r="P230" s="28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>-5745.2500000000009</v>
      </c>
      <c r="Q230" s="241">
        <v>-6751.1</v>
      </c>
      <c r="R230" s="27">
        <v>-6531.7224285350003</v>
      </c>
      <c r="S230" s="28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>-7339.18</v>
      </c>
      <c r="T230" s="241">
        <v>-5742</v>
      </c>
      <c r="U230" s="27">
        <v>-6529.4424180935484</v>
      </c>
      <c r="V230" s="28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>-6348.81</v>
      </c>
      <c r="W230" s="241">
        <v>-3815.87</v>
      </c>
      <c r="X230" s="27">
        <v>-6513.2795233720972</v>
      </c>
      <c r="Y230" s="28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>-5912.9099999999989</v>
      </c>
      <c r="Z230" s="241">
        <v>-7975.6999999999989</v>
      </c>
      <c r="AA230" s="27">
        <v>-6578.9142002709677</v>
      </c>
      <c r="AB230" s="28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>-2473.79</v>
      </c>
      <c r="AC230" s="241">
        <v>-6185.3600000000006</v>
      </c>
      <c r="AD230" s="27">
        <v>-6563.8676644500001</v>
      </c>
      <c r="AE230" s="28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>0</v>
      </c>
      <c r="AF230" s="241">
        <v>-5438.03</v>
      </c>
      <c r="AG230" s="27">
        <v>-6534.9959130247307</v>
      </c>
      <c r="AH230" s="28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>0</v>
      </c>
      <c r="AI230" s="241">
        <v>-4163.6899999999996</v>
      </c>
      <c r="AJ230" s="27">
        <v>-6542.6768866326611</v>
      </c>
      <c r="AK230" s="28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>0</v>
      </c>
      <c r="AL230" s="241">
        <v>-7137.3099999999986</v>
      </c>
      <c r="AM230" s="27">
        <v>-6556.8181572314516</v>
      </c>
      <c r="AN230" s="28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>0</v>
      </c>
      <c r="AO230" s="241">
        <v>-7595.03</v>
      </c>
      <c r="AP230" s="27">
        <v>-6627.9847610041716</v>
      </c>
      <c r="AQ230" s="28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>0</v>
      </c>
      <c r="AR230" s="241">
        <f t="shared" ca="1" si="200"/>
        <v>-32988.85</v>
      </c>
      <c r="AS230" s="27">
        <f t="shared" ca="1" si="201"/>
        <v>-39089.065968886309</v>
      </c>
      <c r="AT230" s="28">
        <f t="shared" ca="1" si="202"/>
        <v>-38660.97</v>
      </c>
      <c r="AU230" s="241">
        <f t="shared" si="203"/>
        <v>-71483.97</v>
      </c>
      <c r="AV230" s="27">
        <f t="shared" si="204"/>
        <v>-78494.323551500303</v>
      </c>
      <c r="AW230" s="28">
        <f t="shared" si="205"/>
        <v>-41134.76</v>
      </c>
      <c r="AX230" s="241">
        <f t="shared" si="206"/>
        <v>-16679.879999999997</v>
      </c>
      <c r="AY230" s="27">
        <f t="shared" si="207"/>
        <v>-19514.621598885667</v>
      </c>
      <c r="AZ230" s="28">
        <f t="shared" si="208"/>
        <v>-19060.07</v>
      </c>
      <c r="BA230" s="241">
        <f t="shared" si="209"/>
        <v>-16308.970000000001</v>
      </c>
      <c r="BB230" s="27">
        <f t="shared" si="210"/>
        <v>-19574.444370000645</v>
      </c>
      <c r="BC230" s="28">
        <f t="shared" si="211"/>
        <v>-19600.900000000001</v>
      </c>
      <c r="BD230" s="241">
        <f t="shared" si="212"/>
        <v>-19599.09</v>
      </c>
      <c r="BE230" s="27">
        <f t="shared" si="213"/>
        <v>-19677.777777745698</v>
      </c>
      <c r="BF230" s="28">
        <f t="shared" si="214"/>
        <v>-2473.79</v>
      </c>
      <c r="BG230" s="241">
        <f t="shared" si="215"/>
        <v>-18896.03</v>
      </c>
      <c r="BH230" s="27">
        <f t="shared" si="216"/>
        <v>-19727.479804868286</v>
      </c>
      <c r="BI230" s="28">
        <f t="shared" si="217"/>
        <v>0</v>
      </c>
    </row>
    <row r="231" spans="1:61" s="29" customFormat="1" hidden="1" outlineLevel="1" x14ac:dyDescent="0.3">
      <c r="A231" s="22" t="s">
        <v>269</v>
      </c>
      <c r="B231" s="23"/>
      <c r="C231" s="24" t="s">
        <v>60</v>
      </c>
      <c r="D231" s="113"/>
      <c r="E231" s="114">
        <v>-4.0000000000000001E-3</v>
      </c>
      <c r="F231" s="56"/>
      <c r="G231" s="33"/>
      <c r="H231" s="241">
        <v>0</v>
      </c>
      <c r="I231" s="27">
        <v>-526.46267981032258</v>
      </c>
      <c r="J231" s="28">
        <f>SUMIFS(Aut_BlueMe_Sem_Pedido!$J:$J,Aut_BlueMe_Sem_Pedido!$Q:$Q,DRE!H$4,Aut_BlueMe_Sem_Pedido!$H:$H,DRE!$A231)+SUMIFS(Aut_Ajustes_Manuais!$G:$G,Aut_Ajustes_Manuais!$I:$I,DRE!H$4,Aut_Ajustes_Manuais!$F:$F,"Descartaveis")</f>
        <v>0</v>
      </c>
      <c r="K231" s="241">
        <v>0</v>
      </c>
      <c r="L231" s="27">
        <v>-543.44898672857141</v>
      </c>
      <c r="M231" s="28">
        <f>SUMIFS(Aut_BlueMe_Sem_Pedido!$J:$J,Aut_BlueMe_Sem_Pedido!$Q:$Q,DRE!K$4,Aut_BlueMe_Sem_Pedido!$H:$H,DRE!$A231)+SUMIFS(Aut_Ajustes_Manuais!$G:$G,Aut_Ajustes_Manuais!$I:$I,DRE!K$4,Aut_Ajustes_Manuais!$F:$F,"Descartaveis")</f>
        <v>0</v>
      </c>
      <c r="N231" s="241">
        <v>0</v>
      </c>
      <c r="O231" s="27">
        <v>-594.70993234677417</v>
      </c>
      <c r="P231" s="28">
        <f>SUMIFS(Aut_BlueMe_Sem_Pedido!$J:$J,Aut_BlueMe_Sem_Pedido!$Q:$Q,DRE!N$4,Aut_BlueMe_Sem_Pedido!$H:$H,DRE!$A231)+SUMIFS(Aut_Ajustes_Manuais!$G:$G,Aut_Ajustes_Manuais!$I:$I,DRE!N$4,Aut_Ajustes_Manuais!$F:$F,"Descartaveis")</f>
        <v>0</v>
      </c>
      <c r="Q231" s="241">
        <v>0</v>
      </c>
      <c r="R231" s="27">
        <v>-581.72242853499995</v>
      </c>
      <c r="S231" s="28">
        <f>SUMIFS(Aut_BlueMe_Sem_Pedido!$J:$J,Aut_BlueMe_Sem_Pedido!$Q:$Q,DRE!Q$4,Aut_BlueMe_Sem_Pedido!$H:$H,DRE!$A231)+SUMIFS(Aut_Ajustes_Manuais!$G:$G,Aut_Ajustes_Manuais!$I:$I,DRE!Q$4,Aut_Ajustes_Manuais!$F:$F,"Descartaveis")</f>
        <v>0</v>
      </c>
      <c r="T231" s="241">
        <v>0</v>
      </c>
      <c r="U231" s="27">
        <v>-579.44241809354833</v>
      </c>
      <c r="V231" s="28">
        <f>SUMIFS(Aut_BlueMe_Sem_Pedido!$J:$J,Aut_BlueMe_Sem_Pedido!$Q:$Q,DRE!T$4,Aut_BlueMe_Sem_Pedido!$H:$H,DRE!$A231)+SUMIFS(Aut_Ajustes_Manuais!$G:$G,Aut_Ajustes_Manuais!$I:$I,DRE!T$4,Aut_Ajustes_Manuais!$F:$F,"Descartaveis")</f>
        <v>-171.69</v>
      </c>
      <c r="W231" s="241">
        <v>-95.05</v>
      </c>
      <c r="X231" s="27">
        <v>-563.27952337209672</v>
      </c>
      <c r="Y231" s="28">
        <f>SUMIFS(Aut_BlueMe_Sem_Pedido!$J:$J,Aut_BlueMe_Sem_Pedido!$Q:$Q,DRE!W$4,Aut_BlueMe_Sem_Pedido!$H:$H,DRE!$A231)+SUMIFS(Aut_Ajustes_Manuais!$G:$G,Aut_Ajustes_Manuais!$I:$I,DRE!W$4,Aut_Ajustes_Manuais!$F:$F,"Descartaveis")</f>
        <v>0</v>
      </c>
      <c r="Z231" s="241">
        <v>0</v>
      </c>
      <c r="AA231" s="27">
        <v>-628.91420027096763</v>
      </c>
      <c r="AB231" s="28">
        <f>SUMIFS(Aut_BlueMe_Sem_Pedido!$J:$J,Aut_BlueMe_Sem_Pedido!$Q:$Q,DRE!Z$4,Aut_BlueMe_Sem_Pedido!$H:$H,DRE!$A231)+SUMIFS(Aut_Ajustes_Manuais!$G:$G,Aut_Ajustes_Manuais!$I:$I,DRE!Z$4,Aut_Ajustes_Manuais!$F:$F,"Descartaveis")</f>
        <v>0</v>
      </c>
      <c r="AC231" s="241">
        <v>-1177.05</v>
      </c>
      <c r="AD231" s="27">
        <v>-613.86766445000001</v>
      </c>
      <c r="AE231" s="28">
        <f>SUMIFS(Aut_BlueMe_Sem_Pedido!$J:$J,Aut_BlueMe_Sem_Pedido!$Q:$Q,DRE!AC$4,Aut_BlueMe_Sem_Pedido!$H:$H,DRE!$A231)+SUMIFS(Aut_Ajustes_Manuais!$G:$G,Aut_Ajustes_Manuais!$I:$I,DRE!AC$4,Aut_Ajustes_Manuais!$F:$F,"Descartaveis")</f>
        <v>0</v>
      </c>
      <c r="AF231" s="241">
        <v>0</v>
      </c>
      <c r="AG231" s="27">
        <v>-584.99591302473107</v>
      </c>
      <c r="AH231" s="28">
        <f>SUMIFS(Aut_BlueMe_Sem_Pedido!$J:$J,Aut_BlueMe_Sem_Pedido!$Q:$Q,DRE!AF$4,Aut_BlueMe_Sem_Pedido!$H:$H,DRE!$A231)+SUMIFS(Aut_Ajustes_Manuais!$G:$G,Aut_Ajustes_Manuais!$I:$I,DRE!AF$4,Aut_Ajustes_Manuais!$F:$F,"Descartaveis")</f>
        <v>0</v>
      </c>
      <c r="AI231" s="241">
        <v>0</v>
      </c>
      <c r="AJ231" s="27">
        <v>-592.67688663266119</v>
      </c>
      <c r="AK231" s="28">
        <f>SUMIFS(Aut_BlueMe_Sem_Pedido!$J:$J,Aut_BlueMe_Sem_Pedido!$Q:$Q,DRE!AI$4,Aut_BlueMe_Sem_Pedido!$H:$H,DRE!$A231)+SUMIFS(Aut_Ajustes_Manuais!$G:$G,Aut_Ajustes_Manuais!$I:$I,DRE!AI$4,Aut_Ajustes_Manuais!$F:$F,"Descartaveis")</f>
        <v>0</v>
      </c>
      <c r="AL231" s="241">
        <v>0</v>
      </c>
      <c r="AM231" s="27">
        <v>-606.81815723145201</v>
      </c>
      <c r="AN231" s="28">
        <f>SUMIFS(Aut_BlueMe_Sem_Pedido!$J:$J,Aut_BlueMe_Sem_Pedido!$Q:$Q,DRE!AL$4,Aut_BlueMe_Sem_Pedido!$H:$H,DRE!$A231)+SUMIFS(Aut_Ajustes_Manuais!$G:$G,Aut_Ajustes_Manuais!$I:$I,DRE!AL$4,Aut_Ajustes_Manuais!$F:$F,"Descartaveis")</f>
        <v>0</v>
      </c>
      <c r="AO231" s="241">
        <v>-75.5</v>
      </c>
      <c r="AP231" s="27">
        <v>-677.98476100417247</v>
      </c>
      <c r="AQ231" s="28">
        <f>SUMIFS(Aut_BlueMe_Sem_Pedido!$J:$J,Aut_BlueMe_Sem_Pedido!$Q:$Q,DRE!AO$4,Aut_BlueMe_Sem_Pedido!$H:$H,DRE!$A231)+SUMIFS(Aut_Ajustes_Manuais!$G:$G,Aut_Ajustes_Manuais!$I:$I,DRE!AO$4,Aut_Ajustes_Manuais!$F:$F,"Descartaveis")</f>
        <v>0</v>
      </c>
      <c r="AR231" s="241">
        <f t="shared" ca="1" si="200"/>
        <v>-95.05</v>
      </c>
      <c r="AS231" s="27">
        <f t="shared" ca="1" si="201"/>
        <v>-3389.0659688863134</v>
      </c>
      <c r="AT231" s="28">
        <f t="shared" ca="1" si="202"/>
        <v>-171.69</v>
      </c>
      <c r="AU231" s="241">
        <f t="shared" si="203"/>
        <v>-1347.6</v>
      </c>
      <c r="AV231" s="27">
        <f t="shared" si="204"/>
        <v>-7094.323551500298</v>
      </c>
      <c r="AW231" s="28">
        <f t="shared" si="205"/>
        <v>-171.69</v>
      </c>
      <c r="AX231" s="241">
        <f t="shared" si="206"/>
        <v>0</v>
      </c>
      <c r="AY231" s="27">
        <f t="shared" si="207"/>
        <v>-1664.6215988856682</v>
      </c>
      <c r="AZ231" s="28">
        <f t="shared" si="208"/>
        <v>0</v>
      </c>
      <c r="BA231" s="241">
        <f t="shared" si="209"/>
        <v>-95.05</v>
      </c>
      <c r="BB231" s="27">
        <f t="shared" si="210"/>
        <v>-1724.444370000645</v>
      </c>
      <c r="BC231" s="28">
        <f t="shared" si="211"/>
        <v>-171.69</v>
      </c>
      <c r="BD231" s="241">
        <f t="shared" si="212"/>
        <v>-1177.05</v>
      </c>
      <c r="BE231" s="27">
        <f t="shared" si="213"/>
        <v>-1827.7777777456986</v>
      </c>
      <c r="BF231" s="28">
        <f t="shared" si="214"/>
        <v>0</v>
      </c>
      <c r="BG231" s="241">
        <f t="shared" si="215"/>
        <v>-75.5</v>
      </c>
      <c r="BH231" s="27">
        <f t="shared" si="216"/>
        <v>-1877.4798048682856</v>
      </c>
      <c r="BI231" s="28">
        <f t="shared" si="217"/>
        <v>0</v>
      </c>
    </row>
    <row r="232" spans="1:61" s="29" customFormat="1" hidden="1" outlineLevel="1" x14ac:dyDescent="0.3">
      <c r="A232" s="22" t="s">
        <v>270</v>
      </c>
      <c r="B232" s="23"/>
      <c r="C232" s="24" t="s">
        <v>67</v>
      </c>
      <c r="D232" s="81"/>
      <c r="E232" s="115"/>
      <c r="F232" s="56"/>
      <c r="G232" s="33"/>
      <c r="H232" s="241">
        <v>-550</v>
      </c>
      <c r="I232" s="27">
        <v>-561</v>
      </c>
      <c r="J232" s="28">
        <f>SUMIFS(Aut_BlueMe_Sem_Pedido!$J:$J,Aut_BlueMe_Sem_Pedido!$Q:$Q,DRE!H$4,Aut_BlueMe_Sem_Pedido!$H:$H,DRE!$A232)+SUMIFS(Aut_Ajustes_Manuais!$G:$G,Aut_Ajustes_Manuais!$I:$I,DRE!H$4,Aut_Ajustes_Manuais!$F:$F,"Controle de Pragas")</f>
        <v>-550</v>
      </c>
      <c r="K232" s="241">
        <v>-550</v>
      </c>
      <c r="L232" s="27">
        <v>-561</v>
      </c>
      <c r="M232" s="28">
        <f>SUMIFS(Aut_BlueMe_Sem_Pedido!$J:$J,Aut_BlueMe_Sem_Pedido!$Q:$Q,DRE!K$4,Aut_BlueMe_Sem_Pedido!$H:$H,DRE!$A232)+SUMIFS(Aut_Ajustes_Manuais!$G:$G,Aut_Ajustes_Manuais!$I:$I,DRE!K$4,Aut_Ajustes_Manuais!$F:$F,"Controle de Pragas")</f>
        <v>-550</v>
      </c>
      <c r="N232" s="241">
        <v>-550</v>
      </c>
      <c r="O232" s="27">
        <v>-561</v>
      </c>
      <c r="P232" s="28">
        <f>SUMIFS(Aut_BlueMe_Sem_Pedido!$J:$J,Aut_BlueMe_Sem_Pedido!$Q:$Q,DRE!N$4,Aut_BlueMe_Sem_Pedido!$H:$H,DRE!$A232)+SUMIFS(Aut_Ajustes_Manuais!$G:$G,Aut_Ajustes_Manuais!$I:$I,DRE!N$4,Aut_Ajustes_Manuais!$F:$F,"Controle de Pragas")</f>
        <v>-550</v>
      </c>
      <c r="Q232" s="241">
        <v>-550</v>
      </c>
      <c r="R232" s="27">
        <v>-561</v>
      </c>
      <c r="S232" s="28">
        <f>SUMIFS(Aut_BlueMe_Sem_Pedido!$J:$J,Aut_BlueMe_Sem_Pedido!$Q:$Q,DRE!Q$4,Aut_BlueMe_Sem_Pedido!$H:$H,DRE!$A232)+SUMIFS(Aut_Ajustes_Manuais!$G:$G,Aut_Ajustes_Manuais!$I:$I,DRE!Q$4,Aut_Ajustes_Manuais!$F:$F,"Controle de Pragas")</f>
        <v>-550</v>
      </c>
      <c r="T232" s="241">
        <v>-550</v>
      </c>
      <c r="U232" s="27">
        <v>-561</v>
      </c>
      <c r="V232" s="28">
        <f>SUMIFS(Aut_BlueMe_Sem_Pedido!$J:$J,Aut_BlueMe_Sem_Pedido!$Q:$Q,DRE!T$4,Aut_BlueMe_Sem_Pedido!$H:$H,DRE!$A232)+SUMIFS(Aut_Ajustes_Manuais!$G:$G,Aut_Ajustes_Manuais!$I:$I,DRE!T$4,Aut_Ajustes_Manuais!$F:$F,"Controle de Pragas")</f>
        <v>-550</v>
      </c>
      <c r="W232" s="241">
        <v>-550</v>
      </c>
      <c r="X232" s="27">
        <v>-561</v>
      </c>
      <c r="Y232" s="28">
        <f>SUMIFS(Aut_BlueMe_Sem_Pedido!$J:$J,Aut_BlueMe_Sem_Pedido!$Q:$Q,DRE!W$4,Aut_BlueMe_Sem_Pedido!$H:$H,DRE!$A232)+SUMIFS(Aut_Ajustes_Manuais!$G:$G,Aut_Ajustes_Manuais!$I:$I,DRE!W$4,Aut_Ajustes_Manuais!$F:$F,"Controle de Pragas")</f>
        <v>-550</v>
      </c>
      <c r="Z232" s="241">
        <v>-550</v>
      </c>
      <c r="AA232" s="27">
        <v>-561</v>
      </c>
      <c r="AB232" s="28">
        <f>SUMIFS(Aut_BlueMe_Sem_Pedido!$J:$J,Aut_BlueMe_Sem_Pedido!$Q:$Q,DRE!Z$4,Aut_BlueMe_Sem_Pedido!$H:$H,DRE!$A232)+SUMIFS(Aut_Ajustes_Manuais!$G:$G,Aut_Ajustes_Manuais!$I:$I,DRE!Z$4,Aut_Ajustes_Manuais!$F:$F,"Controle de Pragas")</f>
        <v>-550</v>
      </c>
      <c r="AC232" s="241">
        <v>-550</v>
      </c>
      <c r="AD232" s="27">
        <v>-561</v>
      </c>
      <c r="AE232" s="28">
        <f>SUMIFS(Aut_BlueMe_Sem_Pedido!$J:$J,Aut_BlueMe_Sem_Pedido!$Q:$Q,DRE!AC$4,Aut_BlueMe_Sem_Pedido!$H:$H,DRE!$A232)+SUMIFS(Aut_Ajustes_Manuais!$G:$G,Aut_Ajustes_Manuais!$I:$I,DRE!AC$4,Aut_Ajustes_Manuais!$F:$F,"Controle de Pragas")</f>
        <v>-550</v>
      </c>
      <c r="AF232" s="241">
        <v>-550</v>
      </c>
      <c r="AG232" s="27">
        <v>-561</v>
      </c>
      <c r="AH232" s="28">
        <f>SUMIFS(Aut_BlueMe_Sem_Pedido!$J:$J,Aut_BlueMe_Sem_Pedido!$Q:$Q,DRE!AF$4,Aut_BlueMe_Sem_Pedido!$H:$H,DRE!$A232)+SUMIFS(Aut_Ajustes_Manuais!$G:$G,Aut_Ajustes_Manuais!$I:$I,DRE!AF$4,Aut_Ajustes_Manuais!$F:$F,"Controle de Pragas")</f>
        <v>-550</v>
      </c>
      <c r="AI232" s="241">
        <v>-550</v>
      </c>
      <c r="AJ232" s="27">
        <v>-561</v>
      </c>
      <c r="AK232" s="28">
        <f>SUMIFS(Aut_BlueMe_Sem_Pedido!$J:$J,Aut_BlueMe_Sem_Pedido!$Q:$Q,DRE!AI$4,Aut_BlueMe_Sem_Pedido!$H:$H,DRE!$A232)+SUMIFS(Aut_Ajustes_Manuais!$G:$G,Aut_Ajustes_Manuais!$I:$I,DRE!AI$4,Aut_Ajustes_Manuais!$F:$F,"Controle de Pragas")</f>
        <v>-550</v>
      </c>
      <c r="AL232" s="241">
        <v>-550</v>
      </c>
      <c r="AM232" s="27">
        <v>-561</v>
      </c>
      <c r="AN232" s="28">
        <f>SUMIFS(Aut_BlueMe_Sem_Pedido!$J:$J,Aut_BlueMe_Sem_Pedido!$Q:$Q,DRE!AL$4,Aut_BlueMe_Sem_Pedido!$H:$H,DRE!$A232)+SUMIFS(Aut_Ajustes_Manuais!$G:$G,Aut_Ajustes_Manuais!$I:$I,DRE!AL$4,Aut_Ajustes_Manuais!$F:$F,"Controle de Pragas")</f>
        <v>-550</v>
      </c>
      <c r="AO232" s="241">
        <v>-550</v>
      </c>
      <c r="AP232" s="27">
        <v>-561</v>
      </c>
      <c r="AQ232" s="28">
        <f>SUMIFS(Aut_BlueMe_Sem_Pedido!$J:$J,Aut_BlueMe_Sem_Pedido!$Q:$Q,DRE!AO$4,Aut_BlueMe_Sem_Pedido!$H:$H,DRE!$A232)+SUMIFS(Aut_Ajustes_Manuais!$G:$G,Aut_Ajustes_Manuais!$I:$I,DRE!AO$4,Aut_Ajustes_Manuais!$F:$F,"Controle de Pragas")</f>
        <v>0</v>
      </c>
      <c r="AR232" s="241">
        <f t="shared" ca="1" si="200"/>
        <v>-3300</v>
      </c>
      <c r="AS232" s="27">
        <f t="shared" ca="1" si="201"/>
        <v>-3366</v>
      </c>
      <c r="AT232" s="28">
        <f t="shared" ca="1" si="202"/>
        <v>-3300</v>
      </c>
      <c r="AU232" s="241">
        <f t="shared" si="203"/>
        <v>-6600</v>
      </c>
      <c r="AV232" s="27">
        <f t="shared" si="204"/>
        <v>-6732</v>
      </c>
      <c r="AW232" s="28">
        <f t="shared" si="205"/>
        <v>-6050</v>
      </c>
      <c r="AX232" s="241">
        <f t="shared" si="206"/>
        <v>-1650</v>
      </c>
      <c r="AY232" s="27">
        <f t="shared" si="207"/>
        <v>-1683</v>
      </c>
      <c r="AZ232" s="28">
        <f t="shared" si="208"/>
        <v>-1650</v>
      </c>
      <c r="BA232" s="241">
        <f t="shared" si="209"/>
        <v>-1650</v>
      </c>
      <c r="BB232" s="27">
        <f t="shared" si="210"/>
        <v>-1683</v>
      </c>
      <c r="BC232" s="28">
        <f t="shared" si="211"/>
        <v>-1650</v>
      </c>
      <c r="BD232" s="241">
        <f t="shared" si="212"/>
        <v>-1650</v>
      </c>
      <c r="BE232" s="27">
        <f t="shared" si="213"/>
        <v>-1683</v>
      </c>
      <c r="BF232" s="28">
        <f t="shared" si="214"/>
        <v>-1650</v>
      </c>
      <c r="BG232" s="241">
        <f t="shared" si="215"/>
        <v>-1650</v>
      </c>
      <c r="BH232" s="27">
        <f t="shared" si="216"/>
        <v>-1683</v>
      </c>
      <c r="BI232" s="28">
        <f t="shared" si="217"/>
        <v>-1100</v>
      </c>
    </row>
    <row r="233" spans="1:61" s="29" customFormat="1" hidden="1" outlineLevel="1" x14ac:dyDescent="0.3">
      <c r="A233" s="22" t="s">
        <v>271</v>
      </c>
      <c r="B233" s="23"/>
      <c r="C233" s="24" t="s">
        <v>60</v>
      </c>
      <c r="D233" s="113">
        <v>-4000</v>
      </c>
      <c r="E233" s="114">
        <v>-8.0000000000000004E-4</v>
      </c>
      <c r="F233" s="56"/>
      <c r="G233" s="33"/>
      <c r="H233" s="241">
        <v>-1053.3599999999999</v>
      </c>
      <c r="I233" s="27">
        <v>-1176.462679810322</v>
      </c>
      <c r="J233" s="28">
        <f>SUMIFS(Aut_BlueMe_Sem_Pedido!$J:$J,Aut_BlueMe_Sem_Pedido!$Q:$Q,DRE!H$4,Aut_BlueMe_Sem_Pedido!$H:$H,DRE!$A233)+SUMIFS(Aut_Ajustes_Manuais!$G:$G,Aut_Ajustes_Manuais!$I:$I,DRE!H$4,Aut_Ajustes_Manuais!$F:$F,"Coleta de lixo")</f>
        <v>-1249.9100000000001</v>
      </c>
      <c r="K233" s="241">
        <v>-770.64</v>
      </c>
      <c r="L233" s="27">
        <v>-1193.448986728572</v>
      </c>
      <c r="M233" s="28">
        <f>SUMIFS(Aut_BlueMe_Sem_Pedido!$J:$J,Aut_BlueMe_Sem_Pedido!$Q:$Q,DRE!K$4,Aut_BlueMe_Sem_Pedido!$H:$H,DRE!$A233)+SUMIFS(Aut_Ajustes_Manuais!$G:$G,Aut_Ajustes_Manuais!$I:$I,DRE!K$4,Aut_Ajustes_Manuais!$F:$F,"Coleta de lixo")</f>
        <v>-784.7</v>
      </c>
      <c r="N233" s="241">
        <v>-1092.97</v>
      </c>
      <c r="O233" s="27">
        <v>-1244.7099323467739</v>
      </c>
      <c r="P233" s="28">
        <f>SUMIFS(Aut_BlueMe_Sem_Pedido!$J:$J,Aut_BlueMe_Sem_Pedido!$Q:$Q,DRE!N$4,Aut_BlueMe_Sem_Pedido!$H:$H,DRE!$A233)+SUMIFS(Aut_Ajustes_Manuais!$G:$G,Aut_Ajustes_Manuais!$I:$I,DRE!N$4,Aut_Ajustes_Manuais!$F:$F,"Coleta de lixo")</f>
        <v>-1020.11</v>
      </c>
      <c r="Q233" s="241">
        <v>-1210.8</v>
      </c>
      <c r="R233" s="27">
        <v>-1231.7224285350001</v>
      </c>
      <c r="S233" s="28">
        <f>SUMIFS(Aut_BlueMe_Sem_Pedido!$J:$J,Aut_BlueMe_Sem_Pedido!$Q:$Q,DRE!Q$4,Aut_BlueMe_Sem_Pedido!$H:$H,DRE!$A233)+SUMIFS(Aut_Ajustes_Manuais!$G:$G,Aut_Ajustes_Manuais!$I:$I,DRE!Q$4,Aut_Ajustes_Manuais!$F:$F,"Coleta de lixo")</f>
        <v>-1003</v>
      </c>
      <c r="T233" s="241">
        <v>-985.3</v>
      </c>
      <c r="U233" s="27">
        <v>-1229.442418093548</v>
      </c>
      <c r="V233" s="28">
        <f>SUMIFS(Aut_BlueMe_Sem_Pedido!$J:$J,Aut_BlueMe_Sem_Pedido!$Q:$Q,DRE!T$4,Aut_BlueMe_Sem_Pedido!$H:$H,DRE!$A233)+SUMIFS(Aut_Ajustes_Manuais!$G:$G,Aut_Ajustes_Manuais!$I:$I,DRE!T$4,Aut_Ajustes_Manuais!$F:$F,"Coleta de lixo")</f>
        <v>-1187.3800000000001</v>
      </c>
      <c r="W233" s="241">
        <v>-997.69</v>
      </c>
      <c r="X233" s="27">
        <v>-1213.2795233720969</v>
      </c>
      <c r="Y233" s="28">
        <f>SUMIFS(Aut_BlueMe_Sem_Pedido!$J:$J,Aut_BlueMe_Sem_Pedido!$Q:$Q,DRE!W$4,Aut_BlueMe_Sem_Pedido!$H:$H,DRE!$A233)+SUMIFS(Aut_Ajustes_Manuais!$G:$G,Aut_Ajustes_Manuais!$I:$I,DRE!W$4,Aut_Ajustes_Manuais!$F:$F,"Coleta de lixo")</f>
        <v>-874.38</v>
      </c>
      <c r="Z233" s="241">
        <v>-975.27</v>
      </c>
      <c r="AA233" s="27">
        <v>-1278.914200270968</v>
      </c>
      <c r="AB233" s="28">
        <f>SUMIFS(Aut_BlueMe_Sem_Pedido!$J:$J,Aut_BlueMe_Sem_Pedido!$Q:$Q,DRE!Z$4,Aut_BlueMe_Sem_Pedido!$H:$H,DRE!$A233)+SUMIFS(Aut_Ajustes_Manuais!$G:$G,Aut_Ajustes_Manuais!$I:$I,DRE!Z$4,Aut_Ajustes_Manuais!$F:$F,"Coleta de lixo")</f>
        <v>-1500</v>
      </c>
      <c r="AC233" s="241">
        <v>-1014.5</v>
      </c>
      <c r="AD233" s="27">
        <v>-1263.8676644499999</v>
      </c>
      <c r="AE233" s="28">
        <f>SUMIFS(Aut_BlueMe_Sem_Pedido!$J:$J,Aut_BlueMe_Sem_Pedido!$Q:$Q,DRE!AC$4,Aut_BlueMe_Sem_Pedido!$H:$H,DRE!$A233)+SUMIFS(Aut_Ajustes_Manuais!$G:$G,Aut_Ajustes_Manuais!$I:$I,DRE!AC$4,Aut_Ajustes_Manuais!$F:$F,"Coleta de lixo")</f>
        <v>-1500</v>
      </c>
      <c r="AF233" s="241">
        <v>-1059.3399999999999</v>
      </c>
      <c r="AG233" s="27">
        <v>-1234.995913024731</v>
      </c>
      <c r="AH233" s="28">
        <f>SUMIFS(Aut_BlueMe_Sem_Pedido!$J:$J,Aut_BlueMe_Sem_Pedido!$Q:$Q,DRE!AF$4,Aut_BlueMe_Sem_Pedido!$H:$H,DRE!$A233)+SUMIFS(Aut_Ajustes_Manuais!$G:$G,Aut_Ajustes_Manuais!$I:$I,DRE!AF$4,Aut_Ajustes_Manuais!$F:$F,"Coleta de lixo")</f>
        <v>-1500</v>
      </c>
      <c r="AI233" s="241">
        <v>-1098.58</v>
      </c>
      <c r="AJ233" s="27">
        <v>-1242.6768866326611</v>
      </c>
      <c r="AK233" s="28">
        <f>SUMIFS(Aut_BlueMe_Sem_Pedido!$J:$J,Aut_BlueMe_Sem_Pedido!$Q:$Q,DRE!AI$4,Aut_BlueMe_Sem_Pedido!$H:$H,DRE!$A233)+SUMIFS(Aut_Ajustes_Manuais!$G:$G,Aut_Ajustes_Manuais!$I:$I,DRE!AI$4,Aut_Ajustes_Manuais!$F:$F,"Coleta de lixo")</f>
        <v>-1500</v>
      </c>
      <c r="AL233" s="241">
        <v>-1064.95</v>
      </c>
      <c r="AM233" s="27">
        <v>-1256.818157231452</v>
      </c>
      <c r="AN233" s="28">
        <f>SUMIFS(Aut_BlueMe_Sem_Pedido!$J:$J,Aut_BlueMe_Sem_Pedido!$Q:$Q,DRE!AL$4,Aut_BlueMe_Sem_Pedido!$H:$H,DRE!$A233)+SUMIFS(Aut_Ajustes_Manuais!$G:$G,Aut_Ajustes_Manuais!$I:$I,DRE!AL$4,Aut_Ajustes_Manuais!$F:$F,"Coleta de lixo")</f>
        <v>-1500</v>
      </c>
      <c r="AO233" s="241">
        <v>-980.87</v>
      </c>
      <c r="AP233" s="27">
        <v>-1327.984761004172</v>
      </c>
      <c r="AQ233" s="28">
        <f>SUMIFS(Aut_BlueMe_Sem_Pedido!$J:$J,Aut_BlueMe_Sem_Pedido!$Q:$Q,DRE!AO$4,Aut_BlueMe_Sem_Pedido!$H:$H,DRE!$A233)+SUMIFS(Aut_Ajustes_Manuais!$G:$G,Aut_Ajustes_Manuais!$I:$I,DRE!AO$4,Aut_Ajustes_Manuais!$F:$F,"Coleta de lixo")</f>
        <v>-1500</v>
      </c>
      <c r="AR233" s="241">
        <f t="shared" ca="1" si="200"/>
        <v>-6110.76</v>
      </c>
      <c r="AS233" s="27">
        <f t="shared" ca="1" si="201"/>
        <v>-7289.0659688863125</v>
      </c>
      <c r="AT233" s="28">
        <f t="shared" ca="1" si="202"/>
        <v>-6119.4800000000005</v>
      </c>
      <c r="AU233" s="241">
        <f t="shared" si="203"/>
        <v>-12304.270000000002</v>
      </c>
      <c r="AV233" s="27">
        <f t="shared" si="204"/>
        <v>-14894.323551500298</v>
      </c>
      <c r="AW233" s="28">
        <f t="shared" si="205"/>
        <v>-15119.48</v>
      </c>
      <c r="AX233" s="241">
        <f t="shared" si="206"/>
        <v>-2916.9700000000003</v>
      </c>
      <c r="AY233" s="27">
        <f t="shared" si="207"/>
        <v>-3614.6215988856675</v>
      </c>
      <c r="AZ233" s="28">
        <f t="shared" si="208"/>
        <v>-3054.7200000000003</v>
      </c>
      <c r="BA233" s="241">
        <f t="shared" si="209"/>
        <v>-3193.79</v>
      </c>
      <c r="BB233" s="27">
        <f t="shared" si="210"/>
        <v>-3674.444370000645</v>
      </c>
      <c r="BC233" s="28">
        <f t="shared" si="211"/>
        <v>-3064.76</v>
      </c>
      <c r="BD233" s="241">
        <f t="shared" si="212"/>
        <v>-3049.1099999999997</v>
      </c>
      <c r="BE233" s="27">
        <f t="shared" si="213"/>
        <v>-3777.7777777456986</v>
      </c>
      <c r="BF233" s="28">
        <f t="shared" si="214"/>
        <v>-4500</v>
      </c>
      <c r="BG233" s="241">
        <f t="shared" si="215"/>
        <v>-3144.3999999999996</v>
      </c>
      <c r="BH233" s="27">
        <f t="shared" si="216"/>
        <v>-3827.4798048682851</v>
      </c>
      <c r="BI233" s="28">
        <f t="shared" si="217"/>
        <v>-4500</v>
      </c>
    </row>
    <row r="234" spans="1:61" s="29" customFormat="1" hidden="1" outlineLevel="1" x14ac:dyDescent="0.3">
      <c r="A234" s="22" t="s">
        <v>272</v>
      </c>
      <c r="B234" s="23"/>
      <c r="C234" s="24" t="s">
        <v>60</v>
      </c>
      <c r="D234" s="113">
        <v>-6000</v>
      </c>
      <c r="E234" s="114">
        <v>-8.0000000000000004E-4</v>
      </c>
      <c r="F234" s="56"/>
      <c r="G234" s="33"/>
      <c r="H234" s="241">
        <v>-3607.42</v>
      </c>
      <c r="I234" s="27">
        <v>-2276.4626798103232</v>
      </c>
      <c r="J234" s="28">
        <f>SUMIFS(Aut_BlueMe_Sem_Pedido!$J:$J,Aut_BlueMe_Sem_Pedido!$Q:$Q,DRE!H$4,Aut_BlueMe_Sem_Pedido!$H:$H,DRE!$A234)-SUMIFS(Aut_BlueMe_Com_Pedido!$O:$O,Aut_BlueMe_Com_Pedido!$Q:$Q,DRE!H$4)+SUMIFS(Aut_Ajustes_Manuais!$G:$G,Aut_Ajustes_Manuais!$I:$I,DRE!H$4,Aut_Ajustes_Manuais!$F:$F,"Utensilios")</f>
        <v>-1143.6799999999998</v>
      </c>
      <c r="K234" s="241">
        <v>-3187.21</v>
      </c>
      <c r="L234" s="27">
        <v>-2293.448986728572</v>
      </c>
      <c r="M234" s="28">
        <f>SUMIFS(Aut_BlueMe_Sem_Pedido!$J:$J,Aut_BlueMe_Sem_Pedido!$Q:$Q,DRE!K$4,Aut_BlueMe_Sem_Pedido!$H:$H,DRE!$A234)-SUMIFS(Aut_BlueMe_Com_Pedido!$O:$O,Aut_BlueMe_Com_Pedido!$Q:$Q,DRE!K$4)+SUMIFS(Aut_Ajustes_Manuais!$G:$G,Aut_Ajustes_Manuais!$I:$I,DRE!K$4,Aut_Ajustes_Manuais!$F:$F,"Utensilios")</f>
        <v>-2379.36</v>
      </c>
      <c r="N234" s="241">
        <v>-690.59999999999991</v>
      </c>
      <c r="O234" s="27">
        <v>-2344.7099323467742</v>
      </c>
      <c r="P234" s="28">
        <f>SUMIFS(Aut_BlueMe_Sem_Pedido!$J:$J,Aut_BlueMe_Sem_Pedido!$Q:$Q,DRE!N$4,Aut_BlueMe_Sem_Pedido!$H:$H,DRE!$A234)-SUMIFS(Aut_BlueMe_Com_Pedido!$O:$O,Aut_BlueMe_Com_Pedido!$Q:$Q,DRE!N$4)+SUMIFS(Aut_Ajustes_Manuais!$G:$G,Aut_Ajustes_Manuais!$I:$I,DRE!N$4,Aut_Ajustes_Manuais!$F:$F,"Utensilios")</f>
        <v>-1605.01</v>
      </c>
      <c r="Q234" s="241">
        <v>-723.42000000000007</v>
      </c>
      <c r="R234" s="27">
        <v>-2331.7224285349998</v>
      </c>
      <c r="S234" s="28">
        <f>SUMIFS(Aut_BlueMe_Sem_Pedido!$J:$J,Aut_BlueMe_Sem_Pedido!$Q:$Q,DRE!Q$4,Aut_BlueMe_Sem_Pedido!$H:$H,DRE!$A234)-SUMIFS(Aut_BlueMe_Com_Pedido!$O:$O,Aut_BlueMe_Com_Pedido!$Q:$Q,DRE!Q$4)+SUMIFS(Aut_Ajustes_Manuais!$G:$G,Aut_Ajustes_Manuais!$I:$I,DRE!Q$4,Aut_Ajustes_Manuais!$F:$F,"Utensilios")</f>
        <v>-644.97</v>
      </c>
      <c r="T234" s="241">
        <v>-100.69</v>
      </c>
      <c r="U234" s="27">
        <v>-2329.442418093548</v>
      </c>
      <c r="V234" s="28">
        <f>SUMIFS(Aut_BlueMe_Sem_Pedido!$J:$J,Aut_BlueMe_Sem_Pedido!$Q:$Q,DRE!T$4,Aut_BlueMe_Sem_Pedido!$H:$H,DRE!$A234)-SUMIFS(Aut_BlueMe_Com_Pedido!$O:$O,Aut_BlueMe_Com_Pedido!$Q:$Q,DRE!T$4)+SUMIFS(Aut_Ajustes_Manuais!$G:$G,Aut_Ajustes_Manuais!$I:$I,DRE!T$4,Aut_Ajustes_Manuais!$F:$F,"Utensilios")</f>
        <v>-2991.47</v>
      </c>
      <c r="W234" s="241">
        <v>-65.75</v>
      </c>
      <c r="X234" s="27">
        <v>-2313.2795233720972</v>
      </c>
      <c r="Y234" s="28">
        <f>SUMIFS(Aut_BlueMe_Sem_Pedido!$J:$J,Aut_BlueMe_Sem_Pedido!$Q:$Q,DRE!W$4,Aut_BlueMe_Sem_Pedido!$H:$H,DRE!$A234)-SUMIFS(Aut_BlueMe_Com_Pedido!$O:$O,Aut_BlueMe_Com_Pedido!$Q:$Q,DRE!W$4)+SUMIFS(Aut_Ajustes_Manuais!$G:$G,Aut_Ajustes_Manuais!$I:$I,DRE!W$4,Aut_Ajustes_Manuais!$F:$F,"Utensilios")</f>
        <v>-392.75</v>
      </c>
      <c r="Z234" s="241">
        <v>-422.53</v>
      </c>
      <c r="AA234" s="27">
        <v>-2378.9142002709682</v>
      </c>
      <c r="AB234" s="28">
        <f>SUMIFS(Aut_BlueMe_Sem_Pedido!$J:$J,Aut_BlueMe_Sem_Pedido!$Q:$Q,DRE!Z$4,Aut_BlueMe_Sem_Pedido!$H:$H,DRE!$A234)-SUMIFS(Aut_BlueMe_Com_Pedido!$O:$O,Aut_BlueMe_Com_Pedido!$Q:$Q,DRE!Z$4)+SUMIFS(Aut_Ajustes_Manuais!$G:$G,Aut_Ajustes_Manuais!$I:$I,DRE!Z$4,Aut_Ajustes_Manuais!$F:$F,"Utensilios")</f>
        <v>-2344.6800000000003</v>
      </c>
      <c r="AC234" s="241">
        <v>-8524.99</v>
      </c>
      <c r="AD234" s="27">
        <v>-2363.8676644500001</v>
      </c>
      <c r="AE234" s="28">
        <f>SUMIFS(Aut_BlueMe_Sem_Pedido!$J:$J,Aut_BlueMe_Sem_Pedido!$Q:$Q,DRE!AC$4,Aut_BlueMe_Sem_Pedido!$H:$H,DRE!$A234)-SUMIFS(Aut_BlueMe_Com_Pedido!$O:$O,Aut_BlueMe_Com_Pedido!$Q:$Q,DRE!AC$4)+SUMIFS(Aut_Ajustes_Manuais!$G:$G,Aut_Ajustes_Manuais!$I:$I,DRE!AC$4,Aut_Ajustes_Manuais!$F:$F,"Utensilios")</f>
        <v>0</v>
      </c>
      <c r="AF234" s="241">
        <v>-1325.2</v>
      </c>
      <c r="AG234" s="27">
        <v>-2334.9959130247312</v>
      </c>
      <c r="AH234" s="28">
        <f>SUMIFS(Aut_BlueMe_Sem_Pedido!$J:$J,Aut_BlueMe_Sem_Pedido!$Q:$Q,DRE!AF$4,Aut_BlueMe_Sem_Pedido!$H:$H,DRE!$A234)-SUMIFS(Aut_BlueMe_Com_Pedido!$O:$O,Aut_BlueMe_Com_Pedido!$Q:$Q,DRE!AF$4)+SUMIFS(Aut_Ajustes_Manuais!$G:$G,Aut_Ajustes_Manuais!$I:$I,DRE!AF$4,Aut_Ajustes_Manuais!$F:$F,"Utensilios")</f>
        <v>0</v>
      </c>
      <c r="AI234" s="241">
        <v>1354.86</v>
      </c>
      <c r="AJ234" s="27">
        <v>-2342.6768866326611</v>
      </c>
      <c r="AK234" s="28">
        <f>SUMIFS(Aut_BlueMe_Sem_Pedido!$J:$J,Aut_BlueMe_Sem_Pedido!$Q:$Q,DRE!AI$4,Aut_BlueMe_Sem_Pedido!$H:$H,DRE!$A234)-SUMIFS(Aut_BlueMe_Com_Pedido!$O:$O,Aut_BlueMe_Com_Pedido!$Q:$Q,DRE!AI$4)+SUMIFS(Aut_Ajustes_Manuais!$G:$G,Aut_Ajustes_Manuais!$I:$I,DRE!AI$4,Aut_Ajustes_Manuais!$F:$F,"Utensilios")</f>
        <v>0</v>
      </c>
      <c r="AL234" s="241">
        <v>-2365.21</v>
      </c>
      <c r="AM234" s="27">
        <v>-2356.818157231452</v>
      </c>
      <c r="AN234" s="28">
        <f>SUMIFS(Aut_BlueMe_Sem_Pedido!$J:$J,Aut_BlueMe_Sem_Pedido!$Q:$Q,DRE!AL$4,Aut_BlueMe_Sem_Pedido!$H:$H,DRE!$A234)-SUMIFS(Aut_BlueMe_Com_Pedido!$O:$O,Aut_BlueMe_Com_Pedido!$Q:$Q,DRE!AL$4)+SUMIFS(Aut_Ajustes_Manuais!$G:$G,Aut_Ajustes_Manuais!$I:$I,DRE!AL$4,Aut_Ajustes_Manuais!$F:$F,"Utensilios")</f>
        <v>0</v>
      </c>
      <c r="AO234" s="241">
        <v>-646.21</v>
      </c>
      <c r="AP234" s="27">
        <v>-2427.984761004172</v>
      </c>
      <c r="AQ234" s="28">
        <f>SUMIFS(Aut_BlueMe_Sem_Pedido!$J:$J,Aut_BlueMe_Sem_Pedido!$Q:$Q,DRE!AO$4,Aut_BlueMe_Sem_Pedido!$H:$H,DRE!$A234)-SUMIFS(Aut_BlueMe_Com_Pedido!$O:$O,Aut_BlueMe_Com_Pedido!$Q:$Q,DRE!AO$4)+SUMIFS(Aut_Ajustes_Manuais!$G:$G,Aut_Ajustes_Manuais!$I:$I,DRE!AO$4,Aut_Ajustes_Manuais!$F:$F,"Utensilios")</f>
        <v>0</v>
      </c>
      <c r="AR234" s="241">
        <f t="shared" ca="1" si="200"/>
        <v>-8375.09</v>
      </c>
      <c r="AS234" s="27">
        <f t="shared" ca="1" si="201"/>
        <v>-13889.065968886314</v>
      </c>
      <c r="AT234" s="28">
        <f t="shared" ca="1" si="202"/>
        <v>-9157.24</v>
      </c>
      <c r="AU234" s="241">
        <f t="shared" si="203"/>
        <v>-20304.37</v>
      </c>
      <c r="AV234" s="27">
        <f t="shared" si="204"/>
        <v>-28094.3235515003</v>
      </c>
      <c r="AW234" s="28">
        <f t="shared" si="205"/>
        <v>-11501.92</v>
      </c>
      <c r="AX234" s="241">
        <f t="shared" si="206"/>
        <v>-7485.23</v>
      </c>
      <c r="AY234" s="27">
        <f t="shared" si="207"/>
        <v>-6914.6215988856693</v>
      </c>
      <c r="AZ234" s="28">
        <f t="shared" si="208"/>
        <v>-5128.05</v>
      </c>
      <c r="BA234" s="241">
        <f t="shared" si="209"/>
        <v>-889.86000000000013</v>
      </c>
      <c r="BB234" s="27">
        <f t="shared" si="210"/>
        <v>-6974.444370000645</v>
      </c>
      <c r="BC234" s="28">
        <f t="shared" si="211"/>
        <v>-4029.1899999999996</v>
      </c>
      <c r="BD234" s="241">
        <f t="shared" si="212"/>
        <v>-10272.720000000001</v>
      </c>
      <c r="BE234" s="27">
        <f t="shared" si="213"/>
        <v>-7077.7777777456995</v>
      </c>
      <c r="BF234" s="28">
        <f t="shared" si="214"/>
        <v>-2344.6800000000003</v>
      </c>
      <c r="BG234" s="241">
        <f t="shared" si="215"/>
        <v>-1656.5600000000002</v>
      </c>
      <c r="BH234" s="27">
        <f t="shared" si="216"/>
        <v>-7127.479804868286</v>
      </c>
      <c r="BI234" s="28">
        <f t="shared" si="217"/>
        <v>0</v>
      </c>
    </row>
    <row r="235" spans="1:61" s="29" customFormat="1" hidden="1" outlineLevel="1" x14ac:dyDescent="0.3">
      <c r="A235" s="22" t="s">
        <v>273</v>
      </c>
      <c r="B235" s="23"/>
      <c r="C235" s="24" t="s">
        <v>60</v>
      </c>
      <c r="D235" s="113">
        <v>-300</v>
      </c>
      <c r="E235" s="114"/>
      <c r="F235" s="56"/>
      <c r="G235" s="33"/>
      <c r="H235" s="241">
        <v>-25</v>
      </c>
      <c r="I235" s="27">
        <v>-176.46267981032261</v>
      </c>
      <c r="J235" s="28">
        <f>SUMIFS(Aut_BlueMe_Sem_Pedido!$J:$J,Aut_BlueMe_Sem_Pedido!$Q:$Q,DRE!H$4,Aut_BlueMe_Sem_Pedido!$H:$H,DRE!$A235)+SUMIFS(Aut_Ajustes_Manuais!$G:$G,Aut_Ajustes_Manuais!$I:$I,DRE!H$4,Aut_Ajustes_Manuais!$F:$F,"Serviços Graficos")</f>
        <v>0</v>
      </c>
      <c r="K235" s="241">
        <v>0</v>
      </c>
      <c r="L235" s="27">
        <v>-193.44898672857141</v>
      </c>
      <c r="M235" s="28">
        <f>SUMIFS(Aut_BlueMe_Sem_Pedido!$J:$J,Aut_BlueMe_Sem_Pedido!$Q:$Q,DRE!K$4,Aut_BlueMe_Sem_Pedido!$H:$H,DRE!$A235)+SUMIFS(Aut_Ajustes_Manuais!$G:$G,Aut_Ajustes_Manuais!$I:$I,DRE!K$4,Aut_Ajustes_Manuais!$F:$F,"Serviços Graficos")</f>
        <v>-25</v>
      </c>
      <c r="N235" s="241">
        <v>0</v>
      </c>
      <c r="O235" s="27">
        <v>-244.7099323467742</v>
      </c>
      <c r="P235" s="28">
        <f>SUMIFS(Aut_BlueMe_Sem_Pedido!$J:$J,Aut_BlueMe_Sem_Pedido!$Q:$Q,DRE!N$4,Aut_BlueMe_Sem_Pedido!$H:$H,DRE!$A235)+SUMIFS(Aut_Ajustes_Manuais!$G:$G,Aut_Ajustes_Manuais!$I:$I,DRE!N$4,Aut_Ajustes_Manuais!$F:$F,"Serviços Graficos")</f>
        <v>0</v>
      </c>
      <c r="Q235" s="241">
        <v>-47</v>
      </c>
      <c r="R235" s="27">
        <v>-231.72242853500001</v>
      </c>
      <c r="S235" s="28">
        <f>SUMIFS(Aut_BlueMe_Sem_Pedido!$J:$J,Aut_BlueMe_Sem_Pedido!$Q:$Q,DRE!Q$4,Aut_BlueMe_Sem_Pedido!$H:$H,DRE!$A235)+SUMIFS(Aut_Ajustes_Manuais!$G:$G,Aut_Ajustes_Manuais!$I:$I,DRE!Q$4,Aut_Ajustes_Manuais!$F:$F,"Serviços Graficos")</f>
        <v>0</v>
      </c>
      <c r="T235" s="241">
        <v>0</v>
      </c>
      <c r="U235" s="27">
        <v>-229.44241809354841</v>
      </c>
      <c r="V235" s="28">
        <f>SUMIFS(Aut_BlueMe_Sem_Pedido!$J:$J,Aut_BlueMe_Sem_Pedido!$Q:$Q,DRE!T$4,Aut_BlueMe_Sem_Pedido!$H:$H,DRE!$A235)+SUMIFS(Aut_Ajustes_Manuais!$G:$G,Aut_Ajustes_Manuais!$I:$I,DRE!T$4,Aut_Ajustes_Manuais!$F:$F,"Serviços Graficos")</f>
        <v>0</v>
      </c>
      <c r="W235" s="241">
        <v>0</v>
      </c>
      <c r="X235" s="27">
        <v>-213.2795233720968</v>
      </c>
      <c r="Y235" s="28">
        <f>SUMIFS(Aut_BlueMe_Sem_Pedido!$J:$J,Aut_BlueMe_Sem_Pedido!$Q:$Q,DRE!W$4,Aut_BlueMe_Sem_Pedido!$H:$H,DRE!$A235)+SUMIFS(Aut_Ajustes_Manuais!$G:$G,Aut_Ajustes_Manuais!$I:$I,DRE!W$4,Aut_Ajustes_Manuais!$F:$F,"Serviços Graficos")</f>
        <v>0</v>
      </c>
      <c r="Z235" s="241">
        <v>0</v>
      </c>
      <c r="AA235" s="27">
        <v>-278.91420027096763</v>
      </c>
      <c r="AB235" s="28">
        <f>SUMIFS(Aut_BlueMe_Sem_Pedido!$J:$J,Aut_BlueMe_Sem_Pedido!$Q:$Q,DRE!Z$4,Aut_BlueMe_Sem_Pedido!$H:$H,DRE!$A235)+SUMIFS(Aut_Ajustes_Manuais!$G:$G,Aut_Ajustes_Manuais!$I:$I,DRE!Z$4,Aut_Ajustes_Manuais!$F:$F,"Serviços Graficos")</f>
        <v>0</v>
      </c>
      <c r="AC235" s="241">
        <v>0</v>
      </c>
      <c r="AD235" s="27">
        <v>-263.86766445000001</v>
      </c>
      <c r="AE235" s="28">
        <f>SUMIFS(Aut_BlueMe_Sem_Pedido!$J:$J,Aut_BlueMe_Sem_Pedido!$Q:$Q,DRE!AC$4,Aut_BlueMe_Sem_Pedido!$H:$H,DRE!$A235)+SUMIFS(Aut_Ajustes_Manuais!$G:$G,Aut_Ajustes_Manuais!$I:$I,DRE!AC$4,Aut_Ajustes_Manuais!$F:$F,"Serviços Graficos")</f>
        <v>0</v>
      </c>
      <c r="AF235" s="241">
        <v>0</v>
      </c>
      <c r="AG235" s="27">
        <v>-234.9959130247311</v>
      </c>
      <c r="AH235" s="28">
        <f>SUMIFS(Aut_BlueMe_Sem_Pedido!$J:$J,Aut_BlueMe_Sem_Pedido!$Q:$Q,DRE!AF$4,Aut_BlueMe_Sem_Pedido!$H:$H,DRE!$A235)+SUMIFS(Aut_Ajustes_Manuais!$G:$G,Aut_Ajustes_Manuais!$I:$I,DRE!AF$4,Aut_Ajustes_Manuais!$F:$F,"Serviços Graficos")</f>
        <v>0</v>
      </c>
      <c r="AI235" s="241">
        <v>0</v>
      </c>
      <c r="AJ235" s="27">
        <v>-242.67688663266119</v>
      </c>
      <c r="AK235" s="28">
        <f>SUMIFS(Aut_BlueMe_Sem_Pedido!$J:$J,Aut_BlueMe_Sem_Pedido!$Q:$Q,DRE!AI$4,Aut_BlueMe_Sem_Pedido!$H:$H,DRE!$A235)+SUMIFS(Aut_Ajustes_Manuais!$G:$G,Aut_Ajustes_Manuais!$I:$I,DRE!AI$4,Aut_Ajustes_Manuais!$F:$F,"Serviços Graficos")</f>
        <v>0</v>
      </c>
      <c r="AL235" s="241">
        <v>0</v>
      </c>
      <c r="AM235" s="27">
        <v>-256.81815723145212</v>
      </c>
      <c r="AN235" s="28">
        <f>SUMIFS(Aut_BlueMe_Sem_Pedido!$J:$J,Aut_BlueMe_Sem_Pedido!$Q:$Q,DRE!AL$4,Aut_BlueMe_Sem_Pedido!$H:$H,DRE!$A235)+SUMIFS(Aut_Ajustes_Manuais!$G:$G,Aut_Ajustes_Manuais!$I:$I,DRE!AL$4,Aut_Ajustes_Manuais!$F:$F,"Serviços Graficos")</f>
        <v>0</v>
      </c>
      <c r="AO235" s="241">
        <v>0</v>
      </c>
      <c r="AP235" s="27">
        <v>-327.98476100417253</v>
      </c>
      <c r="AQ235" s="28">
        <f>SUMIFS(Aut_BlueMe_Sem_Pedido!$J:$J,Aut_BlueMe_Sem_Pedido!$Q:$Q,DRE!AO$4,Aut_BlueMe_Sem_Pedido!$H:$H,DRE!$A235)+SUMIFS(Aut_Ajustes_Manuais!$G:$G,Aut_Ajustes_Manuais!$I:$I,DRE!AO$4,Aut_Ajustes_Manuais!$F:$F,"Serviços Graficos")</f>
        <v>0</v>
      </c>
      <c r="AR235" s="241">
        <f t="shared" ca="1" si="200"/>
        <v>-72</v>
      </c>
      <c r="AS235" s="27">
        <f t="shared" ca="1" si="201"/>
        <v>-1289.0659688863134</v>
      </c>
      <c r="AT235" s="28">
        <f t="shared" ca="1" si="202"/>
        <v>-25</v>
      </c>
      <c r="AU235" s="241">
        <f t="shared" si="203"/>
        <v>-72</v>
      </c>
      <c r="AV235" s="27">
        <f t="shared" si="204"/>
        <v>-2894.323551500298</v>
      </c>
      <c r="AW235" s="28">
        <f t="shared" si="205"/>
        <v>-25</v>
      </c>
      <c r="AX235" s="241">
        <f t="shared" si="206"/>
        <v>-25</v>
      </c>
      <c r="AY235" s="27">
        <f t="shared" si="207"/>
        <v>-614.62159888566816</v>
      </c>
      <c r="AZ235" s="28">
        <f t="shared" si="208"/>
        <v>-25</v>
      </c>
      <c r="BA235" s="241">
        <f t="shared" si="209"/>
        <v>-47</v>
      </c>
      <c r="BB235" s="27">
        <f t="shared" si="210"/>
        <v>-674.44437000064522</v>
      </c>
      <c r="BC235" s="28">
        <f t="shared" si="211"/>
        <v>0</v>
      </c>
      <c r="BD235" s="241">
        <f t="shared" si="212"/>
        <v>0</v>
      </c>
      <c r="BE235" s="27">
        <f t="shared" si="213"/>
        <v>-777.7777777456987</v>
      </c>
      <c r="BF235" s="28">
        <f t="shared" si="214"/>
        <v>0</v>
      </c>
      <c r="BG235" s="241">
        <f t="shared" si="215"/>
        <v>0</v>
      </c>
      <c r="BH235" s="27">
        <f t="shared" si="216"/>
        <v>-827.47980486828578</v>
      </c>
      <c r="BI235" s="28">
        <f t="shared" si="217"/>
        <v>0</v>
      </c>
    </row>
    <row r="236" spans="1:61" s="29" customFormat="1" hidden="1" outlineLevel="1" x14ac:dyDescent="0.3">
      <c r="A236" s="22" t="s">
        <v>274</v>
      </c>
      <c r="B236" s="23"/>
      <c r="C236" s="24" t="s">
        <v>60</v>
      </c>
      <c r="D236" s="113">
        <v>-280</v>
      </c>
      <c r="E236" s="114"/>
      <c r="F236" s="56"/>
      <c r="G236" s="33"/>
      <c r="H236" s="241">
        <v>0</v>
      </c>
      <c r="I236" s="27">
        <v>-176.46267981032261</v>
      </c>
      <c r="J236" s="28">
        <f>SUMIFS(Aut_BlueMe_Sem_Pedido!$J:$J,Aut_BlueMe_Sem_Pedido!$Q:$Q,DRE!H$4,Aut_BlueMe_Sem_Pedido!$H:$H,DRE!$A236)+SUMIFS(Aut_Ajustes_Manuais!$G:$G,Aut_Ajustes_Manuais!$I:$I,DRE!H$4,Aut_Ajustes_Manuais!$F:$F,"Custas Cartório")</f>
        <v>0</v>
      </c>
      <c r="K236" s="241">
        <v>0</v>
      </c>
      <c r="L236" s="27">
        <v>-193.44898672857141</v>
      </c>
      <c r="M236" s="28">
        <f>SUMIFS(Aut_BlueMe_Sem_Pedido!$J:$J,Aut_BlueMe_Sem_Pedido!$Q:$Q,DRE!K$4,Aut_BlueMe_Sem_Pedido!$H:$H,DRE!$A236)+SUMIFS(Aut_Ajustes_Manuais!$G:$G,Aut_Ajustes_Manuais!$I:$I,DRE!K$4,Aut_Ajustes_Manuais!$F:$F,"Custas Cartório")</f>
        <v>0</v>
      </c>
      <c r="N236" s="241">
        <v>0</v>
      </c>
      <c r="O236" s="27">
        <v>-244.7099323467742</v>
      </c>
      <c r="P236" s="28">
        <f>SUMIFS(Aut_BlueMe_Sem_Pedido!$J:$J,Aut_BlueMe_Sem_Pedido!$Q:$Q,DRE!N$4,Aut_BlueMe_Sem_Pedido!$H:$H,DRE!$A236)+SUMIFS(Aut_Ajustes_Manuais!$G:$G,Aut_Ajustes_Manuais!$I:$I,DRE!N$4,Aut_Ajustes_Manuais!$F:$F,"Custas Cartório")</f>
        <v>0</v>
      </c>
      <c r="Q236" s="241">
        <v>0</v>
      </c>
      <c r="R236" s="27">
        <v>-231.72242853500001</v>
      </c>
      <c r="S236" s="28">
        <f>SUMIFS(Aut_BlueMe_Sem_Pedido!$J:$J,Aut_BlueMe_Sem_Pedido!$Q:$Q,DRE!Q$4,Aut_BlueMe_Sem_Pedido!$H:$H,DRE!$A236)+SUMIFS(Aut_Ajustes_Manuais!$G:$G,Aut_Ajustes_Manuais!$I:$I,DRE!Q$4,Aut_Ajustes_Manuais!$F:$F,"Custas Cartório")</f>
        <v>0</v>
      </c>
      <c r="T236" s="241">
        <v>0</v>
      </c>
      <c r="U236" s="27">
        <v>-229.44241809354841</v>
      </c>
      <c r="V236" s="28">
        <f>SUMIFS(Aut_BlueMe_Sem_Pedido!$J:$J,Aut_BlueMe_Sem_Pedido!$Q:$Q,DRE!T$4,Aut_BlueMe_Sem_Pedido!$H:$H,DRE!$A236)+SUMIFS(Aut_Ajustes_Manuais!$G:$G,Aut_Ajustes_Manuais!$I:$I,DRE!T$4,Aut_Ajustes_Manuais!$F:$F,"Custas Cartório")</f>
        <v>0</v>
      </c>
      <c r="W236" s="241">
        <v>0</v>
      </c>
      <c r="X236" s="27">
        <v>-213.2795233720968</v>
      </c>
      <c r="Y236" s="28">
        <f>SUMIFS(Aut_BlueMe_Sem_Pedido!$J:$J,Aut_BlueMe_Sem_Pedido!$Q:$Q,DRE!W$4,Aut_BlueMe_Sem_Pedido!$H:$H,DRE!$A236)+SUMIFS(Aut_Ajustes_Manuais!$G:$G,Aut_Ajustes_Manuais!$I:$I,DRE!W$4,Aut_Ajustes_Manuais!$F:$F,"Custas Cartório")</f>
        <v>0</v>
      </c>
      <c r="Z236" s="241">
        <v>0</v>
      </c>
      <c r="AA236" s="27">
        <v>-278.91420027096763</v>
      </c>
      <c r="AB236" s="28">
        <f>SUMIFS(Aut_BlueMe_Sem_Pedido!$J:$J,Aut_BlueMe_Sem_Pedido!$Q:$Q,DRE!Z$4,Aut_BlueMe_Sem_Pedido!$H:$H,DRE!$A236)+SUMIFS(Aut_Ajustes_Manuais!$G:$G,Aut_Ajustes_Manuais!$I:$I,DRE!Z$4,Aut_Ajustes_Manuais!$F:$F,"Custas Cartório")</f>
        <v>0</v>
      </c>
      <c r="AC236" s="241">
        <v>0</v>
      </c>
      <c r="AD236" s="27">
        <v>-263.86766445000001</v>
      </c>
      <c r="AE236" s="28">
        <f>SUMIFS(Aut_BlueMe_Sem_Pedido!$J:$J,Aut_BlueMe_Sem_Pedido!$Q:$Q,DRE!AC$4,Aut_BlueMe_Sem_Pedido!$H:$H,DRE!$A236)+SUMIFS(Aut_Ajustes_Manuais!$G:$G,Aut_Ajustes_Manuais!$I:$I,DRE!AC$4,Aut_Ajustes_Manuais!$F:$F,"Custas Cartório")</f>
        <v>0</v>
      </c>
      <c r="AF236" s="241">
        <v>0</v>
      </c>
      <c r="AG236" s="27">
        <v>-234.9959130247311</v>
      </c>
      <c r="AH236" s="28">
        <f>SUMIFS(Aut_BlueMe_Sem_Pedido!$J:$J,Aut_BlueMe_Sem_Pedido!$Q:$Q,DRE!AF$4,Aut_BlueMe_Sem_Pedido!$H:$H,DRE!$A236)+SUMIFS(Aut_Ajustes_Manuais!$G:$G,Aut_Ajustes_Manuais!$I:$I,DRE!AF$4,Aut_Ajustes_Manuais!$F:$F,"Custas Cartório")</f>
        <v>0</v>
      </c>
      <c r="AI236" s="241">
        <v>0</v>
      </c>
      <c r="AJ236" s="27">
        <v>-242.67688663266119</v>
      </c>
      <c r="AK236" s="28">
        <f>SUMIFS(Aut_BlueMe_Sem_Pedido!$J:$J,Aut_BlueMe_Sem_Pedido!$Q:$Q,DRE!AI$4,Aut_BlueMe_Sem_Pedido!$H:$H,DRE!$A236)+SUMIFS(Aut_Ajustes_Manuais!$G:$G,Aut_Ajustes_Manuais!$I:$I,DRE!AI$4,Aut_Ajustes_Manuais!$F:$F,"Custas Cartório")</f>
        <v>0</v>
      </c>
      <c r="AL236" s="241">
        <v>0</v>
      </c>
      <c r="AM236" s="27">
        <v>-256.81815723145212</v>
      </c>
      <c r="AN236" s="28">
        <f>SUMIFS(Aut_BlueMe_Sem_Pedido!$J:$J,Aut_BlueMe_Sem_Pedido!$Q:$Q,DRE!AL$4,Aut_BlueMe_Sem_Pedido!$H:$H,DRE!$A236)+SUMIFS(Aut_Ajustes_Manuais!$G:$G,Aut_Ajustes_Manuais!$I:$I,DRE!AL$4,Aut_Ajustes_Manuais!$F:$F,"Custas Cartório")</f>
        <v>0</v>
      </c>
      <c r="AO236" s="241">
        <v>0</v>
      </c>
      <c r="AP236" s="27">
        <v>-327.98476100417253</v>
      </c>
      <c r="AQ236" s="28">
        <f>SUMIFS(Aut_BlueMe_Sem_Pedido!$J:$J,Aut_BlueMe_Sem_Pedido!$Q:$Q,DRE!AO$4,Aut_BlueMe_Sem_Pedido!$H:$H,DRE!$A236)+SUMIFS(Aut_Ajustes_Manuais!$G:$G,Aut_Ajustes_Manuais!$I:$I,DRE!AO$4,Aut_Ajustes_Manuais!$F:$F,"Custas Cartório")</f>
        <v>0</v>
      </c>
      <c r="AR236" s="241">
        <f t="shared" ca="1" si="200"/>
        <v>0</v>
      </c>
      <c r="AS236" s="27">
        <f t="shared" ca="1" si="201"/>
        <v>-1289.0659688863134</v>
      </c>
      <c r="AT236" s="28">
        <f t="shared" ca="1" si="202"/>
        <v>0</v>
      </c>
      <c r="AU236" s="241">
        <f t="shared" si="203"/>
        <v>0</v>
      </c>
      <c r="AV236" s="27">
        <f t="shared" si="204"/>
        <v>-2894.323551500298</v>
      </c>
      <c r="AW236" s="28">
        <f t="shared" si="205"/>
        <v>0</v>
      </c>
      <c r="AX236" s="241">
        <f t="shared" si="206"/>
        <v>0</v>
      </c>
      <c r="AY236" s="27">
        <f t="shared" si="207"/>
        <v>-614.62159888566816</v>
      </c>
      <c r="AZ236" s="28">
        <f t="shared" si="208"/>
        <v>0</v>
      </c>
      <c r="BA236" s="241">
        <f t="shared" si="209"/>
        <v>0</v>
      </c>
      <c r="BB236" s="27">
        <f t="shared" si="210"/>
        <v>-674.44437000064522</v>
      </c>
      <c r="BC236" s="28">
        <f t="shared" si="211"/>
        <v>0</v>
      </c>
      <c r="BD236" s="241">
        <f t="shared" si="212"/>
        <v>0</v>
      </c>
      <c r="BE236" s="27">
        <f t="shared" si="213"/>
        <v>-777.7777777456987</v>
      </c>
      <c r="BF236" s="28">
        <f t="shared" si="214"/>
        <v>0</v>
      </c>
      <c r="BG236" s="241">
        <f t="shared" si="215"/>
        <v>0</v>
      </c>
      <c r="BH236" s="27">
        <f t="shared" si="216"/>
        <v>-827.47980486828578</v>
      </c>
      <c r="BI236" s="28">
        <f t="shared" si="217"/>
        <v>0</v>
      </c>
    </row>
    <row r="237" spans="1:61" s="29" customFormat="1" hidden="1" outlineLevel="1" x14ac:dyDescent="0.3">
      <c r="A237" s="22" t="s">
        <v>275</v>
      </c>
      <c r="B237" s="23"/>
      <c r="C237" s="24" t="s">
        <v>60</v>
      </c>
      <c r="D237" s="113"/>
      <c r="E237" s="114">
        <v>-6.9999999999999999E-4</v>
      </c>
      <c r="F237" s="56"/>
      <c r="G237" s="33"/>
      <c r="H237" s="241">
        <v>-1766.89</v>
      </c>
      <c r="I237" s="27">
        <v>-1176.462679810322</v>
      </c>
      <c r="J237" s="28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>-1567.9900000000002</v>
      </c>
      <c r="K237" s="241">
        <v>-568.75</v>
      </c>
      <c r="L237" s="27">
        <v>-1193.448986728572</v>
      </c>
      <c r="M237" s="28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>-2634.62</v>
      </c>
      <c r="N237" s="241">
        <v>-877.33</v>
      </c>
      <c r="O237" s="27">
        <v>-1244.7099323467739</v>
      </c>
      <c r="P237" s="28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>-720.07000000000062</v>
      </c>
      <c r="Q237" s="241">
        <v>559.57000000000016</v>
      </c>
      <c r="R237" s="27">
        <v>-1231.7224285350001</v>
      </c>
      <c r="S237" s="28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>-2482.9200000000005</v>
      </c>
      <c r="T237" s="241">
        <v>-983.95999999999992</v>
      </c>
      <c r="U237" s="27">
        <v>-1229.442418093548</v>
      </c>
      <c r="V237" s="27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>-2512.0500000000002</v>
      </c>
      <c r="W237" s="241">
        <v>-1012.53</v>
      </c>
      <c r="X237" s="27">
        <v>-1213.2795233720969</v>
      </c>
      <c r="Y237" s="28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>-2250.86</v>
      </c>
      <c r="Z237" s="241">
        <v>-455.45999999999981</v>
      </c>
      <c r="AA237" s="27">
        <v>-1278.914200270968</v>
      </c>
      <c r="AB237" s="28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>-1762.14</v>
      </c>
      <c r="AC237" s="241">
        <v>669.38000000000011</v>
      </c>
      <c r="AD237" s="27">
        <v>-1263.8676644499999</v>
      </c>
      <c r="AE237" s="28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>0</v>
      </c>
      <c r="AF237" s="241">
        <v>-2077.2199999999998</v>
      </c>
      <c r="AG237" s="27">
        <v>-1234.995913024731</v>
      </c>
      <c r="AH237" s="28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>0</v>
      </c>
      <c r="AI237" s="241">
        <v>-1453.89</v>
      </c>
      <c r="AJ237" s="27">
        <v>-1242.6768866326611</v>
      </c>
      <c r="AK237" s="28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>0</v>
      </c>
      <c r="AL237" s="241">
        <v>-1206.51</v>
      </c>
      <c r="AM237" s="27">
        <v>-1256.818157231452</v>
      </c>
      <c r="AN237" s="28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>0</v>
      </c>
      <c r="AO237" s="241">
        <v>-1906.52</v>
      </c>
      <c r="AP237" s="27">
        <v>-1327.984761004172</v>
      </c>
      <c r="AQ237" s="28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>0</v>
      </c>
      <c r="AR237" s="241">
        <f t="shared" ca="1" si="200"/>
        <v>-4649.8900000000003</v>
      </c>
      <c r="AS237" s="27">
        <f t="shared" ca="1" si="201"/>
        <v>-7289.0659688863125</v>
      </c>
      <c r="AT237" s="28">
        <f t="shared" ca="1" si="202"/>
        <v>-12168.510000000002</v>
      </c>
      <c r="AU237" s="241">
        <f t="shared" si="203"/>
        <v>-11080.11</v>
      </c>
      <c r="AV237" s="27">
        <f t="shared" si="204"/>
        <v>-14894.323551500298</v>
      </c>
      <c r="AW237" s="28">
        <f t="shared" si="205"/>
        <v>-13930.650000000001</v>
      </c>
      <c r="AX237" s="241">
        <f t="shared" si="206"/>
        <v>-3212.9700000000003</v>
      </c>
      <c r="AY237" s="27">
        <f t="shared" si="207"/>
        <v>-3614.6215988856675</v>
      </c>
      <c r="AZ237" s="28">
        <f t="shared" si="208"/>
        <v>-4922.6800000000012</v>
      </c>
      <c r="BA237" s="241">
        <f t="shared" si="209"/>
        <v>-1436.9199999999996</v>
      </c>
      <c r="BB237" s="27">
        <f t="shared" si="210"/>
        <v>-3674.444370000645</v>
      </c>
      <c r="BC237" s="28">
        <f t="shared" si="211"/>
        <v>-7245.8300000000017</v>
      </c>
      <c r="BD237" s="241">
        <f t="shared" si="212"/>
        <v>-1863.2999999999995</v>
      </c>
      <c r="BE237" s="27">
        <f t="shared" si="213"/>
        <v>-3777.7777777456986</v>
      </c>
      <c r="BF237" s="28">
        <f t="shared" si="214"/>
        <v>-1762.14</v>
      </c>
      <c r="BG237" s="241">
        <f t="shared" si="215"/>
        <v>-4566.92</v>
      </c>
      <c r="BH237" s="27">
        <f t="shared" si="216"/>
        <v>-3827.4798048682851</v>
      </c>
      <c r="BI237" s="28">
        <f t="shared" si="217"/>
        <v>0</v>
      </c>
    </row>
    <row r="238" spans="1:61" s="29" customFormat="1" hidden="1" outlineLevel="1" x14ac:dyDescent="0.3">
      <c r="A238" s="22" t="s">
        <v>276</v>
      </c>
      <c r="B238" s="23"/>
      <c r="C238" s="24" t="s">
        <v>67</v>
      </c>
      <c r="D238" s="81"/>
      <c r="E238" s="115"/>
      <c r="F238" s="56"/>
      <c r="G238" s="33"/>
      <c r="H238" s="241">
        <v>0</v>
      </c>
      <c r="I238" s="27">
        <v>-1428</v>
      </c>
      <c r="J238" s="28">
        <f>SUMIFS(Aut_BlueMe_Sem_Pedido!$J:$J,Aut_BlueMe_Sem_Pedido!$Q:$Q,DRE!H$4,Aut_BlueMe_Sem_Pedido!$H:$H,DRE!$A238)+SUMIFS(Aut_Ajustes_Manuais!$G:$G,Aut_Ajustes_Manuais!$I:$I,DRE!H$4,Aut_Ajustes_Manuais!$F:$F,"Serviços de Limpeza")</f>
        <v>-1512</v>
      </c>
      <c r="K238" s="241">
        <v>-243.1</v>
      </c>
      <c r="L238" s="27">
        <v>-1675.962</v>
      </c>
      <c r="M238" s="28">
        <f>SUMIFS(Aut_BlueMe_Sem_Pedido!$J:$J,Aut_BlueMe_Sem_Pedido!$Q:$Q,DRE!K$4,Aut_BlueMe_Sem_Pedido!$H:$H,DRE!$A238)+SUMIFS(Aut_Ajustes_Manuais!$G:$G,Aut_Ajustes_Manuais!$I:$I,DRE!K$4,Aut_Ajustes_Manuais!$F:$F,"Serviços de Limpeza")</f>
        <v>-1637</v>
      </c>
      <c r="N238" s="241">
        <v>-1638.41</v>
      </c>
      <c r="O238" s="27">
        <v>-1671.1782000000001</v>
      </c>
      <c r="P238" s="28">
        <f>SUMIFS(Aut_BlueMe_Sem_Pedido!$J:$J,Aut_BlueMe_Sem_Pedido!$Q:$Q,DRE!N$4,Aut_BlueMe_Sem_Pedido!$H:$H,DRE!$A238)+SUMIFS(Aut_Ajustes_Manuais!$G:$G,Aut_Ajustes_Manuais!$I:$I,DRE!N$4,Aut_Ajustes_Manuais!$F:$F,"Serviços de Limpeza")</f>
        <v>-2112</v>
      </c>
      <c r="Q238" s="241">
        <v>-1521.55</v>
      </c>
      <c r="R238" s="27">
        <v>-1551.981</v>
      </c>
      <c r="S238" s="28">
        <f>SUMIFS(Aut_BlueMe_Sem_Pedido!$J:$J,Aut_BlueMe_Sem_Pedido!$Q:$Q,DRE!Q$4,Aut_BlueMe_Sem_Pedido!$H:$H,DRE!$A238)+SUMIFS(Aut_Ajustes_Manuais!$G:$G,Aut_Ajustes_Manuais!$I:$I,DRE!Q$4,Aut_Ajustes_Manuais!$F:$F,"Serviços de Limpeza")</f>
        <v>-1512</v>
      </c>
      <c r="T238" s="241">
        <v>-1400</v>
      </c>
      <c r="U238" s="27">
        <v>-1428</v>
      </c>
      <c r="V238" s="28">
        <f>SUMIFS(Aut_BlueMe_Sem_Pedido!$J:$J,Aut_BlueMe_Sem_Pedido!$Q:$Q,DRE!T$4,Aut_BlueMe_Sem_Pedido!$H:$H,DRE!$A238)+SUMIFS(Aut_Ajustes_Manuais!$G:$G,Aut_Ajustes_Manuais!$I:$I,DRE!T$4,Aut_Ajustes_Manuais!$F:$F,"Serviços de Limpeza")</f>
        <v>-1643.28</v>
      </c>
      <c r="W238" s="241">
        <v>-1521.55</v>
      </c>
      <c r="X238" s="27">
        <v>-1551.981</v>
      </c>
      <c r="Y238" s="28">
        <f>SUMIFS(Aut_BlueMe_Sem_Pedido!$J:$J,Aut_BlueMe_Sem_Pedido!$Q:$Q,DRE!W$4,Aut_BlueMe_Sem_Pedido!$H:$H,DRE!$A238)+SUMIFS(Aut_Ajustes_Manuais!$G:$G,Aut_Ajustes_Manuais!$I:$I,DRE!W$4,Aut_Ajustes_Manuais!$F:$F,"Serviços de Limpeza")</f>
        <v>-1512</v>
      </c>
      <c r="Z238" s="241">
        <v>-1400</v>
      </c>
      <c r="AA238" s="27">
        <v>-1428</v>
      </c>
      <c r="AB238" s="28">
        <f>SUMIFS(Aut_BlueMe_Sem_Pedido!$J:$J,Aut_BlueMe_Sem_Pedido!$Q:$Q,DRE!Z$4,Aut_BlueMe_Sem_Pedido!$H:$H,DRE!$A238)+SUMIFS(Aut_Ajustes_Manuais!$G:$G,Aut_Ajustes_Manuais!$I:$I,DRE!Z$4,Aut_Ajustes_Manuais!$F:$F,"Serviços de Limpeza")</f>
        <v>-1512</v>
      </c>
      <c r="AC238" s="241">
        <v>-1521.55</v>
      </c>
      <c r="AD238" s="27">
        <v>-1551.981</v>
      </c>
      <c r="AE238" s="28">
        <f>SUMIFS(Aut_BlueMe_Sem_Pedido!$J:$J,Aut_BlueMe_Sem_Pedido!$Q:$Q,DRE!AC$4,Aut_BlueMe_Sem_Pedido!$H:$H,DRE!$A238)+SUMIFS(Aut_Ajustes_Manuais!$G:$G,Aut_Ajustes_Manuais!$I:$I,DRE!AC$4,Aut_Ajustes_Manuais!$F:$F,"Serviços de Limpeza")</f>
        <v>-1600</v>
      </c>
      <c r="AF238" s="241">
        <v>-1400</v>
      </c>
      <c r="AG238" s="27">
        <v>-1428</v>
      </c>
      <c r="AH238" s="28">
        <f>SUMIFS(Aut_BlueMe_Sem_Pedido!$J:$J,Aut_BlueMe_Sem_Pedido!$Q:$Q,DRE!AF$4,Aut_BlueMe_Sem_Pedido!$H:$H,DRE!$A238)+SUMIFS(Aut_Ajustes_Manuais!$G:$G,Aut_Ajustes_Manuais!$I:$I,DRE!AF$4,Aut_Ajustes_Manuais!$F:$F,"Serviços de Limpeza")</f>
        <v>-1600</v>
      </c>
      <c r="AI238" s="241">
        <v>-1400</v>
      </c>
      <c r="AJ238" s="27">
        <v>-1428</v>
      </c>
      <c r="AK238" s="28">
        <f>SUMIFS(Aut_BlueMe_Sem_Pedido!$J:$J,Aut_BlueMe_Sem_Pedido!$Q:$Q,DRE!AI$4,Aut_BlueMe_Sem_Pedido!$H:$H,DRE!$A238)+SUMIFS(Aut_Ajustes_Manuais!$G:$G,Aut_Ajustes_Manuais!$I:$I,DRE!AI$4,Aut_Ajustes_Manuais!$F:$F,"Serviços de Limpeza")</f>
        <v>-1600</v>
      </c>
      <c r="AL238" s="241">
        <v>-1400</v>
      </c>
      <c r="AM238" s="27">
        <v>-1428</v>
      </c>
      <c r="AN238" s="28">
        <f>SUMIFS(Aut_BlueMe_Sem_Pedido!$J:$J,Aut_BlueMe_Sem_Pedido!$Q:$Q,DRE!AL$4,Aut_BlueMe_Sem_Pedido!$H:$H,DRE!$A238)+SUMIFS(Aut_Ajustes_Manuais!$G:$G,Aut_Ajustes_Manuais!$I:$I,DRE!AL$4,Aut_Ajustes_Manuais!$F:$F,"Serviços de Limpeza")</f>
        <v>-1600</v>
      </c>
      <c r="AO238" s="241">
        <v>-1519.1</v>
      </c>
      <c r="AP238" s="27">
        <v>-1428</v>
      </c>
      <c r="AQ238" s="28">
        <f>SUMIFS(Aut_BlueMe_Sem_Pedido!$J:$J,Aut_BlueMe_Sem_Pedido!$Q:$Q,DRE!AO$4,Aut_BlueMe_Sem_Pedido!$H:$H,DRE!$A238)+SUMIFS(Aut_Ajustes_Manuais!$G:$G,Aut_Ajustes_Manuais!$I:$I,DRE!AO$4,Aut_Ajustes_Manuais!$F:$F,"Serviços de Limpeza")</f>
        <v>-1600</v>
      </c>
      <c r="AR238" s="241">
        <f t="shared" ca="1" si="200"/>
        <v>-6324.61</v>
      </c>
      <c r="AS238" s="27">
        <f t="shared" ca="1" si="201"/>
        <v>-9307.1021999999994</v>
      </c>
      <c r="AT238" s="28">
        <f t="shared" ca="1" si="202"/>
        <v>-9928.2800000000007</v>
      </c>
      <c r="AU238" s="241">
        <f t="shared" si="203"/>
        <v>-14965.26</v>
      </c>
      <c r="AV238" s="27">
        <f t="shared" si="204"/>
        <v>-17999.083200000001</v>
      </c>
      <c r="AW238" s="28">
        <f t="shared" si="205"/>
        <v>-19440.28</v>
      </c>
      <c r="AX238" s="241">
        <f t="shared" si="206"/>
        <v>-1881.51</v>
      </c>
      <c r="AY238" s="27">
        <f t="shared" si="207"/>
        <v>-4775.1401999999998</v>
      </c>
      <c r="AZ238" s="28">
        <f t="shared" si="208"/>
        <v>-5261</v>
      </c>
      <c r="BA238" s="241">
        <f t="shared" si="209"/>
        <v>-4443.1000000000004</v>
      </c>
      <c r="BB238" s="27">
        <f t="shared" si="210"/>
        <v>-4531.9619999999995</v>
      </c>
      <c r="BC238" s="28">
        <f t="shared" si="211"/>
        <v>-4667.28</v>
      </c>
      <c r="BD238" s="241">
        <f t="shared" si="212"/>
        <v>-4321.55</v>
      </c>
      <c r="BE238" s="27">
        <f t="shared" si="213"/>
        <v>-4407.9809999999998</v>
      </c>
      <c r="BF238" s="28">
        <f t="shared" si="214"/>
        <v>-4712</v>
      </c>
      <c r="BG238" s="241">
        <f t="shared" si="215"/>
        <v>-4319.1000000000004</v>
      </c>
      <c r="BH238" s="27">
        <f t="shared" si="216"/>
        <v>-4284</v>
      </c>
      <c r="BI238" s="28">
        <f t="shared" si="217"/>
        <v>-4800</v>
      </c>
    </row>
    <row r="239" spans="1:61" s="29" customFormat="1" hidden="1" outlineLevel="1" x14ac:dyDescent="0.3">
      <c r="A239" s="22" t="s">
        <v>277</v>
      </c>
      <c r="B239" s="23"/>
      <c r="C239" s="24" t="s">
        <v>60</v>
      </c>
      <c r="D239" s="113"/>
      <c r="E239" s="114">
        <v>-5.0000000000000001E-4</v>
      </c>
      <c r="F239" s="56"/>
      <c r="G239" s="33"/>
      <c r="H239" s="241">
        <v>-390</v>
      </c>
      <c r="I239" s="27">
        <v>-250</v>
      </c>
      <c r="J239" s="28">
        <f>SUMIFS(Aut_BlueMe_Sem_Pedido!$J:$J,Aut_BlueMe_Sem_Pedido!$Q:$Q,DRE!H$4,Aut_BlueMe_Sem_Pedido!$H:$H,DRE!$A239)+SUMIFS(Aut_Ajustes_Manuais!$G:$G,Aut_Ajustes_Manuais!$I:$I,DRE!H$4,Aut_Ajustes_Manuais!$F:$F,"Serviço de Lavanderia")</f>
        <v>-614</v>
      </c>
      <c r="K239" s="241">
        <v>-150</v>
      </c>
      <c r="L239" s="27">
        <v>-250</v>
      </c>
      <c r="M239" s="28">
        <f>SUMIFS(Aut_BlueMe_Sem_Pedido!$J:$J,Aut_BlueMe_Sem_Pedido!$Q:$Q,DRE!K$4,Aut_BlueMe_Sem_Pedido!$H:$H,DRE!$A239)+SUMIFS(Aut_Ajustes_Manuais!$G:$G,Aut_Ajustes_Manuais!$I:$I,DRE!K$4,Aut_Ajustes_Manuais!$F:$F,"Serviço de Lavanderia")</f>
        <v>-782</v>
      </c>
      <c r="N239" s="241">
        <v>-545</v>
      </c>
      <c r="O239" s="27">
        <v>-250</v>
      </c>
      <c r="P239" s="28">
        <f>SUMIFS(Aut_BlueMe_Sem_Pedido!$J:$J,Aut_BlueMe_Sem_Pedido!$Q:$Q,DRE!N$4,Aut_BlueMe_Sem_Pedido!$H:$H,DRE!$A239)+SUMIFS(Aut_Ajustes_Manuais!$G:$G,Aut_Ajustes_Manuais!$I:$I,DRE!N$4,Aut_Ajustes_Manuais!$F:$F,"Serviço de Lavanderia")</f>
        <v>0</v>
      </c>
      <c r="Q239" s="241">
        <v>-93</v>
      </c>
      <c r="R239" s="27">
        <v>-250</v>
      </c>
      <c r="S239" s="28">
        <f>SUMIFS(Aut_BlueMe_Sem_Pedido!$J:$J,Aut_BlueMe_Sem_Pedido!$Q:$Q,DRE!Q$4,Aut_BlueMe_Sem_Pedido!$H:$H,DRE!$A239)+SUMIFS(Aut_Ajustes_Manuais!$G:$G,Aut_Ajustes_Manuais!$I:$I,DRE!Q$4,Aut_Ajustes_Manuais!$F:$F,"Serviço de Lavanderia")</f>
        <v>-377</v>
      </c>
      <c r="T239" s="241">
        <v>-333</v>
      </c>
      <c r="U239" s="27">
        <v>-250</v>
      </c>
      <c r="V239" s="28">
        <f>SUMIFS(Aut_BlueMe_Sem_Pedido!$J:$J,Aut_BlueMe_Sem_Pedido!$Q:$Q,DRE!T$4,Aut_BlueMe_Sem_Pedido!$H:$H,DRE!$A239)+SUMIFS(Aut_Ajustes_Manuais!$G:$G,Aut_Ajustes_Manuais!$I:$I,DRE!T$4,Aut_Ajustes_Manuais!$F:$F,"Serviço de Lavanderia")</f>
        <v>0</v>
      </c>
      <c r="W239" s="241">
        <v>-432</v>
      </c>
      <c r="X239" s="27">
        <v>-250</v>
      </c>
      <c r="Y239" s="28">
        <f>SUMIFS(Aut_BlueMe_Sem_Pedido!$J:$J,Aut_BlueMe_Sem_Pedido!$Q:$Q,DRE!W$4,Aut_BlueMe_Sem_Pedido!$H:$H,DRE!$A239)+SUMIFS(Aut_Ajustes_Manuais!$G:$G,Aut_Ajustes_Manuais!$I:$I,DRE!W$4,Aut_Ajustes_Manuais!$F:$F,"Serviço de Lavanderia")</f>
        <v>-898</v>
      </c>
      <c r="Z239" s="241">
        <v>-208</v>
      </c>
      <c r="AA239" s="27">
        <v>-250</v>
      </c>
      <c r="AB239" s="28">
        <f>SUMIFS(Aut_BlueMe_Sem_Pedido!$J:$J,Aut_BlueMe_Sem_Pedido!$Q:$Q,DRE!Z$4,Aut_BlueMe_Sem_Pedido!$H:$H,DRE!$A239)+SUMIFS(Aut_Ajustes_Manuais!$G:$G,Aut_Ajustes_Manuais!$I:$I,DRE!Z$4,Aut_Ajustes_Manuais!$F:$F,"Serviço de Lavanderia")</f>
        <v>-500</v>
      </c>
      <c r="AC239" s="241">
        <v>-324</v>
      </c>
      <c r="AD239" s="27">
        <v>-250</v>
      </c>
      <c r="AE239" s="28">
        <f>SUMIFS(Aut_BlueMe_Sem_Pedido!$J:$J,Aut_BlueMe_Sem_Pedido!$Q:$Q,DRE!AC$4,Aut_BlueMe_Sem_Pedido!$H:$H,DRE!$A239)+SUMIFS(Aut_Ajustes_Manuais!$G:$G,Aut_Ajustes_Manuais!$I:$I,DRE!AC$4,Aut_Ajustes_Manuais!$F:$F,"Serviço de Lavanderia")</f>
        <v>-500</v>
      </c>
      <c r="AF239" s="241">
        <v>-678</v>
      </c>
      <c r="AG239" s="27">
        <v>-250</v>
      </c>
      <c r="AH239" s="28">
        <f>SUMIFS(Aut_BlueMe_Sem_Pedido!$J:$J,Aut_BlueMe_Sem_Pedido!$Q:$Q,DRE!AF$4,Aut_BlueMe_Sem_Pedido!$H:$H,DRE!$A239)+SUMIFS(Aut_Ajustes_Manuais!$G:$G,Aut_Ajustes_Manuais!$I:$I,DRE!AF$4,Aut_Ajustes_Manuais!$F:$F,"Serviço de Lavanderia")</f>
        <v>-500</v>
      </c>
      <c r="AI239" s="241">
        <v>0</v>
      </c>
      <c r="AJ239" s="27">
        <v>-250</v>
      </c>
      <c r="AK239" s="28">
        <f>SUMIFS(Aut_BlueMe_Sem_Pedido!$J:$J,Aut_BlueMe_Sem_Pedido!$Q:$Q,DRE!AI$4,Aut_BlueMe_Sem_Pedido!$H:$H,DRE!$A239)+SUMIFS(Aut_Ajustes_Manuais!$G:$G,Aut_Ajustes_Manuais!$I:$I,DRE!AI$4,Aut_Ajustes_Manuais!$F:$F,"Serviço de Lavanderia")</f>
        <v>-500</v>
      </c>
      <c r="AL239" s="241">
        <v>0</v>
      </c>
      <c r="AM239" s="27">
        <v>-250</v>
      </c>
      <c r="AN239" s="28">
        <f>SUMIFS(Aut_BlueMe_Sem_Pedido!$J:$J,Aut_BlueMe_Sem_Pedido!$Q:$Q,DRE!AL$4,Aut_BlueMe_Sem_Pedido!$H:$H,DRE!$A239)+SUMIFS(Aut_Ajustes_Manuais!$G:$G,Aut_Ajustes_Manuais!$I:$I,DRE!AL$4,Aut_Ajustes_Manuais!$F:$F,"Serviço de Lavanderia")</f>
        <v>-500</v>
      </c>
      <c r="AO239" s="241">
        <v>0</v>
      </c>
      <c r="AP239" s="27">
        <v>-250</v>
      </c>
      <c r="AQ239" s="28">
        <f>SUMIFS(Aut_BlueMe_Sem_Pedido!$J:$J,Aut_BlueMe_Sem_Pedido!$Q:$Q,DRE!AO$4,Aut_BlueMe_Sem_Pedido!$H:$H,DRE!$A239)+SUMIFS(Aut_Ajustes_Manuais!$G:$G,Aut_Ajustes_Manuais!$I:$I,DRE!AO$4,Aut_Ajustes_Manuais!$F:$F,"Serviço de Lavanderia")</f>
        <v>-500</v>
      </c>
      <c r="AR239" s="241">
        <f t="shared" ca="1" si="200"/>
        <v>-1943</v>
      </c>
      <c r="AS239" s="27">
        <f t="shared" ca="1" si="201"/>
        <v>-1500</v>
      </c>
      <c r="AT239" s="28">
        <f t="shared" ca="1" si="202"/>
        <v>-2671</v>
      </c>
      <c r="AU239" s="241">
        <f t="shared" si="203"/>
        <v>-3153</v>
      </c>
      <c r="AV239" s="27">
        <f t="shared" si="204"/>
        <v>-3000</v>
      </c>
      <c r="AW239" s="28">
        <f t="shared" si="205"/>
        <v>-5671</v>
      </c>
      <c r="AX239" s="241">
        <f t="shared" si="206"/>
        <v>-1085</v>
      </c>
      <c r="AY239" s="27">
        <f t="shared" si="207"/>
        <v>-750</v>
      </c>
      <c r="AZ239" s="28">
        <f t="shared" si="208"/>
        <v>-1396</v>
      </c>
      <c r="BA239" s="241">
        <f t="shared" si="209"/>
        <v>-858</v>
      </c>
      <c r="BB239" s="27">
        <f t="shared" si="210"/>
        <v>-750</v>
      </c>
      <c r="BC239" s="28">
        <f t="shared" si="211"/>
        <v>-1275</v>
      </c>
      <c r="BD239" s="241">
        <f t="shared" si="212"/>
        <v>-1210</v>
      </c>
      <c r="BE239" s="27">
        <f t="shared" si="213"/>
        <v>-750</v>
      </c>
      <c r="BF239" s="28">
        <f t="shared" si="214"/>
        <v>-1500</v>
      </c>
      <c r="BG239" s="241">
        <f t="shared" si="215"/>
        <v>0</v>
      </c>
      <c r="BH239" s="27">
        <f t="shared" si="216"/>
        <v>-750</v>
      </c>
      <c r="BI239" s="28">
        <f t="shared" si="217"/>
        <v>-1500</v>
      </c>
    </row>
    <row r="240" spans="1:61" s="29" customFormat="1" hidden="1" outlineLevel="1" x14ac:dyDescent="0.3">
      <c r="A240" s="22" t="s">
        <v>278</v>
      </c>
      <c r="B240" s="23"/>
      <c r="C240" s="24" t="s">
        <v>60</v>
      </c>
      <c r="D240" s="113">
        <v>-550</v>
      </c>
      <c r="E240" s="114">
        <v>-5.0000000000000001E-4</v>
      </c>
      <c r="F240" s="56"/>
      <c r="G240" s="33"/>
      <c r="H240" s="241">
        <v>-5058.9500000000007</v>
      </c>
      <c r="I240" s="27">
        <v>-3276.4626798103232</v>
      </c>
      <c r="J240" s="28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>-2914.2</v>
      </c>
      <c r="K240" s="241">
        <v>-4329.01</v>
      </c>
      <c r="L240" s="27">
        <v>-3293.448986728572</v>
      </c>
      <c r="M240" s="28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>-2866.7</v>
      </c>
      <c r="N240" s="241">
        <v>-2270.1999999999998</v>
      </c>
      <c r="O240" s="27">
        <v>-3344.7099323467742</v>
      </c>
      <c r="P240" s="28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>-3423.54</v>
      </c>
      <c r="Q240" s="241">
        <v>-3507.5</v>
      </c>
      <c r="R240" s="27">
        <v>-3331.7224285349998</v>
      </c>
      <c r="S240" s="28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>-3552.54</v>
      </c>
      <c r="T240" s="241">
        <v>-4817.25</v>
      </c>
      <c r="U240" s="27">
        <v>-3329.442418093548</v>
      </c>
      <c r="V240" s="28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>-3077.7000000000003</v>
      </c>
      <c r="W240" s="241">
        <v>-3234.54</v>
      </c>
      <c r="X240" s="27">
        <v>-3313.2795233720972</v>
      </c>
      <c r="Y240" s="28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>-3841.24</v>
      </c>
      <c r="Z240" s="241">
        <v>-4528.0499999999993</v>
      </c>
      <c r="AA240" s="27">
        <v>-3378.9142002709682</v>
      </c>
      <c r="AB240" s="28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>-278.04000000000002</v>
      </c>
      <c r="AC240" s="241">
        <v>-3201.5</v>
      </c>
      <c r="AD240" s="27">
        <v>-3363.8676644500001</v>
      </c>
      <c r="AE240" s="28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>0</v>
      </c>
      <c r="AF240" s="241">
        <v>-2496</v>
      </c>
      <c r="AG240" s="27">
        <v>-3334.9959130247312</v>
      </c>
      <c r="AH240" s="28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>0</v>
      </c>
      <c r="AI240" s="241">
        <v>-3363.75</v>
      </c>
      <c r="AJ240" s="27">
        <v>-3342.6768866326611</v>
      </c>
      <c r="AK240" s="28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>0</v>
      </c>
      <c r="AL240" s="241">
        <v>-3461.76</v>
      </c>
      <c r="AM240" s="27">
        <v>-3356.818157231452</v>
      </c>
      <c r="AN240" s="28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>0</v>
      </c>
      <c r="AO240" s="241">
        <v>-2422</v>
      </c>
      <c r="AP240" s="27">
        <v>-3427.984761004172</v>
      </c>
      <c r="AQ240" s="28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>0</v>
      </c>
      <c r="AR240" s="241">
        <f t="shared" ca="1" si="200"/>
        <v>-23217.45</v>
      </c>
      <c r="AS240" s="27">
        <f t="shared" ca="1" si="201"/>
        <v>-19889.065968886316</v>
      </c>
      <c r="AT240" s="28">
        <f t="shared" ca="1" si="202"/>
        <v>-19675.919999999998</v>
      </c>
      <c r="AU240" s="241">
        <f t="shared" si="203"/>
        <v>-42690.51</v>
      </c>
      <c r="AV240" s="27">
        <f t="shared" si="204"/>
        <v>-40094.323551500296</v>
      </c>
      <c r="AW240" s="28">
        <f t="shared" si="205"/>
        <v>-19953.96</v>
      </c>
      <c r="AX240" s="241">
        <f t="shared" si="206"/>
        <v>-11658.16</v>
      </c>
      <c r="AY240" s="27">
        <f t="shared" si="207"/>
        <v>-9914.6215988856693</v>
      </c>
      <c r="AZ240" s="28">
        <f t="shared" si="208"/>
        <v>-9204.4399999999987</v>
      </c>
      <c r="BA240" s="241">
        <f t="shared" si="209"/>
        <v>-11559.29</v>
      </c>
      <c r="BB240" s="27">
        <f t="shared" si="210"/>
        <v>-9974.444370000645</v>
      </c>
      <c r="BC240" s="28">
        <f t="shared" si="211"/>
        <v>-10471.48</v>
      </c>
      <c r="BD240" s="241">
        <f t="shared" si="212"/>
        <v>-10225.549999999999</v>
      </c>
      <c r="BE240" s="27">
        <f t="shared" si="213"/>
        <v>-10077.777777745699</v>
      </c>
      <c r="BF240" s="28">
        <f t="shared" si="214"/>
        <v>-278.04000000000002</v>
      </c>
      <c r="BG240" s="241">
        <f t="shared" si="215"/>
        <v>-9247.51</v>
      </c>
      <c r="BH240" s="27">
        <f t="shared" si="216"/>
        <v>-10127.479804868286</v>
      </c>
      <c r="BI240" s="28">
        <f t="shared" si="217"/>
        <v>0</v>
      </c>
    </row>
    <row r="241" spans="1:61" collapsed="1" x14ac:dyDescent="0.3">
      <c r="A241" s="71" t="s">
        <v>44</v>
      </c>
      <c r="B241" s="59"/>
      <c r="C241" s="60"/>
      <c r="D241" s="61"/>
      <c r="E241" s="62"/>
      <c r="F241" s="63"/>
      <c r="G241" s="47"/>
      <c r="H241" s="245">
        <v>-0.12583772103206961</v>
      </c>
      <c r="I241" s="50">
        <v>-0.11498207304097539</v>
      </c>
      <c r="J241" s="51">
        <f>IFERROR(J226/J8,0)+SUMIFS(Aut_Ajustes_Manuais!$G:$G,Aut_Ajustes_Manuais!$I:$I,DRE!H$4,Aut_Ajustes_Manuais!$F:$F,"% sobre Receita Bruta")</f>
        <v>-9.8308928371317786E-2</v>
      </c>
      <c r="K241" s="245">
        <v>-0.1161969406254688</v>
      </c>
      <c r="L241" s="50">
        <v>-0.106009603740035</v>
      </c>
      <c r="M241" s="51">
        <f>IFERROR(M226/M8,0)+SUMIFS(Aut_Ajustes_Manuais!$G:$G,Aut_Ajustes_Manuais!$I:$I,DRE!K$4,Aut_Ajustes_Manuais!$F:$F,"% sobre Receita Bruta")</f>
        <v>-9.5098884721101701E-2</v>
      </c>
      <c r="N241" s="245">
        <v>-8.8891609724283963E-2</v>
      </c>
      <c r="O241" s="50">
        <v>-8.4945443483063779E-2</v>
      </c>
      <c r="P241" s="51">
        <f>IFERROR(P226/P8,0)+SUMIFS(Aut_Ajustes_Manuais!$G:$G,Aut_Ajustes_Manuais!$I:$I,DRE!N$4,Aut_Ajustes_Manuais!$F:$F,"% sobre Receita Bruta")</f>
        <v>-7.0368354904988897E-2</v>
      </c>
      <c r="Q241" s="245">
        <v>-8.0916774497201166E-2</v>
      </c>
      <c r="R241" s="50">
        <v>-8.9140977796297219E-2</v>
      </c>
      <c r="S241" s="51">
        <f>IFERROR(S226/S8,0)+SUMIFS(Aut_Ajustes_Manuais!$G:$G,Aut_Ajustes_Manuais!$I:$I,DRE!Q$4,Aut_Ajustes_Manuais!$F:$F,"% sobre Receita Bruta")</f>
        <v>-9.4890102414497135E-2</v>
      </c>
      <c r="T241" s="245">
        <v>-8.4802992598802737E-2</v>
      </c>
      <c r="U241" s="50">
        <v>-8.970195428782067E-2</v>
      </c>
      <c r="V241" s="51">
        <f>IFERROR(V226/V8,0)+SUMIFS(Aut_Ajustes_Manuais!$G:$G,Aut_Ajustes_Manuais!$I:$I,DRE!T$4,Aut_Ajustes_Manuais!$F:$F,"% sobre Receita Bruta")</f>
        <v>-0.10494247810562975</v>
      </c>
      <c r="W241" s="245">
        <v>-7.7803860654860987E-2</v>
      </c>
      <c r="X241" s="50">
        <v>-9.6373658162608553E-2</v>
      </c>
      <c r="Y241" s="51">
        <f>IFERROR(Y226/Y8,0)+SUMIFS(Aut_Ajustes_Manuais!$G:$G,Aut_Ajustes_Manuais!$I:$I,DRE!W$4,Aut_Ajustes_Manuais!$F:$F,"% sobre Receita Bruta")</f>
        <v>-6.6508265601268296E-2</v>
      </c>
      <c r="Z241" s="245">
        <v>-7.7088195600027193E-2</v>
      </c>
      <c r="AA241" s="50">
        <v>-7.4766821055474914E-2</v>
      </c>
      <c r="AB241" s="51">
        <f>IFERROR(AB226/AB8,0)+SUMIFS(Aut_Ajustes_Manuais!$G:$G,Aut_Ajustes_Manuais!$I:$I,DRE!Z$4,Aut_Ajustes_Manuais!$F:$F,"% sobre Receita Bruta")</f>
        <v>-0.25987814006405396</v>
      </c>
      <c r="AC241" s="245">
        <v>-9.2319688461075453E-2</v>
      </c>
      <c r="AD241" s="50">
        <v>-7.8951555878960605E-2</v>
      </c>
      <c r="AE241" s="51">
        <f>IFERROR(AE226/AE8,0)+SUMIFS(Aut_Ajustes_Manuais!$G:$G,Aut_Ajustes_Manuais!$I:$I,DRE!AC$4,Aut_Ajustes_Manuais!$F:$F,"% sobre Receita Bruta")</f>
        <v>-10.540123456790123</v>
      </c>
      <c r="AF241" s="245">
        <v>-9.3493250243148862E-2</v>
      </c>
      <c r="AG241" s="50">
        <v>-8.7712068079527847E-2</v>
      </c>
      <c r="AH241" s="51">
        <f>IFERROR(AH226/AH8,0)+SUMIFS(Aut_Ajustes_Manuais!$G:$G,Aut_Ajustes_Manuais!$I:$I,DRE!AF$4,Aut_Ajustes_Manuais!$F:$F,"% sobre Receita Bruta")</f>
        <v>0</v>
      </c>
      <c r="AI241" s="245">
        <v>-7.9129067666169797E-2</v>
      </c>
      <c r="AJ241" s="50">
        <v>-8.5109971382416105E-2</v>
      </c>
      <c r="AK241" s="51">
        <f>IFERROR(AK226/AK8,0)+SUMIFS(Aut_Ajustes_Manuais!$G:$G,Aut_Ajustes_Manuais!$I:$I,DRE!AI$4,Aut_Ajustes_Manuais!$F:$F,"% sobre Receita Bruta")</f>
        <v>0</v>
      </c>
      <c r="AL241" s="245">
        <v>-8.5598261240372286E-2</v>
      </c>
      <c r="AM241" s="50">
        <v>-8.0726378883283934E-2</v>
      </c>
      <c r="AN241" s="51">
        <f>IFERROR(AN226/AN8,0)+SUMIFS(Aut_Ajustes_Manuais!$G:$G,Aut_Ajustes_Manuais!$I:$I,DRE!AL$4,Aut_Ajustes_Manuais!$F:$F,"% sobre Receita Bruta")</f>
        <v>-8.4950248756218905</v>
      </c>
      <c r="AO241" s="245">
        <v>-5.3353948121577163E-2</v>
      </c>
      <c r="AP241" s="50">
        <v>-6.4403651318587427E-2</v>
      </c>
      <c r="AQ241" s="51">
        <f>IFERROR(AQ226/AQ8,0)+SUMIFS(Aut_Ajustes_Manuais!$G:$G,Aut_Ajustes_Manuais!$I:$I,DRE!AO$4,Aut_Ajustes_Manuais!$F:$F,"% sobre Receita Bruta")</f>
        <v>0</v>
      </c>
      <c r="AR241" s="245">
        <f t="shared" ref="AR241:BI241" ca="1" si="218">IFERROR(AR226/AR8,0)</f>
        <v>-9.3416685589227125E-2</v>
      </c>
      <c r="AS241" s="50">
        <f t="shared" ca="1" si="218"/>
        <v>-9.5709930218284764E-2</v>
      </c>
      <c r="AT241" s="51">
        <f t="shared" ca="1" si="218"/>
        <v>-8.7285682038774945E-2</v>
      </c>
      <c r="AU241" s="245">
        <f t="shared" si="218"/>
        <v>-8.4143403109091797E-2</v>
      </c>
      <c r="AV241" s="50">
        <f t="shared" si="218"/>
        <v>-8.5748644447371153E-2</v>
      </c>
      <c r="AW241" s="51">
        <f t="shared" si="218"/>
        <v>-0.15409337464383041</v>
      </c>
      <c r="AX241" s="245">
        <f t="shared" si="218"/>
        <v>-0.10770153310616898</v>
      </c>
      <c r="AY241" s="50">
        <f t="shared" si="218"/>
        <v>-0.10019903141302898</v>
      </c>
      <c r="AZ241" s="51">
        <f t="shared" si="218"/>
        <v>-8.6010472510128097E-2</v>
      </c>
      <c r="BA241" s="245">
        <f t="shared" si="218"/>
        <v>-8.1201734053947303E-2</v>
      </c>
      <c r="BB241" s="50">
        <f t="shared" si="218"/>
        <v>-9.1619009340895605E-2</v>
      </c>
      <c r="BC241" s="51">
        <f t="shared" si="218"/>
        <v>-8.8572510383282163E-2</v>
      </c>
      <c r="BD241" s="245">
        <f t="shared" si="218"/>
        <v>-8.7193513397458247E-2</v>
      </c>
      <c r="BE241" s="50">
        <f t="shared" si="218"/>
        <v>-8.0097773503076716E-2</v>
      </c>
      <c r="BF241" s="51">
        <f t="shared" si="218"/>
        <v>-0.69707381924331258</v>
      </c>
      <c r="BG241" s="245">
        <f t="shared" si="218"/>
        <v>-6.8809257628779139E-2</v>
      </c>
      <c r="BH241" s="50">
        <f t="shared" si="218"/>
        <v>-7.5542192762910451E-2</v>
      </c>
      <c r="BI241" s="51">
        <f t="shared" si="218"/>
        <v>-25.348258706467661</v>
      </c>
    </row>
    <row r="242" spans="1:61" x14ac:dyDescent="0.3">
      <c r="A242" s="18"/>
      <c r="E242" s="16"/>
      <c r="F242" s="17"/>
      <c r="G242" s="47"/>
      <c r="H242" s="247"/>
      <c r="I242" s="17"/>
      <c r="J242" s="57"/>
      <c r="K242" s="247"/>
      <c r="L242" s="17"/>
      <c r="M242" s="57"/>
      <c r="N242" s="247"/>
      <c r="O242" s="17"/>
      <c r="P242" s="57"/>
      <c r="Q242" s="247"/>
      <c r="R242" s="17"/>
      <c r="S242" s="57"/>
      <c r="T242" s="247"/>
      <c r="U242" s="17"/>
      <c r="V242" s="57"/>
      <c r="W242" s="247"/>
      <c r="X242" s="17"/>
      <c r="Y242" s="57"/>
      <c r="Z242" s="247"/>
      <c r="AA242" s="17"/>
      <c r="AB242" s="57"/>
      <c r="AC242" s="247"/>
      <c r="AD242" s="17"/>
      <c r="AE242" s="57"/>
      <c r="AF242" s="247"/>
      <c r="AG242" s="17"/>
      <c r="AH242" s="57"/>
      <c r="AI242" s="247"/>
      <c r="AJ242" s="17"/>
      <c r="AK242" s="57"/>
      <c r="AL242" s="247"/>
      <c r="AM242" s="17"/>
      <c r="AN242" s="57"/>
      <c r="AO242" s="247"/>
      <c r="AP242" s="17"/>
      <c r="AQ242" s="57"/>
      <c r="AR242" s="247"/>
      <c r="AS242" s="17"/>
      <c r="AT242" s="57"/>
      <c r="AU242" s="247"/>
      <c r="AV242" s="17"/>
      <c r="AW242" s="57"/>
      <c r="AX242" s="247"/>
      <c r="AY242" s="17"/>
      <c r="AZ242" s="57"/>
      <c r="BA242" s="247"/>
      <c r="BB242" s="17"/>
      <c r="BC242" s="57"/>
      <c r="BD242" s="247"/>
      <c r="BE242" s="17"/>
      <c r="BF242" s="57"/>
      <c r="BG242" s="247"/>
      <c r="BH242" s="17"/>
      <c r="BI242" s="57"/>
    </row>
    <row r="243" spans="1:61" x14ac:dyDescent="0.3">
      <c r="A243" s="39" t="s">
        <v>279</v>
      </c>
      <c r="C243" s="40" t="s">
        <v>35</v>
      </c>
      <c r="D243" s="40" t="s">
        <v>36</v>
      </c>
      <c r="E243" s="40" t="s">
        <v>202</v>
      </c>
      <c r="F243" s="17"/>
      <c r="G243" s="47"/>
      <c r="H243" s="244">
        <v>-6312.2299999999987</v>
      </c>
      <c r="I243" s="42">
        <v>-5055.4778999999999</v>
      </c>
      <c r="J243" s="43">
        <f>SUM(J244:J252)+SUMIFS(Aut_Ajustes_Manuais!$G:$G,Aut_Ajustes_Manuais!$I:$I,DRE!H$4,Aut_Ajustes_Manuais!$F:$F,"Informática e TI")</f>
        <v>-5526.3099999999995</v>
      </c>
      <c r="K243" s="244">
        <v>-6793.48</v>
      </c>
      <c r="L243" s="42">
        <v>-5065.0779000000002</v>
      </c>
      <c r="M243" s="43">
        <f>SUM(M244:M252)+SUMIFS(Aut_Ajustes_Manuais!$G:$G,Aut_Ajustes_Manuais!$I:$I,DRE!K$4,Aut_Ajustes_Manuais!$F:$F,"Informática e TI")</f>
        <v>-5680.59</v>
      </c>
      <c r="N243" s="244">
        <v>-6267.05</v>
      </c>
      <c r="O243" s="42">
        <v>-5065.0779000000002</v>
      </c>
      <c r="P243" s="43">
        <f>SUM(P244:P252)+SUMIFS(Aut_Ajustes_Manuais!$G:$G,Aut_Ajustes_Manuais!$I:$I,DRE!N$4,Aut_Ajustes_Manuais!$F:$F,"Informática e TI")</f>
        <v>-5738.84</v>
      </c>
      <c r="Q243" s="244">
        <v>-4189.1399999999994</v>
      </c>
      <c r="R243" s="42">
        <v>-5065.0779000000002</v>
      </c>
      <c r="S243" s="43">
        <f>SUM(S244:S252)+SUMIFS(Aut_Ajustes_Manuais!$G:$G,Aut_Ajustes_Manuais!$I:$I,DRE!Q$4,Aut_Ajustes_Manuais!$F:$F,"Informática e TI")</f>
        <v>-5098.7199999999993</v>
      </c>
      <c r="T243" s="244">
        <v>-5593.98</v>
      </c>
      <c r="U243" s="42">
        <v>-5065.0779000000002</v>
      </c>
      <c r="V243" s="43">
        <f>SUM(V244:V252)+SUMIFS(Aut_Ajustes_Manuais!$G:$G,Aut_Ajustes_Manuais!$I:$I,DRE!T$4,Aut_Ajustes_Manuais!$F:$F,"Informática e TI")</f>
        <v>-5980.54</v>
      </c>
      <c r="W243" s="244">
        <v>-6836.1900000000014</v>
      </c>
      <c r="X243" s="42">
        <v>-5065.0779000000002</v>
      </c>
      <c r="Y243" s="43">
        <f>SUM(Y244:Y252)+SUMIFS(Aut_Ajustes_Manuais!$G:$G,Aut_Ajustes_Manuais!$I:$I,DRE!W$4,Aut_Ajustes_Manuais!$F:$F,"Informática e TI")</f>
        <v>-9766.5500000000011</v>
      </c>
      <c r="Z243" s="244">
        <v>-6183.47</v>
      </c>
      <c r="AA243" s="42">
        <v>-5065.0779000000002</v>
      </c>
      <c r="AB243" s="43">
        <f>SUM(AB244:AB252)+SUMIFS(Aut_Ajustes_Manuais!$G:$G,Aut_Ajustes_Manuais!$I:$I,DRE!Z$4,Aut_Ajustes_Manuais!$F:$F,"Informática e TI")</f>
        <v>-3796.05</v>
      </c>
      <c r="AC243" s="244">
        <v>-4648.7</v>
      </c>
      <c r="AD243" s="42">
        <v>-5065.0779000000002</v>
      </c>
      <c r="AE243" s="43">
        <f>SUM(AE244:AE252)+SUMIFS(Aut_Ajustes_Manuais!$G:$G,Aut_Ajustes_Manuais!$I:$I,DRE!AC$4,Aut_Ajustes_Manuais!$F:$F,"Informática e TI")</f>
        <v>-3796.05</v>
      </c>
      <c r="AF243" s="244">
        <v>-5514.1200000000008</v>
      </c>
      <c r="AG243" s="42">
        <v>-5065.0779000000002</v>
      </c>
      <c r="AH243" s="43">
        <f>SUM(AH244:AH252)+SUMIFS(Aut_Ajustes_Manuais!$G:$G,Aut_Ajustes_Manuais!$I:$I,DRE!AF$4,Aut_Ajustes_Manuais!$F:$F,"Informática e TI")</f>
        <v>-3796.05</v>
      </c>
      <c r="AI243" s="244">
        <v>-5879.34</v>
      </c>
      <c r="AJ243" s="42">
        <v>-5065.0779000000002</v>
      </c>
      <c r="AK243" s="43">
        <f>SUM(AK244:AK252)+SUMIFS(Aut_Ajustes_Manuais!$G:$G,Aut_Ajustes_Manuais!$I:$I,DRE!AI$4,Aut_Ajustes_Manuais!$F:$F,"Informática e TI")</f>
        <v>-3259.3199999999997</v>
      </c>
      <c r="AL243" s="244">
        <v>-5437.0800000000008</v>
      </c>
      <c r="AM243" s="42">
        <v>-5065.0779000000002</v>
      </c>
      <c r="AN243" s="43">
        <f>SUM(AN244:AN252)+SUMIFS(Aut_Ajustes_Manuais!$G:$G,Aut_Ajustes_Manuais!$I:$I,DRE!AL$4,Aut_Ajustes_Manuais!$F:$F,"Informática e TI")</f>
        <v>-3259.3199999999997</v>
      </c>
      <c r="AO243" s="244">
        <v>-5457.1100000000006</v>
      </c>
      <c r="AP243" s="42">
        <v>-5065.0779000000002</v>
      </c>
      <c r="AQ243" s="43">
        <f>SUM(AQ244:AQ252)+SUMIFS(Aut_Ajustes_Manuais!$G:$G,Aut_Ajustes_Manuais!$I:$I,DRE!AO$4,Aut_Ajustes_Manuais!$F:$F,"Informática e TI")</f>
        <v>-3259.3199999999997</v>
      </c>
      <c r="AR243" s="244">
        <f t="shared" ref="AR243:BI243" ca="1" si="219">SUM(AR244:AR252)</f>
        <v>-35992.07</v>
      </c>
      <c r="AS243" s="42">
        <f t="shared" ca="1" si="219"/>
        <v>-30380.867400000003</v>
      </c>
      <c r="AT243" s="43">
        <f t="shared" ca="1" si="219"/>
        <v>-37791.550000000003</v>
      </c>
      <c r="AU243" s="244">
        <f t="shared" si="219"/>
        <v>-69111.89</v>
      </c>
      <c r="AV243" s="42">
        <f t="shared" si="219"/>
        <v>-60771.334800000004</v>
      </c>
      <c r="AW243" s="43">
        <f t="shared" si="219"/>
        <v>-58957.66</v>
      </c>
      <c r="AX243" s="244">
        <f t="shared" si="219"/>
        <v>-19372.760000000002</v>
      </c>
      <c r="AY243" s="42">
        <f t="shared" si="219"/>
        <v>-15185.6337</v>
      </c>
      <c r="AZ243" s="43">
        <f t="shared" si="219"/>
        <v>-16945.739999999998</v>
      </c>
      <c r="BA243" s="244">
        <f t="shared" si="219"/>
        <v>-16619.309999999998</v>
      </c>
      <c r="BB243" s="42">
        <f t="shared" si="219"/>
        <v>-15195.233700000001</v>
      </c>
      <c r="BC243" s="43">
        <f t="shared" si="219"/>
        <v>-20845.810000000001</v>
      </c>
      <c r="BD243" s="244">
        <f t="shared" si="219"/>
        <v>-16346.289999999999</v>
      </c>
      <c r="BE243" s="42">
        <f t="shared" si="219"/>
        <v>-15195.233700000001</v>
      </c>
      <c r="BF243" s="43">
        <f t="shared" si="219"/>
        <v>-11388.150000000001</v>
      </c>
      <c r="BG243" s="244">
        <f t="shared" si="219"/>
        <v>-16773.53</v>
      </c>
      <c r="BH243" s="42">
        <f t="shared" si="219"/>
        <v>-15195.233700000001</v>
      </c>
      <c r="BI243" s="43">
        <f t="shared" si="219"/>
        <v>-9777.9599999999991</v>
      </c>
    </row>
    <row r="244" spans="1:61" s="29" customFormat="1" hidden="1" outlineLevel="1" x14ac:dyDescent="0.3">
      <c r="A244" s="22" t="s">
        <v>280</v>
      </c>
      <c r="B244" s="23"/>
      <c r="C244" s="24" t="s">
        <v>67</v>
      </c>
      <c r="D244" s="116">
        <v>-90</v>
      </c>
      <c r="E244" s="115"/>
      <c r="F244" s="117"/>
      <c r="G244" s="33"/>
      <c r="H244" s="241">
        <v>0</v>
      </c>
      <c r="I244" s="27">
        <v>0</v>
      </c>
      <c r="J244" s="28">
        <f>SUMIFS(Aut_BlueMe_Sem_Pedido!$J:$J,Aut_BlueMe_Sem_Pedido!$Q:$Q,DRE!H$4,Aut_BlueMe_Sem_Pedido!$H:$H,DRE!$A244)+SUMIFS(Aut_Ajustes_Manuais!$G:$G,Aut_Ajustes_Manuais!$I:$I,DRE!H$4,Aut_Ajustes_Manuais!$F:$F,"Telefone")</f>
        <v>0</v>
      </c>
      <c r="K244" s="241">
        <v>0</v>
      </c>
      <c r="L244" s="27">
        <v>0</v>
      </c>
      <c r="M244" s="27">
        <f>SUMIFS(Aut_BlueMe_Sem_Pedido!$J:$J,Aut_BlueMe_Sem_Pedido!$Q:$Q,DRE!K$4,Aut_BlueMe_Sem_Pedido!$H:$H,DRE!$A244)+SUMIFS(Aut_Ajustes_Manuais!$G:$G,Aut_Ajustes_Manuais!$I:$I,DRE!K$4,Aut_Ajustes_Manuais!$F:$F,"Telefone")</f>
        <v>-199.95</v>
      </c>
      <c r="N244" s="241">
        <v>0</v>
      </c>
      <c r="O244" s="27">
        <v>0</v>
      </c>
      <c r="P244" s="27">
        <f>SUMIFS(Aut_BlueMe_Sem_Pedido!$J:$J,Aut_BlueMe_Sem_Pedido!$Q:$Q,DRE!N$4,Aut_BlueMe_Sem_Pedido!$H:$H,DRE!$A244)+SUMIFS(Aut_Ajustes_Manuais!$G:$G,Aut_Ajustes_Manuais!$I:$I,DRE!N$4,Aut_Ajustes_Manuais!$F:$F,"Telefone")</f>
        <v>-199.95</v>
      </c>
      <c r="Q244" s="241">
        <v>0</v>
      </c>
      <c r="R244" s="27">
        <v>0</v>
      </c>
      <c r="S244" s="27">
        <f>SUMIFS(Aut_BlueMe_Sem_Pedido!$J:$J,Aut_BlueMe_Sem_Pedido!$Q:$Q,DRE!Q$4,Aut_BlueMe_Sem_Pedido!$H:$H,DRE!$A244)+SUMIFS(Aut_Ajustes_Manuais!$G:$G,Aut_Ajustes_Manuais!$I:$I,DRE!Q$4,Aut_Ajustes_Manuais!$F:$F,"Telefone")</f>
        <v>-199.95</v>
      </c>
      <c r="T244" s="241">
        <v>0</v>
      </c>
      <c r="U244" s="27">
        <v>0</v>
      </c>
      <c r="V244" s="28">
        <f>SUMIFS(Aut_BlueMe_Sem_Pedido!$J:$J,Aut_BlueMe_Sem_Pedido!$Q:$Q,DRE!T$4,Aut_BlueMe_Sem_Pedido!$H:$H,DRE!$A244)+SUMIFS(Aut_Ajustes_Manuais!$G:$G,Aut_Ajustes_Manuais!$I:$I,DRE!T$4,Aut_Ajustes_Manuais!$F:$F,"Telefone")</f>
        <v>-159.96</v>
      </c>
      <c r="W244" s="241">
        <v>0</v>
      </c>
      <c r="X244" s="27">
        <v>0</v>
      </c>
      <c r="Y244" s="28">
        <f>SUMIFS(Aut_BlueMe_Sem_Pedido!$J:$J,Aut_BlueMe_Sem_Pedido!$Q:$Q,DRE!W$4,Aut_BlueMe_Sem_Pedido!$H:$H,DRE!$A244)+SUMIFS(Aut_Ajustes_Manuais!$G:$G,Aut_Ajustes_Manuais!$I:$I,DRE!W$4,Aut_Ajustes_Manuais!$F:$F,"Telefone")</f>
        <v>-159.96</v>
      </c>
      <c r="Z244" s="241">
        <v>0</v>
      </c>
      <c r="AA244" s="27">
        <v>0</v>
      </c>
      <c r="AB244" s="28">
        <f>SUMIFS(Aut_BlueMe_Sem_Pedido!$J:$J,Aut_BlueMe_Sem_Pedido!$Q:$Q,DRE!Z$4,Aut_BlueMe_Sem_Pedido!$H:$H,DRE!$A244)+SUMIFS(Aut_Ajustes_Manuais!$G:$G,Aut_Ajustes_Manuais!$I:$I,DRE!Z$4,Aut_Ajustes_Manuais!$F:$F,"Telefone")</f>
        <v>0</v>
      </c>
      <c r="AC244" s="241">
        <v>0</v>
      </c>
      <c r="AD244" s="27">
        <v>0</v>
      </c>
      <c r="AE244" s="28">
        <f>SUMIFS(Aut_BlueMe_Sem_Pedido!$J:$J,Aut_BlueMe_Sem_Pedido!$Q:$Q,DRE!AC$4,Aut_BlueMe_Sem_Pedido!$H:$H,DRE!$A244)+SUMIFS(Aut_Ajustes_Manuais!$G:$G,Aut_Ajustes_Manuais!$I:$I,DRE!AC$4,Aut_Ajustes_Manuais!$F:$F,"Telefone")</f>
        <v>0</v>
      </c>
      <c r="AF244" s="241">
        <v>0</v>
      </c>
      <c r="AG244" s="27">
        <v>0</v>
      </c>
      <c r="AH244" s="28">
        <f>SUMIFS(Aut_BlueMe_Sem_Pedido!$J:$J,Aut_BlueMe_Sem_Pedido!$Q:$Q,DRE!AF$4,Aut_BlueMe_Sem_Pedido!$H:$H,DRE!$A244)+SUMIFS(Aut_Ajustes_Manuais!$G:$G,Aut_Ajustes_Manuais!$I:$I,DRE!AF$4,Aut_Ajustes_Manuais!$F:$F,"Telefone")</f>
        <v>0</v>
      </c>
      <c r="AI244" s="241">
        <v>0</v>
      </c>
      <c r="AJ244" s="27">
        <v>0</v>
      </c>
      <c r="AK244" s="28">
        <f>SUMIFS(Aut_BlueMe_Sem_Pedido!$J:$J,Aut_BlueMe_Sem_Pedido!$Q:$Q,DRE!AI$4,Aut_BlueMe_Sem_Pedido!$H:$H,DRE!$A244)+SUMIFS(Aut_Ajustes_Manuais!$G:$G,Aut_Ajustes_Manuais!$I:$I,DRE!AI$4,Aut_Ajustes_Manuais!$F:$F,"Telefone")</f>
        <v>0</v>
      </c>
      <c r="AL244" s="241">
        <v>0</v>
      </c>
      <c r="AM244" s="27">
        <v>0</v>
      </c>
      <c r="AN244" s="28">
        <f>SUMIFS(Aut_BlueMe_Sem_Pedido!$J:$J,Aut_BlueMe_Sem_Pedido!$Q:$Q,DRE!AL$4,Aut_BlueMe_Sem_Pedido!$H:$H,DRE!$A244)+SUMIFS(Aut_Ajustes_Manuais!$G:$G,Aut_Ajustes_Manuais!$I:$I,DRE!AL$4,Aut_Ajustes_Manuais!$F:$F,"Telefone")</f>
        <v>0</v>
      </c>
      <c r="AO244" s="241">
        <v>0</v>
      </c>
      <c r="AP244" s="27">
        <v>0</v>
      </c>
      <c r="AQ244" s="28">
        <f>SUMIFS(Aut_BlueMe_Sem_Pedido!$J:$J,Aut_BlueMe_Sem_Pedido!$Q:$Q,DRE!AO$4,Aut_BlueMe_Sem_Pedido!$H:$H,DRE!$A244)+SUMIFS(Aut_Ajustes_Manuais!$G:$G,Aut_Ajustes_Manuais!$I:$I,DRE!AO$4,Aut_Ajustes_Manuais!$F:$F,"Telefone")</f>
        <v>0</v>
      </c>
      <c r="AR244" s="241">
        <f t="shared" ref="AR244:AR252" ca="1" si="220">SUMIFS($H244:$AO244,$H$5:$AO$5,"&lt;"&amp;MONTH(TODAY()),$H$6:$AO$6,"REAL 25")</f>
        <v>0</v>
      </c>
      <c r="AS244" s="27">
        <f t="shared" ref="AS244:AS252" ca="1" si="221">SUMIFS($I244:$AP244,$I$5:$AP$5,"&lt;"&amp;MONTH(TODAY()),$I$6:$AP$6,"ORÇADO ")</f>
        <v>0</v>
      </c>
      <c r="AT244" s="28">
        <f t="shared" ref="AT244:AT252" ca="1" si="222">SUMIFS($J244:$AQ244,$J$5:$AQ$5,"&lt;"&amp;MONTH(TODAY()),$J$6:$AQ$6,"REAL 26")</f>
        <v>-919.77</v>
      </c>
      <c r="AU244" s="241">
        <f t="shared" ref="AU244:AW250" si="223">SUM(H244,K244,N244,Q244,T244,W244,Z244,AC244,AF244,AI244,AL244,AO244)</f>
        <v>0</v>
      </c>
      <c r="AV244" s="27">
        <f t="shared" si="223"/>
        <v>0</v>
      </c>
      <c r="AW244" s="28">
        <f t="shared" si="223"/>
        <v>-919.77</v>
      </c>
      <c r="AX244" s="241">
        <f t="shared" ref="AX244:AZ250" si="224">SUM(H244,K244,N244)</f>
        <v>0</v>
      </c>
      <c r="AY244" s="27">
        <f t="shared" si="224"/>
        <v>0</v>
      </c>
      <c r="AZ244" s="28">
        <f t="shared" si="224"/>
        <v>-399.9</v>
      </c>
      <c r="BA244" s="241">
        <f t="shared" ref="BA244:BC250" si="225">SUM(Q244,T244,W244)</f>
        <v>0</v>
      </c>
      <c r="BB244" s="27">
        <f t="shared" si="225"/>
        <v>0</v>
      </c>
      <c r="BC244" s="28">
        <f t="shared" si="225"/>
        <v>-519.87</v>
      </c>
      <c r="BD244" s="241">
        <f t="shared" ref="BD244:BF250" si="226">SUM(Z244,AC244,AF244)</f>
        <v>0</v>
      </c>
      <c r="BE244" s="27">
        <f t="shared" si="226"/>
        <v>0</v>
      </c>
      <c r="BF244" s="28">
        <f t="shared" si="226"/>
        <v>0</v>
      </c>
      <c r="BG244" s="241">
        <f t="shared" ref="BG244:BI250" si="227">SUM(AI244,AL244,AO244)</f>
        <v>0</v>
      </c>
      <c r="BH244" s="27">
        <f t="shared" si="227"/>
        <v>0</v>
      </c>
      <c r="BI244" s="28">
        <f t="shared" si="227"/>
        <v>0</v>
      </c>
    </row>
    <row r="245" spans="1:61" s="29" customFormat="1" hidden="1" outlineLevel="1" x14ac:dyDescent="0.3">
      <c r="A245" s="22" t="s">
        <v>281</v>
      </c>
      <c r="B245" s="23"/>
      <c r="C245" s="24" t="s">
        <v>67</v>
      </c>
      <c r="D245" s="116"/>
      <c r="E245" s="116"/>
      <c r="F245" s="117"/>
      <c r="G245" s="33"/>
      <c r="H245" s="241">
        <v>-926.00000000000011</v>
      </c>
      <c r="I245" s="27">
        <v>-608.54849999999999</v>
      </c>
      <c r="J245" s="28">
        <f>SUMIFS(Aut_BlueMe_Sem_Pedido!$J:$J,Aut_BlueMe_Sem_Pedido!$Q:$Q,DRE!H$4,Aut_BlueMe_Sem_Pedido!$H:$H,DRE!$A245)+SUMIFS(Aut_Ajustes_Manuais!$G:$G,Aut_Ajustes_Manuais!$I:$I,DRE!H$4,Aut_Ajustes_Manuais!$F:$F,"Internet")</f>
        <v>-597.04999999999995</v>
      </c>
      <c r="K245" s="241">
        <v>-768.18</v>
      </c>
      <c r="L245" s="27">
        <v>-608.54849999999999</v>
      </c>
      <c r="M245" s="28">
        <f>SUMIFS(Aut_BlueMe_Sem_Pedido!$J:$J,Aut_BlueMe_Sem_Pedido!$Q:$Q,DRE!K$4,Aut_BlueMe_Sem_Pedido!$H:$H,DRE!$A245)+SUMIFS(Aut_Ajustes_Manuais!$G:$G,Aut_Ajustes_Manuais!$I:$I,DRE!K$4,Aut_Ajustes_Manuais!$F:$F,"Internet")</f>
        <v>-597.08999999999992</v>
      </c>
      <c r="N245" s="241">
        <v>-712.01</v>
      </c>
      <c r="O245" s="27">
        <v>-608.54849999999999</v>
      </c>
      <c r="P245" s="28">
        <f>SUMIFS(Aut_BlueMe_Sem_Pedido!$J:$J,Aut_BlueMe_Sem_Pedido!$Q:$Q,DRE!N$4,Aut_BlueMe_Sem_Pedido!$H:$H,DRE!$A245)+SUMIFS(Aut_Ajustes_Manuais!$G:$G,Aut_Ajustes_Manuais!$I:$I,DRE!N$4,Aut_Ajustes_Manuais!$F:$F,"Internet")</f>
        <v>-596.91000000000008</v>
      </c>
      <c r="Q245" s="241">
        <v>-579.88</v>
      </c>
      <c r="R245" s="27">
        <v>-608.54849999999999</v>
      </c>
      <c r="S245" s="28">
        <f>SUMIFS(Aut_BlueMe_Sem_Pedido!$J:$J,Aut_BlueMe_Sem_Pedido!$Q:$Q,DRE!Q$4,Aut_BlueMe_Sem_Pedido!$H:$H,DRE!$A245)+SUMIFS(Aut_Ajustes_Manuais!$G:$G,Aut_Ajustes_Manuais!$I:$I,DRE!Q$4,Aut_Ajustes_Manuais!$F:$F,"Internet")</f>
        <v>-594.19000000000005</v>
      </c>
      <c r="T245" s="241">
        <v>-579.88</v>
      </c>
      <c r="U245" s="27">
        <v>-608.54849999999999</v>
      </c>
      <c r="V245" s="28">
        <f>SUMIFS(Aut_BlueMe_Sem_Pedido!$J:$J,Aut_BlueMe_Sem_Pedido!$Q:$Q,DRE!T$4,Aut_BlueMe_Sem_Pedido!$H:$H,DRE!$A245)+SUMIFS(Aut_Ajustes_Manuais!$G:$G,Aut_Ajustes_Manuais!$I:$I,DRE!T$4,Aut_Ajustes_Manuais!$F:$F,"Internet")</f>
        <v>-596.95000000000005</v>
      </c>
      <c r="W245" s="241">
        <v>-429.98</v>
      </c>
      <c r="X245" s="27">
        <v>-608.54849999999999</v>
      </c>
      <c r="Y245" s="28">
        <f>SUMIFS(Aut_BlueMe_Sem_Pedido!$J:$J,Aut_BlueMe_Sem_Pedido!$Q:$Q,DRE!W$4,Aut_BlueMe_Sem_Pedido!$H:$H,DRE!$A245)+SUMIFS(Aut_Ajustes_Manuais!$G:$G,Aut_Ajustes_Manuais!$I:$I,DRE!W$4,Aut_Ajustes_Manuais!$F:$F,"Internet")</f>
        <v>-594.19000000000005</v>
      </c>
      <c r="Z245" s="241">
        <v>-579.88</v>
      </c>
      <c r="AA245" s="27">
        <v>-608.54849999999999</v>
      </c>
      <c r="AB245" s="28">
        <f>SUMIFS(Aut_BlueMe_Sem_Pedido!$J:$J,Aut_BlueMe_Sem_Pedido!$Q:$Q,DRE!Z$4,Aut_BlueMe_Sem_Pedido!$H:$H,DRE!$A245)+SUMIFS(Aut_Ajustes_Manuais!$G:$G,Aut_Ajustes_Manuais!$I:$I,DRE!Z$4,Aut_Ajustes_Manuais!$F:$F,"Internet")</f>
        <v>-899.99</v>
      </c>
      <c r="AC245" s="241">
        <v>-738.05</v>
      </c>
      <c r="AD245" s="27">
        <v>-608.54849999999999</v>
      </c>
      <c r="AE245" s="28">
        <f>SUMIFS(Aut_BlueMe_Sem_Pedido!$J:$J,Aut_BlueMe_Sem_Pedido!$Q:$Q,DRE!AC$4,Aut_BlueMe_Sem_Pedido!$H:$H,DRE!$A245)+SUMIFS(Aut_Ajustes_Manuais!$G:$G,Aut_Ajustes_Manuais!$I:$I,DRE!AC$4,Aut_Ajustes_Manuais!$F:$F,"Internet")</f>
        <v>-899.99</v>
      </c>
      <c r="AF245" s="241">
        <v>-582.75</v>
      </c>
      <c r="AG245" s="27">
        <v>-608.54849999999999</v>
      </c>
      <c r="AH245" s="28">
        <f>SUMIFS(Aut_BlueMe_Sem_Pedido!$J:$J,Aut_BlueMe_Sem_Pedido!$Q:$Q,DRE!AF$4,Aut_BlueMe_Sem_Pedido!$H:$H,DRE!$A245)+SUMIFS(Aut_Ajustes_Manuais!$G:$G,Aut_Ajustes_Manuais!$I:$I,DRE!AF$4,Aut_Ajustes_Manuais!$F:$F,"Internet")</f>
        <v>-899.99</v>
      </c>
      <c r="AI245" s="241">
        <v>-708.36</v>
      </c>
      <c r="AJ245" s="27">
        <v>-608.54849999999999</v>
      </c>
      <c r="AK245" s="28">
        <f>SUMIFS(Aut_BlueMe_Sem_Pedido!$J:$J,Aut_BlueMe_Sem_Pedido!$Q:$Q,DRE!AI$4,Aut_BlueMe_Sem_Pedido!$H:$H,DRE!$A245)+SUMIFS(Aut_Ajustes_Manuais!$G:$G,Aut_Ajustes_Manuais!$I:$I,DRE!AI$4,Aut_Ajustes_Manuais!$F:$F,"Internet")</f>
        <v>-899.99</v>
      </c>
      <c r="AL245" s="241">
        <v>-584.29</v>
      </c>
      <c r="AM245" s="27">
        <v>-608.54849999999999</v>
      </c>
      <c r="AN245" s="28">
        <f>SUMIFS(Aut_BlueMe_Sem_Pedido!$J:$J,Aut_BlueMe_Sem_Pedido!$Q:$Q,DRE!AL$4,Aut_BlueMe_Sem_Pedido!$H:$H,DRE!$A245)+SUMIFS(Aut_Ajustes_Manuais!$G:$G,Aut_Ajustes_Manuais!$I:$I,DRE!AL$4,Aut_Ajustes_Manuais!$F:$F,"Internet")</f>
        <v>-899.99</v>
      </c>
      <c r="AO245" s="241">
        <v>-600.94000000000005</v>
      </c>
      <c r="AP245" s="27">
        <v>-608.54849999999999</v>
      </c>
      <c r="AQ245" s="28">
        <f>SUMIFS(Aut_BlueMe_Sem_Pedido!$J:$J,Aut_BlueMe_Sem_Pedido!$Q:$Q,DRE!AO$4,Aut_BlueMe_Sem_Pedido!$H:$H,DRE!$A245)+SUMIFS(Aut_Ajustes_Manuais!$G:$G,Aut_Ajustes_Manuais!$I:$I,DRE!AO$4,Aut_Ajustes_Manuais!$F:$F,"Internet")</f>
        <v>-899.99</v>
      </c>
      <c r="AR245" s="241">
        <f t="shared" ca="1" si="220"/>
        <v>-3995.9300000000003</v>
      </c>
      <c r="AS245" s="27">
        <f t="shared" ca="1" si="221"/>
        <v>-3651.2909999999997</v>
      </c>
      <c r="AT245" s="28">
        <f t="shared" ca="1" si="222"/>
        <v>-3576.3799999999997</v>
      </c>
      <c r="AU245" s="241">
        <f t="shared" si="223"/>
        <v>-7790.2000000000007</v>
      </c>
      <c r="AV245" s="27">
        <f t="shared" si="223"/>
        <v>-7302.5819999999994</v>
      </c>
      <c r="AW245" s="28">
        <f t="shared" si="223"/>
        <v>-8976.32</v>
      </c>
      <c r="AX245" s="241">
        <f t="shared" si="224"/>
        <v>-2406.19</v>
      </c>
      <c r="AY245" s="27">
        <f t="shared" si="224"/>
        <v>-1825.6455000000001</v>
      </c>
      <c r="AZ245" s="28">
        <f t="shared" si="224"/>
        <v>-1791.05</v>
      </c>
      <c r="BA245" s="241">
        <f t="shared" si="225"/>
        <v>-1589.74</v>
      </c>
      <c r="BB245" s="27">
        <f t="shared" si="225"/>
        <v>-1825.6455000000001</v>
      </c>
      <c r="BC245" s="28">
        <f t="shared" si="225"/>
        <v>-1785.3300000000002</v>
      </c>
      <c r="BD245" s="241">
        <f t="shared" si="226"/>
        <v>-1900.6799999999998</v>
      </c>
      <c r="BE245" s="27">
        <f t="shared" si="226"/>
        <v>-1825.6455000000001</v>
      </c>
      <c r="BF245" s="28">
        <f t="shared" si="226"/>
        <v>-2699.9700000000003</v>
      </c>
      <c r="BG245" s="241">
        <f t="shared" si="227"/>
        <v>-1893.5900000000001</v>
      </c>
      <c r="BH245" s="27">
        <f t="shared" si="227"/>
        <v>-1825.6455000000001</v>
      </c>
      <c r="BI245" s="28">
        <f t="shared" si="227"/>
        <v>-2699.9700000000003</v>
      </c>
    </row>
    <row r="246" spans="1:61" s="29" customFormat="1" hidden="1" outlineLevel="1" x14ac:dyDescent="0.3">
      <c r="A246" s="22" t="s">
        <v>282</v>
      </c>
      <c r="B246" s="23"/>
      <c r="C246" s="24" t="s">
        <v>67</v>
      </c>
      <c r="D246" s="116"/>
      <c r="E246" s="116"/>
      <c r="F246" s="117"/>
      <c r="G246" s="33"/>
      <c r="H246" s="241">
        <v>-400.15</v>
      </c>
      <c r="I246" s="27">
        <v>-416.12939999999998</v>
      </c>
      <c r="J246" s="28">
        <f>SUMIFS(Aut_BlueMe_Sem_Pedido!$J:$J,Aut_BlueMe_Sem_Pedido!$Q:$Q,DRE!H$4,Aut_BlueMe_Sem_Pedido!$H:$H,DRE!$A246)+SUMIFS(Aut_Ajustes_Manuais!$G:$G,Aut_Ajustes_Manuais!$I:$I,DRE!H$4,Aut_Ajustes_Manuais!$F:$F,"TV por assinatura/musica ambiente")</f>
        <v>-373.86999999999995</v>
      </c>
      <c r="K246" s="241">
        <v>-404.86999999999989</v>
      </c>
      <c r="L246" s="27">
        <v>-416.12939999999998</v>
      </c>
      <c r="M246" s="28">
        <f>SUMIFS(Aut_BlueMe_Sem_Pedido!$J:$J,Aut_BlueMe_Sem_Pedido!$Q:$Q,DRE!K$4,Aut_BlueMe_Sem_Pedido!$H:$H,DRE!$A246)+SUMIFS(Aut_Ajustes_Manuais!$G:$G,Aut_Ajustes_Manuais!$I:$I,DRE!K$4,Aut_Ajustes_Manuais!$F:$F,"TV por assinatura/musica ambiente")</f>
        <v>-348.96999999999997</v>
      </c>
      <c r="N246" s="241">
        <v>-754.42000000000007</v>
      </c>
      <c r="O246" s="27">
        <v>-416.12939999999998</v>
      </c>
      <c r="P246" s="28">
        <f>SUMIFS(Aut_BlueMe_Sem_Pedido!$J:$J,Aut_BlueMe_Sem_Pedido!$Q:$Q,DRE!N$4,Aut_BlueMe_Sem_Pedido!$H:$H,DRE!$A246)+SUMIFS(Aut_Ajustes_Manuais!$G:$G,Aut_Ajustes_Manuais!$I:$I,DRE!N$4,Aut_Ajustes_Manuais!$F:$F,"TV por assinatura/musica ambiente")</f>
        <v>-348.96999999999997</v>
      </c>
      <c r="Q246" s="241">
        <v>-342.91</v>
      </c>
      <c r="R246" s="27">
        <v>-416.12939999999998</v>
      </c>
      <c r="S246" s="28">
        <f>SUMIFS(Aut_BlueMe_Sem_Pedido!$J:$J,Aut_BlueMe_Sem_Pedido!$Q:$Q,DRE!Q$4,Aut_BlueMe_Sem_Pedido!$H:$H,DRE!$A246)+SUMIFS(Aut_Ajustes_Manuais!$G:$G,Aut_Ajustes_Manuais!$I:$I,DRE!Q$4,Aut_Ajustes_Manuais!$F:$F,"TV por assinatura/musica ambiente")</f>
        <v>-348.96999999999997</v>
      </c>
      <c r="T246" s="241">
        <v>-342.97</v>
      </c>
      <c r="U246" s="27">
        <v>-416.12939999999998</v>
      </c>
      <c r="V246" s="28">
        <f>SUMIFS(Aut_BlueMe_Sem_Pedido!$J:$J,Aut_BlueMe_Sem_Pedido!$Q:$Q,DRE!T$4,Aut_BlueMe_Sem_Pedido!$H:$H,DRE!$A246)+SUMIFS(Aut_Ajustes_Manuais!$G:$G,Aut_Ajustes_Manuais!$I:$I,DRE!T$4,Aut_Ajustes_Manuais!$F:$F,"TV por assinatura/musica ambiente")</f>
        <v>-348.96999999999997</v>
      </c>
      <c r="W246" s="241">
        <v>-492.87</v>
      </c>
      <c r="X246" s="27">
        <v>-416.12939999999998</v>
      </c>
      <c r="Y246" s="28">
        <f>SUMIFS(Aut_BlueMe_Sem_Pedido!$J:$J,Aut_BlueMe_Sem_Pedido!$Q:$Q,DRE!W$4,Aut_BlueMe_Sem_Pedido!$H:$H,DRE!$A246)+SUMIFS(Aut_Ajustes_Manuais!$G:$G,Aut_Ajustes_Manuais!$I:$I,DRE!W$4,Aut_Ajustes_Manuais!$F:$F,"TV por assinatura/musica ambiente")</f>
        <v>-348.96999999999997</v>
      </c>
      <c r="Z246" s="241">
        <v>-342.97</v>
      </c>
      <c r="AA246" s="27">
        <v>-416.12939999999998</v>
      </c>
      <c r="AB246" s="28">
        <f>SUMIFS(Aut_BlueMe_Sem_Pedido!$J:$J,Aut_BlueMe_Sem_Pedido!$Q:$Q,DRE!Z$4,Aut_BlueMe_Sem_Pedido!$H:$H,DRE!$A246)+SUMIFS(Aut_Ajustes_Manuais!$G:$G,Aut_Ajustes_Manuais!$I:$I,DRE!Z$4,Aut_Ajustes_Manuais!$F:$F,"TV por assinatura/musica ambiente")</f>
        <v>-390.9</v>
      </c>
      <c r="AC246" s="241">
        <v>-284.7</v>
      </c>
      <c r="AD246" s="27">
        <v>-416.12939999999998</v>
      </c>
      <c r="AE246" s="28">
        <f>SUMIFS(Aut_BlueMe_Sem_Pedido!$J:$J,Aut_BlueMe_Sem_Pedido!$Q:$Q,DRE!AC$4,Aut_BlueMe_Sem_Pedido!$H:$H,DRE!$A246)+SUMIFS(Aut_Ajustes_Manuais!$G:$G,Aut_Ajustes_Manuais!$I:$I,DRE!AC$4,Aut_Ajustes_Manuais!$F:$F,"TV por assinatura/musica ambiente")</f>
        <v>-390.9</v>
      </c>
      <c r="AF246" s="241">
        <v>-134.80000000000001</v>
      </c>
      <c r="AG246" s="27">
        <v>-416.12939999999998</v>
      </c>
      <c r="AH246" s="28">
        <f>SUMIFS(Aut_BlueMe_Sem_Pedido!$J:$J,Aut_BlueMe_Sem_Pedido!$Q:$Q,DRE!AF$4,Aut_BlueMe_Sem_Pedido!$H:$H,DRE!$A246)+SUMIFS(Aut_Ajustes_Manuais!$G:$G,Aut_Ajustes_Manuais!$I:$I,DRE!AF$4,Aut_Ajustes_Manuais!$F:$F,"TV por assinatura/musica ambiente")</f>
        <v>-390.9</v>
      </c>
      <c r="AI246" s="241">
        <v>-414.74</v>
      </c>
      <c r="AJ246" s="27">
        <v>-416.12939999999998</v>
      </c>
      <c r="AK246" s="28">
        <f>SUMIFS(Aut_BlueMe_Sem_Pedido!$J:$J,Aut_BlueMe_Sem_Pedido!$Q:$Q,DRE!AI$4,Aut_BlueMe_Sem_Pedido!$H:$H,DRE!$A246)+SUMIFS(Aut_Ajustes_Manuais!$G:$G,Aut_Ajustes_Manuais!$I:$I,DRE!AI$4,Aut_Ajustes_Manuais!$F:$F,"TV por assinatura/musica ambiente")</f>
        <v>-390.9</v>
      </c>
      <c r="AL246" s="241">
        <v>-308.07</v>
      </c>
      <c r="AM246" s="27">
        <v>-416.12939999999998</v>
      </c>
      <c r="AN246" s="28">
        <f>SUMIFS(Aut_BlueMe_Sem_Pedido!$J:$J,Aut_BlueMe_Sem_Pedido!$Q:$Q,DRE!AL$4,Aut_BlueMe_Sem_Pedido!$H:$H,DRE!$A246)+SUMIFS(Aut_Ajustes_Manuais!$G:$G,Aut_Ajustes_Manuais!$I:$I,DRE!AL$4,Aut_Ajustes_Manuais!$F:$F,"TV por assinatura/musica ambiente")</f>
        <v>-390.9</v>
      </c>
      <c r="AO246" s="241">
        <v>-304.39999999999998</v>
      </c>
      <c r="AP246" s="27">
        <v>-416.12939999999998</v>
      </c>
      <c r="AQ246" s="28">
        <f>SUMIFS(Aut_BlueMe_Sem_Pedido!$J:$J,Aut_BlueMe_Sem_Pedido!$Q:$Q,DRE!AO$4,Aut_BlueMe_Sem_Pedido!$H:$H,DRE!$A246)+SUMIFS(Aut_Ajustes_Manuais!$G:$G,Aut_Ajustes_Manuais!$I:$I,DRE!AO$4,Aut_Ajustes_Manuais!$F:$F,"TV por assinatura/musica ambiente")</f>
        <v>-390.9</v>
      </c>
      <c r="AR246" s="241">
        <f t="shared" ca="1" si="220"/>
        <v>-2738.19</v>
      </c>
      <c r="AS246" s="27">
        <f t="shared" ca="1" si="221"/>
        <v>-2496.7763999999997</v>
      </c>
      <c r="AT246" s="28">
        <f t="shared" ca="1" si="222"/>
        <v>-2118.7199999999998</v>
      </c>
      <c r="AU246" s="241">
        <f t="shared" si="223"/>
        <v>-4527.869999999999</v>
      </c>
      <c r="AV246" s="27">
        <f t="shared" si="223"/>
        <v>-4993.5527999999986</v>
      </c>
      <c r="AW246" s="28">
        <f t="shared" si="223"/>
        <v>-4464.12</v>
      </c>
      <c r="AX246" s="241">
        <f t="shared" si="224"/>
        <v>-1559.44</v>
      </c>
      <c r="AY246" s="27">
        <f t="shared" si="224"/>
        <v>-1248.3881999999999</v>
      </c>
      <c r="AZ246" s="28">
        <f t="shared" si="224"/>
        <v>-1071.81</v>
      </c>
      <c r="BA246" s="241">
        <f t="shared" si="225"/>
        <v>-1178.75</v>
      </c>
      <c r="BB246" s="27">
        <f t="shared" si="225"/>
        <v>-1248.3881999999999</v>
      </c>
      <c r="BC246" s="28">
        <f t="shared" si="225"/>
        <v>-1046.9099999999999</v>
      </c>
      <c r="BD246" s="241">
        <f t="shared" si="226"/>
        <v>-762.47</v>
      </c>
      <c r="BE246" s="27">
        <f t="shared" si="226"/>
        <v>-1248.3881999999999</v>
      </c>
      <c r="BF246" s="28">
        <f t="shared" si="226"/>
        <v>-1172.6999999999998</v>
      </c>
      <c r="BG246" s="241">
        <f t="shared" si="227"/>
        <v>-1027.21</v>
      </c>
      <c r="BH246" s="27">
        <f t="shared" si="227"/>
        <v>-1248.3881999999999</v>
      </c>
      <c r="BI246" s="28">
        <f t="shared" si="227"/>
        <v>-1172.6999999999998</v>
      </c>
    </row>
    <row r="247" spans="1:61" s="29" customFormat="1" hidden="1" outlineLevel="1" x14ac:dyDescent="0.3">
      <c r="A247" s="22" t="s">
        <v>283</v>
      </c>
      <c r="B247" s="23"/>
      <c r="C247" s="24" t="s">
        <v>67</v>
      </c>
      <c r="D247" s="116"/>
      <c r="E247" s="118"/>
      <c r="F247" s="117"/>
      <c r="G247" s="33"/>
      <c r="H247" s="241">
        <v>-274.33</v>
      </c>
      <c r="I247" s="27">
        <v>0</v>
      </c>
      <c r="J247" s="28">
        <f>SUMIFS(Aut_BlueMe_Sem_Pedido!$J:$J,Aut_BlueMe_Sem_Pedido!$Q:$Q,DRE!H$4,Aut_BlueMe_Sem_Pedido!$H:$H,DRE!$A247)+SUMIFS(Aut_Ajustes_Manuais!$G:$G,Aut_Ajustes_Manuais!$I:$I,DRE!H$4,Aut_Ajustes_Manuais!$F:$F,"Sistemas de Segurança e Alarme")</f>
        <v>-314.87</v>
      </c>
      <c r="K247" s="241">
        <v>-274.33</v>
      </c>
      <c r="L247" s="27">
        <v>0</v>
      </c>
      <c r="M247" s="28">
        <f>SUMIFS(Aut_BlueMe_Sem_Pedido!$J:$J,Aut_BlueMe_Sem_Pedido!$Q:$Q,DRE!K$4,Aut_BlueMe_Sem_Pedido!$H:$H,DRE!$A247)+SUMIFS(Aut_Ajustes_Manuais!$G:$G,Aut_Ajustes_Manuais!$I:$I,DRE!K$4,Aut_Ajustes_Manuais!$F:$F,"Sistemas de Segurança e Alarme")</f>
        <v>-314.87</v>
      </c>
      <c r="N247" s="241">
        <v>0</v>
      </c>
      <c r="O247" s="27">
        <v>0</v>
      </c>
      <c r="P247" s="28">
        <f>SUMIFS(Aut_BlueMe_Sem_Pedido!$J:$J,Aut_BlueMe_Sem_Pedido!$Q:$Q,DRE!N$4,Aut_BlueMe_Sem_Pedido!$H:$H,DRE!$A247)+SUMIFS(Aut_Ajustes_Manuais!$G:$G,Aut_Ajustes_Manuais!$I:$I,DRE!N$4,Aut_Ajustes_Manuais!$F:$F,"Sistemas de Segurança e Alarme")</f>
        <v>-374.85</v>
      </c>
      <c r="Q247" s="241">
        <v>-293.93</v>
      </c>
      <c r="R247" s="27">
        <v>0</v>
      </c>
      <c r="S247" s="28">
        <f>SUMIFS(Aut_BlueMe_Sem_Pedido!$J:$J,Aut_BlueMe_Sem_Pedido!$Q:$Q,DRE!Q$4,Aut_BlueMe_Sem_Pedido!$H:$H,DRE!$A247)+SUMIFS(Aut_Ajustes_Manuais!$G:$G,Aut_Ajustes_Manuais!$I:$I,DRE!Q$4,Aut_Ajustes_Manuais!$F:$F,"Sistemas de Segurança e Alarme")</f>
        <v>-314.87</v>
      </c>
      <c r="T247" s="241">
        <v>-692.93000000000006</v>
      </c>
      <c r="U247" s="27">
        <v>0</v>
      </c>
      <c r="V247" s="27">
        <f>SUMIFS(Aut_BlueMe_Sem_Pedido!$J:$J,Aut_BlueMe_Sem_Pedido!$Q:$Q,DRE!T$4,Aut_BlueMe_Sem_Pedido!$H:$H,DRE!$A247)+SUMIFS(Aut_Ajustes_Manuais!$G:$G,Aut_Ajustes_Manuais!$I:$I,DRE!T$4,Aut_Ajustes_Manuais!$F:$F,"Sistemas de Segurança e Alarme")</f>
        <v>-830.66000000000008</v>
      </c>
      <c r="W247" s="241">
        <v>-941.93000000000006</v>
      </c>
      <c r="X247" s="27">
        <v>0</v>
      </c>
      <c r="Y247" s="28">
        <f>SUMIFS(Aut_BlueMe_Sem_Pedido!$J:$J,Aut_BlueMe_Sem_Pedido!$Q:$Q,DRE!W$4,Aut_BlueMe_Sem_Pedido!$H:$H,DRE!$A247)+SUMIFS(Aut_Ajustes_Manuais!$G:$G,Aut_Ajustes_Manuais!$I:$I,DRE!W$4,Aut_Ajustes_Manuais!$F:$F,"Sistemas de Segurança e Alarme")</f>
        <v>-930.66000000000008</v>
      </c>
      <c r="Z247" s="241">
        <v>-300.22000000000003</v>
      </c>
      <c r="AA247" s="27">
        <v>0</v>
      </c>
      <c r="AB247" s="28">
        <f>SUMIFS(Aut_BlueMe_Sem_Pedido!$J:$J,Aut_BlueMe_Sem_Pedido!$Q:$Q,DRE!Z$4,Aut_BlueMe_Sem_Pedido!$H:$H,DRE!$A247)+SUMIFS(Aut_Ajustes_Manuais!$G:$G,Aut_Ajustes_Manuais!$I:$I,DRE!Z$4,Aut_Ajustes_Manuais!$F:$F,"Sistemas de Segurança e Alarme")</f>
        <v>-930.66000000000008</v>
      </c>
      <c r="AC247" s="241">
        <v>-300.22000000000003</v>
      </c>
      <c r="AD247" s="27">
        <v>0</v>
      </c>
      <c r="AE247" s="28">
        <f>SUMIFS(Aut_BlueMe_Sem_Pedido!$J:$J,Aut_BlueMe_Sem_Pedido!$Q:$Q,DRE!AC$4,Aut_BlueMe_Sem_Pedido!$H:$H,DRE!$A247)+SUMIFS(Aut_Ajustes_Manuais!$G:$G,Aut_Ajustes_Manuais!$I:$I,DRE!AC$4,Aut_Ajustes_Manuais!$F:$F,"Sistemas de Segurança e Alarme")</f>
        <v>-930.66000000000008</v>
      </c>
      <c r="AF247" s="241">
        <v>-300.22000000000003</v>
      </c>
      <c r="AG247" s="27">
        <v>0</v>
      </c>
      <c r="AH247" s="28">
        <f>SUMIFS(Aut_BlueMe_Sem_Pedido!$J:$J,Aut_BlueMe_Sem_Pedido!$Q:$Q,DRE!AF$4,Aut_BlueMe_Sem_Pedido!$H:$H,DRE!$A247)+SUMIFS(Aut_Ajustes_Manuais!$G:$G,Aut_Ajustes_Manuais!$I:$I,DRE!AF$4,Aut_Ajustes_Manuais!$F:$F,"Sistemas de Segurança e Alarme")</f>
        <v>-930.66000000000008</v>
      </c>
      <c r="AI247" s="241">
        <v>-300.22000000000003</v>
      </c>
      <c r="AJ247" s="27">
        <v>0</v>
      </c>
      <c r="AK247" s="28">
        <f>SUMIFS(Aut_BlueMe_Sem_Pedido!$J:$J,Aut_BlueMe_Sem_Pedido!$Q:$Q,DRE!AI$4,Aut_BlueMe_Sem_Pedido!$H:$H,DRE!$A247)+SUMIFS(Aut_Ajustes_Manuais!$G:$G,Aut_Ajustes_Manuais!$I:$I,DRE!AI$4,Aut_Ajustes_Manuais!$F:$F,"Sistemas de Segurança e Alarme")</f>
        <v>-393.93</v>
      </c>
      <c r="AL247" s="241">
        <v>-300.22000000000003</v>
      </c>
      <c r="AM247" s="27">
        <v>0</v>
      </c>
      <c r="AN247" s="28">
        <f>SUMIFS(Aut_BlueMe_Sem_Pedido!$J:$J,Aut_BlueMe_Sem_Pedido!$Q:$Q,DRE!AL$4,Aut_BlueMe_Sem_Pedido!$H:$H,DRE!$A247)+SUMIFS(Aut_Ajustes_Manuais!$G:$G,Aut_Ajustes_Manuais!$I:$I,DRE!AL$4,Aut_Ajustes_Manuais!$F:$F,"Sistemas de Segurança e Alarme")</f>
        <v>-393.93</v>
      </c>
      <c r="AO247" s="241">
        <v>-293.93</v>
      </c>
      <c r="AP247" s="27">
        <v>0</v>
      </c>
      <c r="AQ247" s="28">
        <f>SUMIFS(Aut_BlueMe_Sem_Pedido!$J:$J,Aut_BlueMe_Sem_Pedido!$Q:$Q,DRE!AO$4,Aut_BlueMe_Sem_Pedido!$H:$H,DRE!$A247)+SUMIFS(Aut_Ajustes_Manuais!$G:$G,Aut_Ajustes_Manuais!$I:$I,DRE!AO$4,Aut_Ajustes_Manuais!$F:$F,"Sistemas de Segurança e Alarme")</f>
        <v>-393.93</v>
      </c>
      <c r="AR247" s="241">
        <f t="shared" ca="1" si="220"/>
        <v>-2477.4499999999998</v>
      </c>
      <c r="AS247" s="27">
        <f t="shared" ca="1" si="221"/>
        <v>0</v>
      </c>
      <c r="AT247" s="28">
        <f t="shared" ca="1" si="222"/>
        <v>-3080.7799999999997</v>
      </c>
      <c r="AU247" s="241">
        <f t="shared" si="223"/>
        <v>-4272.4800000000014</v>
      </c>
      <c r="AV247" s="27">
        <f t="shared" si="223"/>
        <v>0</v>
      </c>
      <c r="AW247" s="28">
        <f t="shared" si="223"/>
        <v>-7054.55</v>
      </c>
      <c r="AX247" s="241">
        <f t="shared" si="224"/>
        <v>-548.66</v>
      </c>
      <c r="AY247" s="27">
        <f t="shared" si="224"/>
        <v>0</v>
      </c>
      <c r="AZ247" s="28">
        <f t="shared" si="224"/>
        <v>-1004.59</v>
      </c>
      <c r="BA247" s="241">
        <f t="shared" si="225"/>
        <v>-1928.7900000000002</v>
      </c>
      <c r="BB247" s="27">
        <f t="shared" si="225"/>
        <v>0</v>
      </c>
      <c r="BC247" s="28">
        <f t="shared" si="225"/>
        <v>-2076.1900000000005</v>
      </c>
      <c r="BD247" s="241">
        <f t="shared" si="226"/>
        <v>-900.66000000000008</v>
      </c>
      <c r="BE247" s="27">
        <f t="shared" si="226"/>
        <v>0</v>
      </c>
      <c r="BF247" s="28">
        <f t="shared" si="226"/>
        <v>-2791.9800000000005</v>
      </c>
      <c r="BG247" s="241">
        <f t="shared" si="227"/>
        <v>-894.37000000000012</v>
      </c>
      <c r="BH247" s="27">
        <f t="shared" si="227"/>
        <v>0</v>
      </c>
      <c r="BI247" s="28">
        <f t="shared" si="227"/>
        <v>-1181.79</v>
      </c>
    </row>
    <row r="248" spans="1:61" s="29" customFormat="1" hidden="1" outlineLevel="1" x14ac:dyDescent="0.3">
      <c r="A248" s="22" t="s">
        <v>284</v>
      </c>
      <c r="B248" s="23"/>
      <c r="C248" s="24" t="s">
        <v>67</v>
      </c>
      <c r="D248" s="25"/>
      <c r="E248" s="119"/>
      <c r="F248" s="117"/>
      <c r="G248" s="33"/>
      <c r="H248" s="241">
        <v>-3351.059999999999</v>
      </c>
      <c r="I248" s="27">
        <v>-2604.9</v>
      </c>
      <c r="J248" s="28">
        <f>SUMIFS(Aut_BlueMe_Sem_Pedido!$J:$J,Aut_BlueMe_Sem_Pedido!$Q:$Q,DRE!H$4,Aut_BlueMe_Sem_Pedido!$H:$H,DRE!$A248)-SUMIFS(Aut_Descontos!$G:$G,Aut_Descontos!$H:$H,A248,Aut_Descontos!$L:$L,H$4)+SUMIFS(Aut_Ajustes_Manuais!$G:$G,Aut_Ajustes_Manuais!$I:$I,DRE!H$4,Aut_Ajustes_Manuais!$F:$F,"Sistemas Gerais - Operacionais")</f>
        <v>-3000</v>
      </c>
      <c r="K248" s="241">
        <v>-4022.46</v>
      </c>
      <c r="L248" s="27">
        <v>-2614.5</v>
      </c>
      <c r="M248" s="28">
        <f>SUMIFS(Aut_BlueMe_Sem_Pedido!$J:$J,Aut_BlueMe_Sem_Pedido!$Q:$Q,DRE!K$4,Aut_BlueMe_Sem_Pedido!$H:$H,DRE!$A248)-SUMIFS(Aut_Descontos!$G:$G,Aut_Descontos!$H:$H,A248,Aut_Descontos!$L:$L,K$4)+SUMIFS(Aut_Ajustes_Manuais!$G:$G,Aut_Ajustes_Manuais!$I:$I,DRE!K$4,Aut_Ajustes_Manuais!$F:$F,"Sistemas Gerais - Operacionais")</f>
        <v>-3000</v>
      </c>
      <c r="N248" s="241">
        <v>-3457.03</v>
      </c>
      <c r="O248" s="27">
        <v>-2614.5</v>
      </c>
      <c r="P248" s="28">
        <f>SUMIFS(Aut_BlueMe_Sem_Pedido!$J:$J,Aut_BlueMe_Sem_Pedido!$Q:$Q,DRE!N$4,Aut_BlueMe_Sem_Pedido!$H:$H,DRE!$A248)-SUMIFS(Aut_Descontos!$G:$G,Aut_Descontos!$H:$H,A248,Aut_Descontos!$L:$L,N$4)+SUMIFS(Aut_Ajustes_Manuais!$G:$G,Aut_Ajustes_Manuais!$I:$I,DRE!N$4,Aut_Ajustes_Manuais!$F:$F,"Sistemas Gerais - Operacionais")</f>
        <v>-3000</v>
      </c>
      <c r="Q248" s="241">
        <v>-1615.82</v>
      </c>
      <c r="R248" s="27">
        <v>-2614.5</v>
      </c>
      <c r="S248" s="28">
        <f>SUMIFS(Aut_BlueMe_Sem_Pedido!$J:$J,Aut_BlueMe_Sem_Pedido!$Q:$Q,DRE!Q$4,Aut_BlueMe_Sem_Pedido!$H:$H,DRE!$A248)-SUMIFS(Aut_Descontos!$G:$G,Aut_Descontos!$H:$H,A248,Aut_Descontos!$L:$L,Q$4)+SUMIFS(Aut_Ajustes_Manuais!$G:$G,Aut_Ajustes_Manuais!$I:$I,DRE!Q$4,Aut_Ajustes_Manuais!$F:$F,"Sistemas Gerais - Operacionais")</f>
        <v>-3032.74</v>
      </c>
      <c r="T248" s="241">
        <v>-2654.42</v>
      </c>
      <c r="U248" s="27">
        <v>-2614.5</v>
      </c>
      <c r="V248" s="28">
        <f>SUMIFS(Aut_BlueMe_Sem_Pedido!$J:$J,Aut_BlueMe_Sem_Pedido!$Q:$Q,DRE!T$4,Aut_BlueMe_Sem_Pedido!$H:$H,DRE!$A248)-SUMIFS(Aut_Descontos!$G:$G,Aut_Descontos!$H:$H,A248,Aut_Descontos!$L:$L,T$4)+SUMIFS(Aut_Ajustes_Manuais!$G:$G,Aut_Ajustes_Manuais!$I:$I,DRE!T$4,Aut_Ajustes_Manuais!$F:$F,"Sistemas Gerais - Operacionais")</f>
        <v>-2999.9999999999995</v>
      </c>
      <c r="W248" s="241">
        <v>-3655.3700000000008</v>
      </c>
      <c r="X248" s="27">
        <v>-2614.5</v>
      </c>
      <c r="Y248" s="28">
        <f>SUMIFS(Aut_BlueMe_Sem_Pedido!$J:$J,Aut_BlueMe_Sem_Pedido!$Q:$Q,DRE!W$4,Aut_BlueMe_Sem_Pedido!$H:$H,DRE!$A248)-SUMIFS(Aut_Descontos!$G:$G,Aut_Descontos!$H:$H,A248,Aut_Descontos!$L:$L,W$4)+SUMIFS(Aut_Ajustes_Manuais!$G:$G,Aut_Ajustes_Manuais!$I:$I,DRE!W$4,Aut_Ajustes_Manuais!$F:$F,"Sistemas Gerais - Operacionais")</f>
        <v>-520</v>
      </c>
      <c r="Z248" s="241">
        <v>-3675.3</v>
      </c>
      <c r="AA248" s="27">
        <v>-2614.5</v>
      </c>
      <c r="AB248" s="28">
        <f>SUMIFS(Aut_BlueMe_Sem_Pedido!$J:$J,Aut_BlueMe_Sem_Pedido!$Q:$Q,DRE!Z$4,Aut_BlueMe_Sem_Pedido!$H:$H,DRE!$A248)-SUMIFS(Aut_Descontos!$G:$G,Aut_Descontos!$H:$H,A248,Aut_Descontos!$L:$L,Z$4)+SUMIFS(Aut_Ajustes_Manuais!$G:$G,Aut_Ajustes_Manuais!$I:$I,DRE!Z$4,Aut_Ajustes_Manuais!$F:$F,"Sistemas Gerais - Operacionais")</f>
        <v>-530</v>
      </c>
      <c r="AC248" s="241">
        <v>-2022.87</v>
      </c>
      <c r="AD248" s="27">
        <v>-2614.5</v>
      </c>
      <c r="AE248" s="28">
        <f>SUMIFS(Aut_BlueMe_Sem_Pedido!$J:$J,Aut_BlueMe_Sem_Pedido!$Q:$Q,DRE!AC$4,Aut_BlueMe_Sem_Pedido!$H:$H,DRE!$A248)-SUMIFS(Aut_Descontos!$G:$G,Aut_Descontos!$H:$H,A248,Aut_Descontos!$L:$L,AC$4)+SUMIFS(Aut_Ajustes_Manuais!$G:$G,Aut_Ajustes_Manuais!$I:$I,DRE!AC$4,Aut_Ajustes_Manuais!$F:$F,"Sistemas Gerais - Operacionais")</f>
        <v>-530</v>
      </c>
      <c r="AF248" s="241">
        <v>-3214</v>
      </c>
      <c r="AG248" s="27">
        <v>-2614.5</v>
      </c>
      <c r="AH248" s="28">
        <f>SUMIFS(Aut_BlueMe_Sem_Pedido!$J:$J,Aut_BlueMe_Sem_Pedido!$Q:$Q,DRE!AF$4,Aut_BlueMe_Sem_Pedido!$H:$H,DRE!$A248)-SUMIFS(Aut_Descontos!$G:$G,Aut_Descontos!$H:$H,A248,Aut_Descontos!$L:$L,AF$4)+SUMIFS(Aut_Ajustes_Manuais!$G:$G,Aut_Ajustes_Manuais!$I:$I,DRE!AF$4,Aut_Ajustes_Manuais!$F:$F,"Sistemas Gerais - Operacionais")</f>
        <v>-530</v>
      </c>
      <c r="AI248" s="241">
        <v>-3229</v>
      </c>
      <c r="AJ248" s="27">
        <v>-2614.5</v>
      </c>
      <c r="AK248" s="28">
        <f>SUMIFS(Aut_BlueMe_Sem_Pedido!$J:$J,Aut_BlueMe_Sem_Pedido!$Q:$Q,DRE!AI$4,Aut_BlueMe_Sem_Pedido!$H:$H,DRE!$A248)-SUMIFS(Aut_Descontos!$G:$G,Aut_Descontos!$H:$H,A248,Aut_Descontos!$L:$L,AI$4)+SUMIFS(Aut_Ajustes_Manuais!$G:$G,Aut_Ajustes_Manuais!$I:$I,DRE!AI$4,Aut_Ajustes_Manuais!$F:$F,"Sistemas Gerais - Operacionais")</f>
        <v>-530</v>
      </c>
      <c r="AL248" s="241">
        <v>-3010.0000000000009</v>
      </c>
      <c r="AM248" s="27">
        <v>-2614.5</v>
      </c>
      <c r="AN248" s="28">
        <f>SUMIFS(Aut_BlueMe_Sem_Pedido!$J:$J,Aut_BlueMe_Sem_Pedido!$Q:$Q,DRE!AL$4,Aut_BlueMe_Sem_Pedido!$H:$H,DRE!$A248)-SUMIFS(Aut_Descontos!$G:$G,Aut_Descontos!$H:$H,A248,Aut_Descontos!$L:$L,AL$4)+SUMIFS(Aut_Ajustes_Manuais!$G:$G,Aut_Ajustes_Manuais!$I:$I,DRE!AL$4,Aut_Ajustes_Manuais!$F:$F,"Sistemas Gerais - Operacionais")</f>
        <v>-530</v>
      </c>
      <c r="AO248" s="241">
        <v>-3010</v>
      </c>
      <c r="AP248" s="27">
        <v>-2614.5</v>
      </c>
      <c r="AQ248" s="28">
        <f>SUMIFS(Aut_BlueMe_Sem_Pedido!$J:$J,Aut_BlueMe_Sem_Pedido!$Q:$Q,DRE!AO$4,Aut_BlueMe_Sem_Pedido!$H:$H,DRE!$A248)-SUMIFS(Aut_Descontos!$G:$G,Aut_Descontos!$H:$H,A248,Aut_Descontos!$L:$L,AO$4)+SUMIFS(Aut_Ajustes_Manuais!$G:$G,Aut_Ajustes_Manuais!$I:$I,DRE!AO$4,Aut_Ajustes_Manuais!$F:$F,"Sistemas Gerais - Operacionais")</f>
        <v>-530</v>
      </c>
      <c r="AR248" s="241">
        <f t="shared" ca="1" si="220"/>
        <v>-18756.16</v>
      </c>
      <c r="AS248" s="27">
        <f t="shared" ca="1" si="221"/>
        <v>-15677.4</v>
      </c>
      <c r="AT248" s="28">
        <f t="shared" ca="1" si="222"/>
        <v>-15552.74</v>
      </c>
      <c r="AU248" s="241">
        <f t="shared" si="223"/>
        <v>-36917.33</v>
      </c>
      <c r="AV248" s="27">
        <f t="shared" si="223"/>
        <v>-31364.400000000001</v>
      </c>
      <c r="AW248" s="28">
        <f t="shared" si="223"/>
        <v>-18732.739999999998</v>
      </c>
      <c r="AX248" s="241">
        <f t="shared" si="224"/>
        <v>-10830.55</v>
      </c>
      <c r="AY248" s="27">
        <f t="shared" si="224"/>
        <v>-7833.9</v>
      </c>
      <c r="AZ248" s="28">
        <f t="shared" si="224"/>
        <v>-9000</v>
      </c>
      <c r="BA248" s="241">
        <f t="shared" si="225"/>
        <v>-7925.6100000000006</v>
      </c>
      <c r="BB248" s="27">
        <f t="shared" si="225"/>
        <v>-7843.5</v>
      </c>
      <c r="BC248" s="28">
        <f t="shared" si="225"/>
        <v>-6552.74</v>
      </c>
      <c r="BD248" s="241">
        <f t="shared" si="226"/>
        <v>-8912.17</v>
      </c>
      <c r="BE248" s="27">
        <f t="shared" si="226"/>
        <v>-7843.5</v>
      </c>
      <c r="BF248" s="28">
        <f t="shared" si="226"/>
        <v>-1590</v>
      </c>
      <c r="BG248" s="241">
        <f t="shared" si="227"/>
        <v>-9249</v>
      </c>
      <c r="BH248" s="27">
        <f t="shared" si="227"/>
        <v>-7843.5</v>
      </c>
      <c r="BI248" s="28">
        <f t="shared" si="227"/>
        <v>-1590</v>
      </c>
    </row>
    <row r="249" spans="1:61" s="29" customFormat="1" hidden="1" outlineLevel="1" x14ac:dyDescent="0.3">
      <c r="A249" s="22" t="s">
        <v>285</v>
      </c>
      <c r="B249" s="23"/>
      <c r="C249" s="24" t="s">
        <v>67</v>
      </c>
      <c r="D249" s="25"/>
      <c r="E249" s="120"/>
      <c r="F249" s="117"/>
      <c r="G249" s="33"/>
      <c r="H249" s="241">
        <v>-360</v>
      </c>
      <c r="I249" s="27">
        <v>-408.45</v>
      </c>
      <c r="J249" s="28">
        <f>SUMIFS(Aut_BlueMe_Sem_Pedido!$J:$J,Aut_BlueMe_Sem_Pedido!$Q:$Q,DRE!H$4,Aut_BlueMe_Sem_Pedido!$H:$H,DRE!$A249)+SUMIFS(Aut_Ajustes_Manuais!$G:$G,Aut_Ajustes_Manuais!$I:$I,DRE!H$4,Aut_Ajustes_Manuais!$F:$F,"Sistemas Gerais - Financeiros")</f>
        <v>-389</v>
      </c>
      <c r="K249" s="241">
        <v>-360</v>
      </c>
      <c r="L249" s="27">
        <v>-408.45</v>
      </c>
      <c r="M249" s="28">
        <f>SUMIFS(Aut_BlueMe_Sem_Pedido!$J:$J,Aut_BlueMe_Sem_Pedido!$Q:$Q,DRE!K$4,Aut_BlueMe_Sem_Pedido!$H:$H,DRE!$A249)+SUMIFS(Aut_Ajustes_Manuais!$G:$G,Aut_Ajustes_Manuais!$I:$I,DRE!K$4,Aut_Ajustes_Manuais!$F:$F,"Sistemas Gerais - Financeiros")</f>
        <v>-389</v>
      </c>
      <c r="N249" s="241">
        <v>-389</v>
      </c>
      <c r="O249" s="27">
        <v>-408.45</v>
      </c>
      <c r="P249" s="28">
        <f>SUMIFS(Aut_BlueMe_Sem_Pedido!$J:$J,Aut_BlueMe_Sem_Pedido!$Q:$Q,DRE!N$4,Aut_BlueMe_Sem_Pedido!$H:$H,DRE!$A249)+SUMIFS(Aut_Ajustes_Manuais!$G:$G,Aut_Ajustes_Manuais!$I:$I,DRE!N$4,Aut_Ajustes_Manuais!$F:$F,"Sistemas Gerais - Financeiros")</f>
        <v>-389</v>
      </c>
      <c r="Q249" s="241">
        <v>-409</v>
      </c>
      <c r="R249" s="27">
        <v>-408.45</v>
      </c>
      <c r="S249" s="28">
        <f>SUMIFS(Aut_BlueMe_Sem_Pedido!$J:$J,Aut_BlueMe_Sem_Pedido!$Q:$Q,DRE!Q$4,Aut_BlueMe_Sem_Pedido!$H:$H,DRE!$A249)+SUMIFS(Aut_Ajustes_Manuais!$G:$G,Aut_Ajustes_Manuais!$I:$I,DRE!Q$4,Aut_Ajustes_Manuais!$F:$F,"Sistemas Gerais - Financeiros")</f>
        <v>-389</v>
      </c>
      <c r="T249" s="241">
        <v>-389</v>
      </c>
      <c r="U249" s="27">
        <v>-408.45</v>
      </c>
      <c r="V249" s="28">
        <f>SUMIFS(Aut_BlueMe_Sem_Pedido!$J:$J,Aut_BlueMe_Sem_Pedido!$Q:$Q,DRE!T$4,Aut_BlueMe_Sem_Pedido!$H:$H,DRE!$A249)+SUMIFS(Aut_Ajustes_Manuais!$G:$G,Aut_Ajustes_Manuais!$I:$I,DRE!T$4,Aut_Ajustes_Manuais!$F:$F,"Sistemas Gerais - Financeiros")</f>
        <v>-389</v>
      </c>
      <c r="W249" s="241">
        <v>-389</v>
      </c>
      <c r="X249" s="27">
        <v>-408.45</v>
      </c>
      <c r="Y249" s="28">
        <f>SUMIFS(Aut_BlueMe_Sem_Pedido!$J:$J,Aut_BlueMe_Sem_Pedido!$Q:$Q,DRE!W$4,Aut_BlueMe_Sem_Pedido!$H:$H,DRE!$A249)+SUMIFS(Aut_Ajustes_Manuais!$G:$G,Aut_Ajustes_Manuais!$I:$I,DRE!W$4,Aut_Ajustes_Manuais!$F:$F,"Sistemas Gerais - Financeiros")</f>
        <v>-389</v>
      </c>
      <c r="Z249" s="241">
        <v>-389</v>
      </c>
      <c r="AA249" s="27">
        <v>-408.45</v>
      </c>
      <c r="AB249" s="28">
        <f>SUMIFS(Aut_BlueMe_Sem_Pedido!$J:$J,Aut_BlueMe_Sem_Pedido!$Q:$Q,DRE!Z$4,Aut_BlueMe_Sem_Pedido!$H:$H,DRE!$A249)+SUMIFS(Aut_Ajustes_Manuais!$G:$G,Aut_Ajustes_Manuais!$I:$I,DRE!Z$4,Aut_Ajustes_Manuais!$F:$F,"Sistemas Gerais - Financeiros")</f>
        <v>-389</v>
      </c>
      <c r="AC249" s="241">
        <v>-389</v>
      </c>
      <c r="AD249" s="27">
        <v>-408.45</v>
      </c>
      <c r="AE249" s="28">
        <f>SUMIFS(Aut_BlueMe_Sem_Pedido!$J:$J,Aut_BlueMe_Sem_Pedido!$Q:$Q,DRE!AC$4,Aut_BlueMe_Sem_Pedido!$H:$H,DRE!$A249)+SUMIFS(Aut_Ajustes_Manuais!$G:$G,Aut_Ajustes_Manuais!$I:$I,DRE!AC$4,Aut_Ajustes_Manuais!$F:$F,"Sistemas Gerais - Financeiros")</f>
        <v>-389</v>
      </c>
      <c r="AF249" s="241">
        <v>-389</v>
      </c>
      <c r="AG249" s="27">
        <v>-408.45</v>
      </c>
      <c r="AH249" s="28">
        <f>SUMIFS(Aut_BlueMe_Sem_Pedido!$J:$J,Aut_BlueMe_Sem_Pedido!$Q:$Q,DRE!AF$4,Aut_BlueMe_Sem_Pedido!$H:$H,DRE!$A249)+SUMIFS(Aut_Ajustes_Manuais!$G:$G,Aut_Ajustes_Manuais!$I:$I,DRE!AF$4,Aut_Ajustes_Manuais!$F:$F,"Sistemas Gerais - Financeiros")</f>
        <v>-389</v>
      </c>
      <c r="AI249" s="241">
        <v>-389</v>
      </c>
      <c r="AJ249" s="27">
        <v>-408.45</v>
      </c>
      <c r="AK249" s="28">
        <f>SUMIFS(Aut_BlueMe_Sem_Pedido!$J:$J,Aut_BlueMe_Sem_Pedido!$Q:$Q,DRE!AI$4,Aut_BlueMe_Sem_Pedido!$H:$H,DRE!$A249)+SUMIFS(Aut_Ajustes_Manuais!$G:$G,Aut_Ajustes_Manuais!$I:$I,DRE!AI$4,Aut_Ajustes_Manuais!$F:$F,"Sistemas Gerais - Financeiros")</f>
        <v>-389</v>
      </c>
      <c r="AL249" s="241">
        <v>-389</v>
      </c>
      <c r="AM249" s="27">
        <v>-408.45</v>
      </c>
      <c r="AN249" s="28">
        <f>SUMIFS(Aut_BlueMe_Sem_Pedido!$J:$J,Aut_BlueMe_Sem_Pedido!$Q:$Q,DRE!AL$4,Aut_BlueMe_Sem_Pedido!$H:$H,DRE!$A249)+SUMIFS(Aut_Ajustes_Manuais!$G:$G,Aut_Ajustes_Manuais!$I:$I,DRE!AL$4,Aut_Ajustes_Manuais!$F:$F,"Sistemas Gerais - Financeiros")</f>
        <v>-389</v>
      </c>
      <c r="AO249" s="241">
        <v>-389</v>
      </c>
      <c r="AP249" s="27">
        <v>-408.45</v>
      </c>
      <c r="AQ249" s="28">
        <f>SUMIFS(Aut_BlueMe_Sem_Pedido!$J:$J,Aut_BlueMe_Sem_Pedido!$Q:$Q,DRE!AO$4,Aut_BlueMe_Sem_Pedido!$H:$H,DRE!$A249)+SUMIFS(Aut_Ajustes_Manuais!$G:$G,Aut_Ajustes_Manuais!$I:$I,DRE!AO$4,Aut_Ajustes_Manuais!$F:$F,"Sistemas Gerais - Financeiros")</f>
        <v>-389</v>
      </c>
      <c r="AR249" s="241">
        <f t="shared" ca="1" si="220"/>
        <v>-2296</v>
      </c>
      <c r="AS249" s="27">
        <f t="shared" ca="1" si="221"/>
        <v>-2450.6999999999998</v>
      </c>
      <c r="AT249" s="28">
        <f t="shared" ca="1" si="222"/>
        <v>-2334</v>
      </c>
      <c r="AU249" s="241">
        <f t="shared" si="223"/>
        <v>-4630</v>
      </c>
      <c r="AV249" s="27">
        <f t="shared" si="223"/>
        <v>-4901.3999999999987</v>
      </c>
      <c r="AW249" s="28">
        <f t="shared" si="223"/>
        <v>-4668</v>
      </c>
      <c r="AX249" s="241">
        <f t="shared" si="224"/>
        <v>-1109</v>
      </c>
      <c r="AY249" s="27">
        <f t="shared" si="224"/>
        <v>-1225.3499999999999</v>
      </c>
      <c r="AZ249" s="28">
        <f t="shared" si="224"/>
        <v>-1167</v>
      </c>
      <c r="BA249" s="241">
        <f t="shared" si="225"/>
        <v>-1187</v>
      </c>
      <c r="BB249" s="27">
        <f t="shared" si="225"/>
        <v>-1225.3499999999999</v>
      </c>
      <c r="BC249" s="28">
        <f t="shared" si="225"/>
        <v>-1167</v>
      </c>
      <c r="BD249" s="241">
        <f t="shared" si="226"/>
        <v>-1167</v>
      </c>
      <c r="BE249" s="27">
        <f t="shared" si="226"/>
        <v>-1225.3499999999999</v>
      </c>
      <c r="BF249" s="28">
        <f t="shared" si="226"/>
        <v>-1167</v>
      </c>
      <c r="BG249" s="241">
        <f t="shared" si="227"/>
        <v>-1167</v>
      </c>
      <c r="BH249" s="27">
        <f t="shared" si="227"/>
        <v>-1225.3499999999999</v>
      </c>
      <c r="BI249" s="28">
        <f t="shared" si="227"/>
        <v>-1167</v>
      </c>
    </row>
    <row r="250" spans="1:61" s="29" customFormat="1" hidden="1" outlineLevel="1" x14ac:dyDescent="0.3">
      <c r="A250" s="22" t="s">
        <v>286</v>
      </c>
      <c r="B250" s="23"/>
      <c r="C250" s="24" t="s">
        <v>67</v>
      </c>
      <c r="D250" s="25"/>
      <c r="E250" s="120"/>
      <c r="F250" s="117"/>
      <c r="G250" s="33"/>
      <c r="H250" s="241">
        <v>-1000.69</v>
      </c>
      <c r="I250" s="27">
        <v>-1017.45</v>
      </c>
      <c r="J250" s="28">
        <f>SUMIFS(Aut_BlueMe_Sem_Pedido!$J:$J,Aut_BlueMe_Sem_Pedido!$Q:$Q,DRE!H$4,Aut_BlueMe_Sem_Pedido!$H:$H,DRE!$A250)+SUMIFS(Aut_Ajustes_Manuais!$G:$G,Aut_Ajustes_Manuais!$I:$I,DRE!H$4,Aut_Ajustes_Manuais!$F:$F,"Sistemas Gerais - Comunicação e Marketing")</f>
        <v>-851.52</v>
      </c>
      <c r="K250" s="241">
        <v>-963.64</v>
      </c>
      <c r="L250" s="27">
        <v>-1017.45</v>
      </c>
      <c r="M250" s="28">
        <f>SUMIFS(Aut_BlueMe_Sem_Pedido!$J:$J,Aut_BlueMe_Sem_Pedido!$Q:$Q,DRE!K$4,Aut_BlueMe_Sem_Pedido!$H:$H,DRE!$A250)+SUMIFS(Aut_Ajustes_Manuais!$G:$G,Aut_Ajustes_Manuais!$I:$I,DRE!K$4,Aut_Ajustes_Manuais!$F:$F,"Sistemas Gerais - Comunicação e Marketing")</f>
        <v>-830.71</v>
      </c>
      <c r="N250" s="241">
        <v>-954.58999999999992</v>
      </c>
      <c r="O250" s="27">
        <v>-1017.45</v>
      </c>
      <c r="P250" s="28">
        <f>SUMIFS(Aut_BlueMe_Sem_Pedido!$J:$J,Aut_BlueMe_Sem_Pedido!$Q:$Q,DRE!N$4,Aut_BlueMe_Sem_Pedido!$H:$H,DRE!$A250)+SUMIFS(Aut_Ajustes_Manuais!$G:$G,Aut_Ajustes_Manuais!$I:$I,DRE!N$4,Aut_Ajustes_Manuais!$F:$F,"Sistemas Gerais - Comunicação e Marketing")</f>
        <v>-829.16</v>
      </c>
      <c r="Q250" s="241">
        <v>-947.59999999999991</v>
      </c>
      <c r="R250" s="27">
        <v>-1017.45</v>
      </c>
      <c r="S250" s="28">
        <f>SUMIFS(Aut_BlueMe_Sem_Pedido!$J:$J,Aut_BlueMe_Sem_Pedido!$Q:$Q,DRE!Q$4,Aut_BlueMe_Sem_Pedido!$H:$H,DRE!$A250)+SUMIFS(Aut_Ajustes_Manuais!$G:$G,Aut_Ajustes_Manuais!$I:$I,DRE!Q$4,Aut_Ajustes_Manuais!$F:$F,"Sistemas Gerais - Comunicação e Marketing")</f>
        <v>-219</v>
      </c>
      <c r="T250" s="241">
        <v>-934.78</v>
      </c>
      <c r="U250" s="27">
        <v>-1017.45</v>
      </c>
      <c r="V250" s="28">
        <f>SUMIFS(Aut_BlueMe_Sem_Pedido!$J:$J,Aut_BlueMe_Sem_Pedido!$Q:$Q,DRE!T$4,Aut_BlueMe_Sem_Pedido!$H:$H,DRE!$A250)+SUMIFS(Aut_Ajustes_Manuais!$G:$G,Aut_Ajustes_Manuais!$I:$I,DRE!T$4,Aut_Ajustes_Manuais!$F:$F,"Sistemas Gerais - Comunicação e Marketing")</f>
        <v>-655</v>
      </c>
      <c r="W250" s="241">
        <v>-927.04</v>
      </c>
      <c r="X250" s="27">
        <v>-1017.45</v>
      </c>
      <c r="Y250" s="28">
        <f>SUMIFS(Aut_BlueMe_Sem_Pedido!$J:$J,Aut_BlueMe_Sem_Pedido!$Q:$Q,DRE!W$4,Aut_BlueMe_Sem_Pedido!$H:$H,DRE!$A250)+SUMIFS(Aut_Ajustes_Manuais!$G:$G,Aut_Ajustes_Manuais!$I:$I,DRE!W$4,Aut_Ajustes_Manuais!$F:$F,"Sistemas Gerais - Comunicação e Marketing")</f>
        <v>-6823.77</v>
      </c>
      <c r="Z250" s="241">
        <v>-896.1</v>
      </c>
      <c r="AA250" s="27">
        <v>-1017.45</v>
      </c>
      <c r="AB250" s="28">
        <f>SUMIFS(Aut_BlueMe_Sem_Pedido!$J:$J,Aut_BlueMe_Sem_Pedido!$Q:$Q,DRE!Z$4,Aut_BlueMe_Sem_Pedido!$H:$H,DRE!$A250)+SUMIFS(Aut_Ajustes_Manuais!$G:$G,Aut_Ajustes_Manuais!$I:$I,DRE!Z$4,Aut_Ajustes_Manuais!$F:$F,"Sistemas Gerais - Comunicação e Marketing")</f>
        <v>-655.5</v>
      </c>
      <c r="AC250" s="241">
        <v>-913.86</v>
      </c>
      <c r="AD250" s="27">
        <v>-1017.45</v>
      </c>
      <c r="AE250" s="28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>-655.5</v>
      </c>
      <c r="AF250" s="241">
        <v>-893.35</v>
      </c>
      <c r="AG250" s="27">
        <v>-1017.45</v>
      </c>
      <c r="AH250" s="28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>-655.5</v>
      </c>
      <c r="AI250" s="241">
        <v>-838.02</v>
      </c>
      <c r="AJ250" s="27">
        <v>-1017.45</v>
      </c>
      <c r="AK250" s="28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>-655.5</v>
      </c>
      <c r="AL250" s="241">
        <v>-845.5</v>
      </c>
      <c r="AM250" s="27">
        <v>-1017.45</v>
      </c>
      <c r="AN250" s="28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>-655.5</v>
      </c>
      <c r="AO250" s="241">
        <v>-858.83999999999992</v>
      </c>
      <c r="AP250" s="27">
        <v>-1017.45</v>
      </c>
      <c r="AQ250" s="28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>-655.5</v>
      </c>
      <c r="AR250" s="241">
        <f t="shared" ca="1" si="220"/>
        <v>-5728.34</v>
      </c>
      <c r="AS250" s="27">
        <f t="shared" ca="1" si="221"/>
        <v>-6104.7</v>
      </c>
      <c r="AT250" s="28">
        <f t="shared" ca="1" si="222"/>
        <v>-10209.16</v>
      </c>
      <c r="AU250" s="241">
        <f t="shared" si="223"/>
        <v>-10974.01</v>
      </c>
      <c r="AV250" s="27">
        <f t="shared" si="223"/>
        <v>-12209.400000000001</v>
      </c>
      <c r="AW250" s="28">
        <f t="shared" si="223"/>
        <v>-14142.16</v>
      </c>
      <c r="AX250" s="241">
        <f t="shared" si="224"/>
        <v>-2918.92</v>
      </c>
      <c r="AY250" s="27">
        <f t="shared" si="224"/>
        <v>-3052.3500000000004</v>
      </c>
      <c r="AZ250" s="28">
        <f t="shared" si="224"/>
        <v>-2511.39</v>
      </c>
      <c r="BA250" s="241">
        <f t="shared" si="225"/>
        <v>-2809.42</v>
      </c>
      <c r="BB250" s="27">
        <f t="shared" si="225"/>
        <v>-3052.3500000000004</v>
      </c>
      <c r="BC250" s="28">
        <f t="shared" si="225"/>
        <v>-7697.77</v>
      </c>
      <c r="BD250" s="241">
        <f t="shared" si="226"/>
        <v>-2703.31</v>
      </c>
      <c r="BE250" s="27">
        <f t="shared" si="226"/>
        <v>-3052.3500000000004</v>
      </c>
      <c r="BF250" s="28">
        <f t="shared" si="226"/>
        <v>-1966.5</v>
      </c>
      <c r="BG250" s="241">
        <f t="shared" si="227"/>
        <v>-2542.3599999999997</v>
      </c>
      <c r="BH250" s="27">
        <f t="shared" si="227"/>
        <v>-3052.3500000000004</v>
      </c>
      <c r="BI250" s="28">
        <f t="shared" si="227"/>
        <v>-1966.5</v>
      </c>
    </row>
    <row r="251" spans="1:61" s="29" customFormat="1" hidden="1" outlineLevel="1" x14ac:dyDescent="0.3">
      <c r="A251" s="22"/>
      <c r="B251" s="23"/>
      <c r="C251" s="24"/>
      <c r="D251" s="116"/>
      <c r="E251" s="118"/>
      <c r="F251" s="117"/>
      <c r="G251" s="33"/>
      <c r="H251" s="254">
        <v>0</v>
      </c>
      <c r="I251" s="81"/>
      <c r="J251" s="82"/>
      <c r="K251" s="254">
        <v>0</v>
      </c>
      <c r="L251" s="81"/>
      <c r="M251" s="82"/>
      <c r="N251" s="254">
        <v>0</v>
      </c>
      <c r="O251" s="81"/>
      <c r="P251" s="82"/>
      <c r="Q251" s="254">
        <v>0</v>
      </c>
      <c r="R251" s="81"/>
      <c r="S251" s="82"/>
      <c r="T251" s="254">
        <v>0</v>
      </c>
      <c r="U251" s="81"/>
      <c r="V251" s="82"/>
      <c r="W251" s="254">
        <v>0</v>
      </c>
      <c r="X251" s="81"/>
      <c r="Y251" s="82"/>
      <c r="Z251" s="254"/>
      <c r="AA251" s="81"/>
      <c r="AB251" s="82"/>
      <c r="AC251" s="254"/>
      <c r="AD251" s="81"/>
      <c r="AE251" s="82"/>
      <c r="AF251" s="254"/>
      <c r="AG251" s="81"/>
      <c r="AH251" s="82"/>
      <c r="AI251" s="254"/>
      <c r="AJ251" s="81"/>
      <c r="AK251" s="82"/>
      <c r="AL251" s="254"/>
      <c r="AM251" s="81"/>
      <c r="AN251" s="82"/>
      <c r="AO251" s="254"/>
      <c r="AP251" s="81"/>
      <c r="AQ251" s="82"/>
      <c r="AR251" s="241">
        <f t="shared" ca="1" si="220"/>
        <v>0</v>
      </c>
      <c r="AS251" s="27">
        <f t="shared" ca="1" si="221"/>
        <v>0</v>
      </c>
      <c r="AT251" s="82">
        <f t="shared" ca="1" si="222"/>
        <v>0</v>
      </c>
      <c r="AU251" s="254"/>
      <c r="AV251" s="81"/>
      <c r="AW251" s="82"/>
      <c r="AX251" s="254"/>
      <c r="AY251" s="81">
        <v>0</v>
      </c>
      <c r="AZ251" s="82"/>
      <c r="BA251" s="254"/>
      <c r="BB251" s="81">
        <v>0</v>
      </c>
      <c r="BC251" s="82"/>
      <c r="BD251" s="254"/>
      <c r="BE251" s="81">
        <v>0</v>
      </c>
      <c r="BF251" s="82"/>
      <c r="BG251" s="254"/>
      <c r="BH251" s="81">
        <v>0</v>
      </c>
      <c r="BI251" s="82"/>
    </row>
    <row r="252" spans="1:61" s="29" customFormat="1" hidden="1" outlineLevel="1" x14ac:dyDescent="0.3">
      <c r="A252" s="22"/>
      <c r="B252" s="23"/>
      <c r="C252" s="24"/>
      <c r="D252" s="116"/>
      <c r="E252" s="120"/>
      <c r="F252" s="117"/>
      <c r="G252" s="33"/>
      <c r="H252" s="254">
        <v>0</v>
      </c>
      <c r="I252" s="81"/>
      <c r="J252" s="82"/>
      <c r="K252" s="254">
        <v>0</v>
      </c>
      <c r="L252" s="81"/>
      <c r="M252" s="82"/>
      <c r="N252" s="254">
        <v>0</v>
      </c>
      <c r="O252" s="81"/>
      <c r="P252" s="82"/>
      <c r="Q252" s="254">
        <v>0</v>
      </c>
      <c r="R252" s="81"/>
      <c r="S252" s="82"/>
      <c r="T252" s="254">
        <v>0</v>
      </c>
      <c r="U252" s="81"/>
      <c r="V252" s="82"/>
      <c r="W252" s="254">
        <v>0</v>
      </c>
      <c r="X252" s="81"/>
      <c r="Y252" s="82"/>
      <c r="Z252" s="254"/>
      <c r="AA252" s="81"/>
      <c r="AB252" s="82"/>
      <c r="AC252" s="254"/>
      <c r="AD252" s="81"/>
      <c r="AE252" s="82"/>
      <c r="AF252" s="254"/>
      <c r="AG252" s="81"/>
      <c r="AH252" s="82"/>
      <c r="AI252" s="254"/>
      <c r="AJ252" s="81"/>
      <c r="AK252" s="82"/>
      <c r="AL252" s="254"/>
      <c r="AM252" s="81"/>
      <c r="AN252" s="82"/>
      <c r="AO252" s="254"/>
      <c r="AP252" s="81"/>
      <c r="AQ252" s="82"/>
      <c r="AR252" s="241">
        <f t="shared" ca="1" si="220"/>
        <v>0</v>
      </c>
      <c r="AS252" s="27">
        <f t="shared" ca="1" si="221"/>
        <v>0</v>
      </c>
      <c r="AT252" s="82">
        <f t="shared" ca="1" si="222"/>
        <v>0</v>
      </c>
      <c r="AU252" s="254"/>
      <c r="AV252" s="81"/>
      <c r="AW252" s="82"/>
      <c r="AX252" s="254"/>
      <c r="AY252" s="81">
        <v>0</v>
      </c>
      <c r="AZ252" s="82"/>
      <c r="BA252" s="254"/>
      <c r="BB252" s="81">
        <v>0</v>
      </c>
      <c r="BC252" s="82"/>
      <c r="BD252" s="254"/>
      <c r="BE252" s="81">
        <v>0</v>
      </c>
      <c r="BF252" s="82"/>
      <c r="BG252" s="254"/>
      <c r="BH252" s="81">
        <v>0</v>
      </c>
      <c r="BI252" s="82"/>
    </row>
    <row r="253" spans="1:61" collapsed="1" x14ac:dyDescent="0.3">
      <c r="A253" s="71" t="s">
        <v>44</v>
      </c>
      <c r="C253" s="24"/>
      <c r="D253" s="116"/>
      <c r="E253" s="120"/>
      <c r="F253" s="17"/>
      <c r="G253" s="47"/>
      <c r="H253" s="245">
        <v>-2.0742305630943019E-2</v>
      </c>
      <c r="I253" s="50">
        <v>-1.432449599381033E-2</v>
      </c>
      <c r="J253" s="51">
        <f>IFERROR(J243/J8,0)+SUMIFS(Aut_Ajustes_Manuais!$G:$G,Aut_Ajustes_Manuais!$I:$I,DRE!H$4,Aut_Ajustes_Manuais!$F:$F,"% sobre Receita Bruta")</f>
        <v>-1.3685955161570524E-2</v>
      </c>
      <c r="K253" s="245">
        <v>-2.1206487396844581E-2</v>
      </c>
      <c r="L253" s="50">
        <v>-1.309150796201073E-2</v>
      </c>
      <c r="M253" s="51">
        <f>IFERROR(M243/M8,0)+SUMIFS(Aut_Ajustes_Manuais!$G:$G,Aut_Ajustes_Manuais!$I:$I,DRE!K$4,Aut_Ajustes_Manuais!$F:$F,"% sobre Receita Bruta")</f>
        <v>-1.3404002845411999E-2</v>
      </c>
      <c r="N253" s="245">
        <v>-1.430504317340345E-2</v>
      </c>
      <c r="O253" s="50">
        <v>-1.034914654142923E-2</v>
      </c>
      <c r="P253" s="51">
        <f>IFERROR(P243/P8,0)+SUMIFS(Aut_Ajustes_Manuais!$G:$G,Aut_Ajustes_Manuais!$I:$I,DRE!N$4,Aut_Ajustes_Manuais!$F:$F,"% sobre Receita Bruta")</f>
        <v>-1.0180391851883181E-2</v>
      </c>
      <c r="Q253" s="245">
        <v>-1.004057729304776E-2</v>
      </c>
      <c r="R253" s="50">
        <v>-1.092919216327598E-2</v>
      </c>
      <c r="S253" s="51">
        <f>IFERROR(S243/S8,0)+SUMIFS(Aut_Ajustes_Manuais!$G:$G,Aut_Ajustes_Manuais!$I:$I,DRE!Q$4,Aut_Ajustes_Manuais!$F:$F,"% sobre Receita Bruta")</f>
        <v>-1.139661941924743E-2</v>
      </c>
      <c r="T253" s="245">
        <v>-1.3388831362662159E-2</v>
      </c>
      <c r="U253" s="50">
        <v>-1.103779750511273E-2</v>
      </c>
      <c r="V253" s="51">
        <f>IFERROR(V243/V8,0)+SUMIFS(Aut_Ajustes_Manuais!$G:$G,Aut_Ajustes_Manuais!$I:$I,DRE!T$4,Aut_Ajustes_Manuais!$F:$F,"% sobre Receita Bruta")</f>
        <v>-1.2969251510152489E-2</v>
      </c>
      <c r="W253" s="245">
        <v>-1.6762425121047291E-2</v>
      </c>
      <c r="X253" s="50">
        <v>-1.187427142539897E-2</v>
      </c>
      <c r="Y253" s="51">
        <f>IFERROR(Y243/Y8,0)+SUMIFS(Aut_Ajustes_Manuais!$G:$G,Aut_Ajustes_Manuais!$I:$I,DRE!W$4,Aut_Ajustes_Manuais!$F:$F,"% sobre Receita Bruta")</f>
        <v>-2.0769989867172062E-2</v>
      </c>
      <c r="Z253" s="245">
        <v>-1.2393746682574669E-2</v>
      </c>
      <c r="AA253" s="50">
        <v>-9.0799928707094007E-3</v>
      </c>
      <c r="AB253" s="51">
        <f>IFERROR(AB243/AB8,0)+SUMIFS(Aut_Ajustes_Manuais!$G:$G,Aut_Ajustes_Manuais!$I:$I,DRE!Z$4,Aut_Ajustes_Manuais!$F:$F,"% sobre Receita Bruta")</f>
        <v>-2.5129912854767501E-2</v>
      </c>
      <c r="AC253" s="245">
        <v>-9.7585776957501476E-3</v>
      </c>
      <c r="AD253" s="50">
        <v>-9.5977616479789949E-3</v>
      </c>
      <c r="AE253" s="51">
        <f>IFERROR(AE243/AE8,0)+SUMIFS(Aut_Ajustes_Manuais!$G:$G,Aut_Ajustes_Manuais!$I:$I,DRE!AC$4,Aut_Ajustes_Manuais!$F:$F,"% sobre Receita Bruta")</f>
        <v>-1.1716203703703705</v>
      </c>
      <c r="AF253" s="245">
        <v>-1.336175540276056E-2</v>
      </c>
      <c r="AG253" s="50">
        <v>-1.077694891541997E-2</v>
      </c>
      <c r="AH253" s="51">
        <f>IFERROR(AH243/AH8,0)+SUMIFS(Aut_Ajustes_Manuais!$G:$G,Aut_Ajustes_Manuais!$I:$I,DRE!AF$4,Aut_Ajustes_Manuais!$F:$F,"% sobre Receita Bruta")</f>
        <v>0</v>
      </c>
      <c r="AI253" s="245">
        <v>-1.399307222328253E-2</v>
      </c>
      <c r="AJ253" s="50">
        <v>-1.0435847373604611E-2</v>
      </c>
      <c r="AK253" s="51">
        <f>IFERROR(AK243/AK8,0)+SUMIFS(Aut_Ajustes_Manuais!$G:$G,Aut_Ajustes_Manuais!$I:$I,DRE!AI$4,Aut_Ajustes_Manuais!$F:$F,"% sobre Receita Bruta")</f>
        <v>0</v>
      </c>
      <c r="AL253" s="245">
        <v>-1.169790041160427E-2</v>
      </c>
      <c r="AM253" s="50">
        <v>-9.8612145546921031E-3</v>
      </c>
      <c r="AN253" s="51">
        <f>IFERROR(AN243/AN8,0)+SUMIFS(Aut_Ajustes_Manuais!$G:$G,Aut_Ajustes_Manuais!$I:$I,DRE!AL$4,Aut_Ajustes_Manuais!$F:$F,"% sobre Receita Bruta")</f>
        <v>-0.810776119402985</v>
      </c>
      <c r="AO253" s="245">
        <v>-6.9477577470998149E-3</v>
      </c>
      <c r="AP253" s="50">
        <v>-7.7215140796367127E-3</v>
      </c>
      <c r="AQ253" s="51">
        <f>IFERROR(AQ243/AQ8,0)+SUMIFS(Aut_Ajustes_Manuais!$G:$G,Aut_Ajustes_Manuais!$I:$I,DRE!AO$4,Aut_Ajustes_Manuais!$F:$F,"% sobre Receita Bruta")</f>
        <v>0</v>
      </c>
      <c r="AR253" s="245">
        <f t="shared" ref="AR253:BI253" ca="1" si="228">IFERROR(AR243/AR8,0)</f>
        <v>-1.5610546355655387E-2</v>
      </c>
      <c r="AS253" s="50">
        <f t="shared" ca="1" si="228"/>
        <v>-1.1784062310731662E-2</v>
      </c>
      <c r="AT253" s="51">
        <f t="shared" ca="1" si="228"/>
        <v>-1.3642900368443562E-2</v>
      </c>
      <c r="AU253" s="245">
        <f t="shared" si="228"/>
        <v>-1.2884406791511531E-2</v>
      </c>
      <c r="AV253" s="50">
        <f t="shared" si="228"/>
        <v>-1.0498365804420632E-2</v>
      </c>
      <c r="AW253" s="51">
        <f t="shared" si="228"/>
        <v>-2.0133272047351703E-2</v>
      </c>
      <c r="AX253" s="245">
        <f t="shared" si="228"/>
        <v>-1.8228612344961016E-2</v>
      </c>
      <c r="AY253" s="50">
        <f t="shared" si="228"/>
        <v>-1.2353644687668083E-2</v>
      </c>
      <c r="AZ253" s="51">
        <f t="shared" si="228"/>
        <v>-1.2179724606063308E-2</v>
      </c>
      <c r="BA253" s="245">
        <f t="shared" si="228"/>
        <v>-1.3371842082641283E-2</v>
      </c>
      <c r="BB253" s="50">
        <f t="shared" si="228"/>
        <v>-1.1265001515236506E-2</v>
      </c>
      <c r="BC253" s="51">
        <f t="shared" si="228"/>
        <v>-1.5119407563323745E-2</v>
      </c>
      <c r="BD253" s="245">
        <f t="shared" si="228"/>
        <v>-1.1777133270675812E-2</v>
      </c>
      <c r="BE253" s="50">
        <f t="shared" si="228"/>
        <v>-9.7683645218314616E-3</v>
      </c>
      <c r="BF253" s="51">
        <f t="shared" si="228"/>
        <v>-7.380667016079312E-2</v>
      </c>
      <c r="BG253" s="245">
        <f t="shared" si="228"/>
        <v>-1.0041618989491002E-2</v>
      </c>
      <c r="BH253" s="50">
        <f t="shared" si="228"/>
        <v>-9.1816341683521232E-3</v>
      </c>
      <c r="BI253" s="51">
        <f t="shared" si="228"/>
        <v>-2.432328358208955</v>
      </c>
    </row>
    <row r="254" spans="1:61" x14ac:dyDescent="0.3">
      <c r="A254" s="18"/>
      <c r="E254" s="16"/>
      <c r="F254" s="17"/>
      <c r="G254" s="47"/>
      <c r="H254" s="247"/>
      <c r="I254" s="17"/>
      <c r="J254" s="57"/>
      <c r="K254" s="247"/>
      <c r="L254" s="17"/>
      <c r="M254" s="57"/>
      <c r="N254" s="247"/>
      <c r="O254" s="17"/>
      <c r="P254" s="57"/>
      <c r="Q254" s="247"/>
      <c r="R254" s="17"/>
      <c r="S254" s="57"/>
      <c r="T254" s="247"/>
      <c r="U254" s="17"/>
      <c r="V254" s="57"/>
      <c r="W254" s="247"/>
      <c r="X254" s="17"/>
      <c r="Y254" s="57"/>
      <c r="Z254" s="247"/>
      <c r="AA254" s="17"/>
      <c r="AB254" s="57"/>
      <c r="AC254" s="247"/>
      <c r="AD254" s="17"/>
      <c r="AE254" s="57"/>
      <c r="AF254" s="247"/>
      <c r="AG254" s="17"/>
      <c r="AH254" s="57"/>
      <c r="AI254" s="247"/>
      <c r="AJ254" s="17"/>
      <c r="AK254" s="57"/>
      <c r="AL254" s="247"/>
      <c r="AM254" s="17"/>
      <c r="AN254" s="57"/>
      <c r="AO254" s="247"/>
      <c r="AP254" s="17"/>
      <c r="AQ254" s="57"/>
      <c r="AR254" s="247"/>
      <c r="AS254" s="17"/>
      <c r="AT254" s="57"/>
      <c r="AU254" s="247"/>
      <c r="AV254" s="17"/>
      <c r="AW254" s="57"/>
      <c r="AX254" s="247"/>
      <c r="AY254" s="17"/>
      <c r="AZ254" s="57"/>
      <c r="BA254" s="247"/>
      <c r="BB254" s="17"/>
      <c r="BC254" s="57"/>
      <c r="BD254" s="247"/>
      <c r="BE254" s="17"/>
      <c r="BF254" s="57"/>
      <c r="BG254" s="247"/>
      <c r="BH254" s="17"/>
      <c r="BI254" s="57"/>
    </row>
    <row r="255" spans="1:61" x14ac:dyDescent="0.3">
      <c r="A255" s="39" t="s">
        <v>287</v>
      </c>
      <c r="C255" s="40" t="s">
        <v>35</v>
      </c>
      <c r="D255" s="40" t="s">
        <v>36</v>
      </c>
      <c r="E255" s="40" t="s">
        <v>202</v>
      </c>
      <c r="F255" s="17"/>
      <c r="G255" s="47"/>
      <c r="H255" s="244">
        <v>-8374.3900000000012</v>
      </c>
      <c r="I255" s="42">
        <v>-7311.7283271274837</v>
      </c>
      <c r="J255" s="43">
        <f>SUM(J256:J263)+SUMIFS(Aut_Ajustes_Manuais!$G:$G,Aut_Ajustes_Manuais!$I:$I,DRE!H$4,Aut_Ajustes_Manuais!$F:$F,"Despesas Gerais")</f>
        <v>-4945.3499999999995</v>
      </c>
      <c r="K255" s="244">
        <v>-6476.2000000000007</v>
      </c>
      <c r="L255" s="42">
        <v>-7389.8653389514293</v>
      </c>
      <c r="M255" s="43">
        <f>SUM(M256:M263)+SUMIFS(Aut_Ajustes_Manuais!$G:$G,Aut_Ajustes_Manuais!$I:$I,DRE!K$4,Aut_Ajustes_Manuais!$F:$F,"Despesas Gerais")</f>
        <v>-4414.28</v>
      </c>
      <c r="N255" s="244">
        <v>-7258.51</v>
      </c>
      <c r="O255" s="42">
        <v>-7625.6656887951613</v>
      </c>
      <c r="P255" s="43">
        <f>SUM(P256:P263)+SUMIFS(Aut_Ajustes_Manuais!$G:$G,Aut_Ajustes_Manuais!$I:$I,DRE!N$4,Aut_Ajustes_Manuais!$F:$F,"Despesas Gerais")</f>
        <v>-5647.3099999999995</v>
      </c>
      <c r="Q255" s="244">
        <v>-8911.65</v>
      </c>
      <c r="R255" s="42">
        <v>-7565.923171260999</v>
      </c>
      <c r="S255" s="43">
        <f>SUM(S256:S263)+SUMIFS(Aut_Ajustes_Manuais!$G:$G,Aut_Ajustes_Manuais!$I:$I,DRE!Q$4,Aut_Ajustes_Manuais!$F:$F,"Despesas Gerais")</f>
        <v>-5017.87</v>
      </c>
      <c r="T255" s="244">
        <v>-4519.7299999999996</v>
      </c>
      <c r="U255" s="42">
        <v>-7555.4351232303234</v>
      </c>
      <c r="V255" s="43">
        <f>SUM(V256:V263)+SUMIFS(Aut_Ajustes_Manuais!$G:$G,Aut_Ajustes_Manuais!$I:$I,DRE!T$4,Aut_Ajustes_Manuais!$F:$F,"Despesas Gerais")</f>
        <v>-4622.66</v>
      </c>
      <c r="W255" s="244">
        <v>-3661.15</v>
      </c>
      <c r="X255" s="42">
        <v>-7481.0858075116448</v>
      </c>
      <c r="Y255" s="43">
        <f>SUM(Y256:Y263)+SUMIFS(Aut_Ajustes_Manuais!$G:$G,Aut_Ajustes_Manuais!$I:$I,DRE!W$4,Aut_Ajustes_Manuais!$F:$F,"Despesas Gerais")</f>
        <v>-6581.87</v>
      </c>
      <c r="Z255" s="244">
        <v>-5181.84</v>
      </c>
      <c r="AA255" s="42">
        <v>-7783.0053212464509</v>
      </c>
      <c r="AB255" s="43">
        <f>SUM(AB256:AB263)+SUMIFS(Aut_Ajustes_Manuais!$G:$G,Aut_Ajustes_Manuais!$I:$I,DRE!Z$4,Aut_Ajustes_Manuais!$F:$F,"Despesas Gerais")</f>
        <v>-2500</v>
      </c>
      <c r="AC255" s="244">
        <v>-9066.8200000000015</v>
      </c>
      <c r="AD255" s="42">
        <v>-7713.7912564699982</v>
      </c>
      <c r="AE255" s="43">
        <f>SUM(AE256:AE263)+SUMIFS(Aut_Ajustes_Manuais!$G:$G,Aut_Ajustes_Manuais!$I:$I,DRE!AC$4,Aut_Ajustes_Manuais!$F:$F,"Despesas Gerais")</f>
        <v>-2500</v>
      </c>
      <c r="AF255" s="244">
        <v>-8240.1099999999988</v>
      </c>
      <c r="AG255" s="42">
        <v>-7580.9811999137637</v>
      </c>
      <c r="AH255" s="43">
        <f>SUM(AH256:AH263)+SUMIFS(Aut_Ajustes_Manuais!$G:$G,Aut_Ajustes_Manuais!$I:$I,DRE!AF$4,Aut_Ajustes_Manuais!$F:$F,"Despesas Gerais")</f>
        <v>-2500</v>
      </c>
      <c r="AI255" s="244">
        <v>-6441.21</v>
      </c>
      <c r="AJ255" s="42">
        <v>-7616.3136785102433</v>
      </c>
      <c r="AK255" s="43">
        <f>SUM(AK256:AK263)+SUMIFS(Aut_Ajustes_Manuais!$G:$G,Aut_Ajustes_Manuais!$I:$I,DRE!AI$4,Aut_Ajustes_Manuais!$F:$F,"Despesas Gerais")</f>
        <v>-2500</v>
      </c>
      <c r="AL255" s="244">
        <v>-5343.7500000000009</v>
      </c>
      <c r="AM255" s="42">
        <v>-7681.3635232646793</v>
      </c>
      <c r="AN255" s="43">
        <f>SUM(AN256:AN263)+SUMIFS(Aut_Ajustes_Manuais!$G:$G,Aut_Ajustes_Manuais!$I:$I,DRE!AL$4,Aut_Ajustes_Manuais!$F:$F,"Despesas Gerais")</f>
        <v>-2500</v>
      </c>
      <c r="AO255" s="244">
        <v>-2500</v>
      </c>
      <c r="AP255" s="42">
        <v>-8008.7299006191934</v>
      </c>
      <c r="AQ255" s="43">
        <f>SUM(AQ256:AQ263)+SUMIFS(Aut_Ajustes_Manuais!$G:$G,Aut_Ajustes_Manuais!$I:$I,DRE!AO$4,Aut_Ajustes_Manuais!$F:$F,"Despesas Gerais")</f>
        <v>-2500</v>
      </c>
      <c r="AR255" s="244">
        <f t="shared" ref="AR255:BI255" ca="1" si="229">SUM(AR256:AR263)</f>
        <v>-39201.629999999997</v>
      </c>
      <c r="AS255" s="42">
        <f t="shared" ca="1" si="229"/>
        <v>-44929.703456877047</v>
      </c>
      <c r="AT255" s="43">
        <f t="shared" ca="1" si="229"/>
        <v>-31229.339999999997</v>
      </c>
      <c r="AU255" s="244">
        <f t="shared" si="229"/>
        <v>-75975.360000000001</v>
      </c>
      <c r="AV255" s="42">
        <f t="shared" si="229"/>
        <v>-91313.888336901393</v>
      </c>
      <c r="AW255" s="43">
        <f t="shared" si="229"/>
        <v>-46229.34</v>
      </c>
      <c r="AX255" s="244">
        <f t="shared" si="229"/>
        <v>-22109.100000000002</v>
      </c>
      <c r="AY255" s="42">
        <f t="shared" si="229"/>
        <v>-22327.259354874077</v>
      </c>
      <c r="AZ255" s="43">
        <f t="shared" si="229"/>
        <v>-15006.94</v>
      </c>
      <c r="BA255" s="244">
        <f t="shared" si="229"/>
        <v>-17092.53</v>
      </c>
      <c r="BB255" s="42">
        <f t="shared" si="229"/>
        <v>-22602.44410200297</v>
      </c>
      <c r="BC255" s="43">
        <f t="shared" si="229"/>
        <v>-16222.4</v>
      </c>
      <c r="BD255" s="244">
        <f t="shared" si="229"/>
        <v>-22488.77</v>
      </c>
      <c r="BE255" s="42">
        <f t="shared" si="229"/>
        <v>-23077.77777763021</v>
      </c>
      <c r="BF255" s="43">
        <f t="shared" si="229"/>
        <v>-7500</v>
      </c>
      <c r="BG255" s="244">
        <f t="shared" si="229"/>
        <v>-14284.96</v>
      </c>
      <c r="BH255" s="42">
        <f t="shared" si="229"/>
        <v>-23306.407102394121</v>
      </c>
      <c r="BI255" s="43">
        <f t="shared" si="229"/>
        <v>-7500</v>
      </c>
    </row>
    <row r="256" spans="1:61" s="29" customFormat="1" hidden="1" outlineLevel="1" x14ac:dyDescent="0.3">
      <c r="A256" s="22" t="s">
        <v>288</v>
      </c>
      <c r="B256" s="23"/>
      <c r="C256" s="24" t="s">
        <v>60</v>
      </c>
      <c r="D256" s="121">
        <v>-7300</v>
      </c>
      <c r="E256" s="114"/>
      <c r="F256" s="56"/>
      <c r="G256" s="33"/>
      <c r="H256" s="241">
        <v>-5650.66</v>
      </c>
      <c r="I256" s="27">
        <v>-4029.3880394309681</v>
      </c>
      <c r="J256" s="28">
        <f>SUMIFS(Aut_BlueMe_Sem_Pedido!$J:$J,Aut_BlueMe_Sem_Pedido!$Q:$Q,DRE!H$4,Aut_BlueMe_Sem_Pedido!$H:$H,DRE!$A256)+SUMIFS(Aut_Ajustes_Manuais!$G:$G,Aut_Ajustes_Manuais!$I:$I,DRE!H$4,Aut_Ajustes_Manuais!$F:$F,"Manutenção Predial")</f>
        <v>-3500</v>
      </c>
      <c r="K256" s="241">
        <v>-5866.68</v>
      </c>
      <c r="L256" s="27">
        <v>-4080.3469601857141</v>
      </c>
      <c r="M256" s="28">
        <f>SUMIFS(Aut_BlueMe_Sem_Pedido!$J:$J,Aut_BlueMe_Sem_Pedido!$Q:$Q,DRE!K$4,Aut_BlueMe_Sem_Pedido!$H:$H,DRE!$A256)+SUMIFS(Aut_Ajustes_Manuais!$G:$G,Aut_Ajustes_Manuais!$I:$I,DRE!K$4,Aut_Ajustes_Manuais!$F:$F,"Manutenção Predial")</f>
        <v>-3900</v>
      </c>
      <c r="N256" s="241">
        <v>-2500</v>
      </c>
      <c r="O256" s="27">
        <v>-4234.129797040323</v>
      </c>
      <c r="P256" s="28">
        <f>SUMIFS(Aut_BlueMe_Sem_Pedido!$J:$J,Aut_BlueMe_Sem_Pedido!$Q:$Q,DRE!N$4,Aut_BlueMe_Sem_Pedido!$H:$H,DRE!$A256)+SUMIFS(Aut_Ajustes_Manuais!$G:$G,Aut_Ajustes_Manuais!$I:$I,DRE!N$4,Aut_Ajustes_Manuais!$F:$F,"Manutenção Predial")</f>
        <v>-3500</v>
      </c>
      <c r="Q256" s="241">
        <v>-2500</v>
      </c>
      <c r="R256" s="27">
        <v>-4195.167285605</v>
      </c>
      <c r="S256" s="28">
        <f>SUMIFS(Aut_BlueMe_Sem_Pedido!$J:$J,Aut_BlueMe_Sem_Pedido!$Q:$Q,DRE!Q$4,Aut_BlueMe_Sem_Pedido!$H:$H,DRE!$A256)+SUMIFS(Aut_Ajustes_Manuais!$G:$G,Aut_Ajustes_Manuais!$I:$I,DRE!Q$4,Aut_Ajustes_Manuais!$F:$F,"Manutenção Predial")</f>
        <v>-3500</v>
      </c>
      <c r="T256" s="241">
        <v>-2500</v>
      </c>
      <c r="U256" s="27">
        <v>-4188.3272542806453</v>
      </c>
      <c r="V256" s="27">
        <f>SUMIFS(Aut_BlueMe_Sem_Pedido!$J:$J,Aut_BlueMe_Sem_Pedido!$Q:$Q,DRE!T$4,Aut_BlueMe_Sem_Pedido!$H:$H,DRE!$A256)+SUMIFS(Aut_Ajustes_Manuais!$G:$G,Aut_Ajustes_Manuais!$I:$I,DRE!T$4,Aut_Ajustes_Manuais!$F:$F,"Manutenção Predial")</f>
        <v>-3200</v>
      </c>
      <c r="W256" s="241">
        <v>-2800</v>
      </c>
      <c r="X256" s="27">
        <v>-4139.8385701162906</v>
      </c>
      <c r="Y256" s="28">
        <f>SUMIFS(Aut_BlueMe_Sem_Pedido!$J:$J,Aut_BlueMe_Sem_Pedido!$Q:$Q,DRE!W$4,Aut_BlueMe_Sem_Pedido!$H:$H,DRE!$A256)+SUMIFS(Aut_Ajustes_Manuais!$G:$G,Aut_Ajustes_Manuais!$I:$I,DRE!W$4,Aut_Ajustes_Manuais!$F:$F,"Manutenção Predial")</f>
        <v>-5150</v>
      </c>
      <c r="Z256" s="241">
        <v>-3850</v>
      </c>
      <c r="AA256" s="27">
        <v>-4336.7426008129032</v>
      </c>
      <c r="AB256" s="28">
        <f>SUMIFS(Aut_BlueMe_Sem_Pedido!$J:$J,Aut_BlueMe_Sem_Pedido!$Q:$Q,DRE!Z$4,Aut_BlueMe_Sem_Pedido!$H:$H,DRE!$A256)+SUMIFS(Aut_Ajustes_Manuais!$G:$G,Aut_Ajustes_Manuais!$I:$I,DRE!Z$4,Aut_Ajustes_Manuais!$F:$F,"Manutenção Predial")</f>
        <v>-2500</v>
      </c>
      <c r="AC256" s="241">
        <v>-3850</v>
      </c>
      <c r="AD256" s="27">
        <v>-4291.6029933499995</v>
      </c>
      <c r="AE256" s="28">
        <f>SUMIFS(Aut_BlueMe_Sem_Pedido!$J:$J,Aut_BlueMe_Sem_Pedido!$Q:$Q,DRE!AC$4,Aut_BlueMe_Sem_Pedido!$H:$H,DRE!$A256)+SUMIFS(Aut_Ajustes_Manuais!$G:$G,Aut_Ajustes_Manuais!$I:$I,DRE!AC$4,Aut_Ajustes_Manuais!$F:$F,"Manutenção Predial")</f>
        <v>-2500</v>
      </c>
      <c r="AF256" s="241">
        <v>-4200</v>
      </c>
      <c r="AG256" s="27">
        <v>-4204.9877390741931</v>
      </c>
      <c r="AH256" s="28">
        <f>SUMIFS(Aut_BlueMe_Sem_Pedido!$J:$J,Aut_BlueMe_Sem_Pedido!$Q:$Q,DRE!AF$4,Aut_BlueMe_Sem_Pedido!$H:$H,DRE!$A256)+SUMIFS(Aut_Ajustes_Manuais!$G:$G,Aut_Ajustes_Manuais!$I:$I,DRE!AF$4,Aut_Ajustes_Manuais!$F:$F,"Manutenção Predial")</f>
        <v>-2500</v>
      </c>
      <c r="AI256" s="241">
        <v>-4000</v>
      </c>
      <c r="AJ256" s="27">
        <v>-4228.0306598979842</v>
      </c>
      <c r="AK256" s="28">
        <f>SUMIFS(Aut_BlueMe_Sem_Pedido!$J:$J,Aut_BlueMe_Sem_Pedido!$Q:$Q,DRE!AI$4,Aut_BlueMe_Sem_Pedido!$H:$H,DRE!$A256)+SUMIFS(Aut_Ajustes_Manuais!$G:$G,Aut_Ajustes_Manuais!$I:$I,DRE!AI$4,Aut_Ajustes_Manuais!$F:$F,"Manutenção Predial")</f>
        <v>-2500</v>
      </c>
      <c r="AL256" s="241">
        <v>-2500</v>
      </c>
      <c r="AM256" s="27">
        <v>-4270.4544716943556</v>
      </c>
      <c r="AN256" s="28">
        <f>SUMIFS(Aut_BlueMe_Sem_Pedido!$J:$J,Aut_BlueMe_Sem_Pedido!$Q:$Q,DRE!AL$4,Aut_BlueMe_Sem_Pedido!$H:$H,DRE!$A256)+SUMIFS(Aut_Ajustes_Manuais!$G:$G,Aut_Ajustes_Manuais!$I:$I,DRE!AL$4,Aut_Ajustes_Manuais!$F:$F,"Manutenção Predial")</f>
        <v>-2500</v>
      </c>
      <c r="AO256" s="241">
        <v>-2500</v>
      </c>
      <c r="AP256" s="27">
        <v>-4483.9542830125174</v>
      </c>
      <c r="AQ256" s="28">
        <f>SUMIFS(Aut_BlueMe_Sem_Pedido!$J:$J,Aut_BlueMe_Sem_Pedido!$Q:$Q,DRE!AO$4,Aut_BlueMe_Sem_Pedido!$H:$H,DRE!$A256)+SUMIFS(Aut_Ajustes_Manuais!$G:$G,Aut_Ajustes_Manuais!$I:$I,DRE!AO$4,Aut_Ajustes_Manuais!$F:$F,"Manutenção Predial")</f>
        <v>-2500</v>
      </c>
      <c r="AR256" s="241">
        <f t="shared" ref="AR256:AR263" ca="1" si="230">SUMIFS($H256:$AO256,$H$5:$AO$5,"&lt;"&amp;MONTH(TODAY()),$H$6:$AO$6,"REAL 25")</f>
        <v>-21817.34</v>
      </c>
      <c r="AS256" s="27">
        <f t="shared" ref="AS256:AS263" ca="1" si="231">SUMIFS($I256:$AP256,$I$5:$AP$5,"&lt;"&amp;MONTH(TODAY()),$I$6:$AP$6,"ORÇADO ")</f>
        <v>-24867.197906658941</v>
      </c>
      <c r="AT256" s="28">
        <f t="shared" ref="AT256:AT263" ca="1" si="232">SUMIFS($J256:$AQ256,$J$5:$AQ$5,"&lt;"&amp;MONTH(TODAY()),$J$6:$AQ$6,"REAL 26")</f>
        <v>-22750</v>
      </c>
      <c r="AU256" s="241">
        <f t="shared" ref="AU256:AW263" si="233">SUM(H256,K256,N256,Q256,T256,W256,Z256,AC256,AF256,AI256,AL256,AO256)</f>
        <v>-42717.34</v>
      </c>
      <c r="AV256" s="27">
        <f t="shared" si="233"/>
        <v>-50682.970654500896</v>
      </c>
      <c r="AW256" s="28">
        <f t="shared" si="233"/>
        <v>-37750</v>
      </c>
      <c r="AX256" s="241">
        <f t="shared" ref="AX256:AZ263" si="234">SUM(H256,K256,N256)</f>
        <v>-14017.34</v>
      </c>
      <c r="AY256" s="27">
        <f t="shared" si="234"/>
        <v>-12343.864796657006</v>
      </c>
      <c r="AZ256" s="28">
        <f t="shared" si="234"/>
        <v>-10900</v>
      </c>
      <c r="BA256" s="241">
        <f t="shared" ref="BA256:BC263" si="235">SUM(Q256,T256,W256)</f>
        <v>-7800</v>
      </c>
      <c r="BB256" s="27">
        <f t="shared" si="235"/>
        <v>-12523.333110001935</v>
      </c>
      <c r="BC256" s="28">
        <f t="shared" si="235"/>
        <v>-11850</v>
      </c>
      <c r="BD256" s="241">
        <f t="shared" ref="BD256:BF263" si="236">SUM(Z256,AC256,AF256)</f>
        <v>-11900</v>
      </c>
      <c r="BE256" s="27">
        <f t="shared" si="236"/>
        <v>-12833.333333237097</v>
      </c>
      <c r="BF256" s="28">
        <f t="shared" si="236"/>
        <v>-7500</v>
      </c>
      <c r="BG256" s="241">
        <f t="shared" ref="BG256:BI263" si="237">SUM(AI256,AL256,AO256)</f>
        <v>-9000</v>
      </c>
      <c r="BH256" s="27">
        <f t="shared" si="237"/>
        <v>-12982.439414604858</v>
      </c>
      <c r="BI256" s="28">
        <f t="shared" si="237"/>
        <v>-7500</v>
      </c>
    </row>
    <row r="257" spans="1:61" s="29" customFormat="1" hidden="1" outlineLevel="1" x14ac:dyDescent="0.3">
      <c r="A257" s="22" t="s">
        <v>289</v>
      </c>
      <c r="B257" s="23"/>
      <c r="C257" s="24" t="s">
        <v>60</v>
      </c>
      <c r="D257" s="121"/>
      <c r="E257" s="114"/>
      <c r="F257" s="56"/>
      <c r="G257" s="33"/>
      <c r="H257" s="241">
        <v>0</v>
      </c>
      <c r="I257" s="27">
        <v>-1270.5850719241289</v>
      </c>
      <c r="J257" s="28">
        <f>SUMIFS(Aut_BlueMe_Sem_Pedido!$J:$J,Aut_BlueMe_Sem_Pedido!$Q:$Q,DRE!H$4,Aut_BlueMe_Sem_Pedido!$H:$H,DRE!$A257)+SUMIFS(Aut_Ajustes_Manuais!$G:$G,Aut_Ajustes_Manuais!$I:$I,DRE!H$4,Aut_Ajustes_Manuais!$F:$F,"Manutenção de Equipamentos")</f>
        <v>-688.4</v>
      </c>
      <c r="K257" s="241">
        <v>0</v>
      </c>
      <c r="L257" s="27">
        <v>-1277.379594691429</v>
      </c>
      <c r="M257" s="28">
        <f>SUMIFS(Aut_BlueMe_Sem_Pedido!$J:$J,Aut_BlueMe_Sem_Pedido!$Q:$Q,DRE!K$4,Aut_BlueMe_Sem_Pedido!$H:$H,DRE!$A257)+SUMIFS(Aut_Ajustes_Manuais!$G:$G,Aut_Ajustes_Manuais!$I:$I,DRE!K$4,Aut_Ajustes_Manuais!$F:$F,"Manutenção de Equipamentos")</f>
        <v>-108.4</v>
      </c>
      <c r="N257" s="241">
        <v>0</v>
      </c>
      <c r="O257" s="27">
        <v>-1297.88397293871</v>
      </c>
      <c r="P257" s="28">
        <f>SUMIFS(Aut_BlueMe_Sem_Pedido!$J:$J,Aut_BlueMe_Sem_Pedido!$Q:$Q,DRE!N$4,Aut_BlueMe_Sem_Pedido!$H:$H,DRE!$A257)+SUMIFS(Aut_Ajustes_Manuais!$G:$G,Aut_Ajustes_Manuais!$I:$I,DRE!N$4,Aut_Ajustes_Manuais!$F:$F,"Manutenção de Equipamentos")</f>
        <v>-945</v>
      </c>
      <c r="Q257" s="241">
        <v>-1713.05</v>
      </c>
      <c r="R257" s="27">
        <v>-1292.688971414</v>
      </c>
      <c r="S257" s="28">
        <f>SUMIFS(Aut_BlueMe_Sem_Pedido!$J:$J,Aut_BlueMe_Sem_Pedido!$Q:$Q,DRE!Q$4,Aut_BlueMe_Sem_Pedido!$H:$H,DRE!$A257)+SUMIFS(Aut_Ajustes_Manuais!$G:$G,Aut_Ajustes_Manuais!$I:$I,DRE!Q$4,Aut_Ajustes_Manuais!$F:$F,"Manutenção de Equipamentos")</f>
        <v>-70</v>
      </c>
      <c r="T257" s="241">
        <v>-800</v>
      </c>
      <c r="U257" s="27">
        <v>-1291.7769672374191</v>
      </c>
      <c r="V257" s="28">
        <f>SUMIFS(Aut_BlueMe_Sem_Pedido!$J:$J,Aut_BlueMe_Sem_Pedido!$Q:$Q,DRE!T$4,Aut_BlueMe_Sem_Pedido!$H:$H,DRE!$A257)+SUMIFS(Aut_Ajustes_Manuais!$G:$G,Aut_Ajustes_Manuais!$I:$I,DRE!T$4,Aut_Ajustes_Manuais!$F:$F,"Manutenção de Equipamentos")</f>
        <v>-955.8</v>
      </c>
      <c r="W257" s="241">
        <v>0</v>
      </c>
      <c r="X257" s="27">
        <v>-1285.311809348839</v>
      </c>
      <c r="Y257" s="28">
        <f>SUMIFS(Aut_BlueMe_Sem_Pedido!$J:$J,Aut_BlueMe_Sem_Pedido!$Q:$Q,DRE!W$4,Aut_BlueMe_Sem_Pedido!$H:$H,DRE!$A257)+SUMIFS(Aut_Ajustes_Manuais!$G:$G,Aut_Ajustes_Manuais!$I:$I,DRE!W$4,Aut_Ajustes_Manuais!$F:$F,"Manutenção de Equipamentos")</f>
        <v>0</v>
      </c>
      <c r="Z257" s="241">
        <v>-1296.3</v>
      </c>
      <c r="AA257" s="27">
        <v>-1311.5656801083869</v>
      </c>
      <c r="AB257" s="28">
        <f>SUMIFS(Aut_BlueMe_Sem_Pedido!$J:$J,Aut_BlueMe_Sem_Pedido!$Q:$Q,DRE!Z$4,Aut_BlueMe_Sem_Pedido!$H:$H,DRE!$A257)+SUMIFS(Aut_Ajustes_Manuais!$G:$G,Aut_Ajustes_Manuais!$I:$I,DRE!Z$4,Aut_Ajustes_Manuais!$F:$F,"Manutenção de Equipamentos")</f>
        <v>0</v>
      </c>
      <c r="AC257" s="241">
        <v>-4175.6900000000014</v>
      </c>
      <c r="AD257" s="27">
        <v>-1305.5470657799999</v>
      </c>
      <c r="AE257" s="28">
        <f>SUMIFS(Aut_BlueMe_Sem_Pedido!$J:$J,Aut_BlueMe_Sem_Pedido!$Q:$Q,DRE!AC$4,Aut_BlueMe_Sem_Pedido!$H:$H,DRE!$A257)+SUMIFS(Aut_Ajustes_Manuais!$G:$G,Aut_Ajustes_Manuais!$I:$I,DRE!AC$4,Aut_Ajustes_Manuais!$F:$F,"Manutenção de Equipamentos")</f>
        <v>0</v>
      </c>
      <c r="AF257" s="241">
        <v>-2361</v>
      </c>
      <c r="AG257" s="27">
        <v>-1293.998365209892</v>
      </c>
      <c r="AH257" s="28">
        <f>SUMIFS(Aut_BlueMe_Sem_Pedido!$J:$J,Aut_BlueMe_Sem_Pedido!$Q:$Q,DRE!AF$4,Aut_BlueMe_Sem_Pedido!$H:$H,DRE!$A257)+SUMIFS(Aut_Ajustes_Manuais!$G:$G,Aut_Ajustes_Manuais!$I:$I,DRE!AF$4,Aut_Ajustes_Manuais!$F:$F,"Manutenção de Equipamentos")</f>
        <v>0</v>
      </c>
      <c r="AI257" s="241">
        <v>-1250</v>
      </c>
      <c r="AJ257" s="27">
        <v>-1297.070754653065</v>
      </c>
      <c r="AK257" s="28">
        <f>SUMIFS(Aut_BlueMe_Sem_Pedido!$J:$J,Aut_BlueMe_Sem_Pedido!$Q:$Q,DRE!AI$4,Aut_BlueMe_Sem_Pedido!$H:$H,DRE!$A257)+SUMIFS(Aut_Ajustes_Manuais!$G:$G,Aut_Ajustes_Manuais!$I:$I,DRE!AI$4,Aut_Ajustes_Manuais!$F:$F,"Manutenção de Equipamentos")</f>
        <v>0</v>
      </c>
      <c r="AL257" s="241">
        <v>-1575</v>
      </c>
      <c r="AM257" s="27">
        <v>-1302.7272628925809</v>
      </c>
      <c r="AN257" s="28">
        <f>SUMIFS(Aut_BlueMe_Sem_Pedido!$J:$J,Aut_BlueMe_Sem_Pedido!$Q:$Q,DRE!AL$4,Aut_BlueMe_Sem_Pedido!$H:$H,DRE!$A257)+SUMIFS(Aut_Ajustes_Manuais!$G:$G,Aut_Ajustes_Manuais!$I:$I,DRE!AL$4,Aut_Ajustes_Manuais!$F:$F,"Manutenção de Equipamentos")</f>
        <v>0</v>
      </c>
      <c r="AO257" s="241">
        <v>0</v>
      </c>
      <c r="AP257" s="27">
        <v>-1331.193904401669</v>
      </c>
      <c r="AQ257" s="28">
        <f>SUMIFS(Aut_BlueMe_Sem_Pedido!$J:$J,Aut_BlueMe_Sem_Pedido!$Q:$Q,DRE!AO$4,Aut_BlueMe_Sem_Pedido!$H:$H,DRE!$A257)+SUMIFS(Aut_Ajustes_Manuais!$G:$G,Aut_Ajustes_Manuais!$I:$I,DRE!AO$4,Aut_Ajustes_Manuais!$F:$F,"Manutenção de Equipamentos")</f>
        <v>0</v>
      </c>
      <c r="AR257" s="241">
        <f t="shared" ca="1" si="230"/>
        <v>-2513.0500000000002</v>
      </c>
      <c r="AS257" s="27">
        <f t="shared" ca="1" si="231"/>
        <v>-7715.6263875545255</v>
      </c>
      <c r="AT257" s="28">
        <f t="shared" ca="1" si="232"/>
        <v>-2767.6</v>
      </c>
      <c r="AU257" s="241">
        <f t="shared" si="233"/>
        <v>-13171.04</v>
      </c>
      <c r="AV257" s="27">
        <f t="shared" si="233"/>
        <v>-15557.729420600119</v>
      </c>
      <c r="AW257" s="28">
        <f t="shared" si="233"/>
        <v>-2767.6</v>
      </c>
      <c r="AX257" s="241">
        <f t="shared" si="234"/>
        <v>0</v>
      </c>
      <c r="AY257" s="27">
        <f t="shared" si="234"/>
        <v>-3845.8486395542677</v>
      </c>
      <c r="AZ257" s="28">
        <f t="shared" si="234"/>
        <v>-1741.8</v>
      </c>
      <c r="BA257" s="241">
        <f t="shared" si="235"/>
        <v>-2513.0500000000002</v>
      </c>
      <c r="BB257" s="27">
        <f t="shared" si="235"/>
        <v>-3869.7777480002578</v>
      </c>
      <c r="BC257" s="28">
        <f t="shared" si="235"/>
        <v>-1025.8</v>
      </c>
      <c r="BD257" s="241">
        <f t="shared" si="236"/>
        <v>-7832.9900000000016</v>
      </c>
      <c r="BE257" s="27">
        <f t="shared" si="236"/>
        <v>-3911.1111110982783</v>
      </c>
      <c r="BF257" s="28">
        <f t="shared" si="236"/>
        <v>0</v>
      </c>
      <c r="BG257" s="241">
        <f t="shared" si="237"/>
        <v>-2825</v>
      </c>
      <c r="BH257" s="27">
        <f t="shared" si="237"/>
        <v>-3930.9919219473149</v>
      </c>
      <c r="BI257" s="28">
        <f t="shared" si="237"/>
        <v>0</v>
      </c>
    </row>
    <row r="258" spans="1:61" s="29" customFormat="1" hidden="1" outlineLevel="1" x14ac:dyDescent="0.3">
      <c r="A258" s="22" t="s">
        <v>290</v>
      </c>
      <c r="B258" s="23"/>
      <c r="C258" s="24" t="s">
        <v>60</v>
      </c>
      <c r="D258" s="121"/>
      <c r="E258" s="114"/>
      <c r="F258" s="56"/>
      <c r="G258" s="33"/>
      <c r="H258" s="241">
        <v>0</v>
      </c>
      <c r="I258" s="27">
        <v>-1070.5850719241289</v>
      </c>
      <c r="J258" s="28">
        <f>SUMIFS(Aut_BlueMe_Sem_Pedido!$J:$J,Aut_BlueMe_Sem_Pedido!$Q:$Q,DRE!H$4,Aut_BlueMe_Sem_Pedido!$H:$H,DRE!$A258)+SUMIFS(Aut_Ajustes_Manuais!$G:$G,Aut_Ajustes_Manuais!$I:$I,DRE!H$4,Aut_Ajustes_Manuais!$F:$F,"Manutenção de Mobiliário")</f>
        <v>0</v>
      </c>
      <c r="K258" s="241">
        <v>0</v>
      </c>
      <c r="L258" s="27">
        <v>-1077.379594691429</v>
      </c>
      <c r="M258" s="28">
        <f>SUMIFS(Aut_BlueMe_Sem_Pedido!$J:$J,Aut_BlueMe_Sem_Pedido!$Q:$Q,DRE!K$4,Aut_BlueMe_Sem_Pedido!$H:$H,DRE!$A258)+SUMIFS(Aut_Ajustes_Manuais!$G:$G,Aut_Ajustes_Manuais!$I:$I,DRE!K$4,Aut_Ajustes_Manuais!$F:$F,"Manutenção de Mobiliário")</f>
        <v>0</v>
      </c>
      <c r="N258" s="241">
        <v>0</v>
      </c>
      <c r="O258" s="27">
        <v>-1097.88397293871</v>
      </c>
      <c r="P258" s="28">
        <f>SUMIFS(Aut_BlueMe_Sem_Pedido!$J:$J,Aut_BlueMe_Sem_Pedido!$Q:$Q,DRE!N$4,Aut_BlueMe_Sem_Pedido!$H:$H,DRE!$A258)+SUMIFS(Aut_Ajustes_Manuais!$G:$G,Aut_Ajustes_Manuais!$I:$I,DRE!N$4,Aut_Ajustes_Manuais!$F:$F,"Manutenção de Mobiliário")</f>
        <v>0</v>
      </c>
      <c r="Q258" s="241">
        <v>0</v>
      </c>
      <c r="R258" s="27">
        <v>-1092.688971414</v>
      </c>
      <c r="S258" s="28">
        <f>SUMIFS(Aut_BlueMe_Sem_Pedido!$J:$J,Aut_BlueMe_Sem_Pedido!$Q:$Q,DRE!Q$4,Aut_BlueMe_Sem_Pedido!$H:$H,DRE!$A258)+SUMIFS(Aut_Ajustes_Manuais!$G:$G,Aut_Ajustes_Manuais!$I:$I,DRE!Q$4,Aut_Ajustes_Manuais!$F:$F,"Manutenção de Mobiliário")</f>
        <v>0</v>
      </c>
      <c r="T258" s="241">
        <v>0</v>
      </c>
      <c r="U258" s="27">
        <v>-1091.7769672374191</v>
      </c>
      <c r="V258" s="28">
        <f>SUMIFS(Aut_BlueMe_Sem_Pedido!$J:$J,Aut_BlueMe_Sem_Pedido!$Q:$Q,DRE!T$4,Aut_BlueMe_Sem_Pedido!$H:$H,DRE!$A258)+SUMIFS(Aut_Ajustes_Manuais!$G:$G,Aut_Ajustes_Manuais!$I:$I,DRE!T$4,Aut_Ajustes_Manuais!$F:$F,"Manutenção de Mobiliário")</f>
        <v>0</v>
      </c>
      <c r="W258" s="241">
        <v>0</v>
      </c>
      <c r="X258" s="27">
        <v>-1085.311809348839</v>
      </c>
      <c r="Y258" s="28">
        <f>SUMIFS(Aut_BlueMe_Sem_Pedido!$J:$J,Aut_BlueMe_Sem_Pedido!$Q:$Q,DRE!W$4,Aut_BlueMe_Sem_Pedido!$H:$H,DRE!$A258)+SUMIFS(Aut_Ajustes_Manuais!$G:$G,Aut_Ajustes_Manuais!$I:$I,DRE!W$4,Aut_Ajustes_Manuais!$F:$F,"Manutenção de Mobiliário")</f>
        <v>0</v>
      </c>
      <c r="Z258" s="241">
        <v>0</v>
      </c>
      <c r="AA258" s="27">
        <v>-1111.5656801083869</v>
      </c>
      <c r="AB258" s="28">
        <f>SUMIFS(Aut_BlueMe_Sem_Pedido!$J:$J,Aut_BlueMe_Sem_Pedido!$Q:$Q,DRE!Z$4,Aut_BlueMe_Sem_Pedido!$H:$H,DRE!$A258)+SUMIFS(Aut_Ajustes_Manuais!$G:$G,Aut_Ajustes_Manuais!$I:$I,DRE!Z$4,Aut_Ajustes_Manuais!$F:$F,"Manutenção de Mobiliário")</f>
        <v>0</v>
      </c>
      <c r="AC258" s="241">
        <v>0</v>
      </c>
      <c r="AD258" s="27">
        <v>-1105.5470657799999</v>
      </c>
      <c r="AE258" s="28">
        <f>SUMIFS(Aut_BlueMe_Sem_Pedido!$J:$J,Aut_BlueMe_Sem_Pedido!$Q:$Q,DRE!AC$4,Aut_BlueMe_Sem_Pedido!$H:$H,DRE!$A258)+SUMIFS(Aut_Ajustes_Manuais!$G:$G,Aut_Ajustes_Manuais!$I:$I,DRE!AC$4,Aut_Ajustes_Manuais!$F:$F,"Manutenção de Mobiliário")</f>
        <v>0</v>
      </c>
      <c r="AF258" s="241">
        <v>0</v>
      </c>
      <c r="AG258" s="27">
        <v>-1093.998365209892</v>
      </c>
      <c r="AH258" s="28">
        <f>SUMIFS(Aut_BlueMe_Sem_Pedido!$J:$J,Aut_BlueMe_Sem_Pedido!$Q:$Q,DRE!AF$4,Aut_BlueMe_Sem_Pedido!$H:$H,DRE!$A258)+SUMIFS(Aut_Ajustes_Manuais!$G:$G,Aut_Ajustes_Manuais!$I:$I,DRE!AF$4,Aut_Ajustes_Manuais!$F:$F,"Manutenção de Mobiliário")</f>
        <v>0</v>
      </c>
      <c r="AI258" s="241">
        <v>0</v>
      </c>
      <c r="AJ258" s="27">
        <v>-1097.070754653065</v>
      </c>
      <c r="AK258" s="28">
        <f>SUMIFS(Aut_BlueMe_Sem_Pedido!$J:$J,Aut_BlueMe_Sem_Pedido!$Q:$Q,DRE!AI$4,Aut_BlueMe_Sem_Pedido!$H:$H,DRE!$A258)+SUMIFS(Aut_Ajustes_Manuais!$G:$G,Aut_Ajustes_Manuais!$I:$I,DRE!AI$4,Aut_Ajustes_Manuais!$F:$F,"Manutenção de Mobiliário")</f>
        <v>0</v>
      </c>
      <c r="AL258" s="241">
        <v>0</v>
      </c>
      <c r="AM258" s="27">
        <v>-1102.7272628925809</v>
      </c>
      <c r="AN258" s="28">
        <f>SUMIFS(Aut_BlueMe_Sem_Pedido!$J:$J,Aut_BlueMe_Sem_Pedido!$Q:$Q,DRE!AL$4,Aut_BlueMe_Sem_Pedido!$H:$H,DRE!$A258)+SUMIFS(Aut_Ajustes_Manuais!$G:$G,Aut_Ajustes_Manuais!$I:$I,DRE!AL$4,Aut_Ajustes_Manuais!$F:$F,"Manutenção de Mobiliário")</f>
        <v>0</v>
      </c>
      <c r="AO258" s="241">
        <v>0</v>
      </c>
      <c r="AP258" s="27">
        <v>-1131.193904401669</v>
      </c>
      <c r="AQ258" s="28">
        <f>SUMIFS(Aut_BlueMe_Sem_Pedido!$J:$J,Aut_BlueMe_Sem_Pedido!$Q:$Q,DRE!AO$4,Aut_BlueMe_Sem_Pedido!$H:$H,DRE!$A258)+SUMIFS(Aut_Ajustes_Manuais!$G:$G,Aut_Ajustes_Manuais!$I:$I,DRE!AO$4,Aut_Ajustes_Manuais!$F:$F,"Manutenção de Mobiliário")</f>
        <v>0</v>
      </c>
      <c r="AR258" s="241">
        <f t="shared" ca="1" si="230"/>
        <v>0</v>
      </c>
      <c r="AS258" s="27">
        <f t="shared" ca="1" si="231"/>
        <v>-6515.6263875545255</v>
      </c>
      <c r="AT258" s="28">
        <f t="shared" ca="1" si="232"/>
        <v>0</v>
      </c>
      <c r="AU258" s="241">
        <f t="shared" si="233"/>
        <v>0</v>
      </c>
      <c r="AV258" s="27">
        <f t="shared" si="233"/>
        <v>-13157.729420600119</v>
      </c>
      <c r="AW258" s="28">
        <f t="shared" si="233"/>
        <v>0</v>
      </c>
      <c r="AX258" s="241">
        <f t="shared" si="234"/>
        <v>0</v>
      </c>
      <c r="AY258" s="27">
        <f t="shared" si="234"/>
        <v>-3245.8486395542677</v>
      </c>
      <c r="AZ258" s="28">
        <f t="shared" si="234"/>
        <v>0</v>
      </c>
      <c r="BA258" s="241">
        <f t="shared" si="235"/>
        <v>0</v>
      </c>
      <c r="BB258" s="27">
        <f t="shared" si="235"/>
        <v>-3269.7777480002578</v>
      </c>
      <c r="BC258" s="28">
        <f t="shared" si="235"/>
        <v>0</v>
      </c>
      <c r="BD258" s="241">
        <f t="shared" si="236"/>
        <v>0</v>
      </c>
      <c r="BE258" s="27">
        <f t="shared" si="236"/>
        <v>-3311.1111110982783</v>
      </c>
      <c r="BF258" s="28">
        <f t="shared" si="236"/>
        <v>0</v>
      </c>
      <c r="BG258" s="241">
        <f t="shared" si="237"/>
        <v>0</v>
      </c>
      <c r="BH258" s="27">
        <f t="shared" si="237"/>
        <v>-3330.9919219473149</v>
      </c>
      <c r="BI258" s="28">
        <f t="shared" si="237"/>
        <v>0</v>
      </c>
    </row>
    <row r="259" spans="1:61" s="29" customFormat="1" hidden="1" outlineLevel="1" x14ac:dyDescent="0.3">
      <c r="A259" s="22" t="s">
        <v>291</v>
      </c>
      <c r="B259" s="23"/>
      <c r="C259" s="24" t="s">
        <v>60</v>
      </c>
      <c r="D259" s="121"/>
      <c r="E259" s="114">
        <v>-1.5E-3</v>
      </c>
      <c r="F259" s="56"/>
      <c r="G259" s="33"/>
      <c r="H259" s="241">
        <v>-1968.27</v>
      </c>
      <c r="I259" s="27">
        <v>-370.58507192412901</v>
      </c>
      <c r="J259" s="28">
        <f>SUMIFS(Aut_BlueMe_Sem_Pedido!$J:$J,Aut_BlueMe_Sem_Pedido!$Q:$Q,DRE!H$4,Aut_BlueMe_Sem_Pedido!$H:$H,DRE!$A259)+SUMIFS(Aut_Ajustes_Manuais!$G:$G,Aut_Ajustes_Manuais!$I:$I,DRE!H$4,Aut_Ajustes_Manuais!$F:$F,"Material de Manutenção")</f>
        <v>-683.52</v>
      </c>
      <c r="K259" s="241">
        <v>-391.52</v>
      </c>
      <c r="L259" s="27">
        <v>-377.37959469142862</v>
      </c>
      <c r="M259" s="28">
        <f>SUMIFS(Aut_BlueMe_Sem_Pedido!$J:$J,Aut_BlueMe_Sem_Pedido!$Q:$Q,DRE!K$4,Aut_BlueMe_Sem_Pedido!$H:$H,DRE!$A259)+SUMIFS(Aut_Ajustes_Manuais!$G:$G,Aut_Ajustes_Manuais!$I:$I,DRE!K$4,Aut_Ajustes_Manuais!$F:$F,"Material de Manutenção")</f>
        <v>-232.43</v>
      </c>
      <c r="N259" s="241">
        <v>-3641.27</v>
      </c>
      <c r="O259" s="27">
        <v>-397.88397293870969</v>
      </c>
      <c r="P259" s="28">
        <f>SUMIFS(Aut_BlueMe_Sem_Pedido!$J:$J,Aut_BlueMe_Sem_Pedido!$Q:$Q,DRE!N$4,Aut_BlueMe_Sem_Pedido!$H:$H,DRE!$A259)+SUMIFS(Aut_Ajustes_Manuais!$G:$G,Aut_Ajustes_Manuais!$I:$I,DRE!N$4,Aut_Ajustes_Manuais!$F:$F,"Material de Manutenção")</f>
        <v>-853.31999999999994</v>
      </c>
      <c r="Q259" s="241">
        <v>-3299.8</v>
      </c>
      <c r="R259" s="27">
        <v>-392.68897141399998</v>
      </c>
      <c r="S259" s="28">
        <f>SUMIFS(Aut_BlueMe_Sem_Pedido!$J:$J,Aut_BlueMe_Sem_Pedido!$Q:$Q,DRE!Q$4,Aut_BlueMe_Sem_Pedido!$H:$H,DRE!$A259)+SUMIFS(Aut_Ajustes_Manuais!$G:$G,Aut_Ajustes_Manuais!$I:$I,DRE!Q$4,Aut_Ajustes_Manuais!$F:$F,"Material de Manutenção")</f>
        <v>-1060.7</v>
      </c>
      <c r="T259" s="241">
        <v>-439.53</v>
      </c>
      <c r="U259" s="27">
        <v>-391.77696723741929</v>
      </c>
      <c r="V259" s="28">
        <f>SUMIFS(Aut_BlueMe_Sem_Pedido!$J:$J,Aut_BlueMe_Sem_Pedido!$Q:$Q,DRE!T$4,Aut_BlueMe_Sem_Pedido!$H:$H,DRE!$A259)+SUMIFS(Aut_Ajustes_Manuais!$G:$G,Aut_Ajustes_Manuais!$I:$I,DRE!T$4,Aut_Ajustes_Manuais!$F:$F,"Material de Manutenção")</f>
        <v>-331.86</v>
      </c>
      <c r="W259" s="241">
        <v>-206.79</v>
      </c>
      <c r="X259" s="27">
        <v>-385.31180934883872</v>
      </c>
      <c r="Y259" s="28">
        <f>SUMIFS(Aut_BlueMe_Sem_Pedido!$J:$J,Aut_BlueMe_Sem_Pedido!$Q:$Q,DRE!W$4,Aut_BlueMe_Sem_Pedido!$H:$H,DRE!$A259)+SUMIFS(Aut_Ajustes_Manuais!$G:$G,Aut_Ajustes_Manuais!$I:$I,DRE!W$4,Aut_Ajustes_Manuais!$F:$F,"Material de Manutenção")</f>
        <v>-1166.5899999999999</v>
      </c>
      <c r="Z259" s="241">
        <v>-35.54</v>
      </c>
      <c r="AA259" s="27">
        <v>-411.56568010838703</v>
      </c>
      <c r="AB259" s="28">
        <f>SUMIFS(Aut_BlueMe_Sem_Pedido!$J:$J,Aut_BlueMe_Sem_Pedido!$Q:$Q,DRE!Z$4,Aut_BlueMe_Sem_Pedido!$H:$H,DRE!$A259)+SUMIFS(Aut_Ajustes_Manuais!$G:$G,Aut_Ajustes_Manuais!$I:$I,DRE!Z$4,Aut_Ajustes_Manuais!$F:$F,"Material de Manutenção")</f>
        <v>0</v>
      </c>
      <c r="AC259" s="241">
        <v>-541.99</v>
      </c>
      <c r="AD259" s="27">
        <v>-405.54706578000003</v>
      </c>
      <c r="AE259" s="28">
        <f>SUMIFS(Aut_BlueMe_Sem_Pedido!$J:$J,Aut_BlueMe_Sem_Pedido!$Q:$Q,DRE!AC$4,Aut_BlueMe_Sem_Pedido!$H:$H,DRE!$A259)+SUMIFS(Aut_Ajustes_Manuais!$G:$G,Aut_Ajustes_Manuais!$I:$I,DRE!AC$4,Aut_Ajustes_Manuais!$F:$F,"Material de Manutenção")</f>
        <v>0</v>
      </c>
      <c r="AF259" s="241">
        <v>-1244.6500000000001</v>
      </c>
      <c r="AG259" s="27">
        <v>-393.99836520989243</v>
      </c>
      <c r="AH259" s="28">
        <f>SUMIFS(Aut_BlueMe_Sem_Pedido!$J:$J,Aut_BlueMe_Sem_Pedido!$Q:$Q,DRE!AF$4,Aut_BlueMe_Sem_Pedido!$H:$H,DRE!$A259)+SUMIFS(Aut_Ajustes_Manuais!$G:$G,Aut_Ajustes_Manuais!$I:$I,DRE!AF$4,Aut_Ajustes_Manuais!$F:$F,"Material de Manutenção")</f>
        <v>0</v>
      </c>
      <c r="AI259" s="241">
        <v>-691.21</v>
      </c>
      <c r="AJ259" s="27">
        <v>-397.07075465306451</v>
      </c>
      <c r="AK259" s="28">
        <f>SUMIFS(Aut_BlueMe_Sem_Pedido!$J:$J,Aut_BlueMe_Sem_Pedido!$Q:$Q,DRE!AI$4,Aut_BlueMe_Sem_Pedido!$H:$H,DRE!$A259)+SUMIFS(Aut_Ajustes_Manuais!$G:$G,Aut_Ajustes_Manuais!$I:$I,DRE!AI$4,Aut_Ajustes_Manuais!$F:$F,"Material de Manutenção")</f>
        <v>0</v>
      </c>
      <c r="AL259" s="241">
        <v>-30.26</v>
      </c>
      <c r="AM259" s="27">
        <v>-402.72726289258082</v>
      </c>
      <c r="AN259" s="28">
        <f>SUMIFS(Aut_BlueMe_Sem_Pedido!$J:$J,Aut_BlueMe_Sem_Pedido!$Q:$Q,DRE!AL$4,Aut_BlueMe_Sem_Pedido!$H:$H,DRE!$A259)+SUMIFS(Aut_Ajustes_Manuais!$G:$G,Aut_Ajustes_Manuais!$I:$I,DRE!AL$4,Aut_Ajustes_Manuais!$F:$F,"Material de Manutenção")</f>
        <v>0</v>
      </c>
      <c r="AO259" s="241">
        <v>0</v>
      </c>
      <c r="AP259" s="27">
        <v>-431.19390440166899</v>
      </c>
      <c r="AQ259" s="28">
        <f>SUMIFS(Aut_BlueMe_Sem_Pedido!$J:$J,Aut_BlueMe_Sem_Pedido!$Q:$Q,DRE!AO$4,Aut_BlueMe_Sem_Pedido!$H:$H,DRE!$A259)+SUMIFS(Aut_Ajustes_Manuais!$G:$G,Aut_Ajustes_Manuais!$I:$I,DRE!AO$4,Aut_Ajustes_Manuais!$F:$F,"Material de Manutenção")</f>
        <v>0</v>
      </c>
      <c r="AR259" s="241">
        <f t="shared" ca="1" si="230"/>
        <v>-9947.1800000000021</v>
      </c>
      <c r="AS259" s="27">
        <f t="shared" ca="1" si="231"/>
        <v>-2315.6263875545251</v>
      </c>
      <c r="AT259" s="28">
        <f t="shared" ca="1" si="232"/>
        <v>-4328.42</v>
      </c>
      <c r="AU259" s="241">
        <f t="shared" si="233"/>
        <v>-12490.830000000004</v>
      </c>
      <c r="AV259" s="27">
        <f t="shared" si="233"/>
        <v>-4757.7294206001188</v>
      </c>
      <c r="AW259" s="28">
        <f t="shared" si="233"/>
        <v>-4328.42</v>
      </c>
      <c r="AX259" s="241">
        <f t="shared" si="234"/>
        <v>-6001.0599999999995</v>
      </c>
      <c r="AY259" s="27">
        <f t="shared" si="234"/>
        <v>-1145.8486395542673</v>
      </c>
      <c r="AZ259" s="28">
        <f t="shared" si="234"/>
        <v>-1769.27</v>
      </c>
      <c r="BA259" s="241">
        <f t="shared" si="235"/>
        <v>-3946.12</v>
      </c>
      <c r="BB259" s="27">
        <f t="shared" si="235"/>
        <v>-1169.777748000258</v>
      </c>
      <c r="BC259" s="28">
        <f t="shared" si="235"/>
        <v>-2559.1499999999996</v>
      </c>
      <c r="BD259" s="241">
        <f t="shared" si="236"/>
        <v>-1822.18</v>
      </c>
      <c r="BE259" s="27">
        <f t="shared" si="236"/>
        <v>-1211.1111110982795</v>
      </c>
      <c r="BF259" s="28">
        <f t="shared" si="236"/>
        <v>0</v>
      </c>
      <c r="BG259" s="241">
        <f t="shared" si="237"/>
        <v>-721.47</v>
      </c>
      <c r="BH259" s="27">
        <f t="shared" si="237"/>
        <v>-1230.9919219473143</v>
      </c>
      <c r="BI259" s="28">
        <f t="shared" si="237"/>
        <v>0</v>
      </c>
    </row>
    <row r="260" spans="1:61" s="29" customFormat="1" hidden="1" outlineLevel="1" x14ac:dyDescent="0.3">
      <c r="A260" s="22" t="s">
        <v>292</v>
      </c>
      <c r="B260" s="23"/>
      <c r="C260" s="24" t="s">
        <v>60</v>
      </c>
      <c r="D260" s="121"/>
      <c r="E260" s="114">
        <v>-2.7000000000000001E-3</v>
      </c>
      <c r="F260" s="56"/>
      <c r="G260" s="33"/>
      <c r="H260" s="241">
        <v>0</v>
      </c>
      <c r="I260" s="27">
        <v>0</v>
      </c>
      <c r="J260" s="28">
        <f>SUMIFS(Aut_BlueMe_Sem_Pedido!$J:$J,Aut_BlueMe_Sem_Pedido!$Q:$Q,DRE!H$4,Aut_BlueMe_Sem_Pedido!$H:$H,DRE!$A260)+SUMIFS(Aut_Ajustes_Manuais!$G:$G,Aut_Ajustes_Manuais!$I:$I,DRE!H$4,Aut_Ajustes_Manuais!$F:$F,"Decoração/Paisagismo e Jardinagem")</f>
        <v>0</v>
      </c>
      <c r="K260" s="241">
        <v>-111</v>
      </c>
      <c r="L260" s="27">
        <v>0</v>
      </c>
      <c r="M260" s="28">
        <f>SUMIFS(Aut_BlueMe_Sem_Pedido!$J:$J,Aut_BlueMe_Sem_Pedido!$Q:$Q,DRE!K$4,Aut_BlueMe_Sem_Pedido!$H:$H,DRE!$A260)+SUMIFS(Aut_Ajustes_Manuais!$G:$G,Aut_Ajustes_Manuais!$I:$I,DRE!K$4,Aut_Ajustes_Manuais!$F:$F,"Decoração/Paisagismo e Jardinagem")</f>
        <v>0</v>
      </c>
      <c r="N260" s="241">
        <v>0</v>
      </c>
      <c r="O260" s="27">
        <v>0</v>
      </c>
      <c r="P260" s="28">
        <f>SUMIFS(Aut_BlueMe_Sem_Pedido!$J:$J,Aut_BlueMe_Sem_Pedido!$Q:$Q,DRE!N$4,Aut_BlueMe_Sem_Pedido!$H:$H,DRE!$A260)+SUMIFS(Aut_Ajustes_Manuais!$G:$G,Aut_Ajustes_Manuais!$I:$I,DRE!N$4,Aut_Ajustes_Manuais!$F:$F,"Decoração/Paisagismo e Jardinagem")</f>
        <v>0</v>
      </c>
      <c r="Q260" s="241">
        <v>0</v>
      </c>
      <c r="R260" s="27">
        <v>0</v>
      </c>
      <c r="S260" s="28">
        <f>SUMIFS(Aut_BlueMe_Sem_Pedido!$J:$J,Aut_BlueMe_Sem_Pedido!$Q:$Q,DRE!Q$4,Aut_BlueMe_Sem_Pedido!$H:$H,DRE!$A260)+SUMIFS(Aut_Ajustes_Manuais!$G:$G,Aut_Ajustes_Manuais!$I:$I,DRE!Q$4,Aut_Ajustes_Manuais!$F:$F,"Decoração/Paisagismo e Jardinagem")</f>
        <v>0</v>
      </c>
      <c r="T260" s="241">
        <v>0</v>
      </c>
      <c r="U260" s="27">
        <v>0</v>
      </c>
      <c r="V260" s="28">
        <f>SUMIFS(Aut_BlueMe_Sem_Pedido!$J:$J,Aut_BlueMe_Sem_Pedido!$Q:$Q,DRE!T$4,Aut_BlueMe_Sem_Pedido!$H:$H,DRE!$A260)+SUMIFS(Aut_Ajustes_Manuais!$G:$G,Aut_Ajustes_Manuais!$I:$I,DRE!T$4,Aut_Ajustes_Manuais!$F:$F,"Decoração/Paisagismo e Jardinagem")</f>
        <v>0</v>
      </c>
      <c r="W260" s="241">
        <v>0</v>
      </c>
      <c r="X260" s="27">
        <v>0</v>
      </c>
      <c r="Y260" s="28">
        <f>SUMIFS(Aut_BlueMe_Sem_Pedido!$J:$J,Aut_BlueMe_Sem_Pedido!$Q:$Q,DRE!W$4,Aut_BlueMe_Sem_Pedido!$H:$H,DRE!$A260)+SUMIFS(Aut_Ajustes_Manuais!$G:$G,Aut_Ajustes_Manuais!$I:$I,DRE!W$4,Aut_Ajustes_Manuais!$F:$F,"Decoração/Paisagismo e Jardinagem")</f>
        <v>0</v>
      </c>
      <c r="Z260" s="241">
        <v>0</v>
      </c>
      <c r="AA260" s="27">
        <v>0</v>
      </c>
      <c r="AB260" s="28">
        <f>SUMIFS(Aut_BlueMe_Sem_Pedido!$J:$J,Aut_BlueMe_Sem_Pedido!$Q:$Q,DRE!Z$4,Aut_BlueMe_Sem_Pedido!$H:$H,DRE!$A260)+SUMIFS(Aut_Ajustes_Manuais!$G:$G,Aut_Ajustes_Manuais!$I:$I,DRE!Z$4,Aut_Ajustes_Manuais!$F:$F,"Decoração/Paisagismo e Jardinagem")</f>
        <v>0</v>
      </c>
      <c r="AC260" s="241">
        <v>0</v>
      </c>
      <c r="AD260" s="27">
        <v>0</v>
      </c>
      <c r="AE260" s="28">
        <f>SUMIFS(Aut_BlueMe_Sem_Pedido!$J:$J,Aut_BlueMe_Sem_Pedido!$Q:$Q,DRE!AC$4,Aut_BlueMe_Sem_Pedido!$H:$H,DRE!$A260)+SUMIFS(Aut_Ajustes_Manuais!$G:$G,Aut_Ajustes_Manuais!$I:$I,DRE!AC$4,Aut_Ajustes_Manuais!$F:$F,"Decoração/Paisagismo e Jardinagem")</f>
        <v>0</v>
      </c>
      <c r="AF260" s="241">
        <v>0</v>
      </c>
      <c r="AG260" s="27">
        <v>0</v>
      </c>
      <c r="AH260" s="28">
        <f>SUMIFS(Aut_BlueMe_Sem_Pedido!$J:$J,Aut_BlueMe_Sem_Pedido!$Q:$Q,DRE!AF$4,Aut_BlueMe_Sem_Pedido!$H:$H,DRE!$A260)+SUMIFS(Aut_Ajustes_Manuais!$G:$G,Aut_Ajustes_Manuais!$I:$I,DRE!AF$4,Aut_Ajustes_Manuais!$F:$F,"Decoração/Paisagismo e Jardinagem")</f>
        <v>0</v>
      </c>
      <c r="AI260" s="241">
        <v>0</v>
      </c>
      <c r="AJ260" s="27">
        <v>0</v>
      </c>
      <c r="AK260" s="28">
        <f>SUMIFS(Aut_BlueMe_Sem_Pedido!$J:$J,Aut_BlueMe_Sem_Pedido!$Q:$Q,DRE!AI$4,Aut_BlueMe_Sem_Pedido!$H:$H,DRE!$A260)+SUMIFS(Aut_Ajustes_Manuais!$G:$G,Aut_Ajustes_Manuais!$I:$I,DRE!AI$4,Aut_Ajustes_Manuais!$F:$F,"Decoração/Paisagismo e Jardinagem")</f>
        <v>0</v>
      </c>
      <c r="AL260" s="241">
        <v>-813.76</v>
      </c>
      <c r="AM260" s="27">
        <v>0</v>
      </c>
      <c r="AN260" s="28">
        <f>SUMIFS(Aut_BlueMe_Sem_Pedido!$J:$J,Aut_BlueMe_Sem_Pedido!$Q:$Q,DRE!AL$4,Aut_BlueMe_Sem_Pedido!$H:$H,DRE!$A260)+SUMIFS(Aut_Ajustes_Manuais!$G:$G,Aut_Ajustes_Manuais!$I:$I,DRE!AL$4,Aut_Ajustes_Manuais!$F:$F,"Decoração/Paisagismo e Jardinagem")</f>
        <v>0</v>
      </c>
      <c r="AO260" s="241">
        <v>0</v>
      </c>
      <c r="AP260" s="27">
        <v>0</v>
      </c>
      <c r="AQ260" s="28">
        <f>SUMIFS(Aut_BlueMe_Sem_Pedido!$J:$J,Aut_BlueMe_Sem_Pedido!$Q:$Q,DRE!AO$4,Aut_BlueMe_Sem_Pedido!$H:$H,DRE!$A260)+SUMIFS(Aut_Ajustes_Manuais!$G:$G,Aut_Ajustes_Manuais!$I:$I,DRE!AO$4,Aut_Ajustes_Manuais!$F:$F,"Decoração/Paisagismo e Jardinagem")</f>
        <v>0</v>
      </c>
      <c r="AR260" s="241">
        <f t="shared" ca="1" si="230"/>
        <v>-111</v>
      </c>
      <c r="AS260" s="27">
        <f t="shared" ca="1" si="231"/>
        <v>0</v>
      </c>
      <c r="AT260" s="28">
        <f t="shared" ca="1" si="232"/>
        <v>0</v>
      </c>
      <c r="AU260" s="241">
        <f t="shared" si="233"/>
        <v>-924.76</v>
      </c>
      <c r="AV260" s="27">
        <f t="shared" si="233"/>
        <v>0</v>
      </c>
      <c r="AW260" s="28">
        <f t="shared" si="233"/>
        <v>0</v>
      </c>
      <c r="AX260" s="241">
        <f t="shared" si="234"/>
        <v>-111</v>
      </c>
      <c r="AY260" s="27">
        <f t="shared" si="234"/>
        <v>0</v>
      </c>
      <c r="AZ260" s="28">
        <f t="shared" si="234"/>
        <v>0</v>
      </c>
      <c r="BA260" s="241">
        <f t="shared" si="235"/>
        <v>0</v>
      </c>
      <c r="BB260" s="27">
        <f t="shared" si="235"/>
        <v>0</v>
      </c>
      <c r="BC260" s="28">
        <f t="shared" si="235"/>
        <v>0</v>
      </c>
      <c r="BD260" s="241">
        <f t="shared" si="236"/>
        <v>0</v>
      </c>
      <c r="BE260" s="27">
        <f t="shared" si="236"/>
        <v>0</v>
      </c>
      <c r="BF260" s="28">
        <f t="shared" si="236"/>
        <v>0</v>
      </c>
      <c r="BG260" s="241">
        <f t="shared" si="237"/>
        <v>-813.76</v>
      </c>
      <c r="BH260" s="27">
        <f t="shared" si="237"/>
        <v>0</v>
      </c>
      <c r="BI260" s="28">
        <f t="shared" si="237"/>
        <v>0</v>
      </c>
    </row>
    <row r="261" spans="1:61" s="29" customFormat="1" hidden="1" outlineLevel="1" x14ac:dyDescent="0.3">
      <c r="A261" s="22" t="s">
        <v>293</v>
      </c>
      <c r="B261" s="23"/>
      <c r="C261" s="24" t="s">
        <v>60</v>
      </c>
      <c r="D261" s="121"/>
      <c r="E261" s="114">
        <v>-2.0000000000000001E-4</v>
      </c>
      <c r="F261" s="56"/>
      <c r="G261" s="33"/>
      <c r="H261" s="241">
        <v>-533.42999999999995</v>
      </c>
      <c r="I261" s="27">
        <v>-570.58507192412901</v>
      </c>
      <c r="J261" s="28">
        <f>SUMIFS(Aut_BlueMe_Sem_Pedido!$J:$J,Aut_BlueMe_Sem_Pedido!$Q:$Q,DRE!H$4,Aut_BlueMe_Sem_Pedido!$H:$H,DRE!$A261)+SUMIFS(Aut_Ajustes_Manuais!$G:$G,Aut_Ajustes_Manuais!$I:$I,DRE!H$4,Aut_Ajustes_Manuais!$F:$F,"Fretes e Carretos")</f>
        <v>-51.73</v>
      </c>
      <c r="K261" s="241">
        <v>0</v>
      </c>
      <c r="L261" s="27">
        <v>-577.37959469142857</v>
      </c>
      <c r="M261" s="28">
        <f>SUMIFS(Aut_BlueMe_Sem_Pedido!$J:$J,Aut_BlueMe_Sem_Pedido!$Q:$Q,DRE!K$4,Aut_BlueMe_Sem_Pedido!$H:$H,DRE!$A261)+SUMIFS(Aut_Ajustes_Manuais!$G:$G,Aut_Ajustes_Manuais!$I:$I,DRE!K$4,Aut_Ajustes_Manuais!$F:$F,"Fretes e Carretos")</f>
        <v>-135.44999999999999</v>
      </c>
      <c r="N261" s="241">
        <v>-793.07</v>
      </c>
      <c r="O261" s="27">
        <v>-597.88397293870969</v>
      </c>
      <c r="P261" s="28">
        <f>SUMIFS(Aut_BlueMe_Sem_Pedido!$J:$J,Aut_BlueMe_Sem_Pedido!$Q:$Q,DRE!N$4,Aut_BlueMe_Sem_Pedido!$H:$H,DRE!$A261)+SUMIFS(Aut_Ajustes_Manuais!$G:$G,Aut_Ajustes_Manuais!$I:$I,DRE!N$4,Aut_Ajustes_Manuais!$F:$F,"Fretes e Carretos")</f>
        <v>-348.99</v>
      </c>
      <c r="Q261" s="241">
        <v>-1361.9</v>
      </c>
      <c r="R261" s="27">
        <v>-592.68897141399998</v>
      </c>
      <c r="S261" s="28">
        <f>SUMIFS(Aut_BlueMe_Sem_Pedido!$J:$J,Aut_BlueMe_Sem_Pedido!$Q:$Q,DRE!Q$4,Aut_BlueMe_Sem_Pedido!$H:$H,DRE!$A261)+SUMIFS(Aut_Ajustes_Manuais!$G:$G,Aut_Ajustes_Manuais!$I:$I,DRE!Q$4,Aut_Ajustes_Manuais!$F:$F,"Fretes e Carretos")</f>
        <v>-387.17</v>
      </c>
      <c r="T261" s="241">
        <v>-780.2</v>
      </c>
      <c r="U261" s="27">
        <v>-591.77696723741929</v>
      </c>
      <c r="V261" s="28">
        <f>SUMIFS(Aut_BlueMe_Sem_Pedido!$J:$J,Aut_BlueMe_Sem_Pedido!$Q:$Q,DRE!T$4,Aut_BlueMe_Sem_Pedido!$H:$H,DRE!$A261)+SUMIFS(Aut_Ajustes_Manuais!$G:$G,Aut_Ajustes_Manuais!$I:$I,DRE!T$4,Aut_Ajustes_Manuais!$F:$F,"Fretes e Carretos")</f>
        <v>-135</v>
      </c>
      <c r="W261" s="241">
        <v>-654.36</v>
      </c>
      <c r="X261" s="27">
        <v>-585.31180934883866</v>
      </c>
      <c r="Y261" s="28">
        <f>SUMIFS(Aut_BlueMe_Sem_Pedido!$J:$J,Aut_BlueMe_Sem_Pedido!$Q:$Q,DRE!W$4,Aut_BlueMe_Sem_Pedido!$H:$H,DRE!$A261)+SUMIFS(Aut_Ajustes_Manuais!$G:$G,Aut_Ajustes_Manuais!$I:$I,DRE!W$4,Aut_Ajustes_Manuais!$F:$F,"Fretes e Carretos")</f>
        <v>-265.27999999999997</v>
      </c>
      <c r="Z261" s="241">
        <v>0</v>
      </c>
      <c r="AA261" s="27">
        <v>-611.56568010838703</v>
      </c>
      <c r="AB261" s="28">
        <f>SUMIFS(Aut_BlueMe_Sem_Pedido!$J:$J,Aut_BlueMe_Sem_Pedido!$Q:$Q,DRE!Z$4,Aut_BlueMe_Sem_Pedido!$H:$H,DRE!$A261)+SUMIFS(Aut_Ajustes_Manuais!$G:$G,Aut_Ajustes_Manuais!$I:$I,DRE!Z$4,Aut_Ajustes_Manuais!$F:$F,"Fretes e Carretos")</f>
        <v>0</v>
      </c>
      <c r="AC261" s="241">
        <v>-334.78</v>
      </c>
      <c r="AD261" s="27">
        <v>-605.54706578000003</v>
      </c>
      <c r="AE261" s="28">
        <f>SUMIFS(Aut_BlueMe_Sem_Pedido!$J:$J,Aut_BlueMe_Sem_Pedido!$Q:$Q,DRE!AC$4,Aut_BlueMe_Sem_Pedido!$H:$H,DRE!$A261)+SUMIFS(Aut_Ajustes_Manuais!$G:$G,Aut_Ajustes_Manuais!$I:$I,DRE!AC$4,Aut_Ajustes_Manuais!$F:$F,"Fretes e Carretos")</f>
        <v>0</v>
      </c>
      <c r="AF261" s="241">
        <v>-319.36</v>
      </c>
      <c r="AG261" s="27">
        <v>-593.99836520989243</v>
      </c>
      <c r="AH261" s="28">
        <f>SUMIFS(Aut_BlueMe_Sem_Pedido!$J:$J,Aut_BlueMe_Sem_Pedido!$Q:$Q,DRE!AF$4,Aut_BlueMe_Sem_Pedido!$H:$H,DRE!$A261)+SUMIFS(Aut_Ajustes_Manuais!$G:$G,Aut_Ajustes_Manuais!$I:$I,DRE!AF$4,Aut_Ajustes_Manuais!$F:$F,"Fretes e Carretos")</f>
        <v>0</v>
      </c>
      <c r="AI261" s="241">
        <v>-500</v>
      </c>
      <c r="AJ261" s="27">
        <v>-597.07075465306445</v>
      </c>
      <c r="AK261" s="28">
        <f>SUMIFS(Aut_BlueMe_Sem_Pedido!$J:$J,Aut_BlueMe_Sem_Pedido!$Q:$Q,DRE!AI$4,Aut_BlueMe_Sem_Pedido!$H:$H,DRE!$A261)+SUMIFS(Aut_Ajustes_Manuais!$G:$G,Aut_Ajustes_Manuais!$I:$I,DRE!AI$4,Aut_Ajustes_Manuais!$F:$F,"Fretes e Carretos")</f>
        <v>0</v>
      </c>
      <c r="AL261" s="241">
        <v>-276.43</v>
      </c>
      <c r="AM261" s="27">
        <v>-602.72726289258082</v>
      </c>
      <c r="AN261" s="28">
        <f>SUMIFS(Aut_BlueMe_Sem_Pedido!$J:$J,Aut_BlueMe_Sem_Pedido!$Q:$Q,DRE!AL$4,Aut_BlueMe_Sem_Pedido!$H:$H,DRE!$A261)+SUMIFS(Aut_Ajustes_Manuais!$G:$G,Aut_Ajustes_Manuais!$I:$I,DRE!AL$4,Aut_Ajustes_Manuais!$F:$F,"Fretes e Carretos")</f>
        <v>0</v>
      </c>
      <c r="AO261" s="241">
        <v>0</v>
      </c>
      <c r="AP261" s="27">
        <v>-631.19390440166899</v>
      </c>
      <c r="AQ261" s="28">
        <f>SUMIFS(Aut_BlueMe_Sem_Pedido!$J:$J,Aut_BlueMe_Sem_Pedido!$Q:$Q,DRE!AO$4,Aut_BlueMe_Sem_Pedido!$H:$H,DRE!$A261)+SUMIFS(Aut_Ajustes_Manuais!$G:$G,Aut_Ajustes_Manuais!$I:$I,DRE!AO$4,Aut_Ajustes_Manuais!$F:$F,"Fretes e Carretos")</f>
        <v>0</v>
      </c>
      <c r="AR261" s="241">
        <f t="shared" ca="1" si="230"/>
        <v>-4122.96</v>
      </c>
      <c r="AS261" s="27">
        <f t="shared" ca="1" si="231"/>
        <v>-3515.6263875545255</v>
      </c>
      <c r="AT261" s="28">
        <f t="shared" ca="1" si="232"/>
        <v>-1323.62</v>
      </c>
      <c r="AU261" s="241">
        <f t="shared" si="233"/>
        <v>-5553.53</v>
      </c>
      <c r="AV261" s="27">
        <f t="shared" si="233"/>
        <v>-7157.7294206001197</v>
      </c>
      <c r="AW261" s="28">
        <f t="shared" si="233"/>
        <v>-1323.62</v>
      </c>
      <c r="AX261" s="241">
        <f t="shared" si="234"/>
        <v>-1326.5</v>
      </c>
      <c r="AY261" s="27">
        <f t="shared" si="234"/>
        <v>-1745.8486395542673</v>
      </c>
      <c r="AZ261" s="28">
        <f t="shared" si="234"/>
        <v>-536.16999999999996</v>
      </c>
      <c r="BA261" s="241">
        <f t="shared" si="235"/>
        <v>-2796.4600000000005</v>
      </c>
      <c r="BB261" s="27">
        <f t="shared" si="235"/>
        <v>-1769.7777480002578</v>
      </c>
      <c r="BC261" s="28">
        <f t="shared" si="235"/>
        <v>-787.45</v>
      </c>
      <c r="BD261" s="241">
        <f t="shared" si="236"/>
        <v>-654.14</v>
      </c>
      <c r="BE261" s="27">
        <f t="shared" si="236"/>
        <v>-1811.1111110982795</v>
      </c>
      <c r="BF261" s="28">
        <f t="shared" si="236"/>
        <v>0</v>
      </c>
      <c r="BG261" s="241">
        <f t="shared" si="237"/>
        <v>-776.43000000000006</v>
      </c>
      <c r="BH261" s="27">
        <f t="shared" si="237"/>
        <v>-1830.9919219473143</v>
      </c>
      <c r="BI261" s="28">
        <f t="shared" si="237"/>
        <v>0</v>
      </c>
    </row>
    <row r="262" spans="1:61" s="29" customFormat="1" hidden="1" outlineLevel="1" x14ac:dyDescent="0.3">
      <c r="A262" s="22" t="s">
        <v>294</v>
      </c>
      <c r="B262" s="23"/>
      <c r="C262" s="24"/>
      <c r="D262" s="121">
        <v>-300</v>
      </c>
      <c r="E262" s="114"/>
      <c r="F262" s="56"/>
      <c r="G262" s="33"/>
      <c r="H262" s="241">
        <v>-222.03</v>
      </c>
      <c r="I262" s="27">
        <v>0</v>
      </c>
      <c r="J262" s="28">
        <f>SUMIFS(Aut_BlueMe_Sem_Pedido!$J:$J,Aut_BlueMe_Sem_Pedido!$Q:$Q,DRE!H$4,Aut_BlueMe_Sem_Pedido!$H:$H,DRE!$A262)+SUMIFS(Aut_Ajustes_Manuais!$G:$G,Aut_Ajustes_Manuais!$I:$I,DRE!H$4,Aut_Ajustes_Manuais!$F:$F,"Conduções/Taxi/Uber")</f>
        <v>-21.7</v>
      </c>
      <c r="K262" s="241">
        <v>-107</v>
      </c>
      <c r="L262" s="27">
        <v>0</v>
      </c>
      <c r="M262" s="28">
        <f>SUMIFS(Aut_BlueMe_Sem_Pedido!$J:$J,Aut_BlueMe_Sem_Pedido!$Q:$Q,DRE!K$4,Aut_BlueMe_Sem_Pedido!$H:$H,DRE!$A262)+SUMIFS(Aut_Ajustes_Manuais!$G:$G,Aut_Ajustes_Manuais!$I:$I,DRE!K$4,Aut_Ajustes_Manuais!$F:$F,"Conduções/Taxi/Uber")</f>
        <v>-38</v>
      </c>
      <c r="N262" s="241">
        <v>-324.17</v>
      </c>
      <c r="O262" s="27">
        <v>0</v>
      </c>
      <c r="P262" s="28">
        <f>SUMIFS(Aut_BlueMe_Sem_Pedido!$J:$J,Aut_BlueMe_Sem_Pedido!$Q:$Q,DRE!N$4,Aut_BlueMe_Sem_Pedido!$H:$H,DRE!$A262)+SUMIFS(Aut_Ajustes_Manuais!$G:$G,Aut_Ajustes_Manuais!$I:$I,DRE!N$4,Aut_Ajustes_Manuais!$F:$F,"Conduções/Taxi/Uber")</f>
        <v>0</v>
      </c>
      <c r="Q262" s="241">
        <v>-36.9</v>
      </c>
      <c r="R262" s="27">
        <v>0</v>
      </c>
      <c r="S262" s="28">
        <f>SUMIFS(Aut_BlueMe_Sem_Pedido!$J:$J,Aut_BlueMe_Sem_Pedido!$Q:$Q,DRE!Q$4,Aut_BlueMe_Sem_Pedido!$H:$H,DRE!$A262)+SUMIFS(Aut_Ajustes_Manuais!$G:$G,Aut_Ajustes_Manuais!$I:$I,DRE!Q$4,Aut_Ajustes_Manuais!$F:$F,"Conduções/Taxi/Uber")</f>
        <v>0</v>
      </c>
      <c r="T262" s="241">
        <v>0</v>
      </c>
      <c r="U262" s="27">
        <v>0</v>
      </c>
      <c r="V262" s="28">
        <f>SUMIFS(Aut_BlueMe_Sem_Pedido!$J:$J,Aut_BlueMe_Sem_Pedido!$Q:$Q,DRE!T$4,Aut_BlueMe_Sem_Pedido!$H:$H,DRE!$A262)+SUMIFS(Aut_Ajustes_Manuais!$G:$G,Aut_Ajustes_Manuais!$I:$I,DRE!T$4,Aut_Ajustes_Manuais!$F:$F,"Conduções/Taxi/Uber")</f>
        <v>0</v>
      </c>
      <c r="W262" s="241">
        <v>0</v>
      </c>
      <c r="X262" s="27">
        <v>0</v>
      </c>
      <c r="Y262" s="28">
        <f>SUMIFS(Aut_BlueMe_Sem_Pedido!$J:$J,Aut_BlueMe_Sem_Pedido!$Q:$Q,DRE!W$4,Aut_BlueMe_Sem_Pedido!$H:$H,DRE!$A262)+SUMIFS(Aut_Ajustes_Manuais!$G:$G,Aut_Ajustes_Manuais!$I:$I,DRE!W$4,Aut_Ajustes_Manuais!$F:$F,"Conduções/Taxi/Uber")</f>
        <v>0</v>
      </c>
      <c r="Z262" s="241">
        <v>0</v>
      </c>
      <c r="AA262" s="27">
        <v>0</v>
      </c>
      <c r="AB262" s="28">
        <f>SUMIFS(Aut_BlueMe_Sem_Pedido!$J:$J,Aut_BlueMe_Sem_Pedido!$Q:$Q,DRE!Z$4,Aut_BlueMe_Sem_Pedido!$H:$H,DRE!$A262)+SUMIFS(Aut_Ajustes_Manuais!$G:$G,Aut_Ajustes_Manuais!$I:$I,DRE!Z$4,Aut_Ajustes_Manuais!$F:$F,"Conduções/Taxi/Uber")</f>
        <v>0</v>
      </c>
      <c r="AC262" s="241">
        <v>-164.36</v>
      </c>
      <c r="AD262" s="27">
        <v>0</v>
      </c>
      <c r="AE262" s="28">
        <f>SUMIFS(Aut_BlueMe_Sem_Pedido!$J:$J,Aut_BlueMe_Sem_Pedido!$Q:$Q,DRE!AC$4,Aut_BlueMe_Sem_Pedido!$H:$H,DRE!$A262)+SUMIFS(Aut_Ajustes_Manuais!$G:$G,Aut_Ajustes_Manuais!$I:$I,DRE!AC$4,Aut_Ajustes_Manuais!$F:$F,"Conduções/Taxi/Uber")</f>
        <v>0</v>
      </c>
      <c r="AF262" s="241">
        <v>-115.1</v>
      </c>
      <c r="AG262" s="27">
        <v>0</v>
      </c>
      <c r="AH262" s="28">
        <f>SUMIFS(Aut_BlueMe_Sem_Pedido!$J:$J,Aut_BlueMe_Sem_Pedido!$Q:$Q,DRE!AF$4,Aut_BlueMe_Sem_Pedido!$H:$H,DRE!$A262)+SUMIFS(Aut_Ajustes_Manuais!$G:$G,Aut_Ajustes_Manuais!$I:$I,DRE!AF$4,Aut_Ajustes_Manuais!$F:$F,"Conduções/Taxi/Uber")</f>
        <v>0</v>
      </c>
      <c r="AI262" s="241">
        <v>0</v>
      </c>
      <c r="AJ262" s="27">
        <v>0</v>
      </c>
      <c r="AK262" s="28">
        <f>SUMIFS(Aut_BlueMe_Sem_Pedido!$J:$J,Aut_BlueMe_Sem_Pedido!$Q:$Q,DRE!AI$4,Aut_BlueMe_Sem_Pedido!$H:$H,DRE!$A262)+SUMIFS(Aut_Ajustes_Manuais!$G:$G,Aut_Ajustes_Manuais!$I:$I,DRE!AI$4,Aut_Ajustes_Manuais!$F:$F,"Conduções/Taxi/Uber")</f>
        <v>0</v>
      </c>
      <c r="AL262" s="241">
        <v>-148.30000000000001</v>
      </c>
      <c r="AM262" s="27">
        <v>0</v>
      </c>
      <c r="AN262" s="28">
        <f>SUMIFS(Aut_BlueMe_Sem_Pedido!$J:$J,Aut_BlueMe_Sem_Pedido!$Q:$Q,DRE!AL$4,Aut_BlueMe_Sem_Pedido!$H:$H,DRE!$A262)+SUMIFS(Aut_Ajustes_Manuais!$G:$G,Aut_Ajustes_Manuais!$I:$I,DRE!AL$4,Aut_Ajustes_Manuais!$F:$F,"Conduções/Taxi/Uber")</f>
        <v>0</v>
      </c>
      <c r="AO262" s="241">
        <v>0</v>
      </c>
      <c r="AP262" s="27">
        <v>0</v>
      </c>
      <c r="AQ262" s="28">
        <f>SUMIFS(Aut_BlueMe_Sem_Pedido!$J:$J,Aut_BlueMe_Sem_Pedido!$Q:$Q,DRE!AO$4,Aut_BlueMe_Sem_Pedido!$H:$H,DRE!$A262)+SUMIFS(Aut_Ajustes_Manuais!$G:$G,Aut_Ajustes_Manuais!$I:$I,DRE!AO$4,Aut_Ajustes_Manuais!$F:$F,"Conduções/Taxi/Uber")</f>
        <v>0</v>
      </c>
      <c r="AR262" s="241">
        <f t="shared" ca="1" si="230"/>
        <v>-690.1</v>
      </c>
      <c r="AS262" s="27">
        <f t="shared" ca="1" si="231"/>
        <v>0</v>
      </c>
      <c r="AT262" s="28">
        <f t="shared" ca="1" si="232"/>
        <v>-59.7</v>
      </c>
      <c r="AU262" s="241">
        <f t="shared" si="233"/>
        <v>-1117.8600000000001</v>
      </c>
      <c r="AV262" s="27">
        <f t="shared" si="233"/>
        <v>0</v>
      </c>
      <c r="AW262" s="28">
        <f t="shared" si="233"/>
        <v>-59.7</v>
      </c>
      <c r="AX262" s="241">
        <f t="shared" si="234"/>
        <v>-653.20000000000005</v>
      </c>
      <c r="AY262" s="27">
        <f t="shared" si="234"/>
        <v>0</v>
      </c>
      <c r="AZ262" s="28">
        <f t="shared" si="234"/>
        <v>-59.7</v>
      </c>
      <c r="BA262" s="241">
        <f t="shared" si="235"/>
        <v>-36.9</v>
      </c>
      <c r="BB262" s="27">
        <f t="shared" si="235"/>
        <v>0</v>
      </c>
      <c r="BC262" s="28">
        <f t="shared" si="235"/>
        <v>0</v>
      </c>
      <c r="BD262" s="241">
        <f t="shared" si="236"/>
        <v>-279.46000000000004</v>
      </c>
      <c r="BE262" s="27">
        <f t="shared" si="236"/>
        <v>0</v>
      </c>
      <c r="BF262" s="28">
        <f t="shared" si="236"/>
        <v>0</v>
      </c>
      <c r="BG262" s="241">
        <f t="shared" si="237"/>
        <v>-148.30000000000001</v>
      </c>
      <c r="BH262" s="27">
        <f t="shared" si="237"/>
        <v>0</v>
      </c>
      <c r="BI262" s="28">
        <f t="shared" si="237"/>
        <v>0</v>
      </c>
    </row>
    <row r="263" spans="1:61" s="29" customFormat="1" hidden="1" outlineLevel="1" x14ac:dyDescent="0.3">
      <c r="A263" s="22" t="s">
        <v>295</v>
      </c>
      <c r="B263" s="23"/>
      <c r="C263" s="24"/>
      <c r="D263" s="121"/>
      <c r="E263" s="114"/>
      <c r="F263" s="56"/>
      <c r="G263" s="33"/>
      <c r="H263" s="241">
        <v>0</v>
      </c>
      <c r="I263" s="27">
        <v>0</v>
      </c>
      <c r="J263" s="28">
        <f>SUMIFS(Aut_BlueMe_Sem_Pedido!$J:$J,Aut_BlueMe_Sem_Pedido!$Q:$Q,DRE!H$4,Aut_BlueMe_Sem_Pedido!$H:$H,DRE!$A263)+SUMIFS(Aut_Ajustes_Manuais!$G:$G,Aut_Ajustes_Manuais!$I:$I,DRE!H$4,Aut_Ajustes_Manuais!$F:$F,"Viagens e Estadias - Operação")</f>
        <v>0</v>
      </c>
      <c r="K263" s="241">
        <v>0</v>
      </c>
      <c r="L263" s="27">
        <v>0</v>
      </c>
      <c r="M263" s="28">
        <f>SUMIFS(Aut_BlueMe_Sem_Pedido!$J:$J,Aut_BlueMe_Sem_Pedido!$Q:$Q,DRE!K$4,Aut_BlueMe_Sem_Pedido!$H:$H,DRE!$A263)+SUMIFS(Aut_Ajustes_Manuais!$G:$G,Aut_Ajustes_Manuais!$I:$I,DRE!K$4,Aut_Ajustes_Manuais!$F:$F,"Viagens e Estadias - Operação")</f>
        <v>0</v>
      </c>
      <c r="N263" s="241">
        <v>0</v>
      </c>
      <c r="O263" s="27">
        <v>0</v>
      </c>
      <c r="P263" s="28">
        <f>SUMIFS(Aut_BlueMe_Sem_Pedido!$J:$J,Aut_BlueMe_Sem_Pedido!$Q:$Q,DRE!N$4,Aut_BlueMe_Sem_Pedido!$H:$H,DRE!$A263)+SUMIFS(Aut_Ajustes_Manuais!$G:$G,Aut_Ajustes_Manuais!$I:$I,DRE!N$4,Aut_Ajustes_Manuais!$F:$F,"Viagens e Estadias - Operação")</f>
        <v>0</v>
      </c>
      <c r="Q263" s="241">
        <v>0</v>
      </c>
      <c r="R263" s="27">
        <v>0</v>
      </c>
      <c r="S263" s="28">
        <f>SUMIFS(Aut_BlueMe_Sem_Pedido!$J:$J,Aut_BlueMe_Sem_Pedido!$Q:$Q,DRE!Q$4,Aut_BlueMe_Sem_Pedido!$H:$H,DRE!$A263)+SUMIFS(Aut_Ajustes_Manuais!$G:$G,Aut_Ajustes_Manuais!$I:$I,DRE!Q$4,Aut_Ajustes_Manuais!$F:$F,"Viagens e Estadias - Operação")</f>
        <v>0</v>
      </c>
      <c r="T263" s="241">
        <v>0</v>
      </c>
      <c r="U263" s="27">
        <v>0</v>
      </c>
      <c r="V263" s="28">
        <f>SUMIFS(Aut_BlueMe_Sem_Pedido!$J:$J,Aut_BlueMe_Sem_Pedido!$Q:$Q,DRE!T$4,Aut_BlueMe_Sem_Pedido!$H:$H,DRE!$A263)+SUMIFS(Aut_Ajustes_Manuais!$G:$G,Aut_Ajustes_Manuais!$I:$I,DRE!T$4,Aut_Ajustes_Manuais!$F:$F,"Viagens e Estadias - Operação")</f>
        <v>0</v>
      </c>
      <c r="W263" s="241">
        <v>0</v>
      </c>
      <c r="X263" s="27">
        <v>0</v>
      </c>
      <c r="Y263" s="28">
        <f>SUMIFS(Aut_BlueMe_Sem_Pedido!$J:$J,Aut_BlueMe_Sem_Pedido!$Q:$Q,DRE!W$4,Aut_BlueMe_Sem_Pedido!$H:$H,DRE!$A263)+SUMIFS(Aut_Ajustes_Manuais!$G:$G,Aut_Ajustes_Manuais!$I:$I,DRE!W$4,Aut_Ajustes_Manuais!$F:$F,"Viagens e Estadias - Operação")</f>
        <v>0</v>
      </c>
      <c r="Z263" s="241">
        <v>0</v>
      </c>
      <c r="AA263" s="27">
        <v>0</v>
      </c>
      <c r="AB263" s="28">
        <f>SUMIFS(Aut_BlueMe_Sem_Pedido!$J:$J,Aut_BlueMe_Sem_Pedido!$Q:$Q,DRE!Z$4,Aut_BlueMe_Sem_Pedido!$H:$H,DRE!$A263)+SUMIFS(Aut_Ajustes_Manuais!$G:$G,Aut_Ajustes_Manuais!$I:$I,DRE!Z$4,Aut_Ajustes_Manuais!$F:$F,"Viagens e Estadias - Operação")</f>
        <v>0</v>
      </c>
      <c r="AC263" s="241">
        <v>0</v>
      </c>
      <c r="AD263" s="27">
        <v>0</v>
      </c>
      <c r="AE263" s="28">
        <f>SUMIFS(Aut_BlueMe_Sem_Pedido!$J:$J,Aut_BlueMe_Sem_Pedido!$Q:$Q,DRE!AC$4,Aut_BlueMe_Sem_Pedido!$H:$H,DRE!$A263)+SUMIFS(Aut_Ajustes_Manuais!$G:$G,Aut_Ajustes_Manuais!$I:$I,DRE!AC$4,Aut_Ajustes_Manuais!$F:$F,"Viagens e Estadias - Operação")</f>
        <v>0</v>
      </c>
      <c r="AF263" s="241">
        <v>0</v>
      </c>
      <c r="AG263" s="27">
        <v>0</v>
      </c>
      <c r="AH263" s="28">
        <f>SUMIFS(Aut_BlueMe_Sem_Pedido!$J:$J,Aut_BlueMe_Sem_Pedido!$Q:$Q,DRE!AF$4,Aut_BlueMe_Sem_Pedido!$H:$H,DRE!$A263)+SUMIFS(Aut_Ajustes_Manuais!$G:$G,Aut_Ajustes_Manuais!$I:$I,DRE!AF$4,Aut_Ajustes_Manuais!$F:$F,"Viagens e Estadias - Operação")</f>
        <v>0</v>
      </c>
      <c r="AI263" s="241">
        <v>0</v>
      </c>
      <c r="AJ263" s="27">
        <v>0</v>
      </c>
      <c r="AK263" s="28">
        <f>SUMIFS(Aut_BlueMe_Sem_Pedido!$J:$J,Aut_BlueMe_Sem_Pedido!$Q:$Q,DRE!AI$4,Aut_BlueMe_Sem_Pedido!$H:$H,DRE!$A263)+SUMIFS(Aut_Ajustes_Manuais!$G:$G,Aut_Ajustes_Manuais!$I:$I,DRE!AI$4,Aut_Ajustes_Manuais!$F:$F,"Viagens e Estadias - Operação")</f>
        <v>0</v>
      </c>
      <c r="AL263" s="241">
        <v>0</v>
      </c>
      <c r="AM263" s="27">
        <v>0</v>
      </c>
      <c r="AN263" s="28">
        <f>SUMIFS(Aut_BlueMe_Sem_Pedido!$J:$J,Aut_BlueMe_Sem_Pedido!$Q:$Q,DRE!AL$4,Aut_BlueMe_Sem_Pedido!$H:$H,DRE!$A263)+SUMIFS(Aut_Ajustes_Manuais!$G:$G,Aut_Ajustes_Manuais!$I:$I,DRE!AL$4,Aut_Ajustes_Manuais!$F:$F,"Viagens e Estadias - Operação")</f>
        <v>0</v>
      </c>
      <c r="AO263" s="241">
        <v>0</v>
      </c>
      <c r="AP263" s="27">
        <v>0</v>
      </c>
      <c r="AQ263" s="28">
        <f>SUMIFS(Aut_BlueMe_Sem_Pedido!$J:$J,Aut_BlueMe_Sem_Pedido!$Q:$Q,DRE!AO$4,Aut_BlueMe_Sem_Pedido!$H:$H,DRE!$A263)+SUMIFS(Aut_Ajustes_Manuais!$G:$G,Aut_Ajustes_Manuais!$I:$I,DRE!AO$4,Aut_Ajustes_Manuais!$F:$F,"Viagens e Estadias - Operação")</f>
        <v>0</v>
      </c>
      <c r="AR263" s="241">
        <f t="shared" ca="1" si="230"/>
        <v>0</v>
      </c>
      <c r="AS263" s="27">
        <f t="shared" ca="1" si="231"/>
        <v>0</v>
      </c>
      <c r="AT263" s="28">
        <f t="shared" ca="1" si="232"/>
        <v>0</v>
      </c>
      <c r="AU263" s="241">
        <f t="shared" si="233"/>
        <v>0</v>
      </c>
      <c r="AV263" s="27">
        <f t="shared" si="233"/>
        <v>0</v>
      </c>
      <c r="AW263" s="28">
        <f t="shared" si="233"/>
        <v>0</v>
      </c>
      <c r="AX263" s="241">
        <f t="shared" si="234"/>
        <v>0</v>
      </c>
      <c r="AY263" s="27">
        <f t="shared" si="234"/>
        <v>0</v>
      </c>
      <c r="AZ263" s="28">
        <f t="shared" si="234"/>
        <v>0</v>
      </c>
      <c r="BA263" s="241">
        <f t="shared" si="235"/>
        <v>0</v>
      </c>
      <c r="BB263" s="27">
        <f t="shared" si="235"/>
        <v>0</v>
      </c>
      <c r="BC263" s="28">
        <f t="shared" si="235"/>
        <v>0</v>
      </c>
      <c r="BD263" s="241">
        <f t="shared" si="236"/>
        <v>0</v>
      </c>
      <c r="BE263" s="27">
        <f t="shared" si="236"/>
        <v>0</v>
      </c>
      <c r="BF263" s="28">
        <f t="shared" si="236"/>
        <v>0</v>
      </c>
      <c r="BG263" s="241">
        <f t="shared" si="237"/>
        <v>0</v>
      </c>
      <c r="BH263" s="27">
        <f t="shared" si="237"/>
        <v>0</v>
      </c>
      <c r="BI263" s="28">
        <f t="shared" si="237"/>
        <v>0</v>
      </c>
    </row>
    <row r="264" spans="1:61" collapsed="1" x14ac:dyDescent="0.3">
      <c r="A264" s="71" t="s">
        <v>44</v>
      </c>
      <c r="B264" s="59"/>
      <c r="C264" s="60"/>
      <c r="D264" s="61"/>
      <c r="E264" s="62"/>
      <c r="F264" s="63"/>
      <c r="G264" s="47"/>
      <c r="H264" s="245">
        <v>-2.751866723055291E-2</v>
      </c>
      <c r="I264" s="50">
        <v>-2.0717492035672261E-2</v>
      </c>
      <c r="J264" s="51">
        <f>IFERROR(J255/J8,0)+SUMIFS(Aut_Ajustes_Manuais!$G:$G,Aut_Ajustes_Manuais!$I:$I,DRE!H$4,Aut_Ajustes_Manuais!$F:$F,"% sobre Receita Bruta")</f>
        <v>-1.2247202628566402E-2</v>
      </c>
      <c r="K264" s="245">
        <v>-2.021606800630088E-2</v>
      </c>
      <c r="L264" s="50">
        <v>-1.9100294770011281E-2</v>
      </c>
      <c r="M264" s="51">
        <f>IFERROR(M255/M8,0)+SUMIFS(Aut_Ajustes_Manuais!$G:$G,Aut_Ajustes_Manuais!$I:$I,DRE!K$4,Aut_Ajustes_Manuais!$F:$F,"% sobre Receita Bruta")</f>
        <v>-1.0415999338175308E-2</v>
      </c>
      <c r="N264" s="245">
        <v>-1.6568129969376452E-2</v>
      </c>
      <c r="O264" s="50">
        <v>-1.55810301928999E-2</v>
      </c>
      <c r="P264" s="51">
        <f>IFERROR(P255/P8,0)+SUMIFS(Aut_Ajustes_Manuais!$G:$G,Aut_Ajustes_Manuais!$I:$I,DRE!N$4,Aut_Ajustes_Manuais!$F:$F,"% sobre Receita Bruta")</f>
        <v>-1.0018022581054428E-2</v>
      </c>
      <c r="Q264" s="245">
        <v>-2.1359541727798331E-2</v>
      </c>
      <c r="R264" s="50">
        <v>-1.6325401082438209E-2</v>
      </c>
      <c r="S264" s="51">
        <f>IFERROR(S255/S8,0)+SUMIFS(Aut_Ajustes_Manuais!$G:$G,Aut_Ajustes_Manuais!$I:$I,DRE!Q$4,Aut_Ajustes_Manuais!$F:$F,"% sobre Receita Bruta")</f>
        <v>-1.1215904125988309E-2</v>
      </c>
      <c r="T264" s="245">
        <v>-1.0817683076229269E-2</v>
      </c>
      <c r="U264" s="50">
        <v>-1.6464774007371681E-2</v>
      </c>
      <c r="V264" s="51">
        <f>IFERROR(V255/V8,0)+SUMIFS(Aut_Ajustes_Manuais!$G:$G,Aut_Ajustes_Manuais!$I:$I,DRE!T$4,Aut_Ajustes_Manuais!$F:$F,"% sobre Receita Bruta")</f>
        <v>-1.0024586439672923E-2</v>
      </c>
      <c r="W264" s="245">
        <v>-8.9771865223058859E-3</v>
      </c>
      <c r="X264" s="50">
        <v>-1.7538218599775789E-2</v>
      </c>
      <c r="Y264" s="51">
        <f>IFERROR(Y255/Y8,0)+SUMIFS(Aut_Ajustes_Manuais!$G:$G,Aut_Ajustes_Manuais!$I:$I,DRE!W$4,Aut_Ajustes_Manuais!$F:$F,"% sobre Receita Bruta")</f>
        <v>-1.3997304391729297E-2</v>
      </c>
      <c r="Z264" s="245">
        <v>-1.038614439944445E-2</v>
      </c>
      <c r="AA264" s="50">
        <v>-1.395232891277173E-2</v>
      </c>
      <c r="AB264" s="51">
        <f>IFERROR(AB255/AB8,0)+SUMIFS(Aut_Ajustes_Manuais!$G:$G,Aut_Ajustes_Manuais!$I:$I,DRE!Z$4,Aut_Ajustes_Manuais!$F:$F,"% sobre Receita Bruta")</f>
        <v>-1.6550040736270269E-2</v>
      </c>
      <c r="AC264" s="245">
        <v>-1.90331205333494E-2</v>
      </c>
      <c r="AD264" s="50">
        <v>-1.4616780105566281E-2</v>
      </c>
      <c r="AE264" s="51">
        <f>IFERROR(AE255/AE8,0)+SUMIFS(Aut_Ajustes_Manuais!$G:$G,Aut_Ajustes_Manuais!$I:$I,DRE!AC$4,Aut_Ajustes_Manuais!$F:$F,"% sobre Receita Bruta")</f>
        <v>-0.77160493827160492</v>
      </c>
      <c r="AF264" s="245">
        <v>-1.9967344619239571E-2</v>
      </c>
      <c r="AG264" s="50">
        <v>-1.6130027757367719E-2</v>
      </c>
      <c r="AH264" s="51">
        <f>IFERROR(AH255/AH8,0)+SUMIFS(Aut_Ajustes_Manuais!$G:$G,Aut_Ajustes_Manuais!$I:$I,DRE!AF$4,Aut_Ajustes_Manuais!$F:$F,"% sobre Receita Bruta")</f>
        <v>0</v>
      </c>
      <c r="AI264" s="245">
        <v>-1.533034604825196E-2</v>
      </c>
      <c r="AJ264" s="50">
        <v>-1.569229312315808E-2</v>
      </c>
      <c r="AK264" s="51">
        <f>IFERROR(AK255/AK8,0)+SUMIFS(Aut_Ajustes_Manuais!$G:$G,Aut_Ajustes_Manuais!$I:$I,DRE!AI$4,Aut_Ajustes_Manuais!$F:$F,"% sobre Receita Bruta")</f>
        <v>0</v>
      </c>
      <c r="AL264" s="245">
        <v>-1.149710052537581E-2</v>
      </c>
      <c r="AM264" s="50">
        <v>-1.495486846816288E-2</v>
      </c>
      <c r="AN264" s="51">
        <f>IFERROR(AN255/AN8,0)+SUMIFS(Aut_Ajustes_Manuais!$G:$G,Aut_Ajustes_Manuais!$I:$I,DRE!AL$4,Aut_Ajustes_Manuais!$F:$F,"% sobre Receita Bruta")</f>
        <v>-0.62189054726368154</v>
      </c>
      <c r="AO264" s="245">
        <v>-3.182892477474256E-3</v>
      </c>
      <c r="AP264" s="50">
        <v>-1.220899696086384E-2</v>
      </c>
      <c r="AQ264" s="51">
        <f>IFERROR(AQ255/AQ8,0)+SUMIFS(Aut_Ajustes_Manuais!$G:$G,Aut_Ajustes_Manuais!$I:$I,DRE!AO$4,Aut_Ajustes_Manuais!$F:$F,"% sobre Receita Bruta")</f>
        <v>0</v>
      </c>
      <c r="AR264" s="245">
        <f t="shared" ref="AR264:BI264" ca="1" si="238">IFERROR(AR255/AR8,0)</f>
        <v>-1.7002602582520284E-2</v>
      </c>
      <c r="AS264" s="50">
        <f t="shared" ca="1" si="238"/>
        <v>-1.7427232019666918E-2</v>
      </c>
      <c r="AT264" s="51">
        <f t="shared" ca="1" si="238"/>
        <v>-1.1273916369988772E-2</v>
      </c>
      <c r="AU264" s="245">
        <f t="shared" si="238"/>
        <v>-1.4163951302323428E-2</v>
      </c>
      <c r="AV264" s="50">
        <f t="shared" si="238"/>
        <v>-1.5774651090678521E-2</v>
      </c>
      <c r="AW264" s="51">
        <f t="shared" si="238"/>
        <v>-1.5786716752149221E-2</v>
      </c>
      <c r="AX264" s="245">
        <f t="shared" si="238"/>
        <v>-2.080334517105346E-2</v>
      </c>
      <c r="AY264" s="50">
        <f t="shared" si="238"/>
        <v>-1.8163419082045135E-2</v>
      </c>
      <c r="AZ264" s="51">
        <f t="shared" si="238"/>
        <v>-1.0786215082948029E-2</v>
      </c>
      <c r="BA264" s="245">
        <f t="shared" si="238"/>
        <v>-1.3752593335873068E-2</v>
      </c>
      <c r="BB264" s="50">
        <f t="shared" si="238"/>
        <v>-1.6756344264524992E-2</v>
      </c>
      <c r="BC264" s="51">
        <f t="shared" si="238"/>
        <v>-1.1766061249491533E-2</v>
      </c>
      <c r="BD264" s="245">
        <f t="shared" si="238"/>
        <v>-1.6202651573144496E-2</v>
      </c>
      <c r="BE264" s="50">
        <f t="shared" si="238"/>
        <v>-1.4835714286231311E-2</v>
      </c>
      <c r="BF264" s="51">
        <f t="shared" si="238"/>
        <v>-4.8607546107660014E-2</v>
      </c>
      <c r="BG264" s="245">
        <f t="shared" si="238"/>
        <v>-8.5518150085354353E-3</v>
      </c>
      <c r="BH264" s="50">
        <f t="shared" si="238"/>
        <v>-1.4082764899684725E-2</v>
      </c>
      <c r="BI264" s="51">
        <f t="shared" si="238"/>
        <v>-1.8656716417910448</v>
      </c>
    </row>
    <row r="265" spans="1:61" x14ac:dyDescent="0.3">
      <c r="A265" s="18"/>
      <c r="E265" s="16"/>
      <c r="F265" s="17"/>
      <c r="G265" s="47"/>
      <c r="H265" s="247"/>
      <c r="I265" s="17"/>
      <c r="J265" s="57"/>
      <c r="K265" s="247"/>
      <c r="L265" s="17"/>
      <c r="M265" s="57"/>
      <c r="N265" s="247"/>
      <c r="O265" s="17"/>
      <c r="P265" s="57"/>
      <c r="Q265" s="247"/>
      <c r="R265" s="17"/>
      <c r="S265" s="57"/>
      <c r="T265" s="247"/>
      <c r="U265" s="17"/>
      <c r="V265" s="57"/>
      <c r="W265" s="247"/>
      <c r="X265" s="17"/>
      <c r="Y265" s="57"/>
      <c r="Z265" s="247"/>
      <c r="AA265" s="17"/>
      <c r="AB265" s="57"/>
      <c r="AC265" s="247"/>
      <c r="AD265" s="17"/>
      <c r="AE265" s="57"/>
      <c r="AF265" s="247"/>
      <c r="AG265" s="17"/>
      <c r="AH265" s="57"/>
      <c r="AI265" s="247"/>
      <c r="AJ265" s="17"/>
      <c r="AK265" s="57"/>
      <c r="AL265" s="247"/>
      <c r="AM265" s="17"/>
      <c r="AN265" s="57"/>
      <c r="AO265" s="247"/>
      <c r="AP265" s="17"/>
      <c r="AQ265" s="57"/>
      <c r="AR265" s="247"/>
      <c r="AS265" s="17"/>
      <c r="AT265" s="57"/>
      <c r="AU265" s="247"/>
      <c r="AV265" s="17"/>
      <c r="AW265" s="57"/>
      <c r="AX265" s="247"/>
      <c r="AY265" s="17"/>
      <c r="AZ265" s="57"/>
      <c r="BA265" s="247"/>
      <c r="BB265" s="17"/>
      <c r="BC265" s="57"/>
      <c r="BD265" s="247"/>
      <c r="BE265" s="17"/>
      <c r="BF265" s="57"/>
      <c r="BG265" s="247"/>
      <c r="BH265" s="17"/>
      <c r="BI265" s="57"/>
    </row>
    <row r="266" spans="1:61" x14ac:dyDescent="0.3">
      <c r="A266" s="39" t="s">
        <v>296</v>
      </c>
      <c r="C266" s="40" t="s">
        <v>35</v>
      </c>
      <c r="D266" s="40" t="s">
        <v>36</v>
      </c>
      <c r="E266" s="40" t="s">
        <v>202</v>
      </c>
      <c r="F266" s="17"/>
      <c r="G266" s="47"/>
      <c r="H266" s="244">
        <v>-12046.770628237109</v>
      </c>
      <c r="I266" s="42">
        <v>-6002.4350719241293</v>
      </c>
      <c r="J266" s="43">
        <f>SUM(J267:J277)+SUMIFS(Aut_Ajustes_Manuais!$G:$G,Aut_Ajustes_Manuais!$I:$I,DRE!H$4,Aut_Ajustes_Manuais!$F:$F,"Marketing")</f>
        <v>-7144.82</v>
      </c>
      <c r="K266" s="244">
        <v>-9302.7244086093378</v>
      </c>
      <c r="L266" s="42">
        <v>-6009.2295946914292</v>
      </c>
      <c r="M266" s="43">
        <f>SUM(M267:M277)+SUMIFS(Aut_Ajustes_Manuais!$G:$G,Aut_Ajustes_Manuais!$I:$I,DRE!K$4,Aut_Ajustes_Manuais!$F:$F,"Marketing")</f>
        <v>-9225.1200000000008</v>
      </c>
      <c r="N266" s="244">
        <v>-8072.0789374730593</v>
      </c>
      <c r="O266" s="42">
        <v>-6029.7339729387086</v>
      </c>
      <c r="P266" s="43">
        <f>SUM(P267:P277)+SUMIFS(Aut_Ajustes_Manuais!$G:$G,Aut_Ajustes_Manuais!$I:$I,DRE!N$4,Aut_Ajustes_Manuais!$F:$F,"Marketing")</f>
        <v>-7114.67</v>
      </c>
      <c r="Q266" s="244">
        <v>-6581.9622717804532</v>
      </c>
      <c r="R266" s="42">
        <v>-6024.5389714140001</v>
      </c>
      <c r="S266" s="43">
        <f>SUM(S267:S277)+SUMIFS(Aut_Ajustes_Manuais!$G:$G,Aut_Ajustes_Manuais!$I:$I,DRE!Q$4,Aut_Ajustes_Manuais!$F:$F,"Marketing")</f>
        <v>-8302.2099999999991</v>
      </c>
      <c r="T266" s="244">
        <v>-7605.8014077617627</v>
      </c>
      <c r="U266" s="42">
        <v>-6023.6269672374201</v>
      </c>
      <c r="V266" s="43">
        <f>SUM(V267:V277)+SUMIFS(Aut_Ajustes_Manuais!$G:$G,Aut_Ajustes_Manuais!$I:$I,DRE!T$4,Aut_Ajustes_Manuais!$F:$F,"Marketing")</f>
        <v>-10475.17</v>
      </c>
      <c r="W266" s="244">
        <v>-7527.5272268392591</v>
      </c>
      <c r="X266" s="42">
        <v>-6017.1618093488396</v>
      </c>
      <c r="Y266" s="43">
        <f>SUM(Y267:Y277)+SUMIFS(Aut_Ajustes_Manuais!$G:$G,Aut_Ajustes_Manuais!$I:$I,DRE!W$4,Aut_Ajustes_Manuais!$F:$F,"Marketing")</f>
        <v>-10495.619999999999</v>
      </c>
      <c r="Z266" s="244">
        <v>-9573.035573775107</v>
      </c>
      <c r="AA266" s="42">
        <v>-6043.4156801083873</v>
      </c>
      <c r="AB266" s="43">
        <f>SUM(AB267:AB277)+SUMIFS(Aut_Ajustes_Manuais!$G:$G,Aut_Ajustes_Manuais!$I:$I,DRE!Z$4,Aut_Ajustes_Manuais!$F:$F,"Marketing")</f>
        <v>-6022.35</v>
      </c>
      <c r="AC266" s="244">
        <v>-8725.0264601335639</v>
      </c>
      <c r="AD266" s="42">
        <v>-6037.39706578</v>
      </c>
      <c r="AE266" s="43">
        <f>SUM(AE267:AE277)+SUMIFS(Aut_Ajustes_Manuais!$G:$G,Aut_Ajustes_Manuais!$I:$I,DRE!AC$4,Aut_Ajustes_Manuais!$F:$F,"Marketing")</f>
        <v>-6000</v>
      </c>
      <c r="AF266" s="244">
        <v>-6638.84</v>
      </c>
      <c r="AG266" s="42">
        <v>-6025.848365209893</v>
      </c>
      <c r="AH266" s="43">
        <f>SUM(AH267:AH277)+SUMIFS(Aut_Ajustes_Manuais!$G:$G,Aut_Ajustes_Manuais!$I:$I,DRE!AF$4,Aut_Ajustes_Manuais!$F:$F,"Marketing")</f>
        <v>-6000</v>
      </c>
      <c r="AI266" s="244">
        <v>-11541.52423953158</v>
      </c>
      <c r="AJ266" s="42">
        <v>-6028.9207546530652</v>
      </c>
      <c r="AK266" s="43">
        <f>SUM(AK267:AK277)+SUMIFS(Aut_Ajustes_Manuais!$G:$G,Aut_Ajustes_Manuais!$I:$I,DRE!AI$4,Aut_Ajustes_Manuais!$F:$F,"Marketing")</f>
        <v>-6000</v>
      </c>
      <c r="AL266" s="244">
        <v>-6556.3227746176326</v>
      </c>
      <c r="AM266" s="42">
        <v>-6034.5772628925806</v>
      </c>
      <c r="AN266" s="43">
        <f>SUM(AN267:AN277)+SUMIFS(Aut_Ajustes_Manuais!$G:$G,Aut_Ajustes_Manuais!$I:$I,DRE!AL$4,Aut_Ajustes_Manuais!$F:$F,"Marketing")</f>
        <v>-6000</v>
      </c>
      <c r="AO266" s="244">
        <v>-6696.4190666983604</v>
      </c>
      <c r="AP266" s="42">
        <v>-6063.0439044016694</v>
      </c>
      <c r="AQ266" s="43">
        <f>SUM(AQ267:AQ277)+SUMIFS(Aut_Ajustes_Manuais!$G:$G,Aut_Ajustes_Manuais!$I:$I,DRE!AO$4,Aut_Ajustes_Manuais!$F:$F,"Marketing")</f>
        <v>-6000</v>
      </c>
      <c r="AR266" s="244">
        <f t="shared" ref="AR266:BI266" ca="1" si="239">SUM(AR267:AR277)</f>
        <v>-51136.864880700989</v>
      </c>
      <c r="AS266" s="42">
        <f t="shared" ca="1" si="239"/>
        <v>-36106.726387554525</v>
      </c>
      <c r="AT266" s="43">
        <f t="shared" ca="1" si="239"/>
        <v>-52757.61</v>
      </c>
      <c r="AU266" s="244">
        <f t="shared" si="239"/>
        <v>-100868.03299545722</v>
      </c>
      <c r="AV266" s="42">
        <f t="shared" si="239"/>
        <v>-72339.929420600121</v>
      </c>
      <c r="AW266" s="43">
        <f t="shared" si="239"/>
        <v>-88779.96</v>
      </c>
      <c r="AX266" s="244">
        <f t="shared" si="239"/>
        <v>-29421.573974319508</v>
      </c>
      <c r="AY266" s="42">
        <f t="shared" si="239"/>
        <v>-18041.398639554267</v>
      </c>
      <c r="AZ266" s="43">
        <f t="shared" si="239"/>
        <v>-23484.61</v>
      </c>
      <c r="BA266" s="244">
        <f t="shared" si="239"/>
        <v>-21715.290906381477</v>
      </c>
      <c r="BB266" s="42">
        <f t="shared" si="239"/>
        <v>-18065.327748000258</v>
      </c>
      <c r="BC266" s="43">
        <f t="shared" si="239"/>
        <v>-29273</v>
      </c>
      <c r="BD266" s="244">
        <f t="shared" si="239"/>
        <v>-24936.902033908671</v>
      </c>
      <c r="BE266" s="42">
        <f t="shared" si="239"/>
        <v>-18106.661111098278</v>
      </c>
      <c r="BF266" s="43">
        <f t="shared" si="239"/>
        <v>-18022.349999999999</v>
      </c>
      <c r="BG266" s="244">
        <f t="shared" si="239"/>
        <v>-24794.266080847578</v>
      </c>
      <c r="BH266" s="42">
        <f t="shared" si="239"/>
        <v>-18126.541921947315</v>
      </c>
      <c r="BI266" s="43">
        <f t="shared" si="239"/>
        <v>-18000</v>
      </c>
    </row>
    <row r="267" spans="1:61" s="29" customFormat="1" hidden="1" outlineLevel="1" x14ac:dyDescent="0.3">
      <c r="A267" s="22" t="s">
        <v>297</v>
      </c>
      <c r="B267" s="23"/>
      <c r="C267" s="24" t="s">
        <v>67</v>
      </c>
      <c r="D267" s="116"/>
      <c r="E267" s="115"/>
      <c r="F267" s="56"/>
      <c r="G267" s="33"/>
      <c r="H267" s="241">
        <v>-7500</v>
      </c>
      <c r="I267" s="27">
        <v>-4200</v>
      </c>
      <c r="J267" s="28">
        <f>SUMIFS(Aut_BlueMe_Sem_Pedido!$J:$J,Aut_BlueMe_Sem_Pedido!$Q:$Q,DRE!H$4,Aut_BlueMe_Sem_Pedido!$H:$H,DRE!$A267)+SUMIFS(Aut_Ajustes_Manuais!$G:$G,Aut_Ajustes_Manuais!$I:$I,DRE!H$4,Aut_Ajustes_Manuais!$F:$F,"Agência de Propaganda")</f>
        <v>-4000</v>
      </c>
      <c r="K267" s="241">
        <v>-4000</v>
      </c>
      <c r="L267" s="27">
        <v>-4200</v>
      </c>
      <c r="M267" s="28">
        <f>SUMIFS(Aut_BlueMe_Sem_Pedido!$J:$J,Aut_BlueMe_Sem_Pedido!$Q:$Q,DRE!K$4,Aut_BlueMe_Sem_Pedido!$H:$H,DRE!$A267)+SUMIFS(Aut_Ajustes_Manuais!$G:$G,Aut_Ajustes_Manuais!$I:$I,DRE!K$4,Aut_Ajustes_Manuais!$F:$F,"Agência de Propaganda")</f>
        <v>-4000</v>
      </c>
      <c r="N267" s="241">
        <v>-4000</v>
      </c>
      <c r="O267" s="27">
        <v>-4200</v>
      </c>
      <c r="P267" s="28">
        <f>SUMIFS(Aut_BlueMe_Sem_Pedido!$J:$J,Aut_BlueMe_Sem_Pedido!$Q:$Q,DRE!N$4,Aut_BlueMe_Sem_Pedido!$H:$H,DRE!$A267)+SUMIFS(Aut_Ajustes_Manuais!$G:$G,Aut_Ajustes_Manuais!$I:$I,DRE!N$4,Aut_Ajustes_Manuais!$F:$F,"Agência de Propaganda")</f>
        <v>-4000</v>
      </c>
      <c r="Q267" s="241">
        <v>-4000</v>
      </c>
      <c r="R267" s="27">
        <v>-4200</v>
      </c>
      <c r="S267" s="28">
        <f>SUMIFS(Aut_BlueMe_Sem_Pedido!$J:$J,Aut_BlueMe_Sem_Pedido!$Q:$Q,DRE!Q$4,Aut_BlueMe_Sem_Pedido!$H:$H,DRE!$A267)+SUMIFS(Aut_Ajustes_Manuais!$G:$G,Aut_Ajustes_Manuais!$I:$I,DRE!Q$4,Aut_Ajustes_Manuais!$F:$F,"Agência de Propaganda")</f>
        <v>-4000</v>
      </c>
      <c r="T267" s="241">
        <v>-4000</v>
      </c>
      <c r="U267" s="27">
        <v>-4200</v>
      </c>
      <c r="V267" s="28">
        <f>SUMIFS(Aut_BlueMe_Sem_Pedido!$J:$J,Aut_BlueMe_Sem_Pedido!$Q:$Q,DRE!T$4,Aut_BlueMe_Sem_Pedido!$H:$H,DRE!$A267)+SUMIFS(Aut_Ajustes_Manuais!$G:$G,Aut_Ajustes_Manuais!$I:$I,DRE!T$4,Aut_Ajustes_Manuais!$F:$F,"Agência de Propaganda")</f>
        <v>-4000</v>
      </c>
      <c r="W267" s="241">
        <v>-4000</v>
      </c>
      <c r="X267" s="27">
        <v>-4200</v>
      </c>
      <c r="Y267" s="28">
        <f>SUMIFS(Aut_BlueMe_Sem_Pedido!$J:$J,Aut_BlueMe_Sem_Pedido!$Q:$Q,DRE!W$4,Aut_BlueMe_Sem_Pedido!$H:$H,DRE!$A267)+SUMIFS(Aut_Ajustes_Manuais!$G:$G,Aut_Ajustes_Manuais!$I:$I,DRE!W$4,Aut_Ajustes_Manuais!$F:$F,"Agência de Propaganda")</f>
        <v>-4000</v>
      </c>
      <c r="Z267" s="241">
        <v>-4000</v>
      </c>
      <c r="AA267" s="27">
        <v>-4200</v>
      </c>
      <c r="AB267" s="28">
        <f>SUMIFS(Aut_BlueMe_Sem_Pedido!$J:$J,Aut_BlueMe_Sem_Pedido!$Q:$Q,DRE!Z$4,Aut_BlueMe_Sem_Pedido!$H:$H,DRE!$A267)+SUMIFS(Aut_Ajustes_Manuais!$G:$G,Aut_Ajustes_Manuais!$I:$I,DRE!Z$4,Aut_Ajustes_Manuais!$F:$F,"Agência de Propaganda")</f>
        <v>-4000</v>
      </c>
      <c r="AC267" s="241">
        <v>-4000</v>
      </c>
      <c r="AD267" s="27">
        <v>-4200</v>
      </c>
      <c r="AE267" s="28">
        <f>SUMIFS(Aut_BlueMe_Sem_Pedido!$J:$J,Aut_BlueMe_Sem_Pedido!$Q:$Q,DRE!AC$4,Aut_BlueMe_Sem_Pedido!$H:$H,DRE!$A267)+SUMIFS(Aut_Ajustes_Manuais!$G:$G,Aut_Ajustes_Manuais!$I:$I,DRE!AC$4,Aut_Ajustes_Manuais!$F:$F,"Agência de Propaganda")</f>
        <v>-4000</v>
      </c>
      <c r="AF267" s="241">
        <v>-4000</v>
      </c>
      <c r="AG267" s="27">
        <v>-4200</v>
      </c>
      <c r="AH267" s="28">
        <f>SUMIFS(Aut_BlueMe_Sem_Pedido!$J:$J,Aut_BlueMe_Sem_Pedido!$Q:$Q,DRE!AF$4,Aut_BlueMe_Sem_Pedido!$H:$H,DRE!$A267)+SUMIFS(Aut_Ajustes_Manuais!$G:$G,Aut_Ajustes_Manuais!$I:$I,DRE!AF$4,Aut_Ajustes_Manuais!$F:$F,"Agência de Propaganda")</f>
        <v>-4000</v>
      </c>
      <c r="AI267" s="241">
        <v>-4000</v>
      </c>
      <c r="AJ267" s="27">
        <v>-4200</v>
      </c>
      <c r="AK267" s="28">
        <f>SUMIFS(Aut_BlueMe_Sem_Pedido!$J:$J,Aut_BlueMe_Sem_Pedido!$Q:$Q,DRE!AI$4,Aut_BlueMe_Sem_Pedido!$H:$H,DRE!$A267)+SUMIFS(Aut_Ajustes_Manuais!$G:$G,Aut_Ajustes_Manuais!$I:$I,DRE!AI$4,Aut_Ajustes_Manuais!$F:$F,"Agência de Propaganda")</f>
        <v>-4000</v>
      </c>
      <c r="AL267" s="241">
        <v>-4000</v>
      </c>
      <c r="AM267" s="27">
        <v>-4200</v>
      </c>
      <c r="AN267" s="28">
        <f>SUMIFS(Aut_BlueMe_Sem_Pedido!$J:$J,Aut_BlueMe_Sem_Pedido!$Q:$Q,DRE!AL$4,Aut_BlueMe_Sem_Pedido!$H:$H,DRE!$A267)+SUMIFS(Aut_Ajustes_Manuais!$G:$G,Aut_Ajustes_Manuais!$I:$I,DRE!AL$4,Aut_Ajustes_Manuais!$F:$F,"Agência de Propaganda")</f>
        <v>-4000</v>
      </c>
      <c r="AO267" s="241">
        <v>-4000</v>
      </c>
      <c r="AP267" s="27">
        <v>-4200</v>
      </c>
      <c r="AQ267" s="28">
        <f>SUMIFS(Aut_BlueMe_Sem_Pedido!$J:$J,Aut_BlueMe_Sem_Pedido!$Q:$Q,DRE!AO$4,Aut_BlueMe_Sem_Pedido!$H:$H,DRE!$A267)+SUMIFS(Aut_Ajustes_Manuais!$G:$G,Aut_Ajustes_Manuais!$I:$I,DRE!AO$4,Aut_Ajustes_Manuais!$F:$F,"Agência de Propaganda")</f>
        <v>-4000</v>
      </c>
      <c r="AR267" s="241">
        <f t="shared" ref="AR267:AR277" ca="1" si="240">SUMIFS($H267:$AO267,$H$5:$AO$5,"&lt;"&amp;MONTH(TODAY()),$H$6:$AO$6,"REAL 25")</f>
        <v>-27500</v>
      </c>
      <c r="AS267" s="27">
        <f t="shared" ref="AS267:AS277" ca="1" si="241">SUMIFS($I267:$AP267,$I$5:$AP$5,"&lt;"&amp;MONTH(TODAY()),$I$6:$AP$6,"ORÇADO ")</f>
        <v>-25200</v>
      </c>
      <c r="AT267" s="28">
        <f t="shared" ref="AT267:AT277" ca="1" si="242">SUMIFS($J267:$AQ267,$J$5:$AQ$5,"&lt;"&amp;MONTH(TODAY()),$J$6:$AQ$6,"REAL 26")</f>
        <v>-24000</v>
      </c>
      <c r="AU267" s="241">
        <f t="shared" ref="AU267:AU277" si="243">SUM(H267,K267,N267,Q267,T267,W267,Z267,AC267,AF267,AI267,AL267,AO267)</f>
        <v>-51500</v>
      </c>
      <c r="AV267" s="27">
        <f t="shared" ref="AV267:AV277" si="244">SUM(I267,L267,O267,R267,U267,X267,AA267,AD267,AG267,AJ267,AM267,AP267)</f>
        <v>-50400</v>
      </c>
      <c r="AW267" s="28">
        <f t="shared" ref="AW267:AW277" si="245">SUM(J267,M267,P267,S267,V267,Y267,AB267,AE267,AH267,AK267,AN267,AQ267)</f>
        <v>-48000</v>
      </c>
      <c r="AX267" s="241">
        <f t="shared" ref="AX267:AX277" si="246">SUM(H267,K267,N267)</f>
        <v>-15500</v>
      </c>
      <c r="AY267" s="27">
        <f t="shared" ref="AY267:AY277" si="247">SUM(I267,L267,O267)</f>
        <v>-12600</v>
      </c>
      <c r="AZ267" s="28">
        <f t="shared" ref="AZ267:AZ277" si="248">SUM(J267,M267,P267)</f>
        <v>-12000</v>
      </c>
      <c r="BA267" s="241">
        <f t="shared" ref="BA267:BA277" si="249">SUM(Q267,T267,W267)</f>
        <v>-12000</v>
      </c>
      <c r="BB267" s="27">
        <f t="shared" ref="BB267:BB277" si="250">SUM(R267,U267,X267)</f>
        <v>-12600</v>
      </c>
      <c r="BC267" s="28">
        <f t="shared" ref="BC267:BC277" si="251">SUM(S267,V267,Y267)</f>
        <v>-12000</v>
      </c>
      <c r="BD267" s="241">
        <f t="shared" ref="BD267:BD277" si="252">SUM(Z267,AC267,AF267)</f>
        <v>-12000</v>
      </c>
      <c r="BE267" s="27">
        <f t="shared" ref="BE267:BE277" si="253">SUM(AA267,AD267,AG267)</f>
        <v>-12600</v>
      </c>
      <c r="BF267" s="28">
        <f t="shared" ref="BF267:BF277" si="254">SUM(AB267,AE267,AH267)</f>
        <v>-12000</v>
      </c>
      <c r="BG267" s="241">
        <f t="shared" ref="BG267:BG277" si="255">SUM(AI267,AL267,AO267)</f>
        <v>-12000</v>
      </c>
      <c r="BH267" s="27">
        <f t="shared" ref="BH267:BH277" si="256">SUM(AJ267,AM267,AP267)</f>
        <v>-12600</v>
      </c>
      <c r="BI267" s="28">
        <f t="shared" ref="BI267:BI277" si="257">SUM(AK267,AN267,AQ267)</f>
        <v>-12000</v>
      </c>
    </row>
    <row r="268" spans="1:61" s="29" customFormat="1" hidden="1" outlineLevel="1" x14ac:dyDescent="0.3">
      <c r="A268" s="22" t="s">
        <v>298</v>
      </c>
      <c r="B268" s="23"/>
      <c r="C268" s="24" t="s">
        <v>67</v>
      </c>
      <c r="D268" s="116"/>
      <c r="E268" s="115"/>
      <c r="F268" s="56"/>
      <c r="G268" s="33"/>
      <c r="H268" s="241">
        <v>-460</v>
      </c>
      <c r="I268" s="27">
        <v>-525</v>
      </c>
      <c r="J268" s="28">
        <f>SUMIFS(Aut_BlueMe_Sem_Pedido!$J:$J,Aut_BlueMe_Sem_Pedido!$Q:$Q,DRE!H$4,Aut_BlueMe_Sem_Pedido!$H:$H,DRE!$A268)+SUMIFS(Aut_Ajustes_Manuais!$G:$G,Aut_Ajustes_Manuais!$I:$I,DRE!H$4,Aut_Ajustes_Manuais!$F:$F,"Assessoria de Imprensa")</f>
        <v>-500</v>
      </c>
      <c r="K268" s="241">
        <v>-460</v>
      </c>
      <c r="L268" s="27">
        <v>-525</v>
      </c>
      <c r="M268" s="28">
        <f>SUMIFS(Aut_BlueMe_Sem_Pedido!$J:$J,Aut_BlueMe_Sem_Pedido!$Q:$Q,DRE!K$4,Aut_BlueMe_Sem_Pedido!$H:$H,DRE!$A268)+SUMIFS(Aut_Ajustes_Manuais!$G:$G,Aut_Ajustes_Manuais!$I:$I,DRE!K$4,Aut_Ajustes_Manuais!$F:$F,"Assessoria de Imprensa")</f>
        <v>-500</v>
      </c>
      <c r="N268" s="241">
        <v>-460</v>
      </c>
      <c r="O268" s="27">
        <v>-525</v>
      </c>
      <c r="P268" s="28">
        <f>SUMIFS(Aut_BlueMe_Sem_Pedido!$J:$J,Aut_BlueMe_Sem_Pedido!$Q:$Q,DRE!N$4,Aut_BlueMe_Sem_Pedido!$H:$H,DRE!$A268)+SUMIFS(Aut_Ajustes_Manuais!$G:$G,Aut_Ajustes_Manuais!$I:$I,DRE!N$4,Aut_Ajustes_Manuais!$F:$F,"Assessoria de Imprensa")</f>
        <v>-500</v>
      </c>
      <c r="Q268" s="241">
        <v>-500</v>
      </c>
      <c r="R268" s="27">
        <v>-525</v>
      </c>
      <c r="S268" s="28">
        <f>SUMIFS(Aut_BlueMe_Sem_Pedido!$J:$J,Aut_BlueMe_Sem_Pedido!$Q:$Q,DRE!Q$4,Aut_BlueMe_Sem_Pedido!$H:$H,DRE!$A268)+SUMIFS(Aut_Ajustes_Manuais!$G:$G,Aut_Ajustes_Manuais!$I:$I,DRE!Q$4,Aut_Ajustes_Manuais!$F:$F,"Assessoria de Imprensa")</f>
        <v>-500</v>
      </c>
      <c r="T268" s="241">
        <v>-500</v>
      </c>
      <c r="U268" s="27">
        <v>-525</v>
      </c>
      <c r="V268" s="28">
        <f>SUMIFS(Aut_BlueMe_Sem_Pedido!$J:$J,Aut_BlueMe_Sem_Pedido!$Q:$Q,DRE!T$4,Aut_BlueMe_Sem_Pedido!$H:$H,DRE!$A268)+SUMIFS(Aut_Ajustes_Manuais!$G:$G,Aut_Ajustes_Manuais!$I:$I,DRE!T$4,Aut_Ajustes_Manuais!$F:$F,"Assessoria de Imprensa")</f>
        <v>-500</v>
      </c>
      <c r="W268" s="241">
        <v>-500</v>
      </c>
      <c r="X268" s="27">
        <v>-525</v>
      </c>
      <c r="Y268" s="28">
        <f>SUMIFS(Aut_BlueMe_Sem_Pedido!$J:$J,Aut_BlueMe_Sem_Pedido!$Q:$Q,DRE!W$4,Aut_BlueMe_Sem_Pedido!$H:$H,DRE!$A268)+SUMIFS(Aut_Ajustes_Manuais!$G:$G,Aut_Ajustes_Manuais!$I:$I,DRE!W$4,Aut_Ajustes_Manuais!$F:$F,"Assessoria de Imprensa")</f>
        <v>-500</v>
      </c>
      <c r="Z268" s="241">
        <v>-500</v>
      </c>
      <c r="AA268" s="27">
        <v>-525</v>
      </c>
      <c r="AB268" s="28">
        <f>SUMIFS(Aut_BlueMe_Sem_Pedido!$J:$J,Aut_BlueMe_Sem_Pedido!$Q:$Q,DRE!Z$4,Aut_BlueMe_Sem_Pedido!$H:$H,DRE!$A268)+SUMIFS(Aut_Ajustes_Manuais!$G:$G,Aut_Ajustes_Manuais!$I:$I,DRE!Z$4,Aut_Ajustes_Manuais!$F:$F,"Assessoria de Imprensa")</f>
        <v>-500</v>
      </c>
      <c r="AC268" s="241">
        <v>-500</v>
      </c>
      <c r="AD268" s="27">
        <v>-525</v>
      </c>
      <c r="AE268" s="28">
        <f>SUMIFS(Aut_BlueMe_Sem_Pedido!$J:$J,Aut_BlueMe_Sem_Pedido!$Q:$Q,DRE!AC$4,Aut_BlueMe_Sem_Pedido!$H:$H,DRE!$A268)+SUMIFS(Aut_Ajustes_Manuais!$G:$G,Aut_Ajustes_Manuais!$I:$I,DRE!AC$4,Aut_Ajustes_Manuais!$F:$F,"Assessoria de Imprensa")</f>
        <v>-500</v>
      </c>
      <c r="AF268" s="241">
        <v>-500</v>
      </c>
      <c r="AG268" s="27">
        <v>-525</v>
      </c>
      <c r="AH268" s="28">
        <f>SUMIFS(Aut_BlueMe_Sem_Pedido!$J:$J,Aut_BlueMe_Sem_Pedido!$Q:$Q,DRE!AF$4,Aut_BlueMe_Sem_Pedido!$H:$H,DRE!$A268)+SUMIFS(Aut_Ajustes_Manuais!$G:$G,Aut_Ajustes_Manuais!$I:$I,DRE!AF$4,Aut_Ajustes_Manuais!$F:$F,"Assessoria de Imprensa")</f>
        <v>-500</v>
      </c>
      <c r="AI268" s="241">
        <v>-500</v>
      </c>
      <c r="AJ268" s="27">
        <v>-525</v>
      </c>
      <c r="AK268" s="28">
        <f>SUMIFS(Aut_BlueMe_Sem_Pedido!$J:$J,Aut_BlueMe_Sem_Pedido!$Q:$Q,DRE!AI$4,Aut_BlueMe_Sem_Pedido!$H:$H,DRE!$A268)+SUMIFS(Aut_Ajustes_Manuais!$G:$G,Aut_Ajustes_Manuais!$I:$I,DRE!AI$4,Aut_Ajustes_Manuais!$F:$F,"Assessoria de Imprensa")</f>
        <v>-500</v>
      </c>
      <c r="AL268" s="241">
        <v>-500</v>
      </c>
      <c r="AM268" s="27">
        <v>-525</v>
      </c>
      <c r="AN268" s="28">
        <f>SUMIFS(Aut_BlueMe_Sem_Pedido!$J:$J,Aut_BlueMe_Sem_Pedido!$Q:$Q,DRE!AL$4,Aut_BlueMe_Sem_Pedido!$H:$H,DRE!$A268)+SUMIFS(Aut_Ajustes_Manuais!$G:$G,Aut_Ajustes_Manuais!$I:$I,DRE!AL$4,Aut_Ajustes_Manuais!$F:$F,"Assessoria de Imprensa")</f>
        <v>-500</v>
      </c>
      <c r="AO268" s="241">
        <v>-500</v>
      </c>
      <c r="AP268" s="27">
        <v>-525</v>
      </c>
      <c r="AQ268" s="28">
        <f>SUMIFS(Aut_BlueMe_Sem_Pedido!$J:$J,Aut_BlueMe_Sem_Pedido!$Q:$Q,DRE!AO$4,Aut_BlueMe_Sem_Pedido!$H:$H,DRE!$A268)+SUMIFS(Aut_Ajustes_Manuais!$G:$G,Aut_Ajustes_Manuais!$I:$I,DRE!AO$4,Aut_Ajustes_Manuais!$F:$F,"Assessoria de Imprensa")</f>
        <v>-500</v>
      </c>
      <c r="AR268" s="241">
        <f t="shared" ca="1" si="240"/>
        <v>-2880</v>
      </c>
      <c r="AS268" s="27">
        <f t="shared" ca="1" si="241"/>
        <v>-3150</v>
      </c>
      <c r="AT268" s="28">
        <f t="shared" ca="1" si="242"/>
        <v>-3000</v>
      </c>
      <c r="AU268" s="241">
        <f t="shared" si="243"/>
        <v>-5880</v>
      </c>
      <c r="AV268" s="27">
        <f t="shared" si="244"/>
        <v>-6300</v>
      </c>
      <c r="AW268" s="28">
        <f t="shared" si="245"/>
        <v>-6000</v>
      </c>
      <c r="AX268" s="241">
        <f t="shared" si="246"/>
        <v>-1380</v>
      </c>
      <c r="AY268" s="27">
        <f t="shared" si="247"/>
        <v>-1575</v>
      </c>
      <c r="AZ268" s="28">
        <f t="shared" si="248"/>
        <v>-1500</v>
      </c>
      <c r="BA268" s="241">
        <f t="shared" si="249"/>
        <v>-1500</v>
      </c>
      <c r="BB268" s="27">
        <f t="shared" si="250"/>
        <v>-1575</v>
      </c>
      <c r="BC268" s="28">
        <f t="shared" si="251"/>
        <v>-1500</v>
      </c>
      <c r="BD268" s="241">
        <f t="shared" si="252"/>
        <v>-1500</v>
      </c>
      <c r="BE268" s="27">
        <f t="shared" si="253"/>
        <v>-1575</v>
      </c>
      <c r="BF268" s="28">
        <f t="shared" si="254"/>
        <v>-1500</v>
      </c>
      <c r="BG268" s="241">
        <f t="shared" si="255"/>
        <v>-1500</v>
      </c>
      <c r="BH268" s="27">
        <f t="shared" si="256"/>
        <v>-1575</v>
      </c>
      <c r="BI268" s="28">
        <f t="shared" si="257"/>
        <v>-1500</v>
      </c>
    </row>
    <row r="269" spans="1:61" s="29" customFormat="1" hidden="1" outlineLevel="1" x14ac:dyDescent="0.3">
      <c r="A269" s="22" t="s">
        <v>299</v>
      </c>
      <c r="B269" s="23"/>
      <c r="C269" s="24" t="s">
        <v>67</v>
      </c>
      <c r="D269" s="116"/>
      <c r="E269" s="115"/>
      <c r="F269" s="56"/>
      <c r="G269" s="33"/>
      <c r="H269" s="241">
        <v>0</v>
      </c>
      <c r="I269" s="27">
        <v>0</v>
      </c>
      <c r="J269" s="28">
        <f>SUMIFS(Aut_BlueMe_Sem_Pedido!$J:$J,Aut_BlueMe_Sem_Pedido!$Q:$Q,DRE!H$4,Aut_BlueMe_Sem_Pedido!$H:$H,DRE!$A269)+SUMIFS(Aut_Ajustes_Manuais!$G:$G,Aut_Ajustes_Manuais!$I:$I,DRE!H$4,Aut_Ajustes_Manuais!$F:$F,"Assessoria de Relações Públicas")</f>
        <v>0</v>
      </c>
      <c r="K269" s="241">
        <v>0</v>
      </c>
      <c r="L269" s="27">
        <v>0</v>
      </c>
      <c r="M269" s="28">
        <f>SUMIFS(Aut_BlueMe_Sem_Pedido!$J:$J,Aut_BlueMe_Sem_Pedido!$Q:$Q,DRE!K$4,Aut_BlueMe_Sem_Pedido!$H:$H,DRE!$A269)+SUMIFS(Aut_Ajustes_Manuais!$G:$G,Aut_Ajustes_Manuais!$I:$I,DRE!K$4,Aut_Ajustes_Manuais!$F:$F,"Assessoria de Relações Públicas")</f>
        <v>0</v>
      </c>
      <c r="N269" s="241">
        <v>0</v>
      </c>
      <c r="O269" s="27">
        <v>0</v>
      </c>
      <c r="P269" s="28">
        <f>SUMIFS(Aut_BlueMe_Sem_Pedido!$J:$J,Aut_BlueMe_Sem_Pedido!$Q:$Q,DRE!N$4,Aut_BlueMe_Sem_Pedido!$H:$H,DRE!$A269)+SUMIFS(Aut_Ajustes_Manuais!$G:$G,Aut_Ajustes_Manuais!$I:$I,DRE!N$4,Aut_Ajustes_Manuais!$F:$F,"Assessoria de Relações Públicas")</f>
        <v>0</v>
      </c>
      <c r="Q269" s="241">
        <v>0</v>
      </c>
      <c r="R269" s="27">
        <v>0</v>
      </c>
      <c r="S269" s="28">
        <f>SUMIFS(Aut_BlueMe_Sem_Pedido!$J:$J,Aut_BlueMe_Sem_Pedido!$Q:$Q,DRE!Q$4,Aut_BlueMe_Sem_Pedido!$H:$H,DRE!$A269)+SUMIFS(Aut_Ajustes_Manuais!$G:$G,Aut_Ajustes_Manuais!$I:$I,DRE!Q$4,Aut_Ajustes_Manuais!$F:$F,"Assessoria de Relações Públicas")</f>
        <v>0</v>
      </c>
      <c r="T269" s="241">
        <v>0</v>
      </c>
      <c r="U269" s="27">
        <v>0</v>
      </c>
      <c r="V269" s="28">
        <f>SUMIFS(Aut_BlueMe_Sem_Pedido!$J:$J,Aut_BlueMe_Sem_Pedido!$Q:$Q,DRE!T$4,Aut_BlueMe_Sem_Pedido!$H:$H,DRE!$A269)+SUMIFS(Aut_Ajustes_Manuais!$G:$G,Aut_Ajustes_Manuais!$I:$I,DRE!T$4,Aut_Ajustes_Manuais!$F:$F,"Assessoria de Relações Públicas")</f>
        <v>0</v>
      </c>
      <c r="W269" s="241">
        <v>0</v>
      </c>
      <c r="X269" s="27">
        <v>0</v>
      </c>
      <c r="Y269" s="28">
        <f>SUMIFS(Aut_BlueMe_Sem_Pedido!$J:$J,Aut_BlueMe_Sem_Pedido!$Q:$Q,DRE!W$4,Aut_BlueMe_Sem_Pedido!$H:$H,DRE!$A269)+SUMIFS(Aut_Ajustes_Manuais!$G:$G,Aut_Ajustes_Manuais!$I:$I,DRE!W$4,Aut_Ajustes_Manuais!$F:$F,"Assessoria de Relações Públicas")</f>
        <v>0</v>
      </c>
      <c r="Z269" s="241">
        <v>0</v>
      </c>
      <c r="AA269" s="27">
        <v>0</v>
      </c>
      <c r="AB269" s="28">
        <f>SUMIFS(Aut_BlueMe_Sem_Pedido!$J:$J,Aut_BlueMe_Sem_Pedido!$Q:$Q,DRE!Z$4,Aut_BlueMe_Sem_Pedido!$H:$H,DRE!$A269)+SUMIFS(Aut_Ajustes_Manuais!$G:$G,Aut_Ajustes_Manuais!$I:$I,DRE!Z$4,Aut_Ajustes_Manuais!$F:$F,"Assessoria de Relações Públicas")</f>
        <v>0</v>
      </c>
      <c r="AC269" s="241">
        <v>0</v>
      </c>
      <c r="AD269" s="27">
        <v>0</v>
      </c>
      <c r="AE269" s="28">
        <f>SUMIFS(Aut_BlueMe_Sem_Pedido!$J:$J,Aut_BlueMe_Sem_Pedido!$Q:$Q,DRE!AC$4,Aut_BlueMe_Sem_Pedido!$H:$H,DRE!$A269)+SUMIFS(Aut_Ajustes_Manuais!$G:$G,Aut_Ajustes_Manuais!$I:$I,DRE!AC$4,Aut_Ajustes_Manuais!$F:$F,"Assessoria de Relações Públicas")</f>
        <v>0</v>
      </c>
      <c r="AF269" s="241">
        <v>0</v>
      </c>
      <c r="AG269" s="27">
        <v>0</v>
      </c>
      <c r="AH269" s="28">
        <f>SUMIFS(Aut_BlueMe_Sem_Pedido!$J:$J,Aut_BlueMe_Sem_Pedido!$Q:$Q,DRE!AF$4,Aut_BlueMe_Sem_Pedido!$H:$H,DRE!$A269)+SUMIFS(Aut_Ajustes_Manuais!$G:$G,Aut_Ajustes_Manuais!$I:$I,DRE!AF$4,Aut_Ajustes_Manuais!$F:$F,"Assessoria de Relações Públicas")</f>
        <v>0</v>
      </c>
      <c r="AI269" s="241">
        <v>0</v>
      </c>
      <c r="AJ269" s="27">
        <v>0</v>
      </c>
      <c r="AK269" s="28">
        <f>SUMIFS(Aut_BlueMe_Sem_Pedido!$J:$J,Aut_BlueMe_Sem_Pedido!$Q:$Q,DRE!AI$4,Aut_BlueMe_Sem_Pedido!$H:$H,DRE!$A269)+SUMIFS(Aut_Ajustes_Manuais!$G:$G,Aut_Ajustes_Manuais!$I:$I,DRE!AI$4,Aut_Ajustes_Manuais!$F:$F,"Assessoria de Relações Públicas")</f>
        <v>0</v>
      </c>
      <c r="AL269" s="241">
        <v>0</v>
      </c>
      <c r="AM269" s="27">
        <v>0</v>
      </c>
      <c r="AN269" s="28">
        <f>SUMIFS(Aut_BlueMe_Sem_Pedido!$J:$J,Aut_BlueMe_Sem_Pedido!$Q:$Q,DRE!AL$4,Aut_BlueMe_Sem_Pedido!$H:$H,DRE!$A269)+SUMIFS(Aut_Ajustes_Manuais!$G:$G,Aut_Ajustes_Manuais!$I:$I,DRE!AL$4,Aut_Ajustes_Manuais!$F:$F,"Assessoria de Relações Públicas")</f>
        <v>0</v>
      </c>
      <c r="AO269" s="241">
        <v>0</v>
      </c>
      <c r="AP269" s="27">
        <v>0</v>
      </c>
      <c r="AQ269" s="28">
        <f>SUMIFS(Aut_BlueMe_Sem_Pedido!$J:$J,Aut_BlueMe_Sem_Pedido!$Q:$Q,DRE!AO$4,Aut_BlueMe_Sem_Pedido!$H:$H,DRE!$A269)+SUMIFS(Aut_Ajustes_Manuais!$G:$G,Aut_Ajustes_Manuais!$I:$I,DRE!AO$4,Aut_Ajustes_Manuais!$F:$F,"Assessoria de Relações Públicas")</f>
        <v>0</v>
      </c>
      <c r="AR269" s="241">
        <f t="shared" ca="1" si="240"/>
        <v>0</v>
      </c>
      <c r="AS269" s="27">
        <f t="shared" ca="1" si="241"/>
        <v>0</v>
      </c>
      <c r="AT269" s="28">
        <f t="shared" ca="1" si="242"/>
        <v>0</v>
      </c>
      <c r="AU269" s="241">
        <f t="shared" si="243"/>
        <v>0</v>
      </c>
      <c r="AV269" s="27">
        <f t="shared" si="244"/>
        <v>0</v>
      </c>
      <c r="AW269" s="28">
        <f t="shared" si="245"/>
        <v>0</v>
      </c>
      <c r="AX269" s="241">
        <f t="shared" si="246"/>
        <v>0</v>
      </c>
      <c r="AY269" s="27">
        <f t="shared" si="247"/>
        <v>0</v>
      </c>
      <c r="AZ269" s="28">
        <f t="shared" si="248"/>
        <v>0</v>
      </c>
      <c r="BA269" s="241">
        <f t="shared" si="249"/>
        <v>0</v>
      </c>
      <c r="BB269" s="27">
        <f t="shared" si="250"/>
        <v>0</v>
      </c>
      <c r="BC269" s="28">
        <f t="shared" si="251"/>
        <v>0</v>
      </c>
      <c r="BD269" s="241">
        <f t="shared" si="252"/>
        <v>0</v>
      </c>
      <c r="BE269" s="27">
        <f t="shared" si="253"/>
        <v>0</v>
      </c>
      <c r="BF269" s="28">
        <f t="shared" si="254"/>
        <v>0</v>
      </c>
      <c r="BG269" s="241">
        <f t="shared" si="255"/>
        <v>0</v>
      </c>
      <c r="BH269" s="27">
        <f t="shared" si="256"/>
        <v>0</v>
      </c>
      <c r="BI269" s="28">
        <f t="shared" si="257"/>
        <v>0</v>
      </c>
    </row>
    <row r="270" spans="1:61" s="29" customFormat="1" hidden="1" outlineLevel="1" x14ac:dyDescent="0.3">
      <c r="A270" s="22" t="s">
        <v>300</v>
      </c>
      <c r="B270" s="23"/>
      <c r="C270" s="24" t="s">
        <v>60</v>
      </c>
      <c r="D270" s="121"/>
      <c r="E270" s="114"/>
      <c r="F270" s="56"/>
      <c r="G270" s="33"/>
      <c r="H270" s="241">
        <v>-140.38405121969191</v>
      </c>
      <c r="I270" s="27">
        <v>0</v>
      </c>
      <c r="J270" s="28">
        <f>SUMIFS(Aut_BlueMe_Sem_Pedido!$J:$J,Aut_BlueMe_Sem_Pedido!$Q:$Q,DRE!H$4,Aut_BlueMe_Sem_Pedido!$H:$H,DRE!$A270)+SUMIFS(Aut_Ajustes_Manuais!$G:$G,Aut_Ajustes_Manuais!$I:$I,DRE!H$4,Aut_Ajustes_Manuais!$F:$F,"Influenciadores")</f>
        <v>0</v>
      </c>
      <c r="K270" s="241">
        <v>-2000</v>
      </c>
      <c r="L270" s="27">
        <v>0</v>
      </c>
      <c r="M270" s="28">
        <f>SUMIFS(Aut_BlueMe_Sem_Pedido!$J:$J,Aut_BlueMe_Sem_Pedido!$Q:$Q,DRE!K$4,Aut_BlueMe_Sem_Pedido!$H:$H,DRE!$A270)+SUMIFS(Aut_Ajustes_Manuais!$G:$G,Aut_Ajustes_Manuais!$I:$I,DRE!K$4,Aut_Ajustes_Manuais!$F:$F,"Influenciadores")</f>
        <v>0</v>
      </c>
      <c r="N270" s="241">
        <v>0</v>
      </c>
      <c r="O270" s="27">
        <v>0</v>
      </c>
      <c r="P270" s="28">
        <f>SUMIFS(Aut_BlueMe_Sem_Pedido!$J:$J,Aut_BlueMe_Sem_Pedido!$Q:$Q,DRE!N$4,Aut_BlueMe_Sem_Pedido!$H:$H,DRE!$A270)+SUMIFS(Aut_Ajustes_Manuais!$G:$G,Aut_Ajustes_Manuais!$I:$I,DRE!N$4,Aut_Ajustes_Manuais!$F:$F,"Influenciadores")</f>
        <v>0</v>
      </c>
      <c r="Q270" s="241">
        <v>-289.60192143858171</v>
      </c>
      <c r="R270" s="27">
        <v>0</v>
      </c>
      <c r="S270" s="28">
        <f>SUMIFS(Aut_BlueMe_Sem_Pedido!$J:$J,Aut_BlueMe_Sem_Pedido!$Q:$Q,DRE!Q$4,Aut_BlueMe_Sem_Pedido!$H:$H,DRE!$A270)+SUMIFS(Aut_Ajustes_Manuais!$G:$G,Aut_Ajustes_Manuais!$I:$I,DRE!Q$4,Aut_Ajustes_Manuais!$F:$F,"Influenciadores")</f>
        <v>0</v>
      </c>
      <c r="T270" s="241">
        <v>0</v>
      </c>
      <c r="U270" s="27">
        <v>0</v>
      </c>
      <c r="V270" s="28">
        <f>SUMIFS(Aut_BlueMe_Sem_Pedido!$J:$J,Aut_BlueMe_Sem_Pedido!$Q:$Q,DRE!T$4,Aut_BlueMe_Sem_Pedido!$H:$H,DRE!$A270)+SUMIFS(Aut_Ajustes_Manuais!$G:$G,Aut_Ajustes_Manuais!$I:$I,DRE!T$4,Aut_Ajustes_Manuais!$F:$F,"Influenciadores")</f>
        <v>0</v>
      </c>
      <c r="W270" s="241">
        <v>0</v>
      </c>
      <c r="X270" s="27">
        <v>0</v>
      </c>
      <c r="Y270" s="28">
        <f>SUMIFS(Aut_BlueMe_Sem_Pedido!$J:$J,Aut_BlueMe_Sem_Pedido!$Q:$Q,DRE!W$4,Aut_BlueMe_Sem_Pedido!$H:$H,DRE!$A270)+SUMIFS(Aut_Ajustes_Manuais!$G:$G,Aut_Ajustes_Manuais!$I:$I,DRE!W$4,Aut_Ajustes_Manuais!$F:$F,"Influenciadores")</f>
        <v>0</v>
      </c>
      <c r="Z270" s="241">
        <v>0</v>
      </c>
      <c r="AA270" s="27">
        <v>0</v>
      </c>
      <c r="AB270" s="28">
        <f>SUMIFS(Aut_BlueMe_Sem_Pedido!$J:$J,Aut_BlueMe_Sem_Pedido!$Q:$Q,DRE!Z$4,Aut_BlueMe_Sem_Pedido!$H:$H,DRE!$A270)+SUMIFS(Aut_Ajustes_Manuais!$G:$G,Aut_Ajustes_Manuais!$I:$I,DRE!Z$4,Aut_Ajustes_Manuais!$F:$F,"Influenciadores")</f>
        <v>0</v>
      </c>
      <c r="AC270" s="241">
        <v>0</v>
      </c>
      <c r="AD270" s="27">
        <v>0</v>
      </c>
      <c r="AE270" s="28">
        <f>SUMIFS(Aut_BlueMe_Sem_Pedido!$J:$J,Aut_BlueMe_Sem_Pedido!$Q:$Q,DRE!AC$4,Aut_BlueMe_Sem_Pedido!$H:$H,DRE!$A270)+SUMIFS(Aut_Ajustes_Manuais!$G:$G,Aut_Ajustes_Manuais!$I:$I,DRE!AC$4,Aut_Ajustes_Manuais!$F:$F,"Influenciadores")</f>
        <v>0</v>
      </c>
      <c r="AF270" s="241">
        <v>0</v>
      </c>
      <c r="AG270" s="27">
        <v>0</v>
      </c>
      <c r="AH270" s="28">
        <f>SUMIFS(Aut_BlueMe_Sem_Pedido!$J:$J,Aut_BlueMe_Sem_Pedido!$Q:$Q,DRE!AF$4,Aut_BlueMe_Sem_Pedido!$H:$H,DRE!$A270)+SUMIFS(Aut_Ajustes_Manuais!$G:$G,Aut_Ajustes_Manuais!$I:$I,DRE!AF$4,Aut_Ajustes_Manuais!$F:$F,"Influenciadores")</f>
        <v>0</v>
      </c>
      <c r="AI270" s="241">
        <v>-3990</v>
      </c>
      <c r="AJ270" s="27">
        <v>0</v>
      </c>
      <c r="AK270" s="28">
        <f>SUMIFS(Aut_BlueMe_Sem_Pedido!$J:$J,Aut_BlueMe_Sem_Pedido!$Q:$Q,DRE!AI$4,Aut_BlueMe_Sem_Pedido!$H:$H,DRE!$A270)+SUMIFS(Aut_Ajustes_Manuais!$G:$G,Aut_Ajustes_Manuais!$I:$I,DRE!AI$4,Aut_Ajustes_Manuais!$F:$F,"Influenciadores")</f>
        <v>0</v>
      </c>
      <c r="AL270" s="241">
        <v>0</v>
      </c>
      <c r="AM270" s="27">
        <v>0</v>
      </c>
      <c r="AN270" s="28">
        <f>SUMIFS(Aut_BlueMe_Sem_Pedido!$J:$J,Aut_BlueMe_Sem_Pedido!$Q:$Q,DRE!AL$4,Aut_BlueMe_Sem_Pedido!$H:$H,DRE!$A270)+SUMIFS(Aut_Ajustes_Manuais!$G:$G,Aut_Ajustes_Manuais!$I:$I,DRE!AL$4,Aut_Ajustes_Manuais!$F:$F,"Influenciadores")</f>
        <v>0</v>
      </c>
      <c r="AO270" s="241">
        <v>0</v>
      </c>
      <c r="AP270" s="27">
        <v>0</v>
      </c>
      <c r="AQ270" s="28">
        <f>SUMIFS(Aut_BlueMe_Sem_Pedido!$J:$J,Aut_BlueMe_Sem_Pedido!$Q:$Q,DRE!AO$4,Aut_BlueMe_Sem_Pedido!$H:$H,DRE!$A270)+SUMIFS(Aut_Ajustes_Manuais!$G:$G,Aut_Ajustes_Manuais!$I:$I,DRE!AO$4,Aut_Ajustes_Manuais!$F:$F,"Influenciadores")</f>
        <v>0</v>
      </c>
      <c r="AR270" s="241">
        <f t="shared" ca="1" si="240"/>
        <v>-2429.9859726582736</v>
      </c>
      <c r="AS270" s="27">
        <f t="shared" ca="1" si="241"/>
        <v>0</v>
      </c>
      <c r="AT270" s="28">
        <f t="shared" ca="1" si="242"/>
        <v>0</v>
      </c>
      <c r="AU270" s="241">
        <f t="shared" si="243"/>
        <v>-6419.9859726582736</v>
      </c>
      <c r="AV270" s="27">
        <f t="shared" si="244"/>
        <v>0</v>
      </c>
      <c r="AW270" s="28">
        <f t="shared" si="245"/>
        <v>0</v>
      </c>
      <c r="AX270" s="241">
        <f t="shared" si="246"/>
        <v>-2140.3840512196921</v>
      </c>
      <c r="AY270" s="27">
        <f t="shared" si="247"/>
        <v>0</v>
      </c>
      <c r="AZ270" s="28">
        <f t="shared" si="248"/>
        <v>0</v>
      </c>
      <c r="BA270" s="241">
        <f t="shared" si="249"/>
        <v>-289.60192143858171</v>
      </c>
      <c r="BB270" s="27">
        <f t="shared" si="250"/>
        <v>0</v>
      </c>
      <c r="BC270" s="28">
        <f t="shared" si="251"/>
        <v>0</v>
      </c>
      <c r="BD270" s="241">
        <f t="shared" si="252"/>
        <v>0</v>
      </c>
      <c r="BE270" s="27">
        <f t="shared" si="253"/>
        <v>0</v>
      </c>
      <c r="BF270" s="28">
        <f t="shared" si="254"/>
        <v>0</v>
      </c>
      <c r="BG270" s="241">
        <f t="shared" si="255"/>
        <v>-3990</v>
      </c>
      <c r="BH270" s="27">
        <f t="shared" si="256"/>
        <v>0</v>
      </c>
      <c r="BI270" s="28">
        <f t="shared" si="257"/>
        <v>0</v>
      </c>
    </row>
    <row r="271" spans="1:61" s="29" customFormat="1" hidden="1" outlineLevel="1" x14ac:dyDescent="0.3">
      <c r="A271" s="22" t="s">
        <v>301</v>
      </c>
      <c r="B271" s="23"/>
      <c r="C271" s="24" t="s">
        <v>60</v>
      </c>
      <c r="D271" s="121">
        <v>-11000</v>
      </c>
      <c r="E271" s="114"/>
      <c r="F271" s="56"/>
      <c r="G271" s="33"/>
      <c r="H271" s="241">
        <v>-1860.68</v>
      </c>
      <c r="I271" s="27">
        <v>-1070.5850719241289</v>
      </c>
      <c r="J271" s="28">
        <f>SUMIFS(Aut_BlueMe_Sem_Pedido!$J:$J,Aut_BlueMe_Sem_Pedido!$Q:$Q,DRE!H$4,Aut_BlueMe_Sem_Pedido!$H:$H,DRE!$A271)+SUMIFS(Aut_Ajustes_Manuais!$G:$G,Aut_Ajustes_Manuais!$I:$I,DRE!H$4,Aut_Ajustes_Manuais!$F:$F,"Publicidade e Propaganda")</f>
        <v>-623.64</v>
      </c>
      <c r="K271" s="241">
        <v>-1341.73</v>
      </c>
      <c r="L271" s="27">
        <v>-1077.379594691429</v>
      </c>
      <c r="M271" s="28">
        <f>SUMIFS(Aut_BlueMe_Sem_Pedido!$J:$J,Aut_BlueMe_Sem_Pedido!$Q:$Q,DRE!K$4,Aut_BlueMe_Sem_Pedido!$H:$H,DRE!$A271)+SUMIFS(Aut_Ajustes_Manuais!$G:$G,Aut_Ajustes_Manuais!$I:$I,DRE!K$4,Aut_Ajustes_Manuais!$F:$F,"Publicidade e Propaganda")</f>
        <v>-1846.58</v>
      </c>
      <c r="N271" s="241">
        <v>-581.64</v>
      </c>
      <c r="O271" s="27">
        <v>-1097.88397293871</v>
      </c>
      <c r="P271" s="28">
        <f>SUMIFS(Aut_BlueMe_Sem_Pedido!$J:$J,Aut_BlueMe_Sem_Pedido!$Q:$Q,DRE!N$4,Aut_BlueMe_Sem_Pedido!$H:$H,DRE!$A271)+SUMIFS(Aut_Ajustes_Manuais!$G:$G,Aut_Ajustes_Manuais!$I:$I,DRE!N$4,Aut_Ajustes_Manuais!$F:$F,"Publicidade e Propaganda")</f>
        <v>-404.18</v>
      </c>
      <c r="Q271" s="241">
        <v>-99.4</v>
      </c>
      <c r="R271" s="27">
        <v>-1092.688971414</v>
      </c>
      <c r="S271" s="28">
        <f>SUMIFS(Aut_BlueMe_Sem_Pedido!$J:$J,Aut_BlueMe_Sem_Pedido!$Q:$Q,DRE!Q$4,Aut_BlueMe_Sem_Pedido!$H:$H,DRE!$A271)+SUMIFS(Aut_Ajustes_Manuais!$G:$G,Aut_Ajustes_Manuais!$I:$I,DRE!Q$4,Aut_Ajustes_Manuais!$F:$F,"Publicidade e Propaganda")</f>
        <v>-1770.73</v>
      </c>
      <c r="T271" s="241">
        <v>-965.61</v>
      </c>
      <c r="U271" s="27">
        <v>-1091.7769672374191</v>
      </c>
      <c r="V271" s="28">
        <f>SUMIFS(Aut_BlueMe_Sem_Pedido!$J:$J,Aut_BlueMe_Sem_Pedido!$Q:$Q,DRE!T$4,Aut_BlueMe_Sem_Pedido!$H:$H,DRE!$A271)+SUMIFS(Aut_Ajustes_Manuais!$G:$G,Aut_Ajustes_Manuais!$I:$I,DRE!T$4,Aut_Ajustes_Manuais!$F:$F,"Publicidade e Propaganda")</f>
        <v>-1638.01</v>
      </c>
      <c r="W271" s="241">
        <v>-423.46</v>
      </c>
      <c r="X271" s="27">
        <v>-1085.311809348839</v>
      </c>
      <c r="Y271" s="28">
        <f>SUMIFS(Aut_BlueMe_Sem_Pedido!$J:$J,Aut_BlueMe_Sem_Pedido!$Q:$Q,DRE!W$4,Aut_BlueMe_Sem_Pedido!$H:$H,DRE!$A271)+SUMIFS(Aut_Ajustes_Manuais!$G:$G,Aut_Ajustes_Manuais!$I:$I,DRE!W$4,Aut_Ajustes_Manuais!$F:$F,"Publicidade e Propaganda")</f>
        <v>-1008.33</v>
      </c>
      <c r="Z271" s="241">
        <v>-1575.62</v>
      </c>
      <c r="AA271" s="27">
        <v>-1111.5656801083869</v>
      </c>
      <c r="AB271" s="28">
        <f>SUMIFS(Aut_BlueMe_Sem_Pedido!$J:$J,Aut_BlueMe_Sem_Pedido!$Q:$Q,DRE!Z$4,Aut_BlueMe_Sem_Pedido!$H:$H,DRE!$A271)+SUMIFS(Aut_Ajustes_Manuais!$G:$G,Aut_Ajustes_Manuais!$I:$I,DRE!Z$4,Aut_Ajustes_Manuais!$F:$F,"Publicidade e Propaganda")</f>
        <v>-1500</v>
      </c>
      <c r="AC271" s="241">
        <v>-2365.16</v>
      </c>
      <c r="AD271" s="27">
        <v>-1105.5470657799999</v>
      </c>
      <c r="AE271" s="28">
        <f>SUMIFS(Aut_BlueMe_Sem_Pedido!$J:$J,Aut_BlueMe_Sem_Pedido!$Q:$Q,DRE!AC$4,Aut_BlueMe_Sem_Pedido!$H:$H,DRE!$A271)+SUMIFS(Aut_Ajustes_Manuais!$G:$G,Aut_Ajustes_Manuais!$I:$I,DRE!AC$4,Aut_Ajustes_Manuais!$F:$F,"Publicidade e Propaganda")</f>
        <v>-1500</v>
      </c>
      <c r="AF271" s="241">
        <v>-1686.34</v>
      </c>
      <c r="AG271" s="27">
        <v>-1093.998365209892</v>
      </c>
      <c r="AH271" s="28">
        <f>SUMIFS(Aut_BlueMe_Sem_Pedido!$J:$J,Aut_BlueMe_Sem_Pedido!$Q:$Q,DRE!AF$4,Aut_BlueMe_Sem_Pedido!$H:$H,DRE!$A271)+SUMIFS(Aut_Ajustes_Manuais!$G:$G,Aut_Ajustes_Manuais!$I:$I,DRE!AF$4,Aut_Ajustes_Manuais!$F:$F,"Publicidade e Propaganda")</f>
        <v>-1500</v>
      </c>
      <c r="AI271" s="241">
        <v>-2674.41</v>
      </c>
      <c r="AJ271" s="27">
        <v>-1097.070754653065</v>
      </c>
      <c r="AK271" s="28">
        <f>SUMIFS(Aut_BlueMe_Sem_Pedido!$J:$J,Aut_BlueMe_Sem_Pedido!$Q:$Q,DRE!AI$4,Aut_BlueMe_Sem_Pedido!$H:$H,DRE!$A271)+SUMIFS(Aut_Ajustes_Manuais!$G:$G,Aut_Ajustes_Manuais!$I:$I,DRE!AI$4,Aut_Ajustes_Manuais!$F:$F,"Publicidade e Propaganda")</f>
        <v>-1500</v>
      </c>
      <c r="AL271" s="241">
        <v>-1188.57</v>
      </c>
      <c r="AM271" s="27">
        <v>-1102.7272628925809</v>
      </c>
      <c r="AN271" s="28">
        <f>SUMIFS(Aut_BlueMe_Sem_Pedido!$J:$J,Aut_BlueMe_Sem_Pedido!$Q:$Q,DRE!AL$4,Aut_BlueMe_Sem_Pedido!$H:$H,DRE!$A271)+SUMIFS(Aut_Ajustes_Manuais!$G:$G,Aut_Ajustes_Manuais!$I:$I,DRE!AL$4,Aut_Ajustes_Manuais!$F:$F,"Publicidade e Propaganda")</f>
        <v>-1500</v>
      </c>
      <c r="AO271" s="241">
        <v>-1984.65</v>
      </c>
      <c r="AP271" s="27">
        <v>-1131.193904401669</v>
      </c>
      <c r="AQ271" s="28">
        <f>SUMIFS(Aut_BlueMe_Sem_Pedido!$J:$J,Aut_BlueMe_Sem_Pedido!$Q:$Q,DRE!AO$4,Aut_BlueMe_Sem_Pedido!$H:$H,DRE!$A271)+SUMIFS(Aut_Ajustes_Manuais!$G:$G,Aut_Ajustes_Manuais!$I:$I,DRE!AO$4,Aut_Ajustes_Manuais!$F:$F,"Publicidade e Propaganda")</f>
        <v>-1500</v>
      </c>
      <c r="AR271" s="241">
        <f t="shared" ca="1" si="240"/>
        <v>-5272.5199999999995</v>
      </c>
      <c r="AS271" s="27">
        <f t="shared" ca="1" si="241"/>
        <v>-6515.6263875545255</v>
      </c>
      <c r="AT271" s="28">
        <f t="shared" ca="1" si="242"/>
        <v>-7291.4699999999993</v>
      </c>
      <c r="AU271" s="241">
        <f t="shared" si="243"/>
        <v>-16747.27</v>
      </c>
      <c r="AV271" s="27">
        <f t="shared" si="244"/>
        <v>-13157.729420600119</v>
      </c>
      <c r="AW271" s="28">
        <f t="shared" si="245"/>
        <v>-16291.47</v>
      </c>
      <c r="AX271" s="241">
        <f t="shared" si="246"/>
        <v>-3784.0499999999997</v>
      </c>
      <c r="AY271" s="27">
        <f t="shared" si="247"/>
        <v>-3245.8486395542677</v>
      </c>
      <c r="AZ271" s="28">
        <f t="shared" si="248"/>
        <v>-2874.3999999999996</v>
      </c>
      <c r="BA271" s="241">
        <f t="shared" si="249"/>
        <v>-1488.47</v>
      </c>
      <c r="BB271" s="27">
        <f t="shared" si="250"/>
        <v>-3269.7777480002578</v>
      </c>
      <c r="BC271" s="28">
        <f t="shared" si="251"/>
        <v>-4417.07</v>
      </c>
      <c r="BD271" s="241">
        <f t="shared" si="252"/>
        <v>-5627.12</v>
      </c>
      <c r="BE271" s="27">
        <f t="shared" si="253"/>
        <v>-3311.1111110982783</v>
      </c>
      <c r="BF271" s="28">
        <f t="shared" si="254"/>
        <v>-4500</v>
      </c>
      <c r="BG271" s="241">
        <f t="shared" si="255"/>
        <v>-5847.6299999999992</v>
      </c>
      <c r="BH271" s="27">
        <f t="shared" si="256"/>
        <v>-3330.9919219473149</v>
      </c>
      <c r="BI271" s="28">
        <f t="shared" si="257"/>
        <v>-4500</v>
      </c>
    </row>
    <row r="272" spans="1:61" s="29" customFormat="1" hidden="1" outlineLevel="1" x14ac:dyDescent="0.3">
      <c r="A272" s="22" t="s">
        <v>302</v>
      </c>
      <c r="B272" s="23"/>
      <c r="C272" s="24" t="s">
        <v>60</v>
      </c>
      <c r="D272" s="121"/>
      <c r="E272" s="114"/>
      <c r="F272" s="56"/>
      <c r="G272" s="33"/>
      <c r="H272" s="241">
        <v>-53.87</v>
      </c>
      <c r="I272" s="27">
        <v>0</v>
      </c>
      <c r="J272" s="28">
        <f>SUMIFS(Aut_BlueMe_Sem_Pedido!$J:$J,Aut_BlueMe_Sem_Pedido!$Q:$Q,DRE!H$4,Aut_BlueMe_Sem_Pedido!$H:$H,DRE!$A272)+SUMIFS(Aut_Ajustes_Manuais!$G:$G,Aut_Ajustes_Manuais!$I:$I,DRE!H$4,Aut_Ajustes_Manuais!$F:$F,"Pesquisa de Mercado")</f>
        <v>0</v>
      </c>
      <c r="K272" s="241">
        <v>0</v>
      </c>
      <c r="L272" s="27">
        <v>0</v>
      </c>
      <c r="M272" s="28">
        <f>SUMIFS(Aut_BlueMe_Sem_Pedido!$J:$J,Aut_BlueMe_Sem_Pedido!$Q:$Q,DRE!K$4,Aut_BlueMe_Sem_Pedido!$H:$H,DRE!$A272)+SUMIFS(Aut_Ajustes_Manuais!$G:$G,Aut_Ajustes_Manuais!$I:$I,DRE!K$4,Aut_Ajustes_Manuais!$F:$F,"Pesquisa de Mercado")</f>
        <v>0</v>
      </c>
      <c r="N272" s="241">
        <v>0</v>
      </c>
      <c r="O272" s="27">
        <v>0</v>
      </c>
      <c r="P272" s="28">
        <f>SUMIFS(Aut_BlueMe_Sem_Pedido!$J:$J,Aut_BlueMe_Sem_Pedido!$Q:$Q,DRE!N$4,Aut_BlueMe_Sem_Pedido!$H:$H,DRE!$A272)+SUMIFS(Aut_Ajustes_Manuais!$G:$G,Aut_Ajustes_Manuais!$I:$I,DRE!N$4,Aut_Ajustes_Manuais!$F:$F,"Pesquisa de Mercado")</f>
        <v>0</v>
      </c>
      <c r="Q272" s="241">
        <v>0</v>
      </c>
      <c r="R272" s="27">
        <v>0</v>
      </c>
      <c r="S272" s="28">
        <f>SUMIFS(Aut_BlueMe_Sem_Pedido!$J:$J,Aut_BlueMe_Sem_Pedido!$Q:$Q,DRE!Q$4,Aut_BlueMe_Sem_Pedido!$H:$H,DRE!$A272)+SUMIFS(Aut_Ajustes_Manuais!$G:$G,Aut_Ajustes_Manuais!$I:$I,DRE!Q$4,Aut_Ajustes_Manuais!$F:$F,"Pesquisa de Mercado")</f>
        <v>0</v>
      </c>
      <c r="T272" s="241">
        <v>0</v>
      </c>
      <c r="U272" s="27">
        <v>0</v>
      </c>
      <c r="V272" s="28">
        <f>SUMIFS(Aut_BlueMe_Sem_Pedido!$J:$J,Aut_BlueMe_Sem_Pedido!$Q:$Q,DRE!T$4,Aut_BlueMe_Sem_Pedido!$H:$H,DRE!$A272)+SUMIFS(Aut_Ajustes_Manuais!$G:$G,Aut_Ajustes_Manuais!$I:$I,DRE!T$4,Aut_Ajustes_Manuais!$F:$F,"Pesquisa de Mercado")</f>
        <v>0</v>
      </c>
      <c r="W272" s="241">
        <v>0</v>
      </c>
      <c r="X272" s="27">
        <v>0</v>
      </c>
      <c r="Y272" s="28">
        <f>SUMIFS(Aut_BlueMe_Sem_Pedido!$J:$J,Aut_BlueMe_Sem_Pedido!$Q:$Q,DRE!W$4,Aut_BlueMe_Sem_Pedido!$H:$H,DRE!$A272)+SUMIFS(Aut_Ajustes_Manuais!$G:$G,Aut_Ajustes_Manuais!$I:$I,DRE!W$4,Aut_Ajustes_Manuais!$F:$F,"Pesquisa de Mercado")</f>
        <v>0</v>
      </c>
      <c r="Z272" s="241">
        <v>0</v>
      </c>
      <c r="AA272" s="27">
        <v>0</v>
      </c>
      <c r="AB272" s="28">
        <f>SUMIFS(Aut_BlueMe_Sem_Pedido!$J:$J,Aut_BlueMe_Sem_Pedido!$Q:$Q,DRE!Z$4,Aut_BlueMe_Sem_Pedido!$H:$H,DRE!$A272)+SUMIFS(Aut_Ajustes_Manuais!$G:$G,Aut_Ajustes_Manuais!$I:$I,DRE!Z$4,Aut_Ajustes_Manuais!$F:$F,"Pesquisa de Mercado")</f>
        <v>0</v>
      </c>
      <c r="AC272" s="241">
        <v>0</v>
      </c>
      <c r="AD272" s="27">
        <v>0</v>
      </c>
      <c r="AE272" s="28">
        <f>SUMIFS(Aut_BlueMe_Sem_Pedido!$J:$J,Aut_BlueMe_Sem_Pedido!$Q:$Q,DRE!AC$4,Aut_BlueMe_Sem_Pedido!$H:$H,DRE!$A272)+SUMIFS(Aut_Ajustes_Manuais!$G:$G,Aut_Ajustes_Manuais!$I:$I,DRE!AC$4,Aut_Ajustes_Manuais!$F:$F,"Pesquisa de Mercado")</f>
        <v>0</v>
      </c>
      <c r="AF272" s="241">
        <v>0</v>
      </c>
      <c r="AG272" s="27">
        <v>0</v>
      </c>
      <c r="AH272" s="28">
        <f>SUMIFS(Aut_BlueMe_Sem_Pedido!$J:$J,Aut_BlueMe_Sem_Pedido!$Q:$Q,DRE!AF$4,Aut_BlueMe_Sem_Pedido!$H:$H,DRE!$A272)+SUMIFS(Aut_Ajustes_Manuais!$G:$G,Aut_Ajustes_Manuais!$I:$I,DRE!AF$4,Aut_Ajustes_Manuais!$F:$F,"Pesquisa de Mercado")</f>
        <v>0</v>
      </c>
      <c r="AI272" s="241">
        <v>0</v>
      </c>
      <c r="AJ272" s="27">
        <v>0</v>
      </c>
      <c r="AK272" s="28">
        <f>SUMIFS(Aut_BlueMe_Sem_Pedido!$J:$J,Aut_BlueMe_Sem_Pedido!$Q:$Q,DRE!AI$4,Aut_BlueMe_Sem_Pedido!$H:$H,DRE!$A272)+SUMIFS(Aut_Ajustes_Manuais!$G:$G,Aut_Ajustes_Manuais!$I:$I,DRE!AI$4,Aut_Ajustes_Manuais!$F:$F,"Pesquisa de Mercado")</f>
        <v>0</v>
      </c>
      <c r="AL272" s="241">
        <v>0</v>
      </c>
      <c r="AM272" s="27">
        <v>0</v>
      </c>
      <c r="AN272" s="28">
        <f>SUMIFS(Aut_BlueMe_Sem_Pedido!$J:$J,Aut_BlueMe_Sem_Pedido!$Q:$Q,DRE!AL$4,Aut_BlueMe_Sem_Pedido!$H:$H,DRE!$A272)+SUMIFS(Aut_Ajustes_Manuais!$G:$G,Aut_Ajustes_Manuais!$I:$I,DRE!AL$4,Aut_Ajustes_Manuais!$F:$F,"Pesquisa de Mercado")</f>
        <v>0</v>
      </c>
      <c r="AO272" s="241">
        <v>0</v>
      </c>
      <c r="AP272" s="27">
        <v>0</v>
      </c>
      <c r="AQ272" s="28">
        <f>SUMIFS(Aut_BlueMe_Sem_Pedido!$J:$J,Aut_BlueMe_Sem_Pedido!$Q:$Q,DRE!AO$4,Aut_BlueMe_Sem_Pedido!$H:$H,DRE!$A272)+SUMIFS(Aut_Ajustes_Manuais!$G:$G,Aut_Ajustes_Manuais!$I:$I,DRE!AO$4,Aut_Ajustes_Manuais!$F:$F,"Pesquisa de Mercado")</f>
        <v>0</v>
      </c>
      <c r="AR272" s="241">
        <f t="shared" ca="1" si="240"/>
        <v>-53.87</v>
      </c>
      <c r="AS272" s="27">
        <f t="shared" ca="1" si="241"/>
        <v>0</v>
      </c>
      <c r="AT272" s="28">
        <f t="shared" ca="1" si="242"/>
        <v>0</v>
      </c>
      <c r="AU272" s="241">
        <f t="shared" si="243"/>
        <v>-53.87</v>
      </c>
      <c r="AV272" s="27">
        <f t="shared" si="244"/>
        <v>0</v>
      </c>
      <c r="AW272" s="28">
        <f t="shared" si="245"/>
        <v>0</v>
      </c>
      <c r="AX272" s="241">
        <f t="shared" si="246"/>
        <v>-53.87</v>
      </c>
      <c r="AY272" s="27">
        <f t="shared" si="247"/>
        <v>0</v>
      </c>
      <c r="AZ272" s="28">
        <f t="shared" si="248"/>
        <v>0</v>
      </c>
      <c r="BA272" s="241">
        <f t="shared" si="249"/>
        <v>0</v>
      </c>
      <c r="BB272" s="27">
        <f t="shared" si="250"/>
        <v>0</v>
      </c>
      <c r="BC272" s="28">
        <f t="shared" si="251"/>
        <v>0</v>
      </c>
      <c r="BD272" s="241">
        <f t="shared" si="252"/>
        <v>0</v>
      </c>
      <c r="BE272" s="27">
        <f t="shared" si="253"/>
        <v>0</v>
      </c>
      <c r="BF272" s="28">
        <f t="shared" si="254"/>
        <v>0</v>
      </c>
      <c r="BG272" s="241">
        <f t="shared" si="255"/>
        <v>0</v>
      </c>
      <c r="BH272" s="27">
        <f t="shared" si="256"/>
        <v>0</v>
      </c>
      <c r="BI272" s="28">
        <f t="shared" si="257"/>
        <v>0</v>
      </c>
    </row>
    <row r="273" spans="1:61" s="29" customFormat="1" hidden="1" outlineLevel="1" x14ac:dyDescent="0.3">
      <c r="A273" s="22" t="s">
        <v>303</v>
      </c>
      <c r="B273" s="23"/>
      <c r="C273" s="24" t="s">
        <v>60</v>
      </c>
      <c r="D273" s="121"/>
      <c r="E273" s="114"/>
      <c r="F273" s="56"/>
      <c r="G273" s="33"/>
      <c r="H273" s="241">
        <v>-1502.8365770174221</v>
      </c>
      <c r="I273" s="27">
        <v>0</v>
      </c>
      <c r="J273" s="28">
        <f>SUMIFS(Aut_BlueMe_Sem_Pedido!$J:$J,Aut_BlueMe_Sem_Pedido!$Q:$Q,DRE!H$4,Aut_BlueMe_Sem_Pedido!$H:$H,DRE!$A273)+SUMIFS(Aut_Ajustes_Manuais!$G:$G,Aut_Ajustes_Manuais!$I:$I,DRE!H$4,Aut_Ajustes_Manuais!$F:$F,"Sessão de Fotos/Captação de Vídeo")</f>
        <v>0</v>
      </c>
      <c r="K273" s="241">
        <v>0</v>
      </c>
      <c r="L273" s="27">
        <v>0</v>
      </c>
      <c r="M273" s="28">
        <f>SUMIFS(Aut_BlueMe_Sem_Pedido!$J:$J,Aut_BlueMe_Sem_Pedido!$Q:$Q,DRE!K$4,Aut_BlueMe_Sem_Pedido!$H:$H,DRE!$A273)+SUMIFS(Aut_Ajustes_Manuais!$G:$G,Aut_Ajustes_Manuais!$I:$I,DRE!K$4,Aut_Ajustes_Manuais!$F:$F,"Sessão de Fotos/Captação de Vídeo")</f>
        <v>0</v>
      </c>
      <c r="N273" s="241">
        <v>0</v>
      </c>
      <c r="O273" s="27">
        <v>0</v>
      </c>
      <c r="P273" s="28">
        <f>SUMIFS(Aut_BlueMe_Sem_Pedido!$J:$J,Aut_BlueMe_Sem_Pedido!$Q:$Q,DRE!N$4,Aut_BlueMe_Sem_Pedido!$H:$H,DRE!$A273)+SUMIFS(Aut_Ajustes_Manuais!$G:$G,Aut_Ajustes_Manuais!$I:$I,DRE!N$4,Aut_Ajustes_Manuais!$F:$F,"Sessão de Fotos/Captação de Vídeo")</f>
        <v>0</v>
      </c>
      <c r="Q273" s="241">
        <v>-877.96035034187184</v>
      </c>
      <c r="R273" s="27">
        <v>0</v>
      </c>
      <c r="S273" s="28">
        <f>SUMIFS(Aut_BlueMe_Sem_Pedido!$J:$J,Aut_BlueMe_Sem_Pedido!$Q:$Q,DRE!Q$4,Aut_BlueMe_Sem_Pedido!$H:$H,DRE!$A273)+SUMIFS(Aut_Ajustes_Manuais!$G:$G,Aut_Ajustes_Manuais!$I:$I,DRE!Q$4,Aut_Ajustes_Manuais!$F:$F,"Sessão de Fotos/Captação de Vídeo")</f>
        <v>0</v>
      </c>
      <c r="T273" s="241">
        <v>-1611.5548817652921</v>
      </c>
      <c r="U273" s="27">
        <v>0</v>
      </c>
      <c r="V273" s="28">
        <f>SUMIFS(Aut_BlueMe_Sem_Pedido!$J:$J,Aut_BlueMe_Sem_Pedido!$Q:$Q,DRE!T$4,Aut_BlueMe_Sem_Pedido!$H:$H,DRE!$A273)+SUMIFS(Aut_Ajustes_Manuais!$G:$G,Aut_Ajustes_Manuais!$I:$I,DRE!T$4,Aut_Ajustes_Manuais!$F:$F,"Sessão de Fotos/Captação de Vídeo")</f>
        <v>-2000</v>
      </c>
      <c r="W273" s="241">
        <v>-400</v>
      </c>
      <c r="X273" s="27">
        <v>0</v>
      </c>
      <c r="Y273" s="28">
        <f>SUMIFS(Aut_BlueMe_Sem_Pedido!$J:$J,Aut_BlueMe_Sem_Pedido!$Q:$Q,DRE!W$4,Aut_BlueMe_Sem_Pedido!$H:$H,DRE!$A273)+SUMIFS(Aut_Ajustes_Manuais!$G:$G,Aut_Ajustes_Manuais!$I:$I,DRE!W$4,Aut_Ajustes_Manuais!$F:$F,"Sessão de Fotos/Captação de Vídeo")</f>
        <v>-2000</v>
      </c>
      <c r="Z273" s="241">
        <v>-596.66557377510742</v>
      </c>
      <c r="AA273" s="27">
        <v>0</v>
      </c>
      <c r="AB273" s="28">
        <f>SUMIFS(Aut_BlueMe_Sem_Pedido!$J:$J,Aut_BlueMe_Sem_Pedido!$Q:$Q,DRE!Z$4,Aut_BlueMe_Sem_Pedido!$H:$H,DRE!$A273)+SUMIFS(Aut_Ajustes_Manuais!$G:$G,Aut_Ajustes_Manuais!$I:$I,DRE!Z$4,Aut_Ajustes_Manuais!$F:$F,"Sessão de Fotos/Captação de Vídeo")</f>
        <v>0</v>
      </c>
      <c r="AC273" s="241">
        <v>-51.866460133563869</v>
      </c>
      <c r="AD273" s="27">
        <v>0</v>
      </c>
      <c r="AE273" s="28">
        <f>SUMIFS(Aut_BlueMe_Sem_Pedido!$J:$J,Aut_BlueMe_Sem_Pedido!$Q:$Q,DRE!AC$4,Aut_BlueMe_Sem_Pedido!$H:$H,DRE!$A273)+SUMIFS(Aut_Ajustes_Manuais!$G:$G,Aut_Ajustes_Manuais!$I:$I,DRE!AC$4,Aut_Ajustes_Manuais!$F:$F,"Sessão de Fotos/Captação de Vídeo")</f>
        <v>0</v>
      </c>
      <c r="AF273" s="241">
        <v>0</v>
      </c>
      <c r="AG273" s="27">
        <v>0</v>
      </c>
      <c r="AH273" s="28">
        <f>SUMIFS(Aut_BlueMe_Sem_Pedido!$J:$J,Aut_BlueMe_Sem_Pedido!$Q:$Q,DRE!AF$4,Aut_BlueMe_Sem_Pedido!$H:$H,DRE!$A273)+SUMIFS(Aut_Ajustes_Manuais!$G:$G,Aut_Ajustes_Manuais!$I:$I,DRE!AF$4,Aut_Ajustes_Manuais!$F:$F,"Sessão de Fotos/Captação de Vídeo")</f>
        <v>0</v>
      </c>
      <c r="AI273" s="241">
        <v>0</v>
      </c>
      <c r="AJ273" s="27">
        <v>0</v>
      </c>
      <c r="AK273" s="28">
        <f>SUMIFS(Aut_BlueMe_Sem_Pedido!$J:$J,Aut_BlueMe_Sem_Pedido!$Q:$Q,DRE!AI$4,Aut_BlueMe_Sem_Pedido!$H:$H,DRE!$A273)+SUMIFS(Aut_Ajustes_Manuais!$G:$G,Aut_Ajustes_Manuais!$I:$I,DRE!AI$4,Aut_Ajustes_Manuais!$F:$F,"Sessão de Fotos/Captação de Vídeo")</f>
        <v>0</v>
      </c>
      <c r="AL273" s="241">
        <v>-54.212774617633258</v>
      </c>
      <c r="AM273" s="27">
        <v>0</v>
      </c>
      <c r="AN273" s="28">
        <f>SUMIFS(Aut_BlueMe_Sem_Pedido!$J:$J,Aut_BlueMe_Sem_Pedido!$Q:$Q,DRE!AL$4,Aut_BlueMe_Sem_Pedido!$H:$H,DRE!$A273)+SUMIFS(Aut_Ajustes_Manuais!$G:$G,Aut_Ajustes_Manuais!$I:$I,DRE!AL$4,Aut_Ajustes_Manuais!$F:$F,"Sessão de Fotos/Captação de Vídeo")</f>
        <v>0</v>
      </c>
      <c r="AO273" s="241">
        <v>0</v>
      </c>
      <c r="AP273" s="27">
        <v>0</v>
      </c>
      <c r="AQ273" s="28">
        <f>SUMIFS(Aut_BlueMe_Sem_Pedido!$J:$J,Aut_BlueMe_Sem_Pedido!$Q:$Q,DRE!AO$4,Aut_BlueMe_Sem_Pedido!$H:$H,DRE!$A273)+SUMIFS(Aut_Ajustes_Manuais!$G:$G,Aut_Ajustes_Manuais!$I:$I,DRE!AO$4,Aut_Ajustes_Manuais!$F:$F,"Sessão de Fotos/Captação de Vídeo")</f>
        <v>0</v>
      </c>
      <c r="AR273" s="241">
        <f t="shared" ca="1" si="240"/>
        <v>-4392.351809124586</v>
      </c>
      <c r="AS273" s="27">
        <f t="shared" ca="1" si="241"/>
        <v>0</v>
      </c>
      <c r="AT273" s="28">
        <f t="shared" ca="1" si="242"/>
        <v>-4000</v>
      </c>
      <c r="AU273" s="241">
        <f t="shared" si="243"/>
        <v>-5095.09661765089</v>
      </c>
      <c r="AV273" s="27">
        <f t="shared" si="244"/>
        <v>0</v>
      </c>
      <c r="AW273" s="28">
        <f t="shared" si="245"/>
        <v>-4000</v>
      </c>
      <c r="AX273" s="241">
        <f t="shared" si="246"/>
        <v>-1502.8365770174221</v>
      </c>
      <c r="AY273" s="27">
        <f t="shared" si="247"/>
        <v>0</v>
      </c>
      <c r="AZ273" s="28">
        <f t="shared" si="248"/>
        <v>0</v>
      </c>
      <c r="BA273" s="241">
        <f t="shared" si="249"/>
        <v>-2889.5152321071637</v>
      </c>
      <c r="BB273" s="27">
        <f t="shared" si="250"/>
        <v>0</v>
      </c>
      <c r="BC273" s="28">
        <f t="shared" si="251"/>
        <v>-4000</v>
      </c>
      <c r="BD273" s="241">
        <f t="shared" si="252"/>
        <v>-648.53203390867134</v>
      </c>
      <c r="BE273" s="27">
        <f t="shared" si="253"/>
        <v>0</v>
      </c>
      <c r="BF273" s="28">
        <f t="shared" si="254"/>
        <v>0</v>
      </c>
      <c r="BG273" s="241">
        <f t="shared" si="255"/>
        <v>-54.212774617633258</v>
      </c>
      <c r="BH273" s="27">
        <f t="shared" si="256"/>
        <v>0</v>
      </c>
      <c r="BI273" s="28">
        <f t="shared" si="257"/>
        <v>0</v>
      </c>
    </row>
    <row r="274" spans="1:61" s="29" customFormat="1" hidden="1" outlineLevel="1" x14ac:dyDescent="0.3">
      <c r="A274" s="22" t="s">
        <v>304</v>
      </c>
      <c r="B274" s="23"/>
      <c r="C274" s="24" t="s">
        <v>60</v>
      </c>
      <c r="D274" s="121"/>
      <c r="E274" s="114"/>
      <c r="F274" s="56"/>
      <c r="G274" s="33"/>
      <c r="H274" s="241">
        <v>-529</v>
      </c>
      <c r="I274" s="27">
        <v>0</v>
      </c>
      <c r="J274" s="28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>0</v>
      </c>
      <c r="K274" s="241">
        <v>-1000</v>
      </c>
      <c r="L274" s="27">
        <v>0</v>
      </c>
      <c r="M274" s="28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>-773.1</v>
      </c>
      <c r="N274" s="241">
        <v>-2354.5</v>
      </c>
      <c r="O274" s="27">
        <v>0</v>
      </c>
      <c r="P274" s="28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>-25</v>
      </c>
      <c r="Q274" s="241">
        <v>-815</v>
      </c>
      <c r="R274" s="27">
        <v>0</v>
      </c>
      <c r="S274" s="28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>0</v>
      </c>
      <c r="T274" s="241">
        <v>-210</v>
      </c>
      <c r="U274" s="27">
        <v>0</v>
      </c>
      <c r="V274" s="28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>-815</v>
      </c>
      <c r="W274" s="241">
        <v>-957.5</v>
      </c>
      <c r="X274" s="27">
        <v>0</v>
      </c>
      <c r="Y274" s="28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>-455</v>
      </c>
      <c r="Z274" s="241">
        <v>-2750.75</v>
      </c>
      <c r="AA274" s="27">
        <v>0</v>
      </c>
      <c r="AB274" s="28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>0</v>
      </c>
      <c r="AC274" s="241">
        <v>-1658</v>
      </c>
      <c r="AD274" s="27">
        <v>0</v>
      </c>
      <c r="AE274" s="28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>0</v>
      </c>
      <c r="AF274" s="241">
        <v>-302.5</v>
      </c>
      <c r="AG274" s="27">
        <v>0</v>
      </c>
      <c r="AH274" s="28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>0</v>
      </c>
      <c r="AI274" s="241">
        <v>0</v>
      </c>
      <c r="AJ274" s="27">
        <v>0</v>
      </c>
      <c r="AK274" s="28">
        <f>SUMIFS(Aut_BlueMe_Sem_Pedido!$J:$J,Aut_BlueMe_Sem_Pedido!$Q:$Q,DRE!AI$4,Aut_BlueMe_Sem_Pedido!$H:$H,DRE!$A274)-SUMIFS(Aut_Descontos!$G:$G,Aut_Descontos!$H:$H,A274,Aut_Descontos!$L:$L,DRE!AI$4)+SUMIFS(Aut_Ajustes_Manuais!$G:$G,Aut_Ajustes_Manuais!$I:$I,DRE!AI$4,Aut_Ajustes_Manuais!$F:$F,"Produção Gráfica e Material Institucional")</f>
        <v>0</v>
      </c>
      <c r="AL274" s="241">
        <v>0</v>
      </c>
      <c r="AM274" s="27">
        <v>0</v>
      </c>
      <c r="AN274" s="28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>0</v>
      </c>
      <c r="AO274" s="241">
        <v>0</v>
      </c>
      <c r="AP274" s="27">
        <v>0</v>
      </c>
      <c r="AQ274" s="28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>0</v>
      </c>
      <c r="AR274" s="241">
        <f t="shared" ca="1" si="240"/>
        <v>-5866</v>
      </c>
      <c r="AS274" s="27">
        <f t="shared" ca="1" si="241"/>
        <v>0</v>
      </c>
      <c r="AT274" s="28">
        <f t="shared" ca="1" si="242"/>
        <v>-2068.1</v>
      </c>
      <c r="AU274" s="241">
        <f t="shared" si="243"/>
        <v>-10577.25</v>
      </c>
      <c r="AV274" s="27">
        <f t="shared" si="244"/>
        <v>0</v>
      </c>
      <c r="AW274" s="28">
        <f t="shared" si="245"/>
        <v>-2068.1</v>
      </c>
      <c r="AX274" s="241">
        <f t="shared" si="246"/>
        <v>-3883.5</v>
      </c>
      <c r="AY274" s="27">
        <f t="shared" si="247"/>
        <v>0</v>
      </c>
      <c r="AZ274" s="28">
        <f t="shared" si="248"/>
        <v>-798.1</v>
      </c>
      <c r="BA274" s="241">
        <f t="shared" si="249"/>
        <v>-1982.5</v>
      </c>
      <c r="BB274" s="27">
        <f t="shared" si="250"/>
        <v>0</v>
      </c>
      <c r="BC274" s="28">
        <f t="shared" si="251"/>
        <v>-1270</v>
      </c>
      <c r="BD274" s="241">
        <f t="shared" si="252"/>
        <v>-4711.25</v>
      </c>
      <c r="BE274" s="27">
        <f t="shared" si="253"/>
        <v>0</v>
      </c>
      <c r="BF274" s="28">
        <f t="shared" si="254"/>
        <v>0</v>
      </c>
      <c r="BG274" s="241">
        <f t="shared" si="255"/>
        <v>0</v>
      </c>
      <c r="BH274" s="27">
        <f t="shared" si="256"/>
        <v>0</v>
      </c>
      <c r="BI274" s="28">
        <f t="shared" si="257"/>
        <v>0</v>
      </c>
    </row>
    <row r="275" spans="1:61" s="29" customFormat="1" hidden="1" outlineLevel="1" x14ac:dyDescent="0.3">
      <c r="A275" s="22" t="s">
        <v>305</v>
      </c>
      <c r="B275" s="23"/>
      <c r="C275" s="24" t="s">
        <v>60</v>
      </c>
      <c r="D275" s="121"/>
      <c r="E275" s="114"/>
      <c r="F275" s="56"/>
      <c r="G275" s="33"/>
      <c r="H275" s="241">
        <v>0</v>
      </c>
      <c r="I275" s="27">
        <v>0</v>
      </c>
      <c r="J275" s="28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>0</v>
      </c>
      <c r="K275" s="241">
        <v>-452.99440860933862</v>
      </c>
      <c r="L275" s="27">
        <v>0</v>
      </c>
      <c r="M275" s="28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>0</v>
      </c>
      <c r="N275" s="241">
        <v>-675.93893747305879</v>
      </c>
      <c r="O275" s="27">
        <v>0</v>
      </c>
      <c r="P275" s="28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>0</v>
      </c>
      <c r="Q275" s="241">
        <v>0</v>
      </c>
      <c r="R275" s="27">
        <v>0</v>
      </c>
      <c r="S275" s="28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>-257.3</v>
      </c>
      <c r="T275" s="241">
        <v>-168.63652599647139</v>
      </c>
      <c r="U275" s="27">
        <v>0</v>
      </c>
      <c r="V275" s="28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>0</v>
      </c>
      <c r="W275" s="241">
        <v>-96.567226839259277</v>
      </c>
      <c r="X275" s="27">
        <v>0</v>
      </c>
      <c r="Y275" s="28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>-348.91</v>
      </c>
      <c r="Z275" s="241">
        <v>0</v>
      </c>
      <c r="AA275" s="27">
        <v>0</v>
      </c>
      <c r="AB275" s="28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>0</v>
      </c>
      <c r="AC275" s="241">
        <v>0</v>
      </c>
      <c r="AD275" s="27">
        <v>0</v>
      </c>
      <c r="AE275" s="28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>0</v>
      </c>
      <c r="AF275" s="241">
        <v>0</v>
      </c>
      <c r="AG275" s="27">
        <v>0</v>
      </c>
      <c r="AH275" s="28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>0</v>
      </c>
      <c r="AI275" s="241">
        <v>-227.1142395315828</v>
      </c>
      <c r="AJ275" s="27">
        <v>0</v>
      </c>
      <c r="AK275" s="28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>0</v>
      </c>
      <c r="AL275" s="241">
        <v>0</v>
      </c>
      <c r="AM275" s="27">
        <v>0</v>
      </c>
      <c r="AN275" s="28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>0</v>
      </c>
      <c r="AO275" s="241">
        <v>-61.769066698361243</v>
      </c>
      <c r="AP275" s="27">
        <v>0</v>
      </c>
      <c r="AQ275" s="28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>0</v>
      </c>
      <c r="AR275" s="241">
        <f t="shared" ca="1" si="240"/>
        <v>-1394.137098918128</v>
      </c>
      <c r="AS275" s="27">
        <f t="shared" ca="1" si="241"/>
        <v>0</v>
      </c>
      <c r="AT275" s="28">
        <f t="shared" ca="1" si="242"/>
        <v>-606.21</v>
      </c>
      <c r="AU275" s="241">
        <f t="shared" si="243"/>
        <v>-1683.0204051480721</v>
      </c>
      <c r="AV275" s="27">
        <f t="shared" si="244"/>
        <v>0</v>
      </c>
      <c r="AW275" s="28">
        <f t="shared" si="245"/>
        <v>-606.21</v>
      </c>
      <c r="AX275" s="241">
        <f t="shared" si="246"/>
        <v>-1128.9333460823973</v>
      </c>
      <c r="AY275" s="27">
        <f t="shared" si="247"/>
        <v>0</v>
      </c>
      <c r="AZ275" s="28">
        <f t="shared" si="248"/>
        <v>0</v>
      </c>
      <c r="BA275" s="241">
        <f t="shared" si="249"/>
        <v>-265.20375283573065</v>
      </c>
      <c r="BB275" s="27">
        <f t="shared" si="250"/>
        <v>0</v>
      </c>
      <c r="BC275" s="28">
        <f t="shared" si="251"/>
        <v>-606.21</v>
      </c>
      <c r="BD275" s="241">
        <f t="shared" si="252"/>
        <v>0</v>
      </c>
      <c r="BE275" s="27">
        <f t="shared" si="253"/>
        <v>0</v>
      </c>
      <c r="BF275" s="28">
        <f t="shared" si="254"/>
        <v>0</v>
      </c>
      <c r="BG275" s="241">
        <f t="shared" si="255"/>
        <v>-288.88330622994403</v>
      </c>
      <c r="BH275" s="27">
        <f t="shared" si="256"/>
        <v>0</v>
      </c>
      <c r="BI275" s="28">
        <f t="shared" si="257"/>
        <v>0</v>
      </c>
    </row>
    <row r="276" spans="1:61" s="29" customFormat="1" hidden="1" outlineLevel="1" x14ac:dyDescent="0.3">
      <c r="A276" s="22" t="s">
        <v>306</v>
      </c>
      <c r="B276" s="23"/>
      <c r="C276" s="24" t="s">
        <v>60</v>
      </c>
      <c r="D276" s="121"/>
      <c r="E276" s="114"/>
      <c r="F276" s="56"/>
      <c r="G276" s="33"/>
      <c r="H276" s="241">
        <v>0</v>
      </c>
      <c r="I276" s="27">
        <v>0</v>
      </c>
      <c r="J276" s="28">
        <f>SUMIFS(Aut_BlueMe_Sem_Pedido!$J:$J,Aut_BlueMe_Sem_Pedido!$Q:$Q,DRE!H$4,Aut_BlueMe_Sem_Pedido!$H:$H,DRE!$A276)+SUMIFS(Aut_Ajustes_Manuais!$G:$G,Aut_Ajustes_Manuais!$I:$I,DRE!H$4,Aut_Ajustes_Manuais!$F:$F,"Brindes e Confraternizações")</f>
        <v>0</v>
      </c>
      <c r="K276" s="241">
        <v>0</v>
      </c>
      <c r="L276" s="27">
        <v>0</v>
      </c>
      <c r="M276" s="28">
        <f>SUMIFS(Aut_BlueMe_Sem_Pedido!$J:$J,Aut_BlueMe_Sem_Pedido!$Q:$Q,DRE!K$4,Aut_BlueMe_Sem_Pedido!$H:$H,DRE!$A276)+SUMIFS(Aut_Ajustes_Manuais!$G:$G,Aut_Ajustes_Manuais!$I:$I,DRE!K$4,Aut_Ajustes_Manuais!$F:$F,"Brindes e Confraternizações")</f>
        <v>0</v>
      </c>
      <c r="N276" s="241">
        <v>0</v>
      </c>
      <c r="O276" s="27">
        <v>0</v>
      </c>
      <c r="P276" s="28">
        <f>SUMIFS(Aut_BlueMe_Sem_Pedido!$J:$J,Aut_BlueMe_Sem_Pedido!$Q:$Q,DRE!N$4,Aut_BlueMe_Sem_Pedido!$H:$H,DRE!$A276)+SUMIFS(Aut_Ajustes_Manuais!$G:$G,Aut_Ajustes_Manuais!$I:$I,DRE!N$4,Aut_Ajustes_Manuais!$F:$F,"Brindes e Confraternizações")</f>
        <v>0</v>
      </c>
      <c r="Q276" s="241">
        <v>0</v>
      </c>
      <c r="R276" s="27">
        <v>0</v>
      </c>
      <c r="S276" s="28">
        <f>SUMIFS(Aut_BlueMe_Sem_Pedido!$J:$J,Aut_BlueMe_Sem_Pedido!$Q:$Q,DRE!Q$4,Aut_BlueMe_Sem_Pedido!$H:$H,DRE!$A276)+SUMIFS(Aut_Ajustes_Manuais!$G:$G,Aut_Ajustes_Manuais!$I:$I,DRE!Q$4,Aut_Ajustes_Manuais!$F:$F,"Brindes e Confraternizações")</f>
        <v>0</v>
      </c>
      <c r="T276" s="241">
        <v>0</v>
      </c>
      <c r="U276" s="27">
        <v>0</v>
      </c>
      <c r="V276" s="28">
        <f>SUMIFS(Aut_BlueMe_Sem_Pedido!$J:$J,Aut_BlueMe_Sem_Pedido!$Q:$Q,DRE!T$4,Aut_BlueMe_Sem_Pedido!$H:$H,DRE!$A276)+SUMIFS(Aut_Ajustes_Manuais!$G:$G,Aut_Ajustes_Manuais!$I:$I,DRE!T$4,Aut_Ajustes_Manuais!$F:$F,"Brindes e Confraternizações")</f>
        <v>0</v>
      </c>
      <c r="W276" s="241">
        <v>0</v>
      </c>
      <c r="X276" s="27">
        <v>0</v>
      </c>
      <c r="Y276" s="28">
        <f>SUMIFS(Aut_BlueMe_Sem_Pedido!$J:$J,Aut_BlueMe_Sem_Pedido!$Q:$Q,DRE!W$4,Aut_BlueMe_Sem_Pedido!$H:$H,DRE!$A276)+SUMIFS(Aut_Ajustes_Manuais!$G:$G,Aut_Ajustes_Manuais!$I:$I,DRE!W$4,Aut_Ajustes_Manuais!$F:$F,"Brindes e Confraternizações")</f>
        <v>0</v>
      </c>
      <c r="Z276" s="241">
        <v>0</v>
      </c>
      <c r="AA276" s="27">
        <v>0</v>
      </c>
      <c r="AB276" s="28">
        <f>SUMIFS(Aut_BlueMe_Sem_Pedido!$J:$J,Aut_BlueMe_Sem_Pedido!$Q:$Q,DRE!Z$4,Aut_BlueMe_Sem_Pedido!$H:$H,DRE!$A276)+SUMIFS(Aut_Ajustes_Manuais!$G:$G,Aut_Ajustes_Manuais!$I:$I,DRE!Z$4,Aut_Ajustes_Manuais!$F:$F,"Brindes e Confraternizações")</f>
        <v>0</v>
      </c>
      <c r="AC276" s="241">
        <v>0</v>
      </c>
      <c r="AD276" s="27">
        <v>0</v>
      </c>
      <c r="AE276" s="28">
        <f>SUMIFS(Aut_BlueMe_Sem_Pedido!$J:$J,Aut_BlueMe_Sem_Pedido!$Q:$Q,DRE!AC$4,Aut_BlueMe_Sem_Pedido!$H:$H,DRE!$A276)+SUMIFS(Aut_Ajustes_Manuais!$G:$G,Aut_Ajustes_Manuais!$I:$I,DRE!AC$4,Aut_Ajustes_Manuais!$F:$F,"Brindes e Confraternizações")</f>
        <v>0</v>
      </c>
      <c r="AF276" s="241">
        <v>0</v>
      </c>
      <c r="AG276" s="27">
        <v>0</v>
      </c>
      <c r="AH276" s="28">
        <f>SUMIFS(Aut_BlueMe_Sem_Pedido!$J:$J,Aut_BlueMe_Sem_Pedido!$Q:$Q,DRE!AF$4,Aut_BlueMe_Sem_Pedido!$H:$H,DRE!$A276)+SUMIFS(Aut_Ajustes_Manuais!$G:$G,Aut_Ajustes_Manuais!$I:$I,DRE!AF$4,Aut_Ajustes_Manuais!$F:$F,"Brindes e Confraternizações")</f>
        <v>0</v>
      </c>
      <c r="AI276" s="241">
        <v>0</v>
      </c>
      <c r="AJ276" s="27">
        <v>0</v>
      </c>
      <c r="AK276" s="28">
        <f>SUMIFS(Aut_BlueMe_Sem_Pedido!$J:$J,Aut_BlueMe_Sem_Pedido!$Q:$Q,DRE!AI$4,Aut_BlueMe_Sem_Pedido!$H:$H,DRE!$A276)+SUMIFS(Aut_Ajustes_Manuais!$G:$G,Aut_Ajustes_Manuais!$I:$I,DRE!AI$4,Aut_Ajustes_Manuais!$F:$F,"Brindes e Confraternizações")</f>
        <v>0</v>
      </c>
      <c r="AL276" s="241">
        <v>0</v>
      </c>
      <c r="AM276" s="27">
        <v>0</v>
      </c>
      <c r="AN276" s="28">
        <f>SUMIFS(Aut_BlueMe_Sem_Pedido!$J:$J,Aut_BlueMe_Sem_Pedido!$Q:$Q,DRE!AL$4,Aut_BlueMe_Sem_Pedido!$H:$H,DRE!$A276)+SUMIFS(Aut_Ajustes_Manuais!$G:$G,Aut_Ajustes_Manuais!$I:$I,DRE!AL$4,Aut_Ajustes_Manuais!$F:$F,"Brindes e Confraternizações")</f>
        <v>0</v>
      </c>
      <c r="AO276" s="241">
        <v>0</v>
      </c>
      <c r="AP276" s="27">
        <v>0</v>
      </c>
      <c r="AQ276" s="28">
        <f>SUMIFS(Aut_BlueMe_Sem_Pedido!$J:$J,Aut_BlueMe_Sem_Pedido!$Q:$Q,DRE!AO$4,Aut_BlueMe_Sem_Pedido!$H:$H,DRE!$A276)+SUMIFS(Aut_Ajustes_Manuais!$G:$G,Aut_Ajustes_Manuais!$I:$I,DRE!AO$4,Aut_Ajustes_Manuais!$F:$F,"Brindes e Confraternizações")</f>
        <v>0</v>
      </c>
      <c r="AR276" s="241">
        <f t="shared" ca="1" si="240"/>
        <v>0</v>
      </c>
      <c r="AS276" s="27">
        <f t="shared" ca="1" si="241"/>
        <v>0</v>
      </c>
      <c r="AT276" s="28">
        <f t="shared" ca="1" si="242"/>
        <v>0</v>
      </c>
      <c r="AU276" s="241">
        <f t="shared" si="243"/>
        <v>0</v>
      </c>
      <c r="AV276" s="27">
        <f t="shared" si="244"/>
        <v>0</v>
      </c>
      <c r="AW276" s="28">
        <f t="shared" si="245"/>
        <v>0</v>
      </c>
      <c r="AX276" s="241">
        <f t="shared" si="246"/>
        <v>0</v>
      </c>
      <c r="AY276" s="27">
        <f t="shared" si="247"/>
        <v>0</v>
      </c>
      <c r="AZ276" s="28">
        <f t="shared" si="248"/>
        <v>0</v>
      </c>
      <c r="BA276" s="241">
        <f t="shared" si="249"/>
        <v>0</v>
      </c>
      <c r="BB276" s="27">
        <f t="shared" si="250"/>
        <v>0</v>
      </c>
      <c r="BC276" s="28">
        <f t="shared" si="251"/>
        <v>0</v>
      </c>
      <c r="BD276" s="241">
        <f t="shared" si="252"/>
        <v>0</v>
      </c>
      <c r="BE276" s="27">
        <f t="shared" si="253"/>
        <v>0</v>
      </c>
      <c r="BF276" s="28">
        <f t="shared" si="254"/>
        <v>0</v>
      </c>
      <c r="BG276" s="241">
        <f t="shared" si="255"/>
        <v>0</v>
      </c>
      <c r="BH276" s="27">
        <f t="shared" si="256"/>
        <v>0</v>
      </c>
      <c r="BI276" s="28">
        <f t="shared" si="257"/>
        <v>0</v>
      </c>
    </row>
    <row r="277" spans="1:61" s="29" customFormat="1" hidden="1" outlineLevel="1" x14ac:dyDescent="0.3">
      <c r="A277" s="22" t="s">
        <v>307</v>
      </c>
      <c r="B277" s="23"/>
      <c r="C277" s="24" t="s">
        <v>67</v>
      </c>
      <c r="D277" s="116"/>
      <c r="E277" s="115"/>
      <c r="F277" s="56"/>
      <c r="G277" s="33"/>
      <c r="H277" s="241">
        <v>0</v>
      </c>
      <c r="I277" s="27">
        <v>-206.85</v>
      </c>
      <c r="J277" s="28">
        <f>SUMIFS(Aut_BlueMe_Sem_Pedido!$J:$J,Aut_BlueMe_Sem_Pedido!$Q:$Q,DRE!H$4,Aut_BlueMe_Sem_Pedido!$H:$H,DRE!$A277)-SUMIFS(Aut_Descontos!$G:$G,Aut_Descontos!$H:$H,$A277,Aut_Descontos!$L:$L,DRE!H$4)+SUMIFS(Aut_Ajustes_Manuais!$G:$G,Aut_Ajustes_Manuais!$I:$I,DRE!H$4,Aut_Ajustes_Manuais!$F:$F,"Ferramentas de Marketing")</f>
        <v>-2021.1799999999998</v>
      </c>
      <c r="K277" s="241">
        <v>-48</v>
      </c>
      <c r="L277" s="27">
        <v>-206.85</v>
      </c>
      <c r="M277" s="28">
        <f>SUMIFS(Aut_BlueMe_Sem_Pedido!$J:$J,Aut_BlueMe_Sem_Pedido!$Q:$Q,DRE!K$4,Aut_BlueMe_Sem_Pedido!$H:$H,DRE!$A277)-SUMIFS(Aut_Descontos!$G:$G,Aut_Descontos!$H:$H,$A277,Aut_Descontos!$L:$L,DRE!K$4)+SUMIFS(Aut_Ajustes_Manuais!$G:$G,Aut_Ajustes_Manuais!$I:$I,DRE!K$4,Aut_Ajustes_Manuais!$F:$F,"Ferramentas de Marketing")</f>
        <v>-2105.44</v>
      </c>
      <c r="N277" s="241">
        <v>0</v>
      </c>
      <c r="O277" s="27">
        <v>-206.85</v>
      </c>
      <c r="P277" s="28">
        <f>SUMIFS(Aut_BlueMe_Sem_Pedido!$J:$J,Aut_BlueMe_Sem_Pedido!$Q:$Q,DRE!N$4,Aut_BlueMe_Sem_Pedido!$H:$H,DRE!$A277)-SUMIFS(Aut_Descontos!$G:$G,Aut_Descontos!$H:$H,$A277,Aut_Descontos!$L:$L,DRE!N$4)+SUMIFS(Aut_Ajustes_Manuais!$G:$G,Aut_Ajustes_Manuais!$I:$I,DRE!N$4,Aut_Ajustes_Manuais!$F:$F,"Ferramentas de Marketing")</f>
        <v>-2185.4899999999998</v>
      </c>
      <c r="Q277" s="241">
        <v>0</v>
      </c>
      <c r="R277" s="27">
        <v>-206.85</v>
      </c>
      <c r="S277" s="28">
        <f>SUMIFS(Aut_BlueMe_Sem_Pedido!$J:$J,Aut_BlueMe_Sem_Pedido!$Q:$Q,DRE!Q$4,Aut_BlueMe_Sem_Pedido!$H:$H,DRE!$A277)-SUMIFS(Aut_Descontos!$G:$G,Aut_Descontos!$H:$H,$A277,Aut_Descontos!$L:$L,DRE!Q$4)+SUMIFS(Aut_Ajustes_Manuais!$G:$G,Aut_Ajustes_Manuais!$I:$I,DRE!Q$4,Aut_Ajustes_Manuais!$F:$F,"Ferramentas de Marketing")</f>
        <v>-1774.1799999999998</v>
      </c>
      <c r="T277" s="241">
        <v>-150</v>
      </c>
      <c r="U277" s="27">
        <v>-206.85</v>
      </c>
      <c r="V277" s="28">
        <f>SUMIFS(Aut_BlueMe_Sem_Pedido!$J:$J,Aut_BlueMe_Sem_Pedido!$Q:$Q,DRE!T$4,Aut_BlueMe_Sem_Pedido!$H:$H,DRE!$A277)-SUMIFS(Aut_Descontos!$G:$G,Aut_Descontos!$H:$H,$A277,Aut_Descontos!$L:$L,DRE!T$4)+SUMIFS(Aut_Ajustes_Manuais!$G:$G,Aut_Ajustes_Manuais!$I:$I,DRE!T$4,Aut_Ajustes_Manuais!$F:$F,"Ferramentas de Marketing")</f>
        <v>-1522.1599999999999</v>
      </c>
      <c r="W277" s="241">
        <v>-1150</v>
      </c>
      <c r="X277" s="27">
        <v>-206.85</v>
      </c>
      <c r="Y277" s="28">
        <f>SUMIFS(Aut_BlueMe_Sem_Pedido!$J:$J,Aut_BlueMe_Sem_Pedido!$Q:$Q,DRE!W$4,Aut_BlueMe_Sem_Pedido!$H:$H,DRE!$A277)-SUMIFS(Aut_Descontos!$G:$G,Aut_Descontos!$H:$H,$A277,Aut_Descontos!$L:$L,DRE!W$4)+SUMIFS(Aut_Ajustes_Manuais!$G:$G,Aut_Ajustes_Manuais!$I:$I,DRE!W$4,Aut_Ajustes_Manuais!$F:$F,"Ferramentas de Marketing")</f>
        <v>-2183.38</v>
      </c>
      <c r="Z277" s="241">
        <v>-150</v>
      </c>
      <c r="AA277" s="27">
        <v>-206.85</v>
      </c>
      <c r="AB277" s="28">
        <f>SUMIFS(Aut_BlueMe_Sem_Pedido!$J:$J,Aut_BlueMe_Sem_Pedido!$Q:$Q,DRE!Z$4,Aut_BlueMe_Sem_Pedido!$H:$H,DRE!$A277)-SUMIFS(Aut_Descontos!$G:$G,Aut_Descontos!$H:$H,$A277,Aut_Descontos!$L:$L,DRE!Z$4)+SUMIFS(Aut_Ajustes_Manuais!$G:$G,Aut_Ajustes_Manuais!$I:$I,DRE!Z$4,Aut_Ajustes_Manuais!$F:$F,"Ferramentas de Marketing")</f>
        <v>-22.35</v>
      </c>
      <c r="AC277" s="241">
        <v>-150</v>
      </c>
      <c r="AD277" s="27">
        <v>-206.85</v>
      </c>
      <c r="AE277" s="28">
        <f>SUMIFS(Aut_BlueMe_Sem_Pedido!$J:$J,Aut_BlueMe_Sem_Pedido!$Q:$Q,DRE!AC$4,Aut_BlueMe_Sem_Pedido!$H:$H,DRE!$A277)-SUMIFS(Aut_Descontos!$G:$G,Aut_Descontos!$H:$H,$A277,Aut_Descontos!$L:$L,DRE!AC$4)+SUMIFS(Aut_Ajustes_Manuais!$G:$G,Aut_Ajustes_Manuais!$I:$I,DRE!AC$4,Aut_Ajustes_Manuais!$F:$F,"Ferramentas de Marketing")</f>
        <v>0</v>
      </c>
      <c r="AF277" s="241">
        <v>-150</v>
      </c>
      <c r="AG277" s="27">
        <v>-206.85</v>
      </c>
      <c r="AH277" s="28">
        <f>SUMIFS(Aut_BlueMe_Sem_Pedido!$J:$J,Aut_BlueMe_Sem_Pedido!$Q:$Q,DRE!AF$4,Aut_BlueMe_Sem_Pedido!$H:$H,DRE!$A277)-SUMIFS(Aut_Descontos!$G:$G,Aut_Descontos!$H:$H,$A277,Aut_Descontos!$L:$L,DRE!AF$4)+SUMIFS(Aut_Ajustes_Manuais!$G:$G,Aut_Ajustes_Manuais!$I:$I,DRE!AF$4,Aut_Ajustes_Manuais!$F:$F,"Ferramentas de Marketing")</f>
        <v>0</v>
      </c>
      <c r="AI277" s="241">
        <v>-150</v>
      </c>
      <c r="AJ277" s="27">
        <v>-206.85</v>
      </c>
      <c r="AK277" s="28">
        <f>SUMIFS(Aut_BlueMe_Sem_Pedido!$J:$J,Aut_BlueMe_Sem_Pedido!$Q:$Q,DRE!AI$4,Aut_BlueMe_Sem_Pedido!$H:$H,DRE!$A277)-SUMIFS(Aut_Descontos!$G:$G,Aut_Descontos!$H:$H,$A277,Aut_Descontos!$L:$L,DRE!AI$4)+SUMIFS(Aut_Ajustes_Manuais!$G:$G,Aut_Ajustes_Manuais!$I:$I,DRE!AI$4,Aut_Ajustes_Manuais!$F:$F,"Ferramentas de Marketing")</f>
        <v>0</v>
      </c>
      <c r="AL277" s="241">
        <v>-813.54</v>
      </c>
      <c r="AM277" s="27">
        <v>-206.85</v>
      </c>
      <c r="AN277" s="28">
        <f>SUMIFS(Aut_BlueMe_Sem_Pedido!$J:$J,Aut_BlueMe_Sem_Pedido!$Q:$Q,DRE!AL$4,Aut_BlueMe_Sem_Pedido!$H:$H,DRE!$A277)-SUMIFS(Aut_Descontos!$G:$G,Aut_Descontos!$H:$H,$A277,Aut_Descontos!$L:$L,DRE!AL$4)+SUMIFS(Aut_Ajustes_Manuais!$G:$G,Aut_Ajustes_Manuais!$I:$I,DRE!AL$4,Aut_Ajustes_Manuais!$F:$F,"Ferramentas de Marketing")</f>
        <v>0</v>
      </c>
      <c r="AO277" s="241">
        <v>-150</v>
      </c>
      <c r="AP277" s="27">
        <v>-206.85</v>
      </c>
      <c r="AQ277" s="28">
        <f>SUMIFS(Aut_BlueMe_Sem_Pedido!$J:$J,Aut_BlueMe_Sem_Pedido!$Q:$Q,DRE!AO$4,Aut_BlueMe_Sem_Pedido!$H:$H,DRE!$A277)-SUMIFS(Aut_Descontos!$G:$G,Aut_Descontos!$H:$H,$A277,Aut_Descontos!$L:$L,DRE!AO$4)+SUMIFS(Aut_Ajustes_Manuais!$G:$G,Aut_Ajustes_Manuais!$I:$I,DRE!AO$4,Aut_Ajustes_Manuais!$F:$F,"Ferramentas de Marketing")</f>
        <v>0</v>
      </c>
      <c r="AR277" s="241">
        <f t="shared" ca="1" si="240"/>
        <v>-1348</v>
      </c>
      <c r="AS277" s="27">
        <f t="shared" ca="1" si="241"/>
        <v>-1241.0999999999999</v>
      </c>
      <c r="AT277" s="28">
        <f t="shared" ca="1" si="242"/>
        <v>-11791.829999999998</v>
      </c>
      <c r="AU277" s="241">
        <f t="shared" si="243"/>
        <v>-2911.54</v>
      </c>
      <c r="AV277" s="27">
        <f t="shared" si="244"/>
        <v>-2482.1999999999994</v>
      </c>
      <c r="AW277" s="28">
        <f t="shared" si="245"/>
        <v>-11814.179999999998</v>
      </c>
      <c r="AX277" s="241">
        <f t="shared" si="246"/>
        <v>-48</v>
      </c>
      <c r="AY277" s="27">
        <f t="shared" si="247"/>
        <v>-620.54999999999995</v>
      </c>
      <c r="AZ277" s="28">
        <f t="shared" si="248"/>
        <v>-6312.11</v>
      </c>
      <c r="BA277" s="241">
        <f t="shared" si="249"/>
        <v>-1300</v>
      </c>
      <c r="BB277" s="27">
        <f t="shared" si="250"/>
        <v>-620.54999999999995</v>
      </c>
      <c r="BC277" s="28">
        <f t="shared" si="251"/>
        <v>-5479.7199999999993</v>
      </c>
      <c r="BD277" s="241">
        <f t="shared" si="252"/>
        <v>-450</v>
      </c>
      <c r="BE277" s="27">
        <f t="shared" si="253"/>
        <v>-620.54999999999995</v>
      </c>
      <c r="BF277" s="28">
        <f t="shared" si="254"/>
        <v>-22.35</v>
      </c>
      <c r="BG277" s="241">
        <f t="shared" si="255"/>
        <v>-1113.54</v>
      </c>
      <c r="BH277" s="27">
        <f t="shared" si="256"/>
        <v>-620.54999999999995</v>
      </c>
      <c r="BI277" s="28">
        <f t="shared" si="257"/>
        <v>0</v>
      </c>
    </row>
    <row r="278" spans="1:61" collapsed="1" x14ac:dyDescent="0.3">
      <c r="A278" s="71" t="s">
        <v>44</v>
      </c>
      <c r="B278" s="59"/>
      <c r="C278" s="60"/>
      <c r="D278" s="61"/>
      <c r="E278" s="62"/>
      <c r="F278" s="63"/>
      <c r="G278" s="47"/>
      <c r="H278" s="245">
        <v>-3.9586294896852899E-2</v>
      </c>
      <c r="I278" s="50">
        <v>-1.7007661558738851E-2</v>
      </c>
      <c r="J278" s="51">
        <f>IFERROR(J266/J8,0)+SUMIFS(Aut_Ajustes_Manuais!$G:$G,Aut_Ajustes_Manuais!$I:$I,DRE!H$4,Aut_Ajustes_Manuais!$F:$F,"% sobre Receita Bruta")</f>
        <v>-1.7694209365289374E-2</v>
      </c>
      <c r="K278" s="245">
        <v>-2.9039330052858379E-2</v>
      </c>
      <c r="L278" s="50">
        <v>-1.5531819774075599E-2</v>
      </c>
      <c r="M278" s="51">
        <f>IFERROR(M266/M8,0)+SUMIFS(Aut_Ajustes_Manuais!$G:$G,Aut_Ajustes_Manuais!$I:$I,DRE!K$4,Aut_Ajustes_Manuais!$F:$F,"% sobre Receita Bruta")</f>
        <v>-2.1767727424311056E-2</v>
      </c>
      <c r="N278" s="245">
        <v>-1.8425166178612389E-2</v>
      </c>
      <c r="O278" s="50">
        <v>-1.2320165992269729E-2</v>
      </c>
      <c r="P278" s="51">
        <f>IFERROR(P266/P8,0)+SUMIFS(Aut_Ajustes_Manuais!$G:$G,Aut_Ajustes_Manuais!$I:$I,DRE!N$4,Aut_Ajustes_Manuais!$F:$F,"% sobre Receita Bruta")</f>
        <v>-1.2621039878588305E-2</v>
      </c>
      <c r="Q278" s="245">
        <v>-1.5775720298136581E-2</v>
      </c>
      <c r="R278" s="50">
        <v>-1.299947314013248E-2</v>
      </c>
      <c r="S278" s="51">
        <f>IFERROR(S266/S8,0)+SUMIFS(Aut_Ajustes_Manuais!$G:$G,Aut_Ajustes_Manuais!$I:$I,DRE!Q$4,Aut_Ajustes_Manuais!$F:$F,"% sobre Receita Bruta")</f>
        <v>-1.8557035434122723E-2</v>
      </c>
      <c r="T278" s="245">
        <v>-1.8203996515257601E-2</v>
      </c>
      <c r="U278" s="50">
        <v>-1.3126663799327341E-2</v>
      </c>
      <c r="V278" s="51">
        <f>IFERROR(V266/V8,0)+SUMIFS(Aut_Ajustes_Manuais!$G:$G,Aut_Ajustes_Manuais!$I:$I,DRE!T$4,Aut_Ajustes_Manuais!$F:$F,"% sobre Receita Bruta")</f>
        <v>-2.2716195250195477E-2</v>
      </c>
      <c r="W278" s="245">
        <v>-1.845759282385917E-2</v>
      </c>
      <c r="X278" s="50">
        <v>-1.4106281077089231E-2</v>
      </c>
      <c r="Y278" s="51">
        <f>IFERROR(Y266/Y8,0)+SUMIFS(Aut_Ajustes_Manuais!$G:$G,Aut_Ajustes_Manuais!$I:$I,DRE!W$4,Aut_Ajustes_Manuais!$F:$F,"% sobre Receita Bruta")</f>
        <v>-2.2320463321202307E-2</v>
      </c>
      <c r="Z278" s="245">
        <v>-1.9187572331497451E-2</v>
      </c>
      <c r="AA278" s="50">
        <v>-1.0833825732496151E-2</v>
      </c>
      <c r="AB278" s="51">
        <f>IFERROR(AB266/AB8,0)+SUMIFS(Aut_Ajustes_Manuais!$G:$G,Aut_Ajustes_Manuais!$I:$I,DRE!Z$4,Aut_Ajustes_Manuais!$F:$F,"% sobre Receita Bruta")</f>
        <v>-3.9868055131230901E-2</v>
      </c>
      <c r="AC278" s="245">
        <v>-1.8315625574609948E-2</v>
      </c>
      <c r="AD278" s="50">
        <v>-1.1440198779877441E-2</v>
      </c>
      <c r="AE278" s="51">
        <f>IFERROR(AE266/AE8,0)+SUMIFS(Aut_Ajustes_Manuais!$G:$G,Aut_Ajustes_Manuais!$I:$I,DRE!AC$4,Aut_Ajustes_Manuais!$F:$F,"% sobre Receita Bruta")</f>
        <v>-1.8518518518518519</v>
      </c>
      <c r="AF278" s="245">
        <v>-1.60871646315392E-2</v>
      </c>
      <c r="AG278" s="50">
        <v>-1.282117694654487E-2</v>
      </c>
      <c r="AH278" s="51">
        <f>IFERROR(AH266/AH8,0)+SUMIFS(Aut_Ajustes_Manuais!$G:$G,Aut_Ajustes_Manuais!$I:$I,DRE!AF$4,Aut_Ajustes_Manuais!$F:$F,"% sobre Receita Bruta")</f>
        <v>0</v>
      </c>
      <c r="AI278" s="245">
        <v>-2.7469304760488669E-2</v>
      </c>
      <c r="AJ278" s="50">
        <v>-1.2421703686554649E-2</v>
      </c>
      <c r="AK278" s="51">
        <f>IFERROR(AK266/AK8,0)+SUMIFS(Aut_Ajustes_Manuais!$G:$G,Aut_Ajustes_Manuais!$I:$I,DRE!AI$4,Aut_Ajustes_Manuais!$F:$F,"% sobre Receita Bruta")</f>
        <v>0</v>
      </c>
      <c r="AL278" s="245">
        <v>-1.4105955932929079E-2</v>
      </c>
      <c r="AM278" s="50">
        <v>-1.174873561890338E-2</v>
      </c>
      <c r="AN278" s="51">
        <f>IFERROR(AN266/AN8,0)+SUMIFS(Aut_Ajustes_Manuais!$G:$G,Aut_Ajustes_Manuais!$I:$I,DRE!AL$4,Aut_Ajustes_Manuais!$F:$F,"% sobre Receita Bruta")</f>
        <v>-1.4925373134328359</v>
      </c>
      <c r="AO278" s="245">
        <v>-8.5255927493637553E-3</v>
      </c>
      <c r="AP278" s="50">
        <v>-9.2428744034308008E-3</v>
      </c>
      <c r="AQ278" s="51">
        <f>IFERROR(AQ266/AQ8,0)+SUMIFS(Aut_Ajustes_Manuais!$G:$G,Aut_Ajustes_Manuais!$I:$I,DRE!AO$4,Aut_Ajustes_Manuais!$F:$F,"% sobre Receita Bruta")</f>
        <v>0</v>
      </c>
      <c r="AR278" s="245">
        <f t="shared" ref="AR278:BI278" ca="1" si="258">IFERROR(AR266/AR8,0)</f>
        <v>-2.2179174459903771E-2</v>
      </c>
      <c r="AS278" s="50">
        <f t="shared" ca="1" si="258"/>
        <v>-1.4004995577824801E-2</v>
      </c>
      <c r="AT278" s="51">
        <f t="shared" ca="1" si="258"/>
        <v>-1.9045707754966432E-2</v>
      </c>
      <c r="AU278" s="245">
        <f t="shared" si="258"/>
        <v>-1.8804648076808175E-2</v>
      </c>
      <c r="AV278" s="50">
        <f t="shared" si="258"/>
        <v>-1.2496862934190977E-2</v>
      </c>
      <c r="AW278" s="51">
        <f t="shared" si="258"/>
        <v>-3.0317198596976246E-2</v>
      </c>
      <c r="AX278" s="245">
        <f t="shared" si="258"/>
        <v>-2.7683947282496884E-2</v>
      </c>
      <c r="AY278" s="50">
        <f t="shared" si="258"/>
        <v>-1.4676834227973756E-2</v>
      </c>
      <c r="AZ278" s="51">
        <f t="shared" si="258"/>
        <v>-1.6879527378609639E-2</v>
      </c>
      <c r="BA278" s="245">
        <f t="shared" si="258"/>
        <v>-1.747205153395354E-2</v>
      </c>
      <c r="BB278" s="50">
        <f t="shared" si="258"/>
        <v>-1.339274857315732E-2</v>
      </c>
      <c r="BC278" s="51">
        <f t="shared" si="258"/>
        <v>-2.1231624849366658E-2</v>
      </c>
      <c r="BD278" s="245">
        <f t="shared" si="258"/>
        <v>-1.7966475488390893E-2</v>
      </c>
      <c r="BE278" s="50">
        <f t="shared" si="258"/>
        <v>-1.1639996429043262E-2</v>
      </c>
      <c r="BF278" s="51">
        <f t="shared" si="258"/>
        <v>-0.11680296114578484</v>
      </c>
      <c r="BG278" s="245">
        <f t="shared" si="258"/>
        <v>-1.4843302102057926E-2</v>
      </c>
      <c r="BH278" s="50">
        <f t="shared" si="258"/>
        <v>-1.0952860610799203E-2</v>
      </c>
      <c r="BI278" s="51">
        <f t="shared" si="258"/>
        <v>-4.4776119402985071</v>
      </c>
    </row>
    <row r="279" spans="1:61" x14ac:dyDescent="0.3">
      <c r="A279" s="18"/>
      <c r="E279" s="16"/>
      <c r="F279" s="17"/>
      <c r="G279" s="47"/>
      <c r="H279" s="247"/>
      <c r="I279" s="17"/>
      <c r="J279" s="57"/>
      <c r="K279" s="247"/>
      <c r="L279" s="17"/>
      <c r="M279" s="57"/>
      <c r="N279" s="247"/>
      <c r="O279" s="17"/>
      <c r="P279" s="57"/>
      <c r="Q279" s="247"/>
      <c r="R279" s="17"/>
      <c r="S279" s="57"/>
      <c r="T279" s="247"/>
      <c r="U279" s="17"/>
      <c r="V279" s="57"/>
      <c r="W279" s="247"/>
      <c r="X279" s="17"/>
      <c r="Y279" s="57"/>
      <c r="Z279" s="247"/>
      <c r="AA279" s="17"/>
      <c r="AB279" s="57"/>
      <c r="AC279" s="247"/>
      <c r="AD279" s="17"/>
      <c r="AE279" s="57"/>
      <c r="AF279" s="247"/>
      <c r="AG279" s="17"/>
      <c r="AH279" s="57"/>
      <c r="AI279" s="247"/>
      <c r="AJ279" s="17"/>
      <c r="AK279" s="57"/>
      <c r="AL279" s="247"/>
      <c r="AM279" s="17"/>
      <c r="AN279" s="57"/>
      <c r="AO279" s="247"/>
      <c r="AP279" s="17"/>
      <c r="AQ279" s="57"/>
      <c r="AR279" s="247"/>
      <c r="AS279" s="17"/>
      <c r="AT279" s="57"/>
      <c r="AU279" s="247"/>
      <c r="AV279" s="17"/>
      <c r="AW279" s="57"/>
      <c r="AX279" s="247"/>
      <c r="AY279" s="17"/>
      <c r="AZ279" s="57"/>
      <c r="BA279" s="247"/>
      <c r="BB279" s="17"/>
      <c r="BC279" s="57"/>
      <c r="BD279" s="247"/>
      <c r="BE279" s="17"/>
      <c r="BF279" s="57"/>
      <c r="BG279" s="247"/>
      <c r="BH279" s="17"/>
      <c r="BI279" s="57"/>
    </row>
    <row r="280" spans="1:61" x14ac:dyDescent="0.3">
      <c r="A280" s="39" t="s">
        <v>308</v>
      </c>
      <c r="C280" s="40" t="s">
        <v>35</v>
      </c>
      <c r="D280" s="40" t="s">
        <v>36</v>
      </c>
      <c r="E280" s="40" t="s">
        <v>202</v>
      </c>
      <c r="F280" s="41"/>
      <c r="G280" s="47"/>
      <c r="H280" s="244">
        <v>-10212.08</v>
      </c>
      <c r="I280" s="42">
        <v>-5560.674</v>
      </c>
      <c r="J280" s="43">
        <f>SUM(J281:J288)+SUMIFS(Aut_Ajustes_Manuais!$G:$G,Aut_Ajustes_Manuais!$I:$I,DRE!H$4,Aut_Ajustes_Manuais!$F:$F,"Serviços de Terceiros")</f>
        <v>-5637.33</v>
      </c>
      <c r="K280" s="244">
        <v>-3893.18</v>
      </c>
      <c r="L280" s="42">
        <v>-5560.674</v>
      </c>
      <c r="M280" s="43">
        <f>SUM(M281:M288)+SUMIFS(Aut_Ajustes_Manuais!$G:$G,Aut_Ajustes_Manuais!$I:$I,DRE!K$4,Aut_Ajustes_Manuais!$F:$F,"Serviços de Terceiros")</f>
        <v>-5648.76</v>
      </c>
      <c r="N280" s="244">
        <v>-3893.18</v>
      </c>
      <c r="O280" s="42">
        <v>-5560.674</v>
      </c>
      <c r="P280" s="43">
        <f>SUM(P281:P288)+SUMIFS(Aut_Ajustes_Manuais!$G:$G,Aut_Ajustes_Manuais!$I:$I,DRE!N$4,Aut_Ajustes_Manuais!$F:$F,"Serviços de Terceiros")</f>
        <v>-5722.01</v>
      </c>
      <c r="Q280" s="244">
        <v>-4193.18</v>
      </c>
      <c r="R280" s="42">
        <v>-5560.674</v>
      </c>
      <c r="S280" s="43">
        <f>SUM(S281:S288)+SUMIFS(Aut_Ajustes_Manuais!$G:$G,Aut_Ajustes_Manuais!$I:$I,DRE!Q$4,Aut_Ajustes_Manuais!$F:$F,"Serviços de Terceiros")</f>
        <v>-5645.76</v>
      </c>
      <c r="T280" s="244">
        <v>-5557.48</v>
      </c>
      <c r="U280" s="42">
        <v>-5560.674</v>
      </c>
      <c r="V280" s="43">
        <f>SUM(V281:V288)+SUMIFS(Aut_Ajustes_Manuais!$G:$G,Aut_Ajustes_Manuais!$I:$I,DRE!T$4,Aut_Ajustes_Manuais!$F:$F,"Serviços de Terceiros")</f>
        <v>-5698.75</v>
      </c>
      <c r="W280" s="244">
        <v>-5307.88</v>
      </c>
      <c r="X280" s="42">
        <v>-5560.674</v>
      </c>
      <c r="Y280" s="43">
        <f>SUM(Y281:Y288)+SUMIFS(Aut_Ajustes_Manuais!$G:$G,Aut_Ajustes_Manuais!$I:$I,DRE!W$4,Aut_Ajustes_Manuais!$F:$F,"Serviços de Terceiros")</f>
        <v>-5704.99</v>
      </c>
      <c r="Z280" s="244">
        <v>-5443.18</v>
      </c>
      <c r="AA280" s="42">
        <v>-5560.674</v>
      </c>
      <c r="AB280" s="43">
        <f>SUM(AB281:AB288)+SUMIFS(Aut_Ajustes_Manuais!$G:$G,Aut_Ajustes_Manuais!$I:$I,DRE!Z$4,Aut_Ajustes_Manuais!$F:$F,"Serviços de Terceiros")</f>
        <v>-5873.93</v>
      </c>
      <c r="AC280" s="244">
        <v>-5295.88</v>
      </c>
      <c r="AD280" s="42">
        <v>-5560.674</v>
      </c>
      <c r="AE280" s="43">
        <f>SUM(AE281:AE288)+SUMIFS(Aut_Ajustes_Manuais!$G:$G,Aut_Ajustes_Manuais!$I:$I,DRE!AC$4,Aut_Ajustes_Manuais!$F:$F,"Serviços de Terceiros")</f>
        <v>-5755.74</v>
      </c>
      <c r="AF280" s="244">
        <v>-5457.83</v>
      </c>
      <c r="AG280" s="42">
        <v>-5560.674</v>
      </c>
      <c r="AH280" s="43">
        <f>SUM(AH281:AH288)+SUMIFS(Aut_Ajustes_Manuais!$G:$G,Aut_Ajustes_Manuais!$I:$I,DRE!AF$4,Aut_Ajustes_Manuais!$F:$F,"Serviços de Terceiros")</f>
        <v>-5755.74</v>
      </c>
      <c r="AI280" s="244">
        <v>-5474.33</v>
      </c>
      <c r="AJ280" s="42">
        <v>-5560.674</v>
      </c>
      <c r="AK280" s="43">
        <f>SUM(AK281:AK288)+SUMIFS(Aut_Ajustes_Manuais!$G:$G,Aut_Ajustes_Manuais!$I:$I,DRE!AI$4,Aut_Ajustes_Manuais!$F:$F,"Serviços de Terceiros")</f>
        <v>-7413.18</v>
      </c>
      <c r="AL280" s="244">
        <v>-7205.39</v>
      </c>
      <c r="AM280" s="42">
        <v>-5790.6239999999998</v>
      </c>
      <c r="AN280" s="43">
        <f>SUM(AN281:AN288)+SUMIFS(Aut_Ajustes_Manuais!$G:$G,Aut_Ajustes_Manuais!$I:$I,DRE!AL$4,Aut_Ajustes_Manuais!$F:$F,"Serviços de Terceiros")</f>
        <v>-7413.18</v>
      </c>
      <c r="AO280" s="244">
        <v>-7108.3700000000008</v>
      </c>
      <c r="AP280" s="42">
        <v>-5560.674</v>
      </c>
      <c r="AQ280" s="43">
        <f>SUM(AQ281:AQ288)+SUMIFS(Aut_Ajustes_Manuais!$G:$G,Aut_Ajustes_Manuais!$I:$I,DRE!AO$4,Aut_Ajustes_Manuais!$F:$F,"Serviços de Terceiros")</f>
        <v>-7228.18</v>
      </c>
      <c r="AR280" s="244">
        <f ca="1">SUM(AR281:AR289)</f>
        <v>-33056.980000000003</v>
      </c>
      <c r="AS280" s="42">
        <f ca="1">SUM(AS281:AS289)</f>
        <v>-33364.043999999994</v>
      </c>
      <c r="AT280" s="43">
        <f ca="1">SUM(AT281:AT289)</f>
        <v>-34057.599999999999</v>
      </c>
      <c r="AU280" s="244">
        <f t="shared" ref="AU280:BI280" si="259">SUM(AU281:AU288)</f>
        <v>-69041.960000000021</v>
      </c>
      <c r="AV280" s="42">
        <f t="shared" si="259"/>
        <v>-66958.038</v>
      </c>
      <c r="AW280" s="43">
        <f t="shared" si="259"/>
        <v>-73497.549999999988</v>
      </c>
      <c r="AX280" s="244">
        <f t="shared" si="259"/>
        <v>-17998.440000000002</v>
      </c>
      <c r="AY280" s="42">
        <f t="shared" si="259"/>
        <v>-16682.022000000001</v>
      </c>
      <c r="AZ280" s="43">
        <f t="shared" si="259"/>
        <v>-17008.099999999999</v>
      </c>
      <c r="BA280" s="244">
        <f t="shared" si="259"/>
        <v>-15058.54</v>
      </c>
      <c r="BB280" s="42">
        <f t="shared" si="259"/>
        <v>-16682.022000000001</v>
      </c>
      <c r="BC280" s="43">
        <f t="shared" si="259"/>
        <v>-17049.5</v>
      </c>
      <c r="BD280" s="244">
        <f t="shared" si="259"/>
        <v>-16196.89</v>
      </c>
      <c r="BE280" s="42">
        <f t="shared" si="259"/>
        <v>-16682.022000000001</v>
      </c>
      <c r="BF280" s="43">
        <f t="shared" si="259"/>
        <v>-17385.41</v>
      </c>
      <c r="BG280" s="244">
        <f t="shared" si="259"/>
        <v>-19788.090000000004</v>
      </c>
      <c r="BH280" s="42">
        <f t="shared" si="259"/>
        <v>-16911.972000000002</v>
      </c>
      <c r="BI280" s="43">
        <f t="shared" si="259"/>
        <v>-22054.54</v>
      </c>
    </row>
    <row r="281" spans="1:61" s="29" customFormat="1" hidden="1" outlineLevel="1" x14ac:dyDescent="0.3">
      <c r="A281" s="22" t="s">
        <v>309</v>
      </c>
      <c r="B281" s="23"/>
      <c r="C281" s="24" t="s">
        <v>67</v>
      </c>
      <c r="D281" s="116"/>
      <c r="E281" s="115"/>
      <c r="F281" s="56"/>
      <c r="G281" s="33"/>
      <c r="H281" s="241">
        <v>-3318.9</v>
      </c>
      <c r="I281" s="27">
        <v>-2995.335</v>
      </c>
      <c r="J281" s="28">
        <f>SUMIFS(Aut_BlueMe_Sem_Pedido!$J:$J,Aut_BlueMe_Sem_Pedido!$Q:$Q,DRE!H$4,Aut_BlueMe_Sem_Pedido!$H:$H,DRE!$A281)+SUMIFS(Aut_Ajustes_Manuais!$G:$G,Aut_Ajustes_Manuais!$I:$I,DRE!H$4,Aut_Ajustes_Manuais!$F:$F,"Assessoria Contabil")</f>
        <v>-3194.1499999999996</v>
      </c>
      <c r="K281" s="241">
        <v>-3000</v>
      </c>
      <c r="L281" s="27">
        <v>-2995.335</v>
      </c>
      <c r="M281" s="28">
        <f>SUMIFS(Aut_BlueMe_Sem_Pedido!$J:$J,Aut_BlueMe_Sem_Pedido!$Q:$Q,DRE!K$4,Aut_BlueMe_Sem_Pedido!$H:$H,DRE!$A281)+SUMIFS(Aut_Ajustes_Manuais!$G:$G,Aut_Ajustes_Manuais!$I:$I,DRE!K$4,Aut_Ajustes_Manuais!$F:$F,"Assessoria Contabil")</f>
        <v>-3252.2799999999997</v>
      </c>
      <c r="N281" s="241">
        <v>-3000</v>
      </c>
      <c r="O281" s="27">
        <v>-2995.335</v>
      </c>
      <c r="P281" s="28">
        <f>SUMIFS(Aut_BlueMe_Sem_Pedido!$J:$J,Aut_BlueMe_Sem_Pedido!$Q:$Q,DRE!N$4,Aut_BlueMe_Sem_Pedido!$H:$H,DRE!$A281)+SUMIFS(Aut_Ajustes_Manuais!$G:$G,Aut_Ajustes_Manuais!$I:$I,DRE!N$4,Aut_Ajustes_Manuais!$F:$F,"Assessoria Contabil")</f>
        <v>-3325.5299999999997</v>
      </c>
      <c r="Q281" s="241">
        <v>-3000</v>
      </c>
      <c r="R281" s="27">
        <v>-2995.335</v>
      </c>
      <c r="S281" s="28">
        <f>SUMIFS(Aut_BlueMe_Sem_Pedido!$J:$J,Aut_BlueMe_Sem_Pedido!$Q:$Q,DRE!Q$4,Aut_BlueMe_Sem_Pedido!$H:$H,DRE!$A281)+SUMIFS(Aut_Ajustes_Manuais!$G:$G,Aut_Ajustes_Manuais!$I:$I,DRE!Q$4,Aut_Ajustes_Manuais!$F:$F,"Assessoria Contabil")</f>
        <v>-3252.2799999999997</v>
      </c>
      <c r="T281" s="241">
        <v>-3114.3</v>
      </c>
      <c r="U281" s="27">
        <v>-2995.335</v>
      </c>
      <c r="V281" s="28">
        <f>SUMIFS(Aut_BlueMe_Sem_Pedido!$J:$J,Aut_BlueMe_Sem_Pedido!$Q:$Q,DRE!T$4,Aut_BlueMe_Sem_Pedido!$H:$H,DRE!$A281)+SUMIFS(Aut_Ajustes_Manuais!$G:$G,Aut_Ajustes_Manuais!$I:$I,DRE!T$4,Aut_Ajustes_Manuais!$F:$F,"Assessoria Contabil")</f>
        <v>-3269.2999999999997</v>
      </c>
      <c r="W281" s="241">
        <v>-2864.7</v>
      </c>
      <c r="X281" s="27">
        <v>-2995.335</v>
      </c>
      <c r="Y281" s="28">
        <f>SUMIFS(Aut_BlueMe_Sem_Pedido!$J:$J,Aut_BlueMe_Sem_Pedido!$Q:$Q,DRE!W$4,Aut_BlueMe_Sem_Pedido!$H:$H,DRE!$A281)+SUMIFS(Aut_Ajustes_Manuais!$G:$G,Aut_Ajustes_Manuais!$I:$I,DRE!W$4,Aut_Ajustes_Manuais!$F:$F,"Assessoria Contabil")</f>
        <v>-3275.54</v>
      </c>
      <c r="Z281" s="241">
        <v>-3000</v>
      </c>
      <c r="AA281" s="27">
        <v>-2995.335</v>
      </c>
      <c r="AB281" s="28">
        <f>SUMIFS(Aut_BlueMe_Sem_Pedido!$J:$J,Aut_BlueMe_Sem_Pedido!$Q:$Q,DRE!Z$4,Aut_BlueMe_Sem_Pedido!$H:$H,DRE!$A281)+SUMIFS(Aut_Ajustes_Manuais!$G:$G,Aut_Ajustes_Manuais!$I:$I,DRE!Z$4,Aut_Ajustes_Manuais!$F:$F,"Assessoria Contabil")</f>
        <v>-3430.75</v>
      </c>
      <c r="AC281" s="241">
        <v>-2852.7</v>
      </c>
      <c r="AD281" s="27">
        <v>-2995.335</v>
      </c>
      <c r="AE281" s="28">
        <f>SUMIFS(Aut_BlueMe_Sem_Pedido!$J:$J,Aut_BlueMe_Sem_Pedido!$Q:$Q,DRE!AC$4,Aut_BlueMe_Sem_Pedido!$H:$H,DRE!$A281)+SUMIFS(Aut_Ajustes_Manuais!$G:$G,Aut_Ajustes_Manuais!$I:$I,DRE!AC$4,Aut_Ajustes_Manuais!$F:$F,"Assessoria Contabil")</f>
        <v>-3312.56</v>
      </c>
      <c r="AF281" s="241">
        <v>-3014.65</v>
      </c>
      <c r="AG281" s="27">
        <v>-2995.335</v>
      </c>
      <c r="AH281" s="28">
        <f>SUMIFS(Aut_BlueMe_Sem_Pedido!$J:$J,Aut_BlueMe_Sem_Pedido!$Q:$Q,DRE!AF$4,Aut_BlueMe_Sem_Pedido!$H:$H,DRE!$A281)+SUMIFS(Aut_Ajustes_Manuais!$G:$G,Aut_Ajustes_Manuais!$I:$I,DRE!AF$4,Aut_Ajustes_Manuais!$F:$F,"Assessoria Contabil")</f>
        <v>-3312.56</v>
      </c>
      <c r="AI281" s="241">
        <v>-3031.15</v>
      </c>
      <c r="AJ281" s="27">
        <v>-2995.335</v>
      </c>
      <c r="AK281" s="28">
        <f>SUMIFS(Aut_BlueMe_Sem_Pedido!$J:$J,Aut_BlueMe_Sem_Pedido!$Q:$Q,DRE!AI$4,Aut_BlueMe_Sem_Pedido!$H:$H,DRE!$A281)+SUMIFS(Aut_Ajustes_Manuais!$G:$G,Aut_Ajustes_Manuais!$I:$I,DRE!AI$4,Aut_Ajustes_Manuais!$F:$F,"Assessoria Contabil")</f>
        <v>-4970</v>
      </c>
      <c r="AL281" s="241">
        <v>-4563.21</v>
      </c>
      <c r="AM281" s="27">
        <v>-3225.2849999999999</v>
      </c>
      <c r="AN281" s="28">
        <f>SUMIFS(Aut_BlueMe_Sem_Pedido!$J:$J,Aut_BlueMe_Sem_Pedido!$Q:$Q,DRE!AL$4,Aut_BlueMe_Sem_Pedido!$H:$H,DRE!$A281)+SUMIFS(Aut_Ajustes_Manuais!$G:$G,Aut_Ajustes_Manuais!$I:$I,DRE!AL$4,Aut_Ajustes_Manuais!$F:$F,"Assessoria Contabil")</f>
        <v>-4970</v>
      </c>
      <c r="AO281" s="241">
        <v>-4665.1900000000014</v>
      </c>
      <c r="AP281" s="27">
        <v>-2995.335</v>
      </c>
      <c r="AQ281" s="28">
        <f>SUMIFS(Aut_BlueMe_Sem_Pedido!$J:$J,Aut_BlueMe_Sem_Pedido!$Q:$Q,DRE!AO$4,Aut_BlueMe_Sem_Pedido!$H:$H,DRE!$A281)+SUMIFS(Aut_Ajustes_Manuais!$G:$G,Aut_Ajustes_Manuais!$I:$I,DRE!AO$4,Aut_Ajustes_Manuais!$F:$F,"Assessoria Contabil")</f>
        <v>-4970</v>
      </c>
      <c r="AR281" s="241">
        <f t="shared" ref="AR281:AR291" ca="1" si="260">SUMIFS($H281:$AO281,$H$5:$AO$5,"&lt;"&amp;MONTH(TODAY()),$H$6:$AO$6,"REAL 25")</f>
        <v>-18297.900000000001</v>
      </c>
      <c r="AS281" s="27">
        <f t="shared" ref="AS281:AS291" ca="1" si="261">SUMIFS($I281:$AP281,$I$5:$AP$5,"&lt;"&amp;MONTH(TODAY()),$I$6:$AP$6,"ORÇADO ")</f>
        <v>-17972.009999999998</v>
      </c>
      <c r="AT281" s="28">
        <f t="shared" ref="AT281:AT291" ca="1" si="262">SUMIFS($J281:$AQ281,$J$5:$AQ$5,"&lt;"&amp;MONTH(TODAY()),$J$6:$AQ$6,"REAL 26")</f>
        <v>-19569.079999999998</v>
      </c>
      <c r="AU281" s="241">
        <f t="shared" ref="AU281:AW288" si="263">SUM(H281,K281,N281,Q281,T281,W281,Z281,AC281,AF281,AI281,AL281,AO281)</f>
        <v>-39424.80000000001</v>
      </c>
      <c r="AV281" s="27">
        <f t="shared" si="263"/>
        <v>-36173.969999999994</v>
      </c>
      <c r="AW281" s="28">
        <f t="shared" si="263"/>
        <v>-44534.95</v>
      </c>
      <c r="AX281" s="241">
        <f t="shared" ref="AX281:AZ288" si="264">SUM(H281,K281,N281)</f>
        <v>-9318.9</v>
      </c>
      <c r="AY281" s="27">
        <f t="shared" si="264"/>
        <v>-8986.005000000001</v>
      </c>
      <c r="AZ281" s="28">
        <f t="shared" si="264"/>
        <v>-9771.9599999999991</v>
      </c>
      <c r="BA281" s="241">
        <f t="shared" ref="BA281:BC288" si="265">SUM(Q281,T281,W281)</f>
        <v>-8979</v>
      </c>
      <c r="BB281" s="27">
        <f t="shared" si="265"/>
        <v>-8986.005000000001</v>
      </c>
      <c r="BC281" s="28">
        <f t="shared" si="265"/>
        <v>-9797.119999999999</v>
      </c>
      <c r="BD281" s="241">
        <f t="shared" ref="BD281:BF288" si="266">SUM(Z281,AC281,AF281)</f>
        <v>-8867.35</v>
      </c>
      <c r="BE281" s="27">
        <f t="shared" si="266"/>
        <v>-8986.005000000001</v>
      </c>
      <c r="BF281" s="28">
        <f t="shared" si="266"/>
        <v>-10055.869999999999</v>
      </c>
      <c r="BG281" s="241">
        <f t="shared" ref="BG281:BI288" si="267">SUM(AI281,AL281,AO281)</f>
        <v>-12259.550000000003</v>
      </c>
      <c r="BH281" s="27">
        <f t="shared" si="267"/>
        <v>-9215.9549999999999</v>
      </c>
      <c r="BI281" s="28">
        <f t="shared" si="267"/>
        <v>-14910</v>
      </c>
    </row>
    <row r="282" spans="1:61" s="29" customFormat="1" hidden="1" outlineLevel="1" x14ac:dyDescent="0.3">
      <c r="A282" s="22" t="s">
        <v>310</v>
      </c>
      <c r="B282" s="23"/>
      <c r="C282" s="24" t="s">
        <v>67</v>
      </c>
      <c r="D282" s="116"/>
      <c r="E282" s="122"/>
      <c r="F282" s="56"/>
      <c r="G282" s="33"/>
      <c r="H282" s="241">
        <v>0</v>
      </c>
      <c r="I282" s="27">
        <v>0</v>
      </c>
      <c r="J282" s="28">
        <f>SUMIFS(Aut_BlueMe_Sem_Pedido!$J:$J,Aut_BlueMe_Sem_Pedido!$Q:$Q,DRE!H$4,Aut_BlueMe_Sem_Pedido!$H:$H,DRE!$A282)+SUMIFS(Aut_Ajustes_Manuais!$G:$G,Aut_Ajustes_Manuais!$I:$I,DRE!H$4,Aut_Ajustes_Manuais!$F:$F,"Assessoria RH")</f>
        <v>0</v>
      </c>
      <c r="K282" s="241">
        <v>0</v>
      </c>
      <c r="L282" s="27">
        <v>0</v>
      </c>
      <c r="M282" s="28">
        <f>SUMIFS(Aut_BlueMe_Sem_Pedido!$J:$J,Aut_BlueMe_Sem_Pedido!$Q:$Q,DRE!K$4,Aut_BlueMe_Sem_Pedido!$H:$H,DRE!$A282)+SUMIFS(Aut_Ajustes_Manuais!$G:$G,Aut_Ajustes_Manuais!$I:$I,DRE!K$4,Aut_Ajustes_Manuais!$F:$F,"Assessoria RH")</f>
        <v>0</v>
      </c>
      <c r="N282" s="241">
        <v>0</v>
      </c>
      <c r="O282" s="27">
        <v>0</v>
      </c>
      <c r="P282" s="28">
        <f>SUMIFS(Aut_BlueMe_Sem_Pedido!$J:$J,Aut_BlueMe_Sem_Pedido!$Q:$Q,DRE!N$4,Aut_BlueMe_Sem_Pedido!$H:$H,DRE!$A282)+SUMIFS(Aut_Ajustes_Manuais!$G:$G,Aut_Ajustes_Manuais!$I:$I,DRE!N$4,Aut_Ajustes_Manuais!$F:$F,"Assessoria RH")</f>
        <v>0</v>
      </c>
      <c r="Q282" s="241">
        <v>0</v>
      </c>
      <c r="R282" s="27">
        <v>0</v>
      </c>
      <c r="S282" s="28">
        <f>SUMIFS(Aut_BlueMe_Sem_Pedido!$J:$J,Aut_BlueMe_Sem_Pedido!$Q:$Q,DRE!Q$4,Aut_BlueMe_Sem_Pedido!$H:$H,DRE!$A282)+SUMIFS(Aut_Ajustes_Manuais!$G:$G,Aut_Ajustes_Manuais!$I:$I,DRE!Q$4,Aut_Ajustes_Manuais!$F:$F,"Assessoria RH")</f>
        <v>0</v>
      </c>
      <c r="T282" s="241">
        <v>0</v>
      </c>
      <c r="U282" s="27">
        <v>0</v>
      </c>
      <c r="V282" s="28">
        <f>SUMIFS(Aut_BlueMe_Sem_Pedido!$J:$J,Aut_BlueMe_Sem_Pedido!$Q:$Q,DRE!T$4,Aut_BlueMe_Sem_Pedido!$H:$H,DRE!$A282)+SUMIFS(Aut_Ajustes_Manuais!$G:$G,Aut_Ajustes_Manuais!$I:$I,DRE!T$4,Aut_Ajustes_Manuais!$F:$F,"Assessoria RH")</f>
        <v>0</v>
      </c>
      <c r="W282" s="241">
        <v>0</v>
      </c>
      <c r="X282" s="27">
        <v>0</v>
      </c>
      <c r="Y282" s="28">
        <f>SUMIFS(Aut_BlueMe_Sem_Pedido!$J:$J,Aut_BlueMe_Sem_Pedido!$Q:$Q,DRE!W$4,Aut_BlueMe_Sem_Pedido!$H:$H,DRE!$A282)+SUMIFS(Aut_Ajustes_Manuais!$G:$G,Aut_Ajustes_Manuais!$I:$I,DRE!W$4,Aut_Ajustes_Manuais!$F:$F,"Assessoria RH")</f>
        <v>0</v>
      </c>
      <c r="Z282" s="241">
        <v>0</v>
      </c>
      <c r="AA282" s="27">
        <v>0</v>
      </c>
      <c r="AB282" s="28">
        <f>SUMIFS(Aut_BlueMe_Sem_Pedido!$J:$J,Aut_BlueMe_Sem_Pedido!$Q:$Q,DRE!Z$4,Aut_BlueMe_Sem_Pedido!$H:$H,DRE!$A282)+SUMIFS(Aut_Ajustes_Manuais!$G:$G,Aut_Ajustes_Manuais!$I:$I,DRE!Z$4,Aut_Ajustes_Manuais!$F:$F,"Assessoria RH")</f>
        <v>0</v>
      </c>
      <c r="AC282" s="241">
        <v>0</v>
      </c>
      <c r="AD282" s="27">
        <v>0</v>
      </c>
      <c r="AE282" s="28">
        <f>SUMIFS(Aut_BlueMe_Sem_Pedido!$J:$J,Aut_BlueMe_Sem_Pedido!$Q:$Q,DRE!AC$4,Aut_BlueMe_Sem_Pedido!$H:$H,DRE!$A282)+SUMIFS(Aut_Ajustes_Manuais!$G:$G,Aut_Ajustes_Manuais!$I:$I,DRE!AC$4,Aut_Ajustes_Manuais!$F:$F,"Assessoria RH")</f>
        <v>0</v>
      </c>
      <c r="AF282" s="241">
        <v>0</v>
      </c>
      <c r="AG282" s="27">
        <v>0</v>
      </c>
      <c r="AH282" s="28">
        <f>SUMIFS(Aut_BlueMe_Sem_Pedido!$J:$J,Aut_BlueMe_Sem_Pedido!$Q:$Q,DRE!AF$4,Aut_BlueMe_Sem_Pedido!$H:$H,DRE!$A282)+SUMIFS(Aut_Ajustes_Manuais!$G:$G,Aut_Ajustes_Manuais!$I:$I,DRE!AF$4,Aut_Ajustes_Manuais!$F:$F,"Assessoria RH")</f>
        <v>0</v>
      </c>
      <c r="AI282" s="241">
        <v>0</v>
      </c>
      <c r="AJ282" s="27">
        <v>0</v>
      </c>
      <c r="AK282" s="28">
        <f>SUMIFS(Aut_BlueMe_Sem_Pedido!$J:$J,Aut_BlueMe_Sem_Pedido!$Q:$Q,DRE!AI$4,Aut_BlueMe_Sem_Pedido!$H:$H,DRE!$A282)+SUMIFS(Aut_Ajustes_Manuais!$G:$G,Aut_Ajustes_Manuais!$I:$I,DRE!AI$4,Aut_Ajustes_Manuais!$F:$F,"Assessoria RH")</f>
        <v>0</v>
      </c>
      <c r="AL282" s="241">
        <v>-199</v>
      </c>
      <c r="AM282" s="27">
        <v>0</v>
      </c>
      <c r="AN282" s="28">
        <f>SUMIFS(Aut_BlueMe_Sem_Pedido!$J:$J,Aut_BlueMe_Sem_Pedido!$Q:$Q,DRE!AL$4,Aut_BlueMe_Sem_Pedido!$H:$H,DRE!$A282)+SUMIFS(Aut_Ajustes_Manuais!$G:$G,Aut_Ajustes_Manuais!$I:$I,DRE!AL$4,Aut_Ajustes_Manuais!$F:$F,"Assessoria RH")</f>
        <v>0</v>
      </c>
      <c r="AO282" s="241">
        <v>0</v>
      </c>
      <c r="AP282" s="27">
        <v>0</v>
      </c>
      <c r="AQ282" s="28">
        <f>SUMIFS(Aut_BlueMe_Sem_Pedido!$J:$J,Aut_BlueMe_Sem_Pedido!$Q:$Q,DRE!AO$4,Aut_BlueMe_Sem_Pedido!$H:$H,DRE!$A282)+SUMIFS(Aut_Ajustes_Manuais!$G:$G,Aut_Ajustes_Manuais!$I:$I,DRE!AO$4,Aut_Ajustes_Manuais!$F:$F,"Assessoria RH")</f>
        <v>0</v>
      </c>
      <c r="AR282" s="241">
        <f t="shared" ca="1" si="260"/>
        <v>0</v>
      </c>
      <c r="AS282" s="27">
        <f t="shared" ca="1" si="261"/>
        <v>0</v>
      </c>
      <c r="AT282" s="28">
        <f t="shared" ca="1" si="262"/>
        <v>0</v>
      </c>
      <c r="AU282" s="241">
        <f t="shared" si="263"/>
        <v>-199</v>
      </c>
      <c r="AV282" s="27">
        <f t="shared" si="263"/>
        <v>0</v>
      </c>
      <c r="AW282" s="28">
        <f t="shared" si="263"/>
        <v>0</v>
      </c>
      <c r="AX282" s="241">
        <f t="shared" si="264"/>
        <v>0</v>
      </c>
      <c r="AY282" s="27">
        <f t="shared" si="264"/>
        <v>0</v>
      </c>
      <c r="AZ282" s="28">
        <f t="shared" si="264"/>
        <v>0</v>
      </c>
      <c r="BA282" s="241">
        <f t="shared" si="265"/>
        <v>0</v>
      </c>
      <c r="BB282" s="27">
        <f t="shared" si="265"/>
        <v>0</v>
      </c>
      <c r="BC282" s="28">
        <f t="shared" si="265"/>
        <v>0</v>
      </c>
      <c r="BD282" s="241">
        <f t="shared" si="266"/>
        <v>0</v>
      </c>
      <c r="BE282" s="27">
        <f t="shared" si="266"/>
        <v>0</v>
      </c>
      <c r="BF282" s="28">
        <f t="shared" si="266"/>
        <v>0</v>
      </c>
      <c r="BG282" s="241">
        <f t="shared" si="267"/>
        <v>-199</v>
      </c>
      <c r="BH282" s="27">
        <f t="shared" si="267"/>
        <v>0</v>
      </c>
      <c r="BI282" s="28">
        <f t="shared" si="267"/>
        <v>0</v>
      </c>
    </row>
    <row r="283" spans="1:61" s="29" customFormat="1" hidden="1" outlineLevel="1" x14ac:dyDescent="0.3">
      <c r="A283" s="22" t="s">
        <v>311</v>
      </c>
      <c r="B283" s="23"/>
      <c r="C283" s="24" t="s">
        <v>67</v>
      </c>
      <c r="D283" s="116"/>
      <c r="E283" s="122"/>
      <c r="F283" s="56"/>
      <c r="G283" s="33"/>
      <c r="H283" s="241">
        <v>0</v>
      </c>
      <c r="I283" s="27">
        <v>-1627.5</v>
      </c>
      <c r="J283" s="28">
        <f>SUMIFS(Aut_BlueMe_Sem_Pedido!$J:$J,Aut_BlueMe_Sem_Pedido!$Q:$Q,DRE!H$4,Aut_BlueMe_Sem_Pedido!$H:$H,DRE!$A283)+SUMIFS(Aut_Ajustes_Manuais!$G:$G,Aut_Ajustes_Manuais!$I:$I,DRE!H$4,Aut_Ajustes_Manuais!$F:$F,"Assessoria em Geral")</f>
        <v>-1550</v>
      </c>
      <c r="K283" s="241">
        <v>0</v>
      </c>
      <c r="L283" s="27">
        <v>-1627.5</v>
      </c>
      <c r="M283" s="28">
        <f>SUMIFS(Aut_BlueMe_Sem_Pedido!$J:$J,Aut_BlueMe_Sem_Pedido!$Q:$Q,DRE!K$4,Aut_BlueMe_Sem_Pedido!$H:$H,DRE!$A283)+SUMIFS(Aut_Ajustes_Manuais!$G:$G,Aut_Ajustes_Manuais!$I:$I,DRE!K$4,Aut_Ajustes_Manuais!$F:$F,"Assessoria em Geral")</f>
        <v>-1473.13</v>
      </c>
      <c r="N283" s="241">
        <v>0</v>
      </c>
      <c r="O283" s="27">
        <v>-1627.5</v>
      </c>
      <c r="P283" s="28">
        <f>SUMIFS(Aut_BlueMe_Sem_Pedido!$J:$J,Aut_BlueMe_Sem_Pedido!$Q:$Q,DRE!N$4,Aut_BlueMe_Sem_Pedido!$H:$H,DRE!$A283)+SUMIFS(Aut_Ajustes_Manuais!$G:$G,Aut_Ajustes_Manuais!$I:$I,DRE!N$4,Aut_Ajustes_Manuais!$F:$F,"Assessoria em Geral")</f>
        <v>-1473.13</v>
      </c>
      <c r="Q283" s="241">
        <v>-300</v>
      </c>
      <c r="R283" s="27">
        <v>-1627.5</v>
      </c>
      <c r="S283" s="28">
        <f>SUMIFS(Aut_BlueMe_Sem_Pedido!$J:$J,Aut_BlueMe_Sem_Pedido!$Q:$Q,DRE!Q$4,Aut_BlueMe_Sem_Pedido!$H:$H,DRE!$A283)+SUMIFS(Aut_Ajustes_Manuais!$G:$G,Aut_Ajustes_Manuais!$I:$I,DRE!Q$4,Aut_Ajustes_Manuais!$F:$F,"Assessoria em Geral")</f>
        <v>-1470.13</v>
      </c>
      <c r="T283" s="241">
        <v>-1550</v>
      </c>
      <c r="U283" s="27">
        <v>-1627.5</v>
      </c>
      <c r="V283" s="28">
        <f>SUMIFS(Aut_BlueMe_Sem_Pedido!$J:$J,Aut_BlueMe_Sem_Pedido!$Q:$Q,DRE!T$4,Aut_BlueMe_Sem_Pedido!$H:$H,DRE!$A283)+SUMIFS(Aut_Ajustes_Manuais!$G:$G,Aut_Ajustes_Manuais!$I:$I,DRE!T$4,Aut_Ajustes_Manuais!$F:$F,"Assessoria em Geral")</f>
        <v>-1506.1</v>
      </c>
      <c r="W283" s="241">
        <v>-1550</v>
      </c>
      <c r="X283" s="27">
        <v>-1627.5</v>
      </c>
      <c r="Y283" s="28">
        <f>SUMIFS(Aut_BlueMe_Sem_Pedido!$J:$J,Aut_BlueMe_Sem_Pedido!$Q:$Q,DRE!W$4,Aut_BlueMe_Sem_Pedido!$H:$H,DRE!$A283)+SUMIFS(Aut_Ajustes_Manuais!$G:$G,Aut_Ajustes_Manuais!$I:$I,DRE!W$4,Aut_Ajustes_Manuais!$F:$F,"Assessoria em Geral")</f>
        <v>-1506.1</v>
      </c>
      <c r="Z283" s="241">
        <v>-1550</v>
      </c>
      <c r="AA283" s="27">
        <v>-1627.5</v>
      </c>
      <c r="AB283" s="28">
        <f>SUMIFS(Aut_BlueMe_Sem_Pedido!$J:$J,Aut_BlueMe_Sem_Pedido!$Q:$Q,DRE!Z$4,Aut_BlueMe_Sem_Pedido!$H:$H,DRE!$A283)+SUMIFS(Aut_Ajustes_Manuais!$G:$G,Aut_Ajustes_Manuais!$I:$I,DRE!Z$4,Aut_Ajustes_Manuais!$F:$F,"Assessoria em Geral")</f>
        <v>-1550</v>
      </c>
      <c r="AC283" s="241">
        <v>-1550</v>
      </c>
      <c r="AD283" s="27">
        <v>-1627.5</v>
      </c>
      <c r="AE283" s="28">
        <f>SUMIFS(Aut_BlueMe_Sem_Pedido!$J:$J,Aut_BlueMe_Sem_Pedido!$Q:$Q,DRE!AC$4,Aut_BlueMe_Sem_Pedido!$H:$H,DRE!$A283)+SUMIFS(Aut_Ajustes_Manuais!$G:$G,Aut_Ajustes_Manuais!$I:$I,DRE!AC$4,Aut_Ajustes_Manuais!$F:$F,"Assessoria em Geral")</f>
        <v>-1550</v>
      </c>
      <c r="AF283" s="241">
        <v>-1550</v>
      </c>
      <c r="AG283" s="27">
        <v>-1627.5</v>
      </c>
      <c r="AH283" s="28">
        <f>SUMIFS(Aut_BlueMe_Sem_Pedido!$J:$J,Aut_BlueMe_Sem_Pedido!$Q:$Q,DRE!AF$4,Aut_BlueMe_Sem_Pedido!$H:$H,DRE!$A283)+SUMIFS(Aut_Ajustes_Manuais!$G:$G,Aut_Ajustes_Manuais!$I:$I,DRE!AF$4,Aut_Ajustes_Manuais!$F:$F,"Assessoria em Geral")</f>
        <v>-1550</v>
      </c>
      <c r="AI283" s="241">
        <v>-1550</v>
      </c>
      <c r="AJ283" s="27">
        <v>-1627.5</v>
      </c>
      <c r="AK283" s="28">
        <f>SUMIFS(Aut_BlueMe_Sem_Pedido!$J:$J,Aut_BlueMe_Sem_Pedido!$Q:$Q,DRE!AI$4,Aut_BlueMe_Sem_Pedido!$H:$H,DRE!$A283)+SUMIFS(Aut_Ajustes_Manuais!$G:$G,Aut_Ajustes_Manuais!$I:$I,DRE!AI$4,Aut_Ajustes_Manuais!$F:$F,"Assessoria em Geral")</f>
        <v>-1550</v>
      </c>
      <c r="AL283" s="241">
        <v>-1550</v>
      </c>
      <c r="AM283" s="27">
        <v>-1627.5</v>
      </c>
      <c r="AN283" s="28">
        <f>SUMIFS(Aut_BlueMe_Sem_Pedido!$J:$J,Aut_BlueMe_Sem_Pedido!$Q:$Q,DRE!AL$4,Aut_BlueMe_Sem_Pedido!$H:$H,DRE!$A283)+SUMIFS(Aut_Ajustes_Manuais!$G:$G,Aut_Ajustes_Manuais!$I:$I,DRE!AL$4,Aut_Ajustes_Manuais!$F:$F,"Assessoria em Geral")</f>
        <v>-1550</v>
      </c>
      <c r="AO283" s="241">
        <v>-1550</v>
      </c>
      <c r="AP283" s="27">
        <v>-1627.5</v>
      </c>
      <c r="AQ283" s="28">
        <f>SUMIFS(Aut_BlueMe_Sem_Pedido!$J:$J,Aut_BlueMe_Sem_Pedido!$Q:$Q,DRE!AO$4,Aut_BlueMe_Sem_Pedido!$H:$H,DRE!$A283)+SUMIFS(Aut_Ajustes_Manuais!$G:$G,Aut_Ajustes_Manuais!$I:$I,DRE!AO$4,Aut_Ajustes_Manuais!$F:$F,"Assessoria em Geral")</f>
        <v>-1550</v>
      </c>
      <c r="AR283" s="241">
        <f t="shared" ca="1" si="260"/>
        <v>-3400</v>
      </c>
      <c r="AS283" s="27">
        <f t="shared" ca="1" si="261"/>
        <v>-9765</v>
      </c>
      <c r="AT283" s="28">
        <f t="shared" ca="1" si="262"/>
        <v>-8978.59</v>
      </c>
      <c r="AU283" s="241">
        <f t="shared" si="263"/>
        <v>-12700</v>
      </c>
      <c r="AV283" s="27">
        <f t="shared" si="263"/>
        <v>-19530</v>
      </c>
      <c r="AW283" s="28">
        <f t="shared" si="263"/>
        <v>-18278.59</v>
      </c>
      <c r="AX283" s="241">
        <f t="shared" si="264"/>
        <v>0</v>
      </c>
      <c r="AY283" s="27">
        <f t="shared" si="264"/>
        <v>-4882.5</v>
      </c>
      <c r="AZ283" s="28">
        <f t="shared" si="264"/>
        <v>-4496.26</v>
      </c>
      <c r="BA283" s="241">
        <f t="shared" si="265"/>
        <v>-3400</v>
      </c>
      <c r="BB283" s="27">
        <f t="shared" si="265"/>
        <v>-4882.5</v>
      </c>
      <c r="BC283" s="28">
        <f t="shared" si="265"/>
        <v>-4482.33</v>
      </c>
      <c r="BD283" s="241">
        <f t="shared" si="266"/>
        <v>-4650</v>
      </c>
      <c r="BE283" s="27">
        <f t="shared" si="266"/>
        <v>-4882.5</v>
      </c>
      <c r="BF283" s="28">
        <f t="shared" si="266"/>
        <v>-4650</v>
      </c>
      <c r="BG283" s="241">
        <f t="shared" si="267"/>
        <v>-4650</v>
      </c>
      <c r="BH283" s="27">
        <f t="shared" si="267"/>
        <v>-4882.5</v>
      </c>
      <c r="BI283" s="28">
        <f t="shared" si="267"/>
        <v>-4650</v>
      </c>
    </row>
    <row r="284" spans="1:61" s="29" customFormat="1" hidden="1" outlineLevel="1" x14ac:dyDescent="0.3">
      <c r="A284" s="22" t="s">
        <v>312</v>
      </c>
      <c r="B284" s="23"/>
      <c r="C284" s="24" t="s">
        <v>67</v>
      </c>
      <c r="D284" s="116"/>
      <c r="E284" s="122"/>
      <c r="F284" s="56"/>
      <c r="G284" s="33"/>
      <c r="H284" s="241">
        <v>-185</v>
      </c>
      <c r="I284" s="27">
        <v>-194.25</v>
      </c>
      <c r="J284" s="28">
        <f>SUMIFS(Aut_BlueMe_Sem_Pedido!$J:$J,Aut_BlueMe_Sem_Pedido!$Q:$Q,DRE!H$4,Aut_BlueMe_Sem_Pedido!$H:$H,DRE!$A284)+SUMIFS(Aut_Ajustes_Manuais!$G:$G,Aut_Ajustes_Manuais!$I:$I,DRE!H$4,Aut_Ajustes_Manuais!$F:$F,"Assessoria Financeira")</f>
        <v>-185</v>
      </c>
      <c r="K284" s="241">
        <v>-185</v>
      </c>
      <c r="L284" s="27">
        <v>-194.25</v>
      </c>
      <c r="M284" s="28">
        <f>SUMIFS(Aut_BlueMe_Sem_Pedido!$J:$J,Aut_BlueMe_Sem_Pedido!$Q:$Q,DRE!K$4,Aut_BlueMe_Sem_Pedido!$H:$H,DRE!$A284)+SUMIFS(Aut_Ajustes_Manuais!$G:$G,Aut_Ajustes_Manuais!$I:$I,DRE!K$4,Aut_Ajustes_Manuais!$F:$F,"Assessoria Financeira")</f>
        <v>-185</v>
      </c>
      <c r="N284" s="241">
        <v>-185</v>
      </c>
      <c r="O284" s="27">
        <v>-194.25</v>
      </c>
      <c r="P284" s="28">
        <f>SUMIFS(Aut_BlueMe_Sem_Pedido!$J:$J,Aut_BlueMe_Sem_Pedido!$Q:$Q,DRE!N$4,Aut_BlueMe_Sem_Pedido!$H:$H,DRE!$A284)+SUMIFS(Aut_Ajustes_Manuais!$G:$G,Aut_Ajustes_Manuais!$I:$I,DRE!N$4,Aut_Ajustes_Manuais!$F:$F,"Assessoria Financeira")</f>
        <v>-185</v>
      </c>
      <c r="Q284" s="241">
        <v>-185</v>
      </c>
      <c r="R284" s="27">
        <v>-194.25</v>
      </c>
      <c r="S284" s="28">
        <f>SUMIFS(Aut_BlueMe_Sem_Pedido!$J:$J,Aut_BlueMe_Sem_Pedido!$Q:$Q,DRE!Q$4,Aut_BlueMe_Sem_Pedido!$H:$H,DRE!$A284)+SUMIFS(Aut_Ajustes_Manuais!$G:$G,Aut_Ajustes_Manuais!$I:$I,DRE!Q$4,Aut_Ajustes_Manuais!$F:$F,"Assessoria Financeira")</f>
        <v>-185</v>
      </c>
      <c r="T284" s="241">
        <v>-185</v>
      </c>
      <c r="U284" s="27">
        <v>-194.25</v>
      </c>
      <c r="V284" s="28">
        <f>SUMIFS(Aut_BlueMe_Sem_Pedido!$J:$J,Aut_BlueMe_Sem_Pedido!$Q:$Q,DRE!T$4,Aut_BlueMe_Sem_Pedido!$H:$H,DRE!$A284)+SUMIFS(Aut_Ajustes_Manuais!$G:$G,Aut_Ajustes_Manuais!$I:$I,DRE!T$4,Aut_Ajustes_Manuais!$F:$F,"Assessoria Financeira")</f>
        <v>-185</v>
      </c>
      <c r="W284" s="241">
        <v>-185</v>
      </c>
      <c r="X284" s="27">
        <v>-194.25</v>
      </c>
      <c r="Y284" s="28">
        <f>SUMIFS(Aut_BlueMe_Sem_Pedido!$J:$J,Aut_BlueMe_Sem_Pedido!$Q:$Q,DRE!W$4,Aut_BlueMe_Sem_Pedido!$H:$H,DRE!$A284)+SUMIFS(Aut_Ajustes_Manuais!$G:$G,Aut_Ajustes_Manuais!$I:$I,DRE!W$4,Aut_Ajustes_Manuais!$F:$F,"Assessoria Financeira")</f>
        <v>-185</v>
      </c>
      <c r="Z284" s="241">
        <v>-185</v>
      </c>
      <c r="AA284" s="27">
        <v>-194.25</v>
      </c>
      <c r="AB284" s="28">
        <f>SUMIFS(Aut_BlueMe_Sem_Pedido!$J:$J,Aut_BlueMe_Sem_Pedido!$Q:$Q,DRE!Z$4,Aut_BlueMe_Sem_Pedido!$H:$H,DRE!$A284)+SUMIFS(Aut_Ajustes_Manuais!$G:$G,Aut_Ajustes_Manuais!$I:$I,DRE!Z$4,Aut_Ajustes_Manuais!$F:$F,"Assessoria Financeira")</f>
        <v>-185</v>
      </c>
      <c r="AC284" s="241">
        <v>-185</v>
      </c>
      <c r="AD284" s="27">
        <v>-194.25</v>
      </c>
      <c r="AE284" s="28">
        <f>SUMIFS(Aut_BlueMe_Sem_Pedido!$J:$J,Aut_BlueMe_Sem_Pedido!$Q:$Q,DRE!AC$4,Aut_BlueMe_Sem_Pedido!$H:$H,DRE!$A284)+SUMIFS(Aut_Ajustes_Manuais!$G:$G,Aut_Ajustes_Manuais!$I:$I,DRE!AC$4,Aut_Ajustes_Manuais!$F:$F,"Assessoria Financeira")</f>
        <v>-185</v>
      </c>
      <c r="AF284" s="241">
        <v>-185</v>
      </c>
      <c r="AG284" s="27">
        <v>-194.25</v>
      </c>
      <c r="AH284" s="28">
        <f>SUMIFS(Aut_BlueMe_Sem_Pedido!$J:$J,Aut_BlueMe_Sem_Pedido!$Q:$Q,DRE!AF$4,Aut_BlueMe_Sem_Pedido!$H:$H,DRE!$A284)+SUMIFS(Aut_Ajustes_Manuais!$G:$G,Aut_Ajustes_Manuais!$I:$I,DRE!AF$4,Aut_Ajustes_Manuais!$F:$F,"Assessoria Financeira")</f>
        <v>-185</v>
      </c>
      <c r="AI284" s="241">
        <v>-185</v>
      </c>
      <c r="AJ284" s="27">
        <v>-194.25</v>
      </c>
      <c r="AK284" s="28">
        <f>SUMIFS(Aut_BlueMe_Sem_Pedido!$J:$J,Aut_BlueMe_Sem_Pedido!$Q:$Q,DRE!AI$4,Aut_BlueMe_Sem_Pedido!$H:$H,DRE!$A284)+SUMIFS(Aut_Ajustes_Manuais!$G:$G,Aut_Ajustes_Manuais!$I:$I,DRE!AI$4,Aut_Ajustes_Manuais!$F:$F,"Assessoria Financeira")</f>
        <v>-185</v>
      </c>
      <c r="AL284" s="241">
        <v>-185</v>
      </c>
      <c r="AM284" s="27">
        <v>-194.25</v>
      </c>
      <c r="AN284" s="28">
        <f>SUMIFS(Aut_BlueMe_Sem_Pedido!$J:$J,Aut_BlueMe_Sem_Pedido!$Q:$Q,DRE!AL$4,Aut_BlueMe_Sem_Pedido!$H:$H,DRE!$A284)+SUMIFS(Aut_Ajustes_Manuais!$G:$G,Aut_Ajustes_Manuais!$I:$I,DRE!AL$4,Aut_Ajustes_Manuais!$F:$F,"Assessoria Financeira")</f>
        <v>-185</v>
      </c>
      <c r="AO284" s="241">
        <v>-185</v>
      </c>
      <c r="AP284" s="27">
        <v>-194.25</v>
      </c>
      <c r="AQ284" s="28">
        <f>SUMIFS(Aut_BlueMe_Sem_Pedido!$J:$J,Aut_BlueMe_Sem_Pedido!$Q:$Q,DRE!AO$4,Aut_BlueMe_Sem_Pedido!$H:$H,DRE!$A284)+SUMIFS(Aut_Ajustes_Manuais!$G:$G,Aut_Ajustes_Manuais!$I:$I,DRE!AO$4,Aut_Ajustes_Manuais!$F:$F,"Assessoria Financeira")</f>
        <v>0</v>
      </c>
      <c r="AR284" s="241">
        <f t="shared" ca="1" si="260"/>
        <v>-1110</v>
      </c>
      <c r="AS284" s="27">
        <f t="shared" ca="1" si="261"/>
        <v>-1165.5</v>
      </c>
      <c r="AT284" s="28">
        <f t="shared" ca="1" si="262"/>
        <v>-1110</v>
      </c>
      <c r="AU284" s="241">
        <f t="shared" si="263"/>
        <v>-2220</v>
      </c>
      <c r="AV284" s="27">
        <f t="shared" si="263"/>
        <v>-2331</v>
      </c>
      <c r="AW284" s="28">
        <f t="shared" si="263"/>
        <v>-2035</v>
      </c>
      <c r="AX284" s="241">
        <f t="shared" si="264"/>
        <v>-555</v>
      </c>
      <c r="AY284" s="27">
        <f t="shared" si="264"/>
        <v>-582.75</v>
      </c>
      <c r="AZ284" s="28">
        <f t="shared" si="264"/>
        <v>-555</v>
      </c>
      <c r="BA284" s="241">
        <f t="shared" si="265"/>
        <v>-555</v>
      </c>
      <c r="BB284" s="27">
        <f t="shared" si="265"/>
        <v>-582.75</v>
      </c>
      <c r="BC284" s="28">
        <f t="shared" si="265"/>
        <v>-555</v>
      </c>
      <c r="BD284" s="241">
        <f t="shared" si="266"/>
        <v>-555</v>
      </c>
      <c r="BE284" s="27">
        <f t="shared" si="266"/>
        <v>-582.75</v>
      </c>
      <c r="BF284" s="28">
        <f t="shared" si="266"/>
        <v>-555</v>
      </c>
      <c r="BG284" s="241">
        <f t="shared" si="267"/>
        <v>-555</v>
      </c>
      <c r="BH284" s="27">
        <f t="shared" si="267"/>
        <v>-582.75</v>
      </c>
      <c r="BI284" s="28">
        <f t="shared" si="267"/>
        <v>-370</v>
      </c>
    </row>
    <row r="285" spans="1:61" s="29" customFormat="1" hidden="1" outlineLevel="1" x14ac:dyDescent="0.3">
      <c r="A285" s="22" t="s">
        <v>313</v>
      </c>
      <c r="B285" s="23"/>
      <c r="C285" s="24" t="s">
        <v>67</v>
      </c>
      <c r="D285" s="116"/>
      <c r="E285" s="122"/>
      <c r="F285" s="56"/>
      <c r="G285" s="33"/>
      <c r="H285" s="241">
        <v>0</v>
      </c>
      <c r="I285" s="27">
        <v>0</v>
      </c>
      <c r="J285" s="28">
        <f>SUMIFS(Aut_BlueMe_Sem_Pedido!$J:$J,Aut_BlueMe_Sem_Pedido!$Q:$Q,DRE!H$4,Aut_BlueMe_Sem_Pedido!$H:$H,DRE!$A285)+SUMIFS(Aut_Ajustes_Manuais!$G:$G,Aut_Ajustes_Manuais!$I:$I,DRE!H$4,Aut_Ajustes_Manuais!$F:$F,"Assessoria Jurídica")</f>
        <v>0</v>
      </c>
      <c r="K285" s="241">
        <v>0</v>
      </c>
      <c r="L285" s="27">
        <v>0</v>
      </c>
      <c r="M285" s="28">
        <f>SUMIFS(Aut_BlueMe_Sem_Pedido!$J:$J,Aut_BlueMe_Sem_Pedido!$Q:$Q,DRE!K$4,Aut_BlueMe_Sem_Pedido!$H:$H,DRE!$A285)+SUMIFS(Aut_Ajustes_Manuais!$G:$G,Aut_Ajustes_Manuais!$I:$I,DRE!K$4,Aut_Ajustes_Manuais!$F:$F,"Assessoria Jurídica")</f>
        <v>0</v>
      </c>
      <c r="N285" s="241">
        <v>0</v>
      </c>
      <c r="O285" s="27">
        <v>0</v>
      </c>
      <c r="P285" s="28">
        <f>SUMIFS(Aut_BlueMe_Sem_Pedido!$J:$J,Aut_BlueMe_Sem_Pedido!$Q:$Q,DRE!N$4,Aut_BlueMe_Sem_Pedido!$H:$H,DRE!$A285)+SUMIFS(Aut_Ajustes_Manuais!$G:$G,Aut_Ajustes_Manuais!$I:$I,DRE!N$4,Aut_Ajustes_Manuais!$F:$F,"Assessoria Jurídica")</f>
        <v>0</v>
      </c>
      <c r="Q285" s="241">
        <v>0</v>
      </c>
      <c r="R285" s="27">
        <v>0</v>
      </c>
      <c r="S285" s="28">
        <f>SUMIFS(Aut_BlueMe_Sem_Pedido!$J:$J,Aut_BlueMe_Sem_Pedido!$Q:$Q,DRE!Q$4,Aut_BlueMe_Sem_Pedido!$H:$H,DRE!$A285)+SUMIFS(Aut_Ajustes_Manuais!$G:$G,Aut_Ajustes_Manuais!$I:$I,DRE!Q$4,Aut_Ajustes_Manuais!$F:$F,"Assessoria Jurídica")</f>
        <v>0</v>
      </c>
      <c r="T285" s="241">
        <v>0</v>
      </c>
      <c r="U285" s="27">
        <v>0</v>
      </c>
      <c r="V285" s="28">
        <f>SUMIFS(Aut_BlueMe_Sem_Pedido!$J:$J,Aut_BlueMe_Sem_Pedido!$Q:$Q,DRE!T$4,Aut_BlueMe_Sem_Pedido!$H:$H,DRE!$A285)+SUMIFS(Aut_Ajustes_Manuais!$G:$G,Aut_Ajustes_Manuais!$I:$I,DRE!T$4,Aut_Ajustes_Manuais!$F:$F,"Assessoria Jurídica")</f>
        <v>0</v>
      </c>
      <c r="W285" s="241">
        <v>0</v>
      </c>
      <c r="X285" s="27">
        <v>0</v>
      </c>
      <c r="Y285" s="28">
        <f>SUMIFS(Aut_BlueMe_Sem_Pedido!$J:$J,Aut_BlueMe_Sem_Pedido!$Q:$Q,DRE!W$4,Aut_BlueMe_Sem_Pedido!$H:$H,DRE!$A285)+SUMIFS(Aut_Ajustes_Manuais!$G:$G,Aut_Ajustes_Manuais!$I:$I,DRE!W$4,Aut_Ajustes_Manuais!$F:$F,"Assessoria Jurídica")</f>
        <v>0</v>
      </c>
      <c r="Z285" s="241">
        <v>0</v>
      </c>
      <c r="AA285" s="27">
        <v>0</v>
      </c>
      <c r="AB285" s="28">
        <f>SUMIFS(Aut_BlueMe_Sem_Pedido!$J:$J,Aut_BlueMe_Sem_Pedido!$Q:$Q,DRE!Z$4,Aut_BlueMe_Sem_Pedido!$H:$H,DRE!$A285)+SUMIFS(Aut_Ajustes_Manuais!$G:$G,Aut_Ajustes_Manuais!$I:$I,DRE!Z$4,Aut_Ajustes_Manuais!$F:$F,"Assessoria Jurídica")</f>
        <v>0</v>
      </c>
      <c r="AC285" s="241">
        <v>0</v>
      </c>
      <c r="AD285" s="27">
        <v>0</v>
      </c>
      <c r="AE285" s="28">
        <f>SUMIFS(Aut_BlueMe_Sem_Pedido!$J:$J,Aut_BlueMe_Sem_Pedido!$Q:$Q,DRE!AC$4,Aut_BlueMe_Sem_Pedido!$H:$H,DRE!$A285)+SUMIFS(Aut_Ajustes_Manuais!$G:$G,Aut_Ajustes_Manuais!$I:$I,DRE!AC$4,Aut_Ajustes_Manuais!$F:$F,"Assessoria Jurídica")</f>
        <v>0</v>
      </c>
      <c r="AF285" s="241">
        <v>0</v>
      </c>
      <c r="AG285" s="27">
        <v>0</v>
      </c>
      <c r="AH285" s="28">
        <f>SUMIFS(Aut_BlueMe_Sem_Pedido!$J:$J,Aut_BlueMe_Sem_Pedido!$Q:$Q,DRE!AF$4,Aut_BlueMe_Sem_Pedido!$H:$H,DRE!$A285)+SUMIFS(Aut_Ajustes_Manuais!$G:$G,Aut_Ajustes_Manuais!$I:$I,DRE!AF$4,Aut_Ajustes_Manuais!$F:$F,"Assessoria Jurídica")</f>
        <v>0</v>
      </c>
      <c r="AI285" s="241">
        <v>0</v>
      </c>
      <c r="AJ285" s="27">
        <v>0</v>
      </c>
      <c r="AK285" s="28">
        <f>SUMIFS(Aut_BlueMe_Sem_Pedido!$J:$J,Aut_BlueMe_Sem_Pedido!$Q:$Q,DRE!AI$4,Aut_BlueMe_Sem_Pedido!$H:$H,DRE!$A285)+SUMIFS(Aut_Ajustes_Manuais!$G:$G,Aut_Ajustes_Manuais!$I:$I,DRE!AI$4,Aut_Ajustes_Manuais!$F:$F,"Assessoria Jurídica")</f>
        <v>0</v>
      </c>
      <c r="AL285" s="241">
        <v>0</v>
      </c>
      <c r="AM285" s="27">
        <v>0</v>
      </c>
      <c r="AN285" s="28">
        <f>SUMIFS(Aut_BlueMe_Sem_Pedido!$J:$J,Aut_BlueMe_Sem_Pedido!$Q:$Q,DRE!AL$4,Aut_BlueMe_Sem_Pedido!$H:$H,DRE!$A285)+SUMIFS(Aut_Ajustes_Manuais!$G:$G,Aut_Ajustes_Manuais!$I:$I,DRE!AL$4,Aut_Ajustes_Manuais!$F:$F,"Assessoria Jurídica")</f>
        <v>0</v>
      </c>
      <c r="AO285" s="241">
        <v>0</v>
      </c>
      <c r="AP285" s="27">
        <v>0</v>
      </c>
      <c r="AQ285" s="28">
        <f>SUMIFS(Aut_BlueMe_Sem_Pedido!$J:$J,Aut_BlueMe_Sem_Pedido!$Q:$Q,DRE!AO$4,Aut_BlueMe_Sem_Pedido!$H:$H,DRE!$A285)+SUMIFS(Aut_Ajustes_Manuais!$G:$G,Aut_Ajustes_Manuais!$I:$I,DRE!AO$4,Aut_Ajustes_Manuais!$F:$F,"Assessoria Jurídica")</f>
        <v>0</v>
      </c>
      <c r="AR285" s="241">
        <f t="shared" ca="1" si="260"/>
        <v>0</v>
      </c>
      <c r="AS285" s="27">
        <f t="shared" ca="1" si="261"/>
        <v>0</v>
      </c>
      <c r="AT285" s="28">
        <f t="shared" ca="1" si="262"/>
        <v>0</v>
      </c>
      <c r="AU285" s="241">
        <f t="shared" si="263"/>
        <v>0</v>
      </c>
      <c r="AV285" s="27">
        <f t="shared" si="263"/>
        <v>0</v>
      </c>
      <c r="AW285" s="28">
        <f t="shared" si="263"/>
        <v>0</v>
      </c>
      <c r="AX285" s="241">
        <f t="shared" si="264"/>
        <v>0</v>
      </c>
      <c r="AY285" s="27">
        <f t="shared" si="264"/>
        <v>0</v>
      </c>
      <c r="AZ285" s="28">
        <f t="shared" si="264"/>
        <v>0</v>
      </c>
      <c r="BA285" s="241">
        <f t="shared" si="265"/>
        <v>0</v>
      </c>
      <c r="BB285" s="27">
        <f t="shared" si="265"/>
        <v>0</v>
      </c>
      <c r="BC285" s="28">
        <f t="shared" si="265"/>
        <v>0</v>
      </c>
      <c r="BD285" s="241">
        <f t="shared" si="266"/>
        <v>0</v>
      </c>
      <c r="BE285" s="27">
        <f t="shared" si="266"/>
        <v>0</v>
      </c>
      <c r="BF285" s="28">
        <f t="shared" si="266"/>
        <v>0</v>
      </c>
      <c r="BG285" s="241">
        <f t="shared" si="267"/>
        <v>0</v>
      </c>
      <c r="BH285" s="27">
        <f t="shared" si="267"/>
        <v>0</v>
      </c>
      <c r="BI285" s="28">
        <f t="shared" si="267"/>
        <v>0</v>
      </c>
    </row>
    <row r="286" spans="1:61" s="29" customFormat="1" hidden="1" outlineLevel="1" x14ac:dyDescent="0.3">
      <c r="A286" s="22" t="s">
        <v>314</v>
      </c>
      <c r="B286" s="23"/>
      <c r="C286" s="24" t="s">
        <v>67</v>
      </c>
      <c r="D286" s="116"/>
      <c r="E286" s="122"/>
      <c r="F286" s="56"/>
      <c r="G286" s="33"/>
      <c r="H286" s="241">
        <v>-6708.18</v>
      </c>
      <c r="I286" s="27">
        <v>-743.58899999999994</v>
      </c>
      <c r="J286" s="28">
        <f>SUMIFS(Aut_BlueMe_Sem_Pedido!$J:$J,Aut_BlueMe_Sem_Pedido!$Q:$Q,DRE!H$4,Aut_BlueMe_Sem_Pedido!$H:$H,DRE!$A286)+SUMIFS(Aut_Ajustes_Manuais!$G:$G,Aut_Ajustes_Manuais!$I:$I,DRE!H$4,Aut_Ajustes_Manuais!$F:$F,"Assessoria de Alimentos e Bebidas")</f>
        <v>-708.18</v>
      </c>
      <c r="K286" s="241">
        <v>-708.18</v>
      </c>
      <c r="L286" s="27">
        <v>-743.58899999999994</v>
      </c>
      <c r="M286" s="28">
        <f>SUMIFS(Aut_BlueMe_Sem_Pedido!$J:$J,Aut_BlueMe_Sem_Pedido!$Q:$Q,DRE!K$4,Aut_BlueMe_Sem_Pedido!$H:$H,DRE!$A286)+SUMIFS(Aut_Ajustes_Manuais!$G:$G,Aut_Ajustes_Manuais!$I:$I,DRE!K$4,Aut_Ajustes_Manuais!$F:$F,"Assessoria de Alimentos e Bebidas")</f>
        <v>-738.35</v>
      </c>
      <c r="N286" s="241">
        <v>-708.18</v>
      </c>
      <c r="O286" s="27">
        <v>-743.58899999999994</v>
      </c>
      <c r="P286" s="28">
        <f>SUMIFS(Aut_BlueMe_Sem_Pedido!$J:$J,Aut_BlueMe_Sem_Pedido!$Q:$Q,DRE!N$4,Aut_BlueMe_Sem_Pedido!$H:$H,DRE!$A286)+SUMIFS(Aut_Ajustes_Manuais!$G:$G,Aut_Ajustes_Manuais!$I:$I,DRE!N$4,Aut_Ajustes_Manuais!$F:$F,"Assessoria de Alimentos e Bebidas")</f>
        <v>-738.35</v>
      </c>
      <c r="Q286" s="241">
        <v>-708.18</v>
      </c>
      <c r="R286" s="27">
        <v>-743.58899999999994</v>
      </c>
      <c r="S286" s="28">
        <f>SUMIFS(Aut_BlueMe_Sem_Pedido!$J:$J,Aut_BlueMe_Sem_Pedido!$Q:$Q,DRE!Q$4,Aut_BlueMe_Sem_Pedido!$H:$H,DRE!$A286)+SUMIFS(Aut_Ajustes_Manuais!$G:$G,Aut_Ajustes_Manuais!$I:$I,DRE!Q$4,Aut_Ajustes_Manuais!$F:$F,"Assessoria de Alimentos e Bebidas")</f>
        <v>-738.35</v>
      </c>
      <c r="T286" s="241">
        <v>-708.18</v>
      </c>
      <c r="U286" s="27">
        <v>-743.58899999999994</v>
      </c>
      <c r="V286" s="28">
        <f>SUMIFS(Aut_BlueMe_Sem_Pedido!$J:$J,Aut_BlueMe_Sem_Pedido!$Q:$Q,DRE!T$4,Aut_BlueMe_Sem_Pedido!$H:$H,DRE!$A286)+SUMIFS(Aut_Ajustes_Manuais!$G:$G,Aut_Ajustes_Manuais!$I:$I,DRE!T$4,Aut_Ajustes_Manuais!$F:$F,"Assessoria de Alimentos e Bebidas")</f>
        <v>-738.35</v>
      </c>
      <c r="W286" s="241">
        <v>-708.18</v>
      </c>
      <c r="X286" s="27">
        <v>-743.58899999999994</v>
      </c>
      <c r="Y286" s="28">
        <f>SUMIFS(Aut_BlueMe_Sem_Pedido!$J:$J,Aut_BlueMe_Sem_Pedido!$Q:$Q,DRE!W$4,Aut_BlueMe_Sem_Pedido!$H:$H,DRE!$A286)+SUMIFS(Aut_Ajustes_Manuais!$G:$G,Aut_Ajustes_Manuais!$I:$I,DRE!W$4,Aut_Ajustes_Manuais!$F:$F,"Assessoria de Alimentos e Bebidas")</f>
        <v>-738.35</v>
      </c>
      <c r="Z286" s="241">
        <v>-708.18</v>
      </c>
      <c r="AA286" s="27">
        <v>-743.58899999999994</v>
      </c>
      <c r="AB286" s="28">
        <f>SUMIFS(Aut_BlueMe_Sem_Pedido!$J:$J,Aut_BlueMe_Sem_Pedido!$Q:$Q,DRE!Z$4,Aut_BlueMe_Sem_Pedido!$H:$H,DRE!$A286)+SUMIFS(Aut_Ajustes_Manuais!$G:$G,Aut_Ajustes_Manuais!$I:$I,DRE!Z$4,Aut_Ajustes_Manuais!$F:$F,"Assessoria de Alimentos e Bebidas")</f>
        <v>-708.18</v>
      </c>
      <c r="AC286" s="241">
        <v>-708.18</v>
      </c>
      <c r="AD286" s="27">
        <v>-743.58899999999994</v>
      </c>
      <c r="AE286" s="28">
        <f>SUMIFS(Aut_BlueMe_Sem_Pedido!$J:$J,Aut_BlueMe_Sem_Pedido!$Q:$Q,DRE!AC$4,Aut_BlueMe_Sem_Pedido!$H:$H,DRE!$A286)+SUMIFS(Aut_Ajustes_Manuais!$G:$G,Aut_Ajustes_Manuais!$I:$I,DRE!AC$4,Aut_Ajustes_Manuais!$F:$F,"Assessoria de Alimentos e Bebidas")</f>
        <v>-708.18</v>
      </c>
      <c r="AF286" s="241">
        <v>-708.18</v>
      </c>
      <c r="AG286" s="27">
        <v>-743.58899999999994</v>
      </c>
      <c r="AH286" s="28">
        <f>SUMIFS(Aut_BlueMe_Sem_Pedido!$J:$J,Aut_BlueMe_Sem_Pedido!$Q:$Q,DRE!AF$4,Aut_BlueMe_Sem_Pedido!$H:$H,DRE!$A286)+SUMIFS(Aut_Ajustes_Manuais!$G:$G,Aut_Ajustes_Manuais!$I:$I,DRE!AF$4,Aut_Ajustes_Manuais!$F:$F,"Assessoria de Alimentos e Bebidas")</f>
        <v>-708.18</v>
      </c>
      <c r="AI286" s="241">
        <v>-708.18</v>
      </c>
      <c r="AJ286" s="27">
        <v>-743.58899999999994</v>
      </c>
      <c r="AK286" s="28">
        <f>SUMIFS(Aut_BlueMe_Sem_Pedido!$J:$J,Aut_BlueMe_Sem_Pedido!$Q:$Q,DRE!AI$4,Aut_BlueMe_Sem_Pedido!$H:$H,DRE!$A286)+SUMIFS(Aut_Ajustes_Manuais!$G:$G,Aut_Ajustes_Manuais!$I:$I,DRE!AI$4,Aut_Ajustes_Manuais!$F:$F,"Assessoria de Alimentos e Bebidas")</f>
        <v>-708.18</v>
      </c>
      <c r="AL286" s="241">
        <v>-708.18</v>
      </c>
      <c r="AM286" s="27">
        <v>-743.58899999999994</v>
      </c>
      <c r="AN286" s="28">
        <f>SUMIFS(Aut_BlueMe_Sem_Pedido!$J:$J,Aut_BlueMe_Sem_Pedido!$Q:$Q,DRE!AL$4,Aut_BlueMe_Sem_Pedido!$H:$H,DRE!$A286)+SUMIFS(Aut_Ajustes_Manuais!$G:$G,Aut_Ajustes_Manuais!$I:$I,DRE!AL$4,Aut_Ajustes_Manuais!$F:$F,"Assessoria de Alimentos e Bebidas")</f>
        <v>-708.18</v>
      </c>
      <c r="AO286" s="241">
        <v>-708.18</v>
      </c>
      <c r="AP286" s="27">
        <v>-743.58899999999994</v>
      </c>
      <c r="AQ286" s="28">
        <f>SUMIFS(Aut_BlueMe_Sem_Pedido!$J:$J,Aut_BlueMe_Sem_Pedido!$Q:$Q,DRE!AO$4,Aut_BlueMe_Sem_Pedido!$H:$H,DRE!$A286)+SUMIFS(Aut_Ajustes_Manuais!$G:$G,Aut_Ajustes_Manuais!$I:$I,DRE!AO$4,Aut_Ajustes_Manuais!$F:$F,"Assessoria de Alimentos e Bebidas")</f>
        <v>-708.18</v>
      </c>
      <c r="AR286" s="241">
        <f t="shared" ca="1" si="260"/>
        <v>-10249.080000000002</v>
      </c>
      <c r="AS286" s="27">
        <f t="shared" ca="1" si="261"/>
        <v>-4461.5339999999997</v>
      </c>
      <c r="AT286" s="28">
        <f t="shared" ca="1" si="262"/>
        <v>-4399.93</v>
      </c>
      <c r="AU286" s="241">
        <f t="shared" si="263"/>
        <v>-14498.160000000003</v>
      </c>
      <c r="AV286" s="27">
        <f t="shared" si="263"/>
        <v>-8923.0679999999993</v>
      </c>
      <c r="AW286" s="28">
        <f t="shared" si="263"/>
        <v>-8649.010000000002</v>
      </c>
      <c r="AX286" s="241">
        <f t="shared" si="264"/>
        <v>-8124.5400000000009</v>
      </c>
      <c r="AY286" s="27">
        <f t="shared" si="264"/>
        <v>-2230.7669999999998</v>
      </c>
      <c r="AZ286" s="28">
        <f t="shared" si="264"/>
        <v>-2184.88</v>
      </c>
      <c r="BA286" s="241">
        <f t="shared" si="265"/>
        <v>-2124.54</v>
      </c>
      <c r="BB286" s="27">
        <f t="shared" si="265"/>
        <v>-2230.7669999999998</v>
      </c>
      <c r="BC286" s="28">
        <f t="shared" si="265"/>
        <v>-2215.0500000000002</v>
      </c>
      <c r="BD286" s="241">
        <f t="shared" si="266"/>
        <v>-2124.54</v>
      </c>
      <c r="BE286" s="27">
        <f t="shared" si="266"/>
        <v>-2230.7669999999998</v>
      </c>
      <c r="BF286" s="28">
        <f t="shared" si="266"/>
        <v>-2124.54</v>
      </c>
      <c r="BG286" s="241">
        <f t="shared" si="267"/>
        <v>-2124.54</v>
      </c>
      <c r="BH286" s="27">
        <f t="shared" si="267"/>
        <v>-2230.7669999999998</v>
      </c>
      <c r="BI286" s="28">
        <f t="shared" si="267"/>
        <v>-2124.54</v>
      </c>
    </row>
    <row r="287" spans="1:61" s="29" customFormat="1" hidden="1" outlineLevel="1" x14ac:dyDescent="0.3">
      <c r="A287" s="22" t="s">
        <v>315</v>
      </c>
      <c r="B287" s="23"/>
      <c r="C287" s="24" t="s">
        <v>67</v>
      </c>
      <c r="D287" s="116"/>
      <c r="E287" s="122"/>
      <c r="F287" s="56"/>
      <c r="G287" s="33"/>
      <c r="H287" s="241">
        <v>0</v>
      </c>
      <c r="I287" s="27">
        <v>0</v>
      </c>
      <c r="J287" s="28">
        <f>SUMIFS(Aut_BlueMe_Sem_Pedido!$J:$J,Aut_BlueMe_Sem_Pedido!$Q:$Q,DRE!H$4,Aut_BlueMe_Sem_Pedido!$H:$H,DRE!$A287)+SUMIFS(Aut_Ajustes_Manuais!$G:$G,Aut_Ajustes_Manuais!$I:$I,DRE!H$4,Aut_Ajustes_Manuais!$F:$F,"Assessoria de Projetos")</f>
        <v>0</v>
      </c>
      <c r="K287" s="241">
        <v>0</v>
      </c>
      <c r="L287" s="27">
        <v>0</v>
      </c>
      <c r="M287" s="28">
        <f>SUMIFS(Aut_BlueMe_Sem_Pedido!$J:$J,Aut_BlueMe_Sem_Pedido!$Q:$Q,DRE!K$4,Aut_BlueMe_Sem_Pedido!$H:$H,DRE!$A287)+SUMIFS(Aut_Ajustes_Manuais!$G:$G,Aut_Ajustes_Manuais!$I:$I,DRE!K$4,Aut_Ajustes_Manuais!$F:$F,"Assessoria de Projetos")</f>
        <v>0</v>
      </c>
      <c r="N287" s="241">
        <v>0</v>
      </c>
      <c r="O287" s="27">
        <v>0</v>
      </c>
      <c r="P287" s="28">
        <f>SUMIFS(Aut_BlueMe_Sem_Pedido!$J:$J,Aut_BlueMe_Sem_Pedido!$Q:$Q,DRE!N$4,Aut_BlueMe_Sem_Pedido!$H:$H,DRE!$A287)+SUMIFS(Aut_Ajustes_Manuais!$G:$G,Aut_Ajustes_Manuais!$I:$I,DRE!N$4,Aut_Ajustes_Manuais!$F:$F,"Assessoria de Projetos")</f>
        <v>0</v>
      </c>
      <c r="Q287" s="241">
        <v>0</v>
      </c>
      <c r="R287" s="27">
        <v>0</v>
      </c>
      <c r="S287" s="28">
        <f>SUMIFS(Aut_BlueMe_Sem_Pedido!$J:$J,Aut_BlueMe_Sem_Pedido!$Q:$Q,DRE!Q$4,Aut_BlueMe_Sem_Pedido!$H:$H,DRE!$A287)+SUMIFS(Aut_Ajustes_Manuais!$G:$G,Aut_Ajustes_Manuais!$I:$I,DRE!Q$4,Aut_Ajustes_Manuais!$F:$F,"Assessoria de Projetos")</f>
        <v>0</v>
      </c>
      <c r="T287" s="241">
        <v>0</v>
      </c>
      <c r="U287" s="27">
        <v>0</v>
      </c>
      <c r="V287" s="28">
        <f>SUMIFS(Aut_BlueMe_Sem_Pedido!$J:$J,Aut_BlueMe_Sem_Pedido!$Q:$Q,DRE!T$4,Aut_BlueMe_Sem_Pedido!$H:$H,DRE!$A287)+SUMIFS(Aut_Ajustes_Manuais!$G:$G,Aut_Ajustes_Manuais!$I:$I,DRE!T$4,Aut_Ajustes_Manuais!$F:$F,"Assessoria de Projetos")</f>
        <v>0</v>
      </c>
      <c r="W287" s="241">
        <v>0</v>
      </c>
      <c r="X287" s="27">
        <v>0</v>
      </c>
      <c r="Y287" s="28">
        <f>SUMIFS(Aut_BlueMe_Sem_Pedido!$J:$J,Aut_BlueMe_Sem_Pedido!$Q:$Q,DRE!W$4,Aut_BlueMe_Sem_Pedido!$H:$H,DRE!$A287)+SUMIFS(Aut_Ajustes_Manuais!$G:$G,Aut_Ajustes_Manuais!$I:$I,DRE!W$4,Aut_Ajustes_Manuais!$F:$F,"Assessoria de Projetos")</f>
        <v>0</v>
      </c>
      <c r="Z287" s="241">
        <v>0</v>
      </c>
      <c r="AA287" s="27">
        <v>0</v>
      </c>
      <c r="AB287" s="28">
        <f>SUMIFS(Aut_BlueMe_Sem_Pedido!$J:$J,Aut_BlueMe_Sem_Pedido!$Q:$Q,DRE!Z$4,Aut_BlueMe_Sem_Pedido!$H:$H,DRE!$A287)+SUMIFS(Aut_Ajustes_Manuais!$G:$G,Aut_Ajustes_Manuais!$I:$I,DRE!Z$4,Aut_Ajustes_Manuais!$F:$F,"Assessoria de Projetos")</f>
        <v>0</v>
      </c>
      <c r="AC287" s="241">
        <v>0</v>
      </c>
      <c r="AD287" s="27">
        <v>0</v>
      </c>
      <c r="AE287" s="28">
        <f>SUMIFS(Aut_BlueMe_Sem_Pedido!$J:$J,Aut_BlueMe_Sem_Pedido!$Q:$Q,DRE!AC$4,Aut_BlueMe_Sem_Pedido!$H:$H,DRE!$A287)+SUMIFS(Aut_Ajustes_Manuais!$G:$G,Aut_Ajustes_Manuais!$I:$I,DRE!AC$4,Aut_Ajustes_Manuais!$F:$F,"Assessoria de Projetos")</f>
        <v>0</v>
      </c>
      <c r="AF287" s="241">
        <v>0</v>
      </c>
      <c r="AG287" s="27">
        <v>0</v>
      </c>
      <c r="AH287" s="28">
        <f>SUMIFS(Aut_BlueMe_Sem_Pedido!$J:$J,Aut_BlueMe_Sem_Pedido!$Q:$Q,DRE!AF$4,Aut_BlueMe_Sem_Pedido!$H:$H,DRE!$A287)+SUMIFS(Aut_Ajustes_Manuais!$G:$G,Aut_Ajustes_Manuais!$I:$I,DRE!AF$4,Aut_Ajustes_Manuais!$F:$F,"Assessoria de Projetos")</f>
        <v>0</v>
      </c>
      <c r="AI287" s="241">
        <v>0</v>
      </c>
      <c r="AJ287" s="27">
        <v>0</v>
      </c>
      <c r="AK287" s="28">
        <f>SUMIFS(Aut_BlueMe_Sem_Pedido!$J:$J,Aut_BlueMe_Sem_Pedido!$Q:$Q,DRE!AI$4,Aut_BlueMe_Sem_Pedido!$H:$H,DRE!$A287)+SUMIFS(Aut_Ajustes_Manuais!$G:$G,Aut_Ajustes_Manuais!$I:$I,DRE!AI$4,Aut_Ajustes_Manuais!$F:$F,"Assessoria de Projetos")</f>
        <v>0</v>
      </c>
      <c r="AL287" s="241">
        <v>0</v>
      </c>
      <c r="AM287" s="27">
        <v>0</v>
      </c>
      <c r="AN287" s="28">
        <f>SUMIFS(Aut_BlueMe_Sem_Pedido!$J:$J,Aut_BlueMe_Sem_Pedido!$Q:$Q,DRE!AL$4,Aut_BlueMe_Sem_Pedido!$H:$H,DRE!$A287)+SUMIFS(Aut_Ajustes_Manuais!$G:$G,Aut_Ajustes_Manuais!$I:$I,DRE!AL$4,Aut_Ajustes_Manuais!$F:$F,"Assessoria de Projetos")</f>
        <v>0</v>
      </c>
      <c r="AO287" s="241">
        <v>0</v>
      </c>
      <c r="AP287" s="27">
        <v>0</v>
      </c>
      <c r="AQ287" s="28">
        <f>SUMIFS(Aut_BlueMe_Sem_Pedido!$J:$J,Aut_BlueMe_Sem_Pedido!$Q:$Q,DRE!AO$4,Aut_BlueMe_Sem_Pedido!$H:$H,DRE!$A287)+SUMIFS(Aut_Ajustes_Manuais!$G:$G,Aut_Ajustes_Manuais!$I:$I,DRE!AO$4,Aut_Ajustes_Manuais!$F:$F,"Assessoria de Projetos")</f>
        <v>0</v>
      </c>
      <c r="AR287" s="241">
        <f t="shared" ca="1" si="260"/>
        <v>0</v>
      </c>
      <c r="AS287" s="27">
        <f t="shared" ca="1" si="261"/>
        <v>0</v>
      </c>
      <c r="AT287" s="28">
        <f t="shared" ca="1" si="262"/>
        <v>0</v>
      </c>
      <c r="AU287" s="241">
        <f t="shared" si="263"/>
        <v>0</v>
      </c>
      <c r="AV287" s="27">
        <f t="shared" si="263"/>
        <v>0</v>
      </c>
      <c r="AW287" s="28">
        <f t="shared" si="263"/>
        <v>0</v>
      </c>
      <c r="AX287" s="241">
        <f t="shared" si="264"/>
        <v>0</v>
      </c>
      <c r="AY287" s="27">
        <f t="shared" si="264"/>
        <v>0</v>
      </c>
      <c r="AZ287" s="28">
        <f t="shared" si="264"/>
        <v>0</v>
      </c>
      <c r="BA287" s="241">
        <f t="shared" si="265"/>
        <v>0</v>
      </c>
      <c r="BB287" s="27">
        <f t="shared" si="265"/>
        <v>0</v>
      </c>
      <c r="BC287" s="28">
        <f t="shared" si="265"/>
        <v>0</v>
      </c>
      <c r="BD287" s="241">
        <f t="shared" si="266"/>
        <v>0</v>
      </c>
      <c r="BE287" s="27">
        <f t="shared" si="266"/>
        <v>0</v>
      </c>
      <c r="BF287" s="28">
        <f t="shared" si="266"/>
        <v>0</v>
      </c>
      <c r="BG287" s="241">
        <f t="shared" si="267"/>
        <v>0</v>
      </c>
      <c r="BH287" s="27">
        <f t="shared" si="267"/>
        <v>0</v>
      </c>
      <c r="BI287" s="28">
        <f t="shared" si="267"/>
        <v>0</v>
      </c>
    </row>
    <row r="288" spans="1:61" s="29" customFormat="1" hidden="1" outlineLevel="1" x14ac:dyDescent="0.3">
      <c r="A288" s="22" t="s">
        <v>316</v>
      </c>
      <c r="B288" s="23"/>
      <c r="C288" s="24" t="s">
        <v>60</v>
      </c>
      <c r="D288" s="121">
        <v>-21160</v>
      </c>
      <c r="E288" s="123"/>
      <c r="F288" s="56"/>
      <c r="G288" s="33"/>
      <c r="H288" s="241">
        <v>0</v>
      </c>
      <c r="I288" s="27">
        <v>0</v>
      </c>
      <c r="J288" s="28">
        <f>SUMIFS(Aut_BlueMe_Sem_Pedido!$J:$J,Aut_BlueMe_Sem_Pedido!$Q:$Q,DRE!H$4,Aut_BlueMe_Sem_Pedido!$H:$H,DRE!$A288)+SUMIFS(Aut_Ajustes_Manuais!$G:$G,Aut_Ajustes_Manuais!$I:$I,DRE!H$4,Aut_Ajustes_Manuais!$F:$F,"Serviços de Segurança")</f>
        <v>0</v>
      </c>
      <c r="K288" s="241">
        <v>0</v>
      </c>
      <c r="L288" s="27">
        <v>0</v>
      </c>
      <c r="M288" s="28">
        <f>SUMIFS(Aut_BlueMe_Sem_Pedido!$J:$J,Aut_BlueMe_Sem_Pedido!$Q:$Q,DRE!K$4,Aut_BlueMe_Sem_Pedido!$H:$H,DRE!$A288)+SUMIFS(Aut_Ajustes_Manuais!$G:$G,Aut_Ajustes_Manuais!$I:$I,DRE!K$4,Aut_Ajustes_Manuais!$F:$F,"Serviços de Segurança")</f>
        <v>0</v>
      </c>
      <c r="N288" s="241">
        <v>0</v>
      </c>
      <c r="O288" s="27">
        <v>0</v>
      </c>
      <c r="P288" s="28">
        <f>SUMIFS(Aut_BlueMe_Sem_Pedido!$J:$J,Aut_BlueMe_Sem_Pedido!$Q:$Q,DRE!N$4,Aut_BlueMe_Sem_Pedido!$H:$H,DRE!$A288)+SUMIFS(Aut_Ajustes_Manuais!$G:$G,Aut_Ajustes_Manuais!$I:$I,DRE!N$4,Aut_Ajustes_Manuais!$F:$F,"Serviços de Segurança")</f>
        <v>0</v>
      </c>
      <c r="Q288" s="241">
        <v>0</v>
      </c>
      <c r="R288" s="27">
        <v>0</v>
      </c>
      <c r="S288" s="28">
        <f>SUMIFS(Aut_BlueMe_Sem_Pedido!$J:$J,Aut_BlueMe_Sem_Pedido!$Q:$Q,DRE!Q$4,Aut_BlueMe_Sem_Pedido!$H:$H,DRE!$A288)+SUMIFS(Aut_Ajustes_Manuais!$G:$G,Aut_Ajustes_Manuais!$I:$I,DRE!Q$4,Aut_Ajustes_Manuais!$F:$F,"Serviços de Segurança")</f>
        <v>0</v>
      </c>
      <c r="T288" s="241">
        <v>0</v>
      </c>
      <c r="U288" s="27">
        <v>0</v>
      </c>
      <c r="V288" s="28">
        <f>SUMIFS(Aut_BlueMe_Sem_Pedido!$J:$J,Aut_BlueMe_Sem_Pedido!$Q:$Q,DRE!T$4,Aut_BlueMe_Sem_Pedido!$H:$H,DRE!$A288)+SUMIFS(Aut_Ajustes_Manuais!$G:$G,Aut_Ajustes_Manuais!$I:$I,DRE!T$4,Aut_Ajustes_Manuais!$F:$F,"Serviços de Segurança")</f>
        <v>0</v>
      </c>
      <c r="W288" s="241">
        <v>0</v>
      </c>
      <c r="X288" s="27">
        <v>0</v>
      </c>
      <c r="Y288" s="28">
        <f>SUMIFS(Aut_BlueMe_Sem_Pedido!$J:$J,Aut_BlueMe_Sem_Pedido!$Q:$Q,DRE!W$4,Aut_BlueMe_Sem_Pedido!$H:$H,DRE!$A288)+SUMIFS(Aut_Ajustes_Manuais!$G:$G,Aut_Ajustes_Manuais!$I:$I,DRE!W$4,Aut_Ajustes_Manuais!$F:$F,"Serviços de Segurança")</f>
        <v>0</v>
      </c>
      <c r="Z288" s="241">
        <v>0</v>
      </c>
      <c r="AA288" s="27">
        <v>0</v>
      </c>
      <c r="AB288" s="28">
        <f>SUMIFS(Aut_BlueMe_Sem_Pedido!$J:$J,Aut_BlueMe_Sem_Pedido!$Q:$Q,DRE!Z$4,Aut_BlueMe_Sem_Pedido!$H:$H,DRE!$A288)+SUMIFS(Aut_Ajustes_Manuais!$G:$G,Aut_Ajustes_Manuais!$I:$I,DRE!Z$4,Aut_Ajustes_Manuais!$F:$F,"Serviços de Segurança")</f>
        <v>0</v>
      </c>
      <c r="AC288" s="241">
        <v>0</v>
      </c>
      <c r="AD288" s="27">
        <v>0</v>
      </c>
      <c r="AE288" s="28">
        <f>SUMIFS(Aut_BlueMe_Sem_Pedido!$J:$J,Aut_BlueMe_Sem_Pedido!$Q:$Q,DRE!AC$4,Aut_BlueMe_Sem_Pedido!$H:$H,DRE!$A288)+SUMIFS(Aut_Ajustes_Manuais!$G:$G,Aut_Ajustes_Manuais!$I:$I,DRE!AC$4,Aut_Ajustes_Manuais!$F:$F,"Serviços de Segurança")</f>
        <v>0</v>
      </c>
      <c r="AF288" s="241">
        <v>0</v>
      </c>
      <c r="AG288" s="27">
        <v>0</v>
      </c>
      <c r="AH288" s="28">
        <f>SUMIFS(Aut_BlueMe_Sem_Pedido!$J:$J,Aut_BlueMe_Sem_Pedido!$Q:$Q,DRE!AF$4,Aut_BlueMe_Sem_Pedido!$H:$H,DRE!$A288)+SUMIFS(Aut_Ajustes_Manuais!$G:$G,Aut_Ajustes_Manuais!$I:$I,DRE!AF$4,Aut_Ajustes_Manuais!$F:$F,"Serviços de Segurança")</f>
        <v>0</v>
      </c>
      <c r="AI288" s="241">
        <v>0</v>
      </c>
      <c r="AJ288" s="27">
        <v>0</v>
      </c>
      <c r="AK288" s="28">
        <f>SUMIFS(Aut_BlueMe_Sem_Pedido!$J:$J,Aut_BlueMe_Sem_Pedido!$Q:$Q,DRE!AI$4,Aut_BlueMe_Sem_Pedido!$H:$H,DRE!$A288)+SUMIFS(Aut_Ajustes_Manuais!$G:$G,Aut_Ajustes_Manuais!$I:$I,DRE!AI$4,Aut_Ajustes_Manuais!$F:$F,"Serviços de Segurança")</f>
        <v>0</v>
      </c>
      <c r="AL288" s="241">
        <v>0</v>
      </c>
      <c r="AM288" s="27">
        <v>0</v>
      </c>
      <c r="AN288" s="28">
        <f>SUMIFS(Aut_BlueMe_Sem_Pedido!$J:$J,Aut_BlueMe_Sem_Pedido!$Q:$Q,DRE!AL$4,Aut_BlueMe_Sem_Pedido!$H:$H,DRE!$A288)+SUMIFS(Aut_Ajustes_Manuais!$G:$G,Aut_Ajustes_Manuais!$I:$I,DRE!AL$4,Aut_Ajustes_Manuais!$F:$F,"Serviços de Segurança")</f>
        <v>0</v>
      </c>
      <c r="AO288" s="241">
        <v>0</v>
      </c>
      <c r="AP288" s="27">
        <v>0</v>
      </c>
      <c r="AQ288" s="28">
        <f>SUMIFS(Aut_BlueMe_Sem_Pedido!$J:$J,Aut_BlueMe_Sem_Pedido!$Q:$Q,DRE!AO$4,Aut_BlueMe_Sem_Pedido!$H:$H,DRE!$A288)+SUMIFS(Aut_Ajustes_Manuais!$G:$G,Aut_Ajustes_Manuais!$I:$I,DRE!AO$4,Aut_Ajustes_Manuais!$F:$F,"Serviços de Segurança")</f>
        <v>0</v>
      </c>
      <c r="AR288" s="241">
        <f t="shared" ca="1" si="260"/>
        <v>0</v>
      </c>
      <c r="AS288" s="27">
        <f t="shared" ca="1" si="261"/>
        <v>0</v>
      </c>
      <c r="AT288" s="28">
        <f t="shared" ca="1" si="262"/>
        <v>0</v>
      </c>
      <c r="AU288" s="241">
        <f t="shared" si="263"/>
        <v>0</v>
      </c>
      <c r="AV288" s="27">
        <f t="shared" si="263"/>
        <v>0</v>
      </c>
      <c r="AW288" s="28">
        <f t="shared" si="263"/>
        <v>0</v>
      </c>
      <c r="AX288" s="241">
        <f t="shared" si="264"/>
        <v>0</v>
      </c>
      <c r="AY288" s="27">
        <f t="shared" si="264"/>
        <v>0</v>
      </c>
      <c r="AZ288" s="28">
        <f t="shared" si="264"/>
        <v>0</v>
      </c>
      <c r="BA288" s="241">
        <f t="shared" si="265"/>
        <v>0</v>
      </c>
      <c r="BB288" s="27">
        <f t="shared" si="265"/>
        <v>0</v>
      </c>
      <c r="BC288" s="28">
        <f t="shared" si="265"/>
        <v>0</v>
      </c>
      <c r="BD288" s="241">
        <f t="shared" si="266"/>
        <v>0</v>
      </c>
      <c r="BE288" s="27">
        <f t="shared" si="266"/>
        <v>0</v>
      </c>
      <c r="BF288" s="28">
        <f t="shared" si="266"/>
        <v>0</v>
      </c>
      <c r="BG288" s="241">
        <f t="shared" si="267"/>
        <v>0</v>
      </c>
      <c r="BH288" s="27">
        <f t="shared" si="267"/>
        <v>0</v>
      </c>
      <c r="BI288" s="28">
        <f t="shared" si="267"/>
        <v>0</v>
      </c>
    </row>
    <row r="289" spans="1:61" s="29" customFormat="1" hidden="1" outlineLevel="1" x14ac:dyDescent="0.3">
      <c r="A289" s="22" t="s">
        <v>317</v>
      </c>
      <c r="B289" s="23"/>
      <c r="C289" s="24" t="s">
        <v>60</v>
      </c>
      <c r="D289" s="121"/>
      <c r="E289" s="123"/>
      <c r="F289" s="56"/>
      <c r="G289" s="33"/>
      <c r="H289" s="241">
        <v>0</v>
      </c>
      <c r="I289" s="27">
        <v>0</v>
      </c>
      <c r="J289" s="28"/>
      <c r="K289" s="241">
        <v>0</v>
      </c>
      <c r="L289" s="27">
        <v>0</v>
      </c>
      <c r="M289" s="28"/>
      <c r="N289" s="241">
        <v>0</v>
      </c>
      <c r="O289" s="27">
        <v>0</v>
      </c>
      <c r="P289" s="28"/>
      <c r="Q289" s="241">
        <v>0</v>
      </c>
      <c r="R289" s="27">
        <v>0</v>
      </c>
      <c r="S289" s="28"/>
      <c r="T289" s="241">
        <v>0</v>
      </c>
      <c r="U289" s="27">
        <v>0</v>
      </c>
      <c r="V289" s="28"/>
      <c r="W289" s="241">
        <v>0</v>
      </c>
      <c r="X289" s="27">
        <v>0</v>
      </c>
      <c r="Y289" s="28">
        <f>SUMIFS(Aut_BlueMe_Sem_Pedido!$J:$J,Aut_BlueMe_Sem_Pedido!$Q:$Q,DRE!W$4,Aut_BlueMe_Sem_Pedido!$H:$H,DRE!$A289)+SUMIFS(Aut_Ajustes_Manuais!$G:$G,Aut_Ajustes_Manuais!$I:$I,DRE!W$4,Aut_Ajustes_Manuais!$F:$F,"Valet/Motoboy")</f>
        <v>0</v>
      </c>
      <c r="Z289" s="241">
        <v>0</v>
      </c>
      <c r="AA289" s="27">
        <v>0</v>
      </c>
      <c r="AB289" s="28">
        <f>SUMIFS(Aut_BlueMe_Sem_Pedido!$J:$J,Aut_BlueMe_Sem_Pedido!$Q:$Q,DRE!Z$4,Aut_BlueMe_Sem_Pedido!$H:$H,DRE!$A289)+SUMIFS(Aut_Ajustes_Manuais!$G:$G,Aut_Ajustes_Manuais!$I:$I,DRE!Z$4,Aut_Ajustes_Manuais!$F:$F,"Valet/Motoboy")</f>
        <v>0</v>
      </c>
      <c r="AC289" s="241">
        <v>0</v>
      </c>
      <c r="AD289" s="27">
        <v>0</v>
      </c>
      <c r="AE289" s="28">
        <f>SUMIFS(Aut_BlueMe_Sem_Pedido!$J:$J,Aut_BlueMe_Sem_Pedido!$Q:$Q,DRE!AC$4,Aut_BlueMe_Sem_Pedido!$H:$H,DRE!$A289)+SUMIFS(Aut_Ajustes_Manuais!$G:$G,Aut_Ajustes_Manuais!$I:$I,DRE!AC$4,Aut_Ajustes_Manuais!$F:$F,"Valet/Motoboy")</f>
        <v>0</v>
      </c>
      <c r="AF289" s="241">
        <v>0</v>
      </c>
      <c r="AG289" s="27">
        <v>0</v>
      </c>
      <c r="AH289" s="28">
        <f>SUMIFS(Aut_BlueMe_Sem_Pedido!$J:$J,Aut_BlueMe_Sem_Pedido!$Q:$Q,DRE!AF$4,Aut_BlueMe_Sem_Pedido!$H:$H,DRE!$A289)+SUMIFS(Aut_Ajustes_Manuais!$G:$G,Aut_Ajustes_Manuais!$I:$I,DRE!AF$4,Aut_Ajustes_Manuais!$F:$F,"Valet/Motoboy")</f>
        <v>0</v>
      </c>
      <c r="AI289" s="241">
        <v>0</v>
      </c>
      <c r="AJ289" s="27">
        <v>0</v>
      </c>
      <c r="AK289" s="28">
        <f>SUMIFS(Aut_BlueMe_Sem_Pedido!$J:$J,Aut_BlueMe_Sem_Pedido!$Q:$Q,DRE!AI$4,Aut_BlueMe_Sem_Pedido!$H:$H,DRE!$A289)+SUMIFS(Aut_Ajustes_Manuais!$G:$G,Aut_Ajustes_Manuais!$I:$I,DRE!AI$4,Aut_Ajustes_Manuais!$F:$F,"Valet/Motoboy")</f>
        <v>0</v>
      </c>
      <c r="AL289" s="241">
        <v>0</v>
      </c>
      <c r="AM289" s="27">
        <v>0</v>
      </c>
      <c r="AN289" s="28">
        <f>SUMIFS(Aut_BlueMe_Sem_Pedido!$J:$J,Aut_BlueMe_Sem_Pedido!$Q:$Q,DRE!AL$4,Aut_BlueMe_Sem_Pedido!$H:$H,DRE!$A289)+SUMIFS(Aut_Ajustes_Manuais!$G:$G,Aut_Ajustes_Manuais!$I:$I,DRE!AL$4,Aut_Ajustes_Manuais!$F:$F,"Valet/Motoboy")</f>
        <v>0</v>
      </c>
      <c r="AO289" s="241">
        <v>0</v>
      </c>
      <c r="AP289" s="27">
        <v>0</v>
      </c>
      <c r="AQ289" s="28">
        <f>SUMIFS(Aut_BlueMe_Sem_Pedido!$J:$J,Aut_BlueMe_Sem_Pedido!$Q:$Q,DRE!AO$4,Aut_BlueMe_Sem_Pedido!$H:$H,DRE!$A289)+SUMIFS(Aut_Ajustes_Manuais!$G:$G,Aut_Ajustes_Manuais!$I:$I,DRE!AO$4,Aut_Ajustes_Manuais!$F:$F,"Valet/Motoboy")</f>
        <v>0</v>
      </c>
      <c r="AR289" s="241">
        <f t="shared" ca="1" si="260"/>
        <v>0</v>
      </c>
      <c r="AS289" s="27">
        <f t="shared" ca="1" si="261"/>
        <v>0</v>
      </c>
      <c r="AT289" s="28">
        <f t="shared" ca="1" si="262"/>
        <v>0</v>
      </c>
      <c r="AU289" s="241"/>
      <c r="AV289" s="27"/>
      <c r="AW289" s="28"/>
      <c r="AX289" s="241"/>
      <c r="AY289" s="27">
        <v>0</v>
      </c>
      <c r="AZ289" s="28"/>
      <c r="BA289" s="241"/>
      <c r="BB289" s="27">
        <v>0</v>
      </c>
      <c r="BC289" s="28"/>
      <c r="BD289" s="241"/>
      <c r="BE289" s="27">
        <v>0</v>
      </c>
      <c r="BF289" s="28"/>
      <c r="BG289" s="241"/>
      <c r="BH289" s="27">
        <v>0</v>
      </c>
      <c r="BI289" s="28"/>
    </row>
    <row r="290" spans="1:61" s="29" customFormat="1" hidden="1" outlineLevel="1" x14ac:dyDescent="0.3">
      <c r="A290" s="22"/>
      <c r="B290" s="23"/>
      <c r="C290" s="24"/>
      <c r="D290" s="121"/>
      <c r="E290" s="123"/>
      <c r="F290" s="56"/>
      <c r="G290" s="33"/>
      <c r="H290" s="241"/>
      <c r="I290" s="27"/>
      <c r="J290" s="28"/>
      <c r="K290" s="241"/>
      <c r="L290" s="27"/>
      <c r="M290" s="28"/>
      <c r="N290" s="241"/>
      <c r="O290" s="27"/>
      <c r="P290" s="28"/>
      <c r="Q290" s="241"/>
      <c r="R290" s="27"/>
      <c r="S290" s="28"/>
      <c r="T290" s="241"/>
      <c r="U290" s="27"/>
      <c r="V290" s="28"/>
      <c r="W290" s="241"/>
      <c r="X290" s="27"/>
      <c r="Y290" s="28"/>
      <c r="Z290" s="241"/>
      <c r="AA290" s="27"/>
      <c r="AB290" s="28"/>
      <c r="AC290" s="241"/>
      <c r="AD290" s="27"/>
      <c r="AE290" s="28"/>
      <c r="AF290" s="241"/>
      <c r="AG290" s="27"/>
      <c r="AH290" s="28"/>
      <c r="AI290" s="241"/>
      <c r="AJ290" s="27"/>
      <c r="AK290" s="28"/>
      <c r="AL290" s="241"/>
      <c r="AM290" s="27"/>
      <c r="AN290" s="28"/>
      <c r="AO290" s="241"/>
      <c r="AP290" s="27"/>
      <c r="AQ290" s="28"/>
      <c r="AR290" s="241">
        <f t="shared" ca="1" si="260"/>
        <v>0</v>
      </c>
      <c r="AS290" s="27">
        <f t="shared" ca="1" si="261"/>
        <v>0</v>
      </c>
      <c r="AT290" s="28">
        <f t="shared" ca="1" si="262"/>
        <v>0</v>
      </c>
      <c r="AU290" s="241"/>
      <c r="AV290" s="27"/>
      <c r="AW290" s="28"/>
      <c r="AX290" s="241"/>
      <c r="AY290" s="27">
        <v>0</v>
      </c>
      <c r="AZ290" s="28"/>
      <c r="BA290" s="241"/>
      <c r="BB290" s="27">
        <v>0</v>
      </c>
      <c r="BC290" s="28"/>
      <c r="BD290" s="241"/>
      <c r="BE290" s="27">
        <v>0</v>
      </c>
      <c r="BF290" s="28"/>
      <c r="BG290" s="241"/>
      <c r="BH290" s="27">
        <v>0</v>
      </c>
      <c r="BI290" s="28"/>
    </row>
    <row r="291" spans="1:61" s="29" customFormat="1" hidden="1" outlineLevel="1" x14ac:dyDescent="0.3">
      <c r="A291" s="22"/>
      <c r="B291" s="23"/>
      <c r="C291" s="24"/>
      <c r="D291" s="121"/>
      <c r="E291" s="123"/>
      <c r="F291" s="56"/>
      <c r="G291" s="33"/>
      <c r="H291" s="241"/>
      <c r="I291" s="27"/>
      <c r="J291" s="28"/>
      <c r="K291" s="241"/>
      <c r="L291" s="27"/>
      <c r="M291" s="28"/>
      <c r="N291" s="241"/>
      <c r="O291" s="27"/>
      <c r="P291" s="28"/>
      <c r="Q291" s="241"/>
      <c r="R291" s="27"/>
      <c r="S291" s="28"/>
      <c r="T291" s="241"/>
      <c r="U291" s="27"/>
      <c r="V291" s="28"/>
      <c r="W291" s="241"/>
      <c r="X291" s="27"/>
      <c r="Y291" s="28"/>
      <c r="Z291" s="241"/>
      <c r="AA291" s="27"/>
      <c r="AB291" s="28"/>
      <c r="AC291" s="241"/>
      <c r="AD291" s="27"/>
      <c r="AE291" s="28"/>
      <c r="AF291" s="241"/>
      <c r="AG291" s="27"/>
      <c r="AH291" s="28"/>
      <c r="AI291" s="241"/>
      <c r="AJ291" s="27"/>
      <c r="AK291" s="28"/>
      <c r="AL291" s="241"/>
      <c r="AM291" s="27"/>
      <c r="AN291" s="28"/>
      <c r="AO291" s="241"/>
      <c r="AP291" s="27"/>
      <c r="AQ291" s="28"/>
      <c r="AR291" s="241">
        <f t="shared" ca="1" si="260"/>
        <v>0</v>
      </c>
      <c r="AS291" s="27">
        <f t="shared" ca="1" si="261"/>
        <v>0</v>
      </c>
      <c r="AT291" s="28">
        <f t="shared" ca="1" si="262"/>
        <v>0</v>
      </c>
      <c r="AU291" s="241"/>
      <c r="AV291" s="27"/>
      <c r="AW291" s="28"/>
      <c r="AX291" s="241"/>
      <c r="AY291" s="27">
        <v>0</v>
      </c>
      <c r="AZ291" s="28"/>
      <c r="BA291" s="241"/>
      <c r="BB291" s="27">
        <v>0</v>
      </c>
      <c r="BC291" s="28"/>
      <c r="BD291" s="241"/>
      <c r="BE291" s="27">
        <v>0</v>
      </c>
      <c r="BF291" s="28"/>
      <c r="BG291" s="241"/>
      <c r="BH291" s="27">
        <v>0</v>
      </c>
      <c r="BI291" s="28"/>
    </row>
    <row r="292" spans="1:61" collapsed="1" x14ac:dyDescent="0.3">
      <c r="A292" s="71" t="s">
        <v>44</v>
      </c>
      <c r="B292" s="59"/>
      <c r="C292" s="60"/>
      <c r="D292" s="61"/>
      <c r="E292" s="62"/>
      <c r="F292" s="63"/>
      <c r="G292" s="47"/>
      <c r="H292" s="245">
        <v>-3.3557409107025669E-2</v>
      </c>
      <c r="I292" s="50">
        <v>-1.5755949093533821E-2</v>
      </c>
      <c r="J292" s="51">
        <f>IFERROR(J280/J8,0)+SUMIFS(Aut_Ajustes_Manuais!$G:$G,Aut_Ajustes_Manuais!$I:$I,DRE!H$4,Aut_Ajustes_Manuais!$F:$F,"% sobre Receita Bruta")</f>
        <v>-1.3960897164830849E-2</v>
      </c>
      <c r="K292" s="245">
        <v>-1.2152927896107351E-2</v>
      </c>
      <c r="L292" s="50">
        <v>-1.4372455741528879E-2</v>
      </c>
      <c r="M292" s="51">
        <f>IFERROR(M280/M8,0)+SUMIFS(Aut_Ajustes_Manuais!$G:$G,Aut_Ajustes_Manuais!$I:$I,DRE!K$4,Aut_Ajustes_Manuais!$F:$F,"% sobre Receita Bruta")</f>
        <v>-1.332889631412397E-2</v>
      </c>
      <c r="N292" s="245">
        <v>-8.8864949189540274E-3</v>
      </c>
      <c r="O292" s="50">
        <v>-1.1361766044134381E-2</v>
      </c>
      <c r="P292" s="51">
        <f>IFERROR(P280/P8,0)+SUMIFS(Aut_Ajustes_Manuais!$G:$G,Aut_Ajustes_Manuais!$I:$I,DRE!N$4,Aut_Ajustes_Manuais!$F:$F,"% sobre Receita Bruta")</f>
        <v>-1.0150536341907785E-2</v>
      </c>
      <c r="Q292" s="245">
        <v>-1.005026040993187E-2</v>
      </c>
      <c r="R292" s="50">
        <v>-1.199856663672093E-2</v>
      </c>
      <c r="S292" s="51">
        <f>IFERROR(S280/S8,0)+SUMIFS(Aut_Ajustes_Manuais!$G:$G,Aut_Ajustes_Manuais!$I:$I,DRE!Q$4,Aut_Ajustes_Manuais!$F:$F,"% sobre Receita Bruta")</f>
        <v>-1.2619358986649665E-2</v>
      </c>
      <c r="T292" s="245">
        <v>-1.330147096009777E-2</v>
      </c>
      <c r="U292" s="50">
        <v>-1.2117798544410391E-2</v>
      </c>
      <c r="V292" s="51">
        <f>IFERROR(V280/V8,0)+SUMIFS(Aut_Ajustes_Manuais!$G:$G,Aut_Ajustes_Manuais!$I:$I,DRE!T$4,Aut_Ajustes_Manuais!$F:$F,"% sobre Receita Bruta")</f>
        <v>-1.2358168667625583E-2</v>
      </c>
      <c r="W292" s="245">
        <v>-1.301498949729374E-2</v>
      </c>
      <c r="X292" s="50">
        <v>-1.3036117842167639E-2</v>
      </c>
      <c r="Y292" s="51">
        <f>IFERROR(Y280/Y8,0)+SUMIFS(Aut_Ajustes_Manuais!$G:$G,Aut_Ajustes_Manuais!$I:$I,DRE!W$4,Aut_Ajustes_Manuais!$F:$F,"% sobre Receita Bruta")</f>
        <v>-1.2132491462422035E-2</v>
      </c>
      <c r="Z292" s="245">
        <v>-1.0909957364983869E-2</v>
      </c>
      <c r="AA292" s="50">
        <v>-9.9684311422612321E-3</v>
      </c>
      <c r="AB292" s="51">
        <f>IFERROR(AB280/AB8,0)+SUMIFS(Aut_Ajustes_Manuais!$G:$G,Aut_Ajustes_Manuais!$I:$I,DRE!Z$4,Aut_Ajustes_Manuais!$F:$F,"% sobre Receita Bruta")</f>
        <v>-3.8885512312800012E-2</v>
      </c>
      <c r="AC292" s="245">
        <v>-1.1117141662694801E-2</v>
      </c>
      <c r="AD292" s="50">
        <v>-1.0536861368729181E-2</v>
      </c>
      <c r="AE292" s="51">
        <f>IFERROR(AE280/AE8,0)+SUMIFS(Aut_Ajustes_Manuais!$G:$G,Aut_Ajustes_Manuais!$I:$I,DRE!AC$4,Aut_Ajustes_Manuais!$F:$F,"% sobre Receita Bruta")</f>
        <v>-1.7764629629629629</v>
      </c>
      <c r="AF292" s="245">
        <v>-1.3225354089110989E-2</v>
      </c>
      <c r="AG292" s="50">
        <v>-1.183142704148815E-2</v>
      </c>
      <c r="AH292" s="51">
        <f>IFERROR(AH280/AH8,0)+SUMIFS(Aut_Ajustes_Manuais!$G:$G,Aut_Ajustes_Manuais!$I:$I,DRE!AF$4,Aut_Ajustes_Manuais!$F:$F,"% sobre Receita Bruta")</f>
        <v>0</v>
      </c>
      <c r="AI292" s="245">
        <v>-1.302913168214158E-2</v>
      </c>
      <c r="AJ292" s="50">
        <v>-1.145695018004983E-2</v>
      </c>
      <c r="AK292" s="51">
        <f>IFERROR(AK280/AK8,0)+SUMIFS(Aut_Ajustes_Manuais!$G:$G,Aut_Ajustes_Manuais!$I:$I,DRE!AI$4,Aut_Ajustes_Manuais!$F:$F,"% sobre Receita Bruta")</f>
        <v>0</v>
      </c>
      <c r="AL292" s="245">
        <v>-1.550242678915323E-2</v>
      </c>
      <c r="AM292" s="50">
        <v>-1.1273782318244189E-2</v>
      </c>
      <c r="AN292" s="51">
        <f>IFERROR(AN280/AN8,0)+SUMIFS(Aut_Ajustes_Manuais!$G:$G,Aut_Ajustes_Manuais!$I:$I,DRE!AL$4,Aut_Ajustes_Manuais!$F:$F,"% sobre Receita Bruta")</f>
        <v>-1.8440746268656718</v>
      </c>
      <c r="AO292" s="245">
        <v>-9.050070960041472E-3</v>
      </c>
      <c r="AP292" s="50">
        <v>-8.4770310409776305E-3</v>
      </c>
      <c r="AQ292" s="51">
        <f>IFERROR(AQ280/AQ8,0)+SUMIFS(Aut_Ajustes_Manuais!$G:$G,Aut_Ajustes_Manuais!$I:$I,DRE!AO$4,Aut_Ajustes_Manuais!$F:$F,"% sobre Receita Bruta")</f>
        <v>0</v>
      </c>
      <c r="AR292" s="245">
        <f t="shared" ref="AR292:BI292" ca="1" si="268">IFERROR(AR280/AR8,0)</f>
        <v>-1.4337533758629973E-2</v>
      </c>
      <c r="AS292" s="50">
        <f t="shared" ca="1" si="268"/>
        <v>-1.2941170120573739E-2</v>
      </c>
      <c r="AT292" s="51">
        <f t="shared" ca="1" si="268"/>
        <v>-1.229492951700323E-2</v>
      </c>
      <c r="AU292" s="245">
        <f t="shared" si="268"/>
        <v>-1.2871369865927089E-2</v>
      </c>
      <c r="AV292" s="50">
        <f t="shared" si="268"/>
        <v>-1.1567130766235815E-2</v>
      </c>
      <c r="AW292" s="51">
        <f t="shared" si="268"/>
        <v>-2.5098454873613268E-2</v>
      </c>
      <c r="AX292" s="245">
        <f t="shared" si="268"/>
        <v>-1.6935459148517826E-2</v>
      </c>
      <c r="AY292" s="50">
        <f t="shared" si="268"/>
        <v>-1.3570969544712652E-2</v>
      </c>
      <c r="AZ292" s="51">
        <f t="shared" si="268"/>
        <v>-1.2224545760314117E-2</v>
      </c>
      <c r="BA292" s="245">
        <f t="shared" si="268"/>
        <v>-1.211605168175677E-2</v>
      </c>
      <c r="BB292" s="50">
        <f t="shared" si="268"/>
        <v>-1.2367233490275884E-2</v>
      </c>
      <c r="BC292" s="51">
        <f t="shared" si="268"/>
        <v>-1.2365954561175035E-2</v>
      </c>
      <c r="BD292" s="245">
        <f t="shared" si="268"/>
        <v>-1.1669493940244323E-2</v>
      </c>
      <c r="BE292" s="50">
        <f t="shared" si="268"/>
        <v>-1.0724157000442313E-2</v>
      </c>
      <c r="BF292" s="51">
        <f t="shared" si="268"/>
        <v>-0.11267494909007646</v>
      </c>
      <c r="BG292" s="245">
        <f t="shared" si="268"/>
        <v>-1.1846311438901474E-2</v>
      </c>
      <c r="BH292" s="50">
        <f t="shared" si="268"/>
        <v>-1.0218963593130811E-2</v>
      </c>
      <c r="BI292" s="51">
        <f t="shared" si="268"/>
        <v>-5.4862039800995026</v>
      </c>
    </row>
    <row r="293" spans="1:61" x14ac:dyDescent="0.3">
      <c r="A293" s="18"/>
      <c r="E293" s="16"/>
      <c r="F293" s="17"/>
      <c r="G293" s="47"/>
      <c r="H293" s="256"/>
      <c r="I293" s="232"/>
      <c r="J293" s="85"/>
      <c r="K293" s="256"/>
      <c r="L293" s="232"/>
      <c r="M293" s="85"/>
      <c r="N293" s="256"/>
      <c r="O293" s="232"/>
      <c r="P293" s="85"/>
      <c r="Q293" s="256"/>
      <c r="R293" s="232"/>
      <c r="S293" s="85"/>
      <c r="T293" s="256"/>
      <c r="U293" s="232"/>
      <c r="V293" s="85"/>
      <c r="W293" s="256"/>
      <c r="X293" s="232"/>
      <c r="Y293" s="85"/>
      <c r="Z293" s="256"/>
      <c r="AA293" s="232"/>
      <c r="AB293" s="85"/>
      <c r="AC293" s="256"/>
      <c r="AD293" s="232"/>
      <c r="AE293" s="85"/>
      <c r="AF293" s="256"/>
      <c r="AG293" s="232"/>
      <c r="AH293" s="85"/>
      <c r="AI293" s="256"/>
      <c r="AJ293" s="232"/>
      <c r="AK293" s="85"/>
      <c r="AL293" s="256"/>
      <c r="AM293" s="232"/>
      <c r="AN293" s="85"/>
      <c r="AO293" s="256"/>
      <c r="AP293" s="232"/>
      <c r="AQ293" s="85"/>
      <c r="AR293" s="256"/>
      <c r="AS293" s="232"/>
      <c r="AT293" s="85"/>
      <c r="AU293" s="256"/>
      <c r="AV293" s="232"/>
      <c r="AW293" s="85"/>
      <c r="AX293" s="256"/>
      <c r="AY293" s="232"/>
      <c r="AZ293" s="85"/>
      <c r="BA293" s="256"/>
      <c r="BB293" s="232"/>
      <c r="BC293" s="85"/>
      <c r="BD293" s="256"/>
      <c r="BE293" s="232"/>
      <c r="BF293" s="85"/>
      <c r="BG293" s="256"/>
      <c r="BH293" s="232"/>
      <c r="BI293" s="85"/>
    </row>
    <row r="294" spans="1:61" x14ac:dyDescent="0.3">
      <c r="A294" s="39" t="s">
        <v>318</v>
      </c>
      <c r="C294" s="40" t="s">
        <v>35</v>
      </c>
      <c r="D294" s="40" t="s">
        <v>36</v>
      </c>
      <c r="E294" s="40" t="s">
        <v>202</v>
      </c>
      <c r="F294" s="41"/>
      <c r="G294" s="47"/>
      <c r="H294" s="244">
        <v>-2439.4</v>
      </c>
      <c r="I294" s="42">
        <v>-2124.7485000000001</v>
      </c>
      <c r="J294" s="43">
        <f>SUM(J295:J298)+SUMIFS(Aut_Ajustes_Manuais!$G:$G,Aut_Ajustes_Manuais!$I:$I,DRE!H$4,Aut_Ajustes_Manuais!$F:$F,"Locação de Equipamentos")</f>
        <v>-2107.81</v>
      </c>
      <c r="K294" s="244">
        <v>-2460.89</v>
      </c>
      <c r="L294" s="42">
        <v>-2124.7485000000001</v>
      </c>
      <c r="M294" s="43">
        <f>SUM(M295:M298)+SUMIFS(Aut_Ajustes_Manuais!$G:$G,Aut_Ajustes_Manuais!$I:$I,DRE!K$4,Aut_Ajustes_Manuais!$F:$F,"Locação de Equipamentos")</f>
        <v>-2236.1800000000003</v>
      </c>
      <c r="N294" s="244">
        <v>-2446.61</v>
      </c>
      <c r="O294" s="42">
        <v>-2124.7485000000001</v>
      </c>
      <c r="P294" s="43">
        <f>SUM(P295:P298)+SUMIFS(Aut_Ajustes_Manuais!$G:$G,Aut_Ajustes_Manuais!$I:$I,DRE!N$4,Aut_Ajustes_Manuais!$F:$F,"Locação de Equipamentos")</f>
        <v>-2107.08</v>
      </c>
      <c r="Q294" s="244">
        <v>-2431.79</v>
      </c>
      <c r="R294" s="42">
        <v>-2124.7485000000001</v>
      </c>
      <c r="S294" s="43">
        <f>SUM(S295:S298)+SUMIFS(Aut_Ajustes_Manuais!$G:$G,Aut_Ajustes_Manuais!$I:$I,DRE!Q$4,Aut_Ajustes_Manuais!$F:$F,"Locação de Equipamentos")</f>
        <v>-2115.7799999999997</v>
      </c>
      <c r="T294" s="244">
        <v>-2393.69</v>
      </c>
      <c r="U294" s="42">
        <v>-2124.7485000000001</v>
      </c>
      <c r="V294" s="43">
        <f>SUM(V295:V298)+SUMIFS(Aut_Ajustes_Manuais!$G:$G,Aut_Ajustes_Manuais!$I:$I,DRE!T$4,Aut_Ajustes_Manuais!$F:$F,"Locação de Equipamentos")</f>
        <v>-2096.2799999999997</v>
      </c>
      <c r="W294" s="244">
        <v>-2890.87</v>
      </c>
      <c r="X294" s="42">
        <v>-2124.7485000000001</v>
      </c>
      <c r="Y294" s="43">
        <f>SUM(Y295:Y298)+SUMIFS(Aut_Ajustes_Manuais!$G:$G,Aut_Ajustes_Manuais!$I:$I,DRE!W$4,Aut_Ajustes_Manuais!$F:$F,"Locação de Equipamentos")</f>
        <v>-2164</v>
      </c>
      <c r="Z294" s="244">
        <v>-3532.47</v>
      </c>
      <c r="AA294" s="42">
        <v>-2124.7485000000001</v>
      </c>
      <c r="AB294" s="43">
        <f>SUM(AB295:AB298)+SUMIFS(Aut_Ajustes_Manuais!$G:$G,Aut_Ajustes_Manuais!$I:$I,DRE!Z$4,Aut_Ajustes_Manuais!$F:$F,"Locação de Equipamentos")</f>
        <v>-2164</v>
      </c>
      <c r="AC294" s="244">
        <v>-2920.15</v>
      </c>
      <c r="AD294" s="42">
        <v>-2124.7485000000001</v>
      </c>
      <c r="AE294" s="43">
        <f>SUM(AE295:AE298)+SUMIFS(Aut_Ajustes_Manuais!$G:$G,Aut_Ajustes_Manuais!$I:$I,DRE!AC$4,Aut_Ajustes_Manuais!$F:$F,"Locação de Equipamentos")</f>
        <v>-2195</v>
      </c>
      <c r="AF294" s="244">
        <v>-2921.83</v>
      </c>
      <c r="AG294" s="42">
        <v>-2124.7485000000001</v>
      </c>
      <c r="AH294" s="43">
        <f>SUM(AH295:AH298)+SUMIFS(Aut_Ajustes_Manuais!$G:$G,Aut_Ajustes_Manuais!$I:$I,DRE!AF$4,Aut_Ajustes_Manuais!$F:$F,"Locação de Equipamentos")</f>
        <v>-2195</v>
      </c>
      <c r="AI294" s="244">
        <v>-2922.19</v>
      </c>
      <c r="AJ294" s="42">
        <v>-2124.7485000000001</v>
      </c>
      <c r="AK294" s="43">
        <f>SUM(AK295:AK298)+SUMIFS(Aut_Ajustes_Manuais!$G:$G,Aut_Ajustes_Manuais!$I:$I,DRE!AI$4,Aut_Ajustes_Manuais!$F:$F,"Locação de Equipamentos")</f>
        <v>-2195</v>
      </c>
      <c r="AL294" s="244">
        <v>-2723.57</v>
      </c>
      <c r="AM294" s="42">
        <v>-2124.7485000000001</v>
      </c>
      <c r="AN294" s="43">
        <f>SUM(AN295:AN298)+SUMIFS(Aut_Ajustes_Manuais!$G:$G,Aut_Ajustes_Manuais!$I:$I,DRE!AL$4,Aut_Ajustes_Manuais!$F:$F,"Locação de Equipamentos")</f>
        <v>-2195</v>
      </c>
      <c r="AO294" s="244">
        <v>-2095.15</v>
      </c>
      <c r="AP294" s="42">
        <v>-1599.7484999999999</v>
      </c>
      <c r="AQ294" s="43">
        <f>SUM(AQ295:AQ298)+SUMIFS(Aut_Ajustes_Manuais!$G:$G,Aut_Ajustes_Manuais!$I:$I,DRE!AO$4,Aut_Ajustes_Manuais!$F:$F,"Locação de Equipamentos")</f>
        <v>-900</v>
      </c>
      <c r="AR294" s="244">
        <f t="shared" ref="AR294:BI294" ca="1" si="269">SUM(AR295:AR298)</f>
        <v>-15063.25</v>
      </c>
      <c r="AS294" s="42">
        <f t="shared" ca="1" si="269"/>
        <v>-12748.491</v>
      </c>
      <c r="AT294" s="43">
        <f t="shared" ca="1" si="269"/>
        <v>-12827.130000000001</v>
      </c>
      <c r="AU294" s="244">
        <f t="shared" si="269"/>
        <v>-32178.61</v>
      </c>
      <c r="AV294" s="42">
        <f t="shared" si="269"/>
        <v>-24971.981999999996</v>
      </c>
      <c r="AW294" s="43">
        <f t="shared" si="269"/>
        <v>-24671.13</v>
      </c>
      <c r="AX294" s="244">
        <f t="shared" si="269"/>
        <v>-7346.9</v>
      </c>
      <c r="AY294" s="42">
        <f t="shared" si="269"/>
        <v>-6374.2455</v>
      </c>
      <c r="AZ294" s="43">
        <f t="shared" si="269"/>
        <v>-6451.07</v>
      </c>
      <c r="BA294" s="244">
        <f t="shared" si="269"/>
        <v>-7716.35</v>
      </c>
      <c r="BB294" s="42">
        <f t="shared" si="269"/>
        <v>-6374.2455</v>
      </c>
      <c r="BC294" s="43">
        <f t="shared" si="269"/>
        <v>-6376.06</v>
      </c>
      <c r="BD294" s="244">
        <f t="shared" si="269"/>
        <v>-9374.4500000000007</v>
      </c>
      <c r="BE294" s="42">
        <f t="shared" si="269"/>
        <v>-6374.2455</v>
      </c>
      <c r="BF294" s="43">
        <f t="shared" si="269"/>
        <v>-6554</v>
      </c>
      <c r="BG294" s="244">
        <f t="shared" si="269"/>
        <v>-7740.91</v>
      </c>
      <c r="BH294" s="42">
        <f t="shared" si="269"/>
        <v>-5849.2455</v>
      </c>
      <c r="BI294" s="43">
        <f t="shared" si="269"/>
        <v>-5290</v>
      </c>
    </row>
    <row r="295" spans="1:61" s="29" customFormat="1" hidden="1" outlineLevel="1" x14ac:dyDescent="0.3">
      <c r="A295" s="22" t="s">
        <v>319</v>
      </c>
      <c r="B295" s="23"/>
      <c r="C295" s="24" t="s">
        <v>67</v>
      </c>
      <c r="D295" s="116"/>
      <c r="E295" s="116"/>
      <c r="F295" s="56"/>
      <c r="G295" s="33"/>
      <c r="H295" s="241">
        <v>-2086</v>
      </c>
      <c r="I295" s="27">
        <v>-1770.3</v>
      </c>
      <c r="J295" s="28">
        <f>SUMIFS(Aut_BlueMe_Sem_Pedido!$J:$J,Aut_BlueMe_Sem_Pedido!$Q:$Q,DRE!H$4,Aut_BlueMe_Sem_Pedido!$H:$H,DRE!$A295)+SUMIFS(Aut_Ajustes_Manuais!$G:$G,Aut_Ajustes_Manuais!$I:$I,DRE!H$4,Aut_Ajustes_Manuais!$F:$F,"Locações de Equipamentos - Operacionais")</f>
        <v>-1764</v>
      </c>
      <c r="K295" s="241">
        <v>-2086</v>
      </c>
      <c r="L295" s="27">
        <v>-1770.3</v>
      </c>
      <c r="M295" s="28">
        <f>SUMIFS(Aut_BlueMe_Sem_Pedido!$J:$J,Aut_BlueMe_Sem_Pedido!$Q:$Q,DRE!K$4,Aut_BlueMe_Sem_Pedido!$H:$H,DRE!$A295)+SUMIFS(Aut_Ajustes_Manuais!$G:$G,Aut_Ajustes_Manuais!$I:$I,DRE!K$4,Aut_Ajustes_Manuais!$F:$F,"Locações de Equipamentos - Operacionais")</f>
        <v>-1764</v>
      </c>
      <c r="N295" s="241">
        <v>-2086</v>
      </c>
      <c r="O295" s="27">
        <v>-1770.3</v>
      </c>
      <c r="P295" s="28">
        <f>SUMIFS(Aut_BlueMe_Sem_Pedido!$J:$J,Aut_BlueMe_Sem_Pedido!$Q:$Q,DRE!N$4,Aut_BlueMe_Sem_Pedido!$H:$H,DRE!$A295)+SUMIFS(Aut_Ajustes_Manuais!$G:$G,Aut_Ajustes_Manuais!$I:$I,DRE!N$4,Aut_Ajustes_Manuais!$F:$F,"Locações de Equipamentos - Operacionais")</f>
        <v>-1764</v>
      </c>
      <c r="Q295" s="241">
        <v>-2086</v>
      </c>
      <c r="R295" s="27">
        <v>-1770.3</v>
      </c>
      <c r="S295" s="28">
        <f>SUMIFS(Aut_BlueMe_Sem_Pedido!$J:$J,Aut_BlueMe_Sem_Pedido!$Q:$Q,DRE!Q$4,Aut_BlueMe_Sem_Pedido!$H:$H,DRE!$A295)+SUMIFS(Aut_Ajustes_Manuais!$G:$G,Aut_Ajustes_Manuais!$I:$I,DRE!Q$4,Aut_Ajustes_Manuais!$F:$F,"Locações de Equipamentos - Operacionais")</f>
        <v>-1764</v>
      </c>
      <c r="T295" s="241">
        <v>-2086</v>
      </c>
      <c r="U295" s="27">
        <v>-1770.3</v>
      </c>
      <c r="V295" s="28">
        <f>SUMIFS(Aut_BlueMe_Sem_Pedido!$J:$J,Aut_BlueMe_Sem_Pedido!$Q:$Q,DRE!T$4,Aut_BlueMe_Sem_Pedido!$H:$H,DRE!$A295)+SUMIFS(Aut_Ajustes_Manuais!$G:$G,Aut_Ajustes_Manuais!$I:$I,DRE!T$4,Aut_Ajustes_Manuais!$F:$F,"Locações de Equipamentos - Operacionais")</f>
        <v>-1764</v>
      </c>
      <c r="W295" s="241">
        <v>-2586</v>
      </c>
      <c r="X295" s="27">
        <v>-1770.3</v>
      </c>
      <c r="Y295" s="28">
        <f>SUMIFS(Aut_BlueMe_Sem_Pedido!$J:$J,Aut_BlueMe_Sem_Pedido!$Q:$Q,DRE!W$4,Aut_BlueMe_Sem_Pedido!$H:$H,DRE!$A295)+SUMIFS(Aut_Ajustes_Manuais!$G:$G,Aut_Ajustes_Manuais!$I:$I,DRE!W$4,Aut_Ajustes_Manuais!$F:$F,"Locações de Equipamentos - Operacionais")</f>
        <v>-1764</v>
      </c>
      <c r="Z295" s="241">
        <v>-3086</v>
      </c>
      <c r="AA295" s="27">
        <v>-1770.3</v>
      </c>
      <c r="AB295" s="28">
        <f>SUMIFS(Aut_BlueMe_Sem_Pedido!$J:$J,Aut_BlueMe_Sem_Pedido!$Q:$Q,DRE!Z$4,Aut_BlueMe_Sem_Pedido!$H:$H,DRE!$A295)+SUMIFS(Aut_Ajustes_Manuais!$G:$G,Aut_Ajustes_Manuais!$I:$I,DRE!Z$4,Aut_Ajustes_Manuais!$F:$F,"Locações de Equipamentos - Operacionais")</f>
        <v>-1764</v>
      </c>
      <c r="AC295" s="241">
        <v>-2586</v>
      </c>
      <c r="AD295" s="27">
        <v>-1770.3</v>
      </c>
      <c r="AE295" s="28">
        <f>SUMIFS(Aut_BlueMe_Sem_Pedido!$J:$J,Aut_BlueMe_Sem_Pedido!$Q:$Q,DRE!AC$4,Aut_BlueMe_Sem_Pedido!$H:$H,DRE!$A295)+SUMIFS(Aut_Ajustes_Manuais!$G:$G,Aut_Ajustes_Manuais!$I:$I,DRE!AC$4,Aut_Ajustes_Manuais!$F:$F,"Locações de Equipamentos - Operacionais")</f>
        <v>-1795</v>
      </c>
      <c r="AF295" s="241">
        <v>-2586</v>
      </c>
      <c r="AG295" s="27">
        <v>-1770.3</v>
      </c>
      <c r="AH295" s="28">
        <f>SUMIFS(Aut_BlueMe_Sem_Pedido!$J:$J,Aut_BlueMe_Sem_Pedido!$Q:$Q,DRE!AF$4,Aut_BlueMe_Sem_Pedido!$H:$H,DRE!$A295)+SUMIFS(Aut_Ajustes_Manuais!$G:$G,Aut_Ajustes_Manuais!$I:$I,DRE!AF$4,Aut_Ajustes_Manuais!$F:$F,"Locações de Equipamentos - Operacionais")</f>
        <v>-1795</v>
      </c>
      <c r="AI295" s="241">
        <v>-2586</v>
      </c>
      <c r="AJ295" s="27">
        <v>-1770.3</v>
      </c>
      <c r="AK295" s="28">
        <f>SUMIFS(Aut_BlueMe_Sem_Pedido!$J:$J,Aut_BlueMe_Sem_Pedido!$Q:$Q,DRE!AI$4,Aut_BlueMe_Sem_Pedido!$H:$H,DRE!$A295)+SUMIFS(Aut_Ajustes_Manuais!$G:$G,Aut_Ajustes_Manuais!$I:$I,DRE!AI$4,Aut_Ajustes_Manuais!$F:$F,"Locações de Equipamentos - Operacionais")</f>
        <v>-1795</v>
      </c>
      <c r="AL295" s="241">
        <v>-2386</v>
      </c>
      <c r="AM295" s="27">
        <v>-1770.3</v>
      </c>
      <c r="AN295" s="28">
        <f>SUMIFS(Aut_BlueMe_Sem_Pedido!$J:$J,Aut_BlueMe_Sem_Pedido!$Q:$Q,DRE!AL$4,Aut_BlueMe_Sem_Pedido!$H:$H,DRE!$A295)+SUMIFS(Aut_Ajustes_Manuais!$G:$G,Aut_Ajustes_Manuais!$I:$I,DRE!AL$4,Aut_Ajustes_Manuais!$F:$F,"Locações de Equipamentos - Operacionais")</f>
        <v>-1795</v>
      </c>
      <c r="AO295" s="241">
        <v>-1764</v>
      </c>
      <c r="AP295" s="27">
        <v>-1245.3</v>
      </c>
      <c r="AQ295" s="28">
        <f>SUMIFS(Aut_BlueMe_Sem_Pedido!$J:$J,Aut_BlueMe_Sem_Pedido!$Q:$Q,DRE!AO$4,Aut_BlueMe_Sem_Pedido!$H:$H,DRE!$A295)+SUMIFS(Aut_Ajustes_Manuais!$G:$G,Aut_Ajustes_Manuais!$I:$I,DRE!AO$4,Aut_Ajustes_Manuais!$F:$F,"Locações de Equipamentos - Operacionais")</f>
        <v>-500</v>
      </c>
      <c r="AR295" s="241">
        <f ca="1">SUMIFS($H295:$AO295,$H$5:$AO$5,"&lt;"&amp;MONTH(TODAY()),$H$6:$AO$6,"REAL 25")</f>
        <v>-13016</v>
      </c>
      <c r="AS295" s="27">
        <f ca="1">SUMIFS($I295:$AP295,$I$5:$AP$5,"&lt;"&amp;MONTH(TODAY()),$I$6:$AP$6,"ORÇADO ")</f>
        <v>-10621.8</v>
      </c>
      <c r="AT295" s="28">
        <f ca="1">SUMIFS($J295:$AQ295,$J$5:$AQ$5,"&lt;"&amp;MONTH(TODAY()),$J$6:$AQ$6,"REAL 26")</f>
        <v>-10584</v>
      </c>
      <c r="AU295" s="241">
        <f t="shared" ref="AU295:AW299" si="270">SUM(H295,K295,N295,Q295,T295,W295,Z295,AC295,AF295,AI295,AL295,AO295)</f>
        <v>-28010</v>
      </c>
      <c r="AV295" s="27">
        <f t="shared" si="270"/>
        <v>-20718.599999999995</v>
      </c>
      <c r="AW295" s="28">
        <f t="shared" si="270"/>
        <v>-20028</v>
      </c>
      <c r="AX295" s="241">
        <f t="shared" ref="AX295:AZ299" si="271">SUM(H295,K295,N295)</f>
        <v>-6258</v>
      </c>
      <c r="AY295" s="27">
        <f t="shared" si="271"/>
        <v>-5310.9</v>
      </c>
      <c r="AZ295" s="28">
        <f t="shared" si="271"/>
        <v>-5292</v>
      </c>
      <c r="BA295" s="241">
        <f t="shared" ref="BA295:BC299" si="272">SUM(Q295,T295,W295)</f>
        <v>-6758</v>
      </c>
      <c r="BB295" s="27">
        <f t="shared" si="272"/>
        <v>-5310.9</v>
      </c>
      <c r="BC295" s="28">
        <f t="shared" si="272"/>
        <v>-5292</v>
      </c>
      <c r="BD295" s="241">
        <f t="shared" ref="BD295:BF299" si="273">SUM(Z295,AC295,AF295)</f>
        <v>-8258</v>
      </c>
      <c r="BE295" s="27">
        <f t="shared" si="273"/>
        <v>-5310.9</v>
      </c>
      <c r="BF295" s="28">
        <f t="shared" si="273"/>
        <v>-5354</v>
      </c>
      <c r="BG295" s="241">
        <f t="shared" ref="BG295:BI299" si="274">SUM(AI295,AL295,AO295)</f>
        <v>-6736</v>
      </c>
      <c r="BH295" s="27">
        <f t="shared" si="274"/>
        <v>-4785.8999999999996</v>
      </c>
      <c r="BI295" s="28">
        <f t="shared" si="274"/>
        <v>-4090</v>
      </c>
    </row>
    <row r="296" spans="1:61" s="29" customFormat="1" hidden="1" outlineLevel="1" x14ac:dyDescent="0.3">
      <c r="A296" s="22" t="s">
        <v>320</v>
      </c>
      <c r="B296" s="23"/>
      <c r="C296" s="24" t="s">
        <v>67</v>
      </c>
      <c r="D296" s="116"/>
      <c r="E296" s="116"/>
      <c r="F296" s="56"/>
      <c r="G296" s="33"/>
      <c r="H296" s="241">
        <v>-153.4</v>
      </c>
      <c r="I296" s="27">
        <v>-144.4485</v>
      </c>
      <c r="J296" s="28">
        <f>SUMIFS(Aut_BlueMe_Sem_Pedido!$J:$J,Aut_BlueMe_Sem_Pedido!$Q:$Q,DRE!H$4,Aut_BlueMe_Sem_Pedido!$H:$H,DRE!$A296)+SUMIFS(Aut_Ajustes_Manuais!$G:$G,Aut_Ajustes_Manuais!$I:$I,DRE!H$4,Aut_Ajustes_Manuais!$F:$F,"Locação de Equipamentos - Informatica e TI")</f>
        <v>-143.81</v>
      </c>
      <c r="K296" s="241">
        <v>-174.89</v>
      </c>
      <c r="L296" s="27">
        <v>-144.4485</v>
      </c>
      <c r="M296" s="28">
        <f>SUMIFS(Aut_BlueMe_Sem_Pedido!$J:$J,Aut_BlueMe_Sem_Pedido!$Q:$Q,DRE!K$4,Aut_BlueMe_Sem_Pedido!$H:$H,DRE!$A296)+SUMIFS(Aut_Ajustes_Manuais!$G:$G,Aut_Ajustes_Manuais!$I:$I,DRE!K$4,Aut_Ajustes_Manuais!$F:$F,"Locação de Equipamentos - Informatica e TI")</f>
        <v>-272.18</v>
      </c>
      <c r="N296" s="241">
        <v>-160.61000000000001</v>
      </c>
      <c r="O296" s="27">
        <v>-144.4485</v>
      </c>
      <c r="P296" s="28">
        <f>SUMIFS(Aut_BlueMe_Sem_Pedido!$J:$J,Aut_BlueMe_Sem_Pedido!$Q:$Q,DRE!N$4,Aut_BlueMe_Sem_Pedido!$H:$H,DRE!$A296)+SUMIFS(Aut_Ajustes_Manuais!$G:$G,Aut_Ajustes_Manuais!$I:$I,DRE!N$4,Aut_Ajustes_Manuais!$F:$F,"Locação de Equipamentos - Informatica e TI")</f>
        <v>-143.08000000000001</v>
      </c>
      <c r="Q296" s="241">
        <v>-145.79</v>
      </c>
      <c r="R296" s="27">
        <v>-144.4485</v>
      </c>
      <c r="S296" s="28">
        <f>SUMIFS(Aut_BlueMe_Sem_Pedido!$J:$J,Aut_BlueMe_Sem_Pedido!$Q:$Q,DRE!Q$4,Aut_BlueMe_Sem_Pedido!$H:$H,DRE!$A296)+SUMIFS(Aut_Ajustes_Manuais!$G:$G,Aut_Ajustes_Manuais!$I:$I,DRE!Q$4,Aut_Ajustes_Manuais!$F:$F,"Locação de Equipamentos - Informatica e TI")</f>
        <v>-151.78</v>
      </c>
      <c r="T296" s="241">
        <v>-107.69</v>
      </c>
      <c r="U296" s="27">
        <v>-144.4485</v>
      </c>
      <c r="V296" s="28">
        <f>SUMIFS(Aut_BlueMe_Sem_Pedido!$J:$J,Aut_BlueMe_Sem_Pedido!$Q:$Q,DRE!T$4,Aut_BlueMe_Sem_Pedido!$H:$H,DRE!$A296)+SUMIFS(Aut_Ajustes_Manuais!$G:$G,Aut_Ajustes_Manuais!$I:$I,DRE!T$4,Aut_Ajustes_Manuais!$F:$F,"Locação de Equipamentos - Informatica e TI")</f>
        <v>-132.28</v>
      </c>
      <c r="W296" s="241">
        <v>-104.87</v>
      </c>
      <c r="X296" s="27">
        <v>-144.4485</v>
      </c>
      <c r="Y296" s="28">
        <f>SUMIFS(Aut_BlueMe_Sem_Pedido!$J:$J,Aut_BlueMe_Sem_Pedido!$Q:$Q,DRE!W$4,Aut_BlueMe_Sem_Pedido!$H:$H,DRE!$A296)+SUMIFS(Aut_Ajustes_Manuais!$G:$G,Aut_Ajustes_Manuais!$I:$I,DRE!W$4,Aut_Ajustes_Manuais!$F:$F,"Locação de Equipamentos - Informatica e TI")</f>
        <v>-200</v>
      </c>
      <c r="Z296" s="241">
        <v>-246.47</v>
      </c>
      <c r="AA296" s="27">
        <v>-144.4485</v>
      </c>
      <c r="AB296" s="28">
        <f>SUMIFS(Aut_BlueMe_Sem_Pedido!$J:$J,Aut_BlueMe_Sem_Pedido!$Q:$Q,DRE!Z$4,Aut_BlueMe_Sem_Pedido!$H:$H,DRE!$A296)+SUMIFS(Aut_Ajustes_Manuais!$G:$G,Aut_Ajustes_Manuais!$I:$I,DRE!Z$4,Aut_Ajustes_Manuais!$F:$F,"Locação de Equipamentos - Informatica e TI")</f>
        <v>-200</v>
      </c>
      <c r="AC296" s="241">
        <v>-134.15</v>
      </c>
      <c r="AD296" s="27">
        <v>-144.4485</v>
      </c>
      <c r="AE296" s="28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>-200</v>
      </c>
      <c r="AF296" s="241">
        <v>-135.83000000000001</v>
      </c>
      <c r="AG296" s="27">
        <v>-144.4485</v>
      </c>
      <c r="AH296" s="28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>-200</v>
      </c>
      <c r="AI296" s="241">
        <v>-136.19</v>
      </c>
      <c r="AJ296" s="27">
        <v>-144.4485</v>
      </c>
      <c r="AK296" s="28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>-200</v>
      </c>
      <c r="AL296" s="241">
        <v>-137.57</v>
      </c>
      <c r="AM296" s="27">
        <v>-144.4485</v>
      </c>
      <c r="AN296" s="28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>-200</v>
      </c>
      <c r="AO296" s="241">
        <v>-131.15</v>
      </c>
      <c r="AP296" s="27">
        <v>-144.4485</v>
      </c>
      <c r="AQ296" s="28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>-200</v>
      </c>
      <c r="AR296" s="241">
        <f ca="1">SUMIFS($H296:$AO296,$H$5:$AO$5,"&lt;"&amp;MONTH(TODAY()),$H$6:$AO$6,"REAL 25")</f>
        <v>-847.24999999999989</v>
      </c>
      <c r="AS296" s="27">
        <f ca="1">SUMIFS($I296:$AP296,$I$5:$AP$5,"&lt;"&amp;MONTH(TODAY()),$I$6:$AP$6,"ORÇADO ")</f>
        <v>-866.69099999999992</v>
      </c>
      <c r="AT296" s="28">
        <f ca="1">SUMIFS($J296:$AQ296,$J$5:$AQ$5,"&lt;"&amp;MONTH(TODAY()),$J$6:$AQ$6,"REAL 26")</f>
        <v>-1043.1300000000001</v>
      </c>
      <c r="AU296" s="241">
        <f t="shared" si="270"/>
        <v>-1768.61</v>
      </c>
      <c r="AV296" s="27">
        <f t="shared" si="270"/>
        <v>-1733.3819999999998</v>
      </c>
      <c r="AW296" s="28">
        <f t="shared" si="270"/>
        <v>-2243.13</v>
      </c>
      <c r="AX296" s="241">
        <f t="shared" si="271"/>
        <v>-488.9</v>
      </c>
      <c r="AY296" s="27">
        <f t="shared" si="271"/>
        <v>-433.34550000000002</v>
      </c>
      <c r="AZ296" s="28">
        <f t="shared" si="271"/>
        <v>-559.07000000000005</v>
      </c>
      <c r="BA296" s="241">
        <f t="shared" si="272"/>
        <v>-358.35</v>
      </c>
      <c r="BB296" s="27">
        <f t="shared" si="272"/>
        <v>-433.34550000000002</v>
      </c>
      <c r="BC296" s="28">
        <f t="shared" si="272"/>
        <v>-484.06</v>
      </c>
      <c r="BD296" s="241">
        <f t="shared" si="273"/>
        <v>-516.45000000000005</v>
      </c>
      <c r="BE296" s="27">
        <f t="shared" si="273"/>
        <v>-433.34550000000002</v>
      </c>
      <c r="BF296" s="28">
        <f t="shared" si="273"/>
        <v>-600</v>
      </c>
      <c r="BG296" s="241">
        <f t="shared" si="274"/>
        <v>-404.90999999999997</v>
      </c>
      <c r="BH296" s="27">
        <f t="shared" si="274"/>
        <v>-433.34550000000002</v>
      </c>
      <c r="BI296" s="28">
        <f t="shared" si="274"/>
        <v>-600</v>
      </c>
    </row>
    <row r="297" spans="1:61" s="29" customFormat="1" hidden="1" outlineLevel="1" x14ac:dyDescent="0.3">
      <c r="A297" s="22" t="s">
        <v>321</v>
      </c>
      <c r="B297" s="23"/>
      <c r="C297" s="24" t="s">
        <v>67</v>
      </c>
      <c r="D297" s="116"/>
      <c r="E297" s="116"/>
      <c r="F297" s="56"/>
      <c r="G297" s="33"/>
      <c r="H297" s="241">
        <v>-200</v>
      </c>
      <c r="I297" s="27">
        <v>-210</v>
      </c>
      <c r="J297" s="28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>-200</v>
      </c>
      <c r="K297" s="241">
        <v>-200</v>
      </c>
      <c r="L297" s="27">
        <v>-210</v>
      </c>
      <c r="M297" s="28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>-200</v>
      </c>
      <c r="N297" s="241">
        <v>-200</v>
      </c>
      <c r="O297" s="27">
        <v>-210</v>
      </c>
      <c r="P297" s="28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>-200</v>
      </c>
      <c r="Q297" s="241">
        <v>-200</v>
      </c>
      <c r="R297" s="27">
        <v>-210</v>
      </c>
      <c r="S297" s="28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>-200</v>
      </c>
      <c r="T297" s="241">
        <v>-200</v>
      </c>
      <c r="U297" s="27">
        <v>-210</v>
      </c>
      <c r="V297" s="28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>-200</v>
      </c>
      <c r="W297" s="241">
        <v>-200</v>
      </c>
      <c r="X297" s="27">
        <v>-210</v>
      </c>
      <c r="Y297" s="28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>-200</v>
      </c>
      <c r="Z297" s="241">
        <v>-200</v>
      </c>
      <c r="AA297" s="27">
        <v>-210</v>
      </c>
      <c r="AB297" s="28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>-200</v>
      </c>
      <c r="AC297" s="241">
        <v>-200</v>
      </c>
      <c r="AD297" s="27">
        <v>-210</v>
      </c>
      <c r="AE297" s="28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>-200</v>
      </c>
      <c r="AF297" s="241">
        <v>-200</v>
      </c>
      <c r="AG297" s="27">
        <v>-210</v>
      </c>
      <c r="AH297" s="28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>-200</v>
      </c>
      <c r="AI297" s="241">
        <v>-200</v>
      </c>
      <c r="AJ297" s="27">
        <v>-210</v>
      </c>
      <c r="AK297" s="28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>-200</v>
      </c>
      <c r="AL297" s="241">
        <v>-200</v>
      </c>
      <c r="AM297" s="27">
        <v>-210</v>
      </c>
      <c r="AN297" s="28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>-200</v>
      </c>
      <c r="AO297" s="241">
        <v>-200</v>
      </c>
      <c r="AP297" s="27">
        <v>-210</v>
      </c>
      <c r="AQ297" s="28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>-200</v>
      </c>
      <c r="AR297" s="241">
        <f ca="1">SUMIFS($H297:$AO297,$H$5:$AO$5,"&lt;"&amp;MONTH(TODAY()),$H$6:$AO$6,"REAL 25")</f>
        <v>-1200</v>
      </c>
      <c r="AS297" s="27">
        <f ca="1">SUMIFS($I297:$AP297,$I$5:$AP$5,"&lt;"&amp;MONTH(TODAY()),$I$6:$AP$6,"ORÇADO ")</f>
        <v>-1260</v>
      </c>
      <c r="AT297" s="28">
        <f ca="1">SUMIFS($J297:$AQ297,$J$5:$AQ$5,"&lt;"&amp;MONTH(TODAY()),$J$6:$AQ$6,"REAL 26")</f>
        <v>-1200</v>
      </c>
      <c r="AU297" s="241">
        <f t="shared" si="270"/>
        <v>-2400</v>
      </c>
      <c r="AV297" s="27">
        <f t="shared" si="270"/>
        <v>-2520</v>
      </c>
      <c r="AW297" s="28">
        <f t="shared" si="270"/>
        <v>-2400</v>
      </c>
      <c r="AX297" s="241">
        <f t="shared" si="271"/>
        <v>-600</v>
      </c>
      <c r="AY297" s="27">
        <f t="shared" si="271"/>
        <v>-630</v>
      </c>
      <c r="AZ297" s="28">
        <f t="shared" si="271"/>
        <v>-600</v>
      </c>
      <c r="BA297" s="241">
        <f t="shared" si="272"/>
        <v>-600</v>
      </c>
      <c r="BB297" s="27">
        <f t="shared" si="272"/>
        <v>-630</v>
      </c>
      <c r="BC297" s="28">
        <f t="shared" si="272"/>
        <v>-600</v>
      </c>
      <c r="BD297" s="241">
        <f t="shared" si="273"/>
        <v>-600</v>
      </c>
      <c r="BE297" s="27">
        <f t="shared" si="273"/>
        <v>-630</v>
      </c>
      <c r="BF297" s="28">
        <f t="shared" si="273"/>
        <v>-600</v>
      </c>
      <c r="BG297" s="241">
        <f t="shared" si="274"/>
        <v>-600</v>
      </c>
      <c r="BH297" s="27">
        <f t="shared" si="274"/>
        <v>-630</v>
      </c>
      <c r="BI297" s="28">
        <f t="shared" si="274"/>
        <v>-600</v>
      </c>
    </row>
    <row r="298" spans="1:61" s="29" customFormat="1" hidden="1" outlineLevel="1" x14ac:dyDescent="0.3">
      <c r="A298" s="22" t="s">
        <v>322</v>
      </c>
      <c r="B298" s="23"/>
      <c r="C298" s="24" t="s">
        <v>67</v>
      </c>
      <c r="D298" s="116"/>
      <c r="E298" s="115"/>
      <c r="F298" s="56"/>
      <c r="G298" s="33"/>
      <c r="H298" s="241">
        <v>0</v>
      </c>
      <c r="I298" s="27">
        <v>0</v>
      </c>
      <c r="J298" s="28">
        <f>SUMIFS(Aut_BlueMe_Sem_Pedido!$J:$J,Aut_BlueMe_Sem_Pedido!$Q:$Q,DRE!H$4,Aut_BlueMe_Sem_Pedido!$H:$H,DRE!$A298)+SUMIFS(Aut_Ajustes_Manuais!$G:$G,Aut_Ajustes_Manuais!$I:$I,DRE!H$4,Aut_Ajustes_Manuais!$F:$F,"Locação de Utensílios")</f>
        <v>0</v>
      </c>
      <c r="K298" s="241">
        <v>0</v>
      </c>
      <c r="L298" s="27">
        <v>0</v>
      </c>
      <c r="M298" s="28">
        <f>SUMIFS(Aut_BlueMe_Sem_Pedido!$J:$J,Aut_BlueMe_Sem_Pedido!$Q:$Q,DRE!K$4,Aut_BlueMe_Sem_Pedido!$H:$H,DRE!$A298)+SUMIFS(Aut_Ajustes_Manuais!$G:$G,Aut_Ajustes_Manuais!$I:$I,DRE!K$4,Aut_Ajustes_Manuais!$F:$F,"Locação de Utensílios")</f>
        <v>0</v>
      </c>
      <c r="N298" s="241">
        <v>0</v>
      </c>
      <c r="O298" s="27">
        <v>0</v>
      </c>
      <c r="P298" s="28">
        <f>SUMIFS(Aut_BlueMe_Sem_Pedido!$J:$J,Aut_BlueMe_Sem_Pedido!$Q:$Q,DRE!N$4,Aut_BlueMe_Sem_Pedido!$H:$H,DRE!$A298)+SUMIFS(Aut_Ajustes_Manuais!$G:$G,Aut_Ajustes_Manuais!$I:$I,DRE!N$4,Aut_Ajustes_Manuais!$F:$F,"Locação de Utensílios")</f>
        <v>0</v>
      </c>
      <c r="Q298" s="241">
        <v>0</v>
      </c>
      <c r="R298" s="27">
        <v>0</v>
      </c>
      <c r="S298" s="28">
        <f>SUMIFS(Aut_BlueMe_Sem_Pedido!$J:$J,Aut_BlueMe_Sem_Pedido!$Q:$Q,DRE!Q$4,Aut_BlueMe_Sem_Pedido!$H:$H,DRE!$A298)+SUMIFS(Aut_Ajustes_Manuais!$G:$G,Aut_Ajustes_Manuais!$I:$I,DRE!Q$4,Aut_Ajustes_Manuais!$F:$F,"Locação de Utensílios")</f>
        <v>0</v>
      </c>
      <c r="T298" s="241">
        <v>0</v>
      </c>
      <c r="U298" s="27">
        <v>0</v>
      </c>
      <c r="V298" s="28">
        <f>SUMIFS(Aut_BlueMe_Sem_Pedido!$J:$J,Aut_BlueMe_Sem_Pedido!$Q:$Q,DRE!T$4,Aut_BlueMe_Sem_Pedido!$H:$H,DRE!$A298)+SUMIFS(Aut_Ajustes_Manuais!$G:$G,Aut_Ajustes_Manuais!$I:$I,DRE!T$4,Aut_Ajustes_Manuais!$F:$F,"Locação de Utensílios")</f>
        <v>0</v>
      </c>
      <c r="W298" s="241">
        <v>0</v>
      </c>
      <c r="X298" s="27">
        <v>0</v>
      </c>
      <c r="Y298" s="28">
        <f>SUMIFS(Aut_BlueMe_Sem_Pedido!$J:$J,Aut_BlueMe_Sem_Pedido!$Q:$Q,DRE!W$4,Aut_BlueMe_Sem_Pedido!$H:$H,DRE!$A298)+SUMIFS(Aut_Ajustes_Manuais!$G:$G,Aut_Ajustes_Manuais!$I:$I,DRE!W$4,Aut_Ajustes_Manuais!$F:$F,"Locação de Utensílios")</f>
        <v>0</v>
      </c>
      <c r="Z298" s="241">
        <v>0</v>
      </c>
      <c r="AA298" s="27">
        <v>0</v>
      </c>
      <c r="AB298" s="28">
        <f>SUMIFS(Aut_BlueMe_Sem_Pedido!$J:$J,Aut_BlueMe_Sem_Pedido!$Q:$Q,DRE!Z$4,Aut_BlueMe_Sem_Pedido!$H:$H,DRE!$A298)+SUMIFS(Aut_Ajustes_Manuais!$G:$G,Aut_Ajustes_Manuais!$I:$I,DRE!Z$4,Aut_Ajustes_Manuais!$F:$F,"Locação de Utensílios")</f>
        <v>0</v>
      </c>
      <c r="AC298" s="241">
        <v>0</v>
      </c>
      <c r="AD298" s="27">
        <v>0</v>
      </c>
      <c r="AE298" s="28">
        <f>SUMIFS(Aut_BlueMe_Sem_Pedido!$J:$J,Aut_BlueMe_Sem_Pedido!$Q:$Q,DRE!AC$4,Aut_BlueMe_Sem_Pedido!$H:$H,DRE!$A298)+SUMIFS(Aut_Ajustes_Manuais!$G:$G,Aut_Ajustes_Manuais!$I:$I,DRE!AC$4,Aut_Ajustes_Manuais!$F:$F,"Locação de Utensílios")</f>
        <v>0</v>
      </c>
      <c r="AF298" s="241">
        <v>0</v>
      </c>
      <c r="AG298" s="27">
        <v>0</v>
      </c>
      <c r="AH298" s="28">
        <f>SUMIFS(Aut_BlueMe_Sem_Pedido!$J:$J,Aut_BlueMe_Sem_Pedido!$Q:$Q,DRE!AF$4,Aut_BlueMe_Sem_Pedido!$H:$H,DRE!$A298)+SUMIFS(Aut_Ajustes_Manuais!$G:$G,Aut_Ajustes_Manuais!$I:$I,DRE!AF$4,Aut_Ajustes_Manuais!$F:$F,"Locação de Utensílios")</f>
        <v>0</v>
      </c>
      <c r="AI298" s="241">
        <v>0</v>
      </c>
      <c r="AJ298" s="27">
        <v>0</v>
      </c>
      <c r="AK298" s="28">
        <f>SUMIFS(Aut_BlueMe_Sem_Pedido!$J:$J,Aut_BlueMe_Sem_Pedido!$Q:$Q,DRE!AI$4,Aut_BlueMe_Sem_Pedido!$H:$H,DRE!$A298)+SUMIFS(Aut_Ajustes_Manuais!$G:$G,Aut_Ajustes_Manuais!$I:$I,DRE!AI$4,Aut_Ajustes_Manuais!$F:$F,"Locação de Utensílios")</f>
        <v>0</v>
      </c>
      <c r="AL298" s="241">
        <v>0</v>
      </c>
      <c r="AM298" s="27">
        <v>0</v>
      </c>
      <c r="AN298" s="28">
        <f>SUMIFS(Aut_BlueMe_Sem_Pedido!$J:$J,Aut_BlueMe_Sem_Pedido!$Q:$Q,DRE!AL$4,Aut_BlueMe_Sem_Pedido!$H:$H,DRE!$A298)+SUMIFS(Aut_Ajustes_Manuais!$G:$G,Aut_Ajustes_Manuais!$I:$I,DRE!AL$4,Aut_Ajustes_Manuais!$F:$F,"Locação de Utensílios")</f>
        <v>0</v>
      </c>
      <c r="AO298" s="241">
        <v>0</v>
      </c>
      <c r="AP298" s="27">
        <v>0</v>
      </c>
      <c r="AQ298" s="28">
        <f>SUMIFS(Aut_BlueMe_Sem_Pedido!$J:$J,Aut_BlueMe_Sem_Pedido!$Q:$Q,DRE!AO$4,Aut_BlueMe_Sem_Pedido!$H:$H,DRE!$A298)+SUMIFS(Aut_Ajustes_Manuais!$G:$G,Aut_Ajustes_Manuais!$I:$I,DRE!AO$4,Aut_Ajustes_Manuais!$F:$F,"Locação de Utensílios")</f>
        <v>0</v>
      </c>
      <c r="AR298" s="241">
        <f ca="1">SUMIFS($H298:$AO298,$H$5:$AO$5,"&lt;"&amp;MONTH(TODAY()),$H$6:$AO$6,"REAL 25")</f>
        <v>0</v>
      </c>
      <c r="AS298" s="27">
        <f ca="1">SUMIFS($I298:$AP298,$I$5:$AP$5,"&lt;"&amp;MONTH(TODAY()),$I$6:$AP$6,"ORÇADO ")</f>
        <v>0</v>
      </c>
      <c r="AT298" s="28">
        <f ca="1">SUMIFS($J298:$AQ298,$J$5:$AQ$5,"&lt;"&amp;MONTH(TODAY()),$J$6:$AQ$6,"REAL 26")</f>
        <v>0</v>
      </c>
      <c r="AU298" s="241">
        <f t="shared" si="270"/>
        <v>0</v>
      </c>
      <c r="AV298" s="27">
        <f t="shared" si="270"/>
        <v>0</v>
      </c>
      <c r="AW298" s="28">
        <f t="shared" si="270"/>
        <v>0</v>
      </c>
      <c r="AX298" s="241">
        <f t="shared" si="271"/>
        <v>0</v>
      </c>
      <c r="AY298" s="27">
        <f t="shared" si="271"/>
        <v>0</v>
      </c>
      <c r="AZ298" s="28">
        <f t="shared" si="271"/>
        <v>0</v>
      </c>
      <c r="BA298" s="241">
        <f t="shared" si="272"/>
        <v>0</v>
      </c>
      <c r="BB298" s="27">
        <f t="shared" si="272"/>
        <v>0</v>
      </c>
      <c r="BC298" s="28">
        <f t="shared" si="272"/>
        <v>0</v>
      </c>
      <c r="BD298" s="241">
        <f t="shared" si="273"/>
        <v>0</v>
      </c>
      <c r="BE298" s="27">
        <f t="shared" si="273"/>
        <v>0</v>
      </c>
      <c r="BF298" s="28">
        <f t="shared" si="273"/>
        <v>0</v>
      </c>
      <c r="BG298" s="241">
        <f t="shared" si="274"/>
        <v>0</v>
      </c>
      <c r="BH298" s="27">
        <f t="shared" si="274"/>
        <v>0</v>
      </c>
      <c r="BI298" s="28">
        <f t="shared" si="274"/>
        <v>0</v>
      </c>
    </row>
    <row r="299" spans="1:61" s="29" customFormat="1" hidden="1" outlineLevel="1" x14ac:dyDescent="0.3">
      <c r="A299" s="22"/>
      <c r="B299" s="23"/>
      <c r="C299" s="24"/>
      <c r="D299" s="116"/>
      <c r="E299" s="116"/>
      <c r="F299" s="56"/>
      <c r="G299" s="33"/>
      <c r="H299" s="241"/>
      <c r="I299" s="27"/>
      <c r="J299" s="28"/>
      <c r="K299" s="241"/>
      <c r="L299" s="27"/>
      <c r="M299" s="28"/>
      <c r="N299" s="241"/>
      <c r="O299" s="27"/>
      <c r="P299" s="28"/>
      <c r="Q299" s="241"/>
      <c r="R299" s="27"/>
      <c r="S299" s="28"/>
      <c r="T299" s="241"/>
      <c r="U299" s="27"/>
      <c r="V299" s="28"/>
      <c r="W299" s="241"/>
      <c r="X299" s="27"/>
      <c r="Y299" s="28"/>
      <c r="Z299" s="241"/>
      <c r="AA299" s="27"/>
      <c r="AB299" s="28"/>
      <c r="AC299" s="241"/>
      <c r="AD299" s="27"/>
      <c r="AE299" s="28"/>
      <c r="AF299" s="241"/>
      <c r="AG299" s="27"/>
      <c r="AH299" s="28"/>
      <c r="AI299" s="241"/>
      <c r="AJ299" s="27"/>
      <c r="AK299" s="28"/>
      <c r="AL299" s="241"/>
      <c r="AM299" s="27"/>
      <c r="AN299" s="28"/>
      <c r="AO299" s="241"/>
      <c r="AP299" s="27"/>
      <c r="AQ299" s="28"/>
      <c r="AR299" s="241">
        <f ca="1">SUMIFS($H299:$AO299,$H$5:$AO$5,"&lt;"&amp;MONTH(TODAY()),$H$6:$AO$6,"REAL 25")</f>
        <v>0</v>
      </c>
      <c r="AS299" s="27">
        <f ca="1">SUMIFS($I299:$AP299,$I$5:$AP$5,"&lt;"&amp;MONTH(TODAY()),$I$6:$AP$6,"ORÇADO ")</f>
        <v>0</v>
      </c>
      <c r="AT299" s="28">
        <f ca="1">SUMIFS($J299:$AQ299,$J$5:$AQ$5,"&lt;"&amp;MONTH(TODAY()),$J$6:$AQ$6,"REAL 26")</f>
        <v>0</v>
      </c>
      <c r="AU299" s="241">
        <f t="shared" si="270"/>
        <v>0</v>
      </c>
      <c r="AV299" s="27">
        <f t="shared" si="270"/>
        <v>0</v>
      </c>
      <c r="AW299" s="28">
        <f t="shared" si="270"/>
        <v>0</v>
      </c>
      <c r="AX299" s="241">
        <f t="shared" si="271"/>
        <v>0</v>
      </c>
      <c r="AY299" s="27">
        <f t="shared" si="271"/>
        <v>0</v>
      </c>
      <c r="AZ299" s="28">
        <f t="shared" si="271"/>
        <v>0</v>
      </c>
      <c r="BA299" s="241">
        <f t="shared" si="272"/>
        <v>0</v>
      </c>
      <c r="BB299" s="27">
        <f t="shared" si="272"/>
        <v>0</v>
      </c>
      <c r="BC299" s="28">
        <f t="shared" si="272"/>
        <v>0</v>
      </c>
      <c r="BD299" s="241">
        <f t="shared" si="273"/>
        <v>0</v>
      </c>
      <c r="BE299" s="27">
        <f t="shared" si="273"/>
        <v>0</v>
      </c>
      <c r="BF299" s="28">
        <f t="shared" si="273"/>
        <v>0</v>
      </c>
      <c r="BG299" s="241">
        <f t="shared" si="274"/>
        <v>0</v>
      </c>
      <c r="BH299" s="27">
        <f t="shared" si="274"/>
        <v>0</v>
      </c>
      <c r="BI299" s="28">
        <f t="shared" si="274"/>
        <v>0</v>
      </c>
    </row>
    <row r="300" spans="1:61" collapsed="1" x14ac:dyDescent="0.3">
      <c r="A300" s="71" t="s">
        <v>44</v>
      </c>
      <c r="B300" s="59"/>
      <c r="C300" s="60"/>
      <c r="D300" s="61"/>
      <c r="E300" s="62"/>
      <c r="F300" s="63"/>
      <c r="G300" s="47"/>
      <c r="H300" s="245">
        <v>-8.015991235446494E-3</v>
      </c>
      <c r="I300" s="50">
        <v>-6.0203905502394734E-3</v>
      </c>
      <c r="J300" s="51">
        <f>IFERROR(J294/J8,0)+SUMIFS(Aut_Ajustes_Manuais!$G:$G,Aut_Ajustes_Manuais!$I:$I,DRE!H$4,Aut_Ajustes_Manuais!$F:$F,"% sobre Receita Bruta")</f>
        <v>-5.2200099431826972E-3</v>
      </c>
      <c r="K300" s="245">
        <v>-7.6818998171807162E-3</v>
      </c>
      <c r="L300" s="50">
        <v>-5.4917540172522003E-3</v>
      </c>
      <c r="M300" s="51">
        <f>IFERROR(M294/M8,0)+SUMIFS(Aut_Ajustes_Manuais!$G:$G,Aut_Ajustes_Manuais!$I:$I,DRE!K$4,Aut_Ajustes_Manuais!$F:$F,"% sobre Receita Bruta")</f>
        <v>-5.2765228757670254E-3</v>
      </c>
      <c r="N300" s="245">
        <v>-5.5845831257897438E-3</v>
      </c>
      <c r="O300" s="50">
        <v>-4.3413613816644259E-3</v>
      </c>
      <c r="P300" s="51">
        <f>IFERROR(P294/P8,0)+SUMIFS(Aut_Ajustes_Manuais!$G:$G,Aut_Ajustes_Manuais!$I:$I,DRE!N$4,Aut_Ajustes_Manuais!$F:$F,"% sobre Receita Bruta")</f>
        <v>-3.7378459868659887E-3</v>
      </c>
      <c r="Q300" s="245">
        <v>-5.8285412890141212E-3</v>
      </c>
      <c r="R300" s="50">
        <v>-4.5846846018167634E-3</v>
      </c>
      <c r="S300" s="51">
        <f>IFERROR(S294/S8,0)+SUMIFS(Aut_Ajustes_Manuais!$G:$G,Aut_Ajustes_Manuais!$I:$I,DRE!Q$4,Aut_Ajustes_Manuais!$F:$F,"% sobre Receita Bruta")</f>
        <v>-4.7291750546912415E-3</v>
      </c>
      <c r="T300" s="245">
        <v>-5.7291430688866931E-3</v>
      </c>
      <c r="U300" s="50">
        <v>-4.6302434346156872E-3</v>
      </c>
      <c r="V300" s="51">
        <f>IFERROR(V294/V8,0)+SUMIFS(Aut_Ajustes_Manuais!$G:$G,Aut_Ajustes_Manuais!$I:$I,DRE!T$4,Aut_Ajustes_Manuais!$F:$F,"% sobre Receita Bruta")</f>
        <v>-4.5459410949015401E-3</v>
      </c>
      <c r="W300" s="245">
        <v>-7.0884501322640197E-3</v>
      </c>
      <c r="X300" s="50">
        <v>-4.9811357096224158E-3</v>
      </c>
      <c r="Y300" s="51">
        <f>IFERROR(Y294/Y8,0)+SUMIFS(Aut_Ajustes_Manuais!$G:$G,Aut_Ajustes_Manuais!$I:$I,DRE!W$4,Aut_Ajustes_Manuais!$F:$F,"% sobre Receita Bruta")</f>
        <v>-4.6020609194198916E-3</v>
      </c>
      <c r="Z300" s="245">
        <v>-7.0802540230314936E-3</v>
      </c>
      <c r="AA300" s="50">
        <v>-3.8089643659874389E-3</v>
      </c>
      <c r="AB300" s="51">
        <f>IFERROR(AB294/AB8,0)+SUMIFS(Aut_Ajustes_Manuais!$G:$G,Aut_Ajustes_Manuais!$I:$I,DRE!Z$4,Aut_Ajustes_Manuais!$F:$F,"% sobre Receita Bruta")</f>
        <v>-1.4325715261315545E-2</v>
      </c>
      <c r="AC300" s="245">
        <v>-6.1299956242056482E-3</v>
      </c>
      <c r="AD300" s="50">
        <v>-4.0261630852510468E-3</v>
      </c>
      <c r="AE300" s="51">
        <f>IFERROR(AE294/AE8,0)+SUMIFS(Aut_Ajustes_Manuais!$G:$G,Aut_Ajustes_Manuais!$I:$I,DRE!AC$4,Aut_Ajustes_Manuais!$F:$F,"% sobre Receita Bruta")</f>
        <v>-0.67746913580246915</v>
      </c>
      <c r="AF300" s="245">
        <v>-7.0801465670765028E-3</v>
      </c>
      <c r="AG300" s="50">
        <v>-4.5208201126808317E-3</v>
      </c>
      <c r="AH300" s="51">
        <f>IFERROR(AH294/AH8,0)+SUMIFS(Aut_Ajustes_Manuais!$G:$G,Aut_Ajustes_Manuais!$I:$I,DRE!AF$4,Aut_Ajustes_Manuais!$F:$F,"% sobre Receita Bruta")</f>
        <v>0</v>
      </c>
      <c r="AI300" s="245">
        <v>-6.9549329891031957E-3</v>
      </c>
      <c r="AJ300" s="50">
        <v>-4.3777314961523728E-3</v>
      </c>
      <c r="AK300" s="51">
        <f>IFERROR(AK294/AK8,0)+SUMIFS(Aut_Ajustes_Manuais!$G:$G,Aut_Ajustes_Manuais!$I:$I,DRE!AI$4,Aut_Ajustes_Manuais!$F:$F,"% sobre Receita Bruta")</f>
        <v>0</v>
      </c>
      <c r="AL300" s="245">
        <v>-5.8597722718873061E-3</v>
      </c>
      <c r="AM300" s="50">
        <v>-4.1366788916040583E-3</v>
      </c>
      <c r="AN300" s="51">
        <f>IFERROR(AN294/AN8,0)+SUMIFS(Aut_Ajustes_Manuais!$G:$G,Aut_Ajustes_Manuais!$I:$I,DRE!AL$4,Aut_Ajustes_Manuais!$F:$F,"% sobre Receita Bruta")</f>
        <v>-0.54601990049751248</v>
      </c>
      <c r="AO300" s="245">
        <v>-2.6674548696720749E-3</v>
      </c>
      <c r="AP300" s="50">
        <v>-2.438754311484076E-3</v>
      </c>
      <c r="AQ300" s="51">
        <f>IFERROR(AQ294/AQ8,0)+SUMIFS(Aut_Ajustes_Manuais!$G:$G,Aut_Ajustes_Manuais!$I:$I,DRE!AO$4,Aut_Ajustes_Manuais!$F:$F,"% sobre Receita Bruta")</f>
        <v>0</v>
      </c>
      <c r="AR300" s="245">
        <f t="shared" ref="AR300:BI300" ca="1" si="275">IFERROR(AR294/AR8,0)</f>
        <v>-6.5332603096133679E-3</v>
      </c>
      <c r="AS300" s="50">
        <f t="shared" ca="1" si="275"/>
        <v>-4.9448559296829623E-3</v>
      </c>
      <c r="AT300" s="51">
        <f t="shared" ca="1" si="275"/>
        <v>-4.6306451204852269E-3</v>
      </c>
      <c r="AU300" s="245">
        <f t="shared" si="275"/>
        <v>-5.9990010579279605E-3</v>
      </c>
      <c r="AV300" s="50">
        <f t="shared" si="275"/>
        <v>-4.313958262726977E-3</v>
      </c>
      <c r="AW300" s="51">
        <f t="shared" si="275"/>
        <v>-8.4248691689185091E-3</v>
      </c>
      <c r="AX300" s="245">
        <f t="shared" si="275"/>
        <v>-6.9129949494648197E-3</v>
      </c>
      <c r="AY300" s="50">
        <f t="shared" si="275"/>
        <v>-5.1855039845302726E-3</v>
      </c>
      <c r="AZ300" s="51">
        <f t="shared" si="275"/>
        <v>-4.6366966573567654E-3</v>
      </c>
      <c r="BA300" s="245">
        <f t="shared" si="275"/>
        <v>-6.2085497926441637E-3</v>
      </c>
      <c r="BB300" s="50">
        <f t="shared" si="275"/>
        <v>-4.7255531986973966E-3</v>
      </c>
      <c r="BC300" s="51">
        <f t="shared" si="275"/>
        <v>-4.6245384462491983E-3</v>
      </c>
      <c r="BD300" s="245">
        <f t="shared" si="275"/>
        <v>-6.754079793597623E-3</v>
      </c>
      <c r="BE300" s="50">
        <f t="shared" si="275"/>
        <v>-4.0977292501690084E-3</v>
      </c>
      <c r="BF300" s="51">
        <f t="shared" si="275"/>
        <v>-4.2476514291947161E-2</v>
      </c>
      <c r="BG300" s="245">
        <f t="shared" si="275"/>
        <v>-4.6341628060367016E-3</v>
      </c>
      <c r="BH300" s="50">
        <f t="shared" si="275"/>
        <v>-3.5343735675404516E-3</v>
      </c>
      <c r="BI300" s="51">
        <f t="shared" si="275"/>
        <v>-1.3159203980099503</v>
      </c>
    </row>
    <row r="301" spans="1:61" x14ac:dyDescent="0.3">
      <c r="A301" s="18"/>
      <c r="E301" s="16"/>
      <c r="F301" s="17"/>
      <c r="G301" s="47"/>
      <c r="H301" s="256"/>
      <c r="I301" s="232"/>
      <c r="J301" s="85"/>
      <c r="K301" s="256"/>
      <c r="L301" s="232"/>
      <c r="M301" s="85"/>
      <c r="N301" s="256"/>
      <c r="O301" s="232"/>
      <c r="P301" s="85"/>
      <c r="Q301" s="256"/>
      <c r="R301" s="232"/>
      <c r="S301" s="85"/>
      <c r="T301" s="256"/>
      <c r="U301" s="232"/>
      <c r="V301" s="85"/>
      <c r="W301" s="256"/>
      <c r="X301" s="232"/>
      <c r="Y301" s="85"/>
      <c r="Z301" s="256"/>
      <c r="AA301" s="232"/>
      <c r="AB301" s="85"/>
      <c r="AC301" s="256"/>
      <c r="AD301" s="232"/>
      <c r="AE301" s="85"/>
      <c r="AF301" s="256"/>
      <c r="AG301" s="232"/>
      <c r="AH301" s="85"/>
      <c r="AI301" s="256"/>
      <c r="AJ301" s="232"/>
      <c r="AK301" s="85"/>
      <c r="AL301" s="256"/>
      <c r="AM301" s="232"/>
      <c r="AN301" s="85"/>
      <c r="AO301" s="256"/>
      <c r="AP301" s="232"/>
      <c r="AQ301" s="85"/>
      <c r="AR301" s="256"/>
      <c r="AS301" s="232"/>
      <c r="AT301" s="85"/>
      <c r="AU301" s="256"/>
      <c r="AV301" s="232"/>
      <c r="AW301" s="85"/>
      <c r="AX301" s="256"/>
      <c r="AY301" s="232"/>
      <c r="AZ301" s="85"/>
      <c r="BA301" s="256"/>
      <c r="BB301" s="232"/>
      <c r="BC301" s="85"/>
      <c r="BD301" s="256"/>
      <c r="BE301" s="232"/>
      <c r="BF301" s="85"/>
      <c r="BG301" s="256"/>
      <c r="BH301" s="232"/>
      <c r="BI301" s="85"/>
    </row>
    <row r="302" spans="1:61" x14ac:dyDescent="0.3">
      <c r="A302" s="39" t="s">
        <v>323</v>
      </c>
      <c r="C302" s="40" t="s">
        <v>35</v>
      </c>
      <c r="D302" s="40" t="s">
        <v>36</v>
      </c>
      <c r="E302" s="40" t="s">
        <v>202</v>
      </c>
      <c r="F302" s="41"/>
      <c r="G302" s="47"/>
      <c r="H302" s="244">
        <v>-15215.834999999999</v>
      </c>
      <c r="I302" s="42">
        <v>-17646.267981032259</v>
      </c>
      <c r="J302" s="43">
        <f>SUM(J303:J305)+SUMIFS(Aut_Ajustes_Manuais!$G:$G,Aut_Ajustes_Manuais!$I:$I,DRE!H$4,Aut_Ajustes_Manuais!$F:$F,"Sistema de Franquias")</f>
        <v>-20189.712500000005</v>
      </c>
      <c r="K302" s="244">
        <v>-16017.457</v>
      </c>
      <c r="L302" s="42">
        <v>-19344.89867285714</v>
      </c>
      <c r="M302" s="43">
        <f>SUM(M303:M305)+SUMIFS(Aut_Ajustes_Manuais!$G:$G,Aut_Ajustes_Manuais!$I:$I,DRE!K$4,Aut_Ajustes_Manuais!$F:$F,"Sistema de Franquias")</f>
        <v>-21189.901500000004</v>
      </c>
      <c r="N302" s="244">
        <v>-21905.037</v>
      </c>
      <c r="O302" s="42">
        <v>-24470.993234677419</v>
      </c>
      <c r="P302" s="43">
        <f>SUM(P303:P305)+SUMIFS(Aut_Ajustes_Manuais!$G:$G,Aut_Ajustes_Manuais!$I:$I,DRE!N$4,Aut_Ajustes_Manuais!$F:$F,"Sistema de Franquias")</f>
        <v>-28185.751999999997</v>
      </c>
      <c r="Q302" s="244">
        <v>-20861.051500000009</v>
      </c>
      <c r="R302" s="42">
        <v>-23172.2428535</v>
      </c>
      <c r="S302" s="43">
        <f>SUM(S303:S305)+SUMIFS(Aut_Ajustes_Manuais!$G:$G,Aut_Ajustes_Manuais!$I:$I,DRE!Q$4,Aut_Ajustes_Manuais!$F:$F,"Sistema de Franquias")</f>
        <v>-22369.440500000004</v>
      </c>
      <c r="T302" s="244">
        <v>-20890.4715</v>
      </c>
      <c r="U302" s="42">
        <v>-22944.24180935484</v>
      </c>
      <c r="V302" s="43">
        <f>SUM(V303:V305)+SUMIFS(Aut_Ajustes_Manuais!$G:$G,Aut_Ajustes_Manuais!$I:$I,DRE!T$4,Aut_Ajustes_Manuais!$F:$F,"Sistema de Franquias")</f>
        <v>-23056.612000000001</v>
      </c>
      <c r="W302" s="244">
        <v>-20391.411</v>
      </c>
      <c r="X302" s="42">
        <v>-21327.952337209681</v>
      </c>
      <c r="Y302" s="43">
        <f>SUM(Y303:Y305)+SUMIFS(Aut_Ajustes_Manuais!$G:$G,Aut_Ajustes_Manuais!$I:$I,DRE!W$4,Aut_Ajustes_Manuais!$F:$F,"Sistema de Franquias")</f>
        <v>-23511.2055</v>
      </c>
      <c r="Z302" s="244">
        <v>-24945.927</v>
      </c>
      <c r="AA302" s="42">
        <v>-27891.420027096759</v>
      </c>
      <c r="AB302" s="43">
        <f>SUM(AB303:AB305)+SUMIFS(Aut_Ajustes_Manuais!$G:$G,Aut_Ajustes_Manuais!$I:$I,DRE!Z$4,Aut_Ajustes_Manuais!$F:$F,"Sistema de Franquias")</f>
        <v>-7552.8515000000007</v>
      </c>
      <c r="AC302" s="244">
        <v>-23818.532500000001</v>
      </c>
      <c r="AD302" s="42">
        <v>-26386.766445000001</v>
      </c>
      <c r="AE302" s="43">
        <f>SUM(AE303:AE305)+SUMIFS(Aut_Ajustes_Manuais!$G:$G,Aut_Ajustes_Manuais!$I:$I,DRE!AC$4,Aut_Ajustes_Manuais!$F:$F,"Sistema de Franquias")</f>
        <v>-162</v>
      </c>
      <c r="AF302" s="244">
        <v>-20633.965499999998</v>
      </c>
      <c r="AG302" s="42">
        <v>-23499.591302473109</v>
      </c>
      <c r="AH302" s="43">
        <f>SUM(AH303:AH305)+SUMIFS(Aut_Ajustes_Manuais!$G:$G,Aut_Ajustes_Manuais!$I:$I,DRE!AF$4,Aut_Ajustes_Manuais!$F:$F,"Sistema de Franquias")</f>
        <v>0</v>
      </c>
      <c r="AI302" s="244">
        <v>-21008.038499999999</v>
      </c>
      <c r="AJ302" s="42">
        <v>-24267.688663266119</v>
      </c>
      <c r="AK302" s="43">
        <f>SUM(AK303:AK305)+SUMIFS(Aut_Ajustes_Manuais!$G:$G,Aut_Ajustes_Manuais!$I:$I,DRE!AI$4,Aut_Ajustes_Manuais!$F:$F,"Sistema de Franquias")</f>
        <v>0</v>
      </c>
      <c r="AL302" s="244">
        <v>-23239.555</v>
      </c>
      <c r="AM302" s="42">
        <v>-25681.81572314521</v>
      </c>
      <c r="AN302" s="43">
        <f>SUM(AN303:AN305)+SUMIFS(Aut_Ajustes_Manuais!$G:$G,Aut_Ajustes_Manuais!$I:$I,DRE!AL$4,Aut_Ajustes_Manuais!$F:$F,"Sistema de Franquias")</f>
        <v>-201</v>
      </c>
      <c r="AO302" s="244">
        <v>-39272.454500000007</v>
      </c>
      <c r="AP302" s="42">
        <v>-32798.476100417247</v>
      </c>
      <c r="AQ302" s="43">
        <f>SUM(AQ303:AQ305)+SUMIFS(Aut_Ajustes_Manuais!$G:$G,Aut_Ajustes_Manuais!$I:$I,DRE!AO$4,Aut_Ajustes_Manuais!$F:$F,"Sistema de Franquias")</f>
        <v>0</v>
      </c>
      <c r="AR302" s="244">
        <f t="shared" ref="AR302:BI302" ca="1" si="276">SUM(AR303:AR305)</f>
        <v>-115281.26300000001</v>
      </c>
      <c r="AS302" s="42">
        <f t="shared" ca="1" si="276"/>
        <v>-128906.59688863135</v>
      </c>
      <c r="AT302" s="43">
        <f t="shared" ca="1" si="276"/>
        <v>-138502.62400000001</v>
      </c>
      <c r="AU302" s="244">
        <f t="shared" si="276"/>
        <v>-268199.73599999998</v>
      </c>
      <c r="AV302" s="42">
        <f t="shared" si="276"/>
        <v>-289432.35515002982</v>
      </c>
      <c r="AW302" s="43">
        <f t="shared" si="276"/>
        <v>-146418.4755</v>
      </c>
      <c r="AX302" s="244">
        <f t="shared" si="276"/>
        <v>-53138.328999999998</v>
      </c>
      <c r="AY302" s="42">
        <f t="shared" si="276"/>
        <v>-61462.159888566821</v>
      </c>
      <c r="AZ302" s="43">
        <f t="shared" si="276"/>
        <v>-69565.366000000009</v>
      </c>
      <c r="BA302" s="244">
        <f t="shared" si="276"/>
        <v>-62142.934000000008</v>
      </c>
      <c r="BB302" s="42">
        <f t="shared" si="276"/>
        <v>-67444.437000064529</v>
      </c>
      <c r="BC302" s="43">
        <f t="shared" si="276"/>
        <v>-68937.258000000002</v>
      </c>
      <c r="BD302" s="244">
        <f t="shared" si="276"/>
        <v>-69398.424999999988</v>
      </c>
      <c r="BE302" s="42">
        <f t="shared" si="276"/>
        <v>-77777.77777456987</v>
      </c>
      <c r="BF302" s="43">
        <f t="shared" si="276"/>
        <v>-7714.8515000000007</v>
      </c>
      <c r="BG302" s="244">
        <f t="shared" si="276"/>
        <v>-83520.04800000001</v>
      </c>
      <c r="BH302" s="42">
        <f t="shared" si="276"/>
        <v>-82747.980486828572</v>
      </c>
      <c r="BI302" s="43">
        <f t="shared" si="276"/>
        <v>-201</v>
      </c>
    </row>
    <row r="303" spans="1:61" s="29" customFormat="1" hidden="1" outlineLevel="1" x14ac:dyDescent="0.3">
      <c r="A303" s="22" t="s">
        <v>324</v>
      </c>
      <c r="B303" s="23"/>
      <c r="C303" s="24" t="s">
        <v>60</v>
      </c>
      <c r="D303" s="25"/>
      <c r="E303" s="124"/>
      <c r="F303" s="56"/>
      <c r="G303" s="33"/>
      <c r="H303" s="241">
        <v>0</v>
      </c>
      <c r="I303" s="27">
        <v>0</v>
      </c>
      <c r="J303" s="28">
        <f>SUMIFS(Aut_BlueMe_Sem_Pedido!$J:$J,Aut_BlueMe_Sem_Pedido!$Q:$Q,DRE!H$4,Aut_BlueMe_Sem_Pedido!$H:$H,DRE!$A303)+SUMIFS(Aut_Ajustes_Manuais!$G:$G,Aut_Ajustes_Manuais!$I:$I,DRE!H$4,Aut_Ajustes_Manuais!$F:$F,"Royalties")</f>
        <v>0</v>
      </c>
      <c r="K303" s="241">
        <v>0</v>
      </c>
      <c r="L303" s="27">
        <v>0</v>
      </c>
      <c r="M303" s="28">
        <f>SUMIFS(Aut_BlueMe_Sem_Pedido!$J:$J,Aut_BlueMe_Sem_Pedido!$Q:$Q,DRE!K$4,Aut_BlueMe_Sem_Pedido!$H:$H,DRE!$A303)+SUMIFS(Aut_Ajustes_Manuais!$G:$G,Aut_Ajustes_Manuais!$I:$I,DRE!K$4,Aut_Ajustes_Manuais!$F:$F,"Royalties")</f>
        <v>0</v>
      </c>
      <c r="N303" s="241">
        <v>0</v>
      </c>
      <c r="O303" s="27">
        <v>0</v>
      </c>
      <c r="P303" s="28">
        <f>SUMIFS(Aut_BlueMe_Sem_Pedido!$J:$J,Aut_BlueMe_Sem_Pedido!$Q:$Q,DRE!N$4,Aut_BlueMe_Sem_Pedido!$H:$H,DRE!$A303)+SUMIFS(Aut_Ajustes_Manuais!$G:$G,Aut_Ajustes_Manuais!$I:$I,DRE!N$4,Aut_Ajustes_Manuais!$F:$F,"Royalties")</f>
        <v>0</v>
      </c>
      <c r="Q303" s="241">
        <v>0</v>
      </c>
      <c r="R303" s="27">
        <v>0</v>
      </c>
      <c r="S303" s="28">
        <f>SUMIFS(Aut_BlueMe_Sem_Pedido!$J:$J,Aut_BlueMe_Sem_Pedido!$Q:$Q,DRE!Q$4,Aut_BlueMe_Sem_Pedido!$H:$H,DRE!$A303)+SUMIFS(Aut_Ajustes_Manuais!$G:$G,Aut_Ajustes_Manuais!$I:$I,DRE!Q$4,Aut_Ajustes_Manuais!$F:$F,"Royalties")</f>
        <v>0</v>
      </c>
      <c r="T303" s="241">
        <v>0</v>
      </c>
      <c r="U303" s="27">
        <v>0</v>
      </c>
      <c r="V303" s="28">
        <f>SUMIFS(Aut_BlueMe_Sem_Pedido!$J:$J,Aut_BlueMe_Sem_Pedido!$Q:$Q,DRE!T$4,Aut_BlueMe_Sem_Pedido!$H:$H,DRE!$A303)+SUMIFS(Aut_Ajustes_Manuais!$G:$G,Aut_Ajustes_Manuais!$I:$I,DRE!T$4,Aut_Ajustes_Manuais!$F:$F,"Royalties")</f>
        <v>0</v>
      </c>
      <c r="W303" s="241">
        <v>0</v>
      </c>
      <c r="X303" s="27">
        <v>0</v>
      </c>
      <c r="Y303" s="28">
        <f>SUMIFS(Aut_BlueMe_Sem_Pedido!$J:$J,Aut_BlueMe_Sem_Pedido!$Q:$Q,DRE!W$4,Aut_BlueMe_Sem_Pedido!$H:$H,DRE!$A303)+SUMIFS(Aut_Ajustes_Manuais!$G:$G,Aut_Ajustes_Manuais!$I:$I,DRE!W$4,Aut_Ajustes_Manuais!$F:$F,"Royalties")</f>
        <v>0</v>
      </c>
      <c r="Z303" s="241">
        <v>0</v>
      </c>
      <c r="AA303" s="27">
        <v>0</v>
      </c>
      <c r="AB303" s="28">
        <f>SUMIFS(Aut_BlueMe_Sem_Pedido!$J:$J,Aut_BlueMe_Sem_Pedido!$Q:$Q,DRE!Z$4,Aut_BlueMe_Sem_Pedido!$H:$H,DRE!$A303)+SUMIFS(Aut_Ajustes_Manuais!$G:$G,Aut_Ajustes_Manuais!$I:$I,DRE!Z$4,Aut_Ajustes_Manuais!$F:$F,"Royalties")</f>
        <v>0</v>
      </c>
      <c r="AC303" s="241">
        <v>0</v>
      </c>
      <c r="AD303" s="27">
        <v>0</v>
      </c>
      <c r="AE303" s="28">
        <f>SUMIFS(Aut_BlueMe_Sem_Pedido!$J:$J,Aut_BlueMe_Sem_Pedido!$Q:$Q,DRE!AC$4,Aut_BlueMe_Sem_Pedido!$H:$H,DRE!$A303)+SUMIFS(Aut_Ajustes_Manuais!$G:$G,Aut_Ajustes_Manuais!$I:$I,DRE!AC$4,Aut_Ajustes_Manuais!$F:$F,"Royalties")</f>
        <v>0</v>
      </c>
      <c r="AF303" s="241">
        <v>0</v>
      </c>
      <c r="AG303" s="27">
        <v>0</v>
      </c>
      <c r="AH303" s="28">
        <f>SUMIFS(Aut_BlueMe_Sem_Pedido!$J:$J,Aut_BlueMe_Sem_Pedido!$Q:$Q,DRE!AF$4,Aut_BlueMe_Sem_Pedido!$H:$H,DRE!$A303)+SUMIFS(Aut_Ajustes_Manuais!$G:$G,Aut_Ajustes_Manuais!$I:$I,DRE!AF$4,Aut_Ajustes_Manuais!$F:$F,"Royalties")</f>
        <v>0</v>
      </c>
      <c r="AI303" s="241">
        <v>0</v>
      </c>
      <c r="AJ303" s="27">
        <v>0</v>
      </c>
      <c r="AK303" s="28">
        <f>SUMIFS(Aut_BlueMe_Sem_Pedido!$J:$J,Aut_BlueMe_Sem_Pedido!$Q:$Q,DRE!AI$4,Aut_BlueMe_Sem_Pedido!$H:$H,DRE!$A303)+SUMIFS(Aut_Ajustes_Manuais!$G:$G,Aut_Ajustes_Manuais!$I:$I,DRE!AI$4,Aut_Ajustes_Manuais!$F:$F,"Royalties")</f>
        <v>0</v>
      </c>
      <c r="AL303" s="241">
        <v>0</v>
      </c>
      <c r="AM303" s="27">
        <v>0</v>
      </c>
      <c r="AN303" s="28">
        <f>SUMIFS(Aut_BlueMe_Sem_Pedido!$J:$J,Aut_BlueMe_Sem_Pedido!$Q:$Q,DRE!AL$4,Aut_BlueMe_Sem_Pedido!$H:$H,DRE!$A303)+SUMIFS(Aut_Ajustes_Manuais!$G:$G,Aut_Ajustes_Manuais!$I:$I,DRE!AL$4,Aut_Ajustes_Manuais!$F:$F,"Royalties")</f>
        <v>0</v>
      </c>
      <c r="AO303" s="241">
        <v>0</v>
      </c>
      <c r="AP303" s="27">
        <v>0</v>
      </c>
      <c r="AQ303" s="28">
        <f>SUMIFS(Aut_BlueMe_Sem_Pedido!$J:$J,Aut_BlueMe_Sem_Pedido!$Q:$Q,DRE!AO$4,Aut_BlueMe_Sem_Pedido!$H:$H,DRE!$A303)+SUMIFS(Aut_Ajustes_Manuais!$G:$G,Aut_Ajustes_Manuais!$I:$I,DRE!AO$4,Aut_Ajustes_Manuais!$F:$F,"Royalties")</f>
        <v>0</v>
      </c>
      <c r="AR303" s="241">
        <f ca="1">SUMIFS($H303:$AO303,$H$5:$AO$5,"&lt;"&amp;MONTH(TODAY()),$H$6:$AO$6,"REAL 25")</f>
        <v>0</v>
      </c>
      <c r="AS303" s="27">
        <f ca="1">SUMIFS($I303:$AP303,$I$5:$AP$5,"&lt;"&amp;MONTH(TODAY()),$I$6:$AP$6,"ORÇADO ")</f>
        <v>0</v>
      </c>
      <c r="AT303" s="28">
        <f ca="1">SUMIFS($J303:$AQ303,$J$5:$AQ$5,"&lt;"&amp;MONTH(TODAY()),$J$6:$AQ$6,"REAL 26")</f>
        <v>0</v>
      </c>
      <c r="AU303" s="241">
        <f t="shared" ref="AU303:AW305" si="277">SUM(H303,K303,N303,Q303,T303,W303,Z303,AC303,AF303,AI303,AL303,AO303)</f>
        <v>0</v>
      </c>
      <c r="AV303" s="27">
        <f t="shared" si="277"/>
        <v>0</v>
      </c>
      <c r="AW303" s="28">
        <f t="shared" si="277"/>
        <v>0</v>
      </c>
      <c r="AX303" s="241">
        <f t="shared" ref="AX303:AZ305" si="278">SUM(H303,K303,N303)</f>
        <v>0</v>
      </c>
      <c r="AY303" s="27">
        <f t="shared" si="278"/>
        <v>0</v>
      </c>
      <c r="AZ303" s="28">
        <f t="shared" si="278"/>
        <v>0</v>
      </c>
      <c r="BA303" s="241">
        <f t="shared" ref="BA303:BC305" si="279">SUM(Q303,T303,W303)</f>
        <v>0</v>
      </c>
      <c r="BB303" s="27">
        <f t="shared" si="279"/>
        <v>0</v>
      </c>
      <c r="BC303" s="28">
        <f t="shared" si="279"/>
        <v>0</v>
      </c>
      <c r="BD303" s="241">
        <f t="shared" ref="BD303:BF305" si="280">SUM(Z303,AC303,AF303)</f>
        <v>0</v>
      </c>
      <c r="BE303" s="27">
        <f t="shared" si="280"/>
        <v>0</v>
      </c>
      <c r="BF303" s="28">
        <f t="shared" si="280"/>
        <v>0</v>
      </c>
      <c r="BG303" s="241">
        <f t="shared" ref="BG303:BI305" si="281">SUM(AI303,AL303,AO303)</f>
        <v>0</v>
      </c>
      <c r="BH303" s="27">
        <f t="shared" si="281"/>
        <v>0</v>
      </c>
      <c r="BI303" s="28">
        <f t="shared" si="281"/>
        <v>0</v>
      </c>
    </row>
    <row r="304" spans="1:61" s="29" customFormat="1" hidden="1" outlineLevel="1" x14ac:dyDescent="0.3">
      <c r="A304" s="22" t="s">
        <v>325</v>
      </c>
      <c r="B304" s="23"/>
      <c r="C304" s="24" t="s">
        <v>60</v>
      </c>
      <c r="D304" s="25"/>
      <c r="E304" s="124"/>
      <c r="F304" s="56"/>
      <c r="G304" s="33"/>
      <c r="H304" s="241">
        <v>0</v>
      </c>
      <c r="I304" s="27">
        <v>0</v>
      </c>
      <c r="J304" s="28">
        <f>SUMIFS(Aut_BlueMe_Sem_Pedido!$J:$J,Aut_BlueMe_Sem_Pedido!$Q:$Q,DRE!H$4,Aut_BlueMe_Sem_Pedido!$H:$H,DRE!$A304)+SUMIFS(Aut_Ajustes_Manuais!$G:$G,Aut_Ajustes_Manuais!$I:$I,DRE!H$4,Aut_Ajustes_Manuais!$F:$F,"Fundo de Propaganda")</f>
        <v>0</v>
      </c>
      <c r="K304" s="241">
        <v>0</v>
      </c>
      <c r="L304" s="27">
        <v>0</v>
      </c>
      <c r="M304" s="28">
        <f>SUMIFS(Aut_BlueMe_Sem_Pedido!$J:$J,Aut_BlueMe_Sem_Pedido!$Q:$Q,DRE!K$4,Aut_BlueMe_Sem_Pedido!$H:$H,DRE!$A304)+SUMIFS(Aut_Ajustes_Manuais!$G:$G,Aut_Ajustes_Manuais!$I:$I,DRE!K$4,Aut_Ajustes_Manuais!$F:$F,"Fundo de Propaganda")</f>
        <v>0</v>
      </c>
      <c r="N304" s="241">
        <v>0</v>
      </c>
      <c r="O304" s="27">
        <v>0</v>
      </c>
      <c r="P304" s="28">
        <f>SUMIFS(Aut_BlueMe_Sem_Pedido!$J:$J,Aut_BlueMe_Sem_Pedido!$Q:$Q,DRE!N$4,Aut_BlueMe_Sem_Pedido!$H:$H,DRE!$A304)+SUMIFS(Aut_Ajustes_Manuais!$G:$G,Aut_Ajustes_Manuais!$I:$I,DRE!N$4,Aut_Ajustes_Manuais!$F:$F,"Fundo de Propaganda")</f>
        <v>0</v>
      </c>
      <c r="Q304" s="241">
        <v>0</v>
      </c>
      <c r="R304" s="27">
        <v>0</v>
      </c>
      <c r="S304" s="28">
        <f>SUMIFS(Aut_BlueMe_Sem_Pedido!$J:$J,Aut_BlueMe_Sem_Pedido!$Q:$Q,DRE!Q$4,Aut_BlueMe_Sem_Pedido!$H:$H,DRE!$A304)+SUMIFS(Aut_Ajustes_Manuais!$G:$G,Aut_Ajustes_Manuais!$I:$I,DRE!Q$4,Aut_Ajustes_Manuais!$F:$F,"Fundo de Propaganda")</f>
        <v>0</v>
      </c>
      <c r="T304" s="241">
        <v>0</v>
      </c>
      <c r="U304" s="27">
        <v>0</v>
      </c>
      <c r="V304" s="28">
        <f>SUMIFS(Aut_BlueMe_Sem_Pedido!$J:$J,Aut_BlueMe_Sem_Pedido!$Q:$Q,DRE!T$4,Aut_BlueMe_Sem_Pedido!$H:$H,DRE!$A304)+SUMIFS(Aut_Ajustes_Manuais!$G:$G,Aut_Ajustes_Manuais!$I:$I,DRE!T$4,Aut_Ajustes_Manuais!$F:$F,"Fundo de Propaganda")</f>
        <v>0</v>
      </c>
      <c r="W304" s="241">
        <v>0</v>
      </c>
      <c r="X304" s="27">
        <v>0</v>
      </c>
      <c r="Y304" s="28">
        <f>SUMIFS(Aut_BlueMe_Sem_Pedido!$J:$J,Aut_BlueMe_Sem_Pedido!$Q:$Q,DRE!W$4,Aut_BlueMe_Sem_Pedido!$H:$H,DRE!$A304)+SUMIFS(Aut_Ajustes_Manuais!$G:$G,Aut_Ajustes_Manuais!$I:$I,DRE!W$4,Aut_Ajustes_Manuais!$F:$F,"Fundo de Propaganda")</f>
        <v>0</v>
      </c>
      <c r="Z304" s="241">
        <v>0</v>
      </c>
      <c r="AA304" s="27">
        <v>0</v>
      </c>
      <c r="AB304" s="28">
        <f>SUMIFS(Aut_BlueMe_Sem_Pedido!$J:$J,Aut_BlueMe_Sem_Pedido!$Q:$Q,DRE!Z$4,Aut_BlueMe_Sem_Pedido!$H:$H,DRE!$A304)+SUMIFS(Aut_Ajustes_Manuais!$G:$G,Aut_Ajustes_Manuais!$I:$I,DRE!Z$4,Aut_Ajustes_Manuais!$F:$F,"Fundo de Propaganda")</f>
        <v>0</v>
      </c>
      <c r="AC304" s="241">
        <v>0</v>
      </c>
      <c r="AD304" s="27">
        <v>0</v>
      </c>
      <c r="AE304" s="28">
        <f>SUMIFS(Aut_BlueMe_Sem_Pedido!$J:$J,Aut_BlueMe_Sem_Pedido!$Q:$Q,DRE!AC$4,Aut_BlueMe_Sem_Pedido!$H:$H,DRE!$A304)+SUMIFS(Aut_Ajustes_Manuais!$G:$G,Aut_Ajustes_Manuais!$I:$I,DRE!AC$4,Aut_Ajustes_Manuais!$F:$F,"Fundo de Propaganda")</f>
        <v>0</v>
      </c>
      <c r="AF304" s="241">
        <v>0</v>
      </c>
      <c r="AG304" s="27">
        <v>0</v>
      </c>
      <c r="AH304" s="28">
        <f>SUMIFS(Aut_BlueMe_Sem_Pedido!$J:$J,Aut_BlueMe_Sem_Pedido!$Q:$Q,DRE!AF$4,Aut_BlueMe_Sem_Pedido!$H:$H,DRE!$A304)+SUMIFS(Aut_Ajustes_Manuais!$G:$G,Aut_Ajustes_Manuais!$I:$I,DRE!AF$4,Aut_Ajustes_Manuais!$F:$F,"Fundo de Propaganda")</f>
        <v>0</v>
      </c>
      <c r="AI304" s="241">
        <v>0</v>
      </c>
      <c r="AJ304" s="27">
        <v>0</v>
      </c>
      <c r="AK304" s="28">
        <f>SUMIFS(Aut_BlueMe_Sem_Pedido!$J:$J,Aut_BlueMe_Sem_Pedido!$Q:$Q,DRE!AI$4,Aut_BlueMe_Sem_Pedido!$H:$H,DRE!$A304)+SUMIFS(Aut_Ajustes_Manuais!$G:$G,Aut_Ajustes_Manuais!$I:$I,DRE!AI$4,Aut_Ajustes_Manuais!$F:$F,"Fundo de Propaganda")</f>
        <v>0</v>
      </c>
      <c r="AL304" s="241">
        <v>0</v>
      </c>
      <c r="AM304" s="27">
        <v>0</v>
      </c>
      <c r="AN304" s="28">
        <f>SUMIFS(Aut_BlueMe_Sem_Pedido!$J:$J,Aut_BlueMe_Sem_Pedido!$Q:$Q,DRE!AL$4,Aut_BlueMe_Sem_Pedido!$H:$H,DRE!$A304)+SUMIFS(Aut_Ajustes_Manuais!$G:$G,Aut_Ajustes_Manuais!$I:$I,DRE!AL$4,Aut_Ajustes_Manuais!$F:$F,"Fundo de Propaganda")</f>
        <v>0</v>
      </c>
      <c r="AO304" s="241">
        <v>0</v>
      </c>
      <c r="AP304" s="27">
        <v>0</v>
      </c>
      <c r="AQ304" s="28">
        <f>SUMIFS(Aut_BlueMe_Sem_Pedido!$J:$J,Aut_BlueMe_Sem_Pedido!$Q:$Q,DRE!AO$4,Aut_BlueMe_Sem_Pedido!$H:$H,DRE!$A304)+SUMIFS(Aut_Ajustes_Manuais!$G:$G,Aut_Ajustes_Manuais!$I:$I,DRE!AO$4,Aut_Ajustes_Manuais!$F:$F,"Fundo de Propaganda")</f>
        <v>0</v>
      </c>
      <c r="AR304" s="241">
        <f ca="1">SUMIFS($H304:$AO304,$H$5:$AO$5,"&lt;"&amp;MONTH(TODAY()),$H$6:$AO$6,"REAL 25")</f>
        <v>0</v>
      </c>
      <c r="AS304" s="27">
        <f ca="1">SUMIFS($I304:$AP304,$I$5:$AP$5,"&lt;"&amp;MONTH(TODAY()),$I$6:$AP$6,"ORÇADO ")</f>
        <v>0</v>
      </c>
      <c r="AT304" s="28">
        <f ca="1">SUMIFS($J304:$AQ304,$J$5:$AQ$5,"&lt;"&amp;MONTH(TODAY()),$J$6:$AQ$6,"REAL 26")</f>
        <v>0</v>
      </c>
      <c r="AU304" s="241">
        <f t="shared" si="277"/>
        <v>0</v>
      </c>
      <c r="AV304" s="27">
        <f t="shared" si="277"/>
        <v>0</v>
      </c>
      <c r="AW304" s="28">
        <f t="shared" si="277"/>
        <v>0</v>
      </c>
      <c r="AX304" s="241">
        <f t="shared" si="278"/>
        <v>0</v>
      </c>
      <c r="AY304" s="27">
        <f t="shared" si="278"/>
        <v>0</v>
      </c>
      <c r="AZ304" s="28">
        <f t="shared" si="278"/>
        <v>0</v>
      </c>
      <c r="BA304" s="241">
        <f t="shared" si="279"/>
        <v>0</v>
      </c>
      <c r="BB304" s="27">
        <f t="shared" si="279"/>
        <v>0</v>
      </c>
      <c r="BC304" s="28">
        <f t="shared" si="279"/>
        <v>0</v>
      </c>
      <c r="BD304" s="241">
        <f t="shared" si="280"/>
        <v>0</v>
      </c>
      <c r="BE304" s="27">
        <f t="shared" si="280"/>
        <v>0</v>
      </c>
      <c r="BF304" s="28">
        <f t="shared" si="280"/>
        <v>0</v>
      </c>
      <c r="BG304" s="241">
        <f t="shared" si="281"/>
        <v>0</v>
      </c>
      <c r="BH304" s="27">
        <f t="shared" si="281"/>
        <v>0</v>
      </c>
      <c r="BI304" s="28">
        <f t="shared" si="281"/>
        <v>0</v>
      </c>
    </row>
    <row r="305" spans="1:61" s="29" customFormat="1" hidden="1" outlineLevel="1" x14ac:dyDescent="0.3">
      <c r="A305" s="22" t="s">
        <v>326</v>
      </c>
      <c r="B305" s="23"/>
      <c r="C305" s="24" t="s">
        <v>327</v>
      </c>
      <c r="D305" s="25">
        <v>-20000</v>
      </c>
      <c r="E305" s="124">
        <v>0</v>
      </c>
      <c r="F305" s="56"/>
      <c r="G305" s="33"/>
      <c r="H305" s="241">
        <v>-15215.834999999999</v>
      </c>
      <c r="I305" s="27">
        <v>-17646.267981032259</v>
      </c>
      <c r="J305" s="28">
        <f>-5%*J8+SUMIFS(Aut_Ajustes_Manuais!$G:$G,Aut_Ajustes_Manuais!$I:$I,DRE!H$4,Aut_Ajustes_Manuais!$F:$F,"Fee Gestão FB")</f>
        <v>-20189.712500000005</v>
      </c>
      <c r="K305" s="241">
        <v>-16017.457</v>
      </c>
      <c r="L305" s="27">
        <v>-19344.89867285714</v>
      </c>
      <c r="M305" s="28">
        <f>-5%*M8+SUMIFS(Aut_Ajustes_Manuais!$G:$G,Aut_Ajustes_Manuais!$I:$I,DRE!K$4,Aut_Ajustes_Manuais!$F:$F,"Fee Gestão FB")</f>
        <v>-21189.901500000004</v>
      </c>
      <c r="N305" s="241">
        <v>-21905.037</v>
      </c>
      <c r="O305" s="27">
        <v>-24470.993234677419</v>
      </c>
      <c r="P305" s="28">
        <f>-5%*P8+SUMIFS(Aut_Ajustes_Manuais!$G:$G,Aut_Ajustes_Manuais!$I:$I,DRE!N$4,Aut_Ajustes_Manuais!$F:$F,"Fee Gestão FB")</f>
        <v>-28185.751999999997</v>
      </c>
      <c r="Q305" s="241">
        <v>-20861.051500000009</v>
      </c>
      <c r="R305" s="27">
        <v>-23172.2428535</v>
      </c>
      <c r="S305" s="28">
        <f>-5%*S8+SUMIFS(Aut_Ajustes_Manuais!$G:$G,Aut_Ajustes_Manuais!$I:$I,DRE!Q$4,Aut_Ajustes_Manuais!$F:$F,"Fee Gestão FB")</f>
        <v>-22369.440500000004</v>
      </c>
      <c r="T305" s="241">
        <v>-20890.4715</v>
      </c>
      <c r="U305" s="27">
        <v>-22944.24180935484</v>
      </c>
      <c r="V305" s="28">
        <f>-5%*V8+SUMIFS(Aut_Ajustes_Manuais!$G:$G,Aut_Ajustes_Manuais!$I:$I,DRE!T$4,Aut_Ajustes_Manuais!$F:$F,"Fee Gestão FB")</f>
        <v>-23056.612000000001</v>
      </c>
      <c r="W305" s="241">
        <v>-20391.411</v>
      </c>
      <c r="X305" s="27">
        <v>-21327.952337209681</v>
      </c>
      <c r="Y305" s="28">
        <f>-5%*Y8+SUMIFS(Aut_Ajustes_Manuais!$G:$G,Aut_Ajustes_Manuais!$I:$I,DRE!W$4,Aut_Ajustes_Manuais!$F:$F,"Fee Gestão FB")</f>
        <v>-23511.2055</v>
      </c>
      <c r="Z305" s="241">
        <v>-24945.927</v>
      </c>
      <c r="AA305" s="27">
        <v>-27891.420027096759</v>
      </c>
      <c r="AB305" s="28">
        <f>-5%*AB8+SUMIFS(Aut_Ajustes_Manuais!$G:$G,Aut_Ajustes_Manuais!$I:$I,DRE!Z$4,Aut_Ajustes_Manuais!$F:$F,"Fee Gestão FB")</f>
        <v>-7552.8515000000007</v>
      </c>
      <c r="AC305" s="241">
        <v>-23818.532500000001</v>
      </c>
      <c r="AD305" s="27">
        <v>-26386.766445000001</v>
      </c>
      <c r="AE305" s="28">
        <f>-5%*AE8+SUMIFS(Aut_Ajustes_Manuais!$G:$G,Aut_Ajustes_Manuais!$I:$I,DRE!AC$4,Aut_Ajustes_Manuais!$F:$F,"Fee Gestão FB")</f>
        <v>-162</v>
      </c>
      <c r="AF305" s="241">
        <v>-20633.965499999998</v>
      </c>
      <c r="AG305" s="27">
        <v>-23499.591302473109</v>
      </c>
      <c r="AH305" s="28">
        <f>-5%*AH8+SUMIFS(Aut_Ajustes_Manuais!$G:$G,Aut_Ajustes_Manuais!$I:$I,DRE!AF$4,Aut_Ajustes_Manuais!$F:$F,"Fee Gestão FB")</f>
        <v>0</v>
      </c>
      <c r="AI305" s="241">
        <v>-21008.038499999999</v>
      </c>
      <c r="AJ305" s="27">
        <v>-24267.688663266119</v>
      </c>
      <c r="AK305" s="28">
        <f>-5%*AK8+SUMIFS(Aut_Ajustes_Manuais!$G:$G,Aut_Ajustes_Manuais!$I:$I,DRE!AI$4,Aut_Ajustes_Manuais!$F:$F,"Fee Gestão FB")</f>
        <v>0</v>
      </c>
      <c r="AL305" s="241">
        <v>-23239.555</v>
      </c>
      <c r="AM305" s="27">
        <v>-25681.81572314521</v>
      </c>
      <c r="AN305" s="28">
        <f>-5%*AN8+SUMIFS(Aut_Ajustes_Manuais!$G:$G,Aut_Ajustes_Manuais!$I:$I,DRE!AL$4,Aut_Ajustes_Manuais!$F:$F,"Fee Gestão FB")</f>
        <v>-201</v>
      </c>
      <c r="AO305" s="241">
        <v>-39272.454500000007</v>
      </c>
      <c r="AP305" s="27">
        <v>-32798.476100417247</v>
      </c>
      <c r="AQ305" s="28">
        <f>-5%*AQ8+SUMIFS(Aut_Ajustes_Manuais!$G:$G,Aut_Ajustes_Manuais!$I:$I,DRE!AO$4,Aut_Ajustes_Manuais!$F:$F,"Fee Gestão FB")</f>
        <v>0</v>
      </c>
      <c r="AR305" s="241">
        <f ca="1">SUMIFS($H305:$AO305,$H$5:$AO$5,"&lt;"&amp;MONTH(TODAY()),$H$6:$AO$6,"REAL 25")</f>
        <v>-115281.26300000001</v>
      </c>
      <c r="AS305" s="27">
        <f ca="1">SUMIFS($I305:$AP305,$I$5:$AP$5,"&lt;"&amp;MONTH(TODAY()),$I$6:$AP$6,"ORÇADO ")</f>
        <v>-128906.59688863135</v>
      </c>
      <c r="AT305" s="28">
        <f ca="1">SUMIFS($J305:$AQ305,$J$5:$AQ$5,"&lt;"&amp;MONTH(TODAY()),$J$6:$AQ$6,"REAL 26")</f>
        <v>-138502.62400000001</v>
      </c>
      <c r="AU305" s="241">
        <f t="shared" si="277"/>
        <v>-268199.73599999998</v>
      </c>
      <c r="AV305" s="27">
        <f t="shared" si="277"/>
        <v>-289432.35515002982</v>
      </c>
      <c r="AW305" s="28">
        <f t="shared" si="277"/>
        <v>-146418.4755</v>
      </c>
      <c r="AX305" s="241">
        <f t="shared" si="278"/>
        <v>-53138.328999999998</v>
      </c>
      <c r="AY305" s="27">
        <f t="shared" si="278"/>
        <v>-61462.159888566821</v>
      </c>
      <c r="AZ305" s="28">
        <f t="shared" si="278"/>
        <v>-69565.366000000009</v>
      </c>
      <c r="BA305" s="241">
        <f t="shared" si="279"/>
        <v>-62142.934000000008</v>
      </c>
      <c r="BB305" s="27">
        <f t="shared" si="279"/>
        <v>-67444.437000064529</v>
      </c>
      <c r="BC305" s="28">
        <f t="shared" si="279"/>
        <v>-68937.258000000002</v>
      </c>
      <c r="BD305" s="241">
        <f t="shared" si="280"/>
        <v>-69398.424999999988</v>
      </c>
      <c r="BE305" s="27">
        <f t="shared" si="280"/>
        <v>-77777.77777456987</v>
      </c>
      <c r="BF305" s="28">
        <f t="shared" si="280"/>
        <v>-7714.8515000000007</v>
      </c>
      <c r="BG305" s="241">
        <f t="shared" si="281"/>
        <v>-83520.04800000001</v>
      </c>
      <c r="BH305" s="27">
        <f t="shared" si="281"/>
        <v>-82747.980486828572</v>
      </c>
      <c r="BI305" s="28">
        <f t="shared" si="281"/>
        <v>-201</v>
      </c>
    </row>
    <row r="306" spans="1:61" collapsed="1" x14ac:dyDescent="0.3">
      <c r="A306" s="71" t="s">
        <v>44</v>
      </c>
      <c r="B306" s="59"/>
      <c r="C306" s="60"/>
      <c r="D306" s="61"/>
      <c r="E306" s="62"/>
      <c r="F306" s="63"/>
      <c r="G306" s="47"/>
      <c r="H306" s="245">
        <v>-0.05</v>
      </c>
      <c r="I306" s="50">
        <v>-0.05</v>
      </c>
      <c r="J306" s="51">
        <f>IFERROR(J302/J8,0)+SUMIFS(Aut_Ajustes_Manuais!$G:$G,Aut_Ajustes_Manuais!$I:$I,DRE!H$4,Aut_Ajustes_Manuais!$F:$F,"% sobre Receita Bruta")</f>
        <v>-0.05</v>
      </c>
      <c r="K306" s="245">
        <v>-0.05</v>
      </c>
      <c r="L306" s="50">
        <v>-0.05</v>
      </c>
      <c r="M306" s="51">
        <f>IFERROR(M302/M8,0)+SUMIFS(Aut_Ajustes_Manuais!$G:$G,Aut_Ajustes_Manuais!$I:$I,DRE!K$4,Aut_Ajustes_Manuais!$F:$F,"% sobre Receita Bruta")</f>
        <v>-0.05</v>
      </c>
      <c r="N306" s="245">
        <v>-0.05</v>
      </c>
      <c r="O306" s="50">
        <v>-0.05</v>
      </c>
      <c r="P306" s="51">
        <f>IFERROR(P302/P8,0)+SUMIFS(Aut_Ajustes_Manuais!$G:$G,Aut_Ajustes_Manuais!$I:$I,DRE!N$4,Aut_Ajustes_Manuais!$F:$F,"% sobre Receita Bruta")</f>
        <v>-0.05</v>
      </c>
      <c r="Q306" s="245">
        <v>-0.05</v>
      </c>
      <c r="R306" s="50">
        <v>-0.05</v>
      </c>
      <c r="S306" s="51">
        <f>IFERROR(S302/S8,0)+SUMIFS(Aut_Ajustes_Manuais!$G:$G,Aut_Ajustes_Manuais!$I:$I,DRE!Q$4,Aut_Ajustes_Manuais!$F:$F,"% sobre Receita Bruta")</f>
        <v>-0.05</v>
      </c>
      <c r="T306" s="245">
        <v>-0.05</v>
      </c>
      <c r="U306" s="50">
        <v>-0.05</v>
      </c>
      <c r="V306" s="51">
        <f>IFERROR(V302/V8,0)+SUMIFS(Aut_Ajustes_Manuais!$G:$G,Aut_Ajustes_Manuais!$I:$I,DRE!T$4,Aut_Ajustes_Manuais!$F:$F,"% sobre Receita Bruta")</f>
        <v>-0.05</v>
      </c>
      <c r="W306" s="245">
        <v>-0.05</v>
      </c>
      <c r="X306" s="50">
        <v>-0.05</v>
      </c>
      <c r="Y306" s="51">
        <f>IFERROR(Y302/Y8,0)+SUMIFS(Aut_Ajustes_Manuais!$G:$G,Aut_Ajustes_Manuais!$I:$I,DRE!W$4,Aut_Ajustes_Manuais!$F:$F,"% sobre Receita Bruta")</f>
        <v>-0.05</v>
      </c>
      <c r="Z306" s="245">
        <v>-0.05</v>
      </c>
      <c r="AA306" s="50">
        <v>-0.05</v>
      </c>
      <c r="AB306" s="51">
        <f>IFERROR(AB302/AB8,0)+SUMIFS(Aut_Ajustes_Manuais!$G:$G,Aut_Ajustes_Manuais!$I:$I,DRE!Z$4,Aut_Ajustes_Manuais!$F:$F,"% sobre Receita Bruta")</f>
        <v>-0.05</v>
      </c>
      <c r="AC306" s="245">
        <v>-0.05</v>
      </c>
      <c r="AD306" s="50">
        <v>-0.05</v>
      </c>
      <c r="AE306" s="51">
        <f>IFERROR(AE302/AE8,0)+SUMIFS(Aut_Ajustes_Manuais!$G:$G,Aut_Ajustes_Manuais!$I:$I,DRE!AC$4,Aut_Ajustes_Manuais!$F:$F,"% sobre Receita Bruta")</f>
        <v>-0.05</v>
      </c>
      <c r="AF306" s="245">
        <v>-0.05</v>
      </c>
      <c r="AG306" s="50">
        <v>-0.05</v>
      </c>
      <c r="AH306" s="51">
        <f>IFERROR(AH302/AH8,0)+SUMIFS(Aut_Ajustes_Manuais!$G:$G,Aut_Ajustes_Manuais!$I:$I,DRE!AF$4,Aut_Ajustes_Manuais!$F:$F,"% sobre Receita Bruta")</f>
        <v>0</v>
      </c>
      <c r="AI306" s="245">
        <v>-0.05</v>
      </c>
      <c r="AJ306" s="50">
        <v>-0.05</v>
      </c>
      <c r="AK306" s="51">
        <f>IFERROR(AK302/AK8,0)+SUMIFS(Aut_Ajustes_Manuais!$G:$G,Aut_Ajustes_Manuais!$I:$I,DRE!AI$4,Aut_Ajustes_Manuais!$F:$F,"% sobre Receita Bruta")</f>
        <v>0</v>
      </c>
      <c r="AL306" s="245">
        <v>-0.05</v>
      </c>
      <c r="AM306" s="50">
        <v>-0.05</v>
      </c>
      <c r="AN306" s="51">
        <f>IFERROR(AN302/AN8,0)+SUMIFS(Aut_Ajustes_Manuais!$G:$G,Aut_Ajustes_Manuais!$I:$I,DRE!AL$4,Aut_Ajustes_Manuais!$F:$F,"% sobre Receita Bruta")</f>
        <v>-0.05</v>
      </c>
      <c r="AO306" s="245">
        <v>-0.05</v>
      </c>
      <c r="AP306" s="50">
        <v>-5.000000000000001E-2</v>
      </c>
      <c r="AQ306" s="51">
        <f>IFERROR(AQ302/AQ8,0)+SUMIFS(Aut_Ajustes_Manuais!$G:$G,Aut_Ajustes_Manuais!$I:$I,DRE!AO$4,Aut_Ajustes_Manuais!$F:$F,"% sobre Receita Bruta")</f>
        <v>0</v>
      </c>
      <c r="AR306" s="245">
        <f t="shared" ref="AR306:BI306" ca="1" si="282">IFERROR(AR302/AR8,0)</f>
        <v>-5.000000000000001E-2</v>
      </c>
      <c r="AS306" s="50">
        <f t="shared" ca="1" si="282"/>
        <v>-0.05</v>
      </c>
      <c r="AT306" s="51">
        <f t="shared" ca="1" si="282"/>
        <v>-0.05</v>
      </c>
      <c r="AU306" s="245">
        <f t="shared" si="282"/>
        <v>-4.9999999999999989E-2</v>
      </c>
      <c r="AV306" s="50">
        <f t="shared" si="282"/>
        <v>-5.000000000000001E-2</v>
      </c>
      <c r="AW306" s="51">
        <f t="shared" si="282"/>
        <v>-0.05</v>
      </c>
      <c r="AX306" s="245">
        <f t="shared" si="282"/>
        <v>-4.9999999999999996E-2</v>
      </c>
      <c r="AY306" s="50">
        <f t="shared" si="282"/>
        <v>-4.9999999999999989E-2</v>
      </c>
      <c r="AZ306" s="51">
        <f t="shared" si="282"/>
        <v>-0.05</v>
      </c>
      <c r="BA306" s="245">
        <f t="shared" si="282"/>
        <v>-0.05</v>
      </c>
      <c r="BB306" s="50">
        <f t="shared" si="282"/>
        <v>-0.05</v>
      </c>
      <c r="BC306" s="51">
        <f t="shared" si="282"/>
        <v>-5.000000000000001E-2</v>
      </c>
      <c r="BD306" s="245">
        <f t="shared" si="282"/>
        <v>-0.05</v>
      </c>
      <c r="BE306" s="50">
        <f t="shared" si="282"/>
        <v>-4.9999999999999996E-2</v>
      </c>
      <c r="BF306" s="51">
        <f t="shared" si="282"/>
        <v>-0.05</v>
      </c>
      <c r="BG306" s="245">
        <f t="shared" si="282"/>
        <v>-5.000000000000001E-2</v>
      </c>
      <c r="BH306" s="50">
        <f t="shared" si="282"/>
        <v>-4.9999999999999996E-2</v>
      </c>
      <c r="BI306" s="51">
        <f t="shared" si="282"/>
        <v>-0.05</v>
      </c>
    </row>
    <row r="307" spans="1:61" x14ac:dyDescent="0.3">
      <c r="A307" s="18"/>
      <c r="E307" s="16"/>
      <c r="F307" s="17"/>
      <c r="G307" s="47"/>
      <c r="H307" s="247"/>
      <c r="I307" s="17"/>
      <c r="J307" s="57"/>
      <c r="K307" s="247"/>
      <c r="L307" s="17"/>
      <c r="M307" s="57"/>
      <c r="N307" s="247"/>
      <c r="O307" s="17"/>
      <c r="P307" s="57"/>
      <c r="Q307" s="247"/>
      <c r="R307" s="17"/>
      <c r="S307" s="57"/>
      <c r="T307" s="247"/>
      <c r="U307" s="17"/>
      <c r="V307" s="57"/>
      <c r="W307" s="247"/>
      <c r="X307" s="17"/>
      <c r="Y307" s="57"/>
      <c r="Z307" s="247"/>
      <c r="AA307" s="17"/>
      <c r="AB307" s="57"/>
      <c r="AC307" s="247"/>
      <c r="AD307" s="17"/>
      <c r="AE307" s="57"/>
      <c r="AF307" s="247"/>
      <c r="AG307" s="17"/>
      <c r="AH307" s="57"/>
      <c r="AI307" s="247"/>
      <c r="AJ307" s="17"/>
      <c r="AK307" s="57"/>
      <c r="AL307" s="247"/>
      <c r="AM307" s="17"/>
      <c r="AN307" s="57"/>
      <c r="AO307" s="247"/>
      <c r="AP307" s="17"/>
      <c r="AQ307" s="57"/>
      <c r="AR307" s="247"/>
      <c r="AS307" s="17"/>
      <c r="AT307" s="57"/>
      <c r="AU307" s="247"/>
      <c r="AV307" s="17"/>
      <c r="AW307" s="57"/>
      <c r="AX307" s="247"/>
      <c r="AY307" s="17"/>
      <c r="AZ307" s="57"/>
      <c r="BA307" s="247"/>
      <c r="BB307" s="17"/>
      <c r="BC307" s="57"/>
      <c r="BD307" s="247"/>
      <c r="BE307" s="17"/>
      <c r="BF307" s="57"/>
      <c r="BG307" s="247"/>
      <c r="BH307" s="17"/>
      <c r="BI307" s="57"/>
    </row>
    <row r="308" spans="1:61" x14ac:dyDescent="0.3">
      <c r="A308" s="39" t="s">
        <v>328</v>
      </c>
      <c r="B308" s="59"/>
      <c r="C308" s="60"/>
      <c r="D308" s="125"/>
      <c r="E308" s="62"/>
      <c r="F308" s="63"/>
      <c r="G308" s="47"/>
      <c r="H308" s="244">
        <v>-261775.7132006122</v>
      </c>
      <c r="I308" s="42">
        <v>-252645.6937697441</v>
      </c>
      <c r="J308" s="43">
        <f>SUM(J302,J294,J280,J266,J255,J243,J226,J216,,J106)+SUMIFS(Aut_Ajustes_Manuais!$G:$G,Aut_Ajustes_Manuais!$I:$I,DRE!H$4,Aut_Ajustes_Manuais!$F:$F,"TOTAL - DESPESAS OPERATIVAS")</f>
        <v>-253699.7940684073</v>
      </c>
      <c r="K308" s="244">
        <v>-254445.6223798506</v>
      </c>
      <c r="L308" s="42">
        <v>-255810.13787514219</v>
      </c>
      <c r="M308" s="43">
        <f>SUM(M302,M294,M280,M266,M255,M243,M226,M216,,M106)+SUMIFS(Aut_Ajustes_Manuais!$G:$G,Aut_Ajustes_Manuais!$I:$I,DRE!K$4,Aut_Ajustes_Manuais!$F:$F,"TOTAL - DESPESAS OPERATIVAS")</f>
        <v>-247728.97439896927</v>
      </c>
      <c r="N308" s="244">
        <v>-270019.05932176119</v>
      </c>
      <c r="O308" s="42">
        <v>-267819.03089685051</v>
      </c>
      <c r="P308" s="43">
        <f>SUM(P302,P294,P280,P266,P255,P243,P226,P216,,P106)+SUMIFS(Aut_Ajustes_Manuais!$G:$G,Aut_Ajustes_Manuais!$I:$I,DRE!N$4,Aut_Ajustes_Manuais!$F:$F,"TOTAL - DESPESAS OPERATIVAS")</f>
        <v>-264321.19094783161</v>
      </c>
      <c r="Q308" s="244">
        <v>-244268.1303653823</v>
      </c>
      <c r="R308" s="42">
        <v>-265076.30604029348</v>
      </c>
      <c r="S308" s="43">
        <f>SUM(S302,S294,S280,S266,S255,S243,S226,S216,,S106)+SUMIFS(Aut_Ajustes_Manuais!$G:$G,Aut_Ajustes_Manuais!$I:$I,DRE!Q$4,Aut_Ajustes_Manuais!$F:$F,"TOTAL - DESPESAS OPERATIVAS")</f>
        <v>-261202.78138792084</v>
      </c>
      <c r="T308" s="244">
        <v>-269819.85130767192</v>
      </c>
      <c r="U308" s="42">
        <v>-266272.06533626188</v>
      </c>
      <c r="V308" s="43">
        <f>SUM(V302,V294,V280,V266,V255,V243,V226,V216,,V106)+SUMIFS(Aut_Ajustes_Manuais!$G:$G,Aut_Ajustes_Manuais!$I:$I,DRE!T$4,Aut_Ajustes_Manuais!$F:$F,"TOTAL - DESPESAS OPERATIVAS")</f>
        <v>-276049.59054806334</v>
      </c>
      <c r="W308" s="244">
        <v>-251680.11385927381</v>
      </c>
      <c r="X308" s="42">
        <v>-263384.34480548702</v>
      </c>
      <c r="Y308" s="43">
        <f>SUM(Y302,Y294,Y280,Y266,Y255,Y243,Y226,Y216,,Y106)+SUMIFS(Aut_Ajustes_Manuais!$G:$G,Aut_Ajustes_Manuais!$I:$I,DRE!W$4,Aut_Ajustes_Manuais!$F:$F,"TOTAL - DESPESAS OPERATIVAS")</f>
        <v>-255264.48035326507</v>
      </c>
      <c r="Z308" s="244">
        <v>-279008.29353700078</v>
      </c>
      <c r="AA308" s="42">
        <v>-275979.58420998621</v>
      </c>
      <c r="AB308" s="43">
        <f>SUM(AB302,AB294,AB280,AB266,AB255,AB243,AB226,AB216,,AB106)+SUMIFS(Aut_Ajustes_Manuais!$G:$G,Aut_Ajustes_Manuais!$I:$I,DRE!Z$4,Aut_Ajustes_Manuais!$F:$F,"TOTAL - DESPESAS OPERATIVAS")</f>
        <v>-293261.85635200003</v>
      </c>
      <c r="AC308" s="244">
        <v>-275257.1157922722</v>
      </c>
      <c r="AD308" s="42">
        <v>-273503.91067723569</v>
      </c>
      <c r="AE308" s="43">
        <f>SUM(AE302,AE294,AE280,AE266,AE255,AE243,AE226,AE216,,AE106)+SUMIFS(Aut_Ajustes_Manuais!$G:$G,Aut_Ajustes_Manuais!$I:$I,DRE!AC$4,Aut_Ajustes_Manuais!$F:$F,"TOTAL - DESPESAS OPERATIVAS")</f>
        <v>-277435.084852</v>
      </c>
      <c r="AF308" s="244">
        <v>-277952.37196031841</v>
      </c>
      <c r="AG308" s="42">
        <v>-267625.00672442012</v>
      </c>
      <c r="AH308" s="43">
        <f>SUM(AH302,AH294,AH280,AH266,AH255,AH243,AH226,AH216,,AH106)+SUMIFS(Aut_Ajustes_Manuais!$G:$G,Aut_Ajustes_Manuais!$I:$I,DRE!AF$4,Aut_Ajustes_Manuais!$F:$F,"TOTAL - DESPESAS OPERATIVAS")</f>
        <v>-241273.08485199997</v>
      </c>
      <c r="AI308" s="244">
        <v>-273799.65606868028</v>
      </c>
      <c r="AJ308" s="42">
        <v>-269054.44376020902</v>
      </c>
      <c r="AK308" s="43">
        <f>SUM(AK302,AK294,AK280,AK266,AK255,AK243,AK226,AK216,,AK106)+SUMIFS(Aut_Ajustes_Manuais!$G:$G,Aut_Ajustes_Manuais!$I:$I,DRE!AI$4,Aut_Ajustes_Manuais!$F:$F,"TOTAL - DESPESAS OPERATIVAS")</f>
        <v>-233393.79485200002</v>
      </c>
      <c r="AL308" s="244">
        <v>-277019.22250933439</v>
      </c>
      <c r="AM308" s="42">
        <v>-270246.0140509996</v>
      </c>
      <c r="AN308" s="43">
        <f>SUM(AN302,AN294,AN280,AN266,AN255,AN243,AN226,AN216,,AN106)+SUMIFS(Aut_Ajustes_Manuais!$G:$G,Aut_Ajustes_Manuais!$I:$I,DRE!AL$4,Aut_Ajustes_Manuais!$F:$F,"TOTAL - DESPESAS OPERATIVAS")</f>
        <v>-233594.79485200002</v>
      </c>
      <c r="AO308" s="244">
        <v>-307530.27103634161</v>
      </c>
      <c r="AP308" s="42">
        <v>-283399.10185769881</v>
      </c>
      <c r="AQ308" s="43">
        <f>SUM(AQ302,AQ294,AQ280,AQ266,AQ255,AQ243,AQ226,AQ216,,AQ106)+SUMIFS(Aut_Ajustes_Manuais!$G:$G,Aut_Ajustes_Manuais!$I:$I,DRE!AO$4,Aut_Ajustes_Manuais!$F:$F,"TOTAL - DESPESAS OPERATIVAS")</f>
        <v>-236512.82485199999</v>
      </c>
      <c r="AR308" s="244">
        <f t="shared" ref="AR308:BI308" ca="1" si="283">SUM(AR302,AR294,AR280,AR266,AR255,AR243,AR226,AR216,,AR106)</f>
        <v>-1552008.4904345521</v>
      </c>
      <c r="AS308" s="42">
        <f t="shared" ca="1" si="283"/>
        <v>-1571007.5787237789</v>
      </c>
      <c r="AT308" s="43">
        <f t="shared" ca="1" si="283"/>
        <v>-1558266.8117044573</v>
      </c>
      <c r="AU308" s="244">
        <f t="shared" si="283"/>
        <v>-3242575.4213384995</v>
      </c>
      <c r="AV308" s="42">
        <f t="shared" si="283"/>
        <v>-3210815.6400043285</v>
      </c>
      <c r="AW308" s="43">
        <f t="shared" si="283"/>
        <v>-3073738.2523164577</v>
      </c>
      <c r="AX308" s="244">
        <f t="shared" si="283"/>
        <v>-786240.39490222395</v>
      </c>
      <c r="AY308" s="42">
        <f t="shared" si="283"/>
        <v>-776274.8625417368</v>
      </c>
      <c r="AZ308" s="43">
        <f t="shared" si="283"/>
        <v>-765749.9594152082</v>
      </c>
      <c r="BA308" s="244">
        <f t="shared" si="283"/>
        <v>-765768.09553232789</v>
      </c>
      <c r="BB308" s="42">
        <f t="shared" si="283"/>
        <v>-794732.71618204261</v>
      </c>
      <c r="BC308" s="43">
        <f t="shared" si="283"/>
        <v>-792516.85228924919</v>
      </c>
      <c r="BD308" s="244">
        <f t="shared" si="283"/>
        <v>-832217.78128959145</v>
      </c>
      <c r="BE308" s="42">
        <f t="shared" si="283"/>
        <v>-817108.50161164207</v>
      </c>
      <c r="BF308" s="43">
        <f t="shared" si="283"/>
        <v>-811970.02605599992</v>
      </c>
      <c r="BG308" s="244">
        <f t="shared" si="283"/>
        <v>-858349.14961435623</v>
      </c>
      <c r="BH308" s="42">
        <f t="shared" si="283"/>
        <v>-822699.5596689072</v>
      </c>
      <c r="BI308" s="43">
        <f t="shared" si="283"/>
        <v>-703501.41455600003</v>
      </c>
    </row>
    <row r="309" spans="1:61" x14ac:dyDescent="0.3">
      <c r="A309" s="71" t="s">
        <v>44</v>
      </c>
      <c r="B309" s="59"/>
      <c r="C309" s="60"/>
      <c r="D309" s="62"/>
      <c r="E309" s="62"/>
      <c r="F309" s="63"/>
      <c r="G309" s="47"/>
      <c r="H309" s="245">
        <v>-0.86020817523524717</v>
      </c>
      <c r="I309" s="50">
        <v>-0.71586154659248524</v>
      </c>
      <c r="J309" s="51">
        <f>IFERROR(J308/J8,0)+SUMIFS(Aut_Ajustes_Manuais!$G:$G,Aut_Ajustes_Manuais!$I:$I,DRE!H$4,Aut_Ajustes_Manuais!$F:$F,"% sobre Receita Bruta")</f>
        <v>-0.62828976407763915</v>
      </c>
      <c r="K309" s="245">
        <v>-0.79427596521673383</v>
      </c>
      <c r="L309" s="50">
        <v>-0.66118241868609462</v>
      </c>
      <c r="M309" s="51">
        <f>IFERROR(M308/M8,0)+SUMIFS(Aut_Ajustes_Manuais!$G:$G,Aut_Ajustes_Manuais!$I:$I,DRE!K$4,Aut_Ajustes_Manuais!$F:$F,"% sobre Receita Bruta")</f>
        <v>-0.58454489370554474</v>
      </c>
      <c r="N309" s="245">
        <v>-0.61634011237178288</v>
      </c>
      <c r="O309" s="50">
        <v>-0.54721732854988647</v>
      </c>
      <c r="P309" s="51">
        <f>IFERROR(P308/P8,0)+SUMIFS(Aut_Ajustes_Manuais!$G:$G,Aut_Ajustes_Manuais!$I:$I,DRE!N$4,Aut_Ajustes_Manuais!$F:$F,"% sobre Receita Bruta")</f>
        <v>-0.46889150047838291</v>
      </c>
      <c r="Q309" s="245">
        <v>-0.58546456866132135</v>
      </c>
      <c r="R309" s="50">
        <v>-0.57196946302557783</v>
      </c>
      <c r="S309" s="51">
        <f>IFERROR(S308/S8,0)+SUMIFS(Aut_Ajustes_Manuais!$G:$G,Aut_Ajustes_Manuais!$I:$I,DRE!Q$4,Aut_Ajustes_Manuais!$F:$F,"% sobre Receita Bruta")</f>
        <v>-0.58383843214120801</v>
      </c>
      <c r="T309" s="245">
        <v>-0.64579646109871636</v>
      </c>
      <c r="U309" s="50">
        <v>-0.58025901999450102</v>
      </c>
      <c r="V309" s="51">
        <f>IFERROR(V308/V8,0)+SUMIFS(Aut_Ajustes_Manuais!$G:$G,Aut_Ajustes_Manuais!$I:$I,DRE!T$4,Aut_Ajustes_Manuais!$F:$F,"% sobre Receita Bruta")</f>
        <v>-0.59863433219950823</v>
      </c>
      <c r="W309" s="245">
        <v>-0.61712285103584474</v>
      </c>
      <c r="X309" s="50">
        <v>-0.61746280336995873</v>
      </c>
      <c r="Y309" s="51">
        <f>IFERROR(Y308/Y8,0)+SUMIFS(Aut_Ajustes_Manuais!$G:$G,Aut_Ajustes_Manuais!$I:$I,DRE!W$4,Aut_Ajustes_Manuais!$F:$F,"% sobre Receita Bruta")</f>
        <v>-0.54285706522633448</v>
      </c>
      <c r="Z309" s="245">
        <v>-0.55922614849510455</v>
      </c>
      <c r="AA309" s="50">
        <v>-0.49473921360380652</v>
      </c>
      <c r="AB309" s="51">
        <f>IFERROR(AB308/AB8,0)+SUMIFS(Aut_Ajustes_Manuais!$G:$G,Aut_Ajustes_Manuais!$I:$I,DRE!Z$4,Aut_Ajustes_Manuais!$F:$F,"% sobre Receita Bruta")</f>
        <v>-1.9413982676079362</v>
      </c>
      <c r="AC309" s="245">
        <v>-0.57782131580161844</v>
      </c>
      <c r="AD309" s="50">
        <v>-0.51825961935753151</v>
      </c>
      <c r="AE309" s="51">
        <f>IFERROR(AE308/AE8,0)+SUMIFS(Aut_Ajustes_Manuais!$G:$G,Aut_Ajustes_Manuais!$I:$I,DRE!AC$4,Aut_Ajustes_Manuais!$F:$F,"% sobre Receita Bruta")</f>
        <v>-85.62811260864197</v>
      </c>
      <c r="AF309" s="245">
        <v>-0.67353115415531339</v>
      </c>
      <c r="AG309" s="50">
        <v>-0.56942481100991549</v>
      </c>
      <c r="AH309" s="51">
        <f>IFERROR(AH308/AH8,0)+SUMIFS(Aut_Ajustes_Manuais!$G:$G,Aut_Ajustes_Manuais!$I:$I,DRE!AF$4,Aut_Ajustes_Manuais!$F:$F,"% sobre Receita Bruta")</f>
        <v>0</v>
      </c>
      <c r="AI309" s="245">
        <v>-0.65165449898780503</v>
      </c>
      <c r="AJ309" s="50">
        <v>-0.55434707337307176</v>
      </c>
      <c r="AK309" s="51">
        <f>IFERROR(AK308/AK8,0)+SUMIFS(Aut_Ajustes_Manuais!$G:$G,Aut_Ajustes_Manuais!$I:$I,DRE!AI$4,Aut_Ajustes_Manuais!$F:$F,"% sobre Receita Bruta")</f>
        <v>0</v>
      </c>
      <c r="AL309" s="245">
        <v>-0.59600801846105567</v>
      </c>
      <c r="AM309" s="50">
        <v>-0.5261427325939535</v>
      </c>
      <c r="AN309" s="51">
        <f>IFERROR(AN308/AN8,0)+SUMIFS(Aut_Ajustes_Manuais!$G:$G,Aut_Ajustes_Manuais!$I:$I,DRE!AL$4,Aut_Ajustes_Manuais!$F:$F,"% sobre Receita Bruta")</f>
        <v>-58.108157923383089</v>
      </c>
      <c r="AO309" s="245">
        <v>-0.39153431451087622</v>
      </c>
      <c r="AP309" s="50">
        <v>-0.4320308983106893</v>
      </c>
      <c r="AQ309" s="51">
        <f>IFERROR(AQ308/AQ8,0)+SUMIFS(Aut_Ajustes_Manuais!$G:$G,Aut_Ajustes_Manuais!$I:$I,DRE!AO$4,Aut_Ajustes_Manuais!$F:$F,"% sobre Receita Bruta")</f>
        <v>0</v>
      </c>
      <c r="AR309" s="245">
        <f t="shared" ref="AR309:BI309" ca="1" si="284">IFERROR(AR308/AR8,0)</f>
        <v>-0.67313995789348358</v>
      </c>
      <c r="AS309" s="50">
        <f t="shared" ca="1" si="284"/>
        <v>-0.60935887558999347</v>
      </c>
      <c r="AT309" s="51">
        <f t="shared" ca="1" si="284"/>
        <v>-0.56254053775344259</v>
      </c>
      <c r="AU309" s="245">
        <f t="shared" si="284"/>
        <v>-0.60450757142775469</v>
      </c>
      <c r="AV309" s="50">
        <f t="shared" si="284"/>
        <v>-0.55467462135323031</v>
      </c>
      <c r="AW309" s="51">
        <f t="shared" si="284"/>
        <v>-1.0496415298069601</v>
      </c>
      <c r="AX309" s="245">
        <f t="shared" si="284"/>
        <v>-0.73980534361762096</v>
      </c>
      <c r="AY309" s="50">
        <f t="shared" si="284"/>
        <v>-0.63150633165931025</v>
      </c>
      <c r="AZ309" s="51">
        <f t="shared" si="284"/>
        <v>-0.55038160757697163</v>
      </c>
      <c r="BA309" s="245">
        <f t="shared" si="284"/>
        <v>-0.6161344872550818</v>
      </c>
      <c r="BB309" s="50">
        <f t="shared" si="284"/>
        <v>-0.58917588427736611</v>
      </c>
      <c r="BC309" s="51">
        <f t="shared" si="284"/>
        <v>-0.57481025158358445</v>
      </c>
      <c r="BD309" s="245">
        <f t="shared" si="284"/>
        <v>-0.5995941415742444</v>
      </c>
      <c r="BE309" s="50">
        <f t="shared" si="284"/>
        <v>-0.5252840367720063</v>
      </c>
      <c r="BF309" s="51">
        <f t="shared" si="284"/>
        <v>-5.2623827306073219</v>
      </c>
      <c r="BG309" s="245">
        <f t="shared" si="284"/>
        <v>-0.51385815152689818</v>
      </c>
      <c r="BH309" s="50">
        <f t="shared" si="284"/>
        <v>-0.49711156382835259</v>
      </c>
      <c r="BI309" s="51">
        <f t="shared" si="284"/>
        <v>-175.00035187960199</v>
      </c>
    </row>
    <row r="310" spans="1:61" x14ac:dyDescent="0.3">
      <c r="A310" s="18"/>
      <c r="E310" s="16"/>
      <c r="F310" s="17"/>
      <c r="G310" s="47"/>
      <c r="H310" s="247"/>
      <c r="I310" s="17"/>
      <c r="J310" s="57"/>
      <c r="K310" s="247"/>
      <c r="L310" s="17"/>
      <c r="M310" s="57"/>
      <c r="N310" s="247"/>
      <c r="O310" s="17"/>
      <c r="P310" s="57"/>
      <c r="Q310" s="247"/>
      <c r="R310" s="17"/>
      <c r="S310" s="57"/>
      <c r="T310" s="247"/>
      <c r="U310" s="17"/>
      <c r="V310" s="57"/>
      <c r="W310" s="247"/>
      <c r="X310" s="17"/>
      <c r="Y310" s="57"/>
      <c r="Z310" s="247"/>
      <c r="AA310" s="17"/>
      <c r="AB310" s="57"/>
      <c r="AC310" s="247"/>
      <c r="AD310" s="17"/>
      <c r="AE310" s="57"/>
      <c r="AF310" s="247"/>
      <c r="AG310" s="17"/>
      <c r="AH310" s="57"/>
      <c r="AI310" s="247"/>
      <c r="AJ310" s="17"/>
      <c r="AK310" s="57"/>
      <c r="AL310" s="247"/>
      <c r="AM310" s="17"/>
      <c r="AN310" s="57"/>
      <c r="AO310" s="247"/>
      <c r="AP310" s="17"/>
      <c r="AQ310" s="57"/>
      <c r="AR310" s="247"/>
      <c r="AS310" s="17"/>
      <c r="AT310" s="448"/>
      <c r="AU310" s="247"/>
      <c r="AV310" s="17"/>
      <c r="AW310" s="57"/>
      <c r="AX310" s="247"/>
      <c r="AY310" s="17"/>
      <c r="AZ310" s="57"/>
      <c r="BA310" s="247"/>
      <c r="BB310" s="17"/>
      <c r="BC310" s="57"/>
      <c r="BD310" s="247"/>
      <c r="BE310" s="17"/>
      <c r="BF310" s="57"/>
      <c r="BG310" s="247"/>
      <c r="BH310" s="17"/>
      <c r="BI310" s="57"/>
    </row>
    <row r="311" spans="1:61" x14ac:dyDescent="0.3">
      <c r="A311" s="58" t="s">
        <v>329</v>
      </c>
      <c r="B311" s="59"/>
      <c r="C311" s="60"/>
      <c r="D311" s="61"/>
      <c r="E311" s="62"/>
      <c r="F311" s="63"/>
      <c r="G311" s="47"/>
      <c r="H311" s="248">
        <v>-120916.3674969057</v>
      </c>
      <c r="I311" s="64">
        <v>-74552.623641239392</v>
      </c>
      <c r="J311" s="65">
        <f>SUM(J308,J102)+SUMIFS(Aut_Ajustes_Manuais!$G:$G,Aut_Ajustes_Manuais!$I:$I,DRE!H$4,Aut_Ajustes_Manuais!$F:$F,"EBITDA")</f>
        <v>-48168.540775607224</v>
      </c>
      <c r="K311" s="248">
        <v>-99483.496722212411</v>
      </c>
      <c r="L311" s="64">
        <v>-60117.201178809628</v>
      </c>
      <c r="M311" s="65">
        <f>SUM(M308,M102)+SUMIFS(Aut_Ajustes_Manuais!$G:$G,Aut_Ajustes_Manuais!$I:$I,DRE!K$4,Aut_Ajustes_Manuais!$F:$F,"EBITDA")</f>
        <v>-30311.264525369275</v>
      </c>
      <c r="N311" s="248">
        <v>-52501.043526472</v>
      </c>
      <c r="O311" s="64">
        <v>-18643.504635245281</v>
      </c>
      <c r="P311" s="65">
        <f>SUM(P308,P102)+SUMIFS(Aut_Ajustes_Manuais!$G:$G,Aut_Ajustes_Manuais!$I:$I,DRE!N$4,Aut_Ajustes_Manuais!$F:$F,"EBITDA")</f>
        <v>24749.44241216837</v>
      </c>
      <c r="Q311" s="248">
        <v>-46569.292338656698</v>
      </c>
      <c r="R311" s="64">
        <v>-28475.70062409126</v>
      </c>
      <c r="S311" s="65">
        <f>SUM(S308,S102)+SUMIFS(Aut_Ajustes_Manuais!$G:$G,Aut_Ajustes_Manuais!$I:$I,DRE!Q$4,Aut_Ajustes_Manuais!$F:$F,"EBITDA")</f>
        <v>-46706.549624720763</v>
      </c>
      <c r="T311" s="248">
        <v>-64931.593908050039</v>
      </c>
      <c r="U311" s="64">
        <v>-33900.930163133373</v>
      </c>
      <c r="V311" s="65">
        <f>SUM(V308,V102)+SUMIFS(Aut_Ajustes_Manuais!$G:$G,Aut_Ajustes_Manuais!$I:$I,DRE!T$4,Aut_Ajustes_Manuais!$F:$F,"EBITDA")</f>
        <v>-54007.233540063433</v>
      </c>
      <c r="W311" s="248">
        <v>-50866.890097982447</v>
      </c>
      <c r="X311" s="64">
        <v>-47162.515611818468</v>
      </c>
      <c r="Y311" s="65">
        <f>SUM(Y308,Y102)+SUMIFS(Aut_Ajustes_Manuais!$G:$G,Aut_Ajustes_Manuais!$I:$I,DRE!W$4,Aut_Ajustes_Manuais!$F:$F,"EBITDA")</f>
        <v>-46836.768761265062</v>
      </c>
      <c r="Z311" s="248">
        <v>-19982.9842787864</v>
      </c>
      <c r="AA311" s="64">
        <v>11243.46189563896</v>
      </c>
      <c r="AB311" s="65">
        <f>SUM(AB308,AB102)+SUMIFS(Aut_Ajustes_Manuais!$G:$G,Aut_Ajustes_Manuais!$I:$I,DRE!Z$4,Aut_Ajustes_Manuais!$F:$F,"EBITDA")</f>
        <v>-201682.59404000005</v>
      </c>
      <c r="AC311" s="248">
        <v>-17966.218382610881</v>
      </c>
      <c r="AD311" s="64">
        <v>-5976.6482830530149</v>
      </c>
      <c r="AE311" s="65">
        <f>SUM(AE308,AE102)+SUMIFS(Aut_Ajustes_Manuais!$G:$G,Aut_Ajustes_Manuais!$I:$I,DRE!AC$4,Aut_Ajustes_Manuais!$F:$F,"EBITDA")</f>
        <v>-288475.34485200001</v>
      </c>
      <c r="AF311" s="248">
        <v>-72016.26996393234</v>
      </c>
      <c r="AG311" s="64">
        <v>-27212.612753502501</v>
      </c>
      <c r="AH311" s="65">
        <f>SUM(AH308,AH102)+SUMIFS(Aut_Ajustes_Manuais!$G:$G,Aut_Ajustes_Manuais!$I:$I,DRE!AF$4,Aut_Ajustes_Manuais!$F:$F,"EBITDA")</f>
        <v>-243273.08485199997</v>
      </c>
      <c r="AI311" s="248">
        <v>-45087.622956571613</v>
      </c>
      <c r="AJ311" s="64">
        <v>-20031.24247424776</v>
      </c>
      <c r="AK311" s="65">
        <f>SUM(AK308,AK102)+SUMIFS(Aut_Ajustes_Manuais!$G:$G,Aut_Ajustes_Manuais!$I:$I,DRE!AI$4,Aut_Ajustes_Manuais!$F:$F,"EBITDA")</f>
        <v>-235393.79485200002</v>
      </c>
      <c r="AL311" s="248">
        <v>-39782.375136764371</v>
      </c>
      <c r="AM311" s="64">
        <v>-6586.6619539561798</v>
      </c>
      <c r="AN311" s="65">
        <f>SUM(AN308,AN102)+SUMIFS(Aut_Ajustes_Manuais!$G:$G,Aut_Ajustes_Manuais!$I:$I,DRE!AL$4,Aut_Ajustes_Manuais!$F:$F,"EBITDA")</f>
        <v>-231905.33485200003</v>
      </c>
      <c r="AO311" s="248">
        <v>177993.2202099654</v>
      </c>
      <c r="AP311" s="64">
        <v>61958.746186497803</v>
      </c>
      <c r="AQ311" s="65">
        <f>SUM(AQ308,AQ102)+SUMIFS(Aut_Ajustes_Manuais!$G:$G,Aut_Ajustes_Manuais!$I:$I,DRE!AO$4,Aut_Ajustes_Manuais!$F:$F,"EBITDA")</f>
        <v>-238512.82485199999</v>
      </c>
      <c r="AR311" s="248">
        <f t="shared" ref="AR311:BI311" ca="1" si="285">SUM(AR308,AR102)</f>
        <v>-435268.68409027997</v>
      </c>
      <c r="AS311" s="64">
        <f t="shared" ca="1" si="285"/>
        <v>-262852.47585433675</v>
      </c>
      <c r="AT311" s="65">
        <f t="shared" ca="1" si="285"/>
        <v>-201280.9148148573</v>
      </c>
      <c r="AU311" s="248">
        <f t="shared" si="285"/>
        <v>-452110.93459897954</v>
      </c>
      <c r="AV311" s="64">
        <f t="shared" si="285"/>
        <v>-249457.43323696079</v>
      </c>
      <c r="AW311" s="65">
        <f t="shared" si="285"/>
        <v>-1640523.8931148578</v>
      </c>
      <c r="AX311" s="248">
        <f t="shared" si="285"/>
        <v>-272900.90774559008</v>
      </c>
      <c r="AY311" s="64">
        <f t="shared" si="285"/>
        <v>-153313.32945529418</v>
      </c>
      <c r="AZ311" s="65">
        <f t="shared" si="285"/>
        <v>-53730.362888808129</v>
      </c>
      <c r="BA311" s="248">
        <f t="shared" si="285"/>
        <v>-162367.77634468931</v>
      </c>
      <c r="BB311" s="64">
        <f t="shared" si="285"/>
        <v>-109539.1463990428</v>
      </c>
      <c r="BC311" s="65">
        <f t="shared" si="285"/>
        <v>-147550.55192604952</v>
      </c>
      <c r="BD311" s="248">
        <f t="shared" si="285"/>
        <v>-109965.47262533009</v>
      </c>
      <c r="BE311" s="64">
        <f t="shared" si="285"/>
        <v>-21945.799140916439</v>
      </c>
      <c r="BF311" s="65">
        <f t="shared" si="285"/>
        <v>-733431.02374399989</v>
      </c>
      <c r="BG311" s="248">
        <f t="shared" si="285"/>
        <v>93123.222116629244</v>
      </c>
      <c r="BH311" s="64">
        <f t="shared" si="285"/>
        <v>35340.841758293915</v>
      </c>
      <c r="BI311" s="65">
        <f t="shared" si="285"/>
        <v>-705811.95455600007</v>
      </c>
    </row>
    <row r="312" spans="1:61" ht="15" customHeight="1" thickBot="1" x14ac:dyDescent="0.35">
      <c r="A312" s="126" t="s">
        <v>44</v>
      </c>
      <c r="B312" s="127"/>
      <c r="C312" s="128"/>
      <c r="D312" s="129"/>
      <c r="E312" s="130"/>
      <c r="F312" s="131"/>
      <c r="G312" s="132"/>
      <c r="H312" s="262">
        <v>-0.3973372723117255</v>
      </c>
      <c r="I312" s="133">
        <v>-0.2112419003309228</v>
      </c>
      <c r="J312" s="134">
        <f>IFERROR(J311/J8,0)+SUMIFS(Aut_Ajustes_Manuais!$G:$G,Aut_Ajustes_Manuais!$I:$I,DRE!H$4,Aut_Ajustes_Manuais!$F:$F,"% sobre Receita Bruta")</f>
        <v>-0.11928981350181984</v>
      </c>
      <c r="K312" s="262">
        <v>-0.31054710096057198</v>
      </c>
      <c r="L312" s="133">
        <v>-0.15538256931570329</v>
      </c>
      <c r="M312" s="134">
        <f>IFERROR(M311/M8,0)+SUMIFS(Aut_Ajustes_Manuais!$G:$G,Aut_Ajustes_Manuais!$I:$I,DRE!K$4,Aut_Ajustes_Manuais!$F:$F,"% sobre Receita Bruta")</f>
        <v>-7.1522900956781876E-2</v>
      </c>
      <c r="N312" s="262">
        <v>-0.11983783347746001</v>
      </c>
      <c r="O312" s="133">
        <v>-3.8093068917255661E-2</v>
      </c>
      <c r="P312" s="134">
        <f>IFERROR(P311/P8,0)+SUMIFS(Aut_Ajustes_Manuais!$G:$G,Aut_Ajustes_Manuais!$I:$I,DRE!N$4,Aut_Ajustes_Manuais!$F:$F,"% sobre Receita Bruta")</f>
        <v>4.3904172597857907E-2</v>
      </c>
      <c r="Q312" s="262">
        <v>-0.1116177972588215</v>
      </c>
      <c r="R312" s="133">
        <v>-6.1443557285587078E-2</v>
      </c>
      <c r="S312" s="134">
        <f>IFERROR(S311/S8,0)+SUMIFS(Aut_Ajustes_Manuais!$G:$G,Aut_Ajustes_Manuais!$I:$I,DRE!Q$4,Aut_Ajustes_Manuais!$F:$F,"% sobre Receita Bruta")</f>
        <v>-0.10439811765681122</v>
      </c>
      <c r="T312" s="262">
        <v>-0.15540959405356181</v>
      </c>
      <c r="U312" s="133">
        <v>-7.3876771446226785E-2</v>
      </c>
      <c r="V312" s="134">
        <f>IFERROR(V311/V8,0)+SUMIFS(Aut_Ajustes_Manuais!$G:$G,Aut_Ajustes_Manuais!$I:$I,DRE!T$4,Aut_Ajustes_Manuais!$F:$F,"% sobre Receita Bruta")</f>
        <v>-0.11711875435138397</v>
      </c>
      <c r="W312" s="262">
        <v>-0.12472626366557581</v>
      </c>
      <c r="X312" s="133">
        <v>-0.1105650342474197</v>
      </c>
      <c r="Y312" s="134">
        <f>IFERROR(Y311/Y8,0)+SUMIFS(Aut_Ajustes_Manuais!$G:$G,Aut_Ajustes_Manuais!$I:$I,DRE!W$4,Aut_Ajustes_Manuais!$F:$F,"% sobre Receita Bruta")</f>
        <v>-9.9605204763458563E-2</v>
      </c>
      <c r="Z312" s="262">
        <v>-4.0052599125272842E-2</v>
      </c>
      <c r="AA312" s="133">
        <v>2.0155771711723239E-2</v>
      </c>
      <c r="AB312" s="134">
        <f>IFERROR(AB311/AB8,0)+SUMIFS(Aut_Ajustes_Manuais!$G:$G,Aut_Ajustes_Manuais!$I:$I,DRE!Z$4,Aut_Ajustes_Manuais!$F:$F,"% sobre Receita Bruta")</f>
        <v>-1.3351420588634642</v>
      </c>
      <c r="AC312" s="262">
        <v>-3.7714788647476252E-2</v>
      </c>
      <c r="AD312" s="133">
        <v>-1.132508656471912E-2</v>
      </c>
      <c r="AE312" s="134">
        <f>IFERROR(AE311/AE8,0)+SUMIFS(Aut_Ajustes_Manuais!$G:$G,Aut_Ajustes_Manuais!$I:$I,DRE!AC$4,Aut_Ajustes_Manuais!$F:$F,"% sobre Receita Bruta")</f>
        <v>-89.035600262962973</v>
      </c>
      <c r="AF312" s="262">
        <v>-0.1745090393892835</v>
      </c>
      <c r="AG312" s="133">
        <v>-5.790018303560588E-2</v>
      </c>
      <c r="AH312" s="134">
        <f>IFERROR(AH311/AH8,0)+SUMIFS(Aut_Ajustes_Manuais!$G:$G,Aut_Ajustes_Manuais!$I:$I,DRE!AF$4,Aut_Ajustes_Manuais!$F:$F,"% sobre Receita Bruta")</f>
        <v>0</v>
      </c>
      <c r="AI312" s="262">
        <v>-0.1073104063393915</v>
      </c>
      <c r="AJ312" s="133">
        <v>-4.1271426282489247E-2</v>
      </c>
      <c r="AK312" s="134">
        <f>IFERROR(AK311/AK8,0)+SUMIFS(Aut_Ajustes_Manuais!$G:$G,Aut_Ajustes_Manuais!$I:$I,DRE!AI$4,Aut_Ajustes_Manuais!$F:$F,"% sobre Receita Bruta")</f>
        <v>0</v>
      </c>
      <c r="AL312" s="262">
        <v>-8.559194686981822E-2</v>
      </c>
      <c r="AM312" s="133">
        <v>-1.2823590872548951E-2</v>
      </c>
      <c r="AN312" s="134">
        <f>IFERROR(AN311/AN8,0)+SUMIFS(Aut_Ajustes_Manuais!$G:$G,Aut_Ajustes_Manuais!$I:$I,DRE!AL$4,Aut_Ajustes_Manuais!$F:$F,"% sobre Receita Bruta")</f>
        <v>-57.687894241791049</v>
      </c>
      <c r="AO312" s="262">
        <v>0.22661331265908699</v>
      </c>
      <c r="AP312" s="133">
        <v>9.4453696563221695E-2</v>
      </c>
      <c r="AQ312" s="134">
        <f>IFERROR(AQ311/AQ8,0)+SUMIFS(Aut_Ajustes_Manuais!$G:$G,Aut_Ajustes_Manuais!$I:$I,DRE!AO$4,Aut_Ajustes_Manuais!$F:$F,"% sobre Receita Bruta")</f>
        <v>0</v>
      </c>
      <c r="AR312" s="262">
        <f t="shared" ref="AR312:BI312" ca="1" si="286">IFERROR(AR311/AR8,0)</f>
        <v>-0.18878552887223313</v>
      </c>
      <c r="AS312" s="133">
        <f t="shared" ca="1" si="286"/>
        <v>-0.10195462536390892</v>
      </c>
      <c r="AT312" s="134">
        <f t="shared" ca="1" si="286"/>
        <v>-7.2663213519643249E-2</v>
      </c>
      <c r="AU312" s="262">
        <f t="shared" si="286"/>
        <v>-8.428623781325785E-2</v>
      </c>
      <c r="AV312" s="133">
        <f t="shared" si="286"/>
        <v>-4.3094254805695856E-2</v>
      </c>
      <c r="AW312" s="134">
        <f t="shared" si="286"/>
        <v>-0.56021751609989201</v>
      </c>
      <c r="AX312" s="262">
        <f t="shared" si="286"/>
        <v>-0.25678348649765603</v>
      </c>
      <c r="AY312" s="133">
        <f t="shared" si="286"/>
        <v>-0.12472172287246081</v>
      </c>
      <c r="AZ312" s="134">
        <f t="shared" si="286"/>
        <v>-3.8618615827312783E-2</v>
      </c>
      <c r="BA312" s="262">
        <f t="shared" si="286"/>
        <v>-0.13064057801381673</v>
      </c>
      <c r="BB312" s="133">
        <f t="shared" si="286"/>
        <v>-8.1206954399321324E-2</v>
      </c>
      <c r="BC312" s="134">
        <f t="shared" si="286"/>
        <v>-0.10701800173575916</v>
      </c>
      <c r="BD312" s="262">
        <f t="shared" si="286"/>
        <v>-7.9227642864611203E-2</v>
      </c>
      <c r="BE312" s="133">
        <f t="shared" si="286"/>
        <v>-1.4108013734028159E-2</v>
      </c>
      <c r="BF312" s="134">
        <f t="shared" si="286"/>
        <v>-4.7533709737899681</v>
      </c>
      <c r="BG312" s="262">
        <f t="shared" si="286"/>
        <v>5.5749023346244514E-2</v>
      </c>
      <c r="BH312" s="133">
        <f t="shared" si="286"/>
        <v>2.1354504092048081E-2</v>
      </c>
      <c r="BI312" s="134">
        <f t="shared" si="286"/>
        <v>-175.57511307363185</v>
      </c>
    </row>
    <row r="313" spans="1:61" x14ac:dyDescent="0.3">
      <c r="A313" s="18"/>
      <c r="E313" s="16"/>
      <c r="F313" s="17"/>
      <c r="G313" s="47"/>
      <c r="H313" s="247"/>
      <c r="I313" s="17"/>
      <c r="J313" s="57"/>
      <c r="K313" s="247"/>
      <c r="L313" s="17"/>
      <c r="M313" s="57"/>
      <c r="N313" s="247"/>
      <c r="O313" s="17"/>
      <c r="P313" s="57"/>
      <c r="Q313" s="247"/>
      <c r="R313" s="17"/>
      <c r="S313" s="57"/>
      <c r="T313" s="247"/>
      <c r="U313" s="17"/>
      <c r="V313" s="57"/>
      <c r="W313" s="247"/>
      <c r="X313" s="17"/>
      <c r="Y313" s="57"/>
      <c r="Z313" s="247"/>
      <c r="AA313" s="17"/>
      <c r="AB313" s="57"/>
      <c r="AC313" s="247"/>
      <c r="AD313" s="17"/>
      <c r="AE313" s="57"/>
      <c r="AF313" s="247"/>
      <c r="AG313" s="17"/>
      <c r="AH313" s="57"/>
      <c r="AI313" s="247"/>
      <c r="AJ313" s="17"/>
      <c r="AK313" s="57"/>
      <c r="AL313" s="247"/>
      <c r="AM313" s="17"/>
      <c r="AN313" s="57"/>
      <c r="AO313" s="247"/>
      <c r="AP313" s="17"/>
      <c r="AQ313" s="57"/>
      <c r="AR313" s="247"/>
      <c r="AS313" s="17"/>
      <c r="AT313" s="57"/>
      <c r="AU313" s="247"/>
      <c r="AV313" s="17"/>
      <c r="AW313" s="57"/>
      <c r="AX313" s="247"/>
      <c r="AY313" s="17"/>
      <c r="AZ313" s="57"/>
      <c r="BA313" s="247"/>
      <c r="BB313" s="17"/>
      <c r="BC313" s="57"/>
      <c r="BD313" s="247"/>
      <c r="BE313" s="17"/>
      <c r="BF313" s="57"/>
      <c r="BG313" s="247"/>
      <c r="BH313" s="17"/>
      <c r="BI313" s="57"/>
    </row>
    <row r="314" spans="1:61" x14ac:dyDescent="0.3">
      <c r="A314" s="39" t="s">
        <v>330</v>
      </c>
      <c r="B314" s="59"/>
      <c r="C314" s="135" t="s">
        <v>331</v>
      </c>
      <c r="D314" s="61"/>
      <c r="E314" s="62"/>
      <c r="F314" s="63"/>
      <c r="G314" s="47"/>
      <c r="H314" s="244"/>
      <c r="I314" s="42"/>
      <c r="J314" s="43"/>
      <c r="K314" s="244"/>
      <c r="L314" s="42"/>
      <c r="M314" s="43"/>
      <c r="N314" s="244"/>
      <c r="O314" s="42"/>
      <c r="P314" s="43"/>
      <c r="Q314" s="244"/>
      <c r="R314" s="42"/>
      <c r="S314" s="43"/>
      <c r="T314" s="244"/>
      <c r="U314" s="42"/>
      <c r="V314" s="43"/>
      <c r="W314" s="244"/>
      <c r="X314" s="42"/>
      <c r="Y314" s="43"/>
      <c r="Z314" s="244"/>
      <c r="AA314" s="42"/>
      <c r="AB314" s="43"/>
      <c r="AC314" s="244"/>
      <c r="AD314" s="42"/>
      <c r="AE314" s="43"/>
      <c r="AF314" s="244"/>
      <c r="AG314" s="42"/>
      <c r="AH314" s="43"/>
      <c r="AI314" s="244"/>
      <c r="AJ314" s="42"/>
      <c r="AK314" s="43"/>
      <c r="AL314" s="244"/>
      <c r="AM314" s="42"/>
      <c r="AN314" s="43"/>
      <c r="AO314" s="244"/>
      <c r="AP314" s="42"/>
      <c r="AQ314" s="43"/>
      <c r="AR314" s="244">
        <f ca="1">SUMIFS($H314:$AO314,$H$5:$AO$5,"&lt;"&amp;MONTH(TODAY()),$H$6:$AO$6,"REAL 25")</f>
        <v>0</v>
      </c>
      <c r="AS314" s="42">
        <f ca="1">SUMIFS($I314:$AP314,$I$5:$AP$5,"&lt;"&amp;MONTH(TODAY()),$I$6:$AP$6,"ORÇADO ")</f>
        <v>0</v>
      </c>
      <c r="AT314" s="43">
        <f ca="1">SUMIFS($J314:$AQ314,$J$5:$AQ$5,"&lt;"&amp;MONTH(TODAY()),$J$6:$AQ$6,"REAL 26")</f>
        <v>0</v>
      </c>
      <c r="AU314" s="244">
        <f>SUM(H314,K314,N314,Q314,T314,W314,Z314,AC314,AF314,AI314,AL314,AO314)</f>
        <v>0</v>
      </c>
      <c r="AV314" s="42">
        <f>SUM(I314,L314,O314,R314,U314,X314,AA314,AD314,AG314,AJ314,AM314,AP314)</f>
        <v>0</v>
      </c>
      <c r="AW314" s="43">
        <f>SUM(J314,M314,P314,S314,V314,Y314,AB314,AE314,AH314,AK314,AN314,AQ314)</f>
        <v>0</v>
      </c>
      <c r="AX314" s="244">
        <f>SUM(H314,K314,N314)</f>
        <v>0</v>
      </c>
      <c r="AY314" s="42">
        <f>SUM(I314,L314,O314)</f>
        <v>0</v>
      </c>
      <c r="AZ314" s="43">
        <f>SUM(J314,M314,P314)</f>
        <v>0</v>
      </c>
      <c r="BA314" s="244">
        <f>SUM(Q314,T314,W314)</f>
        <v>0</v>
      </c>
      <c r="BB314" s="42">
        <f>SUM(R314,U314,X314)</f>
        <v>0</v>
      </c>
      <c r="BC314" s="43">
        <f>SUM(S314,V314,Y314)</f>
        <v>0</v>
      </c>
      <c r="BD314" s="244">
        <f>SUM(Z314,AC314,AF314)</f>
        <v>0</v>
      </c>
      <c r="BE314" s="42">
        <f>SUM(AA314,AD314,AG314)</f>
        <v>0</v>
      </c>
      <c r="BF314" s="43">
        <f>SUM(AB314,AE314,AH314)</f>
        <v>0</v>
      </c>
      <c r="BG314" s="244">
        <f>SUM(AI314,AL314,AO314)</f>
        <v>0</v>
      </c>
      <c r="BH314" s="42">
        <f>SUM(AJ314,AM314,AP314)</f>
        <v>0</v>
      </c>
      <c r="BI314" s="43">
        <f>SUM(AK314,AN314,AQ314)</f>
        <v>0</v>
      </c>
    </row>
    <row r="315" spans="1:61" x14ac:dyDescent="0.3">
      <c r="A315" s="18"/>
      <c r="E315" s="16"/>
      <c r="F315" s="17"/>
      <c r="G315" s="47"/>
      <c r="H315" s="247"/>
      <c r="I315" s="17"/>
      <c r="J315" s="57"/>
      <c r="K315" s="247"/>
      <c r="L315" s="17"/>
      <c r="M315" s="57"/>
      <c r="N315" s="247"/>
      <c r="O315" s="17"/>
      <c r="P315" s="57"/>
      <c r="Q315" s="247"/>
      <c r="R315" s="17"/>
      <c r="S315" s="57"/>
      <c r="T315" s="247"/>
      <c r="U315" s="17"/>
      <c r="V315" s="57"/>
      <c r="W315" s="247"/>
      <c r="X315" s="17"/>
      <c r="Y315" s="57"/>
      <c r="Z315" s="247"/>
      <c r="AA315" s="17"/>
      <c r="AB315" s="57"/>
      <c r="AC315" s="247"/>
      <c r="AD315" s="17"/>
      <c r="AE315" s="57"/>
      <c r="AF315" s="247"/>
      <c r="AG315" s="17"/>
      <c r="AH315" s="57"/>
      <c r="AI315" s="247"/>
      <c r="AJ315" s="17"/>
      <c r="AK315" s="57"/>
      <c r="AL315" s="247"/>
      <c r="AM315" s="17"/>
      <c r="AN315" s="57"/>
      <c r="AO315" s="247"/>
      <c r="AP315" s="17"/>
      <c r="AQ315" s="57"/>
      <c r="AR315" s="247"/>
      <c r="AS315" s="17"/>
      <c r="AT315" s="57"/>
      <c r="AU315" s="247"/>
      <c r="AV315" s="17"/>
      <c r="AW315" s="57"/>
      <c r="AX315" s="247"/>
      <c r="AY315" s="17"/>
      <c r="AZ315" s="57"/>
      <c r="BA315" s="247"/>
      <c r="BB315" s="17"/>
      <c r="BC315" s="57"/>
      <c r="BD315" s="247"/>
      <c r="BE315" s="17"/>
      <c r="BF315" s="57"/>
      <c r="BG315" s="247"/>
      <c r="BH315" s="17"/>
      <c r="BI315" s="57"/>
    </row>
    <row r="316" spans="1:61" x14ac:dyDescent="0.3">
      <c r="A316" s="58" t="s">
        <v>332</v>
      </c>
      <c r="B316" s="59"/>
      <c r="C316" s="60"/>
      <c r="D316" s="61"/>
      <c r="E316" s="62"/>
      <c r="F316" s="63"/>
      <c r="G316" s="47"/>
      <c r="H316" s="248">
        <v>-120916.3674969057</v>
      </c>
      <c r="I316" s="64">
        <v>-74552.623641239392</v>
      </c>
      <c r="J316" s="65">
        <f>SUM(J314,J311)+SUMIFS(Aut_Ajustes_Manuais!$G:$G,Aut_Ajustes_Manuais!$I:$I,DRE!H$4,Aut_Ajustes_Manuais!$F:$F,"EBIT")</f>
        <v>-48168.540775607224</v>
      </c>
      <c r="K316" s="248">
        <v>-99483.496722212411</v>
      </c>
      <c r="L316" s="64">
        <v>-60117.201178809628</v>
      </c>
      <c r="M316" s="65">
        <f>SUM(M314,M311)+SUMIFS(Aut_Ajustes_Manuais!$G:$G,Aut_Ajustes_Manuais!$I:$I,DRE!K$4,Aut_Ajustes_Manuais!$F:$F,"EBIT")</f>
        <v>-30311.264525369275</v>
      </c>
      <c r="N316" s="248">
        <v>-52501.043526472</v>
      </c>
      <c r="O316" s="64">
        <v>-18643.504635245281</v>
      </c>
      <c r="P316" s="65">
        <f>SUM(P314,P311)+SUMIFS(Aut_Ajustes_Manuais!$G:$G,Aut_Ajustes_Manuais!$I:$I,DRE!N$4,Aut_Ajustes_Manuais!$F:$F,"EBIT")</f>
        <v>24749.44241216837</v>
      </c>
      <c r="Q316" s="248">
        <v>-46569.292338656698</v>
      </c>
      <c r="R316" s="64">
        <v>-28475.70062409126</v>
      </c>
      <c r="S316" s="65">
        <f>SUM(S314,S311)+SUMIFS(Aut_Ajustes_Manuais!$G:$G,Aut_Ajustes_Manuais!$I:$I,DRE!Q$4,Aut_Ajustes_Manuais!$F:$F,"EBIT")</f>
        <v>-46706.549624720763</v>
      </c>
      <c r="T316" s="248">
        <v>-64931.593908050039</v>
      </c>
      <c r="U316" s="64">
        <v>-33900.930163133373</v>
      </c>
      <c r="V316" s="65">
        <f>SUM(V314,V311)+SUMIFS(Aut_Ajustes_Manuais!$G:$G,Aut_Ajustes_Manuais!$I:$I,DRE!T$4,Aut_Ajustes_Manuais!$F:$F,"EBIT")</f>
        <v>-54007.233540063433</v>
      </c>
      <c r="W316" s="248">
        <v>-50866.890097982447</v>
      </c>
      <c r="X316" s="64">
        <v>-47162.515611818468</v>
      </c>
      <c r="Y316" s="65">
        <f>SUM(Y314,Y311)+SUMIFS(Aut_Ajustes_Manuais!$G:$G,Aut_Ajustes_Manuais!$I:$I,DRE!W$4,Aut_Ajustes_Manuais!$F:$F,"EBIT")</f>
        <v>-46836.768761265062</v>
      </c>
      <c r="Z316" s="248">
        <v>-19982.9842787864</v>
      </c>
      <c r="AA316" s="64">
        <v>11243.46189563896</v>
      </c>
      <c r="AB316" s="65">
        <f>SUM(AB314,AB311)+SUMIFS(Aut_Ajustes_Manuais!$G:$G,Aut_Ajustes_Manuais!$I:$I,DRE!Z$4,Aut_Ajustes_Manuais!$F:$F,"EBIT")</f>
        <v>-201682.59404000005</v>
      </c>
      <c r="AC316" s="248">
        <v>-17966.218382610881</v>
      </c>
      <c r="AD316" s="64">
        <v>-5976.6482830530149</v>
      </c>
      <c r="AE316" s="65">
        <f>SUM(AE314,AE311)+SUMIFS(Aut_Ajustes_Manuais!$G:$G,Aut_Ajustes_Manuais!$I:$I,DRE!AC$4,Aut_Ajustes_Manuais!$F:$F,"EBIT")</f>
        <v>-288475.34485200001</v>
      </c>
      <c r="AF316" s="248">
        <v>-72016.26996393234</v>
      </c>
      <c r="AG316" s="64">
        <v>-27212.612753502501</v>
      </c>
      <c r="AH316" s="65">
        <f>SUM(AH314,AH311)+SUMIFS(Aut_Ajustes_Manuais!$G:$G,Aut_Ajustes_Manuais!$I:$I,DRE!AF$4,Aut_Ajustes_Manuais!$F:$F,"EBIT")</f>
        <v>-243273.08485199997</v>
      </c>
      <c r="AI316" s="248">
        <v>-45087.622956571613</v>
      </c>
      <c r="AJ316" s="64">
        <v>-20031.24247424776</v>
      </c>
      <c r="AK316" s="65">
        <f>SUM(AK314,AK311)+SUMIFS(Aut_Ajustes_Manuais!$G:$G,Aut_Ajustes_Manuais!$I:$I,DRE!AI$4,Aut_Ajustes_Manuais!$F:$F,"EBIT")</f>
        <v>-235393.79485200002</v>
      </c>
      <c r="AL316" s="248">
        <v>-39782.375136764371</v>
      </c>
      <c r="AM316" s="64">
        <v>-6586.6619539561798</v>
      </c>
      <c r="AN316" s="65">
        <f>SUM(AN314,AN311)+SUMIFS(Aut_Ajustes_Manuais!$G:$G,Aut_Ajustes_Manuais!$I:$I,DRE!AL$4,Aut_Ajustes_Manuais!$F:$F,"EBIT")</f>
        <v>-231905.33485200003</v>
      </c>
      <c r="AO316" s="248">
        <v>177993.2202099654</v>
      </c>
      <c r="AP316" s="64">
        <v>61958.746186497803</v>
      </c>
      <c r="AQ316" s="65">
        <f>SUM(AQ314,AQ311)+SUMIFS(Aut_Ajustes_Manuais!$G:$G,Aut_Ajustes_Manuais!$I:$I,DRE!AO$4,Aut_Ajustes_Manuais!$F:$F,"EBIT")</f>
        <v>-238512.82485199999</v>
      </c>
      <c r="AR316" s="248">
        <f t="shared" ref="AR316:BI316" ca="1" si="287">SUM(AR314,AR311)</f>
        <v>-435268.68409027997</v>
      </c>
      <c r="AS316" s="64">
        <f t="shared" ca="1" si="287"/>
        <v>-262852.47585433675</v>
      </c>
      <c r="AT316" s="65">
        <f t="shared" ca="1" si="287"/>
        <v>-201280.9148148573</v>
      </c>
      <c r="AU316" s="248">
        <f t="shared" si="287"/>
        <v>-452110.93459897954</v>
      </c>
      <c r="AV316" s="64">
        <f t="shared" si="287"/>
        <v>-249457.43323696079</v>
      </c>
      <c r="AW316" s="65">
        <f t="shared" si="287"/>
        <v>-1640523.8931148578</v>
      </c>
      <c r="AX316" s="248">
        <f t="shared" si="287"/>
        <v>-272900.90774559008</v>
      </c>
      <c r="AY316" s="64">
        <f t="shared" si="287"/>
        <v>-153313.32945529418</v>
      </c>
      <c r="AZ316" s="65">
        <f t="shared" si="287"/>
        <v>-53730.362888808129</v>
      </c>
      <c r="BA316" s="248">
        <f t="shared" si="287"/>
        <v>-162367.77634468931</v>
      </c>
      <c r="BB316" s="64">
        <f t="shared" si="287"/>
        <v>-109539.1463990428</v>
      </c>
      <c r="BC316" s="65">
        <f t="shared" si="287"/>
        <v>-147550.55192604952</v>
      </c>
      <c r="BD316" s="248">
        <f t="shared" si="287"/>
        <v>-109965.47262533009</v>
      </c>
      <c r="BE316" s="64">
        <f t="shared" si="287"/>
        <v>-21945.799140916439</v>
      </c>
      <c r="BF316" s="65">
        <f t="shared" si="287"/>
        <v>-733431.02374399989</v>
      </c>
      <c r="BG316" s="248">
        <f t="shared" si="287"/>
        <v>93123.222116629244</v>
      </c>
      <c r="BH316" s="64">
        <f t="shared" si="287"/>
        <v>35340.841758293915</v>
      </c>
      <c r="BI316" s="65">
        <f t="shared" si="287"/>
        <v>-705811.95455600007</v>
      </c>
    </row>
    <row r="317" spans="1:61" x14ac:dyDescent="0.3">
      <c r="A317" s="18"/>
      <c r="E317" s="16"/>
      <c r="F317" s="17"/>
      <c r="G317" s="47"/>
      <c r="H317" s="247"/>
      <c r="I317" s="17"/>
      <c r="J317" s="57"/>
      <c r="K317" s="247"/>
      <c r="L317" s="17"/>
      <c r="M317" s="57"/>
      <c r="N317" s="247"/>
      <c r="O317" s="17"/>
      <c r="P317" s="57"/>
      <c r="Q317" s="247"/>
      <c r="R317" s="17"/>
      <c r="S317" s="57"/>
      <c r="T317" s="247"/>
      <c r="U317" s="17"/>
      <c r="V317" s="57"/>
      <c r="W317" s="247"/>
      <c r="X317" s="17"/>
      <c r="Y317" s="57"/>
      <c r="Z317" s="247"/>
      <c r="AA317" s="17"/>
      <c r="AB317" s="57"/>
      <c r="AC317" s="247"/>
      <c r="AD317" s="17"/>
      <c r="AE317" s="57"/>
      <c r="AF317" s="247"/>
      <c r="AG317" s="17"/>
      <c r="AH317" s="57"/>
      <c r="AI317" s="247"/>
      <c r="AJ317" s="17"/>
      <c r="AK317" s="57"/>
      <c r="AL317" s="247"/>
      <c r="AM317" s="17"/>
      <c r="AN317" s="57"/>
      <c r="AO317" s="247"/>
      <c r="AP317" s="17"/>
      <c r="AQ317" s="57"/>
      <c r="AR317" s="247"/>
      <c r="AS317" s="17"/>
      <c r="AT317" s="57"/>
      <c r="AU317" s="247"/>
      <c r="AV317" s="17"/>
      <c r="AW317" s="57"/>
      <c r="AX317" s="247"/>
      <c r="AY317" s="17"/>
      <c r="AZ317" s="57"/>
      <c r="BA317" s="247"/>
      <c r="BB317" s="17"/>
      <c r="BC317" s="57"/>
      <c r="BD317" s="247"/>
      <c r="BE317" s="17"/>
      <c r="BF317" s="57"/>
      <c r="BG317" s="247"/>
      <c r="BH317" s="17"/>
      <c r="BI317" s="57"/>
    </row>
    <row r="318" spans="1:61" x14ac:dyDescent="0.3">
      <c r="A318" s="39" t="s">
        <v>333</v>
      </c>
      <c r="B318" s="59"/>
      <c r="C318" s="136" t="s">
        <v>60</v>
      </c>
      <c r="D318" s="137">
        <v>1.5E-3</v>
      </c>
      <c r="E318" s="62"/>
      <c r="F318" s="63"/>
      <c r="G318" s="47"/>
      <c r="H318" s="244">
        <v>5634.01</v>
      </c>
      <c r="I318" s="42">
        <v>-529.38803943096764</v>
      </c>
      <c r="J318" s="43">
        <f>SUMIFS(Aut_BlueMe_Sem_Pedido!$J:$J,Aut_BlueMe_Sem_Pedido!$Q:$Q,DRE!H$4,Aut_BlueMe_Sem_Pedido!$H:$H,"Tarifas Bancárias")+SUMIFS(Aut_Ajustes_Manuais!$G:$G,Aut_Ajustes_Manuais!$I:$I,DRE!H$4,Aut_Ajustes_Manuais!$F:$F,"Tarifas Bancárias")</f>
        <v>-1081.1300000000001</v>
      </c>
      <c r="K318" s="244">
        <v>5974.45</v>
      </c>
      <c r="L318" s="42">
        <v>-580.34696018571435</v>
      </c>
      <c r="M318" s="43">
        <f>SUMIFS(Aut_BlueMe_Sem_Pedido!$J:$J,Aut_BlueMe_Sem_Pedido!$Q:$Q,DRE!K$4,Aut_BlueMe_Sem_Pedido!$H:$H,"Tarifas Bancárias")+SUMIFS(Aut_Ajustes_Manuais!$G:$G,Aut_Ajustes_Manuais!$I:$I,DRE!K$4,Aut_Ajustes_Manuais!$F:$F,"Tarifas Bancárias")</f>
        <v>-950.45</v>
      </c>
      <c r="N318" s="244">
        <v>5410.98</v>
      </c>
      <c r="O318" s="42">
        <v>-734.1297970403225</v>
      </c>
      <c r="P318" s="43">
        <f>SUMIFS(Aut_BlueMe_Sem_Pedido!$J:$J,Aut_BlueMe_Sem_Pedido!$Q:$Q,DRE!N$4,Aut_BlueMe_Sem_Pedido!$H:$H,"Tarifas Bancárias")+SUMIFS(Aut_Ajustes_Manuais!$G:$G,Aut_Ajustes_Manuais!$I:$I,DRE!N$4,Aut_Ajustes_Manuais!$F:$F,"Tarifas Bancárias")</f>
        <v>266.53999999999996</v>
      </c>
      <c r="Q318" s="244">
        <v>6401.8899999999994</v>
      </c>
      <c r="R318" s="42">
        <v>-695.16728560499996</v>
      </c>
      <c r="S318" s="42">
        <f>SUMIFS(Aut_BlueMe_Sem_Pedido!$J:$J,Aut_BlueMe_Sem_Pedido!$Q:$Q,DRE!Q$4,Aut_BlueMe_Sem_Pedido!$H:$H,"Tarifas Bancárias")+SUMIFS(Aut_Ajustes_Manuais!$G:$G,Aut_Ajustes_Manuais!$I:$I,DRE!Q$4,Aut_Ajustes_Manuais!$F:$F,"Tarifas Bancárias")</f>
        <v>-915.65</v>
      </c>
      <c r="T318" s="244">
        <v>6296.09</v>
      </c>
      <c r="U318" s="42">
        <v>-688.32725428064509</v>
      </c>
      <c r="V318" s="43">
        <f>SUMIFS(Aut_BlueMe_Sem_Pedido!$J:$J,Aut_BlueMe_Sem_Pedido!$Q:$Q,DRE!T$4,Aut_BlueMe_Sem_Pedido!$H:$H,"Tarifas Bancárias")+SUMIFS(Aut_Ajustes_Manuais!$G:$G,Aut_Ajustes_Manuais!$I:$I,DRE!T$4,Aut_Ajustes_Manuais!$F:$F,"Tarifas Bancárias")</f>
        <v>-594.23</v>
      </c>
      <c r="W318" s="244">
        <v>6574</v>
      </c>
      <c r="X318" s="42">
        <v>-639.83857011629027</v>
      </c>
      <c r="Y318" s="43">
        <f>SUMIFS(Aut_BlueMe_Sem_Pedido!$J:$J,Aut_BlueMe_Sem_Pedido!$Q:$Q,DRE!W$4,Aut_BlueMe_Sem_Pedido!$H:$H,"Tarifas Bancárias")+SUMIFS(Aut_Ajustes_Manuais!$G:$G,Aut_Ajustes_Manuais!$I:$I,DRE!W$4,Aut_Ajustes_Manuais!$F:$F,"Tarifas Bancárias")</f>
        <v>-1374.12</v>
      </c>
      <c r="Z318" s="244">
        <v>6100.16</v>
      </c>
      <c r="AA318" s="42">
        <v>-836.74260081290288</v>
      </c>
      <c r="AB318" s="43">
        <f>SUMIFS(Aut_BlueMe_Sem_Pedido!$J:$J,Aut_BlueMe_Sem_Pedido!$Q:$Q,DRE!Z$4,Aut_BlueMe_Sem_Pedido!$H:$H,"Tarifas Bancárias")+SUMIFS(Aut_Ajustes_Manuais!$G:$G,Aut_Ajustes_Manuais!$I:$I,DRE!Z$4,Aut_Ajustes_Manuais!$F:$F,"Tarifas Bancárias")</f>
        <v>-484.65999999999997</v>
      </c>
      <c r="AC318" s="244">
        <v>7040.65</v>
      </c>
      <c r="AD318" s="42">
        <v>-791.60299334999991</v>
      </c>
      <c r="AE318" s="43">
        <f>SUMIFS(Aut_BlueMe_Sem_Pedido!$J:$J,Aut_BlueMe_Sem_Pedido!$Q:$Q,DRE!AC$4,Aut_BlueMe_Sem_Pedido!$H:$H,"Tarifas Bancárias")+SUMIFS(Aut_Ajustes_Manuais!$G:$G,Aut_Ajustes_Manuais!$I:$I,DRE!AC$4,Aut_Ajustes_Manuais!$F:$F,"Tarifas Bancárias")</f>
        <v>-400</v>
      </c>
      <c r="AF318" s="244">
        <v>6831.28</v>
      </c>
      <c r="AG318" s="42">
        <v>-704.98773907419331</v>
      </c>
      <c r="AH318" s="43">
        <f>SUMIFS(Aut_BlueMe_Sem_Pedido!$J:$J,Aut_BlueMe_Sem_Pedido!$Q:$Q,DRE!AF$4,Aut_BlueMe_Sem_Pedido!$H:$H,"Tarifas Bancárias")+SUMIFS(Aut_Ajustes_Manuais!$G:$G,Aut_Ajustes_Manuais!$I:$I,DRE!AF$4,Aut_Ajustes_Manuais!$F:$F,"Tarifas Bancárias")</f>
        <v>-400</v>
      </c>
      <c r="AI318" s="244">
        <v>7141.21</v>
      </c>
      <c r="AJ318" s="42">
        <v>-728.0306598979837</v>
      </c>
      <c r="AK318" s="43">
        <f>SUMIFS(Aut_BlueMe_Sem_Pedido!$J:$J,Aut_BlueMe_Sem_Pedido!$Q:$Q,DRE!AI$4,Aut_BlueMe_Sem_Pedido!$H:$H,"Tarifas Bancárias")+SUMIFS(Aut_Ajustes_Manuais!$G:$G,Aut_Ajustes_Manuais!$I:$I,DRE!AI$4,Aut_Ajustes_Manuais!$F:$F,"Tarifas Bancárias")</f>
        <v>-400</v>
      </c>
      <c r="AL318" s="244">
        <v>7025.4</v>
      </c>
      <c r="AM318" s="42">
        <v>-770.45447169435624</v>
      </c>
      <c r="AN318" s="43">
        <f>SUMIFS(Aut_BlueMe_Sem_Pedido!$J:$J,Aut_BlueMe_Sem_Pedido!$Q:$Q,DRE!AL$4,Aut_BlueMe_Sem_Pedido!$H:$H,"Tarifas Bancárias")+SUMIFS(Aut_Ajustes_Manuais!$G:$G,Aut_Ajustes_Manuais!$I:$I,DRE!AL$4,Aut_Ajustes_Manuais!$F:$F,"Tarifas Bancárias")</f>
        <v>-400</v>
      </c>
      <c r="AO318" s="244">
        <v>7079.3</v>
      </c>
      <c r="AP318" s="42">
        <v>-983.95428301251752</v>
      </c>
      <c r="AQ318" s="43">
        <f>SUMIFS(Aut_BlueMe_Sem_Pedido!$J:$J,Aut_BlueMe_Sem_Pedido!$Q:$Q,DRE!AO$4,Aut_BlueMe_Sem_Pedido!$H:$H,"Tarifas Bancárias")+SUMIFS(Aut_Ajustes_Manuais!$G:$G,Aut_Ajustes_Manuais!$I:$I,DRE!AO$4,Aut_Ajustes_Manuais!$F:$F,"Tarifas Bancárias")</f>
        <v>-400</v>
      </c>
      <c r="AR318" s="244">
        <f ca="1">SUMIFS($H318:$AO318,$H$5:$AO$5,"&lt;"&amp;MONTH(TODAY()),$H$6:$AO$6,"REAL 25")</f>
        <v>36291.42</v>
      </c>
      <c r="AS318" s="42">
        <f ca="1">SUMIFS($I318:$AP318,$I$5:$AP$5,"&lt;"&amp;MONTH(TODAY()),$I$6:$AP$6,"ORÇADO ")</f>
        <v>-3867.1979066589397</v>
      </c>
      <c r="AT318" s="43">
        <f ca="1">SUMIFS($J318:$AQ318,$J$5:$AQ$5,"&lt;"&amp;MONTH(TODAY()),$J$6:$AQ$6,"REAL 26")</f>
        <v>-4649.04</v>
      </c>
      <c r="AU318" s="244">
        <f>SUM(H318,K318,N318,Q318,T318,W318,Z318,AC318,AF318,AI318,AL318,AO318)</f>
        <v>77509.42</v>
      </c>
      <c r="AV318" s="42">
        <f>SUM(I318,L318,O318,R318,U318,X318,AA318,AD318,AG318,AJ318,AM318,AP318)</f>
        <v>-8682.9706545008939</v>
      </c>
      <c r="AW318" s="43">
        <f>SUM(J318,M318,P318,S318,V318,Y318,AB318,AE318,AH318,AK318,AN318,AQ318)</f>
        <v>-7133.7</v>
      </c>
      <c r="AX318" s="244">
        <f>SUM(H318,K318,N318)</f>
        <v>17019.439999999999</v>
      </c>
      <c r="AY318" s="42">
        <f>SUM(I318,L318,O318)</f>
        <v>-1843.8647966570045</v>
      </c>
      <c r="AZ318" s="43">
        <f>SUM(J318,M318,P318)</f>
        <v>-1765.0400000000002</v>
      </c>
      <c r="BA318" s="244">
        <f>SUM(Q318,T318,W318)</f>
        <v>19271.98</v>
      </c>
      <c r="BB318" s="42">
        <f>SUM(R318,U318,X318)</f>
        <v>-2023.3331100019354</v>
      </c>
      <c r="BC318" s="43">
        <f>SUM(S318,V318,Y318)</f>
        <v>-2884</v>
      </c>
      <c r="BD318" s="244">
        <f>SUM(Z318,AC318,AF318)</f>
        <v>19972.09</v>
      </c>
      <c r="BE318" s="42">
        <f>SUM(AA318,AD318,AG318)</f>
        <v>-2333.3333332370958</v>
      </c>
      <c r="BF318" s="43">
        <f>SUM(AB318,AE318,AH318)</f>
        <v>-1284.6599999999999</v>
      </c>
      <c r="BG318" s="244">
        <f>SUM(AI318,AL318,AO318)</f>
        <v>21245.91</v>
      </c>
      <c r="BH318" s="42">
        <f>SUM(AJ318,AM318,AP318)</f>
        <v>-2482.4394146048576</v>
      </c>
      <c r="BI318" s="43">
        <f>SUM(AK318,AN318,AQ318)</f>
        <v>-1200</v>
      </c>
    </row>
    <row r="319" spans="1:61" x14ac:dyDescent="0.3">
      <c r="A319" s="18"/>
      <c r="E319" s="16"/>
      <c r="F319" s="17"/>
      <c r="G319" s="47"/>
      <c r="H319" s="247"/>
      <c r="I319" s="17">
        <v>1</v>
      </c>
      <c r="J319" s="57"/>
      <c r="K319" s="247"/>
      <c r="L319" s="17">
        <v>2</v>
      </c>
      <c r="M319" s="57"/>
      <c r="N319" s="247"/>
      <c r="O319" s="17">
        <v>3</v>
      </c>
      <c r="P319" s="57"/>
      <c r="Q319" s="247"/>
      <c r="R319" s="17">
        <v>4</v>
      </c>
      <c r="S319" s="57"/>
      <c r="T319" s="247"/>
      <c r="U319" s="17">
        <v>5</v>
      </c>
      <c r="V319" s="57"/>
      <c r="W319" s="247"/>
      <c r="X319" s="17">
        <v>6</v>
      </c>
      <c r="Y319" s="57"/>
      <c r="Z319" s="247"/>
      <c r="AA319" s="17">
        <v>7</v>
      </c>
      <c r="AB319" s="57"/>
      <c r="AC319" s="247"/>
      <c r="AD319" s="17">
        <v>8</v>
      </c>
      <c r="AE319" s="57"/>
      <c r="AF319" s="247"/>
      <c r="AG319" s="17">
        <v>9</v>
      </c>
      <c r="AH319" s="57"/>
      <c r="AI319" s="247"/>
      <c r="AJ319" s="17">
        <v>10</v>
      </c>
      <c r="AK319" s="57"/>
      <c r="AL319" s="247"/>
      <c r="AM319" s="17">
        <v>11</v>
      </c>
      <c r="AN319" s="57"/>
      <c r="AO319" s="247"/>
      <c r="AP319" s="17">
        <v>12</v>
      </c>
      <c r="AQ319" s="57"/>
      <c r="AR319" s="247"/>
      <c r="AS319" s="17"/>
      <c r="AT319" s="57"/>
      <c r="AU319" s="247"/>
      <c r="AV319" s="17"/>
      <c r="AW319" s="57"/>
      <c r="AX319" s="247"/>
      <c r="AY319" s="17"/>
      <c r="AZ319" s="57"/>
      <c r="BA319" s="247"/>
      <c r="BB319" s="17"/>
      <c r="BC319" s="57"/>
      <c r="BD319" s="247"/>
      <c r="BE319" s="17"/>
      <c r="BF319" s="57"/>
      <c r="BG319" s="247"/>
      <c r="BH319" s="17"/>
      <c r="BI319" s="57"/>
    </row>
    <row r="320" spans="1:61" x14ac:dyDescent="0.3">
      <c r="A320" s="39" t="s">
        <v>334</v>
      </c>
      <c r="B320" s="59"/>
      <c r="C320" s="136" t="s">
        <v>335</v>
      </c>
      <c r="D320" s="137"/>
      <c r="E320" s="62"/>
      <c r="F320" s="63"/>
      <c r="G320" s="47"/>
      <c r="H320" s="244">
        <v>0</v>
      </c>
      <c r="I320" s="42"/>
      <c r="J320" s="43">
        <f>SUMIFS(Aut_Receitas_Extraord!$L:$L,Aut_Receitas_Extraord!$V:$V,DRE!H$4,Aut_Receitas_Extraord!$D:$D,"Patrocínio")+SUMIFS(Aut_Ajustes_Manuais!$G:$G,Aut_Ajustes_Manuais!$I:$I,DRE!H$4,Aut_Ajustes_Manuais!$F:$F,"(+) Receitas de Patrocínio")</f>
        <v>0</v>
      </c>
      <c r="K320" s="244">
        <v>0</v>
      </c>
      <c r="L320" s="42"/>
      <c r="M320" s="43">
        <f>SUMIFS(Aut_Receitas_Extraord!$L:$L,Aut_Receitas_Extraord!$V:$V,DRE!K$4,Aut_Receitas_Extraord!$D:$D,"Patrocínio")+SUMIFS(Aut_Ajustes_Manuais!$G:$G,Aut_Ajustes_Manuais!$I:$I,DRE!K$4,Aut_Ajustes_Manuais!$F:$F,"(+) Receitas de Patrocínio")</f>
        <v>0</v>
      </c>
      <c r="N320" s="244">
        <v>0</v>
      </c>
      <c r="O320" s="42">
        <v>3100</v>
      </c>
      <c r="P320" s="43">
        <f>SUMIFS(Aut_Receitas_Extraord!$L:$L,Aut_Receitas_Extraord!$V:$V,DRE!N$4,Aut_Receitas_Extraord!$D:$D,"Patrocínio")+SUMIFS(Aut_Ajustes_Manuais!$G:$G,Aut_Ajustes_Manuais!$I:$I,DRE!N$4,Aut_Ajustes_Manuais!$F:$F,"(+) Receitas de Patrocínio")</f>
        <v>0</v>
      </c>
      <c r="Q320" s="244">
        <v>3100</v>
      </c>
      <c r="R320" s="42"/>
      <c r="S320" s="43">
        <f>SUMIFS(Aut_Receitas_Extraord!$L:$L,Aut_Receitas_Extraord!$V:$V,DRE!Q$4,Aut_Receitas_Extraord!$D:$D,"Patrocínio")+SUMIFS(Aut_Ajustes_Manuais!$G:$G,Aut_Ajustes_Manuais!$I:$I,DRE!Q$4,Aut_Ajustes_Manuais!$F:$F,"(+) Receitas de Patrocínio")</f>
        <v>0</v>
      </c>
      <c r="T320" s="244">
        <v>1023</v>
      </c>
      <c r="U320" s="42"/>
      <c r="V320" s="43">
        <f>SUMIFS(Aut_Receitas_Extraord!$L:$L,Aut_Receitas_Extraord!$V:$V,DRE!T$4,Aut_Receitas_Extraord!$D:$D,"Patrocínio")+SUMIFS(Aut_Ajustes_Manuais!$G:$G,Aut_Ajustes_Manuais!$I:$I,DRE!T$4,Aut_Ajustes_Manuais!$F:$F,"(+) Receitas de Patrocínio")</f>
        <v>0</v>
      </c>
      <c r="W320" s="244">
        <v>51000</v>
      </c>
      <c r="X320" s="42">
        <v>3100</v>
      </c>
      <c r="Y320" s="43">
        <f>SUMIFS(Aut_Receitas_Extraord!$L:$L,Aut_Receitas_Extraord!$V:$V,DRE!W$4,Aut_Receitas_Extraord!$D:$D,"Patrocínio")+SUMIFS(Aut_Ajustes_Manuais!$G:$G,Aut_Ajustes_Manuais!$I:$I,DRE!W$4,Aut_Ajustes_Manuais!$F:$F,"(+) Receitas de Patrocínio")</f>
        <v>0</v>
      </c>
      <c r="Z320" s="244">
        <v>0</v>
      </c>
      <c r="AA320" s="42"/>
      <c r="AB320" s="43">
        <f>SUMIFS(Aut_Receitas_Extraord!$L:$L,Aut_Receitas_Extraord!$V:$V,DRE!Z$4,Aut_Receitas_Extraord!$D:$D,"Patrocínio")+SUMIFS(Aut_Ajustes_Manuais!$G:$G,Aut_Ajustes_Manuais!$I:$I,DRE!Z$4,Aut_Ajustes_Manuais!$F:$F,"(+) Receitas de Patrocínio")</f>
        <v>0</v>
      </c>
      <c r="AC320" s="244">
        <v>0</v>
      </c>
      <c r="AD320" s="42"/>
      <c r="AE320" s="43">
        <f>SUMIFS(Aut_Receitas_Extraord!$L:$L,Aut_Receitas_Extraord!$V:$V,DRE!AC$4,Aut_Receitas_Extraord!$D:$D,"Patrocínio")+SUMIFS(Aut_Ajustes_Manuais!$G:$G,Aut_Ajustes_Manuais!$I:$I,DRE!AC$4,Aut_Ajustes_Manuais!$F:$F,"(+) Receitas de Patrocínio")</f>
        <v>0</v>
      </c>
      <c r="AF320" s="244">
        <v>3100</v>
      </c>
      <c r="AG320" s="42">
        <v>3100</v>
      </c>
      <c r="AH320" s="43">
        <f>SUMIFS(Aut_Receitas_Extraord!$L:$L,Aut_Receitas_Extraord!$V:$V,DRE!AF$4,Aut_Receitas_Extraord!$D:$D,"Patrocínio")+SUMIFS(Aut_Ajustes_Manuais!$G:$G,Aut_Ajustes_Manuais!$I:$I,DRE!AF$4,Aut_Ajustes_Manuais!$F:$F,"(+) Receitas de Patrocínio")</f>
        <v>0</v>
      </c>
      <c r="AI320" s="244">
        <v>37816</v>
      </c>
      <c r="AJ320" s="42">
        <v>40256</v>
      </c>
      <c r="AK320" s="43">
        <f>SUMIFS(Aut_Receitas_Extraord!$L:$L,Aut_Receitas_Extraord!$V:$V,DRE!AI$4,Aut_Receitas_Extraord!$D:$D,"Patrocínio")+SUMIFS(Aut_Ajustes_Manuais!$G:$G,Aut_Ajustes_Manuais!$I:$I,DRE!AI$4,Aut_Ajustes_Manuais!$F:$F,"(+) Receitas de Patrocínio")</f>
        <v>0</v>
      </c>
      <c r="AL320" s="244">
        <v>0</v>
      </c>
      <c r="AM320" s="42"/>
      <c r="AN320" s="43">
        <f>SUMIFS(Aut_Receitas_Extraord!$L:$L,Aut_Receitas_Extraord!$V:$V,DRE!AL$4,Aut_Receitas_Extraord!$D:$D,"Patrocínio")+SUMIFS(Aut_Ajustes_Manuais!$G:$G,Aut_Ajustes_Manuais!$I:$I,DRE!AL$4,Aut_Ajustes_Manuais!$F:$F,"(+) Receitas de Patrocínio")</f>
        <v>0</v>
      </c>
      <c r="AO320" s="244">
        <v>0</v>
      </c>
      <c r="AP320" s="42">
        <v>3100</v>
      </c>
      <c r="AQ320" s="43">
        <f>SUMIFS(Aut_Receitas_Extraord!$L:$L,Aut_Receitas_Extraord!$V:$V,DRE!AO$4,Aut_Receitas_Extraord!$D:$D,"Patrocínio")+SUMIFS(Aut_Ajustes_Manuais!$G:$G,Aut_Ajustes_Manuais!$I:$I,DRE!AO$4,Aut_Ajustes_Manuais!$F:$F,"(+) Receitas de Patrocínio")</f>
        <v>0</v>
      </c>
      <c r="AR320" s="244">
        <f ca="1">SUMIFS($H320:$AO320,$H$5:$AO$5,"&lt;"&amp;MONTH(TODAY()),$H$6:$AO$6,"REAL 25")</f>
        <v>55123</v>
      </c>
      <c r="AS320" s="42">
        <f ca="1">SUMIFS($I320:$AP320,$I$5:$AP$5,"&lt;"&amp;MONTH(TODAY()),$I$6:$AP$6,"ORÇADO ")</f>
        <v>6200</v>
      </c>
      <c r="AT320" s="43">
        <f ca="1">SUMIFS($J320:$AQ320,$J$5:$AQ$5,"&lt;"&amp;MONTH(TODAY()),$J$6:$AQ$6,"REAL 26")</f>
        <v>0</v>
      </c>
      <c r="AU320" s="244">
        <f t="shared" ref="AU320:AW321" si="288">SUM(H320,K320,N320,Q320,T320,W320,Z320,AC320,AF320,AI320,AL320,AO320)</f>
        <v>96039</v>
      </c>
      <c r="AV320" s="42">
        <f t="shared" si="288"/>
        <v>52656</v>
      </c>
      <c r="AW320" s="43">
        <f t="shared" si="288"/>
        <v>0</v>
      </c>
      <c r="AX320" s="244">
        <f t="shared" ref="AX320:AZ321" si="289">SUM(H320,K320,N320)</f>
        <v>0</v>
      </c>
      <c r="AY320" s="42">
        <f t="shared" si="289"/>
        <v>3100</v>
      </c>
      <c r="AZ320" s="43">
        <f t="shared" si="289"/>
        <v>0</v>
      </c>
      <c r="BA320" s="244">
        <f t="shared" ref="BA320:BC321" si="290">SUM(Q320,T320,W320)</f>
        <v>55123</v>
      </c>
      <c r="BB320" s="42">
        <f t="shared" si="290"/>
        <v>3100</v>
      </c>
      <c r="BC320" s="43">
        <f t="shared" si="290"/>
        <v>0</v>
      </c>
      <c r="BD320" s="244">
        <f t="shared" ref="BD320:BF321" si="291">SUM(Z320,AC320,AF320)</f>
        <v>3100</v>
      </c>
      <c r="BE320" s="42">
        <f t="shared" si="291"/>
        <v>3100</v>
      </c>
      <c r="BF320" s="43">
        <f t="shared" si="291"/>
        <v>0</v>
      </c>
      <c r="BG320" s="244">
        <f t="shared" ref="BG320:BI321" si="292">SUM(AI320,AL320,AO320)</f>
        <v>37816</v>
      </c>
      <c r="BH320" s="42">
        <f t="shared" si="292"/>
        <v>43356</v>
      </c>
      <c r="BI320" s="43">
        <f t="shared" si="292"/>
        <v>0</v>
      </c>
    </row>
    <row r="321" spans="1:61" x14ac:dyDescent="0.3">
      <c r="A321" s="39" t="s">
        <v>336</v>
      </c>
      <c r="B321" s="59"/>
      <c r="C321" s="138" t="s">
        <v>337</v>
      </c>
      <c r="D321" s="139">
        <v>0</v>
      </c>
      <c r="E321" s="62"/>
      <c r="F321" s="63"/>
      <c r="G321" s="47"/>
      <c r="H321" s="263">
        <v>-4518.8999999999996</v>
      </c>
      <c r="I321" s="140"/>
      <c r="J321" s="141">
        <f>SUMIFS(Aut_BlueMe_Sem_Pedido!$J:$J,Aut_BlueMe_Sem_Pedido!$Q:$Q,DRE!H$4,Aut_BlueMe_Sem_Pedido!$H:$H,DRE!$A321)+SUMIFS(Aut_Ajustes_Manuais!$G:$G,Aut_Ajustes_Manuais!$I:$I,DRE!H$4,Aut_Ajustes_Manuais!$F:$F,"(-) Despesas de Patrocínio")</f>
        <v>0</v>
      </c>
      <c r="K321" s="263">
        <v>-1861.5</v>
      </c>
      <c r="L321" s="140"/>
      <c r="M321" s="141">
        <f>SUMIFS(Aut_BlueMe_Sem_Pedido!$J:$J,Aut_BlueMe_Sem_Pedido!$Q:$Q,DRE!K$4,Aut_BlueMe_Sem_Pedido!$H:$H,DRE!$A321)+SUMIFS(Aut_Ajustes_Manuais!$G:$G,Aut_Ajustes_Manuais!$I:$I,DRE!K$4,Aut_Ajustes_Manuais!$F:$F,"(-) Despesas de Patrocínio")</f>
        <v>0</v>
      </c>
      <c r="N321" s="263">
        <v>-720</v>
      </c>
      <c r="O321" s="140"/>
      <c r="P321" s="141">
        <f>SUMIFS(Aut_BlueMe_Sem_Pedido!$J:$J,Aut_BlueMe_Sem_Pedido!$Q:$Q,DRE!N$4,Aut_BlueMe_Sem_Pedido!$H:$H,DRE!$A321)+SUMIFS(Aut_Ajustes_Manuais!$G:$G,Aut_Ajustes_Manuais!$I:$I,DRE!N$4,Aut_Ajustes_Manuais!$F:$F,"(-) Despesas de Patrocínio")</f>
        <v>0</v>
      </c>
      <c r="Q321" s="263">
        <v>0</v>
      </c>
      <c r="R321" s="140"/>
      <c r="S321" s="141">
        <f>SUMIFS(Aut_BlueMe_Sem_Pedido!$J:$J,Aut_BlueMe_Sem_Pedido!$Q:$Q,DRE!Q$4,Aut_BlueMe_Sem_Pedido!$H:$H,DRE!$A321)+SUMIFS(Aut_Ajustes_Manuais!$G:$G,Aut_Ajustes_Manuais!$I:$I,DRE!Q$4,Aut_Ajustes_Manuais!$F:$F,"(-) Despesas de Patrocínio")</f>
        <v>0</v>
      </c>
      <c r="T321" s="263">
        <v>0</v>
      </c>
      <c r="U321" s="140"/>
      <c r="V321" s="141">
        <f>SUMIFS(Aut_BlueMe_Sem_Pedido!$J:$J,Aut_BlueMe_Sem_Pedido!$Q:$Q,DRE!T$4,Aut_BlueMe_Sem_Pedido!$H:$H,DRE!$A321)+SUMIFS(Aut_Ajustes_Manuais!$G:$G,Aut_Ajustes_Manuais!$I:$I,DRE!T$4,Aut_Ajustes_Manuais!$F:$F,"(-) Despesas de Patrocínio")</f>
        <v>0</v>
      </c>
      <c r="W321" s="263">
        <v>0</v>
      </c>
      <c r="X321" s="140"/>
      <c r="Y321" s="141">
        <f>SUMIFS(Aut_BlueMe_Sem_Pedido!$J:$J,Aut_BlueMe_Sem_Pedido!$Q:$Q,DRE!W$4,Aut_BlueMe_Sem_Pedido!$H:$H,DRE!$A321)+SUMIFS(Aut_Ajustes_Manuais!$G:$G,Aut_Ajustes_Manuais!$I:$I,DRE!W$4,Aut_Ajustes_Manuais!$F:$F,"(-) Despesas de Patrocínio")</f>
        <v>0</v>
      </c>
      <c r="Z321" s="263">
        <v>0</v>
      </c>
      <c r="AA321" s="140"/>
      <c r="AB321" s="141">
        <f>SUMIFS(Aut_BlueMe_Sem_Pedido!$J:$J,Aut_BlueMe_Sem_Pedido!$Q:$Q,DRE!Z$4,Aut_BlueMe_Sem_Pedido!$H:$H,DRE!$A321)+SUMIFS(Aut_Ajustes_Manuais!$G:$G,Aut_Ajustes_Manuais!$I:$I,DRE!Z$4,Aut_Ajustes_Manuais!$F:$F,"(-) Despesas de Patrocínio")</f>
        <v>0</v>
      </c>
      <c r="AC321" s="263">
        <v>0</v>
      </c>
      <c r="AD321" s="140"/>
      <c r="AE321" s="141">
        <f>SUMIFS(Aut_BlueMe_Sem_Pedido!$J:$J,Aut_BlueMe_Sem_Pedido!$Q:$Q,DRE!AC$4,Aut_BlueMe_Sem_Pedido!$H:$H,DRE!$A321)+SUMIFS(Aut_Ajustes_Manuais!$G:$G,Aut_Ajustes_Manuais!$I:$I,DRE!AC$4,Aut_Ajustes_Manuais!$F:$F,"(-) Despesas de Patrocínio")</f>
        <v>0</v>
      </c>
      <c r="AF321" s="263">
        <v>0</v>
      </c>
      <c r="AG321" s="140"/>
      <c r="AH321" s="141">
        <f>SUMIFS(Aut_BlueMe_Sem_Pedido!$J:$J,Aut_BlueMe_Sem_Pedido!$Q:$Q,DRE!AF$4,Aut_BlueMe_Sem_Pedido!$H:$H,DRE!$A321)+SUMIFS(Aut_Ajustes_Manuais!$G:$G,Aut_Ajustes_Manuais!$I:$I,DRE!AF$4,Aut_Ajustes_Manuais!$F:$F,"(-) Despesas de Patrocínio")</f>
        <v>0</v>
      </c>
      <c r="AI321" s="263">
        <v>0</v>
      </c>
      <c r="AJ321" s="140"/>
      <c r="AK321" s="141">
        <f>SUMIFS(Aut_BlueMe_Sem_Pedido!$J:$J,Aut_BlueMe_Sem_Pedido!$Q:$Q,DRE!AI$4,Aut_BlueMe_Sem_Pedido!$H:$H,DRE!$A321)+SUMIFS(Aut_Ajustes_Manuais!$G:$G,Aut_Ajustes_Manuais!$I:$I,DRE!AI$4,Aut_Ajustes_Manuais!$F:$F,"(-) Despesas de Patrocínio")</f>
        <v>0</v>
      </c>
      <c r="AL321" s="263">
        <v>0</v>
      </c>
      <c r="AM321" s="140"/>
      <c r="AN321" s="141">
        <f>SUMIFS(Aut_BlueMe_Sem_Pedido!$J:$J,Aut_BlueMe_Sem_Pedido!$Q:$Q,DRE!AL$4,Aut_BlueMe_Sem_Pedido!$H:$H,DRE!$A321)+SUMIFS(Aut_Ajustes_Manuais!$G:$G,Aut_Ajustes_Manuais!$I:$I,DRE!AL$4,Aut_Ajustes_Manuais!$F:$F,"(-) Despesas de Patrocínio")</f>
        <v>0</v>
      </c>
      <c r="AO321" s="263">
        <v>0</v>
      </c>
      <c r="AP321" s="140"/>
      <c r="AQ321" s="141">
        <f>SUMIFS(Aut_BlueMe_Sem_Pedido!$J:$J,Aut_BlueMe_Sem_Pedido!$Q:$Q,DRE!AO$4,Aut_BlueMe_Sem_Pedido!$H:$H,DRE!$A321)+SUMIFS(Aut_Ajustes_Manuais!$G:$G,Aut_Ajustes_Manuais!$I:$I,DRE!AO$4,Aut_Ajustes_Manuais!$F:$F,"(-) Despesas de Patrocínio")</f>
        <v>0</v>
      </c>
      <c r="AR321" s="263">
        <f ca="1">SUMIFS($H321:$AO321,$H$5:$AO$5,"&lt;"&amp;MONTH(TODAY()),$H$6:$AO$6,"REAL 25")</f>
        <v>-7100.4</v>
      </c>
      <c r="AS321" s="140">
        <f ca="1">SUMIFS($I321:$AP321,$I$5:$AP$5,"&lt;"&amp;MONTH(TODAY()),$I$6:$AP$6,"ORÇADO ")</f>
        <v>0</v>
      </c>
      <c r="AT321" s="141">
        <f ca="1">SUMIFS($J321:$AQ321,$J$5:$AQ$5,"&lt;"&amp;MONTH(TODAY()),$J$6:$AQ$6,"REAL 26")</f>
        <v>0</v>
      </c>
      <c r="AU321" s="263">
        <f t="shared" si="288"/>
        <v>-7100.4</v>
      </c>
      <c r="AV321" s="140">
        <f t="shared" si="288"/>
        <v>0</v>
      </c>
      <c r="AW321" s="141">
        <f t="shared" si="288"/>
        <v>0</v>
      </c>
      <c r="AX321" s="263">
        <f t="shared" si="289"/>
        <v>-7100.4</v>
      </c>
      <c r="AY321" s="140">
        <f t="shared" si="289"/>
        <v>0</v>
      </c>
      <c r="AZ321" s="141">
        <f t="shared" si="289"/>
        <v>0</v>
      </c>
      <c r="BA321" s="263">
        <f t="shared" si="290"/>
        <v>0</v>
      </c>
      <c r="BB321" s="140">
        <f t="shared" si="290"/>
        <v>0</v>
      </c>
      <c r="BC321" s="141">
        <f t="shared" si="290"/>
        <v>0</v>
      </c>
      <c r="BD321" s="263">
        <f t="shared" si="291"/>
        <v>0</v>
      </c>
      <c r="BE321" s="140">
        <f t="shared" si="291"/>
        <v>0</v>
      </c>
      <c r="BF321" s="141">
        <f t="shared" si="291"/>
        <v>0</v>
      </c>
      <c r="BG321" s="263">
        <f t="shared" si="292"/>
        <v>0</v>
      </c>
      <c r="BH321" s="140">
        <f t="shared" si="292"/>
        <v>0</v>
      </c>
      <c r="BI321" s="141">
        <f t="shared" si="292"/>
        <v>0</v>
      </c>
    </row>
    <row r="322" spans="1:61" x14ac:dyDescent="0.3">
      <c r="A322" s="18"/>
      <c r="E322" s="16"/>
      <c r="F322" s="17"/>
      <c r="G322" s="47"/>
      <c r="H322" s="264"/>
      <c r="I322" s="237"/>
      <c r="J322" s="265"/>
      <c r="K322" s="264"/>
      <c r="L322" s="237"/>
      <c r="M322" s="265"/>
      <c r="N322" s="264"/>
      <c r="O322" s="237"/>
      <c r="P322" s="265"/>
      <c r="Q322" s="264"/>
      <c r="R322" s="237"/>
      <c r="S322" s="265"/>
      <c r="T322" s="264"/>
      <c r="U322" s="237"/>
      <c r="V322" s="265"/>
      <c r="W322" s="264"/>
      <c r="X322" s="237"/>
      <c r="Y322" s="265"/>
      <c r="Z322" s="264"/>
      <c r="AA322" s="237"/>
      <c r="AB322" s="265"/>
      <c r="AC322" s="264"/>
      <c r="AD322" s="237"/>
      <c r="AE322" s="265"/>
      <c r="AF322" s="264"/>
      <c r="AG322" s="237"/>
      <c r="AH322" s="265"/>
      <c r="AI322" s="264"/>
      <c r="AJ322" s="237"/>
      <c r="AK322" s="265"/>
      <c r="AL322" s="264"/>
      <c r="AM322" s="237"/>
      <c r="AN322" s="265"/>
      <c r="AO322" s="264"/>
      <c r="AP322" s="237"/>
      <c r="AQ322" s="265"/>
      <c r="AR322" s="264"/>
      <c r="AS322" s="237"/>
      <c r="AT322" s="265"/>
      <c r="AU322" s="264"/>
      <c r="AV322" s="237"/>
      <c r="AW322" s="265"/>
      <c r="AX322" s="264"/>
      <c r="AY322" s="237"/>
      <c r="AZ322" s="265"/>
      <c r="BA322" s="264"/>
      <c r="BB322" s="237"/>
      <c r="BC322" s="265"/>
      <c r="BD322" s="264"/>
      <c r="BE322" s="237"/>
      <c r="BF322" s="265"/>
      <c r="BG322" s="264"/>
      <c r="BH322" s="237"/>
      <c r="BI322" s="265"/>
    </row>
    <row r="323" spans="1:61" x14ac:dyDescent="0.3">
      <c r="A323" s="58" t="s">
        <v>338</v>
      </c>
      <c r="B323" s="59"/>
      <c r="C323" s="60"/>
      <c r="D323" s="61"/>
      <c r="E323" s="62"/>
      <c r="F323" s="63"/>
      <c r="G323" s="47"/>
      <c r="H323" s="248">
        <v>-119801.2574969057</v>
      </c>
      <c r="I323" s="64">
        <v>-75082.011680670359</v>
      </c>
      <c r="J323" s="65">
        <f>SUM(J321,J320,J318,J316)+SUMIFS(Aut_Ajustes_Manuais!$G:$G,Aut_Ajustes_Manuais!$I:$I,DRE!H$4,Aut_Ajustes_Manuais!$F:$F,"Resultado Antes do IR")</f>
        <v>-49249.670775607221</v>
      </c>
      <c r="K323" s="248">
        <v>-95370.546722212413</v>
      </c>
      <c r="L323" s="64">
        <v>-60697.548138995342</v>
      </c>
      <c r="M323" s="65">
        <f>SUM(M321,M320,M318,M316)+SUMIFS(Aut_Ajustes_Manuais!$G:$G,Aut_Ajustes_Manuais!$I:$I,DRE!K$4,Aut_Ajustes_Manuais!$F:$F,"Resultado Antes do IR")</f>
        <v>-31261.714525369276</v>
      </c>
      <c r="N323" s="248">
        <v>-47810.063526471997</v>
      </c>
      <c r="O323" s="64">
        <v>-16277.6344322856</v>
      </c>
      <c r="P323" s="65">
        <f>SUM(P321,P320,P318,P316)+SUMIFS(Aut_Ajustes_Manuais!$G:$G,Aut_Ajustes_Manuais!$I:$I,DRE!N$4,Aut_Ajustes_Manuais!$F:$F,"Resultado Antes do IR")</f>
        <v>25015.982412168371</v>
      </c>
      <c r="Q323" s="248">
        <v>-37067.402338656699</v>
      </c>
      <c r="R323" s="64">
        <v>-29170.867909696259</v>
      </c>
      <c r="S323" s="65">
        <f>SUM(S321,S320,S318,S316)+SUMIFS(Aut_Ajustes_Manuais!$G:$G,Aut_Ajustes_Manuais!$I:$I,DRE!Q$4,Aut_Ajustes_Manuais!$F:$F,"Resultado Antes do IR")</f>
        <v>-47622.199624720764</v>
      </c>
      <c r="T323" s="248">
        <v>-57612.503908050043</v>
      </c>
      <c r="U323" s="64">
        <v>-34589.25741741401</v>
      </c>
      <c r="V323" s="65">
        <f>SUM(V321,V320,V318,V316)+SUMIFS(Aut_Ajustes_Manuais!$G:$G,Aut_Ajustes_Manuais!$I:$I,DRE!T$4,Aut_Ajustes_Manuais!$F:$F,"Resultado Antes do IR")</f>
        <v>-54601.463540063436</v>
      </c>
      <c r="W323" s="248">
        <v>6707.1099020175461</v>
      </c>
      <c r="X323" s="64">
        <v>-44702.354181934759</v>
      </c>
      <c r="Y323" s="65">
        <f>SUM(Y321,Y320,Y318,Y316)+SUMIFS(Aut_Ajustes_Manuais!$G:$G,Aut_Ajustes_Manuais!$I:$I,DRE!W$4,Aut_Ajustes_Manuais!$F:$F,"Resultado Antes do IR")</f>
        <v>-48210.888761265065</v>
      </c>
      <c r="Z323" s="248">
        <v>-13882.8242787864</v>
      </c>
      <c r="AA323" s="64">
        <v>10406.71929482606</v>
      </c>
      <c r="AB323" s="65">
        <f>SUM(AB321,AB320,AB318,AB316)+SUMIFS(Aut_Ajustes_Manuais!$G:$G,Aut_Ajustes_Manuais!$I:$I,DRE!Z$4,Aut_Ajustes_Manuais!$F:$F,"Resultado Antes do IR")</f>
        <v>-202167.25404000006</v>
      </c>
      <c r="AC323" s="248">
        <v>-10925.56838261088</v>
      </c>
      <c r="AD323" s="64">
        <v>-6768.2512764030143</v>
      </c>
      <c r="AE323" s="65">
        <f>SUM(AE321,AE320,AE318,AE316)+SUMIFS(Aut_Ajustes_Manuais!$G:$G,Aut_Ajustes_Manuais!$I:$I,DRE!AC$4,Aut_Ajustes_Manuais!$F:$F,"Resultado Antes do IR")</f>
        <v>-288875.34485200001</v>
      </c>
      <c r="AF323" s="248">
        <v>-62084.989963932341</v>
      </c>
      <c r="AG323" s="64">
        <v>-24817.60049257669</v>
      </c>
      <c r="AH323" s="65">
        <f>SUM(AH321,AH320,AH318,AH316)+SUMIFS(Aut_Ajustes_Manuais!$G:$G,Aut_Ajustes_Manuais!$I:$I,DRE!AF$4,Aut_Ajustes_Manuais!$F:$F,"Resultado Antes do IR")</f>
        <v>-243673.08485199997</v>
      </c>
      <c r="AI323" s="248">
        <v>-130.4129565716066</v>
      </c>
      <c r="AJ323" s="64">
        <v>19496.72686585426</v>
      </c>
      <c r="AK323" s="65">
        <f>SUM(AK321,AK320,AK318,AK316)+SUMIFS(Aut_Ajustes_Manuais!$G:$G,Aut_Ajustes_Manuais!$I:$I,DRE!AI$4,Aut_Ajustes_Manuais!$F:$F,"Resultado Antes do IR")</f>
        <v>-235793.79485200002</v>
      </c>
      <c r="AL323" s="248">
        <v>-32756.975136764369</v>
      </c>
      <c r="AM323" s="64">
        <v>-7357.1164256505363</v>
      </c>
      <c r="AN323" s="65">
        <f>SUM(AN321,AN320,AN318,AN316)+SUMIFS(Aut_Ajustes_Manuais!$G:$G,Aut_Ajustes_Manuais!$I:$I,DRE!AL$4,Aut_Ajustes_Manuais!$F:$F,"Resultado Antes do IR")</f>
        <v>-232305.33485200003</v>
      </c>
      <c r="AO323" s="248">
        <v>185072.52020996541</v>
      </c>
      <c r="AP323" s="64">
        <v>64074.791903485268</v>
      </c>
      <c r="AQ323" s="65">
        <f>SUM(AQ321,AQ320,AQ318,AQ316)+SUMIFS(Aut_Ajustes_Manuais!$G:$G,Aut_Ajustes_Manuais!$I:$I,DRE!AO$4,Aut_Ajustes_Manuais!$F:$F,"Resultado Antes do IR")</f>
        <v>-238912.82485199999</v>
      </c>
      <c r="AR323" s="248">
        <f t="shared" ref="AR323:BI323" ca="1" si="293">SUM(AR321,AR320,AR318,AR316)</f>
        <v>-350954.66409027996</v>
      </c>
      <c r="AS323" s="64">
        <f t="shared" ca="1" si="293"/>
        <v>-260519.67376099568</v>
      </c>
      <c r="AT323" s="65">
        <f t="shared" ca="1" si="293"/>
        <v>-205929.95481485731</v>
      </c>
      <c r="AU323" s="248">
        <f t="shared" si="293"/>
        <v>-285662.91459897952</v>
      </c>
      <c r="AV323" s="64">
        <f t="shared" si="293"/>
        <v>-205484.40389146167</v>
      </c>
      <c r="AW323" s="65">
        <f t="shared" si="293"/>
        <v>-1647657.5931148578</v>
      </c>
      <c r="AX323" s="248">
        <f t="shared" si="293"/>
        <v>-262981.86774559011</v>
      </c>
      <c r="AY323" s="64">
        <f t="shared" si="293"/>
        <v>-152057.19425195118</v>
      </c>
      <c r="AZ323" s="65">
        <f t="shared" si="293"/>
        <v>-55495.40288880813</v>
      </c>
      <c r="BA323" s="248">
        <f t="shared" si="293"/>
        <v>-87972.796344689312</v>
      </c>
      <c r="BB323" s="64">
        <f t="shared" si="293"/>
        <v>-108462.47950904474</v>
      </c>
      <c r="BC323" s="65">
        <f t="shared" si="293"/>
        <v>-150434.55192604952</v>
      </c>
      <c r="BD323" s="248">
        <f t="shared" si="293"/>
        <v>-86893.382625330094</v>
      </c>
      <c r="BE323" s="64">
        <f t="shared" si="293"/>
        <v>-21179.132474153535</v>
      </c>
      <c r="BF323" s="65">
        <f t="shared" si="293"/>
        <v>-734715.68374399992</v>
      </c>
      <c r="BG323" s="248">
        <f t="shared" si="293"/>
        <v>152185.13211662925</v>
      </c>
      <c r="BH323" s="64">
        <f t="shared" si="293"/>
        <v>76214.402343689057</v>
      </c>
      <c r="BI323" s="65">
        <f t="shared" si="293"/>
        <v>-707011.95455600007</v>
      </c>
    </row>
    <row r="324" spans="1:61" x14ac:dyDescent="0.3">
      <c r="A324" s="18"/>
      <c r="E324" s="16"/>
      <c r="F324" s="17"/>
      <c r="G324" s="47"/>
      <c r="H324" s="266"/>
      <c r="I324" s="142"/>
      <c r="J324" s="267"/>
      <c r="K324" s="266"/>
      <c r="L324" s="142"/>
      <c r="M324" s="267"/>
      <c r="N324" s="266"/>
      <c r="O324" s="142"/>
      <c r="P324" s="267"/>
      <c r="Q324" s="266"/>
      <c r="R324" s="142"/>
      <c r="S324" s="267"/>
      <c r="T324" s="266"/>
      <c r="U324" s="142"/>
      <c r="V324" s="267"/>
      <c r="W324" s="266"/>
      <c r="X324" s="142"/>
      <c r="Y324" s="267"/>
      <c r="Z324" s="266"/>
      <c r="AA324" s="142"/>
      <c r="AB324" s="267"/>
      <c r="AC324" s="266"/>
      <c r="AD324" s="142"/>
      <c r="AE324" s="267"/>
      <c r="AF324" s="266"/>
      <c r="AG324" s="142"/>
      <c r="AH324" s="267"/>
      <c r="AI324" s="266"/>
      <c r="AJ324" s="142"/>
      <c r="AK324" s="267"/>
      <c r="AL324" s="266"/>
      <c r="AM324" s="142"/>
      <c r="AN324" s="267"/>
      <c r="AO324" s="266"/>
      <c r="AP324" s="142"/>
      <c r="AQ324" s="267"/>
      <c r="AR324" s="266"/>
      <c r="AS324" s="142"/>
      <c r="AT324" s="267"/>
      <c r="AU324" s="266"/>
      <c r="AV324" s="142"/>
      <c r="AW324" s="267"/>
      <c r="AX324" s="266"/>
      <c r="AY324" s="142"/>
      <c r="AZ324" s="267"/>
      <c r="BA324" s="266"/>
      <c r="BB324" s="142"/>
      <c r="BC324" s="267"/>
      <c r="BD324" s="266"/>
      <c r="BE324" s="142"/>
      <c r="BF324" s="267"/>
      <c r="BG324" s="266"/>
      <c r="BH324" s="142"/>
      <c r="BI324" s="267"/>
    </row>
    <row r="325" spans="1:61" x14ac:dyDescent="0.3">
      <c r="A325" s="39" t="s">
        <v>339</v>
      </c>
      <c r="B325" s="59"/>
      <c r="C325" s="40" t="s">
        <v>340</v>
      </c>
      <c r="D325" s="40" t="s">
        <v>341</v>
      </c>
      <c r="E325" s="40" t="s">
        <v>202</v>
      </c>
      <c r="F325" s="63"/>
      <c r="G325" s="47"/>
      <c r="H325" s="244">
        <v>-6691.6953960000001</v>
      </c>
      <c r="I325" s="42">
        <v>-11862.278511284951</v>
      </c>
      <c r="J325" s="43">
        <f>SUM(J326:J329)+SUMIFS(Aut_Ajustes_Manuais!$G:$G,Aut_Ajustes_Manuais!$I:$I,DRE!H$4,Aut_Ajustes_Manuais!$F:$F,"(-) Impostos")</f>
        <v>-13757.657528724314</v>
      </c>
      <c r="K325" s="244">
        <v>-6935.2499040000012</v>
      </c>
      <c r="L325" s="42">
        <v>-13041.896051680649</v>
      </c>
      <c r="M325" s="43">
        <f>SUM(M326:M329)+SUMIFS(Aut_Ajustes_Manuais!$G:$G,Aut_Ajustes_Manuais!$I:$I,DRE!K$4,Aut_Ajustes_Manuais!$F:$F,"(-) Impostos")</f>
        <v>-14836.948994910494</v>
      </c>
      <c r="N325" s="244">
        <v>-11882.56602</v>
      </c>
      <c r="O325" s="42">
        <v>-21490.81077081363</v>
      </c>
      <c r="P325" s="43">
        <f>SUM(P326:P329)+SUMIFS(Aut_Ajustes_Manuais!$G:$G,Aut_Ajustes_Manuais!$I:$I,DRE!N$4,Aut_Ajustes_Manuais!$F:$F,"(-) Impostos")</f>
        <v>-22527.326364345565</v>
      </c>
      <c r="Q325" s="244">
        <v>-9127.8849960000007</v>
      </c>
      <c r="R325" s="42">
        <v>-17756.165829865429</v>
      </c>
      <c r="S325" s="43">
        <f>SUM(S326:S329)+SUMIFS(Aut_Ajustes_Manuais!$G:$G,Aut_Ajustes_Manuais!$I:$I,DRE!Q$4,Aut_Ajustes_Manuais!$F:$F,"(-) Impostos")</f>
        <v>-15729.946034098586</v>
      </c>
      <c r="T325" s="244">
        <v>-8969.1999719999985</v>
      </c>
      <c r="U325" s="42">
        <v>-17100.580796111721</v>
      </c>
      <c r="V325" s="43">
        <f>SUM(V326:V329)+SUMIFS(Aut_Ajustes_Manuais!$G:$G,Aut_Ajustes_Manuais!$I:$I,DRE!T$4,Aut_Ajustes_Manuais!$F:$F,"(-) Impostos")</f>
        <v>-15327.942284414339</v>
      </c>
      <c r="W325" s="244">
        <v>-12817.671936000001</v>
      </c>
      <c r="X325" s="42">
        <v>-20865.374081933362</v>
      </c>
      <c r="Y325" s="43">
        <f>SUM(Y326:Y329)+SUMIFS(Aut_Ajustes_Manuais!$G:$G,Aut_Ajustes_Manuais!$I:$I,DRE!W$4,Aut_Ajustes_Manuais!$F:$F,"(-) Impostos")</f>
        <v>-19723.74322377611</v>
      </c>
      <c r="Z325" s="244">
        <v>-10697.183327999999</v>
      </c>
      <c r="AA325" s="42">
        <v>-22755.583388425719</v>
      </c>
      <c r="AB325" s="43">
        <f>SUM(AB326:AB329)+SUMIFS(Aut_Ajustes_Manuais!$G:$G,Aut_Ajustes_Manuais!$I:$I,DRE!Z$4,Aut_Ajustes_Manuais!$F:$F,"(-) Impostos")</f>
        <v>-9418.2035203290543</v>
      </c>
      <c r="AC325" s="244">
        <v>-10261.491443999999</v>
      </c>
      <c r="AD325" s="42">
        <v>-20644.93097886434</v>
      </c>
      <c r="AE325" s="43">
        <f>SUM(AE326:AE329)+SUMIFS(Aut_Ajustes_Manuais!$G:$G,Aut_Ajustes_Manuais!$I:$I,DRE!AC$4,Aut_Ajustes_Manuais!$F:$F,"(-) Impostos")</f>
        <v>-5999.9421741948336</v>
      </c>
      <c r="AF325" s="244">
        <v>-13809.364971999999</v>
      </c>
      <c r="AG325" s="42">
        <v>-25721.10439913984</v>
      </c>
      <c r="AH325" s="43">
        <f>SUM(AH326:AH329)+SUMIFS(Aut_Ajustes_Manuais!$G:$G,Aut_Ajustes_Manuais!$I:$I,DRE!AF$4,Aut_Ajustes_Manuais!$F:$F,"(-) Impostos")</f>
        <v>-5376.5751960766765</v>
      </c>
      <c r="AI325" s="244">
        <v>-9161.2176359999994</v>
      </c>
      <c r="AJ325" s="42">
        <v>-20542.020440490869</v>
      </c>
      <c r="AK325" s="43">
        <f>SUM(AK326:AK329)+SUMIFS(Aut_Ajustes_Manuais!$G:$G,Aut_Ajustes_Manuais!$I:$I,DRE!AI$4,Aut_Ajustes_Manuais!$F:$F,"(-) Impostos")</f>
        <v>-4948.0872687722913</v>
      </c>
      <c r="AL325" s="244">
        <v>-10030.358616</v>
      </c>
      <c r="AM325" s="42">
        <v>-21460.105927771681</v>
      </c>
      <c r="AN325" s="43">
        <f>SUM(AN326:AN329)+SUMIFS(Aut_Ajustes_Manuais!$G:$G,Aut_Ajustes_Manuais!$I:$I,DRE!AL$4,Aut_Ajustes_Manuais!$F:$F,"(-) Impostos")</f>
        <v>-4680.8193818976624</v>
      </c>
      <c r="AO325" s="244">
        <v>-25365.241099999999</v>
      </c>
      <c r="AP325" s="42">
        <v>-38345.248724498517</v>
      </c>
      <c r="AQ325" s="43">
        <f>SUM(AQ326:AQ329)+SUMIFS(Aut_Ajustes_Manuais!$G:$G,Aut_Ajustes_Manuais!$I:$I,DRE!AO$4,Aut_Ajustes_Manuais!$F:$F,"(-) Impostos")</f>
        <v>-3874.7718946422174</v>
      </c>
      <c r="AR325" s="244">
        <f t="shared" ref="AR325:BI325" ca="1" si="294">SUM(AR326:AR329)</f>
        <v>-56424.268224000007</v>
      </c>
      <c r="AS325" s="42">
        <f t="shared" ca="1" si="294"/>
        <v>-102117.10604168974</v>
      </c>
      <c r="AT325" s="43">
        <f t="shared" ca="1" si="294"/>
        <v>-101903.56443026941</v>
      </c>
      <c r="AU325" s="244">
        <f t="shared" si="294"/>
        <v>-135749.12532000002</v>
      </c>
      <c r="AV325" s="42">
        <f t="shared" si="294"/>
        <v>-251586.09990088071</v>
      </c>
      <c r="AW325" s="43">
        <f t="shared" si="294"/>
        <v>-136201.96386618217</v>
      </c>
      <c r="AX325" s="244">
        <f t="shared" si="294"/>
        <v>-25509.511320000001</v>
      </c>
      <c r="AY325" s="42">
        <f t="shared" si="294"/>
        <v>-46394.985333779223</v>
      </c>
      <c r="AZ325" s="43">
        <f t="shared" si="294"/>
        <v>-51121.932887980365</v>
      </c>
      <c r="BA325" s="244">
        <f t="shared" si="294"/>
        <v>-30914.756904000002</v>
      </c>
      <c r="BB325" s="42">
        <f t="shared" si="294"/>
        <v>-55722.120707910522</v>
      </c>
      <c r="BC325" s="43">
        <f t="shared" si="294"/>
        <v>-50781.631542289033</v>
      </c>
      <c r="BD325" s="244">
        <f t="shared" si="294"/>
        <v>-34768.039744000002</v>
      </c>
      <c r="BE325" s="42">
        <f t="shared" si="294"/>
        <v>-69121.618766429892</v>
      </c>
      <c r="BF325" s="43">
        <f t="shared" si="294"/>
        <v>-20794.720890600569</v>
      </c>
      <c r="BG325" s="244">
        <f t="shared" si="294"/>
        <v>-44556.817351999998</v>
      </c>
      <c r="BH325" s="42">
        <f t="shared" si="294"/>
        <v>-80347.375092761067</v>
      </c>
      <c r="BI325" s="43">
        <f t="shared" si="294"/>
        <v>-13503.67854531217</v>
      </c>
    </row>
    <row r="326" spans="1:61" s="29" customFormat="1" hidden="1" outlineLevel="1" x14ac:dyDescent="0.3">
      <c r="A326" s="22" t="s">
        <v>342</v>
      </c>
      <c r="B326" s="59"/>
      <c r="C326" s="24" t="s">
        <v>343</v>
      </c>
      <c r="D326" s="25"/>
      <c r="E326" s="25"/>
      <c r="F326" s="63"/>
      <c r="G326" s="33"/>
      <c r="H326" s="241"/>
      <c r="I326" s="27">
        <v>-4496.0805153468827</v>
      </c>
      <c r="J326" s="28">
        <f>-Fiscal!M59+SUMIFS(Aut_Ajustes_Manuais!$G:$G,Aut_Ajustes_Manuais!$I:$I,DRE!H$4,Aut_Ajustes_Manuais!$F:$F,"SIMPLES")</f>
        <v>-5230.744424724312</v>
      </c>
      <c r="K326" s="241"/>
      <c r="L326" s="27">
        <v>-4533.706502297332</v>
      </c>
      <c r="M326" s="28">
        <f>-Fiscal!M60+SUMIFS(Aut_Ajustes_Manuais!$G:$G,Aut_Ajustes_Manuais!$I:$I,DRE!K$4,Aut_Ajustes_Manuais!$F:$F,"SIMPLES")</f>
        <v>-5921.6494469104946</v>
      </c>
      <c r="N326" s="241"/>
      <c r="O326" s="27">
        <v>-7600.4478221496629</v>
      </c>
      <c r="P326" s="28">
        <f>-Fiscal!M61+SUMIFS(Aut_Ajustes_Manuais!$G:$G,Aut_Ajustes_Manuais!$I:$I,DRE!N$4,Aut_Ajustes_Manuais!$F:$F,"SIMPLES")</f>
        <v>-5769.4568443455664</v>
      </c>
      <c r="Q326" s="241"/>
      <c r="R326" s="27">
        <v>-7286.1023731809528</v>
      </c>
      <c r="S326" s="28">
        <f>-Fiscal!M62+SUMIFS(Aut_Ajustes_Manuais!$G:$G,Aut_Ajustes_Manuais!$I:$I,DRE!Q$4,Aut_Ajustes_Manuais!$F:$F,"SIMPLES")</f>
        <v>-6245.290058098587</v>
      </c>
      <c r="T326" s="241"/>
      <c r="U326" s="27">
        <v>-7464.475332613818</v>
      </c>
      <c r="V326" s="28">
        <f>-Fiscal!M63+SUMIFS(Aut_Ajustes_Manuais!$G:$G,Aut_Ajustes_Manuais!$I:$I,DRE!T$4,Aut_Ajustes_Manuais!$F:$F,"SIMPLES")</f>
        <v>-5122.7703444143417</v>
      </c>
      <c r="W326" s="241"/>
      <c r="X326" s="27">
        <v>-7129.2929028713615</v>
      </c>
      <c r="Y326" s="28">
        <f>-Fiscal!M64+SUMIFS(Aut_Ajustes_Manuais!$G:$G,Aut_Ajustes_Manuais!$I:$I,DRE!W$4,Aut_Ajustes_Manuais!$F:$F,"SIMPLES")</f>
        <v>-5163.8958037761149</v>
      </c>
      <c r="Z326" s="241"/>
      <c r="AA326" s="27">
        <v>-9904.0252128675238</v>
      </c>
      <c r="AB326" s="28">
        <f>-Fiscal!M65+SUMIFS(Aut_Ajustes_Manuais!$G:$G,Aut_Ajustes_Manuais!$I:$I,DRE!Z$4,Aut_Ajustes_Manuais!$F:$F,"SIMPLES")</f>
        <v>-6081.2788603290546</v>
      </c>
      <c r="AC326" s="241"/>
      <c r="AD326" s="27">
        <v>-9706.4124126643364</v>
      </c>
      <c r="AE326" s="28">
        <f>-Fiscal!M66+SUMIFS(Aut_Ajustes_Manuais!$G:$G,Aut_Ajustes_Manuais!$I:$I,DRE!AC$4,Aut_Ajustes_Manuais!$F:$F,"SIMPLES")</f>
        <v>-5751.1101741948341</v>
      </c>
      <c r="AF326" s="241"/>
      <c r="AG326" s="27">
        <v>-9027.5839046203819</v>
      </c>
      <c r="AH326" s="28">
        <f>-Fiscal!M67+SUMIFS(Aut_Ajustes_Manuais!$G:$G,Aut_Ajustes_Manuais!$I:$I,DRE!AF$4,Aut_Ajustes_Manuais!$F:$F,"SIMPLES")</f>
        <v>-5376.5751960766765</v>
      </c>
      <c r="AI326" s="241"/>
      <c r="AJ326" s="27">
        <v>-9012.5859849318404</v>
      </c>
      <c r="AK326" s="28">
        <f>-Fiscal!M68+SUMIFS(Aut_Ajustes_Manuais!$G:$G,Aut_Ajustes_Manuais!$I:$I,DRE!AI$4,Aut_Ajustes_Manuais!$F:$F,"SIMPLES")</f>
        <v>-4948.0872687722913</v>
      </c>
      <c r="AL326" s="241"/>
      <c r="AM326" s="27">
        <v>-9264.7827336282735</v>
      </c>
      <c r="AN326" s="28">
        <f>-Fiscal!M69+SUMIFS(Aut_Ajustes_Manuais!$G:$G,Aut_Ajustes_Manuais!$I:$I,DRE!AL$4,Aut_Ajustes_Manuais!$F:$F,"SIMPLES")</f>
        <v>-4453.0833818976625</v>
      </c>
      <c r="AO326" s="241"/>
      <c r="AP326" s="27">
        <v>-11391.346398820649</v>
      </c>
      <c r="AQ326" s="28">
        <f>-Fiscal!M70+SUMIFS(Aut_Ajustes_Manuais!$G:$G,Aut_Ajustes_Manuais!$I:$I,DRE!AO$4,Aut_Ajustes_Manuais!$F:$F,"SIMPLES")</f>
        <v>-3874.7718946422174</v>
      </c>
      <c r="AR326" s="241">
        <f ca="1">SUMIFS($H326:$AO326,$H$5:$AO$5,"&lt;"&amp;MONTH(TODAY()),$H$6:$AO$6,"REAL 25")</f>
        <v>0</v>
      </c>
      <c r="AS326" s="27">
        <f ca="1">SUMIFS($I326:$AP326,$I$5:$AP$5,"&lt;"&amp;MONTH(TODAY()),$I$6:$AP$6,"ORÇADO ")</f>
        <v>-38510.10544846001</v>
      </c>
      <c r="AT326" s="28">
        <f ca="1">SUMIFS($J326:$AQ326,$J$5:$AQ$5,"&lt;"&amp;MONTH(TODAY()),$J$6:$AQ$6,"REAL 26")</f>
        <v>-33453.806922269418</v>
      </c>
      <c r="AU326" s="241">
        <f t="shared" ref="AU326:AW329" si="295">SUM(H326,K326,N326,Q326,T326,W326,Z326,AC326,AF326,AI326,AL326,AO326)</f>
        <v>0</v>
      </c>
      <c r="AV326" s="27">
        <f t="shared" si="295"/>
        <v>-96816.842095993023</v>
      </c>
      <c r="AW326" s="28">
        <f t="shared" si="295"/>
        <v>-63938.713698182153</v>
      </c>
      <c r="AX326" s="241">
        <f t="shared" ref="AX326:AZ329" si="296">SUM(H326,K326,N326)</f>
        <v>0</v>
      </c>
      <c r="AY326" s="27">
        <f t="shared" si="296"/>
        <v>-16630.234839793877</v>
      </c>
      <c r="AZ326" s="28">
        <f t="shared" si="296"/>
        <v>-16921.85071598037</v>
      </c>
      <c r="BA326" s="241">
        <f t="shared" ref="BA326:BC329" si="297">SUM(Q326,T326,W326)</f>
        <v>0</v>
      </c>
      <c r="BB326" s="27">
        <f t="shared" si="297"/>
        <v>-21879.870608666133</v>
      </c>
      <c r="BC326" s="28">
        <f t="shared" si="297"/>
        <v>-16531.956206289044</v>
      </c>
      <c r="BD326" s="241">
        <f t="shared" ref="BD326:BF329" si="298">SUM(Z326,AC326,AF326)</f>
        <v>0</v>
      </c>
      <c r="BE326" s="27">
        <f t="shared" si="298"/>
        <v>-28638.02153015224</v>
      </c>
      <c r="BF326" s="28">
        <f t="shared" si="298"/>
        <v>-17208.964230600566</v>
      </c>
      <c r="BG326" s="241">
        <f t="shared" ref="BG326:BI329" si="299">SUM(AI326,AL326,AO326)</f>
        <v>0</v>
      </c>
      <c r="BH326" s="27">
        <f t="shared" si="299"/>
        <v>-29668.715117380765</v>
      </c>
      <c r="BI326" s="28">
        <f t="shared" si="299"/>
        <v>-13275.942545312171</v>
      </c>
    </row>
    <row r="327" spans="1:61" s="29" customFormat="1" hidden="1" outlineLevel="1" x14ac:dyDescent="0.3">
      <c r="A327" s="22" t="s">
        <v>344</v>
      </c>
      <c r="B327" s="59"/>
      <c r="C327" s="24" t="s">
        <v>343</v>
      </c>
      <c r="D327" s="25"/>
      <c r="E327" s="25"/>
      <c r="F327" s="63"/>
      <c r="G327" s="33"/>
      <c r="H327" s="241">
        <v>-3584.35284</v>
      </c>
      <c r="I327" s="27">
        <v>-3911.5640979716131</v>
      </c>
      <c r="J327" s="28">
        <f>-Fiscal!D29+SUMIFS(Aut_Ajustes_Manuais!$G:$G,Aut_Ajustes_Manuais!$I:$I,DRE!H$4,Aut_Ajustes_Manuais!$F:$F,"IRPJ")</f>
        <v>-4515.0621600000004</v>
      </c>
      <c r="K327" s="241">
        <v>-3701.8341599999999</v>
      </c>
      <c r="L327" s="27">
        <v>-4561.3766628754283</v>
      </c>
      <c r="M327" s="28">
        <f>-Fiscal!E29+SUMIFS(Aut_Ajustes_Manuais!$G:$G,Aut_Ajustes_Manuais!$I:$I,DRE!K$4,Aut_Ajustes_Manuais!$F:$F,"IRPJ")</f>
        <v>-4718.3629200000005</v>
      </c>
      <c r="N327" s="241">
        <v>-7418.0460000000003</v>
      </c>
      <c r="O327" s="27">
        <v>-5605.003842843872</v>
      </c>
      <c r="P327" s="28">
        <f>-Fiscal!F29+SUMIFS(Aut_Ajustes_Manuais!$G:$G,Aut_Ajustes_Manuais!$I:$I,DRE!N$4,Aut_Ajustes_Manuais!$F:$F,"IRPJ")</f>
        <v>-6523.3919999999989</v>
      </c>
      <c r="Q327" s="241">
        <v>-4877.5118400000001</v>
      </c>
      <c r="R327" s="27">
        <v>-5645.0135426592014</v>
      </c>
      <c r="S327" s="28">
        <f>-Fiscal!H29+SUMIFS(Aut_Ajustes_Manuais!$G:$G,Aut_Ajustes_Manuais!$I:$I,DRE!Q$4,Aut_Ajustes_Manuais!$F:$F,"IRPJ")</f>
        <v>-5019.6560399999998</v>
      </c>
      <c r="T327" s="241">
        <v>-4777.7578800000001</v>
      </c>
      <c r="U327" s="27">
        <v>-5116.697359735741</v>
      </c>
      <c r="V327" s="28">
        <f>-Fiscal!I29+SUMIFS(Aut_Ajustes_Manuais!$G:$G,Aut_Ajustes_Manuais!$I:$I,DRE!T$4,Aut_Ajustes_Manuais!$F:$F,"IRPJ")</f>
        <v>-5446.2125999999989</v>
      </c>
      <c r="W327" s="241">
        <v>-8591.8678800000016</v>
      </c>
      <c r="X327" s="27">
        <v>-4951.8400379735231</v>
      </c>
      <c r="Y327" s="28">
        <f>-Fiscal!J29+SUMIFS(Aut_Ajustes_Manuais!$G:$G,Aut_Ajustes_Manuais!$I:$I,DRE!W$4,Aut_Ajustes_Manuais!$F:$F,"IRPJ")</f>
        <v>-5316.0473999999986</v>
      </c>
      <c r="Z327" s="241">
        <v>-5679.0991200000008</v>
      </c>
      <c r="AA327" s="27">
        <v>-6956.8528791948374</v>
      </c>
      <c r="AB327" s="28">
        <f>-Fiscal!L29+SUMIFS(Aut_Ajustes_Manuais!$G:$G,Aut_Ajustes_Manuais!$I:$I,DRE!Z$4,Aut_Ajustes_Manuais!$F:$F,"IRPJ")</f>
        <v>-1775.9814000000003</v>
      </c>
      <c r="AC327" s="241">
        <v>-5471.6007600000003</v>
      </c>
      <c r="AD327" s="27">
        <v>-5791.6522980000009</v>
      </c>
      <c r="AE327" s="28">
        <f>-Fiscal!M29+SUMIFS(Aut_Ajustes_Manuais!$G:$G,Aut_Ajustes_Manuais!$I:$I,DRE!AC$4,Aut_Ajustes_Manuais!$F:$F,"IRPJ")</f>
        <v>-155.51999999999998</v>
      </c>
      <c r="AF327" s="241">
        <v>-9574.7837199999994</v>
      </c>
      <c r="AG327" s="27">
        <v>-5616.9103519855462</v>
      </c>
      <c r="AH327" s="28">
        <f>-Fiscal!N29+SUMIFS(Aut_Ajustes_Manuais!$G:$G,Aut_Ajustes_Manuais!$I:$I,DRE!AF$4,Aut_Ajustes_Manuais!$F:$F,"IRPJ")</f>
        <v>0</v>
      </c>
      <c r="AI327" s="241">
        <v>-4882.2374399999999</v>
      </c>
      <c r="AJ327" s="27">
        <v>-6276.6133429258052</v>
      </c>
      <c r="AK327" s="28">
        <f>-Fiscal!P29+SUMIFS(Aut_Ajustes_Manuais!$G:$G,Aut_Ajustes_Manuais!$I:$I,DRE!AI$4,Aut_Ajustes_Manuais!$F:$F,"IRPJ")</f>
        <v>0</v>
      </c>
      <c r="AL327" s="241">
        <v>-5342.6666400000004</v>
      </c>
      <c r="AM327" s="27">
        <v>-6638.7370905861117</v>
      </c>
      <c r="AN327" s="28">
        <f>-Fiscal!Q29+SUMIFS(Aut_Ajustes_Manuais!$G:$G,Aut_Ajustes_Manuais!$I:$I,DRE!AL$4,Aut_Ajustes_Manuais!$F:$F,"IRPJ")</f>
        <v>-138.95999999999998</v>
      </c>
      <c r="AO327" s="241">
        <v>-16974.128720000001</v>
      </c>
      <c r="AP327" s="27">
        <v>-9888.7411571441244</v>
      </c>
      <c r="AQ327" s="28">
        <f>-Fiscal!R29+SUMIFS(Aut_Ajustes_Manuais!$G:$G,Aut_Ajustes_Manuais!$I:$I,DRE!AO$4,Aut_Ajustes_Manuais!$F:$F,"IRPJ")</f>
        <v>0</v>
      </c>
      <c r="AR327" s="241">
        <f ca="1">SUMIFS($H327:$AO327,$H$5:$AO$5,"&lt;"&amp;MONTH(TODAY()),$H$6:$AO$6,"REAL 25")</f>
        <v>-32951.370600000002</v>
      </c>
      <c r="AS327" s="27">
        <f ca="1">SUMIFS($I327:$AP327,$I$5:$AP$5,"&lt;"&amp;MONTH(TODAY()),$I$6:$AP$6,"ORÇADO ")</f>
        <v>-29791.495544059384</v>
      </c>
      <c r="AT327" s="28">
        <f ca="1">SUMIFS($J327:$AQ327,$J$5:$AQ$5,"&lt;"&amp;MONTH(TODAY()),$J$6:$AQ$6,"REAL 26")</f>
        <v>-31538.733120000001</v>
      </c>
      <c r="AU327" s="241">
        <f t="shared" si="295"/>
        <v>-80875.887000000002</v>
      </c>
      <c r="AV327" s="27">
        <f t="shared" si="295"/>
        <v>-70961.002663895808</v>
      </c>
      <c r="AW327" s="28">
        <f t="shared" si="295"/>
        <v>-33609.194519999997</v>
      </c>
      <c r="AX327" s="241">
        <f t="shared" si="296"/>
        <v>-14704.233</v>
      </c>
      <c r="AY327" s="27">
        <f t="shared" si="296"/>
        <v>-14077.944603690914</v>
      </c>
      <c r="AZ327" s="28">
        <f t="shared" si="296"/>
        <v>-15756.817080000001</v>
      </c>
      <c r="BA327" s="241">
        <f t="shared" si="297"/>
        <v>-18247.137600000002</v>
      </c>
      <c r="BB327" s="27">
        <f t="shared" si="297"/>
        <v>-15713.550940368465</v>
      </c>
      <c r="BC327" s="28">
        <f t="shared" si="297"/>
        <v>-15781.916039999996</v>
      </c>
      <c r="BD327" s="241">
        <f t="shared" si="298"/>
        <v>-20725.4836</v>
      </c>
      <c r="BE327" s="27">
        <f t="shared" si="298"/>
        <v>-18365.415529180384</v>
      </c>
      <c r="BF327" s="28">
        <f t="shared" si="298"/>
        <v>-1931.5014000000003</v>
      </c>
      <c r="BG327" s="241">
        <f t="shared" si="299"/>
        <v>-27199.032800000001</v>
      </c>
      <c r="BH327" s="27">
        <f t="shared" si="299"/>
        <v>-22804.09159065604</v>
      </c>
      <c r="BI327" s="28">
        <f t="shared" si="299"/>
        <v>-138.95999999999998</v>
      </c>
    </row>
    <row r="328" spans="1:61" s="29" customFormat="1" hidden="1" outlineLevel="1" x14ac:dyDescent="0.3">
      <c r="A328" s="22" t="s">
        <v>345</v>
      </c>
      <c r="B328" s="59"/>
      <c r="C328" s="24" t="s">
        <v>343</v>
      </c>
      <c r="D328" s="25"/>
      <c r="E328" s="25"/>
      <c r="F328" s="63"/>
      <c r="G328" s="33"/>
      <c r="H328" s="241"/>
      <c r="I328" s="27"/>
      <c r="J328" s="28"/>
      <c r="K328" s="241"/>
      <c r="L328" s="27"/>
      <c r="M328" s="28"/>
      <c r="N328" s="241"/>
      <c r="O328" s="27">
        <v>-3385.296402460609</v>
      </c>
      <c r="P328" s="28">
        <f>-Fiscal!G28+SUMIFS(Aut_Ajustes_Manuais!$G:$G,Aut_Ajustes_Manuais!$I:$I,DRE!N$4,Aut_Ajustes_Manuais!$F:$F,"IRPJ 10%")</f>
        <v>-4504.5447200000008</v>
      </c>
      <c r="Q328" s="241"/>
      <c r="R328" s="27"/>
      <c r="S328" s="28">
        <v>0</v>
      </c>
      <c r="T328" s="241"/>
      <c r="U328" s="27"/>
      <c r="V328" s="28">
        <v>0</v>
      </c>
      <c r="W328" s="241"/>
      <c r="X328" s="27">
        <v>-4475.7006269123094</v>
      </c>
      <c r="Y328" s="28">
        <f>-Fiscal!K28+SUMIFS(Aut_Ajustes_Manuais!$G:$G,Aut_Ajustes_Manuais!$I:$I,DRE!W$4,Aut_Ajustes_Manuais!$F:$F,"IRPJ 10%")</f>
        <v>-4521.2773599999973</v>
      </c>
      <c r="Z328" s="241"/>
      <c r="AA328" s="27"/>
      <c r="AB328" s="28"/>
      <c r="AC328" s="241"/>
      <c r="AD328" s="27"/>
      <c r="AE328" s="28"/>
      <c r="AF328" s="241"/>
      <c r="AG328" s="27">
        <v>-6243.6103527869236</v>
      </c>
      <c r="AH328" s="28">
        <f>-Fiscal!O28+SUMIFS(Aut_Ajustes_Manuais!$G:$G,Aut_Ajustes_Manuais!$I:$I,DRE!AF$4,Aut_Ajustes_Manuais!$F:$F,"IRPJ 10%")</f>
        <v>0</v>
      </c>
      <c r="AI328" s="241"/>
      <c r="AJ328" s="27"/>
      <c r="AK328" s="28"/>
      <c r="AL328" s="241"/>
      <c r="AM328" s="27"/>
      <c r="AN328" s="28"/>
      <c r="AO328" s="241"/>
      <c r="AP328" s="27">
        <v>-9202.7277271040311</v>
      </c>
      <c r="AQ328" s="28">
        <f>-Fiscal!S28+SUMIFS(Aut_Ajustes_Manuais!$G:$G,Aut_Ajustes_Manuais!$I:$I,DRE!AO$4,Aut_Ajustes_Manuais!$F:$F,"IRPJ 10%")</f>
        <v>0</v>
      </c>
      <c r="AR328" s="241">
        <f ca="1">SUMIFS($H328:$AO328,$H$5:$AO$5,"&lt;"&amp;MONTH(TODAY()),$H$6:$AO$6,"REAL 25")</f>
        <v>0</v>
      </c>
      <c r="AS328" s="27">
        <f ca="1">SUMIFS($I328:$AP328,$I$5:$AP$5,"&lt;"&amp;MONTH(TODAY()),$I$6:$AP$6,"ORÇADO ")</f>
        <v>-7860.9970293729184</v>
      </c>
      <c r="AT328" s="28">
        <f ca="1">SUMIFS($J328:$AQ328,$J$5:$AQ$5,"&lt;"&amp;MONTH(TODAY()),$J$6:$AQ$6,"REAL 26")</f>
        <v>-9025.8220799999981</v>
      </c>
      <c r="AU328" s="241">
        <f t="shared" si="295"/>
        <v>0</v>
      </c>
      <c r="AV328" s="27">
        <f t="shared" si="295"/>
        <v>-23307.335109263873</v>
      </c>
      <c r="AW328" s="28">
        <f t="shared" si="295"/>
        <v>-9025.8220799999981</v>
      </c>
      <c r="AX328" s="241">
        <f t="shared" si="296"/>
        <v>0</v>
      </c>
      <c r="AY328" s="27">
        <f t="shared" si="296"/>
        <v>-3385.296402460609</v>
      </c>
      <c r="AZ328" s="28">
        <f t="shared" si="296"/>
        <v>-4504.5447200000008</v>
      </c>
      <c r="BA328" s="241">
        <f t="shared" si="297"/>
        <v>0</v>
      </c>
      <c r="BB328" s="27">
        <f t="shared" si="297"/>
        <v>-4475.7006269123094</v>
      </c>
      <c r="BC328" s="28">
        <f t="shared" si="297"/>
        <v>-4521.2773599999973</v>
      </c>
      <c r="BD328" s="241">
        <f t="shared" si="298"/>
        <v>0</v>
      </c>
      <c r="BE328" s="27">
        <f t="shared" si="298"/>
        <v>-6243.6103527869236</v>
      </c>
      <c r="BF328" s="28">
        <f t="shared" si="298"/>
        <v>0</v>
      </c>
      <c r="BG328" s="241">
        <f t="shared" si="299"/>
        <v>0</v>
      </c>
      <c r="BH328" s="27">
        <f t="shared" si="299"/>
        <v>-9202.7277271040311</v>
      </c>
      <c r="BI328" s="28">
        <f t="shared" si="299"/>
        <v>0</v>
      </c>
    </row>
    <row r="329" spans="1:61" s="29" customFormat="1" hidden="1" outlineLevel="1" x14ac:dyDescent="0.3">
      <c r="A329" s="22" t="s">
        <v>346</v>
      </c>
      <c r="B329" s="59"/>
      <c r="C329" s="24" t="s">
        <v>343</v>
      </c>
      <c r="D329" s="25"/>
      <c r="E329" s="25"/>
      <c r="F329" s="63"/>
      <c r="G329" s="33"/>
      <c r="H329" s="241">
        <v>-3107.3425560000001</v>
      </c>
      <c r="I329" s="27">
        <v>-3454.6338979664511</v>
      </c>
      <c r="J329" s="28">
        <f>-Fiscal!D34+SUMIFS(Aut_Ajustes_Manuais!$G:$G,Aut_Ajustes_Manuais!$I:$I,DRE!H$4,Aut_Ajustes_Manuais!$F:$F,"CSLL")</f>
        <v>-4011.8509440000007</v>
      </c>
      <c r="K329" s="241">
        <v>-3233.4157440000008</v>
      </c>
      <c r="L329" s="27">
        <v>-3946.8128865078852</v>
      </c>
      <c r="M329" s="28">
        <f>-Fiscal!E34+SUMIFS(Aut_Ajustes_Manuais!$G:$G,Aut_Ajustes_Manuais!$I:$I,DRE!K$4,Aut_Ajustes_Manuais!$F:$F,"CSLL")</f>
        <v>-4196.9366280000004</v>
      </c>
      <c r="N329" s="241">
        <v>-4464.5200199999999</v>
      </c>
      <c r="O329" s="27">
        <v>-4900.0627033594847</v>
      </c>
      <c r="P329" s="28">
        <f>-Fiscal!F34+SUMIFS(Aut_Ajustes_Manuais!$G:$G,Aut_Ajustes_Manuais!$I:$I,DRE!N$4,Aut_Ajustes_Manuais!$F:$F,"CSLL")</f>
        <v>-5729.9327999999978</v>
      </c>
      <c r="Q329" s="241">
        <v>-4250.3731560000006</v>
      </c>
      <c r="R329" s="27">
        <v>-4825.0499140252796</v>
      </c>
      <c r="S329" s="28">
        <f>-Fiscal!H34+SUMIFS(Aut_Ajustes_Manuais!$G:$G,Aut_Ajustes_Manuais!$I:$I,DRE!Q$4,Aut_Ajustes_Manuais!$F:$F,"CSLL")</f>
        <v>-4464.9999360000002</v>
      </c>
      <c r="T329" s="241">
        <v>-4191.4420919999993</v>
      </c>
      <c r="U329" s="27">
        <v>-4519.4081037621672</v>
      </c>
      <c r="V329" s="28">
        <f>-Fiscal!I34+SUMIFS(Aut_Ajustes_Manuais!$G:$G,Aut_Ajustes_Manuais!$I:$I,DRE!T$4,Aut_Ajustes_Manuais!$F:$F,"CSLL")</f>
        <v>-4758.9593399999994</v>
      </c>
      <c r="W329" s="241">
        <v>-4225.8040560000009</v>
      </c>
      <c r="X329" s="27">
        <v>-4308.5405141761703</v>
      </c>
      <c r="Y329" s="28">
        <f>-Fiscal!J34+SUMIFS(Aut_Ajustes_Manuais!$G:$G,Aut_Ajustes_Manuais!$I:$I,DRE!W$4,Aut_Ajustes_Manuais!$F:$F,"CSLL")</f>
        <v>-4722.5226599999987</v>
      </c>
      <c r="Z329" s="241">
        <v>-5018.0842080000002</v>
      </c>
      <c r="AA329" s="27">
        <v>-5894.7052963633523</v>
      </c>
      <c r="AB329" s="28">
        <f>-Fiscal!L34+SUMIFS(Aut_Ajustes_Manuais!$G:$G,Aut_Ajustes_Manuais!$I:$I,DRE!Z$4,Aut_Ajustes_Manuais!$F:$F,"CSLL")</f>
        <v>-1560.94326</v>
      </c>
      <c r="AC329" s="241">
        <v>-4789.890684</v>
      </c>
      <c r="AD329" s="27">
        <v>-5146.8662682000013</v>
      </c>
      <c r="AE329" s="28">
        <f>-Fiscal!M34+SUMIFS(Aut_Ajustes_Manuais!$G:$G,Aut_Ajustes_Manuais!$I:$I,DRE!AC$4,Aut_Ajustes_Manuais!$F:$F,"CSLL")</f>
        <v>-93.311999999999998</v>
      </c>
      <c r="AF329" s="241">
        <v>-4234.5812519999999</v>
      </c>
      <c r="AG329" s="27">
        <v>-4832.9997897469912</v>
      </c>
      <c r="AH329" s="28">
        <f>-Fiscal!N34+SUMIFS(Aut_Ajustes_Manuais!$G:$G,Aut_Ajustes_Manuais!$I:$I,DRE!AF$4,Aut_Ajustes_Manuais!$F:$F,"CSLL")</f>
        <v>0</v>
      </c>
      <c r="AI329" s="241">
        <v>-4278.9801960000004</v>
      </c>
      <c r="AJ329" s="27">
        <v>-5252.8211126332244</v>
      </c>
      <c r="AK329" s="28">
        <f>-Fiscal!P34+SUMIFS(Aut_Ajustes_Manuais!$G:$G,Aut_Ajustes_Manuais!$I:$I,DRE!AI$4,Aut_Ajustes_Manuais!$F:$F,"CSLL")</f>
        <v>0</v>
      </c>
      <c r="AL329" s="241">
        <v>-4687.6919760000001</v>
      </c>
      <c r="AM329" s="27">
        <v>-5556.5861035572934</v>
      </c>
      <c r="AN329" s="28">
        <f>-Fiscal!Q34+SUMIFS(Aut_Ajustes_Manuais!$G:$G,Aut_Ajustes_Manuais!$I:$I,DRE!AL$4,Aut_Ajustes_Manuais!$F:$F,"CSLL")</f>
        <v>-88.775999999999996</v>
      </c>
      <c r="AO329" s="241">
        <v>-8391.1123800000005</v>
      </c>
      <c r="AP329" s="27">
        <v>-7862.43344142971</v>
      </c>
      <c r="AQ329" s="28">
        <f>-Fiscal!R34+SUMIFS(Aut_Ajustes_Manuais!$G:$G,Aut_Ajustes_Manuais!$I:$I,DRE!AO$4,Aut_Ajustes_Manuais!$F:$F,"CSLL")</f>
        <v>0</v>
      </c>
      <c r="AR329" s="241">
        <f ca="1">SUMIFS($H329:$AO329,$H$5:$AO$5,"&lt;"&amp;MONTH(TODAY()),$H$6:$AO$6,"REAL 25")</f>
        <v>-23472.897624000005</v>
      </c>
      <c r="AS329" s="27">
        <f ca="1">SUMIFS($I329:$AP329,$I$5:$AP$5,"&lt;"&amp;MONTH(TODAY()),$I$6:$AP$6,"ORÇADO ")</f>
        <v>-25954.508019797435</v>
      </c>
      <c r="AT329" s="28">
        <f ca="1">SUMIFS($J329:$AQ329,$J$5:$AQ$5,"&lt;"&amp;MONTH(TODAY()),$J$6:$AQ$6,"REAL 26")</f>
        <v>-27885.202307999996</v>
      </c>
      <c r="AU329" s="241">
        <f t="shared" si="295"/>
        <v>-54873.238320000011</v>
      </c>
      <c r="AV329" s="27">
        <f t="shared" si="295"/>
        <v>-60500.920031728012</v>
      </c>
      <c r="AW329" s="28">
        <f t="shared" si="295"/>
        <v>-29628.233568</v>
      </c>
      <c r="AX329" s="241">
        <f t="shared" si="296"/>
        <v>-10805.278320000001</v>
      </c>
      <c r="AY329" s="27">
        <f t="shared" si="296"/>
        <v>-12301.50948783382</v>
      </c>
      <c r="AZ329" s="28">
        <f t="shared" si="296"/>
        <v>-13938.720372</v>
      </c>
      <c r="BA329" s="241">
        <f t="shared" si="297"/>
        <v>-12667.619304</v>
      </c>
      <c r="BB329" s="27">
        <f t="shared" si="297"/>
        <v>-13652.998531963618</v>
      </c>
      <c r="BC329" s="28">
        <f t="shared" si="297"/>
        <v>-13946.481935999998</v>
      </c>
      <c r="BD329" s="241">
        <f t="shared" si="298"/>
        <v>-14042.556144</v>
      </c>
      <c r="BE329" s="27">
        <f t="shared" si="298"/>
        <v>-15874.571354310345</v>
      </c>
      <c r="BF329" s="28">
        <f t="shared" si="298"/>
        <v>-1654.2552599999999</v>
      </c>
      <c r="BG329" s="241">
        <f t="shared" si="299"/>
        <v>-17357.784552000001</v>
      </c>
      <c r="BH329" s="27">
        <f t="shared" si="299"/>
        <v>-18671.840657620225</v>
      </c>
      <c r="BI329" s="28">
        <f t="shared" si="299"/>
        <v>-88.775999999999996</v>
      </c>
    </row>
    <row r="330" spans="1:61" collapsed="1" x14ac:dyDescent="0.3">
      <c r="A330" s="18"/>
      <c r="E330" s="16"/>
      <c r="F330" s="17"/>
      <c r="G330" s="47"/>
      <c r="H330" s="246"/>
      <c r="I330" s="53"/>
      <c r="J330" s="54">
        <f>J325/J8</f>
        <v>-3.407095947682344E-2</v>
      </c>
      <c r="K330" s="246"/>
      <c r="L330" s="53"/>
      <c r="M330" s="54">
        <f>M325/M8</f>
        <v>-3.5009480801292285E-2</v>
      </c>
      <c r="N330" s="246"/>
      <c r="O330" s="53"/>
      <c r="P330" s="54">
        <f>P325/P8</f>
        <v>-3.9962258882334532E-2</v>
      </c>
      <c r="Q330" s="246"/>
      <c r="R330" s="53"/>
      <c r="S330" s="54">
        <f>S325/S8</f>
        <v>-3.5159453438494769E-2</v>
      </c>
      <c r="T330" s="246"/>
      <c r="U330" s="53"/>
      <c r="V330" s="54">
        <f>V325/V8</f>
        <v>-3.3239797513213001E-2</v>
      </c>
      <c r="W330" s="246"/>
      <c r="X330" s="53"/>
      <c r="Y330" s="54">
        <f>Y325/Y8</f>
        <v>-4.194541029335163E-2</v>
      </c>
      <c r="Z330" s="246"/>
      <c r="AA330" s="53"/>
      <c r="AB330" s="54">
        <f>AB325/AB8</f>
        <v>-6.2348660769571955E-2</v>
      </c>
      <c r="AC330" s="246"/>
      <c r="AD330" s="53"/>
      <c r="AE330" s="54">
        <f>AE325/AE8</f>
        <v>-1.8518340043811214</v>
      </c>
      <c r="AF330" s="246"/>
      <c r="AG330" s="53"/>
      <c r="AH330" s="54" t="e">
        <f>AH325/AH8</f>
        <v>#DIV/0!</v>
      </c>
      <c r="AI330" s="246"/>
      <c r="AJ330" s="53"/>
      <c r="AK330" s="54" t="e">
        <f>AK325/AK8</f>
        <v>#DIV/0!</v>
      </c>
      <c r="AL330" s="246"/>
      <c r="AM330" s="53"/>
      <c r="AN330" s="54">
        <f>AN325/AN8</f>
        <v>-1.164382930820314</v>
      </c>
      <c r="AO330" s="246"/>
      <c r="AP330" s="53"/>
      <c r="AQ330" s="54" t="e">
        <f>AQ325/AQ8</f>
        <v>#DIV/0!</v>
      </c>
      <c r="AR330" s="246"/>
      <c r="AS330" s="53">
        <v>-3.2842365363956037E-2</v>
      </c>
      <c r="AT330" s="54"/>
      <c r="AU330" s="246"/>
      <c r="AV330" s="53"/>
      <c r="AW330" s="54"/>
      <c r="AX330" s="246"/>
      <c r="AY330" s="53"/>
      <c r="AZ330" s="54"/>
      <c r="BA330" s="246"/>
      <c r="BB330" s="53"/>
      <c r="BC330" s="54"/>
      <c r="BD330" s="246"/>
      <c r="BE330" s="53"/>
      <c r="BF330" s="54"/>
      <c r="BG330" s="246"/>
      <c r="BH330" s="53"/>
      <c r="BI330" s="54"/>
    </row>
    <row r="331" spans="1:61" x14ac:dyDescent="0.3">
      <c r="A331" s="58" t="s">
        <v>347</v>
      </c>
      <c r="B331" s="59"/>
      <c r="C331" s="60"/>
      <c r="D331" s="61"/>
      <c r="E331" s="62"/>
      <c r="F331" s="63"/>
      <c r="G331" s="47"/>
      <c r="H331" s="248">
        <v>-126492.9528929057</v>
      </c>
      <c r="I331" s="64">
        <v>-86944.290191955311</v>
      </c>
      <c r="J331" s="65">
        <f>SUM(J325,J323)+SUMIFS(Aut_Ajustes_Manuais!$G:$G,Aut_Ajustes_Manuais!$I:$I,DRE!H$4,Aut_Ajustes_Manuais!$F:$F,"Resultado Líquido")</f>
        <v>-63007.328304331531</v>
      </c>
      <c r="K331" s="248">
        <v>-102305.7966262124</v>
      </c>
      <c r="L331" s="64">
        <v>-73739.444190675989</v>
      </c>
      <c r="M331" s="65">
        <f>SUM(M325,M323)+SUMIFS(Aut_Ajustes_Manuais!$G:$G,Aut_Ajustes_Manuais!$I:$I,DRE!K$4,Aut_Ajustes_Manuais!$F:$F,"Resultado Líquido")</f>
        <v>-46098.66352027977</v>
      </c>
      <c r="N331" s="248">
        <v>-59692.629546472002</v>
      </c>
      <c r="O331" s="64">
        <v>-37768.445203099232</v>
      </c>
      <c r="P331" s="65">
        <f>SUM(P325,P323)+SUMIFS(Aut_Ajustes_Manuais!$G:$G,Aut_Ajustes_Manuais!$I:$I,DRE!N$4,Aut_Ajustes_Manuais!$F:$F,"Resultado Líquido")</f>
        <v>2488.6560478228057</v>
      </c>
      <c r="Q331" s="248">
        <v>-46195.287334656699</v>
      </c>
      <c r="R331" s="64">
        <v>-46927.033739561703</v>
      </c>
      <c r="S331" s="65">
        <f>SUM(S325,S323)+SUMIFS(Aut_Ajustes_Manuais!$G:$G,Aut_Ajustes_Manuais!$I:$I,DRE!Q$4,Aut_Ajustes_Manuais!$F:$F,"Resultado Líquido")</f>
        <v>-63352.145658819354</v>
      </c>
      <c r="T331" s="248">
        <v>-66581.703880050045</v>
      </c>
      <c r="U331" s="64">
        <v>-51689.838213525727</v>
      </c>
      <c r="V331" s="65">
        <f>SUM(V325,V323)+SUMIFS(Aut_Ajustes_Manuais!$G:$G,Aut_Ajustes_Manuais!$I:$I,DRE!T$4,Aut_Ajustes_Manuais!$F:$F,"Resultado Líquido")</f>
        <v>-69929.40582447777</v>
      </c>
      <c r="W331" s="248">
        <v>-6110.5620339824563</v>
      </c>
      <c r="X331" s="64">
        <v>-65567.728263868121</v>
      </c>
      <c r="Y331" s="65">
        <f>SUM(Y325,Y323)+SUMIFS(Aut_Ajustes_Manuais!$G:$G,Aut_Ajustes_Manuais!$I:$I,DRE!W$4,Aut_Ajustes_Manuais!$F:$F,"Resultado Líquido")</f>
        <v>-67934.631985041167</v>
      </c>
      <c r="Z331" s="248">
        <v>-24580.00760678641</v>
      </c>
      <c r="AA331" s="64">
        <v>-12348.864093599659</v>
      </c>
      <c r="AB331" s="65">
        <f>SUM(AB325,AB323)+SUMIFS(Aut_Ajustes_Manuais!$G:$G,Aut_Ajustes_Manuais!$I:$I,DRE!Z$4,Aut_Ajustes_Manuais!$F:$F,"Resultado Líquido")</f>
        <v>-211585.45756032912</v>
      </c>
      <c r="AC331" s="248">
        <v>-21187.059826610879</v>
      </c>
      <c r="AD331" s="64">
        <v>-27413.182255267351</v>
      </c>
      <c r="AE331" s="65">
        <f>SUM(AE325,AE323)+SUMIFS(Aut_Ajustes_Manuais!$G:$G,Aut_Ajustes_Manuais!$I:$I,DRE!AC$4,Aut_Ajustes_Manuais!$F:$F,"Resultado Líquido")</f>
        <v>-294875.28702619486</v>
      </c>
      <c r="AF331" s="248">
        <v>-75894.354935932337</v>
      </c>
      <c r="AG331" s="64">
        <v>-50538.704891716538</v>
      </c>
      <c r="AH331" s="65">
        <f>SUM(AH325,AH323)+SUMIFS(Aut_Ajustes_Manuais!$G:$G,Aut_Ajustes_Manuais!$I:$I,DRE!AF$4,Aut_Ajustes_Manuais!$F:$F,"Resultado Líquido")</f>
        <v>-249049.66004807665</v>
      </c>
      <c r="AI331" s="248">
        <v>-9291.630592571606</v>
      </c>
      <c r="AJ331" s="64">
        <v>-1045.2935746366129</v>
      </c>
      <c r="AK331" s="65">
        <f>SUM(AK325,AK323)+SUMIFS(Aut_Ajustes_Manuais!$G:$G,Aut_Ajustes_Manuais!$I:$I,DRE!AI$4,Aut_Ajustes_Manuais!$F:$F,"Resultado Líquido")</f>
        <v>-240741.88212077232</v>
      </c>
      <c r="AL331" s="248">
        <v>-42787.333752764367</v>
      </c>
      <c r="AM331" s="64">
        <v>-28817.22235342221</v>
      </c>
      <c r="AN331" s="65">
        <f>SUM(AN325,AN323)+SUMIFS(Aut_Ajustes_Manuais!$G:$G,Aut_Ajustes_Manuais!$I:$I,DRE!AL$4,Aut_Ajustes_Manuais!$F:$F,"Resultado Líquido")</f>
        <v>-236986.15423389769</v>
      </c>
      <c r="AO331" s="248">
        <v>159707.2791099654</v>
      </c>
      <c r="AP331" s="64">
        <v>25729.543178986762</v>
      </c>
      <c r="AQ331" s="65">
        <f>SUM(AQ325,AQ323)+SUMIFS(Aut_Ajustes_Manuais!$G:$G,Aut_Ajustes_Manuais!$I:$I,DRE!AO$4,Aut_Ajustes_Manuais!$F:$F,"Resultado Líquido")</f>
        <v>-242787.5967466422</v>
      </c>
      <c r="AR331" s="248">
        <f t="shared" ref="AR331:BI331" ca="1" si="300">SUM(AR325,AR323)</f>
        <v>-407378.93231427995</v>
      </c>
      <c r="AS331" s="64">
        <f t="shared" ca="1" si="300"/>
        <v>-362636.77980268543</v>
      </c>
      <c r="AT331" s="65">
        <f t="shared" ca="1" si="300"/>
        <v>-307833.51924512675</v>
      </c>
      <c r="AU331" s="248">
        <f t="shared" si="300"/>
        <v>-421412.03991897951</v>
      </c>
      <c r="AV331" s="64">
        <f t="shared" si="300"/>
        <v>-457070.50379234238</v>
      </c>
      <c r="AW331" s="65">
        <f t="shared" si="300"/>
        <v>-1783859.5569810399</v>
      </c>
      <c r="AX331" s="248">
        <f t="shared" si="300"/>
        <v>-288491.3790655901</v>
      </c>
      <c r="AY331" s="64">
        <f t="shared" si="300"/>
        <v>-198452.1795857304</v>
      </c>
      <c r="AZ331" s="65">
        <f t="shared" si="300"/>
        <v>-106617.3357767885</v>
      </c>
      <c r="BA331" s="248">
        <f t="shared" si="300"/>
        <v>-118887.55324868931</v>
      </c>
      <c r="BB331" s="64">
        <f t="shared" si="300"/>
        <v>-164184.60021695527</v>
      </c>
      <c r="BC331" s="65">
        <f t="shared" si="300"/>
        <v>-201216.18346833857</v>
      </c>
      <c r="BD331" s="248">
        <f t="shared" si="300"/>
        <v>-121661.4223693301</v>
      </c>
      <c r="BE331" s="64">
        <f t="shared" si="300"/>
        <v>-90300.751240583428</v>
      </c>
      <c r="BF331" s="65">
        <f t="shared" si="300"/>
        <v>-755510.40463460051</v>
      </c>
      <c r="BG331" s="248">
        <f t="shared" si="300"/>
        <v>107628.31476462925</v>
      </c>
      <c r="BH331" s="64">
        <f t="shared" si="300"/>
        <v>-4132.9727490720106</v>
      </c>
      <c r="BI331" s="65">
        <f t="shared" si="300"/>
        <v>-720515.63310131221</v>
      </c>
    </row>
    <row r="332" spans="1:61" x14ac:dyDescent="0.3">
      <c r="A332" s="71" t="s">
        <v>44</v>
      </c>
      <c r="B332" s="59"/>
      <c r="C332" s="60"/>
      <c r="D332" s="61"/>
      <c r="E332" s="62"/>
      <c r="F332" s="63"/>
      <c r="G332" s="47"/>
      <c r="H332" s="245">
        <v>-0.41566221273070347</v>
      </c>
      <c r="I332" s="50">
        <v>-0.24635319571654071</v>
      </c>
      <c r="J332" s="51">
        <f>IFERROR(J331/J8,0)+SUMIFS(Aut_Ajustes_Manuais!$G:$G,Aut_Ajustes_Manuais!$I:$I,DRE!H$4,Aut_Ajustes_Manuais!$F:$F,"% sobre Receita Bruta")</f>
        <v>-0.15603820090140344</v>
      </c>
      <c r="K332" s="245">
        <v>-0.31935717581827261</v>
      </c>
      <c r="L332" s="50">
        <v>-0.19059144593540811</v>
      </c>
      <c r="M332" s="51">
        <f>IFERROR(M331/M8,0)+SUMIFS(Aut_Ajustes_Manuais!$G:$G,Aut_Ajustes_Manuais!$I:$I,DRE!K$4,Aut_Ajustes_Manuais!$F:$F,"% sobre Receita Bruta")</f>
        <v>-0.10877507741194495</v>
      </c>
      <c r="N332" s="245">
        <v>-0.1362532041065988</v>
      </c>
      <c r="O332" s="50">
        <v>-7.7169824781730192E-2</v>
      </c>
      <c r="P332" s="51">
        <f>IFERROR(P331/P8,0)+SUMIFS(Aut_Ajustes_Manuais!$G:$G,Aut_Ajustes_Manuais!$I:$I,DRE!N$4,Aut_Ajustes_Manuais!$F:$F,"% sobre Receita Bruta")</f>
        <v>4.414741263285801E-3</v>
      </c>
      <c r="Q332" s="245">
        <v>-0.1107213779100653</v>
      </c>
      <c r="R332" s="50">
        <v>-0.10125699535484051</v>
      </c>
      <c r="S332" s="51">
        <f>IFERROR(S331/S8,0)+SUMIFS(Aut_Ajustes_Manuais!$G:$G,Aut_Ajustes_Manuais!$I:$I,DRE!Q$4,Aut_Ajustes_Manuais!$F:$F,"% sobre Receita Bruta")</f>
        <v>-0.14160422487728144</v>
      </c>
      <c r="T332" s="245">
        <v>-0.1593590261475191</v>
      </c>
      <c r="U332" s="50">
        <v>-0.1126422887341841</v>
      </c>
      <c r="V332" s="51">
        <f>IFERROR(V331/V8,0)+SUMIFS(Aut_Ajustes_Manuais!$G:$G,Aut_Ajustes_Manuais!$I:$I,DRE!T$4,Aut_Ajustes_Manuais!$F:$F,"% sobre Receita Bruta")</f>
        <v>-0.15164718438354641</v>
      </c>
      <c r="W332" s="245">
        <v>-1.498317608816392E-2</v>
      </c>
      <c r="X332" s="50">
        <v>-0.15371313482700311</v>
      </c>
      <c r="Y332" s="51">
        <f>IFERROR(Y331/Y8,0)+SUMIFS(Aut_Ajustes_Manuais!$G:$G,Aut_Ajustes_Manuais!$I:$I,DRE!W$4,Aut_Ajustes_Manuais!$F:$F,"% sobre Receita Bruta")</f>
        <v>-0.14447288120773127</v>
      </c>
      <c r="Z332" s="245">
        <v>-4.9266574873698628E-2</v>
      </c>
      <c r="AA332" s="50">
        <v>-2.2137388633498449E-2</v>
      </c>
      <c r="AB332" s="51">
        <f>IFERROR(AB331/AB8,0)+SUMIFS(Aut_Ajustes_Manuais!$G:$G,Aut_Ajustes_Manuais!$I:$I,DRE!Z$4,Aut_Ajustes_Manuais!$F:$F,"% sobre Receita Bruta")</f>
        <v>-1.4006991767303323</v>
      </c>
      <c r="AC332" s="245">
        <v>-4.4475997475098193E-2</v>
      </c>
      <c r="AD332" s="50">
        <v>-5.1944944281836873E-2</v>
      </c>
      <c r="AE332" s="51">
        <f>IFERROR(AE331/AE8,0)+SUMIFS(Aut_Ajustes_Manuais!$G:$G,Aut_Ajustes_Manuais!$I:$I,DRE!AC$4,Aut_Ajustes_Manuais!$F:$F,"% sobre Receita Bruta")</f>
        <v>-91.010891057467546</v>
      </c>
      <c r="AF332" s="245">
        <v>-0.18390637256792039</v>
      </c>
      <c r="AG332" s="50">
        <v>-0.10753102945751621</v>
      </c>
      <c r="AH332" s="51">
        <f>IFERROR(AH331/AH8,0)+SUMIFS(Aut_Ajustes_Manuais!$G:$G,Aut_Ajustes_Manuais!$I:$I,DRE!AF$4,Aut_Ajustes_Manuais!$F:$F,"% sobre Receita Bruta")</f>
        <v>0</v>
      </c>
      <c r="AI332" s="245">
        <v>-2.2114464881077801E-2</v>
      </c>
      <c r="AJ332" s="50">
        <v>-2.1536735309672659E-3</v>
      </c>
      <c r="AK332" s="51">
        <f>IFERROR(AK331/AK8,0)+SUMIFS(Aut_Ajustes_Manuais!$G:$G,Aut_Ajustes_Manuais!$I:$I,DRE!AI$4,Aut_Ajustes_Manuais!$F:$F,"% sobre Receita Bruta")</f>
        <v>0</v>
      </c>
      <c r="AL332" s="245">
        <v>-9.2057127928577745E-2</v>
      </c>
      <c r="AM332" s="50">
        <v>-5.6104332076978673E-2</v>
      </c>
      <c r="AN332" s="51">
        <f>IFERROR(AN331/AN8,0)+SUMIFS(Aut_Ajustes_Manuais!$G:$G,Aut_Ajustes_Manuais!$I:$I,DRE!AL$4,Aut_Ajustes_Manuais!$F:$F,"% sobre Receita Bruta")</f>
        <v>-58.951779660173557</v>
      </c>
      <c r="AO332" s="245">
        <v>0.20333243891079611</v>
      </c>
      <c r="AP332" s="50">
        <v>3.9223686948460748E-2</v>
      </c>
      <c r="AQ332" s="51">
        <f>IFERROR(AQ331/AQ8,0)+SUMIFS(Aut_Ajustes_Manuais!$G:$G,Aut_Ajustes_Manuais!$I:$I,DRE!AO$4,Aut_Ajustes_Manuais!$F:$F,"% sobre Receita Bruta")</f>
        <v>0</v>
      </c>
      <c r="AR332" s="245">
        <f t="shared" ref="AR332:BI332" ca="1" si="301">IFERROR(AR331/AR8,0)</f>
        <v>-0.17668913477911843</v>
      </c>
      <c r="AS332" s="50">
        <f t="shared" ca="1" si="301"/>
        <v>-0.14065873607538679</v>
      </c>
      <c r="AT332" s="51">
        <f t="shared" ca="1" si="301"/>
        <v>-0.11112912894889514</v>
      </c>
      <c r="AU332" s="245">
        <f t="shared" si="301"/>
        <v>-7.856309745192655E-2</v>
      </c>
      <c r="AV332" s="50">
        <f t="shared" si="301"/>
        <v>-7.8959814903108522E-2</v>
      </c>
      <c r="AW332" s="51">
        <f t="shared" si="301"/>
        <v>-0.60916477612862463</v>
      </c>
      <c r="AX332" s="245">
        <f t="shared" si="301"/>
        <v>-0.27145319065790541</v>
      </c>
      <c r="AY332" s="50">
        <f t="shared" si="301"/>
        <v>-0.16144256884685759</v>
      </c>
      <c r="AZ332" s="51">
        <f t="shared" si="301"/>
        <v>-7.6631046386493887E-2</v>
      </c>
      <c r="BA332" s="245">
        <f t="shared" si="301"/>
        <v>-9.5656533732933577E-2</v>
      </c>
      <c r="BB332" s="50">
        <f t="shared" si="301"/>
        <v>-0.12171841557280565</v>
      </c>
      <c r="BC332" s="51">
        <f t="shared" si="301"/>
        <v>-0.14594153387152314</v>
      </c>
      <c r="BD332" s="245">
        <f t="shared" si="301"/>
        <v>-8.7654310864641469E-2</v>
      </c>
      <c r="BE332" s="50">
        <f t="shared" si="301"/>
        <v>-5.8050482942769314E-2</v>
      </c>
      <c r="BF332" s="51">
        <f t="shared" si="301"/>
        <v>-4.8964675770790951</v>
      </c>
      <c r="BG332" s="245">
        <f t="shared" si="301"/>
        <v>6.4432622670804296E-2</v>
      </c>
      <c r="BH332" s="50">
        <f t="shared" si="301"/>
        <v>-2.4973254481599565E-3</v>
      </c>
      <c r="BI332" s="51">
        <f t="shared" si="301"/>
        <v>-179.23274455256524</v>
      </c>
    </row>
    <row r="333" spans="1:61" x14ac:dyDescent="0.3">
      <c r="A333" s="18"/>
      <c r="E333" s="16"/>
      <c r="F333" s="17"/>
      <c r="G333" s="47"/>
      <c r="H333" s="247"/>
      <c r="I333" s="17"/>
      <c r="J333" s="57"/>
      <c r="K333" s="247"/>
      <c r="L333" s="17"/>
      <c r="M333" s="57"/>
      <c r="N333" s="247"/>
      <c r="O333" s="17"/>
      <c r="P333" s="57"/>
      <c r="Q333" s="247"/>
      <c r="R333" s="17"/>
      <c r="S333" s="57"/>
      <c r="T333" s="247"/>
      <c r="U333" s="17"/>
      <c r="V333" s="57"/>
      <c r="W333" s="247"/>
      <c r="X333" s="17"/>
      <c r="Y333" s="57"/>
      <c r="Z333" s="247"/>
      <c r="AA333" s="17"/>
      <c r="AB333" s="57"/>
      <c r="AC333" s="247"/>
      <c r="AD333" s="17"/>
      <c r="AE333" s="57"/>
      <c r="AF333" s="247"/>
      <c r="AG333" s="17"/>
      <c r="AH333" s="57"/>
      <c r="AI333" s="247"/>
      <c r="AJ333" s="17"/>
      <c r="AK333" s="57"/>
      <c r="AL333" s="247"/>
      <c r="AM333" s="17"/>
      <c r="AN333" s="57"/>
      <c r="AO333" s="247"/>
      <c r="AP333" s="17"/>
      <c r="AQ333" s="57"/>
      <c r="AR333" s="247"/>
      <c r="AS333" s="17"/>
      <c r="AT333" s="57"/>
      <c r="AU333" s="247"/>
      <c r="AV333" s="17"/>
      <c r="AW333" s="57"/>
      <c r="AX333" s="247"/>
      <c r="AY333" s="17"/>
      <c r="AZ333" s="57"/>
      <c r="BA333" s="247"/>
      <c r="BB333" s="17"/>
      <c r="BC333" s="57"/>
      <c r="BD333" s="247"/>
      <c r="BE333" s="17"/>
      <c r="BF333" s="57"/>
      <c r="BG333" s="247"/>
      <c r="BH333" s="17"/>
      <c r="BI333" s="57"/>
    </row>
    <row r="334" spans="1:61" x14ac:dyDescent="0.3">
      <c r="A334" s="39" t="s">
        <v>348</v>
      </c>
      <c r="B334" s="59"/>
      <c r="C334" s="40" t="s">
        <v>340</v>
      </c>
      <c r="D334" s="40" t="s">
        <v>341</v>
      </c>
      <c r="E334" s="40" t="s">
        <v>202</v>
      </c>
      <c r="F334" s="63"/>
      <c r="G334" s="47"/>
      <c r="H334" s="244">
        <v>-15253</v>
      </c>
      <c r="I334" s="42">
        <v>0</v>
      </c>
      <c r="J334" s="43">
        <f>SUM(J335:J351)+SUMIFS(Aut_Ajustes_Manuais!$G:$G,Aut_Ajustes_Manuais!$I:$I,DRE!H$4,Aut_Ajustes_Manuais!$F:$F,"(-) CAPEX (Investimentos)")</f>
        <v>-5240</v>
      </c>
      <c r="K334" s="244">
        <v>-5378.94</v>
      </c>
      <c r="L334" s="42">
        <v>0</v>
      </c>
      <c r="M334" s="43">
        <f>SUM(M335:M351)+SUMIFS(Aut_Ajustes_Manuais!$G:$G,Aut_Ajustes_Manuais!$I:$I,DRE!K$4,Aut_Ajustes_Manuais!$F:$F,"(-) CAPEX (Investimentos)")</f>
        <v>0</v>
      </c>
      <c r="N334" s="244">
        <v>-5000</v>
      </c>
      <c r="O334" s="42">
        <v>0</v>
      </c>
      <c r="P334" s="43">
        <f>SUM(P335:P351)+SUMIFS(Aut_Ajustes_Manuais!$G:$G,Aut_Ajustes_Manuais!$I:$I,DRE!N$4,Aut_Ajustes_Manuais!$F:$F,"(-) CAPEX (Investimentos)")</f>
        <v>-360</v>
      </c>
      <c r="Q334" s="244">
        <v>-8198</v>
      </c>
      <c r="R334" s="42">
        <v>0</v>
      </c>
      <c r="S334" s="43">
        <f>SUM(S335:S351)+SUMIFS(Aut_Ajustes_Manuais!$G:$G,Aut_Ajustes_Manuais!$I:$I,DRE!Q$4,Aut_Ajustes_Manuais!$F:$F,"(-) CAPEX (Investimentos)")</f>
        <v>0</v>
      </c>
      <c r="T334" s="244">
        <v>-9100</v>
      </c>
      <c r="U334" s="42">
        <v>0</v>
      </c>
      <c r="V334" s="43">
        <f>SUM(V335:V351)+SUMIFS(Aut_Ajustes_Manuais!$G:$G,Aut_Ajustes_Manuais!$I:$I,DRE!T$4,Aut_Ajustes_Manuais!$F:$F,"(-) CAPEX (Investimentos)")</f>
        <v>0</v>
      </c>
      <c r="W334" s="244">
        <v>-5000</v>
      </c>
      <c r="X334" s="42">
        <v>0</v>
      </c>
      <c r="Y334" s="43">
        <f>SUM(Y335:Y351)+SUMIFS(Aut_Ajustes_Manuais!$G:$G,Aut_Ajustes_Manuais!$I:$I,DRE!W$4,Aut_Ajustes_Manuais!$F:$F,"(-) CAPEX (Investimentos)")</f>
        <v>0</v>
      </c>
      <c r="Z334" s="244">
        <v>0</v>
      </c>
      <c r="AA334" s="42">
        <v>0</v>
      </c>
      <c r="AB334" s="43">
        <f>SUM(AB335:AB351)+SUMIFS(Aut_Ajustes_Manuais!$G:$G,Aut_Ajustes_Manuais!$I:$I,DRE!Z$4,Aut_Ajustes_Manuais!$F:$F,"(-) CAPEX (Investimentos)")</f>
        <v>-1300</v>
      </c>
      <c r="AC334" s="244">
        <v>-615</v>
      </c>
      <c r="AD334" s="42">
        <v>0</v>
      </c>
      <c r="AE334" s="43">
        <f>SUM(AE335:AE351)+SUMIFS(Aut_Ajustes_Manuais!$G:$G,Aut_Ajustes_Manuais!$I:$I,DRE!AC$4,Aut_Ajustes_Manuais!$F:$F,"(-) CAPEX (Investimentos)")</f>
        <v>0</v>
      </c>
      <c r="AF334" s="244">
        <v>0</v>
      </c>
      <c r="AG334" s="42">
        <v>0</v>
      </c>
      <c r="AH334" s="43">
        <f>SUM(AH335:AH351)+SUMIFS(Aut_Ajustes_Manuais!$G:$G,Aut_Ajustes_Manuais!$I:$I,DRE!AF$4,Aut_Ajustes_Manuais!$F:$F,"(-) CAPEX (Investimentos)")</f>
        <v>0</v>
      </c>
      <c r="AI334" s="244">
        <v>-1033.93</v>
      </c>
      <c r="AJ334" s="42">
        <v>0</v>
      </c>
      <c r="AK334" s="43">
        <f>SUM(AK335:AK351)+SUMIFS(Aut_Ajustes_Manuais!$G:$G,Aut_Ajustes_Manuais!$I:$I,DRE!AI$4,Aut_Ajustes_Manuais!$F:$F,"(-) CAPEX (Investimentos)")</f>
        <v>0</v>
      </c>
      <c r="AL334" s="244">
        <v>-5000</v>
      </c>
      <c r="AM334" s="42">
        <v>0</v>
      </c>
      <c r="AN334" s="43">
        <f>SUM(AN335:AN351)+SUMIFS(Aut_Ajustes_Manuais!$G:$G,Aut_Ajustes_Manuais!$I:$I,DRE!AL$4,Aut_Ajustes_Manuais!$F:$F,"(-) CAPEX (Investimentos)")</f>
        <v>0</v>
      </c>
      <c r="AO334" s="244">
        <v>-420.5</v>
      </c>
      <c r="AP334" s="42">
        <v>0</v>
      </c>
      <c r="AQ334" s="43">
        <f>SUM(AQ335:AQ351)+SUMIFS(Aut_Ajustes_Manuais!$G:$G,Aut_Ajustes_Manuais!$I:$I,DRE!AO$4,Aut_Ajustes_Manuais!$F:$F,"(-) CAPEX (Investimentos)")</f>
        <v>0</v>
      </c>
      <c r="AR334" s="244">
        <f t="shared" ref="AR334:BI334" ca="1" si="302">SUM(AR335:AR351)</f>
        <v>-47929.939999999995</v>
      </c>
      <c r="AS334" s="42">
        <f t="shared" ca="1" si="302"/>
        <v>0</v>
      </c>
      <c r="AT334" s="43">
        <f t="shared" ca="1" si="302"/>
        <v>-5600</v>
      </c>
      <c r="AU334" s="244">
        <f t="shared" si="302"/>
        <v>-54999.369999999995</v>
      </c>
      <c r="AV334" s="42">
        <f t="shared" si="302"/>
        <v>0</v>
      </c>
      <c r="AW334" s="43">
        <f t="shared" si="302"/>
        <v>-6900</v>
      </c>
      <c r="AX334" s="244">
        <f t="shared" si="302"/>
        <v>-25631.940000000002</v>
      </c>
      <c r="AY334" s="42">
        <f t="shared" si="302"/>
        <v>0</v>
      </c>
      <c r="AZ334" s="43">
        <f t="shared" si="302"/>
        <v>-5600</v>
      </c>
      <c r="BA334" s="244">
        <f t="shared" si="302"/>
        <v>-22298</v>
      </c>
      <c r="BB334" s="42">
        <f t="shared" si="302"/>
        <v>0</v>
      </c>
      <c r="BC334" s="43">
        <f t="shared" si="302"/>
        <v>0</v>
      </c>
      <c r="BD334" s="244">
        <f t="shared" si="302"/>
        <v>-615</v>
      </c>
      <c r="BE334" s="42">
        <f t="shared" si="302"/>
        <v>0</v>
      </c>
      <c r="BF334" s="43">
        <f t="shared" si="302"/>
        <v>-1300</v>
      </c>
      <c r="BG334" s="244">
        <f t="shared" si="302"/>
        <v>-6454.43</v>
      </c>
      <c r="BH334" s="42">
        <f t="shared" si="302"/>
        <v>0</v>
      </c>
      <c r="BI334" s="43">
        <f t="shared" si="302"/>
        <v>0</v>
      </c>
    </row>
    <row r="335" spans="1:61" s="29" customFormat="1" hidden="1" outlineLevel="1" x14ac:dyDescent="0.3">
      <c r="A335" s="22" t="s">
        <v>349</v>
      </c>
      <c r="B335" s="59"/>
      <c r="C335" s="24" t="s">
        <v>60</v>
      </c>
      <c r="D335" s="25"/>
      <c r="E335" s="25"/>
      <c r="F335" s="63"/>
      <c r="G335" s="33"/>
      <c r="H335" s="241">
        <v>0</v>
      </c>
      <c r="I335" s="81"/>
      <c r="J335" s="82">
        <f>SUMIFS(Aut_BlueMe_Sem_Pedido!$J:$J,Aut_BlueMe_Sem_Pedido!$Q:$Q,DRE!H$4,Aut_BlueMe_Sem_Pedido!$H:$H,DRE!$A335)+SUMIFS(Aut_Ajustes_Manuais!$G:$G,Aut_Ajustes_Manuais!$I:$I,DRE!H$4,Aut_Ajustes_Manuais!$F:$F,"Investimento - Construção - Obra ")</f>
        <v>-5000</v>
      </c>
      <c r="K335" s="254">
        <v>0</v>
      </c>
      <c r="L335" s="81"/>
      <c r="M335" s="82">
        <f>SUMIFS(Aut_BlueMe_Sem_Pedido!$J:$J,Aut_BlueMe_Sem_Pedido!$Q:$Q,DRE!K$4,Aut_BlueMe_Sem_Pedido!$H:$H,DRE!$A335)+SUMIFS(Aut_Ajustes_Manuais!$G:$G,Aut_Ajustes_Manuais!$I:$I,DRE!K$4,Aut_Ajustes_Manuais!$F:$F,"Investimento - Construção - Obra ")</f>
        <v>0</v>
      </c>
      <c r="N335" s="254">
        <v>0</v>
      </c>
      <c r="O335" s="81"/>
      <c r="P335" s="82">
        <f>SUMIFS(Aut_BlueMe_Sem_Pedido!$J:$J,Aut_BlueMe_Sem_Pedido!$Q:$Q,DRE!N$4,Aut_BlueMe_Sem_Pedido!$H:$H,DRE!$A335)+SUMIFS(Aut_Ajustes_Manuais!$G:$G,Aut_Ajustes_Manuais!$I:$I,DRE!N$4,Aut_Ajustes_Manuais!$F:$F,"Investimento - Construção - Obra ")</f>
        <v>0</v>
      </c>
      <c r="Q335" s="241">
        <v>0</v>
      </c>
      <c r="R335" s="81"/>
      <c r="S335" s="82">
        <f>SUMIFS(Aut_BlueMe_Sem_Pedido!$J:$J,Aut_BlueMe_Sem_Pedido!$Q:$Q,DRE!Q$4,Aut_BlueMe_Sem_Pedido!$H:$H,DRE!$A335)+SUMIFS(Aut_Ajustes_Manuais!$G:$G,Aut_Ajustes_Manuais!$I:$I,DRE!Q$4,Aut_Ajustes_Manuais!$F:$F,"Investimento - Construção - Obra ")</f>
        <v>0</v>
      </c>
      <c r="T335" s="241">
        <v>-4100</v>
      </c>
      <c r="U335" s="81"/>
      <c r="V335" s="82">
        <f>SUMIFS(Aut_BlueMe_Sem_Pedido!$J:$J,Aut_BlueMe_Sem_Pedido!$Q:$Q,DRE!T$4,Aut_BlueMe_Sem_Pedido!$H:$H,DRE!$A335)+SUMIFS(Aut_Ajustes_Manuais!$G:$G,Aut_Ajustes_Manuais!$I:$I,DRE!T$4,Aut_Ajustes_Manuais!$F:$F,"Investimento - Construção - Obra ")</f>
        <v>0</v>
      </c>
      <c r="W335" s="241">
        <v>0</v>
      </c>
      <c r="X335" s="81"/>
      <c r="Y335" s="82">
        <f>SUMIFS(Aut_BlueMe_Sem_Pedido!$J:$J,Aut_BlueMe_Sem_Pedido!$Q:$Q,DRE!W$4,Aut_BlueMe_Sem_Pedido!$H:$H,DRE!$A335)+SUMIFS(Aut_Ajustes_Manuais!$G:$G,Aut_Ajustes_Manuais!$I:$I,DRE!W$4,Aut_Ajustes_Manuais!$F:$F,"Investimento - Construção - Obra ")</f>
        <v>0</v>
      </c>
      <c r="Z335" s="241">
        <v>0</v>
      </c>
      <c r="AA335" s="81"/>
      <c r="AB335" s="82">
        <f>SUMIFS(Aut_BlueMe_Sem_Pedido!$J:$J,Aut_BlueMe_Sem_Pedido!$Q:$Q,DRE!Z$4,Aut_BlueMe_Sem_Pedido!$H:$H,DRE!$A335)+SUMIFS(Aut_Ajustes_Manuais!$G:$G,Aut_Ajustes_Manuais!$I:$I,DRE!Z$4,Aut_Ajustes_Manuais!$F:$F,"Investimento - Construção - Obra ")</f>
        <v>0</v>
      </c>
      <c r="AC335" s="241">
        <v>0</v>
      </c>
      <c r="AD335" s="81"/>
      <c r="AE335" s="82">
        <f>SUMIFS(Aut_BlueMe_Sem_Pedido!$J:$J,Aut_BlueMe_Sem_Pedido!$Q:$Q,DRE!AC$4,Aut_BlueMe_Sem_Pedido!$H:$H,DRE!$A335)+SUMIFS(Aut_Ajustes_Manuais!$G:$G,Aut_Ajustes_Manuais!$I:$I,DRE!AC$4,Aut_Ajustes_Manuais!$F:$F,"Investimento - Construção - Obra ")</f>
        <v>0</v>
      </c>
      <c r="AF335" s="241">
        <v>0</v>
      </c>
      <c r="AG335" s="81"/>
      <c r="AH335" s="82">
        <f>SUMIFS(Aut_BlueMe_Sem_Pedido!$J:$J,Aut_BlueMe_Sem_Pedido!$Q:$Q,DRE!AF$4,Aut_BlueMe_Sem_Pedido!$H:$H,DRE!$A335)+SUMIFS(Aut_Ajustes_Manuais!$G:$G,Aut_Ajustes_Manuais!$I:$I,DRE!AF$4,Aut_Ajustes_Manuais!$F:$F,"Investimento - Construção - Obra ")</f>
        <v>0</v>
      </c>
      <c r="AI335" s="241">
        <v>0</v>
      </c>
      <c r="AJ335" s="81"/>
      <c r="AK335" s="82">
        <f>SUMIFS(Aut_BlueMe_Sem_Pedido!$J:$J,Aut_BlueMe_Sem_Pedido!$Q:$Q,DRE!AI$4,Aut_BlueMe_Sem_Pedido!$H:$H,DRE!$A335)+SUMIFS(Aut_Ajustes_Manuais!$G:$G,Aut_Ajustes_Manuais!$I:$I,DRE!AI$4,Aut_Ajustes_Manuais!$F:$F,"Investimento - Construção - Obra ")</f>
        <v>0</v>
      </c>
      <c r="AL335" s="241">
        <v>-5000</v>
      </c>
      <c r="AM335" s="81"/>
      <c r="AN335" s="82">
        <f>SUMIFS(Aut_BlueMe_Sem_Pedido!$J:$J,Aut_BlueMe_Sem_Pedido!$Q:$Q,DRE!AL$4,Aut_BlueMe_Sem_Pedido!$H:$H,DRE!$A335)+SUMIFS(Aut_Ajustes_Manuais!$G:$G,Aut_Ajustes_Manuais!$I:$I,DRE!AL$4,Aut_Ajustes_Manuais!$F:$F,"Investimento - Construção - Obra ")</f>
        <v>0</v>
      </c>
      <c r="AO335" s="241">
        <v>0</v>
      </c>
      <c r="AP335" s="81"/>
      <c r="AQ335" s="82">
        <f>SUMIFS(Aut_BlueMe_Sem_Pedido!$J:$J,Aut_BlueMe_Sem_Pedido!$Q:$Q,DRE!AO$4,Aut_BlueMe_Sem_Pedido!$H:$H,DRE!$A335)+SUMIFS(Aut_Ajustes_Manuais!$G:$G,Aut_Ajustes_Manuais!$I:$I,DRE!AO$4,Aut_Ajustes_Manuais!$F:$F,"Investimento - Construção - Obra ")</f>
        <v>0</v>
      </c>
      <c r="AR335" s="241">
        <f t="shared" ref="AR335:AR351" ca="1" si="303">SUMIFS($H335:$AO335,$H$5:$AO$5,"&lt;"&amp;MONTH(TODAY()),$H$6:$AO$6,"REAL 25")</f>
        <v>-4100</v>
      </c>
      <c r="AS335" s="81">
        <f t="shared" ref="AS335:AS351" ca="1" si="304">SUMIFS($I335:$AP335,$I$5:$AP$5,"&lt;"&amp;MONTH(TODAY()),$I$6:$AP$6,"ORÇADO ")</f>
        <v>0</v>
      </c>
      <c r="AT335" s="82">
        <f t="shared" ref="AT335:AT351" ca="1" si="305">SUMIFS($J335:$AQ335,$J$5:$AQ$5,"&lt;"&amp;MONTH(TODAY()),$J$6:$AQ$6,"REAL 26")</f>
        <v>-5000</v>
      </c>
      <c r="AU335" s="241">
        <f t="shared" ref="AU335:AU351" si="306">SUM(H335,K335,N335,Q335,T335,W335,Z335,AC335,AF335,AI335,AL335,AO335)</f>
        <v>-9100</v>
      </c>
      <c r="AV335" s="81">
        <f t="shared" ref="AV335:AV351" si="307">SUM(I335,L335,O335,R335,U335,X335,AA335,AD335,AG335,AJ335,AM335,AP335)</f>
        <v>0</v>
      </c>
      <c r="AW335" s="82">
        <f t="shared" ref="AW335:AW351" si="308">SUM(J335,M335,P335,S335,V335,Y335,AB335,AE335,AH335,AK335,AN335,AQ335)</f>
        <v>-5000</v>
      </c>
      <c r="AX335" s="241">
        <f t="shared" ref="AX335:AX351" si="309">SUM(H335,K335,N335)</f>
        <v>0</v>
      </c>
      <c r="AY335" s="81">
        <f t="shared" ref="AY335:AY351" si="310">SUM(I335,L335,O335)</f>
        <v>0</v>
      </c>
      <c r="AZ335" s="82">
        <f t="shared" ref="AZ335:AZ351" si="311">SUM(J335,M335,P335)</f>
        <v>-5000</v>
      </c>
      <c r="BA335" s="241">
        <f t="shared" ref="BA335:BA351" si="312">SUM(Q335,T335,W335)</f>
        <v>-4100</v>
      </c>
      <c r="BB335" s="81">
        <f t="shared" ref="BB335:BB351" si="313">SUM(R335,U335,X335)</f>
        <v>0</v>
      </c>
      <c r="BC335" s="82">
        <f t="shared" ref="BC335:BC351" si="314">SUM(S335,V335,Y335)</f>
        <v>0</v>
      </c>
      <c r="BD335" s="241">
        <f t="shared" ref="BD335:BD351" si="315">SUM(Z335,AC335,AF335)</f>
        <v>0</v>
      </c>
      <c r="BE335" s="81">
        <f t="shared" ref="BE335:BE351" si="316">SUM(AA335,AD335,AG335)</f>
        <v>0</v>
      </c>
      <c r="BF335" s="82">
        <f t="shared" ref="BF335:BF351" si="317">SUM(AB335,AE335,AH335)</f>
        <v>0</v>
      </c>
      <c r="BG335" s="241">
        <f t="shared" ref="BG335:BG351" si="318">SUM(AI335,AL335,AO335)</f>
        <v>-5000</v>
      </c>
      <c r="BH335" s="81">
        <f t="shared" ref="BH335:BH351" si="319">SUM(AJ335,AM335,AP335)</f>
        <v>0</v>
      </c>
      <c r="BI335" s="82">
        <f t="shared" ref="BI335:BI351" si="320">SUM(AK335,AN335,AQ335)</f>
        <v>0</v>
      </c>
    </row>
    <row r="336" spans="1:61" s="29" customFormat="1" hidden="1" outlineLevel="1" x14ac:dyDescent="0.3">
      <c r="A336" s="22" t="s">
        <v>350</v>
      </c>
      <c r="B336" s="59"/>
      <c r="C336" s="24" t="s">
        <v>60</v>
      </c>
      <c r="D336" s="25"/>
      <c r="E336" s="55">
        <v>-5.0000000000000001E-3</v>
      </c>
      <c r="F336" s="63"/>
      <c r="G336" s="33"/>
      <c r="H336" s="241">
        <v>-10575</v>
      </c>
      <c r="I336" s="81"/>
      <c r="J336" s="82">
        <f>SUMIFS(Aut_BlueMe_Sem_Pedido!$J:$J,Aut_BlueMe_Sem_Pedido!$Q:$Q,DRE!H$4,Aut_BlueMe_Sem_Pedido!$H:$H,DRE!$A336)+SUMIFS(Aut_Ajustes_Manuais!$G:$G,Aut_Ajustes_Manuais!$I:$I,DRE!H$4,Aut_Ajustes_Manuais!$F:$F,"Investimento - Equipamentos")</f>
        <v>-240</v>
      </c>
      <c r="K336" s="254">
        <v>-5078.95</v>
      </c>
      <c r="L336" s="81"/>
      <c r="M336" s="82">
        <f>SUMIFS(Aut_BlueMe_Sem_Pedido!$J:$J,Aut_BlueMe_Sem_Pedido!$Q:$Q,DRE!K$4,Aut_BlueMe_Sem_Pedido!$H:$H,DRE!$A336)+SUMIFS(Aut_Ajustes_Manuais!$G:$G,Aut_Ajustes_Manuais!$I:$I,DRE!K$4,Aut_Ajustes_Manuais!$F:$F,"Investimento - Equipamentos")</f>
        <v>0</v>
      </c>
      <c r="N336" s="254">
        <v>-5000</v>
      </c>
      <c r="O336" s="81"/>
      <c r="P336" s="82">
        <f>SUMIFS(Aut_BlueMe_Sem_Pedido!$J:$J,Aut_BlueMe_Sem_Pedido!$Q:$Q,DRE!N$4,Aut_BlueMe_Sem_Pedido!$H:$H,DRE!$A336)+SUMIFS(Aut_Ajustes_Manuais!$G:$G,Aut_Ajustes_Manuais!$I:$I,DRE!N$4,Aut_Ajustes_Manuais!$F:$F,"Investimento - Equipamentos")</f>
        <v>-360</v>
      </c>
      <c r="Q336" s="241">
        <v>-8198</v>
      </c>
      <c r="R336" s="81"/>
      <c r="S336" s="82">
        <f>SUMIFS(Aut_BlueMe_Sem_Pedido!$J:$J,Aut_BlueMe_Sem_Pedido!$Q:$Q,DRE!Q$4,Aut_BlueMe_Sem_Pedido!$H:$H,DRE!$A336)+SUMIFS(Aut_Ajustes_Manuais!$G:$G,Aut_Ajustes_Manuais!$I:$I,DRE!Q$4,Aut_Ajustes_Manuais!$F:$F,"Investimento - Equipamentos")</f>
        <v>0</v>
      </c>
      <c r="T336" s="241">
        <v>-5000</v>
      </c>
      <c r="U336" s="81"/>
      <c r="V336" s="82">
        <f>SUMIFS(Aut_BlueMe_Sem_Pedido!$J:$J,Aut_BlueMe_Sem_Pedido!$Q:$Q,DRE!T$4,Aut_BlueMe_Sem_Pedido!$H:$H,DRE!$A336)+SUMIFS(Aut_Ajustes_Manuais!$G:$G,Aut_Ajustes_Manuais!$I:$I,DRE!T$4,Aut_Ajustes_Manuais!$F:$F,"Investimento - Equipamentos")</f>
        <v>0</v>
      </c>
      <c r="W336" s="241">
        <v>-5000</v>
      </c>
      <c r="X336" s="81"/>
      <c r="Y336" s="82">
        <f>SUMIFS(Aut_BlueMe_Sem_Pedido!$J:$J,Aut_BlueMe_Sem_Pedido!$Q:$Q,DRE!W$4,Aut_BlueMe_Sem_Pedido!$H:$H,DRE!$A336)+SUMIFS(Aut_Ajustes_Manuais!$G:$G,Aut_Ajustes_Manuais!$I:$I,DRE!W$4,Aut_Ajustes_Manuais!$F:$F,"Investimento - Equipamentos")</f>
        <v>0</v>
      </c>
      <c r="Z336" s="241">
        <v>0</v>
      </c>
      <c r="AA336" s="81"/>
      <c r="AB336" s="82">
        <f>SUMIFS(Aut_BlueMe_Sem_Pedido!$J:$J,Aut_BlueMe_Sem_Pedido!$Q:$Q,DRE!Z$4,Aut_BlueMe_Sem_Pedido!$H:$H,DRE!$A336)+SUMIFS(Aut_Ajustes_Manuais!$G:$G,Aut_Ajustes_Manuais!$I:$I,DRE!Z$4,Aut_Ajustes_Manuais!$F:$F,"Investimento - Equipamentos")</f>
        <v>0</v>
      </c>
      <c r="AC336" s="241">
        <v>-615</v>
      </c>
      <c r="AD336" s="81"/>
      <c r="AE336" s="82">
        <f>SUMIFS(Aut_BlueMe_Sem_Pedido!$J:$J,Aut_BlueMe_Sem_Pedido!$Q:$Q,DRE!AC$4,Aut_BlueMe_Sem_Pedido!$H:$H,DRE!$A336)+SUMIFS(Aut_Ajustes_Manuais!$G:$G,Aut_Ajustes_Manuais!$I:$I,DRE!AC$4,Aut_Ajustes_Manuais!$F:$F,"Investimento - Equipamentos")</f>
        <v>0</v>
      </c>
      <c r="AF336" s="241">
        <v>0</v>
      </c>
      <c r="AG336" s="81"/>
      <c r="AH336" s="82">
        <f>SUMIFS(Aut_BlueMe_Sem_Pedido!$J:$J,Aut_BlueMe_Sem_Pedido!$Q:$Q,DRE!AF$4,Aut_BlueMe_Sem_Pedido!$H:$H,DRE!$A336)+SUMIFS(Aut_Ajustes_Manuais!$G:$G,Aut_Ajustes_Manuais!$I:$I,DRE!AF$4,Aut_Ajustes_Manuais!$F:$F,"Investimento - Equipamentos")</f>
        <v>0</v>
      </c>
      <c r="AI336" s="241">
        <v>-1033.93</v>
      </c>
      <c r="AJ336" s="81"/>
      <c r="AK336" s="82">
        <f>SUMIFS(Aut_BlueMe_Sem_Pedido!$J:$J,Aut_BlueMe_Sem_Pedido!$Q:$Q,DRE!AI$4,Aut_BlueMe_Sem_Pedido!$H:$H,DRE!$A336)+SUMIFS(Aut_Ajustes_Manuais!$G:$G,Aut_Ajustes_Manuais!$I:$I,DRE!AI$4,Aut_Ajustes_Manuais!$F:$F,"Investimento - Equipamentos")</f>
        <v>0</v>
      </c>
      <c r="AL336" s="241">
        <v>0</v>
      </c>
      <c r="AM336" s="81"/>
      <c r="AN336" s="82">
        <f>SUMIFS(Aut_BlueMe_Sem_Pedido!$J:$J,Aut_BlueMe_Sem_Pedido!$Q:$Q,DRE!AL$4,Aut_BlueMe_Sem_Pedido!$H:$H,DRE!$A336)+SUMIFS(Aut_Ajustes_Manuais!$G:$G,Aut_Ajustes_Manuais!$I:$I,DRE!AL$4,Aut_Ajustes_Manuais!$F:$F,"Investimento - Equipamentos")</f>
        <v>0</v>
      </c>
      <c r="AO336" s="241">
        <v>0</v>
      </c>
      <c r="AP336" s="81"/>
      <c r="AQ336" s="82">
        <f>SUMIFS(Aut_BlueMe_Sem_Pedido!$J:$J,Aut_BlueMe_Sem_Pedido!$Q:$Q,DRE!AO$4,Aut_BlueMe_Sem_Pedido!$H:$H,DRE!$A336)+SUMIFS(Aut_Ajustes_Manuais!$G:$G,Aut_Ajustes_Manuais!$I:$I,DRE!AO$4,Aut_Ajustes_Manuais!$F:$F,"Investimento - Equipamentos")</f>
        <v>0</v>
      </c>
      <c r="AR336" s="241">
        <f t="shared" ca="1" si="303"/>
        <v>-38851.949999999997</v>
      </c>
      <c r="AS336" s="81">
        <f t="shared" ca="1" si="304"/>
        <v>0</v>
      </c>
      <c r="AT336" s="82">
        <f t="shared" ca="1" si="305"/>
        <v>-600</v>
      </c>
      <c r="AU336" s="241">
        <f t="shared" si="306"/>
        <v>-40500.879999999997</v>
      </c>
      <c r="AV336" s="81">
        <f t="shared" si="307"/>
        <v>0</v>
      </c>
      <c r="AW336" s="82">
        <f t="shared" si="308"/>
        <v>-600</v>
      </c>
      <c r="AX336" s="241">
        <f t="shared" si="309"/>
        <v>-20653.95</v>
      </c>
      <c r="AY336" s="81">
        <f t="shared" si="310"/>
        <v>0</v>
      </c>
      <c r="AZ336" s="82">
        <f t="shared" si="311"/>
        <v>-600</v>
      </c>
      <c r="BA336" s="241">
        <f t="shared" si="312"/>
        <v>-18198</v>
      </c>
      <c r="BB336" s="81">
        <f t="shared" si="313"/>
        <v>0</v>
      </c>
      <c r="BC336" s="82">
        <f t="shared" si="314"/>
        <v>0</v>
      </c>
      <c r="BD336" s="241">
        <f t="shared" si="315"/>
        <v>-615</v>
      </c>
      <c r="BE336" s="81">
        <f t="shared" si="316"/>
        <v>0</v>
      </c>
      <c r="BF336" s="82">
        <f t="shared" si="317"/>
        <v>0</v>
      </c>
      <c r="BG336" s="241">
        <f t="shared" si="318"/>
        <v>-1033.93</v>
      </c>
      <c r="BH336" s="81">
        <f t="shared" si="319"/>
        <v>0</v>
      </c>
      <c r="BI336" s="82">
        <f t="shared" si="320"/>
        <v>0</v>
      </c>
    </row>
    <row r="337" spans="1:61" s="29" customFormat="1" hidden="1" outlineLevel="1" x14ac:dyDescent="0.3">
      <c r="A337" s="22" t="s">
        <v>351</v>
      </c>
      <c r="B337" s="59"/>
      <c r="C337" s="24" t="s">
        <v>60</v>
      </c>
      <c r="D337" s="25"/>
      <c r="E337" s="25"/>
      <c r="F337" s="63"/>
      <c r="G337" s="33"/>
      <c r="H337" s="241">
        <v>0</v>
      </c>
      <c r="I337" s="81"/>
      <c r="J337" s="82">
        <f>SUMIFS(Aut_BlueMe_Sem_Pedido!$J:$J,Aut_BlueMe_Sem_Pedido!$Q:$Q,DRE!H$4,Aut_BlueMe_Sem_Pedido!$H:$H,DRE!$A337)+SUMIFS(Aut_Ajustes_Manuais!$G:$G,Aut_Ajustes_Manuais!$I:$I,DRE!H$4,Aut_Ajustes_Manuais!$F:$F,"Investimento - Utensílios")</f>
        <v>0</v>
      </c>
      <c r="K337" s="254">
        <v>-299.99</v>
      </c>
      <c r="L337" s="81"/>
      <c r="M337" s="82">
        <f>SUMIFS(Aut_BlueMe_Sem_Pedido!$J:$J,Aut_BlueMe_Sem_Pedido!$Q:$Q,DRE!K$4,Aut_BlueMe_Sem_Pedido!$H:$H,DRE!$A337)+SUMIFS(Aut_Ajustes_Manuais!$G:$G,Aut_Ajustes_Manuais!$I:$I,DRE!K$4,Aut_Ajustes_Manuais!$F:$F,"Investimento - Utensílios")</f>
        <v>0</v>
      </c>
      <c r="N337" s="254">
        <v>0</v>
      </c>
      <c r="O337" s="81"/>
      <c r="P337" s="82">
        <f>SUMIFS(Aut_BlueMe_Sem_Pedido!$J:$J,Aut_BlueMe_Sem_Pedido!$Q:$Q,DRE!N$4,Aut_BlueMe_Sem_Pedido!$H:$H,DRE!$A337)+SUMIFS(Aut_Ajustes_Manuais!$G:$G,Aut_Ajustes_Manuais!$I:$I,DRE!N$4,Aut_Ajustes_Manuais!$F:$F,"Investimento - Utensílios")</f>
        <v>0</v>
      </c>
      <c r="Q337" s="241">
        <v>0</v>
      </c>
      <c r="R337" s="81"/>
      <c r="S337" s="82">
        <f>SUMIFS(Aut_BlueMe_Sem_Pedido!$J:$J,Aut_BlueMe_Sem_Pedido!$Q:$Q,DRE!Q$4,Aut_BlueMe_Sem_Pedido!$H:$H,DRE!$A337)+SUMIFS(Aut_Ajustes_Manuais!$G:$G,Aut_Ajustes_Manuais!$I:$I,DRE!Q$4,Aut_Ajustes_Manuais!$F:$F,"Investimento - Utensílios")</f>
        <v>0</v>
      </c>
      <c r="T337" s="241">
        <v>0</v>
      </c>
      <c r="U337" s="81"/>
      <c r="V337" s="82">
        <f>SUMIFS(Aut_BlueMe_Sem_Pedido!$J:$J,Aut_BlueMe_Sem_Pedido!$Q:$Q,DRE!T$4,Aut_BlueMe_Sem_Pedido!$H:$H,DRE!$A337)+SUMIFS(Aut_Ajustes_Manuais!$G:$G,Aut_Ajustes_Manuais!$I:$I,DRE!T$4,Aut_Ajustes_Manuais!$F:$F,"Investimento - Utensílios")</f>
        <v>0</v>
      </c>
      <c r="W337" s="241">
        <v>0</v>
      </c>
      <c r="X337" s="81"/>
      <c r="Y337" s="82">
        <f>SUMIFS(Aut_BlueMe_Sem_Pedido!$J:$J,Aut_BlueMe_Sem_Pedido!$Q:$Q,DRE!W$4,Aut_BlueMe_Sem_Pedido!$H:$H,DRE!$A337)+SUMIFS(Aut_Ajustes_Manuais!$G:$G,Aut_Ajustes_Manuais!$I:$I,DRE!W$4,Aut_Ajustes_Manuais!$F:$F,"Investimento - Utensílios")</f>
        <v>0</v>
      </c>
      <c r="Z337" s="241">
        <v>0</v>
      </c>
      <c r="AA337" s="81"/>
      <c r="AB337" s="82">
        <f>SUMIFS(Aut_BlueMe_Sem_Pedido!$J:$J,Aut_BlueMe_Sem_Pedido!$Q:$Q,DRE!Z$4,Aut_BlueMe_Sem_Pedido!$H:$H,DRE!$A337)+SUMIFS(Aut_Ajustes_Manuais!$G:$G,Aut_Ajustes_Manuais!$I:$I,DRE!Z$4,Aut_Ajustes_Manuais!$F:$F,"Investimento - Utensílios")</f>
        <v>0</v>
      </c>
      <c r="AC337" s="241">
        <v>0</v>
      </c>
      <c r="AD337" s="81"/>
      <c r="AE337" s="82">
        <f>SUMIFS(Aut_BlueMe_Sem_Pedido!$J:$J,Aut_BlueMe_Sem_Pedido!$Q:$Q,DRE!AC$4,Aut_BlueMe_Sem_Pedido!$H:$H,DRE!$A337)+SUMIFS(Aut_Ajustes_Manuais!$G:$G,Aut_Ajustes_Manuais!$I:$I,DRE!AC$4,Aut_Ajustes_Manuais!$F:$F,"Investimento - Utensílios")</f>
        <v>0</v>
      </c>
      <c r="AF337" s="241">
        <v>0</v>
      </c>
      <c r="AG337" s="81"/>
      <c r="AH337" s="82">
        <f>SUMIFS(Aut_BlueMe_Sem_Pedido!$J:$J,Aut_BlueMe_Sem_Pedido!$Q:$Q,DRE!AF$4,Aut_BlueMe_Sem_Pedido!$H:$H,DRE!$A337)+SUMIFS(Aut_Ajustes_Manuais!$G:$G,Aut_Ajustes_Manuais!$I:$I,DRE!AF$4,Aut_Ajustes_Manuais!$F:$F,"Investimento - Utensílios")</f>
        <v>0</v>
      </c>
      <c r="AI337" s="241">
        <v>0</v>
      </c>
      <c r="AJ337" s="81"/>
      <c r="AK337" s="82">
        <f>SUMIFS(Aut_BlueMe_Sem_Pedido!$J:$J,Aut_BlueMe_Sem_Pedido!$Q:$Q,DRE!AI$4,Aut_BlueMe_Sem_Pedido!$H:$H,DRE!$A337)+SUMIFS(Aut_Ajustes_Manuais!$G:$G,Aut_Ajustes_Manuais!$I:$I,DRE!AI$4,Aut_Ajustes_Manuais!$F:$F,"Investimento - Utensílios")</f>
        <v>0</v>
      </c>
      <c r="AL337" s="241">
        <v>0</v>
      </c>
      <c r="AM337" s="81"/>
      <c r="AN337" s="82">
        <f>SUMIFS(Aut_BlueMe_Sem_Pedido!$J:$J,Aut_BlueMe_Sem_Pedido!$Q:$Q,DRE!AL$4,Aut_BlueMe_Sem_Pedido!$H:$H,DRE!$A337)+SUMIFS(Aut_Ajustes_Manuais!$G:$G,Aut_Ajustes_Manuais!$I:$I,DRE!AL$4,Aut_Ajustes_Manuais!$F:$F,"Investimento - Utensílios")</f>
        <v>0</v>
      </c>
      <c r="AO337" s="241">
        <v>0</v>
      </c>
      <c r="AP337" s="81"/>
      <c r="AQ337" s="82">
        <f>SUMIFS(Aut_BlueMe_Sem_Pedido!$J:$J,Aut_BlueMe_Sem_Pedido!$Q:$Q,DRE!AO$4,Aut_BlueMe_Sem_Pedido!$H:$H,DRE!$A337)+SUMIFS(Aut_Ajustes_Manuais!$G:$G,Aut_Ajustes_Manuais!$I:$I,DRE!AO$4,Aut_Ajustes_Manuais!$F:$F,"Investimento - Utensílios")</f>
        <v>0</v>
      </c>
      <c r="AR337" s="241">
        <f t="shared" ca="1" si="303"/>
        <v>-299.99</v>
      </c>
      <c r="AS337" s="81">
        <f t="shared" ca="1" si="304"/>
        <v>0</v>
      </c>
      <c r="AT337" s="82">
        <f t="shared" ca="1" si="305"/>
        <v>0</v>
      </c>
      <c r="AU337" s="241">
        <f t="shared" si="306"/>
        <v>-299.99</v>
      </c>
      <c r="AV337" s="81">
        <f t="shared" si="307"/>
        <v>0</v>
      </c>
      <c r="AW337" s="82">
        <f t="shared" si="308"/>
        <v>0</v>
      </c>
      <c r="AX337" s="241">
        <f t="shared" si="309"/>
        <v>-299.99</v>
      </c>
      <c r="AY337" s="81">
        <f t="shared" si="310"/>
        <v>0</v>
      </c>
      <c r="AZ337" s="82">
        <f t="shared" si="311"/>
        <v>0</v>
      </c>
      <c r="BA337" s="241">
        <f t="shared" si="312"/>
        <v>0</v>
      </c>
      <c r="BB337" s="81">
        <f t="shared" si="313"/>
        <v>0</v>
      </c>
      <c r="BC337" s="82">
        <f t="shared" si="314"/>
        <v>0</v>
      </c>
      <c r="BD337" s="241">
        <f t="shared" si="315"/>
        <v>0</v>
      </c>
      <c r="BE337" s="81">
        <f t="shared" si="316"/>
        <v>0</v>
      </c>
      <c r="BF337" s="82">
        <f t="shared" si="317"/>
        <v>0</v>
      </c>
      <c r="BG337" s="241">
        <f t="shared" si="318"/>
        <v>0</v>
      </c>
      <c r="BH337" s="81">
        <f t="shared" si="319"/>
        <v>0</v>
      </c>
      <c r="BI337" s="82">
        <f t="shared" si="320"/>
        <v>0</v>
      </c>
    </row>
    <row r="338" spans="1:61" s="29" customFormat="1" hidden="1" outlineLevel="1" x14ac:dyDescent="0.3">
      <c r="A338" s="22" t="s">
        <v>352</v>
      </c>
      <c r="B338" s="59"/>
      <c r="C338" s="24" t="s">
        <v>60</v>
      </c>
      <c r="D338" s="25"/>
      <c r="E338" s="55">
        <v>-5.0000000000000001E-3</v>
      </c>
      <c r="F338" s="63"/>
      <c r="G338" s="33"/>
      <c r="H338" s="241">
        <v>0</v>
      </c>
      <c r="I338" s="81"/>
      <c r="J338" s="82">
        <f>SUMIFS(Aut_BlueMe_Sem_Pedido!$J:$J,Aut_BlueMe_Sem_Pedido!$Q:$Q,DRE!H$4,Aut_BlueMe_Sem_Pedido!$H:$H,DRE!$A338)+SUMIFS(Aut_Ajustes_Manuais!$G:$G,Aut_Ajustes_Manuais!$I:$I,DRE!H$4,Aut_Ajustes_Manuais!$F:$F,"Investimento - Mobiliário e Decoração")</f>
        <v>0</v>
      </c>
      <c r="K338" s="254">
        <v>0</v>
      </c>
      <c r="L338" s="81"/>
      <c r="M338" s="82">
        <f>SUMIFS(Aut_BlueMe_Sem_Pedido!$J:$J,Aut_BlueMe_Sem_Pedido!$Q:$Q,DRE!K$4,Aut_BlueMe_Sem_Pedido!$H:$H,DRE!$A338)+SUMIFS(Aut_Ajustes_Manuais!$G:$G,Aut_Ajustes_Manuais!$I:$I,DRE!K$4,Aut_Ajustes_Manuais!$F:$F,"Investimento - Mobiliário e Decoração")</f>
        <v>0</v>
      </c>
      <c r="N338" s="254">
        <v>0</v>
      </c>
      <c r="O338" s="81"/>
      <c r="P338" s="82">
        <f>SUMIFS(Aut_BlueMe_Sem_Pedido!$J:$J,Aut_BlueMe_Sem_Pedido!$Q:$Q,DRE!N$4,Aut_BlueMe_Sem_Pedido!$H:$H,DRE!$A338)+SUMIFS(Aut_Ajustes_Manuais!$G:$G,Aut_Ajustes_Manuais!$I:$I,DRE!N$4,Aut_Ajustes_Manuais!$F:$F,"Investimento - Mobiliário e Decoração")</f>
        <v>0</v>
      </c>
      <c r="Q338" s="241">
        <v>0</v>
      </c>
      <c r="R338" s="81"/>
      <c r="S338" s="82">
        <f>SUMIFS(Aut_BlueMe_Sem_Pedido!$J:$J,Aut_BlueMe_Sem_Pedido!$Q:$Q,DRE!Q$4,Aut_BlueMe_Sem_Pedido!$H:$H,DRE!$A338)+SUMIFS(Aut_Ajustes_Manuais!$G:$G,Aut_Ajustes_Manuais!$I:$I,DRE!Q$4,Aut_Ajustes_Manuais!$F:$F,"Investimento - Mobiliário e Decoração")</f>
        <v>0</v>
      </c>
      <c r="T338" s="241">
        <v>0</v>
      </c>
      <c r="U338" s="81"/>
      <c r="V338" s="82">
        <f>SUMIFS(Aut_BlueMe_Sem_Pedido!$J:$J,Aut_BlueMe_Sem_Pedido!$Q:$Q,DRE!T$4,Aut_BlueMe_Sem_Pedido!$H:$H,DRE!$A338)+SUMIFS(Aut_Ajustes_Manuais!$G:$G,Aut_Ajustes_Manuais!$I:$I,DRE!T$4,Aut_Ajustes_Manuais!$F:$F,"Investimento - Mobiliário e Decoração")</f>
        <v>0</v>
      </c>
      <c r="W338" s="241">
        <v>0</v>
      </c>
      <c r="X338" s="81"/>
      <c r="Y338" s="82">
        <f>SUMIFS(Aut_BlueMe_Sem_Pedido!$J:$J,Aut_BlueMe_Sem_Pedido!$Q:$Q,DRE!W$4,Aut_BlueMe_Sem_Pedido!$H:$H,DRE!$A338)+SUMIFS(Aut_Ajustes_Manuais!$G:$G,Aut_Ajustes_Manuais!$I:$I,DRE!W$4,Aut_Ajustes_Manuais!$F:$F,"Investimento - Mobiliário e Decoração")</f>
        <v>0</v>
      </c>
      <c r="Z338" s="241">
        <v>0</v>
      </c>
      <c r="AA338" s="81"/>
      <c r="AB338" s="82">
        <f>SUMIFS(Aut_BlueMe_Sem_Pedido!$J:$J,Aut_BlueMe_Sem_Pedido!$Q:$Q,DRE!Z$4,Aut_BlueMe_Sem_Pedido!$H:$H,DRE!$A338)+SUMIFS(Aut_Ajustes_Manuais!$G:$G,Aut_Ajustes_Manuais!$I:$I,DRE!Z$4,Aut_Ajustes_Manuais!$F:$F,"Investimento - Mobiliário e Decoração")</f>
        <v>0</v>
      </c>
      <c r="AC338" s="241">
        <v>0</v>
      </c>
      <c r="AD338" s="81"/>
      <c r="AE338" s="82">
        <f>SUMIFS(Aut_BlueMe_Sem_Pedido!$J:$J,Aut_BlueMe_Sem_Pedido!$Q:$Q,DRE!AC$4,Aut_BlueMe_Sem_Pedido!$H:$H,DRE!$A338)+SUMIFS(Aut_Ajustes_Manuais!$G:$G,Aut_Ajustes_Manuais!$I:$I,DRE!AC$4,Aut_Ajustes_Manuais!$F:$F,"Investimento - Mobiliário e Decoração")</f>
        <v>0</v>
      </c>
      <c r="AF338" s="241">
        <v>0</v>
      </c>
      <c r="AG338" s="81"/>
      <c r="AH338" s="82">
        <f>SUMIFS(Aut_BlueMe_Sem_Pedido!$J:$J,Aut_BlueMe_Sem_Pedido!$Q:$Q,DRE!AF$4,Aut_BlueMe_Sem_Pedido!$H:$H,DRE!$A338)+SUMIFS(Aut_Ajustes_Manuais!$G:$G,Aut_Ajustes_Manuais!$I:$I,DRE!AF$4,Aut_Ajustes_Manuais!$F:$F,"Investimento - Mobiliário e Decoração")</f>
        <v>0</v>
      </c>
      <c r="AI338" s="241">
        <v>0</v>
      </c>
      <c r="AJ338" s="81"/>
      <c r="AK338" s="82">
        <f>SUMIFS(Aut_BlueMe_Sem_Pedido!$J:$J,Aut_BlueMe_Sem_Pedido!$Q:$Q,DRE!AI$4,Aut_BlueMe_Sem_Pedido!$H:$H,DRE!$A338)+SUMIFS(Aut_Ajustes_Manuais!$G:$G,Aut_Ajustes_Manuais!$I:$I,DRE!AI$4,Aut_Ajustes_Manuais!$F:$F,"Investimento - Mobiliário e Decoração")</f>
        <v>0</v>
      </c>
      <c r="AL338" s="241">
        <v>0</v>
      </c>
      <c r="AM338" s="81"/>
      <c r="AN338" s="82">
        <f>SUMIFS(Aut_BlueMe_Sem_Pedido!$J:$J,Aut_BlueMe_Sem_Pedido!$Q:$Q,DRE!AL$4,Aut_BlueMe_Sem_Pedido!$H:$H,DRE!$A338)+SUMIFS(Aut_Ajustes_Manuais!$G:$G,Aut_Ajustes_Manuais!$I:$I,DRE!AL$4,Aut_Ajustes_Manuais!$F:$F,"Investimento - Mobiliário e Decoração")</f>
        <v>0</v>
      </c>
      <c r="AO338" s="241">
        <v>0</v>
      </c>
      <c r="AP338" s="81"/>
      <c r="AQ338" s="82">
        <f>SUMIFS(Aut_BlueMe_Sem_Pedido!$J:$J,Aut_BlueMe_Sem_Pedido!$Q:$Q,DRE!AO$4,Aut_BlueMe_Sem_Pedido!$H:$H,DRE!$A338)+SUMIFS(Aut_Ajustes_Manuais!$G:$G,Aut_Ajustes_Manuais!$I:$I,DRE!AO$4,Aut_Ajustes_Manuais!$F:$F,"Investimento - Mobiliário e Decoração")</f>
        <v>0</v>
      </c>
      <c r="AR338" s="241">
        <f t="shared" ca="1" si="303"/>
        <v>0</v>
      </c>
      <c r="AS338" s="81">
        <f t="shared" ca="1" si="304"/>
        <v>0</v>
      </c>
      <c r="AT338" s="82">
        <f t="shared" ca="1" si="305"/>
        <v>0</v>
      </c>
      <c r="AU338" s="241">
        <f t="shared" si="306"/>
        <v>0</v>
      </c>
      <c r="AV338" s="81">
        <f t="shared" si="307"/>
        <v>0</v>
      </c>
      <c r="AW338" s="82">
        <f t="shared" si="308"/>
        <v>0</v>
      </c>
      <c r="AX338" s="241">
        <f t="shared" si="309"/>
        <v>0</v>
      </c>
      <c r="AY338" s="81">
        <f t="shared" si="310"/>
        <v>0</v>
      </c>
      <c r="AZ338" s="82">
        <f t="shared" si="311"/>
        <v>0</v>
      </c>
      <c r="BA338" s="241">
        <f t="shared" si="312"/>
        <v>0</v>
      </c>
      <c r="BB338" s="81">
        <f t="shared" si="313"/>
        <v>0</v>
      </c>
      <c r="BC338" s="82">
        <f t="shared" si="314"/>
        <v>0</v>
      </c>
      <c r="BD338" s="241">
        <f t="shared" si="315"/>
        <v>0</v>
      </c>
      <c r="BE338" s="81">
        <f t="shared" si="316"/>
        <v>0</v>
      </c>
      <c r="BF338" s="82">
        <f t="shared" si="317"/>
        <v>0</v>
      </c>
      <c r="BG338" s="241">
        <f t="shared" si="318"/>
        <v>0</v>
      </c>
      <c r="BH338" s="81">
        <f t="shared" si="319"/>
        <v>0</v>
      </c>
      <c r="BI338" s="82">
        <f t="shared" si="320"/>
        <v>0</v>
      </c>
    </row>
    <row r="339" spans="1:61" s="29" customFormat="1" hidden="1" outlineLevel="1" x14ac:dyDescent="0.3">
      <c r="A339" s="22" t="s">
        <v>353</v>
      </c>
      <c r="B339" s="59"/>
      <c r="C339" s="24" t="s">
        <v>60</v>
      </c>
      <c r="D339" s="25"/>
      <c r="E339" s="55">
        <v>-5.0000000000000001E-3</v>
      </c>
      <c r="F339" s="63"/>
      <c r="G339" s="33"/>
      <c r="H339" s="241">
        <v>0</v>
      </c>
      <c r="I339" s="81"/>
      <c r="J339" s="82">
        <f>SUMIFS(Aut_BlueMe_Sem_Pedido!$J:$J,Aut_BlueMe_Sem_Pedido!$Q:$Q,DRE!H$4,Aut_BlueMe_Sem_Pedido!$H:$H,DRE!$A339)+SUMIFS(Aut_Ajustes_Manuais!$G:$G,Aut_Ajustes_Manuais!$I:$I,DRE!H$4,Aut_Ajustes_Manuais!$F:$F,"Investimento - Projetos")</f>
        <v>0</v>
      </c>
      <c r="K339" s="254">
        <v>0</v>
      </c>
      <c r="L339" s="81"/>
      <c r="M339" s="82">
        <f>SUMIFS(Aut_BlueMe_Sem_Pedido!$J:$J,Aut_BlueMe_Sem_Pedido!$Q:$Q,DRE!K$4,Aut_BlueMe_Sem_Pedido!$H:$H,DRE!$A339)+SUMIFS(Aut_Ajustes_Manuais!$G:$G,Aut_Ajustes_Manuais!$I:$I,DRE!K$4,Aut_Ajustes_Manuais!$F:$F,"Investimento - Projetos")</f>
        <v>0</v>
      </c>
      <c r="N339" s="254">
        <v>0</v>
      </c>
      <c r="O339" s="81"/>
      <c r="P339" s="82">
        <f>SUMIFS(Aut_BlueMe_Sem_Pedido!$J:$J,Aut_BlueMe_Sem_Pedido!$Q:$Q,DRE!N$4,Aut_BlueMe_Sem_Pedido!$H:$H,DRE!$A339)+SUMIFS(Aut_Ajustes_Manuais!$G:$G,Aut_Ajustes_Manuais!$I:$I,DRE!N$4,Aut_Ajustes_Manuais!$F:$F,"Investimento - Projetos")</f>
        <v>0</v>
      </c>
      <c r="Q339" s="241">
        <v>0</v>
      </c>
      <c r="R339" s="81"/>
      <c r="S339" s="82">
        <f>SUMIFS(Aut_BlueMe_Sem_Pedido!$J:$J,Aut_BlueMe_Sem_Pedido!$Q:$Q,DRE!Q$4,Aut_BlueMe_Sem_Pedido!$H:$H,DRE!$A339)+SUMIFS(Aut_Ajustes_Manuais!$G:$G,Aut_Ajustes_Manuais!$I:$I,DRE!Q$4,Aut_Ajustes_Manuais!$F:$F,"Investimento - Projetos")</f>
        <v>0</v>
      </c>
      <c r="T339" s="241">
        <v>0</v>
      </c>
      <c r="U339" s="81"/>
      <c r="V339" s="82">
        <f>SUMIFS(Aut_BlueMe_Sem_Pedido!$J:$J,Aut_BlueMe_Sem_Pedido!$Q:$Q,DRE!T$4,Aut_BlueMe_Sem_Pedido!$H:$H,DRE!$A339)+SUMIFS(Aut_Ajustes_Manuais!$G:$G,Aut_Ajustes_Manuais!$I:$I,DRE!T$4,Aut_Ajustes_Manuais!$F:$F,"Investimento - Projetos")</f>
        <v>0</v>
      </c>
      <c r="W339" s="241">
        <v>0</v>
      </c>
      <c r="X339" s="81"/>
      <c r="Y339" s="82">
        <f>SUMIFS(Aut_BlueMe_Sem_Pedido!$J:$J,Aut_BlueMe_Sem_Pedido!$Q:$Q,DRE!W$4,Aut_BlueMe_Sem_Pedido!$H:$H,DRE!$A339)+SUMIFS(Aut_Ajustes_Manuais!$G:$G,Aut_Ajustes_Manuais!$I:$I,DRE!W$4,Aut_Ajustes_Manuais!$F:$F,"Investimento - Projetos")</f>
        <v>0</v>
      </c>
      <c r="Z339" s="241">
        <v>0</v>
      </c>
      <c r="AA339" s="81"/>
      <c r="AB339" s="82">
        <f>SUMIFS(Aut_BlueMe_Sem_Pedido!$J:$J,Aut_BlueMe_Sem_Pedido!$Q:$Q,DRE!Z$4,Aut_BlueMe_Sem_Pedido!$H:$H,DRE!$A339)+SUMIFS(Aut_Ajustes_Manuais!$G:$G,Aut_Ajustes_Manuais!$I:$I,DRE!Z$4,Aut_Ajustes_Manuais!$F:$F,"Investimento - Projetos")</f>
        <v>-1300</v>
      </c>
      <c r="AC339" s="241">
        <v>0</v>
      </c>
      <c r="AD339" s="81"/>
      <c r="AE339" s="82">
        <f>SUMIFS(Aut_BlueMe_Sem_Pedido!$J:$J,Aut_BlueMe_Sem_Pedido!$Q:$Q,DRE!AC$4,Aut_BlueMe_Sem_Pedido!$H:$H,DRE!$A339)+SUMIFS(Aut_Ajustes_Manuais!$G:$G,Aut_Ajustes_Manuais!$I:$I,DRE!AC$4,Aut_Ajustes_Manuais!$F:$F,"Investimento - Projetos")</f>
        <v>0</v>
      </c>
      <c r="AF339" s="241">
        <v>0</v>
      </c>
      <c r="AG339" s="81"/>
      <c r="AH339" s="82">
        <f>SUMIFS(Aut_BlueMe_Sem_Pedido!$J:$J,Aut_BlueMe_Sem_Pedido!$Q:$Q,DRE!AF$4,Aut_BlueMe_Sem_Pedido!$H:$H,DRE!$A339)+SUMIFS(Aut_Ajustes_Manuais!$G:$G,Aut_Ajustes_Manuais!$I:$I,DRE!AF$4,Aut_Ajustes_Manuais!$F:$F,"Investimento - Projetos")</f>
        <v>0</v>
      </c>
      <c r="AI339" s="241">
        <v>0</v>
      </c>
      <c r="AJ339" s="81"/>
      <c r="AK339" s="82">
        <f>SUMIFS(Aut_BlueMe_Sem_Pedido!$J:$J,Aut_BlueMe_Sem_Pedido!$Q:$Q,DRE!AI$4,Aut_BlueMe_Sem_Pedido!$H:$H,DRE!$A339)+SUMIFS(Aut_Ajustes_Manuais!$G:$G,Aut_Ajustes_Manuais!$I:$I,DRE!AI$4,Aut_Ajustes_Manuais!$F:$F,"Investimento - Projetos")</f>
        <v>0</v>
      </c>
      <c r="AL339" s="241">
        <v>0</v>
      </c>
      <c r="AM339" s="81"/>
      <c r="AN339" s="82">
        <f>SUMIFS(Aut_BlueMe_Sem_Pedido!$J:$J,Aut_BlueMe_Sem_Pedido!$Q:$Q,DRE!AL$4,Aut_BlueMe_Sem_Pedido!$H:$H,DRE!$A339)+SUMIFS(Aut_Ajustes_Manuais!$G:$G,Aut_Ajustes_Manuais!$I:$I,DRE!AL$4,Aut_Ajustes_Manuais!$F:$F,"Investimento - Projetos")</f>
        <v>0</v>
      </c>
      <c r="AO339" s="241">
        <v>0</v>
      </c>
      <c r="AP339" s="81"/>
      <c r="AQ339" s="82">
        <f>SUMIFS(Aut_BlueMe_Sem_Pedido!$J:$J,Aut_BlueMe_Sem_Pedido!$Q:$Q,DRE!AO$4,Aut_BlueMe_Sem_Pedido!$H:$H,DRE!$A339)+SUMIFS(Aut_Ajustes_Manuais!$G:$G,Aut_Ajustes_Manuais!$I:$I,DRE!AO$4,Aut_Ajustes_Manuais!$F:$F,"Investimento - Projetos")</f>
        <v>0</v>
      </c>
      <c r="AR339" s="241">
        <f t="shared" ca="1" si="303"/>
        <v>0</v>
      </c>
      <c r="AS339" s="81">
        <f t="shared" ca="1" si="304"/>
        <v>0</v>
      </c>
      <c r="AT339" s="82">
        <f t="shared" ca="1" si="305"/>
        <v>0</v>
      </c>
      <c r="AU339" s="241">
        <f t="shared" si="306"/>
        <v>0</v>
      </c>
      <c r="AV339" s="81">
        <f t="shared" si="307"/>
        <v>0</v>
      </c>
      <c r="AW339" s="82">
        <f t="shared" si="308"/>
        <v>-1300</v>
      </c>
      <c r="AX339" s="241">
        <f t="shared" si="309"/>
        <v>0</v>
      </c>
      <c r="AY339" s="81">
        <f t="shared" si="310"/>
        <v>0</v>
      </c>
      <c r="AZ339" s="82">
        <f t="shared" si="311"/>
        <v>0</v>
      </c>
      <c r="BA339" s="241">
        <f t="shared" si="312"/>
        <v>0</v>
      </c>
      <c r="BB339" s="81">
        <f t="shared" si="313"/>
        <v>0</v>
      </c>
      <c r="BC339" s="82">
        <f t="shared" si="314"/>
        <v>0</v>
      </c>
      <c r="BD339" s="241">
        <f t="shared" si="315"/>
        <v>0</v>
      </c>
      <c r="BE339" s="81">
        <f t="shared" si="316"/>
        <v>0</v>
      </c>
      <c r="BF339" s="82">
        <f t="shared" si="317"/>
        <v>-1300</v>
      </c>
      <c r="BG339" s="241">
        <f t="shared" si="318"/>
        <v>0</v>
      </c>
      <c r="BH339" s="81">
        <f t="shared" si="319"/>
        <v>0</v>
      </c>
      <c r="BI339" s="82">
        <f t="shared" si="320"/>
        <v>0</v>
      </c>
    </row>
    <row r="340" spans="1:61" s="29" customFormat="1" hidden="1" outlineLevel="1" x14ac:dyDescent="0.3">
      <c r="A340" s="22" t="s">
        <v>354</v>
      </c>
      <c r="B340" s="59"/>
      <c r="C340" s="24" t="s">
        <v>60</v>
      </c>
      <c r="D340" s="25"/>
      <c r="E340" s="25"/>
      <c r="F340" s="63"/>
      <c r="G340" s="33"/>
      <c r="H340" s="241">
        <v>0</v>
      </c>
      <c r="I340" s="81"/>
      <c r="J340" s="82">
        <f>SUMIFS(Aut_BlueMe_Sem_Pedido!$J:$J,Aut_BlueMe_Sem_Pedido!$Q:$Q,DRE!H$4,Aut_BlueMe_Sem_Pedido!$H:$H,DRE!$A340)+SUMIFS(Aut_Ajustes_Manuais!$G:$G,Aut_Ajustes_Manuais!$I:$I,DRE!H$4,Aut_Ajustes_Manuais!$F:$F,"Investimento - Paisagismo")</f>
        <v>0</v>
      </c>
      <c r="K340" s="254">
        <v>0</v>
      </c>
      <c r="L340" s="81"/>
      <c r="M340" s="82">
        <f>SUMIFS(Aut_BlueMe_Sem_Pedido!$J:$J,Aut_BlueMe_Sem_Pedido!$Q:$Q,DRE!K$4,Aut_BlueMe_Sem_Pedido!$H:$H,DRE!$A340)+SUMIFS(Aut_Ajustes_Manuais!$G:$G,Aut_Ajustes_Manuais!$I:$I,DRE!K$4,Aut_Ajustes_Manuais!$F:$F,"Investimento - Paisagismo")</f>
        <v>0</v>
      </c>
      <c r="N340" s="254">
        <v>0</v>
      </c>
      <c r="O340" s="81"/>
      <c r="P340" s="82">
        <f>SUMIFS(Aut_BlueMe_Sem_Pedido!$J:$J,Aut_BlueMe_Sem_Pedido!$Q:$Q,DRE!N$4,Aut_BlueMe_Sem_Pedido!$H:$H,DRE!$A340)+SUMIFS(Aut_Ajustes_Manuais!$G:$G,Aut_Ajustes_Manuais!$I:$I,DRE!N$4,Aut_Ajustes_Manuais!$F:$F,"Investimento - Paisagismo")</f>
        <v>0</v>
      </c>
      <c r="Q340" s="241">
        <v>0</v>
      </c>
      <c r="R340" s="81"/>
      <c r="S340" s="82">
        <f>SUMIFS(Aut_BlueMe_Sem_Pedido!$J:$J,Aut_BlueMe_Sem_Pedido!$Q:$Q,DRE!Q$4,Aut_BlueMe_Sem_Pedido!$H:$H,DRE!$A340)+SUMIFS(Aut_Ajustes_Manuais!$G:$G,Aut_Ajustes_Manuais!$I:$I,DRE!Q$4,Aut_Ajustes_Manuais!$F:$F,"Investimento - Paisagismo")</f>
        <v>0</v>
      </c>
      <c r="T340" s="241">
        <v>0</v>
      </c>
      <c r="U340" s="81"/>
      <c r="V340" s="82">
        <f>SUMIFS(Aut_BlueMe_Sem_Pedido!$J:$J,Aut_BlueMe_Sem_Pedido!$Q:$Q,DRE!T$4,Aut_BlueMe_Sem_Pedido!$H:$H,DRE!$A340)+SUMIFS(Aut_Ajustes_Manuais!$G:$G,Aut_Ajustes_Manuais!$I:$I,DRE!T$4,Aut_Ajustes_Manuais!$F:$F,"Investimento - Paisagismo")</f>
        <v>0</v>
      </c>
      <c r="W340" s="241">
        <v>0</v>
      </c>
      <c r="X340" s="81"/>
      <c r="Y340" s="82">
        <f>SUMIFS(Aut_BlueMe_Sem_Pedido!$J:$J,Aut_BlueMe_Sem_Pedido!$Q:$Q,DRE!W$4,Aut_BlueMe_Sem_Pedido!$H:$H,DRE!$A340)+SUMIFS(Aut_Ajustes_Manuais!$G:$G,Aut_Ajustes_Manuais!$I:$I,DRE!W$4,Aut_Ajustes_Manuais!$F:$F,"Investimento - Paisagismo")</f>
        <v>0</v>
      </c>
      <c r="Z340" s="241">
        <v>0</v>
      </c>
      <c r="AA340" s="81"/>
      <c r="AB340" s="82">
        <f>SUMIFS(Aut_BlueMe_Sem_Pedido!$J:$J,Aut_BlueMe_Sem_Pedido!$Q:$Q,DRE!Z$4,Aut_BlueMe_Sem_Pedido!$H:$H,DRE!$A340)+SUMIFS(Aut_Ajustes_Manuais!$G:$G,Aut_Ajustes_Manuais!$I:$I,DRE!Z$4,Aut_Ajustes_Manuais!$F:$F,"Investimento - Paisagismo")</f>
        <v>0</v>
      </c>
      <c r="AC340" s="241">
        <v>0</v>
      </c>
      <c r="AD340" s="81"/>
      <c r="AE340" s="82">
        <f>SUMIFS(Aut_BlueMe_Sem_Pedido!$J:$J,Aut_BlueMe_Sem_Pedido!$Q:$Q,DRE!AC$4,Aut_BlueMe_Sem_Pedido!$H:$H,DRE!$A340)+SUMIFS(Aut_Ajustes_Manuais!$G:$G,Aut_Ajustes_Manuais!$I:$I,DRE!AC$4,Aut_Ajustes_Manuais!$F:$F,"Investimento - Paisagismo")</f>
        <v>0</v>
      </c>
      <c r="AF340" s="241">
        <v>0</v>
      </c>
      <c r="AG340" s="81"/>
      <c r="AH340" s="82">
        <f>SUMIFS(Aut_BlueMe_Sem_Pedido!$J:$J,Aut_BlueMe_Sem_Pedido!$Q:$Q,DRE!AF$4,Aut_BlueMe_Sem_Pedido!$H:$H,DRE!$A340)+SUMIFS(Aut_Ajustes_Manuais!$G:$G,Aut_Ajustes_Manuais!$I:$I,DRE!AF$4,Aut_Ajustes_Manuais!$F:$F,"Investimento - Paisagismo")</f>
        <v>0</v>
      </c>
      <c r="AI340" s="241">
        <v>0</v>
      </c>
      <c r="AJ340" s="81"/>
      <c r="AK340" s="82">
        <f>SUMIFS(Aut_BlueMe_Sem_Pedido!$J:$J,Aut_BlueMe_Sem_Pedido!$Q:$Q,DRE!AI$4,Aut_BlueMe_Sem_Pedido!$H:$H,DRE!$A340)+SUMIFS(Aut_Ajustes_Manuais!$G:$G,Aut_Ajustes_Manuais!$I:$I,DRE!AI$4,Aut_Ajustes_Manuais!$F:$F,"Investimento - Paisagismo")</f>
        <v>0</v>
      </c>
      <c r="AL340" s="241">
        <v>0</v>
      </c>
      <c r="AM340" s="81"/>
      <c r="AN340" s="82">
        <f>SUMIFS(Aut_BlueMe_Sem_Pedido!$J:$J,Aut_BlueMe_Sem_Pedido!$Q:$Q,DRE!AL$4,Aut_BlueMe_Sem_Pedido!$H:$H,DRE!$A340)+SUMIFS(Aut_Ajustes_Manuais!$G:$G,Aut_Ajustes_Manuais!$I:$I,DRE!AL$4,Aut_Ajustes_Manuais!$F:$F,"Investimento - Paisagismo")</f>
        <v>0</v>
      </c>
      <c r="AO340" s="241">
        <v>0</v>
      </c>
      <c r="AP340" s="81"/>
      <c r="AQ340" s="82">
        <f>SUMIFS(Aut_BlueMe_Sem_Pedido!$J:$J,Aut_BlueMe_Sem_Pedido!$Q:$Q,DRE!AO$4,Aut_BlueMe_Sem_Pedido!$H:$H,DRE!$A340)+SUMIFS(Aut_Ajustes_Manuais!$G:$G,Aut_Ajustes_Manuais!$I:$I,DRE!AO$4,Aut_Ajustes_Manuais!$F:$F,"Investimento - Paisagismo")</f>
        <v>0</v>
      </c>
      <c r="AR340" s="241">
        <f t="shared" ca="1" si="303"/>
        <v>0</v>
      </c>
      <c r="AS340" s="81">
        <f t="shared" ca="1" si="304"/>
        <v>0</v>
      </c>
      <c r="AT340" s="82">
        <f t="shared" ca="1" si="305"/>
        <v>0</v>
      </c>
      <c r="AU340" s="241">
        <f t="shared" si="306"/>
        <v>0</v>
      </c>
      <c r="AV340" s="81">
        <f t="shared" si="307"/>
        <v>0</v>
      </c>
      <c r="AW340" s="82">
        <f t="shared" si="308"/>
        <v>0</v>
      </c>
      <c r="AX340" s="241">
        <f t="shared" si="309"/>
        <v>0</v>
      </c>
      <c r="AY340" s="81">
        <f t="shared" si="310"/>
        <v>0</v>
      </c>
      <c r="AZ340" s="82">
        <f t="shared" si="311"/>
        <v>0</v>
      </c>
      <c r="BA340" s="241">
        <f t="shared" si="312"/>
        <v>0</v>
      </c>
      <c r="BB340" s="81">
        <f t="shared" si="313"/>
        <v>0</v>
      </c>
      <c r="BC340" s="82">
        <f t="shared" si="314"/>
        <v>0</v>
      </c>
      <c r="BD340" s="241">
        <f t="shared" si="315"/>
        <v>0</v>
      </c>
      <c r="BE340" s="81">
        <f t="shared" si="316"/>
        <v>0</v>
      </c>
      <c r="BF340" s="82">
        <f t="shared" si="317"/>
        <v>0</v>
      </c>
      <c r="BG340" s="241">
        <f t="shared" si="318"/>
        <v>0</v>
      </c>
      <c r="BH340" s="81">
        <f t="shared" si="319"/>
        <v>0</v>
      </c>
      <c r="BI340" s="82">
        <f t="shared" si="320"/>
        <v>0</v>
      </c>
    </row>
    <row r="341" spans="1:61" s="29" customFormat="1" hidden="1" outlineLevel="1" x14ac:dyDescent="0.3">
      <c r="A341" s="22" t="s">
        <v>355</v>
      </c>
      <c r="B341" s="59"/>
      <c r="C341" s="24" t="s">
        <v>60</v>
      </c>
      <c r="D341" s="25"/>
      <c r="E341" s="25"/>
      <c r="F341" s="63"/>
      <c r="G341" s="33"/>
      <c r="H341" s="241">
        <v>-2378</v>
      </c>
      <c r="I341" s="81"/>
      <c r="J341" s="82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>0</v>
      </c>
      <c r="K341" s="254">
        <v>0</v>
      </c>
      <c r="L341" s="81"/>
      <c r="M341" s="82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>0</v>
      </c>
      <c r="N341" s="254">
        <v>0</v>
      </c>
      <c r="O341" s="81"/>
      <c r="P341" s="82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>0</v>
      </c>
      <c r="Q341" s="241">
        <v>0</v>
      </c>
      <c r="R341" s="81"/>
      <c r="S341" s="82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>0</v>
      </c>
      <c r="T341" s="241">
        <v>0</v>
      </c>
      <c r="U341" s="81"/>
      <c r="V341" s="82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>0</v>
      </c>
      <c r="W341" s="241">
        <v>0</v>
      </c>
      <c r="X341" s="81"/>
      <c r="Y341" s="82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>0</v>
      </c>
      <c r="Z341" s="241">
        <v>0</v>
      </c>
      <c r="AA341" s="81"/>
      <c r="AB341" s="82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>0</v>
      </c>
      <c r="AC341" s="241">
        <v>0</v>
      </c>
      <c r="AD341" s="81"/>
      <c r="AE341" s="82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>0</v>
      </c>
      <c r="AF341" s="241">
        <v>0</v>
      </c>
      <c r="AG341" s="81"/>
      <c r="AH341" s="82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>0</v>
      </c>
      <c r="AI341" s="241">
        <v>0</v>
      </c>
      <c r="AJ341" s="81"/>
      <c r="AK341" s="82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>0</v>
      </c>
      <c r="AL341" s="241">
        <v>0</v>
      </c>
      <c r="AM341" s="81"/>
      <c r="AN341" s="82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>0</v>
      </c>
      <c r="AO341" s="241">
        <v>0</v>
      </c>
      <c r="AP341" s="81"/>
      <c r="AQ341" s="82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>0</v>
      </c>
      <c r="AR341" s="241">
        <f t="shared" ca="1" si="303"/>
        <v>-2378</v>
      </c>
      <c r="AS341" s="81">
        <f t="shared" ca="1" si="304"/>
        <v>0</v>
      </c>
      <c r="AT341" s="82">
        <f t="shared" ca="1" si="305"/>
        <v>0</v>
      </c>
      <c r="AU341" s="241">
        <f t="shared" si="306"/>
        <v>-2378</v>
      </c>
      <c r="AV341" s="81">
        <f t="shared" si="307"/>
        <v>0</v>
      </c>
      <c r="AW341" s="82">
        <f t="shared" si="308"/>
        <v>0</v>
      </c>
      <c r="AX341" s="241">
        <f t="shared" si="309"/>
        <v>-2378</v>
      </c>
      <c r="AY341" s="81">
        <f t="shared" si="310"/>
        <v>0</v>
      </c>
      <c r="AZ341" s="82">
        <f t="shared" si="311"/>
        <v>0</v>
      </c>
      <c r="BA341" s="241">
        <f t="shared" si="312"/>
        <v>0</v>
      </c>
      <c r="BB341" s="81">
        <f t="shared" si="313"/>
        <v>0</v>
      </c>
      <c r="BC341" s="82">
        <f t="shared" si="314"/>
        <v>0</v>
      </c>
      <c r="BD341" s="241">
        <f t="shared" si="315"/>
        <v>0</v>
      </c>
      <c r="BE341" s="81">
        <f t="shared" si="316"/>
        <v>0</v>
      </c>
      <c r="BF341" s="82">
        <f t="shared" si="317"/>
        <v>0</v>
      </c>
      <c r="BG341" s="241">
        <f t="shared" si="318"/>
        <v>0</v>
      </c>
      <c r="BH341" s="81">
        <f t="shared" si="319"/>
        <v>0</v>
      </c>
      <c r="BI341" s="82">
        <f t="shared" si="320"/>
        <v>0</v>
      </c>
    </row>
    <row r="342" spans="1:61" s="29" customFormat="1" hidden="1" outlineLevel="1" x14ac:dyDescent="0.3">
      <c r="A342" s="22" t="s">
        <v>356</v>
      </c>
      <c r="B342" s="59"/>
      <c r="C342" s="24" t="s">
        <v>60</v>
      </c>
      <c r="D342" s="25"/>
      <c r="E342" s="25"/>
      <c r="F342" s="63"/>
      <c r="G342" s="33"/>
      <c r="H342" s="241">
        <v>0</v>
      </c>
      <c r="I342" s="81"/>
      <c r="J342" s="82">
        <f>SUMIFS(Aut_BlueMe_Sem_Pedido!$J:$J,Aut_BlueMe_Sem_Pedido!$Q:$Q,DRE!H$4,Aut_BlueMe_Sem_Pedido!$H:$H,DRE!$A342)+SUMIFS(Aut_Ajustes_Manuais!$G:$G,Aut_Ajustes_Manuais!$I:$I,DRE!H$4,Aut_Ajustes_Manuais!$F:$F,"Investimento - Marketing")</f>
        <v>0</v>
      </c>
      <c r="K342" s="254">
        <v>0</v>
      </c>
      <c r="L342" s="81"/>
      <c r="M342" s="82">
        <f>SUMIFS(Aut_BlueMe_Sem_Pedido!$J:$J,Aut_BlueMe_Sem_Pedido!$Q:$Q,DRE!K$4,Aut_BlueMe_Sem_Pedido!$H:$H,DRE!$A342)+SUMIFS(Aut_Ajustes_Manuais!$G:$G,Aut_Ajustes_Manuais!$I:$I,DRE!K$4,Aut_Ajustes_Manuais!$F:$F,"Investimento - Marketing")</f>
        <v>0</v>
      </c>
      <c r="N342" s="254">
        <v>0</v>
      </c>
      <c r="O342" s="81"/>
      <c r="P342" s="82">
        <f>SUMIFS(Aut_BlueMe_Sem_Pedido!$J:$J,Aut_BlueMe_Sem_Pedido!$Q:$Q,DRE!N$4,Aut_BlueMe_Sem_Pedido!$H:$H,DRE!$A342)+SUMIFS(Aut_Ajustes_Manuais!$G:$G,Aut_Ajustes_Manuais!$I:$I,DRE!N$4,Aut_Ajustes_Manuais!$F:$F,"Investimento - Marketing")</f>
        <v>0</v>
      </c>
      <c r="Q342" s="241">
        <v>0</v>
      </c>
      <c r="R342" s="81"/>
      <c r="S342" s="82">
        <f>SUMIFS(Aut_BlueMe_Sem_Pedido!$J:$J,Aut_BlueMe_Sem_Pedido!$Q:$Q,DRE!Q$4,Aut_BlueMe_Sem_Pedido!$H:$H,DRE!$A342)+SUMIFS(Aut_Ajustes_Manuais!$G:$G,Aut_Ajustes_Manuais!$I:$I,DRE!Q$4,Aut_Ajustes_Manuais!$F:$F,"Investimento - Marketing")</f>
        <v>0</v>
      </c>
      <c r="T342" s="241">
        <v>0</v>
      </c>
      <c r="U342" s="81"/>
      <c r="V342" s="82">
        <f>SUMIFS(Aut_BlueMe_Sem_Pedido!$J:$J,Aut_BlueMe_Sem_Pedido!$Q:$Q,DRE!T$4,Aut_BlueMe_Sem_Pedido!$H:$H,DRE!$A342)+SUMIFS(Aut_Ajustes_Manuais!$G:$G,Aut_Ajustes_Manuais!$I:$I,DRE!T$4,Aut_Ajustes_Manuais!$F:$F,"Investimento - Marketing")</f>
        <v>0</v>
      </c>
      <c r="W342" s="241">
        <v>0</v>
      </c>
      <c r="X342" s="81"/>
      <c r="Y342" s="82">
        <f>SUMIFS(Aut_BlueMe_Sem_Pedido!$J:$J,Aut_BlueMe_Sem_Pedido!$Q:$Q,DRE!W$4,Aut_BlueMe_Sem_Pedido!$H:$H,DRE!$A342)+SUMIFS(Aut_Ajustes_Manuais!$G:$G,Aut_Ajustes_Manuais!$I:$I,DRE!W$4,Aut_Ajustes_Manuais!$F:$F,"Investimento - Marketing")</f>
        <v>0</v>
      </c>
      <c r="Z342" s="241">
        <v>0</v>
      </c>
      <c r="AA342" s="81"/>
      <c r="AB342" s="82">
        <f>SUMIFS(Aut_BlueMe_Sem_Pedido!$J:$J,Aut_BlueMe_Sem_Pedido!$Q:$Q,DRE!Z$4,Aut_BlueMe_Sem_Pedido!$H:$H,DRE!$A342)+SUMIFS(Aut_Ajustes_Manuais!$G:$G,Aut_Ajustes_Manuais!$I:$I,DRE!Z$4,Aut_Ajustes_Manuais!$F:$F,"Investimento - Marketing")</f>
        <v>0</v>
      </c>
      <c r="AC342" s="241">
        <v>0</v>
      </c>
      <c r="AD342" s="81"/>
      <c r="AE342" s="82">
        <f>SUMIFS(Aut_BlueMe_Sem_Pedido!$J:$J,Aut_BlueMe_Sem_Pedido!$Q:$Q,DRE!AC$4,Aut_BlueMe_Sem_Pedido!$H:$H,DRE!$A342)+SUMIFS(Aut_Ajustes_Manuais!$G:$G,Aut_Ajustes_Manuais!$I:$I,DRE!AC$4,Aut_Ajustes_Manuais!$F:$F,"Investimento - Marketing")</f>
        <v>0</v>
      </c>
      <c r="AF342" s="241">
        <v>0</v>
      </c>
      <c r="AG342" s="81"/>
      <c r="AH342" s="82">
        <f>SUMIFS(Aut_BlueMe_Sem_Pedido!$J:$J,Aut_BlueMe_Sem_Pedido!$Q:$Q,DRE!AF$4,Aut_BlueMe_Sem_Pedido!$H:$H,DRE!$A342)+SUMIFS(Aut_Ajustes_Manuais!$G:$G,Aut_Ajustes_Manuais!$I:$I,DRE!AF$4,Aut_Ajustes_Manuais!$F:$F,"Investimento - Marketing")</f>
        <v>0</v>
      </c>
      <c r="AI342" s="241">
        <v>0</v>
      </c>
      <c r="AJ342" s="81"/>
      <c r="AK342" s="82">
        <f>SUMIFS(Aut_BlueMe_Sem_Pedido!$J:$J,Aut_BlueMe_Sem_Pedido!$Q:$Q,DRE!AI$4,Aut_BlueMe_Sem_Pedido!$H:$H,DRE!$A342)+SUMIFS(Aut_Ajustes_Manuais!$G:$G,Aut_Ajustes_Manuais!$I:$I,DRE!AI$4,Aut_Ajustes_Manuais!$F:$F,"Investimento - Marketing")</f>
        <v>0</v>
      </c>
      <c r="AL342" s="241">
        <v>0</v>
      </c>
      <c r="AM342" s="81"/>
      <c r="AN342" s="82">
        <f>SUMIFS(Aut_BlueMe_Sem_Pedido!$J:$J,Aut_BlueMe_Sem_Pedido!$Q:$Q,DRE!AL$4,Aut_BlueMe_Sem_Pedido!$H:$H,DRE!$A342)+SUMIFS(Aut_Ajustes_Manuais!$G:$G,Aut_Ajustes_Manuais!$I:$I,DRE!AL$4,Aut_Ajustes_Manuais!$F:$F,"Investimento - Marketing")</f>
        <v>0</v>
      </c>
      <c r="AO342" s="241">
        <v>0</v>
      </c>
      <c r="AP342" s="81"/>
      <c r="AQ342" s="82">
        <f>SUMIFS(Aut_BlueMe_Sem_Pedido!$J:$J,Aut_BlueMe_Sem_Pedido!$Q:$Q,DRE!AO$4,Aut_BlueMe_Sem_Pedido!$H:$H,DRE!$A342)+SUMIFS(Aut_Ajustes_Manuais!$G:$G,Aut_Ajustes_Manuais!$I:$I,DRE!AO$4,Aut_Ajustes_Manuais!$F:$F,"Investimento - Marketing")</f>
        <v>0</v>
      </c>
      <c r="AR342" s="241">
        <f t="shared" ca="1" si="303"/>
        <v>0</v>
      </c>
      <c r="AS342" s="81">
        <f t="shared" ca="1" si="304"/>
        <v>0</v>
      </c>
      <c r="AT342" s="82">
        <f t="shared" ca="1" si="305"/>
        <v>0</v>
      </c>
      <c r="AU342" s="241">
        <f t="shared" si="306"/>
        <v>0</v>
      </c>
      <c r="AV342" s="81">
        <f t="shared" si="307"/>
        <v>0</v>
      </c>
      <c r="AW342" s="82">
        <f t="shared" si="308"/>
        <v>0</v>
      </c>
      <c r="AX342" s="241">
        <f t="shared" si="309"/>
        <v>0</v>
      </c>
      <c r="AY342" s="81">
        <f t="shared" si="310"/>
        <v>0</v>
      </c>
      <c r="AZ342" s="82">
        <f t="shared" si="311"/>
        <v>0</v>
      </c>
      <c r="BA342" s="241">
        <f t="shared" si="312"/>
        <v>0</v>
      </c>
      <c r="BB342" s="81">
        <f t="shared" si="313"/>
        <v>0</v>
      </c>
      <c r="BC342" s="82">
        <f t="shared" si="314"/>
        <v>0</v>
      </c>
      <c r="BD342" s="241">
        <f t="shared" si="315"/>
        <v>0</v>
      </c>
      <c r="BE342" s="81">
        <f t="shared" si="316"/>
        <v>0</v>
      </c>
      <c r="BF342" s="82">
        <f t="shared" si="317"/>
        <v>0</v>
      </c>
      <c r="BG342" s="241">
        <f t="shared" si="318"/>
        <v>0</v>
      </c>
      <c r="BH342" s="81">
        <f t="shared" si="319"/>
        <v>0</v>
      </c>
      <c r="BI342" s="82">
        <f t="shared" si="320"/>
        <v>0</v>
      </c>
    </row>
    <row r="343" spans="1:61" s="29" customFormat="1" hidden="1" outlineLevel="1" x14ac:dyDescent="0.3">
      <c r="A343" s="22" t="s">
        <v>357</v>
      </c>
      <c r="B343" s="59"/>
      <c r="C343" s="24" t="s">
        <v>60</v>
      </c>
      <c r="D343" s="25"/>
      <c r="E343" s="25"/>
      <c r="F343" s="63"/>
      <c r="G343" s="33"/>
      <c r="H343" s="241">
        <v>0</v>
      </c>
      <c r="I343" s="81"/>
      <c r="J343" s="82">
        <f>SUMIFS(Aut_BlueMe_Sem_Pedido!$J:$J,Aut_BlueMe_Sem_Pedido!$Q:$Q,DRE!H$4,Aut_BlueMe_Sem_Pedido!$H:$H,DRE!$A343)+SUMIFS(Aut_Ajustes_Manuais!$G:$G,Aut_Ajustes_Manuais!$I:$I,DRE!H$4,Aut_Ajustes_Manuais!$F:$F,"Investimento - Uniformes")</f>
        <v>0</v>
      </c>
      <c r="K343" s="254">
        <v>0</v>
      </c>
      <c r="L343" s="81"/>
      <c r="M343" s="82">
        <f>SUMIFS(Aut_BlueMe_Sem_Pedido!$J:$J,Aut_BlueMe_Sem_Pedido!$Q:$Q,DRE!K$4,Aut_BlueMe_Sem_Pedido!$H:$H,DRE!$A343)+SUMIFS(Aut_Ajustes_Manuais!$G:$G,Aut_Ajustes_Manuais!$I:$I,DRE!K$4,Aut_Ajustes_Manuais!$F:$F,"Investimento - Uniformes")</f>
        <v>0</v>
      </c>
      <c r="N343" s="254">
        <v>0</v>
      </c>
      <c r="O343" s="81"/>
      <c r="P343" s="82">
        <f>SUMIFS(Aut_BlueMe_Sem_Pedido!$J:$J,Aut_BlueMe_Sem_Pedido!$Q:$Q,DRE!N$4,Aut_BlueMe_Sem_Pedido!$H:$H,DRE!$A343)+SUMIFS(Aut_Ajustes_Manuais!$G:$G,Aut_Ajustes_Manuais!$I:$I,DRE!N$4,Aut_Ajustes_Manuais!$F:$F,"Investimento - Uniformes")</f>
        <v>0</v>
      </c>
      <c r="Q343" s="241">
        <v>0</v>
      </c>
      <c r="R343" s="81"/>
      <c r="S343" s="82">
        <f>SUMIFS(Aut_BlueMe_Sem_Pedido!$J:$J,Aut_BlueMe_Sem_Pedido!$Q:$Q,DRE!Q$4,Aut_BlueMe_Sem_Pedido!$H:$H,DRE!$A343)+SUMIFS(Aut_Ajustes_Manuais!$G:$G,Aut_Ajustes_Manuais!$I:$I,DRE!Q$4,Aut_Ajustes_Manuais!$F:$F,"Investimento - Uniformes")</f>
        <v>0</v>
      </c>
      <c r="T343" s="241">
        <v>0</v>
      </c>
      <c r="U343" s="81"/>
      <c r="V343" s="82">
        <f>SUMIFS(Aut_BlueMe_Sem_Pedido!$J:$J,Aut_BlueMe_Sem_Pedido!$Q:$Q,DRE!T$4,Aut_BlueMe_Sem_Pedido!$H:$H,DRE!$A343)+SUMIFS(Aut_Ajustes_Manuais!$G:$G,Aut_Ajustes_Manuais!$I:$I,DRE!T$4,Aut_Ajustes_Manuais!$F:$F,"Investimento - Uniformes")</f>
        <v>0</v>
      </c>
      <c r="W343" s="241">
        <v>0</v>
      </c>
      <c r="X343" s="81"/>
      <c r="Y343" s="82">
        <f>SUMIFS(Aut_BlueMe_Sem_Pedido!$J:$J,Aut_BlueMe_Sem_Pedido!$Q:$Q,DRE!W$4,Aut_BlueMe_Sem_Pedido!$H:$H,DRE!$A343)+SUMIFS(Aut_Ajustes_Manuais!$G:$G,Aut_Ajustes_Manuais!$I:$I,DRE!W$4,Aut_Ajustes_Manuais!$F:$F,"Investimento - Uniformes")</f>
        <v>0</v>
      </c>
      <c r="Z343" s="241">
        <v>0</v>
      </c>
      <c r="AA343" s="81"/>
      <c r="AB343" s="82">
        <f>SUMIFS(Aut_BlueMe_Sem_Pedido!$J:$J,Aut_BlueMe_Sem_Pedido!$Q:$Q,DRE!Z$4,Aut_BlueMe_Sem_Pedido!$H:$H,DRE!$A343)+SUMIFS(Aut_Ajustes_Manuais!$G:$G,Aut_Ajustes_Manuais!$I:$I,DRE!Z$4,Aut_Ajustes_Manuais!$F:$F,"Investimento - Uniformes")</f>
        <v>0</v>
      </c>
      <c r="AC343" s="241">
        <v>0</v>
      </c>
      <c r="AD343" s="81"/>
      <c r="AE343" s="82">
        <f>SUMIFS(Aut_BlueMe_Sem_Pedido!$J:$J,Aut_BlueMe_Sem_Pedido!$Q:$Q,DRE!AC$4,Aut_BlueMe_Sem_Pedido!$H:$H,DRE!$A343)+SUMIFS(Aut_Ajustes_Manuais!$G:$G,Aut_Ajustes_Manuais!$I:$I,DRE!AC$4,Aut_Ajustes_Manuais!$F:$F,"Investimento - Uniformes")</f>
        <v>0</v>
      </c>
      <c r="AF343" s="241">
        <v>0</v>
      </c>
      <c r="AG343" s="81"/>
      <c r="AH343" s="82">
        <f>SUMIFS(Aut_BlueMe_Sem_Pedido!$J:$J,Aut_BlueMe_Sem_Pedido!$Q:$Q,DRE!AF$4,Aut_BlueMe_Sem_Pedido!$H:$H,DRE!$A343)+SUMIFS(Aut_Ajustes_Manuais!$G:$G,Aut_Ajustes_Manuais!$I:$I,DRE!AF$4,Aut_Ajustes_Manuais!$F:$F,"Investimento - Uniformes")</f>
        <v>0</v>
      </c>
      <c r="AI343" s="241">
        <v>0</v>
      </c>
      <c r="AJ343" s="81"/>
      <c r="AK343" s="82">
        <f>SUMIFS(Aut_BlueMe_Sem_Pedido!$J:$J,Aut_BlueMe_Sem_Pedido!$Q:$Q,DRE!AI$4,Aut_BlueMe_Sem_Pedido!$H:$H,DRE!$A343)+SUMIFS(Aut_Ajustes_Manuais!$G:$G,Aut_Ajustes_Manuais!$I:$I,DRE!AI$4,Aut_Ajustes_Manuais!$F:$F,"Investimento - Uniformes")</f>
        <v>0</v>
      </c>
      <c r="AL343" s="241">
        <v>0</v>
      </c>
      <c r="AM343" s="81"/>
      <c r="AN343" s="82">
        <f>SUMIFS(Aut_BlueMe_Sem_Pedido!$J:$J,Aut_BlueMe_Sem_Pedido!$Q:$Q,DRE!AL$4,Aut_BlueMe_Sem_Pedido!$H:$H,DRE!$A343)+SUMIFS(Aut_Ajustes_Manuais!$G:$G,Aut_Ajustes_Manuais!$I:$I,DRE!AL$4,Aut_Ajustes_Manuais!$F:$F,"Investimento - Uniformes")</f>
        <v>0</v>
      </c>
      <c r="AO343" s="241">
        <v>-420.5</v>
      </c>
      <c r="AP343" s="81"/>
      <c r="AQ343" s="82">
        <f>SUMIFS(Aut_BlueMe_Sem_Pedido!$J:$J,Aut_BlueMe_Sem_Pedido!$Q:$Q,DRE!AO$4,Aut_BlueMe_Sem_Pedido!$H:$H,DRE!$A343)+SUMIFS(Aut_Ajustes_Manuais!$G:$G,Aut_Ajustes_Manuais!$I:$I,DRE!AO$4,Aut_Ajustes_Manuais!$F:$F,"Investimento - Uniformes")</f>
        <v>0</v>
      </c>
      <c r="AR343" s="241">
        <f t="shared" ca="1" si="303"/>
        <v>0</v>
      </c>
      <c r="AS343" s="81">
        <f t="shared" ca="1" si="304"/>
        <v>0</v>
      </c>
      <c r="AT343" s="82">
        <f t="shared" ca="1" si="305"/>
        <v>0</v>
      </c>
      <c r="AU343" s="241">
        <f t="shared" si="306"/>
        <v>-420.5</v>
      </c>
      <c r="AV343" s="81">
        <f t="shared" si="307"/>
        <v>0</v>
      </c>
      <c r="AW343" s="82">
        <f t="shared" si="308"/>
        <v>0</v>
      </c>
      <c r="AX343" s="241">
        <f t="shared" si="309"/>
        <v>0</v>
      </c>
      <c r="AY343" s="81">
        <f t="shared" si="310"/>
        <v>0</v>
      </c>
      <c r="AZ343" s="82">
        <f t="shared" si="311"/>
        <v>0</v>
      </c>
      <c r="BA343" s="241">
        <f t="shared" si="312"/>
        <v>0</v>
      </c>
      <c r="BB343" s="81">
        <f t="shared" si="313"/>
        <v>0</v>
      </c>
      <c r="BC343" s="82">
        <f t="shared" si="314"/>
        <v>0</v>
      </c>
      <c r="BD343" s="241">
        <f t="shared" si="315"/>
        <v>0</v>
      </c>
      <c r="BE343" s="81">
        <f t="shared" si="316"/>
        <v>0</v>
      </c>
      <c r="BF343" s="82">
        <f t="shared" si="317"/>
        <v>0</v>
      </c>
      <c r="BG343" s="241">
        <f t="shared" si="318"/>
        <v>-420.5</v>
      </c>
      <c r="BH343" s="81">
        <f t="shared" si="319"/>
        <v>0</v>
      </c>
      <c r="BI343" s="82">
        <f t="shared" si="320"/>
        <v>0</v>
      </c>
    </row>
    <row r="344" spans="1:61" s="29" customFormat="1" hidden="1" outlineLevel="1" x14ac:dyDescent="0.3">
      <c r="A344" s="22" t="s">
        <v>358</v>
      </c>
      <c r="B344" s="59"/>
      <c r="C344" s="24" t="s">
        <v>60</v>
      </c>
      <c r="D344" s="25"/>
      <c r="E344" s="25"/>
      <c r="F344" s="63"/>
      <c r="G344" s="33"/>
      <c r="H344" s="241">
        <v>0</v>
      </c>
      <c r="I344" s="81"/>
      <c r="J344" s="82">
        <f>SUMIFS(Aut_BlueMe_Sem_Pedido!$J:$J,Aut_BlueMe_Sem_Pedido!$Q:$Q,DRE!H$4,Aut_BlueMe_Sem_Pedido!$H:$H,DRE!$A344)+SUMIFS(Aut_Ajustes_Manuais!$G:$G,Aut_Ajustes_Manuais!$I:$I,DRE!H$4,Aut_Ajustes_Manuais!$F:$F,"Investimento - Despesas pré-operacionais")</f>
        <v>0</v>
      </c>
      <c r="K344" s="254">
        <v>0</v>
      </c>
      <c r="L344" s="81"/>
      <c r="M344" s="82">
        <f>SUMIFS(Aut_BlueMe_Sem_Pedido!$J:$J,Aut_BlueMe_Sem_Pedido!$Q:$Q,DRE!K$4,Aut_BlueMe_Sem_Pedido!$H:$H,DRE!$A344)+SUMIFS(Aut_Ajustes_Manuais!$G:$G,Aut_Ajustes_Manuais!$I:$I,DRE!K$4,Aut_Ajustes_Manuais!$F:$F,"Investimento - Despesas pré-operacionais")</f>
        <v>0</v>
      </c>
      <c r="N344" s="254">
        <v>0</v>
      </c>
      <c r="O344" s="81"/>
      <c r="P344" s="82">
        <f>SUMIFS(Aut_BlueMe_Sem_Pedido!$J:$J,Aut_BlueMe_Sem_Pedido!$Q:$Q,DRE!N$4,Aut_BlueMe_Sem_Pedido!$H:$H,DRE!$A344)+SUMIFS(Aut_Ajustes_Manuais!$G:$G,Aut_Ajustes_Manuais!$I:$I,DRE!N$4,Aut_Ajustes_Manuais!$F:$F,"Investimento - Despesas pré-operacionais")</f>
        <v>0</v>
      </c>
      <c r="Q344" s="241">
        <v>0</v>
      </c>
      <c r="R344" s="81"/>
      <c r="S344" s="82">
        <f>SUMIFS(Aut_BlueMe_Sem_Pedido!$J:$J,Aut_BlueMe_Sem_Pedido!$Q:$Q,DRE!Q$4,Aut_BlueMe_Sem_Pedido!$H:$H,DRE!$A344)+SUMIFS(Aut_Ajustes_Manuais!$G:$G,Aut_Ajustes_Manuais!$I:$I,DRE!Q$4,Aut_Ajustes_Manuais!$F:$F,"Investimento - Despesas pré-operacionais")</f>
        <v>0</v>
      </c>
      <c r="T344" s="241">
        <v>0</v>
      </c>
      <c r="U344" s="81"/>
      <c r="V344" s="82">
        <f>SUMIFS(Aut_BlueMe_Sem_Pedido!$J:$J,Aut_BlueMe_Sem_Pedido!$Q:$Q,DRE!T$4,Aut_BlueMe_Sem_Pedido!$H:$H,DRE!$A344)+SUMIFS(Aut_Ajustes_Manuais!$G:$G,Aut_Ajustes_Manuais!$I:$I,DRE!T$4,Aut_Ajustes_Manuais!$F:$F,"Investimento - Despesas pré-operacionais")</f>
        <v>0</v>
      </c>
      <c r="W344" s="241">
        <v>0</v>
      </c>
      <c r="X344" s="81"/>
      <c r="Y344" s="82">
        <f>SUMIFS(Aut_BlueMe_Sem_Pedido!$J:$J,Aut_BlueMe_Sem_Pedido!$Q:$Q,DRE!W$4,Aut_BlueMe_Sem_Pedido!$H:$H,DRE!$A344)+SUMIFS(Aut_Ajustes_Manuais!$G:$G,Aut_Ajustes_Manuais!$I:$I,DRE!W$4,Aut_Ajustes_Manuais!$F:$F,"Investimento - Despesas pré-operacionais")</f>
        <v>0</v>
      </c>
      <c r="Z344" s="241">
        <v>0</v>
      </c>
      <c r="AA344" s="81"/>
      <c r="AB344" s="82">
        <f>SUMIFS(Aut_BlueMe_Sem_Pedido!$J:$J,Aut_BlueMe_Sem_Pedido!$Q:$Q,DRE!Z$4,Aut_BlueMe_Sem_Pedido!$H:$H,DRE!$A344)+SUMIFS(Aut_Ajustes_Manuais!$G:$G,Aut_Ajustes_Manuais!$I:$I,DRE!Z$4,Aut_Ajustes_Manuais!$F:$F,"Investimento - Despesas pré-operacionais")</f>
        <v>0</v>
      </c>
      <c r="AC344" s="241">
        <v>0</v>
      </c>
      <c r="AD344" s="81"/>
      <c r="AE344" s="82">
        <f>SUMIFS(Aut_BlueMe_Sem_Pedido!$J:$J,Aut_BlueMe_Sem_Pedido!$Q:$Q,DRE!AC$4,Aut_BlueMe_Sem_Pedido!$H:$H,DRE!$A344)+SUMIFS(Aut_Ajustes_Manuais!$G:$G,Aut_Ajustes_Manuais!$I:$I,DRE!AC$4,Aut_Ajustes_Manuais!$F:$F,"Investimento - Despesas pré-operacionais")</f>
        <v>0</v>
      </c>
      <c r="AF344" s="241">
        <v>0</v>
      </c>
      <c r="AG344" s="81"/>
      <c r="AH344" s="82">
        <f>SUMIFS(Aut_BlueMe_Sem_Pedido!$J:$J,Aut_BlueMe_Sem_Pedido!$Q:$Q,DRE!AF$4,Aut_BlueMe_Sem_Pedido!$H:$H,DRE!$A344)+SUMIFS(Aut_Ajustes_Manuais!$G:$G,Aut_Ajustes_Manuais!$I:$I,DRE!AF$4,Aut_Ajustes_Manuais!$F:$F,"Investimento - Despesas pré-operacionais")</f>
        <v>0</v>
      </c>
      <c r="AI344" s="241">
        <v>0</v>
      </c>
      <c r="AJ344" s="81"/>
      <c r="AK344" s="82">
        <f>SUMIFS(Aut_BlueMe_Sem_Pedido!$J:$J,Aut_BlueMe_Sem_Pedido!$Q:$Q,DRE!AI$4,Aut_BlueMe_Sem_Pedido!$H:$H,DRE!$A344)+SUMIFS(Aut_Ajustes_Manuais!$G:$G,Aut_Ajustes_Manuais!$I:$I,DRE!AI$4,Aut_Ajustes_Manuais!$F:$F,"Investimento - Despesas pré-operacionais")</f>
        <v>0</v>
      </c>
      <c r="AL344" s="241">
        <v>0</v>
      </c>
      <c r="AM344" s="81"/>
      <c r="AN344" s="82">
        <f>SUMIFS(Aut_BlueMe_Sem_Pedido!$J:$J,Aut_BlueMe_Sem_Pedido!$Q:$Q,DRE!AL$4,Aut_BlueMe_Sem_Pedido!$H:$H,DRE!$A344)+SUMIFS(Aut_Ajustes_Manuais!$G:$G,Aut_Ajustes_Manuais!$I:$I,DRE!AL$4,Aut_Ajustes_Manuais!$F:$F,"Investimento - Despesas pré-operacionais")</f>
        <v>0</v>
      </c>
      <c r="AO344" s="241">
        <v>0</v>
      </c>
      <c r="AP344" s="81"/>
      <c r="AQ344" s="82">
        <f>SUMIFS(Aut_BlueMe_Sem_Pedido!$J:$J,Aut_BlueMe_Sem_Pedido!$Q:$Q,DRE!AO$4,Aut_BlueMe_Sem_Pedido!$H:$H,DRE!$A344)+SUMIFS(Aut_Ajustes_Manuais!$G:$G,Aut_Ajustes_Manuais!$I:$I,DRE!AO$4,Aut_Ajustes_Manuais!$F:$F,"Investimento - Despesas pré-operacionais")</f>
        <v>0</v>
      </c>
      <c r="AR344" s="241">
        <f t="shared" ca="1" si="303"/>
        <v>0</v>
      </c>
      <c r="AS344" s="81">
        <f t="shared" ca="1" si="304"/>
        <v>0</v>
      </c>
      <c r="AT344" s="82">
        <f t="shared" ca="1" si="305"/>
        <v>0</v>
      </c>
      <c r="AU344" s="241">
        <f t="shared" si="306"/>
        <v>0</v>
      </c>
      <c r="AV344" s="81">
        <f t="shared" si="307"/>
        <v>0</v>
      </c>
      <c r="AW344" s="82">
        <f t="shared" si="308"/>
        <v>0</v>
      </c>
      <c r="AX344" s="241">
        <f t="shared" si="309"/>
        <v>0</v>
      </c>
      <c r="AY344" s="81">
        <f t="shared" si="310"/>
        <v>0</v>
      </c>
      <c r="AZ344" s="82">
        <f t="shared" si="311"/>
        <v>0</v>
      </c>
      <c r="BA344" s="241">
        <f t="shared" si="312"/>
        <v>0</v>
      </c>
      <c r="BB344" s="81">
        <f t="shared" si="313"/>
        <v>0</v>
      </c>
      <c r="BC344" s="82">
        <f t="shared" si="314"/>
        <v>0</v>
      </c>
      <c r="BD344" s="241">
        <f t="shared" si="315"/>
        <v>0</v>
      </c>
      <c r="BE344" s="81">
        <f t="shared" si="316"/>
        <v>0</v>
      </c>
      <c r="BF344" s="82">
        <f t="shared" si="317"/>
        <v>0</v>
      </c>
      <c r="BG344" s="241">
        <f t="shared" si="318"/>
        <v>0</v>
      </c>
      <c r="BH344" s="81">
        <f t="shared" si="319"/>
        <v>0</v>
      </c>
      <c r="BI344" s="82">
        <f t="shared" si="320"/>
        <v>0</v>
      </c>
    </row>
    <row r="345" spans="1:61" s="29" customFormat="1" hidden="1" outlineLevel="1" x14ac:dyDescent="0.3">
      <c r="A345" s="22" t="s">
        <v>359</v>
      </c>
      <c r="B345" s="59"/>
      <c r="C345" s="24" t="s">
        <v>60</v>
      </c>
      <c r="D345" s="25"/>
      <c r="E345" s="25"/>
      <c r="F345" s="63"/>
      <c r="G345" s="33"/>
      <c r="H345" s="241">
        <v>-2300</v>
      </c>
      <c r="I345" s="81"/>
      <c r="J345" s="82">
        <f>SUMIFS(Aut_BlueMe_Sem_Pedido!$J:$J,Aut_BlueMe_Sem_Pedido!$Q:$Q,DRE!H$4,Aut_BlueMe_Sem_Pedido!$H:$H,DRE!$A345)+SUMIFS(Aut_Ajustes_Manuais!$G:$G,Aut_Ajustes_Manuais!$I:$I,DRE!H$4,Aut_Ajustes_Manuais!$F:$F,"Investimento - Taxa de Licença")</f>
        <v>0</v>
      </c>
      <c r="K345" s="254">
        <v>0</v>
      </c>
      <c r="L345" s="81"/>
      <c r="M345" s="82">
        <f>SUMIFS(Aut_BlueMe_Sem_Pedido!$J:$J,Aut_BlueMe_Sem_Pedido!$Q:$Q,DRE!K$4,Aut_BlueMe_Sem_Pedido!$H:$H,DRE!$A345)+SUMIFS(Aut_Ajustes_Manuais!$G:$G,Aut_Ajustes_Manuais!$I:$I,DRE!K$4,Aut_Ajustes_Manuais!$F:$F,"Investimento - Taxa de Licença")</f>
        <v>0</v>
      </c>
      <c r="N345" s="254">
        <v>0</v>
      </c>
      <c r="O345" s="81"/>
      <c r="P345" s="82">
        <f>SUMIFS(Aut_BlueMe_Sem_Pedido!$J:$J,Aut_BlueMe_Sem_Pedido!$Q:$Q,DRE!N$4,Aut_BlueMe_Sem_Pedido!$H:$H,DRE!$A345)+SUMIFS(Aut_Ajustes_Manuais!$G:$G,Aut_Ajustes_Manuais!$I:$I,DRE!N$4,Aut_Ajustes_Manuais!$F:$F,"Investimento - Taxa de Licença")</f>
        <v>0</v>
      </c>
      <c r="Q345" s="241">
        <v>0</v>
      </c>
      <c r="R345" s="81"/>
      <c r="S345" s="82">
        <f>SUMIFS(Aut_BlueMe_Sem_Pedido!$J:$J,Aut_BlueMe_Sem_Pedido!$Q:$Q,DRE!Q$4,Aut_BlueMe_Sem_Pedido!$H:$H,DRE!$A345)+SUMIFS(Aut_Ajustes_Manuais!$G:$G,Aut_Ajustes_Manuais!$I:$I,DRE!Q$4,Aut_Ajustes_Manuais!$F:$F,"Investimento - Taxa de Licença")</f>
        <v>0</v>
      </c>
      <c r="T345" s="241">
        <v>0</v>
      </c>
      <c r="U345" s="81"/>
      <c r="V345" s="82">
        <f>SUMIFS(Aut_BlueMe_Sem_Pedido!$J:$J,Aut_BlueMe_Sem_Pedido!$Q:$Q,DRE!T$4,Aut_BlueMe_Sem_Pedido!$H:$H,DRE!$A345)+SUMIFS(Aut_Ajustes_Manuais!$G:$G,Aut_Ajustes_Manuais!$I:$I,DRE!T$4,Aut_Ajustes_Manuais!$F:$F,"Investimento - Taxa de Licença")</f>
        <v>0</v>
      </c>
      <c r="W345" s="241">
        <v>0</v>
      </c>
      <c r="X345" s="81"/>
      <c r="Y345" s="82">
        <f>SUMIFS(Aut_BlueMe_Sem_Pedido!$J:$J,Aut_BlueMe_Sem_Pedido!$Q:$Q,DRE!W$4,Aut_BlueMe_Sem_Pedido!$H:$H,DRE!$A345)+SUMIFS(Aut_Ajustes_Manuais!$G:$G,Aut_Ajustes_Manuais!$I:$I,DRE!W$4,Aut_Ajustes_Manuais!$F:$F,"Investimento - Taxa de Licença")</f>
        <v>0</v>
      </c>
      <c r="Z345" s="241">
        <v>0</v>
      </c>
      <c r="AA345" s="81"/>
      <c r="AB345" s="82">
        <f>SUMIFS(Aut_BlueMe_Sem_Pedido!$J:$J,Aut_BlueMe_Sem_Pedido!$Q:$Q,DRE!Z$4,Aut_BlueMe_Sem_Pedido!$H:$H,DRE!$A345)+SUMIFS(Aut_Ajustes_Manuais!$G:$G,Aut_Ajustes_Manuais!$I:$I,DRE!Z$4,Aut_Ajustes_Manuais!$F:$F,"Investimento - Taxa de Licença")</f>
        <v>0</v>
      </c>
      <c r="AC345" s="241">
        <v>0</v>
      </c>
      <c r="AD345" s="81"/>
      <c r="AE345" s="82">
        <f>SUMIFS(Aut_BlueMe_Sem_Pedido!$J:$J,Aut_BlueMe_Sem_Pedido!$Q:$Q,DRE!AC$4,Aut_BlueMe_Sem_Pedido!$H:$H,DRE!$A345)+SUMIFS(Aut_Ajustes_Manuais!$G:$G,Aut_Ajustes_Manuais!$I:$I,DRE!AC$4,Aut_Ajustes_Manuais!$F:$F,"Investimento - Taxa de Licença")</f>
        <v>0</v>
      </c>
      <c r="AF345" s="241">
        <v>0</v>
      </c>
      <c r="AG345" s="81"/>
      <c r="AH345" s="82">
        <f>SUMIFS(Aut_BlueMe_Sem_Pedido!$J:$J,Aut_BlueMe_Sem_Pedido!$Q:$Q,DRE!AF$4,Aut_BlueMe_Sem_Pedido!$H:$H,DRE!$A345)+SUMIFS(Aut_Ajustes_Manuais!$G:$G,Aut_Ajustes_Manuais!$I:$I,DRE!AF$4,Aut_Ajustes_Manuais!$F:$F,"Investimento - Taxa de Licença")</f>
        <v>0</v>
      </c>
      <c r="AI345" s="241">
        <v>0</v>
      </c>
      <c r="AJ345" s="81"/>
      <c r="AK345" s="82">
        <f>SUMIFS(Aut_BlueMe_Sem_Pedido!$J:$J,Aut_BlueMe_Sem_Pedido!$Q:$Q,DRE!AI$4,Aut_BlueMe_Sem_Pedido!$H:$H,DRE!$A345)+SUMIFS(Aut_Ajustes_Manuais!$G:$G,Aut_Ajustes_Manuais!$I:$I,DRE!AI$4,Aut_Ajustes_Manuais!$F:$F,"Investimento - Taxa de Licença")</f>
        <v>0</v>
      </c>
      <c r="AL345" s="241">
        <v>0</v>
      </c>
      <c r="AM345" s="81"/>
      <c r="AN345" s="82">
        <f>SUMIFS(Aut_BlueMe_Sem_Pedido!$J:$J,Aut_BlueMe_Sem_Pedido!$Q:$Q,DRE!AL$4,Aut_BlueMe_Sem_Pedido!$H:$H,DRE!$A345)+SUMIFS(Aut_Ajustes_Manuais!$G:$G,Aut_Ajustes_Manuais!$I:$I,DRE!AL$4,Aut_Ajustes_Manuais!$F:$F,"Investimento - Taxa de Licença")</f>
        <v>0</v>
      </c>
      <c r="AO345" s="241">
        <v>0</v>
      </c>
      <c r="AP345" s="81"/>
      <c r="AQ345" s="82">
        <f>SUMIFS(Aut_BlueMe_Sem_Pedido!$J:$J,Aut_BlueMe_Sem_Pedido!$Q:$Q,DRE!AO$4,Aut_BlueMe_Sem_Pedido!$H:$H,DRE!$A345)+SUMIFS(Aut_Ajustes_Manuais!$G:$G,Aut_Ajustes_Manuais!$I:$I,DRE!AO$4,Aut_Ajustes_Manuais!$F:$F,"Investimento - Taxa de Licença")</f>
        <v>0</v>
      </c>
      <c r="AR345" s="241">
        <f t="shared" ca="1" si="303"/>
        <v>-2300</v>
      </c>
      <c r="AS345" s="81">
        <f t="shared" ca="1" si="304"/>
        <v>0</v>
      </c>
      <c r="AT345" s="82">
        <f t="shared" ca="1" si="305"/>
        <v>0</v>
      </c>
      <c r="AU345" s="241">
        <f t="shared" si="306"/>
        <v>-2300</v>
      </c>
      <c r="AV345" s="81">
        <f t="shared" si="307"/>
        <v>0</v>
      </c>
      <c r="AW345" s="82">
        <f t="shared" si="308"/>
        <v>0</v>
      </c>
      <c r="AX345" s="241">
        <f t="shared" si="309"/>
        <v>-2300</v>
      </c>
      <c r="AY345" s="81">
        <f t="shared" si="310"/>
        <v>0</v>
      </c>
      <c r="AZ345" s="82">
        <f t="shared" si="311"/>
        <v>0</v>
      </c>
      <c r="BA345" s="241">
        <f t="shared" si="312"/>
        <v>0</v>
      </c>
      <c r="BB345" s="81">
        <f t="shared" si="313"/>
        <v>0</v>
      </c>
      <c r="BC345" s="82">
        <f t="shared" si="314"/>
        <v>0</v>
      </c>
      <c r="BD345" s="241">
        <f t="shared" si="315"/>
        <v>0</v>
      </c>
      <c r="BE345" s="81">
        <f t="shared" si="316"/>
        <v>0</v>
      </c>
      <c r="BF345" s="82">
        <f t="shared" si="317"/>
        <v>0</v>
      </c>
      <c r="BG345" s="241">
        <f t="shared" si="318"/>
        <v>0</v>
      </c>
      <c r="BH345" s="81">
        <f t="shared" si="319"/>
        <v>0</v>
      </c>
      <c r="BI345" s="82">
        <f t="shared" si="320"/>
        <v>0</v>
      </c>
    </row>
    <row r="346" spans="1:61" s="29" customFormat="1" hidden="1" outlineLevel="1" x14ac:dyDescent="0.3">
      <c r="A346" s="22" t="s">
        <v>360</v>
      </c>
      <c r="B346" s="59"/>
      <c r="C346" s="24" t="s">
        <v>60</v>
      </c>
      <c r="D346" s="25"/>
      <c r="E346" s="25"/>
      <c r="F346" s="63"/>
      <c r="G346" s="33"/>
      <c r="H346" s="241">
        <v>0</v>
      </c>
      <c r="I346" s="81"/>
      <c r="J346" s="82">
        <f>SUMIFS(Aut_BlueMe_Sem_Pedido!$J:$J,Aut_BlueMe_Sem_Pedido!$Q:$Q,DRE!H$4,Aut_BlueMe_Sem_Pedido!$H:$H,DRE!$A346)+SUMIFS(Aut_Ajustes_Manuais!$G:$G,Aut_Ajustes_Manuais!$I:$I,DRE!H$4,Aut_Ajustes_Manuais!$F:$F,"Investimento - Outros luvas")</f>
        <v>0</v>
      </c>
      <c r="K346" s="254">
        <v>0</v>
      </c>
      <c r="L346" s="81"/>
      <c r="M346" s="82">
        <f>SUMIFS(Aut_BlueMe_Sem_Pedido!$J:$J,Aut_BlueMe_Sem_Pedido!$Q:$Q,DRE!K$4,Aut_BlueMe_Sem_Pedido!$H:$H,DRE!$A346)+SUMIFS(Aut_Ajustes_Manuais!$G:$G,Aut_Ajustes_Manuais!$I:$I,DRE!K$4,Aut_Ajustes_Manuais!$F:$F,"Investimento - Outros luvas")</f>
        <v>0</v>
      </c>
      <c r="N346" s="254">
        <v>0</v>
      </c>
      <c r="O346" s="81"/>
      <c r="P346" s="82">
        <f>SUMIFS(Aut_BlueMe_Sem_Pedido!$J:$J,Aut_BlueMe_Sem_Pedido!$Q:$Q,DRE!N$4,Aut_BlueMe_Sem_Pedido!$H:$H,DRE!$A346)+SUMIFS(Aut_Ajustes_Manuais!$G:$G,Aut_Ajustes_Manuais!$I:$I,DRE!N$4,Aut_Ajustes_Manuais!$F:$F,"Investimento - Outros luvas")</f>
        <v>0</v>
      </c>
      <c r="Q346" s="241">
        <v>0</v>
      </c>
      <c r="R346" s="81"/>
      <c r="S346" s="82">
        <f>SUMIFS(Aut_BlueMe_Sem_Pedido!$J:$J,Aut_BlueMe_Sem_Pedido!$Q:$Q,DRE!Q$4,Aut_BlueMe_Sem_Pedido!$H:$H,DRE!$A346)+SUMIFS(Aut_Ajustes_Manuais!$G:$G,Aut_Ajustes_Manuais!$I:$I,DRE!Q$4,Aut_Ajustes_Manuais!$F:$F,"Investimento - Outros luvas")</f>
        <v>0</v>
      </c>
      <c r="T346" s="241">
        <v>0</v>
      </c>
      <c r="U346" s="81"/>
      <c r="V346" s="82">
        <f>SUMIFS(Aut_BlueMe_Sem_Pedido!$J:$J,Aut_BlueMe_Sem_Pedido!$Q:$Q,DRE!T$4,Aut_BlueMe_Sem_Pedido!$H:$H,DRE!$A346)+SUMIFS(Aut_Ajustes_Manuais!$G:$G,Aut_Ajustes_Manuais!$I:$I,DRE!T$4,Aut_Ajustes_Manuais!$F:$F,"Investimento - Outros luvas")</f>
        <v>0</v>
      </c>
      <c r="W346" s="241">
        <v>0</v>
      </c>
      <c r="X346" s="81"/>
      <c r="Y346" s="82">
        <f>SUMIFS(Aut_BlueMe_Sem_Pedido!$J:$J,Aut_BlueMe_Sem_Pedido!$Q:$Q,DRE!W$4,Aut_BlueMe_Sem_Pedido!$H:$H,DRE!$A346)+SUMIFS(Aut_Ajustes_Manuais!$G:$G,Aut_Ajustes_Manuais!$I:$I,DRE!W$4,Aut_Ajustes_Manuais!$F:$F,"Investimento - Outros luvas")</f>
        <v>0</v>
      </c>
      <c r="Z346" s="241">
        <v>0</v>
      </c>
      <c r="AA346" s="81"/>
      <c r="AB346" s="82">
        <f>SUMIFS(Aut_BlueMe_Sem_Pedido!$J:$J,Aut_BlueMe_Sem_Pedido!$Q:$Q,DRE!Z$4,Aut_BlueMe_Sem_Pedido!$H:$H,DRE!$A346)+SUMIFS(Aut_Ajustes_Manuais!$G:$G,Aut_Ajustes_Manuais!$I:$I,DRE!Z$4,Aut_Ajustes_Manuais!$F:$F,"Investimento - Outros luvas")</f>
        <v>0</v>
      </c>
      <c r="AC346" s="241">
        <v>0</v>
      </c>
      <c r="AD346" s="81"/>
      <c r="AE346" s="82">
        <f>SUMIFS(Aut_BlueMe_Sem_Pedido!$J:$J,Aut_BlueMe_Sem_Pedido!$Q:$Q,DRE!AC$4,Aut_BlueMe_Sem_Pedido!$H:$H,DRE!$A346)+SUMIFS(Aut_Ajustes_Manuais!$G:$G,Aut_Ajustes_Manuais!$I:$I,DRE!AC$4,Aut_Ajustes_Manuais!$F:$F,"Investimento - Outros luvas")</f>
        <v>0</v>
      </c>
      <c r="AF346" s="241">
        <v>0</v>
      </c>
      <c r="AG346" s="81"/>
      <c r="AH346" s="82">
        <f>SUMIFS(Aut_BlueMe_Sem_Pedido!$J:$J,Aut_BlueMe_Sem_Pedido!$Q:$Q,DRE!AF$4,Aut_BlueMe_Sem_Pedido!$H:$H,DRE!$A346)+SUMIFS(Aut_Ajustes_Manuais!$G:$G,Aut_Ajustes_Manuais!$I:$I,DRE!AF$4,Aut_Ajustes_Manuais!$F:$F,"Investimento - Outros luvas")</f>
        <v>0</v>
      </c>
      <c r="AI346" s="241">
        <v>0</v>
      </c>
      <c r="AJ346" s="81"/>
      <c r="AK346" s="82">
        <f>SUMIFS(Aut_BlueMe_Sem_Pedido!$J:$J,Aut_BlueMe_Sem_Pedido!$Q:$Q,DRE!AI$4,Aut_BlueMe_Sem_Pedido!$H:$H,DRE!$A346)+SUMIFS(Aut_Ajustes_Manuais!$G:$G,Aut_Ajustes_Manuais!$I:$I,DRE!AI$4,Aut_Ajustes_Manuais!$F:$F,"Investimento - Outros luvas")</f>
        <v>0</v>
      </c>
      <c r="AL346" s="241">
        <v>0</v>
      </c>
      <c r="AM346" s="81"/>
      <c r="AN346" s="82">
        <f>SUMIFS(Aut_BlueMe_Sem_Pedido!$J:$J,Aut_BlueMe_Sem_Pedido!$Q:$Q,DRE!AL$4,Aut_BlueMe_Sem_Pedido!$H:$H,DRE!$A346)+SUMIFS(Aut_Ajustes_Manuais!$G:$G,Aut_Ajustes_Manuais!$I:$I,DRE!AL$4,Aut_Ajustes_Manuais!$F:$F,"Investimento - Outros luvas")</f>
        <v>0</v>
      </c>
      <c r="AO346" s="241">
        <v>0</v>
      </c>
      <c r="AP346" s="81"/>
      <c r="AQ346" s="82">
        <f>SUMIFS(Aut_BlueMe_Sem_Pedido!$J:$J,Aut_BlueMe_Sem_Pedido!$Q:$Q,DRE!AO$4,Aut_BlueMe_Sem_Pedido!$H:$H,DRE!$A346)+SUMIFS(Aut_Ajustes_Manuais!$G:$G,Aut_Ajustes_Manuais!$I:$I,DRE!AO$4,Aut_Ajustes_Manuais!$F:$F,"Investimento - Outros luvas")</f>
        <v>0</v>
      </c>
      <c r="AR346" s="241">
        <f t="shared" ca="1" si="303"/>
        <v>0</v>
      </c>
      <c r="AS346" s="81">
        <f t="shared" ca="1" si="304"/>
        <v>0</v>
      </c>
      <c r="AT346" s="82">
        <f t="shared" ca="1" si="305"/>
        <v>0</v>
      </c>
      <c r="AU346" s="241">
        <f t="shared" si="306"/>
        <v>0</v>
      </c>
      <c r="AV346" s="81">
        <f t="shared" si="307"/>
        <v>0</v>
      </c>
      <c r="AW346" s="82">
        <f t="shared" si="308"/>
        <v>0</v>
      </c>
      <c r="AX346" s="241">
        <f t="shared" si="309"/>
        <v>0</v>
      </c>
      <c r="AY346" s="81">
        <f t="shared" si="310"/>
        <v>0</v>
      </c>
      <c r="AZ346" s="82">
        <f t="shared" si="311"/>
        <v>0</v>
      </c>
      <c r="BA346" s="241">
        <f t="shared" si="312"/>
        <v>0</v>
      </c>
      <c r="BB346" s="81">
        <f t="shared" si="313"/>
        <v>0</v>
      </c>
      <c r="BC346" s="82">
        <f t="shared" si="314"/>
        <v>0</v>
      </c>
      <c r="BD346" s="241">
        <f t="shared" si="315"/>
        <v>0</v>
      </c>
      <c r="BE346" s="81">
        <f t="shared" si="316"/>
        <v>0</v>
      </c>
      <c r="BF346" s="82">
        <f t="shared" si="317"/>
        <v>0</v>
      </c>
      <c r="BG346" s="241">
        <f t="shared" si="318"/>
        <v>0</v>
      </c>
      <c r="BH346" s="81">
        <f t="shared" si="319"/>
        <v>0</v>
      </c>
      <c r="BI346" s="82">
        <f t="shared" si="320"/>
        <v>0</v>
      </c>
    </row>
    <row r="347" spans="1:61" s="29" customFormat="1" hidden="1" outlineLevel="1" x14ac:dyDescent="0.3">
      <c r="A347" s="22" t="s">
        <v>361</v>
      </c>
      <c r="B347" s="59"/>
      <c r="C347" s="24" t="s">
        <v>60</v>
      </c>
      <c r="D347" s="25"/>
      <c r="E347" s="25"/>
      <c r="F347" s="63"/>
      <c r="G347" s="33"/>
      <c r="H347" s="241">
        <v>0</v>
      </c>
      <c r="I347" s="81"/>
      <c r="J347" s="82">
        <f>SUMIFS(Aut_BlueMe_Sem_Pedido!$J:$J,Aut_BlueMe_Sem_Pedido!$Q:$Q,DRE!H$4,Aut_BlueMe_Sem_Pedido!$H:$H,DRE!$A347)+SUMIFS(Aut_Ajustes_Manuais!$G:$G,Aut_Ajustes_Manuais!$I:$I,DRE!H$4,Aut_Ajustes_Manuais!$F:$F,"Investimento - Ativos AMBEV")</f>
        <v>0</v>
      </c>
      <c r="K347" s="254">
        <v>0</v>
      </c>
      <c r="L347" s="81"/>
      <c r="M347" s="82">
        <f>SUMIFS(Aut_BlueMe_Sem_Pedido!$J:$J,Aut_BlueMe_Sem_Pedido!$Q:$Q,DRE!K$4,Aut_BlueMe_Sem_Pedido!$H:$H,DRE!$A347)+SUMIFS(Aut_Ajustes_Manuais!$G:$G,Aut_Ajustes_Manuais!$I:$I,DRE!K$4,Aut_Ajustes_Manuais!$F:$F,"Investimento - Ativos AMBEV")</f>
        <v>0</v>
      </c>
      <c r="N347" s="254">
        <v>0</v>
      </c>
      <c r="O347" s="81"/>
      <c r="P347" s="82">
        <f>SUMIFS(Aut_BlueMe_Sem_Pedido!$J:$J,Aut_BlueMe_Sem_Pedido!$Q:$Q,DRE!N$4,Aut_BlueMe_Sem_Pedido!$H:$H,DRE!$A347)+SUMIFS(Aut_Ajustes_Manuais!$G:$G,Aut_Ajustes_Manuais!$I:$I,DRE!N$4,Aut_Ajustes_Manuais!$F:$F,"Investimento - Ativos AMBEV")</f>
        <v>0</v>
      </c>
      <c r="Q347" s="241">
        <v>0</v>
      </c>
      <c r="R347" s="81"/>
      <c r="S347" s="82">
        <f>SUMIFS(Aut_BlueMe_Sem_Pedido!$J:$J,Aut_BlueMe_Sem_Pedido!$Q:$Q,DRE!Q$4,Aut_BlueMe_Sem_Pedido!$H:$H,DRE!$A347)+SUMIFS(Aut_Ajustes_Manuais!$G:$G,Aut_Ajustes_Manuais!$I:$I,DRE!Q$4,Aut_Ajustes_Manuais!$F:$F,"Investimento - Ativos AMBEV")</f>
        <v>0</v>
      </c>
      <c r="T347" s="241">
        <v>0</v>
      </c>
      <c r="U347" s="81"/>
      <c r="V347" s="82">
        <f>SUMIFS(Aut_BlueMe_Sem_Pedido!$J:$J,Aut_BlueMe_Sem_Pedido!$Q:$Q,DRE!T$4,Aut_BlueMe_Sem_Pedido!$H:$H,DRE!$A347)+SUMIFS(Aut_Ajustes_Manuais!$G:$G,Aut_Ajustes_Manuais!$I:$I,DRE!T$4,Aut_Ajustes_Manuais!$F:$F,"Investimento - Ativos AMBEV")</f>
        <v>0</v>
      </c>
      <c r="W347" s="241">
        <v>0</v>
      </c>
      <c r="X347" s="81"/>
      <c r="Y347" s="82">
        <f>SUMIFS(Aut_BlueMe_Sem_Pedido!$J:$J,Aut_BlueMe_Sem_Pedido!$Q:$Q,DRE!W$4,Aut_BlueMe_Sem_Pedido!$H:$H,DRE!$A347)+SUMIFS(Aut_Ajustes_Manuais!$G:$G,Aut_Ajustes_Manuais!$I:$I,DRE!W$4,Aut_Ajustes_Manuais!$F:$F,"Investimento - Ativos AMBEV")</f>
        <v>0</v>
      </c>
      <c r="Z347" s="241">
        <v>0</v>
      </c>
      <c r="AA347" s="81"/>
      <c r="AB347" s="82">
        <f>SUMIFS(Aut_BlueMe_Sem_Pedido!$J:$J,Aut_BlueMe_Sem_Pedido!$Q:$Q,DRE!Z$4,Aut_BlueMe_Sem_Pedido!$H:$H,DRE!$A347)+SUMIFS(Aut_Ajustes_Manuais!$G:$G,Aut_Ajustes_Manuais!$I:$I,DRE!Z$4,Aut_Ajustes_Manuais!$F:$F,"Investimento - Ativos AMBEV")</f>
        <v>0</v>
      </c>
      <c r="AC347" s="241">
        <v>0</v>
      </c>
      <c r="AD347" s="81"/>
      <c r="AE347" s="82">
        <f>SUMIFS(Aut_BlueMe_Sem_Pedido!$J:$J,Aut_BlueMe_Sem_Pedido!$Q:$Q,DRE!AC$4,Aut_BlueMe_Sem_Pedido!$H:$H,DRE!$A347)+SUMIFS(Aut_Ajustes_Manuais!$G:$G,Aut_Ajustes_Manuais!$I:$I,DRE!AC$4,Aut_Ajustes_Manuais!$F:$F,"Investimento - Ativos AMBEV")</f>
        <v>0</v>
      </c>
      <c r="AF347" s="241">
        <v>0</v>
      </c>
      <c r="AG347" s="81"/>
      <c r="AH347" s="82">
        <f>SUMIFS(Aut_BlueMe_Sem_Pedido!$J:$J,Aut_BlueMe_Sem_Pedido!$Q:$Q,DRE!AF$4,Aut_BlueMe_Sem_Pedido!$H:$H,DRE!$A347)+SUMIFS(Aut_Ajustes_Manuais!$G:$G,Aut_Ajustes_Manuais!$I:$I,DRE!AF$4,Aut_Ajustes_Manuais!$F:$F,"Investimento - Ativos AMBEV")</f>
        <v>0</v>
      </c>
      <c r="AI347" s="241">
        <v>0</v>
      </c>
      <c r="AJ347" s="81"/>
      <c r="AK347" s="82">
        <f>SUMIFS(Aut_BlueMe_Sem_Pedido!$J:$J,Aut_BlueMe_Sem_Pedido!$Q:$Q,DRE!AI$4,Aut_BlueMe_Sem_Pedido!$H:$H,DRE!$A347)+SUMIFS(Aut_Ajustes_Manuais!$G:$G,Aut_Ajustes_Manuais!$I:$I,DRE!AI$4,Aut_Ajustes_Manuais!$F:$F,"Investimento - Ativos AMBEV")</f>
        <v>0</v>
      </c>
      <c r="AL347" s="241">
        <v>0</v>
      </c>
      <c r="AM347" s="81"/>
      <c r="AN347" s="82">
        <f>SUMIFS(Aut_BlueMe_Sem_Pedido!$J:$J,Aut_BlueMe_Sem_Pedido!$Q:$Q,DRE!AL$4,Aut_BlueMe_Sem_Pedido!$H:$H,DRE!$A347)+SUMIFS(Aut_Ajustes_Manuais!$G:$G,Aut_Ajustes_Manuais!$I:$I,DRE!AL$4,Aut_Ajustes_Manuais!$F:$F,"Investimento - Ativos AMBEV")</f>
        <v>0</v>
      </c>
      <c r="AO347" s="241">
        <v>0</v>
      </c>
      <c r="AP347" s="81"/>
      <c r="AQ347" s="82">
        <f>SUMIFS(Aut_BlueMe_Sem_Pedido!$J:$J,Aut_BlueMe_Sem_Pedido!$Q:$Q,DRE!AO$4,Aut_BlueMe_Sem_Pedido!$H:$H,DRE!$A347)+SUMIFS(Aut_Ajustes_Manuais!$G:$G,Aut_Ajustes_Manuais!$I:$I,DRE!AO$4,Aut_Ajustes_Manuais!$F:$F,"Investimento - Ativos AMBEV")</f>
        <v>0</v>
      </c>
      <c r="AR347" s="241">
        <f t="shared" ca="1" si="303"/>
        <v>0</v>
      </c>
      <c r="AS347" s="81">
        <f t="shared" ca="1" si="304"/>
        <v>0</v>
      </c>
      <c r="AT347" s="82">
        <f t="shared" ca="1" si="305"/>
        <v>0</v>
      </c>
      <c r="AU347" s="241">
        <f t="shared" si="306"/>
        <v>0</v>
      </c>
      <c r="AV347" s="81">
        <f t="shared" si="307"/>
        <v>0</v>
      </c>
      <c r="AW347" s="82">
        <f t="shared" si="308"/>
        <v>0</v>
      </c>
      <c r="AX347" s="241">
        <f t="shared" si="309"/>
        <v>0</v>
      </c>
      <c r="AY347" s="81">
        <f t="shared" si="310"/>
        <v>0</v>
      </c>
      <c r="AZ347" s="82">
        <f t="shared" si="311"/>
        <v>0</v>
      </c>
      <c r="BA347" s="241">
        <f t="shared" si="312"/>
        <v>0</v>
      </c>
      <c r="BB347" s="81">
        <f t="shared" si="313"/>
        <v>0</v>
      </c>
      <c r="BC347" s="82">
        <f t="shared" si="314"/>
        <v>0</v>
      </c>
      <c r="BD347" s="241">
        <f t="shared" si="315"/>
        <v>0</v>
      </c>
      <c r="BE347" s="81">
        <f t="shared" si="316"/>
        <v>0</v>
      </c>
      <c r="BF347" s="82">
        <f t="shared" si="317"/>
        <v>0</v>
      </c>
      <c r="BG347" s="241">
        <f t="shared" si="318"/>
        <v>0</v>
      </c>
      <c r="BH347" s="81">
        <f t="shared" si="319"/>
        <v>0</v>
      </c>
      <c r="BI347" s="82">
        <f t="shared" si="320"/>
        <v>0</v>
      </c>
    </row>
    <row r="348" spans="1:61" s="29" customFormat="1" hidden="1" outlineLevel="1" x14ac:dyDescent="0.3">
      <c r="A348" s="22" t="s">
        <v>362</v>
      </c>
      <c r="B348" s="59"/>
      <c r="C348" s="24" t="s">
        <v>60</v>
      </c>
      <c r="D348" s="25"/>
      <c r="E348" s="25"/>
      <c r="F348" s="63"/>
      <c r="G348" s="33"/>
      <c r="H348" s="241">
        <v>0</v>
      </c>
      <c r="I348" s="81"/>
      <c r="J348" s="82">
        <f>SUMIFS(Aut_BlueMe_Sem_Pedido!$J:$J,Aut_BlueMe_Sem_Pedido!$Q:$Q,DRE!H$4,Aut_BlueMe_Sem_Pedido!$H:$H,DRE!$A348)+SUMIFS(Aut_Ajustes_Manuais!$G:$G,Aut_Ajustes_Manuais!$I:$I,DRE!H$4,Aut_Ajustes_Manuais!$F:$F,"Investimento - Estrutura Chopp - Balcão")</f>
        <v>0</v>
      </c>
      <c r="K348" s="254">
        <v>0</v>
      </c>
      <c r="L348" s="81"/>
      <c r="M348" s="82">
        <f>SUMIFS(Aut_BlueMe_Sem_Pedido!$J:$J,Aut_BlueMe_Sem_Pedido!$Q:$Q,DRE!K$4,Aut_BlueMe_Sem_Pedido!$H:$H,DRE!$A348)+SUMIFS(Aut_Ajustes_Manuais!$G:$G,Aut_Ajustes_Manuais!$I:$I,DRE!K$4,Aut_Ajustes_Manuais!$F:$F,"Investimento - Estrutura Chopp - Balcão")</f>
        <v>0</v>
      </c>
      <c r="N348" s="254">
        <v>0</v>
      </c>
      <c r="O348" s="81"/>
      <c r="P348" s="82">
        <f>SUMIFS(Aut_BlueMe_Sem_Pedido!$J:$J,Aut_BlueMe_Sem_Pedido!$Q:$Q,DRE!N$4,Aut_BlueMe_Sem_Pedido!$H:$H,DRE!$A348)+SUMIFS(Aut_Ajustes_Manuais!$G:$G,Aut_Ajustes_Manuais!$I:$I,DRE!N$4,Aut_Ajustes_Manuais!$F:$F,"Investimento - Estrutura Chopp - Balcão")</f>
        <v>0</v>
      </c>
      <c r="Q348" s="241">
        <v>0</v>
      </c>
      <c r="R348" s="81"/>
      <c r="S348" s="82">
        <f>SUMIFS(Aut_BlueMe_Sem_Pedido!$J:$J,Aut_BlueMe_Sem_Pedido!$Q:$Q,DRE!Q$4,Aut_BlueMe_Sem_Pedido!$H:$H,DRE!$A348)+SUMIFS(Aut_Ajustes_Manuais!$G:$G,Aut_Ajustes_Manuais!$I:$I,DRE!Q$4,Aut_Ajustes_Manuais!$F:$F,"Investimento - Estrutura Chopp - Balcão")</f>
        <v>0</v>
      </c>
      <c r="T348" s="241">
        <v>0</v>
      </c>
      <c r="U348" s="81"/>
      <c r="V348" s="82">
        <f>SUMIFS(Aut_BlueMe_Sem_Pedido!$J:$J,Aut_BlueMe_Sem_Pedido!$Q:$Q,DRE!T$4,Aut_BlueMe_Sem_Pedido!$H:$H,DRE!$A348)+SUMIFS(Aut_Ajustes_Manuais!$G:$G,Aut_Ajustes_Manuais!$I:$I,DRE!T$4,Aut_Ajustes_Manuais!$F:$F,"Investimento - Estrutura Chopp - Balcão")</f>
        <v>0</v>
      </c>
      <c r="W348" s="241">
        <v>0</v>
      </c>
      <c r="X348" s="81"/>
      <c r="Y348" s="82">
        <f>SUMIFS(Aut_BlueMe_Sem_Pedido!$J:$J,Aut_BlueMe_Sem_Pedido!$Q:$Q,DRE!W$4,Aut_BlueMe_Sem_Pedido!$H:$H,DRE!$A348)+SUMIFS(Aut_Ajustes_Manuais!$G:$G,Aut_Ajustes_Manuais!$I:$I,DRE!W$4,Aut_Ajustes_Manuais!$F:$F,"Investimento - Estrutura Chopp - Balcão")</f>
        <v>0</v>
      </c>
      <c r="Z348" s="241">
        <v>0</v>
      </c>
      <c r="AA348" s="81"/>
      <c r="AB348" s="82">
        <f>SUMIFS(Aut_BlueMe_Sem_Pedido!$J:$J,Aut_BlueMe_Sem_Pedido!$Q:$Q,DRE!Z$4,Aut_BlueMe_Sem_Pedido!$H:$H,DRE!$A348)+SUMIFS(Aut_Ajustes_Manuais!$G:$G,Aut_Ajustes_Manuais!$I:$I,DRE!Z$4,Aut_Ajustes_Manuais!$F:$F,"Investimento - Estrutura Chopp - Balcão")</f>
        <v>0</v>
      </c>
      <c r="AC348" s="241">
        <v>0</v>
      </c>
      <c r="AD348" s="81"/>
      <c r="AE348" s="82">
        <f>SUMIFS(Aut_BlueMe_Sem_Pedido!$J:$J,Aut_BlueMe_Sem_Pedido!$Q:$Q,DRE!AC$4,Aut_BlueMe_Sem_Pedido!$H:$H,DRE!$A348)+SUMIFS(Aut_Ajustes_Manuais!$G:$G,Aut_Ajustes_Manuais!$I:$I,DRE!AC$4,Aut_Ajustes_Manuais!$F:$F,"Investimento - Estrutura Chopp - Balcão")</f>
        <v>0</v>
      </c>
      <c r="AF348" s="241">
        <v>0</v>
      </c>
      <c r="AG348" s="81"/>
      <c r="AH348" s="82">
        <f>SUMIFS(Aut_BlueMe_Sem_Pedido!$J:$J,Aut_BlueMe_Sem_Pedido!$Q:$Q,DRE!AF$4,Aut_BlueMe_Sem_Pedido!$H:$H,DRE!$A348)+SUMIFS(Aut_Ajustes_Manuais!$G:$G,Aut_Ajustes_Manuais!$I:$I,DRE!AF$4,Aut_Ajustes_Manuais!$F:$F,"Investimento - Estrutura Chopp - Balcão")</f>
        <v>0</v>
      </c>
      <c r="AI348" s="241">
        <v>0</v>
      </c>
      <c r="AJ348" s="81"/>
      <c r="AK348" s="82">
        <f>SUMIFS(Aut_BlueMe_Sem_Pedido!$J:$J,Aut_BlueMe_Sem_Pedido!$Q:$Q,DRE!AI$4,Aut_BlueMe_Sem_Pedido!$H:$H,DRE!$A348)+SUMIFS(Aut_Ajustes_Manuais!$G:$G,Aut_Ajustes_Manuais!$I:$I,DRE!AI$4,Aut_Ajustes_Manuais!$F:$F,"Investimento - Estrutura Chopp - Balcão")</f>
        <v>0</v>
      </c>
      <c r="AL348" s="241">
        <v>0</v>
      </c>
      <c r="AM348" s="81"/>
      <c r="AN348" s="82">
        <f>SUMIFS(Aut_BlueMe_Sem_Pedido!$J:$J,Aut_BlueMe_Sem_Pedido!$Q:$Q,DRE!AL$4,Aut_BlueMe_Sem_Pedido!$H:$H,DRE!$A348)+SUMIFS(Aut_Ajustes_Manuais!$G:$G,Aut_Ajustes_Manuais!$I:$I,DRE!AL$4,Aut_Ajustes_Manuais!$F:$F,"Investimento - Estrutura Chopp - Balcão")</f>
        <v>0</v>
      </c>
      <c r="AO348" s="241">
        <v>0</v>
      </c>
      <c r="AP348" s="81"/>
      <c r="AQ348" s="82">
        <f>SUMIFS(Aut_BlueMe_Sem_Pedido!$J:$J,Aut_BlueMe_Sem_Pedido!$Q:$Q,DRE!AO$4,Aut_BlueMe_Sem_Pedido!$H:$H,DRE!$A348)+SUMIFS(Aut_Ajustes_Manuais!$G:$G,Aut_Ajustes_Manuais!$I:$I,DRE!AO$4,Aut_Ajustes_Manuais!$F:$F,"Investimento - Estrutura Chopp - Balcão")</f>
        <v>0</v>
      </c>
      <c r="AR348" s="241">
        <f t="shared" ca="1" si="303"/>
        <v>0</v>
      </c>
      <c r="AS348" s="81">
        <f t="shared" ca="1" si="304"/>
        <v>0</v>
      </c>
      <c r="AT348" s="82">
        <f t="shared" ca="1" si="305"/>
        <v>0</v>
      </c>
      <c r="AU348" s="241">
        <f t="shared" si="306"/>
        <v>0</v>
      </c>
      <c r="AV348" s="81">
        <f t="shared" si="307"/>
        <v>0</v>
      </c>
      <c r="AW348" s="82">
        <f t="shared" si="308"/>
        <v>0</v>
      </c>
      <c r="AX348" s="241">
        <f t="shared" si="309"/>
        <v>0</v>
      </c>
      <c r="AY348" s="81">
        <f t="shared" si="310"/>
        <v>0</v>
      </c>
      <c r="AZ348" s="82">
        <f t="shared" si="311"/>
        <v>0</v>
      </c>
      <c r="BA348" s="241">
        <f t="shared" si="312"/>
        <v>0</v>
      </c>
      <c r="BB348" s="81">
        <f t="shared" si="313"/>
        <v>0</v>
      </c>
      <c r="BC348" s="82">
        <f t="shared" si="314"/>
        <v>0</v>
      </c>
      <c r="BD348" s="241">
        <f t="shared" si="315"/>
        <v>0</v>
      </c>
      <c r="BE348" s="81">
        <f t="shared" si="316"/>
        <v>0</v>
      </c>
      <c r="BF348" s="82">
        <f t="shared" si="317"/>
        <v>0</v>
      </c>
      <c r="BG348" s="241">
        <f t="shared" si="318"/>
        <v>0</v>
      </c>
      <c r="BH348" s="81">
        <f t="shared" si="319"/>
        <v>0</v>
      </c>
      <c r="BI348" s="82">
        <f t="shared" si="320"/>
        <v>0</v>
      </c>
    </row>
    <row r="349" spans="1:61" s="29" customFormat="1" hidden="1" outlineLevel="1" x14ac:dyDescent="0.3">
      <c r="A349" s="22" t="s">
        <v>363</v>
      </c>
      <c r="B349" s="59"/>
      <c r="C349" s="24" t="s">
        <v>60</v>
      </c>
      <c r="D349" s="25"/>
      <c r="E349" s="25"/>
      <c r="F349" s="63"/>
      <c r="G349" s="33"/>
      <c r="H349" s="241">
        <v>0</v>
      </c>
      <c r="I349" s="81"/>
      <c r="J349" s="82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>0</v>
      </c>
      <c r="K349" s="254">
        <v>0</v>
      </c>
      <c r="L349" s="81"/>
      <c r="M349" s="82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>0</v>
      </c>
      <c r="N349" s="254">
        <v>0</v>
      </c>
      <c r="O349" s="81"/>
      <c r="P349" s="82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>0</v>
      </c>
      <c r="Q349" s="241">
        <v>0</v>
      </c>
      <c r="R349" s="81"/>
      <c r="S349" s="82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>0</v>
      </c>
      <c r="T349" s="241">
        <v>0</v>
      </c>
      <c r="U349" s="81"/>
      <c r="V349" s="82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>0</v>
      </c>
      <c r="W349" s="241">
        <v>0</v>
      </c>
      <c r="X349" s="81"/>
      <c r="Y349" s="82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>0</v>
      </c>
      <c r="Z349" s="241">
        <v>0</v>
      </c>
      <c r="AA349" s="81"/>
      <c r="AB349" s="82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>0</v>
      </c>
      <c r="AC349" s="241">
        <v>0</v>
      </c>
      <c r="AD349" s="81"/>
      <c r="AE349" s="82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>0</v>
      </c>
      <c r="AF349" s="241">
        <v>0</v>
      </c>
      <c r="AG349" s="81"/>
      <c r="AH349" s="82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>0</v>
      </c>
      <c r="AI349" s="241">
        <v>0</v>
      </c>
      <c r="AJ349" s="81"/>
      <c r="AK349" s="82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>0</v>
      </c>
      <c r="AL349" s="241">
        <v>0</v>
      </c>
      <c r="AM349" s="81"/>
      <c r="AN349" s="82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>0</v>
      </c>
      <c r="AO349" s="241">
        <v>0</v>
      </c>
      <c r="AP349" s="81"/>
      <c r="AQ349" s="82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>0</v>
      </c>
      <c r="AR349" s="241">
        <f t="shared" ca="1" si="303"/>
        <v>0</v>
      </c>
      <c r="AS349" s="81">
        <f t="shared" ca="1" si="304"/>
        <v>0</v>
      </c>
      <c r="AT349" s="82">
        <f t="shared" ca="1" si="305"/>
        <v>0</v>
      </c>
      <c r="AU349" s="241">
        <f t="shared" si="306"/>
        <v>0</v>
      </c>
      <c r="AV349" s="81">
        <f t="shared" si="307"/>
        <v>0</v>
      </c>
      <c r="AW349" s="82">
        <f t="shared" si="308"/>
        <v>0</v>
      </c>
      <c r="AX349" s="241">
        <f t="shared" si="309"/>
        <v>0</v>
      </c>
      <c r="AY349" s="81">
        <f t="shared" si="310"/>
        <v>0</v>
      </c>
      <c r="AZ349" s="82">
        <f t="shared" si="311"/>
        <v>0</v>
      </c>
      <c r="BA349" s="241">
        <f t="shared" si="312"/>
        <v>0</v>
      </c>
      <c r="BB349" s="81">
        <f t="shared" si="313"/>
        <v>0</v>
      </c>
      <c r="BC349" s="82">
        <f t="shared" si="314"/>
        <v>0</v>
      </c>
      <c r="BD349" s="241">
        <f t="shared" si="315"/>
        <v>0</v>
      </c>
      <c r="BE349" s="81">
        <f t="shared" si="316"/>
        <v>0</v>
      </c>
      <c r="BF349" s="82">
        <f t="shared" si="317"/>
        <v>0</v>
      </c>
      <c r="BG349" s="241">
        <f t="shared" si="318"/>
        <v>0</v>
      </c>
      <c r="BH349" s="81">
        <f t="shared" si="319"/>
        <v>0</v>
      </c>
      <c r="BI349" s="82">
        <f t="shared" si="320"/>
        <v>0</v>
      </c>
    </row>
    <row r="350" spans="1:61" s="29" customFormat="1" hidden="1" outlineLevel="1" x14ac:dyDescent="0.3">
      <c r="A350" s="22" t="s">
        <v>364</v>
      </c>
      <c r="B350" s="59"/>
      <c r="C350" s="24" t="s">
        <v>60</v>
      </c>
      <c r="D350" s="25"/>
      <c r="E350" s="25"/>
      <c r="F350" s="63"/>
      <c r="G350" s="33"/>
      <c r="H350" s="241">
        <v>0</v>
      </c>
      <c r="I350" s="81"/>
      <c r="J350" s="82">
        <f>SUMIFS(Aut_BlueMe_Sem_Pedido!$J:$J,Aut_BlueMe_Sem_Pedido!$Q:$Q,DRE!H$4,Aut_BlueMe_Sem_Pedido!$H:$H,DRE!$A350)+SUMIFS(Aut_Ajustes_Manuais!$G:$G,Aut_Ajustes_Manuais!$I:$I,DRE!H$4,Aut_Ajustes_Manuais!$F:$F,"Investimento - Estrutura Chopp - Chopeira")</f>
        <v>0</v>
      </c>
      <c r="K350" s="254">
        <v>0</v>
      </c>
      <c r="L350" s="81"/>
      <c r="M350" s="82">
        <f>SUMIFS(Aut_BlueMe_Sem_Pedido!$J:$J,Aut_BlueMe_Sem_Pedido!$Q:$Q,DRE!K$4,Aut_BlueMe_Sem_Pedido!$H:$H,DRE!$A350)+SUMIFS(Aut_Ajustes_Manuais!$G:$G,Aut_Ajustes_Manuais!$I:$I,DRE!K$4,Aut_Ajustes_Manuais!$F:$F,"Investimento - Estrutura Chopp - Chopeira")</f>
        <v>0</v>
      </c>
      <c r="N350" s="254">
        <v>0</v>
      </c>
      <c r="O350" s="81"/>
      <c r="P350" s="82">
        <f>SUMIFS(Aut_BlueMe_Sem_Pedido!$J:$J,Aut_BlueMe_Sem_Pedido!$Q:$Q,DRE!N$4,Aut_BlueMe_Sem_Pedido!$H:$H,DRE!$A350)+SUMIFS(Aut_Ajustes_Manuais!$G:$G,Aut_Ajustes_Manuais!$I:$I,DRE!N$4,Aut_Ajustes_Manuais!$F:$F,"Investimento - Estrutura Chopp - Chopeira")</f>
        <v>0</v>
      </c>
      <c r="Q350" s="241">
        <v>0</v>
      </c>
      <c r="R350" s="81"/>
      <c r="S350" s="82">
        <f>SUMIFS(Aut_BlueMe_Sem_Pedido!$J:$J,Aut_BlueMe_Sem_Pedido!$Q:$Q,DRE!Q$4,Aut_BlueMe_Sem_Pedido!$H:$H,DRE!$A350)+SUMIFS(Aut_Ajustes_Manuais!$G:$G,Aut_Ajustes_Manuais!$I:$I,DRE!Q$4,Aut_Ajustes_Manuais!$F:$F,"Investimento - Estrutura Chopp - Chopeira")</f>
        <v>0</v>
      </c>
      <c r="T350" s="241">
        <v>0</v>
      </c>
      <c r="U350" s="81"/>
      <c r="V350" s="82">
        <f>SUMIFS(Aut_BlueMe_Sem_Pedido!$J:$J,Aut_BlueMe_Sem_Pedido!$Q:$Q,DRE!T$4,Aut_BlueMe_Sem_Pedido!$H:$H,DRE!$A350)+SUMIFS(Aut_Ajustes_Manuais!$G:$G,Aut_Ajustes_Manuais!$I:$I,DRE!T$4,Aut_Ajustes_Manuais!$F:$F,"Investimento - Estrutura Chopp - Chopeira")</f>
        <v>0</v>
      </c>
      <c r="W350" s="241">
        <v>0</v>
      </c>
      <c r="X350" s="81"/>
      <c r="Y350" s="82">
        <f>SUMIFS(Aut_BlueMe_Sem_Pedido!$J:$J,Aut_BlueMe_Sem_Pedido!$Q:$Q,DRE!W$4,Aut_BlueMe_Sem_Pedido!$H:$H,DRE!$A350)+SUMIFS(Aut_Ajustes_Manuais!$G:$G,Aut_Ajustes_Manuais!$I:$I,DRE!W$4,Aut_Ajustes_Manuais!$F:$F,"Investimento - Estrutura Chopp - Chopeira")</f>
        <v>0</v>
      </c>
      <c r="Z350" s="241">
        <v>0</v>
      </c>
      <c r="AA350" s="81"/>
      <c r="AB350" s="82">
        <f>SUMIFS(Aut_BlueMe_Sem_Pedido!$J:$J,Aut_BlueMe_Sem_Pedido!$Q:$Q,DRE!Z$4,Aut_BlueMe_Sem_Pedido!$H:$H,DRE!$A350)+SUMIFS(Aut_Ajustes_Manuais!$G:$G,Aut_Ajustes_Manuais!$I:$I,DRE!Z$4,Aut_Ajustes_Manuais!$F:$F,"Investimento - Estrutura Chopp - Chopeira")</f>
        <v>0</v>
      </c>
      <c r="AC350" s="241">
        <v>0</v>
      </c>
      <c r="AD350" s="81"/>
      <c r="AE350" s="82">
        <f>SUMIFS(Aut_BlueMe_Sem_Pedido!$J:$J,Aut_BlueMe_Sem_Pedido!$Q:$Q,DRE!AC$4,Aut_BlueMe_Sem_Pedido!$H:$H,DRE!$A350)+SUMIFS(Aut_Ajustes_Manuais!$G:$G,Aut_Ajustes_Manuais!$I:$I,DRE!AC$4,Aut_Ajustes_Manuais!$F:$F,"Investimento - Estrutura Chopp - Chopeira")</f>
        <v>0</v>
      </c>
      <c r="AF350" s="241">
        <v>0</v>
      </c>
      <c r="AG350" s="81"/>
      <c r="AH350" s="82">
        <f>SUMIFS(Aut_BlueMe_Sem_Pedido!$J:$J,Aut_BlueMe_Sem_Pedido!$Q:$Q,DRE!AF$4,Aut_BlueMe_Sem_Pedido!$H:$H,DRE!$A350)+SUMIFS(Aut_Ajustes_Manuais!$G:$G,Aut_Ajustes_Manuais!$I:$I,DRE!AF$4,Aut_Ajustes_Manuais!$F:$F,"Investimento - Estrutura Chopp - Chopeira")</f>
        <v>0</v>
      </c>
      <c r="AI350" s="241">
        <v>0</v>
      </c>
      <c r="AJ350" s="81"/>
      <c r="AK350" s="82">
        <f>SUMIFS(Aut_BlueMe_Sem_Pedido!$J:$J,Aut_BlueMe_Sem_Pedido!$Q:$Q,DRE!AI$4,Aut_BlueMe_Sem_Pedido!$H:$H,DRE!$A350)+SUMIFS(Aut_Ajustes_Manuais!$G:$G,Aut_Ajustes_Manuais!$I:$I,DRE!AI$4,Aut_Ajustes_Manuais!$F:$F,"Investimento - Estrutura Chopp - Chopeira")</f>
        <v>0</v>
      </c>
      <c r="AL350" s="241">
        <v>0</v>
      </c>
      <c r="AM350" s="81"/>
      <c r="AN350" s="82">
        <f>SUMIFS(Aut_BlueMe_Sem_Pedido!$J:$J,Aut_BlueMe_Sem_Pedido!$Q:$Q,DRE!AL$4,Aut_BlueMe_Sem_Pedido!$H:$H,DRE!$A350)+SUMIFS(Aut_Ajustes_Manuais!$G:$G,Aut_Ajustes_Manuais!$I:$I,DRE!AL$4,Aut_Ajustes_Manuais!$F:$F,"Investimento - Estrutura Chopp - Chopeira")</f>
        <v>0</v>
      </c>
      <c r="AO350" s="241">
        <v>0</v>
      </c>
      <c r="AP350" s="81"/>
      <c r="AQ350" s="82">
        <f>SUMIFS(Aut_BlueMe_Sem_Pedido!$J:$J,Aut_BlueMe_Sem_Pedido!$Q:$Q,DRE!AO$4,Aut_BlueMe_Sem_Pedido!$H:$H,DRE!$A350)+SUMIFS(Aut_Ajustes_Manuais!$G:$G,Aut_Ajustes_Manuais!$I:$I,DRE!AO$4,Aut_Ajustes_Manuais!$F:$F,"Investimento - Estrutura Chopp - Chopeira")</f>
        <v>0</v>
      </c>
      <c r="AR350" s="241">
        <f t="shared" ca="1" si="303"/>
        <v>0</v>
      </c>
      <c r="AS350" s="81">
        <f t="shared" ca="1" si="304"/>
        <v>0</v>
      </c>
      <c r="AT350" s="82">
        <f t="shared" ca="1" si="305"/>
        <v>0</v>
      </c>
      <c r="AU350" s="241">
        <f t="shared" si="306"/>
        <v>0</v>
      </c>
      <c r="AV350" s="81">
        <f t="shared" si="307"/>
        <v>0</v>
      </c>
      <c r="AW350" s="82">
        <f t="shared" si="308"/>
        <v>0</v>
      </c>
      <c r="AX350" s="241">
        <f t="shared" si="309"/>
        <v>0</v>
      </c>
      <c r="AY350" s="81">
        <f t="shared" si="310"/>
        <v>0</v>
      </c>
      <c r="AZ350" s="82">
        <f t="shared" si="311"/>
        <v>0</v>
      </c>
      <c r="BA350" s="241">
        <f t="shared" si="312"/>
        <v>0</v>
      </c>
      <c r="BB350" s="81">
        <f t="shared" si="313"/>
        <v>0</v>
      </c>
      <c r="BC350" s="82">
        <f t="shared" si="314"/>
        <v>0</v>
      </c>
      <c r="BD350" s="241">
        <f t="shared" si="315"/>
        <v>0</v>
      </c>
      <c r="BE350" s="81">
        <f t="shared" si="316"/>
        <v>0</v>
      </c>
      <c r="BF350" s="82">
        <f t="shared" si="317"/>
        <v>0</v>
      </c>
      <c r="BG350" s="241">
        <f t="shared" si="318"/>
        <v>0</v>
      </c>
      <c r="BH350" s="81">
        <f t="shared" si="319"/>
        <v>0</v>
      </c>
      <c r="BI350" s="82">
        <f t="shared" si="320"/>
        <v>0</v>
      </c>
    </row>
    <row r="351" spans="1:61" s="29" customFormat="1" hidden="1" outlineLevel="1" x14ac:dyDescent="0.3">
      <c r="A351" s="22"/>
      <c r="B351" s="59"/>
      <c r="C351" s="24" t="s">
        <v>60</v>
      </c>
      <c r="D351" s="25"/>
      <c r="E351" s="25"/>
      <c r="F351" s="63"/>
      <c r="G351" s="33"/>
      <c r="H351" s="254">
        <v>0</v>
      </c>
      <c r="I351" s="81"/>
      <c r="J351" s="82">
        <f>SUMIFS(Aut_BlueMe_Sem_Pedido!$J:$J,Aut_BlueMe_Sem_Pedido!$Q:$Q,DRE!H$4,Aut_BlueMe_Sem_Pedido!$H:$H,DRE!$A351)</f>
        <v>0</v>
      </c>
      <c r="K351" s="254">
        <v>0</v>
      </c>
      <c r="L351" s="81"/>
      <c r="M351" s="82">
        <f>SUMIFS(Aut_BlueMe_Sem_Pedido!$J:$J,Aut_BlueMe_Sem_Pedido!$Q:$Q,DRE!K$4,Aut_BlueMe_Sem_Pedido!$H:$H,DRE!$A351)</f>
        <v>0</v>
      </c>
      <c r="N351" s="254">
        <v>0</v>
      </c>
      <c r="O351" s="81"/>
      <c r="P351" s="82">
        <f>SUMIFS(Aut_BlueMe_Sem_Pedido!$J:$J,Aut_BlueMe_Sem_Pedido!$Q:$Q,DRE!N$4,Aut_BlueMe_Sem_Pedido!$H:$H,DRE!$A351)</f>
        <v>0</v>
      </c>
      <c r="Q351" s="254">
        <v>0</v>
      </c>
      <c r="R351" s="81"/>
      <c r="S351" s="82">
        <f>SUMIFS(Aut_BlueMe_Sem_Pedido!$J:$J,Aut_BlueMe_Sem_Pedido!$Q:$Q,DRE!Q$4,Aut_BlueMe_Sem_Pedido!$H:$H,DRE!$A351)</f>
        <v>0</v>
      </c>
      <c r="T351" s="254">
        <v>0</v>
      </c>
      <c r="U351" s="81"/>
      <c r="V351" s="82">
        <f>SUMIFS(Aut_BlueMe_Sem_Pedido!$J:$J,Aut_BlueMe_Sem_Pedido!$Q:$Q,DRE!T$4,Aut_BlueMe_Sem_Pedido!$H:$H,DRE!$A351)</f>
        <v>0</v>
      </c>
      <c r="W351" s="254">
        <v>0</v>
      </c>
      <c r="X351" s="81"/>
      <c r="Y351" s="82">
        <f>SUMIFS(Aut_BlueMe_Sem_Pedido!$J:$J,Aut_BlueMe_Sem_Pedido!$Q:$Q,DRE!W$4,Aut_BlueMe_Sem_Pedido!$H:$H,DRE!$A351)</f>
        <v>0</v>
      </c>
      <c r="Z351" s="254">
        <v>0</v>
      </c>
      <c r="AA351" s="81"/>
      <c r="AB351" s="82">
        <f>SUMIFS(Aut_BlueMe_Sem_Pedido!$J:$J,Aut_BlueMe_Sem_Pedido!$Q:$Q,DRE!Z$4,Aut_BlueMe_Sem_Pedido!$H:$H,DRE!$A351)</f>
        <v>0</v>
      </c>
      <c r="AC351" s="254">
        <v>0</v>
      </c>
      <c r="AD351" s="81"/>
      <c r="AE351" s="82">
        <f>SUMIFS(Aut_BlueMe_Sem_Pedido!$J:$J,Aut_BlueMe_Sem_Pedido!$Q:$Q,DRE!AC$4,Aut_BlueMe_Sem_Pedido!$H:$H,DRE!$A351)</f>
        <v>0</v>
      </c>
      <c r="AF351" s="254">
        <v>0</v>
      </c>
      <c r="AG351" s="81"/>
      <c r="AH351" s="82">
        <f>SUMIFS(Aut_BlueMe_Sem_Pedido!$J:$J,Aut_BlueMe_Sem_Pedido!$Q:$Q,DRE!AF$4,Aut_BlueMe_Sem_Pedido!$H:$H,DRE!$A351)</f>
        <v>0</v>
      </c>
      <c r="AI351" s="254">
        <v>0</v>
      </c>
      <c r="AJ351" s="81"/>
      <c r="AK351" s="82">
        <f>SUMIFS(Aut_BlueMe_Sem_Pedido!$J:$J,Aut_BlueMe_Sem_Pedido!$Q:$Q,DRE!AI$4,Aut_BlueMe_Sem_Pedido!$H:$H,DRE!$A351)</f>
        <v>0</v>
      </c>
      <c r="AL351" s="254">
        <v>0</v>
      </c>
      <c r="AM351" s="81"/>
      <c r="AN351" s="82">
        <f>SUMIFS(Aut_BlueMe_Sem_Pedido!$J:$J,Aut_BlueMe_Sem_Pedido!$Q:$Q,DRE!AL$4,Aut_BlueMe_Sem_Pedido!$H:$H,DRE!$A351)</f>
        <v>0</v>
      </c>
      <c r="AO351" s="254">
        <v>0</v>
      </c>
      <c r="AP351" s="81"/>
      <c r="AQ351" s="82">
        <f>SUMIFS(Aut_BlueMe_Sem_Pedido!$J:$J,Aut_BlueMe_Sem_Pedido!$Q:$Q,DRE!AO$4,Aut_BlueMe_Sem_Pedido!$H:$H,DRE!$A351)</f>
        <v>0</v>
      </c>
      <c r="AR351" s="241">
        <f t="shared" ca="1" si="303"/>
        <v>0</v>
      </c>
      <c r="AS351" s="81">
        <f t="shared" ca="1" si="304"/>
        <v>0</v>
      </c>
      <c r="AT351" s="82">
        <f t="shared" ca="1" si="305"/>
        <v>0</v>
      </c>
      <c r="AU351" s="254">
        <f t="shared" si="306"/>
        <v>0</v>
      </c>
      <c r="AV351" s="81">
        <f t="shared" si="307"/>
        <v>0</v>
      </c>
      <c r="AW351" s="82">
        <f t="shared" si="308"/>
        <v>0</v>
      </c>
      <c r="AX351" s="254">
        <f t="shared" si="309"/>
        <v>0</v>
      </c>
      <c r="AY351" s="81">
        <f t="shared" si="310"/>
        <v>0</v>
      </c>
      <c r="AZ351" s="82">
        <f t="shared" si="311"/>
        <v>0</v>
      </c>
      <c r="BA351" s="254">
        <f t="shared" si="312"/>
        <v>0</v>
      </c>
      <c r="BB351" s="81">
        <f t="shared" si="313"/>
        <v>0</v>
      </c>
      <c r="BC351" s="82">
        <f t="shared" si="314"/>
        <v>0</v>
      </c>
      <c r="BD351" s="254">
        <f t="shared" si="315"/>
        <v>0</v>
      </c>
      <c r="BE351" s="81">
        <f t="shared" si="316"/>
        <v>0</v>
      </c>
      <c r="BF351" s="82">
        <f t="shared" si="317"/>
        <v>0</v>
      </c>
      <c r="BG351" s="254">
        <f t="shared" si="318"/>
        <v>0</v>
      </c>
      <c r="BH351" s="81">
        <f t="shared" si="319"/>
        <v>0</v>
      </c>
      <c r="BI351" s="82">
        <f t="shared" si="320"/>
        <v>0</v>
      </c>
    </row>
    <row r="352" spans="1:61" collapsed="1" x14ac:dyDescent="0.3">
      <c r="A352" s="18"/>
      <c r="E352" s="16"/>
      <c r="F352" s="17"/>
      <c r="G352" s="47"/>
      <c r="H352" s="249"/>
      <c r="I352" s="66"/>
      <c r="J352" s="250"/>
      <c r="K352" s="249"/>
      <c r="L352" s="66"/>
      <c r="M352" s="250"/>
      <c r="N352" s="249"/>
      <c r="O352" s="66"/>
      <c r="P352" s="250"/>
      <c r="Q352" s="249"/>
      <c r="R352" s="66"/>
      <c r="S352" s="250"/>
      <c r="T352" s="249"/>
      <c r="U352" s="66"/>
      <c r="V352" s="250"/>
      <c r="W352" s="249"/>
      <c r="X352" s="66"/>
      <c r="Y352" s="250"/>
      <c r="Z352" s="249"/>
      <c r="AA352" s="66"/>
      <c r="AB352" s="250"/>
      <c r="AC352" s="249"/>
      <c r="AD352" s="66"/>
      <c r="AE352" s="250"/>
      <c r="AF352" s="249"/>
      <c r="AG352" s="66"/>
      <c r="AH352" s="250"/>
      <c r="AI352" s="249"/>
      <c r="AJ352" s="66"/>
      <c r="AK352" s="250"/>
      <c r="AL352" s="249"/>
      <c r="AM352" s="66"/>
      <c r="AN352" s="250"/>
      <c r="AO352" s="249"/>
      <c r="AP352" s="66"/>
      <c r="AQ352" s="250"/>
      <c r="AR352" s="249"/>
      <c r="AS352" s="66"/>
      <c r="AT352" s="250"/>
      <c r="AU352" s="249"/>
      <c r="AV352" s="66"/>
      <c r="AW352" s="250"/>
      <c r="AX352" s="249"/>
      <c r="AY352" s="66"/>
      <c r="AZ352" s="250"/>
      <c r="BA352" s="249"/>
      <c r="BB352" s="66"/>
      <c r="BC352" s="250"/>
      <c r="BD352" s="249"/>
      <c r="BE352" s="66"/>
      <c r="BF352" s="250"/>
      <c r="BG352" s="249"/>
      <c r="BH352" s="66"/>
      <c r="BI352" s="250"/>
    </row>
    <row r="353" spans="1:61" x14ac:dyDescent="0.3">
      <c r="A353" s="39" t="s">
        <v>365</v>
      </c>
      <c r="B353" s="59"/>
      <c r="C353" s="40" t="s">
        <v>340</v>
      </c>
      <c r="D353" s="40" t="s">
        <v>341</v>
      </c>
      <c r="E353" s="40" t="s">
        <v>202</v>
      </c>
      <c r="F353" s="63"/>
      <c r="G353" s="47"/>
      <c r="H353" s="244">
        <v>-1168.49</v>
      </c>
      <c r="I353" s="42">
        <v>-1520.61</v>
      </c>
      <c r="J353" s="43">
        <f>SUM(J354:J360)+SUMIFS(Aut_Ajustes_Manuais!$G:$G,Aut_Ajustes_Manuais!$I:$I,DRE!H$4,Aut_Ajustes_Manuais!$F:$F,"(+/-) Outras variações no fluxo de caixa")</f>
        <v>-1833.34</v>
      </c>
      <c r="K353" s="244">
        <v>-4153.22</v>
      </c>
      <c r="L353" s="42">
        <v>-1520.61</v>
      </c>
      <c r="M353" s="43">
        <f>SUM(M354:M360)+SUMIFS(Aut_Ajustes_Manuais!$G:$G,Aut_Ajustes_Manuais!$I:$I,DRE!K$4,Aut_Ajustes_Manuais!$F:$F,"(+/-) Outras variações no fluxo de caixa")</f>
        <v>-1833.34</v>
      </c>
      <c r="N353" s="244">
        <v>-5360.3</v>
      </c>
      <c r="O353" s="42">
        <v>-1520.61</v>
      </c>
      <c r="P353" s="43">
        <f>SUM(P354:P360)+SUMIFS(Aut_Ajustes_Manuais!$G:$G,Aut_Ajustes_Manuais!$I:$I,DRE!N$4,Aut_Ajustes_Manuais!$F:$F,"(+/-) Outras variações no fluxo de caixa")</f>
        <v>-1833.34</v>
      </c>
      <c r="Q353" s="244">
        <v>-9963.9</v>
      </c>
      <c r="R353" s="42">
        <v>-8120.61</v>
      </c>
      <c r="S353" s="43">
        <f>SUM(S354:S360)+SUMIFS(Aut_Ajustes_Manuais!$G:$G,Aut_Ajustes_Manuais!$I:$I,DRE!Q$4,Aut_Ajustes_Manuais!$F:$F,"(+/-) Outras variações no fluxo de caixa")</f>
        <v>-1833.34</v>
      </c>
      <c r="T353" s="244">
        <v>-7200</v>
      </c>
      <c r="U353" s="42">
        <v>-1520.61</v>
      </c>
      <c r="V353" s="43">
        <f>SUM(V354:V360)+SUMIFS(Aut_Ajustes_Manuais!$G:$G,Aut_Ajustes_Manuais!$I:$I,DRE!T$4,Aut_Ajustes_Manuais!$F:$F,"(+/-) Outras variações no fluxo de caixa")</f>
        <v>-11769.460000000001</v>
      </c>
      <c r="W353" s="244">
        <v>-15500</v>
      </c>
      <c r="X353" s="42">
        <v>-1520.61</v>
      </c>
      <c r="Y353" s="43">
        <f>SUM(Y354:Y360)+SUMIFS(Aut_Ajustes_Manuais!$G:$G,Aut_Ajustes_Manuais!$I:$I,DRE!W$4,Aut_Ajustes_Manuais!$F:$F,"(+/-) Outras variações no fluxo de caixa")</f>
        <v>-17448.41</v>
      </c>
      <c r="Z353" s="244">
        <v>-13000</v>
      </c>
      <c r="AA353" s="42">
        <v>-8120.61</v>
      </c>
      <c r="AB353" s="43">
        <f>SUM(AB354:AB360)+SUMIFS(Aut_Ajustes_Manuais!$G:$G,Aut_Ajustes_Manuais!$I:$I,DRE!Z$4,Aut_Ajustes_Manuais!$F:$F,"(+/-) Outras variações no fluxo de caixa")</f>
        <v>0</v>
      </c>
      <c r="AC353" s="244">
        <v>-13000</v>
      </c>
      <c r="AD353" s="42">
        <v>-1520.61</v>
      </c>
      <c r="AE353" s="43">
        <f>SUM(AE354:AE360)+SUMIFS(Aut_Ajustes_Manuais!$G:$G,Aut_Ajustes_Manuais!$I:$I,DRE!AC$4,Aut_Ajustes_Manuais!$F:$F,"(+/-) Outras variações no fluxo de caixa")</f>
        <v>0</v>
      </c>
      <c r="AF353" s="244">
        <v>-14833.34</v>
      </c>
      <c r="AG353" s="42">
        <v>-1520.61</v>
      </c>
      <c r="AH353" s="43">
        <f>SUM(AH354:AH360)+SUMIFS(Aut_Ajustes_Manuais!$G:$G,Aut_Ajustes_Manuais!$I:$I,DRE!AF$4,Aut_Ajustes_Manuais!$F:$F,"(+/-) Outras variações no fluxo de caixa")</f>
        <v>0</v>
      </c>
      <c r="AI353" s="244">
        <v>-5833.34</v>
      </c>
      <c r="AJ353" s="42">
        <v>-8120.61</v>
      </c>
      <c r="AK353" s="43">
        <f>SUM(AK354:AK360)+SUMIFS(Aut_Ajustes_Manuais!$G:$G,Aut_Ajustes_Manuais!$I:$I,DRE!AI$4,Aut_Ajustes_Manuais!$F:$F,"(+/-) Outras variações no fluxo de caixa")</f>
        <v>0</v>
      </c>
      <c r="AL353" s="244">
        <v>-9793.34</v>
      </c>
      <c r="AM353" s="42">
        <v>-1520.61</v>
      </c>
      <c r="AN353" s="43">
        <f>SUM(AN354:AN360)+SUMIFS(Aut_Ajustes_Manuais!$G:$G,Aut_Ajustes_Manuais!$I:$I,DRE!AL$4,Aut_Ajustes_Manuais!$F:$F,"(+/-) Outras variações no fluxo de caixa")</f>
        <v>0</v>
      </c>
      <c r="AO353" s="244">
        <v>-1833.34</v>
      </c>
      <c r="AP353" s="42">
        <v>-1520.61</v>
      </c>
      <c r="AQ353" s="43">
        <f>SUM(AQ354:AQ360)+SUMIFS(Aut_Ajustes_Manuais!$G:$G,Aut_Ajustes_Manuais!$I:$I,DRE!AO$4,Aut_Ajustes_Manuais!$F:$F,"(+/-) Outras variações no fluxo de caixa")</f>
        <v>0</v>
      </c>
      <c r="AR353" s="244">
        <f t="shared" ref="AR353:BI353" ca="1" si="321">SUM(AR354:AR360)</f>
        <v>-43345.91</v>
      </c>
      <c r="AS353" s="42">
        <f t="shared" ca="1" si="321"/>
        <v>-15723.66</v>
      </c>
      <c r="AT353" s="43">
        <f t="shared" ca="1" si="321"/>
        <v>-36551.230000000003</v>
      </c>
      <c r="AU353" s="244">
        <f t="shared" si="321"/>
        <v>-101639.26999999999</v>
      </c>
      <c r="AV353" s="42">
        <f t="shared" si="321"/>
        <v>-38047.320000000007</v>
      </c>
      <c r="AW353" s="43">
        <f t="shared" si="321"/>
        <v>-36551.230000000003</v>
      </c>
      <c r="AX353" s="244">
        <f t="shared" si="321"/>
        <v>-10682.01</v>
      </c>
      <c r="AY353" s="42">
        <f t="shared" si="321"/>
        <v>-4561.83</v>
      </c>
      <c r="AZ353" s="43">
        <f t="shared" si="321"/>
        <v>-5500.0199999999995</v>
      </c>
      <c r="BA353" s="244">
        <f t="shared" si="321"/>
        <v>-32663.9</v>
      </c>
      <c r="BB353" s="42">
        <f t="shared" si="321"/>
        <v>-11161.83</v>
      </c>
      <c r="BC353" s="43">
        <f t="shared" si="321"/>
        <v>-31051.210000000003</v>
      </c>
      <c r="BD353" s="244">
        <f t="shared" si="321"/>
        <v>-40833.339999999997</v>
      </c>
      <c r="BE353" s="42">
        <f t="shared" si="321"/>
        <v>-11161.83</v>
      </c>
      <c r="BF353" s="43">
        <f t="shared" si="321"/>
        <v>0</v>
      </c>
      <c r="BG353" s="244">
        <f t="shared" si="321"/>
        <v>-17460.02</v>
      </c>
      <c r="BH353" s="42">
        <f t="shared" si="321"/>
        <v>-11161.83</v>
      </c>
      <c r="BI353" s="43">
        <f t="shared" si="321"/>
        <v>0</v>
      </c>
    </row>
    <row r="354" spans="1:61" s="29" customFormat="1" hidden="1" outlineLevel="1" x14ac:dyDescent="0.3">
      <c r="A354" s="22" t="s">
        <v>366</v>
      </c>
      <c r="B354" s="59"/>
      <c r="C354" s="24" t="s">
        <v>60</v>
      </c>
      <c r="D354" s="25"/>
      <c r="E354" s="25"/>
      <c r="F354" s="63"/>
      <c r="G354" s="33"/>
      <c r="H354" s="241">
        <v>0</v>
      </c>
      <c r="I354" s="27"/>
      <c r="J354" s="28">
        <f>SUMIFS(Aut_BlueMe_Sem_Pedido!$J:$J,Aut_BlueMe_Sem_Pedido!$Q:$Q,DRE!H$4,Aut_BlueMe_Sem_Pedido!$H:$H,DRE!$A354)+SUMIFS(Aut_Ajustes_Manuais!$G:$G,Aut_Ajustes_Manuais!$I:$I,DRE!H$4,Aut_Ajustes_Manuais!$F:$F,"Remuneração Variável")</f>
        <v>0</v>
      </c>
      <c r="K354" s="241">
        <v>0</v>
      </c>
      <c r="L354" s="27"/>
      <c r="M354" s="28">
        <f>SUMIFS(Aut_BlueMe_Sem_Pedido!$J:$J,Aut_BlueMe_Sem_Pedido!$Q:$Q,DRE!K$4,Aut_BlueMe_Sem_Pedido!$H:$H,DRE!$A354)+SUMIFS(Aut_Ajustes_Manuais!$G:$G,Aut_Ajustes_Manuais!$I:$I,DRE!K$4,Aut_Ajustes_Manuais!$F:$F,"Remuneração Variável")</f>
        <v>0</v>
      </c>
      <c r="N354" s="241">
        <v>0</v>
      </c>
      <c r="O354" s="27"/>
      <c r="P354" s="28">
        <f>SUMIFS(Aut_BlueMe_Sem_Pedido!$J:$J,Aut_BlueMe_Sem_Pedido!$Q:$Q,DRE!N$4,Aut_BlueMe_Sem_Pedido!$H:$H,DRE!$A354)+SUMIFS(Aut_Ajustes_Manuais!$G:$G,Aut_Ajustes_Manuais!$I:$I,DRE!N$4,Aut_Ajustes_Manuais!$F:$F,"Remuneração Variável")</f>
        <v>0</v>
      </c>
      <c r="Q354" s="241">
        <v>0</v>
      </c>
      <c r="R354" s="27">
        <v>-6600</v>
      </c>
      <c r="S354" s="28">
        <f>SUMIFS(Aut_BlueMe_Sem_Pedido!$J:$J,Aut_BlueMe_Sem_Pedido!$Q:$Q,DRE!Q$4,Aut_BlueMe_Sem_Pedido!$H:$H,DRE!$A354)+SUMIFS(Aut_Ajustes_Manuais!$G:$G,Aut_Ajustes_Manuais!$I:$I,DRE!Q$4,Aut_Ajustes_Manuais!$F:$F,"Remuneração Variável")</f>
        <v>0</v>
      </c>
      <c r="T354" s="241">
        <v>0</v>
      </c>
      <c r="U354" s="27"/>
      <c r="V354" s="28">
        <f>SUMIFS(Aut_BlueMe_Sem_Pedido!$J:$J,Aut_BlueMe_Sem_Pedido!$Q:$Q,DRE!T$4,Aut_BlueMe_Sem_Pedido!$H:$H,DRE!$A354)+SUMIFS(Aut_Ajustes_Manuais!$G:$G,Aut_Ajustes_Manuais!$I:$I,DRE!T$4,Aut_Ajustes_Manuais!$F:$F,"Remuneração Variável")</f>
        <v>-9936.1200000000008</v>
      </c>
      <c r="W354" s="241">
        <v>0</v>
      </c>
      <c r="X354" s="27"/>
      <c r="Y354" s="28">
        <f>SUMIFS(Aut_BlueMe_Sem_Pedido!$J:$J,Aut_BlueMe_Sem_Pedido!$Q:$Q,DRE!W$4,Aut_BlueMe_Sem_Pedido!$H:$H,DRE!$A354)+SUMIFS(Aut_Ajustes_Manuais!$G:$G,Aut_Ajustes_Manuais!$I:$I,DRE!W$4,Aut_Ajustes_Manuais!$F:$F,"Remuneração Variável")</f>
        <v>-9936.1200000000008</v>
      </c>
      <c r="Z354" s="241">
        <v>0</v>
      </c>
      <c r="AA354" s="27">
        <v>-6600</v>
      </c>
      <c r="AB354" s="28">
        <f>SUMIFS(Aut_BlueMe_Sem_Pedido!$J:$J,Aut_BlueMe_Sem_Pedido!$Q:$Q,DRE!Z$4,Aut_BlueMe_Sem_Pedido!$H:$H,DRE!$A354)+SUMIFS(Aut_Ajustes_Manuais!$G:$G,Aut_Ajustes_Manuais!$I:$I,DRE!Z$4,Aut_Ajustes_Manuais!$F:$F,"Remuneração Variável")</f>
        <v>0</v>
      </c>
      <c r="AC354" s="241">
        <v>0</v>
      </c>
      <c r="AD354" s="27"/>
      <c r="AE354" s="28">
        <f>SUMIFS(Aut_BlueMe_Sem_Pedido!$J:$J,Aut_BlueMe_Sem_Pedido!$Q:$Q,DRE!AC$4,Aut_BlueMe_Sem_Pedido!$H:$H,DRE!$A354)+SUMIFS(Aut_Ajustes_Manuais!$G:$G,Aut_Ajustes_Manuais!$I:$I,DRE!AC$4,Aut_Ajustes_Manuais!$F:$F,"Remuneração Variável")</f>
        <v>0</v>
      </c>
      <c r="AF354" s="241">
        <v>0</v>
      </c>
      <c r="AG354" s="27"/>
      <c r="AH354" s="28">
        <f>SUMIFS(Aut_BlueMe_Sem_Pedido!$J:$J,Aut_BlueMe_Sem_Pedido!$Q:$Q,DRE!AF$4,Aut_BlueMe_Sem_Pedido!$H:$H,DRE!$A354)+SUMIFS(Aut_Ajustes_Manuais!$G:$G,Aut_Ajustes_Manuais!$I:$I,DRE!AF$4,Aut_Ajustes_Manuais!$F:$F,"Remuneração Variável")</f>
        <v>0</v>
      </c>
      <c r="AI354" s="241">
        <v>0</v>
      </c>
      <c r="AJ354" s="27">
        <v>-6600</v>
      </c>
      <c r="AK354" s="28">
        <f>SUMIFS(Aut_BlueMe_Sem_Pedido!$J:$J,Aut_BlueMe_Sem_Pedido!$Q:$Q,DRE!AI$4,Aut_BlueMe_Sem_Pedido!$H:$H,DRE!$A354)+SUMIFS(Aut_Ajustes_Manuais!$G:$G,Aut_Ajustes_Manuais!$I:$I,DRE!AI$4,Aut_Ajustes_Manuais!$F:$F,"Remuneração Variável")</f>
        <v>0</v>
      </c>
      <c r="AL354" s="241">
        <v>-3960</v>
      </c>
      <c r="AM354" s="27"/>
      <c r="AN354" s="28">
        <f>SUMIFS(Aut_BlueMe_Sem_Pedido!$J:$J,Aut_BlueMe_Sem_Pedido!$Q:$Q,DRE!AL$4,Aut_BlueMe_Sem_Pedido!$H:$H,DRE!$A354)+SUMIFS(Aut_Ajustes_Manuais!$G:$G,Aut_Ajustes_Manuais!$I:$I,DRE!AL$4,Aut_Ajustes_Manuais!$F:$F,"Remuneração Variável")</f>
        <v>0</v>
      </c>
      <c r="AO354" s="241">
        <v>0</v>
      </c>
      <c r="AP354" s="27"/>
      <c r="AQ354" s="28">
        <f>SUMIFS(Aut_BlueMe_Sem_Pedido!$J:$J,Aut_BlueMe_Sem_Pedido!$Q:$Q,DRE!AO$4,Aut_BlueMe_Sem_Pedido!$H:$H,DRE!$A354)+SUMIFS(Aut_Ajustes_Manuais!$G:$G,Aut_Ajustes_Manuais!$I:$I,DRE!AO$4,Aut_Ajustes_Manuais!$F:$F,"Remuneração Variável")</f>
        <v>0</v>
      </c>
      <c r="AR354" s="241">
        <f t="shared" ref="AR354:AR361" ca="1" si="322">SUMIFS($H354:$AO354,$H$5:$AO$5,"&lt;"&amp;MONTH(TODAY()),$H$6:$AO$6,"REAL 25")</f>
        <v>0</v>
      </c>
      <c r="AS354" s="27">
        <f t="shared" ref="AS354:AS361" ca="1" si="323">SUMIFS($I354:$AP354,$I$5:$AP$5,"&lt;"&amp;MONTH(TODAY()),$I$6:$AP$6,"ORÇADO ")</f>
        <v>-6600</v>
      </c>
      <c r="AT354" s="28">
        <f t="shared" ref="AT354:AT361" ca="1" si="324">SUMIFS($J354:$AQ354,$J$5:$AQ$5,"&lt;"&amp;MONTH(TODAY()),$J$6:$AQ$6,"REAL 26")</f>
        <v>-19872.240000000002</v>
      </c>
      <c r="AU354" s="241">
        <f t="shared" ref="AU354:AW361" si="325">SUM(H354,K354,N354,Q354,T354,W354,Z354,AC354,AF354,AI354,AL354,AO354)</f>
        <v>-3960</v>
      </c>
      <c r="AV354" s="27">
        <f t="shared" si="325"/>
        <v>-19800</v>
      </c>
      <c r="AW354" s="28">
        <f t="shared" si="325"/>
        <v>-19872.240000000002</v>
      </c>
      <c r="AX354" s="241">
        <f t="shared" ref="AX354:AZ361" si="326">SUM(H354,K354,N354)</f>
        <v>0</v>
      </c>
      <c r="AY354" s="27">
        <f t="shared" si="326"/>
        <v>0</v>
      </c>
      <c r="AZ354" s="28">
        <f t="shared" si="326"/>
        <v>0</v>
      </c>
      <c r="BA354" s="241">
        <f t="shared" ref="BA354:BC361" si="327">SUM(Q354,T354,W354)</f>
        <v>0</v>
      </c>
      <c r="BB354" s="27">
        <f t="shared" si="327"/>
        <v>-6600</v>
      </c>
      <c r="BC354" s="28">
        <f t="shared" si="327"/>
        <v>-19872.240000000002</v>
      </c>
      <c r="BD354" s="241">
        <f t="shared" ref="BD354:BF361" si="328">SUM(Z354,AC354,AF354)</f>
        <v>0</v>
      </c>
      <c r="BE354" s="27">
        <f t="shared" si="328"/>
        <v>-6600</v>
      </c>
      <c r="BF354" s="28">
        <f t="shared" si="328"/>
        <v>0</v>
      </c>
      <c r="BG354" s="241">
        <f t="shared" ref="BG354:BI361" si="329">SUM(AI354,AL354,AO354)</f>
        <v>-3960</v>
      </c>
      <c r="BH354" s="27">
        <f t="shared" si="329"/>
        <v>-6600</v>
      </c>
      <c r="BI354" s="28">
        <f t="shared" si="329"/>
        <v>0</v>
      </c>
    </row>
    <row r="355" spans="1:61" s="29" customFormat="1" hidden="1" outlineLevel="1" x14ac:dyDescent="0.3">
      <c r="A355" s="22" t="s">
        <v>367</v>
      </c>
      <c r="B355" s="59"/>
      <c r="C355" s="24" t="s">
        <v>60</v>
      </c>
      <c r="D355" s="25"/>
      <c r="E355" s="25"/>
      <c r="F355" s="63"/>
      <c r="G355" s="33"/>
      <c r="H355" s="241">
        <v>0</v>
      </c>
      <c r="I355" s="27"/>
      <c r="J355" s="28">
        <f>SUMIFS(Aut_BlueMe_Sem_Pedido!$J:$J,Aut_BlueMe_Sem_Pedido!$Q:$Q,DRE!H$4,Aut_BlueMe_Sem_Pedido!$H:$H,DRE!$A355)+SUMIFS(Aut_Ajustes_Manuais!$G:$G,Aut_Ajustes_Manuais!$I:$I,DRE!H$4,Aut_Ajustes_Manuais!$F:$F,"Dividendos")</f>
        <v>0</v>
      </c>
      <c r="K355" s="241">
        <v>0</v>
      </c>
      <c r="L355" s="27"/>
      <c r="M355" s="28">
        <f>SUMIFS(Aut_BlueMe_Sem_Pedido!$J:$J,Aut_BlueMe_Sem_Pedido!$Q:$Q,DRE!K$4,Aut_BlueMe_Sem_Pedido!$H:$H,DRE!$A355)+SUMIFS(Aut_Ajustes_Manuais!$G:$G,Aut_Ajustes_Manuais!$I:$I,DRE!K$4,Aut_Ajustes_Manuais!$F:$F,"Dividendos")</f>
        <v>0</v>
      </c>
      <c r="N355" s="241">
        <v>0</v>
      </c>
      <c r="O355" s="27"/>
      <c r="P355" s="28">
        <f>SUMIFS(Aut_BlueMe_Sem_Pedido!$J:$J,Aut_BlueMe_Sem_Pedido!$Q:$Q,DRE!N$4,Aut_BlueMe_Sem_Pedido!$H:$H,DRE!$A355)+SUMIFS(Aut_Ajustes_Manuais!$G:$G,Aut_Ajustes_Manuais!$I:$I,DRE!N$4,Aut_Ajustes_Manuais!$F:$F,"Dividendos")</f>
        <v>0</v>
      </c>
      <c r="Q355" s="241">
        <v>0</v>
      </c>
      <c r="R355" s="27"/>
      <c r="S355" s="28">
        <f>SUMIFS(Aut_BlueMe_Sem_Pedido!$J:$J,Aut_BlueMe_Sem_Pedido!$Q:$Q,DRE!Q$4,Aut_BlueMe_Sem_Pedido!$H:$H,DRE!$A355)+SUMIFS(Aut_Ajustes_Manuais!$G:$G,Aut_Ajustes_Manuais!$I:$I,DRE!Q$4,Aut_Ajustes_Manuais!$F:$F,"Dividendos")</f>
        <v>0</v>
      </c>
      <c r="T355" s="241">
        <v>0</v>
      </c>
      <c r="U355" s="27"/>
      <c r="V355" s="28">
        <f>SUMIFS(Aut_BlueMe_Sem_Pedido!$J:$J,Aut_BlueMe_Sem_Pedido!$Q:$Q,DRE!T$4,Aut_BlueMe_Sem_Pedido!$H:$H,DRE!$A355)+SUMIFS(Aut_Ajustes_Manuais!$G:$G,Aut_Ajustes_Manuais!$I:$I,DRE!T$4,Aut_Ajustes_Manuais!$F:$F,"Dividendos")</f>
        <v>0</v>
      </c>
      <c r="W355" s="241">
        <v>0</v>
      </c>
      <c r="X355" s="27"/>
      <c r="Y355" s="28">
        <f>SUMIFS(Aut_BlueMe_Sem_Pedido!$J:$J,Aut_BlueMe_Sem_Pedido!$Q:$Q,DRE!W$4,Aut_BlueMe_Sem_Pedido!$H:$H,DRE!$A355)+SUMIFS(Aut_Ajustes_Manuais!$G:$G,Aut_Ajustes_Manuais!$I:$I,DRE!W$4,Aut_Ajustes_Manuais!$F:$F,"Dividendos")</f>
        <v>0</v>
      </c>
      <c r="Z355" s="241">
        <v>0</v>
      </c>
      <c r="AA355" s="27"/>
      <c r="AB355" s="28">
        <f>SUMIFS(Aut_BlueMe_Sem_Pedido!$J:$J,Aut_BlueMe_Sem_Pedido!$Q:$Q,DRE!Z$4,Aut_BlueMe_Sem_Pedido!$H:$H,DRE!$A355)+SUMIFS(Aut_Ajustes_Manuais!$G:$G,Aut_Ajustes_Manuais!$I:$I,DRE!Z$4,Aut_Ajustes_Manuais!$F:$F,"Dividendos")</f>
        <v>0</v>
      </c>
      <c r="AC355" s="241">
        <v>0</v>
      </c>
      <c r="AD355" s="27"/>
      <c r="AE355" s="28">
        <f>SUMIFS(Aut_BlueMe_Sem_Pedido!$J:$J,Aut_BlueMe_Sem_Pedido!$Q:$Q,DRE!AC$4,Aut_BlueMe_Sem_Pedido!$H:$H,DRE!$A355)+SUMIFS(Aut_Ajustes_Manuais!$G:$G,Aut_Ajustes_Manuais!$I:$I,DRE!AC$4,Aut_Ajustes_Manuais!$F:$F,"Dividendos")</f>
        <v>0</v>
      </c>
      <c r="AF355" s="241">
        <v>0</v>
      </c>
      <c r="AG355" s="27"/>
      <c r="AH355" s="28">
        <f>SUMIFS(Aut_BlueMe_Sem_Pedido!$J:$J,Aut_BlueMe_Sem_Pedido!$Q:$Q,DRE!AF$4,Aut_BlueMe_Sem_Pedido!$H:$H,DRE!$A355)+SUMIFS(Aut_Ajustes_Manuais!$G:$G,Aut_Ajustes_Manuais!$I:$I,DRE!AF$4,Aut_Ajustes_Manuais!$F:$F,"Dividendos")</f>
        <v>0</v>
      </c>
      <c r="AI355" s="241">
        <v>0</v>
      </c>
      <c r="AJ355" s="27"/>
      <c r="AK355" s="28">
        <f>SUMIFS(Aut_BlueMe_Sem_Pedido!$J:$J,Aut_BlueMe_Sem_Pedido!$Q:$Q,DRE!AI$4,Aut_BlueMe_Sem_Pedido!$H:$H,DRE!$A355)+SUMIFS(Aut_Ajustes_Manuais!$G:$G,Aut_Ajustes_Manuais!$I:$I,DRE!AI$4,Aut_Ajustes_Manuais!$F:$F,"Dividendos")</f>
        <v>0</v>
      </c>
      <c r="AL355" s="241">
        <v>0</v>
      </c>
      <c r="AM355" s="27"/>
      <c r="AN355" s="28">
        <f>SUMIFS(Aut_BlueMe_Sem_Pedido!$J:$J,Aut_BlueMe_Sem_Pedido!$Q:$Q,DRE!AL$4,Aut_BlueMe_Sem_Pedido!$H:$H,DRE!$A355)+SUMIFS(Aut_Ajustes_Manuais!$G:$G,Aut_Ajustes_Manuais!$I:$I,DRE!AL$4,Aut_Ajustes_Manuais!$F:$F,"Dividendos")</f>
        <v>0</v>
      </c>
      <c r="AO355" s="241">
        <v>0</v>
      </c>
      <c r="AP355" s="27"/>
      <c r="AQ355" s="28">
        <f>SUMIFS(Aut_BlueMe_Sem_Pedido!$J:$J,Aut_BlueMe_Sem_Pedido!$Q:$Q,DRE!AO$4,Aut_BlueMe_Sem_Pedido!$H:$H,DRE!$A355)+SUMIFS(Aut_Ajustes_Manuais!$G:$G,Aut_Ajustes_Manuais!$I:$I,DRE!AO$4,Aut_Ajustes_Manuais!$F:$F,"Dividendos")</f>
        <v>0</v>
      </c>
      <c r="AR355" s="241">
        <f t="shared" ca="1" si="322"/>
        <v>0</v>
      </c>
      <c r="AS355" s="27">
        <f t="shared" ca="1" si="323"/>
        <v>0</v>
      </c>
      <c r="AT355" s="28">
        <f t="shared" ca="1" si="324"/>
        <v>0</v>
      </c>
      <c r="AU355" s="241">
        <f t="shared" si="325"/>
        <v>0</v>
      </c>
      <c r="AV355" s="27">
        <f t="shared" si="325"/>
        <v>0</v>
      </c>
      <c r="AW355" s="28">
        <f t="shared" si="325"/>
        <v>0</v>
      </c>
      <c r="AX355" s="241">
        <f t="shared" si="326"/>
        <v>0</v>
      </c>
      <c r="AY355" s="27">
        <f t="shared" si="326"/>
        <v>0</v>
      </c>
      <c r="AZ355" s="28">
        <f t="shared" si="326"/>
        <v>0</v>
      </c>
      <c r="BA355" s="241">
        <f t="shared" si="327"/>
        <v>0</v>
      </c>
      <c r="BB355" s="27">
        <f t="shared" si="327"/>
        <v>0</v>
      </c>
      <c r="BC355" s="28">
        <f t="shared" si="327"/>
        <v>0</v>
      </c>
      <c r="BD355" s="241">
        <f t="shared" si="328"/>
        <v>0</v>
      </c>
      <c r="BE355" s="27">
        <f t="shared" si="328"/>
        <v>0</v>
      </c>
      <c r="BF355" s="28">
        <f t="shared" si="328"/>
        <v>0</v>
      </c>
      <c r="BG355" s="241">
        <f t="shared" si="329"/>
        <v>0</v>
      </c>
      <c r="BH355" s="27">
        <f t="shared" si="329"/>
        <v>0</v>
      </c>
      <c r="BI355" s="28">
        <f t="shared" si="329"/>
        <v>0</v>
      </c>
    </row>
    <row r="356" spans="1:61" s="29" customFormat="1" hidden="1" outlineLevel="1" x14ac:dyDescent="0.3">
      <c r="A356" s="22" t="s">
        <v>368</v>
      </c>
      <c r="B356" s="59"/>
      <c r="C356" s="24" t="s">
        <v>60</v>
      </c>
      <c r="D356" s="25"/>
      <c r="E356" s="25"/>
      <c r="F356" s="63"/>
      <c r="G356" s="33"/>
      <c r="H356" s="241">
        <v>-1168.49</v>
      </c>
      <c r="I356" s="27">
        <v>-1520.61</v>
      </c>
      <c r="J356" s="28">
        <f>-SUMIFS(Aut_Endividamentos!$N:$N,Aut_Endividamentos!$S:$S,DRE!H$4,Aut_Endividamentos!$G:$G,$A356)+SUMIFS(Aut_Ajustes_Manuais!$G:$G,Aut_Ajustes_Manuais!$I:$I,DRE!H$4,Aut_Ajustes_Manuais!$F:$F,"Endividamento Geral")</f>
        <v>0</v>
      </c>
      <c r="K356" s="241">
        <v>-1953.22</v>
      </c>
      <c r="L356" s="27">
        <v>-1520.61</v>
      </c>
      <c r="M356" s="28">
        <f>-SUMIFS(Aut_Endividamentos!$N:$N,Aut_Endividamentos!$S:$S,DRE!K$4,Aut_Endividamentos!$G:$G,$A356)+SUMIFS(Aut_Ajustes_Manuais!$G:$G,Aut_Ajustes_Manuais!$I:$I,DRE!K$4,Aut_Ajustes_Manuais!$F:$F,"Endividamento Geral")</f>
        <v>0</v>
      </c>
      <c r="N356" s="241">
        <v>-660.3</v>
      </c>
      <c r="O356" s="27">
        <v>-1520.61</v>
      </c>
      <c r="P356" s="28">
        <f>-SUMIFS(Aut_Endividamentos!$N:$N,Aut_Endividamentos!$S:$S,DRE!N$4,Aut_Endividamentos!$G:$G,$A356)+SUMIFS(Aut_Ajustes_Manuais!$G:$G,Aut_Ajustes_Manuais!$I:$I,DRE!N$4,Aut_Ajustes_Manuais!$F:$F,"Endividamento Geral")</f>
        <v>0</v>
      </c>
      <c r="Q356" s="241">
        <v>-2763.9</v>
      </c>
      <c r="R356" s="27">
        <v>-1520.61</v>
      </c>
      <c r="S356" s="28">
        <f>-SUMIFS(Aut_Endividamentos!$N:$N,Aut_Endividamentos!$S:$S,DRE!Q$4,Aut_Endividamentos!$G:$G,$A356)+SUMIFS(Aut_Ajustes_Manuais!$G:$G,Aut_Ajustes_Manuais!$I:$I,DRE!Q$4,Aut_Ajustes_Manuais!$F:$F,"Endividamento Geral")</f>
        <v>0</v>
      </c>
      <c r="T356" s="241">
        <v>0</v>
      </c>
      <c r="U356" s="27">
        <v>-1520.61</v>
      </c>
      <c r="V356" s="28">
        <f>-SUMIFS(Aut_Endividamentos!$N:$N,Aut_Endividamentos!$S:$S,DRE!T$4,Aut_Endividamentos!$G:$G,$A356)+SUMIFS(Aut_Ajustes_Manuais!$G:$G,Aut_Ajustes_Manuais!$I:$I,DRE!T$4,Aut_Ajustes_Manuais!$F:$F,"Endividamento Geral")</f>
        <v>0</v>
      </c>
      <c r="W356" s="241">
        <v>0</v>
      </c>
      <c r="X356" s="27">
        <v>-1520.61</v>
      </c>
      <c r="Y356" s="28">
        <f>-SUMIFS(Aut_Endividamentos!$N:$N,Aut_Endividamentos!$S:$S,DRE!W$4,Aut_Endividamentos!$G:$G,$A356)+SUMIFS(Aut_Ajustes_Manuais!$G:$G,Aut_Ajustes_Manuais!$I:$I,DRE!W$4,Aut_Ajustes_Manuais!$F:$F,"Endividamento Geral")</f>
        <v>-5678.9500000000007</v>
      </c>
      <c r="Z356" s="241">
        <v>0</v>
      </c>
      <c r="AA356" s="27">
        <v>-1520.61</v>
      </c>
      <c r="AB356" s="28">
        <f>-SUMIFS(Aut_Endividamentos!$N:$N,Aut_Endividamentos!$S:$S,DRE!Z$4,Aut_Endividamentos!$G:$G,$A356)+SUMIFS(Aut_Ajustes_Manuais!$G:$G,Aut_Ajustes_Manuais!$I:$I,DRE!Z$4,Aut_Ajustes_Manuais!$F:$F,"Endividamento Geral")</f>
        <v>0</v>
      </c>
      <c r="AC356" s="241">
        <v>0</v>
      </c>
      <c r="AD356" s="27">
        <v>-1520.61</v>
      </c>
      <c r="AE356" s="28">
        <f>-SUMIFS(Aut_Endividamentos!$N:$N,Aut_Endividamentos!$S:$S,DRE!AC$4,Aut_Endividamentos!$G:$G,$A356)+SUMIFS(Aut_Ajustes_Manuais!$G:$G,Aut_Ajustes_Manuais!$I:$I,DRE!AC$4,Aut_Ajustes_Manuais!$F:$F,"Endividamento Geral")</f>
        <v>0</v>
      </c>
      <c r="AF356" s="241">
        <v>0</v>
      </c>
      <c r="AG356" s="27">
        <v>-1520.61</v>
      </c>
      <c r="AH356" s="28">
        <f>-SUMIFS(Aut_Endividamentos!$N:$N,Aut_Endividamentos!$S:$S,DRE!AF$4,Aut_Endividamentos!$G:$G,$A356)+SUMIFS(Aut_Ajustes_Manuais!$G:$G,Aut_Ajustes_Manuais!$I:$I,DRE!AF$4,Aut_Ajustes_Manuais!$F:$F,"Endividamento Geral")</f>
        <v>0</v>
      </c>
      <c r="AI356" s="241">
        <v>0</v>
      </c>
      <c r="AJ356" s="27">
        <v>-1520.61</v>
      </c>
      <c r="AK356" s="28">
        <f>-SUMIFS(Aut_Endividamentos!$N:$N,Aut_Endividamentos!$S:$S,DRE!AI$4,Aut_Endividamentos!$G:$G,$A356)+SUMIFS(Aut_Ajustes_Manuais!$G:$G,Aut_Ajustes_Manuais!$I:$I,DRE!AI$4,Aut_Ajustes_Manuais!$F:$F,"Endividamento Geral")</f>
        <v>0</v>
      </c>
      <c r="AL356" s="241">
        <v>0</v>
      </c>
      <c r="AM356" s="27">
        <v>-1520.61</v>
      </c>
      <c r="AN356" s="28">
        <f>-SUMIFS(Aut_Endividamentos!$N:$N,Aut_Endividamentos!$S:$S,DRE!AL$4,Aut_Endividamentos!$G:$G,$A356)+SUMIFS(Aut_Ajustes_Manuais!$G:$G,Aut_Ajustes_Manuais!$I:$I,DRE!AL$4,Aut_Ajustes_Manuais!$F:$F,"Endividamento Geral")</f>
        <v>0</v>
      </c>
      <c r="AO356" s="241">
        <v>0</v>
      </c>
      <c r="AP356" s="27">
        <v>-1520.61</v>
      </c>
      <c r="AQ356" s="28">
        <f>-SUMIFS(Aut_Endividamentos!$N:$N,Aut_Endividamentos!$S:$S,DRE!AO$4,Aut_Endividamentos!$G:$G,$A356)+SUMIFS(Aut_Ajustes_Manuais!$G:$G,Aut_Ajustes_Manuais!$I:$I,DRE!AO$4,Aut_Ajustes_Manuais!$F:$F,"Endividamento Geral")</f>
        <v>0</v>
      </c>
      <c r="AR356" s="241">
        <f t="shared" ca="1" si="322"/>
        <v>-6545.91</v>
      </c>
      <c r="AS356" s="27">
        <f t="shared" ca="1" si="323"/>
        <v>-9123.66</v>
      </c>
      <c r="AT356" s="28">
        <f t="shared" ca="1" si="324"/>
        <v>-5678.9500000000007</v>
      </c>
      <c r="AU356" s="241">
        <f t="shared" si="325"/>
        <v>-6545.91</v>
      </c>
      <c r="AV356" s="27">
        <f t="shared" si="325"/>
        <v>-18247.320000000003</v>
      </c>
      <c r="AW356" s="28">
        <f t="shared" si="325"/>
        <v>-5678.9500000000007</v>
      </c>
      <c r="AX356" s="241">
        <f t="shared" si="326"/>
        <v>-3782.01</v>
      </c>
      <c r="AY356" s="27">
        <f t="shared" si="326"/>
        <v>-4561.83</v>
      </c>
      <c r="AZ356" s="28">
        <f t="shared" si="326"/>
        <v>0</v>
      </c>
      <c r="BA356" s="241">
        <f t="shared" si="327"/>
        <v>-2763.9</v>
      </c>
      <c r="BB356" s="27">
        <f t="shared" si="327"/>
        <v>-4561.83</v>
      </c>
      <c r="BC356" s="28">
        <f t="shared" si="327"/>
        <v>-5678.9500000000007</v>
      </c>
      <c r="BD356" s="241">
        <f t="shared" si="328"/>
        <v>0</v>
      </c>
      <c r="BE356" s="27">
        <f t="shared" si="328"/>
        <v>-4561.83</v>
      </c>
      <c r="BF356" s="28">
        <f t="shared" si="328"/>
        <v>0</v>
      </c>
      <c r="BG356" s="241">
        <f t="shared" si="329"/>
        <v>0</v>
      </c>
      <c r="BH356" s="27">
        <f t="shared" si="329"/>
        <v>-4561.83</v>
      </c>
      <c r="BI356" s="28">
        <f t="shared" si="329"/>
        <v>0</v>
      </c>
    </row>
    <row r="357" spans="1:61" s="29" customFormat="1" hidden="1" outlineLevel="1" x14ac:dyDescent="0.3">
      <c r="A357" s="22" t="s">
        <v>369</v>
      </c>
      <c r="B357" s="59"/>
      <c r="C357" s="24" t="s">
        <v>60</v>
      </c>
      <c r="D357" s="25"/>
      <c r="E357" s="25"/>
      <c r="F357" s="63"/>
      <c r="G357" s="33"/>
      <c r="H357" s="241">
        <v>0</v>
      </c>
      <c r="I357" s="27"/>
      <c r="J357" s="28">
        <f>-SUMIFS(Aut_Endividamentos!$N:$N,Aut_Endividamentos!$S:$S,DRE!H$4,Aut_Endividamentos!$G:$G,$A357)+SUMIFS(Aut_Ajustes_Manuais!$G:$G,Aut_Ajustes_Manuais!$I:$I,DRE!H$4,Aut_Ajustes_Manuais!$F:$F,"Processo Judicial")</f>
        <v>-1833.34</v>
      </c>
      <c r="K357" s="241">
        <v>-2200</v>
      </c>
      <c r="L357" s="27"/>
      <c r="M357" s="28">
        <f>-SUMIFS(Aut_Endividamentos!$N:$N,Aut_Endividamentos!$S:$S,DRE!K$4,Aut_Endividamentos!$G:$G,$A357)+SUMIFS(Aut_Ajustes_Manuais!$G:$G,Aut_Ajustes_Manuais!$I:$I,DRE!K$4,Aut_Ajustes_Manuais!$F:$F,"Processo Judicial")</f>
        <v>-1833.34</v>
      </c>
      <c r="N357" s="241">
        <v>-4700</v>
      </c>
      <c r="O357" s="27"/>
      <c r="P357" s="28">
        <f>-SUMIFS(Aut_Endividamentos!$N:$N,Aut_Endividamentos!$S:$S,DRE!N$4,Aut_Endividamentos!$G:$G,$A357)+SUMIFS(Aut_Ajustes_Manuais!$G:$G,Aut_Ajustes_Manuais!$I:$I,DRE!N$4,Aut_Ajustes_Manuais!$F:$F,"Processo Judicial")</f>
        <v>-1833.34</v>
      </c>
      <c r="Q357" s="241">
        <v>-7200</v>
      </c>
      <c r="R357" s="27"/>
      <c r="S357" s="28">
        <f>-SUMIFS(Aut_Endividamentos!$N:$N,Aut_Endividamentos!$S:$S,DRE!Q$4,Aut_Endividamentos!$G:$G,$A357)+SUMIFS(Aut_Ajustes_Manuais!$G:$G,Aut_Ajustes_Manuais!$I:$I,DRE!Q$4,Aut_Ajustes_Manuais!$F:$F,"Processo Judicial")</f>
        <v>-1833.34</v>
      </c>
      <c r="T357" s="241">
        <v>-7200</v>
      </c>
      <c r="U357" s="27"/>
      <c r="V357" s="28">
        <f>-SUMIFS(Aut_Endividamentos!$N:$N,Aut_Endividamentos!$S:$S,DRE!T$4,Aut_Endividamentos!$G:$G,$A357)+SUMIFS(Aut_Ajustes_Manuais!$G:$G,Aut_Ajustes_Manuais!$I:$I,DRE!T$4,Aut_Ajustes_Manuais!$F:$F,"Processo Judicial")</f>
        <v>-1833.34</v>
      </c>
      <c r="W357" s="241">
        <v>-15500</v>
      </c>
      <c r="X357" s="27"/>
      <c r="Y357" s="28">
        <f>-SUMIFS(Aut_Endividamentos!$N:$N,Aut_Endividamentos!$S:$S,DRE!W$4,Aut_Endividamentos!$G:$G,$A357)+SUMIFS(Aut_Ajustes_Manuais!$G:$G,Aut_Ajustes_Manuais!$I:$I,DRE!W$4,Aut_Ajustes_Manuais!$F:$F,"Processo Judicial")</f>
        <v>-1833.34</v>
      </c>
      <c r="Z357" s="241">
        <v>-13000</v>
      </c>
      <c r="AA357" s="27"/>
      <c r="AB357" s="28">
        <f>-SUMIFS(Aut_Endividamentos!$N:$N,Aut_Endividamentos!$S:$S,DRE!Z$4,Aut_Endividamentos!$G:$G,$A357)+SUMIFS(Aut_Ajustes_Manuais!$G:$G,Aut_Ajustes_Manuais!$I:$I,DRE!Z$4,Aut_Ajustes_Manuais!$F:$F,"Processo Judicial")</f>
        <v>0</v>
      </c>
      <c r="AC357" s="241">
        <v>-13000</v>
      </c>
      <c r="AD357" s="27"/>
      <c r="AE357" s="28">
        <f>-SUMIFS(Aut_Endividamentos!$N:$N,Aut_Endividamentos!$S:$S,DRE!AC$4,Aut_Endividamentos!$G:$G,$A357)+SUMIFS(Aut_Ajustes_Manuais!$G:$G,Aut_Ajustes_Manuais!$I:$I,DRE!AC$4,Aut_Ajustes_Manuais!$F:$F,"Processo Judicial")</f>
        <v>0</v>
      </c>
      <c r="AF357" s="241">
        <v>-14833.34</v>
      </c>
      <c r="AG357" s="27"/>
      <c r="AH357" s="28">
        <f>-SUMIFS(Aut_Endividamentos!$N:$N,Aut_Endividamentos!$S:$S,DRE!AF$4,Aut_Endividamentos!$G:$G,$A357)+SUMIFS(Aut_Ajustes_Manuais!$G:$G,Aut_Ajustes_Manuais!$I:$I,DRE!AF$4,Aut_Ajustes_Manuais!$F:$F,"Processo Judicial")</f>
        <v>0</v>
      </c>
      <c r="AI357" s="241">
        <v>-5833.34</v>
      </c>
      <c r="AJ357" s="27"/>
      <c r="AK357" s="28">
        <f>-SUMIFS(Aut_Endividamentos!$N:$N,Aut_Endividamentos!$S:$S,DRE!AI$4,Aut_Endividamentos!$G:$G,$A357)+SUMIFS(Aut_Ajustes_Manuais!$G:$G,Aut_Ajustes_Manuais!$I:$I,DRE!AI$4,Aut_Ajustes_Manuais!$F:$F,"Processo Judicial")</f>
        <v>0</v>
      </c>
      <c r="AL357" s="241">
        <v>-5833.34</v>
      </c>
      <c r="AM357" s="27"/>
      <c r="AN357" s="28">
        <f>-SUMIFS(Aut_Endividamentos!$N:$N,Aut_Endividamentos!$S:$S,DRE!AL$4,Aut_Endividamentos!$G:$G,$A357)+SUMIFS(Aut_Ajustes_Manuais!$G:$G,Aut_Ajustes_Manuais!$I:$I,DRE!AL$4,Aut_Ajustes_Manuais!$F:$F,"Processo Judicial")</f>
        <v>0</v>
      </c>
      <c r="AO357" s="241">
        <v>-1833.34</v>
      </c>
      <c r="AP357" s="27"/>
      <c r="AQ357" s="28">
        <f>-SUMIFS(Aut_Endividamentos!$N:$N,Aut_Endividamentos!$S:$S,DRE!AO$4,Aut_Endividamentos!$G:$G,$A357)+SUMIFS(Aut_Ajustes_Manuais!$G:$G,Aut_Ajustes_Manuais!$I:$I,DRE!AO$4,Aut_Ajustes_Manuais!$F:$F,"Processo Judicial")</f>
        <v>0</v>
      </c>
      <c r="AR357" s="241">
        <f t="shared" ca="1" si="322"/>
        <v>-36800</v>
      </c>
      <c r="AS357" s="27">
        <f t="shared" ca="1" si="323"/>
        <v>0</v>
      </c>
      <c r="AT357" s="28">
        <f t="shared" ca="1" si="324"/>
        <v>-11000.039999999999</v>
      </c>
      <c r="AU357" s="241">
        <f t="shared" si="325"/>
        <v>-91133.359999999986</v>
      </c>
      <c r="AV357" s="27">
        <f t="shared" si="325"/>
        <v>0</v>
      </c>
      <c r="AW357" s="28">
        <f t="shared" si="325"/>
        <v>-11000.039999999999</v>
      </c>
      <c r="AX357" s="241">
        <f t="shared" si="326"/>
        <v>-6900</v>
      </c>
      <c r="AY357" s="27">
        <f t="shared" si="326"/>
        <v>0</v>
      </c>
      <c r="AZ357" s="28">
        <f t="shared" si="326"/>
        <v>-5500.0199999999995</v>
      </c>
      <c r="BA357" s="241">
        <f t="shared" si="327"/>
        <v>-29900</v>
      </c>
      <c r="BB357" s="27">
        <f t="shared" si="327"/>
        <v>0</v>
      </c>
      <c r="BC357" s="28">
        <f t="shared" si="327"/>
        <v>-5500.0199999999995</v>
      </c>
      <c r="BD357" s="241">
        <f t="shared" si="328"/>
        <v>-40833.339999999997</v>
      </c>
      <c r="BE357" s="27">
        <f t="shared" si="328"/>
        <v>0</v>
      </c>
      <c r="BF357" s="28">
        <f t="shared" si="328"/>
        <v>0</v>
      </c>
      <c r="BG357" s="241">
        <f t="shared" si="329"/>
        <v>-13500.02</v>
      </c>
      <c r="BH357" s="27">
        <f t="shared" si="329"/>
        <v>0</v>
      </c>
      <c r="BI357" s="28">
        <f t="shared" si="329"/>
        <v>0</v>
      </c>
    </row>
    <row r="358" spans="1:61" s="29" customFormat="1" hidden="1" outlineLevel="1" x14ac:dyDescent="0.3">
      <c r="A358" s="22" t="s">
        <v>370</v>
      </c>
      <c r="B358" s="59"/>
      <c r="C358" s="24" t="s">
        <v>60</v>
      </c>
      <c r="D358" s="25"/>
      <c r="E358" s="25"/>
      <c r="F358" s="63"/>
      <c r="G358" s="33"/>
      <c r="H358" s="241">
        <v>0</v>
      </c>
      <c r="I358" s="27"/>
      <c r="J358" s="28">
        <f>-SUMIFS(Aut_Endividamentos!$N:$N,Aut_Endividamentos!$S:$S,DRE!H$4,Aut_Endividamentos!$G:$G,$A358)+SUMIFS(Aut_Ajustes_Manuais!$G:$G,Aut_Ajustes_Manuais!$I:$I,DRE!H$4,Aut_Ajustes_Manuais!$F:$F,"Processo Civil")</f>
        <v>0</v>
      </c>
      <c r="K358" s="241">
        <v>0</v>
      </c>
      <c r="L358" s="27"/>
      <c r="M358" s="28">
        <f>-SUMIFS(Aut_Endividamentos!$N:$N,Aut_Endividamentos!$S:$S,DRE!K$4,Aut_Endividamentos!$G:$G,$A358)+SUMIFS(Aut_Ajustes_Manuais!$G:$G,Aut_Ajustes_Manuais!$I:$I,DRE!K$4,Aut_Ajustes_Manuais!$F:$F,"Processo Civil")</f>
        <v>0</v>
      </c>
      <c r="N358" s="241">
        <v>0</v>
      </c>
      <c r="O358" s="27"/>
      <c r="P358" s="28">
        <f>-SUMIFS(Aut_Endividamentos!$N:$N,Aut_Endividamentos!$S:$S,DRE!N$4,Aut_Endividamentos!$G:$G,$A358)+SUMIFS(Aut_Ajustes_Manuais!$G:$G,Aut_Ajustes_Manuais!$I:$I,DRE!N$4,Aut_Ajustes_Manuais!$F:$F,"Processo Civil")</f>
        <v>0</v>
      </c>
      <c r="Q358" s="241">
        <v>0</v>
      </c>
      <c r="R358" s="27"/>
      <c r="S358" s="28">
        <f>-SUMIFS(Aut_Endividamentos!$N:$N,Aut_Endividamentos!$S:$S,DRE!Q$4,Aut_Endividamentos!$G:$G,$A358)+SUMIFS(Aut_Ajustes_Manuais!$G:$G,Aut_Ajustes_Manuais!$I:$I,DRE!Q$4,Aut_Ajustes_Manuais!$F:$F,"Processo Civil")</f>
        <v>0</v>
      </c>
      <c r="T358" s="241">
        <v>0</v>
      </c>
      <c r="U358" s="27"/>
      <c r="V358" s="28">
        <f>-SUMIFS(Aut_Endividamentos!$N:$N,Aut_Endividamentos!$S:$S,DRE!T$4,Aut_Endividamentos!$G:$G,$A358)+SUMIFS(Aut_Ajustes_Manuais!$G:$G,Aut_Ajustes_Manuais!$I:$I,DRE!T$4,Aut_Ajustes_Manuais!$F:$F,"Processo Civil")</f>
        <v>0</v>
      </c>
      <c r="W358" s="241">
        <v>0</v>
      </c>
      <c r="X358" s="27"/>
      <c r="Y358" s="28">
        <f>-SUMIFS(Aut_Endividamentos!$N:$N,Aut_Endividamentos!$S:$S,DRE!W$4,Aut_Endividamentos!$G:$G,$A358)+SUMIFS(Aut_Ajustes_Manuais!$G:$G,Aut_Ajustes_Manuais!$I:$I,DRE!W$4,Aut_Ajustes_Manuais!$F:$F,"Processo Civil")</f>
        <v>0</v>
      </c>
      <c r="Z358" s="241">
        <v>0</v>
      </c>
      <c r="AA358" s="27"/>
      <c r="AB358" s="28">
        <f>-SUMIFS(Aut_Endividamentos!$N:$N,Aut_Endividamentos!$S:$S,DRE!Z$4,Aut_Endividamentos!$G:$G,$A358)+SUMIFS(Aut_Ajustes_Manuais!$G:$G,Aut_Ajustes_Manuais!$I:$I,DRE!Z$4,Aut_Ajustes_Manuais!$F:$F,"Processo Civil")</f>
        <v>0</v>
      </c>
      <c r="AC358" s="241">
        <v>0</v>
      </c>
      <c r="AD358" s="27"/>
      <c r="AE358" s="28">
        <f>-SUMIFS(Aut_Endividamentos!$N:$N,Aut_Endividamentos!$S:$S,DRE!AC$4,Aut_Endividamentos!$G:$G,$A358)+SUMIFS(Aut_Ajustes_Manuais!$G:$G,Aut_Ajustes_Manuais!$I:$I,DRE!AC$4,Aut_Ajustes_Manuais!$F:$F,"Processo Civil")</f>
        <v>0</v>
      </c>
      <c r="AF358" s="241">
        <v>0</v>
      </c>
      <c r="AG358" s="27"/>
      <c r="AH358" s="28">
        <f>-SUMIFS(Aut_Endividamentos!$N:$N,Aut_Endividamentos!$S:$S,DRE!AF$4,Aut_Endividamentos!$G:$G,$A358)+SUMIFS(Aut_Ajustes_Manuais!$G:$G,Aut_Ajustes_Manuais!$I:$I,DRE!AF$4,Aut_Ajustes_Manuais!$F:$F,"Processo Civil")</f>
        <v>0</v>
      </c>
      <c r="AI358" s="241">
        <v>0</v>
      </c>
      <c r="AJ358" s="27"/>
      <c r="AK358" s="28">
        <f>-SUMIFS(Aut_Endividamentos!$N:$N,Aut_Endividamentos!$S:$S,DRE!AI$4,Aut_Endividamentos!$G:$G,$A358)+SUMIFS(Aut_Ajustes_Manuais!$G:$G,Aut_Ajustes_Manuais!$I:$I,DRE!AI$4,Aut_Ajustes_Manuais!$F:$F,"Processo Civil")</f>
        <v>0</v>
      </c>
      <c r="AL358" s="241">
        <v>0</v>
      </c>
      <c r="AM358" s="27"/>
      <c r="AN358" s="28">
        <f>-SUMIFS(Aut_Endividamentos!$N:$N,Aut_Endividamentos!$S:$S,DRE!AL$4,Aut_Endividamentos!$G:$G,$A358)+SUMIFS(Aut_Ajustes_Manuais!$G:$G,Aut_Ajustes_Manuais!$I:$I,DRE!AL$4,Aut_Ajustes_Manuais!$F:$F,"Processo Civil")</f>
        <v>0</v>
      </c>
      <c r="AO358" s="241">
        <v>0</v>
      </c>
      <c r="AP358" s="27"/>
      <c r="AQ358" s="28">
        <f>-SUMIFS(Aut_Endividamentos!$N:$N,Aut_Endividamentos!$S:$S,DRE!AO$4,Aut_Endividamentos!$G:$G,$A358)+SUMIFS(Aut_Ajustes_Manuais!$G:$G,Aut_Ajustes_Manuais!$I:$I,DRE!AO$4,Aut_Ajustes_Manuais!$F:$F,"Processo Civil")</f>
        <v>0</v>
      </c>
      <c r="AR358" s="241">
        <f t="shared" ca="1" si="322"/>
        <v>0</v>
      </c>
      <c r="AS358" s="27">
        <f t="shared" ca="1" si="323"/>
        <v>0</v>
      </c>
      <c r="AT358" s="28">
        <f t="shared" ca="1" si="324"/>
        <v>0</v>
      </c>
      <c r="AU358" s="241">
        <f t="shared" si="325"/>
        <v>0</v>
      </c>
      <c r="AV358" s="27">
        <f t="shared" si="325"/>
        <v>0</v>
      </c>
      <c r="AW358" s="28">
        <f t="shared" si="325"/>
        <v>0</v>
      </c>
      <c r="AX358" s="241">
        <f t="shared" si="326"/>
        <v>0</v>
      </c>
      <c r="AY358" s="27">
        <f t="shared" si="326"/>
        <v>0</v>
      </c>
      <c r="AZ358" s="28">
        <f t="shared" si="326"/>
        <v>0</v>
      </c>
      <c r="BA358" s="241">
        <f t="shared" si="327"/>
        <v>0</v>
      </c>
      <c r="BB358" s="27">
        <f t="shared" si="327"/>
        <v>0</v>
      </c>
      <c r="BC358" s="28">
        <f t="shared" si="327"/>
        <v>0</v>
      </c>
      <c r="BD358" s="241">
        <f t="shared" si="328"/>
        <v>0</v>
      </c>
      <c r="BE358" s="27">
        <f t="shared" si="328"/>
        <v>0</v>
      </c>
      <c r="BF358" s="28">
        <f t="shared" si="328"/>
        <v>0</v>
      </c>
      <c r="BG358" s="241">
        <f t="shared" si="329"/>
        <v>0</v>
      </c>
      <c r="BH358" s="27">
        <f t="shared" si="329"/>
        <v>0</v>
      </c>
      <c r="BI358" s="28">
        <f t="shared" si="329"/>
        <v>0</v>
      </c>
    </row>
    <row r="359" spans="1:61" s="29" customFormat="1" hidden="1" outlineLevel="1" x14ac:dyDescent="0.3">
      <c r="A359" s="22" t="s">
        <v>371</v>
      </c>
      <c r="B359" s="59"/>
      <c r="C359" s="24" t="s">
        <v>60</v>
      </c>
      <c r="D359" s="25"/>
      <c r="E359" s="25"/>
      <c r="F359" s="63"/>
      <c r="G359" s="33"/>
      <c r="H359" s="241">
        <v>0</v>
      </c>
      <c r="I359" s="27"/>
      <c r="J359" s="28">
        <f>-SUMIFS(Aut_Endividamentos!$N:$N,Aut_Endividamentos!$S:$S,DRE!H$4,Aut_Endividamentos!$G:$G,$A359)+SUMIFS(Aut_Ajustes_Manuais!$G:$G,Aut_Ajustes_Manuais!$I:$I,DRE!H$4,Aut_Ajustes_Manuais!$F:$F,"Recurso Processual")</f>
        <v>0</v>
      </c>
      <c r="K359" s="241">
        <v>0</v>
      </c>
      <c r="L359" s="27"/>
      <c r="M359" s="28">
        <f>-SUMIFS(Aut_Endividamentos!$N:$N,Aut_Endividamentos!$S:$S,DRE!K$4,Aut_Endividamentos!$G:$G,$A359)+SUMIFS(Aut_Ajustes_Manuais!$G:$G,Aut_Ajustes_Manuais!$I:$I,DRE!K$4,Aut_Ajustes_Manuais!$F:$F,"Recurso Processual")</f>
        <v>0</v>
      </c>
      <c r="N359" s="241">
        <v>0</v>
      </c>
      <c r="O359" s="27"/>
      <c r="P359" s="28">
        <f>-SUMIFS(Aut_Endividamentos!$N:$N,Aut_Endividamentos!$S:$S,DRE!N$4,Aut_Endividamentos!$G:$G,$A359)+SUMIFS(Aut_Ajustes_Manuais!$G:$G,Aut_Ajustes_Manuais!$I:$I,DRE!N$4,Aut_Ajustes_Manuais!$F:$F,"Recurso Processual")</f>
        <v>0</v>
      </c>
      <c r="Q359" s="241">
        <v>0</v>
      </c>
      <c r="R359" s="27"/>
      <c r="S359" s="28">
        <f>-SUMIFS(Aut_Endividamentos!$N:$N,Aut_Endividamentos!$S:$S,DRE!Q$4,Aut_Endividamentos!$G:$G,$A359)+SUMIFS(Aut_Ajustes_Manuais!$G:$G,Aut_Ajustes_Manuais!$I:$I,DRE!Q$4,Aut_Ajustes_Manuais!$F:$F,"Recurso Processual")</f>
        <v>0</v>
      </c>
      <c r="T359" s="241">
        <v>0</v>
      </c>
      <c r="U359" s="27"/>
      <c r="V359" s="28">
        <f>-SUMIFS(Aut_Endividamentos!$N:$N,Aut_Endividamentos!$S:$S,DRE!T$4,Aut_Endividamentos!$G:$G,$A359)+SUMIFS(Aut_Ajustes_Manuais!$G:$G,Aut_Ajustes_Manuais!$I:$I,DRE!T$4,Aut_Ajustes_Manuais!$F:$F,"Recurso Processual")</f>
        <v>0</v>
      </c>
      <c r="W359" s="241">
        <v>0</v>
      </c>
      <c r="X359" s="27"/>
      <c r="Y359" s="28">
        <f>-SUMIFS(Aut_Endividamentos!$N:$N,Aut_Endividamentos!$S:$S,DRE!W$4,Aut_Endividamentos!$G:$G,$A359)+SUMIFS(Aut_Ajustes_Manuais!$G:$G,Aut_Ajustes_Manuais!$I:$I,DRE!W$4,Aut_Ajustes_Manuais!$F:$F,"Recurso Processual")</f>
        <v>0</v>
      </c>
      <c r="Z359" s="241">
        <v>0</v>
      </c>
      <c r="AA359" s="27"/>
      <c r="AB359" s="28">
        <f>-SUMIFS(Aut_Endividamentos!$N:$N,Aut_Endividamentos!$S:$S,DRE!Z$4,Aut_Endividamentos!$G:$G,$A359)+SUMIFS(Aut_Ajustes_Manuais!$G:$G,Aut_Ajustes_Manuais!$I:$I,DRE!Z$4,Aut_Ajustes_Manuais!$F:$F,"Recurso Processual")</f>
        <v>0</v>
      </c>
      <c r="AC359" s="241">
        <v>0</v>
      </c>
      <c r="AD359" s="27"/>
      <c r="AE359" s="28">
        <f>-SUMIFS(Aut_Endividamentos!$N:$N,Aut_Endividamentos!$S:$S,DRE!AC$4,Aut_Endividamentos!$G:$G,$A359)+SUMIFS(Aut_Ajustes_Manuais!$G:$G,Aut_Ajustes_Manuais!$I:$I,DRE!AC$4,Aut_Ajustes_Manuais!$F:$F,"Recurso Processual")</f>
        <v>0</v>
      </c>
      <c r="AF359" s="241">
        <v>0</v>
      </c>
      <c r="AG359" s="27"/>
      <c r="AH359" s="28">
        <f>-SUMIFS(Aut_Endividamentos!$N:$N,Aut_Endividamentos!$S:$S,DRE!AF$4,Aut_Endividamentos!$G:$G,$A359)+SUMIFS(Aut_Ajustes_Manuais!$G:$G,Aut_Ajustes_Manuais!$I:$I,DRE!AF$4,Aut_Ajustes_Manuais!$F:$F,"Recurso Processual")</f>
        <v>0</v>
      </c>
      <c r="AI359" s="241">
        <v>0</v>
      </c>
      <c r="AJ359" s="27"/>
      <c r="AK359" s="28">
        <f>-SUMIFS(Aut_Endividamentos!$N:$N,Aut_Endividamentos!$S:$S,DRE!AI$4,Aut_Endividamentos!$G:$G,$A359)+SUMIFS(Aut_Ajustes_Manuais!$G:$G,Aut_Ajustes_Manuais!$I:$I,DRE!AI$4,Aut_Ajustes_Manuais!$F:$F,"Recurso Processual")</f>
        <v>0</v>
      </c>
      <c r="AL359" s="241">
        <v>0</v>
      </c>
      <c r="AM359" s="27"/>
      <c r="AN359" s="28">
        <f>-SUMIFS(Aut_Endividamentos!$N:$N,Aut_Endividamentos!$S:$S,DRE!AL$4,Aut_Endividamentos!$G:$G,$A359)+SUMIFS(Aut_Ajustes_Manuais!$G:$G,Aut_Ajustes_Manuais!$I:$I,DRE!AL$4,Aut_Ajustes_Manuais!$F:$F,"Recurso Processual")</f>
        <v>0</v>
      </c>
      <c r="AO359" s="241">
        <v>0</v>
      </c>
      <c r="AP359" s="27"/>
      <c r="AQ359" s="28">
        <f>-SUMIFS(Aut_Endividamentos!$N:$N,Aut_Endividamentos!$S:$S,DRE!AO$4,Aut_Endividamentos!$G:$G,$A359)+SUMIFS(Aut_Ajustes_Manuais!$G:$G,Aut_Ajustes_Manuais!$I:$I,DRE!AO$4,Aut_Ajustes_Manuais!$F:$F,"Recurso Processual")</f>
        <v>0</v>
      </c>
      <c r="AR359" s="241">
        <f t="shared" ca="1" si="322"/>
        <v>0</v>
      </c>
      <c r="AS359" s="27">
        <f t="shared" ca="1" si="323"/>
        <v>0</v>
      </c>
      <c r="AT359" s="28">
        <f t="shared" ca="1" si="324"/>
        <v>0</v>
      </c>
      <c r="AU359" s="241">
        <f t="shared" si="325"/>
        <v>0</v>
      </c>
      <c r="AV359" s="27">
        <f t="shared" si="325"/>
        <v>0</v>
      </c>
      <c r="AW359" s="28">
        <f t="shared" si="325"/>
        <v>0</v>
      </c>
      <c r="AX359" s="241">
        <f t="shared" si="326"/>
        <v>0</v>
      </c>
      <c r="AY359" s="27">
        <f t="shared" si="326"/>
        <v>0</v>
      </c>
      <c r="AZ359" s="28">
        <f t="shared" si="326"/>
        <v>0</v>
      </c>
      <c r="BA359" s="241">
        <f t="shared" si="327"/>
        <v>0</v>
      </c>
      <c r="BB359" s="27">
        <f t="shared" si="327"/>
        <v>0</v>
      </c>
      <c r="BC359" s="28">
        <f t="shared" si="327"/>
        <v>0</v>
      </c>
      <c r="BD359" s="241">
        <f t="shared" si="328"/>
        <v>0</v>
      </c>
      <c r="BE359" s="27">
        <f t="shared" si="328"/>
        <v>0</v>
      </c>
      <c r="BF359" s="28">
        <f t="shared" si="328"/>
        <v>0</v>
      </c>
      <c r="BG359" s="241">
        <f t="shared" si="329"/>
        <v>0</v>
      </c>
      <c r="BH359" s="27">
        <f t="shared" si="329"/>
        <v>0</v>
      </c>
      <c r="BI359" s="28">
        <f t="shared" si="329"/>
        <v>0</v>
      </c>
    </row>
    <row r="360" spans="1:61" s="29" customFormat="1" hidden="1" outlineLevel="1" x14ac:dyDescent="0.3">
      <c r="A360" s="22" t="s">
        <v>372</v>
      </c>
      <c r="B360" s="59"/>
      <c r="C360" s="24" t="s">
        <v>60</v>
      </c>
      <c r="D360" s="25"/>
      <c r="E360" s="25"/>
      <c r="F360" s="63"/>
      <c r="G360" s="33"/>
      <c r="H360" s="241">
        <v>0</v>
      </c>
      <c r="I360" s="27"/>
      <c r="J360" s="28">
        <f>-SUMIFS(Aut_Endividamentos!$N:$N,Aut_Endividamentos!$S:$S,DRE!H$4,Aut_Endividamentos!$G:$G,$A360)+SUMIFS(Aut_Ajustes_Manuais!$G:$G,Aut_Ajustes_Manuais!$I:$I,DRE!H$4,Aut_Ajustes_Manuais!$F:$F,"Empréstimos Gerais")</f>
        <v>0</v>
      </c>
      <c r="K360" s="241">
        <v>0</v>
      </c>
      <c r="L360" s="27"/>
      <c r="M360" s="28">
        <f>-SUMIFS(Aut_Endividamentos!$N:$N,Aut_Endividamentos!$S:$S,DRE!K$4,Aut_Endividamentos!$G:$G,$A360)+SUMIFS(Aut_Ajustes_Manuais!$G:$G,Aut_Ajustes_Manuais!$I:$I,DRE!K$4,Aut_Ajustes_Manuais!$F:$F,"Empréstimos Gerais")</f>
        <v>0</v>
      </c>
      <c r="N360" s="241">
        <v>0</v>
      </c>
      <c r="O360" s="27"/>
      <c r="P360" s="28">
        <f>-SUMIFS(Aut_Endividamentos!$N:$N,Aut_Endividamentos!$S:$S,DRE!N$4,Aut_Endividamentos!$G:$G,$A360)+SUMIFS(Aut_Ajustes_Manuais!$G:$G,Aut_Ajustes_Manuais!$I:$I,DRE!N$4,Aut_Ajustes_Manuais!$F:$F,"Empréstimos Gerais")</f>
        <v>0</v>
      </c>
      <c r="Q360" s="241">
        <v>0</v>
      </c>
      <c r="R360" s="27"/>
      <c r="S360" s="28">
        <f>-SUMIFS(Aut_Endividamentos!$N:$N,Aut_Endividamentos!$S:$S,DRE!Q$4,Aut_Endividamentos!$G:$G,$A360)+SUMIFS(Aut_Ajustes_Manuais!$G:$G,Aut_Ajustes_Manuais!$I:$I,DRE!Q$4,Aut_Ajustes_Manuais!$F:$F,"Empréstimos Gerais")</f>
        <v>0</v>
      </c>
      <c r="T360" s="241">
        <v>0</v>
      </c>
      <c r="U360" s="27"/>
      <c r="V360" s="28">
        <f>-SUMIFS(Aut_Endividamentos!$N:$N,Aut_Endividamentos!$S:$S,DRE!T$4,Aut_Endividamentos!$G:$G,$A360)+SUMIFS(Aut_Ajustes_Manuais!$G:$G,Aut_Ajustes_Manuais!$I:$I,DRE!T$4,Aut_Ajustes_Manuais!$F:$F,"Empréstimos Gerais")</f>
        <v>0</v>
      </c>
      <c r="W360" s="241">
        <v>0</v>
      </c>
      <c r="X360" s="27"/>
      <c r="Y360" s="28">
        <f>-SUMIFS(Aut_Endividamentos!$N:$N,Aut_Endividamentos!$S:$S,DRE!W$4,Aut_Endividamentos!$G:$G,$A360)+SUMIFS(Aut_Ajustes_Manuais!$G:$G,Aut_Ajustes_Manuais!$I:$I,DRE!W$4,Aut_Ajustes_Manuais!$F:$F,"Empréstimos Gerais")</f>
        <v>0</v>
      </c>
      <c r="Z360" s="241">
        <v>0</v>
      </c>
      <c r="AA360" s="27"/>
      <c r="AB360" s="28">
        <f>-SUMIFS(Aut_Endividamentos!$N:$N,Aut_Endividamentos!$S:$S,DRE!Z$4,Aut_Endividamentos!$G:$G,$A360)+SUMIFS(Aut_Ajustes_Manuais!$G:$G,Aut_Ajustes_Manuais!$I:$I,DRE!Z$4,Aut_Ajustes_Manuais!$F:$F,"Empréstimos Gerais")</f>
        <v>0</v>
      </c>
      <c r="AC360" s="241">
        <v>0</v>
      </c>
      <c r="AD360" s="27"/>
      <c r="AE360" s="28">
        <f>-SUMIFS(Aut_Endividamentos!$N:$N,Aut_Endividamentos!$S:$S,DRE!AC$4,Aut_Endividamentos!$G:$G,$A360)+SUMIFS(Aut_Ajustes_Manuais!$G:$G,Aut_Ajustes_Manuais!$I:$I,DRE!AC$4,Aut_Ajustes_Manuais!$F:$F,"Empréstimos Gerais")</f>
        <v>0</v>
      </c>
      <c r="AF360" s="241">
        <v>0</v>
      </c>
      <c r="AG360" s="27"/>
      <c r="AH360" s="28">
        <f>-SUMIFS(Aut_Endividamentos!$N:$N,Aut_Endividamentos!$S:$S,DRE!AF$4,Aut_Endividamentos!$G:$G,$A360)+SUMIFS(Aut_Ajustes_Manuais!$G:$G,Aut_Ajustes_Manuais!$I:$I,DRE!AF$4,Aut_Ajustes_Manuais!$F:$F,"Empréstimos Gerais")</f>
        <v>0</v>
      </c>
      <c r="AI360" s="241">
        <v>0</v>
      </c>
      <c r="AJ360" s="27"/>
      <c r="AK360" s="28">
        <f>-SUMIFS(Aut_Endividamentos!$N:$N,Aut_Endividamentos!$S:$S,DRE!AI$4,Aut_Endividamentos!$G:$G,$A360)+SUMIFS(Aut_Ajustes_Manuais!$G:$G,Aut_Ajustes_Manuais!$I:$I,DRE!AI$4,Aut_Ajustes_Manuais!$F:$F,"Empréstimos Gerais")</f>
        <v>0</v>
      </c>
      <c r="AL360" s="241">
        <v>0</v>
      </c>
      <c r="AM360" s="27"/>
      <c r="AN360" s="28">
        <f>-SUMIFS(Aut_Endividamentos!$N:$N,Aut_Endividamentos!$S:$S,DRE!AL$4,Aut_Endividamentos!$G:$G,$A360)+SUMIFS(Aut_Ajustes_Manuais!$G:$G,Aut_Ajustes_Manuais!$I:$I,DRE!AL$4,Aut_Ajustes_Manuais!$F:$F,"Empréstimos Gerais")</f>
        <v>0</v>
      </c>
      <c r="AO360" s="241">
        <v>0</v>
      </c>
      <c r="AP360" s="27"/>
      <c r="AQ360" s="28">
        <f>-SUMIFS(Aut_Endividamentos!$N:$N,Aut_Endividamentos!$S:$S,DRE!AO$4,Aut_Endividamentos!$G:$G,$A360)+SUMIFS(Aut_Ajustes_Manuais!$G:$G,Aut_Ajustes_Manuais!$I:$I,DRE!AO$4,Aut_Ajustes_Manuais!$F:$F,"Empréstimos Gerais")</f>
        <v>0</v>
      </c>
      <c r="AR360" s="241">
        <f t="shared" ca="1" si="322"/>
        <v>0</v>
      </c>
      <c r="AS360" s="27">
        <f t="shared" ca="1" si="323"/>
        <v>0</v>
      </c>
      <c r="AT360" s="28">
        <f t="shared" ca="1" si="324"/>
        <v>0</v>
      </c>
      <c r="AU360" s="241">
        <f t="shared" si="325"/>
        <v>0</v>
      </c>
      <c r="AV360" s="27">
        <f t="shared" si="325"/>
        <v>0</v>
      </c>
      <c r="AW360" s="28">
        <f t="shared" si="325"/>
        <v>0</v>
      </c>
      <c r="AX360" s="241">
        <f t="shared" si="326"/>
        <v>0</v>
      </c>
      <c r="AY360" s="27">
        <f t="shared" si="326"/>
        <v>0</v>
      </c>
      <c r="AZ360" s="28">
        <f t="shared" si="326"/>
        <v>0</v>
      </c>
      <c r="BA360" s="241">
        <f t="shared" si="327"/>
        <v>0</v>
      </c>
      <c r="BB360" s="27">
        <f t="shared" si="327"/>
        <v>0</v>
      </c>
      <c r="BC360" s="28">
        <f t="shared" si="327"/>
        <v>0</v>
      </c>
      <c r="BD360" s="241">
        <f t="shared" si="328"/>
        <v>0</v>
      </c>
      <c r="BE360" s="27">
        <f t="shared" si="328"/>
        <v>0</v>
      </c>
      <c r="BF360" s="28">
        <f t="shared" si="328"/>
        <v>0</v>
      </c>
      <c r="BG360" s="241">
        <f t="shared" si="329"/>
        <v>0</v>
      </c>
      <c r="BH360" s="27">
        <f t="shared" si="329"/>
        <v>0</v>
      </c>
      <c r="BI360" s="28">
        <f t="shared" si="329"/>
        <v>0</v>
      </c>
    </row>
    <row r="361" spans="1:61" s="29" customFormat="1" hidden="1" outlineLevel="1" x14ac:dyDescent="0.3">
      <c r="A361" s="143"/>
      <c r="B361" s="59"/>
      <c r="C361" s="144"/>
      <c r="D361" s="145"/>
      <c r="E361" s="145"/>
      <c r="F361" s="63"/>
      <c r="G361" s="33"/>
      <c r="H361" s="268"/>
      <c r="I361" s="146"/>
      <c r="J361" s="147"/>
      <c r="K361" s="268"/>
      <c r="L361" s="146"/>
      <c r="M361" s="147"/>
      <c r="N361" s="268"/>
      <c r="O361" s="146"/>
      <c r="P361" s="147"/>
      <c r="Q361" s="268"/>
      <c r="R361" s="146"/>
      <c r="S361" s="147"/>
      <c r="T361" s="268"/>
      <c r="U361" s="146"/>
      <c r="V361" s="147"/>
      <c r="W361" s="268"/>
      <c r="X361" s="146"/>
      <c r="Y361" s="147"/>
      <c r="Z361" s="268"/>
      <c r="AA361" s="146"/>
      <c r="AB361" s="147"/>
      <c r="AC361" s="268"/>
      <c r="AD361" s="146"/>
      <c r="AE361" s="147"/>
      <c r="AF361" s="268"/>
      <c r="AG361" s="146"/>
      <c r="AH361" s="147"/>
      <c r="AI361" s="268"/>
      <c r="AJ361" s="146"/>
      <c r="AK361" s="147"/>
      <c r="AL361" s="268"/>
      <c r="AM361" s="146"/>
      <c r="AN361" s="147"/>
      <c r="AO361" s="268"/>
      <c r="AP361" s="146"/>
      <c r="AQ361" s="147"/>
      <c r="AR361" s="241">
        <f t="shared" ca="1" si="322"/>
        <v>0</v>
      </c>
      <c r="AS361" s="27">
        <f t="shared" ca="1" si="323"/>
        <v>0</v>
      </c>
      <c r="AT361" s="28">
        <f t="shared" ca="1" si="324"/>
        <v>0</v>
      </c>
      <c r="AU361" s="268">
        <f t="shared" si="325"/>
        <v>0</v>
      </c>
      <c r="AV361" s="146">
        <f t="shared" si="325"/>
        <v>0</v>
      </c>
      <c r="AW361" s="147">
        <f t="shared" si="325"/>
        <v>0</v>
      </c>
      <c r="AX361" s="268">
        <f t="shared" si="326"/>
        <v>0</v>
      </c>
      <c r="AY361" s="146">
        <f t="shared" si="326"/>
        <v>0</v>
      </c>
      <c r="AZ361" s="147">
        <f t="shared" si="326"/>
        <v>0</v>
      </c>
      <c r="BA361" s="268">
        <f t="shared" si="327"/>
        <v>0</v>
      </c>
      <c r="BB361" s="146">
        <f t="shared" si="327"/>
        <v>0</v>
      </c>
      <c r="BC361" s="147">
        <f t="shared" si="327"/>
        <v>0</v>
      </c>
      <c r="BD361" s="268">
        <f t="shared" si="328"/>
        <v>0</v>
      </c>
      <c r="BE361" s="146">
        <f t="shared" si="328"/>
        <v>0</v>
      </c>
      <c r="BF361" s="147">
        <f t="shared" si="328"/>
        <v>0</v>
      </c>
      <c r="BG361" s="268">
        <f t="shared" si="329"/>
        <v>0</v>
      </c>
      <c r="BH361" s="146">
        <f t="shared" si="329"/>
        <v>0</v>
      </c>
      <c r="BI361" s="147">
        <f t="shared" si="329"/>
        <v>0</v>
      </c>
    </row>
    <row r="362" spans="1:61" s="29" customFormat="1" collapsed="1" x14ac:dyDescent="0.3">
      <c r="A362" s="148"/>
      <c r="B362" s="23"/>
      <c r="C362" s="3"/>
      <c r="D362" s="4"/>
      <c r="E362" s="16"/>
      <c r="F362" s="117"/>
      <c r="G362" s="33"/>
      <c r="H362" s="269"/>
      <c r="I362" s="117"/>
      <c r="J362" s="149"/>
      <c r="K362" s="269"/>
      <c r="L362" s="117"/>
      <c r="M362" s="149"/>
      <c r="N362" s="269"/>
      <c r="O362" s="117"/>
      <c r="P362" s="149"/>
      <c r="Q362" s="269"/>
      <c r="R362" s="117"/>
      <c r="S362" s="149"/>
      <c r="T362" s="269"/>
      <c r="U362" s="117"/>
      <c r="V362" s="149"/>
      <c r="W362" s="269"/>
      <c r="X362" s="117"/>
      <c r="Y362" s="149"/>
      <c r="Z362" s="269"/>
      <c r="AA362" s="117"/>
      <c r="AB362" s="149"/>
      <c r="AC362" s="269"/>
      <c r="AD362" s="117"/>
      <c r="AE362" s="149"/>
      <c r="AF362" s="269"/>
      <c r="AG362" s="117"/>
      <c r="AH362" s="149"/>
      <c r="AI362" s="269"/>
      <c r="AJ362" s="117"/>
      <c r="AK362" s="149"/>
      <c r="AL362" s="269"/>
      <c r="AM362" s="117"/>
      <c r="AN362" s="149"/>
      <c r="AO362" s="269"/>
      <c r="AP362" s="117"/>
      <c r="AQ362" s="149"/>
      <c r="AR362" s="269"/>
      <c r="AS362" s="117"/>
      <c r="AT362" s="149"/>
      <c r="AU362" s="269"/>
      <c r="AV362" s="117"/>
      <c r="AW362" s="149"/>
      <c r="AX362" s="269"/>
      <c r="AY362" s="117"/>
      <c r="AZ362" s="149"/>
      <c r="BA362" s="269"/>
      <c r="BB362" s="117"/>
      <c r="BC362" s="149"/>
      <c r="BD362" s="269"/>
      <c r="BE362" s="117"/>
      <c r="BF362" s="149"/>
      <c r="BG362" s="269"/>
      <c r="BH362" s="117"/>
      <c r="BI362" s="149"/>
    </row>
    <row r="363" spans="1:61" x14ac:dyDescent="0.3">
      <c r="A363" s="39" t="s">
        <v>373</v>
      </c>
      <c r="B363" s="59"/>
      <c r="C363" s="60"/>
      <c r="D363" s="61"/>
      <c r="E363" s="62"/>
      <c r="F363" s="63"/>
      <c r="G363" s="47"/>
      <c r="H363" s="244">
        <v>-16421.490000000002</v>
      </c>
      <c r="I363" s="42">
        <v>-1520.61</v>
      </c>
      <c r="J363" s="43">
        <f>SUM(J353,J334)+SUMIFS(Aut_Ajustes_Manuais!$G:$G,Aut_Ajustes_Manuais!$I:$I,DRE!H$4,Aut_Ajustes_Manuais!$F:$F,"Total - Variações s/ Resultado Líquido")</f>
        <v>-7073.34</v>
      </c>
      <c r="K363" s="244">
        <v>-9532.16</v>
      </c>
      <c r="L363" s="42">
        <v>-1520.61</v>
      </c>
      <c r="M363" s="43">
        <f>SUM(M353,M334)+SUMIFS(Aut_Ajustes_Manuais!$G:$G,Aut_Ajustes_Manuais!$I:$I,DRE!K$4,Aut_Ajustes_Manuais!$F:$F,"Total - Variações s/ Resultado Líquido")</f>
        <v>-1833.34</v>
      </c>
      <c r="N363" s="244">
        <v>-10360.299999999999</v>
      </c>
      <c r="O363" s="42">
        <v>-1520.61</v>
      </c>
      <c r="P363" s="43">
        <f>SUM(P353,P334)+SUMIFS(Aut_Ajustes_Manuais!$G:$G,Aut_Ajustes_Manuais!$I:$I,DRE!N$4,Aut_Ajustes_Manuais!$F:$F,"Total - Variações s/ Resultado Líquido")</f>
        <v>-2193.34</v>
      </c>
      <c r="Q363" s="244">
        <v>-18161.900000000001</v>
      </c>
      <c r="R363" s="42">
        <v>-8120.61</v>
      </c>
      <c r="S363" s="43">
        <f>SUM(S353,S334)+SUMIFS(Aut_Ajustes_Manuais!$G:$G,Aut_Ajustes_Manuais!$I:$I,DRE!Q$4,Aut_Ajustes_Manuais!$F:$F,"Total - Variações s/ Resultado Líquido")</f>
        <v>-1833.34</v>
      </c>
      <c r="T363" s="244">
        <v>-16300</v>
      </c>
      <c r="U363" s="42">
        <v>-1520.61</v>
      </c>
      <c r="V363" s="43">
        <f>SUM(V353,V334)+SUMIFS(Aut_Ajustes_Manuais!$G:$G,Aut_Ajustes_Manuais!$I:$I,DRE!T$4,Aut_Ajustes_Manuais!$F:$F,"Total - Variações s/ Resultado Líquido")</f>
        <v>-11769.460000000001</v>
      </c>
      <c r="W363" s="244">
        <v>-20500</v>
      </c>
      <c r="X363" s="42">
        <v>-1520.61</v>
      </c>
      <c r="Y363" s="43">
        <f>SUM(Y353,Y334)+SUMIFS(Aut_Ajustes_Manuais!$G:$G,Aut_Ajustes_Manuais!$I:$I,DRE!W$4,Aut_Ajustes_Manuais!$F:$F,"Total - Variações s/ Resultado Líquido")</f>
        <v>-17448.41</v>
      </c>
      <c r="Z363" s="244">
        <v>-13000</v>
      </c>
      <c r="AA363" s="42">
        <v>-8120.61</v>
      </c>
      <c r="AB363" s="43">
        <f>SUM(AB353,AB334)+SUMIFS(Aut_Ajustes_Manuais!$G:$G,Aut_Ajustes_Manuais!$I:$I,DRE!Z$4,Aut_Ajustes_Manuais!$F:$F,"Total - Variações s/ Resultado Líquido")</f>
        <v>-1300</v>
      </c>
      <c r="AC363" s="244">
        <v>-13615</v>
      </c>
      <c r="AD363" s="42">
        <v>-1520.61</v>
      </c>
      <c r="AE363" s="43">
        <f>SUM(AE353,AE334)+SUMIFS(Aut_Ajustes_Manuais!$G:$G,Aut_Ajustes_Manuais!$I:$I,DRE!AC$4,Aut_Ajustes_Manuais!$F:$F,"Total - Variações s/ Resultado Líquido")</f>
        <v>0</v>
      </c>
      <c r="AF363" s="244">
        <v>-14833.34</v>
      </c>
      <c r="AG363" s="42">
        <v>-1520.61</v>
      </c>
      <c r="AH363" s="43">
        <f>SUM(AH353,AH334)+SUMIFS(Aut_Ajustes_Manuais!$G:$G,Aut_Ajustes_Manuais!$I:$I,DRE!AF$4,Aut_Ajustes_Manuais!$F:$F,"Total - Variações s/ Resultado Líquido")</f>
        <v>0</v>
      </c>
      <c r="AI363" s="244">
        <v>-6867.27</v>
      </c>
      <c r="AJ363" s="42">
        <v>-8120.61</v>
      </c>
      <c r="AK363" s="43">
        <f>SUM(AK353,AK334)+SUMIFS(Aut_Ajustes_Manuais!$G:$G,Aut_Ajustes_Manuais!$I:$I,DRE!AI$4,Aut_Ajustes_Manuais!$F:$F,"Total - Variações s/ Resultado Líquido")</f>
        <v>0</v>
      </c>
      <c r="AL363" s="244">
        <v>-14793.34</v>
      </c>
      <c r="AM363" s="42">
        <v>-1520.61</v>
      </c>
      <c r="AN363" s="43">
        <f>SUM(AN353,AN334)+SUMIFS(Aut_Ajustes_Manuais!$G:$G,Aut_Ajustes_Manuais!$I:$I,DRE!AL$4,Aut_Ajustes_Manuais!$F:$F,"Total - Variações s/ Resultado Líquido")</f>
        <v>0</v>
      </c>
      <c r="AO363" s="244">
        <v>-2253.84</v>
      </c>
      <c r="AP363" s="42">
        <v>-1520.61</v>
      </c>
      <c r="AQ363" s="43">
        <f>SUM(AQ353,AQ334)+SUMIFS(Aut_Ajustes_Manuais!$G:$G,Aut_Ajustes_Manuais!$I:$I,DRE!AO$4,Aut_Ajustes_Manuais!$F:$F,"Total - Variações s/ Resultado Líquido")</f>
        <v>0</v>
      </c>
      <c r="AR363" s="244">
        <f t="shared" ref="AR363:BI363" ca="1" si="330">SUM(AR353,AR334)</f>
        <v>-91275.85</v>
      </c>
      <c r="AS363" s="42">
        <f t="shared" ca="1" si="330"/>
        <v>-15723.66</v>
      </c>
      <c r="AT363" s="43">
        <f t="shared" ca="1" si="330"/>
        <v>-42151.23</v>
      </c>
      <c r="AU363" s="244">
        <f t="shared" si="330"/>
        <v>-156638.63999999998</v>
      </c>
      <c r="AV363" s="42">
        <f t="shared" si="330"/>
        <v>-38047.320000000007</v>
      </c>
      <c r="AW363" s="43">
        <f t="shared" si="330"/>
        <v>-43451.23</v>
      </c>
      <c r="AX363" s="244">
        <f t="shared" si="330"/>
        <v>-36313.950000000004</v>
      </c>
      <c r="AY363" s="42">
        <f t="shared" si="330"/>
        <v>-4561.83</v>
      </c>
      <c r="AZ363" s="43">
        <f t="shared" si="330"/>
        <v>-11100.02</v>
      </c>
      <c r="BA363" s="244">
        <f t="shared" si="330"/>
        <v>-54961.9</v>
      </c>
      <c r="BB363" s="42">
        <f t="shared" si="330"/>
        <v>-11161.83</v>
      </c>
      <c r="BC363" s="43">
        <f t="shared" si="330"/>
        <v>-31051.210000000003</v>
      </c>
      <c r="BD363" s="244">
        <f t="shared" si="330"/>
        <v>-41448.339999999997</v>
      </c>
      <c r="BE363" s="42">
        <f t="shared" si="330"/>
        <v>-11161.83</v>
      </c>
      <c r="BF363" s="43">
        <f t="shared" si="330"/>
        <v>-1300</v>
      </c>
      <c r="BG363" s="244">
        <f t="shared" si="330"/>
        <v>-23914.45</v>
      </c>
      <c r="BH363" s="42">
        <f t="shared" si="330"/>
        <v>-11161.83</v>
      </c>
      <c r="BI363" s="43">
        <f t="shared" si="330"/>
        <v>0</v>
      </c>
    </row>
    <row r="364" spans="1:61" s="29" customFormat="1" x14ac:dyDescent="0.3">
      <c r="A364" s="148"/>
      <c r="B364" s="23"/>
      <c r="C364" s="3"/>
      <c r="D364" s="4"/>
      <c r="E364" s="16"/>
      <c r="F364" s="117"/>
      <c r="G364" s="33"/>
      <c r="H364" s="269"/>
      <c r="I364" s="117"/>
      <c r="J364" s="149"/>
      <c r="K364" s="269"/>
      <c r="L364" s="117"/>
      <c r="M364" s="149"/>
      <c r="N364" s="269"/>
      <c r="O364" s="117"/>
      <c r="P364" s="149"/>
      <c r="Q364" s="269"/>
      <c r="R364" s="117"/>
      <c r="S364" s="149"/>
      <c r="T364" s="269"/>
      <c r="U364" s="117"/>
      <c r="V364" s="149"/>
      <c r="W364" s="269"/>
      <c r="X364" s="117"/>
      <c r="Y364" s="149"/>
      <c r="Z364" s="269"/>
      <c r="AA364" s="117"/>
      <c r="AB364" s="149"/>
      <c r="AC364" s="269"/>
      <c r="AD364" s="117"/>
      <c r="AE364" s="149"/>
      <c r="AF364" s="269"/>
      <c r="AG364" s="117"/>
      <c r="AH364" s="149"/>
      <c r="AI364" s="269"/>
      <c r="AJ364" s="117"/>
      <c r="AK364" s="149"/>
      <c r="AL364" s="269"/>
      <c r="AM364" s="117"/>
      <c r="AN364" s="149"/>
      <c r="AO364" s="269"/>
      <c r="AP364" s="117"/>
      <c r="AQ364" s="149"/>
      <c r="AR364" s="269"/>
      <c r="AS364" s="117"/>
      <c r="AT364" s="149"/>
      <c r="AU364" s="269"/>
      <c r="AV364" s="117"/>
      <c r="AW364" s="149"/>
      <c r="AX364" s="269"/>
      <c r="AY364" s="117"/>
      <c r="AZ364" s="149"/>
      <c r="BA364" s="269"/>
      <c r="BB364" s="117"/>
      <c r="BC364" s="149"/>
      <c r="BD364" s="269"/>
      <c r="BE364" s="117"/>
      <c r="BF364" s="149"/>
      <c r="BG364" s="269"/>
      <c r="BH364" s="117"/>
      <c r="BI364" s="149"/>
    </row>
    <row r="365" spans="1:61" x14ac:dyDescent="0.3">
      <c r="A365" s="150" t="s">
        <v>374</v>
      </c>
      <c r="B365" s="59"/>
      <c r="C365" s="60"/>
      <c r="D365" s="61"/>
      <c r="E365" s="62"/>
      <c r="F365" s="63"/>
      <c r="G365" s="47"/>
      <c r="H365" s="294">
        <v>-142914.4428929057</v>
      </c>
      <c r="I365" s="295">
        <v>-88464.900191955312</v>
      </c>
      <c r="J365" s="296">
        <f>SUM(J363,J331)+SUMIFS(Aut_Ajustes_Manuais!$G:$G,Aut_Ajustes_Manuais!$I:$I,DRE!H$4,Aut_Ajustes_Manuais!$F:$F,"FCF")</f>
        <v>-70080.668304331528</v>
      </c>
      <c r="K365" s="294">
        <v>-111837.9566262124</v>
      </c>
      <c r="L365" s="295">
        <v>-75260.05419067599</v>
      </c>
      <c r="M365" s="296">
        <f>SUM(M363,M331)+SUMIFS(Aut_Ajustes_Manuais!$G:$G,Aut_Ajustes_Manuais!$I:$I,DRE!K$4,Aut_Ajustes_Manuais!$F:$F,"FCF")</f>
        <v>-47932.003520279766</v>
      </c>
      <c r="N365" s="294">
        <v>-70052.929546471991</v>
      </c>
      <c r="O365" s="295">
        <v>-39289.055203099233</v>
      </c>
      <c r="P365" s="296">
        <f>SUM(P363,P331)+SUMIFS(Aut_Ajustes_Manuais!$G:$G,Aut_Ajustes_Manuais!$I:$I,DRE!N$4,Aut_Ajustes_Manuais!$F:$F,"FCF")</f>
        <v>295.31604782280556</v>
      </c>
      <c r="Q365" s="294">
        <v>-64357.187334656701</v>
      </c>
      <c r="R365" s="295">
        <v>-55047.643739561703</v>
      </c>
      <c r="S365" s="296">
        <f>SUM(S363,S331)+SUMIFS(Aut_Ajustes_Manuais!$G:$G,Aut_Ajustes_Manuais!$I:$I,DRE!Q$4,Aut_Ajustes_Manuais!$F:$F,"FCF")</f>
        <v>-65185.485658819351</v>
      </c>
      <c r="T365" s="294">
        <v>-82881.703880050045</v>
      </c>
      <c r="U365" s="295">
        <v>-53210.448213525728</v>
      </c>
      <c r="V365" s="296">
        <f>SUM(V363,V331)+SUMIFS(Aut_Ajustes_Manuais!$G:$G,Aut_Ajustes_Manuais!$I:$I,DRE!T$4,Aut_Ajustes_Manuais!$F:$F,"FCF")</f>
        <v>-81698.865824477776</v>
      </c>
      <c r="W365" s="294">
        <v>-26610.56203398246</v>
      </c>
      <c r="X365" s="295">
        <v>-67088.338263868121</v>
      </c>
      <c r="Y365" s="296">
        <f>SUM(Y363,Y331)+SUMIFS(Aut_Ajustes_Manuais!$G:$G,Aut_Ajustes_Manuais!$I:$I,DRE!W$4,Aut_Ajustes_Manuais!$F:$F,"FCF")</f>
        <v>-85383.041985041171</v>
      </c>
      <c r="Z365" s="294">
        <v>-37580.007606786407</v>
      </c>
      <c r="AA365" s="295">
        <v>-20469.47409359966</v>
      </c>
      <c r="AB365" s="296">
        <f>SUM(AB363,AB331)+SUMIFS(Aut_Ajustes_Manuais!$G:$G,Aut_Ajustes_Manuais!$I:$I,DRE!Z$4,Aut_Ajustes_Manuais!$F:$F,"FCF")</f>
        <v>-212885.45756032912</v>
      </c>
      <c r="AC365" s="294">
        <v>-34802.059826610879</v>
      </c>
      <c r="AD365" s="295">
        <v>-28933.792255267352</v>
      </c>
      <c r="AE365" s="296">
        <f>SUM(AE363,AE331)+SUMIFS(Aut_Ajustes_Manuais!$G:$G,Aut_Ajustes_Manuais!$I:$I,DRE!AC$4,Aut_Ajustes_Manuais!$F:$F,"FCF")</f>
        <v>-294875.28702619486</v>
      </c>
      <c r="AF365" s="294">
        <v>-90727.694935932333</v>
      </c>
      <c r="AG365" s="295">
        <v>-52059.314891716538</v>
      </c>
      <c r="AH365" s="296">
        <f>SUM(AH363,AH331)+SUMIFS(Aut_Ajustes_Manuais!$G:$G,Aut_Ajustes_Manuais!$I:$I,DRE!AF$4,Aut_Ajustes_Manuais!$F:$F,"FCF")</f>
        <v>-249049.66004807665</v>
      </c>
      <c r="AI365" s="294">
        <v>-16158.90059257161</v>
      </c>
      <c r="AJ365" s="295">
        <v>-9165.9035746366135</v>
      </c>
      <c r="AK365" s="296">
        <f>SUM(AK363,AK331)+SUMIFS(Aut_Ajustes_Manuais!$G:$G,Aut_Ajustes_Manuais!$I:$I,DRE!AI$4,Aut_Ajustes_Manuais!$F:$F,"FCF")</f>
        <v>-240741.88212077232</v>
      </c>
      <c r="AL365" s="294">
        <v>-57580.673752764371</v>
      </c>
      <c r="AM365" s="295">
        <v>-30337.832353422211</v>
      </c>
      <c r="AN365" s="296">
        <f>SUM(AN363,AN331)+SUMIFS(Aut_Ajustes_Manuais!$G:$G,Aut_Ajustes_Manuais!$I:$I,DRE!AL$4,Aut_Ajustes_Manuais!$F:$F,"FCF")</f>
        <v>-236986.15423389769</v>
      </c>
      <c r="AO365" s="294">
        <v>157453.4391099654</v>
      </c>
      <c r="AP365" s="295">
        <v>24208.933178986761</v>
      </c>
      <c r="AQ365" s="296">
        <f>SUM(AQ363,AQ331)+SUMIFS(Aut_Ajustes_Manuais!$G:$G,Aut_Ajustes_Manuais!$I:$I,DRE!AO$4,Aut_Ajustes_Manuais!$F:$F,"FCF")</f>
        <v>-242787.5967466422</v>
      </c>
      <c r="AR365" s="294">
        <f t="shared" ref="AR365:BI365" ca="1" si="331">SUM(AR363,AR331)</f>
        <v>-498654.78231427993</v>
      </c>
      <c r="AS365" s="295">
        <f t="shared" ca="1" si="331"/>
        <v>-378360.4398026854</v>
      </c>
      <c r="AT365" s="296">
        <f t="shared" ca="1" si="331"/>
        <v>-349984.74924512673</v>
      </c>
      <c r="AU365" s="294">
        <f t="shared" si="331"/>
        <v>-578050.67991897953</v>
      </c>
      <c r="AV365" s="295">
        <f t="shared" si="331"/>
        <v>-495117.82379234239</v>
      </c>
      <c r="AW365" s="296">
        <f t="shared" si="331"/>
        <v>-1827310.7869810399</v>
      </c>
      <c r="AX365" s="294">
        <f t="shared" si="331"/>
        <v>-324805.32906559011</v>
      </c>
      <c r="AY365" s="295">
        <f t="shared" si="331"/>
        <v>-203014.00958573038</v>
      </c>
      <c r="AZ365" s="296">
        <f t="shared" si="331"/>
        <v>-117717.35577678851</v>
      </c>
      <c r="BA365" s="294">
        <f t="shared" si="331"/>
        <v>-173849.4532486893</v>
      </c>
      <c r="BB365" s="295">
        <f t="shared" si="331"/>
        <v>-175346.43021695525</v>
      </c>
      <c r="BC365" s="296">
        <f t="shared" si="331"/>
        <v>-232267.39346833856</v>
      </c>
      <c r="BD365" s="294">
        <f t="shared" si="331"/>
        <v>-163109.7623693301</v>
      </c>
      <c r="BE365" s="295">
        <f t="shared" si="331"/>
        <v>-101462.58124058343</v>
      </c>
      <c r="BF365" s="296">
        <f t="shared" si="331"/>
        <v>-756810.40463460051</v>
      </c>
      <c r="BG365" s="294">
        <f t="shared" si="331"/>
        <v>83713.864764629252</v>
      </c>
      <c r="BH365" s="295">
        <f t="shared" si="331"/>
        <v>-15294.802749072011</v>
      </c>
      <c r="BI365" s="296">
        <f t="shared" si="331"/>
        <v>-720515.63310131221</v>
      </c>
    </row>
    <row r="366" spans="1:61" s="29" customFormat="1" x14ac:dyDescent="0.3">
      <c r="A366" s="148"/>
      <c r="B366" s="23"/>
      <c r="C366" s="3"/>
      <c r="D366" s="4"/>
      <c r="E366" s="16"/>
      <c r="F366" s="117"/>
      <c r="G366" s="33"/>
      <c r="H366" s="269"/>
      <c r="I366" s="117"/>
      <c r="J366" s="149"/>
      <c r="K366" s="269"/>
      <c r="L366" s="117"/>
      <c r="M366" s="149"/>
      <c r="N366" s="269"/>
      <c r="O366" s="117"/>
      <c r="P366" s="149"/>
      <c r="Q366" s="269"/>
      <c r="R366" s="117"/>
      <c r="S366" s="149"/>
      <c r="T366" s="269"/>
      <c r="U366" s="117"/>
      <c r="V366" s="149"/>
      <c r="W366" s="269"/>
      <c r="X366" s="117"/>
      <c r="Y366" s="149"/>
      <c r="Z366" s="269"/>
      <c r="AA366" s="117"/>
      <c r="AB366" s="149"/>
      <c r="AC366" s="269"/>
      <c r="AD366" s="117"/>
      <c r="AE366" s="149"/>
      <c r="AF366" s="269"/>
      <c r="AG366" s="117"/>
      <c r="AH366" s="149"/>
      <c r="AI366" s="269"/>
      <c r="AJ366" s="117"/>
      <c r="AK366" s="149"/>
      <c r="AL366" s="269"/>
      <c r="AM366" s="117"/>
      <c r="AN366" s="149"/>
      <c r="AO366" s="269"/>
      <c r="AP366" s="117"/>
      <c r="AQ366" s="149"/>
      <c r="AR366" s="269"/>
      <c r="AS366" s="117"/>
      <c r="AT366" s="149"/>
      <c r="AU366" s="269"/>
      <c r="AV366" s="117"/>
      <c r="AW366" s="149"/>
      <c r="AX366" s="269"/>
      <c r="AY366" s="117"/>
      <c r="AZ366" s="149"/>
      <c r="BA366" s="269"/>
      <c r="BB366" s="117"/>
      <c r="BC366" s="149"/>
      <c r="BD366" s="269"/>
      <c r="BE366" s="117"/>
      <c r="BF366" s="149"/>
      <c r="BG366" s="269"/>
      <c r="BH366" s="117"/>
      <c r="BI366" s="149"/>
    </row>
    <row r="367" spans="1:61" s="29" customFormat="1" x14ac:dyDescent="0.3">
      <c r="A367" s="150"/>
      <c r="B367" s="59"/>
      <c r="C367" s="60"/>
      <c r="D367" s="61"/>
      <c r="E367" s="62"/>
      <c r="F367" s="63"/>
      <c r="G367" s="33"/>
      <c r="H367" s="270"/>
      <c r="I367" s="151"/>
      <c r="J367" s="152"/>
      <c r="K367" s="270"/>
      <c r="L367" s="151"/>
      <c r="M367" s="152"/>
      <c r="N367" s="270"/>
      <c r="O367" s="151"/>
      <c r="P367" s="152"/>
      <c r="Q367" s="270"/>
      <c r="R367" s="151"/>
      <c r="S367" s="152"/>
      <c r="T367" s="270"/>
      <c r="U367" s="151"/>
      <c r="V367" s="152"/>
      <c r="W367" s="270"/>
      <c r="X367" s="151"/>
      <c r="Y367" s="152"/>
      <c r="Z367" s="270"/>
      <c r="AA367" s="151"/>
      <c r="AB367" s="152"/>
      <c r="AC367" s="270"/>
      <c r="AD367" s="151"/>
      <c r="AE367" s="152"/>
      <c r="AF367" s="270"/>
      <c r="AG367" s="151"/>
      <c r="AH367" s="152"/>
      <c r="AI367" s="270"/>
      <c r="AJ367" s="151"/>
      <c r="AK367" s="152"/>
      <c r="AL367" s="270"/>
      <c r="AM367" s="151"/>
      <c r="AN367" s="152"/>
      <c r="AO367" s="270"/>
      <c r="AP367" s="151"/>
      <c r="AQ367" s="152"/>
      <c r="AR367" s="270"/>
      <c r="AS367" s="151"/>
      <c r="AT367" s="152"/>
      <c r="AU367" s="270"/>
      <c r="AV367" s="151"/>
      <c r="AW367" s="152"/>
      <c r="AX367" s="270"/>
      <c r="AY367" s="151"/>
      <c r="AZ367" s="152"/>
      <c r="BA367" s="270"/>
      <c r="BB367" s="151"/>
      <c r="BC367" s="152"/>
      <c r="BD367" s="270"/>
      <c r="BE367" s="151"/>
      <c r="BF367" s="152"/>
      <c r="BG367" s="270"/>
      <c r="BH367" s="151"/>
      <c r="BI367" s="152"/>
    </row>
    <row r="368" spans="1:61" ht="15" customHeight="1" thickBot="1" x14ac:dyDescent="0.35">
      <c r="A368" s="153"/>
      <c r="C368" s="60"/>
      <c r="D368" s="61"/>
      <c r="E368" s="61"/>
      <c r="G368" s="47"/>
      <c r="H368" s="271"/>
      <c r="I368" s="154"/>
      <c r="J368" s="155"/>
      <c r="K368" s="271"/>
      <c r="L368" s="154"/>
      <c r="M368" s="155"/>
      <c r="N368" s="271"/>
      <c r="O368" s="154"/>
      <c r="P368" s="155"/>
      <c r="Q368" s="271"/>
      <c r="R368" s="154"/>
      <c r="S368" s="155"/>
      <c r="T368" s="271"/>
      <c r="U368" s="154"/>
      <c r="V368" s="155"/>
      <c r="W368" s="271"/>
      <c r="X368" s="154"/>
      <c r="Y368" s="155"/>
      <c r="Z368" s="271"/>
      <c r="AA368" s="154"/>
      <c r="AB368" s="155"/>
      <c r="AC368" s="271"/>
      <c r="AD368" s="154"/>
      <c r="AE368" s="155"/>
      <c r="AF368" s="271"/>
      <c r="AG368" s="154"/>
      <c r="AH368" s="155"/>
      <c r="AI368" s="271"/>
      <c r="AJ368" s="154"/>
      <c r="AK368" s="155"/>
      <c r="AL368" s="271"/>
      <c r="AM368" s="154"/>
      <c r="AN368" s="155"/>
      <c r="AO368" s="271"/>
      <c r="AP368" s="154"/>
      <c r="AQ368" s="155"/>
      <c r="AR368" s="271"/>
      <c r="AS368" s="154"/>
      <c r="AT368" s="155"/>
      <c r="AU368" s="271"/>
      <c r="AV368" s="154"/>
      <c r="AW368" s="155"/>
      <c r="AX368" s="271"/>
      <c r="AY368" s="154"/>
      <c r="AZ368" s="155"/>
      <c r="BA368" s="271"/>
      <c r="BB368" s="154"/>
      <c r="BC368" s="155"/>
      <c r="BD368" s="271"/>
      <c r="BE368" s="154"/>
      <c r="BF368" s="155"/>
      <c r="BG368" s="271"/>
      <c r="BH368" s="154"/>
      <c r="BI368" s="155"/>
    </row>
    <row r="369" spans="1:61" s="14" customFormat="1" ht="25.8" customHeight="1" thickBot="1" x14ac:dyDescent="0.35">
      <c r="A369" s="156" t="s">
        <v>375</v>
      </c>
      <c r="B369" s="157"/>
      <c r="C369" s="158"/>
      <c r="D369" s="159"/>
      <c r="E369" s="160"/>
      <c r="F369" s="161"/>
      <c r="G369" s="157"/>
      <c r="H369" s="272"/>
      <c r="I369" s="161"/>
      <c r="J369" s="162"/>
      <c r="K369" s="272"/>
      <c r="L369" s="161"/>
      <c r="M369" s="162"/>
      <c r="N369" s="272"/>
      <c r="O369" s="161"/>
      <c r="P369" s="162"/>
      <c r="Q369" s="272"/>
      <c r="R369" s="161"/>
      <c r="S369" s="162"/>
      <c r="T369" s="272"/>
      <c r="U369" s="161"/>
      <c r="V369" s="162"/>
      <c r="W369" s="272"/>
      <c r="X369" s="161"/>
      <c r="Y369" s="162"/>
      <c r="Z369" s="272"/>
      <c r="AA369" s="161"/>
      <c r="AB369" s="162"/>
      <c r="AC369" s="272"/>
      <c r="AD369" s="161"/>
      <c r="AE369" s="162"/>
      <c r="AF369" s="272"/>
      <c r="AG369" s="161"/>
      <c r="AH369" s="162"/>
      <c r="AI369" s="272"/>
      <c r="AJ369" s="161"/>
      <c r="AK369" s="162"/>
      <c r="AL369" s="272"/>
      <c r="AM369" s="161"/>
      <c r="AN369" s="162"/>
      <c r="AO369" s="272"/>
      <c r="AP369" s="161"/>
      <c r="AQ369" s="162"/>
      <c r="AR369" s="272"/>
      <c r="AS369" s="161"/>
      <c r="AT369" s="162"/>
      <c r="AU369" s="272"/>
      <c r="AV369" s="161"/>
      <c r="AW369" s="162"/>
      <c r="AX369" s="272"/>
      <c r="AY369" s="161"/>
      <c r="AZ369" s="162"/>
      <c r="BA369" s="272"/>
      <c r="BB369" s="161"/>
      <c r="BC369" s="162"/>
      <c r="BD369" s="272"/>
      <c r="BE369" s="161"/>
      <c r="BF369" s="162"/>
      <c r="BG369" s="272"/>
      <c r="BH369" s="161"/>
      <c r="BI369" s="162"/>
    </row>
    <row r="370" spans="1:61" s="29" customFormat="1" hidden="1" outlineLevel="1" x14ac:dyDescent="0.3">
      <c r="A370" s="163"/>
      <c r="B370" s="23"/>
      <c r="C370" s="3"/>
      <c r="D370" s="4"/>
      <c r="E370" s="4"/>
      <c r="F370" s="23"/>
      <c r="G370" s="56"/>
      <c r="H370" s="273"/>
      <c r="I370" s="23"/>
      <c r="J370" s="164"/>
      <c r="K370" s="273"/>
      <c r="L370" s="23"/>
      <c r="M370" s="164"/>
      <c r="N370" s="273"/>
      <c r="O370" s="23"/>
      <c r="P370" s="164"/>
      <c r="Q370" s="273"/>
      <c r="R370" s="23"/>
      <c r="S370" s="164"/>
      <c r="T370" s="273"/>
      <c r="U370" s="23"/>
      <c r="V370" s="164"/>
      <c r="W370" s="273"/>
      <c r="X370" s="23"/>
      <c r="Y370" s="164"/>
      <c r="Z370" s="273"/>
      <c r="AA370" s="23"/>
      <c r="AB370" s="164"/>
      <c r="AC370" s="273"/>
      <c r="AD370" s="23"/>
      <c r="AE370" s="164"/>
      <c r="AF370" s="273"/>
      <c r="AG370" s="23"/>
      <c r="AH370" s="164"/>
      <c r="AI370" s="273"/>
      <c r="AJ370" s="23"/>
      <c r="AK370" s="164"/>
      <c r="AL370" s="273"/>
      <c r="AM370" s="23"/>
      <c r="AN370" s="164"/>
      <c r="AO370" s="273"/>
      <c r="AP370" s="23"/>
      <c r="AQ370" s="164"/>
      <c r="AR370" s="273"/>
      <c r="AS370" s="23"/>
      <c r="AT370" s="164"/>
      <c r="AU370" s="273"/>
      <c r="AV370" s="23"/>
      <c r="AW370" s="164"/>
      <c r="AX370" s="273"/>
      <c r="AY370" s="23"/>
      <c r="AZ370" s="164"/>
      <c r="BA370" s="273"/>
      <c r="BB370" s="23"/>
      <c r="BC370" s="164"/>
      <c r="BD370" s="273"/>
      <c r="BE370" s="23"/>
      <c r="BF370" s="164"/>
      <c r="BG370" s="273"/>
      <c r="BH370" s="23"/>
      <c r="BI370" s="164"/>
    </row>
    <row r="371" spans="1:61" s="29" customFormat="1" hidden="1" outlineLevel="1" x14ac:dyDescent="0.3">
      <c r="A371" s="165" t="s">
        <v>376</v>
      </c>
      <c r="B371" s="2"/>
      <c r="C371" s="3"/>
      <c r="D371" s="4"/>
      <c r="E371" s="16"/>
      <c r="F371" s="117"/>
      <c r="G371" s="56"/>
      <c r="H371" s="274"/>
      <c r="I371" s="166" t="s">
        <v>377</v>
      </c>
      <c r="J371" s="275"/>
      <c r="K371" s="274"/>
      <c r="L371" s="166" t="s">
        <v>378</v>
      </c>
      <c r="M371" s="275"/>
      <c r="N371" s="274"/>
      <c r="O371" s="166" t="s">
        <v>379</v>
      </c>
      <c r="P371" s="275"/>
      <c r="Q371" s="274"/>
      <c r="R371" s="166" t="s">
        <v>380</v>
      </c>
      <c r="S371" s="275"/>
      <c r="T371" s="274"/>
      <c r="U371" s="166" t="s">
        <v>381</v>
      </c>
      <c r="V371" s="275"/>
      <c r="W371" s="274"/>
      <c r="X371" s="166" t="s">
        <v>382</v>
      </c>
      <c r="Y371" s="275"/>
      <c r="Z371" s="274"/>
      <c r="AA371" s="166" t="s">
        <v>383</v>
      </c>
      <c r="AB371" s="275"/>
      <c r="AC371" s="274"/>
      <c r="AD371" s="166" t="s">
        <v>384</v>
      </c>
      <c r="AE371" s="275"/>
      <c r="AF371" s="274"/>
      <c r="AG371" s="166" t="s">
        <v>385</v>
      </c>
      <c r="AH371" s="275"/>
      <c r="AI371" s="274"/>
      <c r="AJ371" s="166" t="s">
        <v>386</v>
      </c>
      <c r="AK371" s="275"/>
      <c r="AL371" s="274"/>
      <c r="AM371" s="166" t="s">
        <v>387</v>
      </c>
      <c r="AN371" s="275"/>
      <c r="AO371" s="274"/>
      <c r="AP371" s="166" t="s">
        <v>388</v>
      </c>
      <c r="AQ371" s="275"/>
      <c r="AR371" s="274"/>
      <c r="AS371" s="166" t="s">
        <v>389</v>
      </c>
      <c r="AT371" s="275"/>
      <c r="AU371" s="274"/>
      <c r="AV371" s="166"/>
      <c r="AW371" s="275"/>
      <c r="AX371" s="274"/>
      <c r="AY371" s="166" t="s">
        <v>3</v>
      </c>
      <c r="AZ371" s="275"/>
      <c r="BA371" s="274"/>
      <c r="BB371" s="166" t="s">
        <v>4</v>
      </c>
      <c r="BC371" s="275"/>
      <c r="BD371" s="274"/>
      <c r="BE371" s="166" t="s">
        <v>5</v>
      </c>
      <c r="BF371" s="275"/>
      <c r="BG371" s="274"/>
      <c r="BH371" s="166" t="s">
        <v>6</v>
      </c>
      <c r="BI371" s="275"/>
    </row>
    <row r="372" spans="1:61" s="29" customFormat="1" hidden="1" outlineLevel="1" x14ac:dyDescent="0.3">
      <c r="A372" s="148"/>
      <c r="B372" s="23"/>
      <c r="C372" s="3"/>
      <c r="D372" s="4"/>
      <c r="E372" s="16"/>
      <c r="F372" s="117"/>
      <c r="G372" s="56"/>
      <c r="H372" s="269"/>
      <c r="I372" s="117"/>
      <c r="J372" s="149"/>
      <c r="K372" s="269"/>
      <c r="L372" s="117"/>
      <c r="M372" s="149"/>
      <c r="N372" s="269"/>
      <c r="O372" s="117"/>
      <c r="P372" s="149"/>
      <c r="Q372" s="269"/>
      <c r="R372" s="117"/>
      <c r="S372" s="149"/>
      <c r="T372" s="269"/>
      <c r="U372" s="117"/>
      <c r="V372" s="149"/>
      <c r="W372" s="269"/>
      <c r="X372" s="117"/>
      <c r="Y372" s="149"/>
      <c r="Z372" s="269"/>
      <c r="AA372" s="117"/>
      <c r="AB372" s="149"/>
      <c r="AC372" s="269"/>
      <c r="AD372" s="117"/>
      <c r="AE372" s="149"/>
      <c r="AF372" s="269"/>
      <c r="AG372" s="117"/>
      <c r="AH372" s="149"/>
      <c r="AI372" s="269"/>
      <c r="AJ372" s="117"/>
      <c r="AK372" s="149"/>
      <c r="AL372" s="269"/>
      <c r="AM372" s="117"/>
      <c r="AN372" s="149"/>
      <c r="AO372" s="269"/>
      <c r="AP372" s="117"/>
      <c r="AQ372" s="149"/>
      <c r="AR372" s="269"/>
      <c r="AS372" s="117"/>
      <c r="AT372" s="149"/>
      <c r="AU372" s="269"/>
      <c r="AV372" s="117"/>
      <c r="AW372" s="149"/>
      <c r="AX372" s="269"/>
      <c r="AY372" s="117"/>
      <c r="AZ372" s="149"/>
      <c r="BA372" s="269"/>
      <c r="BB372" s="117"/>
      <c r="BC372" s="149"/>
      <c r="BD372" s="269"/>
      <c r="BE372" s="117"/>
      <c r="BF372" s="149"/>
      <c r="BG372" s="269"/>
      <c r="BH372" s="117"/>
      <c r="BI372" s="149"/>
    </row>
    <row r="373" spans="1:61" s="29" customFormat="1" hidden="1" outlineLevel="2" x14ac:dyDescent="0.3">
      <c r="A373" s="71" t="s">
        <v>390</v>
      </c>
      <c r="B373" s="2"/>
      <c r="C373" s="60"/>
      <c r="D373" s="61"/>
      <c r="E373" s="61"/>
      <c r="F373" s="41"/>
      <c r="G373" s="56"/>
      <c r="H373" s="276"/>
      <c r="I373" s="167"/>
      <c r="J373" s="168"/>
      <c r="K373" s="276"/>
      <c r="L373" s="167"/>
      <c r="M373" s="168"/>
      <c r="N373" s="276"/>
      <c r="O373" s="167"/>
      <c r="P373" s="168"/>
      <c r="Q373" s="276"/>
      <c r="R373" s="167"/>
      <c r="S373" s="168"/>
      <c r="T373" s="276"/>
      <c r="U373" s="167"/>
      <c r="V373" s="168"/>
      <c r="W373" s="276"/>
      <c r="X373" s="167"/>
      <c r="Y373" s="168"/>
      <c r="Z373" s="276"/>
      <c r="AA373" s="167"/>
      <c r="AB373" s="168"/>
      <c r="AC373" s="276"/>
      <c r="AD373" s="167"/>
      <c r="AE373" s="168"/>
      <c r="AF373" s="276"/>
      <c r="AG373" s="167"/>
      <c r="AH373" s="168"/>
      <c r="AI373" s="276"/>
      <c r="AJ373" s="167"/>
      <c r="AK373" s="168"/>
      <c r="AL373" s="276"/>
      <c r="AM373" s="167"/>
      <c r="AN373" s="168"/>
      <c r="AO373" s="276"/>
      <c r="AP373" s="167"/>
      <c r="AQ373" s="168"/>
      <c r="AR373" s="276"/>
      <c r="AS373" s="167"/>
      <c r="AT373" s="168"/>
      <c r="AU373" s="276"/>
      <c r="AV373" s="167"/>
      <c r="AW373" s="168"/>
      <c r="AX373" s="276"/>
      <c r="AY373" s="167"/>
      <c r="AZ373" s="168"/>
      <c r="BA373" s="276"/>
      <c r="BB373" s="167"/>
      <c r="BC373" s="168"/>
      <c r="BD373" s="276"/>
      <c r="BE373" s="167"/>
      <c r="BF373" s="168"/>
      <c r="BG373" s="276"/>
      <c r="BH373" s="167"/>
      <c r="BI373" s="168"/>
    </row>
    <row r="374" spans="1:61" s="29" customFormat="1" ht="25.2" hidden="1" customHeight="1" outlineLevel="2" x14ac:dyDescent="0.3">
      <c r="A374" s="22" t="s">
        <v>391</v>
      </c>
      <c r="B374" s="23"/>
      <c r="C374" s="3"/>
      <c r="D374" s="4"/>
      <c r="E374" s="4"/>
      <c r="F374" s="56"/>
      <c r="G374" s="56"/>
      <c r="H374" s="277"/>
      <c r="I374" s="169"/>
      <c r="J374" s="170"/>
      <c r="K374" s="277"/>
      <c r="L374" s="169"/>
      <c r="M374" s="170"/>
      <c r="N374" s="277"/>
      <c r="O374" s="169"/>
      <c r="P374" s="170"/>
      <c r="Q374" s="277"/>
      <c r="R374" s="169"/>
      <c r="S374" s="170"/>
      <c r="T374" s="277"/>
      <c r="U374" s="169"/>
      <c r="V374" s="170"/>
      <c r="W374" s="277"/>
      <c r="X374" s="169"/>
      <c r="Y374" s="170"/>
      <c r="Z374" s="277"/>
      <c r="AA374" s="169"/>
      <c r="AB374" s="170"/>
      <c r="AC374" s="277"/>
      <c r="AD374" s="169"/>
      <c r="AE374" s="170"/>
      <c r="AF374" s="277"/>
      <c r="AG374" s="169"/>
      <c r="AH374" s="170"/>
      <c r="AI374" s="277"/>
      <c r="AJ374" s="169"/>
      <c r="AK374" s="170"/>
      <c r="AL374" s="277"/>
      <c r="AM374" s="169"/>
      <c r="AN374" s="170"/>
      <c r="AO374" s="277"/>
      <c r="AP374" s="169"/>
      <c r="AQ374" s="170"/>
      <c r="AR374" s="277"/>
      <c r="AS374" s="169"/>
      <c r="AT374" s="170"/>
      <c r="AU374" s="277"/>
      <c r="AV374" s="169"/>
      <c r="AW374" s="170"/>
      <c r="AX374" s="277"/>
      <c r="AY374" s="169"/>
      <c r="AZ374" s="170"/>
      <c r="BA374" s="277"/>
      <c r="BB374" s="169"/>
      <c r="BC374" s="170"/>
      <c r="BD374" s="277"/>
      <c r="BE374" s="169"/>
      <c r="BF374" s="170"/>
      <c r="BG374" s="277"/>
      <c r="BH374" s="169"/>
      <c r="BI374" s="170"/>
    </row>
    <row r="375" spans="1:61" s="29" customFormat="1" hidden="1" outlineLevel="2" x14ac:dyDescent="0.3">
      <c r="A375" s="71" t="s">
        <v>392</v>
      </c>
      <c r="B375" s="23"/>
      <c r="C375" s="3"/>
      <c r="D375" s="4"/>
      <c r="E375" s="4"/>
      <c r="F375" s="56"/>
      <c r="G375" s="56"/>
      <c r="H375" s="241"/>
      <c r="I375" s="27"/>
      <c r="J375" s="28"/>
      <c r="K375" s="241"/>
      <c r="L375" s="27"/>
      <c r="M375" s="28"/>
      <c r="N375" s="241"/>
      <c r="O375" s="27"/>
      <c r="P375" s="28"/>
      <c r="Q375" s="241"/>
      <c r="R375" s="27"/>
      <c r="S375" s="28"/>
      <c r="T375" s="241"/>
      <c r="U375" s="27"/>
      <c r="V375" s="28"/>
      <c r="W375" s="241"/>
      <c r="X375" s="27"/>
      <c r="Y375" s="28"/>
      <c r="Z375" s="241"/>
      <c r="AA375" s="27"/>
      <c r="AB375" s="28"/>
      <c r="AC375" s="241"/>
      <c r="AD375" s="27"/>
      <c r="AE375" s="28"/>
      <c r="AF375" s="241"/>
      <c r="AG375" s="27"/>
      <c r="AH375" s="28"/>
      <c r="AI375" s="241"/>
      <c r="AJ375" s="27"/>
      <c r="AK375" s="28"/>
      <c r="AL375" s="241"/>
      <c r="AM375" s="27"/>
      <c r="AN375" s="28"/>
      <c r="AO375" s="241"/>
      <c r="AP375" s="27"/>
      <c r="AQ375" s="28"/>
      <c r="AR375" s="241"/>
      <c r="AS375" s="27"/>
      <c r="AT375" s="28"/>
      <c r="AU375" s="241"/>
      <c r="AV375" s="27"/>
      <c r="AW375" s="28"/>
      <c r="AX375" s="241"/>
      <c r="AY375" s="27"/>
      <c r="AZ375" s="28"/>
      <c r="BA375" s="241"/>
      <c r="BB375" s="27"/>
      <c r="BC375" s="28"/>
      <c r="BD375" s="241"/>
      <c r="BE375" s="27"/>
      <c r="BF375" s="28"/>
      <c r="BG375" s="241"/>
      <c r="BH375" s="27"/>
      <c r="BI375" s="28"/>
    </row>
    <row r="376" spans="1:61" s="29" customFormat="1" hidden="1" outlineLevel="2" x14ac:dyDescent="0.3">
      <c r="A376" s="165" t="s">
        <v>393</v>
      </c>
      <c r="B376" s="2"/>
      <c r="C376" s="60"/>
      <c r="D376" s="61"/>
      <c r="E376" s="61"/>
      <c r="F376" s="41"/>
      <c r="G376" s="56"/>
      <c r="H376" s="241"/>
      <c r="I376" s="27"/>
      <c r="J376" s="28"/>
      <c r="K376" s="241"/>
      <c r="L376" s="27"/>
      <c r="M376" s="28"/>
      <c r="N376" s="241"/>
      <c r="O376" s="27"/>
      <c r="P376" s="28"/>
      <c r="Q376" s="241"/>
      <c r="R376" s="27"/>
      <c r="S376" s="28"/>
      <c r="T376" s="241"/>
      <c r="U376" s="27"/>
      <c r="V376" s="28"/>
      <c r="W376" s="241"/>
      <c r="X376" s="27"/>
      <c r="Y376" s="28"/>
      <c r="Z376" s="241"/>
      <c r="AA376" s="27"/>
      <c r="AB376" s="28"/>
      <c r="AC376" s="241"/>
      <c r="AD376" s="27"/>
      <c r="AE376" s="28"/>
      <c r="AF376" s="241"/>
      <c r="AG376" s="27"/>
      <c r="AH376" s="28"/>
      <c r="AI376" s="241"/>
      <c r="AJ376" s="27"/>
      <c r="AK376" s="28"/>
      <c r="AL376" s="241"/>
      <c r="AM376" s="27"/>
      <c r="AN376" s="28"/>
      <c r="AO376" s="241"/>
      <c r="AP376" s="27"/>
      <c r="AQ376" s="28"/>
      <c r="AR376" s="241"/>
      <c r="AS376" s="27"/>
      <c r="AT376" s="28"/>
      <c r="AU376" s="241"/>
      <c r="AV376" s="27"/>
      <c r="AW376" s="28"/>
      <c r="AX376" s="241"/>
      <c r="AY376" s="27"/>
      <c r="AZ376" s="28"/>
      <c r="BA376" s="241"/>
      <c r="BB376" s="27"/>
      <c r="BC376" s="28"/>
      <c r="BD376" s="241"/>
      <c r="BE376" s="27"/>
      <c r="BF376" s="28"/>
      <c r="BG376" s="241"/>
      <c r="BH376" s="27"/>
      <c r="BI376" s="28"/>
    </row>
    <row r="377" spans="1:61" s="29" customFormat="1" hidden="1" outlineLevel="1" x14ac:dyDescent="0.3">
      <c r="A377" s="148"/>
      <c r="B377" s="23"/>
      <c r="C377" s="3"/>
      <c r="D377" s="4"/>
      <c r="E377" s="16"/>
      <c r="F377" s="117"/>
      <c r="G377" s="56"/>
      <c r="H377" s="269"/>
      <c r="I377" s="117"/>
      <c r="J377" s="149"/>
      <c r="K377" s="269"/>
      <c r="L377" s="117"/>
      <c r="M377" s="149"/>
      <c r="N377" s="269"/>
      <c r="O377" s="117"/>
      <c r="P377" s="149"/>
      <c r="Q377" s="269"/>
      <c r="R377" s="117"/>
      <c r="S377" s="149"/>
      <c r="T377" s="269"/>
      <c r="U377" s="117"/>
      <c r="V377" s="149"/>
      <c r="W377" s="269"/>
      <c r="X377" s="117"/>
      <c r="Y377" s="149"/>
      <c r="Z377" s="269"/>
      <c r="AA377" s="117"/>
      <c r="AB377" s="149"/>
      <c r="AC377" s="269"/>
      <c r="AD377" s="117"/>
      <c r="AE377" s="149"/>
      <c r="AF377" s="269"/>
      <c r="AG377" s="117"/>
      <c r="AH377" s="149"/>
      <c r="AI377" s="269"/>
      <c r="AJ377" s="117"/>
      <c r="AK377" s="149"/>
      <c r="AL377" s="269"/>
      <c r="AM377" s="117"/>
      <c r="AN377" s="149"/>
      <c r="AO377" s="269"/>
      <c r="AP377" s="117"/>
      <c r="AQ377" s="149"/>
      <c r="AR377" s="269"/>
      <c r="AS377" s="117"/>
      <c r="AT377" s="149"/>
      <c r="AU377" s="269"/>
      <c r="AV377" s="117"/>
      <c r="AW377" s="149"/>
      <c r="AX377" s="269"/>
      <c r="AY377" s="117"/>
      <c r="AZ377" s="149"/>
      <c r="BA377" s="269"/>
      <c r="BB377" s="117"/>
      <c r="BC377" s="149"/>
      <c r="BD377" s="269"/>
      <c r="BE377" s="117"/>
      <c r="BF377" s="149"/>
      <c r="BG377" s="269"/>
      <c r="BH377" s="117"/>
      <c r="BI377" s="149"/>
    </row>
    <row r="378" spans="1:61" s="29" customFormat="1" hidden="1" outlineLevel="1" x14ac:dyDescent="0.3">
      <c r="A378" s="171" t="s">
        <v>394</v>
      </c>
      <c r="B378" s="172"/>
      <c r="C378" s="172"/>
      <c r="D378" s="172"/>
      <c r="E378" s="172"/>
      <c r="F378" s="172"/>
      <c r="G378" s="172"/>
      <c r="H378" s="171"/>
      <c r="I378" s="172"/>
      <c r="J378" s="173"/>
      <c r="K378" s="171"/>
      <c r="L378" s="172"/>
      <c r="M378" s="173"/>
      <c r="N378" s="171"/>
      <c r="O378" s="172"/>
      <c r="P378" s="173"/>
      <c r="Q378" s="171"/>
      <c r="R378" s="172"/>
      <c r="S378" s="173"/>
      <c r="T378" s="171"/>
      <c r="U378" s="172"/>
      <c r="V378" s="173"/>
      <c r="W378" s="171"/>
      <c r="X378" s="172"/>
      <c r="Y378" s="173"/>
      <c r="Z378" s="171"/>
      <c r="AA378" s="172"/>
      <c r="AB378" s="173"/>
      <c r="AC378" s="171"/>
      <c r="AD378" s="172"/>
      <c r="AE378" s="173"/>
      <c r="AF378" s="171"/>
      <c r="AG378" s="172"/>
      <c r="AH378" s="173"/>
      <c r="AI378" s="171"/>
      <c r="AJ378" s="172"/>
      <c r="AK378" s="173"/>
      <c r="AL378" s="171"/>
      <c r="AM378" s="172"/>
      <c r="AN378" s="173"/>
      <c r="AO378" s="171"/>
      <c r="AP378" s="172"/>
      <c r="AQ378" s="173"/>
      <c r="AR378" s="171"/>
      <c r="AS378" s="172"/>
      <c r="AT378" s="173"/>
      <c r="AU378" s="171"/>
      <c r="AV378" s="172"/>
      <c r="AW378" s="173"/>
      <c r="AX378" s="171"/>
      <c r="AY378" s="172"/>
      <c r="AZ378" s="173"/>
      <c r="BA378" s="171"/>
      <c r="BB378" s="172"/>
      <c r="BC378" s="173"/>
      <c r="BD378" s="171"/>
      <c r="BE378" s="172"/>
      <c r="BF378" s="173"/>
      <c r="BG378" s="171"/>
      <c r="BH378" s="172"/>
      <c r="BI378" s="173"/>
    </row>
    <row r="379" spans="1:61" s="29" customFormat="1" hidden="1" outlineLevel="2" x14ac:dyDescent="0.3">
      <c r="A379" s="22" t="s">
        <v>395</v>
      </c>
      <c r="B379" s="23"/>
      <c r="C379" s="3"/>
      <c r="D379" s="4"/>
      <c r="E379" s="4"/>
      <c r="F379" s="56"/>
      <c r="G379" s="56"/>
      <c r="H379" s="278"/>
      <c r="I379" s="124"/>
      <c r="J379" s="174"/>
      <c r="K379" s="278"/>
      <c r="L379" s="124"/>
      <c r="M379" s="174"/>
      <c r="N379" s="278"/>
      <c r="O379" s="124"/>
      <c r="P379" s="174"/>
      <c r="Q379" s="278"/>
      <c r="R379" s="124"/>
      <c r="S379" s="174"/>
      <c r="T379" s="278"/>
      <c r="U379" s="124"/>
      <c r="V379" s="174"/>
      <c r="W379" s="278"/>
      <c r="X379" s="124"/>
      <c r="Y379" s="174"/>
      <c r="Z379" s="278"/>
      <c r="AA379" s="124"/>
      <c r="AB379" s="174"/>
      <c r="AC379" s="278"/>
      <c r="AD379" s="124"/>
      <c r="AE379" s="174"/>
      <c r="AF379" s="278"/>
      <c r="AG379" s="124"/>
      <c r="AH379" s="174"/>
      <c r="AI379" s="278"/>
      <c r="AJ379" s="124"/>
      <c r="AK379" s="174"/>
      <c r="AL379" s="278"/>
      <c r="AM379" s="124"/>
      <c r="AN379" s="174"/>
      <c r="AO379" s="278"/>
      <c r="AP379" s="124"/>
      <c r="AQ379" s="174"/>
      <c r="AR379" s="278"/>
      <c r="AS379" s="124"/>
      <c r="AT379" s="174"/>
      <c r="AU379" s="278"/>
      <c r="AV379" s="124"/>
      <c r="AW379" s="174"/>
      <c r="AX379" s="278"/>
      <c r="AY379" s="124"/>
      <c r="AZ379" s="174"/>
      <c r="BA379" s="278"/>
      <c r="BB379" s="124"/>
      <c r="BC379" s="174"/>
      <c r="BD379" s="278"/>
      <c r="BE379" s="124"/>
      <c r="BF379" s="174"/>
      <c r="BG379" s="278"/>
      <c r="BH379" s="124"/>
      <c r="BI379" s="174"/>
    </row>
    <row r="380" spans="1:61" s="29" customFormat="1" hidden="1" outlineLevel="2" x14ac:dyDescent="0.3">
      <c r="A380" s="22" t="s">
        <v>396</v>
      </c>
      <c r="B380" s="23"/>
      <c r="C380" s="3"/>
      <c r="D380" s="4"/>
      <c r="E380" s="4"/>
      <c r="F380" s="56"/>
      <c r="G380" s="56"/>
      <c r="H380" s="278">
        <v>0.03</v>
      </c>
      <c r="I380" s="124"/>
      <c r="J380" s="174"/>
      <c r="K380" s="278">
        <v>0.03</v>
      </c>
      <c r="L380" s="124"/>
      <c r="M380" s="174"/>
      <c r="N380" s="278">
        <v>0.03</v>
      </c>
      <c r="O380" s="124"/>
      <c r="P380" s="174"/>
      <c r="Q380" s="278">
        <v>0.03</v>
      </c>
      <c r="R380" s="124"/>
      <c r="S380" s="174"/>
      <c r="T380" s="278">
        <v>0.03</v>
      </c>
      <c r="U380" s="124"/>
      <c r="V380" s="174"/>
      <c r="W380" s="278">
        <v>0.03</v>
      </c>
      <c r="X380" s="124"/>
      <c r="Y380" s="174"/>
      <c r="Z380" s="278">
        <v>0.03</v>
      </c>
      <c r="AA380" s="124"/>
      <c r="AB380" s="174"/>
      <c r="AC380" s="278">
        <v>0.03</v>
      </c>
      <c r="AD380" s="124"/>
      <c r="AE380" s="174"/>
      <c r="AF380" s="278">
        <v>0.03</v>
      </c>
      <c r="AG380" s="124"/>
      <c r="AH380" s="174"/>
      <c r="AI380" s="278">
        <v>0.03</v>
      </c>
      <c r="AJ380" s="124"/>
      <c r="AK380" s="174"/>
      <c r="AL380" s="278">
        <v>0.03</v>
      </c>
      <c r="AM380" s="124"/>
      <c r="AN380" s="174"/>
      <c r="AO380" s="278">
        <v>0.03</v>
      </c>
      <c r="AP380" s="124"/>
      <c r="AQ380" s="174"/>
      <c r="AR380" s="278"/>
      <c r="AS380" s="124"/>
      <c r="AT380" s="174"/>
      <c r="AU380" s="278"/>
      <c r="AV380" s="124"/>
      <c r="AW380" s="174"/>
      <c r="AX380" s="278"/>
      <c r="AY380" s="124"/>
      <c r="AZ380" s="174"/>
      <c r="BA380" s="278"/>
      <c r="BB380" s="124"/>
      <c r="BC380" s="174"/>
      <c r="BD380" s="278"/>
      <c r="BE380" s="124"/>
      <c r="BF380" s="174"/>
      <c r="BG380" s="278"/>
      <c r="BH380" s="124"/>
      <c r="BI380" s="174"/>
    </row>
    <row r="381" spans="1:61" s="29" customFormat="1" hidden="1" outlineLevel="2" x14ac:dyDescent="0.3">
      <c r="A381" s="22" t="s">
        <v>397</v>
      </c>
      <c r="B381" s="23"/>
      <c r="C381" s="3"/>
      <c r="D381" s="4"/>
      <c r="E381" s="4"/>
      <c r="F381" s="56"/>
      <c r="G381" s="56"/>
      <c r="H381" s="278">
        <v>7.0000000000000007E-2</v>
      </c>
      <c r="I381" s="124"/>
      <c r="J381" s="174"/>
      <c r="K381" s="278">
        <v>7.0000000000000007E-2</v>
      </c>
      <c r="L381" s="124"/>
      <c r="M381" s="174"/>
      <c r="N381" s="278">
        <v>7.0000000000000007E-2</v>
      </c>
      <c r="O381" s="124"/>
      <c r="P381" s="174"/>
      <c r="Q381" s="278">
        <v>7.0000000000000007E-2</v>
      </c>
      <c r="R381" s="124"/>
      <c r="S381" s="174"/>
      <c r="T381" s="278">
        <v>7.0000000000000007E-2</v>
      </c>
      <c r="U381" s="124"/>
      <c r="V381" s="174"/>
      <c r="W381" s="278">
        <v>7.0000000000000007E-2</v>
      </c>
      <c r="X381" s="124"/>
      <c r="Y381" s="174"/>
      <c r="Z381" s="278">
        <v>7.0000000000000007E-2</v>
      </c>
      <c r="AA381" s="124"/>
      <c r="AB381" s="174"/>
      <c r="AC381" s="278">
        <v>7.0000000000000007E-2</v>
      </c>
      <c r="AD381" s="124"/>
      <c r="AE381" s="174"/>
      <c r="AF381" s="278">
        <v>7.0000000000000007E-2</v>
      </c>
      <c r="AG381" s="124"/>
      <c r="AH381" s="174"/>
      <c r="AI381" s="278">
        <v>7.0000000000000007E-2</v>
      </c>
      <c r="AJ381" s="124"/>
      <c r="AK381" s="174"/>
      <c r="AL381" s="278">
        <v>7.0000000000000007E-2</v>
      </c>
      <c r="AM381" s="124"/>
      <c r="AN381" s="174"/>
      <c r="AO381" s="278">
        <v>7.0000000000000007E-2</v>
      </c>
      <c r="AP381" s="124"/>
      <c r="AQ381" s="174"/>
      <c r="AR381" s="278"/>
      <c r="AS381" s="124"/>
      <c r="AT381" s="174"/>
      <c r="AU381" s="278"/>
      <c r="AV381" s="124"/>
      <c r="AW381" s="174"/>
      <c r="AX381" s="278"/>
      <c r="AY381" s="124"/>
      <c r="AZ381" s="174"/>
      <c r="BA381" s="278"/>
      <c r="BB381" s="124"/>
      <c r="BC381" s="174"/>
      <c r="BD381" s="278"/>
      <c r="BE381" s="124"/>
      <c r="BF381" s="174"/>
      <c r="BG381" s="278"/>
      <c r="BH381" s="124"/>
      <c r="BI381" s="174"/>
    </row>
    <row r="382" spans="1:61" s="29" customFormat="1" hidden="1" outlineLevel="2" x14ac:dyDescent="0.3">
      <c r="A382" s="22" t="s">
        <v>398</v>
      </c>
      <c r="B382" s="23"/>
      <c r="C382" s="3"/>
      <c r="D382" s="4"/>
      <c r="E382" s="4"/>
      <c r="F382" s="56"/>
      <c r="G382" s="56"/>
      <c r="H382" s="277">
        <v>3.6499999999999998E-2</v>
      </c>
      <c r="I382" s="169"/>
      <c r="J382" s="170"/>
      <c r="K382" s="277">
        <v>3.6499999999999998E-2</v>
      </c>
      <c r="L382" s="169"/>
      <c r="M382" s="170"/>
      <c r="N382" s="277">
        <v>3.6499999999999998E-2</v>
      </c>
      <c r="O382" s="169"/>
      <c r="P382" s="170"/>
      <c r="Q382" s="277">
        <v>3.6499999999999998E-2</v>
      </c>
      <c r="R382" s="169"/>
      <c r="S382" s="170"/>
      <c r="T382" s="277">
        <v>3.6499999999999998E-2</v>
      </c>
      <c r="U382" s="169"/>
      <c r="V382" s="170"/>
      <c r="W382" s="277">
        <v>3.6499999999999998E-2</v>
      </c>
      <c r="X382" s="169"/>
      <c r="Y382" s="170"/>
      <c r="Z382" s="277">
        <v>3.6499999999999998E-2</v>
      </c>
      <c r="AA382" s="169"/>
      <c r="AB382" s="170"/>
      <c r="AC382" s="277">
        <v>3.6499999999999998E-2</v>
      </c>
      <c r="AD382" s="169"/>
      <c r="AE382" s="170"/>
      <c r="AF382" s="277">
        <v>3.6499999999999998E-2</v>
      </c>
      <c r="AG382" s="169"/>
      <c r="AH382" s="170"/>
      <c r="AI382" s="277">
        <v>3.6499999999999998E-2</v>
      </c>
      <c r="AJ382" s="169"/>
      <c r="AK382" s="170"/>
      <c r="AL382" s="277">
        <v>3.6499999999999998E-2</v>
      </c>
      <c r="AM382" s="169"/>
      <c r="AN382" s="170"/>
      <c r="AO382" s="277">
        <v>3.6499999999999998E-2</v>
      </c>
      <c r="AP382" s="169"/>
      <c r="AQ382" s="170"/>
      <c r="AR382" s="277"/>
      <c r="AS382" s="169"/>
      <c r="AT382" s="170"/>
      <c r="AU382" s="277"/>
      <c r="AV382" s="169"/>
      <c r="AW382" s="170"/>
      <c r="AX382" s="277"/>
      <c r="AY382" s="169"/>
      <c r="AZ382" s="170"/>
      <c r="BA382" s="277"/>
      <c r="BB382" s="169"/>
      <c r="BC382" s="170"/>
      <c r="BD382" s="277"/>
      <c r="BE382" s="169"/>
      <c r="BF382" s="170"/>
      <c r="BG382" s="277"/>
      <c r="BH382" s="169"/>
      <c r="BI382" s="170"/>
    </row>
    <row r="383" spans="1:61" s="29" customFormat="1" hidden="1" outlineLevel="2" x14ac:dyDescent="0.3">
      <c r="A383" s="22" t="s">
        <v>399</v>
      </c>
      <c r="B383" s="23"/>
      <c r="C383" s="175" t="s">
        <v>400</v>
      </c>
      <c r="D383" s="176" t="s">
        <v>401</v>
      </c>
      <c r="E383" s="4"/>
      <c r="F383" s="56"/>
      <c r="G383" s="56"/>
      <c r="H383" s="277">
        <v>1.2E-2</v>
      </c>
      <c r="I383" s="169"/>
      <c r="J383" s="170"/>
      <c r="K383" s="277">
        <v>1.2E-2</v>
      </c>
      <c r="L383" s="169"/>
      <c r="M383" s="170"/>
      <c r="N383" s="277">
        <v>1.2E-2</v>
      </c>
      <c r="O383" s="169"/>
      <c r="P383" s="170"/>
      <c r="Q383" s="277">
        <v>1.2E-2</v>
      </c>
      <c r="R383" s="169"/>
      <c r="S383" s="170"/>
      <c r="T383" s="277">
        <v>1.2E-2</v>
      </c>
      <c r="U383" s="169"/>
      <c r="V383" s="170"/>
      <c r="W383" s="277">
        <v>1.2E-2</v>
      </c>
      <c r="X383" s="169"/>
      <c r="Y383" s="170"/>
      <c r="Z383" s="277">
        <v>1.2E-2</v>
      </c>
      <c r="AA383" s="169"/>
      <c r="AB383" s="170"/>
      <c r="AC383" s="277">
        <v>1.2E-2</v>
      </c>
      <c r="AD383" s="169"/>
      <c r="AE383" s="170"/>
      <c r="AF383" s="277">
        <v>1.2E-2</v>
      </c>
      <c r="AG383" s="169"/>
      <c r="AH383" s="170"/>
      <c r="AI383" s="277">
        <v>1.2E-2</v>
      </c>
      <c r="AJ383" s="169"/>
      <c r="AK383" s="170"/>
      <c r="AL383" s="277">
        <v>1.2E-2</v>
      </c>
      <c r="AM383" s="169"/>
      <c r="AN383" s="170"/>
      <c r="AO383" s="277">
        <v>1.2E-2</v>
      </c>
      <c r="AP383" s="169"/>
      <c r="AQ383" s="170"/>
      <c r="AR383" s="277"/>
      <c r="AS383" s="169"/>
      <c r="AT383" s="170"/>
      <c r="AU383" s="277"/>
      <c r="AV383" s="169"/>
      <c r="AW383" s="170"/>
      <c r="AX383" s="277"/>
      <c r="AY383" s="169"/>
      <c r="AZ383" s="170"/>
      <c r="BA383" s="277"/>
      <c r="BB383" s="169"/>
      <c r="BC383" s="170"/>
      <c r="BD383" s="277"/>
      <c r="BE383" s="169"/>
      <c r="BF383" s="170"/>
      <c r="BG383" s="277"/>
      <c r="BH383" s="169"/>
      <c r="BI383" s="170"/>
    </row>
    <row r="384" spans="1:61" s="29" customFormat="1" hidden="1" outlineLevel="2" x14ac:dyDescent="0.3">
      <c r="A384" s="22" t="s">
        <v>402</v>
      </c>
      <c r="B384" s="23"/>
      <c r="C384" s="3"/>
      <c r="D384" s="4"/>
      <c r="E384" s="4"/>
      <c r="F384" s="56"/>
      <c r="G384" s="56"/>
      <c r="H384" s="277">
        <v>1.0800000000000001E-2</v>
      </c>
      <c r="I384" s="169"/>
      <c r="J384" s="170"/>
      <c r="K384" s="277">
        <v>1.0800000000000001E-2</v>
      </c>
      <c r="L384" s="169"/>
      <c r="M384" s="170"/>
      <c r="N384" s="277">
        <v>1.0800000000000001E-2</v>
      </c>
      <c r="O384" s="169"/>
      <c r="P384" s="170"/>
      <c r="Q384" s="277">
        <v>1.0800000000000001E-2</v>
      </c>
      <c r="R384" s="169"/>
      <c r="S384" s="170"/>
      <c r="T384" s="277">
        <v>1.0800000000000001E-2</v>
      </c>
      <c r="U384" s="169"/>
      <c r="V384" s="170"/>
      <c r="W384" s="277">
        <v>1.0800000000000001E-2</v>
      </c>
      <c r="X384" s="169"/>
      <c r="Y384" s="170"/>
      <c r="Z384" s="277">
        <v>1.0800000000000001E-2</v>
      </c>
      <c r="AA384" s="169"/>
      <c r="AB384" s="170"/>
      <c r="AC384" s="277">
        <v>1.0800000000000001E-2</v>
      </c>
      <c r="AD384" s="169"/>
      <c r="AE384" s="170"/>
      <c r="AF384" s="277">
        <v>1.0800000000000001E-2</v>
      </c>
      <c r="AG384" s="169"/>
      <c r="AH384" s="170"/>
      <c r="AI384" s="277">
        <v>1.0800000000000001E-2</v>
      </c>
      <c r="AJ384" s="169"/>
      <c r="AK384" s="170"/>
      <c r="AL384" s="277">
        <v>1.0800000000000001E-2</v>
      </c>
      <c r="AM384" s="169"/>
      <c r="AN384" s="170"/>
      <c r="AO384" s="277">
        <v>1.0800000000000001E-2</v>
      </c>
      <c r="AP384" s="169"/>
      <c r="AQ384" s="170"/>
      <c r="AR384" s="277"/>
      <c r="AS384" s="169"/>
      <c r="AT384" s="170"/>
      <c r="AU384" s="277"/>
      <c r="AV384" s="169"/>
      <c r="AW384" s="170"/>
      <c r="AX384" s="277"/>
      <c r="AY384" s="169"/>
      <c r="AZ384" s="170"/>
      <c r="BA384" s="277"/>
      <c r="BB384" s="169"/>
      <c r="BC384" s="170"/>
      <c r="BD384" s="277"/>
      <c r="BE384" s="169"/>
      <c r="BF384" s="170"/>
      <c r="BG384" s="277"/>
      <c r="BH384" s="169"/>
      <c r="BI384" s="170"/>
    </row>
    <row r="385" spans="1:61" s="29" customFormat="1" hidden="1" outlineLevel="2" x14ac:dyDescent="0.3">
      <c r="A385" s="22" t="s">
        <v>403</v>
      </c>
      <c r="B385" s="23"/>
      <c r="C385" s="3"/>
      <c r="D385" s="4"/>
      <c r="E385" s="4"/>
      <c r="F385" s="56"/>
      <c r="G385" s="56"/>
      <c r="H385" s="277">
        <v>0</v>
      </c>
      <c r="I385" s="169"/>
      <c r="J385" s="170"/>
      <c r="K385" s="277">
        <v>0</v>
      </c>
      <c r="L385" s="169"/>
      <c r="M385" s="170"/>
      <c r="N385" s="277">
        <v>0</v>
      </c>
      <c r="O385" s="169"/>
      <c r="P385" s="170"/>
      <c r="Q385" s="277">
        <v>0</v>
      </c>
      <c r="R385" s="169"/>
      <c r="S385" s="170"/>
      <c r="T385" s="277">
        <v>0</v>
      </c>
      <c r="U385" s="169"/>
      <c r="V385" s="170"/>
      <c r="W385" s="277">
        <v>0</v>
      </c>
      <c r="X385" s="169"/>
      <c r="Y385" s="170"/>
      <c r="Z385" s="277">
        <v>0</v>
      </c>
      <c r="AA385" s="169"/>
      <c r="AB385" s="170"/>
      <c r="AC385" s="277">
        <v>0</v>
      </c>
      <c r="AD385" s="169"/>
      <c r="AE385" s="170"/>
      <c r="AF385" s="277">
        <v>0</v>
      </c>
      <c r="AG385" s="169"/>
      <c r="AH385" s="170"/>
      <c r="AI385" s="277">
        <v>0</v>
      </c>
      <c r="AJ385" s="169"/>
      <c r="AK385" s="170"/>
      <c r="AL385" s="277">
        <v>0</v>
      </c>
      <c r="AM385" s="169"/>
      <c r="AN385" s="170"/>
      <c r="AO385" s="277">
        <v>0</v>
      </c>
      <c r="AP385" s="169"/>
      <c r="AQ385" s="170"/>
      <c r="AR385" s="277"/>
      <c r="AS385" s="169"/>
      <c r="AT385" s="170"/>
      <c r="AU385" s="277"/>
      <c r="AV385" s="169"/>
      <c r="AW385" s="170"/>
      <c r="AX385" s="277"/>
      <c r="AY385" s="169"/>
      <c r="AZ385" s="170"/>
      <c r="BA385" s="277"/>
      <c r="BB385" s="169"/>
      <c r="BC385" s="170"/>
      <c r="BD385" s="277"/>
      <c r="BE385" s="169"/>
      <c r="BF385" s="170"/>
      <c r="BG385" s="277"/>
      <c r="BH385" s="169"/>
      <c r="BI385" s="170"/>
    </row>
    <row r="386" spans="1:61" s="29" customFormat="1" hidden="1" outlineLevel="2" x14ac:dyDescent="0.3">
      <c r="A386" s="22" t="s">
        <v>404</v>
      </c>
      <c r="B386" s="23"/>
      <c r="C386" s="3"/>
      <c r="D386" s="4"/>
      <c r="E386" s="4"/>
      <c r="F386" s="56"/>
      <c r="G386" s="56"/>
      <c r="H386" s="277">
        <v>3.2000000000000001E-2</v>
      </c>
      <c r="I386" s="169"/>
      <c r="J386" s="170"/>
      <c r="K386" s="277">
        <v>3.2000000000000001E-2</v>
      </c>
      <c r="L386" s="169"/>
      <c r="M386" s="170"/>
      <c r="N386" s="277">
        <v>3.2000000000000001E-2</v>
      </c>
      <c r="O386" s="169"/>
      <c r="P386" s="170"/>
      <c r="Q386" s="277">
        <v>3.2000000000000001E-2</v>
      </c>
      <c r="R386" s="169"/>
      <c r="S386" s="170"/>
      <c r="T386" s="277">
        <v>3.2000000000000001E-2</v>
      </c>
      <c r="U386" s="169"/>
      <c r="V386" s="170"/>
      <c r="W386" s="277">
        <v>3.2000000000000001E-2</v>
      </c>
      <c r="X386" s="169"/>
      <c r="Y386" s="170"/>
      <c r="Z386" s="277">
        <v>3.2000000000000001E-2</v>
      </c>
      <c r="AA386" s="169"/>
      <c r="AB386" s="170"/>
      <c r="AC386" s="277">
        <v>3.2000000000000001E-2</v>
      </c>
      <c r="AD386" s="169"/>
      <c r="AE386" s="170"/>
      <c r="AF386" s="277">
        <v>3.2000000000000001E-2</v>
      </c>
      <c r="AG386" s="169"/>
      <c r="AH386" s="170"/>
      <c r="AI386" s="277">
        <v>3.2000000000000001E-2</v>
      </c>
      <c r="AJ386" s="169"/>
      <c r="AK386" s="170"/>
      <c r="AL386" s="277">
        <v>3.2000000000000001E-2</v>
      </c>
      <c r="AM386" s="169"/>
      <c r="AN386" s="170"/>
      <c r="AO386" s="277">
        <v>3.2000000000000001E-2</v>
      </c>
      <c r="AP386" s="169"/>
      <c r="AQ386" s="170"/>
      <c r="AR386" s="277"/>
      <c r="AS386" s="169"/>
      <c r="AT386" s="170"/>
      <c r="AU386" s="277"/>
      <c r="AV386" s="169"/>
      <c r="AW386" s="170"/>
      <c r="AX386" s="277"/>
      <c r="AY386" s="169"/>
      <c r="AZ386" s="170"/>
      <c r="BA386" s="277"/>
      <c r="BB386" s="169"/>
      <c r="BC386" s="170"/>
      <c r="BD386" s="277"/>
      <c r="BE386" s="169"/>
      <c r="BF386" s="170"/>
      <c r="BG386" s="277"/>
      <c r="BH386" s="169"/>
      <c r="BI386" s="170"/>
    </row>
    <row r="387" spans="1:61" s="29" customFormat="1" hidden="1" outlineLevel="2" x14ac:dyDescent="0.3">
      <c r="A387" s="22" t="s">
        <v>405</v>
      </c>
      <c r="B387" s="23"/>
      <c r="C387" s="3"/>
      <c r="D387" s="4"/>
      <c r="E387" s="4"/>
      <c r="F387" s="56"/>
      <c r="G387" s="56"/>
      <c r="H387" s="277">
        <v>0.05</v>
      </c>
      <c r="I387" s="169"/>
      <c r="J387" s="170"/>
      <c r="K387" s="277">
        <v>0.05</v>
      </c>
      <c r="L387" s="169"/>
      <c r="M387" s="170"/>
      <c r="N387" s="277">
        <v>0.05</v>
      </c>
      <c r="O387" s="169"/>
      <c r="P387" s="170"/>
      <c r="Q387" s="277">
        <v>0.05</v>
      </c>
      <c r="R387" s="169"/>
      <c r="S387" s="170"/>
      <c r="T387" s="277">
        <v>0.05</v>
      </c>
      <c r="U387" s="169"/>
      <c r="V387" s="170"/>
      <c r="W387" s="277">
        <v>0.05</v>
      </c>
      <c r="X387" s="169"/>
      <c r="Y387" s="170"/>
      <c r="Z387" s="277">
        <v>0.05</v>
      </c>
      <c r="AA387" s="169"/>
      <c r="AB387" s="170"/>
      <c r="AC387" s="277">
        <v>0.05</v>
      </c>
      <c r="AD387" s="169"/>
      <c r="AE387" s="170"/>
      <c r="AF387" s="277">
        <v>0.05</v>
      </c>
      <c r="AG387" s="169"/>
      <c r="AH387" s="170"/>
      <c r="AI387" s="277">
        <v>0.05</v>
      </c>
      <c r="AJ387" s="169"/>
      <c r="AK387" s="170"/>
      <c r="AL387" s="277">
        <v>0.05</v>
      </c>
      <c r="AM387" s="169"/>
      <c r="AN387" s="170"/>
      <c r="AO387" s="277">
        <v>0.05</v>
      </c>
      <c r="AP387" s="169"/>
      <c r="AQ387" s="170"/>
      <c r="AR387" s="277"/>
      <c r="AS387" s="169"/>
      <c r="AT387" s="170"/>
      <c r="AU387" s="277"/>
      <c r="AV387" s="169"/>
      <c r="AW387" s="170"/>
      <c r="AX387" s="277"/>
      <c r="AY387" s="169"/>
      <c r="AZ387" s="170"/>
      <c r="BA387" s="277"/>
      <c r="BB387" s="169"/>
      <c r="BC387" s="170"/>
      <c r="BD387" s="277"/>
      <c r="BE387" s="169"/>
      <c r="BF387" s="170"/>
      <c r="BG387" s="277"/>
      <c r="BH387" s="169"/>
      <c r="BI387" s="170"/>
    </row>
    <row r="388" spans="1:61" s="29" customFormat="1" hidden="1" outlineLevel="2" x14ac:dyDescent="0.3">
      <c r="A388" s="177" t="s">
        <v>406</v>
      </c>
      <c r="B388" s="23"/>
      <c r="C388" s="178" t="s">
        <v>407</v>
      </c>
      <c r="D388" s="179">
        <v>4800000</v>
      </c>
      <c r="E388" s="4"/>
      <c r="F388" s="56"/>
      <c r="G388" s="56"/>
      <c r="H388" s="279" t="s">
        <v>401</v>
      </c>
      <c r="I388" s="180"/>
      <c r="J388" s="181"/>
      <c r="K388" s="279" t="s">
        <v>401</v>
      </c>
      <c r="L388" s="180"/>
      <c r="M388" s="181"/>
      <c r="N388" s="279" t="s">
        <v>401</v>
      </c>
      <c r="O388" s="180"/>
      <c r="P388" s="181"/>
      <c r="Q388" s="279" t="s">
        <v>401</v>
      </c>
      <c r="R388" s="180"/>
      <c r="S388" s="181"/>
      <c r="T388" s="279" t="s">
        <v>401</v>
      </c>
      <c r="U388" s="180"/>
      <c r="V388" s="181"/>
      <c r="W388" s="279" t="s">
        <v>401</v>
      </c>
      <c r="X388" s="180"/>
      <c r="Y388" s="181"/>
      <c r="Z388" s="279" t="s">
        <v>401</v>
      </c>
      <c r="AA388" s="180"/>
      <c r="AB388" s="181"/>
      <c r="AC388" s="279" t="s">
        <v>401</v>
      </c>
      <c r="AD388" s="180"/>
      <c r="AE388" s="181"/>
      <c r="AF388" s="279" t="s">
        <v>401</v>
      </c>
      <c r="AG388" s="180"/>
      <c r="AH388" s="181"/>
      <c r="AI388" s="279" t="s">
        <v>401</v>
      </c>
      <c r="AJ388" s="180"/>
      <c r="AK388" s="181"/>
      <c r="AL388" s="279" t="s">
        <v>401</v>
      </c>
      <c r="AM388" s="180"/>
      <c r="AN388" s="181"/>
      <c r="AO388" s="279" t="s">
        <v>401</v>
      </c>
      <c r="AP388" s="180"/>
      <c r="AQ388" s="181"/>
      <c r="AR388" s="279"/>
      <c r="AS388" s="180"/>
      <c r="AT388" s="181"/>
      <c r="AU388" s="279"/>
      <c r="AV388" s="180"/>
      <c r="AW388" s="181"/>
      <c r="AX388" s="279"/>
      <c r="AY388" s="180"/>
      <c r="AZ388" s="181"/>
      <c r="BA388" s="279"/>
      <c r="BB388" s="180"/>
      <c r="BC388" s="181"/>
      <c r="BD388" s="279"/>
      <c r="BE388" s="180"/>
      <c r="BF388" s="181"/>
      <c r="BG388" s="279"/>
      <c r="BH388" s="180"/>
      <c r="BI388" s="181"/>
    </row>
    <row r="389" spans="1:61" s="29" customFormat="1" hidden="1" outlineLevel="2" x14ac:dyDescent="0.3">
      <c r="A389" s="22" t="s">
        <v>408</v>
      </c>
      <c r="B389" s="23"/>
      <c r="C389" s="182" t="s">
        <v>409</v>
      </c>
      <c r="D389" s="183" t="s">
        <v>410</v>
      </c>
      <c r="E389" s="4"/>
      <c r="F389" s="56"/>
      <c r="G389" s="56"/>
      <c r="H389" s="279">
        <v>4.8000000000000001E-2</v>
      </c>
      <c r="I389" s="180"/>
      <c r="J389" s="181"/>
      <c r="K389" s="279">
        <v>4.8000000000000001E-2</v>
      </c>
      <c r="L389" s="180"/>
      <c r="M389" s="181"/>
      <c r="N389" s="279">
        <v>4.8000000000000001E-2</v>
      </c>
      <c r="O389" s="180"/>
      <c r="P389" s="181"/>
      <c r="Q389" s="279">
        <v>4.8000000000000001E-2</v>
      </c>
      <c r="R389" s="180"/>
      <c r="S389" s="181"/>
      <c r="T389" s="279">
        <v>4.8000000000000001E-2</v>
      </c>
      <c r="U389" s="180"/>
      <c r="V389" s="181"/>
      <c r="W389" s="279">
        <v>4.8000000000000001E-2</v>
      </c>
      <c r="X389" s="180"/>
      <c r="Y389" s="181"/>
      <c r="Z389" s="279">
        <v>4.8000000000000001E-2</v>
      </c>
      <c r="AA389" s="180"/>
      <c r="AB389" s="181"/>
      <c r="AC389" s="279">
        <v>4.8000000000000001E-2</v>
      </c>
      <c r="AD389" s="180"/>
      <c r="AE389" s="181"/>
      <c r="AF389" s="279">
        <v>4.8000000000000001E-2</v>
      </c>
      <c r="AG389" s="180"/>
      <c r="AH389" s="181"/>
      <c r="AI389" s="279">
        <v>4.8000000000000001E-2</v>
      </c>
      <c r="AJ389" s="180"/>
      <c r="AK389" s="181"/>
      <c r="AL389" s="279">
        <v>4.8000000000000001E-2</v>
      </c>
      <c r="AM389" s="180"/>
      <c r="AN389" s="181"/>
      <c r="AO389" s="279">
        <v>4.8000000000000001E-2</v>
      </c>
      <c r="AP389" s="180"/>
      <c r="AQ389" s="181"/>
      <c r="AR389" s="279"/>
      <c r="AS389" s="180"/>
      <c r="AT389" s="181"/>
      <c r="AU389" s="279"/>
      <c r="AV389" s="180"/>
      <c r="AW389" s="181"/>
      <c r="AX389" s="279"/>
      <c r="AY389" s="180"/>
      <c r="AZ389" s="181"/>
      <c r="BA389" s="279"/>
      <c r="BB389" s="180"/>
      <c r="BC389" s="181"/>
      <c r="BD389" s="279"/>
      <c r="BE389" s="180"/>
      <c r="BF389" s="181"/>
      <c r="BG389" s="279"/>
      <c r="BH389" s="180"/>
      <c r="BI389" s="181"/>
    </row>
    <row r="390" spans="1:61" s="29" customFormat="1" hidden="1" outlineLevel="2" x14ac:dyDescent="0.3">
      <c r="A390" s="148"/>
      <c r="B390" s="23"/>
      <c r="C390" s="3"/>
      <c r="D390" s="4"/>
      <c r="E390" s="4"/>
      <c r="F390" s="56"/>
      <c r="G390" s="56"/>
      <c r="H390" s="280"/>
      <c r="I390" s="56"/>
      <c r="J390" s="184"/>
      <c r="K390" s="280"/>
      <c r="L390" s="56"/>
      <c r="M390" s="184"/>
      <c r="N390" s="280"/>
      <c r="O390" s="56"/>
      <c r="P390" s="184"/>
      <c r="Q390" s="280"/>
      <c r="R390" s="56"/>
      <c r="S390" s="184"/>
      <c r="T390" s="280"/>
      <c r="U390" s="56"/>
      <c r="V390" s="184"/>
      <c r="W390" s="280"/>
      <c r="X390" s="56"/>
      <c r="Y390" s="184"/>
      <c r="Z390" s="280"/>
      <c r="AA390" s="56"/>
      <c r="AB390" s="184"/>
      <c r="AC390" s="280"/>
      <c r="AD390" s="56"/>
      <c r="AE390" s="184"/>
      <c r="AF390" s="280"/>
      <c r="AG390" s="56"/>
      <c r="AH390" s="184"/>
      <c r="AI390" s="280"/>
      <c r="AJ390" s="56"/>
      <c r="AK390" s="184"/>
      <c r="AL390" s="280"/>
      <c r="AM390" s="56"/>
      <c r="AN390" s="184"/>
      <c r="AO390" s="280"/>
      <c r="AP390" s="56"/>
      <c r="AQ390" s="184"/>
      <c r="AR390" s="280"/>
      <c r="AS390" s="56"/>
      <c r="AT390" s="184"/>
      <c r="AU390" s="280"/>
      <c r="AV390" s="56"/>
      <c r="AW390" s="184"/>
      <c r="AX390" s="280"/>
      <c r="AY390" s="56"/>
      <c r="AZ390" s="184"/>
      <c r="BA390" s="280"/>
      <c r="BB390" s="56"/>
      <c r="BC390" s="184"/>
      <c r="BD390" s="280"/>
      <c r="BE390" s="56"/>
      <c r="BF390" s="184"/>
      <c r="BG390" s="280"/>
      <c r="BH390" s="56"/>
      <c r="BI390" s="184"/>
    </row>
    <row r="391" spans="1:61" s="29" customFormat="1" hidden="1" outlineLevel="2" x14ac:dyDescent="0.3">
      <c r="A391" s="171" t="s">
        <v>411</v>
      </c>
      <c r="B391" s="172"/>
      <c r="C391" s="172"/>
      <c r="D391" s="172"/>
      <c r="E391" s="172"/>
      <c r="F391" s="172"/>
      <c r="G391" s="172"/>
      <c r="H391" s="171"/>
      <c r="I391" s="172"/>
      <c r="J391" s="173"/>
      <c r="K391" s="171"/>
      <c r="L391" s="172"/>
      <c r="M391" s="173"/>
      <c r="N391" s="171"/>
      <c r="O391" s="172"/>
      <c r="P391" s="173"/>
      <c r="Q391" s="171"/>
      <c r="R391" s="172"/>
      <c r="S391" s="173"/>
      <c r="T391" s="171"/>
      <c r="U391" s="172"/>
      <c r="V391" s="173"/>
      <c r="W391" s="171"/>
      <c r="X391" s="172"/>
      <c r="Y391" s="173"/>
      <c r="Z391" s="171"/>
      <c r="AA391" s="172"/>
      <c r="AB391" s="173"/>
      <c r="AC391" s="171"/>
      <c r="AD391" s="172"/>
      <c r="AE391" s="173"/>
      <c r="AF391" s="171"/>
      <c r="AG391" s="172"/>
      <c r="AH391" s="173"/>
      <c r="AI391" s="171"/>
      <c r="AJ391" s="172"/>
      <c r="AK391" s="173"/>
      <c r="AL391" s="171"/>
      <c r="AM391" s="172"/>
      <c r="AN391" s="173"/>
      <c r="AO391" s="171"/>
      <c r="AP391" s="172"/>
      <c r="AQ391" s="173"/>
      <c r="AR391" s="171"/>
      <c r="AS391" s="172"/>
      <c r="AT391" s="173"/>
      <c r="AU391" s="171"/>
      <c r="AV391" s="172"/>
      <c r="AW391" s="173"/>
      <c r="AX391" s="171"/>
      <c r="AY391" s="172"/>
      <c r="AZ391" s="173"/>
      <c r="BA391" s="171"/>
      <c r="BB391" s="172"/>
      <c r="BC391" s="173"/>
      <c r="BD391" s="171"/>
      <c r="BE391" s="172"/>
      <c r="BF391" s="173"/>
      <c r="BG391" s="171"/>
      <c r="BH391" s="172"/>
      <c r="BI391" s="173"/>
    </row>
    <row r="392" spans="1:61" s="29" customFormat="1" hidden="1" outlineLevel="2" x14ac:dyDescent="0.3">
      <c r="A392" s="22" t="s">
        <v>412</v>
      </c>
      <c r="B392" s="23"/>
      <c r="C392" s="3"/>
      <c r="D392" s="4"/>
      <c r="E392" s="4"/>
      <c r="F392" s="56"/>
      <c r="G392" s="56"/>
      <c r="H392" s="241"/>
      <c r="I392" s="27"/>
      <c r="J392" s="28"/>
      <c r="K392" s="241"/>
      <c r="L392" s="27"/>
      <c r="M392" s="28"/>
      <c r="N392" s="241"/>
      <c r="O392" s="27"/>
      <c r="P392" s="28"/>
      <c r="Q392" s="241"/>
      <c r="R392" s="27"/>
      <c r="S392" s="28"/>
      <c r="T392" s="241"/>
      <c r="U392" s="27"/>
      <c r="V392" s="28"/>
      <c r="W392" s="241"/>
      <c r="X392" s="27"/>
      <c r="Y392" s="28"/>
      <c r="Z392" s="241"/>
      <c r="AA392" s="27"/>
      <c r="AB392" s="28"/>
      <c r="AC392" s="241"/>
      <c r="AD392" s="27"/>
      <c r="AE392" s="28"/>
      <c r="AF392" s="241"/>
      <c r="AG392" s="27"/>
      <c r="AH392" s="28"/>
      <c r="AI392" s="241"/>
      <c r="AJ392" s="27"/>
      <c r="AK392" s="28"/>
      <c r="AL392" s="241"/>
      <c r="AM392" s="27"/>
      <c r="AN392" s="28"/>
      <c r="AO392" s="241"/>
      <c r="AP392" s="27"/>
      <c r="AQ392" s="28"/>
      <c r="AR392" s="241"/>
      <c r="AS392" s="27"/>
      <c r="AT392" s="28"/>
      <c r="AU392" s="241"/>
      <c r="AV392" s="27"/>
      <c r="AW392" s="28"/>
      <c r="AX392" s="241"/>
      <c r="AY392" s="27"/>
      <c r="AZ392" s="28"/>
      <c r="BA392" s="241"/>
      <c r="BB392" s="27"/>
      <c r="BC392" s="28"/>
      <c r="BD392" s="241"/>
      <c r="BE392" s="27"/>
      <c r="BF392" s="28"/>
      <c r="BG392" s="241"/>
      <c r="BH392" s="27"/>
      <c r="BI392" s="28"/>
    </row>
    <row r="393" spans="1:61" s="29" customFormat="1" hidden="1" outlineLevel="2" x14ac:dyDescent="0.3">
      <c r="A393" s="22" t="s">
        <v>413</v>
      </c>
      <c r="B393" s="23"/>
      <c r="C393" s="185" t="s">
        <v>414</v>
      </c>
      <c r="D393" s="186"/>
      <c r="E393" s="187">
        <v>0</v>
      </c>
      <c r="F393" s="56"/>
      <c r="G393" s="56"/>
      <c r="H393" s="281"/>
      <c r="I393" s="234"/>
      <c r="J393" s="188"/>
      <c r="K393" s="281"/>
      <c r="L393" s="234"/>
      <c r="M393" s="188"/>
      <c r="N393" s="281"/>
      <c r="O393" s="234"/>
      <c r="P393" s="188"/>
      <c r="Q393" s="281"/>
      <c r="R393" s="234"/>
      <c r="S393" s="188"/>
      <c r="T393" s="281"/>
      <c r="U393" s="234"/>
      <c r="V393" s="188"/>
      <c r="W393" s="281"/>
      <c r="X393" s="234"/>
      <c r="Y393" s="188"/>
      <c r="Z393" s="281"/>
      <c r="AA393" s="234"/>
      <c r="AB393" s="188"/>
      <c r="AC393" s="281"/>
      <c r="AD393" s="234"/>
      <c r="AE393" s="188"/>
      <c r="AF393" s="281"/>
      <c r="AG393" s="234"/>
      <c r="AH393" s="188"/>
      <c r="AI393" s="281"/>
      <c r="AJ393" s="234"/>
      <c r="AK393" s="188"/>
      <c r="AL393" s="281"/>
      <c r="AM393" s="234"/>
      <c r="AN393" s="188"/>
      <c r="AO393" s="281"/>
      <c r="AP393" s="234"/>
      <c r="AQ393" s="188"/>
      <c r="AR393" s="281"/>
      <c r="AS393" s="234"/>
      <c r="AT393" s="188"/>
      <c r="AU393" s="281"/>
      <c r="AV393" s="234"/>
      <c r="AW393" s="188"/>
      <c r="AX393" s="281"/>
      <c r="AY393" s="234"/>
      <c r="AZ393" s="188"/>
      <c r="BA393" s="281"/>
      <c r="BB393" s="234"/>
      <c r="BC393" s="188"/>
      <c r="BD393" s="281"/>
      <c r="BE393" s="234"/>
      <c r="BF393" s="188"/>
      <c r="BG393" s="281"/>
      <c r="BH393" s="234"/>
      <c r="BI393" s="188"/>
    </row>
    <row r="394" spans="1:61" s="29" customFormat="1" hidden="1" outlineLevel="2" x14ac:dyDescent="0.3">
      <c r="A394" s="22" t="s">
        <v>415</v>
      </c>
      <c r="B394" s="23"/>
      <c r="C394" s="189" t="s">
        <v>416</v>
      </c>
      <c r="D394" s="190"/>
      <c r="E394" s="191">
        <v>0.3</v>
      </c>
      <c r="F394" s="56"/>
      <c r="G394" s="56"/>
      <c r="H394" s="281"/>
      <c r="I394" s="234"/>
      <c r="J394" s="188"/>
      <c r="K394" s="281"/>
      <c r="L394" s="234"/>
      <c r="M394" s="188"/>
      <c r="N394" s="281"/>
      <c r="O394" s="234"/>
      <c r="P394" s="188"/>
      <c r="Q394" s="281"/>
      <c r="R394" s="234"/>
      <c r="S394" s="188"/>
      <c r="T394" s="281"/>
      <c r="U394" s="234"/>
      <c r="V394" s="188"/>
      <c r="W394" s="281"/>
      <c r="X394" s="234"/>
      <c r="Y394" s="188"/>
      <c r="Z394" s="281"/>
      <c r="AA394" s="234"/>
      <c r="AB394" s="188"/>
      <c r="AC394" s="281"/>
      <c r="AD394" s="234"/>
      <c r="AE394" s="188"/>
      <c r="AF394" s="281"/>
      <c r="AG394" s="234"/>
      <c r="AH394" s="188"/>
      <c r="AI394" s="281"/>
      <c r="AJ394" s="234"/>
      <c r="AK394" s="188"/>
      <c r="AL394" s="281"/>
      <c r="AM394" s="234"/>
      <c r="AN394" s="188"/>
      <c r="AO394" s="281"/>
      <c r="AP394" s="234"/>
      <c r="AQ394" s="188"/>
      <c r="AR394" s="281"/>
      <c r="AS394" s="234"/>
      <c r="AT394" s="188"/>
      <c r="AU394" s="281"/>
      <c r="AV394" s="234"/>
      <c r="AW394" s="188"/>
      <c r="AX394" s="281"/>
      <c r="AY394" s="234"/>
      <c r="AZ394" s="188"/>
      <c r="BA394" s="281"/>
      <c r="BB394" s="234"/>
      <c r="BC394" s="188"/>
      <c r="BD394" s="281"/>
      <c r="BE394" s="234"/>
      <c r="BF394" s="188"/>
      <c r="BG394" s="281"/>
      <c r="BH394" s="234"/>
      <c r="BI394" s="188"/>
    </row>
    <row r="395" spans="1:61" s="29" customFormat="1" hidden="1" outlineLevel="2" x14ac:dyDescent="0.3">
      <c r="A395" s="22" t="s">
        <v>417</v>
      </c>
      <c r="B395" s="23"/>
      <c r="C395" s="192" t="s">
        <v>418</v>
      </c>
      <c r="D395" s="193">
        <v>240000</v>
      </c>
      <c r="E395" s="194"/>
      <c r="F395" s="56"/>
      <c r="G395" s="56"/>
      <c r="H395" s="281"/>
      <c r="I395" s="234"/>
      <c r="J395" s="188"/>
      <c r="K395" s="281"/>
      <c r="L395" s="234"/>
      <c r="M395" s="188"/>
      <c r="N395" s="281"/>
      <c r="O395" s="234"/>
      <c r="P395" s="188"/>
      <c r="Q395" s="281"/>
      <c r="R395" s="234"/>
      <c r="S395" s="188"/>
      <c r="T395" s="281"/>
      <c r="U395" s="234"/>
      <c r="V395" s="188"/>
      <c r="W395" s="281"/>
      <c r="X395" s="234"/>
      <c r="Y395" s="188"/>
      <c r="Z395" s="281"/>
      <c r="AA395" s="234"/>
      <c r="AB395" s="188"/>
      <c r="AC395" s="281"/>
      <c r="AD395" s="234"/>
      <c r="AE395" s="188"/>
      <c r="AF395" s="281"/>
      <c r="AG395" s="234"/>
      <c r="AH395" s="188"/>
      <c r="AI395" s="281"/>
      <c r="AJ395" s="234"/>
      <c r="AK395" s="188"/>
      <c r="AL395" s="281"/>
      <c r="AM395" s="234"/>
      <c r="AN395" s="188"/>
      <c r="AO395" s="281"/>
      <c r="AP395" s="234"/>
      <c r="AQ395" s="188"/>
      <c r="AR395" s="281"/>
      <c r="AS395" s="234"/>
      <c r="AT395" s="188"/>
      <c r="AU395" s="281"/>
      <c r="AV395" s="234"/>
      <c r="AW395" s="188"/>
      <c r="AX395" s="281"/>
      <c r="AY395" s="234"/>
      <c r="AZ395" s="188"/>
      <c r="BA395" s="281"/>
      <c r="BB395" s="234"/>
      <c r="BC395" s="188"/>
      <c r="BD395" s="281"/>
      <c r="BE395" s="234"/>
      <c r="BF395" s="188"/>
      <c r="BG395" s="281"/>
      <c r="BH395" s="234"/>
      <c r="BI395" s="188"/>
    </row>
    <row r="396" spans="1:61" s="29" customFormat="1" hidden="1" outlineLevel="2" x14ac:dyDescent="0.3">
      <c r="A396" s="22" t="s">
        <v>419</v>
      </c>
      <c r="B396" s="23"/>
      <c r="C396" s="192" t="s">
        <v>420</v>
      </c>
      <c r="D396" s="55">
        <v>0.15</v>
      </c>
      <c r="E396" s="191">
        <v>0.25</v>
      </c>
      <c r="F396" s="56"/>
      <c r="G396" s="56"/>
      <c r="H396" s="241"/>
      <c r="I396" s="27"/>
      <c r="J396" s="28"/>
      <c r="K396" s="241"/>
      <c r="L396" s="27"/>
      <c r="M396" s="28"/>
      <c r="N396" s="241"/>
      <c r="O396" s="27"/>
      <c r="P396" s="28"/>
      <c r="Q396" s="241"/>
      <c r="R396" s="27"/>
      <c r="S396" s="28"/>
      <c r="T396" s="241"/>
      <c r="U396" s="27"/>
      <c r="V396" s="28"/>
      <c r="W396" s="241"/>
      <c r="X396" s="27"/>
      <c r="Y396" s="28"/>
      <c r="Z396" s="241"/>
      <c r="AA396" s="27"/>
      <c r="AB396" s="28"/>
      <c r="AC396" s="241"/>
      <c r="AD396" s="27"/>
      <c r="AE396" s="28"/>
      <c r="AF396" s="241"/>
      <c r="AG396" s="27"/>
      <c r="AH396" s="28"/>
      <c r="AI396" s="241"/>
      <c r="AJ396" s="27"/>
      <c r="AK396" s="28"/>
      <c r="AL396" s="241"/>
      <c r="AM396" s="27"/>
      <c r="AN396" s="28"/>
      <c r="AO396" s="241"/>
      <c r="AP396" s="27"/>
      <c r="AQ396" s="28"/>
      <c r="AR396" s="241"/>
      <c r="AS396" s="27"/>
      <c r="AT396" s="28"/>
      <c r="AU396" s="241"/>
      <c r="AV396" s="27"/>
      <c r="AW396" s="28"/>
      <c r="AX396" s="241"/>
      <c r="AY396" s="27"/>
      <c r="AZ396" s="28"/>
      <c r="BA396" s="241"/>
      <c r="BB396" s="27"/>
      <c r="BC396" s="28"/>
      <c r="BD396" s="241"/>
      <c r="BE396" s="27"/>
      <c r="BF396" s="28"/>
      <c r="BG396" s="241"/>
      <c r="BH396" s="27"/>
      <c r="BI396" s="28"/>
    </row>
    <row r="397" spans="1:61" s="29" customFormat="1" hidden="1" outlineLevel="2" x14ac:dyDescent="0.3">
      <c r="A397" s="22" t="s">
        <v>421</v>
      </c>
      <c r="B397" s="23"/>
      <c r="C397" s="195" t="s">
        <v>422</v>
      </c>
      <c r="D397" s="196" t="s">
        <v>422</v>
      </c>
      <c r="E397" s="197">
        <v>0.09</v>
      </c>
      <c r="F397" s="56"/>
      <c r="G397" s="56"/>
      <c r="H397" s="241"/>
      <c r="I397" s="27"/>
      <c r="J397" s="28"/>
      <c r="K397" s="241"/>
      <c r="L397" s="27"/>
      <c r="M397" s="28"/>
      <c r="N397" s="241"/>
      <c r="O397" s="27"/>
      <c r="P397" s="28"/>
      <c r="Q397" s="241"/>
      <c r="R397" s="27"/>
      <c r="S397" s="28"/>
      <c r="T397" s="241"/>
      <c r="U397" s="27"/>
      <c r="V397" s="28"/>
      <c r="W397" s="241"/>
      <c r="X397" s="27"/>
      <c r="Y397" s="28"/>
      <c r="Z397" s="241"/>
      <c r="AA397" s="27"/>
      <c r="AB397" s="28"/>
      <c r="AC397" s="241"/>
      <c r="AD397" s="27"/>
      <c r="AE397" s="28"/>
      <c r="AF397" s="241"/>
      <c r="AG397" s="27"/>
      <c r="AH397" s="28"/>
      <c r="AI397" s="241"/>
      <c r="AJ397" s="27"/>
      <c r="AK397" s="28"/>
      <c r="AL397" s="241"/>
      <c r="AM397" s="27"/>
      <c r="AN397" s="28"/>
      <c r="AO397" s="241"/>
      <c r="AP397" s="27"/>
      <c r="AQ397" s="28"/>
      <c r="AR397" s="241"/>
      <c r="AS397" s="27"/>
      <c r="AT397" s="28"/>
      <c r="AU397" s="241"/>
      <c r="AV397" s="27"/>
      <c r="AW397" s="28"/>
      <c r="AX397" s="241"/>
      <c r="AY397" s="27"/>
      <c r="AZ397" s="28"/>
      <c r="BA397" s="241"/>
      <c r="BB397" s="27"/>
      <c r="BC397" s="28"/>
      <c r="BD397" s="241"/>
      <c r="BE397" s="27"/>
      <c r="BF397" s="28"/>
      <c r="BG397" s="241"/>
      <c r="BH397" s="27"/>
      <c r="BI397" s="28"/>
    </row>
    <row r="398" spans="1:61" s="29" customFormat="1" hidden="1" outlineLevel="1" x14ac:dyDescent="0.3">
      <c r="A398" s="163"/>
      <c r="B398" s="23"/>
      <c r="C398" s="3"/>
      <c r="D398" s="4"/>
      <c r="E398" s="4"/>
      <c r="F398" s="56"/>
      <c r="G398" s="56"/>
      <c r="H398" s="280"/>
      <c r="I398" s="56"/>
      <c r="J398" s="184"/>
      <c r="K398" s="280"/>
      <c r="L398" s="56"/>
      <c r="M398" s="184"/>
      <c r="N398" s="280"/>
      <c r="O398" s="56"/>
      <c r="P398" s="184"/>
      <c r="Q398" s="280"/>
      <c r="R398" s="56"/>
      <c r="S398" s="184"/>
      <c r="T398" s="280"/>
      <c r="U398" s="56"/>
      <c r="V398" s="184"/>
      <c r="W398" s="280"/>
      <c r="X398" s="56"/>
      <c r="Y398" s="184"/>
      <c r="Z398" s="280"/>
      <c r="AA398" s="56"/>
      <c r="AB398" s="184"/>
      <c r="AC398" s="280"/>
      <c r="AD398" s="56"/>
      <c r="AE398" s="184"/>
      <c r="AF398" s="280"/>
      <c r="AG398" s="56"/>
      <c r="AH398" s="184"/>
      <c r="AI398" s="280"/>
      <c r="AJ398" s="56"/>
      <c r="AK398" s="184"/>
      <c r="AL398" s="280"/>
      <c r="AM398" s="56"/>
      <c r="AN398" s="184"/>
      <c r="AO398" s="280"/>
      <c r="AP398" s="56"/>
      <c r="AQ398" s="184"/>
      <c r="AR398" s="280"/>
      <c r="AS398" s="56"/>
      <c r="AT398" s="184"/>
      <c r="AU398" s="280"/>
      <c r="AV398" s="56"/>
      <c r="AW398" s="184"/>
      <c r="AX398" s="280"/>
      <c r="AY398" s="56"/>
      <c r="AZ398" s="184"/>
      <c r="BA398" s="280"/>
      <c r="BB398" s="56"/>
      <c r="BC398" s="184"/>
      <c r="BD398" s="280"/>
      <c r="BE398" s="56"/>
      <c r="BF398" s="184"/>
      <c r="BG398" s="280"/>
      <c r="BH398" s="56"/>
      <c r="BI398" s="184"/>
    </row>
    <row r="399" spans="1:61" s="29" customFormat="1" hidden="1" outlineLevel="1" x14ac:dyDescent="0.3">
      <c r="A399" s="171" t="s">
        <v>423</v>
      </c>
      <c r="B399" s="172"/>
      <c r="C399" s="172"/>
      <c r="D399" s="172"/>
      <c r="E399" s="172"/>
      <c r="F399" s="172"/>
      <c r="G399" s="172"/>
      <c r="H399" s="171"/>
      <c r="I399" s="172"/>
      <c r="J399" s="173"/>
      <c r="K399" s="171"/>
      <c r="L399" s="172"/>
      <c r="M399" s="173"/>
      <c r="N399" s="171"/>
      <c r="O399" s="172"/>
      <c r="P399" s="173"/>
      <c r="Q399" s="171"/>
      <c r="R399" s="172"/>
      <c r="S399" s="173"/>
      <c r="T399" s="171"/>
      <c r="U399" s="172"/>
      <c r="V399" s="173"/>
      <c r="W399" s="171"/>
      <c r="X399" s="172"/>
      <c r="Y399" s="173"/>
      <c r="Z399" s="171"/>
      <c r="AA399" s="172"/>
      <c r="AB399" s="173"/>
      <c r="AC399" s="171"/>
      <c r="AD399" s="172"/>
      <c r="AE399" s="173"/>
      <c r="AF399" s="171"/>
      <c r="AG399" s="172"/>
      <c r="AH399" s="173"/>
      <c r="AI399" s="171"/>
      <c r="AJ399" s="172"/>
      <c r="AK399" s="173"/>
      <c r="AL399" s="171"/>
      <c r="AM399" s="172"/>
      <c r="AN399" s="173"/>
      <c r="AO399" s="171"/>
      <c r="AP399" s="172"/>
      <c r="AQ399" s="173"/>
      <c r="AR399" s="171"/>
      <c r="AS399" s="172"/>
      <c r="AT399" s="173"/>
      <c r="AU399" s="171"/>
      <c r="AV399" s="172"/>
      <c r="AW399" s="173"/>
      <c r="AX399" s="171"/>
      <c r="AY399" s="172"/>
      <c r="AZ399" s="173"/>
      <c r="BA399" s="171"/>
      <c r="BB399" s="172"/>
      <c r="BC399" s="173"/>
      <c r="BD399" s="171"/>
      <c r="BE399" s="172"/>
      <c r="BF399" s="173"/>
      <c r="BG399" s="171"/>
      <c r="BH399" s="172"/>
      <c r="BI399" s="173"/>
    </row>
    <row r="400" spans="1:61" s="29" customFormat="1" hidden="1" outlineLevel="1" x14ac:dyDescent="0.3">
      <c r="A400" s="163"/>
      <c r="B400" s="23"/>
      <c r="C400" s="3"/>
      <c r="D400" s="4"/>
      <c r="E400" s="198"/>
      <c r="F400" s="56"/>
      <c r="G400" s="56"/>
      <c r="H400" s="282"/>
      <c r="I400" s="235"/>
      <c r="J400" s="199"/>
      <c r="K400" s="282"/>
      <c r="L400" s="235"/>
      <c r="M400" s="199"/>
      <c r="N400" s="282"/>
      <c r="O400" s="235"/>
      <c r="P400" s="199"/>
      <c r="Q400" s="282"/>
      <c r="R400" s="235"/>
      <c r="S400" s="199"/>
      <c r="T400" s="282"/>
      <c r="U400" s="235"/>
      <c r="V400" s="199"/>
      <c r="W400" s="282"/>
      <c r="X400" s="235"/>
      <c r="Y400" s="199"/>
      <c r="Z400" s="282"/>
      <c r="AA400" s="235"/>
      <c r="AB400" s="199"/>
      <c r="AC400" s="282"/>
      <c r="AD400" s="235"/>
      <c r="AE400" s="199"/>
      <c r="AF400" s="282"/>
      <c r="AG400" s="235"/>
      <c r="AH400" s="199"/>
      <c r="AI400" s="282"/>
      <c r="AJ400" s="235"/>
      <c r="AK400" s="199"/>
      <c r="AL400" s="282"/>
      <c r="AM400" s="235"/>
      <c r="AN400" s="199"/>
      <c r="AO400" s="282"/>
      <c r="AP400" s="235"/>
      <c r="AQ400" s="199"/>
      <c r="AR400" s="282"/>
      <c r="AS400" s="235"/>
      <c r="AT400" s="199"/>
      <c r="AU400" s="282"/>
      <c r="AV400" s="235"/>
      <c r="AW400" s="199"/>
      <c r="AX400" s="282"/>
      <c r="AY400" s="235"/>
      <c r="AZ400" s="199"/>
      <c r="BA400" s="282"/>
      <c r="BB400" s="235"/>
      <c r="BC400" s="199"/>
      <c r="BD400" s="282"/>
      <c r="BE400" s="235"/>
      <c r="BF400" s="199"/>
      <c r="BG400" s="282"/>
      <c r="BH400" s="235"/>
      <c r="BI400" s="199"/>
    </row>
    <row r="401" spans="1:61" s="29" customFormat="1" hidden="1" outlineLevel="2" x14ac:dyDescent="0.3">
      <c r="A401" s="200" t="s">
        <v>129</v>
      </c>
      <c r="B401" s="59"/>
      <c r="C401" s="201"/>
      <c r="D401" s="41"/>
      <c r="E401" s="41"/>
      <c r="F401" s="63"/>
      <c r="G401" s="56"/>
      <c r="H401" s="211"/>
      <c r="I401" s="202">
        <v>9</v>
      </c>
      <c r="J401" s="203"/>
      <c r="K401" s="211"/>
      <c r="L401" s="202">
        <v>10</v>
      </c>
      <c r="M401" s="203"/>
      <c r="N401" s="211"/>
      <c r="O401" s="202">
        <v>10</v>
      </c>
      <c r="P401" s="203"/>
      <c r="Q401" s="211"/>
      <c r="R401" s="202">
        <v>10</v>
      </c>
      <c r="S401" s="203"/>
      <c r="T401" s="211"/>
      <c r="U401" s="202">
        <v>10</v>
      </c>
      <c r="V401" s="203"/>
      <c r="W401" s="211"/>
      <c r="X401" s="202">
        <v>10</v>
      </c>
      <c r="Y401" s="203"/>
      <c r="Z401" s="211"/>
      <c r="AA401" s="202">
        <v>10</v>
      </c>
      <c r="AB401" s="203"/>
      <c r="AC401" s="211"/>
      <c r="AD401" s="202">
        <v>10</v>
      </c>
      <c r="AE401" s="203"/>
      <c r="AF401" s="211"/>
      <c r="AG401" s="202">
        <v>10</v>
      </c>
      <c r="AH401" s="203"/>
      <c r="AI401" s="211"/>
      <c r="AJ401" s="202">
        <v>10</v>
      </c>
      <c r="AK401" s="203"/>
      <c r="AL401" s="211"/>
      <c r="AM401" s="202">
        <v>10</v>
      </c>
      <c r="AN401" s="203"/>
      <c r="AO401" s="211"/>
      <c r="AP401" s="202">
        <v>10</v>
      </c>
      <c r="AQ401" s="203"/>
      <c r="AR401" s="211"/>
      <c r="AS401" s="202"/>
      <c r="AT401" s="203"/>
      <c r="AU401" s="211"/>
      <c r="AV401" s="202"/>
      <c r="AW401" s="203"/>
      <c r="AX401" s="211"/>
      <c r="AY401" s="202"/>
      <c r="AZ401" s="203"/>
      <c r="BA401" s="211"/>
      <c r="BB401" s="202"/>
      <c r="BC401" s="203"/>
      <c r="BD401" s="211"/>
      <c r="BE401" s="202"/>
      <c r="BF401" s="203"/>
      <c r="BG401" s="211"/>
      <c r="BH401" s="202"/>
      <c r="BI401" s="203"/>
    </row>
    <row r="402" spans="1:61" s="29" customFormat="1" hidden="1" outlineLevel="2" x14ac:dyDescent="0.3">
      <c r="A402" s="204" t="s">
        <v>130</v>
      </c>
      <c r="B402" s="2"/>
      <c r="C402" s="201"/>
      <c r="D402" s="41"/>
      <c r="E402" s="41"/>
      <c r="F402" s="41"/>
      <c r="G402" s="56"/>
      <c r="H402" s="241"/>
      <c r="I402" s="27">
        <v>1</v>
      </c>
      <c r="J402" s="28"/>
      <c r="K402" s="241"/>
      <c r="L402" s="27">
        <v>1</v>
      </c>
      <c r="M402" s="28"/>
      <c r="N402" s="241"/>
      <c r="O402" s="27">
        <v>1</v>
      </c>
      <c r="P402" s="28"/>
      <c r="Q402" s="241"/>
      <c r="R402" s="27">
        <v>1</v>
      </c>
      <c r="S402" s="28"/>
      <c r="T402" s="241"/>
      <c r="U402" s="27">
        <v>1</v>
      </c>
      <c r="V402" s="28"/>
      <c r="W402" s="241"/>
      <c r="X402" s="27">
        <v>1</v>
      </c>
      <c r="Y402" s="28"/>
      <c r="Z402" s="241"/>
      <c r="AA402" s="27">
        <v>1</v>
      </c>
      <c r="AB402" s="28"/>
      <c r="AC402" s="241"/>
      <c r="AD402" s="27">
        <v>1</v>
      </c>
      <c r="AE402" s="28"/>
      <c r="AF402" s="241"/>
      <c r="AG402" s="27">
        <v>1</v>
      </c>
      <c r="AH402" s="28"/>
      <c r="AI402" s="241"/>
      <c r="AJ402" s="27">
        <v>1</v>
      </c>
      <c r="AK402" s="28"/>
      <c r="AL402" s="241"/>
      <c r="AM402" s="27">
        <v>1</v>
      </c>
      <c r="AN402" s="28"/>
      <c r="AO402" s="241"/>
      <c r="AP402" s="27">
        <v>1</v>
      </c>
      <c r="AQ402" s="28"/>
      <c r="AR402" s="241"/>
      <c r="AS402" s="27"/>
      <c r="AT402" s="28"/>
      <c r="AU402" s="241"/>
      <c r="AV402" s="27"/>
      <c r="AW402" s="28"/>
      <c r="AX402" s="241"/>
      <c r="AY402" s="27"/>
      <c r="AZ402" s="28"/>
      <c r="BA402" s="241"/>
      <c r="BB402" s="27"/>
      <c r="BC402" s="28"/>
      <c r="BD402" s="241"/>
      <c r="BE402" s="27"/>
      <c r="BF402" s="28"/>
      <c r="BG402" s="241"/>
      <c r="BH402" s="27"/>
      <c r="BI402" s="28"/>
    </row>
    <row r="403" spans="1:61" s="29" customFormat="1" hidden="1" outlineLevel="2" x14ac:dyDescent="0.3">
      <c r="A403" s="204" t="s">
        <v>131</v>
      </c>
      <c r="B403" s="2"/>
      <c r="C403" s="201"/>
      <c r="D403" s="41"/>
      <c r="E403" s="41"/>
      <c r="F403" s="41"/>
      <c r="G403" s="56"/>
      <c r="H403" s="241"/>
      <c r="I403" s="27">
        <v>1</v>
      </c>
      <c r="J403" s="28"/>
      <c r="K403" s="241"/>
      <c r="L403" s="27">
        <v>1</v>
      </c>
      <c r="M403" s="28"/>
      <c r="N403" s="241"/>
      <c r="O403" s="27">
        <v>1</v>
      </c>
      <c r="P403" s="28"/>
      <c r="Q403" s="241"/>
      <c r="R403" s="27">
        <v>1</v>
      </c>
      <c r="S403" s="28"/>
      <c r="T403" s="241"/>
      <c r="U403" s="27">
        <v>1</v>
      </c>
      <c r="V403" s="28"/>
      <c r="W403" s="241"/>
      <c r="X403" s="27">
        <v>1</v>
      </c>
      <c r="Y403" s="28"/>
      <c r="Z403" s="241"/>
      <c r="AA403" s="27">
        <v>1</v>
      </c>
      <c r="AB403" s="28"/>
      <c r="AC403" s="241"/>
      <c r="AD403" s="27">
        <v>1</v>
      </c>
      <c r="AE403" s="28"/>
      <c r="AF403" s="241"/>
      <c r="AG403" s="27">
        <v>1</v>
      </c>
      <c r="AH403" s="28"/>
      <c r="AI403" s="241"/>
      <c r="AJ403" s="27">
        <v>1</v>
      </c>
      <c r="AK403" s="28"/>
      <c r="AL403" s="241"/>
      <c r="AM403" s="27">
        <v>1</v>
      </c>
      <c r="AN403" s="28"/>
      <c r="AO403" s="241"/>
      <c r="AP403" s="27">
        <v>1</v>
      </c>
      <c r="AQ403" s="28"/>
      <c r="AR403" s="241"/>
      <c r="AS403" s="27"/>
      <c r="AT403" s="28"/>
      <c r="AU403" s="241"/>
      <c r="AV403" s="27"/>
      <c r="AW403" s="28"/>
      <c r="AX403" s="241"/>
      <c r="AY403" s="27"/>
      <c r="AZ403" s="28"/>
      <c r="BA403" s="241"/>
      <c r="BB403" s="27"/>
      <c r="BC403" s="28"/>
      <c r="BD403" s="241"/>
      <c r="BE403" s="27"/>
      <c r="BF403" s="28"/>
      <c r="BG403" s="241"/>
      <c r="BH403" s="27"/>
      <c r="BI403" s="28"/>
    </row>
    <row r="404" spans="1:61" s="29" customFormat="1" hidden="1" outlineLevel="2" x14ac:dyDescent="0.3">
      <c r="A404" s="204" t="s">
        <v>132</v>
      </c>
      <c r="B404" s="2"/>
      <c r="C404" s="201"/>
      <c r="D404" s="41"/>
      <c r="E404" s="41"/>
      <c r="F404" s="41"/>
      <c r="G404" s="56"/>
      <c r="H404" s="241"/>
      <c r="I404" s="27">
        <v>0</v>
      </c>
      <c r="J404" s="28"/>
      <c r="K404" s="241"/>
      <c r="L404" s="27">
        <v>0</v>
      </c>
      <c r="M404" s="28"/>
      <c r="N404" s="241"/>
      <c r="O404" s="27">
        <v>0</v>
      </c>
      <c r="P404" s="28"/>
      <c r="Q404" s="241"/>
      <c r="R404" s="27">
        <v>0</v>
      </c>
      <c r="S404" s="28"/>
      <c r="T404" s="241"/>
      <c r="U404" s="27">
        <v>0</v>
      </c>
      <c r="V404" s="28"/>
      <c r="W404" s="241"/>
      <c r="X404" s="27">
        <v>0</v>
      </c>
      <c r="Y404" s="28"/>
      <c r="Z404" s="241"/>
      <c r="AA404" s="27">
        <v>0</v>
      </c>
      <c r="AB404" s="28"/>
      <c r="AC404" s="241"/>
      <c r="AD404" s="27">
        <v>0</v>
      </c>
      <c r="AE404" s="28"/>
      <c r="AF404" s="241"/>
      <c r="AG404" s="27">
        <v>0</v>
      </c>
      <c r="AH404" s="28"/>
      <c r="AI404" s="241"/>
      <c r="AJ404" s="27">
        <v>0</v>
      </c>
      <c r="AK404" s="28"/>
      <c r="AL404" s="241"/>
      <c r="AM404" s="27">
        <v>0</v>
      </c>
      <c r="AN404" s="28"/>
      <c r="AO404" s="241"/>
      <c r="AP404" s="27">
        <v>0</v>
      </c>
      <c r="AQ404" s="28"/>
      <c r="AR404" s="241"/>
      <c r="AS404" s="27"/>
      <c r="AT404" s="28"/>
      <c r="AU404" s="241"/>
      <c r="AV404" s="27"/>
      <c r="AW404" s="28"/>
      <c r="AX404" s="241"/>
      <c r="AY404" s="27"/>
      <c r="AZ404" s="28"/>
      <c r="BA404" s="241"/>
      <c r="BB404" s="27"/>
      <c r="BC404" s="28"/>
      <c r="BD404" s="241"/>
      <c r="BE404" s="27"/>
      <c r="BF404" s="28"/>
      <c r="BG404" s="241"/>
      <c r="BH404" s="27"/>
      <c r="BI404" s="28"/>
    </row>
    <row r="405" spans="1:61" s="29" customFormat="1" hidden="1" outlineLevel="2" x14ac:dyDescent="0.3">
      <c r="A405" s="204" t="s">
        <v>133</v>
      </c>
      <c r="B405" s="2"/>
      <c r="C405" s="201"/>
      <c r="D405" s="41"/>
      <c r="E405" s="41"/>
      <c r="F405" s="41"/>
      <c r="G405" s="56"/>
      <c r="H405" s="241"/>
      <c r="I405" s="27">
        <v>2</v>
      </c>
      <c r="J405" s="28"/>
      <c r="K405" s="241"/>
      <c r="L405" s="27">
        <v>2</v>
      </c>
      <c r="M405" s="28"/>
      <c r="N405" s="241"/>
      <c r="O405" s="27">
        <v>2</v>
      </c>
      <c r="P405" s="28"/>
      <c r="Q405" s="241"/>
      <c r="R405" s="27">
        <v>2</v>
      </c>
      <c r="S405" s="28"/>
      <c r="T405" s="241"/>
      <c r="U405" s="27">
        <v>2</v>
      </c>
      <c r="V405" s="28"/>
      <c r="W405" s="241"/>
      <c r="X405" s="27">
        <v>2</v>
      </c>
      <c r="Y405" s="28"/>
      <c r="Z405" s="241"/>
      <c r="AA405" s="27">
        <v>2</v>
      </c>
      <c r="AB405" s="28"/>
      <c r="AC405" s="241"/>
      <c r="AD405" s="27">
        <v>2</v>
      </c>
      <c r="AE405" s="28"/>
      <c r="AF405" s="241"/>
      <c r="AG405" s="27">
        <v>2</v>
      </c>
      <c r="AH405" s="28"/>
      <c r="AI405" s="241"/>
      <c r="AJ405" s="27">
        <v>2</v>
      </c>
      <c r="AK405" s="28"/>
      <c r="AL405" s="241"/>
      <c r="AM405" s="27">
        <v>2</v>
      </c>
      <c r="AN405" s="28"/>
      <c r="AO405" s="241"/>
      <c r="AP405" s="27">
        <v>2</v>
      </c>
      <c r="AQ405" s="28"/>
      <c r="AR405" s="241"/>
      <c r="AS405" s="27"/>
      <c r="AT405" s="28"/>
      <c r="AU405" s="241"/>
      <c r="AV405" s="27"/>
      <c r="AW405" s="28"/>
      <c r="AX405" s="241"/>
      <c r="AY405" s="27"/>
      <c r="AZ405" s="28"/>
      <c r="BA405" s="241"/>
      <c r="BB405" s="27"/>
      <c r="BC405" s="28"/>
      <c r="BD405" s="241"/>
      <c r="BE405" s="27"/>
      <c r="BF405" s="28"/>
      <c r="BG405" s="241"/>
      <c r="BH405" s="27"/>
      <c r="BI405" s="28"/>
    </row>
    <row r="406" spans="1:61" s="29" customFormat="1" hidden="1" outlineLevel="2" x14ac:dyDescent="0.3">
      <c r="A406" s="204" t="s">
        <v>134</v>
      </c>
      <c r="B406" s="2"/>
      <c r="C406" s="201"/>
      <c r="D406" s="41"/>
      <c r="E406" s="41"/>
      <c r="F406" s="41"/>
      <c r="G406" s="56"/>
      <c r="H406" s="241"/>
      <c r="I406" s="27">
        <v>0</v>
      </c>
      <c r="J406" s="28"/>
      <c r="K406" s="241"/>
      <c r="L406" s="27">
        <v>0</v>
      </c>
      <c r="M406" s="28"/>
      <c r="N406" s="241"/>
      <c r="O406" s="27">
        <v>0</v>
      </c>
      <c r="P406" s="28"/>
      <c r="Q406" s="241"/>
      <c r="R406" s="27">
        <v>0</v>
      </c>
      <c r="S406" s="28"/>
      <c r="T406" s="241"/>
      <c r="U406" s="27">
        <v>0</v>
      </c>
      <c r="V406" s="28"/>
      <c r="W406" s="241"/>
      <c r="X406" s="27">
        <v>0</v>
      </c>
      <c r="Y406" s="28"/>
      <c r="Z406" s="241"/>
      <c r="AA406" s="27">
        <v>0</v>
      </c>
      <c r="AB406" s="28"/>
      <c r="AC406" s="241"/>
      <c r="AD406" s="27">
        <v>0</v>
      </c>
      <c r="AE406" s="28"/>
      <c r="AF406" s="241"/>
      <c r="AG406" s="27">
        <v>0</v>
      </c>
      <c r="AH406" s="28"/>
      <c r="AI406" s="241"/>
      <c r="AJ406" s="27">
        <v>0</v>
      </c>
      <c r="AK406" s="28"/>
      <c r="AL406" s="241"/>
      <c r="AM406" s="27">
        <v>0</v>
      </c>
      <c r="AN406" s="28"/>
      <c r="AO406" s="241"/>
      <c r="AP406" s="27">
        <v>0</v>
      </c>
      <c r="AQ406" s="28"/>
      <c r="AR406" s="241"/>
      <c r="AS406" s="27"/>
      <c r="AT406" s="28"/>
      <c r="AU406" s="241"/>
      <c r="AV406" s="27"/>
      <c r="AW406" s="28"/>
      <c r="AX406" s="241"/>
      <c r="AY406" s="27"/>
      <c r="AZ406" s="28"/>
      <c r="BA406" s="241"/>
      <c r="BB406" s="27"/>
      <c r="BC406" s="28"/>
      <c r="BD406" s="241"/>
      <c r="BE406" s="27"/>
      <c r="BF406" s="28"/>
      <c r="BG406" s="241"/>
      <c r="BH406" s="27"/>
      <c r="BI406" s="28"/>
    </row>
    <row r="407" spans="1:61" s="29" customFormat="1" hidden="1" outlineLevel="2" x14ac:dyDescent="0.3">
      <c r="A407" s="204" t="s">
        <v>135</v>
      </c>
      <c r="B407" s="2"/>
      <c r="C407" s="201"/>
      <c r="D407" s="41"/>
      <c r="E407" s="41"/>
      <c r="F407" s="41"/>
      <c r="G407" s="56"/>
      <c r="H407" s="241"/>
      <c r="I407" s="27">
        <v>2</v>
      </c>
      <c r="J407" s="28"/>
      <c r="K407" s="241"/>
      <c r="L407" s="27">
        <v>2</v>
      </c>
      <c r="M407" s="28"/>
      <c r="N407" s="241"/>
      <c r="O407" s="27">
        <v>2</v>
      </c>
      <c r="P407" s="28"/>
      <c r="Q407" s="241"/>
      <c r="R407" s="27">
        <v>2</v>
      </c>
      <c r="S407" s="28"/>
      <c r="T407" s="241"/>
      <c r="U407" s="27">
        <v>2</v>
      </c>
      <c r="V407" s="28"/>
      <c r="W407" s="241"/>
      <c r="X407" s="27">
        <v>2</v>
      </c>
      <c r="Y407" s="28"/>
      <c r="Z407" s="241"/>
      <c r="AA407" s="27">
        <v>2</v>
      </c>
      <c r="AB407" s="28"/>
      <c r="AC407" s="241"/>
      <c r="AD407" s="27">
        <v>2</v>
      </c>
      <c r="AE407" s="28"/>
      <c r="AF407" s="241"/>
      <c r="AG407" s="27">
        <v>2</v>
      </c>
      <c r="AH407" s="28"/>
      <c r="AI407" s="241"/>
      <c r="AJ407" s="27">
        <v>2</v>
      </c>
      <c r="AK407" s="28"/>
      <c r="AL407" s="241"/>
      <c r="AM407" s="27">
        <v>2</v>
      </c>
      <c r="AN407" s="28"/>
      <c r="AO407" s="241"/>
      <c r="AP407" s="27">
        <v>2</v>
      </c>
      <c r="AQ407" s="28"/>
      <c r="AR407" s="241"/>
      <c r="AS407" s="27"/>
      <c r="AT407" s="28"/>
      <c r="AU407" s="241"/>
      <c r="AV407" s="27"/>
      <c r="AW407" s="28"/>
      <c r="AX407" s="241"/>
      <c r="AY407" s="27"/>
      <c r="AZ407" s="28"/>
      <c r="BA407" s="241"/>
      <c r="BB407" s="27"/>
      <c r="BC407" s="28"/>
      <c r="BD407" s="241"/>
      <c r="BE407" s="27"/>
      <c r="BF407" s="28"/>
      <c r="BG407" s="241"/>
      <c r="BH407" s="27"/>
      <c r="BI407" s="28"/>
    </row>
    <row r="408" spans="1:61" s="29" customFormat="1" hidden="1" outlineLevel="2" x14ac:dyDescent="0.3">
      <c r="A408" s="204" t="s">
        <v>136</v>
      </c>
      <c r="B408" s="2"/>
      <c r="C408" s="201"/>
      <c r="D408" s="41"/>
      <c r="E408" s="41"/>
      <c r="F408" s="41"/>
      <c r="G408" s="56"/>
      <c r="H408" s="241"/>
      <c r="I408" s="27">
        <v>2</v>
      </c>
      <c r="J408" s="28"/>
      <c r="K408" s="241"/>
      <c r="L408" s="27">
        <v>2</v>
      </c>
      <c r="M408" s="28"/>
      <c r="N408" s="241"/>
      <c r="O408" s="27">
        <v>2</v>
      </c>
      <c r="P408" s="28"/>
      <c r="Q408" s="241"/>
      <c r="R408" s="27">
        <v>2</v>
      </c>
      <c r="S408" s="28"/>
      <c r="T408" s="241"/>
      <c r="U408" s="27">
        <v>2</v>
      </c>
      <c r="V408" s="28"/>
      <c r="W408" s="241"/>
      <c r="X408" s="27">
        <v>2</v>
      </c>
      <c r="Y408" s="28"/>
      <c r="Z408" s="241"/>
      <c r="AA408" s="27">
        <v>2</v>
      </c>
      <c r="AB408" s="28"/>
      <c r="AC408" s="241"/>
      <c r="AD408" s="27">
        <v>2</v>
      </c>
      <c r="AE408" s="28"/>
      <c r="AF408" s="241"/>
      <c r="AG408" s="27">
        <v>2</v>
      </c>
      <c r="AH408" s="28"/>
      <c r="AI408" s="241"/>
      <c r="AJ408" s="27">
        <v>2</v>
      </c>
      <c r="AK408" s="28"/>
      <c r="AL408" s="241"/>
      <c r="AM408" s="27">
        <v>2</v>
      </c>
      <c r="AN408" s="28"/>
      <c r="AO408" s="241"/>
      <c r="AP408" s="27">
        <v>2</v>
      </c>
      <c r="AQ408" s="28"/>
      <c r="AR408" s="241"/>
      <c r="AS408" s="27"/>
      <c r="AT408" s="28"/>
      <c r="AU408" s="241"/>
      <c r="AV408" s="27"/>
      <c r="AW408" s="28"/>
      <c r="AX408" s="241"/>
      <c r="AY408" s="27"/>
      <c r="AZ408" s="28"/>
      <c r="BA408" s="241"/>
      <c r="BB408" s="27"/>
      <c r="BC408" s="28"/>
      <c r="BD408" s="241"/>
      <c r="BE408" s="27"/>
      <c r="BF408" s="28"/>
      <c r="BG408" s="241"/>
      <c r="BH408" s="27"/>
      <c r="BI408" s="28"/>
    </row>
    <row r="409" spans="1:61" s="29" customFormat="1" hidden="1" outlineLevel="2" x14ac:dyDescent="0.3">
      <c r="A409" s="204" t="s">
        <v>137</v>
      </c>
      <c r="B409" s="2"/>
      <c r="C409" s="201"/>
      <c r="D409" s="41"/>
      <c r="E409" s="41"/>
      <c r="F409" s="41"/>
      <c r="G409" s="56"/>
      <c r="H409" s="241"/>
      <c r="I409" s="27">
        <v>1</v>
      </c>
      <c r="J409" s="28"/>
      <c r="K409" s="241"/>
      <c r="L409" s="27">
        <v>1</v>
      </c>
      <c r="M409" s="28"/>
      <c r="N409" s="241"/>
      <c r="O409" s="27">
        <v>1</v>
      </c>
      <c r="P409" s="28"/>
      <c r="Q409" s="241"/>
      <c r="R409" s="27">
        <v>1</v>
      </c>
      <c r="S409" s="28"/>
      <c r="T409" s="241"/>
      <c r="U409" s="27">
        <v>1</v>
      </c>
      <c r="V409" s="28"/>
      <c r="W409" s="241"/>
      <c r="X409" s="27">
        <v>1</v>
      </c>
      <c r="Y409" s="28"/>
      <c r="Z409" s="241"/>
      <c r="AA409" s="27">
        <v>1</v>
      </c>
      <c r="AB409" s="28"/>
      <c r="AC409" s="241"/>
      <c r="AD409" s="27">
        <v>1</v>
      </c>
      <c r="AE409" s="28"/>
      <c r="AF409" s="241"/>
      <c r="AG409" s="27">
        <v>1</v>
      </c>
      <c r="AH409" s="28"/>
      <c r="AI409" s="241"/>
      <c r="AJ409" s="27">
        <v>1</v>
      </c>
      <c r="AK409" s="28"/>
      <c r="AL409" s="241"/>
      <c r="AM409" s="27">
        <v>1</v>
      </c>
      <c r="AN409" s="28"/>
      <c r="AO409" s="241"/>
      <c r="AP409" s="27">
        <v>1</v>
      </c>
      <c r="AQ409" s="28"/>
      <c r="AR409" s="241"/>
      <c r="AS409" s="27"/>
      <c r="AT409" s="28"/>
      <c r="AU409" s="241"/>
      <c r="AV409" s="27"/>
      <c r="AW409" s="28"/>
      <c r="AX409" s="241"/>
      <c r="AY409" s="27"/>
      <c r="AZ409" s="28"/>
      <c r="BA409" s="241"/>
      <c r="BB409" s="27"/>
      <c r="BC409" s="28"/>
      <c r="BD409" s="241"/>
      <c r="BE409" s="27"/>
      <c r="BF409" s="28"/>
      <c r="BG409" s="241"/>
      <c r="BH409" s="27"/>
      <c r="BI409" s="28"/>
    </row>
    <row r="410" spans="1:61" s="29" customFormat="1" hidden="1" outlineLevel="2" x14ac:dyDescent="0.3">
      <c r="A410" s="204" t="s">
        <v>138</v>
      </c>
      <c r="B410" s="2"/>
      <c r="C410" s="201"/>
      <c r="D410" s="41"/>
      <c r="E410" s="41"/>
      <c r="F410" s="41"/>
      <c r="G410" s="56"/>
      <c r="H410" s="241"/>
      <c r="I410" s="27">
        <v>0</v>
      </c>
      <c r="J410" s="28"/>
      <c r="K410" s="241"/>
      <c r="L410" s="27">
        <v>1</v>
      </c>
      <c r="M410" s="28"/>
      <c r="N410" s="241"/>
      <c r="O410" s="27">
        <v>1</v>
      </c>
      <c r="P410" s="28"/>
      <c r="Q410" s="241"/>
      <c r="R410" s="27">
        <v>1</v>
      </c>
      <c r="S410" s="28"/>
      <c r="T410" s="241"/>
      <c r="U410" s="27">
        <v>1</v>
      </c>
      <c r="V410" s="28"/>
      <c r="W410" s="241"/>
      <c r="X410" s="27">
        <v>1</v>
      </c>
      <c r="Y410" s="28"/>
      <c r="Z410" s="241"/>
      <c r="AA410" s="27">
        <v>1</v>
      </c>
      <c r="AB410" s="28"/>
      <c r="AC410" s="241"/>
      <c r="AD410" s="27">
        <v>1</v>
      </c>
      <c r="AE410" s="28"/>
      <c r="AF410" s="241"/>
      <c r="AG410" s="27">
        <v>1</v>
      </c>
      <c r="AH410" s="28"/>
      <c r="AI410" s="241"/>
      <c r="AJ410" s="27">
        <v>1</v>
      </c>
      <c r="AK410" s="28"/>
      <c r="AL410" s="241"/>
      <c r="AM410" s="27">
        <v>1</v>
      </c>
      <c r="AN410" s="28"/>
      <c r="AO410" s="241"/>
      <c r="AP410" s="27">
        <v>1</v>
      </c>
      <c r="AQ410" s="28"/>
      <c r="AR410" s="241"/>
      <c r="AS410" s="27"/>
      <c r="AT410" s="28"/>
      <c r="AU410" s="241"/>
      <c r="AV410" s="27"/>
      <c r="AW410" s="28"/>
      <c r="AX410" s="241"/>
      <c r="AY410" s="27"/>
      <c r="AZ410" s="28"/>
      <c r="BA410" s="241"/>
      <c r="BB410" s="27"/>
      <c r="BC410" s="28"/>
      <c r="BD410" s="241"/>
      <c r="BE410" s="27"/>
      <c r="BF410" s="28"/>
      <c r="BG410" s="241"/>
      <c r="BH410" s="27"/>
      <c r="BI410" s="28"/>
    </row>
    <row r="411" spans="1:61" s="29" customFormat="1" hidden="1" outlineLevel="2" x14ac:dyDescent="0.3">
      <c r="A411" s="204" t="s">
        <v>139</v>
      </c>
      <c r="B411" s="2"/>
      <c r="C411" s="201"/>
      <c r="D411" s="41"/>
      <c r="E411" s="41"/>
      <c r="F411" s="41"/>
      <c r="G411" s="56"/>
      <c r="H411" s="241"/>
      <c r="I411" s="27">
        <v>0</v>
      </c>
      <c r="J411" s="28"/>
      <c r="K411" s="241"/>
      <c r="L411" s="27">
        <v>0</v>
      </c>
      <c r="M411" s="28"/>
      <c r="N411" s="241"/>
      <c r="O411" s="27">
        <v>0</v>
      </c>
      <c r="P411" s="28"/>
      <c r="Q411" s="241"/>
      <c r="R411" s="27">
        <v>0</v>
      </c>
      <c r="S411" s="28"/>
      <c r="T411" s="241"/>
      <c r="U411" s="27">
        <v>0</v>
      </c>
      <c r="V411" s="28"/>
      <c r="W411" s="241"/>
      <c r="X411" s="27">
        <v>0</v>
      </c>
      <c r="Y411" s="28"/>
      <c r="Z411" s="241"/>
      <c r="AA411" s="27">
        <v>0</v>
      </c>
      <c r="AB411" s="28"/>
      <c r="AC411" s="241"/>
      <c r="AD411" s="27">
        <v>0</v>
      </c>
      <c r="AE411" s="28"/>
      <c r="AF411" s="241"/>
      <c r="AG411" s="27">
        <v>0</v>
      </c>
      <c r="AH411" s="28"/>
      <c r="AI411" s="241"/>
      <c r="AJ411" s="27">
        <v>0</v>
      </c>
      <c r="AK411" s="28"/>
      <c r="AL411" s="241"/>
      <c r="AM411" s="27">
        <v>0</v>
      </c>
      <c r="AN411" s="28"/>
      <c r="AO411" s="241"/>
      <c r="AP411" s="27">
        <v>0</v>
      </c>
      <c r="AQ411" s="28"/>
      <c r="AR411" s="241"/>
      <c r="AS411" s="27"/>
      <c r="AT411" s="28"/>
      <c r="AU411" s="241"/>
      <c r="AV411" s="27"/>
      <c r="AW411" s="28"/>
      <c r="AX411" s="241"/>
      <c r="AY411" s="27"/>
      <c r="AZ411" s="28"/>
      <c r="BA411" s="241"/>
      <c r="BB411" s="27"/>
      <c r="BC411" s="28"/>
      <c r="BD411" s="241"/>
      <c r="BE411" s="27"/>
      <c r="BF411" s="28"/>
      <c r="BG411" s="241"/>
      <c r="BH411" s="27"/>
      <c r="BI411" s="28"/>
    </row>
    <row r="412" spans="1:61" s="29" customFormat="1" hidden="1" outlineLevel="2" x14ac:dyDescent="0.3">
      <c r="A412" s="204" t="s">
        <v>140</v>
      </c>
      <c r="B412" s="2"/>
      <c r="C412" s="201"/>
      <c r="D412" s="41"/>
      <c r="E412" s="41"/>
      <c r="F412" s="41"/>
      <c r="G412" s="56"/>
      <c r="H412" s="241"/>
      <c r="I412" s="27">
        <v>0</v>
      </c>
      <c r="J412" s="28"/>
      <c r="K412" s="241"/>
      <c r="L412" s="27">
        <v>0</v>
      </c>
      <c r="M412" s="28"/>
      <c r="N412" s="241"/>
      <c r="O412" s="27">
        <v>0</v>
      </c>
      <c r="P412" s="28"/>
      <c r="Q412" s="241"/>
      <c r="R412" s="27">
        <v>0</v>
      </c>
      <c r="S412" s="28"/>
      <c r="T412" s="241"/>
      <c r="U412" s="27">
        <v>0</v>
      </c>
      <c r="V412" s="28"/>
      <c r="W412" s="241"/>
      <c r="X412" s="27">
        <v>0</v>
      </c>
      <c r="Y412" s="28"/>
      <c r="Z412" s="241"/>
      <c r="AA412" s="27">
        <v>0</v>
      </c>
      <c r="AB412" s="28"/>
      <c r="AC412" s="241"/>
      <c r="AD412" s="27">
        <v>0</v>
      </c>
      <c r="AE412" s="28"/>
      <c r="AF412" s="241"/>
      <c r="AG412" s="27">
        <v>0</v>
      </c>
      <c r="AH412" s="28"/>
      <c r="AI412" s="241"/>
      <c r="AJ412" s="27">
        <v>0</v>
      </c>
      <c r="AK412" s="28"/>
      <c r="AL412" s="241"/>
      <c r="AM412" s="27">
        <v>0</v>
      </c>
      <c r="AN412" s="28"/>
      <c r="AO412" s="241"/>
      <c r="AP412" s="27">
        <v>0</v>
      </c>
      <c r="AQ412" s="28"/>
      <c r="AR412" s="241"/>
      <c r="AS412" s="27"/>
      <c r="AT412" s="28"/>
      <c r="AU412" s="241"/>
      <c r="AV412" s="27"/>
      <c r="AW412" s="28"/>
      <c r="AX412" s="241"/>
      <c r="AY412" s="27"/>
      <c r="AZ412" s="28"/>
      <c r="BA412" s="241"/>
      <c r="BB412" s="27"/>
      <c r="BC412" s="28"/>
      <c r="BD412" s="241"/>
      <c r="BE412" s="27"/>
      <c r="BF412" s="28"/>
      <c r="BG412" s="241"/>
      <c r="BH412" s="27"/>
      <c r="BI412" s="28"/>
    </row>
    <row r="413" spans="1:61" s="29" customFormat="1" hidden="1" outlineLevel="2" x14ac:dyDescent="0.3">
      <c r="A413" s="204" t="s">
        <v>141</v>
      </c>
      <c r="B413" s="2"/>
      <c r="C413" s="201"/>
      <c r="D413" s="41"/>
      <c r="E413" s="41"/>
      <c r="F413" s="41"/>
      <c r="G413" s="56"/>
      <c r="H413" s="241"/>
      <c r="I413" s="27">
        <v>1</v>
      </c>
      <c r="J413" s="28"/>
      <c r="K413" s="241"/>
      <c r="L413" s="27">
        <v>1</v>
      </c>
      <c r="M413" s="28"/>
      <c r="N413" s="241"/>
      <c r="O413" s="27">
        <v>1</v>
      </c>
      <c r="P413" s="28"/>
      <c r="Q413" s="241"/>
      <c r="R413" s="27">
        <v>1</v>
      </c>
      <c r="S413" s="28"/>
      <c r="T413" s="241"/>
      <c r="U413" s="27">
        <v>1</v>
      </c>
      <c r="V413" s="28"/>
      <c r="W413" s="241"/>
      <c r="X413" s="27">
        <v>1</v>
      </c>
      <c r="Y413" s="28"/>
      <c r="Z413" s="241"/>
      <c r="AA413" s="27">
        <v>1</v>
      </c>
      <c r="AB413" s="28"/>
      <c r="AC413" s="241"/>
      <c r="AD413" s="27">
        <v>1</v>
      </c>
      <c r="AE413" s="28"/>
      <c r="AF413" s="241"/>
      <c r="AG413" s="27">
        <v>1</v>
      </c>
      <c r="AH413" s="28"/>
      <c r="AI413" s="241"/>
      <c r="AJ413" s="27">
        <v>1</v>
      </c>
      <c r="AK413" s="28"/>
      <c r="AL413" s="241"/>
      <c r="AM413" s="27">
        <v>1</v>
      </c>
      <c r="AN413" s="28"/>
      <c r="AO413" s="241"/>
      <c r="AP413" s="27">
        <v>1</v>
      </c>
      <c r="AQ413" s="28"/>
      <c r="AR413" s="241"/>
      <c r="AS413" s="27"/>
      <c r="AT413" s="28"/>
      <c r="AU413" s="241"/>
      <c r="AV413" s="27"/>
      <c r="AW413" s="28"/>
      <c r="AX413" s="241"/>
      <c r="AY413" s="27"/>
      <c r="AZ413" s="28"/>
      <c r="BA413" s="241"/>
      <c r="BB413" s="27"/>
      <c r="BC413" s="28"/>
      <c r="BD413" s="241"/>
      <c r="BE413" s="27"/>
      <c r="BF413" s="28"/>
      <c r="BG413" s="241"/>
      <c r="BH413" s="27"/>
      <c r="BI413" s="28"/>
    </row>
    <row r="414" spans="1:61" s="29" customFormat="1" hidden="1" outlineLevel="2" x14ac:dyDescent="0.3">
      <c r="A414" s="205"/>
      <c r="B414" s="23"/>
      <c r="C414" s="3"/>
      <c r="D414" s="4"/>
      <c r="E414" s="198"/>
      <c r="F414" s="56"/>
      <c r="G414" s="56"/>
      <c r="H414" s="282"/>
      <c r="I414" s="235"/>
      <c r="J414" s="199"/>
      <c r="K414" s="282"/>
      <c r="L414" s="235"/>
      <c r="M414" s="199"/>
      <c r="N414" s="282"/>
      <c r="O414" s="235"/>
      <c r="P414" s="199"/>
      <c r="Q414" s="282"/>
      <c r="R414" s="235"/>
      <c r="S414" s="199"/>
      <c r="T414" s="282"/>
      <c r="U414" s="235"/>
      <c r="V414" s="199"/>
      <c r="W414" s="282"/>
      <c r="X414" s="235"/>
      <c r="Y414" s="199"/>
      <c r="Z414" s="282"/>
      <c r="AA414" s="235"/>
      <c r="AB414" s="199"/>
      <c r="AC414" s="282"/>
      <c r="AD414" s="235"/>
      <c r="AE414" s="199"/>
      <c r="AF414" s="282"/>
      <c r="AG414" s="235"/>
      <c r="AH414" s="199"/>
      <c r="AI414" s="282"/>
      <c r="AJ414" s="235"/>
      <c r="AK414" s="199"/>
      <c r="AL414" s="282"/>
      <c r="AM414" s="235"/>
      <c r="AN414" s="199"/>
      <c r="AO414" s="282"/>
      <c r="AP414" s="235"/>
      <c r="AQ414" s="199"/>
      <c r="AR414" s="282"/>
      <c r="AS414" s="235"/>
      <c r="AT414" s="199"/>
      <c r="AU414" s="282"/>
      <c r="AV414" s="235"/>
      <c r="AW414" s="199"/>
      <c r="AX414" s="282"/>
      <c r="AY414" s="235"/>
      <c r="AZ414" s="199"/>
      <c r="BA414" s="282"/>
      <c r="BB414" s="235"/>
      <c r="BC414" s="199"/>
      <c r="BD414" s="282"/>
      <c r="BE414" s="235"/>
      <c r="BF414" s="199"/>
      <c r="BG414" s="282"/>
      <c r="BH414" s="235"/>
      <c r="BI414" s="199"/>
    </row>
    <row r="415" spans="1:61" s="29" customFormat="1" hidden="1" outlineLevel="2" x14ac:dyDescent="0.3">
      <c r="A415" s="200" t="s">
        <v>424</v>
      </c>
      <c r="B415" s="59"/>
      <c r="C415" s="60"/>
      <c r="D415" s="61"/>
      <c r="E415" s="62"/>
      <c r="F415" s="63"/>
      <c r="G415" s="56"/>
      <c r="H415" s="211"/>
      <c r="I415" s="202">
        <v>27</v>
      </c>
      <c r="J415" s="203"/>
      <c r="K415" s="211"/>
      <c r="L415" s="202">
        <v>25</v>
      </c>
      <c r="M415" s="203"/>
      <c r="N415" s="211"/>
      <c r="O415" s="202">
        <v>25</v>
      </c>
      <c r="P415" s="203"/>
      <c r="Q415" s="211"/>
      <c r="R415" s="202">
        <v>25</v>
      </c>
      <c r="S415" s="203"/>
      <c r="T415" s="211"/>
      <c r="U415" s="202">
        <v>25</v>
      </c>
      <c r="V415" s="203"/>
      <c r="W415" s="211"/>
      <c r="X415" s="202">
        <v>25</v>
      </c>
      <c r="Y415" s="203"/>
      <c r="Z415" s="211"/>
      <c r="AA415" s="202">
        <v>25</v>
      </c>
      <c r="AB415" s="203"/>
      <c r="AC415" s="211"/>
      <c r="AD415" s="202">
        <v>25</v>
      </c>
      <c r="AE415" s="203"/>
      <c r="AF415" s="211"/>
      <c r="AG415" s="202">
        <v>25</v>
      </c>
      <c r="AH415" s="203"/>
      <c r="AI415" s="211"/>
      <c r="AJ415" s="202">
        <v>25</v>
      </c>
      <c r="AK415" s="203"/>
      <c r="AL415" s="211"/>
      <c r="AM415" s="202">
        <v>25</v>
      </c>
      <c r="AN415" s="203"/>
      <c r="AO415" s="211"/>
      <c r="AP415" s="202">
        <v>25</v>
      </c>
      <c r="AQ415" s="203"/>
      <c r="AR415" s="211"/>
      <c r="AS415" s="202"/>
      <c r="AT415" s="203"/>
      <c r="AU415" s="211"/>
      <c r="AV415" s="202"/>
      <c r="AW415" s="203"/>
      <c r="AX415" s="211"/>
      <c r="AY415" s="202"/>
      <c r="AZ415" s="203"/>
      <c r="BA415" s="211"/>
      <c r="BB415" s="202"/>
      <c r="BC415" s="203"/>
      <c r="BD415" s="211"/>
      <c r="BE415" s="202"/>
      <c r="BF415" s="203"/>
      <c r="BG415" s="211"/>
      <c r="BH415" s="202"/>
      <c r="BI415" s="203"/>
    </row>
    <row r="416" spans="1:61" s="29" customFormat="1" hidden="1" outlineLevel="2" x14ac:dyDescent="0.3">
      <c r="A416" s="204" t="s">
        <v>143</v>
      </c>
      <c r="B416" s="2"/>
      <c r="C416" s="60"/>
      <c r="D416" s="61"/>
      <c r="E416" s="62"/>
      <c r="F416" s="41"/>
      <c r="G416" s="56"/>
      <c r="H416" s="241"/>
      <c r="I416" s="27">
        <v>1</v>
      </c>
      <c r="J416" s="28"/>
      <c r="K416" s="241"/>
      <c r="L416" s="27">
        <v>1</v>
      </c>
      <c r="M416" s="28"/>
      <c r="N416" s="241"/>
      <c r="O416" s="27">
        <v>1</v>
      </c>
      <c r="P416" s="28"/>
      <c r="Q416" s="241"/>
      <c r="R416" s="27">
        <v>1</v>
      </c>
      <c r="S416" s="28"/>
      <c r="T416" s="241"/>
      <c r="U416" s="27">
        <v>1</v>
      </c>
      <c r="V416" s="28"/>
      <c r="W416" s="241"/>
      <c r="X416" s="27">
        <v>1</v>
      </c>
      <c r="Y416" s="28"/>
      <c r="Z416" s="241"/>
      <c r="AA416" s="27">
        <v>1</v>
      </c>
      <c r="AB416" s="28"/>
      <c r="AC416" s="241"/>
      <c r="AD416" s="27">
        <v>1</v>
      </c>
      <c r="AE416" s="28"/>
      <c r="AF416" s="241"/>
      <c r="AG416" s="27">
        <v>1</v>
      </c>
      <c r="AH416" s="28"/>
      <c r="AI416" s="241"/>
      <c r="AJ416" s="27">
        <v>1</v>
      </c>
      <c r="AK416" s="28"/>
      <c r="AL416" s="241"/>
      <c r="AM416" s="27">
        <v>1</v>
      </c>
      <c r="AN416" s="28"/>
      <c r="AO416" s="241"/>
      <c r="AP416" s="27">
        <v>1</v>
      </c>
      <c r="AQ416" s="28"/>
      <c r="AR416" s="241"/>
      <c r="AS416" s="27"/>
      <c r="AT416" s="28"/>
      <c r="AU416" s="241"/>
      <c r="AV416" s="27"/>
      <c r="AW416" s="28"/>
      <c r="AX416" s="241"/>
      <c r="AY416" s="27"/>
      <c r="AZ416" s="28"/>
      <c r="BA416" s="241"/>
      <c r="BB416" s="27"/>
      <c r="BC416" s="28"/>
      <c r="BD416" s="241"/>
      <c r="BE416" s="27"/>
      <c r="BF416" s="28"/>
      <c r="BG416" s="241"/>
      <c r="BH416" s="27"/>
      <c r="BI416" s="28"/>
    </row>
    <row r="417" spans="1:61" s="29" customFormat="1" hidden="1" outlineLevel="2" x14ac:dyDescent="0.3">
      <c r="A417" s="204" t="s">
        <v>145</v>
      </c>
      <c r="B417" s="2"/>
      <c r="C417" s="60"/>
      <c r="D417" s="61"/>
      <c r="E417" s="62"/>
      <c r="F417" s="41"/>
      <c r="G417" s="56"/>
      <c r="H417" s="241"/>
      <c r="I417" s="27">
        <v>6</v>
      </c>
      <c r="J417" s="28"/>
      <c r="K417" s="241"/>
      <c r="L417" s="27">
        <v>2</v>
      </c>
      <c r="M417" s="28"/>
      <c r="N417" s="241"/>
      <c r="O417" s="27">
        <v>2</v>
      </c>
      <c r="P417" s="28"/>
      <c r="Q417" s="241"/>
      <c r="R417" s="27">
        <v>2</v>
      </c>
      <c r="S417" s="28"/>
      <c r="T417" s="241"/>
      <c r="U417" s="27">
        <v>2</v>
      </c>
      <c r="V417" s="28"/>
      <c r="W417" s="241"/>
      <c r="X417" s="27">
        <v>2</v>
      </c>
      <c r="Y417" s="28"/>
      <c r="Z417" s="241"/>
      <c r="AA417" s="27">
        <v>2</v>
      </c>
      <c r="AB417" s="28"/>
      <c r="AC417" s="241"/>
      <c r="AD417" s="27">
        <v>2</v>
      </c>
      <c r="AE417" s="28"/>
      <c r="AF417" s="241"/>
      <c r="AG417" s="27">
        <v>2</v>
      </c>
      <c r="AH417" s="28"/>
      <c r="AI417" s="241"/>
      <c r="AJ417" s="27">
        <v>2</v>
      </c>
      <c r="AK417" s="28"/>
      <c r="AL417" s="241"/>
      <c r="AM417" s="27">
        <v>2</v>
      </c>
      <c r="AN417" s="28"/>
      <c r="AO417" s="241"/>
      <c r="AP417" s="27">
        <v>2</v>
      </c>
      <c r="AQ417" s="28"/>
      <c r="AR417" s="241"/>
      <c r="AS417" s="27"/>
      <c r="AT417" s="28"/>
      <c r="AU417" s="241"/>
      <c r="AV417" s="27"/>
      <c r="AW417" s="28"/>
      <c r="AX417" s="241"/>
      <c r="AY417" s="27"/>
      <c r="AZ417" s="28"/>
      <c r="BA417" s="241"/>
      <c r="BB417" s="27"/>
      <c r="BC417" s="28"/>
      <c r="BD417" s="241"/>
      <c r="BE417" s="27"/>
      <c r="BF417" s="28"/>
      <c r="BG417" s="241"/>
      <c r="BH417" s="27"/>
      <c r="BI417" s="28"/>
    </row>
    <row r="418" spans="1:61" s="29" customFormat="1" hidden="1" outlineLevel="2" x14ac:dyDescent="0.3">
      <c r="A418" s="204" t="s">
        <v>146</v>
      </c>
      <c r="B418" s="2"/>
      <c r="C418" s="60"/>
      <c r="D418" s="61"/>
      <c r="E418" s="62"/>
      <c r="F418" s="41"/>
      <c r="G418" s="56"/>
      <c r="H418" s="241"/>
      <c r="I418" s="27">
        <v>0</v>
      </c>
      <c r="J418" s="28"/>
      <c r="K418" s="241"/>
      <c r="L418" s="27">
        <v>2</v>
      </c>
      <c r="M418" s="28"/>
      <c r="N418" s="241"/>
      <c r="O418" s="27">
        <v>2</v>
      </c>
      <c r="P418" s="28"/>
      <c r="Q418" s="241"/>
      <c r="R418" s="27">
        <v>2</v>
      </c>
      <c r="S418" s="28"/>
      <c r="T418" s="241"/>
      <c r="U418" s="27">
        <v>2</v>
      </c>
      <c r="V418" s="28"/>
      <c r="W418" s="241"/>
      <c r="X418" s="27">
        <v>2</v>
      </c>
      <c r="Y418" s="28"/>
      <c r="Z418" s="241"/>
      <c r="AA418" s="27">
        <v>2</v>
      </c>
      <c r="AB418" s="28"/>
      <c r="AC418" s="241"/>
      <c r="AD418" s="27">
        <v>2</v>
      </c>
      <c r="AE418" s="28"/>
      <c r="AF418" s="241"/>
      <c r="AG418" s="27">
        <v>2</v>
      </c>
      <c r="AH418" s="28"/>
      <c r="AI418" s="241"/>
      <c r="AJ418" s="27">
        <v>2</v>
      </c>
      <c r="AK418" s="28"/>
      <c r="AL418" s="241"/>
      <c r="AM418" s="27">
        <v>2</v>
      </c>
      <c r="AN418" s="28"/>
      <c r="AO418" s="241"/>
      <c r="AP418" s="27">
        <v>2</v>
      </c>
      <c r="AQ418" s="28"/>
      <c r="AR418" s="241"/>
      <c r="AS418" s="27"/>
      <c r="AT418" s="28"/>
      <c r="AU418" s="241"/>
      <c r="AV418" s="27"/>
      <c r="AW418" s="28"/>
      <c r="AX418" s="241"/>
      <c r="AY418" s="27"/>
      <c r="AZ418" s="28"/>
      <c r="BA418" s="241"/>
      <c r="BB418" s="27"/>
      <c r="BC418" s="28"/>
      <c r="BD418" s="241"/>
      <c r="BE418" s="27"/>
      <c r="BF418" s="28"/>
      <c r="BG418" s="241"/>
      <c r="BH418" s="27"/>
      <c r="BI418" s="28"/>
    </row>
    <row r="419" spans="1:61" s="29" customFormat="1" hidden="1" outlineLevel="2" x14ac:dyDescent="0.3">
      <c r="A419" s="204" t="s">
        <v>147</v>
      </c>
      <c r="B419" s="2"/>
      <c r="C419" s="60"/>
      <c r="D419" s="61"/>
      <c r="E419" s="62"/>
      <c r="F419" s="41"/>
      <c r="G419" s="56"/>
      <c r="H419" s="241"/>
      <c r="I419" s="27">
        <v>1</v>
      </c>
      <c r="J419" s="28"/>
      <c r="K419" s="241"/>
      <c r="L419" s="27">
        <v>2</v>
      </c>
      <c r="M419" s="28"/>
      <c r="N419" s="241"/>
      <c r="O419" s="27">
        <v>2</v>
      </c>
      <c r="P419" s="28"/>
      <c r="Q419" s="241"/>
      <c r="R419" s="27">
        <v>2</v>
      </c>
      <c r="S419" s="28"/>
      <c r="T419" s="241"/>
      <c r="U419" s="27">
        <v>2</v>
      </c>
      <c r="V419" s="28"/>
      <c r="W419" s="241"/>
      <c r="X419" s="27">
        <v>2</v>
      </c>
      <c r="Y419" s="28"/>
      <c r="Z419" s="241"/>
      <c r="AA419" s="27">
        <v>2</v>
      </c>
      <c r="AB419" s="28"/>
      <c r="AC419" s="241"/>
      <c r="AD419" s="27">
        <v>2</v>
      </c>
      <c r="AE419" s="28"/>
      <c r="AF419" s="241"/>
      <c r="AG419" s="27">
        <v>2</v>
      </c>
      <c r="AH419" s="28"/>
      <c r="AI419" s="241"/>
      <c r="AJ419" s="27">
        <v>2</v>
      </c>
      <c r="AK419" s="28"/>
      <c r="AL419" s="241"/>
      <c r="AM419" s="27">
        <v>2</v>
      </c>
      <c r="AN419" s="28"/>
      <c r="AO419" s="241"/>
      <c r="AP419" s="27">
        <v>2</v>
      </c>
      <c r="AQ419" s="28"/>
      <c r="AR419" s="241"/>
      <c r="AS419" s="27"/>
      <c r="AT419" s="28"/>
      <c r="AU419" s="241"/>
      <c r="AV419" s="27"/>
      <c r="AW419" s="28"/>
      <c r="AX419" s="241"/>
      <c r="AY419" s="27"/>
      <c r="AZ419" s="28"/>
      <c r="BA419" s="241"/>
      <c r="BB419" s="27"/>
      <c r="BC419" s="28"/>
      <c r="BD419" s="241"/>
      <c r="BE419" s="27"/>
      <c r="BF419" s="28"/>
      <c r="BG419" s="241"/>
      <c r="BH419" s="27"/>
      <c r="BI419" s="28"/>
    </row>
    <row r="420" spans="1:61" s="29" customFormat="1" hidden="1" outlineLevel="2" x14ac:dyDescent="0.3">
      <c r="A420" s="204" t="s">
        <v>148</v>
      </c>
      <c r="B420" s="2"/>
      <c r="C420" s="60"/>
      <c r="D420" s="61"/>
      <c r="E420" s="206"/>
      <c r="F420" s="41"/>
      <c r="G420" s="56"/>
      <c r="H420" s="241"/>
      <c r="I420" s="27">
        <v>0</v>
      </c>
      <c r="J420" s="28"/>
      <c r="K420" s="241"/>
      <c r="L420" s="27">
        <v>0</v>
      </c>
      <c r="M420" s="28"/>
      <c r="N420" s="241"/>
      <c r="O420" s="27">
        <v>0</v>
      </c>
      <c r="P420" s="28"/>
      <c r="Q420" s="241"/>
      <c r="R420" s="27">
        <v>0</v>
      </c>
      <c r="S420" s="28"/>
      <c r="T420" s="241"/>
      <c r="U420" s="27">
        <v>0</v>
      </c>
      <c r="V420" s="28"/>
      <c r="W420" s="241"/>
      <c r="X420" s="27">
        <v>0</v>
      </c>
      <c r="Y420" s="28"/>
      <c r="Z420" s="241"/>
      <c r="AA420" s="27">
        <v>0</v>
      </c>
      <c r="AB420" s="28"/>
      <c r="AC420" s="241"/>
      <c r="AD420" s="27">
        <v>0</v>
      </c>
      <c r="AE420" s="28"/>
      <c r="AF420" s="241"/>
      <c r="AG420" s="27">
        <v>0</v>
      </c>
      <c r="AH420" s="28"/>
      <c r="AI420" s="241"/>
      <c r="AJ420" s="27">
        <v>0</v>
      </c>
      <c r="AK420" s="28"/>
      <c r="AL420" s="241"/>
      <c r="AM420" s="27">
        <v>0</v>
      </c>
      <c r="AN420" s="28"/>
      <c r="AO420" s="241"/>
      <c r="AP420" s="27">
        <v>0</v>
      </c>
      <c r="AQ420" s="28"/>
      <c r="AR420" s="241"/>
      <c r="AS420" s="27"/>
      <c r="AT420" s="28"/>
      <c r="AU420" s="241"/>
      <c r="AV420" s="27"/>
      <c r="AW420" s="28"/>
      <c r="AX420" s="241"/>
      <c r="AY420" s="27"/>
      <c r="AZ420" s="28"/>
      <c r="BA420" s="241"/>
      <c r="BB420" s="27"/>
      <c r="BC420" s="28"/>
      <c r="BD420" s="241"/>
      <c r="BE420" s="27"/>
      <c r="BF420" s="28"/>
      <c r="BG420" s="241"/>
      <c r="BH420" s="27"/>
      <c r="BI420" s="28"/>
    </row>
    <row r="421" spans="1:61" s="29" customFormat="1" hidden="1" outlineLevel="2" x14ac:dyDescent="0.3">
      <c r="A421" s="204" t="s">
        <v>149</v>
      </c>
      <c r="B421" s="2"/>
      <c r="C421" s="60"/>
      <c r="D421" s="61"/>
      <c r="E421" s="62"/>
      <c r="F421" s="41"/>
      <c r="G421" s="56"/>
      <c r="H421" s="241"/>
      <c r="I421" s="27">
        <v>1</v>
      </c>
      <c r="J421" s="28"/>
      <c r="K421" s="241"/>
      <c r="L421" s="27">
        <v>0</v>
      </c>
      <c r="M421" s="28"/>
      <c r="N421" s="241"/>
      <c r="O421" s="27">
        <v>0</v>
      </c>
      <c r="P421" s="28"/>
      <c r="Q421" s="241"/>
      <c r="R421" s="27">
        <v>0</v>
      </c>
      <c r="S421" s="28"/>
      <c r="T421" s="241"/>
      <c r="U421" s="27">
        <v>0</v>
      </c>
      <c r="V421" s="28"/>
      <c r="W421" s="241"/>
      <c r="X421" s="27">
        <v>0</v>
      </c>
      <c r="Y421" s="28"/>
      <c r="Z421" s="241"/>
      <c r="AA421" s="27">
        <v>0</v>
      </c>
      <c r="AB421" s="28"/>
      <c r="AC421" s="241"/>
      <c r="AD421" s="27">
        <v>0</v>
      </c>
      <c r="AE421" s="28"/>
      <c r="AF421" s="241"/>
      <c r="AG421" s="27">
        <v>0</v>
      </c>
      <c r="AH421" s="28"/>
      <c r="AI421" s="241"/>
      <c r="AJ421" s="27">
        <v>0</v>
      </c>
      <c r="AK421" s="28"/>
      <c r="AL421" s="241"/>
      <c r="AM421" s="27">
        <v>0</v>
      </c>
      <c r="AN421" s="28"/>
      <c r="AO421" s="241"/>
      <c r="AP421" s="27">
        <v>0</v>
      </c>
      <c r="AQ421" s="28"/>
      <c r="AR421" s="241"/>
      <c r="AS421" s="27"/>
      <c r="AT421" s="28"/>
      <c r="AU421" s="241"/>
      <c r="AV421" s="27"/>
      <c r="AW421" s="28"/>
      <c r="AX421" s="241"/>
      <c r="AY421" s="27"/>
      <c r="AZ421" s="28"/>
      <c r="BA421" s="241"/>
      <c r="BB421" s="27"/>
      <c r="BC421" s="28"/>
      <c r="BD421" s="241"/>
      <c r="BE421" s="27"/>
      <c r="BF421" s="28"/>
      <c r="BG421" s="241"/>
      <c r="BH421" s="27"/>
      <c r="BI421" s="28"/>
    </row>
    <row r="422" spans="1:61" s="29" customFormat="1" hidden="1" outlineLevel="2" x14ac:dyDescent="0.3">
      <c r="A422" s="204" t="s">
        <v>150</v>
      </c>
      <c r="B422" s="2"/>
      <c r="C422" s="60"/>
      <c r="D422" s="61"/>
      <c r="E422" s="62"/>
      <c r="F422" s="41"/>
      <c r="G422" s="56"/>
      <c r="H422" s="241"/>
      <c r="I422" s="27">
        <v>0</v>
      </c>
      <c r="J422" s="28"/>
      <c r="K422" s="241"/>
      <c r="L422" s="27">
        <v>0</v>
      </c>
      <c r="M422" s="28"/>
      <c r="N422" s="241"/>
      <c r="O422" s="27">
        <v>0</v>
      </c>
      <c r="P422" s="28"/>
      <c r="Q422" s="241"/>
      <c r="R422" s="27">
        <v>0</v>
      </c>
      <c r="S422" s="28"/>
      <c r="T422" s="241"/>
      <c r="U422" s="27">
        <v>0</v>
      </c>
      <c r="V422" s="28"/>
      <c r="W422" s="241"/>
      <c r="X422" s="27">
        <v>0</v>
      </c>
      <c r="Y422" s="28"/>
      <c r="Z422" s="241"/>
      <c r="AA422" s="27">
        <v>0</v>
      </c>
      <c r="AB422" s="28"/>
      <c r="AC422" s="241"/>
      <c r="AD422" s="27">
        <v>0</v>
      </c>
      <c r="AE422" s="28"/>
      <c r="AF422" s="241"/>
      <c r="AG422" s="27">
        <v>0</v>
      </c>
      <c r="AH422" s="28"/>
      <c r="AI422" s="241"/>
      <c r="AJ422" s="27">
        <v>0</v>
      </c>
      <c r="AK422" s="28"/>
      <c r="AL422" s="241"/>
      <c r="AM422" s="27">
        <v>0</v>
      </c>
      <c r="AN422" s="28"/>
      <c r="AO422" s="241"/>
      <c r="AP422" s="27">
        <v>0</v>
      </c>
      <c r="AQ422" s="28"/>
      <c r="AR422" s="241"/>
      <c r="AS422" s="27"/>
      <c r="AT422" s="28"/>
      <c r="AU422" s="241"/>
      <c r="AV422" s="27"/>
      <c r="AW422" s="28"/>
      <c r="AX422" s="241"/>
      <c r="AY422" s="27"/>
      <c r="AZ422" s="28"/>
      <c r="BA422" s="241"/>
      <c r="BB422" s="27"/>
      <c r="BC422" s="28"/>
      <c r="BD422" s="241"/>
      <c r="BE422" s="27"/>
      <c r="BF422" s="28"/>
      <c r="BG422" s="241"/>
      <c r="BH422" s="27"/>
      <c r="BI422" s="28"/>
    </row>
    <row r="423" spans="1:61" s="29" customFormat="1" hidden="1" outlineLevel="2" x14ac:dyDescent="0.3">
      <c r="A423" s="204" t="s">
        <v>151</v>
      </c>
      <c r="B423" s="2"/>
      <c r="C423" s="60"/>
      <c r="D423" s="61"/>
      <c r="E423" s="62"/>
      <c r="F423" s="41"/>
      <c r="G423" s="56"/>
      <c r="H423" s="241"/>
      <c r="I423" s="27">
        <v>4</v>
      </c>
      <c r="J423" s="28"/>
      <c r="K423" s="241"/>
      <c r="L423" s="27">
        <v>2</v>
      </c>
      <c r="M423" s="28"/>
      <c r="N423" s="241"/>
      <c r="O423" s="27">
        <v>2</v>
      </c>
      <c r="P423" s="28"/>
      <c r="Q423" s="241"/>
      <c r="R423" s="27">
        <v>2</v>
      </c>
      <c r="S423" s="28"/>
      <c r="T423" s="241"/>
      <c r="U423" s="27">
        <v>2</v>
      </c>
      <c r="V423" s="28"/>
      <c r="W423" s="241"/>
      <c r="X423" s="27">
        <v>2</v>
      </c>
      <c r="Y423" s="28"/>
      <c r="Z423" s="241"/>
      <c r="AA423" s="27">
        <v>2</v>
      </c>
      <c r="AB423" s="28"/>
      <c r="AC423" s="241"/>
      <c r="AD423" s="27">
        <v>2</v>
      </c>
      <c r="AE423" s="28"/>
      <c r="AF423" s="241"/>
      <c r="AG423" s="27">
        <v>2</v>
      </c>
      <c r="AH423" s="28"/>
      <c r="AI423" s="241"/>
      <c r="AJ423" s="27">
        <v>2</v>
      </c>
      <c r="AK423" s="28"/>
      <c r="AL423" s="241"/>
      <c r="AM423" s="27">
        <v>2</v>
      </c>
      <c r="AN423" s="28"/>
      <c r="AO423" s="241"/>
      <c r="AP423" s="27">
        <v>2</v>
      </c>
      <c r="AQ423" s="28"/>
      <c r="AR423" s="241"/>
      <c r="AS423" s="27"/>
      <c r="AT423" s="28"/>
      <c r="AU423" s="241"/>
      <c r="AV423" s="27"/>
      <c r="AW423" s="28"/>
      <c r="AX423" s="241"/>
      <c r="AY423" s="27"/>
      <c r="AZ423" s="28"/>
      <c r="BA423" s="241"/>
      <c r="BB423" s="27"/>
      <c r="BC423" s="28"/>
      <c r="BD423" s="241"/>
      <c r="BE423" s="27"/>
      <c r="BF423" s="28"/>
      <c r="BG423" s="241"/>
      <c r="BH423" s="27"/>
      <c r="BI423" s="28"/>
    </row>
    <row r="424" spans="1:61" s="29" customFormat="1" hidden="1" outlineLevel="2" x14ac:dyDescent="0.3">
      <c r="A424" s="204" t="s">
        <v>152</v>
      </c>
      <c r="B424" s="2"/>
      <c r="C424" s="60"/>
      <c r="D424" s="61"/>
      <c r="E424" s="62"/>
      <c r="F424" s="41"/>
      <c r="G424" s="56"/>
      <c r="H424" s="241"/>
      <c r="I424" s="27">
        <v>0</v>
      </c>
      <c r="J424" s="28"/>
      <c r="K424" s="241"/>
      <c r="L424" s="27">
        <v>2</v>
      </c>
      <c r="M424" s="28"/>
      <c r="N424" s="241"/>
      <c r="O424" s="27">
        <v>2</v>
      </c>
      <c r="P424" s="28"/>
      <c r="Q424" s="241"/>
      <c r="R424" s="27">
        <v>2</v>
      </c>
      <c r="S424" s="28"/>
      <c r="T424" s="241"/>
      <c r="U424" s="27">
        <v>2</v>
      </c>
      <c r="V424" s="28"/>
      <c r="W424" s="241"/>
      <c r="X424" s="27">
        <v>2</v>
      </c>
      <c r="Y424" s="28"/>
      <c r="Z424" s="241"/>
      <c r="AA424" s="27">
        <v>2</v>
      </c>
      <c r="AB424" s="28"/>
      <c r="AC424" s="241"/>
      <c r="AD424" s="27">
        <v>2</v>
      </c>
      <c r="AE424" s="28"/>
      <c r="AF424" s="241"/>
      <c r="AG424" s="27">
        <v>2</v>
      </c>
      <c r="AH424" s="28"/>
      <c r="AI424" s="241"/>
      <c r="AJ424" s="27">
        <v>2</v>
      </c>
      <c r="AK424" s="28"/>
      <c r="AL424" s="241"/>
      <c r="AM424" s="27">
        <v>2</v>
      </c>
      <c r="AN424" s="28"/>
      <c r="AO424" s="241"/>
      <c r="AP424" s="27">
        <v>2</v>
      </c>
      <c r="AQ424" s="28"/>
      <c r="AR424" s="241"/>
      <c r="AS424" s="27"/>
      <c r="AT424" s="28"/>
      <c r="AU424" s="241"/>
      <c r="AV424" s="27"/>
      <c r="AW424" s="28"/>
      <c r="AX424" s="241"/>
      <c r="AY424" s="27"/>
      <c r="AZ424" s="28"/>
      <c r="BA424" s="241"/>
      <c r="BB424" s="27"/>
      <c r="BC424" s="28"/>
      <c r="BD424" s="241"/>
      <c r="BE424" s="27"/>
      <c r="BF424" s="28"/>
      <c r="BG424" s="241"/>
      <c r="BH424" s="27"/>
      <c r="BI424" s="28"/>
    </row>
    <row r="425" spans="1:61" s="29" customFormat="1" hidden="1" outlineLevel="2" x14ac:dyDescent="0.3">
      <c r="A425" s="204" t="s">
        <v>153</v>
      </c>
      <c r="B425" s="2"/>
      <c r="C425" s="60"/>
      <c r="D425" s="61"/>
      <c r="E425" s="206"/>
      <c r="F425" s="41"/>
      <c r="G425" s="56"/>
      <c r="H425" s="241"/>
      <c r="I425" s="27">
        <v>1</v>
      </c>
      <c r="J425" s="28"/>
      <c r="K425" s="241"/>
      <c r="L425" s="27">
        <v>1</v>
      </c>
      <c r="M425" s="28"/>
      <c r="N425" s="241"/>
      <c r="O425" s="27">
        <v>1</v>
      </c>
      <c r="P425" s="28"/>
      <c r="Q425" s="241"/>
      <c r="R425" s="27">
        <v>1</v>
      </c>
      <c r="S425" s="28"/>
      <c r="T425" s="241"/>
      <c r="U425" s="27">
        <v>1</v>
      </c>
      <c r="V425" s="28"/>
      <c r="W425" s="241"/>
      <c r="X425" s="27">
        <v>1</v>
      </c>
      <c r="Y425" s="28"/>
      <c r="Z425" s="241"/>
      <c r="AA425" s="27">
        <v>1</v>
      </c>
      <c r="AB425" s="28"/>
      <c r="AC425" s="241"/>
      <c r="AD425" s="27">
        <v>1</v>
      </c>
      <c r="AE425" s="28"/>
      <c r="AF425" s="241"/>
      <c r="AG425" s="27">
        <v>1</v>
      </c>
      <c r="AH425" s="28"/>
      <c r="AI425" s="241"/>
      <c r="AJ425" s="27">
        <v>1</v>
      </c>
      <c r="AK425" s="28"/>
      <c r="AL425" s="241"/>
      <c r="AM425" s="27">
        <v>1</v>
      </c>
      <c r="AN425" s="28"/>
      <c r="AO425" s="241"/>
      <c r="AP425" s="27">
        <v>1</v>
      </c>
      <c r="AQ425" s="28"/>
      <c r="AR425" s="241"/>
      <c r="AS425" s="27"/>
      <c r="AT425" s="28"/>
      <c r="AU425" s="241"/>
      <c r="AV425" s="27"/>
      <c r="AW425" s="28"/>
      <c r="AX425" s="241"/>
      <c r="AY425" s="27"/>
      <c r="AZ425" s="28"/>
      <c r="BA425" s="241"/>
      <c r="BB425" s="27"/>
      <c r="BC425" s="28"/>
      <c r="BD425" s="241"/>
      <c r="BE425" s="27"/>
      <c r="BF425" s="28"/>
      <c r="BG425" s="241"/>
      <c r="BH425" s="27"/>
      <c r="BI425" s="28"/>
    </row>
    <row r="426" spans="1:61" s="29" customFormat="1" hidden="1" outlineLevel="2" x14ac:dyDescent="0.3">
      <c r="A426" s="204" t="s">
        <v>154</v>
      </c>
      <c r="B426" s="2"/>
      <c r="C426" s="60"/>
      <c r="D426" s="61"/>
      <c r="E426" s="206"/>
      <c r="F426" s="41"/>
      <c r="G426" s="56"/>
      <c r="H426" s="241"/>
      <c r="I426" s="27">
        <v>2</v>
      </c>
      <c r="J426" s="28"/>
      <c r="K426" s="241"/>
      <c r="L426" s="27">
        <v>2</v>
      </c>
      <c r="M426" s="28"/>
      <c r="N426" s="241"/>
      <c r="O426" s="27">
        <v>2</v>
      </c>
      <c r="P426" s="28"/>
      <c r="Q426" s="241"/>
      <c r="R426" s="27">
        <v>2</v>
      </c>
      <c r="S426" s="28"/>
      <c r="T426" s="241"/>
      <c r="U426" s="27">
        <v>2</v>
      </c>
      <c r="V426" s="28"/>
      <c r="W426" s="241"/>
      <c r="X426" s="27">
        <v>2</v>
      </c>
      <c r="Y426" s="28"/>
      <c r="Z426" s="241"/>
      <c r="AA426" s="27">
        <v>2</v>
      </c>
      <c r="AB426" s="28"/>
      <c r="AC426" s="241"/>
      <c r="AD426" s="27">
        <v>2</v>
      </c>
      <c r="AE426" s="28"/>
      <c r="AF426" s="241"/>
      <c r="AG426" s="27">
        <v>2</v>
      </c>
      <c r="AH426" s="28"/>
      <c r="AI426" s="241"/>
      <c r="AJ426" s="27">
        <v>2</v>
      </c>
      <c r="AK426" s="28"/>
      <c r="AL426" s="241"/>
      <c r="AM426" s="27">
        <v>2</v>
      </c>
      <c r="AN426" s="28"/>
      <c r="AO426" s="241"/>
      <c r="AP426" s="27">
        <v>2</v>
      </c>
      <c r="AQ426" s="28"/>
      <c r="AR426" s="241"/>
      <c r="AS426" s="27"/>
      <c r="AT426" s="28"/>
      <c r="AU426" s="241"/>
      <c r="AV426" s="27"/>
      <c r="AW426" s="28"/>
      <c r="AX426" s="241"/>
      <c r="AY426" s="27"/>
      <c r="AZ426" s="28"/>
      <c r="BA426" s="241"/>
      <c r="BB426" s="27"/>
      <c r="BC426" s="28"/>
      <c r="BD426" s="241"/>
      <c r="BE426" s="27"/>
      <c r="BF426" s="28"/>
      <c r="BG426" s="241"/>
      <c r="BH426" s="27"/>
      <c r="BI426" s="28"/>
    </row>
    <row r="427" spans="1:61" s="29" customFormat="1" hidden="1" outlineLevel="2" x14ac:dyDescent="0.3">
      <c r="A427" s="204" t="s">
        <v>155</v>
      </c>
      <c r="B427" s="2"/>
      <c r="C427" s="60"/>
      <c r="D427" s="61"/>
      <c r="E427" s="206"/>
      <c r="F427" s="41"/>
      <c r="G427" s="56"/>
      <c r="H427" s="241"/>
      <c r="I427" s="27">
        <v>1</v>
      </c>
      <c r="J427" s="28"/>
      <c r="K427" s="241"/>
      <c r="L427" s="27">
        <v>0</v>
      </c>
      <c r="M427" s="28"/>
      <c r="N427" s="241"/>
      <c r="O427" s="27">
        <v>0</v>
      </c>
      <c r="P427" s="28"/>
      <c r="Q427" s="241"/>
      <c r="R427" s="27">
        <v>0</v>
      </c>
      <c r="S427" s="28"/>
      <c r="T427" s="241"/>
      <c r="U427" s="27">
        <v>0</v>
      </c>
      <c r="V427" s="28"/>
      <c r="W427" s="241"/>
      <c r="X427" s="27">
        <v>0</v>
      </c>
      <c r="Y427" s="28"/>
      <c r="Z427" s="241"/>
      <c r="AA427" s="27">
        <v>0</v>
      </c>
      <c r="AB427" s="28"/>
      <c r="AC427" s="241"/>
      <c r="AD427" s="27">
        <v>0</v>
      </c>
      <c r="AE427" s="28"/>
      <c r="AF427" s="241"/>
      <c r="AG427" s="27">
        <v>0</v>
      </c>
      <c r="AH427" s="28"/>
      <c r="AI427" s="241"/>
      <c r="AJ427" s="27">
        <v>0</v>
      </c>
      <c r="AK427" s="28"/>
      <c r="AL427" s="241"/>
      <c r="AM427" s="27">
        <v>0</v>
      </c>
      <c r="AN427" s="28"/>
      <c r="AO427" s="241"/>
      <c r="AP427" s="27">
        <v>0</v>
      </c>
      <c r="AQ427" s="28"/>
      <c r="AR427" s="241"/>
      <c r="AS427" s="27"/>
      <c r="AT427" s="28"/>
      <c r="AU427" s="241"/>
      <c r="AV427" s="27"/>
      <c r="AW427" s="28"/>
      <c r="AX427" s="241"/>
      <c r="AY427" s="27"/>
      <c r="AZ427" s="28"/>
      <c r="BA427" s="241"/>
      <c r="BB427" s="27"/>
      <c r="BC427" s="28"/>
      <c r="BD427" s="241"/>
      <c r="BE427" s="27"/>
      <c r="BF427" s="28"/>
      <c r="BG427" s="241"/>
      <c r="BH427" s="27"/>
      <c r="BI427" s="28"/>
    </row>
    <row r="428" spans="1:61" s="29" customFormat="1" hidden="1" outlineLevel="2" x14ac:dyDescent="0.3">
      <c r="A428" s="204" t="s">
        <v>156</v>
      </c>
      <c r="B428" s="2"/>
      <c r="C428" s="60"/>
      <c r="D428" s="61"/>
      <c r="E428" s="206"/>
      <c r="F428" s="41"/>
      <c r="G428" s="56"/>
      <c r="H428" s="241"/>
      <c r="I428" s="27">
        <v>0</v>
      </c>
      <c r="J428" s="28"/>
      <c r="K428" s="241"/>
      <c r="L428" s="27">
        <v>1</v>
      </c>
      <c r="M428" s="28"/>
      <c r="N428" s="241"/>
      <c r="O428" s="27">
        <v>1</v>
      </c>
      <c r="P428" s="28"/>
      <c r="Q428" s="241"/>
      <c r="R428" s="27">
        <v>1</v>
      </c>
      <c r="S428" s="28"/>
      <c r="T428" s="241"/>
      <c r="U428" s="27">
        <v>1</v>
      </c>
      <c r="V428" s="28"/>
      <c r="W428" s="241"/>
      <c r="X428" s="27">
        <v>1</v>
      </c>
      <c r="Y428" s="28"/>
      <c r="Z428" s="241"/>
      <c r="AA428" s="27">
        <v>1</v>
      </c>
      <c r="AB428" s="28"/>
      <c r="AC428" s="241"/>
      <c r="AD428" s="27">
        <v>1</v>
      </c>
      <c r="AE428" s="28"/>
      <c r="AF428" s="241"/>
      <c r="AG428" s="27">
        <v>1</v>
      </c>
      <c r="AH428" s="28"/>
      <c r="AI428" s="241"/>
      <c r="AJ428" s="27">
        <v>1</v>
      </c>
      <c r="AK428" s="28"/>
      <c r="AL428" s="241"/>
      <c r="AM428" s="27">
        <v>1</v>
      </c>
      <c r="AN428" s="28"/>
      <c r="AO428" s="241"/>
      <c r="AP428" s="27">
        <v>1</v>
      </c>
      <c r="AQ428" s="28"/>
      <c r="AR428" s="241"/>
      <c r="AS428" s="27"/>
      <c r="AT428" s="28"/>
      <c r="AU428" s="241"/>
      <c r="AV428" s="27"/>
      <c r="AW428" s="28"/>
      <c r="AX428" s="241"/>
      <c r="AY428" s="27"/>
      <c r="AZ428" s="28"/>
      <c r="BA428" s="241"/>
      <c r="BB428" s="27"/>
      <c r="BC428" s="28"/>
      <c r="BD428" s="241"/>
      <c r="BE428" s="27"/>
      <c r="BF428" s="28"/>
      <c r="BG428" s="241"/>
      <c r="BH428" s="27"/>
      <c r="BI428" s="28"/>
    </row>
    <row r="429" spans="1:61" s="29" customFormat="1" hidden="1" outlineLevel="2" x14ac:dyDescent="0.3">
      <c r="A429" s="204" t="s">
        <v>157</v>
      </c>
      <c r="B429" s="2"/>
      <c r="C429" s="60"/>
      <c r="D429" s="61"/>
      <c r="E429" s="206"/>
      <c r="F429" s="41"/>
      <c r="G429" s="56"/>
      <c r="H429" s="241"/>
      <c r="I429" s="27">
        <v>0</v>
      </c>
      <c r="J429" s="28"/>
      <c r="K429" s="241"/>
      <c r="L429" s="27">
        <v>0</v>
      </c>
      <c r="M429" s="28"/>
      <c r="N429" s="241"/>
      <c r="O429" s="27">
        <v>0</v>
      </c>
      <c r="P429" s="28"/>
      <c r="Q429" s="241"/>
      <c r="R429" s="27">
        <v>0</v>
      </c>
      <c r="S429" s="28"/>
      <c r="T429" s="241"/>
      <c r="U429" s="27">
        <v>0</v>
      </c>
      <c r="V429" s="28"/>
      <c r="W429" s="241"/>
      <c r="X429" s="27">
        <v>0</v>
      </c>
      <c r="Y429" s="28"/>
      <c r="Z429" s="241"/>
      <c r="AA429" s="27">
        <v>0</v>
      </c>
      <c r="AB429" s="28"/>
      <c r="AC429" s="241"/>
      <c r="AD429" s="27">
        <v>0</v>
      </c>
      <c r="AE429" s="28"/>
      <c r="AF429" s="241"/>
      <c r="AG429" s="27">
        <v>0</v>
      </c>
      <c r="AH429" s="28"/>
      <c r="AI429" s="241"/>
      <c r="AJ429" s="27">
        <v>0</v>
      </c>
      <c r="AK429" s="28"/>
      <c r="AL429" s="241"/>
      <c r="AM429" s="27">
        <v>0</v>
      </c>
      <c r="AN429" s="28"/>
      <c r="AO429" s="241"/>
      <c r="AP429" s="27">
        <v>0</v>
      </c>
      <c r="AQ429" s="28"/>
      <c r="AR429" s="241"/>
      <c r="AS429" s="27"/>
      <c r="AT429" s="28"/>
      <c r="AU429" s="241"/>
      <c r="AV429" s="27"/>
      <c r="AW429" s="28"/>
      <c r="AX429" s="241"/>
      <c r="AY429" s="27"/>
      <c r="AZ429" s="28"/>
      <c r="BA429" s="241"/>
      <c r="BB429" s="27"/>
      <c r="BC429" s="28"/>
      <c r="BD429" s="241"/>
      <c r="BE429" s="27"/>
      <c r="BF429" s="28"/>
      <c r="BG429" s="241"/>
      <c r="BH429" s="27"/>
      <c r="BI429" s="28"/>
    </row>
    <row r="430" spans="1:61" s="29" customFormat="1" hidden="1" outlineLevel="2" x14ac:dyDescent="0.3">
      <c r="A430" s="204" t="s">
        <v>158</v>
      </c>
      <c r="B430" s="2"/>
      <c r="C430" s="60"/>
      <c r="D430" s="61"/>
      <c r="E430" s="206"/>
      <c r="F430" s="41"/>
      <c r="G430" s="56"/>
      <c r="H430" s="241"/>
      <c r="I430" s="27">
        <v>0</v>
      </c>
      <c r="J430" s="28"/>
      <c r="K430" s="241"/>
      <c r="L430" s="27">
        <v>0</v>
      </c>
      <c r="M430" s="28"/>
      <c r="N430" s="241"/>
      <c r="O430" s="27">
        <v>0</v>
      </c>
      <c r="P430" s="28"/>
      <c r="Q430" s="241"/>
      <c r="R430" s="27">
        <v>0</v>
      </c>
      <c r="S430" s="28"/>
      <c r="T430" s="241"/>
      <c r="U430" s="27">
        <v>0</v>
      </c>
      <c r="V430" s="28"/>
      <c r="W430" s="241"/>
      <c r="X430" s="27">
        <v>0</v>
      </c>
      <c r="Y430" s="28"/>
      <c r="Z430" s="241"/>
      <c r="AA430" s="27">
        <v>0</v>
      </c>
      <c r="AB430" s="28"/>
      <c r="AC430" s="241"/>
      <c r="AD430" s="27">
        <v>0</v>
      </c>
      <c r="AE430" s="28"/>
      <c r="AF430" s="241"/>
      <c r="AG430" s="27">
        <v>0</v>
      </c>
      <c r="AH430" s="28"/>
      <c r="AI430" s="241"/>
      <c r="AJ430" s="27">
        <v>0</v>
      </c>
      <c r="AK430" s="28"/>
      <c r="AL430" s="241"/>
      <c r="AM430" s="27">
        <v>0</v>
      </c>
      <c r="AN430" s="28"/>
      <c r="AO430" s="241"/>
      <c r="AP430" s="27">
        <v>0</v>
      </c>
      <c r="AQ430" s="28"/>
      <c r="AR430" s="241"/>
      <c r="AS430" s="27"/>
      <c r="AT430" s="28"/>
      <c r="AU430" s="241"/>
      <c r="AV430" s="27"/>
      <c r="AW430" s="28"/>
      <c r="AX430" s="241"/>
      <c r="AY430" s="27"/>
      <c r="AZ430" s="28"/>
      <c r="BA430" s="241"/>
      <c r="BB430" s="27"/>
      <c r="BC430" s="28"/>
      <c r="BD430" s="241"/>
      <c r="BE430" s="27"/>
      <c r="BF430" s="28"/>
      <c r="BG430" s="241"/>
      <c r="BH430" s="27"/>
      <c r="BI430" s="28"/>
    </row>
    <row r="431" spans="1:61" s="29" customFormat="1" hidden="1" outlineLevel="2" x14ac:dyDescent="0.3">
      <c r="A431" s="204" t="s">
        <v>159</v>
      </c>
      <c r="B431" s="2"/>
      <c r="C431" s="60"/>
      <c r="D431" s="61"/>
      <c r="E431" s="206"/>
      <c r="F431" s="41"/>
      <c r="G431" s="56"/>
      <c r="H431" s="241"/>
      <c r="I431" s="27">
        <v>0</v>
      </c>
      <c r="J431" s="28"/>
      <c r="K431" s="241"/>
      <c r="L431" s="27">
        <v>0</v>
      </c>
      <c r="M431" s="28"/>
      <c r="N431" s="241"/>
      <c r="O431" s="27">
        <v>0</v>
      </c>
      <c r="P431" s="28"/>
      <c r="Q431" s="241"/>
      <c r="R431" s="27">
        <v>0</v>
      </c>
      <c r="S431" s="28"/>
      <c r="T431" s="241"/>
      <c r="U431" s="27">
        <v>0</v>
      </c>
      <c r="V431" s="28"/>
      <c r="W431" s="241"/>
      <c r="X431" s="27">
        <v>0</v>
      </c>
      <c r="Y431" s="28"/>
      <c r="Z431" s="241"/>
      <c r="AA431" s="27">
        <v>0</v>
      </c>
      <c r="AB431" s="28"/>
      <c r="AC431" s="241"/>
      <c r="AD431" s="27">
        <v>0</v>
      </c>
      <c r="AE431" s="28"/>
      <c r="AF431" s="241"/>
      <c r="AG431" s="27">
        <v>0</v>
      </c>
      <c r="AH431" s="28"/>
      <c r="AI431" s="241"/>
      <c r="AJ431" s="27">
        <v>0</v>
      </c>
      <c r="AK431" s="28"/>
      <c r="AL431" s="241"/>
      <c r="AM431" s="27">
        <v>0</v>
      </c>
      <c r="AN431" s="28"/>
      <c r="AO431" s="241"/>
      <c r="AP431" s="27">
        <v>0</v>
      </c>
      <c r="AQ431" s="28"/>
      <c r="AR431" s="241"/>
      <c r="AS431" s="27"/>
      <c r="AT431" s="28"/>
      <c r="AU431" s="241"/>
      <c r="AV431" s="27"/>
      <c r="AW431" s="28"/>
      <c r="AX431" s="241"/>
      <c r="AY431" s="27"/>
      <c r="AZ431" s="28"/>
      <c r="BA431" s="241"/>
      <c r="BB431" s="27"/>
      <c r="BC431" s="28"/>
      <c r="BD431" s="241"/>
      <c r="BE431" s="27"/>
      <c r="BF431" s="28"/>
      <c r="BG431" s="241"/>
      <c r="BH431" s="27"/>
      <c r="BI431" s="28"/>
    </row>
    <row r="432" spans="1:61" s="29" customFormat="1" hidden="1" outlineLevel="2" x14ac:dyDescent="0.3">
      <c r="A432" s="204" t="s">
        <v>160</v>
      </c>
      <c r="B432" s="2"/>
      <c r="C432" s="60"/>
      <c r="D432" s="61"/>
      <c r="E432" s="206"/>
      <c r="F432" s="41"/>
      <c r="G432" s="56"/>
      <c r="H432" s="241"/>
      <c r="I432" s="27">
        <v>0</v>
      </c>
      <c r="J432" s="28"/>
      <c r="K432" s="241"/>
      <c r="L432" s="27">
        <v>0</v>
      </c>
      <c r="M432" s="28"/>
      <c r="N432" s="241"/>
      <c r="O432" s="27">
        <v>0</v>
      </c>
      <c r="P432" s="28"/>
      <c r="Q432" s="241"/>
      <c r="R432" s="27">
        <v>0</v>
      </c>
      <c r="S432" s="28"/>
      <c r="T432" s="241"/>
      <c r="U432" s="27">
        <v>0</v>
      </c>
      <c r="V432" s="28"/>
      <c r="W432" s="241"/>
      <c r="X432" s="27">
        <v>0</v>
      </c>
      <c r="Y432" s="28"/>
      <c r="Z432" s="241"/>
      <c r="AA432" s="27">
        <v>0</v>
      </c>
      <c r="AB432" s="28"/>
      <c r="AC432" s="241"/>
      <c r="AD432" s="27">
        <v>0</v>
      </c>
      <c r="AE432" s="28"/>
      <c r="AF432" s="241"/>
      <c r="AG432" s="27">
        <v>0</v>
      </c>
      <c r="AH432" s="28"/>
      <c r="AI432" s="241"/>
      <c r="AJ432" s="27">
        <v>0</v>
      </c>
      <c r="AK432" s="28"/>
      <c r="AL432" s="241"/>
      <c r="AM432" s="27">
        <v>0</v>
      </c>
      <c r="AN432" s="28"/>
      <c r="AO432" s="241"/>
      <c r="AP432" s="27">
        <v>0</v>
      </c>
      <c r="AQ432" s="28"/>
      <c r="AR432" s="241"/>
      <c r="AS432" s="27"/>
      <c r="AT432" s="28"/>
      <c r="AU432" s="241"/>
      <c r="AV432" s="27"/>
      <c r="AW432" s="28"/>
      <c r="AX432" s="241"/>
      <c r="AY432" s="27"/>
      <c r="AZ432" s="28"/>
      <c r="BA432" s="241"/>
      <c r="BB432" s="27"/>
      <c r="BC432" s="28"/>
      <c r="BD432" s="241"/>
      <c r="BE432" s="27"/>
      <c r="BF432" s="28"/>
      <c r="BG432" s="241"/>
      <c r="BH432" s="27"/>
      <c r="BI432" s="28"/>
    </row>
    <row r="433" spans="1:61" s="29" customFormat="1" hidden="1" outlineLevel="2" x14ac:dyDescent="0.3">
      <c r="A433" s="204" t="s">
        <v>161</v>
      </c>
      <c r="B433" s="2"/>
      <c r="C433" s="60"/>
      <c r="D433" s="61"/>
      <c r="E433" s="206"/>
      <c r="F433" s="41"/>
      <c r="G433" s="56"/>
      <c r="H433" s="241"/>
      <c r="I433" s="27">
        <v>0</v>
      </c>
      <c r="J433" s="28"/>
      <c r="K433" s="241"/>
      <c r="L433" s="27">
        <v>0</v>
      </c>
      <c r="M433" s="28"/>
      <c r="N433" s="241"/>
      <c r="O433" s="27">
        <v>0</v>
      </c>
      <c r="P433" s="28"/>
      <c r="Q433" s="241"/>
      <c r="R433" s="27">
        <v>0</v>
      </c>
      <c r="S433" s="28"/>
      <c r="T433" s="241"/>
      <c r="U433" s="27">
        <v>0</v>
      </c>
      <c r="V433" s="28"/>
      <c r="W433" s="241"/>
      <c r="X433" s="27">
        <v>0</v>
      </c>
      <c r="Y433" s="28"/>
      <c r="Z433" s="241"/>
      <c r="AA433" s="27">
        <v>0</v>
      </c>
      <c r="AB433" s="28"/>
      <c r="AC433" s="241"/>
      <c r="AD433" s="27">
        <v>0</v>
      </c>
      <c r="AE433" s="28"/>
      <c r="AF433" s="241"/>
      <c r="AG433" s="27">
        <v>0</v>
      </c>
      <c r="AH433" s="28"/>
      <c r="AI433" s="241"/>
      <c r="AJ433" s="27">
        <v>0</v>
      </c>
      <c r="AK433" s="28"/>
      <c r="AL433" s="241"/>
      <c r="AM433" s="27">
        <v>0</v>
      </c>
      <c r="AN433" s="28"/>
      <c r="AO433" s="241"/>
      <c r="AP433" s="27">
        <v>0</v>
      </c>
      <c r="AQ433" s="28"/>
      <c r="AR433" s="241"/>
      <c r="AS433" s="27"/>
      <c r="AT433" s="28"/>
      <c r="AU433" s="241"/>
      <c r="AV433" s="27"/>
      <c r="AW433" s="28"/>
      <c r="AX433" s="241"/>
      <c r="AY433" s="27"/>
      <c r="AZ433" s="28"/>
      <c r="BA433" s="241"/>
      <c r="BB433" s="27"/>
      <c r="BC433" s="28"/>
      <c r="BD433" s="241"/>
      <c r="BE433" s="27"/>
      <c r="BF433" s="28"/>
      <c r="BG433" s="241"/>
      <c r="BH433" s="27"/>
      <c r="BI433" s="28"/>
    </row>
    <row r="434" spans="1:61" s="29" customFormat="1" hidden="1" outlineLevel="2" x14ac:dyDescent="0.3">
      <c r="A434" s="204" t="s">
        <v>162</v>
      </c>
      <c r="B434" s="2"/>
      <c r="C434" s="60"/>
      <c r="D434" s="61"/>
      <c r="E434" s="206"/>
      <c r="F434" s="41"/>
      <c r="G434" s="56"/>
      <c r="H434" s="241"/>
      <c r="I434" s="27">
        <v>0</v>
      </c>
      <c r="J434" s="28"/>
      <c r="K434" s="241"/>
      <c r="L434" s="27">
        <v>0</v>
      </c>
      <c r="M434" s="28"/>
      <c r="N434" s="241"/>
      <c r="O434" s="27">
        <v>0</v>
      </c>
      <c r="P434" s="28"/>
      <c r="Q434" s="241"/>
      <c r="R434" s="27">
        <v>0</v>
      </c>
      <c r="S434" s="28"/>
      <c r="T434" s="241"/>
      <c r="U434" s="27">
        <v>0</v>
      </c>
      <c r="V434" s="28"/>
      <c r="W434" s="241"/>
      <c r="X434" s="27">
        <v>0</v>
      </c>
      <c r="Y434" s="28"/>
      <c r="Z434" s="241"/>
      <c r="AA434" s="27">
        <v>0</v>
      </c>
      <c r="AB434" s="28"/>
      <c r="AC434" s="241"/>
      <c r="AD434" s="27">
        <v>0</v>
      </c>
      <c r="AE434" s="28"/>
      <c r="AF434" s="241"/>
      <c r="AG434" s="27">
        <v>0</v>
      </c>
      <c r="AH434" s="28"/>
      <c r="AI434" s="241"/>
      <c r="AJ434" s="27">
        <v>0</v>
      </c>
      <c r="AK434" s="28"/>
      <c r="AL434" s="241"/>
      <c r="AM434" s="27">
        <v>0</v>
      </c>
      <c r="AN434" s="28"/>
      <c r="AO434" s="241"/>
      <c r="AP434" s="27">
        <v>0</v>
      </c>
      <c r="AQ434" s="28"/>
      <c r="AR434" s="241"/>
      <c r="AS434" s="27"/>
      <c r="AT434" s="28"/>
      <c r="AU434" s="241"/>
      <c r="AV434" s="27"/>
      <c r="AW434" s="28"/>
      <c r="AX434" s="241"/>
      <c r="AY434" s="27"/>
      <c r="AZ434" s="28"/>
      <c r="BA434" s="241"/>
      <c r="BB434" s="27"/>
      <c r="BC434" s="28"/>
      <c r="BD434" s="241"/>
      <c r="BE434" s="27"/>
      <c r="BF434" s="28"/>
      <c r="BG434" s="241"/>
      <c r="BH434" s="27"/>
      <c r="BI434" s="28"/>
    </row>
    <row r="435" spans="1:61" s="29" customFormat="1" hidden="1" outlineLevel="2" x14ac:dyDescent="0.3">
      <c r="A435" s="204" t="s">
        <v>163</v>
      </c>
      <c r="B435" s="2"/>
      <c r="C435" s="60"/>
      <c r="D435" s="61"/>
      <c r="E435" s="206"/>
      <c r="F435" s="41"/>
      <c r="G435" s="56"/>
      <c r="H435" s="241"/>
      <c r="I435" s="27">
        <v>4</v>
      </c>
      <c r="J435" s="28"/>
      <c r="K435" s="241"/>
      <c r="L435" s="27">
        <v>4</v>
      </c>
      <c r="M435" s="28"/>
      <c r="N435" s="241"/>
      <c r="O435" s="27">
        <v>4</v>
      </c>
      <c r="P435" s="28"/>
      <c r="Q435" s="241"/>
      <c r="R435" s="27">
        <v>4</v>
      </c>
      <c r="S435" s="28"/>
      <c r="T435" s="241"/>
      <c r="U435" s="27">
        <v>4</v>
      </c>
      <c r="V435" s="28"/>
      <c r="W435" s="241"/>
      <c r="X435" s="27">
        <v>4</v>
      </c>
      <c r="Y435" s="28"/>
      <c r="Z435" s="241"/>
      <c r="AA435" s="27">
        <v>4</v>
      </c>
      <c r="AB435" s="28"/>
      <c r="AC435" s="241"/>
      <c r="AD435" s="27">
        <v>4</v>
      </c>
      <c r="AE435" s="28"/>
      <c r="AF435" s="241"/>
      <c r="AG435" s="27">
        <v>4</v>
      </c>
      <c r="AH435" s="28"/>
      <c r="AI435" s="241"/>
      <c r="AJ435" s="27">
        <v>4</v>
      </c>
      <c r="AK435" s="28"/>
      <c r="AL435" s="241"/>
      <c r="AM435" s="27">
        <v>4</v>
      </c>
      <c r="AN435" s="28"/>
      <c r="AO435" s="241"/>
      <c r="AP435" s="27">
        <v>4</v>
      </c>
      <c r="AQ435" s="28"/>
      <c r="AR435" s="241"/>
      <c r="AS435" s="27"/>
      <c r="AT435" s="28"/>
      <c r="AU435" s="241"/>
      <c r="AV435" s="27"/>
      <c r="AW435" s="28"/>
      <c r="AX435" s="241"/>
      <c r="AY435" s="27"/>
      <c r="AZ435" s="28"/>
      <c r="BA435" s="241"/>
      <c r="BB435" s="27"/>
      <c r="BC435" s="28"/>
      <c r="BD435" s="241"/>
      <c r="BE435" s="27"/>
      <c r="BF435" s="28"/>
      <c r="BG435" s="241"/>
      <c r="BH435" s="27"/>
      <c r="BI435" s="28"/>
    </row>
    <row r="436" spans="1:61" s="29" customFormat="1" hidden="1" outlineLevel="2" x14ac:dyDescent="0.3">
      <c r="A436" s="204" t="s">
        <v>164</v>
      </c>
      <c r="B436" s="2"/>
      <c r="C436" s="60"/>
      <c r="D436" s="61"/>
      <c r="E436" s="206"/>
      <c r="F436" s="41"/>
      <c r="G436" s="56"/>
      <c r="H436" s="241"/>
      <c r="I436" s="27">
        <v>1</v>
      </c>
      <c r="J436" s="28"/>
      <c r="K436" s="241"/>
      <c r="L436" s="27">
        <v>1</v>
      </c>
      <c r="M436" s="28"/>
      <c r="N436" s="241"/>
      <c r="O436" s="27">
        <v>1</v>
      </c>
      <c r="P436" s="28"/>
      <c r="Q436" s="241"/>
      <c r="R436" s="27">
        <v>1</v>
      </c>
      <c r="S436" s="28"/>
      <c r="T436" s="241"/>
      <c r="U436" s="27">
        <v>1</v>
      </c>
      <c r="V436" s="28"/>
      <c r="W436" s="241"/>
      <c r="X436" s="27">
        <v>1</v>
      </c>
      <c r="Y436" s="28"/>
      <c r="Z436" s="241"/>
      <c r="AA436" s="27">
        <v>1</v>
      </c>
      <c r="AB436" s="28"/>
      <c r="AC436" s="241"/>
      <c r="AD436" s="27">
        <v>1</v>
      </c>
      <c r="AE436" s="28"/>
      <c r="AF436" s="241"/>
      <c r="AG436" s="27">
        <v>1</v>
      </c>
      <c r="AH436" s="28"/>
      <c r="AI436" s="241"/>
      <c r="AJ436" s="27">
        <v>1</v>
      </c>
      <c r="AK436" s="28"/>
      <c r="AL436" s="241"/>
      <c r="AM436" s="27">
        <v>1</v>
      </c>
      <c r="AN436" s="28"/>
      <c r="AO436" s="241"/>
      <c r="AP436" s="27">
        <v>1</v>
      </c>
      <c r="AQ436" s="28"/>
      <c r="AR436" s="241"/>
      <c r="AS436" s="27"/>
      <c r="AT436" s="28"/>
      <c r="AU436" s="241"/>
      <c r="AV436" s="27"/>
      <c r="AW436" s="28"/>
      <c r="AX436" s="241"/>
      <c r="AY436" s="27"/>
      <c r="AZ436" s="28"/>
      <c r="BA436" s="241"/>
      <c r="BB436" s="27"/>
      <c r="BC436" s="28"/>
      <c r="BD436" s="241"/>
      <c r="BE436" s="27"/>
      <c r="BF436" s="28"/>
      <c r="BG436" s="241"/>
      <c r="BH436" s="27"/>
      <c r="BI436" s="28"/>
    </row>
    <row r="437" spans="1:61" s="29" customFormat="1" hidden="1" outlineLevel="2" x14ac:dyDescent="0.3">
      <c r="A437" s="204" t="s">
        <v>165</v>
      </c>
      <c r="B437" s="2"/>
      <c r="C437" s="60"/>
      <c r="D437" s="61"/>
      <c r="E437" s="206"/>
      <c r="F437" s="41"/>
      <c r="G437" s="56"/>
      <c r="H437" s="241"/>
      <c r="I437" s="27">
        <v>1</v>
      </c>
      <c r="J437" s="28"/>
      <c r="K437" s="241"/>
      <c r="L437" s="27">
        <v>1</v>
      </c>
      <c r="M437" s="28"/>
      <c r="N437" s="241"/>
      <c r="O437" s="27">
        <v>1</v>
      </c>
      <c r="P437" s="28"/>
      <c r="Q437" s="241"/>
      <c r="R437" s="27">
        <v>1</v>
      </c>
      <c r="S437" s="28"/>
      <c r="T437" s="241"/>
      <c r="U437" s="27">
        <v>1</v>
      </c>
      <c r="V437" s="28"/>
      <c r="W437" s="241"/>
      <c r="X437" s="27">
        <v>1</v>
      </c>
      <c r="Y437" s="28"/>
      <c r="Z437" s="241"/>
      <c r="AA437" s="27">
        <v>1</v>
      </c>
      <c r="AB437" s="28"/>
      <c r="AC437" s="241"/>
      <c r="AD437" s="27">
        <v>1</v>
      </c>
      <c r="AE437" s="28"/>
      <c r="AF437" s="241"/>
      <c r="AG437" s="27">
        <v>1</v>
      </c>
      <c r="AH437" s="28"/>
      <c r="AI437" s="241"/>
      <c r="AJ437" s="27">
        <v>1</v>
      </c>
      <c r="AK437" s="28"/>
      <c r="AL437" s="241"/>
      <c r="AM437" s="27">
        <v>1</v>
      </c>
      <c r="AN437" s="28"/>
      <c r="AO437" s="241"/>
      <c r="AP437" s="27">
        <v>1</v>
      </c>
      <c r="AQ437" s="28"/>
      <c r="AR437" s="241"/>
      <c r="AS437" s="27"/>
      <c r="AT437" s="28"/>
      <c r="AU437" s="241"/>
      <c r="AV437" s="27"/>
      <c r="AW437" s="28"/>
      <c r="AX437" s="241"/>
      <c r="AY437" s="27"/>
      <c r="AZ437" s="28"/>
      <c r="BA437" s="241"/>
      <c r="BB437" s="27"/>
      <c r="BC437" s="28"/>
      <c r="BD437" s="241"/>
      <c r="BE437" s="27"/>
      <c r="BF437" s="28"/>
      <c r="BG437" s="241"/>
      <c r="BH437" s="27"/>
      <c r="BI437" s="28"/>
    </row>
    <row r="438" spans="1:61" s="29" customFormat="1" hidden="1" outlineLevel="2" x14ac:dyDescent="0.3">
      <c r="A438" s="204" t="s">
        <v>166</v>
      </c>
      <c r="B438" s="2"/>
      <c r="C438" s="60"/>
      <c r="D438" s="61"/>
      <c r="E438" s="206"/>
      <c r="F438" s="41"/>
      <c r="G438" s="56"/>
      <c r="H438" s="241"/>
      <c r="I438" s="27">
        <v>0</v>
      </c>
      <c r="J438" s="28"/>
      <c r="K438" s="241"/>
      <c r="L438" s="27">
        <v>0</v>
      </c>
      <c r="M438" s="28"/>
      <c r="N438" s="241"/>
      <c r="O438" s="27">
        <v>0</v>
      </c>
      <c r="P438" s="28"/>
      <c r="Q438" s="241"/>
      <c r="R438" s="27">
        <v>0</v>
      </c>
      <c r="S438" s="28"/>
      <c r="T438" s="241"/>
      <c r="U438" s="27">
        <v>0</v>
      </c>
      <c r="V438" s="28"/>
      <c r="W438" s="241"/>
      <c r="X438" s="27">
        <v>0</v>
      </c>
      <c r="Y438" s="28"/>
      <c r="Z438" s="241"/>
      <c r="AA438" s="27">
        <v>0</v>
      </c>
      <c r="AB438" s="28"/>
      <c r="AC438" s="241"/>
      <c r="AD438" s="27">
        <v>0</v>
      </c>
      <c r="AE438" s="28"/>
      <c r="AF438" s="241"/>
      <c r="AG438" s="27">
        <v>0</v>
      </c>
      <c r="AH438" s="28"/>
      <c r="AI438" s="241"/>
      <c r="AJ438" s="27">
        <v>0</v>
      </c>
      <c r="AK438" s="28"/>
      <c r="AL438" s="241"/>
      <c r="AM438" s="27">
        <v>0</v>
      </c>
      <c r="AN438" s="28"/>
      <c r="AO438" s="241"/>
      <c r="AP438" s="27">
        <v>0</v>
      </c>
      <c r="AQ438" s="28"/>
      <c r="AR438" s="241"/>
      <c r="AS438" s="27"/>
      <c r="AT438" s="28"/>
      <c r="AU438" s="241"/>
      <c r="AV438" s="27"/>
      <c r="AW438" s="28"/>
      <c r="AX438" s="241"/>
      <c r="AY438" s="27"/>
      <c r="AZ438" s="28"/>
      <c r="BA438" s="241"/>
      <c r="BB438" s="27"/>
      <c r="BC438" s="28"/>
      <c r="BD438" s="241"/>
      <c r="BE438" s="27"/>
      <c r="BF438" s="28"/>
      <c r="BG438" s="241"/>
      <c r="BH438" s="27"/>
      <c r="BI438" s="28"/>
    </row>
    <row r="439" spans="1:61" s="29" customFormat="1" hidden="1" outlineLevel="2" x14ac:dyDescent="0.3">
      <c r="A439" s="204" t="s">
        <v>167</v>
      </c>
      <c r="B439" s="2"/>
      <c r="C439" s="60"/>
      <c r="D439" s="61"/>
      <c r="E439" s="206"/>
      <c r="F439" s="41"/>
      <c r="G439" s="56"/>
      <c r="H439" s="241"/>
      <c r="I439" s="27">
        <v>0</v>
      </c>
      <c r="J439" s="28"/>
      <c r="K439" s="241"/>
      <c r="L439" s="27">
        <v>0</v>
      </c>
      <c r="M439" s="28"/>
      <c r="N439" s="241"/>
      <c r="O439" s="27">
        <v>0</v>
      </c>
      <c r="P439" s="28"/>
      <c r="Q439" s="241"/>
      <c r="R439" s="27">
        <v>0</v>
      </c>
      <c r="S439" s="28"/>
      <c r="T439" s="241"/>
      <c r="U439" s="27">
        <v>0</v>
      </c>
      <c r="V439" s="28"/>
      <c r="W439" s="241"/>
      <c r="X439" s="27">
        <v>0</v>
      </c>
      <c r="Y439" s="28"/>
      <c r="Z439" s="241"/>
      <c r="AA439" s="27">
        <v>0</v>
      </c>
      <c r="AB439" s="28"/>
      <c r="AC439" s="241"/>
      <c r="AD439" s="27">
        <v>0</v>
      </c>
      <c r="AE439" s="28"/>
      <c r="AF439" s="241"/>
      <c r="AG439" s="27">
        <v>0</v>
      </c>
      <c r="AH439" s="28"/>
      <c r="AI439" s="241"/>
      <c r="AJ439" s="27">
        <v>0</v>
      </c>
      <c r="AK439" s="28"/>
      <c r="AL439" s="241"/>
      <c r="AM439" s="27">
        <v>0</v>
      </c>
      <c r="AN439" s="28"/>
      <c r="AO439" s="241"/>
      <c r="AP439" s="27">
        <v>0</v>
      </c>
      <c r="AQ439" s="28"/>
      <c r="AR439" s="241"/>
      <c r="AS439" s="27"/>
      <c r="AT439" s="28"/>
      <c r="AU439" s="241"/>
      <c r="AV439" s="27"/>
      <c r="AW439" s="28"/>
      <c r="AX439" s="241"/>
      <c r="AY439" s="27"/>
      <c r="AZ439" s="28"/>
      <c r="BA439" s="241"/>
      <c r="BB439" s="27"/>
      <c r="BC439" s="28"/>
      <c r="BD439" s="241"/>
      <c r="BE439" s="27"/>
      <c r="BF439" s="28"/>
      <c r="BG439" s="241"/>
      <c r="BH439" s="27"/>
      <c r="BI439" s="28"/>
    </row>
    <row r="440" spans="1:61" s="29" customFormat="1" hidden="1" outlineLevel="2" x14ac:dyDescent="0.3">
      <c r="A440" s="204" t="s">
        <v>168</v>
      </c>
      <c r="B440" s="2"/>
      <c r="C440" s="60"/>
      <c r="D440" s="61"/>
      <c r="E440" s="206"/>
      <c r="F440" s="41"/>
      <c r="G440" s="56"/>
      <c r="H440" s="241"/>
      <c r="I440" s="27">
        <v>0</v>
      </c>
      <c r="J440" s="28"/>
      <c r="K440" s="241"/>
      <c r="L440" s="27">
        <v>0</v>
      </c>
      <c r="M440" s="28"/>
      <c r="N440" s="241"/>
      <c r="O440" s="27">
        <v>0</v>
      </c>
      <c r="P440" s="28"/>
      <c r="Q440" s="241"/>
      <c r="R440" s="27">
        <v>0</v>
      </c>
      <c r="S440" s="28"/>
      <c r="T440" s="241"/>
      <c r="U440" s="27">
        <v>0</v>
      </c>
      <c r="V440" s="28"/>
      <c r="W440" s="241"/>
      <c r="X440" s="27">
        <v>0</v>
      </c>
      <c r="Y440" s="28"/>
      <c r="Z440" s="241"/>
      <c r="AA440" s="27">
        <v>0</v>
      </c>
      <c r="AB440" s="28"/>
      <c r="AC440" s="241"/>
      <c r="AD440" s="27">
        <v>0</v>
      </c>
      <c r="AE440" s="28"/>
      <c r="AF440" s="241"/>
      <c r="AG440" s="27">
        <v>0</v>
      </c>
      <c r="AH440" s="28"/>
      <c r="AI440" s="241"/>
      <c r="AJ440" s="27">
        <v>0</v>
      </c>
      <c r="AK440" s="28"/>
      <c r="AL440" s="241"/>
      <c r="AM440" s="27">
        <v>0</v>
      </c>
      <c r="AN440" s="28"/>
      <c r="AO440" s="241"/>
      <c r="AP440" s="27">
        <v>0</v>
      </c>
      <c r="AQ440" s="28"/>
      <c r="AR440" s="241"/>
      <c r="AS440" s="27"/>
      <c r="AT440" s="28"/>
      <c r="AU440" s="241"/>
      <c r="AV440" s="27"/>
      <c r="AW440" s="28"/>
      <c r="AX440" s="241"/>
      <c r="AY440" s="27"/>
      <c r="AZ440" s="28"/>
      <c r="BA440" s="241"/>
      <c r="BB440" s="27"/>
      <c r="BC440" s="28"/>
      <c r="BD440" s="241"/>
      <c r="BE440" s="27"/>
      <c r="BF440" s="28"/>
      <c r="BG440" s="241"/>
      <c r="BH440" s="27"/>
      <c r="BI440" s="28"/>
    </row>
    <row r="441" spans="1:61" s="29" customFormat="1" hidden="1" outlineLevel="2" x14ac:dyDescent="0.3">
      <c r="A441" s="204" t="s">
        <v>169</v>
      </c>
      <c r="B441" s="2"/>
      <c r="C441" s="60"/>
      <c r="D441" s="61"/>
      <c r="E441" s="206"/>
      <c r="F441" s="41"/>
      <c r="G441" s="56"/>
      <c r="H441" s="241"/>
      <c r="I441" s="27">
        <v>0</v>
      </c>
      <c r="J441" s="28"/>
      <c r="K441" s="241"/>
      <c r="L441" s="27">
        <v>0</v>
      </c>
      <c r="M441" s="28"/>
      <c r="N441" s="241"/>
      <c r="O441" s="27">
        <v>0</v>
      </c>
      <c r="P441" s="28"/>
      <c r="Q441" s="241"/>
      <c r="R441" s="27">
        <v>0</v>
      </c>
      <c r="S441" s="28"/>
      <c r="T441" s="241"/>
      <c r="U441" s="27">
        <v>0</v>
      </c>
      <c r="V441" s="28"/>
      <c r="W441" s="241"/>
      <c r="X441" s="27">
        <v>0</v>
      </c>
      <c r="Y441" s="28"/>
      <c r="Z441" s="241"/>
      <c r="AA441" s="27">
        <v>0</v>
      </c>
      <c r="AB441" s="28"/>
      <c r="AC441" s="241"/>
      <c r="AD441" s="27">
        <v>0</v>
      </c>
      <c r="AE441" s="28"/>
      <c r="AF441" s="241"/>
      <c r="AG441" s="27">
        <v>0</v>
      </c>
      <c r="AH441" s="28"/>
      <c r="AI441" s="241"/>
      <c r="AJ441" s="27">
        <v>0</v>
      </c>
      <c r="AK441" s="28"/>
      <c r="AL441" s="241"/>
      <c r="AM441" s="27">
        <v>0</v>
      </c>
      <c r="AN441" s="28"/>
      <c r="AO441" s="241"/>
      <c r="AP441" s="27">
        <v>0</v>
      </c>
      <c r="AQ441" s="28"/>
      <c r="AR441" s="241"/>
      <c r="AS441" s="27"/>
      <c r="AT441" s="28"/>
      <c r="AU441" s="241"/>
      <c r="AV441" s="27"/>
      <c r="AW441" s="28"/>
      <c r="AX441" s="241"/>
      <c r="AY441" s="27"/>
      <c r="AZ441" s="28"/>
      <c r="BA441" s="241"/>
      <c r="BB441" s="27"/>
      <c r="BC441" s="28"/>
      <c r="BD441" s="241"/>
      <c r="BE441" s="27"/>
      <c r="BF441" s="28"/>
      <c r="BG441" s="241"/>
      <c r="BH441" s="27"/>
      <c r="BI441" s="28"/>
    </row>
    <row r="442" spans="1:61" s="29" customFormat="1" hidden="1" outlineLevel="2" x14ac:dyDescent="0.3">
      <c r="A442" s="204" t="s">
        <v>170</v>
      </c>
      <c r="B442" s="2"/>
      <c r="C442" s="60"/>
      <c r="D442" s="61"/>
      <c r="E442" s="206"/>
      <c r="F442" s="41"/>
      <c r="G442" s="56"/>
      <c r="H442" s="241"/>
      <c r="I442" s="27">
        <v>0</v>
      </c>
      <c r="J442" s="28"/>
      <c r="K442" s="241"/>
      <c r="L442" s="27">
        <v>0</v>
      </c>
      <c r="M442" s="28"/>
      <c r="N442" s="241"/>
      <c r="O442" s="27">
        <v>0</v>
      </c>
      <c r="P442" s="28"/>
      <c r="Q442" s="241"/>
      <c r="R442" s="27">
        <v>0</v>
      </c>
      <c r="S442" s="28"/>
      <c r="T442" s="241"/>
      <c r="U442" s="27">
        <v>0</v>
      </c>
      <c r="V442" s="28"/>
      <c r="W442" s="241"/>
      <c r="X442" s="27">
        <v>0</v>
      </c>
      <c r="Y442" s="28"/>
      <c r="Z442" s="241"/>
      <c r="AA442" s="27">
        <v>0</v>
      </c>
      <c r="AB442" s="28"/>
      <c r="AC442" s="241"/>
      <c r="AD442" s="27">
        <v>0</v>
      </c>
      <c r="AE442" s="28"/>
      <c r="AF442" s="241"/>
      <c r="AG442" s="27">
        <v>0</v>
      </c>
      <c r="AH442" s="28"/>
      <c r="AI442" s="241"/>
      <c r="AJ442" s="27">
        <v>0</v>
      </c>
      <c r="AK442" s="28"/>
      <c r="AL442" s="241"/>
      <c r="AM442" s="27">
        <v>0</v>
      </c>
      <c r="AN442" s="28"/>
      <c r="AO442" s="241"/>
      <c r="AP442" s="27">
        <v>0</v>
      </c>
      <c r="AQ442" s="28"/>
      <c r="AR442" s="241"/>
      <c r="AS442" s="27"/>
      <c r="AT442" s="28"/>
      <c r="AU442" s="241"/>
      <c r="AV442" s="27"/>
      <c r="AW442" s="28"/>
      <c r="AX442" s="241"/>
      <c r="AY442" s="27"/>
      <c r="AZ442" s="28"/>
      <c r="BA442" s="241"/>
      <c r="BB442" s="27"/>
      <c r="BC442" s="28"/>
      <c r="BD442" s="241"/>
      <c r="BE442" s="27"/>
      <c r="BF442" s="28"/>
      <c r="BG442" s="241"/>
      <c r="BH442" s="27"/>
      <c r="BI442" s="28"/>
    </row>
    <row r="443" spans="1:61" s="29" customFormat="1" hidden="1" outlineLevel="2" x14ac:dyDescent="0.3">
      <c r="A443" s="204" t="s">
        <v>171</v>
      </c>
      <c r="B443" s="2"/>
      <c r="C443" s="60"/>
      <c r="D443" s="61"/>
      <c r="E443" s="206"/>
      <c r="F443" s="41"/>
      <c r="G443" s="56"/>
      <c r="H443" s="241"/>
      <c r="I443" s="27">
        <v>0</v>
      </c>
      <c r="J443" s="28"/>
      <c r="K443" s="241"/>
      <c r="L443" s="27">
        <v>0</v>
      </c>
      <c r="M443" s="28"/>
      <c r="N443" s="241"/>
      <c r="O443" s="27">
        <v>0</v>
      </c>
      <c r="P443" s="28"/>
      <c r="Q443" s="241"/>
      <c r="R443" s="27">
        <v>0</v>
      </c>
      <c r="S443" s="28"/>
      <c r="T443" s="241"/>
      <c r="U443" s="27">
        <v>0</v>
      </c>
      <c r="V443" s="28"/>
      <c r="W443" s="241"/>
      <c r="X443" s="27">
        <v>0</v>
      </c>
      <c r="Y443" s="28"/>
      <c r="Z443" s="241"/>
      <c r="AA443" s="27">
        <v>0</v>
      </c>
      <c r="AB443" s="28"/>
      <c r="AC443" s="241"/>
      <c r="AD443" s="27">
        <v>0</v>
      </c>
      <c r="AE443" s="28"/>
      <c r="AF443" s="241"/>
      <c r="AG443" s="27">
        <v>0</v>
      </c>
      <c r="AH443" s="28"/>
      <c r="AI443" s="241"/>
      <c r="AJ443" s="27">
        <v>0</v>
      </c>
      <c r="AK443" s="28"/>
      <c r="AL443" s="241"/>
      <c r="AM443" s="27">
        <v>0</v>
      </c>
      <c r="AN443" s="28"/>
      <c r="AO443" s="241"/>
      <c r="AP443" s="27">
        <v>0</v>
      </c>
      <c r="AQ443" s="28"/>
      <c r="AR443" s="241"/>
      <c r="AS443" s="27"/>
      <c r="AT443" s="28"/>
      <c r="AU443" s="241"/>
      <c r="AV443" s="27"/>
      <c r="AW443" s="28"/>
      <c r="AX443" s="241"/>
      <c r="AY443" s="27"/>
      <c r="AZ443" s="28"/>
      <c r="BA443" s="241"/>
      <c r="BB443" s="27"/>
      <c r="BC443" s="28"/>
      <c r="BD443" s="241"/>
      <c r="BE443" s="27"/>
      <c r="BF443" s="28"/>
      <c r="BG443" s="241"/>
      <c r="BH443" s="27"/>
      <c r="BI443" s="28"/>
    </row>
    <row r="444" spans="1:61" s="29" customFormat="1" hidden="1" outlineLevel="2" x14ac:dyDescent="0.3">
      <c r="A444" s="204" t="s">
        <v>172</v>
      </c>
      <c r="B444" s="2"/>
      <c r="C444" s="60"/>
      <c r="D444" s="61"/>
      <c r="E444" s="206"/>
      <c r="F444" s="41"/>
      <c r="G444" s="56"/>
      <c r="H444" s="241"/>
      <c r="I444" s="27">
        <v>1</v>
      </c>
      <c r="J444" s="28"/>
      <c r="K444" s="241"/>
      <c r="L444" s="27">
        <v>1</v>
      </c>
      <c r="M444" s="28"/>
      <c r="N444" s="241"/>
      <c r="O444" s="27">
        <v>1</v>
      </c>
      <c r="P444" s="28"/>
      <c r="Q444" s="241"/>
      <c r="R444" s="27">
        <v>1</v>
      </c>
      <c r="S444" s="28"/>
      <c r="T444" s="241"/>
      <c r="U444" s="27">
        <v>1</v>
      </c>
      <c r="V444" s="28"/>
      <c r="W444" s="241"/>
      <c r="X444" s="27">
        <v>1</v>
      </c>
      <c r="Y444" s="28"/>
      <c r="Z444" s="241"/>
      <c r="AA444" s="27">
        <v>1</v>
      </c>
      <c r="AB444" s="28"/>
      <c r="AC444" s="241"/>
      <c r="AD444" s="27">
        <v>1</v>
      </c>
      <c r="AE444" s="28"/>
      <c r="AF444" s="241"/>
      <c r="AG444" s="27">
        <v>1</v>
      </c>
      <c r="AH444" s="28"/>
      <c r="AI444" s="241"/>
      <c r="AJ444" s="27">
        <v>1</v>
      </c>
      <c r="AK444" s="28"/>
      <c r="AL444" s="241"/>
      <c r="AM444" s="27">
        <v>1</v>
      </c>
      <c r="AN444" s="28"/>
      <c r="AO444" s="241"/>
      <c r="AP444" s="27">
        <v>1</v>
      </c>
      <c r="AQ444" s="28"/>
      <c r="AR444" s="241"/>
      <c r="AS444" s="27"/>
      <c r="AT444" s="28"/>
      <c r="AU444" s="241"/>
      <c r="AV444" s="27"/>
      <c r="AW444" s="28"/>
      <c r="AX444" s="241"/>
      <c r="AY444" s="27"/>
      <c r="AZ444" s="28"/>
      <c r="BA444" s="241"/>
      <c r="BB444" s="27"/>
      <c r="BC444" s="28"/>
      <c r="BD444" s="241"/>
      <c r="BE444" s="27"/>
      <c r="BF444" s="28"/>
      <c r="BG444" s="241"/>
      <c r="BH444" s="27"/>
      <c r="BI444" s="28"/>
    </row>
    <row r="445" spans="1:61" s="29" customFormat="1" hidden="1" outlineLevel="2" x14ac:dyDescent="0.3">
      <c r="A445" s="204" t="s">
        <v>173</v>
      </c>
      <c r="B445" s="2"/>
      <c r="C445" s="60"/>
      <c r="D445" s="61"/>
      <c r="E445" s="206"/>
      <c r="F445" s="41"/>
      <c r="G445" s="56"/>
      <c r="H445" s="241"/>
      <c r="I445" s="27">
        <v>0</v>
      </c>
      <c r="J445" s="28"/>
      <c r="K445" s="241"/>
      <c r="L445" s="27">
        <v>0</v>
      </c>
      <c r="M445" s="28"/>
      <c r="N445" s="241"/>
      <c r="O445" s="27">
        <v>0</v>
      </c>
      <c r="P445" s="28"/>
      <c r="Q445" s="241"/>
      <c r="R445" s="27">
        <v>0</v>
      </c>
      <c r="S445" s="28"/>
      <c r="T445" s="241"/>
      <c r="U445" s="27">
        <v>0</v>
      </c>
      <c r="V445" s="28"/>
      <c r="W445" s="241"/>
      <c r="X445" s="27">
        <v>0</v>
      </c>
      <c r="Y445" s="28"/>
      <c r="Z445" s="241"/>
      <c r="AA445" s="27">
        <v>0</v>
      </c>
      <c r="AB445" s="28"/>
      <c r="AC445" s="241"/>
      <c r="AD445" s="27">
        <v>0</v>
      </c>
      <c r="AE445" s="28"/>
      <c r="AF445" s="241"/>
      <c r="AG445" s="27">
        <v>0</v>
      </c>
      <c r="AH445" s="28"/>
      <c r="AI445" s="241"/>
      <c r="AJ445" s="27">
        <v>0</v>
      </c>
      <c r="AK445" s="28"/>
      <c r="AL445" s="241"/>
      <c r="AM445" s="27">
        <v>0</v>
      </c>
      <c r="AN445" s="28"/>
      <c r="AO445" s="241"/>
      <c r="AP445" s="27">
        <v>0</v>
      </c>
      <c r="AQ445" s="28"/>
      <c r="AR445" s="241"/>
      <c r="AS445" s="27"/>
      <c r="AT445" s="28"/>
      <c r="AU445" s="241"/>
      <c r="AV445" s="27"/>
      <c r="AW445" s="28"/>
      <c r="AX445" s="241"/>
      <c r="AY445" s="27"/>
      <c r="AZ445" s="28"/>
      <c r="BA445" s="241"/>
      <c r="BB445" s="27"/>
      <c r="BC445" s="28"/>
      <c r="BD445" s="241"/>
      <c r="BE445" s="27"/>
      <c r="BF445" s="28"/>
      <c r="BG445" s="241"/>
      <c r="BH445" s="27"/>
      <c r="BI445" s="28"/>
    </row>
    <row r="446" spans="1:61" s="29" customFormat="1" hidden="1" outlineLevel="2" x14ac:dyDescent="0.3">
      <c r="A446" s="204" t="s">
        <v>174</v>
      </c>
      <c r="B446" s="2"/>
      <c r="C446" s="60"/>
      <c r="D446" s="61"/>
      <c r="E446" s="206"/>
      <c r="F446" s="41"/>
      <c r="G446" s="56"/>
      <c r="H446" s="241"/>
      <c r="I446" s="27">
        <v>0</v>
      </c>
      <c r="J446" s="28"/>
      <c r="K446" s="241"/>
      <c r="L446" s="27">
        <v>0</v>
      </c>
      <c r="M446" s="28"/>
      <c r="N446" s="241"/>
      <c r="O446" s="27">
        <v>0</v>
      </c>
      <c r="P446" s="28"/>
      <c r="Q446" s="241"/>
      <c r="R446" s="27">
        <v>0</v>
      </c>
      <c r="S446" s="28"/>
      <c r="T446" s="241"/>
      <c r="U446" s="27">
        <v>0</v>
      </c>
      <c r="V446" s="28"/>
      <c r="W446" s="241"/>
      <c r="X446" s="27">
        <v>0</v>
      </c>
      <c r="Y446" s="28"/>
      <c r="Z446" s="241"/>
      <c r="AA446" s="27">
        <v>0</v>
      </c>
      <c r="AB446" s="28"/>
      <c r="AC446" s="241"/>
      <c r="AD446" s="27">
        <v>0</v>
      </c>
      <c r="AE446" s="28"/>
      <c r="AF446" s="241"/>
      <c r="AG446" s="27">
        <v>0</v>
      </c>
      <c r="AH446" s="28"/>
      <c r="AI446" s="241"/>
      <c r="AJ446" s="27">
        <v>0</v>
      </c>
      <c r="AK446" s="28"/>
      <c r="AL446" s="241"/>
      <c r="AM446" s="27">
        <v>0</v>
      </c>
      <c r="AN446" s="28"/>
      <c r="AO446" s="241"/>
      <c r="AP446" s="27">
        <v>0</v>
      </c>
      <c r="AQ446" s="28"/>
      <c r="AR446" s="241"/>
      <c r="AS446" s="27"/>
      <c r="AT446" s="28"/>
      <c r="AU446" s="241"/>
      <c r="AV446" s="27"/>
      <c r="AW446" s="28"/>
      <c r="AX446" s="241"/>
      <c r="AY446" s="27"/>
      <c r="AZ446" s="28"/>
      <c r="BA446" s="241"/>
      <c r="BB446" s="27"/>
      <c r="BC446" s="28"/>
      <c r="BD446" s="241"/>
      <c r="BE446" s="27"/>
      <c r="BF446" s="28"/>
      <c r="BG446" s="241"/>
      <c r="BH446" s="27"/>
      <c r="BI446" s="28"/>
    </row>
    <row r="447" spans="1:61" s="29" customFormat="1" hidden="1" outlineLevel="2" x14ac:dyDescent="0.3">
      <c r="A447" s="204" t="s">
        <v>175</v>
      </c>
      <c r="B447" s="2"/>
      <c r="C447" s="60"/>
      <c r="D447" s="61"/>
      <c r="E447" s="206"/>
      <c r="F447" s="41"/>
      <c r="G447" s="56"/>
      <c r="H447" s="241"/>
      <c r="I447" s="27">
        <v>0</v>
      </c>
      <c r="J447" s="28"/>
      <c r="K447" s="241"/>
      <c r="L447" s="27">
        <v>0</v>
      </c>
      <c r="M447" s="28"/>
      <c r="N447" s="241"/>
      <c r="O447" s="27">
        <v>0</v>
      </c>
      <c r="P447" s="28"/>
      <c r="Q447" s="241"/>
      <c r="R447" s="27">
        <v>0</v>
      </c>
      <c r="S447" s="28"/>
      <c r="T447" s="241"/>
      <c r="U447" s="27">
        <v>0</v>
      </c>
      <c r="V447" s="28"/>
      <c r="W447" s="241"/>
      <c r="X447" s="27">
        <v>0</v>
      </c>
      <c r="Y447" s="28"/>
      <c r="Z447" s="241"/>
      <c r="AA447" s="27">
        <v>0</v>
      </c>
      <c r="AB447" s="28"/>
      <c r="AC447" s="241"/>
      <c r="AD447" s="27">
        <v>0</v>
      </c>
      <c r="AE447" s="28"/>
      <c r="AF447" s="241"/>
      <c r="AG447" s="27">
        <v>0</v>
      </c>
      <c r="AH447" s="28"/>
      <c r="AI447" s="241"/>
      <c r="AJ447" s="27">
        <v>0</v>
      </c>
      <c r="AK447" s="28"/>
      <c r="AL447" s="241"/>
      <c r="AM447" s="27">
        <v>0</v>
      </c>
      <c r="AN447" s="28"/>
      <c r="AO447" s="241"/>
      <c r="AP447" s="27">
        <v>0</v>
      </c>
      <c r="AQ447" s="28"/>
      <c r="AR447" s="241"/>
      <c r="AS447" s="27"/>
      <c r="AT447" s="28"/>
      <c r="AU447" s="241"/>
      <c r="AV447" s="27"/>
      <c r="AW447" s="28"/>
      <c r="AX447" s="241"/>
      <c r="AY447" s="27"/>
      <c r="AZ447" s="28"/>
      <c r="BA447" s="241"/>
      <c r="BB447" s="27"/>
      <c r="BC447" s="28"/>
      <c r="BD447" s="241"/>
      <c r="BE447" s="27"/>
      <c r="BF447" s="28"/>
      <c r="BG447" s="241"/>
      <c r="BH447" s="27"/>
      <c r="BI447" s="28"/>
    </row>
    <row r="448" spans="1:61" s="29" customFormat="1" hidden="1" outlineLevel="2" x14ac:dyDescent="0.3">
      <c r="A448" s="204" t="s">
        <v>176</v>
      </c>
      <c r="B448" s="2"/>
      <c r="C448" s="60"/>
      <c r="D448" s="61"/>
      <c r="E448" s="206"/>
      <c r="F448" s="41"/>
      <c r="G448" s="56"/>
      <c r="H448" s="241"/>
      <c r="I448" s="27">
        <v>0</v>
      </c>
      <c r="J448" s="28"/>
      <c r="K448" s="241"/>
      <c r="L448" s="27">
        <v>0</v>
      </c>
      <c r="M448" s="28"/>
      <c r="N448" s="241"/>
      <c r="O448" s="27">
        <v>0</v>
      </c>
      <c r="P448" s="28"/>
      <c r="Q448" s="241"/>
      <c r="R448" s="27">
        <v>0</v>
      </c>
      <c r="S448" s="28"/>
      <c r="T448" s="241"/>
      <c r="U448" s="27">
        <v>0</v>
      </c>
      <c r="V448" s="28"/>
      <c r="W448" s="241"/>
      <c r="X448" s="27">
        <v>0</v>
      </c>
      <c r="Y448" s="28"/>
      <c r="Z448" s="241"/>
      <c r="AA448" s="27">
        <v>0</v>
      </c>
      <c r="AB448" s="28"/>
      <c r="AC448" s="241"/>
      <c r="AD448" s="27">
        <v>0</v>
      </c>
      <c r="AE448" s="28"/>
      <c r="AF448" s="241"/>
      <c r="AG448" s="27">
        <v>0</v>
      </c>
      <c r="AH448" s="28"/>
      <c r="AI448" s="241"/>
      <c r="AJ448" s="27">
        <v>0</v>
      </c>
      <c r="AK448" s="28"/>
      <c r="AL448" s="241"/>
      <c r="AM448" s="27">
        <v>0</v>
      </c>
      <c r="AN448" s="28"/>
      <c r="AO448" s="241"/>
      <c r="AP448" s="27">
        <v>0</v>
      </c>
      <c r="AQ448" s="28"/>
      <c r="AR448" s="241"/>
      <c r="AS448" s="27"/>
      <c r="AT448" s="28"/>
      <c r="AU448" s="241"/>
      <c r="AV448" s="27"/>
      <c r="AW448" s="28"/>
      <c r="AX448" s="241"/>
      <c r="AY448" s="27"/>
      <c r="AZ448" s="28"/>
      <c r="BA448" s="241"/>
      <c r="BB448" s="27"/>
      <c r="BC448" s="28"/>
      <c r="BD448" s="241"/>
      <c r="BE448" s="27"/>
      <c r="BF448" s="28"/>
      <c r="BG448" s="241"/>
      <c r="BH448" s="27"/>
      <c r="BI448" s="28"/>
    </row>
    <row r="449" spans="1:61" s="29" customFormat="1" hidden="1" outlineLevel="2" x14ac:dyDescent="0.3">
      <c r="A449" s="204" t="s">
        <v>177</v>
      </c>
      <c r="B449" s="2"/>
      <c r="C449" s="60"/>
      <c r="D449" s="61"/>
      <c r="E449" s="206"/>
      <c r="F449" s="41"/>
      <c r="G449" s="56"/>
      <c r="H449" s="241"/>
      <c r="I449" s="27">
        <v>0</v>
      </c>
      <c r="J449" s="28"/>
      <c r="K449" s="241"/>
      <c r="L449" s="27">
        <v>0</v>
      </c>
      <c r="M449" s="28"/>
      <c r="N449" s="241"/>
      <c r="O449" s="27">
        <v>0</v>
      </c>
      <c r="P449" s="28"/>
      <c r="Q449" s="241"/>
      <c r="R449" s="27">
        <v>0</v>
      </c>
      <c r="S449" s="28"/>
      <c r="T449" s="241"/>
      <c r="U449" s="27">
        <v>0</v>
      </c>
      <c r="V449" s="28"/>
      <c r="W449" s="241"/>
      <c r="X449" s="27">
        <v>0</v>
      </c>
      <c r="Y449" s="28"/>
      <c r="Z449" s="241"/>
      <c r="AA449" s="27">
        <v>0</v>
      </c>
      <c r="AB449" s="28"/>
      <c r="AC449" s="241"/>
      <c r="AD449" s="27">
        <v>0</v>
      </c>
      <c r="AE449" s="28"/>
      <c r="AF449" s="241"/>
      <c r="AG449" s="27">
        <v>0</v>
      </c>
      <c r="AH449" s="28"/>
      <c r="AI449" s="241"/>
      <c r="AJ449" s="27">
        <v>0</v>
      </c>
      <c r="AK449" s="28"/>
      <c r="AL449" s="241"/>
      <c r="AM449" s="27">
        <v>0</v>
      </c>
      <c r="AN449" s="28"/>
      <c r="AO449" s="241"/>
      <c r="AP449" s="27">
        <v>0</v>
      </c>
      <c r="AQ449" s="28"/>
      <c r="AR449" s="241"/>
      <c r="AS449" s="27"/>
      <c r="AT449" s="28"/>
      <c r="AU449" s="241"/>
      <c r="AV449" s="27"/>
      <c r="AW449" s="28"/>
      <c r="AX449" s="241"/>
      <c r="AY449" s="27"/>
      <c r="AZ449" s="28"/>
      <c r="BA449" s="241"/>
      <c r="BB449" s="27"/>
      <c r="BC449" s="28"/>
      <c r="BD449" s="241"/>
      <c r="BE449" s="27"/>
      <c r="BF449" s="28"/>
      <c r="BG449" s="241"/>
      <c r="BH449" s="27"/>
      <c r="BI449" s="28"/>
    </row>
    <row r="450" spans="1:61" s="29" customFormat="1" hidden="1" outlineLevel="2" x14ac:dyDescent="0.3">
      <c r="A450" s="204" t="s">
        <v>178</v>
      </c>
      <c r="B450" s="2"/>
      <c r="C450" s="60"/>
      <c r="D450" s="61"/>
      <c r="E450" s="206"/>
      <c r="F450" s="41"/>
      <c r="G450" s="56"/>
      <c r="H450" s="241"/>
      <c r="I450" s="27">
        <v>0</v>
      </c>
      <c r="J450" s="28"/>
      <c r="K450" s="241"/>
      <c r="L450" s="27">
        <v>0</v>
      </c>
      <c r="M450" s="28"/>
      <c r="N450" s="241"/>
      <c r="O450" s="27">
        <v>0</v>
      </c>
      <c r="P450" s="28"/>
      <c r="Q450" s="241"/>
      <c r="R450" s="27">
        <v>0</v>
      </c>
      <c r="S450" s="28"/>
      <c r="T450" s="241"/>
      <c r="U450" s="27">
        <v>0</v>
      </c>
      <c r="V450" s="28"/>
      <c r="W450" s="241"/>
      <c r="X450" s="27">
        <v>0</v>
      </c>
      <c r="Y450" s="28"/>
      <c r="Z450" s="241"/>
      <c r="AA450" s="27">
        <v>0</v>
      </c>
      <c r="AB450" s="28"/>
      <c r="AC450" s="241"/>
      <c r="AD450" s="27">
        <v>0</v>
      </c>
      <c r="AE450" s="28"/>
      <c r="AF450" s="241"/>
      <c r="AG450" s="27">
        <v>0</v>
      </c>
      <c r="AH450" s="28"/>
      <c r="AI450" s="241"/>
      <c r="AJ450" s="27">
        <v>0</v>
      </c>
      <c r="AK450" s="28"/>
      <c r="AL450" s="241"/>
      <c r="AM450" s="27">
        <v>0</v>
      </c>
      <c r="AN450" s="28"/>
      <c r="AO450" s="241"/>
      <c r="AP450" s="27">
        <v>0</v>
      </c>
      <c r="AQ450" s="28"/>
      <c r="AR450" s="241"/>
      <c r="AS450" s="27"/>
      <c r="AT450" s="28"/>
      <c r="AU450" s="241"/>
      <c r="AV450" s="27"/>
      <c r="AW450" s="28"/>
      <c r="AX450" s="241"/>
      <c r="AY450" s="27"/>
      <c r="AZ450" s="28"/>
      <c r="BA450" s="241"/>
      <c r="BB450" s="27"/>
      <c r="BC450" s="28"/>
      <c r="BD450" s="241"/>
      <c r="BE450" s="27"/>
      <c r="BF450" s="28"/>
      <c r="BG450" s="241"/>
      <c r="BH450" s="27"/>
      <c r="BI450" s="28"/>
    </row>
    <row r="451" spans="1:61" s="29" customFormat="1" hidden="1" outlineLevel="2" x14ac:dyDescent="0.3">
      <c r="A451" s="204" t="s">
        <v>179</v>
      </c>
      <c r="B451" s="2"/>
      <c r="C451" s="60"/>
      <c r="D451" s="61"/>
      <c r="E451" s="206"/>
      <c r="F451" s="41"/>
      <c r="G451" s="56"/>
      <c r="H451" s="241"/>
      <c r="I451" s="27">
        <v>0</v>
      </c>
      <c r="J451" s="28"/>
      <c r="K451" s="241"/>
      <c r="L451" s="27">
        <v>0</v>
      </c>
      <c r="M451" s="28"/>
      <c r="N451" s="241"/>
      <c r="O451" s="27">
        <v>0</v>
      </c>
      <c r="P451" s="28"/>
      <c r="Q451" s="241"/>
      <c r="R451" s="27">
        <v>0</v>
      </c>
      <c r="S451" s="28"/>
      <c r="T451" s="241"/>
      <c r="U451" s="27">
        <v>0</v>
      </c>
      <c r="V451" s="28"/>
      <c r="W451" s="241"/>
      <c r="X451" s="27">
        <v>0</v>
      </c>
      <c r="Y451" s="28"/>
      <c r="Z451" s="241"/>
      <c r="AA451" s="27">
        <v>0</v>
      </c>
      <c r="AB451" s="28"/>
      <c r="AC451" s="241"/>
      <c r="AD451" s="27">
        <v>0</v>
      </c>
      <c r="AE451" s="28"/>
      <c r="AF451" s="241"/>
      <c r="AG451" s="27">
        <v>0</v>
      </c>
      <c r="AH451" s="28"/>
      <c r="AI451" s="241"/>
      <c r="AJ451" s="27">
        <v>0</v>
      </c>
      <c r="AK451" s="28"/>
      <c r="AL451" s="241"/>
      <c r="AM451" s="27">
        <v>0</v>
      </c>
      <c r="AN451" s="28"/>
      <c r="AO451" s="241"/>
      <c r="AP451" s="27">
        <v>0</v>
      </c>
      <c r="AQ451" s="28"/>
      <c r="AR451" s="241"/>
      <c r="AS451" s="27"/>
      <c r="AT451" s="28"/>
      <c r="AU451" s="241"/>
      <c r="AV451" s="27"/>
      <c r="AW451" s="28"/>
      <c r="AX451" s="241"/>
      <c r="AY451" s="27"/>
      <c r="AZ451" s="28"/>
      <c r="BA451" s="241"/>
      <c r="BB451" s="27"/>
      <c r="BC451" s="28"/>
      <c r="BD451" s="241"/>
      <c r="BE451" s="27"/>
      <c r="BF451" s="28"/>
      <c r="BG451" s="241"/>
      <c r="BH451" s="27"/>
      <c r="BI451" s="28"/>
    </row>
    <row r="452" spans="1:61" s="29" customFormat="1" hidden="1" outlineLevel="2" x14ac:dyDescent="0.3">
      <c r="A452" s="204" t="s">
        <v>180</v>
      </c>
      <c r="B452" s="2"/>
      <c r="C452" s="60"/>
      <c r="D452" s="61"/>
      <c r="E452" s="206"/>
      <c r="F452" s="41"/>
      <c r="G452" s="56"/>
      <c r="H452" s="241"/>
      <c r="I452" s="27">
        <v>2</v>
      </c>
      <c r="J452" s="28"/>
      <c r="K452" s="241"/>
      <c r="L452" s="27">
        <v>2</v>
      </c>
      <c r="M452" s="28"/>
      <c r="N452" s="241"/>
      <c r="O452" s="27">
        <v>2</v>
      </c>
      <c r="P452" s="28"/>
      <c r="Q452" s="241"/>
      <c r="R452" s="27">
        <v>2</v>
      </c>
      <c r="S452" s="28"/>
      <c r="T452" s="241"/>
      <c r="U452" s="27">
        <v>2</v>
      </c>
      <c r="V452" s="28"/>
      <c r="W452" s="241"/>
      <c r="X452" s="27">
        <v>2</v>
      </c>
      <c r="Y452" s="28"/>
      <c r="Z452" s="241"/>
      <c r="AA452" s="27">
        <v>2</v>
      </c>
      <c r="AB452" s="28"/>
      <c r="AC452" s="241"/>
      <c r="AD452" s="27">
        <v>2</v>
      </c>
      <c r="AE452" s="28"/>
      <c r="AF452" s="241"/>
      <c r="AG452" s="27">
        <v>2</v>
      </c>
      <c r="AH452" s="28"/>
      <c r="AI452" s="241"/>
      <c r="AJ452" s="27">
        <v>2</v>
      </c>
      <c r="AK452" s="28"/>
      <c r="AL452" s="241"/>
      <c r="AM452" s="27">
        <v>2</v>
      </c>
      <c r="AN452" s="28"/>
      <c r="AO452" s="241"/>
      <c r="AP452" s="27">
        <v>2</v>
      </c>
      <c r="AQ452" s="28"/>
      <c r="AR452" s="241"/>
      <c r="AS452" s="27"/>
      <c r="AT452" s="28"/>
      <c r="AU452" s="241"/>
      <c r="AV452" s="27"/>
      <c r="AW452" s="28"/>
      <c r="AX452" s="241"/>
      <c r="AY452" s="27"/>
      <c r="AZ452" s="28"/>
      <c r="BA452" s="241"/>
      <c r="BB452" s="27"/>
      <c r="BC452" s="28"/>
      <c r="BD452" s="241"/>
      <c r="BE452" s="27"/>
      <c r="BF452" s="28"/>
      <c r="BG452" s="241"/>
      <c r="BH452" s="27"/>
      <c r="BI452" s="28"/>
    </row>
    <row r="453" spans="1:61" s="29" customFormat="1" hidden="1" outlineLevel="2" x14ac:dyDescent="0.3">
      <c r="A453" s="204" t="s">
        <v>181</v>
      </c>
      <c r="B453" s="2"/>
      <c r="C453" s="60"/>
      <c r="D453" s="61"/>
      <c r="E453" s="206"/>
      <c r="F453" s="41"/>
      <c r="G453" s="56"/>
      <c r="H453" s="241"/>
      <c r="I453" s="27">
        <v>0</v>
      </c>
      <c r="J453" s="28"/>
      <c r="K453" s="241"/>
      <c r="L453" s="27">
        <v>0</v>
      </c>
      <c r="M453" s="28"/>
      <c r="N453" s="241"/>
      <c r="O453" s="27">
        <v>0</v>
      </c>
      <c r="P453" s="28"/>
      <c r="Q453" s="241"/>
      <c r="R453" s="27">
        <v>0</v>
      </c>
      <c r="S453" s="28"/>
      <c r="T453" s="241"/>
      <c r="U453" s="27">
        <v>0</v>
      </c>
      <c r="V453" s="28"/>
      <c r="W453" s="241"/>
      <c r="X453" s="27">
        <v>0</v>
      </c>
      <c r="Y453" s="28"/>
      <c r="Z453" s="241"/>
      <c r="AA453" s="27">
        <v>0</v>
      </c>
      <c r="AB453" s="28"/>
      <c r="AC453" s="241"/>
      <c r="AD453" s="27">
        <v>0</v>
      </c>
      <c r="AE453" s="28"/>
      <c r="AF453" s="241"/>
      <c r="AG453" s="27">
        <v>0</v>
      </c>
      <c r="AH453" s="28"/>
      <c r="AI453" s="241"/>
      <c r="AJ453" s="27">
        <v>0</v>
      </c>
      <c r="AK453" s="28"/>
      <c r="AL453" s="241"/>
      <c r="AM453" s="27">
        <v>0</v>
      </c>
      <c r="AN453" s="28"/>
      <c r="AO453" s="241"/>
      <c r="AP453" s="27">
        <v>0</v>
      </c>
      <c r="AQ453" s="28"/>
      <c r="AR453" s="241"/>
      <c r="AS453" s="27"/>
      <c r="AT453" s="28"/>
      <c r="AU453" s="241"/>
      <c r="AV453" s="27"/>
      <c r="AW453" s="28"/>
      <c r="AX453" s="241"/>
      <c r="AY453" s="27"/>
      <c r="AZ453" s="28"/>
      <c r="BA453" s="241"/>
      <c r="BB453" s="27"/>
      <c r="BC453" s="28"/>
      <c r="BD453" s="241"/>
      <c r="BE453" s="27"/>
      <c r="BF453" s="28"/>
      <c r="BG453" s="241"/>
      <c r="BH453" s="27"/>
      <c r="BI453" s="28"/>
    </row>
    <row r="454" spans="1:61" s="29" customFormat="1" hidden="1" outlineLevel="2" x14ac:dyDescent="0.3">
      <c r="A454" s="204" t="s">
        <v>182</v>
      </c>
      <c r="B454" s="2"/>
      <c r="C454" s="60"/>
      <c r="D454" s="61"/>
      <c r="E454" s="206"/>
      <c r="F454" s="41"/>
      <c r="G454" s="56"/>
      <c r="H454" s="241"/>
      <c r="I454" s="27">
        <v>1</v>
      </c>
      <c r="J454" s="28"/>
      <c r="K454" s="241"/>
      <c r="L454" s="27">
        <v>1</v>
      </c>
      <c r="M454" s="28"/>
      <c r="N454" s="241"/>
      <c r="O454" s="27">
        <v>1</v>
      </c>
      <c r="P454" s="28"/>
      <c r="Q454" s="241"/>
      <c r="R454" s="27">
        <v>1</v>
      </c>
      <c r="S454" s="28"/>
      <c r="T454" s="241"/>
      <c r="U454" s="27">
        <v>1</v>
      </c>
      <c r="V454" s="28"/>
      <c r="W454" s="241"/>
      <c r="X454" s="27">
        <v>1</v>
      </c>
      <c r="Y454" s="28"/>
      <c r="Z454" s="241"/>
      <c r="AA454" s="27">
        <v>1</v>
      </c>
      <c r="AB454" s="28"/>
      <c r="AC454" s="241"/>
      <c r="AD454" s="27">
        <v>1</v>
      </c>
      <c r="AE454" s="28"/>
      <c r="AF454" s="241"/>
      <c r="AG454" s="27">
        <v>1</v>
      </c>
      <c r="AH454" s="28"/>
      <c r="AI454" s="241"/>
      <c r="AJ454" s="27">
        <v>1</v>
      </c>
      <c r="AK454" s="28"/>
      <c r="AL454" s="241"/>
      <c r="AM454" s="27">
        <v>1</v>
      </c>
      <c r="AN454" s="28"/>
      <c r="AO454" s="241"/>
      <c r="AP454" s="27">
        <v>1</v>
      </c>
      <c r="AQ454" s="28"/>
      <c r="AR454" s="241"/>
      <c r="AS454" s="27"/>
      <c r="AT454" s="28"/>
      <c r="AU454" s="241"/>
      <c r="AV454" s="27"/>
      <c r="AW454" s="28"/>
      <c r="AX454" s="241"/>
      <c r="AY454" s="27"/>
      <c r="AZ454" s="28"/>
      <c r="BA454" s="241"/>
      <c r="BB454" s="27"/>
      <c r="BC454" s="28"/>
      <c r="BD454" s="241"/>
      <c r="BE454" s="27"/>
      <c r="BF454" s="28"/>
      <c r="BG454" s="241"/>
      <c r="BH454" s="27"/>
      <c r="BI454" s="28"/>
    </row>
    <row r="455" spans="1:61" s="29" customFormat="1" hidden="1" outlineLevel="2" x14ac:dyDescent="0.3">
      <c r="A455" s="204" t="s">
        <v>183</v>
      </c>
      <c r="B455" s="2"/>
      <c r="C455" s="60"/>
      <c r="D455" s="61"/>
      <c r="E455" s="206"/>
      <c r="F455" s="41"/>
      <c r="G455" s="56"/>
      <c r="H455" s="241"/>
      <c r="I455" s="27">
        <v>0</v>
      </c>
      <c r="J455" s="28"/>
      <c r="K455" s="241"/>
      <c r="L455" s="27">
        <v>0</v>
      </c>
      <c r="M455" s="28"/>
      <c r="N455" s="241"/>
      <c r="O455" s="27">
        <v>0</v>
      </c>
      <c r="P455" s="28"/>
      <c r="Q455" s="241"/>
      <c r="R455" s="27">
        <v>0</v>
      </c>
      <c r="S455" s="28"/>
      <c r="T455" s="241"/>
      <c r="U455" s="27">
        <v>0</v>
      </c>
      <c r="V455" s="28"/>
      <c r="W455" s="241"/>
      <c r="X455" s="27">
        <v>0</v>
      </c>
      <c r="Y455" s="28"/>
      <c r="Z455" s="241"/>
      <c r="AA455" s="27">
        <v>0</v>
      </c>
      <c r="AB455" s="28"/>
      <c r="AC455" s="241"/>
      <c r="AD455" s="27">
        <v>0</v>
      </c>
      <c r="AE455" s="28"/>
      <c r="AF455" s="241"/>
      <c r="AG455" s="27">
        <v>0</v>
      </c>
      <c r="AH455" s="28"/>
      <c r="AI455" s="241"/>
      <c r="AJ455" s="27">
        <v>0</v>
      </c>
      <c r="AK455" s="28"/>
      <c r="AL455" s="241"/>
      <c r="AM455" s="27">
        <v>0</v>
      </c>
      <c r="AN455" s="28"/>
      <c r="AO455" s="241"/>
      <c r="AP455" s="27">
        <v>0</v>
      </c>
      <c r="AQ455" s="28"/>
      <c r="AR455" s="241"/>
      <c r="AS455" s="27"/>
      <c r="AT455" s="28"/>
      <c r="AU455" s="241"/>
      <c r="AV455" s="27"/>
      <c r="AW455" s="28"/>
      <c r="AX455" s="241"/>
      <c r="AY455" s="27"/>
      <c r="AZ455" s="28"/>
      <c r="BA455" s="241"/>
      <c r="BB455" s="27"/>
      <c r="BC455" s="28"/>
      <c r="BD455" s="241"/>
      <c r="BE455" s="27"/>
      <c r="BF455" s="28"/>
      <c r="BG455" s="241"/>
      <c r="BH455" s="27"/>
      <c r="BI455" s="28"/>
    </row>
    <row r="456" spans="1:61" s="29" customFormat="1" hidden="1" outlineLevel="2" x14ac:dyDescent="0.3">
      <c r="A456" s="204" t="s">
        <v>184</v>
      </c>
      <c r="B456" s="2"/>
      <c r="C456" s="60"/>
      <c r="D456" s="61"/>
      <c r="E456" s="206"/>
      <c r="F456" s="41"/>
      <c r="G456" s="56"/>
      <c r="H456" s="241"/>
      <c r="I456" s="27">
        <v>0</v>
      </c>
      <c r="J456" s="28"/>
      <c r="K456" s="241"/>
      <c r="L456" s="27">
        <v>0</v>
      </c>
      <c r="M456" s="28"/>
      <c r="N456" s="241"/>
      <c r="O456" s="27">
        <v>0</v>
      </c>
      <c r="P456" s="28"/>
      <c r="Q456" s="241"/>
      <c r="R456" s="27">
        <v>0</v>
      </c>
      <c r="S456" s="28"/>
      <c r="T456" s="241"/>
      <c r="U456" s="27">
        <v>0</v>
      </c>
      <c r="V456" s="28"/>
      <c r="W456" s="241"/>
      <c r="X456" s="27">
        <v>0</v>
      </c>
      <c r="Y456" s="28"/>
      <c r="Z456" s="241"/>
      <c r="AA456" s="27">
        <v>0</v>
      </c>
      <c r="AB456" s="28"/>
      <c r="AC456" s="241"/>
      <c r="AD456" s="27">
        <v>0</v>
      </c>
      <c r="AE456" s="28"/>
      <c r="AF456" s="241"/>
      <c r="AG456" s="27">
        <v>0</v>
      </c>
      <c r="AH456" s="28"/>
      <c r="AI456" s="241"/>
      <c r="AJ456" s="27">
        <v>0</v>
      </c>
      <c r="AK456" s="28"/>
      <c r="AL456" s="241"/>
      <c r="AM456" s="27">
        <v>0</v>
      </c>
      <c r="AN456" s="28"/>
      <c r="AO456" s="241"/>
      <c r="AP456" s="27">
        <v>0</v>
      </c>
      <c r="AQ456" s="28"/>
      <c r="AR456" s="241"/>
      <c r="AS456" s="27"/>
      <c r="AT456" s="28"/>
      <c r="AU456" s="241"/>
      <c r="AV456" s="27"/>
      <c r="AW456" s="28"/>
      <c r="AX456" s="241"/>
      <c r="AY456" s="27"/>
      <c r="AZ456" s="28"/>
      <c r="BA456" s="241"/>
      <c r="BB456" s="27"/>
      <c r="BC456" s="28"/>
      <c r="BD456" s="241"/>
      <c r="BE456" s="27"/>
      <c r="BF456" s="28"/>
      <c r="BG456" s="241"/>
      <c r="BH456" s="27"/>
      <c r="BI456" s="28"/>
    </row>
    <row r="457" spans="1:61" s="29" customFormat="1" hidden="1" outlineLevel="2" x14ac:dyDescent="0.3">
      <c r="A457" s="204" t="s">
        <v>185</v>
      </c>
      <c r="B457" s="2"/>
      <c r="C457" s="60"/>
      <c r="D457" s="61"/>
      <c r="E457" s="206"/>
      <c r="F457" s="41"/>
      <c r="G457" s="56"/>
      <c r="H457" s="241"/>
      <c r="I457" s="27">
        <v>0</v>
      </c>
      <c r="J457" s="28"/>
      <c r="K457" s="241"/>
      <c r="L457" s="27">
        <v>0</v>
      </c>
      <c r="M457" s="28"/>
      <c r="N457" s="241"/>
      <c r="O457" s="27">
        <v>0</v>
      </c>
      <c r="P457" s="28"/>
      <c r="Q457" s="241"/>
      <c r="R457" s="27">
        <v>0</v>
      </c>
      <c r="S457" s="28"/>
      <c r="T457" s="241"/>
      <c r="U457" s="27">
        <v>0</v>
      </c>
      <c r="V457" s="28"/>
      <c r="W457" s="241"/>
      <c r="X457" s="27">
        <v>0</v>
      </c>
      <c r="Y457" s="28"/>
      <c r="Z457" s="241"/>
      <c r="AA457" s="27">
        <v>0</v>
      </c>
      <c r="AB457" s="28"/>
      <c r="AC457" s="241"/>
      <c r="AD457" s="27">
        <v>0</v>
      </c>
      <c r="AE457" s="28"/>
      <c r="AF457" s="241"/>
      <c r="AG457" s="27">
        <v>0</v>
      </c>
      <c r="AH457" s="28"/>
      <c r="AI457" s="241"/>
      <c r="AJ457" s="27">
        <v>0</v>
      </c>
      <c r="AK457" s="28"/>
      <c r="AL457" s="241"/>
      <c r="AM457" s="27">
        <v>0</v>
      </c>
      <c r="AN457" s="28"/>
      <c r="AO457" s="241"/>
      <c r="AP457" s="27">
        <v>0</v>
      </c>
      <c r="AQ457" s="28"/>
      <c r="AR457" s="241"/>
      <c r="AS457" s="27"/>
      <c r="AT457" s="28"/>
      <c r="AU457" s="241"/>
      <c r="AV457" s="27"/>
      <c r="AW457" s="28"/>
      <c r="AX457" s="241"/>
      <c r="AY457" s="27"/>
      <c r="AZ457" s="28"/>
      <c r="BA457" s="241"/>
      <c r="BB457" s="27"/>
      <c r="BC457" s="28"/>
      <c r="BD457" s="241"/>
      <c r="BE457" s="27"/>
      <c r="BF457" s="28"/>
      <c r="BG457" s="241"/>
      <c r="BH457" s="27"/>
      <c r="BI457" s="28"/>
    </row>
    <row r="458" spans="1:61" s="29" customFormat="1" hidden="1" outlineLevel="2" x14ac:dyDescent="0.3">
      <c r="A458" s="204" t="s">
        <v>186</v>
      </c>
      <c r="B458" s="2"/>
      <c r="C458" s="60"/>
      <c r="D458" s="61"/>
      <c r="E458" s="206"/>
      <c r="F458" s="41"/>
      <c r="G458" s="56"/>
      <c r="H458" s="241"/>
      <c r="I458" s="27">
        <v>0</v>
      </c>
      <c r="J458" s="28"/>
      <c r="K458" s="241"/>
      <c r="L458" s="27">
        <v>0</v>
      </c>
      <c r="M458" s="28"/>
      <c r="N458" s="241"/>
      <c r="O458" s="27">
        <v>0</v>
      </c>
      <c r="P458" s="28"/>
      <c r="Q458" s="241"/>
      <c r="R458" s="27">
        <v>0</v>
      </c>
      <c r="S458" s="28"/>
      <c r="T458" s="241"/>
      <c r="U458" s="27">
        <v>0</v>
      </c>
      <c r="V458" s="28"/>
      <c r="W458" s="241"/>
      <c r="X458" s="27">
        <v>0</v>
      </c>
      <c r="Y458" s="28"/>
      <c r="Z458" s="241"/>
      <c r="AA458" s="27">
        <v>0</v>
      </c>
      <c r="AB458" s="28"/>
      <c r="AC458" s="241"/>
      <c r="AD458" s="27">
        <v>0</v>
      </c>
      <c r="AE458" s="28"/>
      <c r="AF458" s="241"/>
      <c r="AG458" s="27">
        <v>0</v>
      </c>
      <c r="AH458" s="28"/>
      <c r="AI458" s="241"/>
      <c r="AJ458" s="27">
        <v>0</v>
      </c>
      <c r="AK458" s="28"/>
      <c r="AL458" s="241"/>
      <c r="AM458" s="27">
        <v>0</v>
      </c>
      <c r="AN458" s="28"/>
      <c r="AO458" s="241"/>
      <c r="AP458" s="27">
        <v>0</v>
      </c>
      <c r="AQ458" s="28"/>
      <c r="AR458" s="241"/>
      <c r="AS458" s="27"/>
      <c r="AT458" s="28"/>
      <c r="AU458" s="241"/>
      <c r="AV458" s="27"/>
      <c r="AW458" s="28"/>
      <c r="AX458" s="241"/>
      <c r="AY458" s="27"/>
      <c r="AZ458" s="28"/>
      <c r="BA458" s="241"/>
      <c r="BB458" s="27"/>
      <c r="BC458" s="28"/>
      <c r="BD458" s="241"/>
      <c r="BE458" s="27"/>
      <c r="BF458" s="28"/>
      <c r="BG458" s="241"/>
      <c r="BH458" s="27"/>
      <c r="BI458" s="28"/>
    </row>
    <row r="459" spans="1:61" s="29" customFormat="1" hidden="1" outlineLevel="2" x14ac:dyDescent="0.3">
      <c r="A459" s="204" t="s">
        <v>187</v>
      </c>
      <c r="B459" s="2"/>
      <c r="C459" s="60"/>
      <c r="D459" s="61"/>
      <c r="E459" s="206"/>
      <c r="F459" s="41"/>
      <c r="G459" s="56"/>
      <c r="H459" s="241"/>
      <c r="I459" s="27">
        <v>0</v>
      </c>
      <c r="J459" s="28"/>
      <c r="K459" s="241"/>
      <c r="L459" s="27">
        <v>0</v>
      </c>
      <c r="M459" s="28"/>
      <c r="N459" s="241"/>
      <c r="O459" s="27">
        <v>0</v>
      </c>
      <c r="P459" s="28"/>
      <c r="Q459" s="241"/>
      <c r="R459" s="27">
        <v>0</v>
      </c>
      <c r="S459" s="28"/>
      <c r="T459" s="241"/>
      <c r="U459" s="27">
        <v>0</v>
      </c>
      <c r="V459" s="28"/>
      <c r="W459" s="241"/>
      <c r="X459" s="27">
        <v>0</v>
      </c>
      <c r="Y459" s="28"/>
      <c r="Z459" s="241"/>
      <c r="AA459" s="27">
        <v>0</v>
      </c>
      <c r="AB459" s="28"/>
      <c r="AC459" s="241"/>
      <c r="AD459" s="27">
        <v>0</v>
      </c>
      <c r="AE459" s="28"/>
      <c r="AF459" s="241"/>
      <c r="AG459" s="27">
        <v>0</v>
      </c>
      <c r="AH459" s="28"/>
      <c r="AI459" s="241"/>
      <c r="AJ459" s="27">
        <v>0</v>
      </c>
      <c r="AK459" s="28"/>
      <c r="AL459" s="241"/>
      <c r="AM459" s="27">
        <v>0</v>
      </c>
      <c r="AN459" s="28"/>
      <c r="AO459" s="241"/>
      <c r="AP459" s="27">
        <v>0</v>
      </c>
      <c r="AQ459" s="28"/>
      <c r="AR459" s="241"/>
      <c r="AS459" s="27"/>
      <c r="AT459" s="28"/>
      <c r="AU459" s="241"/>
      <c r="AV459" s="27"/>
      <c r="AW459" s="28"/>
      <c r="AX459" s="241"/>
      <c r="AY459" s="27"/>
      <c r="AZ459" s="28"/>
      <c r="BA459" s="241"/>
      <c r="BB459" s="27"/>
      <c r="BC459" s="28"/>
      <c r="BD459" s="241"/>
      <c r="BE459" s="27"/>
      <c r="BF459" s="28"/>
      <c r="BG459" s="241"/>
      <c r="BH459" s="27"/>
      <c r="BI459" s="28"/>
    </row>
    <row r="460" spans="1:61" s="29" customFormat="1" hidden="1" outlineLevel="2" x14ac:dyDescent="0.3">
      <c r="A460" s="204" t="s">
        <v>188</v>
      </c>
      <c r="B460" s="2"/>
      <c r="C460" s="60"/>
      <c r="D460" s="61"/>
      <c r="E460" s="206"/>
      <c r="F460" s="41"/>
      <c r="G460" s="56"/>
      <c r="H460" s="241"/>
      <c r="I460" s="27">
        <v>0</v>
      </c>
      <c r="J460" s="28"/>
      <c r="K460" s="241"/>
      <c r="L460" s="27">
        <v>0</v>
      </c>
      <c r="M460" s="28"/>
      <c r="N460" s="241"/>
      <c r="O460" s="27">
        <v>0</v>
      </c>
      <c r="P460" s="28"/>
      <c r="Q460" s="241"/>
      <c r="R460" s="27">
        <v>0</v>
      </c>
      <c r="S460" s="28"/>
      <c r="T460" s="241"/>
      <c r="U460" s="27">
        <v>0</v>
      </c>
      <c r="V460" s="28"/>
      <c r="W460" s="241"/>
      <c r="X460" s="27">
        <v>0</v>
      </c>
      <c r="Y460" s="28"/>
      <c r="Z460" s="241"/>
      <c r="AA460" s="27">
        <v>0</v>
      </c>
      <c r="AB460" s="28"/>
      <c r="AC460" s="241"/>
      <c r="AD460" s="27">
        <v>0</v>
      </c>
      <c r="AE460" s="28"/>
      <c r="AF460" s="241"/>
      <c r="AG460" s="27">
        <v>0</v>
      </c>
      <c r="AH460" s="28"/>
      <c r="AI460" s="241"/>
      <c r="AJ460" s="27">
        <v>0</v>
      </c>
      <c r="AK460" s="28"/>
      <c r="AL460" s="241"/>
      <c r="AM460" s="27">
        <v>0</v>
      </c>
      <c r="AN460" s="28"/>
      <c r="AO460" s="241"/>
      <c r="AP460" s="27">
        <v>0</v>
      </c>
      <c r="AQ460" s="28"/>
      <c r="AR460" s="241"/>
      <c r="AS460" s="27"/>
      <c r="AT460" s="28"/>
      <c r="AU460" s="241"/>
      <c r="AV460" s="27"/>
      <c r="AW460" s="28"/>
      <c r="AX460" s="241"/>
      <c r="AY460" s="27"/>
      <c r="AZ460" s="28"/>
      <c r="BA460" s="241"/>
      <c r="BB460" s="27"/>
      <c r="BC460" s="28"/>
      <c r="BD460" s="241"/>
      <c r="BE460" s="27"/>
      <c r="BF460" s="28"/>
      <c r="BG460" s="241"/>
      <c r="BH460" s="27"/>
      <c r="BI460" s="28"/>
    </row>
    <row r="461" spans="1:61" s="29" customFormat="1" hidden="1" outlineLevel="2" x14ac:dyDescent="0.3">
      <c r="A461" s="204" t="s">
        <v>189</v>
      </c>
      <c r="B461" s="2"/>
      <c r="C461" s="60"/>
      <c r="D461" s="61"/>
      <c r="E461" s="206"/>
      <c r="F461" s="41"/>
      <c r="G461" s="56"/>
      <c r="H461" s="241"/>
      <c r="I461" s="27">
        <v>0</v>
      </c>
      <c r="J461" s="28"/>
      <c r="K461" s="241"/>
      <c r="L461" s="27">
        <v>0</v>
      </c>
      <c r="M461" s="28"/>
      <c r="N461" s="241"/>
      <c r="O461" s="27">
        <v>0</v>
      </c>
      <c r="P461" s="28"/>
      <c r="Q461" s="241"/>
      <c r="R461" s="27">
        <v>0</v>
      </c>
      <c r="S461" s="28"/>
      <c r="T461" s="241"/>
      <c r="U461" s="27">
        <v>0</v>
      </c>
      <c r="V461" s="28"/>
      <c r="W461" s="241"/>
      <c r="X461" s="27">
        <v>0</v>
      </c>
      <c r="Y461" s="28"/>
      <c r="Z461" s="241"/>
      <c r="AA461" s="27">
        <v>0</v>
      </c>
      <c r="AB461" s="28"/>
      <c r="AC461" s="241"/>
      <c r="AD461" s="27">
        <v>0</v>
      </c>
      <c r="AE461" s="28"/>
      <c r="AF461" s="241"/>
      <c r="AG461" s="27">
        <v>0</v>
      </c>
      <c r="AH461" s="28"/>
      <c r="AI461" s="241"/>
      <c r="AJ461" s="27">
        <v>0</v>
      </c>
      <c r="AK461" s="28"/>
      <c r="AL461" s="241"/>
      <c r="AM461" s="27">
        <v>0</v>
      </c>
      <c r="AN461" s="28"/>
      <c r="AO461" s="241"/>
      <c r="AP461" s="27">
        <v>0</v>
      </c>
      <c r="AQ461" s="28"/>
      <c r="AR461" s="241"/>
      <c r="AS461" s="27"/>
      <c r="AT461" s="28"/>
      <c r="AU461" s="241"/>
      <c r="AV461" s="27"/>
      <c r="AW461" s="28"/>
      <c r="AX461" s="241"/>
      <c r="AY461" s="27"/>
      <c r="AZ461" s="28"/>
      <c r="BA461" s="241"/>
      <c r="BB461" s="27"/>
      <c r="BC461" s="28"/>
      <c r="BD461" s="241"/>
      <c r="BE461" s="27"/>
      <c r="BF461" s="28"/>
      <c r="BG461" s="241"/>
      <c r="BH461" s="27"/>
      <c r="BI461" s="28"/>
    </row>
    <row r="462" spans="1:61" s="29" customFormat="1" hidden="1" outlineLevel="2" x14ac:dyDescent="0.3">
      <c r="A462" s="204" t="s">
        <v>190</v>
      </c>
      <c r="B462" s="2"/>
      <c r="C462" s="60"/>
      <c r="D462" s="61"/>
      <c r="E462" s="206"/>
      <c r="F462" s="41"/>
      <c r="G462" s="56"/>
      <c r="H462" s="241"/>
      <c r="I462" s="27">
        <v>0</v>
      </c>
      <c r="J462" s="28"/>
      <c r="K462" s="241"/>
      <c r="L462" s="27">
        <v>0</v>
      </c>
      <c r="M462" s="28"/>
      <c r="N462" s="241"/>
      <c r="O462" s="27">
        <v>0</v>
      </c>
      <c r="P462" s="28"/>
      <c r="Q462" s="241"/>
      <c r="R462" s="27">
        <v>0</v>
      </c>
      <c r="S462" s="28"/>
      <c r="T462" s="241"/>
      <c r="U462" s="27">
        <v>0</v>
      </c>
      <c r="V462" s="28"/>
      <c r="W462" s="241"/>
      <c r="X462" s="27">
        <v>0</v>
      </c>
      <c r="Y462" s="28"/>
      <c r="Z462" s="241"/>
      <c r="AA462" s="27">
        <v>0</v>
      </c>
      <c r="AB462" s="28"/>
      <c r="AC462" s="241"/>
      <c r="AD462" s="27">
        <v>0</v>
      </c>
      <c r="AE462" s="28"/>
      <c r="AF462" s="241"/>
      <c r="AG462" s="27">
        <v>0</v>
      </c>
      <c r="AH462" s="28"/>
      <c r="AI462" s="241"/>
      <c r="AJ462" s="27">
        <v>0</v>
      </c>
      <c r="AK462" s="28"/>
      <c r="AL462" s="241"/>
      <c r="AM462" s="27">
        <v>0</v>
      </c>
      <c r="AN462" s="28"/>
      <c r="AO462" s="241"/>
      <c r="AP462" s="27">
        <v>0</v>
      </c>
      <c r="AQ462" s="28"/>
      <c r="AR462" s="241"/>
      <c r="AS462" s="27"/>
      <c r="AT462" s="28"/>
      <c r="AU462" s="241"/>
      <c r="AV462" s="27"/>
      <c r="AW462" s="28"/>
      <c r="AX462" s="241"/>
      <c r="AY462" s="27"/>
      <c r="AZ462" s="28"/>
      <c r="BA462" s="241"/>
      <c r="BB462" s="27"/>
      <c r="BC462" s="28"/>
      <c r="BD462" s="241"/>
      <c r="BE462" s="27"/>
      <c r="BF462" s="28"/>
      <c r="BG462" s="241"/>
      <c r="BH462" s="27"/>
      <c r="BI462" s="28"/>
    </row>
    <row r="463" spans="1:61" s="29" customFormat="1" hidden="1" outlineLevel="2" x14ac:dyDescent="0.3">
      <c r="A463" s="204" t="s">
        <v>191</v>
      </c>
      <c r="B463" s="2"/>
      <c r="C463" s="60"/>
      <c r="D463" s="61"/>
      <c r="E463" s="206"/>
      <c r="F463" s="41"/>
      <c r="G463" s="56"/>
      <c r="H463" s="241"/>
      <c r="I463" s="27">
        <v>0</v>
      </c>
      <c r="J463" s="28"/>
      <c r="K463" s="241"/>
      <c r="L463" s="27">
        <v>0</v>
      </c>
      <c r="M463" s="28"/>
      <c r="N463" s="241"/>
      <c r="O463" s="27">
        <v>0</v>
      </c>
      <c r="P463" s="28"/>
      <c r="Q463" s="241"/>
      <c r="R463" s="27">
        <v>0</v>
      </c>
      <c r="S463" s="28"/>
      <c r="T463" s="241"/>
      <c r="U463" s="27">
        <v>0</v>
      </c>
      <c r="V463" s="28"/>
      <c r="W463" s="241"/>
      <c r="X463" s="27">
        <v>0</v>
      </c>
      <c r="Y463" s="28"/>
      <c r="Z463" s="241"/>
      <c r="AA463" s="27">
        <v>0</v>
      </c>
      <c r="AB463" s="28"/>
      <c r="AC463" s="241"/>
      <c r="AD463" s="27">
        <v>0</v>
      </c>
      <c r="AE463" s="28"/>
      <c r="AF463" s="241"/>
      <c r="AG463" s="27">
        <v>0</v>
      </c>
      <c r="AH463" s="28"/>
      <c r="AI463" s="241"/>
      <c r="AJ463" s="27">
        <v>0</v>
      </c>
      <c r="AK463" s="28"/>
      <c r="AL463" s="241"/>
      <c r="AM463" s="27">
        <v>0</v>
      </c>
      <c r="AN463" s="28"/>
      <c r="AO463" s="241"/>
      <c r="AP463" s="27">
        <v>0</v>
      </c>
      <c r="AQ463" s="28"/>
      <c r="AR463" s="241"/>
      <c r="AS463" s="27"/>
      <c r="AT463" s="28"/>
      <c r="AU463" s="241"/>
      <c r="AV463" s="27"/>
      <c r="AW463" s="28"/>
      <c r="AX463" s="241"/>
      <c r="AY463" s="27"/>
      <c r="AZ463" s="28"/>
      <c r="BA463" s="241"/>
      <c r="BB463" s="27"/>
      <c r="BC463" s="28"/>
      <c r="BD463" s="241"/>
      <c r="BE463" s="27"/>
      <c r="BF463" s="28"/>
      <c r="BG463" s="241"/>
      <c r="BH463" s="27"/>
      <c r="BI463" s="28"/>
    </row>
    <row r="464" spans="1:61" s="29" customFormat="1" hidden="1" outlineLevel="2" x14ac:dyDescent="0.3">
      <c r="A464" s="204" t="s">
        <v>192</v>
      </c>
      <c r="B464" s="2"/>
      <c r="C464" s="60"/>
      <c r="D464" s="61"/>
      <c r="E464" s="206"/>
      <c r="F464" s="41"/>
      <c r="G464" s="56"/>
      <c r="H464" s="241"/>
      <c r="I464" s="27">
        <v>0</v>
      </c>
      <c r="J464" s="28"/>
      <c r="K464" s="241"/>
      <c r="L464" s="27">
        <v>0</v>
      </c>
      <c r="M464" s="28"/>
      <c r="N464" s="241"/>
      <c r="O464" s="27">
        <v>0</v>
      </c>
      <c r="P464" s="28"/>
      <c r="Q464" s="241"/>
      <c r="R464" s="27">
        <v>0</v>
      </c>
      <c r="S464" s="28"/>
      <c r="T464" s="241"/>
      <c r="U464" s="27">
        <v>0</v>
      </c>
      <c r="V464" s="28"/>
      <c r="W464" s="241"/>
      <c r="X464" s="27">
        <v>0</v>
      </c>
      <c r="Y464" s="28"/>
      <c r="Z464" s="241"/>
      <c r="AA464" s="27">
        <v>0</v>
      </c>
      <c r="AB464" s="28"/>
      <c r="AC464" s="241"/>
      <c r="AD464" s="27">
        <v>0</v>
      </c>
      <c r="AE464" s="28"/>
      <c r="AF464" s="241"/>
      <c r="AG464" s="27">
        <v>0</v>
      </c>
      <c r="AH464" s="28"/>
      <c r="AI464" s="241"/>
      <c r="AJ464" s="27">
        <v>0</v>
      </c>
      <c r="AK464" s="28"/>
      <c r="AL464" s="241"/>
      <c r="AM464" s="27">
        <v>0</v>
      </c>
      <c r="AN464" s="28"/>
      <c r="AO464" s="241"/>
      <c r="AP464" s="27">
        <v>0</v>
      </c>
      <c r="AQ464" s="28"/>
      <c r="AR464" s="241"/>
      <c r="AS464" s="27"/>
      <c r="AT464" s="28"/>
      <c r="AU464" s="241"/>
      <c r="AV464" s="27"/>
      <c r="AW464" s="28"/>
      <c r="AX464" s="241"/>
      <c r="AY464" s="27"/>
      <c r="AZ464" s="28"/>
      <c r="BA464" s="241"/>
      <c r="BB464" s="27"/>
      <c r="BC464" s="28"/>
      <c r="BD464" s="241"/>
      <c r="BE464" s="27"/>
      <c r="BF464" s="28"/>
      <c r="BG464" s="241"/>
      <c r="BH464" s="27"/>
      <c r="BI464" s="28"/>
    </row>
    <row r="465" spans="1:61" s="29" customFormat="1" hidden="1" outlineLevel="2" x14ac:dyDescent="0.3">
      <c r="A465" s="204" t="s">
        <v>193</v>
      </c>
      <c r="B465" s="2"/>
      <c r="C465" s="60"/>
      <c r="D465" s="61"/>
      <c r="E465" s="206"/>
      <c r="F465" s="41"/>
      <c r="G465" s="56"/>
      <c r="H465" s="241"/>
      <c r="I465" s="27">
        <v>0</v>
      </c>
      <c r="J465" s="28"/>
      <c r="K465" s="241"/>
      <c r="L465" s="27">
        <v>0</v>
      </c>
      <c r="M465" s="28"/>
      <c r="N465" s="241"/>
      <c r="O465" s="27">
        <v>0</v>
      </c>
      <c r="P465" s="28"/>
      <c r="Q465" s="241"/>
      <c r="R465" s="27">
        <v>0</v>
      </c>
      <c r="S465" s="28"/>
      <c r="T465" s="241"/>
      <c r="U465" s="27">
        <v>0</v>
      </c>
      <c r="V465" s="28"/>
      <c r="W465" s="241"/>
      <c r="X465" s="27">
        <v>0</v>
      </c>
      <c r="Y465" s="28"/>
      <c r="Z465" s="241"/>
      <c r="AA465" s="27">
        <v>0</v>
      </c>
      <c r="AB465" s="28"/>
      <c r="AC465" s="241"/>
      <c r="AD465" s="27">
        <v>0</v>
      </c>
      <c r="AE465" s="28"/>
      <c r="AF465" s="241"/>
      <c r="AG465" s="27">
        <v>0</v>
      </c>
      <c r="AH465" s="28"/>
      <c r="AI465" s="241"/>
      <c r="AJ465" s="27">
        <v>0</v>
      </c>
      <c r="AK465" s="28"/>
      <c r="AL465" s="241"/>
      <c r="AM465" s="27">
        <v>0</v>
      </c>
      <c r="AN465" s="28"/>
      <c r="AO465" s="241"/>
      <c r="AP465" s="27">
        <v>0</v>
      </c>
      <c r="AQ465" s="28"/>
      <c r="AR465" s="241"/>
      <c r="AS465" s="27"/>
      <c r="AT465" s="28"/>
      <c r="AU465" s="241"/>
      <c r="AV465" s="27"/>
      <c r="AW465" s="28"/>
      <c r="AX465" s="241"/>
      <c r="AY465" s="27"/>
      <c r="AZ465" s="28"/>
      <c r="BA465" s="241"/>
      <c r="BB465" s="27"/>
      <c r="BC465" s="28"/>
      <c r="BD465" s="241"/>
      <c r="BE465" s="27"/>
      <c r="BF465" s="28"/>
      <c r="BG465" s="241"/>
      <c r="BH465" s="27"/>
      <c r="BI465" s="28"/>
    </row>
    <row r="466" spans="1:61" s="29" customFormat="1" hidden="1" outlineLevel="2" x14ac:dyDescent="0.3">
      <c r="A466" s="204" t="s">
        <v>194</v>
      </c>
      <c r="B466" s="2"/>
      <c r="C466" s="60"/>
      <c r="D466" s="61"/>
      <c r="E466" s="206"/>
      <c r="F466" s="41"/>
      <c r="G466" s="56"/>
      <c r="H466" s="241"/>
      <c r="I466" s="27">
        <v>0</v>
      </c>
      <c r="J466" s="28"/>
      <c r="K466" s="241"/>
      <c r="L466" s="27">
        <v>0</v>
      </c>
      <c r="M466" s="28"/>
      <c r="N466" s="241"/>
      <c r="O466" s="27">
        <v>0</v>
      </c>
      <c r="P466" s="28"/>
      <c r="Q466" s="241"/>
      <c r="R466" s="27">
        <v>0</v>
      </c>
      <c r="S466" s="28"/>
      <c r="T466" s="241"/>
      <c r="U466" s="27">
        <v>0</v>
      </c>
      <c r="V466" s="28"/>
      <c r="W466" s="241"/>
      <c r="X466" s="27">
        <v>0</v>
      </c>
      <c r="Y466" s="28"/>
      <c r="Z466" s="241"/>
      <c r="AA466" s="27">
        <v>0</v>
      </c>
      <c r="AB466" s="28"/>
      <c r="AC466" s="241"/>
      <c r="AD466" s="27">
        <v>0</v>
      </c>
      <c r="AE466" s="28"/>
      <c r="AF466" s="241"/>
      <c r="AG466" s="27">
        <v>0</v>
      </c>
      <c r="AH466" s="28"/>
      <c r="AI466" s="241"/>
      <c r="AJ466" s="27">
        <v>0</v>
      </c>
      <c r="AK466" s="28"/>
      <c r="AL466" s="241"/>
      <c r="AM466" s="27">
        <v>0</v>
      </c>
      <c r="AN466" s="28"/>
      <c r="AO466" s="241"/>
      <c r="AP466" s="27">
        <v>0</v>
      </c>
      <c r="AQ466" s="28"/>
      <c r="AR466" s="241"/>
      <c r="AS466" s="27"/>
      <c r="AT466" s="28"/>
      <c r="AU466" s="241"/>
      <c r="AV466" s="27"/>
      <c r="AW466" s="28"/>
      <c r="AX466" s="241"/>
      <c r="AY466" s="27"/>
      <c r="AZ466" s="28"/>
      <c r="BA466" s="241"/>
      <c r="BB466" s="27"/>
      <c r="BC466" s="28"/>
      <c r="BD466" s="241"/>
      <c r="BE466" s="27"/>
      <c r="BF466" s="28"/>
      <c r="BG466" s="241"/>
      <c r="BH466" s="27"/>
      <c r="BI466" s="28"/>
    </row>
    <row r="467" spans="1:61" s="29" customFormat="1" hidden="1" outlineLevel="2" x14ac:dyDescent="0.3">
      <c r="A467" s="204" t="s">
        <v>195</v>
      </c>
      <c r="B467" s="2"/>
      <c r="C467" s="60"/>
      <c r="D467" s="61"/>
      <c r="E467" s="206"/>
      <c r="F467" s="41"/>
      <c r="G467" s="56"/>
      <c r="H467" s="241"/>
      <c r="I467" s="27">
        <v>0</v>
      </c>
      <c r="J467" s="28"/>
      <c r="K467" s="241"/>
      <c r="L467" s="27">
        <v>0</v>
      </c>
      <c r="M467" s="28"/>
      <c r="N467" s="241"/>
      <c r="O467" s="27">
        <v>0</v>
      </c>
      <c r="P467" s="28"/>
      <c r="Q467" s="241"/>
      <c r="R467" s="27">
        <v>0</v>
      </c>
      <c r="S467" s="28"/>
      <c r="T467" s="241"/>
      <c r="U467" s="27">
        <v>0</v>
      </c>
      <c r="V467" s="28"/>
      <c r="W467" s="241"/>
      <c r="X467" s="27">
        <v>0</v>
      </c>
      <c r="Y467" s="28"/>
      <c r="Z467" s="241"/>
      <c r="AA467" s="27">
        <v>0</v>
      </c>
      <c r="AB467" s="28"/>
      <c r="AC467" s="241"/>
      <c r="AD467" s="27">
        <v>0</v>
      </c>
      <c r="AE467" s="28"/>
      <c r="AF467" s="241"/>
      <c r="AG467" s="27">
        <v>0</v>
      </c>
      <c r="AH467" s="28"/>
      <c r="AI467" s="241"/>
      <c r="AJ467" s="27">
        <v>0</v>
      </c>
      <c r="AK467" s="28"/>
      <c r="AL467" s="241"/>
      <c r="AM467" s="27">
        <v>0</v>
      </c>
      <c r="AN467" s="28"/>
      <c r="AO467" s="241"/>
      <c r="AP467" s="27">
        <v>0</v>
      </c>
      <c r="AQ467" s="28"/>
      <c r="AR467" s="241"/>
      <c r="AS467" s="27"/>
      <c r="AT467" s="28"/>
      <c r="AU467" s="241"/>
      <c r="AV467" s="27"/>
      <c r="AW467" s="28"/>
      <c r="AX467" s="241"/>
      <c r="AY467" s="27"/>
      <c r="AZ467" s="28"/>
      <c r="BA467" s="241"/>
      <c r="BB467" s="27"/>
      <c r="BC467" s="28"/>
      <c r="BD467" s="241"/>
      <c r="BE467" s="27"/>
      <c r="BF467" s="28"/>
      <c r="BG467" s="241"/>
      <c r="BH467" s="27"/>
      <c r="BI467" s="28"/>
    </row>
    <row r="468" spans="1:61" s="29" customFormat="1" hidden="1" outlineLevel="2" x14ac:dyDescent="0.3">
      <c r="A468" s="204" t="s">
        <v>196</v>
      </c>
      <c r="B468" s="2"/>
      <c r="C468" s="60"/>
      <c r="D468" s="61"/>
      <c r="E468" s="206"/>
      <c r="F468" s="41"/>
      <c r="G468" s="56"/>
      <c r="H468" s="241"/>
      <c r="I468" s="27">
        <v>0</v>
      </c>
      <c r="J468" s="28"/>
      <c r="K468" s="241"/>
      <c r="L468" s="27">
        <v>0</v>
      </c>
      <c r="M468" s="28"/>
      <c r="N468" s="241"/>
      <c r="O468" s="27">
        <v>0</v>
      </c>
      <c r="P468" s="28"/>
      <c r="Q468" s="241"/>
      <c r="R468" s="27">
        <v>0</v>
      </c>
      <c r="S468" s="28"/>
      <c r="T468" s="241"/>
      <c r="U468" s="27">
        <v>0</v>
      </c>
      <c r="V468" s="28"/>
      <c r="W468" s="241"/>
      <c r="X468" s="27">
        <v>0</v>
      </c>
      <c r="Y468" s="28"/>
      <c r="Z468" s="241"/>
      <c r="AA468" s="27">
        <v>0</v>
      </c>
      <c r="AB468" s="28"/>
      <c r="AC468" s="241"/>
      <c r="AD468" s="27">
        <v>0</v>
      </c>
      <c r="AE468" s="28"/>
      <c r="AF468" s="241"/>
      <c r="AG468" s="27">
        <v>0</v>
      </c>
      <c r="AH468" s="28"/>
      <c r="AI468" s="241"/>
      <c r="AJ468" s="27">
        <v>0</v>
      </c>
      <c r="AK468" s="28"/>
      <c r="AL468" s="241"/>
      <c r="AM468" s="27">
        <v>0</v>
      </c>
      <c r="AN468" s="28"/>
      <c r="AO468" s="241"/>
      <c r="AP468" s="27">
        <v>0</v>
      </c>
      <c r="AQ468" s="28"/>
      <c r="AR468" s="241"/>
      <c r="AS468" s="27"/>
      <c r="AT468" s="28"/>
      <c r="AU468" s="241"/>
      <c r="AV468" s="27"/>
      <c r="AW468" s="28"/>
      <c r="AX468" s="241"/>
      <c r="AY468" s="27"/>
      <c r="AZ468" s="28"/>
      <c r="BA468" s="241"/>
      <c r="BB468" s="27"/>
      <c r="BC468" s="28"/>
      <c r="BD468" s="241"/>
      <c r="BE468" s="27"/>
      <c r="BF468" s="28"/>
      <c r="BG468" s="241"/>
      <c r="BH468" s="27"/>
      <c r="BI468" s="28"/>
    </row>
    <row r="469" spans="1:61" s="29" customFormat="1" hidden="1" outlineLevel="2" x14ac:dyDescent="0.3">
      <c r="A469" s="204" t="s">
        <v>197</v>
      </c>
      <c r="B469" s="2"/>
      <c r="C469" s="60"/>
      <c r="D469" s="61"/>
      <c r="E469" s="206"/>
      <c r="F469" s="41"/>
      <c r="G469" s="56"/>
      <c r="H469" s="241"/>
      <c r="I469" s="27">
        <v>0</v>
      </c>
      <c r="J469" s="28"/>
      <c r="K469" s="241"/>
      <c r="L469" s="27">
        <v>0</v>
      </c>
      <c r="M469" s="28"/>
      <c r="N469" s="241"/>
      <c r="O469" s="27">
        <v>0</v>
      </c>
      <c r="P469" s="28"/>
      <c r="Q469" s="241"/>
      <c r="R469" s="27">
        <v>0</v>
      </c>
      <c r="S469" s="28"/>
      <c r="T469" s="241"/>
      <c r="U469" s="27">
        <v>0</v>
      </c>
      <c r="V469" s="28"/>
      <c r="W469" s="241"/>
      <c r="X469" s="27">
        <v>0</v>
      </c>
      <c r="Y469" s="28"/>
      <c r="Z469" s="241"/>
      <c r="AA469" s="27">
        <v>0</v>
      </c>
      <c r="AB469" s="28"/>
      <c r="AC469" s="241"/>
      <c r="AD469" s="27">
        <v>0</v>
      </c>
      <c r="AE469" s="28"/>
      <c r="AF469" s="241"/>
      <c r="AG469" s="27">
        <v>0</v>
      </c>
      <c r="AH469" s="28"/>
      <c r="AI469" s="241"/>
      <c r="AJ469" s="27">
        <v>0</v>
      </c>
      <c r="AK469" s="28"/>
      <c r="AL469" s="241"/>
      <c r="AM469" s="27">
        <v>0</v>
      </c>
      <c r="AN469" s="28"/>
      <c r="AO469" s="241"/>
      <c r="AP469" s="27">
        <v>0</v>
      </c>
      <c r="AQ469" s="28"/>
      <c r="AR469" s="241"/>
      <c r="AS469" s="27"/>
      <c r="AT469" s="28"/>
      <c r="AU469" s="241"/>
      <c r="AV469" s="27"/>
      <c r="AW469" s="28"/>
      <c r="AX469" s="241"/>
      <c r="AY469" s="27"/>
      <c r="AZ469" s="28"/>
      <c r="BA469" s="241"/>
      <c r="BB469" s="27"/>
      <c r="BC469" s="28"/>
      <c r="BD469" s="241"/>
      <c r="BE469" s="27"/>
      <c r="BF469" s="28"/>
      <c r="BG469" s="241"/>
      <c r="BH469" s="27"/>
      <c r="BI469" s="28"/>
    </row>
    <row r="470" spans="1:61" s="29" customFormat="1" hidden="1" outlineLevel="2" x14ac:dyDescent="0.3">
      <c r="A470" s="204" t="s">
        <v>198</v>
      </c>
      <c r="B470" s="2"/>
      <c r="C470" s="60"/>
      <c r="D470" s="61"/>
      <c r="E470" s="206"/>
      <c r="F470" s="41"/>
      <c r="G470" s="56"/>
      <c r="H470" s="241"/>
      <c r="I470" s="27">
        <v>0</v>
      </c>
      <c r="J470" s="28"/>
      <c r="K470" s="241"/>
      <c r="L470" s="27">
        <v>0</v>
      </c>
      <c r="M470" s="28"/>
      <c r="N470" s="241"/>
      <c r="O470" s="27">
        <v>0</v>
      </c>
      <c r="P470" s="28"/>
      <c r="Q470" s="241"/>
      <c r="R470" s="27">
        <v>0</v>
      </c>
      <c r="S470" s="28"/>
      <c r="T470" s="241"/>
      <c r="U470" s="27">
        <v>0</v>
      </c>
      <c r="V470" s="28"/>
      <c r="W470" s="241"/>
      <c r="X470" s="27">
        <v>0</v>
      </c>
      <c r="Y470" s="28"/>
      <c r="Z470" s="241"/>
      <c r="AA470" s="27">
        <v>0</v>
      </c>
      <c r="AB470" s="28"/>
      <c r="AC470" s="241"/>
      <c r="AD470" s="27">
        <v>0</v>
      </c>
      <c r="AE470" s="28"/>
      <c r="AF470" s="241"/>
      <c r="AG470" s="27">
        <v>0</v>
      </c>
      <c r="AH470" s="28"/>
      <c r="AI470" s="241"/>
      <c r="AJ470" s="27">
        <v>0</v>
      </c>
      <c r="AK470" s="28"/>
      <c r="AL470" s="241"/>
      <c r="AM470" s="27">
        <v>0</v>
      </c>
      <c r="AN470" s="28"/>
      <c r="AO470" s="241"/>
      <c r="AP470" s="27">
        <v>0</v>
      </c>
      <c r="AQ470" s="28"/>
      <c r="AR470" s="241"/>
      <c r="AS470" s="27"/>
      <c r="AT470" s="28"/>
      <c r="AU470" s="241"/>
      <c r="AV470" s="27"/>
      <c r="AW470" s="28"/>
      <c r="AX470" s="241"/>
      <c r="AY470" s="27"/>
      <c r="AZ470" s="28"/>
      <c r="BA470" s="241"/>
      <c r="BB470" s="27"/>
      <c r="BC470" s="28"/>
      <c r="BD470" s="241"/>
      <c r="BE470" s="27"/>
      <c r="BF470" s="28"/>
      <c r="BG470" s="241"/>
      <c r="BH470" s="27"/>
      <c r="BI470" s="28"/>
    </row>
    <row r="471" spans="1:61" s="29" customFormat="1" hidden="1" outlineLevel="2" x14ac:dyDescent="0.3">
      <c r="A471" s="204" t="s">
        <v>199</v>
      </c>
      <c r="B471" s="2"/>
      <c r="C471" s="60"/>
      <c r="D471" s="61"/>
      <c r="E471" s="206"/>
      <c r="F471" s="41"/>
      <c r="G471" s="56"/>
      <c r="H471" s="241"/>
      <c r="I471" s="27">
        <v>0</v>
      </c>
      <c r="J471" s="28"/>
      <c r="K471" s="241"/>
      <c r="L471" s="27">
        <v>0</v>
      </c>
      <c r="M471" s="28"/>
      <c r="N471" s="241"/>
      <c r="O471" s="27">
        <v>0</v>
      </c>
      <c r="P471" s="28"/>
      <c r="Q471" s="241"/>
      <c r="R471" s="27">
        <v>0</v>
      </c>
      <c r="S471" s="28"/>
      <c r="T471" s="241"/>
      <c r="U471" s="27">
        <v>0</v>
      </c>
      <c r="V471" s="28"/>
      <c r="W471" s="241"/>
      <c r="X471" s="27">
        <v>0</v>
      </c>
      <c r="Y471" s="28"/>
      <c r="Z471" s="241"/>
      <c r="AA471" s="27">
        <v>0</v>
      </c>
      <c r="AB471" s="28"/>
      <c r="AC471" s="241"/>
      <c r="AD471" s="27">
        <v>0</v>
      </c>
      <c r="AE471" s="28"/>
      <c r="AF471" s="241"/>
      <c r="AG471" s="27">
        <v>0</v>
      </c>
      <c r="AH471" s="28"/>
      <c r="AI471" s="241"/>
      <c r="AJ471" s="27">
        <v>0</v>
      </c>
      <c r="AK471" s="28"/>
      <c r="AL471" s="241"/>
      <c r="AM471" s="27">
        <v>0</v>
      </c>
      <c r="AN471" s="28"/>
      <c r="AO471" s="241"/>
      <c r="AP471" s="27">
        <v>0</v>
      </c>
      <c r="AQ471" s="28"/>
      <c r="AR471" s="241"/>
      <c r="AS471" s="27"/>
      <c r="AT471" s="28"/>
      <c r="AU471" s="241"/>
      <c r="AV471" s="27"/>
      <c r="AW471" s="28"/>
      <c r="AX471" s="241"/>
      <c r="AY471" s="27"/>
      <c r="AZ471" s="28"/>
      <c r="BA471" s="241"/>
      <c r="BB471" s="27"/>
      <c r="BC471" s="28"/>
      <c r="BD471" s="241"/>
      <c r="BE471" s="27"/>
      <c r="BF471" s="28"/>
      <c r="BG471" s="241"/>
      <c r="BH471" s="27"/>
      <c r="BI471" s="28"/>
    </row>
    <row r="472" spans="1:61" s="29" customFormat="1" hidden="1" outlineLevel="2" x14ac:dyDescent="0.3">
      <c r="A472" s="204" t="s">
        <v>200</v>
      </c>
      <c r="B472" s="2"/>
      <c r="C472" s="60"/>
      <c r="D472" s="61"/>
      <c r="E472" s="206"/>
      <c r="F472" s="41"/>
      <c r="G472" s="56"/>
      <c r="H472" s="241"/>
      <c r="I472" s="27">
        <v>0</v>
      </c>
      <c r="J472" s="28"/>
      <c r="K472" s="241"/>
      <c r="L472" s="27">
        <v>0</v>
      </c>
      <c r="M472" s="28"/>
      <c r="N472" s="241"/>
      <c r="O472" s="27">
        <v>0</v>
      </c>
      <c r="P472" s="28"/>
      <c r="Q472" s="241"/>
      <c r="R472" s="27">
        <v>0</v>
      </c>
      <c r="S472" s="28"/>
      <c r="T472" s="241"/>
      <c r="U472" s="27">
        <v>0</v>
      </c>
      <c r="V472" s="28"/>
      <c r="W472" s="241"/>
      <c r="X472" s="27">
        <v>0</v>
      </c>
      <c r="Y472" s="28"/>
      <c r="Z472" s="241"/>
      <c r="AA472" s="27">
        <v>0</v>
      </c>
      <c r="AB472" s="28"/>
      <c r="AC472" s="241"/>
      <c r="AD472" s="27">
        <v>0</v>
      </c>
      <c r="AE472" s="28"/>
      <c r="AF472" s="241"/>
      <c r="AG472" s="27">
        <v>0</v>
      </c>
      <c r="AH472" s="28"/>
      <c r="AI472" s="241"/>
      <c r="AJ472" s="27">
        <v>0</v>
      </c>
      <c r="AK472" s="28"/>
      <c r="AL472" s="241"/>
      <c r="AM472" s="27">
        <v>0</v>
      </c>
      <c r="AN472" s="28"/>
      <c r="AO472" s="241"/>
      <c r="AP472" s="27">
        <v>0</v>
      </c>
      <c r="AQ472" s="28"/>
      <c r="AR472" s="241"/>
      <c r="AS472" s="27"/>
      <c r="AT472" s="28"/>
      <c r="AU472" s="241"/>
      <c r="AV472" s="27"/>
      <c r="AW472" s="28"/>
      <c r="AX472" s="241"/>
      <c r="AY472" s="27"/>
      <c r="AZ472" s="28"/>
      <c r="BA472" s="241"/>
      <c r="BB472" s="27"/>
      <c r="BC472" s="28"/>
      <c r="BD472" s="241"/>
      <c r="BE472" s="27"/>
      <c r="BF472" s="28"/>
      <c r="BG472" s="241"/>
      <c r="BH472" s="27"/>
      <c r="BI472" s="28"/>
    </row>
    <row r="473" spans="1:61" s="29" customFormat="1" hidden="1" outlineLevel="2" x14ac:dyDescent="0.3">
      <c r="A473" s="163"/>
      <c r="B473" s="23"/>
      <c r="C473" s="3"/>
      <c r="D473" s="4"/>
      <c r="E473" s="4"/>
      <c r="F473" s="23"/>
      <c r="G473" s="56"/>
      <c r="H473" s="273"/>
      <c r="I473" s="23"/>
      <c r="J473" s="164"/>
      <c r="K473" s="273"/>
      <c r="L473" s="23"/>
      <c r="M473" s="164"/>
      <c r="N473" s="273"/>
      <c r="O473" s="23"/>
      <c r="P473" s="164"/>
      <c r="Q473" s="273"/>
      <c r="R473" s="23"/>
      <c r="S473" s="164"/>
      <c r="T473" s="273"/>
      <c r="U473" s="23"/>
      <c r="V473" s="164"/>
      <c r="W473" s="273"/>
      <c r="X473" s="23"/>
      <c r="Y473" s="164"/>
      <c r="Z473" s="273"/>
      <c r="AA473" s="23"/>
      <c r="AB473" s="164"/>
      <c r="AC473" s="273"/>
      <c r="AD473" s="23"/>
      <c r="AE473" s="164"/>
      <c r="AF473" s="273"/>
      <c r="AG473" s="23"/>
      <c r="AH473" s="164"/>
      <c r="AI473" s="273"/>
      <c r="AJ473" s="23"/>
      <c r="AK473" s="164"/>
      <c r="AL473" s="273"/>
      <c r="AM473" s="23"/>
      <c r="AN473" s="164"/>
      <c r="AO473" s="273"/>
      <c r="AP473" s="23"/>
      <c r="AQ473" s="164"/>
      <c r="AR473" s="273"/>
      <c r="AS473" s="23"/>
      <c r="AT473" s="164"/>
      <c r="AU473" s="273"/>
      <c r="AV473" s="23"/>
      <c r="AW473" s="164"/>
      <c r="AX473" s="273"/>
      <c r="AY473" s="23"/>
      <c r="AZ473" s="164"/>
      <c r="BA473" s="273"/>
      <c r="BB473" s="23"/>
      <c r="BC473" s="164"/>
      <c r="BD473" s="273"/>
      <c r="BE473" s="23"/>
      <c r="BF473" s="164"/>
      <c r="BG473" s="273"/>
      <c r="BH473" s="23"/>
      <c r="BI473" s="164"/>
    </row>
    <row r="474" spans="1:61" s="29" customFormat="1" hidden="1" outlineLevel="2" x14ac:dyDescent="0.3">
      <c r="A474" s="200" t="s">
        <v>425</v>
      </c>
      <c r="B474" s="59"/>
      <c r="C474" s="201"/>
      <c r="D474" s="41"/>
      <c r="E474" s="41"/>
      <c r="F474" s="63"/>
      <c r="G474" s="56"/>
      <c r="H474" s="211"/>
      <c r="I474" s="202"/>
      <c r="J474" s="203"/>
      <c r="K474" s="211"/>
      <c r="L474" s="202"/>
      <c r="M474" s="203"/>
      <c r="N474" s="211"/>
      <c r="O474" s="202"/>
      <c r="P474" s="203"/>
      <c r="Q474" s="211"/>
      <c r="R474" s="202"/>
      <c r="S474" s="203"/>
      <c r="T474" s="211"/>
      <c r="U474" s="202"/>
      <c r="V474" s="203"/>
      <c r="W474" s="211"/>
      <c r="X474" s="202"/>
      <c r="Y474" s="203"/>
      <c r="Z474" s="211"/>
      <c r="AA474" s="202"/>
      <c r="AB474" s="203"/>
      <c r="AC474" s="211"/>
      <c r="AD474" s="202"/>
      <c r="AE474" s="203"/>
      <c r="AF474" s="211"/>
      <c r="AG474" s="202"/>
      <c r="AH474" s="203"/>
      <c r="AI474" s="211"/>
      <c r="AJ474" s="202"/>
      <c r="AK474" s="203"/>
      <c r="AL474" s="211"/>
      <c r="AM474" s="202"/>
      <c r="AN474" s="203"/>
      <c r="AO474" s="211"/>
      <c r="AP474" s="202"/>
      <c r="AQ474" s="203"/>
      <c r="AR474" s="211"/>
      <c r="AS474" s="202"/>
      <c r="AT474" s="203"/>
      <c r="AU474" s="211"/>
      <c r="AV474" s="202"/>
      <c r="AW474" s="203"/>
      <c r="AX474" s="211"/>
      <c r="AY474" s="202"/>
      <c r="AZ474" s="203"/>
      <c r="BA474" s="211"/>
      <c r="BB474" s="202"/>
      <c r="BC474" s="203"/>
      <c r="BD474" s="211"/>
      <c r="BE474" s="202"/>
      <c r="BF474" s="203"/>
      <c r="BG474" s="211"/>
      <c r="BH474" s="202"/>
      <c r="BI474" s="203"/>
    </row>
    <row r="475" spans="1:61" s="29" customFormat="1" hidden="1" outlineLevel="2" x14ac:dyDescent="0.3">
      <c r="A475" s="200" t="s">
        <v>129</v>
      </c>
      <c r="B475" s="59"/>
      <c r="C475" s="201"/>
      <c r="D475" s="41"/>
      <c r="E475" s="41"/>
      <c r="F475" s="63"/>
      <c r="G475" s="56"/>
      <c r="H475" s="211"/>
      <c r="I475" s="202"/>
      <c r="J475" s="203"/>
      <c r="K475" s="211"/>
      <c r="L475" s="202"/>
      <c r="M475" s="203"/>
      <c r="N475" s="211"/>
      <c r="O475" s="202"/>
      <c r="P475" s="203"/>
      <c r="Q475" s="211"/>
      <c r="R475" s="202"/>
      <c r="S475" s="203"/>
      <c r="T475" s="211"/>
      <c r="U475" s="202"/>
      <c r="V475" s="203"/>
      <c r="W475" s="211"/>
      <c r="X475" s="202"/>
      <c r="Y475" s="203"/>
      <c r="Z475" s="211"/>
      <c r="AA475" s="202"/>
      <c r="AB475" s="203"/>
      <c r="AC475" s="211"/>
      <c r="AD475" s="202"/>
      <c r="AE475" s="203"/>
      <c r="AF475" s="211"/>
      <c r="AG475" s="202"/>
      <c r="AH475" s="203"/>
      <c r="AI475" s="211"/>
      <c r="AJ475" s="202"/>
      <c r="AK475" s="203"/>
      <c r="AL475" s="211"/>
      <c r="AM475" s="202"/>
      <c r="AN475" s="203"/>
      <c r="AO475" s="211"/>
      <c r="AP475" s="202"/>
      <c r="AQ475" s="203"/>
      <c r="AR475" s="211"/>
      <c r="AS475" s="202"/>
      <c r="AT475" s="203"/>
      <c r="AU475" s="211"/>
      <c r="AV475" s="202"/>
      <c r="AW475" s="203"/>
      <c r="AX475" s="211"/>
      <c r="AY475" s="202"/>
      <c r="AZ475" s="203"/>
      <c r="BA475" s="211"/>
      <c r="BB475" s="202"/>
      <c r="BC475" s="203"/>
      <c r="BD475" s="211"/>
      <c r="BE475" s="202"/>
      <c r="BF475" s="203"/>
      <c r="BG475" s="211"/>
      <c r="BH475" s="202"/>
      <c r="BI475" s="203"/>
    </row>
    <row r="476" spans="1:61" s="29" customFormat="1" hidden="1" outlineLevel="2" x14ac:dyDescent="0.3">
      <c r="A476" s="204" t="s">
        <v>130</v>
      </c>
      <c r="B476" s="2"/>
      <c r="C476" s="201"/>
      <c r="D476" s="41"/>
      <c r="E476" s="41"/>
      <c r="F476" s="41"/>
      <c r="G476" s="56"/>
      <c r="H476" s="241"/>
      <c r="I476" s="27">
        <v>-10000</v>
      </c>
      <c r="J476" s="28"/>
      <c r="K476" s="241"/>
      <c r="L476" s="27">
        <v>-10000</v>
      </c>
      <c r="M476" s="28"/>
      <c r="N476" s="241"/>
      <c r="O476" s="27">
        <v>-10000</v>
      </c>
      <c r="P476" s="28"/>
      <c r="Q476" s="241"/>
      <c r="R476" s="27">
        <v>-10000</v>
      </c>
      <c r="S476" s="28"/>
      <c r="T476" s="241"/>
      <c r="U476" s="27">
        <v>-10000</v>
      </c>
      <c r="V476" s="28"/>
      <c r="W476" s="241"/>
      <c r="X476" s="27">
        <v>-10000</v>
      </c>
      <c r="Y476" s="28"/>
      <c r="Z476" s="241"/>
      <c r="AA476" s="27">
        <v>-10000</v>
      </c>
      <c r="AB476" s="28"/>
      <c r="AC476" s="241"/>
      <c r="AD476" s="27">
        <v>-10000</v>
      </c>
      <c r="AE476" s="28"/>
      <c r="AF476" s="241"/>
      <c r="AG476" s="27">
        <v>-10000</v>
      </c>
      <c r="AH476" s="28"/>
      <c r="AI476" s="241"/>
      <c r="AJ476" s="27">
        <v>-10000</v>
      </c>
      <c r="AK476" s="28"/>
      <c r="AL476" s="241"/>
      <c r="AM476" s="27">
        <v>-10000</v>
      </c>
      <c r="AN476" s="28"/>
      <c r="AO476" s="241"/>
      <c r="AP476" s="27">
        <v>-10000</v>
      </c>
      <c r="AQ476" s="28"/>
      <c r="AR476" s="241"/>
      <c r="AS476" s="27"/>
      <c r="AT476" s="28"/>
      <c r="AU476" s="241"/>
      <c r="AV476" s="27"/>
      <c r="AW476" s="28"/>
      <c r="AX476" s="241"/>
      <c r="AY476" s="27"/>
      <c r="AZ476" s="28"/>
      <c r="BA476" s="241"/>
      <c r="BB476" s="27"/>
      <c r="BC476" s="28"/>
      <c r="BD476" s="241"/>
      <c r="BE476" s="27"/>
      <c r="BF476" s="28"/>
      <c r="BG476" s="241"/>
      <c r="BH476" s="27"/>
      <c r="BI476" s="28"/>
    </row>
    <row r="477" spans="1:61" s="29" customFormat="1" hidden="1" outlineLevel="2" x14ac:dyDescent="0.3">
      <c r="A477" s="204" t="s">
        <v>131</v>
      </c>
      <c r="B477" s="2"/>
      <c r="C477" s="201"/>
      <c r="D477" s="41"/>
      <c r="E477" s="41"/>
      <c r="F477" s="41"/>
      <c r="G477" s="56"/>
      <c r="H477" s="241"/>
      <c r="I477" s="27">
        <v>-6600</v>
      </c>
      <c r="J477" s="28"/>
      <c r="K477" s="241"/>
      <c r="L477" s="27">
        <v>-6600</v>
      </c>
      <c r="M477" s="28"/>
      <c r="N477" s="241"/>
      <c r="O477" s="27">
        <v>-6600</v>
      </c>
      <c r="P477" s="28"/>
      <c r="Q477" s="241"/>
      <c r="R477" s="27">
        <v>-6600</v>
      </c>
      <c r="S477" s="28"/>
      <c r="T477" s="241"/>
      <c r="U477" s="27">
        <v>-6600</v>
      </c>
      <c r="V477" s="28"/>
      <c r="W477" s="241"/>
      <c r="X477" s="27">
        <v>-6600</v>
      </c>
      <c r="Y477" s="28"/>
      <c r="Z477" s="241"/>
      <c r="AA477" s="27">
        <v>-6600</v>
      </c>
      <c r="AB477" s="28"/>
      <c r="AC477" s="241"/>
      <c r="AD477" s="27">
        <v>-6600</v>
      </c>
      <c r="AE477" s="28"/>
      <c r="AF477" s="241"/>
      <c r="AG477" s="27">
        <v>-6600</v>
      </c>
      <c r="AH477" s="28"/>
      <c r="AI477" s="241"/>
      <c r="AJ477" s="27">
        <v>-6600</v>
      </c>
      <c r="AK477" s="28"/>
      <c r="AL477" s="241"/>
      <c r="AM477" s="27">
        <v>-6600</v>
      </c>
      <c r="AN477" s="28"/>
      <c r="AO477" s="241"/>
      <c r="AP477" s="27">
        <v>-6600</v>
      </c>
      <c r="AQ477" s="28"/>
      <c r="AR477" s="241"/>
      <c r="AS477" s="27"/>
      <c r="AT477" s="28"/>
      <c r="AU477" s="241"/>
      <c r="AV477" s="27"/>
      <c r="AW477" s="28"/>
      <c r="AX477" s="241"/>
      <c r="AY477" s="27"/>
      <c r="AZ477" s="28"/>
      <c r="BA477" s="241"/>
      <c r="BB477" s="27"/>
      <c r="BC477" s="28"/>
      <c r="BD477" s="241"/>
      <c r="BE477" s="27"/>
      <c r="BF477" s="28"/>
      <c r="BG477" s="241"/>
      <c r="BH477" s="27"/>
      <c r="BI477" s="28"/>
    </row>
    <row r="478" spans="1:61" s="29" customFormat="1" hidden="1" outlineLevel="2" x14ac:dyDescent="0.3">
      <c r="A478" s="204" t="s">
        <v>132</v>
      </c>
      <c r="B478" s="2"/>
      <c r="C478" s="201"/>
      <c r="D478" s="41"/>
      <c r="E478" s="41"/>
      <c r="F478" s="41"/>
      <c r="G478" s="56"/>
      <c r="H478" s="241"/>
      <c r="I478" s="27">
        <v>0</v>
      </c>
      <c r="J478" s="28"/>
      <c r="K478" s="241"/>
      <c r="L478" s="27">
        <v>0</v>
      </c>
      <c r="M478" s="28"/>
      <c r="N478" s="241"/>
      <c r="O478" s="27">
        <v>0</v>
      </c>
      <c r="P478" s="28"/>
      <c r="Q478" s="241"/>
      <c r="R478" s="27">
        <v>0</v>
      </c>
      <c r="S478" s="28"/>
      <c r="T478" s="241"/>
      <c r="U478" s="27">
        <v>0</v>
      </c>
      <c r="V478" s="28"/>
      <c r="W478" s="241"/>
      <c r="X478" s="27">
        <v>0</v>
      </c>
      <c r="Y478" s="28"/>
      <c r="Z478" s="241"/>
      <c r="AA478" s="27">
        <v>0</v>
      </c>
      <c r="AB478" s="28"/>
      <c r="AC478" s="241"/>
      <c r="AD478" s="27">
        <v>0</v>
      </c>
      <c r="AE478" s="28"/>
      <c r="AF478" s="241"/>
      <c r="AG478" s="27">
        <v>0</v>
      </c>
      <c r="AH478" s="28"/>
      <c r="AI478" s="241"/>
      <c r="AJ478" s="27">
        <v>0</v>
      </c>
      <c r="AK478" s="28"/>
      <c r="AL478" s="241"/>
      <c r="AM478" s="27">
        <v>0</v>
      </c>
      <c r="AN478" s="28"/>
      <c r="AO478" s="241"/>
      <c r="AP478" s="27">
        <v>0</v>
      </c>
      <c r="AQ478" s="28"/>
      <c r="AR478" s="241"/>
      <c r="AS478" s="27"/>
      <c r="AT478" s="28"/>
      <c r="AU478" s="241"/>
      <c r="AV478" s="27"/>
      <c r="AW478" s="28"/>
      <c r="AX478" s="241"/>
      <c r="AY478" s="27"/>
      <c r="AZ478" s="28"/>
      <c r="BA478" s="241"/>
      <c r="BB478" s="27"/>
      <c r="BC478" s="28"/>
      <c r="BD478" s="241"/>
      <c r="BE478" s="27"/>
      <c r="BF478" s="28"/>
      <c r="BG478" s="241"/>
      <c r="BH478" s="27"/>
      <c r="BI478" s="28"/>
    </row>
    <row r="479" spans="1:61" s="29" customFormat="1" hidden="1" outlineLevel="2" x14ac:dyDescent="0.3">
      <c r="A479" s="204" t="s">
        <v>133</v>
      </c>
      <c r="B479" s="2"/>
      <c r="C479" s="201"/>
      <c r="D479" s="41"/>
      <c r="E479" s="41"/>
      <c r="F479" s="41"/>
      <c r="G479" s="56"/>
      <c r="H479" s="241"/>
      <c r="I479" s="27">
        <v>-4200</v>
      </c>
      <c r="J479" s="28"/>
      <c r="K479" s="241"/>
      <c r="L479" s="27">
        <v>-4200</v>
      </c>
      <c r="M479" s="28"/>
      <c r="N479" s="241"/>
      <c r="O479" s="27">
        <v>-4200</v>
      </c>
      <c r="P479" s="28"/>
      <c r="Q479" s="241"/>
      <c r="R479" s="27">
        <v>-4200</v>
      </c>
      <c r="S479" s="28"/>
      <c r="T479" s="241"/>
      <c r="U479" s="27">
        <v>-4200</v>
      </c>
      <c r="V479" s="28"/>
      <c r="W479" s="241"/>
      <c r="X479" s="27">
        <v>-4200</v>
      </c>
      <c r="Y479" s="28"/>
      <c r="Z479" s="241"/>
      <c r="AA479" s="27">
        <v>-4200</v>
      </c>
      <c r="AB479" s="28"/>
      <c r="AC479" s="241"/>
      <c r="AD479" s="27">
        <v>-4200</v>
      </c>
      <c r="AE479" s="28"/>
      <c r="AF479" s="241"/>
      <c r="AG479" s="27">
        <v>-4200</v>
      </c>
      <c r="AH479" s="28"/>
      <c r="AI479" s="241"/>
      <c r="AJ479" s="27">
        <v>-4200</v>
      </c>
      <c r="AK479" s="28"/>
      <c r="AL479" s="241"/>
      <c r="AM479" s="27">
        <v>-4200</v>
      </c>
      <c r="AN479" s="28"/>
      <c r="AO479" s="241"/>
      <c r="AP479" s="27">
        <v>-4200</v>
      </c>
      <c r="AQ479" s="28"/>
      <c r="AR479" s="241"/>
      <c r="AS479" s="27"/>
      <c r="AT479" s="28"/>
      <c r="AU479" s="241"/>
      <c r="AV479" s="27"/>
      <c r="AW479" s="28"/>
      <c r="AX479" s="241"/>
      <c r="AY479" s="27"/>
      <c r="AZ479" s="28"/>
      <c r="BA479" s="241"/>
      <c r="BB479" s="27"/>
      <c r="BC479" s="28"/>
      <c r="BD479" s="241"/>
      <c r="BE479" s="27"/>
      <c r="BF479" s="28"/>
      <c r="BG479" s="241"/>
      <c r="BH479" s="27"/>
      <c r="BI479" s="28"/>
    </row>
    <row r="480" spans="1:61" s="29" customFormat="1" hidden="1" outlineLevel="2" x14ac:dyDescent="0.3">
      <c r="A480" s="204" t="s">
        <v>134</v>
      </c>
      <c r="B480" s="2"/>
      <c r="C480" s="201"/>
      <c r="D480" s="41"/>
      <c r="E480" s="41"/>
      <c r="F480" s="41"/>
      <c r="G480" s="56"/>
      <c r="H480" s="241"/>
      <c r="I480" s="27">
        <v>0</v>
      </c>
      <c r="J480" s="28"/>
      <c r="K480" s="241"/>
      <c r="L480" s="27">
        <v>0</v>
      </c>
      <c r="M480" s="28"/>
      <c r="N480" s="241"/>
      <c r="O480" s="27">
        <v>0</v>
      </c>
      <c r="P480" s="28"/>
      <c r="Q480" s="241"/>
      <c r="R480" s="27">
        <v>0</v>
      </c>
      <c r="S480" s="28"/>
      <c r="T480" s="241"/>
      <c r="U480" s="27">
        <v>0</v>
      </c>
      <c r="V480" s="28"/>
      <c r="W480" s="241"/>
      <c r="X480" s="27">
        <v>0</v>
      </c>
      <c r="Y480" s="28"/>
      <c r="Z480" s="241"/>
      <c r="AA480" s="27">
        <v>0</v>
      </c>
      <c r="AB480" s="28"/>
      <c r="AC480" s="241"/>
      <c r="AD480" s="27">
        <v>0</v>
      </c>
      <c r="AE480" s="28"/>
      <c r="AF480" s="241"/>
      <c r="AG480" s="27">
        <v>0</v>
      </c>
      <c r="AH480" s="28"/>
      <c r="AI480" s="241"/>
      <c r="AJ480" s="27">
        <v>0</v>
      </c>
      <c r="AK480" s="28"/>
      <c r="AL480" s="241"/>
      <c r="AM480" s="27">
        <v>0</v>
      </c>
      <c r="AN480" s="28"/>
      <c r="AO480" s="241"/>
      <c r="AP480" s="27">
        <v>0</v>
      </c>
      <c r="AQ480" s="28"/>
      <c r="AR480" s="241"/>
      <c r="AS480" s="27"/>
      <c r="AT480" s="28"/>
      <c r="AU480" s="241"/>
      <c r="AV480" s="27"/>
      <c r="AW480" s="28"/>
      <c r="AX480" s="241"/>
      <c r="AY480" s="27"/>
      <c r="AZ480" s="28"/>
      <c r="BA480" s="241"/>
      <c r="BB480" s="27"/>
      <c r="BC480" s="28"/>
      <c r="BD480" s="241"/>
      <c r="BE480" s="27"/>
      <c r="BF480" s="28"/>
      <c r="BG480" s="241"/>
      <c r="BH480" s="27"/>
      <c r="BI480" s="28"/>
    </row>
    <row r="481" spans="1:61" s="29" customFormat="1" hidden="1" outlineLevel="2" x14ac:dyDescent="0.3">
      <c r="A481" s="204" t="s">
        <v>135</v>
      </c>
      <c r="B481" s="2"/>
      <c r="C481" s="201"/>
      <c r="D481" s="41"/>
      <c r="E481" s="41"/>
      <c r="F481" s="41"/>
      <c r="G481" s="56"/>
      <c r="H481" s="241"/>
      <c r="I481" s="27">
        <v>-6000</v>
      </c>
      <c r="J481" s="28"/>
      <c r="K481" s="241"/>
      <c r="L481" s="27">
        <v>-6000</v>
      </c>
      <c r="M481" s="28"/>
      <c r="N481" s="241"/>
      <c r="O481" s="27">
        <v>-6000</v>
      </c>
      <c r="P481" s="28"/>
      <c r="Q481" s="241"/>
      <c r="R481" s="27">
        <v>-6000</v>
      </c>
      <c r="S481" s="28"/>
      <c r="T481" s="241"/>
      <c r="U481" s="27">
        <v>-6000</v>
      </c>
      <c r="V481" s="28"/>
      <c r="W481" s="241"/>
      <c r="X481" s="27">
        <v>-6000</v>
      </c>
      <c r="Y481" s="28"/>
      <c r="Z481" s="241"/>
      <c r="AA481" s="27">
        <v>-6000</v>
      </c>
      <c r="AB481" s="28"/>
      <c r="AC481" s="241"/>
      <c r="AD481" s="27">
        <v>-6000</v>
      </c>
      <c r="AE481" s="28"/>
      <c r="AF481" s="241"/>
      <c r="AG481" s="27">
        <v>-6000</v>
      </c>
      <c r="AH481" s="28"/>
      <c r="AI481" s="241"/>
      <c r="AJ481" s="27">
        <v>-6000</v>
      </c>
      <c r="AK481" s="28"/>
      <c r="AL481" s="241"/>
      <c r="AM481" s="27">
        <v>-6000</v>
      </c>
      <c r="AN481" s="28"/>
      <c r="AO481" s="241"/>
      <c r="AP481" s="27">
        <v>-6000</v>
      </c>
      <c r="AQ481" s="28"/>
      <c r="AR481" s="241"/>
      <c r="AS481" s="27"/>
      <c r="AT481" s="28"/>
      <c r="AU481" s="241"/>
      <c r="AV481" s="27"/>
      <c r="AW481" s="28"/>
      <c r="AX481" s="241"/>
      <c r="AY481" s="27"/>
      <c r="AZ481" s="28"/>
      <c r="BA481" s="241"/>
      <c r="BB481" s="27"/>
      <c r="BC481" s="28"/>
      <c r="BD481" s="241"/>
      <c r="BE481" s="27"/>
      <c r="BF481" s="28"/>
      <c r="BG481" s="241"/>
      <c r="BH481" s="27"/>
      <c r="BI481" s="28"/>
    </row>
    <row r="482" spans="1:61" s="29" customFormat="1" hidden="1" outlineLevel="2" x14ac:dyDescent="0.3">
      <c r="A482" s="204" t="s">
        <v>136</v>
      </c>
      <c r="B482" s="2"/>
      <c r="C482" s="201"/>
      <c r="D482" s="41"/>
      <c r="E482" s="41"/>
      <c r="F482" s="41"/>
      <c r="G482" s="56"/>
      <c r="H482" s="241"/>
      <c r="I482" s="27">
        <v>-4500</v>
      </c>
      <c r="J482" s="28"/>
      <c r="K482" s="241"/>
      <c r="L482" s="27">
        <v>-4500</v>
      </c>
      <c r="M482" s="28"/>
      <c r="N482" s="241"/>
      <c r="O482" s="27">
        <v>-4500</v>
      </c>
      <c r="P482" s="28"/>
      <c r="Q482" s="241"/>
      <c r="R482" s="27">
        <v>-4500</v>
      </c>
      <c r="S482" s="28"/>
      <c r="T482" s="241"/>
      <c r="U482" s="27">
        <v>-4500</v>
      </c>
      <c r="V482" s="28"/>
      <c r="W482" s="241"/>
      <c r="X482" s="27">
        <v>-4500</v>
      </c>
      <c r="Y482" s="28"/>
      <c r="Z482" s="241"/>
      <c r="AA482" s="27">
        <v>-4500</v>
      </c>
      <c r="AB482" s="28"/>
      <c r="AC482" s="241"/>
      <c r="AD482" s="27">
        <v>-4500</v>
      </c>
      <c r="AE482" s="28"/>
      <c r="AF482" s="241"/>
      <c r="AG482" s="27">
        <v>-4500</v>
      </c>
      <c r="AH482" s="28"/>
      <c r="AI482" s="241"/>
      <c r="AJ482" s="27">
        <v>-4500</v>
      </c>
      <c r="AK482" s="28"/>
      <c r="AL482" s="241"/>
      <c r="AM482" s="27">
        <v>-4500</v>
      </c>
      <c r="AN482" s="28"/>
      <c r="AO482" s="241"/>
      <c r="AP482" s="27">
        <v>-4500</v>
      </c>
      <c r="AQ482" s="28"/>
      <c r="AR482" s="241"/>
      <c r="AS482" s="27"/>
      <c r="AT482" s="28"/>
      <c r="AU482" s="241"/>
      <c r="AV482" s="27"/>
      <c r="AW482" s="28"/>
      <c r="AX482" s="241"/>
      <c r="AY482" s="27"/>
      <c r="AZ482" s="28"/>
      <c r="BA482" s="241"/>
      <c r="BB482" s="27"/>
      <c r="BC482" s="28"/>
      <c r="BD482" s="241"/>
      <c r="BE482" s="27"/>
      <c r="BF482" s="28"/>
      <c r="BG482" s="241"/>
      <c r="BH482" s="27"/>
      <c r="BI482" s="28"/>
    </row>
    <row r="483" spans="1:61" s="29" customFormat="1" hidden="1" outlineLevel="2" x14ac:dyDescent="0.3">
      <c r="A483" s="204" t="s">
        <v>137</v>
      </c>
      <c r="B483" s="2"/>
      <c r="C483" s="201"/>
      <c r="D483" s="41"/>
      <c r="E483" s="41"/>
      <c r="F483" s="41"/>
      <c r="G483" s="56"/>
      <c r="H483" s="241"/>
      <c r="I483" s="27">
        <v>-4000</v>
      </c>
      <c r="J483" s="28"/>
      <c r="K483" s="241"/>
      <c r="L483" s="27">
        <v>-4000</v>
      </c>
      <c r="M483" s="28"/>
      <c r="N483" s="241"/>
      <c r="O483" s="27">
        <v>-4000</v>
      </c>
      <c r="P483" s="28"/>
      <c r="Q483" s="241"/>
      <c r="R483" s="27">
        <v>-4000</v>
      </c>
      <c r="S483" s="28"/>
      <c r="T483" s="241"/>
      <c r="U483" s="27">
        <v>-4000</v>
      </c>
      <c r="V483" s="28"/>
      <c r="W483" s="241"/>
      <c r="X483" s="27">
        <v>-4000</v>
      </c>
      <c r="Y483" s="28"/>
      <c r="Z483" s="241"/>
      <c r="AA483" s="27">
        <v>-4000</v>
      </c>
      <c r="AB483" s="28"/>
      <c r="AC483" s="241"/>
      <c r="AD483" s="27">
        <v>-4000</v>
      </c>
      <c r="AE483" s="28"/>
      <c r="AF483" s="241"/>
      <c r="AG483" s="27">
        <v>-4000</v>
      </c>
      <c r="AH483" s="28"/>
      <c r="AI483" s="241"/>
      <c r="AJ483" s="27">
        <v>-4000</v>
      </c>
      <c r="AK483" s="28"/>
      <c r="AL483" s="241"/>
      <c r="AM483" s="27">
        <v>-4000</v>
      </c>
      <c r="AN483" s="28"/>
      <c r="AO483" s="241"/>
      <c r="AP483" s="27">
        <v>-4000</v>
      </c>
      <c r="AQ483" s="28"/>
      <c r="AR483" s="241"/>
      <c r="AS483" s="27"/>
      <c r="AT483" s="28"/>
      <c r="AU483" s="241"/>
      <c r="AV483" s="27"/>
      <c r="AW483" s="28"/>
      <c r="AX483" s="241"/>
      <c r="AY483" s="27"/>
      <c r="AZ483" s="28"/>
      <c r="BA483" s="241"/>
      <c r="BB483" s="27"/>
      <c r="BC483" s="28"/>
      <c r="BD483" s="241"/>
      <c r="BE483" s="27"/>
      <c r="BF483" s="28"/>
      <c r="BG483" s="241"/>
      <c r="BH483" s="27"/>
      <c r="BI483" s="28"/>
    </row>
    <row r="484" spans="1:61" s="29" customFormat="1" hidden="1" outlineLevel="2" x14ac:dyDescent="0.3">
      <c r="A484" s="204" t="s">
        <v>138</v>
      </c>
      <c r="B484" s="2"/>
      <c r="C484" s="201"/>
      <c r="D484" s="41"/>
      <c r="E484" s="41"/>
      <c r="F484" s="41"/>
      <c r="G484" s="56"/>
      <c r="H484" s="241"/>
      <c r="I484" s="27">
        <v>-4000</v>
      </c>
      <c r="J484" s="28"/>
      <c r="K484" s="241"/>
      <c r="L484" s="27">
        <v>-4000</v>
      </c>
      <c r="M484" s="28"/>
      <c r="N484" s="241"/>
      <c r="O484" s="27">
        <v>-4000</v>
      </c>
      <c r="P484" s="28"/>
      <c r="Q484" s="241"/>
      <c r="R484" s="27">
        <v>-4000</v>
      </c>
      <c r="S484" s="28"/>
      <c r="T484" s="241"/>
      <c r="U484" s="27">
        <v>-4000</v>
      </c>
      <c r="V484" s="28"/>
      <c r="W484" s="241"/>
      <c r="X484" s="27">
        <v>-4000</v>
      </c>
      <c r="Y484" s="28"/>
      <c r="Z484" s="241"/>
      <c r="AA484" s="27">
        <v>-4000</v>
      </c>
      <c r="AB484" s="28"/>
      <c r="AC484" s="241"/>
      <c r="AD484" s="27">
        <v>-4000</v>
      </c>
      <c r="AE484" s="28"/>
      <c r="AF484" s="241"/>
      <c r="AG484" s="27">
        <v>-4000</v>
      </c>
      <c r="AH484" s="28"/>
      <c r="AI484" s="241"/>
      <c r="AJ484" s="27">
        <v>-4000</v>
      </c>
      <c r="AK484" s="28"/>
      <c r="AL484" s="241"/>
      <c r="AM484" s="27">
        <v>-4000</v>
      </c>
      <c r="AN484" s="28"/>
      <c r="AO484" s="241"/>
      <c r="AP484" s="27">
        <v>-4000</v>
      </c>
      <c r="AQ484" s="28"/>
      <c r="AR484" s="241"/>
      <c r="AS484" s="27"/>
      <c r="AT484" s="28"/>
      <c r="AU484" s="241"/>
      <c r="AV484" s="27"/>
      <c r="AW484" s="28"/>
      <c r="AX484" s="241"/>
      <c r="AY484" s="27"/>
      <c r="AZ484" s="28"/>
      <c r="BA484" s="241"/>
      <c r="BB484" s="27"/>
      <c r="BC484" s="28"/>
      <c r="BD484" s="241"/>
      <c r="BE484" s="27"/>
      <c r="BF484" s="28"/>
      <c r="BG484" s="241"/>
      <c r="BH484" s="27"/>
      <c r="BI484" s="28"/>
    </row>
    <row r="485" spans="1:61" s="29" customFormat="1" hidden="1" outlineLevel="2" x14ac:dyDescent="0.3">
      <c r="A485" s="204" t="s">
        <v>139</v>
      </c>
      <c r="B485" s="2"/>
      <c r="C485" s="201"/>
      <c r="D485" s="41"/>
      <c r="E485" s="41"/>
      <c r="F485" s="41"/>
      <c r="G485" s="56"/>
      <c r="H485" s="241"/>
      <c r="I485" s="27">
        <v>0</v>
      </c>
      <c r="J485" s="28"/>
      <c r="K485" s="241"/>
      <c r="L485" s="27">
        <v>0</v>
      </c>
      <c r="M485" s="28"/>
      <c r="N485" s="241"/>
      <c r="O485" s="27">
        <v>0</v>
      </c>
      <c r="P485" s="28"/>
      <c r="Q485" s="241"/>
      <c r="R485" s="27">
        <v>0</v>
      </c>
      <c r="S485" s="28"/>
      <c r="T485" s="241"/>
      <c r="U485" s="27">
        <v>0</v>
      </c>
      <c r="V485" s="28"/>
      <c r="W485" s="241"/>
      <c r="X485" s="27">
        <v>0</v>
      </c>
      <c r="Y485" s="28"/>
      <c r="Z485" s="241"/>
      <c r="AA485" s="27">
        <v>0</v>
      </c>
      <c r="AB485" s="28"/>
      <c r="AC485" s="241"/>
      <c r="AD485" s="27">
        <v>0</v>
      </c>
      <c r="AE485" s="28"/>
      <c r="AF485" s="241"/>
      <c r="AG485" s="27">
        <v>0</v>
      </c>
      <c r="AH485" s="28"/>
      <c r="AI485" s="241"/>
      <c r="AJ485" s="27">
        <v>0</v>
      </c>
      <c r="AK485" s="28"/>
      <c r="AL485" s="241"/>
      <c r="AM485" s="27">
        <v>0</v>
      </c>
      <c r="AN485" s="28"/>
      <c r="AO485" s="241"/>
      <c r="AP485" s="27">
        <v>0</v>
      </c>
      <c r="AQ485" s="28"/>
      <c r="AR485" s="241"/>
      <c r="AS485" s="27"/>
      <c r="AT485" s="28"/>
      <c r="AU485" s="241"/>
      <c r="AV485" s="27"/>
      <c r="AW485" s="28"/>
      <c r="AX485" s="241"/>
      <c r="AY485" s="27"/>
      <c r="AZ485" s="28"/>
      <c r="BA485" s="241"/>
      <c r="BB485" s="27"/>
      <c r="BC485" s="28"/>
      <c r="BD485" s="241"/>
      <c r="BE485" s="27"/>
      <c r="BF485" s="28"/>
      <c r="BG485" s="241"/>
      <c r="BH485" s="27"/>
      <c r="BI485" s="28"/>
    </row>
    <row r="486" spans="1:61" s="29" customFormat="1" hidden="1" outlineLevel="2" x14ac:dyDescent="0.3">
      <c r="A486" s="204" t="s">
        <v>140</v>
      </c>
      <c r="B486" s="2"/>
      <c r="C486" s="201"/>
      <c r="D486" s="41"/>
      <c r="E486" s="41"/>
      <c r="F486" s="41"/>
      <c r="G486" s="56"/>
      <c r="H486" s="241"/>
      <c r="I486" s="27">
        <v>0</v>
      </c>
      <c r="J486" s="28"/>
      <c r="K486" s="241"/>
      <c r="L486" s="27">
        <v>0</v>
      </c>
      <c r="M486" s="28"/>
      <c r="N486" s="241"/>
      <c r="O486" s="27">
        <v>0</v>
      </c>
      <c r="P486" s="28"/>
      <c r="Q486" s="241"/>
      <c r="R486" s="27">
        <v>0</v>
      </c>
      <c r="S486" s="28"/>
      <c r="T486" s="241"/>
      <c r="U486" s="27">
        <v>0</v>
      </c>
      <c r="V486" s="28"/>
      <c r="W486" s="241"/>
      <c r="X486" s="27">
        <v>0</v>
      </c>
      <c r="Y486" s="28"/>
      <c r="Z486" s="241"/>
      <c r="AA486" s="27">
        <v>0</v>
      </c>
      <c r="AB486" s="28"/>
      <c r="AC486" s="241"/>
      <c r="AD486" s="27">
        <v>0</v>
      </c>
      <c r="AE486" s="28"/>
      <c r="AF486" s="241"/>
      <c r="AG486" s="27">
        <v>0</v>
      </c>
      <c r="AH486" s="28"/>
      <c r="AI486" s="241"/>
      <c r="AJ486" s="27">
        <v>0</v>
      </c>
      <c r="AK486" s="28"/>
      <c r="AL486" s="241"/>
      <c r="AM486" s="27">
        <v>0</v>
      </c>
      <c r="AN486" s="28"/>
      <c r="AO486" s="241"/>
      <c r="AP486" s="27">
        <v>0</v>
      </c>
      <c r="AQ486" s="28"/>
      <c r="AR486" s="241"/>
      <c r="AS486" s="27"/>
      <c r="AT486" s="28"/>
      <c r="AU486" s="241"/>
      <c r="AV486" s="27"/>
      <c r="AW486" s="28"/>
      <c r="AX486" s="241"/>
      <c r="AY486" s="27"/>
      <c r="AZ486" s="28"/>
      <c r="BA486" s="241"/>
      <c r="BB486" s="27"/>
      <c r="BC486" s="28"/>
      <c r="BD486" s="241"/>
      <c r="BE486" s="27"/>
      <c r="BF486" s="28"/>
      <c r="BG486" s="241"/>
      <c r="BH486" s="27"/>
      <c r="BI486" s="28"/>
    </row>
    <row r="487" spans="1:61" s="29" customFormat="1" hidden="1" outlineLevel="2" x14ac:dyDescent="0.3">
      <c r="A487" s="204" t="s">
        <v>141</v>
      </c>
      <c r="B487" s="2"/>
      <c r="C487" s="201"/>
      <c r="D487" s="41"/>
      <c r="E487" s="41"/>
      <c r="F487" s="41"/>
      <c r="G487" s="56"/>
      <c r="H487" s="241"/>
      <c r="I487" s="27">
        <v>-3100</v>
      </c>
      <c r="J487" s="28"/>
      <c r="K487" s="241"/>
      <c r="L487" s="27">
        <v>-3100</v>
      </c>
      <c r="M487" s="28"/>
      <c r="N487" s="241"/>
      <c r="O487" s="27">
        <v>-3100</v>
      </c>
      <c r="P487" s="28"/>
      <c r="Q487" s="241"/>
      <c r="R487" s="27">
        <v>-3100</v>
      </c>
      <c r="S487" s="28"/>
      <c r="T487" s="241"/>
      <c r="U487" s="27">
        <v>-3100</v>
      </c>
      <c r="V487" s="28"/>
      <c r="W487" s="241"/>
      <c r="X487" s="27">
        <v>-3100</v>
      </c>
      <c r="Y487" s="28"/>
      <c r="Z487" s="241"/>
      <c r="AA487" s="27">
        <v>-3100</v>
      </c>
      <c r="AB487" s="28"/>
      <c r="AC487" s="241"/>
      <c r="AD487" s="27">
        <v>-3100</v>
      </c>
      <c r="AE487" s="28"/>
      <c r="AF487" s="241"/>
      <c r="AG487" s="27">
        <v>-3100</v>
      </c>
      <c r="AH487" s="28"/>
      <c r="AI487" s="241"/>
      <c r="AJ487" s="27">
        <v>-3100</v>
      </c>
      <c r="AK487" s="28"/>
      <c r="AL487" s="241"/>
      <c r="AM487" s="27">
        <v>-3100</v>
      </c>
      <c r="AN487" s="28"/>
      <c r="AO487" s="241"/>
      <c r="AP487" s="27">
        <v>-3100</v>
      </c>
      <c r="AQ487" s="28"/>
      <c r="AR487" s="241"/>
      <c r="AS487" s="27"/>
      <c r="AT487" s="28"/>
      <c r="AU487" s="241"/>
      <c r="AV487" s="27"/>
      <c r="AW487" s="28"/>
      <c r="AX487" s="241"/>
      <c r="AY487" s="27"/>
      <c r="AZ487" s="28"/>
      <c r="BA487" s="241"/>
      <c r="BB487" s="27"/>
      <c r="BC487" s="28"/>
      <c r="BD487" s="241"/>
      <c r="BE487" s="27"/>
      <c r="BF487" s="28"/>
      <c r="BG487" s="241"/>
      <c r="BH487" s="27"/>
      <c r="BI487" s="28"/>
    </row>
    <row r="488" spans="1:61" s="29" customFormat="1" hidden="1" outlineLevel="2" x14ac:dyDescent="0.3">
      <c r="A488" s="204">
        <v>0</v>
      </c>
      <c r="B488" s="2"/>
      <c r="C488" s="201"/>
      <c r="D488" s="41"/>
      <c r="E488" s="41"/>
      <c r="F488" s="41"/>
      <c r="G488" s="56"/>
      <c r="H488" s="241"/>
      <c r="I488" s="27">
        <v>0</v>
      </c>
      <c r="J488" s="28"/>
      <c r="K488" s="241"/>
      <c r="L488" s="27">
        <v>0</v>
      </c>
      <c r="M488" s="28"/>
      <c r="N488" s="241"/>
      <c r="O488" s="27">
        <v>0</v>
      </c>
      <c r="P488" s="28"/>
      <c r="Q488" s="241"/>
      <c r="R488" s="27">
        <v>0</v>
      </c>
      <c r="S488" s="28"/>
      <c r="T488" s="241"/>
      <c r="U488" s="27">
        <v>0</v>
      </c>
      <c r="V488" s="28"/>
      <c r="W488" s="241"/>
      <c r="X488" s="27">
        <v>0</v>
      </c>
      <c r="Y488" s="28"/>
      <c r="Z488" s="241"/>
      <c r="AA488" s="27">
        <v>0</v>
      </c>
      <c r="AB488" s="28"/>
      <c r="AC488" s="241"/>
      <c r="AD488" s="27">
        <v>0</v>
      </c>
      <c r="AE488" s="28"/>
      <c r="AF488" s="241"/>
      <c r="AG488" s="27">
        <v>0</v>
      </c>
      <c r="AH488" s="28"/>
      <c r="AI488" s="241"/>
      <c r="AJ488" s="27">
        <v>0</v>
      </c>
      <c r="AK488" s="28"/>
      <c r="AL488" s="241"/>
      <c r="AM488" s="27">
        <v>0</v>
      </c>
      <c r="AN488" s="28"/>
      <c r="AO488" s="241"/>
      <c r="AP488" s="27">
        <v>0</v>
      </c>
      <c r="AQ488" s="28"/>
      <c r="AR488" s="241"/>
      <c r="AS488" s="27"/>
      <c r="AT488" s="28"/>
      <c r="AU488" s="241"/>
      <c r="AV488" s="27"/>
      <c r="AW488" s="28"/>
      <c r="AX488" s="241"/>
      <c r="AY488" s="27"/>
      <c r="AZ488" s="28"/>
      <c r="BA488" s="241"/>
      <c r="BB488" s="27"/>
      <c r="BC488" s="28"/>
      <c r="BD488" s="241"/>
      <c r="BE488" s="27"/>
      <c r="BF488" s="28"/>
      <c r="BG488" s="241"/>
      <c r="BH488" s="27"/>
      <c r="BI488" s="28"/>
    </row>
    <row r="489" spans="1:61" s="29" customFormat="1" hidden="1" outlineLevel="2" x14ac:dyDescent="0.3">
      <c r="A489" s="163"/>
      <c r="B489" s="23"/>
      <c r="C489" s="3"/>
      <c r="D489" s="4"/>
      <c r="E489" s="4"/>
      <c r="F489" s="23"/>
      <c r="G489" s="56"/>
      <c r="H489" s="273"/>
      <c r="I489" s="23"/>
      <c r="J489" s="164"/>
      <c r="K489" s="273"/>
      <c r="L489" s="23"/>
      <c r="M489" s="164"/>
      <c r="N489" s="273"/>
      <c r="O489" s="23"/>
      <c r="P489" s="164"/>
      <c r="Q489" s="273"/>
      <c r="R489" s="23"/>
      <c r="S489" s="164"/>
      <c r="T489" s="273"/>
      <c r="U489" s="23"/>
      <c r="V489" s="164"/>
      <c r="W489" s="273"/>
      <c r="X489" s="23"/>
      <c r="Y489" s="164"/>
      <c r="Z489" s="273"/>
      <c r="AA489" s="23"/>
      <c r="AB489" s="164"/>
      <c r="AC489" s="273"/>
      <c r="AD489" s="23"/>
      <c r="AE489" s="164"/>
      <c r="AF489" s="273"/>
      <c r="AG489" s="23"/>
      <c r="AH489" s="164"/>
      <c r="AI489" s="273"/>
      <c r="AJ489" s="23"/>
      <c r="AK489" s="164"/>
      <c r="AL489" s="273"/>
      <c r="AM489" s="23"/>
      <c r="AN489" s="164"/>
      <c r="AO489" s="273"/>
      <c r="AP489" s="23"/>
      <c r="AQ489" s="164"/>
      <c r="AR489" s="273"/>
      <c r="AS489" s="23"/>
      <c r="AT489" s="164"/>
      <c r="AU489" s="273"/>
      <c r="AV489" s="23"/>
      <c r="AW489" s="164"/>
      <c r="AX489" s="273"/>
      <c r="AY489" s="23"/>
      <c r="AZ489" s="164"/>
      <c r="BA489" s="273"/>
      <c r="BB489" s="23"/>
      <c r="BC489" s="164"/>
      <c r="BD489" s="273"/>
      <c r="BE489" s="23"/>
      <c r="BF489" s="164"/>
      <c r="BG489" s="273"/>
      <c r="BH489" s="23"/>
      <c r="BI489" s="164"/>
    </row>
    <row r="490" spans="1:61" s="29" customFormat="1" hidden="1" outlineLevel="2" x14ac:dyDescent="0.3">
      <c r="A490" s="200" t="s">
        <v>426</v>
      </c>
      <c r="B490" s="23"/>
      <c r="C490" s="3"/>
      <c r="D490" s="16"/>
      <c r="E490" s="4"/>
      <c r="F490" s="23"/>
      <c r="G490" s="56"/>
      <c r="H490" s="283"/>
      <c r="I490" s="207"/>
      <c r="J490" s="208"/>
      <c r="K490" s="283"/>
      <c r="L490" s="207"/>
      <c r="M490" s="208"/>
      <c r="N490" s="283"/>
      <c r="O490" s="207"/>
      <c r="P490" s="208"/>
      <c r="Q490" s="283"/>
      <c r="R490" s="207"/>
      <c r="S490" s="208"/>
      <c r="T490" s="283"/>
      <c r="U490" s="207"/>
      <c r="V490" s="208"/>
      <c r="W490" s="283"/>
      <c r="X490" s="207"/>
      <c r="Y490" s="208"/>
      <c r="Z490" s="283"/>
      <c r="AA490" s="207"/>
      <c r="AB490" s="208"/>
      <c r="AC490" s="283"/>
      <c r="AD490" s="207"/>
      <c r="AE490" s="208"/>
      <c r="AF490" s="283"/>
      <c r="AG490" s="207"/>
      <c r="AH490" s="208"/>
      <c r="AI490" s="283"/>
      <c r="AJ490" s="207"/>
      <c r="AK490" s="208"/>
      <c r="AL490" s="283"/>
      <c r="AM490" s="207"/>
      <c r="AN490" s="208"/>
      <c r="AO490" s="283"/>
      <c r="AP490" s="207"/>
      <c r="AQ490" s="208"/>
      <c r="AR490" s="283"/>
      <c r="AS490" s="207"/>
      <c r="AT490" s="208"/>
      <c r="AU490" s="283"/>
      <c r="AV490" s="207"/>
      <c r="AW490" s="208"/>
      <c r="AX490" s="283"/>
      <c r="AY490" s="207"/>
      <c r="AZ490" s="208"/>
      <c r="BA490" s="283"/>
      <c r="BB490" s="207"/>
      <c r="BC490" s="208"/>
      <c r="BD490" s="283"/>
      <c r="BE490" s="207"/>
      <c r="BF490" s="208"/>
      <c r="BG490" s="283"/>
      <c r="BH490" s="207"/>
      <c r="BI490" s="208"/>
    </row>
    <row r="491" spans="1:61" s="29" customFormat="1" hidden="1" outlineLevel="2" x14ac:dyDescent="0.3">
      <c r="A491" s="22" t="s">
        <v>143</v>
      </c>
      <c r="B491" s="23"/>
      <c r="C491" s="3"/>
      <c r="D491" s="16"/>
      <c r="E491" s="4"/>
      <c r="F491" s="23"/>
      <c r="G491" s="56"/>
      <c r="H491" s="284"/>
      <c r="I491" s="209">
        <v>-2945.04</v>
      </c>
      <c r="J491" s="210"/>
      <c r="K491" s="284"/>
      <c r="L491" s="209">
        <v>-2945.04</v>
      </c>
      <c r="M491" s="210"/>
      <c r="N491" s="284"/>
      <c r="O491" s="209">
        <v>-2945.04</v>
      </c>
      <c r="P491" s="210"/>
      <c r="Q491" s="284"/>
      <c r="R491" s="209">
        <v>-2945.04</v>
      </c>
      <c r="S491" s="210"/>
      <c r="T491" s="284"/>
      <c r="U491" s="209">
        <v>-3068.7316799999999</v>
      </c>
      <c r="V491" s="210"/>
      <c r="W491" s="284"/>
      <c r="X491" s="209">
        <v>-3068.7316799999999</v>
      </c>
      <c r="Y491" s="210"/>
      <c r="Z491" s="284"/>
      <c r="AA491" s="209">
        <v>-3068.7316799999999</v>
      </c>
      <c r="AB491" s="210"/>
      <c r="AC491" s="284"/>
      <c r="AD491" s="209">
        <v>-3068.7316799999999</v>
      </c>
      <c r="AE491" s="210"/>
      <c r="AF491" s="284"/>
      <c r="AG491" s="209">
        <v>-3068.7316799999999</v>
      </c>
      <c r="AH491" s="210"/>
      <c r="AI491" s="284"/>
      <c r="AJ491" s="209">
        <v>-3068.7316799999999</v>
      </c>
      <c r="AK491" s="210"/>
      <c r="AL491" s="284"/>
      <c r="AM491" s="209">
        <v>-3068.7316799999999</v>
      </c>
      <c r="AN491" s="210"/>
      <c r="AO491" s="284"/>
      <c r="AP491" s="209">
        <v>-3068.7316799999999</v>
      </c>
      <c r="AQ491" s="210"/>
      <c r="AR491" s="284"/>
      <c r="AS491" s="209"/>
      <c r="AT491" s="210"/>
      <c r="AU491" s="284"/>
      <c r="AV491" s="209"/>
      <c r="AW491" s="210"/>
      <c r="AX491" s="284"/>
      <c r="AY491" s="209"/>
      <c r="AZ491" s="210"/>
      <c r="BA491" s="284"/>
      <c r="BB491" s="209"/>
      <c r="BC491" s="210"/>
      <c r="BD491" s="284"/>
      <c r="BE491" s="209"/>
      <c r="BF491" s="210"/>
      <c r="BG491" s="284"/>
      <c r="BH491" s="209"/>
      <c r="BI491" s="210"/>
    </row>
    <row r="492" spans="1:61" s="29" customFormat="1" hidden="1" outlineLevel="2" x14ac:dyDescent="0.3">
      <c r="A492" s="22" t="s">
        <v>145</v>
      </c>
      <c r="B492" s="23"/>
      <c r="C492" s="3"/>
      <c r="D492" s="16"/>
      <c r="E492" s="4"/>
      <c r="F492" s="23"/>
      <c r="G492" s="56"/>
      <c r="H492" s="284"/>
      <c r="I492" s="209">
        <v>-1938.56</v>
      </c>
      <c r="J492" s="210"/>
      <c r="K492" s="284"/>
      <c r="L492" s="209">
        <v>-1938.56</v>
      </c>
      <c r="M492" s="210"/>
      <c r="N492" s="284"/>
      <c r="O492" s="209">
        <v>-1938.56</v>
      </c>
      <c r="P492" s="210"/>
      <c r="Q492" s="284"/>
      <c r="R492" s="209">
        <v>-1938.56</v>
      </c>
      <c r="S492" s="210"/>
      <c r="T492" s="284"/>
      <c r="U492" s="209">
        <v>-1938.56</v>
      </c>
      <c r="V492" s="210"/>
      <c r="W492" s="284"/>
      <c r="X492" s="209">
        <v>-2019.9795200000001</v>
      </c>
      <c r="Y492" s="210"/>
      <c r="Z492" s="284"/>
      <c r="AA492" s="209">
        <v>-2019.9795200000001</v>
      </c>
      <c r="AB492" s="210"/>
      <c r="AC492" s="284"/>
      <c r="AD492" s="209">
        <v>-2019.9795200000001</v>
      </c>
      <c r="AE492" s="210"/>
      <c r="AF492" s="284"/>
      <c r="AG492" s="209">
        <v>-2019.9795200000001</v>
      </c>
      <c r="AH492" s="210"/>
      <c r="AI492" s="284"/>
      <c r="AJ492" s="209">
        <v>-2019.9795200000001</v>
      </c>
      <c r="AK492" s="210"/>
      <c r="AL492" s="284"/>
      <c r="AM492" s="209">
        <v>-2019.9795200000001</v>
      </c>
      <c r="AN492" s="210"/>
      <c r="AO492" s="284"/>
      <c r="AP492" s="209">
        <v>-2019.9795200000001</v>
      </c>
      <c r="AQ492" s="210"/>
      <c r="AR492" s="284"/>
      <c r="AS492" s="209"/>
      <c r="AT492" s="210"/>
      <c r="AU492" s="284"/>
      <c r="AV492" s="209"/>
      <c r="AW492" s="210"/>
      <c r="AX492" s="284"/>
      <c r="AY492" s="209"/>
      <c r="AZ492" s="210"/>
      <c r="BA492" s="284"/>
      <c r="BB492" s="209"/>
      <c r="BC492" s="210"/>
      <c r="BD492" s="284"/>
      <c r="BE492" s="209"/>
      <c r="BF492" s="210"/>
      <c r="BG492" s="284"/>
      <c r="BH492" s="209"/>
      <c r="BI492" s="210"/>
    </row>
    <row r="493" spans="1:61" s="29" customFormat="1" hidden="1" outlineLevel="2" x14ac:dyDescent="0.3">
      <c r="A493" s="22" t="s">
        <v>146</v>
      </c>
      <c r="B493" s="23"/>
      <c r="C493" s="3"/>
      <c r="D493" s="16"/>
      <c r="E493" s="4"/>
      <c r="F493" s="23"/>
      <c r="G493" s="56"/>
      <c r="H493" s="284"/>
      <c r="I493" s="209">
        <v>-2119.5500000000002</v>
      </c>
      <c r="J493" s="210"/>
      <c r="K493" s="284"/>
      <c r="L493" s="209">
        <v>-2119.5500000000002</v>
      </c>
      <c r="M493" s="210"/>
      <c r="N493" s="284"/>
      <c r="O493" s="209">
        <v>-2119.5500000000002</v>
      </c>
      <c r="P493" s="210"/>
      <c r="Q493" s="284"/>
      <c r="R493" s="209">
        <v>-2119.5500000000002</v>
      </c>
      <c r="S493" s="210"/>
      <c r="T493" s="284"/>
      <c r="U493" s="209">
        <v>-2119.5500000000002</v>
      </c>
      <c r="V493" s="210"/>
      <c r="W493" s="284"/>
      <c r="X493" s="209">
        <v>-2208.5711000000001</v>
      </c>
      <c r="Y493" s="210"/>
      <c r="Z493" s="284"/>
      <c r="AA493" s="209">
        <v>-2208.5711000000001</v>
      </c>
      <c r="AB493" s="210"/>
      <c r="AC493" s="284"/>
      <c r="AD493" s="209">
        <v>-2208.5711000000001</v>
      </c>
      <c r="AE493" s="210"/>
      <c r="AF493" s="284"/>
      <c r="AG493" s="209">
        <v>-2208.5711000000001</v>
      </c>
      <c r="AH493" s="210"/>
      <c r="AI493" s="284"/>
      <c r="AJ493" s="209">
        <v>-2208.5711000000001</v>
      </c>
      <c r="AK493" s="210"/>
      <c r="AL493" s="284"/>
      <c r="AM493" s="209">
        <v>-2208.5711000000001</v>
      </c>
      <c r="AN493" s="210"/>
      <c r="AO493" s="284"/>
      <c r="AP493" s="209">
        <v>-2208.5711000000001</v>
      </c>
      <c r="AQ493" s="210"/>
      <c r="AR493" s="284"/>
      <c r="AS493" s="209"/>
      <c r="AT493" s="210"/>
      <c r="AU493" s="284"/>
      <c r="AV493" s="209"/>
      <c r="AW493" s="210"/>
      <c r="AX493" s="284"/>
      <c r="AY493" s="209"/>
      <c r="AZ493" s="210"/>
      <c r="BA493" s="284"/>
      <c r="BB493" s="209"/>
      <c r="BC493" s="210"/>
      <c r="BD493" s="284"/>
      <c r="BE493" s="209"/>
      <c r="BF493" s="210"/>
      <c r="BG493" s="284"/>
      <c r="BH493" s="209"/>
      <c r="BI493" s="210"/>
    </row>
    <row r="494" spans="1:61" s="29" customFormat="1" hidden="1" outlineLevel="2" x14ac:dyDescent="0.3">
      <c r="A494" s="22" t="s">
        <v>147</v>
      </c>
      <c r="B494" s="23"/>
      <c r="C494" s="3"/>
      <c r="D494" s="16"/>
      <c r="E494" s="4"/>
      <c r="F494" s="23"/>
      <c r="G494" s="56"/>
      <c r="H494" s="284"/>
      <c r="I494" s="209">
        <v>-2553.88</v>
      </c>
      <c r="J494" s="210"/>
      <c r="K494" s="284"/>
      <c r="L494" s="209">
        <v>-2553.88</v>
      </c>
      <c r="M494" s="210"/>
      <c r="N494" s="284"/>
      <c r="O494" s="209">
        <v>-2553.88</v>
      </c>
      <c r="P494" s="210"/>
      <c r="Q494" s="284"/>
      <c r="R494" s="209">
        <v>-2553.88</v>
      </c>
      <c r="S494" s="210"/>
      <c r="T494" s="284"/>
      <c r="U494" s="209">
        <v>-2553.88</v>
      </c>
      <c r="V494" s="210"/>
      <c r="W494" s="284"/>
      <c r="X494" s="209">
        <v>-2661.1429600000001</v>
      </c>
      <c r="Y494" s="210"/>
      <c r="Z494" s="284"/>
      <c r="AA494" s="209">
        <v>-2661.1429600000001</v>
      </c>
      <c r="AB494" s="210"/>
      <c r="AC494" s="284"/>
      <c r="AD494" s="209">
        <v>-2661.1429600000001</v>
      </c>
      <c r="AE494" s="210"/>
      <c r="AF494" s="284"/>
      <c r="AG494" s="209">
        <v>-2661.1429600000001</v>
      </c>
      <c r="AH494" s="210"/>
      <c r="AI494" s="284"/>
      <c r="AJ494" s="209">
        <v>-2661.1429600000001</v>
      </c>
      <c r="AK494" s="210"/>
      <c r="AL494" s="284"/>
      <c r="AM494" s="209">
        <v>-2661.1429600000001</v>
      </c>
      <c r="AN494" s="210"/>
      <c r="AO494" s="284"/>
      <c r="AP494" s="209">
        <v>-2661.1429600000001</v>
      </c>
      <c r="AQ494" s="210"/>
      <c r="AR494" s="284"/>
      <c r="AS494" s="209"/>
      <c r="AT494" s="210"/>
      <c r="AU494" s="284"/>
      <c r="AV494" s="209"/>
      <c r="AW494" s="210"/>
      <c r="AX494" s="284"/>
      <c r="AY494" s="209"/>
      <c r="AZ494" s="210"/>
      <c r="BA494" s="284"/>
      <c r="BB494" s="209"/>
      <c r="BC494" s="210"/>
      <c r="BD494" s="284"/>
      <c r="BE494" s="209"/>
      <c r="BF494" s="210"/>
      <c r="BG494" s="284"/>
      <c r="BH494" s="209"/>
      <c r="BI494" s="210"/>
    </row>
    <row r="495" spans="1:61" s="29" customFormat="1" hidden="1" outlineLevel="2" x14ac:dyDescent="0.3">
      <c r="A495" s="22" t="s">
        <v>148</v>
      </c>
      <c r="B495" s="23"/>
      <c r="C495" s="3"/>
      <c r="D495" s="16"/>
      <c r="E495" s="4"/>
      <c r="F495" s="23"/>
      <c r="G495" s="56"/>
      <c r="H495" s="284"/>
      <c r="I495" s="209">
        <v>0</v>
      </c>
      <c r="J495" s="210"/>
      <c r="K495" s="284"/>
      <c r="L495" s="209">
        <v>0</v>
      </c>
      <c r="M495" s="210"/>
      <c r="N495" s="284"/>
      <c r="O495" s="209">
        <v>0</v>
      </c>
      <c r="P495" s="210"/>
      <c r="Q495" s="284"/>
      <c r="R495" s="209">
        <v>0</v>
      </c>
      <c r="S495" s="210"/>
      <c r="T495" s="284"/>
      <c r="U495" s="209">
        <v>0</v>
      </c>
      <c r="V495" s="210"/>
      <c r="W495" s="284"/>
      <c r="X495" s="209">
        <v>0</v>
      </c>
      <c r="Y495" s="210"/>
      <c r="Z495" s="284"/>
      <c r="AA495" s="209">
        <v>0</v>
      </c>
      <c r="AB495" s="210"/>
      <c r="AC495" s="284"/>
      <c r="AD495" s="209">
        <v>0</v>
      </c>
      <c r="AE495" s="210"/>
      <c r="AF495" s="284"/>
      <c r="AG495" s="209">
        <v>0</v>
      </c>
      <c r="AH495" s="210"/>
      <c r="AI495" s="284"/>
      <c r="AJ495" s="209">
        <v>0</v>
      </c>
      <c r="AK495" s="210"/>
      <c r="AL495" s="284"/>
      <c r="AM495" s="209">
        <v>0</v>
      </c>
      <c r="AN495" s="210"/>
      <c r="AO495" s="284"/>
      <c r="AP495" s="209">
        <v>0</v>
      </c>
      <c r="AQ495" s="210"/>
      <c r="AR495" s="284"/>
      <c r="AS495" s="209"/>
      <c r="AT495" s="210"/>
      <c r="AU495" s="284"/>
      <c r="AV495" s="209"/>
      <c r="AW495" s="210"/>
      <c r="AX495" s="284"/>
      <c r="AY495" s="209"/>
      <c r="AZ495" s="210"/>
      <c r="BA495" s="284"/>
      <c r="BB495" s="209"/>
      <c r="BC495" s="210"/>
      <c r="BD495" s="284"/>
      <c r="BE495" s="209"/>
      <c r="BF495" s="210"/>
      <c r="BG495" s="284"/>
      <c r="BH495" s="209"/>
      <c r="BI495" s="210"/>
    </row>
    <row r="496" spans="1:61" s="29" customFormat="1" hidden="1" outlineLevel="2" x14ac:dyDescent="0.3">
      <c r="A496" s="22" t="s">
        <v>149</v>
      </c>
      <c r="B496" s="23"/>
      <c r="C496" s="3"/>
      <c r="D496" s="16"/>
      <c r="E496" s="4"/>
      <c r="F496" s="23"/>
      <c r="G496" s="56"/>
      <c r="H496" s="284"/>
      <c r="I496" s="209">
        <v>-1869.4</v>
      </c>
      <c r="J496" s="210"/>
      <c r="K496" s="284"/>
      <c r="L496" s="209">
        <v>-1869.4</v>
      </c>
      <c r="M496" s="210"/>
      <c r="N496" s="284"/>
      <c r="O496" s="209">
        <v>-1869.4</v>
      </c>
      <c r="P496" s="210"/>
      <c r="Q496" s="284"/>
      <c r="R496" s="209">
        <v>-1869.4</v>
      </c>
      <c r="S496" s="210"/>
      <c r="T496" s="284"/>
      <c r="U496" s="209">
        <v>-1869.4</v>
      </c>
      <c r="V496" s="210"/>
      <c r="W496" s="284"/>
      <c r="X496" s="209">
        <v>-1947.9148</v>
      </c>
      <c r="Y496" s="210"/>
      <c r="Z496" s="284"/>
      <c r="AA496" s="209">
        <v>-1947.9148</v>
      </c>
      <c r="AB496" s="210"/>
      <c r="AC496" s="284"/>
      <c r="AD496" s="209">
        <v>-1947.9148</v>
      </c>
      <c r="AE496" s="210"/>
      <c r="AF496" s="284"/>
      <c r="AG496" s="209">
        <v>-1947.9148</v>
      </c>
      <c r="AH496" s="210"/>
      <c r="AI496" s="284"/>
      <c r="AJ496" s="209">
        <v>-1947.9148</v>
      </c>
      <c r="AK496" s="210"/>
      <c r="AL496" s="284"/>
      <c r="AM496" s="209">
        <v>-1947.9148</v>
      </c>
      <c r="AN496" s="210"/>
      <c r="AO496" s="284"/>
      <c r="AP496" s="209">
        <v>-1947.9148</v>
      </c>
      <c r="AQ496" s="210"/>
      <c r="AR496" s="284"/>
      <c r="AS496" s="209"/>
      <c r="AT496" s="210"/>
      <c r="AU496" s="284"/>
      <c r="AV496" s="209"/>
      <c r="AW496" s="210"/>
      <c r="AX496" s="284"/>
      <c r="AY496" s="209"/>
      <c r="AZ496" s="210"/>
      <c r="BA496" s="284"/>
      <c r="BB496" s="209"/>
      <c r="BC496" s="210"/>
      <c r="BD496" s="284"/>
      <c r="BE496" s="209"/>
      <c r="BF496" s="210"/>
      <c r="BG496" s="284"/>
      <c r="BH496" s="209"/>
      <c r="BI496" s="210"/>
    </row>
    <row r="497" spans="1:61" s="29" customFormat="1" hidden="1" outlineLevel="2" x14ac:dyDescent="0.3">
      <c r="A497" s="22" t="s">
        <v>150</v>
      </c>
      <c r="B497" s="23"/>
      <c r="C497" s="3"/>
      <c r="D497" s="16"/>
      <c r="E497" s="4"/>
      <c r="F497" s="23"/>
      <c r="G497" s="56"/>
      <c r="H497" s="284"/>
      <c r="I497" s="209">
        <v>0</v>
      </c>
      <c r="J497" s="210"/>
      <c r="K497" s="284"/>
      <c r="L497" s="209">
        <v>0</v>
      </c>
      <c r="M497" s="210"/>
      <c r="N497" s="284"/>
      <c r="O497" s="209">
        <v>0</v>
      </c>
      <c r="P497" s="210"/>
      <c r="Q497" s="284"/>
      <c r="R497" s="209">
        <v>0</v>
      </c>
      <c r="S497" s="210"/>
      <c r="T497" s="284"/>
      <c r="U497" s="209">
        <v>0</v>
      </c>
      <c r="V497" s="210"/>
      <c r="W497" s="284"/>
      <c r="X497" s="209">
        <v>0</v>
      </c>
      <c r="Y497" s="210"/>
      <c r="Z497" s="284"/>
      <c r="AA497" s="209">
        <v>0</v>
      </c>
      <c r="AB497" s="210"/>
      <c r="AC497" s="284"/>
      <c r="AD497" s="209">
        <v>0</v>
      </c>
      <c r="AE497" s="210"/>
      <c r="AF497" s="284"/>
      <c r="AG497" s="209">
        <v>0</v>
      </c>
      <c r="AH497" s="210"/>
      <c r="AI497" s="284"/>
      <c r="AJ497" s="209">
        <v>0</v>
      </c>
      <c r="AK497" s="210"/>
      <c r="AL497" s="284"/>
      <c r="AM497" s="209">
        <v>0</v>
      </c>
      <c r="AN497" s="210"/>
      <c r="AO497" s="284"/>
      <c r="AP497" s="209">
        <v>0</v>
      </c>
      <c r="AQ497" s="210"/>
      <c r="AR497" s="284"/>
      <c r="AS497" s="209"/>
      <c r="AT497" s="210"/>
      <c r="AU497" s="284"/>
      <c r="AV497" s="209"/>
      <c r="AW497" s="210"/>
      <c r="AX497" s="284"/>
      <c r="AY497" s="209"/>
      <c r="AZ497" s="210"/>
      <c r="BA497" s="284"/>
      <c r="BB497" s="209"/>
      <c r="BC497" s="210"/>
      <c r="BD497" s="284"/>
      <c r="BE497" s="209"/>
      <c r="BF497" s="210"/>
      <c r="BG497" s="284"/>
      <c r="BH497" s="209"/>
      <c r="BI497" s="210"/>
    </row>
    <row r="498" spans="1:61" s="29" customFormat="1" hidden="1" outlineLevel="2" x14ac:dyDescent="0.3">
      <c r="A498" s="22" t="s">
        <v>151</v>
      </c>
      <c r="B498" s="23"/>
      <c r="C498" s="3"/>
      <c r="D498" s="16"/>
      <c r="E498" s="4"/>
      <c r="F498" s="23"/>
      <c r="G498" s="56"/>
      <c r="H498" s="284"/>
      <c r="I498" s="209">
        <v>-1938.56</v>
      </c>
      <c r="J498" s="210"/>
      <c r="K498" s="284"/>
      <c r="L498" s="209">
        <v>-1938.56</v>
      </c>
      <c r="M498" s="210"/>
      <c r="N498" s="284"/>
      <c r="O498" s="209">
        <v>-1938.56</v>
      </c>
      <c r="P498" s="210"/>
      <c r="Q498" s="284"/>
      <c r="R498" s="209">
        <v>-1938.56</v>
      </c>
      <c r="S498" s="210"/>
      <c r="T498" s="284"/>
      <c r="U498" s="209">
        <v>-1938.56</v>
      </c>
      <c r="V498" s="210"/>
      <c r="W498" s="284"/>
      <c r="X498" s="209">
        <v>-2019.9795200000001</v>
      </c>
      <c r="Y498" s="210"/>
      <c r="Z498" s="284"/>
      <c r="AA498" s="209">
        <v>-2019.9795200000001</v>
      </c>
      <c r="AB498" s="210"/>
      <c r="AC498" s="284"/>
      <c r="AD498" s="209">
        <v>-2019.9795200000001</v>
      </c>
      <c r="AE498" s="210"/>
      <c r="AF498" s="284"/>
      <c r="AG498" s="209">
        <v>-2019.9795200000001</v>
      </c>
      <c r="AH498" s="210"/>
      <c r="AI498" s="284"/>
      <c r="AJ498" s="209">
        <v>-2019.9795200000001</v>
      </c>
      <c r="AK498" s="210"/>
      <c r="AL498" s="284"/>
      <c r="AM498" s="209">
        <v>-2019.9795200000001</v>
      </c>
      <c r="AN498" s="210"/>
      <c r="AO498" s="284"/>
      <c r="AP498" s="209">
        <v>-2019.9795200000001</v>
      </c>
      <c r="AQ498" s="210"/>
      <c r="AR498" s="284"/>
      <c r="AS498" s="209"/>
      <c r="AT498" s="210"/>
      <c r="AU498" s="284"/>
      <c r="AV498" s="209"/>
      <c r="AW498" s="210"/>
      <c r="AX498" s="284"/>
      <c r="AY498" s="209"/>
      <c r="AZ498" s="210"/>
      <c r="BA498" s="284"/>
      <c r="BB498" s="209"/>
      <c r="BC498" s="210"/>
      <c r="BD498" s="284"/>
      <c r="BE498" s="209"/>
      <c r="BF498" s="210"/>
      <c r="BG498" s="284"/>
      <c r="BH498" s="209"/>
      <c r="BI498" s="210"/>
    </row>
    <row r="499" spans="1:61" s="29" customFormat="1" hidden="1" outlineLevel="2" x14ac:dyDescent="0.3">
      <c r="A499" s="22" t="s">
        <v>152</v>
      </c>
      <c r="B499" s="23"/>
      <c r="C499" s="3"/>
      <c r="D499" s="16"/>
      <c r="E499" s="4"/>
      <c r="F499" s="23"/>
      <c r="G499" s="56"/>
      <c r="H499" s="284"/>
      <c r="I499" s="209">
        <v>-1965.32</v>
      </c>
      <c r="J499" s="210"/>
      <c r="K499" s="284"/>
      <c r="L499" s="209">
        <v>-1965.32</v>
      </c>
      <c r="M499" s="210"/>
      <c r="N499" s="284"/>
      <c r="O499" s="209">
        <v>-1965.32</v>
      </c>
      <c r="P499" s="210"/>
      <c r="Q499" s="284"/>
      <c r="R499" s="209">
        <v>-1965.32</v>
      </c>
      <c r="S499" s="210"/>
      <c r="T499" s="284"/>
      <c r="U499" s="209">
        <v>-1965.32</v>
      </c>
      <c r="V499" s="210"/>
      <c r="W499" s="284"/>
      <c r="X499" s="209">
        <v>-2047.8634400000001</v>
      </c>
      <c r="Y499" s="210"/>
      <c r="Z499" s="284"/>
      <c r="AA499" s="209">
        <v>-2047.8634400000001</v>
      </c>
      <c r="AB499" s="210"/>
      <c r="AC499" s="284"/>
      <c r="AD499" s="209">
        <v>-2047.8634400000001</v>
      </c>
      <c r="AE499" s="210"/>
      <c r="AF499" s="284"/>
      <c r="AG499" s="209">
        <v>-2047.8634400000001</v>
      </c>
      <c r="AH499" s="210"/>
      <c r="AI499" s="284"/>
      <c r="AJ499" s="209">
        <v>-2047.8634400000001</v>
      </c>
      <c r="AK499" s="210"/>
      <c r="AL499" s="284"/>
      <c r="AM499" s="209">
        <v>-2047.8634400000001</v>
      </c>
      <c r="AN499" s="210"/>
      <c r="AO499" s="284"/>
      <c r="AP499" s="209">
        <v>-2047.8634400000001</v>
      </c>
      <c r="AQ499" s="210"/>
      <c r="AR499" s="284"/>
      <c r="AS499" s="209"/>
      <c r="AT499" s="210"/>
      <c r="AU499" s="284"/>
      <c r="AV499" s="209"/>
      <c r="AW499" s="210"/>
      <c r="AX499" s="284"/>
      <c r="AY499" s="209"/>
      <c r="AZ499" s="210"/>
      <c r="BA499" s="284"/>
      <c r="BB499" s="209"/>
      <c r="BC499" s="210"/>
      <c r="BD499" s="284"/>
      <c r="BE499" s="209"/>
      <c r="BF499" s="210"/>
      <c r="BG499" s="284"/>
      <c r="BH499" s="209"/>
      <c r="BI499" s="210"/>
    </row>
    <row r="500" spans="1:61" s="29" customFormat="1" hidden="1" outlineLevel="2" x14ac:dyDescent="0.3">
      <c r="A500" s="22" t="s">
        <v>153</v>
      </c>
      <c r="B500" s="23"/>
      <c r="C500" s="3"/>
      <c r="D500" s="16"/>
      <c r="E500" s="4"/>
      <c r="F500" s="23"/>
      <c r="G500" s="56"/>
      <c r="H500" s="284"/>
      <c r="I500" s="209">
        <v>-2563.83</v>
      </c>
      <c r="J500" s="210"/>
      <c r="K500" s="284"/>
      <c r="L500" s="209">
        <v>-2563.83</v>
      </c>
      <c r="M500" s="210"/>
      <c r="N500" s="284"/>
      <c r="O500" s="209">
        <v>-2563.83</v>
      </c>
      <c r="P500" s="210"/>
      <c r="Q500" s="284"/>
      <c r="R500" s="209">
        <v>-2563.83</v>
      </c>
      <c r="S500" s="210"/>
      <c r="T500" s="284"/>
      <c r="U500" s="209">
        <v>-2563.83</v>
      </c>
      <c r="V500" s="210"/>
      <c r="W500" s="284"/>
      <c r="X500" s="209">
        <v>-2671.5108599999999</v>
      </c>
      <c r="Y500" s="210"/>
      <c r="Z500" s="284"/>
      <c r="AA500" s="209">
        <v>-2671.5108599999999</v>
      </c>
      <c r="AB500" s="210"/>
      <c r="AC500" s="284"/>
      <c r="AD500" s="209">
        <v>-2671.5108599999999</v>
      </c>
      <c r="AE500" s="210"/>
      <c r="AF500" s="284"/>
      <c r="AG500" s="209">
        <v>-2671.5108599999999</v>
      </c>
      <c r="AH500" s="210"/>
      <c r="AI500" s="284"/>
      <c r="AJ500" s="209">
        <v>-2671.5108599999999</v>
      </c>
      <c r="AK500" s="210"/>
      <c r="AL500" s="284"/>
      <c r="AM500" s="209">
        <v>-2671.5108599999999</v>
      </c>
      <c r="AN500" s="210"/>
      <c r="AO500" s="284"/>
      <c r="AP500" s="209">
        <v>-2671.5108599999999</v>
      </c>
      <c r="AQ500" s="210"/>
      <c r="AR500" s="284"/>
      <c r="AS500" s="209"/>
      <c r="AT500" s="210"/>
      <c r="AU500" s="284"/>
      <c r="AV500" s="209"/>
      <c r="AW500" s="210"/>
      <c r="AX500" s="284"/>
      <c r="AY500" s="209"/>
      <c r="AZ500" s="210"/>
      <c r="BA500" s="284"/>
      <c r="BB500" s="209"/>
      <c r="BC500" s="210"/>
      <c r="BD500" s="284"/>
      <c r="BE500" s="209"/>
      <c r="BF500" s="210"/>
      <c r="BG500" s="284"/>
      <c r="BH500" s="209"/>
      <c r="BI500" s="210"/>
    </row>
    <row r="501" spans="1:61" s="29" customFormat="1" hidden="1" outlineLevel="2" x14ac:dyDescent="0.3">
      <c r="A501" s="22" t="s">
        <v>154</v>
      </c>
      <c r="B501" s="23"/>
      <c r="C501" s="3"/>
      <c r="D501" s="16"/>
      <c r="E501" s="4"/>
      <c r="F501" s="23"/>
      <c r="G501" s="56"/>
      <c r="H501" s="284"/>
      <c r="I501" s="209">
        <v>-1869.4</v>
      </c>
      <c r="J501" s="210"/>
      <c r="K501" s="284"/>
      <c r="L501" s="209">
        <v>-1869.4</v>
      </c>
      <c r="M501" s="210"/>
      <c r="N501" s="284"/>
      <c r="O501" s="209">
        <v>-1869.4</v>
      </c>
      <c r="P501" s="210"/>
      <c r="Q501" s="284"/>
      <c r="R501" s="209">
        <v>-1869.4</v>
      </c>
      <c r="S501" s="210"/>
      <c r="T501" s="284"/>
      <c r="U501" s="209">
        <v>-1869.4</v>
      </c>
      <c r="V501" s="210"/>
      <c r="W501" s="284"/>
      <c r="X501" s="209">
        <v>-1947.9148</v>
      </c>
      <c r="Y501" s="210"/>
      <c r="Z501" s="284"/>
      <c r="AA501" s="209">
        <v>-1947.9148</v>
      </c>
      <c r="AB501" s="210"/>
      <c r="AC501" s="284"/>
      <c r="AD501" s="209">
        <v>-1947.9148</v>
      </c>
      <c r="AE501" s="210"/>
      <c r="AF501" s="284"/>
      <c r="AG501" s="209">
        <v>-1947.9148</v>
      </c>
      <c r="AH501" s="210"/>
      <c r="AI501" s="284"/>
      <c r="AJ501" s="209">
        <v>-1947.9148</v>
      </c>
      <c r="AK501" s="210"/>
      <c r="AL501" s="284"/>
      <c r="AM501" s="209">
        <v>-1947.9148</v>
      </c>
      <c r="AN501" s="210"/>
      <c r="AO501" s="284"/>
      <c r="AP501" s="209">
        <v>-1947.9148</v>
      </c>
      <c r="AQ501" s="210"/>
      <c r="AR501" s="284"/>
      <c r="AS501" s="209"/>
      <c r="AT501" s="210"/>
      <c r="AU501" s="284"/>
      <c r="AV501" s="209"/>
      <c r="AW501" s="210"/>
      <c r="AX501" s="284"/>
      <c r="AY501" s="209"/>
      <c r="AZ501" s="210"/>
      <c r="BA501" s="284"/>
      <c r="BB501" s="209"/>
      <c r="BC501" s="210"/>
      <c r="BD501" s="284"/>
      <c r="BE501" s="209"/>
      <c r="BF501" s="210"/>
      <c r="BG501" s="284"/>
      <c r="BH501" s="209"/>
      <c r="BI501" s="210"/>
    </row>
    <row r="502" spans="1:61" s="29" customFormat="1" hidden="1" outlineLevel="2" x14ac:dyDescent="0.3">
      <c r="A502" s="22" t="s">
        <v>155</v>
      </c>
      <c r="B502" s="23"/>
      <c r="C502" s="3"/>
      <c r="D502" s="16"/>
      <c r="E502" s="4"/>
      <c r="F502" s="23"/>
      <c r="G502" s="56"/>
      <c r="H502" s="284"/>
      <c r="I502" s="209">
        <v>-2330.67</v>
      </c>
      <c r="J502" s="210"/>
      <c r="K502" s="284"/>
      <c r="L502" s="209">
        <v>-2330.67</v>
      </c>
      <c r="M502" s="210"/>
      <c r="N502" s="284"/>
      <c r="O502" s="209">
        <v>-2330.67</v>
      </c>
      <c r="P502" s="210"/>
      <c r="Q502" s="284"/>
      <c r="R502" s="209">
        <v>-2330.67</v>
      </c>
      <c r="S502" s="210"/>
      <c r="T502" s="284"/>
      <c r="U502" s="209">
        <v>-2330.67</v>
      </c>
      <c r="V502" s="210"/>
      <c r="W502" s="284"/>
      <c r="X502" s="209">
        <v>-2428.5581400000001</v>
      </c>
      <c r="Y502" s="210"/>
      <c r="Z502" s="284"/>
      <c r="AA502" s="209">
        <v>-2428.5581400000001</v>
      </c>
      <c r="AB502" s="210"/>
      <c r="AC502" s="284"/>
      <c r="AD502" s="209">
        <v>-2428.5581400000001</v>
      </c>
      <c r="AE502" s="210"/>
      <c r="AF502" s="284"/>
      <c r="AG502" s="209">
        <v>-2428.5581400000001</v>
      </c>
      <c r="AH502" s="210"/>
      <c r="AI502" s="284"/>
      <c r="AJ502" s="209">
        <v>-2428.5581400000001</v>
      </c>
      <c r="AK502" s="210"/>
      <c r="AL502" s="284"/>
      <c r="AM502" s="209">
        <v>-2428.5581400000001</v>
      </c>
      <c r="AN502" s="210"/>
      <c r="AO502" s="284"/>
      <c r="AP502" s="209">
        <v>-2428.5581400000001</v>
      </c>
      <c r="AQ502" s="210"/>
      <c r="AR502" s="284"/>
      <c r="AS502" s="209"/>
      <c r="AT502" s="210"/>
      <c r="AU502" s="284"/>
      <c r="AV502" s="209"/>
      <c r="AW502" s="210"/>
      <c r="AX502" s="284"/>
      <c r="AY502" s="209"/>
      <c r="AZ502" s="210"/>
      <c r="BA502" s="284"/>
      <c r="BB502" s="209"/>
      <c r="BC502" s="210"/>
      <c r="BD502" s="284"/>
      <c r="BE502" s="209"/>
      <c r="BF502" s="210"/>
      <c r="BG502" s="284"/>
      <c r="BH502" s="209"/>
      <c r="BI502" s="210"/>
    </row>
    <row r="503" spans="1:61" s="29" customFormat="1" hidden="1" outlineLevel="2" x14ac:dyDescent="0.3">
      <c r="A503" s="22" t="s">
        <v>156</v>
      </c>
      <c r="B503" s="23"/>
      <c r="C503" s="3"/>
      <c r="D503" s="16"/>
      <c r="E503" s="4"/>
      <c r="F503" s="23"/>
      <c r="G503" s="56"/>
      <c r="H503" s="284"/>
      <c r="I503" s="209">
        <v>-2553.88</v>
      </c>
      <c r="J503" s="210"/>
      <c r="K503" s="284"/>
      <c r="L503" s="209">
        <v>-2553.88</v>
      </c>
      <c r="M503" s="210"/>
      <c r="N503" s="284"/>
      <c r="O503" s="209">
        <v>-2553.88</v>
      </c>
      <c r="P503" s="210"/>
      <c r="Q503" s="284"/>
      <c r="R503" s="209">
        <v>-2553.88</v>
      </c>
      <c r="S503" s="210"/>
      <c r="T503" s="284"/>
      <c r="U503" s="209">
        <v>-2553.88</v>
      </c>
      <c r="V503" s="210"/>
      <c r="W503" s="284"/>
      <c r="X503" s="209">
        <v>-2661.1429600000001</v>
      </c>
      <c r="Y503" s="210"/>
      <c r="Z503" s="284"/>
      <c r="AA503" s="209">
        <v>-2661.1429600000001</v>
      </c>
      <c r="AB503" s="210"/>
      <c r="AC503" s="284"/>
      <c r="AD503" s="209">
        <v>-2661.1429600000001</v>
      </c>
      <c r="AE503" s="210"/>
      <c r="AF503" s="284"/>
      <c r="AG503" s="209">
        <v>-2661.1429600000001</v>
      </c>
      <c r="AH503" s="210"/>
      <c r="AI503" s="284"/>
      <c r="AJ503" s="209">
        <v>-2661.1429600000001</v>
      </c>
      <c r="AK503" s="210"/>
      <c r="AL503" s="284"/>
      <c r="AM503" s="209">
        <v>-2661.1429600000001</v>
      </c>
      <c r="AN503" s="210"/>
      <c r="AO503" s="284"/>
      <c r="AP503" s="209">
        <v>-2661.1429600000001</v>
      </c>
      <c r="AQ503" s="210"/>
      <c r="AR503" s="284"/>
      <c r="AS503" s="209"/>
      <c r="AT503" s="210"/>
      <c r="AU503" s="284"/>
      <c r="AV503" s="209"/>
      <c r="AW503" s="210"/>
      <c r="AX503" s="284"/>
      <c r="AY503" s="209"/>
      <c r="AZ503" s="210"/>
      <c r="BA503" s="284"/>
      <c r="BB503" s="209"/>
      <c r="BC503" s="210"/>
      <c r="BD503" s="284"/>
      <c r="BE503" s="209"/>
      <c r="BF503" s="210"/>
      <c r="BG503" s="284"/>
      <c r="BH503" s="209"/>
      <c r="BI503" s="210"/>
    </row>
    <row r="504" spans="1:61" s="29" customFormat="1" hidden="1" outlineLevel="2" x14ac:dyDescent="0.3">
      <c r="A504" s="22" t="s">
        <v>157</v>
      </c>
      <c r="B504" s="23"/>
      <c r="C504" s="3"/>
      <c r="D504" s="16"/>
      <c r="E504" s="4"/>
      <c r="F504" s="23"/>
      <c r="G504" s="56"/>
      <c r="H504" s="284"/>
      <c r="I504" s="209">
        <v>0</v>
      </c>
      <c r="J504" s="210"/>
      <c r="K504" s="284"/>
      <c r="L504" s="209">
        <v>0</v>
      </c>
      <c r="M504" s="210"/>
      <c r="N504" s="284"/>
      <c r="O504" s="209">
        <v>0</v>
      </c>
      <c r="P504" s="210"/>
      <c r="Q504" s="284"/>
      <c r="R504" s="209">
        <v>0</v>
      </c>
      <c r="S504" s="210"/>
      <c r="T504" s="284"/>
      <c r="U504" s="209">
        <v>0</v>
      </c>
      <c r="V504" s="210"/>
      <c r="W504" s="284"/>
      <c r="X504" s="209">
        <v>0</v>
      </c>
      <c r="Y504" s="210"/>
      <c r="Z504" s="284"/>
      <c r="AA504" s="209">
        <v>0</v>
      </c>
      <c r="AB504" s="210"/>
      <c r="AC504" s="284"/>
      <c r="AD504" s="209">
        <v>0</v>
      </c>
      <c r="AE504" s="210"/>
      <c r="AF504" s="284"/>
      <c r="AG504" s="209">
        <v>0</v>
      </c>
      <c r="AH504" s="210"/>
      <c r="AI504" s="284"/>
      <c r="AJ504" s="209">
        <v>0</v>
      </c>
      <c r="AK504" s="210"/>
      <c r="AL504" s="284"/>
      <c r="AM504" s="209">
        <v>0</v>
      </c>
      <c r="AN504" s="210"/>
      <c r="AO504" s="284"/>
      <c r="AP504" s="209">
        <v>0</v>
      </c>
      <c r="AQ504" s="210"/>
      <c r="AR504" s="284"/>
      <c r="AS504" s="209"/>
      <c r="AT504" s="210"/>
      <c r="AU504" s="284"/>
      <c r="AV504" s="209"/>
      <c r="AW504" s="210"/>
      <c r="AX504" s="284"/>
      <c r="AY504" s="209"/>
      <c r="AZ504" s="210"/>
      <c r="BA504" s="284"/>
      <c r="BB504" s="209"/>
      <c r="BC504" s="210"/>
      <c r="BD504" s="284"/>
      <c r="BE504" s="209"/>
      <c r="BF504" s="210"/>
      <c r="BG504" s="284"/>
      <c r="BH504" s="209"/>
      <c r="BI504" s="210"/>
    </row>
    <row r="505" spans="1:61" s="29" customFormat="1" hidden="1" outlineLevel="2" x14ac:dyDescent="0.3">
      <c r="A505" s="22" t="s">
        <v>158</v>
      </c>
      <c r="B505" s="23"/>
      <c r="C505" s="3"/>
      <c r="D505" s="16"/>
      <c r="E505" s="4"/>
      <c r="F505" s="23"/>
      <c r="G505" s="56"/>
      <c r="H505" s="284"/>
      <c r="I505" s="209">
        <v>0</v>
      </c>
      <c r="J505" s="210"/>
      <c r="K505" s="284"/>
      <c r="L505" s="209">
        <v>0</v>
      </c>
      <c r="M505" s="210"/>
      <c r="N505" s="284"/>
      <c r="O505" s="209">
        <v>0</v>
      </c>
      <c r="P505" s="210"/>
      <c r="Q505" s="284"/>
      <c r="R505" s="209">
        <v>0</v>
      </c>
      <c r="S505" s="210"/>
      <c r="T505" s="284"/>
      <c r="U505" s="209">
        <v>0</v>
      </c>
      <c r="V505" s="210"/>
      <c r="W505" s="284"/>
      <c r="X505" s="209">
        <v>0</v>
      </c>
      <c r="Y505" s="210"/>
      <c r="Z505" s="284"/>
      <c r="AA505" s="209">
        <v>0</v>
      </c>
      <c r="AB505" s="210"/>
      <c r="AC505" s="284"/>
      <c r="AD505" s="209">
        <v>0</v>
      </c>
      <c r="AE505" s="210"/>
      <c r="AF505" s="284"/>
      <c r="AG505" s="209">
        <v>0</v>
      </c>
      <c r="AH505" s="210"/>
      <c r="AI505" s="284"/>
      <c r="AJ505" s="209">
        <v>0</v>
      </c>
      <c r="AK505" s="210"/>
      <c r="AL505" s="284"/>
      <c r="AM505" s="209">
        <v>0</v>
      </c>
      <c r="AN505" s="210"/>
      <c r="AO505" s="284"/>
      <c r="AP505" s="209">
        <v>0</v>
      </c>
      <c r="AQ505" s="210"/>
      <c r="AR505" s="284"/>
      <c r="AS505" s="209"/>
      <c r="AT505" s="210"/>
      <c r="AU505" s="284"/>
      <c r="AV505" s="209"/>
      <c r="AW505" s="210"/>
      <c r="AX505" s="284"/>
      <c r="AY505" s="209"/>
      <c r="AZ505" s="210"/>
      <c r="BA505" s="284"/>
      <c r="BB505" s="209"/>
      <c r="BC505" s="210"/>
      <c r="BD505" s="284"/>
      <c r="BE505" s="209"/>
      <c r="BF505" s="210"/>
      <c r="BG505" s="284"/>
      <c r="BH505" s="209"/>
      <c r="BI505" s="210"/>
    </row>
    <row r="506" spans="1:61" s="29" customFormat="1" hidden="1" outlineLevel="2" x14ac:dyDescent="0.3">
      <c r="A506" s="22" t="s">
        <v>159</v>
      </c>
      <c r="B506" s="23"/>
      <c r="C506" s="3"/>
      <c r="D506" s="16"/>
      <c r="E506" s="4"/>
      <c r="F506" s="23"/>
      <c r="G506" s="56"/>
      <c r="H506" s="284"/>
      <c r="I506" s="209">
        <v>0</v>
      </c>
      <c r="J506" s="210"/>
      <c r="K506" s="284"/>
      <c r="L506" s="209">
        <v>0</v>
      </c>
      <c r="M506" s="210"/>
      <c r="N506" s="284"/>
      <c r="O506" s="209">
        <v>0</v>
      </c>
      <c r="P506" s="210"/>
      <c r="Q506" s="284"/>
      <c r="R506" s="209">
        <v>0</v>
      </c>
      <c r="S506" s="210"/>
      <c r="T506" s="284"/>
      <c r="U506" s="209">
        <v>0</v>
      </c>
      <c r="V506" s="210"/>
      <c r="W506" s="284"/>
      <c r="X506" s="209">
        <v>0</v>
      </c>
      <c r="Y506" s="210"/>
      <c r="Z506" s="284"/>
      <c r="AA506" s="209">
        <v>0</v>
      </c>
      <c r="AB506" s="210"/>
      <c r="AC506" s="284"/>
      <c r="AD506" s="209">
        <v>0</v>
      </c>
      <c r="AE506" s="210"/>
      <c r="AF506" s="284"/>
      <c r="AG506" s="209">
        <v>0</v>
      </c>
      <c r="AH506" s="210"/>
      <c r="AI506" s="284"/>
      <c r="AJ506" s="209">
        <v>0</v>
      </c>
      <c r="AK506" s="210"/>
      <c r="AL506" s="284"/>
      <c r="AM506" s="209">
        <v>0</v>
      </c>
      <c r="AN506" s="210"/>
      <c r="AO506" s="284"/>
      <c r="AP506" s="209">
        <v>0</v>
      </c>
      <c r="AQ506" s="210"/>
      <c r="AR506" s="284"/>
      <c r="AS506" s="209"/>
      <c r="AT506" s="210"/>
      <c r="AU506" s="284"/>
      <c r="AV506" s="209"/>
      <c r="AW506" s="210"/>
      <c r="AX506" s="284"/>
      <c r="AY506" s="209"/>
      <c r="AZ506" s="210"/>
      <c r="BA506" s="284"/>
      <c r="BB506" s="209"/>
      <c r="BC506" s="210"/>
      <c r="BD506" s="284"/>
      <c r="BE506" s="209"/>
      <c r="BF506" s="210"/>
      <c r="BG506" s="284"/>
      <c r="BH506" s="209"/>
      <c r="BI506" s="210"/>
    </row>
    <row r="507" spans="1:61" s="29" customFormat="1" hidden="1" outlineLevel="2" x14ac:dyDescent="0.3">
      <c r="A507" s="22" t="s">
        <v>160</v>
      </c>
      <c r="B507" s="23"/>
      <c r="C507" s="3"/>
      <c r="D507" s="16"/>
      <c r="E507" s="4"/>
      <c r="F507" s="23"/>
      <c r="G507" s="56"/>
      <c r="H507" s="284"/>
      <c r="I507" s="209">
        <v>0</v>
      </c>
      <c r="J507" s="210"/>
      <c r="K507" s="284"/>
      <c r="L507" s="209">
        <v>0</v>
      </c>
      <c r="M507" s="210"/>
      <c r="N507" s="284"/>
      <c r="O507" s="209">
        <v>0</v>
      </c>
      <c r="P507" s="210"/>
      <c r="Q507" s="284"/>
      <c r="R507" s="209">
        <v>0</v>
      </c>
      <c r="S507" s="210"/>
      <c r="T507" s="284"/>
      <c r="U507" s="209">
        <v>0</v>
      </c>
      <c r="V507" s="210"/>
      <c r="W507" s="284"/>
      <c r="X507" s="209">
        <v>0</v>
      </c>
      <c r="Y507" s="210"/>
      <c r="Z507" s="284"/>
      <c r="AA507" s="209">
        <v>0</v>
      </c>
      <c r="AB507" s="210"/>
      <c r="AC507" s="284"/>
      <c r="AD507" s="209">
        <v>0</v>
      </c>
      <c r="AE507" s="210"/>
      <c r="AF507" s="284"/>
      <c r="AG507" s="209">
        <v>0</v>
      </c>
      <c r="AH507" s="210"/>
      <c r="AI507" s="284"/>
      <c r="AJ507" s="209">
        <v>0</v>
      </c>
      <c r="AK507" s="210"/>
      <c r="AL507" s="284"/>
      <c r="AM507" s="209">
        <v>0</v>
      </c>
      <c r="AN507" s="210"/>
      <c r="AO507" s="284"/>
      <c r="AP507" s="209">
        <v>0</v>
      </c>
      <c r="AQ507" s="210"/>
      <c r="AR507" s="284"/>
      <c r="AS507" s="209"/>
      <c r="AT507" s="210"/>
      <c r="AU507" s="284"/>
      <c r="AV507" s="209"/>
      <c r="AW507" s="210"/>
      <c r="AX507" s="284"/>
      <c r="AY507" s="209"/>
      <c r="AZ507" s="210"/>
      <c r="BA507" s="284"/>
      <c r="BB507" s="209"/>
      <c r="BC507" s="210"/>
      <c r="BD507" s="284"/>
      <c r="BE507" s="209"/>
      <c r="BF507" s="210"/>
      <c r="BG507" s="284"/>
      <c r="BH507" s="209"/>
      <c r="BI507" s="210"/>
    </row>
    <row r="508" spans="1:61" s="29" customFormat="1" hidden="1" outlineLevel="2" x14ac:dyDescent="0.3">
      <c r="A508" s="22" t="s">
        <v>161</v>
      </c>
      <c r="B508" s="23"/>
      <c r="C508" s="3"/>
      <c r="D508" s="16"/>
      <c r="E508" s="4"/>
      <c r="F508" s="23"/>
      <c r="G508" s="56"/>
      <c r="H508" s="284"/>
      <c r="I508" s="209">
        <v>0</v>
      </c>
      <c r="J508" s="210"/>
      <c r="K508" s="284"/>
      <c r="L508" s="209">
        <v>0</v>
      </c>
      <c r="M508" s="210"/>
      <c r="N508" s="284"/>
      <c r="O508" s="209">
        <v>0</v>
      </c>
      <c r="P508" s="210"/>
      <c r="Q508" s="284"/>
      <c r="R508" s="209">
        <v>0</v>
      </c>
      <c r="S508" s="210"/>
      <c r="T508" s="284"/>
      <c r="U508" s="209">
        <v>0</v>
      </c>
      <c r="V508" s="210"/>
      <c r="W508" s="284"/>
      <c r="X508" s="209">
        <v>0</v>
      </c>
      <c r="Y508" s="210"/>
      <c r="Z508" s="284"/>
      <c r="AA508" s="209">
        <v>0</v>
      </c>
      <c r="AB508" s="210"/>
      <c r="AC508" s="284"/>
      <c r="AD508" s="209">
        <v>0</v>
      </c>
      <c r="AE508" s="210"/>
      <c r="AF508" s="284"/>
      <c r="AG508" s="209">
        <v>0</v>
      </c>
      <c r="AH508" s="210"/>
      <c r="AI508" s="284"/>
      <c r="AJ508" s="209">
        <v>0</v>
      </c>
      <c r="AK508" s="210"/>
      <c r="AL508" s="284"/>
      <c r="AM508" s="209">
        <v>0</v>
      </c>
      <c r="AN508" s="210"/>
      <c r="AO508" s="284"/>
      <c r="AP508" s="209">
        <v>0</v>
      </c>
      <c r="AQ508" s="210"/>
      <c r="AR508" s="284"/>
      <c r="AS508" s="209"/>
      <c r="AT508" s="210"/>
      <c r="AU508" s="284"/>
      <c r="AV508" s="209"/>
      <c r="AW508" s="210"/>
      <c r="AX508" s="284"/>
      <c r="AY508" s="209"/>
      <c r="AZ508" s="210"/>
      <c r="BA508" s="284"/>
      <c r="BB508" s="209"/>
      <c r="BC508" s="210"/>
      <c r="BD508" s="284"/>
      <c r="BE508" s="209"/>
      <c r="BF508" s="210"/>
      <c r="BG508" s="284"/>
      <c r="BH508" s="209"/>
      <c r="BI508" s="210"/>
    </row>
    <row r="509" spans="1:61" s="29" customFormat="1" hidden="1" outlineLevel="2" x14ac:dyDescent="0.3">
      <c r="A509" s="22" t="s">
        <v>162</v>
      </c>
      <c r="B509" s="23"/>
      <c r="C509" s="3"/>
      <c r="D509" s="16"/>
      <c r="E509" s="4"/>
      <c r="F509" s="23"/>
      <c r="G509" s="56"/>
      <c r="H509" s="284"/>
      <c r="I509" s="209">
        <v>0</v>
      </c>
      <c r="J509" s="210"/>
      <c r="K509" s="284"/>
      <c r="L509" s="209">
        <v>0</v>
      </c>
      <c r="M509" s="210"/>
      <c r="N509" s="284"/>
      <c r="O509" s="209">
        <v>0</v>
      </c>
      <c r="P509" s="210"/>
      <c r="Q509" s="284"/>
      <c r="R509" s="209">
        <v>0</v>
      </c>
      <c r="S509" s="210"/>
      <c r="T509" s="284"/>
      <c r="U509" s="209">
        <v>0</v>
      </c>
      <c r="V509" s="210"/>
      <c r="W509" s="284"/>
      <c r="X509" s="209">
        <v>0</v>
      </c>
      <c r="Y509" s="210"/>
      <c r="Z509" s="284"/>
      <c r="AA509" s="209">
        <v>0</v>
      </c>
      <c r="AB509" s="210"/>
      <c r="AC509" s="284"/>
      <c r="AD509" s="209">
        <v>0</v>
      </c>
      <c r="AE509" s="210"/>
      <c r="AF509" s="284"/>
      <c r="AG509" s="209">
        <v>0</v>
      </c>
      <c r="AH509" s="210"/>
      <c r="AI509" s="284"/>
      <c r="AJ509" s="209">
        <v>0</v>
      </c>
      <c r="AK509" s="210"/>
      <c r="AL509" s="284"/>
      <c r="AM509" s="209">
        <v>0</v>
      </c>
      <c r="AN509" s="210"/>
      <c r="AO509" s="284"/>
      <c r="AP509" s="209">
        <v>0</v>
      </c>
      <c r="AQ509" s="210"/>
      <c r="AR509" s="284"/>
      <c r="AS509" s="209"/>
      <c r="AT509" s="210"/>
      <c r="AU509" s="284"/>
      <c r="AV509" s="209"/>
      <c r="AW509" s="210"/>
      <c r="AX509" s="284"/>
      <c r="AY509" s="209"/>
      <c r="AZ509" s="210"/>
      <c r="BA509" s="284"/>
      <c r="BB509" s="209"/>
      <c r="BC509" s="210"/>
      <c r="BD509" s="284"/>
      <c r="BE509" s="209"/>
      <c r="BF509" s="210"/>
      <c r="BG509" s="284"/>
      <c r="BH509" s="209"/>
      <c r="BI509" s="210"/>
    </row>
    <row r="510" spans="1:61" s="29" customFormat="1" hidden="1" outlineLevel="2" x14ac:dyDescent="0.3">
      <c r="A510" s="22" t="s">
        <v>163</v>
      </c>
      <c r="B510" s="23"/>
      <c r="C510" s="3"/>
      <c r="D510" s="16"/>
      <c r="E510" s="4"/>
      <c r="F510" s="23"/>
      <c r="G510" s="56"/>
      <c r="H510" s="284"/>
      <c r="I510" s="209">
        <v>-1938.56</v>
      </c>
      <c r="J510" s="210"/>
      <c r="K510" s="284"/>
      <c r="L510" s="209">
        <v>-1938.56</v>
      </c>
      <c r="M510" s="210"/>
      <c r="N510" s="284"/>
      <c r="O510" s="209">
        <v>-1938.56</v>
      </c>
      <c r="P510" s="210"/>
      <c r="Q510" s="284"/>
      <c r="R510" s="209">
        <v>-1938.56</v>
      </c>
      <c r="S510" s="210"/>
      <c r="T510" s="284"/>
      <c r="U510" s="209">
        <v>-1938.56</v>
      </c>
      <c r="V510" s="210"/>
      <c r="W510" s="284"/>
      <c r="X510" s="209">
        <v>-2019.9795200000001</v>
      </c>
      <c r="Y510" s="210"/>
      <c r="Z510" s="284"/>
      <c r="AA510" s="209">
        <v>-2019.9795200000001</v>
      </c>
      <c r="AB510" s="210"/>
      <c r="AC510" s="284"/>
      <c r="AD510" s="209">
        <v>-2019.9795200000001</v>
      </c>
      <c r="AE510" s="210"/>
      <c r="AF510" s="284"/>
      <c r="AG510" s="209">
        <v>-2019.9795200000001</v>
      </c>
      <c r="AH510" s="210"/>
      <c r="AI510" s="284"/>
      <c r="AJ510" s="209">
        <v>-2019.9795200000001</v>
      </c>
      <c r="AK510" s="210"/>
      <c r="AL510" s="284"/>
      <c r="AM510" s="209">
        <v>-2019.9795200000001</v>
      </c>
      <c r="AN510" s="210"/>
      <c r="AO510" s="284"/>
      <c r="AP510" s="209">
        <v>-2019.9795200000001</v>
      </c>
      <c r="AQ510" s="210"/>
      <c r="AR510" s="284"/>
      <c r="AS510" s="209"/>
      <c r="AT510" s="210"/>
      <c r="AU510" s="284"/>
      <c r="AV510" s="209"/>
      <c r="AW510" s="210"/>
      <c r="AX510" s="284"/>
      <c r="AY510" s="209"/>
      <c r="AZ510" s="210"/>
      <c r="BA510" s="284"/>
      <c r="BB510" s="209"/>
      <c r="BC510" s="210"/>
      <c r="BD510" s="284"/>
      <c r="BE510" s="209"/>
      <c r="BF510" s="210"/>
      <c r="BG510" s="284"/>
      <c r="BH510" s="209"/>
      <c r="BI510" s="210"/>
    </row>
    <row r="511" spans="1:61" s="29" customFormat="1" hidden="1" outlineLevel="2" x14ac:dyDescent="0.3">
      <c r="A511" s="22" t="s">
        <v>164</v>
      </c>
      <c r="B511" s="23"/>
      <c r="C511" s="3"/>
      <c r="D511" s="16"/>
      <c r="E511" s="4"/>
      <c r="F511" s="23"/>
      <c r="G511" s="56"/>
      <c r="H511" s="284"/>
      <c r="I511" s="209">
        <v>-2229.34</v>
      </c>
      <c r="J511" s="210"/>
      <c r="K511" s="284"/>
      <c r="L511" s="209">
        <v>-2229.34</v>
      </c>
      <c r="M511" s="210"/>
      <c r="N511" s="284"/>
      <c r="O511" s="209">
        <v>-2229.34</v>
      </c>
      <c r="P511" s="210"/>
      <c r="Q511" s="284"/>
      <c r="R511" s="209">
        <v>-2229.34</v>
      </c>
      <c r="S511" s="210"/>
      <c r="T511" s="284"/>
      <c r="U511" s="209">
        <v>-2229.34</v>
      </c>
      <c r="V511" s="210"/>
      <c r="W511" s="284"/>
      <c r="X511" s="209">
        <v>-2322.97228</v>
      </c>
      <c r="Y511" s="210"/>
      <c r="Z511" s="284"/>
      <c r="AA511" s="209">
        <v>-2322.97228</v>
      </c>
      <c r="AB511" s="210"/>
      <c r="AC511" s="284"/>
      <c r="AD511" s="209">
        <v>-2322.97228</v>
      </c>
      <c r="AE511" s="210"/>
      <c r="AF511" s="284"/>
      <c r="AG511" s="209">
        <v>-2322.97228</v>
      </c>
      <c r="AH511" s="210"/>
      <c r="AI511" s="284"/>
      <c r="AJ511" s="209">
        <v>-2322.97228</v>
      </c>
      <c r="AK511" s="210"/>
      <c r="AL511" s="284"/>
      <c r="AM511" s="209">
        <v>-2322.97228</v>
      </c>
      <c r="AN511" s="210"/>
      <c r="AO511" s="284"/>
      <c r="AP511" s="209">
        <v>-2322.97228</v>
      </c>
      <c r="AQ511" s="210"/>
      <c r="AR511" s="284"/>
      <c r="AS511" s="209"/>
      <c r="AT511" s="210"/>
      <c r="AU511" s="284"/>
      <c r="AV511" s="209"/>
      <c r="AW511" s="210"/>
      <c r="AX511" s="284"/>
      <c r="AY511" s="209"/>
      <c r="AZ511" s="210"/>
      <c r="BA511" s="284"/>
      <c r="BB511" s="209"/>
      <c r="BC511" s="210"/>
      <c r="BD511" s="284"/>
      <c r="BE511" s="209"/>
      <c r="BF511" s="210"/>
      <c r="BG511" s="284"/>
      <c r="BH511" s="209"/>
      <c r="BI511" s="210"/>
    </row>
    <row r="512" spans="1:61" s="29" customFormat="1" hidden="1" outlineLevel="2" x14ac:dyDescent="0.3">
      <c r="A512" s="22" t="s">
        <v>165</v>
      </c>
      <c r="B512" s="23"/>
      <c r="C512" s="3"/>
      <c r="D512" s="16"/>
      <c r="E512" s="4"/>
      <c r="F512" s="23"/>
      <c r="G512" s="56"/>
      <c r="H512" s="284"/>
      <c r="I512" s="209">
        <v>-2563.75</v>
      </c>
      <c r="J512" s="210"/>
      <c r="K512" s="284"/>
      <c r="L512" s="209">
        <v>-2563.75</v>
      </c>
      <c r="M512" s="210"/>
      <c r="N512" s="284"/>
      <c r="O512" s="209">
        <v>-2563.75</v>
      </c>
      <c r="P512" s="210"/>
      <c r="Q512" s="284"/>
      <c r="R512" s="209">
        <v>-2563.75</v>
      </c>
      <c r="S512" s="210"/>
      <c r="T512" s="284"/>
      <c r="U512" s="209">
        <v>-2563.75</v>
      </c>
      <c r="V512" s="210"/>
      <c r="W512" s="284"/>
      <c r="X512" s="209">
        <v>-2671.4274999999998</v>
      </c>
      <c r="Y512" s="210"/>
      <c r="Z512" s="284"/>
      <c r="AA512" s="209">
        <v>-2671.4274999999998</v>
      </c>
      <c r="AB512" s="210"/>
      <c r="AC512" s="284"/>
      <c r="AD512" s="209">
        <v>-2671.4274999999998</v>
      </c>
      <c r="AE512" s="210"/>
      <c r="AF512" s="284"/>
      <c r="AG512" s="209">
        <v>-2671.4274999999998</v>
      </c>
      <c r="AH512" s="210"/>
      <c r="AI512" s="284"/>
      <c r="AJ512" s="209">
        <v>-2671.4274999999998</v>
      </c>
      <c r="AK512" s="210"/>
      <c r="AL512" s="284"/>
      <c r="AM512" s="209">
        <v>-2671.4274999999998</v>
      </c>
      <c r="AN512" s="210"/>
      <c r="AO512" s="284"/>
      <c r="AP512" s="209">
        <v>-2671.4274999999998</v>
      </c>
      <c r="AQ512" s="210"/>
      <c r="AR512" s="284"/>
      <c r="AS512" s="209"/>
      <c r="AT512" s="210"/>
      <c r="AU512" s="284"/>
      <c r="AV512" s="209"/>
      <c r="AW512" s="210"/>
      <c r="AX512" s="284"/>
      <c r="AY512" s="209"/>
      <c r="AZ512" s="210"/>
      <c r="BA512" s="284"/>
      <c r="BB512" s="209"/>
      <c r="BC512" s="210"/>
      <c r="BD512" s="284"/>
      <c r="BE512" s="209"/>
      <c r="BF512" s="210"/>
      <c r="BG512" s="284"/>
      <c r="BH512" s="209"/>
      <c r="BI512" s="210"/>
    </row>
    <row r="513" spans="1:61" s="29" customFormat="1" hidden="1" outlineLevel="2" x14ac:dyDescent="0.3">
      <c r="A513" s="22" t="s">
        <v>166</v>
      </c>
      <c r="B513" s="23"/>
      <c r="C513" s="3"/>
      <c r="D513" s="16"/>
      <c r="E513" s="4"/>
      <c r="F513" s="23"/>
      <c r="G513" s="56"/>
      <c r="H513" s="284"/>
      <c r="I513" s="209">
        <v>0</v>
      </c>
      <c r="J513" s="210"/>
      <c r="K513" s="284"/>
      <c r="L513" s="209">
        <v>0</v>
      </c>
      <c r="M513" s="210"/>
      <c r="N513" s="284"/>
      <c r="O513" s="209">
        <v>0</v>
      </c>
      <c r="P513" s="210"/>
      <c r="Q513" s="284"/>
      <c r="R513" s="209">
        <v>0</v>
      </c>
      <c r="S513" s="210"/>
      <c r="T513" s="284"/>
      <c r="U513" s="209">
        <v>0</v>
      </c>
      <c r="V513" s="210"/>
      <c r="W513" s="284"/>
      <c r="X513" s="209">
        <v>0</v>
      </c>
      <c r="Y513" s="210"/>
      <c r="Z513" s="284"/>
      <c r="AA513" s="209">
        <v>0</v>
      </c>
      <c r="AB513" s="210"/>
      <c r="AC513" s="284"/>
      <c r="AD513" s="209">
        <v>0</v>
      </c>
      <c r="AE513" s="210"/>
      <c r="AF513" s="284"/>
      <c r="AG513" s="209">
        <v>0</v>
      </c>
      <c r="AH513" s="210"/>
      <c r="AI513" s="284"/>
      <c r="AJ513" s="209">
        <v>0</v>
      </c>
      <c r="AK513" s="210"/>
      <c r="AL513" s="284"/>
      <c r="AM513" s="209">
        <v>0</v>
      </c>
      <c r="AN513" s="210"/>
      <c r="AO513" s="284"/>
      <c r="AP513" s="209">
        <v>0</v>
      </c>
      <c r="AQ513" s="210"/>
      <c r="AR513" s="284"/>
      <c r="AS513" s="209"/>
      <c r="AT513" s="210"/>
      <c r="AU513" s="284"/>
      <c r="AV513" s="209"/>
      <c r="AW513" s="210"/>
      <c r="AX513" s="284"/>
      <c r="AY513" s="209"/>
      <c r="AZ513" s="210"/>
      <c r="BA513" s="284"/>
      <c r="BB513" s="209"/>
      <c r="BC513" s="210"/>
      <c r="BD513" s="284"/>
      <c r="BE513" s="209"/>
      <c r="BF513" s="210"/>
      <c r="BG513" s="284"/>
      <c r="BH513" s="209"/>
      <c r="BI513" s="210"/>
    </row>
    <row r="514" spans="1:61" s="29" customFormat="1" hidden="1" outlineLevel="2" x14ac:dyDescent="0.3">
      <c r="A514" s="22" t="s">
        <v>167</v>
      </c>
      <c r="B514" s="23"/>
      <c r="C514" s="3"/>
      <c r="D514" s="16"/>
      <c r="E514" s="4"/>
      <c r="F514" s="23"/>
      <c r="G514" s="56"/>
      <c r="H514" s="284"/>
      <c r="I514" s="209">
        <v>0</v>
      </c>
      <c r="J514" s="210"/>
      <c r="K514" s="284"/>
      <c r="L514" s="209">
        <v>0</v>
      </c>
      <c r="M514" s="210"/>
      <c r="N514" s="284"/>
      <c r="O514" s="209">
        <v>0</v>
      </c>
      <c r="P514" s="210"/>
      <c r="Q514" s="284"/>
      <c r="R514" s="209">
        <v>0</v>
      </c>
      <c r="S514" s="210"/>
      <c r="T514" s="284"/>
      <c r="U514" s="209">
        <v>0</v>
      </c>
      <c r="V514" s="210"/>
      <c r="W514" s="284"/>
      <c r="X514" s="209">
        <v>0</v>
      </c>
      <c r="Y514" s="210"/>
      <c r="Z514" s="284"/>
      <c r="AA514" s="209">
        <v>0</v>
      </c>
      <c r="AB514" s="210"/>
      <c r="AC514" s="284"/>
      <c r="AD514" s="209">
        <v>0</v>
      </c>
      <c r="AE514" s="210"/>
      <c r="AF514" s="284"/>
      <c r="AG514" s="209">
        <v>0</v>
      </c>
      <c r="AH514" s="210"/>
      <c r="AI514" s="284"/>
      <c r="AJ514" s="209">
        <v>0</v>
      </c>
      <c r="AK514" s="210"/>
      <c r="AL514" s="284"/>
      <c r="AM514" s="209">
        <v>0</v>
      </c>
      <c r="AN514" s="210"/>
      <c r="AO514" s="284"/>
      <c r="AP514" s="209">
        <v>0</v>
      </c>
      <c r="AQ514" s="210"/>
      <c r="AR514" s="284"/>
      <c r="AS514" s="209"/>
      <c r="AT514" s="210"/>
      <c r="AU514" s="284"/>
      <c r="AV514" s="209"/>
      <c r="AW514" s="210"/>
      <c r="AX514" s="284"/>
      <c r="AY514" s="209"/>
      <c r="AZ514" s="210"/>
      <c r="BA514" s="284"/>
      <c r="BB514" s="209"/>
      <c r="BC514" s="210"/>
      <c r="BD514" s="284"/>
      <c r="BE514" s="209"/>
      <c r="BF514" s="210"/>
      <c r="BG514" s="284"/>
      <c r="BH514" s="209"/>
      <c r="BI514" s="210"/>
    </row>
    <row r="515" spans="1:61" s="29" customFormat="1" hidden="1" outlineLevel="2" x14ac:dyDescent="0.3">
      <c r="A515" s="22" t="s">
        <v>168</v>
      </c>
      <c r="B515" s="23"/>
      <c r="C515" s="3"/>
      <c r="D515" s="16"/>
      <c r="E515" s="4"/>
      <c r="F515" s="23"/>
      <c r="G515" s="56"/>
      <c r="H515" s="284"/>
      <c r="I515" s="209">
        <v>0</v>
      </c>
      <c r="J515" s="210"/>
      <c r="K515" s="284"/>
      <c r="L515" s="209">
        <v>0</v>
      </c>
      <c r="M515" s="210"/>
      <c r="N515" s="284"/>
      <c r="O515" s="209">
        <v>0</v>
      </c>
      <c r="P515" s="210"/>
      <c r="Q515" s="284"/>
      <c r="R515" s="209">
        <v>0</v>
      </c>
      <c r="S515" s="210"/>
      <c r="T515" s="284"/>
      <c r="U515" s="209">
        <v>0</v>
      </c>
      <c r="V515" s="210"/>
      <c r="W515" s="284"/>
      <c r="X515" s="209">
        <v>0</v>
      </c>
      <c r="Y515" s="210"/>
      <c r="Z515" s="284"/>
      <c r="AA515" s="209">
        <v>0</v>
      </c>
      <c r="AB515" s="210"/>
      <c r="AC515" s="284"/>
      <c r="AD515" s="209">
        <v>0</v>
      </c>
      <c r="AE515" s="210"/>
      <c r="AF515" s="284"/>
      <c r="AG515" s="209">
        <v>0</v>
      </c>
      <c r="AH515" s="210"/>
      <c r="AI515" s="284"/>
      <c r="AJ515" s="209">
        <v>0</v>
      </c>
      <c r="AK515" s="210"/>
      <c r="AL515" s="284"/>
      <c r="AM515" s="209">
        <v>0</v>
      </c>
      <c r="AN515" s="210"/>
      <c r="AO515" s="284"/>
      <c r="AP515" s="209">
        <v>0</v>
      </c>
      <c r="AQ515" s="210"/>
      <c r="AR515" s="284"/>
      <c r="AS515" s="209"/>
      <c r="AT515" s="210"/>
      <c r="AU515" s="284"/>
      <c r="AV515" s="209"/>
      <c r="AW515" s="210"/>
      <c r="AX515" s="284"/>
      <c r="AY515" s="209"/>
      <c r="AZ515" s="210"/>
      <c r="BA515" s="284"/>
      <c r="BB515" s="209"/>
      <c r="BC515" s="210"/>
      <c r="BD515" s="284"/>
      <c r="BE515" s="209"/>
      <c r="BF515" s="210"/>
      <c r="BG515" s="284"/>
      <c r="BH515" s="209"/>
      <c r="BI515" s="210"/>
    </row>
    <row r="516" spans="1:61" s="29" customFormat="1" hidden="1" outlineLevel="2" x14ac:dyDescent="0.3">
      <c r="A516" s="22" t="s">
        <v>169</v>
      </c>
      <c r="B516" s="23"/>
      <c r="C516" s="3"/>
      <c r="D516" s="16"/>
      <c r="E516" s="4"/>
      <c r="F516" s="23"/>
      <c r="G516" s="56"/>
      <c r="H516" s="284"/>
      <c r="I516" s="209">
        <v>0</v>
      </c>
      <c r="J516" s="210"/>
      <c r="K516" s="284"/>
      <c r="L516" s="209">
        <v>0</v>
      </c>
      <c r="M516" s="210"/>
      <c r="N516" s="284"/>
      <c r="O516" s="209">
        <v>0</v>
      </c>
      <c r="P516" s="210"/>
      <c r="Q516" s="284"/>
      <c r="R516" s="209">
        <v>0</v>
      </c>
      <c r="S516" s="210"/>
      <c r="T516" s="284"/>
      <c r="U516" s="209">
        <v>0</v>
      </c>
      <c r="V516" s="210"/>
      <c r="W516" s="284"/>
      <c r="X516" s="209">
        <v>0</v>
      </c>
      <c r="Y516" s="210"/>
      <c r="Z516" s="284"/>
      <c r="AA516" s="209">
        <v>0</v>
      </c>
      <c r="AB516" s="210"/>
      <c r="AC516" s="284"/>
      <c r="AD516" s="209">
        <v>0</v>
      </c>
      <c r="AE516" s="210"/>
      <c r="AF516" s="284"/>
      <c r="AG516" s="209">
        <v>0</v>
      </c>
      <c r="AH516" s="210"/>
      <c r="AI516" s="284"/>
      <c r="AJ516" s="209">
        <v>0</v>
      </c>
      <c r="AK516" s="210"/>
      <c r="AL516" s="284"/>
      <c r="AM516" s="209">
        <v>0</v>
      </c>
      <c r="AN516" s="210"/>
      <c r="AO516" s="284"/>
      <c r="AP516" s="209">
        <v>0</v>
      </c>
      <c r="AQ516" s="210"/>
      <c r="AR516" s="284"/>
      <c r="AS516" s="209"/>
      <c r="AT516" s="210"/>
      <c r="AU516" s="284"/>
      <c r="AV516" s="209"/>
      <c r="AW516" s="210"/>
      <c r="AX516" s="284"/>
      <c r="AY516" s="209"/>
      <c r="AZ516" s="210"/>
      <c r="BA516" s="284"/>
      <c r="BB516" s="209"/>
      <c r="BC516" s="210"/>
      <c r="BD516" s="284"/>
      <c r="BE516" s="209"/>
      <c r="BF516" s="210"/>
      <c r="BG516" s="284"/>
      <c r="BH516" s="209"/>
      <c r="BI516" s="210"/>
    </row>
    <row r="517" spans="1:61" s="29" customFormat="1" hidden="1" outlineLevel="2" x14ac:dyDescent="0.3">
      <c r="A517" s="22" t="s">
        <v>170</v>
      </c>
      <c r="B517" s="23"/>
      <c r="C517" s="3"/>
      <c r="D517" s="16"/>
      <c r="E517" s="4"/>
      <c r="F517" s="23"/>
      <c r="G517" s="56"/>
      <c r="H517" s="284"/>
      <c r="I517" s="209">
        <v>0</v>
      </c>
      <c r="J517" s="210"/>
      <c r="K517" s="284"/>
      <c r="L517" s="209">
        <v>0</v>
      </c>
      <c r="M517" s="210"/>
      <c r="N517" s="284"/>
      <c r="O517" s="209">
        <v>0</v>
      </c>
      <c r="P517" s="210"/>
      <c r="Q517" s="284"/>
      <c r="R517" s="209">
        <v>0</v>
      </c>
      <c r="S517" s="210"/>
      <c r="T517" s="284"/>
      <c r="U517" s="209">
        <v>0</v>
      </c>
      <c r="V517" s="210"/>
      <c r="W517" s="284"/>
      <c r="X517" s="209">
        <v>0</v>
      </c>
      <c r="Y517" s="210"/>
      <c r="Z517" s="284"/>
      <c r="AA517" s="209">
        <v>0</v>
      </c>
      <c r="AB517" s="210"/>
      <c r="AC517" s="284"/>
      <c r="AD517" s="209">
        <v>0</v>
      </c>
      <c r="AE517" s="210"/>
      <c r="AF517" s="284"/>
      <c r="AG517" s="209">
        <v>0</v>
      </c>
      <c r="AH517" s="210"/>
      <c r="AI517" s="284"/>
      <c r="AJ517" s="209">
        <v>0</v>
      </c>
      <c r="AK517" s="210"/>
      <c r="AL517" s="284"/>
      <c r="AM517" s="209">
        <v>0</v>
      </c>
      <c r="AN517" s="210"/>
      <c r="AO517" s="284"/>
      <c r="AP517" s="209">
        <v>0</v>
      </c>
      <c r="AQ517" s="210"/>
      <c r="AR517" s="284"/>
      <c r="AS517" s="209"/>
      <c r="AT517" s="210"/>
      <c r="AU517" s="284"/>
      <c r="AV517" s="209"/>
      <c r="AW517" s="210"/>
      <c r="AX517" s="284"/>
      <c r="AY517" s="209"/>
      <c r="AZ517" s="210"/>
      <c r="BA517" s="284"/>
      <c r="BB517" s="209"/>
      <c r="BC517" s="210"/>
      <c r="BD517" s="284"/>
      <c r="BE517" s="209"/>
      <c r="BF517" s="210"/>
      <c r="BG517" s="284"/>
      <c r="BH517" s="209"/>
      <c r="BI517" s="210"/>
    </row>
    <row r="518" spans="1:61" s="29" customFormat="1" hidden="1" outlineLevel="2" x14ac:dyDescent="0.3">
      <c r="A518" s="22" t="s">
        <v>171</v>
      </c>
      <c r="B518" s="23"/>
      <c r="C518" s="3"/>
      <c r="D518" s="16"/>
      <c r="E518" s="4"/>
      <c r="F518" s="23"/>
      <c r="G518" s="56"/>
      <c r="H518" s="284"/>
      <c r="I518" s="209">
        <v>0</v>
      </c>
      <c r="J518" s="210"/>
      <c r="K518" s="284"/>
      <c r="L518" s="209">
        <v>0</v>
      </c>
      <c r="M518" s="210"/>
      <c r="N518" s="284"/>
      <c r="O518" s="209">
        <v>0</v>
      </c>
      <c r="P518" s="210"/>
      <c r="Q518" s="284"/>
      <c r="R518" s="209">
        <v>0</v>
      </c>
      <c r="S518" s="210"/>
      <c r="T518" s="284"/>
      <c r="U518" s="209">
        <v>0</v>
      </c>
      <c r="V518" s="210"/>
      <c r="W518" s="284"/>
      <c r="X518" s="209">
        <v>0</v>
      </c>
      <c r="Y518" s="210"/>
      <c r="Z518" s="284"/>
      <c r="AA518" s="209">
        <v>0</v>
      </c>
      <c r="AB518" s="210"/>
      <c r="AC518" s="284"/>
      <c r="AD518" s="209">
        <v>0</v>
      </c>
      <c r="AE518" s="210"/>
      <c r="AF518" s="284"/>
      <c r="AG518" s="209">
        <v>0</v>
      </c>
      <c r="AH518" s="210"/>
      <c r="AI518" s="284"/>
      <c r="AJ518" s="209">
        <v>0</v>
      </c>
      <c r="AK518" s="210"/>
      <c r="AL518" s="284"/>
      <c r="AM518" s="209">
        <v>0</v>
      </c>
      <c r="AN518" s="210"/>
      <c r="AO518" s="284"/>
      <c r="AP518" s="209">
        <v>0</v>
      </c>
      <c r="AQ518" s="210"/>
      <c r="AR518" s="284"/>
      <c r="AS518" s="209"/>
      <c r="AT518" s="210"/>
      <c r="AU518" s="284"/>
      <c r="AV518" s="209"/>
      <c r="AW518" s="210"/>
      <c r="AX518" s="284"/>
      <c r="AY518" s="209"/>
      <c r="AZ518" s="210"/>
      <c r="BA518" s="284"/>
      <c r="BB518" s="209"/>
      <c r="BC518" s="210"/>
      <c r="BD518" s="284"/>
      <c r="BE518" s="209"/>
      <c r="BF518" s="210"/>
      <c r="BG518" s="284"/>
      <c r="BH518" s="209"/>
      <c r="BI518" s="210"/>
    </row>
    <row r="519" spans="1:61" s="29" customFormat="1" hidden="1" outlineLevel="2" x14ac:dyDescent="0.3">
      <c r="A519" s="22" t="s">
        <v>172</v>
      </c>
      <c r="B519" s="23"/>
      <c r="C519" s="3"/>
      <c r="D519" s="16"/>
      <c r="E519" s="4"/>
      <c r="F519" s="23"/>
      <c r="G519" s="56"/>
      <c r="H519" s="284"/>
      <c r="I519" s="209">
        <v>-2148.2800000000002</v>
      </c>
      <c r="J519" s="210"/>
      <c r="K519" s="284"/>
      <c r="L519" s="209">
        <v>-2148.2800000000002</v>
      </c>
      <c r="M519" s="210"/>
      <c r="N519" s="284"/>
      <c r="O519" s="209">
        <v>-2148.2800000000002</v>
      </c>
      <c r="P519" s="210"/>
      <c r="Q519" s="284"/>
      <c r="R519" s="209">
        <v>-2148.2800000000002</v>
      </c>
      <c r="S519" s="210"/>
      <c r="T519" s="284"/>
      <c r="U519" s="209">
        <v>-2148.2800000000002</v>
      </c>
      <c r="V519" s="210"/>
      <c r="W519" s="284"/>
      <c r="X519" s="209">
        <v>-2238.50776</v>
      </c>
      <c r="Y519" s="210"/>
      <c r="Z519" s="284"/>
      <c r="AA519" s="209">
        <v>-2238.50776</v>
      </c>
      <c r="AB519" s="210"/>
      <c r="AC519" s="284"/>
      <c r="AD519" s="209">
        <v>-2238.50776</v>
      </c>
      <c r="AE519" s="210"/>
      <c r="AF519" s="284"/>
      <c r="AG519" s="209">
        <v>-2238.50776</v>
      </c>
      <c r="AH519" s="210"/>
      <c r="AI519" s="284"/>
      <c r="AJ519" s="209">
        <v>-2238.50776</v>
      </c>
      <c r="AK519" s="210"/>
      <c r="AL519" s="284"/>
      <c r="AM519" s="209">
        <v>-2238.50776</v>
      </c>
      <c r="AN519" s="210"/>
      <c r="AO519" s="284"/>
      <c r="AP519" s="209">
        <v>-2238.50776</v>
      </c>
      <c r="AQ519" s="210"/>
      <c r="AR519" s="284"/>
      <c r="AS519" s="209"/>
      <c r="AT519" s="210"/>
      <c r="AU519" s="284"/>
      <c r="AV519" s="209"/>
      <c r="AW519" s="210"/>
      <c r="AX519" s="284"/>
      <c r="AY519" s="209"/>
      <c r="AZ519" s="210"/>
      <c r="BA519" s="284"/>
      <c r="BB519" s="209"/>
      <c r="BC519" s="210"/>
      <c r="BD519" s="284"/>
      <c r="BE519" s="209"/>
      <c r="BF519" s="210"/>
      <c r="BG519" s="284"/>
      <c r="BH519" s="209"/>
      <c r="BI519" s="210"/>
    </row>
    <row r="520" spans="1:61" s="29" customFormat="1" hidden="1" outlineLevel="2" x14ac:dyDescent="0.3">
      <c r="A520" s="22" t="s">
        <v>173</v>
      </c>
      <c r="B520" s="23"/>
      <c r="C520" s="3"/>
      <c r="D520" s="16"/>
      <c r="E520" s="4"/>
      <c r="F520" s="23"/>
      <c r="G520" s="56"/>
      <c r="H520" s="284"/>
      <c r="I520" s="209">
        <v>0</v>
      </c>
      <c r="J520" s="210"/>
      <c r="K520" s="284"/>
      <c r="L520" s="209">
        <v>0</v>
      </c>
      <c r="M520" s="210"/>
      <c r="N520" s="284"/>
      <c r="O520" s="209">
        <v>0</v>
      </c>
      <c r="P520" s="210"/>
      <c r="Q520" s="284"/>
      <c r="R520" s="209">
        <v>0</v>
      </c>
      <c r="S520" s="210"/>
      <c r="T520" s="284"/>
      <c r="U520" s="209">
        <v>0</v>
      </c>
      <c r="V520" s="210"/>
      <c r="W520" s="284"/>
      <c r="X520" s="209">
        <v>0</v>
      </c>
      <c r="Y520" s="210"/>
      <c r="Z520" s="284"/>
      <c r="AA520" s="209">
        <v>0</v>
      </c>
      <c r="AB520" s="210"/>
      <c r="AC520" s="284"/>
      <c r="AD520" s="209">
        <v>0</v>
      </c>
      <c r="AE520" s="210"/>
      <c r="AF520" s="284"/>
      <c r="AG520" s="209">
        <v>0</v>
      </c>
      <c r="AH520" s="210"/>
      <c r="AI520" s="284"/>
      <c r="AJ520" s="209">
        <v>0</v>
      </c>
      <c r="AK520" s="210"/>
      <c r="AL520" s="284"/>
      <c r="AM520" s="209">
        <v>0</v>
      </c>
      <c r="AN520" s="210"/>
      <c r="AO520" s="284"/>
      <c r="AP520" s="209">
        <v>0</v>
      </c>
      <c r="AQ520" s="210"/>
      <c r="AR520" s="284"/>
      <c r="AS520" s="209"/>
      <c r="AT520" s="210"/>
      <c r="AU520" s="284"/>
      <c r="AV520" s="209"/>
      <c r="AW520" s="210"/>
      <c r="AX520" s="284"/>
      <c r="AY520" s="209"/>
      <c r="AZ520" s="210"/>
      <c r="BA520" s="284"/>
      <c r="BB520" s="209"/>
      <c r="BC520" s="210"/>
      <c r="BD520" s="284"/>
      <c r="BE520" s="209"/>
      <c r="BF520" s="210"/>
      <c r="BG520" s="284"/>
      <c r="BH520" s="209"/>
      <c r="BI520" s="210"/>
    </row>
    <row r="521" spans="1:61" s="29" customFormat="1" hidden="1" outlineLevel="2" x14ac:dyDescent="0.3">
      <c r="A521" s="22" t="s">
        <v>174</v>
      </c>
      <c r="B521" s="23"/>
      <c r="C521" s="3"/>
      <c r="D521" s="16"/>
      <c r="E521" s="4"/>
      <c r="F521" s="23"/>
      <c r="G521" s="56"/>
      <c r="H521" s="284"/>
      <c r="I521" s="209">
        <v>0</v>
      </c>
      <c r="J521" s="210"/>
      <c r="K521" s="284"/>
      <c r="L521" s="209">
        <v>0</v>
      </c>
      <c r="M521" s="210"/>
      <c r="N521" s="284"/>
      <c r="O521" s="209">
        <v>0</v>
      </c>
      <c r="P521" s="210"/>
      <c r="Q521" s="284"/>
      <c r="R521" s="209">
        <v>0</v>
      </c>
      <c r="S521" s="210"/>
      <c r="T521" s="284"/>
      <c r="U521" s="209">
        <v>0</v>
      </c>
      <c r="V521" s="210"/>
      <c r="W521" s="284"/>
      <c r="X521" s="209">
        <v>0</v>
      </c>
      <c r="Y521" s="210"/>
      <c r="Z521" s="284"/>
      <c r="AA521" s="209">
        <v>0</v>
      </c>
      <c r="AB521" s="210"/>
      <c r="AC521" s="284"/>
      <c r="AD521" s="209">
        <v>0</v>
      </c>
      <c r="AE521" s="210"/>
      <c r="AF521" s="284"/>
      <c r="AG521" s="209">
        <v>0</v>
      </c>
      <c r="AH521" s="210"/>
      <c r="AI521" s="284"/>
      <c r="AJ521" s="209">
        <v>0</v>
      </c>
      <c r="AK521" s="210"/>
      <c r="AL521" s="284"/>
      <c r="AM521" s="209">
        <v>0</v>
      </c>
      <c r="AN521" s="210"/>
      <c r="AO521" s="284"/>
      <c r="AP521" s="209">
        <v>0</v>
      </c>
      <c r="AQ521" s="210"/>
      <c r="AR521" s="284"/>
      <c r="AS521" s="209"/>
      <c r="AT521" s="210"/>
      <c r="AU521" s="284"/>
      <c r="AV521" s="209"/>
      <c r="AW521" s="210"/>
      <c r="AX521" s="284"/>
      <c r="AY521" s="209"/>
      <c r="AZ521" s="210"/>
      <c r="BA521" s="284"/>
      <c r="BB521" s="209"/>
      <c r="BC521" s="210"/>
      <c r="BD521" s="284"/>
      <c r="BE521" s="209"/>
      <c r="BF521" s="210"/>
      <c r="BG521" s="284"/>
      <c r="BH521" s="209"/>
      <c r="BI521" s="210"/>
    </row>
    <row r="522" spans="1:61" s="29" customFormat="1" hidden="1" outlineLevel="2" x14ac:dyDescent="0.3">
      <c r="A522" s="22" t="s">
        <v>175</v>
      </c>
      <c r="B522" s="23"/>
      <c r="C522" s="3"/>
      <c r="D522" s="16"/>
      <c r="E522" s="4"/>
      <c r="F522" s="23"/>
      <c r="G522" s="56"/>
      <c r="H522" s="284"/>
      <c r="I522" s="209">
        <v>0</v>
      </c>
      <c r="J522" s="210"/>
      <c r="K522" s="284"/>
      <c r="L522" s="209">
        <v>0</v>
      </c>
      <c r="M522" s="210"/>
      <c r="N522" s="284"/>
      <c r="O522" s="209">
        <v>0</v>
      </c>
      <c r="P522" s="210"/>
      <c r="Q522" s="284"/>
      <c r="R522" s="209">
        <v>0</v>
      </c>
      <c r="S522" s="210"/>
      <c r="T522" s="284"/>
      <c r="U522" s="209">
        <v>0</v>
      </c>
      <c r="V522" s="210"/>
      <c r="W522" s="284"/>
      <c r="X522" s="209">
        <v>0</v>
      </c>
      <c r="Y522" s="210"/>
      <c r="Z522" s="284"/>
      <c r="AA522" s="209">
        <v>0</v>
      </c>
      <c r="AB522" s="210"/>
      <c r="AC522" s="284"/>
      <c r="AD522" s="209">
        <v>0</v>
      </c>
      <c r="AE522" s="210"/>
      <c r="AF522" s="284"/>
      <c r="AG522" s="209">
        <v>0</v>
      </c>
      <c r="AH522" s="210"/>
      <c r="AI522" s="284"/>
      <c r="AJ522" s="209">
        <v>0</v>
      </c>
      <c r="AK522" s="210"/>
      <c r="AL522" s="284"/>
      <c r="AM522" s="209">
        <v>0</v>
      </c>
      <c r="AN522" s="210"/>
      <c r="AO522" s="284"/>
      <c r="AP522" s="209">
        <v>0</v>
      </c>
      <c r="AQ522" s="210"/>
      <c r="AR522" s="284"/>
      <c r="AS522" s="209"/>
      <c r="AT522" s="210"/>
      <c r="AU522" s="284"/>
      <c r="AV522" s="209"/>
      <c r="AW522" s="210"/>
      <c r="AX522" s="284"/>
      <c r="AY522" s="209"/>
      <c r="AZ522" s="210"/>
      <c r="BA522" s="284"/>
      <c r="BB522" s="209"/>
      <c r="BC522" s="210"/>
      <c r="BD522" s="284"/>
      <c r="BE522" s="209"/>
      <c r="BF522" s="210"/>
      <c r="BG522" s="284"/>
      <c r="BH522" s="209"/>
      <c r="BI522" s="210"/>
    </row>
    <row r="523" spans="1:61" s="29" customFormat="1" hidden="1" outlineLevel="2" x14ac:dyDescent="0.3">
      <c r="A523" s="22" t="s">
        <v>176</v>
      </c>
      <c r="B523" s="23"/>
      <c r="C523" s="3"/>
      <c r="D523" s="16"/>
      <c r="E523" s="4"/>
      <c r="F523" s="23"/>
      <c r="G523" s="56"/>
      <c r="H523" s="284"/>
      <c r="I523" s="209">
        <v>0</v>
      </c>
      <c r="J523" s="210"/>
      <c r="K523" s="284"/>
      <c r="L523" s="209">
        <v>0</v>
      </c>
      <c r="M523" s="210"/>
      <c r="N523" s="284"/>
      <c r="O523" s="209">
        <v>0</v>
      </c>
      <c r="P523" s="210"/>
      <c r="Q523" s="284"/>
      <c r="R523" s="209">
        <v>0</v>
      </c>
      <c r="S523" s="210"/>
      <c r="T523" s="284"/>
      <c r="U523" s="209">
        <v>0</v>
      </c>
      <c r="V523" s="210"/>
      <c r="W523" s="284"/>
      <c r="X523" s="209">
        <v>0</v>
      </c>
      <c r="Y523" s="210"/>
      <c r="Z523" s="284"/>
      <c r="AA523" s="209">
        <v>0</v>
      </c>
      <c r="AB523" s="210"/>
      <c r="AC523" s="284"/>
      <c r="AD523" s="209">
        <v>0</v>
      </c>
      <c r="AE523" s="210"/>
      <c r="AF523" s="284"/>
      <c r="AG523" s="209">
        <v>0</v>
      </c>
      <c r="AH523" s="210"/>
      <c r="AI523" s="284"/>
      <c r="AJ523" s="209">
        <v>0</v>
      </c>
      <c r="AK523" s="210"/>
      <c r="AL523" s="284"/>
      <c r="AM523" s="209">
        <v>0</v>
      </c>
      <c r="AN523" s="210"/>
      <c r="AO523" s="284"/>
      <c r="AP523" s="209">
        <v>0</v>
      </c>
      <c r="AQ523" s="210"/>
      <c r="AR523" s="284"/>
      <c r="AS523" s="209"/>
      <c r="AT523" s="210"/>
      <c r="AU523" s="284"/>
      <c r="AV523" s="209"/>
      <c r="AW523" s="210"/>
      <c r="AX523" s="284"/>
      <c r="AY523" s="209"/>
      <c r="AZ523" s="210"/>
      <c r="BA523" s="284"/>
      <c r="BB523" s="209"/>
      <c r="BC523" s="210"/>
      <c r="BD523" s="284"/>
      <c r="BE523" s="209"/>
      <c r="BF523" s="210"/>
      <c r="BG523" s="284"/>
      <c r="BH523" s="209"/>
      <c r="BI523" s="210"/>
    </row>
    <row r="524" spans="1:61" s="29" customFormat="1" hidden="1" outlineLevel="2" x14ac:dyDescent="0.3">
      <c r="A524" s="22" t="s">
        <v>177</v>
      </c>
      <c r="B524" s="23"/>
      <c r="C524" s="3"/>
      <c r="D524" s="16"/>
      <c r="E524" s="4"/>
      <c r="F524" s="23"/>
      <c r="G524" s="56"/>
      <c r="H524" s="284"/>
      <c r="I524" s="209">
        <v>0</v>
      </c>
      <c r="J524" s="210"/>
      <c r="K524" s="284"/>
      <c r="L524" s="209">
        <v>0</v>
      </c>
      <c r="M524" s="210"/>
      <c r="N524" s="284"/>
      <c r="O524" s="209">
        <v>0</v>
      </c>
      <c r="P524" s="210"/>
      <c r="Q524" s="284"/>
      <c r="R524" s="209">
        <v>0</v>
      </c>
      <c r="S524" s="210"/>
      <c r="T524" s="284"/>
      <c r="U524" s="209">
        <v>0</v>
      </c>
      <c r="V524" s="210"/>
      <c r="W524" s="284"/>
      <c r="X524" s="209">
        <v>0</v>
      </c>
      <c r="Y524" s="210"/>
      <c r="Z524" s="284"/>
      <c r="AA524" s="209">
        <v>0</v>
      </c>
      <c r="AB524" s="210"/>
      <c r="AC524" s="284"/>
      <c r="AD524" s="209">
        <v>0</v>
      </c>
      <c r="AE524" s="210"/>
      <c r="AF524" s="284"/>
      <c r="AG524" s="209">
        <v>0</v>
      </c>
      <c r="AH524" s="210"/>
      <c r="AI524" s="284"/>
      <c r="AJ524" s="209">
        <v>0</v>
      </c>
      <c r="AK524" s="210"/>
      <c r="AL524" s="284"/>
      <c r="AM524" s="209">
        <v>0</v>
      </c>
      <c r="AN524" s="210"/>
      <c r="AO524" s="284"/>
      <c r="AP524" s="209">
        <v>0</v>
      </c>
      <c r="AQ524" s="210"/>
      <c r="AR524" s="284"/>
      <c r="AS524" s="209"/>
      <c r="AT524" s="210"/>
      <c r="AU524" s="284"/>
      <c r="AV524" s="209"/>
      <c r="AW524" s="210"/>
      <c r="AX524" s="284"/>
      <c r="AY524" s="209"/>
      <c r="AZ524" s="210"/>
      <c r="BA524" s="284"/>
      <c r="BB524" s="209"/>
      <c r="BC524" s="210"/>
      <c r="BD524" s="284"/>
      <c r="BE524" s="209"/>
      <c r="BF524" s="210"/>
      <c r="BG524" s="284"/>
      <c r="BH524" s="209"/>
      <c r="BI524" s="210"/>
    </row>
    <row r="525" spans="1:61" s="29" customFormat="1" hidden="1" outlineLevel="2" x14ac:dyDescent="0.3">
      <c r="A525" s="22" t="s">
        <v>178</v>
      </c>
      <c r="B525" s="23"/>
      <c r="C525" s="3"/>
      <c r="D525" s="16"/>
      <c r="E525" s="4"/>
      <c r="F525" s="23"/>
      <c r="G525" s="56"/>
      <c r="H525" s="284"/>
      <c r="I525" s="209">
        <v>0</v>
      </c>
      <c r="J525" s="210"/>
      <c r="K525" s="284"/>
      <c r="L525" s="209">
        <v>0</v>
      </c>
      <c r="M525" s="210"/>
      <c r="N525" s="284"/>
      <c r="O525" s="209">
        <v>0</v>
      </c>
      <c r="P525" s="210"/>
      <c r="Q525" s="284"/>
      <c r="R525" s="209">
        <v>0</v>
      </c>
      <c r="S525" s="210"/>
      <c r="T525" s="284"/>
      <c r="U525" s="209">
        <v>0</v>
      </c>
      <c r="V525" s="210"/>
      <c r="W525" s="284"/>
      <c r="X525" s="209">
        <v>0</v>
      </c>
      <c r="Y525" s="210"/>
      <c r="Z525" s="284"/>
      <c r="AA525" s="209">
        <v>0</v>
      </c>
      <c r="AB525" s="210"/>
      <c r="AC525" s="284"/>
      <c r="AD525" s="209">
        <v>0</v>
      </c>
      <c r="AE525" s="210"/>
      <c r="AF525" s="284"/>
      <c r="AG525" s="209">
        <v>0</v>
      </c>
      <c r="AH525" s="210"/>
      <c r="AI525" s="284"/>
      <c r="AJ525" s="209">
        <v>0</v>
      </c>
      <c r="AK525" s="210"/>
      <c r="AL525" s="284"/>
      <c r="AM525" s="209">
        <v>0</v>
      </c>
      <c r="AN525" s="210"/>
      <c r="AO525" s="284"/>
      <c r="AP525" s="209">
        <v>0</v>
      </c>
      <c r="AQ525" s="210"/>
      <c r="AR525" s="284"/>
      <c r="AS525" s="209"/>
      <c r="AT525" s="210"/>
      <c r="AU525" s="284"/>
      <c r="AV525" s="209"/>
      <c r="AW525" s="210"/>
      <c r="AX525" s="284"/>
      <c r="AY525" s="209"/>
      <c r="AZ525" s="210"/>
      <c r="BA525" s="284"/>
      <c r="BB525" s="209"/>
      <c r="BC525" s="210"/>
      <c r="BD525" s="284"/>
      <c r="BE525" s="209"/>
      <c r="BF525" s="210"/>
      <c r="BG525" s="284"/>
      <c r="BH525" s="209"/>
      <c r="BI525" s="210"/>
    </row>
    <row r="526" spans="1:61" s="29" customFormat="1" hidden="1" outlineLevel="2" x14ac:dyDescent="0.3">
      <c r="A526" s="22" t="s">
        <v>179</v>
      </c>
      <c r="B526" s="23"/>
      <c r="C526" s="3"/>
      <c r="D526" s="16"/>
      <c r="E526" s="4"/>
      <c r="F526" s="23"/>
      <c r="G526" s="56"/>
      <c r="H526" s="284"/>
      <c r="I526" s="209">
        <v>0</v>
      </c>
      <c r="J526" s="210"/>
      <c r="K526" s="284"/>
      <c r="L526" s="209">
        <v>0</v>
      </c>
      <c r="M526" s="210"/>
      <c r="N526" s="284"/>
      <c r="O526" s="209">
        <v>0</v>
      </c>
      <c r="P526" s="210"/>
      <c r="Q526" s="284"/>
      <c r="R526" s="209">
        <v>0</v>
      </c>
      <c r="S526" s="210"/>
      <c r="T526" s="284"/>
      <c r="U526" s="209">
        <v>0</v>
      </c>
      <c r="V526" s="210"/>
      <c r="W526" s="284"/>
      <c r="X526" s="209">
        <v>0</v>
      </c>
      <c r="Y526" s="210"/>
      <c r="Z526" s="284"/>
      <c r="AA526" s="209">
        <v>0</v>
      </c>
      <c r="AB526" s="210"/>
      <c r="AC526" s="284"/>
      <c r="AD526" s="209">
        <v>0</v>
      </c>
      <c r="AE526" s="210"/>
      <c r="AF526" s="284"/>
      <c r="AG526" s="209">
        <v>0</v>
      </c>
      <c r="AH526" s="210"/>
      <c r="AI526" s="284"/>
      <c r="AJ526" s="209">
        <v>0</v>
      </c>
      <c r="AK526" s="210"/>
      <c r="AL526" s="284"/>
      <c r="AM526" s="209">
        <v>0</v>
      </c>
      <c r="AN526" s="210"/>
      <c r="AO526" s="284"/>
      <c r="AP526" s="209">
        <v>0</v>
      </c>
      <c r="AQ526" s="210"/>
      <c r="AR526" s="284"/>
      <c r="AS526" s="209"/>
      <c r="AT526" s="210"/>
      <c r="AU526" s="284"/>
      <c r="AV526" s="209"/>
      <c r="AW526" s="210"/>
      <c r="AX526" s="284"/>
      <c r="AY526" s="209"/>
      <c r="AZ526" s="210"/>
      <c r="BA526" s="284"/>
      <c r="BB526" s="209"/>
      <c r="BC526" s="210"/>
      <c r="BD526" s="284"/>
      <c r="BE526" s="209"/>
      <c r="BF526" s="210"/>
      <c r="BG526" s="284"/>
      <c r="BH526" s="209"/>
      <c r="BI526" s="210"/>
    </row>
    <row r="527" spans="1:61" s="29" customFormat="1" hidden="1" outlineLevel="2" x14ac:dyDescent="0.3">
      <c r="A527" s="22" t="s">
        <v>180</v>
      </c>
      <c r="B527" s="23"/>
      <c r="C527" s="3"/>
      <c r="D527" s="16"/>
      <c r="E527" s="4"/>
      <c r="F527" s="23"/>
      <c r="G527" s="56"/>
      <c r="H527" s="284"/>
      <c r="I527" s="209">
        <v>-1869.4</v>
      </c>
      <c r="J527" s="210"/>
      <c r="K527" s="284"/>
      <c r="L527" s="209">
        <v>-1869.4</v>
      </c>
      <c r="M527" s="210"/>
      <c r="N527" s="284"/>
      <c r="O527" s="209">
        <v>-1869.4</v>
      </c>
      <c r="P527" s="210"/>
      <c r="Q527" s="284"/>
      <c r="R527" s="209">
        <v>-1869.4</v>
      </c>
      <c r="S527" s="210"/>
      <c r="T527" s="284"/>
      <c r="U527" s="209">
        <v>-1869.4</v>
      </c>
      <c r="V527" s="210"/>
      <c r="W527" s="284"/>
      <c r="X527" s="209">
        <v>-1947.9148</v>
      </c>
      <c r="Y527" s="210"/>
      <c r="Z527" s="284"/>
      <c r="AA527" s="209">
        <v>-1947.9148</v>
      </c>
      <c r="AB527" s="210"/>
      <c r="AC527" s="284"/>
      <c r="AD527" s="209">
        <v>-1947.9148</v>
      </c>
      <c r="AE527" s="210"/>
      <c r="AF527" s="284"/>
      <c r="AG527" s="209">
        <v>-1947.9148</v>
      </c>
      <c r="AH527" s="210"/>
      <c r="AI527" s="284"/>
      <c r="AJ527" s="209">
        <v>-1947.9148</v>
      </c>
      <c r="AK527" s="210"/>
      <c r="AL527" s="284"/>
      <c r="AM527" s="209">
        <v>-1947.9148</v>
      </c>
      <c r="AN527" s="210"/>
      <c r="AO527" s="284"/>
      <c r="AP527" s="209">
        <v>-1947.9148</v>
      </c>
      <c r="AQ527" s="210"/>
      <c r="AR527" s="284"/>
      <c r="AS527" s="209"/>
      <c r="AT527" s="210"/>
      <c r="AU527" s="284"/>
      <c r="AV527" s="209"/>
      <c r="AW527" s="210"/>
      <c r="AX527" s="284"/>
      <c r="AY527" s="209"/>
      <c r="AZ527" s="210"/>
      <c r="BA527" s="284"/>
      <c r="BB527" s="209"/>
      <c r="BC527" s="210"/>
      <c r="BD527" s="284"/>
      <c r="BE527" s="209"/>
      <c r="BF527" s="210"/>
      <c r="BG527" s="284"/>
      <c r="BH527" s="209"/>
      <c r="BI527" s="210"/>
    </row>
    <row r="528" spans="1:61" s="29" customFormat="1" hidden="1" outlineLevel="2" x14ac:dyDescent="0.3">
      <c r="A528" s="22" t="s">
        <v>181</v>
      </c>
      <c r="B528" s="23"/>
      <c r="C528" s="3"/>
      <c r="D528" s="16"/>
      <c r="E528" s="4"/>
      <c r="F528" s="23"/>
      <c r="G528" s="56"/>
      <c r="H528" s="284"/>
      <c r="I528" s="209">
        <v>-1515.31</v>
      </c>
      <c r="J528" s="210"/>
      <c r="K528" s="284"/>
      <c r="L528" s="209">
        <v>-1515.31</v>
      </c>
      <c r="M528" s="210"/>
      <c r="N528" s="284"/>
      <c r="O528" s="209">
        <v>-1515.31</v>
      </c>
      <c r="P528" s="210"/>
      <c r="Q528" s="284"/>
      <c r="R528" s="209">
        <v>-1515.31</v>
      </c>
      <c r="S528" s="210"/>
      <c r="T528" s="284"/>
      <c r="U528" s="209">
        <v>-1515.31</v>
      </c>
      <c r="V528" s="210"/>
      <c r="W528" s="284"/>
      <c r="X528" s="209">
        <v>-1578.9530199999999</v>
      </c>
      <c r="Y528" s="210"/>
      <c r="Z528" s="284"/>
      <c r="AA528" s="209">
        <v>-1578.9530199999999</v>
      </c>
      <c r="AB528" s="210"/>
      <c r="AC528" s="284"/>
      <c r="AD528" s="209">
        <v>-1578.9530199999999</v>
      </c>
      <c r="AE528" s="210"/>
      <c r="AF528" s="284"/>
      <c r="AG528" s="209">
        <v>-1578.9530199999999</v>
      </c>
      <c r="AH528" s="210"/>
      <c r="AI528" s="284"/>
      <c r="AJ528" s="209">
        <v>-1578.9530199999999</v>
      </c>
      <c r="AK528" s="210"/>
      <c r="AL528" s="284"/>
      <c r="AM528" s="209">
        <v>-1578.9530199999999</v>
      </c>
      <c r="AN528" s="210"/>
      <c r="AO528" s="284"/>
      <c r="AP528" s="209">
        <v>-1578.9530199999999</v>
      </c>
      <c r="AQ528" s="210"/>
      <c r="AR528" s="284"/>
      <c r="AS528" s="209"/>
      <c r="AT528" s="210"/>
      <c r="AU528" s="284"/>
      <c r="AV528" s="209"/>
      <c r="AW528" s="210"/>
      <c r="AX528" s="284"/>
      <c r="AY528" s="209"/>
      <c r="AZ528" s="210"/>
      <c r="BA528" s="284"/>
      <c r="BB528" s="209"/>
      <c r="BC528" s="210"/>
      <c r="BD528" s="284"/>
      <c r="BE528" s="209"/>
      <c r="BF528" s="210"/>
      <c r="BG528" s="284"/>
      <c r="BH528" s="209"/>
      <c r="BI528" s="210"/>
    </row>
    <row r="529" spans="1:61" s="29" customFormat="1" hidden="1" outlineLevel="2" x14ac:dyDescent="0.3">
      <c r="A529" s="22" t="s">
        <v>182</v>
      </c>
      <c r="B529" s="23"/>
      <c r="C529" s="3"/>
      <c r="D529" s="16"/>
      <c r="E529" s="4"/>
      <c r="F529" s="23"/>
      <c r="G529" s="56"/>
      <c r="H529" s="284"/>
      <c r="I529" s="209">
        <v>-1939.85</v>
      </c>
      <c r="J529" s="210"/>
      <c r="K529" s="284"/>
      <c r="L529" s="209">
        <v>-1939.85</v>
      </c>
      <c r="M529" s="210"/>
      <c r="N529" s="284"/>
      <c r="O529" s="209">
        <v>-1939.85</v>
      </c>
      <c r="P529" s="210"/>
      <c r="Q529" s="284"/>
      <c r="R529" s="209">
        <v>-1939.85</v>
      </c>
      <c r="S529" s="210"/>
      <c r="T529" s="284"/>
      <c r="U529" s="209">
        <v>-1939.85</v>
      </c>
      <c r="V529" s="210"/>
      <c r="W529" s="284"/>
      <c r="X529" s="209">
        <v>-2021.3236999999999</v>
      </c>
      <c r="Y529" s="210"/>
      <c r="Z529" s="284"/>
      <c r="AA529" s="209">
        <v>-2021.3236999999999</v>
      </c>
      <c r="AB529" s="210"/>
      <c r="AC529" s="284"/>
      <c r="AD529" s="209">
        <v>-2021.3236999999999</v>
      </c>
      <c r="AE529" s="210"/>
      <c r="AF529" s="284"/>
      <c r="AG529" s="209">
        <v>-2021.3236999999999</v>
      </c>
      <c r="AH529" s="210"/>
      <c r="AI529" s="284"/>
      <c r="AJ529" s="209">
        <v>-2021.3236999999999</v>
      </c>
      <c r="AK529" s="210"/>
      <c r="AL529" s="284"/>
      <c r="AM529" s="209">
        <v>-2021.3236999999999</v>
      </c>
      <c r="AN529" s="210"/>
      <c r="AO529" s="284"/>
      <c r="AP529" s="209">
        <v>-2021.3236999999999</v>
      </c>
      <c r="AQ529" s="210"/>
      <c r="AR529" s="284"/>
      <c r="AS529" s="209"/>
      <c r="AT529" s="210"/>
      <c r="AU529" s="284"/>
      <c r="AV529" s="209"/>
      <c r="AW529" s="210"/>
      <c r="AX529" s="284"/>
      <c r="AY529" s="209"/>
      <c r="AZ529" s="210"/>
      <c r="BA529" s="284"/>
      <c r="BB529" s="209"/>
      <c r="BC529" s="210"/>
      <c r="BD529" s="284"/>
      <c r="BE529" s="209"/>
      <c r="BF529" s="210"/>
      <c r="BG529" s="284"/>
      <c r="BH529" s="209"/>
      <c r="BI529" s="210"/>
    </row>
    <row r="530" spans="1:61" s="29" customFormat="1" hidden="1" outlineLevel="2" x14ac:dyDescent="0.3">
      <c r="A530" s="22" t="s">
        <v>183</v>
      </c>
      <c r="B530" s="23"/>
      <c r="C530" s="3"/>
      <c r="D530" s="16"/>
      <c r="E530" s="4"/>
      <c r="F530" s="23"/>
      <c r="G530" s="56"/>
      <c r="H530" s="284"/>
      <c r="I530" s="209">
        <v>-2471.5500000000002</v>
      </c>
      <c r="J530" s="210"/>
      <c r="K530" s="284"/>
      <c r="L530" s="209">
        <v>-2471.5500000000002</v>
      </c>
      <c r="M530" s="210"/>
      <c r="N530" s="284"/>
      <c r="O530" s="209">
        <v>-2471.5500000000002</v>
      </c>
      <c r="P530" s="210"/>
      <c r="Q530" s="284"/>
      <c r="R530" s="209">
        <v>-2471.5500000000002</v>
      </c>
      <c r="S530" s="210"/>
      <c r="T530" s="284"/>
      <c r="U530" s="209">
        <v>-2471.5500000000002</v>
      </c>
      <c r="V530" s="210"/>
      <c r="W530" s="284"/>
      <c r="X530" s="209">
        <v>-2575.3551000000002</v>
      </c>
      <c r="Y530" s="210"/>
      <c r="Z530" s="284"/>
      <c r="AA530" s="209">
        <v>-2575.3551000000002</v>
      </c>
      <c r="AB530" s="210"/>
      <c r="AC530" s="284"/>
      <c r="AD530" s="209">
        <v>-2575.3551000000002</v>
      </c>
      <c r="AE530" s="210"/>
      <c r="AF530" s="284"/>
      <c r="AG530" s="209">
        <v>-2575.3551000000002</v>
      </c>
      <c r="AH530" s="210"/>
      <c r="AI530" s="284"/>
      <c r="AJ530" s="209">
        <v>-2575.3551000000002</v>
      </c>
      <c r="AK530" s="210"/>
      <c r="AL530" s="284"/>
      <c r="AM530" s="209">
        <v>-2575.3551000000002</v>
      </c>
      <c r="AN530" s="210"/>
      <c r="AO530" s="284"/>
      <c r="AP530" s="209">
        <v>-2575.3551000000002</v>
      </c>
      <c r="AQ530" s="210"/>
      <c r="AR530" s="284"/>
      <c r="AS530" s="209"/>
      <c r="AT530" s="210"/>
      <c r="AU530" s="284"/>
      <c r="AV530" s="209"/>
      <c r="AW530" s="210"/>
      <c r="AX530" s="284"/>
      <c r="AY530" s="209"/>
      <c r="AZ530" s="210"/>
      <c r="BA530" s="284"/>
      <c r="BB530" s="209"/>
      <c r="BC530" s="210"/>
      <c r="BD530" s="284"/>
      <c r="BE530" s="209"/>
      <c r="BF530" s="210"/>
      <c r="BG530" s="284"/>
      <c r="BH530" s="209"/>
      <c r="BI530" s="210"/>
    </row>
    <row r="531" spans="1:61" s="29" customFormat="1" hidden="1" outlineLevel="2" x14ac:dyDescent="0.3">
      <c r="A531" s="22" t="s">
        <v>184</v>
      </c>
      <c r="B531" s="23"/>
      <c r="C531" s="3"/>
      <c r="D531" s="16"/>
      <c r="E531" s="4"/>
      <c r="F531" s="23"/>
      <c r="G531" s="56"/>
      <c r="H531" s="284"/>
      <c r="I531" s="209">
        <v>0</v>
      </c>
      <c r="J531" s="210"/>
      <c r="K531" s="284"/>
      <c r="L531" s="209">
        <v>0</v>
      </c>
      <c r="M531" s="210"/>
      <c r="N531" s="284"/>
      <c r="O531" s="209">
        <v>0</v>
      </c>
      <c r="P531" s="210"/>
      <c r="Q531" s="284"/>
      <c r="R531" s="209">
        <v>0</v>
      </c>
      <c r="S531" s="210"/>
      <c r="T531" s="284"/>
      <c r="U531" s="209">
        <v>0</v>
      </c>
      <c r="V531" s="210"/>
      <c r="W531" s="284"/>
      <c r="X531" s="209">
        <v>0</v>
      </c>
      <c r="Y531" s="210"/>
      <c r="Z531" s="284"/>
      <c r="AA531" s="209">
        <v>0</v>
      </c>
      <c r="AB531" s="210"/>
      <c r="AC531" s="284"/>
      <c r="AD531" s="209">
        <v>0</v>
      </c>
      <c r="AE531" s="210"/>
      <c r="AF531" s="284"/>
      <c r="AG531" s="209">
        <v>0</v>
      </c>
      <c r="AH531" s="210"/>
      <c r="AI531" s="284"/>
      <c r="AJ531" s="209">
        <v>0</v>
      </c>
      <c r="AK531" s="210"/>
      <c r="AL531" s="284"/>
      <c r="AM531" s="209">
        <v>0</v>
      </c>
      <c r="AN531" s="210"/>
      <c r="AO531" s="284"/>
      <c r="AP531" s="209">
        <v>0</v>
      </c>
      <c r="AQ531" s="210"/>
      <c r="AR531" s="284"/>
      <c r="AS531" s="209"/>
      <c r="AT531" s="210"/>
      <c r="AU531" s="284"/>
      <c r="AV531" s="209"/>
      <c r="AW531" s="210"/>
      <c r="AX531" s="284"/>
      <c r="AY531" s="209"/>
      <c r="AZ531" s="210"/>
      <c r="BA531" s="284"/>
      <c r="BB531" s="209"/>
      <c r="BC531" s="210"/>
      <c r="BD531" s="284"/>
      <c r="BE531" s="209"/>
      <c r="BF531" s="210"/>
      <c r="BG531" s="284"/>
      <c r="BH531" s="209"/>
      <c r="BI531" s="210"/>
    </row>
    <row r="532" spans="1:61" s="29" customFormat="1" hidden="1" outlineLevel="2" x14ac:dyDescent="0.3">
      <c r="A532" s="22" t="s">
        <v>185</v>
      </c>
      <c r="B532" s="23"/>
      <c r="C532" s="3"/>
      <c r="D532" s="16"/>
      <c r="E532" s="4"/>
      <c r="F532" s="23"/>
      <c r="G532" s="56"/>
      <c r="H532" s="284"/>
      <c r="I532" s="209">
        <v>0</v>
      </c>
      <c r="J532" s="210"/>
      <c r="K532" s="284"/>
      <c r="L532" s="209">
        <v>0</v>
      </c>
      <c r="M532" s="210"/>
      <c r="N532" s="284"/>
      <c r="O532" s="209">
        <v>0</v>
      </c>
      <c r="P532" s="210"/>
      <c r="Q532" s="284"/>
      <c r="R532" s="209">
        <v>0</v>
      </c>
      <c r="S532" s="210"/>
      <c r="T532" s="284"/>
      <c r="U532" s="209">
        <v>0</v>
      </c>
      <c r="V532" s="210"/>
      <c r="W532" s="284"/>
      <c r="X532" s="209">
        <v>0</v>
      </c>
      <c r="Y532" s="210"/>
      <c r="Z532" s="284"/>
      <c r="AA532" s="209">
        <v>0</v>
      </c>
      <c r="AB532" s="210"/>
      <c r="AC532" s="284"/>
      <c r="AD532" s="209">
        <v>0</v>
      </c>
      <c r="AE532" s="210"/>
      <c r="AF532" s="284"/>
      <c r="AG532" s="209">
        <v>0</v>
      </c>
      <c r="AH532" s="210"/>
      <c r="AI532" s="284"/>
      <c r="AJ532" s="209">
        <v>0</v>
      </c>
      <c r="AK532" s="210"/>
      <c r="AL532" s="284"/>
      <c r="AM532" s="209">
        <v>0</v>
      </c>
      <c r="AN532" s="210"/>
      <c r="AO532" s="284"/>
      <c r="AP532" s="209">
        <v>0</v>
      </c>
      <c r="AQ532" s="210"/>
      <c r="AR532" s="284"/>
      <c r="AS532" s="209"/>
      <c r="AT532" s="210"/>
      <c r="AU532" s="284"/>
      <c r="AV532" s="209"/>
      <c r="AW532" s="210"/>
      <c r="AX532" s="284"/>
      <c r="AY532" s="209"/>
      <c r="AZ532" s="210"/>
      <c r="BA532" s="284"/>
      <c r="BB532" s="209"/>
      <c r="BC532" s="210"/>
      <c r="BD532" s="284"/>
      <c r="BE532" s="209"/>
      <c r="BF532" s="210"/>
      <c r="BG532" s="284"/>
      <c r="BH532" s="209"/>
      <c r="BI532" s="210"/>
    </row>
    <row r="533" spans="1:61" s="29" customFormat="1" hidden="1" outlineLevel="2" x14ac:dyDescent="0.3">
      <c r="A533" s="22" t="s">
        <v>186</v>
      </c>
      <c r="B533" s="23"/>
      <c r="C533" s="3"/>
      <c r="D533" s="16"/>
      <c r="E533" s="4"/>
      <c r="F533" s="23"/>
      <c r="G533" s="56"/>
      <c r="H533" s="284"/>
      <c r="I533" s="209">
        <v>0</v>
      </c>
      <c r="J533" s="210"/>
      <c r="K533" s="284"/>
      <c r="L533" s="209">
        <v>0</v>
      </c>
      <c r="M533" s="210"/>
      <c r="N533" s="284"/>
      <c r="O533" s="209">
        <v>0</v>
      </c>
      <c r="P533" s="210"/>
      <c r="Q533" s="284"/>
      <c r="R533" s="209">
        <v>0</v>
      </c>
      <c r="S533" s="210"/>
      <c r="T533" s="284"/>
      <c r="U533" s="209">
        <v>0</v>
      </c>
      <c r="V533" s="210"/>
      <c r="W533" s="284"/>
      <c r="X533" s="209">
        <v>0</v>
      </c>
      <c r="Y533" s="210"/>
      <c r="Z533" s="284"/>
      <c r="AA533" s="209">
        <v>0</v>
      </c>
      <c r="AB533" s="210"/>
      <c r="AC533" s="284"/>
      <c r="AD533" s="209">
        <v>0</v>
      </c>
      <c r="AE533" s="210"/>
      <c r="AF533" s="284"/>
      <c r="AG533" s="209">
        <v>0</v>
      </c>
      <c r="AH533" s="210"/>
      <c r="AI533" s="284"/>
      <c r="AJ533" s="209">
        <v>0</v>
      </c>
      <c r="AK533" s="210"/>
      <c r="AL533" s="284"/>
      <c r="AM533" s="209">
        <v>0</v>
      </c>
      <c r="AN533" s="210"/>
      <c r="AO533" s="284"/>
      <c r="AP533" s="209">
        <v>0</v>
      </c>
      <c r="AQ533" s="210"/>
      <c r="AR533" s="284"/>
      <c r="AS533" s="209"/>
      <c r="AT533" s="210"/>
      <c r="AU533" s="284"/>
      <c r="AV533" s="209"/>
      <c r="AW533" s="210"/>
      <c r="AX533" s="284"/>
      <c r="AY533" s="209"/>
      <c r="AZ533" s="210"/>
      <c r="BA533" s="284"/>
      <c r="BB533" s="209"/>
      <c r="BC533" s="210"/>
      <c r="BD533" s="284"/>
      <c r="BE533" s="209"/>
      <c r="BF533" s="210"/>
      <c r="BG533" s="284"/>
      <c r="BH533" s="209"/>
      <c r="BI533" s="210"/>
    </row>
    <row r="534" spans="1:61" s="29" customFormat="1" hidden="1" outlineLevel="2" x14ac:dyDescent="0.3">
      <c r="A534" s="22" t="s">
        <v>187</v>
      </c>
      <c r="B534" s="23"/>
      <c r="C534" s="3"/>
      <c r="D534" s="16"/>
      <c r="E534" s="4"/>
      <c r="F534" s="23"/>
      <c r="G534" s="56"/>
      <c r="H534" s="284"/>
      <c r="I534" s="209">
        <v>0</v>
      </c>
      <c r="J534" s="210"/>
      <c r="K534" s="284"/>
      <c r="L534" s="209">
        <v>0</v>
      </c>
      <c r="M534" s="210"/>
      <c r="N534" s="284"/>
      <c r="O534" s="209">
        <v>0</v>
      </c>
      <c r="P534" s="210"/>
      <c r="Q534" s="284"/>
      <c r="R534" s="209">
        <v>0</v>
      </c>
      <c r="S534" s="210"/>
      <c r="T534" s="284"/>
      <c r="U534" s="209">
        <v>0</v>
      </c>
      <c r="V534" s="210"/>
      <c r="W534" s="284"/>
      <c r="X534" s="209">
        <v>0</v>
      </c>
      <c r="Y534" s="210"/>
      <c r="Z534" s="284"/>
      <c r="AA534" s="209">
        <v>0</v>
      </c>
      <c r="AB534" s="210"/>
      <c r="AC534" s="284"/>
      <c r="AD534" s="209">
        <v>0</v>
      </c>
      <c r="AE534" s="210"/>
      <c r="AF534" s="284"/>
      <c r="AG534" s="209">
        <v>0</v>
      </c>
      <c r="AH534" s="210"/>
      <c r="AI534" s="284"/>
      <c r="AJ534" s="209">
        <v>0</v>
      </c>
      <c r="AK534" s="210"/>
      <c r="AL534" s="284"/>
      <c r="AM534" s="209">
        <v>0</v>
      </c>
      <c r="AN534" s="210"/>
      <c r="AO534" s="284"/>
      <c r="AP534" s="209">
        <v>0</v>
      </c>
      <c r="AQ534" s="210"/>
      <c r="AR534" s="284"/>
      <c r="AS534" s="209"/>
      <c r="AT534" s="210"/>
      <c r="AU534" s="284"/>
      <c r="AV534" s="209"/>
      <c r="AW534" s="210"/>
      <c r="AX534" s="284"/>
      <c r="AY534" s="209"/>
      <c r="AZ534" s="210"/>
      <c r="BA534" s="284"/>
      <c r="BB534" s="209"/>
      <c r="BC534" s="210"/>
      <c r="BD534" s="284"/>
      <c r="BE534" s="209"/>
      <c r="BF534" s="210"/>
      <c r="BG534" s="284"/>
      <c r="BH534" s="209"/>
      <c r="BI534" s="210"/>
    </row>
    <row r="535" spans="1:61" s="29" customFormat="1" hidden="1" outlineLevel="2" x14ac:dyDescent="0.3">
      <c r="A535" s="22" t="s">
        <v>188</v>
      </c>
      <c r="B535" s="23"/>
      <c r="C535" s="3"/>
      <c r="D535" s="16"/>
      <c r="E535" s="4"/>
      <c r="F535" s="23"/>
      <c r="G535" s="56"/>
      <c r="H535" s="284"/>
      <c r="I535" s="209">
        <v>0</v>
      </c>
      <c r="J535" s="210"/>
      <c r="K535" s="284"/>
      <c r="L535" s="209">
        <v>0</v>
      </c>
      <c r="M535" s="210"/>
      <c r="N535" s="284"/>
      <c r="O535" s="209">
        <v>0</v>
      </c>
      <c r="P535" s="210"/>
      <c r="Q535" s="284"/>
      <c r="R535" s="209">
        <v>0</v>
      </c>
      <c r="S535" s="210"/>
      <c r="T535" s="284"/>
      <c r="U535" s="209">
        <v>0</v>
      </c>
      <c r="V535" s="210"/>
      <c r="W535" s="284"/>
      <c r="X535" s="209">
        <v>0</v>
      </c>
      <c r="Y535" s="210"/>
      <c r="Z535" s="284"/>
      <c r="AA535" s="209">
        <v>0</v>
      </c>
      <c r="AB535" s="210"/>
      <c r="AC535" s="284"/>
      <c r="AD535" s="209">
        <v>0</v>
      </c>
      <c r="AE535" s="210"/>
      <c r="AF535" s="284"/>
      <c r="AG535" s="209">
        <v>0</v>
      </c>
      <c r="AH535" s="210"/>
      <c r="AI535" s="284"/>
      <c r="AJ535" s="209">
        <v>0</v>
      </c>
      <c r="AK535" s="210"/>
      <c r="AL535" s="284"/>
      <c r="AM535" s="209">
        <v>0</v>
      </c>
      <c r="AN535" s="210"/>
      <c r="AO535" s="284"/>
      <c r="AP535" s="209">
        <v>0</v>
      </c>
      <c r="AQ535" s="210"/>
      <c r="AR535" s="284"/>
      <c r="AS535" s="209"/>
      <c r="AT535" s="210"/>
      <c r="AU535" s="284"/>
      <c r="AV535" s="209"/>
      <c r="AW535" s="210"/>
      <c r="AX535" s="284"/>
      <c r="AY535" s="209"/>
      <c r="AZ535" s="210"/>
      <c r="BA535" s="284"/>
      <c r="BB535" s="209"/>
      <c r="BC535" s="210"/>
      <c r="BD535" s="284"/>
      <c r="BE535" s="209"/>
      <c r="BF535" s="210"/>
      <c r="BG535" s="284"/>
      <c r="BH535" s="209"/>
      <c r="BI535" s="210"/>
    </row>
    <row r="536" spans="1:61" s="29" customFormat="1" hidden="1" outlineLevel="2" x14ac:dyDescent="0.3">
      <c r="A536" s="22" t="s">
        <v>189</v>
      </c>
      <c r="B536" s="23"/>
      <c r="C536" s="3"/>
      <c r="D536" s="16"/>
      <c r="E536" s="4"/>
      <c r="F536" s="23"/>
      <c r="G536" s="56"/>
      <c r="H536" s="284"/>
      <c r="I536" s="209">
        <v>0</v>
      </c>
      <c r="J536" s="210"/>
      <c r="K536" s="284"/>
      <c r="L536" s="209">
        <v>0</v>
      </c>
      <c r="M536" s="210"/>
      <c r="N536" s="284"/>
      <c r="O536" s="209">
        <v>0</v>
      </c>
      <c r="P536" s="210"/>
      <c r="Q536" s="284"/>
      <c r="R536" s="209">
        <v>0</v>
      </c>
      <c r="S536" s="210"/>
      <c r="T536" s="284"/>
      <c r="U536" s="209">
        <v>0</v>
      </c>
      <c r="V536" s="210"/>
      <c r="W536" s="284"/>
      <c r="X536" s="209">
        <v>0</v>
      </c>
      <c r="Y536" s="210"/>
      <c r="Z536" s="284"/>
      <c r="AA536" s="209">
        <v>0</v>
      </c>
      <c r="AB536" s="210"/>
      <c r="AC536" s="284"/>
      <c r="AD536" s="209">
        <v>0</v>
      </c>
      <c r="AE536" s="210"/>
      <c r="AF536" s="284"/>
      <c r="AG536" s="209">
        <v>0</v>
      </c>
      <c r="AH536" s="210"/>
      <c r="AI536" s="284"/>
      <c r="AJ536" s="209">
        <v>0</v>
      </c>
      <c r="AK536" s="210"/>
      <c r="AL536" s="284"/>
      <c r="AM536" s="209">
        <v>0</v>
      </c>
      <c r="AN536" s="210"/>
      <c r="AO536" s="284"/>
      <c r="AP536" s="209">
        <v>0</v>
      </c>
      <c r="AQ536" s="210"/>
      <c r="AR536" s="284"/>
      <c r="AS536" s="209"/>
      <c r="AT536" s="210"/>
      <c r="AU536" s="284"/>
      <c r="AV536" s="209"/>
      <c r="AW536" s="210"/>
      <c r="AX536" s="284"/>
      <c r="AY536" s="209"/>
      <c r="AZ536" s="210"/>
      <c r="BA536" s="284"/>
      <c r="BB536" s="209"/>
      <c r="BC536" s="210"/>
      <c r="BD536" s="284"/>
      <c r="BE536" s="209"/>
      <c r="BF536" s="210"/>
      <c r="BG536" s="284"/>
      <c r="BH536" s="209"/>
      <c r="BI536" s="210"/>
    </row>
    <row r="537" spans="1:61" s="29" customFormat="1" hidden="1" outlineLevel="2" x14ac:dyDescent="0.3">
      <c r="A537" s="22" t="s">
        <v>190</v>
      </c>
      <c r="B537" s="23"/>
      <c r="C537" s="3"/>
      <c r="D537" s="16"/>
      <c r="E537" s="4"/>
      <c r="F537" s="23"/>
      <c r="G537" s="56"/>
      <c r="H537" s="284"/>
      <c r="I537" s="209">
        <v>0</v>
      </c>
      <c r="J537" s="210"/>
      <c r="K537" s="284"/>
      <c r="L537" s="209">
        <v>0</v>
      </c>
      <c r="M537" s="210"/>
      <c r="N537" s="284"/>
      <c r="O537" s="209">
        <v>0</v>
      </c>
      <c r="P537" s="210"/>
      <c r="Q537" s="284"/>
      <c r="R537" s="209">
        <v>0</v>
      </c>
      <c r="S537" s="210"/>
      <c r="T537" s="284"/>
      <c r="U537" s="209">
        <v>0</v>
      </c>
      <c r="V537" s="210"/>
      <c r="W537" s="284"/>
      <c r="X537" s="209">
        <v>0</v>
      </c>
      <c r="Y537" s="210"/>
      <c r="Z537" s="284"/>
      <c r="AA537" s="209">
        <v>0</v>
      </c>
      <c r="AB537" s="210"/>
      <c r="AC537" s="284"/>
      <c r="AD537" s="209">
        <v>0</v>
      </c>
      <c r="AE537" s="210"/>
      <c r="AF537" s="284"/>
      <c r="AG537" s="209">
        <v>0</v>
      </c>
      <c r="AH537" s="210"/>
      <c r="AI537" s="284"/>
      <c r="AJ537" s="209">
        <v>0</v>
      </c>
      <c r="AK537" s="210"/>
      <c r="AL537" s="284"/>
      <c r="AM537" s="209">
        <v>0</v>
      </c>
      <c r="AN537" s="210"/>
      <c r="AO537" s="284"/>
      <c r="AP537" s="209">
        <v>0</v>
      </c>
      <c r="AQ537" s="210"/>
      <c r="AR537" s="284"/>
      <c r="AS537" s="209"/>
      <c r="AT537" s="210"/>
      <c r="AU537" s="284"/>
      <c r="AV537" s="209"/>
      <c r="AW537" s="210"/>
      <c r="AX537" s="284"/>
      <c r="AY537" s="209"/>
      <c r="AZ537" s="210"/>
      <c r="BA537" s="284"/>
      <c r="BB537" s="209"/>
      <c r="BC537" s="210"/>
      <c r="BD537" s="284"/>
      <c r="BE537" s="209"/>
      <c r="BF537" s="210"/>
      <c r="BG537" s="284"/>
      <c r="BH537" s="209"/>
      <c r="BI537" s="210"/>
    </row>
    <row r="538" spans="1:61" s="29" customFormat="1" hidden="1" outlineLevel="2" x14ac:dyDescent="0.3">
      <c r="A538" s="22" t="s">
        <v>191</v>
      </c>
      <c r="B538" s="23"/>
      <c r="C538" s="3"/>
      <c r="D538" s="16"/>
      <c r="E538" s="4"/>
      <c r="F538" s="23"/>
      <c r="G538" s="56"/>
      <c r="H538" s="284"/>
      <c r="I538" s="209">
        <v>0</v>
      </c>
      <c r="J538" s="210"/>
      <c r="K538" s="284"/>
      <c r="L538" s="209">
        <v>0</v>
      </c>
      <c r="M538" s="210"/>
      <c r="N538" s="284"/>
      <c r="O538" s="209">
        <v>0</v>
      </c>
      <c r="P538" s="210"/>
      <c r="Q538" s="284"/>
      <c r="R538" s="209">
        <v>0</v>
      </c>
      <c r="S538" s="210"/>
      <c r="T538" s="284"/>
      <c r="U538" s="209">
        <v>0</v>
      </c>
      <c r="V538" s="210"/>
      <c r="W538" s="284"/>
      <c r="X538" s="209">
        <v>0</v>
      </c>
      <c r="Y538" s="210"/>
      <c r="Z538" s="284"/>
      <c r="AA538" s="209">
        <v>0</v>
      </c>
      <c r="AB538" s="210"/>
      <c r="AC538" s="284"/>
      <c r="AD538" s="209">
        <v>0</v>
      </c>
      <c r="AE538" s="210"/>
      <c r="AF538" s="284"/>
      <c r="AG538" s="209">
        <v>0</v>
      </c>
      <c r="AH538" s="210"/>
      <c r="AI538" s="284"/>
      <c r="AJ538" s="209">
        <v>0</v>
      </c>
      <c r="AK538" s="210"/>
      <c r="AL538" s="284"/>
      <c r="AM538" s="209">
        <v>0</v>
      </c>
      <c r="AN538" s="210"/>
      <c r="AO538" s="284"/>
      <c r="AP538" s="209">
        <v>0</v>
      </c>
      <c r="AQ538" s="210"/>
      <c r="AR538" s="284"/>
      <c r="AS538" s="209"/>
      <c r="AT538" s="210"/>
      <c r="AU538" s="284"/>
      <c r="AV538" s="209"/>
      <c r="AW538" s="210"/>
      <c r="AX538" s="284"/>
      <c r="AY538" s="209"/>
      <c r="AZ538" s="210"/>
      <c r="BA538" s="284"/>
      <c r="BB538" s="209"/>
      <c r="BC538" s="210"/>
      <c r="BD538" s="284"/>
      <c r="BE538" s="209"/>
      <c r="BF538" s="210"/>
      <c r="BG538" s="284"/>
      <c r="BH538" s="209"/>
      <c r="BI538" s="210"/>
    </row>
    <row r="539" spans="1:61" s="29" customFormat="1" hidden="1" outlineLevel="2" x14ac:dyDescent="0.3">
      <c r="A539" s="22" t="s">
        <v>192</v>
      </c>
      <c r="B539" s="23"/>
      <c r="C539" s="3"/>
      <c r="D539" s="16"/>
      <c r="E539" s="4"/>
      <c r="F539" s="23"/>
      <c r="G539" s="56"/>
      <c r="H539" s="284"/>
      <c r="I539" s="209">
        <v>0</v>
      </c>
      <c r="J539" s="210"/>
      <c r="K539" s="284"/>
      <c r="L539" s="209">
        <v>0</v>
      </c>
      <c r="M539" s="210"/>
      <c r="N539" s="284"/>
      <c r="O539" s="209">
        <v>0</v>
      </c>
      <c r="P539" s="210"/>
      <c r="Q539" s="284"/>
      <c r="R539" s="209">
        <v>0</v>
      </c>
      <c r="S539" s="210"/>
      <c r="T539" s="284"/>
      <c r="U539" s="209">
        <v>0</v>
      </c>
      <c r="V539" s="210"/>
      <c r="W539" s="284"/>
      <c r="X539" s="209">
        <v>0</v>
      </c>
      <c r="Y539" s="210"/>
      <c r="Z539" s="284"/>
      <c r="AA539" s="209">
        <v>0</v>
      </c>
      <c r="AB539" s="210"/>
      <c r="AC539" s="284"/>
      <c r="AD539" s="209">
        <v>0</v>
      </c>
      <c r="AE539" s="210"/>
      <c r="AF539" s="284"/>
      <c r="AG539" s="209">
        <v>0</v>
      </c>
      <c r="AH539" s="210"/>
      <c r="AI539" s="284"/>
      <c r="AJ539" s="209">
        <v>0</v>
      </c>
      <c r="AK539" s="210"/>
      <c r="AL539" s="284"/>
      <c r="AM539" s="209">
        <v>0</v>
      </c>
      <c r="AN539" s="210"/>
      <c r="AO539" s="284"/>
      <c r="AP539" s="209">
        <v>0</v>
      </c>
      <c r="AQ539" s="210"/>
      <c r="AR539" s="284"/>
      <c r="AS539" s="209"/>
      <c r="AT539" s="210"/>
      <c r="AU539" s="284"/>
      <c r="AV539" s="209"/>
      <c r="AW539" s="210"/>
      <c r="AX539" s="284"/>
      <c r="AY539" s="209"/>
      <c r="AZ539" s="210"/>
      <c r="BA539" s="284"/>
      <c r="BB539" s="209"/>
      <c r="BC539" s="210"/>
      <c r="BD539" s="284"/>
      <c r="BE539" s="209"/>
      <c r="BF539" s="210"/>
      <c r="BG539" s="284"/>
      <c r="BH539" s="209"/>
      <c r="BI539" s="210"/>
    </row>
    <row r="540" spans="1:61" s="29" customFormat="1" hidden="1" outlineLevel="2" x14ac:dyDescent="0.3">
      <c r="A540" s="22" t="s">
        <v>193</v>
      </c>
      <c r="B540" s="23"/>
      <c r="C540" s="3"/>
      <c r="D540" s="16"/>
      <c r="E540" s="4"/>
      <c r="F540" s="23"/>
      <c r="G540" s="56"/>
      <c r="H540" s="284"/>
      <c r="I540" s="209">
        <v>0</v>
      </c>
      <c r="J540" s="210"/>
      <c r="K540" s="284"/>
      <c r="L540" s="209">
        <v>0</v>
      </c>
      <c r="M540" s="210"/>
      <c r="N540" s="284"/>
      <c r="O540" s="209">
        <v>0</v>
      </c>
      <c r="P540" s="210"/>
      <c r="Q540" s="284"/>
      <c r="R540" s="209">
        <v>0</v>
      </c>
      <c r="S540" s="210"/>
      <c r="T540" s="284"/>
      <c r="U540" s="209">
        <v>0</v>
      </c>
      <c r="V540" s="210"/>
      <c r="W540" s="284"/>
      <c r="X540" s="209">
        <v>0</v>
      </c>
      <c r="Y540" s="210"/>
      <c r="Z540" s="284"/>
      <c r="AA540" s="209">
        <v>0</v>
      </c>
      <c r="AB540" s="210"/>
      <c r="AC540" s="284"/>
      <c r="AD540" s="209">
        <v>0</v>
      </c>
      <c r="AE540" s="210"/>
      <c r="AF540" s="284"/>
      <c r="AG540" s="209">
        <v>0</v>
      </c>
      <c r="AH540" s="210"/>
      <c r="AI540" s="284"/>
      <c r="AJ540" s="209">
        <v>0</v>
      </c>
      <c r="AK540" s="210"/>
      <c r="AL540" s="284"/>
      <c r="AM540" s="209">
        <v>0</v>
      </c>
      <c r="AN540" s="210"/>
      <c r="AO540" s="284"/>
      <c r="AP540" s="209">
        <v>0</v>
      </c>
      <c r="AQ540" s="210"/>
      <c r="AR540" s="284"/>
      <c r="AS540" s="209"/>
      <c r="AT540" s="210"/>
      <c r="AU540" s="284"/>
      <c r="AV540" s="209"/>
      <c r="AW540" s="210"/>
      <c r="AX540" s="284"/>
      <c r="AY540" s="209"/>
      <c r="AZ540" s="210"/>
      <c r="BA540" s="284"/>
      <c r="BB540" s="209"/>
      <c r="BC540" s="210"/>
      <c r="BD540" s="284"/>
      <c r="BE540" s="209"/>
      <c r="BF540" s="210"/>
      <c r="BG540" s="284"/>
      <c r="BH540" s="209"/>
      <c r="BI540" s="210"/>
    </row>
    <row r="541" spans="1:61" s="29" customFormat="1" hidden="1" outlineLevel="2" x14ac:dyDescent="0.3">
      <c r="A541" s="22" t="s">
        <v>194</v>
      </c>
      <c r="B541" s="23"/>
      <c r="C541" s="3"/>
      <c r="D541" s="16"/>
      <c r="E541" s="4"/>
      <c r="F541" s="23"/>
      <c r="G541" s="56"/>
      <c r="H541" s="284"/>
      <c r="I541" s="209">
        <v>0</v>
      </c>
      <c r="J541" s="210"/>
      <c r="K541" s="284"/>
      <c r="L541" s="209">
        <v>0</v>
      </c>
      <c r="M541" s="210"/>
      <c r="N541" s="284"/>
      <c r="O541" s="209">
        <v>0</v>
      </c>
      <c r="P541" s="210"/>
      <c r="Q541" s="284"/>
      <c r="R541" s="209">
        <v>0</v>
      </c>
      <c r="S541" s="210"/>
      <c r="T541" s="284"/>
      <c r="U541" s="209">
        <v>0</v>
      </c>
      <c r="V541" s="210"/>
      <c r="W541" s="284"/>
      <c r="X541" s="209">
        <v>0</v>
      </c>
      <c r="Y541" s="210"/>
      <c r="Z541" s="284"/>
      <c r="AA541" s="209">
        <v>0</v>
      </c>
      <c r="AB541" s="210"/>
      <c r="AC541" s="284"/>
      <c r="AD541" s="209">
        <v>0</v>
      </c>
      <c r="AE541" s="210"/>
      <c r="AF541" s="284"/>
      <c r="AG541" s="209">
        <v>0</v>
      </c>
      <c r="AH541" s="210"/>
      <c r="AI541" s="284"/>
      <c r="AJ541" s="209">
        <v>0</v>
      </c>
      <c r="AK541" s="210"/>
      <c r="AL541" s="284"/>
      <c r="AM541" s="209">
        <v>0</v>
      </c>
      <c r="AN541" s="210"/>
      <c r="AO541" s="284"/>
      <c r="AP541" s="209">
        <v>0</v>
      </c>
      <c r="AQ541" s="210"/>
      <c r="AR541" s="284"/>
      <c r="AS541" s="209"/>
      <c r="AT541" s="210"/>
      <c r="AU541" s="284"/>
      <c r="AV541" s="209"/>
      <c r="AW541" s="210"/>
      <c r="AX541" s="284"/>
      <c r="AY541" s="209"/>
      <c r="AZ541" s="210"/>
      <c r="BA541" s="284"/>
      <c r="BB541" s="209"/>
      <c r="BC541" s="210"/>
      <c r="BD541" s="284"/>
      <c r="BE541" s="209"/>
      <c r="BF541" s="210"/>
      <c r="BG541" s="284"/>
      <c r="BH541" s="209"/>
      <c r="BI541" s="210"/>
    </row>
    <row r="542" spans="1:61" s="29" customFormat="1" hidden="1" outlineLevel="2" x14ac:dyDescent="0.3">
      <c r="A542" s="22" t="s">
        <v>195</v>
      </c>
      <c r="B542" s="23"/>
      <c r="C542" s="3"/>
      <c r="D542" s="16"/>
      <c r="E542" s="4"/>
      <c r="F542" s="23"/>
      <c r="G542" s="56"/>
      <c r="H542" s="284"/>
      <c r="I542" s="209">
        <v>0</v>
      </c>
      <c r="J542" s="210"/>
      <c r="K542" s="284"/>
      <c r="L542" s="209">
        <v>0</v>
      </c>
      <c r="M542" s="210"/>
      <c r="N542" s="284"/>
      <c r="O542" s="209">
        <v>0</v>
      </c>
      <c r="P542" s="210"/>
      <c r="Q542" s="284"/>
      <c r="R542" s="209">
        <v>0</v>
      </c>
      <c r="S542" s="210"/>
      <c r="T542" s="284"/>
      <c r="U542" s="209">
        <v>0</v>
      </c>
      <c r="V542" s="210"/>
      <c r="W542" s="284"/>
      <c r="X542" s="209">
        <v>0</v>
      </c>
      <c r="Y542" s="210"/>
      <c r="Z542" s="284"/>
      <c r="AA542" s="209">
        <v>0</v>
      </c>
      <c r="AB542" s="210"/>
      <c r="AC542" s="284"/>
      <c r="AD542" s="209">
        <v>0</v>
      </c>
      <c r="AE542" s="210"/>
      <c r="AF542" s="284"/>
      <c r="AG542" s="209">
        <v>0</v>
      </c>
      <c r="AH542" s="210"/>
      <c r="AI542" s="284"/>
      <c r="AJ542" s="209">
        <v>0</v>
      </c>
      <c r="AK542" s="210"/>
      <c r="AL542" s="284"/>
      <c r="AM542" s="209">
        <v>0</v>
      </c>
      <c r="AN542" s="210"/>
      <c r="AO542" s="284"/>
      <c r="AP542" s="209">
        <v>0</v>
      </c>
      <c r="AQ542" s="210"/>
      <c r="AR542" s="284"/>
      <c r="AS542" s="209"/>
      <c r="AT542" s="210"/>
      <c r="AU542" s="284"/>
      <c r="AV542" s="209"/>
      <c r="AW542" s="210"/>
      <c r="AX542" s="284"/>
      <c r="AY542" s="209"/>
      <c r="AZ542" s="210"/>
      <c r="BA542" s="284"/>
      <c r="BB542" s="209"/>
      <c r="BC542" s="210"/>
      <c r="BD542" s="284"/>
      <c r="BE542" s="209"/>
      <c r="BF542" s="210"/>
      <c r="BG542" s="284"/>
      <c r="BH542" s="209"/>
      <c r="BI542" s="210"/>
    </row>
    <row r="543" spans="1:61" s="29" customFormat="1" hidden="1" outlineLevel="2" x14ac:dyDescent="0.3">
      <c r="A543" s="22" t="s">
        <v>196</v>
      </c>
      <c r="B543" s="23"/>
      <c r="C543" s="3"/>
      <c r="D543" s="16"/>
      <c r="E543" s="4"/>
      <c r="F543" s="23"/>
      <c r="G543" s="56"/>
      <c r="H543" s="284"/>
      <c r="I543" s="209">
        <v>0</v>
      </c>
      <c r="J543" s="210"/>
      <c r="K543" s="284"/>
      <c r="L543" s="209">
        <v>0</v>
      </c>
      <c r="M543" s="210"/>
      <c r="N543" s="284"/>
      <c r="O543" s="209">
        <v>0</v>
      </c>
      <c r="P543" s="210"/>
      <c r="Q543" s="284"/>
      <c r="R543" s="209">
        <v>0</v>
      </c>
      <c r="S543" s="210"/>
      <c r="T543" s="284"/>
      <c r="U543" s="209">
        <v>0</v>
      </c>
      <c r="V543" s="210"/>
      <c r="W543" s="284"/>
      <c r="X543" s="209">
        <v>0</v>
      </c>
      <c r="Y543" s="210"/>
      <c r="Z543" s="284"/>
      <c r="AA543" s="209">
        <v>0</v>
      </c>
      <c r="AB543" s="210"/>
      <c r="AC543" s="284"/>
      <c r="AD543" s="209">
        <v>0</v>
      </c>
      <c r="AE543" s="210"/>
      <c r="AF543" s="284"/>
      <c r="AG543" s="209">
        <v>0</v>
      </c>
      <c r="AH543" s="210"/>
      <c r="AI543" s="284"/>
      <c r="AJ543" s="209">
        <v>0</v>
      </c>
      <c r="AK543" s="210"/>
      <c r="AL543" s="284"/>
      <c r="AM543" s="209">
        <v>0</v>
      </c>
      <c r="AN543" s="210"/>
      <c r="AO543" s="284"/>
      <c r="AP543" s="209">
        <v>0</v>
      </c>
      <c r="AQ543" s="210"/>
      <c r="AR543" s="284"/>
      <c r="AS543" s="209"/>
      <c r="AT543" s="210"/>
      <c r="AU543" s="284"/>
      <c r="AV543" s="209"/>
      <c r="AW543" s="210"/>
      <c r="AX543" s="284"/>
      <c r="AY543" s="209"/>
      <c r="AZ543" s="210"/>
      <c r="BA543" s="284"/>
      <c r="BB543" s="209"/>
      <c r="BC543" s="210"/>
      <c r="BD543" s="284"/>
      <c r="BE543" s="209"/>
      <c r="BF543" s="210"/>
      <c r="BG543" s="284"/>
      <c r="BH543" s="209"/>
      <c r="BI543" s="210"/>
    </row>
    <row r="544" spans="1:61" s="29" customFormat="1" hidden="1" outlineLevel="2" x14ac:dyDescent="0.3">
      <c r="A544" s="22" t="s">
        <v>197</v>
      </c>
      <c r="B544" s="23"/>
      <c r="C544" s="3"/>
      <c r="D544" s="16"/>
      <c r="E544" s="4"/>
      <c r="F544" s="23"/>
      <c r="G544" s="56"/>
      <c r="H544" s="284"/>
      <c r="I544" s="209">
        <v>0</v>
      </c>
      <c r="J544" s="210"/>
      <c r="K544" s="284"/>
      <c r="L544" s="209">
        <v>0</v>
      </c>
      <c r="M544" s="210"/>
      <c r="N544" s="284"/>
      <c r="O544" s="209">
        <v>0</v>
      </c>
      <c r="P544" s="210"/>
      <c r="Q544" s="284"/>
      <c r="R544" s="209">
        <v>0</v>
      </c>
      <c r="S544" s="210"/>
      <c r="T544" s="284"/>
      <c r="U544" s="209">
        <v>0</v>
      </c>
      <c r="V544" s="210"/>
      <c r="W544" s="284"/>
      <c r="X544" s="209">
        <v>0</v>
      </c>
      <c r="Y544" s="210"/>
      <c r="Z544" s="284"/>
      <c r="AA544" s="209">
        <v>0</v>
      </c>
      <c r="AB544" s="210"/>
      <c r="AC544" s="284"/>
      <c r="AD544" s="209">
        <v>0</v>
      </c>
      <c r="AE544" s="210"/>
      <c r="AF544" s="284"/>
      <c r="AG544" s="209">
        <v>0</v>
      </c>
      <c r="AH544" s="210"/>
      <c r="AI544" s="284"/>
      <c r="AJ544" s="209">
        <v>0</v>
      </c>
      <c r="AK544" s="210"/>
      <c r="AL544" s="284"/>
      <c r="AM544" s="209">
        <v>0</v>
      </c>
      <c r="AN544" s="210"/>
      <c r="AO544" s="284"/>
      <c r="AP544" s="209">
        <v>0</v>
      </c>
      <c r="AQ544" s="210"/>
      <c r="AR544" s="284"/>
      <c r="AS544" s="209"/>
      <c r="AT544" s="210"/>
      <c r="AU544" s="284"/>
      <c r="AV544" s="209"/>
      <c r="AW544" s="210"/>
      <c r="AX544" s="284"/>
      <c r="AY544" s="209"/>
      <c r="AZ544" s="210"/>
      <c r="BA544" s="284"/>
      <c r="BB544" s="209"/>
      <c r="BC544" s="210"/>
      <c r="BD544" s="284"/>
      <c r="BE544" s="209"/>
      <c r="BF544" s="210"/>
      <c r="BG544" s="284"/>
      <c r="BH544" s="209"/>
      <c r="BI544" s="210"/>
    </row>
    <row r="545" spans="1:61" s="29" customFormat="1" hidden="1" outlineLevel="2" x14ac:dyDescent="0.3">
      <c r="A545" s="22" t="s">
        <v>198</v>
      </c>
      <c r="B545" s="23"/>
      <c r="C545" s="3"/>
      <c r="D545" s="16"/>
      <c r="E545" s="4"/>
      <c r="F545" s="23"/>
      <c r="G545" s="56"/>
      <c r="H545" s="284"/>
      <c r="I545" s="209">
        <v>0</v>
      </c>
      <c r="J545" s="210"/>
      <c r="K545" s="284"/>
      <c r="L545" s="209">
        <v>0</v>
      </c>
      <c r="M545" s="210"/>
      <c r="N545" s="284"/>
      <c r="O545" s="209">
        <v>0</v>
      </c>
      <c r="P545" s="210"/>
      <c r="Q545" s="284"/>
      <c r="R545" s="209">
        <v>0</v>
      </c>
      <c r="S545" s="210"/>
      <c r="T545" s="284"/>
      <c r="U545" s="209">
        <v>0</v>
      </c>
      <c r="V545" s="210"/>
      <c r="W545" s="284"/>
      <c r="X545" s="209">
        <v>0</v>
      </c>
      <c r="Y545" s="210"/>
      <c r="Z545" s="284"/>
      <c r="AA545" s="209">
        <v>0</v>
      </c>
      <c r="AB545" s="210"/>
      <c r="AC545" s="284"/>
      <c r="AD545" s="209">
        <v>0</v>
      </c>
      <c r="AE545" s="210"/>
      <c r="AF545" s="284"/>
      <c r="AG545" s="209">
        <v>0</v>
      </c>
      <c r="AH545" s="210"/>
      <c r="AI545" s="284"/>
      <c r="AJ545" s="209">
        <v>0</v>
      </c>
      <c r="AK545" s="210"/>
      <c r="AL545" s="284"/>
      <c r="AM545" s="209">
        <v>0</v>
      </c>
      <c r="AN545" s="210"/>
      <c r="AO545" s="284"/>
      <c r="AP545" s="209">
        <v>0</v>
      </c>
      <c r="AQ545" s="210"/>
      <c r="AR545" s="284"/>
      <c r="AS545" s="209"/>
      <c r="AT545" s="210"/>
      <c r="AU545" s="284"/>
      <c r="AV545" s="209"/>
      <c r="AW545" s="210"/>
      <c r="AX545" s="284"/>
      <c r="AY545" s="209"/>
      <c r="AZ545" s="210"/>
      <c r="BA545" s="284"/>
      <c r="BB545" s="209"/>
      <c r="BC545" s="210"/>
      <c r="BD545" s="284"/>
      <c r="BE545" s="209"/>
      <c r="BF545" s="210"/>
      <c r="BG545" s="284"/>
      <c r="BH545" s="209"/>
      <c r="BI545" s="210"/>
    </row>
    <row r="546" spans="1:61" s="29" customFormat="1" hidden="1" outlineLevel="2" x14ac:dyDescent="0.3">
      <c r="A546" s="22" t="s">
        <v>199</v>
      </c>
      <c r="B546" s="23"/>
      <c r="C546" s="3"/>
      <c r="D546" s="16"/>
      <c r="E546" s="4"/>
      <c r="F546" s="23"/>
      <c r="G546" s="56"/>
      <c r="H546" s="284"/>
      <c r="I546" s="209">
        <v>0</v>
      </c>
      <c r="J546" s="210"/>
      <c r="K546" s="284"/>
      <c r="L546" s="209">
        <v>0</v>
      </c>
      <c r="M546" s="210"/>
      <c r="N546" s="284"/>
      <c r="O546" s="209">
        <v>0</v>
      </c>
      <c r="P546" s="210"/>
      <c r="Q546" s="284"/>
      <c r="R546" s="209">
        <v>0</v>
      </c>
      <c r="S546" s="210"/>
      <c r="T546" s="284"/>
      <c r="U546" s="209">
        <v>0</v>
      </c>
      <c r="V546" s="210"/>
      <c r="W546" s="284"/>
      <c r="X546" s="209">
        <v>0</v>
      </c>
      <c r="Y546" s="210"/>
      <c r="Z546" s="284"/>
      <c r="AA546" s="209">
        <v>0</v>
      </c>
      <c r="AB546" s="210"/>
      <c r="AC546" s="284"/>
      <c r="AD546" s="209">
        <v>0</v>
      </c>
      <c r="AE546" s="210"/>
      <c r="AF546" s="284"/>
      <c r="AG546" s="209">
        <v>0</v>
      </c>
      <c r="AH546" s="210"/>
      <c r="AI546" s="284"/>
      <c r="AJ546" s="209">
        <v>0</v>
      </c>
      <c r="AK546" s="210"/>
      <c r="AL546" s="284"/>
      <c r="AM546" s="209">
        <v>0</v>
      </c>
      <c r="AN546" s="210"/>
      <c r="AO546" s="284"/>
      <c r="AP546" s="209">
        <v>0</v>
      </c>
      <c r="AQ546" s="210"/>
      <c r="AR546" s="284"/>
      <c r="AS546" s="209"/>
      <c r="AT546" s="210"/>
      <c r="AU546" s="284"/>
      <c r="AV546" s="209"/>
      <c r="AW546" s="210"/>
      <c r="AX546" s="284"/>
      <c r="AY546" s="209"/>
      <c r="AZ546" s="210"/>
      <c r="BA546" s="284"/>
      <c r="BB546" s="209"/>
      <c r="BC546" s="210"/>
      <c r="BD546" s="284"/>
      <c r="BE546" s="209"/>
      <c r="BF546" s="210"/>
      <c r="BG546" s="284"/>
      <c r="BH546" s="209"/>
      <c r="BI546" s="210"/>
    </row>
    <row r="547" spans="1:61" s="29" customFormat="1" hidden="1" outlineLevel="2" x14ac:dyDescent="0.3">
      <c r="A547" s="22" t="s">
        <v>200</v>
      </c>
      <c r="B547" s="23"/>
      <c r="C547" s="3"/>
      <c r="D547" s="16"/>
      <c r="E547" s="4"/>
      <c r="F547" s="23"/>
      <c r="G547" s="56"/>
      <c r="H547" s="284"/>
      <c r="I547" s="209">
        <v>0</v>
      </c>
      <c r="J547" s="210"/>
      <c r="K547" s="284"/>
      <c r="L547" s="209">
        <v>0</v>
      </c>
      <c r="M547" s="210"/>
      <c r="N547" s="284"/>
      <c r="O547" s="209">
        <v>0</v>
      </c>
      <c r="P547" s="210"/>
      <c r="Q547" s="284"/>
      <c r="R547" s="209">
        <v>0</v>
      </c>
      <c r="S547" s="210"/>
      <c r="T547" s="284"/>
      <c r="U547" s="209">
        <v>0</v>
      </c>
      <c r="V547" s="210"/>
      <c r="W547" s="284"/>
      <c r="X547" s="209">
        <v>0</v>
      </c>
      <c r="Y547" s="210"/>
      <c r="Z547" s="284"/>
      <c r="AA547" s="209">
        <v>0</v>
      </c>
      <c r="AB547" s="210"/>
      <c r="AC547" s="284"/>
      <c r="AD547" s="209">
        <v>0</v>
      </c>
      <c r="AE547" s="210"/>
      <c r="AF547" s="284"/>
      <c r="AG547" s="209">
        <v>0</v>
      </c>
      <c r="AH547" s="210"/>
      <c r="AI547" s="284"/>
      <c r="AJ547" s="209">
        <v>0</v>
      </c>
      <c r="AK547" s="210"/>
      <c r="AL547" s="284"/>
      <c r="AM547" s="209">
        <v>0</v>
      </c>
      <c r="AN547" s="210"/>
      <c r="AO547" s="284"/>
      <c r="AP547" s="209">
        <v>0</v>
      </c>
      <c r="AQ547" s="210"/>
      <c r="AR547" s="284"/>
      <c r="AS547" s="209"/>
      <c r="AT547" s="210"/>
      <c r="AU547" s="284"/>
      <c r="AV547" s="209"/>
      <c r="AW547" s="210"/>
      <c r="AX547" s="284"/>
      <c r="AY547" s="209"/>
      <c r="AZ547" s="210"/>
      <c r="BA547" s="284"/>
      <c r="BB547" s="209"/>
      <c r="BC547" s="210"/>
      <c r="BD547" s="284"/>
      <c r="BE547" s="209"/>
      <c r="BF547" s="210"/>
      <c r="BG547" s="284"/>
      <c r="BH547" s="209"/>
      <c r="BI547" s="210"/>
    </row>
    <row r="548" spans="1:61" s="29" customFormat="1" hidden="1" outlineLevel="1" x14ac:dyDescent="0.3">
      <c r="A548" s="163"/>
      <c r="B548" s="23"/>
      <c r="C548" s="3"/>
      <c r="D548" s="4"/>
      <c r="E548" s="4"/>
      <c r="F548" s="23"/>
      <c r="G548" s="56"/>
      <c r="H548" s="273"/>
      <c r="I548" s="23"/>
      <c r="J548" s="164"/>
      <c r="K548" s="273"/>
      <c r="L548" s="23"/>
      <c r="M548" s="164"/>
      <c r="N548" s="273"/>
      <c r="O548" s="23"/>
      <c r="P548" s="164"/>
      <c r="Q548" s="273"/>
      <c r="R548" s="23"/>
      <c r="S548" s="164"/>
      <c r="T548" s="273"/>
      <c r="U548" s="23"/>
      <c r="V548" s="164"/>
      <c r="W548" s="273"/>
      <c r="X548" s="23"/>
      <c r="Y548" s="164"/>
      <c r="Z548" s="273"/>
      <c r="AA548" s="23"/>
      <c r="AB548" s="164"/>
      <c r="AC548" s="273"/>
      <c r="AD548" s="23"/>
      <c r="AE548" s="164"/>
      <c r="AF548" s="273"/>
      <c r="AG548" s="23"/>
      <c r="AH548" s="164"/>
      <c r="AI548" s="273"/>
      <c r="AJ548" s="23"/>
      <c r="AK548" s="164"/>
      <c r="AL548" s="273"/>
      <c r="AM548" s="23"/>
      <c r="AN548" s="164"/>
      <c r="AO548" s="273"/>
      <c r="AP548" s="23"/>
      <c r="AQ548" s="164"/>
      <c r="AR548" s="273"/>
      <c r="AS548" s="23"/>
      <c r="AT548" s="164"/>
      <c r="AU548" s="273"/>
      <c r="AV548" s="23"/>
      <c r="AW548" s="164"/>
      <c r="AX548" s="273"/>
      <c r="AY548" s="23"/>
      <c r="AZ548" s="164"/>
      <c r="BA548" s="273"/>
      <c r="BB548" s="23"/>
      <c r="BC548" s="164"/>
      <c r="BD548" s="273"/>
      <c r="BE548" s="23"/>
      <c r="BF548" s="164"/>
      <c r="BG548" s="273"/>
      <c r="BH548" s="23"/>
      <c r="BI548" s="164"/>
    </row>
    <row r="549" spans="1:61" s="29" customFormat="1" hidden="1" outlineLevel="1" x14ac:dyDescent="0.3">
      <c r="A549" s="211" t="s">
        <v>205</v>
      </c>
      <c r="B549" s="23"/>
      <c r="C549" s="3"/>
      <c r="D549" s="212" t="s">
        <v>342</v>
      </c>
      <c r="E549" s="212" t="s">
        <v>427</v>
      </c>
      <c r="F549" s="23"/>
      <c r="G549" s="56"/>
      <c r="H549" s="283"/>
      <c r="I549" s="207"/>
      <c r="J549" s="208"/>
      <c r="K549" s="283"/>
      <c r="L549" s="207"/>
      <c r="M549" s="208"/>
      <c r="N549" s="283"/>
      <c r="O549" s="207"/>
      <c r="P549" s="208"/>
      <c r="Q549" s="283"/>
      <c r="R549" s="207"/>
      <c r="S549" s="208"/>
      <c r="T549" s="283"/>
      <c r="U549" s="207"/>
      <c r="V549" s="208"/>
      <c r="W549" s="283"/>
      <c r="X549" s="207"/>
      <c r="Y549" s="208"/>
      <c r="Z549" s="283"/>
      <c r="AA549" s="207"/>
      <c r="AB549" s="208"/>
      <c r="AC549" s="283"/>
      <c r="AD549" s="207"/>
      <c r="AE549" s="208"/>
      <c r="AF549" s="283"/>
      <c r="AG549" s="207"/>
      <c r="AH549" s="208"/>
      <c r="AI549" s="283"/>
      <c r="AJ549" s="207"/>
      <c r="AK549" s="208"/>
      <c r="AL549" s="283"/>
      <c r="AM549" s="207"/>
      <c r="AN549" s="208"/>
      <c r="AO549" s="283"/>
      <c r="AP549" s="207"/>
      <c r="AQ549" s="208"/>
      <c r="AR549" s="283"/>
      <c r="AS549" s="207"/>
      <c r="AT549" s="208"/>
      <c r="AU549" s="283"/>
      <c r="AV549" s="207"/>
      <c r="AW549" s="208"/>
      <c r="AX549" s="283"/>
      <c r="AY549" s="207"/>
      <c r="AZ549" s="208"/>
      <c r="BA549" s="283"/>
      <c r="BB549" s="207"/>
      <c r="BC549" s="208"/>
      <c r="BD549" s="283"/>
      <c r="BE549" s="207"/>
      <c r="BF549" s="208"/>
      <c r="BG549" s="283"/>
      <c r="BH549" s="207"/>
      <c r="BI549" s="208"/>
    </row>
    <row r="550" spans="1:61" s="29" customFormat="1" hidden="1" outlineLevel="2" x14ac:dyDescent="0.3">
      <c r="A550" s="22" t="s">
        <v>428</v>
      </c>
      <c r="B550" s="2"/>
      <c r="C550" s="3"/>
      <c r="D550" s="55">
        <v>0.08</v>
      </c>
      <c r="E550" s="55">
        <v>0.08</v>
      </c>
      <c r="F550" s="41"/>
      <c r="G550" s="56"/>
      <c r="H550" s="241"/>
      <c r="I550" s="27"/>
      <c r="J550" s="28"/>
      <c r="K550" s="241"/>
      <c r="L550" s="27"/>
      <c r="M550" s="28"/>
      <c r="N550" s="241"/>
      <c r="O550" s="27"/>
      <c r="P550" s="28"/>
      <c r="Q550" s="241"/>
      <c r="R550" s="27"/>
      <c r="S550" s="28"/>
      <c r="T550" s="241"/>
      <c r="U550" s="27"/>
      <c r="V550" s="28"/>
      <c r="W550" s="241"/>
      <c r="X550" s="27"/>
      <c r="Y550" s="28"/>
      <c r="Z550" s="241"/>
      <c r="AA550" s="27"/>
      <c r="AB550" s="28"/>
      <c r="AC550" s="241"/>
      <c r="AD550" s="27"/>
      <c r="AE550" s="28"/>
      <c r="AF550" s="241"/>
      <c r="AG550" s="27"/>
      <c r="AH550" s="28"/>
      <c r="AI550" s="241"/>
      <c r="AJ550" s="27"/>
      <c r="AK550" s="28"/>
      <c r="AL550" s="241"/>
      <c r="AM550" s="27"/>
      <c r="AN550" s="28"/>
      <c r="AO550" s="241"/>
      <c r="AP550" s="27"/>
      <c r="AQ550" s="28"/>
      <c r="AR550" s="241"/>
      <c r="AS550" s="27"/>
      <c r="AT550" s="28"/>
      <c r="AU550" s="241"/>
      <c r="AV550" s="27"/>
      <c r="AW550" s="28"/>
      <c r="AX550" s="241"/>
      <c r="AY550" s="27"/>
      <c r="AZ550" s="28"/>
      <c r="BA550" s="241"/>
      <c r="BB550" s="27"/>
      <c r="BC550" s="28"/>
      <c r="BD550" s="241"/>
      <c r="BE550" s="27"/>
      <c r="BF550" s="28"/>
      <c r="BG550" s="241"/>
      <c r="BH550" s="27"/>
      <c r="BI550" s="28"/>
    </row>
    <row r="551" spans="1:61" s="29" customFormat="1" hidden="1" outlineLevel="2" x14ac:dyDescent="0.3">
      <c r="A551" s="22" t="s">
        <v>429</v>
      </c>
      <c r="B551" s="2"/>
      <c r="C551" s="3"/>
      <c r="D551" s="55">
        <v>0</v>
      </c>
      <c r="E551" s="55">
        <v>0.28799999999999998</v>
      </c>
      <c r="F551" s="41"/>
      <c r="G551" s="56"/>
      <c r="H551" s="241"/>
      <c r="I551" s="27"/>
      <c r="J551" s="28"/>
      <c r="K551" s="241"/>
      <c r="L551" s="27"/>
      <c r="M551" s="28"/>
      <c r="N551" s="241"/>
      <c r="O551" s="27"/>
      <c r="P551" s="28"/>
      <c r="Q551" s="241"/>
      <c r="R551" s="27"/>
      <c r="S551" s="28"/>
      <c r="T551" s="241"/>
      <c r="U551" s="27"/>
      <c r="V551" s="28"/>
      <c r="W551" s="241"/>
      <c r="X551" s="27"/>
      <c r="Y551" s="28"/>
      <c r="Z551" s="241"/>
      <c r="AA551" s="27"/>
      <c r="AB551" s="28"/>
      <c r="AC551" s="241"/>
      <c r="AD551" s="27"/>
      <c r="AE551" s="28"/>
      <c r="AF551" s="241"/>
      <c r="AG551" s="27"/>
      <c r="AH551" s="28"/>
      <c r="AI551" s="241"/>
      <c r="AJ551" s="27"/>
      <c r="AK551" s="28"/>
      <c r="AL551" s="241"/>
      <c r="AM551" s="27"/>
      <c r="AN551" s="28"/>
      <c r="AO551" s="241"/>
      <c r="AP551" s="27"/>
      <c r="AQ551" s="28"/>
      <c r="AR551" s="241"/>
      <c r="AS551" s="27"/>
      <c r="AT551" s="28"/>
      <c r="AU551" s="241"/>
      <c r="AV551" s="27"/>
      <c r="AW551" s="28"/>
      <c r="AX551" s="241"/>
      <c r="AY551" s="27"/>
      <c r="AZ551" s="28"/>
      <c r="BA551" s="241"/>
      <c r="BB551" s="27"/>
      <c r="BC551" s="28"/>
      <c r="BD551" s="241"/>
      <c r="BE551" s="27"/>
      <c r="BF551" s="28"/>
      <c r="BG551" s="241"/>
      <c r="BH551" s="27"/>
      <c r="BI551" s="28"/>
    </row>
    <row r="552" spans="1:61" s="29" customFormat="1" hidden="1" outlineLevel="2" x14ac:dyDescent="0.3">
      <c r="A552" s="22" t="s">
        <v>430</v>
      </c>
      <c r="B552" s="2"/>
      <c r="C552" s="3"/>
      <c r="D552" s="55">
        <v>8.3400000000000002E-2</v>
      </c>
      <c r="E552" s="55">
        <v>8.3400000000000002E-2</v>
      </c>
      <c r="F552" s="41"/>
      <c r="G552" s="56"/>
      <c r="H552" s="241"/>
      <c r="I552" s="27"/>
      <c r="J552" s="28"/>
      <c r="K552" s="241"/>
      <c r="L552" s="27"/>
      <c r="M552" s="28"/>
      <c r="N552" s="241"/>
      <c r="O552" s="27"/>
      <c r="P552" s="28"/>
      <c r="Q552" s="241"/>
      <c r="R552" s="27"/>
      <c r="S552" s="28"/>
      <c r="T552" s="241"/>
      <c r="U552" s="27"/>
      <c r="V552" s="28"/>
      <c r="W552" s="241"/>
      <c r="X552" s="27"/>
      <c r="Y552" s="28"/>
      <c r="Z552" s="241"/>
      <c r="AA552" s="27"/>
      <c r="AB552" s="28"/>
      <c r="AC552" s="241"/>
      <c r="AD552" s="27"/>
      <c r="AE552" s="28"/>
      <c r="AF552" s="241"/>
      <c r="AG552" s="27"/>
      <c r="AH552" s="28"/>
      <c r="AI552" s="241"/>
      <c r="AJ552" s="27"/>
      <c r="AK552" s="28"/>
      <c r="AL552" s="241"/>
      <c r="AM552" s="27"/>
      <c r="AN552" s="28"/>
      <c r="AO552" s="241"/>
      <c r="AP552" s="27"/>
      <c r="AQ552" s="28"/>
      <c r="AR552" s="241"/>
      <c r="AS552" s="27"/>
      <c r="AT552" s="28"/>
      <c r="AU552" s="241"/>
      <c r="AV552" s="27"/>
      <c r="AW552" s="28"/>
      <c r="AX552" s="241"/>
      <c r="AY552" s="27"/>
      <c r="AZ552" s="28"/>
      <c r="BA552" s="241"/>
      <c r="BB552" s="27"/>
      <c r="BC552" s="28"/>
      <c r="BD552" s="241"/>
      <c r="BE552" s="27"/>
      <c r="BF552" s="28"/>
      <c r="BG552" s="241"/>
      <c r="BH552" s="27"/>
      <c r="BI552" s="28"/>
    </row>
    <row r="553" spans="1:61" s="29" customFormat="1" hidden="1" outlineLevel="2" x14ac:dyDescent="0.3">
      <c r="A553" s="22" t="s">
        <v>431</v>
      </c>
      <c r="B553" s="2"/>
      <c r="C553" s="3"/>
      <c r="D553" s="55">
        <v>2.5000000000000001E-2</v>
      </c>
      <c r="E553" s="55">
        <v>2.5000000000000001E-2</v>
      </c>
      <c r="F553" s="41"/>
      <c r="G553" s="56"/>
      <c r="H553" s="241"/>
      <c r="I553" s="27"/>
      <c r="J553" s="28"/>
      <c r="K553" s="241"/>
      <c r="L553" s="27"/>
      <c r="M553" s="28"/>
      <c r="N553" s="241"/>
      <c r="O553" s="27"/>
      <c r="P553" s="28"/>
      <c r="Q553" s="241"/>
      <c r="R553" s="27"/>
      <c r="S553" s="28"/>
      <c r="T553" s="241"/>
      <c r="U553" s="27"/>
      <c r="V553" s="28"/>
      <c r="W553" s="241"/>
      <c r="X553" s="27"/>
      <c r="Y553" s="28"/>
      <c r="Z553" s="241"/>
      <c r="AA553" s="27"/>
      <c r="AB553" s="28"/>
      <c r="AC553" s="241"/>
      <c r="AD553" s="27"/>
      <c r="AE553" s="28"/>
      <c r="AF553" s="241"/>
      <c r="AG553" s="27"/>
      <c r="AH553" s="28"/>
      <c r="AI553" s="241"/>
      <c r="AJ553" s="27"/>
      <c r="AK553" s="28"/>
      <c r="AL553" s="241"/>
      <c r="AM553" s="27"/>
      <c r="AN553" s="28"/>
      <c r="AO553" s="241"/>
      <c r="AP553" s="27"/>
      <c r="AQ553" s="28"/>
      <c r="AR553" s="241"/>
      <c r="AS553" s="27"/>
      <c r="AT553" s="28"/>
      <c r="AU553" s="241"/>
      <c r="AV553" s="27"/>
      <c r="AW553" s="28"/>
      <c r="AX553" s="241"/>
      <c r="AY553" s="27"/>
      <c r="AZ553" s="28"/>
      <c r="BA553" s="241"/>
      <c r="BB553" s="27"/>
      <c r="BC553" s="28"/>
      <c r="BD553" s="241"/>
      <c r="BE553" s="27"/>
      <c r="BF553" s="28"/>
      <c r="BG553" s="241"/>
      <c r="BH553" s="27"/>
      <c r="BI553" s="28"/>
    </row>
    <row r="554" spans="1:61" s="29" customFormat="1" hidden="1" outlineLevel="2" x14ac:dyDescent="0.3">
      <c r="A554" s="22" t="s">
        <v>432</v>
      </c>
      <c r="B554" s="2"/>
      <c r="C554" s="3"/>
      <c r="D554" s="55">
        <v>2.81E-2</v>
      </c>
      <c r="E554" s="55">
        <v>2.81E-2</v>
      </c>
      <c r="F554" s="41"/>
      <c r="G554" s="56"/>
      <c r="H554" s="241"/>
      <c r="I554" s="27"/>
      <c r="J554" s="28"/>
      <c r="K554" s="241"/>
      <c r="L554" s="27"/>
      <c r="M554" s="28"/>
      <c r="N554" s="241"/>
      <c r="O554" s="27"/>
      <c r="P554" s="28"/>
      <c r="Q554" s="241"/>
      <c r="R554" s="27"/>
      <c r="S554" s="28"/>
      <c r="T554" s="241"/>
      <c r="U554" s="27"/>
      <c r="V554" s="28"/>
      <c r="W554" s="241"/>
      <c r="X554" s="27"/>
      <c r="Y554" s="28"/>
      <c r="Z554" s="241"/>
      <c r="AA554" s="27"/>
      <c r="AB554" s="28"/>
      <c r="AC554" s="241"/>
      <c r="AD554" s="27"/>
      <c r="AE554" s="28"/>
      <c r="AF554" s="241"/>
      <c r="AG554" s="27"/>
      <c r="AH554" s="28"/>
      <c r="AI554" s="241"/>
      <c r="AJ554" s="27"/>
      <c r="AK554" s="28"/>
      <c r="AL554" s="241"/>
      <c r="AM554" s="27"/>
      <c r="AN554" s="28"/>
      <c r="AO554" s="241"/>
      <c r="AP554" s="27"/>
      <c r="AQ554" s="28"/>
      <c r="AR554" s="241"/>
      <c r="AS554" s="27"/>
      <c r="AT554" s="28"/>
      <c r="AU554" s="241"/>
      <c r="AV554" s="27"/>
      <c r="AW554" s="28"/>
      <c r="AX554" s="241"/>
      <c r="AY554" s="27"/>
      <c r="AZ554" s="28"/>
      <c r="BA554" s="241"/>
      <c r="BB554" s="27"/>
      <c r="BC554" s="28"/>
      <c r="BD554" s="241"/>
      <c r="BE554" s="27"/>
      <c r="BF554" s="28"/>
      <c r="BG554" s="241"/>
      <c r="BH554" s="27"/>
      <c r="BI554" s="28"/>
    </row>
    <row r="555" spans="1:61" s="29" customFormat="1" hidden="1" outlineLevel="2" x14ac:dyDescent="0.3">
      <c r="A555" s="22" t="s">
        <v>433</v>
      </c>
      <c r="B555" s="2"/>
      <c r="C555" s="3"/>
      <c r="D555" s="55">
        <v>8.3999999999999995E-3</v>
      </c>
      <c r="E555" s="55">
        <v>8.3999999999999995E-3</v>
      </c>
      <c r="F555" s="41"/>
      <c r="G555" s="56"/>
      <c r="H555" s="241"/>
      <c r="I555" s="27"/>
      <c r="J555" s="28"/>
      <c r="K555" s="241"/>
      <c r="L555" s="27"/>
      <c r="M555" s="28"/>
      <c r="N555" s="241"/>
      <c r="O555" s="27"/>
      <c r="P555" s="28"/>
      <c r="Q555" s="241"/>
      <c r="R555" s="27"/>
      <c r="S555" s="28"/>
      <c r="T555" s="241"/>
      <c r="U555" s="27"/>
      <c r="V555" s="28"/>
      <c r="W555" s="241"/>
      <c r="X555" s="27"/>
      <c r="Y555" s="28"/>
      <c r="Z555" s="241"/>
      <c r="AA555" s="27"/>
      <c r="AB555" s="28"/>
      <c r="AC555" s="241"/>
      <c r="AD555" s="27"/>
      <c r="AE555" s="28"/>
      <c r="AF555" s="241"/>
      <c r="AG555" s="27"/>
      <c r="AH555" s="28"/>
      <c r="AI555" s="241"/>
      <c r="AJ555" s="27"/>
      <c r="AK555" s="28"/>
      <c r="AL555" s="241"/>
      <c r="AM555" s="27"/>
      <c r="AN555" s="28"/>
      <c r="AO555" s="241"/>
      <c r="AP555" s="27"/>
      <c r="AQ555" s="28"/>
      <c r="AR555" s="241"/>
      <c r="AS555" s="27"/>
      <c r="AT555" s="28"/>
      <c r="AU555" s="241"/>
      <c r="AV555" s="27"/>
      <c r="AW555" s="28"/>
      <c r="AX555" s="241"/>
      <c r="AY555" s="27"/>
      <c r="AZ555" s="28"/>
      <c r="BA555" s="241"/>
      <c r="BB555" s="27"/>
      <c r="BC555" s="28"/>
      <c r="BD555" s="241"/>
      <c r="BE555" s="27"/>
      <c r="BF555" s="28"/>
      <c r="BG555" s="241"/>
      <c r="BH555" s="27"/>
      <c r="BI555" s="28"/>
    </row>
    <row r="556" spans="1:61" s="29" customFormat="1" hidden="1" outlineLevel="2" x14ac:dyDescent="0.3">
      <c r="A556" s="22" t="s">
        <v>434</v>
      </c>
      <c r="B556" s="2"/>
      <c r="C556" s="3"/>
      <c r="D556" s="55">
        <v>0</v>
      </c>
      <c r="E556" s="55">
        <v>0</v>
      </c>
      <c r="F556" s="41"/>
      <c r="G556" s="56"/>
      <c r="H556" s="241"/>
      <c r="I556" s="27"/>
      <c r="J556" s="28"/>
      <c r="K556" s="241"/>
      <c r="L556" s="27"/>
      <c r="M556" s="28"/>
      <c r="N556" s="241"/>
      <c r="O556" s="27"/>
      <c r="P556" s="28"/>
      <c r="Q556" s="241"/>
      <c r="R556" s="27"/>
      <c r="S556" s="28"/>
      <c r="T556" s="241"/>
      <c r="U556" s="27"/>
      <c r="V556" s="28"/>
      <c r="W556" s="241"/>
      <c r="X556" s="27"/>
      <c r="Y556" s="28"/>
      <c r="Z556" s="241"/>
      <c r="AA556" s="27"/>
      <c r="AB556" s="28"/>
      <c r="AC556" s="241"/>
      <c r="AD556" s="27"/>
      <c r="AE556" s="28"/>
      <c r="AF556" s="241"/>
      <c r="AG556" s="27"/>
      <c r="AH556" s="28"/>
      <c r="AI556" s="241"/>
      <c r="AJ556" s="27"/>
      <c r="AK556" s="28"/>
      <c r="AL556" s="241"/>
      <c r="AM556" s="27"/>
      <c r="AN556" s="28"/>
      <c r="AO556" s="241"/>
      <c r="AP556" s="27"/>
      <c r="AQ556" s="28"/>
      <c r="AR556" s="241"/>
      <c r="AS556" s="27"/>
      <c r="AT556" s="28"/>
      <c r="AU556" s="241"/>
      <c r="AV556" s="27"/>
      <c r="AW556" s="28"/>
      <c r="AX556" s="241"/>
      <c r="AY556" s="27"/>
      <c r="AZ556" s="28"/>
      <c r="BA556" s="241"/>
      <c r="BB556" s="27"/>
      <c r="BC556" s="28"/>
      <c r="BD556" s="241"/>
      <c r="BE556" s="27"/>
      <c r="BF556" s="28"/>
      <c r="BG556" s="241"/>
      <c r="BH556" s="27"/>
      <c r="BI556" s="28"/>
    </row>
    <row r="557" spans="1:61" s="29" customFormat="1" hidden="1" outlineLevel="2" x14ac:dyDescent="0.3">
      <c r="A557" s="22" t="s">
        <v>435</v>
      </c>
      <c r="B557" s="2"/>
      <c r="C557" s="3"/>
      <c r="D557" s="55">
        <v>0.15</v>
      </c>
      <c r="E557" s="55">
        <v>0.05</v>
      </c>
      <c r="F557" s="41"/>
      <c r="G557" s="56"/>
      <c r="H557" s="241"/>
      <c r="I557" s="27"/>
      <c r="J557" s="28"/>
      <c r="K557" s="241"/>
      <c r="L557" s="27"/>
      <c r="M557" s="28"/>
      <c r="N557" s="241"/>
      <c r="O557" s="27"/>
      <c r="P557" s="28"/>
      <c r="Q557" s="241"/>
      <c r="R557" s="27"/>
      <c r="S557" s="28"/>
      <c r="T557" s="241"/>
      <c r="U557" s="27"/>
      <c r="V557" s="28"/>
      <c r="W557" s="241"/>
      <c r="X557" s="27"/>
      <c r="Y557" s="28"/>
      <c r="Z557" s="241"/>
      <c r="AA557" s="27"/>
      <c r="AB557" s="28"/>
      <c r="AC557" s="241"/>
      <c r="AD557" s="27"/>
      <c r="AE557" s="28"/>
      <c r="AF557" s="241"/>
      <c r="AG557" s="27"/>
      <c r="AH557" s="28"/>
      <c r="AI557" s="241"/>
      <c r="AJ557" s="27"/>
      <c r="AK557" s="28"/>
      <c r="AL557" s="241"/>
      <c r="AM557" s="27"/>
      <c r="AN557" s="28"/>
      <c r="AO557" s="241"/>
      <c r="AP557" s="27"/>
      <c r="AQ557" s="28"/>
      <c r="AR557" s="241"/>
      <c r="AS557" s="27"/>
      <c r="AT557" s="28"/>
      <c r="AU557" s="241"/>
      <c r="AV557" s="27"/>
      <c r="AW557" s="28"/>
      <c r="AX557" s="241"/>
      <c r="AY557" s="27"/>
      <c r="AZ557" s="28"/>
      <c r="BA557" s="241"/>
      <c r="BB557" s="27"/>
      <c r="BC557" s="28"/>
      <c r="BD557" s="241"/>
      <c r="BE557" s="27"/>
      <c r="BF557" s="28"/>
      <c r="BG557" s="241"/>
      <c r="BH557" s="27"/>
      <c r="BI557" s="28"/>
    </row>
    <row r="558" spans="1:61" s="29" customFormat="1" hidden="1" outlineLevel="2" x14ac:dyDescent="0.3">
      <c r="A558" s="22" t="s">
        <v>436</v>
      </c>
      <c r="B558" s="2"/>
      <c r="C558" s="3"/>
      <c r="D558" s="55">
        <v>0.06</v>
      </c>
      <c r="E558" s="55">
        <v>8.5000000000000006E-2</v>
      </c>
      <c r="F558" s="41"/>
      <c r="G558" s="56"/>
      <c r="H558" s="241"/>
      <c r="I558" s="27"/>
      <c r="J558" s="28"/>
      <c r="K558" s="241"/>
      <c r="L558" s="27"/>
      <c r="M558" s="28"/>
      <c r="N558" s="241"/>
      <c r="O558" s="27"/>
      <c r="P558" s="28"/>
      <c r="Q558" s="241"/>
      <c r="R558" s="27"/>
      <c r="S558" s="28"/>
      <c r="T558" s="241"/>
      <c r="U558" s="27"/>
      <c r="V558" s="28"/>
      <c r="W558" s="241"/>
      <c r="X558" s="27"/>
      <c r="Y558" s="28"/>
      <c r="Z558" s="241"/>
      <c r="AA558" s="27"/>
      <c r="AB558" s="28"/>
      <c r="AC558" s="241"/>
      <c r="AD558" s="27"/>
      <c r="AE558" s="28"/>
      <c r="AF558" s="241"/>
      <c r="AG558" s="27"/>
      <c r="AH558" s="28"/>
      <c r="AI558" s="241"/>
      <c r="AJ558" s="27"/>
      <c r="AK558" s="28"/>
      <c r="AL558" s="241"/>
      <c r="AM558" s="27"/>
      <c r="AN558" s="28"/>
      <c r="AO558" s="241"/>
      <c r="AP558" s="27"/>
      <c r="AQ558" s="28"/>
      <c r="AR558" s="241"/>
      <c r="AS558" s="27"/>
      <c r="AT558" s="28"/>
      <c r="AU558" s="241"/>
      <c r="AV558" s="27"/>
      <c r="AW558" s="28"/>
      <c r="AX558" s="241"/>
      <c r="AY558" s="27"/>
      <c r="AZ558" s="28"/>
      <c r="BA558" s="241"/>
      <c r="BB558" s="27"/>
      <c r="BC558" s="28"/>
      <c r="BD558" s="241"/>
      <c r="BE558" s="27"/>
      <c r="BF558" s="28"/>
      <c r="BG558" s="241"/>
      <c r="BH558" s="27"/>
      <c r="BI558" s="28"/>
    </row>
    <row r="559" spans="1:61" s="29" customFormat="1" hidden="1" outlineLevel="2" x14ac:dyDescent="0.3">
      <c r="A559" s="22" t="s">
        <v>437</v>
      </c>
      <c r="B559" s="2"/>
      <c r="C559" s="3"/>
      <c r="D559" s="55">
        <v>0.01</v>
      </c>
      <c r="E559" s="55">
        <v>0.01</v>
      </c>
      <c r="F559" s="41"/>
      <c r="G559" s="56"/>
      <c r="H559" s="241"/>
      <c r="I559" s="27"/>
      <c r="J559" s="28"/>
      <c r="K559" s="241"/>
      <c r="L559" s="27"/>
      <c r="M559" s="28"/>
      <c r="N559" s="241"/>
      <c r="O559" s="27"/>
      <c r="P559" s="28"/>
      <c r="Q559" s="241"/>
      <c r="R559" s="27"/>
      <c r="S559" s="28"/>
      <c r="T559" s="241"/>
      <c r="U559" s="27"/>
      <c r="V559" s="28"/>
      <c r="W559" s="241"/>
      <c r="X559" s="27"/>
      <c r="Y559" s="28"/>
      <c r="Z559" s="241"/>
      <c r="AA559" s="27"/>
      <c r="AB559" s="28"/>
      <c r="AC559" s="241"/>
      <c r="AD559" s="27"/>
      <c r="AE559" s="28"/>
      <c r="AF559" s="241"/>
      <c r="AG559" s="27"/>
      <c r="AH559" s="28"/>
      <c r="AI559" s="241"/>
      <c r="AJ559" s="27"/>
      <c r="AK559" s="28"/>
      <c r="AL559" s="241"/>
      <c r="AM559" s="27"/>
      <c r="AN559" s="28"/>
      <c r="AO559" s="241"/>
      <c r="AP559" s="27"/>
      <c r="AQ559" s="28"/>
      <c r="AR559" s="241"/>
      <c r="AS559" s="27"/>
      <c r="AT559" s="28"/>
      <c r="AU559" s="241"/>
      <c r="AV559" s="27"/>
      <c r="AW559" s="28"/>
      <c r="AX559" s="241"/>
      <c r="AY559" s="27"/>
      <c r="AZ559" s="28"/>
      <c r="BA559" s="241"/>
      <c r="BB559" s="27"/>
      <c r="BC559" s="28"/>
      <c r="BD559" s="241"/>
      <c r="BE559" s="27"/>
      <c r="BF559" s="28"/>
      <c r="BG559" s="241"/>
      <c r="BH559" s="27"/>
      <c r="BI559" s="28"/>
    </row>
    <row r="560" spans="1:61" s="29" customFormat="1" hidden="1" outlineLevel="2" x14ac:dyDescent="0.3">
      <c r="A560" s="22" t="s">
        <v>438</v>
      </c>
      <c r="B560" s="2"/>
      <c r="C560" s="3"/>
      <c r="D560" s="55">
        <v>5.0000000000000001E-3</v>
      </c>
      <c r="E560" s="55">
        <v>5.0000000000000001E-3</v>
      </c>
      <c r="F560" s="41"/>
      <c r="G560" s="56"/>
      <c r="H560" s="241"/>
      <c r="I560" s="27"/>
      <c r="J560" s="28"/>
      <c r="K560" s="241"/>
      <c r="L560" s="27"/>
      <c r="M560" s="28"/>
      <c r="N560" s="241"/>
      <c r="O560" s="27"/>
      <c r="P560" s="28"/>
      <c r="Q560" s="241"/>
      <c r="R560" s="27"/>
      <c r="S560" s="28"/>
      <c r="T560" s="241"/>
      <c r="U560" s="27"/>
      <c r="V560" s="28"/>
      <c r="W560" s="241"/>
      <c r="X560" s="27"/>
      <c r="Y560" s="28"/>
      <c r="Z560" s="241"/>
      <c r="AA560" s="27"/>
      <c r="AB560" s="28"/>
      <c r="AC560" s="241"/>
      <c r="AD560" s="27"/>
      <c r="AE560" s="28"/>
      <c r="AF560" s="241"/>
      <c r="AG560" s="27"/>
      <c r="AH560" s="28"/>
      <c r="AI560" s="241"/>
      <c r="AJ560" s="27"/>
      <c r="AK560" s="28"/>
      <c r="AL560" s="241"/>
      <c r="AM560" s="27"/>
      <c r="AN560" s="28"/>
      <c r="AO560" s="241"/>
      <c r="AP560" s="27"/>
      <c r="AQ560" s="28"/>
      <c r="AR560" s="241"/>
      <c r="AS560" s="27"/>
      <c r="AT560" s="28"/>
      <c r="AU560" s="241"/>
      <c r="AV560" s="27"/>
      <c r="AW560" s="28"/>
      <c r="AX560" s="241"/>
      <c r="AY560" s="27"/>
      <c r="AZ560" s="28"/>
      <c r="BA560" s="241"/>
      <c r="BB560" s="27"/>
      <c r="BC560" s="28"/>
      <c r="BD560" s="241"/>
      <c r="BE560" s="27"/>
      <c r="BF560" s="28"/>
      <c r="BG560" s="241"/>
      <c r="BH560" s="27"/>
      <c r="BI560" s="28"/>
    </row>
    <row r="561" spans="1:61" s="29" customFormat="1" hidden="1" outlineLevel="2" x14ac:dyDescent="0.3">
      <c r="A561" s="22" t="s">
        <v>366</v>
      </c>
      <c r="B561" s="2"/>
      <c r="C561" s="3"/>
      <c r="D561" s="55">
        <v>0</v>
      </c>
      <c r="E561" s="55">
        <v>0</v>
      </c>
      <c r="F561" s="41"/>
      <c r="G561" s="56"/>
      <c r="H561" s="241"/>
      <c r="I561" s="27"/>
      <c r="J561" s="28"/>
      <c r="K561" s="241"/>
      <c r="L561" s="27"/>
      <c r="M561" s="28"/>
      <c r="N561" s="241"/>
      <c r="O561" s="27"/>
      <c r="P561" s="28"/>
      <c r="Q561" s="241"/>
      <c r="R561" s="27"/>
      <c r="S561" s="28"/>
      <c r="T561" s="241"/>
      <c r="U561" s="27"/>
      <c r="V561" s="28"/>
      <c r="W561" s="241"/>
      <c r="X561" s="27"/>
      <c r="Y561" s="28"/>
      <c r="Z561" s="241"/>
      <c r="AA561" s="27"/>
      <c r="AB561" s="28"/>
      <c r="AC561" s="241"/>
      <c r="AD561" s="27"/>
      <c r="AE561" s="28"/>
      <c r="AF561" s="241"/>
      <c r="AG561" s="27"/>
      <c r="AH561" s="28"/>
      <c r="AI561" s="241"/>
      <c r="AJ561" s="27"/>
      <c r="AK561" s="28"/>
      <c r="AL561" s="241"/>
      <c r="AM561" s="27"/>
      <c r="AN561" s="28"/>
      <c r="AO561" s="241"/>
      <c r="AP561" s="27"/>
      <c r="AQ561" s="28"/>
      <c r="AR561" s="241"/>
      <c r="AS561" s="27"/>
      <c r="AT561" s="28"/>
      <c r="AU561" s="241"/>
      <c r="AV561" s="27"/>
      <c r="AW561" s="28"/>
      <c r="AX561" s="241"/>
      <c r="AY561" s="27"/>
      <c r="AZ561" s="28"/>
      <c r="BA561" s="241"/>
      <c r="BB561" s="27"/>
      <c r="BC561" s="28"/>
      <c r="BD561" s="241"/>
      <c r="BE561" s="27"/>
      <c r="BF561" s="28"/>
      <c r="BG561" s="241"/>
      <c r="BH561" s="27"/>
      <c r="BI561" s="28"/>
    </row>
    <row r="562" spans="1:61" s="29" customFormat="1" hidden="1" outlineLevel="2" x14ac:dyDescent="0.3">
      <c r="A562" s="22" t="s">
        <v>439</v>
      </c>
      <c r="B562" s="2"/>
      <c r="C562" s="3"/>
      <c r="D562" s="55">
        <v>0</v>
      </c>
      <c r="E562" s="55">
        <v>0</v>
      </c>
      <c r="F562" s="41"/>
      <c r="G562" s="56"/>
      <c r="H562" s="241"/>
      <c r="I562" s="27"/>
      <c r="J562" s="28"/>
      <c r="K562" s="241"/>
      <c r="L562" s="27"/>
      <c r="M562" s="28"/>
      <c r="N562" s="241"/>
      <c r="O562" s="27"/>
      <c r="P562" s="28"/>
      <c r="Q562" s="241"/>
      <c r="R562" s="27"/>
      <c r="S562" s="28"/>
      <c r="T562" s="241"/>
      <c r="U562" s="27"/>
      <c r="V562" s="28"/>
      <c r="W562" s="241"/>
      <c r="X562" s="27"/>
      <c r="Y562" s="28"/>
      <c r="Z562" s="241"/>
      <c r="AA562" s="27"/>
      <c r="AB562" s="28"/>
      <c r="AC562" s="241"/>
      <c r="AD562" s="27"/>
      <c r="AE562" s="28"/>
      <c r="AF562" s="241"/>
      <c r="AG562" s="27"/>
      <c r="AH562" s="28"/>
      <c r="AI562" s="241"/>
      <c r="AJ562" s="27"/>
      <c r="AK562" s="28"/>
      <c r="AL562" s="241"/>
      <c r="AM562" s="27"/>
      <c r="AN562" s="28"/>
      <c r="AO562" s="241"/>
      <c r="AP562" s="27"/>
      <c r="AQ562" s="28"/>
      <c r="AR562" s="241"/>
      <c r="AS562" s="27"/>
      <c r="AT562" s="28"/>
      <c r="AU562" s="241"/>
      <c r="AV562" s="27"/>
      <c r="AW562" s="28"/>
      <c r="AX562" s="241"/>
      <c r="AY562" s="27"/>
      <c r="AZ562" s="28"/>
      <c r="BA562" s="241"/>
      <c r="BB562" s="27"/>
      <c r="BC562" s="28"/>
      <c r="BD562" s="241"/>
      <c r="BE562" s="27"/>
      <c r="BF562" s="28"/>
      <c r="BG562" s="241"/>
      <c r="BH562" s="27"/>
      <c r="BI562" s="28"/>
    </row>
    <row r="563" spans="1:61" s="29" customFormat="1" hidden="1" outlineLevel="2" x14ac:dyDescent="0.3">
      <c r="A563" s="22"/>
      <c r="B563" s="2"/>
      <c r="C563" s="3"/>
      <c r="D563" s="55">
        <v>0.44990000000000002</v>
      </c>
      <c r="E563" s="55">
        <v>0.64790000000000003</v>
      </c>
      <c r="F563" s="41"/>
      <c r="G563" s="56"/>
      <c r="H563" s="241"/>
      <c r="I563" s="27"/>
      <c r="J563" s="28"/>
      <c r="K563" s="241"/>
      <c r="L563" s="27"/>
      <c r="M563" s="28"/>
      <c r="N563" s="241"/>
      <c r="O563" s="27"/>
      <c r="P563" s="28"/>
      <c r="Q563" s="241"/>
      <c r="R563" s="27"/>
      <c r="S563" s="28"/>
      <c r="T563" s="241"/>
      <c r="U563" s="27"/>
      <c r="V563" s="28"/>
      <c r="W563" s="241"/>
      <c r="X563" s="27"/>
      <c r="Y563" s="28"/>
      <c r="Z563" s="241"/>
      <c r="AA563" s="27"/>
      <c r="AB563" s="28"/>
      <c r="AC563" s="241"/>
      <c r="AD563" s="27"/>
      <c r="AE563" s="28"/>
      <c r="AF563" s="241"/>
      <c r="AG563" s="27"/>
      <c r="AH563" s="28"/>
      <c r="AI563" s="241"/>
      <c r="AJ563" s="27"/>
      <c r="AK563" s="28"/>
      <c r="AL563" s="241"/>
      <c r="AM563" s="27"/>
      <c r="AN563" s="28"/>
      <c r="AO563" s="241"/>
      <c r="AP563" s="27"/>
      <c r="AQ563" s="28"/>
      <c r="AR563" s="241"/>
      <c r="AS563" s="27"/>
      <c r="AT563" s="28"/>
      <c r="AU563" s="241"/>
      <c r="AV563" s="27"/>
      <c r="AW563" s="28"/>
      <c r="AX563" s="241"/>
      <c r="AY563" s="27"/>
      <c r="AZ563" s="28"/>
      <c r="BA563" s="241"/>
      <c r="BB563" s="27"/>
      <c r="BC563" s="28"/>
      <c r="BD563" s="241"/>
      <c r="BE563" s="27"/>
      <c r="BF563" s="28"/>
      <c r="BG563" s="241"/>
      <c r="BH563" s="27"/>
      <c r="BI563" s="28"/>
    </row>
    <row r="564" spans="1:61" s="29" customFormat="1" hidden="1" outlineLevel="1" x14ac:dyDescent="0.3">
      <c r="A564" s="163"/>
      <c r="B564" s="23"/>
      <c r="C564" s="3"/>
      <c r="D564" s="110" t="s">
        <v>440</v>
      </c>
      <c r="E564" s="110" t="s">
        <v>401</v>
      </c>
      <c r="F564" s="23"/>
      <c r="G564" s="56"/>
      <c r="H564" s="279"/>
      <c r="I564" s="180"/>
      <c r="J564" s="181"/>
      <c r="K564" s="279"/>
      <c r="L564" s="180"/>
      <c r="M564" s="181"/>
      <c r="N564" s="279"/>
      <c r="O564" s="180"/>
      <c r="P564" s="181"/>
      <c r="Q564" s="279"/>
      <c r="R564" s="180"/>
      <c r="S564" s="181"/>
      <c r="T564" s="279"/>
      <c r="U564" s="180"/>
      <c r="V564" s="181"/>
      <c r="W564" s="279"/>
      <c r="X564" s="180"/>
      <c r="Y564" s="181"/>
      <c r="Z564" s="279"/>
      <c r="AA564" s="180"/>
      <c r="AB564" s="181"/>
      <c r="AC564" s="279"/>
      <c r="AD564" s="180"/>
      <c r="AE564" s="181"/>
      <c r="AF564" s="279"/>
      <c r="AG564" s="180"/>
      <c r="AH564" s="181"/>
      <c r="AI564" s="279"/>
      <c r="AJ564" s="180"/>
      <c r="AK564" s="181"/>
      <c r="AL564" s="279"/>
      <c r="AM564" s="180"/>
      <c r="AN564" s="181"/>
      <c r="AO564" s="279"/>
      <c r="AP564" s="180"/>
      <c r="AQ564" s="181"/>
      <c r="AR564" s="279"/>
      <c r="AS564" s="180"/>
      <c r="AT564" s="181"/>
      <c r="AU564" s="279"/>
      <c r="AV564" s="180"/>
      <c r="AW564" s="181"/>
      <c r="AX564" s="279"/>
      <c r="AY564" s="180"/>
      <c r="AZ564" s="181"/>
      <c r="BA564" s="279"/>
      <c r="BB564" s="180"/>
      <c r="BC564" s="181"/>
      <c r="BD564" s="279"/>
      <c r="BE564" s="180"/>
      <c r="BF564" s="181"/>
      <c r="BG564" s="279"/>
      <c r="BH564" s="180"/>
      <c r="BI564" s="181"/>
    </row>
    <row r="565" spans="1:61" s="216" customFormat="1" hidden="1" outlineLevel="1" x14ac:dyDescent="0.3">
      <c r="A565" s="213"/>
      <c r="B565" s="13"/>
      <c r="C565" s="12"/>
      <c r="D565" s="13"/>
      <c r="E565" s="13"/>
      <c r="F565" s="13"/>
      <c r="G565" s="214"/>
      <c r="H565" s="285"/>
      <c r="I565" s="35">
        <v>1</v>
      </c>
      <c r="J565" s="215"/>
      <c r="K565" s="285"/>
      <c r="L565" s="35">
        <v>2</v>
      </c>
      <c r="M565" s="215"/>
      <c r="N565" s="285"/>
      <c r="O565" s="35">
        <v>3</v>
      </c>
      <c r="P565" s="215"/>
      <c r="Q565" s="285"/>
      <c r="R565" s="35">
        <v>4</v>
      </c>
      <c r="S565" s="215"/>
      <c r="T565" s="285"/>
      <c r="U565" s="35">
        <v>5</v>
      </c>
      <c r="V565" s="215"/>
      <c r="W565" s="285"/>
      <c r="X565" s="35">
        <v>6</v>
      </c>
      <c r="Y565" s="215"/>
      <c r="Z565" s="285"/>
      <c r="AA565" s="35">
        <v>7</v>
      </c>
      <c r="AB565" s="215"/>
      <c r="AC565" s="285"/>
      <c r="AD565" s="35">
        <v>8</v>
      </c>
      <c r="AE565" s="215"/>
      <c r="AF565" s="285"/>
      <c r="AG565" s="35">
        <v>9</v>
      </c>
      <c r="AH565" s="215"/>
      <c r="AI565" s="285"/>
      <c r="AJ565" s="35">
        <v>10</v>
      </c>
      <c r="AK565" s="215"/>
      <c r="AL565" s="285"/>
      <c r="AM565" s="35">
        <v>11</v>
      </c>
      <c r="AN565" s="215"/>
      <c r="AO565" s="285"/>
      <c r="AP565" s="35">
        <v>12</v>
      </c>
      <c r="AQ565" s="215"/>
      <c r="AR565" s="285"/>
      <c r="AS565" s="35"/>
      <c r="AT565" s="215"/>
      <c r="AU565" s="285"/>
      <c r="AV565" s="35"/>
      <c r="AW565" s="215"/>
      <c r="AX565" s="285"/>
      <c r="AY565" s="35"/>
      <c r="AZ565" s="215"/>
      <c r="BA565" s="285"/>
      <c r="BB565" s="35"/>
      <c r="BC565" s="215"/>
      <c r="BD565" s="285"/>
      <c r="BE565" s="35"/>
      <c r="BF565" s="215"/>
      <c r="BG565" s="285"/>
      <c r="BH565" s="35"/>
      <c r="BI565" s="215"/>
    </row>
    <row r="566" spans="1:61" s="29" customFormat="1" hidden="1" outlineLevel="1" x14ac:dyDescent="0.3">
      <c r="A566" s="165" t="s">
        <v>441</v>
      </c>
      <c r="B566" s="23"/>
      <c r="C566" s="3"/>
      <c r="D566" s="4"/>
      <c r="E566" s="4"/>
      <c r="F566" s="23"/>
      <c r="G566" s="56"/>
      <c r="H566" s="286"/>
      <c r="I566" s="217"/>
      <c r="J566" s="218"/>
      <c r="K566" s="286"/>
      <c r="L566" s="217"/>
      <c r="M566" s="218"/>
      <c r="N566" s="286"/>
      <c r="O566" s="217"/>
      <c r="P566" s="218"/>
      <c r="Q566" s="286"/>
      <c r="R566" s="217"/>
      <c r="S566" s="218"/>
      <c r="T566" s="286"/>
      <c r="U566" s="217"/>
      <c r="V566" s="218"/>
      <c r="W566" s="286"/>
      <c r="X566" s="217"/>
      <c r="Y566" s="218"/>
      <c r="Z566" s="286"/>
      <c r="AA566" s="217"/>
      <c r="AB566" s="218"/>
      <c r="AC566" s="286"/>
      <c r="AD566" s="217"/>
      <c r="AE566" s="218"/>
      <c r="AF566" s="286"/>
      <c r="AG566" s="217"/>
      <c r="AH566" s="218"/>
      <c r="AI566" s="286"/>
      <c r="AJ566" s="217"/>
      <c r="AK566" s="218"/>
      <c r="AL566" s="286"/>
      <c r="AM566" s="217"/>
      <c r="AN566" s="218"/>
      <c r="AO566" s="286"/>
      <c r="AP566" s="217"/>
      <c r="AQ566" s="218"/>
      <c r="AR566" s="286"/>
      <c r="AS566" s="217"/>
      <c r="AT566" s="218"/>
      <c r="AU566" s="286"/>
      <c r="AV566" s="217"/>
      <c r="AW566" s="218"/>
      <c r="AX566" s="286"/>
      <c r="AY566" s="217"/>
      <c r="AZ566" s="218"/>
      <c r="BA566" s="286"/>
      <c r="BB566" s="217"/>
      <c r="BC566" s="218"/>
      <c r="BD566" s="286"/>
      <c r="BE566" s="217"/>
      <c r="BF566" s="218"/>
      <c r="BG566" s="286"/>
      <c r="BH566" s="217"/>
      <c r="BI566" s="218"/>
    </row>
    <row r="567" spans="1:61" s="29" customFormat="1" hidden="1" outlineLevel="2" x14ac:dyDescent="0.3">
      <c r="A567" s="22" t="s">
        <v>442</v>
      </c>
      <c r="B567" s="23"/>
      <c r="C567" s="3"/>
      <c r="D567" s="4"/>
      <c r="E567" s="4"/>
      <c r="F567" s="23"/>
      <c r="G567" s="56"/>
      <c r="H567" s="287"/>
      <c r="I567" s="219"/>
      <c r="J567" s="220"/>
      <c r="K567" s="287"/>
      <c r="L567" s="219"/>
      <c r="M567" s="220"/>
      <c r="N567" s="287"/>
      <c r="O567" s="219"/>
      <c r="P567" s="220"/>
      <c r="Q567" s="287"/>
      <c r="R567" s="219"/>
      <c r="S567" s="220"/>
      <c r="T567" s="287"/>
      <c r="U567" s="219"/>
      <c r="V567" s="220"/>
      <c r="W567" s="287"/>
      <c r="X567" s="219"/>
      <c r="Y567" s="220"/>
      <c r="Z567" s="287"/>
      <c r="AA567" s="219"/>
      <c r="AB567" s="220"/>
      <c r="AC567" s="287"/>
      <c r="AD567" s="219"/>
      <c r="AE567" s="220"/>
      <c r="AF567" s="287"/>
      <c r="AG567" s="219"/>
      <c r="AH567" s="220"/>
      <c r="AI567" s="287"/>
      <c r="AJ567" s="219"/>
      <c r="AK567" s="220"/>
      <c r="AL567" s="287"/>
      <c r="AM567" s="219"/>
      <c r="AN567" s="220"/>
      <c r="AO567" s="287"/>
      <c r="AP567" s="219"/>
      <c r="AQ567" s="220"/>
      <c r="AR567" s="287"/>
      <c r="AS567" s="219"/>
      <c r="AT567" s="220"/>
      <c r="AU567" s="287"/>
      <c r="AV567" s="219"/>
      <c r="AW567" s="220"/>
      <c r="AX567" s="287"/>
      <c r="AY567" s="219"/>
      <c r="AZ567" s="220"/>
      <c r="BA567" s="287"/>
      <c r="BB567" s="219"/>
      <c r="BC567" s="220"/>
      <c r="BD567" s="287"/>
      <c r="BE567" s="219"/>
      <c r="BF567" s="220"/>
      <c r="BG567" s="287"/>
      <c r="BH567" s="219"/>
      <c r="BI567" s="220"/>
    </row>
    <row r="568" spans="1:61" s="29" customFormat="1" hidden="1" outlineLevel="2" x14ac:dyDescent="0.3">
      <c r="A568" s="22" t="s">
        <v>443</v>
      </c>
      <c r="B568" s="23"/>
      <c r="C568" s="3"/>
      <c r="D568" s="4"/>
      <c r="E568" s="4"/>
      <c r="F568" s="23"/>
      <c r="G568" s="56"/>
      <c r="H568" s="288"/>
      <c r="I568" s="221"/>
      <c r="J568" s="222"/>
      <c r="K568" s="288"/>
      <c r="L568" s="221"/>
      <c r="M568" s="222"/>
      <c r="N568" s="288"/>
      <c r="O568" s="221"/>
      <c r="P568" s="222"/>
      <c r="Q568" s="288"/>
      <c r="R568" s="221"/>
      <c r="S568" s="222"/>
      <c r="T568" s="288"/>
      <c r="U568" s="221"/>
      <c r="V568" s="222"/>
      <c r="W568" s="288"/>
      <c r="X568" s="221"/>
      <c r="Y568" s="222"/>
      <c r="Z568" s="288"/>
      <c r="AA568" s="221"/>
      <c r="AB568" s="222"/>
      <c r="AC568" s="288"/>
      <c r="AD568" s="221"/>
      <c r="AE568" s="222"/>
      <c r="AF568" s="288"/>
      <c r="AG568" s="221"/>
      <c r="AH568" s="222"/>
      <c r="AI568" s="288"/>
      <c r="AJ568" s="221"/>
      <c r="AK568" s="222"/>
      <c r="AL568" s="288"/>
      <c r="AM568" s="221"/>
      <c r="AN568" s="222"/>
      <c r="AO568" s="288"/>
      <c r="AP568" s="221"/>
      <c r="AQ568" s="222"/>
      <c r="AR568" s="288"/>
      <c r="AS568" s="221"/>
      <c r="AT568" s="222"/>
      <c r="AU568" s="288"/>
      <c r="AV568" s="221"/>
      <c r="AW568" s="222"/>
      <c r="AX568" s="288"/>
      <c r="AY568" s="221"/>
      <c r="AZ568" s="222"/>
      <c r="BA568" s="288"/>
      <c r="BB568" s="221"/>
      <c r="BC568" s="222"/>
      <c r="BD568" s="288"/>
      <c r="BE568" s="221"/>
      <c r="BF568" s="222"/>
      <c r="BG568" s="288"/>
      <c r="BH568" s="221"/>
      <c r="BI568" s="222"/>
    </row>
    <row r="569" spans="1:61" s="29" customFormat="1" hidden="1" outlineLevel="2" x14ac:dyDescent="0.3">
      <c r="A569" s="22" t="s">
        <v>444</v>
      </c>
      <c r="B569" s="23"/>
      <c r="C569" s="3"/>
      <c r="D569" s="4"/>
      <c r="E569" s="4"/>
      <c r="F569" s="23"/>
      <c r="G569" s="56"/>
      <c r="H569" s="289"/>
      <c r="I569" s="223"/>
      <c r="J569" s="224"/>
      <c r="K569" s="289"/>
      <c r="L569" s="223"/>
      <c r="M569" s="224"/>
      <c r="N569" s="289"/>
      <c r="O569" s="223"/>
      <c r="P569" s="224"/>
      <c r="Q569" s="289"/>
      <c r="R569" s="223"/>
      <c r="S569" s="224"/>
      <c r="T569" s="289"/>
      <c r="U569" s="223"/>
      <c r="V569" s="224"/>
      <c r="W569" s="289"/>
      <c r="X569" s="223"/>
      <c r="Y569" s="224"/>
      <c r="Z569" s="289"/>
      <c r="AA569" s="223"/>
      <c r="AB569" s="224"/>
      <c r="AC569" s="289"/>
      <c r="AD569" s="223"/>
      <c r="AE569" s="224"/>
      <c r="AF569" s="289"/>
      <c r="AG569" s="223"/>
      <c r="AH569" s="224"/>
      <c r="AI569" s="289"/>
      <c r="AJ569" s="223"/>
      <c r="AK569" s="224"/>
      <c r="AL569" s="289"/>
      <c r="AM569" s="223"/>
      <c r="AN569" s="224"/>
      <c r="AO569" s="289"/>
      <c r="AP569" s="223"/>
      <c r="AQ569" s="224"/>
      <c r="AR569" s="289"/>
      <c r="AS569" s="223"/>
      <c r="AT569" s="224"/>
      <c r="AU569" s="289"/>
      <c r="AV569" s="223"/>
      <c r="AW569" s="224"/>
      <c r="AX569" s="289"/>
      <c r="AY569" s="223"/>
      <c r="AZ569" s="224"/>
      <c r="BA569" s="289"/>
      <c r="BB569" s="223"/>
      <c r="BC569" s="224"/>
      <c r="BD569" s="289"/>
      <c r="BE569" s="223"/>
      <c r="BF569" s="224"/>
      <c r="BG569" s="289"/>
      <c r="BH569" s="223"/>
      <c r="BI569" s="224"/>
    </row>
    <row r="570" spans="1:61" s="29" customFormat="1" hidden="1" outlineLevel="2" x14ac:dyDescent="0.3">
      <c r="A570" s="22" t="s">
        <v>445</v>
      </c>
      <c r="B570" s="23"/>
      <c r="C570" s="3"/>
      <c r="D570" s="4"/>
      <c r="E570" s="4"/>
      <c r="F570" s="23"/>
      <c r="G570" s="56"/>
      <c r="H570" s="289"/>
      <c r="I570" s="223"/>
      <c r="J570" s="224"/>
      <c r="K570" s="289"/>
      <c r="L570" s="223"/>
      <c r="M570" s="224"/>
      <c r="N570" s="289"/>
      <c r="O570" s="223"/>
      <c r="P570" s="224"/>
      <c r="Q570" s="289"/>
      <c r="R570" s="223"/>
      <c r="S570" s="224"/>
      <c r="T570" s="289"/>
      <c r="U570" s="223"/>
      <c r="V570" s="224"/>
      <c r="W570" s="289"/>
      <c r="X570" s="223"/>
      <c r="Y570" s="224"/>
      <c r="Z570" s="289"/>
      <c r="AA570" s="223"/>
      <c r="AB570" s="224"/>
      <c r="AC570" s="289"/>
      <c r="AD570" s="223"/>
      <c r="AE570" s="224"/>
      <c r="AF570" s="289"/>
      <c r="AG570" s="223"/>
      <c r="AH570" s="224"/>
      <c r="AI570" s="289"/>
      <c r="AJ570" s="223"/>
      <c r="AK570" s="224"/>
      <c r="AL570" s="289"/>
      <c r="AM570" s="223"/>
      <c r="AN570" s="224"/>
      <c r="AO570" s="289"/>
      <c r="AP570" s="223"/>
      <c r="AQ570" s="224"/>
      <c r="AR570" s="289"/>
      <c r="AS570" s="223"/>
      <c r="AT570" s="224"/>
      <c r="AU570" s="289"/>
      <c r="AV570" s="223"/>
      <c r="AW570" s="224"/>
      <c r="AX570" s="289"/>
      <c r="AY570" s="223"/>
      <c r="AZ570" s="224"/>
      <c r="BA570" s="289"/>
      <c r="BB570" s="223"/>
      <c r="BC570" s="224"/>
      <c r="BD570" s="289"/>
      <c r="BE570" s="223"/>
      <c r="BF570" s="224"/>
      <c r="BG570" s="289"/>
      <c r="BH570" s="223"/>
      <c r="BI570" s="224"/>
    </row>
    <row r="571" spans="1:61" s="29" customFormat="1" hidden="1" outlineLevel="2" x14ac:dyDescent="0.3">
      <c r="A571" s="22" t="s">
        <v>446</v>
      </c>
      <c r="B571" s="23"/>
      <c r="C571" s="3"/>
      <c r="D571" s="4"/>
      <c r="E571" s="4"/>
      <c r="F571" s="23"/>
      <c r="G571" s="56"/>
      <c r="H571" s="289"/>
      <c r="I571" s="223"/>
      <c r="J571" s="224"/>
      <c r="K571" s="289"/>
      <c r="L571" s="223"/>
      <c r="M571" s="224"/>
      <c r="N571" s="289"/>
      <c r="O571" s="223"/>
      <c r="P571" s="224"/>
      <c r="Q571" s="289"/>
      <c r="R571" s="223"/>
      <c r="S571" s="224"/>
      <c r="T571" s="289"/>
      <c r="U571" s="223"/>
      <c r="V571" s="224"/>
      <c r="W571" s="289"/>
      <c r="X571" s="223"/>
      <c r="Y571" s="224"/>
      <c r="Z571" s="289"/>
      <c r="AA571" s="223"/>
      <c r="AB571" s="224"/>
      <c r="AC571" s="289"/>
      <c r="AD571" s="223"/>
      <c r="AE571" s="224"/>
      <c r="AF571" s="289"/>
      <c r="AG571" s="223"/>
      <c r="AH571" s="224"/>
      <c r="AI571" s="289"/>
      <c r="AJ571" s="223"/>
      <c r="AK571" s="224"/>
      <c r="AL571" s="289"/>
      <c r="AM571" s="223"/>
      <c r="AN571" s="224"/>
      <c r="AO571" s="289"/>
      <c r="AP571" s="223"/>
      <c r="AQ571" s="224"/>
      <c r="AR571" s="289"/>
      <c r="AS571" s="223"/>
      <c r="AT571" s="224"/>
      <c r="AU571" s="289"/>
      <c r="AV571" s="223"/>
      <c r="AW571" s="224"/>
      <c r="AX571" s="289"/>
      <c r="AY571" s="223"/>
      <c r="AZ571" s="224"/>
      <c r="BA571" s="289"/>
      <c r="BB571" s="223"/>
      <c r="BC571" s="224"/>
      <c r="BD571" s="289"/>
      <c r="BE571" s="223"/>
      <c r="BF571" s="224"/>
      <c r="BG571" s="289"/>
      <c r="BH571" s="223"/>
      <c r="BI571" s="224"/>
    </row>
    <row r="572" spans="1:61" s="29" customFormat="1" hidden="1" outlineLevel="2" x14ac:dyDescent="0.3">
      <c r="A572" s="22" t="s">
        <v>447</v>
      </c>
      <c r="B572" s="23"/>
      <c r="C572" s="3"/>
      <c r="D572" s="225"/>
      <c r="E572" s="4"/>
      <c r="F572" s="23"/>
      <c r="G572" s="56"/>
      <c r="H572" s="289"/>
      <c r="I572" s="223"/>
      <c r="J572" s="224"/>
      <c r="K572" s="289"/>
      <c r="L572" s="223"/>
      <c r="M572" s="224"/>
      <c r="N572" s="289"/>
      <c r="O572" s="223"/>
      <c r="P572" s="224"/>
      <c r="Q572" s="289"/>
      <c r="R572" s="223"/>
      <c r="S572" s="224"/>
      <c r="T572" s="289"/>
      <c r="U572" s="223"/>
      <c r="V572" s="224"/>
      <c r="W572" s="289"/>
      <c r="X572" s="223"/>
      <c r="Y572" s="224"/>
      <c r="Z572" s="289"/>
      <c r="AA572" s="223"/>
      <c r="AB572" s="224"/>
      <c r="AC572" s="289"/>
      <c r="AD572" s="223"/>
      <c r="AE572" s="224"/>
      <c r="AF572" s="289"/>
      <c r="AG572" s="223"/>
      <c r="AH572" s="224"/>
      <c r="AI572" s="289"/>
      <c r="AJ572" s="223"/>
      <c r="AK572" s="224"/>
      <c r="AL572" s="289"/>
      <c r="AM572" s="223"/>
      <c r="AN572" s="224"/>
      <c r="AO572" s="289"/>
      <c r="AP572" s="223"/>
      <c r="AQ572" s="224"/>
      <c r="AR572" s="289"/>
      <c r="AS572" s="223"/>
      <c r="AT572" s="224"/>
      <c r="AU572" s="289"/>
      <c r="AV572" s="223"/>
      <c r="AW572" s="224"/>
      <c r="AX572" s="289"/>
      <c r="AY572" s="223"/>
      <c r="AZ572" s="224"/>
      <c r="BA572" s="289"/>
      <c r="BB572" s="223"/>
      <c r="BC572" s="224"/>
      <c r="BD572" s="289"/>
      <c r="BE572" s="223"/>
      <c r="BF572" s="224"/>
      <c r="BG572" s="289"/>
      <c r="BH572" s="223"/>
      <c r="BI572" s="224"/>
    </row>
    <row r="573" spans="1:61" s="29" customFormat="1" hidden="1" outlineLevel="2" x14ac:dyDescent="0.3">
      <c r="A573" s="22" t="s">
        <v>448</v>
      </c>
      <c r="B573" s="23"/>
      <c r="C573" s="3"/>
      <c r="D573" s="4"/>
      <c r="E573" s="4"/>
      <c r="F573" s="23"/>
      <c r="G573" s="56"/>
      <c r="H573" s="289"/>
      <c r="I573" s="223"/>
      <c r="J573" s="224"/>
      <c r="K573" s="289"/>
      <c r="L573" s="223"/>
      <c r="M573" s="224"/>
      <c r="N573" s="289"/>
      <c r="O573" s="223"/>
      <c r="P573" s="224"/>
      <c r="Q573" s="289"/>
      <c r="R573" s="223"/>
      <c r="S573" s="224"/>
      <c r="T573" s="289"/>
      <c r="U573" s="223"/>
      <c r="V573" s="224"/>
      <c r="W573" s="289"/>
      <c r="X573" s="223"/>
      <c r="Y573" s="224"/>
      <c r="Z573" s="289"/>
      <c r="AA573" s="223"/>
      <c r="AB573" s="224"/>
      <c r="AC573" s="289"/>
      <c r="AD573" s="223"/>
      <c r="AE573" s="224"/>
      <c r="AF573" s="289"/>
      <c r="AG573" s="223"/>
      <c r="AH573" s="224"/>
      <c r="AI573" s="289"/>
      <c r="AJ573" s="223"/>
      <c r="AK573" s="224"/>
      <c r="AL573" s="289"/>
      <c r="AM573" s="223"/>
      <c r="AN573" s="224"/>
      <c r="AO573" s="289"/>
      <c r="AP573" s="223"/>
      <c r="AQ573" s="224"/>
      <c r="AR573" s="289"/>
      <c r="AS573" s="223"/>
      <c r="AT573" s="224"/>
      <c r="AU573" s="289"/>
      <c r="AV573" s="223"/>
      <c r="AW573" s="224"/>
      <c r="AX573" s="289"/>
      <c r="AY573" s="223"/>
      <c r="AZ573" s="224"/>
      <c r="BA573" s="289"/>
      <c r="BB573" s="223"/>
      <c r="BC573" s="224"/>
      <c r="BD573" s="289"/>
      <c r="BE573" s="223"/>
      <c r="BF573" s="224"/>
      <c r="BG573" s="289"/>
      <c r="BH573" s="223"/>
      <c r="BI573" s="224"/>
    </row>
    <row r="574" spans="1:61" s="29" customFormat="1" hidden="1" outlineLevel="2" x14ac:dyDescent="0.3">
      <c r="A574" s="22" t="s">
        <v>449</v>
      </c>
      <c r="B574" s="23"/>
      <c r="C574" s="3"/>
      <c r="D574" s="4"/>
      <c r="E574" s="4"/>
      <c r="F574" s="23"/>
      <c r="G574" s="56"/>
      <c r="H574" s="289"/>
      <c r="I574" s="223"/>
      <c r="J574" s="224"/>
      <c r="K574" s="289"/>
      <c r="L574" s="223"/>
      <c r="M574" s="224"/>
      <c r="N574" s="289"/>
      <c r="O574" s="223"/>
      <c r="P574" s="224"/>
      <c r="Q574" s="289"/>
      <c r="R574" s="223"/>
      <c r="S574" s="224"/>
      <c r="T574" s="289"/>
      <c r="U574" s="223"/>
      <c r="V574" s="224"/>
      <c r="W574" s="289"/>
      <c r="X574" s="223"/>
      <c r="Y574" s="224"/>
      <c r="Z574" s="289"/>
      <c r="AA574" s="223"/>
      <c r="AB574" s="224"/>
      <c r="AC574" s="289"/>
      <c r="AD574" s="223"/>
      <c r="AE574" s="224"/>
      <c r="AF574" s="289"/>
      <c r="AG574" s="223"/>
      <c r="AH574" s="224"/>
      <c r="AI574" s="289"/>
      <c r="AJ574" s="223"/>
      <c r="AK574" s="224"/>
      <c r="AL574" s="289"/>
      <c r="AM574" s="223"/>
      <c r="AN574" s="224"/>
      <c r="AO574" s="289"/>
      <c r="AP574" s="223"/>
      <c r="AQ574" s="224"/>
      <c r="AR574" s="289"/>
      <c r="AS574" s="223"/>
      <c r="AT574" s="224"/>
      <c r="AU574" s="289"/>
      <c r="AV574" s="223"/>
      <c r="AW574" s="224"/>
      <c r="AX574" s="289"/>
      <c r="AY574" s="223"/>
      <c r="AZ574" s="224"/>
      <c r="BA574" s="289"/>
      <c r="BB574" s="223"/>
      <c r="BC574" s="224"/>
      <c r="BD574" s="289"/>
      <c r="BE574" s="223"/>
      <c r="BF574" s="224"/>
      <c r="BG574" s="289"/>
      <c r="BH574" s="223"/>
      <c r="BI574" s="224"/>
    </row>
    <row r="575" spans="1:61" s="29" customFormat="1" hidden="1" outlineLevel="2" x14ac:dyDescent="0.3">
      <c r="A575" s="22" t="s">
        <v>450</v>
      </c>
      <c r="B575" s="23"/>
      <c r="C575" s="3"/>
      <c r="D575" s="4"/>
      <c r="E575" s="4"/>
      <c r="F575" s="23"/>
      <c r="G575" s="56"/>
      <c r="H575" s="289"/>
      <c r="I575" s="223"/>
      <c r="J575" s="224"/>
      <c r="K575" s="289"/>
      <c r="L575" s="223"/>
      <c r="M575" s="224"/>
      <c r="N575" s="289"/>
      <c r="O575" s="223"/>
      <c r="P575" s="224"/>
      <c r="Q575" s="289"/>
      <c r="R575" s="223"/>
      <c r="S575" s="224"/>
      <c r="T575" s="289"/>
      <c r="U575" s="223"/>
      <c r="V575" s="224"/>
      <c r="W575" s="289"/>
      <c r="X575" s="223"/>
      <c r="Y575" s="224"/>
      <c r="Z575" s="289"/>
      <c r="AA575" s="223"/>
      <c r="AB575" s="224"/>
      <c r="AC575" s="289"/>
      <c r="AD575" s="223"/>
      <c r="AE575" s="224"/>
      <c r="AF575" s="289"/>
      <c r="AG575" s="223"/>
      <c r="AH575" s="224"/>
      <c r="AI575" s="289"/>
      <c r="AJ575" s="223"/>
      <c r="AK575" s="224"/>
      <c r="AL575" s="289"/>
      <c r="AM575" s="223"/>
      <c r="AN575" s="224"/>
      <c r="AO575" s="289"/>
      <c r="AP575" s="223"/>
      <c r="AQ575" s="224"/>
      <c r="AR575" s="289"/>
      <c r="AS575" s="223"/>
      <c r="AT575" s="224"/>
      <c r="AU575" s="289"/>
      <c r="AV575" s="223"/>
      <c r="AW575" s="224"/>
      <c r="AX575" s="289"/>
      <c r="AY575" s="223"/>
      <c r="AZ575" s="224"/>
      <c r="BA575" s="289"/>
      <c r="BB575" s="223"/>
      <c r="BC575" s="224"/>
      <c r="BD575" s="289"/>
      <c r="BE575" s="223"/>
      <c r="BF575" s="224"/>
      <c r="BG575" s="289"/>
      <c r="BH575" s="223"/>
      <c r="BI575" s="224"/>
    </row>
    <row r="576" spans="1:61" s="29" customFormat="1" hidden="1" outlineLevel="2" x14ac:dyDescent="0.3">
      <c r="A576" s="22" t="s">
        <v>451</v>
      </c>
      <c r="B576" s="23"/>
      <c r="C576" s="3"/>
      <c r="D576" s="4"/>
      <c r="E576" s="4"/>
      <c r="F576" s="23"/>
      <c r="G576" s="56"/>
      <c r="H576" s="289"/>
      <c r="I576" s="223"/>
      <c r="J576" s="224"/>
      <c r="K576" s="289"/>
      <c r="L576" s="223"/>
      <c r="M576" s="224"/>
      <c r="N576" s="289"/>
      <c r="O576" s="223"/>
      <c r="P576" s="224"/>
      <c r="Q576" s="289"/>
      <c r="R576" s="223"/>
      <c r="S576" s="224"/>
      <c r="T576" s="289"/>
      <c r="U576" s="223"/>
      <c r="V576" s="224"/>
      <c r="W576" s="289"/>
      <c r="X576" s="223"/>
      <c r="Y576" s="224"/>
      <c r="Z576" s="289"/>
      <c r="AA576" s="223"/>
      <c r="AB576" s="224"/>
      <c r="AC576" s="289"/>
      <c r="AD576" s="223"/>
      <c r="AE576" s="224"/>
      <c r="AF576" s="289"/>
      <c r="AG576" s="223"/>
      <c r="AH576" s="224"/>
      <c r="AI576" s="289"/>
      <c r="AJ576" s="223"/>
      <c r="AK576" s="224"/>
      <c r="AL576" s="289"/>
      <c r="AM576" s="223"/>
      <c r="AN576" s="224"/>
      <c r="AO576" s="289"/>
      <c r="AP576" s="223"/>
      <c r="AQ576" s="224"/>
      <c r="AR576" s="289"/>
      <c r="AS576" s="223"/>
      <c r="AT576" s="224"/>
      <c r="AU576" s="289"/>
      <c r="AV576" s="223"/>
      <c r="AW576" s="224"/>
      <c r="AX576" s="289"/>
      <c r="AY576" s="223"/>
      <c r="AZ576" s="224"/>
      <c r="BA576" s="289"/>
      <c r="BB576" s="223"/>
      <c r="BC576" s="224"/>
      <c r="BD576" s="289"/>
      <c r="BE576" s="223"/>
      <c r="BF576" s="224"/>
      <c r="BG576" s="289"/>
      <c r="BH576" s="223"/>
      <c r="BI576" s="224"/>
    </row>
    <row r="577" spans="1:61" s="29" customFormat="1" hidden="1" outlineLevel="2" x14ac:dyDescent="0.3">
      <c r="A577" s="22" t="s">
        <v>452</v>
      </c>
      <c r="B577" s="23"/>
      <c r="C577" s="3"/>
      <c r="D577" s="4"/>
      <c r="E577" s="4"/>
      <c r="F577" s="23"/>
      <c r="G577" s="56"/>
      <c r="H577" s="289"/>
      <c r="I577" s="223"/>
      <c r="J577" s="224"/>
      <c r="K577" s="289"/>
      <c r="L577" s="223"/>
      <c r="M577" s="224"/>
      <c r="N577" s="289"/>
      <c r="O577" s="223"/>
      <c r="P577" s="224"/>
      <c r="Q577" s="289"/>
      <c r="R577" s="223"/>
      <c r="S577" s="224"/>
      <c r="T577" s="289"/>
      <c r="U577" s="223"/>
      <c r="V577" s="224"/>
      <c r="W577" s="289"/>
      <c r="X577" s="223"/>
      <c r="Y577" s="224"/>
      <c r="Z577" s="289"/>
      <c r="AA577" s="223"/>
      <c r="AB577" s="224"/>
      <c r="AC577" s="289"/>
      <c r="AD577" s="223"/>
      <c r="AE577" s="224"/>
      <c r="AF577" s="289"/>
      <c r="AG577" s="223"/>
      <c r="AH577" s="224"/>
      <c r="AI577" s="289"/>
      <c r="AJ577" s="223"/>
      <c r="AK577" s="224"/>
      <c r="AL577" s="289"/>
      <c r="AM577" s="223"/>
      <c r="AN577" s="224"/>
      <c r="AO577" s="289"/>
      <c r="AP577" s="223"/>
      <c r="AQ577" s="224"/>
      <c r="AR577" s="289"/>
      <c r="AS577" s="223"/>
      <c r="AT577" s="224"/>
      <c r="AU577" s="289"/>
      <c r="AV577" s="223"/>
      <c r="AW577" s="224"/>
      <c r="AX577" s="289"/>
      <c r="AY577" s="223"/>
      <c r="AZ577" s="224"/>
      <c r="BA577" s="289"/>
      <c r="BB577" s="223"/>
      <c r="BC577" s="224"/>
      <c r="BD577" s="289"/>
      <c r="BE577" s="223"/>
      <c r="BF577" s="224"/>
      <c r="BG577" s="289"/>
      <c r="BH577" s="223"/>
      <c r="BI577" s="224"/>
    </row>
    <row r="578" spans="1:61" s="29" customFormat="1" hidden="1" outlineLevel="2" x14ac:dyDescent="0.3">
      <c r="A578" s="22" t="s">
        <v>453</v>
      </c>
      <c r="B578" s="23"/>
      <c r="C578" s="3"/>
      <c r="D578" s="4"/>
      <c r="E578" s="4"/>
      <c r="F578" s="23"/>
      <c r="G578" s="56"/>
      <c r="H578" s="289"/>
      <c r="I578" s="223"/>
      <c r="J578" s="224"/>
      <c r="K578" s="289"/>
      <c r="L578" s="223"/>
      <c r="M578" s="224"/>
      <c r="N578" s="289"/>
      <c r="O578" s="223"/>
      <c r="P578" s="224"/>
      <c r="Q578" s="289"/>
      <c r="R578" s="223"/>
      <c r="S578" s="224"/>
      <c r="T578" s="289"/>
      <c r="U578" s="223"/>
      <c r="V578" s="224"/>
      <c r="W578" s="289"/>
      <c r="X578" s="223"/>
      <c r="Y578" s="224"/>
      <c r="Z578" s="289"/>
      <c r="AA578" s="223"/>
      <c r="AB578" s="224"/>
      <c r="AC578" s="289"/>
      <c r="AD578" s="223"/>
      <c r="AE578" s="224"/>
      <c r="AF578" s="289"/>
      <c r="AG578" s="223"/>
      <c r="AH578" s="224"/>
      <c r="AI578" s="289"/>
      <c r="AJ578" s="223"/>
      <c r="AK578" s="224"/>
      <c r="AL578" s="289"/>
      <c r="AM578" s="223"/>
      <c r="AN578" s="224"/>
      <c r="AO578" s="289"/>
      <c r="AP578" s="223"/>
      <c r="AQ578" s="224"/>
      <c r="AR578" s="289"/>
      <c r="AS578" s="223"/>
      <c r="AT578" s="224"/>
      <c r="AU578" s="289"/>
      <c r="AV578" s="223"/>
      <c r="AW578" s="224"/>
      <c r="AX578" s="289"/>
      <c r="AY578" s="223"/>
      <c r="AZ578" s="224"/>
      <c r="BA578" s="289"/>
      <c r="BB578" s="223"/>
      <c r="BC578" s="224"/>
      <c r="BD578" s="289"/>
      <c r="BE578" s="223"/>
      <c r="BF578" s="224"/>
      <c r="BG578" s="289"/>
      <c r="BH578" s="223"/>
      <c r="BI578" s="224"/>
    </row>
    <row r="579" spans="1:61" s="216" customFormat="1" hidden="1" outlineLevel="2" x14ac:dyDescent="0.3">
      <c r="A579" s="213"/>
      <c r="B579" s="13"/>
      <c r="C579" s="12"/>
      <c r="D579" s="13"/>
      <c r="E579" s="226"/>
      <c r="F579" s="13"/>
      <c r="G579" s="214"/>
      <c r="H579" s="290"/>
      <c r="I579" s="236"/>
      <c r="J579" s="227"/>
      <c r="K579" s="290"/>
      <c r="L579" s="236"/>
      <c r="M579" s="227"/>
      <c r="N579" s="290"/>
      <c r="O579" s="236"/>
      <c r="P579" s="227"/>
      <c r="Q579" s="290"/>
      <c r="R579" s="236"/>
      <c r="S579" s="227"/>
      <c r="T579" s="290"/>
      <c r="U579" s="236"/>
      <c r="V579" s="227"/>
      <c r="W579" s="290"/>
      <c r="X579" s="236"/>
      <c r="Y579" s="227"/>
      <c r="Z579" s="290"/>
      <c r="AA579" s="236"/>
      <c r="AB579" s="227"/>
      <c r="AC579" s="290"/>
      <c r="AD579" s="236"/>
      <c r="AE579" s="227"/>
      <c r="AF579" s="290"/>
      <c r="AG579" s="236"/>
      <c r="AH579" s="227"/>
      <c r="AI579" s="290"/>
      <c r="AJ579" s="236"/>
      <c r="AK579" s="227"/>
      <c r="AL579" s="290"/>
      <c r="AM579" s="236"/>
      <c r="AN579" s="227"/>
      <c r="AO579" s="290"/>
      <c r="AP579" s="236"/>
      <c r="AQ579" s="227"/>
      <c r="AR579" s="290"/>
      <c r="AS579" s="236"/>
      <c r="AT579" s="227"/>
      <c r="AU579" s="290"/>
      <c r="AV579" s="236"/>
      <c r="AW579" s="227"/>
      <c r="AX579" s="290"/>
      <c r="AY579" s="236"/>
      <c r="AZ579" s="227"/>
      <c r="BA579" s="290"/>
      <c r="BB579" s="236"/>
      <c r="BC579" s="227"/>
      <c r="BD579" s="290"/>
      <c r="BE579" s="236"/>
      <c r="BF579" s="227"/>
      <c r="BG579" s="290"/>
      <c r="BH579" s="236"/>
      <c r="BI579" s="227"/>
    </row>
    <row r="580" spans="1:61" s="29" customFormat="1" hidden="1" outlineLevel="2" x14ac:dyDescent="0.3">
      <c r="A580" s="165" t="s">
        <v>454</v>
      </c>
      <c r="B580" s="23"/>
      <c r="C580" s="3"/>
      <c r="D580" s="4"/>
      <c r="E580" s="4"/>
      <c r="F580" s="23"/>
      <c r="G580" s="56"/>
      <c r="H580" s="286"/>
      <c r="I580" s="217"/>
      <c r="J580" s="218"/>
      <c r="K580" s="286"/>
      <c r="L580" s="217"/>
      <c r="M580" s="218"/>
      <c r="N580" s="286"/>
      <c r="O580" s="217"/>
      <c r="P580" s="218"/>
      <c r="Q580" s="286"/>
      <c r="R580" s="217"/>
      <c r="S580" s="218"/>
      <c r="T580" s="286"/>
      <c r="U580" s="217"/>
      <c r="V580" s="218"/>
      <c r="W580" s="286"/>
      <c r="X580" s="217"/>
      <c r="Y580" s="218"/>
      <c r="Z580" s="286"/>
      <c r="AA580" s="217"/>
      <c r="AB580" s="218"/>
      <c r="AC580" s="286"/>
      <c r="AD580" s="217"/>
      <c r="AE580" s="218"/>
      <c r="AF580" s="286"/>
      <c r="AG580" s="217"/>
      <c r="AH580" s="218"/>
      <c r="AI580" s="286"/>
      <c r="AJ580" s="217"/>
      <c r="AK580" s="218"/>
      <c r="AL580" s="286"/>
      <c r="AM580" s="217"/>
      <c r="AN580" s="218"/>
      <c r="AO580" s="286"/>
      <c r="AP580" s="217"/>
      <c r="AQ580" s="218"/>
      <c r="AR580" s="286"/>
      <c r="AS580" s="217"/>
      <c r="AT580" s="218"/>
      <c r="AU580" s="286"/>
      <c r="AV580" s="217"/>
      <c r="AW580" s="218"/>
      <c r="AX580" s="286"/>
      <c r="AY580" s="217"/>
      <c r="AZ580" s="218"/>
      <c r="BA580" s="286"/>
      <c r="BB580" s="217"/>
      <c r="BC580" s="218"/>
      <c r="BD580" s="286"/>
      <c r="BE580" s="217"/>
      <c r="BF580" s="218"/>
      <c r="BG580" s="286"/>
      <c r="BH580" s="217"/>
      <c r="BI580" s="218"/>
    </row>
    <row r="581" spans="1:61" s="29" customFormat="1" hidden="1" outlineLevel="2" x14ac:dyDescent="0.3">
      <c r="A581" s="22" t="s">
        <v>455</v>
      </c>
      <c r="B581" s="23"/>
      <c r="C581" s="3"/>
      <c r="D581" s="4"/>
      <c r="E581" s="4"/>
      <c r="F581" s="23"/>
      <c r="G581" s="56"/>
      <c r="H581" s="289"/>
      <c r="I581" s="223"/>
      <c r="J581" s="224"/>
      <c r="K581" s="289"/>
      <c r="L581" s="223"/>
      <c r="M581" s="224"/>
      <c r="N581" s="289"/>
      <c r="O581" s="223"/>
      <c r="P581" s="224"/>
      <c r="Q581" s="289"/>
      <c r="R581" s="223"/>
      <c r="S581" s="224"/>
      <c r="T581" s="289"/>
      <c r="U581" s="223"/>
      <c r="V581" s="224"/>
      <c r="W581" s="289"/>
      <c r="X581" s="223"/>
      <c r="Y581" s="224"/>
      <c r="Z581" s="289"/>
      <c r="AA581" s="223"/>
      <c r="AB581" s="224"/>
      <c r="AC581" s="289"/>
      <c r="AD581" s="223"/>
      <c r="AE581" s="224"/>
      <c r="AF581" s="289"/>
      <c r="AG581" s="223"/>
      <c r="AH581" s="224"/>
      <c r="AI581" s="289"/>
      <c r="AJ581" s="223"/>
      <c r="AK581" s="224"/>
      <c r="AL581" s="289"/>
      <c r="AM581" s="223"/>
      <c r="AN581" s="224"/>
      <c r="AO581" s="289"/>
      <c r="AP581" s="223"/>
      <c r="AQ581" s="224"/>
      <c r="AR581" s="289"/>
      <c r="AS581" s="223"/>
      <c r="AT581" s="224"/>
      <c r="AU581" s="289"/>
      <c r="AV581" s="223"/>
      <c r="AW581" s="224"/>
      <c r="AX581" s="289"/>
      <c r="AY581" s="223"/>
      <c r="AZ581" s="224"/>
      <c r="BA581" s="289"/>
      <c r="BB581" s="223"/>
      <c r="BC581" s="224"/>
      <c r="BD581" s="289"/>
      <c r="BE581" s="223"/>
      <c r="BF581" s="224"/>
      <c r="BG581" s="289"/>
      <c r="BH581" s="223"/>
      <c r="BI581" s="224"/>
    </row>
    <row r="582" spans="1:61" s="216" customFormat="1" hidden="1" outlineLevel="2" x14ac:dyDescent="0.3">
      <c r="A582" s="213"/>
      <c r="B582" s="13"/>
      <c r="C582" s="12"/>
      <c r="D582" s="13"/>
      <c r="E582" s="226"/>
      <c r="F582" s="13"/>
      <c r="G582" s="214"/>
      <c r="H582" s="290"/>
      <c r="I582" s="236"/>
      <c r="J582" s="227"/>
      <c r="K582" s="290"/>
      <c r="L582" s="236"/>
      <c r="M582" s="227"/>
      <c r="N582" s="290"/>
      <c r="O582" s="236"/>
      <c r="P582" s="227"/>
      <c r="Q582" s="290"/>
      <c r="R582" s="236"/>
      <c r="S582" s="227"/>
      <c r="T582" s="290"/>
      <c r="U582" s="236"/>
      <c r="V582" s="227"/>
      <c r="W582" s="290"/>
      <c r="X582" s="236"/>
      <c r="Y582" s="227"/>
      <c r="Z582" s="290"/>
      <c r="AA582" s="236"/>
      <c r="AB582" s="227"/>
      <c r="AC582" s="290"/>
      <c r="AD582" s="236"/>
      <c r="AE582" s="227"/>
      <c r="AF582" s="290"/>
      <c r="AG582" s="236"/>
      <c r="AH582" s="227"/>
      <c r="AI582" s="290"/>
      <c r="AJ582" s="236"/>
      <c r="AK582" s="227"/>
      <c r="AL582" s="290"/>
      <c r="AM582" s="236"/>
      <c r="AN582" s="227"/>
      <c r="AO582" s="290"/>
      <c r="AP582" s="236"/>
      <c r="AQ582" s="227"/>
      <c r="AR582" s="290"/>
      <c r="AS582" s="236"/>
      <c r="AT582" s="227"/>
      <c r="AU582" s="290"/>
      <c r="AV582" s="236"/>
      <c r="AW582" s="227"/>
      <c r="AX582" s="290"/>
      <c r="AY582" s="236"/>
      <c r="AZ582" s="227"/>
      <c r="BA582" s="290"/>
      <c r="BB582" s="236"/>
      <c r="BC582" s="227"/>
      <c r="BD582" s="290"/>
      <c r="BE582" s="236"/>
      <c r="BF582" s="227"/>
      <c r="BG582" s="290"/>
      <c r="BH582" s="236"/>
      <c r="BI582" s="227"/>
    </row>
    <row r="583" spans="1:61" s="216" customFormat="1" hidden="1" outlineLevel="2" x14ac:dyDescent="0.3">
      <c r="A583" s="213"/>
      <c r="B583" s="13"/>
      <c r="C583" s="12"/>
      <c r="D583" s="13"/>
      <c r="E583" s="226"/>
      <c r="F583" s="13"/>
      <c r="G583" s="214"/>
      <c r="H583" s="290"/>
      <c r="I583" s="236"/>
      <c r="J583" s="227"/>
      <c r="K583" s="290"/>
      <c r="L583" s="236"/>
      <c r="M583" s="227"/>
      <c r="N583" s="290"/>
      <c r="O583" s="236"/>
      <c r="P583" s="227"/>
      <c r="Q583" s="290"/>
      <c r="R583" s="236"/>
      <c r="S583" s="227"/>
      <c r="T583" s="290"/>
      <c r="U583" s="236"/>
      <c r="V583" s="227"/>
      <c r="W583" s="290"/>
      <c r="X583" s="236"/>
      <c r="Y583" s="227"/>
      <c r="Z583" s="290"/>
      <c r="AA583" s="236"/>
      <c r="AB583" s="227"/>
      <c r="AC583" s="290"/>
      <c r="AD583" s="236"/>
      <c r="AE583" s="227"/>
      <c r="AF583" s="290"/>
      <c r="AG583" s="236"/>
      <c r="AH583" s="227"/>
      <c r="AI583" s="290"/>
      <c r="AJ583" s="236"/>
      <c r="AK583" s="227"/>
      <c r="AL583" s="290"/>
      <c r="AM583" s="236"/>
      <c r="AN583" s="227"/>
      <c r="AO583" s="290"/>
      <c r="AP583" s="236"/>
      <c r="AQ583" s="227"/>
      <c r="AR583" s="290"/>
      <c r="AS583" s="236"/>
      <c r="AT583" s="227"/>
      <c r="AU583" s="290"/>
      <c r="AV583" s="236"/>
      <c r="AW583" s="227"/>
      <c r="AX583" s="290"/>
      <c r="AY583" s="236"/>
      <c r="AZ583" s="227"/>
      <c r="BA583" s="290"/>
      <c r="BB583" s="236"/>
      <c r="BC583" s="227"/>
      <c r="BD583" s="290"/>
      <c r="BE583" s="236"/>
      <c r="BF583" s="227"/>
      <c r="BG583" s="290"/>
      <c r="BH583" s="236"/>
      <c r="BI583" s="227"/>
    </row>
    <row r="584" spans="1:61" s="29" customFormat="1" ht="15" hidden="1" customHeight="1" outlineLevel="2" thickBot="1" x14ac:dyDescent="0.35">
      <c r="A584" s="22" t="s">
        <v>456</v>
      </c>
      <c r="B584" s="23"/>
      <c r="C584" s="3"/>
      <c r="D584" s="4"/>
      <c r="E584" s="4"/>
      <c r="F584" s="23"/>
      <c r="G584" s="56"/>
      <c r="H584" s="291"/>
      <c r="I584" s="292">
        <v>1</v>
      </c>
      <c r="J584" s="293"/>
      <c r="K584" s="291"/>
      <c r="L584" s="292">
        <v>1</v>
      </c>
      <c r="M584" s="293"/>
      <c r="N584" s="291"/>
      <c r="O584" s="292">
        <v>1</v>
      </c>
      <c r="P584" s="293"/>
      <c r="Q584" s="291"/>
      <c r="R584" s="292">
        <v>1</v>
      </c>
      <c r="S584" s="293"/>
      <c r="T584" s="291"/>
      <c r="U584" s="292">
        <v>1</v>
      </c>
      <c r="V584" s="293"/>
      <c r="W584" s="291"/>
      <c r="X584" s="292">
        <v>1</v>
      </c>
      <c r="Y584" s="293"/>
      <c r="Z584" s="291"/>
      <c r="AA584" s="292">
        <v>1</v>
      </c>
      <c r="AB584" s="293"/>
      <c r="AC584" s="291"/>
      <c r="AD584" s="292">
        <v>1</v>
      </c>
      <c r="AE584" s="293"/>
      <c r="AF584" s="291"/>
      <c r="AG584" s="292">
        <v>1</v>
      </c>
      <c r="AH584" s="293"/>
      <c r="AI584" s="291"/>
      <c r="AJ584" s="292">
        <v>1</v>
      </c>
      <c r="AK584" s="293"/>
      <c r="AL584" s="291"/>
      <c r="AM584" s="292">
        <v>1</v>
      </c>
      <c r="AN584" s="293"/>
      <c r="AO584" s="291"/>
      <c r="AP584" s="292">
        <v>1</v>
      </c>
      <c r="AQ584" s="293"/>
      <c r="AR584" s="291"/>
      <c r="AS584" s="292"/>
      <c r="AT584" s="293"/>
      <c r="AU584" s="291"/>
      <c r="AV584" s="292"/>
      <c r="AW584" s="293"/>
      <c r="AX584" s="291"/>
      <c r="AY584" s="292"/>
      <c r="AZ584" s="293"/>
      <c r="BA584" s="291"/>
      <c r="BB584" s="292"/>
      <c r="BC584" s="293"/>
      <c r="BD584" s="291"/>
      <c r="BE584" s="292"/>
      <c r="BF584" s="293"/>
      <c r="BG584" s="291"/>
      <c r="BH584" s="292"/>
      <c r="BI584" s="293"/>
    </row>
    <row r="585" spans="1:61" s="216" customFormat="1" hidden="1" outlineLevel="1" x14ac:dyDescent="0.3">
      <c r="A585" s="213"/>
      <c r="B585" s="13"/>
      <c r="C585" s="12"/>
      <c r="D585" s="13"/>
      <c r="E585" s="13"/>
      <c r="F585" s="13"/>
      <c r="G585" s="2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</row>
    <row r="586" spans="1:61" s="29" customFormat="1" hidden="1" outlineLevel="1" x14ac:dyDescent="0.3">
      <c r="A586" s="163"/>
      <c r="B586" s="23"/>
      <c r="C586" s="3"/>
      <c r="D586" s="4"/>
      <c r="E586" s="4"/>
      <c r="F586" s="23"/>
      <c r="G586" s="56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  <c r="AW586" s="117"/>
      <c r="AX586" s="117"/>
      <c r="AY586" s="117"/>
      <c r="AZ586" s="117"/>
      <c r="BA586" s="117"/>
      <c r="BB586" s="117"/>
      <c r="BC586" s="117"/>
      <c r="BD586" s="117"/>
      <c r="BE586" s="117"/>
      <c r="BF586" s="117"/>
      <c r="BG586" s="117"/>
      <c r="BH586" s="117"/>
      <c r="BI586" s="117"/>
    </row>
    <row r="587" spans="1:61" s="29" customFormat="1" hidden="1" outlineLevel="1" x14ac:dyDescent="0.3">
      <c r="A587" s="163"/>
      <c r="B587" s="23"/>
      <c r="C587" s="3"/>
      <c r="D587" s="4"/>
      <c r="E587" s="4"/>
      <c r="F587" s="23"/>
      <c r="G587" s="23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  <c r="AC587" s="228"/>
      <c r="AD587" s="228"/>
      <c r="AE587" s="228"/>
      <c r="AF587" s="228"/>
      <c r="AG587" s="228"/>
      <c r="AH587" s="228"/>
      <c r="AI587" s="228"/>
      <c r="AJ587" s="228"/>
      <c r="AK587" s="228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 s="228"/>
      <c r="AX587" s="228"/>
      <c r="AY587" s="228"/>
      <c r="AZ587" s="228"/>
      <c r="BA587" s="228"/>
      <c r="BB587" s="228"/>
      <c r="BC587" s="228"/>
      <c r="BD587" s="228"/>
      <c r="BE587" s="228"/>
      <c r="BF587" s="228"/>
      <c r="BG587" s="228"/>
      <c r="BH587" s="228"/>
      <c r="BI587" s="228"/>
    </row>
    <row r="588" spans="1:61" s="29" customFormat="1" hidden="1" outlineLevel="1" x14ac:dyDescent="0.3">
      <c r="A588" s="163"/>
      <c r="B588" s="23"/>
      <c r="C588" s="3"/>
      <c r="D588" s="4"/>
      <c r="E588" s="4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</row>
    <row r="589" spans="1:61" collapsed="1" x14ac:dyDescent="0.3"/>
  </sheetData>
  <mergeCells count="25">
    <mergeCell ref="AU4:AW4"/>
    <mergeCell ref="C183:C198"/>
    <mergeCell ref="F34:G34"/>
    <mergeCell ref="Q4:S4"/>
    <mergeCell ref="AR4:AT4"/>
    <mergeCell ref="AC4:AE4"/>
    <mergeCell ref="AI4:AK4"/>
    <mergeCell ref="F38:G38"/>
    <mergeCell ref="F37:G37"/>
    <mergeCell ref="BG4:BI4"/>
    <mergeCell ref="BD4:BF4"/>
    <mergeCell ref="C8:E8"/>
    <mergeCell ref="AO4:AQ4"/>
    <mergeCell ref="F36:G36"/>
    <mergeCell ref="Z4:AB4"/>
    <mergeCell ref="BA4:BC4"/>
    <mergeCell ref="F35:G35"/>
    <mergeCell ref="AL4:AN4"/>
    <mergeCell ref="AF4:AH4"/>
    <mergeCell ref="K4:M4"/>
    <mergeCell ref="W4:Y4"/>
    <mergeCell ref="N4:P4"/>
    <mergeCell ref="AX4:AZ4"/>
    <mergeCell ref="H4:J4"/>
    <mergeCell ref="T4:V4"/>
  </mergeCell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AC37"/>
  <sheetViews>
    <sheetView showGridLines="0" tabSelected="1" topLeftCell="N1" zoomScale="87" zoomScaleNormal="80" workbookViewId="0">
      <selection activeCell="U15" sqref="U15"/>
    </sheetView>
  </sheetViews>
  <sheetFormatPr defaultRowHeight="14.4" outlineLevelCol="1" x14ac:dyDescent="0.3"/>
  <cols>
    <col min="1" max="1" width="4.44140625" customWidth="1"/>
    <col min="2" max="2" width="35.6640625" customWidth="1"/>
    <col min="3" max="6" width="15.109375" customWidth="1"/>
    <col min="7" max="7" width="15.109375" style="367" bestFit="1" customWidth="1"/>
    <col min="8" max="8" width="15.6640625" customWidth="1"/>
    <col min="9" max="9" width="15.109375" style="367" customWidth="1" outlineLevel="1"/>
    <col min="10" max="10" width="15.6640625" customWidth="1" outlineLevel="1"/>
    <col min="11" max="15" width="14.33203125" customWidth="1" outlineLevel="1"/>
    <col min="16" max="16" width="5.88671875" style="308" customWidth="1"/>
    <col min="17" max="17" width="31.5546875" style="368" customWidth="1"/>
    <col min="18" max="19" width="15" bestFit="1" customWidth="1"/>
    <col min="20" max="21" width="14.88671875" bestFit="1" customWidth="1"/>
    <col min="22" max="24" width="14.109375" bestFit="1" customWidth="1"/>
    <col min="25" max="25" width="13.109375" bestFit="1" customWidth="1"/>
    <col min="26" max="27" width="7.88671875" bestFit="1" customWidth="1"/>
    <col min="28" max="28" width="12" bestFit="1" customWidth="1"/>
    <col min="29" max="29" width="7.88671875" bestFit="1" customWidth="1"/>
    <col min="30" max="30" width="9.6640625" customWidth="1"/>
  </cols>
  <sheetData>
    <row r="1" spans="1:29" ht="12.6" customHeight="1" x14ac:dyDescent="0.3"/>
    <row r="2" spans="1:29" ht="18" customHeight="1" x14ac:dyDescent="0.3">
      <c r="A2" s="369"/>
      <c r="B2" s="370" t="s">
        <v>457</v>
      </c>
      <c r="C2" s="371" t="s">
        <v>458</v>
      </c>
      <c r="D2" s="371" t="s">
        <v>459</v>
      </c>
      <c r="E2" s="371" t="s">
        <v>460</v>
      </c>
      <c r="F2" s="371" t="s">
        <v>461</v>
      </c>
      <c r="G2" s="371" t="s">
        <v>462</v>
      </c>
      <c r="H2" s="371" t="s">
        <v>463</v>
      </c>
      <c r="I2" s="371" t="s">
        <v>464</v>
      </c>
      <c r="J2" s="371" t="s">
        <v>465</v>
      </c>
      <c r="K2" s="371" t="s">
        <v>466</v>
      </c>
      <c r="L2" s="371" t="s">
        <v>467</v>
      </c>
      <c r="M2" s="371" t="s">
        <v>468</v>
      </c>
      <c r="N2" s="371" t="s">
        <v>469</v>
      </c>
      <c r="O2" s="372" t="s">
        <v>470</v>
      </c>
    </row>
    <row r="3" spans="1:29" hidden="1" x14ac:dyDescent="0.3">
      <c r="A3" s="369"/>
      <c r="B3" s="373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374"/>
      <c r="Q3" s="375"/>
    </row>
    <row r="4" spans="1:29" x14ac:dyDescent="0.3">
      <c r="A4" s="369"/>
      <c r="B4" s="376"/>
      <c r="O4" s="377"/>
      <c r="Q4" s="437"/>
      <c r="R4" s="371" t="s">
        <v>459</v>
      </c>
      <c r="S4" s="371" t="s">
        <v>460</v>
      </c>
      <c r="T4" s="371" t="s">
        <v>461</v>
      </c>
      <c r="U4" s="371" t="s">
        <v>462</v>
      </c>
      <c r="V4" s="371" t="s">
        <v>463</v>
      </c>
      <c r="W4" s="371" t="s">
        <v>464</v>
      </c>
      <c r="X4" s="371" t="s">
        <v>465</v>
      </c>
      <c r="Y4" s="371" t="s">
        <v>466</v>
      </c>
      <c r="Z4" s="371" t="s">
        <v>467</v>
      </c>
      <c r="AA4" s="371" t="s">
        <v>468</v>
      </c>
      <c r="AB4" s="371" t="s">
        <v>469</v>
      </c>
      <c r="AC4" s="372" t="s">
        <v>470</v>
      </c>
    </row>
    <row r="5" spans="1:29" x14ac:dyDescent="0.3">
      <c r="A5" s="378"/>
      <c r="B5" s="379" t="s">
        <v>471</v>
      </c>
      <c r="C5" s="380">
        <v>33023.369999999981</v>
      </c>
      <c r="D5" s="380">
        <f t="shared" ref="D5:O5" si="0">C17</f>
        <v>34159.050000000003</v>
      </c>
      <c r="E5" s="380">
        <f t="shared" si="0"/>
        <v>39007.230000000076</v>
      </c>
      <c r="F5" s="380">
        <f t="shared" si="0"/>
        <v>33695.51000000006</v>
      </c>
      <c r="G5" s="380">
        <f t="shared" si="0"/>
        <v>41890.810000000005</v>
      </c>
      <c r="H5" s="380">
        <f t="shared" si="0"/>
        <v>44190.570000000022</v>
      </c>
      <c r="I5" s="380">
        <f t="shared" si="0"/>
        <v>37583.170000000049</v>
      </c>
      <c r="J5" s="380">
        <f t="shared" si="0"/>
        <v>0</v>
      </c>
      <c r="K5" s="380">
        <f t="shared" si="0"/>
        <v>0</v>
      </c>
      <c r="L5" s="380">
        <f t="shared" si="0"/>
        <v>0</v>
      </c>
      <c r="M5" s="380">
        <f t="shared" si="0"/>
        <v>0</v>
      </c>
      <c r="N5" s="380">
        <f t="shared" si="0"/>
        <v>0</v>
      </c>
      <c r="O5" s="381">
        <f t="shared" si="0"/>
        <v>0</v>
      </c>
      <c r="Q5" s="443" t="s">
        <v>472</v>
      </c>
      <c r="R5" s="230">
        <f t="shared" ref="R5:AC5" si="1">SUM(D25:D26)</f>
        <v>309425.5</v>
      </c>
      <c r="S5" s="230">
        <f t="shared" si="1"/>
        <v>326674.40000000002</v>
      </c>
      <c r="T5" s="230">
        <f t="shared" si="1"/>
        <v>407285.99999999988</v>
      </c>
      <c r="U5" s="230">
        <f t="shared" si="1"/>
        <v>322565.70000000007</v>
      </c>
      <c r="V5" s="230">
        <f t="shared" si="1"/>
        <v>299823.29999999993</v>
      </c>
      <c r="W5" s="230">
        <f t="shared" si="1"/>
        <v>322895.39999999997</v>
      </c>
      <c r="X5" s="230">
        <f t="shared" si="1"/>
        <v>93307.5</v>
      </c>
      <c r="Y5" s="230">
        <f t="shared" si="1"/>
        <v>0</v>
      </c>
      <c r="Z5" s="230">
        <f t="shared" si="1"/>
        <v>0</v>
      </c>
      <c r="AA5" s="230">
        <f t="shared" si="1"/>
        <v>0</v>
      </c>
      <c r="AB5" s="230">
        <f t="shared" si="1"/>
        <v>0</v>
      </c>
      <c r="AC5" s="439">
        <f t="shared" si="1"/>
        <v>0</v>
      </c>
    </row>
    <row r="6" spans="1:29" x14ac:dyDescent="0.3">
      <c r="A6" s="378"/>
      <c r="B6" s="379" t="s">
        <v>473</v>
      </c>
      <c r="C6" s="380">
        <v>20947.989999999991</v>
      </c>
      <c r="D6" s="380">
        <f t="shared" ref="D6:O6" si="2">C18</f>
        <v>19615.79</v>
      </c>
      <c r="E6" s="380">
        <f t="shared" si="2"/>
        <v>20880.660000000011</v>
      </c>
      <c r="F6" s="380">
        <f t="shared" si="2"/>
        <v>20753.84</v>
      </c>
      <c r="G6" s="380">
        <f t="shared" si="2"/>
        <v>20035.810000000016</v>
      </c>
      <c r="H6" s="380">
        <f t="shared" si="2"/>
        <v>22019.990000000005</v>
      </c>
      <c r="I6" s="380">
        <f t="shared" si="2"/>
        <v>22045.079999999991</v>
      </c>
      <c r="J6" s="380">
        <f t="shared" si="2"/>
        <v>0</v>
      </c>
      <c r="K6" s="380">
        <f t="shared" si="2"/>
        <v>0</v>
      </c>
      <c r="L6" s="380">
        <f t="shared" si="2"/>
        <v>0</v>
      </c>
      <c r="M6" s="380">
        <f t="shared" si="2"/>
        <v>0</v>
      </c>
      <c r="N6" s="380">
        <f t="shared" si="2"/>
        <v>0</v>
      </c>
      <c r="O6" s="381">
        <f t="shared" si="2"/>
        <v>0</v>
      </c>
      <c r="Q6" s="443" t="s">
        <v>474</v>
      </c>
      <c r="R6" s="230">
        <f>DRE!J14</f>
        <v>15000</v>
      </c>
      <c r="S6" s="230">
        <f>DRE!M14</f>
        <v>1000</v>
      </c>
      <c r="T6" s="230">
        <f>DRE!P14</f>
        <v>45868.32</v>
      </c>
      <c r="U6" s="230">
        <f>DRE!S14</f>
        <v>0</v>
      </c>
      <c r="V6" s="230">
        <f>DRE!V14</f>
        <v>30036</v>
      </c>
      <c r="W6" s="230">
        <f>DRE!Y14</f>
        <v>3000</v>
      </c>
      <c r="X6" s="230">
        <f>DRE!AB14</f>
        <v>18000</v>
      </c>
      <c r="Y6" s="230">
        <f>DRE!AE14</f>
        <v>34159.020000000004</v>
      </c>
      <c r="Z6" s="230">
        <f>DRE!AH14</f>
        <v>0</v>
      </c>
      <c r="AA6" s="230">
        <f>DRE!AK14</f>
        <v>0</v>
      </c>
      <c r="AB6" s="230">
        <f>DRE!AN14</f>
        <v>1500</v>
      </c>
      <c r="AC6" s="439">
        <f>DRE!AQ14</f>
        <v>0</v>
      </c>
    </row>
    <row r="7" spans="1:29" x14ac:dyDescent="0.3">
      <c r="A7" s="378"/>
      <c r="B7" s="379" t="s">
        <v>475</v>
      </c>
      <c r="C7" s="380">
        <v>3320.27</v>
      </c>
      <c r="D7" s="380">
        <f t="shared" ref="D7:O7" si="3">C19</f>
        <v>2094.2800000000002</v>
      </c>
      <c r="E7" s="380">
        <f t="shared" si="3"/>
        <v>2982.5099999999998</v>
      </c>
      <c r="F7" s="380">
        <f t="shared" si="3"/>
        <v>3856.3199999999997</v>
      </c>
      <c r="G7" s="380">
        <f t="shared" si="3"/>
        <v>4331.96</v>
      </c>
      <c r="H7" s="380">
        <f t="shared" si="3"/>
        <v>4676.1900000000014</v>
      </c>
      <c r="I7" s="380">
        <f t="shared" si="3"/>
        <v>4342.9400000000005</v>
      </c>
      <c r="J7" s="380">
        <f t="shared" si="3"/>
        <v>0</v>
      </c>
      <c r="K7" s="380">
        <f t="shared" si="3"/>
        <v>0</v>
      </c>
      <c r="L7" s="380">
        <f t="shared" si="3"/>
        <v>0</v>
      </c>
      <c r="M7" s="380">
        <f t="shared" si="3"/>
        <v>0</v>
      </c>
      <c r="N7" s="380">
        <f t="shared" si="3"/>
        <v>0</v>
      </c>
      <c r="O7" s="381">
        <f t="shared" si="3"/>
        <v>0</v>
      </c>
      <c r="Q7" s="444" t="s">
        <v>476</v>
      </c>
      <c r="R7" s="387">
        <v>0</v>
      </c>
      <c r="S7" s="387">
        <v>0</v>
      </c>
      <c r="T7" s="387">
        <v>0</v>
      </c>
      <c r="U7" s="387">
        <v>0</v>
      </c>
      <c r="V7" s="387">
        <v>0</v>
      </c>
      <c r="W7" s="387">
        <v>0</v>
      </c>
      <c r="X7" s="387">
        <v>0</v>
      </c>
      <c r="Y7" s="387">
        <v>0</v>
      </c>
      <c r="Z7" s="387">
        <v>0</v>
      </c>
      <c r="AA7" s="387">
        <v>0</v>
      </c>
      <c r="AB7" s="387">
        <v>0</v>
      </c>
      <c r="AC7" s="477">
        <v>0</v>
      </c>
    </row>
    <row r="8" spans="1:29" x14ac:dyDescent="0.3">
      <c r="A8" s="378"/>
      <c r="B8" s="379" t="s">
        <v>477</v>
      </c>
      <c r="C8" s="380">
        <v>0</v>
      </c>
      <c r="D8" s="380">
        <f t="shared" ref="D8:O8" si="4">C20</f>
        <v>0</v>
      </c>
      <c r="E8" s="380">
        <f t="shared" si="4"/>
        <v>52.9</v>
      </c>
      <c r="F8" s="380">
        <f t="shared" si="4"/>
        <v>0</v>
      </c>
      <c r="G8" s="380">
        <f t="shared" si="4"/>
        <v>0</v>
      </c>
      <c r="H8" s="380">
        <f t="shared" si="4"/>
        <v>52.9</v>
      </c>
      <c r="I8" s="380">
        <f t="shared" si="4"/>
        <v>52.9</v>
      </c>
      <c r="J8" s="380">
        <f t="shared" si="4"/>
        <v>0</v>
      </c>
      <c r="K8" s="380">
        <f t="shared" si="4"/>
        <v>0</v>
      </c>
      <c r="L8" s="380">
        <f t="shared" si="4"/>
        <v>0</v>
      </c>
      <c r="M8" s="380">
        <f t="shared" si="4"/>
        <v>0</v>
      </c>
      <c r="N8" s="380">
        <f t="shared" si="4"/>
        <v>0</v>
      </c>
      <c r="O8" s="381">
        <f t="shared" si="4"/>
        <v>0</v>
      </c>
      <c r="Q8" s="438" t="s">
        <v>478</v>
      </c>
      <c r="R8" s="445">
        <f>-(SUMIFS(BD_Eventos_Novo!$J:$J,BD_Eventos_Novo!$G:$G,"Comanda Aberta / Couvert Antecipado",BD_Eventos_Novo!$AB:$AB,CMV_Manual!R$4)+SUMIFS(BD_Eventos_Novo!$J:$J,BD_Eventos_Novo!$G:$G,"Consumação Mínima",BD_Eventos_Novo!$AB:$AB,CMV_Manual!R$4))</f>
        <v>0</v>
      </c>
      <c r="S8" s="445">
        <f>-(SUMIFS(BD_Eventos_Novo!$J:$J,BD_Eventos_Novo!$G:$G,"Comanda Aberta / Couvert Antecipado",BD_Eventos_Novo!$AB:$AB,CMV_Manual!S$4)+SUMIFS(BD_Eventos_Novo!$J:$J,BD_Eventos_Novo!$G:$G,"Consumação Mínima",BD_Eventos_Novo!$AB:$AB,CMV_Manual!S$4))</f>
        <v>-870</v>
      </c>
      <c r="T8" s="445">
        <f>-(SUMIFS(BD_Eventos_Novo!$J:$J,BD_Eventos_Novo!$G:$G,"Comanda Aberta / Couvert Antecipado",BD_Eventos_Novo!$AB:$AB,CMV_Manual!T$4)+SUMIFS(BD_Eventos_Novo!$J:$J,BD_Eventos_Novo!$G:$G,"Consumação Mínima",BD_Eventos_Novo!$AB:$AB,CMV_Manual!T$4))</f>
        <v>-15076.05</v>
      </c>
      <c r="U8" s="445">
        <f>-(SUMIFS(BD_Eventos_Novo!$J:$J,BD_Eventos_Novo!$G:$G,"Comanda Aberta / Couvert Antecipado",BD_Eventos_Novo!$AB:$AB,CMV_Manual!U$4)+SUMIFS(BD_Eventos_Novo!$J:$J,BD_Eventos_Novo!$G:$G,"Consumação Mínima",BD_Eventos_Novo!$AB:$AB,CMV_Manual!U$4))</f>
        <v>0</v>
      </c>
      <c r="V8" s="445">
        <f>-(SUMIFS(BD_Eventos_Novo!$J:$J,BD_Eventos_Novo!$G:$G,"Comanda Aberta / Couvert Antecipado",BD_Eventos_Novo!$AB:$AB,CMV_Manual!V$4)+SUMIFS(BD_Eventos_Novo!$J:$J,BD_Eventos_Novo!$G:$G,"Consumação Mínima",BD_Eventos_Novo!$AB:$AB,CMV_Manual!V$4))</f>
        <v>-1696.5</v>
      </c>
      <c r="W8" s="445">
        <f>-(SUMIFS(BD_Eventos_Novo!$J:$J,BD_Eventos_Novo!$G:$G,"Comanda Aberta / Couvert Antecipado",BD_Eventos_Novo!$AB:$AB,CMV_Manual!W$4)+SUMIFS(BD_Eventos_Novo!$J:$J,BD_Eventos_Novo!$G:$G,"Consumação Mínima",BD_Eventos_Novo!$AB:$AB,CMV_Manual!W$4))</f>
        <v>-2610</v>
      </c>
      <c r="X8" s="445">
        <f>-(SUMIFS(BD_Eventos_Novo!$J:$J,BD_Eventos_Novo!$G:$G,"Comanda Aberta / Couvert Antecipado",BD_Eventos_Novo!$AB:$AB,CMV_Manual!X$4)+SUMIFS(BD_Eventos_Novo!$J:$J,BD_Eventos_Novo!$G:$G,"Consumação Mínima",BD_Eventos_Novo!$AB:$AB,CMV_Manual!X$4))</f>
        <v>0</v>
      </c>
      <c r="Y8" s="445">
        <f>-(SUMIFS(BD_Eventos_Novo!$J:$J,BD_Eventos_Novo!$G:$G,"Comanda Aberta / Couvert Antecipado",BD_Eventos_Novo!$AB:$AB,CMV_Manual!Y$4)+SUMIFS(BD_Eventos_Novo!$J:$J,BD_Eventos_Novo!$G:$G,"Consumação Mínima",BD_Eventos_Novo!$AB:$AB,CMV_Manual!Y$4))</f>
        <v>-29718.34</v>
      </c>
      <c r="Z8" s="445">
        <f>-(SUMIFS(BD_Eventos_Novo!$J:$J,BD_Eventos_Novo!$G:$G,"Comanda Aberta / Couvert Antecipado",BD_Eventos_Novo!$AB:$AB,CMV_Manual!Z$4)+SUMIFS(BD_Eventos_Novo!$J:$J,BD_Eventos_Novo!$G:$G,"Consumação Mínima",BD_Eventos_Novo!$AB:$AB,CMV_Manual!Z$4))</f>
        <v>0</v>
      </c>
      <c r="AA8" s="445">
        <f>-(SUMIFS(BD_Eventos_Novo!$J:$J,BD_Eventos_Novo!$G:$G,"Comanda Aberta / Couvert Antecipado",BD_Eventos_Novo!$AB:$AB,CMV_Manual!AA$4)+SUMIFS(BD_Eventos_Novo!$J:$J,BD_Eventos_Novo!$G:$G,"Consumação Mínima",BD_Eventos_Novo!$AB:$AB,CMV_Manual!AA$4))</f>
        <v>0</v>
      </c>
      <c r="AB8" s="445">
        <f>-(SUMIFS(BD_Eventos_Novo!$J:$J,BD_Eventos_Novo!$G:$G,"Comanda Aberta / Couvert Antecipado",BD_Eventos_Novo!$AB:$AB,CMV_Manual!AB$4)+SUMIFS(BD_Eventos_Novo!$J:$J,BD_Eventos_Novo!$G:$G,"Consumação Mínima",BD_Eventos_Novo!$AB:$AB,CMV_Manual!AB$4))</f>
        <v>0</v>
      </c>
      <c r="AC8" s="456">
        <f>-(SUMIFS(BD_Eventos_Novo!$J:$J,BD_Eventos_Novo!$G:$G,"Comanda Aberta / Couvert Antecipado",BD_Eventos_Novo!$AB:$AB,CMV_Manual!AC$4)+SUMIFS(BD_Eventos_Novo!$J:$J,BD_Eventos_Novo!$G:$G,"Consumação Mínima",BD_Eventos_Novo!$AB:$AB,CMV_Manual!AC$4))</f>
        <v>0</v>
      </c>
    </row>
    <row r="9" spans="1:29" x14ac:dyDescent="0.3">
      <c r="A9" s="382"/>
      <c r="B9" s="379" t="s">
        <v>479</v>
      </c>
      <c r="C9" s="383">
        <v>99394.030000000042</v>
      </c>
      <c r="D9" s="383">
        <f>-SUMIFS(Aut_BlueMe_Sem_Pedido!$J:$J,Aut_BlueMe_Sem_Pedido!$Q:$Q,CMV_Manual!D$2,Aut_BlueMe_Sem_Pedido!$H:$H,"Insumos - Alimentos")+SUMIFS(Aut_BlueMe_Com_Pedido!$K:$K,Aut_BlueMe_Com_Pedido!$Q:$Q,CMV_Manual!D$2)</f>
        <v>103421.95000000001</v>
      </c>
      <c r="E9" s="383">
        <f>-SUMIFS(Aut_BlueMe_Sem_Pedido!$J:$J,Aut_BlueMe_Sem_Pedido!$Q:$Q,CMV_Manual!E$2,Aut_BlueMe_Sem_Pedido!$H:$H,"Insumos - Alimentos")+SUMIFS(Aut_BlueMe_Com_Pedido!$K:$K,Aut_BlueMe_Com_Pedido!$Q:$Q,CMV_Manual!E$2)</f>
        <v>81568.890000000014</v>
      </c>
      <c r="F9" s="383">
        <f>-SUMIFS(Aut_BlueMe_Sem_Pedido!$J:$J,Aut_BlueMe_Sem_Pedido!$Q:$Q,CMV_Manual!F$2,Aut_BlueMe_Sem_Pedido!$H:$H,"Insumos - Alimentos")+SUMIFS(Aut_BlueMe_Com_Pedido!$K:$K,Aut_BlueMe_Com_Pedido!$Q:$Q,CMV_Manual!F$2)</f>
        <v>128109.65999999997</v>
      </c>
      <c r="G9" s="383">
        <f>-SUMIFS(Aut_BlueMe_Sem_Pedido!$J:$J,Aut_BlueMe_Sem_Pedido!$Q:$Q,CMV_Manual!G$2,Aut_BlueMe_Sem_Pedido!$H:$H,"Insumos - Alimentos")+SUMIFS(Aut_BlueMe_Com_Pedido!$K:$K,Aut_BlueMe_Com_Pedido!$Q:$Q,CMV_Manual!G$2)</f>
        <v>96713.539999999979</v>
      </c>
      <c r="H9" s="383">
        <f>-SUMIFS(Aut_BlueMe_Sem_Pedido!$J:$J,Aut_BlueMe_Sem_Pedido!$Q:$Q,CMV_Manual!H$2,Aut_BlueMe_Sem_Pedido!$H:$H,"Insumos - Alimentos")+SUMIFS(Aut_BlueMe_Com_Pedido!$K:$K,Aut_BlueMe_Com_Pedido!$Q:$Q,CMV_Manual!H$2)</f>
        <v>104855.45000000004</v>
      </c>
      <c r="I9" s="383">
        <f>-SUMIFS(Aut_BlueMe_Sem_Pedido!$J:$J,Aut_BlueMe_Sem_Pedido!$Q:$Q,CMV_Manual!I$2,Aut_BlueMe_Sem_Pedido!$H:$H,"Insumos - Alimentos")+SUMIFS(Aut_BlueMe_Com_Pedido!$K:$K,Aut_BlueMe_Com_Pedido!$Q:$Q,CMV_Manual!I$2)</f>
        <v>90808.809999999983</v>
      </c>
      <c r="J9" s="383">
        <f>-SUMIFS(Aut_BlueMe_Sem_Pedido!$J:$J,Aut_BlueMe_Sem_Pedido!$Q:$Q,CMV_Manual!J$2,Aut_BlueMe_Sem_Pedido!$H:$H,"Insumos - Alimentos")+SUMIFS(Aut_BlueMe_Com_Pedido!$K:$K,Aut_BlueMe_Com_Pedido!$Q:$Q,CMV_Manual!J$2)</f>
        <v>25981.949999999993</v>
      </c>
      <c r="K9" s="383">
        <f>-SUMIFS(Aut_BlueMe_Sem_Pedido!$J:$J,Aut_BlueMe_Sem_Pedido!$Q:$Q,CMV_Manual!K$2,Aut_BlueMe_Sem_Pedido!$H:$H,"Insumos - Alimentos")+SUMIFS(Aut_BlueMe_Com_Pedido!$K:$K,Aut_BlueMe_Com_Pedido!$Q:$Q,CMV_Manual!K$2)</f>
        <v>0</v>
      </c>
      <c r="L9" s="383">
        <f>-SUMIFS(Aut_BlueMe_Sem_Pedido!$J:$J,Aut_BlueMe_Sem_Pedido!$Q:$Q,CMV_Manual!L$2,Aut_BlueMe_Sem_Pedido!$H:$H,"Insumos - Alimentos")+SUMIFS(Aut_BlueMe_Com_Pedido!$K:$K,Aut_BlueMe_Com_Pedido!$Q:$Q,CMV_Manual!L$2)</f>
        <v>0</v>
      </c>
      <c r="M9" s="383">
        <f>-SUMIFS(Aut_BlueMe_Sem_Pedido!$J:$J,Aut_BlueMe_Sem_Pedido!$Q:$Q,CMV_Manual!M$2,Aut_BlueMe_Sem_Pedido!$H:$H,"Insumos - Alimentos")+SUMIFS(Aut_BlueMe_Com_Pedido!$K:$K,Aut_BlueMe_Com_Pedido!$Q:$Q,CMV_Manual!M$2)</f>
        <v>0</v>
      </c>
      <c r="N9" s="383">
        <f>-SUMIFS(Aut_BlueMe_Sem_Pedido!$J:$J,Aut_BlueMe_Sem_Pedido!$Q:$Q,CMV_Manual!N$2,Aut_BlueMe_Sem_Pedido!$H:$H,"Insumos - Alimentos")+SUMIFS(Aut_BlueMe_Com_Pedido!$K:$K,Aut_BlueMe_Com_Pedido!$Q:$Q,CMV_Manual!N$2)</f>
        <v>0</v>
      </c>
      <c r="O9" s="384">
        <f>-SUMIFS(Aut_BlueMe_Sem_Pedido!$J:$J,Aut_BlueMe_Sem_Pedido!$Q:$Q,CMV_Manual!O$2,Aut_BlueMe_Sem_Pedido!$H:$H,"Insumos - Alimentos")+SUMIFS(Aut_BlueMe_Com_Pedido!$K:$K,Aut_BlueMe_Com_Pedido!$Q:$Q,CMV_Manual!O$2)</f>
        <v>0</v>
      </c>
      <c r="P9" s="385"/>
      <c r="Q9" s="438" t="s">
        <v>480</v>
      </c>
      <c r="R9" s="445">
        <f>-(SUMIFS(Aut_Descontos!$I:$I,Aut_Descontos!$L:$L,CMV_Manual!R$4)+SUMIFS(Aut_Descontos!$J:$J,Aut_Descontos!$L:$L,CMV_Manual!R$4))</f>
        <v>0</v>
      </c>
      <c r="S9" s="445">
        <f>-(SUMIFS(Aut_Descontos!$I:$I,Aut_Descontos!$L:$L,CMV_Manual!S$4)+SUMIFS(Aut_Descontos!$J:$J,Aut_Descontos!$L:$L,CMV_Manual!S$4))</f>
        <v>0</v>
      </c>
      <c r="T9" s="445">
        <f>-(SUMIFS(Aut_Descontos!$I:$I,Aut_Descontos!$L:$L,CMV_Manual!T$4)+SUMIFS(Aut_Descontos!$J:$J,Aut_Descontos!$L:$L,CMV_Manual!T$4))</f>
        <v>0</v>
      </c>
      <c r="U9" s="445">
        <f>-(SUMIFS(Aut_Descontos!$I:$I,Aut_Descontos!$L:$L,CMV_Manual!U$4)+SUMIFS(Aut_Descontos!$J:$J,Aut_Descontos!$L:$L,CMV_Manual!U$4))</f>
        <v>0</v>
      </c>
      <c r="V9" s="445">
        <f>-(SUMIFS(Aut_Descontos!$I:$I,Aut_Descontos!$L:$L,CMV_Manual!V$4)+SUMIFS(Aut_Descontos!$J:$J,Aut_Descontos!$L:$L,CMV_Manual!V$4))</f>
        <v>0</v>
      </c>
      <c r="W9" s="445">
        <f>-(SUMIFS(Aut_Descontos!$I:$I,Aut_Descontos!$L:$L,CMV_Manual!W$4)+SUMIFS(Aut_Descontos!$J:$J,Aut_Descontos!$L:$L,CMV_Manual!W$4))</f>
        <v>0</v>
      </c>
      <c r="X9" s="445">
        <f>-(SUMIFS(Aut_Descontos!$I:$I,Aut_Descontos!$L:$L,CMV_Manual!X$4)+SUMIFS(Aut_Descontos!$J:$J,Aut_Descontos!$L:$L,CMV_Manual!X$4))</f>
        <v>0</v>
      </c>
      <c r="Y9" s="445">
        <f>-(SUMIFS(Aut_Descontos!$I:$I,Aut_Descontos!$L:$L,CMV_Manual!Y$4)+SUMIFS(Aut_Descontos!$J:$J,Aut_Descontos!$L:$L,CMV_Manual!Y$4))</f>
        <v>0</v>
      </c>
      <c r="Z9" s="445">
        <f>-(SUMIFS(Aut_Descontos!$I:$I,Aut_Descontos!$L:$L,CMV_Manual!Z$4)+SUMIFS(Aut_Descontos!$J:$J,Aut_Descontos!$L:$L,CMV_Manual!Z$4))</f>
        <v>0</v>
      </c>
      <c r="AA9" s="445">
        <f>-(SUMIFS(Aut_Descontos!$I:$I,Aut_Descontos!$L:$L,CMV_Manual!AA$4)+SUMIFS(Aut_Descontos!$J:$J,Aut_Descontos!$L:$L,CMV_Manual!AA$4))</f>
        <v>0</v>
      </c>
      <c r="AB9" s="445">
        <f>-(SUMIFS(Aut_Descontos!$I:$I,Aut_Descontos!$L:$L,CMV_Manual!AB$4)+SUMIFS(Aut_Descontos!$J:$J,Aut_Descontos!$L:$L,CMV_Manual!AB$4))</f>
        <v>0</v>
      </c>
      <c r="AC9" s="456">
        <f>-(SUMIFS(Aut_Descontos!$I:$I,Aut_Descontos!$L:$L,CMV_Manual!AC$4)+SUMIFS(Aut_Descontos!$J:$J,Aut_Descontos!$L:$L,CMV_Manual!AC$4))</f>
        <v>0</v>
      </c>
    </row>
    <row r="10" spans="1:29" x14ac:dyDescent="0.3">
      <c r="A10" s="382"/>
      <c r="B10" s="379" t="s">
        <v>481</v>
      </c>
      <c r="C10" s="383">
        <v>41784.559999999998</v>
      </c>
      <c r="D10" s="383">
        <f>-SUMIFS(Aut_BlueMe_Sem_Pedido!$J:$J,Aut_BlueMe_Sem_Pedido!$Q:$Q,CMV_Manual!D$2,Aut_BlueMe_Sem_Pedido!$H:$H,"Insumos - Bebidas")+SUMIFS(Aut_BlueMe_Com_Pedido!$L:$L,Aut_BlueMe_Com_Pedido!$Q:$Q,CMV_Manual!D$2)</f>
        <v>24564.739999999998</v>
      </c>
      <c r="E10" s="383">
        <f>-SUMIFS(Aut_BlueMe_Sem_Pedido!$J:$J,Aut_BlueMe_Sem_Pedido!$Q:$Q,CMV_Manual!E$2,Aut_BlueMe_Sem_Pedido!$H:$H,"Insumos - Bebidas")+SUMIFS(Aut_BlueMe_Com_Pedido!$L:$L,Aut_BlueMe_Com_Pedido!$Q:$Q,CMV_Manual!E$2)</f>
        <v>22404.19</v>
      </c>
      <c r="F10" s="383">
        <f>-SUMIFS(Aut_BlueMe_Sem_Pedido!$J:$J,Aut_BlueMe_Sem_Pedido!$Q:$Q,CMV_Manual!F$2,Aut_BlueMe_Sem_Pedido!$H:$H,"Insumos - Bebidas")+SUMIFS(Aut_BlueMe_Com_Pedido!$L:$L,Aut_BlueMe_Com_Pedido!$Q:$Q,CMV_Manual!F$2)</f>
        <v>31451.02</v>
      </c>
      <c r="G10" s="383">
        <f>-SUMIFS(Aut_BlueMe_Sem_Pedido!$J:$J,Aut_BlueMe_Sem_Pedido!$Q:$Q,CMV_Manual!G$2,Aut_BlueMe_Sem_Pedido!$H:$H,"Insumos - Bebidas")+SUMIFS(Aut_BlueMe_Com_Pedido!$L:$L,Aut_BlueMe_Com_Pedido!$Q:$Q,CMV_Manual!G$2)</f>
        <v>23640.040000000005</v>
      </c>
      <c r="H10" s="383">
        <f>-SUMIFS(Aut_BlueMe_Sem_Pedido!$J:$J,Aut_BlueMe_Sem_Pedido!$Q:$Q,CMV_Manual!H$2,Aut_BlueMe_Sem_Pedido!$H:$H,"Insumos - Bebidas")+SUMIFS(Aut_BlueMe_Com_Pedido!$L:$L,Aut_BlueMe_Com_Pedido!$Q:$Q,CMV_Manual!H$2)</f>
        <v>22019.650000000005</v>
      </c>
      <c r="I10" s="383">
        <f>-SUMIFS(Aut_BlueMe_Sem_Pedido!$J:$J,Aut_BlueMe_Sem_Pedido!$Q:$Q,CMV_Manual!I$2,Aut_BlueMe_Sem_Pedido!$H:$H,"Insumos - Bebidas")+SUMIFS(Aut_BlueMe_Com_Pedido!$L:$L,Aut_BlueMe_Com_Pedido!$Q:$Q,CMV_Manual!I$2)</f>
        <v>24006.909999999996</v>
      </c>
      <c r="J10" s="383">
        <f>-SUMIFS(Aut_BlueMe_Sem_Pedido!$J:$J,Aut_BlueMe_Sem_Pedido!$Q:$Q,CMV_Manual!J$2,Aut_BlueMe_Sem_Pedido!$H:$H,"Insumos - Bebidas")+SUMIFS(Aut_BlueMe_Com_Pedido!$L:$L,Aut_BlueMe_Com_Pedido!$Q:$Q,CMV_Manual!J$2)</f>
        <v>7197.53</v>
      </c>
      <c r="K10" s="383">
        <f>-SUMIFS(Aut_BlueMe_Sem_Pedido!$J:$J,Aut_BlueMe_Sem_Pedido!$Q:$Q,CMV_Manual!K$2,Aut_BlueMe_Sem_Pedido!$H:$H,"Insumos - Bebidas")+SUMIFS(Aut_BlueMe_Com_Pedido!$L:$L,Aut_BlueMe_Com_Pedido!$Q:$Q,CMV_Manual!K$2)</f>
        <v>0</v>
      </c>
      <c r="L10" s="383">
        <f>-SUMIFS(Aut_BlueMe_Sem_Pedido!$J:$J,Aut_BlueMe_Sem_Pedido!$Q:$Q,CMV_Manual!L$2,Aut_BlueMe_Sem_Pedido!$H:$H,"Insumos - Bebidas")+SUMIFS(Aut_BlueMe_Com_Pedido!$L:$L,Aut_BlueMe_Com_Pedido!$Q:$Q,CMV_Manual!L$2)</f>
        <v>0</v>
      </c>
      <c r="M10" s="383">
        <f>-SUMIFS(Aut_BlueMe_Sem_Pedido!$J:$J,Aut_BlueMe_Sem_Pedido!$Q:$Q,CMV_Manual!M$2,Aut_BlueMe_Sem_Pedido!$H:$H,"Insumos - Bebidas")+SUMIFS(Aut_BlueMe_Com_Pedido!$L:$L,Aut_BlueMe_Com_Pedido!$Q:$Q,CMV_Manual!M$2)</f>
        <v>0</v>
      </c>
      <c r="N10" s="383">
        <f>-SUMIFS(Aut_BlueMe_Sem_Pedido!$J:$J,Aut_BlueMe_Sem_Pedido!$Q:$Q,CMV_Manual!N$2,Aut_BlueMe_Sem_Pedido!$H:$H,"Insumos - Bebidas")+SUMIFS(Aut_BlueMe_Com_Pedido!$L:$L,Aut_BlueMe_Com_Pedido!$Q:$Q,CMV_Manual!N$2)</f>
        <v>0</v>
      </c>
      <c r="O10" s="384">
        <f>-SUMIFS(Aut_BlueMe_Sem_Pedido!$J:$J,Aut_BlueMe_Sem_Pedido!$Q:$Q,CMV_Manual!O$2,Aut_BlueMe_Sem_Pedido!$H:$H,"Insumos - Bebidas")+SUMIFS(Aut_BlueMe_Com_Pedido!$L:$L,Aut_BlueMe_Com_Pedido!$Q:$Q,CMV_Manual!O$2)</f>
        <v>0</v>
      </c>
      <c r="P10" s="385"/>
      <c r="Q10" s="438" t="s">
        <v>482</v>
      </c>
      <c r="R10" s="445">
        <f>-(SUMIFS(Aut_Promocoes_Utilizadas!$G:$G,Aut_Promocoes_Utilizadas!$I:$I,"Eventos",Aut_Promocoes_Utilizadas!$J:$J,CMV_Manual!R$4))</f>
        <v>-3801.1</v>
      </c>
      <c r="S10" s="445">
        <f>-(SUMIFS(Aut_Promocoes_Utilizadas!$G:$G,Aut_Promocoes_Utilizadas!$I:$I,"Eventos",Aut_Promocoes_Utilizadas!$J:$J,CMV_Manual!S$4))</f>
        <v>0</v>
      </c>
      <c r="T10" s="445">
        <f>-(SUMIFS(Aut_Promocoes_Utilizadas!$G:$G,Aut_Promocoes_Utilizadas!$I:$I,"Eventos",Aut_Promocoes_Utilizadas!$J:$J,CMV_Manual!T$4))</f>
        <v>-10383.799999999999</v>
      </c>
      <c r="U10" s="445">
        <f>-(SUMIFS(Aut_Promocoes_Utilizadas!$G:$G,Aut_Promocoes_Utilizadas!$I:$I,"Eventos",Aut_Promocoes_Utilizadas!$J:$J,CMV_Manual!U$4))</f>
        <v>0</v>
      </c>
      <c r="V10" s="445">
        <f>-(SUMIFS(Aut_Promocoes_Utilizadas!$G:$G,Aut_Promocoes_Utilizadas!$I:$I,"Eventos",Aut_Promocoes_Utilizadas!$J:$J,CMV_Manual!V$4))</f>
        <v>-10747.4</v>
      </c>
      <c r="W10" s="445">
        <f>-(SUMIFS(Aut_Promocoes_Utilizadas!$G:$G,Aut_Promocoes_Utilizadas!$I:$I,"Eventos",Aut_Promocoes_Utilizadas!$J:$J,CMV_Manual!W$4))</f>
        <v>0</v>
      </c>
      <c r="X10" s="445">
        <f>-(SUMIFS(Aut_Promocoes_Utilizadas!$G:$G,Aut_Promocoes_Utilizadas!$I:$I,"Eventos",Aut_Promocoes_Utilizadas!$J:$J,CMV_Manual!X$4))</f>
        <v>0</v>
      </c>
      <c r="Y10" s="445">
        <f>-(SUMIFS(Aut_Promocoes_Utilizadas!$G:$G,Aut_Promocoes_Utilizadas!$I:$I,"Eventos",Aut_Promocoes_Utilizadas!$J:$J,CMV_Manual!Y$4))</f>
        <v>0</v>
      </c>
      <c r="Z10" s="445">
        <f>-(SUMIFS(Aut_Promocoes_Utilizadas!$G:$G,Aut_Promocoes_Utilizadas!$I:$I,"Eventos",Aut_Promocoes_Utilizadas!$J:$J,CMV_Manual!Z$4))</f>
        <v>0</v>
      </c>
      <c r="AA10" s="445">
        <f>-(SUMIFS(Aut_Promocoes_Utilizadas!$G:$G,Aut_Promocoes_Utilizadas!$I:$I,"Eventos",Aut_Promocoes_Utilizadas!$J:$J,CMV_Manual!AA$4))</f>
        <v>0</v>
      </c>
      <c r="AB10" s="445">
        <f>-(SUMIFS(Aut_Promocoes_Utilizadas!$G:$G,Aut_Promocoes_Utilizadas!$I:$I,"Eventos",Aut_Promocoes_Utilizadas!$J:$J,CMV_Manual!AB$4))</f>
        <v>0</v>
      </c>
      <c r="AC10" s="456">
        <f>SUMIFS(Aut_Promocoes_Utilizadas!$G:$G,Aut_Promocoes_Utilizadas!$I:$I,"Eventos",Aut_Promocoes_Utilizadas!$J:$J,CMV_Manual!AC$4)</f>
        <v>0</v>
      </c>
    </row>
    <row r="11" spans="1:29" ht="15.6" customHeight="1" x14ac:dyDescent="0.3">
      <c r="A11" s="382"/>
      <c r="B11" s="379" t="s">
        <v>483</v>
      </c>
      <c r="C11" s="380">
        <v>0</v>
      </c>
      <c r="D11" s="380">
        <f>SUMIFS(Aut_Transferencias!$K:$K,Aut_Transferencias!$J:$J,CMV_Manual!D$2,Aut_Transferencias!$G:$G,"ALIMENTOS",Aut_Transferencias!$C:$C,"Jacaré")</f>
        <v>583.20000000000005</v>
      </c>
      <c r="E11" s="380">
        <f>SUMIFS(Aut_Transferencias!$K:$K,Aut_Transferencias!$J:$J,CMV_Manual!E$2,Aut_Transferencias!$G:$G,"ALIMENTOS",Aut_Transferencias!$C:$C,"Jacaré")</f>
        <v>383.04</v>
      </c>
      <c r="F11" s="380">
        <f>SUMIFS(Aut_Transferencias!$K:$K,Aut_Transferencias!$J:$J,CMV_Manual!F$2,Aut_Transferencias!$G:$G,"ALIMENTOS",Aut_Transferencias!$C:$C,"Jacaré")</f>
        <v>0</v>
      </c>
      <c r="G11" s="380">
        <f>SUMIFS(Aut_Transferencias!$K:$K,Aut_Transferencias!$J:$J,CMV_Manual!G$2,Aut_Transferencias!$G:$G,"ALIMENTOS",Aut_Transferencias!$C:$C,"Jacaré")</f>
        <v>0</v>
      </c>
      <c r="H11" s="380">
        <f>SUMIFS(Aut_Transferencias!$K:$K,Aut_Transferencias!$J:$J,CMV_Manual!H$2,Aut_Transferencias!$G:$G,"ALIMENTOS",Aut_Transferencias!$C:$C,"Jacaré")</f>
        <v>0</v>
      </c>
      <c r="I11" s="380">
        <f>SUMIFS(Aut_Transferencias!$K:$K,Aut_Transferencias!$J:$J,CMV_Manual!I$2,Aut_Transferencias!$G:$G,"ALIMENTOS",Aut_Transferencias!$C:$C,"Jacaré")</f>
        <v>2088.88</v>
      </c>
      <c r="J11" s="380">
        <f>SUMIFS(Aut_Transferencias!$K:$K,Aut_Transferencias!$J:$J,CMV_Manual!J$2,Aut_Transferencias!$G:$G,"ALIMENTOS",Aut_Transferencias!$C:$C,"Jacaré")</f>
        <v>0</v>
      </c>
      <c r="K11" s="380">
        <f>SUMIFS(Aut_Transferencias!$K:$K,Aut_Transferencias!$J:$J,CMV_Manual!K$2,Aut_Transferencias!$G:$G,"ALIMENTOS",Aut_Transferencias!$C:$C,"Jacaré")</f>
        <v>0</v>
      </c>
      <c r="L11" s="380">
        <f>SUMIFS(Aut_Transferencias!$K:$K,Aut_Transferencias!$J:$J,CMV_Manual!L$2,Aut_Transferencias!$G:$G,"ALIMENTOS",Aut_Transferencias!$C:$C,"Jacaré")</f>
        <v>0</v>
      </c>
      <c r="M11" s="380">
        <f>SUMIFS(Aut_Transferencias!$K:$K,Aut_Transferencias!$J:$J,CMV_Manual!M$2,Aut_Transferencias!$G:$G,"ALIMENTOS",Aut_Transferencias!$C:$C,"Jacaré")</f>
        <v>0</v>
      </c>
      <c r="N11" s="380">
        <f>SUMIFS(Aut_Transferencias!$K:$K,Aut_Transferencias!$J:$J,CMV_Manual!N$2,Aut_Transferencias!$G:$G,"ALIMENTOS",Aut_Transferencias!$C:$C,"Jacaré")</f>
        <v>0</v>
      </c>
      <c r="O11" s="381">
        <f>SUMIFS(Aut_Transferencias!$K:$K,Aut_Transferencias!$J:$J,CMV_Manual!O$2,Aut_Transferencias!$G:$G,"ALIMENTOS",Aut_Transferencias!$C:$C,"Jacaré")</f>
        <v>0</v>
      </c>
      <c r="P11" s="386"/>
      <c r="Q11" s="444" t="s">
        <v>29</v>
      </c>
      <c r="R11" s="230">
        <f>DRE!J18</f>
        <v>37858.280000000013</v>
      </c>
      <c r="S11" s="230">
        <f>DRE!M18</f>
        <v>41942.509999999987</v>
      </c>
      <c r="T11" s="230">
        <f>DRE!P18</f>
        <v>74734.27</v>
      </c>
      <c r="U11" s="230">
        <f>DRE!S18</f>
        <v>74587.719999999987</v>
      </c>
      <c r="V11" s="230">
        <f>DRE!V18</f>
        <v>90539.15</v>
      </c>
      <c r="W11" s="230">
        <f>DRE!Y18</f>
        <v>99173.549999999988</v>
      </c>
      <c r="X11" s="230">
        <f>DRE!AB18</f>
        <v>24505.95</v>
      </c>
      <c r="Y11" s="230">
        <f>DRE!AE18</f>
        <v>0</v>
      </c>
      <c r="Z11" s="230">
        <f>DRE!AH18</f>
        <v>0</v>
      </c>
      <c r="AA11" s="230">
        <f>DRE!AK18</f>
        <v>0</v>
      </c>
      <c r="AB11" s="230">
        <f>DRE!AN18</f>
        <v>0</v>
      </c>
      <c r="AC11" s="439">
        <f>DRE!AQ18</f>
        <v>0</v>
      </c>
    </row>
    <row r="12" spans="1:29" s="436" customFormat="1" ht="21.6" customHeight="1" x14ac:dyDescent="0.3">
      <c r="A12" s="434"/>
      <c r="B12" s="379" t="s">
        <v>484</v>
      </c>
      <c r="C12" s="380">
        <v>3209.64</v>
      </c>
      <c r="D12" s="380">
        <f>SUMIFS(Aut_Transferencias!$K:$K,Aut_Transferencias!$J:$J,CMV_Manual!D$2,Aut_Transferencias!$G:$G,"BEBIDAS",Aut_Transferencias!$C:$C,"Jacaré")</f>
        <v>540</v>
      </c>
      <c r="E12" s="380">
        <f>SUMIFS(Aut_Transferencias!$K:$K,Aut_Transferencias!$J:$J,CMV_Manual!E$2,Aut_Transferencias!$G:$G,"BEBIDAS",Aut_Transferencias!$C:$C,"Jacaré")</f>
        <v>0</v>
      </c>
      <c r="F12" s="380">
        <f>SUMIFS(Aut_Transferencias!$K:$K,Aut_Transferencias!$J:$J,CMV_Manual!F$2,Aut_Transferencias!$G:$G,"BEBIDAS",Aut_Transferencias!$C:$C,"Jacaré")</f>
        <v>1180</v>
      </c>
      <c r="G12" s="380">
        <f>SUMIFS(Aut_Transferencias!$K:$K,Aut_Transferencias!$J:$J,CMV_Manual!G$2,Aut_Transferencias!$G:$G,"BEBIDAS",Aut_Transferencias!$C:$C,"Jacaré")</f>
        <v>4225.7</v>
      </c>
      <c r="H12" s="380">
        <f>SUMIFS(Aut_Transferencias!$K:$K,Aut_Transferencias!$J:$J,CMV_Manual!H$2,Aut_Transferencias!$G:$G,"BEBIDAS",Aut_Transferencias!$C:$C,"Jacaré")</f>
        <v>1895.8499999999997</v>
      </c>
      <c r="I12" s="380">
        <f>SUMIFS(Aut_Transferencias!$K:$K,Aut_Transferencias!$J:$J,CMV_Manual!I$2,Aut_Transferencias!$G:$G,"BEBIDAS",Aut_Transferencias!$C:$C,"Jacaré")</f>
        <v>6386.74</v>
      </c>
      <c r="J12" s="380">
        <f>SUMIFS(Aut_Transferencias!$K:$K,Aut_Transferencias!$J:$J,CMV_Manual!J$2,Aut_Transferencias!$G:$G,"BEBIDAS",Aut_Transferencias!$C:$C,"Jacaré")</f>
        <v>0</v>
      </c>
      <c r="K12" s="380">
        <f>SUMIFS(Aut_Transferencias!$K:$K,Aut_Transferencias!$J:$J,CMV_Manual!K$2,Aut_Transferencias!$G:$G,"BEBIDAS",Aut_Transferencias!$C:$C,"Jacaré")</f>
        <v>0</v>
      </c>
      <c r="L12" s="380">
        <f>SUMIFS(Aut_Transferencias!$K:$K,Aut_Transferencias!$J:$J,CMV_Manual!L$2,Aut_Transferencias!$G:$G,"BEBIDAS",Aut_Transferencias!$C:$C,"Jacaré")</f>
        <v>0</v>
      </c>
      <c r="M12" s="380">
        <f>SUMIFS(Aut_Transferencias!$K:$K,Aut_Transferencias!$J:$J,CMV_Manual!M$2,Aut_Transferencias!$G:$G,"BEBIDAS",Aut_Transferencias!$C:$C,"Jacaré")</f>
        <v>0</v>
      </c>
      <c r="N12" s="380">
        <f>SUMIFS(Aut_Transferencias!$K:$K,Aut_Transferencias!$J:$J,CMV_Manual!N$2,Aut_Transferencias!$G:$G,"BEBIDAS",Aut_Transferencias!$C:$C,"Jacaré")</f>
        <v>0</v>
      </c>
      <c r="O12" s="381">
        <f>SUMIFS(Aut_Transferencias!$K:$K,Aut_Transferencias!$J:$J,CMV_Manual!O$2,Aut_Transferencias!$G:$G,"BEBIDAS",Aut_Transferencias!$C:$C,"Jacaré")</f>
        <v>0</v>
      </c>
      <c r="P12" s="435"/>
      <c r="Q12" s="440" t="s">
        <v>485</v>
      </c>
      <c r="R12" s="441">
        <f t="shared" ref="R12:AC12" si="5">SUM(R5:R11)</f>
        <v>358482.68000000005</v>
      </c>
      <c r="S12" s="441">
        <f t="shared" si="5"/>
        <v>368746.91000000003</v>
      </c>
      <c r="T12" s="441">
        <f t="shared" si="5"/>
        <v>502428.73999999993</v>
      </c>
      <c r="U12" s="441">
        <f t="shared" si="5"/>
        <v>397153.42000000004</v>
      </c>
      <c r="V12" s="441">
        <f t="shared" si="5"/>
        <v>407954.54999999993</v>
      </c>
      <c r="W12" s="441">
        <f t="shared" si="5"/>
        <v>422458.94999999995</v>
      </c>
      <c r="X12" s="441">
        <f t="shared" si="5"/>
        <v>135813.45000000001</v>
      </c>
      <c r="Y12" s="441">
        <f t="shared" si="5"/>
        <v>4440.6800000000039</v>
      </c>
      <c r="Z12" s="441">
        <f t="shared" si="5"/>
        <v>0</v>
      </c>
      <c r="AA12" s="441">
        <f t="shared" si="5"/>
        <v>0</v>
      </c>
      <c r="AB12" s="441">
        <f t="shared" si="5"/>
        <v>1500</v>
      </c>
      <c r="AC12" s="442">
        <f t="shared" si="5"/>
        <v>0</v>
      </c>
    </row>
    <row r="13" spans="1:29" x14ac:dyDescent="0.3">
      <c r="A13" s="382"/>
      <c r="B13" s="379" t="s">
        <v>486</v>
      </c>
      <c r="C13" s="383">
        <v>5249</v>
      </c>
      <c r="D13" s="380">
        <f>SUMIFS(Aut_Transferencias!$K:$K,Aut_Transferencias!$J:$J,CMV_Manual!D$2,Aut_Transferencias!$G:$G,"ALIMENTOS",Aut_Transferencias!$C:$C,"Jacaré")</f>
        <v>583.20000000000005</v>
      </c>
      <c r="E13" s="380">
        <f>SUMIFS(Aut_Transferencias!$K:$K,Aut_Transferencias!$J:$J,CMV_Manual!E$2,Aut_Transferencias!$G:$G,"ALIMENTOS",Aut_Transferencias!$C:$C,"Jacaré")</f>
        <v>383.04</v>
      </c>
      <c r="F13" s="380">
        <f>SUMIFS(Aut_Transferencias!$K:$K,Aut_Transferencias!$J:$J,CMV_Manual!F$2,Aut_Transferencias!$G:$G,"ALIMENTOS",Aut_Transferencias!$C:$C,"Jacaré")</f>
        <v>0</v>
      </c>
      <c r="G13" s="380">
        <f>SUMIFS(Aut_Transferencias!$K:$K,Aut_Transferencias!$J:$J,CMV_Manual!G$2,Aut_Transferencias!$G:$G,"ALIMENTOS",Aut_Transferencias!$C:$C,"Jacaré")</f>
        <v>0</v>
      </c>
      <c r="H13" s="380">
        <f>SUMIFS(Aut_Transferencias!$K:$K,Aut_Transferencias!$J:$J,CMV_Manual!H$2,Aut_Transferencias!$G:$G,"ALIMENTOS",Aut_Transferencias!$C:$C,"Jacaré")</f>
        <v>0</v>
      </c>
      <c r="I13" s="380">
        <f>SUMIFS(Aut_Transferencias!$K:$K,Aut_Transferencias!$J:$J,CMV_Manual!I$2,Aut_Transferencias!$G:$G,"ALIMENTOS",Aut_Transferencias!$C:$C,"Jacaré")</f>
        <v>2088.88</v>
      </c>
      <c r="J13" s="380">
        <f>SUMIFS(Aut_Transferencias!$K:$K,Aut_Transferencias!$J:$J,CMV_Manual!J$2,Aut_Transferencias!$G:$G,"ALIMENTOS",Aut_Transferencias!$C:$C,"Jacaré")</f>
        <v>0</v>
      </c>
      <c r="K13" s="380">
        <f>SUMIFS(Aut_Transferencias!$K:$K,Aut_Transferencias!$J:$J,CMV_Manual!K$2,Aut_Transferencias!$G:$G,"ALIMENTOS",Aut_Transferencias!$C:$C,"Jacaré")</f>
        <v>0</v>
      </c>
      <c r="L13" s="380">
        <f>SUMIFS(Aut_Transferencias!$K:$K,Aut_Transferencias!$J:$J,CMV_Manual!L$2,Aut_Transferencias!$G:$G,"ALIMENTOS",Aut_Transferencias!$C:$C,"Jacaré")</f>
        <v>0</v>
      </c>
      <c r="M13" s="380">
        <f>SUMIFS(Aut_Transferencias!$K:$K,Aut_Transferencias!$J:$J,CMV_Manual!M$2,Aut_Transferencias!$G:$G,"ALIMENTOS",Aut_Transferencias!$C:$C,"Jacaré")</f>
        <v>0</v>
      </c>
      <c r="N13" s="380">
        <f>SUMIFS(Aut_Transferencias!$K:$K,Aut_Transferencias!$J:$J,CMV_Manual!N$2,Aut_Transferencias!$G:$G,"ALIMENTOS",Aut_Transferencias!$C:$C,"Jacaré")</f>
        <v>0</v>
      </c>
      <c r="O13" s="381">
        <f>SUMIFS(Aut_Transferencias!$K:$K,Aut_Transferencias!$J:$J,CMV_Manual!O$2,Aut_Transferencias!$G:$G,"ALIMENTOS",Aut_Transferencias!$C:$C,"Jacaré")</f>
        <v>0</v>
      </c>
      <c r="R13" s="387"/>
    </row>
    <row r="14" spans="1:29" x14ac:dyDescent="0.3">
      <c r="A14" s="382"/>
      <c r="B14" s="379" t="s">
        <v>487</v>
      </c>
      <c r="C14" s="383">
        <v>0</v>
      </c>
      <c r="D14" s="383">
        <f>SUMIFS(Aut_Transferencias!$K:$K,Aut_Transferencias!$J:$J,CMV_Manual!D$2,Aut_Transferencias!$G:$G,"BEBIDAS",Aut_Transferencias!$B:$B,"Jacaré")</f>
        <v>0</v>
      </c>
      <c r="E14" s="383">
        <f>SUMIFS(Aut_Transferencias!$K:$K,Aut_Transferencias!$J:$J,CMV_Manual!E$2,Aut_Transferencias!$G:$G,"BEBIDAS",Aut_Transferencias!$B:$B,"Jacaré")</f>
        <v>0</v>
      </c>
      <c r="F14" s="383">
        <f>SUMIFS(Aut_Transferencias!$K:$K,Aut_Transferencias!$J:$J,CMV_Manual!F$2,Aut_Transferencias!$G:$G,"BEBIDAS",Aut_Transferencias!$B:$B,"Jacaré")</f>
        <v>0</v>
      </c>
      <c r="G14" s="383">
        <f>SUMIFS(Aut_Transferencias!$K:$K,Aut_Transferencias!$J:$J,CMV_Manual!G$2,Aut_Transferencias!$G:$G,"BEBIDAS",Aut_Transferencias!$B:$B,"Jacaré")</f>
        <v>0</v>
      </c>
      <c r="H14" s="383">
        <f>SUMIFS(Aut_Transferencias!$K:$K,Aut_Transferencias!$J:$J,CMV_Manual!H$2,Aut_Transferencias!$G:$G,"BEBIDAS",Aut_Transferencias!$B:$B,"Jacaré")</f>
        <v>0</v>
      </c>
      <c r="I14" s="383">
        <f>SUMIFS(Aut_Transferencias!$K:$K,Aut_Transferencias!$J:$J,CMV_Manual!I$2,Aut_Transferencias!$G:$G,"BEBIDAS",Aut_Transferencias!$B:$B,"Jacaré")</f>
        <v>0</v>
      </c>
      <c r="J14" s="383">
        <f>SUMIFS(Aut_Transferencias!$K:$K,Aut_Transferencias!$J:$J,CMV_Manual!J$2,Aut_Transferencias!$G:$G,"BEBIDAS",Aut_Transferencias!$B:$B,"Jacaré")</f>
        <v>0</v>
      </c>
      <c r="K14" s="383">
        <f>SUMIFS(Aut_Transferencias!$K:$K,Aut_Transferencias!$J:$J,CMV_Manual!K$2,Aut_Transferencias!$G:$G,"BEBIDAS",Aut_Transferencias!$B:$B,"Jacaré")</f>
        <v>0</v>
      </c>
      <c r="L14" s="383">
        <f>SUMIFS(Aut_Transferencias!$K:$K,Aut_Transferencias!$J:$J,CMV_Manual!L$2,Aut_Transferencias!$G:$G,"BEBIDAS",Aut_Transferencias!$B:$B,"Jacaré")</f>
        <v>0</v>
      </c>
      <c r="M14" s="383">
        <f>SUMIFS(Aut_Transferencias!$K:$K,Aut_Transferencias!$J:$J,CMV_Manual!M$2,Aut_Transferencias!$G:$G,"BEBIDAS",Aut_Transferencias!$B:$B,"Jacaré")</f>
        <v>0</v>
      </c>
      <c r="N14" s="383">
        <f>SUMIFS(Aut_Transferencias!$K:$K,Aut_Transferencias!$J:$J,CMV_Manual!N$2,Aut_Transferencias!$G:$G,"BEBIDAS",Aut_Transferencias!$B:$B,"Jacaré")</f>
        <v>0</v>
      </c>
      <c r="O14" s="384">
        <f>SUMIFS(Aut_Transferencias!$K:$K,Aut_Transferencias!$J:$J,CMV_Manual!O$2,Aut_Transferencias!$G:$G,"BEBIDAS",Aut_Transferencias!$B:$B,"Jacaré")</f>
        <v>0</v>
      </c>
      <c r="R14" s="388"/>
    </row>
    <row r="15" spans="1:29" x14ac:dyDescent="0.3">
      <c r="A15" s="382"/>
      <c r="B15" s="379" t="s">
        <v>488</v>
      </c>
      <c r="C15" s="389">
        <v>14889</v>
      </c>
      <c r="D15" s="389">
        <f>SUMIFS(Aut_Consumo_Funcionarios!$F:$F,Aut_Consumo_Funcionarios!$D:$D,CMV_Manual!D$2)</f>
        <v>10506</v>
      </c>
      <c r="E15" s="389">
        <f>SUMIFS(Aut_Consumo_Funcionarios!$F:$F,Aut_Consumo_Funcionarios!$D:$D,CMV_Manual!E$2)</f>
        <v>9681</v>
      </c>
      <c r="F15" s="389">
        <f>SUMIFS(Aut_Consumo_Funcionarios!$F:$F,Aut_Consumo_Funcionarios!$D:$D,CMV_Manual!F$2)</f>
        <v>11018</v>
      </c>
      <c r="G15" s="389">
        <f>SUMIFS(Aut_Consumo_Funcionarios!$F:$F,Aut_Consumo_Funcionarios!$D:$D,CMV_Manual!G$2)</f>
        <v>10556</v>
      </c>
      <c r="H15" s="389">
        <f>SUMIFS(Aut_Consumo_Funcionarios!$F:$F,Aut_Consumo_Funcionarios!$D:$D,CMV_Manual!H$2)</f>
        <v>10517.5</v>
      </c>
      <c r="I15" s="389">
        <f>SUMIFS(Aut_Consumo_Funcionarios!$F:$F,Aut_Consumo_Funcionarios!$D:$D,CMV_Manual!I$2)</f>
        <v>0</v>
      </c>
      <c r="J15" s="389">
        <f>SUMIFS(Aut_Consumo_Funcionarios!$F:$F,Aut_Consumo_Funcionarios!$D:$D,CMV_Manual!J$2)</f>
        <v>0</v>
      </c>
      <c r="K15" s="389">
        <f>SUMIFS(Aut_Consumo_Funcionarios!$F:$F,Aut_Consumo_Funcionarios!$D:$D,CMV_Manual!K$2)</f>
        <v>0</v>
      </c>
      <c r="L15" s="389">
        <f>SUMIFS(Aut_Consumo_Funcionarios!$F:$F,Aut_Consumo_Funcionarios!$D:$D,CMV_Manual!L$2)</f>
        <v>0</v>
      </c>
      <c r="M15" s="389">
        <f>SUMIFS(Aut_Consumo_Funcionarios!$F:$F,Aut_Consumo_Funcionarios!$D:$D,CMV_Manual!M$2)</f>
        <v>0</v>
      </c>
      <c r="N15" s="389">
        <f>SUMIFS(Aut_Consumo_Funcionarios!$F:$F,Aut_Consumo_Funcionarios!$D:$D,CMV_Manual!N$2)</f>
        <v>0</v>
      </c>
      <c r="O15" s="390">
        <f>SUMIFS(Aut_Consumo_Funcionarios!$F:$F,Aut_Consumo_Funcionarios!$D:$D,CMV_Manual!O$2)</f>
        <v>0</v>
      </c>
      <c r="Q15" s="478" t="s">
        <v>489</v>
      </c>
      <c r="R15" s="387">
        <f>SUM(R6:R10)</f>
        <v>11198.9</v>
      </c>
      <c r="S15" s="387">
        <f>SUM(S6:S10)</f>
        <v>130</v>
      </c>
      <c r="T15" s="387">
        <f>SUM(T6:T10)</f>
        <v>20408.47</v>
      </c>
      <c r="U15" s="387">
        <f>SUM(U6:U10)</f>
        <v>0</v>
      </c>
      <c r="V15" s="387">
        <f t="shared" ref="V15:AC15" si="6">SUM(V6:V10)</f>
        <v>17592.099999999999</v>
      </c>
      <c r="W15" s="387">
        <f t="shared" si="6"/>
        <v>390</v>
      </c>
      <c r="X15" s="387">
        <f t="shared" si="6"/>
        <v>18000</v>
      </c>
      <c r="Y15" s="387">
        <f t="shared" si="6"/>
        <v>4440.6800000000039</v>
      </c>
      <c r="Z15" s="387">
        <f t="shared" si="6"/>
        <v>0</v>
      </c>
      <c r="AA15" s="387">
        <f t="shared" si="6"/>
        <v>0</v>
      </c>
      <c r="AB15" s="387">
        <f t="shared" si="6"/>
        <v>1500</v>
      </c>
      <c r="AC15" s="387">
        <f t="shared" si="6"/>
        <v>0</v>
      </c>
    </row>
    <row r="16" spans="1:29" x14ac:dyDescent="0.3">
      <c r="A16" s="382"/>
      <c r="B16" s="379" t="s">
        <v>490</v>
      </c>
      <c r="C16" s="391">
        <v>0</v>
      </c>
      <c r="D16" s="391"/>
      <c r="E16" s="391"/>
      <c r="F16" s="391"/>
      <c r="G16" s="391"/>
      <c r="H16" s="391"/>
      <c r="I16" s="391"/>
      <c r="J16" s="391"/>
      <c r="K16" s="391"/>
      <c r="L16" s="392"/>
      <c r="M16" s="392"/>
      <c r="N16" s="392"/>
      <c r="O16" s="393"/>
      <c r="R16" s="230"/>
    </row>
    <row r="17" spans="1:18" x14ac:dyDescent="0.3">
      <c r="A17" s="378"/>
      <c r="B17" s="379" t="s">
        <v>491</v>
      </c>
      <c r="C17" s="380">
        <v>34159.050000000003</v>
      </c>
      <c r="D17" s="380">
        <f>SUMIFS(Aut_Valor_Estoque!$P:$P,Aut_Valor_Estoque!$K:$K,CMV_Manual!D$2,Aut_Valor_Estoque!$J:$J,"ALIMENTOS")</f>
        <v>39007.230000000076</v>
      </c>
      <c r="E17" s="380">
        <f>SUMIFS(Aut_Valor_Estoque!$P:$P,Aut_Valor_Estoque!$K:$K,CMV_Manual!E$2,Aut_Valor_Estoque!$J:$J,"ALIMENTOS")</f>
        <v>33695.51000000006</v>
      </c>
      <c r="F17" s="380">
        <f>SUMIFS(Aut_Valor_Estoque!$P:$P,Aut_Valor_Estoque!$K:$K,CMV_Manual!F$2,Aut_Valor_Estoque!$J:$J,"ALIMENTOS")</f>
        <v>41890.810000000005</v>
      </c>
      <c r="G17" s="380">
        <f>SUMIFS(Aut_Valor_Estoque!$P:$P,Aut_Valor_Estoque!$K:$K,CMV_Manual!G$2,Aut_Valor_Estoque!$J:$J,"ALIMENTOS")</f>
        <v>44190.570000000022</v>
      </c>
      <c r="H17" s="380">
        <f>SUMIFS(Aut_Valor_Estoque!$P:$P,Aut_Valor_Estoque!$K:$K,CMV_Manual!H$2,Aut_Valor_Estoque!$J:$J,"ALIMENTOS")</f>
        <v>37583.170000000049</v>
      </c>
      <c r="I17" s="380">
        <f>SUMIFS(Aut_Valor_Estoque!$P:$P,Aut_Valor_Estoque!$K:$K,CMV_Manual!I$2,Aut_Valor_Estoque!$J:$J,"ALIMENTOS")</f>
        <v>0</v>
      </c>
      <c r="J17" s="380">
        <f>SUMIFS(Aut_Valor_Estoque!$P:$P,Aut_Valor_Estoque!$K:$K,CMV_Manual!J$2,Aut_Valor_Estoque!$J:$J,"ALIMENTOS")</f>
        <v>0</v>
      </c>
      <c r="K17" s="380">
        <f>SUMIFS(Aut_Valor_Estoque!$P:$P,Aut_Valor_Estoque!$K:$K,CMV_Manual!K$2,Aut_Valor_Estoque!$J:$J,"ALIMENTOS")</f>
        <v>0</v>
      </c>
      <c r="L17" s="380">
        <f>SUMIFS(Aut_Valor_Estoque!$P:$P,Aut_Valor_Estoque!$K:$K,CMV_Manual!L$2,Aut_Valor_Estoque!$J:$J,"ALIMENTOS")</f>
        <v>0</v>
      </c>
      <c r="M17" s="380">
        <f>SUMIFS(Aut_Valor_Estoque!$P:$P,Aut_Valor_Estoque!$K:$K,CMV_Manual!M$2,Aut_Valor_Estoque!$J:$J,"ALIMENTOS")</f>
        <v>0</v>
      </c>
      <c r="N17" s="380">
        <f>SUMIFS(Aut_Valor_Estoque!$P:$P,Aut_Valor_Estoque!$K:$K,CMV_Manual!N$2,Aut_Valor_Estoque!$J:$J,"ALIMENTOS")</f>
        <v>0</v>
      </c>
      <c r="O17" s="384">
        <f>SUMIFS(Aut_Valor_Estoque!$P:$P,Aut_Valor_Estoque!$K:$K,CMV_Manual!O$2,Aut_Valor_Estoque!$J:$J,"ALIMENTOS")</f>
        <v>0</v>
      </c>
      <c r="R17" s="230"/>
    </row>
    <row r="18" spans="1:18" x14ac:dyDescent="0.3">
      <c r="A18" s="378"/>
      <c r="B18" s="379" t="s">
        <v>492</v>
      </c>
      <c r="C18" s="380">
        <v>19615.79</v>
      </c>
      <c r="D18" s="380">
        <f>SUMIFS(Aut_Valor_Estoque!$P:$P,Aut_Valor_Estoque!$K:$K,CMV_Manual!D$2,Aut_Valor_Estoque!$J:$J,"BEBIDAS")</f>
        <v>20880.660000000011</v>
      </c>
      <c r="E18" s="380">
        <f>SUMIFS(Aut_Valor_Estoque!$P:$P,Aut_Valor_Estoque!$K:$K,CMV_Manual!E$2,Aut_Valor_Estoque!$J:$J,"BEBIDAS")</f>
        <v>20753.84</v>
      </c>
      <c r="F18" s="380">
        <f>SUMIFS(Aut_Valor_Estoque!$P:$P,Aut_Valor_Estoque!$K:$K,CMV_Manual!F$2,Aut_Valor_Estoque!$J:$J,"BEBIDAS")</f>
        <v>20035.810000000016</v>
      </c>
      <c r="G18" s="380">
        <f>SUMIFS(Aut_Valor_Estoque!$P:$P,Aut_Valor_Estoque!$K:$K,CMV_Manual!G$2,Aut_Valor_Estoque!$J:$J,"BEBIDAS")</f>
        <v>22019.990000000005</v>
      </c>
      <c r="H18" s="380">
        <f>SUMIFS(Aut_Valor_Estoque!$P:$P,Aut_Valor_Estoque!$K:$K,CMV_Manual!H$2,Aut_Valor_Estoque!$J:$J,"BEBIDAS")</f>
        <v>22045.079999999991</v>
      </c>
      <c r="I18" s="380">
        <f>SUMIFS(Aut_Valor_Estoque!$P:$P,Aut_Valor_Estoque!$K:$K,CMV_Manual!I$2,Aut_Valor_Estoque!$J:$J,"BEBIDAS")</f>
        <v>0</v>
      </c>
      <c r="J18" s="380">
        <f>SUMIFS(Aut_Valor_Estoque!$P:$P,Aut_Valor_Estoque!$K:$K,CMV_Manual!J$2,Aut_Valor_Estoque!$J:$J,"BEBIDAS")</f>
        <v>0</v>
      </c>
      <c r="K18" s="380">
        <f>SUMIFS(Aut_Valor_Estoque!$P:$P,Aut_Valor_Estoque!$K:$K,CMV_Manual!K$2,Aut_Valor_Estoque!$J:$J,"BEBIDAS")</f>
        <v>0</v>
      </c>
      <c r="L18" s="380">
        <f>SUMIFS(Aut_Valor_Estoque!$P:$P,Aut_Valor_Estoque!$K:$K,CMV_Manual!L$2,Aut_Valor_Estoque!$J:$J,"BEBIDAS")</f>
        <v>0</v>
      </c>
      <c r="M18" s="380">
        <f>SUMIFS(Aut_Valor_Estoque!$P:$P,Aut_Valor_Estoque!$K:$K,CMV_Manual!M$2,Aut_Valor_Estoque!$J:$J,"BEBIDAS")</f>
        <v>0</v>
      </c>
      <c r="N18" s="380">
        <f>SUMIFS(Aut_Valor_Estoque!$P:$P,Aut_Valor_Estoque!$K:$K,CMV_Manual!N$2,Aut_Valor_Estoque!$J:$J,"BEBIDAS")</f>
        <v>0</v>
      </c>
      <c r="O18" s="381">
        <f>SUMIFS(Aut_Valor_Estoque!$P:$P,Aut_Valor_Estoque!$K:$K,CMV_Manual!O$2,Aut_Valor_Estoque!$J:$J,"BEBIDAS")</f>
        <v>0</v>
      </c>
      <c r="R18" s="230"/>
    </row>
    <row r="19" spans="1:18" x14ac:dyDescent="0.3">
      <c r="A19" s="378"/>
      <c r="B19" s="379" t="s">
        <v>493</v>
      </c>
      <c r="C19" s="380">
        <v>2094.2800000000002</v>
      </c>
      <c r="D19" s="380">
        <f>SUMIFS(Aut_Insumos_Producao!$J:$J,Aut_Insumos_Producao!$D:$D,CMV_Manual!D$2,Aut_Insumos_Producao!$H:$H,"ALIMENTOS")</f>
        <v>2982.5099999999998</v>
      </c>
      <c r="E19" s="380">
        <f>SUMIFS(Aut_Insumos_Producao!$J:$J,Aut_Insumos_Producao!$D:$D,CMV_Manual!E$2,Aut_Insumos_Producao!$H:$H,"ALIMENTOS")</f>
        <v>3856.3199999999997</v>
      </c>
      <c r="F19" s="380">
        <f>SUMIFS(Aut_Insumos_Producao!$J:$J,Aut_Insumos_Producao!$D:$D,CMV_Manual!F$2,Aut_Insumos_Producao!$H:$H,"ALIMENTOS")</f>
        <v>4331.96</v>
      </c>
      <c r="G19" s="380">
        <f>SUMIFS(Aut_Insumos_Producao!$J:$J,Aut_Insumos_Producao!$D:$D,CMV_Manual!G$2,Aut_Insumos_Producao!$H:$H,"ALIMENTOS")</f>
        <v>4676.1900000000014</v>
      </c>
      <c r="H19" s="380">
        <f>SUMIFS(Aut_Insumos_Producao!$J:$J,Aut_Insumos_Producao!$D:$D,CMV_Manual!H$2,Aut_Insumos_Producao!$H:$H,"ALIMENTOS")</f>
        <v>4342.9400000000005</v>
      </c>
      <c r="I19" s="380">
        <f>SUMIFS(Aut_Insumos_Producao!$J:$J,Aut_Insumos_Producao!$D:$D,CMV_Manual!I$2,Aut_Insumos_Producao!$H:$H,"ALIMENTOS")</f>
        <v>0</v>
      </c>
      <c r="J19" s="380">
        <f>SUMIFS(Aut_Insumos_Producao!$J:$J,Aut_Insumos_Producao!$D:$D,CMV_Manual!J$2,Aut_Insumos_Producao!$H:$H,"ALIMENTOS")</f>
        <v>0</v>
      </c>
      <c r="K19" s="380">
        <f>SUMIFS(Aut_Insumos_Producao!$J:$J,Aut_Insumos_Producao!$D:$D,CMV_Manual!K$2,Aut_Insumos_Producao!$H:$H,"ALIMENTOS")</f>
        <v>0</v>
      </c>
      <c r="L19" s="380">
        <f>SUMIFS(Aut_Insumos_Producao!$J:$J,Aut_Insumos_Producao!$D:$D,CMV_Manual!L$2,Aut_Insumos_Producao!$H:$H,"ALIMENTOS")</f>
        <v>0</v>
      </c>
      <c r="M19" s="380">
        <f>SUMIFS(Aut_Insumos_Producao!$J:$J,Aut_Insumos_Producao!$D:$D,CMV_Manual!M$2,Aut_Insumos_Producao!$H:$H,"ALIMENTOS")</f>
        <v>0</v>
      </c>
      <c r="N19" s="380">
        <f>SUMIFS(Aut_Insumos_Producao!$J:$J,Aut_Insumos_Producao!$D:$D,CMV_Manual!N$2,Aut_Insumos_Producao!$H:$H,"ALIMENTOS")</f>
        <v>0</v>
      </c>
      <c r="O19" s="381">
        <f>SUMIFS(Aut_Insumos_Producao!$J:$J,Aut_Insumos_Producao!$D:$D,CMV_Manual!O$2,Aut_Insumos_Producao!$H:$H,"ALIMENTOS")</f>
        <v>0</v>
      </c>
    </row>
    <row r="20" spans="1:18" x14ac:dyDescent="0.3">
      <c r="A20" s="378"/>
      <c r="B20" s="379" t="s">
        <v>494</v>
      </c>
      <c r="C20" s="380">
        <v>0</v>
      </c>
      <c r="D20" s="380">
        <f>SUMIFS(Aut_Insumos_Producao!$J:$J,Aut_Insumos_Producao!$D:$D,CMV_Manual!D$2,Aut_Insumos_Producao!$H:$H,"BEBIDAS")</f>
        <v>52.9</v>
      </c>
      <c r="E20" s="380">
        <f>SUMIFS(Aut_Insumos_Producao!$J:$J,Aut_Insumos_Producao!$D:$D,CMV_Manual!E$2,Aut_Insumos_Producao!$H:$H,"BEBIDAS")</f>
        <v>0</v>
      </c>
      <c r="F20" s="380">
        <f>SUMIFS(Aut_Insumos_Producao!$J:$J,Aut_Insumos_Producao!$D:$D,CMV_Manual!F$2,Aut_Insumos_Producao!$H:$H,"BEBIDAS")</f>
        <v>0</v>
      </c>
      <c r="G20" s="380">
        <f>SUMIFS(Aut_Insumos_Producao!$J:$J,Aut_Insumos_Producao!$D:$D,CMV_Manual!G$2,Aut_Insumos_Producao!$H:$H,"BEBIDAS")</f>
        <v>52.9</v>
      </c>
      <c r="H20" s="380">
        <f>SUMIFS(Aut_Insumos_Producao!$J:$J,Aut_Insumos_Producao!$D:$D,CMV_Manual!H$2,Aut_Insumos_Producao!$H:$H,"BEBIDAS")</f>
        <v>52.9</v>
      </c>
      <c r="I20" s="380">
        <f>SUMIFS(Aut_Insumos_Producao!$J:$J,Aut_Insumos_Producao!$D:$D,CMV_Manual!I$2,Aut_Insumos_Producao!$H:$H,"BEBIDAS")</f>
        <v>0</v>
      </c>
      <c r="J20" s="380">
        <f>SUMIFS(Aut_Insumos_Producao!$J:$J,Aut_Insumos_Producao!$D:$D,CMV_Manual!J$2,Aut_Insumos_Producao!$H:$H,"BEBIDAS")</f>
        <v>0</v>
      </c>
      <c r="K20" s="380">
        <f>SUMIFS(Aut_Insumos_Producao!$J:$J,Aut_Insumos_Producao!$D:$D,CMV_Manual!K$2,Aut_Insumos_Producao!$H:$H,"BEBIDAS")</f>
        <v>0</v>
      </c>
      <c r="L20" s="380">
        <f>SUMIFS(Aut_Insumos_Producao!$J:$J,Aut_Insumos_Producao!$D:$D,CMV_Manual!L$2,Aut_Insumos_Producao!$H:$H,"BEBIDAS")</f>
        <v>0</v>
      </c>
      <c r="M20" s="380">
        <f>SUMIFS(Aut_Insumos_Producao!$J:$J,Aut_Insumos_Producao!$D:$D,CMV_Manual!M$2,Aut_Insumos_Producao!$H:$H,"BEBIDAS")</f>
        <v>0</v>
      </c>
      <c r="N20" s="380">
        <f>SUMIFS(Aut_Insumos_Producao!$J:$J,Aut_Insumos_Producao!$D:$D,CMV_Manual!N$2,Aut_Insumos_Producao!$H:$H,"BEBIDAS")</f>
        <v>0</v>
      </c>
      <c r="O20" s="381">
        <f>SUMIFS(Aut_Insumos_Producao!$J:$J,Aut_Insumos_Producao!$D:$D,CMV_Manual!O$2,Aut_Insumos_Producao!$H:$H,"BEBIDAS")</f>
        <v>0</v>
      </c>
    </row>
    <row r="21" spans="1:18" x14ac:dyDescent="0.3">
      <c r="A21" s="382"/>
      <c r="B21" s="394"/>
      <c r="C21" s="395"/>
      <c r="D21" s="395"/>
      <c r="E21" s="395"/>
      <c r="F21" s="395"/>
      <c r="G21" s="395"/>
      <c r="H21" s="395"/>
      <c r="I21" s="395"/>
      <c r="J21" s="395"/>
      <c r="K21" s="395"/>
      <c r="L21" s="395"/>
      <c r="M21" s="395"/>
      <c r="N21" s="395"/>
      <c r="O21" s="396"/>
    </row>
    <row r="22" spans="1:18" x14ac:dyDescent="0.3">
      <c r="B22" s="397" t="s">
        <v>495</v>
      </c>
      <c r="C22" s="398">
        <f t="shared" ref="C22:O22" si="7">C5+C7+C9+C11-C13-C15-C17-C19</f>
        <v>79346.340000000011</v>
      </c>
      <c r="D22" s="398">
        <f t="shared" si="7"/>
        <v>87179.539999999964</v>
      </c>
      <c r="E22" s="398">
        <f t="shared" si="7"/>
        <v>76325.800000000017</v>
      </c>
      <c r="F22" s="398">
        <f t="shared" si="7"/>
        <v>108420.72000000004</v>
      </c>
      <c r="G22" s="398">
        <f t="shared" si="7"/>
        <v>83513.549999999974</v>
      </c>
      <c r="H22" s="398">
        <f t="shared" si="7"/>
        <v>101278.60000000003</v>
      </c>
      <c r="I22" s="398">
        <f t="shared" si="7"/>
        <v>132734.92000000004</v>
      </c>
      <c r="J22" s="398">
        <f t="shared" si="7"/>
        <v>25981.949999999993</v>
      </c>
      <c r="K22" s="398">
        <f t="shared" si="7"/>
        <v>0</v>
      </c>
      <c r="L22" s="398">
        <f t="shared" si="7"/>
        <v>0</v>
      </c>
      <c r="M22" s="398">
        <f t="shared" si="7"/>
        <v>0</v>
      </c>
      <c r="N22" s="398">
        <f t="shared" si="7"/>
        <v>0</v>
      </c>
      <c r="O22" s="399">
        <f t="shared" si="7"/>
        <v>0</v>
      </c>
    </row>
    <row r="23" spans="1:18" x14ac:dyDescent="0.3">
      <c r="B23" s="397" t="s">
        <v>496</v>
      </c>
      <c r="C23" s="398">
        <f t="shared" ref="C23:O23" si="8">C6+C8+C10+C12-C14-C18-C20</f>
        <v>46326.399999999987</v>
      </c>
      <c r="D23" s="398">
        <f t="shared" si="8"/>
        <v>23786.969999999987</v>
      </c>
      <c r="E23" s="398">
        <f t="shared" si="8"/>
        <v>22583.910000000014</v>
      </c>
      <c r="F23" s="398">
        <f t="shared" si="8"/>
        <v>33349.049999999988</v>
      </c>
      <c r="G23" s="398">
        <f t="shared" si="8"/>
        <v>25828.660000000011</v>
      </c>
      <c r="H23" s="398">
        <f t="shared" si="8"/>
        <v>23890.410000000014</v>
      </c>
      <c r="I23" s="398">
        <f t="shared" si="8"/>
        <v>52491.629999999983</v>
      </c>
      <c r="J23" s="398">
        <f t="shared" si="8"/>
        <v>7197.53</v>
      </c>
      <c r="K23" s="398">
        <f t="shared" si="8"/>
        <v>0</v>
      </c>
      <c r="L23" s="398">
        <f t="shared" si="8"/>
        <v>0</v>
      </c>
      <c r="M23" s="398">
        <f t="shared" si="8"/>
        <v>0</v>
      </c>
      <c r="N23" s="398">
        <f t="shared" si="8"/>
        <v>0</v>
      </c>
      <c r="O23" s="399">
        <f t="shared" si="8"/>
        <v>0</v>
      </c>
      <c r="P23" s="400"/>
    </row>
    <row r="24" spans="1:18" x14ac:dyDescent="0.3">
      <c r="B24" s="401" t="s">
        <v>497</v>
      </c>
      <c r="C24" s="402">
        <f t="shared" ref="C24:O24" si="9">SUM(C22:C23)</f>
        <v>125672.73999999999</v>
      </c>
      <c r="D24" s="402">
        <f t="shared" si="9"/>
        <v>110966.50999999995</v>
      </c>
      <c r="E24" s="402">
        <f t="shared" si="9"/>
        <v>98909.710000000036</v>
      </c>
      <c r="F24" s="402">
        <f t="shared" si="9"/>
        <v>141769.77000000002</v>
      </c>
      <c r="G24" s="402">
        <f t="shared" si="9"/>
        <v>109342.20999999999</v>
      </c>
      <c r="H24" s="402">
        <f t="shared" si="9"/>
        <v>125169.01000000005</v>
      </c>
      <c r="I24" s="402">
        <f t="shared" si="9"/>
        <v>185226.55000000002</v>
      </c>
      <c r="J24" s="402">
        <f t="shared" si="9"/>
        <v>33179.479999999996</v>
      </c>
      <c r="K24" s="402">
        <f t="shared" si="9"/>
        <v>0</v>
      </c>
      <c r="L24" s="402">
        <f t="shared" si="9"/>
        <v>0</v>
      </c>
      <c r="M24" s="402">
        <f t="shared" si="9"/>
        <v>0</v>
      </c>
      <c r="N24" s="402">
        <f t="shared" si="9"/>
        <v>0</v>
      </c>
      <c r="O24" s="403">
        <f t="shared" si="9"/>
        <v>0</v>
      </c>
    </row>
    <row r="25" spans="1:18" x14ac:dyDescent="0.3">
      <c r="A25" s="378"/>
      <c r="B25" s="404" t="s">
        <v>498</v>
      </c>
      <c r="C25" s="429">
        <v>260243.7</v>
      </c>
      <c r="D25" s="405">
        <f>SUMIFS(Aut_Faturamento_Zig!$F:$F,Aut_Faturamento_Zig!$D:$D,CMV_Manual!D$2,Aut_Faturamento_Zig!$E:$E,"Alimentos")</f>
        <v>217629.30000000005</v>
      </c>
      <c r="E25" s="405">
        <f>SUMIFS(Aut_Faturamento_Zig!$F:$F,Aut_Faturamento_Zig!$D:$D,CMV_Manual!E$2,Aut_Faturamento_Zig!$E:$E,"Alimentos")</f>
        <v>215252.3</v>
      </c>
      <c r="F25" s="405">
        <f>SUMIFS(Aut_Faturamento_Zig!$F:$F,Aut_Faturamento_Zig!$D:$D,CMV_Manual!F$2,Aut_Faturamento_Zig!$E:$E,"Alimentos")</f>
        <v>275446.99999999994</v>
      </c>
      <c r="G25" s="405">
        <f>SUMIFS(Aut_Faturamento_Zig!$F:$F,Aut_Faturamento_Zig!$D:$D,CMV_Manual!G$2,Aut_Faturamento_Zig!$E:$E,"Alimentos")</f>
        <v>213867.50000000003</v>
      </c>
      <c r="H25" s="405">
        <f>SUMIFS(Aut_Faturamento_Zig!$F:$F,Aut_Faturamento_Zig!$D:$D,CMV_Manual!H$2,Aut_Faturamento_Zig!$E:$E,"Alimentos")</f>
        <v>201200.59999999995</v>
      </c>
      <c r="I25" s="405">
        <f>SUMIFS(Aut_Faturamento_Zig!$F:$F,Aut_Faturamento_Zig!$D:$D,CMV_Manual!I$2,Aut_Faturamento_Zig!$E:$E,"Alimentos")</f>
        <v>208821.29999999996</v>
      </c>
      <c r="J25" s="405">
        <f>SUMIFS(Aut_Faturamento_Zig!$F:$F,Aut_Faturamento_Zig!$D:$D,CMV_Manual!J$2,Aut_Faturamento_Zig!$E:$E,"Alimentos")</f>
        <v>60693.5</v>
      </c>
      <c r="K25" s="405">
        <f>SUMIFS(Aut_Faturamento_Zig!$F:$F,Aut_Faturamento_Zig!$D:$D,CMV_Manual!K$2,Aut_Faturamento_Zig!$E:$E,"Alimentos")</f>
        <v>0</v>
      </c>
      <c r="L25" s="405">
        <f>SUMIFS(Aut_Faturamento_Zig!$F:$F,Aut_Faturamento_Zig!$D:$D,CMV_Manual!L$2,Aut_Faturamento_Zig!$E:$E,"Alimentos")</f>
        <v>0</v>
      </c>
      <c r="M25" s="405">
        <f>SUMIFS(Aut_Faturamento_Zig!$F:$F,Aut_Faturamento_Zig!$D:$D,CMV_Manual!M$2,Aut_Faturamento_Zig!$E:$E,"Alimentos")</f>
        <v>0</v>
      </c>
      <c r="N25" s="405">
        <f>SUMIFS(Aut_Faturamento_Zig!$F:$F,Aut_Faturamento_Zig!$D:$D,CMV_Manual!N$2,Aut_Faturamento_Zig!$E:$E,"Alimentos")</f>
        <v>0</v>
      </c>
      <c r="O25" s="406">
        <f>SUMIFS(Aut_Faturamento_Zig!$F:$F,Aut_Faturamento_Zig!$D:$D,CMV_Manual!O$2,Aut_Faturamento_Zig!$E:$E,"Alimentos")</f>
        <v>0</v>
      </c>
      <c r="Q25" s="407"/>
      <c r="R25" s="408"/>
    </row>
    <row r="26" spans="1:18" x14ac:dyDescent="0.3">
      <c r="A26" s="378"/>
      <c r="B26" s="404" t="s">
        <v>499</v>
      </c>
      <c r="C26" s="429">
        <v>206430.6</v>
      </c>
      <c r="D26" s="405">
        <f>SUMIFS(Aut_Faturamento_Zig!$F:$F,Aut_Faturamento_Zig!$D:$D,CMV_Manual!D$2,Aut_Faturamento_Zig!$E:$E,"Bebidas")</f>
        <v>91796.199999999983</v>
      </c>
      <c r="E26" s="405">
        <f>SUMIFS(Aut_Faturamento_Zig!$F:$F,Aut_Faturamento_Zig!$D:$D,CMV_Manual!E$2,Aut_Faturamento_Zig!$E:$E,"Bebidas")</f>
        <v>111422.10000000002</v>
      </c>
      <c r="F26" s="405">
        <f>SUMIFS(Aut_Faturamento_Zig!$F:$F,Aut_Faturamento_Zig!$D:$D,CMV_Manual!F$2,Aut_Faturamento_Zig!$E:$E,"Bebidas")</f>
        <v>131838.99999999997</v>
      </c>
      <c r="G26" s="405">
        <f>SUMIFS(Aut_Faturamento_Zig!$F:$F,Aut_Faturamento_Zig!$D:$D,CMV_Manual!G$2,Aut_Faturamento_Zig!$E:$E,"Bebidas")</f>
        <v>108698.20000000003</v>
      </c>
      <c r="H26" s="405">
        <f>SUMIFS(Aut_Faturamento_Zig!$F:$F,Aut_Faturamento_Zig!$D:$D,CMV_Manual!H$2,Aut_Faturamento_Zig!$E:$E,"Bebidas")</f>
        <v>98622.7</v>
      </c>
      <c r="I26" s="405">
        <f>SUMIFS(Aut_Faturamento_Zig!$F:$F,Aut_Faturamento_Zig!$D:$D,CMV_Manual!I$2,Aut_Faturamento_Zig!$E:$E,"Bebidas")</f>
        <v>114074.09999999999</v>
      </c>
      <c r="J26" s="405">
        <f>SUMIFS(Aut_Faturamento_Zig!$F:$F,Aut_Faturamento_Zig!$D:$D,CMV_Manual!J$2,Aut_Faturamento_Zig!$E:$E,"Bebidas")</f>
        <v>32614</v>
      </c>
      <c r="K26" s="405">
        <f>SUMIFS(Aut_Faturamento_Zig!$F:$F,Aut_Faturamento_Zig!$D:$D,CMV_Manual!K$2,Aut_Faturamento_Zig!$E:$E,"Bebidas")</f>
        <v>0</v>
      </c>
      <c r="L26" s="405">
        <f>SUMIFS(Aut_Faturamento_Zig!$F:$F,Aut_Faturamento_Zig!$D:$D,CMV_Manual!L$2,Aut_Faturamento_Zig!$E:$E,"Bebidas")</f>
        <v>0</v>
      </c>
      <c r="M26" s="405">
        <f>SUMIFS(Aut_Faturamento_Zig!$F:$F,Aut_Faturamento_Zig!$D:$D,CMV_Manual!M$2,Aut_Faturamento_Zig!$E:$E,"Bebidas")</f>
        <v>0</v>
      </c>
      <c r="N26" s="405">
        <f>SUMIFS(Aut_Faturamento_Zig!$F:$F,Aut_Faturamento_Zig!$D:$D,CMV_Manual!N$2,Aut_Faturamento_Zig!$E:$E,"Bebidas")</f>
        <v>0</v>
      </c>
      <c r="O26" s="406">
        <f>SUMIFS(Aut_Faturamento_Zig!$F:$F,Aut_Faturamento_Zig!$D:$D,CMV_Manual!O$2,Aut_Faturamento_Zig!$E:$E,"Bebidas")</f>
        <v>0</v>
      </c>
      <c r="P26" s="400"/>
      <c r="Q26" s="407"/>
      <c r="R26" s="388"/>
    </row>
    <row r="27" spans="1:18" x14ac:dyDescent="0.3">
      <c r="A27" s="378"/>
      <c r="B27" s="404" t="s">
        <v>500</v>
      </c>
      <c r="C27" s="455">
        <v>210512.24</v>
      </c>
      <c r="D27" s="405">
        <f>SUMIFS(Aut_Eventos_AeB!$D:$D,Aut_Eventos_AeB!$E:$E,CMV_Manual!D2)</f>
        <v>11198.9</v>
      </c>
      <c r="E27" s="405">
        <f>SUMIFS(Aut_Eventos_AeB!$D:$D,Aut_Eventos_AeB!$E:$E,CMV_Manual!E2)</f>
        <v>0</v>
      </c>
      <c r="F27" s="405">
        <f>T15</f>
        <v>20408.47</v>
      </c>
      <c r="G27" s="405">
        <f>SUMIFS(Aut_Eventos_AeB!$D:$D,Aut_Eventos_AeB!$E:$E,CMV_Manual!G2)</f>
        <v>0</v>
      </c>
      <c r="H27" s="405">
        <f>SUMIFS(Aut_Eventos_AeB!$D:$D,Aut_Eventos_AeB!$E:$E,CMV_Manual!H2)</f>
        <v>718.6</v>
      </c>
      <c r="I27" s="405">
        <f>SUMIFS(Aut_Eventos_AeB!$D:$D,Aut_Eventos_AeB!$E:$E,CMV_Manual!I2)</f>
        <v>0</v>
      </c>
      <c r="J27" s="405">
        <f>SUMIFS(Aut_Eventos_AeB!$D:$D,Aut_Eventos_AeB!$E:$E,CMV_Manual!J2)</f>
        <v>0</v>
      </c>
      <c r="K27" s="405">
        <f>SUMIFS(Aut_Eventos_AeB!$D:$D,Aut_Eventos_AeB!$E:$E,CMV_Manual!K2)</f>
        <v>0</v>
      </c>
      <c r="L27" s="405">
        <f>SUMIFS(Aut_Eventos_AeB!$D:$D,Aut_Eventos_AeB!$E:$E,CMV_Manual!L2)</f>
        <v>0</v>
      </c>
      <c r="M27" s="405">
        <f>SUMIFS(Aut_Eventos_AeB!$D:$D,Aut_Eventos_AeB!$E:$E,CMV_Manual!M2)</f>
        <v>0</v>
      </c>
      <c r="N27" s="405">
        <f>SUMIFS(Aut_Eventos_AeB!$D:$D,Aut_Eventos_AeB!$E:$E,CMV_Manual!N2)</f>
        <v>0</v>
      </c>
      <c r="O27" s="406">
        <f>SUMIFS(Aut_Eventos_AeB!$D:$D,Aut_Eventos_AeB!$E:$E,CMV_Manual!O2)</f>
        <v>0</v>
      </c>
      <c r="Q27" s="388"/>
      <c r="R27" s="388"/>
    </row>
    <row r="28" spans="1:18" x14ac:dyDescent="0.3">
      <c r="A28" s="378"/>
      <c r="B28" s="404" t="s">
        <v>29</v>
      </c>
      <c r="C28" s="429">
        <v>27035.41</v>
      </c>
      <c r="D28" s="429">
        <f>SUMIFS(Aut_Faturamento_Zig_Delivery!$F:$F,Aut_Faturamento_Zig_Delivery!$D:$D,CMV_Manual!D$2)</f>
        <v>37858.280000000013</v>
      </c>
      <c r="E28" s="429">
        <f>SUMIFS(Aut_Faturamento_Zig_Delivery!$F:$F,Aut_Faturamento_Zig_Delivery!$D:$D,CMV_Manual!E$2)</f>
        <v>41942.509999999987</v>
      </c>
      <c r="F28" s="429">
        <f>SUMIFS(Aut_Faturamento_Zig_Delivery!$F:$F,Aut_Faturamento_Zig_Delivery!$D:$D,CMV_Manual!F$2)</f>
        <v>74734.27</v>
      </c>
      <c r="G28" s="429">
        <f>SUMIFS(Aut_Faturamento_Zig_Delivery!$F:$F,Aut_Faturamento_Zig_Delivery!$D:$D,CMV_Manual!G$2)</f>
        <v>74587.719999999987</v>
      </c>
      <c r="H28" s="429">
        <f>SUMIFS(Aut_Faturamento_Zig_Delivery!$F:$F,Aut_Faturamento_Zig_Delivery!$D:$D,CMV_Manual!H$2)</f>
        <v>90539.15</v>
      </c>
      <c r="I28" s="429">
        <f>SUMIFS(Aut_Faturamento_Zig_Delivery!$F:$F,Aut_Faturamento_Zig_Delivery!$D:$D,CMV_Manual!I$2)</f>
        <v>99173.549999999988</v>
      </c>
      <c r="J28" s="429">
        <f>SUMIFS(Aut_Faturamento_Zig_Delivery!$F:$F,Aut_Faturamento_Zig_Delivery!$D:$D,CMV_Manual!J$2)</f>
        <v>24505.95</v>
      </c>
      <c r="K28" s="429">
        <f>SUMIFS(Aut_Faturamento_Zig_Delivery!$F:$F,Aut_Faturamento_Zig_Delivery!$D:$D,CMV_Manual!K$2)</f>
        <v>0</v>
      </c>
      <c r="L28" s="429">
        <f>SUMIFS(Aut_Faturamento_Zig_Delivery!$F:$F,Aut_Faturamento_Zig_Delivery!$D:$D,CMV_Manual!L$2)</f>
        <v>0</v>
      </c>
      <c r="M28" s="429">
        <f>SUMIFS(Aut_Faturamento_Zig_Delivery!$F:$F,Aut_Faturamento_Zig_Delivery!$D:$D,CMV_Manual!M$2)</f>
        <v>0</v>
      </c>
      <c r="N28" s="429">
        <f>SUMIFS(Aut_Faturamento_Zig_Delivery!$F:$F,Aut_Faturamento_Zig_Delivery!$D:$D,CMV_Manual!N$2)</f>
        <v>0</v>
      </c>
      <c r="O28" s="409">
        <f>SUMIFS(Aut_Faturamento_Zig_Delivery!$F:$F,Aut_Faturamento_Zig_Delivery!$D:$D,CMV_Manual!O$2)</f>
        <v>0</v>
      </c>
      <c r="Q28" s="388"/>
      <c r="R28" s="308"/>
    </row>
    <row r="29" spans="1:18" x14ac:dyDescent="0.3">
      <c r="A29" s="378"/>
      <c r="B29" s="410" t="s">
        <v>501</v>
      </c>
      <c r="C29" s="430">
        <f t="shared" ref="C29:O29" si="10">SUM(C25:C28)</f>
        <v>704221.95000000007</v>
      </c>
      <c r="D29" s="430">
        <f t="shared" si="10"/>
        <v>358482.68000000005</v>
      </c>
      <c r="E29" s="430">
        <f t="shared" si="10"/>
        <v>368616.91000000003</v>
      </c>
      <c r="F29" s="430">
        <f t="shared" si="10"/>
        <v>502428.73999999987</v>
      </c>
      <c r="G29" s="430">
        <f t="shared" si="10"/>
        <v>397153.42000000004</v>
      </c>
      <c r="H29" s="430">
        <f t="shared" si="10"/>
        <v>391081.04999999993</v>
      </c>
      <c r="I29" s="430">
        <f t="shared" si="10"/>
        <v>422068.94999999995</v>
      </c>
      <c r="J29" s="430">
        <f t="shared" si="10"/>
        <v>117813.45</v>
      </c>
      <c r="K29" s="430">
        <f t="shared" si="10"/>
        <v>0</v>
      </c>
      <c r="L29" s="430">
        <f t="shared" si="10"/>
        <v>0</v>
      </c>
      <c r="M29" s="430">
        <f t="shared" si="10"/>
        <v>0</v>
      </c>
      <c r="N29" s="430">
        <f t="shared" si="10"/>
        <v>0</v>
      </c>
      <c r="O29" s="411">
        <f t="shared" si="10"/>
        <v>0</v>
      </c>
      <c r="Q29" s="388"/>
      <c r="R29" s="308"/>
    </row>
    <row r="30" spans="1:18" x14ac:dyDescent="0.3">
      <c r="A30" s="378"/>
      <c r="B30" s="412" t="s">
        <v>502</v>
      </c>
      <c r="C30" s="431">
        <f t="shared" ref="C30:O30" si="11">IFERROR(C24/C29,"-")</f>
        <v>0.17845615292167474</v>
      </c>
      <c r="D30" s="431">
        <f t="shared" si="11"/>
        <v>0.30954496881132426</v>
      </c>
      <c r="E30" s="446">
        <f t="shared" si="11"/>
        <v>0.26832656700421048</v>
      </c>
      <c r="F30" s="446">
        <f t="shared" si="11"/>
        <v>0.28216891016226509</v>
      </c>
      <c r="G30" s="431">
        <f t="shared" si="11"/>
        <v>0.27531478892967859</v>
      </c>
      <c r="H30" s="431">
        <f t="shared" si="11"/>
        <v>0.32005900055755726</v>
      </c>
      <c r="I30" s="431">
        <f t="shared" si="11"/>
        <v>0.43885377021929722</v>
      </c>
      <c r="J30" s="431">
        <f t="shared" si="11"/>
        <v>0.28162726751487199</v>
      </c>
      <c r="K30" s="431" t="str">
        <f t="shared" si="11"/>
        <v>-</v>
      </c>
      <c r="L30" s="431" t="str">
        <f t="shared" si="11"/>
        <v>-</v>
      </c>
      <c r="M30" s="431" t="str">
        <f t="shared" si="11"/>
        <v>-</v>
      </c>
      <c r="N30" s="431" t="str">
        <f t="shared" si="11"/>
        <v>-</v>
      </c>
      <c r="O30" s="413" t="str">
        <f t="shared" si="11"/>
        <v>-</v>
      </c>
    </row>
    <row r="31" spans="1:18" ht="6" customHeight="1" x14ac:dyDescent="0.3">
      <c r="A31" s="378"/>
      <c r="B31" s="412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5"/>
    </row>
    <row r="32" spans="1:18" x14ac:dyDescent="0.3">
      <c r="B32" s="379" t="s">
        <v>503</v>
      </c>
      <c r="C32" s="358">
        <f t="shared" ref="C32:J32" si="12">IFERROR((C22)/(C25+(C27*50%)),"-")</f>
        <v>0.21708995643281032</v>
      </c>
      <c r="D32" s="358">
        <f t="shared" si="12"/>
        <v>0.39053903227070857</v>
      </c>
      <c r="E32" s="358">
        <f t="shared" si="12"/>
        <v>0.35458761648539888</v>
      </c>
      <c r="F32" s="358">
        <f t="shared" si="12"/>
        <v>0.37955627953087645</v>
      </c>
      <c r="G32" s="358">
        <f t="shared" si="12"/>
        <v>0.39049201023998487</v>
      </c>
      <c r="H32" s="358">
        <f t="shared" si="12"/>
        <v>0.50247395439271436</v>
      </c>
      <c r="I32" s="358">
        <f t="shared" si="12"/>
        <v>0.63563879738321749</v>
      </c>
      <c r="J32" s="358">
        <f t="shared" si="12"/>
        <v>0.42808455600682105</v>
      </c>
      <c r="K32" s="432" t="str">
        <f t="shared" ref="K32:O33" si="13">IFERROR(K22/K25,"-")</f>
        <v>-</v>
      </c>
      <c r="L32" s="432" t="str">
        <f t="shared" si="13"/>
        <v>-</v>
      </c>
      <c r="M32" s="432" t="str">
        <f t="shared" si="13"/>
        <v>-</v>
      </c>
      <c r="N32" s="432" t="str">
        <f t="shared" si="13"/>
        <v>-</v>
      </c>
      <c r="O32" s="416" t="str">
        <f t="shared" si="13"/>
        <v>-</v>
      </c>
    </row>
    <row r="33" spans="2:15" x14ac:dyDescent="0.3">
      <c r="B33" s="379" t="s">
        <v>504</v>
      </c>
      <c r="C33" s="433">
        <f t="shared" ref="C33:J33" si="14">IFERROR(C23/(C26+(C27*50%)),"-")</f>
        <v>0.14863129234379954</v>
      </c>
      <c r="D33" s="433">
        <f t="shared" si="14"/>
        <v>0.2442303121340634</v>
      </c>
      <c r="E33" s="433">
        <f t="shared" si="14"/>
        <v>0.20268788687343006</v>
      </c>
      <c r="F33" s="433">
        <f t="shared" si="14"/>
        <v>0.23478098059369032</v>
      </c>
      <c r="G33" s="433">
        <f t="shared" si="14"/>
        <v>0.23761810223168373</v>
      </c>
      <c r="H33" s="433">
        <f t="shared" si="14"/>
        <v>0.24136115657392268</v>
      </c>
      <c r="I33" s="433">
        <f t="shared" si="14"/>
        <v>0.46015379477024132</v>
      </c>
      <c r="J33" s="433">
        <f t="shared" si="14"/>
        <v>0.22068835469430306</v>
      </c>
      <c r="K33" s="432" t="str">
        <f t="shared" si="13"/>
        <v>-</v>
      </c>
      <c r="L33" s="432" t="str">
        <f t="shared" si="13"/>
        <v>-</v>
      </c>
      <c r="M33" s="432" t="str">
        <f t="shared" si="13"/>
        <v>-</v>
      </c>
      <c r="N33" s="432" t="str">
        <f t="shared" si="13"/>
        <v>-</v>
      </c>
      <c r="O33" s="416" t="str">
        <f t="shared" si="13"/>
        <v>-</v>
      </c>
    </row>
    <row r="34" spans="2:15" x14ac:dyDescent="0.3">
      <c r="B34" s="401" t="s">
        <v>505</v>
      </c>
      <c r="C34" s="417">
        <f t="shared" ref="C34:O34" si="15">C24/C29</f>
        <v>0.17845615292167474</v>
      </c>
      <c r="D34" s="417">
        <f t="shared" si="15"/>
        <v>0.30954496881132426</v>
      </c>
      <c r="E34" s="417">
        <f t="shared" si="15"/>
        <v>0.26832656700421048</v>
      </c>
      <c r="F34" s="417">
        <f t="shared" si="15"/>
        <v>0.28216891016226509</v>
      </c>
      <c r="G34" s="417">
        <f t="shared" si="15"/>
        <v>0.27531478892967859</v>
      </c>
      <c r="H34" s="417">
        <f t="shared" si="15"/>
        <v>0.32005900055755726</v>
      </c>
      <c r="I34" s="417">
        <f t="shared" si="15"/>
        <v>0.43885377021929722</v>
      </c>
      <c r="J34" s="417">
        <f t="shared" si="15"/>
        <v>0.28162726751487199</v>
      </c>
      <c r="K34" s="417" t="e">
        <f t="shared" si="15"/>
        <v>#DIV/0!</v>
      </c>
      <c r="L34" s="417" t="e">
        <f t="shared" si="15"/>
        <v>#DIV/0!</v>
      </c>
      <c r="M34" s="417" t="e">
        <f t="shared" si="15"/>
        <v>#DIV/0!</v>
      </c>
      <c r="N34" s="417" t="e">
        <f t="shared" si="15"/>
        <v>#DIV/0!</v>
      </c>
      <c r="O34" s="418" t="e">
        <f t="shared" si="15"/>
        <v>#DIV/0!</v>
      </c>
    </row>
    <row r="36" spans="2:15" x14ac:dyDescent="0.3">
      <c r="B36" s="419"/>
    </row>
    <row r="37" spans="2:15" x14ac:dyDescent="0.3">
      <c r="B37" s="419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B1:T83"/>
  <sheetViews>
    <sheetView topLeftCell="B8" zoomScale="80" zoomScaleNormal="80" workbookViewId="0">
      <selection activeCell="R33" sqref="R33"/>
    </sheetView>
  </sheetViews>
  <sheetFormatPr defaultRowHeight="14.4" outlineLevelRow="1" x14ac:dyDescent="0.3"/>
  <cols>
    <col min="1" max="1" width="3.6640625" customWidth="1"/>
    <col min="2" max="2" width="29.33203125" customWidth="1"/>
    <col min="3" max="3" width="16.6640625" bestFit="1" customWidth="1"/>
    <col min="4" max="6" width="13.6640625" bestFit="1" customWidth="1"/>
    <col min="7" max="7" width="14.109375" bestFit="1" customWidth="1"/>
    <col min="8" max="19" width="13.6640625" bestFit="1" customWidth="1"/>
    <col min="20" max="20" width="15" bestFit="1" customWidth="1"/>
  </cols>
  <sheetData>
    <row r="1" spans="2:20" s="297" customFormat="1" ht="26.4" customHeight="1" x14ac:dyDescent="0.4">
      <c r="B1" s="472" t="s">
        <v>457</v>
      </c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</row>
    <row r="3" spans="2:20" x14ac:dyDescent="0.3">
      <c r="B3" s="298" t="s">
        <v>506</v>
      </c>
      <c r="C3" s="298" t="s">
        <v>502</v>
      </c>
      <c r="D3" s="298">
        <v>1</v>
      </c>
      <c r="E3" s="298">
        <f>D3+1</f>
        <v>2</v>
      </c>
      <c r="F3" s="298">
        <v>3</v>
      </c>
      <c r="G3" s="298" t="s">
        <v>507</v>
      </c>
      <c r="H3" s="298">
        <f>F3+1</f>
        <v>4</v>
      </c>
      <c r="I3" s="298">
        <f>H3+1</f>
        <v>5</v>
      </c>
      <c r="J3" s="298">
        <v>6</v>
      </c>
      <c r="K3" s="298" t="s">
        <v>508</v>
      </c>
      <c r="L3" s="298">
        <v>7</v>
      </c>
      <c r="M3" s="298">
        <f>L3+1</f>
        <v>8</v>
      </c>
      <c r="N3" s="298">
        <v>9</v>
      </c>
      <c r="O3" s="298" t="s">
        <v>509</v>
      </c>
      <c r="P3" s="298">
        <v>10</v>
      </c>
      <c r="Q3" s="298">
        <f>P3+1</f>
        <v>11</v>
      </c>
      <c r="R3" s="298">
        <v>12</v>
      </c>
      <c r="S3" s="298" t="s">
        <v>510</v>
      </c>
      <c r="T3" s="298" t="s">
        <v>511</v>
      </c>
    </row>
    <row r="4" spans="2:20" x14ac:dyDescent="0.3">
      <c r="B4" s="299" t="s">
        <v>512</v>
      </c>
      <c r="C4" s="300"/>
      <c r="D4" s="301">
        <f t="shared" ref="D4:S4" si="0">SUM(D5:D8)</f>
        <v>3000</v>
      </c>
      <c r="E4" s="301">
        <f t="shared" si="0"/>
        <v>2600</v>
      </c>
      <c r="F4" s="301">
        <f t="shared" si="0"/>
        <v>9800</v>
      </c>
      <c r="G4" s="302">
        <f t="shared" si="0"/>
        <v>15400</v>
      </c>
      <c r="H4" s="303">
        <f t="shared" si="0"/>
        <v>2520</v>
      </c>
      <c r="I4" s="303">
        <f t="shared" si="0"/>
        <v>11030</v>
      </c>
      <c r="J4" s="303">
        <f t="shared" si="0"/>
        <v>4300</v>
      </c>
      <c r="K4" s="302">
        <f t="shared" si="0"/>
        <v>17850</v>
      </c>
      <c r="L4" s="303">
        <f t="shared" si="0"/>
        <v>2600</v>
      </c>
      <c r="M4" s="303">
        <f t="shared" si="0"/>
        <v>3240</v>
      </c>
      <c r="N4" s="303">
        <f t="shared" si="0"/>
        <v>0</v>
      </c>
      <c r="O4" s="302">
        <f t="shared" si="0"/>
        <v>5840</v>
      </c>
      <c r="P4" s="303">
        <f t="shared" si="0"/>
        <v>0</v>
      </c>
      <c r="Q4" s="303">
        <f t="shared" si="0"/>
        <v>2520</v>
      </c>
      <c r="R4" s="303">
        <f t="shared" si="0"/>
        <v>0</v>
      </c>
      <c r="S4" s="302">
        <f t="shared" si="0"/>
        <v>2520</v>
      </c>
      <c r="T4" s="304">
        <f t="shared" ref="T4:T17" si="1">SUM(G4,K4,O4,S4)</f>
        <v>41610</v>
      </c>
    </row>
    <row r="5" spans="2:20" outlineLevel="1" x14ac:dyDescent="0.3">
      <c r="B5" s="305" t="s">
        <v>25</v>
      </c>
      <c r="D5" s="306">
        <f>DRE!J15</f>
        <v>0</v>
      </c>
      <c r="E5" s="306">
        <f>DRE!M15</f>
        <v>0</v>
      </c>
      <c r="F5" s="306">
        <f>DRE!P15</f>
        <v>0</v>
      </c>
      <c r="G5" s="307">
        <f>SUM(D5:F5)</f>
        <v>0</v>
      </c>
      <c r="H5" s="306">
        <f>DRE!S15</f>
        <v>0</v>
      </c>
      <c r="I5" s="306">
        <f>DRE!V15</f>
        <v>0</v>
      </c>
      <c r="J5" s="308">
        <f>DRE!Y15</f>
        <v>0</v>
      </c>
      <c r="K5" s="307">
        <f>SUM(H5:J5)</f>
        <v>0</v>
      </c>
      <c r="L5" s="308">
        <f>DRE!AB15</f>
        <v>0</v>
      </c>
      <c r="M5" s="308">
        <f>DRE!AE15</f>
        <v>0</v>
      </c>
      <c r="N5" s="308">
        <f>DRE!AH15</f>
        <v>0</v>
      </c>
      <c r="O5" s="307">
        <f>SUM(L5:N5)</f>
        <v>0</v>
      </c>
      <c r="P5" s="308">
        <f>DRE!AK15</f>
        <v>0</v>
      </c>
      <c r="Q5" s="308">
        <f>DRE!AN15</f>
        <v>0</v>
      </c>
      <c r="R5" s="308">
        <f>DRE!AQ15</f>
        <v>0</v>
      </c>
      <c r="S5" s="307">
        <f>SUM(P5:R5)</f>
        <v>0</v>
      </c>
      <c r="T5" s="309">
        <f t="shared" si="1"/>
        <v>0</v>
      </c>
    </row>
    <row r="6" spans="2:20" outlineLevel="1" x14ac:dyDescent="0.3">
      <c r="B6" s="305" t="s">
        <v>26</v>
      </c>
      <c r="D6" s="306">
        <f>DRE!J16</f>
        <v>3000</v>
      </c>
      <c r="E6" s="306">
        <f>DRE!M16</f>
        <v>2600</v>
      </c>
      <c r="F6" s="306">
        <f>DRE!P16</f>
        <v>9800</v>
      </c>
      <c r="G6" s="307">
        <f>SUM(D6:F6)</f>
        <v>15400</v>
      </c>
      <c r="H6" s="306">
        <f>DRE!S16</f>
        <v>2520</v>
      </c>
      <c r="I6" s="306">
        <f>DRE!V16</f>
        <v>11030</v>
      </c>
      <c r="J6" s="308">
        <f>DRE!Y16</f>
        <v>4300</v>
      </c>
      <c r="K6" s="307">
        <f>SUM(H6:J6)</f>
        <v>17850</v>
      </c>
      <c r="L6" s="308">
        <f>DRE!AB16</f>
        <v>2600</v>
      </c>
      <c r="M6" s="308">
        <f>DRE!AE16</f>
        <v>3240</v>
      </c>
      <c r="N6" s="308">
        <f>DRE!AH16</f>
        <v>0</v>
      </c>
      <c r="O6" s="307">
        <f>SUM(L6:N6)</f>
        <v>5840</v>
      </c>
      <c r="P6" s="308">
        <f>DRE!AK16</f>
        <v>0</v>
      </c>
      <c r="Q6" s="308">
        <f>DRE!AN16</f>
        <v>2520</v>
      </c>
      <c r="R6" s="308">
        <f>DRE!AQ16</f>
        <v>0</v>
      </c>
      <c r="S6" s="307">
        <f>SUM(P6:R6)</f>
        <v>2520</v>
      </c>
      <c r="T6" s="309">
        <f t="shared" si="1"/>
        <v>41610</v>
      </c>
    </row>
    <row r="7" spans="2:20" outlineLevel="1" x14ac:dyDescent="0.3">
      <c r="B7" s="305" t="s">
        <v>27</v>
      </c>
      <c r="D7" s="306">
        <f>DRE!J17</f>
        <v>0</v>
      </c>
      <c r="E7" s="306">
        <f>DRE!M17</f>
        <v>0</v>
      </c>
      <c r="F7" s="306">
        <f>DRE!P17</f>
        <v>0</v>
      </c>
      <c r="G7" s="307">
        <f>SUM(D7:F7)</f>
        <v>0</v>
      </c>
      <c r="H7" s="306">
        <f>DRE!S17</f>
        <v>0</v>
      </c>
      <c r="I7" s="306">
        <f>DRE!V17</f>
        <v>0</v>
      </c>
      <c r="J7" s="308">
        <f>DRE!Y17</f>
        <v>0</v>
      </c>
      <c r="K7" s="307">
        <f>SUM(H7:J7)</f>
        <v>0</v>
      </c>
      <c r="L7" s="308">
        <f>DRE!AB17</f>
        <v>0</v>
      </c>
      <c r="M7" s="308">
        <f>DRE!AE17</f>
        <v>0</v>
      </c>
      <c r="N7" s="308">
        <f>DRE!AH17</f>
        <v>0</v>
      </c>
      <c r="O7" s="307">
        <f>SUM(L7:N7)</f>
        <v>0</v>
      </c>
      <c r="P7" s="308">
        <f>DRE!AK17</f>
        <v>0</v>
      </c>
      <c r="Q7" s="308">
        <f>DRE!AN17</f>
        <v>0</v>
      </c>
      <c r="R7" s="308">
        <f>DRE!AQ17</f>
        <v>0</v>
      </c>
      <c r="S7" s="307">
        <f>SUM(P7:R7)</f>
        <v>0</v>
      </c>
      <c r="T7" s="309">
        <f t="shared" si="1"/>
        <v>0</v>
      </c>
    </row>
    <row r="8" spans="2:20" outlineLevel="1" x14ac:dyDescent="0.3">
      <c r="B8" s="305" t="s">
        <v>18</v>
      </c>
      <c r="D8" s="306">
        <f>DRE!J12</f>
        <v>0</v>
      </c>
      <c r="E8" s="306">
        <f>DRE!M12</f>
        <v>0</v>
      </c>
      <c r="F8" s="306">
        <f>DRE!P12</f>
        <v>0</v>
      </c>
      <c r="G8" s="307">
        <f>SUM(D8:F8)</f>
        <v>0</v>
      </c>
      <c r="H8" s="306">
        <f>DRE!S12</f>
        <v>0</v>
      </c>
      <c r="I8" s="306">
        <f>DRE!V12</f>
        <v>0</v>
      </c>
      <c r="J8" s="308">
        <f>DRE!Y12</f>
        <v>0</v>
      </c>
      <c r="K8" s="307">
        <f>SUM(H8:J8)</f>
        <v>0</v>
      </c>
      <c r="L8" s="308">
        <f>DRE!AB12</f>
        <v>0</v>
      </c>
      <c r="M8" s="308">
        <f>DRE!AE12</f>
        <v>0</v>
      </c>
      <c r="N8" s="308">
        <f>DRE!AH12</f>
        <v>0</v>
      </c>
      <c r="O8" s="307">
        <f>SUM(L8:N8)</f>
        <v>0</v>
      </c>
      <c r="P8" s="308">
        <f>DRE!AK12</f>
        <v>0</v>
      </c>
      <c r="Q8" s="308">
        <f>DRE!AN12</f>
        <v>0</v>
      </c>
      <c r="R8" s="308">
        <f>DRE!AQ12</f>
        <v>0</v>
      </c>
      <c r="S8" s="307">
        <f>SUM(P8:R8)</f>
        <v>0</v>
      </c>
      <c r="T8" s="309">
        <f t="shared" si="1"/>
        <v>0</v>
      </c>
    </row>
    <row r="9" spans="2:20" x14ac:dyDescent="0.3">
      <c r="B9" s="299" t="s">
        <v>513</v>
      </c>
      <c r="C9" s="300"/>
      <c r="D9" s="301">
        <f t="shared" ref="D9:S9" si="2">SUM(D10:D15)-D11</f>
        <v>361892.68000000005</v>
      </c>
      <c r="E9" s="301">
        <f t="shared" si="2"/>
        <v>379421.91000000003</v>
      </c>
      <c r="F9" s="301">
        <f t="shared" si="2"/>
        <v>504415.99999999988</v>
      </c>
      <c r="G9" s="302">
        <f t="shared" si="2"/>
        <v>1245730.5900000001</v>
      </c>
      <c r="H9" s="303">
        <f t="shared" si="2"/>
        <v>403668.42</v>
      </c>
      <c r="I9" s="303">
        <f t="shared" si="2"/>
        <v>414231.05</v>
      </c>
      <c r="J9" s="303">
        <f t="shared" si="2"/>
        <v>425803.9499999999</v>
      </c>
      <c r="K9" s="302">
        <f t="shared" si="2"/>
        <v>1243703.4199999997</v>
      </c>
      <c r="L9" s="303">
        <f t="shared" si="2"/>
        <v>137598.45000000001</v>
      </c>
      <c r="M9" s="303">
        <f t="shared" si="2"/>
        <v>0</v>
      </c>
      <c r="N9" s="303">
        <f t="shared" si="2"/>
        <v>0</v>
      </c>
      <c r="O9" s="302">
        <f t="shared" si="2"/>
        <v>137598.45000000001</v>
      </c>
      <c r="P9" s="303">
        <f t="shared" si="2"/>
        <v>0</v>
      </c>
      <c r="Q9" s="303">
        <f t="shared" si="2"/>
        <v>1500</v>
      </c>
      <c r="R9" s="303">
        <f t="shared" si="2"/>
        <v>0</v>
      </c>
      <c r="S9" s="302">
        <f t="shared" si="2"/>
        <v>1500</v>
      </c>
      <c r="T9" s="304">
        <f t="shared" si="1"/>
        <v>2628532.46</v>
      </c>
    </row>
    <row r="10" spans="2:20" outlineLevel="1" x14ac:dyDescent="0.3">
      <c r="B10" s="305" t="s">
        <v>23</v>
      </c>
      <c r="D10" s="306">
        <f>DRE!J14</f>
        <v>15000</v>
      </c>
      <c r="E10" s="306">
        <f>DRE!M14</f>
        <v>1000</v>
      </c>
      <c r="F10" s="306">
        <f>DRE!P14</f>
        <v>45868.32</v>
      </c>
      <c r="G10" s="307">
        <f t="shared" ref="G10:G16" si="3">SUM(D10:F10)</f>
        <v>61868.32</v>
      </c>
      <c r="H10" s="306">
        <f>DRE!S14</f>
        <v>0</v>
      </c>
      <c r="I10" s="306">
        <f>DRE!V14</f>
        <v>30036</v>
      </c>
      <c r="J10" s="308">
        <f>DRE!Y14</f>
        <v>3000</v>
      </c>
      <c r="K10" s="307">
        <f t="shared" ref="K10:K16" si="4">SUM(H10:J10)</f>
        <v>33036</v>
      </c>
      <c r="L10" s="308">
        <f>DRE!AB14</f>
        <v>18000</v>
      </c>
      <c r="M10" s="308">
        <f>DRE!AE14</f>
        <v>34159.020000000004</v>
      </c>
      <c r="N10" s="308">
        <f>DRE!AH14</f>
        <v>0</v>
      </c>
      <c r="O10" s="307">
        <f t="shared" ref="O10:O16" si="5">SUM(L10:N10)</f>
        <v>52159.020000000004</v>
      </c>
      <c r="P10" s="308">
        <f>DRE!AK14</f>
        <v>0</v>
      </c>
      <c r="Q10" s="308">
        <f>DRE!AN14</f>
        <v>1500</v>
      </c>
      <c r="R10" s="308">
        <f>DRE!AQ14</f>
        <v>0</v>
      </c>
      <c r="S10" s="307">
        <f t="shared" ref="S10:S16" si="6">SUM(P10:R10)</f>
        <v>1500</v>
      </c>
      <c r="T10" s="309">
        <f t="shared" si="1"/>
        <v>148563.34000000003</v>
      </c>
    </row>
    <row r="11" spans="2:20" outlineLevel="1" x14ac:dyDescent="0.3">
      <c r="B11" s="305" t="s">
        <v>514</v>
      </c>
      <c r="D11" s="306">
        <f>DRE!J13</f>
        <v>38712.569999999992</v>
      </c>
      <c r="E11" s="306">
        <f>DRE!M13</f>
        <v>41506.12000000001</v>
      </c>
      <c r="F11" s="306">
        <f>DRE!P13</f>
        <v>49431.540000000008</v>
      </c>
      <c r="G11" s="307">
        <f t="shared" si="3"/>
        <v>129650.23000000001</v>
      </c>
      <c r="H11" s="306">
        <f>DRE!S13</f>
        <v>40835.889999999992</v>
      </c>
      <c r="I11" s="306">
        <f>DRE!V13</f>
        <v>36231.19</v>
      </c>
      <c r="J11" s="308">
        <f>DRE!Y13</f>
        <v>40120.160000000011</v>
      </c>
      <c r="K11" s="307">
        <f t="shared" si="4"/>
        <v>117187.23999999999</v>
      </c>
      <c r="L11" s="308">
        <f>DRE!AB13</f>
        <v>10858.580000000002</v>
      </c>
      <c r="M11" s="308">
        <f>DRE!AE13</f>
        <v>0</v>
      </c>
      <c r="N11" s="308">
        <f>DRE!AH13</f>
        <v>0</v>
      </c>
      <c r="O11" s="307">
        <f t="shared" si="5"/>
        <v>10858.580000000002</v>
      </c>
      <c r="P11" s="308">
        <f>DRE!AK13</f>
        <v>0</v>
      </c>
      <c r="Q11" s="308">
        <f>DRE!AN13</f>
        <v>0</v>
      </c>
      <c r="R11" s="308">
        <f>DRE!AQ13</f>
        <v>0</v>
      </c>
      <c r="S11" s="307">
        <f t="shared" si="6"/>
        <v>0</v>
      </c>
      <c r="T11" s="309">
        <f t="shared" si="1"/>
        <v>257696.05</v>
      </c>
    </row>
    <row r="12" spans="2:20" outlineLevel="1" x14ac:dyDescent="0.3">
      <c r="B12" s="305" t="s">
        <v>13</v>
      </c>
      <c r="D12" s="306">
        <f>DRE!J9</f>
        <v>216675.30000000005</v>
      </c>
      <c r="E12" s="306">
        <f>DRE!M9</f>
        <v>214752.3</v>
      </c>
      <c r="F12" s="306">
        <f>DRE!P9</f>
        <v>261771.60499999992</v>
      </c>
      <c r="G12" s="307">
        <f t="shared" si="3"/>
        <v>693199.20499999996</v>
      </c>
      <c r="H12" s="306">
        <f>DRE!S9</f>
        <v>213867.50000000003</v>
      </c>
      <c r="I12" s="306">
        <f>DRE!V9</f>
        <v>193155.19999999995</v>
      </c>
      <c r="J12" s="308">
        <f>DRE!Y9</f>
        <v>207321.29999999996</v>
      </c>
      <c r="K12" s="307">
        <f t="shared" si="4"/>
        <v>614343.99999999988</v>
      </c>
      <c r="L12" s="308">
        <f>DRE!AB9</f>
        <v>60693.5</v>
      </c>
      <c r="M12" s="308">
        <f>DRE!AE9</f>
        <v>-17079.510000000002</v>
      </c>
      <c r="N12" s="308">
        <f>DRE!AH9</f>
        <v>0</v>
      </c>
      <c r="O12" s="307">
        <f t="shared" si="5"/>
        <v>43613.99</v>
      </c>
      <c r="P12" s="308">
        <f>DRE!AK9</f>
        <v>0</v>
      </c>
      <c r="Q12" s="308">
        <f>DRE!AN9</f>
        <v>0</v>
      </c>
      <c r="R12" s="308">
        <f>DRE!AQ9</f>
        <v>0</v>
      </c>
      <c r="S12" s="307">
        <f t="shared" si="6"/>
        <v>0</v>
      </c>
      <c r="T12" s="309">
        <f t="shared" si="1"/>
        <v>1351157.1949999998</v>
      </c>
    </row>
    <row r="13" spans="2:20" outlineLevel="1" x14ac:dyDescent="0.3">
      <c r="B13" s="305" t="s">
        <v>16</v>
      </c>
      <c r="D13" s="306">
        <f>DRE!J10</f>
        <v>88949.099999999977</v>
      </c>
      <c r="E13" s="306">
        <f>DRE!M10</f>
        <v>110922.10000000002</v>
      </c>
      <c r="F13" s="306">
        <f>DRE!P10</f>
        <v>117801.80499999998</v>
      </c>
      <c r="G13" s="307">
        <f t="shared" si="3"/>
        <v>317673.005</v>
      </c>
      <c r="H13" s="306">
        <f>DRE!S10</f>
        <v>108698.20000000003</v>
      </c>
      <c r="I13" s="306">
        <f>DRE!V10</f>
        <v>93970.7</v>
      </c>
      <c r="J13" s="308">
        <f>DRE!Y10</f>
        <v>112574.09999999999</v>
      </c>
      <c r="K13" s="307">
        <f t="shared" si="4"/>
        <v>315243</v>
      </c>
      <c r="L13" s="308">
        <f>DRE!AB10</f>
        <v>32614</v>
      </c>
      <c r="M13" s="308">
        <f>DRE!AE10</f>
        <v>-17079.510000000002</v>
      </c>
      <c r="N13" s="308">
        <f>DRE!AH10</f>
        <v>0</v>
      </c>
      <c r="O13" s="307">
        <f t="shared" si="5"/>
        <v>15534.489999999998</v>
      </c>
      <c r="P13" s="308">
        <f>DRE!AK10</f>
        <v>0</v>
      </c>
      <c r="Q13" s="308">
        <f>DRE!AN10</f>
        <v>0</v>
      </c>
      <c r="R13" s="308">
        <f>DRE!AQ10</f>
        <v>0</v>
      </c>
      <c r="S13" s="307">
        <f t="shared" si="6"/>
        <v>0</v>
      </c>
      <c r="T13" s="309">
        <f t="shared" si="1"/>
        <v>648450.495</v>
      </c>
    </row>
    <row r="14" spans="2:20" outlineLevel="1" x14ac:dyDescent="0.3">
      <c r="B14" s="305" t="s">
        <v>17</v>
      </c>
      <c r="D14" s="306">
        <f>DRE!J11</f>
        <v>3410</v>
      </c>
      <c r="E14" s="306">
        <f>DRE!M11</f>
        <v>10805</v>
      </c>
      <c r="F14" s="306">
        <f>DRE!P11</f>
        <v>4240</v>
      </c>
      <c r="G14" s="307">
        <f t="shared" si="3"/>
        <v>18455</v>
      </c>
      <c r="H14" s="306">
        <f>DRE!S11</f>
        <v>6515</v>
      </c>
      <c r="I14" s="306">
        <f>DRE!V11</f>
        <v>6530</v>
      </c>
      <c r="J14" s="308">
        <f>DRE!Y11</f>
        <v>3735</v>
      </c>
      <c r="K14" s="307">
        <f t="shared" si="4"/>
        <v>16780</v>
      </c>
      <c r="L14" s="308">
        <f>DRE!AB11</f>
        <v>1785</v>
      </c>
      <c r="M14" s="308">
        <f>DRE!AE11</f>
        <v>0</v>
      </c>
      <c r="N14" s="308">
        <f>DRE!AH11</f>
        <v>0</v>
      </c>
      <c r="O14" s="307">
        <f t="shared" si="5"/>
        <v>1785</v>
      </c>
      <c r="P14" s="308">
        <f>DRE!AK11</f>
        <v>0</v>
      </c>
      <c r="Q14" s="308">
        <f>DRE!AN11</f>
        <v>0</v>
      </c>
      <c r="R14" s="308">
        <f>DRE!AQ11</f>
        <v>0</v>
      </c>
      <c r="S14" s="307">
        <f t="shared" si="6"/>
        <v>0</v>
      </c>
      <c r="T14" s="309">
        <f t="shared" si="1"/>
        <v>37020</v>
      </c>
    </row>
    <row r="15" spans="2:20" outlineLevel="1" x14ac:dyDescent="0.3">
      <c r="B15" s="305" t="s">
        <v>29</v>
      </c>
      <c r="D15" s="306">
        <f>DRE!J18</f>
        <v>37858.280000000013</v>
      </c>
      <c r="E15" s="306">
        <f>DRE!M18</f>
        <v>41942.509999999987</v>
      </c>
      <c r="F15" s="306">
        <f>DRE!P18</f>
        <v>74734.27</v>
      </c>
      <c r="G15" s="307">
        <f t="shared" si="3"/>
        <v>154535.06</v>
      </c>
      <c r="H15" s="306">
        <f>DRE!S18</f>
        <v>74587.719999999987</v>
      </c>
      <c r="I15" s="306">
        <f>DRE!V18</f>
        <v>90539.15</v>
      </c>
      <c r="J15" s="308">
        <f>DRE!Y18</f>
        <v>99173.549999999988</v>
      </c>
      <c r="K15" s="307">
        <f t="shared" si="4"/>
        <v>264300.42</v>
      </c>
      <c r="L15" s="308">
        <f>DRE!AB18</f>
        <v>24505.95</v>
      </c>
      <c r="M15" s="308">
        <f>DRE!AE18</f>
        <v>0</v>
      </c>
      <c r="N15" s="308">
        <f>DRE!AH18</f>
        <v>0</v>
      </c>
      <c r="O15" s="307">
        <f t="shared" si="5"/>
        <v>24505.95</v>
      </c>
      <c r="P15" s="308">
        <f>DRE!AK18</f>
        <v>0</v>
      </c>
      <c r="Q15" s="308">
        <f>DRE!AN18</f>
        <v>0</v>
      </c>
      <c r="R15" s="308">
        <f>DRE!AQ18</f>
        <v>0</v>
      </c>
      <c r="S15" s="307">
        <f t="shared" si="6"/>
        <v>0</v>
      </c>
      <c r="T15" s="309">
        <f t="shared" si="1"/>
        <v>443341.43</v>
      </c>
    </row>
    <row r="16" spans="2:20" x14ac:dyDescent="0.3">
      <c r="B16" s="299" t="s">
        <v>515</v>
      </c>
      <c r="C16" s="300"/>
      <c r="D16" s="310">
        <f>DRE!J19</f>
        <v>189</v>
      </c>
      <c r="E16" s="310">
        <f>DRE!M19</f>
        <v>270</v>
      </c>
      <c r="F16" s="310">
        <f>DRE!L19</f>
        <v>0</v>
      </c>
      <c r="G16" s="302">
        <f t="shared" si="3"/>
        <v>459</v>
      </c>
      <c r="H16" s="310">
        <f>DRE!S19</f>
        <v>364.5</v>
      </c>
      <c r="I16" s="310">
        <f>DRE!V19</f>
        <v>-360</v>
      </c>
      <c r="J16" s="303">
        <f>DRE!Y19</f>
        <v>0</v>
      </c>
      <c r="K16" s="307">
        <f t="shared" si="4"/>
        <v>4.5</v>
      </c>
      <c r="L16" s="303">
        <f>DRE!AB19</f>
        <v>0</v>
      </c>
      <c r="M16" s="303">
        <f>DRE!AE19</f>
        <v>0</v>
      </c>
      <c r="N16" s="303">
        <f>DRE!AH19</f>
        <v>0</v>
      </c>
      <c r="O16" s="307">
        <f t="shared" si="5"/>
        <v>0</v>
      </c>
      <c r="P16" s="303">
        <f>DRE!AK19</f>
        <v>0</v>
      </c>
      <c r="Q16" s="303">
        <f>DRE!AN19</f>
        <v>0</v>
      </c>
      <c r="R16" s="303">
        <f>DRE!AQ19</f>
        <v>0</v>
      </c>
      <c r="S16" s="307">
        <f t="shared" si="6"/>
        <v>0</v>
      </c>
      <c r="T16" s="304">
        <f t="shared" si="1"/>
        <v>463.5</v>
      </c>
    </row>
    <row r="17" spans="2:20" ht="15" customHeight="1" thickBot="1" x14ac:dyDescent="0.35">
      <c r="B17" s="311" t="s">
        <v>516</v>
      </c>
      <c r="C17" s="312"/>
      <c r="D17" s="313">
        <f t="shared" ref="D17:S17" si="7">D4+D9+D16+D11</f>
        <v>403794.25000000006</v>
      </c>
      <c r="E17" s="313">
        <f t="shared" si="7"/>
        <v>423798.03</v>
      </c>
      <c r="F17" s="313">
        <f t="shared" si="7"/>
        <v>563647.53999999992</v>
      </c>
      <c r="G17" s="314">
        <f t="shared" si="7"/>
        <v>1391239.82</v>
      </c>
      <c r="H17" s="313">
        <f t="shared" si="7"/>
        <v>447388.81</v>
      </c>
      <c r="I17" s="313">
        <f t="shared" si="7"/>
        <v>461132.24</v>
      </c>
      <c r="J17" s="313">
        <f t="shared" si="7"/>
        <v>470224.10999999993</v>
      </c>
      <c r="K17" s="314">
        <f t="shared" si="7"/>
        <v>1378745.1599999997</v>
      </c>
      <c r="L17" s="313">
        <f t="shared" si="7"/>
        <v>151057.03000000003</v>
      </c>
      <c r="M17" s="313">
        <f t="shared" si="7"/>
        <v>3240</v>
      </c>
      <c r="N17" s="313">
        <f t="shared" si="7"/>
        <v>0</v>
      </c>
      <c r="O17" s="314">
        <f t="shared" si="7"/>
        <v>154297.03000000003</v>
      </c>
      <c r="P17" s="313">
        <f t="shared" si="7"/>
        <v>0</v>
      </c>
      <c r="Q17" s="313">
        <f t="shared" si="7"/>
        <v>4020</v>
      </c>
      <c r="R17" s="313">
        <f t="shared" si="7"/>
        <v>0</v>
      </c>
      <c r="S17" s="314">
        <f t="shared" si="7"/>
        <v>4020</v>
      </c>
      <c r="T17" s="315">
        <f t="shared" si="1"/>
        <v>2928302.01</v>
      </c>
    </row>
    <row r="18" spans="2:20" x14ac:dyDescent="0.3">
      <c r="B18" s="300"/>
      <c r="C18" s="300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</row>
    <row r="19" spans="2:20" ht="14.7" customHeight="1" thickBot="1" x14ac:dyDescent="0.35"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3"/>
    </row>
    <row r="20" spans="2:20" x14ac:dyDescent="0.3">
      <c r="B20" s="316" t="s">
        <v>49</v>
      </c>
      <c r="C20" s="317">
        <v>0.05</v>
      </c>
      <c r="D20" s="318">
        <f>D$4*$C$20</f>
        <v>150</v>
      </c>
      <c r="E20" s="318">
        <f>E$4*$C$20</f>
        <v>130</v>
      </c>
      <c r="F20" s="318">
        <f>F$4*$C$20</f>
        <v>490</v>
      </c>
      <c r="G20" s="319">
        <f>G4*$C$20</f>
        <v>770</v>
      </c>
      <c r="H20" s="318">
        <f>H$4*$C$20</f>
        <v>126</v>
      </c>
      <c r="I20" s="318">
        <f>I$4*$C$20</f>
        <v>551.5</v>
      </c>
      <c r="J20" s="318">
        <f>J$4*$C$20</f>
        <v>215</v>
      </c>
      <c r="K20" s="319">
        <f>K4*$C$20</f>
        <v>892.5</v>
      </c>
      <c r="L20" s="318">
        <f>L$4*$C$20</f>
        <v>130</v>
      </c>
      <c r="M20" s="318">
        <f>M$4*$C$20</f>
        <v>162</v>
      </c>
      <c r="N20" s="318">
        <f>N$4*$C$20</f>
        <v>0</v>
      </c>
      <c r="O20" s="319">
        <f>O4*$C$20</f>
        <v>292</v>
      </c>
      <c r="P20" s="318">
        <f>P$4*$C$20</f>
        <v>0</v>
      </c>
      <c r="Q20" s="318">
        <f>Q$4*$C$20</f>
        <v>126</v>
      </c>
      <c r="R20" s="318">
        <f>R$4*$C$20</f>
        <v>0</v>
      </c>
      <c r="S20" s="319">
        <f>S4*$C$20</f>
        <v>126</v>
      </c>
      <c r="T20" s="320">
        <f>SUM(G20,K20,O20,S20)</f>
        <v>2080.5</v>
      </c>
    </row>
    <row r="21" spans="2:20" x14ac:dyDescent="0.3">
      <c r="B21" s="305" t="s">
        <v>517</v>
      </c>
      <c r="C21" s="321">
        <v>6.4999999999999997E-3</v>
      </c>
      <c r="D21" s="308">
        <f t="shared" ref="D21:S21" si="8">(D9+D4-D23)*($C$21)</f>
        <v>2277.7103232000004</v>
      </c>
      <c r="E21" s="308">
        <f t="shared" si="8"/>
        <v>2384.4927183999998</v>
      </c>
      <c r="F21" s="308">
        <f t="shared" si="8"/>
        <v>3211.2558399999989</v>
      </c>
      <c r="G21" s="307">
        <f t="shared" si="8"/>
        <v>7873.4588816000005</v>
      </c>
      <c r="H21" s="308">
        <f t="shared" si="8"/>
        <v>2535.2709407999996</v>
      </c>
      <c r="I21" s="308">
        <f t="shared" si="8"/>
        <v>2656.4967519999996</v>
      </c>
      <c r="J21" s="308">
        <f t="shared" si="8"/>
        <v>2684.9666479999992</v>
      </c>
      <c r="K21" s="307">
        <f t="shared" si="8"/>
        <v>7876.7343407999979</v>
      </c>
      <c r="L21" s="308">
        <f t="shared" si="8"/>
        <v>875.51432800000009</v>
      </c>
      <c r="M21" s="308">
        <f t="shared" si="8"/>
        <v>21.06</v>
      </c>
      <c r="N21" s="308">
        <f t="shared" si="8"/>
        <v>0</v>
      </c>
      <c r="O21" s="307">
        <f t="shared" si="8"/>
        <v>896.57432800000004</v>
      </c>
      <c r="P21" s="308">
        <f t="shared" si="8"/>
        <v>0</v>
      </c>
      <c r="Q21" s="308">
        <f t="shared" si="8"/>
        <v>25.74</v>
      </c>
      <c r="R21" s="308">
        <f t="shared" si="8"/>
        <v>0</v>
      </c>
      <c r="S21" s="307">
        <f t="shared" si="8"/>
        <v>25.74</v>
      </c>
      <c r="T21" s="322">
        <f>SUM(G21,K21,O21,S21)</f>
        <v>16672.507550399998</v>
      </c>
    </row>
    <row r="22" spans="2:20" x14ac:dyDescent="0.3">
      <c r="B22" s="305" t="s">
        <v>518</v>
      </c>
      <c r="C22" s="321">
        <v>0.03</v>
      </c>
      <c r="D22" s="308">
        <f t="shared" ref="D22:S22" si="9">(D9+D4-D23)*($C$22)</f>
        <v>10512.509184</v>
      </c>
      <c r="E22" s="308">
        <f t="shared" si="9"/>
        <v>11005.351008</v>
      </c>
      <c r="F22" s="308">
        <f t="shared" si="9"/>
        <v>14821.180799999995</v>
      </c>
      <c r="G22" s="307">
        <f t="shared" si="9"/>
        <v>36339.040992000002</v>
      </c>
      <c r="H22" s="308">
        <f t="shared" si="9"/>
        <v>11701.250495999999</v>
      </c>
      <c r="I22" s="308">
        <f t="shared" si="9"/>
        <v>12260.754239999998</v>
      </c>
      <c r="J22" s="308">
        <f t="shared" si="9"/>
        <v>12392.153759999997</v>
      </c>
      <c r="K22" s="307">
        <f t="shared" si="9"/>
        <v>36354.158495999989</v>
      </c>
      <c r="L22" s="308">
        <f t="shared" si="9"/>
        <v>4040.8353600000005</v>
      </c>
      <c r="M22" s="308">
        <f t="shared" si="9"/>
        <v>97.2</v>
      </c>
      <c r="N22" s="308">
        <f t="shared" si="9"/>
        <v>0</v>
      </c>
      <c r="O22" s="307">
        <f t="shared" si="9"/>
        <v>4138.0353600000008</v>
      </c>
      <c r="P22" s="308">
        <f t="shared" si="9"/>
        <v>0</v>
      </c>
      <c r="Q22" s="308">
        <f t="shared" si="9"/>
        <v>118.8</v>
      </c>
      <c r="R22" s="308">
        <f t="shared" si="9"/>
        <v>0</v>
      </c>
      <c r="S22" s="307">
        <f t="shared" si="9"/>
        <v>118.8</v>
      </c>
      <c r="T22" s="322">
        <f>SUM(G22,K22,O22,S22)</f>
        <v>76950.034847999981</v>
      </c>
    </row>
    <row r="23" spans="2:20" ht="15" customHeight="1" thickBot="1" x14ac:dyDescent="0.35">
      <c r="B23" s="323" t="s">
        <v>48</v>
      </c>
      <c r="C23" s="324">
        <v>0.04</v>
      </c>
      <c r="D23" s="325">
        <f t="shared" ref="D23:S23" si="10">D9*$C$23</f>
        <v>14475.707200000003</v>
      </c>
      <c r="E23" s="325">
        <f t="shared" si="10"/>
        <v>15176.876400000001</v>
      </c>
      <c r="F23" s="325">
        <f t="shared" si="10"/>
        <v>20176.639999999996</v>
      </c>
      <c r="G23" s="326">
        <f t="shared" si="10"/>
        <v>49829.223600000005</v>
      </c>
      <c r="H23" s="325">
        <f t="shared" si="10"/>
        <v>16146.736800000001</v>
      </c>
      <c r="I23" s="325">
        <f t="shared" si="10"/>
        <v>16569.241999999998</v>
      </c>
      <c r="J23" s="325">
        <f t="shared" si="10"/>
        <v>17032.157999999996</v>
      </c>
      <c r="K23" s="326">
        <f t="shared" si="10"/>
        <v>49748.136799999986</v>
      </c>
      <c r="L23" s="325">
        <f t="shared" si="10"/>
        <v>5503.938000000001</v>
      </c>
      <c r="M23" s="325">
        <f t="shared" si="10"/>
        <v>0</v>
      </c>
      <c r="N23" s="325">
        <f t="shared" si="10"/>
        <v>0</v>
      </c>
      <c r="O23" s="326">
        <f t="shared" si="10"/>
        <v>5503.938000000001</v>
      </c>
      <c r="P23" s="325">
        <f t="shared" si="10"/>
        <v>0</v>
      </c>
      <c r="Q23" s="325">
        <f t="shared" si="10"/>
        <v>60</v>
      </c>
      <c r="R23" s="325">
        <f t="shared" si="10"/>
        <v>0</v>
      </c>
      <c r="S23" s="326">
        <f t="shared" si="10"/>
        <v>60</v>
      </c>
      <c r="T23" s="327">
        <f>SUM(G23,K23,O23,S23)</f>
        <v>105141.29839999999</v>
      </c>
    </row>
    <row r="24" spans="2:20" ht="15" customHeight="1" thickBot="1" x14ac:dyDescent="0.35">
      <c r="C24" s="321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</row>
    <row r="25" spans="2:20" x14ac:dyDescent="0.3">
      <c r="B25" s="316" t="s">
        <v>519</v>
      </c>
      <c r="C25" s="317">
        <v>0.32</v>
      </c>
      <c r="D25" s="328">
        <f t="shared" ref="D25:S25" si="11">SUM(D4)*$C$25</f>
        <v>960</v>
      </c>
      <c r="E25" s="328">
        <f t="shared" si="11"/>
        <v>832</v>
      </c>
      <c r="F25" s="328">
        <f t="shared" si="11"/>
        <v>3136</v>
      </c>
      <c r="G25" s="319">
        <f t="shared" si="11"/>
        <v>4928</v>
      </c>
      <c r="H25" s="328">
        <f t="shared" si="11"/>
        <v>806.4</v>
      </c>
      <c r="I25" s="328">
        <f t="shared" si="11"/>
        <v>3529.6</v>
      </c>
      <c r="J25" s="328">
        <f t="shared" si="11"/>
        <v>1376</v>
      </c>
      <c r="K25" s="319">
        <f t="shared" si="11"/>
        <v>5712</v>
      </c>
      <c r="L25" s="328">
        <f t="shared" si="11"/>
        <v>832</v>
      </c>
      <c r="M25" s="328">
        <f t="shared" si="11"/>
        <v>1036.8</v>
      </c>
      <c r="N25" s="328">
        <f t="shared" si="11"/>
        <v>0</v>
      </c>
      <c r="O25" s="319">
        <f t="shared" si="11"/>
        <v>1868.8</v>
      </c>
      <c r="P25" s="328">
        <f t="shared" si="11"/>
        <v>0</v>
      </c>
      <c r="Q25" s="328">
        <f t="shared" si="11"/>
        <v>806.4</v>
      </c>
      <c r="R25" s="328">
        <f t="shared" si="11"/>
        <v>0</v>
      </c>
      <c r="S25" s="319">
        <f t="shared" si="11"/>
        <v>806.4</v>
      </c>
      <c r="T25" s="320">
        <f>SUM(G25,K25,O25,S25)</f>
        <v>13315.199999999999</v>
      </c>
    </row>
    <row r="26" spans="2:20" x14ac:dyDescent="0.3">
      <c r="B26" s="305" t="s">
        <v>520</v>
      </c>
      <c r="C26" s="321">
        <v>0.08</v>
      </c>
      <c r="D26" s="303">
        <f t="shared" ref="D26:S26" si="12">SUM(D9)*$C$26</f>
        <v>28951.414400000005</v>
      </c>
      <c r="E26" s="303">
        <f t="shared" si="12"/>
        <v>30353.752800000002</v>
      </c>
      <c r="F26" s="303">
        <f t="shared" si="12"/>
        <v>40353.279999999992</v>
      </c>
      <c r="G26" s="307">
        <f t="shared" si="12"/>
        <v>99658.44720000001</v>
      </c>
      <c r="H26" s="303">
        <f t="shared" si="12"/>
        <v>32293.473600000001</v>
      </c>
      <c r="I26" s="303">
        <f t="shared" si="12"/>
        <v>33138.483999999997</v>
      </c>
      <c r="J26" s="303">
        <f t="shared" si="12"/>
        <v>34064.315999999992</v>
      </c>
      <c r="K26" s="307">
        <f t="shared" si="12"/>
        <v>99496.273599999971</v>
      </c>
      <c r="L26" s="303">
        <f t="shared" si="12"/>
        <v>11007.876000000002</v>
      </c>
      <c r="M26" s="303">
        <f t="shared" si="12"/>
        <v>0</v>
      </c>
      <c r="N26" s="303">
        <f t="shared" si="12"/>
        <v>0</v>
      </c>
      <c r="O26" s="307">
        <f t="shared" si="12"/>
        <v>11007.876000000002</v>
      </c>
      <c r="P26" s="303">
        <f t="shared" si="12"/>
        <v>0</v>
      </c>
      <c r="Q26" s="303">
        <f t="shared" si="12"/>
        <v>120</v>
      </c>
      <c r="R26" s="303">
        <f t="shared" si="12"/>
        <v>0</v>
      </c>
      <c r="S26" s="307">
        <f t="shared" si="12"/>
        <v>120</v>
      </c>
      <c r="T26" s="322">
        <f>SUM(G26,K26,O26,S26)</f>
        <v>210282.59679999997</v>
      </c>
    </row>
    <row r="27" spans="2:20" x14ac:dyDescent="0.3">
      <c r="B27" s="305" t="s">
        <v>521</v>
      </c>
      <c r="C27" s="321">
        <v>1</v>
      </c>
      <c r="D27" s="303">
        <f t="shared" ref="D27:S27" si="13">SUM(D16)</f>
        <v>189</v>
      </c>
      <c r="E27" s="303">
        <f t="shared" si="13"/>
        <v>270</v>
      </c>
      <c r="F27" s="303">
        <f t="shared" si="13"/>
        <v>0</v>
      </c>
      <c r="G27" s="307">
        <f t="shared" si="13"/>
        <v>459</v>
      </c>
      <c r="H27" s="303">
        <f t="shared" si="13"/>
        <v>364.5</v>
      </c>
      <c r="I27" s="303">
        <f t="shared" si="13"/>
        <v>-360</v>
      </c>
      <c r="J27" s="303">
        <f t="shared" si="13"/>
        <v>0</v>
      </c>
      <c r="K27" s="307">
        <f t="shared" si="13"/>
        <v>4.5</v>
      </c>
      <c r="L27" s="303">
        <f t="shared" si="13"/>
        <v>0</v>
      </c>
      <c r="M27" s="303">
        <f t="shared" si="13"/>
        <v>0</v>
      </c>
      <c r="N27" s="303">
        <f t="shared" si="13"/>
        <v>0</v>
      </c>
      <c r="O27" s="307">
        <f t="shared" si="13"/>
        <v>0</v>
      </c>
      <c r="P27" s="303">
        <f t="shared" si="13"/>
        <v>0</v>
      </c>
      <c r="Q27" s="303">
        <f t="shared" si="13"/>
        <v>0</v>
      </c>
      <c r="R27" s="303">
        <f t="shared" si="13"/>
        <v>0</v>
      </c>
      <c r="S27" s="307">
        <f t="shared" si="13"/>
        <v>0</v>
      </c>
      <c r="T27" s="322">
        <f>SUM(G27,K27,O27,S27)</f>
        <v>463.5</v>
      </c>
    </row>
    <row r="28" spans="2:20" x14ac:dyDescent="0.3">
      <c r="B28" s="305" t="s">
        <v>522</v>
      </c>
      <c r="C28" s="321">
        <v>0.1</v>
      </c>
      <c r="D28" s="303"/>
      <c r="E28" s="303"/>
      <c r="F28" s="303"/>
      <c r="G28" s="307">
        <f>IF((G25+G26+G27)-60000&gt;=0,(G25+G26+G27-60000)*$C$28,0)</f>
        <v>4504.5447200000008</v>
      </c>
      <c r="H28" s="303"/>
      <c r="I28" s="303"/>
      <c r="J28" s="303"/>
      <c r="K28" s="307">
        <f>IF((K25+K26+K27)-60000&gt;=0,(K25+K26+K27-60000)*$C$28,0)</f>
        <v>4521.2773599999973</v>
      </c>
      <c r="L28" s="303"/>
      <c r="M28" s="303"/>
      <c r="N28" s="303"/>
      <c r="O28" s="307">
        <f>IF((O25+O26+O27)-60000&gt;=0,(O25+O26+O27-60000)*$C$28,0)</f>
        <v>0</v>
      </c>
      <c r="P28" s="303"/>
      <c r="Q28" s="303"/>
      <c r="R28" s="303"/>
      <c r="S28" s="307">
        <f>IF((S25+S26+S27)-60000&gt;=0,(S25+S26+S27-60000)*$C$28,0)</f>
        <v>0</v>
      </c>
      <c r="T28" s="322">
        <f>SUM(G28,K28,O28,S28)</f>
        <v>9025.8220799999981</v>
      </c>
    </row>
    <row r="29" spans="2:20" ht="15" customHeight="1" thickBot="1" x14ac:dyDescent="0.35">
      <c r="B29" s="311" t="s">
        <v>523</v>
      </c>
      <c r="C29" s="329"/>
      <c r="D29" s="313">
        <f t="shared" ref="D29:S29" si="14">SUM(D25:D27)*15%+D28</f>
        <v>4515.0621600000004</v>
      </c>
      <c r="E29" s="313">
        <f t="shared" si="14"/>
        <v>4718.3629200000005</v>
      </c>
      <c r="F29" s="313">
        <f t="shared" si="14"/>
        <v>6523.3919999999989</v>
      </c>
      <c r="G29" s="326">
        <f t="shared" si="14"/>
        <v>20261.361800000002</v>
      </c>
      <c r="H29" s="313">
        <f t="shared" si="14"/>
        <v>5019.6560399999998</v>
      </c>
      <c r="I29" s="313">
        <f t="shared" si="14"/>
        <v>5446.2125999999989</v>
      </c>
      <c r="J29" s="313">
        <f t="shared" si="14"/>
        <v>5316.0473999999986</v>
      </c>
      <c r="K29" s="326">
        <f t="shared" si="14"/>
        <v>20303.193399999993</v>
      </c>
      <c r="L29" s="313">
        <f t="shared" si="14"/>
        <v>1775.9814000000003</v>
      </c>
      <c r="M29" s="313">
        <f t="shared" si="14"/>
        <v>155.51999999999998</v>
      </c>
      <c r="N29" s="313">
        <f t="shared" si="14"/>
        <v>0</v>
      </c>
      <c r="O29" s="326">
        <f t="shared" si="14"/>
        <v>1931.5014000000001</v>
      </c>
      <c r="P29" s="313">
        <f t="shared" si="14"/>
        <v>0</v>
      </c>
      <c r="Q29" s="313">
        <f t="shared" si="14"/>
        <v>138.95999999999998</v>
      </c>
      <c r="R29" s="313">
        <f t="shared" si="14"/>
        <v>0</v>
      </c>
      <c r="S29" s="326">
        <f t="shared" si="14"/>
        <v>138.95999999999998</v>
      </c>
      <c r="T29" s="315">
        <f>SUM(G29,K29,O29,S29)</f>
        <v>42635.016599999995</v>
      </c>
    </row>
    <row r="30" spans="2:20" ht="15" customHeight="1" thickBot="1" x14ac:dyDescent="0.35">
      <c r="C30" s="321"/>
      <c r="D30" s="308"/>
      <c r="E30" s="308"/>
      <c r="F30" s="308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</row>
    <row r="31" spans="2:20" x14ac:dyDescent="0.3">
      <c r="B31" s="316" t="s">
        <v>524</v>
      </c>
      <c r="C31" s="317">
        <v>0.32</v>
      </c>
      <c r="D31" s="328">
        <f t="shared" ref="D31:S31" si="15">SUM(D4)*$C$31*9%</f>
        <v>86.399999999999991</v>
      </c>
      <c r="E31" s="328">
        <f t="shared" si="15"/>
        <v>74.88</v>
      </c>
      <c r="F31" s="328">
        <f t="shared" si="15"/>
        <v>282.24</v>
      </c>
      <c r="G31" s="319">
        <f t="shared" si="15"/>
        <v>443.52</v>
      </c>
      <c r="H31" s="328">
        <f t="shared" si="15"/>
        <v>72.575999999999993</v>
      </c>
      <c r="I31" s="328">
        <f t="shared" si="15"/>
        <v>317.66399999999999</v>
      </c>
      <c r="J31" s="328">
        <f t="shared" si="15"/>
        <v>123.83999999999999</v>
      </c>
      <c r="K31" s="319">
        <f t="shared" si="15"/>
        <v>514.07999999999993</v>
      </c>
      <c r="L31" s="328">
        <f t="shared" si="15"/>
        <v>74.88</v>
      </c>
      <c r="M31" s="328">
        <f t="shared" si="15"/>
        <v>93.311999999999998</v>
      </c>
      <c r="N31" s="328">
        <f t="shared" si="15"/>
        <v>0</v>
      </c>
      <c r="O31" s="319">
        <f t="shared" si="15"/>
        <v>168.19199999999998</v>
      </c>
      <c r="P31" s="328">
        <f t="shared" si="15"/>
        <v>0</v>
      </c>
      <c r="Q31" s="328">
        <f t="shared" si="15"/>
        <v>72.575999999999993</v>
      </c>
      <c r="R31" s="328">
        <f t="shared" si="15"/>
        <v>0</v>
      </c>
      <c r="S31" s="319">
        <f t="shared" si="15"/>
        <v>72.575999999999993</v>
      </c>
      <c r="T31" s="320">
        <f>SUM(G31,K31,O31,S31)</f>
        <v>1198.3679999999999</v>
      </c>
    </row>
    <row r="32" spans="2:20" x14ac:dyDescent="0.3">
      <c r="B32" s="305" t="s">
        <v>525</v>
      </c>
      <c r="C32" s="321">
        <v>0.12</v>
      </c>
      <c r="D32" s="303">
        <f t="shared" ref="D32:S32" si="16">SUM(D9)*$C$32*9%</f>
        <v>3908.4409440000004</v>
      </c>
      <c r="E32" s="303">
        <f t="shared" si="16"/>
        <v>4097.7566280000001</v>
      </c>
      <c r="F32" s="303">
        <f t="shared" si="16"/>
        <v>5447.692799999998</v>
      </c>
      <c r="G32" s="307">
        <f t="shared" si="16"/>
        <v>13453.890371999998</v>
      </c>
      <c r="H32" s="303">
        <f t="shared" si="16"/>
        <v>4359.6189359999998</v>
      </c>
      <c r="I32" s="303">
        <f t="shared" si="16"/>
        <v>4473.6953399999993</v>
      </c>
      <c r="J32" s="303">
        <f t="shared" si="16"/>
        <v>4598.6826599999986</v>
      </c>
      <c r="K32" s="307">
        <f t="shared" si="16"/>
        <v>13431.996935999996</v>
      </c>
      <c r="L32" s="303">
        <f t="shared" si="16"/>
        <v>1486.0632600000001</v>
      </c>
      <c r="M32" s="303">
        <f t="shared" si="16"/>
        <v>0</v>
      </c>
      <c r="N32" s="303">
        <f t="shared" si="16"/>
        <v>0</v>
      </c>
      <c r="O32" s="307">
        <f t="shared" si="16"/>
        <v>1486.0632600000001</v>
      </c>
      <c r="P32" s="303">
        <f t="shared" si="16"/>
        <v>0</v>
      </c>
      <c r="Q32" s="303">
        <f t="shared" si="16"/>
        <v>16.2</v>
      </c>
      <c r="R32" s="303">
        <f t="shared" si="16"/>
        <v>0</v>
      </c>
      <c r="S32" s="307">
        <f t="shared" si="16"/>
        <v>16.2</v>
      </c>
      <c r="T32" s="322">
        <f>SUM(G32,K32,O32,S32)</f>
        <v>28388.150567999994</v>
      </c>
    </row>
    <row r="33" spans="2:20" x14ac:dyDescent="0.3">
      <c r="B33" s="305" t="s">
        <v>526</v>
      </c>
      <c r="C33" s="321">
        <v>1</v>
      </c>
      <c r="D33" s="303">
        <f>SUM(D16
)*9%</f>
        <v>17.009999999999998</v>
      </c>
      <c r="E33" s="303">
        <f>SUM(E16
)*9%</f>
        <v>24.3</v>
      </c>
      <c r="F33" s="303">
        <f>SUM(
F16)*9%</f>
        <v>0</v>
      </c>
      <c r="G33" s="307">
        <f>SUM(G16
)*9%</f>
        <v>41.309999999999995</v>
      </c>
      <c r="H33" s="303">
        <f>SUM(H16
)*9%</f>
        <v>32.805</v>
      </c>
      <c r="I33" s="303">
        <f>SUM(I16
)*9%</f>
        <v>-32.4</v>
      </c>
      <c r="J33" s="303">
        <f>SUM(
J16)*9%</f>
        <v>0</v>
      </c>
      <c r="K33" s="307">
        <f>SUM(K16
)*9%</f>
        <v>0.40499999999999997</v>
      </c>
      <c r="L33" s="303">
        <f>SUM(L16
)*9%</f>
        <v>0</v>
      </c>
      <c r="M33" s="303">
        <f>SUM(M16
)*9%</f>
        <v>0</v>
      </c>
      <c r="N33" s="303">
        <f>SUM(
N16)*9%</f>
        <v>0</v>
      </c>
      <c r="O33" s="307">
        <f>SUM(O16
)*9%</f>
        <v>0</v>
      </c>
      <c r="P33" s="303">
        <f>SUM(P16
)*9%</f>
        <v>0</v>
      </c>
      <c r="Q33" s="303">
        <f>SUM(Q16
)*9%</f>
        <v>0</v>
      </c>
      <c r="R33" s="303">
        <f>SUM(
R16)*9%</f>
        <v>0</v>
      </c>
      <c r="S33" s="307">
        <f>SUM(S16
)*9%</f>
        <v>0</v>
      </c>
      <c r="T33" s="322">
        <f>SUM(G33,K33,O33,S33)</f>
        <v>41.714999999999996</v>
      </c>
    </row>
    <row r="34" spans="2:20" ht="15" customHeight="1" thickBot="1" x14ac:dyDescent="0.35">
      <c r="B34" s="311" t="s">
        <v>527</v>
      </c>
      <c r="C34" s="329"/>
      <c r="D34" s="313">
        <f t="shared" ref="D34:T34" si="17">SUM(D31:D33)</f>
        <v>4011.8509440000007</v>
      </c>
      <c r="E34" s="313">
        <f t="shared" si="17"/>
        <v>4196.9366280000004</v>
      </c>
      <c r="F34" s="313">
        <f t="shared" si="17"/>
        <v>5729.9327999999978</v>
      </c>
      <c r="G34" s="326">
        <f t="shared" si="17"/>
        <v>13938.720371999998</v>
      </c>
      <c r="H34" s="313">
        <f t="shared" si="17"/>
        <v>4464.9999360000002</v>
      </c>
      <c r="I34" s="313">
        <f t="shared" si="17"/>
        <v>4758.9593399999994</v>
      </c>
      <c r="J34" s="313">
        <f t="shared" si="17"/>
        <v>4722.5226599999987</v>
      </c>
      <c r="K34" s="326">
        <f t="shared" si="17"/>
        <v>13946.481935999996</v>
      </c>
      <c r="L34" s="313">
        <f t="shared" si="17"/>
        <v>1560.94326</v>
      </c>
      <c r="M34" s="313">
        <f t="shared" si="17"/>
        <v>93.311999999999998</v>
      </c>
      <c r="N34" s="313">
        <f t="shared" si="17"/>
        <v>0</v>
      </c>
      <c r="O34" s="326">
        <f t="shared" si="17"/>
        <v>1654.2552600000001</v>
      </c>
      <c r="P34" s="313">
        <f t="shared" si="17"/>
        <v>0</v>
      </c>
      <c r="Q34" s="313">
        <f t="shared" si="17"/>
        <v>88.775999999999996</v>
      </c>
      <c r="R34" s="313">
        <f t="shared" si="17"/>
        <v>0</v>
      </c>
      <c r="S34" s="326">
        <f t="shared" si="17"/>
        <v>88.775999999999996</v>
      </c>
      <c r="T34" s="315">
        <f t="shared" si="17"/>
        <v>29628.233567999992</v>
      </c>
    </row>
    <row r="35" spans="2:20" ht="15" customHeight="1" thickBot="1" x14ac:dyDescent="0.35">
      <c r="C35" s="321"/>
      <c r="D35" s="308"/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</row>
    <row r="36" spans="2:20" x14ac:dyDescent="0.3">
      <c r="B36" s="330" t="s">
        <v>528</v>
      </c>
      <c r="C36" s="331"/>
      <c r="D36" s="332">
        <f t="shared" ref="D36:S36" si="18">D20</f>
        <v>150</v>
      </c>
      <c r="E36" s="332">
        <f t="shared" si="18"/>
        <v>130</v>
      </c>
      <c r="F36" s="332">
        <f t="shared" si="18"/>
        <v>490</v>
      </c>
      <c r="G36" s="332">
        <f t="shared" si="18"/>
        <v>770</v>
      </c>
      <c r="H36" s="332">
        <f t="shared" si="18"/>
        <v>126</v>
      </c>
      <c r="I36" s="332">
        <f t="shared" si="18"/>
        <v>551.5</v>
      </c>
      <c r="J36" s="332">
        <f t="shared" si="18"/>
        <v>215</v>
      </c>
      <c r="K36" s="332">
        <f t="shared" si="18"/>
        <v>892.5</v>
      </c>
      <c r="L36" s="332">
        <f t="shared" si="18"/>
        <v>130</v>
      </c>
      <c r="M36" s="332">
        <f t="shared" si="18"/>
        <v>162</v>
      </c>
      <c r="N36" s="332">
        <f t="shared" si="18"/>
        <v>0</v>
      </c>
      <c r="O36" s="332">
        <f t="shared" si="18"/>
        <v>292</v>
      </c>
      <c r="P36" s="332">
        <f t="shared" si="18"/>
        <v>0</v>
      </c>
      <c r="Q36" s="332">
        <f t="shared" si="18"/>
        <v>126</v>
      </c>
      <c r="R36" s="332">
        <f t="shared" si="18"/>
        <v>0</v>
      </c>
      <c r="S36" s="332">
        <f t="shared" si="18"/>
        <v>126</v>
      </c>
      <c r="T36" s="333">
        <f>SUM(G36,K36,O36,S36)</f>
        <v>2080.5</v>
      </c>
    </row>
    <row r="37" spans="2:20" x14ac:dyDescent="0.3">
      <c r="B37" s="334" t="s">
        <v>529</v>
      </c>
      <c r="C37" s="335"/>
      <c r="D37" s="336">
        <f t="shared" ref="D37:S37" si="19">D23</f>
        <v>14475.707200000003</v>
      </c>
      <c r="E37" s="336">
        <f t="shared" si="19"/>
        <v>15176.876400000001</v>
      </c>
      <c r="F37" s="336">
        <f t="shared" si="19"/>
        <v>20176.639999999996</v>
      </c>
      <c r="G37" s="336">
        <f t="shared" si="19"/>
        <v>49829.223600000005</v>
      </c>
      <c r="H37" s="336">
        <f t="shared" si="19"/>
        <v>16146.736800000001</v>
      </c>
      <c r="I37" s="336">
        <f t="shared" si="19"/>
        <v>16569.241999999998</v>
      </c>
      <c r="J37" s="336">
        <f t="shared" si="19"/>
        <v>17032.157999999996</v>
      </c>
      <c r="K37" s="336">
        <f t="shared" si="19"/>
        <v>49748.136799999986</v>
      </c>
      <c r="L37" s="336">
        <f t="shared" si="19"/>
        <v>5503.938000000001</v>
      </c>
      <c r="M37" s="336">
        <f t="shared" si="19"/>
        <v>0</v>
      </c>
      <c r="N37" s="336">
        <f t="shared" si="19"/>
        <v>0</v>
      </c>
      <c r="O37" s="336">
        <f t="shared" si="19"/>
        <v>5503.938000000001</v>
      </c>
      <c r="P37" s="336">
        <f t="shared" si="19"/>
        <v>0</v>
      </c>
      <c r="Q37" s="336">
        <f t="shared" si="19"/>
        <v>60</v>
      </c>
      <c r="R37" s="336">
        <f t="shared" si="19"/>
        <v>0</v>
      </c>
      <c r="S37" s="336">
        <f t="shared" si="19"/>
        <v>60</v>
      </c>
      <c r="T37" s="337">
        <f>SUM(G37,K37,O37,S37)</f>
        <v>105141.29839999999</v>
      </c>
    </row>
    <row r="38" spans="2:20" x14ac:dyDescent="0.3">
      <c r="B38" s="334" t="s">
        <v>530</v>
      </c>
      <c r="C38" s="335"/>
      <c r="D38" s="336">
        <f t="shared" ref="D38:S38" si="20">D21+D22</f>
        <v>12790.219507200001</v>
      </c>
      <c r="E38" s="336">
        <f t="shared" si="20"/>
        <v>13389.843726399999</v>
      </c>
      <c r="F38" s="336">
        <f t="shared" si="20"/>
        <v>18032.436639999993</v>
      </c>
      <c r="G38" s="336">
        <f t="shared" si="20"/>
        <v>44212.499873600005</v>
      </c>
      <c r="H38" s="336">
        <f t="shared" si="20"/>
        <v>14236.521436799998</v>
      </c>
      <c r="I38" s="336">
        <f t="shared" si="20"/>
        <v>14917.250991999997</v>
      </c>
      <c r="J38" s="336">
        <f t="shared" si="20"/>
        <v>15077.120407999997</v>
      </c>
      <c r="K38" s="336">
        <f t="shared" si="20"/>
        <v>44230.892836799991</v>
      </c>
      <c r="L38" s="336">
        <f t="shared" si="20"/>
        <v>4916.3496880000002</v>
      </c>
      <c r="M38" s="336">
        <f t="shared" si="20"/>
        <v>118.26</v>
      </c>
      <c r="N38" s="336">
        <f t="shared" si="20"/>
        <v>0</v>
      </c>
      <c r="O38" s="336">
        <f t="shared" si="20"/>
        <v>5034.6096880000005</v>
      </c>
      <c r="P38" s="336">
        <f t="shared" si="20"/>
        <v>0</v>
      </c>
      <c r="Q38" s="336">
        <f t="shared" si="20"/>
        <v>144.54</v>
      </c>
      <c r="R38" s="336">
        <f t="shared" si="20"/>
        <v>0</v>
      </c>
      <c r="S38" s="336">
        <f t="shared" si="20"/>
        <v>144.54</v>
      </c>
      <c r="T38" s="337">
        <f>SUM(G38,K38,O38,S38)</f>
        <v>93622.542398399979</v>
      </c>
    </row>
    <row r="39" spans="2:20" ht="15" customHeight="1" thickBot="1" x14ac:dyDescent="0.35">
      <c r="B39" s="338" t="s">
        <v>531</v>
      </c>
      <c r="C39" s="339"/>
      <c r="D39" s="340"/>
      <c r="E39" s="340"/>
      <c r="F39" s="340"/>
      <c r="G39" s="341">
        <f>G29+G34</f>
        <v>34200.082172000002</v>
      </c>
      <c r="H39" s="340"/>
      <c r="I39" s="340"/>
      <c r="J39" s="340"/>
      <c r="K39" s="341">
        <f>K29+K34</f>
        <v>34249.675335999986</v>
      </c>
      <c r="L39" s="340"/>
      <c r="M39" s="340"/>
      <c r="N39" s="340"/>
      <c r="O39" s="341">
        <f>O29+O34</f>
        <v>3585.75666</v>
      </c>
      <c r="P39" s="340"/>
      <c r="Q39" s="340"/>
      <c r="R39" s="340"/>
      <c r="S39" s="341">
        <f>S29+S34</f>
        <v>227.73599999999999</v>
      </c>
      <c r="T39" s="342">
        <f>SUM(G39,K39,O39,S39)</f>
        <v>72263.250167999984</v>
      </c>
    </row>
    <row r="40" spans="2:20" x14ac:dyDescent="0.3"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</row>
    <row r="41" spans="2:20" x14ac:dyDescent="0.3"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</row>
    <row r="42" spans="2:20" x14ac:dyDescent="0.3"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</row>
    <row r="43" spans="2:20" ht="15" customHeight="1" thickBot="1" x14ac:dyDescent="0.35"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</row>
    <row r="44" spans="2:20" x14ac:dyDescent="0.3">
      <c r="B44" s="474" t="s">
        <v>532</v>
      </c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475"/>
      <c r="N44" s="476"/>
      <c r="O44" s="308"/>
      <c r="P44" s="308"/>
      <c r="Q44" s="308"/>
      <c r="R44" s="308"/>
      <c r="S44" s="308"/>
      <c r="T44" s="308"/>
    </row>
    <row r="45" spans="2:20" x14ac:dyDescent="0.3">
      <c r="C45" s="306"/>
      <c r="F45" s="343"/>
      <c r="G45" s="343"/>
      <c r="H45" s="343"/>
      <c r="I45" s="343"/>
      <c r="J45" s="343"/>
      <c r="K45" s="344"/>
      <c r="L45" s="344"/>
      <c r="M45" s="344"/>
      <c r="O45" s="308"/>
      <c r="P45" s="308"/>
      <c r="Q45" s="308"/>
      <c r="R45" s="308"/>
      <c r="S45" s="308"/>
      <c r="T45" s="308"/>
    </row>
    <row r="46" spans="2:20" x14ac:dyDescent="0.3">
      <c r="B46" s="345" t="s">
        <v>506</v>
      </c>
      <c r="C46" s="346" t="s">
        <v>533</v>
      </c>
      <c r="D46" s="345" t="s">
        <v>534</v>
      </c>
      <c r="E46" s="343"/>
      <c r="F46" s="345" t="s">
        <v>535</v>
      </c>
      <c r="G46" s="345" t="s">
        <v>502</v>
      </c>
      <c r="H46" s="345" t="s">
        <v>536</v>
      </c>
      <c r="I46" s="345" t="s">
        <v>537</v>
      </c>
      <c r="J46" s="345" t="s">
        <v>502</v>
      </c>
      <c r="K46" s="347" t="s">
        <v>538</v>
      </c>
      <c r="L46" s="347" t="s">
        <v>539</v>
      </c>
      <c r="M46" s="347" t="s">
        <v>540</v>
      </c>
      <c r="N46" s="345" t="s">
        <v>541</v>
      </c>
      <c r="O46" s="308"/>
      <c r="P46" s="308"/>
      <c r="Q46" s="308"/>
      <c r="R46" s="308"/>
      <c r="S46" s="308"/>
      <c r="T46" s="308"/>
    </row>
    <row r="47" spans="2:20" x14ac:dyDescent="0.3">
      <c r="B47" s="348">
        <v>45658</v>
      </c>
      <c r="C47" s="349">
        <v>157287.38897976</v>
      </c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08"/>
      <c r="P47" s="308"/>
      <c r="Q47" s="308"/>
      <c r="R47" s="308"/>
      <c r="S47" s="308"/>
      <c r="T47" s="308"/>
    </row>
    <row r="48" spans="2:20" x14ac:dyDescent="0.3">
      <c r="B48" s="348">
        <v>45689</v>
      </c>
      <c r="C48" s="349">
        <v>157287.38897976</v>
      </c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08"/>
      <c r="P48" s="308"/>
      <c r="Q48" s="308"/>
      <c r="R48" s="308"/>
      <c r="S48" s="308"/>
      <c r="T48" s="308"/>
    </row>
    <row r="49" spans="2:20" x14ac:dyDescent="0.3">
      <c r="B49" s="348">
        <v>45717</v>
      </c>
      <c r="C49" s="349">
        <v>157287.38897976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08"/>
      <c r="P49" s="308"/>
      <c r="Q49" s="308"/>
      <c r="R49" s="308"/>
      <c r="S49" s="308"/>
      <c r="T49" s="308"/>
    </row>
    <row r="50" spans="2:20" x14ac:dyDescent="0.3">
      <c r="B50" s="348">
        <v>45748</v>
      </c>
      <c r="C50" s="349">
        <v>157287.38897976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08"/>
      <c r="P50" s="308"/>
      <c r="Q50" s="308"/>
      <c r="R50" s="308"/>
      <c r="S50" s="308"/>
      <c r="T50" s="308"/>
    </row>
    <row r="51" spans="2:20" x14ac:dyDescent="0.3">
      <c r="B51" s="348">
        <v>45778</v>
      </c>
      <c r="C51" s="349">
        <v>157287.38897976</v>
      </c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08"/>
      <c r="P51" s="308"/>
      <c r="Q51" s="308"/>
      <c r="R51" s="308"/>
      <c r="S51" s="308"/>
      <c r="T51" s="308"/>
    </row>
    <row r="52" spans="2:20" x14ac:dyDescent="0.3">
      <c r="B52" s="348">
        <v>45809</v>
      </c>
      <c r="C52" s="349">
        <v>157287.38897976</v>
      </c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08"/>
      <c r="P52" s="308"/>
      <c r="Q52" s="308"/>
      <c r="R52" s="308"/>
      <c r="S52" s="308"/>
      <c r="T52" s="308"/>
    </row>
    <row r="53" spans="2:20" x14ac:dyDescent="0.3">
      <c r="B53" s="348">
        <v>45839</v>
      </c>
      <c r="C53" s="349">
        <v>157287.38897976</v>
      </c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08"/>
      <c r="P53" s="308"/>
      <c r="Q53" s="308"/>
      <c r="R53" s="308"/>
      <c r="S53" s="308"/>
      <c r="T53" s="308"/>
    </row>
    <row r="54" spans="2:20" x14ac:dyDescent="0.3">
      <c r="B54" s="348">
        <v>45870</v>
      </c>
      <c r="C54" s="349">
        <v>157287.38897976</v>
      </c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08"/>
      <c r="P54" s="308"/>
      <c r="Q54" s="308"/>
      <c r="R54" s="308"/>
      <c r="S54" s="308"/>
      <c r="T54" s="308"/>
    </row>
    <row r="55" spans="2:20" x14ac:dyDescent="0.3">
      <c r="B55" s="348">
        <v>45901</v>
      </c>
      <c r="C55" s="349">
        <v>157287.38897976</v>
      </c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08"/>
      <c r="P55" s="308"/>
      <c r="Q55" s="308"/>
      <c r="R55" s="308"/>
      <c r="S55" s="308"/>
      <c r="T55" s="308"/>
    </row>
    <row r="56" spans="2:20" x14ac:dyDescent="0.3">
      <c r="B56" s="348">
        <v>45931</v>
      </c>
      <c r="C56" s="349">
        <v>157287.38897976</v>
      </c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08"/>
      <c r="P56" s="308"/>
      <c r="Q56" s="308"/>
      <c r="R56" s="308"/>
      <c r="S56" s="308"/>
      <c r="T56" s="308"/>
    </row>
    <row r="57" spans="2:20" x14ac:dyDescent="0.3">
      <c r="B57" s="348">
        <v>45962</v>
      </c>
      <c r="C57" s="349">
        <v>157287.38897976</v>
      </c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08"/>
      <c r="P57" s="308"/>
      <c r="Q57" s="308"/>
      <c r="R57" s="308"/>
      <c r="S57" s="308"/>
      <c r="T57" s="308"/>
    </row>
    <row r="58" spans="2:20" x14ac:dyDescent="0.3">
      <c r="B58" s="348">
        <v>45992</v>
      </c>
      <c r="C58" s="349">
        <v>157287.38897976</v>
      </c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08"/>
      <c r="P58" s="308"/>
      <c r="Q58" s="308"/>
      <c r="R58" s="308"/>
      <c r="S58" s="308"/>
      <c r="T58" s="308"/>
    </row>
    <row r="59" spans="2:20" x14ac:dyDescent="0.3">
      <c r="B59" s="351">
        <v>46023</v>
      </c>
      <c r="C59" s="352">
        <f>-DRE!$J$120-DRE!$J$89</f>
        <v>54066.17</v>
      </c>
      <c r="D59" s="353">
        <f t="shared" ref="D59:D70" si="21">SUM(C47:C58)</f>
        <v>1887448.66775712</v>
      </c>
      <c r="F59" s="354" t="s">
        <v>542</v>
      </c>
      <c r="G59" s="355">
        <f>D80</f>
        <v>0.14299999999999999</v>
      </c>
      <c r="H59" s="356">
        <f t="shared" ref="H59:H70" si="22">(D59*G59)</f>
        <v>269905.15948926815</v>
      </c>
      <c r="I59" s="357">
        <f t="shared" ref="I59:I70" si="23">-87300</f>
        <v>-87300</v>
      </c>
      <c r="J59" s="358">
        <f t="shared" ref="J59:J70" si="24">(H59+I59)/D59</f>
        <v>9.6747086481700328E-2</v>
      </c>
      <c r="K59" s="344">
        <f t="shared" ref="K59:K70" si="25">C59*J59</f>
        <v>5230.744424724312</v>
      </c>
      <c r="L59" s="344">
        <v>0</v>
      </c>
      <c r="M59" s="344">
        <f t="shared" ref="M59:M70" si="26">K59+L59</f>
        <v>5230.744424724312</v>
      </c>
      <c r="O59" s="308"/>
      <c r="P59" s="308"/>
      <c r="Q59" s="308"/>
      <c r="R59" s="308"/>
      <c r="S59" s="308"/>
      <c r="T59" s="308"/>
    </row>
    <row r="60" spans="2:20" x14ac:dyDescent="0.3">
      <c r="B60" s="351">
        <v>46054</v>
      </c>
      <c r="C60" s="352">
        <f>-DRE!$M$120-DRE!$M$89</f>
        <v>62948.550000000025</v>
      </c>
      <c r="D60" s="353">
        <f t="shared" si="21"/>
        <v>1784227.4487773599</v>
      </c>
      <c r="F60" s="354" t="s">
        <v>542</v>
      </c>
      <c r="G60" s="355">
        <f t="shared" ref="G60:G70" si="27">$D$80</f>
        <v>0.14299999999999999</v>
      </c>
      <c r="H60" s="356">
        <f t="shared" si="22"/>
        <v>255144.52517516245</v>
      </c>
      <c r="I60" s="357">
        <f t="shared" si="23"/>
        <v>-87300</v>
      </c>
      <c r="J60" s="358">
        <f t="shared" si="24"/>
        <v>9.4071260528010445E-2</v>
      </c>
      <c r="K60" s="344">
        <f t="shared" si="25"/>
        <v>5921.6494469104946</v>
      </c>
      <c r="L60" s="344">
        <v>0</v>
      </c>
      <c r="M60" s="344">
        <f t="shared" si="26"/>
        <v>5921.6494469104946</v>
      </c>
      <c r="O60" s="308"/>
      <c r="P60" s="308"/>
      <c r="Q60" s="308"/>
      <c r="R60" s="308"/>
      <c r="S60" s="308"/>
      <c r="T60" s="308"/>
    </row>
    <row r="61" spans="2:20" x14ac:dyDescent="0.3">
      <c r="B61" s="351">
        <v>46082</v>
      </c>
      <c r="C61" s="352">
        <f>-DRE!$P$120-DRE!$P$89</f>
        <v>63164.770000000019</v>
      </c>
      <c r="D61" s="353">
        <f t="shared" si="21"/>
        <v>1689888.6097976</v>
      </c>
      <c r="F61" s="354" t="s">
        <v>542</v>
      </c>
      <c r="G61" s="355">
        <f t="shared" si="27"/>
        <v>0.14299999999999999</v>
      </c>
      <c r="H61" s="356">
        <f t="shared" si="22"/>
        <v>241654.07120105677</v>
      </c>
      <c r="I61" s="357">
        <f t="shared" si="23"/>
        <v>-87300</v>
      </c>
      <c r="J61" s="358">
        <f t="shared" si="24"/>
        <v>9.133979027146881E-2</v>
      </c>
      <c r="K61" s="344">
        <f t="shared" si="25"/>
        <v>5769.4568443455664</v>
      </c>
      <c r="L61" s="344">
        <v>0</v>
      </c>
      <c r="M61" s="344">
        <f t="shared" si="26"/>
        <v>5769.4568443455664</v>
      </c>
      <c r="O61" s="308"/>
      <c r="P61" s="308"/>
      <c r="Q61" s="308"/>
      <c r="R61" s="308"/>
      <c r="S61" s="308"/>
      <c r="T61" s="308"/>
    </row>
    <row r="62" spans="2:20" x14ac:dyDescent="0.3">
      <c r="B62" s="351">
        <v>46113</v>
      </c>
      <c r="C62" s="352">
        <f>-DRE!$S$120-DRE!$S$89</f>
        <v>70733.91</v>
      </c>
      <c r="D62" s="353">
        <f t="shared" si="21"/>
        <v>1595765.99081784</v>
      </c>
      <c r="F62" s="354" t="s">
        <v>542</v>
      </c>
      <c r="G62" s="355">
        <f t="shared" si="27"/>
        <v>0.14299999999999999</v>
      </c>
      <c r="H62" s="356">
        <f t="shared" si="22"/>
        <v>228194.53668695109</v>
      </c>
      <c r="I62" s="357">
        <f t="shared" si="23"/>
        <v>-87300</v>
      </c>
      <c r="J62" s="358">
        <f t="shared" si="24"/>
        <v>8.8292730574325476E-2</v>
      </c>
      <c r="K62" s="344">
        <f t="shared" si="25"/>
        <v>6245.290058098587</v>
      </c>
      <c r="L62" s="344">
        <v>0</v>
      </c>
      <c r="M62" s="344">
        <f t="shared" si="26"/>
        <v>6245.290058098587</v>
      </c>
      <c r="O62" s="308"/>
      <c r="P62" s="308"/>
      <c r="Q62" s="308"/>
      <c r="R62" s="308"/>
      <c r="S62" s="308"/>
      <c r="T62" s="308"/>
    </row>
    <row r="63" spans="2:20" x14ac:dyDescent="0.3">
      <c r="B63" s="351">
        <v>46143</v>
      </c>
      <c r="C63" s="352">
        <f>-DRE!$V$120-DRE!$V$89</f>
        <v>60158.000000000007</v>
      </c>
      <c r="D63" s="353">
        <f t="shared" si="21"/>
        <v>1509212.5118380799</v>
      </c>
      <c r="F63" s="354" t="s">
        <v>542</v>
      </c>
      <c r="G63" s="355">
        <f t="shared" si="27"/>
        <v>0.14299999999999999</v>
      </c>
      <c r="H63" s="356">
        <f t="shared" si="22"/>
        <v>215817.38919284541</v>
      </c>
      <c r="I63" s="357">
        <f t="shared" si="23"/>
        <v>-87300</v>
      </c>
      <c r="J63" s="358">
        <f t="shared" si="24"/>
        <v>8.5155263546233942E-2</v>
      </c>
      <c r="K63" s="344">
        <f t="shared" si="25"/>
        <v>5122.7703444143417</v>
      </c>
      <c r="L63" s="344">
        <v>0</v>
      </c>
      <c r="M63" s="344">
        <f t="shared" si="26"/>
        <v>5122.7703444143417</v>
      </c>
      <c r="O63" s="308"/>
      <c r="P63" s="308"/>
      <c r="Q63" s="308"/>
      <c r="R63" s="308"/>
      <c r="S63" s="308"/>
      <c r="T63" s="308"/>
    </row>
    <row r="64" spans="2:20" x14ac:dyDescent="0.3">
      <c r="B64" s="351">
        <v>46174</v>
      </c>
      <c r="C64" s="352">
        <f>-DRE!Y120-DRE!Y89</f>
        <v>63613.23</v>
      </c>
      <c r="D64" s="353">
        <f t="shared" si="21"/>
        <v>1412083.1228583199</v>
      </c>
      <c r="F64" s="354" t="s">
        <v>542</v>
      </c>
      <c r="G64" s="355">
        <f t="shared" si="27"/>
        <v>0.14299999999999999</v>
      </c>
      <c r="H64" s="356">
        <f t="shared" si="22"/>
        <v>201927.88656873972</v>
      </c>
      <c r="I64" s="357">
        <f t="shared" si="23"/>
        <v>-87300</v>
      </c>
      <c r="J64" s="358">
        <f t="shared" si="24"/>
        <v>8.117644401606576E-2</v>
      </c>
      <c r="K64" s="344">
        <f t="shared" si="25"/>
        <v>5163.8958037761149</v>
      </c>
      <c r="L64" s="344">
        <v>0</v>
      </c>
      <c r="M64" s="344">
        <f t="shared" si="26"/>
        <v>5163.8958037761149</v>
      </c>
      <c r="O64" s="308"/>
      <c r="P64" s="308"/>
      <c r="Q64" s="308"/>
      <c r="R64" s="308"/>
      <c r="S64" s="308"/>
      <c r="T64" s="308"/>
    </row>
    <row r="65" spans="2:20" x14ac:dyDescent="0.3">
      <c r="B65" s="351">
        <v>46204</v>
      </c>
      <c r="C65" s="352">
        <f>-DRE!AB120-DRE!AB89</f>
        <v>79200</v>
      </c>
      <c r="D65" s="353">
        <f t="shared" si="21"/>
        <v>1318408.9638785599</v>
      </c>
      <c r="F65" s="354" t="s">
        <v>542</v>
      </c>
      <c r="G65" s="355">
        <f t="shared" si="27"/>
        <v>0.14299999999999999</v>
      </c>
      <c r="H65" s="356">
        <f t="shared" si="22"/>
        <v>188532.48183463406</v>
      </c>
      <c r="I65" s="357">
        <f t="shared" si="23"/>
        <v>-87300</v>
      </c>
      <c r="J65" s="358">
        <f t="shared" si="24"/>
        <v>7.6783823994053715E-2</v>
      </c>
      <c r="K65" s="344">
        <f t="shared" si="25"/>
        <v>6081.2788603290546</v>
      </c>
      <c r="L65" s="344">
        <v>0</v>
      </c>
      <c r="M65" s="344">
        <f t="shared" si="26"/>
        <v>6081.2788603290546</v>
      </c>
      <c r="O65" s="308"/>
      <c r="P65" s="308"/>
      <c r="Q65" s="308"/>
      <c r="R65" s="308"/>
      <c r="S65" s="308"/>
      <c r="T65" s="308"/>
    </row>
    <row r="66" spans="2:20" x14ac:dyDescent="0.3">
      <c r="B66" s="351">
        <v>46235</v>
      </c>
      <c r="C66" s="352">
        <f>-DRE!AE120-DRE!AE89</f>
        <v>79200</v>
      </c>
      <c r="D66" s="353">
        <f t="shared" si="21"/>
        <v>1240321.5748988001</v>
      </c>
      <c r="F66" s="354" t="s">
        <v>542</v>
      </c>
      <c r="G66" s="355">
        <f t="shared" si="27"/>
        <v>0.14299999999999999</v>
      </c>
      <c r="H66" s="356">
        <f t="shared" si="22"/>
        <v>177365.98521052839</v>
      </c>
      <c r="I66" s="357">
        <f t="shared" si="23"/>
        <v>-87300</v>
      </c>
      <c r="J66" s="358">
        <f t="shared" si="24"/>
        <v>7.2615027451954972E-2</v>
      </c>
      <c r="K66" s="344">
        <f t="shared" si="25"/>
        <v>5751.1101741948341</v>
      </c>
      <c r="L66" s="344">
        <v>0</v>
      </c>
      <c r="M66" s="344">
        <f t="shared" si="26"/>
        <v>5751.1101741948341</v>
      </c>
      <c r="O66" s="308"/>
      <c r="P66" s="308"/>
      <c r="Q66" s="308"/>
      <c r="R66" s="308"/>
      <c r="S66" s="308"/>
      <c r="T66" s="308"/>
    </row>
    <row r="67" spans="2:20" x14ac:dyDescent="0.3">
      <c r="B67" s="351">
        <v>46266</v>
      </c>
      <c r="C67" s="352">
        <f>-DRE!AH120-DRE!AH89</f>
        <v>79200</v>
      </c>
      <c r="D67" s="353">
        <f t="shared" si="21"/>
        <v>1162234.1859190401</v>
      </c>
      <c r="F67" s="354" t="s">
        <v>542</v>
      </c>
      <c r="G67" s="355">
        <f t="shared" si="27"/>
        <v>0.14299999999999999</v>
      </c>
      <c r="H67" s="356">
        <f t="shared" si="22"/>
        <v>166199.48858642273</v>
      </c>
      <c r="I67" s="357">
        <f t="shared" si="23"/>
        <v>-87300</v>
      </c>
      <c r="J67" s="358">
        <f t="shared" si="24"/>
        <v>6.7886050455513589E-2</v>
      </c>
      <c r="K67" s="344">
        <f t="shared" si="25"/>
        <v>5376.5751960766765</v>
      </c>
      <c r="L67" s="344">
        <v>0</v>
      </c>
      <c r="M67" s="344">
        <f t="shared" si="26"/>
        <v>5376.5751960766765</v>
      </c>
      <c r="O67" s="308"/>
      <c r="P67" s="308"/>
      <c r="Q67" s="308"/>
      <c r="R67" s="308"/>
      <c r="S67" s="308"/>
      <c r="T67" s="308"/>
    </row>
    <row r="68" spans="2:20" x14ac:dyDescent="0.3">
      <c r="B68" s="351">
        <v>46296</v>
      </c>
      <c r="C68" s="352">
        <f>-DRE!AK120-DRE!AK89</f>
        <v>79200</v>
      </c>
      <c r="D68" s="353">
        <f t="shared" si="21"/>
        <v>1084146.7969392801</v>
      </c>
      <c r="F68" s="354" t="s">
        <v>542</v>
      </c>
      <c r="G68" s="355">
        <f t="shared" si="27"/>
        <v>0.14299999999999999</v>
      </c>
      <c r="H68" s="356">
        <f t="shared" si="22"/>
        <v>155032.99196231706</v>
      </c>
      <c r="I68" s="357">
        <f t="shared" si="23"/>
        <v>-87300</v>
      </c>
      <c r="J68" s="358">
        <f t="shared" si="24"/>
        <v>6.2475849353185502E-2</v>
      </c>
      <c r="K68" s="344">
        <f t="shared" si="25"/>
        <v>4948.0872687722913</v>
      </c>
      <c r="L68" s="359">
        <v>0</v>
      </c>
      <c r="M68" s="344">
        <f t="shared" si="26"/>
        <v>4948.0872687722913</v>
      </c>
      <c r="O68" s="308"/>
      <c r="P68" s="308"/>
      <c r="Q68" s="308"/>
      <c r="R68" s="308"/>
      <c r="S68" s="308"/>
      <c r="T68" s="308"/>
    </row>
    <row r="69" spans="2:20" x14ac:dyDescent="0.3">
      <c r="B69" s="351">
        <v>46327</v>
      </c>
      <c r="C69" s="352">
        <f>-DRE!AN120-DRE!AN89</f>
        <v>79200</v>
      </c>
      <c r="D69" s="353">
        <f t="shared" si="21"/>
        <v>1006059.40795952</v>
      </c>
      <c r="F69" s="354" t="s">
        <v>542</v>
      </c>
      <c r="G69" s="355">
        <f t="shared" si="27"/>
        <v>0.14299999999999999</v>
      </c>
      <c r="H69" s="356">
        <f t="shared" si="22"/>
        <v>143866.49533821136</v>
      </c>
      <c r="I69" s="357">
        <f t="shared" si="23"/>
        <v>-87300</v>
      </c>
      <c r="J69" s="358">
        <f t="shared" si="24"/>
        <v>5.6225800276485639E-2</v>
      </c>
      <c r="K69" s="344">
        <f t="shared" si="25"/>
        <v>4453.0833818976625</v>
      </c>
      <c r="L69" s="359">
        <v>0</v>
      </c>
      <c r="M69" s="344">
        <f t="shared" si="26"/>
        <v>4453.0833818976625</v>
      </c>
      <c r="O69" s="308"/>
      <c r="P69" s="308"/>
      <c r="Q69" s="308"/>
      <c r="R69" s="308"/>
      <c r="S69" s="308"/>
      <c r="T69" s="308"/>
    </row>
    <row r="70" spans="2:20" x14ac:dyDescent="0.3">
      <c r="B70" s="351">
        <v>46357</v>
      </c>
      <c r="C70" s="352">
        <f>-DRE!AQ120-DRE!AQ89</f>
        <v>79200</v>
      </c>
      <c r="D70" s="353">
        <f t="shared" si="21"/>
        <v>927972.01897976</v>
      </c>
      <c r="F70" s="354" t="s">
        <v>542</v>
      </c>
      <c r="G70" s="355">
        <f t="shared" si="27"/>
        <v>0.14299999999999999</v>
      </c>
      <c r="H70" s="356">
        <f t="shared" si="22"/>
        <v>132699.99871410566</v>
      </c>
      <c r="I70" s="357">
        <f t="shared" si="23"/>
        <v>-87300</v>
      </c>
      <c r="J70" s="358">
        <f t="shared" si="24"/>
        <v>4.8923887558613856E-2</v>
      </c>
      <c r="K70" s="344">
        <f t="shared" si="25"/>
        <v>3874.7718946422174</v>
      </c>
      <c r="L70" s="359">
        <v>0</v>
      </c>
      <c r="M70" s="344">
        <f t="shared" si="26"/>
        <v>3874.7718946422174</v>
      </c>
      <c r="O70" s="308"/>
      <c r="P70" s="308"/>
      <c r="Q70" s="308"/>
      <c r="R70" s="308"/>
      <c r="S70" s="308"/>
      <c r="T70" s="308"/>
    </row>
    <row r="71" spans="2:20" x14ac:dyDescent="0.3">
      <c r="C71" s="301">
        <f>SUM(C59:C70)</f>
        <v>849884.63000000012</v>
      </c>
      <c r="F71" s="343"/>
      <c r="G71" s="343"/>
      <c r="H71" s="343"/>
      <c r="I71" s="343"/>
      <c r="J71" s="343"/>
      <c r="K71" s="360">
        <f>SUM(K59:K70)</f>
        <v>63938.713698182153</v>
      </c>
      <c r="L71" s="360">
        <f>SUM(L59:L70)</f>
        <v>0</v>
      </c>
      <c r="M71" s="360">
        <f>SUM(M59:M70)</f>
        <v>63938.713698182153</v>
      </c>
      <c r="O71" s="308"/>
      <c r="P71" s="308"/>
      <c r="Q71" s="308"/>
      <c r="R71" s="308"/>
      <c r="S71" s="308"/>
      <c r="T71" s="308"/>
    </row>
    <row r="72" spans="2:20" x14ac:dyDescent="0.3">
      <c r="C72" s="306"/>
      <c r="F72" s="343"/>
      <c r="G72" s="343"/>
      <c r="H72" s="343"/>
      <c r="I72" s="343"/>
      <c r="J72" s="343"/>
      <c r="K72" s="361"/>
      <c r="L72" s="361"/>
      <c r="M72" s="362">
        <f>M71/C71</f>
        <v>7.5232227341471211E-2</v>
      </c>
      <c r="N72" s="300" t="s">
        <v>543</v>
      </c>
      <c r="O72" s="308"/>
      <c r="P72" s="308"/>
      <c r="Q72" s="308"/>
      <c r="R72" s="308"/>
      <c r="S72" s="308"/>
      <c r="T72" s="308"/>
    </row>
    <row r="73" spans="2:20" x14ac:dyDescent="0.3">
      <c r="D73" s="308"/>
      <c r="E73" s="308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</row>
    <row r="74" spans="2:20" x14ac:dyDescent="0.3"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</row>
    <row r="75" spans="2:20" x14ac:dyDescent="0.3">
      <c r="D75" s="308"/>
      <c r="E75" s="308"/>
      <c r="F75" s="308"/>
      <c r="G75" s="308"/>
      <c r="H75" s="308"/>
      <c r="I75" s="308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</row>
    <row r="76" spans="2:20" x14ac:dyDescent="0.3">
      <c r="B76" s="230">
        <v>0</v>
      </c>
      <c r="C76" s="363">
        <v>180000</v>
      </c>
      <c r="D76" s="364">
        <v>0.04</v>
      </c>
      <c r="E76" s="308" t="s">
        <v>544</v>
      </c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</row>
    <row r="77" spans="2:20" x14ac:dyDescent="0.3">
      <c r="B77" s="363">
        <v>180001</v>
      </c>
      <c r="C77" s="230">
        <v>360000</v>
      </c>
      <c r="D77" s="365">
        <v>7.2999999999999995E-2</v>
      </c>
      <c r="E77" s="308" t="s">
        <v>545</v>
      </c>
      <c r="F77" s="308"/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</row>
    <row r="78" spans="2:20" x14ac:dyDescent="0.3">
      <c r="B78" s="230">
        <v>360001</v>
      </c>
      <c r="C78" s="230">
        <v>720000</v>
      </c>
      <c r="D78" s="365">
        <v>9.5000000000000001E-2</v>
      </c>
      <c r="E78" s="308" t="s">
        <v>546</v>
      </c>
      <c r="F78" s="308"/>
      <c r="G78" s="308"/>
      <c r="H78" s="308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</row>
    <row r="79" spans="2:20" x14ac:dyDescent="0.3">
      <c r="B79" s="230">
        <v>720001</v>
      </c>
      <c r="C79" s="230">
        <v>1800000</v>
      </c>
      <c r="D79" s="365">
        <v>0.107</v>
      </c>
      <c r="E79" s="308" t="s">
        <v>547</v>
      </c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</row>
    <row r="80" spans="2:20" x14ac:dyDescent="0.3">
      <c r="B80" s="230">
        <v>1800001</v>
      </c>
      <c r="C80" s="230">
        <v>3600000</v>
      </c>
      <c r="D80" s="365">
        <v>0.14299999999999999</v>
      </c>
      <c r="E80" s="308" t="s">
        <v>542</v>
      </c>
      <c r="F80" s="308"/>
      <c r="G80" s="308"/>
      <c r="H80" s="308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</row>
    <row r="81" spans="2:20" x14ac:dyDescent="0.3">
      <c r="B81" s="230">
        <v>3600001</v>
      </c>
      <c r="C81" s="230">
        <v>4800001</v>
      </c>
      <c r="D81" s="366">
        <v>0.19</v>
      </c>
      <c r="E81" s="308" t="s">
        <v>548</v>
      </c>
      <c r="F81" s="308"/>
      <c r="G81" s="308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</row>
    <row r="82" spans="2:20" x14ac:dyDescent="0.3"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</row>
    <row r="83" spans="2:20" x14ac:dyDescent="0.3"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</row>
  </sheetData>
  <mergeCells count="2">
    <mergeCell ref="B1:T1"/>
    <mergeCell ref="B44:N4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H1849"/>
  <sheetViews>
    <sheetView workbookViewId="0">
      <selection activeCell="C5" sqref="C5"/>
    </sheetView>
  </sheetViews>
  <sheetFormatPr defaultRowHeight="14.4" x14ac:dyDescent="0.3"/>
  <cols>
    <col min="1" max="1" width="7.109375" bestFit="1" customWidth="1"/>
    <col min="2" max="2" width="34.77734375" bestFit="1" customWidth="1"/>
    <col min="3" max="3" width="46.88671875" bestFit="1" customWidth="1"/>
    <col min="4" max="4" width="10.5546875" bestFit="1" customWidth="1"/>
    <col min="5" max="5" width="14" bestFit="1" customWidth="1"/>
    <col min="6" max="6" width="20.109375" bestFit="1" customWidth="1"/>
    <col min="7" max="7" width="11.77734375" bestFit="1" customWidth="1"/>
    <col min="8" max="8" width="12.44140625" bestFit="1" customWidth="1"/>
    <col min="9" max="9" width="11.6640625" bestFit="1" customWidth="1"/>
    <col min="10" max="10" width="20.109375" bestFit="1" customWidth="1"/>
    <col min="11" max="11" width="11.6640625" bestFit="1" customWidth="1"/>
  </cols>
  <sheetData>
    <row r="1" spans="1:8" x14ac:dyDescent="0.3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</row>
    <row r="2" spans="1:8" x14ac:dyDescent="0.3">
      <c r="A2" t="s">
        <v>557</v>
      </c>
      <c r="B2" t="s">
        <v>558</v>
      </c>
      <c r="C2" t="s">
        <v>13</v>
      </c>
      <c r="D2" t="s">
        <v>559</v>
      </c>
      <c r="E2" s="230">
        <v>171694.42</v>
      </c>
      <c r="F2" t="s">
        <v>560</v>
      </c>
      <c r="G2" t="b">
        <v>1</v>
      </c>
      <c r="H2" t="s">
        <v>561</v>
      </c>
    </row>
    <row r="3" spans="1:8" x14ac:dyDescent="0.3">
      <c r="A3" t="s">
        <v>557</v>
      </c>
      <c r="B3" t="s">
        <v>558</v>
      </c>
      <c r="C3" t="s">
        <v>16</v>
      </c>
      <c r="D3" t="s">
        <v>559</v>
      </c>
      <c r="E3" s="230">
        <v>109099.34</v>
      </c>
      <c r="F3" t="s">
        <v>560</v>
      </c>
      <c r="G3" t="b">
        <v>1</v>
      </c>
      <c r="H3" t="s">
        <v>561</v>
      </c>
    </row>
    <row r="4" spans="1:8" x14ac:dyDescent="0.3">
      <c r="A4" t="s">
        <v>557</v>
      </c>
      <c r="B4" t="s">
        <v>558</v>
      </c>
      <c r="C4" t="s">
        <v>17</v>
      </c>
      <c r="D4" t="s">
        <v>559</v>
      </c>
      <c r="E4" s="230">
        <v>4446.84</v>
      </c>
      <c r="F4" t="s">
        <v>560</v>
      </c>
      <c r="G4" t="b">
        <v>1</v>
      </c>
      <c r="H4" t="s">
        <v>561</v>
      </c>
    </row>
    <row r="5" spans="1:8" x14ac:dyDescent="0.3">
      <c r="A5" t="s">
        <v>557</v>
      </c>
      <c r="B5" t="s">
        <v>558</v>
      </c>
      <c r="C5" t="s">
        <v>18</v>
      </c>
      <c r="D5" t="s">
        <v>559</v>
      </c>
      <c r="E5" s="230">
        <v>0</v>
      </c>
      <c r="F5" t="s">
        <v>560</v>
      </c>
      <c r="G5" t="b">
        <v>1</v>
      </c>
      <c r="H5" t="s">
        <v>561</v>
      </c>
    </row>
    <row r="6" spans="1:8" x14ac:dyDescent="0.3">
      <c r="A6" t="s">
        <v>557</v>
      </c>
      <c r="B6" t="s">
        <v>558</v>
      </c>
      <c r="C6" t="s">
        <v>20</v>
      </c>
      <c r="D6" t="s">
        <v>559</v>
      </c>
      <c r="E6" s="230">
        <v>40664.559999999998</v>
      </c>
      <c r="F6" t="s">
        <v>560</v>
      </c>
      <c r="G6" t="b">
        <v>1</v>
      </c>
      <c r="H6" t="s">
        <v>561</v>
      </c>
    </row>
    <row r="7" spans="1:8" x14ac:dyDescent="0.3">
      <c r="A7" t="s">
        <v>557</v>
      </c>
      <c r="B7" t="s">
        <v>558</v>
      </c>
      <c r="C7" t="s">
        <v>29</v>
      </c>
      <c r="D7" t="s">
        <v>559</v>
      </c>
      <c r="E7" s="230">
        <v>12285.93</v>
      </c>
      <c r="F7" t="s">
        <v>560</v>
      </c>
      <c r="G7" t="b">
        <v>1</v>
      </c>
      <c r="H7" t="s">
        <v>561</v>
      </c>
    </row>
    <row r="8" spans="1:8" x14ac:dyDescent="0.3">
      <c r="A8" t="s">
        <v>557</v>
      </c>
      <c r="B8" t="s">
        <v>558</v>
      </c>
      <c r="C8" t="s">
        <v>31</v>
      </c>
      <c r="D8" t="s">
        <v>559</v>
      </c>
      <c r="E8" s="230">
        <v>0</v>
      </c>
      <c r="F8" t="s">
        <v>560</v>
      </c>
      <c r="G8" t="b">
        <v>1</v>
      </c>
      <c r="H8" t="s">
        <v>561</v>
      </c>
    </row>
    <row r="9" spans="1:8" x14ac:dyDescent="0.3">
      <c r="A9" t="s">
        <v>557</v>
      </c>
      <c r="B9" t="s">
        <v>562</v>
      </c>
      <c r="C9" t="s">
        <v>38</v>
      </c>
      <c r="D9" t="s">
        <v>559</v>
      </c>
      <c r="E9" s="230">
        <v>7019.84</v>
      </c>
      <c r="F9" t="s">
        <v>560</v>
      </c>
      <c r="G9" t="b">
        <v>1</v>
      </c>
      <c r="H9" t="s">
        <v>561</v>
      </c>
    </row>
    <row r="10" spans="1:8" x14ac:dyDescent="0.3">
      <c r="A10" t="s">
        <v>557</v>
      </c>
      <c r="B10" t="s">
        <v>562</v>
      </c>
      <c r="C10" t="s">
        <v>40</v>
      </c>
      <c r="D10" t="s">
        <v>559</v>
      </c>
      <c r="E10" s="230">
        <v>5559.72</v>
      </c>
      <c r="F10" t="s">
        <v>560</v>
      </c>
      <c r="G10" t="b">
        <v>1</v>
      </c>
      <c r="H10" t="s">
        <v>561</v>
      </c>
    </row>
    <row r="11" spans="1:8" x14ac:dyDescent="0.3">
      <c r="A11" t="s">
        <v>557</v>
      </c>
      <c r="B11" t="s">
        <v>562</v>
      </c>
      <c r="C11" t="s">
        <v>42</v>
      </c>
      <c r="D11" t="s">
        <v>559</v>
      </c>
      <c r="E11" s="230">
        <v>701.98</v>
      </c>
      <c r="F11" t="s">
        <v>560</v>
      </c>
      <c r="G11" t="b">
        <v>1</v>
      </c>
      <c r="H11" t="s">
        <v>561</v>
      </c>
    </row>
    <row r="12" spans="1:8" x14ac:dyDescent="0.3">
      <c r="A12" t="s">
        <v>557</v>
      </c>
      <c r="B12" t="s">
        <v>563</v>
      </c>
      <c r="C12" t="s">
        <v>46</v>
      </c>
      <c r="D12" t="s">
        <v>559</v>
      </c>
      <c r="E12" s="230">
        <v>10948.29</v>
      </c>
      <c r="F12" t="s">
        <v>560</v>
      </c>
      <c r="G12" t="b">
        <v>1</v>
      </c>
      <c r="H12" t="s">
        <v>561</v>
      </c>
    </row>
    <row r="13" spans="1:8" x14ac:dyDescent="0.3">
      <c r="A13" t="s">
        <v>557</v>
      </c>
      <c r="B13" t="s">
        <v>563</v>
      </c>
      <c r="C13" t="s">
        <v>48</v>
      </c>
      <c r="D13" t="s">
        <v>559</v>
      </c>
      <c r="E13" s="230">
        <v>12307.73</v>
      </c>
      <c r="F13" t="s">
        <v>560</v>
      </c>
      <c r="G13" t="b">
        <v>1</v>
      </c>
      <c r="H13" t="s">
        <v>561</v>
      </c>
    </row>
    <row r="14" spans="1:8" x14ac:dyDescent="0.3">
      <c r="A14" t="s">
        <v>557</v>
      </c>
      <c r="B14" t="s">
        <v>563</v>
      </c>
      <c r="C14" t="s">
        <v>49</v>
      </c>
      <c r="D14" t="s">
        <v>559</v>
      </c>
      <c r="E14" s="230">
        <v>228.38</v>
      </c>
      <c r="F14" t="s">
        <v>560</v>
      </c>
      <c r="G14" t="b">
        <v>1</v>
      </c>
      <c r="H14" t="s">
        <v>561</v>
      </c>
    </row>
    <row r="15" spans="1:8" x14ac:dyDescent="0.3">
      <c r="A15" t="s">
        <v>557</v>
      </c>
      <c r="B15" t="s">
        <v>564</v>
      </c>
      <c r="C15" t="s">
        <v>565</v>
      </c>
      <c r="D15" t="s">
        <v>559</v>
      </c>
      <c r="E15" s="230">
        <v>66009.98</v>
      </c>
      <c r="F15" t="s">
        <v>560</v>
      </c>
      <c r="G15" t="b">
        <v>1</v>
      </c>
      <c r="H15" t="s">
        <v>561</v>
      </c>
    </row>
    <row r="16" spans="1:8" x14ac:dyDescent="0.3">
      <c r="A16" t="s">
        <v>557</v>
      </c>
      <c r="B16" t="s">
        <v>564</v>
      </c>
      <c r="C16" t="s">
        <v>566</v>
      </c>
      <c r="D16" t="s">
        <v>559</v>
      </c>
      <c r="E16" s="230">
        <v>22910.86</v>
      </c>
      <c r="F16" t="s">
        <v>560</v>
      </c>
      <c r="G16" t="b">
        <v>1</v>
      </c>
      <c r="H16" t="s">
        <v>561</v>
      </c>
    </row>
    <row r="17" spans="1:8" x14ac:dyDescent="0.3">
      <c r="A17" t="s">
        <v>557</v>
      </c>
      <c r="B17" t="s">
        <v>564</v>
      </c>
      <c r="C17" t="s">
        <v>567</v>
      </c>
      <c r="D17" t="s">
        <v>559</v>
      </c>
      <c r="E17" s="230">
        <v>368.58</v>
      </c>
      <c r="F17" t="s">
        <v>560</v>
      </c>
      <c r="G17" t="b">
        <v>1</v>
      </c>
      <c r="H17" t="s">
        <v>561</v>
      </c>
    </row>
    <row r="18" spans="1:8" x14ac:dyDescent="0.3">
      <c r="A18" t="s">
        <v>557</v>
      </c>
      <c r="B18" t="s">
        <v>564</v>
      </c>
      <c r="C18" t="s">
        <v>568</v>
      </c>
      <c r="D18" t="s">
        <v>559</v>
      </c>
      <c r="E18" s="230">
        <v>0</v>
      </c>
      <c r="F18" t="s">
        <v>560</v>
      </c>
      <c r="G18" t="b">
        <v>1</v>
      </c>
      <c r="H18" t="s">
        <v>561</v>
      </c>
    </row>
    <row r="19" spans="1:8" x14ac:dyDescent="0.3">
      <c r="A19" t="s">
        <v>557</v>
      </c>
      <c r="B19" t="s">
        <v>569</v>
      </c>
      <c r="C19" t="s">
        <v>58</v>
      </c>
      <c r="D19" t="s">
        <v>559</v>
      </c>
      <c r="E19" s="230">
        <v>2979.38</v>
      </c>
      <c r="F19" t="s">
        <v>560</v>
      </c>
      <c r="G19" t="b">
        <v>1</v>
      </c>
      <c r="H19" t="s">
        <v>561</v>
      </c>
    </row>
    <row r="20" spans="1:8" x14ac:dyDescent="0.3">
      <c r="A20" t="s">
        <v>557</v>
      </c>
      <c r="B20" t="s">
        <v>569</v>
      </c>
      <c r="C20" t="s">
        <v>59</v>
      </c>
      <c r="D20" t="s">
        <v>559</v>
      </c>
      <c r="E20" s="230">
        <v>444.68</v>
      </c>
      <c r="F20" t="s">
        <v>560</v>
      </c>
      <c r="G20" t="b">
        <v>1</v>
      </c>
      <c r="H20" t="s">
        <v>561</v>
      </c>
    </row>
    <row r="21" spans="1:8" x14ac:dyDescent="0.3">
      <c r="A21" t="s">
        <v>557</v>
      </c>
      <c r="B21" t="s">
        <v>569</v>
      </c>
      <c r="C21" t="s">
        <v>62</v>
      </c>
      <c r="D21" t="s">
        <v>559</v>
      </c>
      <c r="E21" s="230">
        <v>0</v>
      </c>
      <c r="F21" t="s">
        <v>560</v>
      </c>
      <c r="G21" t="b">
        <v>1</v>
      </c>
      <c r="H21" t="s">
        <v>561</v>
      </c>
    </row>
    <row r="22" spans="1:8" x14ac:dyDescent="0.3">
      <c r="A22" t="s">
        <v>557</v>
      </c>
      <c r="B22" t="s">
        <v>570</v>
      </c>
      <c r="C22" t="s">
        <v>64</v>
      </c>
      <c r="D22" t="s">
        <v>559</v>
      </c>
      <c r="E22" s="230">
        <v>0</v>
      </c>
      <c r="F22" t="s">
        <v>560</v>
      </c>
      <c r="G22" t="b">
        <v>1</v>
      </c>
      <c r="H22" t="s">
        <v>561</v>
      </c>
    </row>
    <row r="23" spans="1:8" x14ac:dyDescent="0.3">
      <c r="A23" t="s">
        <v>557</v>
      </c>
      <c r="B23" t="s">
        <v>569</v>
      </c>
      <c r="C23" t="s">
        <v>66</v>
      </c>
      <c r="D23" t="s">
        <v>559</v>
      </c>
      <c r="E23" s="230">
        <v>0</v>
      </c>
      <c r="F23" t="s">
        <v>560</v>
      </c>
      <c r="G23" t="b">
        <v>1</v>
      </c>
      <c r="H23" t="s">
        <v>561</v>
      </c>
    </row>
    <row r="24" spans="1:8" x14ac:dyDescent="0.3">
      <c r="A24" t="s">
        <v>557</v>
      </c>
      <c r="B24" t="s">
        <v>569</v>
      </c>
      <c r="C24" t="s">
        <v>68</v>
      </c>
      <c r="D24" t="s">
        <v>559</v>
      </c>
      <c r="E24" s="230">
        <v>1556.39</v>
      </c>
      <c r="F24" t="s">
        <v>560</v>
      </c>
      <c r="G24" t="b">
        <v>1</v>
      </c>
      <c r="H24" t="s">
        <v>561</v>
      </c>
    </row>
    <row r="25" spans="1:8" x14ac:dyDescent="0.3">
      <c r="A25" t="s">
        <v>557</v>
      </c>
      <c r="B25" t="s">
        <v>569</v>
      </c>
      <c r="C25" t="s">
        <v>69</v>
      </c>
      <c r="D25" t="s">
        <v>559</v>
      </c>
      <c r="E25" s="230">
        <v>0</v>
      </c>
      <c r="F25" t="s">
        <v>560</v>
      </c>
      <c r="G25" t="b">
        <v>1</v>
      </c>
      <c r="H25" t="s">
        <v>561</v>
      </c>
    </row>
    <row r="26" spans="1:8" x14ac:dyDescent="0.3">
      <c r="A26" t="s">
        <v>557</v>
      </c>
      <c r="B26" t="s">
        <v>570</v>
      </c>
      <c r="C26" t="s">
        <v>73</v>
      </c>
      <c r="D26" t="s">
        <v>559</v>
      </c>
      <c r="E26" s="230">
        <v>4000</v>
      </c>
      <c r="F26" t="s">
        <v>560</v>
      </c>
      <c r="G26" t="b">
        <v>1</v>
      </c>
      <c r="H26" t="s">
        <v>561</v>
      </c>
    </row>
    <row r="27" spans="1:8" x14ac:dyDescent="0.3">
      <c r="A27" t="s">
        <v>557</v>
      </c>
      <c r="B27" t="s">
        <v>571</v>
      </c>
      <c r="C27" t="s">
        <v>75</v>
      </c>
      <c r="D27" t="s">
        <v>559</v>
      </c>
      <c r="E27" s="230">
        <v>221.01</v>
      </c>
      <c r="F27" t="s">
        <v>560</v>
      </c>
      <c r="G27" t="b">
        <v>1</v>
      </c>
      <c r="H27" t="s">
        <v>561</v>
      </c>
    </row>
    <row r="28" spans="1:8" x14ac:dyDescent="0.3">
      <c r="A28" t="s">
        <v>557</v>
      </c>
      <c r="B28" t="s">
        <v>571</v>
      </c>
      <c r="C28" t="s">
        <v>78</v>
      </c>
      <c r="D28" t="s">
        <v>559</v>
      </c>
      <c r="E28" s="230">
        <v>235.75</v>
      </c>
      <c r="F28" t="s">
        <v>560</v>
      </c>
      <c r="G28" t="b">
        <v>1</v>
      </c>
      <c r="H28" t="s">
        <v>561</v>
      </c>
    </row>
    <row r="29" spans="1:8" x14ac:dyDescent="0.3">
      <c r="A29" t="s">
        <v>557</v>
      </c>
      <c r="B29" t="s">
        <v>571</v>
      </c>
      <c r="C29" t="s">
        <v>80</v>
      </c>
      <c r="D29" t="s">
        <v>559</v>
      </c>
      <c r="E29" s="230">
        <v>73.67</v>
      </c>
      <c r="F29" t="s">
        <v>560</v>
      </c>
      <c r="G29" t="b">
        <v>1</v>
      </c>
      <c r="H29" t="s">
        <v>561</v>
      </c>
    </row>
    <row r="30" spans="1:8" x14ac:dyDescent="0.3">
      <c r="A30" t="s">
        <v>557</v>
      </c>
      <c r="B30" t="s">
        <v>571</v>
      </c>
      <c r="C30" t="s">
        <v>82</v>
      </c>
      <c r="D30" t="s">
        <v>559</v>
      </c>
      <c r="E30" s="230">
        <v>0</v>
      </c>
      <c r="F30" t="s">
        <v>560</v>
      </c>
      <c r="G30" t="b">
        <v>1</v>
      </c>
      <c r="H30" t="s">
        <v>561</v>
      </c>
    </row>
    <row r="31" spans="1:8" x14ac:dyDescent="0.3">
      <c r="A31" t="s">
        <v>557</v>
      </c>
      <c r="B31" t="s">
        <v>571</v>
      </c>
      <c r="C31" t="s">
        <v>84</v>
      </c>
      <c r="D31" t="s">
        <v>559</v>
      </c>
      <c r="E31" s="230">
        <v>0</v>
      </c>
      <c r="F31" t="s">
        <v>560</v>
      </c>
      <c r="G31" t="b">
        <v>1</v>
      </c>
      <c r="H31" t="s">
        <v>561</v>
      </c>
    </row>
    <row r="32" spans="1:8" x14ac:dyDescent="0.3">
      <c r="A32" t="s">
        <v>557</v>
      </c>
      <c r="B32" t="s">
        <v>571</v>
      </c>
      <c r="C32" t="s">
        <v>86</v>
      </c>
      <c r="D32" t="s">
        <v>559</v>
      </c>
      <c r="E32" s="230">
        <v>0</v>
      </c>
      <c r="F32" t="s">
        <v>560</v>
      </c>
      <c r="G32" t="b">
        <v>1</v>
      </c>
      <c r="H32" t="s">
        <v>561</v>
      </c>
    </row>
    <row r="33" spans="1:8" x14ac:dyDescent="0.3">
      <c r="A33" t="s">
        <v>557</v>
      </c>
      <c r="B33" t="s">
        <v>571</v>
      </c>
      <c r="C33" t="s">
        <v>87</v>
      </c>
      <c r="D33" t="s">
        <v>559</v>
      </c>
      <c r="E33" s="230">
        <v>0</v>
      </c>
      <c r="F33" t="s">
        <v>560</v>
      </c>
      <c r="G33" t="b">
        <v>1</v>
      </c>
      <c r="H33" t="s">
        <v>561</v>
      </c>
    </row>
    <row r="34" spans="1:8" x14ac:dyDescent="0.3">
      <c r="A34" t="s">
        <v>557</v>
      </c>
      <c r="B34" t="s">
        <v>571</v>
      </c>
      <c r="C34" t="s">
        <v>88</v>
      </c>
      <c r="D34" t="s">
        <v>559</v>
      </c>
      <c r="E34" s="230">
        <v>0</v>
      </c>
      <c r="F34" t="s">
        <v>560</v>
      </c>
      <c r="G34" t="b">
        <v>1</v>
      </c>
      <c r="H34" t="s">
        <v>561</v>
      </c>
    </row>
    <row r="35" spans="1:8" x14ac:dyDescent="0.3">
      <c r="A35" t="s">
        <v>557</v>
      </c>
      <c r="B35" t="s">
        <v>571</v>
      </c>
      <c r="C35" t="s">
        <v>89</v>
      </c>
      <c r="D35" t="s">
        <v>559</v>
      </c>
      <c r="E35" s="230">
        <v>0</v>
      </c>
      <c r="F35" t="s">
        <v>560</v>
      </c>
      <c r="G35" t="b">
        <v>1</v>
      </c>
      <c r="H35" t="s">
        <v>561</v>
      </c>
    </row>
    <row r="36" spans="1:8" x14ac:dyDescent="0.3">
      <c r="A36" t="s">
        <v>557</v>
      </c>
      <c r="B36" t="s">
        <v>571</v>
      </c>
      <c r="C36" t="s">
        <v>91</v>
      </c>
      <c r="D36" t="s">
        <v>559</v>
      </c>
      <c r="E36" s="230">
        <v>0</v>
      </c>
      <c r="F36" t="s">
        <v>560</v>
      </c>
      <c r="G36" t="b">
        <v>1</v>
      </c>
      <c r="H36" t="s">
        <v>561</v>
      </c>
    </row>
    <row r="37" spans="1:8" x14ac:dyDescent="0.3">
      <c r="A37" t="s">
        <v>557</v>
      </c>
      <c r="B37" t="s">
        <v>571</v>
      </c>
      <c r="C37" t="s">
        <v>93</v>
      </c>
      <c r="D37" t="s">
        <v>559</v>
      </c>
      <c r="E37" s="230">
        <v>0</v>
      </c>
      <c r="F37" t="s">
        <v>560</v>
      </c>
      <c r="G37" t="b">
        <v>1</v>
      </c>
      <c r="H37" t="s">
        <v>561</v>
      </c>
    </row>
    <row r="38" spans="1:8" x14ac:dyDescent="0.3">
      <c r="A38" t="s">
        <v>557</v>
      </c>
      <c r="B38" t="s">
        <v>571</v>
      </c>
      <c r="C38" t="s">
        <v>96</v>
      </c>
      <c r="D38" t="s">
        <v>559</v>
      </c>
      <c r="E38" s="230">
        <v>0</v>
      </c>
      <c r="F38" t="s">
        <v>560</v>
      </c>
      <c r="G38" t="b">
        <v>1</v>
      </c>
      <c r="H38" t="s">
        <v>561</v>
      </c>
    </row>
    <row r="39" spans="1:8" x14ac:dyDescent="0.3">
      <c r="A39" t="s">
        <v>557</v>
      </c>
      <c r="B39" t="s">
        <v>571</v>
      </c>
      <c r="C39" t="s">
        <v>98</v>
      </c>
      <c r="D39" t="s">
        <v>559</v>
      </c>
      <c r="E39" s="230">
        <v>0</v>
      </c>
      <c r="F39" t="s">
        <v>560</v>
      </c>
      <c r="G39" t="b">
        <v>1</v>
      </c>
      <c r="H39" t="s">
        <v>561</v>
      </c>
    </row>
    <row r="40" spans="1:8" x14ac:dyDescent="0.3">
      <c r="A40" t="s">
        <v>557</v>
      </c>
      <c r="B40" t="s">
        <v>571</v>
      </c>
      <c r="C40" t="s">
        <v>100</v>
      </c>
      <c r="D40" t="s">
        <v>559</v>
      </c>
      <c r="E40" s="230">
        <v>0</v>
      </c>
      <c r="F40" t="s">
        <v>560</v>
      </c>
      <c r="G40" t="b">
        <v>1</v>
      </c>
      <c r="H40" t="s">
        <v>561</v>
      </c>
    </row>
    <row r="41" spans="1:8" x14ac:dyDescent="0.3">
      <c r="A41" t="s">
        <v>557</v>
      </c>
      <c r="B41" t="s">
        <v>571</v>
      </c>
      <c r="C41" t="s">
        <v>102</v>
      </c>
      <c r="D41" t="s">
        <v>559</v>
      </c>
      <c r="E41" s="230">
        <v>0</v>
      </c>
      <c r="F41" t="s">
        <v>560</v>
      </c>
      <c r="G41" t="b">
        <v>1</v>
      </c>
      <c r="H41" t="s">
        <v>561</v>
      </c>
    </row>
    <row r="42" spans="1:8" x14ac:dyDescent="0.3">
      <c r="A42" t="s">
        <v>557</v>
      </c>
      <c r="B42" t="s">
        <v>571</v>
      </c>
      <c r="C42" t="s">
        <v>103</v>
      </c>
      <c r="D42" t="s">
        <v>559</v>
      </c>
      <c r="E42" s="230">
        <v>0</v>
      </c>
      <c r="F42" t="s">
        <v>560</v>
      </c>
      <c r="G42" t="b">
        <v>1</v>
      </c>
      <c r="H42" t="s">
        <v>561</v>
      </c>
    </row>
    <row r="43" spans="1:8" x14ac:dyDescent="0.3">
      <c r="A43" t="s">
        <v>557</v>
      </c>
      <c r="B43" t="s">
        <v>571</v>
      </c>
      <c r="C43" t="s">
        <v>104</v>
      </c>
      <c r="D43" t="s">
        <v>559</v>
      </c>
      <c r="E43" s="230">
        <v>0</v>
      </c>
      <c r="F43" t="s">
        <v>560</v>
      </c>
      <c r="G43" t="b">
        <v>1</v>
      </c>
      <c r="H43" t="s">
        <v>561</v>
      </c>
    </row>
    <row r="44" spans="1:8" x14ac:dyDescent="0.3">
      <c r="A44" t="s">
        <v>557</v>
      </c>
      <c r="B44" t="s">
        <v>571</v>
      </c>
      <c r="C44" t="s">
        <v>105</v>
      </c>
      <c r="D44" t="s">
        <v>559</v>
      </c>
      <c r="E44" s="230">
        <v>0</v>
      </c>
      <c r="F44" t="s">
        <v>560</v>
      </c>
      <c r="G44" t="b">
        <v>1</v>
      </c>
      <c r="H44" t="s">
        <v>561</v>
      </c>
    </row>
    <row r="45" spans="1:8" x14ac:dyDescent="0.3">
      <c r="A45" t="s">
        <v>557</v>
      </c>
      <c r="B45" t="s">
        <v>571</v>
      </c>
      <c r="C45" t="s">
        <v>108</v>
      </c>
      <c r="D45" t="s">
        <v>559</v>
      </c>
      <c r="E45" s="230">
        <v>0</v>
      </c>
      <c r="F45" t="s">
        <v>560</v>
      </c>
      <c r="G45" t="b">
        <v>1</v>
      </c>
      <c r="H45" t="s">
        <v>561</v>
      </c>
    </row>
    <row r="46" spans="1:8" x14ac:dyDescent="0.3">
      <c r="A46" t="s">
        <v>557</v>
      </c>
      <c r="B46" t="s">
        <v>571</v>
      </c>
      <c r="C46" t="s">
        <v>109</v>
      </c>
      <c r="D46" t="s">
        <v>559</v>
      </c>
      <c r="E46" s="230">
        <v>0</v>
      </c>
      <c r="F46" t="s">
        <v>560</v>
      </c>
      <c r="G46" t="b">
        <v>1</v>
      </c>
      <c r="H46" t="s">
        <v>561</v>
      </c>
    </row>
    <row r="47" spans="1:8" x14ac:dyDescent="0.3">
      <c r="A47" t="s">
        <v>557</v>
      </c>
      <c r="B47" t="s">
        <v>572</v>
      </c>
      <c r="C47" t="s">
        <v>112</v>
      </c>
      <c r="D47" t="s">
        <v>559</v>
      </c>
      <c r="E47" s="230">
        <v>30071.97</v>
      </c>
      <c r="F47" t="s">
        <v>560</v>
      </c>
      <c r="G47" t="b">
        <v>1</v>
      </c>
      <c r="H47" t="s">
        <v>561</v>
      </c>
    </row>
    <row r="48" spans="1:8" x14ac:dyDescent="0.3">
      <c r="A48" t="s">
        <v>557</v>
      </c>
      <c r="B48" t="s">
        <v>562</v>
      </c>
      <c r="C48" t="s">
        <v>116</v>
      </c>
      <c r="D48" t="s">
        <v>559</v>
      </c>
      <c r="E48" s="230">
        <v>5999.73</v>
      </c>
      <c r="F48" t="s">
        <v>560</v>
      </c>
      <c r="G48" t="b">
        <v>1</v>
      </c>
      <c r="H48" t="s">
        <v>561</v>
      </c>
    </row>
    <row r="49" spans="1:8" x14ac:dyDescent="0.3">
      <c r="A49" t="s">
        <v>557</v>
      </c>
      <c r="B49" t="s">
        <v>562</v>
      </c>
      <c r="C49" t="s">
        <v>118</v>
      </c>
      <c r="D49" t="s">
        <v>559</v>
      </c>
      <c r="E49" s="230">
        <v>3194.34</v>
      </c>
      <c r="F49" t="s">
        <v>560</v>
      </c>
      <c r="G49" t="b">
        <v>1</v>
      </c>
      <c r="H49" t="s">
        <v>561</v>
      </c>
    </row>
    <row r="50" spans="1:8" x14ac:dyDescent="0.3">
      <c r="A50" t="s">
        <v>557</v>
      </c>
      <c r="B50" t="s">
        <v>562</v>
      </c>
      <c r="C50" t="s">
        <v>120</v>
      </c>
      <c r="D50" t="s">
        <v>559</v>
      </c>
      <c r="E50" s="230">
        <v>0</v>
      </c>
      <c r="F50" t="s">
        <v>560</v>
      </c>
      <c r="G50" t="b">
        <v>1</v>
      </c>
      <c r="H50" t="s">
        <v>561</v>
      </c>
    </row>
    <row r="51" spans="1:8" x14ac:dyDescent="0.3">
      <c r="A51" t="s">
        <v>557</v>
      </c>
      <c r="B51" t="s">
        <v>562</v>
      </c>
      <c r="C51" t="s">
        <v>122</v>
      </c>
      <c r="D51" t="s">
        <v>559</v>
      </c>
      <c r="E51" s="230">
        <v>0</v>
      </c>
      <c r="F51" t="s">
        <v>560</v>
      </c>
      <c r="G51" t="b">
        <v>1</v>
      </c>
      <c r="H51" t="s">
        <v>561</v>
      </c>
    </row>
    <row r="52" spans="1:8" x14ac:dyDescent="0.3">
      <c r="A52" t="s">
        <v>557</v>
      </c>
      <c r="B52" t="s">
        <v>570</v>
      </c>
      <c r="C52" t="s">
        <v>573</v>
      </c>
      <c r="D52" t="s">
        <v>559</v>
      </c>
      <c r="E52" s="230">
        <v>33850</v>
      </c>
      <c r="F52" t="s">
        <v>560</v>
      </c>
      <c r="G52" t="b">
        <v>1</v>
      </c>
      <c r="H52" t="s">
        <v>561</v>
      </c>
    </row>
    <row r="53" spans="1:8" x14ac:dyDescent="0.3">
      <c r="A53" t="s">
        <v>557</v>
      </c>
      <c r="B53" t="s">
        <v>574</v>
      </c>
      <c r="C53" t="s">
        <v>575</v>
      </c>
      <c r="D53" t="s">
        <v>559</v>
      </c>
      <c r="E53" s="230">
        <v>35043.31</v>
      </c>
      <c r="F53" t="s">
        <v>560</v>
      </c>
      <c r="G53" t="b">
        <v>1</v>
      </c>
      <c r="H53" t="s">
        <v>561</v>
      </c>
    </row>
    <row r="54" spans="1:8" x14ac:dyDescent="0.3">
      <c r="A54" t="s">
        <v>557</v>
      </c>
      <c r="B54" t="s">
        <v>576</v>
      </c>
      <c r="C54" t="s">
        <v>203</v>
      </c>
      <c r="D54" t="s">
        <v>559</v>
      </c>
      <c r="E54" s="230">
        <v>10587.76</v>
      </c>
      <c r="F54" t="s">
        <v>560</v>
      </c>
      <c r="G54" t="b">
        <v>1</v>
      </c>
      <c r="H54" t="s">
        <v>561</v>
      </c>
    </row>
    <row r="55" spans="1:8" x14ac:dyDescent="0.3">
      <c r="A55" t="s">
        <v>557</v>
      </c>
      <c r="B55" t="s">
        <v>577</v>
      </c>
      <c r="C55" t="s">
        <v>206</v>
      </c>
      <c r="D55" t="s">
        <v>559</v>
      </c>
      <c r="E55" s="230">
        <v>5344.19</v>
      </c>
      <c r="F55" t="s">
        <v>560</v>
      </c>
      <c r="G55" t="b">
        <v>1</v>
      </c>
      <c r="H55" t="s">
        <v>561</v>
      </c>
    </row>
    <row r="56" spans="1:8" x14ac:dyDescent="0.3">
      <c r="A56" t="s">
        <v>557</v>
      </c>
      <c r="B56" t="s">
        <v>577</v>
      </c>
      <c r="C56" t="s">
        <v>209</v>
      </c>
      <c r="D56" t="s">
        <v>559</v>
      </c>
      <c r="E56" s="230">
        <v>0</v>
      </c>
      <c r="F56" t="s">
        <v>560</v>
      </c>
      <c r="G56" t="b">
        <v>1</v>
      </c>
      <c r="H56" t="s">
        <v>561</v>
      </c>
    </row>
    <row r="57" spans="1:8" x14ac:dyDescent="0.3">
      <c r="A57" t="s">
        <v>557</v>
      </c>
      <c r="B57" t="s">
        <v>577</v>
      </c>
      <c r="C57" t="s">
        <v>211</v>
      </c>
      <c r="D57" t="s">
        <v>559</v>
      </c>
      <c r="E57" s="230">
        <v>0</v>
      </c>
      <c r="F57" t="s">
        <v>560</v>
      </c>
      <c r="G57" t="b">
        <v>1</v>
      </c>
      <c r="H57" t="s">
        <v>561</v>
      </c>
    </row>
    <row r="58" spans="1:8" x14ac:dyDescent="0.3">
      <c r="A58" t="s">
        <v>557</v>
      </c>
      <c r="B58" t="s">
        <v>577</v>
      </c>
      <c r="C58" t="s">
        <v>213</v>
      </c>
      <c r="D58" t="s">
        <v>559</v>
      </c>
      <c r="E58" s="230">
        <v>3127.86</v>
      </c>
      <c r="F58" t="s">
        <v>560</v>
      </c>
      <c r="G58" t="b">
        <v>1</v>
      </c>
      <c r="H58" t="s">
        <v>561</v>
      </c>
    </row>
    <row r="59" spans="1:8" x14ac:dyDescent="0.3">
      <c r="A59" t="s">
        <v>557</v>
      </c>
      <c r="B59" t="s">
        <v>577</v>
      </c>
      <c r="C59" t="s">
        <v>215</v>
      </c>
      <c r="D59" t="s">
        <v>559</v>
      </c>
      <c r="E59" s="230">
        <v>1806.95</v>
      </c>
      <c r="F59" t="s">
        <v>560</v>
      </c>
      <c r="G59" t="b">
        <v>1</v>
      </c>
      <c r="H59" t="s">
        <v>561</v>
      </c>
    </row>
    <row r="60" spans="1:8" x14ac:dyDescent="0.3">
      <c r="A60" t="s">
        <v>557</v>
      </c>
      <c r="B60" t="s">
        <v>577</v>
      </c>
      <c r="C60" t="s">
        <v>217</v>
      </c>
      <c r="D60" t="s">
        <v>559</v>
      </c>
      <c r="E60" s="230">
        <v>27.84</v>
      </c>
      <c r="F60" t="s">
        <v>560</v>
      </c>
      <c r="G60" t="b">
        <v>1</v>
      </c>
      <c r="H60" t="s">
        <v>561</v>
      </c>
    </row>
    <row r="61" spans="1:8" x14ac:dyDescent="0.3">
      <c r="A61" t="s">
        <v>557</v>
      </c>
      <c r="B61" t="s">
        <v>577</v>
      </c>
      <c r="C61" t="s">
        <v>219</v>
      </c>
      <c r="D61" t="s">
        <v>559</v>
      </c>
      <c r="E61" s="230">
        <v>16.079999999999998</v>
      </c>
      <c r="F61" t="s">
        <v>560</v>
      </c>
      <c r="G61" t="b">
        <v>1</v>
      </c>
      <c r="H61" t="s">
        <v>561</v>
      </c>
    </row>
    <row r="62" spans="1:8" x14ac:dyDescent="0.3">
      <c r="A62" t="s">
        <v>557</v>
      </c>
      <c r="B62" t="s">
        <v>577</v>
      </c>
      <c r="C62" t="s">
        <v>221</v>
      </c>
      <c r="D62" t="s">
        <v>559</v>
      </c>
      <c r="E62" s="230">
        <v>0</v>
      </c>
      <c r="F62" t="s">
        <v>560</v>
      </c>
      <c r="G62" t="b">
        <v>1</v>
      </c>
      <c r="H62" t="s">
        <v>561</v>
      </c>
    </row>
    <row r="63" spans="1:8" x14ac:dyDescent="0.3">
      <c r="A63" t="s">
        <v>557</v>
      </c>
      <c r="B63" t="s">
        <v>577</v>
      </c>
      <c r="C63" t="s">
        <v>223</v>
      </c>
      <c r="D63" t="s">
        <v>559</v>
      </c>
      <c r="E63" s="230">
        <v>0</v>
      </c>
      <c r="F63" t="s">
        <v>560</v>
      </c>
      <c r="G63" t="b">
        <v>1</v>
      </c>
      <c r="H63" t="s">
        <v>561</v>
      </c>
    </row>
    <row r="64" spans="1:8" x14ac:dyDescent="0.3">
      <c r="A64" t="s">
        <v>557</v>
      </c>
      <c r="B64" t="s">
        <v>577</v>
      </c>
      <c r="C64" t="s">
        <v>225</v>
      </c>
      <c r="D64" t="s">
        <v>559</v>
      </c>
      <c r="E64" s="230">
        <v>976.73</v>
      </c>
      <c r="F64" t="s">
        <v>560</v>
      </c>
      <c r="G64" t="b">
        <v>1</v>
      </c>
      <c r="H64" t="s">
        <v>561</v>
      </c>
    </row>
    <row r="65" spans="1:8" x14ac:dyDescent="0.3">
      <c r="A65" t="s">
        <v>557</v>
      </c>
      <c r="B65" t="s">
        <v>577</v>
      </c>
      <c r="C65" t="s">
        <v>227</v>
      </c>
      <c r="D65" t="s">
        <v>559</v>
      </c>
      <c r="E65" s="230">
        <v>0</v>
      </c>
      <c r="F65" t="s">
        <v>560</v>
      </c>
      <c r="G65" t="b">
        <v>1</v>
      </c>
      <c r="H65" t="s">
        <v>561</v>
      </c>
    </row>
    <row r="66" spans="1:8" x14ac:dyDescent="0.3">
      <c r="A66" t="s">
        <v>557</v>
      </c>
      <c r="B66" t="s">
        <v>577</v>
      </c>
      <c r="C66" t="s">
        <v>229</v>
      </c>
      <c r="D66" t="s">
        <v>559</v>
      </c>
      <c r="E66" s="230">
        <v>0</v>
      </c>
      <c r="F66" t="s">
        <v>560</v>
      </c>
      <c r="G66" t="b">
        <v>1</v>
      </c>
      <c r="H66" t="s">
        <v>561</v>
      </c>
    </row>
    <row r="67" spans="1:8" x14ac:dyDescent="0.3">
      <c r="A67" t="s">
        <v>557</v>
      </c>
      <c r="B67" t="s">
        <v>577</v>
      </c>
      <c r="C67" t="s">
        <v>231</v>
      </c>
      <c r="D67" t="s">
        <v>559</v>
      </c>
      <c r="E67" s="230">
        <v>1687.08</v>
      </c>
      <c r="F67" t="s">
        <v>560</v>
      </c>
      <c r="G67" t="b">
        <v>1</v>
      </c>
      <c r="H67" t="s">
        <v>561</v>
      </c>
    </row>
    <row r="68" spans="1:8" x14ac:dyDescent="0.3">
      <c r="A68" t="s">
        <v>557</v>
      </c>
      <c r="B68" t="s">
        <v>577</v>
      </c>
      <c r="C68" t="s">
        <v>234</v>
      </c>
      <c r="D68" t="s">
        <v>559</v>
      </c>
      <c r="E68" s="230">
        <v>238.93</v>
      </c>
      <c r="F68" t="s">
        <v>560</v>
      </c>
      <c r="G68" t="b">
        <v>1</v>
      </c>
      <c r="H68" t="s">
        <v>561</v>
      </c>
    </row>
    <row r="69" spans="1:8" x14ac:dyDescent="0.3">
      <c r="A69" t="s">
        <v>557</v>
      </c>
      <c r="B69" t="s">
        <v>577</v>
      </c>
      <c r="C69" t="s">
        <v>236</v>
      </c>
      <c r="D69" t="s">
        <v>559</v>
      </c>
      <c r="E69" s="230">
        <v>0</v>
      </c>
      <c r="F69" t="s">
        <v>560</v>
      </c>
      <c r="G69" t="b">
        <v>1</v>
      </c>
      <c r="H69" t="s">
        <v>561</v>
      </c>
    </row>
    <row r="70" spans="1:8" x14ac:dyDescent="0.3">
      <c r="A70" t="s">
        <v>557</v>
      </c>
      <c r="B70" t="s">
        <v>577</v>
      </c>
      <c r="C70" t="s">
        <v>237</v>
      </c>
      <c r="D70" t="s">
        <v>559</v>
      </c>
      <c r="E70" s="230">
        <v>0</v>
      </c>
      <c r="F70" t="s">
        <v>560</v>
      </c>
      <c r="G70" t="b">
        <v>1</v>
      </c>
      <c r="H70" t="s">
        <v>561</v>
      </c>
    </row>
    <row r="71" spans="1:8" x14ac:dyDescent="0.3">
      <c r="A71" t="s">
        <v>557</v>
      </c>
      <c r="B71" t="s">
        <v>578</v>
      </c>
      <c r="C71" t="s">
        <v>239</v>
      </c>
      <c r="D71" t="s">
        <v>559</v>
      </c>
      <c r="E71" s="230">
        <v>4500</v>
      </c>
      <c r="F71" t="s">
        <v>560</v>
      </c>
      <c r="G71" t="b">
        <v>1</v>
      </c>
      <c r="H71" t="s">
        <v>561</v>
      </c>
    </row>
    <row r="72" spans="1:8" x14ac:dyDescent="0.3">
      <c r="A72" t="s">
        <v>557</v>
      </c>
      <c r="B72" t="s">
        <v>578</v>
      </c>
      <c r="C72" t="s">
        <v>240</v>
      </c>
      <c r="D72" t="s">
        <v>559</v>
      </c>
      <c r="E72" s="230">
        <v>0</v>
      </c>
      <c r="F72" t="s">
        <v>560</v>
      </c>
      <c r="G72" t="b">
        <v>1</v>
      </c>
      <c r="H72" t="s">
        <v>561</v>
      </c>
    </row>
    <row r="73" spans="1:8" x14ac:dyDescent="0.3">
      <c r="A73" t="s">
        <v>557</v>
      </c>
      <c r="B73" t="s">
        <v>578</v>
      </c>
      <c r="C73" t="s">
        <v>241</v>
      </c>
      <c r="D73" t="s">
        <v>559</v>
      </c>
      <c r="E73" s="230">
        <v>0</v>
      </c>
      <c r="F73" t="s">
        <v>560</v>
      </c>
      <c r="G73" t="b">
        <v>1</v>
      </c>
      <c r="H73" t="s">
        <v>561</v>
      </c>
    </row>
    <row r="74" spans="1:8" x14ac:dyDescent="0.3">
      <c r="A74" t="s">
        <v>557</v>
      </c>
      <c r="B74" t="s">
        <v>578</v>
      </c>
      <c r="C74" t="s">
        <v>242</v>
      </c>
      <c r="D74" t="s">
        <v>559</v>
      </c>
      <c r="E74" s="230">
        <v>150</v>
      </c>
      <c r="F74" t="s">
        <v>560</v>
      </c>
      <c r="G74" t="b">
        <v>1</v>
      </c>
      <c r="H74" t="s">
        <v>561</v>
      </c>
    </row>
    <row r="75" spans="1:8" x14ac:dyDescent="0.3">
      <c r="A75" t="s">
        <v>557</v>
      </c>
      <c r="B75" t="s">
        <v>578</v>
      </c>
      <c r="C75" t="s">
        <v>244</v>
      </c>
      <c r="D75" t="s">
        <v>559</v>
      </c>
      <c r="E75" s="230">
        <v>0</v>
      </c>
      <c r="F75" t="s">
        <v>560</v>
      </c>
      <c r="G75" t="b">
        <v>1</v>
      </c>
      <c r="H75" t="s">
        <v>561</v>
      </c>
    </row>
    <row r="76" spans="1:8" x14ac:dyDescent="0.3">
      <c r="A76" t="s">
        <v>557</v>
      </c>
      <c r="B76" t="s">
        <v>578</v>
      </c>
      <c r="C76" t="s">
        <v>246</v>
      </c>
      <c r="D76" t="s">
        <v>559</v>
      </c>
      <c r="E76" s="230">
        <v>0</v>
      </c>
      <c r="F76" t="s">
        <v>560</v>
      </c>
      <c r="G76" t="b">
        <v>1</v>
      </c>
      <c r="H76" t="s">
        <v>561</v>
      </c>
    </row>
    <row r="77" spans="1:8" x14ac:dyDescent="0.3">
      <c r="A77" t="s">
        <v>557</v>
      </c>
      <c r="B77" t="s">
        <v>578</v>
      </c>
      <c r="C77" t="s">
        <v>247</v>
      </c>
      <c r="D77" t="s">
        <v>559</v>
      </c>
      <c r="E77" s="230">
        <v>74.16</v>
      </c>
      <c r="F77" t="s">
        <v>560</v>
      </c>
      <c r="G77" t="b">
        <v>1</v>
      </c>
      <c r="H77" t="s">
        <v>561</v>
      </c>
    </row>
    <row r="78" spans="1:8" x14ac:dyDescent="0.3">
      <c r="A78" t="s">
        <v>557</v>
      </c>
      <c r="B78" t="s">
        <v>578</v>
      </c>
      <c r="C78" t="s">
        <v>249</v>
      </c>
      <c r="D78" t="s">
        <v>559</v>
      </c>
      <c r="E78" s="230">
        <v>0</v>
      </c>
      <c r="F78" t="s">
        <v>560</v>
      </c>
      <c r="G78" t="b">
        <v>1</v>
      </c>
      <c r="H78" t="s">
        <v>561</v>
      </c>
    </row>
    <row r="79" spans="1:8" x14ac:dyDescent="0.3">
      <c r="A79" t="s">
        <v>557</v>
      </c>
      <c r="B79" t="s">
        <v>578</v>
      </c>
      <c r="C79" t="s">
        <v>250</v>
      </c>
      <c r="D79" t="s">
        <v>559</v>
      </c>
      <c r="E79" s="230">
        <v>0</v>
      </c>
      <c r="F79" t="s">
        <v>560</v>
      </c>
      <c r="G79" t="b">
        <v>1</v>
      </c>
      <c r="H79" t="s">
        <v>561</v>
      </c>
    </row>
    <row r="80" spans="1:8" x14ac:dyDescent="0.3">
      <c r="A80" t="s">
        <v>557</v>
      </c>
      <c r="B80" t="s">
        <v>578</v>
      </c>
      <c r="C80" t="s">
        <v>251</v>
      </c>
      <c r="D80" t="s">
        <v>559</v>
      </c>
      <c r="E80" s="230">
        <v>0</v>
      </c>
      <c r="F80" t="s">
        <v>560</v>
      </c>
      <c r="G80" t="b">
        <v>1</v>
      </c>
      <c r="H80" t="s">
        <v>561</v>
      </c>
    </row>
    <row r="81" spans="1:8" x14ac:dyDescent="0.3">
      <c r="A81" t="s">
        <v>557</v>
      </c>
      <c r="B81" t="s">
        <v>578</v>
      </c>
      <c r="C81" t="s">
        <v>252</v>
      </c>
      <c r="D81" t="s">
        <v>559</v>
      </c>
      <c r="E81" s="230">
        <v>16346.4</v>
      </c>
      <c r="F81" t="s">
        <v>560</v>
      </c>
      <c r="G81" t="b">
        <v>1</v>
      </c>
      <c r="H81" t="s">
        <v>561</v>
      </c>
    </row>
    <row r="82" spans="1:8" x14ac:dyDescent="0.3">
      <c r="A82" t="s">
        <v>557</v>
      </c>
      <c r="B82" t="s">
        <v>579</v>
      </c>
      <c r="C82" t="s">
        <v>253</v>
      </c>
      <c r="D82" t="s">
        <v>559</v>
      </c>
      <c r="E82" s="230">
        <v>0</v>
      </c>
      <c r="F82" t="s">
        <v>560</v>
      </c>
      <c r="G82" t="b">
        <v>1</v>
      </c>
      <c r="H82" t="s">
        <v>561</v>
      </c>
    </row>
    <row r="83" spans="1:8" x14ac:dyDescent="0.3">
      <c r="A83" t="s">
        <v>557</v>
      </c>
      <c r="B83" t="s">
        <v>256</v>
      </c>
      <c r="C83" t="s">
        <v>257</v>
      </c>
      <c r="D83" t="s">
        <v>559</v>
      </c>
      <c r="E83" s="230">
        <v>51452.1</v>
      </c>
      <c r="F83" t="s">
        <v>560</v>
      </c>
      <c r="G83" t="b">
        <v>1</v>
      </c>
      <c r="H83" t="s">
        <v>561</v>
      </c>
    </row>
    <row r="84" spans="1:8" x14ac:dyDescent="0.3">
      <c r="A84" t="s">
        <v>557</v>
      </c>
      <c r="B84" t="s">
        <v>256</v>
      </c>
      <c r="C84" t="s">
        <v>258</v>
      </c>
      <c r="D84" t="s">
        <v>559</v>
      </c>
      <c r="E84" s="230">
        <v>0</v>
      </c>
      <c r="F84" t="s">
        <v>560</v>
      </c>
      <c r="G84" t="b">
        <v>1</v>
      </c>
      <c r="H84" t="s">
        <v>561</v>
      </c>
    </row>
    <row r="85" spans="1:8" x14ac:dyDescent="0.3">
      <c r="A85" t="s">
        <v>557</v>
      </c>
      <c r="B85" t="s">
        <v>256</v>
      </c>
      <c r="C85" t="s">
        <v>259</v>
      </c>
      <c r="D85" t="s">
        <v>559</v>
      </c>
      <c r="E85" s="230">
        <v>2847.92</v>
      </c>
      <c r="F85" t="s">
        <v>560</v>
      </c>
      <c r="G85" t="b">
        <v>1</v>
      </c>
      <c r="H85" t="s">
        <v>561</v>
      </c>
    </row>
    <row r="86" spans="1:8" x14ac:dyDescent="0.3">
      <c r="A86" t="s">
        <v>557</v>
      </c>
      <c r="B86" t="s">
        <v>256</v>
      </c>
      <c r="C86" t="s">
        <v>260</v>
      </c>
      <c r="D86" t="s">
        <v>559</v>
      </c>
      <c r="E86" s="230">
        <v>0</v>
      </c>
      <c r="F86" t="s">
        <v>560</v>
      </c>
      <c r="G86" t="b">
        <v>1</v>
      </c>
      <c r="H86" t="s">
        <v>561</v>
      </c>
    </row>
    <row r="87" spans="1:8" x14ac:dyDescent="0.3">
      <c r="A87" t="s">
        <v>557</v>
      </c>
      <c r="B87" t="s">
        <v>256</v>
      </c>
      <c r="C87" t="s">
        <v>261</v>
      </c>
      <c r="D87" t="s">
        <v>559</v>
      </c>
      <c r="E87" s="230">
        <v>286.98</v>
      </c>
      <c r="F87" t="s">
        <v>560</v>
      </c>
      <c r="G87" t="b">
        <v>1</v>
      </c>
      <c r="H87" t="s">
        <v>561</v>
      </c>
    </row>
    <row r="88" spans="1:8" x14ac:dyDescent="0.3">
      <c r="A88" t="s">
        <v>557</v>
      </c>
      <c r="B88" t="s">
        <v>256</v>
      </c>
      <c r="C88" t="s">
        <v>262</v>
      </c>
      <c r="D88" t="s">
        <v>559</v>
      </c>
      <c r="E88" s="230">
        <v>0</v>
      </c>
      <c r="F88" t="s">
        <v>560</v>
      </c>
      <c r="G88" t="b">
        <v>1</v>
      </c>
      <c r="H88" t="s">
        <v>561</v>
      </c>
    </row>
    <row r="89" spans="1:8" x14ac:dyDescent="0.3">
      <c r="A89" t="s">
        <v>557</v>
      </c>
      <c r="B89" t="s">
        <v>256</v>
      </c>
      <c r="C89" t="s">
        <v>263</v>
      </c>
      <c r="D89" t="s">
        <v>559</v>
      </c>
      <c r="E89" s="230">
        <v>0</v>
      </c>
      <c r="F89" t="s">
        <v>560</v>
      </c>
      <c r="G89" t="b">
        <v>1</v>
      </c>
      <c r="H89" t="s">
        <v>561</v>
      </c>
    </row>
    <row r="90" spans="1:8" x14ac:dyDescent="0.3">
      <c r="A90" t="s">
        <v>557</v>
      </c>
      <c r="B90" t="s">
        <v>264</v>
      </c>
      <c r="C90" t="s">
        <v>265</v>
      </c>
      <c r="D90" t="s">
        <v>559</v>
      </c>
      <c r="E90" s="230">
        <v>5176.46</v>
      </c>
      <c r="F90" t="s">
        <v>560</v>
      </c>
      <c r="G90" t="b">
        <v>1</v>
      </c>
      <c r="H90" t="s">
        <v>561</v>
      </c>
    </row>
    <row r="91" spans="1:8" x14ac:dyDescent="0.3">
      <c r="A91" t="s">
        <v>557</v>
      </c>
      <c r="B91" t="s">
        <v>264</v>
      </c>
      <c r="C91" t="s">
        <v>266</v>
      </c>
      <c r="D91" t="s">
        <v>559</v>
      </c>
      <c r="E91" s="230">
        <v>11026.46</v>
      </c>
      <c r="F91" t="s">
        <v>560</v>
      </c>
      <c r="G91" t="b">
        <v>1</v>
      </c>
      <c r="H91" t="s">
        <v>561</v>
      </c>
    </row>
    <row r="92" spans="1:8" x14ac:dyDescent="0.3">
      <c r="A92" t="s">
        <v>557</v>
      </c>
      <c r="B92" t="s">
        <v>264</v>
      </c>
      <c r="C92" t="s">
        <v>267</v>
      </c>
      <c r="D92" t="s">
        <v>559</v>
      </c>
      <c r="E92" s="230">
        <v>6876.46</v>
      </c>
      <c r="F92" t="s">
        <v>560</v>
      </c>
      <c r="G92" t="b">
        <v>1</v>
      </c>
      <c r="H92" t="s">
        <v>561</v>
      </c>
    </row>
    <row r="93" spans="1:8" x14ac:dyDescent="0.3">
      <c r="A93" t="s">
        <v>557</v>
      </c>
      <c r="B93" t="s">
        <v>264</v>
      </c>
      <c r="C93" t="s">
        <v>268</v>
      </c>
      <c r="D93" t="s">
        <v>559</v>
      </c>
      <c r="E93" s="230">
        <v>6476.46</v>
      </c>
      <c r="F93" t="s">
        <v>560</v>
      </c>
      <c r="G93" t="b">
        <v>1</v>
      </c>
      <c r="H93" t="s">
        <v>561</v>
      </c>
    </row>
    <row r="94" spans="1:8" x14ac:dyDescent="0.3">
      <c r="A94" t="s">
        <v>557</v>
      </c>
      <c r="B94" t="s">
        <v>264</v>
      </c>
      <c r="C94" t="s">
        <v>269</v>
      </c>
      <c r="D94" t="s">
        <v>559</v>
      </c>
      <c r="E94" s="230">
        <v>526.46</v>
      </c>
      <c r="F94" t="s">
        <v>560</v>
      </c>
      <c r="G94" t="b">
        <v>1</v>
      </c>
      <c r="H94" t="s">
        <v>561</v>
      </c>
    </row>
    <row r="95" spans="1:8" x14ac:dyDescent="0.3">
      <c r="A95" t="s">
        <v>557</v>
      </c>
      <c r="B95" t="s">
        <v>264</v>
      </c>
      <c r="C95" t="s">
        <v>270</v>
      </c>
      <c r="D95" t="s">
        <v>559</v>
      </c>
      <c r="E95" s="230">
        <v>561</v>
      </c>
      <c r="F95" t="s">
        <v>560</v>
      </c>
      <c r="G95" t="b">
        <v>1</v>
      </c>
      <c r="H95" t="s">
        <v>561</v>
      </c>
    </row>
    <row r="96" spans="1:8" x14ac:dyDescent="0.3">
      <c r="A96" t="s">
        <v>557</v>
      </c>
      <c r="B96" t="s">
        <v>264</v>
      </c>
      <c r="C96" t="s">
        <v>271</v>
      </c>
      <c r="D96" t="s">
        <v>559</v>
      </c>
      <c r="E96" s="230">
        <v>1176.46</v>
      </c>
      <c r="F96" t="s">
        <v>560</v>
      </c>
      <c r="G96" t="b">
        <v>1</v>
      </c>
      <c r="H96" t="s">
        <v>561</v>
      </c>
    </row>
    <row r="97" spans="1:8" x14ac:dyDescent="0.3">
      <c r="A97" t="s">
        <v>557</v>
      </c>
      <c r="B97" t="s">
        <v>264</v>
      </c>
      <c r="C97" t="s">
        <v>272</v>
      </c>
      <c r="D97" t="s">
        <v>559</v>
      </c>
      <c r="E97" s="230">
        <v>2276.46</v>
      </c>
      <c r="F97" t="s">
        <v>560</v>
      </c>
      <c r="G97" t="b">
        <v>1</v>
      </c>
      <c r="H97" t="s">
        <v>561</v>
      </c>
    </row>
    <row r="98" spans="1:8" x14ac:dyDescent="0.3">
      <c r="A98" t="s">
        <v>557</v>
      </c>
      <c r="B98" t="s">
        <v>264</v>
      </c>
      <c r="C98" t="s">
        <v>273</v>
      </c>
      <c r="D98" t="s">
        <v>559</v>
      </c>
      <c r="E98" s="230">
        <v>176.46</v>
      </c>
      <c r="F98" t="s">
        <v>560</v>
      </c>
      <c r="G98" t="b">
        <v>1</v>
      </c>
      <c r="H98" t="s">
        <v>561</v>
      </c>
    </row>
    <row r="99" spans="1:8" x14ac:dyDescent="0.3">
      <c r="A99" t="s">
        <v>557</v>
      </c>
      <c r="B99" t="s">
        <v>264</v>
      </c>
      <c r="C99" t="s">
        <v>580</v>
      </c>
      <c r="D99" t="s">
        <v>559</v>
      </c>
      <c r="E99" s="230">
        <v>176.46</v>
      </c>
      <c r="F99" t="s">
        <v>560</v>
      </c>
      <c r="G99" t="b">
        <v>1</v>
      </c>
      <c r="H99" t="s">
        <v>561</v>
      </c>
    </row>
    <row r="100" spans="1:8" x14ac:dyDescent="0.3">
      <c r="A100" t="s">
        <v>557</v>
      </c>
      <c r="B100" t="s">
        <v>264</v>
      </c>
      <c r="C100" t="s">
        <v>275</v>
      </c>
      <c r="D100" t="s">
        <v>559</v>
      </c>
      <c r="E100" s="230">
        <v>1176.46</v>
      </c>
      <c r="F100" t="s">
        <v>560</v>
      </c>
      <c r="G100" t="b">
        <v>1</v>
      </c>
      <c r="H100" t="s">
        <v>561</v>
      </c>
    </row>
    <row r="101" spans="1:8" x14ac:dyDescent="0.3">
      <c r="A101" t="s">
        <v>557</v>
      </c>
      <c r="B101" t="s">
        <v>264</v>
      </c>
      <c r="C101" t="s">
        <v>276</v>
      </c>
      <c r="D101" t="s">
        <v>559</v>
      </c>
      <c r="E101" s="230">
        <v>1428</v>
      </c>
      <c r="F101" t="s">
        <v>560</v>
      </c>
      <c r="G101" t="b">
        <v>1</v>
      </c>
      <c r="H101" t="s">
        <v>561</v>
      </c>
    </row>
    <row r="102" spans="1:8" x14ac:dyDescent="0.3">
      <c r="A102" t="s">
        <v>557</v>
      </c>
      <c r="B102" t="s">
        <v>264</v>
      </c>
      <c r="C102" t="s">
        <v>277</v>
      </c>
      <c r="D102" t="s">
        <v>559</v>
      </c>
      <c r="E102" s="230">
        <v>250</v>
      </c>
      <c r="F102" t="s">
        <v>560</v>
      </c>
      <c r="G102" t="b">
        <v>1</v>
      </c>
      <c r="H102" t="s">
        <v>561</v>
      </c>
    </row>
    <row r="103" spans="1:8" x14ac:dyDescent="0.3">
      <c r="A103" t="s">
        <v>557</v>
      </c>
      <c r="B103" t="s">
        <v>264</v>
      </c>
      <c r="C103" t="s">
        <v>278</v>
      </c>
      <c r="D103" t="s">
        <v>559</v>
      </c>
      <c r="E103" s="230">
        <v>3276.46</v>
      </c>
      <c r="F103" t="s">
        <v>560</v>
      </c>
      <c r="G103" t="b">
        <v>1</v>
      </c>
      <c r="H103" t="s">
        <v>561</v>
      </c>
    </row>
    <row r="104" spans="1:8" x14ac:dyDescent="0.3">
      <c r="A104" t="s">
        <v>557</v>
      </c>
      <c r="B104" t="s">
        <v>279</v>
      </c>
      <c r="C104" t="s">
        <v>280</v>
      </c>
      <c r="D104" t="s">
        <v>559</v>
      </c>
      <c r="E104" s="230">
        <v>0</v>
      </c>
      <c r="F104" t="s">
        <v>560</v>
      </c>
      <c r="G104" t="b">
        <v>1</v>
      </c>
      <c r="H104" t="s">
        <v>561</v>
      </c>
    </row>
    <row r="105" spans="1:8" x14ac:dyDescent="0.3">
      <c r="A105" t="s">
        <v>557</v>
      </c>
      <c r="B105" t="s">
        <v>279</v>
      </c>
      <c r="C105" t="s">
        <v>281</v>
      </c>
      <c r="D105" t="s">
        <v>559</v>
      </c>
      <c r="E105" s="230">
        <v>608.54999999999995</v>
      </c>
      <c r="F105" t="s">
        <v>560</v>
      </c>
      <c r="G105" t="b">
        <v>1</v>
      </c>
      <c r="H105" t="s">
        <v>561</v>
      </c>
    </row>
    <row r="106" spans="1:8" x14ac:dyDescent="0.3">
      <c r="A106" t="s">
        <v>557</v>
      </c>
      <c r="B106" t="s">
        <v>279</v>
      </c>
      <c r="C106" t="s">
        <v>282</v>
      </c>
      <c r="D106" t="s">
        <v>559</v>
      </c>
      <c r="E106" s="230">
        <v>416.13</v>
      </c>
      <c r="F106" t="s">
        <v>560</v>
      </c>
      <c r="G106" t="b">
        <v>1</v>
      </c>
      <c r="H106" t="s">
        <v>561</v>
      </c>
    </row>
    <row r="107" spans="1:8" x14ac:dyDescent="0.3">
      <c r="A107" t="s">
        <v>557</v>
      </c>
      <c r="B107" t="s">
        <v>279</v>
      </c>
      <c r="C107" t="s">
        <v>283</v>
      </c>
      <c r="D107" t="s">
        <v>559</v>
      </c>
      <c r="E107" s="230">
        <v>0</v>
      </c>
      <c r="F107" t="s">
        <v>560</v>
      </c>
      <c r="G107" t="b">
        <v>1</v>
      </c>
      <c r="H107" t="s">
        <v>561</v>
      </c>
    </row>
    <row r="108" spans="1:8" x14ac:dyDescent="0.3">
      <c r="A108" t="s">
        <v>557</v>
      </c>
      <c r="B108" t="s">
        <v>279</v>
      </c>
      <c r="C108" t="s">
        <v>284</v>
      </c>
      <c r="D108" t="s">
        <v>559</v>
      </c>
      <c r="E108" s="230">
        <v>2604.9</v>
      </c>
      <c r="F108" t="s">
        <v>560</v>
      </c>
      <c r="G108" t="b">
        <v>1</v>
      </c>
      <c r="H108" t="s">
        <v>561</v>
      </c>
    </row>
    <row r="109" spans="1:8" x14ac:dyDescent="0.3">
      <c r="A109" t="s">
        <v>557</v>
      </c>
      <c r="B109" t="s">
        <v>279</v>
      </c>
      <c r="C109" t="s">
        <v>285</v>
      </c>
      <c r="D109" t="s">
        <v>559</v>
      </c>
      <c r="E109" s="230">
        <v>408.45</v>
      </c>
      <c r="F109" t="s">
        <v>560</v>
      </c>
      <c r="G109" t="b">
        <v>1</v>
      </c>
      <c r="H109" t="s">
        <v>561</v>
      </c>
    </row>
    <row r="110" spans="1:8" x14ac:dyDescent="0.3">
      <c r="A110" t="s">
        <v>557</v>
      </c>
      <c r="B110" t="s">
        <v>279</v>
      </c>
      <c r="C110" t="s">
        <v>286</v>
      </c>
      <c r="D110" t="s">
        <v>559</v>
      </c>
      <c r="E110" s="230">
        <v>1017.45</v>
      </c>
      <c r="F110" t="s">
        <v>560</v>
      </c>
      <c r="G110" t="b">
        <v>1</v>
      </c>
      <c r="H110" t="s">
        <v>561</v>
      </c>
    </row>
    <row r="111" spans="1:8" x14ac:dyDescent="0.3">
      <c r="A111" t="s">
        <v>557</v>
      </c>
      <c r="B111" t="s">
        <v>581</v>
      </c>
      <c r="C111" t="s">
        <v>288</v>
      </c>
      <c r="D111" t="s">
        <v>559</v>
      </c>
      <c r="E111" s="230">
        <v>4029.39</v>
      </c>
      <c r="F111" t="s">
        <v>560</v>
      </c>
      <c r="G111" t="b">
        <v>1</v>
      </c>
      <c r="H111" t="s">
        <v>561</v>
      </c>
    </row>
    <row r="112" spans="1:8" x14ac:dyDescent="0.3">
      <c r="A112" t="s">
        <v>557</v>
      </c>
      <c r="B112" t="s">
        <v>581</v>
      </c>
      <c r="C112" t="s">
        <v>289</v>
      </c>
      <c r="D112" t="s">
        <v>559</v>
      </c>
      <c r="E112" s="230">
        <v>1270.5899999999999</v>
      </c>
      <c r="F112" t="s">
        <v>560</v>
      </c>
      <c r="G112" t="b">
        <v>1</v>
      </c>
      <c r="H112" t="s">
        <v>561</v>
      </c>
    </row>
    <row r="113" spans="1:8" x14ac:dyDescent="0.3">
      <c r="A113" t="s">
        <v>557</v>
      </c>
      <c r="B113" t="s">
        <v>581</v>
      </c>
      <c r="C113" t="s">
        <v>290</v>
      </c>
      <c r="D113" t="s">
        <v>559</v>
      </c>
      <c r="E113" s="230">
        <v>1070.5899999999999</v>
      </c>
      <c r="F113" t="s">
        <v>560</v>
      </c>
      <c r="G113" t="b">
        <v>1</v>
      </c>
      <c r="H113" t="s">
        <v>561</v>
      </c>
    </row>
    <row r="114" spans="1:8" x14ac:dyDescent="0.3">
      <c r="A114" t="s">
        <v>557</v>
      </c>
      <c r="B114" t="s">
        <v>581</v>
      </c>
      <c r="C114" t="s">
        <v>291</v>
      </c>
      <c r="D114" t="s">
        <v>559</v>
      </c>
      <c r="E114" s="230">
        <v>370.59</v>
      </c>
      <c r="F114" t="s">
        <v>560</v>
      </c>
      <c r="G114" t="b">
        <v>1</v>
      </c>
      <c r="H114" t="s">
        <v>561</v>
      </c>
    </row>
    <row r="115" spans="1:8" x14ac:dyDescent="0.3">
      <c r="A115" t="s">
        <v>557</v>
      </c>
      <c r="B115" t="s">
        <v>581</v>
      </c>
      <c r="C115" t="s">
        <v>292</v>
      </c>
      <c r="D115" t="s">
        <v>559</v>
      </c>
      <c r="E115" s="230">
        <v>0</v>
      </c>
      <c r="F115" t="s">
        <v>560</v>
      </c>
      <c r="G115" t="b">
        <v>1</v>
      </c>
      <c r="H115" t="s">
        <v>561</v>
      </c>
    </row>
    <row r="116" spans="1:8" x14ac:dyDescent="0.3">
      <c r="A116" t="s">
        <v>557</v>
      </c>
      <c r="B116" t="s">
        <v>582</v>
      </c>
      <c r="C116" t="s">
        <v>293</v>
      </c>
      <c r="D116" t="s">
        <v>559</v>
      </c>
      <c r="E116" s="230">
        <v>570.59</v>
      </c>
      <c r="F116" t="s">
        <v>560</v>
      </c>
      <c r="G116" t="b">
        <v>1</v>
      </c>
      <c r="H116" t="s">
        <v>561</v>
      </c>
    </row>
    <row r="117" spans="1:8" x14ac:dyDescent="0.3">
      <c r="A117" t="s">
        <v>557</v>
      </c>
      <c r="B117" t="s">
        <v>582</v>
      </c>
      <c r="C117" t="s">
        <v>294</v>
      </c>
      <c r="D117" t="s">
        <v>559</v>
      </c>
      <c r="E117" s="230">
        <v>0</v>
      </c>
      <c r="F117" t="s">
        <v>560</v>
      </c>
      <c r="G117" t="b">
        <v>1</v>
      </c>
      <c r="H117" t="s">
        <v>561</v>
      </c>
    </row>
    <row r="118" spans="1:8" x14ac:dyDescent="0.3">
      <c r="A118" t="s">
        <v>557</v>
      </c>
      <c r="B118" t="s">
        <v>582</v>
      </c>
      <c r="C118" t="s">
        <v>295</v>
      </c>
      <c r="D118" t="s">
        <v>559</v>
      </c>
      <c r="E118" s="230">
        <v>0</v>
      </c>
      <c r="F118" t="s">
        <v>560</v>
      </c>
      <c r="G118" t="b">
        <v>1</v>
      </c>
      <c r="H118" t="s">
        <v>561</v>
      </c>
    </row>
    <row r="119" spans="1:8" x14ac:dyDescent="0.3">
      <c r="A119" t="s">
        <v>557</v>
      </c>
      <c r="B119" t="s">
        <v>296</v>
      </c>
      <c r="C119" t="s">
        <v>297</v>
      </c>
      <c r="D119" t="s">
        <v>559</v>
      </c>
      <c r="E119" s="230">
        <v>4200</v>
      </c>
      <c r="F119" t="s">
        <v>560</v>
      </c>
      <c r="G119" t="b">
        <v>1</v>
      </c>
      <c r="H119" t="s">
        <v>561</v>
      </c>
    </row>
    <row r="120" spans="1:8" x14ac:dyDescent="0.3">
      <c r="A120" t="s">
        <v>557</v>
      </c>
      <c r="B120" t="s">
        <v>296</v>
      </c>
      <c r="C120" t="s">
        <v>298</v>
      </c>
      <c r="D120" t="s">
        <v>559</v>
      </c>
      <c r="E120" s="230">
        <v>525</v>
      </c>
      <c r="F120" t="s">
        <v>560</v>
      </c>
      <c r="G120" t="b">
        <v>1</v>
      </c>
      <c r="H120" t="s">
        <v>561</v>
      </c>
    </row>
    <row r="121" spans="1:8" x14ac:dyDescent="0.3">
      <c r="A121" t="s">
        <v>557</v>
      </c>
      <c r="B121" t="s">
        <v>296</v>
      </c>
      <c r="C121" t="s">
        <v>299</v>
      </c>
      <c r="D121" t="s">
        <v>559</v>
      </c>
      <c r="E121" s="230">
        <v>0</v>
      </c>
      <c r="F121" t="s">
        <v>560</v>
      </c>
      <c r="G121" t="b">
        <v>1</v>
      </c>
      <c r="H121" t="s">
        <v>561</v>
      </c>
    </row>
    <row r="122" spans="1:8" x14ac:dyDescent="0.3">
      <c r="A122" t="s">
        <v>557</v>
      </c>
      <c r="B122" t="s">
        <v>296</v>
      </c>
      <c r="C122" t="s">
        <v>300</v>
      </c>
      <c r="D122" t="s">
        <v>559</v>
      </c>
      <c r="E122" s="230">
        <v>0</v>
      </c>
      <c r="F122" t="s">
        <v>560</v>
      </c>
      <c r="G122" t="b">
        <v>1</v>
      </c>
      <c r="H122" t="s">
        <v>561</v>
      </c>
    </row>
    <row r="123" spans="1:8" x14ac:dyDescent="0.3">
      <c r="A123" t="s">
        <v>557</v>
      </c>
      <c r="B123" t="s">
        <v>296</v>
      </c>
      <c r="C123" t="s">
        <v>301</v>
      </c>
      <c r="D123" t="s">
        <v>559</v>
      </c>
      <c r="E123" s="230">
        <v>1070.5899999999999</v>
      </c>
      <c r="F123" t="s">
        <v>560</v>
      </c>
      <c r="G123" t="b">
        <v>1</v>
      </c>
      <c r="H123" t="s">
        <v>561</v>
      </c>
    </row>
    <row r="124" spans="1:8" x14ac:dyDescent="0.3">
      <c r="A124" t="s">
        <v>557</v>
      </c>
      <c r="B124" t="s">
        <v>296</v>
      </c>
      <c r="C124" t="s">
        <v>302</v>
      </c>
      <c r="D124" t="s">
        <v>559</v>
      </c>
      <c r="E124" s="230">
        <v>0</v>
      </c>
      <c r="F124" t="s">
        <v>560</v>
      </c>
      <c r="G124" t="b">
        <v>1</v>
      </c>
      <c r="H124" t="s">
        <v>561</v>
      </c>
    </row>
    <row r="125" spans="1:8" x14ac:dyDescent="0.3">
      <c r="A125" t="s">
        <v>557</v>
      </c>
      <c r="B125" t="s">
        <v>296</v>
      </c>
      <c r="C125" t="s">
        <v>303</v>
      </c>
      <c r="D125" t="s">
        <v>559</v>
      </c>
      <c r="E125" s="230">
        <v>0</v>
      </c>
      <c r="F125" t="s">
        <v>560</v>
      </c>
      <c r="G125" t="b">
        <v>1</v>
      </c>
      <c r="H125" t="s">
        <v>561</v>
      </c>
    </row>
    <row r="126" spans="1:8" x14ac:dyDescent="0.3">
      <c r="A126" t="s">
        <v>557</v>
      </c>
      <c r="B126" t="s">
        <v>296</v>
      </c>
      <c r="C126" t="s">
        <v>304</v>
      </c>
      <c r="D126" t="s">
        <v>559</v>
      </c>
      <c r="E126" s="230">
        <v>0</v>
      </c>
      <c r="F126" t="s">
        <v>560</v>
      </c>
      <c r="G126" t="b">
        <v>1</v>
      </c>
      <c r="H126" t="s">
        <v>561</v>
      </c>
    </row>
    <row r="127" spans="1:8" x14ac:dyDescent="0.3">
      <c r="A127" t="s">
        <v>557</v>
      </c>
      <c r="B127" t="s">
        <v>296</v>
      </c>
      <c r="C127" t="s">
        <v>305</v>
      </c>
      <c r="D127" t="s">
        <v>559</v>
      </c>
      <c r="E127" s="230">
        <v>0</v>
      </c>
      <c r="F127" t="s">
        <v>560</v>
      </c>
      <c r="G127" t="b">
        <v>1</v>
      </c>
      <c r="H127" t="s">
        <v>561</v>
      </c>
    </row>
    <row r="128" spans="1:8" x14ac:dyDescent="0.3">
      <c r="A128" t="s">
        <v>557</v>
      </c>
      <c r="B128" t="s">
        <v>296</v>
      </c>
      <c r="C128" t="s">
        <v>583</v>
      </c>
      <c r="D128" t="s">
        <v>559</v>
      </c>
      <c r="E128" s="230">
        <v>0</v>
      </c>
      <c r="F128" t="s">
        <v>560</v>
      </c>
      <c r="G128" t="b">
        <v>1</v>
      </c>
      <c r="H128" t="s">
        <v>561</v>
      </c>
    </row>
    <row r="129" spans="1:8" x14ac:dyDescent="0.3">
      <c r="A129" t="s">
        <v>557</v>
      </c>
      <c r="B129" t="s">
        <v>296</v>
      </c>
      <c r="C129" t="s">
        <v>307</v>
      </c>
      <c r="D129" t="s">
        <v>559</v>
      </c>
      <c r="E129" s="230">
        <v>206.85</v>
      </c>
      <c r="F129" t="s">
        <v>560</v>
      </c>
      <c r="G129" t="b">
        <v>1</v>
      </c>
      <c r="H129" t="s">
        <v>561</v>
      </c>
    </row>
    <row r="130" spans="1:8" x14ac:dyDescent="0.3">
      <c r="A130" t="s">
        <v>557</v>
      </c>
      <c r="B130" t="s">
        <v>308</v>
      </c>
      <c r="C130" t="s">
        <v>309</v>
      </c>
      <c r="D130" t="s">
        <v>559</v>
      </c>
      <c r="E130" s="230">
        <v>2995.34</v>
      </c>
      <c r="F130" t="s">
        <v>560</v>
      </c>
      <c r="G130" t="b">
        <v>1</v>
      </c>
      <c r="H130" t="s">
        <v>561</v>
      </c>
    </row>
    <row r="131" spans="1:8" x14ac:dyDescent="0.3">
      <c r="A131" t="s">
        <v>557</v>
      </c>
      <c r="B131" t="s">
        <v>308</v>
      </c>
      <c r="C131" t="s">
        <v>310</v>
      </c>
      <c r="D131" t="s">
        <v>559</v>
      </c>
      <c r="E131" s="230">
        <v>0</v>
      </c>
      <c r="F131" t="s">
        <v>560</v>
      </c>
      <c r="G131" t="b">
        <v>1</v>
      </c>
      <c r="H131" t="s">
        <v>561</v>
      </c>
    </row>
    <row r="132" spans="1:8" x14ac:dyDescent="0.3">
      <c r="A132" t="s">
        <v>557</v>
      </c>
      <c r="B132" t="s">
        <v>308</v>
      </c>
      <c r="C132" t="s">
        <v>311</v>
      </c>
      <c r="D132" t="s">
        <v>559</v>
      </c>
      <c r="E132" s="230">
        <v>1627.5</v>
      </c>
      <c r="F132" t="s">
        <v>560</v>
      </c>
      <c r="G132" t="b">
        <v>1</v>
      </c>
      <c r="H132" t="s">
        <v>561</v>
      </c>
    </row>
    <row r="133" spans="1:8" x14ac:dyDescent="0.3">
      <c r="A133" t="s">
        <v>557</v>
      </c>
      <c r="B133" t="s">
        <v>308</v>
      </c>
      <c r="C133" t="s">
        <v>312</v>
      </c>
      <c r="D133" t="s">
        <v>559</v>
      </c>
      <c r="E133" s="230">
        <v>194.25</v>
      </c>
      <c r="F133" t="s">
        <v>560</v>
      </c>
      <c r="G133" t="b">
        <v>1</v>
      </c>
      <c r="H133" t="s">
        <v>561</v>
      </c>
    </row>
    <row r="134" spans="1:8" x14ac:dyDescent="0.3">
      <c r="A134" t="s">
        <v>557</v>
      </c>
      <c r="B134" t="s">
        <v>308</v>
      </c>
      <c r="C134" t="s">
        <v>313</v>
      </c>
      <c r="D134" t="s">
        <v>559</v>
      </c>
      <c r="E134" s="230">
        <v>0</v>
      </c>
      <c r="F134" t="s">
        <v>560</v>
      </c>
      <c r="G134" t="b">
        <v>1</v>
      </c>
      <c r="H134" t="s">
        <v>561</v>
      </c>
    </row>
    <row r="135" spans="1:8" x14ac:dyDescent="0.3">
      <c r="A135" t="s">
        <v>557</v>
      </c>
      <c r="B135" t="s">
        <v>308</v>
      </c>
      <c r="C135" t="s">
        <v>314</v>
      </c>
      <c r="D135" t="s">
        <v>559</v>
      </c>
      <c r="E135" s="230">
        <v>743.59</v>
      </c>
      <c r="F135" t="s">
        <v>560</v>
      </c>
      <c r="G135" t="b">
        <v>1</v>
      </c>
      <c r="H135" t="s">
        <v>561</v>
      </c>
    </row>
    <row r="136" spans="1:8" x14ac:dyDescent="0.3">
      <c r="A136" t="s">
        <v>557</v>
      </c>
      <c r="B136" t="s">
        <v>308</v>
      </c>
      <c r="C136" t="s">
        <v>315</v>
      </c>
      <c r="D136" t="s">
        <v>559</v>
      </c>
      <c r="E136" s="230">
        <v>0</v>
      </c>
      <c r="F136" t="s">
        <v>560</v>
      </c>
      <c r="G136" t="b">
        <v>1</v>
      </c>
      <c r="H136" t="s">
        <v>561</v>
      </c>
    </row>
    <row r="137" spans="1:8" x14ac:dyDescent="0.3">
      <c r="A137" t="s">
        <v>557</v>
      </c>
      <c r="B137" t="s">
        <v>308</v>
      </c>
      <c r="C137" t="s">
        <v>316</v>
      </c>
      <c r="D137" t="s">
        <v>559</v>
      </c>
      <c r="E137" s="230">
        <v>0</v>
      </c>
      <c r="F137" t="s">
        <v>560</v>
      </c>
      <c r="G137" t="b">
        <v>1</v>
      </c>
      <c r="H137" t="s">
        <v>561</v>
      </c>
    </row>
    <row r="138" spans="1:8" x14ac:dyDescent="0.3">
      <c r="A138" t="s">
        <v>557</v>
      </c>
      <c r="B138" t="s">
        <v>308</v>
      </c>
      <c r="C138" t="s">
        <v>317</v>
      </c>
      <c r="D138" t="s">
        <v>559</v>
      </c>
      <c r="E138" s="230">
        <v>0</v>
      </c>
      <c r="F138" t="s">
        <v>560</v>
      </c>
      <c r="G138" t="b">
        <v>1</v>
      </c>
      <c r="H138" t="s">
        <v>561</v>
      </c>
    </row>
    <row r="139" spans="1:8" x14ac:dyDescent="0.3">
      <c r="A139" t="s">
        <v>557</v>
      </c>
      <c r="B139" t="s">
        <v>318</v>
      </c>
      <c r="C139" t="s">
        <v>319</v>
      </c>
      <c r="D139" t="s">
        <v>559</v>
      </c>
      <c r="E139" s="230">
        <v>1770.3</v>
      </c>
      <c r="F139" t="s">
        <v>560</v>
      </c>
      <c r="G139" t="b">
        <v>1</v>
      </c>
      <c r="H139" t="s">
        <v>561</v>
      </c>
    </row>
    <row r="140" spans="1:8" x14ac:dyDescent="0.3">
      <c r="A140" t="s">
        <v>557</v>
      </c>
      <c r="B140" t="s">
        <v>318</v>
      </c>
      <c r="C140" t="s">
        <v>320</v>
      </c>
      <c r="D140" t="s">
        <v>559</v>
      </c>
      <c r="E140" s="230">
        <v>144.44999999999999</v>
      </c>
      <c r="F140" t="s">
        <v>560</v>
      </c>
      <c r="G140" t="b">
        <v>1</v>
      </c>
      <c r="H140" t="s">
        <v>561</v>
      </c>
    </row>
    <row r="141" spans="1:8" x14ac:dyDescent="0.3">
      <c r="A141" t="s">
        <v>557</v>
      </c>
      <c r="B141" t="s">
        <v>318</v>
      </c>
      <c r="C141" t="s">
        <v>321</v>
      </c>
      <c r="D141" t="s">
        <v>559</v>
      </c>
      <c r="E141" s="230">
        <v>210</v>
      </c>
      <c r="F141" t="s">
        <v>560</v>
      </c>
      <c r="G141" t="b">
        <v>1</v>
      </c>
      <c r="H141" t="s">
        <v>561</v>
      </c>
    </row>
    <row r="142" spans="1:8" x14ac:dyDescent="0.3">
      <c r="A142" t="s">
        <v>557</v>
      </c>
      <c r="B142" t="s">
        <v>318</v>
      </c>
      <c r="C142" t="s">
        <v>322</v>
      </c>
      <c r="D142" t="s">
        <v>559</v>
      </c>
      <c r="E142" s="230">
        <v>0</v>
      </c>
      <c r="F142" t="s">
        <v>560</v>
      </c>
      <c r="G142" t="b">
        <v>1</v>
      </c>
      <c r="H142" t="s">
        <v>561</v>
      </c>
    </row>
    <row r="143" spans="1:8" x14ac:dyDescent="0.3">
      <c r="A143" t="s">
        <v>557</v>
      </c>
      <c r="B143" t="s">
        <v>323</v>
      </c>
      <c r="C143" t="s">
        <v>324</v>
      </c>
      <c r="D143" t="s">
        <v>559</v>
      </c>
      <c r="E143" s="230">
        <v>0</v>
      </c>
      <c r="F143" t="s">
        <v>560</v>
      </c>
      <c r="G143" t="b">
        <v>1</v>
      </c>
      <c r="H143" t="s">
        <v>561</v>
      </c>
    </row>
    <row r="144" spans="1:8" x14ac:dyDescent="0.3">
      <c r="A144" t="s">
        <v>557</v>
      </c>
      <c r="B144" t="s">
        <v>323</v>
      </c>
      <c r="C144" t="s">
        <v>325</v>
      </c>
      <c r="D144" t="s">
        <v>559</v>
      </c>
      <c r="E144" s="230">
        <v>0</v>
      </c>
      <c r="F144" t="s">
        <v>560</v>
      </c>
      <c r="G144" t="b">
        <v>1</v>
      </c>
      <c r="H144" t="s">
        <v>561</v>
      </c>
    </row>
    <row r="145" spans="1:8" x14ac:dyDescent="0.3">
      <c r="A145" t="s">
        <v>557</v>
      </c>
      <c r="B145" t="s">
        <v>323</v>
      </c>
      <c r="C145" t="s">
        <v>326</v>
      </c>
      <c r="D145" t="s">
        <v>559</v>
      </c>
      <c r="E145" s="230">
        <v>17646.27</v>
      </c>
      <c r="F145" t="s">
        <v>560</v>
      </c>
      <c r="G145" t="b">
        <v>1</v>
      </c>
      <c r="H145" t="s">
        <v>561</v>
      </c>
    </row>
    <row r="146" spans="1:8" x14ac:dyDescent="0.3">
      <c r="A146" t="s">
        <v>557</v>
      </c>
      <c r="B146" t="s">
        <v>584</v>
      </c>
      <c r="C146" t="s">
        <v>334</v>
      </c>
      <c r="D146" t="s">
        <v>559</v>
      </c>
      <c r="E146" s="230">
        <v>0</v>
      </c>
      <c r="F146" t="s">
        <v>560</v>
      </c>
      <c r="G146" t="b">
        <v>1</v>
      </c>
      <c r="H146" t="s">
        <v>561</v>
      </c>
    </row>
    <row r="147" spans="1:8" x14ac:dyDescent="0.3">
      <c r="A147" t="s">
        <v>557</v>
      </c>
      <c r="B147" t="s">
        <v>584</v>
      </c>
      <c r="C147" t="s">
        <v>336</v>
      </c>
      <c r="D147" t="s">
        <v>559</v>
      </c>
      <c r="E147" s="230">
        <v>0</v>
      </c>
      <c r="F147" t="s">
        <v>560</v>
      </c>
      <c r="G147" t="b">
        <v>1</v>
      </c>
      <c r="H147" t="s">
        <v>561</v>
      </c>
    </row>
    <row r="148" spans="1:8" x14ac:dyDescent="0.3">
      <c r="A148" t="s">
        <v>557</v>
      </c>
      <c r="B148" t="s">
        <v>558</v>
      </c>
      <c r="C148" t="s">
        <v>13</v>
      </c>
      <c r="D148" t="s">
        <v>585</v>
      </c>
      <c r="E148" s="230">
        <v>176726.19</v>
      </c>
      <c r="F148" t="s">
        <v>560</v>
      </c>
      <c r="G148" t="b">
        <v>1</v>
      </c>
      <c r="H148" t="s">
        <v>586</v>
      </c>
    </row>
    <row r="149" spans="1:8" x14ac:dyDescent="0.3">
      <c r="A149" t="s">
        <v>557</v>
      </c>
      <c r="B149" t="s">
        <v>558</v>
      </c>
      <c r="C149" t="s">
        <v>16</v>
      </c>
      <c r="D149" t="s">
        <v>585</v>
      </c>
      <c r="E149" s="230">
        <v>110806.87</v>
      </c>
      <c r="F149" t="s">
        <v>560</v>
      </c>
      <c r="G149" t="b">
        <v>1</v>
      </c>
      <c r="H149" t="s">
        <v>586</v>
      </c>
    </row>
    <row r="150" spans="1:8" x14ac:dyDescent="0.3">
      <c r="A150" t="s">
        <v>557</v>
      </c>
      <c r="B150" t="s">
        <v>558</v>
      </c>
      <c r="C150" t="s">
        <v>17</v>
      </c>
      <c r="D150" t="s">
        <v>585</v>
      </c>
      <c r="E150" s="230">
        <v>4250.68</v>
      </c>
      <c r="F150" t="s">
        <v>560</v>
      </c>
      <c r="G150" t="b">
        <v>1</v>
      </c>
      <c r="H150" t="s">
        <v>586</v>
      </c>
    </row>
    <row r="151" spans="1:8" x14ac:dyDescent="0.3">
      <c r="A151" t="s">
        <v>557</v>
      </c>
      <c r="B151" t="s">
        <v>558</v>
      </c>
      <c r="C151" t="s">
        <v>18</v>
      </c>
      <c r="D151" t="s">
        <v>585</v>
      </c>
      <c r="E151" s="230">
        <v>0</v>
      </c>
      <c r="F151" t="s">
        <v>560</v>
      </c>
      <c r="G151" t="b">
        <v>1</v>
      </c>
      <c r="H151" t="s">
        <v>586</v>
      </c>
    </row>
    <row r="152" spans="1:8" x14ac:dyDescent="0.3">
      <c r="A152" t="s">
        <v>557</v>
      </c>
      <c r="B152" t="s">
        <v>558</v>
      </c>
      <c r="C152" t="s">
        <v>20</v>
      </c>
      <c r="D152" t="s">
        <v>585</v>
      </c>
      <c r="E152" s="230">
        <v>39788.69</v>
      </c>
      <c r="F152" t="s">
        <v>560</v>
      </c>
      <c r="G152" t="b">
        <v>1</v>
      </c>
      <c r="H152" t="s">
        <v>586</v>
      </c>
    </row>
    <row r="153" spans="1:8" x14ac:dyDescent="0.3">
      <c r="A153" t="s">
        <v>557</v>
      </c>
      <c r="B153" t="s">
        <v>558</v>
      </c>
      <c r="C153" t="s">
        <v>29</v>
      </c>
      <c r="D153" t="s">
        <v>585</v>
      </c>
      <c r="E153" s="230">
        <v>19835.830000000002</v>
      </c>
      <c r="F153" t="s">
        <v>560</v>
      </c>
      <c r="G153" t="b">
        <v>1</v>
      </c>
      <c r="H153" t="s">
        <v>586</v>
      </c>
    </row>
    <row r="154" spans="1:8" x14ac:dyDescent="0.3">
      <c r="A154" t="s">
        <v>557</v>
      </c>
      <c r="B154" t="s">
        <v>558</v>
      </c>
      <c r="C154" t="s">
        <v>31</v>
      </c>
      <c r="D154" t="s">
        <v>585</v>
      </c>
      <c r="E154" s="230">
        <v>0</v>
      </c>
      <c r="F154" t="s">
        <v>560</v>
      </c>
      <c r="G154" t="b">
        <v>1</v>
      </c>
      <c r="H154" t="s">
        <v>586</v>
      </c>
    </row>
    <row r="155" spans="1:8" x14ac:dyDescent="0.3">
      <c r="A155" t="s">
        <v>557</v>
      </c>
      <c r="B155" t="s">
        <v>562</v>
      </c>
      <c r="C155" t="s">
        <v>38</v>
      </c>
      <c r="D155" t="s">
        <v>585</v>
      </c>
      <c r="E155" s="230">
        <v>7188.33</v>
      </c>
      <c r="F155" t="s">
        <v>560</v>
      </c>
      <c r="G155" t="b">
        <v>1</v>
      </c>
      <c r="H155" t="s">
        <v>586</v>
      </c>
    </row>
    <row r="156" spans="1:8" x14ac:dyDescent="0.3">
      <c r="A156" t="s">
        <v>557</v>
      </c>
      <c r="B156" t="s">
        <v>562</v>
      </c>
      <c r="C156" t="s">
        <v>40</v>
      </c>
      <c r="D156" t="s">
        <v>585</v>
      </c>
      <c r="E156" s="230">
        <v>5693.15</v>
      </c>
      <c r="F156" t="s">
        <v>560</v>
      </c>
      <c r="G156" t="b">
        <v>1</v>
      </c>
      <c r="H156" t="s">
        <v>586</v>
      </c>
    </row>
    <row r="157" spans="1:8" x14ac:dyDescent="0.3">
      <c r="A157" t="s">
        <v>557</v>
      </c>
      <c r="B157" t="s">
        <v>562</v>
      </c>
      <c r="C157" t="s">
        <v>42</v>
      </c>
      <c r="D157" t="s">
        <v>585</v>
      </c>
      <c r="E157" s="230">
        <v>718.83</v>
      </c>
      <c r="F157" t="s">
        <v>560</v>
      </c>
      <c r="G157" t="b">
        <v>1</v>
      </c>
      <c r="H157" t="s">
        <v>586</v>
      </c>
    </row>
    <row r="158" spans="1:8" x14ac:dyDescent="0.3">
      <c r="A158" t="s">
        <v>557</v>
      </c>
      <c r="B158" t="s">
        <v>563</v>
      </c>
      <c r="C158" t="s">
        <v>46</v>
      </c>
      <c r="D158" t="s">
        <v>585</v>
      </c>
      <c r="E158" s="230">
        <v>12178.77</v>
      </c>
      <c r="F158" t="s">
        <v>560</v>
      </c>
      <c r="G158" t="b">
        <v>1</v>
      </c>
      <c r="H158" t="s">
        <v>586</v>
      </c>
    </row>
    <row r="159" spans="1:8" x14ac:dyDescent="0.3">
      <c r="A159" t="s">
        <v>557</v>
      </c>
      <c r="B159" t="s">
        <v>563</v>
      </c>
      <c r="C159" t="s">
        <v>48</v>
      </c>
      <c r="D159" t="s">
        <v>585</v>
      </c>
      <c r="E159" s="230">
        <v>13444.3</v>
      </c>
      <c r="F159" t="s">
        <v>560</v>
      </c>
      <c r="G159" t="b">
        <v>1</v>
      </c>
      <c r="H159" t="s">
        <v>586</v>
      </c>
    </row>
    <row r="160" spans="1:8" x14ac:dyDescent="0.3">
      <c r="A160" t="s">
        <v>557</v>
      </c>
      <c r="B160" t="s">
        <v>563</v>
      </c>
      <c r="C160" t="s">
        <v>49</v>
      </c>
      <c r="D160" t="s">
        <v>585</v>
      </c>
      <c r="E160" s="230">
        <v>550.09</v>
      </c>
      <c r="F160" t="s">
        <v>560</v>
      </c>
      <c r="G160" t="b">
        <v>1</v>
      </c>
      <c r="H160" t="s">
        <v>586</v>
      </c>
    </row>
    <row r="161" spans="1:8" x14ac:dyDescent="0.3">
      <c r="A161" t="s">
        <v>557</v>
      </c>
      <c r="B161" t="s">
        <v>564</v>
      </c>
      <c r="C161" t="s">
        <v>565</v>
      </c>
      <c r="D161" t="s">
        <v>585</v>
      </c>
      <c r="E161" s="230">
        <v>75156.97</v>
      </c>
      <c r="F161" t="s">
        <v>560</v>
      </c>
      <c r="G161" t="b">
        <v>1</v>
      </c>
      <c r="H161" t="s">
        <v>586</v>
      </c>
    </row>
    <row r="162" spans="1:8" x14ac:dyDescent="0.3">
      <c r="A162" t="s">
        <v>557</v>
      </c>
      <c r="B162" t="s">
        <v>564</v>
      </c>
      <c r="C162" t="s">
        <v>566</v>
      </c>
      <c r="D162" t="s">
        <v>585</v>
      </c>
      <c r="E162" s="230">
        <v>23269.439999999999</v>
      </c>
      <c r="F162" t="s">
        <v>560</v>
      </c>
      <c r="G162" t="b">
        <v>1</v>
      </c>
      <c r="H162" t="s">
        <v>586</v>
      </c>
    </row>
    <row r="163" spans="1:8" x14ac:dyDescent="0.3">
      <c r="A163" t="s">
        <v>557</v>
      </c>
      <c r="B163" t="s">
        <v>564</v>
      </c>
      <c r="C163" t="s">
        <v>567</v>
      </c>
      <c r="D163" t="s">
        <v>585</v>
      </c>
      <c r="E163" s="230">
        <v>595.07000000000005</v>
      </c>
      <c r="F163" t="s">
        <v>560</v>
      </c>
      <c r="G163" t="b">
        <v>1</v>
      </c>
      <c r="H163" t="s">
        <v>586</v>
      </c>
    </row>
    <row r="164" spans="1:8" x14ac:dyDescent="0.3">
      <c r="A164" t="s">
        <v>557</v>
      </c>
      <c r="B164" t="s">
        <v>564</v>
      </c>
      <c r="C164" t="s">
        <v>568</v>
      </c>
      <c r="D164" t="s">
        <v>585</v>
      </c>
      <c r="E164" s="230">
        <v>0</v>
      </c>
      <c r="F164" t="s">
        <v>560</v>
      </c>
      <c r="G164" t="b">
        <v>1</v>
      </c>
      <c r="H164" t="s">
        <v>586</v>
      </c>
    </row>
    <row r="165" spans="1:8" x14ac:dyDescent="0.3">
      <c r="A165" t="s">
        <v>557</v>
      </c>
      <c r="B165" t="s">
        <v>569</v>
      </c>
      <c r="C165" t="s">
        <v>58</v>
      </c>
      <c r="D165" t="s">
        <v>585</v>
      </c>
      <c r="E165" s="230">
        <v>2847.95</v>
      </c>
      <c r="F165" t="s">
        <v>560</v>
      </c>
      <c r="G165" t="b">
        <v>1</v>
      </c>
      <c r="H165" t="s">
        <v>586</v>
      </c>
    </row>
    <row r="166" spans="1:8" x14ac:dyDescent="0.3">
      <c r="A166" t="s">
        <v>557</v>
      </c>
      <c r="B166" t="s">
        <v>569</v>
      </c>
      <c r="C166" t="s">
        <v>59</v>
      </c>
      <c r="D166" t="s">
        <v>585</v>
      </c>
      <c r="E166" s="230">
        <v>425.07</v>
      </c>
      <c r="F166" t="s">
        <v>560</v>
      </c>
      <c r="G166" t="b">
        <v>1</v>
      </c>
      <c r="H166" t="s">
        <v>586</v>
      </c>
    </row>
    <row r="167" spans="1:8" x14ac:dyDescent="0.3">
      <c r="A167" t="s">
        <v>557</v>
      </c>
      <c r="B167" t="s">
        <v>569</v>
      </c>
      <c r="C167" t="s">
        <v>62</v>
      </c>
      <c r="D167" t="s">
        <v>585</v>
      </c>
      <c r="E167" s="230">
        <v>0</v>
      </c>
      <c r="F167" t="s">
        <v>560</v>
      </c>
      <c r="G167" t="b">
        <v>1</v>
      </c>
      <c r="H167" t="s">
        <v>586</v>
      </c>
    </row>
    <row r="168" spans="1:8" x14ac:dyDescent="0.3">
      <c r="A168" t="s">
        <v>557</v>
      </c>
      <c r="B168" t="s">
        <v>570</v>
      </c>
      <c r="C168" t="s">
        <v>64</v>
      </c>
      <c r="D168" t="s">
        <v>585</v>
      </c>
      <c r="E168" s="230">
        <v>0</v>
      </c>
      <c r="F168" t="s">
        <v>560</v>
      </c>
      <c r="G168" t="b">
        <v>1</v>
      </c>
      <c r="H168" t="s">
        <v>586</v>
      </c>
    </row>
    <row r="169" spans="1:8" x14ac:dyDescent="0.3">
      <c r="A169" t="s">
        <v>557</v>
      </c>
      <c r="B169" t="s">
        <v>569</v>
      </c>
      <c r="C169" t="s">
        <v>66</v>
      </c>
      <c r="D169" t="s">
        <v>585</v>
      </c>
      <c r="E169" s="230">
        <v>0</v>
      </c>
      <c r="F169" t="s">
        <v>560</v>
      </c>
      <c r="G169" t="b">
        <v>1</v>
      </c>
      <c r="H169" t="s">
        <v>586</v>
      </c>
    </row>
    <row r="170" spans="1:8" x14ac:dyDescent="0.3">
      <c r="A170" t="s">
        <v>557</v>
      </c>
      <c r="B170" t="s">
        <v>569</v>
      </c>
      <c r="C170" t="s">
        <v>68</v>
      </c>
      <c r="D170" t="s">
        <v>585</v>
      </c>
      <c r="E170" s="230">
        <v>1487.74</v>
      </c>
      <c r="F170" t="s">
        <v>560</v>
      </c>
      <c r="G170" t="b">
        <v>1</v>
      </c>
      <c r="H170" t="s">
        <v>586</v>
      </c>
    </row>
    <row r="171" spans="1:8" x14ac:dyDescent="0.3">
      <c r="A171" t="s">
        <v>557</v>
      </c>
      <c r="B171" t="s">
        <v>569</v>
      </c>
      <c r="C171" t="s">
        <v>69</v>
      </c>
      <c r="D171" t="s">
        <v>585</v>
      </c>
      <c r="E171" s="230">
        <v>0</v>
      </c>
      <c r="F171" t="s">
        <v>560</v>
      </c>
      <c r="G171" t="b">
        <v>1</v>
      </c>
      <c r="H171" t="s">
        <v>586</v>
      </c>
    </row>
    <row r="172" spans="1:8" x14ac:dyDescent="0.3">
      <c r="A172" t="s">
        <v>557</v>
      </c>
      <c r="B172" t="s">
        <v>570</v>
      </c>
      <c r="C172" t="s">
        <v>73</v>
      </c>
      <c r="D172" t="s">
        <v>585</v>
      </c>
      <c r="E172" s="230">
        <v>4000</v>
      </c>
      <c r="F172" t="s">
        <v>560</v>
      </c>
      <c r="G172" t="b">
        <v>1</v>
      </c>
      <c r="H172" t="s">
        <v>586</v>
      </c>
    </row>
    <row r="173" spans="1:8" x14ac:dyDescent="0.3">
      <c r="A173" t="s">
        <v>557</v>
      </c>
      <c r="B173" t="s">
        <v>571</v>
      </c>
      <c r="C173" t="s">
        <v>75</v>
      </c>
      <c r="D173" t="s">
        <v>585</v>
      </c>
      <c r="E173" s="230">
        <v>532.35</v>
      </c>
      <c r="F173" t="s">
        <v>560</v>
      </c>
      <c r="G173" t="b">
        <v>1</v>
      </c>
      <c r="H173" t="s">
        <v>586</v>
      </c>
    </row>
    <row r="174" spans="1:8" x14ac:dyDescent="0.3">
      <c r="A174" t="s">
        <v>557</v>
      </c>
      <c r="B174" t="s">
        <v>571</v>
      </c>
      <c r="C174" t="s">
        <v>78</v>
      </c>
      <c r="D174" t="s">
        <v>585</v>
      </c>
      <c r="E174" s="230">
        <v>567.84</v>
      </c>
      <c r="F174" t="s">
        <v>560</v>
      </c>
      <c r="G174" t="b">
        <v>1</v>
      </c>
      <c r="H174" t="s">
        <v>586</v>
      </c>
    </row>
    <row r="175" spans="1:8" x14ac:dyDescent="0.3">
      <c r="A175" t="s">
        <v>557</v>
      </c>
      <c r="B175" t="s">
        <v>571</v>
      </c>
      <c r="C175" t="s">
        <v>80</v>
      </c>
      <c r="D175" t="s">
        <v>585</v>
      </c>
      <c r="E175" s="230">
        <v>177.45</v>
      </c>
      <c r="F175" t="s">
        <v>560</v>
      </c>
      <c r="G175" t="b">
        <v>1</v>
      </c>
      <c r="H175" t="s">
        <v>586</v>
      </c>
    </row>
    <row r="176" spans="1:8" x14ac:dyDescent="0.3">
      <c r="A176" t="s">
        <v>557</v>
      </c>
      <c r="B176" t="s">
        <v>571</v>
      </c>
      <c r="C176" t="s">
        <v>82</v>
      </c>
      <c r="D176" t="s">
        <v>585</v>
      </c>
      <c r="E176" s="230">
        <v>0</v>
      </c>
      <c r="F176" t="s">
        <v>560</v>
      </c>
      <c r="G176" t="b">
        <v>1</v>
      </c>
      <c r="H176" t="s">
        <v>586</v>
      </c>
    </row>
    <row r="177" spans="1:8" x14ac:dyDescent="0.3">
      <c r="A177" t="s">
        <v>557</v>
      </c>
      <c r="B177" t="s">
        <v>571</v>
      </c>
      <c r="C177" t="s">
        <v>84</v>
      </c>
      <c r="D177" t="s">
        <v>585</v>
      </c>
      <c r="E177" s="230">
        <v>0</v>
      </c>
      <c r="F177" t="s">
        <v>560</v>
      </c>
      <c r="G177" t="b">
        <v>1</v>
      </c>
      <c r="H177" t="s">
        <v>586</v>
      </c>
    </row>
    <row r="178" spans="1:8" x14ac:dyDescent="0.3">
      <c r="A178" t="s">
        <v>557</v>
      </c>
      <c r="B178" t="s">
        <v>571</v>
      </c>
      <c r="C178" t="s">
        <v>86</v>
      </c>
      <c r="D178" t="s">
        <v>585</v>
      </c>
      <c r="E178" s="230">
        <v>0</v>
      </c>
      <c r="F178" t="s">
        <v>560</v>
      </c>
      <c r="G178" t="b">
        <v>1</v>
      </c>
      <c r="H178" t="s">
        <v>586</v>
      </c>
    </row>
    <row r="179" spans="1:8" x14ac:dyDescent="0.3">
      <c r="A179" t="s">
        <v>557</v>
      </c>
      <c r="B179" t="s">
        <v>571</v>
      </c>
      <c r="C179" t="s">
        <v>87</v>
      </c>
      <c r="D179" t="s">
        <v>585</v>
      </c>
      <c r="E179" s="230">
        <v>0</v>
      </c>
      <c r="F179" t="s">
        <v>560</v>
      </c>
      <c r="G179" t="b">
        <v>1</v>
      </c>
      <c r="H179" t="s">
        <v>586</v>
      </c>
    </row>
    <row r="180" spans="1:8" x14ac:dyDescent="0.3">
      <c r="A180" t="s">
        <v>557</v>
      </c>
      <c r="B180" t="s">
        <v>571</v>
      </c>
      <c r="C180" t="s">
        <v>88</v>
      </c>
      <c r="D180" t="s">
        <v>585</v>
      </c>
      <c r="E180" s="230">
        <v>0</v>
      </c>
      <c r="F180" t="s">
        <v>560</v>
      </c>
      <c r="G180" t="b">
        <v>1</v>
      </c>
      <c r="H180" t="s">
        <v>586</v>
      </c>
    </row>
    <row r="181" spans="1:8" x14ac:dyDescent="0.3">
      <c r="A181" t="s">
        <v>557</v>
      </c>
      <c r="B181" t="s">
        <v>571</v>
      </c>
      <c r="C181" t="s">
        <v>89</v>
      </c>
      <c r="D181" t="s">
        <v>585</v>
      </c>
      <c r="E181" s="230">
        <v>0</v>
      </c>
      <c r="F181" t="s">
        <v>560</v>
      </c>
      <c r="G181" t="b">
        <v>1</v>
      </c>
      <c r="H181" t="s">
        <v>586</v>
      </c>
    </row>
    <row r="182" spans="1:8" x14ac:dyDescent="0.3">
      <c r="A182" t="s">
        <v>557</v>
      </c>
      <c r="B182" t="s">
        <v>571</v>
      </c>
      <c r="C182" t="s">
        <v>91</v>
      </c>
      <c r="D182" t="s">
        <v>585</v>
      </c>
      <c r="E182" s="230">
        <v>0</v>
      </c>
      <c r="F182" t="s">
        <v>560</v>
      </c>
      <c r="G182" t="b">
        <v>1</v>
      </c>
      <c r="H182" t="s">
        <v>586</v>
      </c>
    </row>
    <row r="183" spans="1:8" x14ac:dyDescent="0.3">
      <c r="A183" t="s">
        <v>557</v>
      </c>
      <c r="B183" t="s">
        <v>571</v>
      </c>
      <c r="C183" t="s">
        <v>93</v>
      </c>
      <c r="D183" t="s">
        <v>585</v>
      </c>
      <c r="E183" s="230">
        <v>0</v>
      </c>
      <c r="F183" t="s">
        <v>560</v>
      </c>
      <c r="G183" t="b">
        <v>1</v>
      </c>
      <c r="H183" t="s">
        <v>586</v>
      </c>
    </row>
    <row r="184" spans="1:8" x14ac:dyDescent="0.3">
      <c r="A184" t="s">
        <v>557</v>
      </c>
      <c r="B184" t="s">
        <v>571</v>
      </c>
      <c r="C184" t="s">
        <v>96</v>
      </c>
      <c r="D184" t="s">
        <v>585</v>
      </c>
      <c r="E184" s="230">
        <v>0</v>
      </c>
      <c r="F184" t="s">
        <v>560</v>
      </c>
      <c r="G184" t="b">
        <v>1</v>
      </c>
      <c r="H184" t="s">
        <v>586</v>
      </c>
    </row>
    <row r="185" spans="1:8" x14ac:dyDescent="0.3">
      <c r="A185" t="s">
        <v>557</v>
      </c>
      <c r="B185" t="s">
        <v>571</v>
      </c>
      <c r="C185" t="s">
        <v>98</v>
      </c>
      <c r="D185" t="s">
        <v>585</v>
      </c>
      <c r="E185" s="230">
        <v>0</v>
      </c>
      <c r="F185" t="s">
        <v>560</v>
      </c>
      <c r="G185" t="b">
        <v>1</v>
      </c>
      <c r="H185" t="s">
        <v>586</v>
      </c>
    </row>
    <row r="186" spans="1:8" x14ac:dyDescent="0.3">
      <c r="A186" t="s">
        <v>557</v>
      </c>
      <c r="B186" t="s">
        <v>571</v>
      </c>
      <c r="C186" t="s">
        <v>100</v>
      </c>
      <c r="D186" t="s">
        <v>585</v>
      </c>
      <c r="E186" s="230">
        <v>0</v>
      </c>
      <c r="F186" t="s">
        <v>560</v>
      </c>
      <c r="G186" t="b">
        <v>1</v>
      </c>
      <c r="H186" t="s">
        <v>586</v>
      </c>
    </row>
    <row r="187" spans="1:8" x14ac:dyDescent="0.3">
      <c r="A187" t="s">
        <v>557</v>
      </c>
      <c r="B187" t="s">
        <v>571</v>
      </c>
      <c r="C187" t="s">
        <v>102</v>
      </c>
      <c r="D187" t="s">
        <v>585</v>
      </c>
      <c r="E187" s="230">
        <v>0</v>
      </c>
      <c r="F187" t="s">
        <v>560</v>
      </c>
      <c r="G187" t="b">
        <v>1</v>
      </c>
      <c r="H187" t="s">
        <v>586</v>
      </c>
    </row>
    <row r="188" spans="1:8" x14ac:dyDescent="0.3">
      <c r="A188" t="s">
        <v>557</v>
      </c>
      <c r="B188" t="s">
        <v>571</v>
      </c>
      <c r="C188" t="s">
        <v>103</v>
      </c>
      <c r="D188" t="s">
        <v>585</v>
      </c>
      <c r="E188" s="230">
        <v>0</v>
      </c>
      <c r="F188" t="s">
        <v>560</v>
      </c>
      <c r="G188" t="b">
        <v>1</v>
      </c>
      <c r="H188" t="s">
        <v>586</v>
      </c>
    </row>
    <row r="189" spans="1:8" x14ac:dyDescent="0.3">
      <c r="A189" t="s">
        <v>557</v>
      </c>
      <c r="B189" t="s">
        <v>571</v>
      </c>
      <c r="C189" t="s">
        <v>104</v>
      </c>
      <c r="D189" t="s">
        <v>585</v>
      </c>
      <c r="E189" s="230">
        <v>0</v>
      </c>
      <c r="F189" t="s">
        <v>560</v>
      </c>
      <c r="G189" t="b">
        <v>1</v>
      </c>
      <c r="H189" t="s">
        <v>586</v>
      </c>
    </row>
    <row r="190" spans="1:8" x14ac:dyDescent="0.3">
      <c r="A190" t="s">
        <v>557</v>
      </c>
      <c r="B190" t="s">
        <v>571</v>
      </c>
      <c r="C190" t="s">
        <v>105</v>
      </c>
      <c r="D190" t="s">
        <v>585</v>
      </c>
      <c r="E190" s="230">
        <v>0</v>
      </c>
      <c r="F190" t="s">
        <v>560</v>
      </c>
      <c r="G190" t="b">
        <v>1</v>
      </c>
      <c r="H190" t="s">
        <v>586</v>
      </c>
    </row>
    <row r="191" spans="1:8" x14ac:dyDescent="0.3">
      <c r="A191" t="s">
        <v>557</v>
      </c>
      <c r="B191" t="s">
        <v>571</v>
      </c>
      <c r="C191" t="s">
        <v>108</v>
      </c>
      <c r="D191" t="s">
        <v>585</v>
      </c>
      <c r="E191" s="230">
        <v>0</v>
      </c>
      <c r="F191" t="s">
        <v>560</v>
      </c>
      <c r="G191" t="b">
        <v>1</v>
      </c>
      <c r="H191" t="s">
        <v>586</v>
      </c>
    </row>
    <row r="192" spans="1:8" x14ac:dyDescent="0.3">
      <c r="A192" t="s">
        <v>557</v>
      </c>
      <c r="B192" t="s">
        <v>571</v>
      </c>
      <c r="C192" t="s">
        <v>109</v>
      </c>
      <c r="D192" t="s">
        <v>585</v>
      </c>
      <c r="E192" s="230">
        <v>0</v>
      </c>
      <c r="F192" t="s">
        <v>560</v>
      </c>
      <c r="G192" t="b">
        <v>1</v>
      </c>
      <c r="H192" t="s">
        <v>586</v>
      </c>
    </row>
    <row r="193" spans="1:8" x14ac:dyDescent="0.3">
      <c r="A193" t="s">
        <v>557</v>
      </c>
      <c r="B193" t="s">
        <v>572</v>
      </c>
      <c r="C193" t="s">
        <v>112</v>
      </c>
      <c r="D193" t="s">
        <v>585</v>
      </c>
      <c r="E193" s="230">
        <v>30637.1</v>
      </c>
      <c r="F193" t="s">
        <v>560</v>
      </c>
      <c r="G193" t="b">
        <v>1</v>
      </c>
      <c r="H193" t="s">
        <v>586</v>
      </c>
    </row>
    <row r="194" spans="1:8" x14ac:dyDescent="0.3">
      <c r="A194" t="s">
        <v>557</v>
      </c>
      <c r="B194" t="s">
        <v>562</v>
      </c>
      <c r="C194" t="s">
        <v>116</v>
      </c>
      <c r="D194" t="s">
        <v>585</v>
      </c>
      <c r="E194" s="230">
        <v>6577.27</v>
      </c>
      <c r="F194" t="s">
        <v>560</v>
      </c>
      <c r="G194" t="b">
        <v>1</v>
      </c>
      <c r="H194" t="s">
        <v>586</v>
      </c>
    </row>
    <row r="195" spans="1:8" x14ac:dyDescent="0.3">
      <c r="A195" t="s">
        <v>557</v>
      </c>
      <c r="B195" t="s">
        <v>562</v>
      </c>
      <c r="C195" t="s">
        <v>118</v>
      </c>
      <c r="D195" t="s">
        <v>585</v>
      </c>
      <c r="E195" s="230">
        <v>5157.32</v>
      </c>
      <c r="F195" t="s">
        <v>560</v>
      </c>
      <c r="G195" t="b">
        <v>1</v>
      </c>
      <c r="H195" t="s">
        <v>586</v>
      </c>
    </row>
    <row r="196" spans="1:8" x14ac:dyDescent="0.3">
      <c r="A196" t="s">
        <v>557</v>
      </c>
      <c r="B196" t="s">
        <v>562</v>
      </c>
      <c r="C196" t="s">
        <v>120</v>
      </c>
      <c r="D196" t="s">
        <v>585</v>
      </c>
      <c r="E196" s="230">
        <v>0</v>
      </c>
      <c r="F196" t="s">
        <v>560</v>
      </c>
      <c r="G196" t="b">
        <v>1</v>
      </c>
      <c r="H196" t="s">
        <v>586</v>
      </c>
    </row>
    <row r="197" spans="1:8" x14ac:dyDescent="0.3">
      <c r="A197" t="s">
        <v>557</v>
      </c>
      <c r="B197" t="s">
        <v>562</v>
      </c>
      <c r="C197" t="s">
        <v>122</v>
      </c>
      <c r="D197" t="s">
        <v>585</v>
      </c>
      <c r="E197" s="230">
        <v>0</v>
      </c>
      <c r="F197" t="s">
        <v>560</v>
      </c>
      <c r="G197" t="b">
        <v>1</v>
      </c>
      <c r="H197" t="s">
        <v>586</v>
      </c>
    </row>
    <row r="198" spans="1:8" x14ac:dyDescent="0.3">
      <c r="A198" t="s">
        <v>557</v>
      </c>
      <c r="B198" t="s">
        <v>570</v>
      </c>
      <c r="C198" t="s">
        <v>573</v>
      </c>
      <c r="D198" t="s">
        <v>585</v>
      </c>
      <c r="E198" s="230">
        <v>33850</v>
      </c>
      <c r="F198" t="s">
        <v>560</v>
      </c>
      <c r="G198" t="b">
        <v>1</v>
      </c>
      <c r="H198" t="s">
        <v>586</v>
      </c>
    </row>
    <row r="199" spans="1:8" x14ac:dyDescent="0.3">
      <c r="A199" t="s">
        <v>557</v>
      </c>
      <c r="B199" t="s">
        <v>574</v>
      </c>
      <c r="C199" t="s">
        <v>575</v>
      </c>
      <c r="D199" t="s">
        <v>585</v>
      </c>
      <c r="E199" s="230">
        <v>35043.31</v>
      </c>
      <c r="F199" t="s">
        <v>560</v>
      </c>
      <c r="G199" t="b">
        <v>1</v>
      </c>
      <c r="H199" t="s">
        <v>586</v>
      </c>
    </row>
    <row r="200" spans="1:8" x14ac:dyDescent="0.3">
      <c r="A200" t="s">
        <v>557</v>
      </c>
      <c r="B200" t="s">
        <v>576</v>
      </c>
      <c r="C200" t="s">
        <v>203</v>
      </c>
      <c r="D200" t="s">
        <v>585</v>
      </c>
      <c r="E200" s="230">
        <v>11606.94</v>
      </c>
      <c r="F200" t="s">
        <v>560</v>
      </c>
      <c r="G200" t="b">
        <v>1</v>
      </c>
      <c r="H200" t="s">
        <v>586</v>
      </c>
    </row>
    <row r="201" spans="1:8" x14ac:dyDescent="0.3">
      <c r="A201" t="s">
        <v>557</v>
      </c>
      <c r="B201" t="s">
        <v>577</v>
      </c>
      <c r="C201" t="s">
        <v>206</v>
      </c>
      <c r="D201" t="s">
        <v>585</v>
      </c>
      <c r="E201" s="230">
        <v>5344.19</v>
      </c>
      <c r="F201" t="s">
        <v>560</v>
      </c>
      <c r="G201" t="b">
        <v>1</v>
      </c>
      <c r="H201" t="s">
        <v>586</v>
      </c>
    </row>
    <row r="202" spans="1:8" x14ac:dyDescent="0.3">
      <c r="A202" t="s">
        <v>557</v>
      </c>
      <c r="B202" t="s">
        <v>577</v>
      </c>
      <c r="C202" t="s">
        <v>209</v>
      </c>
      <c r="D202" t="s">
        <v>585</v>
      </c>
      <c r="E202" s="230">
        <v>0</v>
      </c>
      <c r="F202" t="s">
        <v>560</v>
      </c>
      <c r="G202" t="b">
        <v>1</v>
      </c>
      <c r="H202" t="s">
        <v>586</v>
      </c>
    </row>
    <row r="203" spans="1:8" x14ac:dyDescent="0.3">
      <c r="A203" t="s">
        <v>557</v>
      </c>
      <c r="B203" t="s">
        <v>577</v>
      </c>
      <c r="C203" t="s">
        <v>211</v>
      </c>
      <c r="D203" t="s">
        <v>585</v>
      </c>
      <c r="E203" s="230">
        <v>0</v>
      </c>
      <c r="F203" t="s">
        <v>560</v>
      </c>
      <c r="G203" t="b">
        <v>1</v>
      </c>
      <c r="H203" t="s">
        <v>586</v>
      </c>
    </row>
    <row r="204" spans="1:8" x14ac:dyDescent="0.3">
      <c r="A204" t="s">
        <v>557</v>
      </c>
      <c r="B204" t="s">
        <v>577</v>
      </c>
      <c r="C204" t="s">
        <v>213</v>
      </c>
      <c r="D204" t="s">
        <v>585</v>
      </c>
      <c r="E204" s="230">
        <v>3131.78</v>
      </c>
      <c r="F204" t="s">
        <v>560</v>
      </c>
      <c r="G204" t="b">
        <v>1</v>
      </c>
      <c r="H204" t="s">
        <v>586</v>
      </c>
    </row>
    <row r="205" spans="1:8" x14ac:dyDescent="0.3">
      <c r="A205" t="s">
        <v>557</v>
      </c>
      <c r="B205" t="s">
        <v>577</v>
      </c>
      <c r="C205" t="s">
        <v>215</v>
      </c>
      <c r="D205" t="s">
        <v>585</v>
      </c>
      <c r="E205" s="230">
        <v>1822.63</v>
      </c>
      <c r="F205" t="s">
        <v>560</v>
      </c>
      <c r="G205" t="b">
        <v>1</v>
      </c>
      <c r="H205" t="s">
        <v>586</v>
      </c>
    </row>
    <row r="206" spans="1:8" x14ac:dyDescent="0.3">
      <c r="A206" t="s">
        <v>557</v>
      </c>
      <c r="B206" t="s">
        <v>577</v>
      </c>
      <c r="C206" t="s">
        <v>217</v>
      </c>
      <c r="D206" t="s">
        <v>585</v>
      </c>
      <c r="E206" s="230">
        <v>27.87</v>
      </c>
      <c r="F206" t="s">
        <v>560</v>
      </c>
      <c r="G206" t="b">
        <v>1</v>
      </c>
      <c r="H206" t="s">
        <v>586</v>
      </c>
    </row>
    <row r="207" spans="1:8" x14ac:dyDescent="0.3">
      <c r="A207" t="s">
        <v>557</v>
      </c>
      <c r="B207" t="s">
        <v>577</v>
      </c>
      <c r="C207" t="s">
        <v>219</v>
      </c>
      <c r="D207" t="s">
        <v>585</v>
      </c>
      <c r="E207" s="230">
        <v>16.22</v>
      </c>
      <c r="F207" t="s">
        <v>560</v>
      </c>
      <c r="G207" t="b">
        <v>1</v>
      </c>
      <c r="H207" t="s">
        <v>586</v>
      </c>
    </row>
    <row r="208" spans="1:8" x14ac:dyDescent="0.3">
      <c r="A208" t="s">
        <v>557</v>
      </c>
      <c r="B208" t="s">
        <v>577</v>
      </c>
      <c r="C208" t="s">
        <v>221</v>
      </c>
      <c r="D208" t="s">
        <v>585</v>
      </c>
      <c r="E208" s="230">
        <v>0</v>
      </c>
      <c r="F208" t="s">
        <v>560</v>
      </c>
      <c r="G208" t="b">
        <v>1</v>
      </c>
      <c r="H208" t="s">
        <v>586</v>
      </c>
    </row>
    <row r="209" spans="1:8" x14ac:dyDescent="0.3">
      <c r="A209" t="s">
        <v>557</v>
      </c>
      <c r="B209" t="s">
        <v>577</v>
      </c>
      <c r="C209" t="s">
        <v>223</v>
      </c>
      <c r="D209" t="s">
        <v>585</v>
      </c>
      <c r="E209" s="230">
        <v>0</v>
      </c>
      <c r="F209" t="s">
        <v>560</v>
      </c>
      <c r="G209" t="b">
        <v>1</v>
      </c>
      <c r="H209" t="s">
        <v>586</v>
      </c>
    </row>
    <row r="210" spans="1:8" x14ac:dyDescent="0.3">
      <c r="A210" t="s">
        <v>557</v>
      </c>
      <c r="B210" t="s">
        <v>577</v>
      </c>
      <c r="C210" t="s">
        <v>225</v>
      </c>
      <c r="D210" t="s">
        <v>585</v>
      </c>
      <c r="E210" s="230">
        <v>985.21</v>
      </c>
      <c r="F210" t="s">
        <v>560</v>
      </c>
      <c r="G210" t="b">
        <v>1</v>
      </c>
      <c r="H210" t="s">
        <v>586</v>
      </c>
    </row>
    <row r="211" spans="1:8" x14ac:dyDescent="0.3">
      <c r="A211" t="s">
        <v>557</v>
      </c>
      <c r="B211" t="s">
        <v>577</v>
      </c>
      <c r="C211" t="s">
        <v>227</v>
      </c>
      <c r="D211" t="s">
        <v>585</v>
      </c>
      <c r="E211" s="230">
        <v>0</v>
      </c>
      <c r="F211" t="s">
        <v>560</v>
      </c>
      <c r="G211" t="b">
        <v>1</v>
      </c>
      <c r="H211" t="s">
        <v>586</v>
      </c>
    </row>
    <row r="212" spans="1:8" x14ac:dyDescent="0.3">
      <c r="A212" t="s">
        <v>557</v>
      </c>
      <c r="B212" t="s">
        <v>577</v>
      </c>
      <c r="C212" t="s">
        <v>229</v>
      </c>
      <c r="D212" t="s">
        <v>585</v>
      </c>
      <c r="E212" s="230">
        <v>0</v>
      </c>
      <c r="F212" t="s">
        <v>560</v>
      </c>
      <c r="G212" t="b">
        <v>1</v>
      </c>
      <c r="H212" t="s">
        <v>586</v>
      </c>
    </row>
    <row r="213" spans="1:8" x14ac:dyDescent="0.3">
      <c r="A213" t="s">
        <v>557</v>
      </c>
      <c r="B213" t="s">
        <v>577</v>
      </c>
      <c r="C213" t="s">
        <v>231</v>
      </c>
      <c r="D213" t="s">
        <v>585</v>
      </c>
      <c r="E213" s="230">
        <v>1701.72</v>
      </c>
      <c r="F213" t="s">
        <v>560</v>
      </c>
      <c r="G213" t="b">
        <v>1</v>
      </c>
      <c r="H213" t="s">
        <v>586</v>
      </c>
    </row>
    <row r="214" spans="1:8" x14ac:dyDescent="0.3">
      <c r="A214" t="s">
        <v>557</v>
      </c>
      <c r="B214" t="s">
        <v>577</v>
      </c>
      <c r="C214" t="s">
        <v>234</v>
      </c>
      <c r="D214" t="s">
        <v>585</v>
      </c>
      <c r="E214" s="230">
        <v>238.93</v>
      </c>
      <c r="F214" t="s">
        <v>560</v>
      </c>
      <c r="G214" t="b">
        <v>1</v>
      </c>
      <c r="H214" t="s">
        <v>586</v>
      </c>
    </row>
    <row r="215" spans="1:8" x14ac:dyDescent="0.3">
      <c r="A215" t="s">
        <v>557</v>
      </c>
      <c r="B215" t="s">
        <v>577</v>
      </c>
      <c r="C215" t="s">
        <v>236</v>
      </c>
      <c r="D215" t="s">
        <v>585</v>
      </c>
      <c r="E215" s="230">
        <v>0</v>
      </c>
      <c r="F215" t="s">
        <v>560</v>
      </c>
      <c r="G215" t="b">
        <v>1</v>
      </c>
      <c r="H215" t="s">
        <v>586</v>
      </c>
    </row>
    <row r="216" spans="1:8" x14ac:dyDescent="0.3">
      <c r="A216" t="s">
        <v>557</v>
      </c>
      <c r="B216" t="s">
        <v>577</v>
      </c>
      <c r="C216" t="s">
        <v>237</v>
      </c>
      <c r="D216" t="s">
        <v>585</v>
      </c>
      <c r="E216" s="230">
        <v>0</v>
      </c>
      <c r="F216" t="s">
        <v>560</v>
      </c>
      <c r="G216" t="b">
        <v>1</v>
      </c>
      <c r="H216" t="s">
        <v>586</v>
      </c>
    </row>
    <row r="217" spans="1:8" x14ac:dyDescent="0.3">
      <c r="A217" t="s">
        <v>557</v>
      </c>
      <c r="B217" t="s">
        <v>578</v>
      </c>
      <c r="C217" t="s">
        <v>239</v>
      </c>
      <c r="D217" t="s">
        <v>585</v>
      </c>
      <c r="E217" s="230">
        <v>4500</v>
      </c>
      <c r="F217" t="s">
        <v>560</v>
      </c>
      <c r="G217" t="b">
        <v>1</v>
      </c>
      <c r="H217" t="s">
        <v>586</v>
      </c>
    </row>
    <row r="218" spans="1:8" x14ac:dyDescent="0.3">
      <c r="A218" t="s">
        <v>557</v>
      </c>
      <c r="B218" t="s">
        <v>578</v>
      </c>
      <c r="C218" t="s">
        <v>240</v>
      </c>
      <c r="D218" t="s">
        <v>585</v>
      </c>
      <c r="E218" s="230">
        <v>0</v>
      </c>
      <c r="F218" t="s">
        <v>560</v>
      </c>
      <c r="G218" t="b">
        <v>1</v>
      </c>
      <c r="H218" t="s">
        <v>586</v>
      </c>
    </row>
    <row r="219" spans="1:8" x14ac:dyDescent="0.3">
      <c r="A219" t="s">
        <v>557</v>
      </c>
      <c r="B219" t="s">
        <v>578</v>
      </c>
      <c r="C219" t="s">
        <v>241</v>
      </c>
      <c r="D219" t="s">
        <v>585</v>
      </c>
      <c r="E219" s="230">
        <v>0</v>
      </c>
      <c r="F219" t="s">
        <v>560</v>
      </c>
      <c r="G219" t="b">
        <v>1</v>
      </c>
      <c r="H219" t="s">
        <v>586</v>
      </c>
    </row>
    <row r="220" spans="1:8" x14ac:dyDescent="0.3">
      <c r="A220" t="s">
        <v>557</v>
      </c>
      <c r="B220" t="s">
        <v>578</v>
      </c>
      <c r="C220" t="s">
        <v>242</v>
      </c>
      <c r="D220" t="s">
        <v>585</v>
      </c>
      <c r="E220" s="230">
        <v>150</v>
      </c>
      <c r="F220" t="s">
        <v>560</v>
      </c>
      <c r="G220" t="b">
        <v>1</v>
      </c>
      <c r="H220" t="s">
        <v>586</v>
      </c>
    </row>
    <row r="221" spans="1:8" x14ac:dyDescent="0.3">
      <c r="A221" t="s">
        <v>557</v>
      </c>
      <c r="B221" t="s">
        <v>578</v>
      </c>
      <c r="C221" t="s">
        <v>244</v>
      </c>
      <c r="D221" t="s">
        <v>585</v>
      </c>
      <c r="E221" s="230">
        <v>0</v>
      </c>
      <c r="F221" t="s">
        <v>560</v>
      </c>
      <c r="G221" t="b">
        <v>1</v>
      </c>
      <c r="H221" t="s">
        <v>586</v>
      </c>
    </row>
    <row r="222" spans="1:8" x14ac:dyDescent="0.3">
      <c r="A222" t="s">
        <v>557</v>
      </c>
      <c r="B222" t="s">
        <v>578</v>
      </c>
      <c r="C222" t="s">
        <v>246</v>
      </c>
      <c r="D222" t="s">
        <v>585</v>
      </c>
      <c r="E222" s="230">
        <v>0</v>
      </c>
      <c r="F222" t="s">
        <v>560</v>
      </c>
      <c r="G222" t="b">
        <v>1</v>
      </c>
      <c r="H222" t="s">
        <v>586</v>
      </c>
    </row>
    <row r="223" spans="1:8" x14ac:dyDescent="0.3">
      <c r="A223" t="s">
        <v>557</v>
      </c>
      <c r="B223" t="s">
        <v>578</v>
      </c>
      <c r="C223" t="s">
        <v>247</v>
      </c>
      <c r="D223" t="s">
        <v>585</v>
      </c>
      <c r="E223" s="230">
        <v>74.16</v>
      </c>
      <c r="F223" t="s">
        <v>560</v>
      </c>
      <c r="G223" t="b">
        <v>1</v>
      </c>
      <c r="H223" t="s">
        <v>586</v>
      </c>
    </row>
    <row r="224" spans="1:8" x14ac:dyDescent="0.3">
      <c r="A224" t="s">
        <v>557</v>
      </c>
      <c r="B224" t="s">
        <v>578</v>
      </c>
      <c r="C224" t="s">
        <v>249</v>
      </c>
      <c r="D224" t="s">
        <v>585</v>
      </c>
      <c r="E224" s="230">
        <v>0</v>
      </c>
      <c r="F224" t="s">
        <v>560</v>
      </c>
      <c r="G224" t="b">
        <v>1</v>
      </c>
      <c r="H224" t="s">
        <v>586</v>
      </c>
    </row>
    <row r="225" spans="1:8" x14ac:dyDescent="0.3">
      <c r="A225" t="s">
        <v>557</v>
      </c>
      <c r="B225" t="s">
        <v>578</v>
      </c>
      <c r="C225" t="s">
        <v>250</v>
      </c>
      <c r="D225" t="s">
        <v>585</v>
      </c>
      <c r="E225" s="230">
        <v>0</v>
      </c>
      <c r="F225" t="s">
        <v>560</v>
      </c>
      <c r="G225" t="b">
        <v>1</v>
      </c>
      <c r="H225" t="s">
        <v>586</v>
      </c>
    </row>
    <row r="226" spans="1:8" x14ac:dyDescent="0.3">
      <c r="A226" t="s">
        <v>557</v>
      </c>
      <c r="B226" t="s">
        <v>578</v>
      </c>
      <c r="C226" t="s">
        <v>251</v>
      </c>
      <c r="D226" t="s">
        <v>585</v>
      </c>
      <c r="E226" s="230">
        <v>0</v>
      </c>
      <c r="F226" t="s">
        <v>560</v>
      </c>
      <c r="G226" t="b">
        <v>1</v>
      </c>
      <c r="H226" t="s">
        <v>586</v>
      </c>
    </row>
    <row r="227" spans="1:8" x14ac:dyDescent="0.3">
      <c r="A227" t="s">
        <v>557</v>
      </c>
      <c r="B227" t="s">
        <v>578</v>
      </c>
      <c r="C227" t="s">
        <v>252</v>
      </c>
      <c r="D227" t="s">
        <v>585</v>
      </c>
      <c r="E227" s="230">
        <v>16507.77</v>
      </c>
      <c r="F227" t="s">
        <v>560</v>
      </c>
      <c r="G227" t="b">
        <v>1</v>
      </c>
      <c r="H227" t="s">
        <v>586</v>
      </c>
    </row>
    <row r="228" spans="1:8" x14ac:dyDescent="0.3">
      <c r="A228" t="s">
        <v>557</v>
      </c>
      <c r="B228" t="s">
        <v>579</v>
      </c>
      <c r="C228" t="s">
        <v>253</v>
      </c>
      <c r="D228" t="s">
        <v>585</v>
      </c>
      <c r="E228" s="230">
        <v>0</v>
      </c>
      <c r="F228" t="s">
        <v>560</v>
      </c>
      <c r="G228" t="b">
        <v>1</v>
      </c>
      <c r="H228" t="s">
        <v>586</v>
      </c>
    </row>
    <row r="229" spans="1:8" x14ac:dyDescent="0.3">
      <c r="A229" t="s">
        <v>557</v>
      </c>
      <c r="B229" t="s">
        <v>256</v>
      </c>
      <c r="C229" t="s">
        <v>257</v>
      </c>
      <c r="D229" t="s">
        <v>585</v>
      </c>
      <c r="E229" s="230">
        <v>51452.1</v>
      </c>
      <c r="F229" t="s">
        <v>560</v>
      </c>
      <c r="G229" t="b">
        <v>1</v>
      </c>
      <c r="H229" t="s">
        <v>586</v>
      </c>
    </row>
    <row r="230" spans="1:8" x14ac:dyDescent="0.3">
      <c r="A230" t="s">
        <v>557</v>
      </c>
      <c r="B230" t="s">
        <v>256</v>
      </c>
      <c r="C230" t="s">
        <v>258</v>
      </c>
      <c r="D230" t="s">
        <v>585</v>
      </c>
      <c r="E230" s="230">
        <v>0</v>
      </c>
      <c r="F230" t="s">
        <v>560</v>
      </c>
      <c r="G230" t="b">
        <v>1</v>
      </c>
      <c r="H230" t="s">
        <v>586</v>
      </c>
    </row>
    <row r="231" spans="1:8" x14ac:dyDescent="0.3">
      <c r="A231" t="s">
        <v>557</v>
      </c>
      <c r="B231" t="s">
        <v>256</v>
      </c>
      <c r="C231" t="s">
        <v>259</v>
      </c>
      <c r="D231" t="s">
        <v>585</v>
      </c>
      <c r="E231" s="230">
        <v>2847.92</v>
      </c>
      <c r="F231" t="s">
        <v>560</v>
      </c>
      <c r="G231" t="b">
        <v>1</v>
      </c>
      <c r="H231" t="s">
        <v>586</v>
      </c>
    </row>
    <row r="232" spans="1:8" x14ac:dyDescent="0.3">
      <c r="A232" t="s">
        <v>557</v>
      </c>
      <c r="B232" t="s">
        <v>256</v>
      </c>
      <c r="C232" t="s">
        <v>260</v>
      </c>
      <c r="D232" t="s">
        <v>585</v>
      </c>
      <c r="E232" s="230">
        <v>0</v>
      </c>
      <c r="F232" t="s">
        <v>560</v>
      </c>
      <c r="G232" t="b">
        <v>1</v>
      </c>
      <c r="H232" t="s">
        <v>586</v>
      </c>
    </row>
    <row r="233" spans="1:8" x14ac:dyDescent="0.3">
      <c r="A233" t="s">
        <v>557</v>
      </c>
      <c r="B233" t="s">
        <v>256</v>
      </c>
      <c r="C233" t="s">
        <v>261</v>
      </c>
      <c r="D233" t="s">
        <v>585</v>
      </c>
      <c r="E233" s="230">
        <v>0</v>
      </c>
      <c r="F233" t="s">
        <v>560</v>
      </c>
      <c r="G233" t="b">
        <v>1</v>
      </c>
      <c r="H233" t="s">
        <v>586</v>
      </c>
    </row>
    <row r="234" spans="1:8" x14ac:dyDescent="0.3">
      <c r="A234" t="s">
        <v>557</v>
      </c>
      <c r="B234" t="s">
        <v>256</v>
      </c>
      <c r="C234" t="s">
        <v>262</v>
      </c>
      <c r="D234" t="s">
        <v>585</v>
      </c>
      <c r="E234" s="230">
        <v>0</v>
      </c>
      <c r="F234" t="s">
        <v>560</v>
      </c>
      <c r="G234" t="b">
        <v>1</v>
      </c>
      <c r="H234" t="s">
        <v>586</v>
      </c>
    </row>
    <row r="235" spans="1:8" x14ac:dyDescent="0.3">
      <c r="A235" t="s">
        <v>557</v>
      </c>
      <c r="B235" t="s">
        <v>256</v>
      </c>
      <c r="C235" t="s">
        <v>263</v>
      </c>
      <c r="D235" t="s">
        <v>585</v>
      </c>
      <c r="E235" s="230">
        <v>0</v>
      </c>
      <c r="F235" t="s">
        <v>560</v>
      </c>
      <c r="G235" t="b">
        <v>1</v>
      </c>
      <c r="H235" t="s">
        <v>586</v>
      </c>
    </row>
    <row r="236" spans="1:8" x14ac:dyDescent="0.3">
      <c r="A236" t="s">
        <v>557</v>
      </c>
      <c r="B236" t="s">
        <v>264</v>
      </c>
      <c r="C236" t="s">
        <v>265</v>
      </c>
      <c r="D236" t="s">
        <v>585</v>
      </c>
      <c r="E236" s="230">
        <v>5193.45</v>
      </c>
      <c r="F236" t="s">
        <v>560</v>
      </c>
      <c r="G236" t="b">
        <v>1</v>
      </c>
      <c r="H236" t="s">
        <v>586</v>
      </c>
    </row>
    <row r="237" spans="1:8" x14ac:dyDescent="0.3">
      <c r="A237" t="s">
        <v>557</v>
      </c>
      <c r="B237" t="s">
        <v>264</v>
      </c>
      <c r="C237" t="s">
        <v>266</v>
      </c>
      <c r="D237" t="s">
        <v>585</v>
      </c>
      <c r="E237" s="230">
        <v>11043.45</v>
      </c>
      <c r="F237" t="s">
        <v>560</v>
      </c>
      <c r="G237" t="b">
        <v>1</v>
      </c>
      <c r="H237" t="s">
        <v>586</v>
      </c>
    </row>
    <row r="238" spans="1:8" x14ac:dyDescent="0.3">
      <c r="A238" t="s">
        <v>557</v>
      </c>
      <c r="B238" t="s">
        <v>264</v>
      </c>
      <c r="C238" t="s">
        <v>267</v>
      </c>
      <c r="D238" t="s">
        <v>585</v>
      </c>
      <c r="E238" s="230">
        <v>6893.45</v>
      </c>
      <c r="F238" t="s">
        <v>560</v>
      </c>
      <c r="G238" t="b">
        <v>1</v>
      </c>
      <c r="H238" t="s">
        <v>586</v>
      </c>
    </row>
    <row r="239" spans="1:8" x14ac:dyDescent="0.3">
      <c r="A239" t="s">
        <v>557</v>
      </c>
      <c r="B239" t="s">
        <v>264</v>
      </c>
      <c r="C239" t="s">
        <v>268</v>
      </c>
      <c r="D239" t="s">
        <v>585</v>
      </c>
      <c r="E239" s="230">
        <v>6493.45</v>
      </c>
      <c r="F239" t="s">
        <v>560</v>
      </c>
      <c r="G239" t="b">
        <v>1</v>
      </c>
      <c r="H239" t="s">
        <v>586</v>
      </c>
    </row>
    <row r="240" spans="1:8" x14ac:dyDescent="0.3">
      <c r="A240" t="s">
        <v>557</v>
      </c>
      <c r="B240" t="s">
        <v>264</v>
      </c>
      <c r="C240" t="s">
        <v>269</v>
      </c>
      <c r="D240" t="s">
        <v>585</v>
      </c>
      <c r="E240" s="230">
        <v>543.45000000000005</v>
      </c>
      <c r="F240" t="s">
        <v>560</v>
      </c>
      <c r="G240" t="b">
        <v>1</v>
      </c>
      <c r="H240" t="s">
        <v>586</v>
      </c>
    </row>
    <row r="241" spans="1:8" x14ac:dyDescent="0.3">
      <c r="A241" t="s">
        <v>557</v>
      </c>
      <c r="B241" t="s">
        <v>264</v>
      </c>
      <c r="C241" t="s">
        <v>270</v>
      </c>
      <c r="D241" t="s">
        <v>585</v>
      </c>
      <c r="E241" s="230">
        <v>561</v>
      </c>
      <c r="F241" t="s">
        <v>560</v>
      </c>
      <c r="G241" t="b">
        <v>1</v>
      </c>
      <c r="H241" t="s">
        <v>586</v>
      </c>
    </row>
    <row r="242" spans="1:8" x14ac:dyDescent="0.3">
      <c r="A242" t="s">
        <v>557</v>
      </c>
      <c r="B242" t="s">
        <v>264</v>
      </c>
      <c r="C242" t="s">
        <v>271</v>
      </c>
      <c r="D242" t="s">
        <v>585</v>
      </c>
      <c r="E242" s="230">
        <v>1193.45</v>
      </c>
      <c r="F242" t="s">
        <v>560</v>
      </c>
      <c r="G242" t="b">
        <v>1</v>
      </c>
      <c r="H242" t="s">
        <v>586</v>
      </c>
    </row>
    <row r="243" spans="1:8" x14ac:dyDescent="0.3">
      <c r="A243" t="s">
        <v>557</v>
      </c>
      <c r="B243" t="s">
        <v>264</v>
      </c>
      <c r="C243" t="s">
        <v>272</v>
      </c>
      <c r="D243" t="s">
        <v>585</v>
      </c>
      <c r="E243" s="230">
        <v>2293.4499999999998</v>
      </c>
      <c r="F243" t="s">
        <v>560</v>
      </c>
      <c r="G243" t="b">
        <v>1</v>
      </c>
      <c r="H243" t="s">
        <v>586</v>
      </c>
    </row>
    <row r="244" spans="1:8" x14ac:dyDescent="0.3">
      <c r="A244" t="s">
        <v>557</v>
      </c>
      <c r="B244" t="s">
        <v>264</v>
      </c>
      <c r="C244" t="s">
        <v>273</v>
      </c>
      <c r="D244" t="s">
        <v>585</v>
      </c>
      <c r="E244" s="230">
        <v>193.45</v>
      </c>
      <c r="F244" t="s">
        <v>560</v>
      </c>
      <c r="G244" t="b">
        <v>1</v>
      </c>
      <c r="H244" t="s">
        <v>586</v>
      </c>
    </row>
    <row r="245" spans="1:8" x14ac:dyDescent="0.3">
      <c r="A245" t="s">
        <v>557</v>
      </c>
      <c r="B245" t="s">
        <v>264</v>
      </c>
      <c r="C245" t="s">
        <v>580</v>
      </c>
      <c r="D245" t="s">
        <v>585</v>
      </c>
      <c r="E245" s="230">
        <v>193.45</v>
      </c>
      <c r="F245" t="s">
        <v>560</v>
      </c>
      <c r="G245" t="b">
        <v>1</v>
      </c>
      <c r="H245" t="s">
        <v>586</v>
      </c>
    </row>
    <row r="246" spans="1:8" x14ac:dyDescent="0.3">
      <c r="A246" t="s">
        <v>557</v>
      </c>
      <c r="B246" t="s">
        <v>264</v>
      </c>
      <c r="C246" t="s">
        <v>275</v>
      </c>
      <c r="D246" t="s">
        <v>585</v>
      </c>
      <c r="E246" s="230">
        <v>1193.45</v>
      </c>
      <c r="F246" t="s">
        <v>560</v>
      </c>
      <c r="G246" t="b">
        <v>1</v>
      </c>
      <c r="H246" t="s">
        <v>586</v>
      </c>
    </row>
    <row r="247" spans="1:8" x14ac:dyDescent="0.3">
      <c r="A247" t="s">
        <v>557</v>
      </c>
      <c r="B247" t="s">
        <v>264</v>
      </c>
      <c r="C247" t="s">
        <v>276</v>
      </c>
      <c r="D247" t="s">
        <v>585</v>
      </c>
      <c r="E247" s="230">
        <v>1675.96</v>
      </c>
      <c r="F247" t="s">
        <v>560</v>
      </c>
      <c r="G247" t="b">
        <v>1</v>
      </c>
      <c r="H247" t="s">
        <v>586</v>
      </c>
    </row>
    <row r="248" spans="1:8" x14ac:dyDescent="0.3">
      <c r="A248" t="s">
        <v>557</v>
      </c>
      <c r="B248" t="s">
        <v>264</v>
      </c>
      <c r="C248" t="s">
        <v>277</v>
      </c>
      <c r="D248" t="s">
        <v>585</v>
      </c>
      <c r="E248" s="230">
        <v>250</v>
      </c>
      <c r="F248" t="s">
        <v>560</v>
      </c>
      <c r="G248" t="b">
        <v>1</v>
      </c>
      <c r="H248" t="s">
        <v>586</v>
      </c>
    </row>
    <row r="249" spans="1:8" x14ac:dyDescent="0.3">
      <c r="A249" t="s">
        <v>557</v>
      </c>
      <c r="B249" t="s">
        <v>264</v>
      </c>
      <c r="C249" t="s">
        <v>278</v>
      </c>
      <c r="D249" t="s">
        <v>585</v>
      </c>
      <c r="E249" s="230">
        <v>3293.45</v>
      </c>
      <c r="F249" t="s">
        <v>560</v>
      </c>
      <c r="G249" t="b">
        <v>1</v>
      </c>
      <c r="H249" t="s">
        <v>586</v>
      </c>
    </row>
    <row r="250" spans="1:8" x14ac:dyDescent="0.3">
      <c r="A250" t="s">
        <v>557</v>
      </c>
      <c r="B250" t="s">
        <v>279</v>
      </c>
      <c r="C250" t="s">
        <v>280</v>
      </c>
      <c r="D250" t="s">
        <v>585</v>
      </c>
      <c r="E250" s="230">
        <v>0</v>
      </c>
      <c r="F250" t="s">
        <v>560</v>
      </c>
      <c r="G250" t="b">
        <v>1</v>
      </c>
      <c r="H250" t="s">
        <v>586</v>
      </c>
    </row>
    <row r="251" spans="1:8" x14ac:dyDescent="0.3">
      <c r="A251" t="s">
        <v>557</v>
      </c>
      <c r="B251" t="s">
        <v>279</v>
      </c>
      <c r="C251" t="s">
        <v>281</v>
      </c>
      <c r="D251" t="s">
        <v>585</v>
      </c>
      <c r="E251" s="230">
        <v>608.54999999999995</v>
      </c>
      <c r="F251" t="s">
        <v>560</v>
      </c>
      <c r="G251" t="b">
        <v>1</v>
      </c>
      <c r="H251" t="s">
        <v>586</v>
      </c>
    </row>
    <row r="252" spans="1:8" x14ac:dyDescent="0.3">
      <c r="A252" t="s">
        <v>557</v>
      </c>
      <c r="B252" t="s">
        <v>279</v>
      </c>
      <c r="C252" t="s">
        <v>282</v>
      </c>
      <c r="D252" t="s">
        <v>585</v>
      </c>
      <c r="E252" s="230">
        <v>416.13</v>
      </c>
      <c r="F252" t="s">
        <v>560</v>
      </c>
      <c r="G252" t="b">
        <v>1</v>
      </c>
      <c r="H252" t="s">
        <v>586</v>
      </c>
    </row>
    <row r="253" spans="1:8" x14ac:dyDescent="0.3">
      <c r="A253" t="s">
        <v>557</v>
      </c>
      <c r="B253" t="s">
        <v>279</v>
      </c>
      <c r="C253" t="s">
        <v>283</v>
      </c>
      <c r="D253" t="s">
        <v>585</v>
      </c>
      <c r="E253" s="230">
        <v>0</v>
      </c>
      <c r="F253" t="s">
        <v>560</v>
      </c>
      <c r="G253" t="b">
        <v>1</v>
      </c>
      <c r="H253" t="s">
        <v>586</v>
      </c>
    </row>
    <row r="254" spans="1:8" x14ac:dyDescent="0.3">
      <c r="A254" t="s">
        <v>557</v>
      </c>
      <c r="B254" t="s">
        <v>279</v>
      </c>
      <c r="C254" t="s">
        <v>284</v>
      </c>
      <c r="D254" t="s">
        <v>585</v>
      </c>
      <c r="E254" s="230">
        <v>2614.5</v>
      </c>
      <c r="F254" t="s">
        <v>560</v>
      </c>
      <c r="G254" t="b">
        <v>1</v>
      </c>
      <c r="H254" t="s">
        <v>586</v>
      </c>
    </row>
    <row r="255" spans="1:8" x14ac:dyDescent="0.3">
      <c r="A255" t="s">
        <v>557</v>
      </c>
      <c r="B255" t="s">
        <v>279</v>
      </c>
      <c r="C255" t="s">
        <v>285</v>
      </c>
      <c r="D255" t="s">
        <v>585</v>
      </c>
      <c r="E255" s="230">
        <v>408.45</v>
      </c>
      <c r="F255" t="s">
        <v>560</v>
      </c>
      <c r="G255" t="b">
        <v>1</v>
      </c>
      <c r="H255" t="s">
        <v>586</v>
      </c>
    </row>
    <row r="256" spans="1:8" x14ac:dyDescent="0.3">
      <c r="A256" t="s">
        <v>557</v>
      </c>
      <c r="B256" t="s">
        <v>279</v>
      </c>
      <c r="C256" t="s">
        <v>286</v>
      </c>
      <c r="D256" t="s">
        <v>585</v>
      </c>
      <c r="E256" s="230">
        <v>1017.45</v>
      </c>
      <c r="F256" t="s">
        <v>560</v>
      </c>
      <c r="G256" t="b">
        <v>1</v>
      </c>
      <c r="H256" t="s">
        <v>586</v>
      </c>
    </row>
    <row r="257" spans="1:8" x14ac:dyDescent="0.3">
      <c r="A257" t="s">
        <v>557</v>
      </c>
      <c r="B257" t="s">
        <v>581</v>
      </c>
      <c r="C257" t="s">
        <v>288</v>
      </c>
      <c r="D257" t="s">
        <v>585</v>
      </c>
      <c r="E257" s="230">
        <v>4080.35</v>
      </c>
      <c r="F257" t="s">
        <v>560</v>
      </c>
      <c r="G257" t="b">
        <v>1</v>
      </c>
      <c r="H257" t="s">
        <v>586</v>
      </c>
    </row>
    <row r="258" spans="1:8" x14ac:dyDescent="0.3">
      <c r="A258" t="s">
        <v>557</v>
      </c>
      <c r="B258" t="s">
        <v>581</v>
      </c>
      <c r="C258" t="s">
        <v>289</v>
      </c>
      <c r="D258" t="s">
        <v>585</v>
      </c>
      <c r="E258" s="230">
        <v>1277.3800000000001</v>
      </c>
      <c r="F258" t="s">
        <v>560</v>
      </c>
      <c r="G258" t="b">
        <v>1</v>
      </c>
      <c r="H258" t="s">
        <v>586</v>
      </c>
    </row>
    <row r="259" spans="1:8" x14ac:dyDescent="0.3">
      <c r="A259" t="s">
        <v>557</v>
      </c>
      <c r="B259" t="s">
        <v>581</v>
      </c>
      <c r="C259" t="s">
        <v>290</v>
      </c>
      <c r="D259" t="s">
        <v>585</v>
      </c>
      <c r="E259" s="230">
        <v>1077.3800000000001</v>
      </c>
      <c r="F259" t="s">
        <v>560</v>
      </c>
      <c r="G259" t="b">
        <v>1</v>
      </c>
      <c r="H259" t="s">
        <v>586</v>
      </c>
    </row>
    <row r="260" spans="1:8" x14ac:dyDescent="0.3">
      <c r="A260" t="s">
        <v>557</v>
      </c>
      <c r="B260" t="s">
        <v>581</v>
      </c>
      <c r="C260" t="s">
        <v>291</v>
      </c>
      <c r="D260" t="s">
        <v>585</v>
      </c>
      <c r="E260" s="230">
        <v>377.38</v>
      </c>
      <c r="F260" t="s">
        <v>560</v>
      </c>
      <c r="G260" t="b">
        <v>1</v>
      </c>
      <c r="H260" t="s">
        <v>586</v>
      </c>
    </row>
    <row r="261" spans="1:8" x14ac:dyDescent="0.3">
      <c r="A261" t="s">
        <v>557</v>
      </c>
      <c r="B261" t="s">
        <v>581</v>
      </c>
      <c r="C261" t="s">
        <v>292</v>
      </c>
      <c r="D261" t="s">
        <v>585</v>
      </c>
      <c r="E261" s="230">
        <v>0</v>
      </c>
      <c r="F261" t="s">
        <v>560</v>
      </c>
      <c r="G261" t="b">
        <v>1</v>
      </c>
      <c r="H261" t="s">
        <v>586</v>
      </c>
    </row>
    <row r="262" spans="1:8" x14ac:dyDescent="0.3">
      <c r="A262" t="s">
        <v>557</v>
      </c>
      <c r="B262" t="s">
        <v>582</v>
      </c>
      <c r="C262" t="s">
        <v>293</v>
      </c>
      <c r="D262" t="s">
        <v>585</v>
      </c>
      <c r="E262" s="230">
        <v>577.38</v>
      </c>
      <c r="F262" t="s">
        <v>560</v>
      </c>
      <c r="G262" t="b">
        <v>1</v>
      </c>
      <c r="H262" t="s">
        <v>586</v>
      </c>
    </row>
    <row r="263" spans="1:8" x14ac:dyDescent="0.3">
      <c r="A263" t="s">
        <v>557</v>
      </c>
      <c r="B263" t="s">
        <v>582</v>
      </c>
      <c r="C263" t="s">
        <v>294</v>
      </c>
      <c r="D263" t="s">
        <v>585</v>
      </c>
      <c r="E263" s="230">
        <v>0</v>
      </c>
      <c r="F263" t="s">
        <v>560</v>
      </c>
      <c r="G263" t="b">
        <v>1</v>
      </c>
      <c r="H263" t="s">
        <v>586</v>
      </c>
    </row>
    <row r="264" spans="1:8" x14ac:dyDescent="0.3">
      <c r="A264" t="s">
        <v>557</v>
      </c>
      <c r="B264" t="s">
        <v>582</v>
      </c>
      <c r="C264" t="s">
        <v>295</v>
      </c>
      <c r="D264" t="s">
        <v>585</v>
      </c>
      <c r="E264" s="230">
        <v>0</v>
      </c>
      <c r="F264" t="s">
        <v>560</v>
      </c>
      <c r="G264" t="b">
        <v>1</v>
      </c>
      <c r="H264" t="s">
        <v>586</v>
      </c>
    </row>
    <row r="265" spans="1:8" x14ac:dyDescent="0.3">
      <c r="A265" t="s">
        <v>557</v>
      </c>
      <c r="B265" t="s">
        <v>296</v>
      </c>
      <c r="C265" t="s">
        <v>297</v>
      </c>
      <c r="D265" t="s">
        <v>585</v>
      </c>
      <c r="E265" s="230">
        <v>4200</v>
      </c>
      <c r="F265" t="s">
        <v>560</v>
      </c>
      <c r="G265" t="b">
        <v>1</v>
      </c>
      <c r="H265" t="s">
        <v>586</v>
      </c>
    </row>
    <row r="266" spans="1:8" x14ac:dyDescent="0.3">
      <c r="A266" t="s">
        <v>557</v>
      </c>
      <c r="B266" t="s">
        <v>296</v>
      </c>
      <c r="C266" t="s">
        <v>298</v>
      </c>
      <c r="D266" t="s">
        <v>585</v>
      </c>
      <c r="E266" s="230">
        <v>525</v>
      </c>
      <c r="F266" t="s">
        <v>560</v>
      </c>
      <c r="G266" t="b">
        <v>1</v>
      </c>
      <c r="H266" t="s">
        <v>586</v>
      </c>
    </row>
    <row r="267" spans="1:8" x14ac:dyDescent="0.3">
      <c r="A267" t="s">
        <v>557</v>
      </c>
      <c r="B267" t="s">
        <v>296</v>
      </c>
      <c r="C267" t="s">
        <v>299</v>
      </c>
      <c r="D267" t="s">
        <v>585</v>
      </c>
      <c r="E267" s="230">
        <v>0</v>
      </c>
      <c r="F267" t="s">
        <v>560</v>
      </c>
      <c r="G267" t="b">
        <v>1</v>
      </c>
      <c r="H267" t="s">
        <v>586</v>
      </c>
    </row>
    <row r="268" spans="1:8" x14ac:dyDescent="0.3">
      <c r="A268" t="s">
        <v>557</v>
      </c>
      <c r="B268" t="s">
        <v>296</v>
      </c>
      <c r="C268" t="s">
        <v>300</v>
      </c>
      <c r="D268" t="s">
        <v>585</v>
      </c>
      <c r="E268" s="230">
        <v>0</v>
      </c>
      <c r="F268" t="s">
        <v>560</v>
      </c>
      <c r="G268" t="b">
        <v>1</v>
      </c>
      <c r="H268" t="s">
        <v>586</v>
      </c>
    </row>
    <row r="269" spans="1:8" x14ac:dyDescent="0.3">
      <c r="A269" t="s">
        <v>557</v>
      </c>
      <c r="B269" t="s">
        <v>296</v>
      </c>
      <c r="C269" t="s">
        <v>301</v>
      </c>
      <c r="D269" t="s">
        <v>585</v>
      </c>
      <c r="E269" s="230">
        <v>1077.3800000000001</v>
      </c>
      <c r="F269" t="s">
        <v>560</v>
      </c>
      <c r="G269" t="b">
        <v>1</v>
      </c>
      <c r="H269" t="s">
        <v>586</v>
      </c>
    </row>
    <row r="270" spans="1:8" x14ac:dyDescent="0.3">
      <c r="A270" t="s">
        <v>557</v>
      </c>
      <c r="B270" t="s">
        <v>296</v>
      </c>
      <c r="C270" t="s">
        <v>302</v>
      </c>
      <c r="D270" t="s">
        <v>585</v>
      </c>
      <c r="E270" s="230">
        <v>0</v>
      </c>
      <c r="F270" t="s">
        <v>560</v>
      </c>
      <c r="G270" t="b">
        <v>1</v>
      </c>
      <c r="H270" t="s">
        <v>586</v>
      </c>
    </row>
    <row r="271" spans="1:8" x14ac:dyDescent="0.3">
      <c r="A271" t="s">
        <v>557</v>
      </c>
      <c r="B271" t="s">
        <v>296</v>
      </c>
      <c r="C271" t="s">
        <v>303</v>
      </c>
      <c r="D271" t="s">
        <v>585</v>
      </c>
      <c r="E271" s="230">
        <v>0</v>
      </c>
      <c r="F271" t="s">
        <v>560</v>
      </c>
      <c r="G271" t="b">
        <v>1</v>
      </c>
      <c r="H271" t="s">
        <v>586</v>
      </c>
    </row>
    <row r="272" spans="1:8" x14ac:dyDescent="0.3">
      <c r="A272" t="s">
        <v>557</v>
      </c>
      <c r="B272" t="s">
        <v>296</v>
      </c>
      <c r="C272" t="s">
        <v>304</v>
      </c>
      <c r="D272" t="s">
        <v>585</v>
      </c>
      <c r="E272" s="230">
        <v>0</v>
      </c>
      <c r="F272" t="s">
        <v>560</v>
      </c>
      <c r="G272" t="b">
        <v>1</v>
      </c>
      <c r="H272" t="s">
        <v>586</v>
      </c>
    </row>
    <row r="273" spans="1:8" x14ac:dyDescent="0.3">
      <c r="A273" t="s">
        <v>557</v>
      </c>
      <c r="B273" t="s">
        <v>296</v>
      </c>
      <c r="C273" t="s">
        <v>305</v>
      </c>
      <c r="D273" t="s">
        <v>585</v>
      </c>
      <c r="E273" s="230">
        <v>0</v>
      </c>
      <c r="F273" t="s">
        <v>560</v>
      </c>
      <c r="G273" t="b">
        <v>1</v>
      </c>
      <c r="H273" t="s">
        <v>586</v>
      </c>
    </row>
    <row r="274" spans="1:8" x14ac:dyDescent="0.3">
      <c r="A274" t="s">
        <v>557</v>
      </c>
      <c r="B274" t="s">
        <v>296</v>
      </c>
      <c r="C274" t="s">
        <v>583</v>
      </c>
      <c r="D274" t="s">
        <v>585</v>
      </c>
      <c r="E274" s="230">
        <v>0</v>
      </c>
      <c r="F274" t="s">
        <v>560</v>
      </c>
      <c r="G274" t="b">
        <v>1</v>
      </c>
      <c r="H274" t="s">
        <v>586</v>
      </c>
    </row>
    <row r="275" spans="1:8" x14ac:dyDescent="0.3">
      <c r="A275" t="s">
        <v>557</v>
      </c>
      <c r="B275" t="s">
        <v>296</v>
      </c>
      <c r="C275" t="s">
        <v>307</v>
      </c>
      <c r="D275" t="s">
        <v>585</v>
      </c>
      <c r="E275" s="230">
        <v>206.85</v>
      </c>
      <c r="F275" t="s">
        <v>560</v>
      </c>
      <c r="G275" t="b">
        <v>1</v>
      </c>
      <c r="H275" t="s">
        <v>586</v>
      </c>
    </row>
    <row r="276" spans="1:8" x14ac:dyDescent="0.3">
      <c r="A276" t="s">
        <v>557</v>
      </c>
      <c r="B276" t="s">
        <v>308</v>
      </c>
      <c r="C276" t="s">
        <v>309</v>
      </c>
      <c r="D276" t="s">
        <v>585</v>
      </c>
      <c r="E276" s="230">
        <v>2995.34</v>
      </c>
      <c r="F276" t="s">
        <v>560</v>
      </c>
      <c r="G276" t="b">
        <v>1</v>
      </c>
      <c r="H276" t="s">
        <v>586</v>
      </c>
    </row>
    <row r="277" spans="1:8" x14ac:dyDescent="0.3">
      <c r="A277" t="s">
        <v>557</v>
      </c>
      <c r="B277" t="s">
        <v>308</v>
      </c>
      <c r="C277" t="s">
        <v>310</v>
      </c>
      <c r="D277" t="s">
        <v>585</v>
      </c>
      <c r="E277" s="230">
        <v>0</v>
      </c>
      <c r="F277" t="s">
        <v>560</v>
      </c>
      <c r="G277" t="b">
        <v>1</v>
      </c>
      <c r="H277" t="s">
        <v>586</v>
      </c>
    </row>
    <row r="278" spans="1:8" x14ac:dyDescent="0.3">
      <c r="A278" t="s">
        <v>557</v>
      </c>
      <c r="B278" t="s">
        <v>308</v>
      </c>
      <c r="C278" t="s">
        <v>311</v>
      </c>
      <c r="D278" t="s">
        <v>585</v>
      </c>
      <c r="E278" s="230">
        <v>1627.5</v>
      </c>
      <c r="F278" t="s">
        <v>560</v>
      </c>
      <c r="G278" t="b">
        <v>1</v>
      </c>
      <c r="H278" t="s">
        <v>586</v>
      </c>
    </row>
    <row r="279" spans="1:8" x14ac:dyDescent="0.3">
      <c r="A279" t="s">
        <v>557</v>
      </c>
      <c r="B279" t="s">
        <v>308</v>
      </c>
      <c r="C279" t="s">
        <v>312</v>
      </c>
      <c r="D279" t="s">
        <v>585</v>
      </c>
      <c r="E279" s="230">
        <v>194.25</v>
      </c>
      <c r="F279" t="s">
        <v>560</v>
      </c>
      <c r="G279" t="b">
        <v>1</v>
      </c>
      <c r="H279" t="s">
        <v>586</v>
      </c>
    </row>
    <row r="280" spans="1:8" x14ac:dyDescent="0.3">
      <c r="A280" t="s">
        <v>557</v>
      </c>
      <c r="B280" t="s">
        <v>308</v>
      </c>
      <c r="C280" t="s">
        <v>313</v>
      </c>
      <c r="D280" t="s">
        <v>585</v>
      </c>
      <c r="E280" s="230">
        <v>0</v>
      </c>
      <c r="F280" t="s">
        <v>560</v>
      </c>
      <c r="G280" t="b">
        <v>1</v>
      </c>
      <c r="H280" t="s">
        <v>586</v>
      </c>
    </row>
    <row r="281" spans="1:8" x14ac:dyDescent="0.3">
      <c r="A281" t="s">
        <v>557</v>
      </c>
      <c r="B281" t="s">
        <v>308</v>
      </c>
      <c r="C281" t="s">
        <v>314</v>
      </c>
      <c r="D281" t="s">
        <v>585</v>
      </c>
      <c r="E281" s="230">
        <v>743.59</v>
      </c>
      <c r="F281" t="s">
        <v>560</v>
      </c>
      <c r="G281" t="b">
        <v>1</v>
      </c>
      <c r="H281" t="s">
        <v>586</v>
      </c>
    </row>
    <row r="282" spans="1:8" x14ac:dyDescent="0.3">
      <c r="A282" t="s">
        <v>557</v>
      </c>
      <c r="B282" t="s">
        <v>308</v>
      </c>
      <c r="C282" t="s">
        <v>315</v>
      </c>
      <c r="D282" t="s">
        <v>585</v>
      </c>
      <c r="E282" s="230">
        <v>0</v>
      </c>
      <c r="F282" t="s">
        <v>560</v>
      </c>
      <c r="G282" t="b">
        <v>1</v>
      </c>
      <c r="H282" t="s">
        <v>586</v>
      </c>
    </row>
    <row r="283" spans="1:8" x14ac:dyDescent="0.3">
      <c r="A283" t="s">
        <v>557</v>
      </c>
      <c r="B283" t="s">
        <v>308</v>
      </c>
      <c r="C283" t="s">
        <v>316</v>
      </c>
      <c r="D283" t="s">
        <v>585</v>
      </c>
      <c r="E283" s="230">
        <v>0</v>
      </c>
      <c r="F283" t="s">
        <v>560</v>
      </c>
      <c r="G283" t="b">
        <v>1</v>
      </c>
      <c r="H283" t="s">
        <v>586</v>
      </c>
    </row>
    <row r="284" spans="1:8" x14ac:dyDescent="0.3">
      <c r="A284" t="s">
        <v>557</v>
      </c>
      <c r="B284" t="s">
        <v>308</v>
      </c>
      <c r="C284" t="s">
        <v>317</v>
      </c>
      <c r="D284" t="s">
        <v>585</v>
      </c>
      <c r="E284" s="230">
        <v>0</v>
      </c>
      <c r="F284" t="s">
        <v>560</v>
      </c>
      <c r="G284" t="b">
        <v>1</v>
      </c>
      <c r="H284" t="s">
        <v>586</v>
      </c>
    </row>
    <row r="285" spans="1:8" x14ac:dyDescent="0.3">
      <c r="A285" t="s">
        <v>557</v>
      </c>
      <c r="B285" t="s">
        <v>318</v>
      </c>
      <c r="C285" t="s">
        <v>319</v>
      </c>
      <c r="D285" t="s">
        <v>585</v>
      </c>
      <c r="E285" s="230">
        <v>1770.3</v>
      </c>
      <c r="F285" t="s">
        <v>560</v>
      </c>
      <c r="G285" t="b">
        <v>1</v>
      </c>
      <c r="H285" t="s">
        <v>586</v>
      </c>
    </row>
    <row r="286" spans="1:8" x14ac:dyDescent="0.3">
      <c r="A286" t="s">
        <v>557</v>
      </c>
      <c r="B286" t="s">
        <v>318</v>
      </c>
      <c r="C286" t="s">
        <v>320</v>
      </c>
      <c r="D286" t="s">
        <v>585</v>
      </c>
      <c r="E286" s="230">
        <v>144.44999999999999</v>
      </c>
      <c r="F286" t="s">
        <v>560</v>
      </c>
      <c r="G286" t="b">
        <v>1</v>
      </c>
      <c r="H286" t="s">
        <v>586</v>
      </c>
    </row>
    <row r="287" spans="1:8" x14ac:dyDescent="0.3">
      <c r="A287" t="s">
        <v>557</v>
      </c>
      <c r="B287" t="s">
        <v>318</v>
      </c>
      <c r="C287" t="s">
        <v>321</v>
      </c>
      <c r="D287" t="s">
        <v>585</v>
      </c>
      <c r="E287" s="230">
        <v>210</v>
      </c>
      <c r="F287" t="s">
        <v>560</v>
      </c>
      <c r="G287" t="b">
        <v>1</v>
      </c>
      <c r="H287" t="s">
        <v>586</v>
      </c>
    </row>
    <row r="288" spans="1:8" x14ac:dyDescent="0.3">
      <c r="A288" t="s">
        <v>557</v>
      </c>
      <c r="B288" t="s">
        <v>318</v>
      </c>
      <c r="C288" t="s">
        <v>322</v>
      </c>
      <c r="D288" t="s">
        <v>585</v>
      </c>
      <c r="E288" s="230">
        <v>0</v>
      </c>
      <c r="F288" t="s">
        <v>560</v>
      </c>
      <c r="G288" t="b">
        <v>1</v>
      </c>
      <c r="H288" t="s">
        <v>586</v>
      </c>
    </row>
    <row r="289" spans="1:8" x14ac:dyDescent="0.3">
      <c r="A289" t="s">
        <v>557</v>
      </c>
      <c r="B289" t="s">
        <v>323</v>
      </c>
      <c r="C289" t="s">
        <v>324</v>
      </c>
      <c r="D289" t="s">
        <v>585</v>
      </c>
      <c r="E289" s="230">
        <v>0</v>
      </c>
      <c r="F289" t="s">
        <v>560</v>
      </c>
      <c r="G289" t="b">
        <v>1</v>
      </c>
      <c r="H289" t="s">
        <v>586</v>
      </c>
    </row>
    <row r="290" spans="1:8" x14ac:dyDescent="0.3">
      <c r="A290" t="s">
        <v>557</v>
      </c>
      <c r="B290" t="s">
        <v>323</v>
      </c>
      <c r="C290" t="s">
        <v>325</v>
      </c>
      <c r="D290" t="s">
        <v>585</v>
      </c>
      <c r="E290" s="230">
        <v>0</v>
      </c>
      <c r="F290" t="s">
        <v>560</v>
      </c>
      <c r="G290" t="b">
        <v>1</v>
      </c>
      <c r="H290" t="s">
        <v>586</v>
      </c>
    </row>
    <row r="291" spans="1:8" x14ac:dyDescent="0.3">
      <c r="A291" t="s">
        <v>557</v>
      </c>
      <c r="B291" t="s">
        <v>323</v>
      </c>
      <c r="C291" t="s">
        <v>326</v>
      </c>
      <c r="D291" t="s">
        <v>585</v>
      </c>
      <c r="E291" s="230">
        <v>19344.900000000001</v>
      </c>
      <c r="F291" t="s">
        <v>560</v>
      </c>
      <c r="G291" t="b">
        <v>1</v>
      </c>
      <c r="H291" t="s">
        <v>586</v>
      </c>
    </row>
    <row r="292" spans="1:8" x14ac:dyDescent="0.3">
      <c r="A292" t="s">
        <v>557</v>
      </c>
      <c r="B292" t="s">
        <v>584</v>
      </c>
      <c r="C292" t="s">
        <v>334</v>
      </c>
      <c r="D292" t="s">
        <v>585</v>
      </c>
      <c r="E292" s="230">
        <v>0</v>
      </c>
      <c r="F292" t="s">
        <v>560</v>
      </c>
      <c r="G292" t="b">
        <v>1</v>
      </c>
      <c r="H292" t="s">
        <v>586</v>
      </c>
    </row>
    <row r="293" spans="1:8" x14ac:dyDescent="0.3">
      <c r="A293" t="s">
        <v>557</v>
      </c>
      <c r="B293" t="s">
        <v>584</v>
      </c>
      <c r="C293" t="s">
        <v>336</v>
      </c>
      <c r="D293" t="s">
        <v>585</v>
      </c>
      <c r="E293" s="230">
        <v>0</v>
      </c>
      <c r="F293" t="s">
        <v>560</v>
      </c>
      <c r="G293" t="b">
        <v>1</v>
      </c>
      <c r="H293" t="s">
        <v>586</v>
      </c>
    </row>
    <row r="294" spans="1:8" x14ac:dyDescent="0.3">
      <c r="A294" t="s">
        <v>557</v>
      </c>
      <c r="B294" t="s">
        <v>558</v>
      </c>
      <c r="C294" t="s">
        <v>13</v>
      </c>
      <c r="D294" t="s">
        <v>587</v>
      </c>
      <c r="E294" s="230">
        <v>232412.44</v>
      </c>
      <c r="F294" t="s">
        <v>560</v>
      </c>
      <c r="G294" t="b">
        <v>1</v>
      </c>
      <c r="H294" t="s">
        <v>588</v>
      </c>
    </row>
    <row r="295" spans="1:8" x14ac:dyDescent="0.3">
      <c r="A295" t="s">
        <v>557</v>
      </c>
      <c r="B295" t="s">
        <v>558</v>
      </c>
      <c r="C295" t="s">
        <v>16</v>
      </c>
      <c r="D295" t="s">
        <v>587</v>
      </c>
      <c r="E295" s="230">
        <v>146335.34</v>
      </c>
      <c r="F295" t="s">
        <v>560</v>
      </c>
      <c r="G295" t="b">
        <v>1</v>
      </c>
      <c r="H295" t="s">
        <v>588</v>
      </c>
    </row>
    <row r="296" spans="1:8" x14ac:dyDescent="0.3">
      <c r="A296" t="s">
        <v>557</v>
      </c>
      <c r="B296" t="s">
        <v>558</v>
      </c>
      <c r="C296" t="s">
        <v>17</v>
      </c>
      <c r="D296" t="s">
        <v>587</v>
      </c>
      <c r="E296" s="230">
        <v>5724.47</v>
      </c>
      <c r="F296" t="s">
        <v>560</v>
      </c>
      <c r="G296" t="b">
        <v>1</v>
      </c>
      <c r="H296" t="s">
        <v>588</v>
      </c>
    </row>
    <row r="297" spans="1:8" x14ac:dyDescent="0.3">
      <c r="A297" t="s">
        <v>557</v>
      </c>
      <c r="B297" t="s">
        <v>558</v>
      </c>
      <c r="C297" t="s">
        <v>18</v>
      </c>
      <c r="D297" t="s">
        <v>587</v>
      </c>
      <c r="E297" s="230">
        <v>0</v>
      </c>
      <c r="F297" t="s">
        <v>560</v>
      </c>
      <c r="G297" t="b">
        <v>1</v>
      </c>
      <c r="H297" t="s">
        <v>588</v>
      </c>
    </row>
    <row r="298" spans="1:8" x14ac:dyDescent="0.3">
      <c r="A298" t="s">
        <v>557</v>
      </c>
      <c r="B298" t="s">
        <v>558</v>
      </c>
      <c r="C298" t="s">
        <v>20</v>
      </c>
      <c r="D298" t="s">
        <v>587</v>
      </c>
      <c r="E298" s="230">
        <v>52428.04</v>
      </c>
      <c r="F298" t="s">
        <v>560</v>
      </c>
      <c r="G298" t="b">
        <v>1</v>
      </c>
      <c r="H298" t="s">
        <v>588</v>
      </c>
    </row>
    <row r="299" spans="1:8" x14ac:dyDescent="0.3">
      <c r="A299" t="s">
        <v>557</v>
      </c>
      <c r="B299" t="s">
        <v>558</v>
      </c>
      <c r="C299" t="s">
        <v>29</v>
      </c>
      <c r="D299" t="s">
        <v>587</v>
      </c>
      <c r="E299" s="230">
        <v>20162.77</v>
      </c>
      <c r="F299" t="s">
        <v>560</v>
      </c>
      <c r="G299" t="b">
        <v>1</v>
      </c>
      <c r="H299" t="s">
        <v>588</v>
      </c>
    </row>
    <row r="300" spans="1:8" x14ac:dyDescent="0.3">
      <c r="A300" t="s">
        <v>557</v>
      </c>
      <c r="B300" t="s">
        <v>558</v>
      </c>
      <c r="C300" t="s">
        <v>31</v>
      </c>
      <c r="D300" t="s">
        <v>587</v>
      </c>
      <c r="E300" s="230">
        <v>0</v>
      </c>
      <c r="F300" t="s">
        <v>560</v>
      </c>
      <c r="G300" t="b">
        <v>1</v>
      </c>
      <c r="H300" t="s">
        <v>588</v>
      </c>
    </row>
    <row r="301" spans="1:8" x14ac:dyDescent="0.3">
      <c r="A301" t="s">
        <v>557</v>
      </c>
      <c r="B301" t="s">
        <v>562</v>
      </c>
      <c r="C301" t="s">
        <v>38</v>
      </c>
      <c r="D301" t="s">
        <v>587</v>
      </c>
      <c r="E301" s="230">
        <v>9468.69</v>
      </c>
      <c r="F301" t="s">
        <v>560</v>
      </c>
      <c r="G301" t="b">
        <v>1</v>
      </c>
      <c r="H301" t="s">
        <v>588</v>
      </c>
    </row>
    <row r="302" spans="1:8" x14ac:dyDescent="0.3">
      <c r="A302" t="s">
        <v>557</v>
      </c>
      <c r="B302" t="s">
        <v>562</v>
      </c>
      <c r="C302" t="s">
        <v>40</v>
      </c>
      <c r="D302" t="s">
        <v>587</v>
      </c>
      <c r="E302" s="230">
        <v>7499.21</v>
      </c>
      <c r="F302" t="s">
        <v>560</v>
      </c>
      <c r="G302" t="b">
        <v>1</v>
      </c>
      <c r="H302" t="s">
        <v>588</v>
      </c>
    </row>
    <row r="303" spans="1:8" x14ac:dyDescent="0.3">
      <c r="A303" t="s">
        <v>557</v>
      </c>
      <c r="B303" t="s">
        <v>562</v>
      </c>
      <c r="C303" t="s">
        <v>42</v>
      </c>
      <c r="D303" t="s">
        <v>587</v>
      </c>
      <c r="E303" s="230">
        <v>946.87</v>
      </c>
      <c r="F303" t="s">
        <v>560</v>
      </c>
      <c r="G303" t="b">
        <v>1</v>
      </c>
      <c r="H303" t="s">
        <v>588</v>
      </c>
    </row>
    <row r="304" spans="1:8" x14ac:dyDescent="0.3">
      <c r="A304" t="s">
        <v>557</v>
      </c>
      <c r="B304" t="s">
        <v>563</v>
      </c>
      <c r="C304" t="s">
        <v>46</v>
      </c>
      <c r="D304" t="s">
        <v>587</v>
      </c>
      <c r="E304" s="230">
        <v>15326.84</v>
      </c>
      <c r="F304" t="s">
        <v>560</v>
      </c>
      <c r="G304" t="b">
        <v>1</v>
      </c>
      <c r="H304" t="s">
        <v>588</v>
      </c>
    </row>
    <row r="305" spans="1:8" x14ac:dyDescent="0.3">
      <c r="A305" t="s">
        <v>557</v>
      </c>
      <c r="B305" t="s">
        <v>563</v>
      </c>
      <c r="C305" t="s">
        <v>48</v>
      </c>
      <c r="D305" t="s">
        <v>587</v>
      </c>
      <c r="E305" s="230">
        <v>17078.45</v>
      </c>
      <c r="F305" t="s">
        <v>560</v>
      </c>
      <c r="G305" t="b">
        <v>1</v>
      </c>
      <c r="H305" t="s">
        <v>588</v>
      </c>
    </row>
    <row r="306" spans="1:8" x14ac:dyDescent="0.3">
      <c r="A306" t="s">
        <v>557</v>
      </c>
      <c r="B306" t="s">
        <v>563</v>
      </c>
      <c r="C306" t="s">
        <v>49</v>
      </c>
      <c r="D306" t="s">
        <v>587</v>
      </c>
      <c r="E306" s="230">
        <v>501.53</v>
      </c>
      <c r="F306" t="s">
        <v>560</v>
      </c>
      <c r="G306" t="b">
        <v>1</v>
      </c>
      <c r="H306" t="s">
        <v>588</v>
      </c>
    </row>
    <row r="307" spans="1:8" x14ac:dyDescent="0.3">
      <c r="A307" t="s">
        <v>557</v>
      </c>
      <c r="B307" t="s">
        <v>564</v>
      </c>
      <c r="C307" t="s">
        <v>565</v>
      </c>
      <c r="D307" t="s">
        <v>587</v>
      </c>
      <c r="E307" s="230">
        <v>93466.48</v>
      </c>
      <c r="F307" t="s">
        <v>560</v>
      </c>
      <c r="G307" t="b">
        <v>1</v>
      </c>
      <c r="H307" t="s">
        <v>588</v>
      </c>
    </row>
    <row r="308" spans="1:8" x14ac:dyDescent="0.3">
      <c r="A308" t="s">
        <v>557</v>
      </c>
      <c r="B308" t="s">
        <v>564</v>
      </c>
      <c r="C308" t="s">
        <v>566</v>
      </c>
      <c r="D308" t="s">
        <v>587</v>
      </c>
      <c r="E308" s="230">
        <v>30730.42</v>
      </c>
      <c r="F308" t="s">
        <v>560</v>
      </c>
      <c r="G308" t="b">
        <v>1</v>
      </c>
      <c r="H308" t="s">
        <v>588</v>
      </c>
    </row>
    <row r="309" spans="1:8" x14ac:dyDescent="0.3">
      <c r="A309" t="s">
        <v>557</v>
      </c>
      <c r="B309" t="s">
        <v>564</v>
      </c>
      <c r="C309" t="s">
        <v>567</v>
      </c>
      <c r="D309" t="s">
        <v>587</v>
      </c>
      <c r="E309" s="230">
        <v>604.88</v>
      </c>
      <c r="F309" t="s">
        <v>560</v>
      </c>
      <c r="G309" t="b">
        <v>1</v>
      </c>
      <c r="H309" t="s">
        <v>588</v>
      </c>
    </row>
    <row r="310" spans="1:8" x14ac:dyDescent="0.3">
      <c r="A310" t="s">
        <v>557</v>
      </c>
      <c r="B310" t="s">
        <v>564</v>
      </c>
      <c r="C310" t="s">
        <v>568</v>
      </c>
      <c r="D310" t="s">
        <v>587</v>
      </c>
      <c r="E310" s="230">
        <v>0</v>
      </c>
      <c r="F310" t="s">
        <v>560</v>
      </c>
      <c r="G310" t="b">
        <v>1</v>
      </c>
      <c r="H310" t="s">
        <v>588</v>
      </c>
    </row>
    <row r="311" spans="1:8" x14ac:dyDescent="0.3">
      <c r="A311" t="s">
        <v>557</v>
      </c>
      <c r="B311" t="s">
        <v>569</v>
      </c>
      <c r="C311" t="s">
        <v>58</v>
      </c>
      <c r="D311" t="s">
        <v>587</v>
      </c>
      <c r="E311" s="230">
        <v>3835.4</v>
      </c>
      <c r="F311" t="s">
        <v>560</v>
      </c>
      <c r="G311" t="b">
        <v>1</v>
      </c>
      <c r="H311" t="s">
        <v>588</v>
      </c>
    </row>
    <row r="312" spans="1:8" x14ac:dyDescent="0.3">
      <c r="A312" t="s">
        <v>557</v>
      </c>
      <c r="B312" t="s">
        <v>569</v>
      </c>
      <c r="C312" t="s">
        <v>59</v>
      </c>
      <c r="D312" t="s">
        <v>587</v>
      </c>
      <c r="E312" s="230">
        <v>572.45000000000005</v>
      </c>
      <c r="F312" t="s">
        <v>560</v>
      </c>
      <c r="G312" t="b">
        <v>1</v>
      </c>
      <c r="H312" t="s">
        <v>588</v>
      </c>
    </row>
    <row r="313" spans="1:8" x14ac:dyDescent="0.3">
      <c r="A313" t="s">
        <v>557</v>
      </c>
      <c r="B313" t="s">
        <v>569</v>
      </c>
      <c r="C313" t="s">
        <v>62</v>
      </c>
      <c r="D313" t="s">
        <v>587</v>
      </c>
      <c r="E313" s="230">
        <v>0</v>
      </c>
      <c r="F313" t="s">
        <v>560</v>
      </c>
      <c r="G313" t="b">
        <v>1</v>
      </c>
      <c r="H313" t="s">
        <v>588</v>
      </c>
    </row>
    <row r="314" spans="1:8" x14ac:dyDescent="0.3">
      <c r="A314" t="s">
        <v>557</v>
      </c>
      <c r="B314" t="s">
        <v>570</v>
      </c>
      <c r="C314" t="s">
        <v>64</v>
      </c>
      <c r="D314" t="s">
        <v>587</v>
      </c>
      <c r="E314" s="230">
        <v>0</v>
      </c>
      <c r="F314" t="s">
        <v>560</v>
      </c>
      <c r="G314" t="b">
        <v>1</v>
      </c>
      <c r="H314" t="s">
        <v>588</v>
      </c>
    </row>
    <row r="315" spans="1:8" x14ac:dyDescent="0.3">
      <c r="A315" t="s">
        <v>557</v>
      </c>
      <c r="B315" t="s">
        <v>569</v>
      </c>
      <c r="C315" t="s">
        <v>66</v>
      </c>
      <c r="D315" t="s">
        <v>587</v>
      </c>
      <c r="E315" s="230">
        <v>0</v>
      </c>
      <c r="F315" t="s">
        <v>560</v>
      </c>
      <c r="G315" t="b">
        <v>1</v>
      </c>
      <c r="H315" t="s">
        <v>588</v>
      </c>
    </row>
    <row r="316" spans="1:8" x14ac:dyDescent="0.3">
      <c r="A316" t="s">
        <v>557</v>
      </c>
      <c r="B316" t="s">
        <v>569</v>
      </c>
      <c r="C316" t="s">
        <v>68</v>
      </c>
      <c r="D316" t="s">
        <v>587</v>
      </c>
      <c r="E316" s="230">
        <v>2003.56</v>
      </c>
      <c r="F316" t="s">
        <v>560</v>
      </c>
      <c r="G316" t="b">
        <v>1</v>
      </c>
      <c r="H316" t="s">
        <v>588</v>
      </c>
    </row>
    <row r="317" spans="1:8" x14ac:dyDescent="0.3">
      <c r="A317" t="s">
        <v>557</v>
      </c>
      <c r="B317" t="s">
        <v>569</v>
      </c>
      <c r="C317" t="s">
        <v>69</v>
      </c>
      <c r="D317" t="s">
        <v>587</v>
      </c>
      <c r="E317" s="230">
        <v>0</v>
      </c>
      <c r="F317" t="s">
        <v>560</v>
      </c>
      <c r="G317" t="b">
        <v>1</v>
      </c>
      <c r="H317" t="s">
        <v>588</v>
      </c>
    </row>
    <row r="318" spans="1:8" x14ac:dyDescent="0.3">
      <c r="A318" t="s">
        <v>557</v>
      </c>
      <c r="B318" t="s">
        <v>570</v>
      </c>
      <c r="C318" t="s">
        <v>73</v>
      </c>
      <c r="D318" t="s">
        <v>587</v>
      </c>
      <c r="E318" s="230">
        <v>4000</v>
      </c>
      <c r="F318" t="s">
        <v>560</v>
      </c>
      <c r="G318" t="b">
        <v>1</v>
      </c>
      <c r="H318" t="s">
        <v>588</v>
      </c>
    </row>
    <row r="319" spans="1:8" x14ac:dyDescent="0.3">
      <c r="A319" t="s">
        <v>557</v>
      </c>
      <c r="B319" t="s">
        <v>571</v>
      </c>
      <c r="C319" t="s">
        <v>75</v>
      </c>
      <c r="D319" t="s">
        <v>587</v>
      </c>
      <c r="E319" s="230">
        <v>485.35</v>
      </c>
      <c r="F319" t="s">
        <v>560</v>
      </c>
      <c r="G319" t="b">
        <v>1</v>
      </c>
      <c r="H319" t="s">
        <v>588</v>
      </c>
    </row>
    <row r="320" spans="1:8" x14ac:dyDescent="0.3">
      <c r="A320" t="s">
        <v>557</v>
      </c>
      <c r="B320" t="s">
        <v>571</v>
      </c>
      <c r="C320" t="s">
        <v>78</v>
      </c>
      <c r="D320" t="s">
        <v>587</v>
      </c>
      <c r="E320" s="230">
        <v>517.71</v>
      </c>
      <c r="F320" t="s">
        <v>560</v>
      </c>
      <c r="G320" t="b">
        <v>1</v>
      </c>
      <c r="H320" t="s">
        <v>588</v>
      </c>
    </row>
    <row r="321" spans="1:8" x14ac:dyDescent="0.3">
      <c r="A321" t="s">
        <v>557</v>
      </c>
      <c r="B321" t="s">
        <v>571</v>
      </c>
      <c r="C321" t="s">
        <v>80</v>
      </c>
      <c r="D321" t="s">
        <v>587</v>
      </c>
      <c r="E321" s="230">
        <v>161.78</v>
      </c>
      <c r="F321" t="s">
        <v>560</v>
      </c>
      <c r="G321" t="b">
        <v>1</v>
      </c>
      <c r="H321" t="s">
        <v>588</v>
      </c>
    </row>
    <row r="322" spans="1:8" x14ac:dyDescent="0.3">
      <c r="A322" t="s">
        <v>557</v>
      </c>
      <c r="B322" t="s">
        <v>571</v>
      </c>
      <c r="C322" t="s">
        <v>82</v>
      </c>
      <c r="D322" t="s">
        <v>587</v>
      </c>
      <c r="E322" s="230">
        <v>0</v>
      </c>
      <c r="F322" t="s">
        <v>560</v>
      </c>
      <c r="G322" t="b">
        <v>1</v>
      </c>
      <c r="H322" t="s">
        <v>588</v>
      </c>
    </row>
    <row r="323" spans="1:8" x14ac:dyDescent="0.3">
      <c r="A323" t="s">
        <v>557</v>
      </c>
      <c r="B323" t="s">
        <v>571</v>
      </c>
      <c r="C323" t="s">
        <v>84</v>
      </c>
      <c r="D323" t="s">
        <v>587</v>
      </c>
      <c r="E323" s="230">
        <v>0</v>
      </c>
      <c r="F323" t="s">
        <v>560</v>
      </c>
      <c r="G323" t="b">
        <v>1</v>
      </c>
      <c r="H323" t="s">
        <v>588</v>
      </c>
    </row>
    <row r="324" spans="1:8" x14ac:dyDescent="0.3">
      <c r="A324" t="s">
        <v>557</v>
      </c>
      <c r="B324" t="s">
        <v>571</v>
      </c>
      <c r="C324" t="s">
        <v>86</v>
      </c>
      <c r="D324" t="s">
        <v>587</v>
      </c>
      <c r="E324" s="230">
        <v>0</v>
      </c>
      <c r="F324" t="s">
        <v>560</v>
      </c>
      <c r="G324" t="b">
        <v>1</v>
      </c>
      <c r="H324" t="s">
        <v>588</v>
      </c>
    </row>
    <row r="325" spans="1:8" x14ac:dyDescent="0.3">
      <c r="A325" t="s">
        <v>557</v>
      </c>
      <c r="B325" t="s">
        <v>571</v>
      </c>
      <c r="C325" t="s">
        <v>87</v>
      </c>
      <c r="D325" t="s">
        <v>587</v>
      </c>
      <c r="E325" s="230">
        <v>0</v>
      </c>
      <c r="F325" t="s">
        <v>560</v>
      </c>
      <c r="G325" t="b">
        <v>1</v>
      </c>
      <c r="H325" t="s">
        <v>588</v>
      </c>
    </row>
    <row r="326" spans="1:8" x14ac:dyDescent="0.3">
      <c r="A326" t="s">
        <v>557</v>
      </c>
      <c r="B326" t="s">
        <v>571</v>
      </c>
      <c r="C326" t="s">
        <v>88</v>
      </c>
      <c r="D326" t="s">
        <v>587</v>
      </c>
      <c r="E326" s="230">
        <v>0</v>
      </c>
      <c r="F326" t="s">
        <v>560</v>
      </c>
      <c r="G326" t="b">
        <v>1</v>
      </c>
      <c r="H326" t="s">
        <v>588</v>
      </c>
    </row>
    <row r="327" spans="1:8" x14ac:dyDescent="0.3">
      <c r="A327" t="s">
        <v>557</v>
      </c>
      <c r="B327" t="s">
        <v>571</v>
      </c>
      <c r="C327" t="s">
        <v>89</v>
      </c>
      <c r="D327" t="s">
        <v>587</v>
      </c>
      <c r="E327" s="230">
        <v>0</v>
      </c>
      <c r="F327" t="s">
        <v>560</v>
      </c>
      <c r="G327" t="b">
        <v>1</v>
      </c>
      <c r="H327" t="s">
        <v>588</v>
      </c>
    </row>
    <row r="328" spans="1:8" x14ac:dyDescent="0.3">
      <c r="A328" t="s">
        <v>557</v>
      </c>
      <c r="B328" t="s">
        <v>571</v>
      </c>
      <c r="C328" t="s">
        <v>91</v>
      </c>
      <c r="D328" t="s">
        <v>587</v>
      </c>
      <c r="E328" s="230">
        <v>0</v>
      </c>
      <c r="F328" t="s">
        <v>560</v>
      </c>
      <c r="G328" t="b">
        <v>1</v>
      </c>
      <c r="H328" t="s">
        <v>588</v>
      </c>
    </row>
    <row r="329" spans="1:8" x14ac:dyDescent="0.3">
      <c r="A329" t="s">
        <v>557</v>
      </c>
      <c r="B329" t="s">
        <v>571</v>
      </c>
      <c r="C329" t="s">
        <v>93</v>
      </c>
      <c r="D329" t="s">
        <v>587</v>
      </c>
      <c r="E329" s="230">
        <v>0</v>
      </c>
      <c r="F329" t="s">
        <v>560</v>
      </c>
      <c r="G329" t="b">
        <v>1</v>
      </c>
      <c r="H329" t="s">
        <v>588</v>
      </c>
    </row>
    <row r="330" spans="1:8" x14ac:dyDescent="0.3">
      <c r="A330" t="s">
        <v>557</v>
      </c>
      <c r="B330" t="s">
        <v>571</v>
      </c>
      <c r="C330" t="s">
        <v>96</v>
      </c>
      <c r="D330" t="s">
        <v>587</v>
      </c>
      <c r="E330" s="230">
        <v>0</v>
      </c>
      <c r="F330" t="s">
        <v>560</v>
      </c>
      <c r="G330" t="b">
        <v>1</v>
      </c>
      <c r="H330" t="s">
        <v>588</v>
      </c>
    </row>
    <row r="331" spans="1:8" x14ac:dyDescent="0.3">
      <c r="A331" t="s">
        <v>557</v>
      </c>
      <c r="B331" t="s">
        <v>571</v>
      </c>
      <c r="C331" t="s">
        <v>98</v>
      </c>
      <c r="D331" t="s">
        <v>587</v>
      </c>
      <c r="E331" s="230">
        <v>0</v>
      </c>
      <c r="F331" t="s">
        <v>560</v>
      </c>
      <c r="G331" t="b">
        <v>1</v>
      </c>
      <c r="H331" t="s">
        <v>588</v>
      </c>
    </row>
    <row r="332" spans="1:8" x14ac:dyDescent="0.3">
      <c r="A332" t="s">
        <v>557</v>
      </c>
      <c r="B332" t="s">
        <v>571</v>
      </c>
      <c r="C332" t="s">
        <v>100</v>
      </c>
      <c r="D332" t="s">
        <v>587</v>
      </c>
      <c r="E332" s="230">
        <v>0</v>
      </c>
      <c r="F332" t="s">
        <v>560</v>
      </c>
      <c r="G332" t="b">
        <v>1</v>
      </c>
      <c r="H332" t="s">
        <v>588</v>
      </c>
    </row>
    <row r="333" spans="1:8" x14ac:dyDescent="0.3">
      <c r="A333" t="s">
        <v>557</v>
      </c>
      <c r="B333" t="s">
        <v>571</v>
      </c>
      <c r="C333" t="s">
        <v>102</v>
      </c>
      <c r="D333" t="s">
        <v>587</v>
      </c>
      <c r="E333" s="230">
        <v>0</v>
      </c>
      <c r="F333" t="s">
        <v>560</v>
      </c>
      <c r="G333" t="b">
        <v>1</v>
      </c>
      <c r="H333" t="s">
        <v>588</v>
      </c>
    </row>
    <row r="334" spans="1:8" x14ac:dyDescent="0.3">
      <c r="A334" t="s">
        <v>557</v>
      </c>
      <c r="B334" t="s">
        <v>571</v>
      </c>
      <c r="C334" t="s">
        <v>103</v>
      </c>
      <c r="D334" t="s">
        <v>587</v>
      </c>
      <c r="E334" s="230">
        <v>0</v>
      </c>
      <c r="F334" t="s">
        <v>560</v>
      </c>
      <c r="G334" t="b">
        <v>1</v>
      </c>
      <c r="H334" t="s">
        <v>588</v>
      </c>
    </row>
    <row r="335" spans="1:8" x14ac:dyDescent="0.3">
      <c r="A335" t="s">
        <v>557</v>
      </c>
      <c r="B335" t="s">
        <v>571</v>
      </c>
      <c r="C335" t="s">
        <v>104</v>
      </c>
      <c r="D335" t="s">
        <v>587</v>
      </c>
      <c r="E335" s="230">
        <v>0</v>
      </c>
      <c r="F335" t="s">
        <v>560</v>
      </c>
      <c r="G335" t="b">
        <v>1</v>
      </c>
      <c r="H335" t="s">
        <v>588</v>
      </c>
    </row>
    <row r="336" spans="1:8" x14ac:dyDescent="0.3">
      <c r="A336" t="s">
        <v>557</v>
      </c>
      <c r="B336" t="s">
        <v>571</v>
      </c>
      <c r="C336" t="s">
        <v>105</v>
      </c>
      <c r="D336" t="s">
        <v>587</v>
      </c>
      <c r="E336" s="230">
        <v>0</v>
      </c>
      <c r="F336" t="s">
        <v>560</v>
      </c>
      <c r="G336" t="b">
        <v>1</v>
      </c>
      <c r="H336" t="s">
        <v>588</v>
      </c>
    </row>
    <row r="337" spans="1:8" x14ac:dyDescent="0.3">
      <c r="A337" t="s">
        <v>557</v>
      </c>
      <c r="B337" t="s">
        <v>571</v>
      </c>
      <c r="C337" t="s">
        <v>108</v>
      </c>
      <c r="D337" t="s">
        <v>587</v>
      </c>
      <c r="E337" s="230">
        <v>0</v>
      </c>
      <c r="F337" t="s">
        <v>560</v>
      </c>
      <c r="G337" t="b">
        <v>1</v>
      </c>
      <c r="H337" t="s">
        <v>588</v>
      </c>
    </row>
    <row r="338" spans="1:8" x14ac:dyDescent="0.3">
      <c r="A338" t="s">
        <v>557</v>
      </c>
      <c r="B338" t="s">
        <v>571</v>
      </c>
      <c r="C338" t="s">
        <v>109</v>
      </c>
      <c r="D338" t="s">
        <v>587</v>
      </c>
      <c r="E338" s="230">
        <v>0</v>
      </c>
      <c r="F338" t="s">
        <v>560</v>
      </c>
      <c r="G338" t="b">
        <v>1</v>
      </c>
      <c r="H338" t="s">
        <v>588</v>
      </c>
    </row>
    <row r="339" spans="1:8" x14ac:dyDescent="0.3">
      <c r="A339" t="s">
        <v>557</v>
      </c>
      <c r="B339" t="s">
        <v>572</v>
      </c>
      <c r="C339" t="s">
        <v>112</v>
      </c>
      <c r="D339" t="s">
        <v>587</v>
      </c>
      <c r="E339" s="230">
        <v>39482.26</v>
      </c>
      <c r="F339" t="s">
        <v>560</v>
      </c>
      <c r="G339" t="b">
        <v>1</v>
      </c>
      <c r="H339" t="s">
        <v>588</v>
      </c>
    </row>
    <row r="340" spans="1:8" x14ac:dyDescent="0.3">
      <c r="A340" t="s">
        <v>557</v>
      </c>
      <c r="B340" t="s">
        <v>562</v>
      </c>
      <c r="C340" t="s">
        <v>116</v>
      </c>
      <c r="D340" t="s">
        <v>587</v>
      </c>
      <c r="E340" s="230">
        <v>8320.14</v>
      </c>
      <c r="F340" t="s">
        <v>560</v>
      </c>
      <c r="G340" t="b">
        <v>1</v>
      </c>
      <c r="H340" t="s">
        <v>588</v>
      </c>
    </row>
    <row r="341" spans="1:8" x14ac:dyDescent="0.3">
      <c r="A341" t="s">
        <v>557</v>
      </c>
      <c r="B341" t="s">
        <v>562</v>
      </c>
      <c r="C341" t="s">
        <v>118</v>
      </c>
      <c r="D341" t="s">
        <v>587</v>
      </c>
      <c r="E341" s="230">
        <v>5242.32</v>
      </c>
      <c r="F341" t="s">
        <v>560</v>
      </c>
      <c r="G341" t="b">
        <v>1</v>
      </c>
      <c r="H341" t="s">
        <v>588</v>
      </c>
    </row>
    <row r="342" spans="1:8" x14ac:dyDescent="0.3">
      <c r="A342" t="s">
        <v>557</v>
      </c>
      <c r="B342" t="s">
        <v>562</v>
      </c>
      <c r="C342" t="s">
        <v>120</v>
      </c>
      <c r="D342" t="s">
        <v>587</v>
      </c>
      <c r="E342" s="230">
        <v>0</v>
      </c>
      <c r="F342" t="s">
        <v>560</v>
      </c>
      <c r="G342" t="b">
        <v>1</v>
      </c>
      <c r="H342" t="s">
        <v>588</v>
      </c>
    </row>
    <row r="343" spans="1:8" x14ac:dyDescent="0.3">
      <c r="A343" t="s">
        <v>557</v>
      </c>
      <c r="B343" t="s">
        <v>562</v>
      </c>
      <c r="C343" t="s">
        <v>122</v>
      </c>
      <c r="D343" t="s">
        <v>587</v>
      </c>
      <c r="E343" s="230">
        <v>0</v>
      </c>
      <c r="F343" t="s">
        <v>560</v>
      </c>
      <c r="G343" t="b">
        <v>1</v>
      </c>
      <c r="H343" t="s">
        <v>588</v>
      </c>
    </row>
    <row r="344" spans="1:8" x14ac:dyDescent="0.3">
      <c r="A344" t="s">
        <v>557</v>
      </c>
      <c r="B344" t="s">
        <v>570</v>
      </c>
      <c r="C344" t="s">
        <v>573</v>
      </c>
      <c r="D344" t="s">
        <v>587</v>
      </c>
      <c r="E344" s="230">
        <v>33850</v>
      </c>
      <c r="F344" t="s">
        <v>560</v>
      </c>
      <c r="G344" t="b">
        <v>1</v>
      </c>
      <c r="H344" t="s">
        <v>588</v>
      </c>
    </row>
    <row r="345" spans="1:8" x14ac:dyDescent="0.3">
      <c r="A345" t="s">
        <v>557</v>
      </c>
      <c r="B345" t="s">
        <v>574</v>
      </c>
      <c r="C345" t="s">
        <v>575</v>
      </c>
      <c r="D345" t="s">
        <v>587</v>
      </c>
      <c r="E345" s="230">
        <v>35043.31</v>
      </c>
      <c r="F345" t="s">
        <v>560</v>
      </c>
      <c r="G345" t="b">
        <v>1</v>
      </c>
      <c r="H345" t="s">
        <v>588</v>
      </c>
    </row>
    <row r="346" spans="1:8" x14ac:dyDescent="0.3">
      <c r="A346" t="s">
        <v>557</v>
      </c>
      <c r="B346" t="s">
        <v>576</v>
      </c>
      <c r="C346" t="s">
        <v>203</v>
      </c>
      <c r="D346" t="s">
        <v>587</v>
      </c>
      <c r="E346" s="230">
        <v>14682.6</v>
      </c>
      <c r="F346" t="s">
        <v>560</v>
      </c>
      <c r="G346" t="b">
        <v>1</v>
      </c>
      <c r="H346" t="s">
        <v>588</v>
      </c>
    </row>
    <row r="347" spans="1:8" x14ac:dyDescent="0.3">
      <c r="A347" t="s">
        <v>557</v>
      </c>
      <c r="B347" t="s">
        <v>577</v>
      </c>
      <c r="C347" t="s">
        <v>206</v>
      </c>
      <c r="D347" t="s">
        <v>587</v>
      </c>
      <c r="E347" s="230">
        <v>5344.19</v>
      </c>
      <c r="F347" t="s">
        <v>560</v>
      </c>
      <c r="G347" t="b">
        <v>1</v>
      </c>
      <c r="H347" t="s">
        <v>588</v>
      </c>
    </row>
    <row r="348" spans="1:8" x14ac:dyDescent="0.3">
      <c r="A348" t="s">
        <v>557</v>
      </c>
      <c r="B348" t="s">
        <v>577</v>
      </c>
      <c r="C348" t="s">
        <v>209</v>
      </c>
      <c r="D348" t="s">
        <v>587</v>
      </c>
      <c r="E348" s="230">
        <v>0</v>
      </c>
      <c r="F348" t="s">
        <v>560</v>
      </c>
      <c r="G348" t="b">
        <v>1</v>
      </c>
      <c r="H348" t="s">
        <v>588</v>
      </c>
    </row>
    <row r="349" spans="1:8" x14ac:dyDescent="0.3">
      <c r="A349" t="s">
        <v>557</v>
      </c>
      <c r="B349" t="s">
        <v>577</v>
      </c>
      <c r="C349" t="s">
        <v>211</v>
      </c>
      <c r="D349" t="s">
        <v>587</v>
      </c>
      <c r="E349" s="230">
        <v>0</v>
      </c>
      <c r="F349" t="s">
        <v>560</v>
      </c>
      <c r="G349" t="b">
        <v>1</v>
      </c>
      <c r="H349" t="s">
        <v>588</v>
      </c>
    </row>
    <row r="350" spans="1:8" x14ac:dyDescent="0.3">
      <c r="A350" t="s">
        <v>557</v>
      </c>
      <c r="B350" t="s">
        <v>577</v>
      </c>
      <c r="C350" t="s">
        <v>213</v>
      </c>
      <c r="D350" t="s">
        <v>587</v>
      </c>
      <c r="E350" s="230">
        <v>3193.18</v>
      </c>
      <c r="F350" t="s">
        <v>560</v>
      </c>
      <c r="G350" t="b">
        <v>1</v>
      </c>
      <c r="H350" t="s">
        <v>588</v>
      </c>
    </row>
    <row r="351" spans="1:8" x14ac:dyDescent="0.3">
      <c r="A351" t="s">
        <v>557</v>
      </c>
      <c r="B351" t="s">
        <v>577</v>
      </c>
      <c r="C351" t="s">
        <v>215</v>
      </c>
      <c r="D351" t="s">
        <v>587</v>
      </c>
      <c r="E351" s="230">
        <v>2068.08</v>
      </c>
      <c r="F351" t="s">
        <v>560</v>
      </c>
      <c r="G351" t="b">
        <v>1</v>
      </c>
      <c r="H351" t="s">
        <v>588</v>
      </c>
    </row>
    <row r="352" spans="1:8" x14ac:dyDescent="0.3">
      <c r="A352" t="s">
        <v>557</v>
      </c>
      <c r="B352" t="s">
        <v>577</v>
      </c>
      <c r="C352" t="s">
        <v>217</v>
      </c>
      <c r="D352" t="s">
        <v>587</v>
      </c>
      <c r="E352" s="230">
        <v>28.42</v>
      </c>
      <c r="F352" t="s">
        <v>560</v>
      </c>
      <c r="G352" t="b">
        <v>1</v>
      </c>
      <c r="H352" t="s">
        <v>588</v>
      </c>
    </row>
    <row r="353" spans="1:8" x14ac:dyDescent="0.3">
      <c r="A353" t="s">
        <v>557</v>
      </c>
      <c r="B353" t="s">
        <v>577</v>
      </c>
      <c r="C353" t="s">
        <v>219</v>
      </c>
      <c r="D353" t="s">
        <v>587</v>
      </c>
      <c r="E353" s="230">
        <v>18.41</v>
      </c>
      <c r="F353" t="s">
        <v>560</v>
      </c>
      <c r="G353" t="b">
        <v>1</v>
      </c>
      <c r="H353" t="s">
        <v>588</v>
      </c>
    </row>
    <row r="354" spans="1:8" x14ac:dyDescent="0.3">
      <c r="A354" t="s">
        <v>557</v>
      </c>
      <c r="B354" t="s">
        <v>577</v>
      </c>
      <c r="C354" t="s">
        <v>221</v>
      </c>
      <c r="D354" t="s">
        <v>587</v>
      </c>
      <c r="E354" s="230">
        <v>0</v>
      </c>
      <c r="F354" t="s">
        <v>560</v>
      </c>
      <c r="G354" t="b">
        <v>1</v>
      </c>
      <c r="H354" t="s">
        <v>588</v>
      </c>
    </row>
    <row r="355" spans="1:8" x14ac:dyDescent="0.3">
      <c r="A355" t="s">
        <v>557</v>
      </c>
      <c r="B355" t="s">
        <v>577</v>
      </c>
      <c r="C355" t="s">
        <v>223</v>
      </c>
      <c r="D355" t="s">
        <v>587</v>
      </c>
      <c r="E355" s="230">
        <v>0</v>
      </c>
      <c r="F355" t="s">
        <v>560</v>
      </c>
      <c r="G355" t="b">
        <v>1</v>
      </c>
      <c r="H355" t="s">
        <v>588</v>
      </c>
    </row>
    <row r="356" spans="1:8" x14ac:dyDescent="0.3">
      <c r="A356" t="s">
        <v>557</v>
      </c>
      <c r="B356" t="s">
        <v>577</v>
      </c>
      <c r="C356" t="s">
        <v>225</v>
      </c>
      <c r="D356" t="s">
        <v>587</v>
      </c>
      <c r="E356" s="230">
        <v>1117.8800000000001</v>
      </c>
      <c r="F356" t="s">
        <v>560</v>
      </c>
      <c r="G356" t="b">
        <v>1</v>
      </c>
      <c r="H356" t="s">
        <v>588</v>
      </c>
    </row>
    <row r="357" spans="1:8" x14ac:dyDescent="0.3">
      <c r="A357" t="s">
        <v>557</v>
      </c>
      <c r="B357" t="s">
        <v>577</v>
      </c>
      <c r="C357" t="s">
        <v>227</v>
      </c>
      <c r="D357" t="s">
        <v>587</v>
      </c>
      <c r="E357" s="230">
        <v>0</v>
      </c>
      <c r="F357" t="s">
        <v>560</v>
      </c>
      <c r="G357" t="b">
        <v>1</v>
      </c>
      <c r="H357" t="s">
        <v>588</v>
      </c>
    </row>
    <row r="358" spans="1:8" x14ac:dyDescent="0.3">
      <c r="A358" t="s">
        <v>557</v>
      </c>
      <c r="B358" t="s">
        <v>577</v>
      </c>
      <c r="C358" t="s">
        <v>229</v>
      </c>
      <c r="D358" t="s">
        <v>587</v>
      </c>
      <c r="E358" s="230">
        <v>1833.34</v>
      </c>
      <c r="F358" t="s">
        <v>560</v>
      </c>
      <c r="G358" t="b">
        <v>1</v>
      </c>
      <c r="H358" t="s">
        <v>588</v>
      </c>
    </row>
    <row r="359" spans="1:8" x14ac:dyDescent="0.3">
      <c r="A359" t="s">
        <v>557</v>
      </c>
      <c r="B359" t="s">
        <v>577</v>
      </c>
      <c r="C359" t="s">
        <v>231</v>
      </c>
      <c r="D359" t="s">
        <v>587</v>
      </c>
      <c r="E359" s="230">
        <v>1930.89</v>
      </c>
      <c r="F359" t="s">
        <v>560</v>
      </c>
      <c r="G359" t="b">
        <v>1</v>
      </c>
      <c r="H359" t="s">
        <v>588</v>
      </c>
    </row>
    <row r="360" spans="1:8" x14ac:dyDescent="0.3">
      <c r="A360" t="s">
        <v>557</v>
      </c>
      <c r="B360" t="s">
        <v>577</v>
      </c>
      <c r="C360" t="s">
        <v>234</v>
      </c>
      <c r="D360" t="s">
        <v>587</v>
      </c>
      <c r="E360" s="230">
        <v>238.93</v>
      </c>
      <c r="F360" t="s">
        <v>560</v>
      </c>
      <c r="G360" t="b">
        <v>1</v>
      </c>
      <c r="H360" t="s">
        <v>588</v>
      </c>
    </row>
    <row r="361" spans="1:8" x14ac:dyDescent="0.3">
      <c r="A361" t="s">
        <v>557</v>
      </c>
      <c r="B361" t="s">
        <v>577</v>
      </c>
      <c r="C361" t="s">
        <v>236</v>
      </c>
      <c r="D361" t="s">
        <v>587</v>
      </c>
      <c r="E361" s="230">
        <v>0</v>
      </c>
      <c r="F361" t="s">
        <v>560</v>
      </c>
      <c r="G361" t="b">
        <v>1</v>
      </c>
      <c r="H361" t="s">
        <v>588</v>
      </c>
    </row>
    <row r="362" spans="1:8" x14ac:dyDescent="0.3">
      <c r="A362" t="s">
        <v>557</v>
      </c>
      <c r="B362" t="s">
        <v>577</v>
      </c>
      <c r="C362" t="s">
        <v>237</v>
      </c>
      <c r="D362" t="s">
        <v>587</v>
      </c>
      <c r="E362" s="230">
        <v>0</v>
      </c>
      <c r="F362" t="s">
        <v>560</v>
      </c>
      <c r="G362" t="b">
        <v>1</v>
      </c>
      <c r="H362" t="s">
        <v>588</v>
      </c>
    </row>
    <row r="363" spans="1:8" x14ac:dyDescent="0.3">
      <c r="A363" t="s">
        <v>557</v>
      </c>
      <c r="B363" t="s">
        <v>578</v>
      </c>
      <c r="C363" t="s">
        <v>239</v>
      </c>
      <c r="D363" t="s">
        <v>587</v>
      </c>
      <c r="E363" s="230">
        <v>4500</v>
      </c>
      <c r="F363" t="s">
        <v>560</v>
      </c>
      <c r="G363" t="b">
        <v>1</v>
      </c>
      <c r="H363" t="s">
        <v>588</v>
      </c>
    </row>
    <row r="364" spans="1:8" x14ac:dyDescent="0.3">
      <c r="A364" t="s">
        <v>557</v>
      </c>
      <c r="B364" t="s">
        <v>578</v>
      </c>
      <c r="C364" t="s">
        <v>240</v>
      </c>
      <c r="D364" t="s">
        <v>587</v>
      </c>
      <c r="E364" s="230">
        <v>0</v>
      </c>
      <c r="F364" t="s">
        <v>560</v>
      </c>
      <c r="G364" t="b">
        <v>1</v>
      </c>
      <c r="H364" t="s">
        <v>588</v>
      </c>
    </row>
    <row r="365" spans="1:8" x14ac:dyDescent="0.3">
      <c r="A365" t="s">
        <v>557</v>
      </c>
      <c r="B365" t="s">
        <v>578</v>
      </c>
      <c r="C365" t="s">
        <v>241</v>
      </c>
      <c r="D365" t="s">
        <v>587</v>
      </c>
      <c r="E365" s="230">
        <v>0</v>
      </c>
      <c r="F365" t="s">
        <v>560</v>
      </c>
      <c r="G365" t="b">
        <v>1</v>
      </c>
      <c r="H365" t="s">
        <v>588</v>
      </c>
    </row>
    <row r="366" spans="1:8" x14ac:dyDescent="0.3">
      <c r="A366" t="s">
        <v>557</v>
      </c>
      <c r="B366" t="s">
        <v>578</v>
      </c>
      <c r="C366" t="s">
        <v>242</v>
      </c>
      <c r="D366" t="s">
        <v>587</v>
      </c>
      <c r="E366" s="230">
        <v>150</v>
      </c>
      <c r="F366" t="s">
        <v>560</v>
      </c>
      <c r="G366" t="b">
        <v>1</v>
      </c>
      <c r="H366" t="s">
        <v>588</v>
      </c>
    </row>
    <row r="367" spans="1:8" x14ac:dyDescent="0.3">
      <c r="A367" t="s">
        <v>557</v>
      </c>
      <c r="B367" t="s">
        <v>578</v>
      </c>
      <c r="C367" t="s">
        <v>244</v>
      </c>
      <c r="D367" t="s">
        <v>587</v>
      </c>
      <c r="E367" s="230">
        <v>0</v>
      </c>
      <c r="F367" t="s">
        <v>560</v>
      </c>
      <c r="G367" t="b">
        <v>1</v>
      </c>
      <c r="H367" t="s">
        <v>588</v>
      </c>
    </row>
    <row r="368" spans="1:8" x14ac:dyDescent="0.3">
      <c r="A368" t="s">
        <v>557</v>
      </c>
      <c r="B368" t="s">
        <v>578</v>
      </c>
      <c r="C368" t="s">
        <v>246</v>
      </c>
      <c r="D368" t="s">
        <v>587</v>
      </c>
      <c r="E368" s="230">
        <v>0</v>
      </c>
      <c r="F368" t="s">
        <v>560</v>
      </c>
      <c r="G368" t="b">
        <v>1</v>
      </c>
      <c r="H368" t="s">
        <v>588</v>
      </c>
    </row>
    <row r="369" spans="1:8" x14ac:dyDescent="0.3">
      <c r="A369" t="s">
        <v>557</v>
      </c>
      <c r="B369" t="s">
        <v>578</v>
      </c>
      <c r="C369" t="s">
        <v>247</v>
      </c>
      <c r="D369" t="s">
        <v>587</v>
      </c>
      <c r="E369" s="230">
        <v>74.16</v>
      </c>
      <c r="F369" t="s">
        <v>560</v>
      </c>
      <c r="G369" t="b">
        <v>1</v>
      </c>
      <c r="H369" t="s">
        <v>588</v>
      </c>
    </row>
    <row r="370" spans="1:8" x14ac:dyDescent="0.3">
      <c r="A370" t="s">
        <v>557</v>
      </c>
      <c r="B370" t="s">
        <v>578</v>
      </c>
      <c r="C370" t="s">
        <v>249</v>
      </c>
      <c r="D370" t="s">
        <v>587</v>
      </c>
      <c r="E370" s="230">
        <v>0</v>
      </c>
      <c r="F370" t="s">
        <v>560</v>
      </c>
      <c r="G370" t="b">
        <v>1</v>
      </c>
      <c r="H370" t="s">
        <v>588</v>
      </c>
    </row>
    <row r="371" spans="1:8" x14ac:dyDescent="0.3">
      <c r="A371" t="s">
        <v>557</v>
      </c>
      <c r="B371" t="s">
        <v>578</v>
      </c>
      <c r="C371" t="s">
        <v>250</v>
      </c>
      <c r="D371" t="s">
        <v>587</v>
      </c>
      <c r="E371" s="230">
        <v>0</v>
      </c>
      <c r="F371" t="s">
        <v>560</v>
      </c>
      <c r="G371" t="b">
        <v>1</v>
      </c>
      <c r="H371" t="s">
        <v>588</v>
      </c>
    </row>
    <row r="372" spans="1:8" x14ac:dyDescent="0.3">
      <c r="A372" t="s">
        <v>557</v>
      </c>
      <c r="B372" t="s">
        <v>578</v>
      </c>
      <c r="C372" t="s">
        <v>251</v>
      </c>
      <c r="D372" t="s">
        <v>587</v>
      </c>
      <c r="E372" s="230">
        <v>0</v>
      </c>
      <c r="F372" t="s">
        <v>560</v>
      </c>
      <c r="G372" t="b">
        <v>1</v>
      </c>
      <c r="H372" t="s">
        <v>588</v>
      </c>
    </row>
    <row r="373" spans="1:8" x14ac:dyDescent="0.3">
      <c r="A373" t="s">
        <v>557</v>
      </c>
      <c r="B373" t="s">
        <v>578</v>
      </c>
      <c r="C373" t="s">
        <v>252</v>
      </c>
      <c r="D373" t="s">
        <v>587</v>
      </c>
      <c r="E373" s="230">
        <v>16994.740000000002</v>
      </c>
      <c r="F373" t="s">
        <v>560</v>
      </c>
      <c r="G373" t="b">
        <v>1</v>
      </c>
      <c r="H373" t="s">
        <v>588</v>
      </c>
    </row>
    <row r="374" spans="1:8" x14ac:dyDescent="0.3">
      <c r="A374" t="s">
        <v>557</v>
      </c>
      <c r="B374" t="s">
        <v>579</v>
      </c>
      <c r="C374" t="s">
        <v>253</v>
      </c>
      <c r="D374" t="s">
        <v>587</v>
      </c>
      <c r="E374" s="230">
        <v>0</v>
      </c>
      <c r="F374" t="s">
        <v>560</v>
      </c>
      <c r="G374" t="b">
        <v>1</v>
      </c>
      <c r="H374" t="s">
        <v>588</v>
      </c>
    </row>
    <row r="375" spans="1:8" x14ac:dyDescent="0.3">
      <c r="A375" t="s">
        <v>557</v>
      </c>
      <c r="B375" t="s">
        <v>256</v>
      </c>
      <c r="C375" t="s">
        <v>257</v>
      </c>
      <c r="D375" t="s">
        <v>587</v>
      </c>
      <c r="E375" s="230">
        <v>51452.1</v>
      </c>
      <c r="F375" t="s">
        <v>560</v>
      </c>
      <c r="G375" t="b">
        <v>1</v>
      </c>
      <c r="H375" t="s">
        <v>588</v>
      </c>
    </row>
    <row r="376" spans="1:8" x14ac:dyDescent="0.3">
      <c r="A376" t="s">
        <v>557</v>
      </c>
      <c r="B376" t="s">
        <v>256</v>
      </c>
      <c r="C376" t="s">
        <v>258</v>
      </c>
      <c r="D376" t="s">
        <v>587</v>
      </c>
      <c r="E376" s="230">
        <v>0</v>
      </c>
      <c r="F376" t="s">
        <v>560</v>
      </c>
      <c r="G376" t="b">
        <v>1</v>
      </c>
      <c r="H376" t="s">
        <v>588</v>
      </c>
    </row>
    <row r="377" spans="1:8" x14ac:dyDescent="0.3">
      <c r="A377" t="s">
        <v>557</v>
      </c>
      <c r="B377" t="s">
        <v>256</v>
      </c>
      <c r="C377" t="s">
        <v>259</v>
      </c>
      <c r="D377" t="s">
        <v>587</v>
      </c>
      <c r="E377" s="230">
        <v>2847.92</v>
      </c>
      <c r="F377" t="s">
        <v>560</v>
      </c>
      <c r="G377" t="b">
        <v>1</v>
      </c>
      <c r="H377" t="s">
        <v>588</v>
      </c>
    </row>
    <row r="378" spans="1:8" x14ac:dyDescent="0.3">
      <c r="A378" t="s">
        <v>557</v>
      </c>
      <c r="B378" t="s">
        <v>256</v>
      </c>
      <c r="C378" t="s">
        <v>260</v>
      </c>
      <c r="D378" t="s">
        <v>587</v>
      </c>
      <c r="E378" s="230">
        <v>0</v>
      </c>
      <c r="F378" t="s">
        <v>560</v>
      </c>
      <c r="G378" t="b">
        <v>1</v>
      </c>
      <c r="H378" t="s">
        <v>588</v>
      </c>
    </row>
    <row r="379" spans="1:8" x14ac:dyDescent="0.3">
      <c r="A379" t="s">
        <v>557</v>
      </c>
      <c r="B379" t="s">
        <v>256</v>
      </c>
      <c r="C379" t="s">
        <v>261</v>
      </c>
      <c r="D379" t="s">
        <v>587</v>
      </c>
      <c r="E379" s="230">
        <v>0</v>
      </c>
      <c r="F379" t="s">
        <v>560</v>
      </c>
      <c r="G379" t="b">
        <v>1</v>
      </c>
      <c r="H379" t="s">
        <v>588</v>
      </c>
    </row>
    <row r="380" spans="1:8" x14ac:dyDescent="0.3">
      <c r="A380" t="s">
        <v>557</v>
      </c>
      <c r="B380" t="s">
        <v>256</v>
      </c>
      <c r="C380" t="s">
        <v>262</v>
      </c>
      <c r="D380" t="s">
        <v>587</v>
      </c>
      <c r="E380" s="230">
        <v>0</v>
      </c>
      <c r="F380" t="s">
        <v>560</v>
      </c>
      <c r="G380" t="b">
        <v>1</v>
      </c>
      <c r="H380" t="s">
        <v>588</v>
      </c>
    </row>
    <row r="381" spans="1:8" x14ac:dyDescent="0.3">
      <c r="A381" t="s">
        <v>557</v>
      </c>
      <c r="B381" t="s">
        <v>256</v>
      </c>
      <c r="C381" t="s">
        <v>263</v>
      </c>
      <c r="D381" t="s">
        <v>587</v>
      </c>
      <c r="E381" s="230">
        <v>0</v>
      </c>
      <c r="F381" t="s">
        <v>560</v>
      </c>
      <c r="G381" t="b">
        <v>1</v>
      </c>
      <c r="H381" t="s">
        <v>588</v>
      </c>
    </row>
    <row r="382" spans="1:8" x14ac:dyDescent="0.3">
      <c r="A382" t="s">
        <v>557</v>
      </c>
      <c r="B382" t="s">
        <v>264</v>
      </c>
      <c r="C382" t="s">
        <v>265</v>
      </c>
      <c r="D382" t="s">
        <v>587</v>
      </c>
      <c r="E382" s="230">
        <v>5244.71</v>
      </c>
      <c r="F382" t="s">
        <v>560</v>
      </c>
      <c r="G382" t="b">
        <v>1</v>
      </c>
      <c r="H382" t="s">
        <v>588</v>
      </c>
    </row>
    <row r="383" spans="1:8" x14ac:dyDescent="0.3">
      <c r="A383" t="s">
        <v>557</v>
      </c>
      <c r="B383" t="s">
        <v>264</v>
      </c>
      <c r="C383" t="s">
        <v>266</v>
      </c>
      <c r="D383" t="s">
        <v>587</v>
      </c>
      <c r="E383" s="230">
        <v>11094.71</v>
      </c>
      <c r="F383" t="s">
        <v>560</v>
      </c>
      <c r="G383" t="b">
        <v>1</v>
      </c>
      <c r="H383" t="s">
        <v>588</v>
      </c>
    </row>
    <row r="384" spans="1:8" x14ac:dyDescent="0.3">
      <c r="A384" t="s">
        <v>557</v>
      </c>
      <c r="B384" t="s">
        <v>264</v>
      </c>
      <c r="C384" t="s">
        <v>267</v>
      </c>
      <c r="D384" t="s">
        <v>587</v>
      </c>
      <c r="E384" s="230">
        <v>6944.71</v>
      </c>
      <c r="F384" t="s">
        <v>560</v>
      </c>
      <c r="G384" t="b">
        <v>1</v>
      </c>
      <c r="H384" t="s">
        <v>588</v>
      </c>
    </row>
    <row r="385" spans="1:8" x14ac:dyDescent="0.3">
      <c r="A385" t="s">
        <v>557</v>
      </c>
      <c r="B385" t="s">
        <v>264</v>
      </c>
      <c r="C385" t="s">
        <v>268</v>
      </c>
      <c r="D385" t="s">
        <v>587</v>
      </c>
      <c r="E385" s="230">
        <v>6544.71</v>
      </c>
      <c r="F385" t="s">
        <v>560</v>
      </c>
      <c r="G385" t="b">
        <v>1</v>
      </c>
      <c r="H385" t="s">
        <v>588</v>
      </c>
    </row>
    <row r="386" spans="1:8" x14ac:dyDescent="0.3">
      <c r="A386" t="s">
        <v>557</v>
      </c>
      <c r="B386" t="s">
        <v>264</v>
      </c>
      <c r="C386" t="s">
        <v>269</v>
      </c>
      <c r="D386" t="s">
        <v>587</v>
      </c>
      <c r="E386" s="230">
        <v>594.71</v>
      </c>
      <c r="F386" t="s">
        <v>560</v>
      </c>
      <c r="G386" t="b">
        <v>1</v>
      </c>
      <c r="H386" t="s">
        <v>588</v>
      </c>
    </row>
    <row r="387" spans="1:8" x14ac:dyDescent="0.3">
      <c r="A387" t="s">
        <v>557</v>
      </c>
      <c r="B387" t="s">
        <v>264</v>
      </c>
      <c r="C387" t="s">
        <v>270</v>
      </c>
      <c r="D387" t="s">
        <v>587</v>
      </c>
      <c r="E387" s="230">
        <v>561</v>
      </c>
      <c r="F387" t="s">
        <v>560</v>
      </c>
      <c r="G387" t="b">
        <v>1</v>
      </c>
      <c r="H387" t="s">
        <v>588</v>
      </c>
    </row>
    <row r="388" spans="1:8" x14ac:dyDescent="0.3">
      <c r="A388" t="s">
        <v>557</v>
      </c>
      <c r="B388" t="s">
        <v>264</v>
      </c>
      <c r="C388" t="s">
        <v>271</v>
      </c>
      <c r="D388" t="s">
        <v>587</v>
      </c>
      <c r="E388" s="230">
        <v>1244.71</v>
      </c>
      <c r="F388" t="s">
        <v>560</v>
      </c>
      <c r="G388" t="b">
        <v>1</v>
      </c>
      <c r="H388" t="s">
        <v>588</v>
      </c>
    </row>
    <row r="389" spans="1:8" x14ac:dyDescent="0.3">
      <c r="A389" t="s">
        <v>557</v>
      </c>
      <c r="B389" t="s">
        <v>264</v>
      </c>
      <c r="C389" t="s">
        <v>272</v>
      </c>
      <c r="D389" t="s">
        <v>587</v>
      </c>
      <c r="E389" s="230">
        <v>2344.71</v>
      </c>
      <c r="F389" t="s">
        <v>560</v>
      </c>
      <c r="G389" t="b">
        <v>1</v>
      </c>
      <c r="H389" t="s">
        <v>588</v>
      </c>
    </row>
    <row r="390" spans="1:8" x14ac:dyDescent="0.3">
      <c r="A390" t="s">
        <v>557</v>
      </c>
      <c r="B390" t="s">
        <v>264</v>
      </c>
      <c r="C390" t="s">
        <v>273</v>
      </c>
      <c r="D390" t="s">
        <v>587</v>
      </c>
      <c r="E390" s="230">
        <v>244.71</v>
      </c>
      <c r="F390" t="s">
        <v>560</v>
      </c>
      <c r="G390" t="b">
        <v>1</v>
      </c>
      <c r="H390" t="s">
        <v>588</v>
      </c>
    </row>
    <row r="391" spans="1:8" x14ac:dyDescent="0.3">
      <c r="A391" t="s">
        <v>557</v>
      </c>
      <c r="B391" t="s">
        <v>264</v>
      </c>
      <c r="C391" t="s">
        <v>580</v>
      </c>
      <c r="D391" t="s">
        <v>587</v>
      </c>
      <c r="E391" s="230">
        <v>244.71</v>
      </c>
      <c r="F391" t="s">
        <v>560</v>
      </c>
      <c r="G391" t="b">
        <v>1</v>
      </c>
      <c r="H391" t="s">
        <v>588</v>
      </c>
    </row>
    <row r="392" spans="1:8" x14ac:dyDescent="0.3">
      <c r="A392" t="s">
        <v>557</v>
      </c>
      <c r="B392" t="s">
        <v>264</v>
      </c>
      <c r="C392" t="s">
        <v>275</v>
      </c>
      <c r="D392" t="s">
        <v>587</v>
      </c>
      <c r="E392" s="230">
        <v>1244.71</v>
      </c>
      <c r="F392" t="s">
        <v>560</v>
      </c>
      <c r="G392" t="b">
        <v>1</v>
      </c>
      <c r="H392" t="s">
        <v>588</v>
      </c>
    </row>
    <row r="393" spans="1:8" x14ac:dyDescent="0.3">
      <c r="A393" t="s">
        <v>557</v>
      </c>
      <c r="B393" t="s">
        <v>264</v>
      </c>
      <c r="C393" t="s">
        <v>276</v>
      </c>
      <c r="D393" t="s">
        <v>587</v>
      </c>
      <c r="E393" s="230">
        <v>1671.18</v>
      </c>
      <c r="F393" t="s">
        <v>560</v>
      </c>
      <c r="G393" t="b">
        <v>1</v>
      </c>
      <c r="H393" t="s">
        <v>588</v>
      </c>
    </row>
    <row r="394" spans="1:8" x14ac:dyDescent="0.3">
      <c r="A394" t="s">
        <v>557</v>
      </c>
      <c r="B394" t="s">
        <v>264</v>
      </c>
      <c r="C394" t="s">
        <v>277</v>
      </c>
      <c r="D394" t="s">
        <v>587</v>
      </c>
      <c r="E394" s="230">
        <v>250</v>
      </c>
      <c r="F394" t="s">
        <v>560</v>
      </c>
      <c r="G394" t="b">
        <v>1</v>
      </c>
      <c r="H394" t="s">
        <v>588</v>
      </c>
    </row>
    <row r="395" spans="1:8" x14ac:dyDescent="0.3">
      <c r="A395" t="s">
        <v>557</v>
      </c>
      <c r="B395" t="s">
        <v>264</v>
      </c>
      <c r="C395" t="s">
        <v>278</v>
      </c>
      <c r="D395" t="s">
        <v>587</v>
      </c>
      <c r="E395" s="230">
        <v>3344.71</v>
      </c>
      <c r="F395" t="s">
        <v>560</v>
      </c>
      <c r="G395" t="b">
        <v>1</v>
      </c>
      <c r="H395" t="s">
        <v>588</v>
      </c>
    </row>
    <row r="396" spans="1:8" x14ac:dyDescent="0.3">
      <c r="A396" t="s">
        <v>557</v>
      </c>
      <c r="B396" t="s">
        <v>279</v>
      </c>
      <c r="C396" t="s">
        <v>280</v>
      </c>
      <c r="D396" t="s">
        <v>587</v>
      </c>
      <c r="E396" s="230">
        <v>0</v>
      </c>
      <c r="F396" t="s">
        <v>560</v>
      </c>
      <c r="G396" t="b">
        <v>1</v>
      </c>
      <c r="H396" t="s">
        <v>588</v>
      </c>
    </row>
    <row r="397" spans="1:8" x14ac:dyDescent="0.3">
      <c r="A397" t="s">
        <v>557</v>
      </c>
      <c r="B397" t="s">
        <v>279</v>
      </c>
      <c r="C397" t="s">
        <v>281</v>
      </c>
      <c r="D397" t="s">
        <v>587</v>
      </c>
      <c r="E397" s="230">
        <v>608.54999999999995</v>
      </c>
      <c r="F397" t="s">
        <v>560</v>
      </c>
      <c r="G397" t="b">
        <v>1</v>
      </c>
      <c r="H397" t="s">
        <v>588</v>
      </c>
    </row>
    <row r="398" spans="1:8" x14ac:dyDescent="0.3">
      <c r="A398" t="s">
        <v>557</v>
      </c>
      <c r="B398" t="s">
        <v>279</v>
      </c>
      <c r="C398" t="s">
        <v>282</v>
      </c>
      <c r="D398" t="s">
        <v>587</v>
      </c>
      <c r="E398" s="230">
        <v>416.13</v>
      </c>
      <c r="F398" t="s">
        <v>560</v>
      </c>
      <c r="G398" t="b">
        <v>1</v>
      </c>
      <c r="H398" t="s">
        <v>588</v>
      </c>
    </row>
    <row r="399" spans="1:8" x14ac:dyDescent="0.3">
      <c r="A399" t="s">
        <v>557</v>
      </c>
      <c r="B399" t="s">
        <v>279</v>
      </c>
      <c r="C399" t="s">
        <v>283</v>
      </c>
      <c r="D399" t="s">
        <v>587</v>
      </c>
      <c r="E399" s="230">
        <v>0</v>
      </c>
      <c r="F399" t="s">
        <v>560</v>
      </c>
      <c r="G399" t="b">
        <v>1</v>
      </c>
      <c r="H399" t="s">
        <v>588</v>
      </c>
    </row>
    <row r="400" spans="1:8" x14ac:dyDescent="0.3">
      <c r="A400" t="s">
        <v>557</v>
      </c>
      <c r="B400" t="s">
        <v>279</v>
      </c>
      <c r="C400" t="s">
        <v>284</v>
      </c>
      <c r="D400" t="s">
        <v>587</v>
      </c>
      <c r="E400" s="230">
        <v>2614.5</v>
      </c>
      <c r="F400" t="s">
        <v>560</v>
      </c>
      <c r="G400" t="b">
        <v>1</v>
      </c>
      <c r="H400" t="s">
        <v>588</v>
      </c>
    </row>
    <row r="401" spans="1:8" x14ac:dyDescent="0.3">
      <c r="A401" t="s">
        <v>557</v>
      </c>
      <c r="B401" t="s">
        <v>279</v>
      </c>
      <c r="C401" t="s">
        <v>285</v>
      </c>
      <c r="D401" t="s">
        <v>587</v>
      </c>
      <c r="E401" s="230">
        <v>408.45</v>
      </c>
      <c r="F401" t="s">
        <v>560</v>
      </c>
      <c r="G401" t="b">
        <v>1</v>
      </c>
      <c r="H401" t="s">
        <v>588</v>
      </c>
    </row>
    <row r="402" spans="1:8" x14ac:dyDescent="0.3">
      <c r="A402" t="s">
        <v>557</v>
      </c>
      <c r="B402" t="s">
        <v>279</v>
      </c>
      <c r="C402" t="s">
        <v>286</v>
      </c>
      <c r="D402" t="s">
        <v>587</v>
      </c>
      <c r="E402" s="230">
        <v>1017.45</v>
      </c>
      <c r="F402" t="s">
        <v>560</v>
      </c>
      <c r="G402" t="b">
        <v>1</v>
      </c>
      <c r="H402" t="s">
        <v>588</v>
      </c>
    </row>
    <row r="403" spans="1:8" x14ac:dyDescent="0.3">
      <c r="A403" t="s">
        <v>557</v>
      </c>
      <c r="B403" t="s">
        <v>581</v>
      </c>
      <c r="C403" t="s">
        <v>288</v>
      </c>
      <c r="D403" t="s">
        <v>587</v>
      </c>
      <c r="E403" s="230">
        <v>4234.13</v>
      </c>
      <c r="F403" t="s">
        <v>560</v>
      </c>
      <c r="G403" t="b">
        <v>1</v>
      </c>
      <c r="H403" t="s">
        <v>588</v>
      </c>
    </row>
    <row r="404" spans="1:8" x14ac:dyDescent="0.3">
      <c r="A404" t="s">
        <v>557</v>
      </c>
      <c r="B404" t="s">
        <v>581</v>
      </c>
      <c r="C404" t="s">
        <v>289</v>
      </c>
      <c r="D404" t="s">
        <v>587</v>
      </c>
      <c r="E404" s="230">
        <v>1297.8800000000001</v>
      </c>
      <c r="F404" t="s">
        <v>560</v>
      </c>
      <c r="G404" t="b">
        <v>1</v>
      </c>
      <c r="H404" t="s">
        <v>588</v>
      </c>
    </row>
    <row r="405" spans="1:8" x14ac:dyDescent="0.3">
      <c r="A405" t="s">
        <v>557</v>
      </c>
      <c r="B405" t="s">
        <v>581</v>
      </c>
      <c r="C405" t="s">
        <v>290</v>
      </c>
      <c r="D405" t="s">
        <v>587</v>
      </c>
      <c r="E405" s="230">
        <v>1097.8800000000001</v>
      </c>
      <c r="F405" t="s">
        <v>560</v>
      </c>
      <c r="G405" t="b">
        <v>1</v>
      </c>
      <c r="H405" t="s">
        <v>588</v>
      </c>
    </row>
    <row r="406" spans="1:8" x14ac:dyDescent="0.3">
      <c r="A406" t="s">
        <v>557</v>
      </c>
      <c r="B406" t="s">
        <v>581</v>
      </c>
      <c r="C406" t="s">
        <v>291</v>
      </c>
      <c r="D406" t="s">
        <v>587</v>
      </c>
      <c r="E406" s="230">
        <v>397.88</v>
      </c>
      <c r="F406" t="s">
        <v>560</v>
      </c>
      <c r="G406" t="b">
        <v>1</v>
      </c>
      <c r="H406" t="s">
        <v>588</v>
      </c>
    </row>
    <row r="407" spans="1:8" x14ac:dyDescent="0.3">
      <c r="A407" t="s">
        <v>557</v>
      </c>
      <c r="B407" t="s">
        <v>581</v>
      </c>
      <c r="C407" t="s">
        <v>292</v>
      </c>
      <c r="D407" t="s">
        <v>587</v>
      </c>
      <c r="E407" s="230">
        <v>0</v>
      </c>
      <c r="F407" t="s">
        <v>560</v>
      </c>
      <c r="G407" t="b">
        <v>1</v>
      </c>
      <c r="H407" t="s">
        <v>588</v>
      </c>
    </row>
    <row r="408" spans="1:8" x14ac:dyDescent="0.3">
      <c r="A408" t="s">
        <v>557</v>
      </c>
      <c r="B408" t="s">
        <v>582</v>
      </c>
      <c r="C408" t="s">
        <v>293</v>
      </c>
      <c r="D408" t="s">
        <v>587</v>
      </c>
      <c r="E408" s="230">
        <v>597.88</v>
      </c>
      <c r="F408" t="s">
        <v>560</v>
      </c>
      <c r="G408" t="b">
        <v>1</v>
      </c>
      <c r="H408" t="s">
        <v>588</v>
      </c>
    </row>
    <row r="409" spans="1:8" x14ac:dyDescent="0.3">
      <c r="A409" t="s">
        <v>557</v>
      </c>
      <c r="B409" t="s">
        <v>582</v>
      </c>
      <c r="C409" t="s">
        <v>294</v>
      </c>
      <c r="D409" t="s">
        <v>587</v>
      </c>
      <c r="E409" s="230">
        <v>0</v>
      </c>
      <c r="F409" t="s">
        <v>560</v>
      </c>
      <c r="G409" t="b">
        <v>1</v>
      </c>
      <c r="H409" t="s">
        <v>588</v>
      </c>
    </row>
    <row r="410" spans="1:8" x14ac:dyDescent="0.3">
      <c r="A410" t="s">
        <v>557</v>
      </c>
      <c r="B410" t="s">
        <v>582</v>
      </c>
      <c r="C410" t="s">
        <v>295</v>
      </c>
      <c r="D410" t="s">
        <v>587</v>
      </c>
      <c r="E410" s="230">
        <v>0</v>
      </c>
      <c r="F410" t="s">
        <v>560</v>
      </c>
      <c r="G410" t="b">
        <v>1</v>
      </c>
      <c r="H410" t="s">
        <v>588</v>
      </c>
    </row>
    <row r="411" spans="1:8" x14ac:dyDescent="0.3">
      <c r="A411" t="s">
        <v>557</v>
      </c>
      <c r="B411" t="s">
        <v>296</v>
      </c>
      <c r="C411" t="s">
        <v>297</v>
      </c>
      <c r="D411" t="s">
        <v>587</v>
      </c>
      <c r="E411" s="230">
        <v>4200</v>
      </c>
      <c r="F411" t="s">
        <v>560</v>
      </c>
      <c r="G411" t="b">
        <v>1</v>
      </c>
      <c r="H411" t="s">
        <v>588</v>
      </c>
    </row>
    <row r="412" spans="1:8" x14ac:dyDescent="0.3">
      <c r="A412" t="s">
        <v>557</v>
      </c>
      <c r="B412" t="s">
        <v>296</v>
      </c>
      <c r="C412" t="s">
        <v>298</v>
      </c>
      <c r="D412" t="s">
        <v>587</v>
      </c>
      <c r="E412" s="230">
        <v>525</v>
      </c>
      <c r="F412" t="s">
        <v>560</v>
      </c>
      <c r="G412" t="b">
        <v>1</v>
      </c>
      <c r="H412" t="s">
        <v>588</v>
      </c>
    </row>
    <row r="413" spans="1:8" x14ac:dyDescent="0.3">
      <c r="A413" t="s">
        <v>557</v>
      </c>
      <c r="B413" t="s">
        <v>296</v>
      </c>
      <c r="C413" t="s">
        <v>299</v>
      </c>
      <c r="D413" t="s">
        <v>587</v>
      </c>
      <c r="E413" s="230">
        <v>0</v>
      </c>
      <c r="F413" t="s">
        <v>560</v>
      </c>
      <c r="G413" t="b">
        <v>1</v>
      </c>
      <c r="H413" t="s">
        <v>588</v>
      </c>
    </row>
    <row r="414" spans="1:8" x14ac:dyDescent="0.3">
      <c r="A414" t="s">
        <v>557</v>
      </c>
      <c r="B414" t="s">
        <v>296</v>
      </c>
      <c r="C414" t="s">
        <v>300</v>
      </c>
      <c r="D414" t="s">
        <v>587</v>
      </c>
      <c r="E414" s="230">
        <v>0</v>
      </c>
      <c r="F414" t="s">
        <v>560</v>
      </c>
      <c r="G414" t="b">
        <v>1</v>
      </c>
      <c r="H414" t="s">
        <v>588</v>
      </c>
    </row>
    <row r="415" spans="1:8" x14ac:dyDescent="0.3">
      <c r="A415" t="s">
        <v>557</v>
      </c>
      <c r="B415" t="s">
        <v>296</v>
      </c>
      <c r="C415" t="s">
        <v>301</v>
      </c>
      <c r="D415" t="s">
        <v>587</v>
      </c>
      <c r="E415" s="230">
        <v>1097.8800000000001</v>
      </c>
      <c r="F415" t="s">
        <v>560</v>
      </c>
      <c r="G415" t="b">
        <v>1</v>
      </c>
      <c r="H415" t="s">
        <v>588</v>
      </c>
    </row>
    <row r="416" spans="1:8" x14ac:dyDescent="0.3">
      <c r="A416" t="s">
        <v>557</v>
      </c>
      <c r="B416" t="s">
        <v>296</v>
      </c>
      <c r="C416" t="s">
        <v>302</v>
      </c>
      <c r="D416" t="s">
        <v>587</v>
      </c>
      <c r="E416" s="230">
        <v>0</v>
      </c>
      <c r="F416" t="s">
        <v>560</v>
      </c>
      <c r="G416" t="b">
        <v>1</v>
      </c>
      <c r="H416" t="s">
        <v>588</v>
      </c>
    </row>
    <row r="417" spans="1:8" x14ac:dyDescent="0.3">
      <c r="A417" t="s">
        <v>557</v>
      </c>
      <c r="B417" t="s">
        <v>296</v>
      </c>
      <c r="C417" t="s">
        <v>303</v>
      </c>
      <c r="D417" t="s">
        <v>587</v>
      </c>
      <c r="E417" s="230">
        <v>0</v>
      </c>
      <c r="F417" t="s">
        <v>560</v>
      </c>
      <c r="G417" t="b">
        <v>1</v>
      </c>
      <c r="H417" t="s">
        <v>588</v>
      </c>
    </row>
    <row r="418" spans="1:8" x14ac:dyDescent="0.3">
      <c r="A418" t="s">
        <v>557</v>
      </c>
      <c r="B418" t="s">
        <v>296</v>
      </c>
      <c r="C418" t="s">
        <v>304</v>
      </c>
      <c r="D418" t="s">
        <v>587</v>
      </c>
      <c r="E418" s="230">
        <v>0</v>
      </c>
      <c r="F418" t="s">
        <v>560</v>
      </c>
      <c r="G418" t="b">
        <v>1</v>
      </c>
      <c r="H418" t="s">
        <v>588</v>
      </c>
    </row>
    <row r="419" spans="1:8" x14ac:dyDescent="0.3">
      <c r="A419" t="s">
        <v>557</v>
      </c>
      <c r="B419" t="s">
        <v>296</v>
      </c>
      <c r="C419" t="s">
        <v>305</v>
      </c>
      <c r="D419" t="s">
        <v>587</v>
      </c>
      <c r="E419" s="230">
        <v>0</v>
      </c>
      <c r="F419" t="s">
        <v>560</v>
      </c>
      <c r="G419" t="b">
        <v>1</v>
      </c>
      <c r="H419" t="s">
        <v>588</v>
      </c>
    </row>
    <row r="420" spans="1:8" x14ac:dyDescent="0.3">
      <c r="A420" t="s">
        <v>557</v>
      </c>
      <c r="B420" t="s">
        <v>296</v>
      </c>
      <c r="C420" t="s">
        <v>583</v>
      </c>
      <c r="D420" t="s">
        <v>587</v>
      </c>
      <c r="E420" s="230">
        <v>0</v>
      </c>
      <c r="F420" t="s">
        <v>560</v>
      </c>
      <c r="G420" t="b">
        <v>1</v>
      </c>
      <c r="H420" t="s">
        <v>588</v>
      </c>
    </row>
    <row r="421" spans="1:8" x14ac:dyDescent="0.3">
      <c r="A421" t="s">
        <v>557</v>
      </c>
      <c r="B421" t="s">
        <v>296</v>
      </c>
      <c r="C421" t="s">
        <v>307</v>
      </c>
      <c r="D421" t="s">
        <v>587</v>
      </c>
      <c r="E421" s="230">
        <v>206.85</v>
      </c>
      <c r="F421" t="s">
        <v>560</v>
      </c>
      <c r="G421" t="b">
        <v>1</v>
      </c>
      <c r="H421" t="s">
        <v>588</v>
      </c>
    </row>
    <row r="422" spans="1:8" x14ac:dyDescent="0.3">
      <c r="A422" t="s">
        <v>557</v>
      </c>
      <c r="B422" t="s">
        <v>308</v>
      </c>
      <c r="C422" t="s">
        <v>309</v>
      </c>
      <c r="D422" t="s">
        <v>587</v>
      </c>
      <c r="E422" s="230">
        <v>2995.34</v>
      </c>
      <c r="F422" t="s">
        <v>560</v>
      </c>
      <c r="G422" t="b">
        <v>1</v>
      </c>
      <c r="H422" t="s">
        <v>588</v>
      </c>
    </row>
    <row r="423" spans="1:8" x14ac:dyDescent="0.3">
      <c r="A423" t="s">
        <v>557</v>
      </c>
      <c r="B423" t="s">
        <v>308</v>
      </c>
      <c r="C423" t="s">
        <v>310</v>
      </c>
      <c r="D423" t="s">
        <v>587</v>
      </c>
      <c r="E423" s="230">
        <v>0</v>
      </c>
      <c r="F423" t="s">
        <v>560</v>
      </c>
      <c r="G423" t="b">
        <v>1</v>
      </c>
      <c r="H423" t="s">
        <v>588</v>
      </c>
    </row>
    <row r="424" spans="1:8" x14ac:dyDescent="0.3">
      <c r="A424" t="s">
        <v>557</v>
      </c>
      <c r="B424" t="s">
        <v>308</v>
      </c>
      <c r="C424" t="s">
        <v>311</v>
      </c>
      <c r="D424" t="s">
        <v>587</v>
      </c>
      <c r="E424" s="230">
        <v>1627.5</v>
      </c>
      <c r="F424" t="s">
        <v>560</v>
      </c>
      <c r="G424" t="b">
        <v>1</v>
      </c>
      <c r="H424" t="s">
        <v>588</v>
      </c>
    </row>
    <row r="425" spans="1:8" x14ac:dyDescent="0.3">
      <c r="A425" t="s">
        <v>557</v>
      </c>
      <c r="B425" t="s">
        <v>308</v>
      </c>
      <c r="C425" t="s">
        <v>312</v>
      </c>
      <c r="D425" t="s">
        <v>587</v>
      </c>
      <c r="E425" s="230">
        <v>194.25</v>
      </c>
      <c r="F425" t="s">
        <v>560</v>
      </c>
      <c r="G425" t="b">
        <v>1</v>
      </c>
      <c r="H425" t="s">
        <v>588</v>
      </c>
    </row>
    <row r="426" spans="1:8" x14ac:dyDescent="0.3">
      <c r="A426" t="s">
        <v>557</v>
      </c>
      <c r="B426" t="s">
        <v>308</v>
      </c>
      <c r="C426" t="s">
        <v>313</v>
      </c>
      <c r="D426" t="s">
        <v>587</v>
      </c>
      <c r="E426" s="230">
        <v>0</v>
      </c>
      <c r="F426" t="s">
        <v>560</v>
      </c>
      <c r="G426" t="b">
        <v>1</v>
      </c>
      <c r="H426" t="s">
        <v>588</v>
      </c>
    </row>
    <row r="427" spans="1:8" x14ac:dyDescent="0.3">
      <c r="A427" t="s">
        <v>557</v>
      </c>
      <c r="B427" t="s">
        <v>308</v>
      </c>
      <c r="C427" t="s">
        <v>314</v>
      </c>
      <c r="D427" t="s">
        <v>587</v>
      </c>
      <c r="E427" s="230">
        <v>743.59</v>
      </c>
      <c r="F427" t="s">
        <v>560</v>
      </c>
      <c r="G427" t="b">
        <v>1</v>
      </c>
      <c r="H427" t="s">
        <v>588</v>
      </c>
    </row>
    <row r="428" spans="1:8" x14ac:dyDescent="0.3">
      <c r="A428" t="s">
        <v>557</v>
      </c>
      <c r="B428" t="s">
        <v>308</v>
      </c>
      <c r="C428" t="s">
        <v>315</v>
      </c>
      <c r="D428" t="s">
        <v>587</v>
      </c>
      <c r="E428" s="230">
        <v>0</v>
      </c>
      <c r="F428" t="s">
        <v>560</v>
      </c>
      <c r="G428" t="b">
        <v>1</v>
      </c>
      <c r="H428" t="s">
        <v>588</v>
      </c>
    </row>
    <row r="429" spans="1:8" x14ac:dyDescent="0.3">
      <c r="A429" t="s">
        <v>557</v>
      </c>
      <c r="B429" t="s">
        <v>308</v>
      </c>
      <c r="C429" t="s">
        <v>316</v>
      </c>
      <c r="D429" t="s">
        <v>587</v>
      </c>
      <c r="E429" s="230">
        <v>0</v>
      </c>
      <c r="F429" t="s">
        <v>560</v>
      </c>
      <c r="G429" t="b">
        <v>1</v>
      </c>
      <c r="H429" t="s">
        <v>588</v>
      </c>
    </row>
    <row r="430" spans="1:8" x14ac:dyDescent="0.3">
      <c r="A430" t="s">
        <v>557</v>
      </c>
      <c r="B430" t="s">
        <v>308</v>
      </c>
      <c r="C430" t="s">
        <v>317</v>
      </c>
      <c r="D430" t="s">
        <v>587</v>
      </c>
      <c r="E430" s="230">
        <v>0</v>
      </c>
      <c r="F430" t="s">
        <v>560</v>
      </c>
      <c r="G430" t="b">
        <v>1</v>
      </c>
      <c r="H430" t="s">
        <v>588</v>
      </c>
    </row>
    <row r="431" spans="1:8" x14ac:dyDescent="0.3">
      <c r="A431" t="s">
        <v>557</v>
      </c>
      <c r="B431" t="s">
        <v>318</v>
      </c>
      <c r="C431" t="s">
        <v>319</v>
      </c>
      <c r="D431" t="s">
        <v>587</v>
      </c>
      <c r="E431" s="230">
        <v>1770.3</v>
      </c>
      <c r="F431" t="s">
        <v>560</v>
      </c>
      <c r="G431" t="b">
        <v>1</v>
      </c>
      <c r="H431" t="s">
        <v>588</v>
      </c>
    </row>
    <row r="432" spans="1:8" x14ac:dyDescent="0.3">
      <c r="A432" t="s">
        <v>557</v>
      </c>
      <c r="B432" t="s">
        <v>318</v>
      </c>
      <c r="C432" t="s">
        <v>320</v>
      </c>
      <c r="D432" t="s">
        <v>587</v>
      </c>
      <c r="E432" s="230">
        <v>144.44999999999999</v>
      </c>
      <c r="F432" t="s">
        <v>560</v>
      </c>
      <c r="G432" t="b">
        <v>1</v>
      </c>
      <c r="H432" t="s">
        <v>588</v>
      </c>
    </row>
    <row r="433" spans="1:8" x14ac:dyDescent="0.3">
      <c r="A433" t="s">
        <v>557</v>
      </c>
      <c r="B433" t="s">
        <v>318</v>
      </c>
      <c r="C433" t="s">
        <v>321</v>
      </c>
      <c r="D433" t="s">
        <v>587</v>
      </c>
      <c r="E433" s="230">
        <v>210</v>
      </c>
      <c r="F433" t="s">
        <v>560</v>
      </c>
      <c r="G433" t="b">
        <v>1</v>
      </c>
      <c r="H433" t="s">
        <v>588</v>
      </c>
    </row>
    <row r="434" spans="1:8" x14ac:dyDescent="0.3">
      <c r="A434" t="s">
        <v>557</v>
      </c>
      <c r="B434" t="s">
        <v>318</v>
      </c>
      <c r="C434" t="s">
        <v>322</v>
      </c>
      <c r="D434" t="s">
        <v>587</v>
      </c>
      <c r="E434" s="230">
        <v>0</v>
      </c>
      <c r="F434" t="s">
        <v>560</v>
      </c>
      <c r="G434" t="b">
        <v>1</v>
      </c>
      <c r="H434" t="s">
        <v>588</v>
      </c>
    </row>
    <row r="435" spans="1:8" x14ac:dyDescent="0.3">
      <c r="A435" t="s">
        <v>557</v>
      </c>
      <c r="B435" t="s">
        <v>323</v>
      </c>
      <c r="C435" t="s">
        <v>324</v>
      </c>
      <c r="D435" t="s">
        <v>587</v>
      </c>
      <c r="E435" s="230">
        <v>0</v>
      </c>
      <c r="F435" t="s">
        <v>560</v>
      </c>
      <c r="G435" t="b">
        <v>1</v>
      </c>
      <c r="H435" t="s">
        <v>588</v>
      </c>
    </row>
    <row r="436" spans="1:8" x14ac:dyDescent="0.3">
      <c r="A436" t="s">
        <v>557</v>
      </c>
      <c r="B436" t="s">
        <v>323</v>
      </c>
      <c r="C436" t="s">
        <v>325</v>
      </c>
      <c r="D436" t="s">
        <v>587</v>
      </c>
      <c r="E436" s="230">
        <v>0</v>
      </c>
      <c r="F436" t="s">
        <v>560</v>
      </c>
      <c r="G436" t="b">
        <v>1</v>
      </c>
      <c r="H436" t="s">
        <v>588</v>
      </c>
    </row>
    <row r="437" spans="1:8" x14ac:dyDescent="0.3">
      <c r="A437" t="s">
        <v>557</v>
      </c>
      <c r="B437" t="s">
        <v>323</v>
      </c>
      <c r="C437" t="s">
        <v>326</v>
      </c>
      <c r="D437" t="s">
        <v>587</v>
      </c>
      <c r="E437" s="230">
        <v>24470.99</v>
      </c>
      <c r="F437" t="s">
        <v>560</v>
      </c>
      <c r="G437" t="b">
        <v>1</v>
      </c>
      <c r="H437" t="s">
        <v>588</v>
      </c>
    </row>
    <row r="438" spans="1:8" x14ac:dyDescent="0.3">
      <c r="A438" t="s">
        <v>557</v>
      </c>
      <c r="B438" t="s">
        <v>584</v>
      </c>
      <c r="C438" t="s">
        <v>334</v>
      </c>
      <c r="D438" t="s">
        <v>587</v>
      </c>
      <c r="E438" s="230">
        <v>3100</v>
      </c>
      <c r="F438" t="s">
        <v>560</v>
      </c>
      <c r="G438" t="b">
        <v>1</v>
      </c>
      <c r="H438" t="s">
        <v>588</v>
      </c>
    </row>
    <row r="439" spans="1:8" x14ac:dyDescent="0.3">
      <c r="A439" t="s">
        <v>557</v>
      </c>
      <c r="B439" t="s">
        <v>584</v>
      </c>
      <c r="C439" t="s">
        <v>336</v>
      </c>
      <c r="D439" t="s">
        <v>587</v>
      </c>
      <c r="E439" s="230">
        <v>0</v>
      </c>
      <c r="F439" t="s">
        <v>560</v>
      </c>
      <c r="G439" t="b">
        <v>1</v>
      </c>
      <c r="H439" t="s">
        <v>588</v>
      </c>
    </row>
    <row r="440" spans="1:8" x14ac:dyDescent="0.3">
      <c r="A440" t="s">
        <v>557</v>
      </c>
      <c r="B440" t="s">
        <v>558</v>
      </c>
      <c r="C440" t="s">
        <v>13</v>
      </c>
      <c r="D440" t="s">
        <v>589</v>
      </c>
      <c r="E440" s="230">
        <v>205727.83</v>
      </c>
      <c r="F440" t="s">
        <v>560</v>
      </c>
      <c r="G440" t="b">
        <v>1</v>
      </c>
      <c r="H440" t="s">
        <v>590</v>
      </c>
    </row>
    <row r="441" spans="1:8" x14ac:dyDescent="0.3">
      <c r="A441" t="s">
        <v>557</v>
      </c>
      <c r="B441" t="s">
        <v>558</v>
      </c>
      <c r="C441" t="s">
        <v>16</v>
      </c>
      <c r="D441" t="s">
        <v>589</v>
      </c>
      <c r="E441" s="230">
        <v>128570.7</v>
      </c>
      <c r="F441" t="s">
        <v>560</v>
      </c>
      <c r="G441" t="b">
        <v>1</v>
      </c>
      <c r="H441" t="s">
        <v>590</v>
      </c>
    </row>
    <row r="442" spans="1:8" x14ac:dyDescent="0.3">
      <c r="A442" t="s">
        <v>557</v>
      </c>
      <c r="B442" t="s">
        <v>558</v>
      </c>
      <c r="C442" t="s">
        <v>17</v>
      </c>
      <c r="D442" t="s">
        <v>589</v>
      </c>
      <c r="E442" s="230">
        <v>4856.17</v>
      </c>
      <c r="F442" t="s">
        <v>560</v>
      </c>
      <c r="G442" t="b">
        <v>1</v>
      </c>
      <c r="H442" t="s">
        <v>590</v>
      </c>
    </row>
    <row r="443" spans="1:8" x14ac:dyDescent="0.3">
      <c r="A443" t="s">
        <v>557</v>
      </c>
      <c r="B443" t="s">
        <v>558</v>
      </c>
      <c r="C443" t="s">
        <v>18</v>
      </c>
      <c r="D443" t="s">
        <v>589</v>
      </c>
      <c r="E443" s="230">
        <v>0</v>
      </c>
      <c r="F443" t="s">
        <v>560</v>
      </c>
      <c r="G443" t="b">
        <v>1</v>
      </c>
      <c r="H443" t="s">
        <v>590</v>
      </c>
    </row>
    <row r="444" spans="1:8" x14ac:dyDescent="0.3">
      <c r="A444" t="s">
        <v>557</v>
      </c>
      <c r="B444" t="s">
        <v>558</v>
      </c>
      <c r="C444" t="s">
        <v>20</v>
      </c>
      <c r="D444" t="s">
        <v>589</v>
      </c>
      <c r="E444" s="230">
        <v>46248.37</v>
      </c>
      <c r="F444" t="s">
        <v>560</v>
      </c>
      <c r="G444" t="b">
        <v>1</v>
      </c>
      <c r="H444" t="s">
        <v>590</v>
      </c>
    </row>
    <row r="445" spans="1:8" x14ac:dyDescent="0.3">
      <c r="A445" t="s">
        <v>557</v>
      </c>
      <c r="B445" t="s">
        <v>558</v>
      </c>
      <c r="C445" t="s">
        <v>29</v>
      </c>
      <c r="D445" t="s">
        <v>589</v>
      </c>
      <c r="E445" s="230">
        <v>20814.57</v>
      </c>
      <c r="F445" t="s">
        <v>560</v>
      </c>
      <c r="G445" t="b">
        <v>1</v>
      </c>
      <c r="H445" t="s">
        <v>590</v>
      </c>
    </row>
    <row r="446" spans="1:8" x14ac:dyDescent="0.3">
      <c r="A446" t="s">
        <v>557</v>
      </c>
      <c r="B446" t="s">
        <v>558</v>
      </c>
      <c r="C446" t="s">
        <v>31</v>
      </c>
      <c r="D446" t="s">
        <v>589</v>
      </c>
      <c r="E446" s="230">
        <v>0</v>
      </c>
      <c r="F446" t="s">
        <v>560</v>
      </c>
      <c r="G446" t="b">
        <v>1</v>
      </c>
      <c r="H446" t="s">
        <v>590</v>
      </c>
    </row>
    <row r="447" spans="1:8" x14ac:dyDescent="0.3">
      <c r="A447" t="s">
        <v>557</v>
      </c>
      <c r="B447" t="s">
        <v>562</v>
      </c>
      <c r="C447" t="s">
        <v>38</v>
      </c>
      <c r="D447" t="s">
        <v>589</v>
      </c>
      <c r="E447" s="230">
        <v>8357.4599999999991</v>
      </c>
      <c r="F447" t="s">
        <v>560</v>
      </c>
      <c r="G447" t="b">
        <v>1</v>
      </c>
      <c r="H447" t="s">
        <v>590</v>
      </c>
    </row>
    <row r="448" spans="1:8" x14ac:dyDescent="0.3">
      <c r="A448" t="s">
        <v>557</v>
      </c>
      <c r="B448" t="s">
        <v>562</v>
      </c>
      <c r="C448" t="s">
        <v>40</v>
      </c>
      <c r="D448" t="s">
        <v>589</v>
      </c>
      <c r="E448" s="230">
        <v>6619.11</v>
      </c>
      <c r="F448" t="s">
        <v>560</v>
      </c>
      <c r="G448" t="b">
        <v>1</v>
      </c>
      <c r="H448" t="s">
        <v>590</v>
      </c>
    </row>
    <row r="449" spans="1:8" x14ac:dyDescent="0.3">
      <c r="A449" t="s">
        <v>557</v>
      </c>
      <c r="B449" t="s">
        <v>562</v>
      </c>
      <c r="C449" t="s">
        <v>42</v>
      </c>
      <c r="D449" t="s">
        <v>589</v>
      </c>
      <c r="E449" s="230">
        <v>835.75</v>
      </c>
      <c r="F449" t="s">
        <v>560</v>
      </c>
      <c r="G449" t="b">
        <v>1</v>
      </c>
      <c r="H449" t="s">
        <v>590</v>
      </c>
    </row>
    <row r="450" spans="1:8" x14ac:dyDescent="0.3">
      <c r="A450" t="s">
        <v>557</v>
      </c>
      <c r="B450" t="s">
        <v>563</v>
      </c>
      <c r="C450" t="s">
        <v>46</v>
      </c>
      <c r="D450" t="s">
        <v>589</v>
      </c>
      <c r="E450" s="230">
        <v>14644.47</v>
      </c>
      <c r="F450" t="s">
        <v>560</v>
      </c>
      <c r="G450" t="b">
        <v>1</v>
      </c>
      <c r="H450" t="s">
        <v>590</v>
      </c>
    </row>
    <row r="451" spans="1:8" x14ac:dyDescent="0.3">
      <c r="A451" t="s">
        <v>557</v>
      </c>
      <c r="B451" t="s">
        <v>563</v>
      </c>
      <c r="C451" t="s">
        <v>48</v>
      </c>
      <c r="D451" t="s">
        <v>589</v>
      </c>
      <c r="E451" s="230">
        <v>15978.24</v>
      </c>
      <c r="F451" t="s">
        <v>560</v>
      </c>
      <c r="G451" t="b">
        <v>1</v>
      </c>
      <c r="H451" t="s">
        <v>590</v>
      </c>
    </row>
    <row r="452" spans="1:8" x14ac:dyDescent="0.3">
      <c r="A452" t="s">
        <v>557</v>
      </c>
      <c r="B452" t="s">
        <v>563</v>
      </c>
      <c r="C452" t="s">
        <v>49</v>
      </c>
      <c r="D452" t="s">
        <v>589</v>
      </c>
      <c r="E452" s="230">
        <v>887.02</v>
      </c>
      <c r="F452" t="s">
        <v>560</v>
      </c>
      <c r="G452" t="b">
        <v>1</v>
      </c>
      <c r="H452" t="s">
        <v>590</v>
      </c>
    </row>
    <row r="453" spans="1:8" x14ac:dyDescent="0.3">
      <c r="A453" t="s">
        <v>557</v>
      </c>
      <c r="B453" t="s">
        <v>564</v>
      </c>
      <c r="C453" t="s">
        <v>565</v>
      </c>
      <c r="D453" t="s">
        <v>589</v>
      </c>
      <c r="E453" s="230">
        <v>90449.919999999998</v>
      </c>
      <c r="F453" t="s">
        <v>560</v>
      </c>
      <c r="G453" t="b">
        <v>1</v>
      </c>
      <c r="H453" t="s">
        <v>590</v>
      </c>
    </row>
    <row r="454" spans="1:8" x14ac:dyDescent="0.3">
      <c r="A454" t="s">
        <v>557</v>
      </c>
      <c r="B454" t="s">
        <v>564</v>
      </c>
      <c r="C454" t="s">
        <v>566</v>
      </c>
      <c r="D454" t="s">
        <v>589</v>
      </c>
      <c r="E454" s="230">
        <v>26999.85</v>
      </c>
      <c r="F454" t="s">
        <v>560</v>
      </c>
      <c r="G454" t="b">
        <v>1</v>
      </c>
      <c r="H454" t="s">
        <v>590</v>
      </c>
    </row>
    <row r="455" spans="1:8" x14ac:dyDescent="0.3">
      <c r="A455" t="s">
        <v>557</v>
      </c>
      <c r="B455" t="s">
        <v>564</v>
      </c>
      <c r="C455" t="s">
        <v>567</v>
      </c>
      <c r="D455" t="s">
        <v>589</v>
      </c>
      <c r="E455" s="230">
        <v>624.44000000000005</v>
      </c>
      <c r="F455" t="s">
        <v>560</v>
      </c>
      <c r="G455" t="b">
        <v>1</v>
      </c>
      <c r="H455" t="s">
        <v>590</v>
      </c>
    </row>
    <row r="456" spans="1:8" x14ac:dyDescent="0.3">
      <c r="A456" t="s">
        <v>557</v>
      </c>
      <c r="B456" t="s">
        <v>564</v>
      </c>
      <c r="C456" t="s">
        <v>568</v>
      </c>
      <c r="D456" t="s">
        <v>589</v>
      </c>
      <c r="E456" s="230">
        <v>0</v>
      </c>
      <c r="F456" t="s">
        <v>560</v>
      </c>
      <c r="G456" t="b">
        <v>1</v>
      </c>
      <c r="H456" t="s">
        <v>590</v>
      </c>
    </row>
    <row r="457" spans="1:8" x14ac:dyDescent="0.3">
      <c r="A457" t="s">
        <v>557</v>
      </c>
      <c r="B457" t="s">
        <v>569</v>
      </c>
      <c r="C457" t="s">
        <v>58</v>
      </c>
      <c r="D457" t="s">
        <v>589</v>
      </c>
      <c r="E457" s="230">
        <v>3253.63</v>
      </c>
      <c r="F457" t="s">
        <v>560</v>
      </c>
      <c r="G457" t="b">
        <v>1</v>
      </c>
      <c r="H457" t="s">
        <v>590</v>
      </c>
    </row>
    <row r="458" spans="1:8" x14ac:dyDescent="0.3">
      <c r="A458" t="s">
        <v>557</v>
      </c>
      <c r="B458" t="s">
        <v>569</v>
      </c>
      <c r="C458" t="s">
        <v>59</v>
      </c>
      <c r="D458" t="s">
        <v>589</v>
      </c>
      <c r="E458" s="230">
        <v>485.62</v>
      </c>
      <c r="F458" t="s">
        <v>560</v>
      </c>
      <c r="G458" t="b">
        <v>1</v>
      </c>
      <c r="H458" t="s">
        <v>590</v>
      </c>
    </row>
    <row r="459" spans="1:8" x14ac:dyDescent="0.3">
      <c r="A459" t="s">
        <v>557</v>
      </c>
      <c r="B459" t="s">
        <v>569</v>
      </c>
      <c r="C459" t="s">
        <v>62</v>
      </c>
      <c r="D459" t="s">
        <v>589</v>
      </c>
      <c r="E459" s="230">
        <v>0</v>
      </c>
      <c r="F459" t="s">
        <v>560</v>
      </c>
      <c r="G459" t="b">
        <v>1</v>
      </c>
      <c r="H459" t="s">
        <v>590</v>
      </c>
    </row>
    <row r="460" spans="1:8" x14ac:dyDescent="0.3">
      <c r="A460" t="s">
        <v>557</v>
      </c>
      <c r="B460" t="s">
        <v>570</v>
      </c>
      <c r="C460" t="s">
        <v>64</v>
      </c>
      <c r="D460" t="s">
        <v>589</v>
      </c>
      <c r="E460" s="230">
        <v>0</v>
      </c>
      <c r="F460" t="s">
        <v>560</v>
      </c>
      <c r="G460" t="b">
        <v>1</v>
      </c>
      <c r="H460" t="s">
        <v>590</v>
      </c>
    </row>
    <row r="461" spans="1:8" x14ac:dyDescent="0.3">
      <c r="A461" t="s">
        <v>557</v>
      </c>
      <c r="B461" t="s">
        <v>569</v>
      </c>
      <c r="C461" t="s">
        <v>66</v>
      </c>
      <c r="D461" t="s">
        <v>589</v>
      </c>
      <c r="E461" s="230">
        <v>0</v>
      </c>
      <c r="F461" t="s">
        <v>560</v>
      </c>
      <c r="G461" t="b">
        <v>1</v>
      </c>
      <c r="H461" t="s">
        <v>590</v>
      </c>
    </row>
    <row r="462" spans="1:8" x14ac:dyDescent="0.3">
      <c r="A462" t="s">
        <v>557</v>
      </c>
      <c r="B462" t="s">
        <v>569</v>
      </c>
      <c r="C462" t="s">
        <v>68</v>
      </c>
      <c r="D462" t="s">
        <v>589</v>
      </c>
      <c r="E462" s="230">
        <v>1699.66</v>
      </c>
      <c r="F462" t="s">
        <v>560</v>
      </c>
      <c r="G462" t="b">
        <v>1</v>
      </c>
      <c r="H462" t="s">
        <v>590</v>
      </c>
    </row>
    <row r="463" spans="1:8" x14ac:dyDescent="0.3">
      <c r="A463" t="s">
        <v>557</v>
      </c>
      <c r="B463" t="s">
        <v>569</v>
      </c>
      <c r="C463" t="s">
        <v>69</v>
      </c>
      <c r="D463" t="s">
        <v>589</v>
      </c>
      <c r="E463" s="230">
        <v>0</v>
      </c>
      <c r="F463" t="s">
        <v>560</v>
      </c>
      <c r="G463" t="b">
        <v>1</v>
      </c>
      <c r="H463" t="s">
        <v>590</v>
      </c>
    </row>
    <row r="464" spans="1:8" x14ac:dyDescent="0.3">
      <c r="A464" t="s">
        <v>557</v>
      </c>
      <c r="B464" t="s">
        <v>570</v>
      </c>
      <c r="C464" t="s">
        <v>73</v>
      </c>
      <c r="D464" t="s">
        <v>589</v>
      </c>
      <c r="E464" s="230">
        <v>4000</v>
      </c>
      <c r="F464" t="s">
        <v>560</v>
      </c>
      <c r="G464" t="b">
        <v>1</v>
      </c>
      <c r="H464" t="s">
        <v>590</v>
      </c>
    </row>
    <row r="465" spans="1:8" x14ac:dyDescent="0.3">
      <c r="A465" t="s">
        <v>557</v>
      </c>
      <c r="B465" t="s">
        <v>571</v>
      </c>
      <c r="C465" t="s">
        <v>75</v>
      </c>
      <c r="D465" t="s">
        <v>589</v>
      </c>
      <c r="E465" s="230">
        <v>858.41</v>
      </c>
      <c r="F465" t="s">
        <v>560</v>
      </c>
      <c r="G465" t="b">
        <v>1</v>
      </c>
      <c r="H465" t="s">
        <v>590</v>
      </c>
    </row>
    <row r="466" spans="1:8" x14ac:dyDescent="0.3">
      <c r="A466" t="s">
        <v>557</v>
      </c>
      <c r="B466" t="s">
        <v>571</v>
      </c>
      <c r="C466" t="s">
        <v>78</v>
      </c>
      <c r="D466" t="s">
        <v>589</v>
      </c>
      <c r="E466" s="230">
        <v>915.64</v>
      </c>
      <c r="F466" t="s">
        <v>560</v>
      </c>
      <c r="G466" t="b">
        <v>1</v>
      </c>
      <c r="H466" t="s">
        <v>590</v>
      </c>
    </row>
    <row r="467" spans="1:8" x14ac:dyDescent="0.3">
      <c r="A467" t="s">
        <v>557</v>
      </c>
      <c r="B467" t="s">
        <v>571</v>
      </c>
      <c r="C467" t="s">
        <v>80</v>
      </c>
      <c r="D467" t="s">
        <v>589</v>
      </c>
      <c r="E467" s="230">
        <v>286.14</v>
      </c>
      <c r="F467" t="s">
        <v>560</v>
      </c>
      <c r="G467" t="b">
        <v>1</v>
      </c>
      <c r="H467" t="s">
        <v>590</v>
      </c>
    </row>
    <row r="468" spans="1:8" x14ac:dyDescent="0.3">
      <c r="A468" t="s">
        <v>557</v>
      </c>
      <c r="B468" t="s">
        <v>571</v>
      </c>
      <c r="C468" t="s">
        <v>82</v>
      </c>
      <c r="D468" t="s">
        <v>589</v>
      </c>
      <c r="E468" s="230">
        <v>0</v>
      </c>
      <c r="F468" t="s">
        <v>560</v>
      </c>
      <c r="G468" t="b">
        <v>1</v>
      </c>
      <c r="H468" t="s">
        <v>590</v>
      </c>
    </row>
    <row r="469" spans="1:8" x14ac:dyDescent="0.3">
      <c r="A469" t="s">
        <v>557</v>
      </c>
      <c r="B469" t="s">
        <v>571</v>
      </c>
      <c r="C469" t="s">
        <v>84</v>
      </c>
      <c r="D469" t="s">
        <v>589</v>
      </c>
      <c r="E469" s="230">
        <v>0</v>
      </c>
      <c r="F469" t="s">
        <v>560</v>
      </c>
      <c r="G469" t="b">
        <v>1</v>
      </c>
      <c r="H469" t="s">
        <v>590</v>
      </c>
    </row>
    <row r="470" spans="1:8" x14ac:dyDescent="0.3">
      <c r="A470" t="s">
        <v>557</v>
      </c>
      <c r="B470" t="s">
        <v>571</v>
      </c>
      <c r="C470" t="s">
        <v>86</v>
      </c>
      <c r="D470" t="s">
        <v>589</v>
      </c>
      <c r="E470" s="230">
        <v>0</v>
      </c>
      <c r="F470" t="s">
        <v>560</v>
      </c>
      <c r="G470" t="b">
        <v>1</v>
      </c>
      <c r="H470" t="s">
        <v>590</v>
      </c>
    </row>
    <row r="471" spans="1:8" x14ac:dyDescent="0.3">
      <c r="A471" t="s">
        <v>557</v>
      </c>
      <c r="B471" t="s">
        <v>571</v>
      </c>
      <c r="C471" t="s">
        <v>87</v>
      </c>
      <c r="D471" t="s">
        <v>589</v>
      </c>
      <c r="E471" s="230">
        <v>0</v>
      </c>
      <c r="F471" t="s">
        <v>560</v>
      </c>
      <c r="G471" t="b">
        <v>1</v>
      </c>
      <c r="H471" t="s">
        <v>590</v>
      </c>
    </row>
    <row r="472" spans="1:8" x14ac:dyDescent="0.3">
      <c r="A472" t="s">
        <v>557</v>
      </c>
      <c r="B472" t="s">
        <v>571</v>
      </c>
      <c r="C472" t="s">
        <v>88</v>
      </c>
      <c r="D472" t="s">
        <v>589</v>
      </c>
      <c r="E472" s="230">
        <v>0</v>
      </c>
      <c r="F472" t="s">
        <v>560</v>
      </c>
      <c r="G472" t="b">
        <v>1</v>
      </c>
      <c r="H472" t="s">
        <v>590</v>
      </c>
    </row>
    <row r="473" spans="1:8" x14ac:dyDescent="0.3">
      <c r="A473" t="s">
        <v>557</v>
      </c>
      <c r="B473" t="s">
        <v>571</v>
      </c>
      <c r="C473" t="s">
        <v>89</v>
      </c>
      <c r="D473" t="s">
        <v>589</v>
      </c>
      <c r="E473" s="230">
        <v>0</v>
      </c>
      <c r="F473" t="s">
        <v>560</v>
      </c>
      <c r="G473" t="b">
        <v>1</v>
      </c>
      <c r="H473" t="s">
        <v>590</v>
      </c>
    </row>
    <row r="474" spans="1:8" x14ac:dyDescent="0.3">
      <c r="A474" t="s">
        <v>557</v>
      </c>
      <c r="B474" t="s">
        <v>571</v>
      </c>
      <c r="C474" t="s">
        <v>91</v>
      </c>
      <c r="D474" t="s">
        <v>589</v>
      </c>
      <c r="E474" s="230">
        <v>0</v>
      </c>
      <c r="F474" t="s">
        <v>560</v>
      </c>
      <c r="G474" t="b">
        <v>1</v>
      </c>
      <c r="H474" t="s">
        <v>590</v>
      </c>
    </row>
    <row r="475" spans="1:8" x14ac:dyDescent="0.3">
      <c r="A475" t="s">
        <v>557</v>
      </c>
      <c r="B475" t="s">
        <v>571</v>
      </c>
      <c r="C475" t="s">
        <v>93</v>
      </c>
      <c r="D475" t="s">
        <v>589</v>
      </c>
      <c r="E475" s="230">
        <v>0</v>
      </c>
      <c r="F475" t="s">
        <v>560</v>
      </c>
      <c r="G475" t="b">
        <v>1</v>
      </c>
      <c r="H475" t="s">
        <v>590</v>
      </c>
    </row>
    <row r="476" spans="1:8" x14ac:dyDescent="0.3">
      <c r="A476" t="s">
        <v>557</v>
      </c>
      <c r="B476" t="s">
        <v>571</v>
      </c>
      <c r="C476" t="s">
        <v>96</v>
      </c>
      <c r="D476" t="s">
        <v>589</v>
      </c>
      <c r="E476" s="230">
        <v>0</v>
      </c>
      <c r="F476" t="s">
        <v>560</v>
      </c>
      <c r="G476" t="b">
        <v>1</v>
      </c>
      <c r="H476" t="s">
        <v>590</v>
      </c>
    </row>
    <row r="477" spans="1:8" x14ac:dyDescent="0.3">
      <c r="A477" t="s">
        <v>557</v>
      </c>
      <c r="B477" t="s">
        <v>571</v>
      </c>
      <c r="C477" t="s">
        <v>98</v>
      </c>
      <c r="D477" t="s">
        <v>589</v>
      </c>
      <c r="E477" s="230">
        <v>0</v>
      </c>
      <c r="F477" t="s">
        <v>560</v>
      </c>
      <c r="G477" t="b">
        <v>1</v>
      </c>
      <c r="H477" t="s">
        <v>590</v>
      </c>
    </row>
    <row r="478" spans="1:8" x14ac:dyDescent="0.3">
      <c r="A478" t="s">
        <v>557</v>
      </c>
      <c r="B478" t="s">
        <v>571</v>
      </c>
      <c r="C478" t="s">
        <v>100</v>
      </c>
      <c r="D478" t="s">
        <v>589</v>
      </c>
      <c r="E478" s="230">
        <v>0</v>
      </c>
      <c r="F478" t="s">
        <v>560</v>
      </c>
      <c r="G478" t="b">
        <v>1</v>
      </c>
      <c r="H478" t="s">
        <v>590</v>
      </c>
    </row>
    <row r="479" spans="1:8" x14ac:dyDescent="0.3">
      <c r="A479" t="s">
        <v>557</v>
      </c>
      <c r="B479" t="s">
        <v>571</v>
      </c>
      <c r="C479" t="s">
        <v>102</v>
      </c>
      <c r="D479" t="s">
        <v>589</v>
      </c>
      <c r="E479" s="230">
        <v>0</v>
      </c>
      <c r="F479" t="s">
        <v>560</v>
      </c>
      <c r="G479" t="b">
        <v>1</v>
      </c>
      <c r="H479" t="s">
        <v>590</v>
      </c>
    </row>
    <row r="480" spans="1:8" x14ac:dyDescent="0.3">
      <c r="A480" t="s">
        <v>557</v>
      </c>
      <c r="B480" t="s">
        <v>571</v>
      </c>
      <c r="C480" t="s">
        <v>103</v>
      </c>
      <c r="D480" t="s">
        <v>589</v>
      </c>
      <c r="E480" s="230">
        <v>0</v>
      </c>
      <c r="F480" t="s">
        <v>560</v>
      </c>
      <c r="G480" t="b">
        <v>1</v>
      </c>
      <c r="H480" t="s">
        <v>590</v>
      </c>
    </row>
    <row r="481" spans="1:8" x14ac:dyDescent="0.3">
      <c r="A481" t="s">
        <v>557</v>
      </c>
      <c r="B481" t="s">
        <v>571</v>
      </c>
      <c r="C481" t="s">
        <v>104</v>
      </c>
      <c r="D481" t="s">
        <v>589</v>
      </c>
      <c r="E481" s="230">
        <v>0</v>
      </c>
      <c r="F481" t="s">
        <v>560</v>
      </c>
      <c r="G481" t="b">
        <v>1</v>
      </c>
      <c r="H481" t="s">
        <v>590</v>
      </c>
    </row>
    <row r="482" spans="1:8" x14ac:dyDescent="0.3">
      <c r="A482" t="s">
        <v>557</v>
      </c>
      <c r="B482" t="s">
        <v>571</v>
      </c>
      <c r="C482" t="s">
        <v>105</v>
      </c>
      <c r="D482" t="s">
        <v>589</v>
      </c>
      <c r="E482" s="230">
        <v>0</v>
      </c>
      <c r="F482" t="s">
        <v>560</v>
      </c>
      <c r="G482" t="b">
        <v>1</v>
      </c>
      <c r="H482" t="s">
        <v>590</v>
      </c>
    </row>
    <row r="483" spans="1:8" x14ac:dyDescent="0.3">
      <c r="A483" t="s">
        <v>557</v>
      </c>
      <c r="B483" t="s">
        <v>571</v>
      </c>
      <c r="C483" t="s">
        <v>108</v>
      </c>
      <c r="D483" t="s">
        <v>589</v>
      </c>
      <c r="E483" s="230">
        <v>0</v>
      </c>
      <c r="F483" t="s">
        <v>560</v>
      </c>
      <c r="G483" t="b">
        <v>1</v>
      </c>
      <c r="H483" t="s">
        <v>590</v>
      </c>
    </row>
    <row r="484" spans="1:8" x14ac:dyDescent="0.3">
      <c r="A484" t="s">
        <v>557</v>
      </c>
      <c r="B484" t="s">
        <v>571</v>
      </c>
      <c r="C484" t="s">
        <v>109</v>
      </c>
      <c r="D484" t="s">
        <v>589</v>
      </c>
      <c r="E484" s="230">
        <v>0</v>
      </c>
      <c r="F484" t="s">
        <v>560</v>
      </c>
      <c r="G484" t="b">
        <v>1</v>
      </c>
      <c r="H484" t="s">
        <v>590</v>
      </c>
    </row>
    <row r="485" spans="1:8" x14ac:dyDescent="0.3">
      <c r="A485" t="s">
        <v>557</v>
      </c>
      <c r="B485" t="s">
        <v>572</v>
      </c>
      <c r="C485" t="s">
        <v>112</v>
      </c>
      <c r="D485" t="s">
        <v>589</v>
      </c>
      <c r="E485" s="230">
        <v>36658.559999999998</v>
      </c>
      <c r="F485" t="s">
        <v>560</v>
      </c>
      <c r="G485" t="b">
        <v>1</v>
      </c>
      <c r="H485" t="s">
        <v>590</v>
      </c>
    </row>
    <row r="486" spans="1:8" x14ac:dyDescent="0.3">
      <c r="A486" t="s">
        <v>557</v>
      </c>
      <c r="B486" t="s">
        <v>562</v>
      </c>
      <c r="C486" t="s">
        <v>116</v>
      </c>
      <c r="D486" t="s">
        <v>589</v>
      </c>
      <c r="E486" s="230">
        <v>7878.56</v>
      </c>
      <c r="F486" t="s">
        <v>560</v>
      </c>
      <c r="G486" t="b">
        <v>1</v>
      </c>
      <c r="H486" t="s">
        <v>590</v>
      </c>
    </row>
    <row r="487" spans="1:8" x14ac:dyDescent="0.3">
      <c r="A487" t="s">
        <v>557</v>
      </c>
      <c r="B487" t="s">
        <v>562</v>
      </c>
      <c r="C487" t="s">
        <v>118</v>
      </c>
      <c r="D487" t="s">
        <v>589</v>
      </c>
      <c r="E487" s="230">
        <v>5411.79</v>
      </c>
      <c r="F487" t="s">
        <v>560</v>
      </c>
      <c r="G487" t="b">
        <v>1</v>
      </c>
      <c r="H487" t="s">
        <v>590</v>
      </c>
    </row>
    <row r="488" spans="1:8" x14ac:dyDescent="0.3">
      <c r="A488" t="s">
        <v>557</v>
      </c>
      <c r="B488" t="s">
        <v>562</v>
      </c>
      <c r="C488" t="s">
        <v>120</v>
      </c>
      <c r="D488" t="s">
        <v>589</v>
      </c>
      <c r="E488" s="230">
        <v>0</v>
      </c>
      <c r="F488" t="s">
        <v>560</v>
      </c>
      <c r="G488" t="b">
        <v>1</v>
      </c>
      <c r="H488" t="s">
        <v>590</v>
      </c>
    </row>
    <row r="489" spans="1:8" x14ac:dyDescent="0.3">
      <c r="A489" t="s">
        <v>557</v>
      </c>
      <c r="B489" t="s">
        <v>562</v>
      </c>
      <c r="C489" t="s">
        <v>122</v>
      </c>
      <c r="D489" t="s">
        <v>589</v>
      </c>
      <c r="E489" s="230">
        <v>0</v>
      </c>
      <c r="F489" t="s">
        <v>560</v>
      </c>
      <c r="G489" t="b">
        <v>1</v>
      </c>
      <c r="H489" t="s">
        <v>590</v>
      </c>
    </row>
    <row r="490" spans="1:8" x14ac:dyDescent="0.3">
      <c r="A490" t="s">
        <v>557</v>
      </c>
      <c r="B490" t="s">
        <v>570</v>
      </c>
      <c r="C490" t="s">
        <v>573</v>
      </c>
      <c r="D490" t="s">
        <v>589</v>
      </c>
      <c r="E490" s="230">
        <v>33850</v>
      </c>
      <c r="F490" t="s">
        <v>560</v>
      </c>
      <c r="G490" t="b">
        <v>1</v>
      </c>
      <c r="H490" t="s">
        <v>590</v>
      </c>
    </row>
    <row r="491" spans="1:8" x14ac:dyDescent="0.3">
      <c r="A491" t="s">
        <v>557</v>
      </c>
      <c r="B491" t="s">
        <v>574</v>
      </c>
      <c r="C491" t="s">
        <v>575</v>
      </c>
      <c r="D491" t="s">
        <v>589</v>
      </c>
      <c r="E491" s="230">
        <v>35043.31</v>
      </c>
      <c r="F491" t="s">
        <v>560</v>
      </c>
      <c r="G491" t="b">
        <v>1</v>
      </c>
      <c r="H491" t="s">
        <v>590</v>
      </c>
    </row>
    <row r="492" spans="1:8" x14ac:dyDescent="0.3">
      <c r="A492" t="s">
        <v>557</v>
      </c>
      <c r="B492" t="s">
        <v>576</v>
      </c>
      <c r="C492" t="s">
        <v>203</v>
      </c>
      <c r="D492" t="s">
        <v>589</v>
      </c>
      <c r="E492" s="230">
        <v>13903.35</v>
      </c>
      <c r="F492" t="s">
        <v>560</v>
      </c>
      <c r="G492" t="b">
        <v>1</v>
      </c>
      <c r="H492" t="s">
        <v>590</v>
      </c>
    </row>
    <row r="493" spans="1:8" x14ac:dyDescent="0.3">
      <c r="A493" t="s">
        <v>557</v>
      </c>
      <c r="B493" t="s">
        <v>577</v>
      </c>
      <c r="C493" t="s">
        <v>206</v>
      </c>
      <c r="D493" t="s">
        <v>589</v>
      </c>
      <c r="E493" s="230">
        <v>5344.19</v>
      </c>
      <c r="F493" t="s">
        <v>560</v>
      </c>
      <c r="G493" t="b">
        <v>1</v>
      </c>
      <c r="H493" t="s">
        <v>590</v>
      </c>
    </row>
    <row r="494" spans="1:8" x14ac:dyDescent="0.3">
      <c r="A494" t="s">
        <v>557</v>
      </c>
      <c r="B494" t="s">
        <v>577</v>
      </c>
      <c r="C494" t="s">
        <v>209</v>
      </c>
      <c r="D494" t="s">
        <v>589</v>
      </c>
      <c r="E494" s="230">
        <v>0</v>
      </c>
      <c r="F494" t="s">
        <v>560</v>
      </c>
      <c r="G494" t="b">
        <v>1</v>
      </c>
      <c r="H494" t="s">
        <v>590</v>
      </c>
    </row>
    <row r="495" spans="1:8" x14ac:dyDescent="0.3">
      <c r="A495" t="s">
        <v>557</v>
      </c>
      <c r="B495" t="s">
        <v>577</v>
      </c>
      <c r="C495" t="s">
        <v>211</v>
      </c>
      <c r="D495" t="s">
        <v>589</v>
      </c>
      <c r="E495" s="230">
        <v>0</v>
      </c>
      <c r="F495" t="s">
        <v>560</v>
      </c>
      <c r="G495" t="b">
        <v>1</v>
      </c>
      <c r="H495" t="s">
        <v>590</v>
      </c>
    </row>
    <row r="496" spans="1:8" x14ac:dyDescent="0.3">
      <c r="A496" t="s">
        <v>557</v>
      </c>
      <c r="B496" t="s">
        <v>577</v>
      </c>
      <c r="C496" t="s">
        <v>213</v>
      </c>
      <c r="D496" t="s">
        <v>589</v>
      </c>
      <c r="E496" s="230">
        <v>3173.58</v>
      </c>
      <c r="F496" t="s">
        <v>560</v>
      </c>
      <c r="G496" t="b">
        <v>1</v>
      </c>
      <c r="H496" t="s">
        <v>590</v>
      </c>
    </row>
    <row r="497" spans="1:8" x14ac:dyDescent="0.3">
      <c r="A497" t="s">
        <v>557</v>
      </c>
      <c r="B497" t="s">
        <v>577</v>
      </c>
      <c r="C497" t="s">
        <v>215</v>
      </c>
      <c r="D497" t="s">
        <v>589</v>
      </c>
      <c r="E497" s="230">
        <v>1989.73</v>
      </c>
      <c r="F497" t="s">
        <v>560</v>
      </c>
      <c r="G497" t="b">
        <v>1</v>
      </c>
      <c r="H497" t="s">
        <v>590</v>
      </c>
    </row>
    <row r="498" spans="1:8" x14ac:dyDescent="0.3">
      <c r="A498" t="s">
        <v>557</v>
      </c>
      <c r="B498" t="s">
        <v>577</v>
      </c>
      <c r="C498" t="s">
        <v>217</v>
      </c>
      <c r="D498" t="s">
        <v>589</v>
      </c>
      <c r="E498" s="230">
        <v>28.24</v>
      </c>
      <c r="F498" t="s">
        <v>560</v>
      </c>
      <c r="G498" t="b">
        <v>1</v>
      </c>
      <c r="H498" t="s">
        <v>590</v>
      </c>
    </row>
    <row r="499" spans="1:8" x14ac:dyDescent="0.3">
      <c r="A499" t="s">
        <v>557</v>
      </c>
      <c r="B499" t="s">
        <v>577</v>
      </c>
      <c r="C499" t="s">
        <v>219</v>
      </c>
      <c r="D499" t="s">
        <v>589</v>
      </c>
      <c r="E499" s="230">
        <v>17.71</v>
      </c>
      <c r="F499" t="s">
        <v>560</v>
      </c>
      <c r="G499" t="b">
        <v>1</v>
      </c>
      <c r="H499" t="s">
        <v>590</v>
      </c>
    </row>
    <row r="500" spans="1:8" x14ac:dyDescent="0.3">
      <c r="A500" t="s">
        <v>557</v>
      </c>
      <c r="B500" t="s">
        <v>577</v>
      </c>
      <c r="C500" t="s">
        <v>221</v>
      </c>
      <c r="D500" t="s">
        <v>589</v>
      </c>
      <c r="E500" s="230">
        <v>0</v>
      </c>
      <c r="F500" t="s">
        <v>560</v>
      </c>
      <c r="G500" t="b">
        <v>1</v>
      </c>
      <c r="H500" t="s">
        <v>590</v>
      </c>
    </row>
    <row r="501" spans="1:8" x14ac:dyDescent="0.3">
      <c r="A501" t="s">
        <v>557</v>
      </c>
      <c r="B501" t="s">
        <v>577</v>
      </c>
      <c r="C501" t="s">
        <v>223</v>
      </c>
      <c r="D501" t="s">
        <v>589</v>
      </c>
      <c r="E501" s="230">
        <v>0</v>
      </c>
      <c r="F501" t="s">
        <v>560</v>
      </c>
      <c r="G501" t="b">
        <v>1</v>
      </c>
      <c r="H501" t="s">
        <v>590</v>
      </c>
    </row>
    <row r="502" spans="1:8" x14ac:dyDescent="0.3">
      <c r="A502" t="s">
        <v>557</v>
      </c>
      <c r="B502" t="s">
        <v>577</v>
      </c>
      <c r="C502" t="s">
        <v>225</v>
      </c>
      <c r="D502" t="s">
        <v>589</v>
      </c>
      <c r="E502" s="230">
        <v>1075.53</v>
      </c>
      <c r="F502" t="s">
        <v>560</v>
      </c>
      <c r="G502" t="b">
        <v>1</v>
      </c>
      <c r="H502" t="s">
        <v>590</v>
      </c>
    </row>
    <row r="503" spans="1:8" x14ac:dyDescent="0.3">
      <c r="A503" t="s">
        <v>557</v>
      </c>
      <c r="B503" t="s">
        <v>577</v>
      </c>
      <c r="C503" t="s">
        <v>227</v>
      </c>
      <c r="D503" t="s">
        <v>589</v>
      </c>
      <c r="E503" s="230">
        <v>0</v>
      </c>
      <c r="F503" t="s">
        <v>560</v>
      </c>
      <c r="G503" t="b">
        <v>1</v>
      </c>
      <c r="H503" t="s">
        <v>590</v>
      </c>
    </row>
    <row r="504" spans="1:8" x14ac:dyDescent="0.3">
      <c r="A504" t="s">
        <v>557</v>
      </c>
      <c r="B504" t="s">
        <v>577</v>
      </c>
      <c r="C504" t="s">
        <v>229</v>
      </c>
      <c r="D504" t="s">
        <v>589</v>
      </c>
      <c r="E504" s="230">
        <v>1833.34</v>
      </c>
      <c r="F504" t="s">
        <v>560</v>
      </c>
      <c r="G504" t="b">
        <v>1</v>
      </c>
      <c r="H504" t="s">
        <v>590</v>
      </c>
    </row>
    <row r="505" spans="1:8" x14ac:dyDescent="0.3">
      <c r="A505" t="s">
        <v>557</v>
      </c>
      <c r="B505" t="s">
        <v>577</v>
      </c>
      <c r="C505" t="s">
        <v>231</v>
      </c>
      <c r="D505" t="s">
        <v>589</v>
      </c>
      <c r="E505" s="230">
        <v>1857.73</v>
      </c>
      <c r="F505" t="s">
        <v>560</v>
      </c>
      <c r="G505" t="b">
        <v>1</v>
      </c>
      <c r="H505" t="s">
        <v>590</v>
      </c>
    </row>
    <row r="506" spans="1:8" x14ac:dyDescent="0.3">
      <c r="A506" t="s">
        <v>557</v>
      </c>
      <c r="B506" t="s">
        <v>577</v>
      </c>
      <c r="C506" t="s">
        <v>234</v>
      </c>
      <c r="D506" t="s">
        <v>589</v>
      </c>
      <c r="E506" s="230">
        <v>238.93</v>
      </c>
      <c r="F506" t="s">
        <v>560</v>
      </c>
      <c r="G506" t="b">
        <v>1</v>
      </c>
      <c r="H506" t="s">
        <v>590</v>
      </c>
    </row>
    <row r="507" spans="1:8" x14ac:dyDescent="0.3">
      <c r="A507" t="s">
        <v>557</v>
      </c>
      <c r="B507" t="s">
        <v>577</v>
      </c>
      <c r="C507" t="s">
        <v>236</v>
      </c>
      <c r="D507" t="s">
        <v>589</v>
      </c>
      <c r="E507" s="230">
        <v>0</v>
      </c>
      <c r="F507" t="s">
        <v>560</v>
      </c>
      <c r="G507" t="b">
        <v>1</v>
      </c>
      <c r="H507" t="s">
        <v>590</v>
      </c>
    </row>
    <row r="508" spans="1:8" x14ac:dyDescent="0.3">
      <c r="A508" t="s">
        <v>557</v>
      </c>
      <c r="B508" t="s">
        <v>577</v>
      </c>
      <c r="C508" t="s">
        <v>237</v>
      </c>
      <c r="D508" t="s">
        <v>589</v>
      </c>
      <c r="E508" s="230">
        <v>0</v>
      </c>
      <c r="F508" t="s">
        <v>560</v>
      </c>
      <c r="G508" t="b">
        <v>1</v>
      </c>
      <c r="H508" t="s">
        <v>590</v>
      </c>
    </row>
    <row r="509" spans="1:8" x14ac:dyDescent="0.3">
      <c r="A509" t="s">
        <v>557</v>
      </c>
      <c r="B509" t="s">
        <v>578</v>
      </c>
      <c r="C509" t="s">
        <v>239</v>
      </c>
      <c r="D509" t="s">
        <v>589</v>
      </c>
      <c r="E509" s="230">
        <v>4500</v>
      </c>
      <c r="F509" t="s">
        <v>560</v>
      </c>
      <c r="G509" t="b">
        <v>1</v>
      </c>
      <c r="H509" t="s">
        <v>590</v>
      </c>
    </row>
    <row r="510" spans="1:8" x14ac:dyDescent="0.3">
      <c r="A510" t="s">
        <v>557</v>
      </c>
      <c r="B510" t="s">
        <v>578</v>
      </c>
      <c r="C510" t="s">
        <v>240</v>
      </c>
      <c r="D510" t="s">
        <v>589</v>
      </c>
      <c r="E510" s="230">
        <v>0</v>
      </c>
      <c r="F510" t="s">
        <v>560</v>
      </c>
      <c r="G510" t="b">
        <v>1</v>
      </c>
      <c r="H510" t="s">
        <v>590</v>
      </c>
    </row>
    <row r="511" spans="1:8" x14ac:dyDescent="0.3">
      <c r="A511" t="s">
        <v>557</v>
      </c>
      <c r="B511" t="s">
        <v>578</v>
      </c>
      <c r="C511" t="s">
        <v>241</v>
      </c>
      <c r="D511" t="s">
        <v>589</v>
      </c>
      <c r="E511" s="230">
        <v>0</v>
      </c>
      <c r="F511" t="s">
        <v>560</v>
      </c>
      <c r="G511" t="b">
        <v>1</v>
      </c>
      <c r="H511" t="s">
        <v>590</v>
      </c>
    </row>
    <row r="512" spans="1:8" x14ac:dyDescent="0.3">
      <c r="A512" t="s">
        <v>557</v>
      </c>
      <c r="B512" t="s">
        <v>578</v>
      </c>
      <c r="C512" t="s">
        <v>242</v>
      </c>
      <c r="D512" t="s">
        <v>589</v>
      </c>
      <c r="E512" s="230">
        <v>150</v>
      </c>
      <c r="F512" t="s">
        <v>560</v>
      </c>
      <c r="G512" t="b">
        <v>1</v>
      </c>
      <c r="H512" t="s">
        <v>590</v>
      </c>
    </row>
    <row r="513" spans="1:8" x14ac:dyDescent="0.3">
      <c r="A513" t="s">
        <v>557</v>
      </c>
      <c r="B513" t="s">
        <v>578</v>
      </c>
      <c r="C513" t="s">
        <v>244</v>
      </c>
      <c r="D513" t="s">
        <v>589</v>
      </c>
      <c r="E513" s="230">
        <v>0</v>
      </c>
      <c r="F513" t="s">
        <v>560</v>
      </c>
      <c r="G513" t="b">
        <v>1</v>
      </c>
      <c r="H513" t="s">
        <v>590</v>
      </c>
    </row>
    <row r="514" spans="1:8" x14ac:dyDescent="0.3">
      <c r="A514" t="s">
        <v>557</v>
      </c>
      <c r="B514" t="s">
        <v>578</v>
      </c>
      <c r="C514" t="s">
        <v>246</v>
      </c>
      <c r="D514" t="s">
        <v>589</v>
      </c>
      <c r="E514" s="230">
        <v>0</v>
      </c>
      <c r="F514" t="s">
        <v>560</v>
      </c>
      <c r="G514" t="b">
        <v>1</v>
      </c>
      <c r="H514" t="s">
        <v>590</v>
      </c>
    </row>
    <row r="515" spans="1:8" x14ac:dyDescent="0.3">
      <c r="A515" t="s">
        <v>557</v>
      </c>
      <c r="B515" t="s">
        <v>578</v>
      </c>
      <c r="C515" t="s">
        <v>247</v>
      </c>
      <c r="D515" t="s">
        <v>589</v>
      </c>
      <c r="E515" s="230">
        <v>74.16</v>
      </c>
      <c r="F515" t="s">
        <v>560</v>
      </c>
      <c r="G515" t="b">
        <v>1</v>
      </c>
      <c r="H515" t="s">
        <v>590</v>
      </c>
    </row>
    <row r="516" spans="1:8" x14ac:dyDescent="0.3">
      <c r="A516" t="s">
        <v>557</v>
      </c>
      <c r="B516" t="s">
        <v>578</v>
      </c>
      <c r="C516" t="s">
        <v>249</v>
      </c>
      <c r="D516" t="s">
        <v>589</v>
      </c>
      <c r="E516" s="230">
        <v>0</v>
      </c>
      <c r="F516" t="s">
        <v>560</v>
      </c>
      <c r="G516" t="b">
        <v>1</v>
      </c>
      <c r="H516" t="s">
        <v>590</v>
      </c>
    </row>
    <row r="517" spans="1:8" x14ac:dyDescent="0.3">
      <c r="A517" t="s">
        <v>557</v>
      </c>
      <c r="B517" t="s">
        <v>578</v>
      </c>
      <c r="C517" t="s">
        <v>250</v>
      </c>
      <c r="D517" t="s">
        <v>589</v>
      </c>
      <c r="E517" s="230">
        <v>0</v>
      </c>
      <c r="F517" t="s">
        <v>560</v>
      </c>
      <c r="G517" t="b">
        <v>1</v>
      </c>
      <c r="H517" t="s">
        <v>590</v>
      </c>
    </row>
    <row r="518" spans="1:8" x14ac:dyDescent="0.3">
      <c r="A518" t="s">
        <v>557</v>
      </c>
      <c r="B518" t="s">
        <v>578</v>
      </c>
      <c r="C518" t="s">
        <v>251</v>
      </c>
      <c r="D518" t="s">
        <v>589</v>
      </c>
      <c r="E518" s="230">
        <v>0</v>
      </c>
      <c r="F518" t="s">
        <v>560</v>
      </c>
      <c r="G518" t="b">
        <v>1</v>
      </c>
      <c r="H518" t="s">
        <v>590</v>
      </c>
    </row>
    <row r="519" spans="1:8" x14ac:dyDescent="0.3">
      <c r="A519" t="s">
        <v>557</v>
      </c>
      <c r="B519" t="s">
        <v>578</v>
      </c>
      <c r="C519" t="s">
        <v>252</v>
      </c>
      <c r="D519" t="s">
        <v>589</v>
      </c>
      <c r="E519" s="230">
        <v>16871.36</v>
      </c>
      <c r="F519" t="s">
        <v>560</v>
      </c>
      <c r="G519" t="b">
        <v>1</v>
      </c>
      <c r="H519" t="s">
        <v>590</v>
      </c>
    </row>
    <row r="520" spans="1:8" x14ac:dyDescent="0.3">
      <c r="A520" t="s">
        <v>557</v>
      </c>
      <c r="B520" t="s">
        <v>579</v>
      </c>
      <c r="C520" t="s">
        <v>253</v>
      </c>
      <c r="D520" t="s">
        <v>589</v>
      </c>
      <c r="E520" s="230">
        <v>0</v>
      </c>
      <c r="F520" t="s">
        <v>560</v>
      </c>
      <c r="G520" t="b">
        <v>1</v>
      </c>
      <c r="H520" t="s">
        <v>590</v>
      </c>
    </row>
    <row r="521" spans="1:8" x14ac:dyDescent="0.3">
      <c r="A521" t="s">
        <v>557</v>
      </c>
      <c r="B521" t="s">
        <v>256</v>
      </c>
      <c r="C521" t="s">
        <v>257</v>
      </c>
      <c r="D521" t="s">
        <v>589</v>
      </c>
      <c r="E521" s="230">
        <v>51452.1</v>
      </c>
      <c r="F521" t="s">
        <v>560</v>
      </c>
      <c r="G521" t="b">
        <v>1</v>
      </c>
      <c r="H521" t="s">
        <v>590</v>
      </c>
    </row>
    <row r="522" spans="1:8" x14ac:dyDescent="0.3">
      <c r="A522" t="s">
        <v>557</v>
      </c>
      <c r="B522" t="s">
        <v>256</v>
      </c>
      <c r="C522" t="s">
        <v>258</v>
      </c>
      <c r="D522" t="s">
        <v>589</v>
      </c>
      <c r="E522" s="230">
        <v>0</v>
      </c>
      <c r="F522" t="s">
        <v>560</v>
      </c>
      <c r="G522" t="b">
        <v>1</v>
      </c>
      <c r="H522" t="s">
        <v>590</v>
      </c>
    </row>
    <row r="523" spans="1:8" x14ac:dyDescent="0.3">
      <c r="A523" t="s">
        <v>557</v>
      </c>
      <c r="B523" t="s">
        <v>256</v>
      </c>
      <c r="C523" t="s">
        <v>259</v>
      </c>
      <c r="D523" t="s">
        <v>589</v>
      </c>
      <c r="E523" s="230">
        <v>2847.92</v>
      </c>
      <c r="F523" t="s">
        <v>560</v>
      </c>
      <c r="G523" t="b">
        <v>1</v>
      </c>
      <c r="H523" t="s">
        <v>590</v>
      </c>
    </row>
    <row r="524" spans="1:8" x14ac:dyDescent="0.3">
      <c r="A524" t="s">
        <v>557</v>
      </c>
      <c r="B524" t="s">
        <v>256</v>
      </c>
      <c r="C524" t="s">
        <v>260</v>
      </c>
      <c r="D524" t="s">
        <v>589</v>
      </c>
      <c r="E524" s="230">
        <v>0</v>
      </c>
      <c r="F524" t="s">
        <v>560</v>
      </c>
      <c r="G524" t="b">
        <v>1</v>
      </c>
      <c r="H524" t="s">
        <v>590</v>
      </c>
    </row>
    <row r="525" spans="1:8" x14ac:dyDescent="0.3">
      <c r="A525" t="s">
        <v>557</v>
      </c>
      <c r="B525" t="s">
        <v>256</v>
      </c>
      <c r="C525" t="s">
        <v>261</v>
      </c>
      <c r="D525" t="s">
        <v>589</v>
      </c>
      <c r="E525" s="230">
        <v>0</v>
      </c>
      <c r="F525" t="s">
        <v>560</v>
      </c>
      <c r="G525" t="b">
        <v>1</v>
      </c>
      <c r="H525" t="s">
        <v>590</v>
      </c>
    </row>
    <row r="526" spans="1:8" x14ac:dyDescent="0.3">
      <c r="A526" t="s">
        <v>557</v>
      </c>
      <c r="B526" t="s">
        <v>256</v>
      </c>
      <c r="C526" t="s">
        <v>262</v>
      </c>
      <c r="D526" t="s">
        <v>589</v>
      </c>
      <c r="E526" s="230">
        <v>0</v>
      </c>
      <c r="F526" t="s">
        <v>560</v>
      </c>
      <c r="G526" t="b">
        <v>1</v>
      </c>
      <c r="H526" t="s">
        <v>590</v>
      </c>
    </row>
    <row r="527" spans="1:8" x14ac:dyDescent="0.3">
      <c r="A527" t="s">
        <v>557</v>
      </c>
      <c r="B527" t="s">
        <v>256</v>
      </c>
      <c r="C527" t="s">
        <v>263</v>
      </c>
      <c r="D527" t="s">
        <v>589</v>
      </c>
      <c r="E527" s="230">
        <v>0</v>
      </c>
      <c r="F527" t="s">
        <v>560</v>
      </c>
      <c r="G527" t="b">
        <v>1</v>
      </c>
      <c r="H527" t="s">
        <v>590</v>
      </c>
    </row>
    <row r="528" spans="1:8" x14ac:dyDescent="0.3">
      <c r="A528" t="s">
        <v>557</v>
      </c>
      <c r="B528" t="s">
        <v>264</v>
      </c>
      <c r="C528" t="s">
        <v>265</v>
      </c>
      <c r="D528" t="s">
        <v>589</v>
      </c>
      <c r="E528" s="230">
        <v>5231.72</v>
      </c>
      <c r="F528" t="s">
        <v>560</v>
      </c>
      <c r="G528" t="b">
        <v>1</v>
      </c>
      <c r="H528" t="s">
        <v>590</v>
      </c>
    </row>
    <row r="529" spans="1:8" x14ac:dyDescent="0.3">
      <c r="A529" t="s">
        <v>557</v>
      </c>
      <c r="B529" t="s">
        <v>264</v>
      </c>
      <c r="C529" t="s">
        <v>266</v>
      </c>
      <c r="D529" t="s">
        <v>589</v>
      </c>
      <c r="E529" s="230">
        <v>11081.72</v>
      </c>
      <c r="F529" t="s">
        <v>560</v>
      </c>
      <c r="G529" t="b">
        <v>1</v>
      </c>
      <c r="H529" t="s">
        <v>590</v>
      </c>
    </row>
    <row r="530" spans="1:8" x14ac:dyDescent="0.3">
      <c r="A530" t="s">
        <v>557</v>
      </c>
      <c r="B530" t="s">
        <v>264</v>
      </c>
      <c r="C530" t="s">
        <v>267</v>
      </c>
      <c r="D530" t="s">
        <v>589</v>
      </c>
      <c r="E530" s="230">
        <v>6931.72</v>
      </c>
      <c r="F530" t="s">
        <v>560</v>
      </c>
      <c r="G530" t="b">
        <v>1</v>
      </c>
      <c r="H530" t="s">
        <v>590</v>
      </c>
    </row>
    <row r="531" spans="1:8" x14ac:dyDescent="0.3">
      <c r="A531" t="s">
        <v>557</v>
      </c>
      <c r="B531" t="s">
        <v>264</v>
      </c>
      <c r="C531" t="s">
        <v>268</v>
      </c>
      <c r="D531" t="s">
        <v>589</v>
      </c>
      <c r="E531" s="230">
        <v>6531.72</v>
      </c>
      <c r="F531" t="s">
        <v>560</v>
      </c>
      <c r="G531" t="b">
        <v>1</v>
      </c>
      <c r="H531" t="s">
        <v>590</v>
      </c>
    </row>
    <row r="532" spans="1:8" x14ac:dyDescent="0.3">
      <c r="A532" t="s">
        <v>557</v>
      </c>
      <c r="B532" t="s">
        <v>264</v>
      </c>
      <c r="C532" t="s">
        <v>269</v>
      </c>
      <c r="D532" t="s">
        <v>589</v>
      </c>
      <c r="E532" s="230">
        <v>581.72</v>
      </c>
      <c r="F532" t="s">
        <v>560</v>
      </c>
      <c r="G532" t="b">
        <v>1</v>
      </c>
      <c r="H532" t="s">
        <v>590</v>
      </c>
    </row>
    <row r="533" spans="1:8" x14ac:dyDescent="0.3">
      <c r="A533" t="s">
        <v>557</v>
      </c>
      <c r="B533" t="s">
        <v>264</v>
      </c>
      <c r="C533" t="s">
        <v>270</v>
      </c>
      <c r="D533" t="s">
        <v>589</v>
      </c>
      <c r="E533" s="230">
        <v>561</v>
      </c>
      <c r="F533" t="s">
        <v>560</v>
      </c>
      <c r="G533" t="b">
        <v>1</v>
      </c>
      <c r="H533" t="s">
        <v>590</v>
      </c>
    </row>
    <row r="534" spans="1:8" x14ac:dyDescent="0.3">
      <c r="A534" t="s">
        <v>557</v>
      </c>
      <c r="B534" t="s">
        <v>264</v>
      </c>
      <c r="C534" t="s">
        <v>271</v>
      </c>
      <c r="D534" t="s">
        <v>589</v>
      </c>
      <c r="E534" s="230">
        <v>1231.72</v>
      </c>
      <c r="F534" t="s">
        <v>560</v>
      </c>
      <c r="G534" t="b">
        <v>1</v>
      </c>
      <c r="H534" t="s">
        <v>590</v>
      </c>
    </row>
    <row r="535" spans="1:8" x14ac:dyDescent="0.3">
      <c r="A535" t="s">
        <v>557</v>
      </c>
      <c r="B535" t="s">
        <v>264</v>
      </c>
      <c r="C535" t="s">
        <v>272</v>
      </c>
      <c r="D535" t="s">
        <v>589</v>
      </c>
      <c r="E535" s="230">
        <v>2331.7199999999998</v>
      </c>
      <c r="F535" t="s">
        <v>560</v>
      </c>
      <c r="G535" t="b">
        <v>1</v>
      </c>
      <c r="H535" t="s">
        <v>590</v>
      </c>
    </row>
    <row r="536" spans="1:8" x14ac:dyDescent="0.3">
      <c r="A536" t="s">
        <v>557</v>
      </c>
      <c r="B536" t="s">
        <v>264</v>
      </c>
      <c r="C536" t="s">
        <v>273</v>
      </c>
      <c r="D536" t="s">
        <v>589</v>
      </c>
      <c r="E536" s="230">
        <v>231.72</v>
      </c>
      <c r="F536" t="s">
        <v>560</v>
      </c>
      <c r="G536" t="b">
        <v>1</v>
      </c>
      <c r="H536" t="s">
        <v>590</v>
      </c>
    </row>
    <row r="537" spans="1:8" x14ac:dyDescent="0.3">
      <c r="A537" t="s">
        <v>557</v>
      </c>
      <c r="B537" t="s">
        <v>264</v>
      </c>
      <c r="C537" t="s">
        <v>580</v>
      </c>
      <c r="D537" t="s">
        <v>589</v>
      </c>
      <c r="E537" s="230">
        <v>231.72</v>
      </c>
      <c r="F537" t="s">
        <v>560</v>
      </c>
      <c r="G537" t="b">
        <v>1</v>
      </c>
      <c r="H537" t="s">
        <v>590</v>
      </c>
    </row>
    <row r="538" spans="1:8" x14ac:dyDescent="0.3">
      <c r="A538" t="s">
        <v>557</v>
      </c>
      <c r="B538" t="s">
        <v>264</v>
      </c>
      <c r="C538" t="s">
        <v>275</v>
      </c>
      <c r="D538" t="s">
        <v>589</v>
      </c>
      <c r="E538" s="230">
        <v>1231.72</v>
      </c>
      <c r="F538" t="s">
        <v>560</v>
      </c>
      <c r="G538" t="b">
        <v>1</v>
      </c>
      <c r="H538" t="s">
        <v>590</v>
      </c>
    </row>
    <row r="539" spans="1:8" x14ac:dyDescent="0.3">
      <c r="A539" t="s">
        <v>557</v>
      </c>
      <c r="B539" t="s">
        <v>264</v>
      </c>
      <c r="C539" t="s">
        <v>276</v>
      </c>
      <c r="D539" t="s">
        <v>589</v>
      </c>
      <c r="E539" s="230">
        <v>1551.98</v>
      </c>
      <c r="F539" t="s">
        <v>560</v>
      </c>
      <c r="G539" t="b">
        <v>1</v>
      </c>
      <c r="H539" t="s">
        <v>590</v>
      </c>
    </row>
    <row r="540" spans="1:8" x14ac:dyDescent="0.3">
      <c r="A540" t="s">
        <v>557</v>
      </c>
      <c r="B540" t="s">
        <v>264</v>
      </c>
      <c r="C540" t="s">
        <v>277</v>
      </c>
      <c r="D540" t="s">
        <v>589</v>
      </c>
      <c r="E540" s="230">
        <v>250</v>
      </c>
      <c r="F540" t="s">
        <v>560</v>
      </c>
      <c r="G540" t="b">
        <v>1</v>
      </c>
      <c r="H540" t="s">
        <v>590</v>
      </c>
    </row>
    <row r="541" spans="1:8" x14ac:dyDescent="0.3">
      <c r="A541" t="s">
        <v>557</v>
      </c>
      <c r="B541" t="s">
        <v>264</v>
      </c>
      <c r="C541" t="s">
        <v>278</v>
      </c>
      <c r="D541" t="s">
        <v>589</v>
      </c>
      <c r="E541" s="230">
        <v>3331.72</v>
      </c>
      <c r="F541" t="s">
        <v>560</v>
      </c>
      <c r="G541" t="b">
        <v>1</v>
      </c>
      <c r="H541" t="s">
        <v>590</v>
      </c>
    </row>
    <row r="542" spans="1:8" x14ac:dyDescent="0.3">
      <c r="A542" t="s">
        <v>557</v>
      </c>
      <c r="B542" t="s">
        <v>279</v>
      </c>
      <c r="C542" t="s">
        <v>280</v>
      </c>
      <c r="D542" t="s">
        <v>589</v>
      </c>
      <c r="E542" s="230">
        <v>0</v>
      </c>
      <c r="F542" t="s">
        <v>560</v>
      </c>
      <c r="G542" t="b">
        <v>1</v>
      </c>
      <c r="H542" t="s">
        <v>590</v>
      </c>
    </row>
    <row r="543" spans="1:8" x14ac:dyDescent="0.3">
      <c r="A543" t="s">
        <v>557</v>
      </c>
      <c r="B543" t="s">
        <v>279</v>
      </c>
      <c r="C543" t="s">
        <v>281</v>
      </c>
      <c r="D543" t="s">
        <v>589</v>
      </c>
      <c r="E543" s="230">
        <v>608.54999999999995</v>
      </c>
      <c r="F543" t="s">
        <v>560</v>
      </c>
      <c r="G543" t="b">
        <v>1</v>
      </c>
      <c r="H543" t="s">
        <v>590</v>
      </c>
    </row>
    <row r="544" spans="1:8" x14ac:dyDescent="0.3">
      <c r="A544" t="s">
        <v>557</v>
      </c>
      <c r="B544" t="s">
        <v>279</v>
      </c>
      <c r="C544" t="s">
        <v>282</v>
      </c>
      <c r="D544" t="s">
        <v>589</v>
      </c>
      <c r="E544" s="230">
        <v>416.13</v>
      </c>
      <c r="F544" t="s">
        <v>560</v>
      </c>
      <c r="G544" t="b">
        <v>1</v>
      </c>
      <c r="H544" t="s">
        <v>590</v>
      </c>
    </row>
    <row r="545" spans="1:8" x14ac:dyDescent="0.3">
      <c r="A545" t="s">
        <v>557</v>
      </c>
      <c r="B545" t="s">
        <v>279</v>
      </c>
      <c r="C545" t="s">
        <v>283</v>
      </c>
      <c r="D545" t="s">
        <v>589</v>
      </c>
      <c r="E545" s="230">
        <v>0</v>
      </c>
      <c r="F545" t="s">
        <v>560</v>
      </c>
      <c r="G545" t="b">
        <v>1</v>
      </c>
      <c r="H545" t="s">
        <v>590</v>
      </c>
    </row>
    <row r="546" spans="1:8" x14ac:dyDescent="0.3">
      <c r="A546" t="s">
        <v>557</v>
      </c>
      <c r="B546" t="s">
        <v>279</v>
      </c>
      <c r="C546" t="s">
        <v>284</v>
      </c>
      <c r="D546" t="s">
        <v>589</v>
      </c>
      <c r="E546" s="230">
        <v>2614.5</v>
      </c>
      <c r="F546" t="s">
        <v>560</v>
      </c>
      <c r="G546" t="b">
        <v>1</v>
      </c>
      <c r="H546" t="s">
        <v>590</v>
      </c>
    </row>
    <row r="547" spans="1:8" x14ac:dyDescent="0.3">
      <c r="A547" t="s">
        <v>557</v>
      </c>
      <c r="B547" t="s">
        <v>279</v>
      </c>
      <c r="C547" t="s">
        <v>285</v>
      </c>
      <c r="D547" t="s">
        <v>589</v>
      </c>
      <c r="E547" s="230">
        <v>408.45</v>
      </c>
      <c r="F547" t="s">
        <v>560</v>
      </c>
      <c r="G547" t="b">
        <v>1</v>
      </c>
      <c r="H547" t="s">
        <v>590</v>
      </c>
    </row>
    <row r="548" spans="1:8" x14ac:dyDescent="0.3">
      <c r="A548" t="s">
        <v>557</v>
      </c>
      <c r="B548" t="s">
        <v>279</v>
      </c>
      <c r="C548" t="s">
        <v>286</v>
      </c>
      <c r="D548" t="s">
        <v>589</v>
      </c>
      <c r="E548" s="230">
        <v>1017.45</v>
      </c>
      <c r="F548" t="s">
        <v>560</v>
      </c>
      <c r="G548" t="b">
        <v>1</v>
      </c>
      <c r="H548" t="s">
        <v>590</v>
      </c>
    </row>
    <row r="549" spans="1:8" x14ac:dyDescent="0.3">
      <c r="A549" t="s">
        <v>557</v>
      </c>
      <c r="B549" t="s">
        <v>581</v>
      </c>
      <c r="C549" t="s">
        <v>288</v>
      </c>
      <c r="D549" t="s">
        <v>589</v>
      </c>
      <c r="E549" s="230">
        <v>4195.17</v>
      </c>
      <c r="F549" t="s">
        <v>560</v>
      </c>
      <c r="G549" t="b">
        <v>1</v>
      </c>
      <c r="H549" t="s">
        <v>590</v>
      </c>
    </row>
    <row r="550" spans="1:8" x14ac:dyDescent="0.3">
      <c r="A550" t="s">
        <v>557</v>
      </c>
      <c r="B550" t="s">
        <v>581</v>
      </c>
      <c r="C550" t="s">
        <v>289</v>
      </c>
      <c r="D550" t="s">
        <v>589</v>
      </c>
      <c r="E550" s="230">
        <v>1292.69</v>
      </c>
      <c r="F550" t="s">
        <v>560</v>
      </c>
      <c r="G550" t="b">
        <v>1</v>
      </c>
      <c r="H550" t="s">
        <v>590</v>
      </c>
    </row>
    <row r="551" spans="1:8" x14ac:dyDescent="0.3">
      <c r="A551" t="s">
        <v>557</v>
      </c>
      <c r="B551" t="s">
        <v>581</v>
      </c>
      <c r="C551" t="s">
        <v>290</v>
      </c>
      <c r="D551" t="s">
        <v>589</v>
      </c>
      <c r="E551" s="230">
        <v>1092.69</v>
      </c>
      <c r="F551" t="s">
        <v>560</v>
      </c>
      <c r="G551" t="b">
        <v>1</v>
      </c>
      <c r="H551" t="s">
        <v>590</v>
      </c>
    </row>
    <row r="552" spans="1:8" x14ac:dyDescent="0.3">
      <c r="A552" t="s">
        <v>557</v>
      </c>
      <c r="B552" t="s">
        <v>581</v>
      </c>
      <c r="C552" t="s">
        <v>291</v>
      </c>
      <c r="D552" t="s">
        <v>589</v>
      </c>
      <c r="E552" s="230">
        <v>392.69</v>
      </c>
      <c r="F552" t="s">
        <v>560</v>
      </c>
      <c r="G552" t="b">
        <v>1</v>
      </c>
      <c r="H552" t="s">
        <v>590</v>
      </c>
    </row>
    <row r="553" spans="1:8" x14ac:dyDescent="0.3">
      <c r="A553" t="s">
        <v>557</v>
      </c>
      <c r="B553" t="s">
        <v>581</v>
      </c>
      <c r="C553" t="s">
        <v>292</v>
      </c>
      <c r="D553" t="s">
        <v>589</v>
      </c>
      <c r="E553" s="230">
        <v>0</v>
      </c>
      <c r="F553" t="s">
        <v>560</v>
      </c>
      <c r="G553" t="b">
        <v>1</v>
      </c>
      <c r="H553" t="s">
        <v>590</v>
      </c>
    </row>
    <row r="554" spans="1:8" x14ac:dyDescent="0.3">
      <c r="A554" t="s">
        <v>557</v>
      </c>
      <c r="B554" t="s">
        <v>582</v>
      </c>
      <c r="C554" t="s">
        <v>293</v>
      </c>
      <c r="D554" t="s">
        <v>589</v>
      </c>
      <c r="E554" s="230">
        <v>592.69000000000005</v>
      </c>
      <c r="F554" t="s">
        <v>560</v>
      </c>
      <c r="G554" t="b">
        <v>1</v>
      </c>
      <c r="H554" t="s">
        <v>590</v>
      </c>
    </row>
    <row r="555" spans="1:8" x14ac:dyDescent="0.3">
      <c r="A555" t="s">
        <v>557</v>
      </c>
      <c r="B555" t="s">
        <v>582</v>
      </c>
      <c r="C555" t="s">
        <v>294</v>
      </c>
      <c r="D555" t="s">
        <v>589</v>
      </c>
      <c r="E555" s="230">
        <v>0</v>
      </c>
      <c r="F555" t="s">
        <v>560</v>
      </c>
      <c r="G555" t="b">
        <v>1</v>
      </c>
      <c r="H555" t="s">
        <v>590</v>
      </c>
    </row>
    <row r="556" spans="1:8" x14ac:dyDescent="0.3">
      <c r="A556" t="s">
        <v>557</v>
      </c>
      <c r="B556" t="s">
        <v>582</v>
      </c>
      <c r="C556" t="s">
        <v>295</v>
      </c>
      <c r="D556" t="s">
        <v>589</v>
      </c>
      <c r="E556" s="230">
        <v>0</v>
      </c>
      <c r="F556" t="s">
        <v>560</v>
      </c>
      <c r="G556" t="b">
        <v>1</v>
      </c>
      <c r="H556" t="s">
        <v>590</v>
      </c>
    </row>
    <row r="557" spans="1:8" x14ac:dyDescent="0.3">
      <c r="A557" t="s">
        <v>557</v>
      </c>
      <c r="B557" t="s">
        <v>296</v>
      </c>
      <c r="C557" t="s">
        <v>297</v>
      </c>
      <c r="D557" t="s">
        <v>589</v>
      </c>
      <c r="E557" s="230">
        <v>4200</v>
      </c>
      <c r="F557" t="s">
        <v>560</v>
      </c>
      <c r="G557" t="b">
        <v>1</v>
      </c>
      <c r="H557" t="s">
        <v>590</v>
      </c>
    </row>
    <row r="558" spans="1:8" x14ac:dyDescent="0.3">
      <c r="A558" t="s">
        <v>557</v>
      </c>
      <c r="B558" t="s">
        <v>296</v>
      </c>
      <c r="C558" t="s">
        <v>298</v>
      </c>
      <c r="D558" t="s">
        <v>589</v>
      </c>
      <c r="E558" s="230">
        <v>525</v>
      </c>
      <c r="F558" t="s">
        <v>560</v>
      </c>
      <c r="G558" t="b">
        <v>1</v>
      </c>
      <c r="H558" t="s">
        <v>590</v>
      </c>
    </row>
    <row r="559" spans="1:8" x14ac:dyDescent="0.3">
      <c r="A559" t="s">
        <v>557</v>
      </c>
      <c r="B559" t="s">
        <v>296</v>
      </c>
      <c r="C559" t="s">
        <v>299</v>
      </c>
      <c r="D559" t="s">
        <v>589</v>
      </c>
      <c r="E559" s="230">
        <v>0</v>
      </c>
      <c r="F559" t="s">
        <v>560</v>
      </c>
      <c r="G559" t="b">
        <v>1</v>
      </c>
      <c r="H559" t="s">
        <v>590</v>
      </c>
    </row>
    <row r="560" spans="1:8" x14ac:dyDescent="0.3">
      <c r="A560" t="s">
        <v>557</v>
      </c>
      <c r="B560" t="s">
        <v>296</v>
      </c>
      <c r="C560" t="s">
        <v>300</v>
      </c>
      <c r="D560" t="s">
        <v>589</v>
      </c>
      <c r="E560" s="230">
        <v>0</v>
      </c>
      <c r="F560" t="s">
        <v>560</v>
      </c>
      <c r="G560" t="b">
        <v>1</v>
      </c>
      <c r="H560" t="s">
        <v>590</v>
      </c>
    </row>
    <row r="561" spans="1:8" x14ac:dyDescent="0.3">
      <c r="A561" t="s">
        <v>557</v>
      </c>
      <c r="B561" t="s">
        <v>296</v>
      </c>
      <c r="C561" t="s">
        <v>301</v>
      </c>
      <c r="D561" t="s">
        <v>589</v>
      </c>
      <c r="E561" s="230">
        <v>1092.69</v>
      </c>
      <c r="F561" t="s">
        <v>560</v>
      </c>
      <c r="G561" t="b">
        <v>1</v>
      </c>
      <c r="H561" t="s">
        <v>590</v>
      </c>
    </row>
    <row r="562" spans="1:8" x14ac:dyDescent="0.3">
      <c r="A562" t="s">
        <v>557</v>
      </c>
      <c r="B562" t="s">
        <v>296</v>
      </c>
      <c r="C562" t="s">
        <v>302</v>
      </c>
      <c r="D562" t="s">
        <v>589</v>
      </c>
      <c r="E562" s="230">
        <v>0</v>
      </c>
      <c r="F562" t="s">
        <v>560</v>
      </c>
      <c r="G562" t="b">
        <v>1</v>
      </c>
      <c r="H562" t="s">
        <v>590</v>
      </c>
    </row>
    <row r="563" spans="1:8" x14ac:dyDescent="0.3">
      <c r="A563" t="s">
        <v>557</v>
      </c>
      <c r="B563" t="s">
        <v>296</v>
      </c>
      <c r="C563" t="s">
        <v>303</v>
      </c>
      <c r="D563" t="s">
        <v>589</v>
      </c>
      <c r="E563" s="230">
        <v>0</v>
      </c>
      <c r="F563" t="s">
        <v>560</v>
      </c>
      <c r="G563" t="b">
        <v>1</v>
      </c>
      <c r="H563" t="s">
        <v>590</v>
      </c>
    </row>
    <row r="564" spans="1:8" x14ac:dyDescent="0.3">
      <c r="A564" t="s">
        <v>557</v>
      </c>
      <c r="B564" t="s">
        <v>296</v>
      </c>
      <c r="C564" t="s">
        <v>304</v>
      </c>
      <c r="D564" t="s">
        <v>589</v>
      </c>
      <c r="E564" s="230">
        <v>0</v>
      </c>
      <c r="F564" t="s">
        <v>560</v>
      </c>
      <c r="G564" t="b">
        <v>1</v>
      </c>
      <c r="H564" t="s">
        <v>590</v>
      </c>
    </row>
    <row r="565" spans="1:8" x14ac:dyDescent="0.3">
      <c r="A565" t="s">
        <v>557</v>
      </c>
      <c r="B565" t="s">
        <v>296</v>
      </c>
      <c r="C565" t="s">
        <v>305</v>
      </c>
      <c r="D565" t="s">
        <v>589</v>
      </c>
      <c r="E565" s="230">
        <v>0</v>
      </c>
      <c r="F565" t="s">
        <v>560</v>
      </c>
      <c r="G565" t="b">
        <v>1</v>
      </c>
      <c r="H565" t="s">
        <v>590</v>
      </c>
    </row>
    <row r="566" spans="1:8" x14ac:dyDescent="0.3">
      <c r="A566" t="s">
        <v>557</v>
      </c>
      <c r="B566" t="s">
        <v>296</v>
      </c>
      <c r="C566" t="s">
        <v>583</v>
      </c>
      <c r="D566" t="s">
        <v>589</v>
      </c>
      <c r="E566" s="230">
        <v>0</v>
      </c>
      <c r="F566" t="s">
        <v>560</v>
      </c>
      <c r="G566" t="b">
        <v>1</v>
      </c>
      <c r="H566" t="s">
        <v>590</v>
      </c>
    </row>
    <row r="567" spans="1:8" x14ac:dyDescent="0.3">
      <c r="A567" t="s">
        <v>557</v>
      </c>
      <c r="B567" t="s">
        <v>296</v>
      </c>
      <c r="C567" t="s">
        <v>307</v>
      </c>
      <c r="D567" t="s">
        <v>589</v>
      </c>
      <c r="E567" s="230">
        <v>206.85</v>
      </c>
      <c r="F567" t="s">
        <v>560</v>
      </c>
      <c r="G567" t="b">
        <v>1</v>
      </c>
      <c r="H567" t="s">
        <v>590</v>
      </c>
    </row>
    <row r="568" spans="1:8" x14ac:dyDescent="0.3">
      <c r="A568" t="s">
        <v>557</v>
      </c>
      <c r="B568" t="s">
        <v>308</v>
      </c>
      <c r="C568" t="s">
        <v>309</v>
      </c>
      <c r="D568" t="s">
        <v>589</v>
      </c>
      <c r="E568" s="230">
        <v>2995.34</v>
      </c>
      <c r="F568" t="s">
        <v>560</v>
      </c>
      <c r="G568" t="b">
        <v>1</v>
      </c>
      <c r="H568" t="s">
        <v>590</v>
      </c>
    </row>
    <row r="569" spans="1:8" x14ac:dyDescent="0.3">
      <c r="A569" t="s">
        <v>557</v>
      </c>
      <c r="B569" t="s">
        <v>308</v>
      </c>
      <c r="C569" t="s">
        <v>310</v>
      </c>
      <c r="D569" t="s">
        <v>589</v>
      </c>
      <c r="E569" s="230">
        <v>0</v>
      </c>
      <c r="F569" t="s">
        <v>560</v>
      </c>
      <c r="G569" t="b">
        <v>1</v>
      </c>
      <c r="H569" t="s">
        <v>590</v>
      </c>
    </row>
    <row r="570" spans="1:8" x14ac:dyDescent="0.3">
      <c r="A570" t="s">
        <v>557</v>
      </c>
      <c r="B570" t="s">
        <v>308</v>
      </c>
      <c r="C570" t="s">
        <v>311</v>
      </c>
      <c r="D570" t="s">
        <v>589</v>
      </c>
      <c r="E570" s="230">
        <v>1627.5</v>
      </c>
      <c r="F570" t="s">
        <v>560</v>
      </c>
      <c r="G570" t="b">
        <v>1</v>
      </c>
      <c r="H570" t="s">
        <v>590</v>
      </c>
    </row>
    <row r="571" spans="1:8" x14ac:dyDescent="0.3">
      <c r="A571" t="s">
        <v>557</v>
      </c>
      <c r="B571" t="s">
        <v>308</v>
      </c>
      <c r="C571" t="s">
        <v>312</v>
      </c>
      <c r="D571" t="s">
        <v>589</v>
      </c>
      <c r="E571" s="230">
        <v>194.25</v>
      </c>
      <c r="F571" t="s">
        <v>560</v>
      </c>
      <c r="G571" t="b">
        <v>1</v>
      </c>
      <c r="H571" t="s">
        <v>590</v>
      </c>
    </row>
    <row r="572" spans="1:8" x14ac:dyDescent="0.3">
      <c r="A572" t="s">
        <v>557</v>
      </c>
      <c r="B572" t="s">
        <v>308</v>
      </c>
      <c r="C572" t="s">
        <v>313</v>
      </c>
      <c r="D572" t="s">
        <v>589</v>
      </c>
      <c r="E572" s="230">
        <v>0</v>
      </c>
      <c r="F572" t="s">
        <v>560</v>
      </c>
      <c r="G572" t="b">
        <v>1</v>
      </c>
      <c r="H572" t="s">
        <v>590</v>
      </c>
    </row>
    <row r="573" spans="1:8" x14ac:dyDescent="0.3">
      <c r="A573" t="s">
        <v>557</v>
      </c>
      <c r="B573" t="s">
        <v>308</v>
      </c>
      <c r="C573" t="s">
        <v>314</v>
      </c>
      <c r="D573" t="s">
        <v>589</v>
      </c>
      <c r="E573" s="230">
        <v>743.59</v>
      </c>
      <c r="F573" t="s">
        <v>560</v>
      </c>
      <c r="G573" t="b">
        <v>1</v>
      </c>
      <c r="H573" t="s">
        <v>590</v>
      </c>
    </row>
    <row r="574" spans="1:8" x14ac:dyDescent="0.3">
      <c r="A574" t="s">
        <v>557</v>
      </c>
      <c r="B574" t="s">
        <v>308</v>
      </c>
      <c r="C574" t="s">
        <v>315</v>
      </c>
      <c r="D574" t="s">
        <v>589</v>
      </c>
      <c r="E574" s="230">
        <v>0</v>
      </c>
      <c r="F574" t="s">
        <v>560</v>
      </c>
      <c r="G574" t="b">
        <v>1</v>
      </c>
      <c r="H574" t="s">
        <v>590</v>
      </c>
    </row>
    <row r="575" spans="1:8" x14ac:dyDescent="0.3">
      <c r="A575" t="s">
        <v>557</v>
      </c>
      <c r="B575" t="s">
        <v>308</v>
      </c>
      <c r="C575" t="s">
        <v>316</v>
      </c>
      <c r="D575" t="s">
        <v>589</v>
      </c>
      <c r="E575" s="230">
        <v>0</v>
      </c>
      <c r="F575" t="s">
        <v>560</v>
      </c>
      <c r="G575" t="b">
        <v>1</v>
      </c>
      <c r="H575" t="s">
        <v>590</v>
      </c>
    </row>
    <row r="576" spans="1:8" x14ac:dyDescent="0.3">
      <c r="A576" t="s">
        <v>557</v>
      </c>
      <c r="B576" t="s">
        <v>308</v>
      </c>
      <c r="C576" t="s">
        <v>317</v>
      </c>
      <c r="D576" t="s">
        <v>589</v>
      </c>
      <c r="E576" s="230">
        <v>0</v>
      </c>
      <c r="F576" t="s">
        <v>560</v>
      </c>
      <c r="G576" t="b">
        <v>1</v>
      </c>
      <c r="H576" t="s">
        <v>590</v>
      </c>
    </row>
    <row r="577" spans="1:8" x14ac:dyDescent="0.3">
      <c r="A577" t="s">
        <v>557</v>
      </c>
      <c r="B577" t="s">
        <v>318</v>
      </c>
      <c r="C577" t="s">
        <v>319</v>
      </c>
      <c r="D577" t="s">
        <v>589</v>
      </c>
      <c r="E577" s="230">
        <v>1770.3</v>
      </c>
      <c r="F577" t="s">
        <v>560</v>
      </c>
      <c r="G577" t="b">
        <v>1</v>
      </c>
      <c r="H577" t="s">
        <v>590</v>
      </c>
    </row>
    <row r="578" spans="1:8" x14ac:dyDescent="0.3">
      <c r="A578" t="s">
        <v>557</v>
      </c>
      <c r="B578" t="s">
        <v>318</v>
      </c>
      <c r="C578" t="s">
        <v>320</v>
      </c>
      <c r="D578" t="s">
        <v>589</v>
      </c>
      <c r="E578" s="230">
        <v>144.44999999999999</v>
      </c>
      <c r="F578" t="s">
        <v>560</v>
      </c>
      <c r="G578" t="b">
        <v>1</v>
      </c>
      <c r="H578" t="s">
        <v>590</v>
      </c>
    </row>
    <row r="579" spans="1:8" x14ac:dyDescent="0.3">
      <c r="A579" t="s">
        <v>557</v>
      </c>
      <c r="B579" t="s">
        <v>318</v>
      </c>
      <c r="C579" t="s">
        <v>321</v>
      </c>
      <c r="D579" t="s">
        <v>589</v>
      </c>
      <c r="E579" s="230">
        <v>210</v>
      </c>
      <c r="F579" t="s">
        <v>560</v>
      </c>
      <c r="G579" t="b">
        <v>1</v>
      </c>
      <c r="H579" t="s">
        <v>590</v>
      </c>
    </row>
    <row r="580" spans="1:8" x14ac:dyDescent="0.3">
      <c r="A580" t="s">
        <v>557</v>
      </c>
      <c r="B580" t="s">
        <v>318</v>
      </c>
      <c r="C580" t="s">
        <v>322</v>
      </c>
      <c r="D580" t="s">
        <v>589</v>
      </c>
      <c r="E580" s="230">
        <v>0</v>
      </c>
      <c r="F580" t="s">
        <v>560</v>
      </c>
      <c r="G580" t="b">
        <v>1</v>
      </c>
      <c r="H580" t="s">
        <v>590</v>
      </c>
    </row>
    <row r="581" spans="1:8" x14ac:dyDescent="0.3">
      <c r="A581" t="s">
        <v>557</v>
      </c>
      <c r="B581" t="s">
        <v>323</v>
      </c>
      <c r="C581" t="s">
        <v>324</v>
      </c>
      <c r="D581" t="s">
        <v>589</v>
      </c>
      <c r="E581" s="230">
        <v>0</v>
      </c>
      <c r="F581" t="s">
        <v>560</v>
      </c>
      <c r="G581" t="b">
        <v>1</v>
      </c>
      <c r="H581" t="s">
        <v>590</v>
      </c>
    </row>
    <row r="582" spans="1:8" x14ac:dyDescent="0.3">
      <c r="A582" t="s">
        <v>557</v>
      </c>
      <c r="B582" t="s">
        <v>323</v>
      </c>
      <c r="C582" t="s">
        <v>325</v>
      </c>
      <c r="D582" t="s">
        <v>589</v>
      </c>
      <c r="E582" s="230">
        <v>0</v>
      </c>
      <c r="F582" t="s">
        <v>560</v>
      </c>
      <c r="G582" t="b">
        <v>1</v>
      </c>
      <c r="H582" t="s">
        <v>590</v>
      </c>
    </row>
    <row r="583" spans="1:8" x14ac:dyDescent="0.3">
      <c r="A583" t="s">
        <v>557</v>
      </c>
      <c r="B583" t="s">
        <v>323</v>
      </c>
      <c r="C583" t="s">
        <v>326</v>
      </c>
      <c r="D583" t="s">
        <v>589</v>
      </c>
      <c r="E583" s="230">
        <v>23172.240000000002</v>
      </c>
      <c r="F583" t="s">
        <v>560</v>
      </c>
      <c r="G583" t="b">
        <v>1</v>
      </c>
      <c r="H583" t="s">
        <v>590</v>
      </c>
    </row>
    <row r="584" spans="1:8" x14ac:dyDescent="0.3">
      <c r="A584" t="s">
        <v>557</v>
      </c>
      <c r="B584" t="s">
        <v>584</v>
      </c>
      <c r="C584" t="s">
        <v>334</v>
      </c>
      <c r="D584" t="s">
        <v>589</v>
      </c>
      <c r="E584" s="230">
        <v>0</v>
      </c>
      <c r="F584" t="s">
        <v>560</v>
      </c>
      <c r="G584" t="b">
        <v>1</v>
      </c>
      <c r="H584" t="s">
        <v>590</v>
      </c>
    </row>
    <row r="585" spans="1:8" x14ac:dyDescent="0.3">
      <c r="A585" t="s">
        <v>557</v>
      </c>
      <c r="B585" t="s">
        <v>584</v>
      </c>
      <c r="C585" t="s">
        <v>336</v>
      </c>
      <c r="D585" t="s">
        <v>589</v>
      </c>
      <c r="E585" s="230">
        <v>0</v>
      </c>
      <c r="F585" t="s">
        <v>560</v>
      </c>
      <c r="G585" t="b">
        <v>1</v>
      </c>
      <c r="H585" t="s">
        <v>590</v>
      </c>
    </row>
    <row r="586" spans="1:8" x14ac:dyDescent="0.3">
      <c r="A586" t="s">
        <v>557</v>
      </c>
      <c r="B586" t="s">
        <v>558</v>
      </c>
      <c r="C586" t="s">
        <v>13</v>
      </c>
      <c r="D586" t="s">
        <v>591</v>
      </c>
      <c r="E586" s="230">
        <v>221438.03</v>
      </c>
      <c r="F586" t="s">
        <v>560</v>
      </c>
      <c r="G586" t="b">
        <v>1</v>
      </c>
      <c r="H586" t="s">
        <v>592</v>
      </c>
    </row>
    <row r="587" spans="1:8" x14ac:dyDescent="0.3">
      <c r="A587" t="s">
        <v>557</v>
      </c>
      <c r="B587" t="s">
        <v>558</v>
      </c>
      <c r="C587" t="s">
        <v>16</v>
      </c>
      <c r="D587" t="s">
        <v>591</v>
      </c>
      <c r="E587" s="230">
        <v>141701.49</v>
      </c>
      <c r="F587" t="s">
        <v>560</v>
      </c>
      <c r="G587" t="b">
        <v>1</v>
      </c>
      <c r="H587" t="s">
        <v>592</v>
      </c>
    </row>
    <row r="588" spans="1:8" x14ac:dyDescent="0.3">
      <c r="A588" t="s">
        <v>557</v>
      </c>
      <c r="B588" t="s">
        <v>558</v>
      </c>
      <c r="C588" t="s">
        <v>17</v>
      </c>
      <c r="D588" t="s">
        <v>591</v>
      </c>
      <c r="E588" s="230">
        <v>5952.94</v>
      </c>
      <c r="F588" t="s">
        <v>560</v>
      </c>
      <c r="G588" t="b">
        <v>1</v>
      </c>
      <c r="H588" t="s">
        <v>592</v>
      </c>
    </row>
    <row r="589" spans="1:8" x14ac:dyDescent="0.3">
      <c r="A589" t="s">
        <v>557</v>
      </c>
      <c r="B589" t="s">
        <v>558</v>
      </c>
      <c r="C589" t="s">
        <v>18</v>
      </c>
      <c r="D589" t="s">
        <v>591</v>
      </c>
      <c r="E589" s="230">
        <v>0</v>
      </c>
      <c r="F589" t="s">
        <v>560</v>
      </c>
      <c r="G589" t="b">
        <v>1</v>
      </c>
      <c r="H589" t="s">
        <v>592</v>
      </c>
    </row>
    <row r="590" spans="1:8" x14ac:dyDescent="0.3">
      <c r="A590" t="s">
        <v>557</v>
      </c>
      <c r="B590" t="s">
        <v>558</v>
      </c>
      <c r="C590" t="s">
        <v>20</v>
      </c>
      <c r="D590" t="s">
        <v>591</v>
      </c>
      <c r="E590" s="230">
        <v>50330.79</v>
      </c>
      <c r="F590" t="s">
        <v>560</v>
      </c>
      <c r="G590" t="b">
        <v>1</v>
      </c>
      <c r="H590" t="s">
        <v>592</v>
      </c>
    </row>
    <row r="591" spans="1:8" x14ac:dyDescent="0.3">
      <c r="A591" t="s">
        <v>557</v>
      </c>
      <c r="B591" t="s">
        <v>558</v>
      </c>
      <c r="C591" t="s">
        <v>29</v>
      </c>
      <c r="D591" t="s">
        <v>591</v>
      </c>
      <c r="E591" s="230">
        <v>20281.59</v>
      </c>
      <c r="F591" t="s">
        <v>560</v>
      </c>
      <c r="G591" t="b">
        <v>1</v>
      </c>
      <c r="H591" t="s">
        <v>592</v>
      </c>
    </row>
    <row r="592" spans="1:8" x14ac:dyDescent="0.3">
      <c r="A592" t="s">
        <v>557</v>
      </c>
      <c r="B592" t="s">
        <v>558</v>
      </c>
      <c r="C592" t="s">
        <v>31</v>
      </c>
      <c r="D592" t="s">
        <v>591</v>
      </c>
      <c r="E592" s="230">
        <v>0</v>
      </c>
      <c r="F592" t="s">
        <v>560</v>
      </c>
      <c r="G592" t="b">
        <v>1</v>
      </c>
      <c r="H592" t="s">
        <v>592</v>
      </c>
    </row>
    <row r="593" spans="1:8" x14ac:dyDescent="0.3">
      <c r="A593" t="s">
        <v>557</v>
      </c>
      <c r="B593" t="s">
        <v>562</v>
      </c>
      <c r="C593" t="s">
        <v>38</v>
      </c>
      <c r="D593" t="s">
        <v>591</v>
      </c>
      <c r="E593" s="230">
        <v>9078.49</v>
      </c>
      <c r="F593" t="s">
        <v>560</v>
      </c>
      <c r="G593" t="b">
        <v>1</v>
      </c>
      <c r="H593" t="s">
        <v>592</v>
      </c>
    </row>
    <row r="594" spans="1:8" x14ac:dyDescent="0.3">
      <c r="A594" t="s">
        <v>557</v>
      </c>
      <c r="B594" t="s">
        <v>562</v>
      </c>
      <c r="C594" t="s">
        <v>40</v>
      </c>
      <c r="D594" t="s">
        <v>591</v>
      </c>
      <c r="E594" s="230">
        <v>7190.16</v>
      </c>
      <c r="F594" t="s">
        <v>560</v>
      </c>
      <c r="G594" t="b">
        <v>1</v>
      </c>
      <c r="H594" t="s">
        <v>592</v>
      </c>
    </row>
    <row r="595" spans="1:8" x14ac:dyDescent="0.3">
      <c r="A595" t="s">
        <v>557</v>
      </c>
      <c r="B595" t="s">
        <v>562</v>
      </c>
      <c r="C595" t="s">
        <v>42</v>
      </c>
      <c r="D595" t="s">
        <v>591</v>
      </c>
      <c r="E595" s="230">
        <v>907.85</v>
      </c>
      <c r="F595" t="s">
        <v>560</v>
      </c>
      <c r="G595" t="b">
        <v>1</v>
      </c>
      <c r="H595" t="s">
        <v>592</v>
      </c>
    </row>
    <row r="596" spans="1:8" x14ac:dyDescent="0.3">
      <c r="A596" t="s">
        <v>557</v>
      </c>
      <c r="B596" t="s">
        <v>563</v>
      </c>
      <c r="C596" t="s">
        <v>46</v>
      </c>
      <c r="D596" t="s">
        <v>591</v>
      </c>
      <c r="E596" s="230">
        <v>14324.41</v>
      </c>
      <c r="F596" t="s">
        <v>560</v>
      </c>
      <c r="G596" t="b">
        <v>1</v>
      </c>
      <c r="H596" t="s">
        <v>592</v>
      </c>
    </row>
    <row r="597" spans="1:8" x14ac:dyDescent="0.3">
      <c r="A597" t="s">
        <v>557</v>
      </c>
      <c r="B597" t="s">
        <v>563</v>
      </c>
      <c r="C597" t="s">
        <v>48</v>
      </c>
      <c r="D597" t="s">
        <v>591</v>
      </c>
      <c r="E597" s="230">
        <v>16104.33</v>
      </c>
      <c r="F597" t="s">
        <v>560</v>
      </c>
      <c r="G597" t="b">
        <v>1</v>
      </c>
      <c r="H597" t="s">
        <v>592</v>
      </c>
    </row>
    <row r="598" spans="1:8" x14ac:dyDescent="0.3">
      <c r="A598" t="s">
        <v>557</v>
      </c>
      <c r="B598" t="s">
        <v>563</v>
      </c>
      <c r="C598" t="s">
        <v>49</v>
      </c>
      <c r="D598" t="s">
        <v>591</v>
      </c>
      <c r="E598" s="230">
        <v>297.29000000000002</v>
      </c>
      <c r="F598" t="s">
        <v>560</v>
      </c>
      <c r="G598" t="b">
        <v>1</v>
      </c>
      <c r="H598" t="s">
        <v>592</v>
      </c>
    </row>
    <row r="599" spans="1:8" x14ac:dyDescent="0.3">
      <c r="A599" t="s">
        <v>557</v>
      </c>
      <c r="B599" t="s">
        <v>564</v>
      </c>
      <c r="C599" t="s">
        <v>565</v>
      </c>
      <c r="D599" t="s">
        <v>591</v>
      </c>
      <c r="E599" s="230">
        <v>86684.3</v>
      </c>
      <c r="F599" t="s">
        <v>560</v>
      </c>
      <c r="G599" t="b">
        <v>1</v>
      </c>
      <c r="H599" t="s">
        <v>592</v>
      </c>
    </row>
    <row r="600" spans="1:8" x14ac:dyDescent="0.3">
      <c r="A600" t="s">
        <v>557</v>
      </c>
      <c r="B600" t="s">
        <v>564</v>
      </c>
      <c r="C600" t="s">
        <v>566</v>
      </c>
      <c r="D600" t="s">
        <v>591</v>
      </c>
      <c r="E600" s="230">
        <v>29757.31</v>
      </c>
      <c r="F600" t="s">
        <v>560</v>
      </c>
      <c r="G600" t="b">
        <v>1</v>
      </c>
      <c r="H600" t="s">
        <v>592</v>
      </c>
    </row>
    <row r="601" spans="1:8" x14ac:dyDescent="0.3">
      <c r="A601" t="s">
        <v>557</v>
      </c>
      <c r="B601" t="s">
        <v>564</v>
      </c>
      <c r="C601" t="s">
        <v>567</v>
      </c>
      <c r="D601" t="s">
        <v>591</v>
      </c>
      <c r="E601" s="230">
        <v>608.45000000000005</v>
      </c>
      <c r="F601" t="s">
        <v>560</v>
      </c>
      <c r="G601" t="b">
        <v>1</v>
      </c>
      <c r="H601" t="s">
        <v>592</v>
      </c>
    </row>
    <row r="602" spans="1:8" x14ac:dyDescent="0.3">
      <c r="A602" t="s">
        <v>557</v>
      </c>
      <c r="B602" t="s">
        <v>564</v>
      </c>
      <c r="C602" t="s">
        <v>568</v>
      </c>
      <c r="D602" t="s">
        <v>591</v>
      </c>
      <c r="E602" s="230">
        <v>0</v>
      </c>
      <c r="F602" t="s">
        <v>560</v>
      </c>
      <c r="G602" t="b">
        <v>1</v>
      </c>
      <c r="H602" t="s">
        <v>592</v>
      </c>
    </row>
    <row r="603" spans="1:8" x14ac:dyDescent="0.3">
      <c r="A603" t="s">
        <v>557</v>
      </c>
      <c r="B603" t="s">
        <v>569</v>
      </c>
      <c r="C603" t="s">
        <v>58</v>
      </c>
      <c r="D603" t="s">
        <v>591</v>
      </c>
      <c r="E603" s="230">
        <v>3988.47</v>
      </c>
      <c r="F603" t="s">
        <v>560</v>
      </c>
      <c r="G603" t="b">
        <v>1</v>
      </c>
      <c r="H603" t="s">
        <v>592</v>
      </c>
    </row>
    <row r="604" spans="1:8" x14ac:dyDescent="0.3">
      <c r="A604" t="s">
        <v>557</v>
      </c>
      <c r="B604" t="s">
        <v>569</v>
      </c>
      <c r="C604" t="s">
        <v>59</v>
      </c>
      <c r="D604" t="s">
        <v>591</v>
      </c>
      <c r="E604" s="230">
        <v>595.29</v>
      </c>
      <c r="F604" t="s">
        <v>560</v>
      </c>
      <c r="G604" t="b">
        <v>1</v>
      </c>
      <c r="H604" t="s">
        <v>592</v>
      </c>
    </row>
    <row r="605" spans="1:8" x14ac:dyDescent="0.3">
      <c r="A605" t="s">
        <v>557</v>
      </c>
      <c r="B605" t="s">
        <v>569</v>
      </c>
      <c r="C605" t="s">
        <v>62</v>
      </c>
      <c r="D605" t="s">
        <v>591</v>
      </c>
      <c r="E605" s="230">
        <v>0</v>
      </c>
      <c r="F605" t="s">
        <v>560</v>
      </c>
      <c r="G605" t="b">
        <v>1</v>
      </c>
      <c r="H605" t="s">
        <v>592</v>
      </c>
    </row>
    <row r="606" spans="1:8" x14ac:dyDescent="0.3">
      <c r="A606" t="s">
        <v>557</v>
      </c>
      <c r="B606" t="s">
        <v>570</v>
      </c>
      <c r="C606" t="s">
        <v>64</v>
      </c>
      <c r="D606" t="s">
        <v>591</v>
      </c>
      <c r="E606" s="230">
        <v>0</v>
      </c>
      <c r="F606" t="s">
        <v>560</v>
      </c>
      <c r="G606" t="b">
        <v>1</v>
      </c>
      <c r="H606" t="s">
        <v>592</v>
      </c>
    </row>
    <row r="607" spans="1:8" x14ac:dyDescent="0.3">
      <c r="A607" t="s">
        <v>557</v>
      </c>
      <c r="B607" t="s">
        <v>569</v>
      </c>
      <c r="C607" t="s">
        <v>66</v>
      </c>
      <c r="D607" t="s">
        <v>591</v>
      </c>
      <c r="E607" s="230">
        <v>0</v>
      </c>
      <c r="F607" t="s">
        <v>560</v>
      </c>
      <c r="G607" t="b">
        <v>1</v>
      </c>
      <c r="H607" t="s">
        <v>592</v>
      </c>
    </row>
    <row r="608" spans="1:8" x14ac:dyDescent="0.3">
      <c r="A608" t="s">
        <v>557</v>
      </c>
      <c r="B608" t="s">
        <v>569</v>
      </c>
      <c r="C608" t="s">
        <v>68</v>
      </c>
      <c r="D608" t="s">
        <v>591</v>
      </c>
      <c r="E608" s="230">
        <v>2083.5300000000002</v>
      </c>
      <c r="F608" t="s">
        <v>560</v>
      </c>
      <c r="G608" t="b">
        <v>1</v>
      </c>
      <c r="H608" t="s">
        <v>592</v>
      </c>
    </row>
    <row r="609" spans="1:8" x14ac:dyDescent="0.3">
      <c r="A609" t="s">
        <v>557</v>
      </c>
      <c r="B609" t="s">
        <v>569</v>
      </c>
      <c r="C609" t="s">
        <v>69</v>
      </c>
      <c r="D609" t="s">
        <v>591</v>
      </c>
      <c r="E609" s="230">
        <v>0</v>
      </c>
      <c r="F609" t="s">
        <v>560</v>
      </c>
      <c r="G609" t="b">
        <v>1</v>
      </c>
      <c r="H609" t="s">
        <v>592</v>
      </c>
    </row>
    <row r="610" spans="1:8" x14ac:dyDescent="0.3">
      <c r="A610" t="s">
        <v>557</v>
      </c>
      <c r="B610" t="s">
        <v>570</v>
      </c>
      <c r="C610" t="s">
        <v>73</v>
      </c>
      <c r="D610" t="s">
        <v>591</v>
      </c>
      <c r="E610" s="230">
        <v>4000</v>
      </c>
      <c r="F610" t="s">
        <v>560</v>
      </c>
      <c r="G610" t="b">
        <v>1</v>
      </c>
      <c r="H610" t="s">
        <v>592</v>
      </c>
    </row>
    <row r="611" spans="1:8" x14ac:dyDescent="0.3">
      <c r="A611" t="s">
        <v>557</v>
      </c>
      <c r="B611" t="s">
        <v>571</v>
      </c>
      <c r="C611" t="s">
        <v>75</v>
      </c>
      <c r="D611" t="s">
        <v>591</v>
      </c>
      <c r="E611" s="230">
        <v>287.7</v>
      </c>
      <c r="F611" t="s">
        <v>560</v>
      </c>
      <c r="G611" t="b">
        <v>1</v>
      </c>
      <c r="H611" t="s">
        <v>592</v>
      </c>
    </row>
    <row r="612" spans="1:8" x14ac:dyDescent="0.3">
      <c r="A612" t="s">
        <v>557</v>
      </c>
      <c r="B612" t="s">
        <v>571</v>
      </c>
      <c r="C612" t="s">
        <v>78</v>
      </c>
      <c r="D612" t="s">
        <v>591</v>
      </c>
      <c r="E612" s="230">
        <v>306.88</v>
      </c>
      <c r="F612" t="s">
        <v>560</v>
      </c>
      <c r="G612" t="b">
        <v>1</v>
      </c>
      <c r="H612" t="s">
        <v>592</v>
      </c>
    </row>
    <row r="613" spans="1:8" x14ac:dyDescent="0.3">
      <c r="A613" t="s">
        <v>557</v>
      </c>
      <c r="B613" t="s">
        <v>571</v>
      </c>
      <c r="C613" t="s">
        <v>80</v>
      </c>
      <c r="D613" t="s">
        <v>591</v>
      </c>
      <c r="E613" s="230">
        <v>95.9</v>
      </c>
      <c r="F613" t="s">
        <v>560</v>
      </c>
      <c r="G613" t="b">
        <v>1</v>
      </c>
      <c r="H613" t="s">
        <v>592</v>
      </c>
    </row>
    <row r="614" spans="1:8" x14ac:dyDescent="0.3">
      <c r="A614" t="s">
        <v>557</v>
      </c>
      <c r="B614" t="s">
        <v>571</v>
      </c>
      <c r="C614" t="s">
        <v>82</v>
      </c>
      <c r="D614" t="s">
        <v>591</v>
      </c>
      <c r="E614" s="230">
        <v>0</v>
      </c>
      <c r="F614" t="s">
        <v>560</v>
      </c>
      <c r="G614" t="b">
        <v>1</v>
      </c>
      <c r="H614" t="s">
        <v>592</v>
      </c>
    </row>
    <row r="615" spans="1:8" x14ac:dyDescent="0.3">
      <c r="A615" t="s">
        <v>557</v>
      </c>
      <c r="B615" t="s">
        <v>571</v>
      </c>
      <c r="C615" t="s">
        <v>84</v>
      </c>
      <c r="D615" t="s">
        <v>591</v>
      </c>
      <c r="E615" s="230">
        <v>0</v>
      </c>
      <c r="F615" t="s">
        <v>560</v>
      </c>
      <c r="G615" t="b">
        <v>1</v>
      </c>
      <c r="H615" t="s">
        <v>592</v>
      </c>
    </row>
    <row r="616" spans="1:8" x14ac:dyDescent="0.3">
      <c r="A616" t="s">
        <v>557</v>
      </c>
      <c r="B616" t="s">
        <v>571</v>
      </c>
      <c r="C616" t="s">
        <v>86</v>
      </c>
      <c r="D616" t="s">
        <v>591</v>
      </c>
      <c r="E616" s="230">
        <v>0</v>
      </c>
      <c r="F616" t="s">
        <v>560</v>
      </c>
      <c r="G616" t="b">
        <v>1</v>
      </c>
      <c r="H616" t="s">
        <v>592</v>
      </c>
    </row>
    <row r="617" spans="1:8" x14ac:dyDescent="0.3">
      <c r="A617" t="s">
        <v>557</v>
      </c>
      <c r="B617" t="s">
        <v>571</v>
      </c>
      <c r="C617" t="s">
        <v>87</v>
      </c>
      <c r="D617" t="s">
        <v>591</v>
      </c>
      <c r="E617" s="230">
        <v>0</v>
      </c>
      <c r="F617" t="s">
        <v>560</v>
      </c>
      <c r="G617" t="b">
        <v>1</v>
      </c>
      <c r="H617" t="s">
        <v>592</v>
      </c>
    </row>
    <row r="618" spans="1:8" x14ac:dyDescent="0.3">
      <c r="A618" t="s">
        <v>557</v>
      </c>
      <c r="B618" t="s">
        <v>571</v>
      </c>
      <c r="C618" t="s">
        <v>88</v>
      </c>
      <c r="D618" t="s">
        <v>591</v>
      </c>
      <c r="E618" s="230">
        <v>0</v>
      </c>
      <c r="F618" t="s">
        <v>560</v>
      </c>
      <c r="G618" t="b">
        <v>1</v>
      </c>
      <c r="H618" t="s">
        <v>592</v>
      </c>
    </row>
    <row r="619" spans="1:8" x14ac:dyDescent="0.3">
      <c r="A619" t="s">
        <v>557</v>
      </c>
      <c r="B619" t="s">
        <v>571</v>
      </c>
      <c r="C619" t="s">
        <v>89</v>
      </c>
      <c r="D619" t="s">
        <v>591</v>
      </c>
      <c r="E619" s="230">
        <v>0</v>
      </c>
      <c r="F619" t="s">
        <v>560</v>
      </c>
      <c r="G619" t="b">
        <v>1</v>
      </c>
      <c r="H619" t="s">
        <v>592</v>
      </c>
    </row>
    <row r="620" spans="1:8" x14ac:dyDescent="0.3">
      <c r="A620" t="s">
        <v>557</v>
      </c>
      <c r="B620" t="s">
        <v>571</v>
      </c>
      <c r="C620" t="s">
        <v>91</v>
      </c>
      <c r="D620" t="s">
        <v>591</v>
      </c>
      <c r="E620" s="230">
        <v>0</v>
      </c>
      <c r="F620" t="s">
        <v>560</v>
      </c>
      <c r="G620" t="b">
        <v>1</v>
      </c>
      <c r="H620" t="s">
        <v>592</v>
      </c>
    </row>
    <row r="621" spans="1:8" x14ac:dyDescent="0.3">
      <c r="A621" t="s">
        <v>557</v>
      </c>
      <c r="B621" t="s">
        <v>571</v>
      </c>
      <c r="C621" t="s">
        <v>93</v>
      </c>
      <c r="D621" t="s">
        <v>591</v>
      </c>
      <c r="E621" s="230">
        <v>0</v>
      </c>
      <c r="F621" t="s">
        <v>560</v>
      </c>
      <c r="G621" t="b">
        <v>1</v>
      </c>
      <c r="H621" t="s">
        <v>592</v>
      </c>
    </row>
    <row r="622" spans="1:8" x14ac:dyDescent="0.3">
      <c r="A622" t="s">
        <v>557</v>
      </c>
      <c r="B622" t="s">
        <v>571</v>
      </c>
      <c r="C622" t="s">
        <v>96</v>
      </c>
      <c r="D622" t="s">
        <v>591</v>
      </c>
      <c r="E622" s="230">
        <v>0</v>
      </c>
      <c r="F622" t="s">
        <v>560</v>
      </c>
      <c r="G622" t="b">
        <v>1</v>
      </c>
      <c r="H622" t="s">
        <v>592</v>
      </c>
    </row>
    <row r="623" spans="1:8" x14ac:dyDescent="0.3">
      <c r="A623" t="s">
        <v>557</v>
      </c>
      <c r="B623" t="s">
        <v>571</v>
      </c>
      <c r="C623" t="s">
        <v>98</v>
      </c>
      <c r="D623" t="s">
        <v>591</v>
      </c>
      <c r="E623" s="230">
        <v>0</v>
      </c>
      <c r="F623" t="s">
        <v>560</v>
      </c>
      <c r="G623" t="b">
        <v>1</v>
      </c>
      <c r="H623" t="s">
        <v>592</v>
      </c>
    </row>
    <row r="624" spans="1:8" x14ac:dyDescent="0.3">
      <c r="A624" t="s">
        <v>557</v>
      </c>
      <c r="B624" t="s">
        <v>571</v>
      </c>
      <c r="C624" t="s">
        <v>100</v>
      </c>
      <c r="D624" t="s">
        <v>591</v>
      </c>
      <c r="E624" s="230">
        <v>0</v>
      </c>
      <c r="F624" t="s">
        <v>560</v>
      </c>
      <c r="G624" t="b">
        <v>1</v>
      </c>
      <c r="H624" t="s">
        <v>592</v>
      </c>
    </row>
    <row r="625" spans="1:8" x14ac:dyDescent="0.3">
      <c r="A625" t="s">
        <v>557</v>
      </c>
      <c r="B625" t="s">
        <v>571</v>
      </c>
      <c r="C625" t="s">
        <v>102</v>
      </c>
      <c r="D625" t="s">
        <v>591</v>
      </c>
      <c r="E625" s="230">
        <v>0</v>
      </c>
      <c r="F625" t="s">
        <v>560</v>
      </c>
      <c r="G625" t="b">
        <v>1</v>
      </c>
      <c r="H625" t="s">
        <v>592</v>
      </c>
    </row>
    <row r="626" spans="1:8" x14ac:dyDescent="0.3">
      <c r="A626" t="s">
        <v>557</v>
      </c>
      <c r="B626" t="s">
        <v>571</v>
      </c>
      <c r="C626" t="s">
        <v>103</v>
      </c>
      <c r="D626" t="s">
        <v>591</v>
      </c>
      <c r="E626" s="230">
        <v>0</v>
      </c>
      <c r="F626" t="s">
        <v>560</v>
      </c>
      <c r="G626" t="b">
        <v>1</v>
      </c>
      <c r="H626" t="s">
        <v>592</v>
      </c>
    </row>
    <row r="627" spans="1:8" x14ac:dyDescent="0.3">
      <c r="A627" t="s">
        <v>557</v>
      </c>
      <c r="B627" t="s">
        <v>571</v>
      </c>
      <c r="C627" t="s">
        <v>104</v>
      </c>
      <c r="D627" t="s">
        <v>591</v>
      </c>
      <c r="E627" s="230">
        <v>0</v>
      </c>
      <c r="F627" t="s">
        <v>560</v>
      </c>
      <c r="G627" t="b">
        <v>1</v>
      </c>
      <c r="H627" t="s">
        <v>592</v>
      </c>
    </row>
    <row r="628" spans="1:8" x14ac:dyDescent="0.3">
      <c r="A628" t="s">
        <v>557</v>
      </c>
      <c r="B628" t="s">
        <v>571</v>
      </c>
      <c r="C628" t="s">
        <v>105</v>
      </c>
      <c r="D628" t="s">
        <v>591</v>
      </c>
      <c r="E628" s="230">
        <v>0</v>
      </c>
      <c r="F628" t="s">
        <v>560</v>
      </c>
      <c r="G628" t="b">
        <v>1</v>
      </c>
      <c r="H628" t="s">
        <v>592</v>
      </c>
    </row>
    <row r="629" spans="1:8" x14ac:dyDescent="0.3">
      <c r="A629" t="s">
        <v>557</v>
      </c>
      <c r="B629" t="s">
        <v>571</v>
      </c>
      <c r="C629" t="s">
        <v>108</v>
      </c>
      <c r="D629" t="s">
        <v>591</v>
      </c>
      <c r="E629" s="230">
        <v>0</v>
      </c>
      <c r="F629" t="s">
        <v>560</v>
      </c>
      <c r="G629" t="b">
        <v>1</v>
      </c>
      <c r="H629" t="s">
        <v>592</v>
      </c>
    </row>
    <row r="630" spans="1:8" x14ac:dyDescent="0.3">
      <c r="A630" t="s">
        <v>557</v>
      </c>
      <c r="B630" t="s">
        <v>571</v>
      </c>
      <c r="C630" t="s">
        <v>109</v>
      </c>
      <c r="D630" t="s">
        <v>591</v>
      </c>
      <c r="E630" s="230">
        <v>0</v>
      </c>
      <c r="F630" t="s">
        <v>560</v>
      </c>
      <c r="G630" t="b">
        <v>1</v>
      </c>
      <c r="H630" t="s">
        <v>592</v>
      </c>
    </row>
    <row r="631" spans="1:8" x14ac:dyDescent="0.3">
      <c r="A631" t="s">
        <v>557</v>
      </c>
      <c r="B631" t="s">
        <v>572</v>
      </c>
      <c r="C631" t="s">
        <v>112</v>
      </c>
      <c r="D631" t="s">
        <v>591</v>
      </c>
      <c r="E631" s="230">
        <v>37129.08</v>
      </c>
      <c r="F631" t="s">
        <v>560</v>
      </c>
      <c r="G631" t="b">
        <v>1</v>
      </c>
      <c r="H631" t="s">
        <v>592</v>
      </c>
    </row>
    <row r="632" spans="1:8" x14ac:dyDescent="0.3">
      <c r="A632" t="s">
        <v>557</v>
      </c>
      <c r="B632" t="s">
        <v>562</v>
      </c>
      <c r="C632" t="s">
        <v>116</v>
      </c>
      <c r="D632" t="s">
        <v>591</v>
      </c>
      <c r="E632" s="230">
        <v>7801.04</v>
      </c>
      <c r="F632" t="s">
        <v>560</v>
      </c>
      <c r="G632" t="b">
        <v>1</v>
      </c>
      <c r="H632" t="s">
        <v>592</v>
      </c>
    </row>
    <row r="633" spans="1:8" x14ac:dyDescent="0.3">
      <c r="A633" t="s">
        <v>557</v>
      </c>
      <c r="B633" t="s">
        <v>562</v>
      </c>
      <c r="C633" t="s">
        <v>118</v>
      </c>
      <c r="D633" t="s">
        <v>591</v>
      </c>
      <c r="E633" s="230">
        <v>5273.21</v>
      </c>
      <c r="F633" t="s">
        <v>560</v>
      </c>
      <c r="G633" t="b">
        <v>1</v>
      </c>
      <c r="H633" t="s">
        <v>592</v>
      </c>
    </row>
    <row r="634" spans="1:8" x14ac:dyDescent="0.3">
      <c r="A634" t="s">
        <v>557</v>
      </c>
      <c r="B634" t="s">
        <v>562</v>
      </c>
      <c r="C634" t="s">
        <v>120</v>
      </c>
      <c r="D634" t="s">
        <v>591</v>
      </c>
      <c r="E634" s="230">
        <v>0</v>
      </c>
      <c r="F634" t="s">
        <v>560</v>
      </c>
      <c r="G634" t="b">
        <v>1</v>
      </c>
      <c r="H634" t="s">
        <v>592</v>
      </c>
    </row>
    <row r="635" spans="1:8" x14ac:dyDescent="0.3">
      <c r="A635" t="s">
        <v>557</v>
      </c>
      <c r="B635" t="s">
        <v>562</v>
      </c>
      <c r="C635" t="s">
        <v>122</v>
      </c>
      <c r="D635" t="s">
        <v>591</v>
      </c>
      <c r="E635" s="230">
        <v>0</v>
      </c>
      <c r="F635" t="s">
        <v>560</v>
      </c>
      <c r="G635" t="b">
        <v>1</v>
      </c>
      <c r="H635" t="s">
        <v>592</v>
      </c>
    </row>
    <row r="636" spans="1:8" x14ac:dyDescent="0.3">
      <c r="A636" t="s">
        <v>557</v>
      </c>
      <c r="B636" t="s">
        <v>570</v>
      </c>
      <c r="C636" t="s">
        <v>573</v>
      </c>
      <c r="D636" t="s">
        <v>591</v>
      </c>
      <c r="E636" s="230">
        <v>33850</v>
      </c>
      <c r="F636" t="s">
        <v>560</v>
      </c>
      <c r="G636" t="b">
        <v>1</v>
      </c>
      <c r="H636" t="s">
        <v>592</v>
      </c>
    </row>
    <row r="637" spans="1:8" x14ac:dyDescent="0.3">
      <c r="A637" t="s">
        <v>557</v>
      </c>
      <c r="B637" t="s">
        <v>574</v>
      </c>
      <c r="C637" t="s">
        <v>575</v>
      </c>
      <c r="D637" t="s">
        <v>591</v>
      </c>
      <c r="E637" s="230">
        <v>36515.129999999997</v>
      </c>
      <c r="F637" t="s">
        <v>560</v>
      </c>
      <c r="G637" t="b">
        <v>1</v>
      </c>
      <c r="H637" t="s">
        <v>592</v>
      </c>
    </row>
    <row r="638" spans="1:8" x14ac:dyDescent="0.3">
      <c r="A638" t="s">
        <v>557</v>
      </c>
      <c r="B638" t="s">
        <v>576</v>
      </c>
      <c r="C638" t="s">
        <v>203</v>
      </c>
      <c r="D638" t="s">
        <v>591</v>
      </c>
      <c r="E638" s="230">
        <v>13766.55</v>
      </c>
      <c r="F638" t="s">
        <v>560</v>
      </c>
      <c r="G638" t="b">
        <v>1</v>
      </c>
      <c r="H638" t="s">
        <v>592</v>
      </c>
    </row>
    <row r="639" spans="1:8" x14ac:dyDescent="0.3">
      <c r="A639" t="s">
        <v>557</v>
      </c>
      <c r="B639" t="s">
        <v>577</v>
      </c>
      <c r="C639" t="s">
        <v>206</v>
      </c>
      <c r="D639" t="s">
        <v>591</v>
      </c>
      <c r="E639" s="230">
        <v>5344.19</v>
      </c>
      <c r="F639" t="s">
        <v>560</v>
      </c>
      <c r="G639" t="b">
        <v>1</v>
      </c>
      <c r="H639" t="s">
        <v>592</v>
      </c>
    </row>
    <row r="640" spans="1:8" x14ac:dyDescent="0.3">
      <c r="A640" t="s">
        <v>557</v>
      </c>
      <c r="B640" t="s">
        <v>577</v>
      </c>
      <c r="C640" t="s">
        <v>209</v>
      </c>
      <c r="D640" t="s">
        <v>591</v>
      </c>
      <c r="E640" s="230">
        <v>0</v>
      </c>
      <c r="F640" t="s">
        <v>560</v>
      </c>
      <c r="G640" t="b">
        <v>1</v>
      </c>
      <c r="H640" t="s">
        <v>592</v>
      </c>
    </row>
    <row r="641" spans="1:8" x14ac:dyDescent="0.3">
      <c r="A641" t="s">
        <v>557</v>
      </c>
      <c r="B641" t="s">
        <v>577</v>
      </c>
      <c r="C641" t="s">
        <v>211</v>
      </c>
      <c r="D641" t="s">
        <v>591</v>
      </c>
      <c r="E641" s="230">
        <v>0</v>
      </c>
      <c r="F641" t="s">
        <v>560</v>
      </c>
      <c r="G641" t="b">
        <v>1</v>
      </c>
      <c r="H641" t="s">
        <v>592</v>
      </c>
    </row>
    <row r="642" spans="1:8" x14ac:dyDescent="0.3">
      <c r="A642" t="s">
        <v>557</v>
      </c>
      <c r="B642" t="s">
        <v>577</v>
      </c>
      <c r="C642" t="s">
        <v>213</v>
      </c>
      <c r="D642" t="s">
        <v>591</v>
      </c>
      <c r="E642" s="230">
        <v>3299.45</v>
      </c>
      <c r="F642" t="s">
        <v>560</v>
      </c>
      <c r="G642" t="b">
        <v>1</v>
      </c>
      <c r="H642" t="s">
        <v>592</v>
      </c>
    </row>
    <row r="643" spans="1:8" x14ac:dyDescent="0.3">
      <c r="A643" t="s">
        <v>557</v>
      </c>
      <c r="B643" t="s">
        <v>577</v>
      </c>
      <c r="C643" t="s">
        <v>215</v>
      </c>
      <c r="D643" t="s">
        <v>591</v>
      </c>
      <c r="E643" s="230">
        <v>2043.63</v>
      </c>
      <c r="F643" t="s">
        <v>560</v>
      </c>
      <c r="G643" t="b">
        <v>1</v>
      </c>
      <c r="H643" t="s">
        <v>592</v>
      </c>
    </row>
    <row r="644" spans="1:8" x14ac:dyDescent="0.3">
      <c r="A644" t="s">
        <v>557</v>
      </c>
      <c r="B644" t="s">
        <v>577</v>
      </c>
      <c r="C644" t="s">
        <v>217</v>
      </c>
      <c r="D644" t="s">
        <v>591</v>
      </c>
      <c r="E644" s="230">
        <v>29.37</v>
      </c>
      <c r="F644" t="s">
        <v>560</v>
      </c>
      <c r="G644" t="b">
        <v>1</v>
      </c>
      <c r="H644" t="s">
        <v>592</v>
      </c>
    </row>
    <row r="645" spans="1:8" x14ac:dyDescent="0.3">
      <c r="A645" t="s">
        <v>557</v>
      </c>
      <c r="B645" t="s">
        <v>577</v>
      </c>
      <c r="C645" t="s">
        <v>219</v>
      </c>
      <c r="D645" t="s">
        <v>591</v>
      </c>
      <c r="E645" s="230">
        <v>18.190000000000001</v>
      </c>
      <c r="F645" t="s">
        <v>560</v>
      </c>
      <c r="G645" t="b">
        <v>1</v>
      </c>
      <c r="H645" t="s">
        <v>592</v>
      </c>
    </row>
    <row r="646" spans="1:8" x14ac:dyDescent="0.3">
      <c r="A646" t="s">
        <v>557</v>
      </c>
      <c r="B646" t="s">
        <v>577</v>
      </c>
      <c r="C646" t="s">
        <v>221</v>
      </c>
      <c r="D646" t="s">
        <v>591</v>
      </c>
      <c r="E646" s="230">
        <v>0</v>
      </c>
      <c r="F646" t="s">
        <v>560</v>
      </c>
      <c r="G646" t="b">
        <v>1</v>
      </c>
      <c r="H646" t="s">
        <v>592</v>
      </c>
    </row>
    <row r="647" spans="1:8" x14ac:dyDescent="0.3">
      <c r="A647" t="s">
        <v>557</v>
      </c>
      <c r="B647" t="s">
        <v>577</v>
      </c>
      <c r="C647" t="s">
        <v>223</v>
      </c>
      <c r="D647" t="s">
        <v>591</v>
      </c>
      <c r="E647" s="230">
        <v>0</v>
      </c>
      <c r="F647" t="s">
        <v>560</v>
      </c>
      <c r="G647" t="b">
        <v>1</v>
      </c>
      <c r="H647" t="s">
        <v>592</v>
      </c>
    </row>
    <row r="648" spans="1:8" x14ac:dyDescent="0.3">
      <c r="A648" t="s">
        <v>557</v>
      </c>
      <c r="B648" t="s">
        <v>577</v>
      </c>
      <c r="C648" t="s">
        <v>225</v>
      </c>
      <c r="D648" t="s">
        <v>591</v>
      </c>
      <c r="E648" s="230">
        <v>1104.6600000000001</v>
      </c>
      <c r="F648" t="s">
        <v>560</v>
      </c>
      <c r="G648" t="b">
        <v>1</v>
      </c>
      <c r="H648" t="s">
        <v>592</v>
      </c>
    </row>
    <row r="649" spans="1:8" x14ac:dyDescent="0.3">
      <c r="A649" t="s">
        <v>557</v>
      </c>
      <c r="B649" t="s">
        <v>577</v>
      </c>
      <c r="C649" t="s">
        <v>227</v>
      </c>
      <c r="D649" t="s">
        <v>591</v>
      </c>
      <c r="E649" s="230">
        <v>0</v>
      </c>
      <c r="F649" t="s">
        <v>560</v>
      </c>
      <c r="G649" t="b">
        <v>1</v>
      </c>
      <c r="H649" t="s">
        <v>592</v>
      </c>
    </row>
    <row r="650" spans="1:8" x14ac:dyDescent="0.3">
      <c r="A650" t="s">
        <v>557</v>
      </c>
      <c r="B650" t="s">
        <v>577</v>
      </c>
      <c r="C650" t="s">
        <v>229</v>
      </c>
      <c r="D650" t="s">
        <v>591</v>
      </c>
      <c r="E650" s="230">
        <v>1833.34</v>
      </c>
      <c r="F650" t="s">
        <v>560</v>
      </c>
      <c r="G650" t="b">
        <v>1</v>
      </c>
      <c r="H650" t="s">
        <v>592</v>
      </c>
    </row>
    <row r="651" spans="1:8" x14ac:dyDescent="0.3">
      <c r="A651" t="s">
        <v>557</v>
      </c>
      <c r="B651" t="s">
        <v>577</v>
      </c>
      <c r="C651" t="s">
        <v>231</v>
      </c>
      <c r="D651" t="s">
        <v>591</v>
      </c>
      <c r="E651" s="230">
        <v>1908.05</v>
      </c>
      <c r="F651" t="s">
        <v>560</v>
      </c>
      <c r="G651" t="b">
        <v>1</v>
      </c>
      <c r="H651" t="s">
        <v>592</v>
      </c>
    </row>
    <row r="652" spans="1:8" x14ac:dyDescent="0.3">
      <c r="A652" t="s">
        <v>557</v>
      </c>
      <c r="B652" t="s">
        <v>577</v>
      </c>
      <c r="C652" t="s">
        <v>234</v>
      </c>
      <c r="D652" t="s">
        <v>591</v>
      </c>
      <c r="E652" s="230">
        <v>248.97</v>
      </c>
      <c r="F652" t="s">
        <v>560</v>
      </c>
      <c r="G652" t="b">
        <v>1</v>
      </c>
      <c r="H652" t="s">
        <v>592</v>
      </c>
    </row>
    <row r="653" spans="1:8" x14ac:dyDescent="0.3">
      <c r="A653" t="s">
        <v>557</v>
      </c>
      <c r="B653" t="s">
        <v>577</v>
      </c>
      <c r="C653" t="s">
        <v>236</v>
      </c>
      <c r="D653" t="s">
        <v>591</v>
      </c>
      <c r="E653" s="230">
        <v>0</v>
      </c>
      <c r="F653" t="s">
        <v>560</v>
      </c>
      <c r="G653" t="b">
        <v>1</v>
      </c>
      <c r="H653" t="s">
        <v>592</v>
      </c>
    </row>
    <row r="654" spans="1:8" x14ac:dyDescent="0.3">
      <c r="A654" t="s">
        <v>557</v>
      </c>
      <c r="B654" t="s">
        <v>577</v>
      </c>
      <c r="C654" t="s">
        <v>237</v>
      </c>
      <c r="D654" t="s">
        <v>591</v>
      </c>
      <c r="E654" s="230">
        <v>0</v>
      </c>
      <c r="F654" t="s">
        <v>560</v>
      </c>
      <c r="G654" t="b">
        <v>1</v>
      </c>
      <c r="H654" t="s">
        <v>592</v>
      </c>
    </row>
    <row r="655" spans="1:8" x14ac:dyDescent="0.3">
      <c r="A655" t="s">
        <v>557</v>
      </c>
      <c r="B655" t="s">
        <v>578</v>
      </c>
      <c r="C655" t="s">
        <v>239</v>
      </c>
      <c r="D655" t="s">
        <v>591</v>
      </c>
      <c r="E655" s="230">
        <v>4500</v>
      </c>
      <c r="F655" t="s">
        <v>560</v>
      </c>
      <c r="G655" t="b">
        <v>1</v>
      </c>
      <c r="H655" t="s">
        <v>592</v>
      </c>
    </row>
    <row r="656" spans="1:8" x14ac:dyDescent="0.3">
      <c r="A656" t="s">
        <v>557</v>
      </c>
      <c r="B656" t="s">
        <v>578</v>
      </c>
      <c r="C656" t="s">
        <v>240</v>
      </c>
      <c r="D656" t="s">
        <v>591</v>
      </c>
      <c r="E656" s="230">
        <v>0</v>
      </c>
      <c r="F656" t="s">
        <v>560</v>
      </c>
      <c r="G656" t="b">
        <v>1</v>
      </c>
      <c r="H656" t="s">
        <v>592</v>
      </c>
    </row>
    <row r="657" spans="1:8" x14ac:dyDescent="0.3">
      <c r="A657" t="s">
        <v>557</v>
      </c>
      <c r="B657" t="s">
        <v>578</v>
      </c>
      <c r="C657" t="s">
        <v>241</v>
      </c>
      <c r="D657" t="s">
        <v>591</v>
      </c>
      <c r="E657" s="230">
        <v>0</v>
      </c>
      <c r="F657" t="s">
        <v>560</v>
      </c>
      <c r="G657" t="b">
        <v>1</v>
      </c>
      <c r="H657" t="s">
        <v>592</v>
      </c>
    </row>
    <row r="658" spans="1:8" x14ac:dyDescent="0.3">
      <c r="A658" t="s">
        <v>557</v>
      </c>
      <c r="B658" t="s">
        <v>578</v>
      </c>
      <c r="C658" t="s">
        <v>242</v>
      </c>
      <c r="D658" t="s">
        <v>591</v>
      </c>
      <c r="E658" s="230">
        <v>150</v>
      </c>
      <c r="F658" t="s">
        <v>560</v>
      </c>
      <c r="G658" t="b">
        <v>1</v>
      </c>
      <c r="H658" t="s">
        <v>592</v>
      </c>
    </row>
    <row r="659" spans="1:8" x14ac:dyDescent="0.3">
      <c r="A659" t="s">
        <v>557</v>
      </c>
      <c r="B659" t="s">
        <v>578</v>
      </c>
      <c r="C659" t="s">
        <v>244</v>
      </c>
      <c r="D659" t="s">
        <v>591</v>
      </c>
      <c r="E659" s="230">
        <v>0</v>
      </c>
      <c r="F659" t="s">
        <v>560</v>
      </c>
      <c r="G659" t="b">
        <v>1</v>
      </c>
      <c r="H659" t="s">
        <v>592</v>
      </c>
    </row>
    <row r="660" spans="1:8" x14ac:dyDescent="0.3">
      <c r="A660" t="s">
        <v>557</v>
      </c>
      <c r="B660" t="s">
        <v>578</v>
      </c>
      <c r="C660" t="s">
        <v>246</v>
      </c>
      <c r="D660" t="s">
        <v>591</v>
      </c>
      <c r="E660" s="230">
        <v>0</v>
      </c>
      <c r="F660" t="s">
        <v>560</v>
      </c>
      <c r="G660" t="b">
        <v>1</v>
      </c>
      <c r="H660" t="s">
        <v>592</v>
      </c>
    </row>
    <row r="661" spans="1:8" x14ac:dyDescent="0.3">
      <c r="A661" t="s">
        <v>557</v>
      </c>
      <c r="B661" t="s">
        <v>578</v>
      </c>
      <c r="C661" t="s">
        <v>247</v>
      </c>
      <c r="D661" t="s">
        <v>591</v>
      </c>
      <c r="E661" s="230">
        <v>74.16</v>
      </c>
      <c r="F661" t="s">
        <v>560</v>
      </c>
      <c r="G661" t="b">
        <v>1</v>
      </c>
      <c r="H661" t="s">
        <v>592</v>
      </c>
    </row>
    <row r="662" spans="1:8" x14ac:dyDescent="0.3">
      <c r="A662" t="s">
        <v>557</v>
      </c>
      <c r="B662" t="s">
        <v>578</v>
      </c>
      <c r="C662" t="s">
        <v>249</v>
      </c>
      <c r="D662" t="s">
        <v>591</v>
      </c>
      <c r="E662" s="230">
        <v>0</v>
      </c>
      <c r="F662" t="s">
        <v>560</v>
      </c>
      <c r="G662" t="b">
        <v>1</v>
      </c>
      <c r="H662" t="s">
        <v>592</v>
      </c>
    </row>
    <row r="663" spans="1:8" x14ac:dyDescent="0.3">
      <c r="A663" t="s">
        <v>557</v>
      </c>
      <c r="B663" t="s">
        <v>578</v>
      </c>
      <c r="C663" t="s">
        <v>250</v>
      </c>
      <c r="D663" t="s">
        <v>591</v>
      </c>
      <c r="E663" s="230">
        <v>0</v>
      </c>
      <c r="F663" t="s">
        <v>560</v>
      </c>
      <c r="G663" t="b">
        <v>1</v>
      </c>
      <c r="H663" t="s">
        <v>592</v>
      </c>
    </row>
    <row r="664" spans="1:8" x14ac:dyDescent="0.3">
      <c r="A664" t="s">
        <v>557</v>
      </c>
      <c r="B664" t="s">
        <v>578</v>
      </c>
      <c r="C664" t="s">
        <v>251</v>
      </c>
      <c r="D664" t="s">
        <v>591</v>
      </c>
      <c r="E664" s="230">
        <v>0</v>
      </c>
      <c r="F664" t="s">
        <v>560</v>
      </c>
      <c r="G664" t="b">
        <v>1</v>
      </c>
      <c r="H664" t="s">
        <v>592</v>
      </c>
    </row>
    <row r="665" spans="1:8" x14ac:dyDescent="0.3">
      <c r="A665" t="s">
        <v>557</v>
      </c>
      <c r="B665" t="s">
        <v>578</v>
      </c>
      <c r="C665" t="s">
        <v>252</v>
      </c>
      <c r="D665" t="s">
        <v>591</v>
      </c>
      <c r="E665" s="230">
        <v>16849.7</v>
      </c>
      <c r="F665" t="s">
        <v>560</v>
      </c>
      <c r="G665" t="b">
        <v>1</v>
      </c>
      <c r="H665" t="s">
        <v>592</v>
      </c>
    </row>
    <row r="666" spans="1:8" x14ac:dyDescent="0.3">
      <c r="A666" t="s">
        <v>557</v>
      </c>
      <c r="B666" t="s">
        <v>579</v>
      </c>
      <c r="C666" t="s">
        <v>253</v>
      </c>
      <c r="D666" t="s">
        <v>591</v>
      </c>
      <c r="E666" s="230">
        <v>0</v>
      </c>
      <c r="F666" t="s">
        <v>560</v>
      </c>
      <c r="G666" t="b">
        <v>1</v>
      </c>
      <c r="H666" t="s">
        <v>592</v>
      </c>
    </row>
    <row r="667" spans="1:8" x14ac:dyDescent="0.3">
      <c r="A667" t="s">
        <v>557</v>
      </c>
      <c r="B667" t="s">
        <v>256</v>
      </c>
      <c r="C667" t="s">
        <v>257</v>
      </c>
      <c r="D667" t="s">
        <v>591</v>
      </c>
      <c r="E667" s="230">
        <v>51452.1</v>
      </c>
      <c r="F667" t="s">
        <v>560</v>
      </c>
      <c r="G667" t="b">
        <v>1</v>
      </c>
      <c r="H667" t="s">
        <v>592</v>
      </c>
    </row>
    <row r="668" spans="1:8" x14ac:dyDescent="0.3">
      <c r="A668" t="s">
        <v>557</v>
      </c>
      <c r="B668" t="s">
        <v>256</v>
      </c>
      <c r="C668" t="s">
        <v>258</v>
      </c>
      <c r="D668" t="s">
        <v>591</v>
      </c>
      <c r="E668" s="230">
        <v>0</v>
      </c>
      <c r="F668" t="s">
        <v>560</v>
      </c>
      <c r="G668" t="b">
        <v>1</v>
      </c>
      <c r="H668" t="s">
        <v>592</v>
      </c>
    </row>
    <row r="669" spans="1:8" x14ac:dyDescent="0.3">
      <c r="A669" t="s">
        <v>557</v>
      </c>
      <c r="B669" t="s">
        <v>256</v>
      </c>
      <c r="C669" t="s">
        <v>259</v>
      </c>
      <c r="D669" t="s">
        <v>591</v>
      </c>
      <c r="E669" s="230">
        <v>2847.92</v>
      </c>
      <c r="F669" t="s">
        <v>560</v>
      </c>
      <c r="G669" t="b">
        <v>1</v>
      </c>
      <c r="H669" t="s">
        <v>592</v>
      </c>
    </row>
    <row r="670" spans="1:8" x14ac:dyDescent="0.3">
      <c r="A670" t="s">
        <v>557</v>
      </c>
      <c r="B670" t="s">
        <v>256</v>
      </c>
      <c r="C670" t="s">
        <v>260</v>
      </c>
      <c r="D670" t="s">
        <v>591</v>
      </c>
      <c r="E670" s="230">
        <v>0</v>
      </c>
      <c r="F670" t="s">
        <v>560</v>
      </c>
      <c r="G670" t="b">
        <v>1</v>
      </c>
      <c r="H670" t="s">
        <v>592</v>
      </c>
    </row>
    <row r="671" spans="1:8" x14ac:dyDescent="0.3">
      <c r="A671" t="s">
        <v>557</v>
      </c>
      <c r="B671" t="s">
        <v>256</v>
      </c>
      <c r="C671" t="s">
        <v>261</v>
      </c>
      <c r="D671" t="s">
        <v>591</v>
      </c>
      <c r="E671" s="230">
        <v>0</v>
      </c>
      <c r="F671" t="s">
        <v>560</v>
      </c>
      <c r="G671" t="b">
        <v>1</v>
      </c>
      <c r="H671" t="s">
        <v>592</v>
      </c>
    </row>
    <row r="672" spans="1:8" x14ac:dyDescent="0.3">
      <c r="A672" t="s">
        <v>557</v>
      </c>
      <c r="B672" t="s">
        <v>256</v>
      </c>
      <c r="C672" t="s">
        <v>262</v>
      </c>
      <c r="D672" t="s">
        <v>591</v>
      </c>
      <c r="E672" s="230">
        <v>0</v>
      </c>
      <c r="F672" t="s">
        <v>560</v>
      </c>
      <c r="G672" t="b">
        <v>1</v>
      </c>
      <c r="H672" t="s">
        <v>592</v>
      </c>
    </row>
    <row r="673" spans="1:8" x14ac:dyDescent="0.3">
      <c r="A673" t="s">
        <v>557</v>
      </c>
      <c r="B673" t="s">
        <v>256</v>
      </c>
      <c r="C673" t="s">
        <v>263</v>
      </c>
      <c r="D673" t="s">
        <v>591</v>
      </c>
      <c r="E673" s="230">
        <v>0</v>
      </c>
      <c r="F673" t="s">
        <v>560</v>
      </c>
      <c r="G673" t="b">
        <v>1</v>
      </c>
      <c r="H673" t="s">
        <v>592</v>
      </c>
    </row>
    <row r="674" spans="1:8" x14ac:dyDescent="0.3">
      <c r="A674" t="s">
        <v>557</v>
      </c>
      <c r="B674" t="s">
        <v>264</v>
      </c>
      <c r="C674" t="s">
        <v>265</v>
      </c>
      <c r="D674" t="s">
        <v>591</v>
      </c>
      <c r="E674" s="230">
        <v>5229.4399999999996</v>
      </c>
      <c r="F674" t="s">
        <v>560</v>
      </c>
      <c r="G674" t="b">
        <v>1</v>
      </c>
      <c r="H674" t="s">
        <v>592</v>
      </c>
    </row>
    <row r="675" spans="1:8" x14ac:dyDescent="0.3">
      <c r="A675" t="s">
        <v>557</v>
      </c>
      <c r="B675" t="s">
        <v>264</v>
      </c>
      <c r="C675" t="s">
        <v>266</v>
      </c>
      <c r="D675" t="s">
        <v>591</v>
      </c>
      <c r="E675" s="230">
        <v>11079.44</v>
      </c>
      <c r="F675" t="s">
        <v>560</v>
      </c>
      <c r="G675" t="b">
        <v>1</v>
      </c>
      <c r="H675" t="s">
        <v>592</v>
      </c>
    </row>
    <row r="676" spans="1:8" x14ac:dyDescent="0.3">
      <c r="A676" t="s">
        <v>557</v>
      </c>
      <c r="B676" t="s">
        <v>264</v>
      </c>
      <c r="C676" t="s">
        <v>267</v>
      </c>
      <c r="D676" t="s">
        <v>591</v>
      </c>
      <c r="E676" s="230">
        <v>6929.44</v>
      </c>
      <c r="F676" t="s">
        <v>560</v>
      </c>
      <c r="G676" t="b">
        <v>1</v>
      </c>
      <c r="H676" t="s">
        <v>592</v>
      </c>
    </row>
    <row r="677" spans="1:8" x14ac:dyDescent="0.3">
      <c r="A677" t="s">
        <v>557</v>
      </c>
      <c r="B677" t="s">
        <v>264</v>
      </c>
      <c r="C677" t="s">
        <v>268</v>
      </c>
      <c r="D677" t="s">
        <v>591</v>
      </c>
      <c r="E677" s="230">
        <v>6529.44</v>
      </c>
      <c r="F677" t="s">
        <v>560</v>
      </c>
      <c r="G677" t="b">
        <v>1</v>
      </c>
      <c r="H677" t="s">
        <v>592</v>
      </c>
    </row>
    <row r="678" spans="1:8" x14ac:dyDescent="0.3">
      <c r="A678" t="s">
        <v>557</v>
      </c>
      <c r="B678" t="s">
        <v>264</v>
      </c>
      <c r="C678" t="s">
        <v>269</v>
      </c>
      <c r="D678" t="s">
        <v>591</v>
      </c>
      <c r="E678" s="230">
        <v>579.44000000000005</v>
      </c>
      <c r="F678" t="s">
        <v>560</v>
      </c>
      <c r="G678" t="b">
        <v>1</v>
      </c>
      <c r="H678" t="s">
        <v>592</v>
      </c>
    </row>
    <row r="679" spans="1:8" x14ac:dyDescent="0.3">
      <c r="A679" t="s">
        <v>557</v>
      </c>
      <c r="B679" t="s">
        <v>264</v>
      </c>
      <c r="C679" t="s">
        <v>270</v>
      </c>
      <c r="D679" t="s">
        <v>591</v>
      </c>
      <c r="E679" s="230">
        <v>561</v>
      </c>
      <c r="F679" t="s">
        <v>560</v>
      </c>
      <c r="G679" t="b">
        <v>1</v>
      </c>
      <c r="H679" t="s">
        <v>592</v>
      </c>
    </row>
    <row r="680" spans="1:8" x14ac:dyDescent="0.3">
      <c r="A680" t="s">
        <v>557</v>
      </c>
      <c r="B680" t="s">
        <v>264</v>
      </c>
      <c r="C680" t="s">
        <v>271</v>
      </c>
      <c r="D680" t="s">
        <v>591</v>
      </c>
      <c r="E680" s="230">
        <v>1229.44</v>
      </c>
      <c r="F680" t="s">
        <v>560</v>
      </c>
      <c r="G680" t="b">
        <v>1</v>
      </c>
      <c r="H680" t="s">
        <v>592</v>
      </c>
    </row>
    <row r="681" spans="1:8" x14ac:dyDescent="0.3">
      <c r="A681" t="s">
        <v>557</v>
      </c>
      <c r="B681" t="s">
        <v>264</v>
      </c>
      <c r="C681" t="s">
        <v>272</v>
      </c>
      <c r="D681" t="s">
        <v>591</v>
      </c>
      <c r="E681" s="230">
        <v>2329.44</v>
      </c>
      <c r="F681" t="s">
        <v>560</v>
      </c>
      <c r="G681" t="b">
        <v>1</v>
      </c>
      <c r="H681" t="s">
        <v>592</v>
      </c>
    </row>
    <row r="682" spans="1:8" x14ac:dyDescent="0.3">
      <c r="A682" t="s">
        <v>557</v>
      </c>
      <c r="B682" t="s">
        <v>264</v>
      </c>
      <c r="C682" t="s">
        <v>273</v>
      </c>
      <c r="D682" t="s">
        <v>591</v>
      </c>
      <c r="E682" s="230">
        <v>229.44</v>
      </c>
      <c r="F682" t="s">
        <v>560</v>
      </c>
      <c r="G682" t="b">
        <v>1</v>
      </c>
      <c r="H682" t="s">
        <v>592</v>
      </c>
    </row>
    <row r="683" spans="1:8" x14ac:dyDescent="0.3">
      <c r="A683" t="s">
        <v>557</v>
      </c>
      <c r="B683" t="s">
        <v>264</v>
      </c>
      <c r="C683" t="s">
        <v>580</v>
      </c>
      <c r="D683" t="s">
        <v>591</v>
      </c>
      <c r="E683" s="230">
        <v>229.44</v>
      </c>
      <c r="F683" t="s">
        <v>560</v>
      </c>
      <c r="G683" t="b">
        <v>1</v>
      </c>
      <c r="H683" t="s">
        <v>592</v>
      </c>
    </row>
    <row r="684" spans="1:8" x14ac:dyDescent="0.3">
      <c r="A684" t="s">
        <v>557</v>
      </c>
      <c r="B684" t="s">
        <v>264</v>
      </c>
      <c r="C684" t="s">
        <v>275</v>
      </c>
      <c r="D684" t="s">
        <v>591</v>
      </c>
      <c r="E684" s="230">
        <v>1229.44</v>
      </c>
      <c r="F684" t="s">
        <v>560</v>
      </c>
      <c r="G684" t="b">
        <v>1</v>
      </c>
      <c r="H684" t="s">
        <v>592</v>
      </c>
    </row>
    <row r="685" spans="1:8" x14ac:dyDescent="0.3">
      <c r="A685" t="s">
        <v>557</v>
      </c>
      <c r="B685" t="s">
        <v>264</v>
      </c>
      <c r="C685" t="s">
        <v>276</v>
      </c>
      <c r="D685" t="s">
        <v>591</v>
      </c>
      <c r="E685" s="230">
        <v>1428</v>
      </c>
      <c r="F685" t="s">
        <v>560</v>
      </c>
      <c r="G685" t="b">
        <v>1</v>
      </c>
      <c r="H685" t="s">
        <v>592</v>
      </c>
    </row>
    <row r="686" spans="1:8" x14ac:dyDescent="0.3">
      <c r="A686" t="s">
        <v>557</v>
      </c>
      <c r="B686" t="s">
        <v>264</v>
      </c>
      <c r="C686" t="s">
        <v>277</v>
      </c>
      <c r="D686" t="s">
        <v>591</v>
      </c>
      <c r="E686" s="230">
        <v>250</v>
      </c>
      <c r="F686" t="s">
        <v>560</v>
      </c>
      <c r="G686" t="b">
        <v>1</v>
      </c>
      <c r="H686" t="s">
        <v>592</v>
      </c>
    </row>
    <row r="687" spans="1:8" x14ac:dyDescent="0.3">
      <c r="A687" t="s">
        <v>557</v>
      </c>
      <c r="B687" t="s">
        <v>264</v>
      </c>
      <c r="C687" t="s">
        <v>278</v>
      </c>
      <c r="D687" t="s">
        <v>591</v>
      </c>
      <c r="E687" s="230">
        <v>3329.44</v>
      </c>
      <c r="F687" t="s">
        <v>560</v>
      </c>
      <c r="G687" t="b">
        <v>1</v>
      </c>
      <c r="H687" t="s">
        <v>592</v>
      </c>
    </row>
    <row r="688" spans="1:8" x14ac:dyDescent="0.3">
      <c r="A688" t="s">
        <v>557</v>
      </c>
      <c r="B688" t="s">
        <v>279</v>
      </c>
      <c r="C688" t="s">
        <v>280</v>
      </c>
      <c r="D688" t="s">
        <v>591</v>
      </c>
      <c r="E688" s="230">
        <v>0</v>
      </c>
      <c r="F688" t="s">
        <v>560</v>
      </c>
      <c r="G688" t="b">
        <v>1</v>
      </c>
      <c r="H688" t="s">
        <v>592</v>
      </c>
    </row>
    <row r="689" spans="1:8" x14ac:dyDescent="0.3">
      <c r="A689" t="s">
        <v>557</v>
      </c>
      <c r="B689" t="s">
        <v>279</v>
      </c>
      <c r="C689" t="s">
        <v>281</v>
      </c>
      <c r="D689" t="s">
        <v>591</v>
      </c>
      <c r="E689" s="230">
        <v>608.54999999999995</v>
      </c>
      <c r="F689" t="s">
        <v>560</v>
      </c>
      <c r="G689" t="b">
        <v>1</v>
      </c>
      <c r="H689" t="s">
        <v>592</v>
      </c>
    </row>
    <row r="690" spans="1:8" x14ac:dyDescent="0.3">
      <c r="A690" t="s">
        <v>557</v>
      </c>
      <c r="B690" t="s">
        <v>279</v>
      </c>
      <c r="C690" t="s">
        <v>282</v>
      </c>
      <c r="D690" t="s">
        <v>591</v>
      </c>
      <c r="E690" s="230">
        <v>416.13</v>
      </c>
      <c r="F690" t="s">
        <v>560</v>
      </c>
      <c r="G690" t="b">
        <v>1</v>
      </c>
      <c r="H690" t="s">
        <v>592</v>
      </c>
    </row>
    <row r="691" spans="1:8" x14ac:dyDescent="0.3">
      <c r="A691" t="s">
        <v>557</v>
      </c>
      <c r="B691" t="s">
        <v>279</v>
      </c>
      <c r="C691" t="s">
        <v>283</v>
      </c>
      <c r="D691" t="s">
        <v>591</v>
      </c>
      <c r="E691" s="230">
        <v>0</v>
      </c>
      <c r="F691" t="s">
        <v>560</v>
      </c>
      <c r="G691" t="b">
        <v>1</v>
      </c>
      <c r="H691" t="s">
        <v>592</v>
      </c>
    </row>
    <row r="692" spans="1:8" x14ac:dyDescent="0.3">
      <c r="A692" t="s">
        <v>557</v>
      </c>
      <c r="B692" t="s">
        <v>279</v>
      </c>
      <c r="C692" t="s">
        <v>284</v>
      </c>
      <c r="D692" t="s">
        <v>591</v>
      </c>
      <c r="E692" s="230">
        <v>2614.5</v>
      </c>
      <c r="F692" t="s">
        <v>560</v>
      </c>
      <c r="G692" t="b">
        <v>1</v>
      </c>
      <c r="H692" t="s">
        <v>592</v>
      </c>
    </row>
    <row r="693" spans="1:8" x14ac:dyDescent="0.3">
      <c r="A693" t="s">
        <v>557</v>
      </c>
      <c r="B693" t="s">
        <v>279</v>
      </c>
      <c r="C693" t="s">
        <v>285</v>
      </c>
      <c r="D693" t="s">
        <v>591</v>
      </c>
      <c r="E693" s="230">
        <v>408.45</v>
      </c>
      <c r="F693" t="s">
        <v>560</v>
      </c>
      <c r="G693" t="b">
        <v>1</v>
      </c>
      <c r="H693" t="s">
        <v>592</v>
      </c>
    </row>
    <row r="694" spans="1:8" x14ac:dyDescent="0.3">
      <c r="A694" t="s">
        <v>557</v>
      </c>
      <c r="B694" t="s">
        <v>279</v>
      </c>
      <c r="C694" t="s">
        <v>286</v>
      </c>
      <c r="D694" t="s">
        <v>591</v>
      </c>
      <c r="E694" s="230">
        <v>1017.45</v>
      </c>
      <c r="F694" t="s">
        <v>560</v>
      </c>
      <c r="G694" t="b">
        <v>1</v>
      </c>
      <c r="H694" t="s">
        <v>592</v>
      </c>
    </row>
    <row r="695" spans="1:8" x14ac:dyDescent="0.3">
      <c r="A695" t="s">
        <v>557</v>
      </c>
      <c r="B695" t="s">
        <v>581</v>
      </c>
      <c r="C695" t="s">
        <v>288</v>
      </c>
      <c r="D695" t="s">
        <v>591</v>
      </c>
      <c r="E695" s="230">
        <v>4188.33</v>
      </c>
      <c r="F695" t="s">
        <v>560</v>
      </c>
      <c r="G695" t="b">
        <v>1</v>
      </c>
      <c r="H695" t="s">
        <v>592</v>
      </c>
    </row>
    <row r="696" spans="1:8" x14ac:dyDescent="0.3">
      <c r="A696" t="s">
        <v>557</v>
      </c>
      <c r="B696" t="s">
        <v>581</v>
      </c>
      <c r="C696" t="s">
        <v>289</v>
      </c>
      <c r="D696" t="s">
        <v>591</v>
      </c>
      <c r="E696" s="230">
        <v>1291.78</v>
      </c>
      <c r="F696" t="s">
        <v>560</v>
      </c>
      <c r="G696" t="b">
        <v>1</v>
      </c>
      <c r="H696" t="s">
        <v>592</v>
      </c>
    </row>
    <row r="697" spans="1:8" x14ac:dyDescent="0.3">
      <c r="A697" t="s">
        <v>557</v>
      </c>
      <c r="B697" t="s">
        <v>581</v>
      </c>
      <c r="C697" t="s">
        <v>290</v>
      </c>
      <c r="D697" t="s">
        <v>591</v>
      </c>
      <c r="E697" s="230">
        <v>1091.78</v>
      </c>
      <c r="F697" t="s">
        <v>560</v>
      </c>
      <c r="G697" t="b">
        <v>1</v>
      </c>
      <c r="H697" t="s">
        <v>592</v>
      </c>
    </row>
    <row r="698" spans="1:8" x14ac:dyDescent="0.3">
      <c r="A698" t="s">
        <v>557</v>
      </c>
      <c r="B698" t="s">
        <v>581</v>
      </c>
      <c r="C698" t="s">
        <v>291</v>
      </c>
      <c r="D698" t="s">
        <v>591</v>
      </c>
      <c r="E698" s="230">
        <v>391.78</v>
      </c>
      <c r="F698" t="s">
        <v>560</v>
      </c>
      <c r="G698" t="b">
        <v>1</v>
      </c>
      <c r="H698" t="s">
        <v>592</v>
      </c>
    </row>
    <row r="699" spans="1:8" x14ac:dyDescent="0.3">
      <c r="A699" t="s">
        <v>557</v>
      </c>
      <c r="B699" t="s">
        <v>581</v>
      </c>
      <c r="C699" t="s">
        <v>292</v>
      </c>
      <c r="D699" t="s">
        <v>591</v>
      </c>
      <c r="E699" s="230">
        <v>0</v>
      </c>
      <c r="F699" t="s">
        <v>560</v>
      </c>
      <c r="G699" t="b">
        <v>1</v>
      </c>
      <c r="H699" t="s">
        <v>592</v>
      </c>
    </row>
    <row r="700" spans="1:8" x14ac:dyDescent="0.3">
      <c r="A700" t="s">
        <v>557</v>
      </c>
      <c r="B700" t="s">
        <v>582</v>
      </c>
      <c r="C700" t="s">
        <v>293</v>
      </c>
      <c r="D700" t="s">
        <v>591</v>
      </c>
      <c r="E700" s="230">
        <v>591.78</v>
      </c>
      <c r="F700" t="s">
        <v>560</v>
      </c>
      <c r="G700" t="b">
        <v>1</v>
      </c>
      <c r="H700" t="s">
        <v>592</v>
      </c>
    </row>
    <row r="701" spans="1:8" x14ac:dyDescent="0.3">
      <c r="A701" t="s">
        <v>557</v>
      </c>
      <c r="B701" t="s">
        <v>582</v>
      </c>
      <c r="C701" t="s">
        <v>294</v>
      </c>
      <c r="D701" t="s">
        <v>591</v>
      </c>
      <c r="E701" s="230">
        <v>0</v>
      </c>
      <c r="F701" t="s">
        <v>560</v>
      </c>
      <c r="G701" t="b">
        <v>1</v>
      </c>
      <c r="H701" t="s">
        <v>592</v>
      </c>
    </row>
    <row r="702" spans="1:8" x14ac:dyDescent="0.3">
      <c r="A702" t="s">
        <v>557</v>
      </c>
      <c r="B702" t="s">
        <v>582</v>
      </c>
      <c r="C702" t="s">
        <v>295</v>
      </c>
      <c r="D702" t="s">
        <v>591</v>
      </c>
      <c r="E702" s="230">
        <v>0</v>
      </c>
      <c r="F702" t="s">
        <v>560</v>
      </c>
      <c r="G702" t="b">
        <v>1</v>
      </c>
      <c r="H702" t="s">
        <v>592</v>
      </c>
    </row>
    <row r="703" spans="1:8" x14ac:dyDescent="0.3">
      <c r="A703" t="s">
        <v>557</v>
      </c>
      <c r="B703" t="s">
        <v>296</v>
      </c>
      <c r="C703" t="s">
        <v>297</v>
      </c>
      <c r="D703" t="s">
        <v>591</v>
      </c>
      <c r="E703" s="230">
        <v>4200</v>
      </c>
      <c r="F703" t="s">
        <v>560</v>
      </c>
      <c r="G703" t="b">
        <v>1</v>
      </c>
      <c r="H703" t="s">
        <v>592</v>
      </c>
    </row>
    <row r="704" spans="1:8" x14ac:dyDescent="0.3">
      <c r="A704" t="s">
        <v>557</v>
      </c>
      <c r="B704" t="s">
        <v>296</v>
      </c>
      <c r="C704" t="s">
        <v>298</v>
      </c>
      <c r="D704" t="s">
        <v>591</v>
      </c>
      <c r="E704" s="230">
        <v>525</v>
      </c>
      <c r="F704" t="s">
        <v>560</v>
      </c>
      <c r="G704" t="b">
        <v>1</v>
      </c>
      <c r="H704" t="s">
        <v>592</v>
      </c>
    </row>
    <row r="705" spans="1:8" x14ac:dyDescent="0.3">
      <c r="A705" t="s">
        <v>557</v>
      </c>
      <c r="B705" t="s">
        <v>296</v>
      </c>
      <c r="C705" t="s">
        <v>299</v>
      </c>
      <c r="D705" t="s">
        <v>591</v>
      </c>
      <c r="E705" s="230">
        <v>0</v>
      </c>
      <c r="F705" t="s">
        <v>560</v>
      </c>
      <c r="G705" t="b">
        <v>1</v>
      </c>
      <c r="H705" t="s">
        <v>592</v>
      </c>
    </row>
    <row r="706" spans="1:8" x14ac:dyDescent="0.3">
      <c r="A706" t="s">
        <v>557</v>
      </c>
      <c r="B706" t="s">
        <v>296</v>
      </c>
      <c r="C706" t="s">
        <v>300</v>
      </c>
      <c r="D706" t="s">
        <v>591</v>
      </c>
      <c r="E706" s="230">
        <v>0</v>
      </c>
      <c r="F706" t="s">
        <v>560</v>
      </c>
      <c r="G706" t="b">
        <v>1</v>
      </c>
      <c r="H706" t="s">
        <v>592</v>
      </c>
    </row>
    <row r="707" spans="1:8" x14ac:dyDescent="0.3">
      <c r="A707" t="s">
        <v>557</v>
      </c>
      <c r="B707" t="s">
        <v>296</v>
      </c>
      <c r="C707" t="s">
        <v>301</v>
      </c>
      <c r="D707" t="s">
        <v>591</v>
      </c>
      <c r="E707" s="230">
        <v>1091.78</v>
      </c>
      <c r="F707" t="s">
        <v>560</v>
      </c>
      <c r="G707" t="b">
        <v>1</v>
      </c>
      <c r="H707" t="s">
        <v>592</v>
      </c>
    </row>
    <row r="708" spans="1:8" x14ac:dyDescent="0.3">
      <c r="A708" t="s">
        <v>557</v>
      </c>
      <c r="B708" t="s">
        <v>296</v>
      </c>
      <c r="C708" t="s">
        <v>302</v>
      </c>
      <c r="D708" t="s">
        <v>591</v>
      </c>
      <c r="E708" s="230">
        <v>0</v>
      </c>
      <c r="F708" t="s">
        <v>560</v>
      </c>
      <c r="G708" t="b">
        <v>1</v>
      </c>
      <c r="H708" t="s">
        <v>592</v>
      </c>
    </row>
    <row r="709" spans="1:8" x14ac:dyDescent="0.3">
      <c r="A709" t="s">
        <v>557</v>
      </c>
      <c r="B709" t="s">
        <v>296</v>
      </c>
      <c r="C709" t="s">
        <v>303</v>
      </c>
      <c r="D709" t="s">
        <v>591</v>
      </c>
      <c r="E709" s="230">
        <v>0</v>
      </c>
      <c r="F709" t="s">
        <v>560</v>
      </c>
      <c r="G709" t="b">
        <v>1</v>
      </c>
      <c r="H709" t="s">
        <v>592</v>
      </c>
    </row>
    <row r="710" spans="1:8" x14ac:dyDescent="0.3">
      <c r="A710" t="s">
        <v>557</v>
      </c>
      <c r="B710" t="s">
        <v>296</v>
      </c>
      <c r="C710" t="s">
        <v>304</v>
      </c>
      <c r="D710" t="s">
        <v>591</v>
      </c>
      <c r="E710" s="230">
        <v>0</v>
      </c>
      <c r="F710" t="s">
        <v>560</v>
      </c>
      <c r="G710" t="b">
        <v>1</v>
      </c>
      <c r="H710" t="s">
        <v>592</v>
      </c>
    </row>
    <row r="711" spans="1:8" x14ac:dyDescent="0.3">
      <c r="A711" t="s">
        <v>557</v>
      </c>
      <c r="B711" t="s">
        <v>296</v>
      </c>
      <c r="C711" t="s">
        <v>305</v>
      </c>
      <c r="D711" t="s">
        <v>591</v>
      </c>
      <c r="E711" s="230">
        <v>0</v>
      </c>
      <c r="F711" t="s">
        <v>560</v>
      </c>
      <c r="G711" t="b">
        <v>1</v>
      </c>
      <c r="H711" t="s">
        <v>592</v>
      </c>
    </row>
    <row r="712" spans="1:8" x14ac:dyDescent="0.3">
      <c r="A712" t="s">
        <v>557</v>
      </c>
      <c r="B712" t="s">
        <v>296</v>
      </c>
      <c r="C712" t="s">
        <v>583</v>
      </c>
      <c r="D712" t="s">
        <v>591</v>
      </c>
      <c r="E712" s="230">
        <v>0</v>
      </c>
      <c r="F712" t="s">
        <v>560</v>
      </c>
      <c r="G712" t="b">
        <v>1</v>
      </c>
      <c r="H712" t="s">
        <v>592</v>
      </c>
    </row>
    <row r="713" spans="1:8" x14ac:dyDescent="0.3">
      <c r="A713" t="s">
        <v>557</v>
      </c>
      <c r="B713" t="s">
        <v>296</v>
      </c>
      <c r="C713" t="s">
        <v>307</v>
      </c>
      <c r="D713" t="s">
        <v>591</v>
      </c>
      <c r="E713" s="230">
        <v>206.85</v>
      </c>
      <c r="F713" t="s">
        <v>560</v>
      </c>
      <c r="G713" t="b">
        <v>1</v>
      </c>
      <c r="H713" t="s">
        <v>592</v>
      </c>
    </row>
    <row r="714" spans="1:8" x14ac:dyDescent="0.3">
      <c r="A714" t="s">
        <v>557</v>
      </c>
      <c r="B714" t="s">
        <v>308</v>
      </c>
      <c r="C714" t="s">
        <v>309</v>
      </c>
      <c r="D714" t="s">
        <v>591</v>
      </c>
      <c r="E714" s="230">
        <v>2995.34</v>
      </c>
      <c r="F714" t="s">
        <v>560</v>
      </c>
      <c r="G714" t="b">
        <v>1</v>
      </c>
      <c r="H714" t="s">
        <v>592</v>
      </c>
    </row>
    <row r="715" spans="1:8" x14ac:dyDescent="0.3">
      <c r="A715" t="s">
        <v>557</v>
      </c>
      <c r="B715" t="s">
        <v>308</v>
      </c>
      <c r="C715" t="s">
        <v>310</v>
      </c>
      <c r="D715" t="s">
        <v>591</v>
      </c>
      <c r="E715" s="230">
        <v>0</v>
      </c>
      <c r="F715" t="s">
        <v>560</v>
      </c>
      <c r="G715" t="b">
        <v>1</v>
      </c>
      <c r="H715" t="s">
        <v>592</v>
      </c>
    </row>
    <row r="716" spans="1:8" x14ac:dyDescent="0.3">
      <c r="A716" t="s">
        <v>557</v>
      </c>
      <c r="B716" t="s">
        <v>308</v>
      </c>
      <c r="C716" t="s">
        <v>311</v>
      </c>
      <c r="D716" t="s">
        <v>591</v>
      </c>
      <c r="E716" s="230">
        <v>1627.5</v>
      </c>
      <c r="F716" t="s">
        <v>560</v>
      </c>
      <c r="G716" t="b">
        <v>1</v>
      </c>
      <c r="H716" t="s">
        <v>592</v>
      </c>
    </row>
    <row r="717" spans="1:8" x14ac:dyDescent="0.3">
      <c r="A717" t="s">
        <v>557</v>
      </c>
      <c r="B717" t="s">
        <v>308</v>
      </c>
      <c r="C717" t="s">
        <v>312</v>
      </c>
      <c r="D717" t="s">
        <v>591</v>
      </c>
      <c r="E717" s="230">
        <v>194.25</v>
      </c>
      <c r="F717" t="s">
        <v>560</v>
      </c>
      <c r="G717" t="b">
        <v>1</v>
      </c>
      <c r="H717" t="s">
        <v>592</v>
      </c>
    </row>
    <row r="718" spans="1:8" x14ac:dyDescent="0.3">
      <c r="A718" t="s">
        <v>557</v>
      </c>
      <c r="B718" t="s">
        <v>308</v>
      </c>
      <c r="C718" t="s">
        <v>313</v>
      </c>
      <c r="D718" t="s">
        <v>591</v>
      </c>
      <c r="E718" s="230">
        <v>0</v>
      </c>
      <c r="F718" t="s">
        <v>560</v>
      </c>
      <c r="G718" t="b">
        <v>1</v>
      </c>
      <c r="H718" t="s">
        <v>592</v>
      </c>
    </row>
    <row r="719" spans="1:8" x14ac:dyDescent="0.3">
      <c r="A719" t="s">
        <v>557</v>
      </c>
      <c r="B719" t="s">
        <v>308</v>
      </c>
      <c r="C719" t="s">
        <v>314</v>
      </c>
      <c r="D719" t="s">
        <v>591</v>
      </c>
      <c r="E719" s="230">
        <v>743.59</v>
      </c>
      <c r="F719" t="s">
        <v>560</v>
      </c>
      <c r="G719" t="b">
        <v>1</v>
      </c>
      <c r="H719" t="s">
        <v>592</v>
      </c>
    </row>
    <row r="720" spans="1:8" x14ac:dyDescent="0.3">
      <c r="A720" t="s">
        <v>557</v>
      </c>
      <c r="B720" t="s">
        <v>308</v>
      </c>
      <c r="C720" t="s">
        <v>315</v>
      </c>
      <c r="D720" t="s">
        <v>591</v>
      </c>
      <c r="E720" s="230">
        <v>0</v>
      </c>
      <c r="F720" t="s">
        <v>560</v>
      </c>
      <c r="G720" t="b">
        <v>1</v>
      </c>
      <c r="H720" t="s">
        <v>592</v>
      </c>
    </row>
    <row r="721" spans="1:8" x14ac:dyDescent="0.3">
      <c r="A721" t="s">
        <v>557</v>
      </c>
      <c r="B721" t="s">
        <v>308</v>
      </c>
      <c r="C721" t="s">
        <v>316</v>
      </c>
      <c r="D721" t="s">
        <v>591</v>
      </c>
      <c r="E721" s="230">
        <v>0</v>
      </c>
      <c r="F721" t="s">
        <v>560</v>
      </c>
      <c r="G721" t="b">
        <v>1</v>
      </c>
      <c r="H721" t="s">
        <v>592</v>
      </c>
    </row>
    <row r="722" spans="1:8" x14ac:dyDescent="0.3">
      <c r="A722" t="s">
        <v>557</v>
      </c>
      <c r="B722" t="s">
        <v>308</v>
      </c>
      <c r="C722" t="s">
        <v>317</v>
      </c>
      <c r="D722" t="s">
        <v>591</v>
      </c>
      <c r="E722" s="230">
        <v>0</v>
      </c>
      <c r="F722" t="s">
        <v>560</v>
      </c>
      <c r="G722" t="b">
        <v>1</v>
      </c>
      <c r="H722" t="s">
        <v>592</v>
      </c>
    </row>
    <row r="723" spans="1:8" x14ac:dyDescent="0.3">
      <c r="A723" t="s">
        <v>557</v>
      </c>
      <c r="B723" t="s">
        <v>318</v>
      </c>
      <c r="C723" t="s">
        <v>319</v>
      </c>
      <c r="D723" t="s">
        <v>591</v>
      </c>
      <c r="E723" s="230">
        <v>1770.3</v>
      </c>
      <c r="F723" t="s">
        <v>560</v>
      </c>
      <c r="G723" t="b">
        <v>1</v>
      </c>
      <c r="H723" t="s">
        <v>592</v>
      </c>
    </row>
    <row r="724" spans="1:8" x14ac:dyDescent="0.3">
      <c r="A724" t="s">
        <v>557</v>
      </c>
      <c r="B724" t="s">
        <v>318</v>
      </c>
      <c r="C724" t="s">
        <v>320</v>
      </c>
      <c r="D724" t="s">
        <v>591</v>
      </c>
      <c r="E724" s="230">
        <v>144.44999999999999</v>
      </c>
      <c r="F724" t="s">
        <v>560</v>
      </c>
      <c r="G724" t="b">
        <v>1</v>
      </c>
      <c r="H724" t="s">
        <v>592</v>
      </c>
    </row>
    <row r="725" spans="1:8" x14ac:dyDescent="0.3">
      <c r="A725" t="s">
        <v>557</v>
      </c>
      <c r="B725" t="s">
        <v>318</v>
      </c>
      <c r="C725" t="s">
        <v>321</v>
      </c>
      <c r="D725" t="s">
        <v>591</v>
      </c>
      <c r="E725" s="230">
        <v>210</v>
      </c>
      <c r="F725" t="s">
        <v>560</v>
      </c>
      <c r="G725" t="b">
        <v>1</v>
      </c>
      <c r="H725" t="s">
        <v>592</v>
      </c>
    </row>
    <row r="726" spans="1:8" x14ac:dyDescent="0.3">
      <c r="A726" t="s">
        <v>557</v>
      </c>
      <c r="B726" t="s">
        <v>318</v>
      </c>
      <c r="C726" t="s">
        <v>322</v>
      </c>
      <c r="D726" t="s">
        <v>591</v>
      </c>
      <c r="E726" s="230">
        <v>0</v>
      </c>
      <c r="F726" t="s">
        <v>560</v>
      </c>
      <c r="G726" t="b">
        <v>1</v>
      </c>
      <c r="H726" t="s">
        <v>592</v>
      </c>
    </row>
    <row r="727" spans="1:8" x14ac:dyDescent="0.3">
      <c r="A727" t="s">
        <v>557</v>
      </c>
      <c r="B727" t="s">
        <v>323</v>
      </c>
      <c r="C727" t="s">
        <v>324</v>
      </c>
      <c r="D727" t="s">
        <v>591</v>
      </c>
      <c r="E727" s="230">
        <v>0</v>
      </c>
      <c r="F727" t="s">
        <v>560</v>
      </c>
      <c r="G727" t="b">
        <v>1</v>
      </c>
      <c r="H727" t="s">
        <v>592</v>
      </c>
    </row>
    <row r="728" spans="1:8" x14ac:dyDescent="0.3">
      <c r="A728" t="s">
        <v>557</v>
      </c>
      <c r="B728" t="s">
        <v>323</v>
      </c>
      <c r="C728" t="s">
        <v>325</v>
      </c>
      <c r="D728" t="s">
        <v>591</v>
      </c>
      <c r="E728" s="230">
        <v>0</v>
      </c>
      <c r="F728" t="s">
        <v>560</v>
      </c>
      <c r="G728" t="b">
        <v>1</v>
      </c>
      <c r="H728" t="s">
        <v>592</v>
      </c>
    </row>
    <row r="729" spans="1:8" x14ac:dyDescent="0.3">
      <c r="A729" t="s">
        <v>557</v>
      </c>
      <c r="B729" t="s">
        <v>323</v>
      </c>
      <c r="C729" t="s">
        <v>326</v>
      </c>
      <c r="D729" t="s">
        <v>591</v>
      </c>
      <c r="E729" s="230">
        <v>22944.240000000002</v>
      </c>
      <c r="F729" t="s">
        <v>560</v>
      </c>
      <c r="G729" t="b">
        <v>1</v>
      </c>
      <c r="H729" t="s">
        <v>592</v>
      </c>
    </row>
    <row r="730" spans="1:8" x14ac:dyDescent="0.3">
      <c r="A730" t="s">
        <v>557</v>
      </c>
      <c r="B730" t="s">
        <v>584</v>
      </c>
      <c r="C730" t="s">
        <v>334</v>
      </c>
      <c r="D730" t="s">
        <v>591</v>
      </c>
      <c r="E730" s="230">
        <v>0</v>
      </c>
      <c r="F730" t="s">
        <v>560</v>
      </c>
      <c r="G730" t="b">
        <v>1</v>
      </c>
      <c r="H730" t="s">
        <v>592</v>
      </c>
    </row>
    <row r="731" spans="1:8" x14ac:dyDescent="0.3">
      <c r="A731" t="s">
        <v>557</v>
      </c>
      <c r="B731" t="s">
        <v>584</v>
      </c>
      <c r="C731" t="s">
        <v>336</v>
      </c>
      <c r="D731" t="s">
        <v>591</v>
      </c>
      <c r="E731" s="230">
        <v>0</v>
      </c>
      <c r="F731" t="s">
        <v>560</v>
      </c>
      <c r="G731" t="b">
        <v>1</v>
      </c>
      <c r="H731" t="s">
        <v>592</v>
      </c>
    </row>
    <row r="732" spans="1:8" x14ac:dyDescent="0.3">
      <c r="A732" t="s">
        <v>557</v>
      </c>
      <c r="B732" t="s">
        <v>558</v>
      </c>
      <c r="C732" t="s">
        <v>13</v>
      </c>
      <c r="D732" t="s">
        <v>593</v>
      </c>
      <c r="E732" s="230">
        <v>198471.86</v>
      </c>
      <c r="F732" t="s">
        <v>560</v>
      </c>
      <c r="G732" t="b">
        <v>1</v>
      </c>
      <c r="H732" t="s">
        <v>594</v>
      </c>
    </row>
    <row r="733" spans="1:8" x14ac:dyDescent="0.3">
      <c r="A733" t="s">
        <v>557</v>
      </c>
      <c r="B733" t="s">
        <v>558</v>
      </c>
      <c r="C733" t="s">
        <v>16</v>
      </c>
      <c r="D733" t="s">
        <v>593</v>
      </c>
      <c r="E733" s="230">
        <v>124913.72</v>
      </c>
      <c r="F733" t="s">
        <v>560</v>
      </c>
      <c r="G733" t="b">
        <v>1</v>
      </c>
      <c r="H733" t="s">
        <v>594</v>
      </c>
    </row>
    <row r="734" spans="1:8" x14ac:dyDescent="0.3">
      <c r="A734" t="s">
        <v>557</v>
      </c>
      <c r="B734" t="s">
        <v>558</v>
      </c>
      <c r="C734" t="s">
        <v>17</v>
      </c>
      <c r="D734" t="s">
        <v>593</v>
      </c>
      <c r="E734" s="230">
        <v>4877.2299999999996</v>
      </c>
      <c r="F734" t="s">
        <v>560</v>
      </c>
      <c r="G734" t="b">
        <v>1</v>
      </c>
      <c r="H734" t="s">
        <v>594</v>
      </c>
    </row>
    <row r="735" spans="1:8" x14ac:dyDescent="0.3">
      <c r="A735" t="s">
        <v>557</v>
      </c>
      <c r="B735" t="s">
        <v>558</v>
      </c>
      <c r="C735" t="s">
        <v>18</v>
      </c>
      <c r="D735" t="s">
        <v>593</v>
      </c>
      <c r="E735" s="230">
        <v>0</v>
      </c>
      <c r="F735" t="s">
        <v>560</v>
      </c>
      <c r="G735" t="b">
        <v>1</v>
      </c>
      <c r="H735" t="s">
        <v>594</v>
      </c>
    </row>
    <row r="736" spans="1:8" x14ac:dyDescent="0.3">
      <c r="A736" t="s">
        <v>557</v>
      </c>
      <c r="B736" t="s">
        <v>558</v>
      </c>
      <c r="C736" t="s">
        <v>20</v>
      </c>
      <c r="D736" t="s">
        <v>593</v>
      </c>
      <c r="E736" s="230">
        <v>44763.11</v>
      </c>
      <c r="F736" t="s">
        <v>560</v>
      </c>
      <c r="G736" t="b">
        <v>1</v>
      </c>
      <c r="H736" t="s">
        <v>594</v>
      </c>
    </row>
    <row r="737" spans="1:8" x14ac:dyDescent="0.3">
      <c r="A737" t="s">
        <v>557</v>
      </c>
      <c r="B737" t="s">
        <v>558</v>
      </c>
      <c r="C737" t="s">
        <v>29</v>
      </c>
      <c r="D737" t="s">
        <v>593</v>
      </c>
      <c r="E737" s="230">
        <v>20353.13</v>
      </c>
      <c r="F737" t="s">
        <v>560</v>
      </c>
      <c r="G737" t="b">
        <v>1</v>
      </c>
      <c r="H737" t="s">
        <v>594</v>
      </c>
    </row>
    <row r="738" spans="1:8" x14ac:dyDescent="0.3">
      <c r="A738" t="s">
        <v>557</v>
      </c>
      <c r="B738" t="s">
        <v>558</v>
      </c>
      <c r="C738" t="s">
        <v>31</v>
      </c>
      <c r="D738" t="s">
        <v>593</v>
      </c>
      <c r="E738" s="230">
        <v>0</v>
      </c>
      <c r="F738" t="s">
        <v>560</v>
      </c>
      <c r="G738" t="b">
        <v>1</v>
      </c>
      <c r="H738" t="s">
        <v>594</v>
      </c>
    </row>
    <row r="739" spans="1:8" x14ac:dyDescent="0.3">
      <c r="A739" t="s">
        <v>557</v>
      </c>
      <c r="B739" t="s">
        <v>562</v>
      </c>
      <c r="C739" t="s">
        <v>38</v>
      </c>
      <c r="D739" t="s">
        <v>593</v>
      </c>
      <c r="E739" s="230">
        <v>8084.64</v>
      </c>
      <c r="F739" t="s">
        <v>560</v>
      </c>
      <c r="G739" t="b">
        <v>1</v>
      </c>
      <c r="H739" t="s">
        <v>594</v>
      </c>
    </row>
    <row r="740" spans="1:8" x14ac:dyDescent="0.3">
      <c r="A740" t="s">
        <v>557</v>
      </c>
      <c r="B740" t="s">
        <v>562</v>
      </c>
      <c r="C740" t="s">
        <v>40</v>
      </c>
      <c r="D740" t="s">
        <v>593</v>
      </c>
      <c r="E740" s="230">
        <v>6403.03</v>
      </c>
      <c r="F740" t="s">
        <v>560</v>
      </c>
      <c r="G740" t="b">
        <v>1</v>
      </c>
      <c r="H740" t="s">
        <v>594</v>
      </c>
    </row>
    <row r="741" spans="1:8" x14ac:dyDescent="0.3">
      <c r="A741" t="s">
        <v>557</v>
      </c>
      <c r="B741" t="s">
        <v>562</v>
      </c>
      <c r="C741" t="s">
        <v>42</v>
      </c>
      <c r="D741" t="s">
        <v>593</v>
      </c>
      <c r="E741" s="230">
        <v>808.46</v>
      </c>
      <c r="F741" t="s">
        <v>560</v>
      </c>
      <c r="G741" t="b">
        <v>1</v>
      </c>
      <c r="H741" t="s">
        <v>594</v>
      </c>
    </row>
    <row r="742" spans="1:8" x14ac:dyDescent="0.3">
      <c r="A742" t="s">
        <v>557</v>
      </c>
      <c r="B742" t="s">
        <v>563</v>
      </c>
      <c r="C742" t="s">
        <v>46</v>
      </c>
      <c r="D742" t="s">
        <v>593</v>
      </c>
      <c r="E742" s="230">
        <v>13393.15</v>
      </c>
      <c r="F742" t="s">
        <v>560</v>
      </c>
      <c r="G742" t="b">
        <v>1</v>
      </c>
      <c r="H742" t="s">
        <v>594</v>
      </c>
    </row>
    <row r="743" spans="1:8" x14ac:dyDescent="0.3">
      <c r="A743" t="s">
        <v>557</v>
      </c>
      <c r="B743" t="s">
        <v>563</v>
      </c>
      <c r="C743" t="s">
        <v>48</v>
      </c>
      <c r="D743" t="s">
        <v>593</v>
      </c>
      <c r="E743" s="230">
        <v>14860.41</v>
      </c>
      <c r="F743" t="s">
        <v>560</v>
      </c>
      <c r="G743" t="b">
        <v>1</v>
      </c>
      <c r="H743" t="s">
        <v>594</v>
      </c>
    </row>
    <row r="744" spans="1:8" x14ac:dyDescent="0.3">
      <c r="A744" t="s">
        <v>557</v>
      </c>
      <c r="B744" t="s">
        <v>563</v>
      </c>
      <c r="C744" t="s">
        <v>49</v>
      </c>
      <c r="D744" t="s">
        <v>593</v>
      </c>
      <c r="E744" s="230">
        <v>514.29</v>
      </c>
      <c r="F744" t="s">
        <v>560</v>
      </c>
      <c r="G744" t="b">
        <v>1</v>
      </c>
      <c r="H744" t="s">
        <v>594</v>
      </c>
    </row>
    <row r="745" spans="1:8" x14ac:dyDescent="0.3">
      <c r="A745" t="s">
        <v>557</v>
      </c>
      <c r="B745" t="s">
        <v>564</v>
      </c>
      <c r="C745" t="s">
        <v>565</v>
      </c>
      <c r="D745" t="s">
        <v>593</v>
      </c>
      <c r="E745" s="230">
        <v>82184.52</v>
      </c>
      <c r="F745" t="s">
        <v>560</v>
      </c>
      <c r="G745" t="b">
        <v>1</v>
      </c>
      <c r="H745" t="s">
        <v>594</v>
      </c>
    </row>
    <row r="746" spans="1:8" x14ac:dyDescent="0.3">
      <c r="A746" t="s">
        <v>557</v>
      </c>
      <c r="B746" t="s">
        <v>564</v>
      </c>
      <c r="C746" t="s">
        <v>566</v>
      </c>
      <c r="D746" t="s">
        <v>593</v>
      </c>
      <c r="E746" s="230">
        <v>26231.88</v>
      </c>
      <c r="F746" t="s">
        <v>560</v>
      </c>
      <c r="G746" t="b">
        <v>1</v>
      </c>
      <c r="H746" t="s">
        <v>594</v>
      </c>
    </row>
    <row r="747" spans="1:8" x14ac:dyDescent="0.3">
      <c r="A747" t="s">
        <v>557</v>
      </c>
      <c r="B747" t="s">
        <v>564</v>
      </c>
      <c r="C747" t="s">
        <v>567</v>
      </c>
      <c r="D747" t="s">
        <v>593</v>
      </c>
      <c r="E747" s="230">
        <v>610.59</v>
      </c>
      <c r="F747" t="s">
        <v>560</v>
      </c>
      <c r="G747" t="b">
        <v>1</v>
      </c>
      <c r="H747" t="s">
        <v>594</v>
      </c>
    </row>
    <row r="748" spans="1:8" x14ac:dyDescent="0.3">
      <c r="A748" t="s">
        <v>557</v>
      </c>
      <c r="B748" t="s">
        <v>564</v>
      </c>
      <c r="C748" t="s">
        <v>568</v>
      </c>
      <c r="D748" t="s">
        <v>593</v>
      </c>
      <c r="E748" s="230">
        <v>0</v>
      </c>
      <c r="F748" t="s">
        <v>560</v>
      </c>
      <c r="G748" t="b">
        <v>1</v>
      </c>
      <c r="H748" t="s">
        <v>594</v>
      </c>
    </row>
    <row r="749" spans="1:8" x14ac:dyDescent="0.3">
      <c r="A749" t="s">
        <v>557</v>
      </c>
      <c r="B749" t="s">
        <v>569</v>
      </c>
      <c r="C749" t="s">
        <v>58</v>
      </c>
      <c r="D749" t="s">
        <v>593</v>
      </c>
      <c r="E749" s="230">
        <v>3267.74</v>
      </c>
      <c r="F749" t="s">
        <v>560</v>
      </c>
      <c r="G749" t="b">
        <v>1</v>
      </c>
      <c r="H749" t="s">
        <v>594</v>
      </c>
    </row>
    <row r="750" spans="1:8" x14ac:dyDescent="0.3">
      <c r="A750" t="s">
        <v>557</v>
      </c>
      <c r="B750" t="s">
        <v>569</v>
      </c>
      <c r="C750" t="s">
        <v>59</v>
      </c>
      <c r="D750" t="s">
        <v>593</v>
      </c>
      <c r="E750" s="230">
        <v>487.72</v>
      </c>
      <c r="F750" t="s">
        <v>560</v>
      </c>
      <c r="G750" t="b">
        <v>1</v>
      </c>
      <c r="H750" t="s">
        <v>594</v>
      </c>
    </row>
    <row r="751" spans="1:8" x14ac:dyDescent="0.3">
      <c r="A751" t="s">
        <v>557</v>
      </c>
      <c r="B751" t="s">
        <v>569</v>
      </c>
      <c r="C751" t="s">
        <v>62</v>
      </c>
      <c r="D751" t="s">
        <v>593</v>
      </c>
      <c r="E751" s="230">
        <v>0</v>
      </c>
      <c r="F751" t="s">
        <v>560</v>
      </c>
      <c r="G751" t="b">
        <v>1</v>
      </c>
      <c r="H751" t="s">
        <v>594</v>
      </c>
    </row>
    <row r="752" spans="1:8" x14ac:dyDescent="0.3">
      <c r="A752" t="s">
        <v>557</v>
      </c>
      <c r="B752" t="s">
        <v>570</v>
      </c>
      <c r="C752" t="s">
        <v>64</v>
      </c>
      <c r="D752" t="s">
        <v>593</v>
      </c>
      <c r="E752" s="230">
        <v>0</v>
      </c>
      <c r="F752" t="s">
        <v>560</v>
      </c>
      <c r="G752" t="b">
        <v>1</v>
      </c>
      <c r="H752" t="s">
        <v>594</v>
      </c>
    </row>
    <row r="753" spans="1:8" x14ac:dyDescent="0.3">
      <c r="A753" t="s">
        <v>557</v>
      </c>
      <c r="B753" t="s">
        <v>569</v>
      </c>
      <c r="C753" t="s">
        <v>66</v>
      </c>
      <c r="D753" t="s">
        <v>593</v>
      </c>
      <c r="E753" s="230">
        <v>0</v>
      </c>
      <c r="F753" t="s">
        <v>560</v>
      </c>
      <c r="G753" t="b">
        <v>1</v>
      </c>
      <c r="H753" t="s">
        <v>594</v>
      </c>
    </row>
    <row r="754" spans="1:8" x14ac:dyDescent="0.3">
      <c r="A754" t="s">
        <v>557</v>
      </c>
      <c r="B754" t="s">
        <v>569</v>
      </c>
      <c r="C754" t="s">
        <v>68</v>
      </c>
      <c r="D754" t="s">
        <v>593</v>
      </c>
      <c r="E754" s="230">
        <v>1707.03</v>
      </c>
      <c r="F754" t="s">
        <v>560</v>
      </c>
      <c r="G754" t="b">
        <v>1</v>
      </c>
      <c r="H754" t="s">
        <v>594</v>
      </c>
    </row>
    <row r="755" spans="1:8" x14ac:dyDescent="0.3">
      <c r="A755" t="s">
        <v>557</v>
      </c>
      <c r="B755" t="s">
        <v>569</v>
      </c>
      <c r="C755" t="s">
        <v>69</v>
      </c>
      <c r="D755" t="s">
        <v>593</v>
      </c>
      <c r="E755" s="230">
        <v>0</v>
      </c>
      <c r="F755" t="s">
        <v>560</v>
      </c>
      <c r="G755" t="b">
        <v>1</v>
      </c>
      <c r="H755" t="s">
        <v>594</v>
      </c>
    </row>
    <row r="756" spans="1:8" x14ac:dyDescent="0.3">
      <c r="A756" t="s">
        <v>557</v>
      </c>
      <c r="B756" t="s">
        <v>570</v>
      </c>
      <c r="C756" t="s">
        <v>73</v>
      </c>
      <c r="D756" t="s">
        <v>593</v>
      </c>
      <c r="E756" s="230">
        <v>4000</v>
      </c>
      <c r="F756" t="s">
        <v>560</v>
      </c>
      <c r="G756" t="b">
        <v>1</v>
      </c>
      <c r="H756" t="s">
        <v>594</v>
      </c>
    </row>
    <row r="757" spans="1:8" x14ac:dyDescent="0.3">
      <c r="A757" t="s">
        <v>557</v>
      </c>
      <c r="B757" t="s">
        <v>571</v>
      </c>
      <c r="C757" t="s">
        <v>75</v>
      </c>
      <c r="D757" t="s">
        <v>593</v>
      </c>
      <c r="E757" s="230">
        <v>497.7</v>
      </c>
      <c r="F757" t="s">
        <v>560</v>
      </c>
      <c r="G757" t="b">
        <v>1</v>
      </c>
      <c r="H757" t="s">
        <v>594</v>
      </c>
    </row>
    <row r="758" spans="1:8" x14ac:dyDescent="0.3">
      <c r="A758" t="s">
        <v>557</v>
      </c>
      <c r="B758" t="s">
        <v>571</v>
      </c>
      <c r="C758" t="s">
        <v>78</v>
      </c>
      <c r="D758" t="s">
        <v>593</v>
      </c>
      <c r="E758" s="230">
        <v>530.88</v>
      </c>
      <c r="F758" t="s">
        <v>560</v>
      </c>
      <c r="G758" t="b">
        <v>1</v>
      </c>
      <c r="H758" t="s">
        <v>594</v>
      </c>
    </row>
    <row r="759" spans="1:8" x14ac:dyDescent="0.3">
      <c r="A759" t="s">
        <v>557</v>
      </c>
      <c r="B759" t="s">
        <v>571</v>
      </c>
      <c r="C759" t="s">
        <v>80</v>
      </c>
      <c r="D759" t="s">
        <v>593</v>
      </c>
      <c r="E759" s="230">
        <v>165.9</v>
      </c>
      <c r="F759" t="s">
        <v>560</v>
      </c>
      <c r="G759" t="b">
        <v>1</v>
      </c>
      <c r="H759" t="s">
        <v>594</v>
      </c>
    </row>
    <row r="760" spans="1:8" x14ac:dyDescent="0.3">
      <c r="A760" t="s">
        <v>557</v>
      </c>
      <c r="B760" t="s">
        <v>571</v>
      </c>
      <c r="C760" t="s">
        <v>82</v>
      </c>
      <c r="D760" t="s">
        <v>593</v>
      </c>
      <c r="E760" s="230">
        <v>0</v>
      </c>
      <c r="F760" t="s">
        <v>560</v>
      </c>
      <c r="G760" t="b">
        <v>1</v>
      </c>
      <c r="H760" t="s">
        <v>594</v>
      </c>
    </row>
    <row r="761" spans="1:8" x14ac:dyDescent="0.3">
      <c r="A761" t="s">
        <v>557</v>
      </c>
      <c r="B761" t="s">
        <v>571</v>
      </c>
      <c r="C761" t="s">
        <v>84</v>
      </c>
      <c r="D761" t="s">
        <v>593</v>
      </c>
      <c r="E761" s="230">
        <v>0</v>
      </c>
      <c r="F761" t="s">
        <v>560</v>
      </c>
      <c r="G761" t="b">
        <v>1</v>
      </c>
      <c r="H761" t="s">
        <v>594</v>
      </c>
    </row>
    <row r="762" spans="1:8" x14ac:dyDescent="0.3">
      <c r="A762" t="s">
        <v>557</v>
      </c>
      <c r="B762" t="s">
        <v>571</v>
      </c>
      <c r="C762" t="s">
        <v>86</v>
      </c>
      <c r="D762" t="s">
        <v>593</v>
      </c>
      <c r="E762" s="230">
        <v>0</v>
      </c>
      <c r="F762" t="s">
        <v>560</v>
      </c>
      <c r="G762" t="b">
        <v>1</v>
      </c>
      <c r="H762" t="s">
        <v>594</v>
      </c>
    </row>
    <row r="763" spans="1:8" x14ac:dyDescent="0.3">
      <c r="A763" t="s">
        <v>557</v>
      </c>
      <c r="B763" t="s">
        <v>571</v>
      </c>
      <c r="C763" t="s">
        <v>87</v>
      </c>
      <c r="D763" t="s">
        <v>593</v>
      </c>
      <c r="E763" s="230">
        <v>0</v>
      </c>
      <c r="F763" t="s">
        <v>560</v>
      </c>
      <c r="G763" t="b">
        <v>1</v>
      </c>
      <c r="H763" t="s">
        <v>594</v>
      </c>
    </row>
    <row r="764" spans="1:8" x14ac:dyDescent="0.3">
      <c r="A764" t="s">
        <v>557</v>
      </c>
      <c r="B764" t="s">
        <v>571</v>
      </c>
      <c r="C764" t="s">
        <v>88</v>
      </c>
      <c r="D764" t="s">
        <v>593</v>
      </c>
      <c r="E764" s="230">
        <v>0</v>
      </c>
      <c r="F764" t="s">
        <v>560</v>
      </c>
      <c r="G764" t="b">
        <v>1</v>
      </c>
      <c r="H764" t="s">
        <v>594</v>
      </c>
    </row>
    <row r="765" spans="1:8" x14ac:dyDescent="0.3">
      <c r="A765" t="s">
        <v>557</v>
      </c>
      <c r="B765" t="s">
        <v>571</v>
      </c>
      <c r="C765" t="s">
        <v>89</v>
      </c>
      <c r="D765" t="s">
        <v>593</v>
      </c>
      <c r="E765" s="230">
        <v>0</v>
      </c>
      <c r="F765" t="s">
        <v>560</v>
      </c>
      <c r="G765" t="b">
        <v>1</v>
      </c>
      <c r="H765" t="s">
        <v>594</v>
      </c>
    </row>
    <row r="766" spans="1:8" x14ac:dyDescent="0.3">
      <c r="A766" t="s">
        <v>557</v>
      </c>
      <c r="B766" t="s">
        <v>571</v>
      </c>
      <c r="C766" t="s">
        <v>91</v>
      </c>
      <c r="D766" t="s">
        <v>593</v>
      </c>
      <c r="E766" s="230">
        <v>0</v>
      </c>
      <c r="F766" t="s">
        <v>560</v>
      </c>
      <c r="G766" t="b">
        <v>1</v>
      </c>
      <c r="H766" t="s">
        <v>594</v>
      </c>
    </row>
    <row r="767" spans="1:8" x14ac:dyDescent="0.3">
      <c r="A767" t="s">
        <v>557</v>
      </c>
      <c r="B767" t="s">
        <v>571</v>
      </c>
      <c r="C767" t="s">
        <v>93</v>
      </c>
      <c r="D767" t="s">
        <v>593</v>
      </c>
      <c r="E767" s="230">
        <v>0</v>
      </c>
      <c r="F767" t="s">
        <v>560</v>
      </c>
      <c r="G767" t="b">
        <v>1</v>
      </c>
      <c r="H767" t="s">
        <v>594</v>
      </c>
    </row>
    <row r="768" spans="1:8" x14ac:dyDescent="0.3">
      <c r="A768" t="s">
        <v>557</v>
      </c>
      <c r="B768" t="s">
        <v>571</v>
      </c>
      <c r="C768" t="s">
        <v>96</v>
      </c>
      <c r="D768" t="s">
        <v>593</v>
      </c>
      <c r="E768" s="230">
        <v>0</v>
      </c>
      <c r="F768" t="s">
        <v>560</v>
      </c>
      <c r="G768" t="b">
        <v>1</v>
      </c>
      <c r="H768" t="s">
        <v>594</v>
      </c>
    </row>
    <row r="769" spans="1:8" x14ac:dyDescent="0.3">
      <c r="A769" t="s">
        <v>557</v>
      </c>
      <c r="B769" t="s">
        <v>571</v>
      </c>
      <c r="C769" t="s">
        <v>98</v>
      </c>
      <c r="D769" t="s">
        <v>593</v>
      </c>
      <c r="E769" s="230">
        <v>0</v>
      </c>
      <c r="F769" t="s">
        <v>560</v>
      </c>
      <c r="G769" t="b">
        <v>1</v>
      </c>
      <c r="H769" t="s">
        <v>594</v>
      </c>
    </row>
    <row r="770" spans="1:8" x14ac:dyDescent="0.3">
      <c r="A770" t="s">
        <v>557</v>
      </c>
      <c r="B770" t="s">
        <v>571</v>
      </c>
      <c r="C770" t="s">
        <v>100</v>
      </c>
      <c r="D770" t="s">
        <v>593</v>
      </c>
      <c r="E770" s="230">
        <v>0</v>
      </c>
      <c r="F770" t="s">
        <v>560</v>
      </c>
      <c r="G770" t="b">
        <v>1</v>
      </c>
      <c r="H770" t="s">
        <v>594</v>
      </c>
    </row>
    <row r="771" spans="1:8" x14ac:dyDescent="0.3">
      <c r="A771" t="s">
        <v>557</v>
      </c>
      <c r="B771" t="s">
        <v>571</v>
      </c>
      <c r="C771" t="s">
        <v>102</v>
      </c>
      <c r="D771" t="s">
        <v>593</v>
      </c>
      <c r="E771" s="230">
        <v>0</v>
      </c>
      <c r="F771" t="s">
        <v>560</v>
      </c>
      <c r="G771" t="b">
        <v>1</v>
      </c>
      <c r="H771" t="s">
        <v>594</v>
      </c>
    </row>
    <row r="772" spans="1:8" x14ac:dyDescent="0.3">
      <c r="A772" t="s">
        <v>557</v>
      </c>
      <c r="B772" t="s">
        <v>571</v>
      </c>
      <c r="C772" t="s">
        <v>103</v>
      </c>
      <c r="D772" t="s">
        <v>593</v>
      </c>
      <c r="E772" s="230">
        <v>0</v>
      </c>
      <c r="F772" t="s">
        <v>560</v>
      </c>
      <c r="G772" t="b">
        <v>1</v>
      </c>
      <c r="H772" t="s">
        <v>594</v>
      </c>
    </row>
    <row r="773" spans="1:8" x14ac:dyDescent="0.3">
      <c r="A773" t="s">
        <v>557</v>
      </c>
      <c r="B773" t="s">
        <v>571</v>
      </c>
      <c r="C773" t="s">
        <v>104</v>
      </c>
      <c r="D773" t="s">
        <v>593</v>
      </c>
      <c r="E773" s="230">
        <v>0</v>
      </c>
      <c r="F773" t="s">
        <v>560</v>
      </c>
      <c r="G773" t="b">
        <v>1</v>
      </c>
      <c r="H773" t="s">
        <v>594</v>
      </c>
    </row>
    <row r="774" spans="1:8" x14ac:dyDescent="0.3">
      <c r="A774" t="s">
        <v>557</v>
      </c>
      <c r="B774" t="s">
        <v>571</v>
      </c>
      <c r="C774" t="s">
        <v>105</v>
      </c>
      <c r="D774" t="s">
        <v>593</v>
      </c>
      <c r="E774" s="230">
        <v>0</v>
      </c>
      <c r="F774" t="s">
        <v>560</v>
      </c>
      <c r="G774" t="b">
        <v>1</v>
      </c>
      <c r="H774" t="s">
        <v>594</v>
      </c>
    </row>
    <row r="775" spans="1:8" x14ac:dyDescent="0.3">
      <c r="A775" t="s">
        <v>557</v>
      </c>
      <c r="B775" t="s">
        <v>571</v>
      </c>
      <c r="C775" t="s">
        <v>108</v>
      </c>
      <c r="D775" t="s">
        <v>593</v>
      </c>
      <c r="E775" s="230">
        <v>0</v>
      </c>
      <c r="F775" t="s">
        <v>560</v>
      </c>
      <c r="G775" t="b">
        <v>1</v>
      </c>
      <c r="H775" t="s">
        <v>594</v>
      </c>
    </row>
    <row r="776" spans="1:8" x14ac:dyDescent="0.3">
      <c r="A776" t="s">
        <v>557</v>
      </c>
      <c r="B776" t="s">
        <v>571</v>
      </c>
      <c r="C776" t="s">
        <v>109</v>
      </c>
      <c r="D776" t="s">
        <v>593</v>
      </c>
      <c r="E776" s="230">
        <v>0</v>
      </c>
      <c r="F776" t="s">
        <v>560</v>
      </c>
      <c r="G776" t="b">
        <v>1</v>
      </c>
      <c r="H776" t="s">
        <v>594</v>
      </c>
    </row>
    <row r="777" spans="1:8" x14ac:dyDescent="0.3">
      <c r="A777" t="s">
        <v>557</v>
      </c>
      <c r="B777" t="s">
        <v>572</v>
      </c>
      <c r="C777" t="s">
        <v>112</v>
      </c>
      <c r="D777" t="s">
        <v>593</v>
      </c>
      <c r="E777" s="230">
        <v>34045.949999999997</v>
      </c>
      <c r="F777" t="s">
        <v>560</v>
      </c>
      <c r="G777" t="b">
        <v>1</v>
      </c>
      <c r="H777" t="s">
        <v>594</v>
      </c>
    </row>
    <row r="778" spans="1:8" x14ac:dyDescent="0.3">
      <c r="A778" t="s">
        <v>557</v>
      </c>
      <c r="B778" t="s">
        <v>562</v>
      </c>
      <c r="C778" t="s">
        <v>116</v>
      </c>
      <c r="D778" t="s">
        <v>593</v>
      </c>
      <c r="E778" s="230">
        <v>7251.5</v>
      </c>
      <c r="F778" t="s">
        <v>560</v>
      </c>
      <c r="G778" t="b">
        <v>1</v>
      </c>
      <c r="H778" t="s">
        <v>594</v>
      </c>
    </row>
    <row r="779" spans="1:8" x14ac:dyDescent="0.3">
      <c r="A779" t="s">
        <v>557</v>
      </c>
      <c r="B779" t="s">
        <v>562</v>
      </c>
      <c r="C779" t="s">
        <v>118</v>
      </c>
      <c r="D779" t="s">
        <v>593</v>
      </c>
      <c r="E779" s="230">
        <v>5291.81</v>
      </c>
      <c r="F779" t="s">
        <v>560</v>
      </c>
      <c r="G779" t="b">
        <v>1</v>
      </c>
      <c r="H779" t="s">
        <v>594</v>
      </c>
    </row>
    <row r="780" spans="1:8" x14ac:dyDescent="0.3">
      <c r="A780" t="s">
        <v>557</v>
      </c>
      <c r="B780" t="s">
        <v>562</v>
      </c>
      <c r="C780" t="s">
        <v>120</v>
      </c>
      <c r="D780" t="s">
        <v>593</v>
      </c>
      <c r="E780" s="230">
        <v>0</v>
      </c>
      <c r="F780" t="s">
        <v>560</v>
      </c>
      <c r="G780" t="b">
        <v>1</v>
      </c>
      <c r="H780" t="s">
        <v>594</v>
      </c>
    </row>
    <row r="781" spans="1:8" x14ac:dyDescent="0.3">
      <c r="A781" t="s">
        <v>557</v>
      </c>
      <c r="B781" t="s">
        <v>562</v>
      </c>
      <c r="C781" t="s">
        <v>122</v>
      </c>
      <c r="D781" t="s">
        <v>593</v>
      </c>
      <c r="E781" s="230">
        <v>0</v>
      </c>
      <c r="F781" t="s">
        <v>560</v>
      </c>
      <c r="G781" t="b">
        <v>1</v>
      </c>
      <c r="H781" t="s">
        <v>594</v>
      </c>
    </row>
    <row r="782" spans="1:8" x14ac:dyDescent="0.3">
      <c r="A782" t="s">
        <v>557</v>
      </c>
      <c r="B782" t="s">
        <v>570</v>
      </c>
      <c r="C782" t="s">
        <v>573</v>
      </c>
      <c r="D782" t="s">
        <v>593</v>
      </c>
      <c r="E782" s="230">
        <v>33850</v>
      </c>
      <c r="F782" t="s">
        <v>560</v>
      </c>
      <c r="G782" t="b">
        <v>1</v>
      </c>
      <c r="H782" t="s">
        <v>594</v>
      </c>
    </row>
    <row r="783" spans="1:8" x14ac:dyDescent="0.3">
      <c r="A783" t="s">
        <v>557</v>
      </c>
      <c r="B783" t="s">
        <v>574</v>
      </c>
      <c r="C783" t="s">
        <v>575</v>
      </c>
      <c r="D783" t="s">
        <v>593</v>
      </c>
      <c r="E783" s="230">
        <v>36515.129999999997</v>
      </c>
      <c r="F783" t="s">
        <v>560</v>
      </c>
      <c r="G783" t="b">
        <v>1</v>
      </c>
      <c r="H783" t="s">
        <v>594</v>
      </c>
    </row>
    <row r="784" spans="1:8" x14ac:dyDescent="0.3">
      <c r="A784" t="s">
        <v>557</v>
      </c>
      <c r="B784" t="s">
        <v>576</v>
      </c>
      <c r="C784" t="s">
        <v>203</v>
      </c>
      <c r="D784" t="s">
        <v>593</v>
      </c>
      <c r="E784" s="230">
        <v>12796.77</v>
      </c>
      <c r="F784" t="s">
        <v>560</v>
      </c>
      <c r="G784" t="b">
        <v>1</v>
      </c>
      <c r="H784" t="s">
        <v>594</v>
      </c>
    </row>
    <row r="785" spans="1:8" x14ac:dyDescent="0.3">
      <c r="A785" t="s">
        <v>557</v>
      </c>
      <c r="B785" t="s">
        <v>577</v>
      </c>
      <c r="C785" t="s">
        <v>206</v>
      </c>
      <c r="D785" t="s">
        <v>593</v>
      </c>
      <c r="E785" s="230">
        <v>5344.19</v>
      </c>
      <c r="F785" t="s">
        <v>560</v>
      </c>
      <c r="G785" t="b">
        <v>1</v>
      </c>
      <c r="H785" t="s">
        <v>594</v>
      </c>
    </row>
    <row r="786" spans="1:8" x14ac:dyDescent="0.3">
      <c r="A786" t="s">
        <v>557</v>
      </c>
      <c r="B786" t="s">
        <v>577</v>
      </c>
      <c r="C786" t="s">
        <v>209</v>
      </c>
      <c r="D786" t="s">
        <v>593</v>
      </c>
      <c r="E786" s="230">
        <v>0</v>
      </c>
      <c r="F786" t="s">
        <v>560</v>
      </c>
      <c r="G786" t="b">
        <v>1</v>
      </c>
      <c r="H786" t="s">
        <v>594</v>
      </c>
    </row>
    <row r="787" spans="1:8" x14ac:dyDescent="0.3">
      <c r="A787" t="s">
        <v>557</v>
      </c>
      <c r="B787" t="s">
        <v>577</v>
      </c>
      <c r="C787" t="s">
        <v>211</v>
      </c>
      <c r="D787" t="s">
        <v>593</v>
      </c>
      <c r="E787" s="230">
        <v>0</v>
      </c>
      <c r="F787" t="s">
        <v>560</v>
      </c>
      <c r="G787" t="b">
        <v>1</v>
      </c>
      <c r="H787" t="s">
        <v>594</v>
      </c>
    </row>
    <row r="788" spans="1:8" x14ac:dyDescent="0.3">
      <c r="A788" t="s">
        <v>557</v>
      </c>
      <c r="B788" t="s">
        <v>577</v>
      </c>
      <c r="C788" t="s">
        <v>213</v>
      </c>
      <c r="D788" t="s">
        <v>593</v>
      </c>
      <c r="E788" s="230">
        <v>3278.05</v>
      </c>
      <c r="F788" t="s">
        <v>560</v>
      </c>
      <c r="G788" t="b">
        <v>1</v>
      </c>
      <c r="H788" t="s">
        <v>594</v>
      </c>
    </row>
    <row r="789" spans="1:8" x14ac:dyDescent="0.3">
      <c r="A789" t="s">
        <v>557</v>
      </c>
      <c r="B789" t="s">
        <v>577</v>
      </c>
      <c r="C789" t="s">
        <v>215</v>
      </c>
      <c r="D789" t="s">
        <v>593</v>
      </c>
      <c r="E789" s="230">
        <v>1958.07</v>
      </c>
      <c r="F789" t="s">
        <v>560</v>
      </c>
      <c r="G789" t="b">
        <v>1</v>
      </c>
      <c r="H789" t="s">
        <v>594</v>
      </c>
    </row>
    <row r="790" spans="1:8" x14ac:dyDescent="0.3">
      <c r="A790" t="s">
        <v>557</v>
      </c>
      <c r="B790" t="s">
        <v>577</v>
      </c>
      <c r="C790" t="s">
        <v>217</v>
      </c>
      <c r="D790" t="s">
        <v>593</v>
      </c>
      <c r="E790" s="230">
        <v>29.17</v>
      </c>
      <c r="F790" t="s">
        <v>560</v>
      </c>
      <c r="G790" t="b">
        <v>1</v>
      </c>
      <c r="H790" t="s">
        <v>594</v>
      </c>
    </row>
    <row r="791" spans="1:8" x14ac:dyDescent="0.3">
      <c r="A791" t="s">
        <v>557</v>
      </c>
      <c r="B791" t="s">
        <v>577</v>
      </c>
      <c r="C791" t="s">
        <v>219</v>
      </c>
      <c r="D791" t="s">
        <v>593</v>
      </c>
      <c r="E791" s="230">
        <v>17.43</v>
      </c>
      <c r="F791" t="s">
        <v>560</v>
      </c>
      <c r="G791" t="b">
        <v>1</v>
      </c>
      <c r="H791" t="s">
        <v>594</v>
      </c>
    </row>
    <row r="792" spans="1:8" x14ac:dyDescent="0.3">
      <c r="A792" t="s">
        <v>557</v>
      </c>
      <c r="B792" t="s">
        <v>577</v>
      </c>
      <c r="C792" t="s">
        <v>221</v>
      </c>
      <c r="D792" t="s">
        <v>593</v>
      </c>
      <c r="E792" s="230">
        <v>0</v>
      </c>
      <c r="F792" t="s">
        <v>560</v>
      </c>
      <c r="G792" t="b">
        <v>1</v>
      </c>
      <c r="H792" t="s">
        <v>594</v>
      </c>
    </row>
    <row r="793" spans="1:8" x14ac:dyDescent="0.3">
      <c r="A793" t="s">
        <v>557</v>
      </c>
      <c r="B793" t="s">
        <v>577</v>
      </c>
      <c r="C793" t="s">
        <v>223</v>
      </c>
      <c r="D793" t="s">
        <v>593</v>
      </c>
      <c r="E793" s="230">
        <v>0</v>
      </c>
      <c r="F793" t="s">
        <v>560</v>
      </c>
      <c r="G793" t="b">
        <v>1</v>
      </c>
      <c r="H793" t="s">
        <v>594</v>
      </c>
    </row>
    <row r="794" spans="1:8" x14ac:dyDescent="0.3">
      <c r="A794" t="s">
        <v>557</v>
      </c>
      <c r="B794" t="s">
        <v>577</v>
      </c>
      <c r="C794" t="s">
        <v>225</v>
      </c>
      <c r="D794" t="s">
        <v>593</v>
      </c>
      <c r="E794" s="230">
        <v>1058.42</v>
      </c>
      <c r="F794" t="s">
        <v>560</v>
      </c>
      <c r="G794" t="b">
        <v>1</v>
      </c>
      <c r="H794" t="s">
        <v>594</v>
      </c>
    </row>
    <row r="795" spans="1:8" x14ac:dyDescent="0.3">
      <c r="A795" t="s">
        <v>557</v>
      </c>
      <c r="B795" t="s">
        <v>577</v>
      </c>
      <c r="C795" t="s">
        <v>227</v>
      </c>
      <c r="D795" t="s">
        <v>593</v>
      </c>
      <c r="E795" s="230">
        <v>0</v>
      </c>
      <c r="F795" t="s">
        <v>560</v>
      </c>
      <c r="G795" t="b">
        <v>1</v>
      </c>
      <c r="H795" t="s">
        <v>594</v>
      </c>
    </row>
    <row r="796" spans="1:8" x14ac:dyDescent="0.3">
      <c r="A796" t="s">
        <v>557</v>
      </c>
      <c r="B796" t="s">
        <v>577</v>
      </c>
      <c r="C796" t="s">
        <v>229</v>
      </c>
      <c r="D796" t="s">
        <v>593</v>
      </c>
      <c r="E796" s="230">
        <v>1833.34</v>
      </c>
      <c r="F796" t="s">
        <v>560</v>
      </c>
      <c r="G796" t="b">
        <v>1</v>
      </c>
      <c r="H796" t="s">
        <v>594</v>
      </c>
    </row>
    <row r="797" spans="1:8" x14ac:dyDescent="0.3">
      <c r="A797" t="s">
        <v>557</v>
      </c>
      <c r="B797" t="s">
        <v>577</v>
      </c>
      <c r="C797" t="s">
        <v>231</v>
      </c>
      <c r="D797" t="s">
        <v>593</v>
      </c>
      <c r="E797" s="230">
        <v>1828.17</v>
      </c>
      <c r="F797" t="s">
        <v>560</v>
      </c>
      <c r="G797" t="b">
        <v>1</v>
      </c>
      <c r="H797" t="s">
        <v>594</v>
      </c>
    </row>
    <row r="798" spans="1:8" x14ac:dyDescent="0.3">
      <c r="A798" t="s">
        <v>557</v>
      </c>
      <c r="B798" t="s">
        <v>577</v>
      </c>
      <c r="C798" t="s">
        <v>234</v>
      </c>
      <c r="D798" t="s">
        <v>593</v>
      </c>
      <c r="E798" s="230">
        <v>248.97</v>
      </c>
      <c r="F798" t="s">
        <v>560</v>
      </c>
      <c r="G798" t="b">
        <v>1</v>
      </c>
      <c r="H798" t="s">
        <v>594</v>
      </c>
    </row>
    <row r="799" spans="1:8" x14ac:dyDescent="0.3">
      <c r="A799" t="s">
        <v>557</v>
      </c>
      <c r="B799" t="s">
        <v>577</v>
      </c>
      <c r="C799" t="s">
        <v>236</v>
      </c>
      <c r="D799" t="s">
        <v>593</v>
      </c>
      <c r="E799" s="230">
        <v>0</v>
      </c>
      <c r="F799" t="s">
        <v>560</v>
      </c>
      <c r="G799" t="b">
        <v>1</v>
      </c>
      <c r="H799" t="s">
        <v>594</v>
      </c>
    </row>
    <row r="800" spans="1:8" x14ac:dyDescent="0.3">
      <c r="A800" t="s">
        <v>557</v>
      </c>
      <c r="B800" t="s">
        <v>577</v>
      </c>
      <c r="C800" t="s">
        <v>237</v>
      </c>
      <c r="D800" t="s">
        <v>593</v>
      </c>
      <c r="E800" s="230">
        <v>0</v>
      </c>
      <c r="F800" t="s">
        <v>560</v>
      </c>
      <c r="G800" t="b">
        <v>1</v>
      </c>
      <c r="H800" t="s">
        <v>594</v>
      </c>
    </row>
    <row r="801" spans="1:8" x14ac:dyDescent="0.3">
      <c r="A801" t="s">
        <v>557</v>
      </c>
      <c r="B801" t="s">
        <v>578</v>
      </c>
      <c r="C801" t="s">
        <v>239</v>
      </c>
      <c r="D801" t="s">
        <v>593</v>
      </c>
      <c r="E801" s="230">
        <v>4500</v>
      </c>
      <c r="F801" t="s">
        <v>560</v>
      </c>
      <c r="G801" t="b">
        <v>1</v>
      </c>
      <c r="H801" t="s">
        <v>594</v>
      </c>
    </row>
    <row r="802" spans="1:8" x14ac:dyDescent="0.3">
      <c r="A802" t="s">
        <v>557</v>
      </c>
      <c r="B802" t="s">
        <v>578</v>
      </c>
      <c r="C802" t="s">
        <v>240</v>
      </c>
      <c r="D802" t="s">
        <v>593</v>
      </c>
      <c r="E802" s="230">
        <v>0</v>
      </c>
      <c r="F802" t="s">
        <v>560</v>
      </c>
      <c r="G802" t="b">
        <v>1</v>
      </c>
      <c r="H802" t="s">
        <v>594</v>
      </c>
    </row>
    <row r="803" spans="1:8" x14ac:dyDescent="0.3">
      <c r="A803" t="s">
        <v>557</v>
      </c>
      <c r="B803" t="s">
        <v>578</v>
      </c>
      <c r="C803" t="s">
        <v>241</v>
      </c>
      <c r="D803" t="s">
        <v>593</v>
      </c>
      <c r="E803" s="230">
        <v>0</v>
      </c>
      <c r="F803" t="s">
        <v>560</v>
      </c>
      <c r="G803" t="b">
        <v>1</v>
      </c>
      <c r="H803" t="s">
        <v>594</v>
      </c>
    </row>
    <row r="804" spans="1:8" x14ac:dyDescent="0.3">
      <c r="A804" t="s">
        <v>557</v>
      </c>
      <c r="B804" t="s">
        <v>578</v>
      </c>
      <c r="C804" t="s">
        <v>242</v>
      </c>
      <c r="D804" t="s">
        <v>593</v>
      </c>
      <c r="E804" s="230">
        <v>150</v>
      </c>
      <c r="F804" t="s">
        <v>560</v>
      </c>
      <c r="G804" t="b">
        <v>1</v>
      </c>
      <c r="H804" t="s">
        <v>594</v>
      </c>
    </row>
    <row r="805" spans="1:8" x14ac:dyDescent="0.3">
      <c r="A805" t="s">
        <v>557</v>
      </c>
      <c r="B805" t="s">
        <v>578</v>
      </c>
      <c r="C805" t="s">
        <v>244</v>
      </c>
      <c r="D805" t="s">
        <v>593</v>
      </c>
      <c r="E805" s="230">
        <v>0</v>
      </c>
      <c r="F805" t="s">
        <v>560</v>
      </c>
      <c r="G805" t="b">
        <v>1</v>
      </c>
      <c r="H805" t="s">
        <v>594</v>
      </c>
    </row>
    <row r="806" spans="1:8" x14ac:dyDescent="0.3">
      <c r="A806" t="s">
        <v>557</v>
      </c>
      <c r="B806" t="s">
        <v>578</v>
      </c>
      <c r="C806" t="s">
        <v>246</v>
      </c>
      <c r="D806" t="s">
        <v>593</v>
      </c>
      <c r="E806" s="230">
        <v>0</v>
      </c>
      <c r="F806" t="s">
        <v>560</v>
      </c>
      <c r="G806" t="b">
        <v>1</v>
      </c>
      <c r="H806" t="s">
        <v>594</v>
      </c>
    </row>
    <row r="807" spans="1:8" x14ac:dyDescent="0.3">
      <c r="A807" t="s">
        <v>557</v>
      </c>
      <c r="B807" t="s">
        <v>578</v>
      </c>
      <c r="C807" t="s">
        <v>247</v>
      </c>
      <c r="D807" t="s">
        <v>593</v>
      </c>
      <c r="E807" s="230">
        <v>74.16</v>
      </c>
      <c r="F807" t="s">
        <v>560</v>
      </c>
      <c r="G807" t="b">
        <v>1</v>
      </c>
      <c r="H807" t="s">
        <v>594</v>
      </c>
    </row>
    <row r="808" spans="1:8" x14ac:dyDescent="0.3">
      <c r="A808" t="s">
        <v>557</v>
      </c>
      <c r="B808" t="s">
        <v>578</v>
      </c>
      <c r="C808" t="s">
        <v>249</v>
      </c>
      <c r="D808" t="s">
        <v>593</v>
      </c>
      <c r="E808" s="230">
        <v>0</v>
      </c>
      <c r="F808" t="s">
        <v>560</v>
      </c>
      <c r="G808" t="b">
        <v>1</v>
      </c>
      <c r="H808" t="s">
        <v>594</v>
      </c>
    </row>
    <row r="809" spans="1:8" x14ac:dyDescent="0.3">
      <c r="A809" t="s">
        <v>557</v>
      </c>
      <c r="B809" t="s">
        <v>578</v>
      </c>
      <c r="C809" t="s">
        <v>250</v>
      </c>
      <c r="D809" t="s">
        <v>593</v>
      </c>
      <c r="E809" s="230">
        <v>0</v>
      </c>
      <c r="F809" t="s">
        <v>560</v>
      </c>
      <c r="G809" t="b">
        <v>1</v>
      </c>
      <c r="H809" t="s">
        <v>594</v>
      </c>
    </row>
    <row r="810" spans="1:8" x14ac:dyDescent="0.3">
      <c r="A810" t="s">
        <v>557</v>
      </c>
      <c r="B810" t="s">
        <v>578</v>
      </c>
      <c r="C810" t="s">
        <v>251</v>
      </c>
      <c r="D810" t="s">
        <v>593</v>
      </c>
      <c r="E810" s="230">
        <v>0</v>
      </c>
      <c r="F810" t="s">
        <v>560</v>
      </c>
      <c r="G810" t="b">
        <v>1</v>
      </c>
      <c r="H810" t="s">
        <v>594</v>
      </c>
    </row>
    <row r="811" spans="1:8" x14ac:dyDescent="0.3">
      <c r="A811" t="s">
        <v>557</v>
      </c>
      <c r="B811" t="s">
        <v>578</v>
      </c>
      <c r="C811" t="s">
        <v>252</v>
      </c>
      <c r="D811" t="s">
        <v>593</v>
      </c>
      <c r="E811" s="230">
        <v>16696.16</v>
      </c>
      <c r="F811" t="s">
        <v>560</v>
      </c>
      <c r="G811" t="b">
        <v>1</v>
      </c>
      <c r="H811" t="s">
        <v>594</v>
      </c>
    </row>
    <row r="812" spans="1:8" x14ac:dyDescent="0.3">
      <c r="A812" t="s">
        <v>557</v>
      </c>
      <c r="B812" t="s">
        <v>579</v>
      </c>
      <c r="C812" t="s">
        <v>253</v>
      </c>
      <c r="D812" t="s">
        <v>593</v>
      </c>
      <c r="E812" s="230">
        <v>0</v>
      </c>
      <c r="F812" t="s">
        <v>560</v>
      </c>
      <c r="G812" t="b">
        <v>1</v>
      </c>
      <c r="H812" t="s">
        <v>594</v>
      </c>
    </row>
    <row r="813" spans="1:8" x14ac:dyDescent="0.3">
      <c r="A813" t="s">
        <v>557</v>
      </c>
      <c r="B813" t="s">
        <v>256</v>
      </c>
      <c r="C813" t="s">
        <v>257</v>
      </c>
      <c r="D813" t="s">
        <v>593</v>
      </c>
      <c r="E813" s="230">
        <v>51452.1</v>
      </c>
      <c r="F813" t="s">
        <v>560</v>
      </c>
      <c r="G813" t="b">
        <v>1</v>
      </c>
      <c r="H813" t="s">
        <v>594</v>
      </c>
    </row>
    <row r="814" spans="1:8" x14ac:dyDescent="0.3">
      <c r="A814" t="s">
        <v>557</v>
      </c>
      <c r="B814" t="s">
        <v>256</v>
      </c>
      <c r="C814" t="s">
        <v>258</v>
      </c>
      <c r="D814" t="s">
        <v>593</v>
      </c>
      <c r="E814" s="230">
        <v>0</v>
      </c>
      <c r="F814" t="s">
        <v>560</v>
      </c>
      <c r="G814" t="b">
        <v>1</v>
      </c>
      <c r="H814" t="s">
        <v>594</v>
      </c>
    </row>
    <row r="815" spans="1:8" x14ac:dyDescent="0.3">
      <c r="A815" t="s">
        <v>557</v>
      </c>
      <c r="B815" t="s">
        <v>256</v>
      </c>
      <c r="C815" t="s">
        <v>259</v>
      </c>
      <c r="D815" t="s">
        <v>593</v>
      </c>
      <c r="E815" s="230">
        <v>2847.92</v>
      </c>
      <c r="F815" t="s">
        <v>560</v>
      </c>
      <c r="G815" t="b">
        <v>1</v>
      </c>
      <c r="H815" t="s">
        <v>594</v>
      </c>
    </row>
    <row r="816" spans="1:8" x14ac:dyDescent="0.3">
      <c r="A816" t="s">
        <v>557</v>
      </c>
      <c r="B816" t="s">
        <v>256</v>
      </c>
      <c r="C816" t="s">
        <v>260</v>
      </c>
      <c r="D816" t="s">
        <v>593</v>
      </c>
      <c r="E816" s="230">
        <v>0</v>
      </c>
      <c r="F816" t="s">
        <v>560</v>
      </c>
      <c r="G816" t="b">
        <v>1</v>
      </c>
      <c r="H816" t="s">
        <v>594</v>
      </c>
    </row>
    <row r="817" spans="1:8" x14ac:dyDescent="0.3">
      <c r="A817" t="s">
        <v>557</v>
      </c>
      <c r="B817" t="s">
        <v>256</v>
      </c>
      <c r="C817" t="s">
        <v>261</v>
      </c>
      <c r="D817" t="s">
        <v>593</v>
      </c>
      <c r="E817" s="230">
        <v>0</v>
      </c>
      <c r="F817" t="s">
        <v>560</v>
      </c>
      <c r="G817" t="b">
        <v>1</v>
      </c>
      <c r="H817" t="s">
        <v>594</v>
      </c>
    </row>
    <row r="818" spans="1:8" x14ac:dyDescent="0.3">
      <c r="A818" t="s">
        <v>557</v>
      </c>
      <c r="B818" t="s">
        <v>256</v>
      </c>
      <c r="C818" t="s">
        <v>262</v>
      </c>
      <c r="D818" t="s">
        <v>593</v>
      </c>
      <c r="E818" s="230">
        <v>0</v>
      </c>
      <c r="F818" t="s">
        <v>560</v>
      </c>
      <c r="G818" t="b">
        <v>1</v>
      </c>
      <c r="H818" t="s">
        <v>594</v>
      </c>
    </row>
    <row r="819" spans="1:8" x14ac:dyDescent="0.3">
      <c r="A819" t="s">
        <v>557</v>
      </c>
      <c r="B819" t="s">
        <v>256</v>
      </c>
      <c r="C819" t="s">
        <v>263</v>
      </c>
      <c r="D819" t="s">
        <v>593</v>
      </c>
      <c r="E819" s="230">
        <v>220.55</v>
      </c>
      <c r="F819" t="s">
        <v>560</v>
      </c>
      <c r="G819" t="b">
        <v>1</v>
      </c>
      <c r="H819" t="s">
        <v>594</v>
      </c>
    </row>
    <row r="820" spans="1:8" x14ac:dyDescent="0.3">
      <c r="A820" t="s">
        <v>557</v>
      </c>
      <c r="B820" t="s">
        <v>264</v>
      </c>
      <c r="C820" t="s">
        <v>265</v>
      </c>
      <c r="D820" t="s">
        <v>593</v>
      </c>
      <c r="E820" s="230">
        <v>5213.28</v>
      </c>
      <c r="F820" t="s">
        <v>560</v>
      </c>
      <c r="G820" t="b">
        <v>1</v>
      </c>
      <c r="H820" t="s">
        <v>594</v>
      </c>
    </row>
    <row r="821" spans="1:8" x14ac:dyDescent="0.3">
      <c r="A821" t="s">
        <v>557</v>
      </c>
      <c r="B821" t="s">
        <v>264</v>
      </c>
      <c r="C821" t="s">
        <v>266</v>
      </c>
      <c r="D821" t="s">
        <v>593</v>
      </c>
      <c r="E821" s="230">
        <v>11063.28</v>
      </c>
      <c r="F821" t="s">
        <v>560</v>
      </c>
      <c r="G821" t="b">
        <v>1</v>
      </c>
      <c r="H821" t="s">
        <v>594</v>
      </c>
    </row>
    <row r="822" spans="1:8" x14ac:dyDescent="0.3">
      <c r="A822" t="s">
        <v>557</v>
      </c>
      <c r="B822" t="s">
        <v>264</v>
      </c>
      <c r="C822" t="s">
        <v>267</v>
      </c>
      <c r="D822" t="s">
        <v>593</v>
      </c>
      <c r="E822" s="230">
        <v>6913.28</v>
      </c>
      <c r="F822" t="s">
        <v>560</v>
      </c>
      <c r="G822" t="b">
        <v>1</v>
      </c>
      <c r="H822" t="s">
        <v>594</v>
      </c>
    </row>
    <row r="823" spans="1:8" x14ac:dyDescent="0.3">
      <c r="A823" t="s">
        <v>557</v>
      </c>
      <c r="B823" t="s">
        <v>264</v>
      </c>
      <c r="C823" t="s">
        <v>268</v>
      </c>
      <c r="D823" t="s">
        <v>593</v>
      </c>
      <c r="E823" s="230">
        <v>6513.28</v>
      </c>
      <c r="F823" t="s">
        <v>560</v>
      </c>
      <c r="G823" t="b">
        <v>1</v>
      </c>
      <c r="H823" t="s">
        <v>594</v>
      </c>
    </row>
    <row r="824" spans="1:8" x14ac:dyDescent="0.3">
      <c r="A824" t="s">
        <v>557</v>
      </c>
      <c r="B824" t="s">
        <v>264</v>
      </c>
      <c r="C824" t="s">
        <v>269</v>
      </c>
      <c r="D824" t="s">
        <v>593</v>
      </c>
      <c r="E824" s="230">
        <v>563.28</v>
      </c>
      <c r="F824" t="s">
        <v>560</v>
      </c>
      <c r="G824" t="b">
        <v>1</v>
      </c>
      <c r="H824" t="s">
        <v>594</v>
      </c>
    </row>
    <row r="825" spans="1:8" x14ac:dyDescent="0.3">
      <c r="A825" t="s">
        <v>557</v>
      </c>
      <c r="B825" t="s">
        <v>264</v>
      </c>
      <c r="C825" t="s">
        <v>270</v>
      </c>
      <c r="D825" t="s">
        <v>593</v>
      </c>
      <c r="E825" s="230">
        <v>561</v>
      </c>
      <c r="F825" t="s">
        <v>560</v>
      </c>
      <c r="G825" t="b">
        <v>1</v>
      </c>
      <c r="H825" t="s">
        <v>594</v>
      </c>
    </row>
    <row r="826" spans="1:8" x14ac:dyDescent="0.3">
      <c r="A826" t="s">
        <v>557</v>
      </c>
      <c r="B826" t="s">
        <v>264</v>
      </c>
      <c r="C826" t="s">
        <v>271</v>
      </c>
      <c r="D826" t="s">
        <v>593</v>
      </c>
      <c r="E826" s="230">
        <v>1213.28</v>
      </c>
      <c r="F826" t="s">
        <v>560</v>
      </c>
      <c r="G826" t="b">
        <v>1</v>
      </c>
      <c r="H826" t="s">
        <v>594</v>
      </c>
    </row>
    <row r="827" spans="1:8" x14ac:dyDescent="0.3">
      <c r="A827" t="s">
        <v>557</v>
      </c>
      <c r="B827" t="s">
        <v>264</v>
      </c>
      <c r="C827" t="s">
        <v>272</v>
      </c>
      <c r="D827" t="s">
        <v>593</v>
      </c>
      <c r="E827" s="230">
        <v>2313.2800000000002</v>
      </c>
      <c r="F827" t="s">
        <v>560</v>
      </c>
      <c r="G827" t="b">
        <v>1</v>
      </c>
      <c r="H827" t="s">
        <v>594</v>
      </c>
    </row>
    <row r="828" spans="1:8" x14ac:dyDescent="0.3">
      <c r="A828" t="s">
        <v>557</v>
      </c>
      <c r="B828" t="s">
        <v>264</v>
      </c>
      <c r="C828" t="s">
        <v>273</v>
      </c>
      <c r="D828" t="s">
        <v>593</v>
      </c>
      <c r="E828" s="230">
        <v>213.28</v>
      </c>
      <c r="F828" t="s">
        <v>560</v>
      </c>
      <c r="G828" t="b">
        <v>1</v>
      </c>
      <c r="H828" t="s">
        <v>594</v>
      </c>
    </row>
    <row r="829" spans="1:8" x14ac:dyDescent="0.3">
      <c r="A829" t="s">
        <v>557</v>
      </c>
      <c r="B829" t="s">
        <v>264</v>
      </c>
      <c r="C829" t="s">
        <v>580</v>
      </c>
      <c r="D829" t="s">
        <v>593</v>
      </c>
      <c r="E829" s="230">
        <v>213.28</v>
      </c>
      <c r="F829" t="s">
        <v>560</v>
      </c>
      <c r="G829" t="b">
        <v>1</v>
      </c>
      <c r="H829" t="s">
        <v>594</v>
      </c>
    </row>
    <row r="830" spans="1:8" x14ac:dyDescent="0.3">
      <c r="A830" t="s">
        <v>557</v>
      </c>
      <c r="B830" t="s">
        <v>264</v>
      </c>
      <c r="C830" t="s">
        <v>275</v>
      </c>
      <c r="D830" t="s">
        <v>593</v>
      </c>
      <c r="E830" s="230">
        <v>1213.28</v>
      </c>
      <c r="F830" t="s">
        <v>560</v>
      </c>
      <c r="G830" t="b">
        <v>1</v>
      </c>
      <c r="H830" t="s">
        <v>594</v>
      </c>
    </row>
    <row r="831" spans="1:8" x14ac:dyDescent="0.3">
      <c r="A831" t="s">
        <v>557</v>
      </c>
      <c r="B831" t="s">
        <v>264</v>
      </c>
      <c r="C831" t="s">
        <v>276</v>
      </c>
      <c r="D831" t="s">
        <v>593</v>
      </c>
      <c r="E831" s="230">
        <v>1551.98</v>
      </c>
      <c r="F831" t="s">
        <v>560</v>
      </c>
      <c r="G831" t="b">
        <v>1</v>
      </c>
      <c r="H831" t="s">
        <v>594</v>
      </c>
    </row>
    <row r="832" spans="1:8" x14ac:dyDescent="0.3">
      <c r="A832" t="s">
        <v>557</v>
      </c>
      <c r="B832" t="s">
        <v>264</v>
      </c>
      <c r="C832" t="s">
        <v>277</v>
      </c>
      <c r="D832" t="s">
        <v>593</v>
      </c>
      <c r="E832" s="230">
        <v>250</v>
      </c>
      <c r="F832" t="s">
        <v>560</v>
      </c>
      <c r="G832" t="b">
        <v>1</v>
      </c>
      <c r="H832" t="s">
        <v>594</v>
      </c>
    </row>
    <row r="833" spans="1:8" x14ac:dyDescent="0.3">
      <c r="A833" t="s">
        <v>557</v>
      </c>
      <c r="B833" t="s">
        <v>264</v>
      </c>
      <c r="C833" t="s">
        <v>278</v>
      </c>
      <c r="D833" t="s">
        <v>593</v>
      </c>
      <c r="E833" s="230">
        <v>3313.28</v>
      </c>
      <c r="F833" t="s">
        <v>560</v>
      </c>
      <c r="G833" t="b">
        <v>1</v>
      </c>
      <c r="H833" t="s">
        <v>594</v>
      </c>
    </row>
    <row r="834" spans="1:8" x14ac:dyDescent="0.3">
      <c r="A834" t="s">
        <v>557</v>
      </c>
      <c r="B834" t="s">
        <v>279</v>
      </c>
      <c r="C834" t="s">
        <v>280</v>
      </c>
      <c r="D834" t="s">
        <v>593</v>
      </c>
      <c r="E834" s="230">
        <v>0</v>
      </c>
      <c r="F834" t="s">
        <v>560</v>
      </c>
      <c r="G834" t="b">
        <v>1</v>
      </c>
      <c r="H834" t="s">
        <v>594</v>
      </c>
    </row>
    <row r="835" spans="1:8" x14ac:dyDescent="0.3">
      <c r="A835" t="s">
        <v>557</v>
      </c>
      <c r="B835" t="s">
        <v>279</v>
      </c>
      <c r="C835" t="s">
        <v>281</v>
      </c>
      <c r="D835" t="s">
        <v>593</v>
      </c>
      <c r="E835" s="230">
        <v>608.54999999999995</v>
      </c>
      <c r="F835" t="s">
        <v>560</v>
      </c>
      <c r="G835" t="b">
        <v>1</v>
      </c>
      <c r="H835" t="s">
        <v>594</v>
      </c>
    </row>
    <row r="836" spans="1:8" x14ac:dyDescent="0.3">
      <c r="A836" t="s">
        <v>557</v>
      </c>
      <c r="B836" t="s">
        <v>279</v>
      </c>
      <c r="C836" t="s">
        <v>282</v>
      </c>
      <c r="D836" t="s">
        <v>593</v>
      </c>
      <c r="E836" s="230">
        <v>416.13</v>
      </c>
      <c r="F836" t="s">
        <v>560</v>
      </c>
      <c r="G836" t="b">
        <v>1</v>
      </c>
      <c r="H836" t="s">
        <v>594</v>
      </c>
    </row>
    <row r="837" spans="1:8" x14ac:dyDescent="0.3">
      <c r="A837" t="s">
        <v>557</v>
      </c>
      <c r="B837" t="s">
        <v>279</v>
      </c>
      <c r="C837" t="s">
        <v>283</v>
      </c>
      <c r="D837" t="s">
        <v>593</v>
      </c>
      <c r="E837" s="230">
        <v>0</v>
      </c>
      <c r="F837" t="s">
        <v>560</v>
      </c>
      <c r="G837" t="b">
        <v>1</v>
      </c>
      <c r="H837" t="s">
        <v>594</v>
      </c>
    </row>
    <row r="838" spans="1:8" x14ac:dyDescent="0.3">
      <c r="A838" t="s">
        <v>557</v>
      </c>
      <c r="B838" t="s">
        <v>279</v>
      </c>
      <c r="C838" t="s">
        <v>284</v>
      </c>
      <c r="D838" t="s">
        <v>593</v>
      </c>
      <c r="E838" s="230">
        <v>2614.5</v>
      </c>
      <c r="F838" t="s">
        <v>560</v>
      </c>
      <c r="G838" t="b">
        <v>1</v>
      </c>
      <c r="H838" t="s">
        <v>594</v>
      </c>
    </row>
    <row r="839" spans="1:8" x14ac:dyDescent="0.3">
      <c r="A839" t="s">
        <v>557</v>
      </c>
      <c r="B839" t="s">
        <v>279</v>
      </c>
      <c r="C839" t="s">
        <v>285</v>
      </c>
      <c r="D839" t="s">
        <v>593</v>
      </c>
      <c r="E839" s="230">
        <v>408.45</v>
      </c>
      <c r="F839" t="s">
        <v>560</v>
      </c>
      <c r="G839" t="b">
        <v>1</v>
      </c>
      <c r="H839" t="s">
        <v>594</v>
      </c>
    </row>
    <row r="840" spans="1:8" x14ac:dyDescent="0.3">
      <c r="A840" t="s">
        <v>557</v>
      </c>
      <c r="B840" t="s">
        <v>279</v>
      </c>
      <c r="C840" t="s">
        <v>286</v>
      </c>
      <c r="D840" t="s">
        <v>593</v>
      </c>
      <c r="E840" s="230">
        <v>1017.45</v>
      </c>
      <c r="F840" t="s">
        <v>560</v>
      </c>
      <c r="G840" t="b">
        <v>1</v>
      </c>
      <c r="H840" t="s">
        <v>594</v>
      </c>
    </row>
    <row r="841" spans="1:8" x14ac:dyDescent="0.3">
      <c r="A841" t="s">
        <v>557</v>
      </c>
      <c r="B841" t="s">
        <v>581</v>
      </c>
      <c r="C841" t="s">
        <v>288</v>
      </c>
      <c r="D841" t="s">
        <v>593</v>
      </c>
      <c r="E841" s="230">
        <v>4139.84</v>
      </c>
      <c r="F841" t="s">
        <v>560</v>
      </c>
      <c r="G841" t="b">
        <v>1</v>
      </c>
      <c r="H841" t="s">
        <v>594</v>
      </c>
    </row>
    <row r="842" spans="1:8" x14ac:dyDescent="0.3">
      <c r="A842" t="s">
        <v>557</v>
      </c>
      <c r="B842" t="s">
        <v>581</v>
      </c>
      <c r="C842" t="s">
        <v>289</v>
      </c>
      <c r="D842" t="s">
        <v>593</v>
      </c>
      <c r="E842" s="230">
        <v>1285.31</v>
      </c>
      <c r="F842" t="s">
        <v>560</v>
      </c>
      <c r="G842" t="b">
        <v>1</v>
      </c>
      <c r="H842" t="s">
        <v>594</v>
      </c>
    </row>
    <row r="843" spans="1:8" x14ac:dyDescent="0.3">
      <c r="A843" t="s">
        <v>557</v>
      </c>
      <c r="B843" t="s">
        <v>581</v>
      </c>
      <c r="C843" t="s">
        <v>290</v>
      </c>
      <c r="D843" t="s">
        <v>593</v>
      </c>
      <c r="E843" s="230">
        <v>1085.31</v>
      </c>
      <c r="F843" t="s">
        <v>560</v>
      </c>
      <c r="G843" t="b">
        <v>1</v>
      </c>
      <c r="H843" t="s">
        <v>594</v>
      </c>
    </row>
    <row r="844" spans="1:8" x14ac:dyDescent="0.3">
      <c r="A844" t="s">
        <v>557</v>
      </c>
      <c r="B844" t="s">
        <v>581</v>
      </c>
      <c r="C844" t="s">
        <v>291</v>
      </c>
      <c r="D844" t="s">
        <v>593</v>
      </c>
      <c r="E844" s="230">
        <v>385.31</v>
      </c>
      <c r="F844" t="s">
        <v>560</v>
      </c>
      <c r="G844" t="b">
        <v>1</v>
      </c>
      <c r="H844" t="s">
        <v>594</v>
      </c>
    </row>
    <row r="845" spans="1:8" x14ac:dyDescent="0.3">
      <c r="A845" t="s">
        <v>557</v>
      </c>
      <c r="B845" t="s">
        <v>581</v>
      </c>
      <c r="C845" t="s">
        <v>292</v>
      </c>
      <c r="D845" t="s">
        <v>593</v>
      </c>
      <c r="E845" s="230">
        <v>0</v>
      </c>
      <c r="F845" t="s">
        <v>560</v>
      </c>
      <c r="G845" t="b">
        <v>1</v>
      </c>
      <c r="H845" t="s">
        <v>594</v>
      </c>
    </row>
    <row r="846" spans="1:8" x14ac:dyDescent="0.3">
      <c r="A846" t="s">
        <v>557</v>
      </c>
      <c r="B846" t="s">
        <v>582</v>
      </c>
      <c r="C846" t="s">
        <v>293</v>
      </c>
      <c r="D846" t="s">
        <v>593</v>
      </c>
      <c r="E846" s="230">
        <v>585.30999999999995</v>
      </c>
      <c r="F846" t="s">
        <v>560</v>
      </c>
      <c r="G846" t="b">
        <v>1</v>
      </c>
      <c r="H846" t="s">
        <v>594</v>
      </c>
    </row>
    <row r="847" spans="1:8" x14ac:dyDescent="0.3">
      <c r="A847" t="s">
        <v>557</v>
      </c>
      <c r="B847" t="s">
        <v>582</v>
      </c>
      <c r="C847" t="s">
        <v>294</v>
      </c>
      <c r="D847" t="s">
        <v>593</v>
      </c>
      <c r="E847" s="230">
        <v>0</v>
      </c>
      <c r="F847" t="s">
        <v>560</v>
      </c>
      <c r="G847" t="b">
        <v>1</v>
      </c>
      <c r="H847" t="s">
        <v>594</v>
      </c>
    </row>
    <row r="848" spans="1:8" x14ac:dyDescent="0.3">
      <c r="A848" t="s">
        <v>557</v>
      </c>
      <c r="B848" t="s">
        <v>582</v>
      </c>
      <c r="C848" t="s">
        <v>295</v>
      </c>
      <c r="D848" t="s">
        <v>593</v>
      </c>
      <c r="E848" s="230">
        <v>0</v>
      </c>
      <c r="F848" t="s">
        <v>560</v>
      </c>
      <c r="G848" t="b">
        <v>1</v>
      </c>
      <c r="H848" t="s">
        <v>594</v>
      </c>
    </row>
    <row r="849" spans="1:8" x14ac:dyDescent="0.3">
      <c r="A849" t="s">
        <v>557</v>
      </c>
      <c r="B849" t="s">
        <v>296</v>
      </c>
      <c r="C849" t="s">
        <v>297</v>
      </c>
      <c r="D849" t="s">
        <v>593</v>
      </c>
      <c r="E849" s="230">
        <v>4200</v>
      </c>
      <c r="F849" t="s">
        <v>560</v>
      </c>
      <c r="G849" t="b">
        <v>1</v>
      </c>
      <c r="H849" t="s">
        <v>594</v>
      </c>
    </row>
    <row r="850" spans="1:8" x14ac:dyDescent="0.3">
      <c r="A850" t="s">
        <v>557</v>
      </c>
      <c r="B850" t="s">
        <v>296</v>
      </c>
      <c r="C850" t="s">
        <v>298</v>
      </c>
      <c r="D850" t="s">
        <v>593</v>
      </c>
      <c r="E850" s="230">
        <v>525</v>
      </c>
      <c r="F850" t="s">
        <v>560</v>
      </c>
      <c r="G850" t="b">
        <v>1</v>
      </c>
      <c r="H850" t="s">
        <v>594</v>
      </c>
    </row>
    <row r="851" spans="1:8" x14ac:dyDescent="0.3">
      <c r="A851" t="s">
        <v>557</v>
      </c>
      <c r="B851" t="s">
        <v>296</v>
      </c>
      <c r="C851" t="s">
        <v>299</v>
      </c>
      <c r="D851" t="s">
        <v>593</v>
      </c>
      <c r="E851" s="230">
        <v>0</v>
      </c>
      <c r="F851" t="s">
        <v>560</v>
      </c>
      <c r="G851" t="b">
        <v>1</v>
      </c>
      <c r="H851" t="s">
        <v>594</v>
      </c>
    </row>
    <row r="852" spans="1:8" x14ac:dyDescent="0.3">
      <c r="A852" t="s">
        <v>557</v>
      </c>
      <c r="B852" t="s">
        <v>296</v>
      </c>
      <c r="C852" t="s">
        <v>300</v>
      </c>
      <c r="D852" t="s">
        <v>593</v>
      </c>
      <c r="E852" s="230">
        <v>0</v>
      </c>
      <c r="F852" t="s">
        <v>560</v>
      </c>
      <c r="G852" t="b">
        <v>1</v>
      </c>
      <c r="H852" t="s">
        <v>594</v>
      </c>
    </row>
    <row r="853" spans="1:8" x14ac:dyDescent="0.3">
      <c r="A853" t="s">
        <v>557</v>
      </c>
      <c r="B853" t="s">
        <v>296</v>
      </c>
      <c r="C853" t="s">
        <v>301</v>
      </c>
      <c r="D853" t="s">
        <v>593</v>
      </c>
      <c r="E853" s="230">
        <v>1085.31</v>
      </c>
      <c r="F853" t="s">
        <v>560</v>
      </c>
      <c r="G853" t="b">
        <v>1</v>
      </c>
      <c r="H853" t="s">
        <v>594</v>
      </c>
    </row>
    <row r="854" spans="1:8" x14ac:dyDescent="0.3">
      <c r="A854" t="s">
        <v>557</v>
      </c>
      <c r="B854" t="s">
        <v>296</v>
      </c>
      <c r="C854" t="s">
        <v>302</v>
      </c>
      <c r="D854" t="s">
        <v>593</v>
      </c>
      <c r="E854" s="230">
        <v>0</v>
      </c>
      <c r="F854" t="s">
        <v>560</v>
      </c>
      <c r="G854" t="b">
        <v>1</v>
      </c>
      <c r="H854" t="s">
        <v>594</v>
      </c>
    </row>
    <row r="855" spans="1:8" x14ac:dyDescent="0.3">
      <c r="A855" t="s">
        <v>557</v>
      </c>
      <c r="B855" t="s">
        <v>296</v>
      </c>
      <c r="C855" t="s">
        <v>303</v>
      </c>
      <c r="D855" t="s">
        <v>593</v>
      </c>
      <c r="E855" s="230">
        <v>0</v>
      </c>
      <c r="F855" t="s">
        <v>560</v>
      </c>
      <c r="G855" t="b">
        <v>1</v>
      </c>
      <c r="H855" t="s">
        <v>594</v>
      </c>
    </row>
    <row r="856" spans="1:8" x14ac:dyDescent="0.3">
      <c r="A856" t="s">
        <v>557</v>
      </c>
      <c r="B856" t="s">
        <v>296</v>
      </c>
      <c r="C856" t="s">
        <v>304</v>
      </c>
      <c r="D856" t="s">
        <v>593</v>
      </c>
      <c r="E856" s="230">
        <v>0</v>
      </c>
      <c r="F856" t="s">
        <v>560</v>
      </c>
      <c r="G856" t="b">
        <v>1</v>
      </c>
      <c r="H856" t="s">
        <v>594</v>
      </c>
    </row>
    <row r="857" spans="1:8" x14ac:dyDescent="0.3">
      <c r="A857" t="s">
        <v>557</v>
      </c>
      <c r="B857" t="s">
        <v>296</v>
      </c>
      <c r="C857" t="s">
        <v>305</v>
      </c>
      <c r="D857" t="s">
        <v>593</v>
      </c>
      <c r="E857" s="230">
        <v>0</v>
      </c>
      <c r="F857" t="s">
        <v>560</v>
      </c>
      <c r="G857" t="b">
        <v>1</v>
      </c>
      <c r="H857" t="s">
        <v>594</v>
      </c>
    </row>
    <row r="858" spans="1:8" x14ac:dyDescent="0.3">
      <c r="A858" t="s">
        <v>557</v>
      </c>
      <c r="B858" t="s">
        <v>296</v>
      </c>
      <c r="C858" t="s">
        <v>583</v>
      </c>
      <c r="D858" t="s">
        <v>593</v>
      </c>
      <c r="E858" s="230">
        <v>0</v>
      </c>
      <c r="F858" t="s">
        <v>560</v>
      </c>
      <c r="G858" t="b">
        <v>1</v>
      </c>
      <c r="H858" t="s">
        <v>594</v>
      </c>
    </row>
    <row r="859" spans="1:8" x14ac:dyDescent="0.3">
      <c r="A859" t="s">
        <v>557</v>
      </c>
      <c r="B859" t="s">
        <v>296</v>
      </c>
      <c r="C859" t="s">
        <v>307</v>
      </c>
      <c r="D859" t="s">
        <v>593</v>
      </c>
      <c r="E859" s="230">
        <v>206.85</v>
      </c>
      <c r="F859" t="s">
        <v>560</v>
      </c>
      <c r="G859" t="b">
        <v>1</v>
      </c>
      <c r="H859" t="s">
        <v>594</v>
      </c>
    </row>
    <row r="860" spans="1:8" x14ac:dyDescent="0.3">
      <c r="A860" t="s">
        <v>557</v>
      </c>
      <c r="B860" t="s">
        <v>308</v>
      </c>
      <c r="C860" t="s">
        <v>309</v>
      </c>
      <c r="D860" t="s">
        <v>593</v>
      </c>
      <c r="E860" s="230">
        <v>2995.34</v>
      </c>
      <c r="F860" t="s">
        <v>560</v>
      </c>
      <c r="G860" t="b">
        <v>1</v>
      </c>
      <c r="H860" t="s">
        <v>594</v>
      </c>
    </row>
    <row r="861" spans="1:8" x14ac:dyDescent="0.3">
      <c r="A861" t="s">
        <v>557</v>
      </c>
      <c r="B861" t="s">
        <v>308</v>
      </c>
      <c r="C861" t="s">
        <v>310</v>
      </c>
      <c r="D861" t="s">
        <v>593</v>
      </c>
      <c r="E861" s="230">
        <v>0</v>
      </c>
      <c r="F861" t="s">
        <v>560</v>
      </c>
      <c r="G861" t="b">
        <v>1</v>
      </c>
      <c r="H861" t="s">
        <v>594</v>
      </c>
    </row>
    <row r="862" spans="1:8" x14ac:dyDescent="0.3">
      <c r="A862" t="s">
        <v>557</v>
      </c>
      <c r="B862" t="s">
        <v>308</v>
      </c>
      <c r="C862" t="s">
        <v>311</v>
      </c>
      <c r="D862" t="s">
        <v>593</v>
      </c>
      <c r="E862" s="230">
        <v>1627.5</v>
      </c>
      <c r="F862" t="s">
        <v>560</v>
      </c>
      <c r="G862" t="b">
        <v>1</v>
      </c>
      <c r="H862" t="s">
        <v>594</v>
      </c>
    </row>
    <row r="863" spans="1:8" x14ac:dyDescent="0.3">
      <c r="A863" t="s">
        <v>557</v>
      </c>
      <c r="B863" t="s">
        <v>308</v>
      </c>
      <c r="C863" t="s">
        <v>312</v>
      </c>
      <c r="D863" t="s">
        <v>593</v>
      </c>
      <c r="E863" s="230">
        <v>194.25</v>
      </c>
      <c r="F863" t="s">
        <v>560</v>
      </c>
      <c r="G863" t="b">
        <v>1</v>
      </c>
      <c r="H863" t="s">
        <v>594</v>
      </c>
    </row>
    <row r="864" spans="1:8" x14ac:dyDescent="0.3">
      <c r="A864" t="s">
        <v>557</v>
      </c>
      <c r="B864" t="s">
        <v>308</v>
      </c>
      <c r="C864" t="s">
        <v>313</v>
      </c>
      <c r="D864" t="s">
        <v>593</v>
      </c>
      <c r="E864" s="230">
        <v>0</v>
      </c>
      <c r="F864" t="s">
        <v>560</v>
      </c>
      <c r="G864" t="b">
        <v>1</v>
      </c>
      <c r="H864" t="s">
        <v>594</v>
      </c>
    </row>
    <row r="865" spans="1:8" x14ac:dyDescent="0.3">
      <c r="A865" t="s">
        <v>557</v>
      </c>
      <c r="B865" t="s">
        <v>308</v>
      </c>
      <c r="C865" t="s">
        <v>314</v>
      </c>
      <c r="D865" t="s">
        <v>593</v>
      </c>
      <c r="E865" s="230">
        <v>743.59</v>
      </c>
      <c r="F865" t="s">
        <v>560</v>
      </c>
      <c r="G865" t="b">
        <v>1</v>
      </c>
      <c r="H865" t="s">
        <v>594</v>
      </c>
    </row>
    <row r="866" spans="1:8" x14ac:dyDescent="0.3">
      <c r="A866" t="s">
        <v>557</v>
      </c>
      <c r="B866" t="s">
        <v>308</v>
      </c>
      <c r="C866" t="s">
        <v>315</v>
      </c>
      <c r="D866" t="s">
        <v>593</v>
      </c>
      <c r="E866" s="230">
        <v>0</v>
      </c>
      <c r="F866" t="s">
        <v>560</v>
      </c>
      <c r="G866" t="b">
        <v>1</v>
      </c>
      <c r="H866" t="s">
        <v>594</v>
      </c>
    </row>
    <row r="867" spans="1:8" x14ac:dyDescent="0.3">
      <c r="A867" t="s">
        <v>557</v>
      </c>
      <c r="B867" t="s">
        <v>308</v>
      </c>
      <c r="C867" t="s">
        <v>316</v>
      </c>
      <c r="D867" t="s">
        <v>593</v>
      </c>
      <c r="E867" s="230">
        <v>0</v>
      </c>
      <c r="F867" t="s">
        <v>560</v>
      </c>
      <c r="G867" t="b">
        <v>1</v>
      </c>
      <c r="H867" t="s">
        <v>594</v>
      </c>
    </row>
    <row r="868" spans="1:8" x14ac:dyDescent="0.3">
      <c r="A868" t="s">
        <v>557</v>
      </c>
      <c r="B868" t="s">
        <v>308</v>
      </c>
      <c r="C868" t="s">
        <v>317</v>
      </c>
      <c r="D868" t="s">
        <v>593</v>
      </c>
      <c r="E868" s="230">
        <v>0</v>
      </c>
      <c r="F868" t="s">
        <v>560</v>
      </c>
      <c r="G868" t="b">
        <v>1</v>
      </c>
      <c r="H868" t="s">
        <v>594</v>
      </c>
    </row>
    <row r="869" spans="1:8" x14ac:dyDescent="0.3">
      <c r="A869" t="s">
        <v>557</v>
      </c>
      <c r="B869" t="s">
        <v>318</v>
      </c>
      <c r="C869" t="s">
        <v>319</v>
      </c>
      <c r="D869" t="s">
        <v>593</v>
      </c>
      <c r="E869" s="230">
        <v>1770.3</v>
      </c>
      <c r="F869" t="s">
        <v>560</v>
      </c>
      <c r="G869" t="b">
        <v>1</v>
      </c>
      <c r="H869" t="s">
        <v>594</v>
      </c>
    </row>
    <row r="870" spans="1:8" x14ac:dyDescent="0.3">
      <c r="A870" t="s">
        <v>557</v>
      </c>
      <c r="B870" t="s">
        <v>318</v>
      </c>
      <c r="C870" t="s">
        <v>320</v>
      </c>
      <c r="D870" t="s">
        <v>593</v>
      </c>
      <c r="E870" s="230">
        <v>144.44999999999999</v>
      </c>
      <c r="F870" t="s">
        <v>560</v>
      </c>
      <c r="G870" t="b">
        <v>1</v>
      </c>
      <c r="H870" t="s">
        <v>594</v>
      </c>
    </row>
    <row r="871" spans="1:8" x14ac:dyDescent="0.3">
      <c r="A871" t="s">
        <v>557</v>
      </c>
      <c r="B871" t="s">
        <v>318</v>
      </c>
      <c r="C871" t="s">
        <v>321</v>
      </c>
      <c r="D871" t="s">
        <v>593</v>
      </c>
      <c r="E871" s="230">
        <v>210</v>
      </c>
      <c r="F871" t="s">
        <v>560</v>
      </c>
      <c r="G871" t="b">
        <v>1</v>
      </c>
      <c r="H871" t="s">
        <v>594</v>
      </c>
    </row>
    <row r="872" spans="1:8" x14ac:dyDescent="0.3">
      <c r="A872" t="s">
        <v>557</v>
      </c>
      <c r="B872" t="s">
        <v>318</v>
      </c>
      <c r="C872" t="s">
        <v>322</v>
      </c>
      <c r="D872" t="s">
        <v>593</v>
      </c>
      <c r="E872" s="230">
        <v>0</v>
      </c>
      <c r="F872" t="s">
        <v>560</v>
      </c>
      <c r="G872" t="b">
        <v>1</v>
      </c>
      <c r="H872" t="s">
        <v>594</v>
      </c>
    </row>
    <row r="873" spans="1:8" x14ac:dyDescent="0.3">
      <c r="A873" t="s">
        <v>557</v>
      </c>
      <c r="B873" t="s">
        <v>323</v>
      </c>
      <c r="C873" t="s">
        <v>324</v>
      </c>
      <c r="D873" t="s">
        <v>593</v>
      </c>
      <c r="E873" s="230">
        <v>0</v>
      </c>
      <c r="F873" t="s">
        <v>560</v>
      </c>
      <c r="G873" t="b">
        <v>1</v>
      </c>
      <c r="H873" t="s">
        <v>594</v>
      </c>
    </row>
    <row r="874" spans="1:8" x14ac:dyDescent="0.3">
      <c r="A874" t="s">
        <v>557</v>
      </c>
      <c r="B874" t="s">
        <v>323</v>
      </c>
      <c r="C874" t="s">
        <v>325</v>
      </c>
      <c r="D874" t="s">
        <v>593</v>
      </c>
      <c r="E874" s="230">
        <v>0</v>
      </c>
      <c r="F874" t="s">
        <v>560</v>
      </c>
      <c r="G874" t="b">
        <v>1</v>
      </c>
      <c r="H874" t="s">
        <v>594</v>
      </c>
    </row>
    <row r="875" spans="1:8" x14ac:dyDescent="0.3">
      <c r="A875" t="s">
        <v>557</v>
      </c>
      <c r="B875" t="s">
        <v>323</v>
      </c>
      <c r="C875" t="s">
        <v>326</v>
      </c>
      <c r="D875" t="s">
        <v>593</v>
      </c>
      <c r="E875" s="230">
        <v>21327.95</v>
      </c>
      <c r="F875" t="s">
        <v>560</v>
      </c>
      <c r="G875" t="b">
        <v>1</v>
      </c>
      <c r="H875" t="s">
        <v>594</v>
      </c>
    </row>
    <row r="876" spans="1:8" x14ac:dyDescent="0.3">
      <c r="A876" t="s">
        <v>557</v>
      </c>
      <c r="B876" t="s">
        <v>584</v>
      </c>
      <c r="C876" t="s">
        <v>334</v>
      </c>
      <c r="D876" t="s">
        <v>593</v>
      </c>
      <c r="E876" s="230">
        <v>3100</v>
      </c>
      <c r="F876" t="s">
        <v>560</v>
      </c>
      <c r="G876" t="b">
        <v>1</v>
      </c>
      <c r="H876" t="s">
        <v>594</v>
      </c>
    </row>
    <row r="877" spans="1:8" x14ac:dyDescent="0.3">
      <c r="A877" t="s">
        <v>557</v>
      </c>
      <c r="B877" t="s">
        <v>584</v>
      </c>
      <c r="C877" t="s">
        <v>336</v>
      </c>
      <c r="D877" t="s">
        <v>593</v>
      </c>
      <c r="E877" s="230">
        <v>0</v>
      </c>
      <c r="F877" t="s">
        <v>560</v>
      </c>
      <c r="G877" t="b">
        <v>1</v>
      </c>
      <c r="H877" t="s">
        <v>594</v>
      </c>
    </row>
    <row r="878" spans="1:8" x14ac:dyDescent="0.3">
      <c r="A878" t="s">
        <v>557</v>
      </c>
      <c r="B878" t="s">
        <v>558</v>
      </c>
      <c r="C878" t="s">
        <v>13</v>
      </c>
      <c r="D878" t="s">
        <v>595</v>
      </c>
      <c r="E878" s="230">
        <v>245208.43</v>
      </c>
      <c r="F878" t="s">
        <v>560</v>
      </c>
      <c r="G878" t="b">
        <v>1</v>
      </c>
      <c r="H878" t="s">
        <v>596</v>
      </c>
    </row>
    <row r="879" spans="1:8" x14ac:dyDescent="0.3">
      <c r="A879" t="s">
        <v>557</v>
      </c>
      <c r="B879" t="s">
        <v>558</v>
      </c>
      <c r="C879" t="s">
        <v>16</v>
      </c>
      <c r="D879" t="s">
        <v>595</v>
      </c>
      <c r="E879" s="230">
        <v>149113.23000000001</v>
      </c>
      <c r="F879" t="s">
        <v>560</v>
      </c>
      <c r="G879" t="b">
        <v>1</v>
      </c>
      <c r="H879" t="s">
        <v>596</v>
      </c>
    </row>
    <row r="880" spans="1:8" x14ac:dyDescent="0.3">
      <c r="A880" t="s">
        <v>557</v>
      </c>
      <c r="B880" t="s">
        <v>558</v>
      </c>
      <c r="C880" t="s">
        <v>17</v>
      </c>
      <c r="D880" t="s">
        <v>595</v>
      </c>
      <c r="E880" s="230">
        <v>4882.8</v>
      </c>
      <c r="F880" t="s">
        <v>560</v>
      </c>
      <c r="G880" t="b">
        <v>1</v>
      </c>
      <c r="H880" t="s">
        <v>596</v>
      </c>
    </row>
    <row r="881" spans="1:8" x14ac:dyDescent="0.3">
      <c r="A881" t="s">
        <v>557</v>
      </c>
      <c r="B881" t="s">
        <v>558</v>
      </c>
      <c r="C881" t="s">
        <v>18</v>
      </c>
      <c r="D881" t="s">
        <v>595</v>
      </c>
      <c r="E881" s="230">
        <v>0</v>
      </c>
      <c r="F881" t="s">
        <v>560</v>
      </c>
      <c r="G881" t="b">
        <v>1</v>
      </c>
      <c r="H881" t="s">
        <v>596</v>
      </c>
    </row>
    <row r="882" spans="1:8" x14ac:dyDescent="0.3">
      <c r="A882" t="s">
        <v>557</v>
      </c>
      <c r="B882" t="s">
        <v>558</v>
      </c>
      <c r="C882" t="s">
        <v>20</v>
      </c>
      <c r="D882" t="s">
        <v>595</v>
      </c>
      <c r="E882" s="230">
        <v>54436.97</v>
      </c>
      <c r="F882" t="s">
        <v>560</v>
      </c>
      <c r="G882" t="b">
        <v>1</v>
      </c>
      <c r="H882" t="s">
        <v>596</v>
      </c>
    </row>
    <row r="883" spans="1:8" x14ac:dyDescent="0.3">
      <c r="A883" t="s">
        <v>557</v>
      </c>
      <c r="B883" t="s">
        <v>558</v>
      </c>
      <c r="C883" t="s">
        <v>29</v>
      </c>
      <c r="D883" t="s">
        <v>595</v>
      </c>
      <c r="E883" s="230">
        <v>22094.16</v>
      </c>
      <c r="F883" t="s">
        <v>560</v>
      </c>
      <c r="G883" t="b">
        <v>1</v>
      </c>
      <c r="H883" t="s">
        <v>596</v>
      </c>
    </row>
    <row r="884" spans="1:8" x14ac:dyDescent="0.3">
      <c r="A884" t="s">
        <v>557</v>
      </c>
      <c r="B884" t="s">
        <v>558</v>
      </c>
      <c r="C884" t="s">
        <v>31</v>
      </c>
      <c r="D884" t="s">
        <v>595</v>
      </c>
      <c r="E884" s="230">
        <v>0</v>
      </c>
      <c r="F884" t="s">
        <v>560</v>
      </c>
      <c r="G884" t="b">
        <v>1</v>
      </c>
      <c r="H884" t="s">
        <v>596</v>
      </c>
    </row>
    <row r="885" spans="1:8" x14ac:dyDescent="0.3">
      <c r="A885" t="s">
        <v>557</v>
      </c>
      <c r="B885" t="s">
        <v>562</v>
      </c>
      <c r="C885" t="s">
        <v>38</v>
      </c>
      <c r="D885" t="s">
        <v>595</v>
      </c>
      <c r="E885" s="230">
        <v>9858.0400000000009</v>
      </c>
      <c r="F885" t="s">
        <v>560</v>
      </c>
      <c r="G885" t="b">
        <v>1</v>
      </c>
      <c r="H885" t="s">
        <v>596</v>
      </c>
    </row>
    <row r="886" spans="1:8" x14ac:dyDescent="0.3">
      <c r="A886" t="s">
        <v>557</v>
      </c>
      <c r="B886" t="s">
        <v>562</v>
      </c>
      <c r="C886" t="s">
        <v>40</v>
      </c>
      <c r="D886" t="s">
        <v>595</v>
      </c>
      <c r="E886" s="230">
        <v>7807.57</v>
      </c>
      <c r="F886" t="s">
        <v>560</v>
      </c>
      <c r="G886" t="b">
        <v>1</v>
      </c>
      <c r="H886" t="s">
        <v>596</v>
      </c>
    </row>
    <row r="887" spans="1:8" x14ac:dyDescent="0.3">
      <c r="A887" t="s">
        <v>557</v>
      </c>
      <c r="B887" t="s">
        <v>562</v>
      </c>
      <c r="C887" t="s">
        <v>42</v>
      </c>
      <c r="D887" t="s">
        <v>595</v>
      </c>
      <c r="E887" s="230">
        <v>985.8</v>
      </c>
      <c r="F887" t="s">
        <v>560</v>
      </c>
      <c r="G887" t="b">
        <v>1</v>
      </c>
      <c r="H887" t="s">
        <v>596</v>
      </c>
    </row>
    <row r="888" spans="1:8" x14ac:dyDescent="0.3">
      <c r="A888" t="s">
        <v>557</v>
      </c>
      <c r="B888" t="s">
        <v>563</v>
      </c>
      <c r="C888" t="s">
        <v>46</v>
      </c>
      <c r="D888" t="s">
        <v>595</v>
      </c>
      <c r="E888" s="230">
        <v>17675.990000000002</v>
      </c>
      <c r="F888" t="s">
        <v>560</v>
      </c>
      <c r="G888" t="b">
        <v>1</v>
      </c>
      <c r="H888" t="s">
        <v>596</v>
      </c>
    </row>
    <row r="889" spans="1:8" x14ac:dyDescent="0.3">
      <c r="A889" t="s">
        <v>557</v>
      </c>
      <c r="B889" t="s">
        <v>563</v>
      </c>
      <c r="C889" t="s">
        <v>48</v>
      </c>
      <c r="D889" t="s">
        <v>595</v>
      </c>
      <c r="E889" s="230">
        <v>19117.71</v>
      </c>
      <c r="F889" t="s">
        <v>560</v>
      </c>
      <c r="G889" t="b">
        <v>1</v>
      </c>
      <c r="H889" t="s">
        <v>596</v>
      </c>
    </row>
    <row r="890" spans="1:8" x14ac:dyDescent="0.3">
      <c r="A890" t="s">
        <v>557</v>
      </c>
      <c r="B890" t="s">
        <v>563</v>
      </c>
      <c r="C890" t="s">
        <v>49</v>
      </c>
      <c r="D890" t="s">
        <v>595</v>
      </c>
      <c r="E890" s="230">
        <v>1272.44</v>
      </c>
      <c r="F890" t="s">
        <v>560</v>
      </c>
      <c r="G890" t="b">
        <v>1</v>
      </c>
      <c r="H890" t="s">
        <v>596</v>
      </c>
    </row>
    <row r="891" spans="1:8" x14ac:dyDescent="0.3">
      <c r="A891" t="s">
        <v>557</v>
      </c>
      <c r="B891" t="s">
        <v>564</v>
      </c>
      <c r="C891" t="s">
        <v>565</v>
      </c>
      <c r="D891" t="s">
        <v>595</v>
      </c>
      <c r="E891" s="230">
        <v>110141.85</v>
      </c>
      <c r="F891" t="s">
        <v>560</v>
      </c>
      <c r="G891" t="b">
        <v>1</v>
      </c>
      <c r="H891" t="s">
        <v>596</v>
      </c>
    </row>
    <row r="892" spans="1:8" x14ac:dyDescent="0.3">
      <c r="A892" t="s">
        <v>557</v>
      </c>
      <c r="B892" t="s">
        <v>564</v>
      </c>
      <c r="C892" t="s">
        <v>566</v>
      </c>
      <c r="D892" t="s">
        <v>595</v>
      </c>
      <c r="E892" s="230">
        <v>31313.78</v>
      </c>
      <c r="F892" t="s">
        <v>560</v>
      </c>
      <c r="G892" t="b">
        <v>1</v>
      </c>
      <c r="H892" t="s">
        <v>596</v>
      </c>
    </row>
    <row r="893" spans="1:8" x14ac:dyDescent="0.3">
      <c r="A893" t="s">
        <v>557</v>
      </c>
      <c r="B893" t="s">
        <v>564</v>
      </c>
      <c r="C893" t="s">
        <v>567</v>
      </c>
      <c r="D893" t="s">
        <v>595</v>
      </c>
      <c r="E893" s="230">
        <v>662.82</v>
      </c>
      <c r="F893" t="s">
        <v>560</v>
      </c>
      <c r="G893" t="b">
        <v>1</v>
      </c>
      <c r="H893" t="s">
        <v>596</v>
      </c>
    </row>
    <row r="894" spans="1:8" x14ac:dyDescent="0.3">
      <c r="A894" t="s">
        <v>557</v>
      </c>
      <c r="B894" t="s">
        <v>564</v>
      </c>
      <c r="C894" t="s">
        <v>568</v>
      </c>
      <c r="D894" t="s">
        <v>595</v>
      </c>
      <c r="E894" s="230">
        <v>0</v>
      </c>
      <c r="F894" t="s">
        <v>560</v>
      </c>
      <c r="G894" t="b">
        <v>1</v>
      </c>
      <c r="H894" t="s">
        <v>596</v>
      </c>
    </row>
    <row r="895" spans="1:8" x14ac:dyDescent="0.3">
      <c r="A895" t="s">
        <v>557</v>
      </c>
      <c r="B895" t="s">
        <v>569</v>
      </c>
      <c r="C895" t="s">
        <v>58</v>
      </c>
      <c r="D895" t="s">
        <v>595</v>
      </c>
      <c r="E895" s="230">
        <v>3271.48</v>
      </c>
      <c r="F895" t="s">
        <v>560</v>
      </c>
      <c r="G895" t="b">
        <v>1</v>
      </c>
      <c r="H895" t="s">
        <v>596</v>
      </c>
    </row>
    <row r="896" spans="1:8" x14ac:dyDescent="0.3">
      <c r="A896" t="s">
        <v>557</v>
      </c>
      <c r="B896" t="s">
        <v>569</v>
      </c>
      <c r="C896" t="s">
        <v>59</v>
      </c>
      <c r="D896" t="s">
        <v>595</v>
      </c>
      <c r="E896" s="230">
        <v>488.28</v>
      </c>
      <c r="F896" t="s">
        <v>560</v>
      </c>
      <c r="G896" t="b">
        <v>1</v>
      </c>
      <c r="H896" t="s">
        <v>596</v>
      </c>
    </row>
    <row r="897" spans="1:8" x14ac:dyDescent="0.3">
      <c r="A897" t="s">
        <v>557</v>
      </c>
      <c r="B897" t="s">
        <v>569</v>
      </c>
      <c r="C897" t="s">
        <v>62</v>
      </c>
      <c r="D897" t="s">
        <v>595</v>
      </c>
      <c r="E897" s="230">
        <v>0</v>
      </c>
      <c r="F897" t="s">
        <v>560</v>
      </c>
      <c r="G897" t="b">
        <v>1</v>
      </c>
      <c r="H897" t="s">
        <v>596</v>
      </c>
    </row>
    <row r="898" spans="1:8" x14ac:dyDescent="0.3">
      <c r="A898" t="s">
        <v>557</v>
      </c>
      <c r="B898" t="s">
        <v>570</v>
      </c>
      <c r="C898" t="s">
        <v>64</v>
      </c>
      <c r="D898" t="s">
        <v>595</v>
      </c>
      <c r="E898" s="230">
        <v>0</v>
      </c>
      <c r="F898" t="s">
        <v>560</v>
      </c>
      <c r="G898" t="b">
        <v>1</v>
      </c>
      <c r="H898" t="s">
        <v>596</v>
      </c>
    </row>
    <row r="899" spans="1:8" x14ac:dyDescent="0.3">
      <c r="A899" t="s">
        <v>557</v>
      </c>
      <c r="B899" t="s">
        <v>569</v>
      </c>
      <c r="C899" t="s">
        <v>66</v>
      </c>
      <c r="D899" t="s">
        <v>595</v>
      </c>
      <c r="E899" s="230">
        <v>0</v>
      </c>
      <c r="F899" t="s">
        <v>560</v>
      </c>
      <c r="G899" t="b">
        <v>1</v>
      </c>
      <c r="H899" t="s">
        <v>596</v>
      </c>
    </row>
    <row r="900" spans="1:8" x14ac:dyDescent="0.3">
      <c r="A900" t="s">
        <v>557</v>
      </c>
      <c r="B900" t="s">
        <v>569</v>
      </c>
      <c r="C900" t="s">
        <v>68</v>
      </c>
      <c r="D900" t="s">
        <v>595</v>
      </c>
      <c r="E900" s="230">
        <v>1708.98</v>
      </c>
      <c r="F900" t="s">
        <v>560</v>
      </c>
      <c r="G900" t="b">
        <v>1</v>
      </c>
      <c r="H900" t="s">
        <v>596</v>
      </c>
    </row>
    <row r="901" spans="1:8" x14ac:dyDescent="0.3">
      <c r="A901" t="s">
        <v>557</v>
      </c>
      <c r="B901" t="s">
        <v>569</v>
      </c>
      <c r="C901" t="s">
        <v>69</v>
      </c>
      <c r="D901" t="s">
        <v>595</v>
      </c>
      <c r="E901" s="230">
        <v>0</v>
      </c>
      <c r="F901" t="s">
        <v>560</v>
      </c>
      <c r="G901" t="b">
        <v>1</v>
      </c>
      <c r="H901" t="s">
        <v>596</v>
      </c>
    </row>
    <row r="902" spans="1:8" x14ac:dyDescent="0.3">
      <c r="A902" t="s">
        <v>557</v>
      </c>
      <c r="B902" t="s">
        <v>570</v>
      </c>
      <c r="C902" t="s">
        <v>73</v>
      </c>
      <c r="D902" t="s">
        <v>595</v>
      </c>
      <c r="E902" s="230">
        <v>4000</v>
      </c>
      <c r="F902" t="s">
        <v>560</v>
      </c>
      <c r="G902" t="b">
        <v>1</v>
      </c>
      <c r="H902" t="s">
        <v>596</v>
      </c>
    </row>
    <row r="903" spans="1:8" x14ac:dyDescent="0.3">
      <c r="A903" t="s">
        <v>557</v>
      </c>
      <c r="B903" t="s">
        <v>571</v>
      </c>
      <c r="C903" t="s">
        <v>75</v>
      </c>
      <c r="D903" t="s">
        <v>595</v>
      </c>
      <c r="E903" s="230">
        <v>1231.3900000000001</v>
      </c>
      <c r="F903" t="s">
        <v>560</v>
      </c>
      <c r="G903" t="b">
        <v>1</v>
      </c>
      <c r="H903" t="s">
        <v>596</v>
      </c>
    </row>
    <row r="904" spans="1:8" x14ac:dyDescent="0.3">
      <c r="A904" t="s">
        <v>557</v>
      </c>
      <c r="B904" t="s">
        <v>571</v>
      </c>
      <c r="C904" t="s">
        <v>78</v>
      </c>
      <c r="D904" t="s">
        <v>595</v>
      </c>
      <c r="E904" s="230">
        <v>1313.48</v>
      </c>
      <c r="F904" t="s">
        <v>560</v>
      </c>
      <c r="G904" t="b">
        <v>1</v>
      </c>
      <c r="H904" t="s">
        <v>596</v>
      </c>
    </row>
    <row r="905" spans="1:8" x14ac:dyDescent="0.3">
      <c r="A905" t="s">
        <v>557</v>
      </c>
      <c r="B905" t="s">
        <v>571</v>
      </c>
      <c r="C905" t="s">
        <v>80</v>
      </c>
      <c r="D905" t="s">
        <v>595</v>
      </c>
      <c r="E905" s="230">
        <v>410.46</v>
      </c>
      <c r="F905" t="s">
        <v>560</v>
      </c>
      <c r="G905" t="b">
        <v>1</v>
      </c>
      <c r="H905" t="s">
        <v>596</v>
      </c>
    </row>
    <row r="906" spans="1:8" x14ac:dyDescent="0.3">
      <c r="A906" t="s">
        <v>557</v>
      </c>
      <c r="B906" t="s">
        <v>571</v>
      </c>
      <c r="C906" t="s">
        <v>82</v>
      </c>
      <c r="D906" t="s">
        <v>595</v>
      </c>
      <c r="E906" s="230">
        <v>0</v>
      </c>
      <c r="F906" t="s">
        <v>560</v>
      </c>
      <c r="G906" t="b">
        <v>1</v>
      </c>
      <c r="H906" t="s">
        <v>596</v>
      </c>
    </row>
    <row r="907" spans="1:8" x14ac:dyDescent="0.3">
      <c r="A907" t="s">
        <v>557</v>
      </c>
      <c r="B907" t="s">
        <v>571</v>
      </c>
      <c r="C907" t="s">
        <v>84</v>
      </c>
      <c r="D907" t="s">
        <v>595</v>
      </c>
      <c r="E907" s="230">
        <v>0</v>
      </c>
      <c r="F907" t="s">
        <v>560</v>
      </c>
      <c r="G907" t="b">
        <v>1</v>
      </c>
      <c r="H907" t="s">
        <v>596</v>
      </c>
    </row>
    <row r="908" spans="1:8" x14ac:dyDescent="0.3">
      <c r="A908" t="s">
        <v>557</v>
      </c>
      <c r="B908" t="s">
        <v>571</v>
      </c>
      <c r="C908" t="s">
        <v>86</v>
      </c>
      <c r="D908" t="s">
        <v>595</v>
      </c>
      <c r="E908" s="230">
        <v>0</v>
      </c>
      <c r="F908" t="s">
        <v>560</v>
      </c>
      <c r="G908" t="b">
        <v>1</v>
      </c>
      <c r="H908" t="s">
        <v>596</v>
      </c>
    </row>
    <row r="909" spans="1:8" x14ac:dyDescent="0.3">
      <c r="A909" t="s">
        <v>557</v>
      </c>
      <c r="B909" t="s">
        <v>571</v>
      </c>
      <c r="C909" t="s">
        <v>87</v>
      </c>
      <c r="D909" t="s">
        <v>595</v>
      </c>
      <c r="E909" s="230">
        <v>0</v>
      </c>
      <c r="F909" t="s">
        <v>560</v>
      </c>
      <c r="G909" t="b">
        <v>1</v>
      </c>
      <c r="H909" t="s">
        <v>596</v>
      </c>
    </row>
    <row r="910" spans="1:8" x14ac:dyDescent="0.3">
      <c r="A910" t="s">
        <v>557</v>
      </c>
      <c r="B910" t="s">
        <v>571</v>
      </c>
      <c r="C910" t="s">
        <v>88</v>
      </c>
      <c r="D910" t="s">
        <v>595</v>
      </c>
      <c r="E910" s="230">
        <v>0</v>
      </c>
      <c r="F910" t="s">
        <v>560</v>
      </c>
      <c r="G910" t="b">
        <v>1</v>
      </c>
      <c r="H910" t="s">
        <v>596</v>
      </c>
    </row>
    <row r="911" spans="1:8" x14ac:dyDescent="0.3">
      <c r="A911" t="s">
        <v>557</v>
      </c>
      <c r="B911" t="s">
        <v>571</v>
      </c>
      <c r="C911" t="s">
        <v>89</v>
      </c>
      <c r="D911" t="s">
        <v>595</v>
      </c>
      <c r="E911" s="230">
        <v>0</v>
      </c>
      <c r="F911" t="s">
        <v>560</v>
      </c>
      <c r="G911" t="b">
        <v>1</v>
      </c>
      <c r="H911" t="s">
        <v>596</v>
      </c>
    </row>
    <row r="912" spans="1:8" x14ac:dyDescent="0.3">
      <c r="A912" t="s">
        <v>557</v>
      </c>
      <c r="B912" t="s">
        <v>571</v>
      </c>
      <c r="C912" t="s">
        <v>91</v>
      </c>
      <c r="D912" t="s">
        <v>595</v>
      </c>
      <c r="E912" s="230">
        <v>0</v>
      </c>
      <c r="F912" t="s">
        <v>560</v>
      </c>
      <c r="G912" t="b">
        <v>1</v>
      </c>
      <c r="H912" t="s">
        <v>596</v>
      </c>
    </row>
    <row r="913" spans="1:8" x14ac:dyDescent="0.3">
      <c r="A913" t="s">
        <v>557</v>
      </c>
      <c r="B913" t="s">
        <v>571</v>
      </c>
      <c r="C913" t="s">
        <v>93</v>
      </c>
      <c r="D913" t="s">
        <v>595</v>
      </c>
      <c r="E913" s="230">
        <v>0</v>
      </c>
      <c r="F913" t="s">
        <v>560</v>
      </c>
      <c r="G913" t="b">
        <v>1</v>
      </c>
      <c r="H913" t="s">
        <v>596</v>
      </c>
    </row>
    <row r="914" spans="1:8" x14ac:dyDescent="0.3">
      <c r="A914" t="s">
        <v>557</v>
      </c>
      <c r="B914" t="s">
        <v>571</v>
      </c>
      <c r="C914" t="s">
        <v>96</v>
      </c>
      <c r="D914" t="s">
        <v>595</v>
      </c>
      <c r="E914" s="230">
        <v>0</v>
      </c>
      <c r="F914" t="s">
        <v>560</v>
      </c>
      <c r="G914" t="b">
        <v>1</v>
      </c>
      <c r="H914" t="s">
        <v>596</v>
      </c>
    </row>
    <row r="915" spans="1:8" x14ac:dyDescent="0.3">
      <c r="A915" t="s">
        <v>557</v>
      </c>
      <c r="B915" t="s">
        <v>571</v>
      </c>
      <c r="C915" t="s">
        <v>98</v>
      </c>
      <c r="D915" t="s">
        <v>595</v>
      </c>
      <c r="E915" s="230">
        <v>0</v>
      </c>
      <c r="F915" t="s">
        <v>560</v>
      </c>
      <c r="G915" t="b">
        <v>1</v>
      </c>
      <c r="H915" t="s">
        <v>596</v>
      </c>
    </row>
    <row r="916" spans="1:8" x14ac:dyDescent="0.3">
      <c r="A916" t="s">
        <v>557</v>
      </c>
      <c r="B916" t="s">
        <v>571</v>
      </c>
      <c r="C916" t="s">
        <v>100</v>
      </c>
      <c r="D916" t="s">
        <v>595</v>
      </c>
      <c r="E916" s="230">
        <v>0</v>
      </c>
      <c r="F916" t="s">
        <v>560</v>
      </c>
      <c r="G916" t="b">
        <v>1</v>
      </c>
      <c r="H916" t="s">
        <v>596</v>
      </c>
    </row>
    <row r="917" spans="1:8" x14ac:dyDescent="0.3">
      <c r="A917" t="s">
        <v>557</v>
      </c>
      <c r="B917" t="s">
        <v>571</v>
      </c>
      <c r="C917" t="s">
        <v>102</v>
      </c>
      <c r="D917" t="s">
        <v>595</v>
      </c>
      <c r="E917" s="230">
        <v>0</v>
      </c>
      <c r="F917" t="s">
        <v>560</v>
      </c>
      <c r="G917" t="b">
        <v>1</v>
      </c>
      <c r="H917" t="s">
        <v>596</v>
      </c>
    </row>
    <row r="918" spans="1:8" x14ac:dyDescent="0.3">
      <c r="A918" t="s">
        <v>557</v>
      </c>
      <c r="B918" t="s">
        <v>571</v>
      </c>
      <c r="C918" t="s">
        <v>103</v>
      </c>
      <c r="D918" t="s">
        <v>595</v>
      </c>
      <c r="E918" s="230">
        <v>0</v>
      </c>
      <c r="F918" t="s">
        <v>560</v>
      </c>
      <c r="G918" t="b">
        <v>1</v>
      </c>
      <c r="H918" t="s">
        <v>596</v>
      </c>
    </row>
    <row r="919" spans="1:8" x14ac:dyDescent="0.3">
      <c r="A919" t="s">
        <v>557</v>
      </c>
      <c r="B919" t="s">
        <v>571</v>
      </c>
      <c r="C919" t="s">
        <v>104</v>
      </c>
      <c r="D919" t="s">
        <v>595</v>
      </c>
      <c r="E919" s="230">
        <v>0</v>
      </c>
      <c r="F919" t="s">
        <v>560</v>
      </c>
      <c r="G919" t="b">
        <v>1</v>
      </c>
      <c r="H919" t="s">
        <v>596</v>
      </c>
    </row>
    <row r="920" spans="1:8" x14ac:dyDescent="0.3">
      <c r="A920" t="s">
        <v>557</v>
      </c>
      <c r="B920" t="s">
        <v>571</v>
      </c>
      <c r="C920" t="s">
        <v>105</v>
      </c>
      <c r="D920" t="s">
        <v>595</v>
      </c>
      <c r="E920" s="230">
        <v>0</v>
      </c>
      <c r="F920" t="s">
        <v>560</v>
      </c>
      <c r="G920" t="b">
        <v>1</v>
      </c>
      <c r="H920" t="s">
        <v>596</v>
      </c>
    </row>
    <row r="921" spans="1:8" x14ac:dyDescent="0.3">
      <c r="A921" t="s">
        <v>557</v>
      </c>
      <c r="B921" t="s">
        <v>571</v>
      </c>
      <c r="C921" t="s">
        <v>108</v>
      </c>
      <c r="D921" t="s">
        <v>595</v>
      </c>
      <c r="E921" s="230">
        <v>0</v>
      </c>
      <c r="F921" t="s">
        <v>560</v>
      </c>
      <c r="G921" t="b">
        <v>1</v>
      </c>
      <c r="H921" t="s">
        <v>596</v>
      </c>
    </row>
    <row r="922" spans="1:8" x14ac:dyDescent="0.3">
      <c r="A922" t="s">
        <v>557</v>
      </c>
      <c r="B922" t="s">
        <v>571</v>
      </c>
      <c r="C922" t="s">
        <v>109</v>
      </c>
      <c r="D922" t="s">
        <v>595</v>
      </c>
      <c r="E922" s="230">
        <v>0</v>
      </c>
      <c r="F922" t="s">
        <v>560</v>
      </c>
      <c r="G922" t="b">
        <v>1</v>
      </c>
      <c r="H922" t="s">
        <v>596</v>
      </c>
    </row>
    <row r="923" spans="1:8" x14ac:dyDescent="0.3">
      <c r="A923" t="s">
        <v>557</v>
      </c>
      <c r="B923" t="s">
        <v>572</v>
      </c>
      <c r="C923" t="s">
        <v>112</v>
      </c>
      <c r="D923" t="s">
        <v>595</v>
      </c>
      <c r="E923" s="230">
        <v>44117.71</v>
      </c>
      <c r="F923" t="s">
        <v>560</v>
      </c>
      <c r="G923" t="b">
        <v>1</v>
      </c>
      <c r="H923" t="s">
        <v>596</v>
      </c>
    </row>
    <row r="924" spans="1:8" x14ac:dyDescent="0.3">
      <c r="A924" t="s">
        <v>557</v>
      </c>
      <c r="B924" t="s">
        <v>562</v>
      </c>
      <c r="C924" t="s">
        <v>116</v>
      </c>
      <c r="D924" t="s">
        <v>595</v>
      </c>
      <c r="E924" s="230">
        <v>9483.08</v>
      </c>
      <c r="F924" t="s">
        <v>560</v>
      </c>
      <c r="G924" t="b">
        <v>1</v>
      </c>
      <c r="H924" t="s">
        <v>596</v>
      </c>
    </row>
    <row r="925" spans="1:8" x14ac:dyDescent="0.3">
      <c r="A925" t="s">
        <v>557</v>
      </c>
      <c r="B925" t="s">
        <v>562</v>
      </c>
      <c r="C925" t="s">
        <v>118</v>
      </c>
      <c r="D925" t="s">
        <v>595</v>
      </c>
      <c r="E925" s="230">
        <v>5744.48</v>
      </c>
      <c r="F925" t="s">
        <v>560</v>
      </c>
      <c r="G925" t="b">
        <v>1</v>
      </c>
      <c r="H925" t="s">
        <v>596</v>
      </c>
    </row>
    <row r="926" spans="1:8" x14ac:dyDescent="0.3">
      <c r="A926" t="s">
        <v>557</v>
      </c>
      <c r="B926" t="s">
        <v>562</v>
      </c>
      <c r="C926" t="s">
        <v>120</v>
      </c>
      <c r="D926" t="s">
        <v>595</v>
      </c>
      <c r="E926" s="230">
        <v>0</v>
      </c>
      <c r="F926" t="s">
        <v>560</v>
      </c>
      <c r="G926" t="b">
        <v>1</v>
      </c>
      <c r="H926" t="s">
        <v>596</v>
      </c>
    </row>
    <row r="927" spans="1:8" x14ac:dyDescent="0.3">
      <c r="A927" t="s">
        <v>557</v>
      </c>
      <c r="B927" t="s">
        <v>562</v>
      </c>
      <c r="C927" t="s">
        <v>122</v>
      </c>
      <c r="D927" t="s">
        <v>595</v>
      </c>
      <c r="E927" s="230">
        <v>0</v>
      </c>
      <c r="F927" t="s">
        <v>560</v>
      </c>
      <c r="G927" t="b">
        <v>1</v>
      </c>
      <c r="H927" t="s">
        <v>596</v>
      </c>
    </row>
    <row r="928" spans="1:8" x14ac:dyDescent="0.3">
      <c r="A928" t="s">
        <v>557</v>
      </c>
      <c r="B928" t="s">
        <v>570</v>
      </c>
      <c r="C928" t="s">
        <v>573</v>
      </c>
      <c r="D928" t="s">
        <v>595</v>
      </c>
      <c r="E928" s="230">
        <v>33850</v>
      </c>
      <c r="F928" t="s">
        <v>560</v>
      </c>
      <c r="G928" t="b">
        <v>1</v>
      </c>
      <c r="H928" t="s">
        <v>596</v>
      </c>
    </row>
    <row r="929" spans="1:8" x14ac:dyDescent="0.3">
      <c r="A929" t="s">
        <v>557</v>
      </c>
      <c r="B929" t="s">
        <v>574</v>
      </c>
      <c r="C929" t="s">
        <v>575</v>
      </c>
      <c r="D929" t="s">
        <v>595</v>
      </c>
      <c r="E929" s="230">
        <v>36515.129999999997</v>
      </c>
      <c r="F929" t="s">
        <v>560</v>
      </c>
      <c r="G929" t="b">
        <v>1</v>
      </c>
      <c r="H929" t="s">
        <v>596</v>
      </c>
    </row>
    <row r="930" spans="1:8" x14ac:dyDescent="0.3">
      <c r="A930" t="s">
        <v>557</v>
      </c>
      <c r="B930" t="s">
        <v>576</v>
      </c>
      <c r="C930" t="s">
        <v>203</v>
      </c>
      <c r="D930" t="s">
        <v>595</v>
      </c>
      <c r="E930" s="230">
        <v>16734.849999999999</v>
      </c>
      <c r="F930" t="s">
        <v>560</v>
      </c>
      <c r="G930" t="b">
        <v>1</v>
      </c>
      <c r="H930" t="s">
        <v>596</v>
      </c>
    </row>
    <row r="931" spans="1:8" x14ac:dyDescent="0.3">
      <c r="A931" t="s">
        <v>557</v>
      </c>
      <c r="B931" t="s">
        <v>577</v>
      </c>
      <c r="C931" t="s">
        <v>206</v>
      </c>
      <c r="D931" t="s">
        <v>595</v>
      </c>
      <c r="E931" s="230">
        <v>5344.19</v>
      </c>
      <c r="F931" t="s">
        <v>560</v>
      </c>
      <c r="G931" t="b">
        <v>1</v>
      </c>
      <c r="H931" t="s">
        <v>596</v>
      </c>
    </row>
    <row r="932" spans="1:8" x14ac:dyDescent="0.3">
      <c r="A932" t="s">
        <v>557</v>
      </c>
      <c r="B932" t="s">
        <v>577</v>
      </c>
      <c r="C932" t="s">
        <v>209</v>
      </c>
      <c r="D932" t="s">
        <v>595</v>
      </c>
      <c r="E932" s="230">
        <v>0</v>
      </c>
      <c r="F932" t="s">
        <v>560</v>
      </c>
      <c r="G932" t="b">
        <v>1</v>
      </c>
      <c r="H932" t="s">
        <v>596</v>
      </c>
    </row>
    <row r="933" spans="1:8" x14ac:dyDescent="0.3">
      <c r="A933" t="s">
        <v>557</v>
      </c>
      <c r="B933" t="s">
        <v>577</v>
      </c>
      <c r="C933" t="s">
        <v>211</v>
      </c>
      <c r="D933" t="s">
        <v>595</v>
      </c>
      <c r="E933" s="230">
        <v>0</v>
      </c>
      <c r="F933" t="s">
        <v>560</v>
      </c>
      <c r="G933" t="b">
        <v>1</v>
      </c>
      <c r="H933" t="s">
        <v>596</v>
      </c>
    </row>
    <row r="934" spans="1:8" x14ac:dyDescent="0.3">
      <c r="A934" t="s">
        <v>557</v>
      </c>
      <c r="B934" t="s">
        <v>577</v>
      </c>
      <c r="C934" t="s">
        <v>213</v>
      </c>
      <c r="D934" t="s">
        <v>595</v>
      </c>
      <c r="E934" s="230">
        <v>3347.96</v>
      </c>
      <c r="F934" t="s">
        <v>560</v>
      </c>
      <c r="G934" t="b">
        <v>1</v>
      </c>
      <c r="H934" t="s">
        <v>596</v>
      </c>
    </row>
    <row r="935" spans="1:8" x14ac:dyDescent="0.3">
      <c r="A935" t="s">
        <v>557</v>
      </c>
      <c r="B935" t="s">
        <v>577</v>
      </c>
      <c r="C935" t="s">
        <v>215</v>
      </c>
      <c r="D935" t="s">
        <v>595</v>
      </c>
      <c r="E935" s="230">
        <v>2237.56</v>
      </c>
      <c r="F935" t="s">
        <v>560</v>
      </c>
      <c r="G935" t="b">
        <v>1</v>
      </c>
      <c r="H935" t="s">
        <v>596</v>
      </c>
    </row>
    <row r="936" spans="1:8" x14ac:dyDescent="0.3">
      <c r="A936" t="s">
        <v>557</v>
      </c>
      <c r="B936" t="s">
        <v>577</v>
      </c>
      <c r="C936" t="s">
        <v>217</v>
      </c>
      <c r="D936" t="s">
        <v>595</v>
      </c>
      <c r="E936" s="230">
        <v>29.8</v>
      </c>
      <c r="F936" t="s">
        <v>560</v>
      </c>
      <c r="G936" t="b">
        <v>1</v>
      </c>
      <c r="H936" t="s">
        <v>596</v>
      </c>
    </row>
    <row r="937" spans="1:8" x14ac:dyDescent="0.3">
      <c r="A937" t="s">
        <v>557</v>
      </c>
      <c r="B937" t="s">
        <v>577</v>
      </c>
      <c r="C937" t="s">
        <v>219</v>
      </c>
      <c r="D937" t="s">
        <v>595</v>
      </c>
      <c r="E937" s="230">
        <v>19.91</v>
      </c>
      <c r="F937" t="s">
        <v>560</v>
      </c>
      <c r="G937" t="b">
        <v>1</v>
      </c>
      <c r="H937" t="s">
        <v>596</v>
      </c>
    </row>
    <row r="938" spans="1:8" x14ac:dyDescent="0.3">
      <c r="A938" t="s">
        <v>557</v>
      </c>
      <c r="B938" t="s">
        <v>577</v>
      </c>
      <c r="C938" t="s">
        <v>221</v>
      </c>
      <c r="D938" t="s">
        <v>595</v>
      </c>
      <c r="E938" s="230">
        <v>0</v>
      </c>
      <c r="F938" t="s">
        <v>560</v>
      </c>
      <c r="G938" t="b">
        <v>1</v>
      </c>
      <c r="H938" t="s">
        <v>596</v>
      </c>
    </row>
    <row r="939" spans="1:8" x14ac:dyDescent="0.3">
      <c r="A939" t="s">
        <v>557</v>
      </c>
      <c r="B939" t="s">
        <v>577</v>
      </c>
      <c r="C939" t="s">
        <v>223</v>
      </c>
      <c r="D939" t="s">
        <v>595</v>
      </c>
      <c r="E939" s="230">
        <v>0</v>
      </c>
      <c r="F939" t="s">
        <v>560</v>
      </c>
      <c r="G939" t="b">
        <v>1</v>
      </c>
      <c r="H939" t="s">
        <v>596</v>
      </c>
    </row>
    <row r="940" spans="1:8" x14ac:dyDescent="0.3">
      <c r="A940" t="s">
        <v>557</v>
      </c>
      <c r="B940" t="s">
        <v>577</v>
      </c>
      <c r="C940" t="s">
        <v>225</v>
      </c>
      <c r="D940" t="s">
        <v>595</v>
      </c>
      <c r="E940" s="230">
        <v>1209.49</v>
      </c>
      <c r="F940" t="s">
        <v>560</v>
      </c>
      <c r="G940" t="b">
        <v>1</v>
      </c>
      <c r="H940" t="s">
        <v>596</v>
      </c>
    </row>
    <row r="941" spans="1:8" x14ac:dyDescent="0.3">
      <c r="A941" t="s">
        <v>557</v>
      </c>
      <c r="B941" t="s">
        <v>577</v>
      </c>
      <c r="C941" t="s">
        <v>227</v>
      </c>
      <c r="D941" t="s">
        <v>595</v>
      </c>
      <c r="E941" s="230">
        <v>0</v>
      </c>
      <c r="F941" t="s">
        <v>560</v>
      </c>
      <c r="G941" t="b">
        <v>1</v>
      </c>
      <c r="H941" t="s">
        <v>596</v>
      </c>
    </row>
    <row r="942" spans="1:8" x14ac:dyDescent="0.3">
      <c r="A942" t="s">
        <v>557</v>
      </c>
      <c r="B942" t="s">
        <v>577</v>
      </c>
      <c r="C942" t="s">
        <v>229</v>
      </c>
      <c r="D942" t="s">
        <v>595</v>
      </c>
      <c r="E942" s="230">
        <v>1833.34</v>
      </c>
      <c r="F942" t="s">
        <v>560</v>
      </c>
      <c r="G942" t="b">
        <v>1</v>
      </c>
      <c r="H942" t="s">
        <v>596</v>
      </c>
    </row>
    <row r="943" spans="1:8" x14ac:dyDescent="0.3">
      <c r="A943" t="s">
        <v>557</v>
      </c>
      <c r="B943" t="s">
        <v>577</v>
      </c>
      <c r="C943" t="s">
        <v>231</v>
      </c>
      <c r="D943" t="s">
        <v>595</v>
      </c>
      <c r="E943" s="230">
        <v>2089.12</v>
      </c>
      <c r="F943" t="s">
        <v>560</v>
      </c>
      <c r="G943" t="b">
        <v>1</v>
      </c>
      <c r="H943" t="s">
        <v>596</v>
      </c>
    </row>
    <row r="944" spans="1:8" x14ac:dyDescent="0.3">
      <c r="A944" t="s">
        <v>557</v>
      </c>
      <c r="B944" t="s">
        <v>577</v>
      </c>
      <c r="C944" t="s">
        <v>234</v>
      </c>
      <c r="D944" t="s">
        <v>595</v>
      </c>
      <c r="E944" s="230">
        <v>248.97</v>
      </c>
      <c r="F944" t="s">
        <v>560</v>
      </c>
      <c r="G944" t="b">
        <v>1</v>
      </c>
      <c r="H944" t="s">
        <v>596</v>
      </c>
    </row>
    <row r="945" spans="1:8" x14ac:dyDescent="0.3">
      <c r="A945" t="s">
        <v>557</v>
      </c>
      <c r="B945" t="s">
        <v>577</v>
      </c>
      <c r="C945" t="s">
        <v>236</v>
      </c>
      <c r="D945" t="s">
        <v>595</v>
      </c>
      <c r="E945" s="230">
        <v>0</v>
      </c>
      <c r="F945" t="s">
        <v>560</v>
      </c>
      <c r="G945" t="b">
        <v>1</v>
      </c>
      <c r="H945" t="s">
        <v>596</v>
      </c>
    </row>
    <row r="946" spans="1:8" x14ac:dyDescent="0.3">
      <c r="A946" t="s">
        <v>557</v>
      </c>
      <c r="B946" t="s">
        <v>577</v>
      </c>
      <c r="C946" t="s">
        <v>237</v>
      </c>
      <c r="D946" t="s">
        <v>595</v>
      </c>
      <c r="E946" s="230">
        <v>0</v>
      </c>
      <c r="F946" t="s">
        <v>560</v>
      </c>
      <c r="G946" t="b">
        <v>1</v>
      </c>
      <c r="H946" t="s">
        <v>596</v>
      </c>
    </row>
    <row r="947" spans="1:8" x14ac:dyDescent="0.3">
      <c r="A947" t="s">
        <v>557</v>
      </c>
      <c r="B947" t="s">
        <v>578</v>
      </c>
      <c r="C947" t="s">
        <v>239</v>
      </c>
      <c r="D947" t="s">
        <v>595</v>
      </c>
      <c r="E947" s="230">
        <v>4500</v>
      </c>
      <c r="F947" t="s">
        <v>560</v>
      </c>
      <c r="G947" t="b">
        <v>1</v>
      </c>
      <c r="H947" t="s">
        <v>596</v>
      </c>
    </row>
    <row r="948" spans="1:8" x14ac:dyDescent="0.3">
      <c r="A948" t="s">
        <v>557</v>
      </c>
      <c r="B948" t="s">
        <v>578</v>
      </c>
      <c r="C948" t="s">
        <v>240</v>
      </c>
      <c r="D948" t="s">
        <v>595</v>
      </c>
      <c r="E948" s="230">
        <v>0</v>
      </c>
      <c r="F948" t="s">
        <v>560</v>
      </c>
      <c r="G948" t="b">
        <v>1</v>
      </c>
      <c r="H948" t="s">
        <v>596</v>
      </c>
    </row>
    <row r="949" spans="1:8" x14ac:dyDescent="0.3">
      <c r="A949" t="s">
        <v>557</v>
      </c>
      <c r="B949" t="s">
        <v>578</v>
      </c>
      <c r="C949" t="s">
        <v>241</v>
      </c>
      <c r="D949" t="s">
        <v>595</v>
      </c>
      <c r="E949" s="230">
        <v>0</v>
      </c>
      <c r="F949" t="s">
        <v>560</v>
      </c>
      <c r="G949" t="b">
        <v>1</v>
      </c>
      <c r="H949" t="s">
        <v>596</v>
      </c>
    </row>
    <row r="950" spans="1:8" x14ac:dyDescent="0.3">
      <c r="A950" t="s">
        <v>557</v>
      </c>
      <c r="B950" t="s">
        <v>578</v>
      </c>
      <c r="C950" t="s">
        <v>242</v>
      </c>
      <c r="D950" t="s">
        <v>595</v>
      </c>
      <c r="E950" s="230">
        <v>150</v>
      </c>
      <c r="F950" t="s">
        <v>560</v>
      </c>
      <c r="G950" t="b">
        <v>1</v>
      </c>
      <c r="H950" t="s">
        <v>596</v>
      </c>
    </row>
    <row r="951" spans="1:8" x14ac:dyDescent="0.3">
      <c r="A951" t="s">
        <v>557</v>
      </c>
      <c r="B951" t="s">
        <v>578</v>
      </c>
      <c r="C951" t="s">
        <v>244</v>
      </c>
      <c r="D951" t="s">
        <v>595</v>
      </c>
      <c r="E951" s="230">
        <v>0</v>
      </c>
      <c r="F951" t="s">
        <v>560</v>
      </c>
      <c r="G951" t="b">
        <v>1</v>
      </c>
      <c r="H951" t="s">
        <v>596</v>
      </c>
    </row>
    <row r="952" spans="1:8" x14ac:dyDescent="0.3">
      <c r="A952" t="s">
        <v>557</v>
      </c>
      <c r="B952" t="s">
        <v>578</v>
      </c>
      <c r="C952" t="s">
        <v>246</v>
      </c>
      <c r="D952" t="s">
        <v>595</v>
      </c>
      <c r="E952" s="230">
        <v>0</v>
      </c>
      <c r="F952" t="s">
        <v>560</v>
      </c>
      <c r="G952" t="b">
        <v>1</v>
      </c>
      <c r="H952" t="s">
        <v>596</v>
      </c>
    </row>
    <row r="953" spans="1:8" x14ac:dyDescent="0.3">
      <c r="A953" t="s">
        <v>557</v>
      </c>
      <c r="B953" t="s">
        <v>578</v>
      </c>
      <c r="C953" t="s">
        <v>247</v>
      </c>
      <c r="D953" t="s">
        <v>595</v>
      </c>
      <c r="E953" s="230">
        <v>74.16</v>
      </c>
      <c r="F953" t="s">
        <v>560</v>
      </c>
      <c r="G953" t="b">
        <v>1</v>
      </c>
      <c r="H953" t="s">
        <v>596</v>
      </c>
    </row>
    <row r="954" spans="1:8" x14ac:dyDescent="0.3">
      <c r="A954" t="s">
        <v>557</v>
      </c>
      <c r="B954" t="s">
        <v>578</v>
      </c>
      <c r="C954" t="s">
        <v>249</v>
      </c>
      <c r="D954" t="s">
        <v>595</v>
      </c>
      <c r="E954" s="230">
        <v>0</v>
      </c>
      <c r="F954" t="s">
        <v>560</v>
      </c>
      <c r="G954" t="b">
        <v>1</v>
      </c>
      <c r="H954" t="s">
        <v>596</v>
      </c>
    </row>
    <row r="955" spans="1:8" x14ac:dyDescent="0.3">
      <c r="A955" t="s">
        <v>557</v>
      </c>
      <c r="B955" t="s">
        <v>578</v>
      </c>
      <c r="C955" t="s">
        <v>250</v>
      </c>
      <c r="D955" t="s">
        <v>595</v>
      </c>
      <c r="E955" s="230">
        <v>0</v>
      </c>
      <c r="F955" t="s">
        <v>560</v>
      </c>
      <c r="G955" t="b">
        <v>1</v>
      </c>
      <c r="H955" t="s">
        <v>596</v>
      </c>
    </row>
    <row r="956" spans="1:8" x14ac:dyDescent="0.3">
      <c r="A956" t="s">
        <v>557</v>
      </c>
      <c r="B956" t="s">
        <v>578</v>
      </c>
      <c r="C956" t="s">
        <v>251</v>
      </c>
      <c r="D956" t="s">
        <v>595</v>
      </c>
      <c r="E956" s="230">
        <v>0</v>
      </c>
      <c r="F956" t="s">
        <v>560</v>
      </c>
      <c r="G956" t="b">
        <v>1</v>
      </c>
      <c r="H956" t="s">
        <v>596</v>
      </c>
    </row>
    <row r="957" spans="1:8" x14ac:dyDescent="0.3">
      <c r="A957" t="s">
        <v>557</v>
      </c>
      <c r="B957" t="s">
        <v>578</v>
      </c>
      <c r="C957" t="s">
        <v>252</v>
      </c>
      <c r="D957" t="s">
        <v>595</v>
      </c>
      <c r="E957" s="230">
        <v>17319.68</v>
      </c>
      <c r="F957" t="s">
        <v>560</v>
      </c>
      <c r="G957" t="b">
        <v>1</v>
      </c>
      <c r="H957" t="s">
        <v>596</v>
      </c>
    </row>
    <row r="958" spans="1:8" x14ac:dyDescent="0.3">
      <c r="A958" t="s">
        <v>557</v>
      </c>
      <c r="B958" t="s">
        <v>579</v>
      </c>
      <c r="C958" t="s">
        <v>253</v>
      </c>
      <c r="D958" t="s">
        <v>595</v>
      </c>
      <c r="E958" s="230">
        <v>0</v>
      </c>
      <c r="F958" t="s">
        <v>560</v>
      </c>
      <c r="G958" t="b">
        <v>1</v>
      </c>
      <c r="H958" t="s">
        <v>596</v>
      </c>
    </row>
    <row r="959" spans="1:8" x14ac:dyDescent="0.3">
      <c r="A959" t="s">
        <v>557</v>
      </c>
      <c r="B959" t="s">
        <v>256</v>
      </c>
      <c r="C959" t="s">
        <v>257</v>
      </c>
      <c r="D959" t="s">
        <v>595</v>
      </c>
      <c r="E959" s="230">
        <v>51452.1</v>
      </c>
      <c r="F959" t="s">
        <v>560</v>
      </c>
      <c r="G959" t="b">
        <v>1</v>
      </c>
      <c r="H959" t="s">
        <v>596</v>
      </c>
    </row>
    <row r="960" spans="1:8" x14ac:dyDescent="0.3">
      <c r="A960" t="s">
        <v>557</v>
      </c>
      <c r="B960" t="s">
        <v>256</v>
      </c>
      <c r="C960" t="s">
        <v>258</v>
      </c>
      <c r="D960" t="s">
        <v>595</v>
      </c>
      <c r="E960" s="230">
        <v>0</v>
      </c>
      <c r="F960" t="s">
        <v>560</v>
      </c>
      <c r="G960" t="b">
        <v>1</v>
      </c>
      <c r="H960" t="s">
        <v>596</v>
      </c>
    </row>
    <row r="961" spans="1:8" x14ac:dyDescent="0.3">
      <c r="A961" t="s">
        <v>557</v>
      </c>
      <c r="B961" t="s">
        <v>256</v>
      </c>
      <c r="C961" t="s">
        <v>259</v>
      </c>
      <c r="D961" t="s">
        <v>595</v>
      </c>
      <c r="E961" s="230">
        <v>2847.92</v>
      </c>
      <c r="F961" t="s">
        <v>560</v>
      </c>
      <c r="G961" t="b">
        <v>1</v>
      </c>
      <c r="H961" t="s">
        <v>596</v>
      </c>
    </row>
    <row r="962" spans="1:8" x14ac:dyDescent="0.3">
      <c r="A962" t="s">
        <v>557</v>
      </c>
      <c r="B962" t="s">
        <v>256</v>
      </c>
      <c r="C962" t="s">
        <v>260</v>
      </c>
      <c r="D962" t="s">
        <v>595</v>
      </c>
      <c r="E962" s="230">
        <v>0</v>
      </c>
      <c r="F962" t="s">
        <v>560</v>
      </c>
      <c r="G962" t="b">
        <v>1</v>
      </c>
      <c r="H962" t="s">
        <v>596</v>
      </c>
    </row>
    <row r="963" spans="1:8" x14ac:dyDescent="0.3">
      <c r="A963" t="s">
        <v>557</v>
      </c>
      <c r="B963" t="s">
        <v>256</v>
      </c>
      <c r="C963" t="s">
        <v>261</v>
      </c>
      <c r="D963" t="s">
        <v>595</v>
      </c>
      <c r="E963" s="230">
        <v>0</v>
      </c>
      <c r="F963" t="s">
        <v>560</v>
      </c>
      <c r="G963" t="b">
        <v>1</v>
      </c>
      <c r="H963" t="s">
        <v>596</v>
      </c>
    </row>
    <row r="964" spans="1:8" x14ac:dyDescent="0.3">
      <c r="A964" t="s">
        <v>557</v>
      </c>
      <c r="B964" t="s">
        <v>256</v>
      </c>
      <c r="C964" t="s">
        <v>262</v>
      </c>
      <c r="D964" t="s">
        <v>595</v>
      </c>
      <c r="E964" s="230">
        <v>0</v>
      </c>
      <c r="F964" t="s">
        <v>560</v>
      </c>
      <c r="G964" t="b">
        <v>1</v>
      </c>
      <c r="H964" t="s">
        <v>596</v>
      </c>
    </row>
    <row r="965" spans="1:8" x14ac:dyDescent="0.3">
      <c r="A965" t="s">
        <v>557</v>
      </c>
      <c r="B965" t="s">
        <v>256</v>
      </c>
      <c r="C965" t="s">
        <v>263</v>
      </c>
      <c r="D965" t="s">
        <v>595</v>
      </c>
      <c r="E965" s="230">
        <v>0</v>
      </c>
      <c r="F965" t="s">
        <v>560</v>
      </c>
      <c r="G965" t="b">
        <v>1</v>
      </c>
      <c r="H965" t="s">
        <v>596</v>
      </c>
    </row>
    <row r="966" spans="1:8" x14ac:dyDescent="0.3">
      <c r="A966" t="s">
        <v>557</v>
      </c>
      <c r="B966" t="s">
        <v>264</v>
      </c>
      <c r="C966" t="s">
        <v>265</v>
      </c>
      <c r="D966" t="s">
        <v>595</v>
      </c>
      <c r="E966" s="230">
        <v>5278.91</v>
      </c>
      <c r="F966" t="s">
        <v>560</v>
      </c>
      <c r="G966" t="b">
        <v>1</v>
      </c>
      <c r="H966" t="s">
        <v>596</v>
      </c>
    </row>
    <row r="967" spans="1:8" x14ac:dyDescent="0.3">
      <c r="A967" t="s">
        <v>557</v>
      </c>
      <c r="B967" t="s">
        <v>264</v>
      </c>
      <c r="C967" t="s">
        <v>266</v>
      </c>
      <c r="D967" t="s">
        <v>595</v>
      </c>
      <c r="E967" s="230">
        <v>11128.91</v>
      </c>
      <c r="F967" t="s">
        <v>560</v>
      </c>
      <c r="G967" t="b">
        <v>1</v>
      </c>
      <c r="H967" t="s">
        <v>596</v>
      </c>
    </row>
    <row r="968" spans="1:8" x14ac:dyDescent="0.3">
      <c r="A968" t="s">
        <v>557</v>
      </c>
      <c r="B968" t="s">
        <v>264</v>
      </c>
      <c r="C968" t="s">
        <v>267</v>
      </c>
      <c r="D968" t="s">
        <v>595</v>
      </c>
      <c r="E968" s="230">
        <v>6978.91</v>
      </c>
      <c r="F968" t="s">
        <v>560</v>
      </c>
      <c r="G968" t="b">
        <v>1</v>
      </c>
      <c r="H968" t="s">
        <v>596</v>
      </c>
    </row>
    <row r="969" spans="1:8" x14ac:dyDescent="0.3">
      <c r="A969" t="s">
        <v>557</v>
      </c>
      <c r="B969" t="s">
        <v>264</v>
      </c>
      <c r="C969" t="s">
        <v>268</v>
      </c>
      <c r="D969" t="s">
        <v>595</v>
      </c>
      <c r="E969" s="230">
        <v>6578.91</v>
      </c>
      <c r="F969" t="s">
        <v>560</v>
      </c>
      <c r="G969" t="b">
        <v>1</v>
      </c>
      <c r="H969" t="s">
        <v>596</v>
      </c>
    </row>
    <row r="970" spans="1:8" x14ac:dyDescent="0.3">
      <c r="A970" t="s">
        <v>557</v>
      </c>
      <c r="B970" t="s">
        <v>264</v>
      </c>
      <c r="C970" t="s">
        <v>269</v>
      </c>
      <c r="D970" t="s">
        <v>595</v>
      </c>
      <c r="E970" s="230">
        <v>628.91</v>
      </c>
      <c r="F970" t="s">
        <v>560</v>
      </c>
      <c r="G970" t="b">
        <v>1</v>
      </c>
      <c r="H970" t="s">
        <v>596</v>
      </c>
    </row>
    <row r="971" spans="1:8" x14ac:dyDescent="0.3">
      <c r="A971" t="s">
        <v>557</v>
      </c>
      <c r="B971" t="s">
        <v>264</v>
      </c>
      <c r="C971" t="s">
        <v>270</v>
      </c>
      <c r="D971" t="s">
        <v>595</v>
      </c>
      <c r="E971" s="230">
        <v>561</v>
      </c>
      <c r="F971" t="s">
        <v>560</v>
      </c>
      <c r="G971" t="b">
        <v>1</v>
      </c>
      <c r="H971" t="s">
        <v>596</v>
      </c>
    </row>
    <row r="972" spans="1:8" x14ac:dyDescent="0.3">
      <c r="A972" t="s">
        <v>557</v>
      </c>
      <c r="B972" t="s">
        <v>264</v>
      </c>
      <c r="C972" t="s">
        <v>271</v>
      </c>
      <c r="D972" t="s">
        <v>595</v>
      </c>
      <c r="E972" s="230">
        <v>1278.9100000000001</v>
      </c>
      <c r="F972" t="s">
        <v>560</v>
      </c>
      <c r="G972" t="b">
        <v>1</v>
      </c>
      <c r="H972" t="s">
        <v>596</v>
      </c>
    </row>
    <row r="973" spans="1:8" x14ac:dyDescent="0.3">
      <c r="A973" t="s">
        <v>557</v>
      </c>
      <c r="B973" t="s">
        <v>264</v>
      </c>
      <c r="C973" t="s">
        <v>272</v>
      </c>
      <c r="D973" t="s">
        <v>595</v>
      </c>
      <c r="E973" s="230">
        <v>2378.91</v>
      </c>
      <c r="F973" t="s">
        <v>560</v>
      </c>
      <c r="G973" t="b">
        <v>1</v>
      </c>
      <c r="H973" t="s">
        <v>596</v>
      </c>
    </row>
    <row r="974" spans="1:8" x14ac:dyDescent="0.3">
      <c r="A974" t="s">
        <v>557</v>
      </c>
      <c r="B974" t="s">
        <v>264</v>
      </c>
      <c r="C974" t="s">
        <v>273</v>
      </c>
      <c r="D974" t="s">
        <v>595</v>
      </c>
      <c r="E974" s="230">
        <v>278.91000000000003</v>
      </c>
      <c r="F974" t="s">
        <v>560</v>
      </c>
      <c r="G974" t="b">
        <v>1</v>
      </c>
      <c r="H974" t="s">
        <v>596</v>
      </c>
    </row>
    <row r="975" spans="1:8" x14ac:dyDescent="0.3">
      <c r="A975" t="s">
        <v>557</v>
      </c>
      <c r="B975" t="s">
        <v>264</v>
      </c>
      <c r="C975" t="s">
        <v>580</v>
      </c>
      <c r="D975" t="s">
        <v>595</v>
      </c>
      <c r="E975" s="230">
        <v>278.91000000000003</v>
      </c>
      <c r="F975" t="s">
        <v>560</v>
      </c>
      <c r="G975" t="b">
        <v>1</v>
      </c>
      <c r="H975" t="s">
        <v>596</v>
      </c>
    </row>
    <row r="976" spans="1:8" x14ac:dyDescent="0.3">
      <c r="A976" t="s">
        <v>557</v>
      </c>
      <c r="B976" t="s">
        <v>264</v>
      </c>
      <c r="C976" t="s">
        <v>275</v>
      </c>
      <c r="D976" t="s">
        <v>595</v>
      </c>
      <c r="E976" s="230">
        <v>1278.9100000000001</v>
      </c>
      <c r="F976" t="s">
        <v>560</v>
      </c>
      <c r="G976" t="b">
        <v>1</v>
      </c>
      <c r="H976" t="s">
        <v>596</v>
      </c>
    </row>
    <row r="977" spans="1:8" x14ac:dyDescent="0.3">
      <c r="A977" t="s">
        <v>557</v>
      </c>
      <c r="B977" t="s">
        <v>264</v>
      </c>
      <c r="C977" t="s">
        <v>276</v>
      </c>
      <c r="D977" t="s">
        <v>595</v>
      </c>
      <c r="E977" s="230">
        <v>1428</v>
      </c>
      <c r="F977" t="s">
        <v>560</v>
      </c>
      <c r="G977" t="b">
        <v>1</v>
      </c>
      <c r="H977" t="s">
        <v>596</v>
      </c>
    </row>
    <row r="978" spans="1:8" x14ac:dyDescent="0.3">
      <c r="A978" t="s">
        <v>557</v>
      </c>
      <c r="B978" t="s">
        <v>264</v>
      </c>
      <c r="C978" t="s">
        <v>277</v>
      </c>
      <c r="D978" t="s">
        <v>595</v>
      </c>
      <c r="E978" s="230">
        <v>250</v>
      </c>
      <c r="F978" t="s">
        <v>560</v>
      </c>
      <c r="G978" t="b">
        <v>1</v>
      </c>
      <c r="H978" t="s">
        <v>596</v>
      </c>
    </row>
    <row r="979" spans="1:8" x14ac:dyDescent="0.3">
      <c r="A979" t="s">
        <v>557</v>
      </c>
      <c r="B979" t="s">
        <v>264</v>
      </c>
      <c r="C979" t="s">
        <v>278</v>
      </c>
      <c r="D979" t="s">
        <v>595</v>
      </c>
      <c r="E979" s="230">
        <v>3378.91</v>
      </c>
      <c r="F979" t="s">
        <v>560</v>
      </c>
      <c r="G979" t="b">
        <v>1</v>
      </c>
      <c r="H979" t="s">
        <v>596</v>
      </c>
    </row>
    <row r="980" spans="1:8" x14ac:dyDescent="0.3">
      <c r="A980" t="s">
        <v>557</v>
      </c>
      <c r="B980" t="s">
        <v>279</v>
      </c>
      <c r="C980" t="s">
        <v>280</v>
      </c>
      <c r="D980" t="s">
        <v>595</v>
      </c>
      <c r="E980" s="230">
        <v>0</v>
      </c>
      <c r="F980" t="s">
        <v>560</v>
      </c>
      <c r="G980" t="b">
        <v>1</v>
      </c>
      <c r="H980" t="s">
        <v>596</v>
      </c>
    </row>
    <row r="981" spans="1:8" x14ac:dyDescent="0.3">
      <c r="A981" t="s">
        <v>557</v>
      </c>
      <c r="B981" t="s">
        <v>279</v>
      </c>
      <c r="C981" t="s">
        <v>281</v>
      </c>
      <c r="D981" t="s">
        <v>595</v>
      </c>
      <c r="E981" s="230">
        <v>608.54999999999995</v>
      </c>
      <c r="F981" t="s">
        <v>560</v>
      </c>
      <c r="G981" t="b">
        <v>1</v>
      </c>
      <c r="H981" t="s">
        <v>596</v>
      </c>
    </row>
    <row r="982" spans="1:8" x14ac:dyDescent="0.3">
      <c r="A982" t="s">
        <v>557</v>
      </c>
      <c r="B982" t="s">
        <v>279</v>
      </c>
      <c r="C982" t="s">
        <v>282</v>
      </c>
      <c r="D982" t="s">
        <v>595</v>
      </c>
      <c r="E982" s="230">
        <v>416.13</v>
      </c>
      <c r="F982" t="s">
        <v>560</v>
      </c>
      <c r="G982" t="b">
        <v>1</v>
      </c>
      <c r="H982" t="s">
        <v>596</v>
      </c>
    </row>
    <row r="983" spans="1:8" x14ac:dyDescent="0.3">
      <c r="A983" t="s">
        <v>557</v>
      </c>
      <c r="B983" t="s">
        <v>279</v>
      </c>
      <c r="C983" t="s">
        <v>283</v>
      </c>
      <c r="D983" t="s">
        <v>595</v>
      </c>
      <c r="E983" s="230">
        <v>0</v>
      </c>
      <c r="F983" t="s">
        <v>560</v>
      </c>
      <c r="G983" t="b">
        <v>1</v>
      </c>
      <c r="H983" t="s">
        <v>596</v>
      </c>
    </row>
    <row r="984" spans="1:8" x14ac:dyDescent="0.3">
      <c r="A984" t="s">
        <v>557</v>
      </c>
      <c r="B984" t="s">
        <v>279</v>
      </c>
      <c r="C984" t="s">
        <v>284</v>
      </c>
      <c r="D984" t="s">
        <v>595</v>
      </c>
      <c r="E984" s="230">
        <v>2614.5</v>
      </c>
      <c r="F984" t="s">
        <v>560</v>
      </c>
      <c r="G984" t="b">
        <v>1</v>
      </c>
      <c r="H984" t="s">
        <v>596</v>
      </c>
    </row>
    <row r="985" spans="1:8" x14ac:dyDescent="0.3">
      <c r="A985" t="s">
        <v>557</v>
      </c>
      <c r="B985" t="s">
        <v>279</v>
      </c>
      <c r="C985" t="s">
        <v>285</v>
      </c>
      <c r="D985" t="s">
        <v>595</v>
      </c>
      <c r="E985" s="230">
        <v>408.45</v>
      </c>
      <c r="F985" t="s">
        <v>560</v>
      </c>
      <c r="G985" t="b">
        <v>1</v>
      </c>
      <c r="H985" t="s">
        <v>596</v>
      </c>
    </row>
    <row r="986" spans="1:8" x14ac:dyDescent="0.3">
      <c r="A986" t="s">
        <v>557</v>
      </c>
      <c r="B986" t="s">
        <v>279</v>
      </c>
      <c r="C986" t="s">
        <v>286</v>
      </c>
      <c r="D986" t="s">
        <v>595</v>
      </c>
      <c r="E986" s="230">
        <v>1017.45</v>
      </c>
      <c r="F986" t="s">
        <v>560</v>
      </c>
      <c r="G986" t="b">
        <v>1</v>
      </c>
      <c r="H986" t="s">
        <v>596</v>
      </c>
    </row>
    <row r="987" spans="1:8" x14ac:dyDescent="0.3">
      <c r="A987" t="s">
        <v>557</v>
      </c>
      <c r="B987" t="s">
        <v>581</v>
      </c>
      <c r="C987" t="s">
        <v>288</v>
      </c>
      <c r="D987" t="s">
        <v>595</v>
      </c>
      <c r="E987" s="230">
        <v>4336.74</v>
      </c>
      <c r="F987" t="s">
        <v>560</v>
      </c>
      <c r="G987" t="b">
        <v>1</v>
      </c>
      <c r="H987" t="s">
        <v>596</v>
      </c>
    </row>
    <row r="988" spans="1:8" x14ac:dyDescent="0.3">
      <c r="A988" t="s">
        <v>557</v>
      </c>
      <c r="B988" t="s">
        <v>581</v>
      </c>
      <c r="C988" t="s">
        <v>289</v>
      </c>
      <c r="D988" t="s">
        <v>595</v>
      </c>
      <c r="E988" s="230">
        <v>1311.57</v>
      </c>
      <c r="F988" t="s">
        <v>560</v>
      </c>
      <c r="G988" t="b">
        <v>1</v>
      </c>
      <c r="H988" t="s">
        <v>596</v>
      </c>
    </row>
    <row r="989" spans="1:8" x14ac:dyDescent="0.3">
      <c r="A989" t="s">
        <v>557</v>
      </c>
      <c r="B989" t="s">
        <v>581</v>
      </c>
      <c r="C989" t="s">
        <v>290</v>
      </c>
      <c r="D989" t="s">
        <v>595</v>
      </c>
      <c r="E989" s="230">
        <v>1111.57</v>
      </c>
      <c r="F989" t="s">
        <v>560</v>
      </c>
      <c r="G989" t="b">
        <v>1</v>
      </c>
      <c r="H989" t="s">
        <v>596</v>
      </c>
    </row>
    <row r="990" spans="1:8" x14ac:dyDescent="0.3">
      <c r="A990" t="s">
        <v>557</v>
      </c>
      <c r="B990" t="s">
        <v>581</v>
      </c>
      <c r="C990" t="s">
        <v>291</v>
      </c>
      <c r="D990" t="s">
        <v>595</v>
      </c>
      <c r="E990" s="230">
        <v>411.57</v>
      </c>
      <c r="F990" t="s">
        <v>560</v>
      </c>
      <c r="G990" t="b">
        <v>1</v>
      </c>
      <c r="H990" t="s">
        <v>596</v>
      </c>
    </row>
    <row r="991" spans="1:8" x14ac:dyDescent="0.3">
      <c r="A991" t="s">
        <v>557</v>
      </c>
      <c r="B991" t="s">
        <v>581</v>
      </c>
      <c r="C991" t="s">
        <v>292</v>
      </c>
      <c r="D991" t="s">
        <v>595</v>
      </c>
      <c r="E991" s="230">
        <v>0</v>
      </c>
      <c r="F991" t="s">
        <v>560</v>
      </c>
      <c r="G991" t="b">
        <v>1</v>
      </c>
      <c r="H991" t="s">
        <v>596</v>
      </c>
    </row>
    <row r="992" spans="1:8" x14ac:dyDescent="0.3">
      <c r="A992" t="s">
        <v>557</v>
      </c>
      <c r="B992" t="s">
        <v>582</v>
      </c>
      <c r="C992" t="s">
        <v>293</v>
      </c>
      <c r="D992" t="s">
        <v>595</v>
      </c>
      <c r="E992" s="230">
        <v>611.57000000000005</v>
      </c>
      <c r="F992" t="s">
        <v>560</v>
      </c>
      <c r="G992" t="b">
        <v>1</v>
      </c>
      <c r="H992" t="s">
        <v>596</v>
      </c>
    </row>
    <row r="993" spans="1:8" x14ac:dyDescent="0.3">
      <c r="A993" t="s">
        <v>557</v>
      </c>
      <c r="B993" t="s">
        <v>582</v>
      </c>
      <c r="C993" t="s">
        <v>294</v>
      </c>
      <c r="D993" t="s">
        <v>595</v>
      </c>
      <c r="E993" s="230">
        <v>0</v>
      </c>
      <c r="F993" t="s">
        <v>560</v>
      </c>
      <c r="G993" t="b">
        <v>1</v>
      </c>
      <c r="H993" t="s">
        <v>596</v>
      </c>
    </row>
    <row r="994" spans="1:8" x14ac:dyDescent="0.3">
      <c r="A994" t="s">
        <v>557</v>
      </c>
      <c r="B994" t="s">
        <v>582</v>
      </c>
      <c r="C994" t="s">
        <v>295</v>
      </c>
      <c r="D994" t="s">
        <v>595</v>
      </c>
      <c r="E994" s="230">
        <v>0</v>
      </c>
      <c r="F994" t="s">
        <v>560</v>
      </c>
      <c r="G994" t="b">
        <v>1</v>
      </c>
      <c r="H994" t="s">
        <v>596</v>
      </c>
    </row>
    <row r="995" spans="1:8" x14ac:dyDescent="0.3">
      <c r="A995" t="s">
        <v>557</v>
      </c>
      <c r="B995" t="s">
        <v>296</v>
      </c>
      <c r="C995" t="s">
        <v>297</v>
      </c>
      <c r="D995" t="s">
        <v>595</v>
      </c>
      <c r="E995" s="230">
        <v>4200</v>
      </c>
      <c r="F995" t="s">
        <v>560</v>
      </c>
      <c r="G995" t="b">
        <v>1</v>
      </c>
      <c r="H995" t="s">
        <v>596</v>
      </c>
    </row>
    <row r="996" spans="1:8" x14ac:dyDescent="0.3">
      <c r="A996" t="s">
        <v>557</v>
      </c>
      <c r="B996" t="s">
        <v>296</v>
      </c>
      <c r="C996" t="s">
        <v>298</v>
      </c>
      <c r="D996" t="s">
        <v>595</v>
      </c>
      <c r="E996" s="230">
        <v>525</v>
      </c>
      <c r="F996" t="s">
        <v>560</v>
      </c>
      <c r="G996" t="b">
        <v>1</v>
      </c>
      <c r="H996" t="s">
        <v>596</v>
      </c>
    </row>
    <row r="997" spans="1:8" x14ac:dyDescent="0.3">
      <c r="A997" t="s">
        <v>557</v>
      </c>
      <c r="B997" t="s">
        <v>296</v>
      </c>
      <c r="C997" t="s">
        <v>299</v>
      </c>
      <c r="D997" t="s">
        <v>595</v>
      </c>
      <c r="E997" s="230">
        <v>0</v>
      </c>
      <c r="F997" t="s">
        <v>560</v>
      </c>
      <c r="G997" t="b">
        <v>1</v>
      </c>
      <c r="H997" t="s">
        <v>596</v>
      </c>
    </row>
    <row r="998" spans="1:8" x14ac:dyDescent="0.3">
      <c r="A998" t="s">
        <v>557</v>
      </c>
      <c r="B998" t="s">
        <v>296</v>
      </c>
      <c r="C998" t="s">
        <v>300</v>
      </c>
      <c r="D998" t="s">
        <v>595</v>
      </c>
      <c r="E998" s="230">
        <v>0</v>
      </c>
      <c r="F998" t="s">
        <v>560</v>
      </c>
      <c r="G998" t="b">
        <v>1</v>
      </c>
      <c r="H998" t="s">
        <v>596</v>
      </c>
    </row>
    <row r="999" spans="1:8" x14ac:dyDescent="0.3">
      <c r="A999" t="s">
        <v>557</v>
      </c>
      <c r="B999" t="s">
        <v>296</v>
      </c>
      <c r="C999" t="s">
        <v>301</v>
      </c>
      <c r="D999" t="s">
        <v>595</v>
      </c>
      <c r="E999" s="230">
        <v>1111.57</v>
      </c>
      <c r="F999" t="s">
        <v>560</v>
      </c>
      <c r="G999" t="b">
        <v>1</v>
      </c>
      <c r="H999" t="s">
        <v>596</v>
      </c>
    </row>
    <row r="1000" spans="1:8" x14ac:dyDescent="0.3">
      <c r="A1000" t="s">
        <v>557</v>
      </c>
      <c r="B1000" t="s">
        <v>296</v>
      </c>
      <c r="C1000" t="s">
        <v>302</v>
      </c>
      <c r="D1000" t="s">
        <v>595</v>
      </c>
      <c r="E1000" s="230">
        <v>0</v>
      </c>
      <c r="F1000" t="s">
        <v>560</v>
      </c>
      <c r="G1000" t="b">
        <v>1</v>
      </c>
      <c r="H1000" t="s">
        <v>596</v>
      </c>
    </row>
    <row r="1001" spans="1:8" x14ac:dyDescent="0.3">
      <c r="A1001" t="s">
        <v>557</v>
      </c>
      <c r="B1001" t="s">
        <v>296</v>
      </c>
      <c r="C1001" t="s">
        <v>303</v>
      </c>
      <c r="D1001" t="s">
        <v>595</v>
      </c>
      <c r="E1001" s="230">
        <v>0</v>
      </c>
      <c r="F1001" t="s">
        <v>560</v>
      </c>
      <c r="G1001" t="b">
        <v>1</v>
      </c>
      <c r="H1001" t="s">
        <v>596</v>
      </c>
    </row>
    <row r="1002" spans="1:8" x14ac:dyDescent="0.3">
      <c r="A1002" t="s">
        <v>557</v>
      </c>
      <c r="B1002" t="s">
        <v>296</v>
      </c>
      <c r="C1002" t="s">
        <v>304</v>
      </c>
      <c r="D1002" t="s">
        <v>595</v>
      </c>
      <c r="E1002" s="230">
        <v>0</v>
      </c>
      <c r="F1002" t="s">
        <v>560</v>
      </c>
      <c r="G1002" t="b">
        <v>1</v>
      </c>
      <c r="H1002" t="s">
        <v>596</v>
      </c>
    </row>
    <row r="1003" spans="1:8" x14ac:dyDescent="0.3">
      <c r="A1003" t="s">
        <v>557</v>
      </c>
      <c r="B1003" t="s">
        <v>296</v>
      </c>
      <c r="C1003" t="s">
        <v>305</v>
      </c>
      <c r="D1003" t="s">
        <v>595</v>
      </c>
      <c r="E1003" s="230">
        <v>0</v>
      </c>
      <c r="F1003" t="s">
        <v>560</v>
      </c>
      <c r="G1003" t="b">
        <v>1</v>
      </c>
      <c r="H1003" t="s">
        <v>596</v>
      </c>
    </row>
    <row r="1004" spans="1:8" x14ac:dyDescent="0.3">
      <c r="A1004" t="s">
        <v>557</v>
      </c>
      <c r="B1004" t="s">
        <v>296</v>
      </c>
      <c r="C1004" t="s">
        <v>583</v>
      </c>
      <c r="D1004" t="s">
        <v>595</v>
      </c>
      <c r="E1004" s="230">
        <v>0</v>
      </c>
      <c r="F1004" t="s">
        <v>560</v>
      </c>
      <c r="G1004" t="b">
        <v>1</v>
      </c>
      <c r="H1004" t="s">
        <v>596</v>
      </c>
    </row>
    <row r="1005" spans="1:8" x14ac:dyDescent="0.3">
      <c r="A1005" t="s">
        <v>557</v>
      </c>
      <c r="B1005" t="s">
        <v>296</v>
      </c>
      <c r="C1005" t="s">
        <v>307</v>
      </c>
      <c r="D1005" t="s">
        <v>595</v>
      </c>
      <c r="E1005" s="230">
        <v>206.85</v>
      </c>
      <c r="F1005" t="s">
        <v>560</v>
      </c>
      <c r="G1005" t="b">
        <v>1</v>
      </c>
      <c r="H1005" t="s">
        <v>596</v>
      </c>
    </row>
    <row r="1006" spans="1:8" x14ac:dyDescent="0.3">
      <c r="A1006" t="s">
        <v>557</v>
      </c>
      <c r="B1006" t="s">
        <v>308</v>
      </c>
      <c r="C1006" t="s">
        <v>309</v>
      </c>
      <c r="D1006" t="s">
        <v>595</v>
      </c>
      <c r="E1006" s="230">
        <v>2995.34</v>
      </c>
      <c r="F1006" t="s">
        <v>560</v>
      </c>
      <c r="G1006" t="b">
        <v>1</v>
      </c>
      <c r="H1006" t="s">
        <v>596</v>
      </c>
    </row>
    <row r="1007" spans="1:8" x14ac:dyDescent="0.3">
      <c r="A1007" t="s">
        <v>557</v>
      </c>
      <c r="B1007" t="s">
        <v>308</v>
      </c>
      <c r="C1007" t="s">
        <v>310</v>
      </c>
      <c r="D1007" t="s">
        <v>595</v>
      </c>
      <c r="E1007" s="230">
        <v>0</v>
      </c>
      <c r="F1007" t="s">
        <v>560</v>
      </c>
      <c r="G1007" t="b">
        <v>1</v>
      </c>
      <c r="H1007" t="s">
        <v>596</v>
      </c>
    </row>
    <row r="1008" spans="1:8" x14ac:dyDescent="0.3">
      <c r="A1008" t="s">
        <v>557</v>
      </c>
      <c r="B1008" t="s">
        <v>308</v>
      </c>
      <c r="C1008" t="s">
        <v>311</v>
      </c>
      <c r="D1008" t="s">
        <v>595</v>
      </c>
      <c r="E1008" s="230">
        <v>1627.5</v>
      </c>
      <c r="F1008" t="s">
        <v>560</v>
      </c>
      <c r="G1008" t="b">
        <v>1</v>
      </c>
      <c r="H1008" t="s">
        <v>596</v>
      </c>
    </row>
    <row r="1009" spans="1:8" x14ac:dyDescent="0.3">
      <c r="A1009" t="s">
        <v>557</v>
      </c>
      <c r="B1009" t="s">
        <v>308</v>
      </c>
      <c r="C1009" t="s">
        <v>312</v>
      </c>
      <c r="D1009" t="s">
        <v>595</v>
      </c>
      <c r="E1009" s="230">
        <v>194.25</v>
      </c>
      <c r="F1009" t="s">
        <v>560</v>
      </c>
      <c r="G1009" t="b">
        <v>1</v>
      </c>
      <c r="H1009" t="s">
        <v>596</v>
      </c>
    </row>
    <row r="1010" spans="1:8" x14ac:dyDescent="0.3">
      <c r="A1010" t="s">
        <v>557</v>
      </c>
      <c r="B1010" t="s">
        <v>308</v>
      </c>
      <c r="C1010" t="s">
        <v>313</v>
      </c>
      <c r="D1010" t="s">
        <v>595</v>
      </c>
      <c r="E1010" s="230">
        <v>0</v>
      </c>
      <c r="F1010" t="s">
        <v>560</v>
      </c>
      <c r="G1010" t="b">
        <v>1</v>
      </c>
      <c r="H1010" t="s">
        <v>596</v>
      </c>
    </row>
    <row r="1011" spans="1:8" x14ac:dyDescent="0.3">
      <c r="A1011" t="s">
        <v>557</v>
      </c>
      <c r="B1011" t="s">
        <v>308</v>
      </c>
      <c r="C1011" t="s">
        <v>314</v>
      </c>
      <c r="D1011" t="s">
        <v>595</v>
      </c>
      <c r="E1011" s="230">
        <v>743.59</v>
      </c>
      <c r="F1011" t="s">
        <v>560</v>
      </c>
      <c r="G1011" t="b">
        <v>1</v>
      </c>
      <c r="H1011" t="s">
        <v>596</v>
      </c>
    </row>
    <row r="1012" spans="1:8" x14ac:dyDescent="0.3">
      <c r="A1012" t="s">
        <v>557</v>
      </c>
      <c r="B1012" t="s">
        <v>308</v>
      </c>
      <c r="C1012" t="s">
        <v>315</v>
      </c>
      <c r="D1012" t="s">
        <v>595</v>
      </c>
      <c r="E1012" s="230">
        <v>0</v>
      </c>
      <c r="F1012" t="s">
        <v>560</v>
      </c>
      <c r="G1012" t="b">
        <v>1</v>
      </c>
      <c r="H1012" t="s">
        <v>596</v>
      </c>
    </row>
    <row r="1013" spans="1:8" x14ac:dyDescent="0.3">
      <c r="A1013" t="s">
        <v>557</v>
      </c>
      <c r="B1013" t="s">
        <v>308</v>
      </c>
      <c r="C1013" t="s">
        <v>316</v>
      </c>
      <c r="D1013" t="s">
        <v>595</v>
      </c>
      <c r="E1013" s="230">
        <v>0</v>
      </c>
      <c r="F1013" t="s">
        <v>560</v>
      </c>
      <c r="G1013" t="b">
        <v>1</v>
      </c>
      <c r="H1013" t="s">
        <v>596</v>
      </c>
    </row>
    <row r="1014" spans="1:8" x14ac:dyDescent="0.3">
      <c r="A1014" t="s">
        <v>557</v>
      </c>
      <c r="B1014" t="s">
        <v>308</v>
      </c>
      <c r="C1014" t="s">
        <v>317</v>
      </c>
      <c r="D1014" t="s">
        <v>595</v>
      </c>
      <c r="E1014" s="230">
        <v>0</v>
      </c>
      <c r="F1014" t="s">
        <v>560</v>
      </c>
      <c r="G1014" t="b">
        <v>1</v>
      </c>
      <c r="H1014" t="s">
        <v>596</v>
      </c>
    </row>
    <row r="1015" spans="1:8" x14ac:dyDescent="0.3">
      <c r="A1015" t="s">
        <v>557</v>
      </c>
      <c r="B1015" t="s">
        <v>318</v>
      </c>
      <c r="C1015" t="s">
        <v>319</v>
      </c>
      <c r="D1015" t="s">
        <v>595</v>
      </c>
      <c r="E1015" s="230">
        <v>1770.3</v>
      </c>
      <c r="F1015" t="s">
        <v>560</v>
      </c>
      <c r="G1015" t="b">
        <v>1</v>
      </c>
      <c r="H1015" t="s">
        <v>596</v>
      </c>
    </row>
    <row r="1016" spans="1:8" x14ac:dyDescent="0.3">
      <c r="A1016" t="s">
        <v>557</v>
      </c>
      <c r="B1016" t="s">
        <v>318</v>
      </c>
      <c r="C1016" t="s">
        <v>320</v>
      </c>
      <c r="D1016" t="s">
        <v>595</v>
      </c>
      <c r="E1016" s="230">
        <v>144.44999999999999</v>
      </c>
      <c r="F1016" t="s">
        <v>560</v>
      </c>
      <c r="G1016" t="b">
        <v>1</v>
      </c>
      <c r="H1016" t="s">
        <v>596</v>
      </c>
    </row>
    <row r="1017" spans="1:8" x14ac:dyDescent="0.3">
      <c r="A1017" t="s">
        <v>557</v>
      </c>
      <c r="B1017" t="s">
        <v>318</v>
      </c>
      <c r="C1017" t="s">
        <v>321</v>
      </c>
      <c r="D1017" t="s">
        <v>595</v>
      </c>
      <c r="E1017" s="230">
        <v>210</v>
      </c>
      <c r="F1017" t="s">
        <v>560</v>
      </c>
      <c r="G1017" t="b">
        <v>1</v>
      </c>
      <c r="H1017" t="s">
        <v>596</v>
      </c>
    </row>
    <row r="1018" spans="1:8" x14ac:dyDescent="0.3">
      <c r="A1018" t="s">
        <v>557</v>
      </c>
      <c r="B1018" t="s">
        <v>318</v>
      </c>
      <c r="C1018" t="s">
        <v>322</v>
      </c>
      <c r="D1018" t="s">
        <v>595</v>
      </c>
      <c r="E1018" s="230">
        <v>0</v>
      </c>
      <c r="F1018" t="s">
        <v>560</v>
      </c>
      <c r="G1018" t="b">
        <v>1</v>
      </c>
      <c r="H1018" t="s">
        <v>596</v>
      </c>
    </row>
    <row r="1019" spans="1:8" x14ac:dyDescent="0.3">
      <c r="A1019" t="s">
        <v>557</v>
      </c>
      <c r="B1019" t="s">
        <v>323</v>
      </c>
      <c r="C1019" t="s">
        <v>324</v>
      </c>
      <c r="D1019" t="s">
        <v>595</v>
      </c>
      <c r="E1019" s="230">
        <v>0</v>
      </c>
      <c r="F1019" t="s">
        <v>560</v>
      </c>
      <c r="G1019" t="b">
        <v>1</v>
      </c>
      <c r="H1019" t="s">
        <v>596</v>
      </c>
    </row>
    <row r="1020" spans="1:8" x14ac:dyDescent="0.3">
      <c r="A1020" t="s">
        <v>557</v>
      </c>
      <c r="B1020" t="s">
        <v>323</v>
      </c>
      <c r="C1020" t="s">
        <v>325</v>
      </c>
      <c r="D1020" t="s">
        <v>595</v>
      </c>
      <c r="E1020" s="230">
        <v>0</v>
      </c>
      <c r="F1020" t="s">
        <v>560</v>
      </c>
      <c r="G1020" t="b">
        <v>1</v>
      </c>
      <c r="H1020" t="s">
        <v>596</v>
      </c>
    </row>
    <row r="1021" spans="1:8" x14ac:dyDescent="0.3">
      <c r="A1021" t="s">
        <v>557</v>
      </c>
      <c r="B1021" t="s">
        <v>323</v>
      </c>
      <c r="C1021" t="s">
        <v>326</v>
      </c>
      <c r="D1021" t="s">
        <v>595</v>
      </c>
      <c r="E1021" s="230">
        <v>27891.42</v>
      </c>
      <c r="F1021" t="s">
        <v>560</v>
      </c>
      <c r="G1021" t="b">
        <v>1</v>
      </c>
      <c r="H1021" t="s">
        <v>596</v>
      </c>
    </row>
    <row r="1022" spans="1:8" x14ac:dyDescent="0.3">
      <c r="A1022" t="s">
        <v>557</v>
      </c>
      <c r="B1022" t="s">
        <v>584</v>
      </c>
      <c r="C1022" t="s">
        <v>334</v>
      </c>
      <c r="D1022" t="s">
        <v>595</v>
      </c>
      <c r="E1022" s="230">
        <v>0</v>
      </c>
      <c r="F1022" t="s">
        <v>560</v>
      </c>
      <c r="G1022" t="b">
        <v>1</v>
      </c>
      <c r="H1022" t="s">
        <v>596</v>
      </c>
    </row>
    <row r="1023" spans="1:8" x14ac:dyDescent="0.3">
      <c r="A1023" t="s">
        <v>557</v>
      </c>
      <c r="B1023" t="s">
        <v>584</v>
      </c>
      <c r="C1023" t="s">
        <v>336</v>
      </c>
      <c r="D1023" t="s">
        <v>595</v>
      </c>
      <c r="E1023" s="230">
        <v>0</v>
      </c>
      <c r="F1023" t="s">
        <v>560</v>
      </c>
      <c r="G1023" t="b">
        <v>1</v>
      </c>
      <c r="H1023" t="s">
        <v>596</v>
      </c>
    </row>
    <row r="1024" spans="1:8" x14ac:dyDescent="0.3">
      <c r="A1024" t="s">
        <v>557</v>
      </c>
      <c r="B1024" t="s">
        <v>558</v>
      </c>
      <c r="C1024" t="s">
        <v>13</v>
      </c>
      <c r="D1024" t="s">
        <v>597</v>
      </c>
      <c r="E1024" s="230">
        <v>258746.47</v>
      </c>
      <c r="F1024" t="s">
        <v>560</v>
      </c>
      <c r="G1024" t="b">
        <v>1</v>
      </c>
      <c r="H1024" t="s">
        <v>598</v>
      </c>
    </row>
    <row r="1025" spans="1:8" x14ac:dyDescent="0.3">
      <c r="A1025" t="s">
        <v>557</v>
      </c>
      <c r="B1025" t="s">
        <v>558</v>
      </c>
      <c r="C1025" t="s">
        <v>16</v>
      </c>
      <c r="D1025" t="s">
        <v>597</v>
      </c>
      <c r="E1025" s="230">
        <v>165323</v>
      </c>
      <c r="F1025" t="s">
        <v>560</v>
      </c>
      <c r="G1025" t="b">
        <v>1</v>
      </c>
      <c r="H1025" t="s">
        <v>598</v>
      </c>
    </row>
    <row r="1026" spans="1:8" x14ac:dyDescent="0.3">
      <c r="A1026" t="s">
        <v>557</v>
      </c>
      <c r="B1026" t="s">
        <v>558</v>
      </c>
      <c r="C1026" t="s">
        <v>17</v>
      </c>
      <c r="D1026" t="s">
        <v>597</v>
      </c>
      <c r="E1026" s="230">
        <v>6900.53</v>
      </c>
      <c r="F1026" t="s">
        <v>560</v>
      </c>
      <c r="G1026" t="b">
        <v>1</v>
      </c>
      <c r="H1026" t="s">
        <v>598</v>
      </c>
    </row>
    <row r="1027" spans="1:8" x14ac:dyDescent="0.3">
      <c r="A1027" t="s">
        <v>557</v>
      </c>
      <c r="B1027" t="s">
        <v>558</v>
      </c>
      <c r="C1027" t="s">
        <v>18</v>
      </c>
      <c r="D1027" t="s">
        <v>597</v>
      </c>
      <c r="E1027" s="230">
        <v>0</v>
      </c>
      <c r="F1027" t="s">
        <v>560</v>
      </c>
      <c r="G1027" t="b">
        <v>1</v>
      </c>
      <c r="H1027" t="s">
        <v>598</v>
      </c>
    </row>
    <row r="1028" spans="1:8" x14ac:dyDescent="0.3">
      <c r="A1028" t="s">
        <v>557</v>
      </c>
      <c r="B1028" t="s">
        <v>558</v>
      </c>
      <c r="C1028" t="s">
        <v>20</v>
      </c>
      <c r="D1028" t="s">
        <v>597</v>
      </c>
      <c r="E1028" s="230">
        <v>58768.639999999999</v>
      </c>
      <c r="F1028" t="s">
        <v>560</v>
      </c>
      <c r="G1028" t="b">
        <v>1</v>
      </c>
      <c r="H1028" t="s">
        <v>598</v>
      </c>
    </row>
    <row r="1029" spans="1:8" x14ac:dyDescent="0.3">
      <c r="A1029" t="s">
        <v>557</v>
      </c>
      <c r="B1029" t="s">
        <v>558</v>
      </c>
      <c r="C1029" t="s">
        <v>29</v>
      </c>
      <c r="D1029" t="s">
        <v>597</v>
      </c>
      <c r="E1029" s="230">
        <v>23296.68</v>
      </c>
      <c r="F1029" t="s">
        <v>560</v>
      </c>
      <c r="G1029" t="b">
        <v>1</v>
      </c>
      <c r="H1029" t="s">
        <v>598</v>
      </c>
    </row>
    <row r="1030" spans="1:8" x14ac:dyDescent="0.3">
      <c r="A1030" t="s">
        <v>557</v>
      </c>
      <c r="B1030" t="s">
        <v>558</v>
      </c>
      <c r="C1030" t="s">
        <v>31</v>
      </c>
      <c r="D1030" t="s">
        <v>597</v>
      </c>
      <c r="E1030" s="230">
        <v>0</v>
      </c>
      <c r="F1030" t="s">
        <v>560</v>
      </c>
      <c r="G1030" t="b">
        <v>1</v>
      </c>
      <c r="H1030" t="s">
        <v>598</v>
      </c>
    </row>
    <row r="1031" spans="1:8" x14ac:dyDescent="0.3">
      <c r="A1031" t="s">
        <v>557</v>
      </c>
      <c r="B1031" t="s">
        <v>562</v>
      </c>
      <c r="C1031" t="s">
        <v>38</v>
      </c>
      <c r="D1031" t="s">
        <v>597</v>
      </c>
      <c r="E1031" s="230">
        <v>10601.74</v>
      </c>
      <c r="F1031" t="s">
        <v>560</v>
      </c>
      <c r="G1031" t="b">
        <v>1</v>
      </c>
      <c r="H1031" t="s">
        <v>598</v>
      </c>
    </row>
    <row r="1032" spans="1:8" x14ac:dyDescent="0.3">
      <c r="A1032" t="s">
        <v>557</v>
      </c>
      <c r="B1032" t="s">
        <v>562</v>
      </c>
      <c r="C1032" t="s">
        <v>40</v>
      </c>
      <c r="D1032" t="s">
        <v>597</v>
      </c>
      <c r="E1032" s="230">
        <v>8396.58</v>
      </c>
      <c r="F1032" t="s">
        <v>560</v>
      </c>
      <c r="G1032" t="b">
        <v>1</v>
      </c>
      <c r="H1032" t="s">
        <v>598</v>
      </c>
    </row>
    <row r="1033" spans="1:8" x14ac:dyDescent="0.3">
      <c r="A1033" t="s">
        <v>557</v>
      </c>
      <c r="B1033" t="s">
        <v>562</v>
      </c>
      <c r="C1033" t="s">
        <v>42</v>
      </c>
      <c r="D1033" t="s">
        <v>597</v>
      </c>
      <c r="E1033" s="230">
        <v>1060.17</v>
      </c>
      <c r="F1033" t="s">
        <v>560</v>
      </c>
      <c r="G1033" t="b">
        <v>1</v>
      </c>
      <c r="H1033" t="s">
        <v>598</v>
      </c>
    </row>
    <row r="1034" spans="1:8" x14ac:dyDescent="0.3">
      <c r="A1034" t="s">
        <v>557</v>
      </c>
      <c r="B1034" t="s">
        <v>563</v>
      </c>
      <c r="C1034" t="s">
        <v>46</v>
      </c>
      <c r="D1034" t="s">
        <v>597</v>
      </c>
      <c r="E1034" s="230">
        <v>16439.25</v>
      </c>
      <c r="F1034" t="s">
        <v>560</v>
      </c>
      <c r="G1034" t="b">
        <v>1</v>
      </c>
      <c r="H1034" t="s">
        <v>598</v>
      </c>
    </row>
    <row r="1035" spans="1:8" x14ac:dyDescent="0.3">
      <c r="A1035" t="s">
        <v>557</v>
      </c>
      <c r="B1035" t="s">
        <v>563</v>
      </c>
      <c r="C1035" t="s">
        <v>48</v>
      </c>
      <c r="D1035" t="s">
        <v>597</v>
      </c>
      <c r="E1035" s="230">
        <v>18576.39</v>
      </c>
      <c r="F1035" t="s">
        <v>560</v>
      </c>
      <c r="G1035" t="b">
        <v>1</v>
      </c>
      <c r="H1035" t="s">
        <v>598</v>
      </c>
    </row>
    <row r="1036" spans="1:8" x14ac:dyDescent="0.3">
      <c r="A1036" t="s">
        <v>557</v>
      </c>
      <c r="B1036" t="s">
        <v>563</v>
      </c>
      <c r="C1036" t="s">
        <v>49</v>
      </c>
      <c r="D1036" t="s">
        <v>597</v>
      </c>
      <c r="E1036" s="230">
        <v>227.85</v>
      </c>
      <c r="F1036" t="s">
        <v>560</v>
      </c>
      <c r="G1036" t="b">
        <v>1</v>
      </c>
      <c r="H1036" t="s">
        <v>598</v>
      </c>
    </row>
    <row r="1037" spans="1:8" x14ac:dyDescent="0.3">
      <c r="A1037" t="s">
        <v>557</v>
      </c>
      <c r="B1037" t="s">
        <v>564</v>
      </c>
      <c r="C1037" t="s">
        <v>565</v>
      </c>
      <c r="D1037" t="s">
        <v>597</v>
      </c>
      <c r="E1037" s="230">
        <v>99343.29</v>
      </c>
      <c r="F1037" t="s">
        <v>560</v>
      </c>
      <c r="G1037" t="b">
        <v>1</v>
      </c>
      <c r="H1037" t="s">
        <v>598</v>
      </c>
    </row>
    <row r="1038" spans="1:8" x14ac:dyDescent="0.3">
      <c r="A1038" t="s">
        <v>557</v>
      </c>
      <c r="B1038" t="s">
        <v>564</v>
      </c>
      <c r="C1038" t="s">
        <v>566</v>
      </c>
      <c r="D1038" t="s">
        <v>597</v>
      </c>
      <c r="E1038" s="230">
        <v>34717.83</v>
      </c>
      <c r="F1038" t="s">
        <v>560</v>
      </c>
      <c r="G1038" t="b">
        <v>1</v>
      </c>
      <c r="H1038" t="s">
        <v>598</v>
      </c>
    </row>
    <row r="1039" spans="1:8" x14ac:dyDescent="0.3">
      <c r="A1039" t="s">
        <v>557</v>
      </c>
      <c r="B1039" t="s">
        <v>564</v>
      </c>
      <c r="C1039" t="s">
        <v>567</v>
      </c>
      <c r="D1039" t="s">
        <v>597</v>
      </c>
      <c r="E1039" s="230">
        <v>698.9</v>
      </c>
      <c r="F1039" t="s">
        <v>560</v>
      </c>
      <c r="G1039" t="b">
        <v>1</v>
      </c>
      <c r="H1039" t="s">
        <v>598</v>
      </c>
    </row>
    <row r="1040" spans="1:8" x14ac:dyDescent="0.3">
      <c r="A1040" t="s">
        <v>557</v>
      </c>
      <c r="B1040" t="s">
        <v>564</v>
      </c>
      <c r="C1040" t="s">
        <v>568</v>
      </c>
      <c r="D1040" t="s">
        <v>597</v>
      </c>
      <c r="E1040" s="230">
        <v>0</v>
      </c>
      <c r="F1040" t="s">
        <v>560</v>
      </c>
      <c r="G1040" t="b">
        <v>1</v>
      </c>
      <c r="H1040" t="s">
        <v>598</v>
      </c>
    </row>
    <row r="1041" spans="1:8" x14ac:dyDescent="0.3">
      <c r="A1041" t="s">
        <v>557</v>
      </c>
      <c r="B1041" t="s">
        <v>569</v>
      </c>
      <c r="C1041" t="s">
        <v>58</v>
      </c>
      <c r="D1041" t="s">
        <v>597</v>
      </c>
      <c r="E1041" s="230">
        <v>4623.3500000000004</v>
      </c>
      <c r="F1041" t="s">
        <v>560</v>
      </c>
      <c r="G1041" t="b">
        <v>1</v>
      </c>
      <c r="H1041" t="s">
        <v>598</v>
      </c>
    </row>
    <row r="1042" spans="1:8" x14ac:dyDescent="0.3">
      <c r="A1042" t="s">
        <v>557</v>
      </c>
      <c r="B1042" t="s">
        <v>569</v>
      </c>
      <c r="C1042" t="s">
        <v>59</v>
      </c>
      <c r="D1042" t="s">
        <v>597</v>
      </c>
      <c r="E1042" s="230">
        <v>690.05</v>
      </c>
      <c r="F1042" t="s">
        <v>560</v>
      </c>
      <c r="G1042" t="b">
        <v>1</v>
      </c>
      <c r="H1042" t="s">
        <v>598</v>
      </c>
    </row>
    <row r="1043" spans="1:8" x14ac:dyDescent="0.3">
      <c r="A1043" t="s">
        <v>557</v>
      </c>
      <c r="B1043" t="s">
        <v>569</v>
      </c>
      <c r="C1043" t="s">
        <v>62</v>
      </c>
      <c r="D1043" t="s">
        <v>597</v>
      </c>
      <c r="E1043" s="230">
        <v>0</v>
      </c>
      <c r="F1043" t="s">
        <v>560</v>
      </c>
      <c r="G1043" t="b">
        <v>1</v>
      </c>
      <c r="H1043" t="s">
        <v>598</v>
      </c>
    </row>
    <row r="1044" spans="1:8" x14ac:dyDescent="0.3">
      <c r="A1044" t="s">
        <v>557</v>
      </c>
      <c r="B1044" t="s">
        <v>570</v>
      </c>
      <c r="C1044" t="s">
        <v>64</v>
      </c>
      <c r="D1044" t="s">
        <v>597</v>
      </c>
      <c r="E1044" s="230">
        <v>0</v>
      </c>
      <c r="F1044" t="s">
        <v>560</v>
      </c>
      <c r="G1044" t="b">
        <v>1</v>
      </c>
      <c r="H1044" t="s">
        <v>598</v>
      </c>
    </row>
    <row r="1045" spans="1:8" x14ac:dyDescent="0.3">
      <c r="A1045" t="s">
        <v>557</v>
      </c>
      <c r="B1045" t="s">
        <v>569</v>
      </c>
      <c r="C1045" t="s">
        <v>66</v>
      </c>
      <c r="D1045" t="s">
        <v>597</v>
      </c>
      <c r="E1045" s="230">
        <v>0</v>
      </c>
      <c r="F1045" t="s">
        <v>560</v>
      </c>
      <c r="G1045" t="b">
        <v>1</v>
      </c>
      <c r="H1045" t="s">
        <v>598</v>
      </c>
    </row>
    <row r="1046" spans="1:8" x14ac:dyDescent="0.3">
      <c r="A1046" t="s">
        <v>557</v>
      </c>
      <c r="B1046" t="s">
        <v>569</v>
      </c>
      <c r="C1046" t="s">
        <v>68</v>
      </c>
      <c r="D1046" t="s">
        <v>597</v>
      </c>
      <c r="E1046" s="230">
        <v>2415.19</v>
      </c>
      <c r="F1046" t="s">
        <v>560</v>
      </c>
      <c r="G1046" t="b">
        <v>1</v>
      </c>
      <c r="H1046" t="s">
        <v>598</v>
      </c>
    </row>
    <row r="1047" spans="1:8" x14ac:dyDescent="0.3">
      <c r="A1047" t="s">
        <v>557</v>
      </c>
      <c r="B1047" t="s">
        <v>569</v>
      </c>
      <c r="C1047" t="s">
        <v>69</v>
      </c>
      <c r="D1047" t="s">
        <v>597</v>
      </c>
      <c r="E1047" s="230">
        <v>0</v>
      </c>
      <c r="F1047" t="s">
        <v>560</v>
      </c>
      <c r="G1047" t="b">
        <v>1</v>
      </c>
      <c r="H1047" t="s">
        <v>598</v>
      </c>
    </row>
    <row r="1048" spans="1:8" x14ac:dyDescent="0.3">
      <c r="A1048" t="s">
        <v>557</v>
      </c>
      <c r="B1048" t="s">
        <v>570</v>
      </c>
      <c r="C1048" t="s">
        <v>73</v>
      </c>
      <c r="D1048" t="s">
        <v>597</v>
      </c>
      <c r="E1048" s="230">
        <v>4000</v>
      </c>
      <c r="F1048" t="s">
        <v>560</v>
      </c>
      <c r="G1048" t="b">
        <v>1</v>
      </c>
      <c r="H1048" t="s">
        <v>598</v>
      </c>
    </row>
    <row r="1049" spans="1:8" x14ac:dyDescent="0.3">
      <c r="A1049" t="s">
        <v>557</v>
      </c>
      <c r="B1049" t="s">
        <v>571</v>
      </c>
      <c r="C1049" t="s">
        <v>75</v>
      </c>
      <c r="D1049" t="s">
        <v>597</v>
      </c>
      <c r="E1049" s="230">
        <v>220.5</v>
      </c>
      <c r="F1049" t="s">
        <v>560</v>
      </c>
      <c r="G1049" t="b">
        <v>1</v>
      </c>
      <c r="H1049" t="s">
        <v>598</v>
      </c>
    </row>
    <row r="1050" spans="1:8" x14ac:dyDescent="0.3">
      <c r="A1050" t="s">
        <v>557</v>
      </c>
      <c r="B1050" t="s">
        <v>571</v>
      </c>
      <c r="C1050" t="s">
        <v>78</v>
      </c>
      <c r="D1050" t="s">
        <v>597</v>
      </c>
      <c r="E1050" s="230">
        <v>235.2</v>
      </c>
      <c r="F1050" t="s">
        <v>560</v>
      </c>
      <c r="G1050" t="b">
        <v>1</v>
      </c>
      <c r="H1050" t="s">
        <v>598</v>
      </c>
    </row>
    <row r="1051" spans="1:8" x14ac:dyDescent="0.3">
      <c r="A1051" t="s">
        <v>557</v>
      </c>
      <c r="B1051" t="s">
        <v>571</v>
      </c>
      <c r="C1051" t="s">
        <v>80</v>
      </c>
      <c r="D1051" t="s">
        <v>597</v>
      </c>
      <c r="E1051" s="230">
        <v>73.5</v>
      </c>
      <c r="F1051" t="s">
        <v>560</v>
      </c>
      <c r="G1051" t="b">
        <v>1</v>
      </c>
      <c r="H1051" t="s">
        <v>598</v>
      </c>
    </row>
    <row r="1052" spans="1:8" x14ac:dyDescent="0.3">
      <c r="A1052" t="s">
        <v>557</v>
      </c>
      <c r="B1052" t="s">
        <v>571</v>
      </c>
      <c r="C1052" t="s">
        <v>82</v>
      </c>
      <c r="D1052" t="s">
        <v>597</v>
      </c>
      <c r="E1052" s="230">
        <v>0</v>
      </c>
      <c r="F1052" t="s">
        <v>560</v>
      </c>
      <c r="G1052" t="b">
        <v>1</v>
      </c>
      <c r="H1052" t="s">
        <v>598</v>
      </c>
    </row>
    <row r="1053" spans="1:8" x14ac:dyDescent="0.3">
      <c r="A1053" t="s">
        <v>557</v>
      </c>
      <c r="B1053" t="s">
        <v>571</v>
      </c>
      <c r="C1053" t="s">
        <v>84</v>
      </c>
      <c r="D1053" t="s">
        <v>597</v>
      </c>
      <c r="E1053" s="230">
        <v>0</v>
      </c>
      <c r="F1053" t="s">
        <v>560</v>
      </c>
      <c r="G1053" t="b">
        <v>1</v>
      </c>
      <c r="H1053" t="s">
        <v>598</v>
      </c>
    </row>
    <row r="1054" spans="1:8" x14ac:dyDescent="0.3">
      <c r="A1054" t="s">
        <v>557</v>
      </c>
      <c r="B1054" t="s">
        <v>571</v>
      </c>
      <c r="C1054" t="s">
        <v>86</v>
      </c>
      <c r="D1054" t="s">
        <v>597</v>
      </c>
      <c r="E1054" s="230">
        <v>0</v>
      </c>
      <c r="F1054" t="s">
        <v>560</v>
      </c>
      <c r="G1054" t="b">
        <v>1</v>
      </c>
      <c r="H1054" t="s">
        <v>598</v>
      </c>
    </row>
    <row r="1055" spans="1:8" x14ac:dyDescent="0.3">
      <c r="A1055" t="s">
        <v>557</v>
      </c>
      <c r="B1055" t="s">
        <v>571</v>
      </c>
      <c r="C1055" t="s">
        <v>87</v>
      </c>
      <c r="D1055" t="s">
        <v>597</v>
      </c>
      <c r="E1055" s="230">
        <v>0</v>
      </c>
      <c r="F1055" t="s">
        <v>560</v>
      </c>
      <c r="G1055" t="b">
        <v>1</v>
      </c>
      <c r="H1055" t="s">
        <v>598</v>
      </c>
    </row>
    <row r="1056" spans="1:8" x14ac:dyDescent="0.3">
      <c r="A1056" t="s">
        <v>557</v>
      </c>
      <c r="B1056" t="s">
        <v>571</v>
      </c>
      <c r="C1056" t="s">
        <v>88</v>
      </c>
      <c r="D1056" t="s">
        <v>597</v>
      </c>
      <c r="E1056" s="230">
        <v>0</v>
      </c>
      <c r="F1056" t="s">
        <v>560</v>
      </c>
      <c r="G1056" t="b">
        <v>1</v>
      </c>
      <c r="H1056" t="s">
        <v>598</v>
      </c>
    </row>
    <row r="1057" spans="1:8" x14ac:dyDescent="0.3">
      <c r="A1057" t="s">
        <v>557</v>
      </c>
      <c r="B1057" t="s">
        <v>571</v>
      </c>
      <c r="C1057" t="s">
        <v>89</v>
      </c>
      <c r="D1057" t="s">
        <v>597</v>
      </c>
      <c r="E1057" s="230">
        <v>0</v>
      </c>
      <c r="F1057" t="s">
        <v>560</v>
      </c>
      <c r="G1057" t="b">
        <v>1</v>
      </c>
      <c r="H1057" t="s">
        <v>598</v>
      </c>
    </row>
    <row r="1058" spans="1:8" x14ac:dyDescent="0.3">
      <c r="A1058" t="s">
        <v>557</v>
      </c>
      <c r="B1058" t="s">
        <v>571</v>
      </c>
      <c r="C1058" t="s">
        <v>91</v>
      </c>
      <c r="D1058" t="s">
        <v>597</v>
      </c>
      <c r="E1058" s="230">
        <v>0</v>
      </c>
      <c r="F1058" t="s">
        <v>560</v>
      </c>
      <c r="G1058" t="b">
        <v>1</v>
      </c>
      <c r="H1058" t="s">
        <v>598</v>
      </c>
    </row>
    <row r="1059" spans="1:8" x14ac:dyDescent="0.3">
      <c r="A1059" t="s">
        <v>557</v>
      </c>
      <c r="B1059" t="s">
        <v>571</v>
      </c>
      <c r="C1059" t="s">
        <v>93</v>
      </c>
      <c r="D1059" t="s">
        <v>597</v>
      </c>
      <c r="E1059" s="230">
        <v>0</v>
      </c>
      <c r="F1059" t="s">
        <v>560</v>
      </c>
      <c r="G1059" t="b">
        <v>1</v>
      </c>
      <c r="H1059" t="s">
        <v>598</v>
      </c>
    </row>
    <row r="1060" spans="1:8" x14ac:dyDescent="0.3">
      <c r="A1060" t="s">
        <v>557</v>
      </c>
      <c r="B1060" t="s">
        <v>571</v>
      </c>
      <c r="C1060" t="s">
        <v>96</v>
      </c>
      <c r="D1060" t="s">
        <v>597</v>
      </c>
      <c r="E1060" s="230">
        <v>0</v>
      </c>
      <c r="F1060" t="s">
        <v>560</v>
      </c>
      <c r="G1060" t="b">
        <v>1</v>
      </c>
      <c r="H1060" t="s">
        <v>598</v>
      </c>
    </row>
    <row r="1061" spans="1:8" x14ac:dyDescent="0.3">
      <c r="A1061" t="s">
        <v>557</v>
      </c>
      <c r="B1061" t="s">
        <v>571</v>
      </c>
      <c r="C1061" t="s">
        <v>98</v>
      </c>
      <c r="D1061" t="s">
        <v>597</v>
      </c>
      <c r="E1061" s="230">
        <v>0</v>
      </c>
      <c r="F1061" t="s">
        <v>560</v>
      </c>
      <c r="G1061" t="b">
        <v>1</v>
      </c>
      <c r="H1061" t="s">
        <v>598</v>
      </c>
    </row>
    <row r="1062" spans="1:8" x14ac:dyDescent="0.3">
      <c r="A1062" t="s">
        <v>557</v>
      </c>
      <c r="B1062" t="s">
        <v>571</v>
      </c>
      <c r="C1062" t="s">
        <v>100</v>
      </c>
      <c r="D1062" t="s">
        <v>597</v>
      </c>
      <c r="E1062" s="230">
        <v>0</v>
      </c>
      <c r="F1062" t="s">
        <v>560</v>
      </c>
      <c r="G1062" t="b">
        <v>1</v>
      </c>
      <c r="H1062" t="s">
        <v>598</v>
      </c>
    </row>
    <row r="1063" spans="1:8" x14ac:dyDescent="0.3">
      <c r="A1063" t="s">
        <v>557</v>
      </c>
      <c r="B1063" t="s">
        <v>571</v>
      </c>
      <c r="C1063" t="s">
        <v>102</v>
      </c>
      <c r="D1063" t="s">
        <v>597</v>
      </c>
      <c r="E1063" s="230">
        <v>0</v>
      </c>
      <c r="F1063" t="s">
        <v>560</v>
      </c>
      <c r="G1063" t="b">
        <v>1</v>
      </c>
      <c r="H1063" t="s">
        <v>598</v>
      </c>
    </row>
    <row r="1064" spans="1:8" x14ac:dyDescent="0.3">
      <c r="A1064" t="s">
        <v>557</v>
      </c>
      <c r="B1064" t="s">
        <v>571</v>
      </c>
      <c r="C1064" t="s">
        <v>103</v>
      </c>
      <c r="D1064" t="s">
        <v>597</v>
      </c>
      <c r="E1064" s="230">
        <v>0</v>
      </c>
      <c r="F1064" t="s">
        <v>560</v>
      </c>
      <c r="G1064" t="b">
        <v>1</v>
      </c>
      <c r="H1064" t="s">
        <v>598</v>
      </c>
    </row>
    <row r="1065" spans="1:8" x14ac:dyDescent="0.3">
      <c r="A1065" t="s">
        <v>557</v>
      </c>
      <c r="B1065" t="s">
        <v>571</v>
      </c>
      <c r="C1065" t="s">
        <v>104</v>
      </c>
      <c r="D1065" t="s">
        <v>597</v>
      </c>
      <c r="E1065" s="230">
        <v>0</v>
      </c>
      <c r="F1065" t="s">
        <v>560</v>
      </c>
      <c r="G1065" t="b">
        <v>1</v>
      </c>
      <c r="H1065" t="s">
        <v>598</v>
      </c>
    </row>
    <row r="1066" spans="1:8" x14ac:dyDescent="0.3">
      <c r="A1066" t="s">
        <v>557</v>
      </c>
      <c r="B1066" t="s">
        <v>571</v>
      </c>
      <c r="C1066" t="s">
        <v>105</v>
      </c>
      <c r="D1066" t="s">
        <v>597</v>
      </c>
      <c r="E1066" s="230">
        <v>0</v>
      </c>
      <c r="F1066" t="s">
        <v>560</v>
      </c>
      <c r="G1066" t="b">
        <v>1</v>
      </c>
      <c r="H1066" t="s">
        <v>598</v>
      </c>
    </row>
    <row r="1067" spans="1:8" x14ac:dyDescent="0.3">
      <c r="A1067" t="s">
        <v>557</v>
      </c>
      <c r="B1067" t="s">
        <v>571</v>
      </c>
      <c r="C1067" t="s">
        <v>108</v>
      </c>
      <c r="D1067" t="s">
        <v>597</v>
      </c>
      <c r="E1067" s="230">
        <v>0</v>
      </c>
      <c r="F1067" t="s">
        <v>560</v>
      </c>
      <c r="G1067" t="b">
        <v>1</v>
      </c>
      <c r="H1067" t="s">
        <v>598</v>
      </c>
    </row>
    <row r="1068" spans="1:8" x14ac:dyDescent="0.3">
      <c r="A1068" t="s">
        <v>557</v>
      </c>
      <c r="B1068" t="s">
        <v>571</v>
      </c>
      <c r="C1068" t="s">
        <v>109</v>
      </c>
      <c r="D1068" t="s">
        <v>597</v>
      </c>
      <c r="E1068" s="230">
        <v>0</v>
      </c>
      <c r="F1068" t="s">
        <v>560</v>
      </c>
      <c r="G1068" t="b">
        <v>1</v>
      </c>
      <c r="H1068" t="s">
        <v>598</v>
      </c>
    </row>
    <row r="1069" spans="1:8" x14ac:dyDescent="0.3">
      <c r="A1069" t="s">
        <v>557</v>
      </c>
      <c r="B1069" t="s">
        <v>572</v>
      </c>
      <c r="C1069" t="s">
        <v>112</v>
      </c>
      <c r="D1069" t="s">
        <v>597</v>
      </c>
      <c r="E1069" s="230">
        <v>42859.64</v>
      </c>
      <c r="F1069" t="s">
        <v>560</v>
      </c>
      <c r="G1069" t="b">
        <v>1</v>
      </c>
      <c r="H1069" t="s">
        <v>598</v>
      </c>
    </row>
    <row r="1070" spans="1:8" x14ac:dyDescent="0.3">
      <c r="A1070" t="s">
        <v>557</v>
      </c>
      <c r="B1070" t="s">
        <v>562</v>
      </c>
      <c r="C1070" t="s">
        <v>116</v>
      </c>
      <c r="D1070" t="s">
        <v>597</v>
      </c>
      <c r="E1070" s="230">
        <v>8971.5</v>
      </c>
      <c r="F1070" t="s">
        <v>560</v>
      </c>
      <c r="G1070" t="b">
        <v>1</v>
      </c>
      <c r="H1070" t="s">
        <v>598</v>
      </c>
    </row>
    <row r="1071" spans="1:8" x14ac:dyDescent="0.3">
      <c r="A1071" t="s">
        <v>557</v>
      </c>
      <c r="B1071" t="s">
        <v>562</v>
      </c>
      <c r="C1071" t="s">
        <v>118</v>
      </c>
      <c r="D1071" t="s">
        <v>597</v>
      </c>
      <c r="E1071" s="230">
        <v>6057.14</v>
      </c>
      <c r="F1071" t="s">
        <v>560</v>
      </c>
      <c r="G1071" t="b">
        <v>1</v>
      </c>
      <c r="H1071" t="s">
        <v>598</v>
      </c>
    </row>
    <row r="1072" spans="1:8" x14ac:dyDescent="0.3">
      <c r="A1072" t="s">
        <v>557</v>
      </c>
      <c r="B1072" t="s">
        <v>562</v>
      </c>
      <c r="C1072" t="s">
        <v>120</v>
      </c>
      <c r="D1072" t="s">
        <v>597</v>
      </c>
      <c r="E1072" s="230">
        <v>0</v>
      </c>
      <c r="F1072" t="s">
        <v>560</v>
      </c>
      <c r="G1072" t="b">
        <v>1</v>
      </c>
      <c r="H1072" t="s">
        <v>598</v>
      </c>
    </row>
    <row r="1073" spans="1:8" x14ac:dyDescent="0.3">
      <c r="A1073" t="s">
        <v>557</v>
      </c>
      <c r="B1073" t="s">
        <v>562</v>
      </c>
      <c r="C1073" t="s">
        <v>122</v>
      </c>
      <c r="D1073" t="s">
        <v>597</v>
      </c>
      <c r="E1073" s="230">
        <v>0</v>
      </c>
      <c r="F1073" t="s">
        <v>560</v>
      </c>
      <c r="G1073" t="b">
        <v>1</v>
      </c>
      <c r="H1073" t="s">
        <v>598</v>
      </c>
    </row>
    <row r="1074" spans="1:8" x14ac:dyDescent="0.3">
      <c r="A1074" t="s">
        <v>557</v>
      </c>
      <c r="B1074" t="s">
        <v>570</v>
      </c>
      <c r="C1074" t="s">
        <v>573</v>
      </c>
      <c r="D1074" t="s">
        <v>597</v>
      </c>
      <c r="E1074" s="230">
        <v>33850</v>
      </c>
      <c r="F1074" t="s">
        <v>560</v>
      </c>
      <c r="G1074" t="b">
        <v>1</v>
      </c>
      <c r="H1074" t="s">
        <v>598</v>
      </c>
    </row>
    <row r="1075" spans="1:8" x14ac:dyDescent="0.3">
      <c r="A1075" t="s">
        <v>557</v>
      </c>
      <c r="B1075" t="s">
        <v>574</v>
      </c>
      <c r="C1075" t="s">
        <v>575</v>
      </c>
      <c r="D1075" t="s">
        <v>597</v>
      </c>
      <c r="E1075" s="230">
        <v>36515.129999999997</v>
      </c>
      <c r="F1075" t="s">
        <v>560</v>
      </c>
      <c r="G1075" t="b">
        <v>1</v>
      </c>
      <c r="H1075" t="s">
        <v>598</v>
      </c>
    </row>
    <row r="1076" spans="1:8" x14ac:dyDescent="0.3">
      <c r="A1076" t="s">
        <v>557</v>
      </c>
      <c r="B1076" t="s">
        <v>576</v>
      </c>
      <c r="C1076" t="s">
        <v>203</v>
      </c>
      <c r="D1076" t="s">
        <v>597</v>
      </c>
      <c r="E1076" s="230">
        <v>15832.06</v>
      </c>
      <c r="F1076" t="s">
        <v>560</v>
      </c>
      <c r="G1076" t="b">
        <v>1</v>
      </c>
      <c r="H1076" t="s">
        <v>598</v>
      </c>
    </row>
    <row r="1077" spans="1:8" x14ac:dyDescent="0.3">
      <c r="A1077" t="s">
        <v>557</v>
      </c>
      <c r="B1077" t="s">
        <v>577</v>
      </c>
      <c r="C1077" t="s">
        <v>206</v>
      </c>
      <c r="D1077" t="s">
        <v>597</v>
      </c>
      <c r="E1077" s="230">
        <v>5344.19</v>
      </c>
      <c r="F1077" t="s">
        <v>560</v>
      </c>
      <c r="G1077" t="b">
        <v>1</v>
      </c>
      <c r="H1077" t="s">
        <v>598</v>
      </c>
    </row>
    <row r="1078" spans="1:8" x14ac:dyDescent="0.3">
      <c r="A1078" t="s">
        <v>557</v>
      </c>
      <c r="B1078" t="s">
        <v>577</v>
      </c>
      <c r="C1078" t="s">
        <v>209</v>
      </c>
      <c r="D1078" t="s">
        <v>597</v>
      </c>
      <c r="E1078" s="230">
        <v>0</v>
      </c>
      <c r="F1078" t="s">
        <v>560</v>
      </c>
      <c r="G1078" t="b">
        <v>1</v>
      </c>
      <c r="H1078" t="s">
        <v>598</v>
      </c>
    </row>
    <row r="1079" spans="1:8" x14ac:dyDescent="0.3">
      <c r="A1079" t="s">
        <v>557</v>
      </c>
      <c r="B1079" t="s">
        <v>577</v>
      </c>
      <c r="C1079" t="s">
        <v>211</v>
      </c>
      <c r="D1079" t="s">
        <v>597</v>
      </c>
      <c r="E1079" s="230">
        <v>0</v>
      </c>
      <c r="F1079" t="s">
        <v>560</v>
      </c>
      <c r="G1079" t="b">
        <v>1</v>
      </c>
      <c r="H1079" t="s">
        <v>598</v>
      </c>
    </row>
    <row r="1080" spans="1:8" x14ac:dyDescent="0.3">
      <c r="A1080" t="s">
        <v>557</v>
      </c>
      <c r="B1080" t="s">
        <v>577</v>
      </c>
      <c r="C1080" t="s">
        <v>213</v>
      </c>
      <c r="D1080" t="s">
        <v>597</v>
      </c>
      <c r="E1080" s="230">
        <v>3339.23</v>
      </c>
      <c r="F1080" t="s">
        <v>560</v>
      </c>
      <c r="G1080" t="b">
        <v>1</v>
      </c>
      <c r="H1080" t="s">
        <v>598</v>
      </c>
    </row>
    <row r="1081" spans="1:8" x14ac:dyDescent="0.3">
      <c r="A1081" t="s">
        <v>557</v>
      </c>
      <c r="B1081" t="s">
        <v>577</v>
      </c>
      <c r="C1081" t="s">
        <v>215</v>
      </c>
      <c r="D1081" t="s">
        <v>597</v>
      </c>
      <c r="E1081" s="230">
        <v>2202.65</v>
      </c>
      <c r="F1081" t="s">
        <v>560</v>
      </c>
      <c r="G1081" t="b">
        <v>1</v>
      </c>
      <c r="H1081" t="s">
        <v>598</v>
      </c>
    </row>
    <row r="1082" spans="1:8" x14ac:dyDescent="0.3">
      <c r="A1082" t="s">
        <v>557</v>
      </c>
      <c r="B1082" t="s">
        <v>577</v>
      </c>
      <c r="C1082" t="s">
        <v>217</v>
      </c>
      <c r="D1082" t="s">
        <v>597</v>
      </c>
      <c r="E1082" s="230">
        <v>29.72</v>
      </c>
      <c r="F1082" t="s">
        <v>560</v>
      </c>
      <c r="G1082" t="b">
        <v>1</v>
      </c>
      <c r="H1082" t="s">
        <v>598</v>
      </c>
    </row>
    <row r="1083" spans="1:8" x14ac:dyDescent="0.3">
      <c r="A1083" t="s">
        <v>557</v>
      </c>
      <c r="B1083" t="s">
        <v>577</v>
      </c>
      <c r="C1083" t="s">
        <v>219</v>
      </c>
      <c r="D1083" t="s">
        <v>597</v>
      </c>
      <c r="E1083" s="230">
        <v>19.600000000000001</v>
      </c>
      <c r="F1083" t="s">
        <v>560</v>
      </c>
      <c r="G1083" t="b">
        <v>1</v>
      </c>
      <c r="H1083" t="s">
        <v>598</v>
      </c>
    </row>
    <row r="1084" spans="1:8" x14ac:dyDescent="0.3">
      <c r="A1084" t="s">
        <v>557</v>
      </c>
      <c r="B1084" t="s">
        <v>577</v>
      </c>
      <c r="C1084" t="s">
        <v>221</v>
      </c>
      <c r="D1084" t="s">
        <v>597</v>
      </c>
      <c r="E1084" s="230">
        <v>0</v>
      </c>
      <c r="F1084" t="s">
        <v>560</v>
      </c>
      <c r="G1084" t="b">
        <v>1</v>
      </c>
      <c r="H1084" t="s">
        <v>598</v>
      </c>
    </row>
    <row r="1085" spans="1:8" x14ac:dyDescent="0.3">
      <c r="A1085" t="s">
        <v>557</v>
      </c>
      <c r="B1085" t="s">
        <v>577</v>
      </c>
      <c r="C1085" t="s">
        <v>223</v>
      </c>
      <c r="D1085" t="s">
        <v>597</v>
      </c>
      <c r="E1085" s="230">
        <v>0</v>
      </c>
      <c r="F1085" t="s">
        <v>560</v>
      </c>
      <c r="G1085" t="b">
        <v>1</v>
      </c>
      <c r="H1085" t="s">
        <v>598</v>
      </c>
    </row>
    <row r="1086" spans="1:8" x14ac:dyDescent="0.3">
      <c r="A1086" t="s">
        <v>557</v>
      </c>
      <c r="B1086" t="s">
        <v>577</v>
      </c>
      <c r="C1086" t="s">
        <v>225</v>
      </c>
      <c r="D1086" t="s">
        <v>597</v>
      </c>
      <c r="E1086" s="230">
        <v>1190.6199999999999</v>
      </c>
      <c r="F1086" t="s">
        <v>560</v>
      </c>
      <c r="G1086" t="b">
        <v>1</v>
      </c>
      <c r="H1086" t="s">
        <v>598</v>
      </c>
    </row>
    <row r="1087" spans="1:8" x14ac:dyDescent="0.3">
      <c r="A1087" t="s">
        <v>557</v>
      </c>
      <c r="B1087" t="s">
        <v>577</v>
      </c>
      <c r="C1087" t="s">
        <v>227</v>
      </c>
      <c r="D1087" t="s">
        <v>597</v>
      </c>
      <c r="E1087" s="230">
        <v>0</v>
      </c>
      <c r="F1087" t="s">
        <v>560</v>
      </c>
      <c r="G1087" t="b">
        <v>1</v>
      </c>
      <c r="H1087" t="s">
        <v>598</v>
      </c>
    </row>
    <row r="1088" spans="1:8" x14ac:dyDescent="0.3">
      <c r="A1088" t="s">
        <v>557</v>
      </c>
      <c r="B1088" t="s">
        <v>577</v>
      </c>
      <c r="C1088" t="s">
        <v>229</v>
      </c>
      <c r="D1088" t="s">
        <v>597</v>
      </c>
      <c r="E1088" s="230">
        <v>1833.34</v>
      </c>
      <c r="F1088" t="s">
        <v>560</v>
      </c>
      <c r="G1088" t="b">
        <v>1</v>
      </c>
      <c r="H1088" t="s">
        <v>598</v>
      </c>
    </row>
    <row r="1089" spans="1:8" x14ac:dyDescent="0.3">
      <c r="A1089" t="s">
        <v>557</v>
      </c>
      <c r="B1089" t="s">
        <v>577</v>
      </c>
      <c r="C1089" t="s">
        <v>231</v>
      </c>
      <c r="D1089" t="s">
        <v>597</v>
      </c>
      <c r="E1089" s="230">
        <v>2056.5300000000002</v>
      </c>
      <c r="F1089" t="s">
        <v>560</v>
      </c>
      <c r="G1089" t="b">
        <v>1</v>
      </c>
      <c r="H1089" t="s">
        <v>598</v>
      </c>
    </row>
    <row r="1090" spans="1:8" x14ac:dyDescent="0.3">
      <c r="A1090" t="s">
        <v>557</v>
      </c>
      <c r="B1090" t="s">
        <v>577</v>
      </c>
      <c r="C1090" t="s">
        <v>234</v>
      </c>
      <c r="D1090" t="s">
        <v>597</v>
      </c>
      <c r="E1090" s="230">
        <v>248.97</v>
      </c>
      <c r="F1090" t="s">
        <v>560</v>
      </c>
      <c r="G1090" t="b">
        <v>1</v>
      </c>
      <c r="H1090" t="s">
        <v>598</v>
      </c>
    </row>
    <row r="1091" spans="1:8" x14ac:dyDescent="0.3">
      <c r="A1091" t="s">
        <v>557</v>
      </c>
      <c r="B1091" t="s">
        <v>577</v>
      </c>
      <c r="C1091" t="s">
        <v>236</v>
      </c>
      <c r="D1091" t="s">
        <v>597</v>
      </c>
      <c r="E1091" s="230">
        <v>0</v>
      </c>
      <c r="F1091" t="s">
        <v>560</v>
      </c>
      <c r="G1091" t="b">
        <v>1</v>
      </c>
      <c r="H1091" t="s">
        <v>598</v>
      </c>
    </row>
    <row r="1092" spans="1:8" x14ac:dyDescent="0.3">
      <c r="A1092" t="s">
        <v>557</v>
      </c>
      <c r="B1092" t="s">
        <v>577</v>
      </c>
      <c r="C1092" t="s">
        <v>237</v>
      </c>
      <c r="D1092" t="s">
        <v>597</v>
      </c>
      <c r="E1092" s="230">
        <v>0</v>
      </c>
      <c r="F1092" t="s">
        <v>560</v>
      </c>
      <c r="G1092" t="b">
        <v>1</v>
      </c>
      <c r="H1092" t="s">
        <v>598</v>
      </c>
    </row>
    <row r="1093" spans="1:8" x14ac:dyDescent="0.3">
      <c r="A1093" t="s">
        <v>557</v>
      </c>
      <c r="B1093" t="s">
        <v>578</v>
      </c>
      <c r="C1093" t="s">
        <v>239</v>
      </c>
      <c r="D1093" t="s">
        <v>597</v>
      </c>
      <c r="E1093" s="230">
        <v>4500</v>
      </c>
      <c r="F1093" t="s">
        <v>560</v>
      </c>
      <c r="G1093" t="b">
        <v>1</v>
      </c>
      <c r="H1093" t="s">
        <v>598</v>
      </c>
    </row>
    <row r="1094" spans="1:8" x14ac:dyDescent="0.3">
      <c r="A1094" t="s">
        <v>557</v>
      </c>
      <c r="B1094" t="s">
        <v>578</v>
      </c>
      <c r="C1094" t="s">
        <v>240</v>
      </c>
      <c r="D1094" t="s">
        <v>597</v>
      </c>
      <c r="E1094" s="230">
        <v>0</v>
      </c>
      <c r="F1094" t="s">
        <v>560</v>
      </c>
      <c r="G1094" t="b">
        <v>1</v>
      </c>
      <c r="H1094" t="s">
        <v>598</v>
      </c>
    </row>
    <row r="1095" spans="1:8" x14ac:dyDescent="0.3">
      <c r="A1095" t="s">
        <v>557</v>
      </c>
      <c r="B1095" t="s">
        <v>578</v>
      </c>
      <c r="C1095" t="s">
        <v>241</v>
      </c>
      <c r="D1095" t="s">
        <v>597</v>
      </c>
      <c r="E1095" s="230">
        <v>0</v>
      </c>
      <c r="F1095" t="s">
        <v>560</v>
      </c>
      <c r="G1095" t="b">
        <v>1</v>
      </c>
      <c r="H1095" t="s">
        <v>598</v>
      </c>
    </row>
    <row r="1096" spans="1:8" x14ac:dyDescent="0.3">
      <c r="A1096" t="s">
        <v>557</v>
      </c>
      <c r="B1096" t="s">
        <v>578</v>
      </c>
      <c r="C1096" t="s">
        <v>242</v>
      </c>
      <c r="D1096" t="s">
        <v>597</v>
      </c>
      <c r="E1096" s="230">
        <v>150</v>
      </c>
      <c r="F1096" t="s">
        <v>560</v>
      </c>
      <c r="G1096" t="b">
        <v>1</v>
      </c>
      <c r="H1096" t="s">
        <v>598</v>
      </c>
    </row>
    <row r="1097" spans="1:8" x14ac:dyDescent="0.3">
      <c r="A1097" t="s">
        <v>557</v>
      </c>
      <c r="B1097" t="s">
        <v>578</v>
      </c>
      <c r="C1097" t="s">
        <v>244</v>
      </c>
      <c r="D1097" t="s">
        <v>597</v>
      </c>
      <c r="E1097" s="230">
        <v>0</v>
      </c>
      <c r="F1097" t="s">
        <v>560</v>
      </c>
      <c r="G1097" t="b">
        <v>1</v>
      </c>
      <c r="H1097" t="s">
        <v>598</v>
      </c>
    </row>
    <row r="1098" spans="1:8" x14ac:dyDescent="0.3">
      <c r="A1098" t="s">
        <v>557</v>
      </c>
      <c r="B1098" t="s">
        <v>578</v>
      </c>
      <c r="C1098" t="s">
        <v>246</v>
      </c>
      <c r="D1098" t="s">
        <v>597</v>
      </c>
      <c r="E1098" s="230">
        <v>0</v>
      </c>
      <c r="F1098" t="s">
        <v>560</v>
      </c>
      <c r="G1098" t="b">
        <v>1</v>
      </c>
      <c r="H1098" t="s">
        <v>598</v>
      </c>
    </row>
    <row r="1099" spans="1:8" x14ac:dyDescent="0.3">
      <c r="A1099" t="s">
        <v>557</v>
      </c>
      <c r="B1099" t="s">
        <v>578</v>
      </c>
      <c r="C1099" t="s">
        <v>247</v>
      </c>
      <c r="D1099" t="s">
        <v>597</v>
      </c>
      <c r="E1099" s="230">
        <v>74.16</v>
      </c>
      <c r="F1099" t="s">
        <v>560</v>
      </c>
      <c r="G1099" t="b">
        <v>1</v>
      </c>
      <c r="H1099" t="s">
        <v>598</v>
      </c>
    </row>
    <row r="1100" spans="1:8" x14ac:dyDescent="0.3">
      <c r="A1100" t="s">
        <v>557</v>
      </c>
      <c r="B1100" t="s">
        <v>578</v>
      </c>
      <c r="C1100" t="s">
        <v>249</v>
      </c>
      <c r="D1100" t="s">
        <v>597</v>
      </c>
      <c r="E1100" s="230">
        <v>0</v>
      </c>
      <c r="F1100" t="s">
        <v>560</v>
      </c>
      <c r="G1100" t="b">
        <v>1</v>
      </c>
      <c r="H1100" t="s">
        <v>598</v>
      </c>
    </row>
    <row r="1101" spans="1:8" x14ac:dyDescent="0.3">
      <c r="A1101" t="s">
        <v>557</v>
      </c>
      <c r="B1101" t="s">
        <v>578</v>
      </c>
      <c r="C1101" t="s">
        <v>250</v>
      </c>
      <c r="D1101" t="s">
        <v>597</v>
      </c>
      <c r="E1101" s="230">
        <v>0</v>
      </c>
      <c r="F1101" t="s">
        <v>560</v>
      </c>
      <c r="G1101" t="b">
        <v>1</v>
      </c>
      <c r="H1101" t="s">
        <v>598</v>
      </c>
    </row>
    <row r="1102" spans="1:8" x14ac:dyDescent="0.3">
      <c r="A1102" t="s">
        <v>557</v>
      </c>
      <c r="B1102" t="s">
        <v>578</v>
      </c>
      <c r="C1102" t="s">
        <v>251</v>
      </c>
      <c r="D1102" t="s">
        <v>597</v>
      </c>
      <c r="E1102" s="230">
        <v>0</v>
      </c>
      <c r="F1102" t="s">
        <v>560</v>
      </c>
      <c r="G1102" t="b">
        <v>1</v>
      </c>
      <c r="H1102" t="s">
        <v>598</v>
      </c>
    </row>
    <row r="1103" spans="1:8" x14ac:dyDescent="0.3">
      <c r="A1103" t="s">
        <v>557</v>
      </c>
      <c r="B1103" t="s">
        <v>578</v>
      </c>
      <c r="C1103" t="s">
        <v>252</v>
      </c>
      <c r="D1103" t="s">
        <v>597</v>
      </c>
      <c r="E1103" s="230">
        <v>17176.740000000002</v>
      </c>
      <c r="F1103" t="s">
        <v>560</v>
      </c>
      <c r="G1103" t="b">
        <v>1</v>
      </c>
      <c r="H1103" t="s">
        <v>598</v>
      </c>
    </row>
    <row r="1104" spans="1:8" x14ac:dyDescent="0.3">
      <c r="A1104" t="s">
        <v>557</v>
      </c>
      <c r="B1104" t="s">
        <v>579</v>
      </c>
      <c r="C1104" t="s">
        <v>253</v>
      </c>
      <c r="D1104" t="s">
        <v>597</v>
      </c>
      <c r="E1104" s="230">
        <v>0</v>
      </c>
      <c r="F1104" t="s">
        <v>560</v>
      </c>
      <c r="G1104" t="b">
        <v>1</v>
      </c>
      <c r="H1104" t="s">
        <v>598</v>
      </c>
    </row>
    <row r="1105" spans="1:8" x14ac:dyDescent="0.3">
      <c r="A1105" t="s">
        <v>557</v>
      </c>
      <c r="B1105" t="s">
        <v>256</v>
      </c>
      <c r="C1105" t="s">
        <v>257</v>
      </c>
      <c r="D1105" t="s">
        <v>597</v>
      </c>
      <c r="E1105" s="230">
        <v>51452.1</v>
      </c>
      <c r="F1105" t="s">
        <v>560</v>
      </c>
      <c r="G1105" t="b">
        <v>1</v>
      </c>
      <c r="H1105" t="s">
        <v>598</v>
      </c>
    </row>
    <row r="1106" spans="1:8" x14ac:dyDescent="0.3">
      <c r="A1106" t="s">
        <v>557</v>
      </c>
      <c r="B1106" t="s">
        <v>256</v>
      </c>
      <c r="C1106" t="s">
        <v>258</v>
      </c>
      <c r="D1106" t="s">
        <v>597</v>
      </c>
      <c r="E1106" s="230">
        <v>0</v>
      </c>
      <c r="F1106" t="s">
        <v>560</v>
      </c>
      <c r="G1106" t="b">
        <v>1</v>
      </c>
      <c r="H1106" t="s">
        <v>598</v>
      </c>
    </row>
    <row r="1107" spans="1:8" x14ac:dyDescent="0.3">
      <c r="A1107" t="s">
        <v>557</v>
      </c>
      <c r="B1107" t="s">
        <v>256</v>
      </c>
      <c r="C1107" t="s">
        <v>259</v>
      </c>
      <c r="D1107" t="s">
        <v>597</v>
      </c>
      <c r="E1107" s="230">
        <v>2847.92</v>
      </c>
      <c r="F1107" t="s">
        <v>560</v>
      </c>
      <c r="G1107" t="b">
        <v>1</v>
      </c>
      <c r="H1107" t="s">
        <v>598</v>
      </c>
    </row>
    <row r="1108" spans="1:8" x14ac:dyDescent="0.3">
      <c r="A1108" t="s">
        <v>557</v>
      </c>
      <c r="B1108" t="s">
        <v>256</v>
      </c>
      <c r="C1108" t="s">
        <v>260</v>
      </c>
      <c r="D1108" t="s">
        <v>597</v>
      </c>
      <c r="E1108" s="230">
        <v>0</v>
      </c>
      <c r="F1108" t="s">
        <v>560</v>
      </c>
      <c r="G1108" t="b">
        <v>1</v>
      </c>
      <c r="H1108" t="s">
        <v>598</v>
      </c>
    </row>
    <row r="1109" spans="1:8" x14ac:dyDescent="0.3">
      <c r="A1109" t="s">
        <v>557</v>
      </c>
      <c r="B1109" t="s">
        <v>256</v>
      </c>
      <c r="C1109" t="s">
        <v>261</v>
      </c>
      <c r="D1109" t="s">
        <v>597</v>
      </c>
      <c r="E1109" s="230">
        <v>286.98</v>
      </c>
      <c r="F1109" t="s">
        <v>560</v>
      </c>
      <c r="G1109" t="b">
        <v>1</v>
      </c>
      <c r="H1109" t="s">
        <v>598</v>
      </c>
    </row>
    <row r="1110" spans="1:8" x14ac:dyDescent="0.3">
      <c r="A1110" t="s">
        <v>557</v>
      </c>
      <c r="B1110" t="s">
        <v>256</v>
      </c>
      <c r="C1110" t="s">
        <v>262</v>
      </c>
      <c r="D1110" t="s">
        <v>597</v>
      </c>
      <c r="E1110" s="230">
        <v>0</v>
      </c>
      <c r="F1110" t="s">
        <v>560</v>
      </c>
      <c r="G1110" t="b">
        <v>1</v>
      </c>
      <c r="H1110" t="s">
        <v>598</v>
      </c>
    </row>
    <row r="1111" spans="1:8" x14ac:dyDescent="0.3">
      <c r="A1111" t="s">
        <v>557</v>
      </c>
      <c r="B1111" t="s">
        <v>256</v>
      </c>
      <c r="C1111" t="s">
        <v>263</v>
      </c>
      <c r="D1111" t="s">
        <v>597</v>
      </c>
      <c r="E1111" s="230">
        <v>0</v>
      </c>
      <c r="F1111" t="s">
        <v>560</v>
      </c>
      <c r="G1111" t="b">
        <v>1</v>
      </c>
      <c r="H1111" t="s">
        <v>598</v>
      </c>
    </row>
    <row r="1112" spans="1:8" x14ac:dyDescent="0.3">
      <c r="A1112" t="s">
        <v>557</v>
      </c>
      <c r="B1112" t="s">
        <v>264</v>
      </c>
      <c r="C1112" t="s">
        <v>265</v>
      </c>
      <c r="D1112" t="s">
        <v>597</v>
      </c>
      <c r="E1112" s="230">
        <v>5263.87</v>
      </c>
      <c r="F1112" t="s">
        <v>560</v>
      </c>
      <c r="G1112" t="b">
        <v>1</v>
      </c>
      <c r="H1112" t="s">
        <v>598</v>
      </c>
    </row>
    <row r="1113" spans="1:8" x14ac:dyDescent="0.3">
      <c r="A1113" t="s">
        <v>557</v>
      </c>
      <c r="B1113" t="s">
        <v>264</v>
      </c>
      <c r="C1113" t="s">
        <v>266</v>
      </c>
      <c r="D1113" t="s">
        <v>597</v>
      </c>
      <c r="E1113" s="230">
        <v>11113.87</v>
      </c>
      <c r="F1113" t="s">
        <v>560</v>
      </c>
      <c r="G1113" t="b">
        <v>1</v>
      </c>
      <c r="H1113" t="s">
        <v>598</v>
      </c>
    </row>
    <row r="1114" spans="1:8" x14ac:dyDescent="0.3">
      <c r="A1114" t="s">
        <v>557</v>
      </c>
      <c r="B1114" t="s">
        <v>264</v>
      </c>
      <c r="C1114" t="s">
        <v>267</v>
      </c>
      <c r="D1114" t="s">
        <v>597</v>
      </c>
      <c r="E1114" s="230">
        <v>6963.87</v>
      </c>
      <c r="F1114" t="s">
        <v>560</v>
      </c>
      <c r="G1114" t="b">
        <v>1</v>
      </c>
      <c r="H1114" t="s">
        <v>598</v>
      </c>
    </row>
    <row r="1115" spans="1:8" x14ac:dyDescent="0.3">
      <c r="A1115" t="s">
        <v>557</v>
      </c>
      <c r="B1115" t="s">
        <v>264</v>
      </c>
      <c r="C1115" t="s">
        <v>268</v>
      </c>
      <c r="D1115" t="s">
        <v>597</v>
      </c>
      <c r="E1115" s="230">
        <v>6563.87</v>
      </c>
      <c r="F1115" t="s">
        <v>560</v>
      </c>
      <c r="G1115" t="b">
        <v>1</v>
      </c>
      <c r="H1115" t="s">
        <v>598</v>
      </c>
    </row>
    <row r="1116" spans="1:8" x14ac:dyDescent="0.3">
      <c r="A1116" t="s">
        <v>557</v>
      </c>
      <c r="B1116" t="s">
        <v>264</v>
      </c>
      <c r="C1116" t="s">
        <v>269</v>
      </c>
      <c r="D1116" t="s">
        <v>597</v>
      </c>
      <c r="E1116" s="230">
        <v>613.87</v>
      </c>
      <c r="F1116" t="s">
        <v>560</v>
      </c>
      <c r="G1116" t="b">
        <v>1</v>
      </c>
      <c r="H1116" t="s">
        <v>598</v>
      </c>
    </row>
    <row r="1117" spans="1:8" x14ac:dyDescent="0.3">
      <c r="A1117" t="s">
        <v>557</v>
      </c>
      <c r="B1117" t="s">
        <v>264</v>
      </c>
      <c r="C1117" t="s">
        <v>270</v>
      </c>
      <c r="D1117" t="s">
        <v>597</v>
      </c>
      <c r="E1117" s="230">
        <v>561</v>
      </c>
      <c r="F1117" t="s">
        <v>560</v>
      </c>
      <c r="G1117" t="b">
        <v>1</v>
      </c>
      <c r="H1117" t="s">
        <v>598</v>
      </c>
    </row>
    <row r="1118" spans="1:8" x14ac:dyDescent="0.3">
      <c r="A1118" t="s">
        <v>557</v>
      </c>
      <c r="B1118" t="s">
        <v>264</v>
      </c>
      <c r="C1118" t="s">
        <v>271</v>
      </c>
      <c r="D1118" t="s">
        <v>597</v>
      </c>
      <c r="E1118" s="230">
        <v>1263.8699999999999</v>
      </c>
      <c r="F1118" t="s">
        <v>560</v>
      </c>
      <c r="G1118" t="b">
        <v>1</v>
      </c>
      <c r="H1118" t="s">
        <v>598</v>
      </c>
    </row>
    <row r="1119" spans="1:8" x14ac:dyDescent="0.3">
      <c r="A1119" t="s">
        <v>557</v>
      </c>
      <c r="B1119" t="s">
        <v>264</v>
      </c>
      <c r="C1119" t="s">
        <v>272</v>
      </c>
      <c r="D1119" t="s">
        <v>597</v>
      </c>
      <c r="E1119" s="230">
        <v>2363.87</v>
      </c>
      <c r="F1119" t="s">
        <v>560</v>
      </c>
      <c r="G1119" t="b">
        <v>1</v>
      </c>
      <c r="H1119" t="s">
        <v>598</v>
      </c>
    </row>
    <row r="1120" spans="1:8" x14ac:dyDescent="0.3">
      <c r="A1120" t="s">
        <v>557</v>
      </c>
      <c r="B1120" t="s">
        <v>264</v>
      </c>
      <c r="C1120" t="s">
        <v>273</v>
      </c>
      <c r="D1120" t="s">
        <v>597</v>
      </c>
      <c r="E1120" s="230">
        <v>263.87</v>
      </c>
      <c r="F1120" t="s">
        <v>560</v>
      </c>
      <c r="G1120" t="b">
        <v>1</v>
      </c>
      <c r="H1120" t="s">
        <v>598</v>
      </c>
    </row>
    <row r="1121" spans="1:8" x14ac:dyDescent="0.3">
      <c r="A1121" t="s">
        <v>557</v>
      </c>
      <c r="B1121" t="s">
        <v>264</v>
      </c>
      <c r="C1121" t="s">
        <v>580</v>
      </c>
      <c r="D1121" t="s">
        <v>597</v>
      </c>
      <c r="E1121" s="230">
        <v>263.87</v>
      </c>
      <c r="F1121" t="s">
        <v>560</v>
      </c>
      <c r="G1121" t="b">
        <v>1</v>
      </c>
      <c r="H1121" t="s">
        <v>598</v>
      </c>
    </row>
    <row r="1122" spans="1:8" x14ac:dyDescent="0.3">
      <c r="A1122" t="s">
        <v>557</v>
      </c>
      <c r="B1122" t="s">
        <v>264</v>
      </c>
      <c r="C1122" t="s">
        <v>275</v>
      </c>
      <c r="D1122" t="s">
        <v>597</v>
      </c>
      <c r="E1122" s="230">
        <v>1263.8699999999999</v>
      </c>
      <c r="F1122" t="s">
        <v>560</v>
      </c>
      <c r="G1122" t="b">
        <v>1</v>
      </c>
      <c r="H1122" t="s">
        <v>598</v>
      </c>
    </row>
    <row r="1123" spans="1:8" x14ac:dyDescent="0.3">
      <c r="A1123" t="s">
        <v>557</v>
      </c>
      <c r="B1123" t="s">
        <v>264</v>
      </c>
      <c r="C1123" t="s">
        <v>276</v>
      </c>
      <c r="D1123" t="s">
        <v>597</v>
      </c>
      <c r="E1123" s="230">
        <v>1551.98</v>
      </c>
      <c r="F1123" t="s">
        <v>560</v>
      </c>
      <c r="G1123" t="b">
        <v>1</v>
      </c>
      <c r="H1123" t="s">
        <v>598</v>
      </c>
    </row>
    <row r="1124" spans="1:8" x14ac:dyDescent="0.3">
      <c r="A1124" t="s">
        <v>557</v>
      </c>
      <c r="B1124" t="s">
        <v>264</v>
      </c>
      <c r="C1124" t="s">
        <v>277</v>
      </c>
      <c r="D1124" t="s">
        <v>597</v>
      </c>
      <c r="E1124" s="230">
        <v>250</v>
      </c>
      <c r="F1124" t="s">
        <v>560</v>
      </c>
      <c r="G1124" t="b">
        <v>1</v>
      </c>
      <c r="H1124" t="s">
        <v>598</v>
      </c>
    </row>
    <row r="1125" spans="1:8" x14ac:dyDescent="0.3">
      <c r="A1125" t="s">
        <v>557</v>
      </c>
      <c r="B1125" t="s">
        <v>264</v>
      </c>
      <c r="C1125" t="s">
        <v>278</v>
      </c>
      <c r="D1125" t="s">
        <v>597</v>
      </c>
      <c r="E1125" s="230">
        <v>3363.87</v>
      </c>
      <c r="F1125" t="s">
        <v>560</v>
      </c>
      <c r="G1125" t="b">
        <v>1</v>
      </c>
      <c r="H1125" t="s">
        <v>598</v>
      </c>
    </row>
    <row r="1126" spans="1:8" x14ac:dyDescent="0.3">
      <c r="A1126" t="s">
        <v>557</v>
      </c>
      <c r="B1126" t="s">
        <v>279</v>
      </c>
      <c r="C1126" t="s">
        <v>280</v>
      </c>
      <c r="D1126" t="s">
        <v>597</v>
      </c>
      <c r="E1126" s="230">
        <v>0</v>
      </c>
      <c r="F1126" t="s">
        <v>560</v>
      </c>
      <c r="G1126" t="b">
        <v>1</v>
      </c>
      <c r="H1126" t="s">
        <v>598</v>
      </c>
    </row>
    <row r="1127" spans="1:8" x14ac:dyDescent="0.3">
      <c r="A1127" t="s">
        <v>557</v>
      </c>
      <c r="B1127" t="s">
        <v>279</v>
      </c>
      <c r="C1127" t="s">
        <v>281</v>
      </c>
      <c r="D1127" t="s">
        <v>597</v>
      </c>
      <c r="E1127" s="230">
        <v>608.54999999999995</v>
      </c>
      <c r="F1127" t="s">
        <v>560</v>
      </c>
      <c r="G1127" t="b">
        <v>1</v>
      </c>
      <c r="H1127" t="s">
        <v>598</v>
      </c>
    </row>
    <row r="1128" spans="1:8" x14ac:dyDescent="0.3">
      <c r="A1128" t="s">
        <v>557</v>
      </c>
      <c r="B1128" t="s">
        <v>279</v>
      </c>
      <c r="C1128" t="s">
        <v>282</v>
      </c>
      <c r="D1128" t="s">
        <v>597</v>
      </c>
      <c r="E1128" s="230">
        <v>416.13</v>
      </c>
      <c r="F1128" t="s">
        <v>560</v>
      </c>
      <c r="G1128" t="b">
        <v>1</v>
      </c>
      <c r="H1128" t="s">
        <v>598</v>
      </c>
    </row>
    <row r="1129" spans="1:8" x14ac:dyDescent="0.3">
      <c r="A1129" t="s">
        <v>557</v>
      </c>
      <c r="B1129" t="s">
        <v>279</v>
      </c>
      <c r="C1129" t="s">
        <v>283</v>
      </c>
      <c r="D1129" t="s">
        <v>597</v>
      </c>
      <c r="E1129" s="230">
        <v>0</v>
      </c>
      <c r="F1129" t="s">
        <v>560</v>
      </c>
      <c r="G1129" t="b">
        <v>1</v>
      </c>
      <c r="H1129" t="s">
        <v>598</v>
      </c>
    </row>
    <row r="1130" spans="1:8" x14ac:dyDescent="0.3">
      <c r="A1130" t="s">
        <v>557</v>
      </c>
      <c r="B1130" t="s">
        <v>279</v>
      </c>
      <c r="C1130" t="s">
        <v>284</v>
      </c>
      <c r="D1130" t="s">
        <v>597</v>
      </c>
      <c r="E1130" s="230">
        <v>2614.5</v>
      </c>
      <c r="F1130" t="s">
        <v>560</v>
      </c>
      <c r="G1130" t="b">
        <v>1</v>
      </c>
      <c r="H1130" t="s">
        <v>598</v>
      </c>
    </row>
    <row r="1131" spans="1:8" x14ac:dyDescent="0.3">
      <c r="A1131" t="s">
        <v>557</v>
      </c>
      <c r="B1131" t="s">
        <v>279</v>
      </c>
      <c r="C1131" t="s">
        <v>285</v>
      </c>
      <c r="D1131" t="s">
        <v>597</v>
      </c>
      <c r="E1131" s="230">
        <v>408.45</v>
      </c>
      <c r="F1131" t="s">
        <v>560</v>
      </c>
      <c r="G1131" t="b">
        <v>1</v>
      </c>
      <c r="H1131" t="s">
        <v>598</v>
      </c>
    </row>
    <row r="1132" spans="1:8" x14ac:dyDescent="0.3">
      <c r="A1132" t="s">
        <v>557</v>
      </c>
      <c r="B1132" t="s">
        <v>279</v>
      </c>
      <c r="C1132" t="s">
        <v>286</v>
      </c>
      <c r="D1132" t="s">
        <v>597</v>
      </c>
      <c r="E1132" s="230">
        <v>1017.45</v>
      </c>
      <c r="F1132" t="s">
        <v>560</v>
      </c>
      <c r="G1132" t="b">
        <v>1</v>
      </c>
      <c r="H1132" t="s">
        <v>598</v>
      </c>
    </row>
    <row r="1133" spans="1:8" x14ac:dyDescent="0.3">
      <c r="A1133" t="s">
        <v>557</v>
      </c>
      <c r="B1133" t="s">
        <v>581</v>
      </c>
      <c r="C1133" t="s">
        <v>288</v>
      </c>
      <c r="D1133" t="s">
        <v>597</v>
      </c>
      <c r="E1133" s="230">
        <v>4291.6000000000004</v>
      </c>
      <c r="F1133" t="s">
        <v>560</v>
      </c>
      <c r="G1133" t="b">
        <v>1</v>
      </c>
      <c r="H1133" t="s">
        <v>598</v>
      </c>
    </row>
    <row r="1134" spans="1:8" x14ac:dyDescent="0.3">
      <c r="A1134" t="s">
        <v>557</v>
      </c>
      <c r="B1134" t="s">
        <v>581</v>
      </c>
      <c r="C1134" t="s">
        <v>289</v>
      </c>
      <c r="D1134" t="s">
        <v>597</v>
      </c>
      <c r="E1134" s="230">
        <v>1305.55</v>
      </c>
      <c r="F1134" t="s">
        <v>560</v>
      </c>
      <c r="G1134" t="b">
        <v>1</v>
      </c>
      <c r="H1134" t="s">
        <v>598</v>
      </c>
    </row>
    <row r="1135" spans="1:8" x14ac:dyDescent="0.3">
      <c r="A1135" t="s">
        <v>557</v>
      </c>
      <c r="B1135" t="s">
        <v>581</v>
      </c>
      <c r="C1135" t="s">
        <v>290</v>
      </c>
      <c r="D1135" t="s">
        <v>597</v>
      </c>
      <c r="E1135" s="230">
        <v>1105.55</v>
      </c>
      <c r="F1135" t="s">
        <v>560</v>
      </c>
      <c r="G1135" t="b">
        <v>1</v>
      </c>
      <c r="H1135" t="s">
        <v>598</v>
      </c>
    </row>
    <row r="1136" spans="1:8" x14ac:dyDescent="0.3">
      <c r="A1136" t="s">
        <v>557</v>
      </c>
      <c r="B1136" t="s">
        <v>581</v>
      </c>
      <c r="C1136" t="s">
        <v>291</v>
      </c>
      <c r="D1136" t="s">
        <v>597</v>
      </c>
      <c r="E1136" s="230">
        <v>405.55</v>
      </c>
      <c r="F1136" t="s">
        <v>560</v>
      </c>
      <c r="G1136" t="b">
        <v>1</v>
      </c>
      <c r="H1136" t="s">
        <v>598</v>
      </c>
    </row>
    <row r="1137" spans="1:8" x14ac:dyDescent="0.3">
      <c r="A1137" t="s">
        <v>557</v>
      </c>
      <c r="B1137" t="s">
        <v>581</v>
      </c>
      <c r="C1137" t="s">
        <v>292</v>
      </c>
      <c r="D1137" t="s">
        <v>597</v>
      </c>
      <c r="E1137" s="230">
        <v>0</v>
      </c>
      <c r="F1137" t="s">
        <v>560</v>
      </c>
      <c r="G1137" t="b">
        <v>1</v>
      </c>
      <c r="H1137" t="s">
        <v>598</v>
      </c>
    </row>
    <row r="1138" spans="1:8" x14ac:dyDescent="0.3">
      <c r="A1138" t="s">
        <v>557</v>
      </c>
      <c r="B1138" t="s">
        <v>582</v>
      </c>
      <c r="C1138" t="s">
        <v>293</v>
      </c>
      <c r="D1138" t="s">
        <v>597</v>
      </c>
      <c r="E1138" s="230">
        <v>605.54999999999995</v>
      </c>
      <c r="F1138" t="s">
        <v>560</v>
      </c>
      <c r="G1138" t="b">
        <v>1</v>
      </c>
      <c r="H1138" t="s">
        <v>598</v>
      </c>
    </row>
    <row r="1139" spans="1:8" x14ac:dyDescent="0.3">
      <c r="A1139" t="s">
        <v>557</v>
      </c>
      <c r="B1139" t="s">
        <v>582</v>
      </c>
      <c r="C1139" t="s">
        <v>294</v>
      </c>
      <c r="D1139" t="s">
        <v>597</v>
      </c>
      <c r="E1139" s="230">
        <v>0</v>
      </c>
      <c r="F1139" t="s">
        <v>560</v>
      </c>
      <c r="G1139" t="b">
        <v>1</v>
      </c>
      <c r="H1139" t="s">
        <v>598</v>
      </c>
    </row>
    <row r="1140" spans="1:8" x14ac:dyDescent="0.3">
      <c r="A1140" t="s">
        <v>557</v>
      </c>
      <c r="B1140" t="s">
        <v>582</v>
      </c>
      <c r="C1140" t="s">
        <v>295</v>
      </c>
      <c r="D1140" t="s">
        <v>597</v>
      </c>
      <c r="E1140" s="230">
        <v>0</v>
      </c>
      <c r="F1140" t="s">
        <v>560</v>
      </c>
      <c r="G1140" t="b">
        <v>1</v>
      </c>
      <c r="H1140" t="s">
        <v>598</v>
      </c>
    </row>
    <row r="1141" spans="1:8" x14ac:dyDescent="0.3">
      <c r="A1141" t="s">
        <v>557</v>
      </c>
      <c r="B1141" t="s">
        <v>296</v>
      </c>
      <c r="C1141" t="s">
        <v>297</v>
      </c>
      <c r="D1141" t="s">
        <v>597</v>
      </c>
      <c r="E1141" s="230">
        <v>4200</v>
      </c>
      <c r="F1141" t="s">
        <v>560</v>
      </c>
      <c r="G1141" t="b">
        <v>1</v>
      </c>
      <c r="H1141" t="s">
        <v>598</v>
      </c>
    </row>
    <row r="1142" spans="1:8" x14ac:dyDescent="0.3">
      <c r="A1142" t="s">
        <v>557</v>
      </c>
      <c r="B1142" t="s">
        <v>296</v>
      </c>
      <c r="C1142" t="s">
        <v>298</v>
      </c>
      <c r="D1142" t="s">
        <v>597</v>
      </c>
      <c r="E1142" s="230">
        <v>525</v>
      </c>
      <c r="F1142" t="s">
        <v>560</v>
      </c>
      <c r="G1142" t="b">
        <v>1</v>
      </c>
      <c r="H1142" t="s">
        <v>598</v>
      </c>
    </row>
    <row r="1143" spans="1:8" x14ac:dyDescent="0.3">
      <c r="A1143" t="s">
        <v>557</v>
      </c>
      <c r="B1143" t="s">
        <v>296</v>
      </c>
      <c r="C1143" t="s">
        <v>299</v>
      </c>
      <c r="D1143" t="s">
        <v>597</v>
      </c>
      <c r="E1143" s="230">
        <v>0</v>
      </c>
      <c r="F1143" t="s">
        <v>560</v>
      </c>
      <c r="G1143" t="b">
        <v>1</v>
      </c>
      <c r="H1143" t="s">
        <v>598</v>
      </c>
    </row>
    <row r="1144" spans="1:8" x14ac:dyDescent="0.3">
      <c r="A1144" t="s">
        <v>557</v>
      </c>
      <c r="B1144" t="s">
        <v>296</v>
      </c>
      <c r="C1144" t="s">
        <v>300</v>
      </c>
      <c r="D1144" t="s">
        <v>597</v>
      </c>
      <c r="E1144" s="230">
        <v>0</v>
      </c>
      <c r="F1144" t="s">
        <v>560</v>
      </c>
      <c r="G1144" t="b">
        <v>1</v>
      </c>
      <c r="H1144" t="s">
        <v>598</v>
      </c>
    </row>
    <row r="1145" spans="1:8" x14ac:dyDescent="0.3">
      <c r="A1145" t="s">
        <v>557</v>
      </c>
      <c r="B1145" t="s">
        <v>296</v>
      </c>
      <c r="C1145" t="s">
        <v>301</v>
      </c>
      <c r="D1145" t="s">
        <v>597</v>
      </c>
      <c r="E1145" s="230">
        <v>1105.55</v>
      </c>
      <c r="F1145" t="s">
        <v>560</v>
      </c>
      <c r="G1145" t="b">
        <v>1</v>
      </c>
      <c r="H1145" t="s">
        <v>598</v>
      </c>
    </row>
    <row r="1146" spans="1:8" x14ac:dyDescent="0.3">
      <c r="A1146" t="s">
        <v>557</v>
      </c>
      <c r="B1146" t="s">
        <v>296</v>
      </c>
      <c r="C1146" t="s">
        <v>302</v>
      </c>
      <c r="D1146" t="s">
        <v>597</v>
      </c>
      <c r="E1146" s="230">
        <v>0</v>
      </c>
      <c r="F1146" t="s">
        <v>560</v>
      </c>
      <c r="G1146" t="b">
        <v>1</v>
      </c>
      <c r="H1146" t="s">
        <v>598</v>
      </c>
    </row>
    <row r="1147" spans="1:8" x14ac:dyDescent="0.3">
      <c r="A1147" t="s">
        <v>557</v>
      </c>
      <c r="B1147" t="s">
        <v>296</v>
      </c>
      <c r="C1147" t="s">
        <v>303</v>
      </c>
      <c r="D1147" t="s">
        <v>597</v>
      </c>
      <c r="E1147" s="230">
        <v>0</v>
      </c>
      <c r="F1147" t="s">
        <v>560</v>
      </c>
      <c r="G1147" t="b">
        <v>1</v>
      </c>
      <c r="H1147" t="s">
        <v>598</v>
      </c>
    </row>
    <row r="1148" spans="1:8" x14ac:dyDescent="0.3">
      <c r="A1148" t="s">
        <v>557</v>
      </c>
      <c r="B1148" t="s">
        <v>296</v>
      </c>
      <c r="C1148" t="s">
        <v>304</v>
      </c>
      <c r="D1148" t="s">
        <v>597</v>
      </c>
      <c r="E1148" s="230">
        <v>0</v>
      </c>
      <c r="F1148" t="s">
        <v>560</v>
      </c>
      <c r="G1148" t="b">
        <v>1</v>
      </c>
      <c r="H1148" t="s">
        <v>598</v>
      </c>
    </row>
    <row r="1149" spans="1:8" x14ac:dyDescent="0.3">
      <c r="A1149" t="s">
        <v>557</v>
      </c>
      <c r="B1149" t="s">
        <v>296</v>
      </c>
      <c r="C1149" t="s">
        <v>305</v>
      </c>
      <c r="D1149" t="s">
        <v>597</v>
      </c>
      <c r="E1149" s="230">
        <v>0</v>
      </c>
      <c r="F1149" t="s">
        <v>560</v>
      </c>
      <c r="G1149" t="b">
        <v>1</v>
      </c>
      <c r="H1149" t="s">
        <v>598</v>
      </c>
    </row>
    <row r="1150" spans="1:8" x14ac:dyDescent="0.3">
      <c r="A1150" t="s">
        <v>557</v>
      </c>
      <c r="B1150" t="s">
        <v>296</v>
      </c>
      <c r="C1150" t="s">
        <v>583</v>
      </c>
      <c r="D1150" t="s">
        <v>597</v>
      </c>
      <c r="E1150" s="230">
        <v>0</v>
      </c>
      <c r="F1150" t="s">
        <v>560</v>
      </c>
      <c r="G1150" t="b">
        <v>1</v>
      </c>
      <c r="H1150" t="s">
        <v>598</v>
      </c>
    </row>
    <row r="1151" spans="1:8" x14ac:dyDescent="0.3">
      <c r="A1151" t="s">
        <v>557</v>
      </c>
      <c r="B1151" t="s">
        <v>296</v>
      </c>
      <c r="C1151" t="s">
        <v>307</v>
      </c>
      <c r="D1151" t="s">
        <v>597</v>
      </c>
      <c r="E1151" s="230">
        <v>206.85</v>
      </c>
      <c r="F1151" t="s">
        <v>560</v>
      </c>
      <c r="G1151" t="b">
        <v>1</v>
      </c>
      <c r="H1151" t="s">
        <v>598</v>
      </c>
    </row>
    <row r="1152" spans="1:8" x14ac:dyDescent="0.3">
      <c r="A1152" t="s">
        <v>557</v>
      </c>
      <c r="B1152" t="s">
        <v>308</v>
      </c>
      <c r="C1152" t="s">
        <v>309</v>
      </c>
      <c r="D1152" t="s">
        <v>597</v>
      </c>
      <c r="E1152" s="230">
        <v>2995.34</v>
      </c>
      <c r="F1152" t="s">
        <v>560</v>
      </c>
      <c r="G1152" t="b">
        <v>1</v>
      </c>
      <c r="H1152" t="s">
        <v>598</v>
      </c>
    </row>
    <row r="1153" spans="1:8" x14ac:dyDescent="0.3">
      <c r="A1153" t="s">
        <v>557</v>
      </c>
      <c r="B1153" t="s">
        <v>308</v>
      </c>
      <c r="C1153" t="s">
        <v>310</v>
      </c>
      <c r="D1153" t="s">
        <v>597</v>
      </c>
      <c r="E1153" s="230">
        <v>0</v>
      </c>
      <c r="F1153" t="s">
        <v>560</v>
      </c>
      <c r="G1153" t="b">
        <v>1</v>
      </c>
      <c r="H1153" t="s">
        <v>598</v>
      </c>
    </row>
    <row r="1154" spans="1:8" x14ac:dyDescent="0.3">
      <c r="A1154" t="s">
        <v>557</v>
      </c>
      <c r="B1154" t="s">
        <v>308</v>
      </c>
      <c r="C1154" t="s">
        <v>311</v>
      </c>
      <c r="D1154" t="s">
        <v>597</v>
      </c>
      <c r="E1154" s="230">
        <v>1627.5</v>
      </c>
      <c r="F1154" t="s">
        <v>560</v>
      </c>
      <c r="G1154" t="b">
        <v>1</v>
      </c>
      <c r="H1154" t="s">
        <v>598</v>
      </c>
    </row>
    <row r="1155" spans="1:8" x14ac:dyDescent="0.3">
      <c r="A1155" t="s">
        <v>557</v>
      </c>
      <c r="B1155" t="s">
        <v>308</v>
      </c>
      <c r="C1155" t="s">
        <v>312</v>
      </c>
      <c r="D1155" t="s">
        <v>597</v>
      </c>
      <c r="E1155" s="230">
        <v>194.25</v>
      </c>
      <c r="F1155" t="s">
        <v>560</v>
      </c>
      <c r="G1155" t="b">
        <v>1</v>
      </c>
      <c r="H1155" t="s">
        <v>598</v>
      </c>
    </row>
    <row r="1156" spans="1:8" x14ac:dyDescent="0.3">
      <c r="A1156" t="s">
        <v>557</v>
      </c>
      <c r="B1156" t="s">
        <v>308</v>
      </c>
      <c r="C1156" t="s">
        <v>313</v>
      </c>
      <c r="D1156" t="s">
        <v>597</v>
      </c>
      <c r="E1156" s="230">
        <v>0</v>
      </c>
      <c r="F1156" t="s">
        <v>560</v>
      </c>
      <c r="G1156" t="b">
        <v>1</v>
      </c>
      <c r="H1156" t="s">
        <v>598</v>
      </c>
    </row>
    <row r="1157" spans="1:8" x14ac:dyDescent="0.3">
      <c r="A1157" t="s">
        <v>557</v>
      </c>
      <c r="B1157" t="s">
        <v>308</v>
      </c>
      <c r="C1157" t="s">
        <v>314</v>
      </c>
      <c r="D1157" t="s">
        <v>597</v>
      </c>
      <c r="E1157" s="230">
        <v>743.59</v>
      </c>
      <c r="F1157" t="s">
        <v>560</v>
      </c>
      <c r="G1157" t="b">
        <v>1</v>
      </c>
      <c r="H1157" t="s">
        <v>598</v>
      </c>
    </row>
    <row r="1158" spans="1:8" x14ac:dyDescent="0.3">
      <c r="A1158" t="s">
        <v>557</v>
      </c>
      <c r="B1158" t="s">
        <v>308</v>
      </c>
      <c r="C1158" t="s">
        <v>315</v>
      </c>
      <c r="D1158" t="s">
        <v>597</v>
      </c>
      <c r="E1158" s="230">
        <v>0</v>
      </c>
      <c r="F1158" t="s">
        <v>560</v>
      </c>
      <c r="G1158" t="b">
        <v>1</v>
      </c>
      <c r="H1158" t="s">
        <v>598</v>
      </c>
    </row>
    <row r="1159" spans="1:8" x14ac:dyDescent="0.3">
      <c r="A1159" t="s">
        <v>557</v>
      </c>
      <c r="B1159" t="s">
        <v>308</v>
      </c>
      <c r="C1159" t="s">
        <v>316</v>
      </c>
      <c r="D1159" t="s">
        <v>597</v>
      </c>
      <c r="E1159" s="230">
        <v>0</v>
      </c>
      <c r="F1159" t="s">
        <v>560</v>
      </c>
      <c r="G1159" t="b">
        <v>1</v>
      </c>
      <c r="H1159" t="s">
        <v>598</v>
      </c>
    </row>
    <row r="1160" spans="1:8" x14ac:dyDescent="0.3">
      <c r="A1160" t="s">
        <v>557</v>
      </c>
      <c r="B1160" t="s">
        <v>308</v>
      </c>
      <c r="C1160" t="s">
        <v>317</v>
      </c>
      <c r="D1160" t="s">
        <v>597</v>
      </c>
      <c r="E1160" s="230">
        <v>0</v>
      </c>
      <c r="F1160" t="s">
        <v>560</v>
      </c>
      <c r="G1160" t="b">
        <v>1</v>
      </c>
      <c r="H1160" t="s">
        <v>598</v>
      </c>
    </row>
    <row r="1161" spans="1:8" x14ac:dyDescent="0.3">
      <c r="A1161" t="s">
        <v>557</v>
      </c>
      <c r="B1161" t="s">
        <v>318</v>
      </c>
      <c r="C1161" t="s">
        <v>319</v>
      </c>
      <c r="D1161" t="s">
        <v>597</v>
      </c>
      <c r="E1161" s="230">
        <v>1770.3</v>
      </c>
      <c r="F1161" t="s">
        <v>560</v>
      </c>
      <c r="G1161" t="b">
        <v>1</v>
      </c>
      <c r="H1161" t="s">
        <v>598</v>
      </c>
    </row>
    <row r="1162" spans="1:8" x14ac:dyDescent="0.3">
      <c r="A1162" t="s">
        <v>557</v>
      </c>
      <c r="B1162" t="s">
        <v>318</v>
      </c>
      <c r="C1162" t="s">
        <v>320</v>
      </c>
      <c r="D1162" t="s">
        <v>597</v>
      </c>
      <c r="E1162" s="230">
        <v>144.44999999999999</v>
      </c>
      <c r="F1162" t="s">
        <v>560</v>
      </c>
      <c r="G1162" t="b">
        <v>1</v>
      </c>
      <c r="H1162" t="s">
        <v>598</v>
      </c>
    </row>
    <row r="1163" spans="1:8" x14ac:dyDescent="0.3">
      <c r="A1163" t="s">
        <v>557</v>
      </c>
      <c r="B1163" t="s">
        <v>318</v>
      </c>
      <c r="C1163" t="s">
        <v>321</v>
      </c>
      <c r="D1163" t="s">
        <v>597</v>
      </c>
      <c r="E1163" s="230">
        <v>210</v>
      </c>
      <c r="F1163" t="s">
        <v>560</v>
      </c>
      <c r="G1163" t="b">
        <v>1</v>
      </c>
      <c r="H1163" t="s">
        <v>598</v>
      </c>
    </row>
    <row r="1164" spans="1:8" x14ac:dyDescent="0.3">
      <c r="A1164" t="s">
        <v>557</v>
      </c>
      <c r="B1164" t="s">
        <v>318</v>
      </c>
      <c r="C1164" t="s">
        <v>322</v>
      </c>
      <c r="D1164" t="s">
        <v>597</v>
      </c>
      <c r="E1164" s="230">
        <v>0</v>
      </c>
      <c r="F1164" t="s">
        <v>560</v>
      </c>
      <c r="G1164" t="b">
        <v>1</v>
      </c>
      <c r="H1164" t="s">
        <v>598</v>
      </c>
    </row>
    <row r="1165" spans="1:8" x14ac:dyDescent="0.3">
      <c r="A1165" t="s">
        <v>557</v>
      </c>
      <c r="B1165" t="s">
        <v>323</v>
      </c>
      <c r="C1165" t="s">
        <v>324</v>
      </c>
      <c r="D1165" t="s">
        <v>597</v>
      </c>
      <c r="E1165" s="230">
        <v>0</v>
      </c>
      <c r="F1165" t="s">
        <v>560</v>
      </c>
      <c r="G1165" t="b">
        <v>1</v>
      </c>
      <c r="H1165" t="s">
        <v>598</v>
      </c>
    </row>
    <row r="1166" spans="1:8" x14ac:dyDescent="0.3">
      <c r="A1166" t="s">
        <v>557</v>
      </c>
      <c r="B1166" t="s">
        <v>323</v>
      </c>
      <c r="C1166" t="s">
        <v>325</v>
      </c>
      <c r="D1166" t="s">
        <v>597</v>
      </c>
      <c r="E1166" s="230">
        <v>0</v>
      </c>
      <c r="F1166" t="s">
        <v>560</v>
      </c>
      <c r="G1166" t="b">
        <v>1</v>
      </c>
      <c r="H1166" t="s">
        <v>598</v>
      </c>
    </row>
    <row r="1167" spans="1:8" x14ac:dyDescent="0.3">
      <c r="A1167" t="s">
        <v>557</v>
      </c>
      <c r="B1167" t="s">
        <v>323</v>
      </c>
      <c r="C1167" t="s">
        <v>326</v>
      </c>
      <c r="D1167" t="s">
        <v>597</v>
      </c>
      <c r="E1167" s="230">
        <v>26386.77</v>
      </c>
      <c r="F1167" t="s">
        <v>560</v>
      </c>
      <c r="G1167" t="b">
        <v>1</v>
      </c>
      <c r="H1167" t="s">
        <v>598</v>
      </c>
    </row>
    <row r="1168" spans="1:8" x14ac:dyDescent="0.3">
      <c r="A1168" t="s">
        <v>557</v>
      </c>
      <c r="B1168" t="s">
        <v>584</v>
      </c>
      <c r="C1168" t="s">
        <v>334</v>
      </c>
      <c r="D1168" t="s">
        <v>597</v>
      </c>
      <c r="E1168" s="230">
        <v>0</v>
      </c>
      <c r="F1168" t="s">
        <v>560</v>
      </c>
      <c r="G1168" t="b">
        <v>1</v>
      </c>
      <c r="H1168" t="s">
        <v>598</v>
      </c>
    </row>
    <row r="1169" spans="1:8" x14ac:dyDescent="0.3">
      <c r="A1169" t="s">
        <v>557</v>
      </c>
      <c r="B1169" t="s">
        <v>584</v>
      </c>
      <c r="C1169" t="s">
        <v>336</v>
      </c>
      <c r="D1169" t="s">
        <v>597</v>
      </c>
      <c r="E1169" s="230">
        <v>0</v>
      </c>
      <c r="F1169" t="s">
        <v>560</v>
      </c>
      <c r="G1169" t="b">
        <v>1</v>
      </c>
      <c r="H1169" t="s">
        <v>598</v>
      </c>
    </row>
    <row r="1170" spans="1:8" x14ac:dyDescent="0.3">
      <c r="A1170" t="s">
        <v>557</v>
      </c>
      <c r="B1170" t="s">
        <v>558</v>
      </c>
      <c r="C1170" t="s">
        <v>13</v>
      </c>
      <c r="D1170" t="s">
        <v>599</v>
      </c>
      <c r="E1170" s="230">
        <v>215856.63</v>
      </c>
      <c r="F1170" t="s">
        <v>560</v>
      </c>
      <c r="G1170" t="b">
        <v>1</v>
      </c>
      <c r="H1170" t="s">
        <v>600</v>
      </c>
    </row>
    <row r="1171" spans="1:8" x14ac:dyDescent="0.3">
      <c r="A1171" t="s">
        <v>557</v>
      </c>
      <c r="B1171" t="s">
        <v>558</v>
      </c>
      <c r="C1171" t="s">
        <v>16</v>
      </c>
      <c r="D1171" t="s">
        <v>599</v>
      </c>
      <c r="E1171" s="230">
        <v>133014.03</v>
      </c>
      <c r="F1171" t="s">
        <v>560</v>
      </c>
      <c r="G1171" t="b">
        <v>1</v>
      </c>
      <c r="H1171" t="s">
        <v>600</v>
      </c>
    </row>
    <row r="1172" spans="1:8" x14ac:dyDescent="0.3">
      <c r="A1172" t="s">
        <v>557</v>
      </c>
      <c r="B1172" t="s">
        <v>558</v>
      </c>
      <c r="C1172" t="s">
        <v>17</v>
      </c>
      <c r="D1172" t="s">
        <v>599</v>
      </c>
      <c r="E1172" s="230">
        <v>4681.79</v>
      </c>
      <c r="F1172" t="s">
        <v>560</v>
      </c>
      <c r="G1172" t="b">
        <v>1</v>
      </c>
      <c r="H1172" t="s">
        <v>600</v>
      </c>
    </row>
    <row r="1173" spans="1:8" x14ac:dyDescent="0.3">
      <c r="A1173" t="s">
        <v>557</v>
      </c>
      <c r="B1173" t="s">
        <v>558</v>
      </c>
      <c r="C1173" t="s">
        <v>18</v>
      </c>
      <c r="D1173" t="s">
        <v>599</v>
      </c>
      <c r="E1173" s="230">
        <v>0</v>
      </c>
      <c r="F1173" t="s">
        <v>560</v>
      </c>
      <c r="G1173" t="b">
        <v>1</v>
      </c>
      <c r="H1173" t="s">
        <v>600</v>
      </c>
    </row>
    <row r="1174" spans="1:8" x14ac:dyDescent="0.3">
      <c r="A1174" t="s">
        <v>557</v>
      </c>
      <c r="B1174" t="s">
        <v>558</v>
      </c>
      <c r="C1174" t="s">
        <v>20</v>
      </c>
      <c r="D1174" t="s">
        <v>599</v>
      </c>
      <c r="E1174" s="230">
        <v>48211.7</v>
      </c>
      <c r="F1174" t="s">
        <v>560</v>
      </c>
      <c r="G1174" t="b">
        <v>1</v>
      </c>
      <c r="H1174" t="s">
        <v>600</v>
      </c>
    </row>
    <row r="1175" spans="1:8" x14ac:dyDescent="0.3">
      <c r="A1175" t="s">
        <v>557</v>
      </c>
      <c r="B1175" t="s">
        <v>558</v>
      </c>
      <c r="C1175" t="s">
        <v>29</v>
      </c>
      <c r="D1175" t="s">
        <v>599</v>
      </c>
      <c r="E1175" s="230">
        <v>18447.310000000001</v>
      </c>
      <c r="F1175" t="s">
        <v>560</v>
      </c>
      <c r="G1175" t="b">
        <v>1</v>
      </c>
      <c r="H1175" t="s">
        <v>600</v>
      </c>
    </row>
    <row r="1176" spans="1:8" x14ac:dyDescent="0.3">
      <c r="A1176" t="s">
        <v>557</v>
      </c>
      <c r="B1176" t="s">
        <v>558</v>
      </c>
      <c r="C1176" t="s">
        <v>31</v>
      </c>
      <c r="D1176" t="s">
        <v>599</v>
      </c>
      <c r="E1176" s="230">
        <v>0</v>
      </c>
      <c r="F1176" t="s">
        <v>560</v>
      </c>
      <c r="G1176" t="b">
        <v>1</v>
      </c>
      <c r="H1176" t="s">
        <v>600</v>
      </c>
    </row>
    <row r="1177" spans="1:8" x14ac:dyDescent="0.3">
      <c r="A1177" t="s">
        <v>557</v>
      </c>
      <c r="B1177" t="s">
        <v>562</v>
      </c>
      <c r="C1177" t="s">
        <v>38</v>
      </c>
      <c r="D1177" t="s">
        <v>599</v>
      </c>
      <c r="E1177" s="230">
        <v>8721.77</v>
      </c>
      <c r="F1177" t="s">
        <v>560</v>
      </c>
      <c r="G1177" t="b">
        <v>1</v>
      </c>
      <c r="H1177" t="s">
        <v>600</v>
      </c>
    </row>
    <row r="1178" spans="1:8" x14ac:dyDescent="0.3">
      <c r="A1178" t="s">
        <v>557</v>
      </c>
      <c r="B1178" t="s">
        <v>562</v>
      </c>
      <c r="C1178" t="s">
        <v>40</v>
      </c>
      <c r="D1178" t="s">
        <v>599</v>
      </c>
      <c r="E1178" s="230">
        <v>6907.64</v>
      </c>
      <c r="F1178" t="s">
        <v>560</v>
      </c>
      <c r="G1178" t="b">
        <v>1</v>
      </c>
      <c r="H1178" t="s">
        <v>600</v>
      </c>
    </row>
    <row r="1179" spans="1:8" x14ac:dyDescent="0.3">
      <c r="A1179" t="s">
        <v>557</v>
      </c>
      <c r="B1179" t="s">
        <v>562</v>
      </c>
      <c r="C1179" t="s">
        <v>42</v>
      </c>
      <c r="D1179" t="s">
        <v>599</v>
      </c>
      <c r="E1179" s="230">
        <v>872.18</v>
      </c>
      <c r="F1179" t="s">
        <v>560</v>
      </c>
      <c r="G1179" t="b">
        <v>1</v>
      </c>
      <c r="H1179" t="s">
        <v>600</v>
      </c>
    </row>
    <row r="1180" spans="1:8" x14ac:dyDescent="0.3">
      <c r="A1180" t="s">
        <v>557</v>
      </c>
      <c r="B1180" t="s">
        <v>563</v>
      </c>
      <c r="C1180" t="s">
        <v>46</v>
      </c>
      <c r="D1180" t="s">
        <v>599</v>
      </c>
      <c r="E1180" s="230">
        <v>14801.71</v>
      </c>
      <c r="F1180" t="s">
        <v>560</v>
      </c>
      <c r="G1180" t="b">
        <v>1</v>
      </c>
      <c r="H1180" t="s">
        <v>600</v>
      </c>
    </row>
    <row r="1181" spans="1:8" x14ac:dyDescent="0.3">
      <c r="A1181" t="s">
        <v>557</v>
      </c>
      <c r="B1181" t="s">
        <v>563</v>
      </c>
      <c r="C1181" t="s">
        <v>48</v>
      </c>
      <c r="D1181" t="s">
        <v>599</v>
      </c>
      <c r="E1181" s="230">
        <v>16253.93</v>
      </c>
      <c r="F1181" t="s">
        <v>560</v>
      </c>
      <c r="G1181" t="b">
        <v>1</v>
      </c>
      <c r="H1181" t="s">
        <v>600</v>
      </c>
    </row>
    <row r="1182" spans="1:8" x14ac:dyDescent="0.3">
      <c r="A1182" t="s">
        <v>557</v>
      </c>
      <c r="B1182" t="s">
        <v>563</v>
      </c>
      <c r="C1182" t="s">
        <v>49</v>
      </c>
      <c r="D1182" t="s">
        <v>599</v>
      </c>
      <c r="E1182" s="230">
        <v>771.6</v>
      </c>
      <c r="F1182" t="s">
        <v>560</v>
      </c>
      <c r="G1182" t="b">
        <v>1</v>
      </c>
      <c r="H1182" t="s">
        <v>600</v>
      </c>
    </row>
    <row r="1183" spans="1:8" x14ac:dyDescent="0.3">
      <c r="A1183" t="s">
        <v>557</v>
      </c>
      <c r="B1183" t="s">
        <v>564</v>
      </c>
      <c r="C1183" t="s">
        <v>565</v>
      </c>
      <c r="D1183" t="s">
        <v>599</v>
      </c>
      <c r="E1183" s="230">
        <v>91341.81</v>
      </c>
      <c r="F1183" t="s">
        <v>560</v>
      </c>
      <c r="G1183" t="b">
        <v>1</v>
      </c>
      <c r="H1183" t="s">
        <v>600</v>
      </c>
    </row>
    <row r="1184" spans="1:8" x14ac:dyDescent="0.3">
      <c r="A1184" t="s">
        <v>557</v>
      </c>
      <c r="B1184" t="s">
        <v>564</v>
      </c>
      <c r="C1184" t="s">
        <v>566</v>
      </c>
      <c r="D1184" t="s">
        <v>599</v>
      </c>
      <c r="E1184" s="230">
        <v>27932.95</v>
      </c>
      <c r="F1184" t="s">
        <v>560</v>
      </c>
      <c r="G1184" t="b">
        <v>1</v>
      </c>
      <c r="H1184" t="s">
        <v>600</v>
      </c>
    </row>
    <row r="1185" spans="1:8" x14ac:dyDescent="0.3">
      <c r="A1185" t="s">
        <v>557</v>
      </c>
      <c r="B1185" t="s">
        <v>564</v>
      </c>
      <c r="C1185" t="s">
        <v>567</v>
      </c>
      <c r="D1185" t="s">
        <v>599</v>
      </c>
      <c r="E1185" s="230">
        <v>553.41999999999996</v>
      </c>
      <c r="F1185" t="s">
        <v>560</v>
      </c>
      <c r="G1185" t="b">
        <v>1</v>
      </c>
      <c r="H1185" t="s">
        <v>600</v>
      </c>
    </row>
    <row r="1186" spans="1:8" x14ac:dyDescent="0.3">
      <c r="A1186" t="s">
        <v>557</v>
      </c>
      <c r="B1186" t="s">
        <v>564</v>
      </c>
      <c r="C1186" t="s">
        <v>568</v>
      </c>
      <c r="D1186" t="s">
        <v>599</v>
      </c>
      <c r="E1186" s="230">
        <v>0</v>
      </c>
      <c r="F1186" t="s">
        <v>560</v>
      </c>
      <c r="G1186" t="b">
        <v>1</v>
      </c>
      <c r="H1186" t="s">
        <v>600</v>
      </c>
    </row>
    <row r="1187" spans="1:8" x14ac:dyDescent="0.3">
      <c r="A1187" t="s">
        <v>557</v>
      </c>
      <c r="B1187" t="s">
        <v>569</v>
      </c>
      <c r="C1187" t="s">
        <v>58</v>
      </c>
      <c r="D1187" t="s">
        <v>599</v>
      </c>
      <c r="E1187" s="230">
        <v>3136.8</v>
      </c>
      <c r="F1187" t="s">
        <v>560</v>
      </c>
      <c r="G1187" t="b">
        <v>1</v>
      </c>
      <c r="H1187" t="s">
        <v>600</v>
      </c>
    </row>
    <row r="1188" spans="1:8" x14ac:dyDescent="0.3">
      <c r="A1188" t="s">
        <v>557</v>
      </c>
      <c r="B1188" t="s">
        <v>569</v>
      </c>
      <c r="C1188" t="s">
        <v>59</v>
      </c>
      <c r="D1188" t="s">
        <v>599</v>
      </c>
      <c r="E1188" s="230">
        <v>468.18</v>
      </c>
      <c r="F1188" t="s">
        <v>560</v>
      </c>
      <c r="G1188" t="b">
        <v>1</v>
      </c>
      <c r="H1188" t="s">
        <v>600</v>
      </c>
    </row>
    <row r="1189" spans="1:8" x14ac:dyDescent="0.3">
      <c r="A1189" t="s">
        <v>557</v>
      </c>
      <c r="B1189" t="s">
        <v>569</v>
      </c>
      <c r="C1189" t="s">
        <v>62</v>
      </c>
      <c r="D1189" t="s">
        <v>599</v>
      </c>
      <c r="E1189" s="230">
        <v>0</v>
      </c>
      <c r="F1189" t="s">
        <v>560</v>
      </c>
      <c r="G1189" t="b">
        <v>1</v>
      </c>
      <c r="H1189" t="s">
        <v>600</v>
      </c>
    </row>
    <row r="1190" spans="1:8" x14ac:dyDescent="0.3">
      <c r="A1190" t="s">
        <v>557</v>
      </c>
      <c r="B1190" t="s">
        <v>570</v>
      </c>
      <c r="C1190" t="s">
        <v>64</v>
      </c>
      <c r="D1190" t="s">
        <v>599</v>
      </c>
      <c r="E1190" s="230">
        <v>0</v>
      </c>
      <c r="F1190" t="s">
        <v>560</v>
      </c>
      <c r="G1190" t="b">
        <v>1</v>
      </c>
      <c r="H1190" t="s">
        <v>600</v>
      </c>
    </row>
    <row r="1191" spans="1:8" x14ac:dyDescent="0.3">
      <c r="A1191" t="s">
        <v>557</v>
      </c>
      <c r="B1191" t="s">
        <v>569</v>
      </c>
      <c r="C1191" t="s">
        <v>66</v>
      </c>
      <c r="D1191" t="s">
        <v>599</v>
      </c>
      <c r="E1191" s="230">
        <v>0</v>
      </c>
      <c r="F1191" t="s">
        <v>560</v>
      </c>
      <c r="G1191" t="b">
        <v>1</v>
      </c>
      <c r="H1191" t="s">
        <v>600</v>
      </c>
    </row>
    <row r="1192" spans="1:8" x14ac:dyDescent="0.3">
      <c r="A1192" t="s">
        <v>557</v>
      </c>
      <c r="B1192" t="s">
        <v>569</v>
      </c>
      <c r="C1192" t="s">
        <v>68</v>
      </c>
      <c r="D1192" t="s">
        <v>599</v>
      </c>
      <c r="E1192" s="230">
        <v>1638.63</v>
      </c>
      <c r="F1192" t="s">
        <v>560</v>
      </c>
      <c r="G1192" t="b">
        <v>1</v>
      </c>
      <c r="H1192" t="s">
        <v>600</v>
      </c>
    </row>
    <row r="1193" spans="1:8" x14ac:dyDescent="0.3">
      <c r="A1193" t="s">
        <v>557</v>
      </c>
      <c r="B1193" t="s">
        <v>569</v>
      </c>
      <c r="C1193" t="s">
        <v>69</v>
      </c>
      <c r="D1193" t="s">
        <v>599</v>
      </c>
      <c r="E1193" s="230">
        <v>0</v>
      </c>
      <c r="F1193" t="s">
        <v>560</v>
      </c>
      <c r="G1193" t="b">
        <v>1</v>
      </c>
      <c r="H1193" t="s">
        <v>600</v>
      </c>
    </row>
    <row r="1194" spans="1:8" x14ac:dyDescent="0.3">
      <c r="A1194" t="s">
        <v>557</v>
      </c>
      <c r="B1194" t="s">
        <v>570</v>
      </c>
      <c r="C1194" t="s">
        <v>73</v>
      </c>
      <c r="D1194" t="s">
        <v>599</v>
      </c>
      <c r="E1194" s="230">
        <v>4000</v>
      </c>
      <c r="F1194" t="s">
        <v>560</v>
      </c>
      <c r="G1194" t="b">
        <v>1</v>
      </c>
      <c r="H1194" t="s">
        <v>600</v>
      </c>
    </row>
    <row r="1195" spans="1:8" x14ac:dyDescent="0.3">
      <c r="A1195" t="s">
        <v>557</v>
      </c>
      <c r="B1195" t="s">
        <v>571</v>
      </c>
      <c r="C1195" t="s">
        <v>75</v>
      </c>
      <c r="D1195" t="s">
        <v>599</v>
      </c>
      <c r="E1195" s="230">
        <v>746.71</v>
      </c>
      <c r="F1195" t="s">
        <v>560</v>
      </c>
      <c r="G1195" t="b">
        <v>1</v>
      </c>
      <c r="H1195" t="s">
        <v>600</v>
      </c>
    </row>
    <row r="1196" spans="1:8" x14ac:dyDescent="0.3">
      <c r="A1196" t="s">
        <v>557</v>
      </c>
      <c r="B1196" t="s">
        <v>571</v>
      </c>
      <c r="C1196" t="s">
        <v>78</v>
      </c>
      <c r="D1196" t="s">
        <v>599</v>
      </c>
      <c r="E1196" s="230">
        <v>796.49</v>
      </c>
      <c r="F1196" t="s">
        <v>560</v>
      </c>
      <c r="G1196" t="b">
        <v>1</v>
      </c>
      <c r="H1196" t="s">
        <v>600</v>
      </c>
    </row>
    <row r="1197" spans="1:8" x14ac:dyDescent="0.3">
      <c r="A1197" t="s">
        <v>557</v>
      </c>
      <c r="B1197" t="s">
        <v>571</v>
      </c>
      <c r="C1197" t="s">
        <v>80</v>
      </c>
      <c r="D1197" t="s">
        <v>599</v>
      </c>
      <c r="E1197" s="230">
        <v>248.9</v>
      </c>
      <c r="F1197" t="s">
        <v>560</v>
      </c>
      <c r="G1197" t="b">
        <v>1</v>
      </c>
      <c r="H1197" t="s">
        <v>600</v>
      </c>
    </row>
    <row r="1198" spans="1:8" x14ac:dyDescent="0.3">
      <c r="A1198" t="s">
        <v>557</v>
      </c>
      <c r="B1198" t="s">
        <v>571</v>
      </c>
      <c r="C1198" t="s">
        <v>82</v>
      </c>
      <c r="D1198" t="s">
        <v>599</v>
      </c>
      <c r="E1198" s="230">
        <v>0</v>
      </c>
      <c r="F1198" t="s">
        <v>560</v>
      </c>
      <c r="G1198" t="b">
        <v>1</v>
      </c>
      <c r="H1198" t="s">
        <v>600</v>
      </c>
    </row>
    <row r="1199" spans="1:8" x14ac:dyDescent="0.3">
      <c r="A1199" t="s">
        <v>557</v>
      </c>
      <c r="B1199" t="s">
        <v>571</v>
      </c>
      <c r="C1199" t="s">
        <v>84</v>
      </c>
      <c r="D1199" t="s">
        <v>599</v>
      </c>
      <c r="E1199" s="230">
        <v>0</v>
      </c>
      <c r="F1199" t="s">
        <v>560</v>
      </c>
      <c r="G1199" t="b">
        <v>1</v>
      </c>
      <c r="H1199" t="s">
        <v>600</v>
      </c>
    </row>
    <row r="1200" spans="1:8" x14ac:dyDescent="0.3">
      <c r="A1200" t="s">
        <v>557</v>
      </c>
      <c r="B1200" t="s">
        <v>571</v>
      </c>
      <c r="C1200" t="s">
        <v>86</v>
      </c>
      <c r="D1200" t="s">
        <v>599</v>
      </c>
      <c r="E1200" s="230">
        <v>0</v>
      </c>
      <c r="F1200" t="s">
        <v>560</v>
      </c>
      <c r="G1200" t="b">
        <v>1</v>
      </c>
      <c r="H1200" t="s">
        <v>600</v>
      </c>
    </row>
    <row r="1201" spans="1:8" x14ac:dyDescent="0.3">
      <c r="A1201" t="s">
        <v>557</v>
      </c>
      <c r="B1201" t="s">
        <v>571</v>
      </c>
      <c r="C1201" t="s">
        <v>87</v>
      </c>
      <c r="D1201" t="s">
        <v>599</v>
      </c>
      <c r="E1201" s="230">
        <v>0</v>
      </c>
      <c r="F1201" t="s">
        <v>560</v>
      </c>
      <c r="G1201" t="b">
        <v>1</v>
      </c>
      <c r="H1201" t="s">
        <v>600</v>
      </c>
    </row>
    <row r="1202" spans="1:8" x14ac:dyDescent="0.3">
      <c r="A1202" t="s">
        <v>557</v>
      </c>
      <c r="B1202" t="s">
        <v>571</v>
      </c>
      <c r="C1202" t="s">
        <v>88</v>
      </c>
      <c r="D1202" t="s">
        <v>599</v>
      </c>
      <c r="E1202" s="230">
        <v>0</v>
      </c>
      <c r="F1202" t="s">
        <v>560</v>
      </c>
      <c r="G1202" t="b">
        <v>1</v>
      </c>
      <c r="H1202" t="s">
        <v>600</v>
      </c>
    </row>
    <row r="1203" spans="1:8" x14ac:dyDescent="0.3">
      <c r="A1203" t="s">
        <v>557</v>
      </c>
      <c r="B1203" t="s">
        <v>571</v>
      </c>
      <c r="C1203" t="s">
        <v>89</v>
      </c>
      <c r="D1203" t="s">
        <v>599</v>
      </c>
      <c r="E1203" s="230">
        <v>0</v>
      </c>
      <c r="F1203" t="s">
        <v>560</v>
      </c>
      <c r="G1203" t="b">
        <v>1</v>
      </c>
      <c r="H1203" t="s">
        <v>600</v>
      </c>
    </row>
    <row r="1204" spans="1:8" x14ac:dyDescent="0.3">
      <c r="A1204" t="s">
        <v>557</v>
      </c>
      <c r="B1204" t="s">
        <v>571</v>
      </c>
      <c r="C1204" t="s">
        <v>91</v>
      </c>
      <c r="D1204" t="s">
        <v>599</v>
      </c>
      <c r="E1204" s="230">
        <v>0</v>
      </c>
      <c r="F1204" t="s">
        <v>560</v>
      </c>
      <c r="G1204" t="b">
        <v>1</v>
      </c>
      <c r="H1204" t="s">
        <v>600</v>
      </c>
    </row>
    <row r="1205" spans="1:8" x14ac:dyDescent="0.3">
      <c r="A1205" t="s">
        <v>557</v>
      </c>
      <c r="B1205" t="s">
        <v>571</v>
      </c>
      <c r="C1205" t="s">
        <v>93</v>
      </c>
      <c r="D1205" t="s">
        <v>599</v>
      </c>
      <c r="E1205" s="230">
        <v>0</v>
      </c>
      <c r="F1205" t="s">
        <v>560</v>
      </c>
      <c r="G1205" t="b">
        <v>1</v>
      </c>
      <c r="H1205" t="s">
        <v>600</v>
      </c>
    </row>
    <row r="1206" spans="1:8" x14ac:dyDescent="0.3">
      <c r="A1206" t="s">
        <v>557</v>
      </c>
      <c r="B1206" t="s">
        <v>571</v>
      </c>
      <c r="C1206" t="s">
        <v>96</v>
      </c>
      <c r="D1206" t="s">
        <v>599</v>
      </c>
      <c r="E1206" s="230">
        <v>0</v>
      </c>
      <c r="F1206" t="s">
        <v>560</v>
      </c>
      <c r="G1206" t="b">
        <v>1</v>
      </c>
      <c r="H1206" t="s">
        <v>600</v>
      </c>
    </row>
    <row r="1207" spans="1:8" x14ac:dyDescent="0.3">
      <c r="A1207" t="s">
        <v>557</v>
      </c>
      <c r="B1207" t="s">
        <v>571</v>
      </c>
      <c r="C1207" t="s">
        <v>98</v>
      </c>
      <c r="D1207" t="s">
        <v>599</v>
      </c>
      <c r="E1207" s="230">
        <v>0</v>
      </c>
      <c r="F1207" t="s">
        <v>560</v>
      </c>
      <c r="G1207" t="b">
        <v>1</v>
      </c>
      <c r="H1207" t="s">
        <v>600</v>
      </c>
    </row>
    <row r="1208" spans="1:8" x14ac:dyDescent="0.3">
      <c r="A1208" t="s">
        <v>557</v>
      </c>
      <c r="B1208" t="s">
        <v>571</v>
      </c>
      <c r="C1208" t="s">
        <v>100</v>
      </c>
      <c r="D1208" t="s">
        <v>599</v>
      </c>
      <c r="E1208" s="230">
        <v>0</v>
      </c>
      <c r="F1208" t="s">
        <v>560</v>
      </c>
      <c r="G1208" t="b">
        <v>1</v>
      </c>
      <c r="H1208" t="s">
        <v>600</v>
      </c>
    </row>
    <row r="1209" spans="1:8" x14ac:dyDescent="0.3">
      <c r="A1209" t="s">
        <v>557</v>
      </c>
      <c r="B1209" t="s">
        <v>571</v>
      </c>
      <c r="C1209" t="s">
        <v>102</v>
      </c>
      <c r="D1209" t="s">
        <v>599</v>
      </c>
      <c r="E1209" s="230">
        <v>0</v>
      </c>
      <c r="F1209" t="s">
        <v>560</v>
      </c>
      <c r="G1209" t="b">
        <v>1</v>
      </c>
      <c r="H1209" t="s">
        <v>600</v>
      </c>
    </row>
    <row r="1210" spans="1:8" x14ac:dyDescent="0.3">
      <c r="A1210" t="s">
        <v>557</v>
      </c>
      <c r="B1210" t="s">
        <v>571</v>
      </c>
      <c r="C1210" t="s">
        <v>103</v>
      </c>
      <c r="D1210" t="s">
        <v>599</v>
      </c>
      <c r="E1210" s="230">
        <v>0</v>
      </c>
      <c r="F1210" t="s">
        <v>560</v>
      </c>
      <c r="G1210" t="b">
        <v>1</v>
      </c>
      <c r="H1210" t="s">
        <v>600</v>
      </c>
    </row>
    <row r="1211" spans="1:8" x14ac:dyDescent="0.3">
      <c r="A1211" t="s">
        <v>557</v>
      </c>
      <c r="B1211" t="s">
        <v>571</v>
      </c>
      <c r="C1211" t="s">
        <v>104</v>
      </c>
      <c r="D1211" t="s">
        <v>599</v>
      </c>
      <c r="E1211" s="230">
        <v>0</v>
      </c>
      <c r="F1211" t="s">
        <v>560</v>
      </c>
      <c r="G1211" t="b">
        <v>1</v>
      </c>
      <c r="H1211" t="s">
        <v>600</v>
      </c>
    </row>
    <row r="1212" spans="1:8" x14ac:dyDescent="0.3">
      <c r="A1212" t="s">
        <v>557</v>
      </c>
      <c r="B1212" t="s">
        <v>571</v>
      </c>
      <c r="C1212" t="s">
        <v>105</v>
      </c>
      <c r="D1212" t="s">
        <v>599</v>
      </c>
      <c r="E1212" s="230">
        <v>0</v>
      </c>
      <c r="F1212" t="s">
        <v>560</v>
      </c>
      <c r="G1212" t="b">
        <v>1</v>
      </c>
      <c r="H1212" t="s">
        <v>600</v>
      </c>
    </row>
    <row r="1213" spans="1:8" x14ac:dyDescent="0.3">
      <c r="A1213" t="s">
        <v>557</v>
      </c>
      <c r="B1213" t="s">
        <v>571</v>
      </c>
      <c r="C1213" t="s">
        <v>108</v>
      </c>
      <c r="D1213" t="s">
        <v>599</v>
      </c>
      <c r="E1213" s="230">
        <v>0</v>
      </c>
      <c r="F1213" t="s">
        <v>560</v>
      </c>
      <c r="G1213" t="b">
        <v>1</v>
      </c>
      <c r="H1213" t="s">
        <v>600</v>
      </c>
    </row>
    <row r="1214" spans="1:8" x14ac:dyDescent="0.3">
      <c r="A1214" t="s">
        <v>557</v>
      </c>
      <c r="B1214" t="s">
        <v>571</v>
      </c>
      <c r="C1214" t="s">
        <v>109</v>
      </c>
      <c r="D1214" t="s">
        <v>599</v>
      </c>
      <c r="E1214" s="230">
        <v>0</v>
      </c>
      <c r="F1214" t="s">
        <v>560</v>
      </c>
      <c r="G1214" t="b">
        <v>1</v>
      </c>
      <c r="H1214" t="s">
        <v>600</v>
      </c>
    </row>
    <row r="1215" spans="1:8" x14ac:dyDescent="0.3">
      <c r="A1215" t="s">
        <v>557</v>
      </c>
      <c r="B1215" t="s">
        <v>572</v>
      </c>
      <c r="C1215" t="s">
        <v>112</v>
      </c>
      <c r="D1215" t="s">
        <v>599</v>
      </c>
      <c r="E1215" s="230">
        <v>37600.58</v>
      </c>
      <c r="F1215" t="s">
        <v>560</v>
      </c>
      <c r="G1215" t="b">
        <v>1</v>
      </c>
      <c r="H1215" t="s">
        <v>600</v>
      </c>
    </row>
    <row r="1216" spans="1:8" x14ac:dyDescent="0.3">
      <c r="A1216" t="s">
        <v>557</v>
      </c>
      <c r="B1216" t="s">
        <v>562</v>
      </c>
      <c r="C1216" t="s">
        <v>116</v>
      </c>
      <c r="D1216" t="s">
        <v>599</v>
      </c>
      <c r="E1216" s="230">
        <v>7989.86</v>
      </c>
      <c r="F1216" t="s">
        <v>560</v>
      </c>
      <c r="G1216" t="b">
        <v>1</v>
      </c>
      <c r="H1216" t="s">
        <v>600</v>
      </c>
    </row>
    <row r="1217" spans="1:8" x14ac:dyDescent="0.3">
      <c r="A1217" t="s">
        <v>557</v>
      </c>
      <c r="B1217" t="s">
        <v>562</v>
      </c>
      <c r="C1217" t="s">
        <v>118</v>
      </c>
      <c r="D1217" t="s">
        <v>599</v>
      </c>
      <c r="E1217" s="230">
        <v>4796.3</v>
      </c>
      <c r="F1217" t="s">
        <v>560</v>
      </c>
      <c r="G1217" t="b">
        <v>1</v>
      </c>
      <c r="H1217" t="s">
        <v>600</v>
      </c>
    </row>
    <row r="1218" spans="1:8" x14ac:dyDescent="0.3">
      <c r="A1218" t="s">
        <v>557</v>
      </c>
      <c r="B1218" t="s">
        <v>562</v>
      </c>
      <c r="C1218" t="s">
        <v>120</v>
      </c>
      <c r="D1218" t="s">
        <v>599</v>
      </c>
      <c r="E1218" s="230">
        <v>0</v>
      </c>
      <c r="F1218" t="s">
        <v>560</v>
      </c>
      <c r="G1218" t="b">
        <v>1</v>
      </c>
      <c r="H1218" t="s">
        <v>600</v>
      </c>
    </row>
    <row r="1219" spans="1:8" x14ac:dyDescent="0.3">
      <c r="A1219" t="s">
        <v>557</v>
      </c>
      <c r="B1219" t="s">
        <v>562</v>
      </c>
      <c r="C1219" t="s">
        <v>122</v>
      </c>
      <c r="D1219" t="s">
        <v>599</v>
      </c>
      <c r="E1219" s="230">
        <v>0</v>
      </c>
      <c r="F1219" t="s">
        <v>560</v>
      </c>
      <c r="G1219" t="b">
        <v>1</v>
      </c>
      <c r="H1219" t="s">
        <v>600</v>
      </c>
    </row>
    <row r="1220" spans="1:8" x14ac:dyDescent="0.3">
      <c r="A1220" t="s">
        <v>557</v>
      </c>
      <c r="B1220" t="s">
        <v>570</v>
      </c>
      <c r="C1220" t="s">
        <v>573</v>
      </c>
      <c r="D1220" t="s">
        <v>599</v>
      </c>
      <c r="E1220" s="230">
        <v>33850</v>
      </c>
      <c r="F1220" t="s">
        <v>560</v>
      </c>
      <c r="G1220" t="b">
        <v>1</v>
      </c>
      <c r="H1220" t="s">
        <v>600</v>
      </c>
    </row>
    <row r="1221" spans="1:8" x14ac:dyDescent="0.3">
      <c r="A1221" t="s">
        <v>557</v>
      </c>
      <c r="B1221" t="s">
        <v>574</v>
      </c>
      <c r="C1221" t="s">
        <v>575</v>
      </c>
      <c r="D1221" t="s">
        <v>599</v>
      </c>
      <c r="E1221" s="230">
        <v>36515.129999999997</v>
      </c>
      <c r="F1221" t="s">
        <v>560</v>
      </c>
      <c r="G1221" t="b">
        <v>1</v>
      </c>
      <c r="H1221" t="s">
        <v>600</v>
      </c>
    </row>
    <row r="1222" spans="1:8" x14ac:dyDescent="0.3">
      <c r="A1222" t="s">
        <v>557</v>
      </c>
      <c r="B1222" t="s">
        <v>576</v>
      </c>
      <c r="C1222" t="s">
        <v>203</v>
      </c>
      <c r="D1222" t="s">
        <v>599</v>
      </c>
      <c r="E1222" s="230">
        <v>14099.75</v>
      </c>
      <c r="F1222" t="s">
        <v>560</v>
      </c>
      <c r="G1222" t="b">
        <v>1</v>
      </c>
      <c r="H1222" t="s">
        <v>600</v>
      </c>
    </row>
    <row r="1223" spans="1:8" x14ac:dyDescent="0.3">
      <c r="A1223" t="s">
        <v>557</v>
      </c>
      <c r="B1223" t="s">
        <v>577</v>
      </c>
      <c r="C1223" t="s">
        <v>206</v>
      </c>
      <c r="D1223" t="s">
        <v>599</v>
      </c>
      <c r="E1223" s="230">
        <v>5344.19</v>
      </c>
      <c r="F1223" t="s">
        <v>560</v>
      </c>
      <c r="G1223" t="b">
        <v>1</v>
      </c>
      <c r="H1223" t="s">
        <v>600</v>
      </c>
    </row>
    <row r="1224" spans="1:8" x14ac:dyDescent="0.3">
      <c r="A1224" t="s">
        <v>557</v>
      </c>
      <c r="B1224" t="s">
        <v>577</v>
      </c>
      <c r="C1224" t="s">
        <v>209</v>
      </c>
      <c r="D1224" t="s">
        <v>599</v>
      </c>
      <c r="E1224" s="230">
        <v>0</v>
      </c>
      <c r="F1224" t="s">
        <v>560</v>
      </c>
      <c r="G1224" t="b">
        <v>1</v>
      </c>
      <c r="H1224" t="s">
        <v>600</v>
      </c>
    </row>
    <row r="1225" spans="1:8" x14ac:dyDescent="0.3">
      <c r="A1225" t="s">
        <v>557</v>
      </c>
      <c r="B1225" t="s">
        <v>577</v>
      </c>
      <c r="C1225" t="s">
        <v>211</v>
      </c>
      <c r="D1225" t="s">
        <v>599</v>
      </c>
      <c r="E1225" s="230">
        <v>0</v>
      </c>
      <c r="F1225" t="s">
        <v>560</v>
      </c>
      <c r="G1225" t="b">
        <v>1</v>
      </c>
      <c r="H1225" t="s">
        <v>600</v>
      </c>
    </row>
    <row r="1226" spans="1:8" x14ac:dyDescent="0.3">
      <c r="A1226" t="s">
        <v>557</v>
      </c>
      <c r="B1226" t="s">
        <v>577</v>
      </c>
      <c r="C1226" t="s">
        <v>213</v>
      </c>
      <c r="D1226" t="s">
        <v>599</v>
      </c>
      <c r="E1226" s="230">
        <v>3302.72</v>
      </c>
      <c r="F1226" t="s">
        <v>560</v>
      </c>
      <c r="G1226" t="b">
        <v>1</v>
      </c>
      <c r="H1226" t="s">
        <v>600</v>
      </c>
    </row>
    <row r="1227" spans="1:8" x14ac:dyDescent="0.3">
      <c r="A1227" t="s">
        <v>557</v>
      </c>
      <c r="B1227" t="s">
        <v>577</v>
      </c>
      <c r="C1227" t="s">
        <v>215</v>
      </c>
      <c r="D1227" t="s">
        <v>599</v>
      </c>
      <c r="E1227" s="230">
        <v>2056.71</v>
      </c>
      <c r="F1227" t="s">
        <v>560</v>
      </c>
      <c r="G1227" t="b">
        <v>1</v>
      </c>
      <c r="H1227" t="s">
        <v>600</v>
      </c>
    </row>
    <row r="1228" spans="1:8" x14ac:dyDescent="0.3">
      <c r="A1228" t="s">
        <v>557</v>
      </c>
      <c r="B1228" t="s">
        <v>577</v>
      </c>
      <c r="C1228" t="s">
        <v>217</v>
      </c>
      <c r="D1228" t="s">
        <v>599</v>
      </c>
      <c r="E1228" s="230">
        <v>29.39</v>
      </c>
      <c r="F1228" t="s">
        <v>560</v>
      </c>
      <c r="G1228" t="b">
        <v>1</v>
      </c>
      <c r="H1228" t="s">
        <v>600</v>
      </c>
    </row>
    <row r="1229" spans="1:8" x14ac:dyDescent="0.3">
      <c r="A1229" t="s">
        <v>557</v>
      </c>
      <c r="B1229" t="s">
        <v>577</v>
      </c>
      <c r="C1229" t="s">
        <v>219</v>
      </c>
      <c r="D1229" t="s">
        <v>599</v>
      </c>
      <c r="E1229" s="230">
        <v>18.3</v>
      </c>
      <c r="F1229" t="s">
        <v>560</v>
      </c>
      <c r="G1229" t="b">
        <v>1</v>
      </c>
      <c r="H1229" t="s">
        <v>600</v>
      </c>
    </row>
    <row r="1230" spans="1:8" x14ac:dyDescent="0.3">
      <c r="A1230" t="s">
        <v>557</v>
      </c>
      <c r="B1230" t="s">
        <v>577</v>
      </c>
      <c r="C1230" t="s">
        <v>221</v>
      </c>
      <c r="D1230" t="s">
        <v>599</v>
      </c>
      <c r="E1230" s="230">
        <v>0</v>
      </c>
      <c r="F1230" t="s">
        <v>560</v>
      </c>
      <c r="G1230" t="b">
        <v>1</v>
      </c>
      <c r="H1230" t="s">
        <v>600</v>
      </c>
    </row>
    <row r="1231" spans="1:8" x14ac:dyDescent="0.3">
      <c r="A1231" t="s">
        <v>557</v>
      </c>
      <c r="B1231" t="s">
        <v>577</v>
      </c>
      <c r="C1231" t="s">
        <v>223</v>
      </c>
      <c r="D1231" t="s">
        <v>599</v>
      </c>
      <c r="E1231" s="230">
        <v>0</v>
      </c>
      <c r="F1231" t="s">
        <v>560</v>
      </c>
      <c r="G1231" t="b">
        <v>1</v>
      </c>
      <c r="H1231" t="s">
        <v>600</v>
      </c>
    </row>
    <row r="1232" spans="1:8" x14ac:dyDescent="0.3">
      <c r="A1232" t="s">
        <v>557</v>
      </c>
      <c r="B1232" t="s">
        <v>577</v>
      </c>
      <c r="C1232" t="s">
        <v>225</v>
      </c>
      <c r="D1232" t="s">
        <v>599</v>
      </c>
      <c r="E1232" s="230">
        <v>1111.74</v>
      </c>
      <c r="F1232" t="s">
        <v>560</v>
      </c>
      <c r="G1232" t="b">
        <v>1</v>
      </c>
      <c r="H1232" t="s">
        <v>600</v>
      </c>
    </row>
    <row r="1233" spans="1:8" x14ac:dyDescent="0.3">
      <c r="A1233" t="s">
        <v>557</v>
      </c>
      <c r="B1233" t="s">
        <v>577</v>
      </c>
      <c r="C1233" t="s">
        <v>227</v>
      </c>
      <c r="D1233" t="s">
        <v>599</v>
      </c>
      <c r="E1233" s="230">
        <v>0</v>
      </c>
      <c r="F1233" t="s">
        <v>560</v>
      </c>
      <c r="G1233" t="b">
        <v>1</v>
      </c>
      <c r="H1233" t="s">
        <v>600</v>
      </c>
    </row>
    <row r="1234" spans="1:8" x14ac:dyDescent="0.3">
      <c r="A1234" t="s">
        <v>557</v>
      </c>
      <c r="B1234" t="s">
        <v>577</v>
      </c>
      <c r="C1234" t="s">
        <v>229</v>
      </c>
      <c r="D1234" t="s">
        <v>599</v>
      </c>
      <c r="E1234" s="230">
        <v>1833.34</v>
      </c>
      <c r="F1234" t="s">
        <v>560</v>
      </c>
      <c r="G1234" t="b">
        <v>1</v>
      </c>
      <c r="H1234" t="s">
        <v>600</v>
      </c>
    </row>
    <row r="1235" spans="1:8" x14ac:dyDescent="0.3">
      <c r="A1235" t="s">
        <v>557</v>
      </c>
      <c r="B1235" t="s">
        <v>577</v>
      </c>
      <c r="C1235" t="s">
        <v>231</v>
      </c>
      <c r="D1235" t="s">
        <v>599</v>
      </c>
      <c r="E1235" s="230">
        <v>1920.27</v>
      </c>
      <c r="F1235" t="s">
        <v>560</v>
      </c>
      <c r="G1235" t="b">
        <v>1</v>
      </c>
      <c r="H1235" t="s">
        <v>600</v>
      </c>
    </row>
    <row r="1236" spans="1:8" x14ac:dyDescent="0.3">
      <c r="A1236" t="s">
        <v>557</v>
      </c>
      <c r="B1236" t="s">
        <v>577</v>
      </c>
      <c r="C1236" t="s">
        <v>234</v>
      </c>
      <c r="D1236" t="s">
        <v>599</v>
      </c>
      <c r="E1236" s="230">
        <v>248.97</v>
      </c>
      <c r="F1236" t="s">
        <v>560</v>
      </c>
      <c r="G1236" t="b">
        <v>1</v>
      </c>
      <c r="H1236" t="s">
        <v>600</v>
      </c>
    </row>
    <row r="1237" spans="1:8" x14ac:dyDescent="0.3">
      <c r="A1237" t="s">
        <v>557</v>
      </c>
      <c r="B1237" t="s">
        <v>577</v>
      </c>
      <c r="C1237" t="s">
        <v>236</v>
      </c>
      <c r="D1237" t="s">
        <v>599</v>
      </c>
      <c r="E1237" s="230">
        <v>0</v>
      </c>
      <c r="F1237" t="s">
        <v>560</v>
      </c>
      <c r="G1237" t="b">
        <v>1</v>
      </c>
      <c r="H1237" t="s">
        <v>600</v>
      </c>
    </row>
    <row r="1238" spans="1:8" x14ac:dyDescent="0.3">
      <c r="A1238" t="s">
        <v>557</v>
      </c>
      <c r="B1238" t="s">
        <v>577</v>
      </c>
      <c r="C1238" t="s">
        <v>237</v>
      </c>
      <c r="D1238" t="s">
        <v>599</v>
      </c>
      <c r="E1238" s="230">
        <v>0</v>
      </c>
      <c r="F1238" t="s">
        <v>560</v>
      </c>
      <c r="G1238" t="b">
        <v>1</v>
      </c>
      <c r="H1238" t="s">
        <v>600</v>
      </c>
    </row>
    <row r="1239" spans="1:8" x14ac:dyDescent="0.3">
      <c r="A1239" t="s">
        <v>557</v>
      </c>
      <c r="B1239" t="s">
        <v>578</v>
      </c>
      <c r="C1239" t="s">
        <v>239</v>
      </c>
      <c r="D1239" t="s">
        <v>599</v>
      </c>
      <c r="E1239" s="230">
        <v>4500</v>
      </c>
      <c r="F1239" t="s">
        <v>560</v>
      </c>
      <c r="G1239" t="b">
        <v>1</v>
      </c>
      <c r="H1239" t="s">
        <v>600</v>
      </c>
    </row>
    <row r="1240" spans="1:8" x14ac:dyDescent="0.3">
      <c r="A1240" t="s">
        <v>557</v>
      </c>
      <c r="B1240" t="s">
        <v>578</v>
      </c>
      <c r="C1240" t="s">
        <v>240</v>
      </c>
      <c r="D1240" t="s">
        <v>599</v>
      </c>
      <c r="E1240" s="230">
        <v>0</v>
      </c>
      <c r="F1240" t="s">
        <v>560</v>
      </c>
      <c r="G1240" t="b">
        <v>1</v>
      </c>
      <c r="H1240" t="s">
        <v>600</v>
      </c>
    </row>
    <row r="1241" spans="1:8" x14ac:dyDescent="0.3">
      <c r="A1241" t="s">
        <v>557</v>
      </c>
      <c r="B1241" t="s">
        <v>578</v>
      </c>
      <c r="C1241" t="s">
        <v>241</v>
      </c>
      <c r="D1241" t="s">
        <v>599</v>
      </c>
      <c r="E1241" s="230">
        <v>0</v>
      </c>
      <c r="F1241" t="s">
        <v>560</v>
      </c>
      <c r="G1241" t="b">
        <v>1</v>
      </c>
      <c r="H1241" t="s">
        <v>600</v>
      </c>
    </row>
    <row r="1242" spans="1:8" x14ac:dyDescent="0.3">
      <c r="A1242" t="s">
        <v>557</v>
      </c>
      <c r="B1242" t="s">
        <v>578</v>
      </c>
      <c r="C1242" t="s">
        <v>242</v>
      </c>
      <c r="D1242" t="s">
        <v>599</v>
      </c>
      <c r="E1242" s="230">
        <v>150</v>
      </c>
      <c r="F1242" t="s">
        <v>560</v>
      </c>
      <c r="G1242" t="b">
        <v>1</v>
      </c>
      <c r="H1242" t="s">
        <v>600</v>
      </c>
    </row>
    <row r="1243" spans="1:8" x14ac:dyDescent="0.3">
      <c r="A1243" t="s">
        <v>557</v>
      </c>
      <c r="B1243" t="s">
        <v>578</v>
      </c>
      <c r="C1243" t="s">
        <v>244</v>
      </c>
      <c r="D1243" t="s">
        <v>599</v>
      </c>
      <c r="E1243" s="230">
        <v>0</v>
      </c>
      <c r="F1243" t="s">
        <v>560</v>
      </c>
      <c r="G1243" t="b">
        <v>1</v>
      </c>
      <c r="H1243" t="s">
        <v>600</v>
      </c>
    </row>
    <row r="1244" spans="1:8" x14ac:dyDescent="0.3">
      <c r="A1244" t="s">
        <v>557</v>
      </c>
      <c r="B1244" t="s">
        <v>578</v>
      </c>
      <c r="C1244" t="s">
        <v>246</v>
      </c>
      <c r="D1244" t="s">
        <v>599</v>
      </c>
      <c r="E1244" s="230">
        <v>0</v>
      </c>
      <c r="F1244" t="s">
        <v>560</v>
      </c>
      <c r="G1244" t="b">
        <v>1</v>
      </c>
      <c r="H1244" t="s">
        <v>600</v>
      </c>
    </row>
    <row r="1245" spans="1:8" x14ac:dyDescent="0.3">
      <c r="A1245" t="s">
        <v>557</v>
      </c>
      <c r="B1245" t="s">
        <v>578</v>
      </c>
      <c r="C1245" t="s">
        <v>247</v>
      </c>
      <c r="D1245" t="s">
        <v>599</v>
      </c>
      <c r="E1245" s="230">
        <v>74.16</v>
      </c>
      <c r="F1245" t="s">
        <v>560</v>
      </c>
      <c r="G1245" t="b">
        <v>1</v>
      </c>
      <c r="H1245" t="s">
        <v>600</v>
      </c>
    </row>
    <row r="1246" spans="1:8" x14ac:dyDescent="0.3">
      <c r="A1246" t="s">
        <v>557</v>
      </c>
      <c r="B1246" t="s">
        <v>578</v>
      </c>
      <c r="C1246" t="s">
        <v>249</v>
      </c>
      <c r="D1246" t="s">
        <v>599</v>
      </c>
      <c r="E1246" s="230">
        <v>0</v>
      </c>
      <c r="F1246" t="s">
        <v>560</v>
      </c>
      <c r="G1246" t="b">
        <v>1</v>
      </c>
      <c r="H1246" t="s">
        <v>600</v>
      </c>
    </row>
    <row r="1247" spans="1:8" x14ac:dyDescent="0.3">
      <c r="A1247" t="s">
        <v>557</v>
      </c>
      <c r="B1247" t="s">
        <v>578</v>
      </c>
      <c r="C1247" t="s">
        <v>250</v>
      </c>
      <c r="D1247" t="s">
        <v>599</v>
      </c>
      <c r="E1247" s="230">
        <v>0</v>
      </c>
      <c r="F1247" t="s">
        <v>560</v>
      </c>
      <c r="G1247" t="b">
        <v>1</v>
      </c>
      <c r="H1247" t="s">
        <v>600</v>
      </c>
    </row>
    <row r="1248" spans="1:8" x14ac:dyDescent="0.3">
      <c r="A1248" t="s">
        <v>557</v>
      </c>
      <c r="B1248" t="s">
        <v>578</v>
      </c>
      <c r="C1248" t="s">
        <v>251</v>
      </c>
      <c r="D1248" t="s">
        <v>599</v>
      </c>
      <c r="E1248" s="230">
        <v>0</v>
      </c>
      <c r="F1248" t="s">
        <v>560</v>
      </c>
      <c r="G1248" t="b">
        <v>1</v>
      </c>
      <c r="H1248" t="s">
        <v>600</v>
      </c>
    </row>
    <row r="1249" spans="1:8" x14ac:dyDescent="0.3">
      <c r="A1249" t="s">
        <v>557</v>
      </c>
      <c r="B1249" t="s">
        <v>578</v>
      </c>
      <c r="C1249" t="s">
        <v>252</v>
      </c>
      <c r="D1249" t="s">
        <v>599</v>
      </c>
      <c r="E1249" s="230">
        <v>16902.46</v>
      </c>
      <c r="F1249" t="s">
        <v>560</v>
      </c>
      <c r="G1249" t="b">
        <v>1</v>
      </c>
      <c r="H1249" t="s">
        <v>600</v>
      </c>
    </row>
    <row r="1250" spans="1:8" x14ac:dyDescent="0.3">
      <c r="A1250" t="s">
        <v>557</v>
      </c>
      <c r="B1250" t="s">
        <v>579</v>
      </c>
      <c r="C1250" t="s">
        <v>253</v>
      </c>
      <c r="D1250" t="s">
        <v>599</v>
      </c>
      <c r="E1250" s="230">
        <v>0</v>
      </c>
      <c r="F1250" t="s">
        <v>560</v>
      </c>
      <c r="G1250" t="b">
        <v>1</v>
      </c>
      <c r="H1250" t="s">
        <v>600</v>
      </c>
    </row>
    <row r="1251" spans="1:8" x14ac:dyDescent="0.3">
      <c r="A1251" t="s">
        <v>557</v>
      </c>
      <c r="B1251" t="s">
        <v>256</v>
      </c>
      <c r="C1251" t="s">
        <v>257</v>
      </c>
      <c r="D1251" t="s">
        <v>599</v>
      </c>
      <c r="E1251" s="230">
        <v>51452.1</v>
      </c>
      <c r="F1251" t="s">
        <v>560</v>
      </c>
      <c r="G1251" t="b">
        <v>1</v>
      </c>
      <c r="H1251" t="s">
        <v>600</v>
      </c>
    </row>
    <row r="1252" spans="1:8" x14ac:dyDescent="0.3">
      <c r="A1252" t="s">
        <v>557</v>
      </c>
      <c r="B1252" t="s">
        <v>256</v>
      </c>
      <c r="C1252" t="s">
        <v>258</v>
      </c>
      <c r="D1252" t="s">
        <v>599</v>
      </c>
      <c r="E1252" s="230">
        <v>0</v>
      </c>
      <c r="F1252" t="s">
        <v>560</v>
      </c>
      <c r="G1252" t="b">
        <v>1</v>
      </c>
      <c r="H1252" t="s">
        <v>600</v>
      </c>
    </row>
    <row r="1253" spans="1:8" x14ac:dyDescent="0.3">
      <c r="A1253" t="s">
        <v>557</v>
      </c>
      <c r="B1253" t="s">
        <v>256</v>
      </c>
      <c r="C1253" t="s">
        <v>259</v>
      </c>
      <c r="D1253" t="s">
        <v>599</v>
      </c>
      <c r="E1253" s="230">
        <v>2847.92</v>
      </c>
      <c r="F1253" t="s">
        <v>560</v>
      </c>
      <c r="G1253" t="b">
        <v>1</v>
      </c>
      <c r="H1253" t="s">
        <v>600</v>
      </c>
    </row>
    <row r="1254" spans="1:8" x14ac:dyDescent="0.3">
      <c r="A1254" t="s">
        <v>557</v>
      </c>
      <c r="B1254" t="s">
        <v>256</v>
      </c>
      <c r="C1254" t="s">
        <v>260</v>
      </c>
      <c r="D1254" t="s">
        <v>599</v>
      </c>
      <c r="E1254" s="230">
        <v>0</v>
      </c>
      <c r="F1254" t="s">
        <v>560</v>
      </c>
      <c r="G1254" t="b">
        <v>1</v>
      </c>
      <c r="H1254" t="s">
        <v>600</v>
      </c>
    </row>
    <row r="1255" spans="1:8" x14ac:dyDescent="0.3">
      <c r="A1255" t="s">
        <v>557</v>
      </c>
      <c r="B1255" t="s">
        <v>256</v>
      </c>
      <c r="C1255" t="s">
        <v>261</v>
      </c>
      <c r="D1255" t="s">
        <v>599</v>
      </c>
      <c r="E1255" s="230">
        <v>286.98</v>
      </c>
      <c r="F1255" t="s">
        <v>560</v>
      </c>
      <c r="G1255" t="b">
        <v>1</v>
      </c>
      <c r="H1255" t="s">
        <v>600</v>
      </c>
    </row>
    <row r="1256" spans="1:8" x14ac:dyDescent="0.3">
      <c r="A1256" t="s">
        <v>557</v>
      </c>
      <c r="B1256" t="s">
        <v>256</v>
      </c>
      <c r="C1256" t="s">
        <v>262</v>
      </c>
      <c r="D1256" t="s">
        <v>599</v>
      </c>
      <c r="E1256" s="230">
        <v>0</v>
      </c>
      <c r="F1256" t="s">
        <v>560</v>
      </c>
      <c r="G1256" t="b">
        <v>1</v>
      </c>
      <c r="H1256" t="s">
        <v>600</v>
      </c>
    </row>
    <row r="1257" spans="1:8" x14ac:dyDescent="0.3">
      <c r="A1257" t="s">
        <v>557</v>
      </c>
      <c r="B1257" t="s">
        <v>256</v>
      </c>
      <c r="C1257" t="s">
        <v>263</v>
      </c>
      <c r="D1257" t="s">
        <v>599</v>
      </c>
      <c r="E1257" s="230">
        <v>0</v>
      </c>
      <c r="F1257" t="s">
        <v>560</v>
      </c>
      <c r="G1257" t="b">
        <v>1</v>
      </c>
      <c r="H1257" t="s">
        <v>600</v>
      </c>
    </row>
    <row r="1258" spans="1:8" x14ac:dyDescent="0.3">
      <c r="A1258" t="s">
        <v>557</v>
      </c>
      <c r="B1258" t="s">
        <v>264</v>
      </c>
      <c r="C1258" t="s">
        <v>265</v>
      </c>
      <c r="D1258" t="s">
        <v>599</v>
      </c>
      <c r="E1258" s="230">
        <v>5235</v>
      </c>
      <c r="F1258" t="s">
        <v>560</v>
      </c>
      <c r="G1258" t="b">
        <v>1</v>
      </c>
      <c r="H1258" t="s">
        <v>600</v>
      </c>
    </row>
    <row r="1259" spans="1:8" x14ac:dyDescent="0.3">
      <c r="A1259" t="s">
        <v>557</v>
      </c>
      <c r="B1259" t="s">
        <v>264</v>
      </c>
      <c r="C1259" t="s">
        <v>266</v>
      </c>
      <c r="D1259" t="s">
        <v>599</v>
      </c>
      <c r="E1259" s="230">
        <v>11085</v>
      </c>
      <c r="F1259" t="s">
        <v>560</v>
      </c>
      <c r="G1259" t="b">
        <v>1</v>
      </c>
      <c r="H1259" t="s">
        <v>600</v>
      </c>
    </row>
    <row r="1260" spans="1:8" x14ac:dyDescent="0.3">
      <c r="A1260" t="s">
        <v>557</v>
      </c>
      <c r="B1260" t="s">
        <v>264</v>
      </c>
      <c r="C1260" t="s">
        <v>267</v>
      </c>
      <c r="D1260" t="s">
        <v>599</v>
      </c>
      <c r="E1260" s="230">
        <v>6935</v>
      </c>
      <c r="F1260" t="s">
        <v>560</v>
      </c>
      <c r="G1260" t="b">
        <v>1</v>
      </c>
      <c r="H1260" t="s">
        <v>600</v>
      </c>
    </row>
    <row r="1261" spans="1:8" x14ac:dyDescent="0.3">
      <c r="A1261" t="s">
        <v>557</v>
      </c>
      <c r="B1261" t="s">
        <v>264</v>
      </c>
      <c r="C1261" t="s">
        <v>268</v>
      </c>
      <c r="D1261" t="s">
        <v>599</v>
      </c>
      <c r="E1261" s="230">
        <v>6535</v>
      </c>
      <c r="F1261" t="s">
        <v>560</v>
      </c>
      <c r="G1261" t="b">
        <v>1</v>
      </c>
      <c r="H1261" t="s">
        <v>600</v>
      </c>
    </row>
    <row r="1262" spans="1:8" x14ac:dyDescent="0.3">
      <c r="A1262" t="s">
        <v>557</v>
      </c>
      <c r="B1262" t="s">
        <v>264</v>
      </c>
      <c r="C1262" t="s">
        <v>269</v>
      </c>
      <c r="D1262" t="s">
        <v>599</v>
      </c>
      <c r="E1262" s="230">
        <v>585</v>
      </c>
      <c r="F1262" t="s">
        <v>560</v>
      </c>
      <c r="G1262" t="b">
        <v>1</v>
      </c>
      <c r="H1262" t="s">
        <v>600</v>
      </c>
    </row>
    <row r="1263" spans="1:8" x14ac:dyDescent="0.3">
      <c r="A1263" t="s">
        <v>557</v>
      </c>
      <c r="B1263" t="s">
        <v>264</v>
      </c>
      <c r="C1263" t="s">
        <v>270</v>
      </c>
      <c r="D1263" t="s">
        <v>599</v>
      </c>
      <c r="E1263" s="230">
        <v>561</v>
      </c>
      <c r="F1263" t="s">
        <v>560</v>
      </c>
      <c r="G1263" t="b">
        <v>1</v>
      </c>
      <c r="H1263" t="s">
        <v>600</v>
      </c>
    </row>
    <row r="1264" spans="1:8" x14ac:dyDescent="0.3">
      <c r="A1264" t="s">
        <v>557</v>
      </c>
      <c r="B1264" t="s">
        <v>264</v>
      </c>
      <c r="C1264" t="s">
        <v>271</v>
      </c>
      <c r="D1264" t="s">
        <v>599</v>
      </c>
      <c r="E1264" s="230">
        <v>1235</v>
      </c>
      <c r="F1264" t="s">
        <v>560</v>
      </c>
      <c r="G1264" t="b">
        <v>1</v>
      </c>
      <c r="H1264" t="s">
        <v>600</v>
      </c>
    </row>
    <row r="1265" spans="1:8" x14ac:dyDescent="0.3">
      <c r="A1265" t="s">
        <v>557</v>
      </c>
      <c r="B1265" t="s">
        <v>264</v>
      </c>
      <c r="C1265" t="s">
        <v>272</v>
      </c>
      <c r="D1265" t="s">
        <v>599</v>
      </c>
      <c r="E1265" s="230">
        <v>2335</v>
      </c>
      <c r="F1265" t="s">
        <v>560</v>
      </c>
      <c r="G1265" t="b">
        <v>1</v>
      </c>
      <c r="H1265" t="s">
        <v>600</v>
      </c>
    </row>
    <row r="1266" spans="1:8" x14ac:dyDescent="0.3">
      <c r="A1266" t="s">
        <v>557</v>
      </c>
      <c r="B1266" t="s">
        <v>264</v>
      </c>
      <c r="C1266" t="s">
        <v>273</v>
      </c>
      <c r="D1266" t="s">
        <v>599</v>
      </c>
      <c r="E1266" s="230">
        <v>235</v>
      </c>
      <c r="F1266" t="s">
        <v>560</v>
      </c>
      <c r="G1266" t="b">
        <v>1</v>
      </c>
      <c r="H1266" t="s">
        <v>600</v>
      </c>
    </row>
    <row r="1267" spans="1:8" x14ac:dyDescent="0.3">
      <c r="A1267" t="s">
        <v>557</v>
      </c>
      <c r="B1267" t="s">
        <v>264</v>
      </c>
      <c r="C1267" t="s">
        <v>580</v>
      </c>
      <c r="D1267" t="s">
        <v>599</v>
      </c>
      <c r="E1267" s="230">
        <v>235</v>
      </c>
      <c r="F1267" t="s">
        <v>560</v>
      </c>
      <c r="G1267" t="b">
        <v>1</v>
      </c>
      <c r="H1267" t="s">
        <v>600</v>
      </c>
    </row>
    <row r="1268" spans="1:8" x14ac:dyDescent="0.3">
      <c r="A1268" t="s">
        <v>557</v>
      </c>
      <c r="B1268" t="s">
        <v>264</v>
      </c>
      <c r="C1268" t="s">
        <v>275</v>
      </c>
      <c r="D1268" t="s">
        <v>599</v>
      </c>
      <c r="E1268" s="230">
        <v>1235</v>
      </c>
      <c r="F1268" t="s">
        <v>560</v>
      </c>
      <c r="G1268" t="b">
        <v>1</v>
      </c>
      <c r="H1268" t="s">
        <v>600</v>
      </c>
    </row>
    <row r="1269" spans="1:8" x14ac:dyDescent="0.3">
      <c r="A1269" t="s">
        <v>557</v>
      </c>
      <c r="B1269" t="s">
        <v>264</v>
      </c>
      <c r="C1269" t="s">
        <v>276</v>
      </c>
      <c r="D1269" t="s">
        <v>599</v>
      </c>
      <c r="E1269" s="230">
        <v>1428</v>
      </c>
      <c r="F1269" t="s">
        <v>560</v>
      </c>
      <c r="G1269" t="b">
        <v>1</v>
      </c>
      <c r="H1269" t="s">
        <v>600</v>
      </c>
    </row>
    <row r="1270" spans="1:8" x14ac:dyDescent="0.3">
      <c r="A1270" t="s">
        <v>557</v>
      </c>
      <c r="B1270" t="s">
        <v>264</v>
      </c>
      <c r="C1270" t="s">
        <v>277</v>
      </c>
      <c r="D1270" t="s">
        <v>599</v>
      </c>
      <c r="E1270" s="230">
        <v>250</v>
      </c>
      <c r="F1270" t="s">
        <v>560</v>
      </c>
      <c r="G1270" t="b">
        <v>1</v>
      </c>
      <c r="H1270" t="s">
        <v>600</v>
      </c>
    </row>
    <row r="1271" spans="1:8" x14ac:dyDescent="0.3">
      <c r="A1271" t="s">
        <v>557</v>
      </c>
      <c r="B1271" t="s">
        <v>264</v>
      </c>
      <c r="C1271" t="s">
        <v>278</v>
      </c>
      <c r="D1271" t="s">
        <v>599</v>
      </c>
      <c r="E1271" s="230">
        <v>3335</v>
      </c>
      <c r="F1271" t="s">
        <v>560</v>
      </c>
      <c r="G1271" t="b">
        <v>1</v>
      </c>
      <c r="H1271" t="s">
        <v>600</v>
      </c>
    </row>
    <row r="1272" spans="1:8" x14ac:dyDescent="0.3">
      <c r="A1272" t="s">
        <v>557</v>
      </c>
      <c r="B1272" t="s">
        <v>279</v>
      </c>
      <c r="C1272" t="s">
        <v>280</v>
      </c>
      <c r="D1272" t="s">
        <v>599</v>
      </c>
      <c r="E1272" s="230">
        <v>0</v>
      </c>
      <c r="F1272" t="s">
        <v>560</v>
      </c>
      <c r="G1272" t="b">
        <v>1</v>
      </c>
      <c r="H1272" t="s">
        <v>600</v>
      </c>
    </row>
    <row r="1273" spans="1:8" x14ac:dyDescent="0.3">
      <c r="A1273" t="s">
        <v>557</v>
      </c>
      <c r="B1273" t="s">
        <v>279</v>
      </c>
      <c r="C1273" t="s">
        <v>281</v>
      </c>
      <c r="D1273" t="s">
        <v>599</v>
      </c>
      <c r="E1273" s="230">
        <v>608.54999999999995</v>
      </c>
      <c r="F1273" t="s">
        <v>560</v>
      </c>
      <c r="G1273" t="b">
        <v>1</v>
      </c>
      <c r="H1273" t="s">
        <v>600</v>
      </c>
    </row>
    <row r="1274" spans="1:8" x14ac:dyDescent="0.3">
      <c r="A1274" t="s">
        <v>557</v>
      </c>
      <c r="B1274" t="s">
        <v>279</v>
      </c>
      <c r="C1274" t="s">
        <v>282</v>
      </c>
      <c r="D1274" t="s">
        <v>599</v>
      </c>
      <c r="E1274" s="230">
        <v>416.13</v>
      </c>
      <c r="F1274" t="s">
        <v>560</v>
      </c>
      <c r="G1274" t="b">
        <v>1</v>
      </c>
      <c r="H1274" t="s">
        <v>600</v>
      </c>
    </row>
    <row r="1275" spans="1:8" x14ac:dyDescent="0.3">
      <c r="A1275" t="s">
        <v>557</v>
      </c>
      <c r="B1275" t="s">
        <v>279</v>
      </c>
      <c r="C1275" t="s">
        <v>283</v>
      </c>
      <c r="D1275" t="s">
        <v>599</v>
      </c>
      <c r="E1275" s="230">
        <v>0</v>
      </c>
      <c r="F1275" t="s">
        <v>560</v>
      </c>
      <c r="G1275" t="b">
        <v>1</v>
      </c>
      <c r="H1275" t="s">
        <v>600</v>
      </c>
    </row>
    <row r="1276" spans="1:8" x14ac:dyDescent="0.3">
      <c r="A1276" t="s">
        <v>557</v>
      </c>
      <c r="B1276" t="s">
        <v>279</v>
      </c>
      <c r="C1276" t="s">
        <v>284</v>
      </c>
      <c r="D1276" t="s">
        <v>599</v>
      </c>
      <c r="E1276" s="230">
        <v>2614.5</v>
      </c>
      <c r="F1276" t="s">
        <v>560</v>
      </c>
      <c r="G1276" t="b">
        <v>1</v>
      </c>
      <c r="H1276" t="s">
        <v>600</v>
      </c>
    </row>
    <row r="1277" spans="1:8" x14ac:dyDescent="0.3">
      <c r="A1277" t="s">
        <v>557</v>
      </c>
      <c r="B1277" t="s">
        <v>279</v>
      </c>
      <c r="C1277" t="s">
        <v>285</v>
      </c>
      <c r="D1277" t="s">
        <v>599</v>
      </c>
      <c r="E1277" s="230">
        <v>408.45</v>
      </c>
      <c r="F1277" t="s">
        <v>560</v>
      </c>
      <c r="G1277" t="b">
        <v>1</v>
      </c>
      <c r="H1277" t="s">
        <v>600</v>
      </c>
    </row>
    <row r="1278" spans="1:8" x14ac:dyDescent="0.3">
      <c r="A1278" t="s">
        <v>557</v>
      </c>
      <c r="B1278" t="s">
        <v>279</v>
      </c>
      <c r="C1278" t="s">
        <v>286</v>
      </c>
      <c r="D1278" t="s">
        <v>599</v>
      </c>
      <c r="E1278" s="230">
        <v>1017.45</v>
      </c>
      <c r="F1278" t="s">
        <v>560</v>
      </c>
      <c r="G1278" t="b">
        <v>1</v>
      </c>
      <c r="H1278" t="s">
        <v>600</v>
      </c>
    </row>
    <row r="1279" spans="1:8" x14ac:dyDescent="0.3">
      <c r="A1279" t="s">
        <v>557</v>
      </c>
      <c r="B1279" t="s">
        <v>581</v>
      </c>
      <c r="C1279" t="s">
        <v>288</v>
      </c>
      <c r="D1279" t="s">
        <v>599</v>
      </c>
      <c r="E1279" s="230">
        <v>4204.99</v>
      </c>
      <c r="F1279" t="s">
        <v>560</v>
      </c>
      <c r="G1279" t="b">
        <v>1</v>
      </c>
      <c r="H1279" t="s">
        <v>600</v>
      </c>
    </row>
    <row r="1280" spans="1:8" x14ac:dyDescent="0.3">
      <c r="A1280" t="s">
        <v>557</v>
      </c>
      <c r="B1280" t="s">
        <v>581</v>
      </c>
      <c r="C1280" t="s">
        <v>289</v>
      </c>
      <c r="D1280" t="s">
        <v>599</v>
      </c>
      <c r="E1280" s="230">
        <v>1294</v>
      </c>
      <c r="F1280" t="s">
        <v>560</v>
      </c>
      <c r="G1280" t="b">
        <v>1</v>
      </c>
      <c r="H1280" t="s">
        <v>600</v>
      </c>
    </row>
    <row r="1281" spans="1:8" x14ac:dyDescent="0.3">
      <c r="A1281" t="s">
        <v>557</v>
      </c>
      <c r="B1281" t="s">
        <v>581</v>
      </c>
      <c r="C1281" t="s">
        <v>290</v>
      </c>
      <c r="D1281" t="s">
        <v>599</v>
      </c>
      <c r="E1281" s="230">
        <v>1094</v>
      </c>
      <c r="F1281" t="s">
        <v>560</v>
      </c>
      <c r="G1281" t="b">
        <v>1</v>
      </c>
      <c r="H1281" t="s">
        <v>600</v>
      </c>
    </row>
    <row r="1282" spans="1:8" x14ac:dyDescent="0.3">
      <c r="A1282" t="s">
        <v>557</v>
      </c>
      <c r="B1282" t="s">
        <v>581</v>
      </c>
      <c r="C1282" t="s">
        <v>291</v>
      </c>
      <c r="D1282" t="s">
        <v>599</v>
      </c>
      <c r="E1282" s="230">
        <v>394</v>
      </c>
      <c r="F1282" t="s">
        <v>560</v>
      </c>
      <c r="G1282" t="b">
        <v>1</v>
      </c>
      <c r="H1282" t="s">
        <v>600</v>
      </c>
    </row>
    <row r="1283" spans="1:8" x14ac:dyDescent="0.3">
      <c r="A1283" t="s">
        <v>557</v>
      </c>
      <c r="B1283" t="s">
        <v>581</v>
      </c>
      <c r="C1283" t="s">
        <v>292</v>
      </c>
      <c r="D1283" t="s">
        <v>599</v>
      </c>
      <c r="E1283" s="230">
        <v>0</v>
      </c>
      <c r="F1283" t="s">
        <v>560</v>
      </c>
      <c r="G1283" t="b">
        <v>1</v>
      </c>
      <c r="H1283" t="s">
        <v>600</v>
      </c>
    </row>
    <row r="1284" spans="1:8" x14ac:dyDescent="0.3">
      <c r="A1284" t="s">
        <v>557</v>
      </c>
      <c r="B1284" t="s">
        <v>582</v>
      </c>
      <c r="C1284" t="s">
        <v>293</v>
      </c>
      <c r="D1284" t="s">
        <v>599</v>
      </c>
      <c r="E1284" s="230">
        <v>594</v>
      </c>
      <c r="F1284" t="s">
        <v>560</v>
      </c>
      <c r="G1284" t="b">
        <v>1</v>
      </c>
      <c r="H1284" t="s">
        <v>600</v>
      </c>
    </row>
    <row r="1285" spans="1:8" x14ac:dyDescent="0.3">
      <c r="A1285" t="s">
        <v>557</v>
      </c>
      <c r="B1285" t="s">
        <v>582</v>
      </c>
      <c r="C1285" t="s">
        <v>294</v>
      </c>
      <c r="D1285" t="s">
        <v>599</v>
      </c>
      <c r="E1285" s="230">
        <v>0</v>
      </c>
      <c r="F1285" t="s">
        <v>560</v>
      </c>
      <c r="G1285" t="b">
        <v>1</v>
      </c>
      <c r="H1285" t="s">
        <v>600</v>
      </c>
    </row>
    <row r="1286" spans="1:8" x14ac:dyDescent="0.3">
      <c r="A1286" t="s">
        <v>557</v>
      </c>
      <c r="B1286" t="s">
        <v>582</v>
      </c>
      <c r="C1286" t="s">
        <v>295</v>
      </c>
      <c r="D1286" t="s">
        <v>599</v>
      </c>
      <c r="E1286" s="230">
        <v>0</v>
      </c>
      <c r="F1286" t="s">
        <v>560</v>
      </c>
      <c r="G1286" t="b">
        <v>1</v>
      </c>
      <c r="H1286" t="s">
        <v>600</v>
      </c>
    </row>
    <row r="1287" spans="1:8" x14ac:dyDescent="0.3">
      <c r="A1287" t="s">
        <v>557</v>
      </c>
      <c r="B1287" t="s">
        <v>296</v>
      </c>
      <c r="C1287" t="s">
        <v>297</v>
      </c>
      <c r="D1287" t="s">
        <v>599</v>
      </c>
      <c r="E1287" s="230">
        <v>4200</v>
      </c>
      <c r="F1287" t="s">
        <v>560</v>
      </c>
      <c r="G1287" t="b">
        <v>1</v>
      </c>
      <c r="H1287" t="s">
        <v>600</v>
      </c>
    </row>
    <row r="1288" spans="1:8" x14ac:dyDescent="0.3">
      <c r="A1288" t="s">
        <v>557</v>
      </c>
      <c r="B1288" t="s">
        <v>296</v>
      </c>
      <c r="C1288" t="s">
        <v>298</v>
      </c>
      <c r="D1288" t="s">
        <v>599</v>
      </c>
      <c r="E1288" s="230">
        <v>525</v>
      </c>
      <c r="F1288" t="s">
        <v>560</v>
      </c>
      <c r="G1288" t="b">
        <v>1</v>
      </c>
      <c r="H1288" t="s">
        <v>600</v>
      </c>
    </row>
    <row r="1289" spans="1:8" x14ac:dyDescent="0.3">
      <c r="A1289" t="s">
        <v>557</v>
      </c>
      <c r="B1289" t="s">
        <v>296</v>
      </c>
      <c r="C1289" t="s">
        <v>299</v>
      </c>
      <c r="D1289" t="s">
        <v>599</v>
      </c>
      <c r="E1289" s="230">
        <v>0</v>
      </c>
      <c r="F1289" t="s">
        <v>560</v>
      </c>
      <c r="G1289" t="b">
        <v>1</v>
      </c>
      <c r="H1289" t="s">
        <v>600</v>
      </c>
    </row>
    <row r="1290" spans="1:8" x14ac:dyDescent="0.3">
      <c r="A1290" t="s">
        <v>557</v>
      </c>
      <c r="B1290" t="s">
        <v>296</v>
      </c>
      <c r="C1290" t="s">
        <v>300</v>
      </c>
      <c r="D1290" t="s">
        <v>599</v>
      </c>
      <c r="E1290" s="230">
        <v>0</v>
      </c>
      <c r="F1290" t="s">
        <v>560</v>
      </c>
      <c r="G1290" t="b">
        <v>1</v>
      </c>
      <c r="H1290" t="s">
        <v>600</v>
      </c>
    </row>
    <row r="1291" spans="1:8" x14ac:dyDescent="0.3">
      <c r="A1291" t="s">
        <v>557</v>
      </c>
      <c r="B1291" t="s">
        <v>296</v>
      </c>
      <c r="C1291" t="s">
        <v>301</v>
      </c>
      <c r="D1291" t="s">
        <v>599</v>
      </c>
      <c r="E1291" s="230">
        <v>1094</v>
      </c>
      <c r="F1291" t="s">
        <v>560</v>
      </c>
      <c r="G1291" t="b">
        <v>1</v>
      </c>
      <c r="H1291" t="s">
        <v>600</v>
      </c>
    </row>
    <row r="1292" spans="1:8" x14ac:dyDescent="0.3">
      <c r="A1292" t="s">
        <v>557</v>
      </c>
      <c r="B1292" t="s">
        <v>296</v>
      </c>
      <c r="C1292" t="s">
        <v>302</v>
      </c>
      <c r="D1292" t="s">
        <v>599</v>
      </c>
      <c r="E1292" s="230">
        <v>0</v>
      </c>
      <c r="F1292" t="s">
        <v>560</v>
      </c>
      <c r="G1292" t="b">
        <v>1</v>
      </c>
      <c r="H1292" t="s">
        <v>600</v>
      </c>
    </row>
    <row r="1293" spans="1:8" x14ac:dyDescent="0.3">
      <c r="A1293" t="s">
        <v>557</v>
      </c>
      <c r="B1293" t="s">
        <v>296</v>
      </c>
      <c r="C1293" t="s">
        <v>303</v>
      </c>
      <c r="D1293" t="s">
        <v>599</v>
      </c>
      <c r="E1293" s="230">
        <v>0</v>
      </c>
      <c r="F1293" t="s">
        <v>560</v>
      </c>
      <c r="G1293" t="b">
        <v>1</v>
      </c>
      <c r="H1293" t="s">
        <v>600</v>
      </c>
    </row>
    <row r="1294" spans="1:8" x14ac:dyDescent="0.3">
      <c r="A1294" t="s">
        <v>557</v>
      </c>
      <c r="B1294" t="s">
        <v>296</v>
      </c>
      <c r="C1294" t="s">
        <v>304</v>
      </c>
      <c r="D1294" t="s">
        <v>599</v>
      </c>
      <c r="E1294" s="230">
        <v>0</v>
      </c>
      <c r="F1294" t="s">
        <v>560</v>
      </c>
      <c r="G1294" t="b">
        <v>1</v>
      </c>
      <c r="H1294" t="s">
        <v>600</v>
      </c>
    </row>
    <row r="1295" spans="1:8" x14ac:dyDescent="0.3">
      <c r="A1295" t="s">
        <v>557</v>
      </c>
      <c r="B1295" t="s">
        <v>296</v>
      </c>
      <c r="C1295" t="s">
        <v>305</v>
      </c>
      <c r="D1295" t="s">
        <v>599</v>
      </c>
      <c r="E1295" s="230">
        <v>0</v>
      </c>
      <c r="F1295" t="s">
        <v>560</v>
      </c>
      <c r="G1295" t="b">
        <v>1</v>
      </c>
      <c r="H1295" t="s">
        <v>600</v>
      </c>
    </row>
    <row r="1296" spans="1:8" x14ac:dyDescent="0.3">
      <c r="A1296" t="s">
        <v>557</v>
      </c>
      <c r="B1296" t="s">
        <v>296</v>
      </c>
      <c r="C1296" t="s">
        <v>583</v>
      </c>
      <c r="D1296" t="s">
        <v>599</v>
      </c>
      <c r="E1296" s="230">
        <v>0</v>
      </c>
      <c r="F1296" t="s">
        <v>560</v>
      </c>
      <c r="G1296" t="b">
        <v>1</v>
      </c>
      <c r="H1296" t="s">
        <v>600</v>
      </c>
    </row>
    <row r="1297" spans="1:8" x14ac:dyDescent="0.3">
      <c r="A1297" t="s">
        <v>557</v>
      </c>
      <c r="B1297" t="s">
        <v>296</v>
      </c>
      <c r="C1297" t="s">
        <v>307</v>
      </c>
      <c r="D1297" t="s">
        <v>599</v>
      </c>
      <c r="E1297" s="230">
        <v>206.85</v>
      </c>
      <c r="F1297" t="s">
        <v>560</v>
      </c>
      <c r="G1297" t="b">
        <v>1</v>
      </c>
      <c r="H1297" t="s">
        <v>600</v>
      </c>
    </row>
    <row r="1298" spans="1:8" x14ac:dyDescent="0.3">
      <c r="A1298" t="s">
        <v>557</v>
      </c>
      <c r="B1298" t="s">
        <v>308</v>
      </c>
      <c r="C1298" t="s">
        <v>309</v>
      </c>
      <c r="D1298" t="s">
        <v>599</v>
      </c>
      <c r="E1298" s="230">
        <v>2995.34</v>
      </c>
      <c r="F1298" t="s">
        <v>560</v>
      </c>
      <c r="G1298" t="b">
        <v>1</v>
      </c>
      <c r="H1298" t="s">
        <v>600</v>
      </c>
    </row>
    <row r="1299" spans="1:8" x14ac:dyDescent="0.3">
      <c r="A1299" t="s">
        <v>557</v>
      </c>
      <c r="B1299" t="s">
        <v>308</v>
      </c>
      <c r="C1299" t="s">
        <v>310</v>
      </c>
      <c r="D1299" t="s">
        <v>599</v>
      </c>
      <c r="E1299" s="230">
        <v>0</v>
      </c>
      <c r="F1299" t="s">
        <v>560</v>
      </c>
      <c r="G1299" t="b">
        <v>1</v>
      </c>
      <c r="H1299" t="s">
        <v>600</v>
      </c>
    </row>
    <row r="1300" spans="1:8" x14ac:dyDescent="0.3">
      <c r="A1300" t="s">
        <v>557</v>
      </c>
      <c r="B1300" t="s">
        <v>308</v>
      </c>
      <c r="C1300" t="s">
        <v>311</v>
      </c>
      <c r="D1300" t="s">
        <v>599</v>
      </c>
      <c r="E1300" s="230">
        <v>1627.5</v>
      </c>
      <c r="F1300" t="s">
        <v>560</v>
      </c>
      <c r="G1300" t="b">
        <v>1</v>
      </c>
      <c r="H1300" t="s">
        <v>600</v>
      </c>
    </row>
    <row r="1301" spans="1:8" x14ac:dyDescent="0.3">
      <c r="A1301" t="s">
        <v>557</v>
      </c>
      <c r="B1301" t="s">
        <v>308</v>
      </c>
      <c r="C1301" t="s">
        <v>312</v>
      </c>
      <c r="D1301" t="s">
        <v>599</v>
      </c>
      <c r="E1301" s="230">
        <v>194.25</v>
      </c>
      <c r="F1301" t="s">
        <v>560</v>
      </c>
      <c r="G1301" t="b">
        <v>1</v>
      </c>
      <c r="H1301" t="s">
        <v>600</v>
      </c>
    </row>
    <row r="1302" spans="1:8" x14ac:dyDescent="0.3">
      <c r="A1302" t="s">
        <v>557</v>
      </c>
      <c r="B1302" t="s">
        <v>308</v>
      </c>
      <c r="C1302" t="s">
        <v>313</v>
      </c>
      <c r="D1302" t="s">
        <v>599</v>
      </c>
      <c r="E1302" s="230">
        <v>0</v>
      </c>
      <c r="F1302" t="s">
        <v>560</v>
      </c>
      <c r="G1302" t="b">
        <v>1</v>
      </c>
      <c r="H1302" t="s">
        <v>600</v>
      </c>
    </row>
    <row r="1303" spans="1:8" x14ac:dyDescent="0.3">
      <c r="A1303" t="s">
        <v>557</v>
      </c>
      <c r="B1303" t="s">
        <v>308</v>
      </c>
      <c r="C1303" t="s">
        <v>314</v>
      </c>
      <c r="D1303" t="s">
        <v>599</v>
      </c>
      <c r="E1303" s="230">
        <v>743.59</v>
      </c>
      <c r="F1303" t="s">
        <v>560</v>
      </c>
      <c r="G1303" t="b">
        <v>1</v>
      </c>
      <c r="H1303" t="s">
        <v>600</v>
      </c>
    </row>
    <row r="1304" spans="1:8" x14ac:dyDescent="0.3">
      <c r="A1304" t="s">
        <v>557</v>
      </c>
      <c r="B1304" t="s">
        <v>308</v>
      </c>
      <c r="C1304" t="s">
        <v>315</v>
      </c>
      <c r="D1304" t="s">
        <v>599</v>
      </c>
      <c r="E1304" s="230">
        <v>0</v>
      </c>
      <c r="F1304" t="s">
        <v>560</v>
      </c>
      <c r="G1304" t="b">
        <v>1</v>
      </c>
      <c r="H1304" t="s">
        <v>600</v>
      </c>
    </row>
    <row r="1305" spans="1:8" x14ac:dyDescent="0.3">
      <c r="A1305" t="s">
        <v>557</v>
      </c>
      <c r="B1305" t="s">
        <v>308</v>
      </c>
      <c r="C1305" t="s">
        <v>316</v>
      </c>
      <c r="D1305" t="s">
        <v>599</v>
      </c>
      <c r="E1305" s="230">
        <v>0</v>
      </c>
      <c r="F1305" t="s">
        <v>560</v>
      </c>
      <c r="G1305" t="b">
        <v>1</v>
      </c>
      <c r="H1305" t="s">
        <v>600</v>
      </c>
    </row>
    <row r="1306" spans="1:8" x14ac:dyDescent="0.3">
      <c r="A1306" t="s">
        <v>557</v>
      </c>
      <c r="B1306" t="s">
        <v>308</v>
      </c>
      <c r="C1306" t="s">
        <v>317</v>
      </c>
      <c r="D1306" t="s">
        <v>599</v>
      </c>
      <c r="E1306" s="230">
        <v>0</v>
      </c>
      <c r="F1306" t="s">
        <v>560</v>
      </c>
      <c r="G1306" t="b">
        <v>1</v>
      </c>
      <c r="H1306" t="s">
        <v>600</v>
      </c>
    </row>
    <row r="1307" spans="1:8" x14ac:dyDescent="0.3">
      <c r="A1307" t="s">
        <v>557</v>
      </c>
      <c r="B1307" t="s">
        <v>318</v>
      </c>
      <c r="C1307" t="s">
        <v>319</v>
      </c>
      <c r="D1307" t="s">
        <v>599</v>
      </c>
      <c r="E1307" s="230">
        <v>1770.3</v>
      </c>
      <c r="F1307" t="s">
        <v>560</v>
      </c>
      <c r="G1307" t="b">
        <v>1</v>
      </c>
      <c r="H1307" t="s">
        <v>600</v>
      </c>
    </row>
    <row r="1308" spans="1:8" x14ac:dyDescent="0.3">
      <c r="A1308" t="s">
        <v>557</v>
      </c>
      <c r="B1308" t="s">
        <v>318</v>
      </c>
      <c r="C1308" t="s">
        <v>320</v>
      </c>
      <c r="D1308" t="s">
        <v>599</v>
      </c>
      <c r="E1308" s="230">
        <v>144.44999999999999</v>
      </c>
      <c r="F1308" t="s">
        <v>560</v>
      </c>
      <c r="G1308" t="b">
        <v>1</v>
      </c>
      <c r="H1308" t="s">
        <v>600</v>
      </c>
    </row>
    <row r="1309" spans="1:8" x14ac:dyDescent="0.3">
      <c r="A1309" t="s">
        <v>557</v>
      </c>
      <c r="B1309" t="s">
        <v>318</v>
      </c>
      <c r="C1309" t="s">
        <v>321</v>
      </c>
      <c r="D1309" t="s">
        <v>599</v>
      </c>
      <c r="E1309" s="230">
        <v>210</v>
      </c>
      <c r="F1309" t="s">
        <v>560</v>
      </c>
      <c r="G1309" t="b">
        <v>1</v>
      </c>
      <c r="H1309" t="s">
        <v>600</v>
      </c>
    </row>
    <row r="1310" spans="1:8" x14ac:dyDescent="0.3">
      <c r="A1310" t="s">
        <v>557</v>
      </c>
      <c r="B1310" t="s">
        <v>318</v>
      </c>
      <c r="C1310" t="s">
        <v>322</v>
      </c>
      <c r="D1310" t="s">
        <v>599</v>
      </c>
      <c r="E1310" s="230">
        <v>0</v>
      </c>
      <c r="F1310" t="s">
        <v>560</v>
      </c>
      <c r="G1310" t="b">
        <v>1</v>
      </c>
      <c r="H1310" t="s">
        <v>600</v>
      </c>
    </row>
    <row r="1311" spans="1:8" x14ac:dyDescent="0.3">
      <c r="A1311" t="s">
        <v>557</v>
      </c>
      <c r="B1311" t="s">
        <v>323</v>
      </c>
      <c r="C1311" t="s">
        <v>324</v>
      </c>
      <c r="D1311" t="s">
        <v>599</v>
      </c>
      <c r="E1311" s="230">
        <v>0</v>
      </c>
      <c r="F1311" t="s">
        <v>560</v>
      </c>
      <c r="G1311" t="b">
        <v>1</v>
      </c>
      <c r="H1311" t="s">
        <v>600</v>
      </c>
    </row>
    <row r="1312" spans="1:8" x14ac:dyDescent="0.3">
      <c r="A1312" t="s">
        <v>557</v>
      </c>
      <c r="B1312" t="s">
        <v>323</v>
      </c>
      <c r="C1312" t="s">
        <v>325</v>
      </c>
      <c r="D1312" t="s">
        <v>599</v>
      </c>
      <c r="E1312" s="230">
        <v>0</v>
      </c>
      <c r="F1312" t="s">
        <v>560</v>
      </c>
      <c r="G1312" t="b">
        <v>1</v>
      </c>
      <c r="H1312" t="s">
        <v>600</v>
      </c>
    </row>
    <row r="1313" spans="1:8" x14ac:dyDescent="0.3">
      <c r="A1313" t="s">
        <v>557</v>
      </c>
      <c r="B1313" t="s">
        <v>323</v>
      </c>
      <c r="C1313" t="s">
        <v>326</v>
      </c>
      <c r="D1313" t="s">
        <v>599</v>
      </c>
      <c r="E1313" s="230">
        <v>23499.59</v>
      </c>
      <c r="F1313" t="s">
        <v>560</v>
      </c>
      <c r="G1313" t="b">
        <v>1</v>
      </c>
      <c r="H1313" t="s">
        <v>600</v>
      </c>
    </row>
    <row r="1314" spans="1:8" x14ac:dyDescent="0.3">
      <c r="A1314" t="s">
        <v>557</v>
      </c>
      <c r="B1314" t="s">
        <v>584</v>
      </c>
      <c r="C1314" t="s">
        <v>334</v>
      </c>
      <c r="D1314" t="s">
        <v>599</v>
      </c>
      <c r="E1314" s="230">
        <v>3100</v>
      </c>
      <c r="F1314" t="s">
        <v>560</v>
      </c>
      <c r="G1314" t="b">
        <v>1</v>
      </c>
      <c r="H1314" t="s">
        <v>600</v>
      </c>
    </row>
    <row r="1315" spans="1:8" x14ac:dyDescent="0.3">
      <c r="A1315" t="s">
        <v>557</v>
      </c>
      <c r="B1315" t="s">
        <v>584</v>
      </c>
      <c r="C1315" t="s">
        <v>336</v>
      </c>
      <c r="D1315" t="s">
        <v>599</v>
      </c>
      <c r="E1315" s="230">
        <v>0</v>
      </c>
      <c r="F1315" t="s">
        <v>560</v>
      </c>
      <c r="G1315" t="b">
        <v>1</v>
      </c>
      <c r="H1315" t="s">
        <v>600</v>
      </c>
    </row>
    <row r="1316" spans="1:8" x14ac:dyDescent="0.3">
      <c r="A1316" t="s">
        <v>557</v>
      </c>
      <c r="B1316" t="s">
        <v>558</v>
      </c>
      <c r="C1316" t="s">
        <v>13</v>
      </c>
      <c r="D1316" t="s">
        <v>601</v>
      </c>
      <c r="E1316" s="230">
        <v>199896.19</v>
      </c>
      <c r="F1316" t="s">
        <v>560</v>
      </c>
      <c r="G1316" t="b">
        <v>1</v>
      </c>
      <c r="H1316" t="s">
        <v>468</v>
      </c>
    </row>
    <row r="1317" spans="1:8" x14ac:dyDescent="0.3">
      <c r="A1317" t="s">
        <v>557</v>
      </c>
      <c r="B1317" t="s">
        <v>558</v>
      </c>
      <c r="C1317" t="s">
        <v>16</v>
      </c>
      <c r="D1317" t="s">
        <v>601</v>
      </c>
      <c r="E1317" s="230">
        <v>124279.79</v>
      </c>
      <c r="F1317" t="s">
        <v>560</v>
      </c>
      <c r="G1317" t="b">
        <v>1</v>
      </c>
      <c r="H1317" t="s">
        <v>468</v>
      </c>
    </row>
    <row r="1318" spans="1:8" x14ac:dyDescent="0.3">
      <c r="A1318" t="s">
        <v>557</v>
      </c>
      <c r="B1318" t="s">
        <v>558</v>
      </c>
      <c r="C1318" t="s">
        <v>17</v>
      </c>
      <c r="D1318" t="s">
        <v>601</v>
      </c>
      <c r="E1318" s="230">
        <v>4576.8599999999997</v>
      </c>
      <c r="F1318" t="s">
        <v>560</v>
      </c>
      <c r="G1318" t="b">
        <v>1</v>
      </c>
      <c r="H1318" t="s">
        <v>468</v>
      </c>
    </row>
    <row r="1319" spans="1:8" x14ac:dyDescent="0.3">
      <c r="A1319" t="s">
        <v>557</v>
      </c>
      <c r="B1319" t="s">
        <v>558</v>
      </c>
      <c r="C1319" t="s">
        <v>18</v>
      </c>
      <c r="D1319" t="s">
        <v>601</v>
      </c>
      <c r="E1319" s="230">
        <v>0</v>
      </c>
      <c r="F1319" t="s">
        <v>560</v>
      </c>
      <c r="G1319" t="b">
        <v>1</v>
      </c>
      <c r="H1319" t="s">
        <v>468</v>
      </c>
    </row>
    <row r="1320" spans="1:8" x14ac:dyDescent="0.3">
      <c r="A1320" t="s">
        <v>557</v>
      </c>
      <c r="B1320" t="s">
        <v>558</v>
      </c>
      <c r="C1320" t="s">
        <v>20</v>
      </c>
      <c r="D1320" t="s">
        <v>601</v>
      </c>
      <c r="E1320" s="230">
        <v>44829.93</v>
      </c>
      <c r="F1320" t="s">
        <v>560</v>
      </c>
      <c r="G1320" t="b">
        <v>1</v>
      </c>
      <c r="H1320" t="s">
        <v>468</v>
      </c>
    </row>
    <row r="1321" spans="1:8" x14ac:dyDescent="0.3">
      <c r="A1321" t="s">
        <v>557</v>
      </c>
      <c r="B1321" t="s">
        <v>558</v>
      </c>
      <c r="C1321" t="s">
        <v>29</v>
      </c>
      <c r="D1321" t="s">
        <v>601</v>
      </c>
      <c r="E1321" s="230">
        <v>23032.01</v>
      </c>
      <c r="F1321" t="s">
        <v>560</v>
      </c>
      <c r="G1321" t="b">
        <v>1</v>
      </c>
      <c r="H1321" t="s">
        <v>468</v>
      </c>
    </row>
    <row r="1322" spans="1:8" x14ac:dyDescent="0.3">
      <c r="A1322" t="s">
        <v>557</v>
      </c>
      <c r="B1322" t="s">
        <v>558</v>
      </c>
      <c r="C1322" t="s">
        <v>31</v>
      </c>
      <c r="D1322" t="s">
        <v>601</v>
      </c>
      <c r="E1322" s="230">
        <v>0</v>
      </c>
      <c r="F1322" t="s">
        <v>560</v>
      </c>
      <c r="G1322" t="b">
        <v>1</v>
      </c>
      <c r="H1322" t="s">
        <v>468</v>
      </c>
    </row>
    <row r="1323" spans="1:8" x14ac:dyDescent="0.3">
      <c r="A1323" t="s">
        <v>557</v>
      </c>
      <c r="B1323" t="s">
        <v>562</v>
      </c>
      <c r="C1323" t="s">
        <v>38</v>
      </c>
      <c r="D1323" t="s">
        <v>601</v>
      </c>
      <c r="E1323" s="230">
        <v>8104.4</v>
      </c>
      <c r="F1323" t="s">
        <v>560</v>
      </c>
      <c r="G1323" t="b">
        <v>1</v>
      </c>
      <c r="H1323" t="s">
        <v>468</v>
      </c>
    </row>
    <row r="1324" spans="1:8" x14ac:dyDescent="0.3">
      <c r="A1324" t="s">
        <v>557</v>
      </c>
      <c r="B1324" t="s">
        <v>562</v>
      </c>
      <c r="C1324" t="s">
        <v>40</v>
      </c>
      <c r="D1324" t="s">
        <v>601</v>
      </c>
      <c r="E1324" s="230">
        <v>6418.68</v>
      </c>
      <c r="F1324" t="s">
        <v>560</v>
      </c>
      <c r="G1324" t="b">
        <v>1</v>
      </c>
      <c r="H1324" t="s">
        <v>468</v>
      </c>
    </row>
    <row r="1325" spans="1:8" x14ac:dyDescent="0.3">
      <c r="A1325" t="s">
        <v>557</v>
      </c>
      <c r="B1325" t="s">
        <v>562</v>
      </c>
      <c r="C1325" t="s">
        <v>42</v>
      </c>
      <c r="D1325" t="s">
        <v>601</v>
      </c>
      <c r="E1325" s="230">
        <v>810.44</v>
      </c>
      <c r="F1325" t="s">
        <v>560</v>
      </c>
      <c r="G1325" t="b">
        <v>1</v>
      </c>
      <c r="H1325" t="s">
        <v>468</v>
      </c>
    </row>
    <row r="1326" spans="1:8" x14ac:dyDescent="0.3">
      <c r="A1326" t="s">
        <v>557</v>
      </c>
      <c r="B1326" t="s">
        <v>563</v>
      </c>
      <c r="C1326" t="s">
        <v>46</v>
      </c>
      <c r="D1326" t="s">
        <v>601</v>
      </c>
      <c r="E1326" s="230">
        <v>15476.12</v>
      </c>
      <c r="F1326" t="s">
        <v>560</v>
      </c>
      <c r="G1326" t="b">
        <v>1</v>
      </c>
      <c r="H1326" t="s">
        <v>468</v>
      </c>
    </row>
    <row r="1327" spans="1:8" x14ac:dyDescent="0.3">
      <c r="A1327" t="s">
        <v>557</v>
      </c>
      <c r="B1327" t="s">
        <v>563</v>
      </c>
      <c r="C1327" t="s">
        <v>48</v>
      </c>
      <c r="D1327" t="s">
        <v>601</v>
      </c>
      <c r="E1327" s="230">
        <v>16520.59</v>
      </c>
      <c r="F1327" t="s">
        <v>560</v>
      </c>
      <c r="G1327" t="b">
        <v>1</v>
      </c>
      <c r="H1327" t="s">
        <v>468</v>
      </c>
    </row>
    <row r="1328" spans="1:8" x14ac:dyDescent="0.3">
      <c r="A1328" t="s">
        <v>557</v>
      </c>
      <c r="B1328" t="s">
        <v>563</v>
      </c>
      <c r="C1328" t="s">
        <v>49</v>
      </c>
      <c r="D1328" t="s">
        <v>601</v>
      </c>
      <c r="E1328" s="230">
        <v>1375.45</v>
      </c>
      <c r="F1328" t="s">
        <v>560</v>
      </c>
      <c r="G1328" t="b">
        <v>1</v>
      </c>
      <c r="H1328" t="s">
        <v>468</v>
      </c>
    </row>
    <row r="1329" spans="1:8" x14ac:dyDescent="0.3">
      <c r="A1329" t="s">
        <v>557</v>
      </c>
      <c r="B1329" t="s">
        <v>564</v>
      </c>
      <c r="C1329" t="s">
        <v>565</v>
      </c>
      <c r="D1329" t="s">
        <v>601</v>
      </c>
      <c r="E1329" s="230">
        <v>96613.759999999995</v>
      </c>
      <c r="F1329" t="s">
        <v>560</v>
      </c>
      <c r="G1329" t="b">
        <v>1</v>
      </c>
      <c r="H1329" t="s">
        <v>468</v>
      </c>
    </row>
    <row r="1330" spans="1:8" x14ac:dyDescent="0.3">
      <c r="A1330" t="s">
        <v>557</v>
      </c>
      <c r="B1330" t="s">
        <v>564</v>
      </c>
      <c r="C1330" t="s">
        <v>566</v>
      </c>
      <c r="D1330" t="s">
        <v>601</v>
      </c>
      <c r="E1330" s="230">
        <v>26098.75</v>
      </c>
      <c r="F1330" t="s">
        <v>560</v>
      </c>
      <c r="G1330" t="b">
        <v>1</v>
      </c>
      <c r="H1330" t="s">
        <v>468</v>
      </c>
    </row>
    <row r="1331" spans="1:8" x14ac:dyDescent="0.3">
      <c r="A1331" t="s">
        <v>557</v>
      </c>
      <c r="B1331" t="s">
        <v>564</v>
      </c>
      <c r="C1331" t="s">
        <v>567</v>
      </c>
      <c r="D1331" t="s">
        <v>601</v>
      </c>
      <c r="E1331" s="230">
        <v>690.96</v>
      </c>
      <c r="F1331" t="s">
        <v>560</v>
      </c>
      <c r="G1331" t="b">
        <v>1</v>
      </c>
      <c r="H1331" t="s">
        <v>468</v>
      </c>
    </row>
    <row r="1332" spans="1:8" x14ac:dyDescent="0.3">
      <c r="A1332" t="s">
        <v>557</v>
      </c>
      <c r="B1332" t="s">
        <v>564</v>
      </c>
      <c r="C1332" t="s">
        <v>568</v>
      </c>
      <c r="D1332" t="s">
        <v>601</v>
      </c>
      <c r="E1332" s="230">
        <v>0</v>
      </c>
      <c r="F1332" t="s">
        <v>560</v>
      </c>
      <c r="G1332" t="b">
        <v>1</v>
      </c>
      <c r="H1332" t="s">
        <v>468</v>
      </c>
    </row>
    <row r="1333" spans="1:8" x14ac:dyDescent="0.3">
      <c r="A1333" t="s">
        <v>557</v>
      </c>
      <c r="B1333" t="s">
        <v>569</v>
      </c>
      <c r="C1333" t="s">
        <v>58</v>
      </c>
      <c r="D1333" t="s">
        <v>601</v>
      </c>
      <c r="E1333" s="230">
        <v>3066.5</v>
      </c>
      <c r="F1333" t="s">
        <v>560</v>
      </c>
      <c r="G1333" t="b">
        <v>1</v>
      </c>
      <c r="H1333" t="s">
        <v>468</v>
      </c>
    </row>
    <row r="1334" spans="1:8" x14ac:dyDescent="0.3">
      <c r="A1334" t="s">
        <v>557</v>
      </c>
      <c r="B1334" t="s">
        <v>569</v>
      </c>
      <c r="C1334" t="s">
        <v>59</v>
      </c>
      <c r="D1334" t="s">
        <v>601</v>
      </c>
      <c r="E1334" s="230">
        <v>457.69</v>
      </c>
      <c r="F1334" t="s">
        <v>560</v>
      </c>
      <c r="G1334" t="b">
        <v>1</v>
      </c>
      <c r="H1334" t="s">
        <v>468</v>
      </c>
    </row>
    <row r="1335" spans="1:8" x14ac:dyDescent="0.3">
      <c r="A1335" t="s">
        <v>557</v>
      </c>
      <c r="B1335" t="s">
        <v>569</v>
      </c>
      <c r="C1335" t="s">
        <v>62</v>
      </c>
      <c r="D1335" t="s">
        <v>601</v>
      </c>
      <c r="E1335" s="230">
        <v>0</v>
      </c>
      <c r="F1335" t="s">
        <v>560</v>
      </c>
      <c r="G1335" t="b">
        <v>1</v>
      </c>
      <c r="H1335" t="s">
        <v>468</v>
      </c>
    </row>
    <row r="1336" spans="1:8" x14ac:dyDescent="0.3">
      <c r="A1336" t="s">
        <v>557</v>
      </c>
      <c r="B1336" t="s">
        <v>570</v>
      </c>
      <c r="C1336" t="s">
        <v>64</v>
      </c>
      <c r="D1336" t="s">
        <v>601</v>
      </c>
      <c r="E1336" s="230">
        <v>0</v>
      </c>
      <c r="F1336" t="s">
        <v>560</v>
      </c>
      <c r="G1336" t="b">
        <v>1</v>
      </c>
      <c r="H1336" t="s">
        <v>468</v>
      </c>
    </row>
    <row r="1337" spans="1:8" x14ac:dyDescent="0.3">
      <c r="A1337" t="s">
        <v>557</v>
      </c>
      <c r="B1337" t="s">
        <v>569</v>
      </c>
      <c r="C1337" t="s">
        <v>66</v>
      </c>
      <c r="D1337" t="s">
        <v>601</v>
      </c>
      <c r="E1337" s="230">
        <v>0</v>
      </c>
      <c r="F1337" t="s">
        <v>560</v>
      </c>
      <c r="G1337" t="b">
        <v>1</v>
      </c>
      <c r="H1337" t="s">
        <v>468</v>
      </c>
    </row>
    <row r="1338" spans="1:8" x14ac:dyDescent="0.3">
      <c r="A1338" t="s">
        <v>557</v>
      </c>
      <c r="B1338" t="s">
        <v>569</v>
      </c>
      <c r="C1338" t="s">
        <v>68</v>
      </c>
      <c r="D1338" t="s">
        <v>601</v>
      </c>
      <c r="E1338" s="230">
        <v>1601.9</v>
      </c>
      <c r="F1338" t="s">
        <v>560</v>
      </c>
      <c r="G1338" t="b">
        <v>1</v>
      </c>
      <c r="H1338" t="s">
        <v>468</v>
      </c>
    </row>
    <row r="1339" spans="1:8" x14ac:dyDescent="0.3">
      <c r="A1339" t="s">
        <v>557</v>
      </c>
      <c r="B1339" t="s">
        <v>569</v>
      </c>
      <c r="C1339" t="s">
        <v>69</v>
      </c>
      <c r="D1339" t="s">
        <v>601</v>
      </c>
      <c r="E1339" s="230">
        <v>0</v>
      </c>
      <c r="F1339" t="s">
        <v>560</v>
      </c>
      <c r="G1339" t="b">
        <v>1</v>
      </c>
      <c r="H1339" t="s">
        <v>468</v>
      </c>
    </row>
    <row r="1340" spans="1:8" x14ac:dyDescent="0.3">
      <c r="A1340" t="s">
        <v>557</v>
      </c>
      <c r="B1340" t="s">
        <v>570</v>
      </c>
      <c r="C1340" t="s">
        <v>73</v>
      </c>
      <c r="D1340" t="s">
        <v>601</v>
      </c>
      <c r="E1340" s="230">
        <v>4000</v>
      </c>
      <c r="F1340" t="s">
        <v>560</v>
      </c>
      <c r="G1340" t="b">
        <v>1</v>
      </c>
      <c r="H1340" t="s">
        <v>468</v>
      </c>
    </row>
    <row r="1341" spans="1:8" x14ac:dyDescent="0.3">
      <c r="A1341" t="s">
        <v>557</v>
      </c>
      <c r="B1341" t="s">
        <v>571</v>
      </c>
      <c r="C1341" t="s">
        <v>75</v>
      </c>
      <c r="D1341" t="s">
        <v>601</v>
      </c>
      <c r="E1341" s="230">
        <v>1331.09</v>
      </c>
      <c r="F1341" t="s">
        <v>560</v>
      </c>
      <c r="G1341" t="b">
        <v>1</v>
      </c>
      <c r="H1341" t="s">
        <v>468</v>
      </c>
    </row>
    <row r="1342" spans="1:8" x14ac:dyDescent="0.3">
      <c r="A1342" t="s">
        <v>557</v>
      </c>
      <c r="B1342" t="s">
        <v>571</v>
      </c>
      <c r="C1342" t="s">
        <v>78</v>
      </c>
      <c r="D1342" t="s">
        <v>601</v>
      </c>
      <c r="E1342" s="230">
        <v>1419.82</v>
      </c>
      <c r="F1342" t="s">
        <v>560</v>
      </c>
      <c r="G1342" t="b">
        <v>1</v>
      </c>
      <c r="H1342" t="s">
        <v>468</v>
      </c>
    </row>
    <row r="1343" spans="1:8" x14ac:dyDescent="0.3">
      <c r="A1343" t="s">
        <v>557</v>
      </c>
      <c r="B1343" t="s">
        <v>571</v>
      </c>
      <c r="C1343" t="s">
        <v>80</v>
      </c>
      <c r="D1343" t="s">
        <v>601</v>
      </c>
      <c r="E1343" s="230">
        <v>443.7</v>
      </c>
      <c r="F1343" t="s">
        <v>560</v>
      </c>
      <c r="G1343" t="b">
        <v>1</v>
      </c>
      <c r="H1343" t="s">
        <v>468</v>
      </c>
    </row>
    <row r="1344" spans="1:8" x14ac:dyDescent="0.3">
      <c r="A1344" t="s">
        <v>557</v>
      </c>
      <c r="B1344" t="s">
        <v>571</v>
      </c>
      <c r="C1344" t="s">
        <v>82</v>
      </c>
      <c r="D1344" t="s">
        <v>601</v>
      </c>
      <c r="E1344" s="230">
        <v>0</v>
      </c>
      <c r="F1344" t="s">
        <v>560</v>
      </c>
      <c r="G1344" t="b">
        <v>1</v>
      </c>
      <c r="H1344" t="s">
        <v>468</v>
      </c>
    </row>
    <row r="1345" spans="1:8" x14ac:dyDescent="0.3">
      <c r="A1345" t="s">
        <v>557</v>
      </c>
      <c r="B1345" t="s">
        <v>571</v>
      </c>
      <c r="C1345" t="s">
        <v>84</v>
      </c>
      <c r="D1345" t="s">
        <v>601</v>
      </c>
      <c r="E1345" s="230">
        <v>0</v>
      </c>
      <c r="F1345" t="s">
        <v>560</v>
      </c>
      <c r="G1345" t="b">
        <v>1</v>
      </c>
      <c r="H1345" t="s">
        <v>468</v>
      </c>
    </row>
    <row r="1346" spans="1:8" x14ac:dyDescent="0.3">
      <c r="A1346" t="s">
        <v>557</v>
      </c>
      <c r="B1346" t="s">
        <v>571</v>
      </c>
      <c r="C1346" t="s">
        <v>86</v>
      </c>
      <c r="D1346" t="s">
        <v>601</v>
      </c>
      <c r="E1346" s="230">
        <v>0</v>
      </c>
      <c r="F1346" t="s">
        <v>560</v>
      </c>
      <c r="G1346" t="b">
        <v>1</v>
      </c>
      <c r="H1346" t="s">
        <v>468</v>
      </c>
    </row>
    <row r="1347" spans="1:8" x14ac:dyDescent="0.3">
      <c r="A1347" t="s">
        <v>557</v>
      </c>
      <c r="B1347" t="s">
        <v>571</v>
      </c>
      <c r="C1347" t="s">
        <v>87</v>
      </c>
      <c r="D1347" t="s">
        <v>601</v>
      </c>
      <c r="E1347" s="230">
        <v>0</v>
      </c>
      <c r="F1347" t="s">
        <v>560</v>
      </c>
      <c r="G1347" t="b">
        <v>1</v>
      </c>
      <c r="H1347" t="s">
        <v>468</v>
      </c>
    </row>
    <row r="1348" spans="1:8" x14ac:dyDescent="0.3">
      <c r="A1348" t="s">
        <v>557</v>
      </c>
      <c r="B1348" t="s">
        <v>571</v>
      </c>
      <c r="C1348" t="s">
        <v>88</v>
      </c>
      <c r="D1348" t="s">
        <v>601</v>
      </c>
      <c r="E1348" s="230">
        <v>0</v>
      </c>
      <c r="F1348" t="s">
        <v>560</v>
      </c>
      <c r="G1348" t="b">
        <v>1</v>
      </c>
      <c r="H1348" t="s">
        <v>468</v>
      </c>
    </row>
    <row r="1349" spans="1:8" x14ac:dyDescent="0.3">
      <c r="A1349" t="s">
        <v>557</v>
      </c>
      <c r="B1349" t="s">
        <v>571</v>
      </c>
      <c r="C1349" t="s">
        <v>89</v>
      </c>
      <c r="D1349" t="s">
        <v>601</v>
      </c>
      <c r="E1349" s="230">
        <v>0</v>
      </c>
      <c r="F1349" t="s">
        <v>560</v>
      </c>
      <c r="G1349" t="b">
        <v>1</v>
      </c>
      <c r="H1349" t="s">
        <v>468</v>
      </c>
    </row>
    <row r="1350" spans="1:8" x14ac:dyDescent="0.3">
      <c r="A1350" t="s">
        <v>557</v>
      </c>
      <c r="B1350" t="s">
        <v>571</v>
      </c>
      <c r="C1350" t="s">
        <v>91</v>
      </c>
      <c r="D1350" t="s">
        <v>601</v>
      </c>
      <c r="E1350" s="230">
        <v>0</v>
      </c>
      <c r="F1350" t="s">
        <v>560</v>
      </c>
      <c r="G1350" t="b">
        <v>1</v>
      </c>
      <c r="H1350" t="s">
        <v>468</v>
      </c>
    </row>
    <row r="1351" spans="1:8" x14ac:dyDescent="0.3">
      <c r="A1351" t="s">
        <v>557</v>
      </c>
      <c r="B1351" t="s">
        <v>571</v>
      </c>
      <c r="C1351" t="s">
        <v>93</v>
      </c>
      <c r="D1351" t="s">
        <v>601</v>
      </c>
      <c r="E1351" s="230">
        <v>0</v>
      </c>
      <c r="F1351" t="s">
        <v>560</v>
      </c>
      <c r="G1351" t="b">
        <v>1</v>
      </c>
      <c r="H1351" t="s">
        <v>468</v>
      </c>
    </row>
    <row r="1352" spans="1:8" x14ac:dyDescent="0.3">
      <c r="A1352" t="s">
        <v>557</v>
      </c>
      <c r="B1352" t="s">
        <v>571</v>
      </c>
      <c r="C1352" t="s">
        <v>96</v>
      </c>
      <c r="D1352" t="s">
        <v>601</v>
      </c>
      <c r="E1352" s="230">
        <v>0</v>
      </c>
      <c r="F1352" t="s">
        <v>560</v>
      </c>
      <c r="G1352" t="b">
        <v>1</v>
      </c>
      <c r="H1352" t="s">
        <v>468</v>
      </c>
    </row>
    <row r="1353" spans="1:8" x14ac:dyDescent="0.3">
      <c r="A1353" t="s">
        <v>557</v>
      </c>
      <c r="B1353" t="s">
        <v>571</v>
      </c>
      <c r="C1353" t="s">
        <v>98</v>
      </c>
      <c r="D1353" t="s">
        <v>601</v>
      </c>
      <c r="E1353" s="230">
        <v>0</v>
      </c>
      <c r="F1353" t="s">
        <v>560</v>
      </c>
      <c r="G1353" t="b">
        <v>1</v>
      </c>
      <c r="H1353" t="s">
        <v>468</v>
      </c>
    </row>
    <row r="1354" spans="1:8" x14ac:dyDescent="0.3">
      <c r="A1354" t="s">
        <v>557</v>
      </c>
      <c r="B1354" t="s">
        <v>571</v>
      </c>
      <c r="C1354" t="s">
        <v>100</v>
      </c>
      <c r="D1354" t="s">
        <v>601</v>
      </c>
      <c r="E1354" s="230">
        <v>0</v>
      </c>
      <c r="F1354" t="s">
        <v>560</v>
      </c>
      <c r="G1354" t="b">
        <v>1</v>
      </c>
      <c r="H1354" t="s">
        <v>468</v>
      </c>
    </row>
    <row r="1355" spans="1:8" x14ac:dyDescent="0.3">
      <c r="A1355" t="s">
        <v>557</v>
      </c>
      <c r="B1355" t="s">
        <v>571</v>
      </c>
      <c r="C1355" t="s">
        <v>102</v>
      </c>
      <c r="D1355" t="s">
        <v>601</v>
      </c>
      <c r="E1355" s="230">
        <v>0</v>
      </c>
      <c r="F1355" t="s">
        <v>560</v>
      </c>
      <c r="G1355" t="b">
        <v>1</v>
      </c>
      <c r="H1355" t="s">
        <v>468</v>
      </c>
    </row>
    <row r="1356" spans="1:8" x14ac:dyDescent="0.3">
      <c r="A1356" t="s">
        <v>557</v>
      </c>
      <c r="B1356" t="s">
        <v>571</v>
      </c>
      <c r="C1356" t="s">
        <v>103</v>
      </c>
      <c r="D1356" t="s">
        <v>601</v>
      </c>
      <c r="E1356" s="230">
        <v>0</v>
      </c>
      <c r="F1356" t="s">
        <v>560</v>
      </c>
      <c r="G1356" t="b">
        <v>1</v>
      </c>
      <c r="H1356" t="s">
        <v>468</v>
      </c>
    </row>
    <row r="1357" spans="1:8" x14ac:dyDescent="0.3">
      <c r="A1357" t="s">
        <v>557</v>
      </c>
      <c r="B1357" t="s">
        <v>571</v>
      </c>
      <c r="C1357" t="s">
        <v>104</v>
      </c>
      <c r="D1357" t="s">
        <v>601</v>
      </c>
      <c r="E1357" s="230">
        <v>0</v>
      </c>
      <c r="F1357" t="s">
        <v>560</v>
      </c>
      <c r="G1357" t="b">
        <v>1</v>
      </c>
      <c r="H1357" t="s">
        <v>468</v>
      </c>
    </row>
    <row r="1358" spans="1:8" x14ac:dyDescent="0.3">
      <c r="A1358" t="s">
        <v>557</v>
      </c>
      <c r="B1358" t="s">
        <v>571</v>
      </c>
      <c r="C1358" t="s">
        <v>105</v>
      </c>
      <c r="D1358" t="s">
        <v>601</v>
      </c>
      <c r="E1358" s="230">
        <v>0</v>
      </c>
      <c r="F1358" t="s">
        <v>560</v>
      </c>
      <c r="G1358" t="b">
        <v>1</v>
      </c>
      <c r="H1358" t="s">
        <v>468</v>
      </c>
    </row>
    <row r="1359" spans="1:8" x14ac:dyDescent="0.3">
      <c r="A1359" t="s">
        <v>557</v>
      </c>
      <c r="B1359" t="s">
        <v>571</v>
      </c>
      <c r="C1359" t="s">
        <v>108</v>
      </c>
      <c r="D1359" t="s">
        <v>601</v>
      </c>
      <c r="E1359" s="230">
        <v>0</v>
      </c>
      <c r="F1359" t="s">
        <v>560</v>
      </c>
      <c r="G1359" t="b">
        <v>1</v>
      </c>
      <c r="H1359" t="s">
        <v>468</v>
      </c>
    </row>
    <row r="1360" spans="1:8" x14ac:dyDescent="0.3">
      <c r="A1360" t="s">
        <v>557</v>
      </c>
      <c r="B1360" t="s">
        <v>571</v>
      </c>
      <c r="C1360" t="s">
        <v>109</v>
      </c>
      <c r="D1360" t="s">
        <v>601</v>
      </c>
      <c r="E1360" s="230">
        <v>0</v>
      </c>
      <c r="F1360" t="s">
        <v>560</v>
      </c>
      <c r="G1360" t="b">
        <v>1</v>
      </c>
      <c r="H1360" t="s">
        <v>468</v>
      </c>
    </row>
    <row r="1361" spans="1:8" x14ac:dyDescent="0.3">
      <c r="A1361" t="s">
        <v>557</v>
      </c>
      <c r="B1361" t="s">
        <v>572</v>
      </c>
      <c r="C1361" t="s">
        <v>112</v>
      </c>
      <c r="D1361" t="s">
        <v>601</v>
      </c>
      <c r="E1361" s="230">
        <v>37661.39</v>
      </c>
      <c r="F1361" t="s">
        <v>560</v>
      </c>
      <c r="G1361" t="b">
        <v>1</v>
      </c>
      <c r="H1361" t="s">
        <v>468</v>
      </c>
    </row>
    <row r="1362" spans="1:8" x14ac:dyDescent="0.3">
      <c r="A1362" t="s">
        <v>557</v>
      </c>
      <c r="B1362" t="s">
        <v>562</v>
      </c>
      <c r="C1362" t="s">
        <v>116</v>
      </c>
      <c r="D1362" t="s">
        <v>601</v>
      </c>
      <c r="E1362" s="230">
        <v>8251.01</v>
      </c>
      <c r="F1362" t="s">
        <v>560</v>
      </c>
      <c r="G1362" t="b">
        <v>1</v>
      </c>
      <c r="H1362" t="s">
        <v>468</v>
      </c>
    </row>
    <row r="1363" spans="1:8" x14ac:dyDescent="0.3">
      <c r="A1363" t="s">
        <v>557</v>
      </c>
      <c r="B1363" t="s">
        <v>562</v>
      </c>
      <c r="C1363" t="s">
        <v>118</v>
      </c>
      <c r="D1363" t="s">
        <v>601</v>
      </c>
      <c r="E1363" s="230">
        <v>5988.32</v>
      </c>
      <c r="F1363" t="s">
        <v>560</v>
      </c>
      <c r="G1363" t="b">
        <v>1</v>
      </c>
      <c r="H1363" t="s">
        <v>468</v>
      </c>
    </row>
    <row r="1364" spans="1:8" x14ac:dyDescent="0.3">
      <c r="A1364" t="s">
        <v>557</v>
      </c>
      <c r="B1364" t="s">
        <v>562</v>
      </c>
      <c r="C1364" t="s">
        <v>120</v>
      </c>
      <c r="D1364" t="s">
        <v>601</v>
      </c>
      <c r="E1364" s="230">
        <v>0</v>
      </c>
      <c r="F1364" t="s">
        <v>560</v>
      </c>
      <c r="G1364" t="b">
        <v>1</v>
      </c>
      <c r="H1364" t="s">
        <v>468</v>
      </c>
    </row>
    <row r="1365" spans="1:8" x14ac:dyDescent="0.3">
      <c r="A1365" t="s">
        <v>557</v>
      </c>
      <c r="B1365" t="s">
        <v>562</v>
      </c>
      <c r="C1365" t="s">
        <v>122</v>
      </c>
      <c r="D1365" t="s">
        <v>601</v>
      </c>
      <c r="E1365" s="230">
        <v>0</v>
      </c>
      <c r="F1365" t="s">
        <v>560</v>
      </c>
      <c r="G1365" t="b">
        <v>1</v>
      </c>
      <c r="H1365" t="s">
        <v>468</v>
      </c>
    </row>
    <row r="1366" spans="1:8" x14ac:dyDescent="0.3">
      <c r="A1366" t="s">
        <v>557</v>
      </c>
      <c r="B1366" t="s">
        <v>570</v>
      </c>
      <c r="C1366" t="s">
        <v>573</v>
      </c>
      <c r="D1366" t="s">
        <v>601</v>
      </c>
      <c r="E1366" s="230">
        <v>33850</v>
      </c>
      <c r="F1366" t="s">
        <v>560</v>
      </c>
      <c r="G1366" t="b">
        <v>1</v>
      </c>
      <c r="H1366" t="s">
        <v>468</v>
      </c>
    </row>
    <row r="1367" spans="1:8" x14ac:dyDescent="0.3">
      <c r="A1367" t="s">
        <v>557</v>
      </c>
      <c r="B1367" t="s">
        <v>574</v>
      </c>
      <c r="C1367" t="s">
        <v>575</v>
      </c>
      <c r="D1367" t="s">
        <v>601</v>
      </c>
      <c r="E1367" s="230">
        <v>36515.129999999997</v>
      </c>
      <c r="F1367" t="s">
        <v>560</v>
      </c>
      <c r="G1367" t="b">
        <v>1</v>
      </c>
      <c r="H1367" t="s">
        <v>468</v>
      </c>
    </row>
    <row r="1368" spans="1:8" x14ac:dyDescent="0.3">
      <c r="A1368" t="s">
        <v>557</v>
      </c>
      <c r="B1368" t="s">
        <v>576</v>
      </c>
      <c r="C1368" t="s">
        <v>203</v>
      </c>
      <c r="D1368" t="s">
        <v>601</v>
      </c>
      <c r="E1368" s="230">
        <v>14560.61</v>
      </c>
      <c r="F1368" t="s">
        <v>560</v>
      </c>
      <c r="G1368" t="b">
        <v>1</v>
      </c>
      <c r="H1368" t="s">
        <v>468</v>
      </c>
    </row>
    <row r="1369" spans="1:8" x14ac:dyDescent="0.3">
      <c r="A1369" t="s">
        <v>557</v>
      </c>
      <c r="B1369" t="s">
        <v>577</v>
      </c>
      <c r="C1369" t="s">
        <v>206</v>
      </c>
      <c r="D1369" t="s">
        <v>601</v>
      </c>
      <c r="E1369" s="230">
        <v>5344.19</v>
      </c>
      <c r="F1369" t="s">
        <v>560</v>
      </c>
      <c r="G1369" t="b">
        <v>1</v>
      </c>
      <c r="H1369" t="s">
        <v>468</v>
      </c>
    </row>
    <row r="1370" spans="1:8" x14ac:dyDescent="0.3">
      <c r="A1370" t="s">
        <v>557</v>
      </c>
      <c r="B1370" t="s">
        <v>577</v>
      </c>
      <c r="C1370" t="s">
        <v>209</v>
      </c>
      <c r="D1370" t="s">
        <v>601</v>
      </c>
      <c r="E1370" s="230">
        <v>0</v>
      </c>
      <c r="F1370" t="s">
        <v>560</v>
      </c>
      <c r="G1370" t="b">
        <v>1</v>
      </c>
      <c r="H1370" t="s">
        <v>468</v>
      </c>
    </row>
    <row r="1371" spans="1:8" x14ac:dyDescent="0.3">
      <c r="A1371" t="s">
        <v>557</v>
      </c>
      <c r="B1371" t="s">
        <v>577</v>
      </c>
      <c r="C1371" t="s">
        <v>211</v>
      </c>
      <c r="D1371" t="s">
        <v>601</v>
      </c>
      <c r="E1371" s="230">
        <v>0</v>
      </c>
      <c r="F1371" t="s">
        <v>560</v>
      </c>
      <c r="G1371" t="b">
        <v>1</v>
      </c>
      <c r="H1371" t="s">
        <v>468</v>
      </c>
    </row>
    <row r="1372" spans="1:8" x14ac:dyDescent="0.3">
      <c r="A1372" t="s">
        <v>557</v>
      </c>
      <c r="B1372" t="s">
        <v>577</v>
      </c>
      <c r="C1372" t="s">
        <v>213</v>
      </c>
      <c r="D1372" t="s">
        <v>601</v>
      </c>
      <c r="E1372" s="230">
        <v>3303.14</v>
      </c>
      <c r="F1372" t="s">
        <v>560</v>
      </c>
      <c r="G1372" t="b">
        <v>1</v>
      </c>
      <c r="H1372" t="s">
        <v>468</v>
      </c>
    </row>
    <row r="1373" spans="1:8" x14ac:dyDescent="0.3">
      <c r="A1373" t="s">
        <v>557</v>
      </c>
      <c r="B1373" t="s">
        <v>577</v>
      </c>
      <c r="C1373" t="s">
        <v>215</v>
      </c>
      <c r="D1373" t="s">
        <v>601</v>
      </c>
      <c r="E1373" s="230">
        <v>2058.4</v>
      </c>
      <c r="F1373" t="s">
        <v>560</v>
      </c>
      <c r="G1373" t="b">
        <v>1</v>
      </c>
      <c r="H1373" t="s">
        <v>468</v>
      </c>
    </row>
    <row r="1374" spans="1:8" x14ac:dyDescent="0.3">
      <c r="A1374" t="s">
        <v>557</v>
      </c>
      <c r="B1374" t="s">
        <v>577</v>
      </c>
      <c r="C1374" t="s">
        <v>217</v>
      </c>
      <c r="D1374" t="s">
        <v>601</v>
      </c>
      <c r="E1374" s="230">
        <v>29.4</v>
      </c>
      <c r="F1374" t="s">
        <v>560</v>
      </c>
      <c r="G1374" t="b">
        <v>1</v>
      </c>
      <c r="H1374" t="s">
        <v>468</v>
      </c>
    </row>
    <row r="1375" spans="1:8" x14ac:dyDescent="0.3">
      <c r="A1375" t="s">
        <v>557</v>
      </c>
      <c r="B1375" t="s">
        <v>577</v>
      </c>
      <c r="C1375" t="s">
        <v>219</v>
      </c>
      <c r="D1375" t="s">
        <v>601</v>
      </c>
      <c r="E1375" s="230">
        <v>18.32</v>
      </c>
      <c r="F1375" t="s">
        <v>560</v>
      </c>
      <c r="G1375" t="b">
        <v>1</v>
      </c>
      <c r="H1375" t="s">
        <v>468</v>
      </c>
    </row>
    <row r="1376" spans="1:8" x14ac:dyDescent="0.3">
      <c r="A1376" t="s">
        <v>557</v>
      </c>
      <c r="B1376" t="s">
        <v>577</v>
      </c>
      <c r="C1376" t="s">
        <v>221</v>
      </c>
      <c r="D1376" t="s">
        <v>601</v>
      </c>
      <c r="E1376" s="230">
        <v>0</v>
      </c>
      <c r="F1376" t="s">
        <v>560</v>
      </c>
      <c r="G1376" t="b">
        <v>1</v>
      </c>
      <c r="H1376" t="s">
        <v>468</v>
      </c>
    </row>
    <row r="1377" spans="1:8" x14ac:dyDescent="0.3">
      <c r="A1377" t="s">
        <v>557</v>
      </c>
      <c r="B1377" t="s">
        <v>577</v>
      </c>
      <c r="C1377" t="s">
        <v>223</v>
      </c>
      <c r="D1377" t="s">
        <v>601</v>
      </c>
      <c r="E1377" s="230">
        <v>0</v>
      </c>
      <c r="F1377" t="s">
        <v>560</v>
      </c>
      <c r="G1377" t="b">
        <v>1</v>
      </c>
      <c r="H1377" t="s">
        <v>468</v>
      </c>
    </row>
    <row r="1378" spans="1:8" x14ac:dyDescent="0.3">
      <c r="A1378" t="s">
        <v>557</v>
      </c>
      <c r="B1378" t="s">
        <v>577</v>
      </c>
      <c r="C1378" t="s">
        <v>225</v>
      </c>
      <c r="D1378" t="s">
        <v>601</v>
      </c>
      <c r="E1378" s="230">
        <v>1112.6500000000001</v>
      </c>
      <c r="F1378" t="s">
        <v>560</v>
      </c>
      <c r="G1378" t="b">
        <v>1</v>
      </c>
      <c r="H1378" t="s">
        <v>468</v>
      </c>
    </row>
    <row r="1379" spans="1:8" x14ac:dyDescent="0.3">
      <c r="A1379" t="s">
        <v>557</v>
      </c>
      <c r="B1379" t="s">
        <v>577</v>
      </c>
      <c r="C1379" t="s">
        <v>227</v>
      </c>
      <c r="D1379" t="s">
        <v>601</v>
      </c>
      <c r="E1379" s="230">
        <v>0</v>
      </c>
      <c r="F1379" t="s">
        <v>560</v>
      </c>
      <c r="G1379" t="b">
        <v>1</v>
      </c>
      <c r="H1379" t="s">
        <v>468</v>
      </c>
    </row>
    <row r="1380" spans="1:8" x14ac:dyDescent="0.3">
      <c r="A1380" t="s">
        <v>557</v>
      </c>
      <c r="B1380" t="s">
        <v>577</v>
      </c>
      <c r="C1380" t="s">
        <v>229</v>
      </c>
      <c r="D1380" t="s">
        <v>601</v>
      </c>
      <c r="E1380" s="230">
        <v>1833.34</v>
      </c>
      <c r="F1380" t="s">
        <v>560</v>
      </c>
      <c r="G1380" t="b">
        <v>1</v>
      </c>
      <c r="H1380" t="s">
        <v>468</v>
      </c>
    </row>
    <row r="1381" spans="1:8" x14ac:dyDescent="0.3">
      <c r="A1381" t="s">
        <v>557</v>
      </c>
      <c r="B1381" t="s">
        <v>577</v>
      </c>
      <c r="C1381" t="s">
        <v>231</v>
      </c>
      <c r="D1381" t="s">
        <v>601</v>
      </c>
      <c r="E1381" s="230">
        <v>1921.85</v>
      </c>
      <c r="F1381" t="s">
        <v>560</v>
      </c>
      <c r="G1381" t="b">
        <v>1</v>
      </c>
      <c r="H1381" t="s">
        <v>468</v>
      </c>
    </row>
    <row r="1382" spans="1:8" x14ac:dyDescent="0.3">
      <c r="A1382" t="s">
        <v>557</v>
      </c>
      <c r="B1382" t="s">
        <v>577</v>
      </c>
      <c r="C1382" t="s">
        <v>234</v>
      </c>
      <c r="D1382" t="s">
        <v>601</v>
      </c>
      <c r="E1382" s="230">
        <v>248.97</v>
      </c>
      <c r="F1382" t="s">
        <v>560</v>
      </c>
      <c r="G1382" t="b">
        <v>1</v>
      </c>
      <c r="H1382" t="s">
        <v>468</v>
      </c>
    </row>
    <row r="1383" spans="1:8" x14ac:dyDescent="0.3">
      <c r="A1383" t="s">
        <v>557</v>
      </c>
      <c r="B1383" t="s">
        <v>577</v>
      </c>
      <c r="C1383" t="s">
        <v>236</v>
      </c>
      <c r="D1383" t="s">
        <v>601</v>
      </c>
      <c r="E1383" s="230">
        <v>0</v>
      </c>
      <c r="F1383" t="s">
        <v>560</v>
      </c>
      <c r="G1383" t="b">
        <v>1</v>
      </c>
      <c r="H1383" t="s">
        <v>468</v>
      </c>
    </row>
    <row r="1384" spans="1:8" x14ac:dyDescent="0.3">
      <c r="A1384" t="s">
        <v>557</v>
      </c>
      <c r="B1384" t="s">
        <v>577</v>
      </c>
      <c r="C1384" t="s">
        <v>237</v>
      </c>
      <c r="D1384" t="s">
        <v>601</v>
      </c>
      <c r="E1384" s="230">
        <v>0</v>
      </c>
      <c r="F1384" t="s">
        <v>560</v>
      </c>
      <c r="G1384" t="b">
        <v>1</v>
      </c>
      <c r="H1384" t="s">
        <v>468</v>
      </c>
    </row>
    <row r="1385" spans="1:8" x14ac:dyDescent="0.3">
      <c r="A1385" t="s">
        <v>557</v>
      </c>
      <c r="B1385" t="s">
        <v>578</v>
      </c>
      <c r="C1385" t="s">
        <v>239</v>
      </c>
      <c r="D1385" t="s">
        <v>601</v>
      </c>
      <c r="E1385" s="230">
        <v>4500</v>
      </c>
      <c r="F1385" t="s">
        <v>560</v>
      </c>
      <c r="G1385" t="b">
        <v>1</v>
      </c>
      <c r="H1385" t="s">
        <v>468</v>
      </c>
    </row>
    <row r="1386" spans="1:8" x14ac:dyDescent="0.3">
      <c r="A1386" t="s">
        <v>557</v>
      </c>
      <c r="B1386" t="s">
        <v>578</v>
      </c>
      <c r="C1386" t="s">
        <v>240</v>
      </c>
      <c r="D1386" t="s">
        <v>601</v>
      </c>
      <c r="E1386" s="230">
        <v>0</v>
      </c>
      <c r="F1386" t="s">
        <v>560</v>
      </c>
      <c r="G1386" t="b">
        <v>1</v>
      </c>
      <c r="H1386" t="s">
        <v>468</v>
      </c>
    </row>
    <row r="1387" spans="1:8" x14ac:dyDescent="0.3">
      <c r="A1387" t="s">
        <v>557</v>
      </c>
      <c r="B1387" t="s">
        <v>578</v>
      </c>
      <c r="C1387" t="s">
        <v>241</v>
      </c>
      <c r="D1387" t="s">
        <v>601</v>
      </c>
      <c r="E1387" s="230">
        <v>0</v>
      </c>
      <c r="F1387" t="s">
        <v>560</v>
      </c>
      <c r="G1387" t="b">
        <v>1</v>
      </c>
      <c r="H1387" t="s">
        <v>468</v>
      </c>
    </row>
    <row r="1388" spans="1:8" x14ac:dyDescent="0.3">
      <c r="A1388" t="s">
        <v>557</v>
      </c>
      <c r="B1388" t="s">
        <v>578</v>
      </c>
      <c r="C1388" t="s">
        <v>242</v>
      </c>
      <c r="D1388" t="s">
        <v>601</v>
      </c>
      <c r="E1388" s="230">
        <v>150</v>
      </c>
      <c r="F1388" t="s">
        <v>560</v>
      </c>
      <c r="G1388" t="b">
        <v>1</v>
      </c>
      <c r="H1388" t="s">
        <v>468</v>
      </c>
    </row>
    <row r="1389" spans="1:8" x14ac:dyDescent="0.3">
      <c r="A1389" t="s">
        <v>557</v>
      </c>
      <c r="B1389" t="s">
        <v>578</v>
      </c>
      <c r="C1389" t="s">
        <v>244</v>
      </c>
      <c r="D1389" t="s">
        <v>601</v>
      </c>
      <c r="E1389" s="230">
        <v>0</v>
      </c>
      <c r="F1389" t="s">
        <v>560</v>
      </c>
      <c r="G1389" t="b">
        <v>1</v>
      </c>
      <c r="H1389" t="s">
        <v>468</v>
      </c>
    </row>
    <row r="1390" spans="1:8" x14ac:dyDescent="0.3">
      <c r="A1390" t="s">
        <v>557</v>
      </c>
      <c r="B1390" t="s">
        <v>578</v>
      </c>
      <c r="C1390" t="s">
        <v>246</v>
      </c>
      <c r="D1390" t="s">
        <v>601</v>
      </c>
      <c r="E1390" s="230">
        <v>0</v>
      </c>
      <c r="F1390" t="s">
        <v>560</v>
      </c>
      <c r="G1390" t="b">
        <v>1</v>
      </c>
      <c r="H1390" t="s">
        <v>468</v>
      </c>
    </row>
    <row r="1391" spans="1:8" x14ac:dyDescent="0.3">
      <c r="A1391" t="s">
        <v>557</v>
      </c>
      <c r="B1391" t="s">
        <v>578</v>
      </c>
      <c r="C1391" t="s">
        <v>247</v>
      </c>
      <c r="D1391" t="s">
        <v>601</v>
      </c>
      <c r="E1391" s="230">
        <v>74.16</v>
      </c>
      <c r="F1391" t="s">
        <v>560</v>
      </c>
      <c r="G1391" t="b">
        <v>1</v>
      </c>
      <c r="H1391" t="s">
        <v>468</v>
      </c>
    </row>
    <row r="1392" spans="1:8" x14ac:dyDescent="0.3">
      <c r="A1392" t="s">
        <v>557</v>
      </c>
      <c r="B1392" t="s">
        <v>578</v>
      </c>
      <c r="C1392" t="s">
        <v>249</v>
      </c>
      <c r="D1392" t="s">
        <v>601</v>
      </c>
      <c r="E1392" s="230">
        <v>0</v>
      </c>
      <c r="F1392" t="s">
        <v>560</v>
      </c>
      <c r="G1392" t="b">
        <v>1</v>
      </c>
      <c r="H1392" t="s">
        <v>468</v>
      </c>
    </row>
    <row r="1393" spans="1:8" x14ac:dyDescent="0.3">
      <c r="A1393" t="s">
        <v>557</v>
      </c>
      <c r="B1393" t="s">
        <v>578</v>
      </c>
      <c r="C1393" t="s">
        <v>250</v>
      </c>
      <c r="D1393" t="s">
        <v>601</v>
      </c>
      <c r="E1393" s="230">
        <v>0</v>
      </c>
      <c r="F1393" t="s">
        <v>560</v>
      </c>
      <c r="G1393" t="b">
        <v>1</v>
      </c>
      <c r="H1393" t="s">
        <v>468</v>
      </c>
    </row>
    <row r="1394" spans="1:8" x14ac:dyDescent="0.3">
      <c r="A1394" t="s">
        <v>557</v>
      </c>
      <c r="B1394" t="s">
        <v>578</v>
      </c>
      <c r="C1394" t="s">
        <v>251</v>
      </c>
      <c r="D1394" t="s">
        <v>601</v>
      </c>
      <c r="E1394" s="230">
        <v>0</v>
      </c>
      <c r="F1394" t="s">
        <v>560</v>
      </c>
      <c r="G1394" t="b">
        <v>1</v>
      </c>
      <c r="H1394" t="s">
        <v>468</v>
      </c>
    </row>
    <row r="1395" spans="1:8" x14ac:dyDescent="0.3">
      <c r="A1395" t="s">
        <v>557</v>
      </c>
      <c r="B1395" t="s">
        <v>578</v>
      </c>
      <c r="C1395" t="s">
        <v>252</v>
      </c>
      <c r="D1395" t="s">
        <v>601</v>
      </c>
      <c r="E1395" s="230">
        <v>16975.43</v>
      </c>
      <c r="F1395" t="s">
        <v>560</v>
      </c>
      <c r="G1395" t="b">
        <v>1</v>
      </c>
      <c r="H1395" t="s">
        <v>468</v>
      </c>
    </row>
    <row r="1396" spans="1:8" x14ac:dyDescent="0.3">
      <c r="A1396" t="s">
        <v>557</v>
      </c>
      <c r="B1396" t="s">
        <v>579</v>
      </c>
      <c r="C1396" t="s">
        <v>253</v>
      </c>
      <c r="D1396" t="s">
        <v>601</v>
      </c>
      <c r="E1396" s="230">
        <v>0</v>
      </c>
      <c r="F1396" t="s">
        <v>560</v>
      </c>
      <c r="G1396" t="b">
        <v>1</v>
      </c>
      <c r="H1396" t="s">
        <v>468</v>
      </c>
    </row>
    <row r="1397" spans="1:8" x14ac:dyDescent="0.3">
      <c r="A1397" t="s">
        <v>557</v>
      </c>
      <c r="B1397" t="s">
        <v>256</v>
      </c>
      <c r="C1397" t="s">
        <v>257</v>
      </c>
      <c r="D1397" t="s">
        <v>601</v>
      </c>
      <c r="E1397" s="230">
        <v>51452.1</v>
      </c>
      <c r="F1397" t="s">
        <v>560</v>
      </c>
      <c r="G1397" t="b">
        <v>1</v>
      </c>
      <c r="H1397" t="s">
        <v>468</v>
      </c>
    </row>
    <row r="1398" spans="1:8" x14ac:dyDescent="0.3">
      <c r="A1398" t="s">
        <v>557</v>
      </c>
      <c r="B1398" t="s">
        <v>256</v>
      </c>
      <c r="C1398" t="s">
        <v>258</v>
      </c>
      <c r="D1398" t="s">
        <v>601</v>
      </c>
      <c r="E1398" s="230">
        <v>0</v>
      </c>
      <c r="F1398" t="s">
        <v>560</v>
      </c>
      <c r="G1398" t="b">
        <v>1</v>
      </c>
      <c r="H1398" t="s">
        <v>468</v>
      </c>
    </row>
    <row r="1399" spans="1:8" x14ac:dyDescent="0.3">
      <c r="A1399" t="s">
        <v>557</v>
      </c>
      <c r="B1399" t="s">
        <v>256</v>
      </c>
      <c r="C1399" t="s">
        <v>259</v>
      </c>
      <c r="D1399" t="s">
        <v>601</v>
      </c>
      <c r="E1399" s="230">
        <v>2847.92</v>
      </c>
      <c r="F1399" t="s">
        <v>560</v>
      </c>
      <c r="G1399" t="b">
        <v>1</v>
      </c>
      <c r="H1399" t="s">
        <v>468</v>
      </c>
    </row>
    <row r="1400" spans="1:8" x14ac:dyDescent="0.3">
      <c r="A1400" t="s">
        <v>557</v>
      </c>
      <c r="B1400" t="s">
        <v>256</v>
      </c>
      <c r="C1400" t="s">
        <v>260</v>
      </c>
      <c r="D1400" t="s">
        <v>601</v>
      </c>
      <c r="E1400" s="230">
        <v>0</v>
      </c>
      <c r="F1400" t="s">
        <v>560</v>
      </c>
      <c r="G1400" t="b">
        <v>1</v>
      </c>
      <c r="H1400" t="s">
        <v>468</v>
      </c>
    </row>
    <row r="1401" spans="1:8" x14ac:dyDescent="0.3">
      <c r="A1401" t="s">
        <v>557</v>
      </c>
      <c r="B1401" t="s">
        <v>256</v>
      </c>
      <c r="C1401" t="s">
        <v>261</v>
      </c>
      <c r="D1401" t="s">
        <v>601</v>
      </c>
      <c r="E1401" s="230">
        <v>286.98</v>
      </c>
      <c r="F1401" t="s">
        <v>560</v>
      </c>
      <c r="G1401" t="b">
        <v>1</v>
      </c>
      <c r="H1401" t="s">
        <v>468</v>
      </c>
    </row>
    <row r="1402" spans="1:8" x14ac:dyDescent="0.3">
      <c r="A1402" t="s">
        <v>557</v>
      </c>
      <c r="B1402" t="s">
        <v>256</v>
      </c>
      <c r="C1402" t="s">
        <v>262</v>
      </c>
      <c r="D1402" t="s">
        <v>601</v>
      </c>
      <c r="E1402" s="230">
        <v>0</v>
      </c>
      <c r="F1402" t="s">
        <v>560</v>
      </c>
      <c r="G1402" t="b">
        <v>1</v>
      </c>
      <c r="H1402" t="s">
        <v>468</v>
      </c>
    </row>
    <row r="1403" spans="1:8" x14ac:dyDescent="0.3">
      <c r="A1403" t="s">
        <v>557</v>
      </c>
      <c r="B1403" t="s">
        <v>256</v>
      </c>
      <c r="C1403" t="s">
        <v>263</v>
      </c>
      <c r="D1403" t="s">
        <v>601</v>
      </c>
      <c r="E1403" s="230">
        <v>0</v>
      </c>
      <c r="F1403" t="s">
        <v>560</v>
      </c>
      <c r="G1403" t="b">
        <v>1</v>
      </c>
      <c r="H1403" t="s">
        <v>468</v>
      </c>
    </row>
    <row r="1404" spans="1:8" x14ac:dyDescent="0.3">
      <c r="A1404" t="s">
        <v>557</v>
      </c>
      <c r="B1404" t="s">
        <v>264</v>
      </c>
      <c r="C1404" t="s">
        <v>265</v>
      </c>
      <c r="D1404" t="s">
        <v>601</v>
      </c>
      <c r="E1404" s="230">
        <v>5242.68</v>
      </c>
      <c r="F1404" t="s">
        <v>560</v>
      </c>
      <c r="G1404" t="b">
        <v>1</v>
      </c>
      <c r="H1404" t="s">
        <v>468</v>
      </c>
    </row>
    <row r="1405" spans="1:8" x14ac:dyDescent="0.3">
      <c r="A1405" t="s">
        <v>557</v>
      </c>
      <c r="B1405" t="s">
        <v>264</v>
      </c>
      <c r="C1405" t="s">
        <v>266</v>
      </c>
      <c r="D1405" t="s">
        <v>601</v>
      </c>
      <c r="E1405" s="230">
        <v>11092.68</v>
      </c>
      <c r="F1405" t="s">
        <v>560</v>
      </c>
      <c r="G1405" t="b">
        <v>1</v>
      </c>
      <c r="H1405" t="s">
        <v>468</v>
      </c>
    </row>
    <row r="1406" spans="1:8" x14ac:dyDescent="0.3">
      <c r="A1406" t="s">
        <v>557</v>
      </c>
      <c r="B1406" t="s">
        <v>264</v>
      </c>
      <c r="C1406" t="s">
        <v>267</v>
      </c>
      <c r="D1406" t="s">
        <v>601</v>
      </c>
      <c r="E1406" s="230">
        <v>6942.68</v>
      </c>
      <c r="F1406" t="s">
        <v>560</v>
      </c>
      <c r="G1406" t="b">
        <v>1</v>
      </c>
      <c r="H1406" t="s">
        <v>468</v>
      </c>
    </row>
    <row r="1407" spans="1:8" x14ac:dyDescent="0.3">
      <c r="A1407" t="s">
        <v>557</v>
      </c>
      <c r="B1407" t="s">
        <v>264</v>
      </c>
      <c r="C1407" t="s">
        <v>268</v>
      </c>
      <c r="D1407" t="s">
        <v>601</v>
      </c>
      <c r="E1407" s="230">
        <v>6542.68</v>
      </c>
      <c r="F1407" t="s">
        <v>560</v>
      </c>
      <c r="G1407" t="b">
        <v>1</v>
      </c>
      <c r="H1407" t="s">
        <v>468</v>
      </c>
    </row>
    <row r="1408" spans="1:8" x14ac:dyDescent="0.3">
      <c r="A1408" t="s">
        <v>557</v>
      </c>
      <c r="B1408" t="s">
        <v>264</v>
      </c>
      <c r="C1408" t="s">
        <v>269</v>
      </c>
      <c r="D1408" t="s">
        <v>601</v>
      </c>
      <c r="E1408" s="230">
        <v>592.67999999999995</v>
      </c>
      <c r="F1408" t="s">
        <v>560</v>
      </c>
      <c r="G1408" t="b">
        <v>1</v>
      </c>
      <c r="H1408" t="s">
        <v>468</v>
      </c>
    </row>
    <row r="1409" spans="1:8" x14ac:dyDescent="0.3">
      <c r="A1409" t="s">
        <v>557</v>
      </c>
      <c r="B1409" t="s">
        <v>264</v>
      </c>
      <c r="C1409" t="s">
        <v>270</v>
      </c>
      <c r="D1409" t="s">
        <v>601</v>
      </c>
      <c r="E1409" s="230">
        <v>561</v>
      </c>
      <c r="F1409" t="s">
        <v>560</v>
      </c>
      <c r="G1409" t="b">
        <v>1</v>
      </c>
      <c r="H1409" t="s">
        <v>468</v>
      </c>
    </row>
    <row r="1410" spans="1:8" x14ac:dyDescent="0.3">
      <c r="A1410" t="s">
        <v>557</v>
      </c>
      <c r="B1410" t="s">
        <v>264</v>
      </c>
      <c r="C1410" t="s">
        <v>271</v>
      </c>
      <c r="D1410" t="s">
        <v>601</v>
      </c>
      <c r="E1410" s="230">
        <v>1242.68</v>
      </c>
      <c r="F1410" t="s">
        <v>560</v>
      </c>
      <c r="G1410" t="b">
        <v>1</v>
      </c>
      <c r="H1410" t="s">
        <v>468</v>
      </c>
    </row>
    <row r="1411" spans="1:8" x14ac:dyDescent="0.3">
      <c r="A1411" t="s">
        <v>557</v>
      </c>
      <c r="B1411" t="s">
        <v>264</v>
      </c>
      <c r="C1411" t="s">
        <v>272</v>
      </c>
      <c r="D1411" t="s">
        <v>601</v>
      </c>
      <c r="E1411" s="230">
        <v>2342.6799999999998</v>
      </c>
      <c r="F1411" t="s">
        <v>560</v>
      </c>
      <c r="G1411" t="b">
        <v>1</v>
      </c>
      <c r="H1411" t="s">
        <v>468</v>
      </c>
    </row>
    <row r="1412" spans="1:8" x14ac:dyDescent="0.3">
      <c r="A1412" t="s">
        <v>557</v>
      </c>
      <c r="B1412" t="s">
        <v>264</v>
      </c>
      <c r="C1412" t="s">
        <v>273</v>
      </c>
      <c r="D1412" t="s">
        <v>601</v>
      </c>
      <c r="E1412" s="230">
        <v>242.68</v>
      </c>
      <c r="F1412" t="s">
        <v>560</v>
      </c>
      <c r="G1412" t="b">
        <v>1</v>
      </c>
      <c r="H1412" t="s">
        <v>468</v>
      </c>
    </row>
    <row r="1413" spans="1:8" x14ac:dyDescent="0.3">
      <c r="A1413" t="s">
        <v>557</v>
      </c>
      <c r="B1413" t="s">
        <v>264</v>
      </c>
      <c r="C1413" t="s">
        <v>580</v>
      </c>
      <c r="D1413" t="s">
        <v>601</v>
      </c>
      <c r="E1413" s="230">
        <v>242.68</v>
      </c>
      <c r="F1413" t="s">
        <v>560</v>
      </c>
      <c r="G1413" t="b">
        <v>1</v>
      </c>
      <c r="H1413" t="s">
        <v>468</v>
      </c>
    </row>
    <row r="1414" spans="1:8" x14ac:dyDescent="0.3">
      <c r="A1414" t="s">
        <v>557</v>
      </c>
      <c r="B1414" t="s">
        <v>264</v>
      </c>
      <c r="C1414" t="s">
        <v>275</v>
      </c>
      <c r="D1414" t="s">
        <v>601</v>
      </c>
      <c r="E1414" s="230">
        <v>1242.68</v>
      </c>
      <c r="F1414" t="s">
        <v>560</v>
      </c>
      <c r="G1414" t="b">
        <v>1</v>
      </c>
      <c r="H1414" t="s">
        <v>468</v>
      </c>
    </row>
    <row r="1415" spans="1:8" x14ac:dyDescent="0.3">
      <c r="A1415" t="s">
        <v>557</v>
      </c>
      <c r="B1415" t="s">
        <v>264</v>
      </c>
      <c r="C1415" t="s">
        <v>276</v>
      </c>
      <c r="D1415" t="s">
        <v>601</v>
      </c>
      <c r="E1415" s="230">
        <v>1428</v>
      </c>
      <c r="F1415" t="s">
        <v>560</v>
      </c>
      <c r="G1415" t="b">
        <v>1</v>
      </c>
      <c r="H1415" t="s">
        <v>468</v>
      </c>
    </row>
    <row r="1416" spans="1:8" x14ac:dyDescent="0.3">
      <c r="A1416" t="s">
        <v>557</v>
      </c>
      <c r="B1416" t="s">
        <v>264</v>
      </c>
      <c r="C1416" t="s">
        <v>277</v>
      </c>
      <c r="D1416" t="s">
        <v>601</v>
      </c>
      <c r="E1416" s="230">
        <v>250</v>
      </c>
      <c r="F1416" t="s">
        <v>560</v>
      </c>
      <c r="G1416" t="b">
        <v>1</v>
      </c>
      <c r="H1416" t="s">
        <v>468</v>
      </c>
    </row>
    <row r="1417" spans="1:8" x14ac:dyDescent="0.3">
      <c r="A1417" t="s">
        <v>557</v>
      </c>
      <c r="B1417" t="s">
        <v>264</v>
      </c>
      <c r="C1417" t="s">
        <v>278</v>
      </c>
      <c r="D1417" t="s">
        <v>601</v>
      </c>
      <c r="E1417" s="230">
        <v>3342.68</v>
      </c>
      <c r="F1417" t="s">
        <v>560</v>
      </c>
      <c r="G1417" t="b">
        <v>1</v>
      </c>
      <c r="H1417" t="s">
        <v>468</v>
      </c>
    </row>
    <row r="1418" spans="1:8" x14ac:dyDescent="0.3">
      <c r="A1418" t="s">
        <v>557</v>
      </c>
      <c r="B1418" t="s">
        <v>279</v>
      </c>
      <c r="C1418" t="s">
        <v>280</v>
      </c>
      <c r="D1418" t="s">
        <v>601</v>
      </c>
      <c r="E1418" s="230">
        <v>0</v>
      </c>
      <c r="F1418" t="s">
        <v>560</v>
      </c>
      <c r="G1418" t="b">
        <v>1</v>
      </c>
      <c r="H1418" t="s">
        <v>468</v>
      </c>
    </row>
    <row r="1419" spans="1:8" x14ac:dyDescent="0.3">
      <c r="A1419" t="s">
        <v>557</v>
      </c>
      <c r="B1419" t="s">
        <v>279</v>
      </c>
      <c r="C1419" t="s">
        <v>281</v>
      </c>
      <c r="D1419" t="s">
        <v>601</v>
      </c>
      <c r="E1419" s="230">
        <v>608.54999999999995</v>
      </c>
      <c r="F1419" t="s">
        <v>560</v>
      </c>
      <c r="G1419" t="b">
        <v>1</v>
      </c>
      <c r="H1419" t="s">
        <v>468</v>
      </c>
    </row>
    <row r="1420" spans="1:8" x14ac:dyDescent="0.3">
      <c r="A1420" t="s">
        <v>557</v>
      </c>
      <c r="B1420" t="s">
        <v>279</v>
      </c>
      <c r="C1420" t="s">
        <v>282</v>
      </c>
      <c r="D1420" t="s">
        <v>601</v>
      </c>
      <c r="E1420" s="230">
        <v>416.13</v>
      </c>
      <c r="F1420" t="s">
        <v>560</v>
      </c>
      <c r="G1420" t="b">
        <v>1</v>
      </c>
      <c r="H1420" t="s">
        <v>468</v>
      </c>
    </row>
    <row r="1421" spans="1:8" x14ac:dyDescent="0.3">
      <c r="A1421" t="s">
        <v>557</v>
      </c>
      <c r="B1421" t="s">
        <v>279</v>
      </c>
      <c r="C1421" t="s">
        <v>283</v>
      </c>
      <c r="D1421" t="s">
        <v>601</v>
      </c>
      <c r="E1421" s="230">
        <v>0</v>
      </c>
      <c r="F1421" t="s">
        <v>560</v>
      </c>
      <c r="G1421" t="b">
        <v>1</v>
      </c>
      <c r="H1421" t="s">
        <v>468</v>
      </c>
    </row>
    <row r="1422" spans="1:8" x14ac:dyDescent="0.3">
      <c r="A1422" t="s">
        <v>557</v>
      </c>
      <c r="B1422" t="s">
        <v>279</v>
      </c>
      <c r="C1422" t="s">
        <v>284</v>
      </c>
      <c r="D1422" t="s">
        <v>601</v>
      </c>
      <c r="E1422" s="230">
        <v>2614.5</v>
      </c>
      <c r="F1422" t="s">
        <v>560</v>
      </c>
      <c r="G1422" t="b">
        <v>1</v>
      </c>
      <c r="H1422" t="s">
        <v>468</v>
      </c>
    </row>
    <row r="1423" spans="1:8" x14ac:dyDescent="0.3">
      <c r="A1423" t="s">
        <v>557</v>
      </c>
      <c r="B1423" t="s">
        <v>279</v>
      </c>
      <c r="C1423" t="s">
        <v>285</v>
      </c>
      <c r="D1423" t="s">
        <v>601</v>
      </c>
      <c r="E1423" s="230">
        <v>408.45</v>
      </c>
      <c r="F1423" t="s">
        <v>560</v>
      </c>
      <c r="G1423" t="b">
        <v>1</v>
      </c>
      <c r="H1423" t="s">
        <v>468</v>
      </c>
    </row>
    <row r="1424" spans="1:8" x14ac:dyDescent="0.3">
      <c r="A1424" t="s">
        <v>557</v>
      </c>
      <c r="B1424" t="s">
        <v>279</v>
      </c>
      <c r="C1424" t="s">
        <v>286</v>
      </c>
      <c r="D1424" t="s">
        <v>601</v>
      </c>
      <c r="E1424" s="230">
        <v>1017.45</v>
      </c>
      <c r="F1424" t="s">
        <v>560</v>
      </c>
      <c r="G1424" t="b">
        <v>1</v>
      </c>
      <c r="H1424" t="s">
        <v>468</v>
      </c>
    </row>
    <row r="1425" spans="1:8" x14ac:dyDescent="0.3">
      <c r="A1425" t="s">
        <v>557</v>
      </c>
      <c r="B1425" t="s">
        <v>581</v>
      </c>
      <c r="C1425" t="s">
        <v>288</v>
      </c>
      <c r="D1425" t="s">
        <v>601</v>
      </c>
      <c r="E1425" s="230">
        <v>4228.03</v>
      </c>
      <c r="F1425" t="s">
        <v>560</v>
      </c>
      <c r="G1425" t="b">
        <v>1</v>
      </c>
      <c r="H1425" t="s">
        <v>468</v>
      </c>
    </row>
    <row r="1426" spans="1:8" x14ac:dyDescent="0.3">
      <c r="A1426" t="s">
        <v>557</v>
      </c>
      <c r="B1426" t="s">
        <v>581</v>
      </c>
      <c r="C1426" t="s">
        <v>289</v>
      </c>
      <c r="D1426" t="s">
        <v>601</v>
      </c>
      <c r="E1426" s="230">
        <v>1297.07</v>
      </c>
      <c r="F1426" t="s">
        <v>560</v>
      </c>
      <c r="G1426" t="b">
        <v>1</v>
      </c>
      <c r="H1426" t="s">
        <v>468</v>
      </c>
    </row>
    <row r="1427" spans="1:8" x14ac:dyDescent="0.3">
      <c r="A1427" t="s">
        <v>557</v>
      </c>
      <c r="B1427" t="s">
        <v>581</v>
      </c>
      <c r="C1427" t="s">
        <v>290</v>
      </c>
      <c r="D1427" t="s">
        <v>601</v>
      </c>
      <c r="E1427" s="230">
        <v>1097.07</v>
      </c>
      <c r="F1427" t="s">
        <v>560</v>
      </c>
      <c r="G1427" t="b">
        <v>1</v>
      </c>
      <c r="H1427" t="s">
        <v>468</v>
      </c>
    </row>
    <row r="1428" spans="1:8" x14ac:dyDescent="0.3">
      <c r="A1428" t="s">
        <v>557</v>
      </c>
      <c r="B1428" t="s">
        <v>581</v>
      </c>
      <c r="C1428" t="s">
        <v>291</v>
      </c>
      <c r="D1428" t="s">
        <v>601</v>
      </c>
      <c r="E1428" s="230">
        <v>397.07</v>
      </c>
      <c r="F1428" t="s">
        <v>560</v>
      </c>
      <c r="G1428" t="b">
        <v>1</v>
      </c>
      <c r="H1428" t="s">
        <v>468</v>
      </c>
    </row>
    <row r="1429" spans="1:8" x14ac:dyDescent="0.3">
      <c r="A1429" t="s">
        <v>557</v>
      </c>
      <c r="B1429" t="s">
        <v>581</v>
      </c>
      <c r="C1429" t="s">
        <v>292</v>
      </c>
      <c r="D1429" t="s">
        <v>601</v>
      </c>
      <c r="E1429" s="230">
        <v>0</v>
      </c>
      <c r="F1429" t="s">
        <v>560</v>
      </c>
      <c r="G1429" t="b">
        <v>1</v>
      </c>
      <c r="H1429" t="s">
        <v>468</v>
      </c>
    </row>
    <row r="1430" spans="1:8" x14ac:dyDescent="0.3">
      <c r="A1430" t="s">
        <v>557</v>
      </c>
      <c r="B1430" t="s">
        <v>582</v>
      </c>
      <c r="C1430" t="s">
        <v>293</v>
      </c>
      <c r="D1430" t="s">
        <v>601</v>
      </c>
      <c r="E1430" s="230">
        <v>597.07000000000005</v>
      </c>
      <c r="F1430" t="s">
        <v>560</v>
      </c>
      <c r="G1430" t="b">
        <v>1</v>
      </c>
      <c r="H1430" t="s">
        <v>468</v>
      </c>
    </row>
    <row r="1431" spans="1:8" x14ac:dyDescent="0.3">
      <c r="A1431" t="s">
        <v>557</v>
      </c>
      <c r="B1431" t="s">
        <v>582</v>
      </c>
      <c r="C1431" t="s">
        <v>294</v>
      </c>
      <c r="D1431" t="s">
        <v>601</v>
      </c>
      <c r="E1431" s="230">
        <v>0</v>
      </c>
      <c r="F1431" t="s">
        <v>560</v>
      </c>
      <c r="G1431" t="b">
        <v>1</v>
      </c>
      <c r="H1431" t="s">
        <v>468</v>
      </c>
    </row>
    <row r="1432" spans="1:8" x14ac:dyDescent="0.3">
      <c r="A1432" t="s">
        <v>557</v>
      </c>
      <c r="B1432" t="s">
        <v>582</v>
      </c>
      <c r="C1432" t="s">
        <v>295</v>
      </c>
      <c r="D1432" t="s">
        <v>601</v>
      </c>
      <c r="E1432" s="230">
        <v>0</v>
      </c>
      <c r="F1432" t="s">
        <v>560</v>
      </c>
      <c r="G1432" t="b">
        <v>1</v>
      </c>
      <c r="H1432" t="s">
        <v>468</v>
      </c>
    </row>
    <row r="1433" spans="1:8" x14ac:dyDescent="0.3">
      <c r="A1433" t="s">
        <v>557</v>
      </c>
      <c r="B1433" t="s">
        <v>296</v>
      </c>
      <c r="C1433" t="s">
        <v>297</v>
      </c>
      <c r="D1433" t="s">
        <v>601</v>
      </c>
      <c r="E1433" s="230">
        <v>4200</v>
      </c>
      <c r="F1433" t="s">
        <v>560</v>
      </c>
      <c r="G1433" t="b">
        <v>1</v>
      </c>
      <c r="H1433" t="s">
        <v>468</v>
      </c>
    </row>
    <row r="1434" spans="1:8" x14ac:dyDescent="0.3">
      <c r="A1434" t="s">
        <v>557</v>
      </c>
      <c r="B1434" t="s">
        <v>296</v>
      </c>
      <c r="C1434" t="s">
        <v>298</v>
      </c>
      <c r="D1434" t="s">
        <v>601</v>
      </c>
      <c r="E1434" s="230">
        <v>525</v>
      </c>
      <c r="F1434" t="s">
        <v>560</v>
      </c>
      <c r="G1434" t="b">
        <v>1</v>
      </c>
      <c r="H1434" t="s">
        <v>468</v>
      </c>
    </row>
    <row r="1435" spans="1:8" x14ac:dyDescent="0.3">
      <c r="A1435" t="s">
        <v>557</v>
      </c>
      <c r="B1435" t="s">
        <v>296</v>
      </c>
      <c r="C1435" t="s">
        <v>299</v>
      </c>
      <c r="D1435" t="s">
        <v>601</v>
      </c>
      <c r="E1435" s="230">
        <v>0</v>
      </c>
      <c r="F1435" t="s">
        <v>560</v>
      </c>
      <c r="G1435" t="b">
        <v>1</v>
      </c>
      <c r="H1435" t="s">
        <v>468</v>
      </c>
    </row>
    <row r="1436" spans="1:8" x14ac:dyDescent="0.3">
      <c r="A1436" t="s">
        <v>557</v>
      </c>
      <c r="B1436" t="s">
        <v>296</v>
      </c>
      <c r="C1436" t="s">
        <v>300</v>
      </c>
      <c r="D1436" t="s">
        <v>601</v>
      </c>
      <c r="E1436" s="230">
        <v>0</v>
      </c>
      <c r="F1436" t="s">
        <v>560</v>
      </c>
      <c r="G1436" t="b">
        <v>1</v>
      </c>
      <c r="H1436" t="s">
        <v>468</v>
      </c>
    </row>
    <row r="1437" spans="1:8" x14ac:dyDescent="0.3">
      <c r="A1437" t="s">
        <v>557</v>
      </c>
      <c r="B1437" t="s">
        <v>296</v>
      </c>
      <c r="C1437" t="s">
        <v>301</v>
      </c>
      <c r="D1437" t="s">
        <v>601</v>
      </c>
      <c r="E1437" s="230">
        <v>1097.07</v>
      </c>
      <c r="F1437" t="s">
        <v>560</v>
      </c>
      <c r="G1437" t="b">
        <v>1</v>
      </c>
      <c r="H1437" t="s">
        <v>468</v>
      </c>
    </row>
    <row r="1438" spans="1:8" x14ac:dyDescent="0.3">
      <c r="A1438" t="s">
        <v>557</v>
      </c>
      <c r="B1438" t="s">
        <v>296</v>
      </c>
      <c r="C1438" t="s">
        <v>302</v>
      </c>
      <c r="D1438" t="s">
        <v>601</v>
      </c>
      <c r="E1438" s="230">
        <v>0</v>
      </c>
      <c r="F1438" t="s">
        <v>560</v>
      </c>
      <c r="G1438" t="b">
        <v>1</v>
      </c>
      <c r="H1438" t="s">
        <v>468</v>
      </c>
    </row>
    <row r="1439" spans="1:8" x14ac:dyDescent="0.3">
      <c r="A1439" t="s">
        <v>557</v>
      </c>
      <c r="B1439" t="s">
        <v>296</v>
      </c>
      <c r="C1439" t="s">
        <v>303</v>
      </c>
      <c r="D1439" t="s">
        <v>601</v>
      </c>
      <c r="E1439" s="230">
        <v>0</v>
      </c>
      <c r="F1439" t="s">
        <v>560</v>
      </c>
      <c r="G1439" t="b">
        <v>1</v>
      </c>
      <c r="H1439" t="s">
        <v>468</v>
      </c>
    </row>
    <row r="1440" spans="1:8" x14ac:dyDescent="0.3">
      <c r="A1440" t="s">
        <v>557</v>
      </c>
      <c r="B1440" t="s">
        <v>296</v>
      </c>
      <c r="C1440" t="s">
        <v>304</v>
      </c>
      <c r="D1440" t="s">
        <v>601</v>
      </c>
      <c r="E1440" s="230">
        <v>0</v>
      </c>
      <c r="F1440" t="s">
        <v>560</v>
      </c>
      <c r="G1440" t="b">
        <v>1</v>
      </c>
      <c r="H1440" t="s">
        <v>468</v>
      </c>
    </row>
    <row r="1441" spans="1:8" x14ac:dyDescent="0.3">
      <c r="A1441" t="s">
        <v>557</v>
      </c>
      <c r="B1441" t="s">
        <v>296</v>
      </c>
      <c r="C1441" t="s">
        <v>305</v>
      </c>
      <c r="D1441" t="s">
        <v>601</v>
      </c>
      <c r="E1441" s="230">
        <v>0</v>
      </c>
      <c r="F1441" t="s">
        <v>560</v>
      </c>
      <c r="G1441" t="b">
        <v>1</v>
      </c>
      <c r="H1441" t="s">
        <v>468</v>
      </c>
    </row>
    <row r="1442" spans="1:8" x14ac:dyDescent="0.3">
      <c r="A1442" t="s">
        <v>557</v>
      </c>
      <c r="B1442" t="s">
        <v>296</v>
      </c>
      <c r="C1442" t="s">
        <v>583</v>
      </c>
      <c r="D1442" t="s">
        <v>601</v>
      </c>
      <c r="E1442" s="230">
        <v>0</v>
      </c>
      <c r="F1442" t="s">
        <v>560</v>
      </c>
      <c r="G1442" t="b">
        <v>1</v>
      </c>
      <c r="H1442" t="s">
        <v>468</v>
      </c>
    </row>
    <row r="1443" spans="1:8" x14ac:dyDescent="0.3">
      <c r="A1443" t="s">
        <v>557</v>
      </c>
      <c r="B1443" t="s">
        <v>296</v>
      </c>
      <c r="C1443" t="s">
        <v>307</v>
      </c>
      <c r="D1443" t="s">
        <v>601</v>
      </c>
      <c r="E1443" s="230">
        <v>206.85</v>
      </c>
      <c r="F1443" t="s">
        <v>560</v>
      </c>
      <c r="G1443" t="b">
        <v>1</v>
      </c>
      <c r="H1443" t="s">
        <v>468</v>
      </c>
    </row>
    <row r="1444" spans="1:8" x14ac:dyDescent="0.3">
      <c r="A1444" t="s">
        <v>557</v>
      </c>
      <c r="B1444" t="s">
        <v>308</v>
      </c>
      <c r="C1444" t="s">
        <v>309</v>
      </c>
      <c r="D1444" t="s">
        <v>601</v>
      </c>
      <c r="E1444" s="230">
        <v>2995.34</v>
      </c>
      <c r="F1444" t="s">
        <v>560</v>
      </c>
      <c r="G1444" t="b">
        <v>1</v>
      </c>
      <c r="H1444" t="s">
        <v>468</v>
      </c>
    </row>
    <row r="1445" spans="1:8" x14ac:dyDescent="0.3">
      <c r="A1445" t="s">
        <v>557</v>
      </c>
      <c r="B1445" t="s">
        <v>308</v>
      </c>
      <c r="C1445" t="s">
        <v>310</v>
      </c>
      <c r="D1445" t="s">
        <v>601</v>
      </c>
      <c r="E1445" s="230">
        <v>0</v>
      </c>
      <c r="F1445" t="s">
        <v>560</v>
      </c>
      <c r="G1445" t="b">
        <v>1</v>
      </c>
      <c r="H1445" t="s">
        <v>468</v>
      </c>
    </row>
    <row r="1446" spans="1:8" x14ac:dyDescent="0.3">
      <c r="A1446" t="s">
        <v>557</v>
      </c>
      <c r="B1446" t="s">
        <v>308</v>
      </c>
      <c r="C1446" t="s">
        <v>311</v>
      </c>
      <c r="D1446" t="s">
        <v>601</v>
      </c>
      <c r="E1446" s="230">
        <v>1627.5</v>
      </c>
      <c r="F1446" t="s">
        <v>560</v>
      </c>
      <c r="G1446" t="b">
        <v>1</v>
      </c>
      <c r="H1446" t="s">
        <v>468</v>
      </c>
    </row>
    <row r="1447" spans="1:8" x14ac:dyDescent="0.3">
      <c r="A1447" t="s">
        <v>557</v>
      </c>
      <c r="B1447" t="s">
        <v>308</v>
      </c>
      <c r="C1447" t="s">
        <v>312</v>
      </c>
      <c r="D1447" t="s">
        <v>601</v>
      </c>
      <c r="E1447" s="230">
        <v>194.25</v>
      </c>
      <c r="F1447" t="s">
        <v>560</v>
      </c>
      <c r="G1447" t="b">
        <v>1</v>
      </c>
      <c r="H1447" t="s">
        <v>468</v>
      </c>
    </row>
    <row r="1448" spans="1:8" x14ac:dyDescent="0.3">
      <c r="A1448" t="s">
        <v>557</v>
      </c>
      <c r="B1448" t="s">
        <v>308</v>
      </c>
      <c r="C1448" t="s">
        <v>313</v>
      </c>
      <c r="D1448" t="s">
        <v>601</v>
      </c>
      <c r="E1448" s="230">
        <v>0</v>
      </c>
      <c r="F1448" t="s">
        <v>560</v>
      </c>
      <c r="G1448" t="b">
        <v>1</v>
      </c>
      <c r="H1448" t="s">
        <v>468</v>
      </c>
    </row>
    <row r="1449" spans="1:8" x14ac:dyDescent="0.3">
      <c r="A1449" t="s">
        <v>557</v>
      </c>
      <c r="B1449" t="s">
        <v>308</v>
      </c>
      <c r="C1449" t="s">
        <v>314</v>
      </c>
      <c r="D1449" t="s">
        <v>601</v>
      </c>
      <c r="E1449" s="230">
        <v>743.59</v>
      </c>
      <c r="F1449" t="s">
        <v>560</v>
      </c>
      <c r="G1449" t="b">
        <v>1</v>
      </c>
      <c r="H1449" t="s">
        <v>468</v>
      </c>
    </row>
    <row r="1450" spans="1:8" x14ac:dyDescent="0.3">
      <c r="A1450" t="s">
        <v>557</v>
      </c>
      <c r="B1450" t="s">
        <v>308</v>
      </c>
      <c r="C1450" t="s">
        <v>315</v>
      </c>
      <c r="D1450" t="s">
        <v>601</v>
      </c>
      <c r="E1450" s="230">
        <v>0</v>
      </c>
      <c r="F1450" t="s">
        <v>560</v>
      </c>
      <c r="G1450" t="b">
        <v>1</v>
      </c>
      <c r="H1450" t="s">
        <v>468</v>
      </c>
    </row>
    <row r="1451" spans="1:8" x14ac:dyDescent="0.3">
      <c r="A1451" t="s">
        <v>557</v>
      </c>
      <c r="B1451" t="s">
        <v>308</v>
      </c>
      <c r="C1451" t="s">
        <v>316</v>
      </c>
      <c r="D1451" t="s">
        <v>601</v>
      </c>
      <c r="E1451" s="230">
        <v>0</v>
      </c>
      <c r="F1451" t="s">
        <v>560</v>
      </c>
      <c r="G1451" t="b">
        <v>1</v>
      </c>
      <c r="H1451" t="s">
        <v>468</v>
      </c>
    </row>
    <row r="1452" spans="1:8" x14ac:dyDescent="0.3">
      <c r="A1452" t="s">
        <v>557</v>
      </c>
      <c r="B1452" t="s">
        <v>308</v>
      </c>
      <c r="C1452" t="s">
        <v>317</v>
      </c>
      <c r="D1452" t="s">
        <v>601</v>
      </c>
      <c r="E1452" s="230">
        <v>0</v>
      </c>
      <c r="F1452" t="s">
        <v>560</v>
      </c>
      <c r="G1452" t="b">
        <v>1</v>
      </c>
      <c r="H1452" t="s">
        <v>468</v>
      </c>
    </row>
    <row r="1453" spans="1:8" x14ac:dyDescent="0.3">
      <c r="A1453" t="s">
        <v>557</v>
      </c>
      <c r="B1453" t="s">
        <v>318</v>
      </c>
      <c r="C1453" t="s">
        <v>319</v>
      </c>
      <c r="D1453" t="s">
        <v>601</v>
      </c>
      <c r="E1453" s="230">
        <v>1770.3</v>
      </c>
      <c r="F1453" t="s">
        <v>560</v>
      </c>
      <c r="G1453" t="b">
        <v>1</v>
      </c>
      <c r="H1453" t="s">
        <v>468</v>
      </c>
    </row>
    <row r="1454" spans="1:8" x14ac:dyDescent="0.3">
      <c r="A1454" t="s">
        <v>557</v>
      </c>
      <c r="B1454" t="s">
        <v>318</v>
      </c>
      <c r="C1454" t="s">
        <v>320</v>
      </c>
      <c r="D1454" t="s">
        <v>601</v>
      </c>
      <c r="E1454" s="230">
        <v>144.44999999999999</v>
      </c>
      <c r="F1454" t="s">
        <v>560</v>
      </c>
      <c r="G1454" t="b">
        <v>1</v>
      </c>
      <c r="H1454" t="s">
        <v>468</v>
      </c>
    </row>
    <row r="1455" spans="1:8" x14ac:dyDescent="0.3">
      <c r="A1455" t="s">
        <v>557</v>
      </c>
      <c r="B1455" t="s">
        <v>318</v>
      </c>
      <c r="C1455" t="s">
        <v>321</v>
      </c>
      <c r="D1455" t="s">
        <v>601</v>
      </c>
      <c r="E1455" s="230">
        <v>210</v>
      </c>
      <c r="F1455" t="s">
        <v>560</v>
      </c>
      <c r="G1455" t="b">
        <v>1</v>
      </c>
      <c r="H1455" t="s">
        <v>468</v>
      </c>
    </row>
    <row r="1456" spans="1:8" x14ac:dyDescent="0.3">
      <c r="A1456" t="s">
        <v>557</v>
      </c>
      <c r="B1456" t="s">
        <v>318</v>
      </c>
      <c r="C1456" t="s">
        <v>322</v>
      </c>
      <c r="D1456" t="s">
        <v>601</v>
      </c>
      <c r="E1456" s="230">
        <v>0</v>
      </c>
      <c r="F1456" t="s">
        <v>560</v>
      </c>
      <c r="G1456" t="b">
        <v>1</v>
      </c>
      <c r="H1456" t="s">
        <v>468</v>
      </c>
    </row>
    <row r="1457" spans="1:8" x14ac:dyDescent="0.3">
      <c r="A1457" t="s">
        <v>557</v>
      </c>
      <c r="B1457" t="s">
        <v>323</v>
      </c>
      <c r="C1457" t="s">
        <v>324</v>
      </c>
      <c r="D1457" t="s">
        <v>601</v>
      </c>
      <c r="E1457" s="230">
        <v>0</v>
      </c>
      <c r="F1457" t="s">
        <v>560</v>
      </c>
      <c r="G1457" t="b">
        <v>1</v>
      </c>
      <c r="H1457" t="s">
        <v>468</v>
      </c>
    </row>
    <row r="1458" spans="1:8" x14ac:dyDescent="0.3">
      <c r="A1458" t="s">
        <v>557</v>
      </c>
      <c r="B1458" t="s">
        <v>323</v>
      </c>
      <c r="C1458" t="s">
        <v>325</v>
      </c>
      <c r="D1458" t="s">
        <v>601</v>
      </c>
      <c r="E1458" s="230">
        <v>0</v>
      </c>
      <c r="F1458" t="s">
        <v>560</v>
      </c>
      <c r="G1458" t="b">
        <v>1</v>
      </c>
      <c r="H1458" t="s">
        <v>468</v>
      </c>
    </row>
    <row r="1459" spans="1:8" x14ac:dyDescent="0.3">
      <c r="A1459" t="s">
        <v>557</v>
      </c>
      <c r="B1459" t="s">
        <v>323</v>
      </c>
      <c r="C1459" t="s">
        <v>326</v>
      </c>
      <c r="D1459" t="s">
        <v>601</v>
      </c>
      <c r="E1459" s="230">
        <v>24267.69</v>
      </c>
      <c r="F1459" t="s">
        <v>560</v>
      </c>
      <c r="G1459" t="b">
        <v>1</v>
      </c>
      <c r="H1459" t="s">
        <v>468</v>
      </c>
    </row>
    <row r="1460" spans="1:8" x14ac:dyDescent="0.3">
      <c r="A1460" t="s">
        <v>557</v>
      </c>
      <c r="B1460" t="s">
        <v>584</v>
      </c>
      <c r="C1460" t="s">
        <v>334</v>
      </c>
      <c r="D1460" t="s">
        <v>601</v>
      </c>
      <c r="E1460" s="230">
        <v>40256</v>
      </c>
      <c r="F1460" t="s">
        <v>560</v>
      </c>
      <c r="G1460" t="b">
        <v>1</v>
      </c>
      <c r="H1460" t="s">
        <v>468</v>
      </c>
    </row>
    <row r="1461" spans="1:8" x14ac:dyDescent="0.3">
      <c r="A1461" t="s">
        <v>557</v>
      </c>
      <c r="B1461" t="s">
        <v>584</v>
      </c>
      <c r="C1461" t="s">
        <v>336</v>
      </c>
      <c r="D1461" t="s">
        <v>601</v>
      </c>
      <c r="E1461" s="230">
        <v>0</v>
      </c>
      <c r="F1461" t="s">
        <v>560</v>
      </c>
      <c r="G1461" t="b">
        <v>1</v>
      </c>
      <c r="H1461" t="s">
        <v>468</v>
      </c>
    </row>
    <row r="1462" spans="1:8" x14ac:dyDescent="0.3">
      <c r="A1462" t="s">
        <v>557</v>
      </c>
      <c r="B1462" t="s">
        <v>558</v>
      </c>
      <c r="C1462" t="s">
        <v>13</v>
      </c>
      <c r="D1462" t="s">
        <v>602</v>
      </c>
      <c r="E1462" s="230">
        <v>209534.14</v>
      </c>
      <c r="F1462" t="s">
        <v>560</v>
      </c>
      <c r="G1462" t="b">
        <v>1</v>
      </c>
      <c r="H1462" t="s">
        <v>469</v>
      </c>
    </row>
    <row r="1463" spans="1:8" x14ac:dyDescent="0.3">
      <c r="A1463" t="s">
        <v>557</v>
      </c>
      <c r="B1463" t="s">
        <v>558</v>
      </c>
      <c r="C1463" t="s">
        <v>16</v>
      </c>
      <c r="D1463" t="s">
        <v>602</v>
      </c>
      <c r="E1463" s="230">
        <v>133627.92000000001</v>
      </c>
      <c r="F1463" t="s">
        <v>560</v>
      </c>
      <c r="G1463" t="b">
        <v>1</v>
      </c>
      <c r="H1463" t="s">
        <v>469</v>
      </c>
    </row>
    <row r="1464" spans="1:8" x14ac:dyDescent="0.3">
      <c r="A1464" t="s">
        <v>557</v>
      </c>
      <c r="B1464" t="s">
        <v>558</v>
      </c>
      <c r="C1464" t="s">
        <v>17</v>
      </c>
      <c r="D1464" t="s">
        <v>602</v>
      </c>
      <c r="E1464" s="230">
        <v>5532.98</v>
      </c>
      <c r="F1464" t="s">
        <v>560</v>
      </c>
      <c r="G1464" t="b">
        <v>1</v>
      </c>
      <c r="H1464" t="s">
        <v>469</v>
      </c>
    </row>
    <row r="1465" spans="1:8" x14ac:dyDescent="0.3">
      <c r="A1465" t="s">
        <v>557</v>
      </c>
      <c r="B1465" t="s">
        <v>558</v>
      </c>
      <c r="C1465" t="s">
        <v>18</v>
      </c>
      <c r="D1465" t="s">
        <v>602</v>
      </c>
      <c r="E1465" s="230">
        <v>0</v>
      </c>
      <c r="F1465" t="s">
        <v>560</v>
      </c>
      <c r="G1465" t="b">
        <v>1</v>
      </c>
      <c r="H1465" t="s">
        <v>469</v>
      </c>
    </row>
    <row r="1466" spans="1:8" x14ac:dyDescent="0.3">
      <c r="A1466" t="s">
        <v>557</v>
      </c>
      <c r="B1466" t="s">
        <v>558</v>
      </c>
      <c r="C1466" t="s">
        <v>20</v>
      </c>
      <c r="D1466" t="s">
        <v>602</v>
      </c>
      <c r="E1466" s="230">
        <v>47549.32</v>
      </c>
      <c r="F1466" t="s">
        <v>560</v>
      </c>
      <c r="G1466" t="b">
        <v>1</v>
      </c>
      <c r="H1466" t="s">
        <v>469</v>
      </c>
    </row>
    <row r="1467" spans="1:8" x14ac:dyDescent="0.3">
      <c r="A1467" t="s">
        <v>557</v>
      </c>
      <c r="B1467" t="s">
        <v>558</v>
      </c>
      <c r="C1467" t="s">
        <v>29</v>
      </c>
      <c r="D1467" t="s">
        <v>602</v>
      </c>
      <c r="E1467" s="230">
        <v>23691.85</v>
      </c>
      <c r="F1467" t="s">
        <v>560</v>
      </c>
      <c r="G1467" t="b">
        <v>1</v>
      </c>
      <c r="H1467" t="s">
        <v>469</v>
      </c>
    </row>
    <row r="1468" spans="1:8" x14ac:dyDescent="0.3">
      <c r="A1468" t="s">
        <v>557</v>
      </c>
      <c r="B1468" t="s">
        <v>558</v>
      </c>
      <c r="C1468" t="s">
        <v>31</v>
      </c>
      <c r="D1468" t="s">
        <v>602</v>
      </c>
      <c r="E1468" s="230">
        <v>0</v>
      </c>
      <c r="F1468" t="s">
        <v>560</v>
      </c>
      <c r="G1468" t="b">
        <v>1</v>
      </c>
      <c r="H1468" t="s">
        <v>469</v>
      </c>
    </row>
    <row r="1469" spans="1:8" x14ac:dyDescent="0.3">
      <c r="A1469" t="s">
        <v>557</v>
      </c>
      <c r="B1469" t="s">
        <v>562</v>
      </c>
      <c r="C1469" t="s">
        <v>38</v>
      </c>
      <c r="D1469" t="s">
        <v>602</v>
      </c>
      <c r="E1469" s="230">
        <v>8579.0499999999993</v>
      </c>
      <c r="F1469" t="s">
        <v>560</v>
      </c>
      <c r="G1469" t="b">
        <v>1</v>
      </c>
      <c r="H1469" t="s">
        <v>469</v>
      </c>
    </row>
    <row r="1470" spans="1:8" x14ac:dyDescent="0.3">
      <c r="A1470" t="s">
        <v>557</v>
      </c>
      <c r="B1470" t="s">
        <v>562</v>
      </c>
      <c r="C1470" t="s">
        <v>40</v>
      </c>
      <c r="D1470" t="s">
        <v>602</v>
      </c>
      <c r="E1470" s="230">
        <v>6794.61</v>
      </c>
      <c r="F1470" t="s">
        <v>560</v>
      </c>
      <c r="G1470" t="b">
        <v>1</v>
      </c>
      <c r="H1470" t="s">
        <v>469</v>
      </c>
    </row>
    <row r="1471" spans="1:8" x14ac:dyDescent="0.3">
      <c r="A1471" t="s">
        <v>557</v>
      </c>
      <c r="B1471" t="s">
        <v>562</v>
      </c>
      <c r="C1471" t="s">
        <v>42</v>
      </c>
      <c r="D1471" t="s">
        <v>602</v>
      </c>
      <c r="E1471" s="230">
        <v>857.91</v>
      </c>
      <c r="F1471" t="s">
        <v>560</v>
      </c>
      <c r="G1471" t="b">
        <v>1</v>
      </c>
      <c r="H1471" t="s">
        <v>469</v>
      </c>
    </row>
    <row r="1472" spans="1:8" x14ac:dyDescent="0.3">
      <c r="A1472" t="s">
        <v>557</v>
      </c>
      <c r="B1472" t="s">
        <v>563</v>
      </c>
      <c r="C1472" t="s">
        <v>46</v>
      </c>
      <c r="D1472" t="s">
        <v>602</v>
      </c>
      <c r="E1472" s="230">
        <v>16374.1</v>
      </c>
      <c r="F1472" t="s">
        <v>560</v>
      </c>
      <c r="G1472" t="b">
        <v>1</v>
      </c>
      <c r="H1472" t="s">
        <v>469</v>
      </c>
    </row>
    <row r="1473" spans="1:8" x14ac:dyDescent="0.3">
      <c r="A1473" t="s">
        <v>557</v>
      </c>
      <c r="B1473" t="s">
        <v>563</v>
      </c>
      <c r="C1473" t="s">
        <v>48</v>
      </c>
      <c r="D1473" t="s">
        <v>602</v>
      </c>
      <c r="E1473" s="230">
        <v>17481.599999999999</v>
      </c>
      <c r="F1473" t="s">
        <v>560</v>
      </c>
      <c r="G1473" t="b">
        <v>1</v>
      </c>
      <c r="H1473" t="s">
        <v>469</v>
      </c>
    </row>
    <row r="1474" spans="1:8" x14ac:dyDescent="0.3">
      <c r="A1474" t="s">
        <v>557</v>
      </c>
      <c r="B1474" t="s">
        <v>563</v>
      </c>
      <c r="C1474" t="s">
        <v>49</v>
      </c>
      <c r="D1474" t="s">
        <v>602</v>
      </c>
      <c r="E1474" s="230">
        <v>1452.35</v>
      </c>
      <c r="F1474" t="s">
        <v>560</v>
      </c>
      <c r="G1474" t="b">
        <v>1</v>
      </c>
      <c r="H1474" t="s">
        <v>469</v>
      </c>
    </row>
    <row r="1475" spans="1:8" x14ac:dyDescent="0.3">
      <c r="A1475" t="s">
        <v>557</v>
      </c>
      <c r="B1475" t="s">
        <v>564</v>
      </c>
      <c r="C1475" t="s">
        <v>565</v>
      </c>
      <c r="D1475" t="s">
        <v>602</v>
      </c>
      <c r="E1475" s="230">
        <v>101278.88</v>
      </c>
      <c r="F1475" t="s">
        <v>560</v>
      </c>
      <c r="G1475" t="b">
        <v>1</v>
      </c>
      <c r="H1475" t="s">
        <v>469</v>
      </c>
    </row>
    <row r="1476" spans="1:8" x14ac:dyDescent="0.3">
      <c r="A1476" t="s">
        <v>557</v>
      </c>
      <c r="B1476" t="s">
        <v>564</v>
      </c>
      <c r="C1476" t="s">
        <v>566</v>
      </c>
      <c r="D1476" t="s">
        <v>602</v>
      </c>
      <c r="E1476" s="230">
        <v>28061.86</v>
      </c>
      <c r="F1476" t="s">
        <v>560</v>
      </c>
      <c r="G1476" t="b">
        <v>1</v>
      </c>
      <c r="H1476" t="s">
        <v>469</v>
      </c>
    </row>
    <row r="1477" spans="1:8" x14ac:dyDescent="0.3">
      <c r="A1477" t="s">
        <v>557</v>
      </c>
      <c r="B1477" t="s">
        <v>564</v>
      </c>
      <c r="C1477" t="s">
        <v>567</v>
      </c>
      <c r="D1477" t="s">
        <v>602</v>
      </c>
      <c r="E1477" s="230">
        <v>710.76</v>
      </c>
      <c r="F1477" t="s">
        <v>560</v>
      </c>
      <c r="G1477" t="b">
        <v>1</v>
      </c>
      <c r="H1477" t="s">
        <v>469</v>
      </c>
    </row>
    <row r="1478" spans="1:8" x14ac:dyDescent="0.3">
      <c r="A1478" t="s">
        <v>557</v>
      </c>
      <c r="B1478" t="s">
        <v>564</v>
      </c>
      <c r="C1478" t="s">
        <v>568</v>
      </c>
      <c r="D1478" t="s">
        <v>602</v>
      </c>
      <c r="E1478" s="230">
        <v>0</v>
      </c>
      <c r="F1478" t="s">
        <v>560</v>
      </c>
      <c r="G1478" t="b">
        <v>1</v>
      </c>
      <c r="H1478" t="s">
        <v>469</v>
      </c>
    </row>
    <row r="1479" spans="1:8" x14ac:dyDescent="0.3">
      <c r="A1479" t="s">
        <v>557</v>
      </c>
      <c r="B1479" t="s">
        <v>569</v>
      </c>
      <c r="C1479" t="s">
        <v>58</v>
      </c>
      <c r="D1479" t="s">
        <v>602</v>
      </c>
      <c r="E1479" s="230">
        <v>3707.1</v>
      </c>
      <c r="F1479" t="s">
        <v>560</v>
      </c>
      <c r="G1479" t="b">
        <v>1</v>
      </c>
      <c r="H1479" t="s">
        <v>469</v>
      </c>
    </row>
    <row r="1480" spans="1:8" x14ac:dyDescent="0.3">
      <c r="A1480" t="s">
        <v>557</v>
      </c>
      <c r="B1480" t="s">
        <v>569</v>
      </c>
      <c r="C1480" t="s">
        <v>59</v>
      </c>
      <c r="D1480" t="s">
        <v>602</v>
      </c>
      <c r="E1480" s="230">
        <v>553.29999999999995</v>
      </c>
      <c r="F1480" t="s">
        <v>560</v>
      </c>
      <c r="G1480" t="b">
        <v>1</v>
      </c>
      <c r="H1480" t="s">
        <v>469</v>
      </c>
    </row>
    <row r="1481" spans="1:8" x14ac:dyDescent="0.3">
      <c r="A1481" t="s">
        <v>557</v>
      </c>
      <c r="B1481" t="s">
        <v>569</v>
      </c>
      <c r="C1481" t="s">
        <v>62</v>
      </c>
      <c r="D1481" t="s">
        <v>602</v>
      </c>
      <c r="E1481" s="230">
        <v>0</v>
      </c>
      <c r="F1481" t="s">
        <v>560</v>
      </c>
      <c r="G1481" t="b">
        <v>1</v>
      </c>
      <c r="H1481" t="s">
        <v>469</v>
      </c>
    </row>
    <row r="1482" spans="1:8" x14ac:dyDescent="0.3">
      <c r="A1482" t="s">
        <v>557</v>
      </c>
      <c r="B1482" t="s">
        <v>570</v>
      </c>
      <c r="C1482" t="s">
        <v>64</v>
      </c>
      <c r="D1482" t="s">
        <v>602</v>
      </c>
      <c r="E1482" s="230">
        <v>0</v>
      </c>
      <c r="F1482" t="s">
        <v>560</v>
      </c>
      <c r="G1482" t="b">
        <v>1</v>
      </c>
      <c r="H1482" t="s">
        <v>469</v>
      </c>
    </row>
    <row r="1483" spans="1:8" x14ac:dyDescent="0.3">
      <c r="A1483" t="s">
        <v>557</v>
      </c>
      <c r="B1483" t="s">
        <v>569</v>
      </c>
      <c r="C1483" t="s">
        <v>66</v>
      </c>
      <c r="D1483" t="s">
        <v>602</v>
      </c>
      <c r="E1483" s="230">
        <v>0</v>
      </c>
      <c r="F1483" t="s">
        <v>560</v>
      </c>
      <c r="G1483" t="b">
        <v>1</v>
      </c>
      <c r="H1483" t="s">
        <v>469</v>
      </c>
    </row>
    <row r="1484" spans="1:8" x14ac:dyDescent="0.3">
      <c r="A1484" t="s">
        <v>557</v>
      </c>
      <c r="B1484" t="s">
        <v>569</v>
      </c>
      <c r="C1484" t="s">
        <v>68</v>
      </c>
      <c r="D1484" t="s">
        <v>602</v>
      </c>
      <c r="E1484" s="230">
        <v>1936.54</v>
      </c>
      <c r="F1484" t="s">
        <v>560</v>
      </c>
      <c r="G1484" t="b">
        <v>1</v>
      </c>
      <c r="H1484" t="s">
        <v>469</v>
      </c>
    </row>
    <row r="1485" spans="1:8" x14ac:dyDescent="0.3">
      <c r="A1485" t="s">
        <v>557</v>
      </c>
      <c r="B1485" t="s">
        <v>569</v>
      </c>
      <c r="C1485" t="s">
        <v>69</v>
      </c>
      <c r="D1485" t="s">
        <v>602</v>
      </c>
      <c r="E1485" s="230">
        <v>0</v>
      </c>
      <c r="F1485" t="s">
        <v>560</v>
      </c>
      <c r="G1485" t="b">
        <v>1</v>
      </c>
      <c r="H1485" t="s">
        <v>469</v>
      </c>
    </row>
    <row r="1486" spans="1:8" x14ac:dyDescent="0.3">
      <c r="A1486" t="s">
        <v>557</v>
      </c>
      <c r="B1486" t="s">
        <v>570</v>
      </c>
      <c r="C1486" t="s">
        <v>73</v>
      </c>
      <c r="D1486" t="s">
        <v>602</v>
      </c>
      <c r="E1486" s="230">
        <v>4000</v>
      </c>
      <c r="F1486" t="s">
        <v>560</v>
      </c>
      <c r="G1486" t="b">
        <v>1</v>
      </c>
      <c r="H1486" t="s">
        <v>469</v>
      </c>
    </row>
    <row r="1487" spans="1:8" x14ac:dyDescent="0.3">
      <c r="A1487" t="s">
        <v>557</v>
      </c>
      <c r="B1487" t="s">
        <v>571</v>
      </c>
      <c r="C1487" t="s">
        <v>75</v>
      </c>
      <c r="D1487" t="s">
        <v>602</v>
      </c>
      <c r="E1487" s="230">
        <v>1405.5</v>
      </c>
      <c r="F1487" t="s">
        <v>560</v>
      </c>
      <c r="G1487" t="b">
        <v>1</v>
      </c>
      <c r="H1487" t="s">
        <v>469</v>
      </c>
    </row>
    <row r="1488" spans="1:8" x14ac:dyDescent="0.3">
      <c r="A1488" t="s">
        <v>557</v>
      </c>
      <c r="B1488" t="s">
        <v>571</v>
      </c>
      <c r="C1488" t="s">
        <v>78</v>
      </c>
      <c r="D1488" t="s">
        <v>602</v>
      </c>
      <c r="E1488" s="230">
        <v>1499.2</v>
      </c>
      <c r="F1488" t="s">
        <v>560</v>
      </c>
      <c r="G1488" t="b">
        <v>1</v>
      </c>
      <c r="H1488" t="s">
        <v>469</v>
      </c>
    </row>
    <row r="1489" spans="1:8" x14ac:dyDescent="0.3">
      <c r="A1489" t="s">
        <v>557</v>
      </c>
      <c r="B1489" t="s">
        <v>571</v>
      </c>
      <c r="C1489" t="s">
        <v>80</v>
      </c>
      <c r="D1489" t="s">
        <v>602</v>
      </c>
      <c r="E1489" s="230">
        <v>468.5</v>
      </c>
      <c r="F1489" t="s">
        <v>560</v>
      </c>
      <c r="G1489" t="b">
        <v>1</v>
      </c>
      <c r="H1489" t="s">
        <v>469</v>
      </c>
    </row>
    <row r="1490" spans="1:8" x14ac:dyDescent="0.3">
      <c r="A1490" t="s">
        <v>557</v>
      </c>
      <c r="B1490" t="s">
        <v>571</v>
      </c>
      <c r="C1490" t="s">
        <v>82</v>
      </c>
      <c r="D1490" t="s">
        <v>602</v>
      </c>
      <c r="E1490" s="230">
        <v>0</v>
      </c>
      <c r="F1490" t="s">
        <v>560</v>
      </c>
      <c r="G1490" t="b">
        <v>1</v>
      </c>
      <c r="H1490" t="s">
        <v>469</v>
      </c>
    </row>
    <row r="1491" spans="1:8" x14ac:dyDescent="0.3">
      <c r="A1491" t="s">
        <v>557</v>
      </c>
      <c r="B1491" t="s">
        <v>571</v>
      </c>
      <c r="C1491" t="s">
        <v>84</v>
      </c>
      <c r="D1491" t="s">
        <v>602</v>
      </c>
      <c r="E1491" s="230">
        <v>0</v>
      </c>
      <c r="F1491" t="s">
        <v>560</v>
      </c>
      <c r="G1491" t="b">
        <v>1</v>
      </c>
      <c r="H1491" t="s">
        <v>469</v>
      </c>
    </row>
    <row r="1492" spans="1:8" x14ac:dyDescent="0.3">
      <c r="A1492" t="s">
        <v>557</v>
      </c>
      <c r="B1492" t="s">
        <v>571</v>
      </c>
      <c r="C1492" t="s">
        <v>86</v>
      </c>
      <c r="D1492" t="s">
        <v>602</v>
      </c>
      <c r="E1492" s="230">
        <v>0</v>
      </c>
      <c r="F1492" t="s">
        <v>560</v>
      </c>
      <c r="G1492" t="b">
        <v>1</v>
      </c>
      <c r="H1492" t="s">
        <v>469</v>
      </c>
    </row>
    <row r="1493" spans="1:8" x14ac:dyDescent="0.3">
      <c r="A1493" t="s">
        <v>557</v>
      </c>
      <c r="B1493" t="s">
        <v>571</v>
      </c>
      <c r="C1493" t="s">
        <v>87</v>
      </c>
      <c r="D1493" t="s">
        <v>602</v>
      </c>
      <c r="E1493" s="230">
        <v>0</v>
      </c>
      <c r="F1493" t="s">
        <v>560</v>
      </c>
      <c r="G1493" t="b">
        <v>1</v>
      </c>
      <c r="H1493" t="s">
        <v>469</v>
      </c>
    </row>
    <row r="1494" spans="1:8" x14ac:dyDescent="0.3">
      <c r="A1494" t="s">
        <v>557</v>
      </c>
      <c r="B1494" t="s">
        <v>571</v>
      </c>
      <c r="C1494" t="s">
        <v>88</v>
      </c>
      <c r="D1494" t="s">
        <v>602</v>
      </c>
      <c r="E1494" s="230">
        <v>0</v>
      </c>
      <c r="F1494" t="s">
        <v>560</v>
      </c>
      <c r="G1494" t="b">
        <v>1</v>
      </c>
      <c r="H1494" t="s">
        <v>469</v>
      </c>
    </row>
    <row r="1495" spans="1:8" x14ac:dyDescent="0.3">
      <c r="A1495" t="s">
        <v>557</v>
      </c>
      <c r="B1495" t="s">
        <v>571</v>
      </c>
      <c r="C1495" t="s">
        <v>89</v>
      </c>
      <c r="D1495" t="s">
        <v>602</v>
      </c>
      <c r="E1495" s="230">
        <v>0</v>
      </c>
      <c r="F1495" t="s">
        <v>560</v>
      </c>
      <c r="G1495" t="b">
        <v>1</v>
      </c>
      <c r="H1495" t="s">
        <v>469</v>
      </c>
    </row>
    <row r="1496" spans="1:8" x14ac:dyDescent="0.3">
      <c r="A1496" t="s">
        <v>557</v>
      </c>
      <c r="B1496" t="s">
        <v>571</v>
      </c>
      <c r="C1496" t="s">
        <v>91</v>
      </c>
      <c r="D1496" t="s">
        <v>602</v>
      </c>
      <c r="E1496" s="230">
        <v>0</v>
      </c>
      <c r="F1496" t="s">
        <v>560</v>
      </c>
      <c r="G1496" t="b">
        <v>1</v>
      </c>
      <c r="H1496" t="s">
        <v>469</v>
      </c>
    </row>
    <row r="1497" spans="1:8" x14ac:dyDescent="0.3">
      <c r="A1497" t="s">
        <v>557</v>
      </c>
      <c r="B1497" t="s">
        <v>571</v>
      </c>
      <c r="C1497" t="s">
        <v>93</v>
      </c>
      <c r="D1497" t="s">
        <v>602</v>
      </c>
      <c r="E1497" s="230">
        <v>0</v>
      </c>
      <c r="F1497" t="s">
        <v>560</v>
      </c>
      <c r="G1497" t="b">
        <v>1</v>
      </c>
      <c r="H1497" t="s">
        <v>469</v>
      </c>
    </row>
    <row r="1498" spans="1:8" x14ac:dyDescent="0.3">
      <c r="A1498" t="s">
        <v>557</v>
      </c>
      <c r="B1498" t="s">
        <v>571</v>
      </c>
      <c r="C1498" t="s">
        <v>96</v>
      </c>
      <c r="D1498" t="s">
        <v>602</v>
      </c>
      <c r="E1498" s="230">
        <v>0</v>
      </c>
      <c r="F1498" t="s">
        <v>560</v>
      </c>
      <c r="G1498" t="b">
        <v>1</v>
      </c>
      <c r="H1498" t="s">
        <v>469</v>
      </c>
    </row>
    <row r="1499" spans="1:8" x14ac:dyDescent="0.3">
      <c r="A1499" t="s">
        <v>557</v>
      </c>
      <c r="B1499" t="s">
        <v>571</v>
      </c>
      <c r="C1499" t="s">
        <v>98</v>
      </c>
      <c r="D1499" t="s">
        <v>602</v>
      </c>
      <c r="E1499" s="230">
        <v>0</v>
      </c>
      <c r="F1499" t="s">
        <v>560</v>
      </c>
      <c r="G1499" t="b">
        <v>1</v>
      </c>
      <c r="H1499" t="s">
        <v>469</v>
      </c>
    </row>
    <row r="1500" spans="1:8" x14ac:dyDescent="0.3">
      <c r="A1500" t="s">
        <v>557</v>
      </c>
      <c r="B1500" t="s">
        <v>571</v>
      </c>
      <c r="C1500" t="s">
        <v>100</v>
      </c>
      <c r="D1500" t="s">
        <v>602</v>
      </c>
      <c r="E1500" s="230">
        <v>0</v>
      </c>
      <c r="F1500" t="s">
        <v>560</v>
      </c>
      <c r="G1500" t="b">
        <v>1</v>
      </c>
      <c r="H1500" t="s">
        <v>469</v>
      </c>
    </row>
    <row r="1501" spans="1:8" x14ac:dyDescent="0.3">
      <c r="A1501" t="s">
        <v>557</v>
      </c>
      <c r="B1501" t="s">
        <v>571</v>
      </c>
      <c r="C1501" t="s">
        <v>102</v>
      </c>
      <c r="D1501" t="s">
        <v>602</v>
      </c>
      <c r="E1501" s="230">
        <v>0</v>
      </c>
      <c r="F1501" t="s">
        <v>560</v>
      </c>
      <c r="G1501" t="b">
        <v>1</v>
      </c>
      <c r="H1501" t="s">
        <v>469</v>
      </c>
    </row>
    <row r="1502" spans="1:8" x14ac:dyDescent="0.3">
      <c r="A1502" t="s">
        <v>557</v>
      </c>
      <c r="B1502" t="s">
        <v>571</v>
      </c>
      <c r="C1502" t="s">
        <v>103</v>
      </c>
      <c r="D1502" t="s">
        <v>602</v>
      </c>
      <c r="E1502" s="230">
        <v>0</v>
      </c>
      <c r="F1502" t="s">
        <v>560</v>
      </c>
      <c r="G1502" t="b">
        <v>1</v>
      </c>
      <c r="H1502" t="s">
        <v>469</v>
      </c>
    </row>
    <row r="1503" spans="1:8" x14ac:dyDescent="0.3">
      <c r="A1503" t="s">
        <v>557</v>
      </c>
      <c r="B1503" t="s">
        <v>571</v>
      </c>
      <c r="C1503" t="s">
        <v>104</v>
      </c>
      <c r="D1503" t="s">
        <v>602</v>
      </c>
      <c r="E1503" s="230">
        <v>0</v>
      </c>
      <c r="F1503" t="s">
        <v>560</v>
      </c>
      <c r="G1503" t="b">
        <v>1</v>
      </c>
      <c r="H1503" t="s">
        <v>469</v>
      </c>
    </row>
    <row r="1504" spans="1:8" x14ac:dyDescent="0.3">
      <c r="A1504" t="s">
        <v>557</v>
      </c>
      <c r="B1504" t="s">
        <v>571</v>
      </c>
      <c r="C1504" t="s">
        <v>105</v>
      </c>
      <c r="D1504" t="s">
        <v>602</v>
      </c>
      <c r="E1504" s="230">
        <v>0</v>
      </c>
      <c r="F1504" t="s">
        <v>560</v>
      </c>
      <c r="G1504" t="b">
        <v>1</v>
      </c>
      <c r="H1504" t="s">
        <v>469</v>
      </c>
    </row>
    <row r="1505" spans="1:8" x14ac:dyDescent="0.3">
      <c r="A1505" t="s">
        <v>557</v>
      </c>
      <c r="B1505" t="s">
        <v>571</v>
      </c>
      <c r="C1505" t="s">
        <v>108</v>
      </c>
      <c r="D1505" t="s">
        <v>602</v>
      </c>
      <c r="E1505" s="230">
        <v>0</v>
      </c>
      <c r="F1505" t="s">
        <v>560</v>
      </c>
      <c r="G1505" t="b">
        <v>1</v>
      </c>
      <c r="H1505" t="s">
        <v>469</v>
      </c>
    </row>
    <row r="1506" spans="1:8" x14ac:dyDescent="0.3">
      <c r="A1506" t="s">
        <v>557</v>
      </c>
      <c r="B1506" t="s">
        <v>571</v>
      </c>
      <c r="C1506" t="s">
        <v>109</v>
      </c>
      <c r="D1506" t="s">
        <v>602</v>
      </c>
      <c r="E1506" s="230">
        <v>0</v>
      </c>
      <c r="F1506" t="s">
        <v>560</v>
      </c>
      <c r="G1506" t="b">
        <v>1</v>
      </c>
      <c r="H1506" t="s">
        <v>469</v>
      </c>
    </row>
    <row r="1507" spans="1:8" x14ac:dyDescent="0.3">
      <c r="A1507" t="s">
        <v>557</v>
      </c>
      <c r="B1507" t="s">
        <v>572</v>
      </c>
      <c r="C1507" t="s">
        <v>112</v>
      </c>
      <c r="D1507" t="s">
        <v>602</v>
      </c>
      <c r="E1507" s="230">
        <v>39924.01</v>
      </c>
      <c r="F1507" t="s">
        <v>560</v>
      </c>
      <c r="G1507" t="b">
        <v>1</v>
      </c>
      <c r="H1507" t="s">
        <v>469</v>
      </c>
    </row>
    <row r="1508" spans="1:8" x14ac:dyDescent="0.3">
      <c r="A1508" t="s">
        <v>557</v>
      </c>
      <c r="B1508" t="s">
        <v>562</v>
      </c>
      <c r="C1508" t="s">
        <v>116</v>
      </c>
      <c r="D1508" t="s">
        <v>602</v>
      </c>
      <c r="E1508" s="230">
        <v>8731.82</v>
      </c>
      <c r="F1508" t="s">
        <v>560</v>
      </c>
      <c r="G1508" t="b">
        <v>1</v>
      </c>
      <c r="H1508" t="s">
        <v>469</v>
      </c>
    </row>
    <row r="1509" spans="1:8" x14ac:dyDescent="0.3">
      <c r="A1509" t="s">
        <v>557</v>
      </c>
      <c r="B1509" t="s">
        <v>562</v>
      </c>
      <c r="C1509" t="s">
        <v>118</v>
      </c>
      <c r="D1509" t="s">
        <v>602</v>
      </c>
      <c r="E1509" s="230">
        <v>6159.88</v>
      </c>
      <c r="F1509" t="s">
        <v>560</v>
      </c>
      <c r="G1509" t="b">
        <v>1</v>
      </c>
      <c r="H1509" t="s">
        <v>469</v>
      </c>
    </row>
    <row r="1510" spans="1:8" x14ac:dyDescent="0.3">
      <c r="A1510" t="s">
        <v>557</v>
      </c>
      <c r="B1510" t="s">
        <v>562</v>
      </c>
      <c r="C1510" t="s">
        <v>120</v>
      </c>
      <c r="D1510" t="s">
        <v>602</v>
      </c>
      <c r="E1510" s="230">
        <v>0</v>
      </c>
      <c r="F1510" t="s">
        <v>560</v>
      </c>
      <c r="G1510" t="b">
        <v>1</v>
      </c>
      <c r="H1510" t="s">
        <v>469</v>
      </c>
    </row>
    <row r="1511" spans="1:8" x14ac:dyDescent="0.3">
      <c r="A1511" t="s">
        <v>557</v>
      </c>
      <c r="B1511" t="s">
        <v>562</v>
      </c>
      <c r="C1511" t="s">
        <v>122</v>
      </c>
      <c r="D1511" t="s">
        <v>602</v>
      </c>
      <c r="E1511" s="230">
        <v>0</v>
      </c>
      <c r="F1511" t="s">
        <v>560</v>
      </c>
      <c r="G1511" t="b">
        <v>1</v>
      </c>
      <c r="H1511" t="s">
        <v>469</v>
      </c>
    </row>
    <row r="1512" spans="1:8" x14ac:dyDescent="0.3">
      <c r="A1512" t="s">
        <v>557</v>
      </c>
      <c r="B1512" t="s">
        <v>570</v>
      </c>
      <c r="C1512" t="s">
        <v>573</v>
      </c>
      <c r="D1512" t="s">
        <v>602</v>
      </c>
      <c r="E1512" s="230">
        <v>33850</v>
      </c>
      <c r="F1512" t="s">
        <v>560</v>
      </c>
      <c r="G1512" t="b">
        <v>1</v>
      </c>
      <c r="H1512" t="s">
        <v>469</v>
      </c>
    </row>
    <row r="1513" spans="1:8" x14ac:dyDescent="0.3">
      <c r="A1513" t="s">
        <v>557</v>
      </c>
      <c r="B1513" t="s">
        <v>574</v>
      </c>
      <c r="C1513" t="s">
        <v>575</v>
      </c>
      <c r="D1513" t="s">
        <v>602</v>
      </c>
      <c r="E1513" s="230">
        <v>36515.129999999997</v>
      </c>
      <c r="F1513" t="s">
        <v>560</v>
      </c>
      <c r="G1513" t="b">
        <v>1</v>
      </c>
      <c r="H1513" t="s">
        <v>469</v>
      </c>
    </row>
    <row r="1514" spans="1:8" x14ac:dyDescent="0.3">
      <c r="A1514" t="s">
        <v>557</v>
      </c>
      <c r="B1514" t="s">
        <v>576</v>
      </c>
      <c r="C1514" t="s">
        <v>203</v>
      </c>
      <c r="D1514" t="s">
        <v>602</v>
      </c>
      <c r="E1514" s="230">
        <v>15409.09</v>
      </c>
      <c r="F1514" t="s">
        <v>560</v>
      </c>
      <c r="G1514" t="b">
        <v>1</v>
      </c>
      <c r="H1514" t="s">
        <v>469</v>
      </c>
    </row>
    <row r="1515" spans="1:8" x14ac:dyDescent="0.3">
      <c r="A1515" t="s">
        <v>557</v>
      </c>
      <c r="B1515" t="s">
        <v>577</v>
      </c>
      <c r="C1515" t="s">
        <v>206</v>
      </c>
      <c r="D1515" t="s">
        <v>602</v>
      </c>
      <c r="E1515" s="230">
        <v>5344.19</v>
      </c>
      <c r="F1515" t="s">
        <v>560</v>
      </c>
      <c r="G1515" t="b">
        <v>1</v>
      </c>
      <c r="H1515" t="s">
        <v>469</v>
      </c>
    </row>
    <row r="1516" spans="1:8" x14ac:dyDescent="0.3">
      <c r="A1516" t="s">
        <v>557</v>
      </c>
      <c r="B1516" t="s">
        <v>577</v>
      </c>
      <c r="C1516" t="s">
        <v>209</v>
      </c>
      <c r="D1516" t="s">
        <v>602</v>
      </c>
      <c r="E1516" s="230">
        <v>0</v>
      </c>
      <c r="F1516" t="s">
        <v>560</v>
      </c>
      <c r="G1516" t="b">
        <v>1</v>
      </c>
      <c r="H1516" t="s">
        <v>469</v>
      </c>
    </row>
    <row r="1517" spans="1:8" x14ac:dyDescent="0.3">
      <c r="A1517" t="s">
        <v>557</v>
      </c>
      <c r="B1517" t="s">
        <v>577</v>
      </c>
      <c r="C1517" t="s">
        <v>211</v>
      </c>
      <c r="D1517" t="s">
        <v>602</v>
      </c>
      <c r="E1517" s="230">
        <v>0</v>
      </c>
      <c r="F1517" t="s">
        <v>560</v>
      </c>
      <c r="G1517" t="b">
        <v>1</v>
      </c>
      <c r="H1517" t="s">
        <v>469</v>
      </c>
    </row>
    <row r="1518" spans="1:8" x14ac:dyDescent="0.3">
      <c r="A1518" t="s">
        <v>557</v>
      </c>
      <c r="B1518" t="s">
        <v>577</v>
      </c>
      <c r="C1518" t="s">
        <v>213</v>
      </c>
      <c r="D1518" t="s">
        <v>602</v>
      </c>
      <c r="E1518" s="230">
        <v>3318.85</v>
      </c>
      <c r="F1518" t="s">
        <v>560</v>
      </c>
      <c r="G1518" t="b">
        <v>1</v>
      </c>
      <c r="H1518" t="s">
        <v>469</v>
      </c>
    </row>
    <row r="1519" spans="1:8" x14ac:dyDescent="0.3">
      <c r="A1519" t="s">
        <v>557</v>
      </c>
      <c r="B1519" t="s">
        <v>577</v>
      </c>
      <c r="C1519" t="s">
        <v>215</v>
      </c>
      <c r="D1519" t="s">
        <v>602</v>
      </c>
      <c r="E1519" s="230">
        <v>2121.19</v>
      </c>
      <c r="F1519" t="s">
        <v>560</v>
      </c>
      <c r="G1519" t="b">
        <v>1</v>
      </c>
      <c r="H1519" t="s">
        <v>469</v>
      </c>
    </row>
    <row r="1520" spans="1:8" x14ac:dyDescent="0.3">
      <c r="A1520" t="s">
        <v>557</v>
      </c>
      <c r="B1520" t="s">
        <v>577</v>
      </c>
      <c r="C1520" t="s">
        <v>217</v>
      </c>
      <c r="D1520" t="s">
        <v>602</v>
      </c>
      <c r="E1520" s="230">
        <v>29.54</v>
      </c>
      <c r="F1520" t="s">
        <v>560</v>
      </c>
      <c r="G1520" t="b">
        <v>1</v>
      </c>
      <c r="H1520" t="s">
        <v>469</v>
      </c>
    </row>
    <row r="1521" spans="1:8" x14ac:dyDescent="0.3">
      <c r="A1521" t="s">
        <v>557</v>
      </c>
      <c r="B1521" t="s">
        <v>577</v>
      </c>
      <c r="C1521" t="s">
        <v>219</v>
      </c>
      <c r="D1521" t="s">
        <v>602</v>
      </c>
      <c r="E1521" s="230">
        <v>18.88</v>
      </c>
      <c r="F1521" t="s">
        <v>560</v>
      </c>
      <c r="G1521" t="b">
        <v>1</v>
      </c>
      <c r="H1521" t="s">
        <v>469</v>
      </c>
    </row>
    <row r="1522" spans="1:8" x14ac:dyDescent="0.3">
      <c r="A1522" t="s">
        <v>557</v>
      </c>
      <c r="B1522" t="s">
        <v>577</v>
      </c>
      <c r="C1522" t="s">
        <v>221</v>
      </c>
      <c r="D1522" t="s">
        <v>602</v>
      </c>
      <c r="E1522" s="230">
        <v>0</v>
      </c>
      <c r="F1522" t="s">
        <v>560</v>
      </c>
      <c r="G1522" t="b">
        <v>1</v>
      </c>
      <c r="H1522" t="s">
        <v>469</v>
      </c>
    </row>
    <row r="1523" spans="1:8" x14ac:dyDescent="0.3">
      <c r="A1523" t="s">
        <v>557</v>
      </c>
      <c r="B1523" t="s">
        <v>577</v>
      </c>
      <c r="C1523" t="s">
        <v>223</v>
      </c>
      <c r="D1523" t="s">
        <v>602</v>
      </c>
      <c r="E1523" s="230">
        <v>0</v>
      </c>
      <c r="F1523" t="s">
        <v>560</v>
      </c>
      <c r="G1523" t="b">
        <v>1</v>
      </c>
      <c r="H1523" t="s">
        <v>469</v>
      </c>
    </row>
    <row r="1524" spans="1:8" x14ac:dyDescent="0.3">
      <c r="A1524" t="s">
        <v>557</v>
      </c>
      <c r="B1524" t="s">
        <v>577</v>
      </c>
      <c r="C1524" t="s">
        <v>225</v>
      </c>
      <c r="D1524" t="s">
        <v>602</v>
      </c>
      <c r="E1524" s="230">
        <v>1146.5899999999999</v>
      </c>
      <c r="F1524" t="s">
        <v>560</v>
      </c>
      <c r="G1524" t="b">
        <v>1</v>
      </c>
      <c r="H1524" t="s">
        <v>469</v>
      </c>
    </row>
    <row r="1525" spans="1:8" x14ac:dyDescent="0.3">
      <c r="A1525" t="s">
        <v>557</v>
      </c>
      <c r="B1525" t="s">
        <v>577</v>
      </c>
      <c r="C1525" t="s">
        <v>227</v>
      </c>
      <c r="D1525" t="s">
        <v>602</v>
      </c>
      <c r="E1525" s="230">
        <v>0</v>
      </c>
      <c r="F1525" t="s">
        <v>560</v>
      </c>
      <c r="G1525" t="b">
        <v>1</v>
      </c>
      <c r="H1525" t="s">
        <v>469</v>
      </c>
    </row>
    <row r="1526" spans="1:8" x14ac:dyDescent="0.3">
      <c r="A1526" t="s">
        <v>557</v>
      </c>
      <c r="B1526" t="s">
        <v>577</v>
      </c>
      <c r="C1526" t="s">
        <v>229</v>
      </c>
      <c r="D1526" t="s">
        <v>602</v>
      </c>
      <c r="E1526" s="230">
        <v>0</v>
      </c>
      <c r="F1526" t="s">
        <v>560</v>
      </c>
      <c r="G1526" t="b">
        <v>1</v>
      </c>
      <c r="H1526" t="s">
        <v>469</v>
      </c>
    </row>
    <row r="1527" spans="1:8" x14ac:dyDescent="0.3">
      <c r="A1527" t="s">
        <v>557</v>
      </c>
      <c r="B1527" t="s">
        <v>577</v>
      </c>
      <c r="C1527" t="s">
        <v>231</v>
      </c>
      <c r="D1527" t="s">
        <v>602</v>
      </c>
      <c r="E1527" s="230">
        <v>1980.47</v>
      </c>
      <c r="F1527" t="s">
        <v>560</v>
      </c>
      <c r="G1527" t="b">
        <v>1</v>
      </c>
      <c r="H1527" t="s">
        <v>469</v>
      </c>
    </row>
    <row r="1528" spans="1:8" x14ac:dyDescent="0.3">
      <c r="A1528" t="s">
        <v>557</v>
      </c>
      <c r="B1528" t="s">
        <v>577</v>
      </c>
      <c r="C1528" t="s">
        <v>234</v>
      </c>
      <c r="D1528" t="s">
        <v>602</v>
      </c>
      <c r="E1528" s="230">
        <v>248.97</v>
      </c>
      <c r="F1528" t="s">
        <v>560</v>
      </c>
      <c r="G1528" t="b">
        <v>1</v>
      </c>
      <c r="H1528" t="s">
        <v>469</v>
      </c>
    </row>
    <row r="1529" spans="1:8" x14ac:dyDescent="0.3">
      <c r="A1529" t="s">
        <v>557</v>
      </c>
      <c r="B1529" t="s">
        <v>577</v>
      </c>
      <c r="C1529" t="s">
        <v>236</v>
      </c>
      <c r="D1529" t="s">
        <v>602</v>
      </c>
      <c r="E1529" s="230">
        <v>0</v>
      </c>
      <c r="F1529" t="s">
        <v>560</v>
      </c>
      <c r="G1529" t="b">
        <v>1</v>
      </c>
      <c r="H1529" t="s">
        <v>469</v>
      </c>
    </row>
    <row r="1530" spans="1:8" x14ac:dyDescent="0.3">
      <c r="A1530" t="s">
        <v>557</v>
      </c>
      <c r="B1530" t="s">
        <v>577</v>
      </c>
      <c r="C1530" t="s">
        <v>237</v>
      </c>
      <c r="D1530" t="s">
        <v>602</v>
      </c>
      <c r="E1530" s="230">
        <v>0</v>
      </c>
      <c r="F1530" t="s">
        <v>560</v>
      </c>
      <c r="G1530" t="b">
        <v>1</v>
      </c>
      <c r="H1530" t="s">
        <v>469</v>
      </c>
    </row>
    <row r="1531" spans="1:8" x14ac:dyDescent="0.3">
      <c r="A1531" t="s">
        <v>557</v>
      </c>
      <c r="B1531" t="s">
        <v>578</v>
      </c>
      <c r="C1531" t="s">
        <v>239</v>
      </c>
      <c r="D1531" t="s">
        <v>602</v>
      </c>
      <c r="E1531" s="230">
        <v>4500</v>
      </c>
      <c r="F1531" t="s">
        <v>560</v>
      </c>
      <c r="G1531" t="b">
        <v>1</v>
      </c>
      <c r="H1531" t="s">
        <v>469</v>
      </c>
    </row>
    <row r="1532" spans="1:8" x14ac:dyDescent="0.3">
      <c r="A1532" t="s">
        <v>557</v>
      </c>
      <c r="B1532" t="s">
        <v>578</v>
      </c>
      <c r="C1532" t="s">
        <v>240</v>
      </c>
      <c r="D1532" t="s">
        <v>602</v>
      </c>
      <c r="E1532" s="230">
        <v>0</v>
      </c>
      <c r="F1532" t="s">
        <v>560</v>
      </c>
      <c r="G1532" t="b">
        <v>1</v>
      </c>
      <c r="H1532" t="s">
        <v>469</v>
      </c>
    </row>
    <row r="1533" spans="1:8" x14ac:dyDescent="0.3">
      <c r="A1533" t="s">
        <v>557</v>
      </c>
      <c r="B1533" t="s">
        <v>578</v>
      </c>
      <c r="C1533" t="s">
        <v>241</v>
      </c>
      <c r="D1533" t="s">
        <v>602</v>
      </c>
      <c r="E1533" s="230">
        <v>0</v>
      </c>
      <c r="F1533" t="s">
        <v>560</v>
      </c>
      <c r="G1533" t="b">
        <v>1</v>
      </c>
      <c r="H1533" t="s">
        <v>469</v>
      </c>
    </row>
    <row r="1534" spans="1:8" x14ac:dyDescent="0.3">
      <c r="A1534" t="s">
        <v>557</v>
      </c>
      <c r="B1534" t="s">
        <v>578</v>
      </c>
      <c r="C1534" t="s">
        <v>242</v>
      </c>
      <c r="D1534" t="s">
        <v>602</v>
      </c>
      <c r="E1534" s="230">
        <v>150</v>
      </c>
      <c r="F1534" t="s">
        <v>560</v>
      </c>
      <c r="G1534" t="b">
        <v>1</v>
      </c>
      <c r="H1534" t="s">
        <v>469</v>
      </c>
    </row>
    <row r="1535" spans="1:8" x14ac:dyDescent="0.3">
      <c r="A1535" t="s">
        <v>557</v>
      </c>
      <c r="B1535" t="s">
        <v>578</v>
      </c>
      <c r="C1535" t="s">
        <v>244</v>
      </c>
      <c r="D1535" t="s">
        <v>602</v>
      </c>
      <c r="E1535" s="230">
        <v>0</v>
      </c>
      <c r="F1535" t="s">
        <v>560</v>
      </c>
      <c r="G1535" t="b">
        <v>1</v>
      </c>
      <c r="H1535" t="s">
        <v>469</v>
      </c>
    </row>
    <row r="1536" spans="1:8" x14ac:dyDescent="0.3">
      <c r="A1536" t="s">
        <v>557</v>
      </c>
      <c r="B1536" t="s">
        <v>578</v>
      </c>
      <c r="C1536" t="s">
        <v>246</v>
      </c>
      <c r="D1536" t="s">
        <v>602</v>
      </c>
      <c r="E1536" s="230">
        <v>0</v>
      </c>
      <c r="F1536" t="s">
        <v>560</v>
      </c>
      <c r="G1536" t="b">
        <v>1</v>
      </c>
      <c r="H1536" t="s">
        <v>469</v>
      </c>
    </row>
    <row r="1537" spans="1:8" x14ac:dyDescent="0.3">
      <c r="A1537" t="s">
        <v>557</v>
      </c>
      <c r="B1537" t="s">
        <v>578</v>
      </c>
      <c r="C1537" t="s">
        <v>247</v>
      </c>
      <c r="D1537" t="s">
        <v>602</v>
      </c>
      <c r="E1537" s="230">
        <v>74.16</v>
      </c>
      <c r="F1537" t="s">
        <v>560</v>
      </c>
      <c r="G1537" t="b">
        <v>1</v>
      </c>
      <c r="H1537" t="s">
        <v>469</v>
      </c>
    </row>
    <row r="1538" spans="1:8" x14ac:dyDescent="0.3">
      <c r="A1538" t="s">
        <v>557</v>
      </c>
      <c r="B1538" t="s">
        <v>578</v>
      </c>
      <c r="C1538" t="s">
        <v>249</v>
      </c>
      <c r="D1538" t="s">
        <v>602</v>
      </c>
      <c r="E1538" s="230">
        <v>0</v>
      </c>
      <c r="F1538" t="s">
        <v>560</v>
      </c>
      <c r="G1538" t="b">
        <v>1</v>
      </c>
      <c r="H1538" t="s">
        <v>469</v>
      </c>
    </row>
    <row r="1539" spans="1:8" x14ac:dyDescent="0.3">
      <c r="A1539" t="s">
        <v>557</v>
      </c>
      <c r="B1539" t="s">
        <v>578</v>
      </c>
      <c r="C1539" t="s">
        <v>250</v>
      </c>
      <c r="D1539" t="s">
        <v>602</v>
      </c>
      <c r="E1539" s="230">
        <v>0</v>
      </c>
      <c r="F1539" t="s">
        <v>560</v>
      </c>
      <c r="G1539" t="b">
        <v>1</v>
      </c>
      <c r="H1539" t="s">
        <v>469</v>
      </c>
    </row>
    <row r="1540" spans="1:8" x14ac:dyDescent="0.3">
      <c r="A1540" t="s">
        <v>557</v>
      </c>
      <c r="B1540" t="s">
        <v>578</v>
      </c>
      <c r="C1540" t="s">
        <v>251</v>
      </c>
      <c r="D1540" t="s">
        <v>602</v>
      </c>
      <c r="E1540" s="230">
        <v>0</v>
      </c>
      <c r="F1540" t="s">
        <v>560</v>
      </c>
      <c r="G1540" t="b">
        <v>1</v>
      </c>
      <c r="H1540" t="s">
        <v>469</v>
      </c>
    </row>
    <row r="1541" spans="1:8" x14ac:dyDescent="0.3">
      <c r="A1541" t="s">
        <v>557</v>
      </c>
      <c r="B1541" t="s">
        <v>578</v>
      </c>
      <c r="C1541" t="s">
        <v>252</v>
      </c>
      <c r="D1541" t="s">
        <v>602</v>
      </c>
      <c r="E1541" s="230">
        <v>17109.77</v>
      </c>
      <c r="F1541" t="s">
        <v>560</v>
      </c>
      <c r="G1541" t="b">
        <v>1</v>
      </c>
      <c r="H1541" t="s">
        <v>469</v>
      </c>
    </row>
    <row r="1542" spans="1:8" x14ac:dyDescent="0.3">
      <c r="A1542" t="s">
        <v>557</v>
      </c>
      <c r="B1542" t="s">
        <v>579</v>
      </c>
      <c r="C1542" t="s">
        <v>253</v>
      </c>
      <c r="D1542" t="s">
        <v>602</v>
      </c>
      <c r="E1542" s="230">
        <v>0</v>
      </c>
      <c r="F1542" t="s">
        <v>560</v>
      </c>
      <c r="G1542" t="b">
        <v>1</v>
      </c>
      <c r="H1542" t="s">
        <v>469</v>
      </c>
    </row>
    <row r="1543" spans="1:8" x14ac:dyDescent="0.3">
      <c r="A1543" t="s">
        <v>557</v>
      </c>
      <c r="B1543" t="s">
        <v>256</v>
      </c>
      <c r="C1543" t="s">
        <v>257</v>
      </c>
      <c r="D1543" t="s">
        <v>602</v>
      </c>
      <c r="E1543" s="230">
        <v>51452.1</v>
      </c>
      <c r="F1543" t="s">
        <v>560</v>
      </c>
      <c r="G1543" t="b">
        <v>1</v>
      </c>
      <c r="H1543" t="s">
        <v>469</v>
      </c>
    </row>
    <row r="1544" spans="1:8" x14ac:dyDescent="0.3">
      <c r="A1544" t="s">
        <v>557</v>
      </c>
      <c r="B1544" t="s">
        <v>256</v>
      </c>
      <c r="C1544" t="s">
        <v>258</v>
      </c>
      <c r="D1544" t="s">
        <v>602</v>
      </c>
      <c r="E1544" s="230">
        <v>0</v>
      </c>
      <c r="F1544" t="s">
        <v>560</v>
      </c>
      <c r="G1544" t="b">
        <v>1</v>
      </c>
      <c r="H1544" t="s">
        <v>469</v>
      </c>
    </row>
    <row r="1545" spans="1:8" x14ac:dyDescent="0.3">
      <c r="A1545" t="s">
        <v>557</v>
      </c>
      <c r="B1545" t="s">
        <v>256</v>
      </c>
      <c r="C1545" t="s">
        <v>259</v>
      </c>
      <c r="D1545" t="s">
        <v>602</v>
      </c>
      <c r="E1545" s="230">
        <v>2847.92</v>
      </c>
      <c r="F1545" t="s">
        <v>560</v>
      </c>
      <c r="G1545" t="b">
        <v>1</v>
      </c>
      <c r="H1545" t="s">
        <v>469</v>
      </c>
    </row>
    <row r="1546" spans="1:8" x14ac:dyDescent="0.3">
      <c r="A1546" t="s">
        <v>557</v>
      </c>
      <c r="B1546" t="s">
        <v>256</v>
      </c>
      <c r="C1546" t="s">
        <v>260</v>
      </c>
      <c r="D1546" t="s">
        <v>602</v>
      </c>
      <c r="E1546" s="230">
        <v>0</v>
      </c>
      <c r="F1546" t="s">
        <v>560</v>
      </c>
      <c r="G1546" t="b">
        <v>1</v>
      </c>
      <c r="H1546" t="s">
        <v>469</v>
      </c>
    </row>
    <row r="1547" spans="1:8" x14ac:dyDescent="0.3">
      <c r="A1547" t="s">
        <v>557</v>
      </c>
      <c r="B1547" t="s">
        <v>256</v>
      </c>
      <c r="C1547" t="s">
        <v>261</v>
      </c>
      <c r="D1547" t="s">
        <v>602</v>
      </c>
      <c r="E1547" s="230">
        <v>286.98</v>
      </c>
      <c r="F1547" t="s">
        <v>560</v>
      </c>
      <c r="G1547" t="b">
        <v>1</v>
      </c>
      <c r="H1547" t="s">
        <v>469</v>
      </c>
    </row>
    <row r="1548" spans="1:8" x14ac:dyDescent="0.3">
      <c r="A1548" t="s">
        <v>557</v>
      </c>
      <c r="B1548" t="s">
        <v>256</v>
      </c>
      <c r="C1548" t="s">
        <v>262</v>
      </c>
      <c r="D1548" t="s">
        <v>602</v>
      </c>
      <c r="E1548" s="230">
        <v>0</v>
      </c>
      <c r="F1548" t="s">
        <v>560</v>
      </c>
      <c r="G1548" t="b">
        <v>1</v>
      </c>
      <c r="H1548" t="s">
        <v>469</v>
      </c>
    </row>
    <row r="1549" spans="1:8" x14ac:dyDescent="0.3">
      <c r="A1549" t="s">
        <v>557</v>
      </c>
      <c r="B1549" t="s">
        <v>256</v>
      </c>
      <c r="C1549" t="s">
        <v>263</v>
      </c>
      <c r="D1549" t="s">
        <v>602</v>
      </c>
      <c r="E1549" s="230">
        <v>0</v>
      </c>
      <c r="F1549" t="s">
        <v>560</v>
      </c>
      <c r="G1549" t="b">
        <v>1</v>
      </c>
      <c r="H1549" t="s">
        <v>469</v>
      </c>
    </row>
    <row r="1550" spans="1:8" x14ac:dyDescent="0.3">
      <c r="A1550" t="s">
        <v>557</v>
      </c>
      <c r="B1550" t="s">
        <v>264</v>
      </c>
      <c r="C1550" t="s">
        <v>265</v>
      </c>
      <c r="D1550" t="s">
        <v>602</v>
      </c>
      <c r="E1550" s="230">
        <v>5256.82</v>
      </c>
      <c r="F1550" t="s">
        <v>560</v>
      </c>
      <c r="G1550" t="b">
        <v>1</v>
      </c>
      <c r="H1550" t="s">
        <v>469</v>
      </c>
    </row>
    <row r="1551" spans="1:8" x14ac:dyDescent="0.3">
      <c r="A1551" t="s">
        <v>557</v>
      </c>
      <c r="B1551" t="s">
        <v>264</v>
      </c>
      <c r="C1551" t="s">
        <v>266</v>
      </c>
      <c r="D1551" t="s">
        <v>602</v>
      </c>
      <c r="E1551" s="230">
        <v>11106.82</v>
      </c>
      <c r="F1551" t="s">
        <v>560</v>
      </c>
      <c r="G1551" t="b">
        <v>1</v>
      </c>
      <c r="H1551" t="s">
        <v>469</v>
      </c>
    </row>
    <row r="1552" spans="1:8" x14ac:dyDescent="0.3">
      <c r="A1552" t="s">
        <v>557</v>
      </c>
      <c r="B1552" t="s">
        <v>264</v>
      </c>
      <c r="C1552" t="s">
        <v>267</v>
      </c>
      <c r="D1552" t="s">
        <v>602</v>
      </c>
      <c r="E1552" s="230">
        <v>6956.82</v>
      </c>
      <c r="F1552" t="s">
        <v>560</v>
      </c>
      <c r="G1552" t="b">
        <v>1</v>
      </c>
      <c r="H1552" t="s">
        <v>469</v>
      </c>
    </row>
    <row r="1553" spans="1:8" x14ac:dyDescent="0.3">
      <c r="A1553" t="s">
        <v>557</v>
      </c>
      <c r="B1553" t="s">
        <v>264</v>
      </c>
      <c r="C1553" t="s">
        <v>268</v>
      </c>
      <c r="D1553" t="s">
        <v>602</v>
      </c>
      <c r="E1553" s="230">
        <v>6556.82</v>
      </c>
      <c r="F1553" t="s">
        <v>560</v>
      </c>
      <c r="G1553" t="b">
        <v>1</v>
      </c>
      <c r="H1553" t="s">
        <v>469</v>
      </c>
    </row>
    <row r="1554" spans="1:8" x14ac:dyDescent="0.3">
      <c r="A1554" t="s">
        <v>557</v>
      </c>
      <c r="B1554" t="s">
        <v>264</v>
      </c>
      <c r="C1554" t="s">
        <v>269</v>
      </c>
      <c r="D1554" t="s">
        <v>602</v>
      </c>
      <c r="E1554" s="230">
        <v>606.82000000000005</v>
      </c>
      <c r="F1554" t="s">
        <v>560</v>
      </c>
      <c r="G1554" t="b">
        <v>1</v>
      </c>
      <c r="H1554" t="s">
        <v>469</v>
      </c>
    </row>
    <row r="1555" spans="1:8" x14ac:dyDescent="0.3">
      <c r="A1555" t="s">
        <v>557</v>
      </c>
      <c r="B1555" t="s">
        <v>264</v>
      </c>
      <c r="C1555" t="s">
        <v>270</v>
      </c>
      <c r="D1555" t="s">
        <v>602</v>
      </c>
      <c r="E1555" s="230">
        <v>561</v>
      </c>
      <c r="F1555" t="s">
        <v>560</v>
      </c>
      <c r="G1555" t="b">
        <v>1</v>
      </c>
      <c r="H1555" t="s">
        <v>469</v>
      </c>
    </row>
    <row r="1556" spans="1:8" x14ac:dyDescent="0.3">
      <c r="A1556" t="s">
        <v>557</v>
      </c>
      <c r="B1556" t="s">
        <v>264</v>
      </c>
      <c r="C1556" t="s">
        <v>271</v>
      </c>
      <c r="D1556" t="s">
        <v>602</v>
      </c>
      <c r="E1556" s="230">
        <v>1256.82</v>
      </c>
      <c r="F1556" t="s">
        <v>560</v>
      </c>
      <c r="G1556" t="b">
        <v>1</v>
      </c>
      <c r="H1556" t="s">
        <v>469</v>
      </c>
    </row>
    <row r="1557" spans="1:8" x14ac:dyDescent="0.3">
      <c r="A1557" t="s">
        <v>557</v>
      </c>
      <c r="B1557" t="s">
        <v>264</v>
      </c>
      <c r="C1557" t="s">
        <v>272</v>
      </c>
      <c r="D1557" t="s">
        <v>602</v>
      </c>
      <c r="E1557" s="230">
        <v>2356.8200000000002</v>
      </c>
      <c r="F1557" t="s">
        <v>560</v>
      </c>
      <c r="G1557" t="b">
        <v>1</v>
      </c>
      <c r="H1557" t="s">
        <v>469</v>
      </c>
    </row>
    <row r="1558" spans="1:8" x14ac:dyDescent="0.3">
      <c r="A1558" t="s">
        <v>557</v>
      </c>
      <c r="B1558" t="s">
        <v>264</v>
      </c>
      <c r="C1558" t="s">
        <v>273</v>
      </c>
      <c r="D1558" t="s">
        <v>602</v>
      </c>
      <c r="E1558" s="230">
        <v>256.82</v>
      </c>
      <c r="F1558" t="s">
        <v>560</v>
      </c>
      <c r="G1558" t="b">
        <v>1</v>
      </c>
      <c r="H1558" t="s">
        <v>469</v>
      </c>
    </row>
    <row r="1559" spans="1:8" x14ac:dyDescent="0.3">
      <c r="A1559" t="s">
        <v>557</v>
      </c>
      <c r="B1559" t="s">
        <v>264</v>
      </c>
      <c r="C1559" t="s">
        <v>580</v>
      </c>
      <c r="D1559" t="s">
        <v>602</v>
      </c>
      <c r="E1559" s="230">
        <v>256.82</v>
      </c>
      <c r="F1559" t="s">
        <v>560</v>
      </c>
      <c r="G1559" t="b">
        <v>1</v>
      </c>
      <c r="H1559" t="s">
        <v>469</v>
      </c>
    </row>
    <row r="1560" spans="1:8" x14ac:dyDescent="0.3">
      <c r="A1560" t="s">
        <v>557</v>
      </c>
      <c r="B1560" t="s">
        <v>264</v>
      </c>
      <c r="C1560" t="s">
        <v>275</v>
      </c>
      <c r="D1560" t="s">
        <v>602</v>
      </c>
      <c r="E1560" s="230">
        <v>1256.82</v>
      </c>
      <c r="F1560" t="s">
        <v>560</v>
      </c>
      <c r="G1560" t="b">
        <v>1</v>
      </c>
      <c r="H1560" t="s">
        <v>469</v>
      </c>
    </row>
    <row r="1561" spans="1:8" x14ac:dyDescent="0.3">
      <c r="A1561" t="s">
        <v>557</v>
      </c>
      <c r="B1561" t="s">
        <v>264</v>
      </c>
      <c r="C1561" t="s">
        <v>276</v>
      </c>
      <c r="D1561" t="s">
        <v>602</v>
      </c>
      <c r="E1561" s="230">
        <v>1428</v>
      </c>
      <c r="F1561" t="s">
        <v>560</v>
      </c>
      <c r="G1561" t="b">
        <v>1</v>
      </c>
      <c r="H1561" t="s">
        <v>469</v>
      </c>
    </row>
    <row r="1562" spans="1:8" x14ac:dyDescent="0.3">
      <c r="A1562" t="s">
        <v>557</v>
      </c>
      <c r="B1562" t="s">
        <v>264</v>
      </c>
      <c r="C1562" t="s">
        <v>277</v>
      </c>
      <c r="D1562" t="s">
        <v>602</v>
      </c>
      <c r="E1562" s="230">
        <v>250</v>
      </c>
      <c r="F1562" t="s">
        <v>560</v>
      </c>
      <c r="G1562" t="b">
        <v>1</v>
      </c>
      <c r="H1562" t="s">
        <v>469</v>
      </c>
    </row>
    <row r="1563" spans="1:8" x14ac:dyDescent="0.3">
      <c r="A1563" t="s">
        <v>557</v>
      </c>
      <c r="B1563" t="s">
        <v>264</v>
      </c>
      <c r="C1563" t="s">
        <v>278</v>
      </c>
      <c r="D1563" t="s">
        <v>602</v>
      </c>
      <c r="E1563" s="230">
        <v>3356.82</v>
      </c>
      <c r="F1563" t="s">
        <v>560</v>
      </c>
      <c r="G1563" t="b">
        <v>1</v>
      </c>
      <c r="H1563" t="s">
        <v>469</v>
      </c>
    </row>
    <row r="1564" spans="1:8" x14ac:dyDescent="0.3">
      <c r="A1564" t="s">
        <v>557</v>
      </c>
      <c r="B1564" t="s">
        <v>279</v>
      </c>
      <c r="C1564" t="s">
        <v>280</v>
      </c>
      <c r="D1564" t="s">
        <v>602</v>
      </c>
      <c r="E1564" s="230">
        <v>0</v>
      </c>
      <c r="F1564" t="s">
        <v>560</v>
      </c>
      <c r="G1564" t="b">
        <v>1</v>
      </c>
      <c r="H1564" t="s">
        <v>469</v>
      </c>
    </row>
    <row r="1565" spans="1:8" x14ac:dyDescent="0.3">
      <c r="A1565" t="s">
        <v>557</v>
      </c>
      <c r="B1565" t="s">
        <v>279</v>
      </c>
      <c r="C1565" t="s">
        <v>281</v>
      </c>
      <c r="D1565" t="s">
        <v>602</v>
      </c>
      <c r="E1565" s="230">
        <v>608.54999999999995</v>
      </c>
      <c r="F1565" t="s">
        <v>560</v>
      </c>
      <c r="G1565" t="b">
        <v>1</v>
      </c>
      <c r="H1565" t="s">
        <v>469</v>
      </c>
    </row>
    <row r="1566" spans="1:8" x14ac:dyDescent="0.3">
      <c r="A1566" t="s">
        <v>557</v>
      </c>
      <c r="B1566" t="s">
        <v>279</v>
      </c>
      <c r="C1566" t="s">
        <v>282</v>
      </c>
      <c r="D1566" t="s">
        <v>602</v>
      </c>
      <c r="E1566" s="230">
        <v>416.13</v>
      </c>
      <c r="F1566" t="s">
        <v>560</v>
      </c>
      <c r="G1566" t="b">
        <v>1</v>
      </c>
      <c r="H1566" t="s">
        <v>469</v>
      </c>
    </row>
    <row r="1567" spans="1:8" x14ac:dyDescent="0.3">
      <c r="A1567" t="s">
        <v>557</v>
      </c>
      <c r="B1567" t="s">
        <v>279</v>
      </c>
      <c r="C1567" t="s">
        <v>283</v>
      </c>
      <c r="D1567" t="s">
        <v>602</v>
      </c>
      <c r="E1567" s="230">
        <v>0</v>
      </c>
      <c r="F1567" t="s">
        <v>560</v>
      </c>
      <c r="G1567" t="b">
        <v>1</v>
      </c>
      <c r="H1567" t="s">
        <v>469</v>
      </c>
    </row>
    <row r="1568" spans="1:8" x14ac:dyDescent="0.3">
      <c r="A1568" t="s">
        <v>557</v>
      </c>
      <c r="B1568" t="s">
        <v>279</v>
      </c>
      <c r="C1568" t="s">
        <v>284</v>
      </c>
      <c r="D1568" t="s">
        <v>602</v>
      </c>
      <c r="E1568" s="230">
        <v>2614.5</v>
      </c>
      <c r="F1568" t="s">
        <v>560</v>
      </c>
      <c r="G1568" t="b">
        <v>1</v>
      </c>
      <c r="H1568" t="s">
        <v>469</v>
      </c>
    </row>
    <row r="1569" spans="1:8" x14ac:dyDescent="0.3">
      <c r="A1569" t="s">
        <v>557</v>
      </c>
      <c r="B1569" t="s">
        <v>279</v>
      </c>
      <c r="C1569" t="s">
        <v>285</v>
      </c>
      <c r="D1569" t="s">
        <v>602</v>
      </c>
      <c r="E1569" s="230">
        <v>408.45</v>
      </c>
      <c r="F1569" t="s">
        <v>560</v>
      </c>
      <c r="G1569" t="b">
        <v>1</v>
      </c>
      <c r="H1569" t="s">
        <v>469</v>
      </c>
    </row>
    <row r="1570" spans="1:8" x14ac:dyDescent="0.3">
      <c r="A1570" t="s">
        <v>557</v>
      </c>
      <c r="B1570" t="s">
        <v>279</v>
      </c>
      <c r="C1570" t="s">
        <v>286</v>
      </c>
      <c r="D1570" t="s">
        <v>602</v>
      </c>
      <c r="E1570" s="230">
        <v>1017.45</v>
      </c>
      <c r="F1570" t="s">
        <v>560</v>
      </c>
      <c r="G1570" t="b">
        <v>1</v>
      </c>
      <c r="H1570" t="s">
        <v>469</v>
      </c>
    </row>
    <row r="1571" spans="1:8" x14ac:dyDescent="0.3">
      <c r="A1571" t="s">
        <v>557</v>
      </c>
      <c r="B1571" t="s">
        <v>581</v>
      </c>
      <c r="C1571" t="s">
        <v>288</v>
      </c>
      <c r="D1571" t="s">
        <v>602</v>
      </c>
      <c r="E1571" s="230">
        <v>4270.45</v>
      </c>
      <c r="F1571" t="s">
        <v>560</v>
      </c>
      <c r="G1571" t="b">
        <v>1</v>
      </c>
      <c r="H1571" t="s">
        <v>469</v>
      </c>
    </row>
    <row r="1572" spans="1:8" x14ac:dyDescent="0.3">
      <c r="A1572" t="s">
        <v>557</v>
      </c>
      <c r="B1572" t="s">
        <v>581</v>
      </c>
      <c r="C1572" t="s">
        <v>289</v>
      </c>
      <c r="D1572" t="s">
        <v>602</v>
      </c>
      <c r="E1572" s="230">
        <v>1302.73</v>
      </c>
      <c r="F1572" t="s">
        <v>560</v>
      </c>
      <c r="G1572" t="b">
        <v>1</v>
      </c>
      <c r="H1572" t="s">
        <v>469</v>
      </c>
    </row>
    <row r="1573" spans="1:8" x14ac:dyDescent="0.3">
      <c r="A1573" t="s">
        <v>557</v>
      </c>
      <c r="B1573" t="s">
        <v>581</v>
      </c>
      <c r="C1573" t="s">
        <v>290</v>
      </c>
      <c r="D1573" t="s">
        <v>602</v>
      </c>
      <c r="E1573" s="230">
        <v>1102.73</v>
      </c>
      <c r="F1573" t="s">
        <v>560</v>
      </c>
      <c r="G1573" t="b">
        <v>1</v>
      </c>
      <c r="H1573" t="s">
        <v>469</v>
      </c>
    </row>
    <row r="1574" spans="1:8" x14ac:dyDescent="0.3">
      <c r="A1574" t="s">
        <v>557</v>
      </c>
      <c r="B1574" t="s">
        <v>581</v>
      </c>
      <c r="C1574" t="s">
        <v>291</v>
      </c>
      <c r="D1574" t="s">
        <v>602</v>
      </c>
      <c r="E1574" s="230">
        <v>402.73</v>
      </c>
      <c r="F1574" t="s">
        <v>560</v>
      </c>
      <c r="G1574" t="b">
        <v>1</v>
      </c>
      <c r="H1574" t="s">
        <v>469</v>
      </c>
    </row>
    <row r="1575" spans="1:8" x14ac:dyDescent="0.3">
      <c r="A1575" t="s">
        <v>557</v>
      </c>
      <c r="B1575" t="s">
        <v>581</v>
      </c>
      <c r="C1575" t="s">
        <v>292</v>
      </c>
      <c r="D1575" t="s">
        <v>602</v>
      </c>
      <c r="E1575" s="230">
        <v>0</v>
      </c>
      <c r="F1575" t="s">
        <v>560</v>
      </c>
      <c r="G1575" t="b">
        <v>1</v>
      </c>
      <c r="H1575" t="s">
        <v>469</v>
      </c>
    </row>
    <row r="1576" spans="1:8" x14ac:dyDescent="0.3">
      <c r="A1576" t="s">
        <v>557</v>
      </c>
      <c r="B1576" t="s">
        <v>582</v>
      </c>
      <c r="C1576" t="s">
        <v>293</v>
      </c>
      <c r="D1576" t="s">
        <v>602</v>
      </c>
      <c r="E1576" s="230">
        <v>602.73</v>
      </c>
      <c r="F1576" t="s">
        <v>560</v>
      </c>
      <c r="G1576" t="b">
        <v>1</v>
      </c>
      <c r="H1576" t="s">
        <v>469</v>
      </c>
    </row>
    <row r="1577" spans="1:8" x14ac:dyDescent="0.3">
      <c r="A1577" t="s">
        <v>557</v>
      </c>
      <c r="B1577" t="s">
        <v>582</v>
      </c>
      <c r="C1577" t="s">
        <v>294</v>
      </c>
      <c r="D1577" t="s">
        <v>602</v>
      </c>
      <c r="E1577" s="230">
        <v>0</v>
      </c>
      <c r="F1577" t="s">
        <v>560</v>
      </c>
      <c r="G1577" t="b">
        <v>1</v>
      </c>
      <c r="H1577" t="s">
        <v>469</v>
      </c>
    </row>
    <row r="1578" spans="1:8" x14ac:dyDescent="0.3">
      <c r="A1578" t="s">
        <v>557</v>
      </c>
      <c r="B1578" t="s">
        <v>582</v>
      </c>
      <c r="C1578" t="s">
        <v>295</v>
      </c>
      <c r="D1578" t="s">
        <v>602</v>
      </c>
      <c r="E1578" s="230">
        <v>0</v>
      </c>
      <c r="F1578" t="s">
        <v>560</v>
      </c>
      <c r="G1578" t="b">
        <v>1</v>
      </c>
      <c r="H1578" t="s">
        <v>469</v>
      </c>
    </row>
    <row r="1579" spans="1:8" x14ac:dyDescent="0.3">
      <c r="A1579" t="s">
        <v>557</v>
      </c>
      <c r="B1579" t="s">
        <v>296</v>
      </c>
      <c r="C1579" t="s">
        <v>297</v>
      </c>
      <c r="D1579" t="s">
        <v>602</v>
      </c>
      <c r="E1579" s="230">
        <v>4200</v>
      </c>
      <c r="F1579" t="s">
        <v>560</v>
      </c>
      <c r="G1579" t="b">
        <v>1</v>
      </c>
      <c r="H1579" t="s">
        <v>469</v>
      </c>
    </row>
    <row r="1580" spans="1:8" x14ac:dyDescent="0.3">
      <c r="A1580" t="s">
        <v>557</v>
      </c>
      <c r="B1580" t="s">
        <v>296</v>
      </c>
      <c r="C1580" t="s">
        <v>298</v>
      </c>
      <c r="D1580" t="s">
        <v>602</v>
      </c>
      <c r="E1580" s="230">
        <v>525</v>
      </c>
      <c r="F1580" t="s">
        <v>560</v>
      </c>
      <c r="G1580" t="b">
        <v>1</v>
      </c>
      <c r="H1580" t="s">
        <v>469</v>
      </c>
    </row>
    <row r="1581" spans="1:8" x14ac:dyDescent="0.3">
      <c r="A1581" t="s">
        <v>557</v>
      </c>
      <c r="B1581" t="s">
        <v>296</v>
      </c>
      <c r="C1581" t="s">
        <v>299</v>
      </c>
      <c r="D1581" t="s">
        <v>602</v>
      </c>
      <c r="E1581" s="230">
        <v>0</v>
      </c>
      <c r="F1581" t="s">
        <v>560</v>
      </c>
      <c r="G1581" t="b">
        <v>1</v>
      </c>
      <c r="H1581" t="s">
        <v>469</v>
      </c>
    </row>
    <row r="1582" spans="1:8" x14ac:dyDescent="0.3">
      <c r="A1582" t="s">
        <v>557</v>
      </c>
      <c r="B1582" t="s">
        <v>296</v>
      </c>
      <c r="C1582" t="s">
        <v>300</v>
      </c>
      <c r="D1582" t="s">
        <v>602</v>
      </c>
      <c r="E1582" s="230">
        <v>0</v>
      </c>
      <c r="F1582" t="s">
        <v>560</v>
      </c>
      <c r="G1582" t="b">
        <v>1</v>
      </c>
      <c r="H1582" t="s">
        <v>469</v>
      </c>
    </row>
    <row r="1583" spans="1:8" x14ac:dyDescent="0.3">
      <c r="A1583" t="s">
        <v>557</v>
      </c>
      <c r="B1583" t="s">
        <v>296</v>
      </c>
      <c r="C1583" t="s">
        <v>301</v>
      </c>
      <c r="D1583" t="s">
        <v>602</v>
      </c>
      <c r="E1583" s="230">
        <v>1102.73</v>
      </c>
      <c r="F1583" t="s">
        <v>560</v>
      </c>
      <c r="G1583" t="b">
        <v>1</v>
      </c>
      <c r="H1583" t="s">
        <v>469</v>
      </c>
    </row>
    <row r="1584" spans="1:8" x14ac:dyDescent="0.3">
      <c r="A1584" t="s">
        <v>557</v>
      </c>
      <c r="B1584" t="s">
        <v>296</v>
      </c>
      <c r="C1584" t="s">
        <v>302</v>
      </c>
      <c r="D1584" t="s">
        <v>602</v>
      </c>
      <c r="E1584" s="230">
        <v>0</v>
      </c>
      <c r="F1584" t="s">
        <v>560</v>
      </c>
      <c r="G1584" t="b">
        <v>1</v>
      </c>
      <c r="H1584" t="s">
        <v>469</v>
      </c>
    </row>
    <row r="1585" spans="1:8" x14ac:dyDescent="0.3">
      <c r="A1585" t="s">
        <v>557</v>
      </c>
      <c r="B1585" t="s">
        <v>296</v>
      </c>
      <c r="C1585" t="s">
        <v>303</v>
      </c>
      <c r="D1585" t="s">
        <v>602</v>
      </c>
      <c r="E1585" s="230">
        <v>0</v>
      </c>
      <c r="F1585" t="s">
        <v>560</v>
      </c>
      <c r="G1585" t="b">
        <v>1</v>
      </c>
      <c r="H1585" t="s">
        <v>469</v>
      </c>
    </row>
    <row r="1586" spans="1:8" x14ac:dyDescent="0.3">
      <c r="A1586" t="s">
        <v>557</v>
      </c>
      <c r="B1586" t="s">
        <v>296</v>
      </c>
      <c r="C1586" t="s">
        <v>304</v>
      </c>
      <c r="D1586" t="s">
        <v>602</v>
      </c>
      <c r="E1586" s="230">
        <v>0</v>
      </c>
      <c r="F1586" t="s">
        <v>560</v>
      </c>
      <c r="G1586" t="b">
        <v>1</v>
      </c>
      <c r="H1586" t="s">
        <v>469</v>
      </c>
    </row>
    <row r="1587" spans="1:8" x14ac:dyDescent="0.3">
      <c r="A1587" t="s">
        <v>557</v>
      </c>
      <c r="B1587" t="s">
        <v>296</v>
      </c>
      <c r="C1587" t="s">
        <v>305</v>
      </c>
      <c r="D1587" t="s">
        <v>602</v>
      </c>
      <c r="E1587" s="230">
        <v>0</v>
      </c>
      <c r="F1587" t="s">
        <v>560</v>
      </c>
      <c r="G1587" t="b">
        <v>1</v>
      </c>
      <c r="H1587" t="s">
        <v>469</v>
      </c>
    </row>
    <row r="1588" spans="1:8" x14ac:dyDescent="0.3">
      <c r="A1588" t="s">
        <v>557</v>
      </c>
      <c r="B1588" t="s">
        <v>296</v>
      </c>
      <c r="C1588" t="s">
        <v>583</v>
      </c>
      <c r="D1588" t="s">
        <v>602</v>
      </c>
      <c r="E1588" s="230">
        <v>0</v>
      </c>
      <c r="F1588" t="s">
        <v>560</v>
      </c>
      <c r="G1588" t="b">
        <v>1</v>
      </c>
      <c r="H1588" t="s">
        <v>469</v>
      </c>
    </row>
    <row r="1589" spans="1:8" x14ac:dyDescent="0.3">
      <c r="A1589" t="s">
        <v>557</v>
      </c>
      <c r="B1589" t="s">
        <v>296</v>
      </c>
      <c r="C1589" t="s">
        <v>307</v>
      </c>
      <c r="D1589" t="s">
        <v>602</v>
      </c>
      <c r="E1589" s="230">
        <v>206.85</v>
      </c>
      <c r="F1589" t="s">
        <v>560</v>
      </c>
      <c r="G1589" t="b">
        <v>1</v>
      </c>
      <c r="H1589" t="s">
        <v>469</v>
      </c>
    </row>
    <row r="1590" spans="1:8" x14ac:dyDescent="0.3">
      <c r="A1590" t="s">
        <v>557</v>
      </c>
      <c r="B1590" t="s">
        <v>308</v>
      </c>
      <c r="C1590" t="s">
        <v>309</v>
      </c>
      <c r="D1590" t="s">
        <v>602</v>
      </c>
      <c r="E1590" s="230">
        <v>3225.29</v>
      </c>
      <c r="F1590" t="s">
        <v>560</v>
      </c>
      <c r="G1590" t="b">
        <v>1</v>
      </c>
      <c r="H1590" t="s">
        <v>469</v>
      </c>
    </row>
    <row r="1591" spans="1:8" x14ac:dyDescent="0.3">
      <c r="A1591" t="s">
        <v>557</v>
      </c>
      <c r="B1591" t="s">
        <v>308</v>
      </c>
      <c r="C1591" t="s">
        <v>310</v>
      </c>
      <c r="D1591" t="s">
        <v>602</v>
      </c>
      <c r="E1591" s="230">
        <v>0</v>
      </c>
      <c r="F1591" t="s">
        <v>560</v>
      </c>
      <c r="G1591" t="b">
        <v>1</v>
      </c>
      <c r="H1591" t="s">
        <v>469</v>
      </c>
    </row>
    <row r="1592" spans="1:8" x14ac:dyDescent="0.3">
      <c r="A1592" t="s">
        <v>557</v>
      </c>
      <c r="B1592" t="s">
        <v>308</v>
      </c>
      <c r="C1592" t="s">
        <v>311</v>
      </c>
      <c r="D1592" t="s">
        <v>602</v>
      </c>
      <c r="E1592" s="230">
        <v>1627.5</v>
      </c>
      <c r="F1592" t="s">
        <v>560</v>
      </c>
      <c r="G1592" t="b">
        <v>1</v>
      </c>
      <c r="H1592" t="s">
        <v>469</v>
      </c>
    </row>
    <row r="1593" spans="1:8" x14ac:dyDescent="0.3">
      <c r="A1593" t="s">
        <v>557</v>
      </c>
      <c r="B1593" t="s">
        <v>308</v>
      </c>
      <c r="C1593" t="s">
        <v>312</v>
      </c>
      <c r="D1593" t="s">
        <v>602</v>
      </c>
      <c r="E1593" s="230">
        <v>194.25</v>
      </c>
      <c r="F1593" t="s">
        <v>560</v>
      </c>
      <c r="G1593" t="b">
        <v>1</v>
      </c>
      <c r="H1593" t="s">
        <v>469</v>
      </c>
    </row>
    <row r="1594" spans="1:8" x14ac:dyDescent="0.3">
      <c r="A1594" t="s">
        <v>557</v>
      </c>
      <c r="B1594" t="s">
        <v>308</v>
      </c>
      <c r="C1594" t="s">
        <v>313</v>
      </c>
      <c r="D1594" t="s">
        <v>602</v>
      </c>
      <c r="E1594" s="230">
        <v>0</v>
      </c>
      <c r="F1594" t="s">
        <v>560</v>
      </c>
      <c r="G1594" t="b">
        <v>1</v>
      </c>
      <c r="H1594" t="s">
        <v>469</v>
      </c>
    </row>
    <row r="1595" spans="1:8" x14ac:dyDescent="0.3">
      <c r="A1595" t="s">
        <v>557</v>
      </c>
      <c r="B1595" t="s">
        <v>308</v>
      </c>
      <c r="C1595" t="s">
        <v>314</v>
      </c>
      <c r="D1595" t="s">
        <v>602</v>
      </c>
      <c r="E1595" s="230">
        <v>743.59</v>
      </c>
      <c r="F1595" t="s">
        <v>560</v>
      </c>
      <c r="G1595" t="b">
        <v>1</v>
      </c>
      <c r="H1595" t="s">
        <v>469</v>
      </c>
    </row>
    <row r="1596" spans="1:8" x14ac:dyDescent="0.3">
      <c r="A1596" t="s">
        <v>557</v>
      </c>
      <c r="B1596" t="s">
        <v>308</v>
      </c>
      <c r="C1596" t="s">
        <v>315</v>
      </c>
      <c r="D1596" t="s">
        <v>602</v>
      </c>
      <c r="E1596" s="230">
        <v>0</v>
      </c>
      <c r="F1596" t="s">
        <v>560</v>
      </c>
      <c r="G1596" t="b">
        <v>1</v>
      </c>
      <c r="H1596" t="s">
        <v>469</v>
      </c>
    </row>
    <row r="1597" spans="1:8" x14ac:dyDescent="0.3">
      <c r="A1597" t="s">
        <v>557</v>
      </c>
      <c r="B1597" t="s">
        <v>308</v>
      </c>
      <c r="C1597" t="s">
        <v>316</v>
      </c>
      <c r="D1597" t="s">
        <v>602</v>
      </c>
      <c r="E1597" s="230">
        <v>0</v>
      </c>
      <c r="F1597" t="s">
        <v>560</v>
      </c>
      <c r="G1597" t="b">
        <v>1</v>
      </c>
      <c r="H1597" t="s">
        <v>469</v>
      </c>
    </row>
    <row r="1598" spans="1:8" x14ac:dyDescent="0.3">
      <c r="A1598" t="s">
        <v>557</v>
      </c>
      <c r="B1598" t="s">
        <v>308</v>
      </c>
      <c r="C1598" t="s">
        <v>317</v>
      </c>
      <c r="D1598" t="s">
        <v>602</v>
      </c>
      <c r="E1598" s="230">
        <v>0</v>
      </c>
      <c r="F1598" t="s">
        <v>560</v>
      </c>
      <c r="G1598" t="b">
        <v>1</v>
      </c>
      <c r="H1598" t="s">
        <v>469</v>
      </c>
    </row>
    <row r="1599" spans="1:8" x14ac:dyDescent="0.3">
      <c r="A1599" t="s">
        <v>557</v>
      </c>
      <c r="B1599" t="s">
        <v>318</v>
      </c>
      <c r="C1599" t="s">
        <v>319</v>
      </c>
      <c r="D1599" t="s">
        <v>602</v>
      </c>
      <c r="E1599" s="230">
        <v>1770.3</v>
      </c>
      <c r="F1599" t="s">
        <v>560</v>
      </c>
      <c r="G1599" t="b">
        <v>1</v>
      </c>
      <c r="H1599" t="s">
        <v>469</v>
      </c>
    </row>
    <row r="1600" spans="1:8" x14ac:dyDescent="0.3">
      <c r="A1600" t="s">
        <v>557</v>
      </c>
      <c r="B1600" t="s">
        <v>318</v>
      </c>
      <c r="C1600" t="s">
        <v>320</v>
      </c>
      <c r="D1600" t="s">
        <v>602</v>
      </c>
      <c r="E1600" s="230">
        <v>144.44999999999999</v>
      </c>
      <c r="F1600" t="s">
        <v>560</v>
      </c>
      <c r="G1600" t="b">
        <v>1</v>
      </c>
      <c r="H1600" t="s">
        <v>469</v>
      </c>
    </row>
    <row r="1601" spans="1:8" x14ac:dyDescent="0.3">
      <c r="A1601" t="s">
        <v>557</v>
      </c>
      <c r="B1601" t="s">
        <v>318</v>
      </c>
      <c r="C1601" t="s">
        <v>321</v>
      </c>
      <c r="D1601" t="s">
        <v>602</v>
      </c>
      <c r="E1601" s="230">
        <v>210</v>
      </c>
      <c r="F1601" t="s">
        <v>560</v>
      </c>
      <c r="G1601" t="b">
        <v>1</v>
      </c>
      <c r="H1601" t="s">
        <v>469</v>
      </c>
    </row>
    <row r="1602" spans="1:8" x14ac:dyDescent="0.3">
      <c r="A1602" t="s">
        <v>557</v>
      </c>
      <c r="B1602" t="s">
        <v>318</v>
      </c>
      <c r="C1602" t="s">
        <v>322</v>
      </c>
      <c r="D1602" t="s">
        <v>602</v>
      </c>
      <c r="E1602" s="230">
        <v>0</v>
      </c>
      <c r="F1602" t="s">
        <v>560</v>
      </c>
      <c r="G1602" t="b">
        <v>1</v>
      </c>
      <c r="H1602" t="s">
        <v>469</v>
      </c>
    </row>
    <row r="1603" spans="1:8" x14ac:dyDescent="0.3">
      <c r="A1603" t="s">
        <v>557</v>
      </c>
      <c r="B1603" t="s">
        <v>323</v>
      </c>
      <c r="C1603" t="s">
        <v>324</v>
      </c>
      <c r="D1603" t="s">
        <v>602</v>
      </c>
      <c r="E1603" s="230">
        <v>0</v>
      </c>
      <c r="F1603" t="s">
        <v>560</v>
      </c>
      <c r="G1603" t="b">
        <v>1</v>
      </c>
      <c r="H1603" t="s">
        <v>469</v>
      </c>
    </row>
    <row r="1604" spans="1:8" x14ac:dyDescent="0.3">
      <c r="A1604" t="s">
        <v>557</v>
      </c>
      <c r="B1604" t="s">
        <v>323</v>
      </c>
      <c r="C1604" t="s">
        <v>325</v>
      </c>
      <c r="D1604" t="s">
        <v>602</v>
      </c>
      <c r="E1604" s="230">
        <v>0</v>
      </c>
      <c r="F1604" t="s">
        <v>560</v>
      </c>
      <c r="G1604" t="b">
        <v>1</v>
      </c>
      <c r="H1604" t="s">
        <v>469</v>
      </c>
    </row>
    <row r="1605" spans="1:8" x14ac:dyDescent="0.3">
      <c r="A1605" t="s">
        <v>557</v>
      </c>
      <c r="B1605" t="s">
        <v>323</v>
      </c>
      <c r="C1605" t="s">
        <v>326</v>
      </c>
      <c r="D1605" t="s">
        <v>602</v>
      </c>
      <c r="E1605" s="230">
        <v>25681.82</v>
      </c>
      <c r="F1605" t="s">
        <v>560</v>
      </c>
      <c r="G1605" t="b">
        <v>1</v>
      </c>
      <c r="H1605" t="s">
        <v>469</v>
      </c>
    </row>
    <row r="1606" spans="1:8" x14ac:dyDescent="0.3">
      <c r="A1606" t="s">
        <v>557</v>
      </c>
      <c r="B1606" t="s">
        <v>584</v>
      </c>
      <c r="C1606" t="s">
        <v>334</v>
      </c>
      <c r="D1606" t="s">
        <v>602</v>
      </c>
      <c r="E1606" s="230">
        <v>0</v>
      </c>
      <c r="F1606" t="s">
        <v>560</v>
      </c>
      <c r="G1606" t="b">
        <v>1</v>
      </c>
      <c r="H1606" t="s">
        <v>469</v>
      </c>
    </row>
    <row r="1607" spans="1:8" x14ac:dyDescent="0.3">
      <c r="A1607" t="s">
        <v>557</v>
      </c>
      <c r="B1607" t="s">
        <v>584</v>
      </c>
      <c r="C1607" t="s">
        <v>336</v>
      </c>
      <c r="D1607" t="s">
        <v>602</v>
      </c>
      <c r="E1607" s="230">
        <v>0</v>
      </c>
      <c r="F1607" t="s">
        <v>560</v>
      </c>
      <c r="G1607" t="b">
        <v>1</v>
      </c>
      <c r="H1607" t="s">
        <v>469</v>
      </c>
    </row>
    <row r="1608" spans="1:8" x14ac:dyDescent="0.3">
      <c r="A1608" t="s">
        <v>557</v>
      </c>
      <c r="B1608" t="s">
        <v>558</v>
      </c>
      <c r="C1608" t="s">
        <v>13</v>
      </c>
      <c r="D1608" t="s">
        <v>603</v>
      </c>
      <c r="E1608" s="230">
        <v>218652.17</v>
      </c>
      <c r="F1608" t="s">
        <v>560</v>
      </c>
      <c r="G1608" t="b">
        <v>1</v>
      </c>
      <c r="H1608" t="s">
        <v>470</v>
      </c>
    </row>
    <row r="1609" spans="1:8" x14ac:dyDescent="0.3">
      <c r="A1609" t="s">
        <v>557</v>
      </c>
      <c r="B1609" t="s">
        <v>558</v>
      </c>
      <c r="C1609" t="s">
        <v>16</v>
      </c>
      <c r="D1609" t="s">
        <v>603</v>
      </c>
      <c r="E1609" s="230">
        <v>129946.67</v>
      </c>
      <c r="F1609" t="s">
        <v>560</v>
      </c>
      <c r="G1609" t="b">
        <v>1</v>
      </c>
      <c r="H1609" t="s">
        <v>470</v>
      </c>
    </row>
    <row r="1610" spans="1:8" x14ac:dyDescent="0.3">
      <c r="A1610" t="s">
        <v>557</v>
      </c>
      <c r="B1610" t="s">
        <v>558</v>
      </c>
      <c r="C1610" t="s">
        <v>17</v>
      </c>
      <c r="D1610" t="s">
        <v>603</v>
      </c>
      <c r="E1610" s="230">
        <v>3692.73</v>
      </c>
      <c r="F1610" t="s">
        <v>560</v>
      </c>
      <c r="G1610" t="b">
        <v>1</v>
      </c>
      <c r="H1610" t="s">
        <v>470</v>
      </c>
    </row>
    <row r="1611" spans="1:8" x14ac:dyDescent="0.3">
      <c r="A1611" t="s">
        <v>557</v>
      </c>
      <c r="B1611" t="s">
        <v>558</v>
      </c>
      <c r="C1611" t="s">
        <v>18</v>
      </c>
      <c r="D1611" t="s">
        <v>603</v>
      </c>
      <c r="E1611" s="230">
        <v>0</v>
      </c>
      <c r="F1611" t="s">
        <v>560</v>
      </c>
      <c r="G1611" t="b">
        <v>1</v>
      </c>
      <c r="H1611" t="s">
        <v>470</v>
      </c>
    </row>
    <row r="1612" spans="1:8" x14ac:dyDescent="0.3">
      <c r="A1612" t="s">
        <v>557</v>
      </c>
      <c r="B1612" t="s">
        <v>558</v>
      </c>
      <c r="C1612" t="s">
        <v>20</v>
      </c>
      <c r="D1612" t="s">
        <v>603</v>
      </c>
      <c r="E1612" s="230">
        <v>48039.76</v>
      </c>
      <c r="F1612" t="s">
        <v>560</v>
      </c>
      <c r="G1612" t="b">
        <v>1</v>
      </c>
      <c r="H1612" t="s">
        <v>470</v>
      </c>
    </row>
    <row r="1613" spans="1:8" x14ac:dyDescent="0.3">
      <c r="A1613" t="s">
        <v>557</v>
      </c>
      <c r="B1613" t="s">
        <v>558</v>
      </c>
      <c r="C1613" t="s">
        <v>29</v>
      </c>
      <c r="D1613" t="s">
        <v>603</v>
      </c>
      <c r="E1613" s="230">
        <v>23238.2</v>
      </c>
      <c r="F1613" t="s">
        <v>560</v>
      </c>
      <c r="G1613" t="b">
        <v>1</v>
      </c>
      <c r="H1613" t="s">
        <v>470</v>
      </c>
    </row>
    <row r="1614" spans="1:8" x14ac:dyDescent="0.3">
      <c r="A1614" t="s">
        <v>557</v>
      </c>
      <c r="B1614" t="s">
        <v>558</v>
      </c>
      <c r="C1614" t="s">
        <v>31</v>
      </c>
      <c r="D1614" t="s">
        <v>603</v>
      </c>
      <c r="E1614" s="230">
        <v>0</v>
      </c>
      <c r="F1614" t="s">
        <v>560</v>
      </c>
      <c r="G1614" t="b">
        <v>1</v>
      </c>
      <c r="H1614" t="s">
        <v>470</v>
      </c>
    </row>
    <row r="1615" spans="1:8" x14ac:dyDescent="0.3">
      <c r="A1615" t="s">
        <v>557</v>
      </c>
      <c r="B1615" t="s">
        <v>562</v>
      </c>
      <c r="C1615" t="s">
        <v>38</v>
      </c>
      <c r="D1615" t="s">
        <v>603</v>
      </c>
      <c r="E1615" s="230">
        <v>8714.9699999999993</v>
      </c>
      <c r="F1615" t="s">
        <v>560</v>
      </c>
      <c r="G1615" t="b">
        <v>1</v>
      </c>
      <c r="H1615" t="s">
        <v>470</v>
      </c>
    </row>
    <row r="1616" spans="1:8" x14ac:dyDescent="0.3">
      <c r="A1616" t="s">
        <v>557</v>
      </c>
      <c r="B1616" t="s">
        <v>562</v>
      </c>
      <c r="C1616" t="s">
        <v>40</v>
      </c>
      <c r="D1616" t="s">
        <v>603</v>
      </c>
      <c r="E1616" s="230">
        <v>6902.26</v>
      </c>
      <c r="F1616" t="s">
        <v>560</v>
      </c>
      <c r="G1616" t="b">
        <v>1</v>
      </c>
      <c r="H1616" t="s">
        <v>470</v>
      </c>
    </row>
    <row r="1617" spans="1:8" x14ac:dyDescent="0.3">
      <c r="A1617" t="s">
        <v>557</v>
      </c>
      <c r="B1617" t="s">
        <v>562</v>
      </c>
      <c r="C1617" t="s">
        <v>42</v>
      </c>
      <c r="D1617" t="s">
        <v>603</v>
      </c>
      <c r="E1617" s="230">
        <v>871.5</v>
      </c>
      <c r="F1617" t="s">
        <v>560</v>
      </c>
      <c r="G1617" t="b">
        <v>1</v>
      </c>
      <c r="H1617" t="s">
        <v>470</v>
      </c>
    </row>
    <row r="1618" spans="1:8" x14ac:dyDescent="0.3">
      <c r="A1618" t="s">
        <v>557</v>
      </c>
      <c r="B1618" t="s">
        <v>563</v>
      </c>
      <c r="C1618" t="s">
        <v>46</v>
      </c>
      <c r="D1618" t="s">
        <v>603</v>
      </c>
      <c r="E1618" s="230">
        <v>21407.040000000001</v>
      </c>
      <c r="F1618" t="s">
        <v>560</v>
      </c>
      <c r="G1618" t="b">
        <v>1</v>
      </c>
      <c r="H1618" t="s">
        <v>470</v>
      </c>
    </row>
    <row r="1619" spans="1:8" x14ac:dyDescent="0.3">
      <c r="A1619" t="s">
        <v>557</v>
      </c>
      <c r="B1619" t="s">
        <v>563</v>
      </c>
      <c r="C1619" t="s">
        <v>48</v>
      </c>
      <c r="D1619" t="s">
        <v>603</v>
      </c>
      <c r="E1619" s="230">
        <v>21435.43</v>
      </c>
      <c r="F1619" t="s">
        <v>560</v>
      </c>
      <c r="G1619" t="b">
        <v>1</v>
      </c>
      <c r="H1619" t="s">
        <v>470</v>
      </c>
    </row>
    <row r="1620" spans="1:8" x14ac:dyDescent="0.3">
      <c r="A1620" t="s">
        <v>557</v>
      </c>
      <c r="B1620" t="s">
        <v>563</v>
      </c>
      <c r="C1620" t="s">
        <v>49</v>
      </c>
      <c r="D1620" t="s">
        <v>603</v>
      </c>
      <c r="E1620" s="230">
        <v>3602.2</v>
      </c>
      <c r="F1620" t="s">
        <v>560</v>
      </c>
      <c r="G1620" t="b">
        <v>1</v>
      </c>
      <c r="H1620" t="s">
        <v>470</v>
      </c>
    </row>
    <row r="1621" spans="1:8" x14ac:dyDescent="0.3">
      <c r="A1621" t="s">
        <v>557</v>
      </c>
      <c r="B1621" t="s">
        <v>564</v>
      </c>
      <c r="C1621" t="s">
        <v>565</v>
      </c>
      <c r="D1621" t="s">
        <v>603</v>
      </c>
      <c r="E1621" s="230">
        <v>136763.76</v>
      </c>
      <c r="F1621" t="s">
        <v>560</v>
      </c>
      <c r="G1621" t="b">
        <v>1</v>
      </c>
      <c r="H1621" t="s">
        <v>470</v>
      </c>
    </row>
    <row r="1622" spans="1:8" x14ac:dyDescent="0.3">
      <c r="A1622" t="s">
        <v>557</v>
      </c>
      <c r="B1622" t="s">
        <v>564</v>
      </c>
      <c r="C1622" t="s">
        <v>566</v>
      </c>
      <c r="D1622" t="s">
        <v>603</v>
      </c>
      <c r="E1622" s="230">
        <v>27288.799999999999</v>
      </c>
      <c r="F1622" t="s">
        <v>560</v>
      </c>
      <c r="G1622" t="b">
        <v>1</v>
      </c>
      <c r="H1622" t="s">
        <v>470</v>
      </c>
    </row>
    <row r="1623" spans="1:8" x14ac:dyDescent="0.3">
      <c r="A1623" t="s">
        <v>557</v>
      </c>
      <c r="B1623" t="s">
        <v>564</v>
      </c>
      <c r="C1623" t="s">
        <v>567</v>
      </c>
      <c r="D1623" t="s">
        <v>603</v>
      </c>
      <c r="E1623" s="230">
        <v>697.15</v>
      </c>
      <c r="F1623" t="s">
        <v>560</v>
      </c>
      <c r="G1623" t="b">
        <v>1</v>
      </c>
      <c r="H1623" t="s">
        <v>470</v>
      </c>
    </row>
    <row r="1624" spans="1:8" x14ac:dyDescent="0.3">
      <c r="A1624" t="s">
        <v>557</v>
      </c>
      <c r="B1624" t="s">
        <v>564</v>
      </c>
      <c r="C1624" t="s">
        <v>568</v>
      </c>
      <c r="D1624" t="s">
        <v>603</v>
      </c>
      <c r="E1624" s="230">
        <v>0</v>
      </c>
      <c r="F1624" t="s">
        <v>560</v>
      </c>
      <c r="G1624" t="b">
        <v>1</v>
      </c>
      <c r="H1624" t="s">
        <v>470</v>
      </c>
    </row>
    <row r="1625" spans="1:8" x14ac:dyDescent="0.3">
      <c r="A1625" t="s">
        <v>557</v>
      </c>
      <c r="B1625" t="s">
        <v>569</v>
      </c>
      <c r="C1625" t="s">
        <v>58</v>
      </c>
      <c r="D1625" t="s">
        <v>603</v>
      </c>
      <c r="E1625" s="230">
        <v>2474.13</v>
      </c>
      <c r="F1625" t="s">
        <v>560</v>
      </c>
      <c r="G1625" t="b">
        <v>1</v>
      </c>
      <c r="H1625" t="s">
        <v>470</v>
      </c>
    </row>
    <row r="1626" spans="1:8" x14ac:dyDescent="0.3">
      <c r="A1626" t="s">
        <v>557</v>
      </c>
      <c r="B1626" t="s">
        <v>569</v>
      </c>
      <c r="C1626" t="s">
        <v>59</v>
      </c>
      <c r="D1626" t="s">
        <v>603</v>
      </c>
      <c r="E1626" s="230">
        <v>369.27</v>
      </c>
      <c r="F1626" t="s">
        <v>560</v>
      </c>
      <c r="G1626" t="b">
        <v>1</v>
      </c>
      <c r="H1626" t="s">
        <v>470</v>
      </c>
    </row>
    <row r="1627" spans="1:8" x14ac:dyDescent="0.3">
      <c r="A1627" t="s">
        <v>557</v>
      </c>
      <c r="B1627" t="s">
        <v>569</v>
      </c>
      <c r="C1627" t="s">
        <v>62</v>
      </c>
      <c r="D1627" t="s">
        <v>603</v>
      </c>
      <c r="E1627" s="230">
        <v>0</v>
      </c>
      <c r="F1627" t="s">
        <v>560</v>
      </c>
      <c r="G1627" t="b">
        <v>1</v>
      </c>
      <c r="H1627" t="s">
        <v>470</v>
      </c>
    </row>
    <row r="1628" spans="1:8" x14ac:dyDescent="0.3">
      <c r="A1628" t="s">
        <v>557</v>
      </c>
      <c r="B1628" t="s">
        <v>570</v>
      </c>
      <c r="C1628" t="s">
        <v>64</v>
      </c>
      <c r="D1628" t="s">
        <v>603</v>
      </c>
      <c r="E1628" s="230">
        <v>0</v>
      </c>
      <c r="F1628" t="s">
        <v>560</v>
      </c>
      <c r="G1628" t="b">
        <v>1</v>
      </c>
      <c r="H1628" t="s">
        <v>470</v>
      </c>
    </row>
    <row r="1629" spans="1:8" x14ac:dyDescent="0.3">
      <c r="A1629" t="s">
        <v>557</v>
      </c>
      <c r="B1629" t="s">
        <v>569</v>
      </c>
      <c r="C1629" t="s">
        <v>66</v>
      </c>
      <c r="D1629" t="s">
        <v>603</v>
      </c>
      <c r="E1629" s="230">
        <v>0</v>
      </c>
      <c r="F1629" t="s">
        <v>560</v>
      </c>
      <c r="G1629" t="b">
        <v>1</v>
      </c>
      <c r="H1629" t="s">
        <v>470</v>
      </c>
    </row>
    <row r="1630" spans="1:8" x14ac:dyDescent="0.3">
      <c r="A1630" t="s">
        <v>557</v>
      </c>
      <c r="B1630" t="s">
        <v>569</v>
      </c>
      <c r="C1630" t="s">
        <v>68</v>
      </c>
      <c r="D1630" t="s">
        <v>603</v>
      </c>
      <c r="E1630" s="230">
        <v>1292.45</v>
      </c>
      <c r="F1630" t="s">
        <v>560</v>
      </c>
      <c r="G1630" t="b">
        <v>1</v>
      </c>
      <c r="H1630" t="s">
        <v>470</v>
      </c>
    </row>
    <row r="1631" spans="1:8" x14ac:dyDescent="0.3">
      <c r="A1631" t="s">
        <v>557</v>
      </c>
      <c r="B1631" t="s">
        <v>569</v>
      </c>
      <c r="C1631" t="s">
        <v>69</v>
      </c>
      <c r="D1631" t="s">
        <v>603</v>
      </c>
      <c r="E1631" s="230">
        <v>0</v>
      </c>
      <c r="F1631" t="s">
        <v>560</v>
      </c>
      <c r="G1631" t="b">
        <v>1</v>
      </c>
      <c r="H1631" t="s">
        <v>470</v>
      </c>
    </row>
    <row r="1632" spans="1:8" x14ac:dyDescent="0.3">
      <c r="A1632" t="s">
        <v>557</v>
      </c>
      <c r="B1632" t="s">
        <v>570</v>
      </c>
      <c r="C1632" t="s">
        <v>73</v>
      </c>
      <c r="D1632" t="s">
        <v>603</v>
      </c>
      <c r="E1632" s="230">
        <v>4000</v>
      </c>
      <c r="F1632" t="s">
        <v>560</v>
      </c>
      <c r="G1632" t="b">
        <v>1</v>
      </c>
      <c r="H1632" t="s">
        <v>470</v>
      </c>
    </row>
    <row r="1633" spans="1:8" x14ac:dyDescent="0.3">
      <c r="A1633" t="s">
        <v>557</v>
      </c>
      <c r="B1633" t="s">
        <v>571</v>
      </c>
      <c r="C1633" t="s">
        <v>75</v>
      </c>
      <c r="D1633" t="s">
        <v>603</v>
      </c>
      <c r="E1633" s="230">
        <v>3486</v>
      </c>
      <c r="F1633" t="s">
        <v>560</v>
      </c>
      <c r="G1633" t="b">
        <v>1</v>
      </c>
      <c r="H1633" t="s">
        <v>470</v>
      </c>
    </row>
    <row r="1634" spans="1:8" x14ac:dyDescent="0.3">
      <c r="A1634" t="s">
        <v>557</v>
      </c>
      <c r="B1634" t="s">
        <v>571</v>
      </c>
      <c r="C1634" t="s">
        <v>78</v>
      </c>
      <c r="D1634" t="s">
        <v>603</v>
      </c>
      <c r="E1634" s="230">
        <v>3718.4</v>
      </c>
      <c r="F1634" t="s">
        <v>560</v>
      </c>
      <c r="G1634" t="b">
        <v>1</v>
      </c>
      <c r="H1634" t="s">
        <v>470</v>
      </c>
    </row>
    <row r="1635" spans="1:8" x14ac:dyDescent="0.3">
      <c r="A1635" t="s">
        <v>557</v>
      </c>
      <c r="B1635" t="s">
        <v>571</v>
      </c>
      <c r="C1635" t="s">
        <v>80</v>
      </c>
      <c r="D1635" t="s">
        <v>603</v>
      </c>
      <c r="E1635" s="230">
        <v>1162</v>
      </c>
      <c r="F1635" t="s">
        <v>560</v>
      </c>
      <c r="G1635" t="b">
        <v>1</v>
      </c>
      <c r="H1635" t="s">
        <v>470</v>
      </c>
    </row>
    <row r="1636" spans="1:8" x14ac:dyDescent="0.3">
      <c r="A1636" t="s">
        <v>557</v>
      </c>
      <c r="B1636" t="s">
        <v>571</v>
      </c>
      <c r="C1636" t="s">
        <v>82</v>
      </c>
      <c r="D1636" t="s">
        <v>603</v>
      </c>
      <c r="E1636" s="230">
        <v>0</v>
      </c>
      <c r="F1636" t="s">
        <v>560</v>
      </c>
      <c r="G1636" t="b">
        <v>1</v>
      </c>
      <c r="H1636" t="s">
        <v>470</v>
      </c>
    </row>
    <row r="1637" spans="1:8" x14ac:dyDescent="0.3">
      <c r="A1637" t="s">
        <v>557</v>
      </c>
      <c r="B1637" t="s">
        <v>571</v>
      </c>
      <c r="C1637" t="s">
        <v>84</v>
      </c>
      <c r="D1637" t="s">
        <v>603</v>
      </c>
      <c r="E1637" s="230">
        <v>0</v>
      </c>
      <c r="F1637" t="s">
        <v>560</v>
      </c>
      <c r="G1637" t="b">
        <v>1</v>
      </c>
      <c r="H1637" t="s">
        <v>470</v>
      </c>
    </row>
    <row r="1638" spans="1:8" x14ac:dyDescent="0.3">
      <c r="A1638" t="s">
        <v>557</v>
      </c>
      <c r="B1638" t="s">
        <v>571</v>
      </c>
      <c r="C1638" t="s">
        <v>86</v>
      </c>
      <c r="D1638" t="s">
        <v>603</v>
      </c>
      <c r="E1638" s="230">
        <v>0</v>
      </c>
      <c r="F1638" t="s">
        <v>560</v>
      </c>
      <c r="G1638" t="b">
        <v>1</v>
      </c>
      <c r="H1638" t="s">
        <v>470</v>
      </c>
    </row>
    <row r="1639" spans="1:8" x14ac:dyDescent="0.3">
      <c r="A1639" t="s">
        <v>557</v>
      </c>
      <c r="B1639" t="s">
        <v>571</v>
      </c>
      <c r="C1639" t="s">
        <v>87</v>
      </c>
      <c r="D1639" t="s">
        <v>603</v>
      </c>
      <c r="E1639" s="230">
        <v>0</v>
      </c>
      <c r="F1639" t="s">
        <v>560</v>
      </c>
      <c r="G1639" t="b">
        <v>1</v>
      </c>
      <c r="H1639" t="s">
        <v>470</v>
      </c>
    </row>
    <row r="1640" spans="1:8" x14ac:dyDescent="0.3">
      <c r="A1640" t="s">
        <v>557</v>
      </c>
      <c r="B1640" t="s">
        <v>571</v>
      </c>
      <c r="C1640" t="s">
        <v>88</v>
      </c>
      <c r="D1640" t="s">
        <v>603</v>
      </c>
      <c r="E1640" s="230">
        <v>0</v>
      </c>
      <c r="F1640" t="s">
        <v>560</v>
      </c>
      <c r="G1640" t="b">
        <v>1</v>
      </c>
      <c r="H1640" t="s">
        <v>470</v>
      </c>
    </row>
    <row r="1641" spans="1:8" x14ac:dyDescent="0.3">
      <c r="A1641" t="s">
        <v>557</v>
      </c>
      <c r="B1641" t="s">
        <v>571</v>
      </c>
      <c r="C1641" t="s">
        <v>89</v>
      </c>
      <c r="D1641" t="s">
        <v>603</v>
      </c>
      <c r="E1641" s="230">
        <v>0</v>
      </c>
      <c r="F1641" t="s">
        <v>560</v>
      </c>
      <c r="G1641" t="b">
        <v>1</v>
      </c>
      <c r="H1641" t="s">
        <v>470</v>
      </c>
    </row>
    <row r="1642" spans="1:8" x14ac:dyDescent="0.3">
      <c r="A1642" t="s">
        <v>557</v>
      </c>
      <c r="B1642" t="s">
        <v>571</v>
      </c>
      <c r="C1642" t="s">
        <v>91</v>
      </c>
      <c r="D1642" t="s">
        <v>603</v>
      </c>
      <c r="E1642" s="230">
        <v>0</v>
      </c>
      <c r="F1642" t="s">
        <v>560</v>
      </c>
      <c r="G1642" t="b">
        <v>1</v>
      </c>
      <c r="H1642" t="s">
        <v>470</v>
      </c>
    </row>
    <row r="1643" spans="1:8" x14ac:dyDescent="0.3">
      <c r="A1643" t="s">
        <v>557</v>
      </c>
      <c r="B1643" t="s">
        <v>571</v>
      </c>
      <c r="C1643" t="s">
        <v>93</v>
      </c>
      <c r="D1643" t="s">
        <v>603</v>
      </c>
      <c r="E1643" s="230">
        <v>0</v>
      </c>
      <c r="F1643" t="s">
        <v>560</v>
      </c>
      <c r="G1643" t="b">
        <v>1</v>
      </c>
      <c r="H1643" t="s">
        <v>470</v>
      </c>
    </row>
    <row r="1644" spans="1:8" x14ac:dyDescent="0.3">
      <c r="A1644" t="s">
        <v>557</v>
      </c>
      <c r="B1644" t="s">
        <v>571</v>
      </c>
      <c r="C1644" t="s">
        <v>96</v>
      </c>
      <c r="D1644" t="s">
        <v>603</v>
      </c>
      <c r="E1644" s="230">
        <v>0</v>
      </c>
      <c r="F1644" t="s">
        <v>560</v>
      </c>
      <c r="G1644" t="b">
        <v>1</v>
      </c>
      <c r="H1644" t="s">
        <v>470</v>
      </c>
    </row>
    <row r="1645" spans="1:8" x14ac:dyDescent="0.3">
      <c r="A1645" t="s">
        <v>557</v>
      </c>
      <c r="B1645" t="s">
        <v>571</v>
      </c>
      <c r="C1645" t="s">
        <v>98</v>
      </c>
      <c r="D1645" t="s">
        <v>603</v>
      </c>
      <c r="E1645" s="230">
        <v>0</v>
      </c>
      <c r="F1645" t="s">
        <v>560</v>
      </c>
      <c r="G1645" t="b">
        <v>1</v>
      </c>
      <c r="H1645" t="s">
        <v>470</v>
      </c>
    </row>
    <row r="1646" spans="1:8" x14ac:dyDescent="0.3">
      <c r="A1646" t="s">
        <v>557</v>
      </c>
      <c r="B1646" t="s">
        <v>571</v>
      </c>
      <c r="C1646" t="s">
        <v>100</v>
      </c>
      <c r="D1646" t="s">
        <v>603</v>
      </c>
      <c r="E1646" s="230">
        <v>0</v>
      </c>
      <c r="F1646" t="s">
        <v>560</v>
      </c>
      <c r="G1646" t="b">
        <v>1</v>
      </c>
      <c r="H1646" t="s">
        <v>470</v>
      </c>
    </row>
    <row r="1647" spans="1:8" x14ac:dyDescent="0.3">
      <c r="A1647" t="s">
        <v>557</v>
      </c>
      <c r="B1647" t="s">
        <v>571</v>
      </c>
      <c r="C1647" t="s">
        <v>102</v>
      </c>
      <c r="D1647" t="s">
        <v>603</v>
      </c>
      <c r="E1647" s="230">
        <v>0</v>
      </c>
      <c r="F1647" t="s">
        <v>560</v>
      </c>
      <c r="G1647" t="b">
        <v>1</v>
      </c>
      <c r="H1647" t="s">
        <v>470</v>
      </c>
    </row>
    <row r="1648" spans="1:8" x14ac:dyDescent="0.3">
      <c r="A1648" t="s">
        <v>557</v>
      </c>
      <c r="B1648" t="s">
        <v>571</v>
      </c>
      <c r="C1648" t="s">
        <v>103</v>
      </c>
      <c r="D1648" t="s">
        <v>603</v>
      </c>
      <c r="E1648" s="230">
        <v>0</v>
      </c>
      <c r="F1648" t="s">
        <v>560</v>
      </c>
      <c r="G1648" t="b">
        <v>1</v>
      </c>
      <c r="H1648" t="s">
        <v>470</v>
      </c>
    </row>
    <row r="1649" spans="1:8" x14ac:dyDescent="0.3">
      <c r="A1649" t="s">
        <v>557</v>
      </c>
      <c r="B1649" t="s">
        <v>571</v>
      </c>
      <c r="C1649" t="s">
        <v>104</v>
      </c>
      <c r="D1649" t="s">
        <v>603</v>
      </c>
      <c r="E1649" s="230">
        <v>0</v>
      </c>
      <c r="F1649" t="s">
        <v>560</v>
      </c>
      <c r="G1649" t="b">
        <v>1</v>
      </c>
      <c r="H1649" t="s">
        <v>470</v>
      </c>
    </row>
    <row r="1650" spans="1:8" x14ac:dyDescent="0.3">
      <c r="A1650" t="s">
        <v>557</v>
      </c>
      <c r="B1650" t="s">
        <v>571</v>
      </c>
      <c r="C1650" t="s">
        <v>105</v>
      </c>
      <c r="D1650" t="s">
        <v>603</v>
      </c>
      <c r="E1650" s="230">
        <v>0</v>
      </c>
      <c r="F1650" t="s">
        <v>560</v>
      </c>
      <c r="G1650" t="b">
        <v>1</v>
      </c>
      <c r="H1650" t="s">
        <v>470</v>
      </c>
    </row>
    <row r="1651" spans="1:8" x14ac:dyDescent="0.3">
      <c r="A1651" t="s">
        <v>557</v>
      </c>
      <c r="B1651" t="s">
        <v>571</v>
      </c>
      <c r="C1651" t="s">
        <v>108</v>
      </c>
      <c r="D1651" t="s">
        <v>603</v>
      </c>
      <c r="E1651" s="230">
        <v>0</v>
      </c>
      <c r="F1651" t="s">
        <v>560</v>
      </c>
      <c r="G1651" t="b">
        <v>1</v>
      </c>
      <c r="H1651" t="s">
        <v>470</v>
      </c>
    </row>
    <row r="1652" spans="1:8" x14ac:dyDescent="0.3">
      <c r="A1652" t="s">
        <v>557</v>
      </c>
      <c r="B1652" t="s">
        <v>571</v>
      </c>
      <c r="C1652" t="s">
        <v>109</v>
      </c>
      <c r="D1652" t="s">
        <v>603</v>
      </c>
      <c r="E1652" s="230">
        <v>0</v>
      </c>
      <c r="F1652" t="s">
        <v>560</v>
      </c>
      <c r="G1652" t="b">
        <v>1</v>
      </c>
      <c r="H1652" t="s">
        <v>470</v>
      </c>
    </row>
    <row r="1653" spans="1:8" x14ac:dyDescent="0.3">
      <c r="A1653" t="s">
        <v>557</v>
      </c>
      <c r="B1653" t="s">
        <v>572</v>
      </c>
      <c r="C1653" t="s">
        <v>112</v>
      </c>
      <c r="D1653" t="s">
        <v>603</v>
      </c>
      <c r="E1653" s="230">
        <v>49232.9</v>
      </c>
      <c r="F1653" t="s">
        <v>560</v>
      </c>
      <c r="G1653" t="b">
        <v>1</v>
      </c>
      <c r="H1653" t="s">
        <v>470</v>
      </c>
    </row>
    <row r="1654" spans="1:8" x14ac:dyDescent="0.3">
      <c r="A1654" t="s">
        <v>557</v>
      </c>
      <c r="B1654" t="s">
        <v>562</v>
      </c>
      <c r="C1654" t="s">
        <v>116</v>
      </c>
      <c r="D1654" t="s">
        <v>603</v>
      </c>
      <c r="E1654" s="230">
        <v>11151.48</v>
      </c>
      <c r="F1654" t="s">
        <v>560</v>
      </c>
      <c r="G1654" t="b">
        <v>1</v>
      </c>
      <c r="H1654" t="s">
        <v>470</v>
      </c>
    </row>
    <row r="1655" spans="1:8" x14ac:dyDescent="0.3">
      <c r="A1655" t="s">
        <v>557</v>
      </c>
      <c r="B1655" t="s">
        <v>562</v>
      </c>
      <c r="C1655" t="s">
        <v>118</v>
      </c>
      <c r="D1655" t="s">
        <v>603</v>
      </c>
      <c r="E1655" s="230">
        <v>6041.93</v>
      </c>
      <c r="F1655" t="s">
        <v>560</v>
      </c>
      <c r="G1655" t="b">
        <v>1</v>
      </c>
      <c r="H1655" t="s">
        <v>470</v>
      </c>
    </row>
    <row r="1656" spans="1:8" x14ac:dyDescent="0.3">
      <c r="A1656" t="s">
        <v>557</v>
      </c>
      <c r="B1656" t="s">
        <v>562</v>
      </c>
      <c r="C1656" t="s">
        <v>120</v>
      </c>
      <c r="D1656" t="s">
        <v>603</v>
      </c>
      <c r="E1656" s="230">
        <v>0</v>
      </c>
      <c r="F1656" t="s">
        <v>560</v>
      </c>
      <c r="G1656" t="b">
        <v>1</v>
      </c>
      <c r="H1656" t="s">
        <v>470</v>
      </c>
    </row>
    <row r="1657" spans="1:8" x14ac:dyDescent="0.3">
      <c r="A1657" t="s">
        <v>557</v>
      </c>
      <c r="B1657" t="s">
        <v>562</v>
      </c>
      <c r="C1657" t="s">
        <v>122</v>
      </c>
      <c r="D1657" t="s">
        <v>603</v>
      </c>
      <c r="E1657" s="230">
        <v>0</v>
      </c>
      <c r="F1657" t="s">
        <v>560</v>
      </c>
      <c r="G1657" t="b">
        <v>1</v>
      </c>
      <c r="H1657" t="s">
        <v>470</v>
      </c>
    </row>
    <row r="1658" spans="1:8" x14ac:dyDescent="0.3">
      <c r="A1658" t="s">
        <v>557</v>
      </c>
      <c r="B1658" t="s">
        <v>570</v>
      </c>
      <c r="C1658" t="s">
        <v>573</v>
      </c>
      <c r="D1658" t="s">
        <v>603</v>
      </c>
      <c r="E1658" s="230">
        <v>33850</v>
      </c>
      <c r="F1658" t="s">
        <v>560</v>
      </c>
      <c r="G1658" t="b">
        <v>1</v>
      </c>
      <c r="H1658" t="s">
        <v>470</v>
      </c>
    </row>
    <row r="1659" spans="1:8" x14ac:dyDescent="0.3">
      <c r="A1659" t="s">
        <v>557</v>
      </c>
      <c r="B1659" t="s">
        <v>574</v>
      </c>
      <c r="C1659" t="s">
        <v>575</v>
      </c>
      <c r="D1659" t="s">
        <v>603</v>
      </c>
      <c r="E1659" s="230">
        <v>36515.129999999997</v>
      </c>
      <c r="F1659" t="s">
        <v>560</v>
      </c>
      <c r="G1659" t="b">
        <v>1</v>
      </c>
      <c r="H1659" t="s">
        <v>470</v>
      </c>
    </row>
    <row r="1660" spans="1:8" x14ac:dyDescent="0.3">
      <c r="A1660" t="s">
        <v>557</v>
      </c>
      <c r="B1660" t="s">
        <v>576</v>
      </c>
      <c r="C1660" t="s">
        <v>203</v>
      </c>
      <c r="D1660" t="s">
        <v>603</v>
      </c>
      <c r="E1660" s="230">
        <v>19679.09</v>
      </c>
      <c r="F1660" t="s">
        <v>560</v>
      </c>
      <c r="G1660" t="b">
        <v>1</v>
      </c>
      <c r="H1660" t="s">
        <v>470</v>
      </c>
    </row>
    <row r="1661" spans="1:8" x14ac:dyDescent="0.3">
      <c r="A1661" t="s">
        <v>557</v>
      </c>
      <c r="B1661" t="s">
        <v>577</v>
      </c>
      <c r="C1661" t="s">
        <v>206</v>
      </c>
      <c r="D1661" t="s">
        <v>603</v>
      </c>
      <c r="E1661" s="230">
        <v>5344.19</v>
      </c>
      <c r="F1661" t="s">
        <v>560</v>
      </c>
      <c r="G1661" t="b">
        <v>1</v>
      </c>
      <c r="H1661" t="s">
        <v>470</v>
      </c>
    </row>
    <row r="1662" spans="1:8" x14ac:dyDescent="0.3">
      <c r="A1662" t="s">
        <v>557</v>
      </c>
      <c r="B1662" t="s">
        <v>577</v>
      </c>
      <c r="C1662" t="s">
        <v>209</v>
      </c>
      <c r="D1662" t="s">
        <v>603</v>
      </c>
      <c r="E1662" s="230">
        <v>0</v>
      </c>
      <c r="F1662" t="s">
        <v>560</v>
      </c>
      <c r="G1662" t="b">
        <v>1</v>
      </c>
      <c r="H1662" t="s">
        <v>470</v>
      </c>
    </row>
    <row r="1663" spans="1:8" x14ac:dyDescent="0.3">
      <c r="A1663" t="s">
        <v>557</v>
      </c>
      <c r="B1663" t="s">
        <v>577</v>
      </c>
      <c r="C1663" t="s">
        <v>211</v>
      </c>
      <c r="D1663" t="s">
        <v>603</v>
      </c>
      <c r="E1663" s="230">
        <v>0</v>
      </c>
      <c r="F1663" t="s">
        <v>560</v>
      </c>
      <c r="G1663" t="b">
        <v>1</v>
      </c>
      <c r="H1663" t="s">
        <v>470</v>
      </c>
    </row>
    <row r="1664" spans="1:8" x14ac:dyDescent="0.3">
      <c r="A1664" t="s">
        <v>557</v>
      </c>
      <c r="B1664" t="s">
        <v>577</v>
      </c>
      <c r="C1664" t="s">
        <v>213</v>
      </c>
      <c r="D1664" t="s">
        <v>603</v>
      </c>
      <c r="E1664" s="230">
        <v>3383.47</v>
      </c>
      <c r="F1664" t="s">
        <v>560</v>
      </c>
      <c r="G1664" t="b">
        <v>1</v>
      </c>
      <c r="H1664" t="s">
        <v>470</v>
      </c>
    </row>
    <row r="1665" spans="1:8" x14ac:dyDescent="0.3">
      <c r="A1665" t="s">
        <v>557</v>
      </c>
      <c r="B1665" t="s">
        <v>577</v>
      </c>
      <c r="C1665" t="s">
        <v>215</v>
      </c>
      <c r="D1665" t="s">
        <v>603</v>
      </c>
      <c r="E1665" s="230">
        <v>2379.5100000000002</v>
      </c>
      <c r="F1665" t="s">
        <v>560</v>
      </c>
      <c r="G1665" t="b">
        <v>1</v>
      </c>
      <c r="H1665" t="s">
        <v>470</v>
      </c>
    </row>
    <row r="1666" spans="1:8" x14ac:dyDescent="0.3">
      <c r="A1666" t="s">
        <v>557</v>
      </c>
      <c r="B1666" t="s">
        <v>577</v>
      </c>
      <c r="C1666" t="s">
        <v>217</v>
      </c>
      <c r="D1666" t="s">
        <v>603</v>
      </c>
      <c r="E1666" s="230">
        <v>30.11</v>
      </c>
      <c r="F1666" t="s">
        <v>560</v>
      </c>
      <c r="G1666" t="b">
        <v>1</v>
      </c>
      <c r="H1666" t="s">
        <v>470</v>
      </c>
    </row>
    <row r="1667" spans="1:8" x14ac:dyDescent="0.3">
      <c r="A1667" t="s">
        <v>557</v>
      </c>
      <c r="B1667" t="s">
        <v>577</v>
      </c>
      <c r="C1667" t="s">
        <v>219</v>
      </c>
      <c r="D1667" t="s">
        <v>603</v>
      </c>
      <c r="E1667" s="230">
        <v>21.18</v>
      </c>
      <c r="F1667" t="s">
        <v>560</v>
      </c>
      <c r="G1667" t="b">
        <v>1</v>
      </c>
      <c r="H1667" t="s">
        <v>470</v>
      </c>
    </row>
    <row r="1668" spans="1:8" x14ac:dyDescent="0.3">
      <c r="A1668" t="s">
        <v>557</v>
      </c>
      <c r="B1668" t="s">
        <v>577</v>
      </c>
      <c r="C1668" t="s">
        <v>221</v>
      </c>
      <c r="D1668" t="s">
        <v>603</v>
      </c>
      <c r="E1668" s="230">
        <v>0</v>
      </c>
      <c r="F1668" t="s">
        <v>560</v>
      </c>
      <c r="G1668" t="b">
        <v>1</v>
      </c>
      <c r="H1668" t="s">
        <v>470</v>
      </c>
    </row>
    <row r="1669" spans="1:8" x14ac:dyDescent="0.3">
      <c r="A1669" t="s">
        <v>557</v>
      </c>
      <c r="B1669" t="s">
        <v>577</v>
      </c>
      <c r="C1669" t="s">
        <v>223</v>
      </c>
      <c r="D1669" t="s">
        <v>603</v>
      </c>
      <c r="E1669" s="230">
        <v>0</v>
      </c>
      <c r="F1669" t="s">
        <v>560</v>
      </c>
      <c r="G1669" t="b">
        <v>1</v>
      </c>
      <c r="H1669" t="s">
        <v>470</v>
      </c>
    </row>
    <row r="1670" spans="1:8" x14ac:dyDescent="0.3">
      <c r="A1670" t="s">
        <v>557</v>
      </c>
      <c r="B1670" t="s">
        <v>577</v>
      </c>
      <c r="C1670" t="s">
        <v>225</v>
      </c>
      <c r="D1670" t="s">
        <v>603</v>
      </c>
      <c r="E1670" s="230">
        <v>1286.22</v>
      </c>
      <c r="F1670" t="s">
        <v>560</v>
      </c>
      <c r="G1670" t="b">
        <v>1</v>
      </c>
      <c r="H1670" t="s">
        <v>470</v>
      </c>
    </row>
    <row r="1671" spans="1:8" x14ac:dyDescent="0.3">
      <c r="A1671" t="s">
        <v>557</v>
      </c>
      <c r="B1671" t="s">
        <v>577</v>
      </c>
      <c r="C1671" t="s">
        <v>227</v>
      </c>
      <c r="D1671" t="s">
        <v>603</v>
      </c>
      <c r="E1671" s="230">
        <v>0</v>
      </c>
      <c r="F1671" t="s">
        <v>560</v>
      </c>
      <c r="G1671" t="b">
        <v>1</v>
      </c>
      <c r="H1671" t="s">
        <v>470</v>
      </c>
    </row>
    <row r="1672" spans="1:8" x14ac:dyDescent="0.3">
      <c r="A1672" t="s">
        <v>557</v>
      </c>
      <c r="B1672" t="s">
        <v>577</v>
      </c>
      <c r="C1672" t="s">
        <v>229</v>
      </c>
      <c r="D1672" t="s">
        <v>603</v>
      </c>
      <c r="E1672" s="230">
        <v>0</v>
      </c>
      <c r="F1672" t="s">
        <v>560</v>
      </c>
      <c r="G1672" t="b">
        <v>1</v>
      </c>
      <c r="H1672" t="s">
        <v>470</v>
      </c>
    </row>
    <row r="1673" spans="1:8" x14ac:dyDescent="0.3">
      <c r="A1673" t="s">
        <v>557</v>
      </c>
      <c r="B1673" t="s">
        <v>577</v>
      </c>
      <c r="C1673" t="s">
        <v>231</v>
      </c>
      <c r="D1673" t="s">
        <v>603</v>
      </c>
      <c r="E1673" s="230">
        <v>2221.65</v>
      </c>
      <c r="F1673" t="s">
        <v>560</v>
      </c>
      <c r="G1673" t="b">
        <v>1</v>
      </c>
      <c r="H1673" t="s">
        <v>470</v>
      </c>
    </row>
    <row r="1674" spans="1:8" x14ac:dyDescent="0.3">
      <c r="A1674" t="s">
        <v>557</v>
      </c>
      <c r="B1674" t="s">
        <v>577</v>
      </c>
      <c r="C1674" t="s">
        <v>234</v>
      </c>
      <c r="D1674" t="s">
        <v>603</v>
      </c>
      <c r="E1674" s="230">
        <v>248.97</v>
      </c>
      <c r="F1674" t="s">
        <v>560</v>
      </c>
      <c r="G1674" t="b">
        <v>1</v>
      </c>
      <c r="H1674" t="s">
        <v>470</v>
      </c>
    </row>
    <row r="1675" spans="1:8" x14ac:dyDescent="0.3">
      <c r="A1675" t="s">
        <v>557</v>
      </c>
      <c r="B1675" t="s">
        <v>577</v>
      </c>
      <c r="C1675" t="s">
        <v>236</v>
      </c>
      <c r="D1675" t="s">
        <v>603</v>
      </c>
      <c r="E1675" s="230">
        <v>0</v>
      </c>
      <c r="F1675" t="s">
        <v>560</v>
      </c>
      <c r="G1675" t="b">
        <v>1</v>
      </c>
      <c r="H1675" t="s">
        <v>470</v>
      </c>
    </row>
    <row r="1676" spans="1:8" x14ac:dyDescent="0.3">
      <c r="A1676" t="s">
        <v>557</v>
      </c>
      <c r="B1676" t="s">
        <v>577</v>
      </c>
      <c r="C1676" t="s">
        <v>237</v>
      </c>
      <c r="D1676" t="s">
        <v>603</v>
      </c>
      <c r="E1676" s="230">
        <v>0</v>
      </c>
      <c r="F1676" t="s">
        <v>560</v>
      </c>
      <c r="G1676" t="b">
        <v>1</v>
      </c>
      <c r="H1676" t="s">
        <v>470</v>
      </c>
    </row>
    <row r="1677" spans="1:8" x14ac:dyDescent="0.3">
      <c r="A1677" t="s">
        <v>557</v>
      </c>
      <c r="B1677" t="s">
        <v>578</v>
      </c>
      <c r="C1677" t="s">
        <v>239</v>
      </c>
      <c r="D1677" t="s">
        <v>603</v>
      </c>
      <c r="E1677" s="230">
        <v>4500</v>
      </c>
      <c r="F1677" t="s">
        <v>560</v>
      </c>
      <c r="G1677" t="b">
        <v>1</v>
      </c>
      <c r="H1677" t="s">
        <v>470</v>
      </c>
    </row>
    <row r="1678" spans="1:8" x14ac:dyDescent="0.3">
      <c r="A1678" t="s">
        <v>557</v>
      </c>
      <c r="B1678" t="s">
        <v>578</v>
      </c>
      <c r="C1678" t="s">
        <v>240</v>
      </c>
      <c r="D1678" t="s">
        <v>603</v>
      </c>
      <c r="E1678" s="230">
        <v>0</v>
      </c>
      <c r="F1678" t="s">
        <v>560</v>
      </c>
      <c r="G1678" t="b">
        <v>1</v>
      </c>
      <c r="H1678" t="s">
        <v>470</v>
      </c>
    </row>
    <row r="1679" spans="1:8" x14ac:dyDescent="0.3">
      <c r="A1679" t="s">
        <v>557</v>
      </c>
      <c r="B1679" t="s">
        <v>578</v>
      </c>
      <c r="C1679" t="s">
        <v>241</v>
      </c>
      <c r="D1679" t="s">
        <v>603</v>
      </c>
      <c r="E1679" s="230">
        <v>0</v>
      </c>
      <c r="F1679" t="s">
        <v>560</v>
      </c>
      <c r="G1679" t="b">
        <v>1</v>
      </c>
      <c r="H1679" t="s">
        <v>470</v>
      </c>
    </row>
    <row r="1680" spans="1:8" x14ac:dyDescent="0.3">
      <c r="A1680" t="s">
        <v>557</v>
      </c>
      <c r="B1680" t="s">
        <v>578</v>
      </c>
      <c r="C1680" t="s">
        <v>242</v>
      </c>
      <c r="D1680" t="s">
        <v>603</v>
      </c>
      <c r="E1680" s="230">
        <v>150</v>
      </c>
      <c r="F1680" t="s">
        <v>560</v>
      </c>
      <c r="G1680" t="b">
        <v>1</v>
      </c>
      <c r="H1680" t="s">
        <v>470</v>
      </c>
    </row>
    <row r="1681" spans="1:8" x14ac:dyDescent="0.3">
      <c r="A1681" t="s">
        <v>557</v>
      </c>
      <c r="B1681" t="s">
        <v>578</v>
      </c>
      <c r="C1681" t="s">
        <v>244</v>
      </c>
      <c r="D1681" t="s">
        <v>603</v>
      </c>
      <c r="E1681" s="230">
        <v>0</v>
      </c>
      <c r="F1681" t="s">
        <v>560</v>
      </c>
      <c r="G1681" t="b">
        <v>1</v>
      </c>
      <c r="H1681" t="s">
        <v>470</v>
      </c>
    </row>
    <row r="1682" spans="1:8" x14ac:dyDescent="0.3">
      <c r="A1682" t="s">
        <v>557</v>
      </c>
      <c r="B1682" t="s">
        <v>578</v>
      </c>
      <c r="C1682" t="s">
        <v>246</v>
      </c>
      <c r="D1682" t="s">
        <v>603</v>
      </c>
      <c r="E1682" s="230">
        <v>0</v>
      </c>
      <c r="F1682" t="s">
        <v>560</v>
      </c>
      <c r="G1682" t="b">
        <v>1</v>
      </c>
      <c r="H1682" t="s">
        <v>470</v>
      </c>
    </row>
    <row r="1683" spans="1:8" x14ac:dyDescent="0.3">
      <c r="A1683" t="s">
        <v>557</v>
      </c>
      <c r="B1683" t="s">
        <v>578</v>
      </c>
      <c r="C1683" t="s">
        <v>247</v>
      </c>
      <c r="D1683" t="s">
        <v>603</v>
      </c>
      <c r="E1683" s="230">
        <v>74.16</v>
      </c>
      <c r="F1683" t="s">
        <v>560</v>
      </c>
      <c r="G1683" t="b">
        <v>1</v>
      </c>
      <c r="H1683" t="s">
        <v>470</v>
      </c>
    </row>
    <row r="1684" spans="1:8" x14ac:dyDescent="0.3">
      <c r="A1684" t="s">
        <v>557</v>
      </c>
      <c r="B1684" t="s">
        <v>578</v>
      </c>
      <c r="C1684" t="s">
        <v>249</v>
      </c>
      <c r="D1684" t="s">
        <v>603</v>
      </c>
      <c r="E1684" s="230">
        <v>0</v>
      </c>
      <c r="F1684" t="s">
        <v>560</v>
      </c>
      <c r="G1684" t="b">
        <v>1</v>
      </c>
      <c r="H1684" t="s">
        <v>470</v>
      </c>
    </row>
    <row r="1685" spans="1:8" x14ac:dyDescent="0.3">
      <c r="A1685" t="s">
        <v>557</v>
      </c>
      <c r="B1685" t="s">
        <v>578</v>
      </c>
      <c r="C1685" t="s">
        <v>250</v>
      </c>
      <c r="D1685" t="s">
        <v>603</v>
      </c>
      <c r="E1685" s="230">
        <v>0</v>
      </c>
      <c r="F1685" t="s">
        <v>560</v>
      </c>
      <c r="G1685" t="b">
        <v>1</v>
      </c>
      <c r="H1685" t="s">
        <v>470</v>
      </c>
    </row>
    <row r="1686" spans="1:8" x14ac:dyDescent="0.3">
      <c r="A1686" t="s">
        <v>557</v>
      </c>
      <c r="B1686" t="s">
        <v>578</v>
      </c>
      <c r="C1686" t="s">
        <v>251</v>
      </c>
      <c r="D1686" t="s">
        <v>603</v>
      </c>
      <c r="E1686" s="230">
        <v>0</v>
      </c>
      <c r="F1686" t="s">
        <v>560</v>
      </c>
      <c r="G1686" t="b">
        <v>1</v>
      </c>
      <c r="H1686" t="s">
        <v>470</v>
      </c>
    </row>
    <row r="1687" spans="1:8" x14ac:dyDescent="0.3">
      <c r="A1687" t="s">
        <v>557</v>
      </c>
      <c r="B1687" t="s">
        <v>578</v>
      </c>
      <c r="C1687" t="s">
        <v>252</v>
      </c>
      <c r="D1687" t="s">
        <v>603</v>
      </c>
      <c r="E1687" s="230">
        <v>17785.86</v>
      </c>
      <c r="F1687" t="s">
        <v>560</v>
      </c>
      <c r="G1687" t="b">
        <v>1</v>
      </c>
      <c r="H1687" t="s">
        <v>470</v>
      </c>
    </row>
    <row r="1688" spans="1:8" x14ac:dyDescent="0.3">
      <c r="A1688" t="s">
        <v>557</v>
      </c>
      <c r="B1688" t="s">
        <v>579</v>
      </c>
      <c r="C1688" t="s">
        <v>253</v>
      </c>
      <c r="D1688" t="s">
        <v>603</v>
      </c>
      <c r="E1688" s="230">
        <v>0</v>
      </c>
      <c r="F1688" t="s">
        <v>560</v>
      </c>
      <c r="G1688" t="b">
        <v>1</v>
      </c>
      <c r="H1688" t="s">
        <v>470</v>
      </c>
    </row>
    <row r="1689" spans="1:8" x14ac:dyDescent="0.3">
      <c r="A1689" t="s">
        <v>557</v>
      </c>
      <c r="B1689" t="s">
        <v>256</v>
      </c>
      <c r="C1689" t="s">
        <v>257</v>
      </c>
      <c r="D1689" t="s">
        <v>603</v>
      </c>
      <c r="E1689" s="230">
        <v>51452.1</v>
      </c>
      <c r="F1689" t="s">
        <v>560</v>
      </c>
      <c r="G1689" t="b">
        <v>1</v>
      </c>
      <c r="H1689" t="s">
        <v>470</v>
      </c>
    </row>
    <row r="1690" spans="1:8" x14ac:dyDescent="0.3">
      <c r="A1690" t="s">
        <v>557</v>
      </c>
      <c r="B1690" t="s">
        <v>256</v>
      </c>
      <c r="C1690" t="s">
        <v>258</v>
      </c>
      <c r="D1690" t="s">
        <v>603</v>
      </c>
      <c r="E1690" s="230">
        <v>0</v>
      </c>
      <c r="F1690" t="s">
        <v>560</v>
      </c>
      <c r="G1690" t="b">
        <v>1</v>
      </c>
      <c r="H1690" t="s">
        <v>470</v>
      </c>
    </row>
    <row r="1691" spans="1:8" x14ac:dyDescent="0.3">
      <c r="A1691" t="s">
        <v>557</v>
      </c>
      <c r="B1691" t="s">
        <v>256</v>
      </c>
      <c r="C1691" t="s">
        <v>259</v>
      </c>
      <c r="D1691" t="s">
        <v>603</v>
      </c>
      <c r="E1691" s="230">
        <v>2847.92</v>
      </c>
      <c r="F1691" t="s">
        <v>560</v>
      </c>
      <c r="G1691" t="b">
        <v>1</v>
      </c>
      <c r="H1691" t="s">
        <v>470</v>
      </c>
    </row>
    <row r="1692" spans="1:8" x14ac:dyDescent="0.3">
      <c r="A1692" t="s">
        <v>557</v>
      </c>
      <c r="B1692" t="s">
        <v>256</v>
      </c>
      <c r="C1692" t="s">
        <v>260</v>
      </c>
      <c r="D1692" t="s">
        <v>603</v>
      </c>
      <c r="E1692" s="230">
        <v>0</v>
      </c>
      <c r="F1692" t="s">
        <v>560</v>
      </c>
      <c r="G1692" t="b">
        <v>1</v>
      </c>
      <c r="H1692" t="s">
        <v>470</v>
      </c>
    </row>
    <row r="1693" spans="1:8" x14ac:dyDescent="0.3">
      <c r="A1693" t="s">
        <v>557</v>
      </c>
      <c r="B1693" t="s">
        <v>256</v>
      </c>
      <c r="C1693" t="s">
        <v>261</v>
      </c>
      <c r="D1693" t="s">
        <v>603</v>
      </c>
      <c r="E1693" s="230">
        <v>286.98</v>
      </c>
      <c r="F1693" t="s">
        <v>560</v>
      </c>
      <c r="G1693" t="b">
        <v>1</v>
      </c>
      <c r="H1693" t="s">
        <v>470</v>
      </c>
    </row>
    <row r="1694" spans="1:8" x14ac:dyDescent="0.3">
      <c r="A1694" t="s">
        <v>557</v>
      </c>
      <c r="B1694" t="s">
        <v>256</v>
      </c>
      <c r="C1694" t="s">
        <v>262</v>
      </c>
      <c r="D1694" t="s">
        <v>603</v>
      </c>
      <c r="E1694" s="230">
        <v>0</v>
      </c>
      <c r="F1694" t="s">
        <v>560</v>
      </c>
      <c r="G1694" t="b">
        <v>1</v>
      </c>
      <c r="H1694" t="s">
        <v>470</v>
      </c>
    </row>
    <row r="1695" spans="1:8" x14ac:dyDescent="0.3">
      <c r="A1695" t="s">
        <v>557</v>
      </c>
      <c r="B1695" t="s">
        <v>256</v>
      </c>
      <c r="C1695" t="s">
        <v>263</v>
      </c>
      <c r="D1695" t="s">
        <v>603</v>
      </c>
      <c r="E1695" s="230">
        <v>0</v>
      </c>
      <c r="F1695" t="s">
        <v>560</v>
      </c>
      <c r="G1695" t="b">
        <v>1</v>
      </c>
      <c r="H1695" t="s">
        <v>470</v>
      </c>
    </row>
    <row r="1696" spans="1:8" x14ac:dyDescent="0.3">
      <c r="A1696" t="s">
        <v>557</v>
      </c>
      <c r="B1696" t="s">
        <v>264</v>
      </c>
      <c r="C1696" t="s">
        <v>265</v>
      </c>
      <c r="D1696" t="s">
        <v>603</v>
      </c>
      <c r="E1696" s="230">
        <v>5327.98</v>
      </c>
      <c r="F1696" t="s">
        <v>560</v>
      </c>
      <c r="G1696" t="b">
        <v>1</v>
      </c>
      <c r="H1696" t="s">
        <v>470</v>
      </c>
    </row>
    <row r="1697" spans="1:8" x14ac:dyDescent="0.3">
      <c r="A1697" t="s">
        <v>557</v>
      </c>
      <c r="B1697" t="s">
        <v>264</v>
      </c>
      <c r="C1697" t="s">
        <v>266</v>
      </c>
      <c r="D1697" t="s">
        <v>603</v>
      </c>
      <c r="E1697" s="230">
        <v>11177.98</v>
      </c>
      <c r="F1697" t="s">
        <v>560</v>
      </c>
      <c r="G1697" t="b">
        <v>1</v>
      </c>
      <c r="H1697" t="s">
        <v>470</v>
      </c>
    </row>
    <row r="1698" spans="1:8" x14ac:dyDescent="0.3">
      <c r="A1698" t="s">
        <v>557</v>
      </c>
      <c r="B1698" t="s">
        <v>264</v>
      </c>
      <c r="C1698" t="s">
        <v>267</v>
      </c>
      <c r="D1698" t="s">
        <v>603</v>
      </c>
      <c r="E1698" s="230">
        <v>7027.98</v>
      </c>
      <c r="F1698" t="s">
        <v>560</v>
      </c>
      <c r="G1698" t="b">
        <v>1</v>
      </c>
      <c r="H1698" t="s">
        <v>470</v>
      </c>
    </row>
    <row r="1699" spans="1:8" x14ac:dyDescent="0.3">
      <c r="A1699" t="s">
        <v>557</v>
      </c>
      <c r="B1699" t="s">
        <v>264</v>
      </c>
      <c r="C1699" t="s">
        <v>268</v>
      </c>
      <c r="D1699" t="s">
        <v>603</v>
      </c>
      <c r="E1699" s="230">
        <v>6627.98</v>
      </c>
      <c r="F1699" t="s">
        <v>560</v>
      </c>
      <c r="G1699" t="b">
        <v>1</v>
      </c>
      <c r="H1699" t="s">
        <v>470</v>
      </c>
    </row>
    <row r="1700" spans="1:8" x14ac:dyDescent="0.3">
      <c r="A1700" t="s">
        <v>557</v>
      </c>
      <c r="B1700" t="s">
        <v>264</v>
      </c>
      <c r="C1700" t="s">
        <v>269</v>
      </c>
      <c r="D1700" t="s">
        <v>603</v>
      </c>
      <c r="E1700" s="230">
        <v>677.98</v>
      </c>
      <c r="F1700" t="s">
        <v>560</v>
      </c>
      <c r="G1700" t="b">
        <v>1</v>
      </c>
      <c r="H1700" t="s">
        <v>470</v>
      </c>
    </row>
    <row r="1701" spans="1:8" x14ac:dyDescent="0.3">
      <c r="A1701" t="s">
        <v>557</v>
      </c>
      <c r="B1701" t="s">
        <v>264</v>
      </c>
      <c r="C1701" t="s">
        <v>270</v>
      </c>
      <c r="D1701" t="s">
        <v>603</v>
      </c>
      <c r="E1701" s="230">
        <v>561</v>
      </c>
      <c r="F1701" t="s">
        <v>560</v>
      </c>
      <c r="G1701" t="b">
        <v>1</v>
      </c>
      <c r="H1701" t="s">
        <v>470</v>
      </c>
    </row>
    <row r="1702" spans="1:8" x14ac:dyDescent="0.3">
      <c r="A1702" t="s">
        <v>557</v>
      </c>
      <c r="B1702" t="s">
        <v>264</v>
      </c>
      <c r="C1702" t="s">
        <v>271</v>
      </c>
      <c r="D1702" t="s">
        <v>603</v>
      </c>
      <c r="E1702" s="230">
        <v>1327.98</v>
      </c>
      <c r="F1702" t="s">
        <v>560</v>
      </c>
      <c r="G1702" t="b">
        <v>1</v>
      </c>
      <c r="H1702" t="s">
        <v>470</v>
      </c>
    </row>
    <row r="1703" spans="1:8" x14ac:dyDescent="0.3">
      <c r="A1703" t="s">
        <v>557</v>
      </c>
      <c r="B1703" t="s">
        <v>264</v>
      </c>
      <c r="C1703" t="s">
        <v>272</v>
      </c>
      <c r="D1703" t="s">
        <v>603</v>
      </c>
      <c r="E1703" s="230">
        <v>2427.98</v>
      </c>
      <c r="F1703" t="s">
        <v>560</v>
      </c>
      <c r="G1703" t="b">
        <v>1</v>
      </c>
      <c r="H1703" t="s">
        <v>470</v>
      </c>
    </row>
    <row r="1704" spans="1:8" x14ac:dyDescent="0.3">
      <c r="A1704" t="s">
        <v>557</v>
      </c>
      <c r="B1704" t="s">
        <v>264</v>
      </c>
      <c r="C1704" t="s">
        <v>273</v>
      </c>
      <c r="D1704" t="s">
        <v>603</v>
      </c>
      <c r="E1704" s="230">
        <v>327.98</v>
      </c>
      <c r="F1704" t="s">
        <v>560</v>
      </c>
      <c r="G1704" t="b">
        <v>1</v>
      </c>
      <c r="H1704" t="s">
        <v>470</v>
      </c>
    </row>
    <row r="1705" spans="1:8" x14ac:dyDescent="0.3">
      <c r="A1705" t="s">
        <v>557</v>
      </c>
      <c r="B1705" t="s">
        <v>264</v>
      </c>
      <c r="C1705" t="s">
        <v>580</v>
      </c>
      <c r="D1705" t="s">
        <v>603</v>
      </c>
      <c r="E1705" s="230">
        <v>327.98</v>
      </c>
      <c r="F1705" t="s">
        <v>560</v>
      </c>
      <c r="G1705" t="b">
        <v>1</v>
      </c>
      <c r="H1705" t="s">
        <v>470</v>
      </c>
    </row>
    <row r="1706" spans="1:8" x14ac:dyDescent="0.3">
      <c r="A1706" t="s">
        <v>557</v>
      </c>
      <c r="B1706" t="s">
        <v>264</v>
      </c>
      <c r="C1706" t="s">
        <v>275</v>
      </c>
      <c r="D1706" t="s">
        <v>603</v>
      </c>
      <c r="E1706" s="230">
        <v>1327.98</v>
      </c>
      <c r="F1706" t="s">
        <v>560</v>
      </c>
      <c r="G1706" t="b">
        <v>1</v>
      </c>
      <c r="H1706" t="s">
        <v>470</v>
      </c>
    </row>
    <row r="1707" spans="1:8" x14ac:dyDescent="0.3">
      <c r="A1707" t="s">
        <v>557</v>
      </c>
      <c r="B1707" t="s">
        <v>264</v>
      </c>
      <c r="C1707" t="s">
        <v>276</v>
      </c>
      <c r="D1707" t="s">
        <v>603</v>
      </c>
      <c r="E1707" s="230">
        <v>1428</v>
      </c>
      <c r="F1707" t="s">
        <v>560</v>
      </c>
      <c r="G1707" t="b">
        <v>1</v>
      </c>
      <c r="H1707" t="s">
        <v>470</v>
      </c>
    </row>
    <row r="1708" spans="1:8" x14ac:dyDescent="0.3">
      <c r="A1708" t="s">
        <v>557</v>
      </c>
      <c r="B1708" t="s">
        <v>264</v>
      </c>
      <c r="C1708" t="s">
        <v>277</v>
      </c>
      <c r="D1708" t="s">
        <v>603</v>
      </c>
      <c r="E1708" s="230">
        <v>250</v>
      </c>
      <c r="F1708" t="s">
        <v>560</v>
      </c>
      <c r="G1708" t="b">
        <v>1</v>
      </c>
      <c r="H1708" t="s">
        <v>470</v>
      </c>
    </row>
    <row r="1709" spans="1:8" x14ac:dyDescent="0.3">
      <c r="A1709" t="s">
        <v>557</v>
      </c>
      <c r="B1709" t="s">
        <v>264</v>
      </c>
      <c r="C1709" t="s">
        <v>278</v>
      </c>
      <c r="D1709" t="s">
        <v>603</v>
      </c>
      <c r="E1709" s="230">
        <v>3427.98</v>
      </c>
      <c r="F1709" t="s">
        <v>560</v>
      </c>
      <c r="G1709" t="b">
        <v>1</v>
      </c>
      <c r="H1709" t="s">
        <v>470</v>
      </c>
    </row>
    <row r="1710" spans="1:8" x14ac:dyDescent="0.3">
      <c r="A1710" t="s">
        <v>557</v>
      </c>
      <c r="B1710" t="s">
        <v>279</v>
      </c>
      <c r="C1710" t="s">
        <v>280</v>
      </c>
      <c r="D1710" t="s">
        <v>603</v>
      </c>
      <c r="E1710" s="230">
        <v>0</v>
      </c>
      <c r="F1710" t="s">
        <v>560</v>
      </c>
      <c r="G1710" t="b">
        <v>1</v>
      </c>
      <c r="H1710" t="s">
        <v>470</v>
      </c>
    </row>
    <row r="1711" spans="1:8" x14ac:dyDescent="0.3">
      <c r="A1711" t="s">
        <v>557</v>
      </c>
      <c r="B1711" t="s">
        <v>279</v>
      </c>
      <c r="C1711" t="s">
        <v>281</v>
      </c>
      <c r="D1711" t="s">
        <v>603</v>
      </c>
      <c r="E1711" s="230">
        <v>608.54999999999995</v>
      </c>
      <c r="F1711" t="s">
        <v>560</v>
      </c>
      <c r="G1711" t="b">
        <v>1</v>
      </c>
      <c r="H1711" t="s">
        <v>470</v>
      </c>
    </row>
    <row r="1712" spans="1:8" x14ac:dyDescent="0.3">
      <c r="A1712" t="s">
        <v>557</v>
      </c>
      <c r="B1712" t="s">
        <v>279</v>
      </c>
      <c r="C1712" t="s">
        <v>282</v>
      </c>
      <c r="D1712" t="s">
        <v>603</v>
      </c>
      <c r="E1712" s="230">
        <v>416.13</v>
      </c>
      <c r="F1712" t="s">
        <v>560</v>
      </c>
      <c r="G1712" t="b">
        <v>1</v>
      </c>
      <c r="H1712" t="s">
        <v>470</v>
      </c>
    </row>
    <row r="1713" spans="1:8" x14ac:dyDescent="0.3">
      <c r="A1713" t="s">
        <v>557</v>
      </c>
      <c r="B1713" t="s">
        <v>279</v>
      </c>
      <c r="C1713" t="s">
        <v>283</v>
      </c>
      <c r="D1713" t="s">
        <v>603</v>
      </c>
      <c r="E1713" s="230">
        <v>0</v>
      </c>
      <c r="F1713" t="s">
        <v>560</v>
      </c>
      <c r="G1713" t="b">
        <v>1</v>
      </c>
      <c r="H1713" t="s">
        <v>470</v>
      </c>
    </row>
    <row r="1714" spans="1:8" x14ac:dyDescent="0.3">
      <c r="A1714" t="s">
        <v>557</v>
      </c>
      <c r="B1714" t="s">
        <v>279</v>
      </c>
      <c r="C1714" t="s">
        <v>284</v>
      </c>
      <c r="D1714" t="s">
        <v>603</v>
      </c>
      <c r="E1714" s="230">
        <v>2614.5</v>
      </c>
      <c r="F1714" t="s">
        <v>560</v>
      </c>
      <c r="G1714" t="b">
        <v>1</v>
      </c>
      <c r="H1714" t="s">
        <v>470</v>
      </c>
    </row>
    <row r="1715" spans="1:8" x14ac:dyDescent="0.3">
      <c r="A1715" t="s">
        <v>557</v>
      </c>
      <c r="B1715" t="s">
        <v>279</v>
      </c>
      <c r="C1715" t="s">
        <v>285</v>
      </c>
      <c r="D1715" t="s">
        <v>603</v>
      </c>
      <c r="E1715" s="230">
        <v>408.45</v>
      </c>
      <c r="F1715" t="s">
        <v>560</v>
      </c>
      <c r="G1715" t="b">
        <v>1</v>
      </c>
      <c r="H1715" t="s">
        <v>470</v>
      </c>
    </row>
    <row r="1716" spans="1:8" x14ac:dyDescent="0.3">
      <c r="A1716" t="s">
        <v>557</v>
      </c>
      <c r="B1716" t="s">
        <v>279</v>
      </c>
      <c r="C1716" t="s">
        <v>286</v>
      </c>
      <c r="D1716" t="s">
        <v>603</v>
      </c>
      <c r="E1716" s="230">
        <v>1017.45</v>
      </c>
      <c r="F1716" t="s">
        <v>560</v>
      </c>
      <c r="G1716" t="b">
        <v>1</v>
      </c>
      <c r="H1716" t="s">
        <v>470</v>
      </c>
    </row>
    <row r="1717" spans="1:8" x14ac:dyDescent="0.3">
      <c r="A1717" t="s">
        <v>557</v>
      </c>
      <c r="B1717" t="s">
        <v>581</v>
      </c>
      <c r="C1717" t="s">
        <v>288</v>
      </c>
      <c r="D1717" t="s">
        <v>603</v>
      </c>
      <c r="E1717" s="230">
        <v>4483.95</v>
      </c>
      <c r="F1717" t="s">
        <v>560</v>
      </c>
      <c r="G1717" t="b">
        <v>1</v>
      </c>
      <c r="H1717" t="s">
        <v>470</v>
      </c>
    </row>
    <row r="1718" spans="1:8" x14ac:dyDescent="0.3">
      <c r="A1718" t="s">
        <v>557</v>
      </c>
      <c r="B1718" t="s">
        <v>581</v>
      </c>
      <c r="C1718" t="s">
        <v>289</v>
      </c>
      <c r="D1718" t="s">
        <v>603</v>
      </c>
      <c r="E1718" s="230">
        <v>1331.19</v>
      </c>
      <c r="F1718" t="s">
        <v>560</v>
      </c>
      <c r="G1718" t="b">
        <v>1</v>
      </c>
      <c r="H1718" t="s">
        <v>470</v>
      </c>
    </row>
    <row r="1719" spans="1:8" x14ac:dyDescent="0.3">
      <c r="A1719" t="s">
        <v>557</v>
      </c>
      <c r="B1719" t="s">
        <v>581</v>
      </c>
      <c r="C1719" t="s">
        <v>290</v>
      </c>
      <c r="D1719" t="s">
        <v>603</v>
      </c>
      <c r="E1719" s="230">
        <v>1131.19</v>
      </c>
      <c r="F1719" t="s">
        <v>560</v>
      </c>
      <c r="G1719" t="b">
        <v>1</v>
      </c>
      <c r="H1719" t="s">
        <v>470</v>
      </c>
    </row>
    <row r="1720" spans="1:8" x14ac:dyDescent="0.3">
      <c r="A1720" t="s">
        <v>557</v>
      </c>
      <c r="B1720" t="s">
        <v>581</v>
      </c>
      <c r="C1720" t="s">
        <v>291</v>
      </c>
      <c r="D1720" t="s">
        <v>603</v>
      </c>
      <c r="E1720" s="230">
        <v>431.19</v>
      </c>
      <c r="F1720" t="s">
        <v>560</v>
      </c>
      <c r="G1720" t="b">
        <v>1</v>
      </c>
      <c r="H1720" t="s">
        <v>470</v>
      </c>
    </row>
    <row r="1721" spans="1:8" x14ac:dyDescent="0.3">
      <c r="A1721" t="s">
        <v>557</v>
      </c>
      <c r="B1721" t="s">
        <v>581</v>
      </c>
      <c r="C1721" t="s">
        <v>292</v>
      </c>
      <c r="D1721" t="s">
        <v>603</v>
      </c>
      <c r="E1721" s="230">
        <v>0</v>
      </c>
      <c r="F1721" t="s">
        <v>560</v>
      </c>
      <c r="G1721" t="b">
        <v>1</v>
      </c>
      <c r="H1721" t="s">
        <v>470</v>
      </c>
    </row>
    <row r="1722" spans="1:8" x14ac:dyDescent="0.3">
      <c r="A1722" t="s">
        <v>557</v>
      </c>
      <c r="B1722" t="s">
        <v>582</v>
      </c>
      <c r="C1722" t="s">
        <v>293</v>
      </c>
      <c r="D1722" t="s">
        <v>603</v>
      </c>
      <c r="E1722" s="230">
        <v>631.19000000000005</v>
      </c>
      <c r="F1722" t="s">
        <v>560</v>
      </c>
      <c r="G1722" t="b">
        <v>1</v>
      </c>
      <c r="H1722" t="s">
        <v>470</v>
      </c>
    </row>
    <row r="1723" spans="1:8" x14ac:dyDescent="0.3">
      <c r="A1723" t="s">
        <v>557</v>
      </c>
      <c r="B1723" t="s">
        <v>582</v>
      </c>
      <c r="C1723" t="s">
        <v>294</v>
      </c>
      <c r="D1723" t="s">
        <v>603</v>
      </c>
      <c r="E1723" s="230">
        <v>0</v>
      </c>
      <c r="F1723" t="s">
        <v>560</v>
      </c>
      <c r="G1723" t="b">
        <v>1</v>
      </c>
      <c r="H1723" t="s">
        <v>470</v>
      </c>
    </row>
    <row r="1724" spans="1:8" x14ac:dyDescent="0.3">
      <c r="A1724" t="s">
        <v>557</v>
      </c>
      <c r="B1724" t="s">
        <v>582</v>
      </c>
      <c r="C1724" t="s">
        <v>295</v>
      </c>
      <c r="D1724" t="s">
        <v>603</v>
      </c>
      <c r="E1724" s="230">
        <v>0</v>
      </c>
      <c r="F1724" t="s">
        <v>560</v>
      </c>
      <c r="G1724" t="b">
        <v>1</v>
      </c>
      <c r="H1724" t="s">
        <v>470</v>
      </c>
    </row>
    <row r="1725" spans="1:8" x14ac:dyDescent="0.3">
      <c r="A1725" t="s">
        <v>557</v>
      </c>
      <c r="B1725" t="s">
        <v>296</v>
      </c>
      <c r="C1725" t="s">
        <v>297</v>
      </c>
      <c r="D1725" t="s">
        <v>603</v>
      </c>
      <c r="E1725" s="230">
        <v>4200</v>
      </c>
      <c r="F1725" t="s">
        <v>560</v>
      </c>
      <c r="G1725" t="b">
        <v>1</v>
      </c>
      <c r="H1725" t="s">
        <v>470</v>
      </c>
    </row>
    <row r="1726" spans="1:8" x14ac:dyDescent="0.3">
      <c r="A1726" t="s">
        <v>557</v>
      </c>
      <c r="B1726" t="s">
        <v>296</v>
      </c>
      <c r="C1726" t="s">
        <v>298</v>
      </c>
      <c r="D1726" t="s">
        <v>603</v>
      </c>
      <c r="E1726" s="230">
        <v>525</v>
      </c>
      <c r="F1726" t="s">
        <v>560</v>
      </c>
      <c r="G1726" t="b">
        <v>1</v>
      </c>
      <c r="H1726" t="s">
        <v>470</v>
      </c>
    </row>
    <row r="1727" spans="1:8" x14ac:dyDescent="0.3">
      <c r="A1727" t="s">
        <v>557</v>
      </c>
      <c r="B1727" t="s">
        <v>296</v>
      </c>
      <c r="C1727" t="s">
        <v>299</v>
      </c>
      <c r="D1727" t="s">
        <v>603</v>
      </c>
      <c r="E1727" s="230">
        <v>0</v>
      </c>
      <c r="F1727" t="s">
        <v>560</v>
      </c>
      <c r="G1727" t="b">
        <v>1</v>
      </c>
      <c r="H1727" t="s">
        <v>470</v>
      </c>
    </row>
    <row r="1728" spans="1:8" x14ac:dyDescent="0.3">
      <c r="A1728" t="s">
        <v>557</v>
      </c>
      <c r="B1728" t="s">
        <v>296</v>
      </c>
      <c r="C1728" t="s">
        <v>300</v>
      </c>
      <c r="D1728" t="s">
        <v>603</v>
      </c>
      <c r="E1728" s="230">
        <v>0</v>
      </c>
      <c r="F1728" t="s">
        <v>560</v>
      </c>
      <c r="G1728" t="b">
        <v>1</v>
      </c>
      <c r="H1728" t="s">
        <v>470</v>
      </c>
    </row>
    <row r="1729" spans="1:8" x14ac:dyDescent="0.3">
      <c r="A1729" t="s">
        <v>557</v>
      </c>
      <c r="B1729" t="s">
        <v>296</v>
      </c>
      <c r="C1729" t="s">
        <v>301</v>
      </c>
      <c r="D1729" t="s">
        <v>603</v>
      </c>
      <c r="E1729" s="230">
        <v>1131.19</v>
      </c>
      <c r="F1729" t="s">
        <v>560</v>
      </c>
      <c r="G1729" t="b">
        <v>1</v>
      </c>
      <c r="H1729" t="s">
        <v>470</v>
      </c>
    </row>
    <row r="1730" spans="1:8" x14ac:dyDescent="0.3">
      <c r="A1730" t="s">
        <v>557</v>
      </c>
      <c r="B1730" t="s">
        <v>296</v>
      </c>
      <c r="C1730" t="s">
        <v>302</v>
      </c>
      <c r="D1730" t="s">
        <v>603</v>
      </c>
      <c r="E1730" s="230">
        <v>0</v>
      </c>
      <c r="F1730" t="s">
        <v>560</v>
      </c>
      <c r="G1730" t="b">
        <v>1</v>
      </c>
      <c r="H1730" t="s">
        <v>470</v>
      </c>
    </row>
    <row r="1731" spans="1:8" x14ac:dyDescent="0.3">
      <c r="A1731" t="s">
        <v>557</v>
      </c>
      <c r="B1731" t="s">
        <v>296</v>
      </c>
      <c r="C1731" t="s">
        <v>303</v>
      </c>
      <c r="D1731" t="s">
        <v>603</v>
      </c>
      <c r="E1731" s="230">
        <v>0</v>
      </c>
      <c r="F1731" t="s">
        <v>560</v>
      </c>
      <c r="G1731" t="b">
        <v>1</v>
      </c>
      <c r="H1731" t="s">
        <v>470</v>
      </c>
    </row>
    <row r="1732" spans="1:8" x14ac:dyDescent="0.3">
      <c r="A1732" t="s">
        <v>557</v>
      </c>
      <c r="B1732" t="s">
        <v>296</v>
      </c>
      <c r="C1732" t="s">
        <v>304</v>
      </c>
      <c r="D1732" t="s">
        <v>603</v>
      </c>
      <c r="E1732" s="230">
        <v>0</v>
      </c>
      <c r="F1732" t="s">
        <v>560</v>
      </c>
      <c r="G1732" t="b">
        <v>1</v>
      </c>
      <c r="H1732" t="s">
        <v>470</v>
      </c>
    </row>
    <row r="1733" spans="1:8" x14ac:dyDescent="0.3">
      <c r="A1733" t="s">
        <v>557</v>
      </c>
      <c r="B1733" t="s">
        <v>296</v>
      </c>
      <c r="C1733" t="s">
        <v>305</v>
      </c>
      <c r="D1733" t="s">
        <v>603</v>
      </c>
      <c r="E1733" s="230">
        <v>0</v>
      </c>
      <c r="F1733" t="s">
        <v>560</v>
      </c>
      <c r="G1733" t="b">
        <v>1</v>
      </c>
      <c r="H1733" t="s">
        <v>470</v>
      </c>
    </row>
    <row r="1734" spans="1:8" x14ac:dyDescent="0.3">
      <c r="A1734" t="s">
        <v>557</v>
      </c>
      <c r="B1734" t="s">
        <v>296</v>
      </c>
      <c r="C1734" t="s">
        <v>583</v>
      </c>
      <c r="D1734" t="s">
        <v>603</v>
      </c>
      <c r="E1734" s="230">
        <v>0</v>
      </c>
      <c r="F1734" t="s">
        <v>560</v>
      </c>
      <c r="G1734" t="b">
        <v>1</v>
      </c>
      <c r="H1734" t="s">
        <v>470</v>
      </c>
    </row>
    <row r="1735" spans="1:8" x14ac:dyDescent="0.3">
      <c r="A1735" t="s">
        <v>557</v>
      </c>
      <c r="B1735" t="s">
        <v>296</v>
      </c>
      <c r="C1735" t="s">
        <v>307</v>
      </c>
      <c r="D1735" t="s">
        <v>603</v>
      </c>
      <c r="E1735" s="230">
        <v>206.85</v>
      </c>
      <c r="F1735" t="s">
        <v>560</v>
      </c>
      <c r="G1735" t="b">
        <v>1</v>
      </c>
      <c r="H1735" t="s">
        <v>470</v>
      </c>
    </row>
    <row r="1736" spans="1:8" x14ac:dyDescent="0.3">
      <c r="A1736" t="s">
        <v>557</v>
      </c>
      <c r="B1736" t="s">
        <v>308</v>
      </c>
      <c r="C1736" t="s">
        <v>309</v>
      </c>
      <c r="D1736" t="s">
        <v>603</v>
      </c>
      <c r="E1736" s="230">
        <v>2995.34</v>
      </c>
      <c r="F1736" t="s">
        <v>560</v>
      </c>
      <c r="G1736" t="b">
        <v>1</v>
      </c>
      <c r="H1736" t="s">
        <v>470</v>
      </c>
    </row>
    <row r="1737" spans="1:8" x14ac:dyDescent="0.3">
      <c r="A1737" t="s">
        <v>557</v>
      </c>
      <c r="B1737" t="s">
        <v>308</v>
      </c>
      <c r="C1737" t="s">
        <v>310</v>
      </c>
      <c r="D1737" t="s">
        <v>603</v>
      </c>
      <c r="E1737" s="230">
        <v>0</v>
      </c>
      <c r="F1737" t="s">
        <v>560</v>
      </c>
      <c r="G1737" t="b">
        <v>1</v>
      </c>
      <c r="H1737" t="s">
        <v>470</v>
      </c>
    </row>
    <row r="1738" spans="1:8" x14ac:dyDescent="0.3">
      <c r="A1738" t="s">
        <v>557</v>
      </c>
      <c r="B1738" t="s">
        <v>308</v>
      </c>
      <c r="C1738" t="s">
        <v>311</v>
      </c>
      <c r="D1738" t="s">
        <v>603</v>
      </c>
      <c r="E1738" s="230">
        <v>1627.5</v>
      </c>
      <c r="F1738" t="s">
        <v>560</v>
      </c>
      <c r="G1738" t="b">
        <v>1</v>
      </c>
      <c r="H1738" t="s">
        <v>470</v>
      </c>
    </row>
    <row r="1739" spans="1:8" x14ac:dyDescent="0.3">
      <c r="A1739" t="s">
        <v>557</v>
      </c>
      <c r="B1739" t="s">
        <v>308</v>
      </c>
      <c r="C1739" t="s">
        <v>312</v>
      </c>
      <c r="D1739" t="s">
        <v>603</v>
      </c>
      <c r="E1739" s="230">
        <v>194.25</v>
      </c>
      <c r="F1739" t="s">
        <v>560</v>
      </c>
      <c r="G1739" t="b">
        <v>1</v>
      </c>
      <c r="H1739" t="s">
        <v>470</v>
      </c>
    </row>
    <row r="1740" spans="1:8" x14ac:dyDescent="0.3">
      <c r="A1740" t="s">
        <v>557</v>
      </c>
      <c r="B1740" t="s">
        <v>308</v>
      </c>
      <c r="C1740" t="s">
        <v>313</v>
      </c>
      <c r="D1740" t="s">
        <v>603</v>
      </c>
      <c r="E1740" s="230">
        <v>0</v>
      </c>
      <c r="F1740" t="s">
        <v>560</v>
      </c>
      <c r="G1740" t="b">
        <v>1</v>
      </c>
      <c r="H1740" t="s">
        <v>470</v>
      </c>
    </row>
    <row r="1741" spans="1:8" x14ac:dyDescent="0.3">
      <c r="A1741" t="s">
        <v>557</v>
      </c>
      <c r="B1741" t="s">
        <v>308</v>
      </c>
      <c r="C1741" t="s">
        <v>314</v>
      </c>
      <c r="D1741" t="s">
        <v>603</v>
      </c>
      <c r="E1741" s="230">
        <v>743.59</v>
      </c>
      <c r="F1741" t="s">
        <v>560</v>
      </c>
      <c r="G1741" t="b">
        <v>1</v>
      </c>
      <c r="H1741" t="s">
        <v>470</v>
      </c>
    </row>
    <row r="1742" spans="1:8" x14ac:dyDescent="0.3">
      <c r="A1742" t="s">
        <v>557</v>
      </c>
      <c r="B1742" t="s">
        <v>308</v>
      </c>
      <c r="C1742" t="s">
        <v>315</v>
      </c>
      <c r="D1742" t="s">
        <v>603</v>
      </c>
      <c r="E1742" s="230">
        <v>0</v>
      </c>
      <c r="F1742" t="s">
        <v>560</v>
      </c>
      <c r="G1742" t="b">
        <v>1</v>
      </c>
      <c r="H1742" t="s">
        <v>470</v>
      </c>
    </row>
    <row r="1743" spans="1:8" x14ac:dyDescent="0.3">
      <c r="A1743" t="s">
        <v>557</v>
      </c>
      <c r="B1743" t="s">
        <v>308</v>
      </c>
      <c r="C1743" t="s">
        <v>316</v>
      </c>
      <c r="D1743" t="s">
        <v>603</v>
      </c>
      <c r="E1743" s="230">
        <v>0</v>
      </c>
      <c r="F1743" t="s">
        <v>560</v>
      </c>
      <c r="G1743" t="b">
        <v>1</v>
      </c>
      <c r="H1743" t="s">
        <v>470</v>
      </c>
    </row>
    <row r="1744" spans="1:8" x14ac:dyDescent="0.3">
      <c r="A1744" t="s">
        <v>557</v>
      </c>
      <c r="B1744" t="s">
        <v>308</v>
      </c>
      <c r="C1744" t="s">
        <v>317</v>
      </c>
      <c r="D1744" t="s">
        <v>603</v>
      </c>
      <c r="E1744" s="230">
        <v>0</v>
      </c>
      <c r="F1744" t="s">
        <v>560</v>
      </c>
      <c r="G1744" t="b">
        <v>1</v>
      </c>
      <c r="H1744" t="s">
        <v>470</v>
      </c>
    </row>
    <row r="1745" spans="1:8" x14ac:dyDescent="0.3">
      <c r="A1745" t="s">
        <v>557</v>
      </c>
      <c r="B1745" t="s">
        <v>318</v>
      </c>
      <c r="C1745" t="s">
        <v>319</v>
      </c>
      <c r="D1745" t="s">
        <v>603</v>
      </c>
      <c r="E1745" s="230">
        <v>1245.3</v>
      </c>
      <c r="F1745" t="s">
        <v>560</v>
      </c>
      <c r="G1745" t="b">
        <v>1</v>
      </c>
      <c r="H1745" t="s">
        <v>470</v>
      </c>
    </row>
    <row r="1746" spans="1:8" x14ac:dyDescent="0.3">
      <c r="A1746" t="s">
        <v>557</v>
      </c>
      <c r="B1746" t="s">
        <v>318</v>
      </c>
      <c r="C1746" t="s">
        <v>320</v>
      </c>
      <c r="D1746" t="s">
        <v>603</v>
      </c>
      <c r="E1746" s="230">
        <v>144.44999999999999</v>
      </c>
      <c r="F1746" t="s">
        <v>560</v>
      </c>
      <c r="G1746" t="b">
        <v>1</v>
      </c>
      <c r="H1746" t="s">
        <v>470</v>
      </c>
    </row>
    <row r="1747" spans="1:8" x14ac:dyDescent="0.3">
      <c r="A1747" t="s">
        <v>557</v>
      </c>
      <c r="B1747" t="s">
        <v>318</v>
      </c>
      <c r="C1747" t="s">
        <v>321</v>
      </c>
      <c r="D1747" t="s">
        <v>603</v>
      </c>
      <c r="E1747" s="230">
        <v>210</v>
      </c>
      <c r="F1747" t="s">
        <v>560</v>
      </c>
      <c r="G1747" t="b">
        <v>1</v>
      </c>
      <c r="H1747" t="s">
        <v>470</v>
      </c>
    </row>
    <row r="1748" spans="1:8" x14ac:dyDescent="0.3">
      <c r="A1748" t="s">
        <v>557</v>
      </c>
      <c r="B1748" t="s">
        <v>318</v>
      </c>
      <c r="C1748" t="s">
        <v>322</v>
      </c>
      <c r="D1748" t="s">
        <v>603</v>
      </c>
      <c r="E1748" s="230">
        <v>0</v>
      </c>
      <c r="F1748" t="s">
        <v>560</v>
      </c>
      <c r="G1748" t="b">
        <v>1</v>
      </c>
      <c r="H1748" t="s">
        <v>470</v>
      </c>
    </row>
    <row r="1749" spans="1:8" x14ac:dyDescent="0.3">
      <c r="A1749" t="s">
        <v>557</v>
      </c>
      <c r="B1749" t="s">
        <v>323</v>
      </c>
      <c r="C1749" t="s">
        <v>324</v>
      </c>
      <c r="D1749" t="s">
        <v>603</v>
      </c>
      <c r="E1749" s="230">
        <v>0</v>
      </c>
      <c r="F1749" t="s">
        <v>560</v>
      </c>
      <c r="G1749" t="b">
        <v>1</v>
      </c>
      <c r="H1749" t="s">
        <v>470</v>
      </c>
    </row>
    <row r="1750" spans="1:8" x14ac:dyDescent="0.3">
      <c r="A1750" t="s">
        <v>557</v>
      </c>
      <c r="B1750" t="s">
        <v>323</v>
      </c>
      <c r="C1750" t="s">
        <v>325</v>
      </c>
      <c r="D1750" t="s">
        <v>603</v>
      </c>
      <c r="E1750" s="230">
        <v>0</v>
      </c>
      <c r="F1750" t="s">
        <v>560</v>
      </c>
      <c r="G1750" t="b">
        <v>1</v>
      </c>
      <c r="H1750" t="s">
        <v>470</v>
      </c>
    </row>
    <row r="1751" spans="1:8" x14ac:dyDescent="0.3">
      <c r="A1751" t="s">
        <v>557</v>
      </c>
      <c r="B1751" t="s">
        <v>323</v>
      </c>
      <c r="C1751" t="s">
        <v>326</v>
      </c>
      <c r="D1751" t="s">
        <v>603</v>
      </c>
      <c r="E1751" s="230">
        <v>32798.480000000003</v>
      </c>
      <c r="F1751" t="s">
        <v>560</v>
      </c>
      <c r="G1751" t="b">
        <v>1</v>
      </c>
      <c r="H1751" t="s">
        <v>470</v>
      </c>
    </row>
    <row r="1752" spans="1:8" x14ac:dyDescent="0.3">
      <c r="A1752" t="s">
        <v>557</v>
      </c>
      <c r="B1752" t="s">
        <v>584</v>
      </c>
      <c r="C1752" t="s">
        <v>334</v>
      </c>
      <c r="D1752" t="s">
        <v>603</v>
      </c>
      <c r="E1752" s="230">
        <v>3100</v>
      </c>
      <c r="F1752" t="s">
        <v>560</v>
      </c>
      <c r="G1752" t="b">
        <v>1</v>
      </c>
      <c r="H1752" t="s">
        <v>470</v>
      </c>
    </row>
    <row r="1753" spans="1:8" x14ac:dyDescent="0.3">
      <c r="A1753" t="s">
        <v>557</v>
      </c>
      <c r="B1753" t="s">
        <v>584</v>
      </c>
      <c r="C1753" t="s">
        <v>336</v>
      </c>
      <c r="D1753" t="s">
        <v>603</v>
      </c>
      <c r="E1753" s="230">
        <v>0</v>
      </c>
      <c r="F1753" t="s">
        <v>560</v>
      </c>
      <c r="G1753" t="b">
        <v>1</v>
      </c>
      <c r="H1753" t="s">
        <v>470</v>
      </c>
    </row>
    <row r="1754" spans="1:8" x14ac:dyDescent="0.3">
      <c r="A1754" t="s">
        <v>557</v>
      </c>
      <c r="B1754" t="s">
        <v>558</v>
      </c>
      <c r="C1754" t="s">
        <v>23</v>
      </c>
      <c r="D1754" t="s">
        <v>603</v>
      </c>
      <c r="E1754" s="230">
        <v>160356</v>
      </c>
      <c r="G1754" t="b">
        <v>1</v>
      </c>
      <c r="H1754" t="s">
        <v>470</v>
      </c>
    </row>
    <row r="1755" spans="1:8" x14ac:dyDescent="0.3">
      <c r="A1755" t="s">
        <v>557</v>
      </c>
      <c r="B1755" t="s">
        <v>558</v>
      </c>
      <c r="C1755" t="s">
        <v>26</v>
      </c>
      <c r="D1755" t="s">
        <v>603</v>
      </c>
      <c r="E1755" s="230">
        <v>69720</v>
      </c>
      <c r="G1755" t="b">
        <v>1</v>
      </c>
      <c r="H1755" t="s">
        <v>470</v>
      </c>
    </row>
    <row r="1756" spans="1:8" x14ac:dyDescent="0.3">
      <c r="A1756" t="s">
        <v>557</v>
      </c>
      <c r="B1756" t="s">
        <v>558</v>
      </c>
      <c r="C1756" t="s">
        <v>23</v>
      </c>
      <c r="D1756" t="s">
        <v>602</v>
      </c>
      <c r="E1756" s="230">
        <v>64653.07</v>
      </c>
      <c r="G1756" t="b">
        <v>1</v>
      </c>
      <c r="H1756" t="s">
        <v>469</v>
      </c>
    </row>
    <row r="1757" spans="1:8" x14ac:dyDescent="0.3">
      <c r="A1757" t="s">
        <v>557</v>
      </c>
      <c r="B1757" t="s">
        <v>558</v>
      </c>
      <c r="C1757" t="s">
        <v>23</v>
      </c>
      <c r="D1757" t="s">
        <v>601</v>
      </c>
      <c r="E1757" s="230">
        <v>61229.91</v>
      </c>
      <c r="G1757" t="b">
        <v>1</v>
      </c>
      <c r="H1757" t="s">
        <v>468</v>
      </c>
    </row>
    <row r="1758" spans="1:8" x14ac:dyDescent="0.3">
      <c r="A1758" t="s">
        <v>557</v>
      </c>
      <c r="B1758" t="s">
        <v>558</v>
      </c>
      <c r="C1758" t="s">
        <v>23</v>
      </c>
      <c r="D1758" t="s">
        <v>595</v>
      </c>
      <c r="E1758" s="230">
        <v>56644.04</v>
      </c>
      <c r="G1758" t="b">
        <v>1</v>
      </c>
      <c r="H1758" t="s">
        <v>596</v>
      </c>
    </row>
    <row r="1759" spans="1:8" x14ac:dyDescent="0.3">
      <c r="A1759" t="s">
        <v>557</v>
      </c>
      <c r="B1759" t="s">
        <v>558</v>
      </c>
      <c r="C1759" t="s">
        <v>23</v>
      </c>
      <c r="D1759" t="s">
        <v>589</v>
      </c>
      <c r="E1759" s="230">
        <v>39486.78</v>
      </c>
      <c r="G1759" t="b">
        <v>1</v>
      </c>
      <c r="H1759" t="s">
        <v>590</v>
      </c>
    </row>
    <row r="1760" spans="1:8" x14ac:dyDescent="0.3">
      <c r="A1760" t="s">
        <v>557</v>
      </c>
      <c r="B1760" t="s">
        <v>558</v>
      </c>
      <c r="C1760" t="s">
        <v>23</v>
      </c>
      <c r="D1760" t="s">
        <v>599</v>
      </c>
      <c r="E1760" s="230">
        <v>34348.449999999997</v>
      </c>
      <c r="G1760" t="b">
        <v>1</v>
      </c>
      <c r="H1760" t="s">
        <v>600</v>
      </c>
    </row>
    <row r="1761" spans="1:8" x14ac:dyDescent="0.3">
      <c r="A1761" t="s">
        <v>557</v>
      </c>
      <c r="B1761" t="s">
        <v>558</v>
      </c>
      <c r="C1761" t="s">
        <v>26</v>
      </c>
      <c r="D1761" t="s">
        <v>602</v>
      </c>
      <c r="E1761" s="230">
        <v>28110.03</v>
      </c>
      <c r="G1761" t="b">
        <v>1</v>
      </c>
      <c r="H1761" t="s">
        <v>469</v>
      </c>
    </row>
    <row r="1762" spans="1:8" x14ac:dyDescent="0.3">
      <c r="A1762" t="s">
        <v>557</v>
      </c>
      <c r="B1762" t="s">
        <v>558</v>
      </c>
      <c r="C1762" t="s">
        <v>26</v>
      </c>
      <c r="D1762" t="s">
        <v>601</v>
      </c>
      <c r="E1762" s="230">
        <v>26621.7</v>
      </c>
      <c r="G1762" t="b">
        <v>1</v>
      </c>
      <c r="H1762" t="s">
        <v>468</v>
      </c>
    </row>
    <row r="1763" spans="1:8" x14ac:dyDescent="0.3">
      <c r="A1763" t="s">
        <v>557</v>
      </c>
      <c r="B1763" t="s">
        <v>558</v>
      </c>
      <c r="C1763" t="s">
        <v>26</v>
      </c>
      <c r="D1763" t="s">
        <v>595</v>
      </c>
      <c r="E1763" s="230">
        <v>24627.84</v>
      </c>
      <c r="G1763" t="b">
        <v>1</v>
      </c>
      <c r="H1763" t="s">
        <v>596</v>
      </c>
    </row>
    <row r="1764" spans="1:8" x14ac:dyDescent="0.3">
      <c r="A1764" t="s">
        <v>557</v>
      </c>
      <c r="B1764" t="s">
        <v>558</v>
      </c>
      <c r="C1764" t="s">
        <v>23</v>
      </c>
      <c r="D1764" t="s">
        <v>585</v>
      </c>
      <c r="E1764" s="230">
        <v>24487.91</v>
      </c>
      <c r="G1764" t="b">
        <v>1</v>
      </c>
      <c r="H1764" t="s">
        <v>586</v>
      </c>
    </row>
    <row r="1765" spans="1:8" x14ac:dyDescent="0.3">
      <c r="A1765" t="s">
        <v>557</v>
      </c>
      <c r="B1765" t="s">
        <v>558</v>
      </c>
      <c r="C1765" t="s">
        <v>23</v>
      </c>
      <c r="D1765" t="s">
        <v>593</v>
      </c>
      <c r="E1765" s="230">
        <v>22894.2</v>
      </c>
      <c r="G1765" t="b">
        <v>1</v>
      </c>
      <c r="H1765" t="s">
        <v>594</v>
      </c>
    </row>
    <row r="1766" spans="1:8" x14ac:dyDescent="0.3">
      <c r="A1766" t="s">
        <v>557</v>
      </c>
      <c r="B1766" t="s">
        <v>558</v>
      </c>
      <c r="C1766" t="s">
        <v>23</v>
      </c>
      <c r="D1766" t="s">
        <v>587</v>
      </c>
      <c r="E1766" s="230">
        <v>22326.19</v>
      </c>
      <c r="G1766" t="b">
        <v>1</v>
      </c>
      <c r="H1766" t="s">
        <v>588</v>
      </c>
    </row>
    <row r="1767" spans="1:8" x14ac:dyDescent="0.3">
      <c r="A1767" t="s">
        <v>557</v>
      </c>
      <c r="B1767" t="s">
        <v>558</v>
      </c>
      <c r="C1767" t="s">
        <v>26</v>
      </c>
      <c r="D1767" t="s">
        <v>589</v>
      </c>
      <c r="E1767" s="230">
        <v>17168.16</v>
      </c>
      <c r="G1767" t="b">
        <v>1</v>
      </c>
      <c r="H1767" t="s">
        <v>590</v>
      </c>
    </row>
    <row r="1768" spans="1:8" x14ac:dyDescent="0.3">
      <c r="A1768" t="s">
        <v>557</v>
      </c>
      <c r="B1768" t="s">
        <v>558</v>
      </c>
      <c r="C1768" t="s">
        <v>26</v>
      </c>
      <c r="D1768" t="s">
        <v>599</v>
      </c>
      <c r="E1768" s="230">
        <v>14934.11</v>
      </c>
      <c r="G1768" t="b">
        <v>1</v>
      </c>
      <c r="H1768" t="s">
        <v>600</v>
      </c>
    </row>
    <row r="1769" spans="1:8" x14ac:dyDescent="0.3">
      <c r="A1769" t="s">
        <v>557</v>
      </c>
      <c r="B1769" t="s">
        <v>558</v>
      </c>
      <c r="C1769" t="s">
        <v>23</v>
      </c>
      <c r="D1769" t="s">
        <v>591</v>
      </c>
      <c r="E1769" s="230">
        <v>13234.2</v>
      </c>
      <c r="G1769" t="b">
        <v>1</v>
      </c>
      <c r="H1769" t="s">
        <v>592</v>
      </c>
    </row>
    <row r="1770" spans="1:8" x14ac:dyDescent="0.3">
      <c r="A1770" t="s">
        <v>557</v>
      </c>
      <c r="B1770" t="s">
        <v>558</v>
      </c>
      <c r="C1770" t="s">
        <v>26</v>
      </c>
      <c r="D1770" t="s">
        <v>585</v>
      </c>
      <c r="E1770" s="230">
        <v>10646.92</v>
      </c>
      <c r="G1770" t="b">
        <v>1</v>
      </c>
      <c r="H1770" t="s">
        <v>586</v>
      </c>
    </row>
    <row r="1771" spans="1:8" x14ac:dyDescent="0.3">
      <c r="A1771" t="s">
        <v>557</v>
      </c>
      <c r="B1771" t="s">
        <v>558</v>
      </c>
      <c r="C1771" t="s">
        <v>23</v>
      </c>
      <c r="D1771" t="s">
        <v>559</v>
      </c>
      <c r="E1771" s="230">
        <v>10166.65</v>
      </c>
      <c r="G1771" t="b">
        <v>1</v>
      </c>
      <c r="H1771" t="s">
        <v>561</v>
      </c>
    </row>
    <row r="1772" spans="1:8" x14ac:dyDescent="0.3">
      <c r="A1772" t="s">
        <v>557</v>
      </c>
      <c r="B1772" t="s">
        <v>558</v>
      </c>
      <c r="C1772" t="s">
        <v>23</v>
      </c>
      <c r="D1772" t="s">
        <v>597</v>
      </c>
      <c r="E1772" s="230">
        <v>10143</v>
      </c>
      <c r="G1772" t="b">
        <v>1</v>
      </c>
      <c r="H1772" t="s">
        <v>598</v>
      </c>
    </row>
    <row r="1773" spans="1:8" x14ac:dyDescent="0.3">
      <c r="A1773" t="s">
        <v>557</v>
      </c>
      <c r="B1773" t="s">
        <v>558</v>
      </c>
      <c r="C1773" t="s">
        <v>26</v>
      </c>
      <c r="D1773" t="s">
        <v>593</v>
      </c>
      <c r="E1773" s="230">
        <v>9954</v>
      </c>
      <c r="G1773" t="b">
        <v>1</v>
      </c>
      <c r="H1773" t="s">
        <v>594</v>
      </c>
    </row>
    <row r="1774" spans="1:8" x14ac:dyDescent="0.3">
      <c r="A1774" t="s">
        <v>557</v>
      </c>
      <c r="B1774" t="s">
        <v>558</v>
      </c>
      <c r="C1774" t="s">
        <v>26</v>
      </c>
      <c r="D1774" t="s">
        <v>587</v>
      </c>
      <c r="E1774" s="230">
        <v>9707.0400000000009</v>
      </c>
      <c r="G1774" t="b">
        <v>1</v>
      </c>
      <c r="H1774" t="s">
        <v>588</v>
      </c>
    </row>
    <row r="1775" spans="1:8" x14ac:dyDescent="0.3">
      <c r="A1775" t="s">
        <v>557</v>
      </c>
      <c r="B1775" t="s">
        <v>558</v>
      </c>
      <c r="C1775" t="s">
        <v>26</v>
      </c>
      <c r="D1775" t="s">
        <v>591</v>
      </c>
      <c r="E1775" s="230">
        <v>5754</v>
      </c>
      <c r="G1775" t="b">
        <v>1</v>
      </c>
      <c r="H1775" t="s">
        <v>592</v>
      </c>
    </row>
    <row r="1776" spans="1:8" x14ac:dyDescent="0.3">
      <c r="A1776" t="s">
        <v>557</v>
      </c>
      <c r="B1776" t="s">
        <v>558</v>
      </c>
      <c r="C1776" t="s">
        <v>26</v>
      </c>
      <c r="D1776" t="s">
        <v>559</v>
      </c>
      <c r="E1776" s="230">
        <v>4420.28</v>
      </c>
      <c r="G1776" t="b">
        <v>1</v>
      </c>
      <c r="H1776" t="s">
        <v>561</v>
      </c>
    </row>
    <row r="1777" spans="1:8" x14ac:dyDescent="0.3">
      <c r="A1777" t="s">
        <v>557</v>
      </c>
      <c r="B1777" t="s">
        <v>558</v>
      </c>
      <c r="C1777" t="s">
        <v>26</v>
      </c>
      <c r="D1777" t="s">
        <v>597</v>
      </c>
      <c r="E1777" s="230">
        <v>4410</v>
      </c>
      <c r="G1777" t="b">
        <v>1</v>
      </c>
      <c r="H1777" t="s">
        <v>598</v>
      </c>
    </row>
    <row r="1778" spans="1:8" x14ac:dyDescent="0.3">
      <c r="A1778" t="s">
        <v>557</v>
      </c>
      <c r="B1778" t="s">
        <v>558</v>
      </c>
      <c r="C1778" t="s">
        <v>25</v>
      </c>
      <c r="D1778" t="s">
        <v>603</v>
      </c>
      <c r="E1778" s="230">
        <v>2324</v>
      </c>
      <c r="G1778" t="b">
        <v>1</v>
      </c>
      <c r="H1778" t="s">
        <v>470</v>
      </c>
    </row>
    <row r="1779" spans="1:8" x14ac:dyDescent="0.3">
      <c r="A1779" t="s">
        <v>557</v>
      </c>
      <c r="B1779" t="s">
        <v>558</v>
      </c>
      <c r="C1779" t="s">
        <v>25</v>
      </c>
      <c r="D1779" t="s">
        <v>602</v>
      </c>
      <c r="E1779" s="230">
        <v>937</v>
      </c>
      <c r="G1779" t="b">
        <v>1</v>
      </c>
      <c r="H1779" t="s">
        <v>469</v>
      </c>
    </row>
    <row r="1780" spans="1:8" x14ac:dyDescent="0.3">
      <c r="A1780" t="s">
        <v>557</v>
      </c>
      <c r="B1780" t="s">
        <v>558</v>
      </c>
      <c r="C1780" t="s">
        <v>25</v>
      </c>
      <c r="D1780" t="s">
        <v>601</v>
      </c>
      <c r="E1780" s="230">
        <v>887.39</v>
      </c>
      <c r="G1780" t="b">
        <v>1</v>
      </c>
      <c r="H1780" t="s">
        <v>468</v>
      </c>
    </row>
    <row r="1781" spans="1:8" x14ac:dyDescent="0.3">
      <c r="A1781" t="s">
        <v>557</v>
      </c>
      <c r="B1781" t="s">
        <v>558</v>
      </c>
      <c r="C1781" t="s">
        <v>25</v>
      </c>
      <c r="D1781" t="s">
        <v>595</v>
      </c>
      <c r="E1781" s="230">
        <v>820.93</v>
      </c>
      <c r="G1781" t="b">
        <v>1</v>
      </c>
      <c r="H1781" t="s">
        <v>596</v>
      </c>
    </row>
    <row r="1782" spans="1:8" x14ac:dyDescent="0.3">
      <c r="A1782" t="s">
        <v>557</v>
      </c>
      <c r="B1782" t="s">
        <v>558</v>
      </c>
      <c r="C1782" t="s">
        <v>25</v>
      </c>
      <c r="D1782" t="s">
        <v>589</v>
      </c>
      <c r="E1782" s="230">
        <v>572.27</v>
      </c>
      <c r="G1782" t="b">
        <v>1</v>
      </c>
      <c r="H1782" t="s">
        <v>590</v>
      </c>
    </row>
    <row r="1783" spans="1:8" x14ac:dyDescent="0.3">
      <c r="A1783" t="s">
        <v>557</v>
      </c>
      <c r="B1783" t="s">
        <v>558</v>
      </c>
      <c r="C1783" t="s">
        <v>25</v>
      </c>
      <c r="D1783" t="s">
        <v>599</v>
      </c>
      <c r="E1783" s="230">
        <v>497.8</v>
      </c>
      <c r="G1783" t="b">
        <v>1</v>
      </c>
      <c r="H1783" t="s">
        <v>600</v>
      </c>
    </row>
    <row r="1784" spans="1:8" x14ac:dyDescent="0.3">
      <c r="A1784" t="s">
        <v>557</v>
      </c>
      <c r="B1784" t="s">
        <v>558</v>
      </c>
      <c r="C1784" t="s">
        <v>25</v>
      </c>
      <c r="D1784" t="s">
        <v>585</v>
      </c>
      <c r="E1784" s="230">
        <v>354.9</v>
      </c>
      <c r="G1784" t="b">
        <v>1</v>
      </c>
      <c r="H1784" t="s">
        <v>586</v>
      </c>
    </row>
    <row r="1785" spans="1:8" x14ac:dyDescent="0.3">
      <c r="A1785" t="s">
        <v>557</v>
      </c>
      <c r="B1785" t="s">
        <v>558</v>
      </c>
      <c r="C1785" t="s">
        <v>25</v>
      </c>
      <c r="D1785" t="s">
        <v>593</v>
      </c>
      <c r="E1785" s="230">
        <v>331.8</v>
      </c>
      <c r="G1785" t="b">
        <v>1</v>
      </c>
      <c r="H1785" t="s">
        <v>594</v>
      </c>
    </row>
    <row r="1786" spans="1:8" x14ac:dyDescent="0.3">
      <c r="A1786" t="s">
        <v>557</v>
      </c>
      <c r="B1786" t="s">
        <v>558</v>
      </c>
      <c r="C1786" t="s">
        <v>25</v>
      </c>
      <c r="D1786" t="s">
        <v>587</v>
      </c>
      <c r="E1786" s="230">
        <v>323.57</v>
      </c>
      <c r="G1786" t="b">
        <v>1</v>
      </c>
      <c r="H1786" t="s">
        <v>588</v>
      </c>
    </row>
    <row r="1787" spans="1:8" x14ac:dyDescent="0.3">
      <c r="A1787" t="s">
        <v>557</v>
      </c>
      <c r="B1787" t="s">
        <v>558</v>
      </c>
      <c r="C1787" t="s">
        <v>25</v>
      </c>
      <c r="D1787" t="s">
        <v>591</v>
      </c>
      <c r="E1787" s="230">
        <v>191.8</v>
      </c>
      <c r="G1787" t="b">
        <v>1</v>
      </c>
      <c r="H1787" t="s">
        <v>592</v>
      </c>
    </row>
    <row r="1788" spans="1:8" x14ac:dyDescent="0.3">
      <c r="A1788" t="s">
        <v>557</v>
      </c>
      <c r="B1788" t="s">
        <v>558</v>
      </c>
      <c r="C1788" t="s">
        <v>25</v>
      </c>
      <c r="D1788" t="s">
        <v>559</v>
      </c>
      <c r="E1788" s="230">
        <v>147.34</v>
      </c>
      <c r="G1788" t="b">
        <v>1</v>
      </c>
      <c r="H1788" t="s">
        <v>561</v>
      </c>
    </row>
    <row r="1789" spans="1:8" x14ac:dyDescent="0.3">
      <c r="A1789" t="s">
        <v>557</v>
      </c>
      <c r="B1789" t="s">
        <v>558</v>
      </c>
      <c r="C1789" t="s">
        <v>25</v>
      </c>
      <c r="D1789" t="s">
        <v>597</v>
      </c>
      <c r="E1789" s="230">
        <v>147</v>
      </c>
      <c r="G1789" t="b">
        <v>1</v>
      </c>
      <c r="H1789" t="s">
        <v>598</v>
      </c>
    </row>
    <row r="1790" spans="1:8" x14ac:dyDescent="0.3">
      <c r="A1790" t="s">
        <v>557</v>
      </c>
      <c r="B1790" t="s">
        <v>558</v>
      </c>
      <c r="C1790" t="s">
        <v>27</v>
      </c>
      <c r="D1790" t="s">
        <v>559</v>
      </c>
      <c r="E1790" s="230">
        <v>0</v>
      </c>
      <c r="G1790" t="b">
        <v>1</v>
      </c>
      <c r="H1790" t="s">
        <v>561</v>
      </c>
    </row>
    <row r="1791" spans="1:8" x14ac:dyDescent="0.3">
      <c r="A1791" t="s">
        <v>557</v>
      </c>
      <c r="B1791" t="s">
        <v>558</v>
      </c>
      <c r="C1791" t="s">
        <v>27</v>
      </c>
      <c r="D1791" t="s">
        <v>585</v>
      </c>
      <c r="E1791" s="230">
        <v>0</v>
      </c>
      <c r="G1791" t="b">
        <v>1</v>
      </c>
      <c r="H1791" t="s">
        <v>586</v>
      </c>
    </row>
    <row r="1792" spans="1:8" x14ac:dyDescent="0.3">
      <c r="A1792" t="s">
        <v>557</v>
      </c>
      <c r="B1792" t="s">
        <v>558</v>
      </c>
      <c r="C1792" t="s">
        <v>27</v>
      </c>
      <c r="D1792" t="s">
        <v>587</v>
      </c>
      <c r="E1792" s="230">
        <v>0</v>
      </c>
      <c r="G1792" t="b">
        <v>1</v>
      </c>
      <c r="H1792" t="s">
        <v>588</v>
      </c>
    </row>
    <row r="1793" spans="1:8" x14ac:dyDescent="0.3">
      <c r="A1793" t="s">
        <v>557</v>
      </c>
      <c r="B1793" t="s">
        <v>558</v>
      </c>
      <c r="C1793" t="s">
        <v>27</v>
      </c>
      <c r="D1793" t="s">
        <v>589</v>
      </c>
      <c r="E1793" s="230">
        <v>0</v>
      </c>
      <c r="G1793" t="b">
        <v>1</v>
      </c>
      <c r="H1793" t="s">
        <v>590</v>
      </c>
    </row>
    <row r="1794" spans="1:8" x14ac:dyDescent="0.3">
      <c r="A1794" t="s">
        <v>557</v>
      </c>
      <c r="B1794" t="s">
        <v>558</v>
      </c>
      <c r="C1794" t="s">
        <v>27</v>
      </c>
      <c r="D1794" t="s">
        <v>591</v>
      </c>
      <c r="E1794" s="230">
        <v>0</v>
      </c>
      <c r="G1794" t="b">
        <v>1</v>
      </c>
      <c r="H1794" t="s">
        <v>592</v>
      </c>
    </row>
    <row r="1795" spans="1:8" x14ac:dyDescent="0.3">
      <c r="A1795" t="s">
        <v>557</v>
      </c>
      <c r="B1795" t="s">
        <v>558</v>
      </c>
      <c r="C1795" t="s">
        <v>27</v>
      </c>
      <c r="D1795" t="s">
        <v>593</v>
      </c>
      <c r="E1795" s="230">
        <v>0</v>
      </c>
      <c r="G1795" t="b">
        <v>1</v>
      </c>
      <c r="H1795" t="s">
        <v>594</v>
      </c>
    </row>
    <row r="1796" spans="1:8" x14ac:dyDescent="0.3">
      <c r="A1796" t="s">
        <v>557</v>
      </c>
      <c r="B1796" t="s">
        <v>558</v>
      </c>
      <c r="C1796" t="s">
        <v>27</v>
      </c>
      <c r="D1796" t="s">
        <v>595</v>
      </c>
      <c r="E1796" s="230">
        <v>0</v>
      </c>
      <c r="G1796" t="b">
        <v>1</v>
      </c>
      <c r="H1796" t="s">
        <v>596</v>
      </c>
    </row>
    <row r="1797" spans="1:8" x14ac:dyDescent="0.3">
      <c r="A1797" t="s">
        <v>557</v>
      </c>
      <c r="B1797" t="s">
        <v>558</v>
      </c>
      <c r="C1797" t="s">
        <v>27</v>
      </c>
      <c r="D1797" t="s">
        <v>597</v>
      </c>
      <c r="E1797" s="230">
        <v>0</v>
      </c>
      <c r="G1797" t="b">
        <v>1</v>
      </c>
      <c r="H1797" t="s">
        <v>598</v>
      </c>
    </row>
    <row r="1798" spans="1:8" x14ac:dyDescent="0.3">
      <c r="A1798" t="s">
        <v>557</v>
      </c>
      <c r="B1798" t="s">
        <v>558</v>
      </c>
      <c r="C1798" t="s">
        <v>27</v>
      </c>
      <c r="D1798" t="s">
        <v>599</v>
      </c>
      <c r="E1798" s="230">
        <v>0</v>
      </c>
      <c r="G1798" t="b">
        <v>1</v>
      </c>
      <c r="H1798" t="s">
        <v>600</v>
      </c>
    </row>
    <row r="1799" spans="1:8" x14ac:dyDescent="0.3">
      <c r="A1799" t="s">
        <v>557</v>
      </c>
      <c r="B1799" t="s">
        <v>558</v>
      </c>
      <c r="C1799" t="s">
        <v>27</v>
      </c>
      <c r="D1799" t="s">
        <v>601</v>
      </c>
      <c r="E1799" s="230">
        <v>0</v>
      </c>
      <c r="G1799" t="b">
        <v>1</v>
      </c>
      <c r="H1799" t="s">
        <v>468</v>
      </c>
    </row>
    <row r="1800" spans="1:8" x14ac:dyDescent="0.3">
      <c r="A1800" t="s">
        <v>557</v>
      </c>
      <c r="B1800" t="s">
        <v>558</v>
      </c>
      <c r="C1800" t="s">
        <v>27</v>
      </c>
      <c r="D1800" t="s">
        <v>602</v>
      </c>
      <c r="E1800" s="230">
        <v>0</v>
      </c>
      <c r="G1800" t="b">
        <v>1</v>
      </c>
      <c r="H1800" t="s">
        <v>469</v>
      </c>
    </row>
    <row r="1801" spans="1:8" x14ac:dyDescent="0.3">
      <c r="A1801" t="s">
        <v>557</v>
      </c>
      <c r="B1801" t="s">
        <v>558</v>
      </c>
      <c r="C1801" t="s">
        <v>27</v>
      </c>
      <c r="D1801" t="s">
        <v>603</v>
      </c>
      <c r="E1801" s="230">
        <v>0</v>
      </c>
      <c r="G1801" t="b">
        <v>1</v>
      </c>
      <c r="H1801" t="s">
        <v>470</v>
      </c>
    </row>
    <row r="1802" spans="1:8" x14ac:dyDescent="0.3">
      <c r="A1802" t="s">
        <v>557</v>
      </c>
      <c r="B1802" t="s">
        <v>604</v>
      </c>
      <c r="C1802" t="s">
        <v>342</v>
      </c>
      <c r="D1802" t="s">
        <v>559</v>
      </c>
      <c r="E1802" s="230">
        <v>4496.08</v>
      </c>
      <c r="F1802" t="s">
        <v>560</v>
      </c>
      <c r="G1802" t="b">
        <v>1</v>
      </c>
      <c r="H1802" t="s">
        <v>561</v>
      </c>
    </row>
    <row r="1803" spans="1:8" x14ac:dyDescent="0.3">
      <c r="A1803" t="s">
        <v>557</v>
      </c>
      <c r="B1803" t="s">
        <v>604</v>
      </c>
      <c r="C1803" t="s">
        <v>344</v>
      </c>
      <c r="D1803" t="s">
        <v>559</v>
      </c>
      <c r="E1803" s="230">
        <v>3911.56</v>
      </c>
      <c r="F1803" t="s">
        <v>560</v>
      </c>
      <c r="G1803" t="b">
        <v>1</v>
      </c>
      <c r="H1803" t="s">
        <v>561</v>
      </c>
    </row>
    <row r="1804" spans="1:8" x14ac:dyDescent="0.3">
      <c r="A1804" t="s">
        <v>557</v>
      </c>
      <c r="B1804" t="s">
        <v>604</v>
      </c>
      <c r="C1804" t="s">
        <v>345</v>
      </c>
      <c r="D1804" t="s">
        <v>559</v>
      </c>
      <c r="E1804" s="230">
        <v>0</v>
      </c>
      <c r="F1804" t="s">
        <v>560</v>
      </c>
      <c r="G1804" t="b">
        <v>1</v>
      </c>
      <c r="H1804" t="s">
        <v>561</v>
      </c>
    </row>
    <row r="1805" spans="1:8" x14ac:dyDescent="0.3">
      <c r="A1805" t="s">
        <v>557</v>
      </c>
      <c r="B1805" t="s">
        <v>604</v>
      </c>
      <c r="C1805" t="s">
        <v>346</v>
      </c>
      <c r="D1805" t="s">
        <v>559</v>
      </c>
      <c r="E1805" s="230">
        <v>3454.63</v>
      </c>
      <c r="F1805" t="s">
        <v>560</v>
      </c>
      <c r="G1805" t="b">
        <v>1</v>
      </c>
      <c r="H1805" t="s">
        <v>561</v>
      </c>
    </row>
    <row r="1806" spans="1:8" x14ac:dyDescent="0.3">
      <c r="A1806" t="s">
        <v>557</v>
      </c>
      <c r="B1806" t="s">
        <v>604</v>
      </c>
      <c r="C1806" t="s">
        <v>342</v>
      </c>
      <c r="D1806" t="s">
        <v>585</v>
      </c>
      <c r="E1806" s="230">
        <v>4533.71</v>
      </c>
      <c r="F1806" t="s">
        <v>560</v>
      </c>
      <c r="G1806" t="b">
        <v>1</v>
      </c>
      <c r="H1806" t="s">
        <v>586</v>
      </c>
    </row>
    <row r="1807" spans="1:8" x14ac:dyDescent="0.3">
      <c r="A1807" t="s">
        <v>557</v>
      </c>
      <c r="B1807" t="s">
        <v>604</v>
      </c>
      <c r="C1807" t="s">
        <v>344</v>
      </c>
      <c r="D1807" t="s">
        <v>585</v>
      </c>
      <c r="E1807" s="230">
        <v>4561.38</v>
      </c>
      <c r="F1807" t="s">
        <v>560</v>
      </c>
      <c r="G1807" t="b">
        <v>1</v>
      </c>
      <c r="H1807" t="s">
        <v>586</v>
      </c>
    </row>
    <row r="1808" spans="1:8" x14ac:dyDescent="0.3">
      <c r="A1808" t="s">
        <v>557</v>
      </c>
      <c r="B1808" t="s">
        <v>604</v>
      </c>
      <c r="C1808" t="s">
        <v>345</v>
      </c>
      <c r="D1808" t="s">
        <v>585</v>
      </c>
      <c r="E1808" s="230">
        <v>0</v>
      </c>
      <c r="F1808" t="s">
        <v>560</v>
      </c>
      <c r="G1808" t="b">
        <v>1</v>
      </c>
      <c r="H1808" t="s">
        <v>586</v>
      </c>
    </row>
    <row r="1809" spans="1:8" x14ac:dyDescent="0.3">
      <c r="A1809" t="s">
        <v>557</v>
      </c>
      <c r="B1809" t="s">
        <v>604</v>
      </c>
      <c r="C1809" t="s">
        <v>346</v>
      </c>
      <c r="D1809" t="s">
        <v>585</v>
      </c>
      <c r="E1809" s="230">
        <v>3946.81</v>
      </c>
      <c r="F1809" t="s">
        <v>560</v>
      </c>
      <c r="G1809" t="b">
        <v>1</v>
      </c>
      <c r="H1809" t="s">
        <v>586</v>
      </c>
    </row>
    <row r="1810" spans="1:8" x14ac:dyDescent="0.3">
      <c r="A1810" t="s">
        <v>557</v>
      </c>
      <c r="B1810" t="s">
        <v>604</v>
      </c>
      <c r="C1810" t="s">
        <v>342</v>
      </c>
      <c r="D1810" t="s">
        <v>587</v>
      </c>
      <c r="E1810" s="230">
        <v>7600.45</v>
      </c>
      <c r="F1810" t="s">
        <v>560</v>
      </c>
      <c r="G1810" t="b">
        <v>1</v>
      </c>
      <c r="H1810" t="s">
        <v>588</v>
      </c>
    </row>
    <row r="1811" spans="1:8" x14ac:dyDescent="0.3">
      <c r="A1811" t="s">
        <v>557</v>
      </c>
      <c r="B1811" t="s">
        <v>604</v>
      </c>
      <c r="C1811" t="s">
        <v>344</v>
      </c>
      <c r="D1811" t="s">
        <v>587</v>
      </c>
      <c r="E1811" s="230">
        <v>5605</v>
      </c>
      <c r="F1811" t="s">
        <v>560</v>
      </c>
      <c r="G1811" t="b">
        <v>1</v>
      </c>
      <c r="H1811" t="s">
        <v>588</v>
      </c>
    </row>
    <row r="1812" spans="1:8" x14ac:dyDescent="0.3">
      <c r="A1812" t="s">
        <v>557</v>
      </c>
      <c r="B1812" t="s">
        <v>604</v>
      </c>
      <c r="C1812" t="s">
        <v>345</v>
      </c>
      <c r="D1812" t="s">
        <v>587</v>
      </c>
      <c r="E1812" s="230">
        <v>3385.3</v>
      </c>
      <c r="F1812" t="s">
        <v>560</v>
      </c>
      <c r="G1812" t="b">
        <v>1</v>
      </c>
      <c r="H1812" t="s">
        <v>588</v>
      </c>
    </row>
    <row r="1813" spans="1:8" x14ac:dyDescent="0.3">
      <c r="A1813" t="s">
        <v>557</v>
      </c>
      <c r="B1813" t="s">
        <v>604</v>
      </c>
      <c r="C1813" t="s">
        <v>346</v>
      </c>
      <c r="D1813" t="s">
        <v>587</v>
      </c>
      <c r="E1813" s="230">
        <v>4900.0600000000004</v>
      </c>
      <c r="F1813" t="s">
        <v>560</v>
      </c>
      <c r="G1813" t="b">
        <v>1</v>
      </c>
      <c r="H1813" t="s">
        <v>588</v>
      </c>
    </row>
    <row r="1814" spans="1:8" x14ac:dyDescent="0.3">
      <c r="A1814" t="s">
        <v>557</v>
      </c>
      <c r="B1814" t="s">
        <v>604</v>
      </c>
      <c r="C1814" t="s">
        <v>342</v>
      </c>
      <c r="D1814" t="s">
        <v>589</v>
      </c>
      <c r="E1814" s="230">
        <v>7286.1</v>
      </c>
      <c r="F1814" t="s">
        <v>560</v>
      </c>
      <c r="G1814" t="b">
        <v>1</v>
      </c>
      <c r="H1814" t="s">
        <v>590</v>
      </c>
    </row>
    <row r="1815" spans="1:8" x14ac:dyDescent="0.3">
      <c r="A1815" t="s">
        <v>557</v>
      </c>
      <c r="B1815" t="s">
        <v>604</v>
      </c>
      <c r="C1815" t="s">
        <v>344</v>
      </c>
      <c r="D1815" t="s">
        <v>589</v>
      </c>
      <c r="E1815" s="230">
        <v>5645.01</v>
      </c>
      <c r="F1815" t="s">
        <v>560</v>
      </c>
      <c r="G1815" t="b">
        <v>1</v>
      </c>
      <c r="H1815" t="s">
        <v>590</v>
      </c>
    </row>
    <row r="1816" spans="1:8" x14ac:dyDescent="0.3">
      <c r="A1816" t="s">
        <v>557</v>
      </c>
      <c r="B1816" t="s">
        <v>604</v>
      </c>
      <c r="C1816" t="s">
        <v>345</v>
      </c>
      <c r="D1816" t="s">
        <v>589</v>
      </c>
      <c r="E1816" s="230">
        <v>0</v>
      </c>
      <c r="F1816" t="s">
        <v>560</v>
      </c>
      <c r="G1816" t="b">
        <v>1</v>
      </c>
      <c r="H1816" t="s">
        <v>590</v>
      </c>
    </row>
    <row r="1817" spans="1:8" x14ac:dyDescent="0.3">
      <c r="A1817" t="s">
        <v>557</v>
      </c>
      <c r="B1817" t="s">
        <v>604</v>
      </c>
      <c r="C1817" t="s">
        <v>346</v>
      </c>
      <c r="D1817" t="s">
        <v>589</v>
      </c>
      <c r="E1817" s="230">
        <v>4825.05</v>
      </c>
      <c r="F1817" t="s">
        <v>560</v>
      </c>
      <c r="G1817" t="b">
        <v>1</v>
      </c>
      <c r="H1817" t="s">
        <v>590</v>
      </c>
    </row>
    <row r="1818" spans="1:8" x14ac:dyDescent="0.3">
      <c r="A1818" t="s">
        <v>557</v>
      </c>
      <c r="B1818" t="s">
        <v>604</v>
      </c>
      <c r="C1818" t="s">
        <v>342</v>
      </c>
      <c r="D1818" t="s">
        <v>591</v>
      </c>
      <c r="E1818" s="230">
        <v>7464.48</v>
      </c>
      <c r="F1818" t="s">
        <v>560</v>
      </c>
      <c r="G1818" t="b">
        <v>1</v>
      </c>
      <c r="H1818" t="s">
        <v>592</v>
      </c>
    </row>
    <row r="1819" spans="1:8" x14ac:dyDescent="0.3">
      <c r="A1819" t="s">
        <v>557</v>
      </c>
      <c r="B1819" t="s">
        <v>604</v>
      </c>
      <c r="C1819" t="s">
        <v>344</v>
      </c>
      <c r="D1819" t="s">
        <v>591</v>
      </c>
      <c r="E1819" s="230">
        <v>5116.7</v>
      </c>
      <c r="F1819" t="s">
        <v>560</v>
      </c>
      <c r="G1819" t="b">
        <v>1</v>
      </c>
      <c r="H1819" t="s">
        <v>592</v>
      </c>
    </row>
    <row r="1820" spans="1:8" x14ac:dyDescent="0.3">
      <c r="A1820" t="s">
        <v>557</v>
      </c>
      <c r="B1820" t="s">
        <v>604</v>
      </c>
      <c r="C1820" t="s">
        <v>345</v>
      </c>
      <c r="D1820" t="s">
        <v>591</v>
      </c>
      <c r="E1820" s="230">
        <v>0</v>
      </c>
      <c r="F1820" t="s">
        <v>560</v>
      </c>
      <c r="G1820" t="b">
        <v>1</v>
      </c>
      <c r="H1820" t="s">
        <v>592</v>
      </c>
    </row>
    <row r="1821" spans="1:8" x14ac:dyDescent="0.3">
      <c r="A1821" t="s">
        <v>557</v>
      </c>
      <c r="B1821" t="s">
        <v>604</v>
      </c>
      <c r="C1821" t="s">
        <v>346</v>
      </c>
      <c r="D1821" t="s">
        <v>591</v>
      </c>
      <c r="E1821" s="230">
        <v>4519.41</v>
      </c>
      <c r="F1821" t="s">
        <v>560</v>
      </c>
      <c r="G1821" t="b">
        <v>1</v>
      </c>
      <c r="H1821" t="s">
        <v>592</v>
      </c>
    </row>
    <row r="1822" spans="1:8" x14ac:dyDescent="0.3">
      <c r="A1822" t="s">
        <v>557</v>
      </c>
      <c r="B1822" t="s">
        <v>604</v>
      </c>
      <c r="C1822" t="s">
        <v>342</v>
      </c>
      <c r="D1822" t="s">
        <v>593</v>
      </c>
      <c r="E1822" s="230">
        <v>7129.29</v>
      </c>
      <c r="F1822" t="s">
        <v>560</v>
      </c>
      <c r="G1822" t="b">
        <v>1</v>
      </c>
      <c r="H1822" t="s">
        <v>594</v>
      </c>
    </row>
    <row r="1823" spans="1:8" x14ac:dyDescent="0.3">
      <c r="A1823" t="s">
        <v>557</v>
      </c>
      <c r="B1823" t="s">
        <v>604</v>
      </c>
      <c r="C1823" t="s">
        <v>344</v>
      </c>
      <c r="D1823" t="s">
        <v>593</v>
      </c>
      <c r="E1823" s="230">
        <v>4951.84</v>
      </c>
      <c r="F1823" t="s">
        <v>560</v>
      </c>
      <c r="G1823" t="b">
        <v>1</v>
      </c>
      <c r="H1823" t="s">
        <v>594</v>
      </c>
    </row>
    <row r="1824" spans="1:8" x14ac:dyDescent="0.3">
      <c r="A1824" t="s">
        <v>557</v>
      </c>
      <c r="B1824" t="s">
        <v>604</v>
      </c>
      <c r="C1824" t="s">
        <v>345</v>
      </c>
      <c r="D1824" t="s">
        <v>593</v>
      </c>
      <c r="E1824" s="230">
        <v>4475.7</v>
      </c>
      <c r="F1824" t="s">
        <v>560</v>
      </c>
      <c r="G1824" t="b">
        <v>1</v>
      </c>
      <c r="H1824" t="s">
        <v>594</v>
      </c>
    </row>
    <row r="1825" spans="1:8" x14ac:dyDescent="0.3">
      <c r="A1825" t="s">
        <v>557</v>
      </c>
      <c r="B1825" t="s">
        <v>604</v>
      </c>
      <c r="C1825" t="s">
        <v>346</v>
      </c>
      <c r="D1825" t="s">
        <v>593</v>
      </c>
      <c r="E1825" s="230">
        <v>4308.54</v>
      </c>
      <c r="F1825" t="s">
        <v>560</v>
      </c>
      <c r="G1825" t="b">
        <v>1</v>
      </c>
      <c r="H1825" t="s">
        <v>594</v>
      </c>
    </row>
    <row r="1826" spans="1:8" x14ac:dyDescent="0.3">
      <c r="A1826" t="s">
        <v>557</v>
      </c>
      <c r="B1826" t="s">
        <v>604</v>
      </c>
      <c r="C1826" t="s">
        <v>342</v>
      </c>
      <c r="D1826" t="s">
        <v>595</v>
      </c>
      <c r="E1826" s="230">
        <v>9904.0300000000007</v>
      </c>
      <c r="F1826" t="s">
        <v>560</v>
      </c>
      <c r="G1826" t="b">
        <v>1</v>
      </c>
      <c r="H1826" t="s">
        <v>596</v>
      </c>
    </row>
    <row r="1827" spans="1:8" x14ac:dyDescent="0.3">
      <c r="A1827" t="s">
        <v>557</v>
      </c>
      <c r="B1827" t="s">
        <v>604</v>
      </c>
      <c r="C1827" t="s">
        <v>344</v>
      </c>
      <c r="D1827" t="s">
        <v>595</v>
      </c>
      <c r="E1827" s="230">
        <v>6956.85</v>
      </c>
      <c r="F1827" t="s">
        <v>560</v>
      </c>
      <c r="G1827" t="b">
        <v>1</v>
      </c>
      <c r="H1827" t="s">
        <v>596</v>
      </c>
    </row>
    <row r="1828" spans="1:8" x14ac:dyDescent="0.3">
      <c r="A1828" t="s">
        <v>557</v>
      </c>
      <c r="B1828" t="s">
        <v>604</v>
      </c>
      <c r="C1828" t="s">
        <v>345</v>
      </c>
      <c r="D1828" t="s">
        <v>595</v>
      </c>
      <c r="E1828" s="230">
        <v>0</v>
      </c>
      <c r="F1828" t="s">
        <v>560</v>
      </c>
      <c r="G1828" t="b">
        <v>1</v>
      </c>
      <c r="H1828" t="s">
        <v>596</v>
      </c>
    </row>
    <row r="1829" spans="1:8" x14ac:dyDescent="0.3">
      <c r="A1829" t="s">
        <v>557</v>
      </c>
      <c r="B1829" t="s">
        <v>604</v>
      </c>
      <c r="C1829" t="s">
        <v>346</v>
      </c>
      <c r="D1829" t="s">
        <v>595</v>
      </c>
      <c r="E1829" s="230">
        <v>5894.71</v>
      </c>
      <c r="F1829" t="s">
        <v>560</v>
      </c>
      <c r="G1829" t="b">
        <v>1</v>
      </c>
      <c r="H1829" t="s">
        <v>596</v>
      </c>
    </row>
    <row r="1830" spans="1:8" x14ac:dyDescent="0.3">
      <c r="A1830" t="s">
        <v>557</v>
      </c>
      <c r="B1830" t="s">
        <v>604</v>
      </c>
      <c r="C1830" t="s">
        <v>342</v>
      </c>
      <c r="D1830" t="s">
        <v>597</v>
      </c>
      <c r="E1830" s="230">
        <v>9706.41</v>
      </c>
      <c r="F1830" t="s">
        <v>560</v>
      </c>
      <c r="G1830" t="b">
        <v>1</v>
      </c>
      <c r="H1830" t="s">
        <v>598</v>
      </c>
    </row>
    <row r="1831" spans="1:8" x14ac:dyDescent="0.3">
      <c r="A1831" t="s">
        <v>557</v>
      </c>
      <c r="B1831" t="s">
        <v>604</v>
      </c>
      <c r="C1831" t="s">
        <v>344</v>
      </c>
      <c r="D1831" t="s">
        <v>597</v>
      </c>
      <c r="E1831" s="230">
        <v>5791.65</v>
      </c>
      <c r="F1831" t="s">
        <v>560</v>
      </c>
      <c r="G1831" t="b">
        <v>1</v>
      </c>
      <c r="H1831" t="s">
        <v>598</v>
      </c>
    </row>
    <row r="1832" spans="1:8" x14ac:dyDescent="0.3">
      <c r="A1832" t="s">
        <v>557</v>
      </c>
      <c r="B1832" t="s">
        <v>604</v>
      </c>
      <c r="C1832" t="s">
        <v>345</v>
      </c>
      <c r="D1832" t="s">
        <v>597</v>
      </c>
      <c r="E1832" s="230">
        <v>0</v>
      </c>
      <c r="F1832" t="s">
        <v>560</v>
      </c>
      <c r="G1832" t="b">
        <v>1</v>
      </c>
      <c r="H1832" t="s">
        <v>598</v>
      </c>
    </row>
    <row r="1833" spans="1:8" x14ac:dyDescent="0.3">
      <c r="A1833" t="s">
        <v>557</v>
      </c>
      <c r="B1833" t="s">
        <v>604</v>
      </c>
      <c r="C1833" t="s">
        <v>346</v>
      </c>
      <c r="D1833" t="s">
        <v>597</v>
      </c>
      <c r="E1833" s="230">
        <v>5146.87</v>
      </c>
      <c r="F1833" t="s">
        <v>560</v>
      </c>
      <c r="G1833" t="b">
        <v>1</v>
      </c>
      <c r="H1833" t="s">
        <v>598</v>
      </c>
    </row>
    <row r="1834" spans="1:8" x14ac:dyDescent="0.3">
      <c r="A1834" t="s">
        <v>557</v>
      </c>
      <c r="B1834" t="s">
        <v>604</v>
      </c>
      <c r="C1834" t="s">
        <v>342</v>
      </c>
      <c r="D1834" t="s">
        <v>599</v>
      </c>
      <c r="E1834" s="230">
        <v>9027.58</v>
      </c>
      <c r="F1834" t="s">
        <v>560</v>
      </c>
      <c r="G1834" t="b">
        <v>1</v>
      </c>
      <c r="H1834" t="s">
        <v>600</v>
      </c>
    </row>
    <row r="1835" spans="1:8" x14ac:dyDescent="0.3">
      <c r="A1835" t="s">
        <v>557</v>
      </c>
      <c r="B1835" t="s">
        <v>604</v>
      </c>
      <c r="C1835" t="s">
        <v>344</v>
      </c>
      <c r="D1835" t="s">
        <v>599</v>
      </c>
      <c r="E1835" s="230">
        <v>5616.91</v>
      </c>
      <c r="F1835" t="s">
        <v>560</v>
      </c>
      <c r="G1835" t="b">
        <v>1</v>
      </c>
      <c r="H1835" t="s">
        <v>600</v>
      </c>
    </row>
    <row r="1836" spans="1:8" x14ac:dyDescent="0.3">
      <c r="A1836" t="s">
        <v>557</v>
      </c>
      <c r="B1836" t="s">
        <v>604</v>
      </c>
      <c r="C1836" t="s">
        <v>345</v>
      </c>
      <c r="D1836" t="s">
        <v>599</v>
      </c>
      <c r="E1836" s="230">
        <v>6243.61</v>
      </c>
      <c r="F1836" t="s">
        <v>560</v>
      </c>
      <c r="G1836" t="b">
        <v>1</v>
      </c>
      <c r="H1836" t="s">
        <v>600</v>
      </c>
    </row>
    <row r="1837" spans="1:8" x14ac:dyDescent="0.3">
      <c r="A1837" t="s">
        <v>557</v>
      </c>
      <c r="B1837" t="s">
        <v>604</v>
      </c>
      <c r="C1837" t="s">
        <v>346</v>
      </c>
      <c r="D1837" t="s">
        <v>599</v>
      </c>
      <c r="E1837" s="230">
        <v>4833</v>
      </c>
      <c r="F1837" t="s">
        <v>560</v>
      </c>
      <c r="G1837" t="b">
        <v>1</v>
      </c>
      <c r="H1837" t="s">
        <v>600</v>
      </c>
    </row>
    <row r="1838" spans="1:8" x14ac:dyDescent="0.3">
      <c r="A1838" t="s">
        <v>557</v>
      </c>
      <c r="B1838" t="s">
        <v>604</v>
      </c>
      <c r="C1838" t="s">
        <v>342</v>
      </c>
      <c r="D1838" t="s">
        <v>601</v>
      </c>
      <c r="E1838" s="230">
        <v>9012.59</v>
      </c>
      <c r="F1838" t="s">
        <v>560</v>
      </c>
      <c r="G1838" t="b">
        <v>1</v>
      </c>
      <c r="H1838" t="s">
        <v>468</v>
      </c>
    </row>
    <row r="1839" spans="1:8" x14ac:dyDescent="0.3">
      <c r="A1839" t="s">
        <v>557</v>
      </c>
      <c r="B1839" t="s">
        <v>604</v>
      </c>
      <c r="C1839" t="s">
        <v>344</v>
      </c>
      <c r="D1839" t="s">
        <v>601</v>
      </c>
      <c r="E1839" s="230">
        <v>6276.61</v>
      </c>
      <c r="F1839" t="s">
        <v>560</v>
      </c>
      <c r="G1839" t="b">
        <v>1</v>
      </c>
      <c r="H1839" t="s">
        <v>468</v>
      </c>
    </row>
    <row r="1840" spans="1:8" x14ac:dyDescent="0.3">
      <c r="A1840" t="s">
        <v>557</v>
      </c>
      <c r="B1840" t="s">
        <v>604</v>
      </c>
      <c r="C1840" t="s">
        <v>345</v>
      </c>
      <c r="D1840" t="s">
        <v>601</v>
      </c>
      <c r="E1840" s="230">
        <v>0</v>
      </c>
      <c r="F1840" t="s">
        <v>560</v>
      </c>
      <c r="G1840" t="b">
        <v>1</v>
      </c>
      <c r="H1840" t="s">
        <v>468</v>
      </c>
    </row>
    <row r="1841" spans="1:8" x14ac:dyDescent="0.3">
      <c r="A1841" t="s">
        <v>557</v>
      </c>
      <c r="B1841" t="s">
        <v>604</v>
      </c>
      <c r="C1841" t="s">
        <v>346</v>
      </c>
      <c r="D1841" t="s">
        <v>601</v>
      </c>
      <c r="E1841" s="230">
        <v>5252.82</v>
      </c>
      <c r="F1841" t="s">
        <v>560</v>
      </c>
      <c r="G1841" t="b">
        <v>1</v>
      </c>
      <c r="H1841" t="s">
        <v>468</v>
      </c>
    </row>
    <row r="1842" spans="1:8" x14ac:dyDescent="0.3">
      <c r="A1842" t="s">
        <v>557</v>
      </c>
      <c r="B1842" t="s">
        <v>604</v>
      </c>
      <c r="C1842" t="s">
        <v>342</v>
      </c>
      <c r="D1842" t="s">
        <v>602</v>
      </c>
      <c r="E1842" s="230">
        <v>9264.7800000000007</v>
      </c>
      <c r="F1842" t="s">
        <v>560</v>
      </c>
      <c r="G1842" t="b">
        <v>1</v>
      </c>
      <c r="H1842" t="s">
        <v>469</v>
      </c>
    </row>
    <row r="1843" spans="1:8" x14ac:dyDescent="0.3">
      <c r="A1843" t="s">
        <v>557</v>
      </c>
      <c r="B1843" t="s">
        <v>604</v>
      </c>
      <c r="C1843" t="s">
        <v>344</v>
      </c>
      <c r="D1843" t="s">
        <v>602</v>
      </c>
      <c r="E1843" s="230">
        <v>6638.74</v>
      </c>
      <c r="F1843" t="s">
        <v>560</v>
      </c>
      <c r="G1843" t="b">
        <v>1</v>
      </c>
      <c r="H1843" t="s">
        <v>469</v>
      </c>
    </row>
    <row r="1844" spans="1:8" x14ac:dyDescent="0.3">
      <c r="A1844" t="s">
        <v>557</v>
      </c>
      <c r="B1844" t="s">
        <v>604</v>
      </c>
      <c r="C1844" t="s">
        <v>345</v>
      </c>
      <c r="D1844" t="s">
        <v>602</v>
      </c>
      <c r="E1844" s="230">
        <v>0</v>
      </c>
      <c r="F1844" t="s">
        <v>560</v>
      </c>
      <c r="G1844" t="b">
        <v>1</v>
      </c>
      <c r="H1844" t="s">
        <v>469</v>
      </c>
    </row>
    <row r="1845" spans="1:8" x14ac:dyDescent="0.3">
      <c r="A1845" t="s">
        <v>557</v>
      </c>
      <c r="B1845" t="s">
        <v>604</v>
      </c>
      <c r="C1845" t="s">
        <v>346</v>
      </c>
      <c r="D1845" t="s">
        <v>602</v>
      </c>
      <c r="E1845" s="230">
        <v>5556.59</v>
      </c>
      <c r="F1845" t="s">
        <v>560</v>
      </c>
      <c r="G1845" t="b">
        <v>1</v>
      </c>
      <c r="H1845" t="s">
        <v>469</v>
      </c>
    </row>
    <row r="1846" spans="1:8" x14ac:dyDescent="0.3">
      <c r="A1846" t="s">
        <v>557</v>
      </c>
      <c r="B1846" t="s">
        <v>604</v>
      </c>
      <c r="C1846" t="s">
        <v>342</v>
      </c>
      <c r="D1846" t="s">
        <v>603</v>
      </c>
      <c r="E1846" s="230">
        <v>11391.35</v>
      </c>
      <c r="F1846" t="s">
        <v>560</v>
      </c>
      <c r="G1846" t="b">
        <v>1</v>
      </c>
      <c r="H1846" t="s">
        <v>470</v>
      </c>
    </row>
    <row r="1847" spans="1:8" x14ac:dyDescent="0.3">
      <c r="A1847" t="s">
        <v>557</v>
      </c>
      <c r="B1847" t="s">
        <v>604</v>
      </c>
      <c r="C1847" t="s">
        <v>344</v>
      </c>
      <c r="D1847" t="s">
        <v>603</v>
      </c>
      <c r="E1847" s="230">
        <v>9888.74</v>
      </c>
      <c r="F1847" t="s">
        <v>560</v>
      </c>
      <c r="G1847" t="b">
        <v>1</v>
      </c>
      <c r="H1847" t="s">
        <v>470</v>
      </c>
    </row>
    <row r="1848" spans="1:8" x14ac:dyDescent="0.3">
      <c r="A1848" t="s">
        <v>557</v>
      </c>
      <c r="B1848" t="s">
        <v>604</v>
      </c>
      <c r="C1848" t="s">
        <v>345</v>
      </c>
      <c r="D1848" t="s">
        <v>603</v>
      </c>
      <c r="E1848" s="230">
        <v>9202.73</v>
      </c>
      <c r="F1848" t="s">
        <v>560</v>
      </c>
      <c r="G1848" t="b">
        <v>1</v>
      </c>
      <c r="H1848" t="s">
        <v>470</v>
      </c>
    </row>
    <row r="1849" spans="1:8" x14ac:dyDescent="0.3">
      <c r="A1849" t="s">
        <v>557</v>
      </c>
      <c r="B1849" t="s">
        <v>604</v>
      </c>
      <c r="C1849" t="s">
        <v>346</v>
      </c>
      <c r="D1849" t="s">
        <v>603</v>
      </c>
      <c r="E1849" s="230">
        <v>7862.43</v>
      </c>
      <c r="F1849" t="s">
        <v>560</v>
      </c>
      <c r="G1849" t="b">
        <v>1</v>
      </c>
      <c r="H1849" t="s">
        <v>470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E13764"/>
  <sheetViews>
    <sheetView workbookViewId="0">
      <selection activeCell="C5" sqref="C5"/>
    </sheetView>
  </sheetViews>
  <sheetFormatPr defaultRowHeight="14.4" x14ac:dyDescent="0.3"/>
  <cols>
    <col min="1" max="1" width="7.109375" bestFit="1" customWidth="1"/>
    <col min="2" max="2" width="10.33203125" bestFit="1" customWidth="1"/>
    <col min="3" max="3" width="46.88671875" bestFit="1" customWidth="1"/>
    <col min="4" max="4" width="15.5546875" style="230" bestFit="1" customWidth="1"/>
    <col min="5" max="5" width="12.44140625" style="230" bestFit="1" customWidth="1"/>
  </cols>
  <sheetData>
    <row r="1" spans="1:5" x14ac:dyDescent="0.3">
      <c r="A1" t="s">
        <v>549</v>
      </c>
      <c r="B1" t="s">
        <v>552</v>
      </c>
      <c r="C1" t="s">
        <v>605</v>
      </c>
      <c r="D1" s="230" t="s">
        <v>553</v>
      </c>
      <c r="E1" t="s">
        <v>556</v>
      </c>
    </row>
    <row r="2" spans="1:5" hidden="1" x14ac:dyDescent="0.3">
      <c r="A2" t="s">
        <v>557</v>
      </c>
      <c r="B2" t="s">
        <v>606</v>
      </c>
      <c r="C2" t="s">
        <v>11</v>
      </c>
      <c r="D2" s="230">
        <v>392092.75</v>
      </c>
      <c r="E2" t="s">
        <v>607</v>
      </c>
    </row>
    <row r="3" spans="1:5" hidden="1" x14ac:dyDescent="0.3">
      <c r="A3" t="s">
        <v>557</v>
      </c>
      <c r="B3" t="s">
        <v>606</v>
      </c>
      <c r="C3" t="s">
        <v>13</v>
      </c>
      <c r="D3" s="230">
        <v>180553.4</v>
      </c>
      <c r="E3" t="s">
        <v>607</v>
      </c>
    </row>
    <row r="4" spans="1:5" hidden="1" x14ac:dyDescent="0.3">
      <c r="A4" t="s">
        <v>557</v>
      </c>
      <c r="B4" t="s">
        <v>606</v>
      </c>
      <c r="C4" t="s">
        <v>16</v>
      </c>
      <c r="D4" s="230">
        <v>121559.7</v>
      </c>
      <c r="E4" t="s">
        <v>607</v>
      </c>
    </row>
    <row r="5" spans="1:5" hidden="1" x14ac:dyDescent="0.3">
      <c r="A5" t="s">
        <v>557</v>
      </c>
      <c r="B5" t="s">
        <v>606</v>
      </c>
      <c r="C5" t="s">
        <v>17</v>
      </c>
      <c r="D5" s="230">
        <v>14880</v>
      </c>
      <c r="E5" t="s">
        <v>607</v>
      </c>
    </row>
    <row r="6" spans="1:5" hidden="1" x14ac:dyDescent="0.3">
      <c r="A6" t="s">
        <v>557</v>
      </c>
      <c r="B6" t="s">
        <v>606</v>
      </c>
      <c r="C6" t="s">
        <v>18</v>
      </c>
      <c r="D6" s="230">
        <v>0</v>
      </c>
      <c r="E6" t="s">
        <v>607</v>
      </c>
    </row>
    <row r="7" spans="1:5" hidden="1" x14ac:dyDescent="0.3">
      <c r="A7" t="s">
        <v>557</v>
      </c>
      <c r="B7" t="s">
        <v>606</v>
      </c>
      <c r="C7" t="s">
        <v>20</v>
      </c>
      <c r="D7" s="230">
        <v>40012.65</v>
      </c>
      <c r="E7" t="s">
        <v>607</v>
      </c>
    </row>
    <row r="8" spans="1:5" hidden="1" x14ac:dyDescent="0.3">
      <c r="A8" t="s">
        <v>557</v>
      </c>
      <c r="B8" t="s">
        <v>606</v>
      </c>
      <c r="C8" t="s">
        <v>23</v>
      </c>
      <c r="D8" s="230">
        <v>27355</v>
      </c>
      <c r="E8" t="s">
        <v>607</v>
      </c>
    </row>
    <row r="9" spans="1:5" hidden="1" x14ac:dyDescent="0.3">
      <c r="A9" t="s">
        <v>557</v>
      </c>
      <c r="B9" t="s">
        <v>606</v>
      </c>
      <c r="C9" t="s">
        <v>25</v>
      </c>
      <c r="D9" s="230">
        <v>0</v>
      </c>
      <c r="E9" t="s">
        <v>607</v>
      </c>
    </row>
    <row r="10" spans="1:5" hidden="1" x14ac:dyDescent="0.3">
      <c r="A10" t="s">
        <v>557</v>
      </c>
      <c r="B10" t="s">
        <v>606</v>
      </c>
      <c r="C10" t="s">
        <v>26</v>
      </c>
      <c r="D10" s="230">
        <v>6900</v>
      </c>
      <c r="E10" t="s">
        <v>607</v>
      </c>
    </row>
    <row r="11" spans="1:5" hidden="1" x14ac:dyDescent="0.3">
      <c r="A11" t="s">
        <v>557</v>
      </c>
      <c r="B11" t="s">
        <v>606</v>
      </c>
      <c r="C11" t="s">
        <v>27</v>
      </c>
      <c r="D11" s="230">
        <v>0</v>
      </c>
      <c r="E11" t="s">
        <v>607</v>
      </c>
    </row>
    <row r="12" spans="1:5" hidden="1" x14ac:dyDescent="0.3">
      <c r="A12" t="s">
        <v>557</v>
      </c>
      <c r="B12" t="s">
        <v>606</v>
      </c>
      <c r="C12" t="s">
        <v>29</v>
      </c>
      <c r="D12" s="230">
        <v>832</v>
      </c>
      <c r="E12" t="s">
        <v>607</v>
      </c>
    </row>
    <row r="13" spans="1:5" hidden="1" x14ac:dyDescent="0.3">
      <c r="A13" t="s">
        <v>557</v>
      </c>
      <c r="B13" t="s">
        <v>606</v>
      </c>
      <c r="C13" t="s">
        <v>31</v>
      </c>
      <c r="D13" s="230">
        <v>0</v>
      </c>
      <c r="E13" t="s">
        <v>607</v>
      </c>
    </row>
    <row r="14" spans="1:5" hidden="1" x14ac:dyDescent="0.3">
      <c r="A14" t="s">
        <v>557</v>
      </c>
      <c r="B14" t="s">
        <v>606</v>
      </c>
      <c r="C14" t="s">
        <v>34</v>
      </c>
      <c r="D14" s="230">
        <v>-11935.94</v>
      </c>
      <c r="E14" t="s">
        <v>607</v>
      </c>
    </row>
    <row r="15" spans="1:5" hidden="1" x14ac:dyDescent="0.3">
      <c r="A15" t="s">
        <v>557</v>
      </c>
      <c r="B15" t="s">
        <v>606</v>
      </c>
      <c r="C15" t="s">
        <v>38</v>
      </c>
      <c r="D15" s="230">
        <v>-11935.94</v>
      </c>
      <c r="E15" t="s">
        <v>607</v>
      </c>
    </row>
    <row r="16" spans="1:5" hidden="1" x14ac:dyDescent="0.3">
      <c r="A16" t="s">
        <v>557</v>
      </c>
      <c r="B16" t="s">
        <v>606</v>
      </c>
      <c r="C16" t="s">
        <v>40</v>
      </c>
      <c r="D16" s="230">
        <v>0</v>
      </c>
      <c r="E16" t="s">
        <v>607</v>
      </c>
    </row>
    <row r="17" spans="1:5" hidden="1" x14ac:dyDescent="0.3">
      <c r="A17" t="s">
        <v>557</v>
      </c>
      <c r="B17" t="s">
        <v>606</v>
      </c>
      <c r="C17" t="s">
        <v>42</v>
      </c>
      <c r="D17" s="230">
        <v>0</v>
      </c>
      <c r="E17" t="s">
        <v>607</v>
      </c>
    </row>
    <row r="18" spans="1:5" hidden="1" x14ac:dyDescent="0.3">
      <c r="A18" t="s">
        <v>557</v>
      </c>
      <c r="B18" t="s">
        <v>606</v>
      </c>
      <c r="C18" t="s">
        <v>44</v>
      </c>
      <c r="D18" s="230">
        <v>-0.03</v>
      </c>
      <c r="E18" t="s">
        <v>607</v>
      </c>
    </row>
    <row r="19" spans="1:5" hidden="1" x14ac:dyDescent="0.3">
      <c r="A19" t="s">
        <v>557</v>
      </c>
      <c r="B19" t="s">
        <v>606</v>
      </c>
      <c r="C19" t="s">
        <v>45</v>
      </c>
      <c r="D19" s="230">
        <v>-24536.27</v>
      </c>
      <c r="E19" t="s">
        <v>607</v>
      </c>
    </row>
    <row r="20" spans="1:5" hidden="1" x14ac:dyDescent="0.3">
      <c r="A20" t="s">
        <v>557</v>
      </c>
      <c r="B20" t="s">
        <v>606</v>
      </c>
      <c r="C20" t="s">
        <v>46</v>
      </c>
      <c r="D20" s="230">
        <v>-12415.26</v>
      </c>
      <c r="E20" t="s">
        <v>607</v>
      </c>
    </row>
    <row r="21" spans="1:5" hidden="1" x14ac:dyDescent="0.3">
      <c r="A21" t="s">
        <v>557</v>
      </c>
      <c r="B21" t="s">
        <v>606</v>
      </c>
      <c r="C21" t="s">
        <v>48</v>
      </c>
      <c r="D21" s="230">
        <v>-10009.25</v>
      </c>
      <c r="E21" t="s">
        <v>607</v>
      </c>
    </row>
    <row r="22" spans="1:5" hidden="1" x14ac:dyDescent="0.3">
      <c r="A22" t="s">
        <v>557</v>
      </c>
      <c r="B22" t="s">
        <v>606</v>
      </c>
      <c r="C22" t="s">
        <v>49</v>
      </c>
      <c r="D22" s="230">
        <v>-2111.75</v>
      </c>
      <c r="E22" t="s">
        <v>607</v>
      </c>
    </row>
    <row r="23" spans="1:5" hidden="1" x14ac:dyDescent="0.3">
      <c r="A23" t="s">
        <v>557</v>
      </c>
      <c r="B23" t="s">
        <v>606</v>
      </c>
      <c r="C23" t="s">
        <v>50</v>
      </c>
      <c r="D23" s="230">
        <v>355620.55</v>
      </c>
      <c r="E23" t="s">
        <v>607</v>
      </c>
    </row>
    <row r="24" spans="1:5" hidden="1" x14ac:dyDescent="0.3">
      <c r="A24" t="s">
        <v>557</v>
      </c>
      <c r="B24" t="s">
        <v>606</v>
      </c>
      <c r="C24" t="s">
        <v>51</v>
      </c>
      <c r="D24" s="230">
        <v>-99368.92</v>
      </c>
      <c r="E24" t="s">
        <v>607</v>
      </c>
    </row>
    <row r="25" spans="1:5" hidden="1" x14ac:dyDescent="0.3">
      <c r="A25" t="s">
        <v>557</v>
      </c>
      <c r="B25" t="s">
        <v>606</v>
      </c>
      <c r="C25" t="s">
        <v>52</v>
      </c>
      <c r="D25" s="230">
        <v>-68858</v>
      </c>
      <c r="E25" t="s">
        <v>607</v>
      </c>
    </row>
    <row r="26" spans="1:5" hidden="1" x14ac:dyDescent="0.3">
      <c r="A26" t="s">
        <v>557</v>
      </c>
      <c r="B26" t="s">
        <v>606</v>
      </c>
      <c r="C26" t="s">
        <v>53</v>
      </c>
      <c r="D26" s="230">
        <v>-29728.41</v>
      </c>
      <c r="E26" t="s">
        <v>607</v>
      </c>
    </row>
    <row r="27" spans="1:5" hidden="1" x14ac:dyDescent="0.3">
      <c r="A27" t="s">
        <v>557</v>
      </c>
      <c r="B27" t="s">
        <v>606</v>
      </c>
      <c r="C27" t="s">
        <v>54</v>
      </c>
      <c r="D27" s="230">
        <v>-782.51</v>
      </c>
      <c r="E27" t="s">
        <v>607</v>
      </c>
    </row>
    <row r="28" spans="1:5" hidden="1" x14ac:dyDescent="0.3">
      <c r="A28" t="s">
        <v>557</v>
      </c>
      <c r="B28" t="s">
        <v>606</v>
      </c>
      <c r="C28" t="s">
        <v>23</v>
      </c>
      <c r="D28" s="230">
        <v>0</v>
      </c>
      <c r="E28" t="s">
        <v>607</v>
      </c>
    </row>
    <row r="29" spans="1:5" hidden="1" x14ac:dyDescent="0.3">
      <c r="A29" t="s">
        <v>557</v>
      </c>
      <c r="B29" t="s">
        <v>606</v>
      </c>
      <c r="C29" t="s">
        <v>44</v>
      </c>
      <c r="D29" s="230">
        <v>-0.3</v>
      </c>
      <c r="E29" t="s">
        <v>607</v>
      </c>
    </row>
    <row r="30" spans="1:5" hidden="1" x14ac:dyDescent="0.3">
      <c r="A30" t="s">
        <v>557</v>
      </c>
      <c r="B30" t="s">
        <v>606</v>
      </c>
      <c r="C30" t="s">
        <v>55</v>
      </c>
      <c r="D30" s="230">
        <v>-0.28000000000000003</v>
      </c>
      <c r="E30" t="s">
        <v>607</v>
      </c>
    </row>
    <row r="31" spans="1:5" hidden="1" x14ac:dyDescent="0.3">
      <c r="A31" t="s">
        <v>557</v>
      </c>
      <c r="B31" t="s">
        <v>606</v>
      </c>
      <c r="C31" t="s">
        <v>56</v>
      </c>
      <c r="D31" s="230">
        <v>-11003.78</v>
      </c>
      <c r="E31" t="s">
        <v>607</v>
      </c>
    </row>
    <row r="32" spans="1:5" hidden="1" x14ac:dyDescent="0.3">
      <c r="A32" t="s">
        <v>557</v>
      </c>
      <c r="B32" t="s">
        <v>606</v>
      </c>
      <c r="C32" t="s">
        <v>57</v>
      </c>
      <c r="D32" s="230">
        <v>-11003.78</v>
      </c>
      <c r="E32" t="s">
        <v>607</v>
      </c>
    </row>
    <row r="33" spans="1:5" hidden="1" x14ac:dyDescent="0.3">
      <c r="A33" t="s">
        <v>557</v>
      </c>
      <c r="B33" t="s">
        <v>606</v>
      </c>
      <c r="C33" t="s">
        <v>58</v>
      </c>
      <c r="D33" s="230">
        <v>-10694.22</v>
      </c>
      <c r="E33" t="s">
        <v>607</v>
      </c>
    </row>
    <row r="34" spans="1:5" hidden="1" x14ac:dyDescent="0.3">
      <c r="A34" t="s">
        <v>557</v>
      </c>
      <c r="B34" t="s">
        <v>606</v>
      </c>
      <c r="C34" t="s">
        <v>59</v>
      </c>
      <c r="D34" s="230">
        <v>-309.56</v>
      </c>
      <c r="E34" t="s">
        <v>607</v>
      </c>
    </row>
    <row r="35" spans="1:5" hidden="1" x14ac:dyDescent="0.3">
      <c r="A35" t="s">
        <v>557</v>
      </c>
      <c r="B35" t="s">
        <v>606</v>
      </c>
      <c r="C35" t="s">
        <v>61</v>
      </c>
      <c r="D35" s="230">
        <v>0</v>
      </c>
      <c r="E35" t="s">
        <v>607</v>
      </c>
    </row>
    <row r="36" spans="1:5" hidden="1" x14ac:dyDescent="0.3">
      <c r="A36" t="s">
        <v>557</v>
      </c>
      <c r="B36" t="s">
        <v>606</v>
      </c>
      <c r="C36" t="s">
        <v>62</v>
      </c>
      <c r="D36" s="230">
        <v>0</v>
      </c>
      <c r="E36" t="s">
        <v>607</v>
      </c>
    </row>
    <row r="37" spans="1:5" hidden="1" x14ac:dyDescent="0.3">
      <c r="A37" t="s">
        <v>557</v>
      </c>
      <c r="B37" t="s">
        <v>606</v>
      </c>
      <c r="C37" t="s">
        <v>64</v>
      </c>
      <c r="D37" s="230">
        <v>0</v>
      </c>
      <c r="E37" t="s">
        <v>607</v>
      </c>
    </row>
    <row r="38" spans="1:5" hidden="1" x14ac:dyDescent="0.3">
      <c r="A38" t="s">
        <v>557</v>
      </c>
      <c r="B38" t="s">
        <v>606</v>
      </c>
      <c r="C38" t="s">
        <v>65</v>
      </c>
      <c r="D38" s="230">
        <v>0</v>
      </c>
      <c r="E38" t="s">
        <v>607</v>
      </c>
    </row>
    <row r="39" spans="1:5" hidden="1" x14ac:dyDescent="0.3">
      <c r="A39" t="s">
        <v>557</v>
      </c>
      <c r="B39" t="s">
        <v>606</v>
      </c>
      <c r="C39" t="s">
        <v>66</v>
      </c>
      <c r="D39" s="230">
        <v>0</v>
      </c>
      <c r="E39" t="s">
        <v>607</v>
      </c>
    </row>
    <row r="40" spans="1:5" hidden="1" x14ac:dyDescent="0.3">
      <c r="A40" t="s">
        <v>557</v>
      </c>
      <c r="B40" t="s">
        <v>606</v>
      </c>
      <c r="C40" t="s">
        <v>68</v>
      </c>
      <c r="D40" s="230">
        <v>0</v>
      </c>
      <c r="E40" t="s">
        <v>607</v>
      </c>
    </row>
    <row r="41" spans="1:5" hidden="1" x14ac:dyDescent="0.3">
      <c r="A41" t="s">
        <v>557</v>
      </c>
      <c r="B41" t="s">
        <v>606</v>
      </c>
      <c r="C41" t="s">
        <v>69</v>
      </c>
      <c r="D41" s="230">
        <v>0</v>
      </c>
      <c r="E41" t="s">
        <v>607</v>
      </c>
    </row>
    <row r="42" spans="1:5" hidden="1" x14ac:dyDescent="0.3">
      <c r="A42" t="s">
        <v>557</v>
      </c>
      <c r="B42" t="s">
        <v>606</v>
      </c>
      <c r="C42" t="s">
        <v>70</v>
      </c>
      <c r="D42" s="230">
        <v>-0.74</v>
      </c>
      <c r="E42" t="s">
        <v>607</v>
      </c>
    </row>
    <row r="43" spans="1:5" hidden="1" x14ac:dyDescent="0.3">
      <c r="A43" t="s">
        <v>557</v>
      </c>
      <c r="B43" t="s">
        <v>606</v>
      </c>
      <c r="C43" t="s">
        <v>44</v>
      </c>
      <c r="D43" s="230">
        <v>-0.03</v>
      </c>
      <c r="E43" t="s">
        <v>607</v>
      </c>
    </row>
    <row r="44" spans="1:5" hidden="1" x14ac:dyDescent="0.3">
      <c r="A44" t="s">
        <v>557</v>
      </c>
      <c r="B44" t="s">
        <v>606</v>
      </c>
      <c r="C44" t="s">
        <v>71</v>
      </c>
      <c r="D44" s="230">
        <v>0</v>
      </c>
      <c r="E44" t="s">
        <v>607</v>
      </c>
    </row>
    <row r="45" spans="1:5" hidden="1" x14ac:dyDescent="0.3">
      <c r="A45" t="s">
        <v>557</v>
      </c>
      <c r="B45" t="s">
        <v>606</v>
      </c>
      <c r="C45" t="s">
        <v>72</v>
      </c>
      <c r="D45" s="230">
        <v>0</v>
      </c>
      <c r="E45" t="s">
        <v>607</v>
      </c>
    </row>
    <row r="46" spans="1:5" hidden="1" x14ac:dyDescent="0.3">
      <c r="A46" t="s">
        <v>557</v>
      </c>
      <c r="B46" t="s">
        <v>606</v>
      </c>
      <c r="C46" t="s">
        <v>73</v>
      </c>
      <c r="D46" s="230">
        <v>0</v>
      </c>
      <c r="E46" t="s">
        <v>607</v>
      </c>
    </row>
    <row r="47" spans="1:5" hidden="1" x14ac:dyDescent="0.3">
      <c r="A47" t="s">
        <v>557</v>
      </c>
      <c r="B47" t="s">
        <v>606</v>
      </c>
      <c r="C47" t="s">
        <v>75</v>
      </c>
      <c r="D47" s="230">
        <v>0</v>
      </c>
      <c r="E47" t="s">
        <v>607</v>
      </c>
    </row>
    <row r="48" spans="1:5" hidden="1" x14ac:dyDescent="0.3">
      <c r="A48" t="s">
        <v>557</v>
      </c>
      <c r="B48" t="s">
        <v>606</v>
      </c>
      <c r="C48" t="s">
        <v>77</v>
      </c>
      <c r="D48" s="230">
        <v>0</v>
      </c>
      <c r="E48" t="s">
        <v>607</v>
      </c>
    </row>
    <row r="49" spans="1:5" hidden="1" x14ac:dyDescent="0.3">
      <c r="A49" t="s">
        <v>557</v>
      </c>
      <c r="B49" t="s">
        <v>606</v>
      </c>
      <c r="C49" t="s">
        <v>78</v>
      </c>
      <c r="D49" s="230">
        <v>0</v>
      </c>
      <c r="E49" t="s">
        <v>607</v>
      </c>
    </row>
    <row r="50" spans="1:5" hidden="1" x14ac:dyDescent="0.3">
      <c r="A50" t="s">
        <v>557</v>
      </c>
      <c r="B50" t="s">
        <v>606</v>
      </c>
      <c r="C50" t="s">
        <v>80</v>
      </c>
      <c r="D50" s="230">
        <v>0</v>
      </c>
      <c r="E50" t="s">
        <v>607</v>
      </c>
    </row>
    <row r="51" spans="1:5" hidden="1" x14ac:dyDescent="0.3">
      <c r="A51" t="s">
        <v>557</v>
      </c>
      <c r="B51" t="s">
        <v>606</v>
      </c>
      <c r="C51" t="s">
        <v>82</v>
      </c>
      <c r="D51" s="230">
        <v>0</v>
      </c>
      <c r="E51" t="s">
        <v>607</v>
      </c>
    </row>
    <row r="52" spans="1:5" hidden="1" x14ac:dyDescent="0.3">
      <c r="A52" t="s">
        <v>557</v>
      </c>
      <c r="B52" t="s">
        <v>606</v>
      </c>
      <c r="C52" t="s">
        <v>84</v>
      </c>
      <c r="D52" s="230">
        <v>0</v>
      </c>
      <c r="E52" t="s">
        <v>607</v>
      </c>
    </row>
    <row r="53" spans="1:5" hidden="1" x14ac:dyDescent="0.3">
      <c r="A53" t="s">
        <v>557</v>
      </c>
      <c r="B53" t="s">
        <v>606</v>
      </c>
      <c r="C53" t="s">
        <v>85</v>
      </c>
      <c r="D53" s="230">
        <v>0</v>
      </c>
      <c r="E53" t="s">
        <v>607</v>
      </c>
    </row>
    <row r="54" spans="1:5" hidden="1" x14ac:dyDescent="0.3">
      <c r="A54" t="s">
        <v>557</v>
      </c>
      <c r="B54" t="s">
        <v>606</v>
      </c>
      <c r="C54" t="s">
        <v>86</v>
      </c>
      <c r="D54" s="230">
        <v>0</v>
      </c>
      <c r="E54" t="s">
        <v>607</v>
      </c>
    </row>
    <row r="55" spans="1:5" hidden="1" x14ac:dyDescent="0.3">
      <c r="A55" t="s">
        <v>557</v>
      </c>
      <c r="B55" t="s">
        <v>606</v>
      </c>
      <c r="C55" t="s">
        <v>87</v>
      </c>
      <c r="D55" s="230">
        <v>0</v>
      </c>
      <c r="E55" t="s">
        <v>607</v>
      </c>
    </row>
    <row r="56" spans="1:5" hidden="1" x14ac:dyDescent="0.3">
      <c r="A56" t="s">
        <v>557</v>
      </c>
      <c r="B56" t="s">
        <v>606</v>
      </c>
      <c r="C56" t="s">
        <v>88</v>
      </c>
      <c r="D56" s="230">
        <v>0</v>
      </c>
      <c r="E56" t="s">
        <v>607</v>
      </c>
    </row>
    <row r="57" spans="1:5" hidden="1" x14ac:dyDescent="0.3">
      <c r="A57" t="s">
        <v>557</v>
      </c>
      <c r="B57" t="s">
        <v>606</v>
      </c>
      <c r="C57" t="s">
        <v>89</v>
      </c>
      <c r="D57" s="230">
        <v>0</v>
      </c>
      <c r="E57" t="s">
        <v>607</v>
      </c>
    </row>
    <row r="58" spans="1:5" hidden="1" x14ac:dyDescent="0.3">
      <c r="A58" t="s">
        <v>557</v>
      </c>
      <c r="B58" t="s">
        <v>606</v>
      </c>
      <c r="C58" t="s">
        <v>90</v>
      </c>
      <c r="D58" s="230">
        <v>0</v>
      </c>
      <c r="E58" t="s">
        <v>607</v>
      </c>
    </row>
    <row r="59" spans="1:5" hidden="1" x14ac:dyDescent="0.3">
      <c r="A59" t="s">
        <v>557</v>
      </c>
      <c r="B59" t="s">
        <v>606</v>
      </c>
      <c r="C59" t="s">
        <v>91</v>
      </c>
      <c r="D59" s="230">
        <v>0</v>
      </c>
      <c r="E59" t="s">
        <v>607</v>
      </c>
    </row>
    <row r="60" spans="1:5" hidden="1" x14ac:dyDescent="0.3">
      <c r="A60" t="s">
        <v>557</v>
      </c>
      <c r="B60" t="s">
        <v>606</v>
      </c>
      <c r="C60" t="s">
        <v>93</v>
      </c>
      <c r="D60" s="230">
        <v>0</v>
      </c>
      <c r="E60" t="s">
        <v>607</v>
      </c>
    </row>
    <row r="61" spans="1:5" hidden="1" x14ac:dyDescent="0.3">
      <c r="A61" t="s">
        <v>557</v>
      </c>
      <c r="B61" t="s">
        <v>606</v>
      </c>
      <c r="C61" t="s">
        <v>95</v>
      </c>
      <c r="D61" s="230">
        <v>0</v>
      </c>
      <c r="E61" t="s">
        <v>607</v>
      </c>
    </row>
    <row r="62" spans="1:5" hidden="1" x14ac:dyDescent="0.3">
      <c r="A62" t="s">
        <v>557</v>
      </c>
      <c r="B62" t="s">
        <v>606</v>
      </c>
      <c r="C62" t="s">
        <v>96</v>
      </c>
      <c r="D62" s="230">
        <v>0</v>
      </c>
      <c r="E62" t="s">
        <v>607</v>
      </c>
    </row>
    <row r="63" spans="1:5" hidden="1" x14ac:dyDescent="0.3">
      <c r="A63" t="s">
        <v>557</v>
      </c>
      <c r="B63" t="s">
        <v>606</v>
      </c>
      <c r="C63" t="s">
        <v>98</v>
      </c>
      <c r="D63" s="230">
        <v>0</v>
      </c>
      <c r="E63" t="s">
        <v>607</v>
      </c>
    </row>
    <row r="64" spans="1:5" hidden="1" x14ac:dyDescent="0.3">
      <c r="A64" t="s">
        <v>557</v>
      </c>
      <c r="B64" t="s">
        <v>606</v>
      </c>
      <c r="C64" t="s">
        <v>100</v>
      </c>
      <c r="D64" s="230">
        <v>0</v>
      </c>
      <c r="E64" t="s">
        <v>607</v>
      </c>
    </row>
    <row r="65" spans="1:5" hidden="1" x14ac:dyDescent="0.3">
      <c r="A65" t="s">
        <v>557</v>
      </c>
      <c r="B65" t="s">
        <v>606</v>
      </c>
      <c r="C65" t="s">
        <v>101</v>
      </c>
      <c r="D65" s="230">
        <v>0</v>
      </c>
      <c r="E65" t="s">
        <v>607</v>
      </c>
    </row>
    <row r="66" spans="1:5" hidden="1" x14ac:dyDescent="0.3">
      <c r="A66" t="s">
        <v>557</v>
      </c>
      <c r="B66" t="s">
        <v>606</v>
      </c>
      <c r="C66" t="s">
        <v>102</v>
      </c>
      <c r="D66" s="230">
        <v>0</v>
      </c>
      <c r="E66" t="s">
        <v>607</v>
      </c>
    </row>
    <row r="67" spans="1:5" hidden="1" x14ac:dyDescent="0.3">
      <c r="A67" t="s">
        <v>557</v>
      </c>
      <c r="B67" t="s">
        <v>606</v>
      </c>
      <c r="C67" t="s">
        <v>103</v>
      </c>
      <c r="D67" s="230">
        <v>0</v>
      </c>
      <c r="E67" t="s">
        <v>607</v>
      </c>
    </row>
    <row r="68" spans="1:5" hidden="1" x14ac:dyDescent="0.3">
      <c r="A68" t="s">
        <v>557</v>
      </c>
      <c r="B68" t="s">
        <v>606</v>
      </c>
      <c r="C68" t="s">
        <v>104</v>
      </c>
      <c r="D68" s="230">
        <v>0</v>
      </c>
      <c r="E68" t="s">
        <v>607</v>
      </c>
    </row>
    <row r="69" spans="1:5" hidden="1" x14ac:dyDescent="0.3">
      <c r="A69" t="s">
        <v>557</v>
      </c>
      <c r="B69" t="s">
        <v>606</v>
      </c>
      <c r="C69" t="s">
        <v>105</v>
      </c>
      <c r="D69" s="230">
        <v>0</v>
      </c>
      <c r="E69" t="s">
        <v>607</v>
      </c>
    </row>
    <row r="70" spans="1:5" hidden="1" x14ac:dyDescent="0.3">
      <c r="A70" t="s">
        <v>557</v>
      </c>
      <c r="B70" t="s">
        <v>606</v>
      </c>
      <c r="C70" t="s">
        <v>107</v>
      </c>
      <c r="D70" s="230">
        <v>0</v>
      </c>
      <c r="E70" t="s">
        <v>607</v>
      </c>
    </row>
    <row r="71" spans="1:5" hidden="1" x14ac:dyDescent="0.3">
      <c r="A71" t="s">
        <v>557</v>
      </c>
      <c r="B71" t="s">
        <v>606</v>
      </c>
      <c r="C71" t="s">
        <v>108</v>
      </c>
      <c r="D71" s="230">
        <v>0</v>
      </c>
      <c r="E71" t="s">
        <v>607</v>
      </c>
    </row>
    <row r="72" spans="1:5" hidden="1" x14ac:dyDescent="0.3">
      <c r="A72" t="s">
        <v>557</v>
      </c>
      <c r="B72" t="s">
        <v>606</v>
      </c>
      <c r="C72" t="s">
        <v>109</v>
      </c>
      <c r="D72" s="230">
        <v>0</v>
      </c>
      <c r="E72" t="s">
        <v>607</v>
      </c>
    </row>
    <row r="73" spans="1:5" hidden="1" x14ac:dyDescent="0.3">
      <c r="A73" t="s">
        <v>557</v>
      </c>
      <c r="B73" t="s">
        <v>606</v>
      </c>
      <c r="C73" t="s">
        <v>110</v>
      </c>
      <c r="D73" s="230">
        <v>0</v>
      </c>
      <c r="E73" t="s">
        <v>607</v>
      </c>
    </row>
    <row r="74" spans="1:5" hidden="1" x14ac:dyDescent="0.3">
      <c r="A74" t="s">
        <v>557</v>
      </c>
      <c r="B74" t="s">
        <v>606</v>
      </c>
      <c r="C74" t="s">
        <v>44</v>
      </c>
      <c r="D74" s="230">
        <v>0</v>
      </c>
      <c r="E74" t="s">
        <v>607</v>
      </c>
    </row>
    <row r="75" spans="1:5" hidden="1" x14ac:dyDescent="0.3">
      <c r="A75" t="s">
        <v>557</v>
      </c>
      <c r="B75" t="s">
        <v>606</v>
      </c>
      <c r="C75" t="s">
        <v>111</v>
      </c>
      <c r="D75" s="230">
        <v>-31054.1</v>
      </c>
      <c r="E75" t="s">
        <v>607</v>
      </c>
    </row>
    <row r="76" spans="1:5" hidden="1" x14ac:dyDescent="0.3">
      <c r="A76" t="s">
        <v>557</v>
      </c>
      <c r="B76" t="s">
        <v>606</v>
      </c>
      <c r="C76" t="s">
        <v>608</v>
      </c>
      <c r="D76" s="230">
        <v>-31054.1</v>
      </c>
      <c r="E76" t="s">
        <v>607</v>
      </c>
    </row>
    <row r="77" spans="1:5" hidden="1" x14ac:dyDescent="0.3">
      <c r="A77" t="s">
        <v>557</v>
      </c>
      <c r="B77" t="s">
        <v>606</v>
      </c>
      <c r="C77" t="s">
        <v>44</v>
      </c>
      <c r="D77" s="230">
        <v>-0.08</v>
      </c>
      <c r="E77" t="s">
        <v>607</v>
      </c>
    </row>
    <row r="78" spans="1:5" hidden="1" x14ac:dyDescent="0.3">
      <c r="A78" t="s">
        <v>557</v>
      </c>
      <c r="B78" t="s">
        <v>606</v>
      </c>
      <c r="C78" t="s">
        <v>115</v>
      </c>
      <c r="D78" s="230">
        <v>-7233.48</v>
      </c>
      <c r="E78" t="s">
        <v>607</v>
      </c>
    </row>
    <row r="79" spans="1:5" hidden="1" x14ac:dyDescent="0.3">
      <c r="A79" t="s">
        <v>557</v>
      </c>
      <c r="B79" t="s">
        <v>606</v>
      </c>
      <c r="C79" t="s">
        <v>116</v>
      </c>
      <c r="D79" s="230">
        <v>-7015.5</v>
      </c>
      <c r="E79" t="s">
        <v>607</v>
      </c>
    </row>
    <row r="80" spans="1:5" hidden="1" x14ac:dyDescent="0.3">
      <c r="A80" t="s">
        <v>557</v>
      </c>
      <c r="B80" t="s">
        <v>606</v>
      </c>
      <c r="C80" t="s">
        <v>118</v>
      </c>
      <c r="D80" s="230">
        <v>0</v>
      </c>
      <c r="E80" t="s">
        <v>607</v>
      </c>
    </row>
    <row r="81" spans="1:5" hidden="1" x14ac:dyDescent="0.3">
      <c r="A81" t="s">
        <v>557</v>
      </c>
      <c r="B81" t="s">
        <v>606</v>
      </c>
      <c r="C81" t="s">
        <v>120</v>
      </c>
      <c r="D81" s="230">
        <v>0</v>
      </c>
      <c r="E81" t="s">
        <v>607</v>
      </c>
    </row>
    <row r="82" spans="1:5" hidden="1" x14ac:dyDescent="0.3">
      <c r="A82" t="s">
        <v>557</v>
      </c>
      <c r="B82" t="s">
        <v>606</v>
      </c>
      <c r="C82" t="s">
        <v>122</v>
      </c>
      <c r="D82" s="230">
        <v>-217.98</v>
      </c>
      <c r="E82" t="s">
        <v>607</v>
      </c>
    </row>
    <row r="83" spans="1:5" hidden="1" x14ac:dyDescent="0.3">
      <c r="A83" t="s">
        <v>557</v>
      </c>
      <c r="B83" t="s">
        <v>606</v>
      </c>
      <c r="C83" t="s">
        <v>44</v>
      </c>
      <c r="D83" s="230">
        <v>-0.02</v>
      </c>
      <c r="E83" t="s">
        <v>607</v>
      </c>
    </row>
    <row r="84" spans="1:5" hidden="1" x14ac:dyDescent="0.3">
      <c r="A84" t="s">
        <v>557</v>
      </c>
      <c r="B84" t="s">
        <v>606</v>
      </c>
      <c r="C84" t="s">
        <v>126</v>
      </c>
      <c r="D84" s="230">
        <v>206960.26</v>
      </c>
      <c r="E84" t="s">
        <v>607</v>
      </c>
    </row>
    <row r="85" spans="1:5" hidden="1" x14ac:dyDescent="0.3">
      <c r="A85" t="s">
        <v>557</v>
      </c>
      <c r="B85" t="s">
        <v>606</v>
      </c>
      <c r="C85" t="s">
        <v>127</v>
      </c>
      <c r="D85" s="230">
        <v>0.53</v>
      </c>
      <c r="E85" t="s">
        <v>607</v>
      </c>
    </row>
    <row r="86" spans="1:5" hidden="1" x14ac:dyDescent="0.3">
      <c r="A86" t="s">
        <v>557</v>
      </c>
      <c r="B86" t="s">
        <v>606</v>
      </c>
      <c r="C86" t="s">
        <v>128</v>
      </c>
      <c r="D86" s="230">
        <v>-112717.66</v>
      </c>
      <c r="E86" t="s">
        <v>607</v>
      </c>
    </row>
    <row r="87" spans="1:5" hidden="1" x14ac:dyDescent="0.3">
      <c r="A87" t="s">
        <v>557</v>
      </c>
      <c r="B87" t="s">
        <v>606</v>
      </c>
      <c r="C87" t="s">
        <v>129</v>
      </c>
      <c r="D87" s="230">
        <v>-40724</v>
      </c>
      <c r="E87" t="s">
        <v>607</v>
      </c>
    </row>
    <row r="88" spans="1:5" hidden="1" x14ac:dyDescent="0.3">
      <c r="A88" t="s">
        <v>557</v>
      </c>
      <c r="B88" t="s">
        <v>606</v>
      </c>
      <c r="C88" t="s">
        <v>609</v>
      </c>
      <c r="D88" s="230">
        <v>-8100</v>
      </c>
      <c r="E88" t="s">
        <v>607</v>
      </c>
    </row>
    <row r="89" spans="1:5" hidden="1" x14ac:dyDescent="0.3">
      <c r="A89" t="s">
        <v>557</v>
      </c>
      <c r="B89" t="s">
        <v>606</v>
      </c>
      <c r="C89" t="s">
        <v>610</v>
      </c>
      <c r="D89" s="230">
        <v>-11000</v>
      </c>
      <c r="E89" t="s">
        <v>607</v>
      </c>
    </row>
    <row r="90" spans="1:5" hidden="1" x14ac:dyDescent="0.3">
      <c r="A90" t="s">
        <v>557</v>
      </c>
      <c r="B90" t="s">
        <v>606</v>
      </c>
      <c r="C90" t="s">
        <v>611</v>
      </c>
      <c r="D90" s="230">
        <v>-6600</v>
      </c>
      <c r="E90" t="s">
        <v>607</v>
      </c>
    </row>
    <row r="91" spans="1:5" hidden="1" x14ac:dyDescent="0.3">
      <c r="A91" t="s">
        <v>557</v>
      </c>
      <c r="B91" t="s">
        <v>606</v>
      </c>
      <c r="C91" t="s">
        <v>612</v>
      </c>
      <c r="D91" s="230">
        <v>-4224</v>
      </c>
      <c r="E91" t="s">
        <v>607</v>
      </c>
    </row>
    <row r="92" spans="1:5" hidden="1" x14ac:dyDescent="0.3">
      <c r="A92" t="s">
        <v>557</v>
      </c>
      <c r="B92" t="s">
        <v>606</v>
      </c>
      <c r="C92" t="s">
        <v>613</v>
      </c>
      <c r="D92" s="230">
        <v>0</v>
      </c>
      <c r="E92" t="s">
        <v>607</v>
      </c>
    </row>
    <row r="93" spans="1:5" hidden="1" x14ac:dyDescent="0.3">
      <c r="A93" t="s">
        <v>557</v>
      </c>
      <c r="B93" t="s">
        <v>606</v>
      </c>
      <c r="C93" t="s">
        <v>614</v>
      </c>
      <c r="D93" s="230">
        <v>-6000</v>
      </c>
      <c r="E93" t="s">
        <v>607</v>
      </c>
    </row>
    <row r="94" spans="1:5" hidden="1" x14ac:dyDescent="0.3">
      <c r="A94" t="s">
        <v>557</v>
      </c>
      <c r="B94" t="s">
        <v>606</v>
      </c>
      <c r="C94" t="s">
        <v>615</v>
      </c>
      <c r="D94" s="230">
        <v>0</v>
      </c>
      <c r="E94" t="s">
        <v>607</v>
      </c>
    </row>
    <row r="95" spans="1:5" hidden="1" x14ac:dyDescent="0.3">
      <c r="A95" t="s">
        <v>557</v>
      </c>
      <c r="B95" t="s">
        <v>606</v>
      </c>
      <c r="C95" t="s">
        <v>616</v>
      </c>
      <c r="D95" s="230">
        <v>-4800</v>
      </c>
      <c r="E95" t="s">
        <v>607</v>
      </c>
    </row>
    <row r="96" spans="1:5" hidden="1" x14ac:dyDescent="0.3">
      <c r="A96" t="s">
        <v>557</v>
      </c>
      <c r="B96" t="s">
        <v>606</v>
      </c>
      <c r="C96" t="s">
        <v>617</v>
      </c>
      <c r="D96" s="230">
        <v>0</v>
      </c>
      <c r="E96" t="s">
        <v>607</v>
      </c>
    </row>
    <row r="97" spans="1:5" hidden="1" x14ac:dyDescent="0.3">
      <c r="A97" t="s">
        <v>557</v>
      </c>
      <c r="B97" t="s">
        <v>606</v>
      </c>
      <c r="C97" t="s">
        <v>618</v>
      </c>
      <c r="D97" s="230">
        <v>0</v>
      </c>
      <c r="E97" t="s">
        <v>607</v>
      </c>
    </row>
    <row r="98" spans="1:5" hidden="1" x14ac:dyDescent="0.3">
      <c r="A98" t="s">
        <v>557</v>
      </c>
      <c r="B98" t="s">
        <v>606</v>
      </c>
      <c r="C98" t="s">
        <v>619</v>
      </c>
      <c r="D98" s="230">
        <v>0</v>
      </c>
      <c r="E98" t="s">
        <v>607</v>
      </c>
    </row>
    <row r="99" spans="1:5" hidden="1" x14ac:dyDescent="0.3">
      <c r="A99" t="s">
        <v>557</v>
      </c>
      <c r="B99" t="s">
        <v>606</v>
      </c>
      <c r="C99" t="s">
        <v>620</v>
      </c>
      <c r="D99" s="230">
        <v>0</v>
      </c>
      <c r="E99" t="s">
        <v>607</v>
      </c>
    </row>
    <row r="100" spans="1:5" hidden="1" x14ac:dyDescent="0.3">
      <c r="A100" t="s">
        <v>557</v>
      </c>
      <c r="B100" t="s">
        <v>606</v>
      </c>
      <c r="C100" t="s">
        <v>575</v>
      </c>
      <c r="D100" s="230">
        <v>-37431.85</v>
      </c>
      <c r="E100" t="s">
        <v>607</v>
      </c>
    </row>
    <row r="101" spans="1:5" hidden="1" x14ac:dyDescent="0.3">
      <c r="A101" t="s">
        <v>557</v>
      </c>
      <c r="B101" t="s">
        <v>606</v>
      </c>
      <c r="C101" t="s">
        <v>621</v>
      </c>
      <c r="D101" s="230">
        <v>0</v>
      </c>
      <c r="E101" t="s">
        <v>607</v>
      </c>
    </row>
    <row r="102" spans="1:5" hidden="1" x14ac:dyDescent="0.3">
      <c r="A102" t="s">
        <v>557</v>
      </c>
      <c r="B102" t="s">
        <v>606</v>
      </c>
      <c r="C102" t="s">
        <v>622</v>
      </c>
      <c r="D102" s="230">
        <v>0</v>
      </c>
      <c r="E102" t="s">
        <v>607</v>
      </c>
    </row>
    <row r="103" spans="1:5" hidden="1" x14ac:dyDescent="0.3">
      <c r="A103" t="s">
        <v>557</v>
      </c>
      <c r="B103" t="s">
        <v>606</v>
      </c>
      <c r="C103" t="s">
        <v>623</v>
      </c>
      <c r="D103" s="230">
        <v>0</v>
      </c>
      <c r="E103" t="s">
        <v>607</v>
      </c>
    </row>
    <row r="104" spans="1:5" hidden="1" x14ac:dyDescent="0.3">
      <c r="A104" t="s">
        <v>557</v>
      </c>
      <c r="B104" t="s">
        <v>606</v>
      </c>
      <c r="C104" t="s">
        <v>624</v>
      </c>
      <c r="D104" s="230">
        <v>0</v>
      </c>
      <c r="E104" t="s">
        <v>607</v>
      </c>
    </row>
    <row r="105" spans="1:5" hidden="1" x14ac:dyDescent="0.3">
      <c r="A105" t="s">
        <v>557</v>
      </c>
      <c r="B105" t="s">
        <v>606</v>
      </c>
      <c r="C105" t="s">
        <v>625</v>
      </c>
      <c r="D105" s="230">
        <v>0</v>
      </c>
      <c r="E105" t="s">
        <v>607</v>
      </c>
    </row>
    <row r="106" spans="1:5" hidden="1" x14ac:dyDescent="0.3">
      <c r="A106" t="s">
        <v>557</v>
      </c>
      <c r="B106" t="s">
        <v>606</v>
      </c>
      <c r="C106" t="s">
        <v>626</v>
      </c>
      <c r="D106" s="230">
        <v>0</v>
      </c>
      <c r="E106" t="s">
        <v>607</v>
      </c>
    </row>
    <row r="107" spans="1:5" hidden="1" x14ac:dyDescent="0.3">
      <c r="A107" t="s">
        <v>557</v>
      </c>
      <c r="B107" t="s">
        <v>606</v>
      </c>
      <c r="C107" t="s">
        <v>627</v>
      </c>
      <c r="D107" s="230">
        <v>0</v>
      </c>
      <c r="E107" t="s">
        <v>607</v>
      </c>
    </row>
    <row r="108" spans="1:5" hidden="1" x14ac:dyDescent="0.3">
      <c r="A108" t="s">
        <v>557</v>
      </c>
      <c r="B108" t="s">
        <v>606</v>
      </c>
      <c r="C108" t="s">
        <v>628</v>
      </c>
      <c r="D108" s="230">
        <v>0</v>
      </c>
      <c r="E108" t="s">
        <v>607</v>
      </c>
    </row>
    <row r="109" spans="1:5" hidden="1" x14ac:dyDescent="0.3">
      <c r="A109" t="s">
        <v>557</v>
      </c>
      <c r="B109" t="s">
        <v>606</v>
      </c>
      <c r="C109" t="s">
        <v>629</v>
      </c>
      <c r="D109" s="230">
        <v>0</v>
      </c>
      <c r="E109" t="s">
        <v>607</v>
      </c>
    </row>
    <row r="110" spans="1:5" hidden="1" x14ac:dyDescent="0.3">
      <c r="A110" t="s">
        <v>557</v>
      </c>
      <c r="B110" t="s">
        <v>606</v>
      </c>
      <c r="C110" t="s">
        <v>630</v>
      </c>
      <c r="D110" s="230">
        <v>0</v>
      </c>
      <c r="E110" t="s">
        <v>607</v>
      </c>
    </row>
    <row r="111" spans="1:5" hidden="1" x14ac:dyDescent="0.3">
      <c r="A111" t="s">
        <v>557</v>
      </c>
      <c r="B111" t="s">
        <v>606</v>
      </c>
      <c r="C111" t="s">
        <v>631</v>
      </c>
      <c r="D111" s="230">
        <v>0</v>
      </c>
      <c r="E111" t="s">
        <v>607</v>
      </c>
    </row>
    <row r="112" spans="1:5" hidden="1" x14ac:dyDescent="0.3">
      <c r="A112" t="s">
        <v>557</v>
      </c>
      <c r="B112" t="s">
        <v>606</v>
      </c>
      <c r="C112" t="s">
        <v>632</v>
      </c>
      <c r="D112" s="230">
        <v>0</v>
      </c>
      <c r="E112" t="s">
        <v>607</v>
      </c>
    </row>
    <row r="113" spans="1:5" hidden="1" x14ac:dyDescent="0.3">
      <c r="A113" t="s">
        <v>557</v>
      </c>
      <c r="B113" t="s">
        <v>606</v>
      </c>
      <c r="C113" t="s">
        <v>633</v>
      </c>
      <c r="D113" s="230">
        <v>0</v>
      </c>
      <c r="E113" t="s">
        <v>607</v>
      </c>
    </row>
    <row r="114" spans="1:5" hidden="1" x14ac:dyDescent="0.3">
      <c r="A114" t="s">
        <v>557</v>
      </c>
      <c r="B114" t="s">
        <v>606</v>
      </c>
      <c r="C114" t="s">
        <v>634</v>
      </c>
      <c r="D114" s="230">
        <v>0</v>
      </c>
      <c r="E114" t="s">
        <v>607</v>
      </c>
    </row>
    <row r="115" spans="1:5" hidden="1" x14ac:dyDescent="0.3">
      <c r="A115" t="s">
        <v>557</v>
      </c>
      <c r="B115" t="s">
        <v>606</v>
      </c>
      <c r="C115" t="s">
        <v>635</v>
      </c>
      <c r="D115" s="230">
        <v>0</v>
      </c>
      <c r="E115" t="s">
        <v>607</v>
      </c>
    </row>
    <row r="116" spans="1:5" hidden="1" x14ac:dyDescent="0.3">
      <c r="A116" t="s">
        <v>557</v>
      </c>
      <c r="B116" t="s">
        <v>606</v>
      </c>
      <c r="C116" t="s">
        <v>636</v>
      </c>
      <c r="D116" s="230">
        <v>0</v>
      </c>
      <c r="E116" t="s">
        <v>607</v>
      </c>
    </row>
    <row r="117" spans="1:5" hidden="1" x14ac:dyDescent="0.3">
      <c r="A117" t="s">
        <v>557</v>
      </c>
      <c r="B117" t="s">
        <v>606</v>
      </c>
      <c r="C117" t="s">
        <v>637</v>
      </c>
      <c r="D117" s="230">
        <v>0</v>
      </c>
      <c r="E117" t="s">
        <v>607</v>
      </c>
    </row>
    <row r="118" spans="1:5" hidden="1" x14ac:dyDescent="0.3">
      <c r="A118" t="s">
        <v>557</v>
      </c>
      <c r="B118" t="s">
        <v>606</v>
      </c>
      <c r="C118" t="s">
        <v>638</v>
      </c>
      <c r="D118" s="230">
        <v>0</v>
      </c>
      <c r="E118" t="s">
        <v>607</v>
      </c>
    </row>
    <row r="119" spans="1:5" hidden="1" x14ac:dyDescent="0.3">
      <c r="A119" t="s">
        <v>557</v>
      </c>
      <c r="B119" t="s">
        <v>606</v>
      </c>
      <c r="C119" t="s">
        <v>639</v>
      </c>
      <c r="D119" s="230">
        <v>0</v>
      </c>
      <c r="E119" t="s">
        <v>607</v>
      </c>
    </row>
    <row r="120" spans="1:5" hidden="1" x14ac:dyDescent="0.3">
      <c r="A120" t="s">
        <v>557</v>
      </c>
      <c r="B120" t="s">
        <v>606</v>
      </c>
      <c r="C120" t="s">
        <v>640</v>
      </c>
      <c r="D120" s="230">
        <v>0</v>
      </c>
      <c r="E120" t="s">
        <v>607</v>
      </c>
    </row>
    <row r="121" spans="1:5" hidden="1" x14ac:dyDescent="0.3">
      <c r="A121" t="s">
        <v>557</v>
      </c>
      <c r="B121" t="s">
        <v>606</v>
      </c>
      <c r="C121" t="s">
        <v>641</v>
      </c>
      <c r="D121" s="230">
        <v>0</v>
      </c>
      <c r="E121" t="s">
        <v>607</v>
      </c>
    </row>
    <row r="122" spans="1:5" hidden="1" x14ac:dyDescent="0.3">
      <c r="A122" t="s">
        <v>557</v>
      </c>
      <c r="B122" t="s">
        <v>606</v>
      </c>
      <c r="C122" t="s">
        <v>642</v>
      </c>
      <c r="D122" s="230">
        <v>0</v>
      </c>
      <c r="E122" t="s">
        <v>607</v>
      </c>
    </row>
    <row r="123" spans="1:5" hidden="1" x14ac:dyDescent="0.3">
      <c r="A123" t="s">
        <v>557</v>
      </c>
      <c r="B123" t="s">
        <v>606</v>
      </c>
      <c r="C123" t="s">
        <v>643</v>
      </c>
      <c r="D123" s="230">
        <v>0</v>
      </c>
      <c r="E123" t="s">
        <v>607</v>
      </c>
    </row>
    <row r="124" spans="1:5" hidden="1" x14ac:dyDescent="0.3">
      <c r="A124" t="s">
        <v>557</v>
      </c>
      <c r="B124" t="s">
        <v>606</v>
      </c>
      <c r="C124" t="s">
        <v>644</v>
      </c>
      <c r="D124" s="230">
        <v>0</v>
      </c>
      <c r="E124" t="s">
        <v>607</v>
      </c>
    </row>
    <row r="125" spans="1:5" hidden="1" x14ac:dyDescent="0.3">
      <c r="A125" t="s">
        <v>557</v>
      </c>
      <c r="B125" t="s">
        <v>606</v>
      </c>
      <c r="C125" t="s">
        <v>645</v>
      </c>
      <c r="D125" s="230">
        <v>0</v>
      </c>
      <c r="E125" t="s">
        <v>607</v>
      </c>
    </row>
    <row r="126" spans="1:5" hidden="1" x14ac:dyDescent="0.3">
      <c r="A126" t="s">
        <v>557</v>
      </c>
      <c r="B126" t="s">
        <v>606</v>
      </c>
      <c r="C126" t="s">
        <v>646</v>
      </c>
      <c r="D126" s="230">
        <v>0</v>
      </c>
      <c r="E126" t="s">
        <v>607</v>
      </c>
    </row>
    <row r="127" spans="1:5" hidden="1" x14ac:dyDescent="0.3">
      <c r="A127" t="s">
        <v>557</v>
      </c>
      <c r="B127" t="s">
        <v>606</v>
      </c>
      <c r="C127" t="s">
        <v>647</v>
      </c>
      <c r="D127" s="230">
        <v>0</v>
      </c>
      <c r="E127" t="s">
        <v>607</v>
      </c>
    </row>
    <row r="128" spans="1:5" hidden="1" x14ac:dyDescent="0.3">
      <c r="A128" t="s">
        <v>557</v>
      </c>
      <c r="B128" t="s">
        <v>606</v>
      </c>
      <c r="C128" t="s">
        <v>648</v>
      </c>
      <c r="D128" s="230">
        <v>0</v>
      </c>
      <c r="E128" t="s">
        <v>607</v>
      </c>
    </row>
    <row r="129" spans="1:5" hidden="1" x14ac:dyDescent="0.3">
      <c r="A129" t="s">
        <v>557</v>
      </c>
      <c r="B129" t="s">
        <v>606</v>
      </c>
      <c r="C129" t="s">
        <v>649</v>
      </c>
      <c r="D129" s="230">
        <v>0</v>
      </c>
      <c r="E129" t="s">
        <v>607</v>
      </c>
    </row>
    <row r="130" spans="1:5" hidden="1" x14ac:dyDescent="0.3">
      <c r="A130" t="s">
        <v>557</v>
      </c>
      <c r="B130" t="s">
        <v>606</v>
      </c>
      <c r="C130" t="s">
        <v>650</v>
      </c>
      <c r="D130" s="230">
        <v>0</v>
      </c>
      <c r="E130" t="s">
        <v>607</v>
      </c>
    </row>
    <row r="131" spans="1:5" hidden="1" x14ac:dyDescent="0.3">
      <c r="A131" t="s">
        <v>557</v>
      </c>
      <c r="B131" t="s">
        <v>606</v>
      </c>
      <c r="C131" t="s">
        <v>651</v>
      </c>
      <c r="D131" s="230">
        <v>0</v>
      </c>
      <c r="E131" t="s">
        <v>607</v>
      </c>
    </row>
    <row r="132" spans="1:5" hidden="1" x14ac:dyDescent="0.3">
      <c r="A132" t="s">
        <v>557</v>
      </c>
      <c r="B132" t="s">
        <v>606</v>
      </c>
      <c r="C132" t="s">
        <v>652</v>
      </c>
      <c r="D132" s="230">
        <v>0</v>
      </c>
      <c r="E132" t="s">
        <v>607</v>
      </c>
    </row>
    <row r="133" spans="1:5" hidden="1" x14ac:dyDescent="0.3">
      <c r="A133" t="s">
        <v>557</v>
      </c>
      <c r="B133" t="s">
        <v>606</v>
      </c>
      <c r="C133" t="s">
        <v>653</v>
      </c>
      <c r="D133" s="230">
        <v>0</v>
      </c>
      <c r="E133" t="s">
        <v>607</v>
      </c>
    </row>
    <row r="134" spans="1:5" hidden="1" x14ac:dyDescent="0.3">
      <c r="A134" t="s">
        <v>557</v>
      </c>
      <c r="B134" t="s">
        <v>606</v>
      </c>
      <c r="C134" t="s">
        <v>654</v>
      </c>
      <c r="D134" s="230">
        <v>0</v>
      </c>
      <c r="E134" t="s">
        <v>607</v>
      </c>
    </row>
    <row r="135" spans="1:5" hidden="1" x14ac:dyDescent="0.3">
      <c r="A135" t="s">
        <v>557</v>
      </c>
      <c r="B135" t="s">
        <v>606</v>
      </c>
      <c r="C135" t="s">
        <v>655</v>
      </c>
      <c r="D135" s="230">
        <v>0</v>
      </c>
      <c r="E135" t="s">
        <v>607</v>
      </c>
    </row>
    <row r="136" spans="1:5" hidden="1" x14ac:dyDescent="0.3">
      <c r="A136" t="s">
        <v>557</v>
      </c>
      <c r="B136" t="s">
        <v>606</v>
      </c>
      <c r="C136" t="s">
        <v>656</v>
      </c>
      <c r="D136" s="230">
        <v>0</v>
      </c>
      <c r="E136" t="s">
        <v>607</v>
      </c>
    </row>
    <row r="137" spans="1:5" hidden="1" x14ac:dyDescent="0.3">
      <c r="A137" t="s">
        <v>557</v>
      </c>
      <c r="B137" t="s">
        <v>606</v>
      </c>
      <c r="C137" t="s">
        <v>657</v>
      </c>
      <c r="D137" s="230">
        <v>0</v>
      </c>
      <c r="E137" t="s">
        <v>607</v>
      </c>
    </row>
    <row r="138" spans="1:5" hidden="1" x14ac:dyDescent="0.3">
      <c r="A138" t="s">
        <v>557</v>
      </c>
      <c r="B138" t="s">
        <v>606</v>
      </c>
      <c r="C138" t="s">
        <v>658</v>
      </c>
      <c r="D138" s="230">
        <v>0</v>
      </c>
      <c r="E138" t="s">
        <v>607</v>
      </c>
    </row>
    <row r="139" spans="1:5" hidden="1" x14ac:dyDescent="0.3">
      <c r="A139" t="s">
        <v>557</v>
      </c>
      <c r="B139" t="s">
        <v>606</v>
      </c>
      <c r="C139" t="s">
        <v>659</v>
      </c>
      <c r="D139" s="230">
        <v>0</v>
      </c>
      <c r="E139" t="s">
        <v>607</v>
      </c>
    </row>
    <row r="140" spans="1:5" hidden="1" x14ac:dyDescent="0.3">
      <c r="A140" t="s">
        <v>557</v>
      </c>
      <c r="B140" t="s">
        <v>606</v>
      </c>
      <c r="C140" t="s">
        <v>660</v>
      </c>
      <c r="D140" s="230">
        <v>0</v>
      </c>
      <c r="E140" t="s">
        <v>607</v>
      </c>
    </row>
    <row r="141" spans="1:5" hidden="1" x14ac:dyDescent="0.3">
      <c r="A141" t="s">
        <v>557</v>
      </c>
      <c r="B141" t="s">
        <v>606</v>
      </c>
      <c r="C141" t="s">
        <v>661</v>
      </c>
      <c r="D141" s="230">
        <v>0</v>
      </c>
      <c r="E141" t="s">
        <v>607</v>
      </c>
    </row>
    <row r="142" spans="1:5" hidden="1" x14ac:dyDescent="0.3">
      <c r="A142" t="s">
        <v>557</v>
      </c>
      <c r="B142" t="s">
        <v>606</v>
      </c>
      <c r="C142" t="s">
        <v>662</v>
      </c>
      <c r="D142" s="230">
        <v>0</v>
      </c>
      <c r="E142" t="s">
        <v>607</v>
      </c>
    </row>
    <row r="143" spans="1:5" hidden="1" x14ac:dyDescent="0.3">
      <c r="A143" t="s">
        <v>557</v>
      </c>
      <c r="B143" t="s">
        <v>606</v>
      </c>
      <c r="C143" t="s">
        <v>663</v>
      </c>
      <c r="D143" s="230">
        <v>0</v>
      </c>
      <c r="E143" t="s">
        <v>607</v>
      </c>
    </row>
    <row r="144" spans="1:5" hidden="1" x14ac:dyDescent="0.3">
      <c r="A144" t="s">
        <v>557</v>
      </c>
      <c r="B144" t="s">
        <v>606</v>
      </c>
      <c r="C144" t="s">
        <v>664</v>
      </c>
      <c r="D144" s="230">
        <v>0</v>
      </c>
      <c r="E144" t="s">
        <v>607</v>
      </c>
    </row>
    <row r="145" spans="1:5" hidden="1" x14ac:dyDescent="0.3">
      <c r="A145" t="s">
        <v>557</v>
      </c>
      <c r="B145" t="s">
        <v>606</v>
      </c>
      <c r="C145" t="s">
        <v>665</v>
      </c>
      <c r="D145" s="230">
        <v>0</v>
      </c>
      <c r="E145" t="s">
        <v>607</v>
      </c>
    </row>
    <row r="146" spans="1:5" hidden="1" x14ac:dyDescent="0.3">
      <c r="A146" t="s">
        <v>557</v>
      </c>
      <c r="B146" t="s">
        <v>606</v>
      </c>
      <c r="C146" t="s">
        <v>666</v>
      </c>
      <c r="D146" s="230">
        <v>0</v>
      </c>
      <c r="E146" t="s">
        <v>607</v>
      </c>
    </row>
    <row r="147" spans="1:5" hidden="1" x14ac:dyDescent="0.3">
      <c r="A147" t="s">
        <v>557</v>
      </c>
      <c r="B147" t="s">
        <v>606</v>
      </c>
      <c r="C147" t="s">
        <v>667</v>
      </c>
      <c r="D147" s="230">
        <v>0</v>
      </c>
      <c r="E147" t="s">
        <v>607</v>
      </c>
    </row>
    <row r="148" spans="1:5" hidden="1" x14ac:dyDescent="0.3">
      <c r="A148" t="s">
        <v>557</v>
      </c>
      <c r="B148" t="s">
        <v>606</v>
      </c>
      <c r="C148" t="s">
        <v>668</v>
      </c>
      <c r="D148" s="230">
        <v>0</v>
      </c>
      <c r="E148" t="s">
        <v>607</v>
      </c>
    </row>
    <row r="149" spans="1:5" hidden="1" x14ac:dyDescent="0.3">
      <c r="A149" t="s">
        <v>557</v>
      </c>
      <c r="B149" t="s">
        <v>606</v>
      </c>
      <c r="C149" t="s">
        <v>669</v>
      </c>
      <c r="D149" s="230">
        <v>0</v>
      </c>
      <c r="E149" t="s">
        <v>607</v>
      </c>
    </row>
    <row r="150" spans="1:5" hidden="1" x14ac:dyDescent="0.3">
      <c r="A150" t="s">
        <v>557</v>
      </c>
      <c r="B150" t="s">
        <v>606</v>
      </c>
      <c r="C150" t="s">
        <v>670</v>
      </c>
      <c r="D150" s="230">
        <v>0</v>
      </c>
      <c r="E150" t="s">
        <v>607</v>
      </c>
    </row>
    <row r="151" spans="1:5" hidden="1" x14ac:dyDescent="0.3">
      <c r="A151" t="s">
        <v>557</v>
      </c>
      <c r="B151" t="s">
        <v>606</v>
      </c>
      <c r="C151" t="s">
        <v>671</v>
      </c>
      <c r="D151" s="230">
        <v>0</v>
      </c>
      <c r="E151" t="s">
        <v>607</v>
      </c>
    </row>
    <row r="152" spans="1:5" hidden="1" x14ac:dyDescent="0.3">
      <c r="A152" t="s">
        <v>557</v>
      </c>
      <c r="B152" t="s">
        <v>606</v>
      </c>
      <c r="C152" t="s">
        <v>672</v>
      </c>
      <c r="D152" s="230">
        <v>0</v>
      </c>
      <c r="E152" t="s">
        <v>607</v>
      </c>
    </row>
    <row r="153" spans="1:5" hidden="1" x14ac:dyDescent="0.3">
      <c r="A153" t="s">
        <v>557</v>
      </c>
      <c r="B153" t="s">
        <v>606</v>
      </c>
      <c r="C153" t="s">
        <v>673</v>
      </c>
      <c r="D153" s="230">
        <v>0</v>
      </c>
      <c r="E153" t="s">
        <v>607</v>
      </c>
    </row>
    <row r="154" spans="1:5" hidden="1" x14ac:dyDescent="0.3">
      <c r="A154" t="s">
        <v>557</v>
      </c>
      <c r="B154" t="s">
        <v>606</v>
      </c>
      <c r="C154" t="s">
        <v>674</v>
      </c>
      <c r="D154" s="230">
        <v>0</v>
      </c>
      <c r="E154" t="s">
        <v>607</v>
      </c>
    </row>
    <row r="155" spans="1:5" hidden="1" x14ac:dyDescent="0.3">
      <c r="A155" t="s">
        <v>557</v>
      </c>
      <c r="B155" t="s">
        <v>606</v>
      </c>
      <c r="C155" t="s">
        <v>675</v>
      </c>
      <c r="D155" s="230">
        <v>0</v>
      </c>
      <c r="E155" t="s">
        <v>607</v>
      </c>
    </row>
    <row r="156" spans="1:5" hidden="1" x14ac:dyDescent="0.3">
      <c r="A156" t="s">
        <v>557</v>
      </c>
      <c r="B156" t="s">
        <v>606</v>
      </c>
      <c r="C156" t="s">
        <v>676</v>
      </c>
      <c r="D156" s="230">
        <v>0</v>
      </c>
      <c r="E156" t="s">
        <v>607</v>
      </c>
    </row>
    <row r="157" spans="1:5" hidden="1" x14ac:dyDescent="0.3">
      <c r="A157" t="s">
        <v>557</v>
      </c>
      <c r="B157" t="s">
        <v>606</v>
      </c>
      <c r="C157" t="s">
        <v>677</v>
      </c>
      <c r="D157" s="230">
        <v>0</v>
      </c>
      <c r="E157" t="s">
        <v>607</v>
      </c>
    </row>
    <row r="158" spans="1:5" hidden="1" x14ac:dyDescent="0.3">
      <c r="A158" t="s">
        <v>557</v>
      </c>
      <c r="B158" t="s">
        <v>606</v>
      </c>
      <c r="C158" t="s">
        <v>201</v>
      </c>
      <c r="D158" s="230">
        <v>-6014.56</v>
      </c>
      <c r="E158" t="s">
        <v>607</v>
      </c>
    </row>
    <row r="159" spans="1:5" hidden="1" x14ac:dyDescent="0.3">
      <c r="A159" t="s">
        <v>557</v>
      </c>
      <c r="B159" t="s">
        <v>606</v>
      </c>
      <c r="C159" t="s">
        <v>203</v>
      </c>
      <c r="D159" s="230">
        <v>-6014.56</v>
      </c>
      <c r="E159" t="s">
        <v>607</v>
      </c>
    </row>
    <row r="160" spans="1:5" hidden="1" x14ac:dyDescent="0.3">
      <c r="A160" t="s">
        <v>557</v>
      </c>
      <c r="B160" t="s">
        <v>606</v>
      </c>
      <c r="C160" t="s">
        <v>678</v>
      </c>
      <c r="D160" s="230">
        <v>3007.28</v>
      </c>
      <c r="E160" t="s">
        <v>607</v>
      </c>
    </row>
    <row r="161" spans="1:5" hidden="1" x14ac:dyDescent="0.3">
      <c r="A161" t="s">
        <v>557</v>
      </c>
      <c r="B161" t="s">
        <v>606</v>
      </c>
      <c r="C161" t="s">
        <v>205</v>
      </c>
      <c r="D161" s="230">
        <v>-13989.17</v>
      </c>
      <c r="E161" t="s">
        <v>607</v>
      </c>
    </row>
    <row r="162" spans="1:5" hidden="1" x14ac:dyDescent="0.3">
      <c r="A162" t="s">
        <v>557</v>
      </c>
      <c r="B162" t="s">
        <v>606</v>
      </c>
      <c r="C162" t="s">
        <v>679</v>
      </c>
      <c r="D162" s="230">
        <v>-3894.25</v>
      </c>
      <c r="E162" t="s">
        <v>607</v>
      </c>
    </row>
    <row r="163" spans="1:5" hidden="1" x14ac:dyDescent="0.3">
      <c r="A163" t="s">
        <v>557</v>
      </c>
      <c r="B163" t="s">
        <v>606</v>
      </c>
      <c r="C163" t="s">
        <v>680</v>
      </c>
      <c r="D163" s="230">
        <v>0</v>
      </c>
      <c r="E163" t="s">
        <v>607</v>
      </c>
    </row>
    <row r="164" spans="1:5" hidden="1" x14ac:dyDescent="0.3">
      <c r="A164" t="s">
        <v>557</v>
      </c>
      <c r="B164" t="s">
        <v>606</v>
      </c>
      <c r="C164" t="s">
        <v>681</v>
      </c>
      <c r="D164" s="230">
        <v>0</v>
      </c>
      <c r="E164" t="s">
        <v>607</v>
      </c>
    </row>
    <row r="165" spans="1:5" hidden="1" x14ac:dyDescent="0.3">
      <c r="A165" t="s">
        <v>557</v>
      </c>
      <c r="B165" t="s">
        <v>606</v>
      </c>
      <c r="C165" t="s">
        <v>682</v>
      </c>
      <c r="D165" s="230">
        <v>-4498</v>
      </c>
      <c r="E165" t="s">
        <v>607</v>
      </c>
    </row>
    <row r="166" spans="1:5" hidden="1" x14ac:dyDescent="0.3">
      <c r="A166" t="s">
        <v>557</v>
      </c>
      <c r="B166" t="s">
        <v>606</v>
      </c>
      <c r="C166" t="s">
        <v>683</v>
      </c>
      <c r="D166" s="230">
        <v>-1348.32</v>
      </c>
      <c r="E166" t="s">
        <v>607</v>
      </c>
    </row>
    <row r="167" spans="1:5" hidden="1" x14ac:dyDescent="0.3">
      <c r="A167" t="s">
        <v>557</v>
      </c>
      <c r="B167" t="s">
        <v>606</v>
      </c>
      <c r="C167" t="s">
        <v>684</v>
      </c>
      <c r="D167" s="230">
        <v>-1515.51</v>
      </c>
      <c r="E167" t="s">
        <v>607</v>
      </c>
    </row>
    <row r="168" spans="1:5" hidden="1" x14ac:dyDescent="0.3">
      <c r="A168" t="s">
        <v>557</v>
      </c>
      <c r="B168" t="s">
        <v>606</v>
      </c>
      <c r="C168" t="s">
        <v>685</v>
      </c>
      <c r="D168" s="230">
        <v>-453.04</v>
      </c>
      <c r="E168" t="s">
        <v>607</v>
      </c>
    </row>
    <row r="169" spans="1:5" hidden="1" x14ac:dyDescent="0.3">
      <c r="A169" t="s">
        <v>557</v>
      </c>
      <c r="B169" t="s">
        <v>606</v>
      </c>
      <c r="C169" t="s">
        <v>686</v>
      </c>
      <c r="D169" s="230">
        <v>0</v>
      </c>
      <c r="E169" t="s">
        <v>607</v>
      </c>
    </row>
    <row r="170" spans="1:5" hidden="1" x14ac:dyDescent="0.3">
      <c r="A170" t="s">
        <v>557</v>
      </c>
      <c r="B170" t="s">
        <v>606</v>
      </c>
      <c r="C170" t="s">
        <v>687</v>
      </c>
      <c r="D170" s="230">
        <v>0</v>
      </c>
      <c r="E170" t="s">
        <v>607</v>
      </c>
    </row>
    <row r="171" spans="1:5" hidden="1" x14ac:dyDescent="0.3">
      <c r="A171" t="s">
        <v>557</v>
      </c>
      <c r="B171" t="s">
        <v>606</v>
      </c>
      <c r="C171" t="s">
        <v>688</v>
      </c>
      <c r="D171" s="230">
        <v>0</v>
      </c>
      <c r="E171" t="s">
        <v>607</v>
      </c>
    </row>
    <row r="172" spans="1:5" hidden="1" x14ac:dyDescent="0.3">
      <c r="A172" t="s">
        <v>557</v>
      </c>
      <c r="B172" t="s">
        <v>606</v>
      </c>
      <c r="C172" t="s">
        <v>689</v>
      </c>
      <c r="D172" s="230">
        <v>-280.06</v>
      </c>
      <c r="E172" t="s">
        <v>607</v>
      </c>
    </row>
    <row r="173" spans="1:5" hidden="1" x14ac:dyDescent="0.3">
      <c r="A173" t="s">
        <v>557</v>
      </c>
      <c r="B173" t="s">
        <v>606</v>
      </c>
      <c r="C173" t="s">
        <v>690</v>
      </c>
      <c r="D173" s="230">
        <v>-2000</v>
      </c>
      <c r="E173" t="s">
        <v>607</v>
      </c>
    </row>
    <row r="174" spans="1:5" hidden="1" x14ac:dyDescent="0.3">
      <c r="A174" t="s">
        <v>557</v>
      </c>
      <c r="B174" t="s">
        <v>606</v>
      </c>
      <c r="C174" t="s">
        <v>691</v>
      </c>
      <c r="D174" s="230">
        <v>0</v>
      </c>
      <c r="E174" t="s">
        <v>607</v>
      </c>
    </row>
    <row r="175" spans="1:5" hidden="1" x14ac:dyDescent="0.3">
      <c r="A175" t="s">
        <v>557</v>
      </c>
      <c r="B175" t="s">
        <v>606</v>
      </c>
      <c r="C175" t="s">
        <v>692</v>
      </c>
      <c r="D175" s="230">
        <v>0</v>
      </c>
      <c r="E175" t="s">
        <v>607</v>
      </c>
    </row>
    <row r="176" spans="1:5" hidden="1" x14ac:dyDescent="0.3">
      <c r="A176" t="s">
        <v>557</v>
      </c>
      <c r="B176" t="s">
        <v>606</v>
      </c>
      <c r="C176" t="s">
        <v>693</v>
      </c>
      <c r="D176" s="230">
        <v>0</v>
      </c>
      <c r="E176" t="s">
        <v>607</v>
      </c>
    </row>
    <row r="177" spans="1:5" hidden="1" x14ac:dyDescent="0.3">
      <c r="A177" t="s">
        <v>557</v>
      </c>
      <c r="B177" t="s">
        <v>606</v>
      </c>
      <c r="C177" t="s">
        <v>694</v>
      </c>
      <c r="D177" s="230">
        <v>0</v>
      </c>
      <c r="E177" t="s">
        <v>607</v>
      </c>
    </row>
    <row r="178" spans="1:5" hidden="1" x14ac:dyDescent="0.3">
      <c r="A178" t="s">
        <v>557</v>
      </c>
      <c r="B178" t="s">
        <v>606</v>
      </c>
      <c r="C178" t="s">
        <v>238</v>
      </c>
      <c r="D178" s="230">
        <v>-6585.19</v>
      </c>
      <c r="E178" t="s">
        <v>607</v>
      </c>
    </row>
    <row r="179" spans="1:5" hidden="1" x14ac:dyDescent="0.3">
      <c r="A179" t="s">
        <v>557</v>
      </c>
      <c r="B179" t="s">
        <v>606</v>
      </c>
      <c r="C179" t="s">
        <v>695</v>
      </c>
      <c r="D179" s="230">
        <v>-6511.72</v>
      </c>
      <c r="E179" t="s">
        <v>607</v>
      </c>
    </row>
    <row r="180" spans="1:5" hidden="1" x14ac:dyDescent="0.3">
      <c r="A180" t="s">
        <v>557</v>
      </c>
      <c r="B180" t="s">
        <v>606</v>
      </c>
      <c r="C180" t="s">
        <v>696</v>
      </c>
      <c r="D180" s="230">
        <v>0</v>
      </c>
      <c r="E180" t="s">
        <v>607</v>
      </c>
    </row>
    <row r="181" spans="1:5" hidden="1" x14ac:dyDescent="0.3">
      <c r="A181" t="s">
        <v>557</v>
      </c>
      <c r="B181" t="s">
        <v>606</v>
      </c>
      <c r="C181" t="s">
        <v>697</v>
      </c>
      <c r="D181" s="230">
        <v>0</v>
      </c>
      <c r="E181" t="s">
        <v>607</v>
      </c>
    </row>
    <row r="182" spans="1:5" hidden="1" x14ac:dyDescent="0.3">
      <c r="A182" t="s">
        <v>557</v>
      </c>
      <c r="B182" t="s">
        <v>606</v>
      </c>
      <c r="C182" t="s">
        <v>698</v>
      </c>
      <c r="D182" s="230">
        <v>-73.47</v>
      </c>
      <c r="E182" t="s">
        <v>607</v>
      </c>
    </row>
    <row r="183" spans="1:5" hidden="1" x14ac:dyDescent="0.3">
      <c r="A183" t="s">
        <v>557</v>
      </c>
      <c r="B183" t="s">
        <v>606</v>
      </c>
      <c r="C183" t="s">
        <v>699</v>
      </c>
      <c r="D183" s="230">
        <v>0</v>
      </c>
      <c r="E183" t="s">
        <v>607</v>
      </c>
    </row>
    <row r="184" spans="1:5" hidden="1" x14ac:dyDescent="0.3">
      <c r="A184" t="s">
        <v>557</v>
      </c>
      <c r="B184" t="s">
        <v>606</v>
      </c>
      <c r="C184" t="s">
        <v>245</v>
      </c>
      <c r="D184" s="230">
        <v>-7972.88</v>
      </c>
      <c r="E184" t="s">
        <v>607</v>
      </c>
    </row>
    <row r="185" spans="1:5" hidden="1" x14ac:dyDescent="0.3">
      <c r="A185" t="s">
        <v>557</v>
      </c>
      <c r="B185" t="s">
        <v>606</v>
      </c>
      <c r="C185" t="s">
        <v>700</v>
      </c>
      <c r="D185" s="230">
        <v>-398</v>
      </c>
      <c r="E185" t="s">
        <v>607</v>
      </c>
    </row>
    <row r="186" spans="1:5" hidden="1" x14ac:dyDescent="0.3">
      <c r="A186" t="s">
        <v>557</v>
      </c>
      <c r="B186" t="s">
        <v>606</v>
      </c>
      <c r="C186" t="s">
        <v>701</v>
      </c>
      <c r="D186" s="230">
        <v>-467.38</v>
      </c>
      <c r="E186" t="s">
        <v>607</v>
      </c>
    </row>
    <row r="187" spans="1:5" hidden="1" x14ac:dyDescent="0.3">
      <c r="A187" t="s">
        <v>557</v>
      </c>
      <c r="B187" t="s">
        <v>606</v>
      </c>
      <c r="C187" t="s">
        <v>702</v>
      </c>
      <c r="D187" s="230">
        <v>0</v>
      </c>
      <c r="E187" t="s">
        <v>607</v>
      </c>
    </row>
    <row r="188" spans="1:5" hidden="1" x14ac:dyDescent="0.3">
      <c r="A188" t="s">
        <v>557</v>
      </c>
      <c r="B188" t="s">
        <v>606</v>
      </c>
      <c r="C188" t="s">
        <v>703</v>
      </c>
      <c r="D188" s="230">
        <v>0</v>
      </c>
      <c r="E188" t="s">
        <v>607</v>
      </c>
    </row>
    <row r="189" spans="1:5" hidden="1" x14ac:dyDescent="0.3">
      <c r="A189" t="s">
        <v>557</v>
      </c>
      <c r="B189" t="s">
        <v>606</v>
      </c>
      <c r="C189" t="s">
        <v>704</v>
      </c>
      <c r="D189" s="230">
        <v>0</v>
      </c>
      <c r="E189" t="s">
        <v>607</v>
      </c>
    </row>
    <row r="190" spans="1:5" hidden="1" x14ac:dyDescent="0.3">
      <c r="A190" t="s">
        <v>557</v>
      </c>
      <c r="B190" t="s">
        <v>606</v>
      </c>
      <c r="C190" t="s">
        <v>705</v>
      </c>
      <c r="D190" s="230">
        <v>-7107.5</v>
      </c>
      <c r="E190" t="s">
        <v>607</v>
      </c>
    </row>
    <row r="191" spans="1:5" hidden="1" x14ac:dyDescent="0.3">
      <c r="A191" t="s">
        <v>557</v>
      </c>
      <c r="B191" t="s">
        <v>606</v>
      </c>
      <c r="C191" t="s">
        <v>706</v>
      </c>
      <c r="D191" s="230">
        <v>0</v>
      </c>
      <c r="E191" t="s">
        <v>607</v>
      </c>
    </row>
    <row r="192" spans="1:5" hidden="1" x14ac:dyDescent="0.3">
      <c r="A192" t="s">
        <v>557</v>
      </c>
      <c r="B192" t="s">
        <v>606</v>
      </c>
      <c r="C192" t="s">
        <v>254</v>
      </c>
      <c r="D192" s="230">
        <v>-0.37</v>
      </c>
      <c r="E192" t="s">
        <v>607</v>
      </c>
    </row>
    <row r="193" spans="1:5" hidden="1" x14ac:dyDescent="0.3">
      <c r="A193" t="s">
        <v>557</v>
      </c>
      <c r="B193" t="s">
        <v>606</v>
      </c>
      <c r="C193" t="s">
        <v>255</v>
      </c>
      <c r="D193" s="230">
        <v>-0.35</v>
      </c>
      <c r="E193" t="s">
        <v>607</v>
      </c>
    </row>
    <row r="194" spans="1:5" hidden="1" x14ac:dyDescent="0.3">
      <c r="A194" t="s">
        <v>557</v>
      </c>
      <c r="B194" t="s">
        <v>606</v>
      </c>
      <c r="C194" t="s">
        <v>256</v>
      </c>
      <c r="D194" s="230">
        <v>-51752.37</v>
      </c>
      <c r="E194" t="s">
        <v>607</v>
      </c>
    </row>
    <row r="195" spans="1:5" hidden="1" x14ac:dyDescent="0.3">
      <c r="A195" t="s">
        <v>557</v>
      </c>
      <c r="B195" t="s">
        <v>606</v>
      </c>
      <c r="C195" t="s">
        <v>257</v>
      </c>
      <c r="D195" s="230">
        <v>-49305.7</v>
      </c>
      <c r="E195" t="s">
        <v>607</v>
      </c>
    </row>
    <row r="196" spans="1:5" hidden="1" x14ac:dyDescent="0.3">
      <c r="A196" t="s">
        <v>557</v>
      </c>
      <c r="B196" t="s">
        <v>606</v>
      </c>
      <c r="C196" t="s">
        <v>258</v>
      </c>
      <c r="D196" s="230">
        <v>0</v>
      </c>
      <c r="E196" t="s">
        <v>607</v>
      </c>
    </row>
    <row r="197" spans="1:5" hidden="1" x14ac:dyDescent="0.3">
      <c r="A197" t="s">
        <v>557</v>
      </c>
      <c r="B197" t="s">
        <v>606</v>
      </c>
      <c r="C197" t="s">
        <v>259</v>
      </c>
      <c r="D197" s="230">
        <v>-2446.67</v>
      </c>
      <c r="E197" t="s">
        <v>607</v>
      </c>
    </row>
    <row r="198" spans="1:5" hidden="1" x14ac:dyDescent="0.3">
      <c r="A198" t="s">
        <v>557</v>
      </c>
      <c r="B198" t="s">
        <v>606</v>
      </c>
      <c r="C198" t="s">
        <v>260</v>
      </c>
      <c r="D198" s="230">
        <v>0</v>
      </c>
      <c r="E198" t="s">
        <v>607</v>
      </c>
    </row>
    <row r="199" spans="1:5" hidden="1" x14ac:dyDescent="0.3">
      <c r="A199" t="s">
        <v>557</v>
      </c>
      <c r="B199" t="s">
        <v>606</v>
      </c>
      <c r="C199" t="s">
        <v>261</v>
      </c>
      <c r="D199" s="230">
        <v>0</v>
      </c>
      <c r="E199" t="s">
        <v>607</v>
      </c>
    </row>
    <row r="200" spans="1:5" hidden="1" x14ac:dyDescent="0.3">
      <c r="A200" t="s">
        <v>557</v>
      </c>
      <c r="B200" t="s">
        <v>606</v>
      </c>
      <c r="C200" t="s">
        <v>262</v>
      </c>
      <c r="D200" s="230">
        <v>0</v>
      </c>
      <c r="E200" t="s">
        <v>607</v>
      </c>
    </row>
    <row r="201" spans="1:5" hidden="1" x14ac:dyDescent="0.3">
      <c r="A201" t="s">
        <v>557</v>
      </c>
      <c r="B201" t="s">
        <v>606</v>
      </c>
      <c r="C201" t="s">
        <v>263</v>
      </c>
      <c r="D201" s="230">
        <v>0</v>
      </c>
      <c r="E201" t="s">
        <v>607</v>
      </c>
    </row>
    <row r="202" spans="1:5" hidden="1" x14ac:dyDescent="0.3">
      <c r="A202" t="s">
        <v>557</v>
      </c>
      <c r="B202" t="s">
        <v>606</v>
      </c>
      <c r="C202" t="s">
        <v>44</v>
      </c>
      <c r="D202" s="230">
        <v>-0.13</v>
      </c>
      <c r="E202" t="s">
        <v>607</v>
      </c>
    </row>
    <row r="203" spans="1:5" hidden="1" x14ac:dyDescent="0.3">
      <c r="A203" t="s">
        <v>557</v>
      </c>
      <c r="B203" t="s">
        <v>606</v>
      </c>
      <c r="C203" t="s">
        <v>264</v>
      </c>
      <c r="D203" s="230">
        <v>-30803.439999999999</v>
      </c>
      <c r="E203" t="s">
        <v>607</v>
      </c>
    </row>
    <row r="204" spans="1:5" hidden="1" x14ac:dyDescent="0.3">
      <c r="A204" t="s">
        <v>557</v>
      </c>
      <c r="B204" t="s">
        <v>606</v>
      </c>
      <c r="C204" t="s">
        <v>265</v>
      </c>
      <c r="D204" s="230">
        <v>-4721.6099999999997</v>
      </c>
      <c r="E204" t="s">
        <v>607</v>
      </c>
    </row>
    <row r="205" spans="1:5" hidden="1" x14ac:dyDescent="0.3">
      <c r="A205" t="s">
        <v>557</v>
      </c>
      <c r="B205" t="s">
        <v>606</v>
      </c>
      <c r="C205" t="s">
        <v>266</v>
      </c>
      <c r="D205" s="230">
        <v>-10295.52</v>
      </c>
      <c r="E205" t="s">
        <v>607</v>
      </c>
    </row>
    <row r="206" spans="1:5" hidden="1" x14ac:dyDescent="0.3">
      <c r="A206" t="s">
        <v>557</v>
      </c>
      <c r="B206" t="s">
        <v>606</v>
      </c>
      <c r="C206" t="s">
        <v>267</v>
      </c>
      <c r="D206" s="230">
        <v>-5093.54</v>
      </c>
      <c r="E206" t="s">
        <v>607</v>
      </c>
    </row>
    <row r="207" spans="1:5" hidden="1" x14ac:dyDescent="0.3">
      <c r="A207" t="s">
        <v>557</v>
      </c>
      <c r="B207" t="s">
        <v>606</v>
      </c>
      <c r="C207" t="s">
        <v>268</v>
      </c>
      <c r="D207" s="230">
        <v>-5675.4</v>
      </c>
      <c r="E207" t="s">
        <v>607</v>
      </c>
    </row>
    <row r="208" spans="1:5" hidden="1" x14ac:dyDescent="0.3">
      <c r="A208" t="s">
        <v>557</v>
      </c>
      <c r="B208" t="s">
        <v>606</v>
      </c>
      <c r="C208" t="s">
        <v>269</v>
      </c>
      <c r="D208" s="230">
        <v>0</v>
      </c>
      <c r="E208" t="s">
        <v>607</v>
      </c>
    </row>
    <row r="209" spans="1:5" hidden="1" x14ac:dyDescent="0.3">
      <c r="A209" t="s">
        <v>557</v>
      </c>
      <c r="B209" t="s">
        <v>606</v>
      </c>
      <c r="C209" t="s">
        <v>270</v>
      </c>
      <c r="D209" s="230">
        <v>-500</v>
      </c>
      <c r="E209" t="s">
        <v>607</v>
      </c>
    </row>
    <row r="210" spans="1:5" hidden="1" x14ac:dyDescent="0.3">
      <c r="A210" t="s">
        <v>557</v>
      </c>
      <c r="B210" t="s">
        <v>606</v>
      </c>
      <c r="C210" t="s">
        <v>271</v>
      </c>
      <c r="D210" s="230">
        <v>-802.56</v>
      </c>
      <c r="E210" t="s">
        <v>607</v>
      </c>
    </row>
    <row r="211" spans="1:5" hidden="1" x14ac:dyDescent="0.3">
      <c r="A211" t="s">
        <v>557</v>
      </c>
      <c r="B211" t="s">
        <v>606</v>
      </c>
      <c r="C211" t="s">
        <v>272</v>
      </c>
      <c r="D211" s="230">
        <v>0</v>
      </c>
      <c r="E211" t="s">
        <v>607</v>
      </c>
    </row>
    <row r="212" spans="1:5" hidden="1" x14ac:dyDescent="0.3">
      <c r="A212" t="s">
        <v>557</v>
      </c>
      <c r="B212" t="s">
        <v>606</v>
      </c>
      <c r="C212" t="s">
        <v>273</v>
      </c>
      <c r="D212" s="230">
        <v>0</v>
      </c>
      <c r="E212" t="s">
        <v>607</v>
      </c>
    </row>
    <row r="213" spans="1:5" hidden="1" x14ac:dyDescent="0.3">
      <c r="A213" t="s">
        <v>557</v>
      </c>
      <c r="B213" t="s">
        <v>606</v>
      </c>
      <c r="C213" t="s">
        <v>274</v>
      </c>
      <c r="D213" s="230">
        <v>0</v>
      </c>
      <c r="E213" t="s">
        <v>607</v>
      </c>
    </row>
    <row r="214" spans="1:5" hidden="1" x14ac:dyDescent="0.3">
      <c r="A214" t="s">
        <v>557</v>
      </c>
      <c r="B214" t="s">
        <v>606</v>
      </c>
      <c r="C214" t="s">
        <v>275</v>
      </c>
      <c r="D214" s="230">
        <v>-124.24</v>
      </c>
      <c r="E214" t="s">
        <v>607</v>
      </c>
    </row>
    <row r="215" spans="1:5" hidden="1" x14ac:dyDescent="0.3">
      <c r="A215" t="s">
        <v>557</v>
      </c>
      <c r="B215" t="s">
        <v>606</v>
      </c>
      <c r="C215" t="s">
        <v>276</v>
      </c>
      <c r="D215" s="230">
        <v>0</v>
      </c>
      <c r="E215" t="s">
        <v>607</v>
      </c>
    </row>
    <row r="216" spans="1:5" hidden="1" x14ac:dyDescent="0.3">
      <c r="A216" t="s">
        <v>557</v>
      </c>
      <c r="B216" t="s">
        <v>606</v>
      </c>
      <c r="C216" t="s">
        <v>277</v>
      </c>
      <c r="D216" s="230">
        <v>0</v>
      </c>
      <c r="E216" t="s">
        <v>607</v>
      </c>
    </row>
    <row r="217" spans="1:5" hidden="1" x14ac:dyDescent="0.3">
      <c r="A217" t="s">
        <v>557</v>
      </c>
      <c r="B217" t="s">
        <v>606</v>
      </c>
      <c r="C217" t="s">
        <v>278</v>
      </c>
      <c r="D217" s="230">
        <v>-3590.57</v>
      </c>
      <c r="E217" t="s">
        <v>607</v>
      </c>
    </row>
    <row r="218" spans="1:5" hidden="1" x14ac:dyDescent="0.3">
      <c r="A218" t="s">
        <v>557</v>
      </c>
      <c r="B218" t="s">
        <v>606</v>
      </c>
      <c r="C218" t="s">
        <v>44</v>
      </c>
      <c r="D218" s="230">
        <v>-0.08</v>
      </c>
      <c r="E218" t="s">
        <v>607</v>
      </c>
    </row>
    <row r="219" spans="1:5" hidden="1" x14ac:dyDescent="0.3">
      <c r="A219" t="s">
        <v>557</v>
      </c>
      <c r="B219" t="s">
        <v>606</v>
      </c>
      <c r="C219" t="s">
        <v>279</v>
      </c>
      <c r="D219" s="230">
        <v>-5814.68</v>
      </c>
      <c r="E219" t="s">
        <v>607</v>
      </c>
    </row>
    <row r="220" spans="1:5" hidden="1" x14ac:dyDescent="0.3">
      <c r="A220" t="s">
        <v>557</v>
      </c>
      <c r="B220" t="s">
        <v>606</v>
      </c>
      <c r="C220" t="s">
        <v>280</v>
      </c>
      <c r="D220" s="230">
        <v>-299.89999999999998</v>
      </c>
      <c r="E220" t="s">
        <v>607</v>
      </c>
    </row>
    <row r="221" spans="1:5" hidden="1" x14ac:dyDescent="0.3">
      <c r="A221" t="s">
        <v>557</v>
      </c>
      <c r="B221" t="s">
        <v>606</v>
      </c>
      <c r="C221" t="s">
        <v>281</v>
      </c>
      <c r="D221" s="230">
        <v>-264.39</v>
      </c>
      <c r="E221" t="s">
        <v>607</v>
      </c>
    </row>
    <row r="222" spans="1:5" hidden="1" x14ac:dyDescent="0.3">
      <c r="A222" t="s">
        <v>557</v>
      </c>
      <c r="B222" t="s">
        <v>606</v>
      </c>
      <c r="C222" t="s">
        <v>282</v>
      </c>
      <c r="D222" s="230">
        <v>-296.36</v>
      </c>
      <c r="E222" t="s">
        <v>607</v>
      </c>
    </row>
    <row r="223" spans="1:5" hidden="1" x14ac:dyDescent="0.3">
      <c r="A223" t="s">
        <v>557</v>
      </c>
      <c r="B223" t="s">
        <v>606</v>
      </c>
      <c r="C223" t="s">
        <v>283</v>
      </c>
      <c r="D223" s="230">
        <v>-236.23</v>
      </c>
      <c r="E223" t="s">
        <v>607</v>
      </c>
    </row>
    <row r="224" spans="1:5" hidden="1" x14ac:dyDescent="0.3">
      <c r="A224" t="s">
        <v>557</v>
      </c>
      <c r="B224" t="s">
        <v>606</v>
      </c>
      <c r="C224" t="s">
        <v>284</v>
      </c>
      <c r="D224" s="230">
        <v>-4717.8</v>
      </c>
      <c r="E224" t="s">
        <v>607</v>
      </c>
    </row>
    <row r="225" spans="1:5" hidden="1" x14ac:dyDescent="0.3">
      <c r="A225" t="s">
        <v>557</v>
      </c>
      <c r="B225" t="s">
        <v>606</v>
      </c>
      <c r="C225" t="s">
        <v>285</v>
      </c>
      <c r="D225" s="230">
        <v>0</v>
      </c>
      <c r="E225" t="s">
        <v>607</v>
      </c>
    </row>
    <row r="226" spans="1:5" hidden="1" x14ac:dyDescent="0.3">
      <c r="A226" t="s">
        <v>557</v>
      </c>
      <c r="B226" t="s">
        <v>606</v>
      </c>
      <c r="C226" t="s">
        <v>286</v>
      </c>
      <c r="D226" s="230">
        <v>0</v>
      </c>
      <c r="E226" t="s">
        <v>607</v>
      </c>
    </row>
    <row r="227" spans="1:5" hidden="1" x14ac:dyDescent="0.3">
      <c r="A227" t="s">
        <v>557</v>
      </c>
      <c r="B227" t="s">
        <v>606</v>
      </c>
      <c r="C227" t="s">
        <v>44</v>
      </c>
      <c r="D227" s="230">
        <v>-0.01</v>
      </c>
      <c r="E227" t="s">
        <v>607</v>
      </c>
    </row>
    <row r="228" spans="1:5" hidden="1" x14ac:dyDescent="0.3">
      <c r="A228" t="s">
        <v>557</v>
      </c>
      <c r="B228" t="s">
        <v>606</v>
      </c>
      <c r="C228" t="s">
        <v>287</v>
      </c>
      <c r="D228" s="230">
        <v>-9524.2199999999993</v>
      </c>
      <c r="E228" t="s">
        <v>607</v>
      </c>
    </row>
    <row r="229" spans="1:5" hidden="1" x14ac:dyDescent="0.3">
      <c r="A229" t="s">
        <v>557</v>
      </c>
      <c r="B229" t="s">
        <v>606</v>
      </c>
      <c r="C229" t="s">
        <v>288</v>
      </c>
      <c r="D229" s="230">
        <v>-9346.4500000000007</v>
      </c>
      <c r="E229" t="s">
        <v>607</v>
      </c>
    </row>
    <row r="230" spans="1:5" hidden="1" x14ac:dyDescent="0.3">
      <c r="A230" t="s">
        <v>557</v>
      </c>
      <c r="B230" t="s">
        <v>606</v>
      </c>
      <c r="C230" t="s">
        <v>289</v>
      </c>
      <c r="D230" s="230">
        <v>0</v>
      </c>
      <c r="E230" t="s">
        <v>607</v>
      </c>
    </row>
    <row r="231" spans="1:5" hidden="1" x14ac:dyDescent="0.3">
      <c r="A231" t="s">
        <v>557</v>
      </c>
      <c r="B231" t="s">
        <v>606</v>
      </c>
      <c r="C231" t="s">
        <v>290</v>
      </c>
      <c r="D231" s="230">
        <v>0</v>
      </c>
      <c r="E231" t="s">
        <v>607</v>
      </c>
    </row>
    <row r="232" spans="1:5" hidden="1" x14ac:dyDescent="0.3">
      <c r="A232" t="s">
        <v>557</v>
      </c>
      <c r="B232" t="s">
        <v>606</v>
      </c>
      <c r="C232" t="s">
        <v>291</v>
      </c>
      <c r="D232" s="230">
        <v>0</v>
      </c>
      <c r="E232" t="s">
        <v>607</v>
      </c>
    </row>
    <row r="233" spans="1:5" hidden="1" x14ac:dyDescent="0.3">
      <c r="A233" t="s">
        <v>557</v>
      </c>
      <c r="B233" t="s">
        <v>606</v>
      </c>
      <c r="C233" t="s">
        <v>292</v>
      </c>
      <c r="D233" s="230">
        <v>0</v>
      </c>
      <c r="E233" t="s">
        <v>607</v>
      </c>
    </row>
    <row r="234" spans="1:5" hidden="1" x14ac:dyDescent="0.3">
      <c r="A234" t="s">
        <v>557</v>
      </c>
      <c r="B234" t="s">
        <v>606</v>
      </c>
      <c r="C234" t="s">
        <v>293</v>
      </c>
      <c r="D234" s="230">
        <v>-177.77</v>
      </c>
      <c r="E234" t="s">
        <v>607</v>
      </c>
    </row>
    <row r="235" spans="1:5" hidden="1" x14ac:dyDescent="0.3">
      <c r="A235" t="s">
        <v>557</v>
      </c>
      <c r="B235" t="s">
        <v>606</v>
      </c>
      <c r="C235" t="s">
        <v>294</v>
      </c>
      <c r="D235" s="230">
        <v>-151.91</v>
      </c>
      <c r="E235" t="s">
        <v>607</v>
      </c>
    </row>
    <row r="236" spans="1:5" hidden="1" x14ac:dyDescent="0.3">
      <c r="A236" t="s">
        <v>557</v>
      </c>
      <c r="B236" t="s">
        <v>606</v>
      </c>
      <c r="C236" t="s">
        <v>295</v>
      </c>
      <c r="D236" s="230">
        <v>0</v>
      </c>
      <c r="E236" t="s">
        <v>607</v>
      </c>
    </row>
    <row r="237" spans="1:5" hidden="1" x14ac:dyDescent="0.3">
      <c r="A237" t="s">
        <v>557</v>
      </c>
      <c r="B237" t="s">
        <v>606</v>
      </c>
      <c r="C237" t="s">
        <v>44</v>
      </c>
      <c r="D237" s="230">
        <v>-0.02</v>
      </c>
      <c r="E237" t="s">
        <v>607</v>
      </c>
    </row>
    <row r="238" spans="1:5" hidden="1" x14ac:dyDescent="0.3">
      <c r="A238" t="s">
        <v>557</v>
      </c>
      <c r="B238" t="s">
        <v>606</v>
      </c>
      <c r="C238" t="s">
        <v>296</v>
      </c>
      <c r="D238" s="230">
        <v>-2450</v>
      </c>
      <c r="E238" t="s">
        <v>607</v>
      </c>
    </row>
    <row r="239" spans="1:5" hidden="1" x14ac:dyDescent="0.3">
      <c r="A239" t="s">
        <v>557</v>
      </c>
      <c r="B239" t="s">
        <v>606</v>
      </c>
      <c r="C239" t="s">
        <v>297</v>
      </c>
      <c r="D239" s="230">
        <v>-2000</v>
      </c>
      <c r="E239" t="s">
        <v>607</v>
      </c>
    </row>
    <row r="240" spans="1:5" hidden="1" x14ac:dyDescent="0.3">
      <c r="A240" t="s">
        <v>557</v>
      </c>
      <c r="B240" t="s">
        <v>606</v>
      </c>
      <c r="C240" t="s">
        <v>298</v>
      </c>
      <c r="D240" s="230">
        <v>-450</v>
      </c>
      <c r="E240" t="s">
        <v>607</v>
      </c>
    </row>
    <row r="241" spans="1:5" hidden="1" x14ac:dyDescent="0.3">
      <c r="A241" t="s">
        <v>557</v>
      </c>
      <c r="B241" t="s">
        <v>606</v>
      </c>
      <c r="C241" t="s">
        <v>299</v>
      </c>
      <c r="D241" s="230">
        <v>0</v>
      </c>
      <c r="E241" t="s">
        <v>607</v>
      </c>
    </row>
    <row r="242" spans="1:5" hidden="1" x14ac:dyDescent="0.3">
      <c r="A242" t="s">
        <v>557</v>
      </c>
      <c r="B242" t="s">
        <v>606</v>
      </c>
      <c r="C242" t="s">
        <v>300</v>
      </c>
      <c r="D242" s="230">
        <v>0</v>
      </c>
      <c r="E242" t="s">
        <v>607</v>
      </c>
    </row>
    <row r="243" spans="1:5" hidden="1" x14ac:dyDescent="0.3">
      <c r="A243" t="s">
        <v>557</v>
      </c>
      <c r="B243" t="s">
        <v>606</v>
      </c>
      <c r="C243" t="s">
        <v>301</v>
      </c>
      <c r="D243" s="230">
        <v>0</v>
      </c>
      <c r="E243" t="s">
        <v>607</v>
      </c>
    </row>
    <row r="244" spans="1:5" hidden="1" x14ac:dyDescent="0.3">
      <c r="A244" t="s">
        <v>557</v>
      </c>
      <c r="B244" t="s">
        <v>606</v>
      </c>
      <c r="C244" t="s">
        <v>302</v>
      </c>
      <c r="D244" s="230">
        <v>0</v>
      </c>
      <c r="E244" t="s">
        <v>607</v>
      </c>
    </row>
    <row r="245" spans="1:5" hidden="1" x14ac:dyDescent="0.3">
      <c r="A245" t="s">
        <v>557</v>
      </c>
      <c r="B245" t="s">
        <v>606</v>
      </c>
      <c r="C245" t="s">
        <v>303</v>
      </c>
      <c r="D245" s="230">
        <v>0</v>
      </c>
      <c r="E245" t="s">
        <v>607</v>
      </c>
    </row>
    <row r="246" spans="1:5" hidden="1" x14ac:dyDescent="0.3">
      <c r="A246" t="s">
        <v>557</v>
      </c>
      <c r="B246" t="s">
        <v>606</v>
      </c>
      <c r="C246" t="s">
        <v>304</v>
      </c>
      <c r="D246" s="230">
        <v>0</v>
      </c>
      <c r="E246" t="s">
        <v>607</v>
      </c>
    </row>
    <row r="247" spans="1:5" hidden="1" x14ac:dyDescent="0.3">
      <c r="A247" t="s">
        <v>557</v>
      </c>
      <c r="B247" t="s">
        <v>606</v>
      </c>
      <c r="C247" t="s">
        <v>305</v>
      </c>
      <c r="D247" s="230">
        <v>0</v>
      </c>
      <c r="E247" t="s">
        <v>607</v>
      </c>
    </row>
    <row r="248" spans="1:5" hidden="1" x14ac:dyDescent="0.3">
      <c r="A248" t="s">
        <v>557</v>
      </c>
      <c r="B248" t="s">
        <v>606</v>
      </c>
      <c r="C248" t="s">
        <v>306</v>
      </c>
      <c r="D248" s="230">
        <v>0</v>
      </c>
      <c r="E248" t="s">
        <v>607</v>
      </c>
    </row>
    <row r="249" spans="1:5" hidden="1" x14ac:dyDescent="0.3">
      <c r="A249" t="s">
        <v>557</v>
      </c>
      <c r="B249" t="s">
        <v>606</v>
      </c>
      <c r="C249" t="s">
        <v>307</v>
      </c>
      <c r="D249" s="230">
        <v>0</v>
      </c>
      <c r="E249" t="s">
        <v>607</v>
      </c>
    </row>
    <row r="250" spans="1:5" hidden="1" x14ac:dyDescent="0.3">
      <c r="A250" t="s">
        <v>557</v>
      </c>
      <c r="B250" t="s">
        <v>606</v>
      </c>
      <c r="C250" t="s">
        <v>44</v>
      </c>
      <c r="D250" s="230">
        <v>-0.01</v>
      </c>
      <c r="E250" t="s">
        <v>607</v>
      </c>
    </row>
    <row r="251" spans="1:5" hidden="1" x14ac:dyDescent="0.3">
      <c r="A251" t="s">
        <v>557</v>
      </c>
      <c r="B251" t="s">
        <v>606</v>
      </c>
      <c r="C251" t="s">
        <v>308</v>
      </c>
      <c r="D251" s="230">
        <v>-3103.33</v>
      </c>
      <c r="E251" t="s">
        <v>607</v>
      </c>
    </row>
    <row r="252" spans="1:5" hidden="1" x14ac:dyDescent="0.3">
      <c r="A252" t="s">
        <v>557</v>
      </c>
      <c r="B252" t="s">
        <v>606</v>
      </c>
      <c r="C252" t="s">
        <v>309</v>
      </c>
      <c r="D252" s="230">
        <v>-1500</v>
      </c>
      <c r="E252" t="s">
        <v>607</v>
      </c>
    </row>
    <row r="253" spans="1:5" hidden="1" x14ac:dyDescent="0.3">
      <c r="A253" t="s">
        <v>557</v>
      </c>
      <c r="B253" t="s">
        <v>606</v>
      </c>
      <c r="C253" t="s">
        <v>310</v>
      </c>
      <c r="D253" s="230">
        <v>0</v>
      </c>
      <c r="E253" t="s">
        <v>607</v>
      </c>
    </row>
    <row r="254" spans="1:5" hidden="1" x14ac:dyDescent="0.3">
      <c r="A254" t="s">
        <v>557</v>
      </c>
      <c r="B254" t="s">
        <v>606</v>
      </c>
      <c r="C254" t="s">
        <v>311</v>
      </c>
      <c r="D254" s="230">
        <v>-1603.33</v>
      </c>
      <c r="E254" t="s">
        <v>607</v>
      </c>
    </row>
    <row r="255" spans="1:5" hidden="1" x14ac:dyDescent="0.3">
      <c r="A255" t="s">
        <v>557</v>
      </c>
      <c r="B255" t="s">
        <v>606</v>
      </c>
      <c r="C255" t="s">
        <v>312</v>
      </c>
      <c r="D255" s="230">
        <v>0</v>
      </c>
      <c r="E255" t="s">
        <v>607</v>
      </c>
    </row>
    <row r="256" spans="1:5" hidden="1" x14ac:dyDescent="0.3">
      <c r="A256" t="s">
        <v>557</v>
      </c>
      <c r="B256" t="s">
        <v>606</v>
      </c>
      <c r="C256" t="s">
        <v>313</v>
      </c>
      <c r="D256" s="230">
        <v>0</v>
      </c>
      <c r="E256" t="s">
        <v>607</v>
      </c>
    </row>
    <row r="257" spans="1:5" hidden="1" x14ac:dyDescent="0.3">
      <c r="A257" t="s">
        <v>557</v>
      </c>
      <c r="B257" t="s">
        <v>606</v>
      </c>
      <c r="C257" t="s">
        <v>314</v>
      </c>
      <c r="D257" s="230">
        <v>0</v>
      </c>
      <c r="E257" t="s">
        <v>607</v>
      </c>
    </row>
    <row r="258" spans="1:5" hidden="1" x14ac:dyDescent="0.3">
      <c r="A258" t="s">
        <v>557</v>
      </c>
      <c r="B258" t="s">
        <v>606</v>
      </c>
      <c r="C258" t="s">
        <v>315</v>
      </c>
      <c r="D258" s="230">
        <v>0</v>
      </c>
      <c r="E258" t="s">
        <v>607</v>
      </c>
    </row>
    <row r="259" spans="1:5" hidden="1" x14ac:dyDescent="0.3">
      <c r="A259" t="s">
        <v>557</v>
      </c>
      <c r="B259" t="s">
        <v>606</v>
      </c>
      <c r="C259" t="s">
        <v>316</v>
      </c>
      <c r="D259" s="230">
        <v>0</v>
      </c>
      <c r="E259" t="s">
        <v>607</v>
      </c>
    </row>
    <row r="260" spans="1:5" hidden="1" x14ac:dyDescent="0.3">
      <c r="A260" t="s">
        <v>557</v>
      </c>
      <c r="B260" t="s">
        <v>606</v>
      </c>
      <c r="C260" t="s">
        <v>317</v>
      </c>
      <c r="D260" s="230">
        <v>0</v>
      </c>
      <c r="E260" t="s">
        <v>607</v>
      </c>
    </row>
    <row r="261" spans="1:5" hidden="1" x14ac:dyDescent="0.3">
      <c r="A261" t="s">
        <v>557</v>
      </c>
      <c r="B261" t="s">
        <v>606</v>
      </c>
      <c r="C261" t="s">
        <v>44</v>
      </c>
      <c r="D261" s="230">
        <v>-0.01</v>
      </c>
      <c r="E261" t="s">
        <v>607</v>
      </c>
    </row>
    <row r="262" spans="1:5" hidden="1" x14ac:dyDescent="0.3">
      <c r="A262" t="s">
        <v>557</v>
      </c>
      <c r="B262" t="s">
        <v>606</v>
      </c>
      <c r="C262" t="s">
        <v>318</v>
      </c>
      <c r="D262" s="230">
        <v>-2190</v>
      </c>
      <c r="E262" t="s">
        <v>607</v>
      </c>
    </row>
    <row r="263" spans="1:5" hidden="1" x14ac:dyDescent="0.3">
      <c r="A263" t="s">
        <v>557</v>
      </c>
      <c r="B263" t="s">
        <v>606</v>
      </c>
      <c r="C263" t="s">
        <v>319</v>
      </c>
      <c r="D263" s="230">
        <v>-2190</v>
      </c>
      <c r="E263" t="s">
        <v>607</v>
      </c>
    </row>
    <row r="264" spans="1:5" hidden="1" x14ac:dyDescent="0.3">
      <c r="A264" t="s">
        <v>557</v>
      </c>
      <c r="B264" t="s">
        <v>606</v>
      </c>
      <c r="C264" t="s">
        <v>320</v>
      </c>
      <c r="D264" s="230">
        <v>0</v>
      </c>
      <c r="E264" t="s">
        <v>607</v>
      </c>
    </row>
    <row r="265" spans="1:5" hidden="1" x14ac:dyDescent="0.3">
      <c r="A265" t="s">
        <v>557</v>
      </c>
      <c r="B265" t="s">
        <v>606</v>
      </c>
      <c r="C265" t="s">
        <v>321</v>
      </c>
      <c r="D265" s="230">
        <v>0</v>
      </c>
      <c r="E265" t="s">
        <v>607</v>
      </c>
    </row>
    <row r="266" spans="1:5" hidden="1" x14ac:dyDescent="0.3">
      <c r="A266" t="s">
        <v>557</v>
      </c>
      <c r="B266" t="s">
        <v>606</v>
      </c>
      <c r="C266" t="s">
        <v>322</v>
      </c>
      <c r="D266" s="230">
        <v>0</v>
      </c>
      <c r="E266" t="s">
        <v>607</v>
      </c>
    </row>
    <row r="267" spans="1:5" hidden="1" x14ac:dyDescent="0.3">
      <c r="A267" t="s">
        <v>557</v>
      </c>
      <c r="B267" t="s">
        <v>606</v>
      </c>
      <c r="C267" t="s">
        <v>44</v>
      </c>
      <c r="D267" s="230">
        <v>-0.01</v>
      </c>
      <c r="E267" t="s">
        <v>607</v>
      </c>
    </row>
    <row r="268" spans="1:5" hidden="1" x14ac:dyDescent="0.3">
      <c r="A268" t="s">
        <v>557</v>
      </c>
      <c r="B268" t="s">
        <v>606</v>
      </c>
      <c r="C268" t="s">
        <v>323</v>
      </c>
      <c r="D268" s="230">
        <v>-19604.64</v>
      </c>
      <c r="E268" t="s">
        <v>607</v>
      </c>
    </row>
    <row r="269" spans="1:5" hidden="1" x14ac:dyDescent="0.3">
      <c r="A269" t="s">
        <v>557</v>
      </c>
      <c r="B269" t="s">
        <v>606</v>
      </c>
      <c r="C269" t="s">
        <v>324</v>
      </c>
      <c r="D269" s="230">
        <v>0</v>
      </c>
      <c r="E269" t="s">
        <v>607</v>
      </c>
    </row>
    <row r="270" spans="1:5" hidden="1" x14ac:dyDescent="0.3">
      <c r="A270" t="s">
        <v>557</v>
      </c>
      <c r="B270" t="s">
        <v>606</v>
      </c>
      <c r="C270" t="s">
        <v>325</v>
      </c>
      <c r="D270" s="230">
        <v>0</v>
      </c>
      <c r="E270" t="s">
        <v>607</v>
      </c>
    </row>
    <row r="271" spans="1:5" x14ac:dyDescent="0.3">
      <c r="A271" t="s">
        <v>557</v>
      </c>
      <c r="B271" t="s">
        <v>606</v>
      </c>
      <c r="C271" t="s">
        <v>326</v>
      </c>
      <c r="D271" s="230">
        <v>-19604.64</v>
      </c>
      <c r="E271" t="s">
        <v>607</v>
      </c>
    </row>
    <row r="272" spans="1:5" hidden="1" x14ac:dyDescent="0.3">
      <c r="A272" t="s">
        <v>557</v>
      </c>
      <c r="B272" t="s">
        <v>606</v>
      </c>
      <c r="C272" t="s">
        <v>44</v>
      </c>
      <c r="D272" s="230">
        <v>-0.05</v>
      </c>
      <c r="E272" t="s">
        <v>607</v>
      </c>
    </row>
    <row r="273" spans="1:5" hidden="1" x14ac:dyDescent="0.3">
      <c r="A273" t="s">
        <v>557</v>
      </c>
      <c r="B273" t="s">
        <v>606</v>
      </c>
      <c r="C273" t="s">
        <v>328</v>
      </c>
      <c r="D273" s="230">
        <v>-237960.33</v>
      </c>
      <c r="E273" t="s">
        <v>607</v>
      </c>
    </row>
    <row r="274" spans="1:5" hidden="1" x14ac:dyDescent="0.3">
      <c r="A274" t="s">
        <v>557</v>
      </c>
      <c r="B274" t="s">
        <v>606</v>
      </c>
      <c r="C274" t="s">
        <v>44</v>
      </c>
      <c r="D274" s="230">
        <v>-0.61</v>
      </c>
      <c r="E274" t="s">
        <v>607</v>
      </c>
    </row>
    <row r="275" spans="1:5" hidden="1" x14ac:dyDescent="0.3">
      <c r="A275" t="s">
        <v>557</v>
      </c>
      <c r="B275" t="s">
        <v>606</v>
      </c>
      <c r="C275" t="s">
        <v>329</v>
      </c>
      <c r="D275" s="230">
        <v>-31000.07</v>
      </c>
      <c r="E275" t="s">
        <v>607</v>
      </c>
    </row>
    <row r="276" spans="1:5" hidden="1" x14ac:dyDescent="0.3">
      <c r="A276" t="s">
        <v>557</v>
      </c>
      <c r="B276" t="s">
        <v>606</v>
      </c>
      <c r="C276" t="s">
        <v>44</v>
      </c>
      <c r="D276" s="230">
        <v>-0.08</v>
      </c>
      <c r="E276" t="s">
        <v>607</v>
      </c>
    </row>
    <row r="277" spans="1:5" hidden="1" x14ac:dyDescent="0.3">
      <c r="A277" t="s">
        <v>557</v>
      </c>
      <c r="B277" t="s">
        <v>606</v>
      </c>
      <c r="C277" t="s">
        <v>330</v>
      </c>
      <c r="D277" s="230">
        <v>0</v>
      </c>
      <c r="E277" t="s">
        <v>607</v>
      </c>
    </row>
    <row r="278" spans="1:5" hidden="1" x14ac:dyDescent="0.3">
      <c r="A278" t="s">
        <v>557</v>
      </c>
      <c r="B278" t="s">
        <v>606</v>
      </c>
      <c r="C278" t="s">
        <v>332</v>
      </c>
      <c r="D278" s="230">
        <v>-31151.98</v>
      </c>
      <c r="E278" t="s">
        <v>607</v>
      </c>
    </row>
    <row r="279" spans="1:5" hidden="1" x14ac:dyDescent="0.3">
      <c r="A279" t="s">
        <v>557</v>
      </c>
      <c r="B279" t="s">
        <v>606</v>
      </c>
      <c r="C279" t="s">
        <v>333</v>
      </c>
      <c r="D279" s="230">
        <v>2088.84</v>
      </c>
      <c r="E279" t="s">
        <v>607</v>
      </c>
    </row>
    <row r="280" spans="1:5" hidden="1" x14ac:dyDescent="0.3">
      <c r="A280" t="s">
        <v>557</v>
      </c>
      <c r="B280" t="s">
        <v>606</v>
      </c>
      <c r="C280" t="s">
        <v>334</v>
      </c>
      <c r="D280" s="230">
        <v>0</v>
      </c>
      <c r="E280" t="s">
        <v>607</v>
      </c>
    </row>
    <row r="281" spans="1:5" hidden="1" x14ac:dyDescent="0.3">
      <c r="A281" t="s">
        <v>557</v>
      </c>
      <c r="B281" t="s">
        <v>606</v>
      </c>
      <c r="C281" t="s">
        <v>336</v>
      </c>
      <c r="D281" s="230">
        <v>0</v>
      </c>
      <c r="E281" t="s">
        <v>607</v>
      </c>
    </row>
    <row r="282" spans="1:5" hidden="1" x14ac:dyDescent="0.3">
      <c r="A282" t="s">
        <v>557</v>
      </c>
      <c r="B282" t="s">
        <v>606</v>
      </c>
      <c r="C282" t="s">
        <v>338</v>
      </c>
      <c r="D282" s="230">
        <v>-29063.14</v>
      </c>
      <c r="E282" t="s">
        <v>607</v>
      </c>
    </row>
    <row r="283" spans="1:5" hidden="1" x14ac:dyDescent="0.3">
      <c r="A283" t="s">
        <v>557</v>
      </c>
      <c r="B283" t="s">
        <v>606</v>
      </c>
      <c r="C283" t="s">
        <v>339</v>
      </c>
      <c r="D283" s="230">
        <v>-18820.45</v>
      </c>
      <c r="E283" t="s">
        <v>607</v>
      </c>
    </row>
    <row r="284" spans="1:5" hidden="1" x14ac:dyDescent="0.3">
      <c r="A284" t="s">
        <v>557</v>
      </c>
      <c r="B284" t="s">
        <v>606</v>
      </c>
      <c r="C284" t="s">
        <v>342</v>
      </c>
      <c r="D284" s="230">
        <v>-18820.45</v>
      </c>
      <c r="E284" t="s">
        <v>607</v>
      </c>
    </row>
    <row r="285" spans="1:5" hidden="1" x14ac:dyDescent="0.3">
      <c r="A285" t="s">
        <v>557</v>
      </c>
      <c r="B285" t="s">
        <v>606</v>
      </c>
      <c r="C285" t="s">
        <v>344</v>
      </c>
      <c r="D285" s="230">
        <v>0</v>
      </c>
      <c r="E285" t="s">
        <v>607</v>
      </c>
    </row>
    <row r="286" spans="1:5" hidden="1" x14ac:dyDescent="0.3">
      <c r="A286" t="s">
        <v>557</v>
      </c>
      <c r="B286" t="s">
        <v>606</v>
      </c>
      <c r="C286" t="s">
        <v>345</v>
      </c>
      <c r="D286" s="230">
        <v>0</v>
      </c>
      <c r="E286" t="s">
        <v>607</v>
      </c>
    </row>
    <row r="287" spans="1:5" hidden="1" x14ac:dyDescent="0.3">
      <c r="A287" t="s">
        <v>557</v>
      </c>
      <c r="B287" t="s">
        <v>606</v>
      </c>
      <c r="C287" t="s">
        <v>346</v>
      </c>
      <c r="D287" s="230">
        <v>0</v>
      </c>
      <c r="E287" t="s">
        <v>607</v>
      </c>
    </row>
    <row r="288" spans="1:5" hidden="1" x14ac:dyDescent="0.3">
      <c r="A288" t="s">
        <v>557</v>
      </c>
      <c r="B288" t="s">
        <v>606</v>
      </c>
      <c r="C288" t="s">
        <v>347</v>
      </c>
      <c r="D288" s="230">
        <v>-47883.59</v>
      </c>
      <c r="E288" t="s">
        <v>607</v>
      </c>
    </row>
    <row r="289" spans="1:5" hidden="1" x14ac:dyDescent="0.3">
      <c r="A289" t="s">
        <v>557</v>
      </c>
      <c r="B289" t="s">
        <v>606</v>
      </c>
      <c r="C289" t="s">
        <v>44</v>
      </c>
      <c r="D289" s="230">
        <v>-0.12</v>
      </c>
      <c r="E289" t="s">
        <v>607</v>
      </c>
    </row>
    <row r="290" spans="1:5" hidden="1" x14ac:dyDescent="0.3">
      <c r="A290" t="s">
        <v>557</v>
      </c>
      <c r="B290" t="s">
        <v>606</v>
      </c>
      <c r="C290" t="s">
        <v>348</v>
      </c>
      <c r="D290" s="230">
        <v>0</v>
      </c>
      <c r="E290" t="s">
        <v>607</v>
      </c>
    </row>
    <row r="291" spans="1:5" hidden="1" x14ac:dyDescent="0.3">
      <c r="A291" t="s">
        <v>557</v>
      </c>
      <c r="B291" t="s">
        <v>606</v>
      </c>
      <c r="C291" t="s">
        <v>707</v>
      </c>
      <c r="D291" s="230">
        <v>0</v>
      </c>
      <c r="E291" t="s">
        <v>607</v>
      </c>
    </row>
    <row r="292" spans="1:5" hidden="1" x14ac:dyDescent="0.3">
      <c r="A292" t="s">
        <v>557</v>
      </c>
      <c r="B292" t="s">
        <v>606</v>
      </c>
      <c r="C292" t="s">
        <v>350</v>
      </c>
      <c r="D292" s="230">
        <v>0</v>
      </c>
      <c r="E292" t="s">
        <v>607</v>
      </c>
    </row>
    <row r="293" spans="1:5" hidden="1" x14ac:dyDescent="0.3">
      <c r="A293" t="s">
        <v>557</v>
      </c>
      <c r="B293" t="s">
        <v>606</v>
      </c>
      <c r="C293" t="s">
        <v>351</v>
      </c>
      <c r="D293" s="230">
        <v>0</v>
      </c>
      <c r="E293" t="s">
        <v>607</v>
      </c>
    </row>
    <row r="294" spans="1:5" hidden="1" x14ac:dyDescent="0.3">
      <c r="A294" t="s">
        <v>557</v>
      </c>
      <c r="B294" t="s">
        <v>606</v>
      </c>
      <c r="C294" t="s">
        <v>352</v>
      </c>
      <c r="D294" s="230">
        <v>0</v>
      </c>
      <c r="E294" t="s">
        <v>607</v>
      </c>
    </row>
    <row r="295" spans="1:5" hidden="1" x14ac:dyDescent="0.3">
      <c r="A295" t="s">
        <v>557</v>
      </c>
      <c r="B295" t="s">
        <v>606</v>
      </c>
      <c r="C295" t="s">
        <v>353</v>
      </c>
      <c r="D295" s="230">
        <v>0</v>
      </c>
      <c r="E295" t="s">
        <v>607</v>
      </c>
    </row>
    <row r="296" spans="1:5" hidden="1" x14ac:dyDescent="0.3">
      <c r="A296" t="s">
        <v>557</v>
      </c>
      <c r="B296" t="s">
        <v>606</v>
      </c>
      <c r="C296" t="s">
        <v>354</v>
      </c>
      <c r="D296" s="230">
        <v>0</v>
      </c>
      <c r="E296" t="s">
        <v>607</v>
      </c>
    </row>
    <row r="297" spans="1:5" hidden="1" x14ac:dyDescent="0.3">
      <c r="A297" t="s">
        <v>557</v>
      </c>
      <c r="B297" t="s">
        <v>606</v>
      </c>
      <c r="C297" t="s">
        <v>355</v>
      </c>
      <c r="D297" s="230">
        <v>0</v>
      </c>
      <c r="E297" t="s">
        <v>607</v>
      </c>
    </row>
    <row r="298" spans="1:5" hidden="1" x14ac:dyDescent="0.3">
      <c r="A298" t="s">
        <v>557</v>
      </c>
      <c r="B298" t="s">
        <v>606</v>
      </c>
      <c r="C298" t="s">
        <v>356</v>
      </c>
      <c r="D298" s="230">
        <v>0</v>
      </c>
      <c r="E298" t="s">
        <v>607</v>
      </c>
    </row>
    <row r="299" spans="1:5" hidden="1" x14ac:dyDescent="0.3">
      <c r="A299" t="s">
        <v>557</v>
      </c>
      <c r="B299" t="s">
        <v>606</v>
      </c>
      <c r="C299" t="s">
        <v>357</v>
      </c>
      <c r="D299" s="230">
        <v>0</v>
      </c>
      <c r="E299" t="s">
        <v>607</v>
      </c>
    </row>
    <row r="300" spans="1:5" hidden="1" x14ac:dyDescent="0.3">
      <c r="A300" t="s">
        <v>557</v>
      </c>
      <c r="B300" t="s">
        <v>606</v>
      </c>
      <c r="C300" t="s">
        <v>358</v>
      </c>
      <c r="D300" s="230">
        <v>0</v>
      </c>
      <c r="E300" t="s">
        <v>607</v>
      </c>
    </row>
    <row r="301" spans="1:5" hidden="1" x14ac:dyDescent="0.3">
      <c r="A301" t="s">
        <v>557</v>
      </c>
      <c r="B301" t="s">
        <v>606</v>
      </c>
      <c r="C301" t="s">
        <v>359</v>
      </c>
      <c r="D301" s="230">
        <v>0</v>
      </c>
      <c r="E301" t="s">
        <v>607</v>
      </c>
    </row>
    <row r="302" spans="1:5" hidden="1" x14ac:dyDescent="0.3">
      <c r="A302" t="s">
        <v>557</v>
      </c>
      <c r="B302" t="s">
        <v>606</v>
      </c>
      <c r="C302" t="s">
        <v>360</v>
      </c>
      <c r="D302" s="230">
        <v>0</v>
      </c>
      <c r="E302" t="s">
        <v>607</v>
      </c>
    </row>
    <row r="303" spans="1:5" hidden="1" x14ac:dyDescent="0.3">
      <c r="A303" t="s">
        <v>557</v>
      </c>
      <c r="B303" t="s">
        <v>606</v>
      </c>
      <c r="C303" t="s">
        <v>361</v>
      </c>
      <c r="D303" s="230">
        <v>0</v>
      </c>
      <c r="E303" t="s">
        <v>607</v>
      </c>
    </row>
    <row r="304" spans="1:5" hidden="1" x14ac:dyDescent="0.3">
      <c r="A304" t="s">
        <v>557</v>
      </c>
      <c r="B304" t="s">
        <v>606</v>
      </c>
      <c r="C304" t="s">
        <v>362</v>
      </c>
      <c r="D304" s="230">
        <v>0</v>
      </c>
      <c r="E304" t="s">
        <v>607</v>
      </c>
    </row>
    <row r="305" spans="1:5" hidden="1" x14ac:dyDescent="0.3">
      <c r="A305" t="s">
        <v>557</v>
      </c>
      <c r="B305" t="s">
        <v>606</v>
      </c>
      <c r="C305" t="s">
        <v>363</v>
      </c>
      <c r="D305" s="230">
        <v>0</v>
      </c>
      <c r="E305" t="s">
        <v>607</v>
      </c>
    </row>
    <row r="306" spans="1:5" hidden="1" x14ac:dyDescent="0.3">
      <c r="A306" t="s">
        <v>557</v>
      </c>
      <c r="B306" t="s">
        <v>606</v>
      </c>
      <c r="C306" t="s">
        <v>364</v>
      </c>
      <c r="D306" s="230">
        <v>0</v>
      </c>
      <c r="E306" t="s">
        <v>607</v>
      </c>
    </row>
    <row r="307" spans="1:5" hidden="1" x14ac:dyDescent="0.3">
      <c r="A307" t="s">
        <v>557</v>
      </c>
      <c r="B307" t="s">
        <v>606</v>
      </c>
      <c r="C307" t="s">
        <v>365</v>
      </c>
      <c r="D307" s="230">
        <v>0</v>
      </c>
      <c r="E307" t="s">
        <v>607</v>
      </c>
    </row>
    <row r="308" spans="1:5" hidden="1" x14ac:dyDescent="0.3">
      <c r="A308" t="s">
        <v>557</v>
      </c>
      <c r="B308" t="s">
        <v>606</v>
      </c>
      <c r="C308" t="s">
        <v>366</v>
      </c>
      <c r="D308" s="230">
        <v>0</v>
      </c>
      <c r="E308" t="s">
        <v>607</v>
      </c>
    </row>
    <row r="309" spans="1:5" hidden="1" x14ac:dyDescent="0.3">
      <c r="A309" t="s">
        <v>557</v>
      </c>
      <c r="B309" t="s">
        <v>606</v>
      </c>
      <c r="C309" t="s">
        <v>367</v>
      </c>
      <c r="D309" s="230">
        <v>0</v>
      </c>
      <c r="E309" t="s">
        <v>607</v>
      </c>
    </row>
    <row r="310" spans="1:5" hidden="1" x14ac:dyDescent="0.3">
      <c r="A310" t="s">
        <v>557</v>
      </c>
      <c r="B310" t="s">
        <v>606</v>
      </c>
      <c r="C310" t="s">
        <v>368</v>
      </c>
      <c r="D310" s="230">
        <v>0</v>
      </c>
      <c r="E310" t="s">
        <v>607</v>
      </c>
    </row>
    <row r="311" spans="1:5" hidden="1" x14ac:dyDescent="0.3">
      <c r="A311" t="s">
        <v>557</v>
      </c>
      <c r="B311" t="s">
        <v>606</v>
      </c>
      <c r="C311" t="s">
        <v>369</v>
      </c>
      <c r="D311" s="230">
        <v>0</v>
      </c>
      <c r="E311" t="s">
        <v>607</v>
      </c>
    </row>
    <row r="312" spans="1:5" hidden="1" x14ac:dyDescent="0.3">
      <c r="A312" t="s">
        <v>557</v>
      </c>
      <c r="B312" t="s">
        <v>606</v>
      </c>
      <c r="C312" t="s">
        <v>370</v>
      </c>
      <c r="D312" s="230">
        <v>0</v>
      </c>
      <c r="E312" t="s">
        <v>607</v>
      </c>
    </row>
    <row r="313" spans="1:5" hidden="1" x14ac:dyDescent="0.3">
      <c r="A313" t="s">
        <v>557</v>
      </c>
      <c r="B313" t="s">
        <v>606</v>
      </c>
      <c r="C313" t="s">
        <v>371</v>
      </c>
      <c r="D313" s="230">
        <v>0</v>
      </c>
      <c r="E313" t="s">
        <v>607</v>
      </c>
    </row>
    <row r="314" spans="1:5" hidden="1" x14ac:dyDescent="0.3">
      <c r="A314" t="s">
        <v>557</v>
      </c>
      <c r="B314" t="s">
        <v>606</v>
      </c>
      <c r="C314" t="s">
        <v>372</v>
      </c>
      <c r="D314" s="230">
        <v>0</v>
      </c>
      <c r="E314" t="s">
        <v>607</v>
      </c>
    </row>
    <row r="315" spans="1:5" hidden="1" x14ac:dyDescent="0.3">
      <c r="A315" t="s">
        <v>557</v>
      </c>
      <c r="B315" t="s">
        <v>606</v>
      </c>
      <c r="C315" t="s">
        <v>373</v>
      </c>
      <c r="D315" s="230">
        <v>0</v>
      </c>
      <c r="E315" t="s">
        <v>607</v>
      </c>
    </row>
    <row r="316" spans="1:5" hidden="1" x14ac:dyDescent="0.3">
      <c r="A316" t="s">
        <v>557</v>
      </c>
      <c r="B316" t="s">
        <v>606</v>
      </c>
      <c r="C316" t="s">
        <v>374</v>
      </c>
      <c r="D316" s="230">
        <v>0</v>
      </c>
      <c r="E316" t="s">
        <v>607</v>
      </c>
    </row>
    <row r="317" spans="1:5" hidden="1" x14ac:dyDescent="0.3">
      <c r="A317" t="s">
        <v>557</v>
      </c>
      <c r="B317" t="s">
        <v>606</v>
      </c>
      <c r="C317" t="s">
        <v>708</v>
      </c>
      <c r="D317" s="230">
        <v>0</v>
      </c>
      <c r="E317" t="s">
        <v>607</v>
      </c>
    </row>
    <row r="318" spans="1:5" hidden="1" x14ac:dyDescent="0.3">
      <c r="A318" t="s">
        <v>557</v>
      </c>
      <c r="B318" t="s">
        <v>709</v>
      </c>
      <c r="C318" t="s">
        <v>11</v>
      </c>
      <c r="D318" s="230">
        <v>349755.39</v>
      </c>
      <c r="E318" t="s">
        <v>710</v>
      </c>
    </row>
    <row r="319" spans="1:5" hidden="1" x14ac:dyDescent="0.3">
      <c r="A319" t="s">
        <v>557</v>
      </c>
      <c r="B319" t="s">
        <v>709</v>
      </c>
      <c r="C319" t="s">
        <v>13</v>
      </c>
      <c r="D319" s="230">
        <v>168765.98</v>
      </c>
      <c r="E319" t="s">
        <v>710</v>
      </c>
    </row>
    <row r="320" spans="1:5" hidden="1" x14ac:dyDescent="0.3">
      <c r="A320" t="s">
        <v>557</v>
      </c>
      <c r="B320" t="s">
        <v>709</v>
      </c>
      <c r="C320" t="s">
        <v>16</v>
      </c>
      <c r="D320" s="230">
        <v>104080.98</v>
      </c>
      <c r="E320" t="s">
        <v>710</v>
      </c>
    </row>
    <row r="321" spans="1:5" hidden="1" x14ac:dyDescent="0.3">
      <c r="A321" t="s">
        <v>557</v>
      </c>
      <c r="B321" t="s">
        <v>709</v>
      </c>
      <c r="C321" t="s">
        <v>17</v>
      </c>
      <c r="D321" s="230">
        <v>9130</v>
      </c>
      <c r="E321" t="s">
        <v>710</v>
      </c>
    </row>
    <row r="322" spans="1:5" hidden="1" x14ac:dyDescent="0.3">
      <c r="A322" t="s">
        <v>557</v>
      </c>
      <c r="B322" t="s">
        <v>709</v>
      </c>
      <c r="C322" t="s">
        <v>18</v>
      </c>
      <c r="D322" s="230">
        <v>225</v>
      </c>
      <c r="E322" t="s">
        <v>710</v>
      </c>
    </row>
    <row r="323" spans="1:5" hidden="1" x14ac:dyDescent="0.3">
      <c r="A323" t="s">
        <v>557</v>
      </c>
      <c r="B323" t="s">
        <v>709</v>
      </c>
      <c r="C323" t="s">
        <v>20</v>
      </c>
      <c r="D323" s="230">
        <v>35818.86</v>
      </c>
      <c r="E323" t="s">
        <v>710</v>
      </c>
    </row>
    <row r="324" spans="1:5" hidden="1" x14ac:dyDescent="0.3">
      <c r="A324" t="s">
        <v>557</v>
      </c>
      <c r="B324" t="s">
        <v>709</v>
      </c>
      <c r="C324" t="s">
        <v>23</v>
      </c>
      <c r="D324" s="230">
        <v>16843.64</v>
      </c>
      <c r="E324" t="s">
        <v>710</v>
      </c>
    </row>
    <row r="325" spans="1:5" hidden="1" x14ac:dyDescent="0.3">
      <c r="A325" t="s">
        <v>557</v>
      </c>
      <c r="B325" t="s">
        <v>709</v>
      </c>
      <c r="C325" t="s">
        <v>25</v>
      </c>
      <c r="D325" s="230">
        <v>2600</v>
      </c>
      <c r="E325" t="s">
        <v>710</v>
      </c>
    </row>
    <row r="326" spans="1:5" hidden="1" x14ac:dyDescent="0.3">
      <c r="A326" t="s">
        <v>557</v>
      </c>
      <c r="B326" t="s">
        <v>709</v>
      </c>
      <c r="C326" t="s">
        <v>26</v>
      </c>
      <c r="D326" s="230">
        <v>11400</v>
      </c>
      <c r="E326" t="s">
        <v>710</v>
      </c>
    </row>
    <row r="327" spans="1:5" hidden="1" x14ac:dyDescent="0.3">
      <c r="A327" t="s">
        <v>557</v>
      </c>
      <c r="B327" t="s">
        <v>709</v>
      </c>
      <c r="C327" t="s">
        <v>27</v>
      </c>
      <c r="D327" s="230">
        <v>0</v>
      </c>
      <c r="E327" t="s">
        <v>710</v>
      </c>
    </row>
    <row r="328" spans="1:5" hidden="1" x14ac:dyDescent="0.3">
      <c r="A328" t="s">
        <v>557</v>
      </c>
      <c r="B328" t="s">
        <v>709</v>
      </c>
      <c r="C328" t="s">
        <v>29</v>
      </c>
      <c r="D328" s="230">
        <v>890.93</v>
      </c>
      <c r="E328" t="s">
        <v>710</v>
      </c>
    </row>
    <row r="329" spans="1:5" hidden="1" x14ac:dyDescent="0.3">
      <c r="A329" t="s">
        <v>557</v>
      </c>
      <c r="B329" t="s">
        <v>709</v>
      </c>
      <c r="C329" t="s">
        <v>31</v>
      </c>
      <c r="D329" s="230">
        <v>0</v>
      </c>
      <c r="E329" t="s">
        <v>710</v>
      </c>
    </row>
    <row r="330" spans="1:5" hidden="1" x14ac:dyDescent="0.3">
      <c r="A330" t="s">
        <v>557</v>
      </c>
      <c r="B330" t="s">
        <v>709</v>
      </c>
      <c r="C330" t="s">
        <v>34</v>
      </c>
      <c r="D330" s="230">
        <v>-7967.93</v>
      </c>
      <c r="E330" t="s">
        <v>710</v>
      </c>
    </row>
    <row r="331" spans="1:5" hidden="1" x14ac:dyDescent="0.3">
      <c r="A331" t="s">
        <v>557</v>
      </c>
      <c r="B331" t="s">
        <v>709</v>
      </c>
      <c r="C331" t="s">
        <v>38</v>
      </c>
      <c r="D331" s="230">
        <v>-7967.93</v>
      </c>
      <c r="E331" t="s">
        <v>710</v>
      </c>
    </row>
    <row r="332" spans="1:5" hidden="1" x14ac:dyDescent="0.3">
      <c r="A332" t="s">
        <v>557</v>
      </c>
      <c r="B332" t="s">
        <v>709</v>
      </c>
      <c r="C332" t="s">
        <v>40</v>
      </c>
      <c r="D332" s="230">
        <v>0</v>
      </c>
      <c r="E332" t="s">
        <v>710</v>
      </c>
    </row>
    <row r="333" spans="1:5" hidden="1" x14ac:dyDescent="0.3">
      <c r="A333" t="s">
        <v>557</v>
      </c>
      <c r="B333" t="s">
        <v>709</v>
      </c>
      <c r="C333" t="s">
        <v>42</v>
      </c>
      <c r="D333" s="230">
        <v>0</v>
      </c>
      <c r="E333" t="s">
        <v>710</v>
      </c>
    </row>
    <row r="334" spans="1:5" hidden="1" x14ac:dyDescent="0.3">
      <c r="A334" t="s">
        <v>557</v>
      </c>
      <c r="B334" t="s">
        <v>709</v>
      </c>
      <c r="C334" t="s">
        <v>44</v>
      </c>
      <c r="D334" s="230">
        <v>-0.02</v>
      </c>
      <c r="E334" t="s">
        <v>710</v>
      </c>
    </row>
    <row r="335" spans="1:5" hidden="1" x14ac:dyDescent="0.3">
      <c r="A335" t="s">
        <v>557</v>
      </c>
      <c r="B335" t="s">
        <v>709</v>
      </c>
      <c r="C335" t="s">
        <v>45</v>
      </c>
      <c r="D335" s="230">
        <v>-21718.53</v>
      </c>
      <c r="E335" t="s">
        <v>710</v>
      </c>
    </row>
    <row r="336" spans="1:5" hidden="1" x14ac:dyDescent="0.3">
      <c r="A336" t="s">
        <v>557</v>
      </c>
      <c r="B336" t="s">
        <v>709</v>
      </c>
      <c r="C336" t="s">
        <v>46</v>
      </c>
      <c r="D336" s="230">
        <v>-11167.85</v>
      </c>
      <c r="E336" t="s">
        <v>710</v>
      </c>
    </row>
    <row r="337" spans="1:5" hidden="1" x14ac:dyDescent="0.3">
      <c r="A337" t="s">
        <v>557</v>
      </c>
      <c r="B337" t="s">
        <v>709</v>
      </c>
      <c r="C337" t="s">
        <v>48</v>
      </c>
      <c r="D337" s="230">
        <v>-9252</v>
      </c>
      <c r="E337" t="s">
        <v>710</v>
      </c>
    </row>
    <row r="338" spans="1:5" hidden="1" x14ac:dyDescent="0.3">
      <c r="A338" t="s">
        <v>557</v>
      </c>
      <c r="B338" t="s">
        <v>709</v>
      </c>
      <c r="C338" t="s">
        <v>49</v>
      </c>
      <c r="D338" s="230">
        <v>-1298.68</v>
      </c>
      <c r="E338" t="s">
        <v>710</v>
      </c>
    </row>
    <row r="339" spans="1:5" hidden="1" x14ac:dyDescent="0.3">
      <c r="A339" t="s">
        <v>557</v>
      </c>
      <c r="B339" t="s">
        <v>709</v>
      </c>
      <c r="C339" t="s">
        <v>50</v>
      </c>
      <c r="D339" s="230">
        <v>320068.93</v>
      </c>
      <c r="E339" t="s">
        <v>710</v>
      </c>
    </row>
    <row r="340" spans="1:5" hidden="1" x14ac:dyDescent="0.3">
      <c r="A340" t="s">
        <v>557</v>
      </c>
      <c r="B340" t="s">
        <v>709</v>
      </c>
      <c r="C340" t="s">
        <v>51</v>
      </c>
      <c r="D340" s="230">
        <v>-100010.48</v>
      </c>
      <c r="E340" t="s">
        <v>710</v>
      </c>
    </row>
    <row r="341" spans="1:5" hidden="1" x14ac:dyDescent="0.3">
      <c r="A341" t="s">
        <v>557</v>
      </c>
      <c r="B341" t="s">
        <v>709</v>
      </c>
      <c r="C341" t="s">
        <v>52</v>
      </c>
      <c r="D341" s="230">
        <v>-70043.95</v>
      </c>
      <c r="E341" t="s">
        <v>710</v>
      </c>
    </row>
    <row r="342" spans="1:5" hidden="1" x14ac:dyDescent="0.3">
      <c r="A342" t="s">
        <v>557</v>
      </c>
      <c r="B342" t="s">
        <v>709</v>
      </c>
      <c r="C342" t="s">
        <v>53</v>
      </c>
      <c r="D342" s="230">
        <v>-29966.53</v>
      </c>
      <c r="E342" t="s">
        <v>710</v>
      </c>
    </row>
    <row r="343" spans="1:5" hidden="1" x14ac:dyDescent="0.3">
      <c r="A343" t="s">
        <v>557</v>
      </c>
      <c r="B343" t="s">
        <v>709</v>
      </c>
      <c r="C343" t="s">
        <v>54</v>
      </c>
      <c r="D343" s="230">
        <v>0</v>
      </c>
      <c r="E343" t="s">
        <v>710</v>
      </c>
    </row>
    <row r="344" spans="1:5" hidden="1" x14ac:dyDescent="0.3">
      <c r="A344" t="s">
        <v>557</v>
      </c>
      <c r="B344" t="s">
        <v>709</v>
      </c>
      <c r="C344" t="s">
        <v>23</v>
      </c>
      <c r="D344" s="230">
        <v>0</v>
      </c>
      <c r="E344" t="s">
        <v>710</v>
      </c>
    </row>
    <row r="345" spans="1:5" hidden="1" x14ac:dyDescent="0.3">
      <c r="A345" t="s">
        <v>557</v>
      </c>
      <c r="B345" t="s">
        <v>709</v>
      </c>
      <c r="C345" t="s">
        <v>44</v>
      </c>
      <c r="D345" s="230">
        <v>-0.34</v>
      </c>
      <c r="E345" t="s">
        <v>710</v>
      </c>
    </row>
    <row r="346" spans="1:5" hidden="1" x14ac:dyDescent="0.3">
      <c r="A346" t="s">
        <v>557</v>
      </c>
      <c r="B346" t="s">
        <v>709</v>
      </c>
      <c r="C346" t="s">
        <v>55</v>
      </c>
      <c r="D346" s="230">
        <v>-0.31</v>
      </c>
      <c r="E346" t="s">
        <v>710</v>
      </c>
    </row>
    <row r="347" spans="1:5" hidden="1" x14ac:dyDescent="0.3">
      <c r="A347" t="s">
        <v>557</v>
      </c>
      <c r="B347" t="s">
        <v>709</v>
      </c>
      <c r="C347" t="s">
        <v>56</v>
      </c>
      <c r="D347" s="230">
        <v>-8303.73</v>
      </c>
      <c r="E347" t="s">
        <v>710</v>
      </c>
    </row>
    <row r="348" spans="1:5" hidden="1" x14ac:dyDescent="0.3">
      <c r="A348" t="s">
        <v>557</v>
      </c>
      <c r="B348" t="s">
        <v>709</v>
      </c>
      <c r="C348" t="s">
        <v>57</v>
      </c>
      <c r="D348" s="230">
        <v>-8303.73</v>
      </c>
      <c r="E348" t="s">
        <v>710</v>
      </c>
    </row>
    <row r="349" spans="1:5" hidden="1" x14ac:dyDescent="0.3">
      <c r="A349" t="s">
        <v>557</v>
      </c>
      <c r="B349" t="s">
        <v>709</v>
      </c>
      <c r="C349" t="s">
        <v>58</v>
      </c>
      <c r="D349" s="230">
        <v>-7979.04</v>
      </c>
      <c r="E349" t="s">
        <v>710</v>
      </c>
    </row>
    <row r="350" spans="1:5" hidden="1" x14ac:dyDescent="0.3">
      <c r="A350" t="s">
        <v>557</v>
      </c>
      <c r="B350" t="s">
        <v>709</v>
      </c>
      <c r="C350" t="s">
        <v>59</v>
      </c>
      <c r="D350" s="230">
        <v>-324.69</v>
      </c>
      <c r="E350" t="s">
        <v>710</v>
      </c>
    </row>
    <row r="351" spans="1:5" hidden="1" x14ac:dyDescent="0.3">
      <c r="A351" t="s">
        <v>557</v>
      </c>
      <c r="B351" t="s">
        <v>709</v>
      </c>
      <c r="C351" t="s">
        <v>61</v>
      </c>
      <c r="D351" s="230">
        <v>0</v>
      </c>
      <c r="E351" t="s">
        <v>710</v>
      </c>
    </row>
    <row r="352" spans="1:5" hidden="1" x14ac:dyDescent="0.3">
      <c r="A352" t="s">
        <v>557</v>
      </c>
      <c r="B352" t="s">
        <v>709</v>
      </c>
      <c r="C352" t="s">
        <v>62</v>
      </c>
      <c r="D352" s="230">
        <v>0</v>
      </c>
      <c r="E352" t="s">
        <v>710</v>
      </c>
    </row>
    <row r="353" spans="1:5" hidden="1" x14ac:dyDescent="0.3">
      <c r="A353" t="s">
        <v>557</v>
      </c>
      <c r="B353" t="s">
        <v>709</v>
      </c>
      <c r="C353" t="s">
        <v>64</v>
      </c>
      <c r="D353" s="230">
        <v>0</v>
      </c>
      <c r="E353" t="s">
        <v>710</v>
      </c>
    </row>
    <row r="354" spans="1:5" hidden="1" x14ac:dyDescent="0.3">
      <c r="A354" t="s">
        <v>557</v>
      </c>
      <c r="B354" t="s">
        <v>709</v>
      </c>
      <c r="C354" t="s">
        <v>65</v>
      </c>
      <c r="D354" s="230">
        <v>0</v>
      </c>
      <c r="E354" t="s">
        <v>710</v>
      </c>
    </row>
    <row r="355" spans="1:5" hidden="1" x14ac:dyDescent="0.3">
      <c r="A355" t="s">
        <v>557</v>
      </c>
      <c r="B355" t="s">
        <v>709</v>
      </c>
      <c r="C355" t="s">
        <v>66</v>
      </c>
      <c r="D355" s="230">
        <v>0</v>
      </c>
      <c r="E355" t="s">
        <v>710</v>
      </c>
    </row>
    <row r="356" spans="1:5" hidden="1" x14ac:dyDescent="0.3">
      <c r="A356" t="s">
        <v>557</v>
      </c>
      <c r="B356" t="s">
        <v>709</v>
      </c>
      <c r="C356" t="s">
        <v>68</v>
      </c>
      <c r="D356" s="230">
        <v>0</v>
      </c>
      <c r="E356" t="s">
        <v>710</v>
      </c>
    </row>
    <row r="357" spans="1:5" hidden="1" x14ac:dyDescent="0.3">
      <c r="A357" t="s">
        <v>557</v>
      </c>
      <c r="B357" t="s">
        <v>709</v>
      </c>
      <c r="C357" t="s">
        <v>69</v>
      </c>
      <c r="D357" s="230">
        <v>0</v>
      </c>
      <c r="E357" t="s">
        <v>710</v>
      </c>
    </row>
    <row r="358" spans="1:5" hidden="1" x14ac:dyDescent="0.3">
      <c r="A358" t="s">
        <v>557</v>
      </c>
      <c r="B358" t="s">
        <v>709</v>
      </c>
      <c r="C358" t="s">
        <v>70</v>
      </c>
      <c r="D358" s="230">
        <v>-0.91</v>
      </c>
      <c r="E358" t="s">
        <v>710</v>
      </c>
    </row>
    <row r="359" spans="1:5" hidden="1" x14ac:dyDescent="0.3">
      <c r="A359" t="s">
        <v>557</v>
      </c>
      <c r="B359" t="s">
        <v>709</v>
      </c>
      <c r="C359" t="s">
        <v>44</v>
      </c>
      <c r="D359" s="230">
        <v>-0.02</v>
      </c>
      <c r="E359" t="s">
        <v>710</v>
      </c>
    </row>
    <row r="360" spans="1:5" hidden="1" x14ac:dyDescent="0.3">
      <c r="A360" t="s">
        <v>557</v>
      </c>
      <c r="B360" t="s">
        <v>709</v>
      </c>
      <c r="C360" t="s">
        <v>71</v>
      </c>
      <c r="D360" s="230">
        <v>0</v>
      </c>
      <c r="E360" t="s">
        <v>710</v>
      </c>
    </row>
    <row r="361" spans="1:5" hidden="1" x14ac:dyDescent="0.3">
      <c r="A361" t="s">
        <v>557</v>
      </c>
      <c r="B361" t="s">
        <v>709</v>
      </c>
      <c r="C361" t="s">
        <v>72</v>
      </c>
      <c r="D361" s="230">
        <v>0</v>
      </c>
      <c r="E361" t="s">
        <v>710</v>
      </c>
    </row>
    <row r="362" spans="1:5" hidden="1" x14ac:dyDescent="0.3">
      <c r="A362" t="s">
        <v>557</v>
      </c>
      <c r="B362" t="s">
        <v>709</v>
      </c>
      <c r="C362" t="s">
        <v>73</v>
      </c>
      <c r="D362" s="230">
        <v>0</v>
      </c>
      <c r="E362" t="s">
        <v>710</v>
      </c>
    </row>
    <row r="363" spans="1:5" hidden="1" x14ac:dyDescent="0.3">
      <c r="A363" t="s">
        <v>557</v>
      </c>
      <c r="B363" t="s">
        <v>709</v>
      </c>
      <c r="C363" t="s">
        <v>75</v>
      </c>
      <c r="D363" s="230">
        <v>0</v>
      </c>
      <c r="E363" t="s">
        <v>710</v>
      </c>
    </row>
    <row r="364" spans="1:5" hidden="1" x14ac:dyDescent="0.3">
      <c r="A364" t="s">
        <v>557</v>
      </c>
      <c r="B364" t="s">
        <v>709</v>
      </c>
      <c r="C364" t="s">
        <v>77</v>
      </c>
      <c r="D364" s="230">
        <v>0</v>
      </c>
      <c r="E364" t="s">
        <v>710</v>
      </c>
    </row>
    <row r="365" spans="1:5" hidden="1" x14ac:dyDescent="0.3">
      <c r="A365" t="s">
        <v>557</v>
      </c>
      <c r="B365" t="s">
        <v>709</v>
      </c>
      <c r="C365" t="s">
        <v>78</v>
      </c>
      <c r="D365" s="230">
        <v>0</v>
      </c>
      <c r="E365" t="s">
        <v>710</v>
      </c>
    </row>
    <row r="366" spans="1:5" hidden="1" x14ac:dyDescent="0.3">
      <c r="A366" t="s">
        <v>557</v>
      </c>
      <c r="B366" t="s">
        <v>709</v>
      </c>
      <c r="C366" t="s">
        <v>80</v>
      </c>
      <c r="D366" s="230">
        <v>0</v>
      </c>
      <c r="E366" t="s">
        <v>710</v>
      </c>
    </row>
    <row r="367" spans="1:5" hidden="1" x14ac:dyDescent="0.3">
      <c r="A367" t="s">
        <v>557</v>
      </c>
      <c r="B367" t="s">
        <v>709</v>
      </c>
      <c r="C367" t="s">
        <v>82</v>
      </c>
      <c r="D367" s="230">
        <v>0</v>
      </c>
      <c r="E367" t="s">
        <v>710</v>
      </c>
    </row>
    <row r="368" spans="1:5" hidden="1" x14ac:dyDescent="0.3">
      <c r="A368" t="s">
        <v>557</v>
      </c>
      <c r="B368" t="s">
        <v>709</v>
      </c>
      <c r="C368" t="s">
        <v>84</v>
      </c>
      <c r="D368" s="230">
        <v>0</v>
      </c>
      <c r="E368" t="s">
        <v>710</v>
      </c>
    </row>
    <row r="369" spans="1:5" hidden="1" x14ac:dyDescent="0.3">
      <c r="A369" t="s">
        <v>557</v>
      </c>
      <c r="B369" t="s">
        <v>709</v>
      </c>
      <c r="C369" t="s">
        <v>85</v>
      </c>
      <c r="D369" s="230">
        <v>0</v>
      </c>
      <c r="E369" t="s">
        <v>710</v>
      </c>
    </row>
    <row r="370" spans="1:5" hidden="1" x14ac:dyDescent="0.3">
      <c r="A370" t="s">
        <v>557</v>
      </c>
      <c r="B370" t="s">
        <v>709</v>
      </c>
      <c r="C370" t="s">
        <v>86</v>
      </c>
      <c r="D370" s="230">
        <v>0</v>
      </c>
      <c r="E370" t="s">
        <v>710</v>
      </c>
    </row>
    <row r="371" spans="1:5" hidden="1" x14ac:dyDescent="0.3">
      <c r="A371" t="s">
        <v>557</v>
      </c>
      <c r="B371" t="s">
        <v>709</v>
      </c>
      <c r="C371" t="s">
        <v>87</v>
      </c>
      <c r="D371" s="230">
        <v>0</v>
      </c>
      <c r="E371" t="s">
        <v>710</v>
      </c>
    </row>
    <row r="372" spans="1:5" hidden="1" x14ac:dyDescent="0.3">
      <c r="A372" t="s">
        <v>557</v>
      </c>
      <c r="B372" t="s">
        <v>709</v>
      </c>
      <c r="C372" t="s">
        <v>88</v>
      </c>
      <c r="D372" s="230">
        <v>0</v>
      </c>
      <c r="E372" t="s">
        <v>710</v>
      </c>
    </row>
    <row r="373" spans="1:5" hidden="1" x14ac:dyDescent="0.3">
      <c r="A373" t="s">
        <v>557</v>
      </c>
      <c r="B373" t="s">
        <v>709</v>
      </c>
      <c r="C373" t="s">
        <v>89</v>
      </c>
      <c r="D373" s="230">
        <v>0</v>
      </c>
      <c r="E373" t="s">
        <v>710</v>
      </c>
    </row>
    <row r="374" spans="1:5" hidden="1" x14ac:dyDescent="0.3">
      <c r="A374" t="s">
        <v>557</v>
      </c>
      <c r="B374" t="s">
        <v>709</v>
      </c>
      <c r="C374" t="s">
        <v>90</v>
      </c>
      <c r="D374" s="230">
        <v>0</v>
      </c>
      <c r="E374" t="s">
        <v>710</v>
      </c>
    </row>
    <row r="375" spans="1:5" hidden="1" x14ac:dyDescent="0.3">
      <c r="A375" t="s">
        <v>557</v>
      </c>
      <c r="B375" t="s">
        <v>709</v>
      </c>
      <c r="C375" t="s">
        <v>91</v>
      </c>
      <c r="D375" s="230">
        <v>0</v>
      </c>
      <c r="E375" t="s">
        <v>710</v>
      </c>
    </row>
    <row r="376" spans="1:5" hidden="1" x14ac:dyDescent="0.3">
      <c r="A376" t="s">
        <v>557</v>
      </c>
      <c r="B376" t="s">
        <v>709</v>
      </c>
      <c r="C376" t="s">
        <v>93</v>
      </c>
      <c r="D376" s="230">
        <v>0</v>
      </c>
      <c r="E376" t="s">
        <v>710</v>
      </c>
    </row>
    <row r="377" spans="1:5" hidden="1" x14ac:dyDescent="0.3">
      <c r="A377" t="s">
        <v>557</v>
      </c>
      <c r="B377" t="s">
        <v>709</v>
      </c>
      <c r="C377" t="s">
        <v>95</v>
      </c>
      <c r="D377" s="230">
        <v>0</v>
      </c>
      <c r="E377" t="s">
        <v>710</v>
      </c>
    </row>
    <row r="378" spans="1:5" hidden="1" x14ac:dyDescent="0.3">
      <c r="A378" t="s">
        <v>557</v>
      </c>
      <c r="B378" t="s">
        <v>709</v>
      </c>
      <c r="C378" t="s">
        <v>96</v>
      </c>
      <c r="D378" s="230">
        <v>0</v>
      </c>
      <c r="E378" t="s">
        <v>710</v>
      </c>
    </row>
    <row r="379" spans="1:5" hidden="1" x14ac:dyDescent="0.3">
      <c r="A379" t="s">
        <v>557</v>
      </c>
      <c r="B379" t="s">
        <v>709</v>
      </c>
      <c r="C379" t="s">
        <v>98</v>
      </c>
      <c r="D379" s="230">
        <v>0</v>
      </c>
      <c r="E379" t="s">
        <v>710</v>
      </c>
    </row>
    <row r="380" spans="1:5" hidden="1" x14ac:dyDescent="0.3">
      <c r="A380" t="s">
        <v>557</v>
      </c>
      <c r="B380" t="s">
        <v>709</v>
      </c>
      <c r="C380" t="s">
        <v>100</v>
      </c>
      <c r="D380" s="230">
        <v>0</v>
      </c>
      <c r="E380" t="s">
        <v>710</v>
      </c>
    </row>
    <row r="381" spans="1:5" hidden="1" x14ac:dyDescent="0.3">
      <c r="A381" t="s">
        <v>557</v>
      </c>
      <c r="B381" t="s">
        <v>709</v>
      </c>
      <c r="C381" t="s">
        <v>101</v>
      </c>
      <c r="D381" s="230">
        <v>0</v>
      </c>
      <c r="E381" t="s">
        <v>710</v>
      </c>
    </row>
    <row r="382" spans="1:5" hidden="1" x14ac:dyDescent="0.3">
      <c r="A382" t="s">
        <v>557</v>
      </c>
      <c r="B382" t="s">
        <v>709</v>
      </c>
      <c r="C382" t="s">
        <v>102</v>
      </c>
      <c r="D382" s="230">
        <v>0</v>
      </c>
      <c r="E382" t="s">
        <v>710</v>
      </c>
    </row>
    <row r="383" spans="1:5" hidden="1" x14ac:dyDescent="0.3">
      <c r="A383" t="s">
        <v>557</v>
      </c>
      <c r="B383" t="s">
        <v>709</v>
      </c>
      <c r="C383" t="s">
        <v>103</v>
      </c>
      <c r="D383" s="230">
        <v>0</v>
      </c>
      <c r="E383" t="s">
        <v>710</v>
      </c>
    </row>
    <row r="384" spans="1:5" hidden="1" x14ac:dyDescent="0.3">
      <c r="A384" t="s">
        <v>557</v>
      </c>
      <c r="B384" t="s">
        <v>709</v>
      </c>
      <c r="C384" t="s">
        <v>104</v>
      </c>
      <c r="D384" s="230">
        <v>0</v>
      </c>
      <c r="E384" t="s">
        <v>710</v>
      </c>
    </row>
    <row r="385" spans="1:5" hidden="1" x14ac:dyDescent="0.3">
      <c r="A385" t="s">
        <v>557</v>
      </c>
      <c r="B385" t="s">
        <v>709</v>
      </c>
      <c r="C385" t="s">
        <v>105</v>
      </c>
      <c r="D385" s="230">
        <v>0</v>
      </c>
      <c r="E385" t="s">
        <v>710</v>
      </c>
    </row>
    <row r="386" spans="1:5" hidden="1" x14ac:dyDescent="0.3">
      <c r="A386" t="s">
        <v>557</v>
      </c>
      <c r="B386" t="s">
        <v>709</v>
      </c>
      <c r="C386" t="s">
        <v>107</v>
      </c>
      <c r="D386" s="230">
        <v>0</v>
      </c>
      <c r="E386" t="s">
        <v>710</v>
      </c>
    </row>
    <row r="387" spans="1:5" hidden="1" x14ac:dyDescent="0.3">
      <c r="A387" t="s">
        <v>557</v>
      </c>
      <c r="B387" t="s">
        <v>709</v>
      </c>
      <c r="C387" t="s">
        <v>108</v>
      </c>
      <c r="D387" s="230">
        <v>0</v>
      </c>
      <c r="E387" t="s">
        <v>710</v>
      </c>
    </row>
    <row r="388" spans="1:5" hidden="1" x14ac:dyDescent="0.3">
      <c r="A388" t="s">
        <v>557</v>
      </c>
      <c r="B388" t="s">
        <v>709</v>
      </c>
      <c r="C388" t="s">
        <v>109</v>
      </c>
      <c r="D388" s="230">
        <v>0</v>
      </c>
      <c r="E388" t="s">
        <v>710</v>
      </c>
    </row>
    <row r="389" spans="1:5" hidden="1" x14ac:dyDescent="0.3">
      <c r="A389" t="s">
        <v>557</v>
      </c>
      <c r="B389" t="s">
        <v>709</v>
      </c>
      <c r="C389" t="s">
        <v>110</v>
      </c>
      <c r="D389" s="230">
        <v>0</v>
      </c>
      <c r="E389" t="s">
        <v>710</v>
      </c>
    </row>
    <row r="390" spans="1:5" hidden="1" x14ac:dyDescent="0.3">
      <c r="A390" t="s">
        <v>557</v>
      </c>
      <c r="B390" t="s">
        <v>709</v>
      </c>
      <c r="C390" t="s">
        <v>44</v>
      </c>
      <c r="D390" s="230">
        <v>0</v>
      </c>
      <c r="E390" t="s">
        <v>710</v>
      </c>
    </row>
    <row r="391" spans="1:5" hidden="1" x14ac:dyDescent="0.3">
      <c r="A391" t="s">
        <v>557</v>
      </c>
      <c r="B391" t="s">
        <v>709</v>
      </c>
      <c r="C391" t="s">
        <v>111</v>
      </c>
      <c r="D391" s="230">
        <v>-32771.5</v>
      </c>
      <c r="E391" t="s">
        <v>710</v>
      </c>
    </row>
    <row r="392" spans="1:5" hidden="1" x14ac:dyDescent="0.3">
      <c r="A392" t="s">
        <v>557</v>
      </c>
      <c r="B392" t="s">
        <v>709</v>
      </c>
      <c r="C392" t="s">
        <v>608</v>
      </c>
      <c r="D392" s="230">
        <v>-32771.5</v>
      </c>
      <c r="E392" t="s">
        <v>710</v>
      </c>
    </row>
    <row r="393" spans="1:5" hidden="1" x14ac:dyDescent="0.3">
      <c r="A393" t="s">
        <v>557</v>
      </c>
      <c r="B393" t="s">
        <v>709</v>
      </c>
      <c r="C393" t="s">
        <v>44</v>
      </c>
      <c r="D393" s="230">
        <v>-0.09</v>
      </c>
      <c r="E393" t="s">
        <v>710</v>
      </c>
    </row>
    <row r="394" spans="1:5" hidden="1" x14ac:dyDescent="0.3">
      <c r="A394" t="s">
        <v>557</v>
      </c>
      <c r="B394" t="s">
        <v>709</v>
      </c>
      <c r="C394" t="s">
        <v>115</v>
      </c>
      <c r="D394" s="230">
        <v>-7996.28</v>
      </c>
      <c r="E394" t="s">
        <v>710</v>
      </c>
    </row>
    <row r="395" spans="1:5" hidden="1" x14ac:dyDescent="0.3">
      <c r="A395" t="s">
        <v>557</v>
      </c>
      <c r="B395" t="s">
        <v>709</v>
      </c>
      <c r="C395" t="s">
        <v>116</v>
      </c>
      <c r="D395" s="230">
        <v>-6369.48</v>
      </c>
      <c r="E395" t="s">
        <v>710</v>
      </c>
    </row>
    <row r="396" spans="1:5" hidden="1" x14ac:dyDescent="0.3">
      <c r="A396" t="s">
        <v>557</v>
      </c>
      <c r="B396" t="s">
        <v>709</v>
      </c>
      <c r="C396" t="s">
        <v>118</v>
      </c>
      <c r="D396" s="230">
        <v>0</v>
      </c>
      <c r="E396" t="s">
        <v>710</v>
      </c>
    </row>
    <row r="397" spans="1:5" hidden="1" x14ac:dyDescent="0.3">
      <c r="A397" t="s">
        <v>557</v>
      </c>
      <c r="B397" t="s">
        <v>709</v>
      </c>
      <c r="C397" t="s">
        <v>120</v>
      </c>
      <c r="D397" s="230">
        <v>0</v>
      </c>
      <c r="E397" t="s">
        <v>710</v>
      </c>
    </row>
    <row r="398" spans="1:5" hidden="1" x14ac:dyDescent="0.3">
      <c r="A398" t="s">
        <v>557</v>
      </c>
      <c r="B398" t="s">
        <v>709</v>
      </c>
      <c r="C398" t="s">
        <v>122</v>
      </c>
      <c r="D398" s="230">
        <v>-1626.8</v>
      </c>
      <c r="E398" t="s">
        <v>710</v>
      </c>
    </row>
    <row r="399" spans="1:5" hidden="1" x14ac:dyDescent="0.3">
      <c r="A399" t="s">
        <v>557</v>
      </c>
      <c r="B399" t="s">
        <v>709</v>
      </c>
      <c r="C399" t="s">
        <v>44</v>
      </c>
      <c r="D399" s="230">
        <v>-0.02</v>
      </c>
      <c r="E399" t="s">
        <v>710</v>
      </c>
    </row>
    <row r="400" spans="1:5" hidden="1" x14ac:dyDescent="0.3">
      <c r="A400" t="s">
        <v>557</v>
      </c>
      <c r="B400" t="s">
        <v>709</v>
      </c>
      <c r="C400" t="s">
        <v>126</v>
      </c>
      <c r="D400" s="230">
        <v>170986.93</v>
      </c>
      <c r="E400" t="s">
        <v>710</v>
      </c>
    </row>
    <row r="401" spans="1:5" hidden="1" x14ac:dyDescent="0.3">
      <c r="A401" t="s">
        <v>557</v>
      </c>
      <c r="B401" t="s">
        <v>709</v>
      </c>
      <c r="C401" t="s">
        <v>127</v>
      </c>
      <c r="D401" s="230">
        <v>0.49</v>
      </c>
      <c r="E401" t="s">
        <v>710</v>
      </c>
    </row>
    <row r="402" spans="1:5" hidden="1" x14ac:dyDescent="0.3">
      <c r="A402" t="s">
        <v>557</v>
      </c>
      <c r="B402" t="s">
        <v>709</v>
      </c>
      <c r="C402" t="s">
        <v>128</v>
      </c>
      <c r="D402" s="230">
        <v>-120785.19</v>
      </c>
      <c r="E402" t="s">
        <v>710</v>
      </c>
    </row>
    <row r="403" spans="1:5" hidden="1" x14ac:dyDescent="0.3">
      <c r="A403" t="s">
        <v>557</v>
      </c>
      <c r="B403" t="s">
        <v>709</v>
      </c>
      <c r="C403" t="s">
        <v>129</v>
      </c>
      <c r="D403" s="230">
        <v>-45757.17</v>
      </c>
      <c r="E403" t="s">
        <v>710</v>
      </c>
    </row>
    <row r="404" spans="1:5" hidden="1" x14ac:dyDescent="0.3">
      <c r="A404" t="s">
        <v>557</v>
      </c>
      <c r="B404" t="s">
        <v>709</v>
      </c>
      <c r="C404" t="s">
        <v>609</v>
      </c>
      <c r="D404" s="230">
        <v>-5613.17</v>
      </c>
      <c r="E404" t="s">
        <v>710</v>
      </c>
    </row>
    <row r="405" spans="1:5" hidden="1" x14ac:dyDescent="0.3">
      <c r="A405" t="s">
        <v>557</v>
      </c>
      <c r="B405" t="s">
        <v>709</v>
      </c>
      <c r="C405" t="s">
        <v>610</v>
      </c>
      <c r="D405" s="230">
        <v>-11000</v>
      </c>
      <c r="E405" t="s">
        <v>710</v>
      </c>
    </row>
    <row r="406" spans="1:5" hidden="1" x14ac:dyDescent="0.3">
      <c r="A406" t="s">
        <v>557</v>
      </c>
      <c r="B406" t="s">
        <v>709</v>
      </c>
      <c r="C406" t="s">
        <v>611</v>
      </c>
      <c r="D406" s="230">
        <v>-6600</v>
      </c>
      <c r="E406" t="s">
        <v>710</v>
      </c>
    </row>
    <row r="407" spans="1:5" hidden="1" x14ac:dyDescent="0.3">
      <c r="A407" t="s">
        <v>557</v>
      </c>
      <c r="B407" t="s">
        <v>709</v>
      </c>
      <c r="C407" t="s">
        <v>612</v>
      </c>
      <c r="D407" s="230">
        <v>-4224</v>
      </c>
      <c r="E407" t="s">
        <v>710</v>
      </c>
    </row>
    <row r="408" spans="1:5" hidden="1" x14ac:dyDescent="0.3">
      <c r="A408" t="s">
        <v>557</v>
      </c>
      <c r="B408" t="s">
        <v>709</v>
      </c>
      <c r="C408" t="s">
        <v>613</v>
      </c>
      <c r="D408" s="230">
        <v>-1720</v>
      </c>
      <c r="E408" t="s">
        <v>710</v>
      </c>
    </row>
    <row r="409" spans="1:5" hidden="1" x14ac:dyDescent="0.3">
      <c r="A409" t="s">
        <v>557</v>
      </c>
      <c r="B409" t="s">
        <v>709</v>
      </c>
      <c r="C409" t="s">
        <v>614</v>
      </c>
      <c r="D409" s="230">
        <v>-11800</v>
      </c>
      <c r="E409" t="s">
        <v>710</v>
      </c>
    </row>
    <row r="410" spans="1:5" hidden="1" x14ac:dyDescent="0.3">
      <c r="A410" t="s">
        <v>557</v>
      </c>
      <c r="B410" t="s">
        <v>709</v>
      </c>
      <c r="C410" t="s">
        <v>615</v>
      </c>
      <c r="D410" s="230">
        <v>0</v>
      </c>
      <c r="E410" t="s">
        <v>710</v>
      </c>
    </row>
    <row r="411" spans="1:5" hidden="1" x14ac:dyDescent="0.3">
      <c r="A411" t="s">
        <v>557</v>
      </c>
      <c r="B411" t="s">
        <v>709</v>
      </c>
      <c r="C411" t="s">
        <v>616</v>
      </c>
      <c r="D411" s="230">
        <v>-4800</v>
      </c>
      <c r="E411" t="s">
        <v>710</v>
      </c>
    </row>
    <row r="412" spans="1:5" hidden="1" x14ac:dyDescent="0.3">
      <c r="A412" t="s">
        <v>557</v>
      </c>
      <c r="B412" t="s">
        <v>709</v>
      </c>
      <c r="C412" t="s">
        <v>617</v>
      </c>
      <c r="D412" s="230">
        <v>0</v>
      </c>
      <c r="E412" t="s">
        <v>710</v>
      </c>
    </row>
    <row r="413" spans="1:5" hidden="1" x14ac:dyDescent="0.3">
      <c r="A413" t="s">
        <v>557</v>
      </c>
      <c r="B413" t="s">
        <v>709</v>
      </c>
      <c r="C413" t="s">
        <v>618</v>
      </c>
      <c r="D413" s="230">
        <v>0</v>
      </c>
      <c r="E413" t="s">
        <v>710</v>
      </c>
    </row>
    <row r="414" spans="1:5" hidden="1" x14ac:dyDescent="0.3">
      <c r="A414" t="s">
        <v>557</v>
      </c>
      <c r="B414" t="s">
        <v>709</v>
      </c>
      <c r="C414" t="s">
        <v>619</v>
      </c>
      <c r="D414" s="230">
        <v>0</v>
      </c>
      <c r="E414" t="s">
        <v>710</v>
      </c>
    </row>
    <row r="415" spans="1:5" hidden="1" x14ac:dyDescent="0.3">
      <c r="A415" t="s">
        <v>557</v>
      </c>
      <c r="B415" t="s">
        <v>709</v>
      </c>
      <c r="C415" t="s">
        <v>620</v>
      </c>
      <c r="D415" s="230">
        <v>0</v>
      </c>
      <c r="E415" t="s">
        <v>710</v>
      </c>
    </row>
    <row r="416" spans="1:5" hidden="1" x14ac:dyDescent="0.3">
      <c r="A416" t="s">
        <v>557</v>
      </c>
      <c r="B416" t="s">
        <v>709</v>
      </c>
      <c r="C416" t="s">
        <v>575</v>
      </c>
      <c r="D416" s="230">
        <v>-35741.61</v>
      </c>
      <c r="E416" t="s">
        <v>710</v>
      </c>
    </row>
    <row r="417" spans="1:5" hidden="1" x14ac:dyDescent="0.3">
      <c r="A417" t="s">
        <v>557</v>
      </c>
      <c r="B417" t="s">
        <v>709</v>
      </c>
      <c r="C417" t="s">
        <v>621</v>
      </c>
      <c r="D417" s="230">
        <v>0</v>
      </c>
      <c r="E417" t="s">
        <v>710</v>
      </c>
    </row>
    <row r="418" spans="1:5" hidden="1" x14ac:dyDescent="0.3">
      <c r="A418" t="s">
        <v>557</v>
      </c>
      <c r="B418" t="s">
        <v>709</v>
      </c>
      <c r="C418" t="s">
        <v>622</v>
      </c>
      <c r="D418" s="230">
        <v>0</v>
      </c>
      <c r="E418" t="s">
        <v>710</v>
      </c>
    </row>
    <row r="419" spans="1:5" hidden="1" x14ac:dyDescent="0.3">
      <c r="A419" t="s">
        <v>557</v>
      </c>
      <c r="B419" t="s">
        <v>709</v>
      </c>
      <c r="C419" t="s">
        <v>623</v>
      </c>
      <c r="D419" s="230">
        <v>0</v>
      </c>
      <c r="E419" t="s">
        <v>710</v>
      </c>
    </row>
    <row r="420" spans="1:5" hidden="1" x14ac:dyDescent="0.3">
      <c r="A420" t="s">
        <v>557</v>
      </c>
      <c r="B420" t="s">
        <v>709</v>
      </c>
      <c r="C420" t="s">
        <v>624</v>
      </c>
      <c r="D420" s="230">
        <v>0</v>
      </c>
      <c r="E420" t="s">
        <v>710</v>
      </c>
    </row>
    <row r="421" spans="1:5" hidden="1" x14ac:dyDescent="0.3">
      <c r="A421" t="s">
        <v>557</v>
      </c>
      <c r="B421" t="s">
        <v>709</v>
      </c>
      <c r="C421" t="s">
        <v>625</v>
      </c>
      <c r="D421" s="230">
        <v>0</v>
      </c>
      <c r="E421" t="s">
        <v>710</v>
      </c>
    </row>
    <row r="422" spans="1:5" hidden="1" x14ac:dyDescent="0.3">
      <c r="A422" t="s">
        <v>557</v>
      </c>
      <c r="B422" t="s">
        <v>709</v>
      </c>
      <c r="C422" t="s">
        <v>626</v>
      </c>
      <c r="D422" s="230">
        <v>0</v>
      </c>
      <c r="E422" t="s">
        <v>710</v>
      </c>
    </row>
    <row r="423" spans="1:5" hidden="1" x14ac:dyDescent="0.3">
      <c r="A423" t="s">
        <v>557</v>
      </c>
      <c r="B423" t="s">
        <v>709</v>
      </c>
      <c r="C423" t="s">
        <v>627</v>
      </c>
      <c r="D423" s="230">
        <v>0</v>
      </c>
      <c r="E423" t="s">
        <v>710</v>
      </c>
    </row>
    <row r="424" spans="1:5" hidden="1" x14ac:dyDescent="0.3">
      <c r="A424" t="s">
        <v>557</v>
      </c>
      <c r="B424" t="s">
        <v>709</v>
      </c>
      <c r="C424" t="s">
        <v>628</v>
      </c>
      <c r="D424" s="230">
        <v>0</v>
      </c>
      <c r="E424" t="s">
        <v>710</v>
      </c>
    </row>
    <row r="425" spans="1:5" hidden="1" x14ac:dyDescent="0.3">
      <c r="A425" t="s">
        <v>557</v>
      </c>
      <c r="B425" t="s">
        <v>709</v>
      </c>
      <c r="C425" t="s">
        <v>629</v>
      </c>
      <c r="D425" s="230">
        <v>0</v>
      </c>
      <c r="E425" t="s">
        <v>710</v>
      </c>
    </row>
    <row r="426" spans="1:5" hidden="1" x14ac:dyDescent="0.3">
      <c r="A426" t="s">
        <v>557</v>
      </c>
      <c r="B426" t="s">
        <v>709</v>
      </c>
      <c r="C426" t="s">
        <v>630</v>
      </c>
      <c r="D426" s="230">
        <v>0</v>
      </c>
      <c r="E426" t="s">
        <v>710</v>
      </c>
    </row>
    <row r="427" spans="1:5" hidden="1" x14ac:dyDescent="0.3">
      <c r="A427" t="s">
        <v>557</v>
      </c>
      <c r="B427" t="s">
        <v>709</v>
      </c>
      <c r="C427" t="s">
        <v>631</v>
      </c>
      <c r="D427" s="230">
        <v>0</v>
      </c>
      <c r="E427" t="s">
        <v>710</v>
      </c>
    </row>
    <row r="428" spans="1:5" hidden="1" x14ac:dyDescent="0.3">
      <c r="A428" t="s">
        <v>557</v>
      </c>
      <c r="B428" t="s">
        <v>709</v>
      </c>
      <c r="C428" t="s">
        <v>632</v>
      </c>
      <c r="D428" s="230">
        <v>0</v>
      </c>
      <c r="E428" t="s">
        <v>710</v>
      </c>
    </row>
    <row r="429" spans="1:5" hidden="1" x14ac:dyDescent="0.3">
      <c r="A429" t="s">
        <v>557</v>
      </c>
      <c r="B429" t="s">
        <v>709</v>
      </c>
      <c r="C429" t="s">
        <v>633</v>
      </c>
      <c r="D429" s="230">
        <v>0</v>
      </c>
      <c r="E429" t="s">
        <v>710</v>
      </c>
    </row>
    <row r="430" spans="1:5" hidden="1" x14ac:dyDescent="0.3">
      <c r="A430" t="s">
        <v>557</v>
      </c>
      <c r="B430" t="s">
        <v>709</v>
      </c>
      <c r="C430" t="s">
        <v>634</v>
      </c>
      <c r="D430" s="230">
        <v>0</v>
      </c>
      <c r="E430" t="s">
        <v>710</v>
      </c>
    </row>
    <row r="431" spans="1:5" hidden="1" x14ac:dyDescent="0.3">
      <c r="A431" t="s">
        <v>557</v>
      </c>
      <c r="B431" t="s">
        <v>709</v>
      </c>
      <c r="C431" t="s">
        <v>635</v>
      </c>
      <c r="D431" s="230">
        <v>0</v>
      </c>
      <c r="E431" t="s">
        <v>710</v>
      </c>
    </row>
    <row r="432" spans="1:5" hidden="1" x14ac:dyDescent="0.3">
      <c r="A432" t="s">
        <v>557</v>
      </c>
      <c r="B432" t="s">
        <v>709</v>
      </c>
      <c r="C432" t="s">
        <v>636</v>
      </c>
      <c r="D432" s="230">
        <v>0</v>
      </c>
      <c r="E432" t="s">
        <v>710</v>
      </c>
    </row>
    <row r="433" spans="1:5" hidden="1" x14ac:dyDescent="0.3">
      <c r="A433" t="s">
        <v>557</v>
      </c>
      <c r="B433" t="s">
        <v>709</v>
      </c>
      <c r="C433" t="s">
        <v>637</v>
      </c>
      <c r="D433" s="230">
        <v>0</v>
      </c>
      <c r="E433" t="s">
        <v>710</v>
      </c>
    </row>
    <row r="434" spans="1:5" hidden="1" x14ac:dyDescent="0.3">
      <c r="A434" t="s">
        <v>557</v>
      </c>
      <c r="B434" t="s">
        <v>709</v>
      </c>
      <c r="C434" t="s">
        <v>638</v>
      </c>
      <c r="D434" s="230">
        <v>0</v>
      </c>
      <c r="E434" t="s">
        <v>710</v>
      </c>
    </row>
    <row r="435" spans="1:5" hidden="1" x14ac:dyDescent="0.3">
      <c r="A435" t="s">
        <v>557</v>
      </c>
      <c r="B435" t="s">
        <v>709</v>
      </c>
      <c r="C435" t="s">
        <v>639</v>
      </c>
      <c r="D435" s="230">
        <v>0</v>
      </c>
      <c r="E435" t="s">
        <v>710</v>
      </c>
    </row>
    <row r="436" spans="1:5" hidden="1" x14ac:dyDescent="0.3">
      <c r="A436" t="s">
        <v>557</v>
      </c>
      <c r="B436" t="s">
        <v>709</v>
      </c>
      <c r="C436" t="s">
        <v>640</v>
      </c>
      <c r="D436" s="230">
        <v>0</v>
      </c>
      <c r="E436" t="s">
        <v>710</v>
      </c>
    </row>
    <row r="437" spans="1:5" hidden="1" x14ac:dyDescent="0.3">
      <c r="A437" t="s">
        <v>557</v>
      </c>
      <c r="B437" t="s">
        <v>709</v>
      </c>
      <c r="C437" t="s">
        <v>641</v>
      </c>
      <c r="D437" s="230">
        <v>0</v>
      </c>
      <c r="E437" t="s">
        <v>710</v>
      </c>
    </row>
    <row r="438" spans="1:5" hidden="1" x14ac:dyDescent="0.3">
      <c r="A438" t="s">
        <v>557</v>
      </c>
      <c r="B438" t="s">
        <v>709</v>
      </c>
      <c r="C438" t="s">
        <v>642</v>
      </c>
      <c r="D438" s="230">
        <v>0</v>
      </c>
      <c r="E438" t="s">
        <v>710</v>
      </c>
    </row>
    <row r="439" spans="1:5" hidden="1" x14ac:dyDescent="0.3">
      <c r="A439" t="s">
        <v>557</v>
      </c>
      <c r="B439" t="s">
        <v>709</v>
      </c>
      <c r="C439" t="s">
        <v>643</v>
      </c>
      <c r="D439" s="230">
        <v>0</v>
      </c>
      <c r="E439" t="s">
        <v>710</v>
      </c>
    </row>
    <row r="440" spans="1:5" hidden="1" x14ac:dyDescent="0.3">
      <c r="A440" t="s">
        <v>557</v>
      </c>
      <c r="B440" t="s">
        <v>709</v>
      </c>
      <c r="C440" t="s">
        <v>644</v>
      </c>
      <c r="D440" s="230">
        <v>0</v>
      </c>
      <c r="E440" t="s">
        <v>710</v>
      </c>
    </row>
    <row r="441" spans="1:5" hidden="1" x14ac:dyDescent="0.3">
      <c r="A441" t="s">
        <v>557</v>
      </c>
      <c r="B441" t="s">
        <v>709</v>
      </c>
      <c r="C441" t="s">
        <v>645</v>
      </c>
      <c r="D441" s="230">
        <v>0</v>
      </c>
      <c r="E441" t="s">
        <v>710</v>
      </c>
    </row>
    <row r="442" spans="1:5" hidden="1" x14ac:dyDescent="0.3">
      <c r="A442" t="s">
        <v>557</v>
      </c>
      <c r="B442" t="s">
        <v>709</v>
      </c>
      <c r="C442" t="s">
        <v>646</v>
      </c>
      <c r="D442" s="230">
        <v>0</v>
      </c>
      <c r="E442" t="s">
        <v>710</v>
      </c>
    </row>
    <row r="443" spans="1:5" hidden="1" x14ac:dyDescent="0.3">
      <c r="A443" t="s">
        <v>557</v>
      </c>
      <c r="B443" t="s">
        <v>709</v>
      </c>
      <c r="C443" t="s">
        <v>647</v>
      </c>
      <c r="D443" s="230">
        <v>0</v>
      </c>
      <c r="E443" t="s">
        <v>710</v>
      </c>
    </row>
    <row r="444" spans="1:5" hidden="1" x14ac:dyDescent="0.3">
      <c r="A444" t="s">
        <v>557</v>
      </c>
      <c r="B444" t="s">
        <v>709</v>
      </c>
      <c r="C444" t="s">
        <v>648</v>
      </c>
      <c r="D444" s="230">
        <v>0</v>
      </c>
      <c r="E444" t="s">
        <v>710</v>
      </c>
    </row>
    <row r="445" spans="1:5" hidden="1" x14ac:dyDescent="0.3">
      <c r="A445" t="s">
        <v>557</v>
      </c>
      <c r="B445" t="s">
        <v>709</v>
      </c>
      <c r="C445" t="s">
        <v>649</v>
      </c>
      <c r="D445" s="230">
        <v>0</v>
      </c>
      <c r="E445" t="s">
        <v>710</v>
      </c>
    </row>
    <row r="446" spans="1:5" hidden="1" x14ac:dyDescent="0.3">
      <c r="A446" t="s">
        <v>557</v>
      </c>
      <c r="B446" t="s">
        <v>709</v>
      </c>
      <c r="C446" t="s">
        <v>650</v>
      </c>
      <c r="D446" s="230">
        <v>0</v>
      </c>
      <c r="E446" t="s">
        <v>710</v>
      </c>
    </row>
    <row r="447" spans="1:5" hidden="1" x14ac:dyDescent="0.3">
      <c r="A447" t="s">
        <v>557</v>
      </c>
      <c r="B447" t="s">
        <v>709</v>
      </c>
      <c r="C447" t="s">
        <v>651</v>
      </c>
      <c r="D447" s="230">
        <v>0</v>
      </c>
      <c r="E447" t="s">
        <v>710</v>
      </c>
    </row>
    <row r="448" spans="1:5" hidden="1" x14ac:dyDescent="0.3">
      <c r="A448" t="s">
        <v>557</v>
      </c>
      <c r="B448" t="s">
        <v>709</v>
      </c>
      <c r="C448" t="s">
        <v>652</v>
      </c>
      <c r="D448" s="230">
        <v>0</v>
      </c>
      <c r="E448" t="s">
        <v>710</v>
      </c>
    </row>
    <row r="449" spans="1:5" hidden="1" x14ac:dyDescent="0.3">
      <c r="A449" t="s">
        <v>557</v>
      </c>
      <c r="B449" t="s">
        <v>709</v>
      </c>
      <c r="C449" t="s">
        <v>653</v>
      </c>
      <c r="D449" s="230">
        <v>0</v>
      </c>
      <c r="E449" t="s">
        <v>710</v>
      </c>
    </row>
    <row r="450" spans="1:5" hidden="1" x14ac:dyDescent="0.3">
      <c r="A450" t="s">
        <v>557</v>
      </c>
      <c r="B450" t="s">
        <v>709</v>
      </c>
      <c r="C450" t="s">
        <v>654</v>
      </c>
      <c r="D450" s="230">
        <v>0</v>
      </c>
      <c r="E450" t="s">
        <v>710</v>
      </c>
    </row>
    <row r="451" spans="1:5" hidden="1" x14ac:dyDescent="0.3">
      <c r="A451" t="s">
        <v>557</v>
      </c>
      <c r="B451" t="s">
        <v>709</v>
      </c>
      <c r="C451" t="s">
        <v>655</v>
      </c>
      <c r="D451" s="230">
        <v>0</v>
      </c>
      <c r="E451" t="s">
        <v>710</v>
      </c>
    </row>
    <row r="452" spans="1:5" hidden="1" x14ac:dyDescent="0.3">
      <c r="A452" t="s">
        <v>557</v>
      </c>
      <c r="B452" t="s">
        <v>709</v>
      </c>
      <c r="C452" t="s">
        <v>656</v>
      </c>
      <c r="D452" s="230">
        <v>0</v>
      </c>
      <c r="E452" t="s">
        <v>710</v>
      </c>
    </row>
    <row r="453" spans="1:5" hidden="1" x14ac:dyDescent="0.3">
      <c r="A453" t="s">
        <v>557</v>
      </c>
      <c r="B453" t="s">
        <v>709</v>
      </c>
      <c r="C453" t="s">
        <v>657</v>
      </c>
      <c r="D453" s="230">
        <v>0</v>
      </c>
      <c r="E453" t="s">
        <v>710</v>
      </c>
    </row>
    <row r="454" spans="1:5" hidden="1" x14ac:dyDescent="0.3">
      <c r="A454" t="s">
        <v>557</v>
      </c>
      <c r="B454" t="s">
        <v>709</v>
      </c>
      <c r="C454" t="s">
        <v>658</v>
      </c>
      <c r="D454" s="230">
        <v>0</v>
      </c>
      <c r="E454" t="s">
        <v>710</v>
      </c>
    </row>
    <row r="455" spans="1:5" hidden="1" x14ac:dyDescent="0.3">
      <c r="A455" t="s">
        <v>557</v>
      </c>
      <c r="B455" t="s">
        <v>709</v>
      </c>
      <c r="C455" t="s">
        <v>659</v>
      </c>
      <c r="D455" s="230">
        <v>0</v>
      </c>
      <c r="E455" t="s">
        <v>710</v>
      </c>
    </row>
    <row r="456" spans="1:5" hidden="1" x14ac:dyDescent="0.3">
      <c r="A456" t="s">
        <v>557</v>
      </c>
      <c r="B456" t="s">
        <v>709</v>
      </c>
      <c r="C456" t="s">
        <v>660</v>
      </c>
      <c r="D456" s="230">
        <v>0</v>
      </c>
      <c r="E456" t="s">
        <v>710</v>
      </c>
    </row>
    <row r="457" spans="1:5" hidden="1" x14ac:dyDescent="0.3">
      <c r="A457" t="s">
        <v>557</v>
      </c>
      <c r="B457" t="s">
        <v>709</v>
      </c>
      <c r="C457" t="s">
        <v>661</v>
      </c>
      <c r="D457" s="230">
        <v>0</v>
      </c>
      <c r="E457" t="s">
        <v>710</v>
      </c>
    </row>
    <row r="458" spans="1:5" hidden="1" x14ac:dyDescent="0.3">
      <c r="A458" t="s">
        <v>557</v>
      </c>
      <c r="B458" t="s">
        <v>709</v>
      </c>
      <c r="C458" t="s">
        <v>662</v>
      </c>
      <c r="D458" s="230">
        <v>0</v>
      </c>
      <c r="E458" t="s">
        <v>710</v>
      </c>
    </row>
    <row r="459" spans="1:5" hidden="1" x14ac:dyDescent="0.3">
      <c r="A459" t="s">
        <v>557</v>
      </c>
      <c r="B459" t="s">
        <v>709</v>
      </c>
      <c r="C459" t="s">
        <v>663</v>
      </c>
      <c r="D459" s="230">
        <v>0</v>
      </c>
      <c r="E459" t="s">
        <v>710</v>
      </c>
    </row>
    <row r="460" spans="1:5" hidden="1" x14ac:dyDescent="0.3">
      <c r="A460" t="s">
        <v>557</v>
      </c>
      <c r="B460" t="s">
        <v>709</v>
      </c>
      <c r="C460" t="s">
        <v>664</v>
      </c>
      <c r="D460" s="230">
        <v>0</v>
      </c>
      <c r="E460" t="s">
        <v>710</v>
      </c>
    </row>
    <row r="461" spans="1:5" hidden="1" x14ac:dyDescent="0.3">
      <c r="A461" t="s">
        <v>557</v>
      </c>
      <c r="B461" t="s">
        <v>709</v>
      </c>
      <c r="C461" t="s">
        <v>665</v>
      </c>
      <c r="D461" s="230">
        <v>0</v>
      </c>
      <c r="E461" t="s">
        <v>710</v>
      </c>
    </row>
    <row r="462" spans="1:5" hidden="1" x14ac:dyDescent="0.3">
      <c r="A462" t="s">
        <v>557</v>
      </c>
      <c r="B462" t="s">
        <v>709</v>
      </c>
      <c r="C462" t="s">
        <v>666</v>
      </c>
      <c r="D462" s="230">
        <v>0</v>
      </c>
      <c r="E462" t="s">
        <v>710</v>
      </c>
    </row>
    <row r="463" spans="1:5" hidden="1" x14ac:dyDescent="0.3">
      <c r="A463" t="s">
        <v>557</v>
      </c>
      <c r="B463" t="s">
        <v>709</v>
      </c>
      <c r="C463" t="s">
        <v>667</v>
      </c>
      <c r="D463" s="230">
        <v>0</v>
      </c>
      <c r="E463" t="s">
        <v>710</v>
      </c>
    </row>
    <row r="464" spans="1:5" hidden="1" x14ac:dyDescent="0.3">
      <c r="A464" t="s">
        <v>557</v>
      </c>
      <c r="B464" t="s">
        <v>709</v>
      </c>
      <c r="C464" t="s">
        <v>668</v>
      </c>
      <c r="D464" s="230">
        <v>0</v>
      </c>
      <c r="E464" t="s">
        <v>710</v>
      </c>
    </row>
    <row r="465" spans="1:5" hidden="1" x14ac:dyDescent="0.3">
      <c r="A465" t="s">
        <v>557</v>
      </c>
      <c r="B465" t="s">
        <v>709</v>
      </c>
      <c r="C465" t="s">
        <v>669</v>
      </c>
      <c r="D465" s="230">
        <v>0</v>
      </c>
      <c r="E465" t="s">
        <v>710</v>
      </c>
    </row>
    <row r="466" spans="1:5" hidden="1" x14ac:dyDescent="0.3">
      <c r="A466" t="s">
        <v>557</v>
      </c>
      <c r="B466" t="s">
        <v>709</v>
      </c>
      <c r="C466" t="s">
        <v>670</v>
      </c>
      <c r="D466" s="230">
        <v>0</v>
      </c>
      <c r="E466" t="s">
        <v>710</v>
      </c>
    </row>
    <row r="467" spans="1:5" hidden="1" x14ac:dyDescent="0.3">
      <c r="A467" t="s">
        <v>557</v>
      </c>
      <c r="B467" t="s">
        <v>709</v>
      </c>
      <c r="C467" t="s">
        <v>671</v>
      </c>
      <c r="D467" s="230">
        <v>0</v>
      </c>
      <c r="E467" t="s">
        <v>710</v>
      </c>
    </row>
    <row r="468" spans="1:5" hidden="1" x14ac:dyDescent="0.3">
      <c r="A468" t="s">
        <v>557</v>
      </c>
      <c r="B468" t="s">
        <v>709</v>
      </c>
      <c r="C468" t="s">
        <v>672</v>
      </c>
      <c r="D468" s="230">
        <v>0</v>
      </c>
      <c r="E468" t="s">
        <v>710</v>
      </c>
    </row>
    <row r="469" spans="1:5" hidden="1" x14ac:dyDescent="0.3">
      <c r="A469" t="s">
        <v>557</v>
      </c>
      <c r="B469" t="s">
        <v>709</v>
      </c>
      <c r="C469" t="s">
        <v>673</v>
      </c>
      <c r="D469" s="230">
        <v>0</v>
      </c>
      <c r="E469" t="s">
        <v>710</v>
      </c>
    </row>
    <row r="470" spans="1:5" hidden="1" x14ac:dyDescent="0.3">
      <c r="A470" t="s">
        <v>557</v>
      </c>
      <c r="B470" t="s">
        <v>709</v>
      </c>
      <c r="C470" t="s">
        <v>674</v>
      </c>
      <c r="D470" s="230">
        <v>0</v>
      </c>
      <c r="E470" t="s">
        <v>710</v>
      </c>
    </row>
    <row r="471" spans="1:5" hidden="1" x14ac:dyDescent="0.3">
      <c r="A471" t="s">
        <v>557</v>
      </c>
      <c r="B471" t="s">
        <v>709</v>
      </c>
      <c r="C471" t="s">
        <v>675</v>
      </c>
      <c r="D471" s="230">
        <v>0</v>
      </c>
      <c r="E471" t="s">
        <v>710</v>
      </c>
    </row>
    <row r="472" spans="1:5" hidden="1" x14ac:dyDescent="0.3">
      <c r="A472" t="s">
        <v>557</v>
      </c>
      <c r="B472" t="s">
        <v>709</v>
      </c>
      <c r="C472" t="s">
        <v>676</v>
      </c>
      <c r="D472" s="230">
        <v>0</v>
      </c>
      <c r="E472" t="s">
        <v>710</v>
      </c>
    </row>
    <row r="473" spans="1:5" hidden="1" x14ac:dyDescent="0.3">
      <c r="A473" t="s">
        <v>557</v>
      </c>
      <c r="B473" t="s">
        <v>709</v>
      </c>
      <c r="C473" t="s">
        <v>677</v>
      </c>
      <c r="D473" s="230">
        <v>0</v>
      </c>
      <c r="E473" t="s">
        <v>710</v>
      </c>
    </row>
    <row r="474" spans="1:5" hidden="1" x14ac:dyDescent="0.3">
      <c r="A474" t="s">
        <v>557</v>
      </c>
      <c r="B474" t="s">
        <v>709</v>
      </c>
      <c r="C474" t="s">
        <v>201</v>
      </c>
      <c r="D474" s="230">
        <v>-8258.5499999999993</v>
      </c>
      <c r="E474" t="s">
        <v>710</v>
      </c>
    </row>
    <row r="475" spans="1:5" hidden="1" x14ac:dyDescent="0.3">
      <c r="A475" t="s">
        <v>557</v>
      </c>
      <c r="B475" t="s">
        <v>709</v>
      </c>
      <c r="C475" t="s">
        <v>203</v>
      </c>
      <c r="D475" s="230">
        <v>-8258.5499999999993</v>
      </c>
      <c r="E475" t="s">
        <v>710</v>
      </c>
    </row>
    <row r="476" spans="1:5" hidden="1" x14ac:dyDescent="0.3">
      <c r="A476" t="s">
        <v>557</v>
      </c>
      <c r="B476" t="s">
        <v>709</v>
      </c>
      <c r="C476" t="s">
        <v>678</v>
      </c>
      <c r="D476" s="230">
        <v>4129.28</v>
      </c>
      <c r="E476" t="s">
        <v>710</v>
      </c>
    </row>
    <row r="477" spans="1:5" hidden="1" x14ac:dyDescent="0.3">
      <c r="A477" t="s">
        <v>557</v>
      </c>
      <c r="B477" t="s">
        <v>709</v>
      </c>
      <c r="C477" t="s">
        <v>205</v>
      </c>
      <c r="D477" s="230">
        <v>-17684.82</v>
      </c>
      <c r="E477" t="s">
        <v>710</v>
      </c>
    </row>
    <row r="478" spans="1:5" hidden="1" x14ac:dyDescent="0.3">
      <c r="A478" t="s">
        <v>557</v>
      </c>
      <c r="B478" t="s">
        <v>709</v>
      </c>
      <c r="C478" t="s">
        <v>679</v>
      </c>
      <c r="D478" s="230">
        <v>-4588.24</v>
      </c>
      <c r="E478" t="s">
        <v>710</v>
      </c>
    </row>
    <row r="479" spans="1:5" hidden="1" x14ac:dyDescent="0.3">
      <c r="A479" t="s">
        <v>557</v>
      </c>
      <c r="B479" t="s">
        <v>709</v>
      </c>
      <c r="C479" t="s">
        <v>680</v>
      </c>
      <c r="D479" s="230">
        <v>0</v>
      </c>
      <c r="E479" t="s">
        <v>710</v>
      </c>
    </row>
    <row r="480" spans="1:5" hidden="1" x14ac:dyDescent="0.3">
      <c r="A480" t="s">
        <v>557</v>
      </c>
      <c r="B480" t="s">
        <v>709</v>
      </c>
      <c r="C480" t="s">
        <v>681</v>
      </c>
      <c r="D480" s="230">
        <v>0</v>
      </c>
      <c r="E480" t="s">
        <v>710</v>
      </c>
    </row>
    <row r="481" spans="1:5" hidden="1" x14ac:dyDescent="0.3">
      <c r="A481" t="s">
        <v>557</v>
      </c>
      <c r="B481" t="s">
        <v>709</v>
      </c>
      <c r="C481" t="s">
        <v>682</v>
      </c>
      <c r="D481" s="230">
        <v>-4498</v>
      </c>
      <c r="E481" t="s">
        <v>710</v>
      </c>
    </row>
    <row r="482" spans="1:5" hidden="1" x14ac:dyDescent="0.3">
      <c r="A482" t="s">
        <v>557</v>
      </c>
      <c r="B482" t="s">
        <v>709</v>
      </c>
      <c r="C482" t="s">
        <v>683</v>
      </c>
      <c r="D482" s="230">
        <v>-1348.32</v>
      </c>
      <c r="E482" t="s">
        <v>710</v>
      </c>
    </row>
    <row r="483" spans="1:5" hidden="1" x14ac:dyDescent="0.3">
      <c r="A483" t="s">
        <v>557</v>
      </c>
      <c r="B483" t="s">
        <v>709</v>
      </c>
      <c r="C483" t="s">
        <v>684</v>
      </c>
      <c r="D483" s="230">
        <v>-1515.51</v>
      </c>
      <c r="E483" t="s">
        <v>710</v>
      </c>
    </row>
    <row r="484" spans="1:5" hidden="1" x14ac:dyDescent="0.3">
      <c r="A484" t="s">
        <v>557</v>
      </c>
      <c r="B484" t="s">
        <v>709</v>
      </c>
      <c r="C484" t="s">
        <v>685</v>
      </c>
      <c r="D484" s="230">
        <v>-453.04</v>
      </c>
      <c r="E484" t="s">
        <v>710</v>
      </c>
    </row>
    <row r="485" spans="1:5" hidden="1" x14ac:dyDescent="0.3">
      <c r="A485" t="s">
        <v>557</v>
      </c>
      <c r="B485" t="s">
        <v>709</v>
      </c>
      <c r="C485" t="s">
        <v>686</v>
      </c>
      <c r="D485" s="230">
        <v>0</v>
      </c>
      <c r="E485" t="s">
        <v>710</v>
      </c>
    </row>
    <row r="486" spans="1:5" hidden="1" x14ac:dyDescent="0.3">
      <c r="A486" t="s">
        <v>557</v>
      </c>
      <c r="B486" t="s">
        <v>709</v>
      </c>
      <c r="C486" t="s">
        <v>687</v>
      </c>
      <c r="D486" s="230">
        <v>0</v>
      </c>
      <c r="E486" t="s">
        <v>710</v>
      </c>
    </row>
    <row r="487" spans="1:5" hidden="1" x14ac:dyDescent="0.3">
      <c r="A487" t="s">
        <v>557</v>
      </c>
      <c r="B487" t="s">
        <v>709</v>
      </c>
      <c r="C487" t="s">
        <v>688</v>
      </c>
      <c r="D487" s="230">
        <v>0</v>
      </c>
      <c r="E487" t="s">
        <v>710</v>
      </c>
    </row>
    <row r="488" spans="1:5" hidden="1" x14ac:dyDescent="0.3">
      <c r="A488" t="s">
        <v>557</v>
      </c>
      <c r="B488" t="s">
        <v>709</v>
      </c>
      <c r="C488" t="s">
        <v>689</v>
      </c>
      <c r="D488" s="230">
        <v>-281.72000000000003</v>
      </c>
      <c r="E488" t="s">
        <v>710</v>
      </c>
    </row>
    <row r="489" spans="1:5" hidden="1" x14ac:dyDescent="0.3">
      <c r="A489" t="s">
        <v>557</v>
      </c>
      <c r="B489" t="s">
        <v>709</v>
      </c>
      <c r="C489" t="s">
        <v>690</v>
      </c>
      <c r="D489" s="230">
        <v>-5000</v>
      </c>
      <c r="E489" t="s">
        <v>710</v>
      </c>
    </row>
    <row r="490" spans="1:5" hidden="1" x14ac:dyDescent="0.3">
      <c r="A490" t="s">
        <v>557</v>
      </c>
      <c r="B490" t="s">
        <v>709</v>
      </c>
      <c r="C490" t="s">
        <v>691</v>
      </c>
      <c r="D490" s="230">
        <v>0</v>
      </c>
      <c r="E490" t="s">
        <v>710</v>
      </c>
    </row>
    <row r="491" spans="1:5" hidden="1" x14ac:dyDescent="0.3">
      <c r="A491" t="s">
        <v>557</v>
      </c>
      <c r="B491" t="s">
        <v>709</v>
      </c>
      <c r="C491" t="s">
        <v>692</v>
      </c>
      <c r="D491" s="230">
        <v>0</v>
      </c>
      <c r="E491" t="s">
        <v>710</v>
      </c>
    </row>
    <row r="492" spans="1:5" hidden="1" x14ac:dyDescent="0.3">
      <c r="A492" t="s">
        <v>557</v>
      </c>
      <c r="B492" t="s">
        <v>709</v>
      </c>
      <c r="C492" t="s">
        <v>693</v>
      </c>
      <c r="D492" s="230">
        <v>0</v>
      </c>
      <c r="E492" t="s">
        <v>710</v>
      </c>
    </row>
    <row r="493" spans="1:5" hidden="1" x14ac:dyDescent="0.3">
      <c r="A493" t="s">
        <v>557</v>
      </c>
      <c r="B493" t="s">
        <v>709</v>
      </c>
      <c r="C493" t="s">
        <v>694</v>
      </c>
      <c r="D493" s="230">
        <v>0</v>
      </c>
      <c r="E493" t="s">
        <v>710</v>
      </c>
    </row>
    <row r="494" spans="1:5" hidden="1" x14ac:dyDescent="0.3">
      <c r="A494" t="s">
        <v>557</v>
      </c>
      <c r="B494" t="s">
        <v>709</v>
      </c>
      <c r="C494" t="s">
        <v>238</v>
      </c>
      <c r="D494" s="230">
        <v>-6200.12</v>
      </c>
      <c r="E494" t="s">
        <v>710</v>
      </c>
    </row>
    <row r="495" spans="1:5" hidden="1" x14ac:dyDescent="0.3">
      <c r="A495" t="s">
        <v>557</v>
      </c>
      <c r="B495" t="s">
        <v>709</v>
      </c>
      <c r="C495" t="s">
        <v>695</v>
      </c>
      <c r="D495" s="230">
        <v>-6126.65</v>
      </c>
      <c r="E495" t="s">
        <v>710</v>
      </c>
    </row>
    <row r="496" spans="1:5" hidden="1" x14ac:dyDescent="0.3">
      <c r="A496" t="s">
        <v>557</v>
      </c>
      <c r="B496" t="s">
        <v>709</v>
      </c>
      <c r="C496" t="s">
        <v>696</v>
      </c>
      <c r="D496" s="230">
        <v>0</v>
      </c>
      <c r="E496" t="s">
        <v>710</v>
      </c>
    </row>
    <row r="497" spans="1:5" hidden="1" x14ac:dyDescent="0.3">
      <c r="A497" t="s">
        <v>557</v>
      </c>
      <c r="B497" t="s">
        <v>709</v>
      </c>
      <c r="C497" t="s">
        <v>697</v>
      </c>
      <c r="D497" s="230">
        <v>0</v>
      </c>
      <c r="E497" t="s">
        <v>710</v>
      </c>
    </row>
    <row r="498" spans="1:5" hidden="1" x14ac:dyDescent="0.3">
      <c r="A498" t="s">
        <v>557</v>
      </c>
      <c r="B498" t="s">
        <v>709</v>
      </c>
      <c r="C498" t="s">
        <v>698</v>
      </c>
      <c r="D498" s="230">
        <v>-73.47</v>
      </c>
      <c r="E498" t="s">
        <v>710</v>
      </c>
    </row>
    <row r="499" spans="1:5" hidden="1" x14ac:dyDescent="0.3">
      <c r="A499" t="s">
        <v>557</v>
      </c>
      <c r="B499" t="s">
        <v>709</v>
      </c>
      <c r="C499" t="s">
        <v>699</v>
      </c>
      <c r="D499" s="230">
        <v>0</v>
      </c>
      <c r="E499" t="s">
        <v>710</v>
      </c>
    </row>
    <row r="500" spans="1:5" hidden="1" x14ac:dyDescent="0.3">
      <c r="A500" t="s">
        <v>557</v>
      </c>
      <c r="B500" t="s">
        <v>709</v>
      </c>
      <c r="C500" t="s">
        <v>245</v>
      </c>
      <c r="D500" s="230">
        <v>-7142.91</v>
      </c>
      <c r="E500" t="s">
        <v>710</v>
      </c>
    </row>
    <row r="501" spans="1:5" hidden="1" x14ac:dyDescent="0.3">
      <c r="A501" t="s">
        <v>557</v>
      </c>
      <c r="B501" t="s">
        <v>709</v>
      </c>
      <c r="C501" t="s">
        <v>700</v>
      </c>
      <c r="D501" s="230">
        <v>0</v>
      </c>
      <c r="E501" t="s">
        <v>710</v>
      </c>
    </row>
    <row r="502" spans="1:5" hidden="1" x14ac:dyDescent="0.3">
      <c r="A502" t="s">
        <v>557</v>
      </c>
      <c r="B502" t="s">
        <v>709</v>
      </c>
      <c r="C502" t="s">
        <v>701</v>
      </c>
      <c r="D502" s="230">
        <v>-303.8</v>
      </c>
      <c r="E502" t="s">
        <v>710</v>
      </c>
    </row>
    <row r="503" spans="1:5" hidden="1" x14ac:dyDescent="0.3">
      <c r="A503" t="s">
        <v>557</v>
      </c>
      <c r="B503" t="s">
        <v>709</v>
      </c>
      <c r="C503" t="s">
        <v>702</v>
      </c>
      <c r="D503" s="230">
        <v>0</v>
      </c>
      <c r="E503" t="s">
        <v>710</v>
      </c>
    </row>
    <row r="504" spans="1:5" hidden="1" x14ac:dyDescent="0.3">
      <c r="A504" t="s">
        <v>557</v>
      </c>
      <c r="B504" t="s">
        <v>709</v>
      </c>
      <c r="C504" t="s">
        <v>703</v>
      </c>
      <c r="D504" s="230">
        <v>0</v>
      </c>
      <c r="E504" t="s">
        <v>710</v>
      </c>
    </row>
    <row r="505" spans="1:5" hidden="1" x14ac:dyDescent="0.3">
      <c r="A505" t="s">
        <v>557</v>
      </c>
      <c r="B505" t="s">
        <v>709</v>
      </c>
      <c r="C505" t="s">
        <v>704</v>
      </c>
      <c r="D505" s="230">
        <v>0</v>
      </c>
      <c r="E505" t="s">
        <v>710</v>
      </c>
    </row>
    <row r="506" spans="1:5" hidden="1" x14ac:dyDescent="0.3">
      <c r="A506" t="s">
        <v>557</v>
      </c>
      <c r="B506" t="s">
        <v>709</v>
      </c>
      <c r="C506" t="s">
        <v>705</v>
      </c>
      <c r="D506" s="230">
        <v>-6839.11</v>
      </c>
      <c r="E506" t="s">
        <v>710</v>
      </c>
    </row>
    <row r="507" spans="1:5" hidden="1" x14ac:dyDescent="0.3">
      <c r="A507" t="s">
        <v>557</v>
      </c>
      <c r="B507" t="s">
        <v>709</v>
      </c>
      <c r="C507" t="s">
        <v>706</v>
      </c>
      <c r="D507" s="230">
        <v>0</v>
      </c>
      <c r="E507" t="s">
        <v>710</v>
      </c>
    </row>
    <row r="508" spans="1:5" hidden="1" x14ac:dyDescent="0.3">
      <c r="A508" t="s">
        <v>557</v>
      </c>
      <c r="B508" t="s">
        <v>709</v>
      </c>
      <c r="C508" t="s">
        <v>254</v>
      </c>
      <c r="D508" s="230">
        <v>-0.44</v>
      </c>
      <c r="E508" t="s">
        <v>710</v>
      </c>
    </row>
    <row r="509" spans="1:5" hidden="1" x14ac:dyDescent="0.3">
      <c r="A509" t="s">
        <v>557</v>
      </c>
      <c r="B509" t="s">
        <v>709</v>
      </c>
      <c r="C509" t="s">
        <v>255</v>
      </c>
      <c r="D509" s="230">
        <v>-0.42</v>
      </c>
      <c r="E509" t="s">
        <v>710</v>
      </c>
    </row>
    <row r="510" spans="1:5" hidden="1" x14ac:dyDescent="0.3">
      <c r="A510" t="s">
        <v>557</v>
      </c>
      <c r="B510" t="s">
        <v>709</v>
      </c>
      <c r="C510" t="s">
        <v>256</v>
      </c>
      <c r="D510" s="230">
        <v>-51752.37</v>
      </c>
      <c r="E510" t="s">
        <v>710</v>
      </c>
    </row>
    <row r="511" spans="1:5" hidden="1" x14ac:dyDescent="0.3">
      <c r="A511" t="s">
        <v>557</v>
      </c>
      <c r="B511" t="s">
        <v>709</v>
      </c>
      <c r="C511" t="s">
        <v>257</v>
      </c>
      <c r="D511" s="230">
        <v>-49305.7</v>
      </c>
      <c r="E511" t="s">
        <v>710</v>
      </c>
    </row>
    <row r="512" spans="1:5" hidden="1" x14ac:dyDescent="0.3">
      <c r="A512" t="s">
        <v>557</v>
      </c>
      <c r="B512" t="s">
        <v>709</v>
      </c>
      <c r="C512" t="s">
        <v>258</v>
      </c>
      <c r="D512" s="230">
        <v>0</v>
      </c>
      <c r="E512" t="s">
        <v>710</v>
      </c>
    </row>
    <row r="513" spans="1:5" hidden="1" x14ac:dyDescent="0.3">
      <c r="A513" t="s">
        <v>557</v>
      </c>
      <c r="B513" t="s">
        <v>709</v>
      </c>
      <c r="C513" t="s">
        <v>259</v>
      </c>
      <c r="D513" s="230">
        <v>-2446.67</v>
      </c>
      <c r="E513" t="s">
        <v>710</v>
      </c>
    </row>
    <row r="514" spans="1:5" hidden="1" x14ac:dyDescent="0.3">
      <c r="A514" t="s">
        <v>557</v>
      </c>
      <c r="B514" t="s">
        <v>709</v>
      </c>
      <c r="C514" t="s">
        <v>260</v>
      </c>
      <c r="D514" s="230">
        <v>0</v>
      </c>
      <c r="E514" t="s">
        <v>710</v>
      </c>
    </row>
    <row r="515" spans="1:5" hidden="1" x14ac:dyDescent="0.3">
      <c r="A515" t="s">
        <v>557</v>
      </c>
      <c r="B515" t="s">
        <v>709</v>
      </c>
      <c r="C515" t="s">
        <v>261</v>
      </c>
      <c r="D515" s="230">
        <v>0</v>
      </c>
      <c r="E515" t="s">
        <v>710</v>
      </c>
    </row>
    <row r="516" spans="1:5" hidden="1" x14ac:dyDescent="0.3">
      <c r="A516" t="s">
        <v>557</v>
      </c>
      <c r="B516" t="s">
        <v>709</v>
      </c>
      <c r="C516" t="s">
        <v>262</v>
      </c>
      <c r="D516" s="230">
        <v>0</v>
      </c>
      <c r="E516" t="s">
        <v>710</v>
      </c>
    </row>
    <row r="517" spans="1:5" hidden="1" x14ac:dyDescent="0.3">
      <c r="A517" t="s">
        <v>557</v>
      </c>
      <c r="B517" t="s">
        <v>709</v>
      </c>
      <c r="C517" t="s">
        <v>263</v>
      </c>
      <c r="D517" s="230">
        <v>0</v>
      </c>
      <c r="E517" t="s">
        <v>710</v>
      </c>
    </row>
    <row r="518" spans="1:5" hidden="1" x14ac:dyDescent="0.3">
      <c r="A518" t="s">
        <v>557</v>
      </c>
      <c r="B518" t="s">
        <v>709</v>
      </c>
      <c r="C518" t="s">
        <v>44</v>
      </c>
      <c r="D518" s="230">
        <v>-0.15</v>
      </c>
      <c r="E518" t="s">
        <v>710</v>
      </c>
    </row>
    <row r="519" spans="1:5" hidden="1" x14ac:dyDescent="0.3">
      <c r="A519" t="s">
        <v>557</v>
      </c>
      <c r="B519" t="s">
        <v>709</v>
      </c>
      <c r="C519" t="s">
        <v>264</v>
      </c>
      <c r="D519" s="230">
        <v>-32721.71</v>
      </c>
      <c r="E519" t="s">
        <v>710</v>
      </c>
    </row>
    <row r="520" spans="1:5" hidden="1" x14ac:dyDescent="0.3">
      <c r="A520" t="s">
        <v>557</v>
      </c>
      <c r="B520" t="s">
        <v>709</v>
      </c>
      <c r="C520" t="s">
        <v>265</v>
      </c>
      <c r="D520" s="230">
        <v>-5010.8999999999996</v>
      </c>
      <c r="E520" t="s">
        <v>710</v>
      </c>
    </row>
    <row r="521" spans="1:5" hidden="1" x14ac:dyDescent="0.3">
      <c r="A521" t="s">
        <v>557</v>
      </c>
      <c r="B521" t="s">
        <v>709</v>
      </c>
      <c r="C521" t="s">
        <v>266</v>
      </c>
      <c r="D521" s="230">
        <v>-10602.47</v>
      </c>
      <c r="E521" t="s">
        <v>710</v>
      </c>
    </row>
    <row r="522" spans="1:5" hidden="1" x14ac:dyDescent="0.3">
      <c r="A522" t="s">
        <v>557</v>
      </c>
      <c r="B522" t="s">
        <v>709</v>
      </c>
      <c r="C522" t="s">
        <v>267</v>
      </c>
      <c r="D522" s="230">
        <v>-4587.09</v>
      </c>
      <c r="E522" t="s">
        <v>710</v>
      </c>
    </row>
    <row r="523" spans="1:5" hidden="1" x14ac:dyDescent="0.3">
      <c r="A523" t="s">
        <v>557</v>
      </c>
      <c r="B523" t="s">
        <v>709</v>
      </c>
      <c r="C523" t="s">
        <v>268</v>
      </c>
      <c r="D523" s="230">
        <v>-4947.16</v>
      </c>
      <c r="E523" t="s">
        <v>710</v>
      </c>
    </row>
    <row r="524" spans="1:5" hidden="1" x14ac:dyDescent="0.3">
      <c r="A524" t="s">
        <v>557</v>
      </c>
      <c r="B524" t="s">
        <v>709</v>
      </c>
      <c r="C524" t="s">
        <v>269</v>
      </c>
      <c r="D524" s="230">
        <v>0</v>
      </c>
      <c r="E524" t="s">
        <v>710</v>
      </c>
    </row>
    <row r="525" spans="1:5" hidden="1" x14ac:dyDescent="0.3">
      <c r="A525" t="s">
        <v>557</v>
      </c>
      <c r="B525" t="s">
        <v>709</v>
      </c>
      <c r="C525" t="s">
        <v>270</v>
      </c>
      <c r="D525" s="230">
        <v>-500</v>
      </c>
      <c r="E525" t="s">
        <v>710</v>
      </c>
    </row>
    <row r="526" spans="1:5" hidden="1" x14ac:dyDescent="0.3">
      <c r="A526" t="s">
        <v>557</v>
      </c>
      <c r="B526" t="s">
        <v>709</v>
      </c>
      <c r="C526" t="s">
        <v>271</v>
      </c>
      <c r="D526" s="230">
        <v>-743.28</v>
      </c>
      <c r="E526" t="s">
        <v>710</v>
      </c>
    </row>
    <row r="527" spans="1:5" hidden="1" x14ac:dyDescent="0.3">
      <c r="A527" t="s">
        <v>557</v>
      </c>
      <c r="B527" t="s">
        <v>709</v>
      </c>
      <c r="C527" t="s">
        <v>272</v>
      </c>
      <c r="D527" s="230">
        <v>-1958.72</v>
      </c>
      <c r="E527" t="s">
        <v>710</v>
      </c>
    </row>
    <row r="528" spans="1:5" hidden="1" x14ac:dyDescent="0.3">
      <c r="A528" t="s">
        <v>557</v>
      </c>
      <c r="B528" t="s">
        <v>709</v>
      </c>
      <c r="C528" t="s">
        <v>273</v>
      </c>
      <c r="D528" s="230">
        <v>-40</v>
      </c>
      <c r="E528" t="s">
        <v>710</v>
      </c>
    </row>
    <row r="529" spans="1:5" hidden="1" x14ac:dyDescent="0.3">
      <c r="A529" t="s">
        <v>557</v>
      </c>
      <c r="B529" t="s">
        <v>709</v>
      </c>
      <c r="C529" t="s">
        <v>274</v>
      </c>
      <c r="D529" s="230">
        <v>0</v>
      </c>
      <c r="E529" t="s">
        <v>710</v>
      </c>
    </row>
    <row r="530" spans="1:5" hidden="1" x14ac:dyDescent="0.3">
      <c r="A530" t="s">
        <v>557</v>
      </c>
      <c r="B530" t="s">
        <v>709</v>
      </c>
      <c r="C530" t="s">
        <v>275</v>
      </c>
      <c r="D530" s="230">
        <v>-889.19</v>
      </c>
      <c r="E530" t="s">
        <v>710</v>
      </c>
    </row>
    <row r="531" spans="1:5" hidden="1" x14ac:dyDescent="0.3">
      <c r="A531" t="s">
        <v>557</v>
      </c>
      <c r="B531" t="s">
        <v>709</v>
      </c>
      <c r="C531" t="s">
        <v>276</v>
      </c>
      <c r="D531" s="230">
        <v>-900</v>
      </c>
      <c r="E531" t="s">
        <v>710</v>
      </c>
    </row>
    <row r="532" spans="1:5" hidden="1" x14ac:dyDescent="0.3">
      <c r="A532" t="s">
        <v>557</v>
      </c>
      <c r="B532" t="s">
        <v>709</v>
      </c>
      <c r="C532" t="s">
        <v>277</v>
      </c>
      <c r="D532" s="230">
        <v>0</v>
      </c>
      <c r="E532" t="s">
        <v>710</v>
      </c>
    </row>
    <row r="533" spans="1:5" hidden="1" x14ac:dyDescent="0.3">
      <c r="A533" t="s">
        <v>557</v>
      </c>
      <c r="B533" t="s">
        <v>709</v>
      </c>
      <c r="C533" t="s">
        <v>278</v>
      </c>
      <c r="D533" s="230">
        <v>-2542.9</v>
      </c>
      <c r="E533" t="s">
        <v>710</v>
      </c>
    </row>
    <row r="534" spans="1:5" hidden="1" x14ac:dyDescent="0.3">
      <c r="A534" t="s">
        <v>557</v>
      </c>
      <c r="B534" t="s">
        <v>709</v>
      </c>
      <c r="C534" t="s">
        <v>44</v>
      </c>
      <c r="D534" s="230">
        <v>-0.09</v>
      </c>
      <c r="E534" t="s">
        <v>710</v>
      </c>
    </row>
    <row r="535" spans="1:5" hidden="1" x14ac:dyDescent="0.3">
      <c r="A535" t="s">
        <v>557</v>
      </c>
      <c r="B535" t="s">
        <v>709</v>
      </c>
      <c r="C535" t="s">
        <v>279</v>
      </c>
      <c r="D535" s="230">
        <v>-5487.3</v>
      </c>
      <c r="E535" t="s">
        <v>710</v>
      </c>
    </row>
    <row r="536" spans="1:5" hidden="1" x14ac:dyDescent="0.3">
      <c r="A536" t="s">
        <v>557</v>
      </c>
      <c r="B536" t="s">
        <v>709</v>
      </c>
      <c r="C536" t="s">
        <v>280</v>
      </c>
      <c r="D536" s="230">
        <v>-299.89999999999998</v>
      </c>
      <c r="E536" t="s">
        <v>710</v>
      </c>
    </row>
    <row r="537" spans="1:5" hidden="1" x14ac:dyDescent="0.3">
      <c r="A537" t="s">
        <v>557</v>
      </c>
      <c r="B537" t="s">
        <v>709</v>
      </c>
      <c r="C537" t="s">
        <v>281</v>
      </c>
      <c r="D537" s="230">
        <v>-363.52</v>
      </c>
      <c r="E537" t="s">
        <v>710</v>
      </c>
    </row>
    <row r="538" spans="1:5" hidden="1" x14ac:dyDescent="0.3">
      <c r="A538" t="s">
        <v>557</v>
      </c>
      <c r="B538" t="s">
        <v>709</v>
      </c>
      <c r="C538" t="s">
        <v>282</v>
      </c>
      <c r="D538" s="230">
        <v>-302.37</v>
      </c>
      <c r="E538" t="s">
        <v>710</v>
      </c>
    </row>
    <row r="539" spans="1:5" hidden="1" x14ac:dyDescent="0.3">
      <c r="A539" t="s">
        <v>557</v>
      </c>
      <c r="B539" t="s">
        <v>709</v>
      </c>
      <c r="C539" t="s">
        <v>283</v>
      </c>
      <c r="D539" s="230">
        <v>-472.46</v>
      </c>
      <c r="E539" t="s">
        <v>710</v>
      </c>
    </row>
    <row r="540" spans="1:5" hidden="1" x14ac:dyDescent="0.3">
      <c r="A540" t="s">
        <v>557</v>
      </c>
      <c r="B540" t="s">
        <v>709</v>
      </c>
      <c r="C540" t="s">
        <v>284</v>
      </c>
      <c r="D540" s="230">
        <v>-4049.05</v>
      </c>
      <c r="E540" t="s">
        <v>710</v>
      </c>
    </row>
    <row r="541" spans="1:5" hidden="1" x14ac:dyDescent="0.3">
      <c r="A541" t="s">
        <v>557</v>
      </c>
      <c r="B541" t="s">
        <v>709</v>
      </c>
      <c r="C541" t="s">
        <v>285</v>
      </c>
      <c r="D541" s="230">
        <v>0</v>
      </c>
      <c r="E541" t="s">
        <v>710</v>
      </c>
    </row>
    <row r="542" spans="1:5" hidden="1" x14ac:dyDescent="0.3">
      <c r="A542" t="s">
        <v>557</v>
      </c>
      <c r="B542" t="s">
        <v>709</v>
      </c>
      <c r="C542" t="s">
        <v>286</v>
      </c>
      <c r="D542" s="230">
        <v>0</v>
      </c>
      <c r="E542" t="s">
        <v>710</v>
      </c>
    </row>
    <row r="543" spans="1:5" hidden="1" x14ac:dyDescent="0.3">
      <c r="A543" t="s">
        <v>557</v>
      </c>
      <c r="B543" t="s">
        <v>709</v>
      </c>
      <c r="C543" t="s">
        <v>44</v>
      </c>
      <c r="D543" s="230">
        <v>-0.02</v>
      </c>
      <c r="E543" t="s">
        <v>710</v>
      </c>
    </row>
    <row r="544" spans="1:5" hidden="1" x14ac:dyDescent="0.3">
      <c r="A544" t="s">
        <v>557</v>
      </c>
      <c r="B544" t="s">
        <v>709</v>
      </c>
      <c r="C544" t="s">
        <v>287</v>
      </c>
      <c r="D544" s="230">
        <v>-8706.32</v>
      </c>
      <c r="E544" t="s">
        <v>710</v>
      </c>
    </row>
    <row r="545" spans="1:5" hidden="1" x14ac:dyDescent="0.3">
      <c r="A545" t="s">
        <v>557</v>
      </c>
      <c r="B545" t="s">
        <v>709</v>
      </c>
      <c r="C545" t="s">
        <v>288</v>
      </c>
      <c r="D545" s="230">
        <v>-8184.58</v>
      </c>
      <c r="E545" t="s">
        <v>710</v>
      </c>
    </row>
    <row r="546" spans="1:5" hidden="1" x14ac:dyDescent="0.3">
      <c r="A546" t="s">
        <v>557</v>
      </c>
      <c r="B546" t="s">
        <v>709</v>
      </c>
      <c r="C546" t="s">
        <v>289</v>
      </c>
      <c r="D546" s="230">
        <v>0</v>
      </c>
      <c r="E546" t="s">
        <v>710</v>
      </c>
    </row>
    <row r="547" spans="1:5" hidden="1" x14ac:dyDescent="0.3">
      <c r="A547" t="s">
        <v>557</v>
      </c>
      <c r="B547" t="s">
        <v>709</v>
      </c>
      <c r="C547" t="s">
        <v>290</v>
      </c>
      <c r="D547" s="230">
        <v>0</v>
      </c>
      <c r="E547" t="s">
        <v>710</v>
      </c>
    </row>
    <row r="548" spans="1:5" hidden="1" x14ac:dyDescent="0.3">
      <c r="A548" t="s">
        <v>557</v>
      </c>
      <c r="B548" t="s">
        <v>709</v>
      </c>
      <c r="C548" t="s">
        <v>291</v>
      </c>
      <c r="D548" s="230">
        <v>0</v>
      </c>
      <c r="E548" t="s">
        <v>710</v>
      </c>
    </row>
    <row r="549" spans="1:5" hidden="1" x14ac:dyDescent="0.3">
      <c r="A549" t="s">
        <v>557</v>
      </c>
      <c r="B549" t="s">
        <v>709</v>
      </c>
      <c r="C549" t="s">
        <v>292</v>
      </c>
      <c r="D549" s="230">
        <v>0</v>
      </c>
      <c r="E549" t="s">
        <v>710</v>
      </c>
    </row>
    <row r="550" spans="1:5" hidden="1" x14ac:dyDescent="0.3">
      <c r="A550" t="s">
        <v>557</v>
      </c>
      <c r="B550" t="s">
        <v>709</v>
      </c>
      <c r="C550" t="s">
        <v>293</v>
      </c>
      <c r="D550" s="230">
        <v>-521.74</v>
      </c>
      <c r="E550" t="s">
        <v>710</v>
      </c>
    </row>
    <row r="551" spans="1:5" hidden="1" x14ac:dyDescent="0.3">
      <c r="A551" t="s">
        <v>557</v>
      </c>
      <c r="B551" t="s">
        <v>709</v>
      </c>
      <c r="C551" t="s">
        <v>294</v>
      </c>
      <c r="D551" s="230">
        <v>-43.2</v>
      </c>
      <c r="E551" t="s">
        <v>710</v>
      </c>
    </row>
    <row r="552" spans="1:5" hidden="1" x14ac:dyDescent="0.3">
      <c r="A552" t="s">
        <v>557</v>
      </c>
      <c r="B552" t="s">
        <v>709</v>
      </c>
      <c r="C552" t="s">
        <v>295</v>
      </c>
      <c r="D552" s="230">
        <v>0</v>
      </c>
      <c r="E552" t="s">
        <v>710</v>
      </c>
    </row>
    <row r="553" spans="1:5" hidden="1" x14ac:dyDescent="0.3">
      <c r="A553" t="s">
        <v>557</v>
      </c>
      <c r="B553" t="s">
        <v>709</v>
      </c>
      <c r="C553" t="s">
        <v>44</v>
      </c>
      <c r="D553" s="230">
        <v>-0.02</v>
      </c>
      <c r="E553" t="s">
        <v>710</v>
      </c>
    </row>
    <row r="554" spans="1:5" hidden="1" x14ac:dyDescent="0.3">
      <c r="A554" t="s">
        <v>557</v>
      </c>
      <c r="B554" t="s">
        <v>709</v>
      </c>
      <c r="C554" t="s">
        <v>296</v>
      </c>
      <c r="D554" s="230">
        <v>-6324.7</v>
      </c>
      <c r="E554" t="s">
        <v>710</v>
      </c>
    </row>
    <row r="555" spans="1:5" hidden="1" x14ac:dyDescent="0.3">
      <c r="A555" t="s">
        <v>557</v>
      </c>
      <c r="B555" t="s">
        <v>709</v>
      </c>
      <c r="C555" t="s">
        <v>297</v>
      </c>
      <c r="D555" s="230">
        <v>-2000</v>
      </c>
      <c r="E555" t="s">
        <v>710</v>
      </c>
    </row>
    <row r="556" spans="1:5" hidden="1" x14ac:dyDescent="0.3">
      <c r="A556" t="s">
        <v>557</v>
      </c>
      <c r="B556" t="s">
        <v>709</v>
      </c>
      <c r="C556" t="s">
        <v>298</v>
      </c>
      <c r="D556" s="230">
        <v>-460</v>
      </c>
      <c r="E556" t="s">
        <v>710</v>
      </c>
    </row>
    <row r="557" spans="1:5" hidden="1" x14ac:dyDescent="0.3">
      <c r="A557" t="s">
        <v>557</v>
      </c>
      <c r="B557" t="s">
        <v>709</v>
      </c>
      <c r="C557" t="s">
        <v>299</v>
      </c>
      <c r="D557" s="230">
        <v>0</v>
      </c>
      <c r="E557" t="s">
        <v>710</v>
      </c>
    </row>
    <row r="558" spans="1:5" hidden="1" x14ac:dyDescent="0.3">
      <c r="A558" t="s">
        <v>557</v>
      </c>
      <c r="B558" t="s">
        <v>709</v>
      </c>
      <c r="C558" t="s">
        <v>300</v>
      </c>
      <c r="D558" s="230">
        <v>0</v>
      </c>
      <c r="E558" t="s">
        <v>710</v>
      </c>
    </row>
    <row r="559" spans="1:5" hidden="1" x14ac:dyDescent="0.3">
      <c r="A559" t="s">
        <v>557</v>
      </c>
      <c r="B559" t="s">
        <v>709</v>
      </c>
      <c r="C559" t="s">
        <v>301</v>
      </c>
      <c r="D559" s="230">
        <v>0</v>
      </c>
      <c r="E559" t="s">
        <v>710</v>
      </c>
    </row>
    <row r="560" spans="1:5" hidden="1" x14ac:dyDescent="0.3">
      <c r="A560" t="s">
        <v>557</v>
      </c>
      <c r="B560" t="s">
        <v>709</v>
      </c>
      <c r="C560" t="s">
        <v>302</v>
      </c>
      <c r="D560" s="230">
        <v>0</v>
      </c>
      <c r="E560" t="s">
        <v>710</v>
      </c>
    </row>
    <row r="561" spans="1:5" hidden="1" x14ac:dyDescent="0.3">
      <c r="A561" t="s">
        <v>557</v>
      </c>
      <c r="B561" t="s">
        <v>709</v>
      </c>
      <c r="C561" t="s">
        <v>303</v>
      </c>
      <c r="D561" s="230">
        <v>0</v>
      </c>
      <c r="E561" t="s">
        <v>710</v>
      </c>
    </row>
    <row r="562" spans="1:5" hidden="1" x14ac:dyDescent="0.3">
      <c r="A562" t="s">
        <v>557</v>
      </c>
      <c r="B562" t="s">
        <v>709</v>
      </c>
      <c r="C562" t="s">
        <v>304</v>
      </c>
      <c r="D562" s="230">
        <v>0</v>
      </c>
      <c r="E562" t="s">
        <v>710</v>
      </c>
    </row>
    <row r="563" spans="1:5" hidden="1" x14ac:dyDescent="0.3">
      <c r="A563" t="s">
        <v>557</v>
      </c>
      <c r="B563" t="s">
        <v>709</v>
      </c>
      <c r="C563" t="s">
        <v>305</v>
      </c>
      <c r="D563" s="230">
        <v>0</v>
      </c>
      <c r="E563" t="s">
        <v>710</v>
      </c>
    </row>
    <row r="564" spans="1:5" hidden="1" x14ac:dyDescent="0.3">
      <c r="A564" t="s">
        <v>557</v>
      </c>
      <c r="B564" t="s">
        <v>709</v>
      </c>
      <c r="C564" t="s">
        <v>306</v>
      </c>
      <c r="D564" s="230">
        <v>0</v>
      </c>
      <c r="E564" t="s">
        <v>710</v>
      </c>
    </row>
    <row r="565" spans="1:5" hidden="1" x14ac:dyDescent="0.3">
      <c r="A565" t="s">
        <v>557</v>
      </c>
      <c r="B565" t="s">
        <v>709</v>
      </c>
      <c r="C565" t="s">
        <v>307</v>
      </c>
      <c r="D565" s="230">
        <v>-3864.7</v>
      </c>
      <c r="E565" t="s">
        <v>710</v>
      </c>
    </row>
    <row r="566" spans="1:5" hidden="1" x14ac:dyDescent="0.3">
      <c r="A566" t="s">
        <v>557</v>
      </c>
      <c r="B566" t="s">
        <v>709</v>
      </c>
      <c r="C566" t="s">
        <v>44</v>
      </c>
      <c r="D566" s="230">
        <v>-0.02</v>
      </c>
      <c r="E566" t="s">
        <v>710</v>
      </c>
    </row>
    <row r="567" spans="1:5" hidden="1" x14ac:dyDescent="0.3">
      <c r="A567" t="s">
        <v>557</v>
      </c>
      <c r="B567" t="s">
        <v>709</v>
      </c>
      <c r="C567" t="s">
        <v>308</v>
      </c>
      <c r="D567" s="230">
        <v>-3474</v>
      </c>
      <c r="E567" t="s">
        <v>710</v>
      </c>
    </row>
    <row r="568" spans="1:5" hidden="1" x14ac:dyDescent="0.3">
      <c r="A568" t="s">
        <v>557</v>
      </c>
      <c r="B568" t="s">
        <v>709</v>
      </c>
      <c r="C568" t="s">
        <v>309</v>
      </c>
      <c r="D568" s="230">
        <v>-2824</v>
      </c>
      <c r="E568" t="s">
        <v>710</v>
      </c>
    </row>
    <row r="569" spans="1:5" hidden="1" x14ac:dyDescent="0.3">
      <c r="A569" t="s">
        <v>557</v>
      </c>
      <c r="B569" t="s">
        <v>709</v>
      </c>
      <c r="C569" t="s">
        <v>310</v>
      </c>
      <c r="D569" s="230">
        <v>0</v>
      </c>
      <c r="E569" t="s">
        <v>710</v>
      </c>
    </row>
    <row r="570" spans="1:5" hidden="1" x14ac:dyDescent="0.3">
      <c r="A570" t="s">
        <v>557</v>
      </c>
      <c r="B570" t="s">
        <v>709</v>
      </c>
      <c r="C570" t="s">
        <v>311</v>
      </c>
      <c r="D570" s="230">
        <v>-650</v>
      </c>
      <c r="E570" t="s">
        <v>710</v>
      </c>
    </row>
    <row r="571" spans="1:5" hidden="1" x14ac:dyDescent="0.3">
      <c r="A571" t="s">
        <v>557</v>
      </c>
      <c r="B571" t="s">
        <v>709</v>
      </c>
      <c r="C571" t="s">
        <v>312</v>
      </c>
      <c r="D571" s="230">
        <v>0</v>
      </c>
      <c r="E571" t="s">
        <v>710</v>
      </c>
    </row>
    <row r="572" spans="1:5" hidden="1" x14ac:dyDescent="0.3">
      <c r="A572" t="s">
        <v>557</v>
      </c>
      <c r="B572" t="s">
        <v>709</v>
      </c>
      <c r="C572" t="s">
        <v>313</v>
      </c>
      <c r="D572" s="230">
        <v>0</v>
      </c>
      <c r="E572" t="s">
        <v>710</v>
      </c>
    </row>
    <row r="573" spans="1:5" hidden="1" x14ac:dyDescent="0.3">
      <c r="A573" t="s">
        <v>557</v>
      </c>
      <c r="B573" t="s">
        <v>709</v>
      </c>
      <c r="C573" t="s">
        <v>314</v>
      </c>
      <c r="D573" s="230">
        <v>0</v>
      </c>
      <c r="E573" t="s">
        <v>710</v>
      </c>
    </row>
    <row r="574" spans="1:5" hidden="1" x14ac:dyDescent="0.3">
      <c r="A574" t="s">
        <v>557</v>
      </c>
      <c r="B574" t="s">
        <v>709</v>
      </c>
      <c r="C574" t="s">
        <v>315</v>
      </c>
      <c r="D574" s="230">
        <v>0</v>
      </c>
      <c r="E574" t="s">
        <v>710</v>
      </c>
    </row>
    <row r="575" spans="1:5" hidden="1" x14ac:dyDescent="0.3">
      <c r="A575" t="s">
        <v>557</v>
      </c>
      <c r="B575" t="s">
        <v>709</v>
      </c>
      <c r="C575" t="s">
        <v>316</v>
      </c>
      <c r="D575" s="230">
        <v>0</v>
      </c>
      <c r="E575" t="s">
        <v>710</v>
      </c>
    </row>
    <row r="576" spans="1:5" hidden="1" x14ac:dyDescent="0.3">
      <c r="A576" t="s">
        <v>557</v>
      </c>
      <c r="B576" t="s">
        <v>709</v>
      </c>
      <c r="C576" t="s">
        <v>317</v>
      </c>
      <c r="D576" s="230">
        <v>0</v>
      </c>
      <c r="E576" t="s">
        <v>710</v>
      </c>
    </row>
    <row r="577" spans="1:5" hidden="1" x14ac:dyDescent="0.3">
      <c r="A577" t="s">
        <v>557</v>
      </c>
      <c r="B577" t="s">
        <v>709</v>
      </c>
      <c r="C577" t="s">
        <v>44</v>
      </c>
      <c r="D577" s="230">
        <v>-0.01</v>
      </c>
      <c r="E577" t="s">
        <v>710</v>
      </c>
    </row>
    <row r="578" spans="1:5" hidden="1" x14ac:dyDescent="0.3">
      <c r="A578" t="s">
        <v>557</v>
      </c>
      <c r="B578" t="s">
        <v>709</v>
      </c>
      <c r="C578" t="s">
        <v>318</v>
      </c>
      <c r="D578" s="230">
        <v>-2281.16</v>
      </c>
      <c r="E578" t="s">
        <v>710</v>
      </c>
    </row>
    <row r="579" spans="1:5" hidden="1" x14ac:dyDescent="0.3">
      <c r="A579" t="s">
        <v>557</v>
      </c>
      <c r="B579" t="s">
        <v>709</v>
      </c>
      <c r="C579" t="s">
        <v>319</v>
      </c>
      <c r="D579" s="230">
        <v>-2281.16</v>
      </c>
      <c r="E579" t="s">
        <v>710</v>
      </c>
    </row>
    <row r="580" spans="1:5" hidden="1" x14ac:dyDescent="0.3">
      <c r="A580" t="s">
        <v>557</v>
      </c>
      <c r="B580" t="s">
        <v>709</v>
      </c>
      <c r="C580" t="s">
        <v>320</v>
      </c>
      <c r="D580" s="230">
        <v>0</v>
      </c>
      <c r="E580" t="s">
        <v>710</v>
      </c>
    </row>
    <row r="581" spans="1:5" hidden="1" x14ac:dyDescent="0.3">
      <c r="A581" t="s">
        <v>557</v>
      </c>
      <c r="B581" t="s">
        <v>709</v>
      </c>
      <c r="C581" t="s">
        <v>321</v>
      </c>
      <c r="D581" s="230">
        <v>0</v>
      </c>
      <c r="E581" t="s">
        <v>710</v>
      </c>
    </row>
    <row r="582" spans="1:5" hidden="1" x14ac:dyDescent="0.3">
      <c r="A582" t="s">
        <v>557</v>
      </c>
      <c r="B582" t="s">
        <v>709</v>
      </c>
      <c r="C582" t="s">
        <v>322</v>
      </c>
      <c r="D582" s="230">
        <v>0</v>
      </c>
      <c r="E582" t="s">
        <v>710</v>
      </c>
    </row>
    <row r="583" spans="1:5" hidden="1" x14ac:dyDescent="0.3">
      <c r="A583" t="s">
        <v>557</v>
      </c>
      <c r="B583" t="s">
        <v>709</v>
      </c>
      <c r="C583" t="s">
        <v>44</v>
      </c>
      <c r="D583" s="230">
        <v>-0.01</v>
      </c>
      <c r="E583" t="s">
        <v>710</v>
      </c>
    </row>
    <row r="584" spans="1:5" hidden="1" x14ac:dyDescent="0.3">
      <c r="A584" t="s">
        <v>557</v>
      </c>
      <c r="B584" t="s">
        <v>709</v>
      </c>
      <c r="C584" t="s">
        <v>323</v>
      </c>
      <c r="D584" s="230">
        <v>-17487.77</v>
      </c>
      <c r="E584" t="s">
        <v>710</v>
      </c>
    </row>
    <row r="585" spans="1:5" hidden="1" x14ac:dyDescent="0.3">
      <c r="A585" t="s">
        <v>557</v>
      </c>
      <c r="B585" t="s">
        <v>709</v>
      </c>
      <c r="C585" t="s">
        <v>324</v>
      </c>
      <c r="D585" s="230">
        <v>0</v>
      </c>
      <c r="E585" t="s">
        <v>710</v>
      </c>
    </row>
    <row r="586" spans="1:5" hidden="1" x14ac:dyDescent="0.3">
      <c r="A586" t="s">
        <v>557</v>
      </c>
      <c r="B586" t="s">
        <v>709</v>
      </c>
      <c r="C586" t="s">
        <v>325</v>
      </c>
      <c r="D586" s="230">
        <v>0</v>
      </c>
      <c r="E586" t="s">
        <v>710</v>
      </c>
    </row>
    <row r="587" spans="1:5" hidden="1" x14ac:dyDescent="0.3">
      <c r="A587" t="s">
        <v>557</v>
      </c>
      <c r="B587" t="s">
        <v>709</v>
      </c>
      <c r="C587" t="s">
        <v>326</v>
      </c>
      <c r="D587" s="230">
        <v>-17487.77</v>
      </c>
      <c r="E587" t="s">
        <v>710</v>
      </c>
    </row>
    <row r="588" spans="1:5" hidden="1" x14ac:dyDescent="0.3">
      <c r="A588" t="s">
        <v>557</v>
      </c>
      <c r="B588" t="s">
        <v>709</v>
      </c>
      <c r="C588" t="s">
        <v>44</v>
      </c>
      <c r="D588" s="230">
        <v>-0.05</v>
      </c>
      <c r="E588" t="s">
        <v>710</v>
      </c>
    </row>
    <row r="589" spans="1:5" hidden="1" x14ac:dyDescent="0.3">
      <c r="A589" t="s">
        <v>557</v>
      </c>
      <c r="B589" t="s">
        <v>709</v>
      </c>
      <c r="C589" t="s">
        <v>328</v>
      </c>
      <c r="D589" s="230">
        <v>-249020.51</v>
      </c>
      <c r="E589" t="s">
        <v>710</v>
      </c>
    </row>
    <row r="590" spans="1:5" hidden="1" x14ac:dyDescent="0.3">
      <c r="A590" t="s">
        <v>557</v>
      </c>
      <c r="B590" t="s">
        <v>709</v>
      </c>
      <c r="C590" t="s">
        <v>44</v>
      </c>
      <c r="D590" s="230">
        <v>-0.71</v>
      </c>
      <c r="E590" t="s">
        <v>710</v>
      </c>
    </row>
    <row r="591" spans="1:5" hidden="1" x14ac:dyDescent="0.3">
      <c r="A591" t="s">
        <v>557</v>
      </c>
      <c r="B591" t="s">
        <v>709</v>
      </c>
      <c r="C591" t="s">
        <v>329</v>
      </c>
      <c r="D591" s="230">
        <v>-78033.58</v>
      </c>
      <c r="E591" t="s">
        <v>710</v>
      </c>
    </row>
    <row r="592" spans="1:5" hidden="1" x14ac:dyDescent="0.3">
      <c r="A592" t="s">
        <v>557</v>
      </c>
      <c r="B592" t="s">
        <v>709</v>
      </c>
      <c r="C592" t="s">
        <v>44</v>
      </c>
      <c r="D592" s="230">
        <v>-0.22</v>
      </c>
      <c r="E592" t="s">
        <v>710</v>
      </c>
    </row>
    <row r="593" spans="1:5" hidden="1" x14ac:dyDescent="0.3">
      <c r="A593" t="s">
        <v>557</v>
      </c>
      <c r="B593" t="s">
        <v>709</v>
      </c>
      <c r="C593" t="s">
        <v>330</v>
      </c>
      <c r="D593" s="230">
        <v>0</v>
      </c>
      <c r="E593" t="s">
        <v>710</v>
      </c>
    </row>
    <row r="594" spans="1:5" hidden="1" x14ac:dyDescent="0.3">
      <c r="A594" t="s">
        <v>557</v>
      </c>
      <c r="B594" t="s">
        <v>709</v>
      </c>
      <c r="C594" t="s">
        <v>332</v>
      </c>
      <c r="D594" s="230">
        <v>-78033.58</v>
      </c>
      <c r="E594" t="s">
        <v>710</v>
      </c>
    </row>
    <row r="595" spans="1:5" hidden="1" x14ac:dyDescent="0.3">
      <c r="A595" t="s">
        <v>557</v>
      </c>
      <c r="B595" t="s">
        <v>709</v>
      </c>
      <c r="C595" t="s">
        <v>333</v>
      </c>
      <c r="D595" s="230">
        <v>8110.5</v>
      </c>
      <c r="E595" t="s">
        <v>710</v>
      </c>
    </row>
    <row r="596" spans="1:5" hidden="1" x14ac:dyDescent="0.3">
      <c r="A596" t="s">
        <v>557</v>
      </c>
      <c r="B596" t="s">
        <v>709</v>
      </c>
      <c r="C596" t="s">
        <v>334</v>
      </c>
      <c r="D596" s="230">
        <v>0</v>
      </c>
      <c r="E596" t="s">
        <v>710</v>
      </c>
    </row>
    <row r="597" spans="1:5" hidden="1" x14ac:dyDescent="0.3">
      <c r="A597" t="s">
        <v>557</v>
      </c>
      <c r="B597" t="s">
        <v>709</v>
      </c>
      <c r="C597" t="s">
        <v>336</v>
      </c>
      <c r="D597" s="230">
        <v>-8550</v>
      </c>
      <c r="E597" t="s">
        <v>710</v>
      </c>
    </row>
    <row r="598" spans="1:5" hidden="1" x14ac:dyDescent="0.3">
      <c r="A598" t="s">
        <v>557</v>
      </c>
      <c r="B598" t="s">
        <v>709</v>
      </c>
      <c r="C598" t="s">
        <v>338</v>
      </c>
      <c r="D598" s="230">
        <v>-78473.08</v>
      </c>
      <c r="E598" t="s">
        <v>710</v>
      </c>
    </row>
    <row r="599" spans="1:5" hidden="1" x14ac:dyDescent="0.3">
      <c r="A599" t="s">
        <v>557</v>
      </c>
      <c r="B599" t="s">
        <v>709</v>
      </c>
      <c r="C599" t="s">
        <v>339</v>
      </c>
      <c r="D599" s="230">
        <v>-16788.259999999998</v>
      </c>
      <c r="E599" t="s">
        <v>710</v>
      </c>
    </row>
    <row r="600" spans="1:5" hidden="1" x14ac:dyDescent="0.3">
      <c r="A600" t="s">
        <v>557</v>
      </c>
      <c r="B600" t="s">
        <v>709</v>
      </c>
      <c r="C600" t="s">
        <v>342</v>
      </c>
      <c r="D600" s="230">
        <v>-16788.259999999998</v>
      </c>
      <c r="E600" t="s">
        <v>710</v>
      </c>
    </row>
    <row r="601" spans="1:5" hidden="1" x14ac:dyDescent="0.3">
      <c r="A601" t="s">
        <v>557</v>
      </c>
      <c r="B601" t="s">
        <v>709</v>
      </c>
      <c r="C601" t="s">
        <v>344</v>
      </c>
      <c r="D601" s="230">
        <v>0</v>
      </c>
      <c r="E601" t="s">
        <v>710</v>
      </c>
    </row>
    <row r="602" spans="1:5" hidden="1" x14ac:dyDescent="0.3">
      <c r="A602" t="s">
        <v>557</v>
      </c>
      <c r="B602" t="s">
        <v>709</v>
      </c>
      <c r="C602" t="s">
        <v>345</v>
      </c>
      <c r="D602" s="230">
        <v>0</v>
      </c>
      <c r="E602" t="s">
        <v>710</v>
      </c>
    </row>
    <row r="603" spans="1:5" hidden="1" x14ac:dyDescent="0.3">
      <c r="A603" t="s">
        <v>557</v>
      </c>
      <c r="B603" t="s">
        <v>709</v>
      </c>
      <c r="C603" t="s">
        <v>346</v>
      </c>
      <c r="D603" s="230">
        <v>0</v>
      </c>
      <c r="E603" t="s">
        <v>710</v>
      </c>
    </row>
    <row r="604" spans="1:5" hidden="1" x14ac:dyDescent="0.3">
      <c r="A604" t="s">
        <v>557</v>
      </c>
      <c r="B604" t="s">
        <v>709</v>
      </c>
      <c r="C604" t="s">
        <v>347</v>
      </c>
      <c r="D604" s="230">
        <v>-95261.34</v>
      </c>
      <c r="E604" t="s">
        <v>710</v>
      </c>
    </row>
    <row r="605" spans="1:5" hidden="1" x14ac:dyDescent="0.3">
      <c r="A605" t="s">
        <v>557</v>
      </c>
      <c r="B605" t="s">
        <v>709</v>
      </c>
      <c r="C605" t="s">
        <v>44</v>
      </c>
      <c r="D605" s="230">
        <v>-0.27</v>
      </c>
      <c r="E605" t="s">
        <v>710</v>
      </c>
    </row>
    <row r="606" spans="1:5" hidden="1" x14ac:dyDescent="0.3">
      <c r="A606" t="s">
        <v>557</v>
      </c>
      <c r="B606" t="s">
        <v>709</v>
      </c>
      <c r="C606" t="s">
        <v>348</v>
      </c>
      <c r="D606" s="230">
        <v>0</v>
      </c>
      <c r="E606" t="s">
        <v>710</v>
      </c>
    </row>
    <row r="607" spans="1:5" hidden="1" x14ac:dyDescent="0.3">
      <c r="A607" t="s">
        <v>557</v>
      </c>
      <c r="B607" t="s">
        <v>709</v>
      </c>
      <c r="C607" t="s">
        <v>707</v>
      </c>
      <c r="D607" s="230">
        <v>0</v>
      </c>
      <c r="E607" t="s">
        <v>710</v>
      </c>
    </row>
    <row r="608" spans="1:5" hidden="1" x14ac:dyDescent="0.3">
      <c r="A608" t="s">
        <v>557</v>
      </c>
      <c r="B608" t="s">
        <v>709</v>
      </c>
      <c r="C608" t="s">
        <v>350</v>
      </c>
      <c r="D608" s="230">
        <v>0</v>
      </c>
      <c r="E608" t="s">
        <v>710</v>
      </c>
    </row>
    <row r="609" spans="1:5" hidden="1" x14ac:dyDescent="0.3">
      <c r="A609" t="s">
        <v>557</v>
      </c>
      <c r="B609" t="s">
        <v>709</v>
      </c>
      <c r="C609" t="s">
        <v>351</v>
      </c>
      <c r="D609" s="230">
        <v>0</v>
      </c>
      <c r="E609" t="s">
        <v>710</v>
      </c>
    </row>
    <row r="610" spans="1:5" hidden="1" x14ac:dyDescent="0.3">
      <c r="A610" t="s">
        <v>557</v>
      </c>
      <c r="B610" t="s">
        <v>709</v>
      </c>
      <c r="C610" t="s">
        <v>352</v>
      </c>
      <c r="D610" s="230">
        <v>0</v>
      </c>
      <c r="E610" t="s">
        <v>710</v>
      </c>
    </row>
    <row r="611" spans="1:5" hidden="1" x14ac:dyDescent="0.3">
      <c r="A611" t="s">
        <v>557</v>
      </c>
      <c r="B611" t="s">
        <v>709</v>
      </c>
      <c r="C611" t="s">
        <v>353</v>
      </c>
      <c r="D611" s="230">
        <v>0</v>
      </c>
      <c r="E611" t="s">
        <v>710</v>
      </c>
    </row>
    <row r="612" spans="1:5" hidden="1" x14ac:dyDescent="0.3">
      <c r="A612" t="s">
        <v>557</v>
      </c>
      <c r="B612" t="s">
        <v>709</v>
      </c>
      <c r="C612" t="s">
        <v>354</v>
      </c>
      <c r="D612" s="230">
        <v>0</v>
      </c>
      <c r="E612" t="s">
        <v>710</v>
      </c>
    </row>
    <row r="613" spans="1:5" hidden="1" x14ac:dyDescent="0.3">
      <c r="A613" t="s">
        <v>557</v>
      </c>
      <c r="B613" t="s">
        <v>709</v>
      </c>
      <c r="C613" t="s">
        <v>355</v>
      </c>
      <c r="D613" s="230">
        <v>0</v>
      </c>
      <c r="E613" t="s">
        <v>710</v>
      </c>
    </row>
    <row r="614" spans="1:5" hidden="1" x14ac:dyDescent="0.3">
      <c r="A614" t="s">
        <v>557</v>
      </c>
      <c r="B614" t="s">
        <v>709</v>
      </c>
      <c r="C614" t="s">
        <v>356</v>
      </c>
      <c r="D614" s="230">
        <v>0</v>
      </c>
      <c r="E614" t="s">
        <v>710</v>
      </c>
    </row>
    <row r="615" spans="1:5" hidden="1" x14ac:dyDescent="0.3">
      <c r="A615" t="s">
        <v>557</v>
      </c>
      <c r="B615" t="s">
        <v>709</v>
      </c>
      <c r="C615" t="s">
        <v>357</v>
      </c>
      <c r="D615" s="230">
        <v>0</v>
      </c>
      <c r="E615" t="s">
        <v>710</v>
      </c>
    </row>
    <row r="616" spans="1:5" hidden="1" x14ac:dyDescent="0.3">
      <c r="A616" t="s">
        <v>557</v>
      </c>
      <c r="B616" t="s">
        <v>709</v>
      </c>
      <c r="C616" t="s">
        <v>358</v>
      </c>
      <c r="D616" s="230">
        <v>0</v>
      </c>
      <c r="E616" t="s">
        <v>710</v>
      </c>
    </row>
    <row r="617" spans="1:5" hidden="1" x14ac:dyDescent="0.3">
      <c r="A617" t="s">
        <v>557</v>
      </c>
      <c r="B617" t="s">
        <v>709</v>
      </c>
      <c r="C617" t="s">
        <v>359</v>
      </c>
      <c r="D617" s="230">
        <v>0</v>
      </c>
      <c r="E617" t="s">
        <v>710</v>
      </c>
    </row>
    <row r="618" spans="1:5" hidden="1" x14ac:dyDescent="0.3">
      <c r="A618" t="s">
        <v>557</v>
      </c>
      <c r="B618" t="s">
        <v>709</v>
      </c>
      <c r="C618" t="s">
        <v>360</v>
      </c>
      <c r="D618" s="230">
        <v>0</v>
      </c>
      <c r="E618" t="s">
        <v>710</v>
      </c>
    </row>
    <row r="619" spans="1:5" hidden="1" x14ac:dyDescent="0.3">
      <c r="A619" t="s">
        <v>557</v>
      </c>
      <c r="B619" t="s">
        <v>709</v>
      </c>
      <c r="C619" t="s">
        <v>361</v>
      </c>
      <c r="D619" s="230">
        <v>0</v>
      </c>
      <c r="E619" t="s">
        <v>710</v>
      </c>
    </row>
    <row r="620" spans="1:5" hidden="1" x14ac:dyDescent="0.3">
      <c r="A620" t="s">
        <v>557</v>
      </c>
      <c r="B620" t="s">
        <v>709</v>
      </c>
      <c r="C620" t="s">
        <v>362</v>
      </c>
      <c r="D620" s="230">
        <v>0</v>
      </c>
      <c r="E620" t="s">
        <v>710</v>
      </c>
    </row>
    <row r="621" spans="1:5" hidden="1" x14ac:dyDescent="0.3">
      <c r="A621" t="s">
        <v>557</v>
      </c>
      <c r="B621" t="s">
        <v>709</v>
      </c>
      <c r="C621" t="s">
        <v>363</v>
      </c>
      <c r="D621" s="230">
        <v>0</v>
      </c>
      <c r="E621" t="s">
        <v>710</v>
      </c>
    </row>
    <row r="622" spans="1:5" hidden="1" x14ac:dyDescent="0.3">
      <c r="A622" t="s">
        <v>557</v>
      </c>
      <c r="B622" t="s">
        <v>709</v>
      </c>
      <c r="C622" t="s">
        <v>364</v>
      </c>
      <c r="D622" s="230">
        <v>0</v>
      </c>
      <c r="E622" t="s">
        <v>710</v>
      </c>
    </row>
    <row r="623" spans="1:5" hidden="1" x14ac:dyDescent="0.3">
      <c r="A623" t="s">
        <v>557</v>
      </c>
      <c r="B623" t="s">
        <v>709</v>
      </c>
      <c r="C623" t="s">
        <v>365</v>
      </c>
      <c r="D623" s="230">
        <v>0</v>
      </c>
      <c r="E623" t="s">
        <v>710</v>
      </c>
    </row>
    <row r="624" spans="1:5" hidden="1" x14ac:dyDescent="0.3">
      <c r="A624" t="s">
        <v>557</v>
      </c>
      <c r="B624" t="s">
        <v>709</v>
      </c>
      <c r="C624" t="s">
        <v>366</v>
      </c>
      <c r="D624" s="230">
        <v>0</v>
      </c>
      <c r="E624" t="s">
        <v>710</v>
      </c>
    </row>
    <row r="625" spans="1:5" hidden="1" x14ac:dyDescent="0.3">
      <c r="A625" t="s">
        <v>557</v>
      </c>
      <c r="B625" t="s">
        <v>709</v>
      </c>
      <c r="C625" t="s">
        <v>367</v>
      </c>
      <c r="D625" s="230">
        <v>0</v>
      </c>
      <c r="E625" t="s">
        <v>710</v>
      </c>
    </row>
    <row r="626" spans="1:5" hidden="1" x14ac:dyDescent="0.3">
      <c r="A626" t="s">
        <v>557</v>
      </c>
      <c r="B626" t="s">
        <v>709</v>
      </c>
      <c r="C626" t="s">
        <v>368</v>
      </c>
      <c r="D626" s="230">
        <v>0</v>
      </c>
      <c r="E626" t="s">
        <v>710</v>
      </c>
    </row>
    <row r="627" spans="1:5" hidden="1" x14ac:dyDescent="0.3">
      <c r="A627" t="s">
        <v>557</v>
      </c>
      <c r="B627" t="s">
        <v>709</v>
      </c>
      <c r="C627" t="s">
        <v>369</v>
      </c>
      <c r="D627" s="230">
        <v>0</v>
      </c>
      <c r="E627" t="s">
        <v>710</v>
      </c>
    </row>
    <row r="628" spans="1:5" hidden="1" x14ac:dyDescent="0.3">
      <c r="A628" t="s">
        <v>557</v>
      </c>
      <c r="B628" t="s">
        <v>709</v>
      </c>
      <c r="C628" t="s">
        <v>370</v>
      </c>
      <c r="D628" s="230">
        <v>0</v>
      </c>
      <c r="E628" t="s">
        <v>710</v>
      </c>
    </row>
    <row r="629" spans="1:5" hidden="1" x14ac:dyDescent="0.3">
      <c r="A629" t="s">
        <v>557</v>
      </c>
      <c r="B629" t="s">
        <v>709</v>
      </c>
      <c r="C629" t="s">
        <v>371</v>
      </c>
      <c r="D629" s="230">
        <v>0</v>
      </c>
      <c r="E629" t="s">
        <v>710</v>
      </c>
    </row>
    <row r="630" spans="1:5" hidden="1" x14ac:dyDescent="0.3">
      <c r="A630" t="s">
        <v>557</v>
      </c>
      <c r="B630" t="s">
        <v>709</v>
      </c>
      <c r="C630" t="s">
        <v>372</v>
      </c>
      <c r="D630" s="230">
        <v>0</v>
      </c>
      <c r="E630" t="s">
        <v>710</v>
      </c>
    </row>
    <row r="631" spans="1:5" hidden="1" x14ac:dyDescent="0.3">
      <c r="A631" t="s">
        <v>557</v>
      </c>
      <c r="B631" t="s">
        <v>709</v>
      </c>
      <c r="C631" t="s">
        <v>373</v>
      </c>
      <c r="D631" s="230">
        <v>0</v>
      </c>
      <c r="E631" t="s">
        <v>710</v>
      </c>
    </row>
    <row r="632" spans="1:5" hidden="1" x14ac:dyDescent="0.3">
      <c r="A632" t="s">
        <v>557</v>
      </c>
      <c r="B632" t="s">
        <v>709</v>
      </c>
      <c r="C632" t="s">
        <v>374</v>
      </c>
      <c r="D632" s="230">
        <v>0</v>
      </c>
      <c r="E632" t="s">
        <v>710</v>
      </c>
    </row>
    <row r="633" spans="1:5" hidden="1" x14ac:dyDescent="0.3">
      <c r="A633" t="s">
        <v>557</v>
      </c>
      <c r="B633" t="s">
        <v>709</v>
      </c>
      <c r="C633" t="s">
        <v>708</v>
      </c>
      <c r="D633" s="230">
        <v>0</v>
      </c>
      <c r="E633" t="s">
        <v>710</v>
      </c>
    </row>
    <row r="634" spans="1:5" hidden="1" x14ac:dyDescent="0.3">
      <c r="A634" t="s">
        <v>557</v>
      </c>
      <c r="B634" t="s">
        <v>711</v>
      </c>
      <c r="C634" t="s">
        <v>11</v>
      </c>
      <c r="D634" s="230">
        <v>461385.85</v>
      </c>
      <c r="E634" t="s">
        <v>712</v>
      </c>
    </row>
    <row r="635" spans="1:5" hidden="1" x14ac:dyDescent="0.3">
      <c r="A635" t="s">
        <v>557</v>
      </c>
      <c r="B635" t="s">
        <v>711</v>
      </c>
      <c r="C635" t="s">
        <v>13</v>
      </c>
      <c r="D635" s="230">
        <v>218210.2</v>
      </c>
      <c r="E635" t="s">
        <v>712</v>
      </c>
    </row>
    <row r="636" spans="1:5" hidden="1" x14ac:dyDescent="0.3">
      <c r="A636" t="s">
        <v>557</v>
      </c>
      <c r="B636" t="s">
        <v>711</v>
      </c>
      <c r="C636" t="s">
        <v>16</v>
      </c>
      <c r="D636" s="230">
        <v>133100.5</v>
      </c>
      <c r="E636" t="s">
        <v>712</v>
      </c>
    </row>
    <row r="637" spans="1:5" hidden="1" x14ac:dyDescent="0.3">
      <c r="A637" t="s">
        <v>557</v>
      </c>
      <c r="B637" t="s">
        <v>711</v>
      </c>
      <c r="C637" t="s">
        <v>17</v>
      </c>
      <c r="D637" s="230">
        <v>10720</v>
      </c>
      <c r="E637" t="s">
        <v>712</v>
      </c>
    </row>
    <row r="638" spans="1:5" hidden="1" x14ac:dyDescent="0.3">
      <c r="A638" t="s">
        <v>557</v>
      </c>
      <c r="B638" t="s">
        <v>711</v>
      </c>
      <c r="C638" t="s">
        <v>18</v>
      </c>
      <c r="D638" s="230">
        <v>125</v>
      </c>
      <c r="E638" t="s">
        <v>712</v>
      </c>
    </row>
    <row r="639" spans="1:5" hidden="1" x14ac:dyDescent="0.3">
      <c r="A639" t="s">
        <v>557</v>
      </c>
      <c r="B639" t="s">
        <v>711</v>
      </c>
      <c r="C639" t="s">
        <v>20</v>
      </c>
      <c r="D639" s="230">
        <v>46132.15</v>
      </c>
      <c r="E639" t="s">
        <v>712</v>
      </c>
    </row>
    <row r="640" spans="1:5" hidden="1" x14ac:dyDescent="0.3">
      <c r="A640" t="s">
        <v>557</v>
      </c>
      <c r="B640" t="s">
        <v>711</v>
      </c>
      <c r="C640" t="s">
        <v>23</v>
      </c>
      <c r="D640" s="230">
        <v>37389.050000000003</v>
      </c>
      <c r="E640" t="s">
        <v>712</v>
      </c>
    </row>
    <row r="641" spans="1:5" hidden="1" x14ac:dyDescent="0.3">
      <c r="A641" t="s">
        <v>557</v>
      </c>
      <c r="B641" t="s">
        <v>711</v>
      </c>
      <c r="C641" t="s">
        <v>25</v>
      </c>
      <c r="D641" s="230">
        <v>900</v>
      </c>
      <c r="E641" t="s">
        <v>712</v>
      </c>
    </row>
    <row r="642" spans="1:5" hidden="1" x14ac:dyDescent="0.3">
      <c r="A642" t="s">
        <v>557</v>
      </c>
      <c r="B642" t="s">
        <v>711</v>
      </c>
      <c r="C642" t="s">
        <v>26</v>
      </c>
      <c r="D642" s="230">
        <v>14300</v>
      </c>
      <c r="E642" t="s">
        <v>712</v>
      </c>
    </row>
    <row r="643" spans="1:5" hidden="1" x14ac:dyDescent="0.3">
      <c r="A643" t="s">
        <v>557</v>
      </c>
      <c r="B643" t="s">
        <v>711</v>
      </c>
      <c r="C643" t="s">
        <v>27</v>
      </c>
      <c r="D643" s="230">
        <v>0</v>
      </c>
      <c r="E643" t="s">
        <v>712</v>
      </c>
    </row>
    <row r="644" spans="1:5" hidden="1" x14ac:dyDescent="0.3">
      <c r="A644" t="s">
        <v>557</v>
      </c>
      <c r="B644" t="s">
        <v>711</v>
      </c>
      <c r="C644" t="s">
        <v>29</v>
      </c>
      <c r="D644" s="230">
        <v>508.95</v>
      </c>
      <c r="E644" t="s">
        <v>712</v>
      </c>
    </row>
    <row r="645" spans="1:5" hidden="1" x14ac:dyDescent="0.3">
      <c r="A645" t="s">
        <v>557</v>
      </c>
      <c r="B645" t="s">
        <v>711</v>
      </c>
      <c r="C645" t="s">
        <v>31</v>
      </c>
      <c r="D645" s="230">
        <v>0</v>
      </c>
      <c r="E645" t="s">
        <v>712</v>
      </c>
    </row>
    <row r="646" spans="1:5" hidden="1" x14ac:dyDescent="0.3">
      <c r="A646" t="s">
        <v>557</v>
      </c>
      <c r="B646" t="s">
        <v>711</v>
      </c>
      <c r="C646" t="s">
        <v>34</v>
      </c>
      <c r="D646" s="230">
        <v>-14198.16</v>
      </c>
      <c r="E646" t="s">
        <v>712</v>
      </c>
    </row>
    <row r="647" spans="1:5" hidden="1" x14ac:dyDescent="0.3">
      <c r="A647" t="s">
        <v>557</v>
      </c>
      <c r="B647" t="s">
        <v>711</v>
      </c>
      <c r="C647" t="s">
        <v>38</v>
      </c>
      <c r="D647" s="230">
        <v>-14198.16</v>
      </c>
      <c r="E647" t="s">
        <v>712</v>
      </c>
    </row>
    <row r="648" spans="1:5" hidden="1" x14ac:dyDescent="0.3">
      <c r="A648" t="s">
        <v>557</v>
      </c>
      <c r="B648" t="s">
        <v>711</v>
      </c>
      <c r="C648" t="s">
        <v>40</v>
      </c>
      <c r="D648" s="230">
        <v>0</v>
      </c>
      <c r="E648" t="s">
        <v>712</v>
      </c>
    </row>
    <row r="649" spans="1:5" hidden="1" x14ac:dyDescent="0.3">
      <c r="A649" t="s">
        <v>557</v>
      </c>
      <c r="B649" t="s">
        <v>711</v>
      </c>
      <c r="C649" t="s">
        <v>42</v>
      </c>
      <c r="D649" s="230">
        <v>0</v>
      </c>
      <c r="E649" t="s">
        <v>712</v>
      </c>
    </row>
    <row r="650" spans="1:5" hidden="1" x14ac:dyDescent="0.3">
      <c r="A650" t="s">
        <v>557</v>
      </c>
      <c r="B650" t="s">
        <v>711</v>
      </c>
      <c r="C650" t="s">
        <v>44</v>
      </c>
      <c r="D650" s="230">
        <v>-0.03</v>
      </c>
      <c r="E650" t="s">
        <v>712</v>
      </c>
    </row>
    <row r="651" spans="1:5" hidden="1" x14ac:dyDescent="0.3">
      <c r="A651" t="s">
        <v>557</v>
      </c>
      <c r="B651" t="s">
        <v>711</v>
      </c>
      <c r="C651" t="s">
        <v>45</v>
      </c>
      <c r="D651" s="230">
        <v>-28681.31</v>
      </c>
      <c r="E651" t="s">
        <v>712</v>
      </c>
    </row>
    <row r="652" spans="1:5" hidden="1" x14ac:dyDescent="0.3">
      <c r="A652" t="s">
        <v>557</v>
      </c>
      <c r="B652" t="s">
        <v>711</v>
      </c>
      <c r="C652" t="s">
        <v>46</v>
      </c>
      <c r="D652" s="230">
        <v>-14638.53</v>
      </c>
      <c r="E652" t="s">
        <v>712</v>
      </c>
    </row>
    <row r="653" spans="1:5" hidden="1" x14ac:dyDescent="0.3">
      <c r="A653" t="s">
        <v>557</v>
      </c>
      <c r="B653" t="s">
        <v>711</v>
      </c>
      <c r="C653" t="s">
        <v>48</v>
      </c>
      <c r="D653" s="230">
        <v>-11637.33</v>
      </c>
      <c r="E653" t="s">
        <v>712</v>
      </c>
    </row>
    <row r="654" spans="1:5" hidden="1" x14ac:dyDescent="0.3">
      <c r="A654" t="s">
        <v>557</v>
      </c>
      <c r="B654" t="s">
        <v>711</v>
      </c>
      <c r="C654" t="s">
        <v>49</v>
      </c>
      <c r="D654" s="230">
        <v>-2405.4499999999998</v>
      </c>
      <c r="E654" t="s">
        <v>712</v>
      </c>
    </row>
    <row r="655" spans="1:5" hidden="1" x14ac:dyDescent="0.3">
      <c r="A655" t="s">
        <v>557</v>
      </c>
      <c r="B655" t="s">
        <v>711</v>
      </c>
      <c r="C655" t="s">
        <v>50</v>
      </c>
      <c r="D655" s="230">
        <v>418506.38</v>
      </c>
      <c r="E655" t="s">
        <v>712</v>
      </c>
    </row>
    <row r="656" spans="1:5" hidden="1" x14ac:dyDescent="0.3">
      <c r="A656" t="s">
        <v>557</v>
      </c>
      <c r="B656" t="s">
        <v>711</v>
      </c>
      <c r="C656" t="s">
        <v>51</v>
      </c>
      <c r="D656" s="230">
        <v>-121738.84</v>
      </c>
      <c r="E656" t="s">
        <v>712</v>
      </c>
    </row>
    <row r="657" spans="1:5" hidden="1" x14ac:dyDescent="0.3">
      <c r="A657" t="s">
        <v>557</v>
      </c>
      <c r="B657" t="s">
        <v>711</v>
      </c>
      <c r="C657" t="s">
        <v>52</v>
      </c>
      <c r="D657" s="230">
        <v>-90453.63</v>
      </c>
      <c r="E657" t="s">
        <v>712</v>
      </c>
    </row>
    <row r="658" spans="1:5" hidden="1" x14ac:dyDescent="0.3">
      <c r="A658" t="s">
        <v>557</v>
      </c>
      <c r="B658" t="s">
        <v>711</v>
      </c>
      <c r="C658" t="s">
        <v>53</v>
      </c>
      <c r="D658" s="230">
        <v>-31285.21</v>
      </c>
      <c r="E658" t="s">
        <v>712</v>
      </c>
    </row>
    <row r="659" spans="1:5" hidden="1" x14ac:dyDescent="0.3">
      <c r="A659" t="s">
        <v>557</v>
      </c>
      <c r="B659" t="s">
        <v>711</v>
      </c>
      <c r="C659" t="s">
        <v>54</v>
      </c>
      <c r="D659" s="230">
        <v>0</v>
      </c>
      <c r="E659" t="s">
        <v>712</v>
      </c>
    </row>
    <row r="660" spans="1:5" hidden="1" x14ac:dyDescent="0.3">
      <c r="A660" t="s">
        <v>557</v>
      </c>
      <c r="B660" t="s">
        <v>711</v>
      </c>
      <c r="C660" t="s">
        <v>23</v>
      </c>
      <c r="D660" s="230">
        <v>0</v>
      </c>
      <c r="E660" t="s">
        <v>712</v>
      </c>
    </row>
    <row r="661" spans="1:5" hidden="1" x14ac:dyDescent="0.3">
      <c r="A661" t="s">
        <v>557</v>
      </c>
      <c r="B661" t="s">
        <v>711</v>
      </c>
      <c r="C661" t="s">
        <v>44</v>
      </c>
      <c r="D661" s="230">
        <v>-0.31</v>
      </c>
      <c r="E661" t="s">
        <v>712</v>
      </c>
    </row>
    <row r="662" spans="1:5" hidden="1" x14ac:dyDescent="0.3">
      <c r="A662" t="s">
        <v>557</v>
      </c>
      <c r="B662" t="s">
        <v>711</v>
      </c>
      <c r="C662" t="s">
        <v>55</v>
      </c>
      <c r="D662" s="230">
        <v>-0.28999999999999998</v>
      </c>
      <c r="E662" t="s">
        <v>712</v>
      </c>
    </row>
    <row r="663" spans="1:5" hidden="1" x14ac:dyDescent="0.3">
      <c r="A663" t="s">
        <v>557</v>
      </c>
      <c r="B663" t="s">
        <v>711</v>
      </c>
      <c r="C663" t="s">
        <v>56</v>
      </c>
      <c r="D663" s="230">
        <v>-11139.64</v>
      </c>
      <c r="E663" t="s">
        <v>712</v>
      </c>
    </row>
    <row r="664" spans="1:5" hidden="1" x14ac:dyDescent="0.3">
      <c r="A664" t="s">
        <v>557</v>
      </c>
      <c r="B664" t="s">
        <v>711</v>
      </c>
      <c r="C664" t="s">
        <v>57</v>
      </c>
      <c r="D664" s="230">
        <v>-11139.64</v>
      </c>
      <c r="E664" t="s">
        <v>712</v>
      </c>
    </row>
    <row r="665" spans="1:5" hidden="1" x14ac:dyDescent="0.3">
      <c r="A665" t="s">
        <v>557</v>
      </c>
      <c r="B665" t="s">
        <v>711</v>
      </c>
      <c r="C665" t="s">
        <v>58</v>
      </c>
      <c r="D665" s="230">
        <v>-10622.8</v>
      </c>
      <c r="E665" t="s">
        <v>712</v>
      </c>
    </row>
    <row r="666" spans="1:5" hidden="1" x14ac:dyDescent="0.3">
      <c r="A666" t="s">
        <v>557</v>
      </c>
      <c r="B666" t="s">
        <v>711</v>
      </c>
      <c r="C666" t="s">
        <v>59</v>
      </c>
      <c r="D666" s="230">
        <v>-516.84</v>
      </c>
      <c r="E666" t="s">
        <v>712</v>
      </c>
    </row>
    <row r="667" spans="1:5" hidden="1" x14ac:dyDescent="0.3">
      <c r="A667" t="s">
        <v>557</v>
      </c>
      <c r="B667" t="s">
        <v>711</v>
      </c>
      <c r="C667" t="s">
        <v>61</v>
      </c>
      <c r="D667" s="230">
        <v>0</v>
      </c>
      <c r="E667" t="s">
        <v>712</v>
      </c>
    </row>
    <row r="668" spans="1:5" hidden="1" x14ac:dyDescent="0.3">
      <c r="A668" t="s">
        <v>557</v>
      </c>
      <c r="B668" t="s">
        <v>711</v>
      </c>
      <c r="C668" t="s">
        <v>62</v>
      </c>
      <c r="D668" s="230">
        <v>0</v>
      </c>
      <c r="E668" t="s">
        <v>712</v>
      </c>
    </row>
    <row r="669" spans="1:5" hidden="1" x14ac:dyDescent="0.3">
      <c r="A669" t="s">
        <v>557</v>
      </c>
      <c r="B669" t="s">
        <v>711</v>
      </c>
      <c r="C669" t="s">
        <v>64</v>
      </c>
      <c r="D669" s="230">
        <v>0</v>
      </c>
      <c r="E669" t="s">
        <v>712</v>
      </c>
    </row>
    <row r="670" spans="1:5" hidden="1" x14ac:dyDescent="0.3">
      <c r="A670" t="s">
        <v>557</v>
      </c>
      <c r="B670" t="s">
        <v>711</v>
      </c>
      <c r="C670" t="s">
        <v>65</v>
      </c>
      <c r="D670" s="230">
        <v>0</v>
      </c>
      <c r="E670" t="s">
        <v>712</v>
      </c>
    </row>
    <row r="671" spans="1:5" hidden="1" x14ac:dyDescent="0.3">
      <c r="A671" t="s">
        <v>557</v>
      </c>
      <c r="B671" t="s">
        <v>711</v>
      </c>
      <c r="C671" t="s">
        <v>66</v>
      </c>
      <c r="D671" s="230">
        <v>0</v>
      </c>
      <c r="E671" t="s">
        <v>712</v>
      </c>
    </row>
    <row r="672" spans="1:5" hidden="1" x14ac:dyDescent="0.3">
      <c r="A672" t="s">
        <v>557</v>
      </c>
      <c r="B672" t="s">
        <v>711</v>
      </c>
      <c r="C672" t="s">
        <v>68</v>
      </c>
      <c r="D672" s="230">
        <v>0</v>
      </c>
      <c r="E672" t="s">
        <v>712</v>
      </c>
    </row>
    <row r="673" spans="1:5" hidden="1" x14ac:dyDescent="0.3">
      <c r="A673" t="s">
        <v>557</v>
      </c>
      <c r="B673" t="s">
        <v>711</v>
      </c>
      <c r="C673" t="s">
        <v>69</v>
      </c>
      <c r="D673" s="230">
        <v>0</v>
      </c>
      <c r="E673" t="s">
        <v>712</v>
      </c>
    </row>
    <row r="674" spans="1:5" hidden="1" x14ac:dyDescent="0.3">
      <c r="A674" t="s">
        <v>557</v>
      </c>
      <c r="B674" t="s">
        <v>711</v>
      </c>
      <c r="C674" t="s">
        <v>70</v>
      </c>
      <c r="D674" s="230">
        <v>-1.04</v>
      </c>
      <c r="E674" t="s">
        <v>712</v>
      </c>
    </row>
    <row r="675" spans="1:5" hidden="1" x14ac:dyDescent="0.3">
      <c r="A675" t="s">
        <v>557</v>
      </c>
      <c r="B675" t="s">
        <v>711</v>
      </c>
      <c r="C675" t="s">
        <v>44</v>
      </c>
      <c r="D675" s="230">
        <v>-0.02</v>
      </c>
      <c r="E675" t="s">
        <v>712</v>
      </c>
    </row>
    <row r="676" spans="1:5" hidden="1" x14ac:dyDescent="0.3">
      <c r="A676" t="s">
        <v>557</v>
      </c>
      <c r="B676" t="s">
        <v>711</v>
      </c>
      <c r="C676" t="s">
        <v>71</v>
      </c>
      <c r="D676" s="230">
        <v>0</v>
      </c>
      <c r="E676" t="s">
        <v>712</v>
      </c>
    </row>
    <row r="677" spans="1:5" hidden="1" x14ac:dyDescent="0.3">
      <c r="A677" t="s">
        <v>557</v>
      </c>
      <c r="B677" t="s">
        <v>711</v>
      </c>
      <c r="C677" t="s">
        <v>72</v>
      </c>
      <c r="D677" s="230">
        <v>0</v>
      </c>
      <c r="E677" t="s">
        <v>712</v>
      </c>
    </row>
    <row r="678" spans="1:5" hidden="1" x14ac:dyDescent="0.3">
      <c r="A678" t="s">
        <v>557</v>
      </c>
      <c r="B678" t="s">
        <v>711</v>
      </c>
      <c r="C678" t="s">
        <v>73</v>
      </c>
      <c r="D678" s="230">
        <v>0</v>
      </c>
      <c r="E678" t="s">
        <v>712</v>
      </c>
    </row>
    <row r="679" spans="1:5" hidden="1" x14ac:dyDescent="0.3">
      <c r="A679" t="s">
        <v>557</v>
      </c>
      <c r="B679" t="s">
        <v>711</v>
      </c>
      <c r="C679" t="s">
        <v>75</v>
      </c>
      <c r="D679" s="230">
        <v>0</v>
      </c>
      <c r="E679" t="s">
        <v>712</v>
      </c>
    </row>
    <row r="680" spans="1:5" hidden="1" x14ac:dyDescent="0.3">
      <c r="A680" t="s">
        <v>557</v>
      </c>
      <c r="B680" t="s">
        <v>711</v>
      </c>
      <c r="C680" t="s">
        <v>77</v>
      </c>
      <c r="D680" s="230">
        <v>0</v>
      </c>
      <c r="E680" t="s">
        <v>712</v>
      </c>
    </row>
    <row r="681" spans="1:5" hidden="1" x14ac:dyDescent="0.3">
      <c r="A681" t="s">
        <v>557</v>
      </c>
      <c r="B681" t="s">
        <v>711</v>
      </c>
      <c r="C681" t="s">
        <v>78</v>
      </c>
      <c r="D681" s="230">
        <v>0</v>
      </c>
      <c r="E681" t="s">
        <v>712</v>
      </c>
    </row>
    <row r="682" spans="1:5" hidden="1" x14ac:dyDescent="0.3">
      <c r="A682" t="s">
        <v>557</v>
      </c>
      <c r="B682" t="s">
        <v>711</v>
      </c>
      <c r="C682" t="s">
        <v>80</v>
      </c>
      <c r="D682" s="230">
        <v>0</v>
      </c>
      <c r="E682" t="s">
        <v>712</v>
      </c>
    </row>
    <row r="683" spans="1:5" hidden="1" x14ac:dyDescent="0.3">
      <c r="A683" t="s">
        <v>557</v>
      </c>
      <c r="B683" t="s">
        <v>711</v>
      </c>
      <c r="C683" t="s">
        <v>82</v>
      </c>
      <c r="D683" s="230">
        <v>0</v>
      </c>
      <c r="E683" t="s">
        <v>712</v>
      </c>
    </row>
    <row r="684" spans="1:5" hidden="1" x14ac:dyDescent="0.3">
      <c r="A684" t="s">
        <v>557</v>
      </c>
      <c r="B684" t="s">
        <v>711</v>
      </c>
      <c r="C684" t="s">
        <v>84</v>
      </c>
      <c r="D684" s="230">
        <v>0</v>
      </c>
      <c r="E684" t="s">
        <v>712</v>
      </c>
    </row>
    <row r="685" spans="1:5" hidden="1" x14ac:dyDescent="0.3">
      <c r="A685" t="s">
        <v>557</v>
      </c>
      <c r="B685" t="s">
        <v>711</v>
      </c>
      <c r="C685" t="s">
        <v>85</v>
      </c>
      <c r="D685" s="230">
        <v>0</v>
      </c>
      <c r="E685" t="s">
        <v>712</v>
      </c>
    </row>
    <row r="686" spans="1:5" hidden="1" x14ac:dyDescent="0.3">
      <c r="A686" t="s">
        <v>557</v>
      </c>
      <c r="B686" t="s">
        <v>711</v>
      </c>
      <c r="C686" t="s">
        <v>86</v>
      </c>
      <c r="D686" s="230">
        <v>0</v>
      </c>
      <c r="E686" t="s">
        <v>712</v>
      </c>
    </row>
    <row r="687" spans="1:5" hidden="1" x14ac:dyDescent="0.3">
      <c r="A687" t="s">
        <v>557</v>
      </c>
      <c r="B687" t="s">
        <v>711</v>
      </c>
      <c r="C687" t="s">
        <v>87</v>
      </c>
      <c r="D687" s="230">
        <v>0</v>
      </c>
      <c r="E687" t="s">
        <v>712</v>
      </c>
    </row>
    <row r="688" spans="1:5" hidden="1" x14ac:dyDescent="0.3">
      <c r="A688" t="s">
        <v>557</v>
      </c>
      <c r="B688" t="s">
        <v>711</v>
      </c>
      <c r="C688" t="s">
        <v>88</v>
      </c>
      <c r="D688" s="230">
        <v>0</v>
      </c>
      <c r="E688" t="s">
        <v>712</v>
      </c>
    </row>
    <row r="689" spans="1:5" hidden="1" x14ac:dyDescent="0.3">
      <c r="A689" t="s">
        <v>557</v>
      </c>
      <c r="B689" t="s">
        <v>711</v>
      </c>
      <c r="C689" t="s">
        <v>89</v>
      </c>
      <c r="D689" s="230">
        <v>0</v>
      </c>
      <c r="E689" t="s">
        <v>712</v>
      </c>
    </row>
    <row r="690" spans="1:5" hidden="1" x14ac:dyDescent="0.3">
      <c r="A690" t="s">
        <v>557</v>
      </c>
      <c r="B690" t="s">
        <v>711</v>
      </c>
      <c r="C690" t="s">
        <v>90</v>
      </c>
      <c r="D690" s="230">
        <v>0</v>
      </c>
      <c r="E690" t="s">
        <v>712</v>
      </c>
    </row>
    <row r="691" spans="1:5" hidden="1" x14ac:dyDescent="0.3">
      <c r="A691" t="s">
        <v>557</v>
      </c>
      <c r="B691" t="s">
        <v>711</v>
      </c>
      <c r="C691" t="s">
        <v>91</v>
      </c>
      <c r="D691" s="230">
        <v>0</v>
      </c>
      <c r="E691" t="s">
        <v>712</v>
      </c>
    </row>
    <row r="692" spans="1:5" hidden="1" x14ac:dyDescent="0.3">
      <c r="A692" t="s">
        <v>557</v>
      </c>
      <c r="B692" t="s">
        <v>711</v>
      </c>
      <c r="C692" t="s">
        <v>93</v>
      </c>
      <c r="D692" s="230">
        <v>0</v>
      </c>
      <c r="E692" t="s">
        <v>712</v>
      </c>
    </row>
    <row r="693" spans="1:5" hidden="1" x14ac:dyDescent="0.3">
      <c r="A693" t="s">
        <v>557</v>
      </c>
      <c r="B693" t="s">
        <v>711</v>
      </c>
      <c r="C693" t="s">
        <v>95</v>
      </c>
      <c r="D693" s="230">
        <v>0</v>
      </c>
      <c r="E693" t="s">
        <v>712</v>
      </c>
    </row>
    <row r="694" spans="1:5" hidden="1" x14ac:dyDescent="0.3">
      <c r="A694" t="s">
        <v>557</v>
      </c>
      <c r="B694" t="s">
        <v>711</v>
      </c>
      <c r="C694" t="s">
        <v>96</v>
      </c>
      <c r="D694" s="230">
        <v>0</v>
      </c>
      <c r="E694" t="s">
        <v>712</v>
      </c>
    </row>
    <row r="695" spans="1:5" hidden="1" x14ac:dyDescent="0.3">
      <c r="A695" t="s">
        <v>557</v>
      </c>
      <c r="B695" t="s">
        <v>711</v>
      </c>
      <c r="C695" t="s">
        <v>98</v>
      </c>
      <c r="D695" s="230">
        <v>0</v>
      </c>
      <c r="E695" t="s">
        <v>712</v>
      </c>
    </row>
    <row r="696" spans="1:5" hidden="1" x14ac:dyDescent="0.3">
      <c r="A696" t="s">
        <v>557</v>
      </c>
      <c r="B696" t="s">
        <v>711</v>
      </c>
      <c r="C696" t="s">
        <v>100</v>
      </c>
      <c r="D696" s="230">
        <v>0</v>
      </c>
      <c r="E696" t="s">
        <v>712</v>
      </c>
    </row>
    <row r="697" spans="1:5" hidden="1" x14ac:dyDescent="0.3">
      <c r="A697" t="s">
        <v>557</v>
      </c>
      <c r="B697" t="s">
        <v>711</v>
      </c>
      <c r="C697" t="s">
        <v>101</v>
      </c>
      <c r="D697" s="230">
        <v>0</v>
      </c>
      <c r="E697" t="s">
        <v>712</v>
      </c>
    </row>
    <row r="698" spans="1:5" hidden="1" x14ac:dyDescent="0.3">
      <c r="A698" t="s">
        <v>557</v>
      </c>
      <c r="B698" t="s">
        <v>711</v>
      </c>
      <c r="C698" t="s">
        <v>102</v>
      </c>
      <c r="D698" s="230">
        <v>0</v>
      </c>
      <c r="E698" t="s">
        <v>712</v>
      </c>
    </row>
    <row r="699" spans="1:5" hidden="1" x14ac:dyDescent="0.3">
      <c r="A699" t="s">
        <v>557</v>
      </c>
      <c r="B699" t="s">
        <v>711</v>
      </c>
      <c r="C699" t="s">
        <v>103</v>
      </c>
      <c r="D699" s="230">
        <v>0</v>
      </c>
      <c r="E699" t="s">
        <v>712</v>
      </c>
    </row>
    <row r="700" spans="1:5" hidden="1" x14ac:dyDescent="0.3">
      <c r="A700" t="s">
        <v>557</v>
      </c>
      <c r="B700" t="s">
        <v>711</v>
      </c>
      <c r="C700" t="s">
        <v>104</v>
      </c>
      <c r="D700" s="230">
        <v>0</v>
      </c>
      <c r="E700" t="s">
        <v>712</v>
      </c>
    </row>
    <row r="701" spans="1:5" hidden="1" x14ac:dyDescent="0.3">
      <c r="A701" t="s">
        <v>557</v>
      </c>
      <c r="B701" t="s">
        <v>711</v>
      </c>
      <c r="C701" t="s">
        <v>105</v>
      </c>
      <c r="D701" s="230">
        <v>0</v>
      </c>
      <c r="E701" t="s">
        <v>712</v>
      </c>
    </row>
    <row r="702" spans="1:5" hidden="1" x14ac:dyDescent="0.3">
      <c r="A702" t="s">
        <v>557</v>
      </c>
      <c r="B702" t="s">
        <v>711</v>
      </c>
      <c r="C702" t="s">
        <v>107</v>
      </c>
      <c r="D702" s="230">
        <v>0</v>
      </c>
      <c r="E702" t="s">
        <v>712</v>
      </c>
    </row>
    <row r="703" spans="1:5" hidden="1" x14ac:dyDescent="0.3">
      <c r="A703" t="s">
        <v>557</v>
      </c>
      <c r="B703" t="s">
        <v>711</v>
      </c>
      <c r="C703" t="s">
        <v>108</v>
      </c>
      <c r="D703" s="230">
        <v>0</v>
      </c>
      <c r="E703" t="s">
        <v>712</v>
      </c>
    </row>
    <row r="704" spans="1:5" hidden="1" x14ac:dyDescent="0.3">
      <c r="A704" t="s">
        <v>557</v>
      </c>
      <c r="B704" t="s">
        <v>711</v>
      </c>
      <c r="C704" t="s">
        <v>109</v>
      </c>
      <c r="D704" s="230">
        <v>0</v>
      </c>
      <c r="E704" t="s">
        <v>712</v>
      </c>
    </row>
    <row r="705" spans="1:5" hidden="1" x14ac:dyDescent="0.3">
      <c r="A705" t="s">
        <v>557</v>
      </c>
      <c r="B705" t="s">
        <v>711</v>
      </c>
      <c r="C705" t="s">
        <v>110</v>
      </c>
      <c r="D705" s="230">
        <v>0</v>
      </c>
      <c r="E705" t="s">
        <v>712</v>
      </c>
    </row>
    <row r="706" spans="1:5" hidden="1" x14ac:dyDescent="0.3">
      <c r="A706" t="s">
        <v>557</v>
      </c>
      <c r="B706" t="s">
        <v>711</v>
      </c>
      <c r="C706" t="s">
        <v>44</v>
      </c>
      <c r="D706" s="230">
        <v>0</v>
      </c>
      <c r="E706" t="s">
        <v>712</v>
      </c>
    </row>
    <row r="707" spans="1:5" hidden="1" x14ac:dyDescent="0.3">
      <c r="A707" t="s">
        <v>557</v>
      </c>
      <c r="B707" t="s">
        <v>711</v>
      </c>
      <c r="C707" t="s">
        <v>111</v>
      </c>
      <c r="D707" s="230">
        <v>-33027.599999999999</v>
      </c>
      <c r="E707" t="s">
        <v>712</v>
      </c>
    </row>
    <row r="708" spans="1:5" hidden="1" x14ac:dyDescent="0.3">
      <c r="A708" t="s">
        <v>557</v>
      </c>
      <c r="B708" t="s">
        <v>711</v>
      </c>
      <c r="C708" t="s">
        <v>608</v>
      </c>
      <c r="D708" s="230">
        <v>-33027.599999999999</v>
      </c>
      <c r="E708" t="s">
        <v>712</v>
      </c>
    </row>
    <row r="709" spans="1:5" hidden="1" x14ac:dyDescent="0.3">
      <c r="A709" t="s">
        <v>557</v>
      </c>
      <c r="B709" t="s">
        <v>711</v>
      </c>
      <c r="C709" t="s">
        <v>44</v>
      </c>
      <c r="D709" s="230">
        <v>-7.0000000000000007E-2</v>
      </c>
      <c r="E709" t="s">
        <v>712</v>
      </c>
    </row>
    <row r="710" spans="1:5" hidden="1" x14ac:dyDescent="0.3">
      <c r="A710" t="s">
        <v>557</v>
      </c>
      <c r="B710" t="s">
        <v>711</v>
      </c>
      <c r="C710" t="s">
        <v>115</v>
      </c>
      <c r="D710" s="230">
        <v>-8567</v>
      </c>
      <c r="E710" t="s">
        <v>712</v>
      </c>
    </row>
    <row r="711" spans="1:5" hidden="1" x14ac:dyDescent="0.3">
      <c r="A711" t="s">
        <v>557</v>
      </c>
      <c r="B711" t="s">
        <v>711</v>
      </c>
      <c r="C711" t="s">
        <v>116</v>
      </c>
      <c r="D711" s="230">
        <v>-7790.88</v>
      </c>
      <c r="E711" t="s">
        <v>712</v>
      </c>
    </row>
    <row r="712" spans="1:5" hidden="1" x14ac:dyDescent="0.3">
      <c r="A712" t="s">
        <v>557</v>
      </c>
      <c r="B712" t="s">
        <v>711</v>
      </c>
      <c r="C712" t="s">
        <v>118</v>
      </c>
      <c r="D712" s="230">
        <v>0</v>
      </c>
      <c r="E712" t="s">
        <v>712</v>
      </c>
    </row>
    <row r="713" spans="1:5" hidden="1" x14ac:dyDescent="0.3">
      <c r="A713" t="s">
        <v>557</v>
      </c>
      <c r="B713" t="s">
        <v>711</v>
      </c>
      <c r="C713" t="s">
        <v>120</v>
      </c>
      <c r="D713" s="230">
        <v>0</v>
      </c>
      <c r="E713" t="s">
        <v>712</v>
      </c>
    </row>
    <row r="714" spans="1:5" hidden="1" x14ac:dyDescent="0.3">
      <c r="A714" t="s">
        <v>557</v>
      </c>
      <c r="B714" t="s">
        <v>711</v>
      </c>
      <c r="C714" t="s">
        <v>122</v>
      </c>
      <c r="D714" s="230">
        <v>-776.12</v>
      </c>
      <c r="E714" t="s">
        <v>712</v>
      </c>
    </row>
    <row r="715" spans="1:5" hidden="1" x14ac:dyDescent="0.3">
      <c r="A715" t="s">
        <v>557</v>
      </c>
      <c r="B715" t="s">
        <v>711</v>
      </c>
      <c r="C715" t="s">
        <v>44</v>
      </c>
      <c r="D715" s="230">
        <v>-0.02</v>
      </c>
      <c r="E715" t="s">
        <v>712</v>
      </c>
    </row>
    <row r="716" spans="1:5" hidden="1" x14ac:dyDescent="0.3">
      <c r="A716" t="s">
        <v>557</v>
      </c>
      <c r="B716" t="s">
        <v>711</v>
      </c>
      <c r="C716" t="s">
        <v>126</v>
      </c>
      <c r="D716" s="230">
        <v>244033.31</v>
      </c>
      <c r="E716" t="s">
        <v>712</v>
      </c>
    </row>
    <row r="717" spans="1:5" hidden="1" x14ac:dyDescent="0.3">
      <c r="A717" t="s">
        <v>557</v>
      </c>
      <c r="B717" t="s">
        <v>711</v>
      </c>
      <c r="C717" t="s">
        <v>127</v>
      </c>
      <c r="D717" s="230">
        <v>0.53</v>
      </c>
      <c r="E717" t="s">
        <v>712</v>
      </c>
    </row>
    <row r="718" spans="1:5" hidden="1" x14ac:dyDescent="0.3">
      <c r="A718" t="s">
        <v>557</v>
      </c>
      <c r="B718" t="s">
        <v>711</v>
      </c>
      <c r="C718" t="s">
        <v>128</v>
      </c>
      <c r="D718" s="230">
        <v>-116152.76</v>
      </c>
      <c r="E718" t="s">
        <v>712</v>
      </c>
    </row>
    <row r="719" spans="1:5" hidden="1" x14ac:dyDescent="0.3">
      <c r="A719" t="s">
        <v>557</v>
      </c>
      <c r="B719" t="s">
        <v>711</v>
      </c>
      <c r="C719" t="s">
        <v>129</v>
      </c>
      <c r="D719" s="230">
        <v>-37224</v>
      </c>
      <c r="E719" t="s">
        <v>712</v>
      </c>
    </row>
    <row r="720" spans="1:5" hidden="1" x14ac:dyDescent="0.3">
      <c r="A720" t="s">
        <v>557</v>
      </c>
      <c r="B720" t="s">
        <v>711</v>
      </c>
      <c r="C720" t="s">
        <v>609</v>
      </c>
      <c r="D720" s="230">
        <v>-3400</v>
      </c>
      <c r="E720" t="s">
        <v>712</v>
      </c>
    </row>
    <row r="721" spans="1:5" hidden="1" x14ac:dyDescent="0.3">
      <c r="A721" t="s">
        <v>557</v>
      </c>
      <c r="B721" t="s">
        <v>711</v>
      </c>
      <c r="C721" t="s">
        <v>610</v>
      </c>
      <c r="D721" s="230">
        <v>-11000</v>
      </c>
      <c r="E721" t="s">
        <v>712</v>
      </c>
    </row>
    <row r="722" spans="1:5" hidden="1" x14ac:dyDescent="0.3">
      <c r="A722" t="s">
        <v>557</v>
      </c>
      <c r="B722" t="s">
        <v>711</v>
      </c>
      <c r="C722" t="s">
        <v>611</v>
      </c>
      <c r="D722" s="230">
        <v>-6600</v>
      </c>
      <c r="E722" t="s">
        <v>712</v>
      </c>
    </row>
    <row r="723" spans="1:5" hidden="1" x14ac:dyDescent="0.3">
      <c r="A723" t="s">
        <v>557</v>
      </c>
      <c r="B723" t="s">
        <v>711</v>
      </c>
      <c r="C723" t="s">
        <v>612</v>
      </c>
      <c r="D723" s="230">
        <v>-4224</v>
      </c>
      <c r="E723" t="s">
        <v>712</v>
      </c>
    </row>
    <row r="724" spans="1:5" hidden="1" x14ac:dyDescent="0.3">
      <c r="A724" t="s">
        <v>557</v>
      </c>
      <c r="B724" t="s">
        <v>711</v>
      </c>
      <c r="C724" t="s">
        <v>613</v>
      </c>
      <c r="D724" s="230">
        <v>-1200</v>
      </c>
      <c r="E724" t="s">
        <v>712</v>
      </c>
    </row>
    <row r="725" spans="1:5" hidden="1" x14ac:dyDescent="0.3">
      <c r="A725" t="s">
        <v>557</v>
      </c>
      <c r="B725" t="s">
        <v>711</v>
      </c>
      <c r="C725" t="s">
        <v>614</v>
      </c>
      <c r="D725" s="230">
        <v>-6000</v>
      </c>
      <c r="E725" t="s">
        <v>712</v>
      </c>
    </row>
    <row r="726" spans="1:5" hidden="1" x14ac:dyDescent="0.3">
      <c r="A726" t="s">
        <v>557</v>
      </c>
      <c r="B726" t="s">
        <v>711</v>
      </c>
      <c r="C726" t="s">
        <v>615</v>
      </c>
      <c r="D726" s="230">
        <v>0</v>
      </c>
      <c r="E726" t="s">
        <v>712</v>
      </c>
    </row>
    <row r="727" spans="1:5" hidden="1" x14ac:dyDescent="0.3">
      <c r="A727" t="s">
        <v>557</v>
      </c>
      <c r="B727" t="s">
        <v>711</v>
      </c>
      <c r="C727" t="s">
        <v>616</v>
      </c>
      <c r="D727" s="230">
        <v>-4800</v>
      </c>
      <c r="E727" t="s">
        <v>712</v>
      </c>
    </row>
    <row r="728" spans="1:5" hidden="1" x14ac:dyDescent="0.3">
      <c r="A728" t="s">
        <v>557</v>
      </c>
      <c r="B728" t="s">
        <v>711</v>
      </c>
      <c r="C728" t="s">
        <v>617</v>
      </c>
      <c r="D728" s="230">
        <v>0</v>
      </c>
      <c r="E728" t="s">
        <v>712</v>
      </c>
    </row>
    <row r="729" spans="1:5" hidden="1" x14ac:dyDescent="0.3">
      <c r="A729" t="s">
        <v>557</v>
      </c>
      <c r="B729" t="s">
        <v>711</v>
      </c>
      <c r="C729" t="s">
        <v>618</v>
      </c>
      <c r="D729" s="230">
        <v>0</v>
      </c>
      <c r="E729" t="s">
        <v>712</v>
      </c>
    </row>
    <row r="730" spans="1:5" hidden="1" x14ac:dyDescent="0.3">
      <c r="A730" t="s">
        <v>557</v>
      </c>
      <c r="B730" t="s">
        <v>711</v>
      </c>
      <c r="C730" t="s">
        <v>619</v>
      </c>
      <c r="D730" s="230">
        <v>0</v>
      </c>
      <c r="E730" t="s">
        <v>712</v>
      </c>
    </row>
    <row r="731" spans="1:5" hidden="1" x14ac:dyDescent="0.3">
      <c r="A731" t="s">
        <v>557</v>
      </c>
      <c r="B731" t="s">
        <v>711</v>
      </c>
      <c r="C731" t="s">
        <v>620</v>
      </c>
      <c r="D731" s="230">
        <v>0</v>
      </c>
      <c r="E731" t="s">
        <v>712</v>
      </c>
    </row>
    <row r="732" spans="1:5" hidden="1" x14ac:dyDescent="0.3">
      <c r="A732" t="s">
        <v>557</v>
      </c>
      <c r="B732" t="s">
        <v>711</v>
      </c>
      <c r="C732" t="s">
        <v>575</v>
      </c>
      <c r="D732" s="230">
        <v>-33285.040000000001</v>
      </c>
      <c r="E732" t="s">
        <v>712</v>
      </c>
    </row>
    <row r="733" spans="1:5" hidden="1" x14ac:dyDescent="0.3">
      <c r="A733" t="s">
        <v>557</v>
      </c>
      <c r="B733" t="s">
        <v>711</v>
      </c>
      <c r="C733" t="s">
        <v>621</v>
      </c>
      <c r="D733" s="230">
        <v>0</v>
      </c>
      <c r="E733" t="s">
        <v>712</v>
      </c>
    </row>
    <row r="734" spans="1:5" hidden="1" x14ac:dyDescent="0.3">
      <c r="A734" t="s">
        <v>557</v>
      </c>
      <c r="B734" t="s">
        <v>711</v>
      </c>
      <c r="C734" t="s">
        <v>622</v>
      </c>
      <c r="D734" s="230">
        <v>0</v>
      </c>
      <c r="E734" t="s">
        <v>712</v>
      </c>
    </row>
    <row r="735" spans="1:5" hidden="1" x14ac:dyDescent="0.3">
      <c r="A735" t="s">
        <v>557</v>
      </c>
      <c r="B735" t="s">
        <v>711</v>
      </c>
      <c r="C735" t="s">
        <v>623</v>
      </c>
      <c r="D735" s="230">
        <v>0</v>
      </c>
      <c r="E735" t="s">
        <v>712</v>
      </c>
    </row>
    <row r="736" spans="1:5" hidden="1" x14ac:dyDescent="0.3">
      <c r="A736" t="s">
        <v>557</v>
      </c>
      <c r="B736" t="s">
        <v>711</v>
      </c>
      <c r="C736" t="s">
        <v>624</v>
      </c>
      <c r="D736" s="230">
        <v>0</v>
      </c>
      <c r="E736" t="s">
        <v>712</v>
      </c>
    </row>
    <row r="737" spans="1:5" hidden="1" x14ac:dyDescent="0.3">
      <c r="A737" t="s">
        <v>557</v>
      </c>
      <c r="B737" t="s">
        <v>711</v>
      </c>
      <c r="C737" t="s">
        <v>625</v>
      </c>
      <c r="D737" s="230">
        <v>0</v>
      </c>
      <c r="E737" t="s">
        <v>712</v>
      </c>
    </row>
    <row r="738" spans="1:5" hidden="1" x14ac:dyDescent="0.3">
      <c r="A738" t="s">
        <v>557</v>
      </c>
      <c r="B738" t="s">
        <v>711</v>
      </c>
      <c r="C738" t="s">
        <v>626</v>
      </c>
      <c r="D738" s="230">
        <v>0</v>
      </c>
      <c r="E738" t="s">
        <v>712</v>
      </c>
    </row>
    <row r="739" spans="1:5" hidden="1" x14ac:dyDescent="0.3">
      <c r="A739" t="s">
        <v>557</v>
      </c>
      <c r="B739" t="s">
        <v>711</v>
      </c>
      <c r="C739" t="s">
        <v>627</v>
      </c>
      <c r="D739" s="230">
        <v>0</v>
      </c>
      <c r="E739" t="s">
        <v>712</v>
      </c>
    </row>
    <row r="740" spans="1:5" hidden="1" x14ac:dyDescent="0.3">
      <c r="A740" t="s">
        <v>557</v>
      </c>
      <c r="B740" t="s">
        <v>711</v>
      </c>
      <c r="C740" t="s">
        <v>628</v>
      </c>
      <c r="D740" s="230">
        <v>0</v>
      </c>
      <c r="E740" t="s">
        <v>712</v>
      </c>
    </row>
    <row r="741" spans="1:5" hidden="1" x14ac:dyDescent="0.3">
      <c r="A741" t="s">
        <v>557</v>
      </c>
      <c r="B741" t="s">
        <v>711</v>
      </c>
      <c r="C741" t="s">
        <v>629</v>
      </c>
      <c r="D741" s="230">
        <v>0</v>
      </c>
      <c r="E741" t="s">
        <v>712</v>
      </c>
    </row>
    <row r="742" spans="1:5" hidden="1" x14ac:dyDescent="0.3">
      <c r="A742" t="s">
        <v>557</v>
      </c>
      <c r="B742" t="s">
        <v>711</v>
      </c>
      <c r="C742" t="s">
        <v>630</v>
      </c>
      <c r="D742" s="230">
        <v>0</v>
      </c>
      <c r="E742" t="s">
        <v>712</v>
      </c>
    </row>
    <row r="743" spans="1:5" hidden="1" x14ac:dyDescent="0.3">
      <c r="A743" t="s">
        <v>557</v>
      </c>
      <c r="B743" t="s">
        <v>711</v>
      </c>
      <c r="C743" t="s">
        <v>631</v>
      </c>
      <c r="D743" s="230">
        <v>0</v>
      </c>
      <c r="E743" t="s">
        <v>712</v>
      </c>
    </row>
    <row r="744" spans="1:5" hidden="1" x14ac:dyDescent="0.3">
      <c r="A744" t="s">
        <v>557</v>
      </c>
      <c r="B744" t="s">
        <v>711</v>
      </c>
      <c r="C744" t="s">
        <v>632</v>
      </c>
      <c r="D744" s="230">
        <v>0</v>
      </c>
      <c r="E744" t="s">
        <v>712</v>
      </c>
    </row>
    <row r="745" spans="1:5" hidden="1" x14ac:dyDescent="0.3">
      <c r="A745" t="s">
        <v>557</v>
      </c>
      <c r="B745" t="s">
        <v>711</v>
      </c>
      <c r="C745" t="s">
        <v>633</v>
      </c>
      <c r="D745" s="230">
        <v>0</v>
      </c>
      <c r="E745" t="s">
        <v>712</v>
      </c>
    </row>
    <row r="746" spans="1:5" hidden="1" x14ac:dyDescent="0.3">
      <c r="A746" t="s">
        <v>557</v>
      </c>
      <c r="B746" t="s">
        <v>711</v>
      </c>
      <c r="C746" t="s">
        <v>634</v>
      </c>
      <c r="D746" s="230">
        <v>0</v>
      </c>
      <c r="E746" t="s">
        <v>712</v>
      </c>
    </row>
    <row r="747" spans="1:5" hidden="1" x14ac:dyDescent="0.3">
      <c r="A747" t="s">
        <v>557</v>
      </c>
      <c r="B747" t="s">
        <v>711</v>
      </c>
      <c r="C747" t="s">
        <v>635</v>
      </c>
      <c r="D747" s="230">
        <v>0</v>
      </c>
      <c r="E747" t="s">
        <v>712</v>
      </c>
    </row>
    <row r="748" spans="1:5" hidden="1" x14ac:dyDescent="0.3">
      <c r="A748" t="s">
        <v>557</v>
      </c>
      <c r="B748" t="s">
        <v>711</v>
      </c>
      <c r="C748" t="s">
        <v>636</v>
      </c>
      <c r="D748" s="230">
        <v>0</v>
      </c>
      <c r="E748" t="s">
        <v>712</v>
      </c>
    </row>
    <row r="749" spans="1:5" hidden="1" x14ac:dyDescent="0.3">
      <c r="A749" t="s">
        <v>557</v>
      </c>
      <c r="B749" t="s">
        <v>711</v>
      </c>
      <c r="C749" t="s">
        <v>637</v>
      </c>
      <c r="D749" s="230">
        <v>0</v>
      </c>
      <c r="E749" t="s">
        <v>712</v>
      </c>
    </row>
    <row r="750" spans="1:5" hidden="1" x14ac:dyDescent="0.3">
      <c r="A750" t="s">
        <v>557</v>
      </c>
      <c r="B750" t="s">
        <v>711</v>
      </c>
      <c r="C750" t="s">
        <v>638</v>
      </c>
      <c r="D750" s="230">
        <v>0</v>
      </c>
      <c r="E750" t="s">
        <v>712</v>
      </c>
    </row>
    <row r="751" spans="1:5" hidden="1" x14ac:dyDescent="0.3">
      <c r="A751" t="s">
        <v>557</v>
      </c>
      <c r="B751" t="s">
        <v>711</v>
      </c>
      <c r="C751" t="s">
        <v>639</v>
      </c>
      <c r="D751" s="230">
        <v>0</v>
      </c>
      <c r="E751" t="s">
        <v>712</v>
      </c>
    </row>
    <row r="752" spans="1:5" hidden="1" x14ac:dyDescent="0.3">
      <c r="A752" t="s">
        <v>557</v>
      </c>
      <c r="B752" t="s">
        <v>711</v>
      </c>
      <c r="C752" t="s">
        <v>640</v>
      </c>
      <c r="D752" s="230">
        <v>0</v>
      </c>
      <c r="E752" t="s">
        <v>712</v>
      </c>
    </row>
    <row r="753" spans="1:5" hidden="1" x14ac:dyDescent="0.3">
      <c r="A753" t="s">
        <v>557</v>
      </c>
      <c r="B753" t="s">
        <v>711</v>
      </c>
      <c r="C753" t="s">
        <v>641</v>
      </c>
      <c r="D753" s="230">
        <v>0</v>
      </c>
      <c r="E753" t="s">
        <v>712</v>
      </c>
    </row>
    <row r="754" spans="1:5" hidden="1" x14ac:dyDescent="0.3">
      <c r="A754" t="s">
        <v>557</v>
      </c>
      <c r="B754" t="s">
        <v>711</v>
      </c>
      <c r="C754" t="s">
        <v>642</v>
      </c>
      <c r="D754" s="230">
        <v>0</v>
      </c>
      <c r="E754" t="s">
        <v>712</v>
      </c>
    </row>
    <row r="755" spans="1:5" hidden="1" x14ac:dyDescent="0.3">
      <c r="A755" t="s">
        <v>557</v>
      </c>
      <c r="B755" t="s">
        <v>711</v>
      </c>
      <c r="C755" t="s">
        <v>643</v>
      </c>
      <c r="D755" s="230">
        <v>0</v>
      </c>
      <c r="E755" t="s">
        <v>712</v>
      </c>
    </row>
    <row r="756" spans="1:5" hidden="1" x14ac:dyDescent="0.3">
      <c r="A756" t="s">
        <v>557</v>
      </c>
      <c r="B756" t="s">
        <v>711</v>
      </c>
      <c r="C756" t="s">
        <v>644</v>
      </c>
      <c r="D756" s="230">
        <v>0</v>
      </c>
      <c r="E756" t="s">
        <v>712</v>
      </c>
    </row>
    <row r="757" spans="1:5" hidden="1" x14ac:dyDescent="0.3">
      <c r="A757" t="s">
        <v>557</v>
      </c>
      <c r="B757" t="s">
        <v>711</v>
      </c>
      <c r="C757" t="s">
        <v>645</v>
      </c>
      <c r="D757" s="230">
        <v>0</v>
      </c>
      <c r="E757" t="s">
        <v>712</v>
      </c>
    </row>
    <row r="758" spans="1:5" hidden="1" x14ac:dyDescent="0.3">
      <c r="A758" t="s">
        <v>557</v>
      </c>
      <c r="B758" t="s">
        <v>711</v>
      </c>
      <c r="C758" t="s">
        <v>646</v>
      </c>
      <c r="D758" s="230">
        <v>0</v>
      </c>
      <c r="E758" t="s">
        <v>712</v>
      </c>
    </row>
    <row r="759" spans="1:5" hidden="1" x14ac:dyDescent="0.3">
      <c r="A759" t="s">
        <v>557</v>
      </c>
      <c r="B759" t="s">
        <v>711</v>
      </c>
      <c r="C759" t="s">
        <v>647</v>
      </c>
      <c r="D759" s="230">
        <v>0</v>
      </c>
      <c r="E759" t="s">
        <v>712</v>
      </c>
    </row>
    <row r="760" spans="1:5" hidden="1" x14ac:dyDescent="0.3">
      <c r="A760" t="s">
        <v>557</v>
      </c>
      <c r="B760" t="s">
        <v>711</v>
      </c>
      <c r="C760" t="s">
        <v>648</v>
      </c>
      <c r="D760" s="230">
        <v>0</v>
      </c>
      <c r="E760" t="s">
        <v>712</v>
      </c>
    </row>
    <row r="761" spans="1:5" hidden="1" x14ac:dyDescent="0.3">
      <c r="A761" t="s">
        <v>557</v>
      </c>
      <c r="B761" t="s">
        <v>711</v>
      </c>
      <c r="C761" t="s">
        <v>649</v>
      </c>
      <c r="D761" s="230">
        <v>0</v>
      </c>
      <c r="E761" t="s">
        <v>712</v>
      </c>
    </row>
    <row r="762" spans="1:5" hidden="1" x14ac:dyDescent="0.3">
      <c r="A762" t="s">
        <v>557</v>
      </c>
      <c r="B762" t="s">
        <v>711</v>
      </c>
      <c r="C762" t="s">
        <v>650</v>
      </c>
      <c r="D762" s="230">
        <v>0</v>
      </c>
      <c r="E762" t="s">
        <v>712</v>
      </c>
    </row>
    <row r="763" spans="1:5" hidden="1" x14ac:dyDescent="0.3">
      <c r="A763" t="s">
        <v>557</v>
      </c>
      <c r="B763" t="s">
        <v>711</v>
      </c>
      <c r="C763" t="s">
        <v>651</v>
      </c>
      <c r="D763" s="230">
        <v>0</v>
      </c>
      <c r="E763" t="s">
        <v>712</v>
      </c>
    </row>
    <row r="764" spans="1:5" hidden="1" x14ac:dyDescent="0.3">
      <c r="A764" t="s">
        <v>557</v>
      </c>
      <c r="B764" t="s">
        <v>711</v>
      </c>
      <c r="C764" t="s">
        <v>652</v>
      </c>
      <c r="D764" s="230">
        <v>0</v>
      </c>
      <c r="E764" t="s">
        <v>712</v>
      </c>
    </row>
    <row r="765" spans="1:5" hidden="1" x14ac:dyDescent="0.3">
      <c r="A765" t="s">
        <v>557</v>
      </c>
      <c r="B765" t="s">
        <v>711</v>
      </c>
      <c r="C765" t="s">
        <v>653</v>
      </c>
      <c r="D765" s="230">
        <v>0</v>
      </c>
      <c r="E765" t="s">
        <v>712</v>
      </c>
    </row>
    <row r="766" spans="1:5" hidden="1" x14ac:dyDescent="0.3">
      <c r="A766" t="s">
        <v>557</v>
      </c>
      <c r="B766" t="s">
        <v>711</v>
      </c>
      <c r="C766" t="s">
        <v>654</v>
      </c>
      <c r="D766" s="230">
        <v>0</v>
      </c>
      <c r="E766" t="s">
        <v>712</v>
      </c>
    </row>
    <row r="767" spans="1:5" hidden="1" x14ac:dyDescent="0.3">
      <c r="A767" t="s">
        <v>557</v>
      </c>
      <c r="B767" t="s">
        <v>711</v>
      </c>
      <c r="C767" t="s">
        <v>655</v>
      </c>
      <c r="D767" s="230">
        <v>0</v>
      </c>
      <c r="E767" t="s">
        <v>712</v>
      </c>
    </row>
    <row r="768" spans="1:5" hidden="1" x14ac:dyDescent="0.3">
      <c r="A768" t="s">
        <v>557</v>
      </c>
      <c r="B768" t="s">
        <v>711</v>
      </c>
      <c r="C768" t="s">
        <v>656</v>
      </c>
      <c r="D768" s="230">
        <v>0</v>
      </c>
      <c r="E768" t="s">
        <v>712</v>
      </c>
    </row>
    <row r="769" spans="1:5" hidden="1" x14ac:dyDescent="0.3">
      <c r="A769" t="s">
        <v>557</v>
      </c>
      <c r="B769" t="s">
        <v>711</v>
      </c>
      <c r="C769" t="s">
        <v>657</v>
      </c>
      <c r="D769" s="230">
        <v>0</v>
      </c>
      <c r="E769" t="s">
        <v>712</v>
      </c>
    </row>
    <row r="770" spans="1:5" hidden="1" x14ac:dyDescent="0.3">
      <c r="A770" t="s">
        <v>557</v>
      </c>
      <c r="B770" t="s">
        <v>711</v>
      </c>
      <c r="C770" t="s">
        <v>658</v>
      </c>
      <c r="D770" s="230">
        <v>0</v>
      </c>
      <c r="E770" t="s">
        <v>712</v>
      </c>
    </row>
    <row r="771" spans="1:5" hidden="1" x14ac:dyDescent="0.3">
      <c r="A771" t="s">
        <v>557</v>
      </c>
      <c r="B771" t="s">
        <v>711</v>
      </c>
      <c r="C771" t="s">
        <v>659</v>
      </c>
      <c r="D771" s="230">
        <v>0</v>
      </c>
      <c r="E771" t="s">
        <v>712</v>
      </c>
    </row>
    <row r="772" spans="1:5" hidden="1" x14ac:dyDescent="0.3">
      <c r="A772" t="s">
        <v>557</v>
      </c>
      <c r="B772" t="s">
        <v>711</v>
      </c>
      <c r="C772" t="s">
        <v>660</v>
      </c>
      <c r="D772" s="230">
        <v>0</v>
      </c>
      <c r="E772" t="s">
        <v>712</v>
      </c>
    </row>
    <row r="773" spans="1:5" hidden="1" x14ac:dyDescent="0.3">
      <c r="A773" t="s">
        <v>557</v>
      </c>
      <c r="B773" t="s">
        <v>711</v>
      </c>
      <c r="C773" t="s">
        <v>661</v>
      </c>
      <c r="D773" s="230">
        <v>0</v>
      </c>
      <c r="E773" t="s">
        <v>712</v>
      </c>
    </row>
    <row r="774" spans="1:5" hidden="1" x14ac:dyDescent="0.3">
      <c r="A774" t="s">
        <v>557</v>
      </c>
      <c r="B774" t="s">
        <v>711</v>
      </c>
      <c r="C774" t="s">
        <v>662</v>
      </c>
      <c r="D774" s="230">
        <v>0</v>
      </c>
      <c r="E774" t="s">
        <v>712</v>
      </c>
    </row>
    <row r="775" spans="1:5" hidden="1" x14ac:dyDescent="0.3">
      <c r="A775" t="s">
        <v>557</v>
      </c>
      <c r="B775" t="s">
        <v>711</v>
      </c>
      <c r="C775" t="s">
        <v>663</v>
      </c>
      <c r="D775" s="230">
        <v>0</v>
      </c>
      <c r="E775" t="s">
        <v>712</v>
      </c>
    </row>
    <row r="776" spans="1:5" hidden="1" x14ac:dyDescent="0.3">
      <c r="A776" t="s">
        <v>557</v>
      </c>
      <c r="B776" t="s">
        <v>711</v>
      </c>
      <c r="C776" t="s">
        <v>664</v>
      </c>
      <c r="D776" s="230">
        <v>0</v>
      </c>
      <c r="E776" t="s">
        <v>712</v>
      </c>
    </row>
    <row r="777" spans="1:5" hidden="1" x14ac:dyDescent="0.3">
      <c r="A777" t="s">
        <v>557</v>
      </c>
      <c r="B777" t="s">
        <v>711</v>
      </c>
      <c r="C777" t="s">
        <v>665</v>
      </c>
      <c r="D777" s="230">
        <v>0</v>
      </c>
      <c r="E777" t="s">
        <v>712</v>
      </c>
    </row>
    <row r="778" spans="1:5" hidden="1" x14ac:dyDescent="0.3">
      <c r="A778" t="s">
        <v>557</v>
      </c>
      <c r="B778" t="s">
        <v>711</v>
      </c>
      <c r="C778" t="s">
        <v>666</v>
      </c>
      <c r="D778" s="230">
        <v>0</v>
      </c>
      <c r="E778" t="s">
        <v>712</v>
      </c>
    </row>
    <row r="779" spans="1:5" hidden="1" x14ac:dyDescent="0.3">
      <c r="A779" t="s">
        <v>557</v>
      </c>
      <c r="B779" t="s">
        <v>711</v>
      </c>
      <c r="C779" t="s">
        <v>667</v>
      </c>
      <c r="D779" s="230">
        <v>0</v>
      </c>
      <c r="E779" t="s">
        <v>712</v>
      </c>
    </row>
    <row r="780" spans="1:5" hidden="1" x14ac:dyDescent="0.3">
      <c r="A780" t="s">
        <v>557</v>
      </c>
      <c r="B780" t="s">
        <v>711</v>
      </c>
      <c r="C780" t="s">
        <v>668</v>
      </c>
      <c r="D780" s="230">
        <v>0</v>
      </c>
      <c r="E780" t="s">
        <v>712</v>
      </c>
    </row>
    <row r="781" spans="1:5" hidden="1" x14ac:dyDescent="0.3">
      <c r="A781" t="s">
        <v>557</v>
      </c>
      <c r="B781" t="s">
        <v>711</v>
      </c>
      <c r="C781" t="s">
        <v>669</v>
      </c>
      <c r="D781" s="230">
        <v>0</v>
      </c>
      <c r="E781" t="s">
        <v>712</v>
      </c>
    </row>
    <row r="782" spans="1:5" hidden="1" x14ac:dyDescent="0.3">
      <c r="A782" t="s">
        <v>557</v>
      </c>
      <c r="B782" t="s">
        <v>711</v>
      </c>
      <c r="C782" t="s">
        <v>670</v>
      </c>
      <c r="D782" s="230">
        <v>0</v>
      </c>
      <c r="E782" t="s">
        <v>712</v>
      </c>
    </row>
    <row r="783" spans="1:5" hidden="1" x14ac:dyDescent="0.3">
      <c r="A783" t="s">
        <v>557</v>
      </c>
      <c r="B783" t="s">
        <v>711</v>
      </c>
      <c r="C783" t="s">
        <v>671</v>
      </c>
      <c r="D783" s="230">
        <v>0</v>
      </c>
      <c r="E783" t="s">
        <v>712</v>
      </c>
    </row>
    <row r="784" spans="1:5" hidden="1" x14ac:dyDescent="0.3">
      <c r="A784" t="s">
        <v>557</v>
      </c>
      <c r="B784" t="s">
        <v>711</v>
      </c>
      <c r="C784" t="s">
        <v>672</v>
      </c>
      <c r="D784" s="230">
        <v>0</v>
      </c>
      <c r="E784" t="s">
        <v>712</v>
      </c>
    </row>
    <row r="785" spans="1:5" hidden="1" x14ac:dyDescent="0.3">
      <c r="A785" t="s">
        <v>557</v>
      </c>
      <c r="B785" t="s">
        <v>711</v>
      </c>
      <c r="C785" t="s">
        <v>673</v>
      </c>
      <c r="D785" s="230">
        <v>0</v>
      </c>
      <c r="E785" t="s">
        <v>712</v>
      </c>
    </row>
    <row r="786" spans="1:5" hidden="1" x14ac:dyDescent="0.3">
      <c r="A786" t="s">
        <v>557</v>
      </c>
      <c r="B786" t="s">
        <v>711</v>
      </c>
      <c r="C786" t="s">
        <v>674</v>
      </c>
      <c r="D786" s="230">
        <v>0</v>
      </c>
      <c r="E786" t="s">
        <v>712</v>
      </c>
    </row>
    <row r="787" spans="1:5" hidden="1" x14ac:dyDescent="0.3">
      <c r="A787" t="s">
        <v>557</v>
      </c>
      <c r="B787" t="s">
        <v>711</v>
      </c>
      <c r="C787" t="s">
        <v>675</v>
      </c>
      <c r="D787" s="230">
        <v>0</v>
      </c>
      <c r="E787" t="s">
        <v>712</v>
      </c>
    </row>
    <row r="788" spans="1:5" hidden="1" x14ac:dyDescent="0.3">
      <c r="A788" t="s">
        <v>557</v>
      </c>
      <c r="B788" t="s">
        <v>711</v>
      </c>
      <c r="C788" t="s">
        <v>676</v>
      </c>
      <c r="D788" s="230">
        <v>0</v>
      </c>
      <c r="E788" t="s">
        <v>712</v>
      </c>
    </row>
    <row r="789" spans="1:5" hidden="1" x14ac:dyDescent="0.3">
      <c r="A789" t="s">
        <v>557</v>
      </c>
      <c r="B789" t="s">
        <v>711</v>
      </c>
      <c r="C789" t="s">
        <v>677</v>
      </c>
      <c r="D789" s="230">
        <v>0</v>
      </c>
      <c r="E789" t="s">
        <v>712</v>
      </c>
    </row>
    <row r="790" spans="1:5" hidden="1" x14ac:dyDescent="0.3">
      <c r="A790" t="s">
        <v>557</v>
      </c>
      <c r="B790" t="s">
        <v>711</v>
      </c>
      <c r="C790" t="s">
        <v>201</v>
      </c>
      <c r="D790" s="230">
        <v>-13497.3</v>
      </c>
      <c r="E790" t="s">
        <v>712</v>
      </c>
    </row>
    <row r="791" spans="1:5" hidden="1" x14ac:dyDescent="0.3">
      <c r="A791" t="s">
        <v>557</v>
      </c>
      <c r="B791" t="s">
        <v>711</v>
      </c>
      <c r="C791" t="s">
        <v>203</v>
      </c>
      <c r="D791" s="230">
        <v>-13497.3</v>
      </c>
      <c r="E791" t="s">
        <v>712</v>
      </c>
    </row>
    <row r="792" spans="1:5" hidden="1" x14ac:dyDescent="0.3">
      <c r="A792" t="s">
        <v>557</v>
      </c>
      <c r="B792" t="s">
        <v>711</v>
      </c>
      <c r="C792" t="s">
        <v>678</v>
      </c>
      <c r="D792" s="230">
        <v>6748.65</v>
      </c>
      <c r="E792" t="s">
        <v>712</v>
      </c>
    </row>
    <row r="793" spans="1:5" hidden="1" x14ac:dyDescent="0.3">
      <c r="A793" t="s">
        <v>557</v>
      </c>
      <c r="B793" t="s">
        <v>711</v>
      </c>
      <c r="C793" t="s">
        <v>205</v>
      </c>
      <c r="D793" s="230">
        <v>-17600.060000000001</v>
      </c>
      <c r="E793" t="s">
        <v>712</v>
      </c>
    </row>
    <row r="794" spans="1:5" hidden="1" x14ac:dyDescent="0.3">
      <c r="A794" t="s">
        <v>557</v>
      </c>
      <c r="B794" t="s">
        <v>711</v>
      </c>
      <c r="C794" t="s">
        <v>679</v>
      </c>
      <c r="D794" s="230">
        <v>-4540.1000000000004</v>
      </c>
      <c r="E794" t="s">
        <v>712</v>
      </c>
    </row>
    <row r="795" spans="1:5" hidden="1" x14ac:dyDescent="0.3">
      <c r="A795" t="s">
        <v>557</v>
      </c>
      <c r="B795" t="s">
        <v>711</v>
      </c>
      <c r="C795" t="s">
        <v>680</v>
      </c>
      <c r="D795" s="230">
        <v>0</v>
      </c>
      <c r="E795" t="s">
        <v>712</v>
      </c>
    </row>
    <row r="796" spans="1:5" hidden="1" x14ac:dyDescent="0.3">
      <c r="A796" t="s">
        <v>557</v>
      </c>
      <c r="B796" t="s">
        <v>711</v>
      </c>
      <c r="C796" t="s">
        <v>681</v>
      </c>
      <c r="D796" s="230">
        <v>0</v>
      </c>
      <c r="E796" t="s">
        <v>712</v>
      </c>
    </row>
    <row r="797" spans="1:5" hidden="1" x14ac:dyDescent="0.3">
      <c r="A797" t="s">
        <v>557</v>
      </c>
      <c r="B797" t="s">
        <v>711</v>
      </c>
      <c r="C797" t="s">
        <v>682</v>
      </c>
      <c r="D797" s="230">
        <v>-4639.0600000000004</v>
      </c>
      <c r="E797" t="s">
        <v>712</v>
      </c>
    </row>
    <row r="798" spans="1:5" hidden="1" x14ac:dyDescent="0.3">
      <c r="A798" t="s">
        <v>557</v>
      </c>
      <c r="B798" t="s">
        <v>711</v>
      </c>
      <c r="C798" t="s">
        <v>683</v>
      </c>
      <c r="D798" s="230">
        <v>-1390.61</v>
      </c>
      <c r="E798" t="s">
        <v>712</v>
      </c>
    </row>
    <row r="799" spans="1:5" hidden="1" x14ac:dyDescent="0.3">
      <c r="A799" t="s">
        <v>557</v>
      </c>
      <c r="B799" t="s">
        <v>711</v>
      </c>
      <c r="C799" t="s">
        <v>684</v>
      </c>
      <c r="D799" s="230">
        <v>-1563.04</v>
      </c>
      <c r="E799" t="s">
        <v>712</v>
      </c>
    </row>
    <row r="800" spans="1:5" hidden="1" x14ac:dyDescent="0.3">
      <c r="A800" t="s">
        <v>557</v>
      </c>
      <c r="B800" t="s">
        <v>711</v>
      </c>
      <c r="C800" t="s">
        <v>685</v>
      </c>
      <c r="D800" s="230">
        <v>-467.24</v>
      </c>
      <c r="E800" t="s">
        <v>712</v>
      </c>
    </row>
    <row r="801" spans="1:5" hidden="1" x14ac:dyDescent="0.3">
      <c r="A801" t="s">
        <v>557</v>
      </c>
      <c r="B801" t="s">
        <v>711</v>
      </c>
      <c r="C801" t="s">
        <v>686</v>
      </c>
      <c r="D801" s="230">
        <v>0</v>
      </c>
      <c r="E801" t="s">
        <v>712</v>
      </c>
    </row>
    <row r="802" spans="1:5" hidden="1" x14ac:dyDescent="0.3">
      <c r="A802" t="s">
        <v>557</v>
      </c>
      <c r="B802" t="s">
        <v>711</v>
      </c>
      <c r="C802" t="s">
        <v>687</v>
      </c>
      <c r="D802" s="230">
        <v>0</v>
      </c>
      <c r="E802" t="s">
        <v>712</v>
      </c>
    </row>
    <row r="803" spans="1:5" hidden="1" x14ac:dyDescent="0.3">
      <c r="A803" t="s">
        <v>557</v>
      </c>
      <c r="B803" t="s">
        <v>711</v>
      </c>
      <c r="C803" t="s">
        <v>688</v>
      </c>
      <c r="D803" s="230">
        <v>0</v>
      </c>
      <c r="E803" t="s">
        <v>712</v>
      </c>
    </row>
    <row r="804" spans="1:5" hidden="1" x14ac:dyDescent="0.3">
      <c r="A804" t="s">
        <v>557</v>
      </c>
      <c r="B804" t="s">
        <v>711</v>
      </c>
      <c r="C804" t="s">
        <v>689</v>
      </c>
      <c r="D804" s="230">
        <v>0</v>
      </c>
      <c r="E804" t="s">
        <v>712</v>
      </c>
    </row>
    <row r="805" spans="1:5" hidden="1" x14ac:dyDescent="0.3">
      <c r="A805" t="s">
        <v>557</v>
      </c>
      <c r="B805" t="s">
        <v>711</v>
      </c>
      <c r="C805" t="s">
        <v>690</v>
      </c>
      <c r="D805" s="230">
        <v>-5000</v>
      </c>
      <c r="E805" t="s">
        <v>712</v>
      </c>
    </row>
    <row r="806" spans="1:5" hidden="1" x14ac:dyDescent="0.3">
      <c r="A806" t="s">
        <v>557</v>
      </c>
      <c r="B806" t="s">
        <v>711</v>
      </c>
      <c r="C806" t="s">
        <v>691</v>
      </c>
      <c r="D806" s="230">
        <v>0</v>
      </c>
      <c r="E806" t="s">
        <v>712</v>
      </c>
    </row>
    <row r="807" spans="1:5" hidden="1" x14ac:dyDescent="0.3">
      <c r="A807" t="s">
        <v>557</v>
      </c>
      <c r="B807" t="s">
        <v>711</v>
      </c>
      <c r="C807" t="s">
        <v>692</v>
      </c>
      <c r="D807" s="230">
        <v>0</v>
      </c>
      <c r="E807" t="s">
        <v>712</v>
      </c>
    </row>
    <row r="808" spans="1:5" hidden="1" x14ac:dyDescent="0.3">
      <c r="A808" t="s">
        <v>557</v>
      </c>
      <c r="B808" t="s">
        <v>711</v>
      </c>
      <c r="C808" t="s">
        <v>693</v>
      </c>
      <c r="D808" s="230">
        <v>0</v>
      </c>
      <c r="E808" t="s">
        <v>712</v>
      </c>
    </row>
    <row r="809" spans="1:5" hidden="1" x14ac:dyDescent="0.3">
      <c r="A809" t="s">
        <v>557</v>
      </c>
      <c r="B809" t="s">
        <v>711</v>
      </c>
      <c r="C809" t="s">
        <v>694</v>
      </c>
      <c r="D809" s="230">
        <v>0</v>
      </c>
      <c r="E809" t="s">
        <v>712</v>
      </c>
    </row>
    <row r="810" spans="1:5" hidden="1" x14ac:dyDescent="0.3">
      <c r="A810" t="s">
        <v>557</v>
      </c>
      <c r="B810" t="s">
        <v>711</v>
      </c>
      <c r="C810" t="s">
        <v>238</v>
      </c>
      <c r="D810" s="230">
        <v>-5138.62</v>
      </c>
      <c r="E810" t="s">
        <v>712</v>
      </c>
    </row>
    <row r="811" spans="1:5" hidden="1" x14ac:dyDescent="0.3">
      <c r="A811" t="s">
        <v>557</v>
      </c>
      <c r="B811" t="s">
        <v>711</v>
      </c>
      <c r="C811" t="s">
        <v>695</v>
      </c>
      <c r="D811" s="230">
        <v>-5086.1400000000003</v>
      </c>
      <c r="E811" t="s">
        <v>712</v>
      </c>
    </row>
    <row r="812" spans="1:5" hidden="1" x14ac:dyDescent="0.3">
      <c r="A812" t="s">
        <v>557</v>
      </c>
      <c r="B812" t="s">
        <v>711</v>
      </c>
      <c r="C812" t="s">
        <v>696</v>
      </c>
      <c r="D812" s="230">
        <v>0</v>
      </c>
      <c r="E812" t="s">
        <v>712</v>
      </c>
    </row>
    <row r="813" spans="1:5" hidden="1" x14ac:dyDescent="0.3">
      <c r="A813" t="s">
        <v>557</v>
      </c>
      <c r="B813" t="s">
        <v>711</v>
      </c>
      <c r="C813" t="s">
        <v>697</v>
      </c>
      <c r="D813" s="230">
        <v>0</v>
      </c>
      <c r="E813" t="s">
        <v>712</v>
      </c>
    </row>
    <row r="814" spans="1:5" hidden="1" x14ac:dyDescent="0.3">
      <c r="A814" t="s">
        <v>557</v>
      </c>
      <c r="B814" t="s">
        <v>711</v>
      </c>
      <c r="C814" t="s">
        <v>698</v>
      </c>
      <c r="D814" s="230">
        <v>-52.48</v>
      </c>
      <c r="E814" t="s">
        <v>712</v>
      </c>
    </row>
    <row r="815" spans="1:5" hidden="1" x14ac:dyDescent="0.3">
      <c r="A815" t="s">
        <v>557</v>
      </c>
      <c r="B815" t="s">
        <v>711</v>
      </c>
      <c r="C815" t="s">
        <v>699</v>
      </c>
      <c r="D815" s="230">
        <v>0</v>
      </c>
      <c r="E815" t="s">
        <v>712</v>
      </c>
    </row>
    <row r="816" spans="1:5" hidden="1" x14ac:dyDescent="0.3">
      <c r="A816" t="s">
        <v>557</v>
      </c>
      <c r="B816" t="s">
        <v>711</v>
      </c>
      <c r="C816" t="s">
        <v>245</v>
      </c>
      <c r="D816" s="230">
        <v>-9407.74</v>
      </c>
      <c r="E816" t="s">
        <v>712</v>
      </c>
    </row>
    <row r="817" spans="1:5" hidden="1" x14ac:dyDescent="0.3">
      <c r="A817" t="s">
        <v>557</v>
      </c>
      <c r="B817" t="s">
        <v>711</v>
      </c>
      <c r="C817" t="s">
        <v>700</v>
      </c>
      <c r="D817" s="230">
        <v>-2187.27</v>
      </c>
      <c r="E817" t="s">
        <v>712</v>
      </c>
    </row>
    <row r="818" spans="1:5" hidden="1" x14ac:dyDescent="0.3">
      <c r="A818" t="s">
        <v>557</v>
      </c>
      <c r="B818" t="s">
        <v>711</v>
      </c>
      <c r="C818" t="s">
        <v>701</v>
      </c>
      <c r="D818" s="230">
        <v>-496.12</v>
      </c>
      <c r="E818" t="s">
        <v>712</v>
      </c>
    </row>
    <row r="819" spans="1:5" hidden="1" x14ac:dyDescent="0.3">
      <c r="A819" t="s">
        <v>557</v>
      </c>
      <c r="B819" t="s">
        <v>711</v>
      </c>
      <c r="C819" t="s">
        <v>702</v>
      </c>
      <c r="D819" s="230">
        <v>0</v>
      </c>
      <c r="E819" t="s">
        <v>712</v>
      </c>
    </row>
    <row r="820" spans="1:5" hidden="1" x14ac:dyDescent="0.3">
      <c r="A820" t="s">
        <v>557</v>
      </c>
      <c r="B820" t="s">
        <v>711</v>
      </c>
      <c r="C820" t="s">
        <v>703</v>
      </c>
      <c r="D820" s="230">
        <v>0</v>
      </c>
      <c r="E820" t="s">
        <v>712</v>
      </c>
    </row>
    <row r="821" spans="1:5" hidden="1" x14ac:dyDescent="0.3">
      <c r="A821" t="s">
        <v>557</v>
      </c>
      <c r="B821" t="s">
        <v>711</v>
      </c>
      <c r="C821" t="s">
        <v>704</v>
      </c>
      <c r="D821" s="230">
        <v>0</v>
      </c>
      <c r="E821" t="s">
        <v>712</v>
      </c>
    </row>
    <row r="822" spans="1:5" hidden="1" x14ac:dyDescent="0.3">
      <c r="A822" t="s">
        <v>557</v>
      </c>
      <c r="B822" t="s">
        <v>711</v>
      </c>
      <c r="C822" t="s">
        <v>705</v>
      </c>
      <c r="D822" s="230">
        <v>-6724.35</v>
      </c>
      <c r="E822" t="s">
        <v>712</v>
      </c>
    </row>
    <row r="823" spans="1:5" hidden="1" x14ac:dyDescent="0.3">
      <c r="A823" t="s">
        <v>557</v>
      </c>
      <c r="B823" t="s">
        <v>711</v>
      </c>
      <c r="C823" t="s">
        <v>706</v>
      </c>
      <c r="D823" s="230">
        <v>0</v>
      </c>
      <c r="E823" t="s">
        <v>712</v>
      </c>
    </row>
    <row r="824" spans="1:5" hidden="1" x14ac:dyDescent="0.3">
      <c r="A824" t="s">
        <v>557</v>
      </c>
      <c r="B824" t="s">
        <v>711</v>
      </c>
      <c r="C824" t="s">
        <v>254</v>
      </c>
      <c r="D824" s="230">
        <v>-0.32</v>
      </c>
      <c r="E824" t="s">
        <v>712</v>
      </c>
    </row>
    <row r="825" spans="1:5" hidden="1" x14ac:dyDescent="0.3">
      <c r="A825" t="s">
        <v>557</v>
      </c>
      <c r="B825" t="s">
        <v>711</v>
      </c>
      <c r="C825" t="s">
        <v>255</v>
      </c>
      <c r="D825" s="230">
        <v>-0.32</v>
      </c>
      <c r="E825" t="s">
        <v>712</v>
      </c>
    </row>
    <row r="826" spans="1:5" hidden="1" x14ac:dyDescent="0.3">
      <c r="A826" t="s">
        <v>557</v>
      </c>
      <c r="B826" t="s">
        <v>711</v>
      </c>
      <c r="C826" t="s">
        <v>256</v>
      </c>
      <c r="D826" s="230">
        <v>-51752.37</v>
      </c>
      <c r="E826" t="s">
        <v>712</v>
      </c>
    </row>
    <row r="827" spans="1:5" hidden="1" x14ac:dyDescent="0.3">
      <c r="A827" t="s">
        <v>557</v>
      </c>
      <c r="B827" t="s">
        <v>711</v>
      </c>
      <c r="C827" t="s">
        <v>257</v>
      </c>
      <c r="D827" s="230">
        <v>-49305.7</v>
      </c>
      <c r="E827" t="s">
        <v>712</v>
      </c>
    </row>
    <row r="828" spans="1:5" hidden="1" x14ac:dyDescent="0.3">
      <c r="A828" t="s">
        <v>557</v>
      </c>
      <c r="B828" t="s">
        <v>711</v>
      </c>
      <c r="C828" t="s">
        <v>258</v>
      </c>
      <c r="D828" s="230">
        <v>0</v>
      </c>
      <c r="E828" t="s">
        <v>712</v>
      </c>
    </row>
    <row r="829" spans="1:5" hidden="1" x14ac:dyDescent="0.3">
      <c r="A829" t="s">
        <v>557</v>
      </c>
      <c r="B829" t="s">
        <v>711</v>
      </c>
      <c r="C829" t="s">
        <v>259</v>
      </c>
      <c r="D829" s="230">
        <v>-2446.67</v>
      </c>
      <c r="E829" t="s">
        <v>712</v>
      </c>
    </row>
    <row r="830" spans="1:5" hidden="1" x14ac:dyDescent="0.3">
      <c r="A830" t="s">
        <v>557</v>
      </c>
      <c r="B830" t="s">
        <v>711</v>
      </c>
      <c r="C830" t="s">
        <v>260</v>
      </c>
      <c r="D830" s="230">
        <v>0</v>
      </c>
      <c r="E830" t="s">
        <v>712</v>
      </c>
    </row>
    <row r="831" spans="1:5" hidden="1" x14ac:dyDescent="0.3">
      <c r="A831" t="s">
        <v>557</v>
      </c>
      <c r="B831" t="s">
        <v>711</v>
      </c>
      <c r="C831" t="s">
        <v>261</v>
      </c>
      <c r="D831" s="230">
        <v>0</v>
      </c>
      <c r="E831" t="s">
        <v>712</v>
      </c>
    </row>
    <row r="832" spans="1:5" hidden="1" x14ac:dyDescent="0.3">
      <c r="A832" t="s">
        <v>557</v>
      </c>
      <c r="B832" t="s">
        <v>711</v>
      </c>
      <c r="C832" t="s">
        <v>262</v>
      </c>
      <c r="D832" s="230">
        <v>0</v>
      </c>
      <c r="E832" t="s">
        <v>712</v>
      </c>
    </row>
    <row r="833" spans="1:5" hidden="1" x14ac:dyDescent="0.3">
      <c r="A833" t="s">
        <v>557</v>
      </c>
      <c r="B833" t="s">
        <v>711</v>
      </c>
      <c r="C833" t="s">
        <v>263</v>
      </c>
      <c r="D833" s="230">
        <v>0</v>
      </c>
      <c r="E833" t="s">
        <v>712</v>
      </c>
    </row>
    <row r="834" spans="1:5" hidden="1" x14ac:dyDescent="0.3">
      <c r="A834" t="s">
        <v>557</v>
      </c>
      <c r="B834" t="s">
        <v>711</v>
      </c>
      <c r="C834" t="s">
        <v>44</v>
      </c>
      <c r="D834" s="230">
        <v>-0.11</v>
      </c>
      <c r="E834" t="s">
        <v>712</v>
      </c>
    </row>
    <row r="835" spans="1:5" hidden="1" x14ac:dyDescent="0.3">
      <c r="A835" t="s">
        <v>557</v>
      </c>
      <c r="B835" t="s">
        <v>711</v>
      </c>
      <c r="C835" t="s">
        <v>264</v>
      </c>
      <c r="D835" s="230">
        <v>-32910.43</v>
      </c>
      <c r="E835" t="s">
        <v>712</v>
      </c>
    </row>
    <row r="836" spans="1:5" hidden="1" x14ac:dyDescent="0.3">
      <c r="A836" t="s">
        <v>557</v>
      </c>
      <c r="B836" t="s">
        <v>711</v>
      </c>
      <c r="C836" t="s">
        <v>265</v>
      </c>
      <c r="D836" s="230">
        <v>-4910.72</v>
      </c>
      <c r="E836" t="s">
        <v>712</v>
      </c>
    </row>
    <row r="837" spans="1:5" hidden="1" x14ac:dyDescent="0.3">
      <c r="A837" t="s">
        <v>557</v>
      </c>
      <c r="B837" t="s">
        <v>711</v>
      </c>
      <c r="C837" t="s">
        <v>266</v>
      </c>
      <c r="D837" s="230">
        <v>-9678.2199999999993</v>
      </c>
      <c r="E837" t="s">
        <v>712</v>
      </c>
    </row>
    <row r="838" spans="1:5" hidden="1" x14ac:dyDescent="0.3">
      <c r="A838" t="s">
        <v>557</v>
      </c>
      <c r="B838" t="s">
        <v>711</v>
      </c>
      <c r="C838" t="s">
        <v>267</v>
      </c>
      <c r="D838" s="230">
        <v>-4319.87</v>
      </c>
      <c r="E838" t="s">
        <v>712</v>
      </c>
    </row>
    <row r="839" spans="1:5" hidden="1" x14ac:dyDescent="0.3">
      <c r="A839" t="s">
        <v>557</v>
      </c>
      <c r="B839" t="s">
        <v>711</v>
      </c>
      <c r="C839" t="s">
        <v>268</v>
      </c>
      <c r="D839" s="230">
        <v>-8054.91</v>
      </c>
      <c r="E839" t="s">
        <v>712</v>
      </c>
    </row>
    <row r="840" spans="1:5" hidden="1" x14ac:dyDescent="0.3">
      <c r="A840" t="s">
        <v>557</v>
      </c>
      <c r="B840" t="s">
        <v>711</v>
      </c>
      <c r="C840" t="s">
        <v>269</v>
      </c>
      <c r="D840" s="230">
        <v>0</v>
      </c>
      <c r="E840" t="s">
        <v>712</v>
      </c>
    </row>
    <row r="841" spans="1:5" hidden="1" x14ac:dyDescent="0.3">
      <c r="A841" t="s">
        <v>557</v>
      </c>
      <c r="B841" t="s">
        <v>711</v>
      </c>
      <c r="C841" t="s">
        <v>270</v>
      </c>
      <c r="D841" s="230">
        <v>-500</v>
      </c>
      <c r="E841" t="s">
        <v>712</v>
      </c>
    </row>
    <row r="842" spans="1:5" hidden="1" x14ac:dyDescent="0.3">
      <c r="A842" t="s">
        <v>557</v>
      </c>
      <c r="B842" t="s">
        <v>711</v>
      </c>
      <c r="C842" t="s">
        <v>271</v>
      </c>
      <c r="D842" s="230">
        <v>-788.88</v>
      </c>
      <c r="E842" t="s">
        <v>712</v>
      </c>
    </row>
    <row r="843" spans="1:5" hidden="1" x14ac:dyDescent="0.3">
      <c r="A843" t="s">
        <v>557</v>
      </c>
      <c r="B843" t="s">
        <v>711</v>
      </c>
      <c r="C843" t="s">
        <v>272</v>
      </c>
      <c r="D843" s="230">
        <v>-257.98</v>
      </c>
      <c r="E843" t="s">
        <v>712</v>
      </c>
    </row>
    <row r="844" spans="1:5" hidden="1" x14ac:dyDescent="0.3">
      <c r="A844" t="s">
        <v>557</v>
      </c>
      <c r="B844" t="s">
        <v>711</v>
      </c>
      <c r="C844" t="s">
        <v>273</v>
      </c>
      <c r="D844" s="230">
        <v>0</v>
      </c>
      <c r="E844" t="s">
        <v>712</v>
      </c>
    </row>
    <row r="845" spans="1:5" hidden="1" x14ac:dyDescent="0.3">
      <c r="A845" t="s">
        <v>557</v>
      </c>
      <c r="B845" t="s">
        <v>711</v>
      </c>
      <c r="C845" t="s">
        <v>274</v>
      </c>
      <c r="D845" s="230">
        <v>0</v>
      </c>
      <c r="E845" t="s">
        <v>712</v>
      </c>
    </row>
    <row r="846" spans="1:5" hidden="1" x14ac:dyDescent="0.3">
      <c r="A846" t="s">
        <v>557</v>
      </c>
      <c r="B846" t="s">
        <v>711</v>
      </c>
      <c r="C846" t="s">
        <v>275</v>
      </c>
      <c r="D846" s="230">
        <v>-530.11</v>
      </c>
      <c r="E846" t="s">
        <v>712</v>
      </c>
    </row>
    <row r="847" spans="1:5" hidden="1" x14ac:dyDescent="0.3">
      <c r="A847" t="s">
        <v>557</v>
      </c>
      <c r="B847" t="s">
        <v>711</v>
      </c>
      <c r="C847" t="s">
        <v>276</v>
      </c>
      <c r="D847" s="230">
        <v>-245.18</v>
      </c>
      <c r="E847" t="s">
        <v>712</v>
      </c>
    </row>
    <row r="848" spans="1:5" hidden="1" x14ac:dyDescent="0.3">
      <c r="A848" t="s">
        <v>557</v>
      </c>
      <c r="B848" t="s">
        <v>711</v>
      </c>
      <c r="C848" t="s">
        <v>277</v>
      </c>
      <c r="D848" s="230">
        <v>0</v>
      </c>
      <c r="E848" t="s">
        <v>712</v>
      </c>
    </row>
    <row r="849" spans="1:5" hidden="1" x14ac:dyDescent="0.3">
      <c r="A849" t="s">
        <v>557</v>
      </c>
      <c r="B849" t="s">
        <v>711</v>
      </c>
      <c r="C849" t="s">
        <v>278</v>
      </c>
      <c r="D849" s="230">
        <v>-3624.56</v>
      </c>
      <c r="E849" t="s">
        <v>712</v>
      </c>
    </row>
    <row r="850" spans="1:5" hidden="1" x14ac:dyDescent="0.3">
      <c r="A850" t="s">
        <v>557</v>
      </c>
      <c r="B850" t="s">
        <v>711</v>
      </c>
      <c r="C850" t="s">
        <v>44</v>
      </c>
      <c r="D850" s="230">
        <v>-7.0000000000000007E-2</v>
      </c>
      <c r="E850" t="s">
        <v>712</v>
      </c>
    </row>
    <row r="851" spans="1:5" hidden="1" x14ac:dyDescent="0.3">
      <c r="A851" t="s">
        <v>557</v>
      </c>
      <c r="B851" t="s">
        <v>711</v>
      </c>
      <c r="C851" t="s">
        <v>279</v>
      </c>
      <c r="D851" s="230">
        <v>-6009.37</v>
      </c>
      <c r="E851" t="s">
        <v>712</v>
      </c>
    </row>
    <row r="852" spans="1:5" hidden="1" x14ac:dyDescent="0.3">
      <c r="A852" t="s">
        <v>557</v>
      </c>
      <c r="B852" t="s">
        <v>711</v>
      </c>
      <c r="C852" t="s">
        <v>280</v>
      </c>
      <c r="D852" s="230">
        <v>-299.89999999999998</v>
      </c>
      <c r="E852" t="s">
        <v>712</v>
      </c>
    </row>
    <row r="853" spans="1:5" hidden="1" x14ac:dyDescent="0.3">
      <c r="A853" t="s">
        <v>557</v>
      </c>
      <c r="B853" t="s">
        <v>711</v>
      </c>
      <c r="C853" t="s">
        <v>281</v>
      </c>
      <c r="D853" s="230">
        <v>-363.37</v>
      </c>
      <c r="E853" t="s">
        <v>712</v>
      </c>
    </row>
    <row r="854" spans="1:5" hidden="1" x14ac:dyDescent="0.3">
      <c r="A854" t="s">
        <v>557</v>
      </c>
      <c r="B854" t="s">
        <v>711</v>
      </c>
      <c r="C854" t="s">
        <v>282</v>
      </c>
      <c r="D854" s="230">
        <v>-295.92</v>
      </c>
      <c r="E854" t="s">
        <v>712</v>
      </c>
    </row>
    <row r="855" spans="1:5" hidden="1" x14ac:dyDescent="0.3">
      <c r="A855" t="s">
        <v>557</v>
      </c>
      <c r="B855" t="s">
        <v>711</v>
      </c>
      <c r="C855" t="s">
        <v>283</v>
      </c>
      <c r="D855" s="230">
        <v>0</v>
      </c>
      <c r="E855" t="s">
        <v>712</v>
      </c>
    </row>
    <row r="856" spans="1:5" hidden="1" x14ac:dyDescent="0.3">
      <c r="A856" t="s">
        <v>557</v>
      </c>
      <c r="B856" t="s">
        <v>711</v>
      </c>
      <c r="C856" t="s">
        <v>284</v>
      </c>
      <c r="D856" s="230">
        <v>-5050.18</v>
      </c>
      <c r="E856" t="s">
        <v>712</v>
      </c>
    </row>
    <row r="857" spans="1:5" hidden="1" x14ac:dyDescent="0.3">
      <c r="A857" t="s">
        <v>557</v>
      </c>
      <c r="B857" t="s">
        <v>711</v>
      </c>
      <c r="C857" t="s">
        <v>285</v>
      </c>
      <c r="D857" s="230">
        <v>0</v>
      </c>
      <c r="E857" t="s">
        <v>712</v>
      </c>
    </row>
    <row r="858" spans="1:5" hidden="1" x14ac:dyDescent="0.3">
      <c r="A858" t="s">
        <v>557</v>
      </c>
      <c r="B858" t="s">
        <v>711</v>
      </c>
      <c r="C858" t="s">
        <v>286</v>
      </c>
      <c r="D858" s="230">
        <v>0</v>
      </c>
      <c r="E858" t="s">
        <v>712</v>
      </c>
    </row>
    <row r="859" spans="1:5" hidden="1" x14ac:dyDescent="0.3">
      <c r="A859" t="s">
        <v>557</v>
      </c>
      <c r="B859" t="s">
        <v>711</v>
      </c>
      <c r="C859" t="s">
        <v>44</v>
      </c>
      <c r="D859" s="230">
        <v>-0.01</v>
      </c>
      <c r="E859" t="s">
        <v>712</v>
      </c>
    </row>
    <row r="860" spans="1:5" hidden="1" x14ac:dyDescent="0.3">
      <c r="A860" t="s">
        <v>557</v>
      </c>
      <c r="B860" t="s">
        <v>711</v>
      </c>
      <c r="C860" t="s">
        <v>287</v>
      </c>
      <c r="D860" s="230">
        <v>-5616.7</v>
      </c>
      <c r="E860" t="s">
        <v>712</v>
      </c>
    </row>
    <row r="861" spans="1:5" hidden="1" x14ac:dyDescent="0.3">
      <c r="A861" t="s">
        <v>557</v>
      </c>
      <c r="B861" t="s">
        <v>711</v>
      </c>
      <c r="C861" t="s">
        <v>288</v>
      </c>
      <c r="D861" s="230">
        <v>-5017.8599999999997</v>
      </c>
      <c r="E861" t="s">
        <v>712</v>
      </c>
    </row>
    <row r="862" spans="1:5" hidden="1" x14ac:dyDescent="0.3">
      <c r="A862" t="s">
        <v>557</v>
      </c>
      <c r="B862" t="s">
        <v>711</v>
      </c>
      <c r="C862" t="s">
        <v>289</v>
      </c>
      <c r="D862" s="230">
        <v>0</v>
      </c>
      <c r="E862" t="s">
        <v>712</v>
      </c>
    </row>
    <row r="863" spans="1:5" hidden="1" x14ac:dyDescent="0.3">
      <c r="A863" t="s">
        <v>557</v>
      </c>
      <c r="B863" t="s">
        <v>711</v>
      </c>
      <c r="C863" t="s">
        <v>290</v>
      </c>
      <c r="D863" s="230">
        <v>0</v>
      </c>
      <c r="E863" t="s">
        <v>712</v>
      </c>
    </row>
    <row r="864" spans="1:5" hidden="1" x14ac:dyDescent="0.3">
      <c r="A864" t="s">
        <v>557</v>
      </c>
      <c r="B864" t="s">
        <v>711</v>
      </c>
      <c r="C864" t="s">
        <v>291</v>
      </c>
      <c r="D864" s="230">
        <v>0</v>
      </c>
      <c r="E864" t="s">
        <v>712</v>
      </c>
    </row>
    <row r="865" spans="1:5" hidden="1" x14ac:dyDescent="0.3">
      <c r="A865" t="s">
        <v>557</v>
      </c>
      <c r="B865" t="s">
        <v>711</v>
      </c>
      <c r="C865" t="s">
        <v>292</v>
      </c>
      <c r="D865" s="230">
        <v>0</v>
      </c>
      <c r="E865" t="s">
        <v>712</v>
      </c>
    </row>
    <row r="866" spans="1:5" hidden="1" x14ac:dyDescent="0.3">
      <c r="A866" t="s">
        <v>557</v>
      </c>
      <c r="B866" t="s">
        <v>711</v>
      </c>
      <c r="C866" t="s">
        <v>293</v>
      </c>
      <c r="D866" s="230">
        <v>-598.84</v>
      </c>
      <c r="E866" t="s">
        <v>712</v>
      </c>
    </row>
    <row r="867" spans="1:5" hidden="1" x14ac:dyDescent="0.3">
      <c r="A867" t="s">
        <v>557</v>
      </c>
      <c r="B867" t="s">
        <v>711</v>
      </c>
      <c r="C867" t="s">
        <v>294</v>
      </c>
      <c r="D867" s="230">
        <v>-228.92</v>
      </c>
      <c r="E867" t="s">
        <v>712</v>
      </c>
    </row>
    <row r="868" spans="1:5" hidden="1" x14ac:dyDescent="0.3">
      <c r="A868" t="s">
        <v>557</v>
      </c>
      <c r="B868" t="s">
        <v>711</v>
      </c>
      <c r="C868" t="s">
        <v>295</v>
      </c>
      <c r="D868" s="230">
        <v>0</v>
      </c>
      <c r="E868" t="s">
        <v>712</v>
      </c>
    </row>
    <row r="869" spans="1:5" hidden="1" x14ac:dyDescent="0.3">
      <c r="A869" t="s">
        <v>557</v>
      </c>
      <c r="B869" t="s">
        <v>711</v>
      </c>
      <c r="C869" t="s">
        <v>44</v>
      </c>
      <c r="D869" s="230">
        <v>-0.01</v>
      </c>
      <c r="E869" t="s">
        <v>712</v>
      </c>
    </row>
    <row r="870" spans="1:5" hidden="1" x14ac:dyDescent="0.3">
      <c r="A870" t="s">
        <v>557</v>
      </c>
      <c r="B870" t="s">
        <v>711</v>
      </c>
      <c r="C870" t="s">
        <v>296</v>
      </c>
      <c r="D870" s="230">
        <v>-5294.7</v>
      </c>
      <c r="E870" t="s">
        <v>712</v>
      </c>
    </row>
    <row r="871" spans="1:5" hidden="1" x14ac:dyDescent="0.3">
      <c r="A871" t="s">
        <v>557</v>
      </c>
      <c r="B871" t="s">
        <v>711</v>
      </c>
      <c r="C871" t="s">
        <v>297</v>
      </c>
      <c r="D871" s="230">
        <v>-2000</v>
      </c>
      <c r="E871" t="s">
        <v>712</v>
      </c>
    </row>
    <row r="872" spans="1:5" hidden="1" x14ac:dyDescent="0.3">
      <c r="A872" t="s">
        <v>557</v>
      </c>
      <c r="B872" t="s">
        <v>711</v>
      </c>
      <c r="C872" t="s">
        <v>298</v>
      </c>
      <c r="D872" s="230">
        <v>-460</v>
      </c>
      <c r="E872" t="s">
        <v>712</v>
      </c>
    </row>
    <row r="873" spans="1:5" hidden="1" x14ac:dyDescent="0.3">
      <c r="A873" t="s">
        <v>557</v>
      </c>
      <c r="B873" t="s">
        <v>711</v>
      </c>
      <c r="C873" t="s">
        <v>299</v>
      </c>
      <c r="D873" s="230">
        <v>0</v>
      </c>
      <c r="E873" t="s">
        <v>712</v>
      </c>
    </row>
    <row r="874" spans="1:5" hidden="1" x14ac:dyDescent="0.3">
      <c r="A874" t="s">
        <v>557</v>
      </c>
      <c r="B874" t="s">
        <v>711</v>
      </c>
      <c r="C874" t="s">
        <v>300</v>
      </c>
      <c r="D874" s="230">
        <v>0</v>
      </c>
      <c r="E874" t="s">
        <v>712</v>
      </c>
    </row>
    <row r="875" spans="1:5" hidden="1" x14ac:dyDescent="0.3">
      <c r="A875" t="s">
        <v>557</v>
      </c>
      <c r="B875" t="s">
        <v>711</v>
      </c>
      <c r="C875" t="s">
        <v>301</v>
      </c>
      <c r="D875" s="230">
        <v>0</v>
      </c>
      <c r="E875" t="s">
        <v>712</v>
      </c>
    </row>
    <row r="876" spans="1:5" hidden="1" x14ac:dyDescent="0.3">
      <c r="A876" t="s">
        <v>557</v>
      </c>
      <c r="B876" t="s">
        <v>711</v>
      </c>
      <c r="C876" t="s">
        <v>302</v>
      </c>
      <c r="D876" s="230">
        <v>0</v>
      </c>
      <c r="E876" t="s">
        <v>712</v>
      </c>
    </row>
    <row r="877" spans="1:5" hidden="1" x14ac:dyDescent="0.3">
      <c r="A877" t="s">
        <v>557</v>
      </c>
      <c r="B877" t="s">
        <v>711</v>
      </c>
      <c r="C877" t="s">
        <v>303</v>
      </c>
      <c r="D877" s="230">
        <v>0</v>
      </c>
      <c r="E877" t="s">
        <v>712</v>
      </c>
    </row>
    <row r="878" spans="1:5" hidden="1" x14ac:dyDescent="0.3">
      <c r="A878" t="s">
        <v>557</v>
      </c>
      <c r="B878" t="s">
        <v>711</v>
      </c>
      <c r="C878" t="s">
        <v>304</v>
      </c>
      <c r="D878" s="230">
        <v>-570</v>
      </c>
      <c r="E878" t="s">
        <v>712</v>
      </c>
    </row>
    <row r="879" spans="1:5" hidden="1" x14ac:dyDescent="0.3">
      <c r="A879" t="s">
        <v>557</v>
      </c>
      <c r="B879" t="s">
        <v>711</v>
      </c>
      <c r="C879" t="s">
        <v>305</v>
      </c>
      <c r="D879" s="230">
        <v>0</v>
      </c>
      <c r="E879" t="s">
        <v>712</v>
      </c>
    </row>
    <row r="880" spans="1:5" hidden="1" x14ac:dyDescent="0.3">
      <c r="A880" t="s">
        <v>557</v>
      </c>
      <c r="B880" t="s">
        <v>711</v>
      </c>
      <c r="C880" t="s">
        <v>306</v>
      </c>
      <c r="D880" s="230">
        <v>0</v>
      </c>
      <c r="E880" t="s">
        <v>712</v>
      </c>
    </row>
    <row r="881" spans="1:5" hidden="1" x14ac:dyDescent="0.3">
      <c r="A881" t="s">
        <v>557</v>
      </c>
      <c r="B881" t="s">
        <v>711</v>
      </c>
      <c r="C881" t="s">
        <v>307</v>
      </c>
      <c r="D881" s="230">
        <v>-2264.6999999999998</v>
      </c>
      <c r="E881" t="s">
        <v>712</v>
      </c>
    </row>
    <row r="882" spans="1:5" hidden="1" x14ac:dyDescent="0.3">
      <c r="A882" t="s">
        <v>557</v>
      </c>
      <c r="B882" t="s">
        <v>711</v>
      </c>
      <c r="C882" t="s">
        <v>44</v>
      </c>
      <c r="D882" s="230">
        <v>-0.01</v>
      </c>
      <c r="E882" t="s">
        <v>712</v>
      </c>
    </row>
    <row r="883" spans="1:5" hidden="1" x14ac:dyDescent="0.3">
      <c r="A883" t="s">
        <v>557</v>
      </c>
      <c r="B883" t="s">
        <v>711</v>
      </c>
      <c r="C883" t="s">
        <v>308</v>
      </c>
      <c r="D883" s="230">
        <v>-2298.23</v>
      </c>
      <c r="E883" t="s">
        <v>712</v>
      </c>
    </row>
    <row r="884" spans="1:5" hidden="1" x14ac:dyDescent="0.3">
      <c r="A884" t="s">
        <v>557</v>
      </c>
      <c r="B884" t="s">
        <v>711</v>
      </c>
      <c r="C884" t="s">
        <v>309</v>
      </c>
      <c r="D884" s="230">
        <v>-1412</v>
      </c>
      <c r="E884" t="s">
        <v>712</v>
      </c>
    </row>
    <row r="885" spans="1:5" hidden="1" x14ac:dyDescent="0.3">
      <c r="A885" t="s">
        <v>557</v>
      </c>
      <c r="B885" t="s">
        <v>711</v>
      </c>
      <c r="C885" t="s">
        <v>310</v>
      </c>
      <c r="D885" s="230">
        <v>0</v>
      </c>
      <c r="E885" t="s">
        <v>712</v>
      </c>
    </row>
    <row r="886" spans="1:5" hidden="1" x14ac:dyDescent="0.3">
      <c r="A886" t="s">
        <v>557</v>
      </c>
      <c r="B886" t="s">
        <v>711</v>
      </c>
      <c r="C886" t="s">
        <v>311</v>
      </c>
      <c r="D886" s="230">
        <v>-650</v>
      </c>
      <c r="E886" t="s">
        <v>712</v>
      </c>
    </row>
    <row r="887" spans="1:5" hidden="1" x14ac:dyDescent="0.3">
      <c r="A887" t="s">
        <v>557</v>
      </c>
      <c r="B887" t="s">
        <v>711</v>
      </c>
      <c r="C887" t="s">
        <v>312</v>
      </c>
      <c r="D887" s="230">
        <v>0</v>
      </c>
      <c r="E887" t="s">
        <v>712</v>
      </c>
    </row>
    <row r="888" spans="1:5" hidden="1" x14ac:dyDescent="0.3">
      <c r="A888" t="s">
        <v>557</v>
      </c>
      <c r="B888" t="s">
        <v>711</v>
      </c>
      <c r="C888" t="s">
        <v>313</v>
      </c>
      <c r="D888" s="230">
        <v>0</v>
      </c>
      <c r="E888" t="s">
        <v>712</v>
      </c>
    </row>
    <row r="889" spans="1:5" hidden="1" x14ac:dyDescent="0.3">
      <c r="A889" t="s">
        <v>557</v>
      </c>
      <c r="B889" t="s">
        <v>711</v>
      </c>
      <c r="C889" t="s">
        <v>314</v>
      </c>
      <c r="D889" s="230">
        <v>0</v>
      </c>
      <c r="E889" t="s">
        <v>712</v>
      </c>
    </row>
    <row r="890" spans="1:5" hidden="1" x14ac:dyDescent="0.3">
      <c r="A890" t="s">
        <v>557</v>
      </c>
      <c r="B890" t="s">
        <v>711</v>
      </c>
      <c r="C890" t="s">
        <v>315</v>
      </c>
      <c r="D890" s="230">
        <v>0</v>
      </c>
      <c r="E890" t="s">
        <v>712</v>
      </c>
    </row>
    <row r="891" spans="1:5" hidden="1" x14ac:dyDescent="0.3">
      <c r="A891" t="s">
        <v>557</v>
      </c>
      <c r="B891" t="s">
        <v>711</v>
      </c>
      <c r="C891" t="s">
        <v>316</v>
      </c>
      <c r="D891" s="230">
        <v>-236.23</v>
      </c>
      <c r="E891" t="s">
        <v>712</v>
      </c>
    </row>
    <row r="892" spans="1:5" hidden="1" x14ac:dyDescent="0.3">
      <c r="A892" t="s">
        <v>557</v>
      </c>
      <c r="B892" t="s">
        <v>711</v>
      </c>
      <c r="C892" t="s">
        <v>317</v>
      </c>
      <c r="D892" s="230">
        <v>0</v>
      </c>
      <c r="E892" t="s">
        <v>712</v>
      </c>
    </row>
    <row r="893" spans="1:5" hidden="1" x14ac:dyDescent="0.3">
      <c r="A893" t="s">
        <v>557</v>
      </c>
      <c r="B893" t="s">
        <v>711</v>
      </c>
      <c r="C893" t="s">
        <v>44</v>
      </c>
      <c r="D893" s="230">
        <v>0</v>
      </c>
      <c r="E893" t="s">
        <v>712</v>
      </c>
    </row>
    <row r="894" spans="1:5" hidden="1" x14ac:dyDescent="0.3">
      <c r="A894" t="s">
        <v>557</v>
      </c>
      <c r="B894" t="s">
        <v>711</v>
      </c>
      <c r="C894" t="s">
        <v>318</v>
      </c>
      <c r="D894" s="230">
        <v>-2124.3000000000002</v>
      </c>
      <c r="E894" t="s">
        <v>712</v>
      </c>
    </row>
    <row r="895" spans="1:5" hidden="1" x14ac:dyDescent="0.3">
      <c r="A895" t="s">
        <v>557</v>
      </c>
      <c r="B895" t="s">
        <v>711</v>
      </c>
      <c r="C895" t="s">
        <v>319</v>
      </c>
      <c r="D895" s="230">
        <v>-2124.3000000000002</v>
      </c>
      <c r="E895" t="s">
        <v>712</v>
      </c>
    </row>
    <row r="896" spans="1:5" hidden="1" x14ac:dyDescent="0.3">
      <c r="A896" t="s">
        <v>557</v>
      </c>
      <c r="B896" t="s">
        <v>711</v>
      </c>
      <c r="C896" t="s">
        <v>320</v>
      </c>
      <c r="D896" s="230">
        <v>0</v>
      </c>
      <c r="E896" t="s">
        <v>712</v>
      </c>
    </row>
    <row r="897" spans="1:5" hidden="1" x14ac:dyDescent="0.3">
      <c r="A897" t="s">
        <v>557</v>
      </c>
      <c r="B897" t="s">
        <v>711</v>
      </c>
      <c r="C897" t="s">
        <v>321</v>
      </c>
      <c r="D897" s="230">
        <v>0</v>
      </c>
      <c r="E897" t="s">
        <v>712</v>
      </c>
    </row>
    <row r="898" spans="1:5" hidden="1" x14ac:dyDescent="0.3">
      <c r="A898" t="s">
        <v>557</v>
      </c>
      <c r="B898" t="s">
        <v>711</v>
      </c>
      <c r="C898" t="s">
        <v>322</v>
      </c>
      <c r="D898" s="230">
        <v>0</v>
      </c>
      <c r="E898" t="s">
        <v>712</v>
      </c>
    </row>
    <row r="899" spans="1:5" hidden="1" x14ac:dyDescent="0.3">
      <c r="A899" t="s">
        <v>557</v>
      </c>
      <c r="B899" t="s">
        <v>711</v>
      </c>
      <c r="C899" t="s">
        <v>44</v>
      </c>
      <c r="D899" s="230">
        <v>0</v>
      </c>
      <c r="E899" t="s">
        <v>712</v>
      </c>
    </row>
    <row r="900" spans="1:5" hidden="1" x14ac:dyDescent="0.3">
      <c r="A900" t="s">
        <v>557</v>
      </c>
      <c r="B900" t="s">
        <v>711</v>
      </c>
      <c r="C900" t="s">
        <v>323</v>
      </c>
      <c r="D900" s="230">
        <v>-23069.29</v>
      </c>
      <c r="E900" t="s">
        <v>712</v>
      </c>
    </row>
    <row r="901" spans="1:5" hidden="1" x14ac:dyDescent="0.3">
      <c r="A901" t="s">
        <v>557</v>
      </c>
      <c r="B901" t="s">
        <v>711</v>
      </c>
      <c r="C901" t="s">
        <v>324</v>
      </c>
      <c r="D901" s="230">
        <v>0</v>
      </c>
      <c r="E901" t="s">
        <v>712</v>
      </c>
    </row>
    <row r="902" spans="1:5" hidden="1" x14ac:dyDescent="0.3">
      <c r="A902" t="s">
        <v>557</v>
      </c>
      <c r="B902" t="s">
        <v>711</v>
      </c>
      <c r="C902" t="s">
        <v>325</v>
      </c>
      <c r="D902" s="230">
        <v>0</v>
      </c>
      <c r="E902" t="s">
        <v>712</v>
      </c>
    </row>
    <row r="903" spans="1:5" hidden="1" x14ac:dyDescent="0.3">
      <c r="A903" t="s">
        <v>557</v>
      </c>
      <c r="B903" t="s">
        <v>711</v>
      </c>
      <c r="C903" t="s">
        <v>326</v>
      </c>
      <c r="D903" s="230">
        <v>-23069.29</v>
      </c>
      <c r="E903" t="s">
        <v>712</v>
      </c>
    </row>
    <row r="904" spans="1:5" hidden="1" x14ac:dyDescent="0.3">
      <c r="A904" t="s">
        <v>557</v>
      </c>
      <c r="B904" t="s">
        <v>711</v>
      </c>
      <c r="C904" t="s">
        <v>44</v>
      </c>
      <c r="D904" s="230">
        <v>-0.05</v>
      </c>
      <c r="E904" t="s">
        <v>712</v>
      </c>
    </row>
    <row r="905" spans="1:5" hidden="1" x14ac:dyDescent="0.3">
      <c r="A905" t="s">
        <v>557</v>
      </c>
      <c r="B905" t="s">
        <v>711</v>
      </c>
      <c r="C905" t="s">
        <v>328</v>
      </c>
      <c r="D905" s="230">
        <v>-245228.15</v>
      </c>
      <c r="E905" t="s">
        <v>712</v>
      </c>
    </row>
    <row r="906" spans="1:5" hidden="1" x14ac:dyDescent="0.3">
      <c r="A906" t="s">
        <v>557</v>
      </c>
      <c r="B906" t="s">
        <v>711</v>
      </c>
      <c r="C906" t="s">
        <v>44</v>
      </c>
      <c r="D906" s="230">
        <v>-0.53</v>
      </c>
      <c r="E906" t="s">
        <v>712</v>
      </c>
    </row>
    <row r="907" spans="1:5" hidden="1" x14ac:dyDescent="0.3">
      <c r="A907" t="s">
        <v>557</v>
      </c>
      <c r="B907" t="s">
        <v>711</v>
      </c>
      <c r="C907" t="s">
        <v>329</v>
      </c>
      <c r="D907" s="230">
        <v>-1194.8399999999999</v>
      </c>
      <c r="E907" t="s">
        <v>712</v>
      </c>
    </row>
    <row r="908" spans="1:5" hidden="1" x14ac:dyDescent="0.3">
      <c r="A908" t="s">
        <v>557</v>
      </c>
      <c r="B908" t="s">
        <v>711</v>
      </c>
      <c r="C908" t="s">
        <v>44</v>
      </c>
      <c r="D908" s="230">
        <v>0</v>
      </c>
      <c r="E908" t="s">
        <v>712</v>
      </c>
    </row>
    <row r="909" spans="1:5" hidden="1" x14ac:dyDescent="0.3">
      <c r="A909" t="s">
        <v>557</v>
      </c>
      <c r="B909" t="s">
        <v>711</v>
      </c>
      <c r="C909" t="s">
        <v>330</v>
      </c>
      <c r="D909" s="230">
        <v>0</v>
      </c>
      <c r="E909" t="s">
        <v>712</v>
      </c>
    </row>
    <row r="910" spans="1:5" hidden="1" x14ac:dyDescent="0.3">
      <c r="A910" t="s">
        <v>557</v>
      </c>
      <c r="B910" t="s">
        <v>711</v>
      </c>
      <c r="C910" t="s">
        <v>332</v>
      </c>
      <c r="D910" s="230">
        <v>-1194.8399999999999</v>
      </c>
      <c r="E910" t="s">
        <v>712</v>
      </c>
    </row>
    <row r="911" spans="1:5" hidden="1" x14ac:dyDescent="0.3">
      <c r="A911" t="s">
        <v>557</v>
      </c>
      <c r="B911" t="s">
        <v>711</v>
      </c>
      <c r="C911" t="s">
        <v>333</v>
      </c>
      <c r="D911" s="230">
        <v>7319.86</v>
      </c>
      <c r="E911" t="s">
        <v>712</v>
      </c>
    </row>
    <row r="912" spans="1:5" hidden="1" x14ac:dyDescent="0.3">
      <c r="A912" t="s">
        <v>557</v>
      </c>
      <c r="B912" t="s">
        <v>711</v>
      </c>
      <c r="C912" t="s">
        <v>334</v>
      </c>
      <c r="D912" s="230">
        <v>9640</v>
      </c>
      <c r="E912" t="s">
        <v>712</v>
      </c>
    </row>
    <row r="913" spans="1:5" hidden="1" x14ac:dyDescent="0.3">
      <c r="A913" t="s">
        <v>557</v>
      </c>
      <c r="B913" t="s">
        <v>711</v>
      </c>
      <c r="C913" t="s">
        <v>336</v>
      </c>
      <c r="D913" s="230">
        <v>0</v>
      </c>
      <c r="E913" t="s">
        <v>712</v>
      </c>
    </row>
    <row r="914" spans="1:5" hidden="1" x14ac:dyDescent="0.3">
      <c r="A914" t="s">
        <v>557</v>
      </c>
      <c r="B914" t="s">
        <v>711</v>
      </c>
      <c r="C914" t="s">
        <v>338</v>
      </c>
      <c r="D914" s="230">
        <v>15765.02</v>
      </c>
      <c r="E914" t="s">
        <v>712</v>
      </c>
    </row>
    <row r="915" spans="1:5" hidden="1" x14ac:dyDescent="0.3">
      <c r="A915" t="s">
        <v>557</v>
      </c>
      <c r="B915" t="s">
        <v>711</v>
      </c>
      <c r="C915" t="s">
        <v>339</v>
      </c>
      <c r="D915" s="230">
        <v>-22146.52</v>
      </c>
      <c r="E915" t="s">
        <v>712</v>
      </c>
    </row>
    <row r="916" spans="1:5" hidden="1" x14ac:dyDescent="0.3">
      <c r="A916" t="s">
        <v>557</v>
      </c>
      <c r="B916" t="s">
        <v>711</v>
      </c>
      <c r="C916" t="s">
        <v>342</v>
      </c>
      <c r="D916" s="230">
        <v>-22146.52</v>
      </c>
      <c r="E916" t="s">
        <v>712</v>
      </c>
    </row>
    <row r="917" spans="1:5" hidden="1" x14ac:dyDescent="0.3">
      <c r="A917" t="s">
        <v>557</v>
      </c>
      <c r="B917" t="s">
        <v>711</v>
      </c>
      <c r="C917" t="s">
        <v>344</v>
      </c>
      <c r="D917" s="230">
        <v>0</v>
      </c>
      <c r="E917" t="s">
        <v>712</v>
      </c>
    </row>
    <row r="918" spans="1:5" hidden="1" x14ac:dyDescent="0.3">
      <c r="A918" t="s">
        <v>557</v>
      </c>
      <c r="B918" t="s">
        <v>711</v>
      </c>
      <c r="C918" t="s">
        <v>345</v>
      </c>
      <c r="D918" s="230">
        <v>0</v>
      </c>
      <c r="E918" t="s">
        <v>712</v>
      </c>
    </row>
    <row r="919" spans="1:5" hidden="1" x14ac:dyDescent="0.3">
      <c r="A919" t="s">
        <v>557</v>
      </c>
      <c r="B919" t="s">
        <v>711</v>
      </c>
      <c r="C919" t="s">
        <v>346</v>
      </c>
      <c r="D919" s="230">
        <v>0</v>
      </c>
      <c r="E919" t="s">
        <v>712</v>
      </c>
    </row>
    <row r="920" spans="1:5" hidden="1" x14ac:dyDescent="0.3">
      <c r="A920" t="s">
        <v>557</v>
      </c>
      <c r="B920" t="s">
        <v>711</v>
      </c>
      <c r="C920" t="s">
        <v>347</v>
      </c>
      <c r="D920" s="230">
        <v>-6381.5</v>
      </c>
      <c r="E920" t="s">
        <v>712</v>
      </c>
    </row>
    <row r="921" spans="1:5" hidden="1" x14ac:dyDescent="0.3">
      <c r="A921" t="s">
        <v>557</v>
      </c>
      <c r="B921" t="s">
        <v>711</v>
      </c>
      <c r="C921" t="s">
        <v>44</v>
      </c>
      <c r="D921" s="230">
        <v>-0.01</v>
      </c>
      <c r="E921" t="s">
        <v>712</v>
      </c>
    </row>
    <row r="922" spans="1:5" hidden="1" x14ac:dyDescent="0.3">
      <c r="A922" t="s">
        <v>557</v>
      </c>
      <c r="B922" t="s">
        <v>711</v>
      </c>
      <c r="C922" t="s">
        <v>348</v>
      </c>
      <c r="D922" s="230">
        <v>0</v>
      </c>
      <c r="E922" t="s">
        <v>712</v>
      </c>
    </row>
    <row r="923" spans="1:5" hidden="1" x14ac:dyDescent="0.3">
      <c r="A923" t="s">
        <v>557</v>
      </c>
      <c r="B923" t="s">
        <v>711</v>
      </c>
      <c r="C923" t="s">
        <v>707</v>
      </c>
      <c r="D923" s="230">
        <v>0</v>
      </c>
      <c r="E923" t="s">
        <v>712</v>
      </c>
    </row>
    <row r="924" spans="1:5" hidden="1" x14ac:dyDescent="0.3">
      <c r="A924" t="s">
        <v>557</v>
      </c>
      <c r="B924" t="s">
        <v>711</v>
      </c>
      <c r="C924" t="s">
        <v>350</v>
      </c>
      <c r="D924" s="230">
        <v>0</v>
      </c>
      <c r="E924" t="s">
        <v>712</v>
      </c>
    </row>
    <row r="925" spans="1:5" hidden="1" x14ac:dyDescent="0.3">
      <c r="A925" t="s">
        <v>557</v>
      </c>
      <c r="B925" t="s">
        <v>711</v>
      </c>
      <c r="C925" t="s">
        <v>351</v>
      </c>
      <c r="D925" s="230">
        <v>0</v>
      </c>
      <c r="E925" t="s">
        <v>712</v>
      </c>
    </row>
    <row r="926" spans="1:5" hidden="1" x14ac:dyDescent="0.3">
      <c r="A926" t="s">
        <v>557</v>
      </c>
      <c r="B926" t="s">
        <v>711</v>
      </c>
      <c r="C926" t="s">
        <v>352</v>
      </c>
      <c r="D926" s="230">
        <v>0</v>
      </c>
      <c r="E926" t="s">
        <v>712</v>
      </c>
    </row>
    <row r="927" spans="1:5" hidden="1" x14ac:dyDescent="0.3">
      <c r="A927" t="s">
        <v>557</v>
      </c>
      <c r="B927" t="s">
        <v>711</v>
      </c>
      <c r="C927" t="s">
        <v>353</v>
      </c>
      <c r="D927" s="230">
        <v>0</v>
      </c>
      <c r="E927" t="s">
        <v>712</v>
      </c>
    </row>
    <row r="928" spans="1:5" hidden="1" x14ac:dyDescent="0.3">
      <c r="A928" t="s">
        <v>557</v>
      </c>
      <c r="B928" t="s">
        <v>711</v>
      </c>
      <c r="C928" t="s">
        <v>354</v>
      </c>
      <c r="D928" s="230">
        <v>0</v>
      </c>
      <c r="E928" t="s">
        <v>712</v>
      </c>
    </row>
    <row r="929" spans="1:5" hidden="1" x14ac:dyDescent="0.3">
      <c r="A929" t="s">
        <v>557</v>
      </c>
      <c r="B929" t="s">
        <v>711</v>
      </c>
      <c r="C929" t="s">
        <v>355</v>
      </c>
      <c r="D929" s="230">
        <v>0</v>
      </c>
      <c r="E929" t="s">
        <v>712</v>
      </c>
    </row>
    <row r="930" spans="1:5" hidden="1" x14ac:dyDescent="0.3">
      <c r="A930" t="s">
        <v>557</v>
      </c>
      <c r="B930" t="s">
        <v>711</v>
      </c>
      <c r="C930" t="s">
        <v>356</v>
      </c>
      <c r="D930" s="230">
        <v>0</v>
      </c>
      <c r="E930" t="s">
        <v>712</v>
      </c>
    </row>
    <row r="931" spans="1:5" hidden="1" x14ac:dyDescent="0.3">
      <c r="A931" t="s">
        <v>557</v>
      </c>
      <c r="B931" t="s">
        <v>711</v>
      </c>
      <c r="C931" t="s">
        <v>357</v>
      </c>
      <c r="D931" s="230">
        <v>0</v>
      </c>
      <c r="E931" t="s">
        <v>712</v>
      </c>
    </row>
    <row r="932" spans="1:5" hidden="1" x14ac:dyDescent="0.3">
      <c r="A932" t="s">
        <v>557</v>
      </c>
      <c r="B932" t="s">
        <v>711</v>
      </c>
      <c r="C932" t="s">
        <v>358</v>
      </c>
      <c r="D932" s="230">
        <v>0</v>
      </c>
      <c r="E932" t="s">
        <v>712</v>
      </c>
    </row>
    <row r="933" spans="1:5" hidden="1" x14ac:dyDescent="0.3">
      <c r="A933" t="s">
        <v>557</v>
      </c>
      <c r="B933" t="s">
        <v>711</v>
      </c>
      <c r="C933" t="s">
        <v>359</v>
      </c>
      <c r="D933" s="230">
        <v>0</v>
      </c>
      <c r="E933" t="s">
        <v>712</v>
      </c>
    </row>
    <row r="934" spans="1:5" hidden="1" x14ac:dyDescent="0.3">
      <c r="A934" t="s">
        <v>557</v>
      </c>
      <c r="B934" t="s">
        <v>711</v>
      </c>
      <c r="C934" t="s">
        <v>360</v>
      </c>
      <c r="D934" s="230">
        <v>0</v>
      </c>
      <c r="E934" t="s">
        <v>712</v>
      </c>
    </row>
    <row r="935" spans="1:5" hidden="1" x14ac:dyDescent="0.3">
      <c r="A935" t="s">
        <v>557</v>
      </c>
      <c r="B935" t="s">
        <v>711</v>
      </c>
      <c r="C935" t="s">
        <v>361</v>
      </c>
      <c r="D935" s="230">
        <v>0</v>
      </c>
      <c r="E935" t="s">
        <v>712</v>
      </c>
    </row>
    <row r="936" spans="1:5" hidden="1" x14ac:dyDescent="0.3">
      <c r="A936" t="s">
        <v>557</v>
      </c>
      <c r="B936" t="s">
        <v>711</v>
      </c>
      <c r="C936" t="s">
        <v>362</v>
      </c>
      <c r="D936" s="230">
        <v>0</v>
      </c>
      <c r="E936" t="s">
        <v>712</v>
      </c>
    </row>
    <row r="937" spans="1:5" hidden="1" x14ac:dyDescent="0.3">
      <c r="A937" t="s">
        <v>557</v>
      </c>
      <c r="B937" t="s">
        <v>711</v>
      </c>
      <c r="C937" t="s">
        <v>363</v>
      </c>
      <c r="D937" s="230">
        <v>0</v>
      </c>
      <c r="E937" t="s">
        <v>712</v>
      </c>
    </row>
    <row r="938" spans="1:5" hidden="1" x14ac:dyDescent="0.3">
      <c r="A938" t="s">
        <v>557</v>
      </c>
      <c r="B938" t="s">
        <v>711</v>
      </c>
      <c r="C938" t="s">
        <v>364</v>
      </c>
      <c r="D938" s="230">
        <v>0</v>
      </c>
      <c r="E938" t="s">
        <v>712</v>
      </c>
    </row>
    <row r="939" spans="1:5" hidden="1" x14ac:dyDescent="0.3">
      <c r="A939" t="s">
        <v>557</v>
      </c>
      <c r="B939" t="s">
        <v>711</v>
      </c>
      <c r="C939" t="s">
        <v>365</v>
      </c>
      <c r="D939" s="230">
        <v>0</v>
      </c>
      <c r="E939" t="s">
        <v>712</v>
      </c>
    </row>
    <row r="940" spans="1:5" hidden="1" x14ac:dyDescent="0.3">
      <c r="A940" t="s">
        <v>557</v>
      </c>
      <c r="B940" t="s">
        <v>711</v>
      </c>
      <c r="C940" t="s">
        <v>366</v>
      </c>
      <c r="D940" s="230">
        <v>0</v>
      </c>
      <c r="E940" t="s">
        <v>712</v>
      </c>
    </row>
    <row r="941" spans="1:5" hidden="1" x14ac:dyDescent="0.3">
      <c r="A941" t="s">
        <v>557</v>
      </c>
      <c r="B941" t="s">
        <v>711</v>
      </c>
      <c r="C941" t="s">
        <v>367</v>
      </c>
      <c r="D941" s="230">
        <v>0</v>
      </c>
      <c r="E941" t="s">
        <v>712</v>
      </c>
    </row>
    <row r="942" spans="1:5" hidden="1" x14ac:dyDescent="0.3">
      <c r="A942" t="s">
        <v>557</v>
      </c>
      <c r="B942" t="s">
        <v>711</v>
      </c>
      <c r="C942" t="s">
        <v>368</v>
      </c>
      <c r="D942" s="230">
        <v>0</v>
      </c>
      <c r="E942" t="s">
        <v>712</v>
      </c>
    </row>
    <row r="943" spans="1:5" hidden="1" x14ac:dyDescent="0.3">
      <c r="A943" t="s">
        <v>557</v>
      </c>
      <c r="B943" t="s">
        <v>711</v>
      </c>
      <c r="C943" t="s">
        <v>369</v>
      </c>
      <c r="D943" s="230">
        <v>0</v>
      </c>
      <c r="E943" t="s">
        <v>712</v>
      </c>
    </row>
    <row r="944" spans="1:5" hidden="1" x14ac:dyDescent="0.3">
      <c r="A944" t="s">
        <v>557</v>
      </c>
      <c r="B944" t="s">
        <v>711</v>
      </c>
      <c r="C944" t="s">
        <v>370</v>
      </c>
      <c r="D944" s="230">
        <v>0</v>
      </c>
      <c r="E944" t="s">
        <v>712</v>
      </c>
    </row>
    <row r="945" spans="1:5" hidden="1" x14ac:dyDescent="0.3">
      <c r="A945" t="s">
        <v>557</v>
      </c>
      <c r="B945" t="s">
        <v>711</v>
      </c>
      <c r="C945" t="s">
        <v>371</v>
      </c>
      <c r="D945" s="230">
        <v>0</v>
      </c>
      <c r="E945" t="s">
        <v>712</v>
      </c>
    </row>
    <row r="946" spans="1:5" hidden="1" x14ac:dyDescent="0.3">
      <c r="A946" t="s">
        <v>557</v>
      </c>
      <c r="B946" t="s">
        <v>711</v>
      </c>
      <c r="C946" t="s">
        <v>372</v>
      </c>
      <c r="D946" s="230">
        <v>0</v>
      </c>
      <c r="E946" t="s">
        <v>712</v>
      </c>
    </row>
    <row r="947" spans="1:5" hidden="1" x14ac:dyDescent="0.3">
      <c r="A947" t="s">
        <v>557</v>
      </c>
      <c r="B947" t="s">
        <v>711</v>
      </c>
      <c r="C947" t="s">
        <v>373</v>
      </c>
      <c r="D947" s="230">
        <v>0</v>
      </c>
      <c r="E947" t="s">
        <v>712</v>
      </c>
    </row>
    <row r="948" spans="1:5" hidden="1" x14ac:dyDescent="0.3">
      <c r="A948" t="s">
        <v>557</v>
      </c>
      <c r="B948" t="s">
        <v>711</v>
      </c>
      <c r="C948" t="s">
        <v>374</v>
      </c>
      <c r="D948" s="230">
        <v>0</v>
      </c>
      <c r="E948" t="s">
        <v>712</v>
      </c>
    </row>
    <row r="949" spans="1:5" hidden="1" x14ac:dyDescent="0.3">
      <c r="A949" t="s">
        <v>557</v>
      </c>
      <c r="B949" t="s">
        <v>711</v>
      </c>
      <c r="C949" t="s">
        <v>708</v>
      </c>
      <c r="D949" s="230">
        <v>0</v>
      </c>
      <c r="E949" t="s">
        <v>712</v>
      </c>
    </row>
    <row r="950" spans="1:5" hidden="1" x14ac:dyDescent="0.3">
      <c r="A950" t="s">
        <v>557</v>
      </c>
      <c r="B950" t="s">
        <v>713</v>
      </c>
      <c r="C950" t="s">
        <v>11</v>
      </c>
      <c r="D950" s="230">
        <v>413944.69</v>
      </c>
      <c r="E950" t="s">
        <v>714</v>
      </c>
    </row>
    <row r="951" spans="1:5" hidden="1" x14ac:dyDescent="0.3">
      <c r="A951" t="s">
        <v>557</v>
      </c>
      <c r="B951" t="s">
        <v>713</v>
      </c>
      <c r="C951" t="s">
        <v>13</v>
      </c>
      <c r="D951" s="230">
        <v>209188.5</v>
      </c>
      <c r="E951" t="s">
        <v>714</v>
      </c>
    </row>
    <row r="952" spans="1:5" hidden="1" x14ac:dyDescent="0.3">
      <c r="A952" t="s">
        <v>557</v>
      </c>
      <c r="B952" t="s">
        <v>713</v>
      </c>
      <c r="C952" t="s">
        <v>16</v>
      </c>
      <c r="D952" s="230">
        <v>132755.6</v>
      </c>
      <c r="E952" t="s">
        <v>714</v>
      </c>
    </row>
    <row r="953" spans="1:5" hidden="1" x14ac:dyDescent="0.3">
      <c r="A953" t="s">
        <v>557</v>
      </c>
      <c r="B953" t="s">
        <v>713</v>
      </c>
      <c r="C953" t="s">
        <v>17</v>
      </c>
      <c r="D953" s="230">
        <v>8720</v>
      </c>
      <c r="E953" t="s">
        <v>714</v>
      </c>
    </row>
    <row r="954" spans="1:5" hidden="1" x14ac:dyDescent="0.3">
      <c r="A954" t="s">
        <v>557</v>
      </c>
      <c r="B954" t="s">
        <v>713</v>
      </c>
      <c r="C954" t="s">
        <v>18</v>
      </c>
      <c r="D954" s="230">
        <v>275</v>
      </c>
      <c r="E954" t="s">
        <v>714</v>
      </c>
    </row>
    <row r="955" spans="1:5" hidden="1" x14ac:dyDescent="0.3">
      <c r="A955" t="s">
        <v>557</v>
      </c>
      <c r="B955" t="s">
        <v>713</v>
      </c>
      <c r="C955" t="s">
        <v>20</v>
      </c>
      <c r="D955" s="230">
        <v>44654.69</v>
      </c>
      <c r="E955" t="s">
        <v>714</v>
      </c>
    </row>
    <row r="956" spans="1:5" hidden="1" x14ac:dyDescent="0.3">
      <c r="A956" t="s">
        <v>557</v>
      </c>
      <c r="B956" t="s">
        <v>713</v>
      </c>
      <c r="C956" t="s">
        <v>23</v>
      </c>
      <c r="D956" s="230">
        <v>1650</v>
      </c>
      <c r="E956" t="s">
        <v>714</v>
      </c>
    </row>
    <row r="957" spans="1:5" hidden="1" x14ac:dyDescent="0.3">
      <c r="A957" t="s">
        <v>557</v>
      </c>
      <c r="B957" t="s">
        <v>713</v>
      </c>
      <c r="C957" t="s">
        <v>25</v>
      </c>
      <c r="D957" s="230">
        <v>0</v>
      </c>
      <c r="E957" t="s">
        <v>714</v>
      </c>
    </row>
    <row r="958" spans="1:5" hidden="1" x14ac:dyDescent="0.3">
      <c r="A958" t="s">
        <v>557</v>
      </c>
      <c r="B958" t="s">
        <v>713</v>
      </c>
      <c r="C958" t="s">
        <v>26</v>
      </c>
      <c r="D958" s="230">
        <v>16514.5</v>
      </c>
      <c r="E958" t="s">
        <v>714</v>
      </c>
    </row>
    <row r="959" spans="1:5" hidden="1" x14ac:dyDescent="0.3">
      <c r="A959" t="s">
        <v>557</v>
      </c>
      <c r="B959" t="s">
        <v>713</v>
      </c>
      <c r="C959" t="s">
        <v>27</v>
      </c>
      <c r="D959" s="230">
        <v>0</v>
      </c>
      <c r="E959" t="s">
        <v>714</v>
      </c>
    </row>
    <row r="960" spans="1:5" hidden="1" x14ac:dyDescent="0.3">
      <c r="A960" t="s">
        <v>557</v>
      </c>
      <c r="B960" t="s">
        <v>713</v>
      </c>
      <c r="C960" t="s">
        <v>29</v>
      </c>
      <c r="D960" s="230">
        <v>0</v>
      </c>
      <c r="E960" t="s">
        <v>714</v>
      </c>
    </row>
    <row r="961" spans="1:5" hidden="1" x14ac:dyDescent="0.3">
      <c r="A961" t="s">
        <v>557</v>
      </c>
      <c r="B961" t="s">
        <v>713</v>
      </c>
      <c r="C961" t="s">
        <v>31</v>
      </c>
      <c r="D961" s="230">
        <v>186.4</v>
      </c>
      <c r="E961" t="s">
        <v>714</v>
      </c>
    </row>
    <row r="962" spans="1:5" hidden="1" x14ac:dyDescent="0.3">
      <c r="A962" t="s">
        <v>557</v>
      </c>
      <c r="B962" t="s">
        <v>713</v>
      </c>
      <c r="C962" t="s">
        <v>34</v>
      </c>
      <c r="D962" s="230">
        <v>-11712.1</v>
      </c>
      <c r="E962" t="s">
        <v>714</v>
      </c>
    </row>
    <row r="963" spans="1:5" hidden="1" x14ac:dyDescent="0.3">
      <c r="A963" t="s">
        <v>557</v>
      </c>
      <c r="B963" t="s">
        <v>713</v>
      </c>
      <c r="C963" t="s">
        <v>38</v>
      </c>
      <c r="D963" s="230">
        <v>-11712.1</v>
      </c>
      <c r="E963" t="s">
        <v>714</v>
      </c>
    </row>
    <row r="964" spans="1:5" hidden="1" x14ac:dyDescent="0.3">
      <c r="A964" t="s">
        <v>557</v>
      </c>
      <c r="B964" t="s">
        <v>713</v>
      </c>
      <c r="C964" t="s">
        <v>40</v>
      </c>
      <c r="D964" s="230">
        <v>0</v>
      </c>
      <c r="E964" t="s">
        <v>714</v>
      </c>
    </row>
    <row r="965" spans="1:5" hidden="1" x14ac:dyDescent="0.3">
      <c r="A965" t="s">
        <v>557</v>
      </c>
      <c r="B965" t="s">
        <v>713</v>
      </c>
      <c r="C965" t="s">
        <v>42</v>
      </c>
      <c r="D965" s="230">
        <v>0</v>
      </c>
      <c r="E965" t="s">
        <v>714</v>
      </c>
    </row>
    <row r="966" spans="1:5" hidden="1" x14ac:dyDescent="0.3">
      <c r="A966" t="s">
        <v>557</v>
      </c>
      <c r="B966" t="s">
        <v>713</v>
      </c>
      <c r="C966" t="s">
        <v>44</v>
      </c>
      <c r="D966" s="230">
        <v>-0.03</v>
      </c>
      <c r="E966" t="s">
        <v>714</v>
      </c>
    </row>
    <row r="967" spans="1:5" hidden="1" x14ac:dyDescent="0.3">
      <c r="A967" t="s">
        <v>557</v>
      </c>
      <c r="B967" t="s">
        <v>713</v>
      </c>
      <c r="C967" t="s">
        <v>45</v>
      </c>
      <c r="D967" s="230">
        <v>-24959.79</v>
      </c>
      <c r="E967" t="s">
        <v>714</v>
      </c>
    </row>
    <row r="968" spans="1:5" hidden="1" x14ac:dyDescent="0.3">
      <c r="A968" t="s">
        <v>557</v>
      </c>
      <c r="B968" t="s">
        <v>713</v>
      </c>
      <c r="C968" t="s">
        <v>46</v>
      </c>
      <c r="D968" s="230">
        <v>-13051.59</v>
      </c>
      <c r="E968" t="s">
        <v>714</v>
      </c>
    </row>
    <row r="969" spans="1:5" hidden="1" x14ac:dyDescent="0.3">
      <c r="A969" t="s">
        <v>557</v>
      </c>
      <c r="B969" t="s">
        <v>713</v>
      </c>
      <c r="C969" t="s">
        <v>48</v>
      </c>
      <c r="D969" s="230">
        <v>-11389.69</v>
      </c>
      <c r="E969" t="s">
        <v>714</v>
      </c>
    </row>
    <row r="970" spans="1:5" hidden="1" x14ac:dyDescent="0.3">
      <c r="A970" t="s">
        <v>557</v>
      </c>
      <c r="B970" t="s">
        <v>713</v>
      </c>
      <c r="C970" t="s">
        <v>49</v>
      </c>
      <c r="D970" s="230">
        <v>-518.5</v>
      </c>
      <c r="E970" t="s">
        <v>714</v>
      </c>
    </row>
    <row r="971" spans="1:5" hidden="1" x14ac:dyDescent="0.3">
      <c r="A971" t="s">
        <v>557</v>
      </c>
      <c r="B971" t="s">
        <v>713</v>
      </c>
      <c r="C971" t="s">
        <v>50</v>
      </c>
      <c r="D971" s="230">
        <v>377272.8</v>
      </c>
      <c r="E971" t="s">
        <v>714</v>
      </c>
    </row>
    <row r="972" spans="1:5" hidden="1" x14ac:dyDescent="0.3">
      <c r="A972" t="s">
        <v>557</v>
      </c>
      <c r="B972" t="s">
        <v>713</v>
      </c>
      <c r="C972" t="s">
        <v>51</v>
      </c>
      <c r="D972" s="230">
        <v>-116416.28</v>
      </c>
      <c r="E972" t="s">
        <v>714</v>
      </c>
    </row>
    <row r="973" spans="1:5" hidden="1" x14ac:dyDescent="0.3">
      <c r="A973" t="s">
        <v>557</v>
      </c>
      <c r="B973" t="s">
        <v>713</v>
      </c>
      <c r="C973" t="s">
        <v>52</v>
      </c>
      <c r="D973" s="230">
        <v>-83357.56</v>
      </c>
      <c r="E973" t="s">
        <v>714</v>
      </c>
    </row>
    <row r="974" spans="1:5" hidden="1" x14ac:dyDescent="0.3">
      <c r="A974" t="s">
        <v>557</v>
      </c>
      <c r="B974" t="s">
        <v>713</v>
      </c>
      <c r="C974" t="s">
        <v>53</v>
      </c>
      <c r="D974" s="230">
        <v>-33058.720000000001</v>
      </c>
      <c r="E974" t="s">
        <v>714</v>
      </c>
    </row>
    <row r="975" spans="1:5" hidden="1" x14ac:dyDescent="0.3">
      <c r="A975" t="s">
        <v>557</v>
      </c>
      <c r="B975" t="s">
        <v>713</v>
      </c>
      <c r="C975" t="s">
        <v>54</v>
      </c>
      <c r="D975" s="230">
        <v>0</v>
      </c>
      <c r="E975" t="s">
        <v>714</v>
      </c>
    </row>
    <row r="976" spans="1:5" hidden="1" x14ac:dyDescent="0.3">
      <c r="A976" t="s">
        <v>557</v>
      </c>
      <c r="B976" t="s">
        <v>713</v>
      </c>
      <c r="C976" t="s">
        <v>23</v>
      </c>
      <c r="D976" s="230">
        <v>0</v>
      </c>
      <c r="E976" t="s">
        <v>714</v>
      </c>
    </row>
    <row r="977" spans="1:5" hidden="1" x14ac:dyDescent="0.3">
      <c r="A977" t="s">
        <v>557</v>
      </c>
      <c r="B977" t="s">
        <v>713</v>
      </c>
      <c r="C977" t="s">
        <v>44</v>
      </c>
      <c r="D977" s="230">
        <v>-0.34</v>
      </c>
      <c r="E977" t="s">
        <v>714</v>
      </c>
    </row>
    <row r="978" spans="1:5" hidden="1" x14ac:dyDescent="0.3">
      <c r="A978" t="s">
        <v>557</v>
      </c>
      <c r="B978" t="s">
        <v>713</v>
      </c>
      <c r="C978" t="s">
        <v>55</v>
      </c>
      <c r="D978" s="230">
        <v>-0.31</v>
      </c>
      <c r="E978" t="s">
        <v>714</v>
      </c>
    </row>
    <row r="979" spans="1:5" hidden="1" x14ac:dyDescent="0.3">
      <c r="A979" t="s">
        <v>557</v>
      </c>
      <c r="B979" t="s">
        <v>713</v>
      </c>
      <c r="C979" t="s">
        <v>56</v>
      </c>
      <c r="D979" s="230">
        <v>-5740.62</v>
      </c>
      <c r="E979" t="s">
        <v>714</v>
      </c>
    </row>
    <row r="980" spans="1:5" hidden="1" x14ac:dyDescent="0.3">
      <c r="A980" t="s">
        <v>557</v>
      </c>
      <c r="B980" t="s">
        <v>713</v>
      </c>
      <c r="C980" t="s">
        <v>57</v>
      </c>
      <c r="D980" s="230">
        <v>-5740.62</v>
      </c>
      <c r="E980" t="s">
        <v>714</v>
      </c>
    </row>
    <row r="981" spans="1:5" hidden="1" x14ac:dyDescent="0.3">
      <c r="A981" t="s">
        <v>557</v>
      </c>
      <c r="B981" t="s">
        <v>713</v>
      </c>
      <c r="C981" t="s">
        <v>58</v>
      </c>
      <c r="D981" s="230">
        <v>-5500</v>
      </c>
      <c r="E981" t="s">
        <v>714</v>
      </c>
    </row>
    <row r="982" spans="1:5" hidden="1" x14ac:dyDescent="0.3">
      <c r="A982" t="s">
        <v>557</v>
      </c>
      <c r="B982" t="s">
        <v>713</v>
      </c>
      <c r="C982" t="s">
        <v>59</v>
      </c>
      <c r="D982" s="230">
        <v>-240.62</v>
      </c>
      <c r="E982" t="s">
        <v>714</v>
      </c>
    </row>
    <row r="983" spans="1:5" hidden="1" x14ac:dyDescent="0.3">
      <c r="A983" t="s">
        <v>557</v>
      </c>
      <c r="B983" t="s">
        <v>713</v>
      </c>
      <c r="C983" t="s">
        <v>61</v>
      </c>
      <c r="D983" s="230">
        <v>0</v>
      </c>
      <c r="E983" t="s">
        <v>714</v>
      </c>
    </row>
    <row r="984" spans="1:5" hidden="1" x14ac:dyDescent="0.3">
      <c r="A984" t="s">
        <v>557</v>
      </c>
      <c r="B984" t="s">
        <v>713</v>
      </c>
      <c r="C984" t="s">
        <v>62</v>
      </c>
      <c r="D984" s="230">
        <v>0</v>
      </c>
      <c r="E984" t="s">
        <v>714</v>
      </c>
    </row>
    <row r="985" spans="1:5" hidden="1" x14ac:dyDescent="0.3">
      <c r="A985" t="s">
        <v>557</v>
      </c>
      <c r="B985" t="s">
        <v>713</v>
      </c>
      <c r="C985" t="s">
        <v>64</v>
      </c>
      <c r="D985" s="230">
        <v>0</v>
      </c>
      <c r="E985" t="s">
        <v>714</v>
      </c>
    </row>
    <row r="986" spans="1:5" hidden="1" x14ac:dyDescent="0.3">
      <c r="A986" t="s">
        <v>557</v>
      </c>
      <c r="B986" t="s">
        <v>713</v>
      </c>
      <c r="C986" t="s">
        <v>65</v>
      </c>
      <c r="D986" s="230">
        <v>0</v>
      </c>
      <c r="E986" t="s">
        <v>714</v>
      </c>
    </row>
    <row r="987" spans="1:5" hidden="1" x14ac:dyDescent="0.3">
      <c r="A987" t="s">
        <v>557</v>
      </c>
      <c r="B987" t="s">
        <v>713</v>
      </c>
      <c r="C987" t="s">
        <v>66</v>
      </c>
      <c r="D987" s="230">
        <v>0</v>
      </c>
      <c r="E987" t="s">
        <v>714</v>
      </c>
    </row>
    <row r="988" spans="1:5" hidden="1" x14ac:dyDescent="0.3">
      <c r="A988" t="s">
        <v>557</v>
      </c>
      <c r="B988" t="s">
        <v>713</v>
      </c>
      <c r="C988" t="s">
        <v>68</v>
      </c>
      <c r="D988" s="230">
        <v>0</v>
      </c>
      <c r="E988" t="s">
        <v>714</v>
      </c>
    </row>
    <row r="989" spans="1:5" hidden="1" x14ac:dyDescent="0.3">
      <c r="A989" t="s">
        <v>557</v>
      </c>
      <c r="B989" t="s">
        <v>713</v>
      </c>
      <c r="C989" t="s">
        <v>69</v>
      </c>
      <c r="D989" s="230">
        <v>0</v>
      </c>
      <c r="E989" t="s">
        <v>714</v>
      </c>
    </row>
    <row r="990" spans="1:5" hidden="1" x14ac:dyDescent="0.3">
      <c r="A990" t="s">
        <v>557</v>
      </c>
      <c r="B990" t="s">
        <v>713</v>
      </c>
      <c r="C990" t="s">
        <v>70</v>
      </c>
      <c r="D990" s="230">
        <v>-0.66</v>
      </c>
      <c r="E990" t="s">
        <v>714</v>
      </c>
    </row>
    <row r="991" spans="1:5" hidden="1" x14ac:dyDescent="0.3">
      <c r="A991" t="s">
        <v>557</v>
      </c>
      <c r="B991" t="s">
        <v>713</v>
      </c>
      <c r="C991" t="s">
        <v>44</v>
      </c>
      <c r="D991" s="230">
        <v>-0.01</v>
      </c>
      <c r="E991" t="s">
        <v>714</v>
      </c>
    </row>
    <row r="992" spans="1:5" hidden="1" x14ac:dyDescent="0.3">
      <c r="A992" t="s">
        <v>557</v>
      </c>
      <c r="B992" t="s">
        <v>713</v>
      </c>
      <c r="C992" t="s">
        <v>71</v>
      </c>
      <c r="D992" s="230">
        <v>0</v>
      </c>
      <c r="E992" t="s">
        <v>714</v>
      </c>
    </row>
    <row r="993" spans="1:5" hidden="1" x14ac:dyDescent="0.3">
      <c r="A993" t="s">
        <v>557</v>
      </c>
      <c r="B993" t="s">
        <v>713</v>
      </c>
      <c r="C993" t="s">
        <v>72</v>
      </c>
      <c r="D993" s="230">
        <v>0</v>
      </c>
      <c r="E993" t="s">
        <v>714</v>
      </c>
    </row>
    <row r="994" spans="1:5" hidden="1" x14ac:dyDescent="0.3">
      <c r="A994" t="s">
        <v>557</v>
      </c>
      <c r="B994" t="s">
        <v>713</v>
      </c>
      <c r="C994" t="s">
        <v>73</v>
      </c>
      <c r="D994" s="230">
        <v>0</v>
      </c>
      <c r="E994" t="s">
        <v>714</v>
      </c>
    </row>
    <row r="995" spans="1:5" hidden="1" x14ac:dyDescent="0.3">
      <c r="A995" t="s">
        <v>557</v>
      </c>
      <c r="B995" t="s">
        <v>713</v>
      </c>
      <c r="C995" t="s">
        <v>75</v>
      </c>
      <c r="D995" s="230">
        <v>0</v>
      </c>
      <c r="E995" t="s">
        <v>714</v>
      </c>
    </row>
    <row r="996" spans="1:5" hidden="1" x14ac:dyDescent="0.3">
      <c r="A996" t="s">
        <v>557</v>
      </c>
      <c r="B996" t="s">
        <v>713</v>
      </c>
      <c r="C996" t="s">
        <v>77</v>
      </c>
      <c r="D996" s="230">
        <v>0</v>
      </c>
      <c r="E996" t="s">
        <v>714</v>
      </c>
    </row>
    <row r="997" spans="1:5" hidden="1" x14ac:dyDescent="0.3">
      <c r="A997" t="s">
        <v>557</v>
      </c>
      <c r="B997" t="s">
        <v>713</v>
      </c>
      <c r="C997" t="s">
        <v>78</v>
      </c>
      <c r="D997" s="230">
        <v>0</v>
      </c>
      <c r="E997" t="s">
        <v>714</v>
      </c>
    </row>
    <row r="998" spans="1:5" hidden="1" x14ac:dyDescent="0.3">
      <c r="A998" t="s">
        <v>557</v>
      </c>
      <c r="B998" t="s">
        <v>713</v>
      </c>
      <c r="C998" t="s">
        <v>80</v>
      </c>
      <c r="D998" s="230">
        <v>0</v>
      </c>
      <c r="E998" t="s">
        <v>714</v>
      </c>
    </row>
    <row r="999" spans="1:5" hidden="1" x14ac:dyDescent="0.3">
      <c r="A999" t="s">
        <v>557</v>
      </c>
      <c r="B999" t="s">
        <v>713</v>
      </c>
      <c r="C999" t="s">
        <v>82</v>
      </c>
      <c r="D999" s="230">
        <v>0</v>
      </c>
      <c r="E999" t="s">
        <v>714</v>
      </c>
    </row>
    <row r="1000" spans="1:5" hidden="1" x14ac:dyDescent="0.3">
      <c r="A1000" t="s">
        <v>557</v>
      </c>
      <c r="B1000" t="s">
        <v>713</v>
      </c>
      <c r="C1000" t="s">
        <v>84</v>
      </c>
      <c r="D1000" s="230">
        <v>0</v>
      </c>
      <c r="E1000" t="s">
        <v>714</v>
      </c>
    </row>
    <row r="1001" spans="1:5" hidden="1" x14ac:dyDescent="0.3">
      <c r="A1001" t="s">
        <v>557</v>
      </c>
      <c r="B1001" t="s">
        <v>713</v>
      </c>
      <c r="C1001" t="s">
        <v>85</v>
      </c>
      <c r="D1001" s="230">
        <v>0</v>
      </c>
      <c r="E1001" t="s">
        <v>714</v>
      </c>
    </row>
    <row r="1002" spans="1:5" hidden="1" x14ac:dyDescent="0.3">
      <c r="A1002" t="s">
        <v>557</v>
      </c>
      <c r="B1002" t="s">
        <v>713</v>
      </c>
      <c r="C1002" t="s">
        <v>86</v>
      </c>
      <c r="D1002" s="230">
        <v>0</v>
      </c>
      <c r="E1002" t="s">
        <v>714</v>
      </c>
    </row>
    <row r="1003" spans="1:5" hidden="1" x14ac:dyDescent="0.3">
      <c r="A1003" t="s">
        <v>557</v>
      </c>
      <c r="B1003" t="s">
        <v>713</v>
      </c>
      <c r="C1003" t="s">
        <v>87</v>
      </c>
      <c r="D1003" s="230">
        <v>0</v>
      </c>
      <c r="E1003" t="s">
        <v>714</v>
      </c>
    </row>
    <row r="1004" spans="1:5" hidden="1" x14ac:dyDescent="0.3">
      <c r="A1004" t="s">
        <v>557</v>
      </c>
      <c r="B1004" t="s">
        <v>713</v>
      </c>
      <c r="C1004" t="s">
        <v>88</v>
      </c>
      <c r="D1004" s="230">
        <v>0</v>
      </c>
      <c r="E1004" t="s">
        <v>714</v>
      </c>
    </row>
    <row r="1005" spans="1:5" hidden="1" x14ac:dyDescent="0.3">
      <c r="A1005" t="s">
        <v>557</v>
      </c>
      <c r="B1005" t="s">
        <v>713</v>
      </c>
      <c r="C1005" t="s">
        <v>89</v>
      </c>
      <c r="D1005" s="230">
        <v>0</v>
      </c>
      <c r="E1005" t="s">
        <v>714</v>
      </c>
    </row>
    <row r="1006" spans="1:5" hidden="1" x14ac:dyDescent="0.3">
      <c r="A1006" t="s">
        <v>557</v>
      </c>
      <c r="B1006" t="s">
        <v>713</v>
      </c>
      <c r="C1006" t="s">
        <v>90</v>
      </c>
      <c r="D1006" s="230">
        <v>0</v>
      </c>
      <c r="E1006" t="s">
        <v>714</v>
      </c>
    </row>
    <row r="1007" spans="1:5" hidden="1" x14ac:dyDescent="0.3">
      <c r="A1007" t="s">
        <v>557</v>
      </c>
      <c r="B1007" t="s">
        <v>713</v>
      </c>
      <c r="C1007" t="s">
        <v>91</v>
      </c>
      <c r="D1007" s="230">
        <v>0</v>
      </c>
      <c r="E1007" t="s">
        <v>714</v>
      </c>
    </row>
    <row r="1008" spans="1:5" hidden="1" x14ac:dyDescent="0.3">
      <c r="A1008" t="s">
        <v>557</v>
      </c>
      <c r="B1008" t="s">
        <v>713</v>
      </c>
      <c r="C1008" t="s">
        <v>93</v>
      </c>
      <c r="D1008" s="230">
        <v>0</v>
      </c>
      <c r="E1008" t="s">
        <v>714</v>
      </c>
    </row>
    <row r="1009" spans="1:5" hidden="1" x14ac:dyDescent="0.3">
      <c r="A1009" t="s">
        <v>557</v>
      </c>
      <c r="B1009" t="s">
        <v>713</v>
      </c>
      <c r="C1009" t="s">
        <v>95</v>
      </c>
      <c r="D1009" s="230">
        <v>0</v>
      </c>
      <c r="E1009" t="s">
        <v>714</v>
      </c>
    </row>
    <row r="1010" spans="1:5" hidden="1" x14ac:dyDescent="0.3">
      <c r="A1010" t="s">
        <v>557</v>
      </c>
      <c r="B1010" t="s">
        <v>713</v>
      </c>
      <c r="C1010" t="s">
        <v>96</v>
      </c>
      <c r="D1010" s="230">
        <v>0</v>
      </c>
      <c r="E1010" t="s">
        <v>714</v>
      </c>
    </row>
    <row r="1011" spans="1:5" hidden="1" x14ac:dyDescent="0.3">
      <c r="A1011" t="s">
        <v>557</v>
      </c>
      <c r="B1011" t="s">
        <v>713</v>
      </c>
      <c r="C1011" t="s">
        <v>98</v>
      </c>
      <c r="D1011" s="230">
        <v>0</v>
      </c>
      <c r="E1011" t="s">
        <v>714</v>
      </c>
    </row>
    <row r="1012" spans="1:5" hidden="1" x14ac:dyDescent="0.3">
      <c r="A1012" t="s">
        <v>557</v>
      </c>
      <c r="B1012" t="s">
        <v>713</v>
      </c>
      <c r="C1012" t="s">
        <v>100</v>
      </c>
      <c r="D1012" s="230">
        <v>0</v>
      </c>
      <c r="E1012" t="s">
        <v>714</v>
      </c>
    </row>
    <row r="1013" spans="1:5" hidden="1" x14ac:dyDescent="0.3">
      <c r="A1013" t="s">
        <v>557</v>
      </c>
      <c r="B1013" t="s">
        <v>713</v>
      </c>
      <c r="C1013" t="s">
        <v>101</v>
      </c>
      <c r="D1013" s="230">
        <v>0</v>
      </c>
      <c r="E1013" t="s">
        <v>714</v>
      </c>
    </row>
    <row r="1014" spans="1:5" hidden="1" x14ac:dyDescent="0.3">
      <c r="A1014" t="s">
        <v>557</v>
      </c>
      <c r="B1014" t="s">
        <v>713</v>
      </c>
      <c r="C1014" t="s">
        <v>102</v>
      </c>
      <c r="D1014" s="230">
        <v>0</v>
      </c>
      <c r="E1014" t="s">
        <v>714</v>
      </c>
    </row>
    <row r="1015" spans="1:5" hidden="1" x14ac:dyDescent="0.3">
      <c r="A1015" t="s">
        <v>557</v>
      </c>
      <c r="B1015" t="s">
        <v>713</v>
      </c>
      <c r="C1015" t="s">
        <v>103</v>
      </c>
      <c r="D1015" s="230">
        <v>0</v>
      </c>
      <c r="E1015" t="s">
        <v>714</v>
      </c>
    </row>
    <row r="1016" spans="1:5" hidden="1" x14ac:dyDescent="0.3">
      <c r="A1016" t="s">
        <v>557</v>
      </c>
      <c r="B1016" t="s">
        <v>713</v>
      </c>
      <c r="C1016" t="s">
        <v>104</v>
      </c>
      <c r="D1016" s="230">
        <v>0</v>
      </c>
      <c r="E1016" t="s">
        <v>714</v>
      </c>
    </row>
    <row r="1017" spans="1:5" hidden="1" x14ac:dyDescent="0.3">
      <c r="A1017" t="s">
        <v>557</v>
      </c>
      <c r="B1017" t="s">
        <v>713</v>
      </c>
      <c r="C1017" t="s">
        <v>105</v>
      </c>
      <c r="D1017" s="230">
        <v>0</v>
      </c>
      <c r="E1017" t="s">
        <v>714</v>
      </c>
    </row>
    <row r="1018" spans="1:5" hidden="1" x14ac:dyDescent="0.3">
      <c r="A1018" t="s">
        <v>557</v>
      </c>
      <c r="B1018" t="s">
        <v>713</v>
      </c>
      <c r="C1018" t="s">
        <v>107</v>
      </c>
      <c r="D1018" s="230">
        <v>0</v>
      </c>
      <c r="E1018" t="s">
        <v>714</v>
      </c>
    </row>
    <row r="1019" spans="1:5" hidden="1" x14ac:dyDescent="0.3">
      <c r="A1019" t="s">
        <v>557</v>
      </c>
      <c r="B1019" t="s">
        <v>713</v>
      </c>
      <c r="C1019" t="s">
        <v>108</v>
      </c>
      <c r="D1019" s="230">
        <v>0</v>
      </c>
      <c r="E1019" t="s">
        <v>714</v>
      </c>
    </row>
    <row r="1020" spans="1:5" hidden="1" x14ac:dyDescent="0.3">
      <c r="A1020" t="s">
        <v>557</v>
      </c>
      <c r="B1020" t="s">
        <v>713</v>
      </c>
      <c r="C1020" t="s">
        <v>109</v>
      </c>
      <c r="D1020" s="230">
        <v>0</v>
      </c>
      <c r="E1020" t="s">
        <v>714</v>
      </c>
    </row>
    <row r="1021" spans="1:5" hidden="1" x14ac:dyDescent="0.3">
      <c r="A1021" t="s">
        <v>557</v>
      </c>
      <c r="B1021" t="s">
        <v>713</v>
      </c>
      <c r="C1021" t="s">
        <v>110</v>
      </c>
      <c r="D1021" s="230">
        <v>0</v>
      </c>
      <c r="E1021" t="s">
        <v>714</v>
      </c>
    </row>
    <row r="1022" spans="1:5" hidden="1" x14ac:dyDescent="0.3">
      <c r="A1022" t="s">
        <v>557</v>
      </c>
      <c r="B1022" t="s">
        <v>713</v>
      </c>
      <c r="C1022" t="s">
        <v>44</v>
      </c>
      <c r="D1022" s="230">
        <v>0</v>
      </c>
      <c r="E1022" t="s">
        <v>714</v>
      </c>
    </row>
    <row r="1023" spans="1:5" hidden="1" x14ac:dyDescent="0.3">
      <c r="A1023" t="s">
        <v>557</v>
      </c>
      <c r="B1023" t="s">
        <v>713</v>
      </c>
      <c r="C1023" t="s">
        <v>111</v>
      </c>
      <c r="D1023" s="230">
        <v>-33174.11</v>
      </c>
      <c r="E1023" t="s">
        <v>714</v>
      </c>
    </row>
    <row r="1024" spans="1:5" hidden="1" x14ac:dyDescent="0.3">
      <c r="A1024" t="s">
        <v>557</v>
      </c>
      <c r="B1024" t="s">
        <v>713</v>
      </c>
      <c r="C1024" t="s">
        <v>608</v>
      </c>
      <c r="D1024" s="230">
        <v>-33174.11</v>
      </c>
      <c r="E1024" t="s">
        <v>714</v>
      </c>
    </row>
    <row r="1025" spans="1:5" hidden="1" x14ac:dyDescent="0.3">
      <c r="A1025" t="s">
        <v>557</v>
      </c>
      <c r="B1025" t="s">
        <v>713</v>
      </c>
      <c r="C1025" t="s">
        <v>44</v>
      </c>
      <c r="D1025" s="230">
        <v>-0.08</v>
      </c>
      <c r="E1025" t="s">
        <v>714</v>
      </c>
    </row>
    <row r="1026" spans="1:5" hidden="1" x14ac:dyDescent="0.3">
      <c r="A1026" t="s">
        <v>557</v>
      </c>
      <c r="B1026" t="s">
        <v>713</v>
      </c>
      <c r="C1026" t="s">
        <v>115</v>
      </c>
      <c r="D1026" s="230">
        <v>-7678.35</v>
      </c>
      <c r="E1026" t="s">
        <v>714</v>
      </c>
    </row>
    <row r="1027" spans="1:5" hidden="1" x14ac:dyDescent="0.3">
      <c r="A1027" t="s">
        <v>557</v>
      </c>
      <c r="B1027" t="s">
        <v>713</v>
      </c>
      <c r="C1027" t="s">
        <v>116</v>
      </c>
      <c r="D1027" s="230">
        <v>-7663.42</v>
      </c>
      <c r="E1027" t="s">
        <v>714</v>
      </c>
    </row>
    <row r="1028" spans="1:5" hidden="1" x14ac:dyDescent="0.3">
      <c r="A1028" t="s">
        <v>557</v>
      </c>
      <c r="B1028" t="s">
        <v>713</v>
      </c>
      <c r="C1028" t="s">
        <v>118</v>
      </c>
      <c r="D1028" s="230">
        <v>0</v>
      </c>
      <c r="E1028" t="s">
        <v>714</v>
      </c>
    </row>
    <row r="1029" spans="1:5" hidden="1" x14ac:dyDescent="0.3">
      <c r="A1029" t="s">
        <v>557</v>
      </c>
      <c r="B1029" t="s">
        <v>713</v>
      </c>
      <c r="C1029" t="s">
        <v>120</v>
      </c>
      <c r="D1029" s="230">
        <v>0</v>
      </c>
      <c r="E1029" t="s">
        <v>714</v>
      </c>
    </row>
    <row r="1030" spans="1:5" hidden="1" x14ac:dyDescent="0.3">
      <c r="A1030" t="s">
        <v>557</v>
      </c>
      <c r="B1030" t="s">
        <v>713</v>
      </c>
      <c r="C1030" t="s">
        <v>122</v>
      </c>
      <c r="D1030" s="230">
        <v>-14.93</v>
      </c>
      <c r="E1030" t="s">
        <v>714</v>
      </c>
    </row>
    <row r="1031" spans="1:5" hidden="1" x14ac:dyDescent="0.3">
      <c r="A1031" t="s">
        <v>557</v>
      </c>
      <c r="B1031" t="s">
        <v>713</v>
      </c>
      <c r="C1031" t="s">
        <v>44</v>
      </c>
      <c r="D1031" s="230">
        <v>-0.02</v>
      </c>
      <c r="E1031" t="s">
        <v>714</v>
      </c>
    </row>
    <row r="1032" spans="1:5" hidden="1" x14ac:dyDescent="0.3">
      <c r="A1032" t="s">
        <v>557</v>
      </c>
      <c r="B1032" t="s">
        <v>713</v>
      </c>
      <c r="C1032" t="s">
        <v>126</v>
      </c>
      <c r="D1032" s="230">
        <v>214263.44</v>
      </c>
      <c r="E1032" t="s">
        <v>714</v>
      </c>
    </row>
    <row r="1033" spans="1:5" hidden="1" x14ac:dyDescent="0.3">
      <c r="A1033" t="s">
        <v>557</v>
      </c>
      <c r="B1033" t="s">
        <v>713</v>
      </c>
      <c r="C1033" t="s">
        <v>127</v>
      </c>
      <c r="D1033" s="230">
        <v>0.52</v>
      </c>
      <c r="E1033" t="s">
        <v>714</v>
      </c>
    </row>
    <row r="1034" spans="1:5" hidden="1" x14ac:dyDescent="0.3">
      <c r="A1034" t="s">
        <v>557</v>
      </c>
      <c r="B1034" t="s">
        <v>713</v>
      </c>
      <c r="C1034" t="s">
        <v>128</v>
      </c>
      <c r="D1034" s="230">
        <v>-120712.52</v>
      </c>
      <c r="E1034" t="s">
        <v>714</v>
      </c>
    </row>
    <row r="1035" spans="1:5" hidden="1" x14ac:dyDescent="0.3">
      <c r="A1035" t="s">
        <v>557</v>
      </c>
      <c r="B1035" t="s">
        <v>713</v>
      </c>
      <c r="C1035" t="s">
        <v>129</v>
      </c>
      <c r="D1035" s="230">
        <v>-42084</v>
      </c>
      <c r="E1035" t="s">
        <v>714</v>
      </c>
    </row>
    <row r="1036" spans="1:5" hidden="1" x14ac:dyDescent="0.3">
      <c r="A1036" t="s">
        <v>557</v>
      </c>
      <c r="B1036" t="s">
        <v>713</v>
      </c>
      <c r="C1036" t="s">
        <v>609</v>
      </c>
      <c r="D1036" s="230">
        <v>-4526.67</v>
      </c>
      <c r="E1036" t="s">
        <v>714</v>
      </c>
    </row>
    <row r="1037" spans="1:5" hidden="1" x14ac:dyDescent="0.3">
      <c r="A1037" t="s">
        <v>557</v>
      </c>
      <c r="B1037" t="s">
        <v>713</v>
      </c>
      <c r="C1037" t="s">
        <v>610</v>
      </c>
      <c r="D1037" s="230">
        <v>-11000</v>
      </c>
      <c r="E1037" t="s">
        <v>714</v>
      </c>
    </row>
    <row r="1038" spans="1:5" hidden="1" x14ac:dyDescent="0.3">
      <c r="A1038" t="s">
        <v>557</v>
      </c>
      <c r="B1038" t="s">
        <v>713</v>
      </c>
      <c r="C1038" t="s">
        <v>611</v>
      </c>
      <c r="D1038" s="230">
        <v>-6600</v>
      </c>
      <c r="E1038" t="s">
        <v>714</v>
      </c>
    </row>
    <row r="1039" spans="1:5" hidden="1" x14ac:dyDescent="0.3">
      <c r="A1039" t="s">
        <v>557</v>
      </c>
      <c r="B1039" t="s">
        <v>713</v>
      </c>
      <c r="C1039" t="s">
        <v>612</v>
      </c>
      <c r="D1039" s="230">
        <v>-7957.33</v>
      </c>
      <c r="E1039" t="s">
        <v>714</v>
      </c>
    </row>
    <row r="1040" spans="1:5" hidden="1" x14ac:dyDescent="0.3">
      <c r="A1040" t="s">
        <v>557</v>
      </c>
      <c r="B1040" t="s">
        <v>713</v>
      </c>
      <c r="C1040" t="s">
        <v>613</v>
      </c>
      <c r="D1040" s="230">
        <v>-1200</v>
      </c>
      <c r="E1040" t="s">
        <v>714</v>
      </c>
    </row>
    <row r="1041" spans="1:5" hidden="1" x14ac:dyDescent="0.3">
      <c r="A1041" t="s">
        <v>557</v>
      </c>
      <c r="B1041" t="s">
        <v>713</v>
      </c>
      <c r="C1041" t="s">
        <v>614</v>
      </c>
      <c r="D1041" s="230">
        <v>-6000</v>
      </c>
      <c r="E1041" t="s">
        <v>714</v>
      </c>
    </row>
    <row r="1042" spans="1:5" hidden="1" x14ac:dyDescent="0.3">
      <c r="A1042" t="s">
        <v>557</v>
      </c>
      <c r="B1042" t="s">
        <v>713</v>
      </c>
      <c r="C1042" t="s">
        <v>615</v>
      </c>
      <c r="D1042" s="230">
        <v>0</v>
      </c>
      <c r="E1042" t="s">
        <v>714</v>
      </c>
    </row>
    <row r="1043" spans="1:5" hidden="1" x14ac:dyDescent="0.3">
      <c r="A1043" t="s">
        <v>557</v>
      </c>
      <c r="B1043" t="s">
        <v>713</v>
      </c>
      <c r="C1043" t="s">
        <v>616</v>
      </c>
      <c r="D1043" s="230">
        <v>-4800</v>
      </c>
      <c r="E1043" t="s">
        <v>714</v>
      </c>
    </row>
    <row r="1044" spans="1:5" hidden="1" x14ac:dyDescent="0.3">
      <c r="A1044" t="s">
        <v>557</v>
      </c>
      <c r="B1044" t="s">
        <v>713</v>
      </c>
      <c r="C1044" t="s">
        <v>617</v>
      </c>
      <c r="D1044" s="230">
        <v>0</v>
      </c>
      <c r="E1044" t="s">
        <v>714</v>
      </c>
    </row>
    <row r="1045" spans="1:5" hidden="1" x14ac:dyDescent="0.3">
      <c r="A1045" t="s">
        <v>557</v>
      </c>
      <c r="B1045" t="s">
        <v>713</v>
      </c>
      <c r="C1045" t="s">
        <v>618</v>
      </c>
      <c r="D1045" s="230">
        <v>0</v>
      </c>
      <c r="E1045" t="s">
        <v>714</v>
      </c>
    </row>
    <row r="1046" spans="1:5" hidden="1" x14ac:dyDescent="0.3">
      <c r="A1046" t="s">
        <v>557</v>
      </c>
      <c r="B1046" t="s">
        <v>713</v>
      </c>
      <c r="C1046" t="s">
        <v>619</v>
      </c>
      <c r="D1046" s="230">
        <v>0</v>
      </c>
      <c r="E1046" t="s">
        <v>714</v>
      </c>
    </row>
    <row r="1047" spans="1:5" hidden="1" x14ac:dyDescent="0.3">
      <c r="A1047" t="s">
        <v>557</v>
      </c>
      <c r="B1047" t="s">
        <v>713</v>
      </c>
      <c r="C1047" t="s">
        <v>620</v>
      </c>
      <c r="D1047" s="230">
        <v>0</v>
      </c>
      <c r="E1047" t="s">
        <v>714</v>
      </c>
    </row>
    <row r="1048" spans="1:5" hidden="1" x14ac:dyDescent="0.3">
      <c r="A1048" t="s">
        <v>557</v>
      </c>
      <c r="B1048" t="s">
        <v>713</v>
      </c>
      <c r="C1048" t="s">
        <v>575</v>
      </c>
      <c r="D1048" s="230">
        <v>-36918.58</v>
      </c>
      <c r="E1048" t="s">
        <v>714</v>
      </c>
    </row>
    <row r="1049" spans="1:5" hidden="1" x14ac:dyDescent="0.3">
      <c r="A1049" t="s">
        <v>557</v>
      </c>
      <c r="B1049" t="s">
        <v>713</v>
      </c>
      <c r="C1049" t="s">
        <v>621</v>
      </c>
      <c r="D1049" s="230">
        <v>0</v>
      </c>
      <c r="E1049" t="s">
        <v>714</v>
      </c>
    </row>
    <row r="1050" spans="1:5" hidden="1" x14ac:dyDescent="0.3">
      <c r="A1050" t="s">
        <v>557</v>
      </c>
      <c r="B1050" t="s">
        <v>713</v>
      </c>
      <c r="C1050" t="s">
        <v>622</v>
      </c>
      <c r="D1050" s="230">
        <v>0</v>
      </c>
      <c r="E1050" t="s">
        <v>714</v>
      </c>
    </row>
    <row r="1051" spans="1:5" hidden="1" x14ac:dyDescent="0.3">
      <c r="A1051" t="s">
        <v>557</v>
      </c>
      <c r="B1051" t="s">
        <v>713</v>
      </c>
      <c r="C1051" t="s">
        <v>623</v>
      </c>
      <c r="D1051" s="230">
        <v>0</v>
      </c>
      <c r="E1051" t="s">
        <v>714</v>
      </c>
    </row>
    <row r="1052" spans="1:5" hidden="1" x14ac:dyDescent="0.3">
      <c r="A1052" t="s">
        <v>557</v>
      </c>
      <c r="B1052" t="s">
        <v>713</v>
      </c>
      <c r="C1052" t="s">
        <v>624</v>
      </c>
      <c r="D1052" s="230">
        <v>0</v>
      </c>
      <c r="E1052" t="s">
        <v>714</v>
      </c>
    </row>
    <row r="1053" spans="1:5" hidden="1" x14ac:dyDescent="0.3">
      <c r="A1053" t="s">
        <v>557</v>
      </c>
      <c r="B1053" t="s">
        <v>713</v>
      </c>
      <c r="C1053" t="s">
        <v>625</v>
      </c>
      <c r="D1053" s="230">
        <v>0</v>
      </c>
      <c r="E1053" t="s">
        <v>714</v>
      </c>
    </row>
    <row r="1054" spans="1:5" hidden="1" x14ac:dyDescent="0.3">
      <c r="A1054" t="s">
        <v>557</v>
      </c>
      <c r="B1054" t="s">
        <v>713</v>
      </c>
      <c r="C1054" t="s">
        <v>626</v>
      </c>
      <c r="D1054" s="230">
        <v>0</v>
      </c>
      <c r="E1054" t="s">
        <v>714</v>
      </c>
    </row>
    <row r="1055" spans="1:5" hidden="1" x14ac:dyDescent="0.3">
      <c r="A1055" t="s">
        <v>557</v>
      </c>
      <c r="B1055" t="s">
        <v>713</v>
      </c>
      <c r="C1055" t="s">
        <v>627</v>
      </c>
      <c r="D1055" s="230">
        <v>0</v>
      </c>
      <c r="E1055" t="s">
        <v>714</v>
      </c>
    </row>
    <row r="1056" spans="1:5" hidden="1" x14ac:dyDescent="0.3">
      <c r="A1056" t="s">
        <v>557</v>
      </c>
      <c r="B1056" t="s">
        <v>713</v>
      </c>
      <c r="C1056" t="s">
        <v>628</v>
      </c>
      <c r="D1056" s="230">
        <v>0</v>
      </c>
      <c r="E1056" t="s">
        <v>714</v>
      </c>
    </row>
    <row r="1057" spans="1:5" hidden="1" x14ac:dyDescent="0.3">
      <c r="A1057" t="s">
        <v>557</v>
      </c>
      <c r="B1057" t="s">
        <v>713</v>
      </c>
      <c r="C1057" t="s">
        <v>629</v>
      </c>
      <c r="D1057" s="230">
        <v>0</v>
      </c>
      <c r="E1057" t="s">
        <v>714</v>
      </c>
    </row>
    <row r="1058" spans="1:5" hidden="1" x14ac:dyDescent="0.3">
      <c r="A1058" t="s">
        <v>557</v>
      </c>
      <c r="B1058" t="s">
        <v>713</v>
      </c>
      <c r="C1058" t="s">
        <v>630</v>
      </c>
      <c r="D1058" s="230">
        <v>0</v>
      </c>
      <c r="E1058" t="s">
        <v>714</v>
      </c>
    </row>
    <row r="1059" spans="1:5" hidden="1" x14ac:dyDescent="0.3">
      <c r="A1059" t="s">
        <v>557</v>
      </c>
      <c r="B1059" t="s">
        <v>713</v>
      </c>
      <c r="C1059" t="s">
        <v>631</v>
      </c>
      <c r="D1059" s="230">
        <v>0</v>
      </c>
      <c r="E1059" t="s">
        <v>714</v>
      </c>
    </row>
    <row r="1060" spans="1:5" hidden="1" x14ac:dyDescent="0.3">
      <c r="A1060" t="s">
        <v>557</v>
      </c>
      <c r="B1060" t="s">
        <v>713</v>
      </c>
      <c r="C1060" t="s">
        <v>632</v>
      </c>
      <c r="D1060" s="230">
        <v>0</v>
      </c>
      <c r="E1060" t="s">
        <v>714</v>
      </c>
    </row>
    <row r="1061" spans="1:5" hidden="1" x14ac:dyDescent="0.3">
      <c r="A1061" t="s">
        <v>557</v>
      </c>
      <c r="B1061" t="s">
        <v>713</v>
      </c>
      <c r="C1061" t="s">
        <v>633</v>
      </c>
      <c r="D1061" s="230">
        <v>0</v>
      </c>
      <c r="E1061" t="s">
        <v>714</v>
      </c>
    </row>
    <row r="1062" spans="1:5" hidden="1" x14ac:dyDescent="0.3">
      <c r="A1062" t="s">
        <v>557</v>
      </c>
      <c r="B1062" t="s">
        <v>713</v>
      </c>
      <c r="C1062" t="s">
        <v>634</v>
      </c>
      <c r="D1062" s="230">
        <v>0</v>
      </c>
      <c r="E1062" t="s">
        <v>714</v>
      </c>
    </row>
    <row r="1063" spans="1:5" hidden="1" x14ac:dyDescent="0.3">
      <c r="A1063" t="s">
        <v>557</v>
      </c>
      <c r="B1063" t="s">
        <v>713</v>
      </c>
      <c r="C1063" t="s">
        <v>635</v>
      </c>
      <c r="D1063" s="230">
        <v>0</v>
      </c>
      <c r="E1063" t="s">
        <v>714</v>
      </c>
    </row>
    <row r="1064" spans="1:5" hidden="1" x14ac:dyDescent="0.3">
      <c r="A1064" t="s">
        <v>557</v>
      </c>
      <c r="B1064" t="s">
        <v>713</v>
      </c>
      <c r="C1064" t="s">
        <v>636</v>
      </c>
      <c r="D1064" s="230">
        <v>0</v>
      </c>
      <c r="E1064" t="s">
        <v>714</v>
      </c>
    </row>
    <row r="1065" spans="1:5" hidden="1" x14ac:dyDescent="0.3">
      <c r="A1065" t="s">
        <v>557</v>
      </c>
      <c r="B1065" t="s">
        <v>713</v>
      </c>
      <c r="C1065" t="s">
        <v>637</v>
      </c>
      <c r="D1065" s="230">
        <v>0</v>
      </c>
      <c r="E1065" t="s">
        <v>714</v>
      </c>
    </row>
    <row r="1066" spans="1:5" hidden="1" x14ac:dyDescent="0.3">
      <c r="A1066" t="s">
        <v>557</v>
      </c>
      <c r="B1066" t="s">
        <v>713</v>
      </c>
      <c r="C1066" t="s">
        <v>638</v>
      </c>
      <c r="D1066" s="230">
        <v>0</v>
      </c>
      <c r="E1066" t="s">
        <v>714</v>
      </c>
    </row>
    <row r="1067" spans="1:5" hidden="1" x14ac:dyDescent="0.3">
      <c r="A1067" t="s">
        <v>557</v>
      </c>
      <c r="B1067" t="s">
        <v>713</v>
      </c>
      <c r="C1067" t="s">
        <v>639</v>
      </c>
      <c r="D1067" s="230">
        <v>0</v>
      </c>
      <c r="E1067" t="s">
        <v>714</v>
      </c>
    </row>
    <row r="1068" spans="1:5" hidden="1" x14ac:dyDescent="0.3">
      <c r="A1068" t="s">
        <v>557</v>
      </c>
      <c r="B1068" t="s">
        <v>713</v>
      </c>
      <c r="C1068" t="s">
        <v>640</v>
      </c>
      <c r="D1068" s="230">
        <v>0</v>
      </c>
      <c r="E1068" t="s">
        <v>714</v>
      </c>
    </row>
    <row r="1069" spans="1:5" hidden="1" x14ac:dyDescent="0.3">
      <c r="A1069" t="s">
        <v>557</v>
      </c>
      <c r="B1069" t="s">
        <v>713</v>
      </c>
      <c r="C1069" t="s">
        <v>641</v>
      </c>
      <c r="D1069" s="230">
        <v>0</v>
      </c>
      <c r="E1069" t="s">
        <v>714</v>
      </c>
    </row>
    <row r="1070" spans="1:5" hidden="1" x14ac:dyDescent="0.3">
      <c r="A1070" t="s">
        <v>557</v>
      </c>
      <c r="B1070" t="s">
        <v>713</v>
      </c>
      <c r="C1070" t="s">
        <v>642</v>
      </c>
      <c r="D1070" s="230">
        <v>0</v>
      </c>
      <c r="E1070" t="s">
        <v>714</v>
      </c>
    </row>
    <row r="1071" spans="1:5" hidden="1" x14ac:dyDescent="0.3">
      <c r="A1071" t="s">
        <v>557</v>
      </c>
      <c r="B1071" t="s">
        <v>713</v>
      </c>
      <c r="C1071" t="s">
        <v>643</v>
      </c>
      <c r="D1071" s="230">
        <v>0</v>
      </c>
      <c r="E1071" t="s">
        <v>714</v>
      </c>
    </row>
    <row r="1072" spans="1:5" hidden="1" x14ac:dyDescent="0.3">
      <c r="A1072" t="s">
        <v>557</v>
      </c>
      <c r="B1072" t="s">
        <v>713</v>
      </c>
      <c r="C1072" t="s">
        <v>644</v>
      </c>
      <c r="D1072" s="230">
        <v>0</v>
      </c>
      <c r="E1072" t="s">
        <v>714</v>
      </c>
    </row>
    <row r="1073" spans="1:5" hidden="1" x14ac:dyDescent="0.3">
      <c r="A1073" t="s">
        <v>557</v>
      </c>
      <c r="B1073" t="s">
        <v>713</v>
      </c>
      <c r="C1073" t="s">
        <v>645</v>
      </c>
      <c r="D1073" s="230">
        <v>0</v>
      </c>
      <c r="E1073" t="s">
        <v>714</v>
      </c>
    </row>
    <row r="1074" spans="1:5" hidden="1" x14ac:dyDescent="0.3">
      <c r="A1074" t="s">
        <v>557</v>
      </c>
      <c r="B1074" t="s">
        <v>713</v>
      </c>
      <c r="C1074" t="s">
        <v>646</v>
      </c>
      <c r="D1074" s="230">
        <v>0</v>
      </c>
      <c r="E1074" t="s">
        <v>714</v>
      </c>
    </row>
    <row r="1075" spans="1:5" hidden="1" x14ac:dyDescent="0.3">
      <c r="A1075" t="s">
        <v>557</v>
      </c>
      <c r="B1075" t="s">
        <v>713</v>
      </c>
      <c r="C1075" t="s">
        <v>647</v>
      </c>
      <c r="D1075" s="230">
        <v>0</v>
      </c>
      <c r="E1075" t="s">
        <v>714</v>
      </c>
    </row>
    <row r="1076" spans="1:5" hidden="1" x14ac:dyDescent="0.3">
      <c r="A1076" t="s">
        <v>557</v>
      </c>
      <c r="B1076" t="s">
        <v>713</v>
      </c>
      <c r="C1076" t="s">
        <v>648</v>
      </c>
      <c r="D1076" s="230">
        <v>0</v>
      </c>
      <c r="E1076" t="s">
        <v>714</v>
      </c>
    </row>
    <row r="1077" spans="1:5" hidden="1" x14ac:dyDescent="0.3">
      <c r="A1077" t="s">
        <v>557</v>
      </c>
      <c r="B1077" t="s">
        <v>713</v>
      </c>
      <c r="C1077" t="s">
        <v>649</v>
      </c>
      <c r="D1077" s="230">
        <v>0</v>
      </c>
      <c r="E1077" t="s">
        <v>714</v>
      </c>
    </row>
    <row r="1078" spans="1:5" hidden="1" x14ac:dyDescent="0.3">
      <c r="A1078" t="s">
        <v>557</v>
      </c>
      <c r="B1078" t="s">
        <v>713</v>
      </c>
      <c r="C1078" t="s">
        <v>650</v>
      </c>
      <c r="D1078" s="230">
        <v>0</v>
      </c>
      <c r="E1078" t="s">
        <v>714</v>
      </c>
    </row>
    <row r="1079" spans="1:5" hidden="1" x14ac:dyDescent="0.3">
      <c r="A1079" t="s">
        <v>557</v>
      </c>
      <c r="B1079" t="s">
        <v>713</v>
      </c>
      <c r="C1079" t="s">
        <v>651</v>
      </c>
      <c r="D1079" s="230">
        <v>0</v>
      </c>
      <c r="E1079" t="s">
        <v>714</v>
      </c>
    </row>
    <row r="1080" spans="1:5" hidden="1" x14ac:dyDescent="0.3">
      <c r="A1080" t="s">
        <v>557</v>
      </c>
      <c r="B1080" t="s">
        <v>713</v>
      </c>
      <c r="C1080" t="s">
        <v>652</v>
      </c>
      <c r="D1080" s="230">
        <v>0</v>
      </c>
      <c r="E1080" t="s">
        <v>714</v>
      </c>
    </row>
    <row r="1081" spans="1:5" hidden="1" x14ac:dyDescent="0.3">
      <c r="A1081" t="s">
        <v>557</v>
      </c>
      <c r="B1081" t="s">
        <v>713</v>
      </c>
      <c r="C1081" t="s">
        <v>653</v>
      </c>
      <c r="D1081" s="230">
        <v>0</v>
      </c>
      <c r="E1081" t="s">
        <v>714</v>
      </c>
    </row>
    <row r="1082" spans="1:5" hidden="1" x14ac:dyDescent="0.3">
      <c r="A1082" t="s">
        <v>557</v>
      </c>
      <c r="B1082" t="s">
        <v>713</v>
      </c>
      <c r="C1082" t="s">
        <v>654</v>
      </c>
      <c r="D1082" s="230">
        <v>0</v>
      </c>
      <c r="E1082" t="s">
        <v>714</v>
      </c>
    </row>
    <row r="1083" spans="1:5" hidden="1" x14ac:dyDescent="0.3">
      <c r="A1083" t="s">
        <v>557</v>
      </c>
      <c r="B1083" t="s">
        <v>713</v>
      </c>
      <c r="C1083" t="s">
        <v>655</v>
      </c>
      <c r="D1083" s="230">
        <v>0</v>
      </c>
      <c r="E1083" t="s">
        <v>714</v>
      </c>
    </row>
    <row r="1084" spans="1:5" hidden="1" x14ac:dyDescent="0.3">
      <c r="A1084" t="s">
        <v>557</v>
      </c>
      <c r="B1084" t="s">
        <v>713</v>
      </c>
      <c r="C1084" t="s">
        <v>656</v>
      </c>
      <c r="D1084" s="230">
        <v>0</v>
      </c>
      <c r="E1084" t="s">
        <v>714</v>
      </c>
    </row>
    <row r="1085" spans="1:5" hidden="1" x14ac:dyDescent="0.3">
      <c r="A1085" t="s">
        <v>557</v>
      </c>
      <c r="B1085" t="s">
        <v>713</v>
      </c>
      <c r="C1085" t="s">
        <v>657</v>
      </c>
      <c r="D1085" s="230">
        <v>0</v>
      </c>
      <c r="E1085" t="s">
        <v>714</v>
      </c>
    </row>
    <row r="1086" spans="1:5" hidden="1" x14ac:dyDescent="0.3">
      <c r="A1086" t="s">
        <v>557</v>
      </c>
      <c r="B1086" t="s">
        <v>713</v>
      </c>
      <c r="C1086" t="s">
        <v>658</v>
      </c>
      <c r="D1086" s="230">
        <v>0</v>
      </c>
      <c r="E1086" t="s">
        <v>714</v>
      </c>
    </row>
    <row r="1087" spans="1:5" hidden="1" x14ac:dyDescent="0.3">
      <c r="A1087" t="s">
        <v>557</v>
      </c>
      <c r="B1087" t="s">
        <v>713</v>
      </c>
      <c r="C1087" t="s">
        <v>659</v>
      </c>
      <c r="D1087" s="230">
        <v>0</v>
      </c>
      <c r="E1087" t="s">
        <v>714</v>
      </c>
    </row>
    <row r="1088" spans="1:5" hidden="1" x14ac:dyDescent="0.3">
      <c r="A1088" t="s">
        <v>557</v>
      </c>
      <c r="B1088" t="s">
        <v>713</v>
      </c>
      <c r="C1088" t="s">
        <v>660</v>
      </c>
      <c r="D1088" s="230">
        <v>0</v>
      </c>
      <c r="E1088" t="s">
        <v>714</v>
      </c>
    </row>
    <row r="1089" spans="1:5" hidden="1" x14ac:dyDescent="0.3">
      <c r="A1089" t="s">
        <v>557</v>
      </c>
      <c r="B1089" t="s">
        <v>713</v>
      </c>
      <c r="C1089" t="s">
        <v>661</v>
      </c>
      <c r="D1089" s="230">
        <v>0</v>
      </c>
      <c r="E1089" t="s">
        <v>714</v>
      </c>
    </row>
    <row r="1090" spans="1:5" hidden="1" x14ac:dyDescent="0.3">
      <c r="A1090" t="s">
        <v>557</v>
      </c>
      <c r="B1090" t="s">
        <v>713</v>
      </c>
      <c r="C1090" t="s">
        <v>662</v>
      </c>
      <c r="D1090" s="230">
        <v>0</v>
      </c>
      <c r="E1090" t="s">
        <v>714</v>
      </c>
    </row>
    <row r="1091" spans="1:5" hidden="1" x14ac:dyDescent="0.3">
      <c r="A1091" t="s">
        <v>557</v>
      </c>
      <c r="B1091" t="s">
        <v>713</v>
      </c>
      <c r="C1091" t="s">
        <v>663</v>
      </c>
      <c r="D1091" s="230">
        <v>0</v>
      </c>
      <c r="E1091" t="s">
        <v>714</v>
      </c>
    </row>
    <row r="1092" spans="1:5" hidden="1" x14ac:dyDescent="0.3">
      <c r="A1092" t="s">
        <v>557</v>
      </c>
      <c r="B1092" t="s">
        <v>713</v>
      </c>
      <c r="C1092" t="s">
        <v>664</v>
      </c>
      <c r="D1092" s="230">
        <v>0</v>
      </c>
      <c r="E1092" t="s">
        <v>714</v>
      </c>
    </row>
    <row r="1093" spans="1:5" hidden="1" x14ac:dyDescent="0.3">
      <c r="A1093" t="s">
        <v>557</v>
      </c>
      <c r="B1093" t="s">
        <v>713</v>
      </c>
      <c r="C1093" t="s">
        <v>665</v>
      </c>
      <c r="D1093" s="230">
        <v>0</v>
      </c>
      <c r="E1093" t="s">
        <v>714</v>
      </c>
    </row>
    <row r="1094" spans="1:5" hidden="1" x14ac:dyDescent="0.3">
      <c r="A1094" t="s">
        <v>557</v>
      </c>
      <c r="B1094" t="s">
        <v>713</v>
      </c>
      <c r="C1094" t="s">
        <v>666</v>
      </c>
      <c r="D1094" s="230">
        <v>0</v>
      </c>
      <c r="E1094" t="s">
        <v>714</v>
      </c>
    </row>
    <row r="1095" spans="1:5" hidden="1" x14ac:dyDescent="0.3">
      <c r="A1095" t="s">
        <v>557</v>
      </c>
      <c r="B1095" t="s">
        <v>713</v>
      </c>
      <c r="C1095" t="s">
        <v>667</v>
      </c>
      <c r="D1095" s="230">
        <v>0</v>
      </c>
      <c r="E1095" t="s">
        <v>714</v>
      </c>
    </row>
    <row r="1096" spans="1:5" hidden="1" x14ac:dyDescent="0.3">
      <c r="A1096" t="s">
        <v>557</v>
      </c>
      <c r="B1096" t="s">
        <v>713</v>
      </c>
      <c r="C1096" t="s">
        <v>668</v>
      </c>
      <c r="D1096" s="230">
        <v>0</v>
      </c>
      <c r="E1096" t="s">
        <v>714</v>
      </c>
    </row>
    <row r="1097" spans="1:5" hidden="1" x14ac:dyDescent="0.3">
      <c r="A1097" t="s">
        <v>557</v>
      </c>
      <c r="B1097" t="s">
        <v>713</v>
      </c>
      <c r="C1097" t="s">
        <v>669</v>
      </c>
      <c r="D1097" s="230">
        <v>0</v>
      </c>
      <c r="E1097" t="s">
        <v>714</v>
      </c>
    </row>
    <row r="1098" spans="1:5" hidden="1" x14ac:dyDescent="0.3">
      <c r="A1098" t="s">
        <v>557</v>
      </c>
      <c r="B1098" t="s">
        <v>713</v>
      </c>
      <c r="C1098" t="s">
        <v>670</v>
      </c>
      <c r="D1098" s="230">
        <v>0</v>
      </c>
      <c r="E1098" t="s">
        <v>714</v>
      </c>
    </row>
    <row r="1099" spans="1:5" hidden="1" x14ac:dyDescent="0.3">
      <c r="A1099" t="s">
        <v>557</v>
      </c>
      <c r="B1099" t="s">
        <v>713</v>
      </c>
      <c r="C1099" t="s">
        <v>671</v>
      </c>
      <c r="D1099" s="230">
        <v>0</v>
      </c>
      <c r="E1099" t="s">
        <v>714</v>
      </c>
    </row>
    <row r="1100" spans="1:5" hidden="1" x14ac:dyDescent="0.3">
      <c r="A1100" t="s">
        <v>557</v>
      </c>
      <c r="B1100" t="s">
        <v>713</v>
      </c>
      <c r="C1100" t="s">
        <v>672</v>
      </c>
      <c r="D1100" s="230">
        <v>0</v>
      </c>
      <c r="E1100" t="s">
        <v>714</v>
      </c>
    </row>
    <row r="1101" spans="1:5" hidden="1" x14ac:dyDescent="0.3">
      <c r="A1101" t="s">
        <v>557</v>
      </c>
      <c r="B1101" t="s">
        <v>713</v>
      </c>
      <c r="C1101" t="s">
        <v>673</v>
      </c>
      <c r="D1101" s="230">
        <v>0</v>
      </c>
      <c r="E1101" t="s">
        <v>714</v>
      </c>
    </row>
    <row r="1102" spans="1:5" hidden="1" x14ac:dyDescent="0.3">
      <c r="A1102" t="s">
        <v>557</v>
      </c>
      <c r="B1102" t="s">
        <v>713</v>
      </c>
      <c r="C1102" t="s">
        <v>674</v>
      </c>
      <c r="D1102" s="230">
        <v>0</v>
      </c>
      <c r="E1102" t="s">
        <v>714</v>
      </c>
    </row>
    <row r="1103" spans="1:5" hidden="1" x14ac:dyDescent="0.3">
      <c r="A1103" t="s">
        <v>557</v>
      </c>
      <c r="B1103" t="s">
        <v>713</v>
      </c>
      <c r="C1103" t="s">
        <v>675</v>
      </c>
      <c r="D1103" s="230">
        <v>0</v>
      </c>
      <c r="E1103" t="s">
        <v>714</v>
      </c>
    </row>
    <row r="1104" spans="1:5" hidden="1" x14ac:dyDescent="0.3">
      <c r="A1104" t="s">
        <v>557</v>
      </c>
      <c r="B1104" t="s">
        <v>713</v>
      </c>
      <c r="C1104" t="s">
        <v>676</v>
      </c>
      <c r="D1104" s="230">
        <v>0</v>
      </c>
      <c r="E1104" t="s">
        <v>714</v>
      </c>
    </row>
    <row r="1105" spans="1:5" hidden="1" x14ac:dyDescent="0.3">
      <c r="A1105" t="s">
        <v>557</v>
      </c>
      <c r="B1105" t="s">
        <v>713</v>
      </c>
      <c r="C1105" t="s">
        <v>677</v>
      </c>
      <c r="D1105" s="230">
        <v>0</v>
      </c>
      <c r="E1105" t="s">
        <v>714</v>
      </c>
    </row>
    <row r="1106" spans="1:5" hidden="1" x14ac:dyDescent="0.3">
      <c r="A1106" t="s">
        <v>557</v>
      </c>
      <c r="B1106" t="s">
        <v>713</v>
      </c>
      <c r="C1106" t="s">
        <v>201</v>
      </c>
      <c r="D1106" s="230">
        <v>-8752.33</v>
      </c>
      <c r="E1106" t="s">
        <v>714</v>
      </c>
    </row>
    <row r="1107" spans="1:5" hidden="1" x14ac:dyDescent="0.3">
      <c r="A1107" t="s">
        <v>557</v>
      </c>
      <c r="B1107" t="s">
        <v>713</v>
      </c>
      <c r="C1107" t="s">
        <v>203</v>
      </c>
      <c r="D1107" s="230">
        <v>-8752.33</v>
      </c>
      <c r="E1107" t="s">
        <v>714</v>
      </c>
    </row>
    <row r="1108" spans="1:5" hidden="1" x14ac:dyDescent="0.3">
      <c r="A1108" t="s">
        <v>557</v>
      </c>
      <c r="B1108" t="s">
        <v>713</v>
      </c>
      <c r="C1108" t="s">
        <v>678</v>
      </c>
      <c r="D1108" s="230">
        <v>4376.17</v>
      </c>
      <c r="E1108" t="s">
        <v>714</v>
      </c>
    </row>
    <row r="1109" spans="1:5" hidden="1" x14ac:dyDescent="0.3">
      <c r="A1109" t="s">
        <v>557</v>
      </c>
      <c r="B1109" t="s">
        <v>713</v>
      </c>
      <c r="C1109" t="s">
        <v>205</v>
      </c>
      <c r="D1109" s="230">
        <v>-18748.599999999999</v>
      </c>
      <c r="E1109" t="s">
        <v>714</v>
      </c>
    </row>
    <row r="1110" spans="1:5" hidden="1" x14ac:dyDescent="0.3">
      <c r="A1110" t="s">
        <v>557</v>
      </c>
      <c r="B1110" t="s">
        <v>713</v>
      </c>
      <c r="C1110" t="s">
        <v>679</v>
      </c>
      <c r="D1110" s="230">
        <v>-4833.3599999999997</v>
      </c>
      <c r="E1110" t="s">
        <v>714</v>
      </c>
    </row>
    <row r="1111" spans="1:5" hidden="1" x14ac:dyDescent="0.3">
      <c r="A1111" t="s">
        <v>557</v>
      </c>
      <c r="B1111" t="s">
        <v>713</v>
      </c>
      <c r="C1111" t="s">
        <v>680</v>
      </c>
      <c r="D1111" s="230">
        <v>0</v>
      </c>
      <c r="E1111" t="s">
        <v>714</v>
      </c>
    </row>
    <row r="1112" spans="1:5" hidden="1" x14ac:dyDescent="0.3">
      <c r="A1112" t="s">
        <v>557</v>
      </c>
      <c r="B1112" t="s">
        <v>713</v>
      </c>
      <c r="C1112" t="s">
        <v>681</v>
      </c>
      <c r="D1112" s="230">
        <v>0</v>
      </c>
      <c r="E1112" t="s">
        <v>714</v>
      </c>
    </row>
    <row r="1113" spans="1:5" hidden="1" x14ac:dyDescent="0.3">
      <c r="A1113" t="s">
        <v>557</v>
      </c>
      <c r="B1113" t="s">
        <v>713</v>
      </c>
      <c r="C1113" t="s">
        <v>682</v>
      </c>
      <c r="D1113" s="230">
        <v>-4967.17</v>
      </c>
      <c r="E1113" t="s">
        <v>714</v>
      </c>
    </row>
    <row r="1114" spans="1:5" hidden="1" x14ac:dyDescent="0.3">
      <c r="A1114" t="s">
        <v>557</v>
      </c>
      <c r="B1114" t="s">
        <v>713</v>
      </c>
      <c r="C1114" t="s">
        <v>683</v>
      </c>
      <c r="D1114" s="230">
        <v>-1488.96</v>
      </c>
      <c r="E1114" t="s">
        <v>714</v>
      </c>
    </row>
    <row r="1115" spans="1:5" hidden="1" x14ac:dyDescent="0.3">
      <c r="A1115" t="s">
        <v>557</v>
      </c>
      <c r="B1115" t="s">
        <v>713</v>
      </c>
      <c r="C1115" t="s">
        <v>684</v>
      </c>
      <c r="D1115" s="230">
        <v>-1673.59</v>
      </c>
      <c r="E1115" t="s">
        <v>714</v>
      </c>
    </row>
    <row r="1116" spans="1:5" hidden="1" x14ac:dyDescent="0.3">
      <c r="A1116" t="s">
        <v>557</v>
      </c>
      <c r="B1116" t="s">
        <v>713</v>
      </c>
      <c r="C1116" t="s">
        <v>685</v>
      </c>
      <c r="D1116" s="230">
        <v>-500.29</v>
      </c>
      <c r="E1116" t="s">
        <v>714</v>
      </c>
    </row>
    <row r="1117" spans="1:5" hidden="1" x14ac:dyDescent="0.3">
      <c r="A1117" t="s">
        <v>557</v>
      </c>
      <c r="B1117" t="s">
        <v>713</v>
      </c>
      <c r="C1117" t="s">
        <v>686</v>
      </c>
      <c r="D1117" s="230">
        <v>0</v>
      </c>
      <c r="E1117" t="s">
        <v>714</v>
      </c>
    </row>
    <row r="1118" spans="1:5" hidden="1" x14ac:dyDescent="0.3">
      <c r="A1118" t="s">
        <v>557</v>
      </c>
      <c r="B1118" t="s">
        <v>713</v>
      </c>
      <c r="C1118" t="s">
        <v>687</v>
      </c>
      <c r="D1118" s="230">
        <v>0</v>
      </c>
      <c r="E1118" t="s">
        <v>714</v>
      </c>
    </row>
    <row r="1119" spans="1:5" hidden="1" x14ac:dyDescent="0.3">
      <c r="A1119" t="s">
        <v>557</v>
      </c>
      <c r="B1119" t="s">
        <v>713</v>
      </c>
      <c r="C1119" t="s">
        <v>688</v>
      </c>
      <c r="D1119" s="230">
        <v>0</v>
      </c>
      <c r="E1119" t="s">
        <v>714</v>
      </c>
    </row>
    <row r="1120" spans="1:5" hidden="1" x14ac:dyDescent="0.3">
      <c r="A1120" t="s">
        <v>557</v>
      </c>
      <c r="B1120" t="s">
        <v>713</v>
      </c>
      <c r="C1120" t="s">
        <v>689</v>
      </c>
      <c r="D1120" s="230">
        <v>0</v>
      </c>
      <c r="E1120" t="s">
        <v>714</v>
      </c>
    </row>
    <row r="1121" spans="1:5" hidden="1" x14ac:dyDescent="0.3">
      <c r="A1121" t="s">
        <v>557</v>
      </c>
      <c r="B1121" t="s">
        <v>713</v>
      </c>
      <c r="C1121" t="s">
        <v>690</v>
      </c>
      <c r="D1121" s="230">
        <v>-4000</v>
      </c>
      <c r="E1121" t="s">
        <v>714</v>
      </c>
    </row>
    <row r="1122" spans="1:5" hidden="1" x14ac:dyDescent="0.3">
      <c r="A1122" t="s">
        <v>557</v>
      </c>
      <c r="B1122" t="s">
        <v>713</v>
      </c>
      <c r="C1122" t="s">
        <v>691</v>
      </c>
      <c r="D1122" s="230">
        <v>0</v>
      </c>
      <c r="E1122" t="s">
        <v>714</v>
      </c>
    </row>
    <row r="1123" spans="1:5" hidden="1" x14ac:dyDescent="0.3">
      <c r="A1123" t="s">
        <v>557</v>
      </c>
      <c r="B1123" t="s">
        <v>713</v>
      </c>
      <c r="C1123" t="s">
        <v>692</v>
      </c>
      <c r="D1123" s="230">
        <v>-1285.22</v>
      </c>
      <c r="E1123" t="s">
        <v>714</v>
      </c>
    </row>
    <row r="1124" spans="1:5" hidden="1" x14ac:dyDescent="0.3">
      <c r="A1124" t="s">
        <v>557</v>
      </c>
      <c r="B1124" t="s">
        <v>713</v>
      </c>
      <c r="C1124" t="s">
        <v>693</v>
      </c>
      <c r="D1124" s="230">
        <v>0</v>
      </c>
      <c r="E1124" t="s">
        <v>714</v>
      </c>
    </row>
    <row r="1125" spans="1:5" hidden="1" x14ac:dyDescent="0.3">
      <c r="A1125" t="s">
        <v>557</v>
      </c>
      <c r="B1125" t="s">
        <v>713</v>
      </c>
      <c r="C1125" t="s">
        <v>694</v>
      </c>
      <c r="D1125" s="230">
        <v>0</v>
      </c>
      <c r="E1125" t="s">
        <v>714</v>
      </c>
    </row>
    <row r="1126" spans="1:5" hidden="1" x14ac:dyDescent="0.3">
      <c r="A1126" t="s">
        <v>557</v>
      </c>
      <c r="B1126" t="s">
        <v>713</v>
      </c>
      <c r="C1126" t="s">
        <v>238</v>
      </c>
      <c r="D1126" s="230">
        <v>-6981.45</v>
      </c>
      <c r="E1126" t="s">
        <v>714</v>
      </c>
    </row>
    <row r="1127" spans="1:5" hidden="1" x14ac:dyDescent="0.3">
      <c r="A1127" t="s">
        <v>557</v>
      </c>
      <c r="B1127" t="s">
        <v>713</v>
      </c>
      <c r="C1127" t="s">
        <v>695</v>
      </c>
      <c r="D1127" s="230">
        <v>-6907.98</v>
      </c>
      <c r="E1127" t="s">
        <v>714</v>
      </c>
    </row>
    <row r="1128" spans="1:5" hidden="1" x14ac:dyDescent="0.3">
      <c r="A1128" t="s">
        <v>557</v>
      </c>
      <c r="B1128" t="s">
        <v>713</v>
      </c>
      <c r="C1128" t="s">
        <v>696</v>
      </c>
      <c r="D1128" s="230">
        <v>0</v>
      </c>
      <c r="E1128" t="s">
        <v>714</v>
      </c>
    </row>
    <row r="1129" spans="1:5" hidden="1" x14ac:dyDescent="0.3">
      <c r="A1129" t="s">
        <v>557</v>
      </c>
      <c r="B1129" t="s">
        <v>713</v>
      </c>
      <c r="C1129" t="s">
        <v>697</v>
      </c>
      <c r="D1129" s="230">
        <v>0</v>
      </c>
      <c r="E1129" t="s">
        <v>714</v>
      </c>
    </row>
    <row r="1130" spans="1:5" hidden="1" x14ac:dyDescent="0.3">
      <c r="A1130" t="s">
        <v>557</v>
      </c>
      <c r="B1130" t="s">
        <v>713</v>
      </c>
      <c r="C1130" t="s">
        <v>698</v>
      </c>
      <c r="D1130" s="230">
        <v>-73.47</v>
      </c>
      <c r="E1130" t="s">
        <v>714</v>
      </c>
    </row>
    <row r="1131" spans="1:5" hidden="1" x14ac:dyDescent="0.3">
      <c r="A1131" t="s">
        <v>557</v>
      </c>
      <c r="B1131" t="s">
        <v>713</v>
      </c>
      <c r="C1131" t="s">
        <v>699</v>
      </c>
      <c r="D1131" s="230">
        <v>0</v>
      </c>
      <c r="E1131" t="s">
        <v>714</v>
      </c>
    </row>
    <row r="1132" spans="1:5" hidden="1" x14ac:dyDescent="0.3">
      <c r="A1132" t="s">
        <v>557</v>
      </c>
      <c r="B1132" t="s">
        <v>713</v>
      </c>
      <c r="C1132" t="s">
        <v>245</v>
      </c>
      <c r="D1132" s="230">
        <v>-7227.56</v>
      </c>
      <c r="E1132" t="s">
        <v>714</v>
      </c>
    </row>
    <row r="1133" spans="1:5" hidden="1" x14ac:dyDescent="0.3">
      <c r="A1133" t="s">
        <v>557</v>
      </c>
      <c r="B1133" t="s">
        <v>713</v>
      </c>
      <c r="C1133" t="s">
        <v>700</v>
      </c>
      <c r="D1133" s="230">
        <v>-570</v>
      </c>
      <c r="E1133" t="s">
        <v>714</v>
      </c>
    </row>
    <row r="1134" spans="1:5" hidden="1" x14ac:dyDescent="0.3">
      <c r="A1134" t="s">
        <v>557</v>
      </c>
      <c r="B1134" t="s">
        <v>713</v>
      </c>
      <c r="C1134" t="s">
        <v>701</v>
      </c>
      <c r="D1134" s="230">
        <v>-214.56</v>
      </c>
      <c r="E1134" t="s">
        <v>714</v>
      </c>
    </row>
    <row r="1135" spans="1:5" hidden="1" x14ac:dyDescent="0.3">
      <c r="A1135" t="s">
        <v>557</v>
      </c>
      <c r="B1135" t="s">
        <v>713</v>
      </c>
      <c r="C1135" t="s">
        <v>702</v>
      </c>
      <c r="D1135" s="230">
        <v>0</v>
      </c>
      <c r="E1135" t="s">
        <v>714</v>
      </c>
    </row>
    <row r="1136" spans="1:5" hidden="1" x14ac:dyDescent="0.3">
      <c r="A1136" t="s">
        <v>557</v>
      </c>
      <c r="B1136" t="s">
        <v>713</v>
      </c>
      <c r="C1136" t="s">
        <v>703</v>
      </c>
      <c r="D1136" s="230">
        <v>0</v>
      </c>
      <c r="E1136" t="s">
        <v>714</v>
      </c>
    </row>
    <row r="1137" spans="1:5" hidden="1" x14ac:dyDescent="0.3">
      <c r="A1137" t="s">
        <v>557</v>
      </c>
      <c r="B1137" t="s">
        <v>713</v>
      </c>
      <c r="C1137" t="s">
        <v>704</v>
      </c>
      <c r="D1137" s="230">
        <v>0</v>
      </c>
      <c r="E1137" t="s">
        <v>714</v>
      </c>
    </row>
    <row r="1138" spans="1:5" hidden="1" x14ac:dyDescent="0.3">
      <c r="A1138" t="s">
        <v>557</v>
      </c>
      <c r="B1138" t="s">
        <v>713</v>
      </c>
      <c r="C1138" t="s">
        <v>705</v>
      </c>
      <c r="D1138" s="230">
        <v>-6443</v>
      </c>
      <c r="E1138" t="s">
        <v>714</v>
      </c>
    </row>
    <row r="1139" spans="1:5" hidden="1" x14ac:dyDescent="0.3">
      <c r="A1139" t="s">
        <v>557</v>
      </c>
      <c r="B1139" t="s">
        <v>713</v>
      </c>
      <c r="C1139" t="s">
        <v>706</v>
      </c>
      <c r="D1139" s="230">
        <v>0</v>
      </c>
      <c r="E1139" t="s">
        <v>714</v>
      </c>
    </row>
    <row r="1140" spans="1:5" hidden="1" x14ac:dyDescent="0.3">
      <c r="A1140" t="s">
        <v>557</v>
      </c>
      <c r="B1140" t="s">
        <v>713</v>
      </c>
      <c r="C1140" t="s">
        <v>254</v>
      </c>
      <c r="D1140" s="230">
        <v>-0.37</v>
      </c>
      <c r="E1140" t="s">
        <v>714</v>
      </c>
    </row>
    <row r="1141" spans="1:5" hidden="1" x14ac:dyDescent="0.3">
      <c r="A1141" t="s">
        <v>557</v>
      </c>
      <c r="B1141" t="s">
        <v>713</v>
      </c>
      <c r="C1141" t="s">
        <v>255</v>
      </c>
      <c r="D1141" s="230">
        <v>-0.36</v>
      </c>
      <c r="E1141" t="s">
        <v>714</v>
      </c>
    </row>
    <row r="1142" spans="1:5" hidden="1" x14ac:dyDescent="0.3">
      <c r="A1142" t="s">
        <v>557</v>
      </c>
      <c r="B1142" t="s">
        <v>713</v>
      </c>
      <c r="C1142" t="s">
        <v>256</v>
      </c>
      <c r="D1142" s="230">
        <v>-51752.37</v>
      </c>
      <c r="E1142" t="s">
        <v>714</v>
      </c>
    </row>
    <row r="1143" spans="1:5" hidden="1" x14ac:dyDescent="0.3">
      <c r="A1143" t="s">
        <v>557</v>
      </c>
      <c r="B1143" t="s">
        <v>713</v>
      </c>
      <c r="C1143" t="s">
        <v>257</v>
      </c>
      <c r="D1143" s="230">
        <v>-49305.7</v>
      </c>
      <c r="E1143" t="s">
        <v>714</v>
      </c>
    </row>
    <row r="1144" spans="1:5" hidden="1" x14ac:dyDescent="0.3">
      <c r="A1144" t="s">
        <v>557</v>
      </c>
      <c r="B1144" t="s">
        <v>713</v>
      </c>
      <c r="C1144" t="s">
        <v>258</v>
      </c>
      <c r="D1144" s="230">
        <v>0</v>
      </c>
      <c r="E1144" t="s">
        <v>714</v>
      </c>
    </row>
    <row r="1145" spans="1:5" hidden="1" x14ac:dyDescent="0.3">
      <c r="A1145" t="s">
        <v>557</v>
      </c>
      <c r="B1145" t="s">
        <v>713</v>
      </c>
      <c r="C1145" t="s">
        <v>259</v>
      </c>
      <c r="D1145" s="230">
        <v>-2446.67</v>
      </c>
      <c r="E1145" t="s">
        <v>714</v>
      </c>
    </row>
    <row r="1146" spans="1:5" hidden="1" x14ac:dyDescent="0.3">
      <c r="A1146" t="s">
        <v>557</v>
      </c>
      <c r="B1146" t="s">
        <v>713</v>
      </c>
      <c r="C1146" t="s">
        <v>260</v>
      </c>
      <c r="D1146" s="230">
        <v>0</v>
      </c>
      <c r="E1146" t="s">
        <v>714</v>
      </c>
    </row>
    <row r="1147" spans="1:5" hidden="1" x14ac:dyDescent="0.3">
      <c r="A1147" t="s">
        <v>557</v>
      </c>
      <c r="B1147" t="s">
        <v>713</v>
      </c>
      <c r="C1147" t="s">
        <v>261</v>
      </c>
      <c r="D1147" s="230">
        <v>0</v>
      </c>
      <c r="E1147" t="s">
        <v>714</v>
      </c>
    </row>
    <row r="1148" spans="1:5" hidden="1" x14ac:dyDescent="0.3">
      <c r="A1148" t="s">
        <v>557</v>
      </c>
      <c r="B1148" t="s">
        <v>713</v>
      </c>
      <c r="C1148" t="s">
        <v>262</v>
      </c>
      <c r="D1148" s="230">
        <v>0</v>
      </c>
      <c r="E1148" t="s">
        <v>714</v>
      </c>
    </row>
    <row r="1149" spans="1:5" hidden="1" x14ac:dyDescent="0.3">
      <c r="A1149" t="s">
        <v>557</v>
      </c>
      <c r="B1149" t="s">
        <v>713</v>
      </c>
      <c r="C1149" t="s">
        <v>263</v>
      </c>
      <c r="D1149" s="230">
        <v>0</v>
      </c>
      <c r="E1149" t="s">
        <v>714</v>
      </c>
    </row>
    <row r="1150" spans="1:5" hidden="1" x14ac:dyDescent="0.3">
      <c r="A1150" t="s">
        <v>557</v>
      </c>
      <c r="B1150" t="s">
        <v>713</v>
      </c>
      <c r="C1150" t="s">
        <v>44</v>
      </c>
      <c r="D1150" s="230">
        <v>-0.13</v>
      </c>
      <c r="E1150" t="s">
        <v>714</v>
      </c>
    </row>
    <row r="1151" spans="1:5" hidden="1" x14ac:dyDescent="0.3">
      <c r="A1151" t="s">
        <v>557</v>
      </c>
      <c r="B1151" t="s">
        <v>713</v>
      </c>
      <c r="C1151" t="s">
        <v>264</v>
      </c>
      <c r="D1151" s="230">
        <v>-36636.06</v>
      </c>
      <c r="E1151" t="s">
        <v>714</v>
      </c>
    </row>
    <row r="1152" spans="1:5" hidden="1" x14ac:dyDescent="0.3">
      <c r="A1152" t="s">
        <v>557</v>
      </c>
      <c r="B1152" t="s">
        <v>713</v>
      </c>
      <c r="C1152" t="s">
        <v>265</v>
      </c>
      <c r="D1152" s="230">
        <v>-4913.2700000000004</v>
      </c>
      <c r="E1152" t="s">
        <v>714</v>
      </c>
    </row>
    <row r="1153" spans="1:5" hidden="1" x14ac:dyDescent="0.3">
      <c r="A1153" t="s">
        <v>557</v>
      </c>
      <c r="B1153" t="s">
        <v>713</v>
      </c>
      <c r="C1153" t="s">
        <v>266</v>
      </c>
      <c r="D1153" s="230">
        <v>-10162.16</v>
      </c>
      <c r="E1153" t="s">
        <v>714</v>
      </c>
    </row>
    <row r="1154" spans="1:5" hidden="1" x14ac:dyDescent="0.3">
      <c r="A1154" t="s">
        <v>557</v>
      </c>
      <c r="B1154" t="s">
        <v>713</v>
      </c>
      <c r="C1154" t="s">
        <v>267</v>
      </c>
      <c r="D1154" s="230">
        <v>-4787.88</v>
      </c>
      <c r="E1154" t="s">
        <v>714</v>
      </c>
    </row>
    <row r="1155" spans="1:5" hidden="1" x14ac:dyDescent="0.3">
      <c r="A1155" t="s">
        <v>557</v>
      </c>
      <c r="B1155" t="s">
        <v>713</v>
      </c>
      <c r="C1155" t="s">
        <v>268</v>
      </c>
      <c r="D1155" s="230">
        <v>-8768.5499999999993</v>
      </c>
      <c r="E1155" t="s">
        <v>714</v>
      </c>
    </row>
    <row r="1156" spans="1:5" hidden="1" x14ac:dyDescent="0.3">
      <c r="A1156" t="s">
        <v>557</v>
      </c>
      <c r="B1156" t="s">
        <v>713</v>
      </c>
      <c r="C1156" t="s">
        <v>269</v>
      </c>
      <c r="D1156" s="230">
        <v>0</v>
      </c>
      <c r="E1156" t="s">
        <v>714</v>
      </c>
    </row>
    <row r="1157" spans="1:5" hidden="1" x14ac:dyDescent="0.3">
      <c r="A1157" t="s">
        <v>557</v>
      </c>
      <c r="B1157" t="s">
        <v>713</v>
      </c>
      <c r="C1157" t="s">
        <v>270</v>
      </c>
      <c r="D1157" s="230">
        <v>-500</v>
      </c>
      <c r="E1157" t="s">
        <v>714</v>
      </c>
    </row>
    <row r="1158" spans="1:5" hidden="1" x14ac:dyDescent="0.3">
      <c r="A1158" t="s">
        <v>557</v>
      </c>
      <c r="B1158" t="s">
        <v>713</v>
      </c>
      <c r="C1158" t="s">
        <v>271</v>
      </c>
      <c r="D1158" s="230">
        <v>-870.96</v>
      </c>
      <c r="E1158" t="s">
        <v>714</v>
      </c>
    </row>
    <row r="1159" spans="1:5" hidden="1" x14ac:dyDescent="0.3">
      <c r="A1159" t="s">
        <v>557</v>
      </c>
      <c r="B1159" t="s">
        <v>713</v>
      </c>
      <c r="C1159" t="s">
        <v>272</v>
      </c>
      <c r="D1159" s="230">
        <v>-1120</v>
      </c>
      <c r="E1159" t="s">
        <v>714</v>
      </c>
    </row>
    <row r="1160" spans="1:5" hidden="1" x14ac:dyDescent="0.3">
      <c r="A1160" t="s">
        <v>557</v>
      </c>
      <c r="B1160" t="s">
        <v>713</v>
      </c>
      <c r="C1160" t="s">
        <v>273</v>
      </c>
      <c r="D1160" s="230">
        <v>-866.4</v>
      </c>
      <c r="E1160" t="s">
        <v>714</v>
      </c>
    </row>
    <row r="1161" spans="1:5" hidden="1" x14ac:dyDescent="0.3">
      <c r="A1161" t="s">
        <v>557</v>
      </c>
      <c r="B1161" t="s">
        <v>713</v>
      </c>
      <c r="C1161" t="s">
        <v>274</v>
      </c>
      <c r="D1161" s="230">
        <v>0</v>
      </c>
      <c r="E1161" t="s">
        <v>714</v>
      </c>
    </row>
    <row r="1162" spans="1:5" hidden="1" x14ac:dyDescent="0.3">
      <c r="A1162" t="s">
        <v>557</v>
      </c>
      <c r="B1162" t="s">
        <v>713</v>
      </c>
      <c r="C1162" t="s">
        <v>275</v>
      </c>
      <c r="D1162" s="230">
        <v>-598.16</v>
      </c>
      <c r="E1162" t="s">
        <v>714</v>
      </c>
    </row>
    <row r="1163" spans="1:5" hidden="1" x14ac:dyDescent="0.3">
      <c r="A1163" t="s">
        <v>557</v>
      </c>
      <c r="B1163" t="s">
        <v>713</v>
      </c>
      <c r="C1163" t="s">
        <v>276</v>
      </c>
      <c r="D1163" s="230">
        <v>-125</v>
      </c>
      <c r="E1163" t="s">
        <v>714</v>
      </c>
    </row>
    <row r="1164" spans="1:5" hidden="1" x14ac:dyDescent="0.3">
      <c r="A1164" t="s">
        <v>557</v>
      </c>
      <c r="B1164" t="s">
        <v>713</v>
      </c>
      <c r="C1164" t="s">
        <v>277</v>
      </c>
      <c r="D1164" s="230">
        <v>0</v>
      </c>
      <c r="E1164" t="s">
        <v>714</v>
      </c>
    </row>
    <row r="1165" spans="1:5" hidden="1" x14ac:dyDescent="0.3">
      <c r="A1165" t="s">
        <v>557</v>
      </c>
      <c r="B1165" t="s">
        <v>713</v>
      </c>
      <c r="C1165" t="s">
        <v>278</v>
      </c>
      <c r="D1165" s="230">
        <v>-3923.68</v>
      </c>
      <c r="E1165" t="s">
        <v>714</v>
      </c>
    </row>
    <row r="1166" spans="1:5" hidden="1" x14ac:dyDescent="0.3">
      <c r="A1166" t="s">
        <v>557</v>
      </c>
      <c r="B1166" t="s">
        <v>713</v>
      </c>
      <c r="C1166" t="s">
        <v>44</v>
      </c>
      <c r="D1166" s="230">
        <v>-0.09</v>
      </c>
      <c r="E1166" t="s">
        <v>714</v>
      </c>
    </row>
    <row r="1167" spans="1:5" hidden="1" x14ac:dyDescent="0.3">
      <c r="A1167" t="s">
        <v>557</v>
      </c>
      <c r="B1167" t="s">
        <v>713</v>
      </c>
      <c r="C1167" t="s">
        <v>279</v>
      </c>
      <c r="D1167" s="230">
        <v>-6459.72</v>
      </c>
      <c r="E1167" t="s">
        <v>714</v>
      </c>
    </row>
    <row r="1168" spans="1:5" hidden="1" x14ac:dyDescent="0.3">
      <c r="A1168" t="s">
        <v>557</v>
      </c>
      <c r="B1168" t="s">
        <v>713</v>
      </c>
      <c r="C1168" t="s">
        <v>280</v>
      </c>
      <c r="D1168" s="230">
        <v>-299.89999999999998</v>
      </c>
      <c r="E1168" t="s">
        <v>714</v>
      </c>
    </row>
    <row r="1169" spans="1:5" hidden="1" x14ac:dyDescent="0.3">
      <c r="A1169" t="s">
        <v>557</v>
      </c>
      <c r="B1169" t="s">
        <v>713</v>
      </c>
      <c r="C1169" t="s">
        <v>281</v>
      </c>
      <c r="D1169" s="230">
        <v>-363.52</v>
      </c>
      <c r="E1169" t="s">
        <v>714</v>
      </c>
    </row>
    <row r="1170" spans="1:5" hidden="1" x14ac:dyDescent="0.3">
      <c r="A1170" t="s">
        <v>557</v>
      </c>
      <c r="B1170" t="s">
        <v>713</v>
      </c>
      <c r="C1170" t="s">
        <v>282</v>
      </c>
      <c r="D1170" s="230">
        <v>-295.92</v>
      </c>
      <c r="E1170" t="s">
        <v>714</v>
      </c>
    </row>
    <row r="1171" spans="1:5" hidden="1" x14ac:dyDescent="0.3">
      <c r="A1171" t="s">
        <v>557</v>
      </c>
      <c r="B1171" t="s">
        <v>713</v>
      </c>
      <c r="C1171" t="s">
        <v>283</v>
      </c>
      <c r="D1171" s="230">
        <v>-236.23</v>
      </c>
      <c r="E1171" t="s">
        <v>714</v>
      </c>
    </row>
    <row r="1172" spans="1:5" hidden="1" x14ac:dyDescent="0.3">
      <c r="A1172" t="s">
        <v>557</v>
      </c>
      <c r="B1172" t="s">
        <v>713</v>
      </c>
      <c r="C1172" t="s">
        <v>284</v>
      </c>
      <c r="D1172" s="230">
        <v>-5264.15</v>
      </c>
      <c r="E1172" t="s">
        <v>714</v>
      </c>
    </row>
    <row r="1173" spans="1:5" hidden="1" x14ac:dyDescent="0.3">
      <c r="A1173" t="s">
        <v>557</v>
      </c>
      <c r="B1173" t="s">
        <v>713</v>
      </c>
      <c r="C1173" t="s">
        <v>285</v>
      </c>
      <c r="D1173" s="230">
        <v>0</v>
      </c>
      <c r="E1173" t="s">
        <v>714</v>
      </c>
    </row>
    <row r="1174" spans="1:5" hidden="1" x14ac:dyDescent="0.3">
      <c r="A1174" t="s">
        <v>557</v>
      </c>
      <c r="B1174" t="s">
        <v>713</v>
      </c>
      <c r="C1174" t="s">
        <v>286</v>
      </c>
      <c r="D1174" s="230">
        <v>0</v>
      </c>
      <c r="E1174" t="s">
        <v>714</v>
      </c>
    </row>
    <row r="1175" spans="1:5" hidden="1" x14ac:dyDescent="0.3">
      <c r="A1175" t="s">
        <v>557</v>
      </c>
      <c r="B1175" t="s">
        <v>713</v>
      </c>
      <c r="C1175" t="s">
        <v>44</v>
      </c>
      <c r="D1175" s="230">
        <v>-0.02</v>
      </c>
      <c r="E1175" t="s">
        <v>714</v>
      </c>
    </row>
    <row r="1176" spans="1:5" hidden="1" x14ac:dyDescent="0.3">
      <c r="A1176" t="s">
        <v>557</v>
      </c>
      <c r="B1176" t="s">
        <v>713</v>
      </c>
      <c r="C1176" t="s">
        <v>287</v>
      </c>
      <c r="D1176" s="230">
        <v>-12656.36</v>
      </c>
      <c r="E1176" t="s">
        <v>714</v>
      </c>
    </row>
    <row r="1177" spans="1:5" hidden="1" x14ac:dyDescent="0.3">
      <c r="A1177" t="s">
        <v>557</v>
      </c>
      <c r="B1177" t="s">
        <v>713</v>
      </c>
      <c r="C1177" t="s">
        <v>288</v>
      </c>
      <c r="D1177" s="230">
        <v>-11977.62</v>
      </c>
      <c r="E1177" t="s">
        <v>714</v>
      </c>
    </row>
    <row r="1178" spans="1:5" hidden="1" x14ac:dyDescent="0.3">
      <c r="A1178" t="s">
        <v>557</v>
      </c>
      <c r="B1178" t="s">
        <v>713</v>
      </c>
      <c r="C1178" t="s">
        <v>289</v>
      </c>
      <c r="D1178" s="230">
        <v>0</v>
      </c>
      <c r="E1178" t="s">
        <v>714</v>
      </c>
    </row>
    <row r="1179" spans="1:5" hidden="1" x14ac:dyDescent="0.3">
      <c r="A1179" t="s">
        <v>557</v>
      </c>
      <c r="B1179" t="s">
        <v>713</v>
      </c>
      <c r="C1179" t="s">
        <v>290</v>
      </c>
      <c r="D1179" s="230">
        <v>0</v>
      </c>
      <c r="E1179" t="s">
        <v>714</v>
      </c>
    </row>
    <row r="1180" spans="1:5" hidden="1" x14ac:dyDescent="0.3">
      <c r="A1180" t="s">
        <v>557</v>
      </c>
      <c r="B1180" t="s">
        <v>713</v>
      </c>
      <c r="C1180" t="s">
        <v>291</v>
      </c>
      <c r="D1180" s="230">
        <v>0</v>
      </c>
      <c r="E1180" t="s">
        <v>714</v>
      </c>
    </row>
    <row r="1181" spans="1:5" hidden="1" x14ac:dyDescent="0.3">
      <c r="A1181" t="s">
        <v>557</v>
      </c>
      <c r="B1181" t="s">
        <v>713</v>
      </c>
      <c r="C1181" t="s">
        <v>292</v>
      </c>
      <c r="D1181" s="230">
        <v>0</v>
      </c>
      <c r="E1181" t="s">
        <v>714</v>
      </c>
    </row>
    <row r="1182" spans="1:5" hidden="1" x14ac:dyDescent="0.3">
      <c r="A1182" t="s">
        <v>557</v>
      </c>
      <c r="B1182" t="s">
        <v>713</v>
      </c>
      <c r="C1182" t="s">
        <v>293</v>
      </c>
      <c r="D1182" s="230">
        <v>-678.74</v>
      </c>
      <c r="E1182" t="s">
        <v>714</v>
      </c>
    </row>
    <row r="1183" spans="1:5" hidden="1" x14ac:dyDescent="0.3">
      <c r="A1183" t="s">
        <v>557</v>
      </c>
      <c r="B1183" t="s">
        <v>713</v>
      </c>
      <c r="C1183" t="s">
        <v>294</v>
      </c>
      <c r="D1183" s="230">
        <v>-189.97</v>
      </c>
      <c r="E1183" t="s">
        <v>714</v>
      </c>
    </row>
    <row r="1184" spans="1:5" hidden="1" x14ac:dyDescent="0.3">
      <c r="A1184" t="s">
        <v>557</v>
      </c>
      <c r="B1184" t="s">
        <v>713</v>
      </c>
      <c r="C1184" t="s">
        <v>295</v>
      </c>
      <c r="D1184" s="230">
        <v>0</v>
      </c>
      <c r="E1184" t="s">
        <v>714</v>
      </c>
    </row>
    <row r="1185" spans="1:5" hidden="1" x14ac:dyDescent="0.3">
      <c r="A1185" t="s">
        <v>557</v>
      </c>
      <c r="B1185" t="s">
        <v>713</v>
      </c>
      <c r="C1185" t="s">
        <v>44</v>
      </c>
      <c r="D1185" s="230">
        <v>-0.03</v>
      </c>
      <c r="E1185" t="s">
        <v>714</v>
      </c>
    </row>
    <row r="1186" spans="1:5" hidden="1" x14ac:dyDescent="0.3">
      <c r="A1186" t="s">
        <v>557</v>
      </c>
      <c r="B1186" t="s">
        <v>713</v>
      </c>
      <c r="C1186" t="s">
        <v>296</v>
      </c>
      <c r="D1186" s="230">
        <v>-4724.7</v>
      </c>
      <c r="E1186" t="s">
        <v>714</v>
      </c>
    </row>
    <row r="1187" spans="1:5" hidden="1" x14ac:dyDescent="0.3">
      <c r="A1187" t="s">
        <v>557</v>
      </c>
      <c r="B1187" t="s">
        <v>713</v>
      </c>
      <c r="C1187" t="s">
        <v>297</v>
      </c>
      <c r="D1187" s="230">
        <v>-2000</v>
      </c>
      <c r="E1187" t="s">
        <v>714</v>
      </c>
    </row>
    <row r="1188" spans="1:5" hidden="1" x14ac:dyDescent="0.3">
      <c r="A1188" t="s">
        <v>557</v>
      </c>
      <c r="B1188" t="s">
        <v>713</v>
      </c>
      <c r="C1188" t="s">
        <v>298</v>
      </c>
      <c r="D1188" s="230">
        <v>-460</v>
      </c>
      <c r="E1188" t="s">
        <v>714</v>
      </c>
    </row>
    <row r="1189" spans="1:5" hidden="1" x14ac:dyDescent="0.3">
      <c r="A1189" t="s">
        <v>557</v>
      </c>
      <c r="B1189" t="s">
        <v>713</v>
      </c>
      <c r="C1189" t="s">
        <v>299</v>
      </c>
      <c r="D1189" s="230">
        <v>0</v>
      </c>
      <c r="E1189" t="s">
        <v>714</v>
      </c>
    </row>
    <row r="1190" spans="1:5" hidden="1" x14ac:dyDescent="0.3">
      <c r="A1190" t="s">
        <v>557</v>
      </c>
      <c r="B1190" t="s">
        <v>713</v>
      </c>
      <c r="C1190" t="s">
        <v>300</v>
      </c>
      <c r="D1190" s="230">
        <v>0</v>
      </c>
      <c r="E1190" t="s">
        <v>714</v>
      </c>
    </row>
    <row r="1191" spans="1:5" hidden="1" x14ac:dyDescent="0.3">
      <c r="A1191" t="s">
        <v>557</v>
      </c>
      <c r="B1191" t="s">
        <v>713</v>
      </c>
      <c r="C1191" t="s">
        <v>301</v>
      </c>
      <c r="D1191" s="230">
        <v>0</v>
      </c>
      <c r="E1191" t="s">
        <v>714</v>
      </c>
    </row>
    <row r="1192" spans="1:5" hidden="1" x14ac:dyDescent="0.3">
      <c r="A1192" t="s">
        <v>557</v>
      </c>
      <c r="B1192" t="s">
        <v>713</v>
      </c>
      <c r="C1192" t="s">
        <v>302</v>
      </c>
      <c r="D1192" s="230">
        <v>0</v>
      </c>
      <c r="E1192" t="s">
        <v>714</v>
      </c>
    </row>
    <row r="1193" spans="1:5" hidden="1" x14ac:dyDescent="0.3">
      <c r="A1193" t="s">
        <v>557</v>
      </c>
      <c r="B1193" t="s">
        <v>713</v>
      </c>
      <c r="C1193" t="s">
        <v>303</v>
      </c>
      <c r="D1193" s="230">
        <v>0</v>
      </c>
      <c r="E1193" t="s">
        <v>714</v>
      </c>
    </row>
    <row r="1194" spans="1:5" hidden="1" x14ac:dyDescent="0.3">
      <c r="A1194" t="s">
        <v>557</v>
      </c>
      <c r="B1194" t="s">
        <v>713</v>
      </c>
      <c r="C1194" t="s">
        <v>304</v>
      </c>
      <c r="D1194" s="230">
        <v>0</v>
      </c>
      <c r="E1194" t="s">
        <v>714</v>
      </c>
    </row>
    <row r="1195" spans="1:5" hidden="1" x14ac:dyDescent="0.3">
      <c r="A1195" t="s">
        <v>557</v>
      </c>
      <c r="B1195" t="s">
        <v>713</v>
      </c>
      <c r="C1195" t="s">
        <v>305</v>
      </c>
      <c r="D1195" s="230">
        <v>0</v>
      </c>
      <c r="E1195" t="s">
        <v>714</v>
      </c>
    </row>
    <row r="1196" spans="1:5" hidden="1" x14ac:dyDescent="0.3">
      <c r="A1196" t="s">
        <v>557</v>
      </c>
      <c r="B1196" t="s">
        <v>713</v>
      </c>
      <c r="C1196" t="s">
        <v>306</v>
      </c>
      <c r="D1196" s="230">
        <v>0</v>
      </c>
      <c r="E1196" t="s">
        <v>714</v>
      </c>
    </row>
    <row r="1197" spans="1:5" hidden="1" x14ac:dyDescent="0.3">
      <c r="A1197" t="s">
        <v>557</v>
      </c>
      <c r="B1197" t="s">
        <v>713</v>
      </c>
      <c r="C1197" t="s">
        <v>307</v>
      </c>
      <c r="D1197" s="230">
        <v>-2264.6999999999998</v>
      </c>
      <c r="E1197" t="s">
        <v>714</v>
      </c>
    </row>
    <row r="1198" spans="1:5" hidden="1" x14ac:dyDescent="0.3">
      <c r="A1198" t="s">
        <v>557</v>
      </c>
      <c r="B1198" t="s">
        <v>713</v>
      </c>
      <c r="C1198" t="s">
        <v>44</v>
      </c>
      <c r="D1198" s="230">
        <v>-0.01</v>
      </c>
      <c r="E1198" t="s">
        <v>714</v>
      </c>
    </row>
    <row r="1199" spans="1:5" hidden="1" x14ac:dyDescent="0.3">
      <c r="A1199" t="s">
        <v>557</v>
      </c>
      <c r="B1199" t="s">
        <v>713</v>
      </c>
      <c r="C1199" t="s">
        <v>308</v>
      </c>
      <c r="D1199" s="230">
        <v>-2187.5500000000002</v>
      </c>
      <c r="E1199" t="s">
        <v>714</v>
      </c>
    </row>
    <row r="1200" spans="1:5" hidden="1" x14ac:dyDescent="0.3">
      <c r="A1200" t="s">
        <v>557</v>
      </c>
      <c r="B1200" t="s">
        <v>713</v>
      </c>
      <c r="C1200" t="s">
        <v>309</v>
      </c>
      <c r="D1200" s="230">
        <v>-1412</v>
      </c>
      <c r="E1200" t="s">
        <v>714</v>
      </c>
    </row>
    <row r="1201" spans="1:5" hidden="1" x14ac:dyDescent="0.3">
      <c r="A1201" t="s">
        <v>557</v>
      </c>
      <c r="B1201" t="s">
        <v>713</v>
      </c>
      <c r="C1201" t="s">
        <v>310</v>
      </c>
      <c r="D1201" s="230">
        <v>0</v>
      </c>
      <c r="E1201" t="s">
        <v>714</v>
      </c>
    </row>
    <row r="1202" spans="1:5" hidden="1" x14ac:dyDescent="0.3">
      <c r="A1202" t="s">
        <v>557</v>
      </c>
      <c r="B1202" t="s">
        <v>713</v>
      </c>
      <c r="C1202" t="s">
        <v>311</v>
      </c>
      <c r="D1202" s="230">
        <v>-775.55</v>
      </c>
      <c r="E1202" t="s">
        <v>714</v>
      </c>
    </row>
    <row r="1203" spans="1:5" hidden="1" x14ac:dyDescent="0.3">
      <c r="A1203" t="s">
        <v>557</v>
      </c>
      <c r="B1203" t="s">
        <v>713</v>
      </c>
      <c r="C1203" t="s">
        <v>312</v>
      </c>
      <c r="D1203" s="230">
        <v>0</v>
      </c>
      <c r="E1203" t="s">
        <v>714</v>
      </c>
    </row>
    <row r="1204" spans="1:5" hidden="1" x14ac:dyDescent="0.3">
      <c r="A1204" t="s">
        <v>557</v>
      </c>
      <c r="B1204" t="s">
        <v>713</v>
      </c>
      <c r="C1204" t="s">
        <v>313</v>
      </c>
      <c r="D1204" s="230">
        <v>0</v>
      </c>
      <c r="E1204" t="s">
        <v>714</v>
      </c>
    </row>
    <row r="1205" spans="1:5" hidden="1" x14ac:dyDescent="0.3">
      <c r="A1205" t="s">
        <v>557</v>
      </c>
      <c r="B1205" t="s">
        <v>713</v>
      </c>
      <c r="C1205" t="s">
        <v>314</v>
      </c>
      <c r="D1205" s="230">
        <v>0</v>
      </c>
      <c r="E1205" t="s">
        <v>714</v>
      </c>
    </row>
    <row r="1206" spans="1:5" hidden="1" x14ac:dyDescent="0.3">
      <c r="A1206" t="s">
        <v>557</v>
      </c>
      <c r="B1206" t="s">
        <v>713</v>
      </c>
      <c r="C1206" t="s">
        <v>315</v>
      </c>
      <c r="D1206" s="230">
        <v>0</v>
      </c>
      <c r="E1206" t="s">
        <v>714</v>
      </c>
    </row>
    <row r="1207" spans="1:5" hidden="1" x14ac:dyDescent="0.3">
      <c r="A1207" t="s">
        <v>557</v>
      </c>
      <c r="B1207" t="s">
        <v>713</v>
      </c>
      <c r="C1207" t="s">
        <v>316</v>
      </c>
      <c r="D1207" s="230">
        <v>0</v>
      </c>
      <c r="E1207" t="s">
        <v>714</v>
      </c>
    </row>
    <row r="1208" spans="1:5" hidden="1" x14ac:dyDescent="0.3">
      <c r="A1208" t="s">
        <v>557</v>
      </c>
      <c r="B1208" t="s">
        <v>713</v>
      </c>
      <c r="C1208" t="s">
        <v>317</v>
      </c>
      <c r="D1208" s="230">
        <v>0</v>
      </c>
      <c r="E1208" t="s">
        <v>714</v>
      </c>
    </row>
    <row r="1209" spans="1:5" hidden="1" x14ac:dyDescent="0.3">
      <c r="A1209" t="s">
        <v>557</v>
      </c>
      <c r="B1209" t="s">
        <v>713</v>
      </c>
      <c r="C1209" t="s">
        <v>44</v>
      </c>
      <c r="D1209" s="230">
        <v>-0.01</v>
      </c>
      <c r="E1209" t="s">
        <v>714</v>
      </c>
    </row>
    <row r="1210" spans="1:5" hidden="1" x14ac:dyDescent="0.3">
      <c r="A1210" t="s">
        <v>557</v>
      </c>
      <c r="B1210" t="s">
        <v>713</v>
      </c>
      <c r="C1210" t="s">
        <v>318</v>
      </c>
      <c r="D1210" s="230">
        <v>-2148.7800000000002</v>
      </c>
      <c r="E1210" t="s">
        <v>714</v>
      </c>
    </row>
    <row r="1211" spans="1:5" hidden="1" x14ac:dyDescent="0.3">
      <c r="A1211" t="s">
        <v>557</v>
      </c>
      <c r="B1211" t="s">
        <v>713</v>
      </c>
      <c r="C1211" t="s">
        <v>319</v>
      </c>
      <c r="D1211" s="230">
        <v>-2148.7800000000002</v>
      </c>
      <c r="E1211" t="s">
        <v>714</v>
      </c>
    </row>
    <row r="1212" spans="1:5" hidden="1" x14ac:dyDescent="0.3">
      <c r="A1212" t="s">
        <v>557</v>
      </c>
      <c r="B1212" t="s">
        <v>713</v>
      </c>
      <c r="C1212" t="s">
        <v>320</v>
      </c>
      <c r="D1212" s="230">
        <v>0</v>
      </c>
      <c r="E1212" t="s">
        <v>714</v>
      </c>
    </row>
    <row r="1213" spans="1:5" hidden="1" x14ac:dyDescent="0.3">
      <c r="A1213" t="s">
        <v>557</v>
      </c>
      <c r="B1213" t="s">
        <v>713</v>
      </c>
      <c r="C1213" t="s">
        <v>321</v>
      </c>
      <c r="D1213" s="230">
        <v>0</v>
      </c>
      <c r="E1213" t="s">
        <v>714</v>
      </c>
    </row>
    <row r="1214" spans="1:5" hidden="1" x14ac:dyDescent="0.3">
      <c r="A1214" t="s">
        <v>557</v>
      </c>
      <c r="B1214" t="s">
        <v>713</v>
      </c>
      <c r="C1214" t="s">
        <v>322</v>
      </c>
      <c r="D1214" s="230">
        <v>0</v>
      </c>
      <c r="E1214" t="s">
        <v>714</v>
      </c>
    </row>
    <row r="1215" spans="1:5" hidden="1" x14ac:dyDescent="0.3">
      <c r="A1215" t="s">
        <v>557</v>
      </c>
      <c r="B1215" t="s">
        <v>713</v>
      </c>
      <c r="C1215" t="s">
        <v>44</v>
      </c>
      <c r="D1215" s="230">
        <v>-0.01</v>
      </c>
      <c r="E1215" t="s">
        <v>714</v>
      </c>
    </row>
    <row r="1216" spans="1:5" hidden="1" x14ac:dyDescent="0.3">
      <c r="A1216" t="s">
        <v>557</v>
      </c>
      <c r="B1216" t="s">
        <v>713</v>
      </c>
      <c r="C1216" t="s">
        <v>323</v>
      </c>
      <c r="D1216" s="230">
        <v>-20697.23</v>
      </c>
      <c r="E1216" t="s">
        <v>714</v>
      </c>
    </row>
    <row r="1217" spans="1:5" hidden="1" x14ac:dyDescent="0.3">
      <c r="A1217" t="s">
        <v>557</v>
      </c>
      <c r="B1217" t="s">
        <v>713</v>
      </c>
      <c r="C1217" t="s">
        <v>324</v>
      </c>
      <c r="D1217" s="230">
        <v>0</v>
      </c>
      <c r="E1217" t="s">
        <v>714</v>
      </c>
    </row>
    <row r="1218" spans="1:5" hidden="1" x14ac:dyDescent="0.3">
      <c r="A1218" t="s">
        <v>557</v>
      </c>
      <c r="B1218" t="s">
        <v>713</v>
      </c>
      <c r="C1218" t="s">
        <v>325</v>
      </c>
      <c r="D1218" s="230">
        <v>0</v>
      </c>
      <c r="E1218" t="s">
        <v>714</v>
      </c>
    </row>
    <row r="1219" spans="1:5" hidden="1" x14ac:dyDescent="0.3">
      <c r="A1219" t="s">
        <v>557</v>
      </c>
      <c r="B1219" t="s">
        <v>713</v>
      </c>
      <c r="C1219" t="s">
        <v>326</v>
      </c>
      <c r="D1219" s="230">
        <v>-20697.23</v>
      </c>
      <c r="E1219" t="s">
        <v>714</v>
      </c>
    </row>
    <row r="1220" spans="1:5" hidden="1" x14ac:dyDescent="0.3">
      <c r="A1220" t="s">
        <v>557</v>
      </c>
      <c r="B1220" t="s">
        <v>713</v>
      </c>
      <c r="C1220" t="s">
        <v>44</v>
      </c>
      <c r="D1220" s="230">
        <v>-0.05</v>
      </c>
      <c r="E1220" t="s">
        <v>714</v>
      </c>
    </row>
    <row r="1221" spans="1:5" hidden="1" x14ac:dyDescent="0.3">
      <c r="A1221" t="s">
        <v>557</v>
      </c>
      <c r="B1221" t="s">
        <v>713</v>
      </c>
      <c r="C1221" t="s">
        <v>328</v>
      </c>
      <c r="D1221" s="230">
        <v>-257975.29</v>
      </c>
      <c r="E1221" t="s">
        <v>714</v>
      </c>
    </row>
    <row r="1222" spans="1:5" hidden="1" x14ac:dyDescent="0.3">
      <c r="A1222" t="s">
        <v>557</v>
      </c>
      <c r="B1222" t="s">
        <v>713</v>
      </c>
      <c r="C1222" t="s">
        <v>44</v>
      </c>
      <c r="D1222" s="230">
        <v>-0.62</v>
      </c>
      <c r="E1222" t="s">
        <v>714</v>
      </c>
    </row>
    <row r="1223" spans="1:5" hidden="1" x14ac:dyDescent="0.3">
      <c r="A1223" t="s">
        <v>557</v>
      </c>
      <c r="B1223" t="s">
        <v>713</v>
      </c>
      <c r="C1223" t="s">
        <v>329</v>
      </c>
      <c r="D1223" s="230">
        <v>-43711.839999999997</v>
      </c>
      <c r="E1223" t="s">
        <v>714</v>
      </c>
    </row>
    <row r="1224" spans="1:5" hidden="1" x14ac:dyDescent="0.3">
      <c r="A1224" t="s">
        <v>557</v>
      </c>
      <c r="B1224" t="s">
        <v>713</v>
      </c>
      <c r="C1224" t="s">
        <v>44</v>
      </c>
      <c r="D1224" s="230">
        <v>-0.11</v>
      </c>
      <c r="E1224" t="s">
        <v>714</v>
      </c>
    </row>
    <row r="1225" spans="1:5" hidden="1" x14ac:dyDescent="0.3">
      <c r="A1225" t="s">
        <v>557</v>
      </c>
      <c r="B1225" t="s">
        <v>713</v>
      </c>
      <c r="C1225" t="s">
        <v>330</v>
      </c>
      <c r="D1225" s="230">
        <v>0</v>
      </c>
      <c r="E1225" t="s">
        <v>714</v>
      </c>
    </row>
    <row r="1226" spans="1:5" hidden="1" x14ac:dyDescent="0.3">
      <c r="A1226" t="s">
        <v>557</v>
      </c>
      <c r="B1226" t="s">
        <v>713</v>
      </c>
      <c r="C1226" t="s">
        <v>332</v>
      </c>
      <c r="D1226" s="230">
        <v>-43711.839999999997</v>
      </c>
      <c r="E1226" t="s">
        <v>714</v>
      </c>
    </row>
    <row r="1227" spans="1:5" hidden="1" x14ac:dyDescent="0.3">
      <c r="A1227" t="s">
        <v>557</v>
      </c>
      <c r="B1227" t="s">
        <v>713</v>
      </c>
      <c r="C1227" t="s">
        <v>333</v>
      </c>
      <c r="D1227" s="230">
        <v>7331.63</v>
      </c>
      <c r="E1227" t="s">
        <v>714</v>
      </c>
    </row>
    <row r="1228" spans="1:5" hidden="1" x14ac:dyDescent="0.3">
      <c r="A1228" t="s">
        <v>557</v>
      </c>
      <c r="B1228" t="s">
        <v>713</v>
      </c>
      <c r="C1228" t="s">
        <v>334</v>
      </c>
      <c r="D1228" s="230">
        <v>0</v>
      </c>
      <c r="E1228" t="s">
        <v>714</v>
      </c>
    </row>
    <row r="1229" spans="1:5" hidden="1" x14ac:dyDescent="0.3">
      <c r="A1229" t="s">
        <v>557</v>
      </c>
      <c r="B1229" t="s">
        <v>713</v>
      </c>
      <c r="C1229" t="s">
        <v>336</v>
      </c>
      <c r="D1229" s="230">
        <v>0</v>
      </c>
      <c r="E1229" t="s">
        <v>714</v>
      </c>
    </row>
    <row r="1230" spans="1:5" hidden="1" x14ac:dyDescent="0.3">
      <c r="A1230" t="s">
        <v>557</v>
      </c>
      <c r="B1230" t="s">
        <v>713</v>
      </c>
      <c r="C1230" t="s">
        <v>338</v>
      </c>
      <c r="D1230" s="230">
        <v>-36380.21</v>
      </c>
      <c r="E1230" t="s">
        <v>714</v>
      </c>
    </row>
    <row r="1231" spans="1:5" hidden="1" x14ac:dyDescent="0.3">
      <c r="A1231" t="s">
        <v>557</v>
      </c>
      <c r="B1231" t="s">
        <v>713</v>
      </c>
      <c r="C1231" t="s">
        <v>339</v>
      </c>
      <c r="D1231" s="230">
        <v>-19869.349999999999</v>
      </c>
      <c r="E1231" t="s">
        <v>714</v>
      </c>
    </row>
    <row r="1232" spans="1:5" hidden="1" x14ac:dyDescent="0.3">
      <c r="A1232" t="s">
        <v>557</v>
      </c>
      <c r="B1232" t="s">
        <v>713</v>
      </c>
      <c r="C1232" t="s">
        <v>342</v>
      </c>
      <c r="D1232" s="230">
        <v>-19869.349999999999</v>
      </c>
      <c r="E1232" t="s">
        <v>714</v>
      </c>
    </row>
    <row r="1233" spans="1:5" hidden="1" x14ac:dyDescent="0.3">
      <c r="A1233" t="s">
        <v>557</v>
      </c>
      <c r="B1233" t="s">
        <v>713</v>
      </c>
      <c r="C1233" t="s">
        <v>344</v>
      </c>
      <c r="D1233" s="230">
        <v>0</v>
      </c>
      <c r="E1233" t="s">
        <v>714</v>
      </c>
    </row>
    <row r="1234" spans="1:5" hidden="1" x14ac:dyDescent="0.3">
      <c r="A1234" t="s">
        <v>557</v>
      </c>
      <c r="B1234" t="s">
        <v>713</v>
      </c>
      <c r="C1234" t="s">
        <v>345</v>
      </c>
      <c r="D1234" s="230">
        <v>0</v>
      </c>
      <c r="E1234" t="s">
        <v>714</v>
      </c>
    </row>
    <row r="1235" spans="1:5" hidden="1" x14ac:dyDescent="0.3">
      <c r="A1235" t="s">
        <v>557</v>
      </c>
      <c r="B1235" t="s">
        <v>713</v>
      </c>
      <c r="C1235" t="s">
        <v>346</v>
      </c>
      <c r="D1235" s="230">
        <v>0</v>
      </c>
      <c r="E1235" t="s">
        <v>714</v>
      </c>
    </row>
    <row r="1236" spans="1:5" hidden="1" x14ac:dyDescent="0.3">
      <c r="A1236" t="s">
        <v>557</v>
      </c>
      <c r="B1236" t="s">
        <v>713</v>
      </c>
      <c r="C1236" t="s">
        <v>347</v>
      </c>
      <c r="D1236" s="230">
        <v>-56249.56</v>
      </c>
      <c r="E1236" t="s">
        <v>714</v>
      </c>
    </row>
    <row r="1237" spans="1:5" hidden="1" x14ac:dyDescent="0.3">
      <c r="A1237" t="s">
        <v>557</v>
      </c>
      <c r="B1237" t="s">
        <v>713</v>
      </c>
      <c r="C1237" t="s">
        <v>44</v>
      </c>
      <c r="D1237" s="230">
        <v>-0.14000000000000001</v>
      </c>
      <c r="E1237" t="s">
        <v>714</v>
      </c>
    </row>
    <row r="1238" spans="1:5" hidden="1" x14ac:dyDescent="0.3">
      <c r="A1238" t="s">
        <v>557</v>
      </c>
      <c r="B1238" t="s">
        <v>713</v>
      </c>
      <c r="C1238" t="s">
        <v>348</v>
      </c>
      <c r="D1238" s="230">
        <v>-142941.67000000001</v>
      </c>
      <c r="E1238" t="s">
        <v>714</v>
      </c>
    </row>
    <row r="1239" spans="1:5" hidden="1" x14ac:dyDescent="0.3">
      <c r="A1239" t="s">
        <v>557</v>
      </c>
      <c r="B1239" t="s">
        <v>713</v>
      </c>
      <c r="C1239" t="s">
        <v>707</v>
      </c>
      <c r="D1239" s="230">
        <v>-92900</v>
      </c>
      <c r="E1239" t="s">
        <v>714</v>
      </c>
    </row>
    <row r="1240" spans="1:5" hidden="1" x14ac:dyDescent="0.3">
      <c r="A1240" t="s">
        <v>557</v>
      </c>
      <c r="B1240" t="s">
        <v>713</v>
      </c>
      <c r="C1240" t="s">
        <v>350</v>
      </c>
      <c r="D1240" s="230">
        <v>-50041.67</v>
      </c>
      <c r="E1240" t="s">
        <v>714</v>
      </c>
    </row>
    <row r="1241" spans="1:5" hidden="1" x14ac:dyDescent="0.3">
      <c r="A1241" t="s">
        <v>557</v>
      </c>
      <c r="B1241" t="s">
        <v>713</v>
      </c>
      <c r="C1241" t="s">
        <v>351</v>
      </c>
      <c r="D1241" s="230">
        <v>0</v>
      </c>
      <c r="E1241" t="s">
        <v>714</v>
      </c>
    </row>
    <row r="1242" spans="1:5" hidden="1" x14ac:dyDescent="0.3">
      <c r="A1242" t="s">
        <v>557</v>
      </c>
      <c r="B1242" t="s">
        <v>713</v>
      </c>
      <c r="C1242" t="s">
        <v>352</v>
      </c>
      <c r="D1242" s="230">
        <v>0</v>
      </c>
      <c r="E1242" t="s">
        <v>714</v>
      </c>
    </row>
    <row r="1243" spans="1:5" hidden="1" x14ac:dyDescent="0.3">
      <c r="A1243" t="s">
        <v>557</v>
      </c>
      <c r="B1243" t="s">
        <v>713</v>
      </c>
      <c r="C1243" t="s">
        <v>353</v>
      </c>
      <c r="D1243" s="230">
        <v>0</v>
      </c>
      <c r="E1243" t="s">
        <v>714</v>
      </c>
    </row>
    <row r="1244" spans="1:5" hidden="1" x14ac:dyDescent="0.3">
      <c r="A1244" t="s">
        <v>557</v>
      </c>
      <c r="B1244" t="s">
        <v>713</v>
      </c>
      <c r="C1244" t="s">
        <v>354</v>
      </c>
      <c r="D1244" s="230">
        <v>0</v>
      </c>
      <c r="E1244" t="s">
        <v>714</v>
      </c>
    </row>
    <row r="1245" spans="1:5" hidden="1" x14ac:dyDescent="0.3">
      <c r="A1245" t="s">
        <v>557</v>
      </c>
      <c r="B1245" t="s">
        <v>713</v>
      </c>
      <c r="C1245" t="s">
        <v>355</v>
      </c>
      <c r="D1245" s="230">
        <v>0</v>
      </c>
      <c r="E1245" t="s">
        <v>714</v>
      </c>
    </row>
    <row r="1246" spans="1:5" hidden="1" x14ac:dyDescent="0.3">
      <c r="A1246" t="s">
        <v>557</v>
      </c>
      <c r="B1246" t="s">
        <v>713</v>
      </c>
      <c r="C1246" t="s">
        <v>356</v>
      </c>
      <c r="D1246" s="230">
        <v>0</v>
      </c>
      <c r="E1246" t="s">
        <v>714</v>
      </c>
    </row>
    <row r="1247" spans="1:5" hidden="1" x14ac:dyDescent="0.3">
      <c r="A1247" t="s">
        <v>557</v>
      </c>
      <c r="B1247" t="s">
        <v>713</v>
      </c>
      <c r="C1247" t="s">
        <v>357</v>
      </c>
      <c r="D1247" s="230">
        <v>0</v>
      </c>
      <c r="E1247" t="s">
        <v>714</v>
      </c>
    </row>
    <row r="1248" spans="1:5" hidden="1" x14ac:dyDescent="0.3">
      <c r="A1248" t="s">
        <v>557</v>
      </c>
      <c r="B1248" t="s">
        <v>713</v>
      </c>
      <c r="C1248" t="s">
        <v>358</v>
      </c>
      <c r="D1248" s="230">
        <v>0</v>
      </c>
      <c r="E1248" t="s">
        <v>714</v>
      </c>
    </row>
    <row r="1249" spans="1:5" hidden="1" x14ac:dyDescent="0.3">
      <c r="A1249" t="s">
        <v>557</v>
      </c>
      <c r="B1249" t="s">
        <v>713</v>
      </c>
      <c r="C1249" t="s">
        <v>359</v>
      </c>
      <c r="D1249" s="230">
        <v>0</v>
      </c>
      <c r="E1249" t="s">
        <v>714</v>
      </c>
    </row>
    <row r="1250" spans="1:5" hidden="1" x14ac:dyDescent="0.3">
      <c r="A1250" t="s">
        <v>557</v>
      </c>
      <c r="B1250" t="s">
        <v>713</v>
      </c>
      <c r="C1250" t="s">
        <v>360</v>
      </c>
      <c r="D1250" s="230">
        <v>0</v>
      </c>
      <c r="E1250" t="s">
        <v>714</v>
      </c>
    </row>
    <row r="1251" spans="1:5" hidden="1" x14ac:dyDescent="0.3">
      <c r="A1251" t="s">
        <v>557</v>
      </c>
      <c r="B1251" t="s">
        <v>713</v>
      </c>
      <c r="C1251" t="s">
        <v>361</v>
      </c>
      <c r="D1251" s="230">
        <v>0</v>
      </c>
      <c r="E1251" t="s">
        <v>714</v>
      </c>
    </row>
    <row r="1252" spans="1:5" hidden="1" x14ac:dyDescent="0.3">
      <c r="A1252" t="s">
        <v>557</v>
      </c>
      <c r="B1252" t="s">
        <v>713</v>
      </c>
      <c r="C1252" t="s">
        <v>362</v>
      </c>
      <c r="D1252" s="230">
        <v>0</v>
      </c>
      <c r="E1252" t="s">
        <v>714</v>
      </c>
    </row>
    <row r="1253" spans="1:5" hidden="1" x14ac:dyDescent="0.3">
      <c r="A1253" t="s">
        <v>557</v>
      </c>
      <c r="B1253" t="s">
        <v>713</v>
      </c>
      <c r="C1253" t="s">
        <v>363</v>
      </c>
      <c r="D1253" s="230">
        <v>0</v>
      </c>
      <c r="E1253" t="s">
        <v>714</v>
      </c>
    </row>
    <row r="1254" spans="1:5" hidden="1" x14ac:dyDescent="0.3">
      <c r="A1254" t="s">
        <v>557</v>
      </c>
      <c r="B1254" t="s">
        <v>713</v>
      </c>
      <c r="C1254" t="s">
        <v>364</v>
      </c>
      <c r="D1254" s="230">
        <v>0</v>
      </c>
      <c r="E1254" t="s">
        <v>714</v>
      </c>
    </row>
    <row r="1255" spans="1:5" hidden="1" x14ac:dyDescent="0.3">
      <c r="A1255" t="s">
        <v>557</v>
      </c>
      <c r="B1255" t="s">
        <v>713</v>
      </c>
      <c r="C1255" t="s">
        <v>365</v>
      </c>
      <c r="D1255" s="230">
        <v>0</v>
      </c>
      <c r="E1255" t="s">
        <v>714</v>
      </c>
    </row>
    <row r="1256" spans="1:5" hidden="1" x14ac:dyDescent="0.3">
      <c r="A1256" t="s">
        <v>557</v>
      </c>
      <c r="B1256" t="s">
        <v>713</v>
      </c>
      <c r="C1256" t="s">
        <v>366</v>
      </c>
      <c r="D1256" s="230">
        <v>0</v>
      </c>
      <c r="E1256" t="s">
        <v>714</v>
      </c>
    </row>
    <row r="1257" spans="1:5" hidden="1" x14ac:dyDescent="0.3">
      <c r="A1257" t="s">
        <v>557</v>
      </c>
      <c r="B1257" t="s">
        <v>713</v>
      </c>
      <c r="C1257" t="s">
        <v>367</v>
      </c>
      <c r="D1257" s="230">
        <v>0</v>
      </c>
      <c r="E1257" t="s">
        <v>714</v>
      </c>
    </row>
    <row r="1258" spans="1:5" hidden="1" x14ac:dyDescent="0.3">
      <c r="A1258" t="s">
        <v>557</v>
      </c>
      <c r="B1258" t="s">
        <v>713</v>
      </c>
      <c r="C1258" t="s">
        <v>368</v>
      </c>
      <c r="D1258" s="230">
        <v>0</v>
      </c>
      <c r="E1258" t="s">
        <v>714</v>
      </c>
    </row>
    <row r="1259" spans="1:5" hidden="1" x14ac:dyDescent="0.3">
      <c r="A1259" t="s">
        <v>557</v>
      </c>
      <c r="B1259" t="s">
        <v>713</v>
      </c>
      <c r="C1259" t="s">
        <v>369</v>
      </c>
      <c r="D1259" s="230">
        <v>0</v>
      </c>
      <c r="E1259" t="s">
        <v>714</v>
      </c>
    </row>
    <row r="1260" spans="1:5" hidden="1" x14ac:dyDescent="0.3">
      <c r="A1260" t="s">
        <v>557</v>
      </c>
      <c r="B1260" t="s">
        <v>713</v>
      </c>
      <c r="C1260" t="s">
        <v>370</v>
      </c>
      <c r="D1260" s="230">
        <v>0</v>
      </c>
      <c r="E1260" t="s">
        <v>714</v>
      </c>
    </row>
    <row r="1261" spans="1:5" hidden="1" x14ac:dyDescent="0.3">
      <c r="A1261" t="s">
        <v>557</v>
      </c>
      <c r="B1261" t="s">
        <v>713</v>
      </c>
      <c r="C1261" t="s">
        <v>371</v>
      </c>
      <c r="D1261" s="230">
        <v>0</v>
      </c>
      <c r="E1261" t="s">
        <v>714</v>
      </c>
    </row>
    <row r="1262" spans="1:5" hidden="1" x14ac:dyDescent="0.3">
      <c r="A1262" t="s">
        <v>557</v>
      </c>
      <c r="B1262" t="s">
        <v>713</v>
      </c>
      <c r="C1262" t="s">
        <v>372</v>
      </c>
      <c r="D1262" s="230">
        <v>0</v>
      </c>
      <c r="E1262" t="s">
        <v>714</v>
      </c>
    </row>
    <row r="1263" spans="1:5" hidden="1" x14ac:dyDescent="0.3">
      <c r="A1263" t="s">
        <v>557</v>
      </c>
      <c r="B1263" t="s">
        <v>713</v>
      </c>
      <c r="C1263" t="s">
        <v>373</v>
      </c>
      <c r="D1263" s="230">
        <v>0</v>
      </c>
      <c r="E1263" t="s">
        <v>714</v>
      </c>
    </row>
    <row r="1264" spans="1:5" hidden="1" x14ac:dyDescent="0.3">
      <c r="A1264" t="s">
        <v>557</v>
      </c>
      <c r="B1264" t="s">
        <v>713</v>
      </c>
      <c r="C1264" t="s">
        <v>374</v>
      </c>
      <c r="D1264" s="230">
        <v>0</v>
      </c>
      <c r="E1264" t="s">
        <v>714</v>
      </c>
    </row>
    <row r="1265" spans="1:5" hidden="1" x14ac:dyDescent="0.3">
      <c r="A1265" t="s">
        <v>557</v>
      </c>
      <c r="B1265" t="s">
        <v>713</v>
      </c>
      <c r="C1265" t="s">
        <v>708</v>
      </c>
      <c r="D1265" s="230">
        <v>0</v>
      </c>
      <c r="E1265" t="s">
        <v>714</v>
      </c>
    </row>
    <row r="1266" spans="1:5" hidden="1" x14ac:dyDescent="0.3">
      <c r="A1266" t="s">
        <v>557</v>
      </c>
      <c r="B1266" t="s">
        <v>715</v>
      </c>
      <c r="C1266" t="s">
        <v>11</v>
      </c>
      <c r="D1266" s="230">
        <v>367943.46</v>
      </c>
      <c r="E1266" t="s">
        <v>716</v>
      </c>
    </row>
    <row r="1267" spans="1:5" hidden="1" x14ac:dyDescent="0.3">
      <c r="A1267" t="s">
        <v>557</v>
      </c>
      <c r="B1267" t="s">
        <v>715</v>
      </c>
      <c r="C1267" t="s">
        <v>13</v>
      </c>
      <c r="D1267" s="230">
        <v>212501.7</v>
      </c>
      <c r="E1267" t="s">
        <v>716</v>
      </c>
    </row>
    <row r="1268" spans="1:5" hidden="1" x14ac:dyDescent="0.3">
      <c r="A1268" t="s">
        <v>557</v>
      </c>
      <c r="B1268" t="s">
        <v>715</v>
      </c>
      <c r="C1268" t="s">
        <v>16</v>
      </c>
      <c r="D1268" s="230">
        <v>102390</v>
      </c>
      <c r="E1268" t="s">
        <v>716</v>
      </c>
    </row>
    <row r="1269" spans="1:5" hidden="1" x14ac:dyDescent="0.3">
      <c r="A1269" t="s">
        <v>557</v>
      </c>
      <c r="B1269" t="s">
        <v>715</v>
      </c>
      <c r="C1269" t="s">
        <v>17</v>
      </c>
      <c r="D1269" s="230">
        <v>7590</v>
      </c>
      <c r="E1269" t="s">
        <v>716</v>
      </c>
    </row>
    <row r="1270" spans="1:5" hidden="1" x14ac:dyDescent="0.3">
      <c r="A1270" t="s">
        <v>557</v>
      </c>
      <c r="B1270" t="s">
        <v>715</v>
      </c>
      <c r="C1270" t="s">
        <v>18</v>
      </c>
      <c r="D1270" s="230">
        <v>200</v>
      </c>
      <c r="E1270" t="s">
        <v>716</v>
      </c>
    </row>
    <row r="1271" spans="1:5" hidden="1" x14ac:dyDescent="0.3">
      <c r="A1271" t="s">
        <v>557</v>
      </c>
      <c r="B1271" t="s">
        <v>715</v>
      </c>
      <c r="C1271" t="s">
        <v>20</v>
      </c>
      <c r="D1271" s="230">
        <v>40544.9</v>
      </c>
      <c r="E1271" t="s">
        <v>716</v>
      </c>
    </row>
    <row r="1272" spans="1:5" hidden="1" x14ac:dyDescent="0.3">
      <c r="A1272" t="s">
        <v>557</v>
      </c>
      <c r="B1272" t="s">
        <v>715</v>
      </c>
      <c r="C1272" t="s">
        <v>23</v>
      </c>
      <c r="D1272" s="230">
        <v>0</v>
      </c>
      <c r="E1272" t="s">
        <v>716</v>
      </c>
    </row>
    <row r="1273" spans="1:5" hidden="1" x14ac:dyDescent="0.3">
      <c r="A1273" t="s">
        <v>557</v>
      </c>
      <c r="B1273" t="s">
        <v>715</v>
      </c>
      <c r="C1273" t="s">
        <v>25</v>
      </c>
      <c r="D1273" s="230">
        <v>0</v>
      </c>
      <c r="E1273" t="s">
        <v>716</v>
      </c>
    </row>
    <row r="1274" spans="1:5" hidden="1" x14ac:dyDescent="0.3">
      <c r="A1274" t="s">
        <v>557</v>
      </c>
      <c r="B1274" t="s">
        <v>715</v>
      </c>
      <c r="C1274" t="s">
        <v>26</v>
      </c>
      <c r="D1274" s="230">
        <v>2800</v>
      </c>
      <c r="E1274" t="s">
        <v>716</v>
      </c>
    </row>
    <row r="1275" spans="1:5" hidden="1" x14ac:dyDescent="0.3">
      <c r="A1275" t="s">
        <v>557</v>
      </c>
      <c r="B1275" t="s">
        <v>715</v>
      </c>
      <c r="C1275" t="s">
        <v>27</v>
      </c>
      <c r="D1275" s="230">
        <v>0</v>
      </c>
      <c r="E1275" t="s">
        <v>716</v>
      </c>
    </row>
    <row r="1276" spans="1:5" hidden="1" x14ac:dyDescent="0.3">
      <c r="A1276" t="s">
        <v>557</v>
      </c>
      <c r="B1276" t="s">
        <v>715</v>
      </c>
      <c r="C1276" t="s">
        <v>29</v>
      </c>
      <c r="D1276" s="230">
        <v>1916.86</v>
      </c>
      <c r="E1276" t="s">
        <v>716</v>
      </c>
    </row>
    <row r="1277" spans="1:5" hidden="1" x14ac:dyDescent="0.3">
      <c r="A1277" t="s">
        <v>557</v>
      </c>
      <c r="B1277" t="s">
        <v>715</v>
      </c>
      <c r="C1277" t="s">
        <v>31</v>
      </c>
      <c r="D1277" s="230">
        <v>0</v>
      </c>
      <c r="E1277" t="s">
        <v>716</v>
      </c>
    </row>
    <row r="1278" spans="1:5" hidden="1" x14ac:dyDescent="0.3">
      <c r="A1278" t="s">
        <v>557</v>
      </c>
      <c r="B1278" t="s">
        <v>715</v>
      </c>
      <c r="C1278" t="s">
        <v>34</v>
      </c>
      <c r="D1278" s="230">
        <v>-14266.32</v>
      </c>
      <c r="E1278" t="s">
        <v>716</v>
      </c>
    </row>
    <row r="1279" spans="1:5" hidden="1" x14ac:dyDescent="0.3">
      <c r="A1279" t="s">
        <v>557</v>
      </c>
      <c r="B1279" t="s">
        <v>715</v>
      </c>
      <c r="C1279" t="s">
        <v>38</v>
      </c>
      <c r="D1279" s="230">
        <v>-14266.32</v>
      </c>
      <c r="E1279" t="s">
        <v>716</v>
      </c>
    </row>
    <row r="1280" spans="1:5" hidden="1" x14ac:dyDescent="0.3">
      <c r="A1280" t="s">
        <v>557</v>
      </c>
      <c r="B1280" t="s">
        <v>715</v>
      </c>
      <c r="C1280" t="s">
        <v>40</v>
      </c>
      <c r="D1280" s="230">
        <v>0</v>
      </c>
      <c r="E1280" t="s">
        <v>716</v>
      </c>
    </row>
    <row r="1281" spans="1:5" hidden="1" x14ac:dyDescent="0.3">
      <c r="A1281" t="s">
        <v>557</v>
      </c>
      <c r="B1281" t="s">
        <v>715</v>
      </c>
      <c r="C1281" t="s">
        <v>42</v>
      </c>
      <c r="D1281" s="230">
        <v>0</v>
      </c>
      <c r="E1281" t="s">
        <v>716</v>
      </c>
    </row>
    <row r="1282" spans="1:5" hidden="1" x14ac:dyDescent="0.3">
      <c r="A1282" t="s">
        <v>557</v>
      </c>
      <c r="B1282" t="s">
        <v>715</v>
      </c>
      <c r="C1282" t="s">
        <v>44</v>
      </c>
      <c r="D1282" s="230">
        <v>-0.04</v>
      </c>
      <c r="E1282" t="s">
        <v>716</v>
      </c>
    </row>
    <row r="1283" spans="1:5" hidden="1" x14ac:dyDescent="0.3">
      <c r="A1283" t="s">
        <v>557</v>
      </c>
      <c r="B1283" t="s">
        <v>715</v>
      </c>
      <c r="C1283" t="s">
        <v>45</v>
      </c>
      <c r="D1283" s="230">
        <v>-21829.06</v>
      </c>
      <c r="E1283" t="s">
        <v>716</v>
      </c>
    </row>
    <row r="1284" spans="1:5" hidden="1" x14ac:dyDescent="0.3">
      <c r="A1284" t="s">
        <v>557</v>
      </c>
      <c r="B1284" t="s">
        <v>715</v>
      </c>
      <c r="C1284" t="s">
        <v>46</v>
      </c>
      <c r="D1284" s="230">
        <v>-11429.33</v>
      </c>
      <c r="E1284" t="s">
        <v>716</v>
      </c>
    </row>
    <row r="1285" spans="1:5" hidden="1" x14ac:dyDescent="0.3">
      <c r="A1285" t="s">
        <v>557</v>
      </c>
      <c r="B1285" t="s">
        <v>715</v>
      </c>
      <c r="C1285" t="s">
        <v>48</v>
      </c>
      <c r="D1285" s="230">
        <v>-10020.23</v>
      </c>
      <c r="E1285" t="s">
        <v>716</v>
      </c>
    </row>
    <row r="1286" spans="1:5" hidden="1" x14ac:dyDescent="0.3">
      <c r="A1286" t="s">
        <v>557</v>
      </c>
      <c r="B1286" t="s">
        <v>715</v>
      </c>
      <c r="C1286" t="s">
        <v>49</v>
      </c>
      <c r="D1286" s="230">
        <v>-379.5</v>
      </c>
      <c r="E1286" t="s">
        <v>716</v>
      </c>
    </row>
    <row r="1287" spans="1:5" hidden="1" x14ac:dyDescent="0.3">
      <c r="A1287" t="s">
        <v>557</v>
      </c>
      <c r="B1287" t="s">
        <v>715</v>
      </c>
      <c r="C1287" t="s">
        <v>50</v>
      </c>
      <c r="D1287" s="230">
        <v>331848.08</v>
      </c>
      <c r="E1287" t="s">
        <v>716</v>
      </c>
    </row>
    <row r="1288" spans="1:5" hidden="1" x14ac:dyDescent="0.3">
      <c r="A1288" t="s">
        <v>557</v>
      </c>
      <c r="B1288" t="s">
        <v>715</v>
      </c>
      <c r="C1288" t="s">
        <v>51</v>
      </c>
      <c r="D1288" s="230">
        <v>-109148.94</v>
      </c>
      <c r="E1288" t="s">
        <v>716</v>
      </c>
    </row>
    <row r="1289" spans="1:5" hidden="1" x14ac:dyDescent="0.3">
      <c r="A1289" t="s">
        <v>557</v>
      </c>
      <c r="B1289" t="s">
        <v>715</v>
      </c>
      <c r="C1289" t="s">
        <v>52</v>
      </c>
      <c r="D1289" s="230">
        <v>-86642.23</v>
      </c>
      <c r="E1289" t="s">
        <v>716</v>
      </c>
    </row>
    <row r="1290" spans="1:5" hidden="1" x14ac:dyDescent="0.3">
      <c r="A1290" t="s">
        <v>557</v>
      </c>
      <c r="B1290" t="s">
        <v>715</v>
      </c>
      <c r="C1290" t="s">
        <v>53</v>
      </c>
      <c r="D1290" s="230">
        <v>-22506.71</v>
      </c>
      <c r="E1290" t="s">
        <v>716</v>
      </c>
    </row>
    <row r="1291" spans="1:5" hidden="1" x14ac:dyDescent="0.3">
      <c r="A1291" t="s">
        <v>557</v>
      </c>
      <c r="B1291" t="s">
        <v>715</v>
      </c>
      <c r="C1291" t="s">
        <v>54</v>
      </c>
      <c r="D1291" s="230">
        <v>0</v>
      </c>
      <c r="E1291" t="s">
        <v>716</v>
      </c>
    </row>
    <row r="1292" spans="1:5" hidden="1" x14ac:dyDescent="0.3">
      <c r="A1292" t="s">
        <v>557</v>
      </c>
      <c r="B1292" t="s">
        <v>715</v>
      </c>
      <c r="C1292" t="s">
        <v>23</v>
      </c>
      <c r="D1292" s="230">
        <v>0</v>
      </c>
      <c r="E1292" t="s">
        <v>716</v>
      </c>
    </row>
    <row r="1293" spans="1:5" hidden="1" x14ac:dyDescent="0.3">
      <c r="A1293" t="s">
        <v>557</v>
      </c>
      <c r="B1293" t="s">
        <v>715</v>
      </c>
      <c r="C1293" t="s">
        <v>44</v>
      </c>
      <c r="D1293" s="230">
        <v>-0.34</v>
      </c>
      <c r="E1293" t="s">
        <v>716</v>
      </c>
    </row>
    <row r="1294" spans="1:5" hidden="1" x14ac:dyDescent="0.3">
      <c r="A1294" t="s">
        <v>557</v>
      </c>
      <c r="B1294" t="s">
        <v>715</v>
      </c>
      <c r="C1294" t="s">
        <v>55</v>
      </c>
      <c r="D1294" s="230">
        <v>-0.33</v>
      </c>
      <c r="E1294" t="s">
        <v>716</v>
      </c>
    </row>
    <row r="1295" spans="1:5" hidden="1" x14ac:dyDescent="0.3">
      <c r="A1295" t="s">
        <v>557</v>
      </c>
      <c r="B1295" t="s">
        <v>715</v>
      </c>
      <c r="C1295" t="s">
        <v>56</v>
      </c>
      <c r="D1295" s="230">
        <v>-7001.71</v>
      </c>
      <c r="E1295" t="s">
        <v>716</v>
      </c>
    </row>
    <row r="1296" spans="1:5" hidden="1" x14ac:dyDescent="0.3">
      <c r="A1296" t="s">
        <v>557</v>
      </c>
      <c r="B1296" t="s">
        <v>715</v>
      </c>
      <c r="C1296" t="s">
        <v>57</v>
      </c>
      <c r="D1296" s="230">
        <v>-7001.71</v>
      </c>
      <c r="E1296" t="s">
        <v>716</v>
      </c>
    </row>
    <row r="1297" spans="1:5" hidden="1" x14ac:dyDescent="0.3">
      <c r="A1297" t="s">
        <v>557</v>
      </c>
      <c r="B1297" t="s">
        <v>715</v>
      </c>
      <c r="C1297" t="s">
        <v>58</v>
      </c>
      <c r="D1297" s="230">
        <v>-6300</v>
      </c>
      <c r="E1297" t="s">
        <v>716</v>
      </c>
    </row>
    <row r="1298" spans="1:5" hidden="1" x14ac:dyDescent="0.3">
      <c r="A1298" t="s">
        <v>557</v>
      </c>
      <c r="B1298" t="s">
        <v>715</v>
      </c>
      <c r="C1298" t="s">
        <v>59</v>
      </c>
      <c r="D1298" s="230">
        <v>-701.71</v>
      </c>
      <c r="E1298" t="s">
        <v>716</v>
      </c>
    </row>
    <row r="1299" spans="1:5" hidden="1" x14ac:dyDescent="0.3">
      <c r="A1299" t="s">
        <v>557</v>
      </c>
      <c r="B1299" t="s">
        <v>715</v>
      </c>
      <c r="C1299" t="s">
        <v>61</v>
      </c>
      <c r="D1299" s="230">
        <v>0</v>
      </c>
      <c r="E1299" t="s">
        <v>716</v>
      </c>
    </row>
    <row r="1300" spans="1:5" hidden="1" x14ac:dyDescent="0.3">
      <c r="A1300" t="s">
        <v>557</v>
      </c>
      <c r="B1300" t="s">
        <v>715</v>
      </c>
      <c r="C1300" t="s">
        <v>62</v>
      </c>
      <c r="D1300" s="230">
        <v>0</v>
      </c>
      <c r="E1300" t="s">
        <v>716</v>
      </c>
    </row>
    <row r="1301" spans="1:5" hidden="1" x14ac:dyDescent="0.3">
      <c r="A1301" t="s">
        <v>557</v>
      </c>
      <c r="B1301" t="s">
        <v>715</v>
      </c>
      <c r="C1301" t="s">
        <v>64</v>
      </c>
      <c r="D1301" s="230">
        <v>0</v>
      </c>
      <c r="E1301" t="s">
        <v>716</v>
      </c>
    </row>
    <row r="1302" spans="1:5" hidden="1" x14ac:dyDescent="0.3">
      <c r="A1302" t="s">
        <v>557</v>
      </c>
      <c r="B1302" t="s">
        <v>715</v>
      </c>
      <c r="C1302" t="s">
        <v>65</v>
      </c>
      <c r="D1302" s="230">
        <v>0</v>
      </c>
      <c r="E1302" t="s">
        <v>716</v>
      </c>
    </row>
    <row r="1303" spans="1:5" hidden="1" x14ac:dyDescent="0.3">
      <c r="A1303" t="s">
        <v>557</v>
      </c>
      <c r="B1303" t="s">
        <v>715</v>
      </c>
      <c r="C1303" t="s">
        <v>66</v>
      </c>
      <c r="D1303" s="230">
        <v>0</v>
      </c>
      <c r="E1303" t="s">
        <v>716</v>
      </c>
    </row>
    <row r="1304" spans="1:5" hidden="1" x14ac:dyDescent="0.3">
      <c r="A1304" t="s">
        <v>557</v>
      </c>
      <c r="B1304" t="s">
        <v>715</v>
      </c>
      <c r="C1304" t="s">
        <v>68</v>
      </c>
      <c r="D1304" s="230">
        <v>0</v>
      </c>
      <c r="E1304" t="s">
        <v>716</v>
      </c>
    </row>
    <row r="1305" spans="1:5" hidden="1" x14ac:dyDescent="0.3">
      <c r="A1305" t="s">
        <v>557</v>
      </c>
      <c r="B1305" t="s">
        <v>715</v>
      </c>
      <c r="C1305" t="s">
        <v>69</v>
      </c>
      <c r="D1305" s="230">
        <v>0</v>
      </c>
      <c r="E1305" t="s">
        <v>716</v>
      </c>
    </row>
    <row r="1306" spans="1:5" hidden="1" x14ac:dyDescent="0.3">
      <c r="A1306" t="s">
        <v>557</v>
      </c>
      <c r="B1306" t="s">
        <v>715</v>
      </c>
      <c r="C1306" t="s">
        <v>70</v>
      </c>
      <c r="D1306" s="230">
        <v>-0.92</v>
      </c>
      <c r="E1306" t="s">
        <v>716</v>
      </c>
    </row>
    <row r="1307" spans="1:5" hidden="1" x14ac:dyDescent="0.3">
      <c r="A1307" t="s">
        <v>557</v>
      </c>
      <c r="B1307" t="s">
        <v>715</v>
      </c>
      <c r="C1307" t="s">
        <v>44</v>
      </c>
      <c r="D1307" s="230">
        <v>-0.02</v>
      </c>
      <c r="E1307" t="s">
        <v>716</v>
      </c>
    </row>
    <row r="1308" spans="1:5" hidden="1" x14ac:dyDescent="0.3">
      <c r="A1308" t="s">
        <v>557</v>
      </c>
      <c r="B1308" t="s">
        <v>715</v>
      </c>
      <c r="C1308" t="s">
        <v>71</v>
      </c>
      <c r="D1308" s="230">
        <v>0</v>
      </c>
      <c r="E1308" t="s">
        <v>716</v>
      </c>
    </row>
    <row r="1309" spans="1:5" hidden="1" x14ac:dyDescent="0.3">
      <c r="A1309" t="s">
        <v>557</v>
      </c>
      <c r="B1309" t="s">
        <v>715</v>
      </c>
      <c r="C1309" t="s">
        <v>72</v>
      </c>
      <c r="D1309" s="230">
        <v>0</v>
      </c>
      <c r="E1309" t="s">
        <v>716</v>
      </c>
    </row>
    <row r="1310" spans="1:5" hidden="1" x14ac:dyDescent="0.3">
      <c r="A1310" t="s">
        <v>557</v>
      </c>
      <c r="B1310" t="s">
        <v>715</v>
      </c>
      <c r="C1310" t="s">
        <v>73</v>
      </c>
      <c r="D1310" s="230">
        <v>0</v>
      </c>
      <c r="E1310" t="s">
        <v>716</v>
      </c>
    </row>
    <row r="1311" spans="1:5" hidden="1" x14ac:dyDescent="0.3">
      <c r="A1311" t="s">
        <v>557</v>
      </c>
      <c r="B1311" t="s">
        <v>715</v>
      </c>
      <c r="C1311" t="s">
        <v>75</v>
      </c>
      <c r="D1311" s="230">
        <v>0</v>
      </c>
      <c r="E1311" t="s">
        <v>716</v>
      </c>
    </row>
    <row r="1312" spans="1:5" hidden="1" x14ac:dyDescent="0.3">
      <c r="A1312" t="s">
        <v>557</v>
      </c>
      <c r="B1312" t="s">
        <v>715</v>
      </c>
      <c r="C1312" t="s">
        <v>77</v>
      </c>
      <c r="D1312" s="230">
        <v>0</v>
      </c>
      <c r="E1312" t="s">
        <v>716</v>
      </c>
    </row>
    <row r="1313" spans="1:5" hidden="1" x14ac:dyDescent="0.3">
      <c r="A1313" t="s">
        <v>557</v>
      </c>
      <c r="B1313" t="s">
        <v>715</v>
      </c>
      <c r="C1313" t="s">
        <v>78</v>
      </c>
      <c r="D1313" s="230">
        <v>0</v>
      </c>
      <c r="E1313" t="s">
        <v>716</v>
      </c>
    </row>
    <row r="1314" spans="1:5" hidden="1" x14ac:dyDescent="0.3">
      <c r="A1314" t="s">
        <v>557</v>
      </c>
      <c r="B1314" t="s">
        <v>715</v>
      </c>
      <c r="C1314" t="s">
        <v>80</v>
      </c>
      <c r="D1314" s="230">
        <v>0</v>
      </c>
      <c r="E1314" t="s">
        <v>716</v>
      </c>
    </row>
    <row r="1315" spans="1:5" hidden="1" x14ac:dyDescent="0.3">
      <c r="A1315" t="s">
        <v>557</v>
      </c>
      <c r="B1315" t="s">
        <v>715</v>
      </c>
      <c r="C1315" t="s">
        <v>82</v>
      </c>
      <c r="D1315" s="230">
        <v>0</v>
      </c>
      <c r="E1315" t="s">
        <v>716</v>
      </c>
    </row>
    <row r="1316" spans="1:5" hidden="1" x14ac:dyDescent="0.3">
      <c r="A1316" t="s">
        <v>557</v>
      </c>
      <c r="B1316" t="s">
        <v>715</v>
      </c>
      <c r="C1316" t="s">
        <v>84</v>
      </c>
      <c r="D1316" s="230">
        <v>0</v>
      </c>
      <c r="E1316" t="s">
        <v>716</v>
      </c>
    </row>
    <row r="1317" spans="1:5" hidden="1" x14ac:dyDescent="0.3">
      <c r="A1317" t="s">
        <v>557</v>
      </c>
      <c r="B1317" t="s">
        <v>715</v>
      </c>
      <c r="C1317" t="s">
        <v>85</v>
      </c>
      <c r="D1317" s="230">
        <v>0</v>
      </c>
      <c r="E1317" t="s">
        <v>716</v>
      </c>
    </row>
    <row r="1318" spans="1:5" hidden="1" x14ac:dyDescent="0.3">
      <c r="A1318" t="s">
        <v>557</v>
      </c>
      <c r="B1318" t="s">
        <v>715</v>
      </c>
      <c r="C1318" t="s">
        <v>86</v>
      </c>
      <c r="D1318" s="230">
        <v>0</v>
      </c>
      <c r="E1318" t="s">
        <v>716</v>
      </c>
    </row>
    <row r="1319" spans="1:5" hidden="1" x14ac:dyDescent="0.3">
      <c r="A1319" t="s">
        <v>557</v>
      </c>
      <c r="B1319" t="s">
        <v>715</v>
      </c>
      <c r="C1319" t="s">
        <v>87</v>
      </c>
      <c r="D1319" s="230">
        <v>0</v>
      </c>
      <c r="E1319" t="s">
        <v>716</v>
      </c>
    </row>
    <row r="1320" spans="1:5" hidden="1" x14ac:dyDescent="0.3">
      <c r="A1320" t="s">
        <v>557</v>
      </c>
      <c r="B1320" t="s">
        <v>715</v>
      </c>
      <c r="C1320" t="s">
        <v>88</v>
      </c>
      <c r="D1320" s="230">
        <v>0</v>
      </c>
      <c r="E1320" t="s">
        <v>716</v>
      </c>
    </row>
    <row r="1321" spans="1:5" hidden="1" x14ac:dyDescent="0.3">
      <c r="A1321" t="s">
        <v>557</v>
      </c>
      <c r="B1321" t="s">
        <v>715</v>
      </c>
      <c r="C1321" t="s">
        <v>89</v>
      </c>
      <c r="D1321" s="230">
        <v>0</v>
      </c>
      <c r="E1321" t="s">
        <v>716</v>
      </c>
    </row>
    <row r="1322" spans="1:5" hidden="1" x14ac:dyDescent="0.3">
      <c r="A1322" t="s">
        <v>557</v>
      </c>
      <c r="B1322" t="s">
        <v>715</v>
      </c>
      <c r="C1322" t="s">
        <v>90</v>
      </c>
      <c r="D1322" s="230">
        <v>0</v>
      </c>
      <c r="E1322" t="s">
        <v>716</v>
      </c>
    </row>
    <row r="1323" spans="1:5" hidden="1" x14ac:dyDescent="0.3">
      <c r="A1323" t="s">
        <v>557</v>
      </c>
      <c r="B1323" t="s">
        <v>715</v>
      </c>
      <c r="C1323" t="s">
        <v>91</v>
      </c>
      <c r="D1323" s="230">
        <v>0</v>
      </c>
      <c r="E1323" t="s">
        <v>716</v>
      </c>
    </row>
    <row r="1324" spans="1:5" hidden="1" x14ac:dyDescent="0.3">
      <c r="A1324" t="s">
        <v>557</v>
      </c>
      <c r="B1324" t="s">
        <v>715</v>
      </c>
      <c r="C1324" t="s">
        <v>93</v>
      </c>
      <c r="D1324" s="230">
        <v>0</v>
      </c>
      <c r="E1324" t="s">
        <v>716</v>
      </c>
    </row>
    <row r="1325" spans="1:5" hidden="1" x14ac:dyDescent="0.3">
      <c r="A1325" t="s">
        <v>557</v>
      </c>
      <c r="B1325" t="s">
        <v>715</v>
      </c>
      <c r="C1325" t="s">
        <v>95</v>
      </c>
      <c r="D1325" s="230">
        <v>0</v>
      </c>
      <c r="E1325" t="s">
        <v>716</v>
      </c>
    </row>
    <row r="1326" spans="1:5" hidden="1" x14ac:dyDescent="0.3">
      <c r="A1326" t="s">
        <v>557</v>
      </c>
      <c r="B1326" t="s">
        <v>715</v>
      </c>
      <c r="C1326" t="s">
        <v>96</v>
      </c>
      <c r="D1326" s="230">
        <v>0</v>
      </c>
      <c r="E1326" t="s">
        <v>716</v>
      </c>
    </row>
    <row r="1327" spans="1:5" hidden="1" x14ac:dyDescent="0.3">
      <c r="A1327" t="s">
        <v>557</v>
      </c>
      <c r="B1327" t="s">
        <v>715</v>
      </c>
      <c r="C1327" t="s">
        <v>98</v>
      </c>
      <c r="D1327" s="230">
        <v>0</v>
      </c>
      <c r="E1327" t="s">
        <v>716</v>
      </c>
    </row>
    <row r="1328" spans="1:5" hidden="1" x14ac:dyDescent="0.3">
      <c r="A1328" t="s">
        <v>557</v>
      </c>
      <c r="B1328" t="s">
        <v>715</v>
      </c>
      <c r="C1328" t="s">
        <v>100</v>
      </c>
      <c r="D1328" s="230">
        <v>0</v>
      </c>
      <c r="E1328" t="s">
        <v>716</v>
      </c>
    </row>
    <row r="1329" spans="1:5" hidden="1" x14ac:dyDescent="0.3">
      <c r="A1329" t="s">
        <v>557</v>
      </c>
      <c r="B1329" t="s">
        <v>715</v>
      </c>
      <c r="C1329" t="s">
        <v>101</v>
      </c>
      <c r="D1329" s="230">
        <v>0</v>
      </c>
      <c r="E1329" t="s">
        <v>716</v>
      </c>
    </row>
    <row r="1330" spans="1:5" hidden="1" x14ac:dyDescent="0.3">
      <c r="A1330" t="s">
        <v>557</v>
      </c>
      <c r="B1330" t="s">
        <v>715</v>
      </c>
      <c r="C1330" t="s">
        <v>102</v>
      </c>
      <c r="D1330" s="230">
        <v>0</v>
      </c>
      <c r="E1330" t="s">
        <v>716</v>
      </c>
    </row>
    <row r="1331" spans="1:5" hidden="1" x14ac:dyDescent="0.3">
      <c r="A1331" t="s">
        <v>557</v>
      </c>
      <c r="B1331" t="s">
        <v>715</v>
      </c>
      <c r="C1331" t="s">
        <v>103</v>
      </c>
      <c r="D1331" s="230">
        <v>0</v>
      </c>
      <c r="E1331" t="s">
        <v>716</v>
      </c>
    </row>
    <row r="1332" spans="1:5" hidden="1" x14ac:dyDescent="0.3">
      <c r="A1332" t="s">
        <v>557</v>
      </c>
      <c r="B1332" t="s">
        <v>715</v>
      </c>
      <c r="C1332" t="s">
        <v>104</v>
      </c>
      <c r="D1332" s="230">
        <v>0</v>
      </c>
      <c r="E1332" t="s">
        <v>716</v>
      </c>
    </row>
    <row r="1333" spans="1:5" hidden="1" x14ac:dyDescent="0.3">
      <c r="A1333" t="s">
        <v>557</v>
      </c>
      <c r="B1333" t="s">
        <v>715</v>
      </c>
      <c r="C1333" t="s">
        <v>105</v>
      </c>
      <c r="D1333" s="230">
        <v>0</v>
      </c>
      <c r="E1333" t="s">
        <v>716</v>
      </c>
    </row>
    <row r="1334" spans="1:5" hidden="1" x14ac:dyDescent="0.3">
      <c r="A1334" t="s">
        <v>557</v>
      </c>
      <c r="B1334" t="s">
        <v>715</v>
      </c>
      <c r="C1334" t="s">
        <v>107</v>
      </c>
      <c r="D1334" s="230">
        <v>0</v>
      </c>
      <c r="E1334" t="s">
        <v>716</v>
      </c>
    </row>
    <row r="1335" spans="1:5" hidden="1" x14ac:dyDescent="0.3">
      <c r="A1335" t="s">
        <v>557</v>
      </c>
      <c r="B1335" t="s">
        <v>715</v>
      </c>
      <c r="C1335" t="s">
        <v>108</v>
      </c>
      <c r="D1335" s="230">
        <v>0</v>
      </c>
      <c r="E1335" t="s">
        <v>716</v>
      </c>
    </row>
    <row r="1336" spans="1:5" hidden="1" x14ac:dyDescent="0.3">
      <c r="A1336" t="s">
        <v>557</v>
      </c>
      <c r="B1336" t="s">
        <v>715</v>
      </c>
      <c r="C1336" t="s">
        <v>109</v>
      </c>
      <c r="D1336" s="230">
        <v>0</v>
      </c>
      <c r="E1336" t="s">
        <v>716</v>
      </c>
    </row>
    <row r="1337" spans="1:5" hidden="1" x14ac:dyDescent="0.3">
      <c r="A1337" t="s">
        <v>557</v>
      </c>
      <c r="B1337" t="s">
        <v>715</v>
      </c>
      <c r="C1337" t="s">
        <v>110</v>
      </c>
      <c r="D1337" s="230">
        <v>0</v>
      </c>
      <c r="E1337" t="s">
        <v>716</v>
      </c>
    </row>
    <row r="1338" spans="1:5" hidden="1" x14ac:dyDescent="0.3">
      <c r="A1338" t="s">
        <v>557</v>
      </c>
      <c r="B1338" t="s">
        <v>715</v>
      </c>
      <c r="C1338" t="s">
        <v>44</v>
      </c>
      <c r="D1338" s="230">
        <v>0</v>
      </c>
      <c r="E1338" t="s">
        <v>716</v>
      </c>
    </row>
    <row r="1339" spans="1:5" hidden="1" x14ac:dyDescent="0.3">
      <c r="A1339" t="s">
        <v>557</v>
      </c>
      <c r="B1339" t="s">
        <v>715</v>
      </c>
      <c r="C1339" t="s">
        <v>111</v>
      </c>
      <c r="D1339" s="230">
        <v>-32038.1</v>
      </c>
      <c r="E1339" t="s">
        <v>716</v>
      </c>
    </row>
    <row r="1340" spans="1:5" hidden="1" x14ac:dyDescent="0.3">
      <c r="A1340" t="s">
        <v>557</v>
      </c>
      <c r="B1340" t="s">
        <v>715</v>
      </c>
      <c r="C1340" t="s">
        <v>608</v>
      </c>
      <c r="D1340" s="230">
        <v>-32038.1</v>
      </c>
      <c r="E1340" t="s">
        <v>716</v>
      </c>
    </row>
    <row r="1341" spans="1:5" hidden="1" x14ac:dyDescent="0.3">
      <c r="A1341" t="s">
        <v>557</v>
      </c>
      <c r="B1341" t="s">
        <v>715</v>
      </c>
      <c r="C1341" t="s">
        <v>44</v>
      </c>
      <c r="D1341" s="230">
        <v>-0.09</v>
      </c>
      <c r="E1341" t="s">
        <v>716</v>
      </c>
    </row>
    <row r="1342" spans="1:5" hidden="1" x14ac:dyDescent="0.3">
      <c r="A1342" t="s">
        <v>557</v>
      </c>
      <c r="B1342" t="s">
        <v>715</v>
      </c>
      <c r="C1342" t="s">
        <v>115</v>
      </c>
      <c r="D1342" s="230">
        <v>-7215.6</v>
      </c>
      <c r="E1342" t="s">
        <v>716</v>
      </c>
    </row>
    <row r="1343" spans="1:5" hidden="1" x14ac:dyDescent="0.3">
      <c r="A1343" t="s">
        <v>557</v>
      </c>
      <c r="B1343" t="s">
        <v>715</v>
      </c>
      <c r="C1343" t="s">
        <v>116</v>
      </c>
      <c r="D1343" s="230">
        <v>-7210.6</v>
      </c>
      <c r="E1343" t="s">
        <v>716</v>
      </c>
    </row>
    <row r="1344" spans="1:5" hidden="1" x14ac:dyDescent="0.3">
      <c r="A1344" t="s">
        <v>557</v>
      </c>
      <c r="B1344" t="s">
        <v>715</v>
      </c>
      <c r="C1344" t="s">
        <v>118</v>
      </c>
      <c r="D1344" s="230">
        <v>0</v>
      </c>
      <c r="E1344" t="s">
        <v>716</v>
      </c>
    </row>
    <row r="1345" spans="1:5" hidden="1" x14ac:dyDescent="0.3">
      <c r="A1345" t="s">
        <v>557</v>
      </c>
      <c r="B1345" t="s">
        <v>715</v>
      </c>
      <c r="C1345" t="s">
        <v>120</v>
      </c>
      <c r="D1345" s="230">
        <v>0</v>
      </c>
      <c r="E1345" t="s">
        <v>716</v>
      </c>
    </row>
    <row r="1346" spans="1:5" hidden="1" x14ac:dyDescent="0.3">
      <c r="A1346" t="s">
        <v>557</v>
      </c>
      <c r="B1346" t="s">
        <v>715</v>
      </c>
      <c r="C1346" t="s">
        <v>122</v>
      </c>
      <c r="D1346" s="230">
        <v>-5</v>
      </c>
      <c r="E1346" t="s">
        <v>716</v>
      </c>
    </row>
    <row r="1347" spans="1:5" hidden="1" x14ac:dyDescent="0.3">
      <c r="A1347" t="s">
        <v>557</v>
      </c>
      <c r="B1347" t="s">
        <v>715</v>
      </c>
      <c r="C1347" t="s">
        <v>44</v>
      </c>
      <c r="D1347" s="230">
        <v>-0.02</v>
      </c>
      <c r="E1347" t="s">
        <v>716</v>
      </c>
    </row>
    <row r="1348" spans="1:5" hidden="1" x14ac:dyDescent="0.3">
      <c r="A1348" t="s">
        <v>557</v>
      </c>
      <c r="B1348" t="s">
        <v>715</v>
      </c>
      <c r="C1348" t="s">
        <v>126</v>
      </c>
      <c r="D1348" s="230">
        <v>176443.73</v>
      </c>
      <c r="E1348" t="s">
        <v>716</v>
      </c>
    </row>
    <row r="1349" spans="1:5" hidden="1" x14ac:dyDescent="0.3">
      <c r="A1349" t="s">
        <v>557</v>
      </c>
      <c r="B1349" t="s">
        <v>715</v>
      </c>
      <c r="C1349" t="s">
        <v>127</v>
      </c>
      <c r="D1349" s="230">
        <v>0.48</v>
      </c>
      <c r="E1349" t="s">
        <v>716</v>
      </c>
    </row>
    <row r="1350" spans="1:5" hidden="1" x14ac:dyDescent="0.3">
      <c r="A1350" t="s">
        <v>557</v>
      </c>
      <c r="B1350" t="s">
        <v>715</v>
      </c>
      <c r="C1350" t="s">
        <v>128</v>
      </c>
      <c r="D1350" s="230">
        <v>-123204.2</v>
      </c>
      <c r="E1350" t="s">
        <v>716</v>
      </c>
    </row>
    <row r="1351" spans="1:5" hidden="1" x14ac:dyDescent="0.3">
      <c r="A1351" t="s">
        <v>557</v>
      </c>
      <c r="B1351" t="s">
        <v>715</v>
      </c>
      <c r="C1351" t="s">
        <v>129</v>
      </c>
      <c r="D1351" s="230">
        <v>-48452.800000000003</v>
      </c>
      <c r="E1351" t="s">
        <v>716</v>
      </c>
    </row>
    <row r="1352" spans="1:5" hidden="1" x14ac:dyDescent="0.3">
      <c r="A1352" t="s">
        <v>557</v>
      </c>
      <c r="B1352" t="s">
        <v>715</v>
      </c>
      <c r="C1352" t="s">
        <v>609</v>
      </c>
      <c r="D1352" s="230">
        <v>-600</v>
      </c>
      <c r="E1352" t="s">
        <v>716</v>
      </c>
    </row>
    <row r="1353" spans="1:5" hidden="1" x14ac:dyDescent="0.3">
      <c r="A1353" t="s">
        <v>557</v>
      </c>
      <c r="B1353" t="s">
        <v>715</v>
      </c>
      <c r="C1353" t="s">
        <v>610</v>
      </c>
      <c r="D1353" s="230">
        <v>-11000</v>
      </c>
      <c r="E1353" t="s">
        <v>716</v>
      </c>
    </row>
    <row r="1354" spans="1:5" hidden="1" x14ac:dyDescent="0.3">
      <c r="A1354" t="s">
        <v>557</v>
      </c>
      <c r="B1354" t="s">
        <v>715</v>
      </c>
      <c r="C1354" t="s">
        <v>611</v>
      </c>
      <c r="D1354" s="230">
        <v>-6600</v>
      </c>
      <c r="E1354" t="s">
        <v>716</v>
      </c>
    </row>
    <row r="1355" spans="1:5" hidden="1" x14ac:dyDescent="0.3">
      <c r="A1355" t="s">
        <v>557</v>
      </c>
      <c r="B1355" t="s">
        <v>715</v>
      </c>
      <c r="C1355" t="s">
        <v>612</v>
      </c>
      <c r="D1355" s="230">
        <v>-8252.7999999999993</v>
      </c>
      <c r="E1355" t="s">
        <v>716</v>
      </c>
    </row>
    <row r="1356" spans="1:5" hidden="1" x14ac:dyDescent="0.3">
      <c r="A1356" t="s">
        <v>557</v>
      </c>
      <c r="B1356" t="s">
        <v>715</v>
      </c>
      <c r="C1356" t="s">
        <v>613</v>
      </c>
      <c r="D1356" s="230">
        <v>-1200</v>
      </c>
      <c r="E1356" t="s">
        <v>716</v>
      </c>
    </row>
    <row r="1357" spans="1:5" hidden="1" x14ac:dyDescent="0.3">
      <c r="A1357" t="s">
        <v>557</v>
      </c>
      <c r="B1357" t="s">
        <v>715</v>
      </c>
      <c r="C1357" t="s">
        <v>614</v>
      </c>
      <c r="D1357" s="230">
        <v>-12000</v>
      </c>
      <c r="E1357" t="s">
        <v>716</v>
      </c>
    </row>
    <row r="1358" spans="1:5" hidden="1" x14ac:dyDescent="0.3">
      <c r="A1358" t="s">
        <v>557</v>
      </c>
      <c r="B1358" t="s">
        <v>715</v>
      </c>
      <c r="C1358" t="s">
        <v>615</v>
      </c>
      <c r="D1358" s="230">
        <v>0</v>
      </c>
      <c r="E1358" t="s">
        <v>716</v>
      </c>
    </row>
    <row r="1359" spans="1:5" hidden="1" x14ac:dyDescent="0.3">
      <c r="A1359" t="s">
        <v>557</v>
      </c>
      <c r="B1359" t="s">
        <v>715</v>
      </c>
      <c r="C1359" t="s">
        <v>616</v>
      </c>
      <c r="D1359" s="230">
        <v>-8800</v>
      </c>
      <c r="E1359" t="s">
        <v>716</v>
      </c>
    </row>
    <row r="1360" spans="1:5" hidden="1" x14ac:dyDescent="0.3">
      <c r="A1360" t="s">
        <v>557</v>
      </c>
      <c r="B1360" t="s">
        <v>715</v>
      </c>
      <c r="C1360" t="s">
        <v>617</v>
      </c>
      <c r="D1360" s="230">
        <v>0</v>
      </c>
      <c r="E1360" t="s">
        <v>716</v>
      </c>
    </row>
    <row r="1361" spans="1:5" hidden="1" x14ac:dyDescent="0.3">
      <c r="A1361" t="s">
        <v>557</v>
      </c>
      <c r="B1361" t="s">
        <v>715</v>
      </c>
      <c r="C1361" t="s">
        <v>618</v>
      </c>
      <c r="D1361" s="230">
        <v>0</v>
      </c>
      <c r="E1361" t="s">
        <v>716</v>
      </c>
    </row>
    <row r="1362" spans="1:5" hidden="1" x14ac:dyDescent="0.3">
      <c r="A1362" t="s">
        <v>557</v>
      </c>
      <c r="B1362" t="s">
        <v>715</v>
      </c>
      <c r="C1362" t="s">
        <v>619</v>
      </c>
      <c r="D1362" s="230">
        <v>0</v>
      </c>
      <c r="E1362" t="s">
        <v>716</v>
      </c>
    </row>
    <row r="1363" spans="1:5" hidden="1" x14ac:dyDescent="0.3">
      <c r="A1363" t="s">
        <v>557</v>
      </c>
      <c r="B1363" t="s">
        <v>715</v>
      </c>
      <c r="C1363" t="s">
        <v>620</v>
      </c>
      <c r="D1363" s="230">
        <v>0</v>
      </c>
      <c r="E1363" t="s">
        <v>716</v>
      </c>
    </row>
    <row r="1364" spans="1:5" hidden="1" x14ac:dyDescent="0.3">
      <c r="A1364" t="s">
        <v>557</v>
      </c>
      <c r="B1364" t="s">
        <v>715</v>
      </c>
      <c r="C1364" t="s">
        <v>575</v>
      </c>
      <c r="D1364" s="230">
        <v>-38209.699999999997</v>
      </c>
      <c r="E1364" t="s">
        <v>716</v>
      </c>
    </row>
    <row r="1365" spans="1:5" hidden="1" x14ac:dyDescent="0.3">
      <c r="A1365" t="s">
        <v>557</v>
      </c>
      <c r="B1365" t="s">
        <v>715</v>
      </c>
      <c r="C1365" t="s">
        <v>621</v>
      </c>
      <c r="D1365" s="230">
        <v>0</v>
      </c>
      <c r="E1365" t="s">
        <v>716</v>
      </c>
    </row>
    <row r="1366" spans="1:5" hidden="1" x14ac:dyDescent="0.3">
      <c r="A1366" t="s">
        <v>557</v>
      </c>
      <c r="B1366" t="s">
        <v>715</v>
      </c>
      <c r="C1366" t="s">
        <v>622</v>
      </c>
      <c r="D1366" s="230">
        <v>0</v>
      </c>
      <c r="E1366" t="s">
        <v>716</v>
      </c>
    </row>
    <row r="1367" spans="1:5" hidden="1" x14ac:dyDescent="0.3">
      <c r="A1367" t="s">
        <v>557</v>
      </c>
      <c r="B1367" t="s">
        <v>715</v>
      </c>
      <c r="C1367" t="s">
        <v>623</v>
      </c>
      <c r="D1367" s="230">
        <v>0</v>
      </c>
      <c r="E1367" t="s">
        <v>716</v>
      </c>
    </row>
    <row r="1368" spans="1:5" hidden="1" x14ac:dyDescent="0.3">
      <c r="A1368" t="s">
        <v>557</v>
      </c>
      <c r="B1368" t="s">
        <v>715</v>
      </c>
      <c r="C1368" t="s">
        <v>624</v>
      </c>
      <c r="D1368" s="230">
        <v>0</v>
      </c>
      <c r="E1368" t="s">
        <v>716</v>
      </c>
    </row>
    <row r="1369" spans="1:5" hidden="1" x14ac:dyDescent="0.3">
      <c r="A1369" t="s">
        <v>557</v>
      </c>
      <c r="B1369" t="s">
        <v>715</v>
      </c>
      <c r="C1369" t="s">
        <v>625</v>
      </c>
      <c r="D1369" s="230">
        <v>0</v>
      </c>
      <c r="E1369" t="s">
        <v>716</v>
      </c>
    </row>
    <row r="1370" spans="1:5" hidden="1" x14ac:dyDescent="0.3">
      <c r="A1370" t="s">
        <v>557</v>
      </c>
      <c r="B1370" t="s">
        <v>715</v>
      </c>
      <c r="C1370" t="s">
        <v>626</v>
      </c>
      <c r="D1370" s="230">
        <v>0</v>
      </c>
      <c r="E1370" t="s">
        <v>716</v>
      </c>
    </row>
    <row r="1371" spans="1:5" hidden="1" x14ac:dyDescent="0.3">
      <c r="A1371" t="s">
        <v>557</v>
      </c>
      <c r="B1371" t="s">
        <v>715</v>
      </c>
      <c r="C1371" t="s">
        <v>627</v>
      </c>
      <c r="D1371" s="230">
        <v>0</v>
      </c>
      <c r="E1371" t="s">
        <v>716</v>
      </c>
    </row>
    <row r="1372" spans="1:5" hidden="1" x14ac:dyDescent="0.3">
      <c r="A1372" t="s">
        <v>557</v>
      </c>
      <c r="B1372" t="s">
        <v>715</v>
      </c>
      <c r="C1372" t="s">
        <v>628</v>
      </c>
      <c r="D1372" s="230">
        <v>0</v>
      </c>
      <c r="E1372" t="s">
        <v>716</v>
      </c>
    </row>
    <row r="1373" spans="1:5" hidden="1" x14ac:dyDescent="0.3">
      <c r="A1373" t="s">
        <v>557</v>
      </c>
      <c r="B1373" t="s">
        <v>715</v>
      </c>
      <c r="C1373" t="s">
        <v>629</v>
      </c>
      <c r="D1373" s="230">
        <v>0</v>
      </c>
      <c r="E1373" t="s">
        <v>716</v>
      </c>
    </row>
    <row r="1374" spans="1:5" hidden="1" x14ac:dyDescent="0.3">
      <c r="A1374" t="s">
        <v>557</v>
      </c>
      <c r="B1374" t="s">
        <v>715</v>
      </c>
      <c r="C1374" t="s">
        <v>630</v>
      </c>
      <c r="D1374" s="230">
        <v>0</v>
      </c>
      <c r="E1374" t="s">
        <v>716</v>
      </c>
    </row>
    <row r="1375" spans="1:5" hidden="1" x14ac:dyDescent="0.3">
      <c r="A1375" t="s">
        <v>557</v>
      </c>
      <c r="B1375" t="s">
        <v>715</v>
      </c>
      <c r="C1375" t="s">
        <v>631</v>
      </c>
      <c r="D1375" s="230">
        <v>0</v>
      </c>
      <c r="E1375" t="s">
        <v>716</v>
      </c>
    </row>
    <row r="1376" spans="1:5" hidden="1" x14ac:dyDescent="0.3">
      <c r="A1376" t="s">
        <v>557</v>
      </c>
      <c r="B1376" t="s">
        <v>715</v>
      </c>
      <c r="C1376" t="s">
        <v>632</v>
      </c>
      <c r="D1376" s="230">
        <v>0</v>
      </c>
      <c r="E1376" t="s">
        <v>716</v>
      </c>
    </row>
    <row r="1377" spans="1:5" hidden="1" x14ac:dyDescent="0.3">
      <c r="A1377" t="s">
        <v>557</v>
      </c>
      <c r="B1377" t="s">
        <v>715</v>
      </c>
      <c r="C1377" t="s">
        <v>633</v>
      </c>
      <c r="D1377" s="230">
        <v>0</v>
      </c>
      <c r="E1377" t="s">
        <v>716</v>
      </c>
    </row>
    <row r="1378" spans="1:5" hidden="1" x14ac:dyDescent="0.3">
      <c r="A1378" t="s">
        <v>557</v>
      </c>
      <c r="B1378" t="s">
        <v>715</v>
      </c>
      <c r="C1378" t="s">
        <v>634</v>
      </c>
      <c r="D1378" s="230">
        <v>0</v>
      </c>
      <c r="E1378" t="s">
        <v>716</v>
      </c>
    </row>
    <row r="1379" spans="1:5" hidden="1" x14ac:dyDescent="0.3">
      <c r="A1379" t="s">
        <v>557</v>
      </c>
      <c r="B1379" t="s">
        <v>715</v>
      </c>
      <c r="C1379" t="s">
        <v>635</v>
      </c>
      <c r="D1379" s="230">
        <v>0</v>
      </c>
      <c r="E1379" t="s">
        <v>716</v>
      </c>
    </row>
    <row r="1380" spans="1:5" hidden="1" x14ac:dyDescent="0.3">
      <c r="A1380" t="s">
        <v>557</v>
      </c>
      <c r="B1380" t="s">
        <v>715</v>
      </c>
      <c r="C1380" t="s">
        <v>636</v>
      </c>
      <c r="D1380" s="230">
        <v>0</v>
      </c>
      <c r="E1380" t="s">
        <v>716</v>
      </c>
    </row>
    <row r="1381" spans="1:5" hidden="1" x14ac:dyDescent="0.3">
      <c r="A1381" t="s">
        <v>557</v>
      </c>
      <c r="B1381" t="s">
        <v>715</v>
      </c>
      <c r="C1381" t="s">
        <v>637</v>
      </c>
      <c r="D1381" s="230">
        <v>0</v>
      </c>
      <c r="E1381" t="s">
        <v>716</v>
      </c>
    </row>
    <row r="1382" spans="1:5" hidden="1" x14ac:dyDescent="0.3">
      <c r="A1382" t="s">
        <v>557</v>
      </c>
      <c r="B1382" t="s">
        <v>715</v>
      </c>
      <c r="C1382" t="s">
        <v>638</v>
      </c>
      <c r="D1382" s="230">
        <v>0</v>
      </c>
      <c r="E1382" t="s">
        <v>716</v>
      </c>
    </row>
    <row r="1383" spans="1:5" hidden="1" x14ac:dyDescent="0.3">
      <c r="A1383" t="s">
        <v>557</v>
      </c>
      <c r="B1383" t="s">
        <v>715</v>
      </c>
      <c r="C1383" t="s">
        <v>639</v>
      </c>
      <c r="D1383" s="230">
        <v>0</v>
      </c>
      <c r="E1383" t="s">
        <v>716</v>
      </c>
    </row>
    <row r="1384" spans="1:5" hidden="1" x14ac:dyDescent="0.3">
      <c r="A1384" t="s">
        <v>557</v>
      </c>
      <c r="B1384" t="s">
        <v>715</v>
      </c>
      <c r="C1384" t="s">
        <v>640</v>
      </c>
      <c r="D1384" s="230">
        <v>0</v>
      </c>
      <c r="E1384" t="s">
        <v>716</v>
      </c>
    </row>
    <row r="1385" spans="1:5" hidden="1" x14ac:dyDescent="0.3">
      <c r="A1385" t="s">
        <v>557</v>
      </c>
      <c r="B1385" t="s">
        <v>715</v>
      </c>
      <c r="C1385" t="s">
        <v>641</v>
      </c>
      <c r="D1385" s="230">
        <v>0</v>
      </c>
      <c r="E1385" t="s">
        <v>716</v>
      </c>
    </row>
    <row r="1386" spans="1:5" hidden="1" x14ac:dyDescent="0.3">
      <c r="A1386" t="s">
        <v>557</v>
      </c>
      <c r="B1386" t="s">
        <v>715</v>
      </c>
      <c r="C1386" t="s">
        <v>642</v>
      </c>
      <c r="D1386" s="230">
        <v>0</v>
      </c>
      <c r="E1386" t="s">
        <v>716</v>
      </c>
    </row>
    <row r="1387" spans="1:5" hidden="1" x14ac:dyDescent="0.3">
      <c r="A1387" t="s">
        <v>557</v>
      </c>
      <c r="B1387" t="s">
        <v>715</v>
      </c>
      <c r="C1387" t="s">
        <v>643</v>
      </c>
      <c r="D1387" s="230">
        <v>0</v>
      </c>
      <c r="E1387" t="s">
        <v>716</v>
      </c>
    </row>
    <row r="1388" spans="1:5" hidden="1" x14ac:dyDescent="0.3">
      <c r="A1388" t="s">
        <v>557</v>
      </c>
      <c r="B1388" t="s">
        <v>715</v>
      </c>
      <c r="C1388" t="s">
        <v>644</v>
      </c>
      <c r="D1388" s="230">
        <v>0</v>
      </c>
      <c r="E1388" t="s">
        <v>716</v>
      </c>
    </row>
    <row r="1389" spans="1:5" hidden="1" x14ac:dyDescent="0.3">
      <c r="A1389" t="s">
        <v>557</v>
      </c>
      <c r="B1389" t="s">
        <v>715</v>
      </c>
      <c r="C1389" t="s">
        <v>645</v>
      </c>
      <c r="D1389" s="230">
        <v>0</v>
      </c>
      <c r="E1389" t="s">
        <v>716</v>
      </c>
    </row>
    <row r="1390" spans="1:5" hidden="1" x14ac:dyDescent="0.3">
      <c r="A1390" t="s">
        <v>557</v>
      </c>
      <c r="B1390" t="s">
        <v>715</v>
      </c>
      <c r="C1390" t="s">
        <v>646</v>
      </c>
      <c r="D1390" s="230">
        <v>0</v>
      </c>
      <c r="E1390" t="s">
        <v>716</v>
      </c>
    </row>
    <row r="1391" spans="1:5" hidden="1" x14ac:dyDescent="0.3">
      <c r="A1391" t="s">
        <v>557</v>
      </c>
      <c r="B1391" t="s">
        <v>715</v>
      </c>
      <c r="C1391" t="s">
        <v>647</v>
      </c>
      <c r="D1391" s="230">
        <v>0</v>
      </c>
      <c r="E1391" t="s">
        <v>716</v>
      </c>
    </row>
    <row r="1392" spans="1:5" hidden="1" x14ac:dyDescent="0.3">
      <c r="A1392" t="s">
        <v>557</v>
      </c>
      <c r="B1392" t="s">
        <v>715</v>
      </c>
      <c r="C1392" t="s">
        <v>648</v>
      </c>
      <c r="D1392" s="230">
        <v>0</v>
      </c>
      <c r="E1392" t="s">
        <v>716</v>
      </c>
    </row>
    <row r="1393" spans="1:5" hidden="1" x14ac:dyDescent="0.3">
      <c r="A1393" t="s">
        <v>557</v>
      </c>
      <c r="B1393" t="s">
        <v>715</v>
      </c>
      <c r="C1393" t="s">
        <v>649</v>
      </c>
      <c r="D1393" s="230">
        <v>0</v>
      </c>
      <c r="E1393" t="s">
        <v>716</v>
      </c>
    </row>
    <row r="1394" spans="1:5" hidden="1" x14ac:dyDescent="0.3">
      <c r="A1394" t="s">
        <v>557</v>
      </c>
      <c r="B1394" t="s">
        <v>715</v>
      </c>
      <c r="C1394" t="s">
        <v>650</v>
      </c>
      <c r="D1394" s="230">
        <v>0</v>
      </c>
      <c r="E1394" t="s">
        <v>716</v>
      </c>
    </row>
    <row r="1395" spans="1:5" hidden="1" x14ac:dyDescent="0.3">
      <c r="A1395" t="s">
        <v>557</v>
      </c>
      <c r="B1395" t="s">
        <v>715</v>
      </c>
      <c r="C1395" t="s">
        <v>651</v>
      </c>
      <c r="D1395" s="230">
        <v>0</v>
      </c>
      <c r="E1395" t="s">
        <v>716</v>
      </c>
    </row>
    <row r="1396" spans="1:5" hidden="1" x14ac:dyDescent="0.3">
      <c r="A1396" t="s">
        <v>557</v>
      </c>
      <c r="B1396" t="s">
        <v>715</v>
      </c>
      <c r="C1396" t="s">
        <v>652</v>
      </c>
      <c r="D1396" s="230">
        <v>0</v>
      </c>
      <c r="E1396" t="s">
        <v>716</v>
      </c>
    </row>
    <row r="1397" spans="1:5" hidden="1" x14ac:dyDescent="0.3">
      <c r="A1397" t="s">
        <v>557</v>
      </c>
      <c r="B1397" t="s">
        <v>715</v>
      </c>
      <c r="C1397" t="s">
        <v>653</v>
      </c>
      <c r="D1397" s="230">
        <v>0</v>
      </c>
      <c r="E1397" t="s">
        <v>716</v>
      </c>
    </row>
    <row r="1398" spans="1:5" hidden="1" x14ac:dyDescent="0.3">
      <c r="A1398" t="s">
        <v>557</v>
      </c>
      <c r="B1398" t="s">
        <v>715</v>
      </c>
      <c r="C1398" t="s">
        <v>654</v>
      </c>
      <c r="D1398" s="230">
        <v>0</v>
      </c>
      <c r="E1398" t="s">
        <v>716</v>
      </c>
    </row>
    <row r="1399" spans="1:5" hidden="1" x14ac:dyDescent="0.3">
      <c r="A1399" t="s">
        <v>557</v>
      </c>
      <c r="B1399" t="s">
        <v>715</v>
      </c>
      <c r="C1399" t="s">
        <v>655</v>
      </c>
      <c r="D1399" s="230">
        <v>0</v>
      </c>
      <c r="E1399" t="s">
        <v>716</v>
      </c>
    </row>
    <row r="1400" spans="1:5" hidden="1" x14ac:dyDescent="0.3">
      <c r="A1400" t="s">
        <v>557</v>
      </c>
      <c r="B1400" t="s">
        <v>715</v>
      </c>
      <c r="C1400" t="s">
        <v>656</v>
      </c>
      <c r="D1400" s="230">
        <v>0</v>
      </c>
      <c r="E1400" t="s">
        <v>716</v>
      </c>
    </row>
    <row r="1401" spans="1:5" hidden="1" x14ac:dyDescent="0.3">
      <c r="A1401" t="s">
        <v>557</v>
      </c>
      <c r="B1401" t="s">
        <v>715</v>
      </c>
      <c r="C1401" t="s">
        <v>657</v>
      </c>
      <c r="D1401" s="230">
        <v>0</v>
      </c>
      <c r="E1401" t="s">
        <v>716</v>
      </c>
    </row>
    <row r="1402" spans="1:5" hidden="1" x14ac:dyDescent="0.3">
      <c r="A1402" t="s">
        <v>557</v>
      </c>
      <c r="B1402" t="s">
        <v>715</v>
      </c>
      <c r="C1402" t="s">
        <v>658</v>
      </c>
      <c r="D1402" s="230">
        <v>0</v>
      </c>
      <c r="E1402" t="s">
        <v>716</v>
      </c>
    </row>
    <row r="1403" spans="1:5" hidden="1" x14ac:dyDescent="0.3">
      <c r="A1403" t="s">
        <v>557</v>
      </c>
      <c r="B1403" t="s">
        <v>715</v>
      </c>
      <c r="C1403" t="s">
        <v>659</v>
      </c>
      <c r="D1403" s="230">
        <v>0</v>
      </c>
      <c r="E1403" t="s">
        <v>716</v>
      </c>
    </row>
    <row r="1404" spans="1:5" hidden="1" x14ac:dyDescent="0.3">
      <c r="A1404" t="s">
        <v>557</v>
      </c>
      <c r="B1404" t="s">
        <v>715</v>
      </c>
      <c r="C1404" t="s">
        <v>660</v>
      </c>
      <c r="D1404" s="230">
        <v>0</v>
      </c>
      <c r="E1404" t="s">
        <v>716</v>
      </c>
    </row>
    <row r="1405" spans="1:5" hidden="1" x14ac:dyDescent="0.3">
      <c r="A1405" t="s">
        <v>557</v>
      </c>
      <c r="B1405" t="s">
        <v>715</v>
      </c>
      <c r="C1405" t="s">
        <v>661</v>
      </c>
      <c r="D1405" s="230">
        <v>0</v>
      </c>
      <c r="E1405" t="s">
        <v>716</v>
      </c>
    </row>
    <row r="1406" spans="1:5" hidden="1" x14ac:dyDescent="0.3">
      <c r="A1406" t="s">
        <v>557</v>
      </c>
      <c r="B1406" t="s">
        <v>715</v>
      </c>
      <c r="C1406" t="s">
        <v>662</v>
      </c>
      <c r="D1406" s="230">
        <v>0</v>
      </c>
      <c r="E1406" t="s">
        <v>716</v>
      </c>
    </row>
    <row r="1407" spans="1:5" hidden="1" x14ac:dyDescent="0.3">
      <c r="A1407" t="s">
        <v>557</v>
      </c>
      <c r="B1407" t="s">
        <v>715</v>
      </c>
      <c r="C1407" t="s">
        <v>663</v>
      </c>
      <c r="D1407" s="230">
        <v>0</v>
      </c>
      <c r="E1407" t="s">
        <v>716</v>
      </c>
    </row>
    <row r="1408" spans="1:5" hidden="1" x14ac:dyDescent="0.3">
      <c r="A1408" t="s">
        <v>557</v>
      </c>
      <c r="B1408" t="s">
        <v>715</v>
      </c>
      <c r="C1408" t="s">
        <v>664</v>
      </c>
      <c r="D1408" s="230">
        <v>0</v>
      </c>
      <c r="E1408" t="s">
        <v>716</v>
      </c>
    </row>
    <row r="1409" spans="1:5" hidden="1" x14ac:dyDescent="0.3">
      <c r="A1409" t="s">
        <v>557</v>
      </c>
      <c r="B1409" t="s">
        <v>715</v>
      </c>
      <c r="C1409" t="s">
        <v>665</v>
      </c>
      <c r="D1409" s="230">
        <v>0</v>
      </c>
      <c r="E1409" t="s">
        <v>716</v>
      </c>
    </row>
    <row r="1410" spans="1:5" hidden="1" x14ac:dyDescent="0.3">
      <c r="A1410" t="s">
        <v>557</v>
      </c>
      <c r="B1410" t="s">
        <v>715</v>
      </c>
      <c r="C1410" t="s">
        <v>666</v>
      </c>
      <c r="D1410" s="230">
        <v>0</v>
      </c>
      <c r="E1410" t="s">
        <v>716</v>
      </c>
    </row>
    <row r="1411" spans="1:5" hidden="1" x14ac:dyDescent="0.3">
      <c r="A1411" t="s">
        <v>557</v>
      </c>
      <c r="B1411" t="s">
        <v>715</v>
      </c>
      <c r="C1411" t="s">
        <v>667</v>
      </c>
      <c r="D1411" s="230">
        <v>0</v>
      </c>
      <c r="E1411" t="s">
        <v>716</v>
      </c>
    </row>
    <row r="1412" spans="1:5" hidden="1" x14ac:dyDescent="0.3">
      <c r="A1412" t="s">
        <v>557</v>
      </c>
      <c r="B1412" t="s">
        <v>715</v>
      </c>
      <c r="C1412" t="s">
        <v>668</v>
      </c>
      <c r="D1412" s="230">
        <v>0</v>
      </c>
      <c r="E1412" t="s">
        <v>716</v>
      </c>
    </row>
    <row r="1413" spans="1:5" hidden="1" x14ac:dyDescent="0.3">
      <c r="A1413" t="s">
        <v>557</v>
      </c>
      <c r="B1413" t="s">
        <v>715</v>
      </c>
      <c r="C1413" t="s">
        <v>669</v>
      </c>
      <c r="D1413" s="230">
        <v>0</v>
      </c>
      <c r="E1413" t="s">
        <v>716</v>
      </c>
    </row>
    <row r="1414" spans="1:5" hidden="1" x14ac:dyDescent="0.3">
      <c r="A1414" t="s">
        <v>557</v>
      </c>
      <c r="B1414" t="s">
        <v>715</v>
      </c>
      <c r="C1414" t="s">
        <v>670</v>
      </c>
      <c r="D1414" s="230">
        <v>0</v>
      </c>
      <c r="E1414" t="s">
        <v>716</v>
      </c>
    </row>
    <row r="1415" spans="1:5" hidden="1" x14ac:dyDescent="0.3">
      <c r="A1415" t="s">
        <v>557</v>
      </c>
      <c r="B1415" t="s">
        <v>715</v>
      </c>
      <c r="C1415" t="s">
        <v>671</v>
      </c>
      <c r="D1415" s="230">
        <v>0</v>
      </c>
      <c r="E1415" t="s">
        <v>716</v>
      </c>
    </row>
    <row r="1416" spans="1:5" hidden="1" x14ac:dyDescent="0.3">
      <c r="A1416" t="s">
        <v>557</v>
      </c>
      <c r="B1416" t="s">
        <v>715</v>
      </c>
      <c r="C1416" t="s">
        <v>672</v>
      </c>
      <c r="D1416" s="230">
        <v>0</v>
      </c>
      <c r="E1416" t="s">
        <v>716</v>
      </c>
    </row>
    <row r="1417" spans="1:5" hidden="1" x14ac:dyDescent="0.3">
      <c r="A1417" t="s">
        <v>557</v>
      </c>
      <c r="B1417" t="s">
        <v>715</v>
      </c>
      <c r="C1417" t="s">
        <v>673</v>
      </c>
      <c r="D1417" s="230">
        <v>0</v>
      </c>
      <c r="E1417" t="s">
        <v>716</v>
      </c>
    </row>
    <row r="1418" spans="1:5" hidden="1" x14ac:dyDescent="0.3">
      <c r="A1418" t="s">
        <v>557</v>
      </c>
      <c r="B1418" t="s">
        <v>715</v>
      </c>
      <c r="C1418" t="s">
        <v>674</v>
      </c>
      <c r="D1418" s="230">
        <v>0</v>
      </c>
      <c r="E1418" t="s">
        <v>716</v>
      </c>
    </row>
    <row r="1419" spans="1:5" hidden="1" x14ac:dyDescent="0.3">
      <c r="A1419" t="s">
        <v>557</v>
      </c>
      <c r="B1419" t="s">
        <v>715</v>
      </c>
      <c r="C1419" t="s">
        <v>675</v>
      </c>
      <c r="D1419" s="230">
        <v>0</v>
      </c>
      <c r="E1419" t="s">
        <v>716</v>
      </c>
    </row>
    <row r="1420" spans="1:5" hidden="1" x14ac:dyDescent="0.3">
      <c r="A1420" t="s">
        <v>557</v>
      </c>
      <c r="B1420" t="s">
        <v>715</v>
      </c>
      <c r="C1420" t="s">
        <v>676</v>
      </c>
      <c r="D1420" s="230">
        <v>0</v>
      </c>
      <c r="E1420" t="s">
        <v>716</v>
      </c>
    </row>
    <row r="1421" spans="1:5" hidden="1" x14ac:dyDescent="0.3">
      <c r="A1421" t="s">
        <v>557</v>
      </c>
      <c r="B1421" t="s">
        <v>715</v>
      </c>
      <c r="C1421" t="s">
        <v>677</v>
      </c>
      <c r="D1421" s="230">
        <v>0</v>
      </c>
      <c r="E1421" t="s">
        <v>716</v>
      </c>
    </row>
    <row r="1422" spans="1:5" hidden="1" x14ac:dyDescent="0.3">
      <c r="A1422" t="s">
        <v>557</v>
      </c>
      <c r="B1422" t="s">
        <v>715</v>
      </c>
      <c r="C1422" t="s">
        <v>201</v>
      </c>
      <c r="D1422" s="230">
        <v>-7265.5</v>
      </c>
      <c r="E1422" t="s">
        <v>716</v>
      </c>
    </row>
    <row r="1423" spans="1:5" hidden="1" x14ac:dyDescent="0.3">
      <c r="A1423" t="s">
        <v>557</v>
      </c>
      <c r="B1423" t="s">
        <v>715</v>
      </c>
      <c r="C1423" t="s">
        <v>203</v>
      </c>
      <c r="D1423" s="230">
        <v>-7265.5</v>
      </c>
      <c r="E1423" t="s">
        <v>716</v>
      </c>
    </row>
    <row r="1424" spans="1:5" hidden="1" x14ac:dyDescent="0.3">
      <c r="A1424" t="s">
        <v>557</v>
      </c>
      <c r="B1424" t="s">
        <v>715</v>
      </c>
      <c r="C1424" t="s">
        <v>678</v>
      </c>
      <c r="D1424" s="230">
        <v>3632.75</v>
      </c>
      <c r="E1424" t="s">
        <v>716</v>
      </c>
    </row>
    <row r="1425" spans="1:5" hidden="1" x14ac:dyDescent="0.3">
      <c r="A1425" t="s">
        <v>557</v>
      </c>
      <c r="B1425" t="s">
        <v>715</v>
      </c>
      <c r="C1425" t="s">
        <v>205</v>
      </c>
      <c r="D1425" s="230">
        <v>-18625.88</v>
      </c>
      <c r="E1425" t="s">
        <v>716</v>
      </c>
    </row>
    <row r="1426" spans="1:5" hidden="1" x14ac:dyDescent="0.3">
      <c r="A1426" t="s">
        <v>557</v>
      </c>
      <c r="B1426" t="s">
        <v>715</v>
      </c>
      <c r="C1426" t="s">
        <v>679</v>
      </c>
      <c r="D1426" s="230">
        <v>-4827.17</v>
      </c>
      <c r="E1426" t="s">
        <v>716</v>
      </c>
    </row>
    <row r="1427" spans="1:5" hidden="1" x14ac:dyDescent="0.3">
      <c r="A1427" t="s">
        <v>557</v>
      </c>
      <c r="B1427" t="s">
        <v>715</v>
      </c>
      <c r="C1427" t="s">
        <v>680</v>
      </c>
      <c r="D1427" s="230">
        <v>0</v>
      </c>
      <c r="E1427" t="s">
        <v>716</v>
      </c>
    </row>
    <row r="1428" spans="1:5" hidden="1" x14ac:dyDescent="0.3">
      <c r="A1428" t="s">
        <v>557</v>
      </c>
      <c r="B1428" t="s">
        <v>715</v>
      </c>
      <c r="C1428" t="s">
        <v>681</v>
      </c>
      <c r="D1428" s="230">
        <v>0</v>
      </c>
      <c r="E1428" t="s">
        <v>716</v>
      </c>
    </row>
    <row r="1429" spans="1:5" hidden="1" x14ac:dyDescent="0.3">
      <c r="A1429" t="s">
        <v>557</v>
      </c>
      <c r="B1429" t="s">
        <v>715</v>
      </c>
      <c r="C1429" t="s">
        <v>682</v>
      </c>
      <c r="D1429" s="230">
        <v>-5111.6400000000003</v>
      </c>
      <c r="E1429" t="s">
        <v>716</v>
      </c>
    </row>
    <row r="1430" spans="1:5" hidden="1" x14ac:dyDescent="0.3">
      <c r="A1430" t="s">
        <v>557</v>
      </c>
      <c r="B1430" t="s">
        <v>715</v>
      </c>
      <c r="C1430" t="s">
        <v>683</v>
      </c>
      <c r="D1430" s="230">
        <v>-1532.27</v>
      </c>
      <c r="E1430" t="s">
        <v>716</v>
      </c>
    </row>
    <row r="1431" spans="1:5" hidden="1" x14ac:dyDescent="0.3">
      <c r="A1431" t="s">
        <v>557</v>
      </c>
      <c r="B1431" t="s">
        <v>715</v>
      </c>
      <c r="C1431" t="s">
        <v>684</v>
      </c>
      <c r="D1431" s="230">
        <v>-1722.27</v>
      </c>
      <c r="E1431" t="s">
        <v>716</v>
      </c>
    </row>
    <row r="1432" spans="1:5" hidden="1" x14ac:dyDescent="0.3">
      <c r="A1432" t="s">
        <v>557</v>
      </c>
      <c r="B1432" t="s">
        <v>715</v>
      </c>
      <c r="C1432" t="s">
        <v>685</v>
      </c>
      <c r="D1432" s="230">
        <v>-514.84</v>
      </c>
      <c r="E1432" t="s">
        <v>716</v>
      </c>
    </row>
    <row r="1433" spans="1:5" hidden="1" x14ac:dyDescent="0.3">
      <c r="A1433" t="s">
        <v>557</v>
      </c>
      <c r="B1433" t="s">
        <v>715</v>
      </c>
      <c r="C1433" t="s">
        <v>686</v>
      </c>
      <c r="D1433" s="230">
        <v>0</v>
      </c>
      <c r="E1433" t="s">
        <v>716</v>
      </c>
    </row>
    <row r="1434" spans="1:5" hidden="1" x14ac:dyDescent="0.3">
      <c r="A1434" t="s">
        <v>557</v>
      </c>
      <c r="B1434" t="s">
        <v>715</v>
      </c>
      <c r="C1434" t="s">
        <v>687</v>
      </c>
      <c r="D1434" s="230">
        <v>0</v>
      </c>
      <c r="E1434" t="s">
        <v>716</v>
      </c>
    </row>
    <row r="1435" spans="1:5" hidden="1" x14ac:dyDescent="0.3">
      <c r="A1435" t="s">
        <v>557</v>
      </c>
      <c r="B1435" t="s">
        <v>715</v>
      </c>
      <c r="C1435" t="s">
        <v>688</v>
      </c>
      <c r="D1435" s="230">
        <v>0</v>
      </c>
      <c r="E1435" t="s">
        <v>716</v>
      </c>
    </row>
    <row r="1436" spans="1:5" hidden="1" x14ac:dyDescent="0.3">
      <c r="A1436" t="s">
        <v>557</v>
      </c>
      <c r="B1436" t="s">
        <v>715</v>
      </c>
      <c r="C1436" t="s">
        <v>689</v>
      </c>
      <c r="D1436" s="230">
        <v>-113.3</v>
      </c>
      <c r="E1436" t="s">
        <v>716</v>
      </c>
    </row>
    <row r="1437" spans="1:5" hidden="1" x14ac:dyDescent="0.3">
      <c r="A1437" t="s">
        <v>557</v>
      </c>
      <c r="B1437" t="s">
        <v>715</v>
      </c>
      <c r="C1437" t="s">
        <v>690</v>
      </c>
      <c r="D1437" s="230">
        <v>-2000</v>
      </c>
      <c r="E1437" t="s">
        <v>716</v>
      </c>
    </row>
    <row r="1438" spans="1:5" hidden="1" x14ac:dyDescent="0.3">
      <c r="A1438" t="s">
        <v>557</v>
      </c>
      <c r="B1438" t="s">
        <v>715</v>
      </c>
      <c r="C1438" t="s">
        <v>691</v>
      </c>
      <c r="D1438" s="230">
        <v>0</v>
      </c>
      <c r="E1438" t="s">
        <v>716</v>
      </c>
    </row>
    <row r="1439" spans="1:5" hidden="1" x14ac:dyDescent="0.3">
      <c r="A1439" t="s">
        <v>557</v>
      </c>
      <c r="B1439" t="s">
        <v>715</v>
      </c>
      <c r="C1439" t="s">
        <v>692</v>
      </c>
      <c r="D1439" s="230">
        <v>-2651.39</v>
      </c>
      <c r="E1439" t="s">
        <v>716</v>
      </c>
    </row>
    <row r="1440" spans="1:5" hidden="1" x14ac:dyDescent="0.3">
      <c r="A1440" t="s">
        <v>557</v>
      </c>
      <c r="B1440" t="s">
        <v>715</v>
      </c>
      <c r="C1440" t="s">
        <v>693</v>
      </c>
      <c r="D1440" s="230">
        <v>-153</v>
      </c>
      <c r="E1440" t="s">
        <v>716</v>
      </c>
    </row>
    <row r="1441" spans="1:5" hidden="1" x14ac:dyDescent="0.3">
      <c r="A1441" t="s">
        <v>557</v>
      </c>
      <c r="B1441" t="s">
        <v>715</v>
      </c>
      <c r="C1441" t="s">
        <v>694</v>
      </c>
      <c r="D1441" s="230">
        <v>0</v>
      </c>
      <c r="E1441" t="s">
        <v>716</v>
      </c>
    </row>
    <row r="1442" spans="1:5" hidden="1" x14ac:dyDescent="0.3">
      <c r="A1442" t="s">
        <v>557</v>
      </c>
      <c r="B1442" t="s">
        <v>715</v>
      </c>
      <c r="C1442" t="s">
        <v>238</v>
      </c>
      <c r="D1442" s="230">
        <v>-3133.38</v>
      </c>
      <c r="E1442" t="s">
        <v>716</v>
      </c>
    </row>
    <row r="1443" spans="1:5" hidden="1" x14ac:dyDescent="0.3">
      <c r="A1443" t="s">
        <v>557</v>
      </c>
      <c r="B1443" t="s">
        <v>715</v>
      </c>
      <c r="C1443" t="s">
        <v>695</v>
      </c>
      <c r="D1443" s="230">
        <v>-3070.4</v>
      </c>
      <c r="E1443" t="s">
        <v>716</v>
      </c>
    </row>
    <row r="1444" spans="1:5" hidden="1" x14ac:dyDescent="0.3">
      <c r="A1444" t="s">
        <v>557</v>
      </c>
      <c r="B1444" t="s">
        <v>715</v>
      </c>
      <c r="C1444" t="s">
        <v>696</v>
      </c>
      <c r="D1444" s="230">
        <v>0</v>
      </c>
      <c r="E1444" t="s">
        <v>716</v>
      </c>
    </row>
    <row r="1445" spans="1:5" hidden="1" x14ac:dyDescent="0.3">
      <c r="A1445" t="s">
        <v>557</v>
      </c>
      <c r="B1445" t="s">
        <v>715</v>
      </c>
      <c r="C1445" t="s">
        <v>697</v>
      </c>
      <c r="D1445" s="230">
        <v>0</v>
      </c>
      <c r="E1445" t="s">
        <v>716</v>
      </c>
    </row>
    <row r="1446" spans="1:5" hidden="1" x14ac:dyDescent="0.3">
      <c r="A1446" t="s">
        <v>557</v>
      </c>
      <c r="B1446" t="s">
        <v>715</v>
      </c>
      <c r="C1446" t="s">
        <v>698</v>
      </c>
      <c r="D1446" s="230">
        <v>-62.98</v>
      </c>
      <c r="E1446" t="s">
        <v>716</v>
      </c>
    </row>
    <row r="1447" spans="1:5" hidden="1" x14ac:dyDescent="0.3">
      <c r="A1447" t="s">
        <v>557</v>
      </c>
      <c r="B1447" t="s">
        <v>715</v>
      </c>
      <c r="C1447" t="s">
        <v>699</v>
      </c>
      <c r="D1447" s="230">
        <v>0</v>
      </c>
      <c r="E1447" t="s">
        <v>716</v>
      </c>
    </row>
    <row r="1448" spans="1:5" hidden="1" x14ac:dyDescent="0.3">
      <c r="A1448" t="s">
        <v>557</v>
      </c>
      <c r="B1448" t="s">
        <v>715</v>
      </c>
      <c r="C1448" t="s">
        <v>245</v>
      </c>
      <c r="D1448" s="230">
        <v>-7516.94</v>
      </c>
      <c r="E1448" t="s">
        <v>716</v>
      </c>
    </row>
    <row r="1449" spans="1:5" hidden="1" x14ac:dyDescent="0.3">
      <c r="A1449" t="s">
        <v>557</v>
      </c>
      <c r="B1449" t="s">
        <v>715</v>
      </c>
      <c r="C1449" t="s">
        <v>700</v>
      </c>
      <c r="D1449" s="230">
        <v>-112</v>
      </c>
      <c r="E1449" t="s">
        <v>716</v>
      </c>
    </row>
    <row r="1450" spans="1:5" hidden="1" x14ac:dyDescent="0.3">
      <c r="A1450" t="s">
        <v>557</v>
      </c>
      <c r="B1450" t="s">
        <v>715</v>
      </c>
      <c r="C1450" t="s">
        <v>701</v>
      </c>
      <c r="D1450" s="230">
        <v>-310.95999999999998</v>
      </c>
      <c r="E1450" t="s">
        <v>716</v>
      </c>
    </row>
    <row r="1451" spans="1:5" hidden="1" x14ac:dyDescent="0.3">
      <c r="A1451" t="s">
        <v>557</v>
      </c>
      <c r="B1451" t="s">
        <v>715</v>
      </c>
      <c r="C1451" t="s">
        <v>702</v>
      </c>
      <c r="D1451" s="230">
        <v>0</v>
      </c>
      <c r="E1451" t="s">
        <v>716</v>
      </c>
    </row>
    <row r="1452" spans="1:5" hidden="1" x14ac:dyDescent="0.3">
      <c r="A1452" t="s">
        <v>557</v>
      </c>
      <c r="B1452" t="s">
        <v>715</v>
      </c>
      <c r="C1452" t="s">
        <v>703</v>
      </c>
      <c r="D1452" s="230">
        <v>0</v>
      </c>
      <c r="E1452" t="s">
        <v>716</v>
      </c>
    </row>
    <row r="1453" spans="1:5" hidden="1" x14ac:dyDescent="0.3">
      <c r="A1453" t="s">
        <v>557</v>
      </c>
      <c r="B1453" t="s">
        <v>715</v>
      </c>
      <c r="C1453" t="s">
        <v>704</v>
      </c>
      <c r="D1453" s="230">
        <v>0</v>
      </c>
      <c r="E1453" t="s">
        <v>716</v>
      </c>
    </row>
    <row r="1454" spans="1:5" hidden="1" x14ac:dyDescent="0.3">
      <c r="A1454" t="s">
        <v>557</v>
      </c>
      <c r="B1454" t="s">
        <v>715</v>
      </c>
      <c r="C1454" t="s">
        <v>705</v>
      </c>
      <c r="D1454" s="230">
        <v>-7093.98</v>
      </c>
      <c r="E1454" t="s">
        <v>716</v>
      </c>
    </row>
    <row r="1455" spans="1:5" hidden="1" x14ac:dyDescent="0.3">
      <c r="A1455" t="s">
        <v>557</v>
      </c>
      <c r="B1455" t="s">
        <v>715</v>
      </c>
      <c r="C1455" t="s">
        <v>706</v>
      </c>
      <c r="D1455" s="230">
        <v>0</v>
      </c>
      <c r="E1455" t="s">
        <v>716</v>
      </c>
    </row>
    <row r="1456" spans="1:5" hidden="1" x14ac:dyDescent="0.3">
      <c r="A1456" t="s">
        <v>557</v>
      </c>
      <c r="B1456" t="s">
        <v>715</v>
      </c>
      <c r="C1456" t="s">
        <v>254</v>
      </c>
      <c r="D1456" s="230">
        <v>-0.42</v>
      </c>
      <c r="E1456" t="s">
        <v>716</v>
      </c>
    </row>
    <row r="1457" spans="1:5" hidden="1" x14ac:dyDescent="0.3">
      <c r="A1457" t="s">
        <v>557</v>
      </c>
      <c r="B1457" t="s">
        <v>715</v>
      </c>
      <c r="C1457" t="s">
        <v>255</v>
      </c>
      <c r="D1457" s="230">
        <v>-0.42</v>
      </c>
      <c r="E1457" t="s">
        <v>716</v>
      </c>
    </row>
    <row r="1458" spans="1:5" hidden="1" x14ac:dyDescent="0.3">
      <c r="A1458" t="s">
        <v>557</v>
      </c>
      <c r="B1458" t="s">
        <v>715</v>
      </c>
      <c r="C1458" t="s">
        <v>256</v>
      </c>
      <c r="D1458" s="230">
        <v>-51752.37</v>
      </c>
      <c r="E1458" t="s">
        <v>716</v>
      </c>
    </row>
    <row r="1459" spans="1:5" hidden="1" x14ac:dyDescent="0.3">
      <c r="A1459" t="s">
        <v>557</v>
      </c>
      <c r="B1459" t="s">
        <v>715</v>
      </c>
      <c r="C1459" t="s">
        <v>257</v>
      </c>
      <c r="D1459" s="230">
        <v>-49305.7</v>
      </c>
      <c r="E1459" t="s">
        <v>716</v>
      </c>
    </row>
    <row r="1460" spans="1:5" hidden="1" x14ac:dyDescent="0.3">
      <c r="A1460" t="s">
        <v>557</v>
      </c>
      <c r="B1460" t="s">
        <v>715</v>
      </c>
      <c r="C1460" t="s">
        <v>258</v>
      </c>
      <c r="D1460" s="230">
        <v>0</v>
      </c>
      <c r="E1460" t="s">
        <v>716</v>
      </c>
    </row>
    <row r="1461" spans="1:5" hidden="1" x14ac:dyDescent="0.3">
      <c r="A1461" t="s">
        <v>557</v>
      </c>
      <c r="B1461" t="s">
        <v>715</v>
      </c>
      <c r="C1461" t="s">
        <v>259</v>
      </c>
      <c r="D1461" s="230">
        <v>-2446.67</v>
      </c>
      <c r="E1461" t="s">
        <v>716</v>
      </c>
    </row>
    <row r="1462" spans="1:5" hidden="1" x14ac:dyDescent="0.3">
      <c r="A1462" t="s">
        <v>557</v>
      </c>
      <c r="B1462" t="s">
        <v>715</v>
      </c>
      <c r="C1462" t="s">
        <v>260</v>
      </c>
      <c r="D1462" s="230">
        <v>0</v>
      </c>
      <c r="E1462" t="s">
        <v>716</v>
      </c>
    </row>
    <row r="1463" spans="1:5" hidden="1" x14ac:dyDescent="0.3">
      <c r="A1463" t="s">
        <v>557</v>
      </c>
      <c r="B1463" t="s">
        <v>715</v>
      </c>
      <c r="C1463" t="s">
        <v>261</v>
      </c>
      <c r="D1463" s="230">
        <v>0</v>
      </c>
      <c r="E1463" t="s">
        <v>716</v>
      </c>
    </row>
    <row r="1464" spans="1:5" hidden="1" x14ac:dyDescent="0.3">
      <c r="A1464" t="s">
        <v>557</v>
      </c>
      <c r="B1464" t="s">
        <v>715</v>
      </c>
      <c r="C1464" t="s">
        <v>262</v>
      </c>
      <c r="D1464" s="230">
        <v>0</v>
      </c>
      <c r="E1464" t="s">
        <v>716</v>
      </c>
    </row>
    <row r="1465" spans="1:5" hidden="1" x14ac:dyDescent="0.3">
      <c r="A1465" t="s">
        <v>557</v>
      </c>
      <c r="B1465" t="s">
        <v>715</v>
      </c>
      <c r="C1465" t="s">
        <v>263</v>
      </c>
      <c r="D1465" s="230">
        <v>0</v>
      </c>
      <c r="E1465" t="s">
        <v>716</v>
      </c>
    </row>
    <row r="1466" spans="1:5" hidden="1" x14ac:dyDescent="0.3">
      <c r="A1466" t="s">
        <v>557</v>
      </c>
      <c r="B1466" t="s">
        <v>715</v>
      </c>
      <c r="C1466" t="s">
        <v>44</v>
      </c>
      <c r="D1466" s="230">
        <v>-0.14000000000000001</v>
      </c>
      <c r="E1466" t="s">
        <v>716</v>
      </c>
    </row>
    <row r="1467" spans="1:5" hidden="1" x14ac:dyDescent="0.3">
      <c r="A1467" t="s">
        <v>557</v>
      </c>
      <c r="B1467" t="s">
        <v>715</v>
      </c>
      <c r="C1467" t="s">
        <v>264</v>
      </c>
      <c r="D1467" s="230">
        <v>-41083.230000000003</v>
      </c>
      <c r="E1467" t="s">
        <v>716</v>
      </c>
    </row>
    <row r="1468" spans="1:5" hidden="1" x14ac:dyDescent="0.3">
      <c r="A1468" t="s">
        <v>557</v>
      </c>
      <c r="B1468" t="s">
        <v>715</v>
      </c>
      <c r="C1468" t="s">
        <v>265</v>
      </c>
      <c r="D1468" s="230">
        <v>-9924.36</v>
      </c>
      <c r="E1468" t="s">
        <v>716</v>
      </c>
    </row>
    <row r="1469" spans="1:5" hidden="1" x14ac:dyDescent="0.3">
      <c r="A1469" t="s">
        <v>557</v>
      </c>
      <c r="B1469" t="s">
        <v>715</v>
      </c>
      <c r="C1469" t="s">
        <v>266</v>
      </c>
      <c r="D1469" s="230">
        <v>-10420.280000000001</v>
      </c>
      <c r="E1469" t="s">
        <v>716</v>
      </c>
    </row>
    <row r="1470" spans="1:5" hidden="1" x14ac:dyDescent="0.3">
      <c r="A1470" t="s">
        <v>557</v>
      </c>
      <c r="B1470" t="s">
        <v>715</v>
      </c>
      <c r="C1470" t="s">
        <v>267</v>
      </c>
      <c r="D1470" s="230">
        <v>-5422.06</v>
      </c>
      <c r="E1470" t="s">
        <v>716</v>
      </c>
    </row>
    <row r="1471" spans="1:5" hidden="1" x14ac:dyDescent="0.3">
      <c r="A1471" t="s">
        <v>557</v>
      </c>
      <c r="B1471" t="s">
        <v>715</v>
      </c>
      <c r="C1471" t="s">
        <v>268</v>
      </c>
      <c r="D1471" s="230">
        <v>-6446.5</v>
      </c>
      <c r="E1471" t="s">
        <v>716</v>
      </c>
    </row>
    <row r="1472" spans="1:5" hidden="1" x14ac:dyDescent="0.3">
      <c r="A1472" t="s">
        <v>557</v>
      </c>
      <c r="B1472" t="s">
        <v>715</v>
      </c>
      <c r="C1472" t="s">
        <v>269</v>
      </c>
      <c r="D1472" s="230">
        <v>0</v>
      </c>
      <c r="E1472" t="s">
        <v>716</v>
      </c>
    </row>
    <row r="1473" spans="1:5" hidden="1" x14ac:dyDescent="0.3">
      <c r="A1473" t="s">
        <v>557</v>
      </c>
      <c r="B1473" t="s">
        <v>715</v>
      </c>
      <c r="C1473" t="s">
        <v>270</v>
      </c>
      <c r="D1473" s="230">
        <v>-500</v>
      </c>
      <c r="E1473" t="s">
        <v>716</v>
      </c>
    </row>
    <row r="1474" spans="1:5" hidden="1" x14ac:dyDescent="0.3">
      <c r="A1474" t="s">
        <v>557</v>
      </c>
      <c r="B1474" t="s">
        <v>715</v>
      </c>
      <c r="C1474" t="s">
        <v>271</v>
      </c>
      <c r="D1474" s="230">
        <v>-1572.44</v>
      </c>
      <c r="E1474" t="s">
        <v>716</v>
      </c>
    </row>
    <row r="1475" spans="1:5" hidden="1" x14ac:dyDescent="0.3">
      <c r="A1475" t="s">
        <v>557</v>
      </c>
      <c r="B1475" t="s">
        <v>715</v>
      </c>
      <c r="C1475" t="s">
        <v>272</v>
      </c>
      <c r="D1475" s="230">
        <v>-2805.76</v>
      </c>
      <c r="E1475" t="s">
        <v>716</v>
      </c>
    </row>
    <row r="1476" spans="1:5" hidden="1" x14ac:dyDescent="0.3">
      <c r="A1476" t="s">
        <v>557</v>
      </c>
      <c r="B1476" t="s">
        <v>715</v>
      </c>
      <c r="C1476" t="s">
        <v>273</v>
      </c>
      <c r="D1476" s="230">
        <v>0</v>
      </c>
      <c r="E1476" t="s">
        <v>716</v>
      </c>
    </row>
    <row r="1477" spans="1:5" hidden="1" x14ac:dyDescent="0.3">
      <c r="A1477" t="s">
        <v>557</v>
      </c>
      <c r="B1477" t="s">
        <v>715</v>
      </c>
      <c r="C1477" t="s">
        <v>274</v>
      </c>
      <c r="D1477" s="230">
        <v>0</v>
      </c>
      <c r="E1477" t="s">
        <v>716</v>
      </c>
    </row>
    <row r="1478" spans="1:5" hidden="1" x14ac:dyDescent="0.3">
      <c r="A1478" t="s">
        <v>557</v>
      </c>
      <c r="B1478" t="s">
        <v>715</v>
      </c>
      <c r="C1478" t="s">
        <v>275</v>
      </c>
      <c r="D1478" s="230">
        <v>-337.59</v>
      </c>
      <c r="E1478" t="s">
        <v>716</v>
      </c>
    </row>
    <row r="1479" spans="1:5" hidden="1" x14ac:dyDescent="0.3">
      <c r="A1479" t="s">
        <v>557</v>
      </c>
      <c r="B1479" t="s">
        <v>715</v>
      </c>
      <c r="C1479" t="s">
        <v>276</v>
      </c>
      <c r="D1479" s="230">
        <v>0</v>
      </c>
      <c r="E1479" t="s">
        <v>716</v>
      </c>
    </row>
    <row r="1480" spans="1:5" hidden="1" x14ac:dyDescent="0.3">
      <c r="A1480" t="s">
        <v>557</v>
      </c>
      <c r="B1480" t="s">
        <v>715</v>
      </c>
      <c r="C1480" t="s">
        <v>277</v>
      </c>
      <c r="D1480" s="230">
        <v>0</v>
      </c>
      <c r="E1480" t="s">
        <v>716</v>
      </c>
    </row>
    <row r="1481" spans="1:5" hidden="1" x14ac:dyDescent="0.3">
      <c r="A1481" t="s">
        <v>557</v>
      </c>
      <c r="B1481" t="s">
        <v>715</v>
      </c>
      <c r="C1481" t="s">
        <v>278</v>
      </c>
      <c r="D1481" s="230">
        <v>-3654.24</v>
      </c>
      <c r="E1481" t="s">
        <v>716</v>
      </c>
    </row>
    <row r="1482" spans="1:5" hidden="1" x14ac:dyDescent="0.3">
      <c r="A1482" t="s">
        <v>557</v>
      </c>
      <c r="B1482" t="s">
        <v>715</v>
      </c>
      <c r="C1482" t="s">
        <v>44</v>
      </c>
      <c r="D1482" s="230">
        <v>-0.11</v>
      </c>
      <c r="E1482" t="s">
        <v>716</v>
      </c>
    </row>
    <row r="1483" spans="1:5" hidden="1" x14ac:dyDescent="0.3">
      <c r="A1483" t="s">
        <v>557</v>
      </c>
      <c r="B1483" t="s">
        <v>715</v>
      </c>
      <c r="C1483" t="s">
        <v>279</v>
      </c>
      <c r="D1483" s="230">
        <v>-7371.01</v>
      </c>
      <c r="E1483" t="s">
        <v>716</v>
      </c>
    </row>
    <row r="1484" spans="1:5" hidden="1" x14ac:dyDescent="0.3">
      <c r="A1484" t="s">
        <v>557</v>
      </c>
      <c r="B1484" t="s">
        <v>715</v>
      </c>
      <c r="C1484" t="s">
        <v>280</v>
      </c>
      <c r="D1484" s="230">
        <v>-299.89999999999998</v>
      </c>
      <c r="E1484" t="s">
        <v>716</v>
      </c>
    </row>
    <row r="1485" spans="1:5" hidden="1" x14ac:dyDescent="0.3">
      <c r="A1485" t="s">
        <v>557</v>
      </c>
      <c r="B1485" t="s">
        <v>715</v>
      </c>
      <c r="C1485" t="s">
        <v>281</v>
      </c>
      <c r="D1485" s="230">
        <v>-377.16</v>
      </c>
      <c r="E1485" t="s">
        <v>716</v>
      </c>
    </row>
    <row r="1486" spans="1:5" hidden="1" x14ac:dyDescent="0.3">
      <c r="A1486" t="s">
        <v>557</v>
      </c>
      <c r="B1486" t="s">
        <v>715</v>
      </c>
      <c r="C1486" t="s">
        <v>282</v>
      </c>
      <c r="D1486" s="230">
        <v>-295.92</v>
      </c>
      <c r="E1486" t="s">
        <v>716</v>
      </c>
    </row>
    <row r="1487" spans="1:5" hidden="1" x14ac:dyDescent="0.3">
      <c r="A1487" t="s">
        <v>557</v>
      </c>
      <c r="B1487" t="s">
        <v>715</v>
      </c>
      <c r="C1487" t="s">
        <v>283</v>
      </c>
      <c r="D1487" s="230">
        <v>-236.23</v>
      </c>
      <c r="E1487" t="s">
        <v>716</v>
      </c>
    </row>
    <row r="1488" spans="1:5" hidden="1" x14ac:dyDescent="0.3">
      <c r="A1488" t="s">
        <v>557</v>
      </c>
      <c r="B1488" t="s">
        <v>715</v>
      </c>
      <c r="C1488" t="s">
        <v>284</v>
      </c>
      <c r="D1488" s="230">
        <v>-6161.8</v>
      </c>
      <c r="E1488" t="s">
        <v>716</v>
      </c>
    </row>
    <row r="1489" spans="1:5" hidden="1" x14ac:dyDescent="0.3">
      <c r="A1489" t="s">
        <v>557</v>
      </c>
      <c r="B1489" t="s">
        <v>715</v>
      </c>
      <c r="C1489" t="s">
        <v>285</v>
      </c>
      <c r="D1489" s="230">
        <v>0</v>
      </c>
      <c r="E1489" t="s">
        <v>716</v>
      </c>
    </row>
    <row r="1490" spans="1:5" hidden="1" x14ac:dyDescent="0.3">
      <c r="A1490" t="s">
        <v>557</v>
      </c>
      <c r="B1490" t="s">
        <v>715</v>
      </c>
      <c r="C1490" t="s">
        <v>286</v>
      </c>
      <c r="D1490" s="230">
        <v>0</v>
      </c>
      <c r="E1490" t="s">
        <v>716</v>
      </c>
    </row>
    <row r="1491" spans="1:5" hidden="1" x14ac:dyDescent="0.3">
      <c r="A1491" t="s">
        <v>557</v>
      </c>
      <c r="B1491" t="s">
        <v>715</v>
      </c>
      <c r="C1491" t="s">
        <v>44</v>
      </c>
      <c r="D1491" s="230">
        <v>0</v>
      </c>
      <c r="E1491" t="s">
        <v>716</v>
      </c>
    </row>
    <row r="1492" spans="1:5" hidden="1" x14ac:dyDescent="0.3">
      <c r="A1492" t="s">
        <v>557</v>
      </c>
      <c r="B1492" t="s">
        <v>715</v>
      </c>
      <c r="C1492" t="s">
        <v>287</v>
      </c>
      <c r="D1492" s="230">
        <v>-17314.099999999999</v>
      </c>
      <c r="E1492" t="s">
        <v>716</v>
      </c>
    </row>
    <row r="1493" spans="1:5" hidden="1" x14ac:dyDescent="0.3">
      <c r="A1493" t="s">
        <v>557</v>
      </c>
      <c r="B1493" t="s">
        <v>715</v>
      </c>
      <c r="C1493" t="s">
        <v>288</v>
      </c>
      <c r="D1493" s="230">
        <v>-16354.51</v>
      </c>
      <c r="E1493" t="s">
        <v>716</v>
      </c>
    </row>
    <row r="1494" spans="1:5" hidden="1" x14ac:dyDescent="0.3">
      <c r="A1494" t="s">
        <v>557</v>
      </c>
      <c r="B1494" t="s">
        <v>715</v>
      </c>
      <c r="C1494" t="s">
        <v>289</v>
      </c>
      <c r="D1494" s="230">
        <v>0</v>
      </c>
      <c r="E1494" t="s">
        <v>716</v>
      </c>
    </row>
    <row r="1495" spans="1:5" hidden="1" x14ac:dyDescent="0.3">
      <c r="A1495" t="s">
        <v>557</v>
      </c>
      <c r="B1495" t="s">
        <v>715</v>
      </c>
      <c r="C1495" t="s">
        <v>290</v>
      </c>
      <c r="D1495" s="230">
        <v>0</v>
      </c>
      <c r="E1495" t="s">
        <v>716</v>
      </c>
    </row>
    <row r="1496" spans="1:5" hidden="1" x14ac:dyDescent="0.3">
      <c r="A1496" t="s">
        <v>557</v>
      </c>
      <c r="B1496" t="s">
        <v>715</v>
      </c>
      <c r="C1496" t="s">
        <v>291</v>
      </c>
      <c r="D1496" s="230">
        <v>0</v>
      </c>
      <c r="E1496" t="s">
        <v>716</v>
      </c>
    </row>
    <row r="1497" spans="1:5" hidden="1" x14ac:dyDescent="0.3">
      <c r="A1497" t="s">
        <v>557</v>
      </c>
      <c r="B1497" t="s">
        <v>715</v>
      </c>
      <c r="C1497" t="s">
        <v>292</v>
      </c>
      <c r="D1497" s="230">
        <v>0</v>
      </c>
      <c r="E1497" t="s">
        <v>716</v>
      </c>
    </row>
    <row r="1498" spans="1:5" hidden="1" x14ac:dyDescent="0.3">
      <c r="A1498" t="s">
        <v>557</v>
      </c>
      <c r="B1498" t="s">
        <v>715</v>
      </c>
      <c r="C1498" t="s">
        <v>293</v>
      </c>
      <c r="D1498" s="230">
        <v>-959.59</v>
      </c>
      <c r="E1498" t="s">
        <v>716</v>
      </c>
    </row>
    <row r="1499" spans="1:5" hidden="1" x14ac:dyDescent="0.3">
      <c r="A1499" t="s">
        <v>557</v>
      </c>
      <c r="B1499" t="s">
        <v>715</v>
      </c>
      <c r="C1499" t="s">
        <v>294</v>
      </c>
      <c r="D1499" s="230">
        <v>-180</v>
      </c>
      <c r="E1499" t="s">
        <v>716</v>
      </c>
    </row>
    <row r="1500" spans="1:5" hidden="1" x14ac:dyDescent="0.3">
      <c r="A1500" t="s">
        <v>557</v>
      </c>
      <c r="B1500" t="s">
        <v>715</v>
      </c>
      <c r="C1500" t="s">
        <v>295</v>
      </c>
      <c r="D1500" s="230">
        <v>0</v>
      </c>
      <c r="E1500" t="s">
        <v>716</v>
      </c>
    </row>
    <row r="1501" spans="1:5" hidden="1" x14ac:dyDescent="0.3">
      <c r="A1501" t="s">
        <v>557</v>
      </c>
      <c r="B1501" t="s">
        <v>715</v>
      </c>
      <c r="C1501" t="s">
        <v>44</v>
      </c>
      <c r="D1501" s="230">
        <v>-0.05</v>
      </c>
      <c r="E1501" t="s">
        <v>716</v>
      </c>
    </row>
    <row r="1502" spans="1:5" hidden="1" x14ac:dyDescent="0.3">
      <c r="A1502" t="s">
        <v>557</v>
      </c>
      <c r="B1502" t="s">
        <v>715</v>
      </c>
      <c r="C1502" t="s">
        <v>296</v>
      </c>
      <c r="D1502" s="230">
        <v>-9943.42</v>
      </c>
      <c r="E1502" t="s">
        <v>716</v>
      </c>
    </row>
    <row r="1503" spans="1:5" hidden="1" x14ac:dyDescent="0.3">
      <c r="A1503" t="s">
        <v>557</v>
      </c>
      <c r="B1503" t="s">
        <v>715</v>
      </c>
      <c r="C1503" t="s">
        <v>297</v>
      </c>
      <c r="D1503" s="230">
        <v>-5000</v>
      </c>
      <c r="E1503" t="s">
        <v>716</v>
      </c>
    </row>
    <row r="1504" spans="1:5" hidden="1" x14ac:dyDescent="0.3">
      <c r="A1504" t="s">
        <v>557</v>
      </c>
      <c r="B1504" t="s">
        <v>715</v>
      </c>
      <c r="C1504" t="s">
        <v>298</v>
      </c>
      <c r="D1504" s="230">
        <v>-460</v>
      </c>
      <c r="E1504" t="s">
        <v>716</v>
      </c>
    </row>
    <row r="1505" spans="1:5" hidden="1" x14ac:dyDescent="0.3">
      <c r="A1505" t="s">
        <v>557</v>
      </c>
      <c r="B1505" t="s">
        <v>715</v>
      </c>
      <c r="C1505" t="s">
        <v>299</v>
      </c>
      <c r="D1505" s="230">
        <v>0</v>
      </c>
      <c r="E1505" t="s">
        <v>716</v>
      </c>
    </row>
    <row r="1506" spans="1:5" hidden="1" x14ac:dyDescent="0.3">
      <c r="A1506" t="s">
        <v>557</v>
      </c>
      <c r="B1506" t="s">
        <v>715</v>
      </c>
      <c r="C1506" t="s">
        <v>300</v>
      </c>
      <c r="D1506" s="230">
        <v>0</v>
      </c>
      <c r="E1506" t="s">
        <v>716</v>
      </c>
    </row>
    <row r="1507" spans="1:5" hidden="1" x14ac:dyDescent="0.3">
      <c r="A1507" t="s">
        <v>557</v>
      </c>
      <c r="B1507" t="s">
        <v>715</v>
      </c>
      <c r="C1507" t="s">
        <v>301</v>
      </c>
      <c r="D1507" s="230">
        <v>-325</v>
      </c>
      <c r="E1507" t="s">
        <v>716</v>
      </c>
    </row>
    <row r="1508" spans="1:5" hidden="1" x14ac:dyDescent="0.3">
      <c r="A1508" t="s">
        <v>557</v>
      </c>
      <c r="B1508" t="s">
        <v>715</v>
      </c>
      <c r="C1508" t="s">
        <v>302</v>
      </c>
      <c r="D1508" s="230">
        <v>0</v>
      </c>
      <c r="E1508" t="s">
        <v>716</v>
      </c>
    </row>
    <row r="1509" spans="1:5" hidden="1" x14ac:dyDescent="0.3">
      <c r="A1509" t="s">
        <v>557</v>
      </c>
      <c r="B1509" t="s">
        <v>715</v>
      </c>
      <c r="C1509" t="s">
        <v>303</v>
      </c>
      <c r="D1509" s="230">
        <v>0</v>
      </c>
      <c r="E1509" t="s">
        <v>716</v>
      </c>
    </row>
    <row r="1510" spans="1:5" hidden="1" x14ac:dyDescent="0.3">
      <c r="A1510" t="s">
        <v>557</v>
      </c>
      <c r="B1510" t="s">
        <v>715</v>
      </c>
      <c r="C1510" t="s">
        <v>304</v>
      </c>
      <c r="D1510" s="230">
        <v>0</v>
      </c>
      <c r="E1510" t="s">
        <v>716</v>
      </c>
    </row>
    <row r="1511" spans="1:5" hidden="1" x14ac:dyDescent="0.3">
      <c r="A1511" t="s">
        <v>557</v>
      </c>
      <c r="B1511" t="s">
        <v>715</v>
      </c>
      <c r="C1511" t="s">
        <v>305</v>
      </c>
      <c r="D1511" s="230">
        <v>-363.74</v>
      </c>
      <c r="E1511" t="s">
        <v>716</v>
      </c>
    </row>
    <row r="1512" spans="1:5" hidden="1" x14ac:dyDescent="0.3">
      <c r="A1512" t="s">
        <v>557</v>
      </c>
      <c r="B1512" t="s">
        <v>715</v>
      </c>
      <c r="C1512" t="s">
        <v>306</v>
      </c>
      <c r="D1512" s="230">
        <v>0</v>
      </c>
      <c r="E1512" t="s">
        <v>716</v>
      </c>
    </row>
    <row r="1513" spans="1:5" hidden="1" x14ac:dyDescent="0.3">
      <c r="A1513" t="s">
        <v>557</v>
      </c>
      <c r="B1513" t="s">
        <v>715</v>
      </c>
      <c r="C1513" t="s">
        <v>307</v>
      </c>
      <c r="D1513" s="230">
        <v>-3794.68</v>
      </c>
      <c r="E1513" t="s">
        <v>716</v>
      </c>
    </row>
    <row r="1514" spans="1:5" hidden="1" x14ac:dyDescent="0.3">
      <c r="A1514" t="s">
        <v>557</v>
      </c>
      <c r="B1514" t="s">
        <v>715</v>
      </c>
      <c r="C1514" t="s">
        <v>44</v>
      </c>
      <c r="D1514" s="230">
        <v>-0.03</v>
      </c>
      <c r="E1514" t="s">
        <v>716</v>
      </c>
    </row>
    <row r="1515" spans="1:5" hidden="1" x14ac:dyDescent="0.3">
      <c r="A1515" t="s">
        <v>557</v>
      </c>
      <c r="B1515" t="s">
        <v>715</v>
      </c>
      <c r="C1515" t="s">
        <v>308</v>
      </c>
      <c r="D1515" s="230">
        <v>-2272.5500000000002</v>
      </c>
      <c r="E1515" t="s">
        <v>716</v>
      </c>
    </row>
    <row r="1516" spans="1:5" hidden="1" x14ac:dyDescent="0.3">
      <c r="A1516" t="s">
        <v>557</v>
      </c>
      <c r="B1516" t="s">
        <v>715</v>
      </c>
      <c r="C1516" t="s">
        <v>309</v>
      </c>
      <c r="D1516" s="230">
        <v>-1412</v>
      </c>
      <c r="E1516" t="s">
        <v>716</v>
      </c>
    </row>
    <row r="1517" spans="1:5" hidden="1" x14ac:dyDescent="0.3">
      <c r="A1517" t="s">
        <v>557</v>
      </c>
      <c r="B1517" t="s">
        <v>715</v>
      </c>
      <c r="C1517" t="s">
        <v>310</v>
      </c>
      <c r="D1517" s="230">
        <v>0</v>
      </c>
      <c r="E1517" t="s">
        <v>716</v>
      </c>
    </row>
    <row r="1518" spans="1:5" hidden="1" x14ac:dyDescent="0.3">
      <c r="A1518" t="s">
        <v>557</v>
      </c>
      <c r="B1518" t="s">
        <v>715</v>
      </c>
      <c r="C1518" t="s">
        <v>311</v>
      </c>
      <c r="D1518" s="230">
        <v>-860.55</v>
      </c>
      <c r="E1518" t="s">
        <v>716</v>
      </c>
    </row>
    <row r="1519" spans="1:5" hidden="1" x14ac:dyDescent="0.3">
      <c r="A1519" t="s">
        <v>557</v>
      </c>
      <c r="B1519" t="s">
        <v>715</v>
      </c>
      <c r="C1519" t="s">
        <v>312</v>
      </c>
      <c r="D1519" s="230">
        <v>0</v>
      </c>
      <c r="E1519" t="s">
        <v>716</v>
      </c>
    </row>
    <row r="1520" spans="1:5" hidden="1" x14ac:dyDescent="0.3">
      <c r="A1520" t="s">
        <v>557</v>
      </c>
      <c r="B1520" t="s">
        <v>715</v>
      </c>
      <c r="C1520" t="s">
        <v>313</v>
      </c>
      <c r="D1520" s="230">
        <v>0</v>
      </c>
      <c r="E1520" t="s">
        <v>716</v>
      </c>
    </row>
    <row r="1521" spans="1:5" hidden="1" x14ac:dyDescent="0.3">
      <c r="A1521" t="s">
        <v>557</v>
      </c>
      <c r="B1521" t="s">
        <v>715</v>
      </c>
      <c r="C1521" t="s">
        <v>314</v>
      </c>
      <c r="D1521" s="230">
        <v>0</v>
      </c>
      <c r="E1521" t="s">
        <v>716</v>
      </c>
    </row>
    <row r="1522" spans="1:5" hidden="1" x14ac:dyDescent="0.3">
      <c r="A1522" t="s">
        <v>557</v>
      </c>
      <c r="B1522" t="s">
        <v>715</v>
      </c>
      <c r="C1522" t="s">
        <v>315</v>
      </c>
      <c r="D1522" s="230">
        <v>0</v>
      </c>
      <c r="E1522" t="s">
        <v>716</v>
      </c>
    </row>
    <row r="1523" spans="1:5" hidden="1" x14ac:dyDescent="0.3">
      <c r="A1523" t="s">
        <v>557</v>
      </c>
      <c r="B1523" t="s">
        <v>715</v>
      </c>
      <c r="C1523" t="s">
        <v>316</v>
      </c>
      <c r="D1523" s="230">
        <v>0</v>
      </c>
      <c r="E1523" t="s">
        <v>716</v>
      </c>
    </row>
    <row r="1524" spans="1:5" hidden="1" x14ac:dyDescent="0.3">
      <c r="A1524" t="s">
        <v>557</v>
      </c>
      <c r="B1524" t="s">
        <v>715</v>
      </c>
      <c r="C1524" t="s">
        <v>317</v>
      </c>
      <c r="D1524" s="230">
        <v>0</v>
      </c>
      <c r="E1524" t="s">
        <v>716</v>
      </c>
    </row>
    <row r="1525" spans="1:5" hidden="1" x14ac:dyDescent="0.3">
      <c r="A1525" t="s">
        <v>557</v>
      </c>
      <c r="B1525" t="s">
        <v>715</v>
      </c>
      <c r="C1525" t="s">
        <v>44</v>
      </c>
      <c r="D1525" s="230">
        <v>-0.01</v>
      </c>
      <c r="E1525" t="s">
        <v>716</v>
      </c>
    </row>
    <row r="1526" spans="1:5" hidden="1" x14ac:dyDescent="0.3">
      <c r="A1526" t="s">
        <v>557</v>
      </c>
      <c r="B1526" t="s">
        <v>715</v>
      </c>
      <c r="C1526" t="s">
        <v>318</v>
      </c>
      <c r="D1526" s="230">
        <v>-2181.7800000000002</v>
      </c>
      <c r="E1526" t="s">
        <v>716</v>
      </c>
    </row>
    <row r="1527" spans="1:5" hidden="1" x14ac:dyDescent="0.3">
      <c r="A1527" t="s">
        <v>557</v>
      </c>
      <c r="B1527" t="s">
        <v>715</v>
      </c>
      <c r="C1527" t="s">
        <v>319</v>
      </c>
      <c r="D1527" s="230">
        <v>-2181.7800000000002</v>
      </c>
      <c r="E1527" t="s">
        <v>716</v>
      </c>
    </row>
    <row r="1528" spans="1:5" hidden="1" x14ac:dyDescent="0.3">
      <c r="A1528" t="s">
        <v>557</v>
      </c>
      <c r="B1528" t="s">
        <v>715</v>
      </c>
      <c r="C1528" t="s">
        <v>320</v>
      </c>
      <c r="D1528" s="230">
        <v>0</v>
      </c>
      <c r="E1528" t="s">
        <v>716</v>
      </c>
    </row>
    <row r="1529" spans="1:5" hidden="1" x14ac:dyDescent="0.3">
      <c r="A1529" t="s">
        <v>557</v>
      </c>
      <c r="B1529" t="s">
        <v>715</v>
      </c>
      <c r="C1529" t="s">
        <v>321</v>
      </c>
      <c r="D1529" s="230">
        <v>0</v>
      </c>
      <c r="E1529" t="s">
        <v>716</v>
      </c>
    </row>
    <row r="1530" spans="1:5" hidden="1" x14ac:dyDescent="0.3">
      <c r="A1530" t="s">
        <v>557</v>
      </c>
      <c r="B1530" t="s">
        <v>715</v>
      </c>
      <c r="C1530" t="s">
        <v>322</v>
      </c>
      <c r="D1530" s="230">
        <v>0</v>
      </c>
      <c r="E1530" t="s">
        <v>716</v>
      </c>
    </row>
    <row r="1531" spans="1:5" hidden="1" x14ac:dyDescent="0.3">
      <c r="A1531" t="s">
        <v>557</v>
      </c>
      <c r="B1531" t="s">
        <v>715</v>
      </c>
      <c r="C1531" t="s">
        <v>44</v>
      </c>
      <c r="D1531" s="230">
        <v>-0.01</v>
      </c>
      <c r="E1531" t="s">
        <v>716</v>
      </c>
    </row>
    <row r="1532" spans="1:5" hidden="1" x14ac:dyDescent="0.3">
      <c r="A1532" t="s">
        <v>557</v>
      </c>
      <c r="B1532" t="s">
        <v>715</v>
      </c>
      <c r="C1532" t="s">
        <v>323</v>
      </c>
      <c r="D1532" s="230">
        <v>-18397.169999999998</v>
      </c>
      <c r="E1532" t="s">
        <v>716</v>
      </c>
    </row>
    <row r="1533" spans="1:5" hidden="1" x14ac:dyDescent="0.3">
      <c r="A1533" t="s">
        <v>557</v>
      </c>
      <c r="B1533" t="s">
        <v>715</v>
      </c>
      <c r="C1533" t="s">
        <v>324</v>
      </c>
      <c r="D1533" s="230">
        <v>0</v>
      </c>
      <c r="E1533" t="s">
        <v>716</v>
      </c>
    </row>
    <row r="1534" spans="1:5" hidden="1" x14ac:dyDescent="0.3">
      <c r="A1534" t="s">
        <v>557</v>
      </c>
      <c r="B1534" t="s">
        <v>715</v>
      </c>
      <c r="C1534" t="s">
        <v>325</v>
      </c>
      <c r="D1534" s="230">
        <v>0</v>
      </c>
      <c r="E1534" t="s">
        <v>716</v>
      </c>
    </row>
    <row r="1535" spans="1:5" hidden="1" x14ac:dyDescent="0.3">
      <c r="A1535" t="s">
        <v>557</v>
      </c>
      <c r="B1535" t="s">
        <v>715</v>
      </c>
      <c r="C1535" t="s">
        <v>326</v>
      </c>
      <c r="D1535" s="230">
        <v>-18397.169999999998</v>
      </c>
      <c r="E1535" t="s">
        <v>716</v>
      </c>
    </row>
    <row r="1536" spans="1:5" hidden="1" x14ac:dyDescent="0.3">
      <c r="A1536" t="s">
        <v>557</v>
      </c>
      <c r="B1536" t="s">
        <v>715</v>
      </c>
      <c r="C1536" t="s">
        <v>44</v>
      </c>
      <c r="D1536" s="230">
        <v>-0.05</v>
      </c>
      <c r="E1536" t="s">
        <v>716</v>
      </c>
    </row>
    <row r="1537" spans="1:5" hidden="1" x14ac:dyDescent="0.3">
      <c r="A1537" t="s">
        <v>557</v>
      </c>
      <c r="B1537" t="s">
        <v>715</v>
      </c>
      <c r="C1537" t="s">
        <v>328</v>
      </c>
      <c r="D1537" s="230">
        <v>-273519.83</v>
      </c>
      <c r="E1537" t="s">
        <v>716</v>
      </c>
    </row>
    <row r="1538" spans="1:5" hidden="1" x14ac:dyDescent="0.3">
      <c r="A1538" t="s">
        <v>557</v>
      </c>
      <c r="B1538" t="s">
        <v>715</v>
      </c>
      <c r="C1538" t="s">
        <v>44</v>
      </c>
      <c r="D1538" s="230">
        <v>-0.74</v>
      </c>
      <c r="E1538" t="s">
        <v>716</v>
      </c>
    </row>
    <row r="1539" spans="1:5" hidden="1" x14ac:dyDescent="0.3">
      <c r="A1539" t="s">
        <v>557</v>
      </c>
      <c r="B1539" t="s">
        <v>715</v>
      </c>
      <c r="C1539" t="s">
        <v>329</v>
      </c>
      <c r="D1539" s="230">
        <v>-97076.09</v>
      </c>
      <c r="E1539" t="s">
        <v>716</v>
      </c>
    </row>
    <row r="1540" spans="1:5" hidden="1" x14ac:dyDescent="0.3">
      <c r="A1540" t="s">
        <v>557</v>
      </c>
      <c r="B1540" t="s">
        <v>715</v>
      </c>
      <c r="C1540" t="s">
        <v>44</v>
      </c>
      <c r="D1540" s="230">
        <v>-0.26</v>
      </c>
      <c r="E1540" t="s">
        <v>716</v>
      </c>
    </row>
    <row r="1541" spans="1:5" hidden="1" x14ac:dyDescent="0.3">
      <c r="A1541" t="s">
        <v>557</v>
      </c>
      <c r="B1541" t="s">
        <v>715</v>
      </c>
      <c r="C1541" t="s">
        <v>330</v>
      </c>
      <c r="D1541" s="230">
        <v>0</v>
      </c>
      <c r="E1541" t="s">
        <v>716</v>
      </c>
    </row>
    <row r="1542" spans="1:5" hidden="1" x14ac:dyDescent="0.3">
      <c r="A1542" t="s">
        <v>557</v>
      </c>
      <c r="B1542" t="s">
        <v>715</v>
      </c>
      <c r="C1542" t="s">
        <v>332</v>
      </c>
      <c r="D1542" s="230">
        <v>-97076.09</v>
      </c>
      <c r="E1542" t="s">
        <v>716</v>
      </c>
    </row>
    <row r="1543" spans="1:5" hidden="1" x14ac:dyDescent="0.3">
      <c r="A1543" t="s">
        <v>557</v>
      </c>
      <c r="B1543" t="s">
        <v>715</v>
      </c>
      <c r="C1543" t="s">
        <v>333</v>
      </c>
      <c r="D1543" s="230">
        <v>8655.6299999999992</v>
      </c>
      <c r="E1543" t="s">
        <v>716</v>
      </c>
    </row>
    <row r="1544" spans="1:5" hidden="1" x14ac:dyDescent="0.3">
      <c r="A1544" t="s">
        <v>557</v>
      </c>
      <c r="B1544" t="s">
        <v>715</v>
      </c>
      <c r="C1544" t="s">
        <v>334</v>
      </c>
      <c r="D1544" s="230">
        <v>0</v>
      </c>
      <c r="E1544" t="s">
        <v>716</v>
      </c>
    </row>
    <row r="1545" spans="1:5" hidden="1" x14ac:dyDescent="0.3">
      <c r="A1545" t="s">
        <v>557</v>
      </c>
      <c r="B1545" t="s">
        <v>715</v>
      </c>
      <c r="C1545" t="s">
        <v>336</v>
      </c>
      <c r="D1545" s="230">
        <v>-1090</v>
      </c>
      <c r="E1545" t="s">
        <v>716</v>
      </c>
    </row>
    <row r="1546" spans="1:5" hidden="1" x14ac:dyDescent="0.3">
      <c r="A1546" t="s">
        <v>557</v>
      </c>
      <c r="B1546" t="s">
        <v>715</v>
      </c>
      <c r="C1546" t="s">
        <v>338</v>
      </c>
      <c r="D1546" s="230">
        <v>-89510.46</v>
      </c>
      <c r="E1546" t="s">
        <v>716</v>
      </c>
    </row>
    <row r="1547" spans="1:5" hidden="1" x14ac:dyDescent="0.3">
      <c r="A1547" t="s">
        <v>557</v>
      </c>
      <c r="B1547" t="s">
        <v>715</v>
      </c>
      <c r="C1547" t="s">
        <v>339</v>
      </c>
      <c r="D1547" s="230">
        <v>-17661.29</v>
      </c>
      <c r="E1547" t="s">
        <v>716</v>
      </c>
    </row>
    <row r="1548" spans="1:5" hidden="1" x14ac:dyDescent="0.3">
      <c r="A1548" t="s">
        <v>557</v>
      </c>
      <c r="B1548" t="s">
        <v>715</v>
      </c>
      <c r="C1548" t="s">
        <v>342</v>
      </c>
      <c r="D1548" s="230">
        <v>-17661.29</v>
      </c>
      <c r="E1548" t="s">
        <v>716</v>
      </c>
    </row>
    <row r="1549" spans="1:5" hidden="1" x14ac:dyDescent="0.3">
      <c r="A1549" t="s">
        <v>557</v>
      </c>
      <c r="B1549" t="s">
        <v>715</v>
      </c>
      <c r="C1549" t="s">
        <v>344</v>
      </c>
      <c r="D1549" s="230">
        <v>0</v>
      </c>
      <c r="E1549" t="s">
        <v>716</v>
      </c>
    </row>
    <row r="1550" spans="1:5" hidden="1" x14ac:dyDescent="0.3">
      <c r="A1550" t="s">
        <v>557</v>
      </c>
      <c r="B1550" t="s">
        <v>715</v>
      </c>
      <c r="C1550" t="s">
        <v>345</v>
      </c>
      <c r="D1550" s="230">
        <v>0</v>
      </c>
      <c r="E1550" t="s">
        <v>716</v>
      </c>
    </row>
    <row r="1551" spans="1:5" hidden="1" x14ac:dyDescent="0.3">
      <c r="A1551" t="s">
        <v>557</v>
      </c>
      <c r="B1551" t="s">
        <v>715</v>
      </c>
      <c r="C1551" t="s">
        <v>346</v>
      </c>
      <c r="D1551" s="230">
        <v>0</v>
      </c>
      <c r="E1551" t="s">
        <v>716</v>
      </c>
    </row>
    <row r="1552" spans="1:5" hidden="1" x14ac:dyDescent="0.3">
      <c r="A1552" t="s">
        <v>557</v>
      </c>
      <c r="B1552" t="s">
        <v>715</v>
      </c>
      <c r="C1552" t="s">
        <v>347</v>
      </c>
      <c r="D1552" s="230">
        <v>-107171.75</v>
      </c>
      <c r="E1552" t="s">
        <v>716</v>
      </c>
    </row>
    <row r="1553" spans="1:5" hidden="1" x14ac:dyDescent="0.3">
      <c r="A1553" t="s">
        <v>557</v>
      </c>
      <c r="B1553" t="s">
        <v>715</v>
      </c>
      <c r="C1553" t="s">
        <v>44</v>
      </c>
      <c r="D1553" s="230">
        <v>-0.28999999999999998</v>
      </c>
      <c r="E1553" t="s">
        <v>716</v>
      </c>
    </row>
    <row r="1554" spans="1:5" hidden="1" x14ac:dyDescent="0.3">
      <c r="A1554" t="s">
        <v>557</v>
      </c>
      <c r="B1554" t="s">
        <v>715</v>
      </c>
      <c r="C1554" t="s">
        <v>348</v>
      </c>
      <c r="D1554" s="230">
        <v>-20054.21</v>
      </c>
      <c r="E1554" t="s">
        <v>716</v>
      </c>
    </row>
    <row r="1555" spans="1:5" hidden="1" x14ac:dyDescent="0.3">
      <c r="A1555" t="s">
        <v>557</v>
      </c>
      <c r="B1555" t="s">
        <v>715</v>
      </c>
      <c r="C1555" t="s">
        <v>707</v>
      </c>
      <c r="D1555" s="230">
        <v>-20054.21</v>
      </c>
      <c r="E1555" t="s">
        <v>716</v>
      </c>
    </row>
    <row r="1556" spans="1:5" hidden="1" x14ac:dyDescent="0.3">
      <c r="A1556" t="s">
        <v>557</v>
      </c>
      <c r="B1556" t="s">
        <v>715</v>
      </c>
      <c r="C1556" t="s">
        <v>350</v>
      </c>
      <c r="D1556" s="230">
        <v>0</v>
      </c>
      <c r="E1556" t="s">
        <v>716</v>
      </c>
    </row>
    <row r="1557" spans="1:5" hidden="1" x14ac:dyDescent="0.3">
      <c r="A1557" t="s">
        <v>557</v>
      </c>
      <c r="B1557" t="s">
        <v>715</v>
      </c>
      <c r="C1557" t="s">
        <v>351</v>
      </c>
      <c r="D1557" s="230">
        <v>0</v>
      </c>
      <c r="E1557" t="s">
        <v>716</v>
      </c>
    </row>
    <row r="1558" spans="1:5" hidden="1" x14ac:dyDescent="0.3">
      <c r="A1558" t="s">
        <v>557</v>
      </c>
      <c r="B1558" t="s">
        <v>715</v>
      </c>
      <c r="C1558" t="s">
        <v>352</v>
      </c>
      <c r="D1558" s="230">
        <v>0</v>
      </c>
      <c r="E1558" t="s">
        <v>716</v>
      </c>
    </row>
    <row r="1559" spans="1:5" hidden="1" x14ac:dyDescent="0.3">
      <c r="A1559" t="s">
        <v>557</v>
      </c>
      <c r="B1559" t="s">
        <v>715</v>
      </c>
      <c r="C1559" t="s">
        <v>353</v>
      </c>
      <c r="D1559" s="230">
        <v>0</v>
      </c>
      <c r="E1559" t="s">
        <v>716</v>
      </c>
    </row>
    <row r="1560" spans="1:5" hidden="1" x14ac:dyDescent="0.3">
      <c r="A1560" t="s">
        <v>557</v>
      </c>
      <c r="B1560" t="s">
        <v>715</v>
      </c>
      <c r="C1560" t="s">
        <v>354</v>
      </c>
      <c r="D1560" s="230">
        <v>0</v>
      </c>
      <c r="E1560" t="s">
        <v>716</v>
      </c>
    </row>
    <row r="1561" spans="1:5" hidden="1" x14ac:dyDescent="0.3">
      <c r="A1561" t="s">
        <v>557</v>
      </c>
      <c r="B1561" t="s">
        <v>715</v>
      </c>
      <c r="C1561" t="s">
        <v>355</v>
      </c>
      <c r="D1561" s="230">
        <v>0</v>
      </c>
      <c r="E1561" t="s">
        <v>716</v>
      </c>
    </row>
    <row r="1562" spans="1:5" hidden="1" x14ac:dyDescent="0.3">
      <c r="A1562" t="s">
        <v>557</v>
      </c>
      <c r="B1562" t="s">
        <v>715</v>
      </c>
      <c r="C1562" t="s">
        <v>356</v>
      </c>
      <c r="D1562" s="230">
        <v>0</v>
      </c>
      <c r="E1562" t="s">
        <v>716</v>
      </c>
    </row>
    <row r="1563" spans="1:5" hidden="1" x14ac:dyDescent="0.3">
      <c r="A1563" t="s">
        <v>557</v>
      </c>
      <c r="B1563" t="s">
        <v>715</v>
      </c>
      <c r="C1563" t="s">
        <v>357</v>
      </c>
      <c r="D1563" s="230">
        <v>0</v>
      </c>
      <c r="E1563" t="s">
        <v>716</v>
      </c>
    </row>
    <row r="1564" spans="1:5" hidden="1" x14ac:dyDescent="0.3">
      <c r="A1564" t="s">
        <v>557</v>
      </c>
      <c r="B1564" t="s">
        <v>715</v>
      </c>
      <c r="C1564" t="s">
        <v>358</v>
      </c>
      <c r="D1564" s="230">
        <v>0</v>
      </c>
      <c r="E1564" t="s">
        <v>716</v>
      </c>
    </row>
    <row r="1565" spans="1:5" hidden="1" x14ac:dyDescent="0.3">
      <c r="A1565" t="s">
        <v>557</v>
      </c>
      <c r="B1565" t="s">
        <v>715</v>
      </c>
      <c r="C1565" t="s">
        <v>359</v>
      </c>
      <c r="D1565" s="230">
        <v>0</v>
      </c>
      <c r="E1565" t="s">
        <v>716</v>
      </c>
    </row>
    <row r="1566" spans="1:5" hidden="1" x14ac:dyDescent="0.3">
      <c r="A1566" t="s">
        <v>557</v>
      </c>
      <c r="B1566" t="s">
        <v>715</v>
      </c>
      <c r="C1566" t="s">
        <v>360</v>
      </c>
      <c r="D1566" s="230">
        <v>0</v>
      </c>
      <c r="E1566" t="s">
        <v>716</v>
      </c>
    </row>
    <row r="1567" spans="1:5" hidden="1" x14ac:dyDescent="0.3">
      <c r="A1567" t="s">
        <v>557</v>
      </c>
      <c r="B1567" t="s">
        <v>715</v>
      </c>
      <c r="C1567" t="s">
        <v>361</v>
      </c>
      <c r="D1567" s="230">
        <v>0</v>
      </c>
      <c r="E1567" t="s">
        <v>716</v>
      </c>
    </row>
    <row r="1568" spans="1:5" hidden="1" x14ac:dyDescent="0.3">
      <c r="A1568" t="s">
        <v>557</v>
      </c>
      <c r="B1568" t="s">
        <v>715</v>
      </c>
      <c r="C1568" t="s">
        <v>362</v>
      </c>
      <c r="D1568" s="230">
        <v>0</v>
      </c>
      <c r="E1568" t="s">
        <v>716</v>
      </c>
    </row>
    <row r="1569" spans="1:5" hidden="1" x14ac:dyDescent="0.3">
      <c r="A1569" t="s">
        <v>557</v>
      </c>
      <c r="B1569" t="s">
        <v>715</v>
      </c>
      <c r="C1569" t="s">
        <v>363</v>
      </c>
      <c r="D1569" s="230">
        <v>0</v>
      </c>
      <c r="E1569" t="s">
        <v>716</v>
      </c>
    </row>
    <row r="1570" spans="1:5" hidden="1" x14ac:dyDescent="0.3">
      <c r="A1570" t="s">
        <v>557</v>
      </c>
      <c r="B1570" t="s">
        <v>715</v>
      </c>
      <c r="C1570" t="s">
        <v>364</v>
      </c>
      <c r="D1570" s="230">
        <v>0</v>
      </c>
      <c r="E1570" t="s">
        <v>716</v>
      </c>
    </row>
    <row r="1571" spans="1:5" hidden="1" x14ac:dyDescent="0.3">
      <c r="A1571" t="s">
        <v>557</v>
      </c>
      <c r="B1571" t="s">
        <v>715</v>
      </c>
      <c r="C1571" t="s">
        <v>365</v>
      </c>
      <c r="D1571" s="230">
        <v>0</v>
      </c>
      <c r="E1571" t="s">
        <v>716</v>
      </c>
    </row>
    <row r="1572" spans="1:5" hidden="1" x14ac:dyDescent="0.3">
      <c r="A1572" t="s">
        <v>557</v>
      </c>
      <c r="B1572" t="s">
        <v>715</v>
      </c>
      <c r="C1572" t="s">
        <v>366</v>
      </c>
      <c r="D1572" s="230">
        <v>0</v>
      </c>
      <c r="E1572" t="s">
        <v>716</v>
      </c>
    </row>
    <row r="1573" spans="1:5" hidden="1" x14ac:dyDescent="0.3">
      <c r="A1573" t="s">
        <v>557</v>
      </c>
      <c r="B1573" t="s">
        <v>715</v>
      </c>
      <c r="C1573" t="s">
        <v>367</v>
      </c>
      <c r="D1573" s="230">
        <v>0</v>
      </c>
      <c r="E1573" t="s">
        <v>716</v>
      </c>
    </row>
    <row r="1574" spans="1:5" hidden="1" x14ac:dyDescent="0.3">
      <c r="A1574" t="s">
        <v>557</v>
      </c>
      <c r="B1574" t="s">
        <v>715</v>
      </c>
      <c r="C1574" t="s">
        <v>368</v>
      </c>
      <c r="D1574" s="230">
        <v>0</v>
      </c>
      <c r="E1574" t="s">
        <v>716</v>
      </c>
    </row>
    <row r="1575" spans="1:5" hidden="1" x14ac:dyDescent="0.3">
      <c r="A1575" t="s">
        <v>557</v>
      </c>
      <c r="B1575" t="s">
        <v>715</v>
      </c>
      <c r="C1575" t="s">
        <v>369</v>
      </c>
      <c r="D1575" s="230">
        <v>0</v>
      </c>
      <c r="E1575" t="s">
        <v>716</v>
      </c>
    </row>
    <row r="1576" spans="1:5" hidden="1" x14ac:dyDescent="0.3">
      <c r="A1576" t="s">
        <v>557</v>
      </c>
      <c r="B1576" t="s">
        <v>715</v>
      </c>
      <c r="C1576" t="s">
        <v>370</v>
      </c>
      <c r="D1576" s="230">
        <v>0</v>
      </c>
      <c r="E1576" t="s">
        <v>716</v>
      </c>
    </row>
    <row r="1577" spans="1:5" hidden="1" x14ac:dyDescent="0.3">
      <c r="A1577" t="s">
        <v>557</v>
      </c>
      <c r="B1577" t="s">
        <v>715</v>
      </c>
      <c r="C1577" t="s">
        <v>371</v>
      </c>
      <c r="D1577" s="230">
        <v>0</v>
      </c>
      <c r="E1577" t="s">
        <v>716</v>
      </c>
    </row>
    <row r="1578" spans="1:5" hidden="1" x14ac:dyDescent="0.3">
      <c r="A1578" t="s">
        <v>557</v>
      </c>
      <c r="B1578" t="s">
        <v>715</v>
      </c>
      <c r="C1578" t="s">
        <v>372</v>
      </c>
      <c r="D1578" s="230">
        <v>0</v>
      </c>
      <c r="E1578" t="s">
        <v>716</v>
      </c>
    </row>
    <row r="1579" spans="1:5" hidden="1" x14ac:dyDescent="0.3">
      <c r="A1579" t="s">
        <v>557</v>
      </c>
      <c r="B1579" t="s">
        <v>715</v>
      </c>
      <c r="C1579" t="s">
        <v>373</v>
      </c>
      <c r="D1579" s="230">
        <v>0</v>
      </c>
      <c r="E1579" t="s">
        <v>716</v>
      </c>
    </row>
    <row r="1580" spans="1:5" hidden="1" x14ac:dyDescent="0.3">
      <c r="A1580" t="s">
        <v>557</v>
      </c>
      <c r="B1580" t="s">
        <v>715</v>
      </c>
      <c r="C1580" t="s">
        <v>374</v>
      </c>
      <c r="D1580" s="230">
        <v>0</v>
      </c>
      <c r="E1580" t="s">
        <v>716</v>
      </c>
    </row>
    <row r="1581" spans="1:5" hidden="1" x14ac:dyDescent="0.3">
      <c r="A1581" t="s">
        <v>557</v>
      </c>
      <c r="B1581" t="s">
        <v>715</v>
      </c>
      <c r="C1581" t="s">
        <v>708</v>
      </c>
      <c r="D1581" s="230">
        <v>0</v>
      </c>
      <c r="E1581" t="s">
        <v>716</v>
      </c>
    </row>
    <row r="1582" spans="1:5" hidden="1" x14ac:dyDescent="0.3">
      <c r="A1582" t="s">
        <v>557</v>
      </c>
      <c r="B1582" t="s">
        <v>717</v>
      </c>
      <c r="C1582" t="s">
        <v>11</v>
      </c>
      <c r="D1582" s="230">
        <v>451905.42</v>
      </c>
      <c r="E1582" t="s">
        <v>718</v>
      </c>
    </row>
    <row r="1583" spans="1:5" hidden="1" x14ac:dyDescent="0.3">
      <c r="A1583" t="s">
        <v>557</v>
      </c>
      <c r="B1583" t="s">
        <v>717</v>
      </c>
      <c r="C1583" t="s">
        <v>13</v>
      </c>
      <c r="D1583" s="230">
        <v>251830.7</v>
      </c>
      <c r="E1583" t="s">
        <v>718</v>
      </c>
    </row>
    <row r="1584" spans="1:5" hidden="1" x14ac:dyDescent="0.3">
      <c r="A1584" t="s">
        <v>557</v>
      </c>
      <c r="B1584" t="s">
        <v>717</v>
      </c>
      <c r="C1584" t="s">
        <v>16</v>
      </c>
      <c r="D1584" s="230">
        <v>133036.4</v>
      </c>
      <c r="E1584" t="s">
        <v>718</v>
      </c>
    </row>
    <row r="1585" spans="1:5" hidden="1" x14ac:dyDescent="0.3">
      <c r="A1585" t="s">
        <v>557</v>
      </c>
      <c r="B1585" t="s">
        <v>717</v>
      </c>
      <c r="C1585" t="s">
        <v>17</v>
      </c>
      <c r="D1585" s="230">
        <v>7584</v>
      </c>
      <c r="E1585" t="s">
        <v>718</v>
      </c>
    </row>
    <row r="1586" spans="1:5" hidden="1" x14ac:dyDescent="0.3">
      <c r="A1586" t="s">
        <v>557</v>
      </c>
      <c r="B1586" t="s">
        <v>717</v>
      </c>
      <c r="C1586" t="s">
        <v>18</v>
      </c>
      <c r="D1586" s="230">
        <v>216</v>
      </c>
      <c r="E1586" t="s">
        <v>718</v>
      </c>
    </row>
    <row r="1587" spans="1:5" hidden="1" x14ac:dyDescent="0.3">
      <c r="A1587" t="s">
        <v>557</v>
      </c>
      <c r="B1587" t="s">
        <v>717</v>
      </c>
      <c r="C1587" t="s">
        <v>20</v>
      </c>
      <c r="D1587" s="230">
        <v>49214.44</v>
      </c>
      <c r="E1587" t="s">
        <v>718</v>
      </c>
    </row>
    <row r="1588" spans="1:5" hidden="1" x14ac:dyDescent="0.3">
      <c r="A1588" t="s">
        <v>557</v>
      </c>
      <c r="B1588" t="s">
        <v>717</v>
      </c>
      <c r="C1588" t="s">
        <v>23</v>
      </c>
      <c r="D1588" s="230">
        <v>1050</v>
      </c>
      <c r="E1588" t="s">
        <v>718</v>
      </c>
    </row>
    <row r="1589" spans="1:5" hidden="1" x14ac:dyDescent="0.3">
      <c r="A1589" t="s">
        <v>557</v>
      </c>
      <c r="B1589" t="s">
        <v>717</v>
      </c>
      <c r="C1589" t="s">
        <v>25</v>
      </c>
      <c r="D1589" s="230">
        <v>0</v>
      </c>
      <c r="E1589" t="s">
        <v>718</v>
      </c>
    </row>
    <row r="1590" spans="1:5" hidden="1" x14ac:dyDescent="0.3">
      <c r="A1590" t="s">
        <v>557</v>
      </c>
      <c r="B1590" t="s">
        <v>717</v>
      </c>
      <c r="C1590" t="s">
        <v>26</v>
      </c>
      <c r="D1590" s="230">
        <v>7800</v>
      </c>
      <c r="E1590" t="s">
        <v>718</v>
      </c>
    </row>
    <row r="1591" spans="1:5" hidden="1" x14ac:dyDescent="0.3">
      <c r="A1591" t="s">
        <v>557</v>
      </c>
      <c r="B1591" t="s">
        <v>717</v>
      </c>
      <c r="C1591" t="s">
        <v>27</v>
      </c>
      <c r="D1591" s="230">
        <v>0</v>
      </c>
      <c r="E1591" t="s">
        <v>718</v>
      </c>
    </row>
    <row r="1592" spans="1:5" hidden="1" x14ac:dyDescent="0.3">
      <c r="A1592" t="s">
        <v>557</v>
      </c>
      <c r="B1592" t="s">
        <v>717</v>
      </c>
      <c r="C1592" t="s">
        <v>29</v>
      </c>
      <c r="D1592" s="230">
        <v>1173.8800000000001</v>
      </c>
      <c r="E1592" t="s">
        <v>718</v>
      </c>
    </row>
    <row r="1593" spans="1:5" hidden="1" x14ac:dyDescent="0.3">
      <c r="A1593" t="s">
        <v>557</v>
      </c>
      <c r="B1593" t="s">
        <v>717</v>
      </c>
      <c r="C1593" t="s">
        <v>31</v>
      </c>
      <c r="D1593" s="230">
        <v>0</v>
      </c>
      <c r="E1593" t="s">
        <v>718</v>
      </c>
    </row>
    <row r="1594" spans="1:5" hidden="1" x14ac:dyDescent="0.3">
      <c r="A1594" t="s">
        <v>557</v>
      </c>
      <c r="B1594" t="s">
        <v>717</v>
      </c>
      <c r="C1594" t="s">
        <v>34</v>
      </c>
      <c r="D1594" s="230">
        <v>-10142.209999999999</v>
      </c>
      <c r="E1594" t="s">
        <v>718</v>
      </c>
    </row>
    <row r="1595" spans="1:5" hidden="1" x14ac:dyDescent="0.3">
      <c r="A1595" t="s">
        <v>557</v>
      </c>
      <c r="B1595" t="s">
        <v>717</v>
      </c>
      <c r="C1595" t="s">
        <v>38</v>
      </c>
      <c r="D1595" s="230">
        <v>-10142.209999999999</v>
      </c>
      <c r="E1595" t="s">
        <v>718</v>
      </c>
    </row>
    <row r="1596" spans="1:5" hidden="1" x14ac:dyDescent="0.3">
      <c r="A1596" t="s">
        <v>557</v>
      </c>
      <c r="B1596" t="s">
        <v>717</v>
      </c>
      <c r="C1596" t="s">
        <v>40</v>
      </c>
      <c r="D1596" s="230">
        <v>0</v>
      </c>
      <c r="E1596" t="s">
        <v>718</v>
      </c>
    </row>
    <row r="1597" spans="1:5" hidden="1" x14ac:dyDescent="0.3">
      <c r="A1597" t="s">
        <v>557</v>
      </c>
      <c r="B1597" t="s">
        <v>717</v>
      </c>
      <c r="C1597" t="s">
        <v>42</v>
      </c>
      <c r="D1597" s="230">
        <v>0</v>
      </c>
      <c r="E1597" t="s">
        <v>718</v>
      </c>
    </row>
    <row r="1598" spans="1:5" hidden="1" x14ac:dyDescent="0.3">
      <c r="A1598" t="s">
        <v>557</v>
      </c>
      <c r="B1598" t="s">
        <v>717</v>
      </c>
      <c r="C1598" t="s">
        <v>44</v>
      </c>
      <c r="D1598" s="230">
        <v>-0.02</v>
      </c>
      <c r="E1598" t="s">
        <v>718</v>
      </c>
    </row>
    <row r="1599" spans="1:5" hidden="1" x14ac:dyDescent="0.3">
      <c r="A1599" t="s">
        <v>557</v>
      </c>
      <c r="B1599" t="s">
        <v>717</v>
      </c>
      <c r="C1599" t="s">
        <v>45</v>
      </c>
      <c r="D1599" s="230">
        <v>-27287.69</v>
      </c>
      <c r="E1599" t="s">
        <v>718</v>
      </c>
    </row>
    <row r="1600" spans="1:5" hidden="1" x14ac:dyDescent="0.3">
      <c r="A1600" t="s">
        <v>557</v>
      </c>
      <c r="B1600" t="s">
        <v>717</v>
      </c>
      <c r="C1600" t="s">
        <v>46</v>
      </c>
      <c r="D1600" s="230">
        <v>-14328.03</v>
      </c>
      <c r="E1600" t="s">
        <v>718</v>
      </c>
    </row>
    <row r="1601" spans="1:5" hidden="1" x14ac:dyDescent="0.3">
      <c r="A1601" t="s">
        <v>557</v>
      </c>
      <c r="B1601" t="s">
        <v>717</v>
      </c>
      <c r="C1601" t="s">
        <v>48</v>
      </c>
      <c r="D1601" s="230">
        <v>-12527.96</v>
      </c>
      <c r="E1601" t="s">
        <v>718</v>
      </c>
    </row>
    <row r="1602" spans="1:5" hidden="1" x14ac:dyDescent="0.3">
      <c r="A1602" t="s">
        <v>557</v>
      </c>
      <c r="B1602" t="s">
        <v>717</v>
      </c>
      <c r="C1602" t="s">
        <v>49</v>
      </c>
      <c r="D1602" s="230">
        <v>-431.7</v>
      </c>
      <c r="E1602" t="s">
        <v>718</v>
      </c>
    </row>
    <row r="1603" spans="1:5" hidden="1" x14ac:dyDescent="0.3">
      <c r="A1603" t="s">
        <v>557</v>
      </c>
      <c r="B1603" t="s">
        <v>717</v>
      </c>
      <c r="C1603" t="s">
        <v>50</v>
      </c>
      <c r="D1603" s="230">
        <v>414475.52000000002</v>
      </c>
      <c r="E1603" t="s">
        <v>718</v>
      </c>
    </row>
    <row r="1604" spans="1:5" hidden="1" x14ac:dyDescent="0.3">
      <c r="A1604" t="s">
        <v>557</v>
      </c>
      <c r="B1604" t="s">
        <v>717</v>
      </c>
      <c r="C1604" t="s">
        <v>51</v>
      </c>
      <c r="D1604" s="230">
        <v>-109392.82</v>
      </c>
      <c r="E1604" t="s">
        <v>718</v>
      </c>
    </row>
    <row r="1605" spans="1:5" hidden="1" x14ac:dyDescent="0.3">
      <c r="A1605" t="s">
        <v>557</v>
      </c>
      <c r="B1605" t="s">
        <v>717</v>
      </c>
      <c r="C1605" t="s">
        <v>52</v>
      </c>
      <c r="D1605" s="230">
        <v>-79225.460000000006</v>
      </c>
      <c r="E1605" t="s">
        <v>718</v>
      </c>
    </row>
    <row r="1606" spans="1:5" hidden="1" x14ac:dyDescent="0.3">
      <c r="A1606" t="s">
        <v>557</v>
      </c>
      <c r="B1606" t="s">
        <v>717</v>
      </c>
      <c r="C1606" t="s">
        <v>53</v>
      </c>
      <c r="D1606" s="230">
        <v>-30167.35</v>
      </c>
      <c r="E1606" t="s">
        <v>718</v>
      </c>
    </row>
    <row r="1607" spans="1:5" hidden="1" x14ac:dyDescent="0.3">
      <c r="A1607" t="s">
        <v>557</v>
      </c>
      <c r="B1607" t="s">
        <v>717</v>
      </c>
      <c r="C1607" t="s">
        <v>54</v>
      </c>
      <c r="D1607" s="230">
        <v>0</v>
      </c>
      <c r="E1607" t="s">
        <v>718</v>
      </c>
    </row>
    <row r="1608" spans="1:5" hidden="1" x14ac:dyDescent="0.3">
      <c r="A1608" t="s">
        <v>557</v>
      </c>
      <c r="B1608" t="s">
        <v>717</v>
      </c>
      <c r="C1608" t="s">
        <v>23</v>
      </c>
      <c r="D1608" s="230">
        <v>0</v>
      </c>
      <c r="E1608" t="s">
        <v>718</v>
      </c>
    </row>
    <row r="1609" spans="1:5" hidden="1" x14ac:dyDescent="0.3">
      <c r="A1609" t="s">
        <v>557</v>
      </c>
      <c r="B1609" t="s">
        <v>717</v>
      </c>
      <c r="C1609" t="s">
        <v>44</v>
      </c>
      <c r="D1609" s="230">
        <v>-0.28000000000000003</v>
      </c>
      <c r="E1609" t="s">
        <v>718</v>
      </c>
    </row>
    <row r="1610" spans="1:5" hidden="1" x14ac:dyDescent="0.3">
      <c r="A1610" t="s">
        <v>557</v>
      </c>
      <c r="B1610" t="s">
        <v>717</v>
      </c>
      <c r="C1610" t="s">
        <v>55</v>
      </c>
      <c r="D1610" s="230">
        <v>-0.26</v>
      </c>
      <c r="E1610" t="s">
        <v>718</v>
      </c>
    </row>
    <row r="1611" spans="1:5" hidden="1" x14ac:dyDescent="0.3">
      <c r="A1611" t="s">
        <v>557</v>
      </c>
      <c r="B1611" t="s">
        <v>717</v>
      </c>
      <c r="C1611" t="s">
        <v>56</v>
      </c>
      <c r="D1611" s="230">
        <v>-8912.49</v>
      </c>
      <c r="E1611" t="s">
        <v>718</v>
      </c>
    </row>
    <row r="1612" spans="1:5" hidden="1" x14ac:dyDescent="0.3">
      <c r="A1612" t="s">
        <v>557</v>
      </c>
      <c r="B1612" t="s">
        <v>717</v>
      </c>
      <c r="C1612" t="s">
        <v>57</v>
      </c>
      <c r="D1612" s="230">
        <v>-8912.49</v>
      </c>
      <c r="E1612" t="s">
        <v>718</v>
      </c>
    </row>
    <row r="1613" spans="1:5" hidden="1" x14ac:dyDescent="0.3">
      <c r="A1613" t="s">
        <v>557</v>
      </c>
      <c r="B1613" t="s">
        <v>717</v>
      </c>
      <c r="C1613" t="s">
        <v>58</v>
      </c>
      <c r="D1613" s="230">
        <v>-8450</v>
      </c>
      <c r="E1613" t="s">
        <v>718</v>
      </c>
    </row>
    <row r="1614" spans="1:5" hidden="1" x14ac:dyDescent="0.3">
      <c r="A1614" t="s">
        <v>557</v>
      </c>
      <c r="B1614" t="s">
        <v>717</v>
      </c>
      <c r="C1614" t="s">
        <v>59</v>
      </c>
      <c r="D1614" s="230">
        <v>-462.49</v>
      </c>
      <c r="E1614" t="s">
        <v>718</v>
      </c>
    </row>
    <row r="1615" spans="1:5" hidden="1" x14ac:dyDescent="0.3">
      <c r="A1615" t="s">
        <v>557</v>
      </c>
      <c r="B1615" t="s">
        <v>717</v>
      </c>
      <c r="C1615" t="s">
        <v>61</v>
      </c>
      <c r="D1615" s="230">
        <v>0</v>
      </c>
      <c r="E1615" t="s">
        <v>718</v>
      </c>
    </row>
    <row r="1616" spans="1:5" hidden="1" x14ac:dyDescent="0.3">
      <c r="A1616" t="s">
        <v>557</v>
      </c>
      <c r="B1616" t="s">
        <v>717</v>
      </c>
      <c r="C1616" t="s">
        <v>62</v>
      </c>
      <c r="D1616" s="230">
        <v>0</v>
      </c>
      <c r="E1616" t="s">
        <v>718</v>
      </c>
    </row>
    <row r="1617" spans="1:5" hidden="1" x14ac:dyDescent="0.3">
      <c r="A1617" t="s">
        <v>557</v>
      </c>
      <c r="B1617" t="s">
        <v>717</v>
      </c>
      <c r="C1617" t="s">
        <v>64</v>
      </c>
      <c r="D1617" s="230">
        <v>0</v>
      </c>
      <c r="E1617" t="s">
        <v>718</v>
      </c>
    </row>
    <row r="1618" spans="1:5" hidden="1" x14ac:dyDescent="0.3">
      <c r="A1618" t="s">
        <v>557</v>
      </c>
      <c r="B1618" t="s">
        <v>717</v>
      </c>
      <c r="C1618" t="s">
        <v>65</v>
      </c>
      <c r="D1618" s="230">
        <v>0</v>
      </c>
      <c r="E1618" t="s">
        <v>718</v>
      </c>
    </row>
    <row r="1619" spans="1:5" hidden="1" x14ac:dyDescent="0.3">
      <c r="A1619" t="s">
        <v>557</v>
      </c>
      <c r="B1619" t="s">
        <v>717</v>
      </c>
      <c r="C1619" t="s">
        <v>66</v>
      </c>
      <c r="D1619" s="230">
        <v>0</v>
      </c>
      <c r="E1619" t="s">
        <v>718</v>
      </c>
    </row>
    <row r="1620" spans="1:5" hidden="1" x14ac:dyDescent="0.3">
      <c r="A1620" t="s">
        <v>557</v>
      </c>
      <c r="B1620" t="s">
        <v>717</v>
      </c>
      <c r="C1620" t="s">
        <v>68</v>
      </c>
      <c r="D1620" s="230">
        <v>0</v>
      </c>
      <c r="E1620" t="s">
        <v>718</v>
      </c>
    </row>
    <row r="1621" spans="1:5" hidden="1" x14ac:dyDescent="0.3">
      <c r="A1621" t="s">
        <v>557</v>
      </c>
      <c r="B1621" t="s">
        <v>717</v>
      </c>
      <c r="C1621" t="s">
        <v>69</v>
      </c>
      <c r="D1621" s="230">
        <v>0</v>
      </c>
      <c r="E1621" t="s">
        <v>718</v>
      </c>
    </row>
    <row r="1622" spans="1:5" hidden="1" x14ac:dyDescent="0.3">
      <c r="A1622" t="s">
        <v>557</v>
      </c>
      <c r="B1622" t="s">
        <v>717</v>
      </c>
      <c r="C1622" t="s">
        <v>70</v>
      </c>
      <c r="D1622" s="230">
        <v>-1.18</v>
      </c>
      <c r="E1622" t="s">
        <v>718</v>
      </c>
    </row>
    <row r="1623" spans="1:5" hidden="1" x14ac:dyDescent="0.3">
      <c r="A1623" t="s">
        <v>557</v>
      </c>
      <c r="B1623" t="s">
        <v>717</v>
      </c>
      <c r="C1623" t="s">
        <v>44</v>
      </c>
      <c r="D1623" s="230">
        <v>-0.02</v>
      </c>
      <c r="E1623" t="s">
        <v>718</v>
      </c>
    </row>
    <row r="1624" spans="1:5" hidden="1" x14ac:dyDescent="0.3">
      <c r="A1624" t="s">
        <v>557</v>
      </c>
      <c r="B1624" t="s">
        <v>717</v>
      </c>
      <c r="C1624" t="s">
        <v>71</v>
      </c>
      <c r="D1624" s="230">
        <v>-1500</v>
      </c>
      <c r="E1624" t="s">
        <v>718</v>
      </c>
    </row>
    <row r="1625" spans="1:5" hidden="1" x14ac:dyDescent="0.3">
      <c r="A1625" t="s">
        <v>557</v>
      </c>
      <c r="B1625" t="s">
        <v>717</v>
      </c>
      <c r="C1625" t="s">
        <v>72</v>
      </c>
      <c r="D1625" s="230">
        <v>-1500</v>
      </c>
      <c r="E1625" t="s">
        <v>718</v>
      </c>
    </row>
    <row r="1626" spans="1:5" hidden="1" x14ac:dyDescent="0.3">
      <c r="A1626" t="s">
        <v>557</v>
      </c>
      <c r="B1626" t="s">
        <v>717</v>
      </c>
      <c r="C1626" t="s">
        <v>73</v>
      </c>
      <c r="D1626" s="230">
        <v>0</v>
      </c>
      <c r="E1626" t="s">
        <v>718</v>
      </c>
    </row>
    <row r="1627" spans="1:5" hidden="1" x14ac:dyDescent="0.3">
      <c r="A1627" t="s">
        <v>557</v>
      </c>
      <c r="B1627" t="s">
        <v>717</v>
      </c>
      <c r="C1627" t="s">
        <v>75</v>
      </c>
      <c r="D1627" s="230">
        <v>-1500</v>
      </c>
      <c r="E1627" t="s">
        <v>718</v>
      </c>
    </row>
    <row r="1628" spans="1:5" hidden="1" x14ac:dyDescent="0.3">
      <c r="A1628" t="s">
        <v>557</v>
      </c>
      <c r="B1628" t="s">
        <v>717</v>
      </c>
      <c r="C1628" t="s">
        <v>77</v>
      </c>
      <c r="D1628" s="230">
        <v>0</v>
      </c>
      <c r="E1628" t="s">
        <v>718</v>
      </c>
    </row>
    <row r="1629" spans="1:5" hidden="1" x14ac:dyDescent="0.3">
      <c r="A1629" t="s">
        <v>557</v>
      </c>
      <c r="B1629" t="s">
        <v>717</v>
      </c>
      <c r="C1629" t="s">
        <v>78</v>
      </c>
      <c r="D1629" s="230">
        <v>0</v>
      </c>
      <c r="E1629" t="s">
        <v>718</v>
      </c>
    </row>
    <row r="1630" spans="1:5" hidden="1" x14ac:dyDescent="0.3">
      <c r="A1630" t="s">
        <v>557</v>
      </c>
      <c r="B1630" t="s">
        <v>717</v>
      </c>
      <c r="C1630" t="s">
        <v>80</v>
      </c>
      <c r="D1630" s="230">
        <v>0</v>
      </c>
      <c r="E1630" t="s">
        <v>718</v>
      </c>
    </row>
    <row r="1631" spans="1:5" hidden="1" x14ac:dyDescent="0.3">
      <c r="A1631" t="s">
        <v>557</v>
      </c>
      <c r="B1631" t="s">
        <v>717</v>
      </c>
      <c r="C1631" t="s">
        <v>82</v>
      </c>
      <c r="D1631" s="230">
        <v>0</v>
      </c>
      <c r="E1631" t="s">
        <v>718</v>
      </c>
    </row>
    <row r="1632" spans="1:5" hidden="1" x14ac:dyDescent="0.3">
      <c r="A1632" t="s">
        <v>557</v>
      </c>
      <c r="B1632" t="s">
        <v>717</v>
      </c>
      <c r="C1632" t="s">
        <v>84</v>
      </c>
      <c r="D1632" s="230">
        <v>0</v>
      </c>
      <c r="E1632" t="s">
        <v>718</v>
      </c>
    </row>
    <row r="1633" spans="1:5" hidden="1" x14ac:dyDescent="0.3">
      <c r="A1633" t="s">
        <v>557</v>
      </c>
      <c r="B1633" t="s">
        <v>717</v>
      </c>
      <c r="C1633" t="s">
        <v>85</v>
      </c>
      <c r="D1633" s="230">
        <v>0</v>
      </c>
      <c r="E1633" t="s">
        <v>718</v>
      </c>
    </row>
    <row r="1634" spans="1:5" hidden="1" x14ac:dyDescent="0.3">
      <c r="A1634" t="s">
        <v>557</v>
      </c>
      <c r="B1634" t="s">
        <v>717</v>
      </c>
      <c r="C1634" t="s">
        <v>86</v>
      </c>
      <c r="D1634" s="230">
        <v>0</v>
      </c>
      <c r="E1634" t="s">
        <v>718</v>
      </c>
    </row>
    <row r="1635" spans="1:5" hidden="1" x14ac:dyDescent="0.3">
      <c r="A1635" t="s">
        <v>557</v>
      </c>
      <c r="B1635" t="s">
        <v>717</v>
      </c>
      <c r="C1635" t="s">
        <v>87</v>
      </c>
      <c r="D1635" s="230">
        <v>0</v>
      </c>
      <c r="E1635" t="s">
        <v>718</v>
      </c>
    </row>
    <row r="1636" spans="1:5" hidden="1" x14ac:dyDescent="0.3">
      <c r="A1636" t="s">
        <v>557</v>
      </c>
      <c r="B1636" t="s">
        <v>717</v>
      </c>
      <c r="C1636" t="s">
        <v>88</v>
      </c>
      <c r="D1636" s="230">
        <v>0</v>
      </c>
      <c r="E1636" t="s">
        <v>718</v>
      </c>
    </row>
    <row r="1637" spans="1:5" hidden="1" x14ac:dyDescent="0.3">
      <c r="A1637" t="s">
        <v>557</v>
      </c>
      <c r="B1637" t="s">
        <v>717</v>
      </c>
      <c r="C1637" t="s">
        <v>89</v>
      </c>
      <c r="D1637" s="230">
        <v>0</v>
      </c>
      <c r="E1637" t="s">
        <v>718</v>
      </c>
    </row>
    <row r="1638" spans="1:5" hidden="1" x14ac:dyDescent="0.3">
      <c r="A1638" t="s">
        <v>557</v>
      </c>
      <c r="B1638" t="s">
        <v>717</v>
      </c>
      <c r="C1638" t="s">
        <v>90</v>
      </c>
      <c r="D1638" s="230">
        <v>0</v>
      </c>
      <c r="E1638" t="s">
        <v>718</v>
      </c>
    </row>
    <row r="1639" spans="1:5" hidden="1" x14ac:dyDescent="0.3">
      <c r="A1639" t="s">
        <v>557</v>
      </c>
      <c r="B1639" t="s">
        <v>717</v>
      </c>
      <c r="C1639" t="s">
        <v>91</v>
      </c>
      <c r="D1639" s="230">
        <v>0</v>
      </c>
      <c r="E1639" t="s">
        <v>718</v>
      </c>
    </row>
    <row r="1640" spans="1:5" hidden="1" x14ac:dyDescent="0.3">
      <c r="A1640" t="s">
        <v>557</v>
      </c>
      <c r="B1640" t="s">
        <v>717</v>
      </c>
      <c r="C1640" t="s">
        <v>93</v>
      </c>
      <c r="D1640" s="230">
        <v>0</v>
      </c>
      <c r="E1640" t="s">
        <v>718</v>
      </c>
    </row>
    <row r="1641" spans="1:5" hidden="1" x14ac:dyDescent="0.3">
      <c r="A1641" t="s">
        <v>557</v>
      </c>
      <c r="B1641" t="s">
        <v>717</v>
      </c>
      <c r="C1641" t="s">
        <v>95</v>
      </c>
      <c r="D1641" s="230">
        <v>0</v>
      </c>
      <c r="E1641" t="s">
        <v>718</v>
      </c>
    </row>
    <row r="1642" spans="1:5" hidden="1" x14ac:dyDescent="0.3">
      <c r="A1642" t="s">
        <v>557</v>
      </c>
      <c r="B1642" t="s">
        <v>717</v>
      </c>
      <c r="C1642" t="s">
        <v>96</v>
      </c>
      <c r="D1642" s="230">
        <v>0</v>
      </c>
      <c r="E1642" t="s">
        <v>718</v>
      </c>
    </row>
    <row r="1643" spans="1:5" hidden="1" x14ac:dyDescent="0.3">
      <c r="A1643" t="s">
        <v>557</v>
      </c>
      <c r="B1643" t="s">
        <v>717</v>
      </c>
      <c r="C1643" t="s">
        <v>98</v>
      </c>
      <c r="D1643" s="230">
        <v>0</v>
      </c>
      <c r="E1643" t="s">
        <v>718</v>
      </c>
    </row>
    <row r="1644" spans="1:5" hidden="1" x14ac:dyDescent="0.3">
      <c r="A1644" t="s">
        <v>557</v>
      </c>
      <c r="B1644" t="s">
        <v>717</v>
      </c>
      <c r="C1644" t="s">
        <v>100</v>
      </c>
      <c r="D1644" s="230">
        <v>0</v>
      </c>
      <c r="E1644" t="s">
        <v>718</v>
      </c>
    </row>
    <row r="1645" spans="1:5" hidden="1" x14ac:dyDescent="0.3">
      <c r="A1645" t="s">
        <v>557</v>
      </c>
      <c r="B1645" t="s">
        <v>717</v>
      </c>
      <c r="C1645" t="s">
        <v>101</v>
      </c>
      <c r="D1645" s="230">
        <v>0</v>
      </c>
      <c r="E1645" t="s">
        <v>718</v>
      </c>
    </row>
    <row r="1646" spans="1:5" hidden="1" x14ac:dyDescent="0.3">
      <c r="A1646" t="s">
        <v>557</v>
      </c>
      <c r="B1646" t="s">
        <v>717</v>
      </c>
      <c r="C1646" t="s">
        <v>102</v>
      </c>
      <c r="D1646" s="230">
        <v>0</v>
      </c>
      <c r="E1646" t="s">
        <v>718</v>
      </c>
    </row>
    <row r="1647" spans="1:5" hidden="1" x14ac:dyDescent="0.3">
      <c r="A1647" t="s">
        <v>557</v>
      </c>
      <c r="B1647" t="s">
        <v>717</v>
      </c>
      <c r="C1647" t="s">
        <v>103</v>
      </c>
      <c r="D1647" s="230">
        <v>0</v>
      </c>
      <c r="E1647" t="s">
        <v>718</v>
      </c>
    </row>
    <row r="1648" spans="1:5" hidden="1" x14ac:dyDescent="0.3">
      <c r="A1648" t="s">
        <v>557</v>
      </c>
      <c r="B1648" t="s">
        <v>717</v>
      </c>
      <c r="C1648" t="s">
        <v>104</v>
      </c>
      <c r="D1648" s="230">
        <v>0</v>
      </c>
      <c r="E1648" t="s">
        <v>718</v>
      </c>
    </row>
    <row r="1649" spans="1:5" hidden="1" x14ac:dyDescent="0.3">
      <c r="A1649" t="s">
        <v>557</v>
      </c>
      <c r="B1649" t="s">
        <v>717</v>
      </c>
      <c r="C1649" t="s">
        <v>105</v>
      </c>
      <c r="D1649" s="230">
        <v>0</v>
      </c>
      <c r="E1649" t="s">
        <v>718</v>
      </c>
    </row>
    <row r="1650" spans="1:5" hidden="1" x14ac:dyDescent="0.3">
      <c r="A1650" t="s">
        <v>557</v>
      </c>
      <c r="B1650" t="s">
        <v>717</v>
      </c>
      <c r="C1650" t="s">
        <v>107</v>
      </c>
      <c r="D1650" s="230">
        <v>0</v>
      </c>
      <c r="E1650" t="s">
        <v>718</v>
      </c>
    </row>
    <row r="1651" spans="1:5" hidden="1" x14ac:dyDescent="0.3">
      <c r="A1651" t="s">
        <v>557</v>
      </c>
      <c r="B1651" t="s">
        <v>717</v>
      </c>
      <c r="C1651" t="s">
        <v>108</v>
      </c>
      <c r="D1651" s="230">
        <v>0</v>
      </c>
      <c r="E1651" t="s">
        <v>718</v>
      </c>
    </row>
    <row r="1652" spans="1:5" hidden="1" x14ac:dyDescent="0.3">
      <c r="A1652" t="s">
        <v>557</v>
      </c>
      <c r="B1652" t="s">
        <v>717</v>
      </c>
      <c r="C1652" t="s">
        <v>109</v>
      </c>
      <c r="D1652" s="230">
        <v>0</v>
      </c>
      <c r="E1652" t="s">
        <v>718</v>
      </c>
    </row>
    <row r="1653" spans="1:5" hidden="1" x14ac:dyDescent="0.3">
      <c r="A1653" t="s">
        <v>557</v>
      </c>
      <c r="B1653" t="s">
        <v>717</v>
      </c>
      <c r="C1653" t="s">
        <v>110</v>
      </c>
      <c r="D1653" s="230">
        <v>0</v>
      </c>
      <c r="E1653" t="s">
        <v>718</v>
      </c>
    </row>
    <row r="1654" spans="1:5" hidden="1" x14ac:dyDescent="0.3">
      <c r="A1654" t="s">
        <v>557</v>
      </c>
      <c r="B1654" t="s">
        <v>717</v>
      </c>
      <c r="C1654" t="s">
        <v>44</v>
      </c>
      <c r="D1654" s="230">
        <v>0</v>
      </c>
      <c r="E1654" t="s">
        <v>718</v>
      </c>
    </row>
    <row r="1655" spans="1:5" hidden="1" x14ac:dyDescent="0.3">
      <c r="A1655" t="s">
        <v>557</v>
      </c>
      <c r="B1655" t="s">
        <v>717</v>
      </c>
      <c r="C1655" t="s">
        <v>111</v>
      </c>
      <c r="D1655" s="230">
        <v>-29889.9</v>
      </c>
      <c r="E1655" t="s">
        <v>718</v>
      </c>
    </row>
    <row r="1656" spans="1:5" hidden="1" x14ac:dyDescent="0.3">
      <c r="A1656" t="s">
        <v>557</v>
      </c>
      <c r="B1656" t="s">
        <v>717</v>
      </c>
      <c r="C1656" t="s">
        <v>608</v>
      </c>
      <c r="D1656" s="230">
        <v>-29889.9</v>
      </c>
      <c r="E1656" t="s">
        <v>718</v>
      </c>
    </row>
    <row r="1657" spans="1:5" hidden="1" x14ac:dyDescent="0.3">
      <c r="A1657" t="s">
        <v>557</v>
      </c>
      <c r="B1657" t="s">
        <v>717</v>
      </c>
      <c r="C1657" t="s">
        <v>44</v>
      </c>
      <c r="D1657" s="230">
        <v>-7.0000000000000007E-2</v>
      </c>
      <c r="E1657" t="s">
        <v>718</v>
      </c>
    </row>
    <row r="1658" spans="1:5" hidden="1" x14ac:dyDescent="0.3">
      <c r="A1658" t="s">
        <v>557</v>
      </c>
      <c r="B1658" t="s">
        <v>717</v>
      </c>
      <c r="C1658" t="s">
        <v>115</v>
      </c>
      <c r="D1658" s="230">
        <v>-8449.25</v>
      </c>
      <c r="E1658" t="s">
        <v>718</v>
      </c>
    </row>
    <row r="1659" spans="1:5" hidden="1" x14ac:dyDescent="0.3">
      <c r="A1659" t="s">
        <v>557</v>
      </c>
      <c r="B1659" t="s">
        <v>717</v>
      </c>
      <c r="C1659" t="s">
        <v>116</v>
      </c>
      <c r="D1659" s="230">
        <v>-8115.9</v>
      </c>
      <c r="E1659" t="s">
        <v>718</v>
      </c>
    </row>
    <row r="1660" spans="1:5" hidden="1" x14ac:dyDescent="0.3">
      <c r="A1660" t="s">
        <v>557</v>
      </c>
      <c r="B1660" t="s">
        <v>717</v>
      </c>
      <c r="C1660" t="s">
        <v>118</v>
      </c>
      <c r="D1660" s="230">
        <v>0</v>
      </c>
      <c r="E1660" t="s">
        <v>718</v>
      </c>
    </row>
    <row r="1661" spans="1:5" hidden="1" x14ac:dyDescent="0.3">
      <c r="A1661" t="s">
        <v>557</v>
      </c>
      <c r="B1661" t="s">
        <v>717</v>
      </c>
      <c r="C1661" t="s">
        <v>120</v>
      </c>
      <c r="D1661" s="230">
        <v>0</v>
      </c>
      <c r="E1661" t="s">
        <v>718</v>
      </c>
    </row>
    <row r="1662" spans="1:5" hidden="1" x14ac:dyDescent="0.3">
      <c r="A1662" t="s">
        <v>557</v>
      </c>
      <c r="B1662" t="s">
        <v>717</v>
      </c>
      <c r="C1662" t="s">
        <v>122</v>
      </c>
      <c r="D1662" s="230">
        <v>-333.35</v>
      </c>
      <c r="E1662" t="s">
        <v>718</v>
      </c>
    </row>
    <row r="1663" spans="1:5" hidden="1" x14ac:dyDescent="0.3">
      <c r="A1663" t="s">
        <v>557</v>
      </c>
      <c r="B1663" t="s">
        <v>717</v>
      </c>
      <c r="C1663" t="s">
        <v>44</v>
      </c>
      <c r="D1663" s="230">
        <v>-0.02</v>
      </c>
      <c r="E1663" t="s">
        <v>718</v>
      </c>
    </row>
    <row r="1664" spans="1:5" hidden="1" x14ac:dyDescent="0.3">
      <c r="A1664" t="s">
        <v>557</v>
      </c>
      <c r="B1664" t="s">
        <v>717</v>
      </c>
      <c r="C1664" t="s">
        <v>126</v>
      </c>
      <c r="D1664" s="230">
        <v>256331.06</v>
      </c>
      <c r="E1664" t="s">
        <v>718</v>
      </c>
    </row>
    <row r="1665" spans="1:5" hidden="1" x14ac:dyDescent="0.3">
      <c r="A1665" t="s">
        <v>557</v>
      </c>
      <c r="B1665" t="s">
        <v>717</v>
      </c>
      <c r="C1665" t="s">
        <v>127</v>
      </c>
      <c r="D1665" s="230">
        <v>0.56999999999999995</v>
      </c>
      <c r="E1665" t="s">
        <v>718</v>
      </c>
    </row>
    <row r="1666" spans="1:5" hidden="1" x14ac:dyDescent="0.3">
      <c r="A1666" t="s">
        <v>557</v>
      </c>
      <c r="B1666" t="s">
        <v>717</v>
      </c>
      <c r="C1666" t="s">
        <v>128</v>
      </c>
      <c r="D1666" s="230">
        <v>-120795.57</v>
      </c>
      <c r="E1666" t="s">
        <v>718</v>
      </c>
    </row>
    <row r="1667" spans="1:5" hidden="1" x14ac:dyDescent="0.3">
      <c r="A1667" t="s">
        <v>557</v>
      </c>
      <c r="B1667" t="s">
        <v>717</v>
      </c>
      <c r="C1667" t="s">
        <v>129</v>
      </c>
      <c r="D1667" s="230">
        <v>-33000</v>
      </c>
      <c r="E1667" t="s">
        <v>718</v>
      </c>
    </row>
    <row r="1668" spans="1:5" hidden="1" x14ac:dyDescent="0.3">
      <c r="A1668" t="s">
        <v>557</v>
      </c>
      <c r="B1668" t="s">
        <v>717</v>
      </c>
      <c r="C1668" t="s">
        <v>609</v>
      </c>
      <c r="D1668" s="230">
        <v>-600</v>
      </c>
      <c r="E1668" t="s">
        <v>718</v>
      </c>
    </row>
    <row r="1669" spans="1:5" hidden="1" x14ac:dyDescent="0.3">
      <c r="A1669" t="s">
        <v>557</v>
      </c>
      <c r="B1669" t="s">
        <v>717</v>
      </c>
      <c r="C1669" t="s">
        <v>610</v>
      </c>
      <c r="D1669" s="230">
        <v>-11000</v>
      </c>
      <c r="E1669" t="s">
        <v>718</v>
      </c>
    </row>
    <row r="1670" spans="1:5" hidden="1" x14ac:dyDescent="0.3">
      <c r="A1670" t="s">
        <v>557</v>
      </c>
      <c r="B1670" t="s">
        <v>717</v>
      </c>
      <c r="C1670" t="s">
        <v>611</v>
      </c>
      <c r="D1670" s="230">
        <v>-6600</v>
      </c>
      <c r="E1670" t="s">
        <v>718</v>
      </c>
    </row>
    <row r="1671" spans="1:5" hidden="1" x14ac:dyDescent="0.3">
      <c r="A1671" t="s">
        <v>557</v>
      </c>
      <c r="B1671" t="s">
        <v>717</v>
      </c>
      <c r="C1671" t="s">
        <v>612</v>
      </c>
      <c r="D1671" s="230">
        <v>-4800</v>
      </c>
      <c r="E1671" t="s">
        <v>718</v>
      </c>
    </row>
    <row r="1672" spans="1:5" hidden="1" x14ac:dyDescent="0.3">
      <c r="A1672" t="s">
        <v>557</v>
      </c>
      <c r="B1672" t="s">
        <v>717</v>
      </c>
      <c r="C1672" t="s">
        <v>613</v>
      </c>
      <c r="D1672" s="230">
        <v>-1200</v>
      </c>
      <c r="E1672" t="s">
        <v>718</v>
      </c>
    </row>
    <row r="1673" spans="1:5" hidden="1" x14ac:dyDescent="0.3">
      <c r="A1673" t="s">
        <v>557</v>
      </c>
      <c r="B1673" t="s">
        <v>717</v>
      </c>
      <c r="C1673" t="s">
        <v>614</v>
      </c>
      <c r="D1673" s="230">
        <v>0</v>
      </c>
      <c r="E1673" t="s">
        <v>718</v>
      </c>
    </row>
    <row r="1674" spans="1:5" hidden="1" x14ac:dyDescent="0.3">
      <c r="A1674" t="s">
        <v>557</v>
      </c>
      <c r="B1674" t="s">
        <v>717</v>
      </c>
      <c r="C1674" t="s">
        <v>615</v>
      </c>
      <c r="D1674" s="230">
        <v>0</v>
      </c>
      <c r="E1674" t="s">
        <v>718</v>
      </c>
    </row>
    <row r="1675" spans="1:5" hidden="1" x14ac:dyDescent="0.3">
      <c r="A1675" t="s">
        <v>557</v>
      </c>
      <c r="B1675" t="s">
        <v>717</v>
      </c>
      <c r="C1675" t="s">
        <v>616</v>
      </c>
      <c r="D1675" s="230">
        <v>-8800</v>
      </c>
      <c r="E1675" t="s">
        <v>718</v>
      </c>
    </row>
    <row r="1676" spans="1:5" hidden="1" x14ac:dyDescent="0.3">
      <c r="A1676" t="s">
        <v>557</v>
      </c>
      <c r="B1676" t="s">
        <v>717</v>
      </c>
      <c r="C1676" t="s">
        <v>617</v>
      </c>
      <c r="D1676" s="230">
        <v>0</v>
      </c>
      <c r="E1676" t="s">
        <v>718</v>
      </c>
    </row>
    <row r="1677" spans="1:5" hidden="1" x14ac:dyDescent="0.3">
      <c r="A1677" t="s">
        <v>557</v>
      </c>
      <c r="B1677" t="s">
        <v>717</v>
      </c>
      <c r="C1677" t="s">
        <v>618</v>
      </c>
      <c r="D1677" s="230">
        <v>0</v>
      </c>
      <c r="E1677" t="s">
        <v>718</v>
      </c>
    </row>
    <row r="1678" spans="1:5" hidden="1" x14ac:dyDescent="0.3">
      <c r="A1678" t="s">
        <v>557</v>
      </c>
      <c r="B1678" t="s">
        <v>717</v>
      </c>
      <c r="C1678" t="s">
        <v>619</v>
      </c>
      <c r="D1678" s="230">
        <v>0</v>
      </c>
      <c r="E1678" t="s">
        <v>718</v>
      </c>
    </row>
    <row r="1679" spans="1:5" hidden="1" x14ac:dyDescent="0.3">
      <c r="A1679" t="s">
        <v>557</v>
      </c>
      <c r="B1679" t="s">
        <v>717</v>
      </c>
      <c r="C1679" t="s">
        <v>620</v>
      </c>
      <c r="D1679" s="230">
        <v>0</v>
      </c>
      <c r="E1679" t="s">
        <v>718</v>
      </c>
    </row>
    <row r="1680" spans="1:5" hidden="1" x14ac:dyDescent="0.3">
      <c r="A1680" t="s">
        <v>557</v>
      </c>
      <c r="B1680" t="s">
        <v>717</v>
      </c>
      <c r="C1680" t="s">
        <v>575</v>
      </c>
      <c r="D1680" s="230">
        <v>-44219.65</v>
      </c>
      <c r="E1680" t="s">
        <v>718</v>
      </c>
    </row>
    <row r="1681" spans="1:5" hidden="1" x14ac:dyDescent="0.3">
      <c r="A1681" t="s">
        <v>557</v>
      </c>
      <c r="B1681" t="s">
        <v>717</v>
      </c>
      <c r="C1681" t="s">
        <v>621</v>
      </c>
      <c r="D1681" s="230">
        <v>0</v>
      </c>
      <c r="E1681" t="s">
        <v>718</v>
      </c>
    </row>
    <row r="1682" spans="1:5" hidden="1" x14ac:dyDescent="0.3">
      <c r="A1682" t="s">
        <v>557</v>
      </c>
      <c r="B1682" t="s">
        <v>717</v>
      </c>
      <c r="C1682" t="s">
        <v>622</v>
      </c>
      <c r="D1682" s="230">
        <v>0</v>
      </c>
      <c r="E1682" t="s">
        <v>718</v>
      </c>
    </row>
    <row r="1683" spans="1:5" hidden="1" x14ac:dyDescent="0.3">
      <c r="A1683" t="s">
        <v>557</v>
      </c>
      <c r="B1683" t="s">
        <v>717</v>
      </c>
      <c r="C1683" t="s">
        <v>623</v>
      </c>
      <c r="D1683" s="230">
        <v>0</v>
      </c>
      <c r="E1683" t="s">
        <v>718</v>
      </c>
    </row>
    <row r="1684" spans="1:5" hidden="1" x14ac:dyDescent="0.3">
      <c r="A1684" t="s">
        <v>557</v>
      </c>
      <c r="B1684" t="s">
        <v>717</v>
      </c>
      <c r="C1684" t="s">
        <v>624</v>
      </c>
      <c r="D1684" s="230">
        <v>0</v>
      </c>
      <c r="E1684" t="s">
        <v>718</v>
      </c>
    </row>
    <row r="1685" spans="1:5" hidden="1" x14ac:dyDescent="0.3">
      <c r="A1685" t="s">
        <v>557</v>
      </c>
      <c r="B1685" t="s">
        <v>717</v>
      </c>
      <c r="C1685" t="s">
        <v>625</v>
      </c>
      <c r="D1685" s="230">
        <v>0</v>
      </c>
      <c r="E1685" t="s">
        <v>718</v>
      </c>
    </row>
    <row r="1686" spans="1:5" hidden="1" x14ac:dyDescent="0.3">
      <c r="A1686" t="s">
        <v>557</v>
      </c>
      <c r="B1686" t="s">
        <v>717</v>
      </c>
      <c r="C1686" t="s">
        <v>626</v>
      </c>
      <c r="D1686" s="230">
        <v>0</v>
      </c>
      <c r="E1686" t="s">
        <v>718</v>
      </c>
    </row>
    <row r="1687" spans="1:5" hidden="1" x14ac:dyDescent="0.3">
      <c r="A1687" t="s">
        <v>557</v>
      </c>
      <c r="B1687" t="s">
        <v>717</v>
      </c>
      <c r="C1687" t="s">
        <v>627</v>
      </c>
      <c r="D1687" s="230">
        <v>0</v>
      </c>
      <c r="E1687" t="s">
        <v>718</v>
      </c>
    </row>
    <row r="1688" spans="1:5" hidden="1" x14ac:dyDescent="0.3">
      <c r="A1688" t="s">
        <v>557</v>
      </c>
      <c r="B1688" t="s">
        <v>717</v>
      </c>
      <c r="C1688" t="s">
        <v>628</v>
      </c>
      <c r="D1688" s="230">
        <v>0</v>
      </c>
      <c r="E1688" t="s">
        <v>718</v>
      </c>
    </row>
    <row r="1689" spans="1:5" hidden="1" x14ac:dyDescent="0.3">
      <c r="A1689" t="s">
        <v>557</v>
      </c>
      <c r="B1689" t="s">
        <v>717</v>
      </c>
      <c r="C1689" t="s">
        <v>629</v>
      </c>
      <c r="D1689" s="230">
        <v>0</v>
      </c>
      <c r="E1689" t="s">
        <v>718</v>
      </c>
    </row>
    <row r="1690" spans="1:5" hidden="1" x14ac:dyDescent="0.3">
      <c r="A1690" t="s">
        <v>557</v>
      </c>
      <c r="B1690" t="s">
        <v>717</v>
      </c>
      <c r="C1690" t="s">
        <v>630</v>
      </c>
      <c r="D1690" s="230">
        <v>0</v>
      </c>
      <c r="E1690" t="s">
        <v>718</v>
      </c>
    </row>
    <row r="1691" spans="1:5" hidden="1" x14ac:dyDescent="0.3">
      <c r="A1691" t="s">
        <v>557</v>
      </c>
      <c r="B1691" t="s">
        <v>717</v>
      </c>
      <c r="C1691" t="s">
        <v>631</v>
      </c>
      <c r="D1691" s="230">
        <v>0</v>
      </c>
      <c r="E1691" t="s">
        <v>718</v>
      </c>
    </row>
    <row r="1692" spans="1:5" hidden="1" x14ac:dyDescent="0.3">
      <c r="A1692" t="s">
        <v>557</v>
      </c>
      <c r="B1692" t="s">
        <v>717</v>
      </c>
      <c r="C1692" t="s">
        <v>632</v>
      </c>
      <c r="D1692" s="230">
        <v>0</v>
      </c>
      <c r="E1692" t="s">
        <v>718</v>
      </c>
    </row>
    <row r="1693" spans="1:5" hidden="1" x14ac:dyDescent="0.3">
      <c r="A1693" t="s">
        <v>557</v>
      </c>
      <c r="B1693" t="s">
        <v>717</v>
      </c>
      <c r="C1693" t="s">
        <v>633</v>
      </c>
      <c r="D1693" s="230">
        <v>0</v>
      </c>
      <c r="E1693" t="s">
        <v>718</v>
      </c>
    </row>
    <row r="1694" spans="1:5" hidden="1" x14ac:dyDescent="0.3">
      <c r="A1694" t="s">
        <v>557</v>
      </c>
      <c r="B1694" t="s">
        <v>717</v>
      </c>
      <c r="C1694" t="s">
        <v>634</v>
      </c>
      <c r="D1694" s="230">
        <v>0</v>
      </c>
      <c r="E1694" t="s">
        <v>718</v>
      </c>
    </row>
    <row r="1695" spans="1:5" hidden="1" x14ac:dyDescent="0.3">
      <c r="A1695" t="s">
        <v>557</v>
      </c>
      <c r="B1695" t="s">
        <v>717</v>
      </c>
      <c r="C1695" t="s">
        <v>635</v>
      </c>
      <c r="D1695" s="230">
        <v>0</v>
      </c>
      <c r="E1695" t="s">
        <v>718</v>
      </c>
    </row>
    <row r="1696" spans="1:5" hidden="1" x14ac:dyDescent="0.3">
      <c r="A1696" t="s">
        <v>557</v>
      </c>
      <c r="B1696" t="s">
        <v>717</v>
      </c>
      <c r="C1696" t="s">
        <v>636</v>
      </c>
      <c r="D1696" s="230">
        <v>0</v>
      </c>
      <c r="E1696" t="s">
        <v>718</v>
      </c>
    </row>
    <row r="1697" spans="1:5" hidden="1" x14ac:dyDescent="0.3">
      <c r="A1697" t="s">
        <v>557</v>
      </c>
      <c r="B1697" t="s">
        <v>717</v>
      </c>
      <c r="C1697" t="s">
        <v>637</v>
      </c>
      <c r="D1697" s="230">
        <v>0</v>
      </c>
      <c r="E1697" t="s">
        <v>718</v>
      </c>
    </row>
    <row r="1698" spans="1:5" hidden="1" x14ac:dyDescent="0.3">
      <c r="A1698" t="s">
        <v>557</v>
      </c>
      <c r="B1698" t="s">
        <v>717</v>
      </c>
      <c r="C1698" t="s">
        <v>638</v>
      </c>
      <c r="D1698" s="230">
        <v>0</v>
      </c>
      <c r="E1698" t="s">
        <v>718</v>
      </c>
    </row>
    <row r="1699" spans="1:5" hidden="1" x14ac:dyDescent="0.3">
      <c r="A1699" t="s">
        <v>557</v>
      </c>
      <c r="B1699" t="s">
        <v>717</v>
      </c>
      <c r="C1699" t="s">
        <v>639</v>
      </c>
      <c r="D1699" s="230">
        <v>0</v>
      </c>
      <c r="E1699" t="s">
        <v>718</v>
      </c>
    </row>
    <row r="1700" spans="1:5" hidden="1" x14ac:dyDescent="0.3">
      <c r="A1700" t="s">
        <v>557</v>
      </c>
      <c r="B1700" t="s">
        <v>717</v>
      </c>
      <c r="C1700" t="s">
        <v>640</v>
      </c>
      <c r="D1700" s="230">
        <v>0</v>
      </c>
      <c r="E1700" t="s">
        <v>718</v>
      </c>
    </row>
    <row r="1701" spans="1:5" hidden="1" x14ac:dyDescent="0.3">
      <c r="A1701" t="s">
        <v>557</v>
      </c>
      <c r="B1701" t="s">
        <v>717</v>
      </c>
      <c r="C1701" t="s">
        <v>641</v>
      </c>
      <c r="D1701" s="230">
        <v>0</v>
      </c>
      <c r="E1701" t="s">
        <v>718</v>
      </c>
    </row>
    <row r="1702" spans="1:5" hidden="1" x14ac:dyDescent="0.3">
      <c r="A1702" t="s">
        <v>557</v>
      </c>
      <c r="B1702" t="s">
        <v>717</v>
      </c>
      <c r="C1702" t="s">
        <v>642</v>
      </c>
      <c r="D1702" s="230">
        <v>0</v>
      </c>
      <c r="E1702" t="s">
        <v>718</v>
      </c>
    </row>
    <row r="1703" spans="1:5" hidden="1" x14ac:dyDescent="0.3">
      <c r="A1703" t="s">
        <v>557</v>
      </c>
      <c r="B1703" t="s">
        <v>717</v>
      </c>
      <c r="C1703" t="s">
        <v>643</v>
      </c>
      <c r="D1703" s="230">
        <v>0</v>
      </c>
      <c r="E1703" t="s">
        <v>718</v>
      </c>
    </row>
    <row r="1704" spans="1:5" hidden="1" x14ac:dyDescent="0.3">
      <c r="A1704" t="s">
        <v>557</v>
      </c>
      <c r="B1704" t="s">
        <v>717</v>
      </c>
      <c r="C1704" t="s">
        <v>644</v>
      </c>
      <c r="D1704" s="230">
        <v>0</v>
      </c>
      <c r="E1704" t="s">
        <v>718</v>
      </c>
    </row>
    <row r="1705" spans="1:5" hidden="1" x14ac:dyDescent="0.3">
      <c r="A1705" t="s">
        <v>557</v>
      </c>
      <c r="B1705" t="s">
        <v>717</v>
      </c>
      <c r="C1705" t="s">
        <v>645</v>
      </c>
      <c r="D1705" s="230">
        <v>0</v>
      </c>
      <c r="E1705" t="s">
        <v>718</v>
      </c>
    </row>
    <row r="1706" spans="1:5" hidden="1" x14ac:dyDescent="0.3">
      <c r="A1706" t="s">
        <v>557</v>
      </c>
      <c r="B1706" t="s">
        <v>717</v>
      </c>
      <c r="C1706" t="s">
        <v>646</v>
      </c>
      <c r="D1706" s="230">
        <v>0</v>
      </c>
      <c r="E1706" t="s">
        <v>718</v>
      </c>
    </row>
    <row r="1707" spans="1:5" hidden="1" x14ac:dyDescent="0.3">
      <c r="A1707" t="s">
        <v>557</v>
      </c>
      <c r="B1707" t="s">
        <v>717</v>
      </c>
      <c r="C1707" t="s">
        <v>647</v>
      </c>
      <c r="D1707" s="230">
        <v>0</v>
      </c>
      <c r="E1707" t="s">
        <v>718</v>
      </c>
    </row>
    <row r="1708" spans="1:5" hidden="1" x14ac:dyDescent="0.3">
      <c r="A1708" t="s">
        <v>557</v>
      </c>
      <c r="B1708" t="s">
        <v>717</v>
      </c>
      <c r="C1708" t="s">
        <v>648</v>
      </c>
      <c r="D1708" s="230">
        <v>0</v>
      </c>
      <c r="E1708" t="s">
        <v>718</v>
      </c>
    </row>
    <row r="1709" spans="1:5" hidden="1" x14ac:dyDescent="0.3">
      <c r="A1709" t="s">
        <v>557</v>
      </c>
      <c r="B1709" t="s">
        <v>717</v>
      </c>
      <c r="C1709" t="s">
        <v>649</v>
      </c>
      <c r="D1709" s="230">
        <v>0</v>
      </c>
      <c r="E1709" t="s">
        <v>718</v>
      </c>
    </row>
    <row r="1710" spans="1:5" hidden="1" x14ac:dyDescent="0.3">
      <c r="A1710" t="s">
        <v>557</v>
      </c>
      <c r="B1710" t="s">
        <v>717</v>
      </c>
      <c r="C1710" t="s">
        <v>650</v>
      </c>
      <c r="D1710" s="230">
        <v>0</v>
      </c>
      <c r="E1710" t="s">
        <v>718</v>
      </c>
    </row>
    <row r="1711" spans="1:5" hidden="1" x14ac:dyDescent="0.3">
      <c r="A1711" t="s">
        <v>557</v>
      </c>
      <c r="B1711" t="s">
        <v>717</v>
      </c>
      <c r="C1711" t="s">
        <v>651</v>
      </c>
      <c r="D1711" s="230">
        <v>0</v>
      </c>
      <c r="E1711" t="s">
        <v>718</v>
      </c>
    </row>
    <row r="1712" spans="1:5" hidden="1" x14ac:dyDescent="0.3">
      <c r="A1712" t="s">
        <v>557</v>
      </c>
      <c r="B1712" t="s">
        <v>717</v>
      </c>
      <c r="C1712" t="s">
        <v>652</v>
      </c>
      <c r="D1712" s="230">
        <v>0</v>
      </c>
      <c r="E1712" t="s">
        <v>718</v>
      </c>
    </row>
    <row r="1713" spans="1:5" hidden="1" x14ac:dyDescent="0.3">
      <c r="A1713" t="s">
        <v>557</v>
      </c>
      <c r="B1713" t="s">
        <v>717</v>
      </c>
      <c r="C1713" t="s">
        <v>653</v>
      </c>
      <c r="D1713" s="230">
        <v>0</v>
      </c>
      <c r="E1713" t="s">
        <v>718</v>
      </c>
    </row>
    <row r="1714" spans="1:5" hidden="1" x14ac:dyDescent="0.3">
      <c r="A1714" t="s">
        <v>557</v>
      </c>
      <c r="B1714" t="s">
        <v>717</v>
      </c>
      <c r="C1714" t="s">
        <v>654</v>
      </c>
      <c r="D1714" s="230">
        <v>0</v>
      </c>
      <c r="E1714" t="s">
        <v>718</v>
      </c>
    </row>
    <row r="1715" spans="1:5" hidden="1" x14ac:dyDescent="0.3">
      <c r="A1715" t="s">
        <v>557</v>
      </c>
      <c r="B1715" t="s">
        <v>717</v>
      </c>
      <c r="C1715" t="s">
        <v>655</v>
      </c>
      <c r="D1715" s="230">
        <v>0</v>
      </c>
      <c r="E1715" t="s">
        <v>718</v>
      </c>
    </row>
    <row r="1716" spans="1:5" hidden="1" x14ac:dyDescent="0.3">
      <c r="A1716" t="s">
        <v>557</v>
      </c>
      <c r="B1716" t="s">
        <v>717</v>
      </c>
      <c r="C1716" t="s">
        <v>656</v>
      </c>
      <c r="D1716" s="230">
        <v>0</v>
      </c>
      <c r="E1716" t="s">
        <v>718</v>
      </c>
    </row>
    <row r="1717" spans="1:5" hidden="1" x14ac:dyDescent="0.3">
      <c r="A1717" t="s">
        <v>557</v>
      </c>
      <c r="B1717" t="s">
        <v>717</v>
      </c>
      <c r="C1717" t="s">
        <v>657</v>
      </c>
      <c r="D1717" s="230">
        <v>0</v>
      </c>
      <c r="E1717" t="s">
        <v>718</v>
      </c>
    </row>
    <row r="1718" spans="1:5" hidden="1" x14ac:dyDescent="0.3">
      <c r="A1718" t="s">
        <v>557</v>
      </c>
      <c r="B1718" t="s">
        <v>717</v>
      </c>
      <c r="C1718" t="s">
        <v>658</v>
      </c>
      <c r="D1718" s="230">
        <v>0</v>
      </c>
      <c r="E1718" t="s">
        <v>718</v>
      </c>
    </row>
    <row r="1719" spans="1:5" hidden="1" x14ac:dyDescent="0.3">
      <c r="A1719" t="s">
        <v>557</v>
      </c>
      <c r="B1719" t="s">
        <v>717</v>
      </c>
      <c r="C1719" t="s">
        <v>659</v>
      </c>
      <c r="D1719" s="230">
        <v>0</v>
      </c>
      <c r="E1719" t="s">
        <v>718</v>
      </c>
    </row>
    <row r="1720" spans="1:5" hidden="1" x14ac:dyDescent="0.3">
      <c r="A1720" t="s">
        <v>557</v>
      </c>
      <c r="B1720" t="s">
        <v>717</v>
      </c>
      <c r="C1720" t="s">
        <v>660</v>
      </c>
      <c r="D1720" s="230">
        <v>0</v>
      </c>
      <c r="E1720" t="s">
        <v>718</v>
      </c>
    </row>
    <row r="1721" spans="1:5" hidden="1" x14ac:dyDescent="0.3">
      <c r="A1721" t="s">
        <v>557</v>
      </c>
      <c r="B1721" t="s">
        <v>717</v>
      </c>
      <c r="C1721" t="s">
        <v>661</v>
      </c>
      <c r="D1721" s="230">
        <v>0</v>
      </c>
      <c r="E1721" t="s">
        <v>718</v>
      </c>
    </row>
    <row r="1722" spans="1:5" hidden="1" x14ac:dyDescent="0.3">
      <c r="A1722" t="s">
        <v>557</v>
      </c>
      <c r="B1722" t="s">
        <v>717</v>
      </c>
      <c r="C1722" t="s">
        <v>662</v>
      </c>
      <c r="D1722" s="230">
        <v>0</v>
      </c>
      <c r="E1722" t="s">
        <v>718</v>
      </c>
    </row>
    <row r="1723" spans="1:5" hidden="1" x14ac:dyDescent="0.3">
      <c r="A1723" t="s">
        <v>557</v>
      </c>
      <c r="B1723" t="s">
        <v>717</v>
      </c>
      <c r="C1723" t="s">
        <v>663</v>
      </c>
      <c r="D1723" s="230">
        <v>0</v>
      </c>
      <c r="E1723" t="s">
        <v>718</v>
      </c>
    </row>
    <row r="1724" spans="1:5" hidden="1" x14ac:dyDescent="0.3">
      <c r="A1724" t="s">
        <v>557</v>
      </c>
      <c r="B1724" t="s">
        <v>717</v>
      </c>
      <c r="C1724" t="s">
        <v>664</v>
      </c>
      <c r="D1724" s="230">
        <v>0</v>
      </c>
      <c r="E1724" t="s">
        <v>718</v>
      </c>
    </row>
    <row r="1725" spans="1:5" hidden="1" x14ac:dyDescent="0.3">
      <c r="A1725" t="s">
        <v>557</v>
      </c>
      <c r="B1725" t="s">
        <v>717</v>
      </c>
      <c r="C1725" t="s">
        <v>665</v>
      </c>
      <c r="D1725" s="230">
        <v>0</v>
      </c>
      <c r="E1725" t="s">
        <v>718</v>
      </c>
    </row>
    <row r="1726" spans="1:5" hidden="1" x14ac:dyDescent="0.3">
      <c r="A1726" t="s">
        <v>557</v>
      </c>
      <c r="B1726" t="s">
        <v>717</v>
      </c>
      <c r="C1726" t="s">
        <v>666</v>
      </c>
      <c r="D1726" s="230">
        <v>0</v>
      </c>
      <c r="E1726" t="s">
        <v>718</v>
      </c>
    </row>
    <row r="1727" spans="1:5" hidden="1" x14ac:dyDescent="0.3">
      <c r="A1727" t="s">
        <v>557</v>
      </c>
      <c r="B1727" t="s">
        <v>717</v>
      </c>
      <c r="C1727" t="s">
        <v>667</v>
      </c>
      <c r="D1727" s="230">
        <v>0</v>
      </c>
      <c r="E1727" t="s">
        <v>718</v>
      </c>
    </row>
    <row r="1728" spans="1:5" hidden="1" x14ac:dyDescent="0.3">
      <c r="A1728" t="s">
        <v>557</v>
      </c>
      <c r="B1728" t="s">
        <v>717</v>
      </c>
      <c r="C1728" t="s">
        <v>668</v>
      </c>
      <c r="D1728" s="230">
        <v>0</v>
      </c>
      <c r="E1728" t="s">
        <v>718</v>
      </c>
    </row>
    <row r="1729" spans="1:5" hidden="1" x14ac:dyDescent="0.3">
      <c r="A1729" t="s">
        <v>557</v>
      </c>
      <c r="B1729" t="s">
        <v>717</v>
      </c>
      <c r="C1729" t="s">
        <v>669</v>
      </c>
      <c r="D1729" s="230">
        <v>0</v>
      </c>
      <c r="E1729" t="s">
        <v>718</v>
      </c>
    </row>
    <row r="1730" spans="1:5" hidden="1" x14ac:dyDescent="0.3">
      <c r="A1730" t="s">
        <v>557</v>
      </c>
      <c r="B1730" t="s">
        <v>717</v>
      </c>
      <c r="C1730" t="s">
        <v>670</v>
      </c>
      <c r="D1730" s="230">
        <v>0</v>
      </c>
      <c r="E1730" t="s">
        <v>718</v>
      </c>
    </row>
    <row r="1731" spans="1:5" hidden="1" x14ac:dyDescent="0.3">
      <c r="A1731" t="s">
        <v>557</v>
      </c>
      <c r="B1731" t="s">
        <v>717</v>
      </c>
      <c r="C1731" t="s">
        <v>671</v>
      </c>
      <c r="D1731" s="230">
        <v>0</v>
      </c>
      <c r="E1731" t="s">
        <v>718</v>
      </c>
    </row>
    <row r="1732" spans="1:5" hidden="1" x14ac:dyDescent="0.3">
      <c r="A1732" t="s">
        <v>557</v>
      </c>
      <c r="B1732" t="s">
        <v>717</v>
      </c>
      <c r="C1732" t="s">
        <v>672</v>
      </c>
      <c r="D1732" s="230">
        <v>0</v>
      </c>
      <c r="E1732" t="s">
        <v>718</v>
      </c>
    </row>
    <row r="1733" spans="1:5" hidden="1" x14ac:dyDescent="0.3">
      <c r="A1733" t="s">
        <v>557</v>
      </c>
      <c r="B1733" t="s">
        <v>717</v>
      </c>
      <c r="C1733" t="s">
        <v>673</v>
      </c>
      <c r="D1733" s="230">
        <v>0</v>
      </c>
      <c r="E1733" t="s">
        <v>718</v>
      </c>
    </row>
    <row r="1734" spans="1:5" hidden="1" x14ac:dyDescent="0.3">
      <c r="A1734" t="s">
        <v>557</v>
      </c>
      <c r="B1734" t="s">
        <v>717</v>
      </c>
      <c r="C1734" t="s">
        <v>674</v>
      </c>
      <c r="D1734" s="230">
        <v>0</v>
      </c>
      <c r="E1734" t="s">
        <v>718</v>
      </c>
    </row>
    <row r="1735" spans="1:5" hidden="1" x14ac:dyDescent="0.3">
      <c r="A1735" t="s">
        <v>557</v>
      </c>
      <c r="B1735" t="s">
        <v>717</v>
      </c>
      <c r="C1735" t="s">
        <v>675</v>
      </c>
      <c r="D1735" s="230">
        <v>0</v>
      </c>
      <c r="E1735" t="s">
        <v>718</v>
      </c>
    </row>
    <row r="1736" spans="1:5" hidden="1" x14ac:dyDescent="0.3">
      <c r="A1736" t="s">
        <v>557</v>
      </c>
      <c r="B1736" t="s">
        <v>717</v>
      </c>
      <c r="C1736" t="s">
        <v>676</v>
      </c>
      <c r="D1736" s="230">
        <v>0</v>
      </c>
      <c r="E1736" t="s">
        <v>718</v>
      </c>
    </row>
    <row r="1737" spans="1:5" hidden="1" x14ac:dyDescent="0.3">
      <c r="A1737" t="s">
        <v>557</v>
      </c>
      <c r="B1737" t="s">
        <v>717</v>
      </c>
      <c r="C1737" t="s">
        <v>677</v>
      </c>
      <c r="D1737" s="230">
        <v>0</v>
      </c>
      <c r="E1737" t="s">
        <v>718</v>
      </c>
    </row>
    <row r="1738" spans="1:5" hidden="1" x14ac:dyDescent="0.3">
      <c r="A1738" t="s">
        <v>557</v>
      </c>
      <c r="B1738" t="s">
        <v>717</v>
      </c>
      <c r="C1738" t="s">
        <v>201</v>
      </c>
      <c r="D1738" s="230">
        <v>-10736</v>
      </c>
      <c r="E1738" t="s">
        <v>718</v>
      </c>
    </row>
    <row r="1739" spans="1:5" hidden="1" x14ac:dyDescent="0.3">
      <c r="A1739" t="s">
        <v>557</v>
      </c>
      <c r="B1739" t="s">
        <v>717</v>
      </c>
      <c r="C1739" t="s">
        <v>203</v>
      </c>
      <c r="D1739" s="230">
        <v>-10736</v>
      </c>
      <c r="E1739" t="s">
        <v>718</v>
      </c>
    </row>
    <row r="1740" spans="1:5" hidden="1" x14ac:dyDescent="0.3">
      <c r="A1740" t="s">
        <v>557</v>
      </c>
      <c r="B1740" t="s">
        <v>717</v>
      </c>
      <c r="C1740" t="s">
        <v>678</v>
      </c>
      <c r="D1740" s="230">
        <v>5368</v>
      </c>
      <c r="E1740" t="s">
        <v>718</v>
      </c>
    </row>
    <row r="1741" spans="1:5" hidden="1" x14ac:dyDescent="0.3">
      <c r="A1741" t="s">
        <v>557</v>
      </c>
      <c r="B1741" t="s">
        <v>717</v>
      </c>
      <c r="C1741" t="s">
        <v>205</v>
      </c>
      <c r="D1741" s="230">
        <v>-18586.13</v>
      </c>
      <c r="E1741" t="s">
        <v>718</v>
      </c>
    </row>
    <row r="1742" spans="1:5" hidden="1" x14ac:dyDescent="0.3">
      <c r="A1742" t="s">
        <v>557</v>
      </c>
      <c r="B1742" t="s">
        <v>717</v>
      </c>
      <c r="C1742" t="s">
        <v>679</v>
      </c>
      <c r="D1742" s="230">
        <v>-4539.09</v>
      </c>
      <c r="E1742" t="s">
        <v>718</v>
      </c>
    </row>
    <row r="1743" spans="1:5" hidden="1" x14ac:dyDescent="0.3">
      <c r="A1743" t="s">
        <v>557</v>
      </c>
      <c r="B1743" t="s">
        <v>717</v>
      </c>
      <c r="C1743" t="s">
        <v>680</v>
      </c>
      <c r="D1743" s="230">
        <v>0</v>
      </c>
      <c r="E1743" t="s">
        <v>718</v>
      </c>
    </row>
    <row r="1744" spans="1:5" hidden="1" x14ac:dyDescent="0.3">
      <c r="A1744" t="s">
        <v>557</v>
      </c>
      <c r="B1744" t="s">
        <v>717</v>
      </c>
      <c r="C1744" t="s">
        <v>681</v>
      </c>
      <c r="D1744" s="230">
        <v>0</v>
      </c>
      <c r="E1744" t="s">
        <v>718</v>
      </c>
    </row>
    <row r="1745" spans="1:5" hidden="1" x14ac:dyDescent="0.3">
      <c r="A1745" t="s">
        <v>557</v>
      </c>
      <c r="B1745" t="s">
        <v>717</v>
      </c>
      <c r="C1745" t="s">
        <v>682</v>
      </c>
      <c r="D1745" s="230">
        <v>-5628.2</v>
      </c>
      <c r="E1745" t="s">
        <v>718</v>
      </c>
    </row>
    <row r="1746" spans="1:5" hidden="1" x14ac:dyDescent="0.3">
      <c r="A1746" t="s">
        <v>557</v>
      </c>
      <c r="B1746" t="s">
        <v>717</v>
      </c>
      <c r="C1746" t="s">
        <v>683</v>
      </c>
      <c r="D1746" s="230">
        <v>-1687.11</v>
      </c>
      <c r="E1746" t="s">
        <v>718</v>
      </c>
    </row>
    <row r="1747" spans="1:5" hidden="1" x14ac:dyDescent="0.3">
      <c r="A1747" t="s">
        <v>557</v>
      </c>
      <c r="B1747" t="s">
        <v>717</v>
      </c>
      <c r="C1747" t="s">
        <v>684</v>
      </c>
      <c r="D1747" s="230">
        <v>-1896.31</v>
      </c>
      <c r="E1747" t="s">
        <v>718</v>
      </c>
    </row>
    <row r="1748" spans="1:5" hidden="1" x14ac:dyDescent="0.3">
      <c r="A1748" t="s">
        <v>557</v>
      </c>
      <c r="B1748" t="s">
        <v>717</v>
      </c>
      <c r="C1748" t="s">
        <v>685</v>
      </c>
      <c r="D1748" s="230">
        <v>-566.87</v>
      </c>
      <c r="E1748" t="s">
        <v>718</v>
      </c>
    </row>
    <row r="1749" spans="1:5" hidden="1" x14ac:dyDescent="0.3">
      <c r="A1749" t="s">
        <v>557</v>
      </c>
      <c r="B1749" t="s">
        <v>717</v>
      </c>
      <c r="C1749" t="s">
        <v>686</v>
      </c>
      <c r="D1749" s="230">
        <v>0</v>
      </c>
      <c r="E1749" t="s">
        <v>718</v>
      </c>
    </row>
    <row r="1750" spans="1:5" hidden="1" x14ac:dyDescent="0.3">
      <c r="A1750" t="s">
        <v>557</v>
      </c>
      <c r="B1750" t="s">
        <v>717</v>
      </c>
      <c r="C1750" t="s">
        <v>687</v>
      </c>
      <c r="D1750" s="230">
        <v>0</v>
      </c>
      <c r="E1750" t="s">
        <v>718</v>
      </c>
    </row>
    <row r="1751" spans="1:5" hidden="1" x14ac:dyDescent="0.3">
      <c r="A1751" t="s">
        <v>557</v>
      </c>
      <c r="B1751" t="s">
        <v>717</v>
      </c>
      <c r="C1751" t="s">
        <v>688</v>
      </c>
      <c r="D1751" s="230">
        <v>0</v>
      </c>
      <c r="E1751" t="s">
        <v>718</v>
      </c>
    </row>
    <row r="1752" spans="1:5" hidden="1" x14ac:dyDescent="0.3">
      <c r="A1752" t="s">
        <v>557</v>
      </c>
      <c r="B1752" t="s">
        <v>717</v>
      </c>
      <c r="C1752" t="s">
        <v>689</v>
      </c>
      <c r="D1752" s="230">
        <v>-1910.15</v>
      </c>
      <c r="E1752" t="s">
        <v>718</v>
      </c>
    </row>
    <row r="1753" spans="1:5" hidden="1" x14ac:dyDescent="0.3">
      <c r="A1753" t="s">
        <v>557</v>
      </c>
      <c r="B1753" t="s">
        <v>717</v>
      </c>
      <c r="C1753" t="s">
        <v>690</v>
      </c>
      <c r="D1753" s="230">
        <v>-2000</v>
      </c>
      <c r="E1753" t="s">
        <v>718</v>
      </c>
    </row>
    <row r="1754" spans="1:5" hidden="1" x14ac:dyDescent="0.3">
      <c r="A1754" t="s">
        <v>557</v>
      </c>
      <c r="B1754" t="s">
        <v>717</v>
      </c>
      <c r="C1754" t="s">
        <v>691</v>
      </c>
      <c r="D1754" s="230">
        <v>0</v>
      </c>
      <c r="E1754" t="s">
        <v>718</v>
      </c>
    </row>
    <row r="1755" spans="1:5" hidden="1" x14ac:dyDescent="0.3">
      <c r="A1755" t="s">
        <v>557</v>
      </c>
      <c r="B1755" t="s">
        <v>717</v>
      </c>
      <c r="C1755" t="s">
        <v>692</v>
      </c>
      <c r="D1755" s="230">
        <v>-358.4</v>
      </c>
      <c r="E1755" t="s">
        <v>718</v>
      </c>
    </row>
    <row r="1756" spans="1:5" hidden="1" x14ac:dyDescent="0.3">
      <c r="A1756" t="s">
        <v>557</v>
      </c>
      <c r="B1756" t="s">
        <v>717</v>
      </c>
      <c r="C1756" t="s">
        <v>693</v>
      </c>
      <c r="D1756" s="230">
        <v>0</v>
      </c>
      <c r="E1756" t="s">
        <v>718</v>
      </c>
    </row>
    <row r="1757" spans="1:5" hidden="1" x14ac:dyDescent="0.3">
      <c r="A1757" t="s">
        <v>557</v>
      </c>
      <c r="B1757" t="s">
        <v>717</v>
      </c>
      <c r="C1757" t="s">
        <v>694</v>
      </c>
      <c r="D1757" s="230">
        <v>0</v>
      </c>
      <c r="E1757" t="s">
        <v>718</v>
      </c>
    </row>
    <row r="1758" spans="1:5" hidden="1" x14ac:dyDescent="0.3">
      <c r="A1758" t="s">
        <v>557</v>
      </c>
      <c r="B1758" t="s">
        <v>717</v>
      </c>
      <c r="C1758" t="s">
        <v>238</v>
      </c>
      <c r="D1758" s="230">
        <v>-5377.47</v>
      </c>
      <c r="E1758" t="s">
        <v>718</v>
      </c>
    </row>
    <row r="1759" spans="1:5" hidden="1" x14ac:dyDescent="0.3">
      <c r="A1759" t="s">
        <v>557</v>
      </c>
      <c r="B1759" t="s">
        <v>717</v>
      </c>
      <c r="C1759" t="s">
        <v>695</v>
      </c>
      <c r="D1759" s="230">
        <v>-5314.49</v>
      </c>
      <c r="E1759" t="s">
        <v>718</v>
      </c>
    </row>
    <row r="1760" spans="1:5" hidden="1" x14ac:dyDescent="0.3">
      <c r="A1760" t="s">
        <v>557</v>
      </c>
      <c r="B1760" t="s">
        <v>717</v>
      </c>
      <c r="C1760" t="s">
        <v>696</v>
      </c>
      <c r="D1760" s="230">
        <v>0</v>
      </c>
      <c r="E1760" t="s">
        <v>718</v>
      </c>
    </row>
    <row r="1761" spans="1:5" hidden="1" x14ac:dyDescent="0.3">
      <c r="A1761" t="s">
        <v>557</v>
      </c>
      <c r="B1761" t="s">
        <v>717</v>
      </c>
      <c r="C1761" t="s">
        <v>697</v>
      </c>
      <c r="D1761" s="230">
        <v>0</v>
      </c>
      <c r="E1761" t="s">
        <v>718</v>
      </c>
    </row>
    <row r="1762" spans="1:5" hidden="1" x14ac:dyDescent="0.3">
      <c r="A1762" t="s">
        <v>557</v>
      </c>
      <c r="B1762" t="s">
        <v>717</v>
      </c>
      <c r="C1762" t="s">
        <v>698</v>
      </c>
      <c r="D1762" s="230">
        <v>-62.98</v>
      </c>
      <c r="E1762" t="s">
        <v>718</v>
      </c>
    </row>
    <row r="1763" spans="1:5" hidden="1" x14ac:dyDescent="0.3">
      <c r="A1763" t="s">
        <v>557</v>
      </c>
      <c r="B1763" t="s">
        <v>717</v>
      </c>
      <c r="C1763" t="s">
        <v>699</v>
      </c>
      <c r="D1763" s="230">
        <v>0</v>
      </c>
      <c r="E1763" t="s">
        <v>718</v>
      </c>
    </row>
    <row r="1764" spans="1:5" hidden="1" x14ac:dyDescent="0.3">
      <c r="A1764" t="s">
        <v>557</v>
      </c>
      <c r="B1764" t="s">
        <v>717</v>
      </c>
      <c r="C1764" t="s">
        <v>245</v>
      </c>
      <c r="D1764" s="230">
        <v>-8876.32</v>
      </c>
      <c r="E1764" t="s">
        <v>718</v>
      </c>
    </row>
    <row r="1765" spans="1:5" hidden="1" x14ac:dyDescent="0.3">
      <c r="A1765" t="s">
        <v>557</v>
      </c>
      <c r="B1765" t="s">
        <v>717</v>
      </c>
      <c r="C1765" t="s">
        <v>700</v>
      </c>
      <c r="D1765" s="230">
        <v>-96</v>
      </c>
      <c r="E1765" t="s">
        <v>718</v>
      </c>
    </row>
    <row r="1766" spans="1:5" hidden="1" x14ac:dyDescent="0.3">
      <c r="A1766" t="s">
        <v>557</v>
      </c>
      <c r="B1766" t="s">
        <v>717</v>
      </c>
      <c r="C1766" t="s">
        <v>701</v>
      </c>
      <c r="D1766" s="230">
        <v>-1055.03</v>
      </c>
      <c r="E1766" t="s">
        <v>718</v>
      </c>
    </row>
    <row r="1767" spans="1:5" hidden="1" x14ac:dyDescent="0.3">
      <c r="A1767" t="s">
        <v>557</v>
      </c>
      <c r="B1767" t="s">
        <v>717</v>
      </c>
      <c r="C1767" t="s">
        <v>702</v>
      </c>
      <c r="D1767" s="230">
        <v>0</v>
      </c>
      <c r="E1767" t="s">
        <v>718</v>
      </c>
    </row>
    <row r="1768" spans="1:5" hidden="1" x14ac:dyDescent="0.3">
      <c r="A1768" t="s">
        <v>557</v>
      </c>
      <c r="B1768" t="s">
        <v>717</v>
      </c>
      <c r="C1768" t="s">
        <v>703</v>
      </c>
      <c r="D1768" s="230">
        <v>0</v>
      </c>
      <c r="E1768" t="s">
        <v>718</v>
      </c>
    </row>
    <row r="1769" spans="1:5" hidden="1" x14ac:dyDescent="0.3">
      <c r="A1769" t="s">
        <v>557</v>
      </c>
      <c r="B1769" t="s">
        <v>717</v>
      </c>
      <c r="C1769" t="s">
        <v>704</v>
      </c>
      <c r="D1769" s="230">
        <v>0</v>
      </c>
      <c r="E1769" t="s">
        <v>718</v>
      </c>
    </row>
    <row r="1770" spans="1:5" hidden="1" x14ac:dyDescent="0.3">
      <c r="A1770" t="s">
        <v>557</v>
      </c>
      <c r="B1770" t="s">
        <v>717</v>
      </c>
      <c r="C1770" t="s">
        <v>705</v>
      </c>
      <c r="D1770" s="230">
        <v>-7725.29</v>
      </c>
      <c r="E1770" t="s">
        <v>718</v>
      </c>
    </row>
    <row r="1771" spans="1:5" hidden="1" x14ac:dyDescent="0.3">
      <c r="A1771" t="s">
        <v>557</v>
      </c>
      <c r="B1771" t="s">
        <v>717</v>
      </c>
      <c r="C1771" t="s">
        <v>706</v>
      </c>
      <c r="D1771" s="230">
        <v>0</v>
      </c>
      <c r="E1771" t="s">
        <v>718</v>
      </c>
    </row>
    <row r="1772" spans="1:5" hidden="1" x14ac:dyDescent="0.3">
      <c r="A1772" t="s">
        <v>557</v>
      </c>
      <c r="B1772" t="s">
        <v>717</v>
      </c>
      <c r="C1772" t="s">
        <v>254</v>
      </c>
      <c r="D1772" s="230">
        <v>-0.33</v>
      </c>
      <c r="E1772" t="s">
        <v>718</v>
      </c>
    </row>
    <row r="1773" spans="1:5" hidden="1" x14ac:dyDescent="0.3">
      <c r="A1773" t="s">
        <v>557</v>
      </c>
      <c r="B1773" t="s">
        <v>717</v>
      </c>
      <c r="C1773" t="s">
        <v>255</v>
      </c>
      <c r="D1773" s="230">
        <v>-0.33</v>
      </c>
      <c r="E1773" t="s">
        <v>718</v>
      </c>
    </row>
    <row r="1774" spans="1:5" hidden="1" x14ac:dyDescent="0.3">
      <c r="A1774" t="s">
        <v>557</v>
      </c>
      <c r="B1774" t="s">
        <v>717</v>
      </c>
      <c r="C1774" t="s">
        <v>256</v>
      </c>
      <c r="D1774" s="230">
        <v>-51752.37</v>
      </c>
      <c r="E1774" t="s">
        <v>718</v>
      </c>
    </row>
    <row r="1775" spans="1:5" hidden="1" x14ac:dyDescent="0.3">
      <c r="A1775" t="s">
        <v>557</v>
      </c>
      <c r="B1775" t="s">
        <v>717</v>
      </c>
      <c r="C1775" t="s">
        <v>257</v>
      </c>
      <c r="D1775" s="230">
        <v>-49305.7</v>
      </c>
      <c r="E1775" t="s">
        <v>718</v>
      </c>
    </row>
    <row r="1776" spans="1:5" hidden="1" x14ac:dyDescent="0.3">
      <c r="A1776" t="s">
        <v>557</v>
      </c>
      <c r="B1776" t="s">
        <v>717</v>
      </c>
      <c r="C1776" t="s">
        <v>258</v>
      </c>
      <c r="D1776" s="230">
        <v>0</v>
      </c>
      <c r="E1776" t="s">
        <v>718</v>
      </c>
    </row>
    <row r="1777" spans="1:5" hidden="1" x14ac:dyDescent="0.3">
      <c r="A1777" t="s">
        <v>557</v>
      </c>
      <c r="B1777" t="s">
        <v>717</v>
      </c>
      <c r="C1777" t="s">
        <v>259</v>
      </c>
      <c r="D1777" s="230">
        <v>-2446.67</v>
      </c>
      <c r="E1777" t="s">
        <v>718</v>
      </c>
    </row>
    <row r="1778" spans="1:5" hidden="1" x14ac:dyDescent="0.3">
      <c r="A1778" t="s">
        <v>557</v>
      </c>
      <c r="B1778" t="s">
        <v>717</v>
      </c>
      <c r="C1778" t="s">
        <v>260</v>
      </c>
      <c r="D1778" s="230">
        <v>0</v>
      </c>
      <c r="E1778" t="s">
        <v>718</v>
      </c>
    </row>
    <row r="1779" spans="1:5" hidden="1" x14ac:dyDescent="0.3">
      <c r="A1779" t="s">
        <v>557</v>
      </c>
      <c r="B1779" t="s">
        <v>717</v>
      </c>
      <c r="C1779" t="s">
        <v>261</v>
      </c>
      <c r="D1779" s="230">
        <v>0</v>
      </c>
      <c r="E1779" t="s">
        <v>718</v>
      </c>
    </row>
    <row r="1780" spans="1:5" hidden="1" x14ac:dyDescent="0.3">
      <c r="A1780" t="s">
        <v>557</v>
      </c>
      <c r="B1780" t="s">
        <v>717</v>
      </c>
      <c r="C1780" t="s">
        <v>262</v>
      </c>
      <c r="D1780" s="230">
        <v>0</v>
      </c>
      <c r="E1780" t="s">
        <v>718</v>
      </c>
    </row>
    <row r="1781" spans="1:5" hidden="1" x14ac:dyDescent="0.3">
      <c r="A1781" t="s">
        <v>557</v>
      </c>
      <c r="B1781" t="s">
        <v>717</v>
      </c>
      <c r="C1781" t="s">
        <v>263</v>
      </c>
      <c r="D1781" s="230">
        <v>0</v>
      </c>
      <c r="E1781" t="s">
        <v>718</v>
      </c>
    </row>
    <row r="1782" spans="1:5" hidden="1" x14ac:dyDescent="0.3">
      <c r="A1782" t="s">
        <v>557</v>
      </c>
      <c r="B1782" t="s">
        <v>717</v>
      </c>
      <c r="C1782" t="s">
        <v>44</v>
      </c>
      <c r="D1782" s="230">
        <v>-0.11</v>
      </c>
      <c r="E1782" t="s">
        <v>718</v>
      </c>
    </row>
    <row r="1783" spans="1:5" hidden="1" x14ac:dyDescent="0.3">
      <c r="A1783" t="s">
        <v>557</v>
      </c>
      <c r="B1783" t="s">
        <v>717</v>
      </c>
      <c r="C1783" t="s">
        <v>264</v>
      </c>
      <c r="D1783" s="230">
        <v>-33336.839999999997</v>
      </c>
      <c r="E1783" t="s">
        <v>718</v>
      </c>
    </row>
    <row r="1784" spans="1:5" hidden="1" x14ac:dyDescent="0.3">
      <c r="A1784" t="s">
        <v>557</v>
      </c>
      <c r="B1784" t="s">
        <v>717</v>
      </c>
      <c r="C1784" t="s">
        <v>265</v>
      </c>
      <c r="D1784" s="230">
        <v>-4797.09</v>
      </c>
      <c r="E1784" t="s">
        <v>718</v>
      </c>
    </row>
    <row r="1785" spans="1:5" hidden="1" x14ac:dyDescent="0.3">
      <c r="A1785" t="s">
        <v>557</v>
      </c>
      <c r="B1785" t="s">
        <v>717</v>
      </c>
      <c r="C1785" t="s">
        <v>266</v>
      </c>
      <c r="D1785" s="230">
        <v>-9635.2999999999993</v>
      </c>
      <c r="E1785" t="s">
        <v>718</v>
      </c>
    </row>
    <row r="1786" spans="1:5" hidden="1" x14ac:dyDescent="0.3">
      <c r="A1786" t="s">
        <v>557</v>
      </c>
      <c r="B1786" t="s">
        <v>717</v>
      </c>
      <c r="C1786" t="s">
        <v>267</v>
      </c>
      <c r="D1786" s="230">
        <v>-4610.76</v>
      </c>
      <c r="E1786" t="s">
        <v>718</v>
      </c>
    </row>
    <row r="1787" spans="1:5" hidden="1" x14ac:dyDescent="0.3">
      <c r="A1787" t="s">
        <v>557</v>
      </c>
      <c r="B1787" t="s">
        <v>717</v>
      </c>
      <c r="C1787" t="s">
        <v>268</v>
      </c>
      <c r="D1787" s="230">
        <v>-6361.91</v>
      </c>
      <c r="E1787" t="s">
        <v>718</v>
      </c>
    </row>
    <row r="1788" spans="1:5" hidden="1" x14ac:dyDescent="0.3">
      <c r="A1788" t="s">
        <v>557</v>
      </c>
      <c r="B1788" t="s">
        <v>717</v>
      </c>
      <c r="C1788" t="s">
        <v>269</v>
      </c>
      <c r="D1788" s="230">
        <v>0</v>
      </c>
      <c r="E1788" t="s">
        <v>718</v>
      </c>
    </row>
    <row r="1789" spans="1:5" hidden="1" x14ac:dyDescent="0.3">
      <c r="A1789" t="s">
        <v>557</v>
      </c>
      <c r="B1789" t="s">
        <v>717</v>
      </c>
      <c r="C1789" t="s">
        <v>270</v>
      </c>
      <c r="D1789" s="230">
        <v>-500</v>
      </c>
      <c r="E1789" t="s">
        <v>718</v>
      </c>
    </row>
    <row r="1790" spans="1:5" hidden="1" x14ac:dyDescent="0.3">
      <c r="A1790" t="s">
        <v>557</v>
      </c>
      <c r="B1790" t="s">
        <v>717</v>
      </c>
      <c r="C1790" t="s">
        <v>271</v>
      </c>
      <c r="D1790" s="230">
        <v>-870.96</v>
      </c>
      <c r="E1790" t="s">
        <v>718</v>
      </c>
    </row>
    <row r="1791" spans="1:5" hidden="1" x14ac:dyDescent="0.3">
      <c r="A1791" t="s">
        <v>557</v>
      </c>
      <c r="B1791" t="s">
        <v>717</v>
      </c>
      <c r="C1791" t="s">
        <v>272</v>
      </c>
      <c r="D1791" s="230">
        <v>-1885.18</v>
      </c>
      <c r="E1791" t="s">
        <v>718</v>
      </c>
    </row>
    <row r="1792" spans="1:5" hidden="1" x14ac:dyDescent="0.3">
      <c r="A1792" t="s">
        <v>557</v>
      </c>
      <c r="B1792" t="s">
        <v>717</v>
      </c>
      <c r="C1792" t="s">
        <v>273</v>
      </c>
      <c r="D1792" s="230">
        <v>-258</v>
      </c>
      <c r="E1792" t="s">
        <v>718</v>
      </c>
    </row>
    <row r="1793" spans="1:5" hidden="1" x14ac:dyDescent="0.3">
      <c r="A1793" t="s">
        <v>557</v>
      </c>
      <c r="B1793" t="s">
        <v>717</v>
      </c>
      <c r="C1793" t="s">
        <v>274</v>
      </c>
      <c r="D1793" s="230">
        <v>0</v>
      </c>
      <c r="E1793" t="s">
        <v>718</v>
      </c>
    </row>
    <row r="1794" spans="1:5" hidden="1" x14ac:dyDescent="0.3">
      <c r="A1794" t="s">
        <v>557</v>
      </c>
      <c r="B1794" t="s">
        <v>717</v>
      </c>
      <c r="C1794" t="s">
        <v>275</v>
      </c>
      <c r="D1794" s="230">
        <v>-337.95</v>
      </c>
      <c r="E1794" t="s">
        <v>718</v>
      </c>
    </row>
    <row r="1795" spans="1:5" hidden="1" x14ac:dyDescent="0.3">
      <c r="A1795" t="s">
        <v>557</v>
      </c>
      <c r="B1795" t="s">
        <v>717</v>
      </c>
      <c r="C1795" t="s">
        <v>276</v>
      </c>
      <c r="D1795" s="230">
        <v>0</v>
      </c>
      <c r="E1795" t="s">
        <v>718</v>
      </c>
    </row>
    <row r="1796" spans="1:5" hidden="1" x14ac:dyDescent="0.3">
      <c r="A1796" t="s">
        <v>557</v>
      </c>
      <c r="B1796" t="s">
        <v>717</v>
      </c>
      <c r="C1796" t="s">
        <v>277</v>
      </c>
      <c r="D1796" s="230">
        <v>0</v>
      </c>
      <c r="E1796" t="s">
        <v>718</v>
      </c>
    </row>
    <row r="1797" spans="1:5" hidden="1" x14ac:dyDescent="0.3">
      <c r="A1797" t="s">
        <v>557</v>
      </c>
      <c r="B1797" t="s">
        <v>717</v>
      </c>
      <c r="C1797" t="s">
        <v>278</v>
      </c>
      <c r="D1797" s="230">
        <v>-4079.69</v>
      </c>
      <c r="E1797" t="s">
        <v>718</v>
      </c>
    </row>
    <row r="1798" spans="1:5" hidden="1" x14ac:dyDescent="0.3">
      <c r="A1798" t="s">
        <v>557</v>
      </c>
      <c r="B1798" t="s">
        <v>717</v>
      </c>
      <c r="C1798" t="s">
        <v>44</v>
      </c>
      <c r="D1798" s="230">
        <v>-7.0000000000000007E-2</v>
      </c>
      <c r="E1798" t="s">
        <v>718</v>
      </c>
    </row>
    <row r="1799" spans="1:5" hidden="1" x14ac:dyDescent="0.3">
      <c r="A1799" t="s">
        <v>557</v>
      </c>
      <c r="B1799" t="s">
        <v>717</v>
      </c>
      <c r="C1799" t="s">
        <v>279</v>
      </c>
      <c r="D1799" s="230">
        <v>-6729.24</v>
      </c>
      <c r="E1799" t="s">
        <v>718</v>
      </c>
    </row>
    <row r="1800" spans="1:5" hidden="1" x14ac:dyDescent="0.3">
      <c r="A1800" t="s">
        <v>557</v>
      </c>
      <c r="B1800" t="s">
        <v>717</v>
      </c>
      <c r="C1800" t="s">
        <v>280</v>
      </c>
      <c r="D1800" s="230">
        <v>-299.89999999999998</v>
      </c>
      <c r="E1800" t="s">
        <v>718</v>
      </c>
    </row>
    <row r="1801" spans="1:5" hidden="1" x14ac:dyDescent="0.3">
      <c r="A1801" t="s">
        <v>557</v>
      </c>
      <c r="B1801" t="s">
        <v>717</v>
      </c>
      <c r="C1801" t="s">
        <v>281</v>
      </c>
      <c r="D1801" s="230">
        <v>-377.16</v>
      </c>
      <c r="E1801" t="s">
        <v>718</v>
      </c>
    </row>
    <row r="1802" spans="1:5" hidden="1" x14ac:dyDescent="0.3">
      <c r="A1802" t="s">
        <v>557</v>
      </c>
      <c r="B1802" t="s">
        <v>717</v>
      </c>
      <c r="C1802" t="s">
        <v>282</v>
      </c>
      <c r="D1802" s="230">
        <v>-264.25</v>
      </c>
      <c r="E1802" t="s">
        <v>718</v>
      </c>
    </row>
    <row r="1803" spans="1:5" hidden="1" x14ac:dyDescent="0.3">
      <c r="A1803" t="s">
        <v>557</v>
      </c>
      <c r="B1803" t="s">
        <v>717</v>
      </c>
      <c r="C1803" t="s">
        <v>283</v>
      </c>
      <c r="D1803" s="230">
        <v>-238.58</v>
      </c>
      <c r="E1803" t="s">
        <v>718</v>
      </c>
    </row>
    <row r="1804" spans="1:5" hidden="1" x14ac:dyDescent="0.3">
      <c r="A1804" t="s">
        <v>557</v>
      </c>
      <c r="B1804" t="s">
        <v>717</v>
      </c>
      <c r="C1804" t="s">
        <v>284</v>
      </c>
      <c r="D1804" s="230">
        <v>-5549.35</v>
      </c>
      <c r="E1804" t="s">
        <v>718</v>
      </c>
    </row>
    <row r="1805" spans="1:5" hidden="1" x14ac:dyDescent="0.3">
      <c r="A1805" t="s">
        <v>557</v>
      </c>
      <c r="B1805" t="s">
        <v>717</v>
      </c>
      <c r="C1805" t="s">
        <v>285</v>
      </c>
      <c r="D1805" s="230">
        <v>0</v>
      </c>
      <c r="E1805" t="s">
        <v>718</v>
      </c>
    </row>
    <row r="1806" spans="1:5" hidden="1" x14ac:dyDescent="0.3">
      <c r="A1806" t="s">
        <v>557</v>
      </c>
      <c r="B1806" t="s">
        <v>717</v>
      </c>
      <c r="C1806" t="s">
        <v>286</v>
      </c>
      <c r="D1806" s="230">
        <v>0</v>
      </c>
      <c r="E1806" t="s">
        <v>718</v>
      </c>
    </row>
    <row r="1807" spans="1:5" hidden="1" x14ac:dyDescent="0.3">
      <c r="A1807" t="s">
        <v>557</v>
      </c>
      <c r="B1807" t="s">
        <v>717</v>
      </c>
      <c r="C1807" t="s">
        <v>44</v>
      </c>
      <c r="D1807" s="230">
        <v>-0.01</v>
      </c>
      <c r="E1807" t="s">
        <v>718</v>
      </c>
    </row>
    <row r="1808" spans="1:5" hidden="1" x14ac:dyDescent="0.3">
      <c r="A1808" t="s">
        <v>557</v>
      </c>
      <c r="B1808" t="s">
        <v>717</v>
      </c>
      <c r="C1808" t="s">
        <v>287</v>
      </c>
      <c r="D1808" s="230">
        <v>-7975.83</v>
      </c>
      <c r="E1808" t="s">
        <v>718</v>
      </c>
    </row>
    <row r="1809" spans="1:5" hidden="1" x14ac:dyDescent="0.3">
      <c r="A1809" t="s">
        <v>557</v>
      </c>
      <c r="B1809" t="s">
        <v>717</v>
      </c>
      <c r="C1809" t="s">
        <v>288</v>
      </c>
      <c r="D1809" s="230">
        <v>-6723.72</v>
      </c>
      <c r="E1809" t="s">
        <v>718</v>
      </c>
    </row>
    <row r="1810" spans="1:5" hidden="1" x14ac:dyDescent="0.3">
      <c r="A1810" t="s">
        <v>557</v>
      </c>
      <c r="B1810" t="s">
        <v>717</v>
      </c>
      <c r="C1810" t="s">
        <v>289</v>
      </c>
      <c r="D1810" s="230">
        <v>0</v>
      </c>
      <c r="E1810" t="s">
        <v>718</v>
      </c>
    </row>
    <row r="1811" spans="1:5" hidden="1" x14ac:dyDescent="0.3">
      <c r="A1811" t="s">
        <v>557</v>
      </c>
      <c r="B1811" t="s">
        <v>717</v>
      </c>
      <c r="C1811" t="s">
        <v>290</v>
      </c>
      <c r="D1811" s="230">
        <v>0</v>
      </c>
      <c r="E1811" t="s">
        <v>718</v>
      </c>
    </row>
    <row r="1812" spans="1:5" hidden="1" x14ac:dyDescent="0.3">
      <c r="A1812" t="s">
        <v>557</v>
      </c>
      <c r="B1812" t="s">
        <v>717</v>
      </c>
      <c r="C1812" t="s">
        <v>291</v>
      </c>
      <c r="D1812" s="230">
        <v>0</v>
      </c>
      <c r="E1812" t="s">
        <v>718</v>
      </c>
    </row>
    <row r="1813" spans="1:5" hidden="1" x14ac:dyDescent="0.3">
      <c r="A1813" t="s">
        <v>557</v>
      </c>
      <c r="B1813" t="s">
        <v>717</v>
      </c>
      <c r="C1813" t="s">
        <v>292</v>
      </c>
      <c r="D1813" s="230">
        <v>-390</v>
      </c>
      <c r="E1813" t="s">
        <v>718</v>
      </c>
    </row>
    <row r="1814" spans="1:5" hidden="1" x14ac:dyDescent="0.3">
      <c r="A1814" t="s">
        <v>557</v>
      </c>
      <c r="B1814" t="s">
        <v>717</v>
      </c>
      <c r="C1814" t="s">
        <v>293</v>
      </c>
      <c r="D1814" s="230">
        <v>-862.11</v>
      </c>
      <c r="E1814" t="s">
        <v>718</v>
      </c>
    </row>
    <row r="1815" spans="1:5" hidden="1" x14ac:dyDescent="0.3">
      <c r="A1815" t="s">
        <v>557</v>
      </c>
      <c r="B1815" t="s">
        <v>717</v>
      </c>
      <c r="C1815" t="s">
        <v>294</v>
      </c>
      <c r="D1815" s="230">
        <v>-279.41000000000003</v>
      </c>
      <c r="E1815" t="s">
        <v>718</v>
      </c>
    </row>
    <row r="1816" spans="1:5" hidden="1" x14ac:dyDescent="0.3">
      <c r="A1816" t="s">
        <v>557</v>
      </c>
      <c r="B1816" t="s">
        <v>717</v>
      </c>
      <c r="C1816" t="s">
        <v>295</v>
      </c>
      <c r="D1816" s="230">
        <v>0</v>
      </c>
      <c r="E1816" t="s">
        <v>718</v>
      </c>
    </row>
    <row r="1817" spans="1:5" hidden="1" x14ac:dyDescent="0.3">
      <c r="A1817" t="s">
        <v>557</v>
      </c>
      <c r="B1817" t="s">
        <v>717</v>
      </c>
      <c r="C1817" t="s">
        <v>44</v>
      </c>
      <c r="D1817" s="230">
        <v>-0.02</v>
      </c>
      <c r="E1817" t="s">
        <v>718</v>
      </c>
    </row>
    <row r="1818" spans="1:5" hidden="1" x14ac:dyDescent="0.3">
      <c r="A1818" t="s">
        <v>557</v>
      </c>
      <c r="B1818" t="s">
        <v>717</v>
      </c>
      <c r="C1818" t="s">
        <v>296</v>
      </c>
      <c r="D1818" s="230">
        <v>-5972.5</v>
      </c>
      <c r="E1818" t="s">
        <v>718</v>
      </c>
    </row>
    <row r="1819" spans="1:5" hidden="1" x14ac:dyDescent="0.3">
      <c r="A1819" t="s">
        <v>557</v>
      </c>
      <c r="B1819" t="s">
        <v>717</v>
      </c>
      <c r="C1819" t="s">
        <v>297</v>
      </c>
      <c r="D1819" s="230">
        <v>-5000</v>
      </c>
      <c r="E1819" t="s">
        <v>718</v>
      </c>
    </row>
    <row r="1820" spans="1:5" hidden="1" x14ac:dyDescent="0.3">
      <c r="A1820" t="s">
        <v>557</v>
      </c>
      <c r="B1820" t="s">
        <v>717</v>
      </c>
      <c r="C1820" t="s">
        <v>298</v>
      </c>
      <c r="D1820" s="230">
        <v>-460</v>
      </c>
      <c r="E1820" t="s">
        <v>718</v>
      </c>
    </row>
    <row r="1821" spans="1:5" hidden="1" x14ac:dyDescent="0.3">
      <c r="A1821" t="s">
        <v>557</v>
      </c>
      <c r="B1821" t="s">
        <v>717</v>
      </c>
      <c r="C1821" t="s">
        <v>299</v>
      </c>
      <c r="D1821" s="230">
        <v>0</v>
      </c>
      <c r="E1821" t="s">
        <v>718</v>
      </c>
    </row>
    <row r="1822" spans="1:5" hidden="1" x14ac:dyDescent="0.3">
      <c r="A1822" t="s">
        <v>557</v>
      </c>
      <c r="B1822" t="s">
        <v>717</v>
      </c>
      <c r="C1822" t="s">
        <v>300</v>
      </c>
      <c r="D1822" s="230">
        <v>0</v>
      </c>
      <c r="E1822" t="s">
        <v>718</v>
      </c>
    </row>
    <row r="1823" spans="1:5" hidden="1" x14ac:dyDescent="0.3">
      <c r="A1823" t="s">
        <v>557</v>
      </c>
      <c r="B1823" t="s">
        <v>717</v>
      </c>
      <c r="C1823" t="s">
        <v>301</v>
      </c>
      <c r="D1823" s="230">
        <v>0</v>
      </c>
      <c r="E1823" t="s">
        <v>718</v>
      </c>
    </row>
    <row r="1824" spans="1:5" hidden="1" x14ac:dyDescent="0.3">
      <c r="A1824" t="s">
        <v>557</v>
      </c>
      <c r="B1824" t="s">
        <v>717</v>
      </c>
      <c r="C1824" t="s">
        <v>302</v>
      </c>
      <c r="D1824" s="230">
        <v>0</v>
      </c>
      <c r="E1824" t="s">
        <v>718</v>
      </c>
    </row>
    <row r="1825" spans="1:5" hidden="1" x14ac:dyDescent="0.3">
      <c r="A1825" t="s">
        <v>557</v>
      </c>
      <c r="B1825" t="s">
        <v>717</v>
      </c>
      <c r="C1825" t="s">
        <v>303</v>
      </c>
      <c r="D1825" s="230">
        <v>0</v>
      </c>
      <c r="E1825" t="s">
        <v>718</v>
      </c>
    </row>
    <row r="1826" spans="1:5" hidden="1" x14ac:dyDescent="0.3">
      <c r="A1826" t="s">
        <v>557</v>
      </c>
      <c r="B1826" t="s">
        <v>717</v>
      </c>
      <c r="C1826" t="s">
        <v>304</v>
      </c>
      <c r="D1826" s="230">
        <v>0</v>
      </c>
      <c r="E1826" t="s">
        <v>718</v>
      </c>
    </row>
    <row r="1827" spans="1:5" hidden="1" x14ac:dyDescent="0.3">
      <c r="A1827" t="s">
        <v>557</v>
      </c>
      <c r="B1827" t="s">
        <v>717</v>
      </c>
      <c r="C1827" t="s">
        <v>305</v>
      </c>
      <c r="D1827" s="230">
        <v>-120</v>
      </c>
      <c r="E1827" t="s">
        <v>718</v>
      </c>
    </row>
    <row r="1828" spans="1:5" hidden="1" x14ac:dyDescent="0.3">
      <c r="A1828" t="s">
        <v>557</v>
      </c>
      <c r="B1828" t="s">
        <v>717</v>
      </c>
      <c r="C1828" t="s">
        <v>306</v>
      </c>
      <c r="D1828" s="230">
        <v>0</v>
      </c>
      <c r="E1828" t="s">
        <v>718</v>
      </c>
    </row>
    <row r="1829" spans="1:5" hidden="1" x14ac:dyDescent="0.3">
      <c r="A1829" t="s">
        <v>557</v>
      </c>
      <c r="B1829" t="s">
        <v>717</v>
      </c>
      <c r="C1829" t="s">
        <v>307</v>
      </c>
      <c r="D1829" s="230">
        <v>-392.5</v>
      </c>
      <c r="E1829" t="s">
        <v>718</v>
      </c>
    </row>
    <row r="1830" spans="1:5" hidden="1" x14ac:dyDescent="0.3">
      <c r="A1830" t="s">
        <v>557</v>
      </c>
      <c r="B1830" t="s">
        <v>717</v>
      </c>
      <c r="C1830" t="s">
        <v>44</v>
      </c>
      <c r="D1830" s="230">
        <v>-0.01</v>
      </c>
      <c r="E1830" t="s">
        <v>718</v>
      </c>
    </row>
    <row r="1831" spans="1:5" hidden="1" x14ac:dyDescent="0.3">
      <c r="A1831" t="s">
        <v>557</v>
      </c>
      <c r="B1831" t="s">
        <v>717</v>
      </c>
      <c r="C1831" t="s">
        <v>308</v>
      </c>
      <c r="D1831" s="230">
        <v>-2272.5500000000002</v>
      </c>
      <c r="E1831" t="s">
        <v>718</v>
      </c>
    </row>
    <row r="1832" spans="1:5" hidden="1" x14ac:dyDescent="0.3">
      <c r="A1832" t="s">
        <v>557</v>
      </c>
      <c r="B1832" t="s">
        <v>717</v>
      </c>
      <c r="C1832" t="s">
        <v>309</v>
      </c>
      <c r="D1832" s="230">
        <v>-1412</v>
      </c>
      <c r="E1832" t="s">
        <v>718</v>
      </c>
    </row>
    <row r="1833" spans="1:5" hidden="1" x14ac:dyDescent="0.3">
      <c r="A1833" t="s">
        <v>557</v>
      </c>
      <c r="B1833" t="s">
        <v>717</v>
      </c>
      <c r="C1833" t="s">
        <v>310</v>
      </c>
      <c r="D1833" s="230">
        <v>0</v>
      </c>
      <c r="E1833" t="s">
        <v>718</v>
      </c>
    </row>
    <row r="1834" spans="1:5" hidden="1" x14ac:dyDescent="0.3">
      <c r="A1834" t="s">
        <v>557</v>
      </c>
      <c r="B1834" t="s">
        <v>717</v>
      </c>
      <c r="C1834" t="s">
        <v>311</v>
      </c>
      <c r="D1834" s="230">
        <v>-860.55</v>
      </c>
      <c r="E1834" t="s">
        <v>718</v>
      </c>
    </row>
    <row r="1835" spans="1:5" hidden="1" x14ac:dyDescent="0.3">
      <c r="A1835" t="s">
        <v>557</v>
      </c>
      <c r="B1835" t="s">
        <v>717</v>
      </c>
      <c r="C1835" t="s">
        <v>312</v>
      </c>
      <c r="D1835" s="230">
        <v>0</v>
      </c>
      <c r="E1835" t="s">
        <v>718</v>
      </c>
    </row>
    <row r="1836" spans="1:5" hidden="1" x14ac:dyDescent="0.3">
      <c r="A1836" t="s">
        <v>557</v>
      </c>
      <c r="B1836" t="s">
        <v>717</v>
      </c>
      <c r="C1836" t="s">
        <v>313</v>
      </c>
      <c r="D1836" s="230">
        <v>0</v>
      </c>
      <c r="E1836" t="s">
        <v>718</v>
      </c>
    </row>
    <row r="1837" spans="1:5" hidden="1" x14ac:dyDescent="0.3">
      <c r="A1837" t="s">
        <v>557</v>
      </c>
      <c r="B1837" t="s">
        <v>717</v>
      </c>
      <c r="C1837" t="s">
        <v>314</v>
      </c>
      <c r="D1837" s="230">
        <v>0</v>
      </c>
      <c r="E1837" t="s">
        <v>718</v>
      </c>
    </row>
    <row r="1838" spans="1:5" hidden="1" x14ac:dyDescent="0.3">
      <c r="A1838" t="s">
        <v>557</v>
      </c>
      <c r="B1838" t="s">
        <v>717</v>
      </c>
      <c r="C1838" t="s">
        <v>315</v>
      </c>
      <c r="D1838" s="230">
        <v>0</v>
      </c>
      <c r="E1838" t="s">
        <v>718</v>
      </c>
    </row>
    <row r="1839" spans="1:5" hidden="1" x14ac:dyDescent="0.3">
      <c r="A1839" t="s">
        <v>557</v>
      </c>
      <c r="B1839" t="s">
        <v>717</v>
      </c>
      <c r="C1839" t="s">
        <v>316</v>
      </c>
      <c r="D1839" s="230">
        <v>0</v>
      </c>
      <c r="E1839" t="s">
        <v>718</v>
      </c>
    </row>
    <row r="1840" spans="1:5" hidden="1" x14ac:dyDescent="0.3">
      <c r="A1840" t="s">
        <v>557</v>
      </c>
      <c r="B1840" t="s">
        <v>717</v>
      </c>
      <c r="C1840" t="s">
        <v>317</v>
      </c>
      <c r="D1840" s="230">
        <v>0</v>
      </c>
      <c r="E1840" t="s">
        <v>718</v>
      </c>
    </row>
    <row r="1841" spans="1:5" hidden="1" x14ac:dyDescent="0.3">
      <c r="A1841" t="s">
        <v>557</v>
      </c>
      <c r="B1841" t="s">
        <v>717</v>
      </c>
      <c r="C1841" t="s">
        <v>44</v>
      </c>
      <c r="D1841" s="230">
        <v>-0.01</v>
      </c>
      <c r="E1841" t="s">
        <v>718</v>
      </c>
    </row>
    <row r="1842" spans="1:5" hidden="1" x14ac:dyDescent="0.3">
      <c r="A1842" t="s">
        <v>557</v>
      </c>
      <c r="B1842" t="s">
        <v>717</v>
      </c>
      <c r="C1842" t="s">
        <v>318</v>
      </c>
      <c r="D1842" s="230">
        <v>-4525.46</v>
      </c>
      <c r="E1842" t="s">
        <v>718</v>
      </c>
    </row>
    <row r="1843" spans="1:5" hidden="1" x14ac:dyDescent="0.3">
      <c r="A1843" t="s">
        <v>557</v>
      </c>
      <c r="B1843" t="s">
        <v>717</v>
      </c>
      <c r="C1843" t="s">
        <v>319</v>
      </c>
      <c r="D1843" s="230">
        <v>-4525.46</v>
      </c>
      <c r="E1843" t="s">
        <v>718</v>
      </c>
    </row>
    <row r="1844" spans="1:5" hidden="1" x14ac:dyDescent="0.3">
      <c r="A1844" t="s">
        <v>557</v>
      </c>
      <c r="B1844" t="s">
        <v>717</v>
      </c>
      <c r="C1844" t="s">
        <v>320</v>
      </c>
      <c r="D1844" s="230">
        <v>0</v>
      </c>
      <c r="E1844" t="s">
        <v>718</v>
      </c>
    </row>
    <row r="1845" spans="1:5" hidden="1" x14ac:dyDescent="0.3">
      <c r="A1845" t="s">
        <v>557</v>
      </c>
      <c r="B1845" t="s">
        <v>717</v>
      </c>
      <c r="C1845" t="s">
        <v>321</v>
      </c>
      <c r="D1845" s="230">
        <v>0</v>
      </c>
      <c r="E1845" t="s">
        <v>718</v>
      </c>
    </row>
    <row r="1846" spans="1:5" hidden="1" x14ac:dyDescent="0.3">
      <c r="A1846" t="s">
        <v>557</v>
      </c>
      <c r="B1846" t="s">
        <v>717</v>
      </c>
      <c r="C1846" t="s">
        <v>322</v>
      </c>
      <c r="D1846" s="230">
        <v>0</v>
      </c>
      <c r="E1846" t="s">
        <v>718</v>
      </c>
    </row>
    <row r="1847" spans="1:5" hidden="1" x14ac:dyDescent="0.3">
      <c r="A1847" t="s">
        <v>557</v>
      </c>
      <c r="B1847" t="s">
        <v>717</v>
      </c>
      <c r="C1847" t="s">
        <v>44</v>
      </c>
      <c r="D1847" s="230">
        <v>-0.01</v>
      </c>
      <c r="E1847" t="s">
        <v>718</v>
      </c>
    </row>
    <row r="1848" spans="1:5" hidden="1" x14ac:dyDescent="0.3">
      <c r="A1848" t="s">
        <v>557</v>
      </c>
      <c r="B1848" t="s">
        <v>717</v>
      </c>
      <c r="C1848" t="s">
        <v>323</v>
      </c>
      <c r="D1848" s="230">
        <v>-22595.27</v>
      </c>
      <c r="E1848" t="s">
        <v>718</v>
      </c>
    </row>
    <row r="1849" spans="1:5" hidden="1" x14ac:dyDescent="0.3">
      <c r="A1849" t="s">
        <v>557</v>
      </c>
      <c r="B1849" t="s">
        <v>717</v>
      </c>
      <c r="C1849" t="s">
        <v>324</v>
      </c>
      <c r="D1849" s="230">
        <v>0</v>
      </c>
      <c r="E1849" t="s">
        <v>718</v>
      </c>
    </row>
    <row r="1850" spans="1:5" hidden="1" x14ac:dyDescent="0.3">
      <c r="A1850" t="s">
        <v>557</v>
      </c>
      <c r="B1850" t="s">
        <v>717</v>
      </c>
      <c r="C1850" t="s">
        <v>325</v>
      </c>
      <c r="D1850" s="230">
        <v>0</v>
      </c>
      <c r="E1850" t="s">
        <v>718</v>
      </c>
    </row>
    <row r="1851" spans="1:5" hidden="1" x14ac:dyDescent="0.3">
      <c r="A1851" t="s">
        <v>557</v>
      </c>
      <c r="B1851" t="s">
        <v>717</v>
      </c>
      <c r="C1851" t="s">
        <v>326</v>
      </c>
      <c r="D1851" s="230">
        <v>-22595.27</v>
      </c>
      <c r="E1851" t="s">
        <v>718</v>
      </c>
    </row>
    <row r="1852" spans="1:5" hidden="1" x14ac:dyDescent="0.3">
      <c r="A1852" t="s">
        <v>557</v>
      </c>
      <c r="B1852" t="s">
        <v>717</v>
      </c>
      <c r="C1852" t="s">
        <v>44</v>
      </c>
      <c r="D1852" s="230">
        <v>-0.05</v>
      </c>
      <c r="E1852" t="s">
        <v>718</v>
      </c>
    </row>
    <row r="1853" spans="1:5" hidden="1" x14ac:dyDescent="0.3">
      <c r="A1853" t="s">
        <v>557</v>
      </c>
      <c r="B1853" t="s">
        <v>717</v>
      </c>
      <c r="C1853" t="s">
        <v>328</v>
      </c>
      <c r="D1853" s="230">
        <v>-255955.63</v>
      </c>
      <c r="E1853" t="s">
        <v>718</v>
      </c>
    </row>
    <row r="1854" spans="1:5" hidden="1" x14ac:dyDescent="0.3">
      <c r="A1854" t="s">
        <v>557</v>
      </c>
      <c r="B1854" t="s">
        <v>717</v>
      </c>
      <c r="C1854" t="s">
        <v>44</v>
      </c>
      <c r="D1854" s="230">
        <v>-0.56999999999999995</v>
      </c>
      <c r="E1854" t="s">
        <v>718</v>
      </c>
    </row>
    <row r="1855" spans="1:5" hidden="1" x14ac:dyDescent="0.3">
      <c r="A1855" t="s">
        <v>557</v>
      </c>
      <c r="B1855" t="s">
        <v>717</v>
      </c>
      <c r="C1855" t="s">
        <v>329</v>
      </c>
      <c r="D1855" s="230">
        <v>375.43</v>
      </c>
      <c r="E1855" t="s">
        <v>718</v>
      </c>
    </row>
    <row r="1856" spans="1:5" hidden="1" x14ac:dyDescent="0.3">
      <c r="A1856" t="s">
        <v>557</v>
      </c>
      <c r="B1856" t="s">
        <v>717</v>
      </c>
      <c r="C1856" t="s">
        <v>44</v>
      </c>
      <c r="D1856" s="230">
        <v>0</v>
      </c>
      <c r="E1856" t="s">
        <v>718</v>
      </c>
    </row>
    <row r="1857" spans="1:5" hidden="1" x14ac:dyDescent="0.3">
      <c r="A1857" t="s">
        <v>557</v>
      </c>
      <c r="B1857" t="s">
        <v>717</v>
      </c>
      <c r="C1857" t="s">
        <v>330</v>
      </c>
      <c r="D1857" s="230">
        <v>0</v>
      </c>
      <c r="E1857" t="s">
        <v>718</v>
      </c>
    </row>
    <row r="1858" spans="1:5" hidden="1" x14ac:dyDescent="0.3">
      <c r="A1858" t="s">
        <v>557</v>
      </c>
      <c r="B1858" t="s">
        <v>717</v>
      </c>
      <c r="C1858" t="s">
        <v>332</v>
      </c>
      <c r="D1858" s="230">
        <v>375.43</v>
      </c>
      <c r="E1858" t="s">
        <v>718</v>
      </c>
    </row>
    <row r="1859" spans="1:5" hidden="1" x14ac:dyDescent="0.3">
      <c r="A1859" t="s">
        <v>557</v>
      </c>
      <c r="B1859" t="s">
        <v>717</v>
      </c>
      <c r="C1859" t="s">
        <v>333</v>
      </c>
      <c r="D1859" s="230">
        <v>7409.41</v>
      </c>
      <c r="E1859" t="s">
        <v>718</v>
      </c>
    </row>
    <row r="1860" spans="1:5" hidden="1" x14ac:dyDescent="0.3">
      <c r="A1860" t="s">
        <v>557</v>
      </c>
      <c r="B1860" t="s">
        <v>717</v>
      </c>
      <c r="C1860" t="s">
        <v>334</v>
      </c>
      <c r="D1860" s="230">
        <v>0</v>
      </c>
      <c r="E1860" t="s">
        <v>718</v>
      </c>
    </row>
    <row r="1861" spans="1:5" hidden="1" x14ac:dyDescent="0.3">
      <c r="A1861" t="s">
        <v>557</v>
      </c>
      <c r="B1861" t="s">
        <v>717</v>
      </c>
      <c r="C1861" t="s">
        <v>336</v>
      </c>
      <c r="D1861" s="230">
        <v>0</v>
      </c>
      <c r="E1861" t="s">
        <v>718</v>
      </c>
    </row>
    <row r="1862" spans="1:5" hidden="1" x14ac:dyDescent="0.3">
      <c r="A1862" t="s">
        <v>557</v>
      </c>
      <c r="B1862" t="s">
        <v>717</v>
      </c>
      <c r="C1862" t="s">
        <v>338</v>
      </c>
      <c r="D1862" s="230">
        <v>7784.84</v>
      </c>
      <c r="E1862" t="s">
        <v>718</v>
      </c>
    </row>
    <row r="1863" spans="1:5" hidden="1" x14ac:dyDescent="0.3">
      <c r="A1863" t="s">
        <v>557</v>
      </c>
      <c r="B1863" t="s">
        <v>717</v>
      </c>
      <c r="C1863" t="s">
        <v>339</v>
      </c>
      <c r="D1863" s="230">
        <v>-21691.46</v>
      </c>
      <c r="E1863" t="s">
        <v>718</v>
      </c>
    </row>
    <row r="1864" spans="1:5" hidden="1" x14ac:dyDescent="0.3">
      <c r="A1864" t="s">
        <v>557</v>
      </c>
      <c r="B1864" t="s">
        <v>717</v>
      </c>
      <c r="C1864" t="s">
        <v>342</v>
      </c>
      <c r="D1864" s="230">
        <v>-21691.46</v>
      </c>
      <c r="E1864" t="s">
        <v>718</v>
      </c>
    </row>
    <row r="1865" spans="1:5" hidden="1" x14ac:dyDescent="0.3">
      <c r="A1865" t="s">
        <v>557</v>
      </c>
      <c r="B1865" t="s">
        <v>717</v>
      </c>
      <c r="C1865" t="s">
        <v>344</v>
      </c>
      <c r="D1865" s="230">
        <v>0</v>
      </c>
      <c r="E1865" t="s">
        <v>718</v>
      </c>
    </row>
    <row r="1866" spans="1:5" hidden="1" x14ac:dyDescent="0.3">
      <c r="A1866" t="s">
        <v>557</v>
      </c>
      <c r="B1866" t="s">
        <v>717</v>
      </c>
      <c r="C1866" t="s">
        <v>345</v>
      </c>
      <c r="D1866" s="230">
        <v>0</v>
      </c>
      <c r="E1866" t="s">
        <v>718</v>
      </c>
    </row>
    <row r="1867" spans="1:5" hidden="1" x14ac:dyDescent="0.3">
      <c r="A1867" t="s">
        <v>557</v>
      </c>
      <c r="B1867" t="s">
        <v>717</v>
      </c>
      <c r="C1867" t="s">
        <v>346</v>
      </c>
      <c r="D1867" s="230">
        <v>0</v>
      </c>
      <c r="E1867" t="s">
        <v>718</v>
      </c>
    </row>
    <row r="1868" spans="1:5" hidden="1" x14ac:dyDescent="0.3">
      <c r="A1868" t="s">
        <v>557</v>
      </c>
      <c r="B1868" t="s">
        <v>717</v>
      </c>
      <c r="C1868" t="s">
        <v>347</v>
      </c>
      <c r="D1868" s="230">
        <v>-13906.62</v>
      </c>
      <c r="E1868" t="s">
        <v>718</v>
      </c>
    </row>
    <row r="1869" spans="1:5" hidden="1" x14ac:dyDescent="0.3">
      <c r="A1869" t="s">
        <v>557</v>
      </c>
      <c r="B1869" t="s">
        <v>717</v>
      </c>
      <c r="C1869" t="s">
        <v>44</v>
      </c>
      <c r="D1869" s="230">
        <v>-0.03</v>
      </c>
      <c r="E1869" t="s">
        <v>718</v>
      </c>
    </row>
    <row r="1870" spans="1:5" hidden="1" x14ac:dyDescent="0.3">
      <c r="A1870" t="s">
        <v>557</v>
      </c>
      <c r="B1870" t="s">
        <v>717</v>
      </c>
      <c r="C1870" t="s">
        <v>348</v>
      </c>
      <c r="D1870" s="230">
        <v>-89.92</v>
      </c>
      <c r="E1870" t="s">
        <v>718</v>
      </c>
    </row>
    <row r="1871" spans="1:5" hidden="1" x14ac:dyDescent="0.3">
      <c r="A1871" t="s">
        <v>557</v>
      </c>
      <c r="B1871" t="s">
        <v>717</v>
      </c>
      <c r="C1871" t="s">
        <v>707</v>
      </c>
      <c r="D1871" s="230">
        <v>0</v>
      </c>
      <c r="E1871" t="s">
        <v>718</v>
      </c>
    </row>
    <row r="1872" spans="1:5" hidden="1" x14ac:dyDescent="0.3">
      <c r="A1872" t="s">
        <v>557</v>
      </c>
      <c r="B1872" t="s">
        <v>717</v>
      </c>
      <c r="C1872" t="s">
        <v>350</v>
      </c>
      <c r="D1872" s="230">
        <v>-89.92</v>
      </c>
      <c r="E1872" t="s">
        <v>718</v>
      </c>
    </row>
    <row r="1873" spans="1:5" hidden="1" x14ac:dyDescent="0.3">
      <c r="A1873" t="s">
        <v>557</v>
      </c>
      <c r="B1873" t="s">
        <v>717</v>
      </c>
      <c r="C1873" t="s">
        <v>351</v>
      </c>
      <c r="D1873" s="230">
        <v>0</v>
      </c>
      <c r="E1873" t="s">
        <v>718</v>
      </c>
    </row>
    <row r="1874" spans="1:5" hidden="1" x14ac:dyDescent="0.3">
      <c r="A1874" t="s">
        <v>557</v>
      </c>
      <c r="B1874" t="s">
        <v>717</v>
      </c>
      <c r="C1874" t="s">
        <v>352</v>
      </c>
      <c r="D1874" s="230">
        <v>0</v>
      </c>
      <c r="E1874" t="s">
        <v>718</v>
      </c>
    </row>
    <row r="1875" spans="1:5" hidden="1" x14ac:dyDescent="0.3">
      <c r="A1875" t="s">
        <v>557</v>
      </c>
      <c r="B1875" t="s">
        <v>717</v>
      </c>
      <c r="C1875" t="s">
        <v>353</v>
      </c>
      <c r="D1875" s="230">
        <v>0</v>
      </c>
      <c r="E1875" t="s">
        <v>718</v>
      </c>
    </row>
    <row r="1876" spans="1:5" hidden="1" x14ac:dyDescent="0.3">
      <c r="A1876" t="s">
        <v>557</v>
      </c>
      <c r="B1876" t="s">
        <v>717</v>
      </c>
      <c r="C1876" t="s">
        <v>354</v>
      </c>
      <c r="D1876" s="230">
        <v>0</v>
      </c>
      <c r="E1876" t="s">
        <v>718</v>
      </c>
    </row>
    <row r="1877" spans="1:5" hidden="1" x14ac:dyDescent="0.3">
      <c r="A1877" t="s">
        <v>557</v>
      </c>
      <c r="B1877" t="s">
        <v>717</v>
      </c>
      <c r="C1877" t="s">
        <v>355</v>
      </c>
      <c r="D1877" s="230">
        <v>0</v>
      </c>
      <c r="E1877" t="s">
        <v>718</v>
      </c>
    </row>
    <row r="1878" spans="1:5" hidden="1" x14ac:dyDescent="0.3">
      <c r="A1878" t="s">
        <v>557</v>
      </c>
      <c r="B1878" t="s">
        <v>717</v>
      </c>
      <c r="C1878" t="s">
        <v>356</v>
      </c>
      <c r="D1878" s="230">
        <v>0</v>
      </c>
      <c r="E1878" t="s">
        <v>718</v>
      </c>
    </row>
    <row r="1879" spans="1:5" hidden="1" x14ac:dyDescent="0.3">
      <c r="A1879" t="s">
        <v>557</v>
      </c>
      <c r="B1879" t="s">
        <v>717</v>
      </c>
      <c r="C1879" t="s">
        <v>357</v>
      </c>
      <c r="D1879" s="230">
        <v>0</v>
      </c>
      <c r="E1879" t="s">
        <v>718</v>
      </c>
    </row>
    <row r="1880" spans="1:5" hidden="1" x14ac:dyDescent="0.3">
      <c r="A1880" t="s">
        <v>557</v>
      </c>
      <c r="B1880" t="s">
        <v>717</v>
      </c>
      <c r="C1880" t="s">
        <v>358</v>
      </c>
      <c r="D1880" s="230">
        <v>0</v>
      </c>
      <c r="E1880" t="s">
        <v>718</v>
      </c>
    </row>
    <row r="1881" spans="1:5" hidden="1" x14ac:dyDescent="0.3">
      <c r="A1881" t="s">
        <v>557</v>
      </c>
      <c r="B1881" t="s">
        <v>717</v>
      </c>
      <c r="C1881" t="s">
        <v>359</v>
      </c>
      <c r="D1881" s="230">
        <v>0</v>
      </c>
      <c r="E1881" t="s">
        <v>718</v>
      </c>
    </row>
    <row r="1882" spans="1:5" hidden="1" x14ac:dyDescent="0.3">
      <c r="A1882" t="s">
        <v>557</v>
      </c>
      <c r="B1882" t="s">
        <v>717</v>
      </c>
      <c r="C1882" t="s">
        <v>360</v>
      </c>
      <c r="D1882" s="230">
        <v>0</v>
      </c>
      <c r="E1882" t="s">
        <v>718</v>
      </c>
    </row>
    <row r="1883" spans="1:5" hidden="1" x14ac:dyDescent="0.3">
      <c r="A1883" t="s">
        <v>557</v>
      </c>
      <c r="B1883" t="s">
        <v>717</v>
      </c>
      <c r="C1883" t="s">
        <v>361</v>
      </c>
      <c r="D1883" s="230">
        <v>0</v>
      </c>
      <c r="E1883" t="s">
        <v>718</v>
      </c>
    </row>
    <row r="1884" spans="1:5" hidden="1" x14ac:dyDescent="0.3">
      <c r="A1884" t="s">
        <v>557</v>
      </c>
      <c r="B1884" t="s">
        <v>717</v>
      </c>
      <c r="C1884" t="s">
        <v>362</v>
      </c>
      <c r="D1884" s="230">
        <v>0</v>
      </c>
      <c r="E1884" t="s">
        <v>718</v>
      </c>
    </row>
    <row r="1885" spans="1:5" hidden="1" x14ac:dyDescent="0.3">
      <c r="A1885" t="s">
        <v>557</v>
      </c>
      <c r="B1885" t="s">
        <v>717</v>
      </c>
      <c r="C1885" t="s">
        <v>363</v>
      </c>
      <c r="D1885" s="230">
        <v>0</v>
      </c>
      <c r="E1885" t="s">
        <v>718</v>
      </c>
    </row>
    <row r="1886" spans="1:5" hidden="1" x14ac:dyDescent="0.3">
      <c r="A1886" t="s">
        <v>557</v>
      </c>
      <c r="B1886" t="s">
        <v>717</v>
      </c>
      <c r="C1886" t="s">
        <v>364</v>
      </c>
      <c r="D1886" s="230">
        <v>0</v>
      </c>
      <c r="E1886" t="s">
        <v>718</v>
      </c>
    </row>
    <row r="1887" spans="1:5" hidden="1" x14ac:dyDescent="0.3">
      <c r="A1887" t="s">
        <v>557</v>
      </c>
      <c r="B1887" t="s">
        <v>717</v>
      </c>
      <c r="C1887" t="s">
        <v>365</v>
      </c>
      <c r="D1887" s="230">
        <v>0</v>
      </c>
      <c r="E1887" t="s">
        <v>718</v>
      </c>
    </row>
    <row r="1888" spans="1:5" hidden="1" x14ac:dyDescent="0.3">
      <c r="A1888" t="s">
        <v>557</v>
      </c>
      <c r="B1888" t="s">
        <v>717</v>
      </c>
      <c r="C1888" t="s">
        <v>366</v>
      </c>
      <c r="D1888" s="230">
        <v>0</v>
      </c>
      <c r="E1888" t="s">
        <v>718</v>
      </c>
    </row>
    <row r="1889" spans="1:5" hidden="1" x14ac:dyDescent="0.3">
      <c r="A1889" t="s">
        <v>557</v>
      </c>
      <c r="B1889" t="s">
        <v>717</v>
      </c>
      <c r="C1889" t="s">
        <v>367</v>
      </c>
      <c r="D1889" s="230">
        <v>0</v>
      </c>
      <c r="E1889" t="s">
        <v>718</v>
      </c>
    </row>
    <row r="1890" spans="1:5" hidden="1" x14ac:dyDescent="0.3">
      <c r="A1890" t="s">
        <v>557</v>
      </c>
      <c r="B1890" t="s">
        <v>717</v>
      </c>
      <c r="C1890" t="s">
        <v>368</v>
      </c>
      <c r="D1890" s="230">
        <v>0</v>
      </c>
      <c r="E1890" t="s">
        <v>718</v>
      </c>
    </row>
    <row r="1891" spans="1:5" hidden="1" x14ac:dyDescent="0.3">
      <c r="A1891" t="s">
        <v>557</v>
      </c>
      <c r="B1891" t="s">
        <v>717</v>
      </c>
      <c r="C1891" t="s">
        <v>369</v>
      </c>
      <c r="D1891" s="230">
        <v>0</v>
      </c>
      <c r="E1891" t="s">
        <v>718</v>
      </c>
    </row>
    <row r="1892" spans="1:5" hidden="1" x14ac:dyDescent="0.3">
      <c r="A1892" t="s">
        <v>557</v>
      </c>
      <c r="B1892" t="s">
        <v>717</v>
      </c>
      <c r="C1892" t="s">
        <v>370</v>
      </c>
      <c r="D1892" s="230">
        <v>0</v>
      </c>
      <c r="E1892" t="s">
        <v>718</v>
      </c>
    </row>
    <row r="1893" spans="1:5" hidden="1" x14ac:dyDescent="0.3">
      <c r="A1893" t="s">
        <v>557</v>
      </c>
      <c r="B1893" t="s">
        <v>717</v>
      </c>
      <c r="C1893" t="s">
        <v>371</v>
      </c>
      <c r="D1893" s="230">
        <v>0</v>
      </c>
      <c r="E1893" t="s">
        <v>718</v>
      </c>
    </row>
    <row r="1894" spans="1:5" hidden="1" x14ac:dyDescent="0.3">
      <c r="A1894" t="s">
        <v>557</v>
      </c>
      <c r="B1894" t="s">
        <v>717</v>
      </c>
      <c r="C1894" t="s">
        <v>372</v>
      </c>
      <c r="D1894" s="230">
        <v>0</v>
      </c>
      <c r="E1894" t="s">
        <v>718</v>
      </c>
    </row>
    <row r="1895" spans="1:5" hidden="1" x14ac:dyDescent="0.3">
      <c r="A1895" t="s">
        <v>557</v>
      </c>
      <c r="B1895" t="s">
        <v>717</v>
      </c>
      <c r="C1895" t="s">
        <v>373</v>
      </c>
      <c r="D1895" s="230">
        <v>0</v>
      </c>
      <c r="E1895" t="s">
        <v>718</v>
      </c>
    </row>
    <row r="1896" spans="1:5" hidden="1" x14ac:dyDescent="0.3">
      <c r="A1896" t="s">
        <v>557</v>
      </c>
      <c r="B1896" t="s">
        <v>717</v>
      </c>
      <c r="C1896" t="s">
        <v>374</v>
      </c>
      <c r="D1896" s="230">
        <v>0</v>
      </c>
      <c r="E1896" t="s">
        <v>718</v>
      </c>
    </row>
    <row r="1897" spans="1:5" hidden="1" x14ac:dyDescent="0.3">
      <c r="A1897" t="s">
        <v>557</v>
      </c>
      <c r="B1897" t="s">
        <v>717</v>
      </c>
      <c r="C1897" t="s">
        <v>708</v>
      </c>
      <c r="D1897" s="230">
        <v>0</v>
      </c>
      <c r="E1897" t="s">
        <v>718</v>
      </c>
    </row>
    <row r="1898" spans="1:5" hidden="1" x14ac:dyDescent="0.3">
      <c r="A1898" t="s">
        <v>557</v>
      </c>
      <c r="B1898" t="s">
        <v>719</v>
      </c>
      <c r="C1898" t="s">
        <v>11</v>
      </c>
      <c r="D1898" s="230">
        <v>418451.97</v>
      </c>
      <c r="E1898" t="s">
        <v>720</v>
      </c>
    </row>
    <row r="1899" spans="1:5" hidden="1" x14ac:dyDescent="0.3">
      <c r="A1899" t="s">
        <v>557</v>
      </c>
      <c r="B1899" t="s">
        <v>719</v>
      </c>
      <c r="C1899" t="s">
        <v>13</v>
      </c>
      <c r="D1899" s="230">
        <v>222903.2</v>
      </c>
      <c r="E1899" t="s">
        <v>720</v>
      </c>
    </row>
    <row r="1900" spans="1:5" hidden="1" x14ac:dyDescent="0.3">
      <c r="A1900" t="s">
        <v>557</v>
      </c>
      <c r="B1900" t="s">
        <v>719</v>
      </c>
      <c r="C1900" t="s">
        <v>16</v>
      </c>
      <c r="D1900" s="230">
        <v>99768.3</v>
      </c>
      <c r="E1900" t="s">
        <v>720</v>
      </c>
    </row>
    <row r="1901" spans="1:5" hidden="1" x14ac:dyDescent="0.3">
      <c r="A1901" t="s">
        <v>557</v>
      </c>
      <c r="B1901" t="s">
        <v>719</v>
      </c>
      <c r="C1901" t="s">
        <v>17</v>
      </c>
      <c r="D1901" s="230">
        <v>9348</v>
      </c>
      <c r="E1901" t="s">
        <v>720</v>
      </c>
    </row>
    <row r="1902" spans="1:5" hidden="1" x14ac:dyDescent="0.3">
      <c r="A1902" t="s">
        <v>557</v>
      </c>
      <c r="B1902" t="s">
        <v>719</v>
      </c>
      <c r="C1902" t="s">
        <v>18</v>
      </c>
      <c r="D1902" s="230">
        <v>81</v>
      </c>
      <c r="E1902" t="s">
        <v>720</v>
      </c>
    </row>
    <row r="1903" spans="1:5" hidden="1" x14ac:dyDescent="0.3">
      <c r="A1903" t="s">
        <v>557</v>
      </c>
      <c r="B1903" t="s">
        <v>719</v>
      </c>
      <c r="C1903" t="s">
        <v>20</v>
      </c>
      <c r="D1903" s="230">
        <v>41816.14</v>
      </c>
      <c r="E1903" t="s">
        <v>720</v>
      </c>
    </row>
    <row r="1904" spans="1:5" hidden="1" x14ac:dyDescent="0.3">
      <c r="A1904" t="s">
        <v>557</v>
      </c>
      <c r="B1904" t="s">
        <v>719</v>
      </c>
      <c r="C1904" t="s">
        <v>23</v>
      </c>
      <c r="D1904" s="230">
        <v>7458</v>
      </c>
      <c r="E1904" t="s">
        <v>720</v>
      </c>
    </row>
    <row r="1905" spans="1:5" hidden="1" x14ac:dyDescent="0.3">
      <c r="A1905" t="s">
        <v>557</v>
      </c>
      <c r="B1905" t="s">
        <v>719</v>
      </c>
      <c r="C1905" t="s">
        <v>25</v>
      </c>
      <c r="D1905" s="230">
        <v>0</v>
      </c>
      <c r="E1905" t="s">
        <v>720</v>
      </c>
    </row>
    <row r="1906" spans="1:5" hidden="1" x14ac:dyDescent="0.3">
      <c r="A1906" t="s">
        <v>557</v>
      </c>
      <c r="B1906" t="s">
        <v>719</v>
      </c>
      <c r="C1906" t="s">
        <v>26</v>
      </c>
      <c r="D1906" s="230">
        <v>36645.35</v>
      </c>
      <c r="E1906" t="s">
        <v>720</v>
      </c>
    </row>
    <row r="1907" spans="1:5" hidden="1" x14ac:dyDescent="0.3">
      <c r="A1907" t="s">
        <v>557</v>
      </c>
      <c r="B1907" t="s">
        <v>719</v>
      </c>
      <c r="C1907" t="s">
        <v>27</v>
      </c>
      <c r="D1907" s="230">
        <v>0</v>
      </c>
      <c r="E1907" t="s">
        <v>720</v>
      </c>
    </row>
    <row r="1908" spans="1:5" hidden="1" x14ac:dyDescent="0.3">
      <c r="A1908" t="s">
        <v>557</v>
      </c>
      <c r="B1908" t="s">
        <v>719</v>
      </c>
      <c r="C1908" t="s">
        <v>29</v>
      </c>
      <c r="D1908" s="230">
        <v>431.98</v>
      </c>
      <c r="E1908" t="s">
        <v>720</v>
      </c>
    </row>
    <row r="1909" spans="1:5" hidden="1" x14ac:dyDescent="0.3">
      <c r="A1909" t="s">
        <v>557</v>
      </c>
      <c r="B1909" t="s">
        <v>719</v>
      </c>
      <c r="C1909" t="s">
        <v>31</v>
      </c>
      <c r="D1909" s="230">
        <v>0</v>
      </c>
      <c r="E1909" t="s">
        <v>720</v>
      </c>
    </row>
    <row r="1910" spans="1:5" hidden="1" x14ac:dyDescent="0.3">
      <c r="A1910" t="s">
        <v>557</v>
      </c>
      <c r="B1910" t="s">
        <v>719</v>
      </c>
      <c r="C1910" t="s">
        <v>34</v>
      </c>
      <c r="D1910" s="230">
        <v>-6858.1</v>
      </c>
      <c r="E1910" t="s">
        <v>720</v>
      </c>
    </row>
    <row r="1911" spans="1:5" hidden="1" x14ac:dyDescent="0.3">
      <c r="A1911" t="s">
        <v>557</v>
      </c>
      <c r="B1911" t="s">
        <v>719</v>
      </c>
      <c r="C1911" t="s">
        <v>38</v>
      </c>
      <c r="D1911" s="230">
        <v>-6858.1</v>
      </c>
      <c r="E1911" t="s">
        <v>720</v>
      </c>
    </row>
    <row r="1912" spans="1:5" hidden="1" x14ac:dyDescent="0.3">
      <c r="A1912" t="s">
        <v>557</v>
      </c>
      <c r="B1912" t="s">
        <v>719</v>
      </c>
      <c r="C1912" t="s">
        <v>40</v>
      </c>
      <c r="D1912" s="230">
        <v>0</v>
      </c>
      <c r="E1912" t="s">
        <v>720</v>
      </c>
    </row>
    <row r="1913" spans="1:5" hidden="1" x14ac:dyDescent="0.3">
      <c r="A1913" t="s">
        <v>557</v>
      </c>
      <c r="B1913" t="s">
        <v>719</v>
      </c>
      <c r="C1913" t="s">
        <v>42</v>
      </c>
      <c r="D1913" s="230">
        <v>0</v>
      </c>
      <c r="E1913" t="s">
        <v>720</v>
      </c>
    </row>
    <row r="1914" spans="1:5" hidden="1" x14ac:dyDescent="0.3">
      <c r="A1914" t="s">
        <v>557</v>
      </c>
      <c r="B1914" t="s">
        <v>719</v>
      </c>
      <c r="C1914" t="s">
        <v>44</v>
      </c>
      <c r="D1914" s="230">
        <v>-0.02</v>
      </c>
      <c r="E1914" t="s">
        <v>720</v>
      </c>
    </row>
    <row r="1915" spans="1:5" hidden="1" x14ac:dyDescent="0.3">
      <c r="A1915" t="s">
        <v>557</v>
      </c>
      <c r="B1915" t="s">
        <v>719</v>
      </c>
      <c r="C1915" t="s">
        <v>45</v>
      </c>
      <c r="D1915" s="230">
        <v>-25931.42</v>
      </c>
      <c r="E1915" t="s">
        <v>720</v>
      </c>
    </row>
    <row r="1916" spans="1:5" hidden="1" x14ac:dyDescent="0.3">
      <c r="A1916" t="s">
        <v>557</v>
      </c>
      <c r="B1916" t="s">
        <v>719</v>
      </c>
      <c r="C1916" t="s">
        <v>46</v>
      </c>
      <c r="D1916" s="230">
        <v>-13496.89</v>
      </c>
      <c r="E1916" t="s">
        <v>720</v>
      </c>
    </row>
    <row r="1917" spans="1:5" hidden="1" x14ac:dyDescent="0.3">
      <c r="A1917" t="s">
        <v>557</v>
      </c>
      <c r="B1917" t="s">
        <v>719</v>
      </c>
      <c r="C1917" t="s">
        <v>48</v>
      </c>
      <c r="D1917" s="230">
        <v>-11594.23</v>
      </c>
      <c r="E1917" t="s">
        <v>720</v>
      </c>
    </row>
    <row r="1918" spans="1:5" hidden="1" x14ac:dyDescent="0.3">
      <c r="A1918" t="s">
        <v>557</v>
      </c>
      <c r="B1918" t="s">
        <v>719</v>
      </c>
      <c r="C1918" t="s">
        <v>49</v>
      </c>
      <c r="D1918" s="230">
        <v>-840.3</v>
      </c>
      <c r="E1918" t="s">
        <v>720</v>
      </c>
    </row>
    <row r="1919" spans="1:5" hidden="1" x14ac:dyDescent="0.3">
      <c r="A1919" t="s">
        <v>557</v>
      </c>
      <c r="B1919" t="s">
        <v>719</v>
      </c>
      <c r="C1919" t="s">
        <v>50</v>
      </c>
      <c r="D1919" s="230">
        <v>385662.45</v>
      </c>
      <c r="E1919" t="s">
        <v>720</v>
      </c>
    </row>
    <row r="1920" spans="1:5" hidden="1" x14ac:dyDescent="0.3">
      <c r="A1920" t="s">
        <v>557</v>
      </c>
      <c r="B1920" t="s">
        <v>719</v>
      </c>
      <c r="C1920" t="s">
        <v>51</v>
      </c>
      <c r="D1920" s="230">
        <v>-106153.39</v>
      </c>
      <c r="E1920" t="s">
        <v>720</v>
      </c>
    </row>
    <row r="1921" spans="1:5" hidden="1" x14ac:dyDescent="0.3">
      <c r="A1921" t="s">
        <v>557</v>
      </c>
      <c r="B1921" t="s">
        <v>719</v>
      </c>
      <c r="C1921" t="s">
        <v>52</v>
      </c>
      <c r="D1921" s="230">
        <v>-78702.820000000007</v>
      </c>
      <c r="E1921" t="s">
        <v>720</v>
      </c>
    </row>
    <row r="1922" spans="1:5" hidden="1" x14ac:dyDescent="0.3">
      <c r="A1922" t="s">
        <v>557</v>
      </c>
      <c r="B1922" t="s">
        <v>719</v>
      </c>
      <c r="C1922" t="s">
        <v>53</v>
      </c>
      <c r="D1922" s="230">
        <v>-27450.57</v>
      </c>
      <c r="E1922" t="s">
        <v>720</v>
      </c>
    </row>
    <row r="1923" spans="1:5" hidden="1" x14ac:dyDescent="0.3">
      <c r="A1923" t="s">
        <v>557</v>
      </c>
      <c r="B1923" t="s">
        <v>719</v>
      </c>
      <c r="C1923" t="s">
        <v>54</v>
      </c>
      <c r="D1923" s="230">
        <v>0</v>
      </c>
      <c r="E1923" t="s">
        <v>720</v>
      </c>
    </row>
    <row r="1924" spans="1:5" hidden="1" x14ac:dyDescent="0.3">
      <c r="A1924" t="s">
        <v>557</v>
      </c>
      <c r="B1924" t="s">
        <v>719</v>
      </c>
      <c r="C1924" t="s">
        <v>23</v>
      </c>
      <c r="D1924" s="230">
        <v>0</v>
      </c>
      <c r="E1924" t="s">
        <v>720</v>
      </c>
    </row>
    <row r="1925" spans="1:5" hidden="1" x14ac:dyDescent="0.3">
      <c r="A1925" t="s">
        <v>557</v>
      </c>
      <c r="B1925" t="s">
        <v>719</v>
      </c>
      <c r="C1925" t="s">
        <v>44</v>
      </c>
      <c r="D1925" s="230">
        <v>-0.32</v>
      </c>
      <c r="E1925" t="s">
        <v>720</v>
      </c>
    </row>
    <row r="1926" spans="1:5" hidden="1" x14ac:dyDescent="0.3">
      <c r="A1926" t="s">
        <v>557</v>
      </c>
      <c r="B1926" t="s">
        <v>719</v>
      </c>
      <c r="C1926" t="s">
        <v>55</v>
      </c>
      <c r="D1926" s="230">
        <v>-0.28000000000000003</v>
      </c>
      <c r="E1926" t="s">
        <v>720</v>
      </c>
    </row>
    <row r="1927" spans="1:5" hidden="1" x14ac:dyDescent="0.3">
      <c r="A1927" t="s">
        <v>557</v>
      </c>
      <c r="B1927" t="s">
        <v>719</v>
      </c>
      <c r="C1927" t="s">
        <v>56</v>
      </c>
      <c r="D1927" s="230">
        <v>-9071.81</v>
      </c>
      <c r="E1927" t="s">
        <v>720</v>
      </c>
    </row>
    <row r="1928" spans="1:5" hidden="1" x14ac:dyDescent="0.3">
      <c r="A1928" t="s">
        <v>557</v>
      </c>
      <c r="B1928" t="s">
        <v>719</v>
      </c>
      <c r="C1928" t="s">
        <v>57</v>
      </c>
      <c r="D1928" s="230">
        <v>-9071.81</v>
      </c>
      <c r="E1928" t="s">
        <v>720</v>
      </c>
    </row>
    <row r="1929" spans="1:5" hidden="1" x14ac:dyDescent="0.3">
      <c r="A1929" t="s">
        <v>557</v>
      </c>
      <c r="B1929" t="s">
        <v>719</v>
      </c>
      <c r="C1929" t="s">
        <v>58</v>
      </c>
      <c r="D1929" s="230">
        <v>-8800</v>
      </c>
      <c r="E1929" t="s">
        <v>720</v>
      </c>
    </row>
    <row r="1930" spans="1:5" hidden="1" x14ac:dyDescent="0.3">
      <c r="A1930" t="s">
        <v>557</v>
      </c>
      <c r="B1930" t="s">
        <v>719</v>
      </c>
      <c r="C1930" t="s">
        <v>59</v>
      </c>
      <c r="D1930" s="230">
        <v>-271.81</v>
      </c>
      <c r="E1930" t="s">
        <v>720</v>
      </c>
    </row>
    <row r="1931" spans="1:5" hidden="1" x14ac:dyDescent="0.3">
      <c r="A1931" t="s">
        <v>557</v>
      </c>
      <c r="B1931" t="s">
        <v>719</v>
      </c>
      <c r="C1931" t="s">
        <v>61</v>
      </c>
      <c r="D1931" s="230">
        <v>0</v>
      </c>
      <c r="E1931" t="s">
        <v>720</v>
      </c>
    </row>
    <row r="1932" spans="1:5" hidden="1" x14ac:dyDescent="0.3">
      <c r="A1932" t="s">
        <v>557</v>
      </c>
      <c r="B1932" t="s">
        <v>719</v>
      </c>
      <c r="C1932" t="s">
        <v>62</v>
      </c>
      <c r="D1932" s="230">
        <v>0</v>
      </c>
      <c r="E1932" t="s">
        <v>720</v>
      </c>
    </row>
    <row r="1933" spans="1:5" hidden="1" x14ac:dyDescent="0.3">
      <c r="A1933" t="s">
        <v>557</v>
      </c>
      <c r="B1933" t="s">
        <v>719</v>
      </c>
      <c r="C1933" t="s">
        <v>64</v>
      </c>
      <c r="D1933" s="230">
        <v>0</v>
      </c>
      <c r="E1933" t="s">
        <v>720</v>
      </c>
    </row>
    <row r="1934" spans="1:5" hidden="1" x14ac:dyDescent="0.3">
      <c r="A1934" t="s">
        <v>557</v>
      </c>
      <c r="B1934" t="s">
        <v>719</v>
      </c>
      <c r="C1934" t="s">
        <v>65</v>
      </c>
      <c r="D1934" s="230">
        <v>0</v>
      </c>
      <c r="E1934" t="s">
        <v>720</v>
      </c>
    </row>
    <row r="1935" spans="1:5" hidden="1" x14ac:dyDescent="0.3">
      <c r="A1935" t="s">
        <v>557</v>
      </c>
      <c r="B1935" t="s">
        <v>719</v>
      </c>
      <c r="C1935" t="s">
        <v>66</v>
      </c>
      <c r="D1935" s="230">
        <v>0</v>
      </c>
      <c r="E1935" t="s">
        <v>720</v>
      </c>
    </row>
    <row r="1936" spans="1:5" hidden="1" x14ac:dyDescent="0.3">
      <c r="A1936" t="s">
        <v>557</v>
      </c>
      <c r="B1936" t="s">
        <v>719</v>
      </c>
      <c r="C1936" t="s">
        <v>68</v>
      </c>
      <c r="D1936" s="230">
        <v>0</v>
      </c>
      <c r="E1936" t="s">
        <v>720</v>
      </c>
    </row>
    <row r="1937" spans="1:5" hidden="1" x14ac:dyDescent="0.3">
      <c r="A1937" t="s">
        <v>557</v>
      </c>
      <c r="B1937" t="s">
        <v>719</v>
      </c>
      <c r="C1937" t="s">
        <v>69</v>
      </c>
      <c r="D1937" s="230">
        <v>0</v>
      </c>
      <c r="E1937" t="s">
        <v>720</v>
      </c>
    </row>
    <row r="1938" spans="1:5" hidden="1" x14ac:dyDescent="0.3">
      <c r="A1938" t="s">
        <v>557</v>
      </c>
      <c r="B1938" t="s">
        <v>719</v>
      </c>
      <c r="C1938" t="s">
        <v>70</v>
      </c>
      <c r="D1938" s="230">
        <v>-0.97</v>
      </c>
      <c r="E1938" t="s">
        <v>720</v>
      </c>
    </row>
    <row r="1939" spans="1:5" hidden="1" x14ac:dyDescent="0.3">
      <c r="A1939" t="s">
        <v>557</v>
      </c>
      <c r="B1939" t="s">
        <v>719</v>
      </c>
      <c r="C1939" t="s">
        <v>44</v>
      </c>
      <c r="D1939" s="230">
        <v>-0.02</v>
      </c>
      <c r="E1939" t="s">
        <v>720</v>
      </c>
    </row>
    <row r="1940" spans="1:5" hidden="1" x14ac:dyDescent="0.3">
      <c r="A1940" t="s">
        <v>557</v>
      </c>
      <c r="B1940" t="s">
        <v>719</v>
      </c>
      <c r="C1940" t="s">
        <v>71</v>
      </c>
      <c r="D1940" s="230">
        <v>0</v>
      </c>
      <c r="E1940" t="s">
        <v>720</v>
      </c>
    </row>
    <row r="1941" spans="1:5" hidden="1" x14ac:dyDescent="0.3">
      <c r="A1941" t="s">
        <v>557</v>
      </c>
      <c r="B1941" t="s">
        <v>719</v>
      </c>
      <c r="C1941" t="s">
        <v>72</v>
      </c>
      <c r="D1941" s="230">
        <v>0</v>
      </c>
      <c r="E1941" t="s">
        <v>720</v>
      </c>
    </row>
    <row r="1942" spans="1:5" hidden="1" x14ac:dyDescent="0.3">
      <c r="A1942" t="s">
        <v>557</v>
      </c>
      <c r="B1942" t="s">
        <v>719</v>
      </c>
      <c r="C1942" t="s">
        <v>73</v>
      </c>
      <c r="D1942" s="230">
        <v>0</v>
      </c>
      <c r="E1942" t="s">
        <v>720</v>
      </c>
    </row>
    <row r="1943" spans="1:5" hidden="1" x14ac:dyDescent="0.3">
      <c r="A1943" t="s">
        <v>557</v>
      </c>
      <c r="B1943" t="s">
        <v>719</v>
      </c>
      <c r="C1943" t="s">
        <v>75</v>
      </c>
      <c r="D1943" s="230">
        <v>0</v>
      </c>
      <c r="E1943" t="s">
        <v>720</v>
      </c>
    </row>
    <row r="1944" spans="1:5" hidden="1" x14ac:dyDescent="0.3">
      <c r="A1944" t="s">
        <v>557</v>
      </c>
      <c r="B1944" t="s">
        <v>719</v>
      </c>
      <c r="C1944" t="s">
        <v>77</v>
      </c>
      <c r="D1944" s="230">
        <v>0</v>
      </c>
      <c r="E1944" t="s">
        <v>720</v>
      </c>
    </row>
    <row r="1945" spans="1:5" hidden="1" x14ac:dyDescent="0.3">
      <c r="A1945" t="s">
        <v>557</v>
      </c>
      <c r="B1945" t="s">
        <v>719</v>
      </c>
      <c r="C1945" t="s">
        <v>78</v>
      </c>
      <c r="D1945" s="230">
        <v>0</v>
      </c>
      <c r="E1945" t="s">
        <v>720</v>
      </c>
    </row>
    <row r="1946" spans="1:5" hidden="1" x14ac:dyDescent="0.3">
      <c r="A1946" t="s">
        <v>557</v>
      </c>
      <c r="B1946" t="s">
        <v>719</v>
      </c>
      <c r="C1946" t="s">
        <v>80</v>
      </c>
      <c r="D1946" s="230">
        <v>0</v>
      </c>
      <c r="E1946" t="s">
        <v>720</v>
      </c>
    </row>
    <row r="1947" spans="1:5" hidden="1" x14ac:dyDescent="0.3">
      <c r="A1947" t="s">
        <v>557</v>
      </c>
      <c r="B1947" t="s">
        <v>719</v>
      </c>
      <c r="C1947" t="s">
        <v>82</v>
      </c>
      <c r="D1947" s="230">
        <v>0</v>
      </c>
      <c r="E1947" t="s">
        <v>720</v>
      </c>
    </row>
    <row r="1948" spans="1:5" hidden="1" x14ac:dyDescent="0.3">
      <c r="A1948" t="s">
        <v>557</v>
      </c>
      <c r="B1948" t="s">
        <v>719</v>
      </c>
      <c r="C1948" t="s">
        <v>84</v>
      </c>
      <c r="D1948" s="230">
        <v>0</v>
      </c>
      <c r="E1948" t="s">
        <v>720</v>
      </c>
    </row>
    <row r="1949" spans="1:5" hidden="1" x14ac:dyDescent="0.3">
      <c r="A1949" t="s">
        <v>557</v>
      </c>
      <c r="B1949" t="s">
        <v>719</v>
      </c>
      <c r="C1949" t="s">
        <v>85</v>
      </c>
      <c r="D1949" s="230">
        <v>0</v>
      </c>
      <c r="E1949" t="s">
        <v>720</v>
      </c>
    </row>
    <row r="1950" spans="1:5" hidden="1" x14ac:dyDescent="0.3">
      <c r="A1950" t="s">
        <v>557</v>
      </c>
      <c r="B1950" t="s">
        <v>719</v>
      </c>
      <c r="C1950" t="s">
        <v>86</v>
      </c>
      <c r="D1950" s="230">
        <v>0</v>
      </c>
      <c r="E1950" t="s">
        <v>720</v>
      </c>
    </row>
    <row r="1951" spans="1:5" hidden="1" x14ac:dyDescent="0.3">
      <c r="A1951" t="s">
        <v>557</v>
      </c>
      <c r="B1951" t="s">
        <v>719</v>
      </c>
      <c r="C1951" t="s">
        <v>87</v>
      </c>
      <c r="D1951" s="230">
        <v>0</v>
      </c>
      <c r="E1951" t="s">
        <v>720</v>
      </c>
    </row>
    <row r="1952" spans="1:5" hidden="1" x14ac:dyDescent="0.3">
      <c r="A1952" t="s">
        <v>557</v>
      </c>
      <c r="B1952" t="s">
        <v>719</v>
      </c>
      <c r="C1952" t="s">
        <v>88</v>
      </c>
      <c r="D1952" s="230">
        <v>0</v>
      </c>
      <c r="E1952" t="s">
        <v>720</v>
      </c>
    </row>
    <row r="1953" spans="1:5" hidden="1" x14ac:dyDescent="0.3">
      <c r="A1953" t="s">
        <v>557</v>
      </c>
      <c r="B1953" t="s">
        <v>719</v>
      </c>
      <c r="C1953" t="s">
        <v>89</v>
      </c>
      <c r="D1953" s="230">
        <v>0</v>
      </c>
      <c r="E1953" t="s">
        <v>720</v>
      </c>
    </row>
    <row r="1954" spans="1:5" hidden="1" x14ac:dyDescent="0.3">
      <c r="A1954" t="s">
        <v>557</v>
      </c>
      <c r="B1954" t="s">
        <v>719</v>
      </c>
      <c r="C1954" t="s">
        <v>90</v>
      </c>
      <c r="D1954" s="230">
        <v>0</v>
      </c>
      <c r="E1954" t="s">
        <v>720</v>
      </c>
    </row>
    <row r="1955" spans="1:5" hidden="1" x14ac:dyDescent="0.3">
      <c r="A1955" t="s">
        <v>557</v>
      </c>
      <c r="B1955" t="s">
        <v>719</v>
      </c>
      <c r="C1955" t="s">
        <v>91</v>
      </c>
      <c r="D1955" s="230">
        <v>0</v>
      </c>
      <c r="E1955" t="s">
        <v>720</v>
      </c>
    </row>
    <row r="1956" spans="1:5" hidden="1" x14ac:dyDescent="0.3">
      <c r="A1956" t="s">
        <v>557</v>
      </c>
      <c r="B1956" t="s">
        <v>719</v>
      </c>
      <c r="C1956" t="s">
        <v>93</v>
      </c>
      <c r="D1956" s="230">
        <v>0</v>
      </c>
      <c r="E1956" t="s">
        <v>720</v>
      </c>
    </row>
    <row r="1957" spans="1:5" hidden="1" x14ac:dyDescent="0.3">
      <c r="A1957" t="s">
        <v>557</v>
      </c>
      <c r="B1957" t="s">
        <v>719</v>
      </c>
      <c r="C1957" t="s">
        <v>95</v>
      </c>
      <c r="D1957" s="230">
        <v>0</v>
      </c>
      <c r="E1957" t="s">
        <v>720</v>
      </c>
    </row>
    <row r="1958" spans="1:5" hidden="1" x14ac:dyDescent="0.3">
      <c r="A1958" t="s">
        <v>557</v>
      </c>
      <c r="B1958" t="s">
        <v>719</v>
      </c>
      <c r="C1958" t="s">
        <v>96</v>
      </c>
      <c r="D1958" s="230">
        <v>0</v>
      </c>
      <c r="E1958" t="s">
        <v>720</v>
      </c>
    </row>
    <row r="1959" spans="1:5" hidden="1" x14ac:dyDescent="0.3">
      <c r="A1959" t="s">
        <v>557</v>
      </c>
      <c r="B1959" t="s">
        <v>719</v>
      </c>
      <c r="C1959" t="s">
        <v>98</v>
      </c>
      <c r="D1959" s="230">
        <v>0</v>
      </c>
      <c r="E1959" t="s">
        <v>720</v>
      </c>
    </row>
    <row r="1960" spans="1:5" hidden="1" x14ac:dyDescent="0.3">
      <c r="A1960" t="s">
        <v>557</v>
      </c>
      <c r="B1960" t="s">
        <v>719</v>
      </c>
      <c r="C1960" t="s">
        <v>100</v>
      </c>
      <c r="D1960" s="230">
        <v>0</v>
      </c>
      <c r="E1960" t="s">
        <v>720</v>
      </c>
    </row>
    <row r="1961" spans="1:5" hidden="1" x14ac:dyDescent="0.3">
      <c r="A1961" t="s">
        <v>557</v>
      </c>
      <c r="B1961" t="s">
        <v>719</v>
      </c>
      <c r="C1961" t="s">
        <v>101</v>
      </c>
      <c r="D1961" s="230">
        <v>0</v>
      </c>
      <c r="E1961" t="s">
        <v>720</v>
      </c>
    </row>
    <row r="1962" spans="1:5" hidden="1" x14ac:dyDescent="0.3">
      <c r="A1962" t="s">
        <v>557</v>
      </c>
      <c r="B1962" t="s">
        <v>719</v>
      </c>
      <c r="C1962" t="s">
        <v>102</v>
      </c>
      <c r="D1962" s="230">
        <v>0</v>
      </c>
      <c r="E1962" t="s">
        <v>720</v>
      </c>
    </row>
    <row r="1963" spans="1:5" hidden="1" x14ac:dyDescent="0.3">
      <c r="A1963" t="s">
        <v>557</v>
      </c>
      <c r="B1963" t="s">
        <v>719</v>
      </c>
      <c r="C1963" t="s">
        <v>103</v>
      </c>
      <c r="D1963" s="230">
        <v>0</v>
      </c>
      <c r="E1963" t="s">
        <v>720</v>
      </c>
    </row>
    <row r="1964" spans="1:5" hidden="1" x14ac:dyDescent="0.3">
      <c r="A1964" t="s">
        <v>557</v>
      </c>
      <c r="B1964" t="s">
        <v>719</v>
      </c>
      <c r="C1964" t="s">
        <v>104</v>
      </c>
      <c r="D1964" s="230">
        <v>0</v>
      </c>
      <c r="E1964" t="s">
        <v>720</v>
      </c>
    </row>
    <row r="1965" spans="1:5" hidden="1" x14ac:dyDescent="0.3">
      <c r="A1965" t="s">
        <v>557</v>
      </c>
      <c r="B1965" t="s">
        <v>719</v>
      </c>
      <c r="C1965" t="s">
        <v>105</v>
      </c>
      <c r="D1965" s="230">
        <v>0</v>
      </c>
      <c r="E1965" t="s">
        <v>720</v>
      </c>
    </row>
    <row r="1966" spans="1:5" hidden="1" x14ac:dyDescent="0.3">
      <c r="A1966" t="s">
        <v>557</v>
      </c>
      <c r="B1966" t="s">
        <v>719</v>
      </c>
      <c r="C1966" t="s">
        <v>107</v>
      </c>
      <c r="D1966" s="230">
        <v>0</v>
      </c>
      <c r="E1966" t="s">
        <v>720</v>
      </c>
    </row>
    <row r="1967" spans="1:5" hidden="1" x14ac:dyDescent="0.3">
      <c r="A1967" t="s">
        <v>557</v>
      </c>
      <c r="B1967" t="s">
        <v>719</v>
      </c>
      <c r="C1967" t="s">
        <v>108</v>
      </c>
      <c r="D1967" s="230">
        <v>0</v>
      </c>
      <c r="E1967" t="s">
        <v>720</v>
      </c>
    </row>
    <row r="1968" spans="1:5" hidden="1" x14ac:dyDescent="0.3">
      <c r="A1968" t="s">
        <v>557</v>
      </c>
      <c r="B1968" t="s">
        <v>719</v>
      </c>
      <c r="C1968" t="s">
        <v>109</v>
      </c>
      <c r="D1968" s="230">
        <v>0</v>
      </c>
      <c r="E1968" t="s">
        <v>720</v>
      </c>
    </row>
    <row r="1969" spans="1:5" hidden="1" x14ac:dyDescent="0.3">
      <c r="A1969" t="s">
        <v>557</v>
      </c>
      <c r="B1969" t="s">
        <v>719</v>
      </c>
      <c r="C1969" t="s">
        <v>110</v>
      </c>
      <c r="D1969" s="230">
        <v>0</v>
      </c>
      <c r="E1969" t="s">
        <v>720</v>
      </c>
    </row>
    <row r="1970" spans="1:5" hidden="1" x14ac:dyDescent="0.3">
      <c r="A1970" t="s">
        <v>557</v>
      </c>
      <c r="B1970" t="s">
        <v>719</v>
      </c>
      <c r="C1970" t="s">
        <v>44</v>
      </c>
      <c r="D1970" s="230">
        <v>0</v>
      </c>
      <c r="E1970" t="s">
        <v>720</v>
      </c>
    </row>
    <row r="1971" spans="1:5" hidden="1" x14ac:dyDescent="0.3">
      <c r="A1971" t="s">
        <v>557</v>
      </c>
      <c r="B1971" t="s">
        <v>719</v>
      </c>
      <c r="C1971" t="s">
        <v>111</v>
      </c>
      <c r="D1971" s="230">
        <v>-33062.58</v>
      </c>
      <c r="E1971" t="s">
        <v>720</v>
      </c>
    </row>
    <row r="1972" spans="1:5" hidden="1" x14ac:dyDescent="0.3">
      <c r="A1972" t="s">
        <v>557</v>
      </c>
      <c r="B1972" t="s">
        <v>719</v>
      </c>
      <c r="C1972" t="s">
        <v>608</v>
      </c>
      <c r="D1972" s="230">
        <v>-33062.58</v>
      </c>
      <c r="E1972" t="s">
        <v>720</v>
      </c>
    </row>
    <row r="1973" spans="1:5" hidden="1" x14ac:dyDescent="0.3">
      <c r="A1973" t="s">
        <v>557</v>
      </c>
      <c r="B1973" t="s">
        <v>719</v>
      </c>
      <c r="C1973" t="s">
        <v>44</v>
      </c>
      <c r="D1973" s="230">
        <v>-0.08</v>
      </c>
      <c r="E1973" t="s">
        <v>720</v>
      </c>
    </row>
    <row r="1974" spans="1:5" hidden="1" x14ac:dyDescent="0.3">
      <c r="A1974" t="s">
        <v>557</v>
      </c>
      <c r="B1974" t="s">
        <v>719</v>
      </c>
      <c r="C1974" t="s">
        <v>115</v>
      </c>
      <c r="D1974" s="230">
        <v>-4715.4399999999996</v>
      </c>
      <c r="E1974" t="s">
        <v>720</v>
      </c>
    </row>
    <row r="1975" spans="1:5" hidden="1" x14ac:dyDescent="0.3">
      <c r="A1975" t="s">
        <v>557</v>
      </c>
      <c r="B1975" t="s">
        <v>719</v>
      </c>
      <c r="C1975" t="s">
        <v>116</v>
      </c>
      <c r="D1975" s="230">
        <v>-4605.41</v>
      </c>
      <c r="E1975" t="s">
        <v>720</v>
      </c>
    </row>
    <row r="1976" spans="1:5" hidden="1" x14ac:dyDescent="0.3">
      <c r="A1976" t="s">
        <v>557</v>
      </c>
      <c r="B1976" t="s">
        <v>719</v>
      </c>
      <c r="C1976" t="s">
        <v>118</v>
      </c>
      <c r="D1976" s="230">
        <v>0</v>
      </c>
      <c r="E1976" t="s">
        <v>720</v>
      </c>
    </row>
    <row r="1977" spans="1:5" hidden="1" x14ac:dyDescent="0.3">
      <c r="A1977" t="s">
        <v>557</v>
      </c>
      <c r="B1977" t="s">
        <v>719</v>
      </c>
      <c r="C1977" t="s">
        <v>120</v>
      </c>
      <c r="D1977" s="230">
        <v>0</v>
      </c>
      <c r="E1977" t="s">
        <v>720</v>
      </c>
    </row>
    <row r="1978" spans="1:5" hidden="1" x14ac:dyDescent="0.3">
      <c r="A1978" t="s">
        <v>557</v>
      </c>
      <c r="B1978" t="s">
        <v>719</v>
      </c>
      <c r="C1978" t="s">
        <v>122</v>
      </c>
      <c r="D1978" s="230">
        <v>-110.03</v>
      </c>
      <c r="E1978" t="s">
        <v>720</v>
      </c>
    </row>
    <row r="1979" spans="1:5" hidden="1" x14ac:dyDescent="0.3">
      <c r="A1979" t="s">
        <v>557</v>
      </c>
      <c r="B1979" t="s">
        <v>719</v>
      </c>
      <c r="C1979" t="s">
        <v>44</v>
      </c>
      <c r="D1979" s="230">
        <v>-0.01</v>
      </c>
      <c r="E1979" t="s">
        <v>720</v>
      </c>
    </row>
    <row r="1980" spans="1:5" hidden="1" x14ac:dyDescent="0.3">
      <c r="A1980" t="s">
        <v>557</v>
      </c>
      <c r="B1980" t="s">
        <v>719</v>
      </c>
      <c r="C1980" t="s">
        <v>126</v>
      </c>
      <c r="D1980" s="230">
        <v>232659.23</v>
      </c>
      <c r="E1980" t="s">
        <v>720</v>
      </c>
    </row>
    <row r="1981" spans="1:5" hidden="1" x14ac:dyDescent="0.3">
      <c r="A1981" t="s">
        <v>557</v>
      </c>
      <c r="B1981" t="s">
        <v>719</v>
      </c>
      <c r="C1981" t="s">
        <v>127</v>
      </c>
      <c r="D1981" s="230">
        <v>0.56000000000000005</v>
      </c>
      <c r="E1981" t="s">
        <v>720</v>
      </c>
    </row>
    <row r="1982" spans="1:5" hidden="1" x14ac:dyDescent="0.3">
      <c r="A1982" t="s">
        <v>557</v>
      </c>
      <c r="B1982" t="s">
        <v>719</v>
      </c>
      <c r="C1982" t="s">
        <v>128</v>
      </c>
      <c r="D1982" s="230">
        <v>-106166.03</v>
      </c>
      <c r="E1982" t="s">
        <v>720</v>
      </c>
    </row>
    <row r="1983" spans="1:5" hidden="1" x14ac:dyDescent="0.3">
      <c r="A1983" t="s">
        <v>557</v>
      </c>
      <c r="B1983" t="s">
        <v>719</v>
      </c>
      <c r="C1983" t="s">
        <v>129</v>
      </c>
      <c r="D1983" s="230">
        <v>-32200</v>
      </c>
      <c r="E1983" t="s">
        <v>720</v>
      </c>
    </row>
    <row r="1984" spans="1:5" hidden="1" x14ac:dyDescent="0.3">
      <c r="A1984" t="s">
        <v>557</v>
      </c>
      <c r="B1984" t="s">
        <v>719</v>
      </c>
      <c r="C1984" t="s">
        <v>609</v>
      </c>
      <c r="D1984" s="230">
        <v>-600</v>
      </c>
      <c r="E1984" t="s">
        <v>720</v>
      </c>
    </row>
    <row r="1985" spans="1:5" hidden="1" x14ac:dyDescent="0.3">
      <c r="A1985" t="s">
        <v>557</v>
      </c>
      <c r="B1985" t="s">
        <v>719</v>
      </c>
      <c r="C1985" t="s">
        <v>610</v>
      </c>
      <c r="D1985" s="230">
        <v>-17600</v>
      </c>
      <c r="E1985" t="s">
        <v>720</v>
      </c>
    </row>
    <row r="1986" spans="1:5" hidden="1" x14ac:dyDescent="0.3">
      <c r="A1986" t="s">
        <v>557</v>
      </c>
      <c r="B1986" t="s">
        <v>719</v>
      </c>
      <c r="C1986" t="s">
        <v>611</v>
      </c>
      <c r="D1986" s="230">
        <v>0</v>
      </c>
      <c r="E1986" t="s">
        <v>720</v>
      </c>
    </row>
    <row r="1987" spans="1:5" hidden="1" x14ac:dyDescent="0.3">
      <c r="A1987" t="s">
        <v>557</v>
      </c>
      <c r="B1987" t="s">
        <v>719</v>
      </c>
      <c r="C1987" t="s">
        <v>612</v>
      </c>
      <c r="D1987" s="230">
        <v>-4000</v>
      </c>
      <c r="E1987" t="s">
        <v>720</v>
      </c>
    </row>
    <row r="1988" spans="1:5" hidden="1" x14ac:dyDescent="0.3">
      <c r="A1988" t="s">
        <v>557</v>
      </c>
      <c r="B1988" t="s">
        <v>719</v>
      </c>
      <c r="C1988" t="s">
        <v>613</v>
      </c>
      <c r="D1988" s="230">
        <v>-1200</v>
      </c>
      <c r="E1988" t="s">
        <v>720</v>
      </c>
    </row>
    <row r="1989" spans="1:5" hidden="1" x14ac:dyDescent="0.3">
      <c r="A1989" t="s">
        <v>557</v>
      </c>
      <c r="B1989" t="s">
        <v>719</v>
      </c>
      <c r="C1989" t="s">
        <v>614</v>
      </c>
      <c r="D1989" s="230">
        <v>0</v>
      </c>
      <c r="E1989" t="s">
        <v>720</v>
      </c>
    </row>
    <row r="1990" spans="1:5" hidden="1" x14ac:dyDescent="0.3">
      <c r="A1990" t="s">
        <v>557</v>
      </c>
      <c r="B1990" t="s">
        <v>719</v>
      </c>
      <c r="C1990" t="s">
        <v>615</v>
      </c>
      <c r="D1990" s="230">
        <v>0</v>
      </c>
      <c r="E1990" t="s">
        <v>720</v>
      </c>
    </row>
    <row r="1991" spans="1:5" hidden="1" x14ac:dyDescent="0.3">
      <c r="A1991" t="s">
        <v>557</v>
      </c>
      <c r="B1991" t="s">
        <v>719</v>
      </c>
      <c r="C1991" t="s">
        <v>616</v>
      </c>
      <c r="D1991" s="230">
        <v>-8800</v>
      </c>
      <c r="E1991" t="s">
        <v>720</v>
      </c>
    </row>
    <row r="1992" spans="1:5" hidden="1" x14ac:dyDescent="0.3">
      <c r="A1992" t="s">
        <v>557</v>
      </c>
      <c r="B1992" t="s">
        <v>719</v>
      </c>
      <c r="C1992" t="s">
        <v>617</v>
      </c>
      <c r="D1992" s="230">
        <v>0</v>
      </c>
      <c r="E1992" t="s">
        <v>720</v>
      </c>
    </row>
    <row r="1993" spans="1:5" hidden="1" x14ac:dyDescent="0.3">
      <c r="A1993" t="s">
        <v>557</v>
      </c>
      <c r="B1993" t="s">
        <v>719</v>
      </c>
      <c r="C1993" t="s">
        <v>618</v>
      </c>
      <c r="D1993" s="230">
        <v>0</v>
      </c>
      <c r="E1993" t="s">
        <v>720</v>
      </c>
    </row>
    <row r="1994" spans="1:5" hidden="1" x14ac:dyDescent="0.3">
      <c r="A1994" t="s">
        <v>557</v>
      </c>
      <c r="B1994" t="s">
        <v>719</v>
      </c>
      <c r="C1994" t="s">
        <v>619</v>
      </c>
      <c r="D1994" s="230">
        <v>0</v>
      </c>
      <c r="E1994" t="s">
        <v>720</v>
      </c>
    </row>
    <row r="1995" spans="1:5" hidden="1" x14ac:dyDescent="0.3">
      <c r="A1995" t="s">
        <v>557</v>
      </c>
      <c r="B1995" t="s">
        <v>719</v>
      </c>
      <c r="C1995" t="s">
        <v>620</v>
      </c>
      <c r="D1995" s="230">
        <v>0</v>
      </c>
      <c r="E1995" t="s">
        <v>720</v>
      </c>
    </row>
    <row r="1996" spans="1:5" hidden="1" x14ac:dyDescent="0.3">
      <c r="A1996" t="s">
        <v>557</v>
      </c>
      <c r="B1996" t="s">
        <v>719</v>
      </c>
      <c r="C1996" t="s">
        <v>575</v>
      </c>
      <c r="D1996" s="230">
        <v>-36799.58</v>
      </c>
      <c r="E1996" t="s">
        <v>720</v>
      </c>
    </row>
    <row r="1997" spans="1:5" hidden="1" x14ac:dyDescent="0.3">
      <c r="A1997" t="s">
        <v>557</v>
      </c>
      <c r="B1997" t="s">
        <v>719</v>
      </c>
      <c r="C1997" t="s">
        <v>621</v>
      </c>
      <c r="D1997" s="230">
        <v>0</v>
      </c>
      <c r="E1997" t="s">
        <v>720</v>
      </c>
    </row>
    <row r="1998" spans="1:5" hidden="1" x14ac:dyDescent="0.3">
      <c r="A1998" t="s">
        <v>557</v>
      </c>
      <c r="B1998" t="s">
        <v>719</v>
      </c>
      <c r="C1998" t="s">
        <v>622</v>
      </c>
      <c r="D1998" s="230">
        <v>0</v>
      </c>
      <c r="E1998" t="s">
        <v>720</v>
      </c>
    </row>
    <row r="1999" spans="1:5" hidden="1" x14ac:dyDescent="0.3">
      <c r="A1999" t="s">
        <v>557</v>
      </c>
      <c r="B1999" t="s">
        <v>719</v>
      </c>
      <c r="C1999" t="s">
        <v>623</v>
      </c>
      <c r="D1999" s="230">
        <v>0</v>
      </c>
      <c r="E1999" t="s">
        <v>720</v>
      </c>
    </row>
    <row r="2000" spans="1:5" hidden="1" x14ac:dyDescent="0.3">
      <c r="A2000" t="s">
        <v>557</v>
      </c>
      <c r="B2000" t="s">
        <v>719</v>
      </c>
      <c r="C2000" t="s">
        <v>624</v>
      </c>
      <c r="D2000" s="230">
        <v>0</v>
      </c>
      <c r="E2000" t="s">
        <v>720</v>
      </c>
    </row>
    <row r="2001" spans="1:5" hidden="1" x14ac:dyDescent="0.3">
      <c r="A2001" t="s">
        <v>557</v>
      </c>
      <c r="B2001" t="s">
        <v>719</v>
      </c>
      <c r="C2001" t="s">
        <v>625</v>
      </c>
      <c r="D2001" s="230">
        <v>0</v>
      </c>
      <c r="E2001" t="s">
        <v>720</v>
      </c>
    </row>
    <row r="2002" spans="1:5" hidden="1" x14ac:dyDescent="0.3">
      <c r="A2002" t="s">
        <v>557</v>
      </c>
      <c r="B2002" t="s">
        <v>719</v>
      </c>
      <c r="C2002" t="s">
        <v>626</v>
      </c>
      <c r="D2002" s="230">
        <v>0</v>
      </c>
      <c r="E2002" t="s">
        <v>720</v>
      </c>
    </row>
    <row r="2003" spans="1:5" hidden="1" x14ac:dyDescent="0.3">
      <c r="A2003" t="s">
        <v>557</v>
      </c>
      <c r="B2003" t="s">
        <v>719</v>
      </c>
      <c r="C2003" t="s">
        <v>627</v>
      </c>
      <c r="D2003" s="230">
        <v>0</v>
      </c>
      <c r="E2003" t="s">
        <v>720</v>
      </c>
    </row>
    <row r="2004" spans="1:5" hidden="1" x14ac:dyDescent="0.3">
      <c r="A2004" t="s">
        <v>557</v>
      </c>
      <c r="B2004" t="s">
        <v>719</v>
      </c>
      <c r="C2004" t="s">
        <v>628</v>
      </c>
      <c r="D2004" s="230">
        <v>0</v>
      </c>
      <c r="E2004" t="s">
        <v>720</v>
      </c>
    </row>
    <row r="2005" spans="1:5" hidden="1" x14ac:dyDescent="0.3">
      <c r="A2005" t="s">
        <v>557</v>
      </c>
      <c r="B2005" t="s">
        <v>719</v>
      </c>
      <c r="C2005" t="s">
        <v>629</v>
      </c>
      <c r="D2005" s="230">
        <v>0</v>
      </c>
      <c r="E2005" t="s">
        <v>720</v>
      </c>
    </row>
    <row r="2006" spans="1:5" hidden="1" x14ac:dyDescent="0.3">
      <c r="A2006" t="s">
        <v>557</v>
      </c>
      <c r="B2006" t="s">
        <v>719</v>
      </c>
      <c r="C2006" t="s">
        <v>630</v>
      </c>
      <c r="D2006" s="230">
        <v>0</v>
      </c>
      <c r="E2006" t="s">
        <v>720</v>
      </c>
    </row>
    <row r="2007" spans="1:5" hidden="1" x14ac:dyDescent="0.3">
      <c r="A2007" t="s">
        <v>557</v>
      </c>
      <c r="B2007" t="s">
        <v>719</v>
      </c>
      <c r="C2007" t="s">
        <v>631</v>
      </c>
      <c r="D2007" s="230">
        <v>0</v>
      </c>
      <c r="E2007" t="s">
        <v>720</v>
      </c>
    </row>
    <row r="2008" spans="1:5" hidden="1" x14ac:dyDescent="0.3">
      <c r="A2008" t="s">
        <v>557</v>
      </c>
      <c r="B2008" t="s">
        <v>719</v>
      </c>
      <c r="C2008" t="s">
        <v>632</v>
      </c>
      <c r="D2008" s="230">
        <v>0</v>
      </c>
      <c r="E2008" t="s">
        <v>720</v>
      </c>
    </row>
    <row r="2009" spans="1:5" hidden="1" x14ac:dyDescent="0.3">
      <c r="A2009" t="s">
        <v>557</v>
      </c>
      <c r="B2009" t="s">
        <v>719</v>
      </c>
      <c r="C2009" t="s">
        <v>633</v>
      </c>
      <c r="D2009" s="230">
        <v>0</v>
      </c>
      <c r="E2009" t="s">
        <v>720</v>
      </c>
    </row>
    <row r="2010" spans="1:5" hidden="1" x14ac:dyDescent="0.3">
      <c r="A2010" t="s">
        <v>557</v>
      </c>
      <c r="B2010" t="s">
        <v>719</v>
      </c>
      <c r="C2010" t="s">
        <v>634</v>
      </c>
      <c r="D2010" s="230">
        <v>0</v>
      </c>
      <c r="E2010" t="s">
        <v>720</v>
      </c>
    </row>
    <row r="2011" spans="1:5" hidden="1" x14ac:dyDescent="0.3">
      <c r="A2011" t="s">
        <v>557</v>
      </c>
      <c r="B2011" t="s">
        <v>719</v>
      </c>
      <c r="C2011" t="s">
        <v>635</v>
      </c>
      <c r="D2011" s="230">
        <v>0</v>
      </c>
      <c r="E2011" t="s">
        <v>720</v>
      </c>
    </row>
    <row r="2012" spans="1:5" hidden="1" x14ac:dyDescent="0.3">
      <c r="A2012" t="s">
        <v>557</v>
      </c>
      <c r="B2012" t="s">
        <v>719</v>
      </c>
      <c r="C2012" t="s">
        <v>636</v>
      </c>
      <c r="D2012" s="230">
        <v>0</v>
      </c>
      <c r="E2012" t="s">
        <v>720</v>
      </c>
    </row>
    <row r="2013" spans="1:5" hidden="1" x14ac:dyDescent="0.3">
      <c r="A2013" t="s">
        <v>557</v>
      </c>
      <c r="B2013" t="s">
        <v>719</v>
      </c>
      <c r="C2013" t="s">
        <v>637</v>
      </c>
      <c r="D2013" s="230">
        <v>0</v>
      </c>
      <c r="E2013" t="s">
        <v>720</v>
      </c>
    </row>
    <row r="2014" spans="1:5" hidden="1" x14ac:dyDescent="0.3">
      <c r="A2014" t="s">
        <v>557</v>
      </c>
      <c r="B2014" t="s">
        <v>719</v>
      </c>
      <c r="C2014" t="s">
        <v>638</v>
      </c>
      <c r="D2014" s="230">
        <v>0</v>
      </c>
      <c r="E2014" t="s">
        <v>720</v>
      </c>
    </row>
    <row r="2015" spans="1:5" hidden="1" x14ac:dyDescent="0.3">
      <c r="A2015" t="s">
        <v>557</v>
      </c>
      <c r="B2015" t="s">
        <v>719</v>
      </c>
      <c r="C2015" t="s">
        <v>639</v>
      </c>
      <c r="D2015" s="230">
        <v>0</v>
      </c>
      <c r="E2015" t="s">
        <v>720</v>
      </c>
    </row>
    <row r="2016" spans="1:5" hidden="1" x14ac:dyDescent="0.3">
      <c r="A2016" t="s">
        <v>557</v>
      </c>
      <c r="B2016" t="s">
        <v>719</v>
      </c>
      <c r="C2016" t="s">
        <v>640</v>
      </c>
      <c r="D2016" s="230">
        <v>0</v>
      </c>
      <c r="E2016" t="s">
        <v>720</v>
      </c>
    </row>
    <row r="2017" spans="1:5" hidden="1" x14ac:dyDescent="0.3">
      <c r="A2017" t="s">
        <v>557</v>
      </c>
      <c r="B2017" t="s">
        <v>719</v>
      </c>
      <c r="C2017" t="s">
        <v>641</v>
      </c>
      <c r="D2017" s="230">
        <v>0</v>
      </c>
      <c r="E2017" t="s">
        <v>720</v>
      </c>
    </row>
    <row r="2018" spans="1:5" hidden="1" x14ac:dyDescent="0.3">
      <c r="A2018" t="s">
        <v>557</v>
      </c>
      <c r="B2018" t="s">
        <v>719</v>
      </c>
      <c r="C2018" t="s">
        <v>642</v>
      </c>
      <c r="D2018" s="230">
        <v>0</v>
      </c>
      <c r="E2018" t="s">
        <v>720</v>
      </c>
    </row>
    <row r="2019" spans="1:5" hidden="1" x14ac:dyDescent="0.3">
      <c r="A2019" t="s">
        <v>557</v>
      </c>
      <c r="B2019" t="s">
        <v>719</v>
      </c>
      <c r="C2019" t="s">
        <v>643</v>
      </c>
      <c r="D2019" s="230">
        <v>0</v>
      </c>
      <c r="E2019" t="s">
        <v>720</v>
      </c>
    </row>
    <row r="2020" spans="1:5" hidden="1" x14ac:dyDescent="0.3">
      <c r="A2020" t="s">
        <v>557</v>
      </c>
      <c r="B2020" t="s">
        <v>719</v>
      </c>
      <c r="C2020" t="s">
        <v>644</v>
      </c>
      <c r="D2020" s="230">
        <v>0</v>
      </c>
      <c r="E2020" t="s">
        <v>720</v>
      </c>
    </row>
    <row r="2021" spans="1:5" hidden="1" x14ac:dyDescent="0.3">
      <c r="A2021" t="s">
        <v>557</v>
      </c>
      <c r="B2021" t="s">
        <v>719</v>
      </c>
      <c r="C2021" t="s">
        <v>645</v>
      </c>
      <c r="D2021" s="230">
        <v>0</v>
      </c>
      <c r="E2021" t="s">
        <v>720</v>
      </c>
    </row>
    <row r="2022" spans="1:5" hidden="1" x14ac:dyDescent="0.3">
      <c r="A2022" t="s">
        <v>557</v>
      </c>
      <c r="B2022" t="s">
        <v>719</v>
      </c>
      <c r="C2022" t="s">
        <v>646</v>
      </c>
      <c r="D2022" s="230">
        <v>0</v>
      </c>
      <c r="E2022" t="s">
        <v>720</v>
      </c>
    </row>
    <row r="2023" spans="1:5" hidden="1" x14ac:dyDescent="0.3">
      <c r="A2023" t="s">
        <v>557</v>
      </c>
      <c r="B2023" t="s">
        <v>719</v>
      </c>
      <c r="C2023" t="s">
        <v>647</v>
      </c>
      <c r="D2023" s="230">
        <v>0</v>
      </c>
      <c r="E2023" t="s">
        <v>720</v>
      </c>
    </row>
    <row r="2024" spans="1:5" hidden="1" x14ac:dyDescent="0.3">
      <c r="A2024" t="s">
        <v>557</v>
      </c>
      <c r="B2024" t="s">
        <v>719</v>
      </c>
      <c r="C2024" t="s">
        <v>648</v>
      </c>
      <c r="D2024" s="230">
        <v>0</v>
      </c>
      <c r="E2024" t="s">
        <v>720</v>
      </c>
    </row>
    <row r="2025" spans="1:5" hidden="1" x14ac:dyDescent="0.3">
      <c r="A2025" t="s">
        <v>557</v>
      </c>
      <c r="B2025" t="s">
        <v>719</v>
      </c>
      <c r="C2025" t="s">
        <v>649</v>
      </c>
      <c r="D2025" s="230">
        <v>0</v>
      </c>
      <c r="E2025" t="s">
        <v>720</v>
      </c>
    </row>
    <row r="2026" spans="1:5" hidden="1" x14ac:dyDescent="0.3">
      <c r="A2026" t="s">
        <v>557</v>
      </c>
      <c r="B2026" t="s">
        <v>719</v>
      </c>
      <c r="C2026" t="s">
        <v>650</v>
      </c>
      <c r="D2026" s="230">
        <v>0</v>
      </c>
      <c r="E2026" t="s">
        <v>720</v>
      </c>
    </row>
    <row r="2027" spans="1:5" hidden="1" x14ac:dyDescent="0.3">
      <c r="A2027" t="s">
        <v>557</v>
      </c>
      <c r="B2027" t="s">
        <v>719</v>
      </c>
      <c r="C2027" t="s">
        <v>651</v>
      </c>
      <c r="D2027" s="230">
        <v>0</v>
      </c>
      <c r="E2027" t="s">
        <v>720</v>
      </c>
    </row>
    <row r="2028" spans="1:5" hidden="1" x14ac:dyDescent="0.3">
      <c r="A2028" t="s">
        <v>557</v>
      </c>
      <c r="B2028" t="s">
        <v>719</v>
      </c>
      <c r="C2028" t="s">
        <v>652</v>
      </c>
      <c r="D2028" s="230">
        <v>0</v>
      </c>
      <c r="E2028" t="s">
        <v>720</v>
      </c>
    </row>
    <row r="2029" spans="1:5" hidden="1" x14ac:dyDescent="0.3">
      <c r="A2029" t="s">
        <v>557</v>
      </c>
      <c r="B2029" t="s">
        <v>719</v>
      </c>
      <c r="C2029" t="s">
        <v>653</v>
      </c>
      <c r="D2029" s="230">
        <v>0</v>
      </c>
      <c r="E2029" t="s">
        <v>720</v>
      </c>
    </row>
    <row r="2030" spans="1:5" hidden="1" x14ac:dyDescent="0.3">
      <c r="A2030" t="s">
        <v>557</v>
      </c>
      <c r="B2030" t="s">
        <v>719</v>
      </c>
      <c r="C2030" t="s">
        <v>654</v>
      </c>
      <c r="D2030" s="230">
        <v>0</v>
      </c>
      <c r="E2030" t="s">
        <v>720</v>
      </c>
    </row>
    <row r="2031" spans="1:5" hidden="1" x14ac:dyDescent="0.3">
      <c r="A2031" t="s">
        <v>557</v>
      </c>
      <c r="B2031" t="s">
        <v>719</v>
      </c>
      <c r="C2031" t="s">
        <v>655</v>
      </c>
      <c r="D2031" s="230">
        <v>0</v>
      </c>
      <c r="E2031" t="s">
        <v>720</v>
      </c>
    </row>
    <row r="2032" spans="1:5" hidden="1" x14ac:dyDescent="0.3">
      <c r="A2032" t="s">
        <v>557</v>
      </c>
      <c r="B2032" t="s">
        <v>719</v>
      </c>
      <c r="C2032" t="s">
        <v>656</v>
      </c>
      <c r="D2032" s="230">
        <v>0</v>
      </c>
      <c r="E2032" t="s">
        <v>720</v>
      </c>
    </row>
    <row r="2033" spans="1:5" hidden="1" x14ac:dyDescent="0.3">
      <c r="A2033" t="s">
        <v>557</v>
      </c>
      <c r="B2033" t="s">
        <v>719</v>
      </c>
      <c r="C2033" t="s">
        <v>657</v>
      </c>
      <c r="D2033" s="230">
        <v>0</v>
      </c>
      <c r="E2033" t="s">
        <v>720</v>
      </c>
    </row>
    <row r="2034" spans="1:5" hidden="1" x14ac:dyDescent="0.3">
      <c r="A2034" t="s">
        <v>557</v>
      </c>
      <c r="B2034" t="s">
        <v>719</v>
      </c>
      <c r="C2034" t="s">
        <v>658</v>
      </c>
      <c r="D2034" s="230">
        <v>0</v>
      </c>
      <c r="E2034" t="s">
        <v>720</v>
      </c>
    </row>
    <row r="2035" spans="1:5" hidden="1" x14ac:dyDescent="0.3">
      <c r="A2035" t="s">
        <v>557</v>
      </c>
      <c r="B2035" t="s">
        <v>719</v>
      </c>
      <c r="C2035" t="s">
        <v>659</v>
      </c>
      <c r="D2035" s="230">
        <v>0</v>
      </c>
      <c r="E2035" t="s">
        <v>720</v>
      </c>
    </row>
    <row r="2036" spans="1:5" hidden="1" x14ac:dyDescent="0.3">
      <c r="A2036" t="s">
        <v>557</v>
      </c>
      <c r="B2036" t="s">
        <v>719</v>
      </c>
      <c r="C2036" t="s">
        <v>660</v>
      </c>
      <c r="D2036" s="230">
        <v>0</v>
      </c>
      <c r="E2036" t="s">
        <v>720</v>
      </c>
    </row>
    <row r="2037" spans="1:5" hidden="1" x14ac:dyDescent="0.3">
      <c r="A2037" t="s">
        <v>557</v>
      </c>
      <c r="B2037" t="s">
        <v>719</v>
      </c>
      <c r="C2037" t="s">
        <v>661</v>
      </c>
      <c r="D2037" s="230">
        <v>0</v>
      </c>
      <c r="E2037" t="s">
        <v>720</v>
      </c>
    </row>
    <row r="2038" spans="1:5" hidden="1" x14ac:dyDescent="0.3">
      <c r="A2038" t="s">
        <v>557</v>
      </c>
      <c r="B2038" t="s">
        <v>719</v>
      </c>
      <c r="C2038" t="s">
        <v>662</v>
      </c>
      <c r="D2038" s="230">
        <v>0</v>
      </c>
      <c r="E2038" t="s">
        <v>720</v>
      </c>
    </row>
    <row r="2039" spans="1:5" hidden="1" x14ac:dyDescent="0.3">
      <c r="A2039" t="s">
        <v>557</v>
      </c>
      <c r="B2039" t="s">
        <v>719</v>
      </c>
      <c r="C2039" t="s">
        <v>663</v>
      </c>
      <c r="D2039" s="230">
        <v>0</v>
      </c>
      <c r="E2039" t="s">
        <v>720</v>
      </c>
    </row>
    <row r="2040" spans="1:5" hidden="1" x14ac:dyDescent="0.3">
      <c r="A2040" t="s">
        <v>557</v>
      </c>
      <c r="B2040" t="s">
        <v>719</v>
      </c>
      <c r="C2040" t="s">
        <v>664</v>
      </c>
      <c r="D2040" s="230">
        <v>0</v>
      </c>
      <c r="E2040" t="s">
        <v>720</v>
      </c>
    </row>
    <row r="2041" spans="1:5" hidden="1" x14ac:dyDescent="0.3">
      <c r="A2041" t="s">
        <v>557</v>
      </c>
      <c r="B2041" t="s">
        <v>719</v>
      </c>
      <c r="C2041" t="s">
        <v>665</v>
      </c>
      <c r="D2041" s="230">
        <v>0</v>
      </c>
      <c r="E2041" t="s">
        <v>720</v>
      </c>
    </row>
    <row r="2042" spans="1:5" hidden="1" x14ac:dyDescent="0.3">
      <c r="A2042" t="s">
        <v>557</v>
      </c>
      <c r="B2042" t="s">
        <v>719</v>
      </c>
      <c r="C2042" t="s">
        <v>666</v>
      </c>
      <c r="D2042" s="230">
        <v>0</v>
      </c>
      <c r="E2042" t="s">
        <v>720</v>
      </c>
    </row>
    <row r="2043" spans="1:5" hidden="1" x14ac:dyDescent="0.3">
      <c r="A2043" t="s">
        <v>557</v>
      </c>
      <c r="B2043" t="s">
        <v>719</v>
      </c>
      <c r="C2043" t="s">
        <v>667</v>
      </c>
      <c r="D2043" s="230">
        <v>0</v>
      </c>
      <c r="E2043" t="s">
        <v>720</v>
      </c>
    </row>
    <row r="2044" spans="1:5" hidden="1" x14ac:dyDescent="0.3">
      <c r="A2044" t="s">
        <v>557</v>
      </c>
      <c r="B2044" t="s">
        <v>719</v>
      </c>
      <c r="C2044" t="s">
        <v>668</v>
      </c>
      <c r="D2044" s="230">
        <v>0</v>
      </c>
      <c r="E2044" t="s">
        <v>720</v>
      </c>
    </row>
    <row r="2045" spans="1:5" hidden="1" x14ac:dyDescent="0.3">
      <c r="A2045" t="s">
        <v>557</v>
      </c>
      <c r="B2045" t="s">
        <v>719</v>
      </c>
      <c r="C2045" t="s">
        <v>669</v>
      </c>
      <c r="D2045" s="230">
        <v>0</v>
      </c>
      <c r="E2045" t="s">
        <v>720</v>
      </c>
    </row>
    <row r="2046" spans="1:5" hidden="1" x14ac:dyDescent="0.3">
      <c r="A2046" t="s">
        <v>557</v>
      </c>
      <c r="B2046" t="s">
        <v>719</v>
      </c>
      <c r="C2046" t="s">
        <v>670</v>
      </c>
      <c r="D2046" s="230">
        <v>0</v>
      </c>
      <c r="E2046" t="s">
        <v>720</v>
      </c>
    </row>
    <row r="2047" spans="1:5" hidden="1" x14ac:dyDescent="0.3">
      <c r="A2047" t="s">
        <v>557</v>
      </c>
      <c r="B2047" t="s">
        <v>719</v>
      </c>
      <c r="C2047" t="s">
        <v>671</v>
      </c>
      <c r="D2047" s="230">
        <v>0</v>
      </c>
      <c r="E2047" t="s">
        <v>720</v>
      </c>
    </row>
    <row r="2048" spans="1:5" hidden="1" x14ac:dyDescent="0.3">
      <c r="A2048" t="s">
        <v>557</v>
      </c>
      <c r="B2048" t="s">
        <v>719</v>
      </c>
      <c r="C2048" t="s">
        <v>672</v>
      </c>
      <c r="D2048" s="230">
        <v>0</v>
      </c>
      <c r="E2048" t="s">
        <v>720</v>
      </c>
    </row>
    <row r="2049" spans="1:5" hidden="1" x14ac:dyDescent="0.3">
      <c r="A2049" t="s">
        <v>557</v>
      </c>
      <c r="B2049" t="s">
        <v>719</v>
      </c>
      <c r="C2049" t="s">
        <v>673</v>
      </c>
      <c r="D2049" s="230">
        <v>0</v>
      </c>
      <c r="E2049" t="s">
        <v>720</v>
      </c>
    </row>
    <row r="2050" spans="1:5" hidden="1" x14ac:dyDescent="0.3">
      <c r="A2050" t="s">
        <v>557</v>
      </c>
      <c r="B2050" t="s">
        <v>719</v>
      </c>
      <c r="C2050" t="s">
        <v>674</v>
      </c>
      <c r="D2050" s="230">
        <v>0</v>
      </c>
      <c r="E2050" t="s">
        <v>720</v>
      </c>
    </row>
    <row r="2051" spans="1:5" hidden="1" x14ac:dyDescent="0.3">
      <c r="A2051" t="s">
        <v>557</v>
      </c>
      <c r="B2051" t="s">
        <v>719</v>
      </c>
      <c r="C2051" t="s">
        <v>675</v>
      </c>
      <c r="D2051" s="230">
        <v>0</v>
      </c>
      <c r="E2051" t="s">
        <v>720</v>
      </c>
    </row>
    <row r="2052" spans="1:5" hidden="1" x14ac:dyDescent="0.3">
      <c r="A2052" t="s">
        <v>557</v>
      </c>
      <c r="B2052" t="s">
        <v>719</v>
      </c>
      <c r="C2052" t="s">
        <v>676</v>
      </c>
      <c r="D2052" s="230">
        <v>0</v>
      </c>
      <c r="E2052" t="s">
        <v>720</v>
      </c>
    </row>
    <row r="2053" spans="1:5" hidden="1" x14ac:dyDescent="0.3">
      <c r="A2053" t="s">
        <v>557</v>
      </c>
      <c r="B2053" t="s">
        <v>719</v>
      </c>
      <c r="C2053" t="s">
        <v>677</v>
      </c>
      <c r="D2053" s="230">
        <v>0</v>
      </c>
      <c r="E2053" t="s">
        <v>720</v>
      </c>
    </row>
    <row r="2054" spans="1:5" hidden="1" x14ac:dyDescent="0.3">
      <c r="A2054" t="s">
        <v>557</v>
      </c>
      <c r="B2054" t="s">
        <v>719</v>
      </c>
      <c r="C2054" t="s">
        <v>201</v>
      </c>
      <c r="D2054" s="230">
        <v>-9686.1200000000008</v>
      </c>
      <c r="E2054" t="s">
        <v>720</v>
      </c>
    </row>
    <row r="2055" spans="1:5" hidden="1" x14ac:dyDescent="0.3">
      <c r="A2055" t="s">
        <v>557</v>
      </c>
      <c r="B2055" t="s">
        <v>719</v>
      </c>
      <c r="C2055" t="s">
        <v>203</v>
      </c>
      <c r="D2055" s="230">
        <v>-9686.1200000000008</v>
      </c>
      <c r="E2055" t="s">
        <v>720</v>
      </c>
    </row>
    <row r="2056" spans="1:5" hidden="1" x14ac:dyDescent="0.3">
      <c r="A2056" t="s">
        <v>557</v>
      </c>
      <c r="B2056" t="s">
        <v>719</v>
      </c>
      <c r="C2056" t="s">
        <v>678</v>
      </c>
      <c r="D2056" s="230">
        <v>4843.0600000000004</v>
      </c>
      <c r="E2056" t="s">
        <v>720</v>
      </c>
    </row>
    <row r="2057" spans="1:5" hidden="1" x14ac:dyDescent="0.3">
      <c r="A2057" t="s">
        <v>557</v>
      </c>
      <c r="B2057" t="s">
        <v>719</v>
      </c>
      <c r="C2057" t="s">
        <v>205</v>
      </c>
      <c r="D2057" s="230">
        <v>-13982.82</v>
      </c>
      <c r="E2057" t="s">
        <v>720</v>
      </c>
    </row>
    <row r="2058" spans="1:5" hidden="1" x14ac:dyDescent="0.3">
      <c r="A2058" t="s">
        <v>557</v>
      </c>
      <c r="B2058" t="s">
        <v>719</v>
      </c>
      <c r="C2058" t="s">
        <v>679</v>
      </c>
      <c r="D2058" s="230">
        <v>-2152.67</v>
      </c>
      <c r="E2058" t="s">
        <v>720</v>
      </c>
    </row>
    <row r="2059" spans="1:5" hidden="1" x14ac:dyDescent="0.3">
      <c r="A2059" t="s">
        <v>557</v>
      </c>
      <c r="B2059" t="s">
        <v>719</v>
      </c>
      <c r="C2059" t="s">
        <v>680</v>
      </c>
      <c r="D2059" s="230">
        <v>-2541.48</v>
      </c>
      <c r="E2059" t="s">
        <v>720</v>
      </c>
    </row>
    <row r="2060" spans="1:5" hidden="1" x14ac:dyDescent="0.3">
      <c r="A2060" t="s">
        <v>557</v>
      </c>
      <c r="B2060" t="s">
        <v>719</v>
      </c>
      <c r="C2060" t="s">
        <v>681</v>
      </c>
      <c r="D2060" s="230">
        <v>0</v>
      </c>
      <c r="E2060" t="s">
        <v>720</v>
      </c>
    </row>
    <row r="2061" spans="1:5" hidden="1" x14ac:dyDescent="0.3">
      <c r="A2061" t="s">
        <v>557</v>
      </c>
      <c r="B2061" t="s">
        <v>719</v>
      </c>
      <c r="C2061" t="s">
        <v>682</v>
      </c>
      <c r="D2061" s="230">
        <v>-5069.8500000000004</v>
      </c>
      <c r="E2061" t="s">
        <v>720</v>
      </c>
    </row>
    <row r="2062" spans="1:5" hidden="1" x14ac:dyDescent="0.3">
      <c r="A2062" t="s">
        <v>557</v>
      </c>
      <c r="B2062" t="s">
        <v>719</v>
      </c>
      <c r="C2062" t="s">
        <v>683</v>
      </c>
      <c r="D2062" s="230">
        <v>0</v>
      </c>
      <c r="E2062" t="s">
        <v>720</v>
      </c>
    </row>
    <row r="2063" spans="1:5" hidden="1" x14ac:dyDescent="0.3">
      <c r="A2063" t="s">
        <v>557</v>
      </c>
      <c r="B2063" t="s">
        <v>719</v>
      </c>
      <c r="C2063" t="s">
        <v>684</v>
      </c>
      <c r="D2063" s="230">
        <v>-1708.19</v>
      </c>
      <c r="E2063" t="s">
        <v>720</v>
      </c>
    </row>
    <row r="2064" spans="1:5" hidden="1" x14ac:dyDescent="0.3">
      <c r="A2064" t="s">
        <v>557</v>
      </c>
      <c r="B2064" t="s">
        <v>719</v>
      </c>
      <c r="C2064" t="s">
        <v>685</v>
      </c>
      <c r="D2064" s="230">
        <v>-510.63</v>
      </c>
      <c r="E2064" t="s">
        <v>720</v>
      </c>
    </row>
    <row r="2065" spans="1:5" hidden="1" x14ac:dyDescent="0.3">
      <c r="A2065" t="s">
        <v>557</v>
      </c>
      <c r="B2065" t="s">
        <v>719</v>
      </c>
      <c r="C2065" t="s">
        <v>686</v>
      </c>
      <c r="D2065" s="230">
        <v>0</v>
      </c>
      <c r="E2065" t="s">
        <v>720</v>
      </c>
    </row>
    <row r="2066" spans="1:5" hidden="1" x14ac:dyDescent="0.3">
      <c r="A2066" t="s">
        <v>557</v>
      </c>
      <c r="B2066" t="s">
        <v>719</v>
      </c>
      <c r="C2066" t="s">
        <v>687</v>
      </c>
      <c r="D2066" s="230">
        <v>0</v>
      </c>
      <c r="E2066" t="s">
        <v>720</v>
      </c>
    </row>
    <row r="2067" spans="1:5" hidden="1" x14ac:dyDescent="0.3">
      <c r="A2067" t="s">
        <v>557</v>
      </c>
      <c r="B2067" t="s">
        <v>719</v>
      </c>
      <c r="C2067" t="s">
        <v>688</v>
      </c>
      <c r="D2067" s="230">
        <v>0</v>
      </c>
      <c r="E2067" t="s">
        <v>720</v>
      </c>
    </row>
    <row r="2068" spans="1:5" hidden="1" x14ac:dyDescent="0.3">
      <c r="A2068" t="s">
        <v>557</v>
      </c>
      <c r="B2068" t="s">
        <v>719</v>
      </c>
      <c r="C2068" t="s">
        <v>689</v>
      </c>
      <c r="D2068" s="230">
        <v>0</v>
      </c>
      <c r="E2068" t="s">
        <v>720</v>
      </c>
    </row>
    <row r="2069" spans="1:5" hidden="1" x14ac:dyDescent="0.3">
      <c r="A2069" t="s">
        <v>557</v>
      </c>
      <c r="B2069" t="s">
        <v>719</v>
      </c>
      <c r="C2069" t="s">
        <v>690</v>
      </c>
      <c r="D2069" s="230">
        <v>-2000</v>
      </c>
      <c r="E2069" t="s">
        <v>720</v>
      </c>
    </row>
    <row r="2070" spans="1:5" hidden="1" x14ac:dyDescent="0.3">
      <c r="A2070" t="s">
        <v>557</v>
      </c>
      <c r="B2070" t="s">
        <v>719</v>
      </c>
      <c r="C2070" t="s">
        <v>691</v>
      </c>
      <c r="D2070" s="230">
        <v>0</v>
      </c>
      <c r="E2070" t="s">
        <v>720</v>
      </c>
    </row>
    <row r="2071" spans="1:5" hidden="1" x14ac:dyDescent="0.3">
      <c r="A2071" t="s">
        <v>557</v>
      </c>
      <c r="B2071" t="s">
        <v>719</v>
      </c>
      <c r="C2071" t="s">
        <v>692</v>
      </c>
      <c r="D2071" s="230">
        <v>0</v>
      </c>
      <c r="E2071" t="s">
        <v>720</v>
      </c>
    </row>
    <row r="2072" spans="1:5" hidden="1" x14ac:dyDescent="0.3">
      <c r="A2072" t="s">
        <v>557</v>
      </c>
      <c r="B2072" t="s">
        <v>719</v>
      </c>
      <c r="C2072" t="s">
        <v>693</v>
      </c>
      <c r="D2072" s="230">
        <v>0</v>
      </c>
      <c r="E2072" t="s">
        <v>720</v>
      </c>
    </row>
    <row r="2073" spans="1:5" hidden="1" x14ac:dyDescent="0.3">
      <c r="A2073" t="s">
        <v>557</v>
      </c>
      <c r="B2073" t="s">
        <v>719</v>
      </c>
      <c r="C2073" t="s">
        <v>694</v>
      </c>
      <c r="D2073" s="230">
        <v>0</v>
      </c>
      <c r="E2073" t="s">
        <v>720</v>
      </c>
    </row>
    <row r="2074" spans="1:5" hidden="1" x14ac:dyDescent="0.3">
      <c r="A2074" t="s">
        <v>557</v>
      </c>
      <c r="B2074" t="s">
        <v>719</v>
      </c>
      <c r="C2074" t="s">
        <v>238</v>
      </c>
      <c r="D2074" s="230">
        <v>-5551.57</v>
      </c>
      <c r="E2074" t="s">
        <v>720</v>
      </c>
    </row>
    <row r="2075" spans="1:5" hidden="1" x14ac:dyDescent="0.3">
      <c r="A2075" t="s">
        <v>557</v>
      </c>
      <c r="B2075" t="s">
        <v>719</v>
      </c>
      <c r="C2075" t="s">
        <v>695</v>
      </c>
      <c r="D2075" s="230">
        <v>-5478.1</v>
      </c>
      <c r="E2075" t="s">
        <v>720</v>
      </c>
    </row>
    <row r="2076" spans="1:5" hidden="1" x14ac:dyDescent="0.3">
      <c r="A2076" t="s">
        <v>557</v>
      </c>
      <c r="B2076" t="s">
        <v>719</v>
      </c>
      <c r="C2076" t="s">
        <v>696</v>
      </c>
      <c r="D2076" s="230">
        <v>0</v>
      </c>
      <c r="E2076" t="s">
        <v>720</v>
      </c>
    </row>
    <row r="2077" spans="1:5" hidden="1" x14ac:dyDescent="0.3">
      <c r="A2077" t="s">
        <v>557</v>
      </c>
      <c r="B2077" t="s">
        <v>719</v>
      </c>
      <c r="C2077" t="s">
        <v>697</v>
      </c>
      <c r="D2077" s="230">
        <v>0</v>
      </c>
      <c r="E2077" t="s">
        <v>720</v>
      </c>
    </row>
    <row r="2078" spans="1:5" hidden="1" x14ac:dyDescent="0.3">
      <c r="A2078" t="s">
        <v>557</v>
      </c>
      <c r="B2078" t="s">
        <v>719</v>
      </c>
      <c r="C2078" t="s">
        <v>698</v>
      </c>
      <c r="D2078" s="230">
        <v>-73.47</v>
      </c>
      <c r="E2078" t="s">
        <v>720</v>
      </c>
    </row>
    <row r="2079" spans="1:5" hidden="1" x14ac:dyDescent="0.3">
      <c r="A2079" t="s">
        <v>557</v>
      </c>
      <c r="B2079" t="s">
        <v>719</v>
      </c>
      <c r="C2079" t="s">
        <v>699</v>
      </c>
      <c r="D2079" s="230">
        <v>0</v>
      </c>
      <c r="E2079" t="s">
        <v>720</v>
      </c>
    </row>
    <row r="2080" spans="1:5" hidden="1" x14ac:dyDescent="0.3">
      <c r="A2080" t="s">
        <v>557</v>
      </c>
      <c r="B2080" t="s">
        <v>719</v>
      </c>
      <c r="C2080" t="s">
        <v>245</v>
      </c>
      <c r="D2080" s="230">
        <v>-7945.94</v>
      </c>
      <c r="E2080" t="s">
        <v>720</v>
      </c>
    </row>
    <row r="2081" spans="1:5" hidden="1" x14ac:dyDescent="0.3">
      <c r="A2081" t="s">
        <v>557</v>
      </c>
      <c r="B2081" t="s">
        <v>719</v>
      </c>
      <c r="C2081" t="s">
        <v>700</v>
      </c>
      <c r="D2081" s="230">
        <v>0</v>
      </c>
      <c r="E2081" t="s">
        <v>720</v>
      </c>
    </row>
    <row r="2082" spans="1:5" hidden="1" x14ac:dyDescent="0.3">
      <c r="A2082" t="s">
        <v>557</v>
      </c>
      <c r="B2082" t="s">
        <v>719</v>
      </c>
      <c r="C2082" t="s">
        <v>701</v>
      </c>
      <c r="D2082" s="230">
        <v>-507.11</v>
      </c>
      <c r="E2082" t="s">
        <v>720</v>
      </c>
    </row>
    <row r="2083" spans="1:5" hidden="1" x14ac:dyDescent="0.3">
      <c r="A2083" t="s">
        <v>557</v>
      </c>
      <c r="B2083" t="s">
        <v>719</v>
      </c>
      <c r="C2083" t="s">
        <v>702</v>
      </c>
      <c r="D2083" s="230">
        <v>0</v>
      </c>
      <c r="E2083" t="s">
        <v>720</v>
      </c>
    </row>
    <row r="2084" spans="1:5" hidden="1" x14ac:dyDescent="0.3">
      <c r="A2084" t="s">
        <v>557</v>
      </c>
      <c r="B2084" t="s">
        <v>719</v>
      </c>
      <c r="C2084" t="s">
        <v>703</v>
      </c>
      <c r="D2084" s="230">
        <v>0</v>
      </c>
      <c r="E2084" t="s">
        <v>720</v>
      </c>
    </row>
    <row r="2085" spans="1:5" hidden="1" x14ac:dyDescent="0.3">
      <c r="A2085" t="s">
        <v>557</v>
      </c>
      <c r="B2085" t="s">
        <v>719</v>
      </c>
      <c r="C2085" t="s">
        <v>704</v>
      </c>
      <c r="D2085" s="230">
        <v>0</v>
      </c>
      <c r="E2085" t="s">
        <v>720</v>
      </c>
    </row>
    <row r="2086" spans="1:5" hidden="1" x14ac:dyDescent="0.3">
      <c r="A2086" t="s">
        <v>557</v>
      </c>
      <c r="B2086" t="s">
        <v>719</v>
      </c>
      <c r="C2086" t="s">
        <v>705</v>
      </c>
      <c r="D2086" s="230">
        <v>-7438.83</v>
      </c>
      <c r="E2086" t="s">
        <v>720</v>
      </c>
    </row>
    <row r="2087" spans="1:5" hidden="1" x14ac:dyDescent="0.3">
      <c r="A2087" t="s">
        <v>557</v>
      </c>
      <c r="B2087" t="s">
        <v>719</v>
      </c>
      <c r="C2087" t="s">
        <v>706</v>
      </c>
      <c r="D2087" s="230">
        <v>0</v>
      </c>
      <c r="E2087" t="s">
        <v>720</v>
      </c>
    </row>
    <row r="2088" spans="1:5" hidden="1" x14ac:dyDescent="0.3">
      <c r="A2088" t="s">
        <v>557</v>
      </c>
      <c r="B2088" t="s">
        <v>719</v>
      </c>
      <c r="C2088" t="s">
        <v>254</v>
      </c>
      <c r="D2088" s="230">
        <v>-0.34</v>
      </c>
      <c r="E2088" t="s">
        <v>720</v>
      </c>
    </row>
    <row r="2089" spans="1:5" hidden="1" x14ac:dyDescent="0.3">
      <c r="A2089" t="s">
        <v>557</v>
      </c>
      <c r="B2089" t="s">
        <v>719</v>
      </c>
      <c r="C2089" t="s">
        <v>255</v>
      </c>
      <c r="D2089" s="230">
        <v>-0.34</v>
      </c>
      <c r="E2089" t="s">
        <v>720</v>
      </c>
    </row>
    <row r="2090" spans="1:5" hidden="1" x14ac:dyDescent="0.3">
      <c r="A2090" t="s">
        <v>557</v>
      </c>
      <c r="B2090" t="s">
        <v>719</v>
      </c>
      <c r="C2090" t="s">
        <v>256</v>
      </c>
      <c r="D2090" s="230">
        <v>-51752.37</v>
      </c>
      <c r="E2090" t="s">
        <v>720</v>
      </c>
    </row>
    <row r="2091" spans="1:5" hidden="1" x14ac:dyDescent="0.3">
      <c r="A2091" t="s">
        <v>557</v>
      </c>
      <c r="B2091" t="s">
        <v>719</v>
      </c>
      <c r="C2091" t="s">
        <v>257</v>
      </c>
      <c r="D2091" s="230">
        <v>-49305.7</v>
      </c>
      <c r="E2091" t="s">
        <v>720</v>
      </c>
    </row>
    <row r="2092" spans="1:5" hidden="1" x14ac:dyDescent="0.3">
      <c r="A2092" t="s">
        <v>557</v>
      </c>
      <c r="B2092" t="s">
        <v>719</v>
      </c>
      <c r="C2092" t="s">
        <v>258</v>
      </c>
      <c r="D2092" s="230">
        <v>0</v>
      </c>
      <c r="E2092" t="s">
        <v>720</v>
      </c>
    </row>
    <row r="2093" spans="1:5" hidden="1" x14ac:dyDescent="0.3">
      <c r="A2093" t="s">
        <v>557</v>
      </c>
      <c r="B2093" t="s">
        <v>719</v>
      </c>
      <c r="C2093" t="s">
        <v>259</v>
      </c>
      <c r="D2093" s="230">
        <v>-2446.67</v>
      </c>
      <c r="E2093" t="s">
        <v>720</v>
      </c>
    </row>
    <row r="2094" spans="1:5" hidden="1" x14ac:dyDescent="0.3">
      <c r="A2094" t="s">
        <v>557</v>
      </c>
      <c r="B2094" t="s">
        <v>719</v>
      </c>
      <c r="C2094" t="s">
        <v>260</v>
      </c>
      <c r="D2094" s="230">
        <v>0</v>
      </c>
      <c r="E2094" t="s">
        <v>720</v>
      </c>
    </row>
    <row r="2095" spans="1:5" hidden="1" x14ac:dyDescent="0.3">
      <c r="A2095" t="s">
        <v>557</v>
      </c>
      <c r="B2095" t="s">
        <v>719</v>
      </c>
      <c r="C2095" t="s">
        <v>261</v>
      </c>
      <c r="D2095" s="230">
        <v>0</v>
      </c>
      <c r="E2095" t="s">
        <v>720</v>
      </c>
    </row>
    <row r="2096" spans="1:5" hidden="1" x14ac:dyDescent="0.3">
      <c r="A2096" t="s">
        <v>557</v>
      </c>
      <c r="B2096" t="s">
        <v>719</v>
      </c>
      <c r="C2096" t="s">
        <v>262</v>
      </c>
      <c r="D2096" s="230">
        <v>0</v>
      </c>
      <c r="E2096" t="s">
        <v>720</v>
      </c>
    </row>
    <row r="2097" spans="1:5" hidden="1" x14ac:dyDescent="0.3">
      <c r="A2097" t="s">
        <v>557</v>
      </c>
      <c r="B2097" t="s">
        <v>719</v>
      </c>
      <c r="C2097" t="s">
        <v>263</v>
      </c>
      <c r="D2097" s="230">
        <v>0</v>
      </c>
      <c r="E2097" t="s">
        <v>720</v>
      </c>
    </row>
    <row r="2098" spans="1:5" hidden="1" x14ac:dyDescent="0.3">
      <c r="A2098" t="s">
        <v>557</v>
      </c>
      <c r="B2098" t="s">
        <v>719</v>
      </c>
      <c r="C2098" t="s">
        <v>44</v>
      </c>
      <c r="D2098" s="230">
        <v>-0.12</v>
      </c>
      <c r="E2098" t="s">
        <v>720</v>
      </c>
    </row>
    <row r="2099" spans="1:5" hidden="1" x14ac:dyDescent="0.3">
      <c r="A2099" t="s">
        <v>557</v>
      </c>
      <c r="B2099" t="s">
        <v>719</v>
      </c>
      <c r="C2099" t="s">
        <v>264</v>
      </c>
      <c r="D2099" s="230">
        <v>-40247.85</v>
      </c>
      <c r="E2099" t="s">
        <v>720</v>
      </c>
    </row>
    <row r="2100" spans="1:5" hidden="1" x14ac:dyDescent="0.3">
      <c r="A2100" t="s">
        <v>557</v>
      </c>
      <c r="B2100" t="s">
        <v>719</v>
      </c>
      <c r="C2100" t="s">
        <v>265</v>
      </c>
      <c r="D2100" s="230">
        <v>-7475.76</v>
      </c>
      <c r="E2100" t="s">
        <v>720</v>
      </c>
    </row>
    <row r="2101" spans="1:5" hidden="1" x14ac:dyDescent="0.3">
      <c r="A2101" t="s">
        <v>557</v>
      </c>
      <c r="B2101" t="s">
        <v>719</v>
      </c>
      <c r="C2101" t="s">
        <v>266</v>
      </c>
      <c r="D2101" s="230">
        <v>-10444.200000000001</v>
      </c>
      <c r="E2101" t="s">
        <v>720</v>
      </c>
    </row>
    <row r="2102" spans="1:5" hidden="1" x14ac:dyDescent="0.3">
      <c r="A2102" t="s">
        <v>557</v>
      </c>
      <c r="B2102" t="s">
        <v>719</v>
      </c>
      <c r="C2102" t="s">
        <v>267</v>
      </c>
      <c r="D2102" s="230">
        <v>-5913.82</v>
      </c>
      <c r="E2102" t="s">
        <v>720</v>
      </c>
    </row>
    <row r="2103" spans="1:5" hidden="1" x14ac:dyDescent="0.3">
      <c r="A2103" t="s">
        <v>557</v>
      </c>
      <c r="B2103" t="s">
        <v>719</v>
      </c>
      <c r="C2103" t="s">
        <v>268</v>
      </c>
      <c r="D2103" s="230">
        <v>-6361.07</v>
      </c>
      <c r="E2103" t="s">
        <v>720</v>
      </c>
    </row>
    <row r="2104" spans="1:5" hidden="1" x14ac:dyDescent="0.3">
      <c r="A2104" t="s">
        <v>557</v>
      </c>
      <c r="B2104" t="s">
        <v>719</v>
      </c>
      <c r="C2104" t="s">
        <v>269</v>
      </c>
      <c r="D2104" s="230">
        <v>0</v>
      </c>
      <c r="E2104" t="s">
        <v>720</v>
      </c>
    </row>
    <row r="2105" spans="1:5" hidden="1" x14ac:dyDescent="0.3">
      <c r="A2105" t="s">
        <v>557</v>
      </c>
      <c r="B2105" t="s">
        <v>719</v>
      </c>
      <c r="C2105" t="s">
        <v>270</v>
      </c>
      <c r="D2105" s="230">
        <v>-500</v>
      </c>
      <c r="E2105" t="s">
        <v>720</v>
      </c>
    </row>
    <row r="2106" spans="1:5" hidden="1" x14ac:dyDescent="0.3">
      <c r="A2106" t="s">
        <v>557</v>
      </c>
      <c r="B2106" t="s">
        <v>719</v>
      </c>
      <c r="C2106" t="s">
        <v>271</v>
      </c>
      <c r="D2106" s="230">
        <v>-725.04</v>
      </c>
      <c r="E2106" t="s">
        <v>720</v>
      </c>
    </row>
    <row r="2107" spans="1:5" hidden="1" x14ac:dyDescent="0.3">
      <c r="A2107" t="s">
        <v>557</v>
      </c>
      <c r="B2107" t="s">
        <v>719</v>
      </c>
      <c r="C2107" t="s">
        <v>272</v>
      </c>
      <c r="D2107" s="230">
        <v>-3233.79</v>
      </c>
      <c r="E2107" t="s">
        <v>720</v>
      </c>
    </row>
    <row r="2108" spans="1:5" hidden="1" x14ac:dyDescent="0.3">
      <c r="A2108" t="s">
        <v>557</v>
      </c>
      <c r="B2108" t="s">
        <v>719</v>
      </c>
      <c r="C2108" t="s">
        <v>273</v>
      </c>
      <c r="D2108" s="230">
        <v>0</v>
      </c>
      <c r="E2108" t="s">
        <v>720</v>
      </c>
    </row>
    <row r="2109" spans="1:5" hidden="1" x14ac:dyDescent="0.3">
      <c r="A2109" t="s">
        <v>557</v>
      </c>
      <c r="B2109" t="s">
        <v>719</v>
      </c>
      <c r="C2109" t="s">
        <v>274</v>
      </c>
      <c r="D2109" s="230">
        <v>0</v>
      </c>
      <c r="E2109" t="s">
        <v>720</v>
      </c>
    </row>
    <row r="2110" spans="1:5" hidden="1" x14ac:dyDescent="0.3">
      <c r="A2110" t="s">
        <v>557</v>
      </c>
      <c r="B2110" t="s">
        <v>719</v>
      </c>
      <c r="C2110" t="s">
        <v>275</v>
      </c>
      <c r="D2110" s="230">
        <v>-513.49</v>
      </c>
      <c r="E2110" t="s">
        <v>720</v>
      </c>
    </row>
    <row r="2111" spans="1:5" hidden="1" x14ac:dyDescent="0.3">
      <c r="A2111" t="s">
        <v>557</v>
      </c>
      <c r="B2111" t="s">
        <v>719</v>
      </c>
      <c r="C2111" t="s">
        <v>276</v>
      </c>
      <c r="D2111" s="230">
        <v>-1025</v>
      </c>
      <c r="E2111" t="s">
        <v>720</v>
      </c>
    </row>
    <row r="2112" spans="1:5" hidden="1" x14ac:dyDescent="0.3">
      <c r="A2112" t="s">
        <v>557</v>
      </c>
      <c r="B2112" t="s">
        <v>719</v>
      </c>
      <c r="C2112" t="s">
        <v>277</v>
      </c>
      <c r="D2112" s="230">
        <v>0</v>
      </c>
      <c r="E2112" t="s">
        <v>720</v>
      </c>
    </row>
    <row r="2113" spans="1:5" hidden="1" x14ac:dyDescent="0.3">
      <c r="A2113" t="s">
        <v>557</v>
      </c>
      <c r="B2113" t="s">
        <v>719</v>
      </c>
      <c r="C2113" t="s">
        <v>278</v>
      </c>
      <c r="D2113" s="230">
        <v>-4055.68</v>
      </c>
      <c r="E2113" t="s">
        <v>720</v>
      </c>
    </row>
    <row r="2114" spans="1:5" hidden="1" x14ac:dyDescent="0.3">
      <c r="A2114" t="s">
        <v>557</v>
      </c>
      <c r="B2114" t="s">
        <v>719</v>
      </c>
      <c r="C2114" t="s">
        <v>44</v>
      </c>
      <c r="D2114" s="230">
        <v>-0.1</v>
      </c>
      <c r="E2114" t="s">
        <v>720</v>
      </c>
    </row>
    <row r="2115" spans="1:5" hidden="1" x14ac:dyDescent="0.3">
      <c r="A2115" t="s">
        <v>557</v>
      </c>
      <c r="B2115" t="s">
        <v>719</v>
      </c>
      <c r="C2115" t="s">
        <v>279</v>
      </c>
      <c r="D2115" s="230">
        <v>-9424.4699999999993</v>
      </c>
      <c r="E2115" t="s">
        <v>720</v>
      </c>
    </row>
    <row r="2116" spans="1:5" hidden="1" x14ac:dyDescent="0.3">
      <c r="A2116" t="s">
        <v>557</v>
      </c>
      <c r="B2116" t="s">
        <v>719</v>
      </c>
      <c r="C2116" t="s">
        <v>280</v>
      </c>
      <c r="D2116" s="230">
        <v>-299.89999999999998</v>
      </c>
      <c r="E2116" t="s">
        <v>720</v>
      </c>
    </row>
    <row r="2117" spans="1:5" hidden="1" x14ac:dyDescent="0.3">
      <c r="A2117" t="s">
        <v>557</v>
      </c>
      <c r="B2117" t="s">
        <v>719</v>
      </c>
      <c r="C2117" t="s">
        <v>281</v>
      </c>
      <c r="D2117" s="230">
        <v>-377.04</v>
      </c>
      <c r="E2117" t="s">
        <v>720</v>
      </c>
    </row>
    <row r="2118" spans="1:5" hidden="1" x14ac:dyDescent="0.3">
      <c r="A2118" t="s">
        <v>557</v>
      </c>
      <c r="B2118" t="s">
        <v>719</v>
      </c>
      <c r="C2118" t="s">
        <v>282</v>
      </c>
      <c r="D2118" s="230">
        <v>-304.17</v>
      </c>
      <c r="E2118" t="s">
        <v>720</v>
      </c>
    </row>
    <row r="2119" spans="1:5" hidden="1" x14ac:dyDescent="0.3">
      <c r="A2119" t="s">
        <v>557</v>
      </c>
      <c r="B2119" t="s">
        <v>719</v>
      </c>
      <c r="C2119" t="s">
        <v>283</v>
      </c>
      <c r="D2119" s="230">
        <v>-1836.58</v>
      </c>
      <c r="E2119" t="s">
        <v>720</v>
      </c>
    </row>
    <row r="2120" spans="1:5" hidden="1" x14ac:dyDescent="0.3">
      <c r="A2120" t="s">
        <v>557</v>
      </c>
      <c r="B2120" t="s">
        <v>719</v>
      </c>
      <c r="C2120" t="s">
        <v>284</v>
      </c>
      <c r="D2120" s="230">
        <v>-6606.78</v>
      </c>
      <c r="E2120" t="s">
        <v>720</v>
      </c>
    </row>
    <row r="2121" spans="1:5" hidden="1" x14ac:dyDescent="0.3">
      <c r="A2121" t="s">
        <v>557</v>
      </c>
      <c r="B2121" t="s">
        <v>719</v>
      </c>
      <c r="C2121" t="s">
        <v>285</v>
      </c>
      <c r="D2121" s="230">
        <v>0</v>
      </c>
      <c r="E2121" t="s">
        <v>720</v>
      </c>
    </row>
    <row r="2122" spans="1:5" hidden="1" x14ac:dyDescent="0.3">
      <c r="A2122" t="s">
        <v>557</v>
      </c>
      <c r="B2122" t="s">
        <v>719</v>
      </c>
      <c r="C2122" t="s">
        <v>286</v>
      </c>
      <c r="D2122" s="230">
        <v>0</v>
      </c>
      <c r="E2122" t="s">
        <v>720</v>
      </c>
    </row>
    <row r="2123" spans="1:5" hidden="1" x14ac:dyDescent="0.3">
      <c r="A2123" t="s">
        <v>557</v>
      </c>
      <c r="B2123" t="s">
        <v>719</v>
      </c>
      <c r="C2123" t="s">
        <v>44</v>
      </c>
      <c r="D2123" s="230">
        <v>-0.03</v>
      </c>
      <c r="E2123" t="s">
        <v>720</v>
      </c>
    </row>
    <row r="2124" spans="1:5" hidden="1" x14ac:dyDescent="0.3">
      <c r="A2124" t="s">
        <v>557</v>
      </c>
      <c r="B2124" t="s">
        <v>719</v>
      </c>
      <c r="C2124" t="s">
        <v>287</v>
      </c>
      <c r="D2124" s="230">
        <v>-12057.45</v>
      </c>
      <c r="E2124" t="s">
        <v>720</v>
      </c>
    </row>
    <row r="2125" spans="1:5" hidden="1" x14ac:dyDescent="0.3">
      <c r="A2125" t="s">
        <v>557</v>
      </c>
      <c r="B2125" t="s">
        <v>719</v>
      </c>
      <c r="C2125" t="s">
        <v>288</v>
      </c>
      <c r="D2125" s="230">
        <v>-11863.45</v>
      </c>
      <c r="E2125" t="s">
        <v>720</v>
      </c>
    </row>
    <row r="2126" spans="1:5" hidden="1" x14ac:dyDescent="0.3">
      <c r="A2126" t="s">
        <v>557</v>
      </c>
      <c r="B2126" t="s">
        <v>719</v>
      </c>
      <c r="C2126" t="s">
        <v>289</v>
      </c>
      <c r="D2126" s="230">
        <v>0</v>
      </c>
      <c r="E2126" t="s">
        <v>720</v>
      </c>
    </row>
    <row r="2127" spans="1:5" hidden="1" x14ac:dyDescent="0.3">
      <c r="A2127" t="s">
        <v>557</v>
      </c>
      <c r="B2127" t="s">
        <v>719</v>
      </c>
      <c r="C2127" t="s">
        <v>290</v>
      </c>
      <c r="D2127" s="230">
        <v>0</v>
      </c>
      <c r="E2127" t="s">
        <v>720</v>
      </c>
    </row>
    <row r="2128" spans="1:5" hidden="1" x14ac:dyDescent="0.3">
      <c r="A2128" t="s">
        <v>557</v>
      </c>
      <c r="B2128" t="s">
        <v>719</v>
      </c>
      <c r="C2128" t="s">
        <v>291</v>
      </c>
      <c r="D2128" s="230">
        <v>0</v>
      </c>
      <c r="E2128" t="s">
        <v>720</v>
      </c>
    </row>
    <row r="2129" spans="1:5" hidden="1" x14ac:dyDescent="0.3">
      <c r="A2129" t="s">
        <v>557</v>
      </c>
      <c r="B2129" t="s">
        <v>719</v>
      </c>
      <c r="C2129" t="s">
        <v>292</v>
      </c>
      <c r="D2129" s="230">
        <v>0</v>
      </c>
      <c r="E2129" t="s">
        <v>720</v>
      </c>
    </row>
    <row r="2130" spans="1:5" hidden="1" x14ac:dyDescent="0.3">
      <c r="A2130" t="s">
        <v>557</v>
      </c>
      <c r="B2130" t="s">
        <v>719</v>
      </c>
      <c r="C2130" t="s">
        <v>293</v>
      </c>
      <c r="D2130" s="230">
        <v>-29</v>
      </c>
      <c r="E2130" t="s">
        <v>720</v>
      </c>
    </row>
    <row r="2131" spans="1:5" hidden="1" x14ac:dyDescent="0.3">
      <c r="A2131" t="s">
        <v>557</v>
      </c>
      <c r="B2131" t="s">
        <v>719</v>
      </c>
      <c r="C2131" t="s">
        <v>294</v>
      </c>
      <c r="D2131" s="230">
        <v>-165</v>
      </c>
      <c r="E2131" t="s">
        <v>720</v>
      </c>
    </row>
    <row r="2132" spans="1:5" hidden="1" x14ac:dyDescent="0.3">
      <c r="A2132" t="s">
        <v>557</v>
      </c>
      <c r="B2132" t="s">
        <v>719</v>
      </c>
      <c r="C2132" t="s">
        <v>295</v>
      </c>
      <c r="D2132" s="230">
        <v>0</v>
      </c>
      <c r="E2132" t="s">
        <v>720</v>
      </c>
    </row>
    <row r="2133" spans="1:5" hidden="1" x14ac:dyDescent="0.3">
      <c r="A2133" t="s">
        <v>557</v>
      </c>
      <c r="B2133" t="s">
        <v>719</v>
      </c>
      <c r="C2133" t="s">
        <v>44</v>
      </c>
      <c r="D2133" s="230">
        <v>-0.03</v>
      </c>
      <c r="E2133" t="s">
        <v>720</v>
      </c>
    </row>
    <row r="2134" spans="1:5" hidden="1" x14ac:dyDescent="0.3">
      <c r="A2134" t="s">
        <v>557</v>
      </c>
      <c r="B2134" t="s">
        <v>719</v>
      </c>
      <c r="C2134" t="s">
        <v>296</v>
      </c>
      <c r="D2134" s="230">
        <v>-11889.12</v>
      </c>
      <c r="E2134" t="s">
        <v>720</v>
      </c>
    </row>
    <row r="2135" spans="1:5" hidden="1" x14ac:dyDescent="0.3">
      <c r="A2135" t="s">
        <v>557</v>
      </c>
      <c r="B2135" t="s">
        <v>719</v>
      </c>
      <c r="C2135" t="s">
        <v>297</v>
      </c>
      <c r="D2135" s="230">
        <v>-5500</v>
      </c>
      <c r="E2135" t="s">
        <v>720</v>
      </c>
    </row>
    <row r="2136" spans="1:5" hidden="1" x14ac:dyDescent="0.3">
      <c r="A2136" t="s">
        <v>557</v>
      </c>
      <c r="B2136" t="s">
        <v>719</v>
      </c>
      <c r="C2136" t="s">
        <v>298</v>
      </c>
      <c r="D2136" s="230">
        <v>-460</v>
      </c>
      <c r="E2136" t="s">
        <v>720</v>
      </c>
    </row>
    <row r="2137" spans="1:5" hidden="1" x14ac:dyDescent="0.3">
      <c r="A2137" t="s">
        <v>557</v>
      </c>
      <c r="B2137" t="s">
        <v>719</v>
      </c>
      <c r="C2137" t="s">
        <v>299</v>
      </c>
      <c r="D2137" s="230">
        <v>0</v>
      </c>
      <c r="E2137" t="s">
        <v>720</v>
      </c>
    </row>
    <row r="2138" spans="1:5" hidden="1" x14ac:dyDescent="0.3">
      <c r="A2138" t="s">
        <v>557</v>
      </c>
      <c r="B2138" t="s">
        <v>719</v>
      </c>
      <c r="C2138" t="s">
        <v>300</v>
      </c>
      <c r="D2138" s="230">
        <v>0</v>
      </c>
      <c r="E2138" t="s">
        <v>720</v>
      </c>
    </row>
    <row r="2139" spans="1:5" hidden="1" x14ac:dyDescent="0.3">
      <c r="A2139" t="s">
        <v>557</v>
      </c>
      <c r="B2139" t="s">
        <v>719</v>
      </c>
      <c r="C2139" t="s">
        <v>301</v>
      </c>
      <c r="D2139" s="230">
        <v>-745.1</v>
      </c>
      <c r="E2139" t="s">
        <v>720</v>
      </c>
    </row>
    <row r="2140" spans="1:5" hidden="1" x14ac:dyDescent="0.3">
      <c r="A2140" t="s">
        <v>557</v>
      </c>
      <c r="B2140" t="s">
        <v>719</v>
      </c>
      <c r="C2140" t="s">
        <v>302</v>
      </c>
      <c r="D2140" s="230">
        <v>0</v>
      </c>
      <c r="E2140" t="s">
        <v>720</v>
      </c>
    </row>
    <row r="2141" spans="1:5" hidden="1" x14ac:dyDescent="0.3">
      <c r="A2141" t="s">
        <v>557</v>
      </c>
      <c r="B2141" t="s">
        <v>719</v>
      </c>
      <c r="C2141" t="s">
        <v>303</v>
      </c>
      <c r="D2141" s="230">
        <v>0</v>
      </c>
      <c r="E2141" t="s">
        <v>720</v>
      </c>
    </row>
    <row r="2142" spans="1:5" hidden="1" x14ac:dyDescent="0.3">
      <c r="A2142" t="s">
        <v>557</v>
      </c>
      <c r="B2142" t="s">
        <v>719</v>
      </c>
      <c r="C2142" t="s">
        <v>304</v>
      </c>
      <c r="D2142" s="230">
        <v>-204.8</v>
      </c>
      <c r="E2142" t="s">
        <v>720</v>
      </c>
    </row>
    <row r="2143" spans="1:5" hidden="1" x14ac:dyDescent="0.3">
      <c r="A2143" t="s">
        <v>557</v>
      </c>
      <c r="B2143" t="s">
        <v>719</v>
      </c>
      <c r="C2143" t="s">
        <v>305</v>
      </c>
      <c r="D2143" s="230">
        <v>-1279.22</v>
      </c>
      <c r="E2143" t="s">
        <v>720</v>
      </c>
    </row>
    <row r="2144" spans="1:5" hidden="1" x14ac:dyDescent="0.3">
      <c r="A2144" t="s">
        <v>557</v>
      </c>
      <c r="B2144" t="s">
        <v>719</v>
      </c>
      <c r="C2144" t="s">
        <v>306</v>
      </c>
      <c r="D2144" s="230">
        <v>0</v>
      </c>
      <c r="E2144" t="s">
        <v>720</v>
      </c>
    </row>
    <row r="2145" spans="1:5" hidden="1" x14ac:dyDescent="0.3">
      <c r="A2145" t="s">
        <v>557</v>
      </c>
      <c r="B2145" t="s">
        <v>719</v>
      </c>
      <c r="C2145" t="s">
        <v>307</v>
      </c>
      <c r="D2145" s="230">
        <v>-3700</v>
      </c>
      <c r="E2145" t="s">
        <v>720</v>
      </c>
    </row>
    <row r="2146" spans="1:5" hidden="1" x14ac:dyDescent="0.3">
      <c r="A2146" t="s">
        <v>557</v>
      </c>
      <c r="B2146" t="s">
        <v>719</v>
      </c>
      <c r="C2146" t="s">
        <v>44</v>
      </c>
      <c r="D2146" s="230">
        <v>-0.03</v>
      </c>
      <c r="E2146" t="s">
        <v>720</v>
      </c>
    </row>
    <row r="2147" spans="1:5" hidden="1" x14ac:dyDescent="0.3">
      <c r="A2147" t="s">
        <v>557</v>
      </c>
      <c r="B2147" t="s">
        <v>719</v>
      </c>
      <c r="C2147" t="s">
        <v>308</v>
      </c>
      <c r="D2147" s="230">
        <v>-2272.5500000000002</v>
      </c>
      <c r="E2147" t="s">
        <v>720</v>
      </c>
    </row>
    <row r="2148" spans="1:5" hidden="1" x14ac:dyDescent="0.3">
      <c r="A2148" t="s">
        <v>557</v>
      </c>
      <c r="B2148" t="s">
        <v>719</v>
      </c>
      <c r="C2148" t="s">
        <v>309</v>
      </c>
      <c r="D2148" s="230">
        <v>-1412</v>
      </c>
      <c r="E2148" t="s">
        <v>720</v>
      </c>
    </row>
    <row r="2149" spans="1:5" hidden="1" x14ac:dyDescent="0.3">
      <c r="A2149" t="s">
        <v>557</v>
      </c>
      <c r="B2149" t="s">
        <v>719</v>
      </c>
      <c r="C2149" t="s">
        <v>310</v>
      </c>
      <c r="D2149" s="230">
        <v>0</v>
      </c>
      <c r="E2149" t="s">
        <v>720</v>
      </c>
    </row>
    <row r="2150" spans="1:5" hidden="1" x14ac:dyDescent="0.3">
      <c r="A2150" t="s">
        <v>557</v>
      </c>
      <c r="B2150" t="s">
        <v>719</v>
      </c>
      <c r="C2150" t="s">
        <v>311</v>
      </c>
      <c r="D2150" s="230">
        <v>-860.55</v>
      </c>
      <c r="E2150" t="s">
        <v>720</v>
      </c>
    </row>
    <row r="2151" spans="1:5" hidden="1" x14ac:dyDescent="0.3">
      <c r="A2151" t="s">
        <v>557</v>
      </c>
      <c r="B2151" t="s">
        <v>719</v>
      </c>
      <c r="C2151" t="s">
        <v>312</v>
      </c>
      <c r="D2151" s="230">
        <v>0</v>
      </c>
      <c r="E2151" t="s">
        <v>720</v>
      </c>
    </row>
    <row r="2152" spans="1:5" hidden="1" x14ac:dyDescent="0.3">
      <c r="A2152" t="s">
        <v>557</v>
      </c>
      <c r="B2152" t="s">
        <v>719</v>
      </c>
      <c r="C2152" t="s">
        <v>313</v>
      </c>
      <c r="D2152" s="230">
        <v>0</v>
      </c>
      <c r="E2152" t="s">
        <v>720</v>
      </c>
    </row>
    <row r="2153" spans="1:5" hidden="1" x14ac:dyDescent="0.3">
      <c r="A2153" t="s">
        <v>557</v>
      </c>
      <c r="B2153" t="s">
        <v>719</v>
      </c>
      <c r="C2153" t="s">
        <v>314</v>
      </c>
      <c r="D2153" s="230">
        <v>0</v>
      </c>
      <c r="E2153" t="s">
        <v>720</v>
      </c>
    </row>
    <row r="2154" spans="1:5" hidden="1" x14ac:dyDescent="0.3">
      <c r="A2154" t="s">
        <v>557</v>
      </c>
      <c r="B2154" t="s">
        <v>719</v>
      </c>
      <c r="C2154" t="s">
        <v>315</v>
      </c>
      <c r="D2154" s="230">
        <v>0</v>
      </c>
      <c r="E2154" t="s">
        <v>720</v>
      </c>
    </row>
    <row r="2155" spans="1:5" hidden="1" x14ac:dyDescent="0.3">
      <c r="A2155" t="s">
        <v>557</v>
      </c>
      <c r="B2155" t="s">
        <v>719</v>
      </c>
      <c r="C2155" t="s">
        <v>316</v>
      </c>
      <c r="D2155" s="230">
        <v>0</v>
      </c>
      <c r="E2155" t="s">
        <v>720</v>
      </c>
    </row>
    <row r="2156" spans="1:5" hidden="1" x14ac:dyDescent="0.3">
      <c r="A2156" t="s">
        <v>557</v>
      </c>
      <c r="B2156" t="s">
        <v>719</v>
      </c>
      <c r="C2156" t="s">
        <v>317</v>
      </c>
      <c r="D2156" s="230">
        <v>0</v>
      </c>
      <c r="E2156" t="s">
        <v>720</v>
      </c>
    </row>
    <row r="2157" spans="1:5" hidden="1" x14ac:dyDescent="0.3">
      <c r="A2157" t="s">
        <v>557</v>
      </c>
      <c r="B2157" t="s">
        <v>719</v>
      </c>
      <c r="C2157" t="s">
        <v>44</v>
      </c>
      <c r="D2157" s="230">
        <v>-0.01</v>
      </c>
      <c r="E2157" t="s">
        <v>720</v>
      </c>
    </row>
    <row r="2158" spans="1:5" hidden="1" x14ac:dyDescent="0.3">
      <c r="A2158" t="s">
        <v>557</v>
      </c>
      <c r="B2158" t="s">
        <v>719</v>
      </c>
      <c r="C2158" t="s">
        <v>318</v>
      </c>
      <c r="D2158" s="230">
        <v>-2177.88</v>
      </c>
      <c r="E2158" t="s">
        <v>720</v>
      </c>
    </row>
    <row r="2159" spans="1:5" hidden="1" x14ac:dyDescent="0.3">
      <c r="A2159" t="s">
        <v>557</v>
      </c>
      <c r="B2159" t="s">
        <v>719</v>
      </c>
      <c r="C2159" t="s">
        <v>319</v>
      </c>
      <c r="D2159" s="230">
        <v>-2177.88</v>
      </c>
      <c r="E2159" t="s">
        <v>720</v>
      </c>
    </row>
    <row r="2160" spans="1:5" hidden="1" x14ac:dyDescent="0.3">
      <c r="A2160" t="s">
        <v>557</v>
      </c>
      <c r="B2160" t="s">
        <v>719</v>
      </c>
      <c r="C2160" t="s">
        <v>320</v>
      </c>
      <c r="D2160" s="230">
        <v>0</v>
      </c>
      <c r="E2160" t="s">
        <v>720</v>
      </c>
    </row>
    <row r="2161" spans="1:5" hidden="1" x14ac:dyDescent="0.3">
      <c r="A2161" t="s">
        <v>557</v>
      </c>
      <c r="B2161" t="s">
        <v>719</v>
      </c>
      <c r="C2161" t="s">
        <v>321</v>
      </c>
      <c r="D2161" s="230">
        <v>0</v>
      </c>
      <c r="E2161" t="s">
        <v>720</v>
      </c>
    </row>
    <row r="2162" spans="1:5" hidden="1" x14ac:dyDescent="0.3">
      <c r="A2162" t="s">
        <v>557</v>
      </c>
      <c r="B2162" t="s">
        <v>719</v>
      </c>
      <c r="C2162" t="s">
        <v>322</v>
      </c>
      <c r="D2162" s="230">
        <v>0</v>
      </c>
      <c r="E2162" t="s">
        <v>720</v>
      </c>
    </row>
    <row r="2163" spans="1:5" hidden="1" x14ac:dyDescent="0.3">
      <c r="A2163" t="s">
        <v>557</v>
      </c>
      <c r="B2163" t="s">
        <v>719</v>
      </c>
      <c r="C2163" t="s">
        <v>44</v>
      </c>
      <c r="D2163" s="230">
        <v>-0.01</v>
      </c>
      <c r="E2163" t="s">
        <v>720</v>
      </c>
    </row>
    <row r="2164" spans="1:5" hidden="1" x14ac:dyDescent="0.3">
      <c r="A2164" t="s">
        <v>557</v>
      </c>
      <c r="B2164" t="s">
        <v>719</v>
      </c>
      <c r="C2164" t="s">
        <v>323</v>
      </c>
      <c r="D2164" s="230">
        <v>-20922.599999999999</v>
      </c>
      <c r="E2164" t="s">
        <v>720</v>
      </c>
    </row>
    <row r="2165" spans="1:5" hidden="1" x14ac:dyDescent="0.3">
      <c r="A2165" t="s">
        <v>557</v>
      </c>
      <c r="B2165" t="s">
        <v>719</v>
      </c>
      <c r="C2165" t="s">
        <v>324</v>
      </c>
      <c r="D2165" s="230">
        <v>0</v>
      </c>
      <c r="E2165" t="s">
        <v>720</v>
      </c>
    </row>
    <row r="2166" spans="1:5" hidden="1" x14ac:dyDescent="0.3">
      <c r="A2166" t="s">
        <v>557</v>
      </c>
      <c r="B2166" t="s">
        <v>719</v>
      </c>
      <c r="C2166" t="s">
        <v>325</v>
      </c>
      <c r="D2166" s="230">
        <v>0</v>
      </c>
      <c r="E2166" t="s">
        <v>720</v>
      </c>
    </row>
    <row r="2167" spans="1:5" hidden="1" x14ac:dyDescent="0.3">
      <c r="A2167" t="s">
        <v>557</v>
      </c>
      <c r="B2167" t="s">
        <v>719</v>
      </c>
      <c r="C2167" t="s">
        <v>326</v>
      </c>
      <c r="D2167" s="230">
        <v>-20922.599999999999</v>
      </c>
      <c r="E2167" t="s">
        <v>720</v>
      </c>
    </row>
    <row r="2168" spans="1:5" hidden="1" x14ac:dyDescent="0.3">
      <c r="A2168" t="s">
        <v>557</v>
      </c>
      <c r="B2168" t="s">
        <v>719</v>
      </c>
      <c r="C2168" t="s">
        <v>44</v>
      </c>
      <c r="D2168" s="230">
        <v>-0.05</v>
      </c>
      <c r="E2168" t="s">
        <v>720</v>
      </c>
    </row>
    <row r="2169" spans="1:5" hidden="1" x14ac:dyDescent="0.3">
      <c r="A2169" t="s">
        <v>557</v>
      </c>
      <c r="B2169" t="s">
        <v>719</v>
      </c>
      <c r="C2169" t="s">
        <v>328</v>
      </c>
      <c r="D2169" s="230">
        <v>-256910.32</v>
      </c>
      <c r="E2169" t="s">
        <v>720</v>
      </c>
    </row>
    <row r="2170" spans="1:5" hidden="1" x14ac:dyDescent="0.3">
      <c r="A2170" t="s">
        <v>557</v>
      </c>
      <c r="B2170" t="s">
        <v>719</v>
      </c>
      <c r="C2170" t="s">
        <v>44</v>
      </c>
      <c r="D2170" s="230">
        <v>-0.61</v>
      </c>
      <c r="E2170" t="s">
        <v>720</v>
      </c>
    </row>
    <row r="2171" spans="1:5" hidden="1" x14ac:dyDescent="0.3">
      <c r="A2171" t="s">
        <v>557</v>
      </c>
      <c r="B2171" t="s">
        <v>719</v>
      </c>
      <c r="C2171" t="s">
        <v>329</v>
      </c>
      <c r="D2171" s="230">
        <v>-24251.09</v>
      </c>
      <c r="E2171" t="s">
        <v>720</v>
      </c>
    </row>
    <row r="2172" spans="1:5" hidden="1" x14ac:dyDescent="0.3">
      <c r="A2172" t="s">
        <v>557</v>
      </c>
      <c r="B2172" t="s">
        <v>719</v>
      </c>
      <c r="C2172" t="s">
        <v>44</v>
      </c>
      <c r="D2172" s="230">
        <v>-0.06</v>
      </c>
      <c r="E2172" t="s">
        <v>720</v>
      </c>
    </row>
    <row r="2173" spans="1:5" hidden="1" x14ac:dyDescent="0.3">
      <c r="A2173" t="s">
        <v>557</v>
      </c>
      <c r="B2173" t="s">
        <v>719</v>
      </c>
      <c r="C2173" t="s">
        <v>330</v>
      </c>
      <c r="D2173" s="230">
        <v>0</v>
      </c>
      <c r="E2173" t="s">
        <v>720</v>
      </c>
    </row>
    <row r="2174" spans="1:5" hidden="1" x14ac:dyDescent="0.3">
      <c r="A2174" t="s">
        <v>557</v>
      </c>
      <c r="B2174" t="s">
        <v>719</v>
      </c>
      <c r="C2174" t="s">
        <v>332</v>
      </c>
      <c r="D2174" s="230">
        <v>-24251.09</v>
      </c>
      <c r="E2174" t="s">
        <v>720</v>
      </c>
    </row>
    <row r="2175" spans="1:5" hidden="1" x14ac:dyDescent="0.3">
      <c r="A2175" t="s">
        <v>557</v>
      </c>
      <c r="B2175" t="s">
        <v>719</v>
      </c>
      <c r="C2175" t="s">
        <v>333</v>
      </c>
      <c r="D2175" s="230">
        <v>7705.02</v>
      </c>
      <c r="E2175" t="s">
        <v>720</v>
      </c>
    </row>
    <row r="2176" spans="1:5" hidden="1" x14ac:dyDescent="0.3">
      <c r="A2176" t="s">
        <v>557</v>
      </c>
      <c r="B2176" t="s">
        <v>719</v>
      </c>
      <c r="C2176" t="s">
        <v>334</v>
      </c>
      <c r="D2176" s="230">
        <v>0</v>
      </c>
      <c r="E2176" t="s">
        <v>720</v>
      </c>
    </row>
    <row r="2177" spans="1:5" hidden="1" x14ac:dyDescent="0.3">
      <c r="A2177" t="s">
        <v>557</v>
      </c>
      <c r="B2177" t="s">
        <v>719</v>
      </c>
      <c r="C2177" t="s">
        <v>336</v>
      </c>
      <c r="D2177" s="230">
        <v>0</v>
      </c>
      <c r="E2177" t="s">
        <v>720</v>
      </c>
    </row>
    <row r="2178" spans="1:5" hidden="1" x14ac:dyDescent="0.3">
      <c r="A2178" t="s">
        <v>557</v>
      </c>
      <c r="B2178" t="s">
        <v>719</v>
      </c>
      <c r="C2178" t="s">
        <v>338</v>
      </c>
      <c r="D2178" s="230">
        <v>-16546.07</v>
      </c>
      <c r="E2178" t="s">
        <v>720</v>
      </c>
    </row>
    <row r="2179" spans="1:5" hidden="1" x14ac:dyDescent="0.3">
      <c r="A2179" t="s">
        <v>557</v>
      </c>
      <c r="B2179" t="s">
        <v>719</v>
      </c>
      <c r="C2179" t="s">
        <v>339</v>
      </c>
      <c r="D2179" s="230">
        <v>-20085.689999999999</v>
      </c>
      <c r="E2179" t="s">
        <v>720</v>
      </c>
    </row>
    <row r="2180" spans="1:5" hidden="1" x14ac:dyDescent="0.3">
      <c r="A2180" t="s">
        <v>557</v>
      </c>
      <c r="B2180" t="s">
        <v>719</v>
      </c>
      <c r="C2180" t="s">
        <v>342</v>
      </c>
      <c r="D2180" s="230">
        <v>-20085.689999999999</v>
      </c>
      <c r="E2180" t="s">
        <v>720</v>
      </c>
    </row>
    <row r="2181" spans="1:5" hidden="1" x14ac:dyDescent="0.3">
      <c r="A2181" t="s">
        <v>557</v>
      </c>
      <c r="B2181" t="s">
        <v>719</v>
      </c>
      <c r="C2181" t="s">
        <v>344</v>
      </c>
      <c r="D2181" s="230">
        <v>0</v>
      </c>
      <c r="E2181" t="s">
        <v>720</v>
      </c>
    </row>
    <row r="2182" spans="1:5" hidden="1" x14ac:dyDescent="0.3">
      <c r="A2182" t="s">
        <v>557</v>
      </c>
      <c r="B2182" t="s">
        <v>719</v>
      </c>
      <c r="C2182" t="s">
        <v>345</v>
      </c>
      <c r="D2182" s="230">
        <v>0</v>
      </c>
      <c r="E2182" t="s">
        <v>720</v>
      </c>
    </row>
    <row r="2183" spans="1:5" hidden="1" x14ac:dyDescent="0.3">
      <c r="A2183" t="s">
        <v>557</v>
      </c>
      <c r="B2183" t="s">
        <v>719</v>
      </c>
      <c r="C2183" t="s">
        <v>346</v>
      </c>
      <c r="D2183" s="230">
        <v>0</v>
      </c>
      <c r="E2183" t="s">
        <v>720</v>
      </c>
    </row>
    <row r="2184" spans="1:5" hidden="1" x14ac:dyDescent="0.3">
      <c r="A2184" t="s">
        <v>557</v>
      </c>
      <c r="B2184" t="s">
        <v>719</v>
      </c>
      <c r="C2184" t="s">
        <v>347</v>
      </c>
      <c r="D2184" s="230">
        <v>-36631.769999999997</v>
      </c>
      <c r="E2184" t="s">
        <v>720</v>
      </c>
    </row>
    <row r="2185" spans="1:5" hidden="1" x14ac:dyDescent="0.3">
      <c r="A2185" t="s">
        <v>557</v>
      </c>
      <c r="B2185" t="s">
        <v>719</v>
      </c>
      <c r="C2185" t="s">
        <v>44</v>
      </c>
      <c r="D2185" s="230">
        <v>-0.09</v>
      </c>
      <c r="E2185" t="s">
        <v>720</v>
      </c>
    </row>
    <row r="2186" spans="1:5" hidden="1" x14ac:dyDescent="0.3">
      <c r="A2186" t="s">
        <v>557</v>
      </c>
      <c r="B2186" t="s">
        <v>719</v>
      </c>
      <c r="C2186" t="s">
        <v>348</v>
      </c>
      <c r="D2186" s="230">
        <v>-1750</v>
      </c>
      <c r="E2186" t="s">
        <v>720</v>
      </c>
    </row>
    <row r="2187" spans="1:5" hidden="1" x14ac:dyDescent="0.3">
      <c r="A2187" t="s">
        <v>557</v>
      </c>
      <c r="B2187" t="s">
        <v>719</v>
      </c>
      <c r="C2187" t="s">
        <v>707</v>
      </c>
      <c r="D2187" s="230">
        <v>-1600</v>
      </c>
      <c r="E2187" t="s">
        <v>720</v>
      </c>
    </row>
    <row r="2188" spans="1:5" hidden="1" x14ac:dyDescent="0.3">
      <c r="A2188" t="s">
        <v>557</v>
      </c>
      <c r="B2188" t="s">
        <v>719</v>
      </c>
      <c r="C2188" t="s">
        <v>350</v>
      </c>
      <c r="D2188" s="230">
        <v>-150</v>
      </c>
      <c r="E2188" t="s">
        <v>720</v>
      </c>
    </row>
    <row r="2189" spans="1:5" hidden="1" x14ac:dyDescent="0.3">
      <c r="A2189" t="s">
        <v>557</v>
      </c>
      <c r="B2189" t="s">
        <v>719</v>
      </c>
      <c r="C2189" t="s">
        <v>351</v>
      </c>
      <c r="D2189" s="230">
        <v>0</v>
      </c>
      <c r="E2189" t="s">
        <v>720</v>
      </c>
    </row>
    <row r="2190" spans="1:5" hidden="1" x14ac:dyDescent="0.3">
      <c r="A2190" t="s">
        <v>557</v>
      </c>
      <c r="B2190" t="s">
        <v>719</v>
      </c>
      <c r="C2190" t="s">
        <v>352</v>
      </c>
      <c r="D2190" s="230">
        <v>0</v>
      </c>
      <c r="E2190" t="s">
        <v>720</v>
      </c>
    </row>
    <row r="2191" spans="1:5" hidden="1" x14ac:dyDescent="0.3">
      <c r="A2191" t="s">
        <v>557</v>
      </c>
      <c r="B2191" t="s">
        <v>719</v>
      </c>
      <c r="C2191" t="s">
        <v>353</v>
      </c>
      <c r="D2191" s="230">
        <v>0</v>
      </c>
      <c r="E2191" t="s">
        <v>720</v>
      </c>
    </row>
    <row r="2192" spans="1:5" hidden="1" x14ac:dyDescent="0.3">
      <c r="A2192" t="s">
        <v>557</v>
      </c>
      <c r="B2192" t="s">
        <v>719</v>
      </c>
      <c r="C2192" t="s">
        <v>354</v>
      </c>
      <c r="D2192" s="230">
        <v>0</v>
      </c>
      <c r="E2192" t="s">
        <v>720</v>
      </c>
    </row>
    <row r="2193" spans="1:5" hidden="1" x14ac:dyDescent="0.3">
      <c r="A2193" t="s">
        <v>557</v>
      </c>
      <c r="B2193" t="s">
        <v>719</v>
      </c>
      <c r="C2193" t="s">
        <v>355</v>
      </c>
      <c r="D2193" s="230">
        <v>0</v>
      </c>
      <c r="E2193" t="s">
        <v>720</v>
      </c>
    </row>
    <row r="2194" spans="1:5" hidden="1" x14ac:dyDescent="0.3">
      <c r="A2194" t="s">
        <v>557</v>
      </c>
      <c r="B2194" t="s">
        <v>719</v>
      </c>
      <c r="C2194" t="s">
        <v>356</v>
      </c>
      <c r="D2194" s="230">
        <v>0</v>
      </c>
      <c r="E2194" t="s">
        <v>720</v>
      </c>
    </row>
    <row r="2195" spans="1:5" hidden="1" x14ac:dyDescent="0.3">
      <c r="A2195" t="s">
        <v>557</v>
      </c>
      <c r="B2195" t="s">
        <v>719</v>
      </c>
      <c r="C2195" t="s">
        <v>357</v>
      </c>
      <c r="D2195" s="230">
        <v>0</v>
      </c>
      <c r="E2195" t="s">
        <v>720</v>
      </c>
    </row>
    <row r="2196" spans="1:5" hidden="1" x14ac:dyDescent="0.3">
      <c r="A2196" t="s">
        <v>557</v>
      </c>
      <c r="B2196" t="s">
        <v>719</v>
      </c>
      <c r="C2196" t="s">
        <v>358</v>
      </c>
      <c r="D2196" s="230">
        <v>0</v>
      </c>
      <c r="E2196" t="s">
        <v>720</v>
      </c>
    </row>
    <row r="2197" spans="1:5" hidden="1" x14ac:dyDescent="0.3">
      <c r="A2197" t="s">
        <v>557</v>
      </c>
      <c r="B2197" t="s">
        <v>719</v>
      </c>
      <c r="C2197" t="s">
        <v>359</v>
      </c>
      <c r="D2197" s="230">
        <v>0</v>
      </c>
      <c r="E2197" t="s">
        <v>720</v>
      </c>
    </row>
    <row r="2198" spans="1:5" hidden="1" x14ac:dyDescent="0.3">
      <c r="A2198" t="s">
        <v>557</v>
      </c>
      <c r="B2198" t="s">
        <v>719</v>
      </c>
      <c r="C2198" t="s">
        <v>360</v>
      </c>
      <c r="D2198" s="230">
        <v>0</v>
      </c>
      <c r="E2198" t="s">
        <v>720</v>
      </c>
    </row>
    <row r="2199" spans="1:5" hidden="1" x14ac:dyDescent="0.3">
      <c r="A2199" t="s">
        <v>557</v>
      </c>
      <c r="B2199" t="s">
        <v>719</v>
      </c>
      <c r="C2199" t="s">
        <v>361</v>
      </c>
      <c r="D2199" s="230">
        <v>0</v>
      </c>
      <c r="E2199" t="s">
        <v>720</v>
      </c>
    </row>
    <row r="2200" spans="1:5" hidden="1" x14ac:dyDescent="0.3">
      <c r="A2200" t="s">
        <v>557</v>
      </c>
      <c r="B2200" t="s">
        <v>719</v>
      </c>
      <c r="C2200" t="s">
        <v>362</v>
      </c>
      <c r="D2200" s="230">
        <v>0</v>
      </c>
      <c r="E2200" t="s">
        <v>720</v>
      </c>
    </row>
    <row r="2201" spans="1:5" hidden="1" x14ac:dyDescent="0.3">
      <c r="A2201" t="s">
        <v>557</v>
      </c>
      <c r="B2201" t="s">
        <v>719</v>
      </c>
      <c r="C2201" t="s">
        <v>363</v>
      </c>
      <c r="D2201" s="230">
        <v>0</v>
      </c>
      <c r="E2201" t="s">
        <v>720</v>
      </c>
    </row>
    <row r="2202" spans="1:5" hidden="1" x14ac:dyDescent="0.3">
      <c r="A2202" t="s">
        <v>557</v>
      </c>
      <c r="B2202" t="s">
        <v>719</v>
      </c>
      <c r="C2202" t="s">
        <v>364</v>
      </c>
      <c r="D2202" s="230">
        <v>0</v>
      </c>
      <c r="E2202" t="s">
        <v>720</v>
      </c>
    </row>
    <row r="2203" spans="1:5" hidden="1" x14ac:dyDescent="0.3">
      <c r="A2203" t="s">
        <v>557</v>
      </c>
      <c r="B2203" t="s">
        <v>719</v>
      </c>
      <c r="C2203" t="s">
        <v>365</v>
      </c>
      <c r="D2203" s="230">
        <v>0</v>
      </c>
      <c r="E2203" t="s">
        <v>720</v>
      </c>
    </row>
    <row r="2204" spans="1:5" hidden="1" x14ac:dyDescent="0.3">
      <c r="A2204" t="s">
        <v>557</v>
      </c>
      <c r="B2204" t="s">
        <v>719</v>
      </c>
      <c r="C2204" t="s">
        <v>366</v>
      </c>
      <c r="D2204" s="230">
        <v>0</v>
      </c>
      <c r="E2204" t="s">
        <v>720</v>
      </c>
    </row>
    <row r="2205" spans="1:5" hidden="1" x14ac:dyDescent="0.3">
      <c r="A2205" t="s">
        <v>557</v>
      </c>
      <c r="B2205" t="s">
        <v>719</v>
      </c>
      <c r="C2205" t="s">
        <v>367</v>
      </c>
      <c r="D2205" s="230">
        <v>0</v>
      </c>
      <c r="E2205" t="s">
        <v>720</v>
      </c>
    </row>
    <row r="2206" spans="1:5" hidden="1" x14ac:dyDescent="0.3">
      <c r="A2206" t="s">
        <v>557</v>
      </c>
      <c r="B2206" t="s">
        <v>719</v>
      </c>
      <c r="C2206" t="s">
        <v>368</v>
      </c>
      <c r="D2206" s="230">
        <v>0</v>
      </c>
      <c r="E2206" t="s">
        <v>720</v>
      </c>
    </row>
    <row r="2207" spans="1:5" hidden="1" x14ac:dyDescent="0.3">
      <c r="A2207" t="s">
        <v>557</v>
      </c>
      <c r="B2207" t="s">
        <v>719</v>
      </c>
      <c r="C2207" t="s">
        <v>369</v>
      </c>
      <c r="D2207" s="230">
        <v>0</v>
      </c>
      <c r="E2207" t="s">
        <v>720</v>
      </c>
    </row>
    <row r="2208" spans="1:5" hidden="1" x14ac:dyDescent="0.3">
      <c r="A2208" t="s">
        <v>557</v>
      </c>
      <c r="B2208" t="s">
        <v>719</v>
      </c>
      <c r="C2208" t="s">
        <v>370</v>
      </c>
      <c r="D2208" s="230">
        <v>0</v>
      </c>
      <c r="E2208" t="s">
        <v>720</v>
      </c>
    </row>
    <row r="2209" spans="1:5" hidden="1" x14ac:dyDescent="0.3">
      <c r="A2209" t="s">
        <v>557</v>
      </c>
      <c r="B2209" t="s">
        <v>719</v>
      </c>
      <c r="C2209" t="s">
        <v>371</v>
      </c>
      <c r="D2209" s="230">
        <v>0</v>
      </c>
      <c r="E2209" t="s">
        <v>720</v>
      </c>
    </row>
    <row r="2210" spans="1:5" hidden="1" x14ac:dyDescent="0.3">
      <c r="A2210" t="s">
        <v>557</v>
      </c>
      <c r="B2210" t="s">
        <v>719</v>
      </c>
      <c r="C2210" t="s">
        <v>372</v>
      </c>
      <c r="D2210" s="230">
        <v>0</v>
      </c>
      <c r="E2210" t="s">
        <v>720</v>
      </c>
    </row>
    <row r="2211" spans="1:5" hidden="1" x14ac:dyDescent="0.3">
      <c r="A2211" t="s">
        <v>557</v>
      </c>
      <c r="B2211" t="s">
        <v>719</v>
      </c>
      <c r="C2211" t="s">
        <v>373</v>
      </c>
      <c r="D2211" s="230">
        <v>0</v>
      </c>
      <c r="E2211" t="s">
        <v>720</v>
      </c>
    </row>
    <row r="2212" spans="1:5" hidden="1" x14ac:dyDescent="0.3">
      <c r="A2212" t="s">
        <v>557</v>
      </c>
      <c r="B2212" t="s">
        <v>719</v>
      </c>
      <c r="C2212" t="s">
        <v>374</v>
      </c>
      <c r="D2212" s="230">
        <v>0</v>
      </c>
      <c r="E2212" t="s">
        <v>720</v>
      </c>
    </row>
    <row r="2213" spans="1:5" hidden="1" x14ac:dyDescent="0.3">
      <c r="A2213" t="s">
        <v>557</v>
      </c>
      <c r="B2213" t="s">
        <v>719</v>
      </c>
      <c r="C2213" t="s">
        <v>708</v>
      </c>
      <c r="D2213" s="230">
        <v>0</v>
      </c>
      <c r="E2213" t="s">
        <v>720</v>
      </c>
    </row>
    <row r="2214" spans="1:5" hidden="1" x14ac:dyDescent="0.3">
      <c r="A2214" t="s">
        <v>557</v>
      </c>
      <c r="B2214" t="s">
        <v>721</v>
      </c>
      <c r="C2214" t="s">
        <v>11</v>
      </c>
      <c r="D2214" s="230">
        <v>446876.9</v>
      </c>
      <c r="E2214" t="s">
        <v>722</v>
      </c>
    </row>
    <row r="2215" spans="1:5" hidden="1" x14ac:dyDescent="0.3">
      <c r="A2215" t="s">
        <v>557</v>
      </c>
      <c r="B2215" t="s">
        <v>721</v>
      </c>
      <c r="C2215" t="s">
        <v>13</v>
      </c>
      <c r="D2215" s="230">
        <v>237471.8</v>
      </c>
      <c r="E2215" t="s">
        <v>722</v>
      </c>
    </row>
    <row r="2216" spans="1:5" hidden="1" x14ac:dyDescent="0.3">
      <c r="A2216" t="s">
        <v>557</v>
      </c>
      <c r="B2216" t="s">
        <v>721</v>
      </c>
      <c r="C2216" t="s">
        <v>16</v>
      </c>
      <c r="D2216" s="230">
        <v>120348.2</v>
      </c>
      <c r="E2216" t="s">
        <v>722</v>
      </c>
    </row>
    <row r="2217" spans="1:5" hidden="1" x14ac:dyDescent="0.3">
      <c r="A2217" t="s">
        <v>557</v>
      </c>
      <c r="B2217" t="s">
        <v>721</v>
      </c>
      <c r="C2217" t="s">
        <v>17</v>
      </c>
      <c r="D2217" s="230">
        <v>9695</v>
      </c>
      <c r="E2217" t="s">
        <v>722</v>
      </c>
    </row>
    <row r="2218" spans="1:5" hidden="1" x14ac:dyDescent="0.3">
      <c r="A2218" t="s">
        <v>557</v>
      </c>
      <c r="B2218" t="s">
        <v>721</v>
      </c>
      <c r="C2218" t="s">
        <v>18</v>
      </c>
      <c r="D2218" s="230">
        <v>0</v>
      </c>
      <c r="E2218" t="s">
        <v>722</v>
      </c>
    </row>
    <row r="2219" spans="1:5" hidden="1" x14ac:dyDescent="0.3">
      <c r="A2219" t="s">
        <v>557</v>
      </c>
      <c r="B2219" t="s">
        <v>721</v>
      </c>
      <c r="C2219" t="s">
        <v>20</v>
      </c>
      <c r="D2219" s="230">
        <v>46011.58</v>
      </c>
      <c r="E2219" t="s">
        <v>722</v>
      </c>
    </row>
    <row r="2220" spans="1:5" hidden="1" x14ac:dyDescent="0.3">
      <c r="A2220" t="s">
        <v>557</v>
      </c>
      <c r="B2220" t="s">
        <v>721</v>
      </c>
      <c r="C2220" t="s">
        <v>23</v>
      </c>
      <c r="D2220" s="230">
        <v>17000</v>
      </c>
      <c r="E2220" t="s">
        <v>722</v>
      </c>
    </row>
    <row r="2221" spans="1:5" hidden="1" x14ac:dyDescent="0.3">
      <c r="A2221" t="s">
        <v>557</v>
      </c>
      <c r="B2221" t="s">
        <v>721</v>
      </c>
      <c r="C2221" t="s">
        <v>25</v>
      </c>
      <c r="D2221" s="230">
        <v>0</v>
      </c>
      <c r="E2221" t="s">
        <v>722</v>
      </c>
    </row>
    <row r="2222" spans="1:5" hidden="1" x14ac:dyDescent="0.3">
      <c r="A2222" t="s">
        <v>557</v>
      </c>
      <c r="B2222" t="s">
        <v>721</v>
      </c>
      <c r="C2222" t="s">
        <v>26</v>
      </c>
      <c r="D2222" s="230">
        <v>12620</v>
      </c>
      <c r="E2222" t="s">
        <v>722</v>
      </c>
    </row>
    <row r="2223" spans="1:5" hidden="1" x14ac:dyDescent="0.3">
      <c r="A2223" t="s">
        <v>557</v>
      </c>
      <c r="B2223" t="s">
        <v>721</v>
      </c>
      <c r="C2223" t="s">
        <v>27</v>
      </c>
      <c r="D2223" s="230">
        <v>0</v>
      </c>
      <c r="E2223" t="s">
        <v>722</v>
      </c>
    </row>
    <row r="2224" spans="1:5" hidden="1" x14ac:dyDescent="0.3">
      <c r="A2224" t="s">
        <v>557</v>
      </c>
      <c r="B2224" t="s">
        <v>721</v>
      </c>
      <c r="C2224" t="s">
        <v>29</v>
      </c>
      <c r="D2224" s="230">
        <v>3730.32</v>
      </c>
      <c r="E2224" t="s">
        <v>722</v>
      </c>
    </row>
    <row r="2225" spans="1:5" hidden="1" x14ac:dyDescent="0.3">
      <c r="A2225" t="s">
        <v>557</v>
      </c>
      <c r="B2225" t="s">
        <v>721</v>
      </c>
      <c r="C2225" t="s">
        <v>31</v>
      </c>
      <c r="D2225" s="230">
        <v>0</v>
      </c>
      <c r="E2225" t="s">
        <v>722</v>
      </c>
    </row>
    <row r="2226" spans="1:5" hidden="1" x14ac:dyDescent="0.3">
      <c r="A2226" t="s">
        <v>557</v>
      </c>
      <c r="B2226" t="s">
        <v>721</v>
      </c>
      <c r="C2226" t="s">
        <v>34</v>
      </c>
      <c r="D2226" s="230">
        <v>-9900.83</v>
      </c>
      <c r="E2226" t="s">
        <v>722</v>
      </c>
    </row>
    <row r="2227" spans="1:5" hidden="1" x14ac:dyDescent="0.3">
      <c r="A2227" t="s">
        <v>557</v>
      </c>
      <c r="B2227" t="s">
        <v>721</v>
      </c>
      <c r="C2227" t="s">
        <v>38</v>
      </c>
      <c r="D2227" s="230">
        <v>-9900.83</v>
      </c>
      <c r="E2227" t="s">
        <v>722</v>
      </c>
    </row>
    <row r="2228" spans="1:5" hidden="1" x14ac:dyDescent="0.3">
      <c r="A2228" t="s">
        <v>557</v>
      </c>
      <c r="B2228" t="s">
        <v>721</v>
      </c>
      <c r="C2228" t="s">
        <v>40</v>
      </c>
      <c r="D2228" s="230">
        <v>0</v>
      </c>
      <c r="E2228" t="s">
        <v>722</v>
      </c>
    </row>
    <row r="2229" spans="1:5" hidden="1" x14ac:dyDescent="0.3">
      <c r="A2229" t="s">
        <v>557</v>
      </c>
      <c r="B2229" t="s">
        <v>721</v>
      </c>
      <c r="C2229" t="s">
        <v>42</v>
      </c>
      <c r="D2229" s="230">
        <v>0</v>
      </c>
      <c r="E2229" t="s">
        <v>722</v>
      </c>
    </row>
    <row r="2230" spans="1:5" hidden="1" x14ac:dyDescent="0.3">
      <c r="A2230" t="s">
        <v>557</v>
      </c>
      <c r="B2230" t="s">
        <v>721</v>
      </c>
      <c r="C2230" t="s">
        <v>44</v>
      </c>
      <c r="D2230" s="230">
        <v>-0.02</v>
      </c>
      <c r="E2230" t="s">
        <v>722</v>
      </c>
    </row>
    <row r="2231" spans="1:5" hidden="1" x14ac:dyDescent="0.3">
      <c r="A2231" t="s">
        <v>557</v>
      </c>
      <c r="B2231" t="s">
        <v>721</v>
      </c>
      <c r="C2231" t="s">
        <v>45</v>
      </c>
      <c r="D2231" s="230">
        <v>-27571.82</v>
      </c>
      <c r="E2231" t="s">
        <v>722</v>
      </c>
    </row>
    <row r="2232" spans="1:5" hidden="1" x14ac:dyDescent="0.3">
      <c r="A2232" t="s">
        <v>557</v>
      </c>
      <c r="B2232" t="s">
        <v>721</v>
      </c>
      <c r="C2232" t="s">
        <v>46</v>
      </c>
      <c r="D2232" s="230">
        <v>-14270.2</v>
      </c>
      <c r="E2232" t="s">
        <v>722</v>
      </c>
    </row>
    <row r="2233" spans="1:5" hidden="1" x14ac:dyDescent="0.3">
      <c r="A2233" t="s">
        <v>557</v>
      </c>
      <c r="B2233" t="s">
        <v>721</v>
      </c>
      <c r="C2233" t="s">
        <v>48</v>
      </c>
      <c r="D2233" s="230">
        <v>-11966.86</v>
      </c>
      <c r="E2233" t="s">
        <v>722</v>
      </c>
    </row>
    <row r="2234" spans="1:5" hidden="1" x14ac:dyDescent="0.3">
      <c r="A2234" t="s">
        <v>557</v>
      </c>
      <c r="B2234" t="s">
        <v>721</v>
      </c>
      <c r="C2234" t="s">
        <v>49</v>
      </c>
      <c r="D2234" s="230">
        <v>-1334.75</v>
      </c>
      <c r="E2234" t="s">
        <v>722</v>
      </c>
    </row>
    <row r="2235" spans="1:5" hidden="1" x14ac:dyDescent="0.3">
      <c r="A2235" t="s">
        <v>557</v>
      </c>
      <c r="B2235" t="s">
        <v>721</v>
      </c>
      <c r="C2235" t="s">
        <v>50</v>
      </c>
      <c r="D2235" s="230">
        <v>409404.25</v>
      </c>
      <c r="E2235" t="s">
        <v>722</v>
      </c>
    </row>
    <row r="2236" spans="1:5" hidden="1" x14ac:dyDescent="0.3">
      <c r="A2236" t="s">
        <v>557</v>
      </c>
      <c r="B2236" t="s">
        <v>721</v>
      </c>
      <c r="C2236" t="s">
        <v>51</v>
      </c>
      <c r="D2236" s="230">
        <v>-118232.16</v>
      </c>
      <c r="E2236" t="s">
        <v>722</v>
      </c>
    </row>
    <row r="2237" spans="1:5" hidden="1" x14ac:dyDescent="0.3">
      <c r="A2237" t="s">
        <v>557</v>
      </c>
      <c r="B2237" t="s">
        <v>721</v>
      </c>
      <c r="C2237" t="s">
        <v>52</v>
      </c>
      <c r="D2237" s="230">
        <v>-86387.78</v>
      </c>
      <c r="E2237" t="s">
        <v>722</v>
      </c>
    </row>
    <row r="2238" spans="1:5" hidden="1" x14ac:dyDescent="0.3">
      <c r="A2238" t="s">
        <v>557</v>
      </c>
      <c r="B2238" t="s">
        <v>721</v>
      </c>
      <c r="C2238" t="s">
        <v>53</v>
      </c>
      <c r="D2238" s="230">
        <v>-31844.38</v>
      </c>
      <c r="E2238" t="s">
        <v>722</v>
      </c>
    </row>
    <row r="2239" spans="1:5" hidden="1" x14ac:dyDescent="0.3">
      <c r="A2239" t="s">
        <v>557</v>
      </c>
      <c r="B2239" t="s">
        <v>721</v>
      </c>
      <c r="C2239" t="s">
        <v>54</v>
      </c>
      <c r="D2239" s="230">
        <v>0</v>
      </c>
      <c r="E2239" t="s">
        <v>722</v>
      </c>
    </row>
    <row r="2240" spans="1:5" hidden="1" x14ac:dyDescent="0.3">
      <c r="A2240" t="s">
        <v>557</v>
      </c>
      <c r="B2240" t="s">
        <v>721</v>
      </c>
      <c r="C2240" t="s">
        <v>23</v>
      </c>
      <c r="D2240" s="230">
        <v>0</v>
      </c>
      <c r="E2240" t="s">
        <v>722</v>
      </c>
    </row>
    <row r="2241" spans="1:5" hidden="1" x14ac:dyDescent="0.3">
      <c r="A2241" t="s">
        <v>557</v>
      </c>
      <c r="B2241" t="s">
        <v>721</v>
      </c>
      <c r="C2241" t="s">
        <v>44</v>
      </c>
      <c r="D2241" s="230">
        <v>-0.31</v>
      </c>
      <c r="E2241" t="s">
        <v>722</v>
      </c>
    </row>
    <row r="2242" spans="1:5" hidden="1" x14ac:dyDescent="0.3">
      <c r="A2242" t="s">
        <v>557</v>
      </c>
      <c r="B2242" t="s">
        <v>721</v>
      </c>
      <c r="C2242" t="s">
        <v>55</v>
      </c>
      <c r="D2242" s="230">
        <v>-0.28999999999999998</v>
      </c>
      <c r="E2242" t="s">
        <v>722</v>
      </c>
    </row>
    <row r="2243" spans="1:5" hidden="1" x14ac:dyDescent="0.3">
      <c r="A2243" t="s">
        <v>557</v>
      </c>
      <c r="B2243" t="s">
        <v>721</v>
      </c>
      <c r="C2243" t="s">
        <v>56</v>
      </c>
      <c r="D2243" s="230">
        <v>-8603.08</v>
      </c>
      <c r="E2243" t="s">
        <v>722</v>
      </c>
    </row>
    <row r="2244" spans="1:5" hidden="1" x14ac:dyDescent="0.3">
      <c r="A2244" t="s">
        <v>557</v>
      </c>
      <c r="B2244" t="s">
        <v>721</v>
      </c>
      <c r="C2244" t="s">
        <v>57</v>
      </c>
      <c r="D2244" s="230">
        <v>-7520.08</v>
      </c>
      <c r="E2244" t="s">
        <v>722</v>
      </c>
    </row>
    <row r="2245" spans="1:5" hidden="1" x14ac:dyDescent="0.3">
      <c r="A2245" t="s">
        <v>557</v>
      </c>
      <c r="B2245" t="s">
        <v>721</v>
      </c>
      <c r="C2245" t="s">
        <v>58</v>
      </c>
      <c r="D2245" s="230">
        <v>-7350</v>
      </c>
      <c r="E2245" t="s">
        <v>722</v>
      </c>
    </row>
    <row r="2246" spans="1:5" hidden="1" x14ac:dyDescent="0.3">
      <c r="A2246" t="s">
        <v>557</v>
      </c>
      <c r="B2246" t="s">
        <v>721</v>
      </c>
      <c r="C2246" t="s">
        <v>59</v>
      </c>
      <c r="D2246" s="230">
        <v>-170.08</v>
      </c>
      <c r="E2246" t="s">
        <v>722</v>
      </c>
    </row>
    <row r="2247" spans="1:5" hidden="1" x14ac:dyDescent="0.3">
      <c r="A2247" t="s">
        <v>557</v>
      </c>
      <c r="B2247" t="s">
        <v>721</v>
      </c>
      <c r="C2247" t="s">
        <v>61</v>
      </c>
      <c r="D2247" s="230">
        <v>0</v>
      </c>
      <c r="E2247" t="s">
        <v>722</v>
      </c>
    </row>
    <row r="2248" spans="1:5" hidden="1" x14ac:dyDescent="0.3">
      <c r="A2248" t="s">
        <v>557</v>
      </c>
      <c r="B2248" t="s">
        <v>721</v>
      </c>
      <c r="C2248" t="s">
        <v>62</v>
      </c>
      <c r="D2248" s="230">
        <v>0</v>
      </c>
      <c r="E2248" t="s">
        <v>722</v>
      </c>
    </row>
    <row r="2249" spans="1:5" hidden="1" x14ac:dyDescent="0.3">
      <c r="A2249" t="s">
        <v>557</v>
      </c>
      <c r="B2249" t="s">
        <v>721</v>
      </c>
      <c r="C2249" t="s">
        <v>64</v>
      </c>
      <c r="D2249" s="230">
        <v>0</v>
      </c>
      <c r="E2249" t="s">
        <v>722</v>
      </c>
    </row>
    <row r="2250" spans="1:5" hidden="1" x14ac:dyDescent="0.3">
      <c r="A2250" t="s">
        <v>557</v>
      </c>
      <c r="B2250" t="s">
        <v>721</v>
      </c>
      <c r="C2250" t="s">
        <v>65</v>
      </c>
      <c r="D2250" s="230">
        <v>-1083</v>
      </c>
      <c r="E2250" t="s">
        <v>722</v>
      </c>
    </row>
    <row r="2251" spans="1:5" hidden="1" x14ac:dyDescent="0.3">
      <c r="A2251" t="s">
        <v>557</v>
      </c>
      <c r="B2251" t="s">
        <v>721</v>
      </c>
      <c r="C2251" t="s">
        <v>66</v>
      </c>
      <c r="D2251" s="230">
        <v>-1083</v>
      </c>
      <c r="E2251" t="s">
        <v>722</v>
      </c>
    </row>
    <row r="2252" spans="1:5" hidden="1" x14ac:dyDescent="0.3">
      <c r="A2252" t="s">
        <v>557</v>
      </c>
      <c r="B2252" t="s">
        <v>721</v>
      </c>
      <c r="C2252" t="s">
        <v>68</v>
      </c>
      <c r="D2252" s="230">
        <v>0</v>
      </c>
      <c r="E2252" t="s">
        <v>722</v>
      </c>
    </row>
    <row r="2253" spans="1:5" hidden="1" x14ac:dyDescent="0.3">
      <c r="A2253" t="s">
        <v>557</v>
      </c>
      <c r="B2253" t="s">
        <v>721</v>
      </c>
      <c r="C2253" t="s">
        <v>69</v>
      </c>
      <c r="D2253" s="230">
        <v>0</v>
      </c>
      <c r="E2253" t="s">
        <v>722</v>
      </c>
    </row>
    <row r="2254" spans="1:5" hidden="1" x14ac:dyDescent="0.3">
      <c r="A2254" t="s">
        <v>557</v>
      </c>
      <c r="B2254" t="s">
        <v>721</v>
      </c>
      <c r="C2254" t="s">
        <v>70</v>
      </c>
      <c r="D2254" s="230">
        <v>-0.89</v>
      </c>
      <c r="E2254" t="s">
        <v>722</v>
      </c>
    </row>
    <row r="2255" spans="1:5" hidden="1" x14ac:dyDescent="0.3">
      <c r="A2255" t="s">
        <v>557</v>
      </c>
      <c r="B2255" t="s">
        <v>721</v>
      </c>
      <c r="C2255" t="s">
        <v>44</v>
      </c>
      <c r="D2255" s="230">
        <v>-0.02</v>
      </c>
      <c r="E2255" t="s">
        <v>722</v>
      </c>
    </row>
    <row r="2256" spans="1:5" hidden="1" x14ac:dyDescent="0.3">
      <c r="A2256" t="s">
        <v>557</v>
      </c>
      <c r="B2256" t="s">
        <v>721</v>
      </c>
      <c r="C2256" t="s">
        <v>71</v>
      </c>
      <c r="D2256" s="230">
        <v>0</v>
      </c>
      <c r="E2256" t="s">
        <v>722</v>
      </c>
    </row>
    <row r="2257" spans="1:5" hidden="1" x14ac:dyDescent="0.3">
      <c r="A2257" t="s">
        <v>557</v>
      </c>
      <c r="B2257" t="s">
        <v>721</v>
      </c>
      <c r="C2257" t="s">
        <v>72</v>
      </c>
      <c r="D2257" s="230">
        <v>0</v>
      </c>
      <c r="E2257" t="s">
        <v>722</v>
      </c>
    </row>
    <row r="2258" spans="1:5" hidden="1" x14ac:dyDescent="0.3">
      <c r="A2258" t="s">
        <v>557</v>
      </c>
      <c r="B2258" t="s">
        <v>721</v>
      </c>
      <c r="C2258" t="s">
        <v>73</v>
      </c>
      <c r="D2258" s="230">
        <v>0</v>
      </c>
      <c r="E2258" t="s">
        <v>722</v>
      </c>
    </row>
    <row r="2259" spans="1:5" hidden="1" x14ac:dyDescent="0.3">
      <c r="A2259" t="s">
        <v>557</v>
      </c>
      <c r="B2259" t="s">
        <v>721</v>
      </c>
      <c r="C2259" t="s">
        <v>75</v>
      </c>
      <c r="D2259" s="230">
        <v>0</v>
      </c>
      <c r="E2259" t="s">
        <v>722</v>
      </c>
    </row>
    <row r="2260" spans="1:5" hidden="1" x14ac:dyDescent="0.3">
      <c r="A2260" t="s">
        <v>557</v>
      </c>
      <c r="B2260" t="s">
        <v>721</v>
      </c>
      <c r="C2260" t="s">
        <v>77</v>
      </c>
      <c r="D2260" s="230">
        <v>0</v>
      </c>
      <c r="E2260" t="s">
        <v>722</v>
      </c>
    </row>
    <row r="2261" spans="1:5" hidden="1" x14ac:dyDescent="0.3">
      <c r="A2261" t="s">
        <v>557</v>
      </c>
      <c r="B2261" t="s">
        <v>721</v>
      </c>
      <c r="C2261" t="s">
        <v>78</v>
      </c>
      <c r="D2261" s="230">
        <v>0</v>
      </c>
      <c r="E2261" t="s">
        <v>722</v>
      </c>
    </row>
    <row r="2262" spans="1:5" hidden="1" x14ac:dyDescent="0.3">
      <c r="A2262" t="s">
        <v>557</v>
      </c>
      <c r="B2262" t="s">
        <v>721</v>
      </c>
      <c r="C2262" t="s">
        <v>80</v>
      </c>
      <c r="D2262" s="230">
        <v>0</v>
      </c>
      <c r="E2262" t="s">
        <v>722</v>
      </c>
    </row>
    <row r="2263" spans="1:5" hidden="1" x14ac:dyDescent="0.3">
      <c r="A2263" t="s">
        <v>557</v>
      </c>
      <c r="B2263" t="s">
        <v>721</v>
      </c>
      <c r="C2263" t="s">
        <v>82</v>
      </c>
      <c r="D2263" s="230">
        <v>0</v>
      </c>
      <c r="E2263" t="s">
        <v>722</v>
      </c>
    </row>
    <row r="2264" spans="1:5" hidden="1" x14ac:dyDescent="0.3">
      <c r="A2264" t="s">
        <v>557</v>
      </c>
      <c r="B2264" t="s">
        <v>721</v>
      </c>
      <c r="C2264" t="s">
        <v>84</v>
      </c>
      <c r="D2264" s="230">
        <v>0</v>
      </c>
      <c r="E2264" t="s">
        <v>722</v>
      </c>
    </row>
    <row r="2265" spans="1:5" hidden="1" x14ac:dyDescent="0.3">
      <c r="A2265" t="s">
        <v>557</v>
      </c>
      <c r="B2265" t="s">
        <v>721</v>
      </c>
      <c r="C2265" t="s">
        <v>85</v>
      </c>
      <c r="D2265" s="230">
        <v>0</v>
      </c>
      <c r="E2265" t="s">
        <v>722</v>
      </c>
    </row>
    <row r="2266" spans="1:5" hidden="1" x14ac:dyDescent="0.3">
      <c r="A2266" t="s">
        <v>557</v>
      </c>
      <c r="B2266" t="s">
        <v>721</v>
      </c>
      <c r="C2266" t="s">
        <v>86</v>
      </c>
      <c r="D2266" s="230">
        <v>0</v>
      </c>
      <c r="E2266" t="s">
        <v>722</v>
      </c>
    </row>
    <row r="2267" spans="1:5" hidden="1" x14ac:dyDescent="0.3">
      <c r="A2267" t="s">
        <v>557</v>
      </c>
      <c r="B2267" t="s">
        <v>721</v>
      </c>
      <c r="C2267" t="s">
        <v>87</v>
      </c>
      <c r="D2267" s="230">
        <v>0</v>
      </c>
      <c r="E2267" t="s">
        <v>722</v>
      </c>
    </row>
    <row r="2268" spans="1:5" hidden="1" x14ac:dyDescent="0.3">
      <c r="A2268" t="s">
        <v>557</v>
      </c>
      <c r="B2268" t="s">
        <v>721</v>
      </c>
      <c r="C2268" t="s">
        <v>88</v>
      </c>
      <c r="D2268" s="230">
        <v>0</v>
      </c>
      <c r="E2268" t="s">
        <v>722</v>
      </c>
    </row>
    <row r="2269" spans="1:5" hidden="1" x14ac:dyDescent="0.3">
      <c r="A2269" t="s">
        <v>557</v>
      </c>
      <c r="B2269" t="s">
        <v>721</v>
      </c>
      <c r="C2269" t="s">
        <v>89</v>
      </c>
      <c r="D2269" s="230">
        <v>0</v>
      </c>
      <c r="E2269" t="s">
        <v>722</v>
      </c>
    </row>
    <row r="2270" spans="1:5" hidden="1" x14ac:dyDescent="0.3">
      <c r="A2270" t="s">
        <v>557</v>
      </c>
      <c r="B2270" t="s">
        <v>721</v>
      </c>
      <c r="C2270" t="s">
        <v>90</v>
      </c>
      <c r="D2270" s="230">
        <v>0</v>
      </c>
      <c r="E2270" t="s">
        <v>722</v>
      </c>
    </row>
    <row r="2271" spans="1:5" hidden="1" x14ac:dyDescent="0.3">
      <c r="A2271" t="s">
        <v>557</v>
      </c>
      <c r="B2271" t="s">
        <v>721</v>
      </c>
      <c r="C2271" t="s">
        <v>91</v>
      </c>
      <c r="D2271" s="230">
        <v>0</v>
      </c>
      <c r="E2271" t="s">
        <v>722</v>
      </c>
    </row>
    <row r="2272" spans="1:5" hidden="1" x14ac:dyDescent="0.3">
      <c r="A2272" t="s">
        <v>557</v>
      </c>
      <c r="B2272" t="s">
        <v>721</v>
      </c>
      <c r="C2272" t="s">
        <v>93</v>
      </c>
      <c r="D2272" s="230">
        <v>0</v>
      </c>
      <c r="E2272" t="s">
        <v>722</v>
      </c>
    </row>
    <row r="2273" spans="1:5" hidden="1" x14ac:dyDescent="0.3">
      <c r="A2273" t="s">
        <v>557</v>
      </c>
      <c r="B2273" t="s">
        <v>721</v>
      </c>
      <c r="C2273" t="s">
        <v>95</v>
      </c>
      <c r="D2273" s="230">
        <v>0</v>
      </c>
      <c r="E2273" t="s">
        <v>722</v>
      </c>
    </row>
    <row r="2274" spans="1:5" hidden="1" x14ac:dyDescent="0.3">
      <c r="A2274" t="s">
        <v>557</v>
      </c>
      <c r="B2274" t="s">
        <v>721</v>
      </c>
      <c r="C2274" t="s">
        <v>96</v>
      </c>
      <c r="D2274" s="230">
        <v>0</v>
      </c>
      <c r="E2274" t="s">
        <v>722</v>
      </c>
    </row>
    <row r="2275" spans="1:5" hidden="1" x14ac:dyDescent="0.3">
      <c r="A2275" t="s">
        <v>557</v>
      </c>
      <c r="B2275" t="s">
        <v>721</v>
      </c>
      <c r="C2275" t="s">
        <v>98</v>
      </c>
      <c r="D2275" s="230">
        <v>0</v>
      </c>
      <c r="E2275" t="s">
        <v>722</v>
      </c>
    </row>
    <row r="2276" spans="1:5" hidden="1" x14ac:dyDescent="0.3">
      <c r="A2276" t="s">
        <v>557</v>
      </c>
      <c r="B2276" t="s">
        <v>721</v>
      </c>
      <c r="C2276" t="s">
        <v>100</v>
      </c>
      <c r="D2276" s="230">
        <v>0</v>
      </c>
      <c r="E2276" t="s">
        <v>722</v>
      </c>
    </row>
    <row r="2277" spans="1:5" hidden="1" x14ac:dyDescent="0.3">
      <c r="A2277" t="s">
        <v>557</v>
      </c>
      <c r="B2277" t="s">
        <v>721</v>
      </c>
      <c r="C2277" t="s">
        <v>101</v>
      </c>
      <c r="D2277" s="230">
        <v>0</v>
      </c>
      <c r="E2277" t="s">
        <v>722</v>
      </c>
    </row>
    <row r="2278" spans="1:5" hidden="1" x14ac:dyDescent="0.3">
      <c r="A2278" t="s">
        <v>557</v>
      </c>
      <c r="B2278" t="s">
        <v>721</v>
      </c>
      <c r="C2278" t="s">
        <v>102</v>
      </c>
      <c r="D2278" s="230">
        <v>0</v>
      </c>
      <c r="E2278" t="s">
        <v>722</v>
      </c>
    </row>
    <row r="2279" spans="1:5" hidden="1" x14ac:dyDescent="0.3">
      <c r="A2279" t="s">
        <v>557</v>
      </c>
      <c r="B2279" t="s">
        <v>721</v>
      </c>
      <c r="C2279" t="s">
        <v>103</v>
      </c>
      <c r="D2279" s="230">
        <v>0</v>
      </c>
      <c r="E2279" t="s">
        <v>722</v>
      </c>
    </row>
    <row r="2280" spans="1:5" hidden="1" x14ac:dyDescent="0.3">
      <c r="A2280" t="s">
        <v>557</v>
      </c>
      <c r="B2280" t="s">
        <v>721</v>
      </c>
      <c r="C2280" t="s">
        <v>104</v>
      </c>
      <c r="D2280" s="230">
        <v>0</v>
      </c>
      <c r="E2280" t="s">
        <v>722</v>
      </c>
    </row>
    <row r="2281" spans="1:5" hidden="1" x14ac:dyDescent="0.3">
      <c r="A2281" t="s">
        <v>557</v>
      </c>
      <c r="B2281" t="s">
        <v>721</v>
      </c>
      <c r="C2281" t="s">
        <v>105</v>
      </c>
      <c r="D2281" s="230">
        <v>0</v>
      </c>
      <c r="E2281" t="s">
        <v>722</v>
      </c>
    </row>
    <row r="2282" spans="1:5" hidden="1" x14ac:dyDescent="0.3">
      <c r="A2282" t="s">
        <v>557</v>
      </c>
      <c r="B2282" t="s">
        <v>721</v>
      </c>
      <c r="C2282" t="s">
        <v>107</v>
      </c>
      <c r="D2282" s="230">
        <v>0</v>
      </c>
      <c r="E2282" t="s">
        <v>722</v>
      </c>
    </row>
    <row r="2283" spans="1:5" hidden="1" x14ac:dyDescent="0.3">
      <c r="A2283" t="s">
        <v>557</v>
      </c>
      <c r="B2283" t="s">
        <v>721</v>
      </c>
      <c r="C2283" t="s">
        <v>108</v>
      </c>
      <c r="D2283" s="230">
        <v>0</v>
      </c>
      <c r="E2283" t="s">
        <v>722</v>
      </c>
    </row>
    <row r="2284" spans="1:5" hidden="1" x14ac:dyDescent="0.3">
      <c r="A2284" t="s">
        <v>557</v>
      </c>
      <c r="B2284" t="s">
        <v>721</v>
      </c>
      <c r="C2284" t="s">
        <v>109</v>
      </c>
      <c r="D2284" s="230">
        <v>0</v>
      </c>
      <c r="E2284" t="s">
        <v>722</v>
      </c>
    </row>
    <row r="2285" spans="1:5" hidden="1" x14ac:dyDescent="0.3">
      <c r="A2285" t="s">
        <v>557</v>
      </c>
      <c r="B2285" t="s">
        <v>721</v>
      </c>
      <c r="C2285" t="s">
        <v>110</v>
      </c>
      <c r="D2285" s="230">
        <v>0</v>
      </c>
      <c r="E2285" t="s">
        <v>722</v>
      </c>
    </row>
    <row r="2286" spans="1:5" hidden="1" x14ac:dyDescent="0.3">
      <c r="A2286" t="s">
        <v>557</v>
      </c>
      <c r="B2286" t="s">
        <v>721</v>
      </c>
      <c r="C2286" t="s">
        <v>44</v>
      </c>
      <c r="D2286" s="230">
        <v>0</v>
      </c>
      <c r="E2286" t="s">
        <v>722</v>
      </c>
    </row>
    <row r="2287" spans="1:5" hidden="1" x14ac:dyDescent="0.3">
      <c r="A2287" t="s">
        <v>557</v>
      </c>
      <c r="B2287" t="s">
        <v>721</v>
      </c>
      <c r="C2287" t="s">
        <v>111</v>
      </c>
      <c r="D2287" s="230">
        <v>-31827.7</v>
      </c>
      <c r="E2287" t="s">
        <v>722</v>
      </c>
    </row>
    <row r="2288" spans="1:5" hidden="1" x14ac:dyDescent="0.3">
      <c r="A2288" t="s">
        <v>557</v>
      </c>
      <c r="B2288" t="s">
        <v>721</v>
      </c>
      <c r="C2288" t="s">
        <v>608</v>
      </c>
      <c r="D2288" s="230">
        <v>-31827.7</v>
      </c>
      <c r="E2288" t="s">
        <v>722</v>
      </c>
    </row>
    <row r="2289" spans="1:5" hidden="1" x14ac:dyDescent="0.3">
      <c r="A2289" t="s">
        <v>557</v>
      </c>
      <c r="B2289" t="s">
        <v>721</v>
      </c>
      <c r="C2289" t="s">
        <v>44</v>
      </c>
      <c r="D2289" s="230">
        <v>-7.0000000000000007E-2</v>
      </c>
      <c r="E2289" t="s">
        <v>722</v>
      </c>
    </row>
    <row r="2290" spans="1:5" hidden="1" x14ac:dyDescent="0.3">
      <c r="A2290" t="s">
        <v>557</v>
      </c>
      <c r="B2290" t="s">
        <v>721</v>
      </c>
      <c r="C2290" t="s">
        <v>115</v>
      </c>
      <c r="D2290" s="230">
        <v>-915.3</v>
      </c>
      <c r="E2290" t="s">
        <v>722</v>
      </c>
    </row>
    <row r="2291" spans="1:5" hidden="1" x14ac:dyDescent="0.3">
      <c r="A2291" t="s">
        <v>557</v>
      </c>
      <c r="B2291" t="s">
        <v>721</v>
      </c>
      <c r="C2291" t="s">
        <v>116</v>
      </c>
      <c r="D2291" s="230">
        <v>0</v>
      </c>
      <c r="E2291" t="s">
        <v>722</v>
      </c>
    </row>
    <row r="2292" spans="1:5" hidden="1" x14ac:dyDescent="0.3">
      <c r="A2292" t="s">
        <v>557</v>
      </c>
      <c r="B2292" t="s">
        <v>721</v>
      </c>
      <c r="C2292" t="s">
        <v>118</v>
      </c>
      <c r="D2292" s="230">
        <v>0</v>
      </c>
      <c r="E2292" t="s">
        <v>722</v>
      </c>
    </row>
    <row r="2293" spans="1:5" hidden="1" x14ac:dyDescent="0.3">
      <c r="A2293" t="s">
        <v>557</v>
      </c>
      <c r="B2293" t="s">
        <v>721</v>
      </c>
      <c r="C2293" t="s">
        <v>120</v>
      </c>
      <c r="D2293" s="230">
        <v>0</v>
      </c>
      <c r="E2293" t="s">
        <v>722</v>
      </c>
    </row>
    <row r="2294" spans="1:5" hidden="1" x14ac:dyDescent="0.3">
      <c r="A2294" t="s">
        <v>557</v>
      </c>
      <c r="B2294" t="s">
        <v>721</v>
      </c>
      <c r="C2294" t="s">
        <v>122</v>
      </c>
      <c r="D2294" s="230">
        <v>-915.3</v>
      </c>
      <c r="E2294" t="s">
        <v>722</v>
      </c>
    </row>
    <row r="2295" spans="1:5" hidden="1" x14ac:dyDescent="0.3">
      <c r="A2295" t="s">
        <v>557</v>
      </c>
      <c r="B2295" t="s">
        <v>721</v>
      </c>
      <c r="C2295" t="s">
        <v>44</v>
      </c>
      <c r="D2295" s="230">
        <v>0</v>
      </c>
      <c r="E2295" t="s">
        <v>722</v>
      </c>
    </row>
    <row r="2296" spans="1:5" hidden="1" x14ac:dyDescent="0.3">
      <c r="A2296" t="s">
        <v>557</v>
      </c>
      <c r="B2296" t="s">
        <v>721</v>
      </c>
      <c r="C2296" t="s">
        <v>126</v>
      </c>
      <c r="D2296" s="230">
        <v>249826.02</v>
      </c>
      <c r="E2296" t="s">
        <v>722</v>
      </c>
    </row>
    <row r="2297" spans="1:5" hidden="1" x14ac:dyDescent="0.3">
      <c r="A2297" t="s">
        <v>557</v>
      </c>
      <c r="B2297" t="s">
        <v>721</v>
      </c>
      <c r="C2297" t="s">
        <v>127</v>
      </c>
      <c r="D2297" s="230">
        <v>0.56000000000000005</v>
      </c>
      <c r="E2297" t="s">
        <v>722</v>
      </c>
    </row>
    <row r="2298" spans="1:5" hidden="1" x14ac:dyDescent="0.3">
      <c r="A2298" t="s">
        <v>557</v>
      </c>
      <c r="B2298" t="s">
        <v>721</v>
      </c>
      <c r="C2298" t="s">
        <v>128</v>
      </c>
      <c r="D2298" s="230">
        <v>-131394.69</v>
      </c>
      <c r="E2298" t="s">
        <v>722</v>
      </c>
    </row>
    <row r="2299" spans="1:5" hidden="1" x14ac:dyDescent="0.3">
      <c r="A2299" t="s">
        <v>557</v>
      </c>
      <c r="B2299" t="s">
        <v>721</v>
      </c>
      <c r="C2299" t="s">
        <v>129</v>
      </c>
      <c r="D2299" s="230">
        <v>-50943.34</v>
      </c>
      <c r="E2299" t="s">
        <v>722</v>
      </c>
    </row>
    <row r="2300" spans="1:5" hidden="1" x14ac:dyDescent="0.3">
      <c r="A2300" t="s">
        <v>557</v>
      </c>
      <c r="B2300" t="s">
        <v>721</v>
      </c>
      <c r="C2300" t="s">
        <v>609</v>
      </c>
      <c r="D2300" s="230">
        <v>-4200</v>
      </c>
      <c r="E2300" t="s">
        <v>722</v>
      </c>
    </row>
    <row r="2301" spans="1:5" hidden="1" x14ac:dyDescent="0.3">
      <c r="A2301" t="s">
        <v>557</v>
      </c>
      <c r="B2301" t="s">
        <v>721</v>
      </c>
      <c r="C2301" t="s">
        <v>610</v>
      </c>
      <c r="D2301" s="230">
        <v>-17600</v>
      </c>
      <c r="E2301" t="s">
        <v>722</v>
      </c>
    </row>
    <row r="2302" spans="1:5" hidden="1" x14ac:dyDescent="0.3">
      <c r="A2302" t="s">
        <v>557</v>
      </c>
      <c r="B2302" t="s">
        <v>721</v>
      </c>
      <c r="C2302" t="s">
        <v>611</v>
      </c>
      <c r="D2302" s="230">
        <v>0</v>
      </c>
      <c r="E2302" t="s">
        <v>722</v>
      </c>
    </row>
    <row r="2303" spans="1:5" hidden="1" x14ac:dyDescent="0.3">
      <c r="A2303" t="s">
        <v>557</v>
      </c>
      <c r="B2303" t="s">
        <v>721</v>
      </c>
      <c r="C2303" t="s">
        <v>612</v>
      </c>
      <c r="D2303" s="230">
        <v>-10000</v>
      </c>
      <c r="E2303" t="s">
        <v>722</v>
      </c>
    </row>
    <row r="2304" spans="1:5" hidden="1" x14ac:dyDescent="0.3">
      <c r="A2304" t="s">
        <v>557</v>
      </c>
      <c r="B2304" t="s">
        <v>721</v>
      </c>
      <c r="C2304" t="s">
        <v>613</v>
      </c>
      <c r="D2304" s="230">
        <v>-1200</v>
      </c>
      <c r="E2304" t="s">
        <v>722</v>
      </c>
    </row>
    <row r="2305" spans="1:5" hidden="1" x14ac:dyDescent="0.3">
      <c r="A2305" t="s">
        <v>557</v>
      </c>
      <c r="B2305" t="s">
        <v>721</v>
      </c>
      <c r="C2305" t="s">
        <v>614</v>
      </c>
      <c r="D2305" s="230">
        <v>-4183.33</v>
      </c>
      <c r="E2305" t="s">
        <v>722</v>
      </c>
    </row>
    <row r="2306" spans="1:5" hidden="1" x14ac:dyDescent="0.3">
      <c r="A2306" t="s">
        <v>557</v>
      </c>
      <c r="B2306" t="s">
        <v>721</v>
      </c>
      <c r="C2306" t="s">
        <v>615</v>
      </c>
      <c r="D2306" s="230">
        <v>0</v>
      </c>
      <c r="E2306" t="s">
        <v>722</v>
      </c>
    </row>
    <row r="2307" spans="1:5" hidden="1" x14ac:dyDescent="0.3">
      <c r="A2307" t="s">
        <v>557</v>
      </c>
      <c r="B2307" t="s">
        <v>721</v>
      </c>
      <c r="C2307" t="s">
        <v>616</v>
      </c>
      <c r="D2307" s="230">
        <v>-13760.01</v>
      </c>
      <c r="E2307" t="s">
        <v>722</v>
      </c>
    </row>
    <row r="2308" spans="1:5" hidden="1" x14ac:dyDescent="0.3">
      <c r="A2308" t="s">
        <v>557</v>
      </c>
      <c r="B2308" t="s">
        <v>721</v>
      </c>
      <c r="C2308" t="s">
        <v>617</v>
      </c>
      <c r="D2308" s="230">
        <v>0</v>
      </c>
      <c r="E2308" t="s">
        <v>722</v>
      </c>
    </row>
    <row r="2309" spans="1:5" hidden="1" x14ac:dyDescent="0.3">
      <c r="A2309" t="s">
        <v>557</v>
      </c>
      <c r="B2309" t="s">
        <v>721</v>
      </c>
      <c r="C2309" t="s">
        <v>618</v>
      </c>
      <c r="D2309" s="230">
        <v>0</v>
      </c>
      <c r="E2309" t="s">
        <v>722</v>
      </c>
    </row>
    <row r="2310" spans="1:5" hidden="1" x14ac:dyDescent="0.3">
      <c r="A2310" t="s">
        <v>557</v>
      </c>
      <c r="B2310" t="s">
        <v>721</v>
      </c>
      <c r="C2310" t="s">
        <v>619</v>
      </c>
      <c r="D2310" s="230">
        <v>0</v>
      </c>
      <c r="E2310" t="s">
        <v>722</v>
      </c>
    </row>
    <row r="2311" spans="1:5" hidden="1" x14ac:dyDescent="0.3">
      <c r="A2311" t="s">
        <v>557</v>
      </c>
      <c r="B2311" t="s">
        <v>721</v>
      </c>
      <c r="C2311" t="s">
        <v>620</v>
      </c>
      <c r="D2311" s="230">
        <v>0</v>
      </c>
      <c r="E2311" t="s">
        <v>722</v>
      </c>
    </row>
    <row r="2312" spans="1:5" hidden="1" x14ac:dyDescent="0.3">
      <c r="A2312" t="s">
        <v>557</v>
      </c>
      <c r="B2312" t="s">
        <v>721</v>
      </c>
      <c r="C2312" t="s">
        <v>575</v>
      </c>
      <c r="D2312" s="230">
        <v>-32030.42</v>
      </c>
      <c r="E2312" t="s">
        <v>722</v>
      </c>
    </row>
    <row r="2313" spans="1:5" hidden="1" x14ac:dyDescent="0.3">
      <c r="A2313" t="s">
        <v>557</v>
      </c>
      <c r="B2313" t="s">
        <v>721</v>
      </c>
      <c r="C2313" t="s">
        <v>621</v>
      </c>
      <c r="D2313" s="230">
        <v>0</v>
      </c>
      <c r="E2313" t="s">
        <v>722</v>
      </c>
    </row>
    <row r="2314" spans="1:5" hidden="1" x14ac:dyDescent="0.3">
      <c r="A2314" t="s">
        <v>557</v>
      </c>
      <c r="B2314" t="s">
        <v>721</v>
      </c>
      <c r="C2314" t="s">
        <v>622</v>
      </c>
      <c r="D2314" s="230">
        <v>0</v>
      </c>
      <c r="E2314" t="s">
        <v>722</v>
      </c>
    </row>
    <row r="2315" spans="1:5" hidden="1" x14ac:dyDescent="0.3">
      <c r="A2315" t="s">
        <v>557</v>
      </c>
      <c r="B2315" t="s">
        <v>721</v>
      </c>
      <c r="C2315" t="s">
        <v>623</v>
      </c>
      <c r="D2315" s="230">
        <v>0</v>
      </c>
      <c r="E2315" t="s">
        <v>722</v>
      </c>
    </row>
    <row r="2316" spans="1:5" hidden="1" x14ac:dyDescent="0.3">
      <c r="A2316" t="s">
        <v>557</v>
      </c>
      <c r="B2316" t="s">
        <v>721</v>
      </c>
      <c r="C2316" t="s">
        <v>624</v>
      </c>
      <c r="D2316" s="230">
        <v>0</v>
      </c>
      <c r="E2316" t="s">
        <v>722</v>
      </c>
    </row>
    <row r="2317" spans="1:5" hidden="1" x14ac:dyDescent="0.3">
      <c r="A2317" t="s">
        <v>557</v>
      </c>
      <c r="B2317" t="s">
        <v>721</v>
      </c>
      <c r="C2317" t="s">
        <v>625</v>
      </c>
      <c r="D2317" s="230">
        <v>0</v>
      </c>
      <c r="E2317" t="s">
        <v>722</v>
      </c>
    </row>
    <row r="2318" spans="1:5" hidden="1" x14ac:dyDescent="0.3">
      <c r="A2318" t="s">
        <v>557</v>
      </c>
      <c r="B2318" t="s">
        <v>721</v>
      </c>
      <c r="C2318" t="s">
        <v>626</v>
      </c>
      <c r="D2318" s="230">
        <v>0</v>
      </c>
      <c r="E2318" t="s">
        <v>722</v>
      </c>
    </row>
    <row r="2319" spans="1:5" hidden="1" x14ac:dyDescent="0.3">
      <c r="A2319" t="s">
        <v>557</v>
      </c>
      <c r="B2319" t="s">
        <v>721</v>
      </c>
      <c r="C2319" t="s">
        <v>627</v>
      </c>
      <c r="D2319" s="230">
        <v>0</v>
      </c>
      <c r="E2319" t="s">
        <v>722</v>
      </c>
    </row>
    <row r="2320" spans="1:5" hidden="1" x14ac:dyDescent="0.3">
      <c r="A2320" t="s">
        <v>557</v>
      </c>
      <c r="B2320" t="s">
        <v>721</v>
      </c>
      <c r="C2320" t="s">
        <v>628</v>
      </c>
      <c r="D2320" s="230">
        <v>0</v>
      </c>
      <c r="E2320" t="s">
        <v>722</v>
      </c>
    </row>
    <row r="2321" spans="1:5" hidden="1" x14ac:dyDescent="0.3">
      <c r="A2321" t="s">
        <v>557</v>
      </c>
      <c r="B2321" t="s">
        <v>721</v>
      </c>
      <c r="C2321" t="s">
        <v>629</v>
      </c>
      <c r="D2321" s="230">
        <v>0</v>
      </c>
      <c r="E2321" t="s">
        <v>722</v>
      </c>
    </row>
    <row r="2322" spans="1:5" hidden="1" x14ac:dyDescent="0.3">
      <c r="A2322" t="s">
        <v>557</v>
      </c>
      <c r="B2322" t="s">
        <v>721</v>
      </c>
      <c r="C2322" t="s">
        <v>630</v>
      </c>
      <c r="D2322" s="230">
        <v>0</v>
      </c>
      <c r="E2322" t="s">
        <v>722</v>
      </c>
    </row>
    <row r="2323" spans="1:5" hidden="1" x14ac:dyDescent="0.3">
      <c r="A2323" t="s">
        <v>557</v>
      </c>
      <c r="B2323" t="s">
        <v>721</v>
      </c>
      <c r="C2323" t="s">
        <v>631</v>
      </c>
      <c r="D2323" s="230">
        <v>0</v>
      </c>
      <c r="E2323" t="s">
        <v>722</v>
      </c>
    </row>
    <row r="2324" spans="1:5" hidden="1" x14ac:dyDescent="0.3">
      <c r="A2324" t="s">
        <v>557</v>
      </c>
      <c r="B2324" t="s">
        <v>721</v>
      </c>
      <c r="C2324" t="s">
        <v>632</v>
      </c>
      <c r="D2324" s="230">
        <v>0</v>
      </c>
      <c r="E2324" t="s">
        <v>722</v>
      </c>
    </row>
    <row r="2325" spans="1:5" hidden="1" x14ac:dyDescent="0.3">
      <c r="A2325" t="s">
        <v>557</v>
      </c>
      <c r="B2325" t="s">
        <v>721</v>
      </c>
      <c r="C2325" t="s">
        <v>633</v>
      </c>
      <c r="D2325" s="230">
        <v>0</v>
      </c>
      <c r="E2325" t="s">
        <v>722</v>
      </c>
    </row>
    <row r="2326" spans="1:5" hidden="1" x14ac:dyDescent="0.3">
      <c r="A2326" t="s">
        <v>557</v>
      </c>
      <c r="B2326" t="s">
        <v>721</v>
      </c>
      <c r="C2326" t="s">
        <v>634</v>
      </c>
      <c r="D2326" s="230">
        <v>0</v>
      </c>
      <c r="E2326" t="s">
        <v>722</v>
      </c>
    </row>
    <row r="2327" spans="1:5" hidden="1" x14ac:dyDescent="0.3">
      <c r="A2327" t="s">
        <v>557</v>
      </c>
      <c r="B2327" t="s">
        <v>721</v>
      </c>
      <c r="C2327" t="s">
        <v>635</v>
      </c>
      <c r="D2327" s="230">
        <v>0</v>
      </c>
      <c r="E2327" t="s">
        <v>722</v>
      </c>
    </row>
    <row r="2328" spans="1:5" hidden="1" x14ac:dyDescent="0.3">
      <c r="A2328" t="s">
        <v>557</v>
      </c>
      <c r="B2328" t="s">
        <v>721</v>
      </c>
      <c r="C2328" t="s">
        <v>636</v>
      </c>
      <c r="D2328" s="230">
        <v>0</v>
      </c>
      <c r="E2328" t="s">
        <v>722</v>
      </c>
    </row>
    <row r="2329" spans="1:5" hidden="1" x14ac:dyDescent="0.3">
      <c r="A2329" t="s">
        <v>557</v>
      </c>
      <c r="B2329" t="s">
        <v>721</v>
      </c>
      <c r="C2329" t="s">
        <v>637</v>
      </c>
      <c r="D2329" s="230">
        <v>0</v>
      </c>
      <c r="E2329" t="s">
        <v>722</v>
      </c>
    </row>
    <row r="2330" spans="1:5" hidden="1" x14ac:dyDescent="0.3">
      <c r="A2330" t="s">
        <v>557</v>
      </c>
      <c r="B2330" t="s">
        <v>721</v>
      </c>
      <c r="C2330" t="s">
        <v>638</v>
      </c>
      <c r="D2330" s="230">
        <v>0</v>
      </c>
      <c r="E2330" t="s">
        <v>722</v>
      </c>
    </row>
    <row r="2331" spans="1:5" hidden="1" x14ac:dyDescent="0.3">
      <c r="A2331" t="s">
        <v>557</v>
      </c>
      <c r="B2331" t="s">
        <v>721</v>
      </c>
      <c r="C2331" t="s">
        <v>639</v>
      </c>
      <c r="D2331" s="230">
        <v>0</v>
      </c>
      <c r="E2331" t="s">
        <v>722</v>
      </c>
    </row>
    <row r="2332" spans="1:5" hidden="1" x14ac:dyDescent="0.3">
      <c r="A2332" t="s">
        <v>557</v>
      </c>
      <c r="B2332" t="s">
        <v>721</v>
      </c>
      <c r="C2332" t="s">
        <v>640</v>
      </c>
      <c r="D2332" s="230">
        <v>0</v>
      </c>
      <c r="E2332" t="s">
        <v>722</v>
      </c>
    </row>
    <row r="2333" spans="1:5" hidden="1" x14ac:dyDescent="0.3">
      <c r="A2333" t="s">
        <v>557</v>
      </c>
      <c r="B2333" t="s">
        <v>721</v>
      </c>
      <c r="C2333" t="s">
        <v>641</v>
      </c>
      <c r="D2333" s="230">
        <v>0</v>
      </c>
      <c r="E2333" t="s">
        <v>722</v>
      </c>
    </row>
    <row r="2334" spans="1:5" hidden="1" x14ac:dyDescent="0.3">
      <c r="A2334" t="s">
        <v>557</v>
      </c>
      <c r="B2334" t="s">
        <v>721</v>
      </c>
      <c r="C2334" t="s">
        <v>642</v>
      </c>
      <c r="D2334" s="230">
        <v>0</v>
      </c>
      <c r="E2334" t="s">
        <v>722</v>
      </c>
    </row>
    <row r="2335" spans="1:5" hidden="1" x14ac:dyDescent="0.3">
      <c r="A2335" t="s">
        <v>557</v>
      </c>
      <c r="B2335" t="s">
        <v>721</v>
      </c>
      <c r="C2335" t="s">
        <v>643</v>
      </c>
      <c r="D2335" s="230">
        <v>0</v>
      </c>
      <c r="E2335" t="s">
        <v>722</v>
      </c>
    </row>
    <row r="2336" spans="1:5" hidden="1" x14ac:dyDescent="0.3">
      <c r="A2336" t="s">
        <v>557</v>
      </c>
      <c r="B2336" t="s">
        <v>721</v>
      </c>
      <c r="C2336" t="s">
        <v>644</v>
      </c>
      <c r="D2336" s="230">
        <v>0</v>
      </c>
      <c r="E2336" t="s">
        <v>722</v>
      </c>
    </row>
    <row r="2337" spans="1:5" hidden="1" x14ac:dyDescent="0.3">
      <c r="A2337" t="s">
        <v>557</v>
      </c>
      <c r="B2337" t="s">
        <v>721</v>
      </c>
      <c r="C2337" t="s">
        <v>645</v>
      </c>
      <c r="D2337" s="230">
        <v>0</v>
      </c>
      <c r="E2337" t="s">
        <v>722</v>
      </c>
    </row>
    <row r="2338" spans="1:5" hidden="1" x14ac:dyDescent="0.3">
      <c r="A2338" t="s">
        <v>557</v>
      </c>
      <c r="B2338" t="s">
        <v>721</v>
      </c>
      <c r="C2338" t="s">
        <v>646</v>
      </c>
      <c r="D2338" s="230">
        <v>0</v>
      </c>
      <c r="E2338" t="s">
        <v>722</v>
      </c>
    </row>
    <row r="2339" spans="1:5" hidden="1" x14ac:dyDescent="0.3">
      <c r="A2339" t="s">
        <v>557</v>
      </c>
      <c r="B2339" t="s">
        <v>721</v>
      </c>
      <c r="C2339" t="s">
        <v>647</v>
      </c>
      <c r="D2339" s="230">
        <v>0</v>
      </c>
      <c r="E2339" t="s">
        <v>722</v>
      </c>
    </row>
    <row r="2340" spans="1:5" hidden="1" x14ac:dyDescent="0.3">
      <c r="A2340" t="s">
        <v>557</v>
      </c>
      <c r="B2340" t="s">
        <v>721</v>
      </c>
      <c r="C2340" t="s">
        <v>648</v>
      </c>
      <c r="D2340" s="230">
        <v>0</v>
      </c>
      <c r="E2340" t="s">
        <v>722</v>
      </c>
    </row>
    <row r="2341" spans="1:5" hidden="1" x14ac:dyDescent="0.3">
      <c r="A2341" t="s">
        <v>557</v>
      </c>
      <c r="B2341" t="s">
        <v>721</v>
      </c>
      <c r="C2341" t="s">
        <v>649</v>
      </c>
      <c r="D2341" s="230">
        <v>0</v>
      </c>
      <c r="E2341" t="s">
        <v>722</v>
      </c>
    </row>
    <row r="2342" spans="1:5" hidden="1" x14ac:dyDescent="0.3">
      <c r="A2342" t="s">
        <v>557</v>
      </c>
      <c r="B2342" t="s">
        <v>721</v>
      </c>
      <c r="C2342" t="s">
        <v>650</v>
      </c>
      <c r="D2342" s="230">
        <v>0</v>
      </c>
      <c r="E2342" t="s">
        <v>722</v>
      </c>
    </row>
    <row r="2343" spans="1:5" hidden="1" x14ac:dyDescent="0.3">
      <c r="A2343" t="s">
        <v>557</v>
      </c>
      <c r="B2343" t="s">
        <v>721</v>
      </c>
      <c r="C2343" t="s">
        <v>651</v>
      </c>
      <c r="D2343" s="230">
        <v>0</v>
      </c>
      <c r="E2343" t="s">
        <v>722</v>
      </c>
    </row>
    <row r="2344" spans="1:5" hidden="1" x14ac:dyDescent="0.3">
      <c r="A2344" t="s">
        <v>557</v>
      </c>
      <c r="B2344" t="s">
        <v>721</v>
      </c>
      <c r="C2344" t="s">
        <v>652</v>
      </c>
      <c r="D2344" s="230">
        <v>0</v>
      </c>
      <c r="E2344" t="s">
        <v>722</v>
      </c>
    </row>
    <row r="2345" spans="1:5" hidden="1" x14ac:dyDescent="0.3">
      <c r="A2345" t="s">
        <v>557</v>
      </c>
      <c r="B2345" t="s">
        <v>721</v>
      </c>
      <c r="C2345" t="s">
        <v>653</v>
      </c>
      <c r="D2345" s="230">
        <v>0</v>
      </c>
      <c r="E2345" t="s">
        <v>722</v>
      </c>
    </row>
    <row r="2346" spans="1:5" hidden="1" x14ac:dyDescent="0.3">
      <c r="A2346" t="s">
        <v>557</v>
      </c>
      <c r="B2346" t="s">
        <v>721</v>
      </c>
      <c r="C2346" t="s">
        <v>654</v>
      </c>
      <c r="D2346" s="230">
        <v>0</v>
      </c>
      <c r="E2346" t="s">
        <v>722</v>
      </c>
    </row>
    <row r="2347" spans="1:5" hidden="1" x14ac:dyDescent="0.3">
      <c r="A2347" t="s">
        <v>557</v>
      </c>
      <c r="B2347" t="s">
        <v>721</v>
      </c>
      <c r="C2347" t="s">
        <v>655</v>
      </c>
      <c r="D2347" s="230">
        <v>0</v>
      </c>
      <c r="E2347" t="s">
        <v>722</v>
      </c>
    </row>
    <row r="2348" spans="1:5" hidden="1" x14ac:dyDescent="0.3">
      <c r="A2348" t="s">
        <v>557</v>
      </c>
      <c r="B2348" t="s">
        <v>721</v>
      </c>
      <c r="C2348" t="s">
        <v>656</v>
      </c>
      <c r="D2348" s="230">
        <v>0</v>
      </c>
      <c r="E2348" t="s">
        <v>722</v>
      </c>
    </row>
    <row r="2349" spans="1:5" hidden="1" x14ac:dyDescent="0.3">
      <c r="A2349" t="s">
        <v>557</v>
      </c>
      <c r="B2349" t="s">
        <v>721</v>
      </c>
      <c r="C2349" t="s">
        <v>657</v>
      </c>
      <c r="D2349" s="230">
        <v>0</v>
      </c>
      <c r="E2349" t="s">
        <v>722</v>
      </c>
    </row>
    <row r="2350" spans="1:5" hidden="1" x14ac:dyDescent="0.3">
      <c r="A2350" t="s">
        <v>557</v>
      </c>
      <c r="B2350" t="s">
        <v>721</v>
      </c>
      <c r="C2350" t="s">
        <v>658</v>
      </c>
      <c r="D2350" s="230">
        <v>0</v>
      </c>
      <c r="E2350" t="s">
        <v>722</v>
      </c>
    </row>
    <row r="2351" spans="1:5" hidden="1" x14ac:dyDescent="0.3">
      <c r="A2351" t="s">
        <v>557</v>
      </c>
      <c r="B2351" t="s">
        <v>721</v>
      </c>
      <c r="C2351" t="s">
        <v>659</v>
      </c>
      <c r="D2351" s="230">
        <v>0</v>
      </c>
      <c r="E2351" t="s">
        <v>722</v>
      </c>
    </row>
    <row r="2352" spans="1:5" hidden="1" x14ac:dyDescent="0.3">
      <c r="A2352" t="s">
        <v>557</v>
      </c>
      <c r="B2352" t="s">
        <v>721</v>
      </c>
      <c r="C2352" t="s">
        <v>660</v>
      </c>
      <c r="D2352" s="230">
        <v>0</v>
      </c>
      <c r="E2352" t="s">
        <v>722</v>
      </c>
    </row>
    <row r="2353" spans="1:5" hidden="1" x14ac:dyDescent="0.3">
      <c r="A2353" t="s">
        <v>557</v>
      </c>
      <c r="B2353" t="s">
        <v>721</v>
      </c>
      <c r="C2353" t="s">
        <v>661</v>
      </c>
      <c r="D2353" s="230">
        <v>0</v>
      </c>
      <c r="E2353" t="s">
        <v>722</v>
      </c>
    </row>
    <row r="2354" spans="1:5" hidden="1" x14ac:dyDescent="0.3">
      <c r="A2354" t="s">
        <v>557</v>
      </c>
      <c r="B2354" t="s">
        <v>721</v>
      </c>
      <c r="C2354" t="s">
        <v>662</v>
      </c>
      <c r="D2354" s="230">
        <v>0</v>
      </c>
      <c r="E2354" t="s">
        <v>722</v>
      </c>
    </row>
    <row r="2355" spans="1:5" hidden="1" x14ac:dyDescent="0.3">
      <c r="A2355" t="s">
        <v>557</v>
      </c>
      <c r="B2355" t="s">
        <v>721</v>
      </c>
      <c r="C2355" t="s">
        <v>663</v>
      </c>
      <c r="D2355" s="230">
        <v>0</v>
      </c>
      <c r="E2355" t="s">
        <v>722</v>
      </c>
    </row>
    <row r="2356" spans="1:5" hidden="1" x14ac:dyDescent="0.3">
      <c r="A2356" t="s">
        <v>557</v>
      </c>
      <c r="B2356" t="s">
        <v>721</v>
      </c>
      <c r="C2356" t="s">
        <v>664</v>
      </c>
      <c r="D2356" s="230">
        <v>0</v>
      </c>
      <c r="E2356" t="s">
        <v>722</v>
      </c>
    </row>
    <row r="2357" spans="1:5" hidden="1" x14ac:dyDescent="0.3">
      <c r="A2357" t="s">
        <v>557</v>
      </c>
      <c r="B2357" t="s">
        <v>721</v>
      </c>
      <c r="C2357" t="s">
        <v>665</v>
      </c>
      <c r="D2357" s="230">
        <v>0</v>
      </c>
      <c r="E2357" t="s">
        <v>722</v>
      </c>
    </row>
    <row r="2358" spans="1:5" hidden="1" x14ac:dyDescent="0.3">
      <c r="A2358" t="s">
        <v>557</v>
      </c>
      <c r="B2358" t="s">
        <v>721</v>
      </c>
      <c r="C2358" t="s">
        <v>666</v>
      </c>
      <c r="D2358" s="230">
        <v>0</v>
      </c>
      <c r="E2358" t="s">
        <v>722</v>
      </c>
    </row>
    <row r="2359" spans="1:5" hidden="1" x14ac:dyDescent="0.3">
      <c r="A2359" t="s">
        <v>557</v>
      </c>
      <c r="B2359" t="s">
        <v>721</v>
      </c>
      <c r="C2359" t="s">
        <v>667</v>
      </c>
      <c r="D2359" s="230">
        <v>0</v>
      </c>
      <c r="E2359" t="s">
        <v>722</v>
      </c>
    </row>
    <row r="2360" spans="1:5" hidden="1" x14ac:dyDescent="0.3">
      <c r="A2360" t="s">
        <v>557</v>
      </c>
      <c r="B2360" t="s">
        <v>721</v>
      </c>
      <c r="C2360" t="s">
        <v>668</v>
      </c>
      <c r="D2360" s="230">
        <v>0</v>
      </c>
      <c r="E2360" t="s">
        <v>722</v>
      </c>
    </row>
    <row r="2361" spans="1:5" hidden="1" x14ac:dyDescent="0.3">
      <c r="A2361" t="s">
        <v>557</v>
      </c>
      <c r="B2361" t="s">
        <v>721</v>
      </c>
      <c r="C2361" t="s">
        <v>669</v>
      </c>
      <c r="D2361" s="230">
        <v>0</v>
      </c>
      <c r="E2361" t="s">
        <v>722</v>
      </c>
    </row>
    <row r="2362" spans="1:5" hidden="1" x14ac:dyDescent="0.3">
      <c r="A2362" t="s">
        <v>557</v>
      </c>
      <c r="B2362" t="s">
        <v>721</v>
      </c>
      <c r="C2362" t="s">
        <v>670</v>
      </c>
      <c r="D2362" s="230">
        <v>0</v>
      </c>
      <c r="E2362" t="s">
        <v>722</v>
      </c>
    </row>
    <row r="2363" spans="1:5" hidden="1" x14ac:dyDescent="0.3">
      <c r="A2363" t="s">
        <v>557</v>
      </c>
      <c r="B2363" t="s">
        <v>721</v>
      </c>
      <c r="C2363" t="s">
        <v>671</v>
      </c>
      <c r="D2363" s="230">
        <v>0</v>
      </c>
      <c r="E2363" t="s">
        <v>722</v>
      </c>
    </row>
    <row r="2364" spans="1:5" hidden="1" x14ac:dyDescent="0.3">
      <c r="A2364" t="s">
        <v>557</v>
      </c>
      <c r="B2364" t="s">
        <v>721</v>
      </c>
      <c r="C2364" t="s">
        <v>672</v>
      </c>
      <c r="D2364" s="230">
        <v>0</v>
      </c>
      <c r="E2364" t="s">
        <v>722</v>
      </c>
    </row>
    <row r="2365" spans="1:5" hidden="1" x14ac:dyDescent="0.3">
      <c r="A2365" t="s">
        <v>557</v>
      </c>
      <c r="B2365" t="s">
        <v>721</v>
      </c>
      <c r="C2365" t="s">
        <v>673</v>
      </c>
      <c r="D2365" s="230">
        <v>0</v>
      </c>
      <c r="E2365" t="s">
        <v>722</v>
      </c>
    </row>
    <row r="2366" spans="1:5" hidden="1" x14ac:dyDescent="0.3">
      <c r="A2366" t="s">
        <v>557</v>
      </c>
      <c r="B2366" t="s">
        <v>721</v>
      </c>
      <c r="C2366" t="s">
        <v>674</v>
      </c>
      <c r="D2366" s="230">
        <v>0</v>
      </c>
      <c r="E2366" t="s">
        <v>722</v>
      </c>
    </row>
    <row r="2367" spans="1:5" hidden="1" x14ac:dyDescent="0.3">
      <c r="A2367" t="s">
        <v>557</v>
      </c>
      <c r="B2367" t="s">
        <v>721</v>
      </c>
      <c r="C2367" t="s">
        <v>675</v>
      </c>
      <c r="D2367" s="230">
        <v>0</v>
      </c>
      <c r="E2367" t="s">
        <v>722</v>
      </c>
    </row>
    <row r="2368" spans="1:5" hidden="1" x14ac:dyDescent="0.3">
      <c r="A2368" t="s">
        <v>557</v>
      </c>
      <c r="B2368" t="s">
        <v>721</v>
      </c>
      <c r="C2368" t="s">
        <v>676</v>
      </c>
      <c r="D2368" s="230">
        <v>0</v>
      </c>
      <c r="E2368" t="s">
        <v>722</v>
      </c>
    </row>
    <row r="2369" spans="1:5" hidden="1" x14ac:dyDescent="0.3">
      <c r="A2369" t="s">
        <v>557</v>
      </c>
      <c r="B2369" t="s">
        <v>721</v>
      </c>
      <c r="C2369" t="s">
        <v>677</v>
      </c>
      <c r="D2369" s="230">
        <v>0</v>
      </c>
      <c r="E2369" t="s">
        <v>722</v>
      </c>
    </row>
    <row r="2370" spans="1:5" hidden="1" x14ac:dyDescent="0.3">
      <c r="A2370" t="s">
        <v>557</v>
      </c>
      <c r="B2370" t="s">
        <v>721</v>
      </c>
      <c r="C2370" t="s">
        <v>201</v>
      </c>
      <c r="D2370" s="230">
        <v>-14167.89</v>
      </c>
      <c r="E2370" t="s">
        <v>722</v>
      </c>
    </row>
    <row r="2371" spans="1:5" hidden="1" x14ac:dyDescent="0.3">
      <c r="A2371" t="s">
        <v>557</v>
      </c>
      <c r="B2371" t="s">
        <v>721</v>
      </c>
      <c r="C2371" t="s">
        <v>203</v>
      </c>
      <c r="D2371" s="230">
        <v>-14167.89</v>
      </c>
      <c r="E2371" t="s">
        <v>722</v>
      </c>
    </row>
    <row r="2372" spans="1:5" hidden="1" x14ac:dyDescent="0.3">
      <c r="A2372" t="s">
        <v>557</v>
      </c>
      <c r="B2372" t="s">
        <v>721</v>
      </c>
      <c r="C2372" t="s">
        <v>678</v>
      </c>
      <c r="D2372" s="230">
        <v>7083.95</v>
      </c>
      <c r="E2372" t="s">
        <v>722</v>
      </c>
    </row>
    <row r="2373" spans="1:5" hidden="1" x14ac:dyDescent="0.3">
      <c r="A2373" t="s">
        <v>557</v>
      </c>
      <c r="B2373" t="s">
        <v>721</v>
      </c>
      <c r="C2373" t="s">
        <v>205</v>
      </c>
      <c r="D2373" s="230">
        <v>-20291</v>
      </c>
      <c r="E2373" t="s">
        <v>722</v>
      </c>
    </row>
    <row r="2374" spans="1:5" hidden="1" x14ac:dyDescent="0.3">
      <c r="A2374" t="s">
        <v>557</v>
      </c>
      <c r="B2374" t="s">
        <v>721</v>
      </c>
      <c r="C2374" t="s">
        <v>679</v>
      </c>
      <c r="D2374" s="230">
        <v>-2316.41</v>
      </c>
      <c r="E2374" t="s">
        <v>722</v>
      </c>
    </row>
    <row r="2375" spans="1:5" hidden="1" x14ac:dyDescent="0.3">
      <c r="A2375" t="s">
        <v>557</v>
      </c>
      <c r="B2375" t="s">
        <v>721</v>
      </c>
      <c r="C2375" t="s">
        <v>680</v>
      </c>
      <c r="D2375" s="230">
        <v>-2810.12</v>
      </c>
      <c r="E2375" t="s">
        <v>722</v>
      </c>
    </row>
    <row r="2376" spans="1:5" hidden="1" x14ac:dyDescent="0.3">
      <c r="A2376" t="s">
        <v>557</v>
      </c>
      <c r="B2376" t="s">
        <v>721</v>
      </c>
      <c r="C2376" t="s">
        <v>681</v>
      </c>
      <c r="D2376" s="230">
        <v>0</v>
      </c>
      <c r="E2376" t="s">
        <v>722</v>
      </c>
    </row>
    <row r="2377" spans="1:5" hidden="1" x14ac:dyDescent="0.3">
      <c r="A2377" t="s">
        <v>557</v>
      </c>
      <c r="B2377" t="s">
        <v>721</v>
      </c>
      <c r="C2377" t="s">
        <v>682</v>
      </c>
      <c r="D2377" s="230">
        <v>-3946.41</v>
      </c>
      <c r="E2377" t="s">
        <v>722</v>
      </c>
    </row>
    <row r="2378" spans="1:5" hidden="1" x14ac:dyDescent="0.3">
      <c r="A2378" t="s">
        <v>557</v>
      </c>
      <c r="B2378" t="s">
        <v>721</v>
      </c>
      <c r="C2378" t="s">
        <v>683</v>
      </c>
      <c r="D2378" s="230">
        <v>-7490.91</v>
      </c>
      <c r="E2378" t="s">
        <v>722</v>
      </c>
    </row>
    <row r="2379" spans="1:5" hidden="1" x14ac:dyDescent="0.3">
      <c r="A2379" t="s">
        <v>557</v>
      </c>
      <c r="B2379" t="s">
        <v>721</v>
      </c>
      <c r="C2379" t="s">
        <v>684</v>
      </c>
      <c r="D2379" s="230">
        <v>-1329.67</v>
      </c>
      <c r="E2379" t="s">
        <v>722</v>
      </c>
    </row>
    <row r="2380" spans="1:5" hidden="1" x14ac:dyDescent="0.3">
      <c r="A2380" t="s">
        <v>557</v>
      </c>
      <c r="B2380" t="s">
        <v>721</v>
      </c>
      <c r="C2380" t="s">
        <v>685</v>
      </c>
      <c r="D2380" s="230">
        <v>-397.48</v>
      </c>
      <c r="E2380" t="s">
        <v>722</v>
      </c>
    </row>
    <row r="2381" spans="1:5" hidden="1" x14ac:dyDescent="0.3">
      <c r="A2381" t="s">
        <v>557</v>
      </c>
      <c r="B2381" t="s">
        <v>721</v>
      </c>
      <c r="C2381" t="s">
        <v>686</v>
      </c>
      <c r="D2381" s="230">
        <v>0</v>
      </c>
      <c r="E2381" t="s">
        <v>722</v>
      </c>
    </row>
    <row r="2382" spans="1:5" hidden="1" x14ac:dyDescent="0.3">
      <c r="A2382" t="s">
        <v>557</v>
      </c>
      <c r="B2382" t="s">
        <v>721</v>
      </c>
      <c r="C2382" t="s">
        <v>687</v>
      </c>
      <c r="D2382" s="230">
        <v>0</v>
      </c>
      <c r="E2382" t="s">
        <v>722</v>
      </c>
    </row>
    <row r="2383" spans="1:5" hidden="1" x14ac:dyDescent="0.3">
      <c r="A2383" t="s">
        <v>557</v>
      </c>
      <c r="B2383" t="s">
        <v>721</v>
      </c>
      <c r="C2383" t="s">
        <v>688</v>
      </c>
      <c r="D2383" s="230">
        <v>0</v>
      </c>
      <c r="E2383" t="s">
        <v>722</v>
      </c>
    </row>
    <row r="2384" spans="1:5" hidden="1" x14ac:dyDescent="0.3">
      <c r="A2384" t="s">
        <v>557</v>
      </c>
      <c r="B2384" t="s">
        <v>721</v>
      </c>
      <c r="C2384" t="s">
        <v>689</v>
      </c>
      <c r="D2384" s="230">
        <v>0</v>
      </c>
      <c r="E2384" t="s">
        <v>722</v>
      </c>
    </row>
    <row r="2385" spans="1:5" hidden="1" x14ac:dyDescent="0.3">
      <c r="A2385" t="s">
        <v>557</v>
      </c>
      <c r="B2385" t="s">
        <v>721</v>
      </c>
      <c r="C2385" t="s">
        <v>690</v>
      </c>
      <c r="D2385" s="230">
        <v>-2000</v>
      </c>
      <c r="E2385" t="s">
        <v>722</v>
      </c>
    </row>
    <row r="2386" spans="1:5" hidden="1" x14ac:dyDescent="0.3">
      <c r="A2386" t="s">
        <v>557</v>
      </c>
      <c r="B2386" t="s">
        <v>721</v>
      </c>
      <c r="C2386" t="s">
        <v>691</v>
      </c>
      <c r="D2386" s="230">
        <v>0</v>
      </c>
      <c r="E2386" t="s">
        <v>722</v>
      </c>
    </row>
    <row r="2387" spans="1:5" hidden="1" x14ac:dyDescent="0.3">
      <c r="A2387" t="s">
        <v>557</v>
      </c>
      <c r="B2387" t="s">
        <v>721</v>
      </c>
      <c r="C2387" t="s">
        <v>692</v>
      </c>
      <c r="D2387" s="230">
        <v>0</v>
      </c>
      <c r="E2387" t="s">
        <v>722</v>
      </c>
    </row>
    <row r="2388" spans="1:5" hidden="1" x14ac:dyDescent="0.3">
      <c r="A2388" t="s">
        <v>557</v>
      </c>
      <c r="B2388" t="s">
        <v>721</v>
      </c>
      <c r="C2388" t="s">
        <v>693</v>
      </c>
      <c r="D2388" s="230">
        <v>0</v>
      </c>
      <c r="E2388" t="s">
        <v>722</v>
      </c>
    </row>
    <row r="2389" spans="1:5" hidden="1" x14ac:dyDescent="0.3">
      <c r="A2389" t="s">
        <v>557</v>
      </c>
      <c r="B2389" t="s">
        <v>721</v>
      </c>
      <c r="C2389" t="s">
        <v>694</v>
      </c>
      <c r="D2389" s="230">
        <v>0</v>
      </c>
      <c r="E2389" t="s">
        <v>722</v>
      </c>
    </row>
    <row r="2390" spans="1:5" hidden="1" x14ac:dyDescent="0.3">
      <c r="A2390" t="s">
        <v>557</v>
      </c>
      <c r="B2390" t="s">
        <v>721</v>
      </c>
      <c r="C2390" t="s">
        <v>238</v>
      </c>
      <c r="D2390" s="230">
        <v>-4610.21</v>
      </c>
      <c r="E2390" t="s">
        <v>722</v>
      </c>
    </row>
    <row r="2391" spans="1:5" hidden="1" x14ac:dyDescent="0.3">
      <c r="A2391" t="s">
        <v>557</v>
      </c>
      <c r="B2391" t="s">
        <v>721</v>
      </c>
      <c r="C2391" t="s">
        <v>695</v>
      </c>
      <c r="D2391" s="230">
        <v>-4536.74</v>
      </c>
      <c r="E2391" t="s">
        <v>722</v>
      </c>
    </row>
    <row r="2392" spans="1:5" hidden="1" x14ac:dyDescent="0.3">
      <c r="A2392" t="s">
        <v>557</v>
      </c>
      <c r="B2392" t="s">
        <v>721</v>
      </c>
      <c r="C2392" t="s">
        <v>696</v>
      </c>
      <c r="D2392" s="230">
        <v>0</v>
      </c>
      <c r="E2392" t="s">
        <v>722</v>
      </c>
    </row>
    <row r="2393" spans="1:5" hidden="1" x14ac:dyDescent="0.3">
      <c r="A2393" t="s">
        <v>557</v>
      </c>
      <c r="B2393" t="s">
        <v>721</v>
      </c>
      <c r="C2393" t="s">
        <v>697</v>
      </c>
      <c r="D2393" s="230">
        <v>0</v>
      </c>
      <c r="E2393" t="s">
        <v>722</v>
      </c>
    </row>
    <row r="2394" spans="1:5" hidden="1" x14ac:dyDescent="0.3">
      <c r="A2394" t="s">
        <v>557</v>
      </c>
      <c r="B2394" t="s">
        <v>721</v>
      </c>
      <c r="C2394" t="s">
        <v>698</v>
      </c>
      <c r="D2394" s="230">
        <v>-73.47</v>
      </c>
      <c r="E2394" t="s">
        <v>722</v>
      </c>
    </row>
    <row r="2395" spans="1:5" hidden="1" x14ac:dyDescent="0.3">
      <c r="A2395" t="s">
        <v>557</v>
      </c>
      <c r="B2395" t="s">
        <v>721</v>
      </c>
      <c r="C2395" t="s">
        <v>699</v>
      </c>
      <c r="D2395" s="230">
        <v>0</v>
      </c>
      <c r="E2395" t="s">
        <v>722</v>
      </c>
    </row>
    <row r="2396" spans="1:5" hidden="1" x14ac:dyDescent="0.3">
      <c r="A2396" t="s">
        <v>557</v>
      </c>
      <c r="B2396" t="s">
        <v>721</v>
      </c>
      <c r="C2396" t="s">
        <v>245</v>
      </c>
      <c r="D2396" s="230">
        <v>-9351.83</v>
      </c>
      <c r="E2396" t="s">
        <v>722</v>
      </c>
    </row>
    <row r="2397" spans="1:5" hidden="1" x14ac:dyDescent="0.3">
      <c r="A2397" t="s">
        <v>557</v>
      </c>
      <c r="B2397" t="s">
        <v>721</v>
      </c>
      <c r="C2397" t="s">
        <v>700</v>
      </c>
      <c r="D2397" s="230">
        <v>-407.96</v>
      </c>
      <c r="E2397" t="s">
        <v>722</v>
      </c>
    </row>
    <row r="2398" spans="1:5" hidden="1" x14ac:dyDescent="0.3">
      <c r="A2398" t="s">
        <v>557</v>
      </c>
      <c r="B2398" t="s">
        <v>721</v>
      </c>
      <c r="C2398" t="s">
        <v>701</v>
      </c>
      <c r="D2398" s="230">
        <v>-477.32</v>
      </c>
      <c r="E2398" t="s">
        <v>722</v>
      </c>
    </row>
    <row r="2399" spans="1:5" hidden="1" x14ac:dyDescent="0.3">
      <c r="A2399" t="s">
        <v>557</v>
      </c>
      <c r="B2399" t="s">
        <v>721</v>
      </c>
      <c r="C2399" t="s">
        <v>702</v>
      </c>
      <c r="D2399" s="230">
        <v>0</v>
      </c>
      <c r="E2399" t="s">
        <v>722</v>
      </c>
    </row>
    <row r="2400" spans="1:5" hidden="1" x14ac:dyDescent="0.3">
      <c r="A2400" t="s">
        <v>557</v>
      </c>
      <c r="B2400" t="s">
        <v>721</v>
      </c>
      <c r="C2400" t="s">
        <v>703</v>
      </c>
      <c r="D2400" s="230">
        <v>0</v>
      </c>
      <c r="E2400" t="s">
        <v>722</v>
      </c>
    </row>
    <row r="2401" spans="1:5" hidden="1" x14ac:dyDescent="0.3">
      <c r="A2401" t="s">
        <v>557</v>
      </c>
      <c r="B2401" t="s">
        <v>721</v>
      </c>
      <c r="C2401" t="s">
        <v>704</v>
      </c>
      <c r="D2401" s="230">
        <v>0</v>
      </c>
      <c r="E2401" t="s">
        <v>722</v>
      </c>
    </row>
    <row r="2402" spans="1:5" hidden="1" x14ac:dyDescent="0.3">
      <c r="A2402" t="s">
        <v>557</v>
      </c>
      <c r="B2402" t="s">
        <v>721</v>
      </c>
      <c r="C2402" t="s">
        <v>705</v>
      </c>
      <c r="D2402" s="230">
        <v>-8466.5499999999993</v>
      </c>
      <c r="E2402" t="s">
        <v>722</v>
      </c>
    </row>
    <row r="2403" spans="1:5" hidden="1" x14ac:dyDescent="0.3">
      <c r="A2403" t="s">
        <v>557</v>
      </c>
      <c r="B2403" t="s">
        <v>721</v>
      </c>
      <c r="C2403" t="s">
        <v>706</v>
      </c>
      <c r="D2403" s="230">
        <v>0</v>
      </c>
      <c r="E2403" t="s">
        <v>722</v>
      </c>
    </row>
    <row r="2404" spans="1:5" hidden="1" x14ac:dyDescent="0.3">
      <c r="A2404" t="s">
        <v>557</v>
      </c>
      <c r="B2404" t="s">
        <v>721</v>
      </c>
      <c r="C2404" t="s">
        <v>254</v>
      </c>
      <c r="D2404" s="230">
        <v>-0.28999999999999998</v>
      </c>
      <c r="E2404" t="s">
        <v>722</v>
      </c>
    </row>
    <row r="2405" spans="1:5" hidden="1" x14ac:dyDescent="0.3">
      <c r="A2405" t="s">
        <v>557</v>
      </c>
      <c r="B2405" t="s">
        <v>721</v>
      </c>
      <c r="C2405" t="s">
        <v>255</v>
      </c>
      <c r="D2405" s="230">
        <v>-0.18</v>
      </c>
      <c r="E2405" t="s">
        <v>722</v>
      </c>
    </row>
    <row r="2406" spans="1:5" hidden="1" x14ac:dyDescent="0.3">
      <c r="A2406" t="s">
        <v>557</v>
      </c>
      <c r="B2406" t="s">
        <v>721</v>
      </c>
      <c r="C2406" t="s">
        <v>256</v>
      </c>
      <c r="D2406" s="230">
        <v>-51752.37</v>
      </c>
      <c r="E2406" t="s">
        <v>722</v>
      </c>
    </row>
    <row r="2407" spans="1:5" hidden="1" x14ac:dyDescent="0.3">
      <c r="A2407" t="s">
        <v>557</v>
      </c>
      <c r="B2407" t="s">
        <v>721</v>
      </c>
      <c r="C2407" t="s">
        <v>257</v>
      </c>
      <c r="D2407" s="230">
        <v>-49305.7</v>
      </c>
      <c r="E2407" t="s">
        <v>722</v>
      </c>
    </row>
    <row r="2408" spans="1:5" hidden="1" x14ac:dyDescent="0.3">
      <c r="A2408" t="s">
        <v>557</v>
      </c>
      <c r="B2408" t="s">
        <v>721</v>
      </c>
      <c r="C2408" t="s">
        <v>258</v>
      </c>
      <c r="D2408" s="230">
        <v>0</v>
      </c>
      <c r="E2408" t="s">
        <v>722</v>
      </c>
    </row>
    <row r="2409" spans="1:5" hidden="1" x14ac:dyDescent="0.3">
      <c r="A2409" t="s">
        <v>557</v>
      </c>
      <c r="B2409" t="s">
        <v>721</v>
      </c>
      <c r="C2409" t="s">
        <v>259</v>
      </c>
      <c r="D2409" s="230">
        <v>-2446.67</v>
      </c>
      <c r="E2409" t="s">
        <v>722</v>
      </c>
    </row>
    <row r="2410" spans="1:5" hidden="1" x14ac:dyDescent="0.3">
      <c r="A2410" t="s">
        <v>557</v>
      </c>
      <c r="B2410" t="s">
        <v>721</v>
      </c>
      <c r="C2410" t="s">
        <v>260</v>
      </c>
      <c r="D2410" s="230">
        <v>0</v>
      </c>
      <c r="E2410" t="s">
        <v>722</v>
      </c>
    </row>
    <row r="2411" spans="1:5" hidden="1" x14ac:dyDescent="0.3">
      <c r="A2411" t="s">
        <v>557</v>
      </c>
      <c r="B2411" t="s">
        <v>721</v>
      </c>
      <c r="C2411" t="s">
        <v>261</v>
      </c>
      <c r="D2411" s="230">
        <v>0</v>
      </c>
      <c r="E2411" t="s">
        <v>722</v>
      </c>
    </row>
    <row r="2412" spans="1:5" hidden="1" x14ac:dyDescent="0.3">
      <c r="A2412" t="s">
        <v>557</v>
      </c>
      <c r="B2412" t="s">
        <v>721</v>
      </c>
      <c r="C2412" t="s">
        <v>262</v>
      </c>
      <c r="D2412" s="230">
        <v>0</v>
      </c>
      <c r="E2412" t="s">
        <v>722</v>
      </c>
    </row>
    <row r="2413" spans="1:5" hidden="1" x14ac:dyDescent="0.3">
      <c r="A2413" t="s">
        <v>557</v>
      </c>
      <c r="B2413" t="s">
        <v>721</v>
      </c>
      <c r="C2413" t="s">
        <v>263</v>
      </c>
      <c r="D2413" s="230">
        <v>0</v>
      </c>
      <c r="E2413" t="s">
        <v>722</v>
      </c>
    </row>
    <row r="2414" spans="1:5" hidden="1" x14ac:dyDescent="0.3">
      <c r="A2414" t="s">
        <v>557</v>
      </c>
      <c r="B2414" t="s">
        <v>721</v>
      </c>
      <c r="C2414" t="s">
        <v>44</v>
      </c>
      <c r="D2414" s="230">
        <v>-0.12</v>
      </c>
      <c r="E2414" t="s">
        <v>722</v>
      </c>
    </row>
    <row r="2415" spans="1:5" hidden="1" x14ac:dyDescent="0.3">
      <c r="A2415" t="s">
        <v>557</v>
      </c>
      <c r="B2415" t="s">
        <v>721</v>
      </c>
      <c r="C2415" t="s">
        <v>264</v>
      </c>
      <c r="D2415" s="230">
        <v>-33193.32</v>
      </c>
      <c r="E2415" t="s">
        <v>722</v>
      </c>
    </row>
    <row r="2416" spans="1:5" hidden="1" x14ac:dyDescent="0.3">
      <c r="A2416" t="s">
        <v>557</v>
      </c>
      <c r="B2416" t="s">
        <v>721</v>
      </c>
      <c r="C2416" t="s">
        <v>265</v>
      </c>
      <c r="D2416" s="230">
        <v>-5191.37</v>
      </c>
      <c r="E2416" t="s">
        <v>722</v>
      </c>
    </row>
    <row r="2417" spans="1:5" hidden="1" x14ac:dyDescent="0.3">
      <c r="A2417" t="s">
        <v>557</v>
      </c>
      <c r="B2417" t="s">
        <v>721</v>
      </c>
      <c r="C2417" t="s">
        <v>266</v>
      </c>
      <c r="D2417" s="230">
        <v>-9909.59</v>
      </c>
      <c r="E2417" t="s">
        <v>722</v>
      </c>
    </row>
    <row r="2418" spans="1:5" hidden="1" x14ac:dyDescent="0.3">
      <c r="A2418" t="s">
        <v>557</v>
      </c>
      <c r="B2418" t="s">
        <v>721</v>
      </c>
      <c r="C2418" t="s">
        <v>267</v>
      </c>
      <c r="D2418" s="230">
        <v>-6257.68</v>
      </c>
      <c r="E2418" t="s">
        <v>722</v>
      </c>
    </row>
    <row r="2419" spans="1:5" hidden="1" x14ac:dyDescent="0.3">
      <c r="A2419" t="s">
        <v>557</v>
      </c>
      <c r="B2419" t="s">
        <v>721</v>
      </c>
      <c r="C2419" t="s">
        <v>268</v>
      </c>
      <c r="D2419" s="230">
        <v>-5554.01</v>
      </c>
      <c r="E2419" t="s">
        <v>722</v>
      </c>
    </row>
    <row r="2420" spans="1:5" hidden="1" x14ac:dyDescent="0.3">
      <c r="A2420" t="s">
        <v>557</v>
      </c>
      <c r="B2420" t="s">
        <v>721</v>
      </c>
      <c r="C2420" t="s">
        <v>269</v>
      </c>
      <c r="D2420" s="230">
        <v>0</v>
      </c>
      <c r="E2420" t="s">
        <v>722</v>
      </c>
    </row>
    <row r="2421" spans="1:5" hidden="1" x14ac:dyDescent="0.3">
      <c r="A2421" t="s">
        <v>557</v>
      </c>
      <c r="B2421" t="s">
        <v>721</v>
      </c>
      <c r="C2421" t="s">
        <v>270</v>
      </c>
      <c r="D2421" s="230">
        <v>-500</v>
      </c>
      <c r="E2421" t="s">
        <v>722</v>
      </c>
    </row>
    <row r="2422" spans="1:5" hidden="1" x14ac:dyDescent="0.3">
      <c r="A2422" t="s">
        <v>557</v>
      </c>
      <c r="B2422" t="s">
        <v>721</v>
      </c>
      <c r="C2422" t="s">
        <v>271</v>
      </c>
      <c r="D2422" s="230">
        <v>-861.84</v>
      </c>
      <c r="E2422" t="s">
        <v>722</v>
      </c>
    </row>
    <row r="2423" spans="1:5" hidden="1" x14ac:dyDescent="0.3">
      <c r="A2423" t="s">
        <v>557</v>
      </c>
      <c r="B2423" t="s">
        <v>721</v>
      </c>
      <c r="C2423" t="s">
        <v>272</v>
      </c>
      <c r="D2423" s="230">
        <v>-503.38</v>
      </c>
      <c r="E2423" t="s">
        <v>722</v>
      </c>
    </row>
    <row r="2424" spans="1:5" hidden="1" x14ac:dyDescent="0.3">
      <c r="A2424" t="s">
        <v>557</v>
      </c>
      <c r="B2424" t="s">
        <v>721</v>
      </c>
      <c r="C2424" t="s">
        <v>273</v>
      </c>
      <c r="D2424" s="230">
        <v>0</v>
      </c>
      <c r="E2424" t="s">
        <v>722</v>
      </c>
    </row>
    <row r="2425" spans="1:5" hidden="1" x14ac:dyDescent="0.3">
      <c r="A2425" t="s">
        <v>557</v>
      </c>
      <c r="B2425" t="s">
        <v>721</v>
      </c>
      <c r="C2425" t="s">
        <v>274</v>
      </c>
      <c r="D2425" s="230">
        <v>0</v>
      </c>
      <c r="E2425" t="s">
        <v>722</v>
      </c>
    </row>
    <row r="2426" spans="1:5" hidden="1" x14ac:dyDescent="0.3">
      <c r="A2426" t="s">
        <v>557</v>
      </c>
      <c r="B2426" t="s">
        <v>721</v>
      </c>
      <c r="C2426" t="s">
        <v>275</v>
      </c>
      <c r="D2426" s="230">
        <v>-589.1</v>
      </c>
      <c r="E2426" t="s">
        <v>722</v>
      </c>
    </row>
    <row r="2427" spans="1:5" hidden="1" x14ac:dyDescent="0.3">
      <c r="A2427" t="s">
        <v>557</v>
      </c>
      <c r="B2427" t="s">
        <v>721</v>
      </c>
      <c r="C2427" t="s">
        <v>276</v>
      </c>
      <c r="D2427" s="230">
        <v>0</v>
      </c>
      <c r="E2427" t="s">
        <v>722</v>
      </c>
    </row>
    <row r="2428" spans="1:5" hidden="1" x14ac:dyDescent="0.3">
      <c r="A2428" t="s">
        <v>557</v>
      </c>
      <c r="B2428" t="s">
        <v>721</v>
      </c>
      <c r="C2428" t="s">
        <v>277</v>
      </c>
      <c r="D2428" s="230">
        <v>0</v>
      </c>
      <c r="E2428" t="s">
        <v>722</v>
      </c>
    </row>
    <row r="2429" spans="1:5" hidden="1" x14ac:dyDescent="0.3">
      <c r="A2429" t="s">
        <v>557</v>
      </c>
      <c r="B2429" t="s">
        <v>721</v>
      </c>
      <c r="C2429" t="s">
        <v>278</v>
      </c>
      <c r="D2429" s="230">
        <v>-3826.35</v>
      </c>
      <c r="E2429" t="s">
        <v>722</v>
      </c>
    </row>
    <row r="2430" spans="1:5" hidden="1" x14ac:dyDescent="0.3">
      <c r="A2430" t="s">
        <v>557</v>
      </c>
      <c r="B2430" t="s">
        <v>721</v>
      </c>
      <c r="C2430" t="s">
        <v>44</v>
      </c>
      <c r="D2430" s="230">
        <v>-7.0000000000000007E-2</v>
      </c>
      <c r="E2430" t="s">
        <v>722</v>
      </c>
    </row>
    <row r="2431" spans="1:5" hidden="1" x14ac:dyDescent="0.3">
      <c r="A2431" t="s">
        <v>557</v>
      </c>
      <c r="B2431" t="s">
        <v>721</v>
      </c>
      <c r="C2431" t="s">
        <v>279</v>
      </c>
      <c r="D2431" s="230">
        <v>-3462.7</v>
      </c>
      <c r="E2431" t="s">
        <v>722</v>
      </c>
    </row>
    <row r="2432" spans="1:5" hidden="1" x14ac:dyDescent="0.3">
      <c r="A2432" t="s">
        <v>557</v>
      </c>
      <c r="B2432" t="s">
        <v>721</v>
      </c>
      <c r="C2432" t="s">
        <v>280</v>
      </c>
      <c r="D2432" s="230">
        <v>-299.89999999999998</v>
      </c>
      <c r="E2432" t="s">
        <v>722</v>
      </c>
    </row>
    <row r="2433" spans="1:5" hidden="1" x14ac:dyDescent="0.3">
      <c r="A2433" t="s">
        <v>557</v>
      </c>
      <c r="B2433" t="s">
        <v>721</v>
      </c>
      <c r="C2433" t="s">
        <v>281</v>
      </c>
      <c r="D2433" s="230">
        <v>-377.16</v>
      </c>
      <c r="E2433" t="s">
        <v>722</v>
      </c>
    </row>
    <row r="2434" spans="1:5" hidden="1" x14ac:dyDescent="0.3">
      <c r="A2434" t="s">
        <v>557</v>
      </c>
      <c r="B2434" t="s">
        <v>721</v>
      </c>
      <c r="C2434" t="s">
        <v>282</v>
      </c>
      <c r="D2434" s="230">
        <v>-295.92</v>
      </c>
      <c r="E2434" t="s">
        <v>722</v>
      </c>
    </row>
    <row r="2435" spans="1:5" hidden="1" x14ac:dyDescent="0.3">
      <c r="A2435" t="s">
        <v>557</v>
      </c>
      <c r="B2435" t="s">
        <v>721</v>
      </c>
      <c r="C2435" t="s">
        <v>283</v>
      </c>
      <c r="D2435" s="230">
        <v>-276.69</v>
      </c>
      <c r="E2435" t="s">
        <v>722</v>
      </c>
    </row>
    <row r="2436" spans="1:5" hidden="1" x14ac:dyDescent="0.3">
      <c r="A2436" t="s">
        <v>557</v>
      </c>
      <c r="B2436" t="s">
        <v>721</v>
      </c>
      <c r="C2436" t="s">
        <v>284</v>
      </c>
      <c r="D2436" s="230">
        <v>-2213.0300000000002</v>
      </c>
      <c r="E2436" t="s">
        <v>722</v>
      </c>
    </row>
    <row r="2437" spans="1:5" hidden="1" x14ac:dyDescent="0.3">
      <c r="A2437" t="s">
        <v>557</v>
      </c>
      <c r="B2437" t="s">
        <v>721</v>
      </c>
      <c r="C2437" t="s">
        <v>285</v>
      </c>
      <c r="D2437" s="230">
        <v>0</v>
      </c>
      <c r="E2437" t="s">
        <v>722</v>
      </c>
    </row>
    <row r="2438" spans="1:5" hidden="1" x14ac:dyDescent="0.3">
      <c r="A2438" t="s">
        <v>557</v>
      </c>
      <c r="B2438" t="s">
        <v>721</v>
      </c>
      <c r="C2438" t="s">
        <v>286</v>
      </c>
      <c r="D2438" s="230">
        <v>0</v>
      </c>
      <c r="E2438" t="s">
        <v>722</v>
      </c>
    </row>
    <row r="2439" spans="1:5" hidden="1" x14ac:dyDescent="0.3">
      <c r="A2439" t="s">
        <v>557</v>
      </c>
      <c r="B2439" t="s">
        <v>721</v>
      </c>
      <c r="C2439" t="s">
        <v>44</v>
      </c>
      <c r="D2439" s="230">
        <v>-0.01</v>
      </c>
      <c r="E2439" t="s">
        <v>722</v>
      </c>
    </row>
    <row r="2440" spans="1:5" hidden="1" x14ac:dyDescent="0.3">
      <c r="A2440" t="s">
        <v>557</v>
      </c>
      <c r="B2440" t="s">
        <v>721</v>
      </c>
      <c r="C2440" t="s">
        <v>287</v>
      </c>
      <c r="D2440" s="230">
        <v>-8071.61</v>
      </c>
      <c r="E2440" t="s">
        <v>722</v>
      </c>
    </row>
    <row r="2441" spans="1:5" hidden="1" x14ac:dyDescent="0.3">
      <c r="A2441" t="s">
        <v>557</v>
      </c>
      <c r="B2441" t="s">
        <v>721</v>
      </c>
      <c r="C2441" t="s">
        <v>288</v>
      </c>
      <c r="D2441" s="230">
        <v>-6773.89</v>
      </c>
      <c r="E2441" t="s">
        <v>722</v>
      </c>
    </row>
    <row r="2442" spans="1:5" hidden="1" x14ac:dyDescent="0.3">
      <c r="A2442" t="s">
        <v>557</v>
      </c>
      <c r="B2442" t="s">
        <v>721</v>
      </c>
      <c r="C2442" t="s">
        <v>289</v>
      </c>
      <c r="D2442" s="230">
        <v>0</v>
      </c>
      <c r="E2442" t="s">
        <v>722</v>
      </c>
    </row>
    <row r="2443" spans="1:5" hidden="1" x14ac:dyDescent="0.3">
      <c r="A2443" t="s">
        <v>557</v>
      </c>
      <c r="B2443" t="s">
        <v>721</v>
      </c>
      <c r="C2443" t="s">
        <v>290</v>
      </c>
      <c r="D2443" s="230">
        <v>0</v>
      </c>
      <c r="E2443" t="s">
        <v>722</v>
      </c>
    </row>
    <row r="2444" spans="1:5" hidden="1" x14ac:dyDescent="0.3">
      <c r="A2444" t="s">
        <v>557</v>
      </c>
      <c r="B2444" t="s">
        <v>721</v>
      </c>
      <c r="C2444" t="s">
        <v>291</v>
      </c>
      <c r="D2444" s="230">
        <v>0</v>
      </c>
      <c r="E2444" t="s">
        <v>722</v>
      </c>
    </row>
    <row r="2445" spans="1:5" hidden="1" x14ac:dyDescent="0.3">
      <c r="A2445" t="s">
        <v>557</v>
      </c>
      <c r="B2445" t="s">
        <v>721</v>
      </c>
      <c r="C2445" t="s">
        <v>292</v>
      </c>
      <c r="D2445" s="230">
        <v>-550</v>
      </c>
      <c r="E2445" t="s">
        <v>722</v>
      </c>
    </row>
    <row r="2446" spans="1:5" hidden="1" x14ac:dyDescent="0.3">
      <c r="A2446" t="s">
        <v>557</v>
      </c>
      <c r="B2446" t="s">
        <v>721</v>
      </c>
      <c r="C2446" t="s">
        <v>293</v>
      </c>
      <c r="D2446" s="230">
        <v>-679.72</v>
      </c>
      <c r="E2446" t="s">
        <v>722</v>
      </c>
    </row>
    <row r="2447" spans="1:5" hidden="1" x14ac:dyDescent="0.3">
      <c r="A2447" t="s">
        <v>557</v>
      </c>
      <c r="B2447" t="s">
        <v>721</v>
      </c>
      <c r="C2447" t="s">
        <v>294</v>
      </c>
      <c r="D2447" s="230">
        <v>-68</v>
      </c>
      <c r="E2447" t="s">
        <v>722</v>
      </c>
    </row>
    <row r="2448" spans="1:5" hidden="1" x14ac:dyDescent="0.3">
      <c r="A2448" t="s">
        <v>557</v>
      </c>
      <c r="B2448" t="s">
        <v>721</v>
      </c>
      <c r="C2448" t="s">
        <v>295</v>
      </c>
      <c r="D2448" s="230">
        <v>0</v>
      </c>
      <c r="E2448" t="s">
        <v>722</v>
      </c>
    </row>
    <row r="2449" spans="1:5" hidden="1" x14ac:dyDescent="0.3">
      <c r="A2449" t="s">
        <v>557</v>
      </c>
      <c r="B2449" t="s">
        <v>721</v>
      </c>
      <c r="C2449" t="s">
        <v>44</v>
      </c>
      <c r="D2449" s="230">
        <v>-0.02</v>
      </c>
      <c r="E2449" t="s">
        <v>722</v>
      </c>
    </row>
    <row r="2450" spans="1:5" hidden="1" x14ac:dyDescent="0.3">
      <c r="A2450" t="s">
        <v>557</v>
      </c>
      <c r="B2450" t="s">
        <v>721</v>
      </c>
      <c r="C2450" t="s">
        <v>296</v>
      </c>
      <c r="D2450" s="230">
        <v>-5373.96</v>
      </c>
      <c r="E2450" t="s">
        <v>722</v>
      </c>
    </row>
    <row r="2451" spans="1:5" hidden="1" x14ac:dyDescent="0.3">
      <c r="A2451" t="s">
        <v>557</v>
      </c>
      <c r="B2451" t="s">
        <v>721</v>
      </c>
      <c r="C2451" t="s">
        <v>297</v>
      </c>
      <c r="D2451" s="230">
        <v>-3500</v>
      </c>
      <c r="E2451" t="s">
        <v>722</v>
      </c>
    </row>
    <row r="2452" spans="1:5" hidden="1" x14ac:dyDescent="0.3">
      <c r="A2452" t="s">
        <v>557</v>
      </c>
      <c r="B2452" t="s">
        <v>721</v>
      </c>
      <c r="C2452" t="s">
        <v>298</v>
      </c>
      <c r="D2452" s="230">
        <v>-460</v>
      </c>
      <c r="E2452" t="s">
        <v>722</v>
      </c>
    </row>
    <row r="2453" spans="1:5" hidden="1" x14ac:dyDescent="0.3">
      <c r="A2453" t="s">
        <v>557</v>
      </c>
      <c r="B2453" t="s">
        <v>721</v>
      </c>
      <c r="C2453" t="s">
        <v>299</v>
      </c>
      <c r="D2453" s="230">
        <v>0</v>
      </c>
      <c r="E2453" t="s">
        <v>722</v>
      </c>
    </row>
    <row r="2454" spans="1:5" hidden="1" x14ac:dyDescent="0.3">
      <c r="A2454" t="s">
        <v>557</v>
      </c>
      <c r="B2454" t="s">
        <v>721</v>
      </c>
      <c r="C2454" t="s">
        <v>300</v>
      </c>
      <c r="D2454" s="230">
        <v>0</v>
      </c>
      <c r="E2454" t="s">
        <v>722</v>
      </c>
    </row>
    <row r="2455" spans="1:5" hidden="1" x14ac:dyDescent="0.3">
      <c r="A2455" t="s">
        <v>557</v>
      </c>
      <c r="B2455" t="s">
        <v>721</v>
      </c>
      <c r="C2455" t="s">
        <v>301</v>
      </c>
      <c r="D2455" s="230">
        <v>-136.80000000000001</v>
      </c>
      <c r="E2455" t="s">
        <v>722</v>
      </c>
    </row>
    <row r="2456" spans="1:5" hidden="1" x14ac:dyDescent="0.3">
      <c r="A2456" t="s">
        <v>557</v>
      </c>
      <c r="B2456" t="s">
        <v>721</v>
      </c>
      <c r="C2456" t="s">
        <v>302</v>
      </c>
      <c r="D2456" s="230">
        <v>0</v>
      </c>
      <c r="E2456" t="s">
        <v>722</v>
      </c>
    </row>
    <row r="2457" spans="1:5" hidden="1" x14ac:dyDescent="0.3">
      <c r="A2457" t="s">
        <v>557</v>
      </c>
      <c r="B2457" t="s">
        <v>721</v>
      </c>
      <c r="C2457" t="s">
        <v>303</v>
      </c>
      <c r="D2457" s="230">
        <v>0</v>
      </c>
      <c r="E2457" t="s">
        <v>722</v>
      </c>
    </row>
    <row r="2458" spans="1:5" hidden="1" x14ac:dyDescent="0.3">
      <c r="A2458" t="s">
        <v>557</v>
      </c>
      <c r="B2458" t="s">
        <v>721</v>
      </c>
      <c r="C2458" t="s">
        <v>304</v>
      </c>
      <c r="D2458" s="230">
        <v>0</v>
      </c>
      <c r="E2458" t="s">
        <v>722</v>
      </c>
    </row>
    <row r="2459" spans="1:5" hidden="1" x14ac:dyDescent="0.3">
      <c r="A2459" t="s">
        <v>557</v>
      </c>
      <c r="B2459" t="s">
        <v>721</v>
      </c>
      <c r="C2459" t="s">
        <v>305</v>
      </c>
      <c r="D2459" s="230">
        <v>-269.14999999999998</v>
      </c>
      <c r="E2459" t="s">
        <v>722</v>
      </c>
    </row>
    <row r="2460" spans="1:5" hidden="1" x14ac:dyDescent="0.3">
      <c r="A2460" t="s">
        <v>557</v>
      </c>
      <c r="B2460" t="s">
        <v>721</v>
      </c>
      <c r="C2460" t="s">
        <v>306</v>
      </c>
      <c r="D2460" s="230">
        <v>0</v>
      </c>
      <c r="E2460" t="s">
        <v>722</v>
      </c>
    </row>
    <row r="2461" spans="1:5" hidden="1" x14ac:dyDescent="0.3">
      <c r="A2461" t="s">
        <v>557</v>
      </c>
      <c r="B2461" t="s">
        <v>721</v>
      </c>
      <c r="C2461" t="s">
        <v>307</v>
      </c>
      <c r="D2461" s="230">
        <v>-1008.01</v>
      </c>
      <c r="E2461" t="s">
        <v>722</v>
      </c>
    </row>
    <row r="2462" spans="1:5" hidden="1" x14ac:dyDescent="0.3">
      <c r="A2462" t="s">
        <v>557</v>
      </c>
      <c r="B2462" t="s">
        <v>721</v>
      </c>
      <c r="C2462" t="s">
        <v>44</v>
      </c>
      <c r="D2462" s="230">
        <v>-0.01</v>
      </c>
      <c r="E2462" t="s">
        <v>722</v>
      </c>
    </row>
    <row r="2463" spans="1:5" hidden="1" x14ac:dyDescent="0.3">
      <c r="A2463" t="s">
        <v>557</v>
      </c>
      <c r="B2463" t="s">
        <v>721</v>
      </c>
      <c r="C2463" t="s">
        <v>308</v>
      </c>
      <c r="D2463" s="230">
        <v>-2331.0700000000002</v>
      </c>
      <c r="E2463" t="s">
        <v>722</v>
      </c>
    </row>
    <row r="2464" spans="1:5" hidden="1" x14ac:dyDescent="0.3">
      <c r="A2464" t="s">
        <v>557</v>
      </c>
      <c r="B2464" t="s">
        <v>721</v>
      </c>
      <c r="C2464" t="s">
        <v>309</v>
      </c>
      <c r="D2464" s="230">
        <v>-1412</v>
      </c>
      <c r="E2464" t="s">
        <v>722</v>
      </c>
    </row>
    <row r="2465" spans="1:5" hidden="1" x14ac:dyDescent="0.3">
      <c r="A2465" t="s">
        <v>557</v>
      </c>
      <c r="B2465" t="s">
        <v>721</v>
      </c>
      <c r="C2465" t="s">
        <v>310</v>
      </c>
      <c r="D2465" s="230">
        <v>0</v>
      </c>
      <c r="E2465" t="s">
        <v>722</v>
      </c>
    </row>
    <row r="2466" spans="1:5" hidden="1" x14ac:dyDescent="0.3">
      <c r="A2466" t="s">
        <v>557</v>
      </c>
      <c r="B2466" t="s">
        <v>721</v>
      </c>
      <c r="C2466" t="s">
        <v>311</v>
      </c>
      <c r="D2466" s="230">
        <v>-860.55</v>
      </c>
      <c r="E2466" t="s">
        <v>722</v>
      </c>
    </row>
    <row r="2467" spans="1:5" hidden="1" x14ac:dyDescent="0.3">
      <c r="A2467" t="s">
        <v>557</v>
      </c>
      <c r="B2467" t="s">
        <v>721</v>
      </c>
      <c r="C2467" t="s">
        <v>312</v>
      </c>
      <c r="D2467" s="230">
        <v>0</v>
      </c>
      <c r="E2467" t="s">
        <v>722</v>
      </c>
    </row>
    <row r="2468" spans="1:5" hidden="1" x14ac:dyDescent="0.3">
      <c r="A2468" t="s">
        <v>557</v>
      </c>
      <c r="B2468" t="s">
        <v>721</v>
      </c>
      <c r="C2468" t="s">
        <v>313</v>
      </c>
      <c r="D2468" s="230">
        <v>0</v>
      </c>
      <c r="E2468" t="s">
        <v>722</v>
      </c>
    </row>
    <row r="2469" spans="1:5" hidden="1" x14ac:dyDescent="0.3">
      <c r="A2469" t="s">
        <v>557</v>
      </c>
      <c r="B2469" t="s">
        <v>721</v>
      </c>
      <c r="C2469" t="s">
        <v>314</v>
      </c>
      <c r="D2469" s="230">
        <v>0</v>
      </c>
      <c r="E2469" t="s">
        <v>722</v>
      </c>
    </row>
    <row r="2470" spans="1:5" hidden="1" x14ac:dyDescent="0.3">
      <c r="A2470" t="s">
        <v>557</v>
      </c>
      <c r="B2470" t="s">
        <v>721</v>
      </c>
      <c r="C2470" t="s">
        <v>315</v>
      </c>
      <c r="D2470" s="230">
        <v>0</v>
      </c>
      <c r="E2470" t="s">
        <v>722</v>
      </c>
    </row>
    <row r="2471" spans="1:5" hidden="1" x14ac:dyDescent="0.3">
      <c r="A2471" t="s">
        <v>557</v>
      </c>
      <c r="B2471" t="s">
        <v>721</v>
      </c>
      <c r="C2471" t="s">
        <v>316</v>
      </c>
      <c r="D2471" s="230">
        <v>0</v>
      </c>
      <c r="E2471" t="s">
        <v>722</v>
      </c>
    </row>
    <row r="2472" spans="1:5" hidden="1" x14ac:dyDescent="0.3">
      <c r="A2472" t="s">
        <v>557</v>
      </c>
      <c r="B2472" t="s">
        <v>721</v>
      </c>
      <c r="C2472" t="s">
        <v>317</v>
      </c>
      <c r="D2472" s="230">
        <v>-58.52</v>
      </c>
      <c r="E2472" t="s">
        <v>722</v>
      </c>
    </row>
    <row r="2473" spans="1:5" hidden="1" x14ac:dyDescent="0.3">
      <c r="A2473" t="s">
        <v>557</v>
      </c>
      <c r="B2473" t="s">
        <v>721</v>
      </c>
      <c r="C2473" t="s">
        <v>44</v>
      </c>
      <c r="D2473" s="230">
        <v>-0.01</v>
      </c>
      <c r="E2473" t="s">
        <v>722</v>
      </c>
    </row>
    <row r="2474" spans="1:5" hidden="1" x14ac:dyDescent="0.3">
      <c r="A2474" t="s">
        <v>557</v>
      </c>
      <c r="B2474" t="s">
        <v>721</v>
      </c>
      <c r="C2474" t="s">
        <v>318</v>
      </c>
      <c r="D2474" s="230">
        <v>-2163.2399999999998</v>
      </c>
      <c r="E2474" t="s">
        <v>722</v>
      </c>
    </row>
    <row r="2475" spans="1:5" hidden="1" x14ac:dyDescent="0.3">
      <c r="A2475" t="s">
        <v>557</v>
      </c>
      <c r="B2475" t="s">
        <v>721</v>
      </c>
      <c r="C2475" t="s">
        <v>319</v>
      </c>
      <c r="D2475" s="230">
        <v>-2163.2399999999998</v>
      </c>
      <c r="E2475" t="s">
        <v>722</v>
      </c>
    </row>
    <row r="2476" spans="1:5" hidden="1" x14ac:dyDescent="0.3">
      <c r="A2476" t="s">
        <v>557</v>
      </c>
      <c r="B2476" t="s">
        <v>721</v>
      </c>
      <c r="C2476" t="s">
        <v>320</v>
      </c>
      <c r="D2476" s="230">
        <v>0</v>
      </c>
      <c r="E2476" t="s">
        <v>722</v>
      </c>
    </row>
    <row r="2477" spans="1:5" hidden="1" x14ac:dyDescent="0.3">
      <c r="A2477" t="s">
        <v>557</v>
      </c>
      <c r="B2477" t="s">
        <v>721</v>
      </c>
      <c r="C2477" t="s">
        <v>321</v>
      </c>
      <c r="D2477" s="230">
        <v>0</v>
      </c>
      <c r="E2477" t="s">
        <v>722</v>
      </c>
    </row>
    <row r="2478" spans="1:5" hidden="1" x14ac:dyDescent="0.3">
      <c r="A2478" t="s">
        <v>557</v>
      </c>
      <c r="B2478" t="s">
        <v>721</v>
      </c>
      <c r="C2478" t="s">
        <v>322</v>
      </c>
      <c r="D2478" s="230">
        <v>0</v>
      </c>
      <c r="E2478" t="s">
        <v>722</v>
      </c>
    </row>
    <row r="2479" spans="1:5" hidden="1" x14ac:dyDescent="0.3">
      <c r="A2479" t="s">
        <v>557</v>
      </c>
      <c r="B2479" t="s">
        <v>721</v>
      </c>
      <c r="C2479" t="s">
        <v>44</v>
      </c>
      <c r="D2479" s="230">
        <v>0</v>
      </c>
      <c r="E2479" t="s">
        <v>722</v>
      </c>
    </row>
    <row r="2480" spans="1:5" hidden="1" x14ac:dyDescent="0.3">
      <c r="A2480" t="s">
        <v>557</v>
      </c>
      <c r="B2480" t="s">
        <v>721</v>
      </c>
      <c r="C2480" t="s">
        <v>323</v>
      </c>
      <c r="D2480" s="230">
        <v>-22343.85</v>
      </c>
      <c r="E2480" t="s">
        <v>722</v>
      </c>
    </row>
    <row r="2481" spans="1:5" hidden="1" x14ac:dyDescent="0.3">
      <c r="A2481" t="s">
        <v>557</v>
      </c>
      <c r="B2481" t="s">
        <v>721</v>
      </c>
      <c r="C2481" t="s">
        <v>324</v>
      </c>
      <c r="D2481" s="230">
        <v>0</v>
      </c>
      <c r="E2481" t="s">
        <v>722</v>
      </c>
    </row>
    <row r="2482" spans="1:5" hidden="1" x14ac:dyDescent="0.3">
      <c r="A2482" t="s">
        <v>557</v>
      </c>
      <c r="B2482" t="s">
        <v>721</v>
      </c>
      <c r="C2482" t="s">
        <v>325</v>
      </c>
      <c r="D2482" s="230">
        <v>0</v>
      </c>
      <c r="E2482" t="s">
        <v>722</v>
      </c>
    </row>
    <row r="2483" spans="1:5" hidden="1" x14ac:dyDescent="0.3">
      <c r="A2483" t="s">
        <v>557</v>
      </c>
      <c r="B2483" t="s">
        <v>721</v>
      </c>
      <c r="C2483" t="s">
        <v>326</v>
      </c>
      <c r="D2483" s="230">
        <v>-22343.85</v>
      </c>
      <c r="E2483" t="s">
        <v>722</v>
      </c>
    </row>
    <row r="2484" spans="1:5" hidden="1" x14ac:dyDescent="0.3">
      <c r="A2484" t="s">
        <v>557</v>
      </c>
      <c r="B2484" t="s">
        <v>721</v>
      </c>
      <c r="C2484" t="s">
        <v>44</v>
      </c>
      <c r="D2484" s="230">
        <v>-0.05</v>
      </c>
      <c r="E2484" t="s">
        <v>722</v>
      </c>
    </row>
    <row r="2485" spans="1:5" hidden="1" x14ac:dyDescent="0.3">
      <c r="A2485" t="s">
        <v>557</v>
      </c>
      <c r="B2485" t="s">
        <v>721</v>
      </c>
      <c r="C2485" t="s">
        <v>328</v>
      </c>
      <c r="D2485" s="230">
        <v>-260086.8</v>
      </c>
      <c r="E2485" t="s">
        <v>722</v>
      </c>
    </row>
    <row r="2486" spans="1:5" hidden="1" x14ac:dyDescent="0.3">
      <c r="A2486" t="s">
        <v>557</v>
      </c>
      <c r="B2486" t="s">
        <v>721</v>
      </c>
      <c r="C2486" t="s">
        <v>44</v>
      </c>
      <c r="D2486" s="230">
        <v>-0.57999999999999996</v>
      </c>
      <c r="E2486" t="s">
        <v>722</v>
      </c>
    </row>
    <row r="2487" spans="1:5" hidden="1" x14ac:dyDescent="0.3">
      <c r="A2487" t="s">
        <v>557</v>
      </c>
      <c r="B2487" t="s">
        <v>721</v>
      </c>
      <c r="C2487" t="s">
        <v>329</v>
      </c>
      <c r="D2487" s="230">
        <v>-10260.780000000001</v>
      </c>
      <c r="E2487" t="s">
        <v>722</v>
      </c>
    </row>
    <row r="2488" spans="1:5" hidden="1" x14ac:dyDescent="0.3">
      <c r="A2488" t="s">
        <v>557</v>
      </c>
      <c r="B2488" t="s">
        <v>721</v>
      </c>
      <c r="C2488" t="s">
        <v>44</v>
      </c>
      <c r="D2488" s="230">
        <v>-0.02</v>
      </c>
      <c r="E2488" t="s">
        <v>722</v>
      </c>
    </row>
    <row r="2489" spans="1:5" hidden="1" x14ac:dyDescent="0.3">
      <c r="A2489" t="s">
        <v>557</v>
      </c>
      <c r="B2489" t="s">
        <v>721</v>
      </c>
      <c r="C2489" t="s">
        <v>330</v>
      </c>
      <c r="D2489" s="230">
        <v>0</v>
      </c>
      <c r="E2489" t="s">
        <v>722</v>
      </c>
    </row>
    <row r="2490" spans="1:5" hidden="1" x14ac:dyDescent="0.3">
      <c r="A2490" t="s">
        <v>557</v>
      </c>
      <c r="B2490" t="s">
        <v>721</v>
      </c>
      <c r="C2490" t="s">
        <v>332</v>
      </c>
      <c r="D2490" s="230">
        <v>-10260.780000000001</v>
      </c>
      <c r="E2490" t="s">
        <v>722</v>
      </c>
    </row>
    <row r="2491" spans="1:5" hidden="1" x14ac:dyDescent="0.3">
      <c r="A2491" t="s">
        <v>557</v>
      </c>
      <c r="B2491" t="s">
        <v>721</v>
      </c>
      <c r="C2491" t="s">
        <v>333</v>
      </c>
      <c r="D2491" s="230">
        <v>7722.2</v>
      </c>
      <c r="E2491" t="s">
        <v>722</v>
      </c>
    </row>
    <row r="2492" spans="1:5" hidden="1" x14ac:dyDescent="0.3">
      <c r="A2492" t="s">
        <v>557</v>
      </c>
      <c r="B2492" t="s">
        <v>721</v>
      </c>
      <c r="C2492" t="s">
        <v>334</v>
      </c>
      <c r="D2492" s="230">
        <v>0</v>
      </c>
      <c r="E2492" t="s">
        <v>722</v>
      </c>
    </row>
    <row r="2493" spans="1:5" hidden="1" x14ac:dyDescent="0.3">
      <c r="A2493" t="s">
        <v>557</v>
      </c>
      <c r="B2493" t="s">
        <v>721</v>
      </c>
      <c r="C2493" t="s">
        <v>336</v>
      </c>
      <c r="D2493" s="230">
        <v>-122.43</v>
      </c>
      <c r="E2493" t="s">
        <v>722</v>
      </c>
    </row>
    <row r="2494" spans="1:5" hidden="1" x14ac:dyDescent="0.3">
      <c r="A2494" t="s">
        <v>557</v>
      </c>
      <c r="B2494" t="s">
        <v>721</v>
      </c>
      <c r="C2494" t="s">
        <v>338</v>
      </c>
      <c r="D2494" s="230">
        <v>-2661.01</v>
      </c>
      <c r="E2494" t="s">
        <v>722</v>
      </c>
    </row>
    <row r="2495" spans="1:5" hidden="1" x14ac:dyDescent="0.3">
      <c r="A2495" t="s">
        <v>557</v>
      </c>
      <c r="B2495" t="s">
        <v>721</v>
      </c>
      <c r="C2495" t="s">
        <v>339</v>
      </c>
      <c r="D2495" s="230">
        <v>-21450.09</v>
      </c>
      <c r="E2495" t="s">
        <v>722</v>
      </c>
    </row>
    <row r="2496" spans="1:5" hidden="1" x14ac:dyDescent="0.3">
      <c r="A2496" t="s">
        <v>557</v>
      </c>
      <c r="B2496" t="s">
        <v>721</v>
      </c>
      <c r="C2496" t="s">
        <v>342</v>
      </c>
      <c r="D2496" s="230">
        <v>-21450.09</v>
      </c>
      <c r="E2496" t="s">
        <v>722</v>
      </c>
    </row>
    <row r="2497" spans="1:5" hidden="1" x14ac:dyDescent="0.3">
      <c r="A2497" t="s">
        <v>557</v>
      </c>
      <c r="B2497" t="s">
        <v>721</v>
      </c>
      <c r="C2497" t="s">
        <v>344</v>
      </c>
      <c r="D2497" s="230">
        <v>0</v>
      </c>
      <c r="E2497" t="s">
        <v>722</v>
      </c>
    </row>
    <row r="2498" spans="1:5" hidden="1" x14ac:dyDescent="0.3">
      <c r="A2498" t="s">
        <v>557</v>
      </c>
      <c r="B2498" t="s">
        <v>721</v>
      </c>
      <c r="C2498" t="s">
        <v>345</v>
      </c>
      <c r="D2498" s="230">
        <v>0</v>
      </c>
      <c r="E2498" t="s">
        <v>722</v>
      </c>
    </row>
    <row r="2499" spans="1:5" hidden="1" x14ac:dyDescent="0.3">
      <c r="A2499" t="s">
        <v>557</v>
      </c>
      <c r="B2499" t="s">
        <v>721</v>
      </c>
      <c r="C2499" t="s">
        <v>346</v>
      </c>
      <c r="D2499" s="230">
        <v>0</v>
      </c>
      <c r="E2499" t="s">
        <v>722</v>
      </c>
    </row>
    <row r="2500" spans="1:5" hidden="1" x14ac:dyDescent="0.3">
      <c r="A2500" t="s">
        <v>557</v>
      </c>
      <c r="B2500" t="s">
        <v>721</v>
      </c>
      <c r="C2500" t="s">
        <v>347</v>
      </c>
      <c r="D2500" s="230">
        <v>-24111.1</v>
      </c>
      <c r="E2500" t="s">
        <v>722</v>
      </c>
    </row>
    <row r="2501" spans="1:5" hidden="1" x14ac:dyDescent="0.3">
      <c r="A2501" t="s">
        <v>557</v>
      </c>
      <c r="B2501" t="s">
        <v>721</v>
      </c>
      <c r="C2501" t="s">
        <v>44</v>
      </c>
      <c r="D2501" s="230">
        <v>-0.05</v>
      </c>
      <c r="E2501" t="s">
        <v>722</v>
      </c>
    </row>
    <row r="2502" spans="1:5" hidden="1" x14ac:dyDescent="0.3">
      <c r="A2502" t="s">
        <v>557</v>
      </c>
      <c r="B2502" t="s">
        <v>721</v>
      </c>
      <c r="C2502" t="s">
        <v>348</v>
      </c>
      <c r="D2502" s="230">
        <v>-433.33</v>
      </c>
      <c r="E2502" t="s">
        <v>722</v>
      </c>
    </row>
    <row r="2503" spans="1:5" hidden="1" x14ac:dyDescent="0.3">
      <c r="A2503" t="s">
        <v>557</v>
      </c>
      <c r="B2503" t="s">
        <v>721</v>
      </c>
      <c r="C2503" t="s">
        <v>707</v>
      </c>
      <c r="D2503" s="230">
        <v>-433.33</v>
      </c>
      <c r="E2503" t="s">
        <v>722</v>
      </c>
    </row>
    <row r="2504" spans="1:5" hidden="1" x14ac:dyDescent="0.3">
      <c r="A2504" t="s">
        <v>557</v>
      </c>
      <c r="B2504" t="s">
        <v>721</v>
      </c>
      <c r="C2504" t="s">
        <v>350</v>
      </c>
      <c r="D2504" s="230">
        <v>0</v>
      </c>
      <c r="E2504" t="s">
        <v>722</v>
      </c>
    </row>
    <row r="2505" spans="1:5" hidden="1" x14ac:dyDescent="0.3">
      <c r="A2505" t="s">
        <v>557</v>
      </c>
      <c r="B2505" t="s">
        <v>721</v>
      </c>
      <c r="C2505" t="s">
        <v>351</v>
      </c>
      <c r="D2505" s="230">
        <v>0</v>
      </c>
      <c r="E2505" t="s">
        <v>722</v>
      </c>
    </row>
    <row r="2506" spans="1:5" hidden="1" x14ac:dyDescent="0.3">
      <c r="A2506" t="s">
        <v>557</v>
      </c>
      <c r="B2506" t="s">
        <v>721</v>
      </c>
      <c r="C2506" t="s">
        <v>352</v>
      </c>
      <c r="D2506" s="230">
        <v>0</v>
      </c>
      <c r="E2506" t="s">
        <v>722</v>
      </c>
    </row>
    <row r="2507" spans="1:5" hidden="1" x14ac:dyDescent="0.3">
      <c r="A2507" t="s">
        <v>557</v>
      </c>
      <c r="B2507" t="s">
        <v>721</v>
      </c>
      <c r="C2507" t="s">
        <v>353</v>
      </c>
      <c r="D2507" s="230">
        <v>0</v>
      </c>
      <c r="E2507" t="s">
        <v>722</v>
      </c>
    </row>
    <row r="2508" spans="1:5" hidden="1" x14ac:dyDescent="0.3">
      <c r="A2508" t="s">
        <v>557</v>
      </c>
      <c r="B2508" t="s">
        <v>721</v>
      </c>
      <c r="C2508" t="s">
        <v>354</v>
      </c>
      <c r="D2508" s="230">
        <v>0</v>
      </c>
      <c r="E2508" t="s">
        <v>722</v>
      </c>
    </row>
    <row r="2509" spans="1:5" hidden="1" x14ac:dyDescent="0.3">
      <c r="A2509" t="s">
        <v>557</v>
      </c>
      <c r="B2509" t="s">
        <v>721</v>
      </c>
      <c r="C2509" t="s">
        <v>355</v>
      </c>
      <c r="D2509" s="230">
        <v>0</v>
      </c>
      <c r="E2509" t="s">
        <v>722</v>
      </c>
    </row>
    <row r="2510" spans="1:5" hidden="1" x14ac:dyDescent="0.3">
      <c r="A2510" t="s">
        <v>557</v>
      </c>
      <c r="B2510" t="s">
        <v>721</v>
      </c>
      <c r="C2510" t="s">
        <v>356</v>
      </c>
      <c r="D2510" s="230">
        <v>0</v>
      </c>
      <c r="E2510" t="s">
        <v>722</v>
      </c>
    </row>
    <row r="2511" spans="1:5" hidden="1" x14ac:dyDescent="0.3">
      <c r="A2511" t="s">
        <v>557</v>
      </c>
      <c r="B2511" t="s">
        <v>721</v>
      </c>
      <c r="C2511" t="s">
        <v>357</v>
      </c>
      <c r="D2511" s="230">
        <v>0</v>
      </c>
      <c r="E2511" t="s">
        <v>722</v>
      </c>
    </row>
    <row r="2512" spans="1:5" hidden="1" x14ac:dyDescent="0.3">
      <c r="A2512" t="s">
        <v>557</v>
      </c>
      <c r="B2512" t="s">
        <v>721</v>
      </c>
      <c r="C2512" t="s">
        <v>358</v>
      </c>
      <c r="D2512" s="230">
        <v>0</v>
      </c>
      <c r="E2512" t="s">
        <v>722</v>
      </c>
    </row>
    <row r="2513" spans="1:5" hidden="1" x14ac:dyDescent="0.3">
      <c r="A2513" t="s">
        <v>557</v>
      </c>
      <c r="B2513" t="s">
        <v>721</v>
      </c>
      <c r="C2513" t="s">
        <v>359</v>
      </c>
      <c r="D2513" s="230">
        <v>0</v>
      </c>
      <c r="E2513" t="s">
        <v>722</v>
      </c>
    </row>
    <row r="2514" spans="1:5" hidden="1" x14ac:dyDescent="0.3">
      <c r="A2514" t="s">
        <v>557</v>
      </c>
      <c r="B2514" t="s">
        <v>721</v>
      </c>
      <c r="C2514" t="s">
        <v>360</v>
      </c>
      <c r="D2514" s="230">
        <v>0</v>
      </c>
      <c r="E2514" t="s">
        <v>722</v>
      </c>
    </row>
    <row r="2515" spans="1:5" hidden="1" x14ac:dyDescent="0.3">
      <c r="A2515" t="s">
        <v>557</v>
      </c>
      <c r="B2515" t="s">
        <v>721</v>
      </c>
      <c r="C2515" t="s">
        <v>361</v>
      </c>
      <c r="D2515" s="230">
        <v>0</v>
      </c>
      <c r="E2515" t="s">
        <v>722</v>
      </c>
    </row>
    <row r="2516" spans="1:5" hidden="1" x14ac:dyDescent="0.3">
      <c r="A2516" t="s">
        <v>557</v>
      </c>
      <c r="B2516" t="s">
        <v>721</v>
      </c>
      <c r="C2516" t="s">
        <v>362</v>
      </c>
      <c r="D2516" s="230">
        <v>0</v>
      </c>
      <c r="E2516" t="s">
        <v>722</v>
      </c>
    </row>
    <row r="2517" spans="1:5" hidden="1" x14ac:dyDescent="0.3">
      <c r="A2517" t="s">
        <v>557</v>
      </c>
      <c r="B2517" t="s">
        <v>721</v>
      </c>
      <c r="C2517" t="s">
        <v>363</v>
      </c>
      <c r="D2517" s="230">
        <v>0</v>
      </c>
      <c r="E2517" t="s">
        <v>722</v>
      </c>
    </row>
    <row r="2518" spans="1:5" hidden="1" x14ac:dyDescent="0.3">
      <c r="A2518" t="s">
        <v>557</v>
      </c>
      <c r="B2518" t="s">
        <v>721</v>
      </c>
      <c r="C2518" t="s">
        <v>364</v>
      </c>
      <c r="D2518" s="230">
        <v>0</v>
      </c>
      <c r="E2518" t="s">
        <v>722</v>
      </c>
    </row>
    <row r="2519" spans="1:5" hidden="1" x14ac:dyDescent="0.3">
      <c r="A2519" t="s">
        <v>557</v>
      </c>
      <c r="B2519" t="s">
        <v>721</v>
      </c>
      <c r="C2519" t="s">
        <v>365</v>
      </c>
      <c r="D2519" s="230">
        <v>0</v>
      </c>
      <c r="E2519" t="s">
        <v>722</v>
      </c>
    </row>
    <row r="2520" spans="1:5" hidden="1" x14ac:dyDescent="0.3">
      <c r="A2520" t="s">
        <v>557</v>
      </c>
      <c r="B2520" t="s">
        <v>721</v>
      </c>
      <c r="C2520" t="s">
        <v>366</v>
      </c>
      <c r="D2520" s="230">
        <v>0</v>
      </c>
      <c r="E2520" t="s">
        <v>722</v>
      </c>
    </row>
    <row r="2521" spans="1:5" hidden="1" x14ac:dyDescent="0.3">
      <c r="A2521" t="s">
        <v>557</v>
      </c>
      <c r="B2521" t="s">
        <v>721</v>
      </c>
      <c r="C2521" t="s">
        <v>367</v>
      </c>
      <c r="D2521" s="230">
        <v>0</v>
      </c>
      <c r="E2521" t="s">
        <v>722</v>
      </c>
    </row>
    <row r="2522" spans="1:5" hidden="1" x14ac:dyDescent="0.3">
      <c r="A2522" t="s">
        <v>557</v>
      </c>
      <c r="B2522" t="s">
        <v>721</v>
      </c>
      <c r="C2522" t="s">
        <v>368</v>
      </c>
      <c r="D2522" s="230">
        <v>0</v>
      </c>
      <c r="E2522" t="s">
        <v>722</v>
      </c>
    </row>
    <row r="2523" spans="1:5" hidden="1" x14ac:dyDescent="0.3">
      <c r="A2523" t="s">
        <v>557</v>
      </c>
      <c r="B2523" t="s">
        <v>721</v>
      </c>
      <c r="C2523" t="s">
        <v>369</v>
      </c>
      <c r="D2523" s="230">
        <v>0</v>
      </c>
      <c r="E2523" t="s">
        <v>722</v>
      </c>
    </row>
    <row r="2524" spans="1:5" hidden="1" x14ac:dyDescent="0.3">
      <c r="A2524" t="s">
        <v>557</v>
      </c>
      <c r="B2524" t="s">
        <v>721</v>
      </c>
      <c r="C2524" t="s">
        <v>370</v>
      </c>
      <c r="D2524" s="230">
        <v>0</v>
      </c>
      <c r="E2524" t="s">
        <v>722</v>
      </c>
    </row>
    <row r="2525" spans="1:5" hidden="1" x14ac:dyDescent="0.3">
      <c r="A2525" t="s">
        <v>557</v>
      </c>
      <c r="B2525" t="s">
        <v>721</v>
      </c>
      <c r="C2525" t="s">
        <v>371</v>
      </c>
      <c r="D2525" s="230">
        <v>0</v>
      </c>
      <c r="E2525" t="s">
        <v>722</v>
      </c>
    </row>
    <row r="2526" spans="1:5" hidden="1" x14ac:dyDescent="0.3">
      <c r="A2526" t="s">
        <v>557</v>
      </c>
      <c r="B2526" t="s">
        <v>721</v>
      </c>
      <c r="C2526" t="s">
        <v>372</v>
      </c>
      <c r="D2526" s="230">
        <v>0</v>
      </c>
      <c r="E2526" t="s">
        <v>722</v>
      </c>
    </row>
    <row r="2527" spans="1:5" hidden="1" x14ac:dyDescent="0.3">
      <c r="A2527" t="s">
        <v>557</v>
      </c>
      <c r="B2527" t="s">
        <v>721</v>
      </c>
      <c r="C2527" t="s">
        <v>373</v>
      </c>
      <c r="D2527" s="230">
        <v>0</v>
      </c>
      <c r="E2527" t="s">
        <v>722</v>
      </c>
    </row>
    <row r="2528" spans="1:5" hidden="1" x14ac:dyDescent="0.3">
      <c r="A2528" t="s">
        <v>557</v>
      </c>
      <c r="B2528" t="s">
        <v>721</v>
      </c>
      <c r="C2528" t="s">
        <v>374</v>
      </c>
      <c r="D2528" s="230">
        <v>0</v>
      </c>
      <c r="E2528" t="s">
        <v>722</v>
      </c>
    </row>
    <row r="2529" spans="1:5" hidden="1" x14ac:dyDescent="0.3">
      <c r="A2529" t="s">
        <v>557</v>
      </c>
      <c r="B2529" t="s">
        <v>721</v>
      </c>
      <c r="C2529" t="s">
        <v>708</v>
      </c>
      <c r="D2529" s="230">
        <v>0</v>
      </c>
      <c r="E2529" t="s">
        <v>722</v>
      </c>
    </row>
    <row r="2530" spans="1:5" hidden="1" x14ac:dyDescent="0.3">
      <c r="A2530" t="s">
        <v>557</v>
      </c>
      <c r="B2530" t="s">
        <v>723</v>
      </c>
      <c r="C2530" t="s">
        <v>11</v>
      </c>
      <c r="D2530" s="230">
        <v>462951.13</v>
      </c>
      <c r="E2530" t="s">
        <v>724</v>
      </c>
    </row>
    <row r="2531" spans="1:5" hidden="1" x14ac:dyDescent="0.3">
      <c r="A2531" t="s">
        <v>557</v>
      </c>
      <c r="B2531" t="s">
        <v>723</v>
      </c>
      <c r="C2531" t="s">
        <v>13</v>
      </c>
      <c r="D2531" s="230">
        <v>239466.2</v>
      </c>
      <c r="E2531" t="s">
        <v>724</v>
      </c>
    </row>
    <row r="2532" spans="1:5" hidden="1" x14ac:dyDescent="0.3">
      <c r="A2532" t="s">
        <v>557</v>
      </c>
      <c r="B2532" t="s">
        <v>723</v>
      </c>
      <c r="C2532" t="s">
        <v>16</v>
      </c>
      <c r="D2532" s="230">
        <v>118842.8</v>
      </c>
      <c r="E2532" t="s">
        <v>724</v>
      </c>
    </row>
    <row r="2533" spans="1:5" hidden="1" x14ac:dyDescent="0.3">
      <c r="A2533" t="s">
        <v>557</v>
      </c>
      <c r="B2533" t="s">
        <v>723</v>
      </c>
      <c r="C2533" t="s">
        <v>17</v>
      </c>
      <c r="D2533" s="230">
        <v>7830</v>
      </c>
      <c r="E2533" t="s">
        <v>724</v>
      </c>
    </row>
    <row r="2534" spans="1:5" hidden="1" x14ac:dyDescent="0.3">
      <c r="A2534" t="s">
        <v>557</v>
      </c>
      <c r="B2534" t="s">
        <v>723</v>
      </c>
      <c r="C2534" t="s">
        <v>18</v>
      </c>
      <c r="D2534" s="230">
        <v>189</v>
      </c>
      <c r="E2534" t="s">
        <v>724</v>
      </c>
    </row>
    <row r="2535" spans="1:5" hidden="1" x14ac:dyDescent="0.3">
      <c r="A2535" t="s">
        <v>557</v>
      </c>
      <c r="B2535" t="s">
        <v>723</v>
      </c>
      <c r="C2535" t="s">
        <v>20</v>
      </c>
      <c r="D2535" s="230">
        <v>46561.73</v>
      </c>
      <c r="E2535" t="s">
        <v>724</v>
      </c>
    </row>
    <row r="2536" spans="1:5" hidden="1" x14ac:dyDescent="0.3">
      <c r="A2536" t="s">
        <v>557</v>
      </c>
      <c r="B2536" t="s">
        <v>723</v>
      </c>
      <c r="C2536" t="s">
        <v>23</v>
      </c>
      <c r="D2536" s="230">
        <v>29911.93</v>
      </c>
      <c r="E2536" t="s">
        <v>724</v>
      </c>
    </row>
    <row r="2537" spans="1:5" hidden="1" x14ac:dyDescent="0.3">
      <c r="A2537" t="s">
        <v>557</v>
      </c>
      <c r="B2537" t="s">
        <v>723</v>
      </c>
      <c r="C2537" t="s">
        <v>25</v>
      </c>
      <c r="D2537" s="230">
        <v>1000</v>
      </c>
      <c r="E2537" t="s">
        <v>724</v>
      </c>
    </row>
    <row r="2538" spans="1:5" hidden="1" x14ac:dyDescent="0.3">
      <c r="A2538" t="s">
        <v>557</v>
      </c>
      <c r="B2538" t="s">
        <v>723</v>
      </c>
      <c r="C2538" t="s">
        <v>26</v>
      </c>
      <c r="D2538" s="230">
        <v>15400</v>
      </c>
      <c r="E2538" t="s">
        <v>724</v>
      </c>
    </row>
    <row r="2539" spans="1:5" hidden="1" x14ac:dyDescent="0.3">
      <c r="A2539" t="s">
        <v>557</v>
      </c>
      <c r="B2539" t="s">
        <v>723</v>
      </c>
      <c r="C2539" t="s">
        <v>27</v>
      </c>
      <c r="D2539" s="230">
        <v>0</v>
      </c>
      <c r="E2539" t="s">
        <v>724</v>
      </c>
    </row>
    <row r="2540" spans="1:5" hidden="1" x14ac:dyDescent="0.3">
      <c r="A2540" t="s">
        <v>557</v>
      </c>
      <c r="B2540" t="s">
        <v>723</v>
      </c>
      <c r="C2540" t="s">
        <v>29</v>
      </c>
      <c r="D2540" s="230">
        <v>3749.47</v>
      </c>
      <c r="E2540" t="s">
        <v>724</v>
      </c>
    </row>
    <row r="2541" spans="1:5" hidden="1" x14ac:dyDescent="0.3">
      <c r="A2541" t="s">
        <v>557</v>
      </c>
      <c r="B2541" t="s">
        <v>723</v>
      </c>
      <c r="C2541" t="s">
        <v>31</v>
      </c>
      <c r="D2541" s="230">
        <v>0</v>
      </c>
      <c r="E2541" t="s">
        <v>724</v>
      </c>
    </row>
    <row r="2542" spans="1:5" hidden="1" x14ac:dyDescent="0.3">
      <c r="A2542" t="s">
        <v>557</v>
      </c>
      <c r="B2542" t="s">
        <v>723</v>
      </c>
      <c r="C2542" t="s">
        <v>34</v>
      </c>
      <c r="D2542" s="230">
        <v>-14516.95</v>
      </c>
      <c r="E2542" t="s">
        <v>724</v>
      </c>
    </row>
    <row r="2543" spans="1:5" hidden="1" x14ac:dyDescent="0.3">
      <c r="A2543" t="s">
        <v>557</v>
      </c>
      <c r="B2543" t="s">
        <v>723</v>
      </c>
      <c r="C2543" t="s">
        <v>38</v>
      </c>
      <c r="D2543" s="230">
        <v>-14516.95</v>
      </c>
      <c r="E2543" t="s">
        <v>724</v>
      </c>
    </row>
    <row r="2544" spans="1:5" hidden="1" x14ac:dyDescent="0.3">
      <c r="A2544" t="s">
        <v>557</v>
      </c>
      <c r="B2544" t="s">
        <v>723</v>
      </c>
      <c r="C2544" t="s">
        <v>40</v>
      </c>
      <c r="D2544" s="230">
        <v>0</v>
      </c>
      <c r="E2544" t="s">
        <v>724</v>
      </c>
    </row>
    <row r="2545" spans="1:5" hidden="1" x14ac:dyDescent="0.3">
      <c r="A2545" t="s">
        <v>557</v>
      </c>
      <c r="B2545" t="s">
        <v>723</v>
      </c>
      <c r="C2545" t="s">
        <v>42</v>
      </c>
      <c r="D2545" s="230">
        <v>0</v>
      </c>
      <c r="E2545" t="s">
        <v>724</v>
      </c>
    </row>
    <row r="2546" spans="1:5" hidden="1" x14ac:dyDescent="0.3">
      <c r="A2546" t="s">
        <v>557</v>
      </c>
      <c r="B2546" t="s">
        <v>723</v>
      </c>
      <c r="C2546" t="s">
        <v>44</v>
      </c>
      <c r="D2546" s="230">
        <v>-0.03</v>
      </c>
      <c r="E2546" t="s">
        <v>724</v>
      </c>
    </row>
    <row r="2547" spans="1:5" hidden="1" x14ac:dyDescent="0.3">
      <c r="A2547" t="s">
        <v>557</v>
      </c>
      <c r="B2547" t="s">
        <v>723</v>
      </c>
      <c r="C2547" t="s">
        <v>45</v>
      </c>
      <c r="D2547" s="230">
        <v>-28458.18</v>
      </c>
      <c r="E2547" t="s">
        <v>724</v>
      </c>
    </row>
    <row r="2548" spans="1:5" hidden="1" x14ac:dyDescent="0.3">
      <c r="A2548" t="s">
        <v>557</v>
      </c>
      <c r="B2548" t="s">
        <v>723</v>
      </c>
      <c r="C2548" t="s">
        <v>46</v>
      </c>
      <c r="D2548" s="230">
        <v>-14668.34</v>
      </c>
      <c r="E2548" t="s">
        <v>724</v>
      </c>
    </row>
    <row r="2549" spans="1:5" hidden="1" x14ac:dyDescent="0.3">
      <c r="A2549" t="s">
        <v>557</v>
      </c>
      <c r="B2549" t="s">
        <v>723</v>
      </c>
      <c r="C2549" t="s">
        <v>48</v>
      </c>
      <c r="D2549" s="230">
        <v>-11902.74</v>
      </c>
      <c r="E2549" t="s">
        <v>724</v>
      </c>
    </row>
    <row r="2550" spans="1:5" hidden="1" x14ac:dyDescent="0.3">
      <c r="A2550" t="s">
        <v>557</v>
      </c>
      <c r="B2550" t="s">
        <v>723</v>
      </c>
      <c r="C2550" t="s">
        <v>49</v>
      </c>
      <c r="D2550" s="230">
        <v>-1887.1</v>
      </c>
      <c r="E2550" t="s">
        <v>724</v>
      </c>
    </row>
    <row r="2551" spans="1:5" hidden="1" x14ac:dyDescent="0.3">
      <c r="A2551" t="s">
        <v>557</v>
      </c>
      <c r="B2551" t="s">
        <v>723</v>
      </c>
      <c r="C2551" t="s">
        <v>50</v>
      </c>
      <c r="D2551" s="230">
        <v>419976</v>
      </c>
      <c r="E2551" t="s">
        <v>724</v>
      </c>
    </row>
    <row r="2552" spans="1:5" hidden="1" x14ac:dyDescent="0.3">
      <c r="A2552" t="s">
        <v>557</v>
      </c>
      <c r="B2552" t="s">
        <v>723</v>
      </c>
      <c r="C2552" t="s">
        <v>51</v>
      </c>
      <c r="D2552" s="230">
        <v>-122042.06</v>
      </c>
      <c r="E2552" t="s">
        <v>724</v>
      </c>
    </row>
    <row r="2553" spans="1:5" hidden="1" x14ac:dyDescent="0.3">
      <c r="A2553" t="s">
        <v>557</v>
      </c>
      <c r="B2553" t="s">
        <v>723</v>
      </c>
      <c r="C2553" t="s">
        <v>52</v>
      </c>
      <c r="D2553" s="230">
        <v>-88058.71</v>
      </c>
      <c r="E2553" t="s">
        <v>724</v>
      </c>
    </row>
    <row r="2554" spans="1:5" hidden="1" x14ac:dyDescent="0.3">
      <c r="A2554" t="s">
        <v>557</v>
      </c>
      <c r="B2554" t="s">
        <v>723</v>
      </c>
      <c r="C2554" t="s">
        <v>53</v>
      </c>
      <c r="D2554" s="230">
        <v>-33914.35</v>
      </c>
      <c r="E2554" t="s">
        <v>724</v>
      </c>
    </row>
    <row r="2555" spans="1:5" hidden="1" x14ac:dyDescent="0.3">
      <c r="A2555" t="s">
        <v>557</v>
      </c>
      <c r="B2555" t="s">
        <v>723</v>
      </c>
      <c r="C2555" t="s">
        <v>54</v>
      </c>
      <c r="D2555" s="230">
        <v>-69</v>
      </c>
      <c r="E2555" t="s">
        <v>724</v>
      </c>
    </row>
    <row r="2556" spans="1:5" hidden="1" x14ac:dyDescent="0.3">
      <c r="A2556" t="s">
        <v>557</v>
      </c>
      <c r="B2556" t="s">
        <v>723</v>
      </c>
      <c r="C2556" t="s">
        <v>23</v>
      </c>
      <c r="D2556" s="230">
        <v>0</v>
      </c>
      <c r="E2556" t="s">
        <v>724</v>
      </c>
    </row>
    <row r="2557" spans="1:5" hidden="1" x14ac:dyDescent="0.3">
      <c r="A2557" t="s">
        <v>557</v>
      </c>
      <c r="B2557" t="s">
        <v>723</v>
      </c>
      <c r="C2557" t="s">
        <v>44</v>
      </c>
      <c r="D2557" s="230">
        <v>-0.31</v>
      </c>
      <c r="E2557" t="s">
        <v>724</v>
      </c>
    </row>
    <row r="2558" spans="1:5" hidden="1" x14ac:dyDescent="0.3">
      <c r="A2558" t="s">
        <v>557</v>
      </c>
      <c r="B2558" t="s">
        <v>723</v>
      </c>
      <c r="C2558" t="s">
        <v>55</v>
      </c>
      <c r="D2558" s="230">
        <v>-0.28999999999999998</v>
      </c>
      <c r="E2558" t="s">
        <v>724</v>
      </c>
    </row>
    <row r="2559" spans="1:5" hidden="1" x14ac:dyDescent="0.3">
      <c r="A2559" t="s">
        <v>557</v>
      </c>
      <c r="B2559" t="s">
        <v>723</v>
      </c>
      <c r="C2559" t="s">
        <v>56</v>
      </c>
      <c r="D2559" s="230">
        <v>-9066.41</v>
      </c>
      <c r="E2559" t="s">
        <v>724</v>
      </c>
    </row>
    <row r="2560" spans="1:5" hidden="1" x14ac:dyDescent="0.3">
      <c r="A2560" t="s">
        <v>557</v>
      </c>
      <c r="B2560" t="s">
        <v>723</v>
      </c>
      <c r="C2560" t="s">
        <v>57</v>
      </c>
      <c r="D2560" s="230">
        <v>-6899.41</v>
      </c>
      <c r="E2560" t="s">
        <v>724</v>
      </c>
    </row>
    <row r="2561" spans="1:5" hidden="1" x14ac:dyDescent="0.3">
      <c r="A2561" t="s">
        <v>557</v>
      </c>
      <c r="B2561" t="s">
        <v>723</v>
      </c>
      <c r="C2561" t="s">
        <v>58</v>
      </c>
      <c r="D2561" s="230">
        <v>-6600</v>
      </c>
      <c r="E2561" t="s">
        <v>724</v>
      </c>
    </row>
    <row r="2562" spans="1:5" hidden="1" x14ac:dyDescent="0.3">
      <c r="A2562" t="s">
        <v>557</v>
      </c>
      <c r="B2562" t="s">
        <v>723</v>
      </c>
      <c r="C2562" t="s">
        <v>59</v>
      </c>
      <c r="D2562" s="230">
        <v>-299.41000000000003</v>
      </c>
      <c r="E2562" t="s">
        <v>724</v>
      </c>
    </row>
    <row r="2563" spans="1:5" hidden="1" x14ac:dyDescent="0.3">
      <c r="A2563" t="s">
        <v>557</v>
      </c>
      <c r="B2563" t="s">
        <v>723</v>
      </c>
      <c r="C2563" t="s">
        <v>61</v>
      </c>
      <c r="D2563" s="230">
        <v>0</v>
      </c>
      <c r="E2563" t="s">
        <v>724</v>
      </c>
    </row>
    <row r="2564" spans="1:5" hidden="1" x14ac:dyDescent="0.3">
      <c r="A2564" t="s">
        <v>557</v>
      </c>
      <c r="B2564" t="s">
        <v>723</v>
      </c>
      <c r="C2564" t="s">
        <v>62</v>
      </c>
      <c r="D2564" s="230">
        <v>0</v>
      </c>
      <c r="E2564" t="s">
        <v>724</v>
      </c>
    </row>
    <row r="2565" spans="1:5" hidden="1" x14ac:dyDescent="0.3">
      <c r="A2565" t="s">
        <v>557</v>
      </c>
      <c r="B2565" t="s">
        <v>723</v>
      </c>
      <c r="C2565" t="s">
        <v>64</v>
      </c>
      <c r="D2565" s="230">
        <v>0</v>
      </c>
      <c r="E2565" t="s">
        <v>724</v>
      </c>
    </row>
    <row r="2566" spans="1:5" hidden="1" x14ac:dyDescent="0.3">
      <c r="A2566" t="s">
        <v>557</v>
      </c>
      <c r="B2566" t="s">
        <v>723</v>
      </c>
      <c r="C2566" t="s">
        <v>65</v>
      </c>
      <c r="D2566" s="230">
        <v>-2167</v>
      </c>
      <c r="E2566" t="s">
        <v>724</v>
      </c>
    </row>
    <row r="2567" spans="1:5" hidden="1" x14ac:dyDescent="0.3">
      <c r="A2567" t="s">
        <v>557</v>
      </c>
      <c r="B2567" t="s">
        <v>723</v>
      </c>
      <c r="C2567" t="s">
        <v>66</v>
      </c>
      <c r="D2567" s="230">
        <v>-2167</v>
      </c>
      <c r="E2567" t="s">
        <v>724</v>
      </c>
    </row>
    <row r="2568" spans="1:5" hidden="1" x14ac:dyDescent="0.3">
      <c r="A2568" t="s">
        <v>557</v>
      </c>
      <c r="B2568" t="s">
        <v>723</v>
      </c>
      <c r="C2568" t="s">
        <v>68</v>
      </c>
      <c r="D2568" s="230">
        <v>0</v>
      </c>
      <c r="E2568" t="s">
        <v>724</v>
      </c>
    </row>
    <row r="2569" spans="1:5" hidden="1" x14ac:dyDescent="0.3">
      <c r="A2569" t="s">
        <v>557</v>
      </c>
      <c r="B2569" t="s">
        <v>723</v>
      </c>
      <c r="C2569" t="s">
        <v>69</v>
      </c>
      <c r="D2569" s="230">
        <v>0</v>
      </c>
      <c r="E2569" t="s">
        <v>724</v>
      </c>
    </row>
    <row r="2570" spans="1:5" hidden="1" x14ac:dyDescent="0.3">
      <c r="A2570" t="s">
        <v>557</v>
      </c>
      <c r="B2570" t="s">
        <v>723</v>
      </c>
      <c r="C2570" t="s">
        <v>70</v>
      </c>
      <c r="D2570" s="230">
        <v>-1.1599999999999999</v>
      </c>
      <c r="E2570" t="s">
        <v>724</v>
      </c>
    </row>
    <row r="2571" spans="1:5" hidden="1" x14ac:dyDescent="0.3">
      <c r="A2571" t="s">
        <v>557</v>
      </c>
      <c r="B2571" t="s">
        <v>723</v>
      </c>
      <c r="C2571" t="s">
        <v>44</v>
      </c>
      <c r="D2571" s="230">
        <v>-0.02</v>
      </c>
      <c r="E2571" t="s">
        <v>724</v>
      </c>
    </row>
    <row r="2572" spans="1:5" hidden="1" x14ac:dyDescent="0.3">
      <c r="A2572" t="s">
        <v>557</v>
      </c>
      <c r="B2572" t="s">
        <v>723</v>
      </c>
      <c r="C2572" t="s">
        <v>71</v>
      </c>
      <c r="D2572" s="230">
        <v>0</v>
      </c>
      <c r="E2572" t="s">
        <v>724</v>
      </c>
    </row>
    <row r="2573" spans="1:5" hidden="1" x14ac:dyDescent="0.3">
      <c r="A2573" t="s">
        <v>557</v>
      </c>
      <c r="B2573" t="s">
        <v>723</v>
      </c>
      <c r="C2573" t="s">
        <v>72</v>
      </c>
      <c r="D2573" s="230">
        <v>0</v>
      </c>
      <c r="E2573" t="s">
        <v>724</v>
      </c>
    </row>
    <row r="2574" spans="1:5" hidden="1" x14ac:dyDescent="0.3">
      <c r="A2574" t="s">
        <v>557</v>
      </c>
      <c r="B2574" t="s">
        <v>723</v>
      </c>
      <c r="C2574" t="s">
        <v>73</v>
      </c>
      <c r="D2574" s="230">
        <v>0</v>
      </c>
      <c r="E2574" t="s">
        <v>724</v>
      </c>
    </row>
    <row r="2575" spans="1:5" hidden="1" x14ac:dyDescent="0.3">
      <c r="A2575" t="s">
        <v>557</v>
      </c>
      <c r="B2575" t="s">
        <v>723</v>
      </c>
      <c r="C2575" t="s">
        <v>75</v>
      </c>
      <c r="D2575" s="230">
        <v>0</v>
      </c>
      <c r="E2575" t="s">
        <v>724</v>
      </c>
    </row>
    <row r="2576" spans="1:5" hidden="1" x14ac:dyDescent="0.3">
      <c r="A2576" t="s">
        <v>557</v>
      </c>
      <c r="B2576" t="s">
        <v>723</v>
      </c>
      <c r="C2576" t="s">
        <v>77</v>
      </c>
      <c r="D2576" s="230">
        <v>0</v>
      </c>
      <c r="E2576" t="s">
        <v>724</v>
      </c>
    </row>
    <row r="2577" spans="1:5" hidden="1" x14ac:dyDescent="0.3">
      <c r="A2577" t="s">
        <v>557</v>
      </c>
      <c r="B2577" t="s">
        <v>723</v>
      </c>
      <c r="C2577" t="s">
        <v>78</v>
      </c>
      <c r="D2577" s="230">
        <v>0</v>
      </c>
      <c r="E2577" t="s">
        <v>724</v>
      </c>
    </row>
    <row r="2578" spans="1:5" hidden="1" x14ac:dyDescent="0.3">
      <c r="A2578" t="s">
        <v>557</v>
      </c>
      <c r="B2578" t="s">
        <v>723</v>
      </c>
      <c r="C2578" t="s">
        <v>80</v>
      </c>
      <c r="D2578" s="230">
        <v>0</v>
      </c>
      <c r="E2578" t="s">
        <v>724</v>
      </c>
    </row>
    <row r="2579" spans="1:5" hidden="1" x14ac:dyDescent="0.3">
      <c r="A2579" t="s">
        <v>557</v>
      </c>
      <c r="B2579" t="s">
        <v>723</v>
      </c>
      <c r="C2579" t="s">
        <v>82</v>
      </c>
      <c r="D2579" s="230">
        <v>0</v>
      </c>
      <c r="E2579" t="s">
        <v>724</v>
      </c>
    </row>
    <row r="2580" spans="1:5" hidden="1" x14ac:dyDescent="0.3">
      <c r="A2580" t="s">
        <v>557</v>
      </c>
      <c r="B2580" t="s">
        <v>723</v>
      </c>
      <c r="C2580" t="s">
        <v>84</v>
      </c>
      <c r="D2580" s="230">
        <v>0</v>
      </c>
      <c r="E2580" t="s">
        <v>724</v>
      </c>
    </row>
    <row r="2581" spans="1:5" hidden="1" x14ac:dyDescent="0.3">
      <c r="A2581" t="s">
        <v>557</v>
      </c>
      <c r="B2581" t="s">
        <v>723</v>
      </c>
      <c r="C2581" t="s">
        <v>85</v>
      </c>
      <c r="D2581" s="230">
        <v>0</v>
      </c>
      <c r="E2581" t="s">
        <v>724</v>
      </c>
    </row>
    <row r="2582" spans="1:5" hidden="1" x14ac:dyDescent="0.3">
      <c r="A2582" t="s">
        <v>557</v>
      </c>
      <c r="B2582" t="s">
        <v>723</v>
      </c>
      <c r="C2582" t="s">
        <v>86</v>
      </c>
      <c r="D2582" s="230">
        <v>0</v>
      </c>
      <c r="E2582" t="s">
        <v>724</v>
      </c>
    </row>
    <row r="2583" spans="1:5" hidden="1" x14ac:dyDescent="0.3">
      <c r="A2583" t="s">
        <v>557</v>
      </c>
      <c r="B2583" t="s">
        <v>723</v>
      </c>
      <c r="C2583" t="s">
        <v>87</v>
      </c>
      <c r="D2583" s="230">
        <v>0</v>
      </c>
      <c r="E2583" t="s">
        <v>724</v>
      </c>
    </row>
    <row r="2584" spans="1:5" hidden="1" x14ac:dyDescent="0.3">
      <c r="A2584" t="s">
        <v>557</v>
      </c>
      <c r="B2584" t="s">
        <v>723</v>
      </c>
      <c r="C2584" t="s">
        <v>88</v>
      </c>
      <c r="D2584" s="230">
        <v>0</v>
      </c>
      <c r="E2584" t="s">
        <v>724</v>
      </c>
    </row>
    <row r="2585" spans="1:5" hidden="1" x14ac:dyDescent="0.3">
      <c r="A2585" t="s">
        <v>557</v>
      </c>
      <c r="B2585" t="s">
        <v>723</v>
      </c>
      <c r="C2585" t="s">
        <v>89</v>
      </c>
      <c r="D2585" s="230">
        <v>0</v>
      </c>
      <c r="E2585" t="s">
        <v>724</v>
      </c>
    </row>
    <row r="2586" spans="1:5" hidden="1" x14ac:dyDescent="0.3">
      <c r="A2586" t="s">
        <v>557</v>
      </c>
      <c r="B2586" t="s">
        <v>723</v>
      </c>
      <c r="C2586" t="s">
        <v>90</v>
      </c>
      <c r="D2586" s="230">
        <v>0</v>
      </c>
      <c r="E2586" t="s">
        <v>724</v>
      </c>
    </row>
    <row r="2587" spans="1:5" hidden="1" x14ac:dyDescent="0.3">
      <c r="A2587" t="s">
        <v>557</v>
      </c>
      <c r="B2587" t="s">
        <v>723</v>
      </c>
      <c r="C2587" t="s">
        <v>91</v>
      </c>
      <c r="D2587" s="230">
        <v>0</v>
      </c>
      <c r="E2587" t="s">
        <v>724</v>
      </c>
    </row>
    <row r="2588" spans="1:5" hidden="1" x14ac:dyDescent="0.3">
      <c r="A2588" t="s">
        <v>557</v>
      </c>
      <c r="B2588" t="s">
        <v>723</v>
      </c>
      <c r="C2588" t="s">
        <v>93</v>
      </c>
      <c r="D2588" s="230">
        <v>0</v>
      </c>
      <c r="E2588" t="s">
        <v>724</v>
      </c>
    </row>
    <row r="2589" spans="1:5" hidden="1" x14ac:dyDescent="0.3">
      <c r="A2589" t="s">
        <v>557</v>
      </c>
      <c r="B2589" t="s">
        <v>723</v>
      </c>
      <c r="C2589" t="s">
        <v>95</v>
      </c>
      <c r="D2589" s="230">
        <v>0</v>
      </c>
      <c r="E2589" t="s">
        <v>724</v>
      </c>
    </row>
    <row r="2590" spans="1:5" hidden="1" x14ac:dyDescent="0.3">
      <c r="A2590" t="s">
        <v>557</v>
      </c>
      <c r="B2590" t="s">
        <v>723</v>
      </c>
      <c r="C2590" t="s">
        <v>96</v>
      </c>
      <c r="D2590" s="230">
        <v>0</v>
      </c>
      <c r="E2590" t="s">
        <v>724</v>
      </c>
    </row>
    <row r="2591" spans="1:5" hidden="1" x14ac:dyDescent="0.3">
      <c r="A2591" t="s">
        <v>557</v>
      </c>
      <c r="B2591" t="s">
        <v>723</v>
      </c>
      <c r="C2591" t="s">
        <v>98</v>
      </c>
      <c r="D2591" s="230">
        <v>0</v>
      </c>
      <c r="E2591" t="s">
        <v>724</v>
      </c>
    </row>
    <row r="2592" spans="1:5" hidden="1" x14ac:dyDescent="0.3">
      <c r="A2592" t="s">
        <v>557</v>
      </c>
      <c r="B2592" t="s">
        <v>723</v>
      </c>
      <c r="C2592" t="s">
        <v>100</v>
      </c>
      <c r="D2592" s="230">
        <v>0</v>
      </c>
      <c r="E2592" t="s">
        <v>724</v>
      </c>
    </row>
    <row r="2593" spans="1:5" hidden="1" x14ac:dyDescent="0.3">
      <c r="A2593" t="s">
        <v>557</v>
      </c>
      <c r="B2593" t="s">
        <v>723</v>
      </c>
      <c r="C2593" t="s">
        <v>101</v>
      </c>
      <c r="D2593" s="230">
        <v>0</v>
      </c>
      <c r="E2593" t="s">
        <v>724</v>
      </c>
    </row>
    <row r="2594" spans="1:5" hidden="1" x14ac:dyDescent="0.3">
      <c r="A2594" t="s">
        <v>557</v>
      </c>
      <c r="B2594" t="s">
        <v>723</v>
      </c>
      <c r="C2594" t="s">
        <v>102</v>
      </c>
      <c r="D2594" s="230">
        <v>0</v>
      </c>
      <c r="E2594" t="s">
        <v>724</v>
      </c>
    </row>
    <row r="2595" spans="1:5" hidden="1" x14ac:dyDescent="0.3">
      <c r="A2595" t="s">
        <v>557</v>
      </c>
      <c r="B2595" t="s">
        <v>723</v>
      </c>
      <c r="C2595" t="s">
        <v>103</v>
      </c>
      <c r="D2595" s="230">
        <v>0</v>
      </c>
      <c r="E2595" t="s">
        <v>724</v>
      </c>
    </row>
    <row r="2596" spans="1:5" hidden="1" x14ac:dyDescent="0.3">
      <c r="A2596" t="s">
        <v>557</v>
      </c>
      <c r="B2596" t="s">
        <v>723</v>
      </c>
      <c r="C2596" t="s">
        <v>104</v>
      </c>
      <c r="D2596" s="230">
        <v>0</v>
      </c>
      <c r="E2596" t="s">
        <v>724</v>
      </c>
    </row>
    <row r="2597" spans="1:5" hidden="1" x14ac:dyDescent="0.3">
      <c r="A2597" t="s">
        <v>557</v>
      </c>
      <c r="B2597" t="s">
        <v>723</v>
      </c>
      <c r="C2597" t="s">
        <v>105</v>
      </c>
      <c r="D2597" s="230">
        <v>0</v>
      </c>
      <c r="E2597" t="s">
        <v>724</v>
      </c>
    </row>
    <row r="2598" spans="1:5" hidden="1" x14ac:dyDescent="0.3">
      <c r="A2598" t="s">
        <v>557</v>
      </c>
      <c r="B2598" t="s">
        <v>723</v>
      </c>
      <c r="C2598" t="s">
        <v>107</v>
      </c>
      <c r="D2598" s="230">
        <v>0</v>
      </c>
      <c r="E2598" t="s">
        <v>724</v>
      </c>
    </row>
    <row r="2599" spans="1:5" hidden="1" x14ac:dyDescent="0.3">
      <c r="A2599" t="s">
        <v>557</v>
      </c>
      <c r="B2599" t="s">
        <v>723</v>
      </c>
      <c r="C2599" t="s">
        <v>108</v>
      </c>
      <c r="D2599" s="230">
        <v>0</v>
      </c>
      <c r="E2599" t="s">
        <v>724</v>
      </c>
    </row>
    <row r="2600" spans="1:5" hidden="1" x14ac:dyDescent="0.3">
      <c r="A2600" t="s">
        <v>557</v>
      </c>
      <c r="B2600" t="s">
        <v>723</v>
      </c>
      <c r="C2600" t="s">
        <v>109</v>
      </c>
      <c r="D2600" s="230">
        <v>0</v>
      </c>
      <c r="E2600" t="s">
        <v>724</v>
      </c>
    </row>
    <row r="2601" spans="1:5" hidden="1" x14ac:dyDescent="0.3">
      <c r="A2601" t="s">
        <v>557</v>
      </c>
      <c r="B2601" t="s">
        <v>723</v>
      </c>
      <c r="C2601" t="s">
        <v>110</v>
      </c>
      <c r="D2601" s="230">
        <v>0</v>
      </c>
      <c r="E2601" t="s">
        <v>724</v>
      </c>
    </row>
    <row r="2602" spans="1:5" hidden="1" x14ac:dyDescent="0.3">
      <c r="A2602" t="s">
        <v>557</v>
      </c>
      <c r="B2602" t="s">
        <v>723</v>
      </c>
      <c r="C2602" t="s">
        <v>44</v>
      </c>
      <c r="D2602" s="230">
        <v>0</v>
      </c>
      <c r="E2602" t="s">
        <v>724</v>
      </c>
    </row>
    <row r="2603" spans="1:5" hidden="1" x14ac:dyDescent="0.3">
      <c r="A2603" t="s">
        <v>557</v>
      </c>
      <c r="B2603" t="s">
        <v>723</v>
      </c>
      <c r="C2603" t="s">
        <v>111</v>
      </c>
      <c r="D2603" s="230">
        <v>-24821.69</v>
      </c>
      <c r="E2603" t="s">
        <v>724</v>
      </c>
    </row>
    <row r="2604" spans="1:5" hidden="1" x14ac:dyDescent="0.3">
      <c r="A2604" t="s">
        <v>557</v>
      </c>
      <c r="B2604" t="s">
        <v>723</v>
      </c>
      <c r="C2604" t="s">
        <v>608</v>
      </c>
      <c r="D2604" s="230">
        <v>-24821.69</v>
      </c>
      <c r="E2604" t="s">
        <v>724</v>
      </c>
    </row>
    <row r="2605" spans="1:5" hidden="1" x14ac:dyDescent="0.3">
      <c r="A2605" t="s">
        <v>557</v>
      </c>
      <c r="B2605" t="s">
        <v>723</v>
      </c>
      <c r="C2605" t="s">
        <v>44</v>
      </c>
      <c r="D2605" s="230">
        <v>-0.05</v>
      </c>
      <c r="E2605" t="s">
        <v>724</v>
      </c>
    </row>
    <row r="2606" spans="1:5" hidden="1" x14ac:dyDescent="0.3">
      <c r="A2606" t="s">
        <v>557</v>
      </c>
      <c r="B2606" t="s">
        <v>723</v>
      </c>
      <c r="C2606" t="s">
        <v>115</v>
      </c>
      <c r="D2606" s="230">
        <v>-6084.27</v>
      </c>
      <c r="E2606" t="s">
        <v>724</v>
      </c>
    </row>
    <row r="2607" spans="1:5" hidden="1" x14ac:dyDescent="0.3">
      <c r="A2607" t="s">
        <v>557</v>
      </c>
      <c r="B2607" t="s">
        <v>723</v>
      </c>
      <c r="C2607" t="s">
        <v>116</v>
      </c>
      <c r="D2607" s="230">
        <v>-5328.9</v>
      </c>
      <c r="E2607" t="s">
        <v>724</v>
      </c>
    </row>
    <row r="2608" spans="1:5" hidden="1" x14ac:dyDescent="0.3">
      <c r="A2608" t="s">
        <v>557</v>
      </c>
      <c r="B2608" t="s">
        <v>723</v>
      </c>
      <c r="C2608" t="s">
        <v>118</v>
      </c>
      <c r="D2608" s="230">
        <v>0</v>
      </c>
      <c r="E2608" t="s">
        <v>724</v>
      </c>
    </row>
    <row r="2609" spans="1:5" hidden="1" x14ac:dyDescent="0.3">
      <c r="A2609" t="s">
        <v>557</v>
      </c>
      <c r="B2609" t="s">
        <v>723</v>
      </c>
      <c r="C2609" t="s">
        <v>120</v>
      </c>
      <c r="D2609" s="230">
        <v>0</v>
      </c>
      <c r="E2609" t="s">
        <v>724</v>
      </c>
    </row>
    <row r="2610" spans="1:5" hidden="1" x14ac:dyDescent="0.3">
      <c r="A2610" t="s">
        <v>557</v>
      </c>
      <c r="B2610" t="s">
        <v>723</v>
      </c>
      <c r="C2610" t="s">
        <v>122</v>
      </c>
      <c r="D2610" s="230">
        <v>-755.37</v>
      </c>
      <c r="E2610" t="s">
        <v>724</v>
      </c>
    </row>
    <row r="2611" spans="1:5" hidden="1" x14ac:dyDescent="0.3">
      <c r="A2611" t="s">
        <v>557</v>
      </c>
      <c r="B2611" t="s">
        <v>723</v>
      </c>
      <c r="C2611" t="s">
        <v>44</v>
      </c>
      <c r="D2611" s="230">
        <v>-0.01</v>
      </c>
      <c r="E2611" t="s">
        <v>724</v>
      </c>
    </row>
    <row r="2612" spans="1:5" hidden="1" x14ac:dyDescent="0.3">
      <c r="A2612" t="s">
        <v>557</v>
      </c>
      <c r="B2612" t="s">
        <v>723</v>
      </c>
      <c r="C2612" t="s">
        <v>126</v>
      </c>
      <c r="D2612" s="230">
        <v>257961.57</v>
      </c>
      <c r="E2612" t="s">
        <v>724</v>
      </c>
    </row>
    <row r="2613" spans="1:5" hidden="1" x14ac:dyDescent="0.3">
      <c r="A2613" t="s">
        <v>557</v>
      </c>
      <c r="B2613" t="s">
        <v>723</v>
      </c>
      <c r="C2613" t="s">
        <v>127</v>
      </c>
      <c r="D2613" s="230">
        <v>0.56000000000000005</v>
      </c>
      <c r="E2613" t="s">
        <v>724</v>
      </c>
    </row>
    <row r="2614" spans="1:5" hidden="1" x14ac:dyDescent="0.3">
      <c r="A2614" t="s">
        <v>557</v>
      </c>
      <c r="B2614" t="s">
        <v>723</v>
      </c>
      <c r="C2614" t="s">
        <v>128</v>
      </c>
      <c r="D2614" s="230">
        <v>-118901.03</v>
      </c>
      <c r="E2614" t="s">
        <v>724</v>
      </c>
    </row>
    <row r="2615" spans="1:5" hidden="1" x14ac:dyDescent="0.3">
      <c r="A2615" t="s">
        <v>557</v>
      </c>
      <c r="B2615" t="s">
        <v>723</v>
      </c>
      <c r="C2615" t="s">
        <v>129</v>
      </c>
      <c r="D2615" s="230">
        <v>-37900</v>
      </c>
      <c r="E2615" t="s">
        <v>724</v>
      </c>
    </row>
    <row r="2616" spans="1:5" hidden="1" x14ac:dyDescent="0.3">
      <c r="A2616" t="s">
        <v>557</v>
      </c>
      <c r="B2616" t="s">
        <v>723</v>
      </c>
      <c r="C2616" t="s">
        <v>609</v>
      </c>
      <c r="D2616" s="230">
        <v>-4600</v>
      </c>
      <c r="E2616" t="s">
        <v>724</v>
      </c>
    </row>
    <row r="2617" spans="1:5" hidden="1" x14ac:dyDescent="0.3">
      <c r="A2617" t="s">
        <v>557</v>
      </c>
      <c r="B2617" t="s">
        <v>723</v>
      </c>
      <c r="C2617" t="s">
        <v>610</v>
      </c>
      <c r="D2617" s="230">
        <v>-17600</v>
      </c>
      <c r="E2617" t="s">
        <v>724</v>
      </c>
    </row>
    <row r="2618" spans="1:5" hidden="1" x14ac:dyDescent="0.3">
      <c r="A2618" t="s">
        <v>557</v>
      </c>
      <c r="B2618" t="s">
        <v>723</v>
      </c>
      <c r="C2618" t="s">
        <v>611</v>
      </c>
      <c r="D2618" s="230">
        <v>0</v>
      </c>
      <c r="E2618" t="s">
        <v>724</v>
      </c>
    </row>
    <row r="2619" spans="1:5" hidden="1" x14ac:dyDescent="0.3">
      <c r="A2619" t="s">
        <v>557</v>
      </c>
      <c r="B2619" t="s">
        <v>723</v>
      </c>
      <c r="C2619" t="s">
        <v>612</v>
      </c>
      <c r="D2619" s="230">
        <v>-4000</v>
      </c>
      <c r="E2619" t="s">
        <v>724</v>
      </c>
    </row>
    <row r="2620" spans="1:5" hidden="1" x14ac:dyDescent="0.3">
      <c r="A2620" t="s">
        <v>557</v>
      </c>
      <c r="B2620" t="s">
        <v>723</v>
      </c>
      <c r="C2620" t="s">
        <v>613</v>
      </c>
      <c r="D2620" s="230">
        <v>-1200</v>
      </c>
      <c r="E2620" t="s">
        <v>724</v>
      </c>
    </row>
    <row r="2621" spans="1:5" hidden="1" x14ac:dyDescent="0.3">
      <c r="A2621" t="s">
        <v>557</v>
      </c>
      <c r="B2621" t="s">
        <v>723</v>
      </c>
      <c r="C2621" t="s">
        <v>614</v>
      </c>
      <c r="D2621" s="230">
        <v>-6500</v>
      </c>
      <c r="E2621" t="s">
        <v>724</v>
      </c>
    </row>
    <row r="2622" spans="1:5" hidden="1" x14ac:dyDescent="0.3">
      <c r="A2622" t="s">
        <v>557</v>
      </c>
      <c r="B2622" t="s">
        <v>723</v>
      </c>
      <c r="C2622" t="s">
        <v>615</v>
      </c>
      <c r="D2622" s="230">
        <v>0</v>
      </c>
      <c r="E2622" t="s">
        <v>724</v>
      </c>
    </row>
    <row r="2623" spans="1:5" hidden="1" x14ac:dyDescent="0.3">
      <c r="A2623" t="s">
        <v>557</v>
      </c>
      <c r="B2623" t="s">
        <v>723</v>
      </c>
      <c r="C2623" t="s">
        <v>616</v>
      </c>
      <c r="D2623" s="230">
        <v>-4000</v>
      </c>
      <c r="E2623" t="s">
        <v>724</v>
      </c>
    </row>
    <row r="2624" spans="1:5" hidden="1" x14ac:dyDescent="0.3">
      <c r="A2624" t="s">
        <v>557</v>
      </c>
      <c r="B2624" t="s">
        <v>723</v>
      </c>
      <c r="C2624" t="s">
        <v>617</v>
      </c>
      <c r="D2624" s="230">
        <v>0</v>
      </c>
      <c r="E2624" t="s">
        <v>724</v>
      </c>
    </row>
    <row r="2625" spans="1:5" hidden="1" x14ac:dyDescent="0.3">
      <c r="A2625" t="s">
        <v>557</v>
      </c>
      <c r="B2625" t="s">
        <v>723</v>
      </c>
      <c r="C2625" t="s">
        <v>618</v>
      </c>
      <c r="D2625" s="230">
        <v>0</v>
      </c>
      <c r="E2625" t="s">
        <v>724</v>
      </c>
    </row>
    <row r="2626" spans="1:5" hidden="1" x14ac:dyDescent="0.3">
      <c r="A2626" t="s">
        <v>557</v>
      </c>
      <c r="B2626" t="s">
        <v>723</v>
      </c>
      <c r="C2626" t="s">
        <v>619</v>
      </c>
      <c r="D2626" s="230">
        <v>0</v>
      </c>
      <c r="E2626" t="s">
        <v>724</v>
      </c>
    </row>
    <row r="2627" spans="1:5" hidden="1" x14ac:dyDescent="0.3">
      <c r="A2627" t="s">
        <v>557</v>
      </c>
      <c r="B2627" t="s">
        <v>723</v>
      </c>
      <c r="C2627" t="s">
        <v>620</v>
      </c>
      <c r="D2627" s="230">
        <v>0</v>
      </c>
      <c r="E2627" t="s">
        <v>724</v>
      </c>
    </row>
    <row r="2628" spans="1:5" hidden="1" x14ac:dyDescent="0.3">
      <c r="A2628" t="s">
        <v>557</v>
      </c>
      <c r="B2628" t="s">
        <v>723</v>
      </c>
      <c r="C2628" t="s">
        <v>575</v>
      </c>
      <c r="D2628" s="230">
        <v>-35125.25</v>
      </c>
      <c r="E2628" t="s">
        <v>724</v>
      </c>
    </row>
    <row r="2629" spans="1:5" hidden="1" x14ac:dyDescent="0.3">
      <c r="A2629" t="s">
        <v>557</v>
      </c>
      <c r="B2629" t="s">
        <v>723</v>
      </c>
      <c r="C2629" t="s">
        <v>621</v>
      </c>
      <c r="D2629" s="230">
        <v>0</v>
      </c>
      <c r="E2629" t="s">
        <v>724</v>
      </c>
    </row>
    <row r="2630" spans="1:5" hidden="1" x14ac:dyDescent="0.3">
      <c r="A2630" t="s">
        <v>557</v>
      </c>
      <c r="B2630" t="s">
        <v>723</v>
      </c>
      <c r="C2630" t="s">
        <v>622</v>
      </c>
      <c r="D2630" s="230">
        <v>0</v>
      </c>
      <c r="E2630" t="s">
        <v>724</v>
      </c>
    </row>
    <row r="2631" spans="1:5" hidden="1" x14ac:dyDescent="0.3">
      <c r="A2631" t="s">
        <v>557</v>
      </c>
      <c r="B2631" t="s">
        <v>723</v>
      </c>
      <c r="C2631" t="s">
        <v>623</v>
      </c>
      <c r="D2631" s="230">
        <v>0</v>
      </c>
      <c r="E2631" t="s">
        <v>724</v>
      </c>
    </row>
    <row r="2632" spans="1:5" hidden="1" x14ac:dyDescent="0.3">
      <c r="A2632" t="s">
        <v>557</v>
      </c>
      <c r="B2632" t="s">
        <v>723</v>
      </c>
      <c r="C2632" t="s">
        <v>624</v>
      </c>
      <c r="D2632" s="230">
        <v>0</v>
      </c>
      <c r="E2632" t="s">
        <v>724</v>
      </c>
    </row>
    <row r="2633" spans="1:5" hidden="1" x14ac:dyDescent="0.3">
      <c r="A2633" t="s">
        <v>557</v>
      </c>
      <c r="B2633" t="s">
        <v>723</v>
      </c>
      <c r="C2633" t="s">
        <v>625</v>
      </c>
      <c r="D2633" s="230">
        <v>0</v>
      </c>
      <c r="E2633" t="s">
        <v>724</v>
      </c>
    </row>
    <row r="2634" spans="1:5" hidden="1" x14ac:dyDescent="0.3">
      <c r="A2634" t="s">
        <v>557</v>
      </c>
      <c r="B2634" t="s">
        <v>723</v>
      </c>
      <c r="C2634" t="s">
        <v>626</v>
      </c>
      <c r="D2634" s="230">
        <v>0</v>
      </c>
      <c r="E2634" t="s">
        <v>724</v>
      </c>
    </row>
    <row r="2635" spans="1:5" hidden="1" x14ac:dyDescent="0.3">
      <c r="A2635" t="s">
        <v>557</v>
      </c>
      <c r="B2635" t="s">
        <v>723</v>
      </c>
      <c r="C2635" t="s">
        <v>627</v>
      </c>
      <c r="D2635" s="230">
        <v>0</v>
      </c>
      <c r="E2635" t="s">
        <v>724</v>
      </c>
    </row>
    <row r="2636" spans="1:5" hidden="1" x14ac:dyDescent="0.3">
      <c r="A2636" t="s">
        <v>557</v>
      </c>
      <c r="B2636" t="s">
        <v>723</v>
      </c>
      <c r="C2636" t="s">
        <v>628</v>
      </c>
      <c r="D2636" s="230">
        <v>0</v>
      </c>
      <c r="E2636" t="s">
        <v>724</v>
      </c>
    </row>
    <row r="2637" spans="1:5" hidden="1" x14ac:dyDescent="0.3">
      <c r="A2637" t="s">
        <v>557</v>
      </c>
      <c r="B2637" t="s">
        <v>723</v>
      </c>
      <c r="C2637" t="s">
        <v>629</v>
      </c>
      <c r="D2637" s="230">
        <v>0</v>
      </c>
      <c r="E2637" t="s">
        <v>724</v>
      </c>
    </row>
    <row r="2638" spans="1:5" hidden="1" x14ac:dyDescent="0.3">
      <c r="A2638" t="s">
        <v>557</v>
      </c>
      <c r="B2638" t="s">
        <v>723</v>
      </c>
      <c r="C2638" t="s">
        <v>630</v>
      </c>
      <c r="D2638" s="230">
        <v>0</v>
      </c>
      <c r="E2638" t="s">
        <v>724</v>
      </c>
    </row>
    <row r="2639" spans="1:5" hidden="1" x14ac:dyDescent="0.3">
      <c r="A2639" t="s">
        <v>557</v>
      </c>
      <c r="B2639" t="s">
        <v>723</v>
      </c>
      <c r="C2639" t="s">
        <v>631</v>
      </c>
      <c r="D2639" s="230">
        <v>0</v>
      </c>
      <c r="E2639" t="s">
        <v>724</v>
      </c>
    </row>
    <row r="2640" spans="1:5" hidden="1" x14ac:dyDescent="0.3">
      <c r="A2640" t="s">
        <v>557</v>
      </c>
      <c r="B2640" t="s">
        <v>723</v>
      </c>
      <c r="C2640" t="s">
        <v>632</v>
      </c>
      <c r="D2640" s="230">
        <v>0</v>
      </c>
      <c r="E2640" t="s">
        <v>724</v>
      </c>
    </row>
    <row r="2641" spans="1:5" hidden="1" x14ac:dyDescent="0.3">
      <c r="A2641" t="s">
        <v>557</v>
      </c>
      <c r="B2641" t="s">
        <v>723</v>
      </c>
      <c r="C2641" t="s">
        <v>633</v>
      </c>
      <c r="D2641" s="230">
        <v>0</v>
      </c>
      <c r="E2641" t="s">
        <v>724</v>
      </c>
    </row>
    <row r="2642" spans="1:5" hidden="1" x14ac:dyDescent="0.3">
      <c r="A2642" t="s">
        <v>557</v>
      </c>
      <c r="B2642" t="s">
        <v>723</v>
      </c>
      <c r="C2642" t="s">
        <v>634</v>
      </c>
      <c r="D2642" s="230">
        <v>0</v>
      </c>
      <c r="E2642" t="s">
        <v>724</v>
      </c>
    </row>
    <row r="2643" spans="1:5" hidden="1" x14ac:dyDescent="0.3">
      <c r="A2643" t="s">
        <v>557</v>
      </c>
      <c r="B2643" t="s">
        <v>723</v>
      </c>
      <c r="C2643" t="s">
        <v>635</v>
      </c>
      <c r="D2643" s="230">
        <v>0</v>
      </c>
      <c r="E2643" t="s">
        <v>724</v>
      </c>
    </row>
    <row r="2644" spans="1:5" hidden="1" x14ac:dyDescent="0.3">
      <c r="A2644" t="s">
        <v>557</v>
      </c>
      <c r="B2644" t="s">
        <v>723</v>
      </c>
      <c r="C2644" t="s">
        <v>636</v>
      </c>
      <c r="D2644" s="230">
        <v>0</v>
      </c>
      <c r="E2644" t="s">
        <v>724</v>
      </c>
    </row>
    <row r="2645" spans="1:5" hidden="1" x14ac:dyDescent="0.3">
      <c r="A2645" t="s">
        <v>557</v>
      </c>
      <c r="B2645" t="s">
        <v>723</v>
      </c>
      <c r="C2645" t="s">
        <v>637</v>
      </c>
      <c r="D2645" s="230">
        <v>0</v>
      </c>
      <c r="E2645" t="s">
        <v>724</v>
      </c>
    </row>
    <row r="2646" spans="1:5" hidden="1" x14ac:dyDescent="0.3">
      <c r="A2646" t="s">
        <v>557</v>
      </c>
      <c r="B2646" t="s">
        <v>723</v>
      </c>
      <c r="C2646" t="s">
        <v>638</v>
      </c>
      <c r="D2646" s="230">
        <v>0</v>
      </c>
      <c r="E2646" t="s">
        <v>724</v>
      </c>
    </row>
    <row r="2647" spans="1:5" hidden="1" x14ac:dyDescent="0.3">
      <c r="A2647" t="s">
        <v>557</v>
      </c>
      <c r="B2647" t="s">
        <v>723</v>
      </c>
      <c r="C2647" t="s">
        <v>639</v>
      </c>
      <c r="D2647" s="230">
        <v>0</v>
      </c>
      <c r="E2647" t="s">
        <v>724</v>
      </c>
    </row>
    <row r="2648" spans="1:5" hidden="1" x14ac:dyDescent="0.3">
      <c r="A2648" t="s">
        <v>557</v>
      </c>
      <c r="B2648" t="s">
        <v>723</v>
      </c>
      <c r="C2648" t="s">
        <v>640</v>
      </c>
      <c r="D2648" s="230">
        <v>0</v>
      </c>
      <c r="E2648" t="s">
        <v>724</v>
      </c>
    </row>
    <row r="2649" spans="1:5" hidden="1" x14ac:dyDescent="0.3">
      <c r="A2649" t="s">
        <v>557</v>
      </c>
      <c r="B2649" t="s">
        <v>723</v>
      </c>
      <c r="C2649" t="s">
        <v>641</v>
      </c>
      <c r="D2649" s="230">
        <v>0</v>
      </c>
      <c r="E2649" t="s">
        <v>724</v>
      </c>
    </row>
    <row r="2650" spans="1:5" hidden="1" x14ac:dyDescent="0.3">
      <c r="A2650" t="s">
        <v>557</v>
      </c>
      <c r="B2650" t="s">
        <v>723</v>
      </c>
      <c r="C2650" t="s">
        <v>642</v>
      </c>
      <c r="D2650" s="230">
        <v>0</v>
      </c>
      <c r="E2650" t="s">
        <v>724</v>
      </c>
    </row>
    <row r="2651" spans="1:5" hidden="1" x14ac:dyDescent="0.3">
      <c r="A2651" t="s">
        <v>557</v>
      </c>
      <c r="B2651" t="s">
        <v>723</v>
      </c>
      <c r="C2651" t="s">
        <v>643</v>
      </c>
      <c r="D2651" s="230">
        <v>0</v>
      </c>
      <c r="E2651" t="s">
        <v>724</v>
      </c>
    </row>
    <row r="2652" spans="1:5" hidden="1" x14ac:dyDescent="0.3">
      <c r="A2652" t="s">
        <v>557</v>
      </c>
      <c r="B2652" t="s">
        <v>723</v>
      </c>
      <c r="C2652" t="s">
        <v>644</v>
      </c>
      <c r="D2652" s="230">
        <v>0</v>
      </c>
      <c r="E2652" t="s">
        <v>724</v>
      </c>
    </row>
    <row r="2653" spans="1:5" hidden="1" x14ac:dyDescent="0.3">
      <c r="A2653" t="s">
        <v>557</v>
      </c>
      <c r="B2653" t="s">
        <v>723</v>
      </c>
      <c r="C2653" t="s">
        <v>645</v>
      </c>
      <c r="D2653" s="230">
        <v>0</v>
      </c>
      <c r="E2653" t="s">
        <v>724</v>
      </c>
    </row>
    <row r="2654" spans="1:5" hidden="1" x14ac:dyDescent="0.3">
      <c r="A2654" t="s">
        <v>557</v>
      </c>
      <c r="B2654" t="s">
        <v>723</v>
      </c>
      <c r="C2654" t="s">
        <v>646</v>
      </c>
      <c r="D2654" s="230">
        <v>0</v>
      </c>
      <c r="E2654" t="s">
        <v>724</v>
      </c>
    </row>
    <row r="2655" spans="1:5" hidden="1" x14ac:dyDescent="0.3">
      <c r="A2655" t="s">
        <v>557</v>
      </c>
      <c r="B2655" t="s">
        <v>723</v>
      </c>
      <c r="C2655" t="s">
        <v>647</v>
      </c>
      <c r="D2655" s="230">
        <v>0</v>
      </c>
      <c r="E2655" t="s">
        <v>724</v>
      </c>
    </row>
    <row r="2656" spans="1:5" hidden="1" x14ac:dyDescent="0.3">
      <c r="A2656" t="s">
        <v>557</v>
      </c>
      <c r="B2656" t="s">
        <v>723</v>
      </c>
      <c r="C2656" t="s">
        <v>648</v>
      </c>
      <c r="D2656" s="230">
        <v>0</v>
      </c>
      <c r="E2656" t="s">
        <v>724</v>
      </c>
    </row>
    <row r="2657" spans="1:5" hidden="1" x14ac:dyDescent="0.3">
      <c r="A2657" t="s">
        <v>557</v>
      </c>
      <c r="B2657" t="s">
        <v>723</v>
      </c>
      <c r="C2657" t="s">
        <v>649</v>
      </c>
      <c r="D2657" s="230">
        <v>0</v>
      </c>
      <c r="E2657" t="s">
        <v>724</v>
      </c>
    </row>
    <row r="2658" spans="1:5" hidden="1" x14ac:dyDescent="0.3">
      <c r="A2658" t="s">
        <v>557</v>
      </c>
      <c r="B2658" t="s">
        <v>723</v>
      </c>
      <c r="C2658" t="s">
        <v>650</v>
      </c>
      <c r="D2658" s="230">
        <v>0</v>
      </c>
      <c r="E2658" t="s">
        <v>724</v>
      </c>
    </row>
    <row r="2659" spans="1:5" hidden="1" x14ac:dyDescent="0.3">
      <c r="A2659" t="s">
        <v>557</v>
      </c>
      <c r="B2659" t="s">
        <v>723</v>
      </c>
      <c r="C2659" t="s">
        <v>651</v>
      </c>
      <c r="D2659" s="230">
        <v>0</v>
      </c>
      <c r="E2659" t="s">
        <v>724</v>
      </c>
    </row>
    <row r="2660" spans="1:5" hidden="1" x14ac:dyDescent="0.3">
      <c r="A2660" t="s">
        <v>557</v>
      </c>
      <c r="B2660" t="s">
        <v>723</v>
      </c>
      <c r="C2660" t="s">
        <v>652</v>
      </c>
      <c r="D2660" s="230">
        <v>0</v>
      </c>
      <c r="E2660" t="s">
        <v>724</v>
      </c>
    </row>
    <row r="2661" spans="1:5" hidden="1" x14ac:dyDescent="0.3">
      <c r="A2661" t="s">
        <v>557</v>
      </c>
      <c r="B2661" t="s">
        <v>723</v>
      </c>
      <c r="C2661" t="s">
        <v>653</v>
      </c>
      <c r="D2661" s="230">
        <v>0</v>
      </c>
      <c r="E2661" t="s">
        <v>724</v>
      </c>
    </row>
    <row r="2662" spans="1:5" hidden="1" x14ac:dyDescent="0.3">
      <c r="A2662" t="s">
        <v>557</v>
      </c>
      <c r="B2662" t="s">
        <v>723</v>
      </c>
      <c r="C2662" t="s">
        <v>654</v>
      </c>
      <c r="D2662" s="230">
        <v>0</v>
      </c>
      <c r="E2662" t="s">
        <v>724</v>
      </c>
    </row>
    <row r="2663" spans="1:5" hidden="1" x14ac:dyDescent="0.3">
      <c r="A2663" t="s">
        <v>557</v>
      </c>
      <c r="B2663" t="s">
        <v>723</v>
      </c>
      <c r="C2663" t="s">
        <v>655</v>
      </c>
      <c r="D2663" s="230">
        <v>0</v>
      </c>
      <c r="E2663" t="s">
        <v>724</v>
      </c>
    </row>
    <row r="2664" spans="1:5" hidden="1" x14ac:dyDescent="0.3">
      <c r="A2664" t="s">
        <v>557</v>
      </c>
      <c r="B2664" t="s">
        <v>723</v>
      </c>
      <c r="C2664" t="s">
        <v>656</v>
      </c>
      <c r="D2664" s="230">
        <v>0</v>
      </c>
      <c r="E2664" t="s">
        <v>724</v>
      </c>
    </row>
    <row r="2665" spans="1:5" hidden="1" x14ac:dyDescent="0.3">
      <c r="A2665" t="s">
        <v>557</v>
      </c>
      <c r="B2665" t="s">
        <v>723</v>
      </c>
      <c r="C2665" t="s">
        <v>657</v>
      </c>
      <c r="D2665" s="230">
        <v>0</v>
      </c>
      <c r="E2665" t="s">
        <v>724</v>
      </c>
    </row>
    <row r="2666" spans="1:5" hidden="1" x14ac:dyDescent="0.3">
      <c r="A2666" t="s">
        <v>557</v>
      </c>
      <c r="B2666" t="s">
        <v>723</v>
      </c>
      <c r="C2666" t="s">
        <v>658</v>
      </c>
      <c r="D2666" s="230">
        <v>0</v>
      </c>
      <c r="E2666" t="s">
        <v>724</v>
      </c>
    </row>
    <row r="2667" spans="1:5" hidden="1" x14ac:dyDescent="0.3">
      <c r="A2667" t="s">
        <v>557</v>
      </c>
      <c r="B2667" t="s">
        <v>723</v>
      </c>
      <c r="C2667" t="s">
        <v>659</v>
      </c>
      <c r="D2667" s="230">
        <v>0</v>
      </c>
      <c r="E2667" t="s">
        <v>724</v>
      </c>
    </row>
    <row r="2668" spans="1:5" hidden="1" x14ac:dyDescent="0.3">
      <c r="A2668" t="s">
        <v>557</v>
      </c>
      <c r="B2668" t="s">
        <v>723</v>
      </c>
      <c r="C2668" t="s">
        <v>660</v>
      </c>
      <c r="D2668" s="230">
        <v>0</v>
      </c>
      <c r="E2668" t="s">
        <v>724</v>
      </c>
    </row>
    <row r="2669" spans="1:5" hidden="1" x14ac:dyDescent="0.3">
      <c r="A2669" t="s">
        <v>557</v>
      </c>
      <c r="B2669" t="s">
        <v>723</v>
      </c>
      <c r="C2669" t="s">
        <v>661</v>
      </c>
      <c r="D2669" s="230">
        <v>0</v>
      </c>
      <c r="E2669" t="s">
        <v>724</v>
      </c>
    </row>
    <row r="2670" spans="1:5" hidden="1" x14ac:dyDescent="0.3">
      <c r="A2670" t="s">
        <v>557</v>
      </c>
      <c r="B2670" t="s">
        <v>723</v>
      </c>
      <c r="C2670" t="s">
        <v>662</v>
      </c>
      <c r="D2670" s="230">
        <v>0</v>
      </c>
      <c r="E2670" t="s">
        <v>724</v>
      </c>
    </row>
    <row r="2671" spans="1:5" hidden="1" x14ac:dyDescent="0.3">
      <c r="A2671" t="s">
        <v>557</v>
      </c>
      <c r="B2671" t="s">
        <v>723</v>
      </c>
      <c r="C2671" t="s">
        <v>663</v>
      </c>
      <c r="D2671" s="230">
        <v>0</v>
      </c>
      <c r="E2671" t="s">
        <v>724</v>
      </c>
    </row>
    <row r="2672" spans="1:5" hidden="1" x14ac:dyDescent="0.3">
      <c r="A2672" t="s">
        <v>557</v>
      </c>
      <c r="B2672" t="s">
        <v>723</v>
      </c>
      <c r="C2672" t="s">
        <v>664</v>
      </c>
      <c r="D2672" s="230">
        <v>0</v>
      </c>
      <c r="E2672" t="s">
        <v>724</v>
      </c>
    </row>
    <row r="2673" spans="1:5" hidden="1" x14ac:dyDescent="0.3">
      <c r="A2673" t="s">
        <v>557</v>
      </c>
      <c r="B2673" t="s">
        <v>723</v>
      </c>
      <c r="C2673" t="s">
        <v>665</v>
      </c>
      <c r="D2673" s="230">
        <v>0</v>
      </c>
      <c r="E2673" t="s">
        <v>724</v>
      </c>
    </row>
    <row r="2674" spans="1:5" hidden="1" x14ac:dyDescent="0.3">
      <c r="A2674" t="s">
        <v>557</v>
      </c>
      <c r="B2674" t="s">
        <v>723</v>
      </c>
      <c r="C2674" t="s">
        <v>666</v>
      </c>
      <c r="D2674" s="230">
        <v>0</v>
      </c>
      <c r="E2674" t="s">
        <v>724</v>
      </c>
    </row>
    <row r="2675" spans="1:5" hidden="1" x14ac:dyDescent="0.3">
      <c r="A2675" t="s">
        <v>557</v>
      </c>
      <c r="B2675" t="s">
        <v>723</v>
      </c>
      <c r="C2675" t="s">
        <v>667</v>
      </c>
      <c r="D2675" s="230">
        <v>0</v>
      </c>
      <c r="E2675" t="s">
        <v>724</v>
      </c>
    </row>
    <row r="2676" spans="1:5" hidden="1" x14ac:dyDescent="0.3">
      <c r="A2676" t="s">
        <v>557</v>
      </c>
      <c r="B2676" t="s">
        <v>723</v>
      </c>
      <c r="C2676" t="s">
        <v>668</v>
      </c>
      <c r="D2676" s="230">
        <v>0</v>
      </c>
      <c r="E2676" t="s">
        <v>724</v>
      </c>
    </row>
    <row r="2677" spans="1:5" hidden="1" x14ac:dyDescent="0.3">
      <c r="A2677" t="s">
        <v>557</v>
      </c>
      <c r="B2677" t="s">
        <v>723</v>
      </c>
      <c r="C2677" t="s">
        <v>669</v>
      </c>
      <c r="D2677" s="230">
        <v>0</v>
      </c>
      <c r="E2677" t="s">
        <v>724</v>
      </c>
    </row>
    <row r="2678" spans="1:5" hidden="1" x14ac:dyDescent="0.3">
      <c r="A2678" t="s">
        <v>557</v>
      </c>
      <c r="B2678" t="s">
        <v>723</v>
      </c>
      <c r="C2678" t="s">
        <v>670</v>
      </c>
      <c r="D2678" s="230">
        <v>0</v>
      </c>
      <c r="E2678" t="s">
        <v>724</v>
      </c>
    </row>
    <row r="2679" spans="1:5" hidden="1" x14ac:dyDescent="0.3">
      <c r="A2679" t="s">
        <v>557</v>
      </c>
      <c r="B2679" t="s">
        <v>723</v>
      </c>
      <c r="C2679" t="s">
        <v>671</v>
      </c>
      <c r="D2679" s="230">
        <v>0</v>
      </c>
      <c r="E2679" t="s">
        <v>724</v>
      </c>
    </row>
    <row r="2680" spans="1:5" hidden="1" x14ac:dyDescent="0.3">
      <c r="A2680" t="s">
        <v>557</v>
      </c>
      <c r="B2680" t="s">
        <v>723</v>
      </c>
      <c r="C2680" t="s">
        <v>672</v>
      </c>
      <c r="D2680" s="230">
        <v>0</v>
      </c>
      <c r="E2680" t="s">
        <v>724</v>
      </c>
    </row>
    <row r="2681" spans="1:5" hidden="1" x14ac:dyDescent="0.3">
      <c r="A2681" t="s">
        <v>557</v>
      </c>
      <c r="B2681" t="s">
        <v>723</v>
      </c>
      <c r="C2681" t="s">
        <v>673</v>
      </c>
      <c r="D2681" s="230">
        <v>0</v>
      </c>
      <c r="E2681" t="s">
        <v>724</v>
      </c>
    </row>
    <row r="2682" spans="1:5" hidden="1" x14ac:dyDescent="0.3">
      <c r="A2682" t="s">
        <v>557</v>
      </c>
      <c r="B2682" t="s">
        <v>723</v>
      </c>
      <c r="C2682" t="s">
        <v>674</v>
      </c>
      <c r="D2682" s="230">
        <v>0</v>
      </c>
      <c r="E2682" t="s">
        <v>724</v>
      </c>
    </row>
    <row r="2683" spans="1:5" hidden="1" x14ac:dyDescent="0.3">
      <c r="A2683" t="s">
        <v>557</v>
      </c>
      <c r="B2683" t="s">
        <v>723</v>
      </c>
      <c r="C2683" t="s">
        <v>675</v>
      </c>
      <c r="D2683" s="230">
        <v>0</v>
      </c>
      <c r="E2683" t="s">
        <v>724</v>
      </c>
    </row>
    <row r="2684" spans="1:5" hidden="1" x14ac:dyDescent="0.3">
      <c r="A2684" t="s">
        <v>557</v>
      </c>
      <c r="B2684" t="s">
        <v>723</v>
      </c>
      <c r="C2684" t="s">
        <v>676</v>
      </c>
      <c r="D2684" s="230">
        <v>0</v>
      </c>
      <c r="E2684" t="s">
        <v>724</v>
      </c>
    </row>
    <row r="2685" spans="1:5" hidden="1" x14ac:dyDescent="0.3">
      <c r="A2685" t="s">
        <v>557</v>
      </c>
      <c r="B2685" t="s">
        <v>723</v>
      </c>
      <c r="C2685" t="s">
        <v>677</v>
      </c>
      <c r="D2685" s="230">
        <v>0</v>
      </c>
      <c r="E2685" t="s">
        <v>724</v>
      </c>
    </row>
    <row r="2686" spans="1:5" hidden="1" x14ac:dyDescent="0.3">
      <c r="A2686" t="s">
        <v>557</v>
      </c>
      <c r="B2686" t="s">
        <v>723</v>
      </c>
      <c r="C2686" t="s">
        <v>201</v>
      </c>
      <c r="D2686" s="230">
        <v>-16239.54</v>
      </c>
      <c r="E2686" t="s">
        <v>724</v>
      </c>
    </row>
    <row r="2687" spans="1:5" hidden="1" x14ac:dyDescent="0.3">
      <c r="A2687" t="s">
        <v>557</v>
      </c>
      <c r="B2687" t="s">
        <v>723</v>
      </c>
      <c r="C2687" t="s">
        <v>203</v>
      </c>
      <c r="D2687" s="230">
        <v>-16239.54</v>
      </c>
      <c r="E2687" t="s">
        <v>724</v>
      </c>
    </row>
    <row r="2688" spans="1:5" hidden="1" x14ac:dyDescent="0.3">
      <c r="A2688" t="s">
        <v>557</v>
      </c>
      <c r="B2688" t="s">
        <v>723</v>
      </c>
      <c r="C2688" t="s">
        <v>678</v>
      </c>
      <c r="D2688" s="230">
        <v>8119.77</v>
      </c>
      <c r="E2688" t="s">
        <v>724</v>
      </c>
    </row>
    <row r="2689" spans="1:5" hidden="1" x14ac:dyDescent="0.3">
      <c r="A2689" t="s">
        <v>557</v>
      </c>
      <c r="B2689" t="s">
        <v>723</v>
      </c>
      <c r="C2689" t="s">
        <v>205</v>
      </c>
      <c r="D2689" s="230">
        <v>-14492.14</v>
      </c>
      <c r="E2689" t="s">
        <v>724</v>
      </c>
    </row>
    <row r="2690" spans="1:5" hidden="1" x14ac:dyDescent="0.3">
      <c r="A2690" t="s">
        <v>557</v>
      </c>
      <c r="B2690" t="s">
        <v>723</v>
      </c>
      <c r="C2690" t="s">
        <v>679</v>
      </c>
      <c r="D2690" s="230">
        <v>-2501.5500000000002</v>
      </c>
      <c r="E2690" t="s">
        <v>724</v>
      </c>
    </row>
    <row r="2691" spans="1:5" hidden="1" x14ac:dyDescent="0.3">
      <c r="A2691" t="s">
        <v>557</v>
      </c>
      <c r="B2691" t="s">
        <v>723</v>
      </c>
      <c r="C2691" t="s">
        <v>680</v>
      </c>
      <c r="D2691" s="230">
        <v>-84.68</v>
      </c>
      <c r="E2691" t="s">
        <v>724</v>
      </c>
    </row>
    <row r="2692" spans="1:5" hidden="1" x14ac:dyDescent="0.3">
      <c r="A2692" t="s">
        <v>557</v>
      </c>
      <c r="B2692" t="s">
        <v>723</v>
      </c>
      <c r="C2692" t="s">
        <v>681</v>
      </c>
      <c r="D2692" s="230">
        <v>0</v>
      </c>
      <c r="E2692" t="s">
        <v>724</v>
      </c>
    </row>
    <row r="2693" spans="1:5" hidden="1" x14ac:dyDescent="0.3">
      <c r="A2693" t="s">
        <v>557</v>
      </c>
      <c r="B2693" t="s">
        <v>723</v>
      </c>
      <c r="C2693" t="s">
        <v>682</v>
      </c>
      <c r="D2693" s="230">
        <v>-4928.21</v>
      </c>
      <c r="E2693" t="s">
        <v>724</v>
      </c>
    </row>
    <row r="2694" spans="1:5" hidden="1" x14ac:dyDescent="0.3">
      <c r="A2694" t="s">
        <v>557</v>
      </c>
      <c r="B2694" t="s">
        <v>723</v>
      </c>
      <c r="C2694" t="s">
        <v>683</v>
      </c>
      <c r="D2694" s="230">
        <v>0</v>
      </c>
      <c r="E2694" t="s">
        <v>724</v>
      </c>
    </row>
    <row r="2695" spans="1:5" hidden="1" x14ac:dyDescent="0.3">
      <c r="A2695" t="s">
        <v>557</v>
      </c>
      <c r="B2695" t="s">
        <v>723</v>
      </c>
      <c r="C2695" t="s">
        <v>684</v>
      </c>
      <c r="D2695" s="230">
        <v>-1660.46</v>
      </c>
      <c r="E2695" t="s">
        <v>724</v>
      </c>
    </row>
    <row r="2696" spans="1:5" hidden="1" x14ac:dyDescent="0.3">
      <c r="A2696" t="s">
        <v>557</v>
      </c>
      <c r="B2696" t="s">
        <v>723</v>
      </c>
      <c r="C2696" t="s">
        <v>685</v>
      </c>
      <c r="D2696" s="230">
        <v>-496.37</v>
      </c>
      <c r="E2696" t="s">
        <v>724</v>
      </c>
    </row>
    <row r="2697" spans="1:5" hidden="1" x14ac:dyDescent="0.3">
      <c r="A2697" t="s">
        <v>557</v>
      </c>
      <c r="B2697" t="s">
        <v>723</v>
      </c>
      <c r="C2697" t="s">
        <v>686</v>
      </c>
      <c r="D2697" s="230">
        <v>0</v>
      </c>
      <c r="E2697" t="s">
        <v>724</v>
      </c>
    </row>
    <row r="2698" spans="1:5" hidden="1" x14ac:dyDescent="0.3">
      <c r="A2698" t="s">
        <v>557</v>
      </c>
      <c r="B2698" t="s">
        <v>723</v>
      </c>
      <c r="C2698" t="s">
        <v>687</v>
      </c>
      <c r="D2698" s="230">
        <v>0</v>
      </c>
      <c r="E2698" t="s">
        <v>724</v>
      </c>
    </row>
    <row r="2699" spans="1:5" hidden="1" x14ac:dyDescent="0.3">
      <c r="A2699" t="s">
        <v>557</v>
      </c>
      <c r="B2699" t="s">
        <v>723</v>
      </c>
      <c r="C2699" t="s">
        <v>688</v>
      </c>
      <c r="D2699" s="230">
        <v>0</v>
      </c>
      <c r="E2699" t="s">
        <v>724</v>
      </c>
    </row>
    <row r="2700" spans="1:5" hidden="1" x14ac:dyDescent="0.3">
      <c r="A2700" t="s">
        <v>557</v>
      </c>
      <c r="B2700" t="s">
        <v>723</v>
      </c>
      <c r="C2700" t="s">
        <v>689</v>
      </c>
      <c r="D2700" s="230">
        <v>0</v>
      </c>
      <c r="E2700" t="s">
        <v>724</v>
      </c>
    </row>
    <row r="2701" spans="1:5" hidden="1" x14ac:dyDescent="0.3">
      <c r="A2701" t="s">
        <v>557</v>
      </c>
      <c r="B2701" t="s">
        <v>723</v>
      </c>
      <c r="C2701" t="s">
        <v>690</v>
      </c>
      <c r="D2701" s="230">
        <v>-2000</v>
      </c>
      <c r="E2701" t="s">
        <v>724</v>
      </c>
    </row>
    <row r="2702" spans="1:5" hidden="1" x14ac:dyDescent="0.3">
      <c r="A2702" t="s">
        <v>557</v>
      </c>
      <c r="B2702" t="s">
        <v>723</v>
      </c>
      <c r="C2702" t="s">
        <v>691</v>
      </c>
      <c r="D2702" s="230">
        <v>0</v>
      </c>
      <c r="E2702" t="s">
        <v>724</v>
      </c>
    </row>
    <row r="2703" spans="1:5" hidden="1" x14ac:dyDescent="0.3">
      <c r="A2703" t="s">
        <v>557</v>
      </c>
      <c r="B2703" t="s">
        <v>723</v>
      </c>
      <c r="C2703" t="s">
        <v>692</v>
      </c>
      <c r="D2703" s="230">
        <v>-2820.86</v>
      </c>
      <c r="E2703" t="s">
        <v>724</v>
      </c>
    </row>
    <row r="2704" spans="1:5" hidden="1" x14ac:dyDescent="0.3">
      <c r="A2704" t="s">
        <v>557</v>
      </c>
      <c r="B2704" t="s">
        <v>723</v>
      </c>
      <c r="C2704" t="s">
        <v>693</v>
      </c>
      <c r="D2704" s="230">
        <v>0</v>
      </c>
      <c r="E2704" t="s">
        <v>724</v>
      </c>
    </row>
    <row r="2705" spans="1:5" hidden="1" x14ac:dyDescent="0.3">
      <c r="A2705" t="s">
        <v>557</v>
      </c>
      <c r="B2705" t="s">
        <v>723</v>
      </c>
      <c r="C2705" t="s">
        <v>694</v>
      </c>
      <c r="D2705" s="230">
        <v>0</v>
      </c>
      <c r="E2705" t="s">
        <v>724</v>
      </c>
    </row>
    <row r="2706" spans="1:5" hidden="1" x14ac:dyDescent="0.3">
      <c r="A2706" t="s">
        <v>557</v>
      </c>
      <c r="B2706" t="s">
        <v>723</v>
      </c>
      <c r="C2706" t="s">
        <v>238</v>
      </c>
      <c r="D2706" s="230">
        <v>-4960.3900000000003</v>
      </c>
      <c r="E2706" t="s">
        <v>724</v>
      </c>
    </row>
    <row r="2707" spans="1:5" hidden="1" x14ac:dyDescent="0.3">
      <c r="A2707" t="s">
        <v>557</v>
      </c>
      <c r="B2707" t="s">
        <v>723</v>
      </c>
      <c r="C2707" t="s">
        <v>695</v>
      </c>
      <c r="D2707" s="230">
        <v>-4887.3900000000003</v>
      </c>
      <c r="E2707" t="s">
        <v>724</v>
      </c>
    </row>
    <row r="2708" spans="1:5" hidden="1" x14ac:dyDescent="0.3">
      <c r="A2708" t="s">
        <v>557</v>
      </c>
      <c r="B2708" t="s">
        <v>723</v>
      </c>
      <c r="C2708" t="s">
        <v>696</v>
      </c>
      <c r="D2708" s="230">
        <v>0</v>
      </c>
      <c r="E2708" t="s">
        <v>724</v>
      </c>
    </row>
    <row r="2709" spans="1:5" hidden="1" x14ac:dyDescent="0.3">
      <c r="A2709" t="s">
        <v>557</v>
      </c>
      <c r="B2709" t="s">
        <v>723</v>
      </c>
      <c r="C2709" t="s">
        <v>697</v>
      </c>
      <c r="D2709" s="230">
        <v>0</v>
      </c>
      <c r="E2709" t="s">
        <v>724</v>
      </c>
    </row>
    <row r="2710" spans="1:5" hidden="1" x14ac:dyDescent="0.3">
      <c r="A2710" t="s">
        <v>557</v>
      </c>
      <c r="B2710" t="s">
        <v>723</v>
      </c>
      <c r="C2710" t="s">
        <v>698</v>
      </c>
      <c r="D2710" s="230">
        <v>-73</v>
      </c>
      <c r="E2710" t="s">
        <v>724</v>
      </c>
    </row>
    <row r="2711" spans="1:5" hidden="1" x14ac:dyDescent="0.3">
      <c r="A2711" t="s">
        <v>557</v>
      </c>
      <c r="B2711" t="s">
        <v>723</v>
      </c>
      <c r="C2711" t="s">
        <v>699</v>
      </c>
      <c r="D2711" s="230">
        <v>0</v>
      </c>
      <c r="E2711" t="s">
        <v>724</v>
      </c>
    </row>
    <row r="2712" spans="1:5" hidden="1" x14ac:dyDescent="0.3">
      <c r="A2712" t="s">
        <v>557</v>
      </c>
      <c r="B2712" t="s">
        <v>723</v>
      </c>
      <c r="C2712" t="s">
        <v>245</v>
      </c>
      <c r="D2712" s="230">
        <v>-10183.709999999999</v>
      </c>
      <c r="E2712" t="s">
        <v>724</v>
      </c>
    </row>
    <row r="2713" spans="1:5" hidden="1" x14ac:dyDescent="0.3">
      <c r="A2713" t="s">
        <v>557</v>
      </c>
      <c r="B2713" t="s">
        <v>723</v>
      </c>
      <c r="C2713" t="s">
        <v>700</v>
      </c>
      <c r="D2713" s="230">
        <v>-312</v>
      </c>
      <c r="E2713" t="s">
        <v>724</v>
      </c>
    </row>
    <row r="2714" spans="1:5" hidden="1" x14ac:dyDescent="0.3">
      <c r="A2714" t="s">
        <v>557</v>
      </c>
      <c r="B2714" t="s">
        <v>723</v>
      </c>
      <c r="C2714" t="s">
        <v>701</v>
      </c>
      <c r="D2714" s="230">
        <v>-477.32</v>
      </c>
      <c r="E2714" t="s">
        <v>724</v>
      </c>
    </row>
    <row r="2715" spans="1:5" hidden="1" x14ac:dyDescent="0.3">
      <c r="A2715" t="s">
        <v>557</v>
      </c>
      <c r="B2715" t="s">
        <v>723</v>
      </c>
      <c r="C2715" t="s">
        <v>702</v>
      </c>
      <c r="D2715" s="230">
        <v>0</v>
      </c>
      <c r="E2715" t="s">
        <v>724</v>
      </c>
    </row>
    <row r="2716" spans="1:5" hidden="1" x14ac:dyDescent="0.3">
      <c r="A2716" t="s">
        <v>557</v>
      </c>
      <c r="B2716" t="s">
        <v>723</v>
      </c>
      <c r="C2716" t="s">
        <v>703</v>
      </c>
      <c r="D2716" s="230">
        <v>0</v>
      </c>
      <c r="E2716" t="s">
        <v>724</v>
      </c>
    </row>
    <row r="2717" spans="1:5" hidden="1" x14ac:dyDescent="0.3">
      <c r="A2717" t="s">
        <v>557</v>
      </c>
      <c r="B2717" t="s">
        <v>723</v>
      </c>
      <c r="C2717" t="s">
        <v>704</v>
      </c>
      <c r="D2717" s="230">
        <v>0</v>
      </c>
      <c r="E2717" t="s">
        <v>724</v>
      </c>
    </row>
    <row r="2718" spans="1:5" hidden="1" x14ac:dyDescent="0.3">
      <c r="A2718" t="s">
        <v>557</v>
      </c>
      <c r="B2718" t="s">
        <v>723</v>
      </c>
      <c r="C2718" t="s">
        <v>705</v>
      </c>
      <c r="D2718" s="230">
        <v>-9394.39</v>
      </c>
      <c r="E2718" t="s">
        <v>724</v>
      </c>
    </row>
    <row r="2719" spans="1:5" hidden="1" x14ac:dyDescent="0.3">
      <c r="A2719" t="s">
        <v>557</v>
      </c>
      <c r="B2719" t="s">
        <v>723</v>
      </c>
      <c r="C2719" t="s">
        <v>706</v>
      </c>
      <c r="D2719" s="230">
        <v>0</v>
      </c>
      <c r="E2719" t="s">
        <v>724</v>
      </c>
    </row>
    <row r="2720" spans="1:5" hidden="1" x14ac:dyDescent="0.3">
      <c r="A2720" t="s">
        <v>557</v>
      </c>
      <c r="B2720" t="s">
        <v>723</v>
      </c>
      <c r="C2720" t="s">
        <v>254</v>
      </c>
      <c r="D2720" s="230">
        <v>-0.31</v>
      </c>
      <c r="E2720" t="s">
        <v>724</v>
      </c>
    </row>
    <row r="2721" spans="1:5" hidden="1" x14ac:dyDescent="0.3">
      <c r="A2721" t="s">
        <v>557</v>
      </c>
      <c r="B2721" t="s">
        <v>723</v>
      </c>
      <c r="C2721" t="s">
        <v>255</v>
      </c>
      <c r="D2721" s="230">
        <v>-0.3</v>
      </c>
      <c r="E2721" t="s">
        <v>724</v>
      </c>
    </row>
    <row r="2722" spans="1:5" hidden="1" x14ac:dyDescent="0.3">
      <c r="A2722" t="s">
        <v>557</v>
      </c>
      <c r="B2722" t="s">
        <v>723</v>
      </c>
      <c r="C2722" t="s">
        <v>256</v>
      </c>
      <c r="D2722" s="230">
        <v>-51752.37</v>
      </c>
      <c r="E2722" t="s">
        <v>724</v>
      </c>
    </row>
    <row r="2723" spans="1:5" hidden="1" x14ac:dyDescent="0.3">
      <c r="A2723" t="s">
        <v>557</v>
      </c>
      <c r="B2723" t="s">
        <v>723</v>
      </c>
      <c r="C2723" t="s">
        <v>257</v>
      </c>
      <c r="D2723" s="230">
        <v>-49305.7</v>
      </c>
      <c r="E2723" t="s">
        <v>724</v>
      </c>
    </row>
    <row r="2724" spans="1:5" hidden="1" x14ac:dyDescent="0.3">
      <c r="A2724" t="s">
        <v>557</v>
      </c>
      <c r="B2724" t="s">
        <v>723</v>
      </c>
      <c r="C2724" t="s">
        <v>258</v>
      </c>
      <c r="D2724" s="230">
        <v>0</v>
      </c>
      <c r="E2724" t="s">
        <v>724</v>
      </c>
    </row>
    <row r="2725" spans="1:5" hidden="1" x14ac:dyDescent="0.3">
      <c r="A2725" t="s">
        <v>557</v>
      </c>
      <c r="B2725" t="s">
        <v>723</v>
      </c>
      <c r="C2725" t="s">
        <v>259</v>
      </c>
      <c r="D2725" s="230">
        <v>-2446.67</v>
      </c>
      <c r="E2725" t="s">
        <v>724</v>
      </c>
    </row>
    <row r="2726" spans="1:5" hidden="1" x14ac:dyDescent="0.3">
      <c r="A2726" t="s">
        <v>557</v>
      </c>
      <c r="B2726" t="s">
        <v>723</v>
      </c>
      <c r="C2726" t="s">
        <v>260</v>
      </c>
      <c r="D2726" s="230">
        <v>0</v>
      </c>
      <c r="E2726" t="s">
        <v>724</v>
      </c>
    </row>
    <row r="2727" spans="1:5" hidden="1" x14ac:dyDescent="0.3">
      <c r="A2727" t="s">
        <v>557</v>
      </c>
      <c r="B2727" t="s">
        <v>723</v>
      </c>
      <c r="C2727" t="s">
        <v>261</v>
      </c>
      <c r="D2727" s="230">
        <v>0</v>
      </c>
      <c r="E2727" t="s">
        <v>724</v>
      </c>
    </row>
    <row r="2728" spans="1:5" hidden="1" x14ac:dyDescent="0.3">
      <c r="A2728" t="s">
        <v>557</v>
      </c>
      <c r="B2728" t="s">
        <v>723</v>
      </c>
      <c r="C2728" t="s">
        <v>262</v>
      </c>
      <c r="D2728" s="230">
        <v>0</v>
      </c>
      <c r="E2728" t="s">
        <v>724</v>
      </c>
    </row>
    <row r="2729" spans="1:5" hidden="1" x14ac:dyDescent="0.3">
      <c r="A2729" t="s">
        <v>557</v>
      </c>
      <c r="B2729" t="s">
        <v>723</v>
      </c>
      <c r="C2729" t="s">
        <v>263</v>
      </c>
      <c r="D2729" s="230">
        <v>0</v>
      </c>
      <c r="E2729" t="s">
        <v>724</v>
      </c>
    </row>
    <row r="2730" spans="1:5" hidden="1" x14ac:dyDescent="0.3">
      <c r="A2730" t="s">
        <v>557</v>
      </c>
      <c r="B2730" t="s">
        <v>723</v>
      </c>
      <c r="C2730" t="s">
        <v>44</v>
      </c>
      <c r="D2730" s="230">
        <v>-0.11</v>
      </c>
      <c r="E2730" t="s">
        <v>724</v>
      </c>
    </row>
    <row r="2731" spans="1:5" hidden="1" x14ac:dyDescent="0.3">
      <c r="A2731" t="s">
        <v>557</v>
      </c>
      <c r="B2731" t="s">
        <v>723</v>
      </c>
      <c r="C2731" t="s">
        <v>264</v>
      </c>
      <c r="D2731" s="230">
        <v>-35099.25</v>
      </c>
      <c r="E2731" t="s">
        <v>724</v>
      </c>
    </row>
    <row r="2732" spans="1:5" hidden="1" x14ac:dyDescent="0.3">
      <c r="A2732" t="s">
        <v>557</v>
      </c>
      <c r="B2732" t="s">
        <v>723</v>
      </c>
      <c r="C2732" t="s">
        <v>265</v>
      </c>
      <c r="D2732" s="230">
        <v>-5672.02</v>
      </c>
      <c r="E2732" t="s">
        <v>724</v>
      </c>
    </row>
    <row r="2733" spans="1:5" hidden="1" x14ac:dyDescent="0.3">
      <c r="A2733" t="s">
        <v>557</v>
      </c>
      <c r="B2733" t="s">
        <v>723</v>
      </c>
      <c r="C2733" t="s">
        <v>266</v>
      </c>
      <c r="D2733" s="230">
        <v>-11268.66</v>
      </c>
      <c r="E2733" t="s">
        <v>724</v>
      </c>
    </row>
    <row r="2734" spans="1:5" hidden="1" x14ac:dyDescent="0.3">
      <c r="A2734" t="s">
        <v>557</v>
      </c>
      <c r="B2734" t="s">
        <v>723</v>
      </c>
      <c r="C2734" t="s">
        <v>267</v>
      </c>
      <c r="D2734" s="230">
        <v>-6190.85</v>
      </c>
      <c r="E2734" t="s">
        <v>724</v>
      </c>
    </row>
    <row r="2735" spans="1:5" hidden="1" x14ac:dyDescent="0.3">
      <c r="A2735" t="s">
        <v>557</v>
      </c>
      <c r="B2735" t="s">
        <v>723</v>
      </c>
      <c r="C2735" t="s">
        <v>268</v>
      </c>
      <c r="D2735" s="230">
        <v>-5211.5600000000004</v>
      </c>
      <c r="E2735" t="s">
        <v>724</v>
      </c>
    </row>
    <row r="2736" spans="1:5" hidden="1" x14ac:dyDescent="0.3">
      <c r="A2736" t="s">
        <v>557</v>
      </c>
      <c r="B2736" t="s">
        <v>723</v>
      </c>
      <c r="C2736" t="s">
        <v>269</v>
      </c>
      <c r="D2736" s="230">
        <v>0</v>
      </c>
      <c r="E2736" t="s">
        <v>724</v>
      </c>
    </row>
    <row r="2737" spans="1:5" hidden="1" x14ac:dyDescent="0.3">
      <c r="A2737" t="s">
        <v>557</v>
      </c>
      <c r="B2737" t="s">
        <v>723</v>
      </c>
      <c r="C2737" t="s">
        <v>270</v>
      </c>
      <c r="D2737" s="230">
        <v>-500</v>
      </c>
      <c r="E2737" t="s">
        <v>724</v>
      </c>
    </row>
    <row r="2738" spans="1:5" hidden="1" x14ac:dyDescent="0.3">
      <c r="A2738" t="s">
        <v>557</v>
      </c>
      <c r="B2738" t="s">
        <v>723</v>
      </c>
      <c r="C2738" t="s">
        <v>271</v>
      </c>
      <c r="D2738" s="230">
        <v>-766.08</v>
      </c>
      <c r="E2738" t="s">
        <v>724</v>
      </c>
    </row>
    <row r="2739" spans="1:5" hidden="1" x14ac:dyDescent="0.3">
      <c r="A2739" t="s">
        <v>557</v>
      </c>
      <c r="B2739" t="s">
        <v>723</v>
      </c>
      <c r="C2739" t="s">
        <v>272</v>
      </c>
      <c r="D2739" s="230">
        <v>-2363.9899999999998</v>
      </c>
      <c r="E2739" t="s">
        <v>724</v>
      </c>
    </row>
    <row r="2740" spans="1:5" hidden="1" x14ac:dyDescent="0.3">
      <c r="A2740" t="s">
        <v>557</v>
      </c>
      <c r="B2740" t="s">
        <v>723</v>
      </c>
      <c r="C2740" t="s">
        <v>273</v>
      </c>
      <c r="D2740" s="230">
        <v>-175</v>
      </c>
      <c r="E2740" t="s">
        <v>724</v>
      </c>
    </row>
    <row r="2741" spans="1:5" hidden="1" x14ac:dyDescent="0.3">
      <c r="A2741" t="s">
        <v>557</v>
      </c>
      <c r="B2741" t="s">
        <v>723</v>
      </c>
      <c r="C2741" t="s">
        <v>274</v>
      </c>
      <c r="D2741" s="230">
        <v>0</v>
      </c>
      <c r="E2741" t="s">
        <v>724</v>
      </c>
    </row>
    <row r="2742" spans="1:5" hidden="1" x14ac:dyDescent="0.3">
      <c r="A2742" t="s">
        <v>557</v>
      </c>
      <c r="B2742" t="s">
        <v>723</v>
      </c>
      <c r="C2742" t="s">
        <v>275</v>
      </c>
      <c r="D2742" s="230">
        <v>-542</v>
      </c>
      <c r="E2742" t="s">
        <v>724</v>
      </c>
    </row>
    <row r="2743" spans="1:5" hidden="1" x14ac:dyDescent="0.3">
      <c r="A2743" t="s">
        <v>557</v>
      </c>
      <c r="B2743" t="s">
        <v>723</v>
      </c>
      <c r="C2743" t="s">
        <v>276</v>
      </c>
      <c r="D2743" s="230">
        <v>-125</v>
      </c>
      <c r="E2743" t="s">
        <v>724</v>
      </c>
    </row>
    <row r="2744" spans="1:5" hidden="1" x14ac:dyDescent="0.3">
      <c r="A2744" t="s">
        <v>557</v>
      </c>
      <c r="B2744" t="s">
        <v>723</v>
      </c>
      <c r="C2744" t="s">
        <v>277</v>
      </c>
      <c r="D2744" s="230">
        <v>0</v>
      </c>
      <c r="E2744" t="s">
        <v>724</v>
      </c>
    </row>
    <row r="2745" spans="1:5" hidden="1" x14ac:dyDescent="0.3">
      <c r="A2745" t="s">
        <v>557</v>
      </c>
      <c r="B2745" t="s">
        <v>723</v>
      </c>
      <c r="C2745" t="s">
        <v>278</v>
      </c>
      <c r="D2745" s="230">
        <v>-2284.09</v>
      </c>
      <c r="E2745" t="s">
        <v>724</v>
      </c>
    </row>
    <row r="2746" spans="1:5" hidden="1" x14ac:dyDescent="0.3">
      <c r="A2746" t="s">
        <v>557</v>
      </c>
      <c r="B2746" t="s">
        <v>723</v>
      </c>
      <c r="C2746" t="s">
        <v>44</v>
      </c>
      <c r="D2746" s="230">
        <v>-0.08</v>
      </c>
      <c r="E2746" t="s">
        <v>724</v>
      </c>
    </row>
    <row r="2747" spans="1:5" hidden="1" x14ac:dyDescent="0.3">
      <c r="A2747" t="s">
        <v>557</v>
      </c>
      <c r="B2747" t="s">
        <v>723</v>
      </c>
      <c r="C2747" t="s">
        <v>279</v>
      </c>
      <c r="D2747" s="230">
        <v>-5029.5600000000004</v>
      </c>
      <c r="E2747" t="s">
        <v>724</v>
      </c>
    </row>
    <row r="2748" spans="1:5" hidden="1" x14ac:dyDescent="0.3">
      <c r="A2748" t="s">
        <v>557</v>
      </c>
      <c r="B2748" t="s">
        <v>723</v>
      </c>
      <c r="C2748" t="s">
        <v>280</v>
      </c>
      <c r="D2748" s="230">
        <v>-299.89999999999998</v>
      </c>
      <c r="E2748" t="s">
        <v>724</v>
      </c>
    </row>
    <row r="2749" spans="1:5" hidden="1" x14ac:dyDescent="0.3">
      <c r="A2749" t="s">
        <v>557</v>
      </c>
      <c r="B2749" t="s">
        <v>723</v>
      </c>
      <c r="C2749" t="s">
        <v>281</v>
      </c>
      <c r="D2749" s="230">
        <v>-381.54</v>
      </c>
      <c r="E2749" t="s">
        <v>724</v>
      </c>
    </row>
    <row r="2750" spans="1:5" hidden="1" x14ac:dyDescent="0.3">
      <c r="A2750" t="s">
        <v>557</v>
      </c>
      <c r="B2750" t="s">
        <v>723</v>
      </c>
      <c r="C2750" t="s">
        <v>282</v>
      </c>
      <c r="D2750" s="230">
        <v>-295.92</v>
      </c>
      <c r="E2750" t="s">
        <v>724</v>
      </c>
    </row>
    <row r="2751" spans="1:5" hidden="1" x14ac:dyDescent="0.3">
      <c r="A2751" t="s">
        <v>557</v>
      </c>
      <c r="B2751" t="s">
        <v>723</v>
      </c>
      <c r="C2751" t="s">
        <v>283</v>
      </c>
      <c r="D2751" s="230">
        <v>-276.69</v>
      </c>
      <c r="E2751" t="s">
        <v>724</v>
      </c>
    </row>
    <row r="2752" spans="1:5" hidden="1" x14ac:dyDescent="0.3">
      <c r="A2752" t="s">
        <v>557</v>
      </c>
      <c r="B2752" t="s">
        <v>723</v>
      </c>
      <c r="C2752" t="s">
        <v>284</v>
      </c>
      <c r="D2752" s="230">
        <v>-3775.51</v>
      </c>
      <c r="E2752" t="s">
        <v>724</v>
      </c>
    </row>
    <row r="2753" spans="1:5" hidden="1" x14ac:dyDescent="0.3">
      <c r="A2753" t="s">
        <v>557</v>
      </c>
      <c r="B2753" t="s">
        <v>723</v>
      </c>
      <c r="C2753" t="s">
        <v>285</v>
      </c>
      <c r="D2753" s="230">
        <v>0</v>
      </c>
      <c r="E2753" t="s">
        <v>724</v>
      </c>
    </row>
    <row r="2754" spans="1:5" hidden="1" x14ac:dyDescent="0.3">
      <c r="A2754" t="s">
        <v>557</v>
      </c>
      <c r="B2754" t="s">
        <v>723</v>
      </c>
      <c r="C2754" t="s">
        <v>286</v>
      </c>
      <c r="D2754" s="230">
        <v>0</v>
      </c>
      <c r="E2754" t="s">
        <v>724</v>
      </c>
    </row>
    <row r="2755" spans="1:5" hidden="1" x14ac:dyDescent="0.3">
      <c r="A2755" t="s">
        <v>557</v>
      </c>
      <c r="B2755" t="s">
        <v>723</v>
      </c>
      <c r="C2755" t="s">
        <v>44</v>
      </c>
      <c r="D2755" s="230">
        <v>-0.01</v>
      </c>
      <c r="E2755" t="s">
        <v>724</v>
      </c>
    </row>
    <row r="2756" spans="1:5" hidden="1" x14ac:dyDescent="0.3">
      <c r="A2756" t="s">
        <v>557</v>
      </c>
      <c r="B2756" t="s">
        <v>723</v>
      </c>
      <c r="C2756" t="s">
        <v>287</v>
      </c>
      <c r="D2756" s="230">
        <v>-12199.7</v>
      </c>
      <c r="E2756" t="s">
        <v>724</v>
      </c>
    </row>
    <row r="2757" spans="1:5" hidden="1" x14ac:dyDescent="0.3">
      <c r="A2757" t="s">
        <v>557</v>
      </c>
      <c r="B2757" t="s">
        <v>723</v>
      </c>
      <c r="C2757" t="s">
        <v>288</v>
      </c>
      <c r="D2757" s="230">
        <v>-12121.7</v>
      </c>
      <c r="E2757" t="s">
        <v>724</v>
      </c>
    </row>
    <row r="2758" spans="1:5" hidden="1" x14ac:dyDescent="0.3">
      <c r="A2758" t="s">
        <v>557</v>
      </c>
      <c r="B2758" t="s">
        <v>723</v>
      </c>
      <c r="C2758" t="s">
        <v>289</v>
      </c>
      <c r="D2758" s="230">
        <v>0</v>
      </c>
      <c r="E2758" t="s">
        <v>724</v>
      </c>
    </row>
    <row r="2759" spans="1:5" hidden="1" x14ac:dyDescent="0.3">
      <c r="A2759" t="s">
        <v>557</v>
      </c>
      <c r="B2759" t="s">
        <v>723</v>
      </c>
      <c r="C2759" t="s">
        <v>290</v>
      </c>
      <c r="D2759" s="230">
        <v>0</v>
      </c>
      <c r="E2759" t="s">
        <v>724</v>
      </c>
    </row>
    <row r="2760" spans="1:5" hidden="1" x14ac:dyDescent="0.3">
      <c r="A2760" t="s">
        <v>557</v>
      </c>
      <c r="B2760" t="s">
        <v>723</v>
      </c>
      <c r="C2760" t="s">
        <v>291</v>
      </c>
      <c r="D2760" s="230">
        <v>0</v>
      </c>
      <c r="E2760" t="s">
        <v>724</v>
      </c>
    </row>
    <row r="2761" spans="1:5" hidden="1" x14ac:dyDescent="0.3">
      <c r="A2761" t="s">
        <v>557</v>
      </c>
      <c r="B2761" t="s">
        <v>723</v>
      </c>
      <c r="C2761" t="s">
        <v>292</v>
      </c>
      <c r="D2761" s="230">
        <v>0</v>
      </c>
      <c r="E2761" t="s">
        <v>724</v>
      </c>
    </row>
    <row r="2762" spans="1:5" hidden="1" x14ac:dyDescent="0.3">
      <c r="A2762" t="s">
        <v>557</v>
      </c>
      <c r="B2762" t="s">
        <v>723</v>
      </c>
      <c r="C2762" t="s">
        <v>293</v>
      </c>
      <c r="D2762" s="230">
        <v>0</v>
      </c>
      <c r="E2762" t="s">
        <v>724</v>
      </c>
    </row>
    <row r="2763" spans="1:5" hidden="1" x14ac:dyDescent="0.3">
      <c r="A2763" t="s">
        <v>557</v>
      </c>
      <c r="B2763" t="s">
        <v>723</v>
      </c>
      <c r="C2763" t="s">
        <v>294</v>
      </c>
      <c r="D2763" s="230">
        <v>-78</v>
      </c>
      <c r="E2763" t="s">
        <v>724</v>
      </c>
    </row>
    <row r="2764" spans="1:5" hidden="1" x14ac:dyDescent="0.3">
      <c r="A2764" t="s">
        <v>557</v>
      </c>
      <c r="B2764" t="s">
        <v>723</v>
      </c>
      <c r="C2764" t="s">
        <v>295</v>
      </c>
      <c r="D2764" s="230">
        <v>0</v>
      </c>
      <c r="E2764" t="s">
        <v>724</v>
      </c>
    </row>
    <row r="2765" spans="1:5" hidden="1" x14ac:dyDescent="0.3">
      <c r="A2765" t="s">
        <v>557</v>
      </c>
      <c r="B2765" t="s">
        <v>723</v>
      </c>
      <c r="C2765" t="s">
        <v>44</v>
      </c>
      <c r="D2765" s="230">
        <v>-0.03</v>
      </c>
      <c r="E2765" t="s">
        <v>724</v>
      </c>
    </row>
    <row r="2766" spans="1:5" hidden="1" x14ac:dyDescent="0.3">
      <c r="A2766" t="s">
        <v>557</v>
      </c>
      <c r="B2766" t="s">
        <v>723</v>
      </c>
      <c r="C2766" t="s">
        <v>296</v>
      </c>
      <c r="D2766" s="230">
        <v>-7856.09</v>
      </c>
      <c r="E2766" t="s">
        <v>724</v>
      </c>
    </row>
    <row r="2767" spans="1:5" hidden="1" x14ac:dyDescent="0.3">
      <c r="A2767" t="s">
        <v>557</v>
      </c>
      <c r="B2767" t="s">
        <v>723</v>
      </c>
      <c r="C2767" t="s">
        <v>297</v>
      </c>
      <c r="D2767" s="230">
        <v>-3500</v>
      </c>
      <c r="E2767" t="s">
        <v>724</v>
      </c>
    </row>
    <row r="2768" spans="1:5" hidden="1" x14ac:dyDescent="0.3">
      <c r="A2768" t="s">
        <v>557</v>
      </c>
      <c r="B2768" t="s">
        <v>723</v>
      </c>
      <c r="C2768" t="s">
        <v>298</v>
      </c>
      <c r="D2768" s="230">
        <v>-460</v>
      </c>
      <c r="E2768" t="s">
        <v>724</v>
      </c>
    </row>
    <row r="2769" spans="1:5" hidden="1" x14ac:dyDescent="0.3">
      <c r="A2769" t="s">
        <v>557</v>
      </c>
      <c r="B2769" t="s">
        <v>723</v>
      </c>
      <c r="C2769" t="s">
        <v>299</v>
      </c>
      <c r="D2769" s="230">
        <v>0</v>
      </c>
      <c r="E2769" t="s">
        <v>724</v>
      </c>
    </row>
    <row r="2770" spans="1:5" hidden="1" x14ac:dyDescent="0.3">
      <c r="A2770" t="s">
        <v>557</v>
      </c>
      <c r="B2770" t="s">
        <v>723</v>
      </c>
      <c r="C2770" t="s">
        <v>300</v>
      </c>
      <c r="D2770" s="230">
        <v>0</v>
      </c>
      <c r="E2770" t="s">
        <v>724</v>
      </c>
    </row>
    <row r="2771" spans="1:5" hidden="1" x14ac:dyDescent="0.3">
      <c r="A2771" t="s">
        <v>557</v>
      </c>
      <c r="B2771" t="s">
        <v>723</v>
      </c>
      <c r="C2771" t="s">
        <v>301</v>
      </c>
      <c r="D2771" s="230">
        <v>-1989.75</v>
      </c>
      <c r="E2771" t="s">
        <v>724</v>
      </c>
    </row>
    <row r="2772" spans="1:5" hidden="1" x14ac:dyDescent="0.3">
      <c r="A2772" t="s">
        <v>557</v>
      </c>
      <c r="B2772" t="s">
        <v>723</v>
      </c>
      <c r="C2772" t="s">
        <v>302</v>
      </c>
      <c r="D2772" s="230">
        <v>0</v>
      </c>
      <c r="E2772" t="s">
        <v>724</v>
      </c>
    </row>
    <row r="2773" spans="1:5" hidden="1" x14ac:dyDescent="0.3">
      <c r="A2773" t="s">
        <v>557</v>
      </c>
      <c r="B2773" t="s">
        <v>723</v>
      </c>
      <c r="C2773" t="s">
        <v>303</v>
      </c>
      <c r="D2773" s="230">
        <v>0</v>
      </c>
      <c r="E2773" t="s">
        <v>724</v>
      </c>
    </row>
    <row r="2774" spans="1:5" hidden="1" x14ac:dyDescent="0.3">
      <c r="A2774" t="s">
        <v>557</v>
      </c>
      <c r="B2774" t="s">
        <v>723</v>
      </c>
      <c r="C2774" t="s">
        <v>304</v>
      </c>
      <c r="D2774" s="230">
        <v>0</v>
      </c>
      <c r="E2774" t="s">
        <v>724</v>
      </c>
    </row>
    <row r="2775" spans="1:5" hidden="1" x14ac:dyDescent="0.3">
      <c r="A2775" t="s">
        <v>557</v>
      </c>
      <c r="B2775" t="s">
        <v>723</v>
      </c>
      <c r="C2775" t="s">
        <v>305</v>
      </c>
      <c r="D2775" s="230">
        <v>-53.49</v>
      </c>
      <c r="E2775" t="s">
        <v>724</v>
      </c>
    </row>
    <row r="2776" spans="1:5" hidden="1" x14ac:dyDescent="0.3">
      <c r="A2776" t="s">
        <v>557</v>
      </c>
      <c r="B2776" t="s">
        <v>723</v>
      </c>
      <c r="C2776" t="s">
        <v>306</v>
      </c>
      <c r="D2776" s="230">
        <v>0</v>
      </c>
      <c r="E2776" t="s">
        <v>724</v>
      </c>
    </row>
    <row r="2777" spans="1:5" hidden="1" x14ac:dyDescent="0.3">
      <c r="A2777" t="s">
        <v>557</v>
      </c>
      <c r="B2777" t="s">
        <v>723</v>
      </c>
      <c r="C2777" t="s">
        <v>307</v>
      </c>
      <c r="D2777" s="230">
        <v>-1852.85</v>
      </c>
      <c r="E2777" t="s">
        <v>724</v>
      </c>
    </row>
    <row r="2778" spans="1:5" hidden="1" x14ac:dyDescent="0.3">
      <c r="A2778" t="s">
        <v>557</v>
      </c>
      <c r="B2778" t="s">
        <v>723</v>
      </c>
      <c r="C2778" t="s">
        <v>44</v>
      </c>
      <c r="D2778" s="230">
        <v>-0.02</v>
      </c>
      <c r="E2778" t="s">
        <v>724</v>
      </c>
    </row>
    <row r="2779" spans="1:5" hidden="1" x14ac:dyDescent="0.3">
      <c r="A2779" t="s">
        <v>557</v>
      </c>
      <c r="B2779" t="s">
        <v>723</v>
      </c>
      <c r="C2779" t="s">
        <v>308</v>
      </c>
      <c r="D2779" s="230">
        <v>-2272.5500000000002</v>
      </c>
      <c r="E2779" t="s">
        <v>724</v>
      </c>
    </row>
    <row r="2780" spans="1:5" hidden="1" x14ac:dyDescent="0.3">
      <c r="A2780" t="s">
        <v>557</v>
      </c>
      <c r="B2780" t="s">
        <v>723</v>
      </c>
      <c r="C2780" t="s">
        <v>309</v>
      </c>
      <c r="D2780" s="230">
        <v>-1412</v>
      </c>
      <c r="E2780" t="s">
        <v>724</v>
      </c>
    </row>
    <row r="2781" spans="1:5" hidden="1" x14ac:dyDescent="0.3">
      <c r="A2781" t="s">
        <v>557</v>
      </c>
      <c r="B2781" t="s">
        <v>723</v>
      </c>
      <c r="C2781" t="s">
        <v>310</v>
      </c>
      <c r="D2781" s="230">
        <v>0</v>
      </c>
      <c r="E2781" t="s">
        <v>724</v>
      </c>
    </row>
    <row r="2782" spans="1:5" hidden="1" x14ac:dyDescent="0.3">
      <c r="A2782" t="s">
        <v>557</v>
      </c>
      <c r="B2782" t="s">
        <v>723</v>
      </c>
      <c r="C2782" t="s">
        <v>311</v>
      </c>
      <c r="D2782" s="230">
        <v>-860.55</v>
      </c>
      <c r="E2782" t="s">
        <v>724</v>
      </c>
    </row>
    <row r="2783" spans="1:5" hidden="1" x14ac:dyDescent="0.3">
      <c r="A2783" t="s">
        <v>557</v>
      </c>
      <c r="B2783" t="s">
        <v>723</v>
      </c>
      <c r="C2783" t="s">
        <v>312</v>
      </c>
      <c r="D2783" s="230">
        <v>0</v>
      </c>
      <c r="E2783" t="s">
        <v>724</v>
      </c>
    </row>
    <row r="2784" spans="1:5" hidden="1" x14ac:dyDescent="0.3">
      <c r="A2784" t="s">
        <v>557</v>
      </c>
      <c r="B2784" t="s">
        <v>723</v>
      </c>
      <c r="C2784" t="s">
        <v>313</v>
      </c>
      <c r="D2784" s="230">
        <v>0</v>
      </c>
      <c r="E2784" t="s">
        <v>724</v>
      </c>
    </row>
    <row r="2785" spans="1:5" hidden="1" x14ac:dyDescent="0.3">
      <c r="A2785" t="s">
        <v>557</v>
      </c>
      <c r="B2785" t="s">
        <v>723</v>
      </c>
      <c r="C2785" t="s">
        <v>314</v>
      </c>
      <c r="D2785" s="230">
        <v>0</v>
      </c>
      <c r="E2785" t="s">
        <v>724</v>
      </c>
    </row>
    <row r="2786" spans="1:5" hidden="1" x14ac:dyDescent="0.3">
      <c r="A2786" t="s">
        <v>557</v>
      </c>
      <c r="B2786" t="s">
        <v>723</v>
      </c>
      <c r="C2786" t="s">
        <v>315</v>
      </c>
      <c r="D2786" s="230">
        <v>0</v>
      </c>
      <c r="E2786" t="s">
        <v>724</v>
      </c>
    </row>
    <row r="2787" spans="1:5" hidden="1" x14ac:dyDescent="0.3">
      <c r="A2787" t="s">
        <v>557</v>
      </c>
      <c r="B2787" t="s">
        <v>723</v>
      </c>
      <c r="C2787" t="s">
        <v>316</v>
      </c>
      <c r="D2787" s="230">
        <v>0</v>
      </c>
      <c r="E2787" t="s">
        <v>724</v>
      </c>
    </row>
    <row r="2788" spans="1:5" hidden="1" x14ac:dyDescent="0.3">
      <c r="A2788" t="s">
        <v>557</v>
      </c>
      <c r="B2788" t="s">
        <v>723</v>
      </c>
      <c r="C2788" t="s">
        <v>317</v>
      </c>
      <c r="D2788" s="230">
        <v>0</v>
      </c>
      <c r="E2788" t="s">
        <v>724</v>
      </c>
    </row>
    <row r="2789" spans="1:5" hidden="1" x14ac:dyDescent="0.3">
      <c r="A2789" t="s">
        <v>557</v>
      </c>
      <c r="B2789" t="s">
        <v>723</v>
      </c>
      <c r="C2789" t="s">
        <v>44</v>
      </c>
      <c r="D2789" s="230">
        <v>0</v>
      </c>
      <c r="E2789" t="s">
        <v>724</v>
      </c>
    </row>
    <row r="2790" spans="1:5" hidden="1" x14ac:dyDescent="0.3">
      <c r="A2790" t="s">
        <v>557</v>
      </c>
      <c r="B2790" t="s">
        <v>723</v>
      </c>
      <c r="C2790" t="s">
        <v>318</v>
      </c>
      <c r="D2790" s="230">
        <v>-2176.1999999999998</v>
      </c>
      <c r="E2790" t="s">
        <v>724</v>
      </c>
    </row>
    <row r="2791" spans="1:5" hidden="1" x14ac:dyDescent="0.3">
      <c r="A2791" t="s">
        <v>557</v>
      </c>
      <c r="B2791" t="s">
        <v>723</v>
      </c>
      <c r="C2791" t="s">
        <v>319</v>
      </c>
      <c r="D2791" s="230">
        <v>-2176.1999999999998</v>
      </c>
      <c r="E2791" t="s">
        <v>724</v>
      </c>
    </row>
    <row r="2792" spans="1:5" hidden="1" x14ac:dyDescent="0.3">
      <c r="A2792" t="s">
        <v>557</v>
      </c>
      <c r="B2792" t="s">
        <v>723</v>
      </c>
      <c r="C2792" t="s">
        <v>320</v>
      </c>
      <c r="D2792" s="230">
        <v>0</v>
      </c>
      <c r="E2792" t="s">
        <v>724</v>
      </c>
    </row>
    <row r="2793" spans="1:5" hidden="1" x14ac:dyDescent="0.3">
      <c r="A2793" t="s">
        <v>557</v>
      </c>
      <c r="B2793" t="s">
        <v>723</v>
      </c>
      <c r="C2793" t="s">
        <v>321</v>
      </c>
      <c r="D2793" s="230">
        <v>0</v>
      </c>
      <c r="E2793" t="s">
        <v>724</v>
      </c>
    </row>
    <row r="2794" spans="1:5" hidden="1" x14ac:dyDescent="0.3">
      <c r="A2794" t="s">
        <v>557</v>
      </c>
      <c r="B2794" t="s">
        <v>723</v>
      </c>
      <c r="C2794" t="s">
        <v>322</v>
      </c>
      <c r="D2794" s="230">
        <v>0</v>
      </c>
      <c r="E2794" t="s">
        <v>724</v>
      </c>
    </row>
    <row r="2795" spans="1:5" hidden="1" x14ac:dyDescent="0.3">
      <c r="A2795" t="s">
        <v>557</v>
      </c>
      <c r="B2795" t="s">
        <v>723</v>
      </c>
      <c r="C2795" t="s">
        <v>44</v>
      </c>
      <c r="D2795" s="230">
        <v>0</v>
      </c>
      <c r="E2795" t="s">
        <v>724</v>
      </c>
    </row>
    <row r="2796" spans="1:5" hidden="1" x14ac:dyDescent="0.3">
      <c r="A2796" t="s">
        <v>557</v>
      </c>
      <c r="B2796" t="s">
        <v>723</v>
      </c>
      <c r="C2796" t="s">
        <v>323</v>
      </c>
      <c r="D2796" s="230">
        <v>-23147.56</v>
      </c>
      <c r="E2796" t="s">
        <v>724</v>
      </c>
    </row>
    <row r="2797" spans="1:5" hidden="1" x14ac:dyDescent="0.3">
      <c r="A2797" t="s">
        <v>557</v>
      </c>
      <c r="B2797" t="s">
        <v>723</v>
      </c>
      <c r="C2797" t="s">
        <v>324</v>
      </c>
      <c r="D2797" s="230">
        <v>0</v>
      </c>
      <c r="E2797" t="s">
        <v>724</v>
      </c>
    </row>
    <row r="2798" spans="1:5" hidden="1" x14ac:dyDescent="0.3">
      <c r="A2798" t="s">
        <v>557</v>
      </c>
      <c r="B2798" t="s">
        <v>723</v>
      </c>
      <c r="C2798" t="s">
        <v>325</v>
      </c>
      <c r="D2798" s="230">
        <v>0</v>
      </c>
      <c r="E2798" t="s">
        <v>724</v>
      </c>
    </row>
    <row r="2799" spans="1:5" hidden="1" x14ac:dyDescent="0.3">
      <c r="A2799" t="s">
        <v>557</v>
      </c>
      <c r="B2799" t="s">
        <v>723</v>
      </c>
      <c r="C2799" t="s">
        <v>326</v>
      </c>
      <c r="D2799" s="230">
        <v>-23147.56</v>
      </c>
      <c r="E2799" t="s">
        <v>724</v>
      </c>
    </row>
    <row r="2800" spans="1:5" hidden="1" x14ac:dyDescent="0.3">
      <c r="A2800" t="s">
        <v>557</v>
      </c>
      <c r="B2800" t="s">
        <v>723</v>
      </c>
      <c r="C2800" t="s">
        <v>44</v>
      </c>
      <c r="D2800" s="230">
        <v>-0.05</v>
      </c>
      <c r="E2800" t="s">
        <v>724</v>
      </c>
    </row>
    <row r="2801" spans="1:5" hidden="1" x14ac:dyDescent="0.3">
      <c r="A2801" t="s">
        <v>557</v>
      </c>
      <c r="B2801" t="s">
        <v>723</v>
      </c>
      <c r="C2801" t="s">
        <v>328</v>
      </c>
      <c r="D2801" s="230">
        <v>-258434.3</v>
      </c>
      <c r="E2801" t="s">
        <v>724</v>
      </c>
    </row>
    <row r="2802" spans="1:5" hidden="1" x14ac:dyDescent="0.3">
      <c r="A2802" t="s">
        <v>557</v>
      </c>
      <c r="B2802" t="s">
        <v>723</v>
      </c>
      <c r="C2802" t="s">
        <v>44</v>
      </c>
      <c r="D2802" s="230">
        <v>-0.56000000000000005</v>
      </c>
      <c r="E2802" t="s">
        <v>724</v>
      </c>
    </row>
    <row r="2803" spans="1:5" hidden="1" x14ac:dyDescent="0.3">
      <c r="A2803" t="s">
        <v>557</v>
      </c>
      <c r="B2803" t="s">
        <v>723</v>
      </c>
      <c r="C2803" t="s">
        <v>329</v>
      </c>
      <c r="D2803" s="230">
        <v>-472.74</v>
      </c>
      <c r="E2803" t="s">
        <v>724</v>
      </c>
    </row>
    <row r="2804" spans="1:5" hidden="1" x14ac:dyDescent="0.3">
      <c r="A2804" t="s">
        <v>557</v>
      </c>
      <c r="B2804" t="s">
        <v>723</v>
      </c>
      <c r="C2804" t="s">
        <v>44</v>
      </c>
      <c r="D2804" s="230">
        <v>0</v>
      </c>
      <c r="E2804" t="s">
        <v>724</v>
      </c>
    </row>
    <row r="2805" spans="1:5" hidden="1" x14ac:dyDescent="0.3">
      <c r="A2805" t="s">
        <v>557</v>
      </c>
      <c r="B2805" t="s">
        <v>723</v>
      </c>
      <c r="C2805" t="s">
        <v>330</v>
      </c>
      <c r="D2805" s="230">
        <v>0</v>
      </c>
      <c r="E2805" t="s">
        <v>724</v>
      </c>
    </row>
    <row r="2806" spans="1:5" hidden="1" x14ac:dyDescent="0.3">
      <c r="A2806" t="s">
        <v>557</v>
      </c>
      <c r="B2806" t="s">
        <v>723</v>
      </c>
      <c r="C2806" t="s">
        <v>332</v>
      </c>
      <c r="D2806" s="230">
        <v>-472.74</v>
      </c>
      <c r="E2806" t="s">
        <v>724</v>
      </c>
    </row>
    <row r="2807" spans="1:5" hidden="1" x14ac:dyDescent="0.3">
      <c r="A2807" t="s">
        <v>557</v>
      </c>
      <c r="B2807" t="s">
        <v>723</v>
      </c>
      <c r="C2807" t="s">
        <v>333</v>
      </c>
      <c r="D2807" s="230">
        <v>7896.37</v>
      </c>
      <c r="E2807" t="s">
        <v>724</v>
      </c>
    </row>
    <row r="2808" spans="1:5" hidden="1" x14ac:dyDescent="0.3">
      <c r="A2808" t="s">
        <v>557</v>
      </c>
      <c r="B2808" t="s">
        <v>723</v>
      </c>
      <c r="C2808" t="s">
        <v>334</v>
      </c>
      <c r="D2808" s="230">
        <v>10000</v>
      </c>
      <c r="E2808" t="s">
        <v>724</v>
      </c>
    </row>
    <row r="2809" spans="1:5" hidden="1" x14ac:dyDescent="0.3">
      <c r="A2809" t="s">
        <v>557</v>
      </c>
      <c r="B2809" t="s">
        <v>723</v>
      </c>
      <c r="C2809" t="s">
        <v>336</v>
      </c>
      <c r="D2809" s="230">
        <v>-2895.83</v>
      </c>
      <c r="E2809" t="s">
        <v>724</v>
      </c>
    </row>
    <row r="2810" spans="1:5" hidden="1" x14ac:dyDescent="0.3">
      <c r="A2810" t="s">
        <v>557</v>
      </c>
      <c r="B2810" t="s">
        <v>723</v>
      </c>
      <c r="C2810" t="s">
        <v>338</v>
      </c>
      <c r="D2810" s="230">
        <v>14527.8</v>
      </c>
      <c r="E2810" t="s">
        <v>724</v>
      </c>
    </row>
    <row r="2811" spans="1:5" hidden="1" x14ac:dyDescent="0.3">
      <c r="A2811" t="s">
        <v>557</v>
      </c>
      <c r="B2811" t="s">
        <v>723</v>
      </c>
      <c r="C2811" t="s">
        <v>339</v>
      </c>
      <c r="D2811" s="230">
        <v>-12015.99</v>
      </c>
      <c r="E2811" t="s">
        <v>724</v>
      </c>
    </row>
    <row r="2812" spans="1:5" hidden="1" x14ac:dyDescent="0.3">
      <c r="A2812" t="s">
        <v>557</v>
      </c>
      <c r="B2812" t="s">
        <v>723</v>
      </c>
      <c r="C2812" t="s">
        <v>342</v>
      </c>
      <c r="D2812" s="230">
        <v>0</v>
      </c>
      <c r="E2812" t="s">
        <v>724</v>
      </c>
    </row>
    <row r="2813" spans="1:5" hidden="1" x14ac:dyDescent="0.3">
      <c r="A2813" t="s">
        <v>557</v>
      </c>
      <c r="B2813" t="s">
        <v>723</v>
      </c>
      <c r="C2813" t="s">
        <v>344</v>
      </c>
      <c r="D2813" s="230">
        <v>-4822.47</v>
      </c>
      <c r="E2813" t="s">
        <v>724</v>
      </c>
    </row>
    <row r="2814" spans="1:5" hidden="1" x14ac:dyDescent="0.3">
      <c r="A2814" t="s">
        <v>557</v>
      </c>
      <c r="B2814" t="s">
        <v>723</v>
      </c>
      <c r="C2814" t="s">
        <v>345</v>
      </c>
      <c r="D2814" s="230">
        <v>-2853.29</v>
      </c>
      <c r="E2814" t="s">
        <v>724</v>
      </c>
    </row>
    <row r="2815" spans="1:5" hidden="1" x14ac:dyDescent="0.3">
      <c r="A2815" t="s">
        <v>557</v>
      </c>
      <c r="B2815" t="s">
        <v>723</v>
      </c>
      <c r="C2815" t="s">
        <v>346</v>
      </c>
      <c r="D2815" s="230">
        <v>-4340.22</v>
      </c>
      <c r="E2815" t="s">
        <v>724</v>
      </c>
    </row>
    <row r="2816" spans="1:5" hidden="1" x14ac:dyDescent="0.3">
      <c r="A2816" t="s">
        <v>557</v>
      </c>
      <c r="B2816" t="s">
        <v>723</v>
      </c>
      <c r="C2816" t="s">
        <v>347</v>
      </c>
      <c r="D2816" s="230">
        <v>2511.8200000000002</v>
      </c>
      <c r="E2816" t="s">
        <v>724</v>
      </c>
    </row>
    <row r="2817" spans="1:5" hidden="1" x14ac:dyDescent="0.3">
      <c r="A2817" t="s">
        <v>557</v>
      </c>
      <c r="B2817" t="s">
        <v>723</v>
      </c>
      <c r="C2817" t="s">
        <v>44</v>
      </c>
      <c r="D2817" s="230">
        <v>0.01</v>
      </c>
      <c r="E2817" t="s">
        <v>724</v>
      </c>
    </row>
    <row r="2818" spans="1:5" hidden="1" x14ac:dyDescent="0.3">
      <c r="A2818" t="s">
        <v>557</v>
      </c>
      <c r="B2818" t="s">
        <v>723</v>
      </c>
      <c r="C2818" t="s">
        <v>348</v>
      </c>
      <c r="D2818" s="230">
        <v>-22263.41</v>
      </c>
      <c r="E2818" t="s">
        <v>724</v>
      </c>
    </row>
    <row r="2819" spans="1:5" hidden="1" x14ac:dyDescent="0.3">
      <c r="A2819" t="s">
        <v>557</v>
      </c>
      <c r="B2819" t="s">
        <v>723</v>
      </c>
      <c r="C2819" t="s">
        <v>707</v>
      </c>
      <c r="D2819" s="230">
        <v>-20433.330000000002</v>
      </c>
      <c r="E2819" t="s">
        <v>724</v>
      </c>
    </row>
    <row r="2820" spans="1:5" hidden="1" x14ac:dyDescent="0.3">
      <c r="A2820" t="s">
        <v>557</v>
      </c>
      <c r="B2820" t="s">
        <v>723</v>
      </c>
      <c r="C2820" t="s">
        <v>350</v>
      </c>
      <c r="D2820" s="230">
        <v>-1830.08</v>
      </c>
      <c r="E2820" t="s">
        <v>724</v>
      </c>
    </row>
    <row r="2821" spans="1:5" hidden="1" x14ac:dyDescent="0.3">
      <c r="A2821" t="s">
        <v>557</v>
      </c>
      <c r="B2821" t="s">
        <v>723</v>
      </c>
      <c r="C2821" t="s">
        <v>351</v>
      </c>
      <c r="D2821" s="230">
        <v>0</v>
      </c>
      <c r="E2821" t="s">
        <v>724</v>
      </c>
    </row>
    <row r="2822" spans="1:5" hidden="1" x14ac:dyDescent="0.3">
      <c r="A2822" t="s">
        <v>557</v>
      </c>
      <c r="B2822" t="s">
        <v>723</v>
      </c>
      <c r="C2822" t="s">
        <v>352</v>
      </c>
      <c r="D2822" s="230">
        <v>0</v>
      </c>
      <c r="E2822" t="s">
        <v>724</v>
      </c>
    </row>
    <row r="2823" spans="1:5" hidden="1" x14ac:dyDescent="0.3">
      <c r="A2823" t="s">
        <v>557</v>
      </c>
      <c r="B2823" t="s">
        <v>723</v>
      </c>
      <c r="C2823" t="s">
        <v>353</v>
      </c>
      <c r="D2823" s="230">
        <v>0</v>
      </c>
      <c r="E2823" t="s">
        <v>724</v>
      </c>
    </row>
    <row r="2824" spans="1:5" hidden="1" x14ac:dyDescent="0.3">
      <c r="A2824" t="s">
        <v>557</v>
      </c>
      <c r="B2824" t="s">
        <v>723</v>
      </c>
      <c r="C2824" t="s">
        <v>354</v>
      </c>
      <c r="D2824" s="230">
        <v>0</v>
      </c>
      <c r="E2824" t="s">
        <v>724</v>
      </c>
    </row>
    <row r="2825" spans="1:5" hidden="1" x14ac:dyDescent="0.3">
      <c r="A2825" t="s">
        <v>557</v>
      </c>
      <c r="B2825" t="s">
        <v>723</v>
      </c>
      <c r="C2825" t="s">
        <v>355</v>
      </c>
      <c r="D2825" s="230">
        <v>0</v>
      </c>
      <c r="E2825" t="s">
        <v>724</v>
      </c>
    </row>
    <row r="2826" spans="1:5" hidden="1" x14ac:dyDescent="0.3">
      <c r="A2826" t="s">
        <v>557</v>
      </c>
      <c r="B2826" t="s">
        <v>723</v>
      </c>
      <c r="C2826" t="s">
        <v>356</v>
      </c>
      <c r="D2826" s="230">
        <v>0</v>
      </c>
      <c r="E2826" t="s">
        <v>724</v>
      </c>
    </row>
    <row r="2827" spans="1:5" hidden="1" x14ac:dyDescent="0.3">
      <c r="A2827" t="s">
        <v>557</v>
      </c>
      <c r="B2827" t="s">
        <v>723</v>
      </c>
      <c r="C2827" t="s">
        <v>357</v>
      </c>
      <c r="D2827" s="230">
        <v>0</v>
      </c>
      <c r="E2827" t="s">
        <v>724</v>
      </c>
    </row>
    <row r="2828" spans="1:5" hidden="1" x14ac:dyDescent="0.3">
      <c r="A2828" t="s">
        <v>557</v>
      </c>
      <c r="B2828" t="s">
        <v>723</v>
      </c>
      <c r="C2828" t="s">
        <v>358</v>
      </c>
      <c r="D2828" s="230">
        <v>0</v>
      </c>
      <c r="E2828" t="s">
        <v>724</v>
      </c>
    </row>
    <row r="2829" spans="1:5" hidden="1" x14ac:dyDescent="0.3">
      <c r="A2829" t="s">
        <v>557</v>
      </c>
      <c r="B2829" t="s">
        <v>723</v>
      </c>
      <c r="C2829" t="s">
        <v>359</v>
      </c>
      <c r="D2829" s="230">
        <v>0</v>
      </c>
      <c r="E2829" t="s">
        <v>724</v>
      </c>
    </row>
    <row r="2830" spans="1:5" hidden="1" x14ac:dyDescent="0.3">
      <c r="A2830" t="s">
        <v>557</v>
      </c>
      <c r="B2830" t="s">
        <v>723</v>
      </c>
      <c r="C2830" t="s">
        <v>360</v>
      </c>
      <c r="D2830" s="230">
        <v>0</v>
      </c>
      <c r="E2830" t="s">
        <v>724</v>
      </c>
    </row>
    <row r="2831" spans="1:5" hidden="1" x14ac:dyDescent="0.3">
      <c r="A2831" t="s">
        <v>557</v>
      </c>
      <c r="B2831" t="s">
        <v>723</v>
      </c>
      <c r="C2831" t="s">
        <v>361</v>
      </c>
      <c r="D2831" s="230">
        <v>0</v>
      </c>
      <c r="E2831" t="s">
        <v>724</v>
      </c>
    </row>
    <row r="2832" spans="1:5" hidden="1" x14ac:dyDescent="0.3">
      <c r="A2832" t="s">
        <v>557</v>
      </c>
      <c r="B2832" t="s">
        <v>723</v>
      </c>
      <c r="C2832" t="s">
        <v>362</v>
      </c>
      <c r="D2832" s="230">
        <v>0</v>
      </c>
      <c r="E2832" t="s">
        <v>724</v>
      </c>
    </row>
    <row r="2833" spans="1:5" hidden="1" x14ac:dyDescent="0.3">
      <c r="A2833" t="s">
        <v>557</v>
      </c>
      <c r="B2833" t="s">
        <v>723</v>
      </c>
      <c r="C2833" t="s">
        <v>363</v>
      </c>
      <c r="D2833" s="230">
        <v>0</v>
      </c>
      <c r="E2833" t="s">
        <v>724</v>
      </c>
    </row>
    <row r="2834" spans="1:5" hidden="1" x14ac:dyDescent="0.3">
      <c r="A2834" t="s">
        <v>557</v>
      </c>
      <c r="B2834" t="s">
        <v>723</v>
      </c>
      <c r="C2834" t="s">
        <v>364</v>
      </c>
      <c r="D2834" s="230">
        <v>0</v>
      </c>
      <c r="E2834" t="s">
        <v>724</v>
      </c>
    </row>
    <row r="2835" spans="1:5" hidden="1" x14ac:dyDescent="0.3">
      <c r="A2835" t="s">
        <v>557</v>
      </c>
      <c r="B2835" t="s">
        <v>723</v>
      </c>
      <c r="C2835" t="s">
        <v>365</v>
      </c>
      <c r="D2835" s="230">
        <v>0</v>
      </c>
      <c r="E2835" t="s">
        <v>724</v>
      </c>
    </row>
    <row r="2836" spans="1:5" hidden="1" x14ac:dyDescent="0.3">
      <c r="A2836" t="s">
        <v>557</v>
      </c>
      <c r="B2836" t="s">
        <v>723</v>
      </c>
      <c r="C2836" t="s">
        <v>366</v>
      </c>
      <c r="D2836" s="230">
        <v>0</v>
      </c>
      <c r="E2836" t="s">
        <v>724</v>
      </c>
    </row>
    <row r="2837" spans="1:5" hidden="1" x14ac:dyDescent="0.3">
      <c r="A2837" t="s">
        <v>557</v>
      </c>
      <c r="B2837" t="s">
        <v>723</v>
      </c>
      <c r="C2837" t="s">
        <v>367</v>
      </c>
      <c r="D2837" s="230">
        <v>0</v>
      </c>
      <c r="E2837" t="s">
        <v>724</v>
      </c>
    </row>
    <row r="2838" spans="1:5" hidden="1" x14ac:dyDescent="0.3">
      <c r="A2838" t="s">
        <v>557</v>
      </c>
      <c r="B2838" t="s">
        <v>723</v>
      </c>
      <c r="C2838" t="s">
        <v>368</v>
      </c>
      <c r="D2838" s="230">
        <v>0</v>
      </c>
      <c r="E2838" t="s">
        <v>724</v>
      </c>
    </row>
    <row r="2839" spans="1:5" hidden="1" x14ac:dyDescent="0.3">
      <c r="A2839" t="s">
        <v>557</v>
      </c>
      <c r="B2839" t="s">
        <v>723</v>
      </c>
      <c r="C2839" t="s">
        <v>369</v>
      </c>
      <c r="D2839" s="230">
        <v>0</v>
      </c>
      <c r="E2839" t="s">
        <v>724</v>
      </c>
    </row>
    <row r="2840" spans="1:5" hidden="1" x14ac:dyDescent="0.3">
      <c r="A2840" t="s">
        <v>557</v>
      </c>
      <c r="B2840" t="s">
        <v>723</v>
      </c>
      <c r="C2840" t="s">
        <v>370</v>
      </c>
      <c r="D2840" s="230">
        <v>0</v>
      </c>
      <c r="E2840" t="s">
        <v>724</v>
      </c>
    </row>
    <row r="2841" spans="1:5" hidden="1" x14ac:dyDescent="0.3">
      <c r="A2841" t="s">
        <v>557</v>
      </c>
      <c r="B2841" t="s">
        <v>723</v>
      </c>
      <c r="C2841" t="s">
        <v>371</v>
      </c>
      <c r="D2841" s="230">
        <v>0</v>
      </c>
      <c r="E2841" t="s">
        <v>724</v>
      </c>
    </row>
    <row r="2842" spans="1:5" hidden="1" x14ac:dyDescent="0.3">
      <c r="A2842" t="s">
        <v>557</v>
      </c>
      <c r="B2842" t="s">
        <v>723</v>
      </c>
      <c r="C2842" t="s">
        <v>372</v>
      </c>
      <c r="D2842" s="230">
        <v>0</v>
      </c>
      <c r="E2842" t="s">
        <v>724</v>
      </c>
    </row>
    <row r="2843" spans="1:5" hidden="1" x14ac:dyDescent="0.3">
      <c r="A2843" t="s">
        <v>557</v>
      </c>
      <c r="B2843" t="s">
        <v>723</v>
      </c>
      <c r="C2843" t="s">
        <v>373</v>
      </c>
      <c r="D2843" s="230">
        <v>0</v>
      </c>
      <c r="E2843" t="s">
        <v>724</v>
      </c>
    </row>
    <row r="2844" spans="1:5" hidden="1" x14ac:dyDescent="0.3">
      <c r="A2844" t="s">
        <v>557</v>
      </c>
      <c r="B2844" t="s">
        <v>723</v>
      </c>
      <c r="C2844" t="s">
        <v>374</v>
      </c>
      <c r="D2844" s="230">
        <v>0</v>
      </c>
      <c r="E2844" t="s">
        <v>724</v>
      </c>
    </row>
    <row r="2845" spans="1:5" hidden="1" x14ac:dyDescent="0.3">
      <c r="A2845" t="s">
        <v>557</v>
      </c>
      <c r="B2845" t="s">
        <v>723</v>
      </c>
      <c r="C2845" t="s">
        <v>708</v>
      </c>
      <c r="D2845" s="230">
        <v>0</v>
      </c>
      <c r="E2845" t="s">
        <v>724</v>
      </c>
    </row>
    <row r="2846" spans="1:5" hidden="1" x14ac:dyDescent="0.3">
      <c r="A2846" t="s">
        <v>557</v>
      </c>
      <c r="B2846" t="s">
        <v>725</v>
      </c>
      <c r="C2846" t="s">
        <v>11</v>
      </c>
      <c r="D2846" s="230">
        <v>420212.06</v>
      </c>
      <c r="E2846" t="s">
        <v>726</v>
      </c>
    </row>
    <row r="2847" spans="1:5" hidden="1" x14ac:dyDescent="0.3">
      <c r="A2847" t="s">
        <v>557</v>
      </c>
      <c r="B2847" t="s">
        <v>725</v>
      </c>
      <c r="C2847" t="s">
        <v>13</v>
      </c>
      <c r="D2847" s="230">
        <v>240168.1</v>
      </c>
      <c r="E2847" t="s">
        <v>726</v>
      </c>
    </row>
    <row r="2848" spans="1:5" hidden="1" x14ac:dyDescent="0.3">
      <c r="A2848" t="s">
        <v>557</v>
      </c>
      <c r="B2848" t="s">
        <v>725</v>
      </c>
      <c r="C2848" t="s">
        <v>16</v>
      </c>
      <c r="D2848" s="230">
        <v>108401.4</v>
      </c>
      <c r="E2848" t="s">
        <v>726</v>
      </c>
    </row>
    <row r="2849" spans="1:5" hidden="1" x14ac:dyDescent="0.3">
      <c r="A2849" t="s">
        <v>557</v>
      </c>
      <c r="B2849" t="s">
        <v>725</v>
      </c>
      <c r="C2849" t="s">
        <v>17</v>
      </c>
      <c r="D2849" s="230">
        <v>6430</v>
      </c>
      <c r="E2849" t="s">
        <v>726</v>
      </c>
    </row>
    <row r="2850" spans="1:5" hidden="1" x14ac:dyDescent="0.3">
      <c r="A2850" t="s">
        <v>557</v>
      </c>
      <c r="B2850" t="s">
        <v>725</v>
      </c>
      <c r="C2850" t="s">
        <v>18</v>
      </c>
      <c r="D2850" s="230">
        <v>378</v>
      </c>
      <c r="E2850" t="s">
        <v>726</v>
      </c>
    </row>
    <row r="2851" spans="1:5" hidden="1" x14ac:dyDescent="0.3">
      <c r="A2851" t="s">
        <v>557</v>
      </c>
      <c r="B2851" t="s">
        <v>725</v>
      </c>
      <c r="C2851" t="s">
        <v>20</v>
      </c>
      <c r="D2851" s="230">
        <v>43879.17</v>
      </c>
      <c r="E2851" t="s">
        <v>726</v>
      </c>
    </row>
    <row r="2852" spans="1:5" hidden="1" x14ac:dyDescent="0.3">
      <c r="A2852" t="s">
        <v>557</v>
      </c>
      <c r="B2852" t="s">
        <v>725</v>
      </c>
      <c r="C2852" t="s">
        <v>23</v>
      </c>
      <c r="D2852" s="230">
        <v>11544</v>
      </c>
      <c r="E2852" t="s">
        <v>726</v>
      </c>
    </row>
    <row r="2853" spans="1:5" hidden="1" x14ac:dyDescent="0.3">
      <c r="A2853" t="s">
        <v>557</v>
      </c>
      <c r="B2853" t="s">
        <v>725</v>
      </c>
      <c r="C2853" t="s">
        <v>25</v>
      </c>
      <c r="D2853" s="230">
        <v>0</v>
      </c>
      <c r="E2853" t="s">
        <v>726</v>
      </c>
    </row>
    <row r="2854" spans="1:5" hidden="1" x14ac:dyDescent="0.3">
      <c r="A2854" t="s">
        <v>557</v>
      </c>
      <c r="B2854" t="s">
        <v>725</v>
      </c>
      <c r="C2854" t="s">
        <v>26</v>
      </c>
      <c r="D2854" s="230">
        <v>7100</v>
      </c>
      <c r="E2854" t="s">
        <v>726</v>
      </c>
    </row>
    <row r="2855" spans="1:5" hidden="1" x14ac:dyDescent="0.3">
      <c r="A2855" t="s">
        <v>557</v>
      </c>
      <c r="B2855" t="s">
        <v>725</v>
      </c>
      <c r="C2855" t="s">
        <v>27</v>
      </c>
      <c r="D2855" s="230">
        <v>0</v>
      </c>
      <c r="E2855" t="s">
        <v>726</v>
      </c>
    </row>
    <row r="2856" spans="1:5" hidden="1" x14ac:dyDescent="0.3">
      <c r="A2856" t="s">
        <v>557</v>
      </c>
      <c r="B2856" t="s">
        <v>725</v>
      </c>
      <c r="C2856" t="s">
        <v>29</v>
      </c>
      <c r="D2856" s="230">
        <v>2311.39</v>
      </c>
      <c r="E2856" t="s">
        <v>726</v>
      </c>
    </row>
    <row r="2857" spans="1:5" hidden="1" x14ac:dyDescent="0.3">
      <c r="A2857" t="s">
        <v>557</v>
      </c>
      <c r="B2857" t="s">
        <v>725</v>
      </c>
      <c r="C2857" t="s">
        <v>31</v>
      </c>
      <c r="D2857" s="230">
        <v>0</v>
      </c>
      <c r="E2857" t="s">
        <v>726</v>
      </c>
    </row>
    <row r="2858" spans="1:5" hidden="1" x14ac:dyDescent="0.3">
      <c r="A2858" t="s">
        <v>557</v>
      </c>
      <c r="B2858" t="s">
        <v>725</v>
      </c>
      <c r="C2858" t="s">
        <v>34</v>
      </c>
      <c r="D2858" s="230">
        <v>-16467.740000000002</v>
      </c>
      <c r="E2858" t="s">
        <v>726</v>
      </c>
    </row>
    <row r="2859" spans="1:5" hidden="1" x14ac:dyDescent="0.3">
      <c r="A2859" t="s">
        <v>557</v>
      </c>
      <c r="B2859" t="s">
        <v>725</v>
      </c>
      <c r="C2859" t="s">
        <v>38</v>
      </c>
      <c r="D2859" s="230">
        <v>-16467.740000000002</v>
      </c>
      <c r="E2859" t="s">
        <v>726</v>
      </c>
    </row>
    <row r="2860" spans="1:5" hidden="1" x14ac:dyDescent="0.3">
      <c r="A2860" t="s">
        <v>557</v>
      </c>
      <c r="B2860" t="s">
        <v>725</v>
      </c>
      <c r="C2860" t="s">
        <v>40</v>
      </c>
      <c r="D2860" s="230">
        <v>0</v>
      </c>
      <c r="E2860" t="s">
        <v>726</v>
      </c>
    </row>
    <row r="2861" spans="1:5" hidden="1" x14ac:dyDescent="0.3">
      <c r="A2861" t="s">
        <v>557</v>
      </c>
      <c r="B2861" t="s">
        <v>725</v>
      </c>
      <c r="C2861" t="s">
        <v>42</v>
      </c>
      <c r="D2861" s="230">
        <v>0</v>
      </c>
      <c r="E2861" t="s">
        <v>726</v>
      </c>
    </row>
    <row r="2862" spans="1:5" hidden="1" x14ac:dyDescent="0.3">
      <c r="A2862" t="s">
        <v>557</v>
      </c>
      <c r="B2862" t="s">
        <v>725</v>
      </c>
      <c r="C2862" t="s">
        <v>44</v>
      </c>
      <c r="D2862" s="230">
        <v>-0.04</v>
      </c>
      <c r="E2862" t="s">
        <v>726</v>
      </c>
    </row>
    <row r="2863" spans="1:5" hidden="1" x14ac:dyDescent="0.3">
      <c r="A2863" t="s">
        <v>557</v>
      </c>
      <c r="B2863" t="s">
        <v>725</v>
      </c>
      <c r="C2863" t="s">
        <v>45</v>
      </c>
      <c r="D2863" s="230">
        <v>-25180.05</v>
      </c>
      <c r="E2863" t="s">
        <v>726</v>
      </c>
    </row>
    <row r="2864" spans="1:5" hidden="1" x14ac:dyDescent="0.3">
      <c r="A2864" t="s">
        <v>557</v>
      </c>
      <c r="B2864" t="s">
        <v>725</v>
      </c>
      <c r="C2864" t="s">
        <v>46</v>
      </c>
      <c r="D2864" s="230">
        <v>-13135.08</v>
      </c>
      <c r="E2864" t="s">
        <v>726</v>
      </c>
    </row>
    <row r="2865" spans="1:5" hidden="1" x14ac:dyDescent="0.3">
      <c r="A2865" t="s">
        <v>557</v>
      </c>
      <c r="B2865" t="s">
        <v>725</v>
      </c>
      <c r="C2865" t="s">
        <v>48</v>
      </c>
      <c r="D2865" s="230">
        <v>-11146.28</v>
      </c>
      <c r="E2865" t="s">
        <v>726</v>
      </c>
    </row>
    <row r="2866" spans="1:5" hidden="1" x14ac:dyDescent="0.3">
      <c r="A2866" t="s">
        <v>557</v>
      </c>
      <c r="B2866" t="s">
        <v>725</v>
      </c>
      <c r="C2866" t="s">
        <v>49</v>
      </c>
      <c r="D2866" s="230">
        <v>-898.7</v>
      </c>
      <c r="E2866" t="s">
        <v>726</v>
      </c>
    </row>
    <row r="2867" spans="1:5" hidden="1" x14ac:dyDescent="0.3">
      <c r="A2867" t="s">
        <v>557</v>
      </c>
      <c r="B2867" t="s">
        <v>725</v>
      </c>
      <c r="C2867" t="s">
        <v>50</v>
      </c>
      <c r="D2867" s="230">
        <v>378564.27</v>
      </c>
      <c r="E2867" t="s">
        <v>726</v>
      </c>
    </row>
    <row r="2868" spans="1:5" hidden="1" x14ac:dyDescent="0.3">
      <c r="A2868" t="s">
        <v>557</v>
      </c>
      <c r="B2868" t="s">
        <v>725</v>
      </c>
      <c r="C2868" t="s">
        <v>51</v>
      </c>
      <c r="D2868" s="230">
        <v>-108860.39</v>
      </c>
      <c r="E2868" t="s">
        <v>726</v>
      </c>
    </row>
    <row r="2869" spans="1:5" hidden="1" x14ac:dyDescent="0.3">
      <c r="A2869" t="s">
        <v>557</v>
      </c>
      <c r="B2869" t="s">
        <v>725</v>
      </c>
      <c r="C2869" t="s">
        <v>52</v>
      </c>
      <c r="D2869" s="230">
        <v>-88324.45</v>
      </c>
      <c r="E2869" t="s">
        <v>726</v>
      </c>
    </row>
    <row r="2870" spans="1:5" hidden="1" x14ac:dyDescent="0.3">
      <c r="A2870" t="s">
        <v>557</v>
      </c>
      <c r="B2870" t="s">
        <v>725</v>
      </c>
      <c r="C2870" t="s">
        <v>53</v>
      </c>
      <c r="D2870" s="230">
        <v>-20535.939999999999</v>
      </c>
      <c r="E2870" t="s">
        <v>726</v>
      </c>
    </row>
    <row r="2871" spans="1:5" hidden="1" x14ac:dyDescent="0.3">
      <c r="A2871" t="s">
        <v>557</v>
      </c>
      <c r="B2871" t="s">
        <v>725</v>
      </c>
      <c r="C2871" t="s">
        <v>54</v>
      </c>
      <c r="D2871" s="230">
        <v>0</v>
      </c>
      <c r="E2871" t="s">
        <v>726</v>
      </c>
    </row>
    <row r="2872" spans="1:5" hidden="1" x14ac:dyDescent="0.3">
      <c r="A2872" t="s">
        <v>557</v>
      </c>
      <c r="B2872" t="s">
        <v>725</v>
      </c>
      <c r="C2872" t="s">
        <v>23</v>
      </c>
      <c r="D2872" s="230">
        <v>0</v>
      </c>
      <c r="E2872" t="s">
        <v>726</v>
      </c>
    </row>
    <row r="2873" spans="1:5" hidden="1" x14ac:dyDescent="0.3">
      <c r="A2873" t="s">
        <v>557</v>
      </c>
      <c r="B2873" t="s">
        <v>725</v>
      </c>
      <c r="C2873" t="s">
        <v>44</v>
      </c>
      <c r="D2873" s="230">
        <v>-0.3</v>
      </c>
      <c r="E2873" t="s">
        <v>726</v>
      </c>
    </row>
    <row r="2874" spans="1:5" hidden="1" x14ac:dyDescent="0.3">
      <c r="A2874" t="s">
        <v>557</v>
      </c>
      <c r="B2874" t="s">
        <v>725</v>
      </c>
      <c r="C2874" t="s">
        <v>55</v>
      </c>
      <c r="D2874" s="230">
        <v>-0.28999999999999998</v>
      </c>
      <c r="E2874" t="s">
        <v>726</v>
      </c>
    </row>
    <row r="2875" spans="1:5" hidden="1" x14ac:dyDescent="0.3">
      <c r="A2875" t="s">
        <v>557</v>
      </c>
      <c r="B2875" t="s">
        <v>725</v>
      </c>
      <c r="C2875" t="s">
        <v>56</v>
      </c>
      <c r="D2875" s="230">
        <v>-9639.92</v>
      </c>
      <c r="E2875" t="s">
        <v>726</v>
      </c>
    </row>
    <row r="2876" spans="1:5" hidden="1" x14ac:dyDescent="0.3">
      <c r="A2876" t="s">
        <v>557</v>
      </c>
      <c r="B2876" t="s">
        <v>725</v>
      </c>
      <c r="C2876" t="s">
        <v>57</v>
      </c>
      <c r="D2876" s="230">
        <v>-7639.92</v>
      </c>
      <c r="E2876" t="s">
        <v>726</v>
      </c>
    </row>
    <row r="2877" spans="1:5" hidden="1" x14ac:dyDescent="0.3">
      <c r="A2877" t="s">
        <v>557</v>
      </c>
      <c r="B2877" t="s">
        <v>725</v>
      </c>
      <c r="C2877" t="s">
        <v>58</v>
      </c>
      <c r="D2877" s="230">
        <v>-7300</v>
      </c>
      <c r="E2877" t="s">
        <v>726</v>
      </c>
    </row>
    <row r="2878" spans="1:5" hidden="1" x14ac:dyDescent="0.3">
      <c r="A2878" t="s">
        <v>557</v>
      </c>
      <c r="B2878" t="s">
        <v>725</v>
      </c>
      <c r="C2878" t="s">
        <v>59</v>
      </c>
      <c r="D2878" s="230">
        <v>-339.92</v>
      </c>
      <c r="E2878" t="s">
        <v>726</v>
      </c>
    </row>
    <row r="2879" spans="1:5" hidden="1" x14ac:dyDescent="0.3">
      <c r="A2879" t="s">
        <v>557</v>
      </c>
      <c r="B2879" t="s">
        <v>725</v>
      </c>
      <c r="C2879" t="s">
        <v>61</v>
      </c>
      <c r="D2879" s="230">
        <v>0</v>
      </c>
      <c r="E2879" t="s">
        <v>726</v>
      </c>
    </row>
    <row r="2880" spans="1:5" hidden="1" x14ac:dyDescent="0.3">
      <c r="A2880" t="s">
        <v>557</v>
      </c>
      <c r="B2880" t="s">
        <v>725</v>
      </c>
      <c r="C2880" t="s">
        <v>62</v>
      </c>
      <c r="D2880" s="230">
        <v>0</v>
      </c>
      <c r="E2880" t="s">
        <v>726</v>
      </c>
    </row>
    <row r="2881" spans="1:5" hidden="1" x14ac:dyDescent="0.3">
      <c r="A2881" t="s">
        <v>557</v>
      </c>
      <c r="B2881" t="s">
        <v>725</v>
      </c>
      <c r="C2881" t="s">
        <v>64</v>
      </c>
      <c r="D2881" s="230">
        <v>0</v>
      </c>
      <c r="E2881" t="s">
        <v>726</v>
      </c>
    </row>
    <row r="2882" spans="1:5" hidden="1" x14ac:dyDescent="0.3">
      <c r="A2882" t="s">
        <v>557</v>
      </c>
      <c r="B2882" t="s">
        <v>725</v>
      </c>
      <c r="C2882" t="s">
        <v>65</v>
      </c>
      <c r="D2882" s="230">
        <v>-2000</v>
      </c>
      <c r="E2882" t="s">
        <v>726</v>
      </c>
    </row>
    <row r="2883" spans="1:5" hidden="1" x14ac:dyDescent="0.3">
      <c r="A2883" t="s">
        <v>557</v>
      </c>
      <c r="B2883" t="s">
        <v>725</v>
      </c>
      <c r="C2883" t="s">
        <v>66</v>
      </c>
      <c r="D2883" s="230">
        <v>-2000</v>
      </c>
      <c r="E2883" t="s">
        <v>726</v>
      </c>
    </row>
    <row r="2884" spans="1:5" hidden="1" x14ac:dyDescent="0.3">
      <c r="A2884" t="s">
        <v>557</v>
      </c>
      <c r="B2884" t="s">
        <v>725</v>
      </c>
      <c r="C2884" t="s">
        <v>68</v>
      </c>
      <c r="D2884" s="230">
        <v>0</v>
      </c>
      <c r="E2884" t="s">
        <v>726</v>
      </c>
    </row>
    <row r="2885" spans="1:5" hidden="1" x14ac:dyDescent="0.3">
      <c r="A2885" t="s">
        <v>557</v>
      </c>
      <c r="B2885" t="s">
        <v>725</v>
      </c>
      <c r="C2885" t="s">
        <v>69</v>
      </c>
      <c r="D2885" s="230">
        <v>0</v>
      </c>
      <c r="E2885" t="s">
        <v>726</v>
      </c>
    </row>
    <row r="2886" spans="1:5" hidden="1" x14ac:dyDescent="0.3">
      <c r="A2886" t="s">
        <v>557</v>
      </c>
      <c r="B2886" t="s">
        <v>725</v>
      </c>
      <c r="C2886" t="s">
        <v>70</v>
      </c>
      <c r="D2886" s="230">
        <v>-1.5</v>
      </c>
      <c r="E2886" t="s">
        <v>726</v>
      </c>
    </row>
    <row r="2887" spans="1:5" hidden="1" x14ac:dyDescent="0.3">
      <c r="A2887" t="s">
        <v>557</v>
      </c>
      <c r="B2887" t="s">
        <v>725</v>
      </c>
      <c r="C2887" t="s">
        <v>44</v>
      </c>
      <c r="D2887" s="230">
        <v>-0.02</v>
      </c>
      <c r="E2887" t="s">
        <v>726</v>
      </c>
    </row>
    <row r="2888" spans="1:5" hidden="1" x14ac:dyDescent="0.3">
      <c r="A2888" t="s">
        <v>557</v>
      </c>
      <c r="B2888" t="s">
        <v>725</v>
      </c>
      <c r="C2888" t="s">
        <v>71</v>
      </c>
      <c r="D2888" s="230">
        <v>0</v>
      </c>
      <c r="E2888" t="s">
        <v>726</v>
      </c>
    </row>
    <row r="2889" spans="1:5" hidden="1" x14ac:dyDescent="0.3">
      <c r="A2889" t="s">
        <v>557</v>
      </c>
      <c r="B2889" t="s">
        <v>725</v>
      </c>
      <c r="C2889" t="s">
        <v>72</v>
      </c>
      <c r="D2889" s="230">
        <v>0</v>
      </c>
      <c r="E2889" t="s">
        <v>726</v>
      </c>
    </row>
    <row r="2890" spans="1:5" hidden="1" x14ac:dyDescent="0.3">
      <c r="A2890" t="s">
        <v>557</v>
      </c>
      <c r="B2890" t="s">
        <v>725</v>
      </c>
      <c r="C2890" t="s">
        <v>73</v>
      </c>
      <c r="D2890" s="230">
        <v>0</v>
      </c>
      <c r="E2890" t="s">
        <v>726</v>
      </c>
    </row>
    <row r="2891" spans="1:5" hidden="1" x14ac:dyDescent="0.3">
      <c r="A2891" t="s">
        <v>557</v>
      </c>
      <c r="B2891" t="s">
        <v>725</v>
      </c>
      <c r="C2891" t="s">
        <v>75</v>
      </c>
      <c r="D2891" s="230">
        <v>0</v>
      </c>
      <c r="E2891" t="s">
        <v>726</v>
      </c>
    </row>
    <row r="2892" spans="1:5" hidden="1" x14ac:dyDescent="0.3">
      <c r="A2892" t="s">
        <v>557</v>
      </c>
      <c r="B2892" t="s">
        <v>725</v>
      </c>
      <c r="C2892" t="s">
        <v>77</v>
      </c>
      <c r="D2892" s="230">
        <v>0</v>
      </c>
      <c r="E2892" t="s">
        <v>726</v>
      </c>
    </row>
    <row r="2893" spans="1:5" hidden="1" x14ac:dyDescent="0.3">
      <c r="A2893" t="s">
        <v>557</v>
      </c>
      <c r="B2893" t="s">
        <v>725</v>
      </c>
      <c r="C2893" t="s">
        <v>78</v>
      </c>
      <c r="D2893" s="230">
        <v>0</v>
      </c>
      <c r="E2893" t="s">
        <v>726</v>
      </c>
    </row>
    <row r="2894" spans="1:5" hidden="1" x14ac:dyDescent="0.3">
      <c r="A2894" t="s">
        <v>557</v>
      </c>
      <c r="B2894" t="s">
        <v>725</v>
      </c>
      <c r="C2894" t="s">
        <v>80</v>
      </c>
      <c r="D2894" s="230">
        <v>0</v>
      </c>
      <c r="E2894" t="s">
        <v>726</v>
      </c>
    </row>
    <row r="2895" spans="1:5" hidden="1" x14ac:dyDescent="0.3">
      <c r="A2895" t="s">
        <v>557</v>
      </c>
      <c r="B2895" t="s">
        <v>725</v>
      </c>
      <c r="C2895" t="s">
        <v>82</v>
      </c>
      <c r="D2895" s="230">
        <v>0</v>
      </c>
      <c r="E2895" t="s">
        <v>726</v>
      </c>
    </row>
    <row r="2896" spans="1:5" hidden="1" x14ac:dyDescent="0.3">
      <c r="A2896" t="s">
        <v>557</v>
      </c>
      <c r="B2896" t="s">
        <v>725</v>
      </c>
      <c r="C2896" t="s">
        <v>84</v>
      </c>
      <c r="D2896" s="230">
        <v>0</v>
      </c>
      <c r="E2896" t="s">
        <v>726</v>
      </c>
    </row>
    <row r="2897" spans="1:5" hidden="1" x14ac:dyDescent="0.3">
      <c r="A2897" t="s">
        <v>557</v>
      </c>
      <c r="B2897" t="s">
        <v>725</v>
      </c>
      <c r="C2897" t="s">
        <v>85</v>
      </c>
      <c r="D2897" s="230">
        <v>0</v>
      </c>
      <c r="E2897" t="s">
        <v>726</v>
      </c>
    </row>
    <row r="2898" spans="1:5" hidden="1" x14ac:dyDescent="0.3">
      <c r="A2898" t="s">
        <v>557</v>
      </c>
      <c r="B2898" t="s">
        <v>725</v>
      </c>
      <c r="C2898" t="s">
        <v>86</v>
      </c>
      <c r="D2898" s="230">
        <v>0</v>
      </c>
      <c r="E2898" t="s">
        <v>726</v>
      </c>
    </row>
    <row r="2899" spans="1:5" hidden="1" x14ac:dyDescent="0.3">
      <c r="A2899" t="s">
        <v>557</v>
      </c>
      <c r="B2899" t="s">
        <v>725</v>
      </c>
      <c r="C2899" t="s">
        <v>87</v>
      </c>
      <c r="D2899" s="230">
        <v>0</v>
      </c>
      <c r="E2899" t="s">
        <v>726</v>
      </c>
    </row>
    <row r="2900" spans="1:5" hidden="1" x14ac:dyDescent="0.3">
      <c r="A2900" t="s">
        <v>557</v>
      </c>
      <c r="B2900" t="s">
        <v>725</v>
      </c>
      <c r="C2900" t="s">
        <v>88</v>
      </c>
      <c r="D2900" s="230">
        <v>0</v>
      </c>
      <c r="E2900" t="s">
        <v>726</v>
      </c>
    </row>
    <row r="2901" spans="1:5" hidden="1" x14ac:dyDescent="0.3">
      <c r="A2901" t="s">
        <v>557</v>
      </c>
      <c r="B2901" t="s">
        <v>725</v>
      </c>
      <c r="C2901" t="s">
        <v>89</v>
      </c>
      <c r="D2901" s="230">
        <v>0</v>
      </c>
      <c r="E2901" t="s">
        <v>726</v>
      </c>
    </row>
    <row r="2902" spans="1:5" hidden="1" x14ac:dyDescent="0.3">
      <c r="A2902" t="s">
        <v>557</v>
      </c>
      <c r="B2902" t="s">
        <v>725</v>
      </c>
      <c r="C2902" t="s">
        <v>90</v>
      </c>
      <c r="D2902" s="230">
        <v>0</v>
      </c>
      <c r="E2902" t="s">
        <v>726</v>
      </c>
    </row>
    <row r="2903" spans="1:5" hidden="1" x14ac:dyDescent="0.3">
      <c r="A2903" t="s">
        <v>557</v>
      </c>
      <c r="B2903" t="s">
        <v>725</v>
      </c>
      <c r="C2903" t="s">
        <v>91</v>
      </c>
      <c r="D2903" s="230">
        <v>0</v>
      </c>
      <c r="E2903" t="s">
        <v>726</v>
      </c>
    </row>
    <row r="2904" spans="1:5" hidden="1" x14ac:dyDescent="0.3">
      <c r="A2904" t="s">
        <v>557</v>
      </c>
      <c r="B2904" t="s">
        <v>725</v>
      </c>
      <c r="C2904" t="s">
        <v>93</v>
      </c>
      <c r="D2904" s="230">
        <v>0</v>
      </c>
      <c r="E2904" t="s">
        <v>726</v>
      </c>
    </row>
    <row r="2905" spans="1:5" hidden="1" x14ac:dyDescent="0.3">
      <c r="A2905" t="s">
        <v>557</v>
      </c>
      <c r="B2905" t="s">
        <v>725</v>
      </c>
      <c r="C2905" t="s">
        <v>95</v>
      </c>
      <c r="D2905" s="230">
        <v>0</v>
      </c>
      <c r="E2905" t="s">
        <v>726</v>
      </c>
    </row>
    <row r="2906" spans="1:5" hidden="1" x14ac:dyDescent="0.3">
      <c r="A2906" t="s">
        <v>557</v>
      </c>
      <c r="B2906" t="s">
        <v>725</v>
      </c>
      <c r="C2906" t="s">
        <v>96</v>
      </c>
      <c r="D2906" s="230">
        <v>0</v>
      </c>
      <c r="E2906" t="s">
        <v>726</v>
      </c>
    </row>
    <row r="2907" spans="1:5" hidden="1" x14ac:dyDescent="0.3">
      <c r="A2907" t="s">
        <v>557</v>
      </c>
      <c r="B2907" t="s">
        <v>725</v>
      </c>
      <c r="C2907" t="s">
        <v>98</v>
      </c>
      <c r="D2907" s="230">
        <v>0</v>
      </c>
      <c r="E2907" t="s">
        <v>726</v>
      </c>
    </row>
    <row r="2908" spans="1:5" hidden="1" x14ac:dyDescent="0.3">
      <c r="A2908" t="s">
        <v>557</v>
      </c>
      <c r="B2908" t="s">
        <v>725</v>
      </c>
      <c r="C2908" t="s">
        <v>100</v>
      </c>
      <c r="D2908" s="230">
        <v>0</v>
      </c>
      <c r="E2908" t="s">
        <v>726</v>
      </c>
    </row>
    <row r="2909" spans="1:5" hidden="1" x14ac:dyDescent="0.3">
      <c r="A2909" t="s">
        <v>557</v>
      </c>
      <c r="B2909" t="s">
        <v>725</v>
      </c>
      <c r="C2909" t="s">
        <v>101</v>
      </c>
      <c r="D2909" s="230">
        <v>0</v>
      </c>
      <c r="E2909" t="s">
        <v>726</v>
      </c>
    </row>
    <row r="2910" spans="1:5" hidden="1" x14ac:dyDescent="0.3">
      <c r="A2910" t="s">
        <v>557</v>
      </c>
      <c r="B2910" t="s">
        <v>725</v>
      </c>
      <c r="C2910" t="s">
        <v>102</v>
      </c>
      <c r="D2910" s="230">
        <v>0</v>
      </c>
      <c r="E2910" t="s">
        <v>726</v>
      </c>
    </row>
    <row r="2911" spans="1:5" hidden="1" x14ac:dyDescent="0.3">
      <c r="A2911" t="s">
        <v>557</v>
      </c>
      <c r="B2911" t="s">
        <v>725</v>
      </c>
      <c r="C2911" t="s">
        <v>103</v>
      </c>
      <c r="D2911" s="230">
        <v>0</v>
      </c>
      <c r="E2911" t="s">
        <v>726</v>
      </c>
    </row>
    <row r="2912" spans="1:5" hidden="1" x14ac:dyDescent="0.3">
      <c r="A2912" t="s">
        <v>557</v>
      </c>
      <c r="B2912" t="s">
        <v>725</v>
      </c>
      <c r="C2912" t="s">
        <v>104</v>
      </c>
      <c r="D2912" s="230">
        <v>0</v>
      </c>
      <c r="E2912" t="s">
        <v>726</v>
      </c>
    </row>
    <row r="2913" spans="1:5" hidden="1" x14ac:dyDescent="0.3">
      <c r="A2913" t="s">
        <v>557</v>
      </c>
      <c r="B2913" t="s">
        <v>725</v>
      </c>
      <c r="C2913" t="s">
        <v>105</v>
      </c>
      <c r="D2913" s="230">
        <v>0</v>
      </c>
      <c r="E2913" t="s">
        <v>726</v>
      </c>
    </row>
    <row r="2914" spans="1:5" hidden="1" x14ac:dyDescent="0.3">
      <c r="A2914" t="s">
        <v>557</v>
      </c>
      <c r="B2914" t="s">
        <v>725</v>
      </c>
      <c r="C2914" t="s">
        <v>107</v>
      </c>
      <c r="D2914" s="230">
        <v>0</v>
      </c>
      <c r="E2914" t="s">
        <v>726</v>
      </c>
    </row>
    <row r="2915" spans="1:5" hidden="1" x14ac:dyDescent="0.3">
      <c r="A2915" t="s">
        <v>557</v>
      </c>
      <c r="B2915" t="s">
        <v>725</v>
      </c>
      <c r="C2915" t="s">
        <v>108</v>
      </c>
      <c r="D2915" s="230">
        <v>0</v>
      </c>
      <c r="E2915" t="s">
        <v>726</v>
      </c>
    </row>
    <row r="2916" spans="1:5" hidden="1" x14ac:dyDescent="0.3">
      <c r="A2916" t="s">
        <v>557</v>
      </c>
      <c r="B2916" t="s">
        <v>725</v>
      </c>
      <c r="C2916" t="s">
        <v>109</v>
      </c>
      <c r="D2916" s="230">
        <v>0</v>
      </c>
      <c r="E2916" t="s">
        <v>726</v>
      </c>
    </row>
    <row r="2917" spans="1:5" hidden="1" x14ac:dyDescent="0.3">
      <c r="A2917" t="s">
        <v>557</v>
      </c>
      <c r="B2917" t="s">
        <v>725</v>
      </c>
      <c r="C2917" t="s">
        <v>110</v>
      </c>
      <c r="D2917" s="230">
        <v>0</v>
      </c>
      <c r="E2917" t="s">
        <v>726</v>
      </c>
    </row>
    <row r="2918" spans="1:5" hidden="1" x14ac:dyDescent="0.3">
      <c r="A2918" t="s">
        <v>557</v>
      </c>
      <c r="B2918" t="s">
        <v>725</v>
      </c>
      <c r="C2918" t="s">
        <v>44</v>
      </c>
      <c r="D2918" s="230">
        <v>0</v>
      </c>
      <c r="E2918" t="s">
        <v>726</v>
      </c>
    </row>
    <row r="2919" spans="1:5" hidden="1" x14ac:dyDescent="0.3">
      <c r="A2919" t="s">
        <v>557</v>
      </c>
      <c r="B2919" t="s">
        <v>725</v>
      </c>
      <c r="C2919" t="s">
        <v>111</v>
      </c>
      <c r="D2919" s="230">
        <v>-31398.58</v>
      </c>
      <c r="E2919" t="s">
        <v>726</v>
      </c>
    </row>
    <row r="2920" spans="1:5" hidden="1" x14ac:dyDescent="0.3">
      <c r="A2920" t="s">
        <v>557</v>
      </c>
      <c r="B2920" t="s">
        <v>725</v>
      </c>
      <c r="C2920" t="s">
        <v>608</v>
      </c>
      <c r="D2920" s="230">
        <v>-31398.58</v>
      </c>
      <c r="E2920" t="s">
        <v>726</v>
      </c>
    </row>
    <row r="2921" spans="1:5" hidden="1" x14ac:dyDescent="0.3">
      <c r="A2921" t="s">
        <v>557</v>
      </c>
      <c r="B2921" t="s">
        <v>725</v>
      </c>
      <c r="C2921" t="s">
        <v>44</v>
      </c>
      <c r="D2921" s="230">
        <v>-7.0000000000000007E-2</v>
      </c>
      <c r="E2921" t="s">
        <v>726</v>
      </c>
    </row>
    <row r="2922" spans="1:5" hidden="1" x14ac:dyDescent="0.3">
      <c r="A2922" t="s">
        <v>557</v>
      </c>
      <c r="B2922" t="s">
        <v>725</v>
      </c>
      <c r="C2922" t="s">
        <v>115</v>
      </c>
      <c r="D2922" s="230">
        <v>-5656.84</v>
      </c>
      <c r="E2922" t="s">
        <v>726</v>
      </c>
    </row>
    <row r="2923" spans="1:5" hidden="1" x14ac:dyDescent="0.3">
      <c r="A2923" t="s">
        <v>557</v>
      </c>
      <c r="B2923" t="s">
        <v>725</v>
      </c>
      <c r="C2923" t="s">
        <v>116</v>
      </c>
      <c r="D2923" s="230">
        <v>-5089.42</v>
      </c>
      <c r="E2923" t="s">
        <v>726</v>
      </c>
    </row>
    <row r="2924" spans="1:5" hidden="1" x14ac:dyDescent="0.3">
      <c r="A2924" t="s">
        <v>557</v>
      </c>
      <c r="B2924" t="s">
        <v>725</v>
      </c>
      <c r="C2924" t="s">
        <v>118</v>
      </c>
      <c r="D2924" s="230">
        <v>0</v>
      </c>
      <c r="E2924" t="s">
        <v>726</v>
      </c>
    </row>
    <row r="2925" spans="1:5" hidden="1" x14ac:dyDescent="0.3">
      <c r="A2925" t="s">
        <v>557</v>
      </c>
      <c r="B2925" t="s">
        <v>725</v>
      </c>
      <c r="C2925" t="s">
        <v>120</v>
      </c>
      <c r="D2925" s="230">
        <v>0</v>
      </c>
      <c r="E2925" t="s">
        <v>726</v>
      </c>
    </row>
    <row r="2926" spans="1:5" hidden="1" x14ac:dyDescent="0.3">
      <c r="A2926" t="s">
        <v>557</v>
      </c>
      <c r="B2926" t="s">
        <v>725</v>
      </c>
      <c r="C2926" t="s">
        <v>122</v>
      </c>
      <c r="D2926" s="230">
        <v>-567.41999999999996</v>
      </c>
      <c r="E2926" t="s">
        <v>726</v>
      </c>
    </row>
    <row r="2927" spans="1:5" hidden="1" x14ac:dyDescent="0.3">
      <c r="A2927" t="s">
        <v>557</v>
      </c>
      <c r="B2927" t="s">
        <v>725</v>
      </c>
      <c r="C2927" t="s">
        <v>44</v>
      </c>
      <c r="D2927" s="230">
        <v>-0.01</v>
      </c>
      <c r="E2927" t="s">
        <v>726</v>
      </c>
    </row>
    <row r="2928" spans="1:5" hidden="1" x14ac:dyDescent="0.3">
      <c r="A2928" t="s">
        <v>557</v>
      </c>
      <c r="B2928" t="s">
        <v>725</v>
      </c>
      <c r="C2928" t="s">
        <v>126</v>
      </c>
      <c r="D2928" s="230">
        <v>223008.54</v>
      </c>
      <c r="E2928" t="s">
        <v>726</v>
      </c>
    </row>
    <row r="2929" spans="1:5" hidden="1" x14ac:dyDescent="0.3">
      <c r="A2929" t="s">
        <v>557</v>
      </c>
      <c r="B2929" t="s">
        <v>725</v>
      </c>
      <c r="C2929" t="s">
        <v>127</v>
      </c>
      <c r="D2929" s="230">
        <v>0.53</v>
      </c>
      <c r="E2929" t="s">
        <v>726</v>
      </c>
    </row>
    <row r="2930" spans="1:5" hidden="1" x14ac:dyDescent="0.3">
      <c r="A2930" t="s">
        <v>557</v>
      </c>
      <c r="B2930" t="s">
        <v>725</v>
      </c>
      <c r="C2930" t="s">
        <v>128</v>
      </c>
      <c r="D2930" s="230">
        <v>-121420.45</v>
      </c>
      <c r="E2930" t="s">
        <v>726</v>
      </c>
    </row>
    <row r="2931" spans="1:5" hidden="1" x14ac:dyDescent="0.3">
      <c r="A2931" t="s">
        <v>557</v>
      </c>
      <c r="B2931" t="s">
        <v>725</v>
      </c>
      <c r="C2931" t="s">
        <v>129</v>
      </c>
      <c r="D2931" s="230">
        <v>-37900</v>
      </c>
      <c r="E2931" t="s">
        <v>726</v>
      </c>
    </row>
    <row r="2932" spans="1:5" hidden="1" x14ac:dyDescent="0.3">
      <c r="A2932" t="s">
        <v>557</v>
      </c>
      <c r="B2932" t="s">
        <v>725</v>
      </c>
      <c r="C2932" t="s">
        <v>609</v>
      </c>
      <c r="D2932" s="230">
        <v>-4600</v>
      </c>
      <c r="E2932" t="s">
        <v>726</v>
      </c>
    </row>
    <row r="2933" spans="1:5" hidden="1" x14ac:dyDescent="0.3">
      <c r="A2933" t="s">
        <v>557</v>
      </c>
      <c r="B2933" t="s">
        <v>725</v>
      </c>
      <c r="C2933" t="s">
        <v>610</v>
      </c>
      <c r="D2933" s="230">
        <v>-17600</v>
      </c>
      <c r="E2933" t="s">
        <v>726</v>
      </c>
    </row>
    <row r="2934" spans="1:5" hidden="1" x14ac:dyDescent="0.3">
      <c r="A2934" t="s">
        <v>557</v>
      </c>
      <c r="B2934" t="s">
        <v>725</v>
      </c>
      <c r="C2934" t="s">
        <v>611</v>
      </c>
      <c r="D2934" s="230">
        <v>0</v>
      </c>
      <c r="E2934" t="s">
        <v>726</v>
      </c>
    </row>
    <row r="2935" spans="1:5" hidden="1" x14ac:dyDescent="0.3">
      <c r="A2935" t="s">
        <v>557</v>
      </c>
      <c r="B2935" t="s">
        <v>725</v>
      </c>
      <c r="C2935" t="s">
        <v>612</v>
      </c>
      <c r="D2935" s="230">
        <v>-4000</v>
      </c>
      <c r="E2935" t="s">
        <v>726</v>
      </c>
    </row>
    <row r="2936" spans="1:5" hidden="1" x14ac:dyDescent="0.3">
      <c r="A2936" t="s">
        <v>557</v>
      </c>
      <c r="B2936" t="s">
        <v>725</v>
      </c>
      <c r="C2936" t="s">
        <v>613</v>
      </c>
      <c r="D2936" s="230">
        <v>-1200</v>
      </c>
      <c r="E2936" t="s">
        <v>726</v>
      </c>
    </row>
    <row r="2937" spans="1:5" hidden="1" x14ac:dyDescent="0.3">
      <c r="A2937" t="s">
        <v>557</v>
      </c>
      <c r="B2937" t="s">
        <v>725</v>
      </c>
      <c r="C2937" t="s">
        <v>614</v>
      </c>
      <c r="D2937" s="230">
        <v>-6500</v>
      </c>
      <c r="E2937" t="s">
        <v>726</v>
      </c>
    </row>
    <row r="2938" spans="1:5" hidden="1" x14ac:dyDescent="0.3">
      <c r="A2938" t="s">
        <v>557</v>
      </c>
      <c r="B2938" t="s">
        <v>725</v>
      </c>
      <c r="C2938" t="s">
        <v>615</v>
      </c>
      <c r="D2938" s="230">
        <v>0</v>
      </c>
      <c r="E2938" t="s">
        <v>726</v>
      </c>
    </row>
    <row r="2939" spans="1:5" hidden="1" x14ac:dyDescent="0.3">
      <c r="A2939" t="s">
        <v>557</v>
      </c>
      <c r="B2939" t="s">
        <v>725</v>
      </c>
      <c r="C2939" t="s">
        <v>616</v>
      </c>
      <c r="D2939" s="230">
        <v>-4000</v>
      </c>
      <c r="E2939" t="s">
        <v>726</v>
      </c>
    </row>
    <row r="2940" spans="1:5" hidden="1" x14ac:dyDescent="0.3">
      <c r="A2940" t="s">
        <v>557</v>
      </c>
      <c r="B2940" t="s">
        <v>725</v>
      </c>
      <c r="C2940" t="s">
        <v>617</v>
      </c>
      <c r="D2940" s="230">
        <v>0</v>
      </c>
      <c r="E2940" t="s">
        <v>726</v>
      </c>
    </row>
    <row r="2941" spans="1:5" hidden="1" x14ac:dyDescent="0.3">
      <c r="A2941" t="s">
        <v>557</v>
      </c>
      <c r="B2941" t="s">
        <v>725</v>
      </c>
      <c r="C2941" t="s">
        <v>618</v>
      </c>
      <c r="D2941" s="230">
        <v>0</v>
      </c>
      <c r="E2941" t="s">
        <v>726</v>
      </c>
    </row>
    <row r="2942" spans="1:5" hidden="1" x14ac:dyDescent="0.3">
      <c r="A2942" t="s">
        <v>557</v>
      </c>
      <c r="B2942" t="s">
        <v>725</v>
      </c>
      <c r="C2942" t="s">
        <v>619</v>
      </c>
      <c r="D2942" s="230">
        <v>0</v>
      </c>
      <c r="E2942" t="s">
        <v>726</v>
      </c>
    </row>
    <row r="2943" spans="1:5" hidden="1" x14ac:dyDescent="0.3">
      <c r="A2943" t="s">
        <v>557</v>
      </c>
      <c r="B2943" t="s">
        <v>725</v>
      </c>
      <c r="C2943" t="s">
        <v>620</v>
      </c>
      <c r="D2943" s="230">
        <v>0</v>
      </c>
      <c r="E2943" t="s">
        <v>726</v>
      </c>
    </row>
    <row r="2944" spans="1:5" hidden="1" x14ac:dyDescent="0.3">
      <c r="A2944" t="s">
        <v>557</v>
      </c>
      <c r="B2944" t="s">
        <v>725</v>
      </c>
      <c r="C2944" t="s">
        <v>575</v>
      </c>
      <c r="D2944" s="230">
        <v>-33382.18</v>
      </c>
      <c r="E2944" t="s">
        <v>726</v>
      </c>
    </row>
    <row r="2945" spans="1:5" hidden="1" x14ac:dyDescent="0.3">
      <c r="A2945" t="s">
        <v>557</v>
      </c>
      <c r="B2945" t="s">
        <v>725</v>
      </c>
      <c r="C2945" t="s">
        <v>621</v>
      </c>
      <c r="D2945" s="230">
        <v>0</v>
      </c>
      <c r="E2945" t="s">
        <v>726</v>
      </c>
    </row>
    <row r="2946" spans="1:5" hidden="1" x14ac:dyDescent="0.3">
      <c r="A2946" t="s">
        <v>557</v>
      </c>
      <c r="B2946" t="s">
        <v>725</v>
      </c>
      <c r="C2946" t="s">
        <v>622</v>
      </c>
      <c r="D2946" s="230">
        <v>0</v>
      </c>
      <c r="E2946" t="s">
        <v>726</v>
      </c>
    </row>
    <row r="2947" spans="1:5" hidden="1" x14ac:dyDescent="0.3">
      <c r="A2947" t="s">
        <v>557</v>
      </c>
      <c r="B2947" t="s">
        <v>725</v>
      </c>
      <c r="C2947" t="s">
        <v>623</v>
      </c>
      <c r="D2947" s="230">
        <v>0</v>
      </c>
      <c r="E2947" t="s">
        <v>726</v>
      </c>
    </row>
    <row r="2948" spans="1:5" hidden="1" x14ac:dyDescent="0.3">
      <c r="A2948" t="s">
        <v>557</v>
      </c>
      <c r="B2948" t="s">
        <v>725</v>
      </c>
      <c r="C2948" t="s">
        <v>624</v>
      </c>
      <c r="D2948" s="230">
        <v>0</v>
      </c>
      <c r="E2948" t="s">
        <v>726</v>
      </c>
    </row>
    <row r="2949" spans="1:5" hidden="1" x14ac:dyDescent="0.3">
      <c r="A2949" t="s">
        <v>557</v>
      </c>
      <c r="B2949" t="s">
        <v>725</v>
      </c>
      <c r="C2949" t="s">
        <v>625</v>
      </c>
      <c r="D2949" s="230">
        <v>0</v>
      </c>
      <c r="E2949" t="s">
        <v>726</v>
      </c>
    </row>
    <row r="2950" spans="1:5" hidden="1" x14ac:dyDescent="0.3">
      <c r="A2950" t="s">
        <v>557</v>
      </c>
      <c r="B2950" t="s">
        <v>725</v>
      </c>
      <c r="C2950" t="s">
        <v>626</v>
      </c>
      <c r="D2950" s="230">
        <v>0</v>
      </c>
      <c r="E2950" t="s">
        <v>726</v>
      </c>
    </row>
    <row r="2951" spans="1:5" hidden="1" x14ac:dyDescent="0.3">
      <c r="A2951" t="s">
        <v>557</v>
      </c>
      <c r="B2951" t="s">
        <v>725</v>
      </c>
      <c r="C2951" t="s">
        <v>627</v>
      </c>
      <c r="D2951" s="230">
        <v>0</v>
      </c>
      <c r="E2951" t="s">
        <v>726</v>
      </c>
    </row>
    <row r="2952" spans="1:5" hidden="1" x14ac:dyDescent="0.3">
      <c r="A2952" t="s">
        <v>557</v>
      </c>
      <c r="B2952" t="s">
        <v>725</v>
      </c>
      <c r="C2952" t="s">
        <v>628</v>
      </c>
      <c r="D2952" s="230">
        <v>0</v>
      </c>
      <c r="E2952" t="s">
        <v>726</v>
      </c>
    </row>
    <row r="2953" spans="1:5" hidden="1" x14ac:dyDescent="0.3">
      <c r="A2953" t="s">
        <v>557</v>
      </c>
      <c r="B2953" t="s">
        <v>725</v>
      </c>
      <c r="C2953" t="s">
        <v>629</v>
      </c>
      <c r="D2953" s="230">
        <v>0</v>
      </c>
      <c r="E2953" t="s">
        <v>726</v>
      </c>
    </row>
    <row r="2954" spans="1:5" hidden="1" x14ac:dyDescent="0.3">
      <c r="A2954" t="s">
        <v>557</v>
      </c>
      <c r="B2954" t="s">
        <v>725</v>
      </c>
      <c r="C2954" t="s">
        <v>630</v>
      </c>
      <c r="D2954" s="230">
        <v>0</v>
      </c>
      <c r="E2954" t="s">
        <v>726</v>
      </c>
    </row>
    <row r="2955" spans="1:5" hidden="1" x14ac:dyDescent="0.3">
      <c r="A2955" t="s">
        <v>557</v>
      </c>
      <c r="B2955" t="s">
        <v>725</v>
      </c>
      <c r="C2955" t="s">
        <v>631</v>
      </c>
      <c r="D2955" s="230">
        <v>0</v>
      </c>
      <c r="E2955" t="s">
        <v>726</v>
      </c>
    </row>
    <row r="2956" spans="1:5" hidden="1" x14ac:dyDescent="0.3">
      <c r="A2956" t="s">
        <v>557</v>
      </c>
      <c r="B2956" t="s">
        <v>725</v>
      </c>
      <c r="C2956" t="s">
        <v>632</v>
      </c>
      <c r="D2956" s="230">
        <v>0</v>
      </c>
      <c r="E2956" t="s">
        <v>726</v>
      </c>
    </row>
    <row r="2957" spans="1:5" hidden="1" x14ac:dyDescent="0.3">
      <c r="A2957" t="s">
        <v>557</v>
      </c>
      <c r="B2957" t="s">
        <v>725</v>
      </c>
      <c r="C2957" t="s">
        <v>633</v>
      </c>
      <c r="D2957" s="230">
        <v>0</v>
      </c>
      <c r="E2957" t="s">
        <v>726</v>
      </c>
    </row>
    <row r="2958" spans="1:5" hidden="1" x14ac:dyDescent="0.3">
      <c r="A2958" t="s">
        <v>557</v>
      </c>
      <c r="B2958" t="s">
        <v>725</v>
      </c>
      <c r="C2958" t="s">
        <v>634</v>
      </c>
      <c r="D2958" s="230">
        <v>0</v>
      </c>
      <c r="E2958" t="s">
        <v>726</v>
      </c>
    </row>
    <row r="2959" spans="1:5" hidden="1" x14ac:dyDescent="0.3">
      <c r="A2959" t="s">
        <v>557</v>
      </c>
      <c r="B2959" t="s">
        <v>725</v>
      </c>
      <c r="C2959" t="s">
        <v>635</v>
      </c>
      <c r="D2959" s="230">
        <v>0</v>
      </c>
      <c r="E2959" t="s">
        <v>726</v>
      </c>
    </row>
    <row r="2960" spans="1:5" hidden="1" x14ac:dyDescent="0.3">
      <c r="A2960" t="s">
        <v>557</v>
      </c>
      <c r="B2960" t="s">
        <v>725</v>
      </c>
      <c r="C2960" t="s">
        <v>636</v>
      </c>
      <c r="D2960" s="230">
        <v>0</v>
      </c>
      <c r="E2960" t="s">
        <v>726</v>
      </c>
    </row>
    <row r="2961" spans="1:5" hidden="1" x14ac:dyDescent="0.3">
      <c r="A2961" t="s">
        <v>557</v>
      </c>
      <c r="B2961" t="s">
        <v>725</v>
      </c>
      <c r="C2961" t="s">
        <v>637</v>
      </c>
      <c r="D2961" s="230">
        <v>0</v>
      </c>
      <c r="E2961" t="s">
        <v>726</v>
      </c>
    </row>
    <row r="2962" spans="1:5" hidden="1" x14ac:dyDescent="0.3">
      <c r="A2962" t="s">
        <v>557</v>
      </c>
      <c r="B2962" t="s">
        <v>725</v>
      </c>
      <c r="C2962" t="s">
        <v>638</v>
      </c>
      <c r="D2962" s="230">
        <v>0</v>
      </c>
      <c r="E2962" t="s">
        <v>726</v>
      </c>
    </row>
    <row r="2963" spans="1:5" hidden="1" x14ac:dyDescent="0.3">
      <c r="A2963" t="s">
        <v>557</v>
      </c>
      <c r="B2963" t="s">
        <v>725</v>
      </c>
      <c r="C2963" t="s">
        <v>639</v>
      </c>
      <c r="D2963" s="230">
        <v>0</v>
      </c>
      <c r="E2963" t="s">
        <v>726</v>
      </c>
    </row>
    <row r="2964" spans="1:5" hidden="1" x14ac:dyDescent="0.3">
      <c r="A2964" t="s">
        <v>557</v>
      </c>
      <c r="B2964" t="s">
        <v>725</v>
      </c>
      <c r="C2964" t="s">
        <v>640</v>
      </c>
      <c r="D2964" s="230">
        <v>0</v>
      </c>
      <c r="E2964" t="s">
        <v>726</v>
      </c>
    </row>
    <row r="2965" spans="1:5" hidden="1" x14ac:dyDescent="0.3">
      <c r="A2965" t="s">
        <v>557</v>
      </c>
      <c r="B2965" t="s">
        <v>725</v>
      </c>
      <c r="C2965" t="s">
        <v>641</v>
      </c>
      <c r="D2965" s="230">
        <v>0</v>
      </c>
      <c r="E2965" t="s">
        <v>726</v>
      </c>
    </row>
    <row r="2966" spans="1:5" hidden="1" x14ac:dyDescent="0.3">
      <c r="A2966" t="s">
        <v>557</v>
      </c>
      <c r="B2966" t="s">
        <v>725</v>
      </c>
      <c r="C2966" t="s">
        <v>642</v>
      </c>
      <c r="D2966" s="230">
        <v>0</v>
      </c>
      <c r="E2966" t="s">
        <v>726</v>
      </c>
    </row>
    <row r="2967" spans="1:5" hidden="1" x14ac:dyDescent="0.3">
      <c r="A2967" t="s">
        <v>557</v>
      </c>
      <c r="B2967" t="s">
        <v>725</v>
      </c>
      <c r="C2967" t="s">
        <v>643</v>
      </c>
      <c r="D2967" s="230">
        <v>0</v>
      </c>
      <c r="E2967" t="s">
        <v>726</v>
      </c>
    </row>
    <row r="2968" spans="1:5" hidden="1" x14ac:dyDescent="0.3">
      <c r="A2968" t="s">
        <v>557</v>
      </c>
      <c r="B2968" t="s">
        <v>725</v>
      </c>
      <c r="C2968" t="s">
        <v>644</v>
      </c>
      <c r="D2968" s="230">
        <v>0</v>
      </c>
      <c r="E2968" t="s">
        <v>726</v>
      </c>
    </row>
    <row r="2969" spans="1:5" hidden="1" x14ac:dyDescent="0.3">
      <c r="A2969" t="s">
        <v>557</v>
      </c>
      <c r="B2969" t="s">
        <v>725</v>
      </c>
      <c r="C2969" t="s">
        <v>645</v>
      </c>
      <c r="D2969" s="230">
        <v>0</v>
      </c>
      <c r="E2969" t="s">
        <v>726</v>
      </c>
    </row>
    <row r="2970" spans="1:5" hidden="1" x14ac:dyDescent="0.3">
      <c r="A2970" t="s">
        <v>557</v>
      </c>
      <c r="B2970" t="s">
        <v>725</v>
      </c>
      <c r="C2970" t="s">
        <v>646</v>
      </c>
      <c r="D2970" s="230">
        <v>0</v>
      </c>
      <c r="E2970" t="s">
        <v>726</v>
      </c>
    </row>
    <row r="2971" spans="1:5" hidden="1" x14ac:dyDescent="0.3">
      <c r="A2971" t="s">
        <v>557</v>
      </c>
      <c r="B2971" t="s">
        <v>725</v>
      </c>
      <c r="C2971" t="s">
        <v>647</v>
      </c>
      <c r="D2971" s="230">
        <v>0</v>
      </c>
      <c r="E2971" t="s">
        <v>726</v>
      </c>
    </row>
    <row r="2972" spans="1:5" hidden="1" x14ac:dyDescent="0.3">
      <c r="A2972" t="s">
        <v>557</v>
      </c>
      <c r="B2972" t="s">
        <v>725</v>
      </c>
      <c r="C2972" t="s">
        <v>648</v>
      </c>
      <c r="D2972" s="230">
        <v>0</v>
      </c>
      <c r="E2972" t="s">
        <v>726</v>
      </c>
    </row>
    <row r="2973" spans="1:5" hidden="1" x14ac:dyDescent="0.3">
      <c r="A2973" t="s">
        <v>557</v>
      </c>
      <c r="B2973" t="s">
        <v>725</v>
      </c>
      <c r="C2973" t="s">
        <v>649</v>
      </c>
      <c r="D2973" s="230">
        <v>0</v>
      </c>
      <c r="E2973" t="s">
        <v>726</v>
      </c>
    </row>
    <row r="2974" spans="1:5" hidden="1" x14ac:dyDescent="0.3">
      <c r="A2974" t="s">
        <v>557</v>
      </c>
      <c r="B2974" t="s">
        <v>725</v>
      </c>
      <c r="C2974" t="s">
        <v>650</v>
      </c>
      <c r="D2974" s="230">
        <v>0</v>
      </c>
      <c r="E2974" t="s">
        <v>726</v>
      </c>
    </row>
    <row r="2975" spans="1:5" hidden="1" x14ac:dyDescent="0.3">
      <c r="A2975" t="s">
        <v>557</v>
      </c>
      <c r="B2975" t="s">
        <v>725</v>
      </c>
      <c r="C2975" t="s">
        <v>651</v>
      </c>
      <c r="D2975" s="230">
        <v>0</v>
      </c>
      <c r="E2975" t="s">
        <v>726</v>
      </c>
    </row>
    <row r="2976" spans="1:5" hidden="1" x14ac:dyDescent="0.3">
      <c r="A2976" t="s">
        <v>557</v>
      </c>
      <c r="B2976" t="s">
        <v>725</v>
      </c>
      <c r="C2976" t="s">
        <v>652</v>
      </c>
      <c r="D2976" s="230">
        <v>0</v>
      </c>
      <c r="E2976" t="s">
        <v>726</v>
      </c>
    </row>
    <row r="2977" spans="1:5" hidden="1" x14ac:dyDescent="0.3">
      <c r="A2977" t="s">
        <v>557</v>
      </c>
      <c r="B2977" t="s">
        <v>725</v>
      </c>
      <c r="C2977" t="s">
        <v>653</v>
      </c>
      <c r="D2977" s="230">
        <v>0</v>
      </c>
      <c r="E2977" t="s">
        <v>726</v>
      </c>
    </row>
    <row r="2978" spans="1:5" hidden="1" x14ac:dyDescent="0.3">
      <c r="A2978" t="s">
        <v>557</v>
      </c>
      <c r="B2978" t="s">
        <v>725</v>
      </c>
      <c r="C2978" t="s">
        <v>654</v>
      </c>
      <c r="D2978" s="230">
        <v>0</v>
      </c>
      <c r="E2978" t="s">
        <v>726</v>
      </c>
    </row>
    <row r="2979" spans="1:5" hidden="1" x14ac:dyDescent="0.3">
      <c r="A2979" t="s">
        <v>557</v>
      </c>
      <c r="B2979" t="s">
        <v>725</v>
      </c>
      <c r="C2979" t="s">
        <v>655</v>
      </c>
      <c r="D2979" s="230">
        <v>0</v>
      </c>
      <c r="E2979" t="s">
        <v>726</v>
      </c>
    </row>
    <row r="2980" spans="1:5" hidden="1" x14ac:dyDescent="0.3">
      <c r="A2980" t="s">
        <v>557</v>
      </c>
      <c r="B2980" t="s">
        <v>725</v>
      </c>
      <c r="C2980" t="s">
        <v>656</v>
      </c>
      <c r="D2980" s="230">
        <v>0</v>
      </c>
      <c r="E2980" t="s">
        <v>726</v>
      </c>
    </row>
    <row r="2981" spans="1:5" hidden="1" x14ac:dyDescent="0.3">
      <c r="A2981" t="s">
        <v>557</v>
      </c>
      <c r="B2981" t="s">
        <v>725</v>
      </c>
      <c r="C2981" t="s">
        <v>657</v>
      </c>
      <c r="D2981" s="230">
        <v>0</v>
      </c>
      <c r="E2981" t="s">
        <v>726</v>
      </c>
    </row>
    <row r="2982" spans="1:5" hidden="1" x14ac:dyDescent="0.3">
      <c r="A2982" t="s">
        <v>557</v>
      </c>
      <c r="B2982" t="s">
        <v>725</v>
      </c>
      <c r="C2982" t="s">
        <v>658</v>
      </c>
      <c r="D2982" s="230">
        <v>0</v>
      </c>
      <c r="E2982" t="s">
        <v>726</v>
      </c>
    </row>
    <row r="2983" spans="1:5" hidden="1" x14ac:dyDescent="0.3">
      <c r="A2983" t="s">
        <v>557</v>
      </c>
      <c r="B2983" t="s">
        <v>725</v>
      </c>
      <c r="C2983" t="s">
        <v>659</v>
      </c>
      <c r="D2983" s="230">
        <v>0</v>
      </c>
      <c r="E2983" t="s">
        <v>726</v>
      </c>
    </row>
    <row r="2984" spans="1:5" hidden="1" x14ac:dyDescent="0.3">
      <c r="A2984" t="s">
        <v>557</v>
      </c>
      <c r="B2984" t="s">
        <v>725</v>
      </c>
      <c r="C2984" t="s">
        <v>660</v>
      </c>
      <c r="D2984" s="230">
        <v>0</v>
      </c>
      <c r="E2984" t="s">
        <v>726</v>
      </c>
    </row>
    <row r="2985" spans="1:5" hidden="1" x14ac:dyDescent="0.3">
      <c r="A2985" t="s">
        <v>557</v>
      </c>
      <c r="B2985" t="s">
        <v>725</v>
      </c>
      <c r="C2985" t="s">
        <v>661</v>
      </c>
      <c r="D2985" s="230">
        <v>0</v>
      </c>
      <c r="E2985" t="s">
        <v>726</v>
      </c>
    </row>
    <row r="2986" spans="1:5" hidden="1" x14ac:dyDescent="0.3">
      <c r="A2986" t="s">
        <v>557</v>
      </c>
      <c r="B2986" t="s">
        <v>725</v>
      </c>
      <c r="C2986" t="s">
        <v>662</v>
      </c>
      <c r="D2986" s="230">
        <v>0</v>
      </c>
      <c r="E2986" t="s">
        <v>726</v>
      </c>
    </row>
    <row r="2987" spans="1:5" hidden="1" x14ac:dyDescent="0.3">
      <c r="A2987" t="s">
        <v>557</v>
      </c>
      <c r="B2987" t="s">
        <v>725</v>
      </c>
      <c r="C2987" t="s">
        <v>663</v>
      </c>
      <c r="D2987" s="230">
        <v>0</v>
      </c>
      <c r="E2987" t="s">
        <v>726</v>
      </c>
    </row>
    <row r="2988" spans="1:5" hidden="1" x14ac:dyDescent="0.3">
      <c r="A2988" t="s">
        <v>557</v>
      </c>
      <c r="B2988" t="s">
        <v>725</v>
      </c>
      <c r="C2988" t="s">
        <v>664</v>
      </c>
      <c r="D2988" s="230">
        <v>0</v>
      </c>
      <c r="E2988" t="s">
        <v>726</v>
      </c>
    </row>
    <row r="2989" spans="1:5" hidden="1" x14ac:dyDescent="0.3">
      <c r="A2989" t="s">
        <v>557</v>
      </c>
      <c r="B2989" t="s">
        <v>725</v>
      </c>
      <c r="C2989" t="s">
        <v>665</v>
      </c>
      <c r="D2989" s="230">
        <v>0</v>
      </c>
      <c r="E2989" t="s">
        <v>726</v>
      </c>
    </row>
    <row r="2990" spans="1:5" hidden="1" x14ac:dyDescent="0.3">
      <c r="A2990" t="s">
        <v>557</v>
      </c>
      <c r="B2990" t="s">
        <v>725</v>
      </c>
      <c r="C2990" t="s">
        <v>666</v>
      </c>
      <c r="D2990" s="230">
        <v>0</v>
      </c>
      <c r="E2990" t="s">
        <v>726</v>
      </c>
    </row>
    <row r="2991" spans="1:5" hidden="1" x14ac:dyDescent="0.3">
      <c r="A2991" t="s">
        <v>557</v>
      </c>
      <c r="B2991" t="s">
        <v>725</v>
      </c>
      <c r="C2991" t="s">
        <v>667</v>
      </c>
      <c r="D2991" s="230">
        <v>0</v>
      </c>
      <c r="E2991" t="s">
        <v>726</v>
      </c>
    </row>
    <row r="2992" spans="1:5" hidden="1" x14ac:dyDescent="0.3">
      <c r="A2992" t="s">
        <v>557</v>
      </c>
      <c r="B2992" t="s">
        <v>725</v>
      </c>
      <c r="C2992" t="s">
        <v>668</v>
      </c>
      <c r="D2992" s="230">
        <v>0</v>
      </c>
      <c r="E2992" t="s">
        <v>726</v>
      </c>
    </row>
    <row r="2993" spans="1:5" hidden="1" x14ac:dyDescent="0.3">
      <c r="A2993" t="s">
        <v>557</v>
      </c>
      <c r="B2993" t="s">
        <v>725</v>
      </c>
      <c r="C2993" t="s">
        <v>669</v>
      </c>
      <c r="D2993" s="230">
        <v>0</v>
      </c>
      <c r="E2993" t="s">
        <v>726</v>
      </c>
    </row>
    <row r="2994" spans="1:5" hidden="1" x14ac:dyDescent="0.3">
      <c r="A2994" t="s">
        <v>557</v>
      </c>
      <c r="B2994" t="s">
        <v>725</v>
      </c>
      <c r="C2994" t="s">
        <v>670</v>
      </c>
      <c r="D2994" s="230">
        <v>0</v>
      </c>
      <c r="E2994" t="s">
        <v>726</v>
      </c>
    </row>
    <row r="2995" spans="1:5" hidden="1" x14ac:dyDescent="0.3">
      <c r="A2995" t="s">
        <v>557</v>
      </c>
      <c r="B2995" t="s">
        <v>725</v>
      </c>
      <c r="C2995" t="s">
        <v>671</v>
      </c>
      <c r="D2995" s="230">
        <v>0</v>
      </c>
      <c r="E2995" t="s">
        <v>726</v>
      </c>
    </row>
    <row r="2996" spans="1:5" hidden="1" x14ac:dyDescent="0.3">
      <c r="A2996" t="s">
        <v>557</v>
      </c>
      <c r="B2996" t="s">
        <v>725</v>
      </c>
      <c r="C2996" t="s">
        <v>672</v>
      </c>
      <c r="D2996" s="230">
        <v>0</v>
      </c>
      <c r="E2996" t="s">
        <v>726</v>
      </c>
    </row>
    <row r="2997" spans="1:5" hidden="1" x14ac:dyDescent="0.3">
      <c r="A2997" t="s">
        <v>557</v>
      </c>
      <c r="B2997" t="s">
        <v>725</v>
      </c>
      <c r="C2997" t="s">
        <v>673</v>
      </c>
      <c r="D2997" s="230">
        <v>0</v>
      </c>
      <c r="E2997" t="s">
        <v>726</v>
      </c>
    </row>
    <row r="2998" spans="1:5" hidden="1" x14ac:dyDescent="0.3">
      <c r="A2998" t="s">
        <v>557</v>
      </c>
      <c r="B2998" t="s">
        <v>725</v>
      </c>
      <c r="C2998" t="s">
        <v>674</v>
      </c>
      <c r="D2998" s="230">
        <v>0</v>
      </c>
      <c r="E2998" t="s">
        <v>726</v>
      </c>
    </row>
    <row r="2999" spans="1:5" hidden="1" x14ac:dyDescent="0.3">
      <c r="A2999" t="s">
        <v>557</v>
      </c>
      <c r="B2999" t="s">
        <v>725</v>
      </c>
      <c r="C2999" t="s">
        <v>675</v>
      </c>
      <c r="D2999" s="230">
        <v>0</v>
      </c>
      <c r="E2999" t="s">
        <v>726</v>
      </c>
    </row>
    <row r="3000" spans="1:5" hidden="1" x14ac:dyDescent="0.3">
      <c r="A3000" t="s">
        <v>557</v>
      </c>
      <c r="B3000" t="s">
        <v>725</v>
      </c>
      <c r="C3000" t="s">
        <v>676</v>
      </c>
      <c r="D3000" s="230">
        <v>0</v>
      </c>
      <c r="E3000" t="s">
        <v>726</v>
      </c>
    </row>
    <row r="3001" spans="1:5" hidden="1" x14ac:dyDescent="0.3">
      <c r="A3001" t="s">
        <v>557</v>
      </c>
      <c r="B3001" t="s">
        <v>725</v>
      </c>
      <c r="C3001" t="s">
        <v>677</v>
      </c>
      <c r="D3001" s="230">
        <v>0</v>
      </c>
      <c r="E3001" t="s">
        <v>726</v>
      </c>
    </row>
    <row r="3002" spans="1:5" hidden="1" x14ac:dyDescent="0.3">
      <c r="A3002" t="s">
        <v>557</v>
      </c>
      <c r="B3002" t="s">
        <v>725</v>
      </c>
      <c r="C3002" t="s">
        <v>201</v>
      </c>
      <c r="D3002" s="230">
        <v>-12049.88</v>
      </c>
      <c r="E3002" t="s">
        <v>726</v>
      </c>
    </row>
    <row r="3003" spans="1:5" hidden="1" x14ac:dyDescent="0.3">
      <c r="A3003" t="s">
        <v>557</v>
      </c>
      <c r="B3003" t="s">
        <v>725</v>
      </c>
      <c r="C3003" t="s">
        <v>203</v>
      </c>
      <c r="D3003" s="230">
        <v>-12049.88</v>
      </c>
      <c r="E3003" t="s">
        <v>726</v>
      </c>
    </row>
    <row r="3004" spans="1:5" hidden="1" x14ac:dyDescent="0.3">
      <c r="A3004" t="s">
        <v>557</v>
      </c>
      <c r="B3004" t="s">
        <v>725</v>
      </c>
      <c r="C3004" t="s">
        <v>678</v>
      </c>
      <c r="D3004" s="230">
        <v>6024.94</v>
      </c>
      <c r="E3004" t="s">
        <v>726</v>
      </c>
    </row>
    <row r="3005" spans="1:5" hidden="1" x14ac:dyDescent="0.3">
      <c r="A3005" t="s">
        <v>557</v>
      </c>
      <c r="B3005" t="s">
        <v>725</v>
      </c>
      <c r="C3005" t="s">
        <v>205</v>
      </c>
      <c r="D3005" s="230">
        <v>-21649.16</v>
      </c>
      <c r="E3005" t="s">
        <v>726</v>
      </c>
    </row>
    <row r="3006" spans="1:5" hidden="1" x14ac:dyDescent="0.3">
      <c r="A3006" t="s">
        <v>557</v>
      </c>
      <c r="B3006" t="s">
        <v>725</v>
      </c>
      <c r="C3006" t="s">
        <v>679</v>
      </c>
      <c r="D3006" s="230">
        <v>-2291.2199999999998</v>
      </c>
      <c r="E3006" t="s">
        <v>726</v>
      </c>
    </row>
    <row r="3007" spans="1:5" hidden="1" x14ac:dyDescent="0.3">
      <c r="A3007" t="s">
        <v>557</v>
      </c>
      <c r="B3007" t="s">
        <v>725</v>
      </c>
      <c r="C3007" t="s">
        <v>680</v>
      </c>
      <c r="D3007" s="230">
        <v>0</v>
      </c>
      <c r="E3007" t="s">
        <v>726</v>
      </c>
    </row>
    <row r="3008" spans="1:5" hidden="1" x14ac:dyDescent="0.3">
      <c r="A3008" t="s">
        <v>557</v>
      </c>
      <c r="B3008" t="s">
        <v>725</v>
      </c>
      <c r="C3008" t="s">
        <v>681</v>
      </c>
      <c r="D3008" s="230">
        <v>0</v>
      </c>
      <c r="E3008" t="s">
        <v>726</v>
      </c>
    </row>
    <row r="3009" spans="1:5" hidden="1" x14ac:dyDescent="0.3">
      <c r="A3009" t="s">
        <v>557</v>
      </c>
      <c r="B3009" t="s">
        <v>725</v>
      </c>
      <c r="C3009" t="s">
        <v>682</v>
      </c>
      <c r="D3009" s="230">
        <v>-7531.73</v>
      </c>
      <c r="E3009" t="s">
        <v>726</v>
      </c>
    </row>
    <row r="3010" spans="1:5" hidden="1" x14ac:dyDescent="0.3">
      <c r="A3010" t="s">
        <v>557</v>
      </c>
      <c r="B3010" t="s">
        <v>725</v>
      </c>
      <c r="C3010" t="s">
        <v>683</v>
      </c>
      <c r="D3010" s="230">
        <v>-5325.09</v>
      </c>
      <c r="E3010" t="s">
        <v>726</v>
      </c>
    </row>
    <row r="3011" spans="1:5" hidden="1" x14ac:dyDescent="0.3">
      <c r="A3011" t="s">
        <v>557</v>
      </c>
      <c r="B3011" t="s">
        <v>725</v>
      </c>
      <c r="C3011" t="s">
        <v>684</v>
      </c>
      <c r="D3011" s="230">
        <v>-1608.51</v>
      </c>
      <c r="E3011" t="s">
        <v>726</v>
      </c>
    </row>
    <row r="3012" spans="1:5" hidden="1" x14ac:dyDescent="0.3">
      <c r="A3012" t="s">
        <v>557</v>
      </c>
      <c r="B3012" t="s">
        <v>725</v>
      </c>
      <c r="C3012" t="s">
        <v>685</v>
      </c>
      <c r="D3012" s="230">
        <v>-480.83</v>
      </c>
      <c r="E3012" t="s">
        <v>726</v>
      </c>
    </row>
    <row r="3013" spans="1:5" hidden="1" x14ac:dyDescent="0.3">
      <c r="A3013" t="s">
        <v>557</v>
      </c>
      <c r="B3013" t="s">
        <v>725</v>
      </c>
      <c r="C3013" t="s">
        <v>686</v>
      </c>
      <c r="D3013" s="230">
        <v>0</v>
      </c>
      <c r="E3013" t="s">
        <v>726</v>
      </c>
    </row>
    <row r="3014" spans="1:5" hidden="1" x14ac:dyDescent="0.3">
      <c r="A3014" t="s">
        <v>557</v>
      </c>
      <c r="B3014" t="s">
        <v>725</v>
      </c>
      <c r="C3014" t="s">
        <v>687</v>
      </c>
      <c r="D3014" s="230">
        <v>0</v>
      </c>
      <c r="E3014" t="s">
        <v>726</v>
      </c>
    </row>
    <row r="3015" spans="1:5" hidden="1" x14ac:dyDescent="0.3">
      <c r="A3015" t="s">
        <v>557</v>
      </c>
      <c r="B3015" t="s">
        <v>725</v>
      </c>
      <c r="C3015" t="s">
        <v>688</v>
      </c>
      <c r="D3015" s="230">
        <v>0</v>
      </c>
      <c r="E3015" t="s">
        <v>726</v>
      </c>
    </row>
    <row r="3016" spans="1:5" hidden="1" x14ac:dyDescent="0.3">
      <c r="A3016" t="s">
        <v>557</v>
      </c>
      <c r="B3016" t="s">
        <v>725</v>
      </c>
      <c r="C3016" t="s">
        <v>689</v>
      </c>
      <c r="D3016" s="230">
        <v>0</v>
      </c>
      <c r="E3016" t="s">
        <v>726</v>
      </c>
    </row>
    <row r="3017" spans="1:5" hidden="1" x14ac:dyDescent="0.3">
      <c r="A3017" t="s">
        <v>557</v>
      </c>
      <c r="B3017" t="s">
        <v>725</v>
      </c>
      <c r="C3017" t="s">
        <v>690</v>
      </c>
      <c r="D3017" s="230">
        <v>-2000</v>
      </c>
      <c r="E3017" t="s">
        <v>726</v>
      </c>
    </row>
    <row r="3018" spans="1:5" hidden="1" x14ac:dyDescent="0.3">
      <c r="A3018" t="s">
        <v>557</v>
      </c>
      <c r="B3018" t="s">
        <v>725</v>
      </c>
      <c r="C3018" t="s">
        <v>691</v>
      </c>
      <c r="D3018" s="230">
        <v>0</v>
      </c>
      <c r="E3018" t="s">
        <v>726</v>
      </c>
    </row>
    <row r="3019" spans="1:5" hidden="1" x14ac:dyDescent="0.3">
      <c r="A3019" t="s">
        <v>557</v>
      </c>
      <c r="B3019" t="s">
        <v>725</v>
      </c>
      <c r="C3019" t="s">
        <v>692</v>
      </c>
      <c r="D3019" s="230">
        <v>-2411.7800000000002</v>
      </c>
      <c r="E3019" t="s">
        <v>726</v>
      </c>
    </row>
    <row r="3020" spans="1:5" hidden="1" x14ac:dyDescent="0.3">
      <c r="A3020" t="s">
        <v>557</v>
      </c>
      <c r="B3020" t="s">
        <v>725</v>
      </c>
      <c r="C3020" t="s">
        <v>693</v>
      </c>
      <c r="D3020" s="230">
        <v>0</v>
      </c>
      <c r="E3020" t="s">
        <v>726</v>
      </c>
    </row>
    <row r="3021" spans="1:5" hidden="1" x14ac:dyDescent="0.3">
      <c r="A3021" t="s">
        <v>557</v>
      </c>
      <c r="B3021" t="s">
        <v>725</v>
      </c>
      <c r="C3021" t="s">
        <v>694</v>
      </c>
      <c r="D3021" s="230">
        <v>0</v>
      </c>
      <c r="E3021" t="s">
        <v>726</v>
      </c>
    </row>
    <row r="3022" spans="1:5" hidden="1" x14ac:dyDescent="0.3">
      <c r="A3022" t="s">
        <v>557</v>
      </c>
      <c r="B3022" t="s">
        <v>725</v>
      </c>
      <c r="C3022" t="s">
        <v>238</v>
      </c>
      <c r="D3022" s="230">
        <v>-5694.61</v>
      </c>
      <c r="E3022" t="s">
        <v>726</v>
      </c>
    </row>
    <row r="3023" spans="1:5" hidden="1" x14ac:dyDescent="0.3">
      <c r="A3023" t="s">
        <v>557</v>
      </c>
      <c r="B3023" t="s">
        <v>725</v>
      </c>
      <c r="C3023" t="s">
        <v>695</v>
      </c>
      <c r="D3023" s="230">
        <v>-5610.64</v>
      </c>
      <c r="E3023" t="s">
        <v>726</v>
      </c>
    </row>
    <row r="3024" spans="1:5" hidden="1" x14ac:dyDescent="0.3">
      <c r="A3024" t="s">
        <v>557</v>
      </c>
      <c r="B3024" t="s">
        <v>725</v>
      </c>
      <c r="C3024" t="s">
        <v>696</v>
      </c>
      <c r="D3024" s="230">
        <v>0</v>
      </c>
      <c r="E3024" t="s">
        <v>726</v>
      </c>
    </row>
    <row r="3025" spans="1:5" hidden="1" x14ac:dyDescent="0.3">
      <c r="A3025" t="s">
        <v>557</v>
      </c>
      <c r="B3025" t="s">
        <v>725</v>
      </c>
      <c r="C3025" t="s">
        <v>697</v>
      </c>
      <c r="D3025" s="230">
        <v>0</v>
      </c>
      <c r="E3025" t="s">
        <v>726</v>
      </c>
    </row>
    <row r="3026" spans="1:5" hidden="1" x14ac:dyDescent="0.3">
      <c r="A3026" t="s">
        <v>557</v>
      </c>
      <c r="B3026" t="s">
        <v>725</v>
      </c>
      <c r="C3026" t="s">
        <v>698</v>
      </c>
      <c r="D3026" s="230">
        <v>-83.97</v>
      </c>
      <c r="E3026" t="s">
        <v>726</v>
      </c>
    </row>
    <row r="3027" spans="1:5" hidden="1" x14ac:dyDescent="0.3">
      <c r="A3027" t="s">
        <v>557</v>
      </c>
      <c r="B3027" t="s">
        <v>725</v>
      </c>
      <c r="C3027" t="s">
        <v>699</v>
      </c>
      <c r="D3027" s="230">
        <v>0</v>
      </c>
      <c r="E3027" t="s">
        <v>726</v>
      </c>
    </row>
    <row r="3028" spans="1:5" hidden="1" x14ac:dyDescent="0.3">
      <c r="A3028" t="s">
        <v>557</v>
      </c>
      <c r="B3028" t="s">
        <v>725</v>
      </c>
      <c r="C3028" t="s">
        <v>245</v>
      </c>
      <c r="D3028" s="230">
        <v>-10744.63</v>
      </c>
      <c r="E3028" t="s">
        <v>726</v>
      </c>
    </row>
    <row r="3029" spans="1:5" hidden="1" x14ac:dyDescent="0.3">
      <c r="A3029" t="s">
        <v>557</v>
      </c>
      <c r="B3029" t="s">
        <v>725</v>
      </c>
      <c r="C3029" t="s">
        <v>700</v>
      </c>
      <c r="D3029" s="230">
        <v>-136</v>
      </c>
      <c r="E3029" t="s">
        <v>726</v>
      </c>
    </row>
    <row r="3030" spans="1:5" hidden="1" x14ac:dyDescent="0.3">
      <c r="A3030" t="s">
        <v>557</v>
      </c>
      <c r="B3030" t="s">
        <v>725</v>
      </c>
      <c r="C3030" t="s">
        <v>701</v>
      </c>
      <c r="D3030" s="230">
        <v>-668.85</v>
      </c>
      <c r="E3030" t="s">
        <v>726</v>
      </c>
    </row>
    <row r="3031" spans="1:5" hidden="1" x14ac:dyDescent="0.3">
      <c r="A3031" t="s">
        <v>557</v>
      </c>
      <c r="B3031" t="s">
        <v>725</v>
      </c>
      <c r="C3031" t="s">
        <v>702</v>
      </c>
      <c r="D3031" s="230">
        <v>0</v>
      </c>
      <c r="E3031" t="s">
        <v>726</v>
      </c>
    </row>
    <row r="3032" spans="1:5" hidden="1" x14ac:dyDescent="0.3">
      <c r="A3032" t="s">
        <v>557</v>
      </c>
      <c r="B3032" t="s">
        <v>725</v>
      </c>
      <c r="C3032" t="s">
        <v>703</v>
      </c>
      <c r="D3032" s="230">
        <v>0</v>
      </c>
      <c r="E3032" t="s">
        <v>726</v>
      </c>
    </row>
    <row r="3033" spans="1:5" hidden="1" x14ac:dyDescent="0.3">
      <c r="A3033" t="s">
        <v>557</v>
      </c>
      <c r="B3033" t="s">
        <v>725</v>
      </c>
      <c r="C3033" t="s">
        <v>704</v>
      </c>
      <c r="D3033" s="230">
        <v>0</v>
      </c>
      <c r="E3033" t="s">
        <v>726</v>
      </c>
    </row>
    <row r="3034" spans="1:5" hidden="1" x14ac:dyDescent="0.3">
      <c r="A3034" t="s">
        <v>557</v>
      </c>
      <c r="B3034" t="s">
        <v>725</v>
      </c>
      <c r="C3034" t="s">
        <v>705</v>
      </c>
      <c r="D3034" s="230">
        <v>-9939.7800000000007</v>
      </c>
      <c r="E3034" t="s">
        <v>726</v>
      </c>
    </row>
    <row r="3035" spans="1:5" hidden="1" x14ac:dyDescent="0.3">
      <c r="A3035" t="s">
        <v>557</v>
      </c>
      <c r="B3035" t="s">
        <v>725</v>
      </c>
      <c r="C3035" t="s">
        <v>706</v>
      </c>
      <c r="D3035" s="230">
        <v>0</v>
      </c>
      <c r="E3035" t="s">
        <v>726</v>
      </c>
    </row>
    <row r="3036" spans="1:5" hidden="1" x14ac:dyDescent="0.3">
      <c r="A3036" t="s">
        <v>557</v>
      </c>
      <c r="B3036" t="s">
        <v>725</v>
      </c>
      <c r="C3036" t="s">
        <v>254</v>
      </c>
      <c r="D3036" s="230">
        <v>-0.36</v>
      </c>
      <c r="E3036" t="s">
        <v>726</v>
      </c>
    </row>
    <row r="3037" spans="1:5" hidden="1" x14ac:dyDescent="0.3">
      <c r="A3037" t="s">
        <v>557</v>
      </c>
      <c r="B3037" t="s">
        <v>725</v>
      </c>
      <c r="C3037" t="s">
        <v>255</v>
      </c>
      <c r="D3037" s="230">
        <v>-0.35</v>
      </c>
      <c r="E3037" t="s">
        <v>726</v>
      </c>
    </row>
    <row r="3038" spans="1:5" hidden="1" x14ac:dyDescent="0.3">
      <c r="A3038" t="s">
        <v>557</v>
      </c>
      <c r="B3038" t="s">
        <v>725</v>
      </c>
      <c r="C3038" t="s">
        <v>256</v>
      </c>
      <c r="D3038" s="230">
        <v>-51752.37</v>
      </c>
      <c r="E3038" t="s">
        <v>726</v>
      </c>
    </row>
    <row r="3039" spans="1:5" hidden="1" x14ac:dyDescent="0.3">
      <c r="A3039" t="s">
        <v>557</v>
      </c>
      <c r="B3039" t="s">
        <v>725</v>
      </c>
      <c r="C3039" t="s">
        <v>257</v>
      </c>
      <c r="D3039" s="230">
        <v>-49305.7</v>
      </c>
      <c r="E3039" t="s">
        <v>726</v>
      </c>
    </row>
    <row r="3040" spans="1:5" hidden="1" x14ac:dyDescent="0.3">
      <c r="A3040" t="s">
        <v>557</v>
      </c>
      <c r="B3040" t="s">
        <v>725</v>
      </c>
      <c r="C3040" t="s">
        <v>258</v>
      </c>
      <c r="D3040" s="230">
        <v>0</v>
      </c>
      <c r="E3040" t="s">
        <v>726</v>
      </c>
    </row>
    <row r="3041" spans="1:5" hidden="1" x14ac:dyDescent="0.3">
      <c r="A3041" t="s">
        <v>557</v>
      </c>
      <c r="B3041" t="s">
        <v>725</v>
      </c>
      <c r="C3041" t="s">
        <v>259</v>
      </c>
      <c r="D3041" s="230">
        <v>-2446.67</v>
      </c>
      <c r="E3041" t="s">
        <v>726</v>
      </c>
    </row>
    <row r="3042" spans="1:5" hidden="1" x14ac:dyDescent="0.3">
      <c r="A3042" t="s">
        <v>557</v>
      </c>
      <c r="B3042" t="s">
        <v>725</v>
      </c>
      <c r="C3042" t="s">
        <v>260</v>
      </c>
      <c r="D3042" s="230">
        <v>0</v>
      </c>
      <c r="E3042" t="s">
        <v>726</v>
      </c>
    </row>
    <row r="3043" spans="1:5" hidden="1" x14ac:dyDescent="0.3">
      <c r="A3043" t="s">
        <v>557</v>
      </c>
      <c r="B3043" t="s">
        <v>725</v>
      </c>
      <c r="C3043" t="s">
        <v>261</v>
      </c>
      <c r="D3043" s="230">
        <v>0</v>
      </c>
      <c r="E3043" t="s">
        <v>726</v>
      </c>
    </row>
    <row r="3044" spans="1:5" hidden="1" x14ac:dyDescent="0.3">
      <c r="A3044" t="s">
        <v>557</v>
      </c>
      <c r="B3044" t="s">
        <v>725</v>
      </c>
      <c r="C3044" t="s">
        <v>262</v>
      </c>
      <c r="D3044" s="230">
        <v>0</v>
      </c>
      <c r="E3044" t="s">
        <v>726</v>
      </c>
    </row>
    <row r="3045" spans="1:5" hidden="1" x14ac:dyDescent="0.3">
      <c r="A3045" t="s">
        <v>557</v>
      </c>
      <c r="B3045" t="s">
        <v>725</v>
      </c>
      <c r="C3045" t="s">
        <v>263</v>
      </c>
      <c r="D3045" s="230">
        <v>0</v>
      </c>
      <c r="E3045" t="s">
        <v>726</v>
      </c>
    </row>
    <row r="3046" spans="1:5" hidden="1" x14ac:dyDescent="0.3">
      <c r="A3046" t="s">
        <v>557</v>
      </c>
      <c r="B3046" t="s">
        <v>725</v>
      </c>
      <c r="C3046" t="s">
        <v>44</v>
      </c>
      <c r="D3046" s="230">
        <v>-0.12</v>
      </c>
      <c r="E3046" t="s">
        <v>726</v>
      </c>
    </row>
    <row r="3047" spans="1:5" hidden="1" x14ac:dyDescent="0.3">
      <c r="A3047" t="s">
        <v>557</v>
      </c>
      <c r="B3047" t="s">
        <v>725</v>
      </c>
      <c r="C3047" t="s">
        <v>264</v>
      </c>
      <c r="D3047" s="230">
        <v>-40191.660000000003</v>
      </c>
      <c r="E3047" t="s">
        <v>726</v>
      </c>
    </row>
    <row r="3048" spans="1:5" hidden="1" x14ac:dyDescent="0.3">
      <c r="A3048" t="s">
        <v>557</v>
      </c>
      <c r="B3048" t="s">
        <v>725</v>
      </c>
      <c r="C3048" t="s">
        <v>265</v>
      </c>
      <c r="D3048" s="230">
        <v>-7114.39</v>
      </c>
      <c r="E3048" t="s">
        <v>726</v>
      </c>
    </row>
    <row r="3049" spans="1:5" hidden="1" x14ac:dyDescent="0.3">
      <c r="A3049" t="s">
        <v>557</v>
      </c>
      <c r="B3049" t="s">
        <v>725</v>
      </c>
      <c r="C3049" t="s">
        <v>266</v>
      </c>
      <c r="D3049" s="230">
        <v>-12686.81</v>
      </c>
      <c r="E3049" t="s">
        <v>726</v>
      </c>
    </row>
    <row r="3050" spans="1:5" hidden="1" x14ac:dyDescent="0.3">
      <c r="A3050" t="s">
        <v>557</v>
      </c>
      <c r="B3050" t="s">
        <v>725</v>
      </c>
      <c r="C3050" t="s">
        <v>267</v>
      </c>
      <c r="D3050" s="230">
        <v>-5987.76</v>
      </c>
      <c r="E3050" t="s">
        <v>726</v>
      </c>
    </row>
    <row r="3051" spans="1:5" hidden="1" x14ac:dyDescent="0.3">
      <c r="A3051" t="s">
        <v>557</v>
      </c>
      <c r="B3051" t="s">
        <v>725</v>
      </c>
      <c r="C3051" t="s">
        <v>268</v>
      </c>
      <c r="D3051" s="230">
        <v>-7357.46</v>
      </c>
      <c r="E3051" t="s">
        <v>726</v>
      </c>
    </row>
    <row r="3052" spans="1:5" hidden="1" x14ac:dyDescent="0.3">
      <c r="A3052" t="s">
        <v>557</v>
      </c>
      <c r="B3052" t="s">
        <v>725</v>
      </c>
      <c r="C3052" t="s">
        <v>269</v>
      </c>
      <c r="D3052" s="230">
        <v>0</v>
      </c>
      <c r="E3052" t="s">
        <v>726</v>
      </c>
    </row>
    <row r="3053" spans="1:5" hidden="1" x14ac:dyDescent="0.3">
      <c r="A3053" t="s">
        <v>557</v>
      </c>
      <c r="B3053" t="s">
        <v>725</v>
      </c>
      <c r="C3053" t="s">
        <v>270</v>
      </c>
      <c r="D3053" s="230">
        <v>-500</v>
      </c>
      <c r="E3053" t="s">
        <v>726</v>
      </c>
    </row>
    <row r="3054" spans="1:5" hidden="1" x14ac:dyDescent="0.3">
      <c r="A3054" t="s">
        <v>557</v>
      </c>
      <c r="B3054" t="s">
        <v>725</v>
      </c>
      <c r="C3054" t="s">
        <v>271</v>
      </c>
      <c r="D3054" s="230">
        <v>-816.24</v>
      </c>
      <c r="E3054" t="s">
        <v>726</v>
      </c>
    </row>
    <row r="3055" spans="1:5" hidden="1" x14ac:dyDescent="0.3">
      <c r="A3055" t="s">
        <v>557</v>
      </c>
      <c r="B3055" t="s">
        <v>725</v>
      </c>
      <c r="C3055" t="s">
        <v>272</v>
      </c>
      <c r="D3055" s="230">
        <v>-416.3</v>
      </c>
      <c r="E3055" t="s">
        <v>726</v>
      </c>
    </row>
    <row r="3056" spans="1:5" hidden="1" x14ac:dyDescent="0.3">
      <c r="A3056" t="s">
        <v>557</v>
      </c>
      <c r="B3056" t="s">
        <v>725</v>
      </c>
      <c r="C3056" t="s">
        <v>273</v>
      </c>
      <c r="D3056" s="230">
        <v>-727.59</v>
      </c>
      <c r="E3056" t="s">
        <v>726</v>
      </c>
    </row>
    <row r="3057" spans="1:5" hidden="1" x14ac:dyDescent="0.3">
      <c r="A3057" t="s">
        <v>557</v>
      </c>
      <c r="B3057" t="s">
        <v>725</v>
      </c>
      <c r="C3057" t="s">
        <v>274</v>
      </c>
      <c r="D3057" s="230">
        <v>0</v>
      </c>
      <c r="E3057" t="s">
        <v>726</v>
      </c>
    </row>
    <row r="3058" spans="1:5" hidden="1" x14ac:dyDescent="0.3">
      <c r="A3058" t="s">
        <v>557</v>
      </c>
      <c r="B3058" t="s">
        <v>725</v>
      </c>
      <c r="C3058" t="s">
        <v>275</v>
      </c>
      <c r="D3058" s="230">
        <v>-376.89</v>
      </c>
      <c r="E3058" t="s">
        <v>726</v>
      </c>
    </row>
    <row r="3059" spans="1:5" hidden="1" x14ac:dyDescent="0.3">
      <c r="A3059" t="s">
        <v>557</v>
      </c>
      <c r="B3059" t="s">
        <v>725</v>
      </c>
      <c r="C3059" t="s">
        <v>276</v>
      </c>
      <c r="D3059" s="230">
        <v>0</v>
      </c>
      <c r="E3059" t="s">
        <v>726</v>
      </c>
    </row>
    <row r="3060" spans="1:5" hidden="1" x14ac:dyDescent="0.3">
      <c r="A3060" t="s">
        <v>557</v>
      </c>
      <c r="B3060" t="s">
        <v>725</v>
      </c>
      <c r="C3060" t="s">
        <v>277</v>
      </c>
      <c r="D3060" s="230">
        <v>0</v>
      </c>
      <c r="E3060" t="s">
        <v>726</v>
      </c>
    </row>
    <row r="3061" spans="1:5" hidden="1" x14ac:dyDescent="0.3">
      <c r="A3061" t="s">
        <v>557</v>
      </c>
      <c r="B3061" t="s">
        <v>725</v>
      </c>
      <c r="C3061" t="s">
        <v>278</v>
      </c>
      <c r="D3061" s="230">
        <v>-4208.22</v>
      </c>
      <c r="E3061" t="s">
        <v>726</v>
      </c>
    </row>
    <row r="3062" spans="1:5" hidden="1" x14ac:dyDescent="0.3">
      <c r="A3062" t="s">
        <v>557</v>
      </c>
      <c r="B3062" t="s">
        <v>725</v>
      </c>
      <c r="C3062" t="s">
        <v>44</v>
      </c>
      <c r="D3062" s="230">
        <v>-0.1</v>
      </c>
      <c r="E3062" t="s">
        <v>726</v>
      </c>
    </row>
    <row r="3063" spans="1:5" hidden="1" x14ac:dyDescent="0.3">
      <c r="A3063" t="s">
        <v>557</v>
      </c>
      <c r="B3063" t="s">
        <v>725</v>
      </c>
      <c r="C3063" t="s">
        <v>279</v>
      </c>
      <c r="D3063" s="230">
        <v>-7215.33</v>
      </c>
      <c r="E3063" t="s">
        <v>726</v>
      </c>
    </row>
    <row r="3064" spans="1:5" hidden="1" x14ac:dyDescent="0.3">
      <c r="A3064" t="s">
        <v>557</v>
      </c>
      <c r="B3064" t="s">
        <v>725</v>
      </c>
      <c r="C3064" t="s">
        <v>280</v>
      </c>
      <c r="D3064" s="230">
        <v>-299.89999999999998</v>
      </c>
      <c r="E3064" t="s">
        <v>726</v>
      </c>
    </row>
    <row r="3065" spans="1:5" hidden="1" x14ac:dyDescent="0.3">
      <c r="A3065" t="s">
        <v>557</v>
      </c>
      <c r="B3065" t="s">
        <v>725</v>
      </c>
      <c r="C3065" t="s">
        <v>281</v>
      </c>
      <c r="D3065" s="230">
        <v>-386.92</v>
      </c>
      <c r="E3065" t="s">
        <v>726</v>
      </c>
    </row>
    <row r="3066" spans="1:5" hidden="1" x14ac:dyDescent="0.3">
      <c r="A3066" t="s">
        <v>557</v>
      </c>
      <c r="B3066" t="s">
        <v>725</v>
      </c>
      <c r="C3066" t="s">
        <v>282</v>
      </c>
      <c r="D3066" s="230">
        <v>-346.25</v>
      </c>
      <c r="E3066" t="s">
        <v>726</v>
      </c>
    </row>
    <row r="3067" spans="1:5" hidden="1" x14ac:dyDescent="0.3">
      <c r="A3067" t="s">
        <v>557</v>
      </c>
      <c r="B3067" t="s">
        <v>725</v>
      </c>
      <c r="C3067" t="s">
        <v>283</v>
      </c>
      <c r="D3067" s="230">
        <v>-276.69</v>
      </c>
      <c r="E3067" t="s">
        <v>726</v>
      </c>
    </row>
    <row r="3068" spans="1:5" hidden="1" x14ac:dyDescent="0.3">
      <c r="A3068" t="s">
        <v>557</v>
      </c>
      <c r="B3068" t="s">
        <v>725</v>
      </c>
      <c r="C3068" t="s">
        <v>284</v>
      </c>
      <c r="D3068" s="230">
        <v>-5905.57</v>
      </c>
      <c r="E3068" t="s">
        <v>726</v>
      </c>
    </row>
    <row r="3069" spans="1:5" hidden="1" x14ac:dyDescent="0.3">
      <c r="A3069" t="s">
        <v>557</v>
      </c>
      <c r="B3069" t="s">
        <v>725</v>
      </c>
      <c r="C3069" t="s">
        <v>285</v>
      </c>
      <c r="D3069" s="230">
        <v>0</v>
      </c>
      <c r="E3069" t="s">
        <v>726</v>
      </c>
    </row>
    <row r="3070" spans="1:5" hidden="1" x14ac:dyDescent="0.3">
      <c r="A3070" t="s">
        <v>557</v>
      </c>
      <c r="B3070" t="s">
        <v>725</v>
      </c>
      <c r="C3070" t="s">
        <v>286</v>
      </c>
      <c r="D3070" s="230">
        <v>0</v>
      </c>
      <c r="E3070" t="s">
        <v>726</v>
      </c>
    </row>
    <row r="3071" spans="1:5" hidden="1" x14ac:dyDescent="0.3">
      <c r="A3071" t="s">
        <v>557</v>
      </c>
      <c r="B3071" t="s">
        <v>725</v>
      </c>
      <c r="C3071" t="s">
        <v>44</v>
      </c>
      <c r="D3071" s="230">
        <v>0</v>
      </c>
      <c r="E3071" t="s">
        <v>726</v>
      </c>
    </row>
    <row r="3072" spans="1:5" hidden="1" x14ac:dyDescent="0.3">
      <c r="A3072" t="s">
        <v>557</v>
      </c>
      <c r="B3072" t="s">
        <v>725</v>
      </c>
      <c r="C3072" t="s">
        <v>287</v>
      </c>
      <c r="D3072" s="230">
        <v>-5273.12</v>
      </c>
      <c r="E3072" t="s">
        <v>726</v>
      </c>
    </row>
    <row r="3073" spans="1:5" hidden="1" x14ac:dyDescent="0.3">
      <c r="A3073" t="s">
        <v>557</v>
      </c>
      <c r="B3073" t="s">
        <v>725</v>
      </c>
      <c r="C3073" t="s">
        <v>288</v>
      </c>
      <c r="D3073" s="230">
        <v>-5170.01</v>
      </c>
      <c r="E3073" t="s">
        <v>726</v>
      </c>
    </row>
    <row r="3074" spans="1:5" hidden="1" x14ac:dyDescent="0.3">
      <c r="A3074" t="s">
        <v>557</v>
      </c>
      <c r="B3074" t="s">
        <v>725</v>
      </c>
      <c r="C3074" t="s">
        <v>289</v>
      </c>
      <c r="D3074" s="230">
        <v>0</v>
      </c>
      <c r="E3074" t="s">
        <v>726</v>
      </c>
    </row>
    <row r="3075" spans="1:5" hidden="1" x14ac:dyDescent="0.3">
      <c r="A3075" t="s">
        <v>557</v>
      </c>
      <c r="B3075" t="s">
        <v>725</v>
      </c>
      <c r="C3075" t="s">
        <v>290</v>
      </c>
      <c r="D3075" s="230">
        <v>0</v>
      </c>
      <c r="E3075" t="s">
        <v>726</v>
      </c>
    </row>
    <row r="3076" spans="1:5" hidden="1" x14ac:dyDescent="0.3">
      <c r="A3076" t="s">
        <v>557</v>
      </c>
      <c r="B3076" t="s">
        <v>725</v>
      </c>
      <c r="C3076" t="s">
        <v>291</v>
      </c>
      <c r="D3076" s="230">
        <v>0</v>
      </c>
      <c r="E3076" t="s">
        <v>726</v>
      </c>
    </row>
    <row r="3077" spans="1:5" hidden="1" x14ac:dyDescent="0.3">
      <c r="A3077" t="s">
        <v>557</v>
      </c>
      <c r="B3077" t="s">
        <v>725</v>
      </c>
      <c r="C3077" t="s">
        <v>292</v>
      </c>
      <c r="D3077" s="230">
        <v>0</v>
      </c>
      <c r="E3077" t="s">
        <v>726</v>
      </c>
    </row>
    <row r="3078" spans="1:5" hidden="1" x14ac:dyDescent="0.3">
      <c r="A3078" t="s">
        <v>557</v>
      </c>
      <c r="B3078" t="s">
        <v>725</v>
      </c>
      <c r="C3078" t="s">
        <v>293</v>
      </c>
      <c r="D3078" s="230">
        <v>0</v>
      </c>
      <c r="E3078" t="s">
        <v>726</v>
      </c>
    </row>
    <row r="3079" spans="1:5" hidden="1" x14ac:dyDescent="0.3">
      <c r="A3079" t="s">
        <v>557</v>
      </c>
      <c r="B3079" t="s">
        <v>725</v>
      </c>
      <c r="C3079" t="s">
        <v>294</v>
      </c>
      <c r="D3079" s="230">
        <v>-103.11</v>
      </c>
      <c r="E3079" t="s">
        <v>726</v>
      </c>
    </row>
    <row r="3080" spans="1:5" hidden="1" x14ac:dyDescent="0.3">
      <c r="A3080" t="s">
        <v>557</v>
      </c>
      <c r="B3080" t="s">
        <v>725</v>
      </c>
      <c r="C3080" t="s">
        <v>295</v>
      </c>
      <c r="D3080" s="230">
        <v>0</v>
      </c>
      <c r="E3080" t="s">
        <v>726</v>
      </c>
    </row>
    <row r="3081" spans="1:5" hidden="1" x14ac:dyDescent="0.3">
      <c r="A3081" t="s">
        <v>557</v>
      </c>
      <c r="B3081" t="s">
        <v>725</v>
      </c>
      <c r="C3081" t="s">
        <v>44</v>
      </c>
      <c r="D3081" s="230">
        <v>-0.01</v>
      </c>
      <c r="E3081" t="s">
        <v>726</v>
      </c>
    </row>
    <row r="3082" spans="1:5" hidden="1" x14ac:dyDescent="0.3">
      <c r="A3082" t="s">
        <v>557</v>
      </c>
      <c r="B3082" t="s">
        <v>725</v>
      </c>
      <c r="C3082" t="s">
        <v>296</v>
      </c>
      <c r="D3082" s="230">
        <v>-6118.26</v>
      </c>
      <c r="E3082" t="s">
        <v>726</v>
      </c>
    </row>
    <row r="3083" spans="1:5" hidden="1" x14ac:dyDescent="0.3">
      <c r="A3083" t="s">
        <v>557</v>
      </c>
      <c r="B3083" t="s">
        <v>725</v>
      </c>
      <c r="C3083" t="s">
        <v>297</v>
      </c>
      <c r="D3083" s="230">
        <v>-3500</v>
      </c>
      <c r="E3083" t="s">
        <v>726</v>
      </c>
    </row>
    <row r="3084" spans="1:5" hidden="1" x14ac:dyDescent="0.3">
      <c r="A3084" t="s">
        <v>557</v>
      </c>
      <c r="B3084" t="s">
        <v>725</v>
      </c>
      <c r="C3084" t="s">
        <v>298</v>
      </c>
      <c r="D3084" s="230">
        <v>-460</v>
      </c>
      <c r="E3084" t="s">
        <v>726</v>
      </c>
    </row>
    <row r="3085" spans="1:5" hidden="1" x14ac:dyDescent="0.3">
      <c r="A3085" t="s">
        <v>557</v>
      </c>
      <c r="B3085" t="s">
        <v>725</v>
      </c>
      <c r="C3085" t="s">
        <v>299</v>
      </c>
      <c r="D3085" s="230">
        <v>0</v>
      </c>
      <c r="E3085" t="s">
        <v>726</v>
      </c>
    </row>
    <row r="3086" spans="1:5" hidden="1" x14ac:dyDescent="0.3">
      <c r="A3086" t="s">
        <v>557</v>
      </c>
      <c r="B3086" t="s">
        <v>725</v>
      </c>
      <c r="C3086" t="s">
        <v>300</v>
      </c>
      <c r="D3086" s="230">
        <v>0</v>
      </c>
      <c r="E3086" t="s">
        <v>726</v>
      </c>
    </row>
    <row r="3087" spans="1:5" hidden="1" x14ac:dyDescent="0.3">
      <c r="A3087" t="s">
        <v>557</v>
      </c>
      <c r="B3087" t="s">
        <v>725</v>
      </c>
      <c r="C3087" t="s">
        <v>301</v>
      </c>
      <c r="D3087" s="230">
        <v>-340.5</v>
      </c>
      <c r="E3087" t="s">
        <v>726</v>
      </c>
    </row>
    <row r="3088" spans="1:5" hidden="1" x14ac:dyDescent="0.3">
      <c r="A3088" t="s">
        <v>557</v>
      </c>
      <c r="B3088" t="s">
        <v>725</v>
      </c>
      <c r="C3088" t="s">
        <v>302</v>
      </c>
      <c r="D3088" s="230">
        <v>0</v>
      </c>
      <c r="E3088" t="s">
        <v>726</v>
      </c>
    </row>
    <row r="3089" spans="1:5" hidden="1" x14ac:dyDescent="0.3">
      <c r="A3089" t="s">
        <v>557</v>
      </c>
      <c r="B3089" t="s">
        <v>725</v>
      </c>
      <c r="C3089" t="s">
        <v>303</v>
      </c>
      <c r="D3089" s="230">
        <v>0</v>
      </c>
      <c r="E3089" t="s">
        <v>726</v>
      </c>
    </row>
    <row r="3090" spans="1:5" hidden="1" x14ac:dyDescent="0.3">
      <c r="A3090" t="s">
        <v>557</v>
      </c>
      <c r="B3090" t="s">
        <v>725</v>
      </c>
      <c r="C3090" t="s">
        <v>304</v>
      </c>
      <c r="D3090" s="230">
        <v>-315.04000000000002</v>
      </c>
      <c r="E3090" t="s">
        <v>726</v>
      </c>
    </row>
    <row r="3091" spans="1:5" hidden="1" x14ac:dyDescent="0.3">
      <c r="A3091" t="s">
        <v>557</v>
      </c>
      <c r="B3091" t="s">
        <v>725</v>
      </c>
      <c r="C3091" t="s">
        <v>305</v>
      </c>
      <c r="D3091" s="230">
        <v>-87.02</v>
      </c>
      <c r="E3091" t="s">
        <v>726</v>
      </c>
    </row>
    <row r="3092" spans="1:5" hidden="1" x14ac:dyDescent="0.3">
      <c r="A3092" t="s">
        <v>557</v>
      </c>
      <c r="B3092" t="s">
        <v>725</v>
      </c>
      <c r="C3092" t="s">
        <v>306</v>
      </c>
      <c r="D3092" s="230">
        <v>0</v>
      </c>
      <c r="E3092" t="s">
        <v>726</v>
      </c>
    </row>
    <row r="3093" spans="1:5" hidden="1" x14ac:dyDescent="0.3">
      <c r="A3093" t="s">
        <v>557</v>
      </c>
      <c r="B3093" t="s">
        <v>725</v>
      </c>
      <c r="C3093" t="s">
        <v>307</v>
      </c>
      <c r="D3093" s="230">
        <v>-1415.7</v>
      </c>
      <c r="E3093" t="s">
        <v>726</v>
      </c>
    </row>
    <row r="3094" spans="1:5" hidden="1" x14ac:dyDescent="0.3">
      <c r="A3094" t="s">
        <v>557</v>
      </c>
      <c r="B3094" t="s">
        <v>725</v>
      </c>
      <c r="C3094" t="s">
        <v>44</v>
      </c>
      <c r="D3094" s="230">
        <v>-0.01</v>
      </c>
      <c r="E3094" t="s">
        <v>726</v>
      </c>
    </row>
    <row r="3095" spans="1:5" hidden="1" x14ac:dyDescent="0.3">
      <c r="A3095" t="s">
        <v>557</v>
      </c>
      <c r="B3095" t="s">
        <v>725</v>
      </c>
      <c r="C3095" t="s">
        <v>308</v>
      </c>
      <c r="D3095" s="230">
        <v>-2710.55</v>
      </c>
      <c r="E3095" t="s">
        <v>726</v>
      </c>
    </row>
    <row r="3096" spans="1:5" hidden="1" x14ac:dyDescent="0.3">
      <c r="A3096" t="s">
        <v>557</v>
      </c>
      <c r="B3096" t="s">
        <v>725</v>
      </c>
      <c r="C3096" t="s">
        <v>309</v>
      </c>
      <c r="D3096" s="230">
        <v>-1850</v>
      </c>
      <c r="E3096" t="s">
        <v>726</v>
      </c>
    </row>
    <row r="3097" spans="1:5" hidden="1" x14ac:dyDescent="0.3">
      <c r="A3097" t="s">
        <v>557</v>
      </c>
      <c r="B3097" t="s">
        <v>725</v>
      </c>
      <c r="C3097" t="s">
        <v>310</v>
      </c>
      <c r="D3097" s="230">
        <v>0</v>
      </c>
      <c r="E3097" t="s">
        <v>726</v>
      </c>
    </row>
    <row r="3098" spans="1:5" hidden="1" x14ac:dyDescent="0.3">
      <c r="A3098" t="s">
        <v>557</v>
      </c>
      <c r="B3098" t="s">
        <v>725</v>
      </c>
      <c r="C3098" t="s">
        <v>311</v>
      </c>
      <c r="D3098" s="230">
        <v>-860.55</v>
      </c>
      <c r="E3098" t="s">
        <v>726</v>
      </c>
    </row>
    <row r="3099" spans="1:5" hidden="1" x14ac:dyDescent="0.3">
      <c r="A3099" t="s">
        <v>557</v>
      </c>
      <c r="B3099" t="s">
        <v>725</v>
      </c>
      <c r="C3099" t="s">
        <v>312</v>
      </c>
      <c r="D3099" s="230">
        <v>0</v>
      </c>
      <c r="E3099" t="s">
        <v>726</v>
      </c>
    </row>
    <row r="3100" spans="1:5" hidden="1" x14ac:dyDescent="0.3">
      <c r="A3100" t="s">
        <v>557</v>
      </c>
      <c r="B3100" t="s">
        <v>725</v>
      </c>
      <c r="C3100" t="s">
        <v>313</v>
      </c>
      <c r="D3100" s="230">
        <v>0</v>
      </c>
      <c r="E3100" t="s">
        <v>726</v>
      </c>
    </row>
    <row r="3101" spans="1:5" hidden="1" x14ac:dyDescent="0.3">
      <c r="A3101" t="s">
        <v>557</v>
      </c>
      <c r="B3101" t="s">
        <v>725</v>
      </c>
      <c r="C3101" t="s">
        <v>314</v>
      </c>
      <c r="D3101" s="230">
        <v>0</v>
      </c>
      <c r="E3101" t="s">
        <v>726</v>
      </c>
    </row>
    <row r="3102" spans="1:5" hidden="1" x14ac:dyDescent="0.3">
      <c r="A3102" t="s">
        <v>557</v>
      </c>
      <c r="B3102" t="s">
        <v>725</v>
      </c>
      <c r="C3102" t="s">
        <v>315</v>
      </c>
      <c r="D3102" s="230">
        <v>0</v>
      </c>
      <c r="E3102" t="s">
        <v>726</v>
      </c>
    </row>
    <row r="3103" spans="1:5" hidden="1" x14ac:dyDescent="0.3">
      <c r="A3103" t="s">
        <v>557</v>
      </c>
      <c r="B3103" t="s">
        <v>725</v>
      </c>
      <c r="C3103" t="s">
        <v>316</v>
      </c>
      <c r="D3103" s="230">
        <v>0</v>
      </c>
      <c r="E3103" t="s">
        <v>726</v>
      </c>
    </row>
    <row r="3104" spans="1:5" hidden="1" x14ac:dyDescent="0.3">
      <c r="A3104" t="s">
        <v>557</v>
      </c>
      <c r="B3104" t="s">
        <v>725</v>
      </c>
      <c r="C3104" t="s">
        <v>317</v>
      </c>
      <c r="D3104" s="230">
        <v>0</v>
      </c>
      <c r="E3104" t="s">
        <v>726</v>
      </c>
    </row>
    <row r="3105" spans="1:5" hidden="1" x14ac:dyDescent="0.3">
      <c r="A3105" t="s">
        <v>557</v>
      </c>
      <c r="B3105" t="s">
        <v>725</v>
      </c>
      <c r="C3105" t="s">
        <v>44</v>
      </c>
      <c r="D3105" s="230">
        <v>-0.01</v>
      </c>
      <c r="E3105" t="s">
        <v>726</v>
      </c>
    </row>
    <row r="3106" spans="1:5" hidden="1" x14ac:dyDescent="0.3">
      <c r="A3106" t="s">
        <v>557</v>
      </c>
      <c r="B3106" t="s">
        <v>725</v>
      </c>
      <c r="C3106" t="s">
        <v>318</v>
      </c>
      <c r="D3106" s="230">
        <v>-2235.92</v>
      </c>
      <c r="E3106" t="s">
        <v>726</v>
      </c>
    </row>
    <row r="3107" spans="1:5" hidden="1" x14ac:dyDescent="0.3">
      <c r="A3107" t="s">
        <v>557</v>
      </c>
      <c r="B3107" t="s">
        <v>725</v>
      </c>
      <c r="C3107" t="s">
        <v>319</v>
      </c>
      <c r="D3107" s="230">
        <v>-2235.92</v>
      </c>
      <c r="E3107" t="s">
        <v>726</v>
      </c>
    </row>
    <row r="3108" spans="1:5" hidden="1" x14ac:dyDescent="0.3">
      <c r="A3108" t="s">
        <v>557</v>
      </c>
      <c r="B3108" t="s">
        <v>725</v>
      </c>
      <c r="C3108" t="s">
        <v>320</v>
      </c>
      <c r="D3108" s="230">
        <v>0</v>
      </c>
      <c r="E3108" t="s">
        <v>726</v>
      </c>
    </row>
    <row r="3109" spans="1:5" hidden="1" x14ac:dyDescent="0.3">
      <c r="A3109" t="s">
        <v>557</v>
      </c>
      <c r="B3109" t="s">
        <v>725</v>
      </c>
      <c r="C3109" t="s">
        <v>321</v>
      </c>
      <c r="D3109" s="230">
        <v>0</v>
      </c>
      <c r="E3109" t="s">
        <v>726</v>
      </c>
    </row>
    <row r="3110" spans="1:5" hidden="1" x14ac:dyDescent="0.3">
      <c r="A3110" t="s">
        <v>557</v>
      </c>
      <c r="B3110" t="s">
        <v>725</v>
      </c>
      <c r="C3110" t="s">
        <v>322</v>
      </c>
      <c r="D3110" s="230">
        <v>0</v>
      </c>
      <c r="E3110" t="s">
        <v>726</v>
      </c>
    </row>
    <row r="3111" spans="1:5" hidden="1" x14ac:dyDescent="0.3">
      <c r="A3111" t="s">
        <v>557</v>
      </c>
      <c r="B3111" t="s">
        <v>725</v>
      </c>
      <c r="C3111" t="s">
        <v>44</v>
      </c>
      <c r="D3111" s="230">
        <v>-0.01</v>
      </c>
      <c r="E3111" t="s">
        <v>726</v>
      </c>
    </row>
    <row r="3112" spans="1:5" hidden="1" x14ac:dyDescent="0.3">
      <c r="A3112" t="s">
        <v>557</v>
      </c>
      <c r="B3112" t="s">
        <v>725</v>
      </c>
      <c r="C3112" t="s">
        <v>323</v>
      </c>
      <c r="D3112" s="230">
        <v>-21010.6</v>
      </c>
      <c r="E3112" t="s">
        <v>726</v>
      </c>
    </row>
    <row r="3113" spans="1:5" hidden="1" x14ac:dyDescent="0.3">
      <c r="A3113" t="s">
        <v>557</v>
      </c>
      <c r="B3113" t="s">
        <v>725</v>
      </c>
      <c r="C3113" t="s">
        <v>324</v>
      </c>
      <c r="D3113" s="230">
        <v>0</v>
      </c>
      <c r="E3113" t="s">
        <v>726</v>
      </c>
    </row>
    <row r="3114" spans="1:5" hidden="1" x14ac:dyDescent="0.3">
      <c r="A3114" t="s">
        <v>557</v>
      </c>
      <c r="B3114" t="s">
        <v>725</v>
      </c>
      <c r="C3114" t="s">
        <v>325</v>
      </c>
      <c r="D3114" s="230">
        <v>0</v>
      </c>
      <c r="E3114" t="s">
        <v>726</v>
      </c>
    </row>
    <row r="3115" spans="1:5" hidden="1" x14ac:dyDescent="0.3">
      <c r="A3115" t="s">
        <v>557</v>
      </c>
      <c r="B3115" t="s">
        <v>725</v>
      </c>
      <c r="C3115" t="s">
        <v>326</v>
      </c>
      <c r="D3115" s="230">
        <v>-21010.6</v>
      </c>
      <c r="E3115" t="s">
        <v>726</v>
      </c>
    </row>
    <row r="3116" spans="1:5" hidden="1" x14ac:dyDescent="0.3">
      <c r="A3116" t="s">
        <v>557</v>
      </c>
      <c r="B3116" t="s">
        <v>725</v>
      </c>
      <c r="C3116" t="s">
        <v>44</v>
      </c>
      <c r="D3116" s="230">
        <v>-0.05</v>
      </c>
      <c r="E3116" t="s">
        <v>726</v>
      </c>
    </row>
    <row r="3117" spans="1:5" hidden="1" x14ac:dyDescent="0.3">
      <c r="A3117" t="s">
        <v>557</v>
      </c>
      <c r="B3117" t="s">
        <v>725</v>
      </c>
      <c r="C3117" t="s">
        <v>328</v>
      </c>
      <c r="D3117" s="230">
        <v>-257928.26</v>
      </c>
      <c r="E3117" t="s">
        <v>726</v>
      </c>
    </row>
    <row r="3118" spans="1:5" hidden="1" x14ac:dyDescent="0.3">
      <c r="A3118" t="s">
        <v>557</v>
      </c>
      <c r="B3118" t="s">
        <v>725</v>
      </c>
      <c r="C3118" t="s">
        <v>44</v>
      </c>
      <c r="D3118" s="230">
        <v>-0.61</v>
      </c>
      <c r="E3118" t="s">
        <v>726</v>
      </c>
    </row>
    <row r="3119" spans="1:5" hidden="1" x14ac:dyDescent="0.3">
      <c r="A3119" t="s">
        <v>557</v>
      </c>
      <c r="B3119" t="s">
        <v>725</v>
      </c>
      <c r="C3119" t="s">
        <v>329</v>
      </c>
      <c r="D3119" s="230">
        <v>-34919.72</v>
      </c>
      <c r="E3119" t="s">
        <v>726</v>
      </c>
    </row>
    <row r="3120" spans="1:5" hidden="1" x14ac:dyDescent="0.3">
      <c r="A3120" t="s">
        <v>557</v>
      </c>
      <c r="B3120" t="s">
        <v>725</v>
      </c>
      <c r="C3120" t="s">
        <v>44</v>
      </c>
      <c r="D3120" s="230">
        <v>-0.08</v>
      </c>
      <c r="E3120" t="s">
        <v>726</v>
      </c>
    </row>
    <row r="3121" spans="1:5" hidden="1" x14ac:dyDescent="0.3">
      <c r="A3121" t="s">
        <v>557</v>
      </c>
      <c r="B3121" t="s">
        <v>725</v>
      </c>
      <c r="C3121" t="s">
        <v>330</v>
      </c>
      <c r="D3121" s="230">
        <v>0</v>
      </c>
      <c r="E3121" t="s">
        <v>726</v>
      </c>
    </row>
    <row r="3122" spans="1:5" hidden="1" x14ac:dyDescent="0.3">
      <c r="A3122" t="s">
        <v>557</v>
      </c>
      <c r="B3122" t="s">
        <v>725</v>
      </c>
      <c r="C3122" t="s">
        <v>332</v>
      </c>
      <c r="D3122" s="230">
        <v>-34919.72</v>
      </c>
      <c r="E3122" t="s">
        <v>726</v>
      </c>
    </row>
    <row r="3123" spans="1:5" hidden="1" x14ac:dyDescent="0.3">
      <c r="A3123" t="s">
        <v>557</v>
      </c>
      <c r="B3123" t="s">
        <v>725</v>
      </c>
      <c r="C3123" t="s">
        <v>333</v>
      </c>
      <c r="D3123" s="230">
        <v>8197.51</v>
      </c>
      <c r="E3123" t="s">
        <v>726</v>
      </c>
    </row>
    <row r="3124" spans="1:5" hidden="1" x14ac:dyDescent="0.3">
      <c r="A3124" t="s">
        <v>557</v>
      </c>
      <c r="B3124" t="s">
        <v>725</v>
      </c>
      <c r="C3124" t="s">
        <v>334</v>
      </c>
      <c r="D3124" s="230">
        <v>0</v>
      </c>
      <c r="E3124" t="s">
        <v>726</v>
      </c>
    </row>
    <row r="3125" spans="1:5" hidden="1" x14ac:dyDescent="0.3">
      <c r="A3125" t="s">
        <v>557</v>
      </c>
      <c r="B3125" t="s">
        <v>725</v>
      </c>
      <c r="C3125" t="s">
        <v>336</v>
      </c>
      <c r="D3125" s="230">
        <v>-1544.62</v>
      </c>
      <c r="E3125" t="s">
        <v>726</v>
      </c>
    </row>
    <row r="3126" spans="1:5" hidden="1" x14ac:dyDescent="0.3">
      <c r="A3126" t="s">
        <v>557</v>
      </c>
      <c r="B3126" t="s">
        <v>725</v>
      </c>
      <c r="C3126" t="s">
        <v>338</v>
      </c>
      <c r="D3126" s="230">
        <v>-28266.83</v>
      </c>
      <c r="E3126" t="s">
        <v>726</v>
      </c>
    </row>
    <row r="3127" spans="1:5" hidden="1" x14ac:dyDescent="0.3">
      <c r="A3127" t="s">
        <v>557</v>
      </c>
      <c r="B3127" t="s">
        <v>725</v>
      </c>
      <c r="C3127" t="s">
        <v>339</v>
      </c>
      <c r="D3127" s="230">
        <v>-10759.97</v>
      </c>
      <c r="E3127" t="s">
        <v>726</v>
      </c>
    </row>
    <row r="3128" spans="1:5" hidden="1" x14ac:dyDescent="0.3">
      <c r="A3128" t="s">
        <v>557</v>
      </c>
      <c r="B3128" t="s">
        <v>725</v>
      </c>
      <c r="C3128" t="s">
        <v>342</v>
      </c>
      <c r="D3128" s="230">
        <v>0</v>
      </c>
      <c r="E3128" t="s">
        <v>726</v>
      </c>
    </row>
    <row r="3129" spans="1:5" hidden="1" x14ac:dyDescent="0.3">
      <c r="A3129" t="s">
        <v>557</v>
      </c>
      <c r="B3129" t="s">
        <v>725</v>
      </c>
      <c r="C3129" t="s">
        <v>344</v>
      </c>
      <c r="D3129" s="230">
        <v>-4318.38</v>
      </c>
      <c r="E3129" t="s">
        <v>726</v>
      </c>
    </row>
    <row r="3130" spans="1:5" hidden="1" x14ac:dyDescent="0.3">
      <c r="A3130" t="s">
        <v>557</v>
      </c>
      <c r="B3130" t="s">
        <v>725</v>
      </c>
      <c r="C3130" t="s">
        <v>345</v>
      </c>
      <c r="D3130" s="230">
        <v>-2555.04</v>
      </c>
      <c r="E3130" t="s">
        <v>726</v>
      </c>
    </row>
    <row r="3131" spans="1:5" hidden="1" x14ac:dyDescent="0.3">
      <c r="A3131" t="s">
        <v>557</v>
      </c>
      <c r="B3131" t="s">
        <v>725</v>
      </c>
      <c r="C3131" t="s">
        <v>346</v>
      </c>
      <c r="D3131" s="230">
        <v>-3886.54</v>
      </c>
      <c r="E3131" t="s">
        <v>726</v>
      </c>
    </row>
    <row r="3132" spans="1:5" hidden="1" x14ac:dyDescent="0.3">
      <c r="A3132" t="s">
        <v>557</v>
      </c>
      <c r="B3132" t="s">
        <v>725</v>
      </c>
      <c r="C3132" t="s">
        <v>347</v>
      </c>
      <c r="D3132" s="230">
        <v>-39026.800000000003</v>
      </c>
      <c r="E3132" t="s">
        <v>726</v>
      </c>
    </row>
    <row r="3133" spans="1:5" hidden="1" x14ac:dyDescent="0.3">
      <c r="A3133" t="s">
        <v>557</v>
      </c>
      <c r="B3133" t="s">
        <v>725</v>
      </c>
      <c r="C3133" t="s">
        <v>44</v>
      </c>
      <c r="D3133" s="230">
        <v>-0.09</v>
      </c>
      <c r="E3133" t="s">
        <v>726</v>
      </c>
    </row>
    <row r="3134" spans="1:5" hidden="1" x14ac:dyDescent="0.3">
      <c r="A3134" t="s">
        <v>557</v>
      </c>
      <c r="B3134" t="s">
        <v>725</v>
      </c>
      <c r="C3134" t="s">
        <v>348</v>
      </c>
      <c r="D3134" s="230">
        <v>-2263.42</v>
      </c>
      <c r="E3134" t="s">
        <v>726</v>
      </c>
    </row>
    <row r="3135" spans="1:5" hidden="1" x14ac:dyDescent="0.3">
      <c r="A3135" t="s">
        <v>557</v>
      </c>
      <c r="B3135" t="s">
        <v>725</v>
      </c>
      <c r="C3135" t="s">
        <v>707</v>
      </c>
      <c r="D3135" s="230">
        <v>-433.34</v>
      </c>
      <c r="E3135" t="s">
        <v>726</v>
      </c>
    </row>
    <row r="3136" spans="1:5" hidden="1" x14ac:dyDescent="0.3">
      <c r="A3136" t="s">
        <v>557</v>
      </c>
      <c r="B3136" t="s">
        <v>725</v>
      </c>
      <c r="C3136" t="s">
        <v>350</v>
      </c>
      <c r="D3136" s="230">
        <v>-1830.08</v>
      </c>
      <c r="E3136" t="s">
        <v>726</v>
      </c>
    </row>
    <row r="3137" spans="1:5" hidden="1" x14ac:dyDescent="0.3">
      <c r="A3137" t="s">
        <v>557</v>
      </c>
      <c r="B3137" t="s">
        <v>725</v>
      </c>
      <c r="C3137" t="s">
        <v>351</v>
      </c>
      <c r="D3137" s="230">
        <v>0</v>
      </c>
      <c r="E3137" t="s">
        <v>726</v>
      </c>
    </row>
    <row r="3138" spans="1:5" hidden="1" x14ac:dyDescent="0.3">
      <c r="A3138" t="s">
        <v>557</v>
      </c>
      <c r="B3138" t="s">
        <v>725</v>
      </c>
      <c r="C3138" t="s">
        <v>352</v>
      </c>
      <c r="D3138" s="230">
        <v>0</v>
      </c>
      <c r="E3138" t="s">
        <v>726</v>
      </c>
    </row>
    <row r="3139" spans="1:5" hidden="1" x14ac:dyDescent="0.3">
      <c r="A3139" t="s">
        <v>557</v>
      </c>
      <c r="B3139" t="s">
        <v>725</v>
      </c>
      <c r="C3139" t="s">
        <v>353</v>
      </c>
      <c r="D3139" s="230">
        <v>0</v>
      </c>
      <c r="E3139" t="s">
        <v>726</v>
      </c>
    </row>
    <row r="3140" spans="1:5" hidden="1" x14ac:dyDescent="0.3">
      <c r="A3140" t="s">
        <v>557</v>
      </c>
      <c r="B3140" t="s">
        <v>725</v>
      </c>
      <c r="C3140" t="s">
        <v>354</v>
      </c>
      <c r="D3140" s="230">
        <v>0</v>
      </c>
      <c r="E3140" t="s">
        <v>726</v>
      </c>
    </row>
    <row r="3141" spans="1:5" hidden="1" x14ac:dyDescent="0.3">
      <c r="A3141" t="s">
        <v>557</v>
      </c>
      <c r="B3141" t="s">
        <v>725</v>
      </c>
      <c r="C3141" t="s">
        <v>355</v>
      </c>
      <c r="D3141" s="230">
        <v>0</v>
      </c>
      <c r="E3141" t="s">
        <v>726</v>
      </c>
    </row>
    <row r="3142" spans="1:5" hidden="1" x14ac:dyDescent="0.3">
      <c r="A3142" t="s">
        <v>557</v>
      </c>
      <c r="B3142" t="s">
        <v>725</v>
      </c>
      <c r="C3142" t="s">
        <v>356</v>
      </c>
      <c r="D3142" s="230">
        <v>0</v>
      </c>
      <c r="E3142" t="s">
        <v>726</v>
      </c>
    </row>
    <row r="3143" spans="1:5" hidden="1" x14ac:dyDescent="0.3">
      <c r="A3143" t="s">
        <v>557</v>
      </c>
      <c r="B3143" t="s">
        <v>725</v>
      </c>
      <c r="C3143" t="s">
        <v>357</v>
      </c>
      <c r="D3143" s="230">
        <v>0</v>
      </c>
      <c r="E3143" t="s">
        <v>726</v>
      </c>
    </row>
    <row r="3144" spans="1:5" hidden="1" x14ac:dyDescent="0.3">
      <c r="A3144" t="s">
        <v>557</v>
      </c>
      <c r="B3144" t="s">
        <v>725</v>
      </c>
      <c r="C3144" t="s">
        <v>358</v>
      </c>
      <c r="D3144" s="230">
        <v>0</v>
      </c>
      <c r="E3144" t="s">
        <v>726</v>
      </c>
    </row>
    <row r="3145" spans="1:5" hidden="1" x14ac:dyDescent="0.3">
      <c r="A3145" t="s">
        <v>557</v>
      </c>
      <c r="B3145" t="s">
        <v>725</v>
      </c>
      <c r="C3145" t="s">
        <v>359</v>
      </c>
      <c r="D3145" s="230">
        <v>0</v>
      </c>
      <c r="E3145" t="s">
        <v>726</v>
      </c>
    </row>
    <row r="3146" spans="1:5" hidden="1" x14ac:dyDescent="0.3">
      <c r="A3146" t="s">
        <v>557</v>
      </c>
      <c r="B3146" t="s">
        <v>725</v>
      </c>
      <c r="C3146" t="s">
        <v>360</v>
      </c>
      <c r="D3146" s="230">
        <v>0</v>
      </c>
      <c r="E3146" t="s">
        <v>726</v>
      </c>
    </row>
    <row r="3147" spans="1:5" hidden="1" x14ac:dyDescent="0.3">
      <c r="A3147" t="s">
        <v>557</v>
      </c>
      <c r="B3147" t="s">
        <v>725</v>
      </c>
      <c r="C3147" t="s">
        <v>361</v>
      </c>
      <c r="D3147" s="230">
        <v>0</v>
      </c>
      <c r="E3147" t="s">
        <v>726</v>
      </c>
    </row>
    <row r="3148" spans="1:5" hidden="1" x14ac:dyDescent="0.3">
      <c r="A3148" t="s">
        <v>557</v>
      </c>
      <c r="B3148" t="s">
        <v>725</v>
      </c>
      <c r="C3148" t="s">
        <v>362</v>
      </c>
      <c r="D3148" s="230">
        <v>0</v>
      </c>
      <c r="E3148" t="s">
        <v>726</v>
      </c>
    </row>
    <row r="3149" spans="1:5" hidden="1" x14ac:dyDescent="0.3">
      <c r="A3149" t="s">
        <v>557</v>
      </c>
      <c r="B3149" t="s">
        <v>725</v>
      </c>
      <c r="C3149" t="s">
        <v>363</v>
      </c>
      <c r="D3149" s="230">
        <v>0</v>
      </c>
      <c r="E3149" t="s">
        <v>726</v>
      </c>
    </row>
    <row r="3150" spans="1:5" hidden="1" x14ac:dyDescent="0.3">
      <c r="A3150" t="s">
        <v>557</v>
      </c>
      <c r="B3150" t="s">
        <v>725</v>
      </c>
      <c r="C3150" t="s">
        <v>364</v>
      </c>
      <c r="D3150" s="230">
        <v>0</v>
      </c>
      <c r="E3150" t="s">
        <v>726</v>
      </c>
    </row>
    <row r="3151" spans="1:5" hidden="1" x14ac:dyDescent="0.3">
      <c r="A3151" t="s">
        <v>557</v>
      </c>
      <c r="B3151" t="s">
        <v>725</v>
      </c>
      <c r="C3151" t="s">
        <v>365</v>
      </c>
      <c r="D3151" s="230">
        <v>0</v>
      </c>
      <c r="E3151" t="s">
        <v>726</v>
      </c>
    </row>
    <row r="3152" spans="1:5" hidden="1" x14ac:dyDescent="0.3">
      <c r="A3152" t="s">
        <v>557</v>
      </c>
      <c r="B3152" t="s">
        <v>725</v>
      </c>
      <c r="C3152" t="s">
        <v>366</v>
      </c>
      <c r="D3152" s="230">
        <v>0</v>
      </c>
      <c r="E3152" t="s">
        <v>726</v>
      </c>
    </row>
    <row r="3153" spans="1:5" hidden="1" x14ac:dyDescent="0.3">
      <c r="A3153" t="s">
        <v>557</v>
      </c>
      <c r="B3153" t="s">
        <v>725</v>
      </c>
      <c r="C3153" t="s">
        <v>367</v>
      </c>
      <c r="D3153" s="230">
        <v>0</v>
      </c>
      <c r="E3153" t="s">
        <v>726</v>
      </c>
    </row>
    <row r="3154" spans="1:5" hidden="1" x14ac:dyDescent="0.3">
      <c r="A3154" t="s">
        <v>557</v>
      </c>
      <c r="B3154" t="s">
        <v>725</v>
      </c>
      <c r="C3154" t="s">
        <v>368</v>
      </c>
      <c r="D3154" s="230">
        <v>0</v>
      </c>
      <c r="E3154" t="s">
        <v>726</v>
      </c>
    </row>
    <row r="3155" spans="1:5" hidden="1" x14ac:dyDescent="0.3">
      <c r="A3155" t="s">
        <v>557</v>
      </c>
      <c r="B3155" t="s">
        <v>725</v>
      </c>
      <c r="C3155" t="s">
        <v>369</v>
      </c>
      <c r="D3155" s="230">
        <v>0</v>
      </c>
      <c r="E3155" t="s">
        <v>726</v>
      </c>
    </row>
    <row r="3156" spans="1:5" hidden="1" x14ac:dyDescent="0.3">
      <c r="A3156" t="s">
        <v>557</v>
      </c>
      <c r="B3156" t="s">
        <v>725</v>
      </c>
      <c r="C3156" t="s">
        <v>370</v>
      </c>
      <c r="D3156" s="230">
        <v>0</v>
      </c>
      <c r="E3156" t="s">
        <v>726</v>
      </c>
    </row>
    <row r="3157" spans="1:5" hidden="1" x14ac:dyDescent="0.3">
      <c r="A3157" t="s">
        <v>557</v>
      </c>
      <c r="B3157" t="s">
        <v>725</v>
      </c>
      <c r="C3157" t="s">
        <v>371</v>
      </c>
      <c r="D3157" s="230">
        <v>0</v>
      </c>
      <c r="E3157" t="s">
        <v>726</v>
      </c>
    </row>
    <row r="3158" spans="1:5" hidden="1" x14ac:dyDescent="0.3">
      <c r="A3158" t="s">
        <v>557</v>
      </c>
      <c r="B3158" t="s">
        <v>725</v>
      </c>
      <c r="C3158" t="s">
        <v>372</v>
      </c>
      <c r="D3158" s="230">
        <v>0</v>
      </c>
      <c r="E3158" t="s">
        <v>726</v>
      </c>
    </row>
    <row r="3159" spans="1:5" hidden="1" x14ac:dyDescent="0.3">
      <c r="A3159" t="s">
        <v>557</v>
      </c>
      <c r="B3159" t="s">
        <v>725</v>
      </c>
      <c r="C3159" t="s">
        <v>373</v>
      </c>
      <c r="D3159" s="230">
        <v>0</v>
      </c>
      <c r="E3159" t="s">
        <v>726</v>
      </c>
    </row>
    <row r="3160" spans="1:5" hidden="1" x14ac:dyDescent="0.3">
      <c r="A3160" t="s">
        <v>557</v>
      </c>
      <c r="B3160" t="s">
        <v>725</v>
      </c>
      <c r="C3160" t="s">
        <v>374</v>
      </c>
      <c r="D3160" s="230">
        <v>0</v>
      </c>
      <c r="E3160" t="s">
        <v>726</v>
      </c>
    </row>
    <row r="3161" spans="1:5" hidden="1" x14ac:dyDescent="0.3">
      <c r="A3161" t="s">
        <v>557</v>
      </c>
      <c r="B3161" t="s">
        <v>725</v>
      </c>
      <c r="C3161" t="s">
        <v>708</v>
      </c>
      <c r="D3161" s="230">
        <v>0</v>
      </c>
      <c r="E3161" t="s">
        <v>726</v>
      </c>
    </row>
    <row r="3162" spans="1:5" hidden="1" x14ac:dyDescent="0.3">
      <c r="A3162" t="s">
        <v>557</v>
      </c>
      <c r="B3162" t="s">
        <v>727</v>
      </c>
      <c r="C3162" t="s">
        <v>11</v>
      </c>
      <c r="D3162" s="230">
        <v>429808.8</v>
      </c>
      <c r="E3162" t="s">
        <v>728</v>
      </c>
    </row>
    <row r="3163" spans="1:5" hidden="1" x14ac:dyDescent="0.3">
      <c r="A3163" t="s">
        <v>557</v>
      </c>
      <c r="B3163" t="s">
        <v>727</v>
      </c>
      <c r="C3163" t="s">
        <v>13</v>
      </c>
      <c r="D3163" s="230">
        <v>202791.1</v>
      </c>
      <c r="E3163" t="s">
        <v>728</v>
      </c>
    </row>
    <row r="3164" spans="1:5" hidden="1" x14ac:dyDescent="0.3">
      <c r="A3164" t="s">
        <v>557</v>
      </c>
      <c r="B3164" t="s">
        <v>727</v>
      </c>
      <c r="C3164" t="s">
        <v>16</v>
      </c>
      <c r="D3164" s="230">
        <v>100527.2</v>
      </c>
      <c r="E3164" t="s">
        <v>728</v>
      </c>
    </row>
    <row r="3165" spans="1:5" hidden="1" x14ac:dyDescent="0.3">
      <c r="A3165" t="s">
        <v>557</v>
      </c>
      <c r="B3165" t="s">
        <v>727</v>
      </c>
      <c r="C3165" t="s">
        <v>17</v>
      </c>
      <c r="D3165" s="230">
        <v>5500</v>
      </c>
      <c r="E3165" t="s">
        <v>728</v>
      </c>
    </row>
    <row r="3166" spans="1:5" hidden="1" x14ac:dyDescent="0.3">
      <c r="A3166" t="s">
        <v>557</v>
      </c>
      <c r="B3166" t="s">
        <v>727</v>
      </c>
      <c r="C3166" t="s">
        <v>18</v>
      </c>
      <c r="D3166" s="230">
        <v>202.5</v>
      </c>
      <c r="E3166" t="s">
        <v>728</v>
      </c>
    </row>
    <row r="3167" spans="1:5" hidden="1" x14ac:dyDescent="0.3">
      <c r="A3167" t="s">
        <v>557</v>
      </c>
      <c r="B3167" t="s">
        <v>727</v>
      </c>
      <c r="C3167" t="s">
        <v>20</v>
      </c>
      <c r="D3167" s="230">
        <v>38438.85</v>
      </c>
      <c r="E3167" t="s">
        <v>728</v>
      </c>
    </row>
    <row r="3168" spans="1:5" hidden="1" x14ac:dyDescent="0.3">
      <c r="A3168" t="s">
        <v>557</v>
      </c>
      <c r="B3168" t="s">
        <v>727</v>
      </c>
      <c r="C3168" t="s">
        <v>23</v>
      </c>
      <c r="D3168" s="230">
        <v>52009.8</v>
      </c>
      <c r="E3168" t="s">
        <v>728</v>
      </c>
    </row>
    <row r="3169" spans="1:5" hidden="1" x14ac:dyDescent="0.3">
      <c r="A3169" t="s">
        <v>557</v>
      </c>
      <c r="B3169" t="s">
        <v>727</v>
      </c>
      <c r="C3169" t="s">
        <v>25</v>
      </c>
      <c r="D3169" s="230">
        <v>0</v>
      </c>
      <c r="E3169" t="s">
        <v>728</v>
      </c>
    </row>
    <row r="3170" spans="1:5" hidden="1" x14ac:dyDescent="0.3">
      <c r="A3170" t="s">
        <v>557</v>
      </c>
      <c r="B3170" t="s">
        <v>727</v>
      </c>
      <c r="C3170" t="s">
        <v>26</v>
      </c>
      <c r="D3170" s="230">
        <v>27100</v>
      </c>
      <c r="E3170" t="s">
        <v>728</v>
      </c>
    </row>
    <row r="3171" spans="1:5" hidden="1" x14ac:dyDescent="0.3">
      <c r="A3171" t="s">
        <v>557</v>
      </c>
      <c r="B3171" t="s">
        <v>727</v>
      </c>
      <c r="C3171" t="s">
        <v>27</v>
      </c>
      <c r="D3171" s="230">
        <v>0</v>
      </c>
      <c r="E3171" t="s">
        <v>728</v>
      </c>
    </row>
    <row r="3172" spans="1:5" hidden="1" x14ac:dyDescent="0.3">
      <c r="A3172" t="s">
        <v>557</v>
      </c>
      <c r="B3172" t="s">
        <v>727</v>
      </c>
      <c r="C3172" t="s">
        <v>29</v>
      </c>
      <c r="D3172" s="230">
        <v>3239.35</v>
      </c>
      <c r="E3172" t="s">
        <v>728</v>
      </c>
    </row>
    <row r="3173" spans="1:5" hidden="1" x14ac:dyDescent="0.3">
      <c r="A3173" t="s">
        <v>557</v>
      </c>
      <c r="B3173" t="s">
        <v>727</v>
      </c>
      <c r="C3173" t="s">
        <v>31</v>
      </c>
      <c r="D3173" s="230">
        <v>0</v>
      </c>
      <c r="E3173" t="s">
        <v>728</v>
      </c>
    </row>
    <row r="3174" spans="1:5" hidden="1" x14ac:dyDescent="0.3">
      <c r="A3174" t="s">
        <v>557</v>
      </c>
      <c r="B3174" t="s">
        <v>727</v>
      </c>
      <c r="C3174" t="s">
        <v>34</v>
      </c>
      <c r="D3174" s="230">
        <v>-15293.75</v>
      </c>
      <c r="E3174" t="s">
        <v>728</v>
      </c>
    </row>
    <row r="3175" spans="1:5" hidden="1" x14ac:dyDescent="0.3">
      <c r="A3175" t="s">
        <v>557</v>
      </c>
      <c r="B3175" t="s">
        <v>727</v>
      </c>
      <c r="C3175" t="s">
        <v>38</v>
      </c>
      <c r="D3175" s="230">
        <v>-15293.75</v>
      </c>
      <c r="E3175" t="s">
        <v>728</v>
      </c>
    </row>
    <row r="3176" spans="1:5" hidden="1" x14ac:dyDescent="0.3">
      <c r="A3176" t="s">
        <v>557</v>
      </c>
      <c r="B3176" t="s">
        <v>727</v>
      </c>
      <c r="C3176" t="s">
        <v>40</v>
      </c>
      <c r="D3176" s="230">
        <v>0</v>
      </c>
      <c r="E3176" t="s">
        <v>728</v>
      </c>
    </row>
    <row r="3177" spans="1:5" hidden="1" x14ac:dyDescent="0.3">
      <c r="A3177" t="s">
        <v>557</v>
      </c>
      <c r="B3177" t="s">
        <v>727</v>
      </c>
      <c r="C3177" t="s">
        <v>42</v>
      </c>
      <c r="D3177" s="230">
        <v>0</v>
      </c>
      <c r="E3177" t="s">
        <v>728</v>
      </c>
    </row>
    <row r="3178" spans="1:5" hidden="1" x14ac:dyDescent="0.3">
      <c r="A3178" t="s">
        <v>557</v>
      </c>
      <c r="B3178" t="s">
        <v>727</v>
      </c>
      <c r="C3178" t="s">
        <v>44</v>
      </c>
      <c r="D3178" s="230">
        <v>-0.04</v>
      </c>
      <c r="E3178" t="s">
        <v>728</v>
      </c>
    </row>
    <row r="3179" spans="1:5" hidden="1" x14ac:dyDescent="0.3">
      <c r="A3179" t="s">
        <v>557</v>
      </c>
      <c r="B3179" t="s">
        <v>727</v>
      </c>
      <c r="C3179" t="s">
        <v>45</v>
      </c>
      <c r="D3179" s="230">
        <v>-26972.400000000001</v>
      </c>
      <c r="E3179" t="s">
        <v>728</v>
      </c>
    </row>
    <row r="3180" spans="1:5" hidden="1" x14ac:dyDescent="0.3">
      <c r="A3180" t="s">
        <v>557</v>
      </c>
      <c r="B3180" t="s">
        <v>727</v>
      </c>
      <c r="C3180" t="s">
        <v>46</v>
      </c>
      <c r="D3180" s="230">
        <v>-13726.78</v>
      </c>
      <c r="E3180" t="s">
        <v>728</v>
      </c>
    </row>
    <row r="3181" spans="1:5" hidden="1" x14ac:dyDescent="0.3">
      <c r="A3181" t="s">
        <v>557</v>
      </c>
      <c r="B3181" t="s">
        <v>727</v>
      </c>
      <c r="C3181" t="s">
        <v>48</v>
      </c>
      <c r="D3181" s="230">
        <v>-10370.120000000001</v>
      </c>
      <c r="E3181" t="s">
        <v>728</v>
      </c>
    </row>
    <row r="3182" spans="1:5" hidden="1" x14ac:dyDescent="0.3">
      <c r="A3182" t="s">
        <v>557</v>
      </c>
      <c r="B3182" t="s">
        <v>727</v>
      </c>
      <c r="C3182" t="s">
        <v>49</v>
      </c>
      <c r="D3182" s="230">
        <v>-2875.49</v>
      </c>
      <c r="E3182" t="s">
        <v>728</v>
      </c>
    </row>
    <row r="3183" spans="1:5" hidden="1" x14ac:dyDescent="0.3">
      <c r="A3183" t="s">
        <v>557</v>
      </c>
      <c r="B3183" t="s">
        <v>727</v>
      </c>
      <c r="C3183" t="s">
        <v>50</v>
      </c>
      <c r="D3183" s="230">
        <v>387542.66</v>
      </c>
      <c r="E3183" t="s">
        <v>728</v>
      </c>
    </row>
    <row r="3184" spans="1:5" hidden="1" x14ac:dyDescent="0.3">
      <c r="A3184" t="s">
        <v>557</v>
      </c>
      <c r="B3184" t="s">
        <v>727</v>
      </c>
      <c r="C3184" t="s">
        <v>51</v>
      </c>
      <c r="D3184" s="230">
        <v>-107003.09</v>
      </c>
      <c r="E3184" t="s">
        <v>728</v>
      </c>
    </row>
    <row r="3185" spans="1:5" hidden="1" x14ac:dyDescent="0.3">
      <c r="A3185" t="s">
        <v>557</v>
      </c>
      <c r="B3185" t="s">
        <v>727</v>
      </c>
      <c r="C3185" t="s">
        <v>52</v>
      </c>
      <c r="D3185" s="230">
        <v>-74311.990000000005</v>
      </c>
      <c r="E3185" t="s">
        <v>728</v>
      </c>
    </row>
    <row r="3186" spans="1:5" hidden="1" x14ac:dyDescent="0.3">
      <c r="A3186" t="s">
        <v>557</v>
      </c>
      <c r="B3186" t="s">
        <v>727</v>
      </c>
      <c r="C3186" t="s">
        <v>53</v>
      </c>
      <c r="D3186" s="230">
        <v>-32691.1</v>
      </c>
      <c r="E3186" t="s">
        <v>728</v>
      </c>
    </row>
    <row r="3187" spans="1:5" hidden="1" x14ac:dyDescent="0.3">
      <c r="A3187" t="s">
        <v>557</v>
      </c>
      <c r="B3187" t="s">
        <v>727</v>
      </c>
      <c r="C3187" t="s">
        <v>54</v>
      </c>
      <c r="D3187" s="230">
        <v>0</v>
      </c>
      <c r="E3187" t="s">
        <v>728</v>
      </c>
    </row>
    <row r="3188" spans="1:5" hidden="1" x14ac:dyDescent="0.3">
      <c r="A3188" t="s">
        <v>557</v>
      </c>
      <c r="B3188" t="s">
        <v>727</v>
      </c>
      <c r="C3188" t="s">
        <v>23</v>
      </c>
      <c r="D3188" s="230">
        <v>0</v>
      </c>
      <c r="E3188" t="s">
        <v>728</v>
      </c>
    </row>
    <row r="3189" spans="1:5" hidden="1" x14ac:dyDescent="0.3">
      <c r="A3189" t="s">
        <v>557</v>
      </c>
      <c r="B3189" t="s">
        <v>727</v>
      </c>
      <c r="C3189" t="s">
        <v>44</v>
      </c>
      <c r="D3189" s="230">
        <v>-0.3</v>
      </c>
      <c r="E3189" t="s">
        <v>728</v>
      </c>
    </row>
    <row r="3190" spans="1:5" hidden="1" x14ac:dyDescent="0.3">
      <c r="A3190" t="s">
        <v>557</v>
      </c>
      <c r="B3190" t="s">
        <v>727</v>
      </c>
      <c r="C3190" t="s">
        <v>55</v>
      </c>
      <c r="D3190" s="230">
        <v>-0.28000000000000003</v>
      </c>
      <c r="E3190" t="s">
        <v>728</v>
      </c>
    </row>
    <row r="3191" spans="1:5" hidden="1" x14ac:dyDescent="0.3">
      <c r="A3191" t="s">
        <v>557</v>
      </c>
      <c r="B3191" t="s">
        <v>727</v>
      </c>
      <c r="C3191" t="s">
        <v>56</v>
      </c>
      <c r="D3191" s="230">
        <v>-10310.89</v>
      </c>
      <c r="E3191" t="s">
        <v>728</v>
      </c>
    </row>
    <row r="3192" spans="1:5" hidden="1" x14ac:dyDescent="0.3">
      <c r="A3192" t="s">
        <v>557</v>
      </c>
      <c r="B3192" t="s">
        <v>727</v>
      </c>
      <c r="C3192" t="s">
        <v>57</v>
      </c>
      <c r="D3192" s="230">
        <v>-7977.89</v>
      </c>
      <c r="E3192" t="s">
        <v>728</v>
      </c>
    </row>
    <row r="3193" spans="1:5" hidden="1" x14ac:dyDescent="0.3">
      <c r="A3193" t="s">
        <v>557</v>
      </c>
      <c r="B3193" t="s">
        <v>727</v>
      </c>
      <c r="C3193" t="s">
        <v>58</v>
      </c>
      <c r="D3193" s="230">
        <v>-7900</v>
      </c>
      <c r="E3193" t="s">
        <v>728</v>
      </c>
    </row>
    <row r="3194" spans="1:5" hidden="1" x14ac:dyDescent="0.3">
      <c r="A3194" t="s">
        <v>557</v>
      </c>
      <c r="B3194" t="s">
        <v>727</v>
      </c>
      <c r="C3194" t="s">
        <v>59</v>
      </c>
      <c r="D3194" s="230">
        <v>-77.89</v>
      </c>
      <c r="E3194" t="s">
        <v>728</v>
      </c>
    </row>
    <row r="3195" spans="1:5" hidden="1" x14ac:dyDescent="0.3">
      <c r="A3195" t="s">
        <v>557</v>
      </c>
      <c r="B3195" t="s">
        <v>727</v>
      </c>
      <c r="C3195" t="s">
        <v>61</v>
      </c>
      <c r="D3195" s="230">
        <v>0</v>
      </c>
      <c r="E3195" t="s">
        <v>728</v>
      </c>
    </row>
    <row r="3196" spans="1:5" hidden="1" x14ac:dyDescent="0.3">
      <c r="A3196" t="s">
        <v>557</v>
      </c>
      <c r="B3196" t="s">
        <v>727</v>
      </c>
      <c r="C3196" t="s">
        <v>62</v>
      </c>
      <c r="D3196" s="230">
        <v>0</v>
      </c>
      <c r="E3196" t="s">
        <v>728</v>
      </c>
    </row>
    <row r="3197" spans="1:5" hidden="1" x14ac:dyDescent="0.3">
      <c r="A3197" t="s">
        <v>557</v>
      </c>
      <c r="B3197" t="s">
        <v>727</v>
      </c>
      <c r="C3197" t="s">
        <v>64</v>
      </c>
      <c r="D3197" s="230">
        <v>0</v>
      </c>
      <c r="E3197" t="s">
        <v>728</v>
      </c>
    </row>
    <row r="3198" spans="1:5" hidden="1" x14ac:dyDescent="0.3">
      <c r="A3198" t="s">
        <v>557</v>
      </c>
      <c r="B3198" t="s">
        <v>727</v>
      </c>
      <c r="C3198" t="s">
        <v>65</v>
      </c>
      <c r="D3198" s="230">
        <v>-2333</v>
      </c>
      <c r="E3198" t="s">
        <v>728</v>
      </c>
    </row>
    <row r="3199" spans="1:5" hidden="1" x14ac:dyDescent="0.3">
      <c r="A3199" t="s">
        <v>557</v>
      </c>
      <c r="B3199" t="s">
        <v>727</v>
      </c>
      <c r="C3199" t="s">
        <v>66</v>
      </c>
      <c r="D3199" s="230">
        <v>-2333</v>
      </c>
      <c r="E3199" t="s">
        <v>728</v>
      </c>
    </row>
    <row r="3200" spans="1:5" hidden="1" x14ac:dyDescent="0.3">
      <c r="A3200" t="s">
        <v>557</v>
      </c>
      <c r="B3200" t="s">
        <v>727</v>
      </c>
      <c r="C3200" t="s">
        <v>68</v>
      </c>
      <c r="D3200" s="230">
        <v>0</v>
      </c>
      <c r="E3200" t="s">
        <v>728</v>
      </c>
    </row>
    <row r="3201" spans="1:5" hidden="1" x14ac:dyDescent="0.3">
      <c r="A3201" t="s">
        <v>557</v>
      </c>
      <c r="B3201" t="s">
        <v>727</v>
      </c>
      <c r="C3201" t="s">
        <v>69</v>
      </c>
      <c r="D3201" s="230">
        <v>0</v>
      </c>
      <c r="E3201" t="s">
        <v>728</v>
      </c>
    </row>
    <row r="3202" spans="1:5" hidden="1" x14ac:dyDescent="0.3">
      <c r="A3202" t="s">
        <v>557</v>
      </c>
      <c r="B3202" t="s">
        <v>727</v>
      </c>
      <c r="C3202" t="s">
        <v>70</v>
      </c>
      <c r="D3202" s="230">
        <v>-1.87</v>
      </c>
      <c r="E3202" t="s">
        <v>728</v>
      </c>
    </row>
    <row r="3203" spans="1:5" hidden="1" x14ac:dyDescent="0.3">
      <c r="A3203" t="s">
        <v>557</v>
      </c>
      <c r="B3203" t="s">
        <v>727</v>
      </c>
      <c r="C3203" t="s">
        <v>44</v>
      </c>
      <c r="D3203" s="230">
        <v>-0.02</v>
      </c>
      <c r="E3203" t="s">
        <v>728</v>
      </c>
    </row>
    <row r="3204" spans="1:5" hidden="1" x14ac:dyDescent="0.3">
      <c r="A3204" t="s">
        <v>557</v>
      </c>
      <c r="B3204" t="s">
        <v>727</v>
      </c>
      <c r="C3204" t="s">
        <v>71</v>
      </c>
      <c r="D3204" s="230">
        <v>0</v>
      </c>
      <c r="E3204" t="s">
        <v>728</v>
      </c>
    </row>
    <row r="3205" spans="1:5" hidden="1" x14ac:dyDescent="0.3">
      <c r="A3205" t="s">
        <v>557</v>
      </c>
      <c r="B3205" t="s">
        <v>727</v>
      </c>
      <c r="C3205" t="s">
        <v>72</v>
      </c>
      <c r="D3205" s="230">
        <v>0</v>
      </c>
      <c r="E3205" t="s">
        <v>728</v>
      </c>
    </row>
    <row r="3206" spans="1:5" hidden="1" x14ac:dyDescent="0.3">
      <c r="A3206" t="s">
        <v>557</v>
      </c>
      <c r="B3206" t="s">
        <v>727</v>
      </c>
      <c r="C3206" t="s">
        <v>73</v>
      </c>
      <c r="D3206" s="230">
        <v>0</v>
      </c>
      <c r="E3206" t="s">
        <v>728</v>
      </c>
    </row>
    <row r="3207" spans="1:5" hidden="1" x14ac:dyDescent="0.3">
      <c r="A3207" t="s">
        <v>557</v>
      </c>
      <c r="B3207" t="s">
        <v>727</v>
      </c>
      <c r="C3207" t="s">
        <v>75</v>
      </c>
      <c r="D3207" s="230">
        <v>0</v>
      </c>
      <c r="E3207" t="s">
        <v>728</v>
      </c>
    </row>
    <row r="3208" spans="1:5" hidden="1" x14ac:dyDescent="0.3">
      <c r="A3208" t="s">
        <v>557</v>
      </c>
      <c r="B3208" t="s">
        <v>727</v>
      </c>
      <c r="C3208" t="s">
        <v>77</v>
      </c>
      <c r="D3208" s="230">
        <v>0</v>
      </c>
      <c r="E3208" t="s">
        <v>728</v>
      </c>
    </row>
    <row r="3209" spans="1:5" hidden="1" x14ac:dyDescent="0.3">
      <c r="A3209" t="s">
        <v>557</v>
      </c>
      <c r="B3209" t="s">
        <v>727</v>
      </c>
      <c r="C3209" t="s">
        <v>78</v>
      </c>
      <c r="D3209" s="230">
        <v>0</v>
      </c>
      <c r="E3209" t="s">
        <v>728</v>
      </c>
    </row>
    <row r="3210" spans="1:5" hidden="1" x14ac:dyDescent="0.3">
      <c r="A3210" t="s">
        <v>557</v>
      </c>
      <c r="B3210" t="s">
        <v>727</v>
      </c>
      <c r="C3210" t="s">
        <v>80</v>
      </c>
      <c r="D3210" s="230">
        <v>0</v>
      </c>
      <c r="E3210" t="s">
        <v>728</v>
      </c>
    </row>
    <row r="3211" spans="1:5" hidden="1" x14ac:dyDescent="0.3">
      <c r="A3211" t="s">
        <v>557</v>
      </c>
      <c r="B3211" t="s">
        <v>727</v>
      </c>
      <c r="C3211" t="s">
        <v>82</v>
      </c>
      <c r="D3211" s="230">
        <v>0</v>
      </c>
      <c r="E3211" t="s">
        <v>728</v>
      </c>
    </row>
    <row r="3212" spans="1:5" hidden="1" x14ac:dyDescent="0.3">
      <c r="A3212" t="s">
        <v>557</v>
      </c>
      <c r="B3212" t="s">
        <v>727</v>
      </c>
      <c r="C3212" t="s">
        <v>84</v>
      </c>
      <c r="D3212" s="230">
        <v>0</v>
      </c>
      <c r="E3212" t="s">
        <v>728</v>
      </c>
    </row>
    <row r="3213" spans="1:5" hidden="1" x14ac:dyDescent="0.3">
      <c r="A3213" t="s">
        <v>557</v>
      </c>
      <c r="B3213" t="s">
        <v>727</v>
      </c>
      <c r="C3213" t="s">
        <v>85</v>
      </c>
      <c r="D3213" s="230">
        <v>0</v>
      </c>
      <c r="E3213" t="s">
        <v>728</v>
      </c>
    </row>
    <row r="3214" spans="1:5" hidden="1" x14ac:dyDescent="0.3">
      <c r="A3214" t="s">
        <v>557</v>
      </c>
      <c r="B3214" t="s">
        <v>727</v>
      </c>
      <c r="C3214" t="s">
        <v>86</v>
      </c>
      <c r="D3214" s="230">
        <v>0</v>
      </c>
      <c r="E3214" t="s">
        <v>728</v>
      </c>
    </row>
    <row r="3215" spans="1:5" hidden="1" x14ac:dyDescent="0.3">
      <c r="A3215" t="s">
        <v>557</v>
      </c>
      <c r="B3215" t="s">
        <v>727</v>
      </c>
      <c r="C3215" t="s">
        <v>87</v>
      </c>
      <c r="D3215" s="230">
        <v>0</v>
      </c>
      <c r="E3215" t="s">
        <v>728</v>
      </c>
    </row>
    <row r="3216" spans="1:5" hidden="1" x14ac:dyDescent="0.3">
      <c r="A3216" t="s">
        <v>557</v>
      </c>
      <c r="B3216" t="s">
        <v>727</v>
      </c>
      <c r="C3216" t="s">
        <v>88</v>
      </c>
      <c r="D3216" s="230">
        <v>0</v>
      </c>
      <c r="E3216" t="s">
        <v>728</v>
      </c>
    </row>
    <row r="3217" spans="1:5" hidden="1" x14ac:dyDescent="0.3">
      <c r="A3217" t="s">
        <v>557</v>
      </c>
      <c r="B3217" t="s">
        <v>727</v>
      </c>
      <c r="C3217" t="s">
        <v>89</v>
      </c>
      <c r="D3217" s="230">
        <v>0</v>
      </c>
      <c r="E3217" t="s">
        <v>728</v>
      </c>
    </row>
    <row r="3218" spans="1:5" hidden="1" x14ac:dyDescent="0.3">
      <c r="A3218" t="s">
        <v>557</v>
      </c>
      <c r="B3218" t="s">
        <v>727</v>
      </c>
      <c r="C3218" t="s">
        <v>90</v>
      </c>
      <c r="D3218" s="230">
        <v>0</v>
      </c>
      <c r="E3218" t="s">
        <v>728</v>
      </c>
    </row>
    <row r="3219" spans="1:5" hidden="1" x14ac:dyDescent="0.3">
      <c r="A3219" t="s">
        <v>557</v>
      </c>
      <c r="B3219" t="s">
        <v>727</v>
      </c>
      <c r="C3219" t="s">
        <v>91</v>
      </c>
      <c r="D3219" s="230">
        <v>0</v>
      </c>
      <c r="E3219" t="s">
        <v>728</v>
      </c>
    </row>
    <row r="3220" spans="1:5" hidden="1" x14ac:dyDescent="0.3">
      <c r="A3220" t="s">
        <v>557</v>
      </c>
      <c r="B3220" t="s">
        <v>727</v>
      </c>
      <c r="C3220" t="s">
        <v>93</v>
      </c>
      <c r="D3220" s="230">
        <v>0</v>
      </c>
      <c r="E3220" t="s">
        <v>728</v>
      </c>
    </row>
    <row r="3221" spans="1:5" hidden="1" x14ac:dyDescent="0.3">
      <c r="A3221" t="s">
        <v>557</v>
      </c>
      <c r="B3221" t="s">
        <v>727</v>
      </c>
      <c r="C3221" t="s">
        <v>95</v>
      </c>
      <c r="D3221" s="230">
        <v>0</v>
      </c>
      <c r="E3221" t="s">
        <v>728</v>
      </c>
    </row>
    <row r="3222" spans="1:5" hidden="1" x14ac:dyDescent="0.3">
      <c r="A3222" t="s">
        <v>557</v>
      </c>
      <c r="B3222" t="s">
        <v>727</v>
      </c>
      <c r="C3222" t="s">
        <v>96</v>
      </c>
      <c r="D3222" s="230">
        <v>0</v>
      </c>
      <c r="E3222" t="s">
        <v>728</v>
      </c>
    </row>
    <row r="3223" spans="1:5" hidden="1" x14ac:dyDescent="0.3">
      <c r="A3223" t="s">
        <v>557</v>
      </c>
      <c r="B3223" t="s">
        <v>727</v>
      </c>
      <c r="C3223" t="s">
        <v>98</v>
      </c>
      <c r="D3223" s="230">
        <v>0</v>
      </c>
      <c r="E3223" t="s">
        <v>728</v>
      </c>
    </row>
    <row r="3224" spans="1:5" hidden="1" x14ac:dyDescent="0.3">
      <c r="A3224" t="s">
        <v>557</v>
      </c>
      <c r="B3224" t="s">
        <v>727</v>
      </c>
      <c r="C3224" t="s">
        <v>100</v>
      </c>
      <c r="D3224" s="230">
        <v>0</v>
      </c>
      <c r="E3224" t="s">
        <v>728</v>
      </c>
    </row>
    <row r="3225" spans="1:5" hidden="1" x14ac:dyDescent="0.3">
      <c r="A3225" t="s">
        <v>557</v>
      </c>
      <c r="B3225" t="s">
        <v>727</v>
      </c>
      <c r="C3225" t="s">
        <v>101</v>
      </c>
      <c r="D3225" s="230">
        <v>0</v>
      </c>
      <c r="E3225" t="s">
        <v>728</v>
      </c>
    </row>
    <row r="3226" spans="1:5" hidden="1" x14ac:dyDescent="0.3">
      <c r="A3226" t="s">
        <v>557</v>
      </c>
      <c r="B3226" t="s">
        <v>727</v>
      </c>
      <c r="C3226" t="s">
        <v>102</v>
      </c>
      <c r="D3226" s="230">
        <v>0</v>
      </c>
      <c r="E3226" t="s">
        <v>728</v>
      </c>
    </row>
    <row r="3227" spans="1:5" hidden="1" x14ac:dyDescent="0.3">
      <c r="A3227" t="s">
        <v>557</v>
      </c>
      <c r="B3227" t="s">
        <v>727</v>
      </c>
      <c r="C3227" t="s">
        <v>103</v>
      </c>
      <c r="D3227" s="230">
        <v>0</v>
      </c>
      <c r="E3227" t="s">
        <v>728</v>
      </c>
    </row>
    <row r="3228" spans="1:5" hidden="1" x14ac:dyDescent="0.3">
      <c r="A3228" t="s">
        <v>557</v>
      </c>
      <c r="B3228" t="s">
        <v>727</v>
      </c>
      <c r="C3228" t="s">
        <v>104</v>
      </c>
      <c r="D3228" s="230">
        <v>0</v>
      </c>
      <c r="E3228" t="s">
        <v>728</v>
      </c>
    </row>
    <row r="3229" spans="1:5" hidden="1" x14ac:dyDescent="0.3">
      <c r="A3229" t="s">
        <v>557</v>
      </c>
      <c r="B3229" t="s">
        <v>727</v>
      </c>
      <c r="C3229" t="s">
        <v>105</v>
      </c>
      <c r="D3229" s="230">
        <v>0</v>
      </c>
      <c r="E3229" t="s">
        <v>728</v>
      </c>
    </row>
    <row r="3230" spans="1:5" hidden="1" x14ac:dyDescent="0.3">
      <c r="A3230" t="s">
        <v>557</v>
      </c>
      <c r="B3230" t="s">
        <v>727</v>
      </c>
      <c r="C3230" t="s">
        <v>107</v>
      </c>
      <c r="D3230" s="230">
        <v>0</v>
      </c>
      <c r="E3230" t="s">
        <v>728</v>
      </c>
    </row>
    <row r="3231" spans="1:5" hidden="1" x14ac:dyDescent="0.3">
      <c r="A3231" t="s">
        <v>557</v>
      </c>
      <c r="B3231" t="s">
        <v>727</v>
      </c>
      <c r="C3231" t="s">
        <v>108</v>
      </c>
      <c r="D3231" s="230">
        <v>0</v>
      </c>
      <c r="E3231" t="s">
        <v>728</v>
      </c>
    </row>
    <row r="3232" spans="1:5" hidden="1" x14ac:dyDescent="0.3">
      <c r="A3232" t="s">
        <v>557</v>
      </c>
      <c r="B3232" t="s">
        <v>727</v>
      </c>
      <c r="C3232" t="s">
        <v>109</v>
      </c>
      <c r="D3232" s="230">
        <v>0</v>
      </c>
      <c r="E3232" t="s">
        <v>728</v>
      </c>
    </row>
    <row r="3233" spans="1:5" hidden="1" x14ac:dyDescent="0.3">
      <c r="A3233" t="s">
        <v>557</v>
      </c>
      <c r="B3233" t="s">
        <v>727</v>
      </c>
      <c r="C3233" t="s">
        <v>110</v>
      </c>
      <c r="D3233" s="230">
        <v>0</v>
      </c>
      <c r="E3233" t="s">
        <v>728</v>
      </c>
    </row>
    <row r="3234" spans="1:5" hidden="1" x14ac:dyDescent="0.3">
      <c r="A3234" t="s">
        <v>557</v>
      </c>
      <c r="B3234" t="s">
        <v>727</v>
      </c>
      <c r="C3234" t="s">
        <v>44</v>
      </c>
      <c r="D3234" s="230">
        <v>0</v>
      </c>
      <c r="E3234" t="s">
        <v>728</v>
      </c>
    </row>
    <row r="3235" spans="1:5" hidden="1" x14ac:dyDescent="0.3">
      <c r="A3235" t="s">
        <v>557</v>
      </c>
      <c r="B3235" t="s">
        <v>727</v>
      </c>
      <c r="C3235" t="s">
        <v>111</v>
      </c>
      <c r="D3235" s="230">
        <v>-25240</v>
      </c>
      <c r="E3235" t="s">
        <v>728</v>
      </c>
    </row>
    <row r="3236" spans="1:5" hidden="1" x14ac:dyDescent="0.3">
      <c r="A3236" t="s">
        <v>557</v>
      </c>
      <c r="B3236" t="s">
        <v>727</v>
      </c>
      <c r="C3236" t="s">
        <v>608</v>
      </c>
      <c r="D3236" s="230">
        <v>-25240</v>
      </c>
      <c r="E3236" t="s">
        <v>728</v>
      </c>
    </row>
    <row r="3237" spans="1:5" hidden="1" x14ac:dyDescent="0.3">
      <c r="A3237" t="s">
        <v>557</v>
      </c>
      <c r="B3237" t="s">
        <v>727</v>
      </c>
      <c r="C3237" t="s">
        <v>44</v>
      </c>
      <c r="D3237" s="230">
        <v>-0.06</v>
      </c>
      <c r="E3237" t="s">
        <v>728</v>
      </c>
    </row>
    <row r="3238" spans="1:5" hidden="1" x14ac:dyDescent="0.3">
      <c r="A3238" t="s">
        <v>557</v>
      </c>
      <c r="B3238" t="s">
        <v>727</v>
      </c>
      <c r="C3238" t="s">
        <v>115</v>
      </c>
      <c r="D3238" s="230">
        <v>-8913.6299999999992</v>
      </c>
      <c r="E3238" t="s">
        <v>728</v>
      </c>
    </row>
    <row r="3239" spans="1:5" hidden="1" x14ac:dyDescent="0.3">
      <c r="A3239" t="s">
        <v>557</v>
      </c>
      <c r="B3239" t="s">
        <v>727</v>
      </c>
      <c r="C3239" t="s">
        <v>116</v>
      </c>
      <c r="D3239" s="230">
        <v>-8102.05</v>
      </c>
      <c r="E3239" t="s">
        <v>728</v>
      </c>
    </row>
    <row r="3240" spans="1:5" hidden="1" x14ac:dyDescent="0.3">
      <c r="A3240" t="s">
        <v>557</v>
      </c>
      <c r="B3240" t="s">
        <v>727</v>
      </c>
      <c r="C3240" t="s">
        <v>118</v>
      </c>
      <c r="D3240" s="230">
        <v>0</v>
      </c>
      <c r="E3240" t="s">
        <v>728</v>
      </c>
    </row>
    <row r="3241" spans="1:5" hidden="1" x14ac:dyDescent="0.3">
      <c r="A3241" t="s">
        <v>557</v>
      </c>
      <c r="B3241" t="s">
        <v>727</v>
      </c>
      <c r="C3241" t="s">
        <v>120</v>
      </c>
      <c r="D3241" s="230">
        <v>0</v>
      </c>
      <c r="E3241" t="s">
        <v>728</v>
      </c>
    </row>
    <row r="3242" spans="1:5" hidden="1" x14ac:dyDescent="0.3">
      <c r="A3242" t="s">
        <v>557</v>
      </c>
      <c r="B3242" t="s">
        <v>727</v>
      </c>
      <c r="C3242" t="s">
        <v>122</v>
      </c>
      <c r="D3242" s="230">
        <v>-811.58</v>
      </c>
      <c r="E3242" t="s">
        <v>728</v>
      </c>
    </row>
    <row r="3243" spans="1:5" hidden="1" x14ac:dyDescent="0.3">
      <c r="A3243" t="s">
        <v>557</v>
      </c>
      <c r="B3243" t="s">
        <v>727</v>
      </c>
      <c r="C3243" t="s">
        <v>44</v>
      </c>
      <c r="D3243" s="230">
        <v>-0.02</v>
      </c>
      <c r="E3243" t="s">
        <v>728</v>
      </c>
    </row>
    <row r="3244" spans="1:5" hidden="1" x14ac:dyDescent="0.3">
      <c r="A3244" t="s">
        <v>557</v>
      </c>
      <c r="B3244" t="s">
        <v>727</v>
      </c>
      <c r="C3244" t="s">
        <v>126</v>
      </c>
      <c r="D3244" s="230">
        <v>236075.05</v>
      </c>
      <c r="E3244" t="s">
        <v>728</v>
      </c>
    </row>
    <row r="3245" spans="1:5" hidden="1" x14ac:dyDescent="0.3">
      <c r="A3245" t="s">
        <v>557</v>
      </c>
      <c r="B3245" t="s">
        <v>727</v>
      </c>
      <c r="C3245" t="s">
        <v>127</v>
      </c>
      <c r="D3245" s="230">
        <v>0.55000000000000004</v>
      </c>
      <c r="E3245" t="s">
        <v>728</v>
      </c>
    </row>
    <row r="3246" spans="1:5" hidden="1" x14ac:dyDescent="0.3">
      <c r="A3246" t="s">
        <v>557</v>
      </c>
      <c r="B3246" t="s">
        <v>727</v>
      </c>
      <c r="C3246" t="s">
        <v>128</v>
      </c>
      <c r="D3246" s="230">
        <v>-114017.45</v>
      </c>
      <c r="E3246" t="s">
        <v>728</v>
      </c>
    </row>
    <row r="3247" spans="1:5" hidden="1" x14ac:dyDescent="0.3">
      <c r="A3247" t="s">
        <v>557</v>
      </c>
      <c r="B3247" t="s">
        <v>727</v>
      </c>
      <c r="C3247" t="s">
        <v>129</v>
      </c>
      <c r="D3247" s="230">
        <v>-28750</v>
      </c>
      <c r="E3247" t="s">
        <v>728</v>
      </c>
    </row>
    <row r="3248" spans="1:5" hidden="1" x14ac:dyDescent="0.3">
      <c r="A3248" t="s">
        <v>557</v>
      </c>
      <c r="B3248" t="s">
        <v>727</v>
      </c>
      <c r="C3248" t="s">
        <v>609</v>
      </c>
      <c r="D3248" s="230">
        <v>-5950</v>
      </c>
      <c r="E3248" t="s">
        <v>728</v>
      </c>
    </row>
    <row r="3249" spans="1:5" hidden="1" x14ac:dyDescent="0.3">
      <c r="A3249" t="s">
        <v>557</v>
      </c>
      <c r="B3249" t="s">
        <v>727</v>
      </c>
      <c r="C3249" t="s">
        <v>610</v>
      </c>
      <c r="D3249" s="230">
        <v>-17600</v>
      </c>
      <c r="E3249" t="s">
        <v>728</v>
      </c>
    </row>
    <row r="3250" spans="1:5" hidden="1" x14ac:dyDescent="0.3">
      <c r="A3250" t="s">
        <v>557</v>
      </c>
      <c r="B3250" t="s">
        <v>727</v>
      </c>
      <c r="C3250" t="s">
        <v>611</v>
      </c>
      <c r="D3250" s="230">
        <v>0</v>
      </c>
      <c r="E3250" t="s">
        <v>728</v>
      </c>
    </row>
    <row r="3251" spans="1:5" hidden="1" x14ac:dyDescent="0.3">
      <c r="A3251" t="s">
        <v>557</v>
      </c>
      <c r="B3251" t="s">
        <v>727</v>
      </c>
      <c r="C3251" t="s">
        <v>612</v>
      </c>
      <c r="D3251" s="230">
        <v>-4000</v>
      </c>
      <c r="E3251" t="s">
        <v>728</v>
      </c>
    </row>
    <row r="3252" spans="1:5" hidden="1" x14ac:dyDescent="0.3">
      <c r="A3252" t="s">
        <v>557</v>
      </c>
      <c r="B3252" t="s">
        <v>727</v>
      </c>
      <c r="C3252" t="s">
        <v>613</v>
      </c>
      <c r="D3252" s="230">
        <v>-1200</v>
      </c>
      <c r="E3252" t="s">
        <v>728</v>
      </c>
    </row>
    <row r="3253" spans="1:5" hidden="1" x14ac:dyDescent="0.3">
      <c r="A3253" t="s">
        <v>557</v>
      </c>
      <c r="B3253" t="s">
        <v>727</v>
      </c>
      <c r="C3253" t="s">
        <v>614</v>
      </c>
      <c r="D3253" s="230">
        <v>0</v>
      </c>
      <c r="E3253" t="s">
        <v>728</v>
      </c>
    </row>
    <row r="3254" spans="1:5" hidden="1" x14ac:dyDescent="0.3">
      <c r="A3254" t="s">
        <v>557</v>
      </c>
      <c r="B3254" t="s">
        <v>727</v>
      </c>
      <c r="C3254" t="s">
        <v>615</v>
      </c>
      <c r="D3254" s="230">
        <v>0</v>
      </c>
      <c r="E3254" t="s">
        <v>728</v>
      </c>
    </row>
    <row r="3255" spans="1:5" hidden="1" x14ac:dyDescent="0.3">
      <c r="A3255" t="s">
        <v>557</v>
      </c>
      <c r="B3255" t="s">
        <v>727</v>
      </c>
      <c r="C3255" t="s">
        <v>616</v>
      </c>
      <c r="D3255" s="230">
        <v>0</v>
      </c>
      <c r="E3255" t="s">
        <v>728</v>
      </c>
    </row>
    <row r="3256" spans="1:5" hidden="1" x14ac:dyDescent="0.3">
      <c r="A3256" t="s">
        <v>557</v>
      </c>
      <c r="B3256" t="s">
        <v>727</v>
      </c>
      <c r="C3256" t="s">
        <v>617</v>
      </c>
      <c r="D3256" s="230">
        <v>0</v>
      </c>
      <c r="E3256" t="s">
        <v>728</v>
      </c>
    </row>
    <row r="3257" spans="1:5" hidden="1" x14ac:dyDescent="0.3">
      <c r="A3257" t="s">
        <v>557</v>
      </c>
      <c r="B3257" t="s">
        <v>727</v>
      </c>
      <c r="C3257" t="s">
        <v>618</v>
      </c>
      <c r="D3257" s="230">
        <v>0</v>
      </c>
      <c r="E3257" t="s">
        <v>728</v>
      </c>
    </row>
    <row r="3258" spans="1:5" hidden="1" x14ac:dyDescent="0.3">
      <c r="A3258" t="s">
        <v>557</v>
      </c>
      <c r="B3258" t="s">
        <v>727</v>
      </c>
      <c r="C3258" t="s">
        <v>619</v>
      </c>
      <c r="D3258" s="230">
        <v>0</v>
      </c>
      <c r="E3258" t="s">
        <v>728</v>
      </c>
    </row>
    <row r="3259" spans="1:5" hidden="1" x14ac:dyDescent="0.3">
      <c r="A3259" t="s">
        <v>557</v>
      </c>
      <c r="B3259" t="s">
        <v>727</v>
      </c>
      <c r="C3259" t="s">
        <v>620</v>
      </c>
      <c r="D3259" s="230">
        <v>0</v>
      </c>
      <c r="E3259" t="s">
        <v>728</v>
      </c>
    </row>
    <row r="3260" spans="1:5" hidden="1" x14ac:dyDescent="0.3">
      <c r="A3260" t="s">
        <v>557</v>
      </c>
      <c r="B3260" t="s">
        <v>727</v>
      </c>
      <c r="C3260" t="s">
        <v>575</v>
      </c>
      <c r="D3260" s="230">
        <v>-35922.620000000003</v>
      </c>
      <c r="E3260" t="s">
        <v>728</v>
      </c>
    </row>
    <row r="3261" spans="1:5" hidden="1" x14ac:dyDescent="0.3">
      <c r="A3261" t="s">
        <v>557</v>
      </c>
      <c r="B3261" t="s">
        <v>727</v>
      </c>
      <c r="C3261" t="s">
        <v>621</v>
      </c>
      <c r="D3261" s="230">
        <v>0</v>
      </c>
      <c r="E3261" t="s">
        <v>728</v>
      </c>
    </row>
    <row r="3262" spans="1:5" hidden="1" x14ac:dyDescent="0.3">
      <c r="A3262" t="s">
        <v>557</v>
      </c>
      <c r="B3262" t="s">
        <v>727</v>
      </c>
      <c r="C3262" t="s">
        <v>622</v>
      </c>
      <c r="D3262" s="230">
        <v>0</v>
      </c>
      <c r="E3262" t="s">
        <v>728</v>
      </c>
    </row>
    <row r="3263" spans="1:5" hidden="1" x14ac:dyDescent="0.3">
      <c r="A3263" t="s">
        <v>557</v>
      </c>
      <c r="B3263" t="s">
        <v>727</v>
      </c>
      <c r="C3263" t="s">
        <v>623</v>
      </c>
      <c r="D3263" s="230">
        <v>0</v>
      </c>
      <c r="E3263" t="s">
        <v>728</v>
      </c>
    </row>
    <row r="3264" spans="1:5" hidden="1" x14ac:dyDescent="0.3">
      <c r="A3264" t="s">
        <v>557</v>
      </c>
      <c r="B3264" t="s">
        <v>727</v>
      </c>
      <c r="C3264" t="s">
        <v>624</v>
      </c>
      <c r="D3264" s="230">
        <v>0</v>
      </c>
      <c r="E3264" t="s">
        <v>728</v>
      </c>
    </row>
    <row r="3265" spans="1:5" hidden="1" x14ac:dyDescent="0.3">
      <c r="A3265" t="s">
        <v>557</v>
      </c>
      <c r="B3265" t="s">
        <v>727</v>
      </c>
      <c r="C3265" t="s">
        <v>625</v>
      </c>
      <c r="D3265" s="230">
        <v>0</v>
      </c>
      <c r="E3265" t="s">
        <v>728</v>
      </c>
    </row>
    <row r="3266" spans="1:5" hidden="1" x14ac:dyDescent="0.3">
      <c r="A3266" t="s">
        <v>557</v>
      </c>
      <c r="B3266" t="s">
        <v>727</v>
      </c>
      <c r="C3266" t="s">
        <v>626</v>
      </c>
      <c r="D3266" s="230">
        <v>0</v>
      </c>
      <c r="E3266" t="s">
        <v>728</v>
      </c>
    </row>
    <row r="3267" spans="1:5" hidden="1" x14ac:dyDescent="0.3">
      <c r="A3267" t="s">
        <v>557</v>
      </c>
      <c r="B3267" t="s">
        <v>727</v>
      </c>
      <c r="C3267" t="s">
        <v>627</v>
      </c>
      <c r="D3267" s="230">
        <v>0</v>
      </c>
      <c r="E3267" t="s">
        <v>728</v>
      </c>
    </row>
    <row r="3268" spans="1:5" hidden="1" x14ac:dyDescent="0.3">
      <c r="A3268" t="s">
        <v>557</v>
      </c>
      <c r="B3268" t="s">
        <v>727</v>
      </c>
      <c r="C3268" t="s">
        <v>628</v>
      </c>
      <c r="D3268" s="230">
        <v>0</v>
      </c>
      <c r="E3268" t="s">
        <v>728</v>
      </c>
    </row>
    <row r="3269" spans="1:5" hidden="1" x14ac:dyDescent="0.3">
      <c r="A3269" t="s">
        <v>557</v>
      </c>
      <c r="B3269" t="s">
        <v>727</v>
      </c>
      <c r="C3269" t="s">
        <v>629</v>
      </c>
      <c r="D3269" s="230">
        <v>0</v>
      </c>
      <c r="E3269" t="s">
        <v>728</v>
      </c>
    </row>
    <row r="3270" spans="1:5" hidden="1" x14ac:dyDescent="0.3">
      <c r="A3270" t="s">
        <v>557</v>
      </c>
      <c r="B3270" t="s">
        <v>727</v>
      </c>
      <c r="C3270" t="s">
        <v>630</v>
      </c>
      <c r="D3270" s="230">
        <v>0</v>
      </c>
      <c r="E3270" t="s">
        <v>728</v>
      </c>
    </row>
    <row r="3271" spans="1:5" hidden="1" x14ac:dyDescent="0.3">
      <c r="A3271" t="s">
        <v>557</v>
      </c>
      <c r="B3271" t="s">
        <v>727</v>
      </c>
      <c r="C3271" t="s">
        <v>631</v>
      </c>
      <c r="D3271" s="230">
        <v>0</v>
      </c>
      <c r="E3271" t="s">
        <v>728</v>
      </c>
    </row>
    <row r="3272" spans="1:5" hidden="1" x14ac:dyDescent="0.3">
      <c r="A3272" t="s">
        <v>557</v>
      </c>
      <c r="B3272" t="s">
        <v>727</v>
      </c>
      <c r="C3272" t="s">
        <v>632</v>
      </c>
      <c r="D3272" s="230">
        <v>0</v>
      </c>
      <c r="E3272" t="s">
        <v>728</v>
      </c>
    </row>
    <row r="3273" spans="1:5" hidden="1" x14ac:dyDescent="0.3">
      <c r="A3273" t="s">
        <v>557</v>
      </c>
      <c r="B3273" t="s">
        <v>727</v>
      </c>
      <c r="C3273" t="s">
        <v>633</v>
      </c>
      <c r="D3273" s="230">
        <v>0</v>
      </c>
      <c r="E3273" t="s">
        <v>728</v>
      </c>
    </row>
    <row r="3274" spans="1:5" hidden="1" x14ac:dyDescent="0.3">
      <c r="A3274" t="s">
        <v>557</v>
      </c>
      <c r="B3274" t="s">
        <v>727</v>
      </c>
      <c r="C3274" t="s">
        <v>634</v>
      </c>
      <c r="D3274" s="230">
        <v>0</v>
      </c>
      <c r="E3274" t="s">
        <v>728</v>
      </c>
    </row>
    <row r="3275" spans="1:5" hidden="1" x14ac:dyDescent="0.3">
      <c r="A3275" t="s">
        <v>557</v>
      </c>
      <c r="B3275" t="s">
        <v>727</v>
      </c>
      <c r="C3275" t="s">
        <v>635</v>
      </c>
      <c r="D3275" s="230">
        <v>0</v>
      </c>
      <c r="E3275" t="s">
        <v>728</v>
      </c>
    </row>
    <row r="3276" spans="1:5" hidden="1" x14ac:dyDescent="0.3">
      <c r="A3276" t="s">
        <v>557</v>
      </c>
      <c r="B3276" t="s">
        <v>727</v>
      </c>
      <c r="C3276" t="s">
        <v>636</v>
      </c>
      <c r="D3276" s="230">
        <v>0</v>
      </c>
      <c r="E3276" t="s">
        <v>728</v>
      </c>
    </row>
    <row r="3277" spans="1:5" hidden="1" x14ac:dyDescent="0.3">
      <c r="A3277" t="s">
        <v>557</v>
      </c>
      <c r="B3277" t="s">
        <v>727</v>
      </c>
      <c r="C3277" t="s">
        <v>637</v>
      </c>
      <c r="D3277" s="230">
        <v>0</v>
      </c>
      <c r="E3277" t="s">
        <v>728</v>
      </c>
    </row>
    <row r="3278" spans="1:5" hidden="1" x14ac:dyDescent="0.3">
      <c r="A3278" t="s">
        <v>557</v>
      </c>
      <c r="B3278" t="s">
        <v>727</v>
      </c>
      <c r="C3278" t="s">
        <v>638</v>
      </c>
      <c r="D3278" s="230">
        <v>0</v>
      </c>
      <c r="E3278" t="s">
        <v>728</v>
      </c>
    </row>
    <row r="3279" spans="1:5" hidden="1" x14ac:dyDescent="0.3">
      <c r="A3279" t="s">
        <v>557</v>
      </c>
      <c r="B3279" t="s">
        <v>727</v>
      </c>
      <c r="C3279" t="s">
        <v>639</v>
      </c>
      <c r="D3279" s="230">
        <v>0</v>
      </c>
      <c r="E3279" t="s">
        <v>728</v>
      </c>
    </row>
    <row r="3280" spans="1:5" hidden="1" x14ac:dyDescent="0.3">
      <c r="A3280" t="s">
        <v>557</v>
      </c>
      <c r="B3280" t="s">
        <v>727</v>
      </c>
      <c r="C3280" t="s">
        <v>640</v>
      </c>
      <c r="D3280" s="230">
        <v>0</v>
      </c>
      <c r="E3280" t="s">
        <v>728</v>
      </c>
    </row>
    <row r="3281" spans="1:5" hidden="1" x14ac:dyDescent="0.3">
      <c r="A3281" t="s">
        <v>557</v>
      </c>
      <c r="B3281" t="s">
        <v>727</v>
      </c>
      <c r="C3281" t="s">
        <v>641</v>
      </c>
      <c r="D3281" s="230">
        <v>0</v>
      </c>
      <c r="E3281" t="s">
        <v>728</v>
      </c>
    </row>
    <row r="3282" spans="1:5" hidden="1" x14ac:dyDescent="0.3">
      <c r="A3282" t="s">
        <v>557</v>
      </c>
      <c r="B3282" t="s">
        <v>727</v>
      </c>
      <c r="C3282" t="s">
        <v>642</v>
      </c>
      <c r="D3282" s="230">
        <v>0</v>
      </c>
      <c r="E3282" t="s">
        <v>728</v>
      </c>
    </row>
    <row r="3283" spans="1:5" hidden="1" x14ac:dyDescent="0.3">
      <c r="A3283" t="s">
        <v>557</v>
      </c>
      <c r="B3283" t="s">
        <v>727</v>
      </c>
      <c r="C3283" t="s">
        <v>643</v>
      </c>
      <c r="D3283" s="230">
        <v>0</v>
      </c>
      <c r="E3283" t="s">
        <v>728</v>
      </c>
    </row>
    <row r="3284" spans="1:5" hidden="1" x14ac:dyDescent="0.3">
      <c r="A3284" t="s">
        <v>557</v>
      </c>
      <c r="B3284" t="s">
        <v>727</v>
      </c>
      <c r="C3284" t="s">
        <v>644</v>
      </c>
      <c r="D3284" s="230">
        <v>0</v>
      </c>
      <c r="E3284" t="s">
        <v>728</v>
      </c>
    </row>
    <row r="3285" spans="1:5" hidden="1" x14ac:dyDescent="0.3">
      <c r="A3285" t="s">
        <v>557</v>
      </c>
      <c r="B3285" t="s">
        <v>727</v>
      </c>
      <c r="C3285" t="s">
        <v>645</v>
      </c>
      <c r="D3285" s="230">
        <v>0</v>
      </c>
      <c r="E3285" t="s">
        <v>728</v>
      </c>
    </row>
    <row r="3286" spans="1:5" hidden="1" x14ac:dyDescent="0.3">
      <c r="A3286" t="s">
        <v>557</v>
      </c>
      <c r="B3286" t="s">
        <v>727</v>
      </c>
      <c r="C3286" t="s">
        <v>646</v>
      </c>
      <c r="D3286" s="230">
        <v>0</v>
      </c>
      <c r="E3286" t="s">
        <v>728</v>
      </c>
    </row>
    <row r="3287" spans="1:5" hidden="1" x14ac:dyDescent="0.3">
      <c r="A3287" t="s">
        <v>557</v>
      </c>
      <c r="B3287" t="s">
        <v>727</v>
      </c>
      <c r="C3287" t="s">
        <v>647</v>
      </c>
      <c r="D3287" s="230">
        <v>0</v>
      </c>
      <c r="E3287" t="s">
        <v>728</v>
      </c>
    </row>
    <row r="3288" spans="1:5" hidden="1" x14ac:dyDescent="0.3">
      <c r="A3288" t="s">
        <v>557</v>
      </c>
      <c r="B3288" t="s">
        <v>727</v>
      </c>
      <c r="C3288" t="s">
        <v>648</v>
      </c>
      <c r="D3288" s="230">
        <v>0</v>
      </c>
      <c r="E3288" t="s">
        <v>728</v>
      </c>
    </row>
    <row r="3289" spans="1:5" hidden="1" x14ac:dyDescent="0.3">
      <c r="A3289" t="s">
        <v>557</v>
      </c>
      <c r="B3289" t="s">
        <v>727</v>
      </c>
      <c r="C3289" t="s">
        <v>649</v>
      </c>
      <c r="D3289" s="230">
        <v>0</v>
      </c>
      <c r="E3289" t="s">
        <v>728</v>
      </c>
    </row>
    <row r="3290" spans="1:5" hidden="1" x14ac:dyDescent="0.3">
      <c r="A3290" t="s">
        <v>557</v>
      </c>
      <c r="B3290" t="s">
        <v>727</v>
      </c>
      <c r="C3290" t="s">
        <v>650</v>
      </c>
      <c r="D3290" s="230">
        <v>0</v>
      </c>
      <c r="E3290" t="s">
        <v>728</v>
      </c>
    </row>
    <row r="3291" spans="1:5" hidden="1" x14ac:dyDescent="0.3">
      <c r="A3291" t="s">
        <v>557</v>
      </c>
      <c r="B3291" t="s">
        <v>727</v>
      </c>
      <c r="C3291" t="s">
        <v>651</v>
      </c>
      <c r="D3291" s="230">
        <v>0</v>
      </c>
      <c r="E3291" t="s">
        <v>728</v>
      </c>
    </row>
    <row r="3292" spans="1:5" hidden="1" x14ac:dyDescent="0.3">
      <c r="A3292" t="s">
        <v>557</v>
      </c>
      <c r="B3292" t="s">
        <v>727</v>
      </c>
      <c r="C3292" t="s">
        <v>652</v>
      </c>
      <c r="D3292" s="230">
        <v>0</v>
      </c>
      <c r="E3292" t="s">
        <v>728</v>
      </c>
    </row>
    <row r="3293" spans="1:5" hidden="1" x14ac:dyDescent="0.3">
      <c r="A3293" t="s">
        <v>557</v>
      </c>
      <c r="B3293" t="s">
        <v>727</v>
      </c>
      <c r="C3293" t="s">
        <v>653</v>
      </c>
      <c r="D3293" s="230">
        <v>0</v>
      </c>
      <c r="E3293" t="s">
        <v>728</v>
      </c>
    </row>
    <row r="3294" spans="1:5" hidden="1" x14ac:dyDescent="0.3">
      <c r="A3294" t="s">
        <v>557</v>
      </c>
      <c r="B3294" t="s">
        <v>727</v>
      </c>
      <c r="C3294" t="s">
        <v>654</v>
      </c>
      <c r="D3294" s="230">
        <v>0</v>
      </c>
      <c r="E3294" t="s">
        <v>728</v>
      </c>
    </row>
    <row r="3295" spans="1:5" hidden="1" x14ac:dyDescent="0.3">
      <c r="A3295" t="s">
        <v>557</v>
      </c>
      <c r="B3295" t="s">
        <v>727</v>
      </c>
      <c r="C3295" t="s">
        <v>655</v>
      </c>
      <c r="D3295" s="230">
        <v>0</v>
      </c>
      <c r="E3295" t="s">
        <v>728</v>
      </c>
    </row>
    <row r="3296" spans="1:5" hidden="1" x14ac:dyDescent="0.3">
      <c r="A3296" t="s">
        <v>557</v>
      </c>
      <c r="B3296" t="s">
        <v>727</v>
      </c>
      <c r="C3296" t="s">
        <v>656</v>
      </c>
      <c r="D3296" s="230">
        <v>0</v>
      </c>
      <c r="E3296" t="s">
        <v>728</v>
      </c>
    </row>
    <row r="3297" spans="1:5" hidden="1" x14ac:dyDescent="0.3">
      <c r="A3297" t="s">
        <v>557</v>
      </c>
      <c r="B3297" t="s">
        <v>727</v>
      </c>
      <c r="C3297" t="s">
        <v>657</v>
      </c>
      <c r="D3297" s="230">
        <v>0</v>
      </c>
      <c r="E3297" t="s">
        <v>728</v>
      </c>
    </row>
    <row r="3298" spans="1:5" hidden="1" x14ac:dyDescent="0.3">
      <c r="A3298" t="s">
        <v>557</v>
      </c>
      <c r="B3298" t="s">
        <v>727</v>
      </c>
      <c r="C3298" t="s">
        <v>658</v>
      </c>
      <c r="D3298" s="230">
        <v>0</v>
      </c>
      <c r="E3298" t="s">
        <v>728</v>
      </c>
    </row>
    <row r="3299" spans="1:5" hidden="1" x14ac:dyDescent="0.3">
      <c r="A3299" t="s">
        <v>557</v>
      </c>
      <c r="B3299" t="s">
        <v>727</v>
      </c>
      <c r="C3299" t="s">
        <v>659</v>
      </c>
      <c r="D3299" s="230">
        <v>0</v>
      </c>
      <c r="E3299" t="s">
        <v>728</v>
      </c>
    </row>
    <row r="3300" spans="1:5" hidden="1" x14ac:dyDescent="0.3">
      <c r="A3300" t="s">
        <v>557</v>
      </c>
      <c r="B3300" t="s">
        <v>727</v>
      </c>
      <c r="C3300" t="s">
        <v>660</v>
      </c>
      <c r="D3300" s="230">
        <v>0</v>
      </c>
      <c r="E3300" t="s">
        <v>728</v>
      </c>
    </row>
    <row r="3301" spans="1:5" hidden="1" x14ac:dyDescent="0.3">
      <c r="A3301" t="s">
        <v>557</v>
      </c>
      <c r="B3301" t="s">
        <v>727</v>
      </c>
      <c r="C3301" t="s">
        <v>661</v>
      </c>
      <c r="D3301" s="230">
        <v>0</v>
      </c>
      <c r="E3301" t="s">
        <v>728</v>
      </c>
    </row>
    <row r="3302" spans="1:5" hidden="1" x14ac:dyDescent="0.3">
      <c r="A3302" t="s">
        <v>557</v>
      </c>
      <c r="B3302" t="s">
        <v>727</v>
      </c>
      <c r="C3302" t="s">
        <v>662</v>
      </c>
      <c r="D3302" s="230">
        <v>0</v>
      </c>
      <c r="E3302" t="s">
        <v>728</v>
      </c>
    </row>
    <row r="3303" spans="1:5" hidden="1" x14ac:dyDescent="0.3">
      <c r="A3303" t="s">
        <v>557</v>
      </c>
      <c r="B3303" t="s">
        <v>727</v>
      </c>
      <c r="C3303" t="s">
        <v>663</v>
      </c>
      <c r="D3303" s="230">
        <v>0</v>
      </c>
      <c r="E3303" t="s">
        <v>728</v>
      </c>
    </row>
    <row r="3304" spans="1:5" hidden="1" x14ac:dyDescent="0.3">
      <c r="A3304" t="s">
        <v>557</v>
      </c>
      <c r="B3304" t="s">
        <v>727</v>
      </c>
      <c r="C3304" t="s">
        <v>664</v>
      </c>
      <c r="D3304" s="230">
        <v>0</v>
      </c>
      <c r="E3304" t="s">
        <v>728</v>
      </c>
    </row>
    <row r="3305" spans="1:5" hidden="1" x14ac:dyDescent="0.3">
      <c r="A3305" t="s">
        <v>557</v>
      </c>
      <c r="B3305" t="s">
        <v>727</v>
      </c>
      <c r="C3305" t="s">
        <v>665</v>
      </c>
      <c r="D3305" s="230">
        <v>0</v>
      </c>
      <c r="E3305" t="s">
        <v>728</v>
      </c>
    </row>
    <row r="3306" spans="1:5" hidden="1" x14ac:dyDescent="0.3">
      <c r="A3306" t="s">
        <v>557</v>
      </c>
      <c r="B3306" t="s">
        <v>727</v>
      </c>
      <c r="C3306" t="s">
        <v>666</v>
      </c>
      <c r="D3306" s="230">
        <v>0</v>
      </c>
      <c r="E3306" t="s">
        <v>728</v>
      </c>
    </row>
    <row r="3307" spans="1:5" hidden="1" x14ac:dyDescent="0.3">
      <c r="A3307" t="s">
        <v>557</v>
      </c>
      <c r="B3307" t="s">
        <v>727</v>
      </c>
      <c r="C3307" t="s">
        <v>667</v>
      </c>
      <c r="D3307" s="230">
        <v>0</v>
      </c>
      <c r="E3307" t="s">
        <v>728</v>
      </c>
    </row>
    <row r="3308" spans="1:5" hidden="1" x14ac:dyDescent="0.3">
      <c r="A3308" t="s">
        <v>557</v>
      </c>
      <c r="B3308" t="s">
        <v>727</v>
      </c>
      <c r="C3308" t="s">
        <v>668</v>
      </c>
      <c r="D3308" s="230">
        <v>0</v>
      </c>
      <c r="E3308" t="s">
        <v>728</v>
      </c>
    </row>
    <row r="3309" spans="1:5" hidden="1" x14ac:dyDescent="0.3">
      <c r="A3309" t="s">
        <v>557</v>
      </c>
      <c r="B3309" t="s">
        <v>727</v>
      </c>
      <c r="C3309" t="s">
        <v>669</v>
      </c>
      <c r="D3309" s="230">
        <v>0</v>
      </c>
      <c r="E3309" t="s">
        <v>728</v>
      </c>
    </row>
    <row r="3310" spans="1:5" hidden="1" x14ac:dyDescent="0.3">
      <c r="A3310" t="s">
        <v>557</v>
      </c>
      <c r="B3310" t="s">
        <v>727</v>
      </c>
      <c r="C3310" t="s">
        <v>670</v>
      </c>
      <c r="D3310" s="230">
        <v>0</v>
      </c>
      <c r="E3310" t="s">
        <v>728</v>
      </c>
    </row>
    <row r="3311" spans="1:5" hidden="1" x14ac:dyDescent="0.3">
      <c r="A3311" t="s">
        <v>557</v>
      </c>
      <c r="B3311" t="s">
        <v>727</v>
      </c>
      <c r="C3311" t="s">
        <v>671</v>
      </c>
      <c r="D3311" s="230">
        <v>0</v>
      </c>
      <c r="E3311" t="s">
        <v>728</v>
      </c>
    </row>
    <row r="3312" spans="1:5" hidden="1" x14ac:dyDescent="0.3">
      <c r="A3312" t="s">
        <v>557</v>
      </c>
      <c r="B3312" t="s">
        <v>727</v>
      </c>
      <c r="C3312" t="s">
        <v>672</v>
      </c>
      <c r="D3312" s="230">
        <v>0</v>
      </c>
      <c r="E3312" t="s">
        <v>728</v>
      </c>
    </row>
    <row r="3313" spans="1:5" hidden="1" x14ac:dyDescent="0.3">
      <c r="A3313" t="s">
        <v>557</v>
      </c>
      <c r="B3313" t="s">
        <v>727</v>
      </c>
      <c r="C3313" t="s">
        <v>673</v>
      </c>
      <c r="D3313" s="230">
        <v>0</v>
      </c>
      <c r="E3313" t="s">
        <v>728</v>
      </c>
    </row>
    <row r="3314" spans="1:5" hidden="1" x14ac:dyDescent="0.3">
      <c r="A3314" t="s">
        <v>557</v>
      </c>
      <c r="B3314" t="s">
        <v>727</v>
      </c>
      <c r="C3314" t="s">
        <v>674</v>
      </c>
      <c r="D3314" s="230">
        <v>0</v>
      </c>
      <c r="E3314" t="s">
        <v>728</v>
      </c>
    </row>
    <row r="3315" spans="1:5" hidden="1" x14ac:dyDescent="0.3">
      <c r="A3315" t="s">
        <v>557</v>
      </c>
      <c r="B3315" t="s">
        <v>727</v>
      </c>
      <c r="C3315" t="s">
        <v>675</v>
      </c>
      <c r="D3315" s="230">
        <v>0</v>
      </c>
      <c r="E3315" t="s">
        <v>728</v>
      </c>
    </row>
    <row r="3316" spans="1:5" hidden="1" x14ac:dyDescent="0.3">
      <c r="A3316" t="s">
        <v>557</v>
      </c>
      <c r="B3316" t="s">
        <v>727</v>
      </c>
      <c r="C3316" t="s">
        <v>676</v>
      </c>
      <c r="D3316" s="230">
        <v>0</v>
      </c>
      <c r="E3316" t="s">
        <v>728</v>
      </c>
    </row>
    <row r="3317" spans="1:5" hidden="1" x14ac:dyDescent="0.3">
      <c r="A3317" t="s">
        <v>557</v>
      </c>
      <c r="B3317" t="s">
        <v>727</v>
      </c>
      <c r="C3317" t="s">
        <v>677</v>
      </c>
      <c r="D3317" s="230">
        <v>0</v>
      </c>
      <c r="E3317" t="s">
        <v>728</v>
      </c>
    </row>
    <row r="3318" spans="1:5" hidden="1" x14ac:dyDescent="0.3">
      <c r="A3318" t="s">
        <v>557</v>
      </c>
      <c r="B3318" t="s">
        <v>727</v>
      </c>
      <c r="C3318" t="s">
        <v>201</v>
      </c>
      <c r="D3318" s="230">
        <v>-15636.69</v>
      </c>
      <c r="E3318" t="s">
        <v>728</v>
      </c>
    </row>
    <row r="3319" spans="1:5" hidden="1" x14ac:dyDescent="0.3">
      <c r="A3319" t="s">
        <v>557</v>
      </c>
      <c r="B3319" t="s">
        <v>727</v>
      </c>
      <c r="C3319" t="s">
        <v>203</v>
      </c>
      <c r="D3319" s="230">
        <v>-15636.69</v>
      </c>
      <c r="E3319" t="s">
        <v>728</v>
      </c>
    </row>
    <row r="3320" spans="1:5" hidden="1" x14ac:dyDescent="0.3">
      <c r="A3320" t="s">
        <v>557</v>
      </c>
      <c r="B3320" t="s">
        <v>727</v>
      </c>
      <c r="C3320" t="s">
        <v>678</v>
      </c>
      <c r="D3320" s="230">
        <v>7818.35</v>
      </c>
      <c r="E3320" t="s">
        <v>728</v>
      </c>
    </row>
    <row r="3321" spans="1:5" hidden="1" x14ac:dyDescent="0.3">
      <c r="A3321" t="s">
        <v>557</v>
      </c>
      <c r="B3321" t="s">
        <v>727</v>
      </c>
      <c r="C3321" t="s">
        <v>205</v>
      </c>
      <c r="D3321" s="230">
        <v>-17596.53</v>
      </c>
      <c r="E3321" t="s">
        <v>728</v>
      </c>
    </row>
    <row r="3322" spans="1:5" hidden="1" x14ac:dyDescent="0.3">
      <c r="A3322" t="s">
        <v>557</v>
      </c>
      <c r="B3322" t="s">
        <v>727</v>
      </c>
      <c r="C3322" t="s">
        <v>679</v>
      </c>
      <c r="D3322" s="230">
        <v>-2875.45</v>
      </c>
      <c r="E3322" t="s">
        <v>728</v>
      </c>
    </row>
    <row r="3323" spans="1:5" hidden="1" x14ac:dyDescent="0.3">
      <c r="A3323" t="s">
        <v>557</v>
      </c>
      <c r="B3323" t="s">
        <v>727</v>
      </c>
      <c r="C3323" t="s">
        <v>680</v>
      </c>
      <c r="D3323" s="230">
        <v>0</v>
      </c>
      <c r="E3323" t="s">
        <v>728</v>
      </c>
    </row>
    <row r="3324" spans="1:5" hidden="1" x14ac:dyDescent="0.3">
      <c r="A3324" t="s">
        <v>557</v>
      </c>
      <c r="B3324" t="s">
        <v>727</v>
      </c>
      <c r="C3324" t="s">
        <v>681</v>
      </c>
      <c r="D3324" s="230">
        <v>0</v>
      </c>
      <c r="E3324" t="s">
        <v>728</v>
      </c>
    </row>
    <row r="3325" spans="1:5" hidden="1" x14ac:dyDescent="0.3">
      <c r="A3325" t="s">
        <v>557</v>
      </c>
      <c r="B3325" t="s">
        <v>727</v>
      </c>
      <c r="C3325" t="s">
        <v>682</v>
      </c>
      <c r="D3325" s="230">
        <v>-7531.73</v>
      </c>
      <c r="E3325" t="s">
        <v>728</v>
      </c>
    </row>
    <row r="3326" spans="1:5" hidden="1" x14ac:dyDescent="0.3">
      <c r="A3326" t="s">
        <v>557</v>
      </c>
      <c r="B3326" t="s">
        <v>727</v>
      </c>
      <c r="C3326" t="s">
        <v>683</v>
      </c>
      <c r="D3326" s="230">
        <v>0</v>
      </c>
      <c r="E3326" t="s">
        <v>728</v>
      </c>
    </row>
    <row r="3327" spans="1:5" hidden="1" x14ac:dyDescent="0.3">
      <c r="A3327" t="s">
        <v>557</v>
      </c>
      <c r="B3327" t="s">
        <v>727</v>
      </c>
      <c r="C3327" t="s">
        <v>684</v>
      </c>
      <c r="D3327" s="230">
        <v>-1611.33</v>
      </c>
      <c r="E3327" t="s">
        <v>728</v>
      </c>
    </row>
    <row r="3328" spans="1:5" hidden="1" x14ac:dyDescent="0.3">
      <c r="A3328" t="s">
        <v>557</v>
      </c>
      <c r="B3328" t="s">
        <v>727</v>
      </c>
      <c r="C3328" t="s">
        <v>685</v>
      </c>
      <c r="D3328" s="230">
        <v>-481.68</v>
      </c>
      <c r="E3328" t="s">
        <v>728</v>
      </c>
    </row>
    <row r="3329" spans="1:5" hidden="1" x14ac:dyDescent="0.3">
      <c r="A3329" t="s">
        <v>557</v>
      </c>
      <c r="B3329" t="s">
        <v>727</v>
      </c>
      <c r="C3329" t="s">
        <v>686</v>
      </c>
      <c r="D3329" s="230">
        <v>0</v>
      </c>
      <c r="E3329" t="s">
        <v>728</v>
      </c>
    </row>
    <row r="3330" spans="1:5" hidden="1" x14ac:dyDescent="0.3">
      <c r="A3330" t="s">
        <v>557</v>
      </c>
      <c r="B3330" t="s">
        <v>727</v>
      </c>
      <c r="C3330" t="s">
        <v>687</v>
      </c>
      <c r="D3330" s="230">
        <v>0</v>
      </c>
      <c r="E3330" t="s">
        <v>728</v>
      </c>
    </row>
    <row r="3331" spans="1:5" hidden="1" x14ac:dyDescent="0.3">
      <c r="A3331" t="s">
        <v>557</v>
      </c>
      <c r="B3331" t="s">
        <v>727</v>
      </c>
      <c r="C3331" t="s">
        <v>688</v>
      </c>
      <c r="D3331" s="230">
        <v>0</v>
      </c>
      <c r="E3331" t="s">
        <v>728</v>
      </c>
    </row>
    <row r="3332" spans="1:5" hidden="1" x14ac:dyDescent="0.3">
      <c r="A3332" t="s">
        <v>557</v>
      </c>
      <c r="B3332" t="s">
        <v>727</v>
      </c>
      <c r="C3332" t="s">
        <v>689</v>
      </c>
      <c r="D3332" s="230">
        <v>0</v>
      </c>
      <c r="E3332" t="s">
        <v>728</v>
      </c>
    </row>
    <row r="3333" spans="1:5" hidden="1" x14ac:dyDescent="0.3">
      <c r="A3333" t="s">
        <v>557</v>
      </c>
      <c r="B3333" t="s">
        <v>727</v>
      </c>
      <c r="C3333" t="s">
        <v>690</v>
      </c>
      <c r="D3333" s="230">
        <v>-2000</v>
      </c>
      <c r="E3333" t="s">
        <v>728</v>
      </c>
    </row>
    <row r="3334" spans="1:5" hidden="1" x14ac:dyDescent="0.3">
      <c r="A3334" t="s">
        <v>557</v>
      </c>
      <c r="B3334" t="s">
        <v>727</v>
      </c>
      <c r="C3334" t="s">
        <v>691</v>
      </c>
      <c r="D3334" s="230">
        <v>0</v>
      </c>
      <c r="E3334" t="s">
        <v>728</v>
      </c>
    </row>
    <row r="3335" spans="1:5" hidden="1" x14ac:dyDescent="0.3">
      <c r="A3335" t="s">
        <v>557</v>
      </c>
      <c r="B3335" t="s">
        <v>727</v>
      </c>
      <c r="C3335" t="s">
        <v>692</v>
      </c>
      <c r="D3335" s="230">
        <v>-3096.35</v>
      </c>
      <c r="E3335" t="s">
        <v>728</v>
      </c>
    </row>
    <row r="3336" spans="1:5" hidden="1" x14ac:dyDescent="0.3">
      <c r="A3336" t="s">
        <v>557</v>
      </c>
      <c r="B3336" t="s">
        <v>727</v>
      </c>
      <c r="C3336" t="s">
        <v>693</v>
      </c>
      <c r="D3336" s="230">
        <v>0</v>
      </c>
      <c r="E3336" t="s">
        <v>728</v>
      </c>
    </row>
    <row r="3337" spans="1:5" hidden="1" x14ac:dyDescent="0.3">
      <c r="A3337" t="s">
        <v>557</v>
      </c>
      <c r="B3337" t="s">
        <v>727</v>
      </c>
      <c r="C3337" t="s">
        <v>694</v>
      </c>
      <c r="D3337" s="230">
        <v>0</v>
      </c>
      <c r="E3337" t="s">
        <v>728</v>
      </c>
    </row>
    <row r="3338" spans="1:5" hidden="1" x14ac:dyDescent="0.3">
      <c r="A3338" t="s">
        <v>557</v>
      </c>
      <c r="B3338" t="s">
        <v>727</v>
      </c>
      <c r="C3338" t="s">
        <v>238</v>
      </c>
      <c r="D3338" s="230">
        <v>-5238.1000000000004</v>
      </c>
      <c r="E3338" t="s">
        <v>728</v>
      </c>
    </row>
    <row r="3339" spans="1:5" hidden="1" x14ac:dyDescent="0.3">
      <c r="A3339" t="s">
        <v>557</v>
      </c>
      <c r="B3339" t="s">
        <v>727</v>
      </c>
      <c r="C3339" t="s">
        <v>695</v>
      </c>
      <c r="D3339" s="230">
        <v>-5238.1000000000004</v>
      </c>
      <c r="E3339" t="s">
        <v>728</v>
      </c>
    </row>
    <row r="3340" spans="1:5" hidden="1" x14ac:dyDescent="0.3">
      <c r="A3340" t="s">
        <v>557</v>
      </c>
      <c r="B3340" t="s">
        <v>727</v>
      </c>
      <c r="C3340" t="s">
        <v>696</v>
      </c>
      <c r="D3340" s="230">
        <v>0</v>
      </c>
      <c r="E3340" t="s">
        <v>728</v>
      </c>
    </row>
    <row r="3341" spans="1:5" hidden="1" x14ac:dyDescent="0.3">
      <c r="A3341" t="s">
        <v>557</v>
      </c>
      <c r="B3341" t="s">
        <v>727</v>
      </c>
      <c r="C3341" t="s">
        <v>697</v>
      </c>
      <c r="D3341" s="230">
        <v>0</v>
      </c>
      <c r="E3341" t="s">
        <v>728</v>
      </c>
    </row>
    <row r="3342" spans="1:5" hidden="1" x14ac:dyDescent="0.3">
      <c r="A3342" t="s">
        <v>557</v>
      </c>
      <c r="B3342" t="s">
        <v>727</v>
      </c>
      <c r="C3342" t="s">
        <v>698</v>
      </c>
      <c r="D3342" s="230">
        <v>0</v>
      </c>
      <c r="E3342" t="s">
        <v>728</v>
      </c>
    </row>
    <row r="3343" spans="1:5" hidden="1" x14ac:dyDescent="0.3">
      <c r="A3343" t="s">
        <v>557</v>
      </c>
      <c r="B3343" t="s">
        <v>727</v>
      </c>
      <c r="C3343" t="s">
        <v>699</v>
      </c>
      <c r="D3343" s="230">
        <v>0</v>
      </c>
      <c r="E3343" t="s">
        <v>728</v>
      </c>
    </row>
    <row r="3344" spans="1:5" hidden="1" x14ac:dyDescent="0.3">
      <c r="A3344" t="s">
        <v>557</v>
      </c>
      <c r="B3344" t="s">
        <v>727</v>
      </c>
      <c r="C3344" t="s">
        <v>245</v>
      </c>
      <c r="D3344" s="230">
        <v>-10873.51</v>
      </c>
      <c r="E3344" t="s">
        <v>728</v>
      </c>
    </row>
    <row r="3345" spans="1:5" hidden="1" x14ac:dyDescent="0.3">
      <c r="A3345" t="s">
        <v>557</v>
      </c>
      <c r="B3345" t="s">
        <v>727</v>
      </c>
      <c r="C3345" t="s">
        <v>700</v>
      </c>
      <c r="D3345" s="230">
        <v>-258</v>
      </c>
      <c r="E3345" t="s">
        <v>728</v>
      </c>
    </row>
    <row r="3346" spans="1:5" hidden="1" x14ac:dyDescent="0.3">
      <c r="A3346" t="s">
        <v>557</v>
      </c>
      <c r="B3346" t="s">
        <v>727</v>
      </c>
      <c r="C3346" t="s">
        <v>701</v>
      </c>
      <c r="D3346" s="230">
        <v>-573.52</v>
      </c>
      <c r="E3346" t="s">
        <v>728</v>
      </c>
    </row>
    <row r="3347" spans="1:5" hidden="1" x14ac:dyDescent="0.3">
      <c r="A3347" t="s">
        <v>557</v>
      </c>
      <c r="B3347" t="s">
        <v>727</v>
      </c>
      <c r="C3347" t="s">
        <v>702</v>
      </c>
      <c r="D3347" s="230">
        <v>0</v>
      </c>
      <c r="E3347" t="s">
        <v>728</v>
      </c>
    </row>
    <row r="3348" spans="1:5" hidden="1" x14ac:dyDescent="0.3">
      <c r="A3348" t="s">
        <v>557</v>
      </c>
      <c r="B3348" t="s">
        <v>727</v>
      </c>
      <c r="C3348" t="s">
        <v>703</v>
      </c>
      <c r="D3348" s="230">
        <v>0</v>
      </c>
      <c r="E3348" t="s">
        <v>728</v>
      </c>
    </row>
    <row r="3349" spans="1:5" hidden="1" x14ac:dyDescent="0.3">
      <c r="A3349" t="s">
        <v>557</v>
      </c>
      <c r="B3349" t="s">
        <v>727</v>
      </c>
      <c r="C3349" t="s">
        <v>704</v>
      </c>
      <c r="D3349" s="230">
        <v>0</v>
      </c>
      <c r="E3349" t="s">
        <v>728</v>
      </c>
    </row>
    <row r="3350" spans="1:5" hidden="1" x14ac:dyDescent="0.3">
      <c r="A3350" t="s">
        <v>557</v>
      </c>
      <c r="B3350" t="s">
        <v>727</v>
      </c>
      <c r="C3350" t="s">
        <v>705</v>
      </c>
      <c r="D3350" s="230">
        <v>-10041.99</v>
      </c>
      <c r="E3350" t="s">
        <v>728</v>
      </c>
    </row>
    <row r="3351" spans="1:5" hidden="1" x14ac:dyDescent="0.3">
      <c r="A3351" t="s">
        <v>557</v>
      </c>
      <c r="B3351" t="s">
        <v>727</v>
      </c>
      <c r="C3351" t="s">
        <v>706</v>
      </c>
      <c r="D3351" s="230">
        <v>0</v>
      </c>
      <c r="E3351" t="s">
        <v>728</v>
      </c>
    </row>
    <row r="3352" spans="1:5" hidden="1" x14ac:dyDescent="0.3">
      <c r="A3352" t="s">
        <v>557</v>
      </c>
      <c r="B3352" t="s">
        <v>727</v>
      </c>
      <c r="C3352" t="s">
        <v>254</v>
      </c>
      <c r="D3352" s="230">
        <v>-0.32</v>
      </c>
      <c r="E3352" t="s">
        <v>728</v>
      </c>
    </row>
    <row r="3353" spans="1:5" hidden="1" x14ac:dyDescent="0.3">
      <c r="A3353" t="s">
        <v>557</v>
      </c>
      <c r="B3353" t="s">
        <v>727</v>
      </c>
      <c r="C3353" t="s">
        <v>255</v>
      </c>
      <c r="D3353" s="230">
        <v>-0.31</v>
      </c>
      <c r="E3353" t="s">
        <v>728</v>
      </c>
    </row>
    <row r="3354" spans="1:5" hidden="1" x14ac:dyDescent="0.3">
      <c r="A3354" t="s">
        <v>557</v>
      </c>
      <c r="B3354" t="s">
        <v>727</v>
      </c>
      <c r="C3354" t="s">
        <v>256</v>
      </c>
      <c r="D3354" s="230">
        <v>-51752.37</v>
      </c>
      <c r="E3354" t="s">
        <v>728</v>
      </c>
    </row>
    <row r="3355" spans="1:5" hidden="1" x14ac:dyDescent="0.3">
      <c r="A3355" t="s">
        <v>557</v>
      </c>
      <c r="B3355" t="s">
        <v>727</v>
      </c>
      <c r="C3355" t="s">
        <v>257</v>
      </c>
      <c r="D3355" s="230">
        <v>-49305.7</v>
      </c>
      <c r="E3355" t="s">
        <v>728</v>
      </c>
    </row>
    <row r="3356" spans="1:5" hidden="1" x14ac:dyDescent="0.3">
      <c r="A3356" t="s">
        <v>557</v>
      </c>
      <c r="B3356" t="s">
        <v>727</v>
      </c>
      <c r="C3356" t="s">
        <v>258</v>
      </c>
      <c r="D3356" s="230">
        <v>0</v>
      </c>
      <c r="E3356" t="s">
        <v>728</v>
      </c>
    </row>
    <row r="3357" spans="1:5" hidden="1" x14ac:dyDescent="0.3">
      <c r="A3357" t="s">
        <v>557</v>
      </c>
      <c r="B3357" t="s">
        <v>727</v>
      </c>
      <c r="C3357" t="s">
        <v>259</v>
      </c>
      <c r="D3357" s="230">
        <v>-2446.67</v>
      </c>
      <c r="E3357" t="s">
        <v>728</v>
      </c>
    </row>
    <row r="3358" spans="1:5" hidden="1" x14ac:dyDescent="0.3">
      <c r="A3358" t="s">
        <v>557</v>
      </c>
      <c r="B3358" t="s">
        <v>727</v>
      </c>
      <c r="C3358" t="s">
        <v>260</v>
      </c>
      <c r="D3358" s="230">
        <v>0</v>
      </c>
      <c r="E3358" t="s">
        <v>728</v>
      </c>
    </row>
    <row r="3359" spans="1:5" hidden="1" x14ac:dyDescent="0.3">
      <c r="A3359" t="s">
        <v>557</v>
      </c>
      <c r="B3359" t="s">
        <v>727</v>
      </c>
      <c r="C3359" t="s">
        <v>261</v>
      </c>
      <c r="D3359" s="230">
        <v>0</v>
      </c>
      <c r="E3359" t="s">
        <v>728</v>
      </c>
    </row>
    <row r="3360" spans="1:5" hidden="1" x14ac:dyDescent="0.3">
      <c r="A3360" t="s">
        <v>557</v>
      </c>
      <c r="B3360" t="s">
        <v>727</v>
      </c>
      <c r="C3360" t="s">
        <v>262</v>
      </c>
      <c r="D3360" s="230">
        <v>0</v>
      </c>
      <c r="E3360" t="s">
        <v>728</v>
      </c>
    </row>
    <row r="3361" spans="1:5" hidden="1" x14ac:dyDescent="0.3">
      <c r="A3361" t="s">
        <v>557</v>
      </c>
      <c r="B3361" t="s">
        <v>727</v>
      </c>
      <c r="C3361" t="s">
        <v>263</v>
      </c>
      <c r="D3361" s="230">
        <v>0</v>
      </c>
      <c r="E3361" t="s">
        <v>728</v>
      </c>
    </row>
    <row r="3362" spans="1:5" hidden="1" x14ac:dyDescent="0.3">
      <c r="A3362" t="s">
        <v>557</v>
      </c>
      <c r="B3362" t="s">
        <v>727</v>
      </c>
      <c r="C3362" t="s">
        <v>44</v>
      </c>
      <c r="D3362" s="230">
        <v>-0.12</v>
      </c>
      <c r="E3362" t="s">
        <v>728</v>
      </c>
    </row>
    <row r="3363" spans="1:5" hidden="1" x14ac:dyDescent="0.3">
      <c r="A3363" t="s">
        <v>557</v>
      </c>
      <c r="B3363" t="s">
        <v>727</v>
      </c>
      <c r="C3363" t="s">
        <v>264</v>
      </c>
      <c r="D3363" s="230">
        <v>-37419.730000000003</v>
      </c>
      <c r="E3363" t="s">
        <v>728</v>
      </c>
    </row>
    <row r="3364" spans="1:5" hidden="1" x14ac:dyDescent="0.3">
      <c r="A3364" t="s">
        <v>557</v>
      </c>
      <c r="B3364" t="s">
        <v>727</v>
      </c>
      <c r="C3364" t="s">
        <v>265</v>
      </c>
      <c r="D3364" s="230">
        <v>-2945.79</v>
      </c>
      <c r="E3364" t="s">
        <v>728</v>
      </c>
    </row>
    <row r="3365" spans="1:5" hidden="1" x14ac:dyDescent="0.3">
      <c r="A3365" t="s">
        <v>557</v>
      </c>
      <c r="B3365" t="s">
        <v>727</v>
      </c>
      <c r="C3365" t="s">
        <v>266</v>
      </c>
      <c r="D3365" s="230">
        <v>-11242.51</v>
      </c>
      <c r="E3365" t="s">
        <v>728</v>
      </c>
    </row>
    <row r="3366" spans="1:5" hidden="1" x14ac:dyDescent="0.3">
      <c r="A3366" t="s">
        <v>557</v>
      </c>
      <c r="B3366" t="s">
        <v>727</v>
      </c>
      <c r="C3366" t="s">
        <v>267</v>
      </c>
      <c r="D3366" s="230">
        <v>-7219.47</v>
      </c>
      <c r="E3366" t="s">
        <v>728</v>
      </c>
    </row>
    <row r="3367" spans="1:5" hidden="1" x14ac:dyDescent="0.3">
      <c r="A3367" t="s">
        <v>557</v>
      </c>
      <c r="B3367" t="s">
        <v>727</v>
      </c>
      <c r="C3367" t="s">
        <v>268</v>
      </c>
      <c r="D3367" s="230">
        <v>-6176.57</v>
      </c>
      <c r="E3367" t="s">
        <v>728</v>
      </c>
    </row>
    <row r="3368" spans="1:5" hidden="1" x14ac:dyDescent="0.3">
      <c r="A3368" t="s">
        <v>557</v>
      </c>
      <c r="B3368" t="s">
        <v>727</v>
      </c>
      <c r="C3368" t="s">
        <v>269</v>
      </c>
      <c r="D3368" s="230">
        <v>0</v>
      </c>
      <c r="E3368" t="s">
        <v>728</v>
      </c>
    </row>
    <row r="3369" spans="1:5" hidden="1" x14ac:dyDescent="0.3">
      <c r="A3369" t="s">
        <v>557</v>
      </c>
      <c r="B3369" t="s">
        <v>727</v>
      </c>
      <c r="C3369" t="s">
        <v>270</v>
      </c>
      <c r="D3369" s="230">
        <v>-550</v>
      </c>
      <c r="E3369" t="s">
        <v>728</v>
      </c>
    </row>
    <row r="3370" spans="1:5" hidden="1" x14ac:dyDescent="0.3">
      <c r="A3370" t="s">
        <v>557</v>
      </c>
      <c r="B3370" t="s">
        <v>727</v>
      </c>
      <c r="C3370" t="s">
        <v>271</v>
      </c>
      <c r="D3370" s="230">
        <v>-798</v>
      </c>
      <c r="E3370" t="s">
        <v>728</v>
      </c>
    </row>
    <row r="3371" spans="1:5" hidden="1" x14ac:dyDescent="0.3">
      <c r="A3371" t="s">
        <v>557</v>
      </c>
      <c r="B3371" t="s">
        <v>727</v>
      </c>
      <c r="C3371" t="s">
        <v>272</v>
      </c>
      <c r="D3371" s="230">
        <v>-3829.4</v>
      </c>
      <c r="E3371" t="s">
        <v>728</v>
      </c>
    </row>
    <row r="3372" spans="1:5" hidden="1" x14ac:dyDescent="0.3">
      <c r="A3372" t="s">
        <v>557</v>
      </c>
      <c r="B3372" t="s">
        <v>727</v>
      </c>
      <c r="C3372" t="s">
        <v>273</v>
      </c>
      <c r="D3372" s="230">
        <v>0</v>
      </c>
      <c r="E3372" t="s">
        <v>728</v>
      </c>
    </row>
    <row r="3373" spans="1:5" hidden="1" x14ac:dyDescent="0.3">
      <c r="A3373" t="s">
        <v>557</v>
      </c>
      <c r="B3373" t="s">
        <v>727</v>
      </c>
      <c r="C3373" t="s">
        <v>274</v>
      </c>
      <c r="D3373" s="230">
        <v>-64.260000000000005</v>
      </c>
      <c r="E3373" t="s">
        <v>728</v>
      </c>
    </row>
    <row r="3374" spans="1:5" hidden="1" x14ac:dyDescent="0.3">
      <c r="A3374" t="s">
        <v>557</v>
      </c>
      <c r="B3374" t="s">
        <v>727</v>
      </c>
      <c r="C3374" t="s">
        <v>275</v>
      </c>
      <c r="D3374" s="230">
        <v>-612.96</v>
      </c>
      <c r="E3374" t="s">
        <v>728</v>
      </c>
    </row>
    <row r="3375" spans="1:5" hidden="1" x14ac:dyDescent="0.3">
      <c r="A3375" t="s">
        <v>557</v>
      </c>
      <c r="B3375" t="s">
        <v>727</v>
      </c>
      <c r="C3375" t="s">
        <v>276</v>
      </c>
      <c r="D3375" s="230">
        <v>-900</v>
      </c>
      <c r="E3375" t="s">
        <v>728</v>
      </c>
    </row>
    <row r="3376" spans="1:5" hidden="1" x14ac:dyDescent="0.3">
      <c r="A3376" t="s">
        <v>557</v>
      </c>
      <c r="B3376" t="s">
        <v>727</v>
      </c>
      <c r="C3376" t="s">
        <v>277</v>
      </c>
      <c r="D3376" s="230">
        <v>0</v>
      </c>
      <c r="E3376" t="s">
        <v>728</v>
      </c>
    </row>
    <row r="3377" spans="1:5" hidden="1" x14ac:dyDescent="0.3">
      <c r="A3377" t="s">
        <v>557</v>
      </c>
      <c r="B3377" t="s">
        <v>727</v>
      </c>
      <c r="C3377" t="s">
        <v>278</v>
      </c>
      <c r="D3377" s="230">
        <v>-3080.77</v>
      </c>
      <c r="E3377" t="s">
        <v>728</v>
      </c>
    </row>
    <row r="3378" spans="1:5" hidden="1" x14ac:dyDescent="0.3">
      <c r="A3378" t="s">
        <v>557</v>
      </c>
      <c r="B3378" t="s">
        <v>727</v>
      </c>
      <c r="C3378" t="s">
        <v>44</v>
      </c>
      <c r="D3378" s="230">
        <v>-0.09</v>
      </c>
      <c r="E3378" t="s">
        <v>728</v>
      </c>
    </row>
    <row r="3379" spans="1:5" hidden="1" x14ac:dyDescent="0.3">
      <c r="A3379" t="s">
        <v>557</v>
      </c>
      <c r="B3379" t="s">
        <v>727</v>
      </c>
      <c r="C3379" t="s">
        <v>279</v>
      </c>
      <c r="D3379" s="230">
        <v>-4995.41</v>
      </c>
      <c r="E3379" t="s">
        <v>728</v>
      </c>
    </row>
    <row r="3380" spans="1:5" hidden="1" x14ac:dyDescent="0.3">
      <c r="A3380" t="s">
        <v>557</v>
      </c>
      <c r="B3380" t="s">
        <v>727</v>
      </c>
      <c r="C3380" t="s">
        <v>280</v>
      </c>
      <c r="D3380" s="230">
        <v>-299.89999999999998</v>
      </c>
      <c r="E3380" t="s">
        <v>728</v>
      </c>
    </row>
    <row r="3381" spans="1:5" hidden="1" x14ac:dyDescent="0.3">
      <c r="A3381" t="s">
        <v>557</v>
      </c>
      <c r="B3381" t="s">
        <v>727</v>
      </c>
      <c r="C3381" t="s">
        <v>281</v>
      </c>
      <c r="D3381" s="230">
        <v>-386.92</v>
      </c>
      <c r="E3381" t="s">
        <v>728</v>
      </c>
    </row>
    <row r="3382" spans="1:5" hidden="1" x14ac:dyDescent="0.3">
      <c r="A3382" t="s">
        <v>557</v>
      </c>
      <c r="B3382" t="s">
        <v>727</v>
      </c>
      <c r="C3382" t="s">
        <v>282</v>
      </c>
      <c r="D3382" s="230">
        <v>-455.15</v>
      </c>
      <c r="E3382" t="s">
        <v>728</v>
      </c>
    </row>
    <row r="3383" spans="1:5" hidden="1" x14ac:dyDescent="0.3">
      <c r="A3383" t="s">
        <v>557</v>
      </c>
      <c r="B3383" t="s">
        <v>727</v>
      </c>
      <c r="C3383" t="s">
        <v>283</v>
      </c>
      <c r="D3383" s="230">
        <v>-276.69</v>
      </c>
      <c r="E3383" t="s">
        <v>728</v>
      </c>
    </row>
    <row r="3384" spans="1:5" hidden="1" x14ac:dyDescent="0.3">
      <c r="A3384" t="s">
        <v>557</v>
      </c>
      <c r="B3384" t="s">
        <v>727</v>
      </c>
      <c r="C3384" t="s">
        <v>284</v>
      </c>
      <c r="D3384" s="230">
        <v>-3576.75</v>
      </c>
      <c r="E3384" t="s">
        <v>728</v>
      </c>
    </row>
    <row r="3385" spans="1:5" hidden="1" x14ac:dyDescent="0.3">
      <c r="A3385" t="s">
        <v>557</v>
      </c>
      <c r="B3385" t="s">
        <v>727</v>
      </c>
      <c r="C3385" t="s">
        <v>285</v>
      </c>
      <c r="D3385" s="230">
        <v>0</v>
      </c>
      <c r="E3385" t="s">
        <v>728</v>
      </c>
    </row>
    <row r="3386" spans="1:5" hidden="1" x14ac:dyDescent="0.3">
      <c r="A3386" t="s">
        <v>557</v>
      </c>
      <c r="B3386" t="s">
        <v>727</v>
      </c>
      <c r="C3386" t="s">
        <v>286</v>
      </c>
      <c r="D3386" s="230">
        <v>0</v>
      </c>
      <c r="E3386" t="s">
        <v>728</v>
      </c>
    </row>
    <row r="3387" spans="1:5" hidden="1" x14ac:dyDescent="0.3">
      <c r="A3387" t="s">
        <v>557</v>
      </c>
      <c r="B3387" t="s">
        <v>727</v>
      </c>
      <c r="C3387" t="s">
        <v>44</v>
      </c>
      <c r="D3387" s="230">
        <v>-0.01</v>
      </c>
      <c r="E3387" t="s">
        <v>728</v>
      </c>
    </row>
    <row r="3388" spans="1:5" hidden="1" x14ac:dyDescent="0.3">
      <c r="A3388" t="s">
        <v>557</v>
      </c>
      <c r="B3388" t="s">
        <v>727</v>
      </c>
      <c r="C3388" t="s">
        <v>287</v>
      </c>
      <c r="D3388" s="230">
        <v>-6809.56</v>
      </c>
      <c r="E3388" t="s">
        <v>728</v>
      </c>
    </row>
    <row r="3389" spans="1:5" hidden="1" x14ac:dyDescent="0.3">
      <c r="A3389" t="s">
        <v>557</v>
      </c>
      <c r="B3389" t="s">
        <v>727</v>
      </c>
      <c r="C3389" t="s">
        <v>288</v>
      </c>
      <c r="D3389" s="230">
        <v>-6439.05</v>
      </c>
      <c r="E3389" t="s">
        <v>728</v>
      </c>
    </row>
    <row r="3390" spans="1:5" hidden="1" x14ac:dyDescent="0.3">
      <c r="A3390" t="s">
        <v>557</v>
      </c>
      <c r="B3390" t="s">
        <v>727</v>
      </c>
      <c r="C3390" t="s">
        <v>289</v>
      </c>
      <c r="D3390" s="230">
        <v>0</v>
      </c>
      <c r="E3390" t="s">
        <v>728</v>
      </c>
    </row>
    <row r="3391" spans="1:5" hidden="1" x14ac:dyDescent="0.3">
      <c r="A3391" t="s">
        <v>557</v>
      </c>
      <c r="B3391" t="s">
        <v>727</v>
      </c>
      <c r="C3391" t="s">
        <v>290</v>
      </c>
      <c r="D3391" s="230">
        <v>0</v>
      </c>
      <c r="E3391" t="s">
        <v>728</v>
      </c>
    </row>
    <row r="3392" spans="1:5" hidden="1" x14ac:dyDescent="0.3">
      <c r="A3392" t="s">
        <v>557</v>
      </c>
      <c r="B3392" t="s">
        <v>727</v>
      </c>
      <c r="C3392" t="s">
        <v>291</v>
      </c>
      <c r="D3392" s="230">
        <v>0</v>
      </c>
      <c r="E3392" t="s">
        <v>728</v>
      </c>
    </row>
    <row r="3393" spans="1:5" hidden="1" x14ac:dyDescent="0.3">
      <c r="A3393" t="s">
        <v>557</v>
      </c>
      <c r="B3393" t="s">
        <v>727</v>
      </c>
      <c r="C3393" t="s">
        <v>292</v>
      </c>
      <c r="D3393" s="230">
        <v>0</v>
      </c>
      <c r="E3393" t="s">
        <v>728</v>
      </c>
    </row>
    <row r="3394" spans="1:5" hidden="1" x14ac:dyDescent="0.3">
      <c r="A3394" t="s">
        <v>557</v>
      </c>
      <c r="B3394" t="s">
        <v>727</v>
      </c>
      <c r="C3394" t="s">
        <v>293</v>
      </c>
      <c r="D3394" s="230">
        <v>-57.91</v>
      </c>
      <c r="E3394" t="s">
        <v>728</v>
      </c>
    </row>
    <row r="3395" spans="1:5" hidden="1" x14ac:dyDescent="0.3">
      <c r="A3395" t="s">
        <v>557</v>
      </c>
      <c r="B3395" t="s">
        <v>727</v>
      </c>
      <c r="C3395" t="s">
        <v>294</v>
      </c>
      <c r="D3395" s="230">
        <v>-312.60000000000002</v>
      </c>
      <c r="E3395" t="s">
        <v>728</v>
      </c>
    </row>
    <row r="3396" spans="1:5" hidden="1" x14ac:dyDescent="0.3">
      <c r="A3396" t="s">
        <v>557</v>
      </c>
      <c r="B3396" t="s">
        <v>727</v>
      </c>
      <c r="C3396" t="s">
        <v>295</v>
      </c>
      <c r="D3396" s="230">
        <v>0</v>
      </c>
      <c r="E3396" t="s">
        <v>728</v>
      </c>
    </row>
    <row r="3397" spans="1:5" hidden="1" x14ac:dyDescent="0.3">
      <c r="A3397" t="s">
        <v>557</v>
      </c>
      <c r="B3397" t="s">
        <v>727</v>
      </c>
      <c r="C3397" t="s">
        <v>44</v>
      </c>
      <c r="D3397" s="230">
        <v>-0.02</v>
      </c>
      <c r="E3397" t="s">
        <v>728</v>
      </c>
    </row>
    <row r="3398" spans="1:5" hidden="1" x14ac:dyDescent="0.3">
      <c r="A3398" t="s">
        <v>557</v>
      </c>
      <c r="B3398" t="s">
        <v>727</v>
      </c>
      <c r="C3398" t="s">
        <v>296</v>
      </c>
      <c r="D3398" s="230">
        <v>-7258.25</v>
      </c>
      <c r="E3398" t="s">
        <v>728</v>
      </c>
    </row>
    <row r="3399" spans="1:5" hidden="1" x14ac:dyDescent="0.3">
      <c r="A3399" t="s">
        <v>557</v>
      </c>
      <c r="B3399" t="s">
        <v>727</v>
      </c>
      <c r="C3399" t="s">
        <v>297</v>
      </c>
      <c r="D3399" s="230">
        <v>-3500</v>
      </c>
      <c r="E3399" t="s">
        <v>728</v>
      </c>
    </row>
    <row r="3400" spans="1:5" hidden="1" x14ac:dyDescent="0.3">
      <c r="A3400" t="s">
        <v>557</v>
      </c>
      <c r="B3400" t="s">
        <v>727</v>
      </c>
      <c r="C3400" t="s">
        <v>298</v>
      </c>
      <c r="D3400" s="230">
        <v>-460</v>
      </c>
      <c r="E3400" t="s">
        <v>728</v>
      </c>
    </row>
    <row r="3401" spans="1:5" hidden="1" x14ac:dyDescent="0.3">
      <c r="A3401" t="s">
        <v>557</v>
      </c>
      <c r="B3401" t="s">
        <v>727</v>
      </c>
      <c r="C3401" t="s">
        <v>299</v>
      </c>
      <c r="D3401" s="230">
        <v>0</v>
      </c>
      <c r="E3401" t="s">
        <v>728</v>
      </c>
    </row>
    <row r="3402" spans="1:5" hidden="1" x14ac:dyDescent="0.3">
      <c r="A3402" t="s">
        <v>557</v>
      </c>
      <c r="B3402" t="s">
        <v>727</v>
      </c>
      <c r="C3402" t="s">
        <v>300</v>
      </c>
      <c r="D3402" s="230">
        <v>0</v>
      </c>
      <c r="E3402" t="s">
        <v>728</v>
      </c>
    </row>
    <row r="3403" spans="1:5" hidden="1" x14ac:dyDescent="0.3">
      <c r="A3403" t="s">
        <v>557</v>
      </c>
      <c r="B3403" t="s">
        <v>727</v>
      </c>
      <c r="C3403" t="s">
        <v>301</v>
      </c>
      <c r="D3403" s="230">
        <v>-490</v>
      </c>
      <c r="E3403" t="s">
        <v>728</v>
      </c>
    </row>
    <row r="3404" spans="1:5" hidden="1" x14ac:dyDescent="0.3">
      <c r="A3404" t="s">
        <v>557</v>
      </c>
      <c r="B3404" t="s">
        <v>727</v>
      </c>
      <c r="C3404" t="s">
        <v>302</v>
      </c>
      <c r="D3404" s="230">
        <v>0</v>
      </c>
      <c r="E3404" t="s">
        <v>728</v>
      </c>
    </row>
    <row r="3405" spans="1:5" hidden="1" x14ac:dyDescent="0.3">
      <c r="A3405" t="s">
        <v>557</v>
      </c>
      <c r="B3405" t="s">
        <v>727</v>
      </c>
      <c r="C3405" t="s">
        <v>303</v>
      </c>
      <c r="D3405" s="230">
        <v>0</v>
      </c>
      <c r="E3405" t="s">
        <v>728</v>
      </c>
    </row>
    <row r="3406" spans="1:5" hidden="1" x14ac:dyDescent="0.3">
      <c r="A3406" t="s">
        <v>557</v>
      </c>
      <c r="B3406" t="s">
        <v>727</v>
      </c>
      <c r="C3406" t="s">
        <v>304</v>
      </c>
      <c r="D3406" s="230">
        <v>-2300</v>
      </c>
      <c r="E3406" t="s">
        <v>728</v>
      </c>
    </row>
    <row r="3407" spans="1:5" hidden="1" x14ac:dyDescent="0.3">
      <c r="A3407" t="s">
        <v>557</v>
      </c>
      <c r="B3407" t="s">
        <v>727</v>
      </c>
      <c r="C3407" t="s">
        <v>305</v>
      </c>
      <c r="D3407" s="230">
        <v>-4.8899999999999997</v>
      </c>
      <c r="E3407" t="s">
        <v>728</v>
      </c>
    </row>
    <row r="3408" spans="1:5" hidden="1" x14ac:dyDescent="0.3">
      <c r="A3408" t="s">
        <v>557</v>
      </c>
      <c r="B3408" t="s">
        <v>727</v>
      </c>
      <c r="C3408" t="s">
        <v>306</v>
      </c>
      <c r="D3408" s="230">
        <v>0</v>
      </c>
      <c r="E3408" t="s">
        <v>728</v>
      </c>
    </row>
    <row r="3409" spans="1:5" hidden="1" x14ac:dyDescent="0.3">
      <c r="A3409" t="s">
        <v>557</v>
      </c>
      <c r="B3409" t="s">
        <v>727</v>
      </c>
      <c r="C3409" t="s">
        <v>307</v>
      </c>
      <c r="D3409" s="230">
        <v>-503.36</v>
      </c>
      <c r="E3409" t="s">
        <v>728</v>
      </c>
    </row>
    <row r="3410" spans="1:5" hidden="1" x14ac:dyDescent="0.3">
      <c r="A3410" t="s">
        <v>557</v>
      </c>
      <c r="B3410" t="s">
        <v>727</v>
      </c>
      <c r="C3410" t="s">
        <v>44</v>
      </c>
      <c r="D3410" s="230">
        <v>-0.02</v>
      </c>
      <c r="E3410" t="s">
        <v>728</v>
      </c>
    </row>
    <row r="3411" spans="1:5" hidden="1" x14ac:dyDescent="0.3">
      <c r="A3411" t="s">
        <v>557</v>
      </c>
      <c r="B3411" t="s">
        <v>727</v>
      </c>
      <c r="C3411" t="s">
        <v>308</v>
      </c>
      <c r="D3411" s="230">
        <v>-14358.25</v>
      </c>
      <c r="E3411" t="s">
        <v>728</v>
      </c>
    </row>
    <row r="3412" spans="1:5" hidden="1" x14ac:dyDescent="0.3">
      <c r="A3412" t="s">
        <v>557</v>
      </c>
      <c r="B3412" t="s">
        <v>727</v>
      </c>
      <c r="C3412" t="s">
        <v>309</v>
      </c>
      <c r="D3412" s="230">
        <v>-4297.7</v>
      </c>
      <c r="E3412" t="s">
        <v>728</v>
      </c>
    </row>
    <row r="3413" spans="1:5" hidden="1" x14ac:dyDescent="0.3">
      <c r="A3413" t="s">
        <v>557</v>
      </c>
      <c r="B3413" t="s">
        <v>727</v>
      </c>
      <c r="C3413" t="s">
        <v>310</v>
      </c>
      <c r="D3413" s="230">
        <v>0</v>
      </c>
      <c r="E3413" t="s">
        <v>728</v>
      </c>
    </row>
    <row r="3414" spans="1:5" hidden="1" x14ac:dyDescent="0.3">
      <c r="A3414" t="s">
        <v>557</v>
      </c>
      <c r="B3414" t="s">
        <v>727</v>
      </c>
      <c r="C3414" t="s">
        <v>311</v>
      </c>
      <c r="D3414" s="230">
        <v>-10060.549999999999</v>
      </c>
      <c r="E3414" t="s">
        <v>728</v>
      </c>
    </row>
    <row r="3415" spans="1:5" hidden="1" x14ac:dyDescent="0.3">
      <c r="A3415" t="s">
        <v>557</v>
      </c>
      <c r="B3415" t="s">
        <v>727</v>
      </c>
      <c r="C3415" t="s">
        <v>312</v>
      </c>
      <c r="D3415" s="230">
        <v>0</v>
      </c>
      <c r="E3415" t="s">
        <v>728</v>
      </c>
    </row>
    <row r="3416" spans="1:5" hidden="1" x14ac:dyDescent="0.3">
      <c r="A3416" t="s">
        <v>557</v>
      </c>
      <c r="B3416" t="s">
        <v>727</v>
      </c>
      <c r="C3416" t="s">
        <v>313</v>
      </c>
      <c r="D3416" s="230">
        <v>0</v>
      </c>
      <c r="E3416" t="s">
        <v>728</v>
      </c>
    </row>
    <row r="3417" spans="1:5" hidden="1" x14ac:dyDescent="0.3">
      <c r="A3417" t="s">
        <v>557</v>
      </c>
      <c r="B3417" t="s">
        <v>727</v>
      </c>
      <c r="C3417" t="s">
        <v>314</v>
      </c>
      <c r="D3417" s="230">
        <v>0</v>
      </c>
      <c r="E3417" t="s">
        <v>728</v>
      </c>
    </row>
    <row r="3418" spans="1:5" hidden="1" x14ac:dyDescent="0.3">
      <c r="A3418" t="s">
        <v>557</v>
      </c>
      <c r="B3418" t="s">
        <v>727</v>
      </c>
      <c r="C3418" t="s">
        <v>315</v>
      </c>
      <c r="D3418" s="230">
        <v>0</v>
      </c>
      <c r="E3418" t="s">
        <v>728</v>
      </c>
    </row>
    <row r="3419" spans="1:5" hidden="1" x14ac:dyDescent="0.3">
      <c r="A3419" t="s">
        <v>557</v>
      </c>
      <c r="B3419" t="s">
        <v>727</v>
      </c>
      <c r="C3419" t="s">
        <v>316</v>
      </c>
      <c r="D3419" s="230">
        <v>0</v>
      </c>
      <c r="E3419" t="s">
        <v>728</v>
      </c>
    </row>
    <row r="3420" spans="1:5" hidden="1" x14ac:dyDescent="0.3">
      <c r="A3420" t="s">
        <v>557</v>
      </c>
      <c r="B3420" t="s">
        <v>727</v>
      </c>
      <c r="C3420" t="s">
        <v>317</v>
      </c>
      <c r="D3420" s="230">
        <v>0</v>
      </c>
      <c r="E3420" t="s">
        <v>728</v>
      </c>
    </row>
    <row r="3421" spans="1:5" hidden="1" x14ac:dyDescent="0.3">
      <c r="A3421" t="s">
        <v>557</v>
      </c>
      <c r="B3421" t="s">
        <v>727</v>
      </c>
      <c r="C3421" t="s">
        <v>44</v>
      </c>
      <c r="D3421" s="230">
        <v>-0.03</v>
      </c>
      <c r="E3421" t="s">
        <v>728</v>
      </c>
    </row>
    <row r="3422" spans="1:5" hidden="1" x14ac:dyDescent="0.3">
      <c r="A3422" t="s">
        <v>557</v>
      </c>
      <c r="B3422" t="s">
        <v>727</v>
      </c>
      <c r="C3422" t="s">
        <v>318</v>
      </c>
      <c r="D3422" s="230">
        <v>-2440.06</v>
      </c>
      <c r="E3422" t="s">
        <v>728</v>
      </c>
    </row>
    <row r="3423" spans="1:5" hidden="1" x14ac:dyDescent="0.3">
      <c r="A3423" t="s">
        <v>557</v>
      </c>
      <c r="B3423" t="s">
        <v>727</v>
      </c>
      <c r="C3423" t="s">
        <v>319</v>
      </c>
      <c r="D3423" s="230">
        <v>-2440.06</v>
      </c>
      <c r="E3423" t="s">
        <v>728</v>
      </c>
    </row>
    <row r="3424" spans="1:5" hidden="1" x14ac:dyDescent="0.3">
      <c r="A3424" t="s">
        <v>557</v>
      </c>
      <c r="B3424" t="s">
        <v>727</v>
      </c>
      <c r="C3424" t="s">
        <v>320</v>
      </c>
      <c r="D3424" s="230">
        <v>0</v>
      </c>
      <c r="E3424" t="s">
        <v>728</v>
      </c>
    </row>
    <row r="3425" spans="1:5" hidden="1" x14ac:dyDescent="0.3">
      <c r="A3425" t="s">
        <v>557</v>
      </c>
      <c r="B3425" t="s">
        <v>727</v>
      </c>
      <c r="C3425" t="s">
        <v>321</v>
      </c>
      <c r="D3425" s="230">
        <v>0</v>
      </c>
      <c r="E3425" t="s">
        <v>728</v>
      </c>
    </row>
    <row r="3426" spans="1:5" hidden="1" x14ac:dyDescent="0.3">
      <c r="A3426" t="s">
        <v>557</v>
      </c>
      <c r="B3426" t="s">
        <v>727</v>
      </c>
      <c r="C3426" t="s">
        <v>322</v>
      </c>
      <c r="D3426" s="230">
        <v>0</v>
      </c>
      <c r="E3426" t="s">
        <v>728</v>
      </c>
    </row>
    <row r="3427" spans="1:5" hidden="1" x14ac:dyDescent="0.3">
      <c r="A3427" t="s">
        <v>557</v>
      </c>
      <c r="B3427" t="s">
        <v>727</v>
      </c>
      <c r="C3427" t="s">
        <v>44</v>
      </c>
      <c r="D3427" s="230">
        <v>-0.01</v>
      </c>
      <c r="E3427" t="s">
        <v>728</v>
      </c>
    </row>
    <row r="3428" spans="1:5" hidden="1" x14ac:dyDescent="0.3">
      <c r="A3428" t="s">
        <v>557</v>
      </c>
      <c r="B3428" t="s">
        <v>727</v>
      </c>
      <c r="C3428" t="s">
        <v>323</v>
      </c>
      <c r="D3428" s="230">
        <v>-21490.44</v>
      </c>
      <c r="E3428" t="s">
        <v>728</v>
      </c>
    </row>
    <row r="3429" spans="1:5" hidden="1" x14ac:dyDescent="0.3">
      <c r="A3429" t="s">
        <v>557</v>
      </c>
      <c r="B3429" t="s">
        <v>727</v>
      </c>
      <c r="C3429" t="s">
        <v>324</v>
      </c>
      <c r="D3429" s="230">
        <v>0</v>
      </c>
      <c r="E3429" t="s">
        <v>728</v>
      </c>
    </row>
    <row r="3430" spans="1:5" hidden="1" x14ac:dyDescent="0.3">
      <c r="A3430" t="s">
        <v>557</v>
      </c>
      <c r="B3430" t="s">
        <v>727</v>
      </c>
      <c r="C3430" t="s">
        <v>325</v>
      </c>
      <c r="D3430" s="230">
        <v>0</v>
      </c>
      <c r="E3430" t="s">
        <v>728</v>
      </c>
    </row>
    <row r="3431" spans="1:5" hidden="1" x14ac:dyDescent="0.3">
      <c r="A3431" t="s">
        <v>557</v>
      </c>
      <c r="B3431" t="s">
        <v>727</v>
      </c>
      <c r="C3431" t="s">
        <v>326</v>
      </c>
      <c r="D3431" s="230">
        <v>-21490.44</v>
      </c>
      <c r="E3431" t="s">
        <v>728</v>
      </c>
    </row>
    <row r="3432" spans="1:5" hidden="1" x14ac:dyDescent="0.3">
      <c r="A3432" t="s">
        <v>557</v>
      </c>
      <c r="B3432" t="s">
        <v>727</v>
      </c>
      <c r="C3432" t="s">
        <v>44</v>
      </c>
      <c r="D3432" s="230">
        <v>-0.05</v>
      </c>
      <c r="E3432" t="s">
        <v>728</v>
      </c>
    </row>
    <row r="3433" spans="1:5" hidden="1" x14ac:dyDescent="0.3">
      <c r="A3433" t="s">
        <v>557</v>
      </c>
      <c r="B3433" t="s">
        <v>727</v>
      </c>
      <c r="C3433" t="s">
        <v>328</v>
      </c>
      <c r="D3433" s="230">
        <v>-260541.52</v>
      </c>
      <c r="E3433" t="s">
        <v>728</v>
      </c>
    </row>
    <row r="3434" spans="1:5" hidden="1" x14ac:dyDescent="0.3">
      <c r="A3434" t="s">
        <v>557</v>
      </c>
      <c r="B3434" t="s">
        <v>727</v>
      </c>
      <c r="C3434" t="s">
        <v>44</v>
      </c>
      <c r="D3434" s="230">
        <v>-0.61</v>
      </c>
      <c r="E3434" t="s">
        <v>728</v>
      </c>
    </row>
    <row r="3435" spans="1:5" hidden="1" x14ac:dyDescent="0.3">
      <c r="A3435" t="s">
        <v>557</v>
      </c>
      <c r="B3435" t="s">
        <v>727</v>
      </c>
      <c r="C3435" t="s">
        <v>329</v>
      </c>
      <c r="D3435" s="230">
        <v>-24466.47</v>
      </c>
      <c r="E3435" t="s">
        <v>728</v>
      </c>
    </row>
    <row r="3436" spans="1:5" hidden="1" x14ac:dyDescent="0.3">
      <c r="A3436" t="s">
        <v>557</v>
      </c>
      <c r="B3436" t="s">
        <v>727</v>
      </c>
      <c r="C3436" t="s">
        <v>44</v>
      </c>
      <c r="D3436" s="230">
        <v>-0.06</v>
      </c>
      <c r="E3436" t="s">
        <v>728</v>
      </c>
    </row>
    <row r="3437" spans="1:5" hidden="1" x14ac:dyDescent="0.3">
      <c r="A3437" t="s">
        <v>557</v>
      </c>
      <c r="B3437" t="s">
        <v>727</v>
      </c>
      <c r="C3437" t="s">
        <v>330</v>
      </c>
      <c r="D3437" s="230">
        <v>0</v>
      </c>
      <c r="E3437" t="s">
        <v>728</v>
      </c>
    </row>
    <row r="3438" spans="1:5" hidden="1" x14ac:dyDescent="0.3">
      <c r="A3438" t="s">
        <v>557</v>
      </c>
      <c r="B3438" t="s">
        <v>727</v>
      </c>
      <c r="C3438" t="s">
        <v>332</v>
      </c>
      <c r="D3438" s="230">
        <v>-24466.47</v>
      </c>
      <c r="E3438" t="s">
        <v>728</v>
      </c>
    </row>
    <row r="3439" spans="1:5" hidden="1" x14ac:dyDescent="0.3">
      <c r="A3439" t="s">
        <v>557</v>
      </c>
      <c r="B3439" t="s">
        <v>727</v>
      </c>
      <c r="C3439" t="s">
        <v>333</v>
      </c>
      <c r="D3439" s="230">
        <v>8930.57</v>
      </c>
      <c r="E3439" t="s">
        <v>728</v>
      </c>
    </row>
    <row r="3440" spans="1:5" hidden="1" x14ac:dyDescent="0.3">
      <c r="A3440" t="s">
        <v>557</v>
      </c>
      <c r="B3440" t="s">
        <v>727</v>
      </c>
      <c r="C3440" t="s">
        <v>334</v>
      </c>
      <c r="D3440" s="230">
        <v>2500</v>
      </c>
      <c r="E3440" t="s">
        <v>728</v>
      </c>
    </row>
    <row r="3441" spans="1:5" hidden="1" x14ac:dyDescent="0.3">
      <c r="A3441" t="s">
        <v>557</v>
      </c>
      <c r="B3441" t="s">
        <v>727</v>
      </c>
      <c r="C3441" t="s">
        <v>336</v>
      </c>
      <c r="D3441" s="230">
        <v>-2694.62</v>
      </c>
      <c r="E3441" t="s">
        <v>728</v>
      </c>
    </row>
    <row r="3442" spans="1:5" hidden="1" x14ac:dyDescent="0.3">
      <c r="A3442" t="s">
        <v>557</v>
      </c>
      <c r="B3442" t="s">
        <v>727</v>
      </c>
      <c r="C3442" t="s">
        <v>338</v>
      </c>
      <c r="D3442" s="230">
        <v>-15730.52</v>
      </c>
      <c r="E3442" t="s">
        <v>728</v>
      </c>
    </row>
    <row r="3443" spans="1:5" hidden="1" x14ac:dyDescent="0.3">
      <c r="A3443" t="s">
        <v>557</v>
      </c>
      <c r="B3443" t="s">
        <v>727</v>
      </c>
      <c r="C3443" t="s">
        <v>339</v>
      </c>
      <c r="D3443" s="230">
        <v>-11244.68</v>
      </c>
      <c r="E3443" t="s">
        <v>728</v>
      </c>
    </row>
    <row r="3444" spans="1:5" hidden="1" x14ac:dyDescent="0.3">
      <c r="A3444" t="s">
        <v>557</v>
      </c>
      <c r="B3444" t="s">
        <v>727</v>
      </c>
      <c r="C3444" t="s">
        <v>342</v>
      </c>
      <c r="D3444" s="230">
        <v>0</v>
      </c>
      <c r="E3444" t="s">
        <v>728</v>
      </c>
    </row>
    <row r="3445" spans="1:5" hidden="1" x14ac:dyDescent="0.3">
      <c r="A3445" t="s">
        <v>557</v>
      </c>
      <c r="B3445" t="s">
        <v>727</v>
      </c>
      <c r="C3445" t="s">
        <v>344</v>
      </c>
      <c r="D3445" s="230">
        <v>-4512.91</v>
      </c>
      <c r="E3445" t="s">
        <v>728</v>
      </c>
    </row>
    <row r="3446" spans="1:5" hidden="1" x14ac:dyDescent="0.3">
      <c r="A3446" t="s">
        <v>557</v>
      </c>
      <c r="B3446" t="s">
        <v>727</v>
      </c>
      <c r="C3446" t="s">
        <v>345</v>
      </c>
      <c r="D3446" s="230">
        <v>-2670.14</v>
      </c>
      <c r="E3446" t="s">
        <v>728</v>
      </c>
    </row>
    <row r="3447" spans="1:5" hidden="1" x14ac:dyDescent="0.3">
      <c r="A3447" t="s">
        <v>557</v>
      </c>
      <c r="B3447" t="s">
        <v>727</v>
      </c>
      <c r="C3447" t="s">
        <v>346</v>
      </c>
      <c r="D3447" s="230">
        <v>-4061.62</v>
      </c>
      <c r="E3447" t="s">
        <v>728</v>
      </c>
    </row>
    <row r="3448" spans="1:5" hidden="1" x14ac:dyDescent="0.3">
      <c r="A3448" t="s">
        <v>557</v>
      </c>
      <c r="B3448" t="s">
        <v>727</v>
      </c>
      <c r="C3448" t="s">
        <v>347</v>
      </c>
      <c r="D3448" s="230">
        <v>-26975.200000000001</v>
      </c>
      <c r="E3448" t="s">
        <v>728</v>
      </c>
    </row>
    <row r="3449" spans="1:5" hidden="1" x14ac:dyDescent="0.3">
      <c r="A3449" t="s">
        <v>557</v>
      </c>
      <c r="B3449" t="s">
        <v>727</v>
      </c>
      <c r="C3449" t="s">
        <v>44</v>
      </c>
      <c r="D3449" s="230">
        <v>-0.06</v>
      </c>
      <c r="E3449" t="s">
        <v>728</v>
      </c>
    </row>
    <row r="3450" spans="1:5" hidden="1" x14ac:dyDescent="0.3">
      <c r="A3450" t="s">
        <v>557</v>
      </c>
      <c r="B3450" t="s">
        <v>727</v>
      </c>
      <c r="C3450" t="s">
        <v>348</v>
      </c>
      <c r="D3450" s="230">
        <v>-14860.75</v>
      </c>
      <c r="E3450" t="s">
        <v>728</v>
      </c>
    </row>
    <row r="3451" spans="1:5" hidden="1" x14ac:dyDescent="0.3">
      <c r="A3451" t="s">
        <v>557</v>
      </c>
      <c r="B3451" t="s">
        <v>727</v>
      </c>
      <c r="C3451" t="s">
        <v>707</v>
      </c>
      <c r="D3451" s="230">
        <v>-10105</v>
      </c>
      <c r="E3451" t="s">
        <v>728</v>
      </c>
    </row>
    <row r="3452" spans="1:5" hidden="1" x14ac:dyDescent="0.3">
      <c r="A3452" t="s">
        <v>557</v>
      </c>
      <c r="B3452" t="s">
        <v>727</v>
      </c>
      <c r="C3452" t="s">
        <v>350</v>
      </c>
      <c r="D3452" s="230">
        <v>-4755.75</v>
      </c>
      <c r="E3452" t="s">
        <v>728</v>
      </c>
    </row>
    <row r="3453" spans="1:5" hidden="1" x14ac:dyDescent="0.3">
      <c r="A3453" t="s">
        <v>557</v>
      </c>
      <c r="B3453" t="s">
        <v>727</v>
      </c>
      <c r="C3453" t="s">
        <v>351</v>
      </c>
      <c r="D3453" s="230">
        <v>0</v>
      </c>
      <c r="E3453" t="s">
        <v>728</v>
      </c>
    </row>
    <row r="3454" spans="1:5" hidden="1" x14ac:dyDescent="0.3">
      <c r="A3454" t="s">
        <v>557</v>
      </c>
      <c r="B3454" t="s">
        <v>727</v>
      </c>
      <c r="C3454" t="s">
        <v>352</v>
      </c>
      <c r="D3454" s="230">
        <v>0</v>
      </c>
      <c r="E3454" t="s">
        <v>728</v>
      </c>
    </row>
    <row r="3455" spans="1:5" hidden="1" x14ac:dyDescent="0.3">
      <c r="A3455" t="s">
        <v>557</v>
      </c>
      <c r="B3455" t="s">
        <v>727</v>
      </c>
      <c r="C3455" t="s">
        <v>353</v>
      </c>
      <c r="D3455" s="230">
        <v>0</v>
      </c>
      <c r="E3455" t="s">
        <v>728</v>
      </c>
    </row>
    <row r="3456" spans="1:5" hidden="1" x14ac:dyDescent="0.3">
      <c r="A3456" t="s">
        <v>557</v>
      </c>
      <c r="B3456" t="s">
        <v>727</v>
      </c>
      <c r="C3456" t="s">
        <v>354</v>
      </c>
      <c r="D3456" s="230">
        <v>0</v>
      </c>
      <c r="E3456" t="s">
        <v>728</v>
      </c>
    </row>
    <row r="3457" spans="1:5" hidden="1" x14ac:dyDescent="0.3">
      <c r="A3457" t="s">
        <v>557</v>
      </c>
      <c r="B3457" t="s">
        <v>727</v>
      </c>
      <c r="C3457" t="s">
        <v>355</v>
      </c>
      <c r="D3457" s="230">
        <v>0</v>
      </c>
      <c r="E3457" t="s">
        <v>728</v>
      </c>
    </row>
    <row r="3458" spans="1:5" hidden="1" x14ac:dyDescent="0.3">
      <c r="A3458" t="s">
        <v>557</v>
      </c>
      <c r="B3458" t="s">
        <v>727</v>
      </c>
      <c r="C3458" t="s">
        <v>356</v>
      </c>
      <c r="D3458" s="230">
        <v>0</v>
      </c>
      <c r="E3458" t="s">
        <v>728</v>
      </c>
    </row>
    <row r="3459" spans="1:5" hidden="1" x14ac:dyDescent="0.3">
      <c r="A3459" t="s">
        <v>557</v>
      </c>
      <c r="B3459" t="s">
        <v>727</v>
      </c>
      <c r="C3459" t="s">
        <v>357</v>
      </c>
      <c r="D3459" s="230">
        <v>0</v>
      </c>
      <c r="E3459" t="s">
        <v>728</v>
      </c>
    </row>
    <row r="3460" spans="1:5" hidden="1" x14ac:dyDescent="0.3">
      <c r="A3460" t="s">
        <v>557</v>
      </c>
      <c r="B3460" t="s">
        <v>727</v>
      </c>
      <c r="C3460" t="s">
        <v>358</v>
      </c>
      <c r="D3460" s="230">
        <v>0</v>
      </c>
      <c r="E3460" t="s">
        <v>728</v>
      </c>
    </row>
    <row r="3461" spans="1:5" hidden="1" x14ac:dyDescent="0.3">
      <c r="A3461" t="s">
        <v>557</v>
      </c>
      <c r="B3461" t="s">
        <v>727</v>
      </c>
      <c r="C3461" t="s">
        <v>359</v>
      </c>
      <c r="D3461" s="230">
        <v>0</v>
      </c>
      <c r="E3461" t="s">
        <v>728</v>
      </c>
    </row>
    <row r="3462" spans="1:5" hidden="1" x14ac:dyDescent="0.3">
      <c r="A3462" t="s">
        <v>557</v>
      </c>
      <c r="B3462" t="s">
        <v>727</v>
      </c>
      <c r="C3462" t="s">
        <v>360</v>
      </c>
      <c r="D3462" s="230">
        <v>0</v>
      </c>
      <c r="E3462" t="s">
        <v>728</v>
      </c>
    </row>
    <row r="3463" spans="1:5" hidden="1" x14ac:dyDescent="0.3">
      <c r="A3463" t="s">
        <v>557</v>
      </c>
      <c r="B3463" t="s">
        <v>727</v>
      </c>
      <c r="C3463" t="s">
        <v>361</v>
      </c>
      <c r="D3463" s="230">
        <v>0</v>
      </c>
      <c r="E3463" t="s">
        <v>728</v>
      </c>
    </row>
    <row r="3464" spans="1:5" hidden="1" x14ac:dyDescent="0.3">
      <c r="A3464" t="s">
        <v>557</v>
      </c>
      <c r="B3464" t="s">
        <v>727</v>
      </c>
      <c r="C3464" t="s">
        <v>362</v>
      </c>
      <c r="D3464" s="230">
        <v>0</v>
      </c>
      <c r="E3464" t="s">
        <v>728</v>
      </c>
    </row>
    <row r="3465" spans="1:5" hidden="1" x14ac:dyDescent="0.3">
      <c r="A3465" t="s">
        <v>557</v>
      </c>
      <c r="B3465" t="s">
        <v>727</v>
      </c>
      <c r="C3465" t="s">
        <v>363</v>
      </c>
      <c r="D3465" s="230">
        <v>0</v>
      </c>
      <c r="E3465" t="s">
        <v>728</v>
      </c>
    </row>
    <row r="3466" spans="1:5" hidden="1" x14ac:dyDescent="0.3">
      <c r="A3466" t="s">
        <v>557</v>
      </c>
      <c r="B3466" t="s">
        <v>727</v>
      </c>
      <c r="C3466" t="s">
        <v>364</v>
      </c>
      <c r="D3466" s="230">
        <v>0</v>
      </c>
      <c r="E3466" t="s">
        <v>728</v>
      </c>
    </row>
    <row r="3467" spans="1:5" hidden="1" x14ac:dyDescent="0.3">
      <c r="A3467" t="s">
        <v>557</v>
      </c>
      <c r="B3467" t="s">
        <v>727</v>
      </c>
      <c r="C3467" t="s">
        <v>365</v>
      </c>
      <c r="D3467" s="230">
        <v>0</v>
      </c>
      <c r="E3467" t="s">
        <v>728</v>
      </c>
    </row>
    <row r="3468" spans="1:5" hidden="1" x14ac:dyDescent="0.3">
      <c r="A3468" t="s">
        <v>557</v>
      </c>
      <c r="B3468" t="s">
        <v>727</v>
      </c>
      <c r="C3468" t="s">
        <v>366</v>
      </c>
      <c r="D3468" s="230">
        <v>0</v>
      </c>
      <c r="E3468" t="s">
        <v>728</v>
      </c>
    </row>
    <row r="3469" spans="1:5" hidden="1" x14ac:dyDescent="0.3">
      <c r="A3469" t="s">
        <v>557</v>
      </c>
      <c r="B3469" t="s">
        <v>727</v>
      </c>
      <c r="C3469" t="s">
        <v>367</v>
      </c>
      <c r="D3469" s="230">
        <v>0</v>
      </c>
      <c r="E3469" t="s">
        <v>728</v>
      </c>
    </row>
    <row r="3470" spans="1:5" hidden="1" x14ac:dyDescent="0.3">
      <c r="A3470" t="s">
        <v>557</v>
      </c>
      <c r="B3470" t="s">
        <v>727</v>
      </c>
      <c r="C3470" t="s">
        <v>368</v>
      </c>
      <c r="D3470" s="230">
        <v>0</v>
      </c>
      <c r="E3470" t="s">
        <v>728</v>
      </c>
    </row>
    <row r="3471" spans="1:5" hidden="1" x14ac:dyDescent="0.3">
      <c r="A3471" t="s">
        <v>557</v>
      </c>
      <c r="B3471" t="s">
        <v>727</v>
      </c>
      <c r="C3471" t="s">
        <v>369</v>
      </c>
      <c r="D3471" s="230">
        <v>0</v>
      </c>
      <c r="E3471" t="s">
        <v>728</v>
      </c>
    </row>
    <row r="3472" spans="1:5" hidden="1" x14ac:dyDescent="0.3">
      <c r="A3472" t="s">
        <v>557</v>
      </c>
      <c r="B3472" t="s">
        <v>727</v>
      </c>
      <c r="C3472" t="s">
        <v>370</v>
      </c>
      <c r="D3472" s="230">
        <v>0</v>
      </c>
      <c r="E3472" t="s">
        <v>728</v>
      </c>
    </row>
    <row r="3473" spans="1:5" hidden="1" x14ac:dyDescent="0.3">
      <c r="A3473" t="s">
        <v>557</v>
      </c>
      <c r="B3473" t="s">
        <v>727</v>
      </c>
      <c r="C3473" t="s">
        <v>371</v>
      </c>
      <c r="D3473" s="230">
        <v>0</v>
      </c>
      <c r="E3473" t="s">
        <v>728</v>
      </c>
    </row>
    <row r="3474" spans="1:5" hidden="1" x14ac:dyDescent="0.3">
      <c r="A3474" t="s">
        <v>557</v>
      </c>
      <c r="B3474" t="s">
        <v>727</v>
      </c>
      <c r="C3474" t="s">
        <v>372</v>
      </c>
      <c r="D3474" s="230">
        <v>0</v>
      </c>
      <c r="E3474" t="s">
        <v>728</v>
      </c>
    </row>
    <row r="3475" spans="1:5" hidden="1" x14ac:dyDescent="0.3">
      <c r="A3475" t="s">
        <v>557</v>
      </c>
      <c r="B3475" t="s">
        <v>727</v>
      </c>
      <c r="C3475" t="s">
        <v>373</v>
      </c>
      <c r="D3475" s="230">
        <v>0</v>
      </c>
      <c r="E3475" t="s">
        <v>728</v>
      </c>
    </row>
    <row r="3476" spans="1:5" hidden="1" x14ac:dyDescent="0.3">
      <c r="A3476" t="s">
        <v>557</v>
      </c>
      <c r="B3476" t="s">
        <v>727</v>
      </c>
      <c r="C3476" t="s">
        <v>374</v>
      </c>
      <c r="D3476" s="230">
        <v>0</v>
      </c>
      <c r="E3476" t="s">
        <v>728</v>
      </c>
    </row>
    <row r="3477" spans="1:5" hidden="1" x14ac:dyDescent="0.3">
      <c r="A3477" t="s">
        <v>557</v>
      </c>
      <c r="B3477" t="s">
        <v>727</v>
      </c>
      <c r="C3477" t="s">
        <v>708</v>
      </c>
      <c r="D3477" s="230">
        <v>0</v>
      </c>
      <c r="E3477" t="s">
        <v>728</v>
      </c>
    </row>
    <row r="3478" spans="1:5" hidden="1" x14ac:dyDescent="0.3">
      <c r="A3478" t="s">
        <v>557</v>
      </c>
      <c r="B3478" t="s">
        <v>729</v>
      </c>
      <c r="C3478" t="s">
        <v>11</v>
      </c>
      <c r="D3478" s="230">
        <v>713654.13</v>
      </c>
      <c r="E3478" t="s">
        <v>730</v>
      </c>
    </row>
    <row r="3479" spans="1:5" hidden="1" x14ac:dyDescent="0.3">
      <c r="A3479" t="s">
        <v>557</v>
      </c>
      <c r="B3479" t="s">
        <v>729</v>
      </c>
      <c r="C3479" t="s">
        <v>13</v>
      </c>
      <c r="D3479" s="230">
        <v>236506.98</v>
      </c>
      <c r="E3479" t="s">
        <v>730</v>
      </c>
    </row>
    <row r="3480" spans="1:5" hidden="1" x14ac:dyDescent="0.3">
      <c r="A3480" t="s">
        <v>557</v>
      </c>
      <c r="B3480" t="s">
        <v>729</v>
      </c>
      <c r="C3480" t="s">
        <v>16</v>
      </c>
      <c r="D3480" s="230">
        <v>149666.18</v>
      </c>
      <c r="E3480" t="s">
        <v>730</v>
      </c>
    </row>
    <row r="3481" spans="1:5" hidden="1" x14ac:dyDescent="0.3">
      <c r="A3481" t="s">
        <v>557</v>
      </c>
      <c r="B3481" t="s">
        <v>729</v>
      </c>
      <c r="C3481" t="s">
        <v>17</v>
      </c>
      <c r="D3481" s="230">
        <v>2850</v>
      </c>
      <c r="E3481" t="s">
        <v>730</v>
      </c>
    </row>
    <row r="3482" spans="1:5" hidden="1" x14ac:dyDescent="0.3">
      <c r="A3482" t="s">
        <v>557</v>
      </c>
      <c r="B3482" t="s">
        <v>729</v>
      </c>
      <c r="C3482" t="s">
        <v>18</v>
      </c>
      <c r="D3482" s="230">
        <v>189</v>
      </c>
      <c r="E3482" t="s">
        <v>730</v>
      </c>
    </row>
    <row r="3483" spans="1:5" hidden="1" x14ac:dyDescent="0.3">
      <c r="A3483" t="s">
        <v>557</v>
      </c>
      <c r="B3483" t="s">
        <v>729</v>
      </c>
      <c r="C3483" t="s">
        <v>20</v>
      </c>
      <c r="D3483" s="230">
        <v>48974.1</v>
      </c>
      <c r="E3483" t="s">
        <v>730</v>
      </c>
    </row>
    <row r="3484" spans="1:5" hidden="1" x14ac:dyDescent="0.3">
      <c r="A3484" t="s">
        <v>557</v>
      </c>
      <c r="B3484" t="s">
        <v>729</v>
      </c>
      <c r="C3484" t="s">
        <v>23</v>
      </c>
      <c r="D3484" s="230">
        <v>237101.88</v>
      </c>
      <c r="E3484" t="s">
        <v>730</v>
      </c>
    </row>
    <row r="3485" spans="1:5" hidden="1" x14ac:dyDescent="0.3">
      <c r="A3485" t="s">
        <v>557</v>
      </c>
      <c r="B3485" t="s">
        <v>729</v>
      </c>
      <c r="C3485" t="s">
        <v>25</v>
      </c>
      <c r="D3485" s="230">
        <v>0</v>
      </c>
      <c r="E3485" t="s">
        <v>730</v>
      </c>
    </row>
    <row r="3486" spans="1:5" hidden="1" x14ac:dyDescent="0.3">
      <c r="A3486" t="s">
        <v>557</v>
      </c>
      <c r="B3486" t="s">
        <v>729</v>
      </c>
      <c r="C3486" t="s">
        <v>26</v>
      </c>
      <c r="D3486" s="230">
        <v>34350</v>
      </c>
      <c r="E3486" t="s">
        <v>730</v>
      </c>
    </row>
    <row r="3487" spans="1:5" hidden="1" x14ac:dyDescent="0.3">
      <c r="A3487" t="s">
        <v>557</v>
      </c>
      <c r="B3487" t="s">
        <v>729</v>
      </c>
      <c r="C3487" t="s">
        <v>27</v>
      </c>
      <c r="D3487" s="230">
        <v>0</v>
      </c>
      <c r="E3487" t="s">
        <v>730</v>
      </c>
    </row>
    <row r="3488" spans="1:5" hidden="1" x14ac:dyDescent="0.3">
      <c r="A3488" t="s">
        <v>557</v>
      </c>
      <c r="B3488" t="s">
        <v>729</v>
      </c>
      <c r="C3488" t="s">
        <v>29</v>
      </c>
      <c r="D3488" s="230">
        <v>4016</v>
      </c>
      <c r="E3488" t="s">
        <v>730</v>
      </c>
    </row>
    <row r="3489" spans="1:5" hidden="1" x14ac:dyDescent="0.3">
      <c r="A3489" t="s">
        <v>557</v>
      </c>
      <c r="B3489" t="s">
        <v>729</v>
      </c>
      <c r="C3489" t="s">
        <v>31</v>
      </c>
      <c r="D3489" s="230">
        <v>0</v>
      </c>
      <c r="E3489" t="s">
        <v>730</v>
      </c>
    </row>
    <row r="3490" spans="1:5" hidden="1" x14ac:dyDescent="0.3">
      <c r="A3490" t="s">
        <v>557</v>
      </c>
      <c r="B3490" t="s">
        <v>729</v>
      </c>
      <c r="C3490" t="s">
        <v>34</v>
      </c>
      <c r="D3490" s="230">
        <v>-13207.79</v>
      </c>
      <c r="E3490" t="s">
        <v>730</v>
      </c>
    </row>
    <row r="3491" spans="1:5" hidden="1" x14ac:dyDescent="0.3">
      <c r="A3491" t="s">
        <v>557</v>
      </c>
      <c r="B3491" t="s">
        <v>729</v>
      </c>
      <c r="C3491" t="s">
        <v>38</v>
      </c>
      <c r="D3491" s="230">
        <v>-13207.79</v>
      </c>
      <c r="E3491" t="s">
        <v>730</v>
      </c>
    </row>
    <row r="3492" spans="1:5" hidden="1" x14ac:dyDescent="0.3">
      <c r="A3492" t="s">
        <v>557</v>
      </c>
      <c r="B3492" t="s">
        <v>729</v>
      </c>
      <c r="C3492" t="s">
        <v>40</v>
      </c>
      <c r="D3492" s="230">
        <v>0</v>
      </c>
      <c r="E3492" t="s">
        <v>730</v>
      </c>
    </row>
    <row r="3493" spans="1:5" hidden="1" x14ac:dyDescent="0.3">
      <c r="A3493" t="s">
        <v>557</v>
      </c>
      <c r="B3493" t="s">
        <v>729</v>
      </c>
      <c r="C3493" t="s">
        <v>42</v>
      </c>
      <c r="D3493" s="230">
        <v>0</v>
      </c>
      <c r="E3493" t="s">
        <v>730</v>
      </c>
    </row>
    <row r="3494" spans="1:5" hidden="1" x14ac:dyDescent="0.3">
      <c r="A3494" t="s">
        <v>557</v>
      </c>
      <c r="B3494" t="s">
        <v>729</v>
      </c>
      <c r="C3494" t="s">
        <v>44</v>
      </c>
      <c r="D3494" s="230">
        <v>-0.02</v>
      </c>
      <c r="E3494" t="s">
        <v>730</v>
      </c>
    </row>
    <row r="3495" spans="1:5" hidden="1" x14ac:dyDescent="0.3">
      <c r="A3495" t="s">
        <v>557</v>
      </c>
      <c r="B3495" t="s">
        <v>729</v>
      </c>
      <c r="C3495" t="s">
        <v>45</v>
      </c>
      <c r="D3495" s="230">
        <v>-49036.18</v>
      </c>
      <c r="E3495" t="s">
        <v>730</v>
      </c>
    </row>
    <row r="3496" spans="1:5" hidden="1" x14ac:dyDescent="0.3">
      <c r="A3496" t="s">
        <v>557</v>
      </c>
      <c r="B3496" t="s">
        <v>729</v>
      </c>
      <c r="C3496" t="s">
        <v>46</v>
      </c>
      <c r="D3496" s="230">
        <v>-23778.74</v>
      </c>
      <c r="E3496" t="s">
        <v>730</v>
      </c>
    </row>
    <row r="3497" spans="1:5" hidden="1" x14ac:dyDescent="0.3">
      <c r="A3497" t="s">
        <v>557</v>
      </c>
      <c r="B3497" t="s">
        <v>729</v>
      </c>
      <c r="C3497" t="s">
        <v>48</v>
      </c>
      <c r="D3497" s="230">
        <v>-13259.85</v>
      </c>
      <c r="E3497" t="s">
        <v>730</v>
      </c>
    </row>
    <row r="3498" spans="1:5" hidden="1" x14ac:dyDescent="0.3">
      <c r="A3498" t="s">
        <v>557</v>
      </c>
      <c r="B3498" t="s">
        <v>729</v>
      </c>
      <c r="C3498" t="s">
        <v>49</v>
      </c>
      <c r="D3498" s="230">
        <v>-11997.59</v>
      </c>
      <c r="E3498" t="s">
        <v>730</v>
      </c>
    </row>
    <row r="3499" spans="1:5" hidden="1" x14ac:dyDescent="0.3">
      <c r="A3499" t="s">
        <v>557</v>
      </c>
      <c r="B3499" t="s">
        <v>729</v>
      </c>
      <c r="C3499" t="s">
        <v>50</v>
      </c>
      <c r="D3499" s="230">
        <v>651410.16</v>
      </c>
      <c r="E3499" t="s">
        <v>730</v>
      </c>
    </row>
    <row r="3500" spans="1:5" hidden="1" x14ac:dyDescent="0.3">
      <c r="A3500" t="s">
        <v>557</v>
      </c>
      <c r="B3500" t="s">
        <v>729</v>
      </c>
      <c r="C3500" t="s">
        <v>51</v>
      </c>
      <c r="D3500" s="230">
        <v>-170875.87</v>
      </c>
      <c r="E3500" t="s">
        <v>730</v>
      </c>
    </row>
    <row r="3501" spans="1:5" hidden="1" x14ac:dyDescent="0.3">
      <c r="A3501" t="s">
        <v>557</v>
      </c>
      <c r="B3501" t="s">
        <v>729</v>
      </c>
      <c r="C3501" t="s">
        <v>52</v>
      </c>
      <c r="D3501" s="230">
        <v>-126582.08</v>
      </c>
      <c r="E3501" t="s">
        <v>730</v>
      </c>
    </row>
    <row r="3502" spans="1:5" hidden="1" x14ac:dyDescent="0.3">
      <c r="A3502" t="s">
        <v>557</v>
      </c>
      <c r="B3502" t="s">
        <v>729</v>
      </c>
      <c r="C3502" t="s">
        <v>53</v>
      </c>
      <c r="D3502" s="230">
        <v>-44293.79</v>
      </c>
      <c r="E3502" t="s">
        <v>730</v>
      </c>
    </row>
    <row r="3503" spans="1:5" hidden="1" x14ac:dyDescent="0.3">
      <c r="A3503" t="s">
        <v>557</v>
      </c>
      <c r="B3503" t="s">
        <v>729</v>
      </c>
      <c r="C3503" t="s">
        <v>54</v>
      </c>
      <c r="D3503" s="230">
        <v>0</v>
      </c>
      <c r="E3503" t="s">
        <v>730</v>
      </c>
    </row>
    <row r="3504" spans="1:5" hidden="1" x14ac:dyDescent="0.3">
      <c r="A3504" t="s">
        <v>557</v>
      </c>
      <c r="B3504" t="s">
        <v>729</v>
      </c>
      <c r="C3504" t="s">
        <v>23</v>
      </c>
      <c r="D3504" s="230">
        <v>0</v>
      </c>
      <c r="E3504" t="s">
        <v>730</v>
      </c>
    </row>
    <row r="3505" spans="1:5" hidden="1" x14ac:dyDescent="0.3">
      <c r="A3505" t="s">
        <v>557</v>
      </c>
      <c r="B3505" t="s">
        <v>729</v>
      </c>
      <c r="C3505" t="s">
        <v>44</v>
      </c>
      <c r="D3505" s="230">
        <v>-0.27</v>
      </c>
      <c r="E3505" t="s">
        <v>730</v>
      </c>
    </row>
    <row r="3506" spans="1:5" hidden="1" x14ac:dyDescent="0.3">
      <c r="A3506" t="s">
        <v>557</v>
      </c>
      <c r="B3506" t="s">
        <v>729</v>
      </c>
      <c r="C3506" t="s">
        <v>55</v>
      </c>
      <c r="D3506" s="230">
        <v>-0.26</v>
      </c>
      <c r="E3506" t="s">
        <v>730</v>
      </c>
    </row>
    <row r="3507" spans="1:5" hidden="1" x14ac:dyDescent="0.3">
      <c r="A3507" t="s">
        <v>557</v>
      </c>
      <c r="B3507" t="s">
        <v>729</v>
      </c>
      <c r="C3507" t="s">
        <v>56</v>
      </c>
      <c r="D3507" s="230">
        <v>-6736.2</v>
      </c>
      <c r="E3507" t="s">
        <v>730</v>
      </c>
    </row>
    <row r="3508" spans="1:5" hidden="1" x14ac:dyDescent="0.3">
      <c r="A3508" t="s">
        <v>557</v>
      </c>
      <c r="B3508" t="s">
        <v>729</v>
      </c>
      <c r="C3508" t="s">
        <v>57</v>
      </c>
      <c r="D3508" s="230">
        <v>-5069.2</v>
      </c>
      <c r="E3508" t="s">
        <v>730</v>
      </c>
    </row>
    <row r="3509" spans="1:5" hidden="1" x14ac:dyDescent="0.3">
      <c r="A3509" t="s">
        <v>557</v>
      </c>
      <c r="B3509" t="s">
        <v>729</v>
      </c>
      <c r="C3509" t="s">
        <v>58</v>
      </c>
      <c r="D3509" s="230">
        <v>-4950</v>
      </c>
      <c r="E3509" t="s">
        <v>730</v>
      </c>
    </row>
    <row r="3510" spans="1:5" hidden="1" x14ac:dyDescent="0.3">
      <c r="A3510" t="s">
        <v>557</v>
      </c>
      <c r="B3510" t="s">
        <v>729</v>
      </c>
      <c r="C3510" t="s">
        <v>59</v>
      </c>
      <c r="D3510" s="230">
        <v>-119.2</v>
      </c>
      <c r="E3510" t="s">
        <v>730</v>
      </c>
    </row>
    <row r="3511" spans="1:5" hidden="1" x14ac:dyDescent="0.3">
      <c r="A3511" t="s">
        <v>557</v>
      </c>
      <c r="B3511" t="s">
        <v>729</v>
      </c>
      <c r="C3511" t="s">
        <v>61</v>
      </c>
      <c r="D3511" s="230">
        <v>0</v>
      </c>
      <c r="E3511" t="s">
        <v>730</v>
      </c>
    </row>
    <row r="3512" spans="1:5" hidden="1" x14ac:dyDescent="0.3">
      <c r="A3512" t="s">
        <v>557</v>
      </c>
      <c r="B3512" t="s">
        <v>729</v>
      </c>
      <c r="C3512" t="s">
        <v>62</v>
      </c>
      <c r="D3512" s="230">
        <v>0</v>
      </c>
      <c r="E3512" t="s">
        <v>730</v>
      </c>
    </row>
    <row r="3513" spans="1:5" hidden="1" x14ac:dyDescent="0.3">
      <c r="A3513" t="s">
        <v>557</v>
      </c>
      <c r="B3513" t="s">
        <v>729</v>
      </c>
      <c r="C3513" t="s">
        <v>64</v>
      </c>
      <c r="D3513" s="230">
        <v>0</v>
      </c>
      <c r="E3513" t="s">
        <v>730</v>
      </c>
    </row>
    <row r="3514" spans="1:5" hidden="1" x14ac:dyDescent="0.3">
      <c r="A3514" t="s">
        <v>557</v>
      </c>
      <c r="B3514" t="s">
        <v>729</v>
      </c>
      <c r="C3514" t="s">
        <v>65</v>
      </c>
      <c r="D3514" s="230">
        <v>-1667</v>
      </c>
      <c r="E3514" t="s">
        <v>730</v>
      </c>
    </row>
    <row r="3515" spans="1:5" hidden="1" x14ac:dyDescent="0.3">
      <c r="A3515" t="s">
        <v>557</v>
      </c>
      <c r="B3515" t="s">
        <v>729</v>
      </c>
      <c r="C3515" t="s">
        <v>66</v>
      </c>
      <c r="D3515" s="230">
        <v>-1667</v>
      </c>
      <c r="E3515" t="s">
        <v>730</v>
      </c>
    </row>
    <row r="3516" spans="1:5" hidden="1" x14ac:dyDescent="0.3">
      <c r="A3516" t="s">
        <v>557</v>
      </c>
      <c r="B3516" t="s">
        <v>729</v>
      </c>
      <c r="C3516" t="s">
        <v>68</v>
      </c>
      <c r="D3516" s="230">
        <v>0</v>
      </c>
      <c r="E3516" t="s">
        <v>730</v>
      </c>
    </row>
    <row r="3517" spans="1:5" hidden="1" x14ac:dyDescent="0.3">
      <c r="A3517" t="s">
        <v>557</v>
      </c>
      <c r="B3517" t="s">
        <v>729</v>
      </c>
      <c r="C3517" t="s">
        <v>69</v>
      </c>
      <c r="D3517" s="230">
        <v>0</v>
      </c>
      <c r="E3517" t="s">
        <v>730</v>
      </c>
    </row>
    <row r="3518" spans="1:5" hidden="1" x14ac:dyDescent="0.3">
      <c r="A3518" t="s">
        <v>557</v>
      </c>
      <c r="B3518" t="s">
        <v>729</v>
      </c>
      <c r="C3518" t="s">
        <v>70</v>
      </c>
      <c r="D3518" s="230">
        <v>-2.36</v>
      </c>
      <c r="E3518" t="s">
        <v>730</v>
      </c>
    </row>
    <row r="3519" spans="1:5" hidden="1" x14ac:dyDescent="0.3">
      <c r="A3519" t="s">
        <v>557</v>
      </c>
      <c r="B3519" t="s">
        <v>729</v>
      </c>
      <c r="C3519" t="s">
        <v>44</v>
      </c>
      <c r="D3519" s="230">
        <v>-0.01</v>
      </c>
      <c r="E3519" t="s">
        <v>730</v>
      </c>
    </row>
    <row r="3520" spans="1:5" hidden="1" x14ac:dyDescent="0.3">
      <c r="A3520" t="s">
        <v>557</v>
      </c>
      <c r="B3520" t="s">
        <v>729</v>
      </c>
      <c r="C3520" t="s">
        <v>71</v>
      </c>
      <c r="D3520" s="230">
        <v>0</v>
      </c>
      <c r="E3520" t="s">
        <v>730</v>
      </c>
    </row>
    <row r="3521" spans="1:5" hidden="1" x14ac:dyDescent="0.3">
      <c r="A3521" t="s">
        <v>557</v>
      </c>
      <c r="B3521" t="s">
        <v>729</v>
      </c>
      <c r="C3521" t="s">
        <v>72</v>
      </c>
      <c r="D3521" s="230">
        <v>0</v>
      </c>
      <c r="E3521" t="s">
        <v>730</v>
      </c>
    </row>
    <row r="3522" spans="1:5" hidden="1" x14ac:dyDescent="0.3">
      <c r="A3522" t="s">
        <v>557</v>
      </c>
      <c r="B3522" t="s">
        <v>729</v>
      </c>
      <c r="C3522" t="s">
        <v>73</v>
      </c>
      <c r="D3522" s="230">
        <v>0</v>
      </c>
      <c r="E3522" t="s">
        <v>730</v>
      </c>
    </row>
    <row r="3523" spans="1:5" hidden="1" x14ac:dyDescent="0.3">
      <c r="A3523" t="s">
        <v>557</v>
      </c>
      <c r="B3523" t="s">
        <v>729</v>
      </c>
      <c r="C3523" t="s">
        <v>75</v>
      </c>
      <c r="D3523" s="230">
        <v>0</v>
      </c>
      <c r="E3523" t="s">
        <v>730</v>
      </c>
    </row>
    <row r="3524" spans="1:5" hidden="1" x14ac:dyDescent="0.3">
      <c r="A3524" t="s">
        <v>557</v>
      </c>
      <c r="B3524" t="s">
        <v>729</v>
      </c>
      <c r="C3524" t="s">
        <v>77</v>
      </c>
      <c r="D3524" s="230">
        <v>0</v>
      </c>
      <c r="E3524" t="s">
        <v>730</v>
      </c>
    </row>
    <row r="3525" spans="1:5" hidden="1" x14ac:dyDescent="0.3">
      <c r="A3525" t="s">
        <v>557</v>
      </c>
      <c r="B3525" t="s">
        <v>729</v>
      </c>
      <c r="C3525" t="s">
        <v>78</v>
      </c>
      <c r="D3525" s="230">
        <v>0</v>
      </c>
      <c r="E3525" t="s">
        <v>730</v>
      </c>
    </row>
    <row r="3526" spans="1:5" hidden="1" x14ac:dyDescent="0.3">
      <c r="A3526" t="s">
        <v>557</v>
      </c>
      <c r="B3526" t="s">
        <v>729</v>
      </c>
      <c r="C3526" t="s">
        <v>80</v>
      </c>
      <c r="D3526" s="230">
        <v>0</v>
      </c>
      <c r="E3526" t="s">
        <v>730</v>
      </c>
    </row>
    <row r="3527" spans="1:5" hidden="1" x14ac:dyDescent="0.3">
      <c r="A3527" t="s">
        <v>557</v>
      </c>
      <c r="B3527" t="s">
        <v>729</v>
      </c>
      <c r="C3527" t="s">
        <v>82</v>
      </c>
      <c r="D3527" s="230">
        <v>0</v>
      </c>
      <c r="E3527" t="s">
        <v>730</v>
      </c>
    </row>
    <row r="3528" spans="1:5" hidden="1" x14ac:dyDescent="0.3">
      <c r="A3528" t="s">
        <v>557</v>
      </c>
      <c r="B3528" t="s">
        <v>729</v>
      </c>
      <c r="C3528" t="s">
        <v>84</v>
      </c>
      <c r="D3528" s="230">
        <v>0</v>
      </c>
      <c r="E3528" t="s">
        <v>730</v>
      </c>
    </row>
    <row r="3529" spans="1:5" hidden="1" x14ac:dyDescent="0.3">
      <c r="A3529" t="s">
        <v>557</v>
      </c>
      <c r="B3529" t="s">
        <v>729</v>
      </c>
      <c r="C3529" t="s">
        <v>85</v>
      </c>
      <c r="D3529" s="230">
        <v>0</v>
      </c>
      <c r="E3529" t="s">
        <v>730</v>
      </c>
    </row>
    <row r="3530" spans="1:5" hidden="1" x14ac:dyDescent="0.3">
      <c r="A3530" t="s">
        <v>557</v>
      </c>
      <c r="B3530" t="s">
        <v>729</v>
      </c>
      <c r="C3530" t="s">
        <v>86</v>
      </c>
      <c r="D3530" s="230">
        <v>0</v>
      </c>
      <c r="E3530" t="s">
        <v>730</v>
      </c>
    </row>
    <row r="3531" spans="1:5" hidden="1" x14ac:dyDescent="0.3">
      <c r="A3531" t="s">
        <v>557</v>
      </c>
      <c r="B3531" t="s">
        <v>729</v>
      </c>
      <c r="C3531" t="s">
        <v>87</v>
      </c>
      <c r="D3531" s="230">
        <v>0</v>
      </c>
      <c r="E3531" t="s">
        <v>730</v>
      </c>
    </row>
    <row r="3532" spans="1:5" hidden="1" x14ac:dyDescent="0.3">
      <c r="A3532" t="s">
        <v>557</v>
      </c>
      <c r="B3532" t="s">
        <v>729</v>
      </c>
      <c r="C3532" t="s">
        <v>88</v>
      </c>
      <c r="D3532" s="230">
        <v>0</v>
      </c>
      <c r="E3532" t="s">
        <v>730</v>
      </c>
    </row>
    <row r="3533" spans="1:5" hidden="1" x14ac:dyDescent="0.3">
      <c r="A3533" t="s">
        <v>557</v>
      </c>
      <c r="B3533" t="s">
        <v>729</v>
      </c>
      <c r="C3533" t="s">
        <v>89</v>
      </c>
      <c r="D3533" s="230">
        <v>0</v>
      </c>
      <c r="E3533" t="s">
        <v>730</v>
      </c>
    </row>
    <row r="3534" spans="1:5" hidden="1" x14ac:dyDescent="0.3">
      <c r="A3534" t="s">
        <v>557</v>
      </c>
      <c r="B3534" t="s">
        <v>729</v>
      </c>
      <c r="C3534" t="s">
        <v>90</v>
      </c>
      <c r="D3534" s="230">
        <v>0</v>
      </c>
      <c r="E3534" t="s">
        <v>730</v>
      </c>
    </row>
    <row r="3535" spans="1:5" hidden="1" x14ac:dyDescent="0.3">
      <c r="A3535" t="s">
        <v>557</v>
      </c>
      <c r="B3535" t="s">
        <v>729</v>
      </c>
      <c r="C3535" t="s">
        <v>91</v>
      </c>
      <c r="D3535" s="230">
        <v>0</v>
      </c>
      <c r="E3535" t="s">
        <v>730</v>
      </c>
    </row>
    <row r="3536" spans="1:5" hidden="1" x14ac:dyDescent="0.3">
      <c r="A3536" t="s">
        <v>557</v>
      </c>
      <c r="B3536" t="s">
        <v>729</v>
      </c>
      <c r="C3536" t="s">
        <v>93</v>
      </c>
      <c r="D3536" s="230">
        <v>0</v>
      </c>
      <c r="E3536" t="s">
        <v>730</v>
      </c>
    </row>
    <row r="3537" spans="1:5" hidden="1" x14ac:dyDescent="0.3">
      <c r="A3537" t="s">
        <v>557</v>
      </c>
      <c r="B3537" t="s">
        <v>729</v>
      </c>
      <c r="C3537" t="s">
        <v>95</v>
      </c>
      <c r="D3537" s="230">
        <v>0</v>
      </c>
      <c r="E3537" t="s">
        <v>730</v>
      </c>
    </row>
    <row r="3538" spans="1:5" hidden="1" x14ac:dyDescent="0.3">
      <c r="A3538" t="s">
        <v>557</v>
      </c>
      <c r="B3538" t="s">
        <v>729</v>
      </c>
      <c r="C3538" t="s">
        <v>96</v>
      </c>
      <c r="D3538" s="230">
        <v>0</v>
      </c>
      <c r="E3538" t="s">
        <v>730</v>
      </c>
    </row>
    <row r="3539" spans="1:5" hidden="1" x14ac:dyDescent="0.3">
      <c r="A3539" t="s">
        <v>557</v>
      </c>
      <c r="B3539" t="s">
        <v>729</v>
      </c>
      <c r="C3539" t="s">
        <v>98</v>
      </c>
      <c r="D3539" s="230">
        <v>0</v>
      </c>
      <c r="E3539" t="s">
        <v>730</v>
      </c>
    </row>
    <row r="3540" spans="1:5" hidden="1" x14ac:dyDescent="0.3">
      <c r="A3540" t="s">
        <v>557</v>
      </c>
      <c r="B3540" t="s">
        <v>729</v>
      </c>
      <c r="C3540" t="s">
        <v>100</v>
      </c>
      <c r="D3540" s="230">
        <v>0</v>
      </c>
      <c r="E3540" t="s">
        <v>730</v>
      </c>
    </row>
    <row r="3541" spans="1:5" hidden="1" x14ac:dyDescent="0.3">
      <c r="A3541" t="s">
        <v>557</v>
      </c>
      <c r="B3541" t="s">
        <v>729</v>
      </c>
      <c r="C3541" t="s">
        <v>101</v>
      </c>
      <c r="D3541" s="230">
        <v>0</v>
      </c>
      <c r="E3541" t="s">
        <v>730</v>
      </c>
    </row>
    <row r="3542" spans="1:5" hidden="1" x14ac:dyDescent="0.3">
      <c r="A3542" t="s">
        <v>557</v>
      </c>
      <c r="B3542" t="s">
        <v>729</v>
      </c>
      <c r="C3542" t="s">
        <v>102</v>
      </c>
      <c r="D3542" s="230">
        <v>0</v>
      </c>
      <c r="E3542" t="s">
        <v>730</v>
      </c>
    </row>
    <row r="3543" spans="1:5" hidden="1" x14ac:dyDescent="0.3">
      <c r="A3543" t="s">
        <v>557</v>
      </c>
      <c r="B3543" t="s">
        <v>729</v>
      </c>
      <c r="C3543" t="s">
        <v>103</v>
      </c>
      <c r="D3543" s="230">
        <v>0</v>
      </c>
      <c r="E3543" t="s">
        <v>730</v>
      </c>
    </row>
    <row r="3544" spans="1:5" hidden="1" x14ac:dyDescent="0.3">
      <c r="A3544" t="s">
        <v>557</v>
      </c>
      <c r="B3544" t="s">
        <v>729</v>
      </c>
      <c r="C3544" t="s">
        <v>104</v>
      </c>
      <c r="D3544" s="230">
        <v>0</v>
      </c>
      <c r="E3544" t="s">
        <v>730</v>
      </c>
    </row>
    <row r="3545" spans="1:5" hidden="1" x14ac:dyDescent="0.3">
      <c r="A3545" t="s">
        <v>557</v>
      </c>
      <c r="B3545" t="s">
        <v>729</v>
      </c>
      <c r="C3545" t="s">
        <v>105</v>
      </c>
      <c r="D3545" s="230">
        <v>0</v>
      </c>
      <c r="E3545" t="s">
        <v>730</v>
      </c>
    </row>
    <row r="3546" spans="1:5" hidden="1" x14ac:dyDescent="0.3">
      <c r="A3546" t="s">
        <v>557</v>
      </c>
      <c r="B3546" t="s">
        <v>729</v>
      </c>
      <c r="C3546" t="s">
        <v>107</v>
      </c>
      <c r="D3546" s="230">
        <v>0</v>
      </c>
      <c r="E3546" t="s">
        <v>730</v>
      </c>
    </row>
    <row r="3547" spans="1:5" hidden="1" x14ac:dyDescent="0.3">
      <c r="A3547" t="s">
        <v>557</v>
      </c>
      <c r="B3547" t="s">
        <v>729</v>
      </c>
      <c r="C3547" t="s">
        <v>108</v>
      </c>
      <c r="D3547" s="230">
        <v>0</v>
      </c>
      <c r="E3547" t="s">
        <v>730</v>
      </c>
    </row>
    <row r="3548" spans="1:5" hidden="1" x14ac:dyDescent="0.3">
      <c r="A3548" t="s">
        <v>557</v>
      </c>
      <c r="B3548" t="s">
        <v>729</v>
      </c>
      <c r="C3548" t="s">
        <v>109</v>
      </c>
      <c r="D3548" s="230">
        <v>0</v>
      </c>
      <c r="E3548" t="s">
        <v>730</v>
      </c>
    </row>
    <row r="3549" spans="1:5" hidden="1" x14ac:dyDescent="0.3">
      <c r="A3549" t="s">
        <v>557</v>
      </c>
      <c r="B3549" t="s">
        <v>729</v>
      </c>
      <c r="C3549" t="s">
        <v>110</v>
      </c>
      <c r="D3549" s="230">
        <v>0</v>
      </c>
      <c r="E3549" t="s">
        <v>730</v>
      </c>
    </row>
    <row r="3550" spans="1:5" hidden="1" x14ac:dyDescent="0.3">
      <c r="A3550" t="s">
        <v>557</v>
      </c>
      <c r="B3550" t="s">
        <v>729</v>
      </c>
      <c r="C3550" t="s">
        <v>44</v>
      </c>
      <c r="D3550" s="230">
        <v>0</v>
      </c>
      <c r="E3550" t="s">
        <v>730</v>
      </c>
    </row>
    <row r="3551" spans="1:5" hidden="1" x14ac:dyDescent="0.3">
      <c r="A3551" t="s">
        <v>557</v>
      </c>
      <c r="B3551" t="s">
        <v>729</v>
      </c>
      <c r="C3551" t="s">
        <v>111</v>
      </c>
      <c r="D3551" s="230">
        <v>-70085.53</v>
      </c>
      <c r="E3551" t="s">
        <v>730</v>
      </c>
    </row>
    <row r="3552" spans="1:5" hidden="1" x14ac:dyDescent="0.3">
      <c r="A3552" t="s">
        <v>557</v>
      </c>
      <c r="B3552" t="s">
        <v>729</v>
      </c>
      <c r="C3552" t="s">
        <v>608</v>
      </c>
      <c r="D3552" s="230">
        <v>-70085.53</v>
      </c>
      <c r="E3552" t="s">
        <v>730</v>
      </c>
    </row>
    <row r="3553" spans="1:5" hidden="1" x14ac:dyDescent="0.3">
      <c r="A3553" t="s">
        <v>557</v>
      </c>
      <c r="B3553" t="s">
        <v>729</v>
      </c>
      <c r="C3553" t="s">
        <v>44</v>
      </c>
      <c r="D3553" s="230">
        <v>-0.1</v>
      </c>
      <c r="E3553" t="s">
        <v>730</v>
      </c>
    </row>
    <row r="3554" spans="1:5" hidden="1" x14ac:dyDescent="0.3">
      <c r="A3554" t="s">
        <v>557</v>
      </c>
      <c r="B3554" t="s">
        <v>729</v>
      </c>
      <c r="C3554" t="s">
        <v>115</v>
      </c>
      <c r="D3554" s="230">
        <v>-6879.75</v>
      </c>
      <c r="E3554" t="s">
        <v>730</v>
      </c>
    </row>
    <row r="3555" spans="1:5" hidden="1" x14ac:dyDescent="0.3">
      <c r="A3555" t="s">
        <v>557</v>
      </c>
      <c r="B3555" t="s">
        <v>729</v>
      </c>
      <c r="C3555" t="s">
        <v>116</v>
      </c>
      <c r="D3555" s="230">
        <v>-5981.96</v>
      </c>
      <c r="E3555" t="s">
        <v>730</v>
      </c>
    </row>
    <row r="3556" spans="1:5" hidden="1" x14ac:dyDescent="0.3">
      <c r="A3556" t="s">
        <v>557</v>
      </c>
      <c r="B3556" t="s">
        <v>729</v>
      </c>
      <c r="C3556" t="s">
        <v>118</v>
      </c>
      <c r="D3556" s="230">
        <v>0</v>
      </c>
      <c r="E3556" t="s">
        <v>730</v>
      </c>
    </row>
    <row r="3557" spans="1:5" hidden="1" x14ac:dyDescent="0.3">
      <c r="A3557" t="s">
        <v>557</v>
      </c>
      <c r="B3557" t="s">
        <v>729</v>
      </c>
      <c r="C3557" t="s">
        <v>120</v>
      </c>
      <c r="D3557" s="230">
        <v>0</v>
      </c>
      <c r="E3557" t="s">
        <v>730</v>
      </c>
    </row>
    <row r="3558" spans="1:5" hidden="1" x14ac:dyDescent="0.3">
      <c r="A3558" t="s">
        <v>557</v>
      </c>
      <c r="B3558" t="s">
        <v>729</v>
      </c>
      <c r="C3558" t="s">
        <v>122</v>
      </c>
      <c r="D3558" s="230">
        <v>-897.79</v>
      </c>
      <c r="E3558" t="s">
        <v>730</v>
      </c>
    </row>
    <row r="3559" spans="1:5" hidden="1" x14ac:dyDescent="0.3">
      <c r="A3559" t="s">
        <v>557</v>
      </c>
      <c r="B3559" t="s">
        <v>729</v>
      </c>
      <c r="C3559" t="s">
        <v>44</v>
      </c>
      <c r="D3559" s="230">
        <v>-0.01</v>
      </c>
      <c r="E3559" t="s">
        <v>730</v>
      </c>
    </row>
    <row r="3560" spans="1:5" hidden="1" x14ac:dyDescent="0.3">
      <c r="A3560" t="s">
        <v>557</v>
      </c>
      <c r="B3560" t="s">
        <v>729</v>
      </c>
      <c r="C3560" t="s">
        <v>126</v>
      </c>
      <c r="D3560" s="230">
        <v>396832.81</v>
      </c>
      <c r="E3560" t="s">
        <v>730</v>
      </c>
    </row>
    <row r="3561" spans="1:5" hidden="1" x14ac:dyDescent="0.3">
      <c r="A3561" t="s">
        <v>557</v>
      </c>
      <c r="B3561" t="s">
        <v>729</v>
      </c>
      <c r="C3561" t="s">
        <v>127</v>
      </c>
      <c r="D3561" s="230">
        <v>0.56000000000000005</v>
      </c>
      <c r="E3561" t="s">
        <v>730</v>
      </c>
    </row>
    <row r="3562" spans="1:5" hidden="1" x14ac:dyDescent="0.3">
      <c r="A3562" t="s">
        <v>557</v>
      </c>
      <c r="B3562" t="s">
        <v>729</v>
      </c>
      <c r="C3562" t="s">
        <v>128</v>
      </c>
      <c r="D3562" s="230">
        <v>-130549.44</v>
      </c>
      <c r="E3562" t="s">
        <v>730</v>
      </c>
    </row>
    <row r="3563" spans="1:5" hidden="1" x14ac:dyDescent="0.3">
      <c r="A3563" t="s">
        <v>557</v>
      </c>
      <c r="B3563" t="s">
        <v>729</v>
      </c>
      <c r="C3563" t="s">
        <v>129</v>
      </c>
      <c r="D3563" s="230">
        <v>-33066.660000000003</v>
      </c>
      <c r="E3563" t="s">
        <v>730</v>
      </c>
    </row>
    <row r="3564" spans="1:5" hidden="1" x14ac:dyDescent="0.3">
      <c r="A3564" t="s">
        <v>557</v>
      </c>
      <c r="B3564" t="s">
        <v>729</v>
      </c>
      <c r="C3564" t="s">
        <v>609</v>
      </c>
      <c r="D3564" s="230">
        <v>-4900</v>
      </c>
      <c r="E3564" t="s">
        <v>730</v>
      </c>
    </row>
    <row r="3565" spans="1:5" hidden="1" x14ac:dyDescent="0.3">
      <c r="A3565" t="s">
        <v>557</v>
      </c>
      <c r="B3565" t="s">
        <v>729</v>
      </c>
      <c r="C3565" t="s">
        <v>610</v>
      </c>
      <c r="D3565" s="230">
        <v>-17600</v>
      </c>
      <c r="E3565" t="s">
        <v>730</v>
      </c>
    </row>
    <row r="3566" spans="1:5" hidden="1" x14ac:dyDescent="0.3">
      <c r="A3566" t="s">
        <v>557</v>
      </c>
      <c r="B3566" t="s">
        <v>729</v>
      </c>
      <c r="C3566" t="s">
        <v>611</v>
      </c>
      <c r="D3566" s="230">
        <v>0</v>
      </c>
      <c r="E3566" t="s">
        <v>730</v>
      </c>
    </row>
    <row r="3567" spans="1:5" hidden="1" x14ac:dyDescent="0.3">
      <c r="A3567" t="s">
        <v>557</v>
      </c>
      <c r="B3567" t="s">
        <v>729</v>
      </c>
      <c r="C3567" t="s">
        <v>612</v>
      </c>
      <c r="D3567" s="230">
        <v>-4000</v>
      </c>
      <c r="E3567" t="s">
        <v>730</v>
      </c>
    </row>
    <row r="3568" spans="1:5" hidden="1" x14ac:dyDescent="0.3">
      <c r="A3568" t="s">
        <v>557</v>
      </c>
      <c r="B3568" t="s">
        <v>729</v>
      </c>
      <c r="C3568" t="s">
        <v>613</v>
      </c>
      <c r="D3568" s="230">
        <v>-1200</v>
      </c>
      <c r="E3568" t="s">
        <v>730</v>
      </c>
    </row>
    <row r="3569" spans="1:5" hidden="1" x14ac:dyDescent="0.3">
      <c r="A3569" t="s">
        <v>557</v>
      </c>
      <c r="B3569" t="s">
        <v>729</v>
      </c>
      <c r="C3569" t="s">
        <v>614</v>
      </c>
      <c r="D3569" s="230">
        <v>-4033.33</v>
      </c>
      <c r="E3569" t="s">
        <v>730</v>
      </c>
    </row>
    <row r="3570" spans="1:5" hidden="1" x14ac:dyDescent="0.3">
      <c r="A3570" t="s">
        <v>557</v>
      </c>
      <c r="B3570" t="s">
        <v>729</v>
      </c>
      <c r="C3570" t="s">
        <v>615</v>
      </c>
      <c r="D3570" s="230">
        <v>0</v>
      </c>
      <c r="E3570" t="s">
        <v>730</v>
      </c>
    </row>
    <row r="3571" spans="1:5" hidden="1" x14ac:dyDescent="0.3">
      <c r="A3571" t="s">
        <v>557</v>
      </c>
      <c r="B3571" t="s">
        <v>729</v>
      </c>
      <c r="C3571" t="s">
        <v>616</v>
      </c>
      <c r="D3571" s="230">
        <v>-1333.33</v>
      </c>
      <c r="E3571" t="s">
        <v>730</v>
      </c>
    </row>
    <row r="3572" spans="1:5" hidden="1" x14ac:dyDescent="0.3">
      <c r="A3572" t="s">
        <v>557</v>
      </c>
      <c r="B3572" t="s">
        <v>729</v>
      </c>
      <c r="C3572" t="s">
        <v>617</v>
      </c>
      <c r="D3572" s="230">
        <v>0</v>
      </c>
      <c r="E3572" t="s">
        <v>730</v>
      </c>
    </row>
    <row r="3573" spans="1:5" hidden="1" x14ac:dyDescent="0.3">
      <c r="A3573" t="s">
        <v>557</v>
      </c>
      <c r="B3573" t="s">
        <v>729</v>
      </c>
      <c r="C3573" t="s">
        <v>618</v>
      </c>
      <c r="D3573" s="230">
        <v>0</v>
      </c>
      <c r="E3573" t="s">
        <v>730</v>
      </c>
    </row>
    <row r="3574" spans="1:5" hidden="1" x14ac:dyDescent="0.3">
      <c r="A3574" t="s">
        <v>557</v>
      </c>
      <c r="B3574" t="s">
        <v>729</v>
      </c>
      <c r="C3574" t="s">
        <v>619</v>
      </c>
      <c r="D3574" s="230">
        <v>0</v>
      </c>
      <c r="E3574" t="s">
        <v>730</v>
      </c>
    </row>
    <row r="3575" spans="1:5" hidden="1" x14ac:dyDescent="0.3">
      <c r="A3575" t="s">
        <v>557</v>
      </c>
      <c r="B3575" t="s">
        <v>729</v>
      </c>
      <c r="C3575" t="s">
        <v>620</v>
      </c>
      <c r="D3575" s="230">
        <v>0</v>
      </c>
      <c r="E3575" t="s">
        <v>730</v>
      </c>
    </row>
    <row r="3576" spans="1:5" hidden="1" x14ac:dyDescent="0.3">
      <c r="A3576" t="s">
        <v>557</v>
      </c>
      <c r="B3576" t="s">
        <v>729</v>
      </c>
      <c r="C3576" t="s">
        <v>575</v>
      </c>
      <c r="D3576" s="230">
        <v>-36784.46</v>
      </c>
      <c r="E3576" t="s">
        <v>730</v>
      </c>
    </row>
    <row r="3577" spans="1:5" hidden="1" x14ac:dyDescent="0.3">
      <c r="A3577" t="s">
        <v>557</v>
      </c>
      <c r="B3577" t="s">
        <v>729</v>
      </c>
      <c r="C3577" t="s">
        <v>621</v>
      </c>
      <c r="D3577" s="230">
        <v>0</v>
      </c>
      <c r="E3577" t="s">
        <v>730</v>
      </c>
    </row>
    <row r="3578" spans="1:5" hidden="1" x14ac:dyDescent="0.3">
      <c r="A3578" t="s">
        <v>557</v>
      </c>
      <c r="B3578" t="s">
        <v>729</v>
      </c>
      <c r="C3578" t="s">
        <v>622</v>
      </c>
      <c r="D3578" s="230">
        <v>0</v>
      </c>
      <c r="E3578" t="s">
        <v>730</v>
      </c>
    </row>
    <row r="3579" spans="1:5" hidden="1" x14ac:dyDescent="0.3">
      <c r="A3579" t="s">
        <v>557</v>
      </c>
      <c r="B3579" t="s">
        <v>729</v>
      </c>
      <c r="C3579" t="s">
        <v>623</v>
      </c>
      <c r="D3579" s="230">
        <v>0</v>
      </c>
      <c r="E3579" t="s">
        <v>730</v>
      </c>
    </row>
    <row r="3580" spans="1:5" hidden="1" x14ac:dyDescent="0.3">
      <c r="A3580" t="s">
        <v>557</v>
      </c>
      <c r="B3580" t="s">
        <v>729</v>
      </c>
      <c r="C3580" t="s">
        <v>624</v>
      </c>
      <c r="D3580" s="230">
        <v>0</v>
      </c>
      <c r="E3580" t="s">
        <v>730</v>
      </c>
    </row>
    <row r="3581" spans="1:5" hidden="1" x14ac:dyDescent="0.3">
      <c r="A3581" t="s">
        <v>557</v>
      </c>
      <c r="B3581" t="s">
        <v>729</v>
      </c>
      <c r="C3581" t="s">
        <v>625</v>
      </c>
      <c r="D3581" s="230">
        <v>0</v>
      </c>
      <c r="E3581" t="s">
        <v>730</v>
      </c>
    </row>
    <row r="3582" spans="1:5" hidden="1" x14ac:dyDescent="0.3">
      <c r="A3582" t="s">
        <v>557</v>
      </c>
      <c r="B3582" t="s">
        <v>729</v>
      </c>
      <c r="C3582" t="s">
        <v>626</v>
      </c>
      <c r="D3582" s="230">
        <v>0</v>
      </c>
      <c r="E3582" t="s">
        <v>730</v>
      </c>
    </row>
    <row r="3583" spans="1:5" hidden="1" x14ac:dyDescent="0.3">
      <c r="A3583" t="s">
        <v>557</v>
      </c>
      <c r="B3583" t="s">
        <v>729</v>
      </c>
      <c r="C3583" t="s">
        <v>627</v>
      </c>
      <c r="D3583" s="230">
        <v>0</v>
      </c>
      <c r="E3583" t="s">
        <v>730</v>
      </c>
    </row>
    <row r="3584" spans="1:5" hidden="1" x14ac:dyDescent="0.3">
      <c r="A3584" t="s">
        <v>557</v>
      </c>
      <c r="B3584" t="s">
        <v>729</v>
      </c>
      <c r="C3584" t="s">
        <v>628</v>
      </c>
      <c r="D3584" s="230">
        <v>0</v>
      </c>
      <c r="E3584" t="s">
        <v>730</v>
      </c>
    </row>
    <row r="3585" spans="1:5" hidden="1" x14ac:dyDescent="0.3">
      <c r="A3585" t="s">
        <v>557</v>
      </c>
      <c r="B3585" t="s">
        <v>729</v>
      </c>
      <c r="C3585" t="s">
        <v>629</v>
      </c>
      <c r="D3585" s="230">
        <v>0</v>
      </c>
      <c r="E3585" t="s">
        <v>730</v>
      </c>
    </row>
    <row r="3586" spans="1:5" hidden="1" x14ac:dyDescent="0.3">
      <c r="A3586" t="s">
        <v>557</v>
      </c>
      <c r="B3586" t="s">
        <v>729</v>
      </c>
      <c r="C3586" t="s">
        <v>630</v>
      </c>
      <c r="D3586" s="230">
        <v>0</v>
      </c>
      <c r="E3586" t="s">
        <v>730</v>
      </c>
    </row>
    <row r="3587" spans="1:5" hidden="1" x14ac:dyDescent="0.3">
      <c r="A3587" t="s">
        <v>557</v>
      </c>
      <c r="B3587" t="s">
        <v>729</v>
      </c>
      <c r="C3587" t="s">
        <v>631</v>
      </c>
      <c r="D3587" s="230">
        <v>0</v>
      </c>
      <c r="E3587" t="s">
        <v>730</v>
      </c>
    </row>
    <row r="3588" spans="1:5" hidden="1" x14ac:dyDescent="0.3">
      <c r="A3588" t="s">
        <v>557</v>
      </c>
      <c r="B3588" t="s">
        <v>729</v>
      </c>
      <c r="C3588" t="s">
        <v>632</v>
      </c>
      <c r="D3588" s="230">
        <v>0</v>
      </c>
      <c r="E3588" t="s">
        <v>730</v>
      </c>
    </row>
    <row r="3589" spans="1:5" hidden="1" x14ac:dyDescent="0.3">
      <c r="A3589" t="s">
        <v>557</v>
      </c>
      <c r="B3589" t="s">
        <v>729</v>
      </c>
      <c r="C3589" t="s">
        <v>633</v>
      </c>
      <c r="D3589" s="230">
        <v>0</v>
      </c>
      <c r="E3589" t="s">
        <v>730</v>
      </c>
    </row>
    <row r="3590" spans="1:5" hidden="1" x14ac:dyDescent="0.3">
      <c r="A3590" t="s">
        <v>557</v>
      </c>
      <c r="B3590" t="s">
        <v>729</v>
      </c>
      <c r="C3590" t="s">
        <v>634</v>
      </c>
      <c r="D3590" s="230">
        <v>0</v>
      </c>
      <c r="E3590" t="s">
        <v>730</v>
      </c>
    </row>
    <row r="3591" spans="1:5" hidden="1" x14ac:dyDescent="0.3">
      <c r="A3591" t="s">
        <v>557</v>
      </c>
      <c r="B3591" t="s">
        <v>729</v>
      </c>
      <c r="C3591" t="s">
        <v>635</v>
      </c>
      <c r="D3591" s="230">
        <v>0</v>
      </c>
      <c r="E3591" t="s">
        <v>730</v>
      </c>
    </row>
    <row r="3592" spans="1:5" hidden="1" x14ac:dyDescent="0.3">
      <c r="A3592" t="s">
        <v>557</v>
      </c>
      <c r="B3592" t="s">
        <v>729</v>
      </c>
      <c r="C3592" t="s">
        <v>636</v>
      </c>
      <c r="D3592" s="230">
        <v>0</v>
      </c>
      <c r="E3592" t="s">
        <v>730</v>
      </c>
    </row>
    <row r="3593" spans="1:5" hidden="1" x14ac:dyDescent="0.3">
      <c r="A3593" t="s">
        <v>557</v>
      </c>
      <c r="B3593" t="s">
        <v>729</v>
      </c>
      <c r="C3593" t="s">
        <v>637</v>
      </c>
      <c r="D3593" s="230">
        <v>0</v>
      </c>
      <c r="E3593" t="s">
        <v>730</v>
      </c>
    </row>
    <row r="3594" spans="1:5" hidden="1" x14ac:dyDescent="0.3">
      <c r="A3594" t="s">
        <v>557</v>
      </c>
      <c r="B3594" t="s">
        <v>729</v>
      </c>
      <c r="C3594" t="s">
        <v>638</v>
      </c>
      <c r="D3594" s="230">
        <v>0</v>
      </c>
      <c r="E3594" t="s">
        <v>730</v>
      </c>
    </row>
    <row r="3595" spans="1:5" hidden="1" x14ac:dyDescent="0.3">
      <c r="A3595" t="s">
        <v>557</v>
      </c>
      <c r="B3595" t="s">
        <v>729</v>
      </c>
      <c r="C3595" t="s">
        <v>639</v>
      </c>
      <c r="D3595" s="230">
        <v>0</v>
      </c>
      <c r="E3595" t="s">
        <v>730</v>
      </c>
    </row>
    <row r="3596" spans="1:5" hidden="1" x14ac:dyDescent="0.3">
      <c r="A3596" t="s">
        <v>557</v>
      </c>
      <c r="B3596" t="s">
        <v>729</v>
      </c>
      <c r="C3596" t="s">
        <v>640</v>
      </c>
      <c r="D3596" s="230">
        <v>0</v>
      </c>
      <c r="E3596" t="s">
        <v>730</v>
      </c>
    </row>
    <row r="3597" spans="1:5" hidden="1" x14ac:dyDescent="0.3">
      <c r="A3597" t="s">
        <v>557</v>
      </c>
      <c r="B3597" t="s">
        <v>729</v>
      </c>
      <c r="C3597" t="s">
        <v>641</v>
      </c>
      <c r="D3597" s="230">
        <v>0</v>
      </c>
      <c r="E3597" t="s">
        <v>730</v>
      </c>
    </row>
    <row r="3598" spans="1:5" hidden="1" x14ac:dyDescent="0.3">
      <c r="A3598" t="s">
        <v>557</v>
      </c>
      <c r="B3598" t="s">
        <v>729</v>
      </c>
      <c r="C3598" t="s">
        <v>642</v>
      </c>
      <c r="D3598" s="230">
        <v>0</v>
      </c>
      <c r="E3598" t="s">
        <v>730</v>
      </c>
    </row>
    <row r="3599" spans="1:5" hidden="1" x14ac:dyDescent="0.3">
      <c r="A3599" t="s">
        <v>557</v>
      </c>
      <c r="B3599" t="s">
        <v>729</v>
      </c>
      <c r="C3599" t="s">
        <v>643</v>
      </c>
      <c r="D3599" s="230">
        <v>0</v>
      </c>
      <c r="E3599" t="s">
        <v>730</v>
      </c>
    </row>
    <row r="3600" spans="1:5" hidden="1" x14ac:dyDescent="0.3">
      <c r="A3600" t="s">
        <v>557</v>
      </c>
      <c r="B3600" t="s">
        <v>729</v>
      </c>
      <c r="C3600" t="s">
        <v>644</v>
      </c>
      <c r="D3600" s="230">
        <v>0</v>
      </c>
      <c r="E3600" t="s">
        <v>730</v>
      </c>
    </row>
    <row r="3601" spans="1:5" hidden="1" x14ac:dyDescent="0.3">
      <c r="A3601" t="s">
        <v>557</v>
      </c>
      <c r="B3601" t="s">
        <v>729</v>
      </c>
      <c r="C3601" t="s">
        <v>645</v>
      </c>
      <c r="D3601" s="230">
        <v>0</v>
      </c>
      <c r="E3601" t="s">
        <v>730</v>
      </c>
    </row>
    <row r="3602" spans="1:5" hidden="1" x14ac:dyDescent="0.3">
      <c r="A3602" t="s">
        <v>557</v>
      </c>
      <c r="B3602" t="s">
        <v>729</v>
      </c>
      <c r="C3602" t="s">
        <v>646</v>
      </c>
      <c r="D3602" s="230">
        <v>0</v>
      </c>
      <c r="E3602" t="s">
        <v>730</v>
      </c>
    </row>
    <row r="3603" spans="1:5" hidden="1" x14ac:dyDescent="0.3">
      <c r="A3603" t="s">
        <v>557</v>
      </c>
      <c r="B3603" t="s">
        <v>729</v>
      </c>
      <c r="C3603" t="s">
        <v>647</v>
      </c>
      <c r="D3603" s="230">
        <v>0</v>
      </c>
      <c r="E3603" t="s">
        <v>730</v>
      </c>
    </row>
    <row r="3604" spans="1:5" hidden="1" x14ac:dyDescent="0.3">
      <c r="A3604" t="s">
        <v>557</v>
      </c>
      <c r="B3604" t="s">
        <v>729</v>
      </c>
      <c r="C3604" t="s">
        <v>648</v>
      </c>
      <c r="D3604" s="230">
        <v>0</v>
      </c>
      <c r="E3604" t="s">
        <v>730</v>
      </c>
    </row>
    <row r="3605" spans="1:5" hidden="1" x14ac:dyDescent="0.3">
      <c r="A3605" t="s">
        <v>557</v>
      </c>
      <c r="B3605" t="s">
        <v>729</v>
      </c>
      <c r="C3605" t="s">
        <v>649</v>
      </c>
      <c r="D3605" s="230">
        <v>0</v>
      </c>
      <c r="E3605" t="s">
        <v>730</v>
      </c>
    </row>
    <row r="3606" spans="1:5" hidden="1" x14ac:dyDescent="0.3">
      <c r="A3606" t="s">
        <v>557</v>
      </c>
      <c r="B3606" t="s">
        <v>729</v>
      </c>
      <c r="C3606" t="s">
        <v>650</v>
      </c>
      <c r="D3606" s="230">
        <v>0</v>
      </c>
      <c r="E3606" t="s">
        <v>730</v>
      </c>
    </row>
    <row r="3607" spans="1:5" hidden="1" x14ac:dyDescent="0.3">
      <c r="A3607" t="s">
        <v>557</v>
      </c>
      <c r="B3607" t="s">
        <v>729</v>
      </c>
      <c r="C3607" t="s">
        <v>651</v>
      </c>
      <c r="D3607" s="230">
        <v>0</v>
      </c>
      <c r="E3607" t="s">
        <v>730</v>
      </c>
    </row>
    <row r="3608" spans="1:5" hidden="1" x14ac:dyDescent="0.3">
      <c r="A3608" t="s">
        <v>557</v>
      </c>
      <c r="B3608" t="s">
        <v>729</v>
      </c>
      <c r="C3608" t="s">
        <v>652</v>
      </c>
      <c r="D3608" s="230">
        <v>0</v>
      </c>
      <c r="E3608" t="s">
        <v>730</v>
      </c>
    </row>
    <row r="3609" spans="1:5" hidden="1" x14ac:dyDescent="0.3">
      <c r="A3609" t="s">
        <v>557</v>
      </c>
      <c r="B3609" t="s">
        <v>729</v>
      </c>
      <c r="C3609" t="s">
        <v>653</v>
      </c>
      <c r="D3609" s="230">
        <v>0</v>
      </c>
      <c r="E3609" t="s">
        <v>730</v>
      </c>
    </row>
    <row r="3610" spans="1:5" hidden="1" x14ac:dyDescent="0.3">
      <c r="A3610" t="s">
        <v>557</v>
      </c>
      <c r="B3610" t="s">
        <v>729</v>
      </c>
      <c r="C3610" t="s">
        <v>654</v>
      </c>
      <c r="D3610" s="230">
        <v>0</v>
      </c>
      <c r="E3610" t="s">
        <v>730</v>
      </c>
    </row>
    <row r="3611" spans="1:5" hidden="1" x14ac:dyDescent="0.3">
      <c r="A3611" t="s">
        <v>557</v>
      </c>
      <c r="B3611" t="s">
        <v>729</v>
      </c>
      <c r="C3611" t="s">
        <v>655</v>
      </c>
      <c r="D3611" s="230">
        <v>0</v>
      </c>
      <c r="E3611" t="s">
        <v>730</v>
      </c>
    </row>
    <row r="3612" spans="1:5" hidden="1" x14ac:dyDescent="0.3">
      <c r="A3612" t="s">
        <v>557</v>
      </c>
      <c r="B3612" t="s">
        <v>729</v>
      </c>
      <c r="C3612" t="s">
        <v>656</v>
      </c>
      <c r="D3612" s="230">
        <v>0</v>
      </c>
      <c r="E3612" t="s">
        <v>730</v>
      </c>
    </row>
    <row r="3613" spans="1:5" hidden="1" x14ac:dyDescent="0.3">
      <c r="A3613" t="s">
        <v>557</v>
      </c>
      <c r="B3613" t="s">
        <v>729</v>
      </c>
      <c r="C3613" t="s">
        <v>657</v>
      </c>
      <c r="D3613" s="230">
        <v>0</v>
      </c>
      <c r="E3613" t="s">
        <v>730</v>
      </c>
    </row>
    <row r="3614" spans="1:5" hidden="1" x14ac:dyDescent="0.3">
      <c r="A3614" t="s">
        <v>557</v>
      </c>
      <c r="B3614" t="s">
        <v>729</v>
      </c>
      <c r="C3614" t="s">
        <v>658</v>
      </c>
      <c r="D3614" s="230">
        <v>0</v>
      </c>
      <c r="E3614" t="s">
        <v>730</v>
      </c>
    </row>
    <row r="3615" spans="1:5" hidden="1" x14ac:dyDescent="0.3">
      <c r="A3615" t="s">
        <v>557</v>
      </c>
      <c r="B3615" t="s">
        <v>729</v>
      </c>
      <c r="C3615" t="s">
        <v>659</v>
      </c>
      <c r="D3615" s="230">
        <v>0</v>
      </c>
      <c r="E3615" t="s">
        <v>730</v>
      </c>
    </row>
    <row r="3616" spans="1:5" hidden="1" x14ac:dyDescent="0.3">
      <c r="A3616" t="s">
        <v>557</v>
      </c>
      <c r="B3616" t="s">
        <v>729</v>
      </c>
      <c r="C3616" t="s">
        <v>660</v>
      </c>
      <c r="D3616" s="230">
        <v>0</v>
      </c>
      <c r="E3616" t="s">
        <v>730</v>
      </c>
    </row>
    <row r="3617" spans="1:5" hidden="1" x14ac:dyDescent="0.3">
      <c r="A3617" t="s">
        <v>557</v>
      </c>
      <c r="B3617" t="s">
        <v>729</v>
      </c>
      <c r="C3617" t="s">
        <v>661</v>
      </c>
      <c r="D3617" s="230">
        <v>0</v>
      </c>
      <c r="E3617" t="s">
        <v>730</v>
      </c>
    </row>
    <row r="3618" spans="1:5" hidden="1" x14ac:dyDescent="0.3">
      <c r="A3618" t="s">
        <v>557</v>
      </c>
      <c r="B3618" t="s">
        <v>729</v>
      </c>
      <c r="C3618" t="s">
        <v>662</v>
      </c>
      <c r="D3618" s="230">
        <v>0</v>
      </c>
      <c r="E3618" t="s">
        <v>730</v>
      </c>
    </row>
    <row r="3619" spans="1:5" hidden="1" x14ac:dyDescent="0.3">
      <c r="A3619" t="s">
        <v>557</v>
      </c>
      <c r="B3619" t="s">
        <v>729</v>
      </c>
      <c r="C3619" t="s">
        <v>663</v>
      </c>
      <c r="D3619" s="230">
        <v>0</v>
      </c>
      <c r="E3619" t="s">
        <v>730</v>
      </c>
    </row>
    <row r="3620" spans="1:5" hidden="1" x14ac:dyDescent="0.3">
      <c r="A3620" t="s">
        <v>557</v>
      </c>
      <c r="B3620" t="s">
        <v>729</v>
      </c>
      <c r="C3620" t="s">
        <v>664</v>
      </c>
      <c r="D3620" s="230">
        <v>0</v>
      </c>
      <c r="E3620" t="s">
        <v>730</v>
      </c>
    </row>
    <row r="3621" spans="1:5" hidden="1" x14ac:dyDescent="0.3">
      <c r="A3621" t="s">
        <v>557</v>
      </c>
      <c r="B3621" t="s">
        <v>729</v>
      </c>
      <c r="C3621" t="s">
        <v>665</v>
      </c>
      <c r="D3621" s="230">
        <v>0</v>
      </c>
      <c r="E3621" t="s">
        <v>730</v>
      </c>
    </row>
    <row r="3622" spans="1:5" hidden="1" x14ac:dyDescent="0.3">
      <c r="A3622" t="s">
        <v>557</v>
      </c>
      <c r="B3622" t="s">
        <v>729</v>
      </c>
      <c r="C3622" t="s">
        <v>666</v>
      </c>
      <c r="D3622" s="230">
        <v>0</v>
      </c>
      <c r="E3622" t="s">
        <v>730</v>
      </c>
    </row>
    <row r="3623" spans="1:5" hidden="1" x14ac:dyDescent="0.3">
      <c r="A3623" t="s">
        <v>557</v>
      </c>
      <c r="B3623" t="s">
        <v>729</v>
      </c>
      <c r="C3623" t="s">
        <v>667</v>
      </c>
      <c r="D3623" s="230">
        <v>0</v>
      </c>
      <c r="E3623" t="s">
        <v>730</v>
      </c>
    </row>
    <row r="3624" spans="1:5" hidden="1" x14ac:dyDescent="0.3">
      <c r="A3624" t="s">
        <v>557</v>
      </c>
      <c r="B3624" t="s">
        <v>729</v>
      </c>
      <c r="C3624" t="s">
        <v>668</v>
      </c>
      <c r="D3624" s="230">
        <v>0</v>
      </c>
      <c r="E3624" t="s">
        <v>730</v>
      </c>
    </row>
    <row r="3625" spans="1:5" hidden="1" x14ac:dyDescent="0.3">
      <c r="A3625" t="s">
        <v>557</v>
      </c>
      <c r="B3625" t="s">
        <v>729</v>
      </c>
      <c r="C3625" t="s">
        <v>669</v>
      </c>
      <c r="D3625" s="230">
        <v>0</v>
      </c>
      <c r="E3625" t="s">
        <v>730</v>
      </c>
    </row>
    <row r="3626" spans="1:5" hidden="1" x14ac:dyDescent="0.3">
      <c r="A3626" t="s">
        <v>557</v>
      </c>
      <c r="B3626" t="s">
        <v>729</v>
      </c>
      <c r="C3626" t="s">
        <v>670</v>
      </c>
      <c r="D3626" s="230">
        <v>0</v>
      </c>
      <c r="E3626" t="s">
        <v>730</v>
      </c>
    </row>
    <row r="3627" spans="1:5" hidden="1" x14ac:dyDescent="0.3">
      <c r="A3627" t="s">
        <v>557</v>
      </c>
      <c r="B3627" t="s">
        <v>729</v>
      </c>
      <c r="C3627" t="s">
        <v>671</v>
      </c>
      <c r="D3627" s="230">
        <v>0</v>
      </c>
      <c r="E3627" t="s">
        <v>730</v>
      </c>
    </row>
    <row r="3628" spans="1:5" hidden="1" x14ac:dyDescent="0.3">
      <c r="A3628" t="s">
        <v>557</v>
      </c>
      <c r="B3628" t="s">
        <v>729</v>
      </c>
      <c r="C3628" t="s">
        <v>672</v>
      </c>
      <c r="D3628" s="230">
        <v>0</v>
      </c>
      <c r="E3628" t="s">
        <v>730</v>
      </c>
    </row>
    <row r="3629" spans="1:5" hidden="1" x14ac:dyDescent="0.3">
      <c r="A3629" t="s">
        <v>557</v>
      </c>
      <c r="B3629" t="s">
        <v>729</v>
      </c>
      <c r="C3629" t="s">
        <v>673</v>
      </c>
      <c r="D3629" s="230">
        <v>0</v>
      </c>
      <c r="E3629" t="s">
        <v>730</v>
      </c>
    </row>
    <row r="3630" spans="1:5" hidden="1" x14ac:dyDescent="0.3">
      <c r="A3630" t="s">
        <v>557</v>
      </c>
      <c r="B3630" t="s">
        <v>729</v>
      </c>
      <c r="C3630" t="s">
        <v>674</v>
      </c>
      <c r="D3630" s="230">
        <v>0</v>
      </c>
      <c r="E3630" t="s">
        <v>730</v>
      </c>
    </row>
    <row r="3631" spans="1:5" hidden="1" x14ac:dyDescent="0.3">
      <c r="A3631" t="s">
        <v>557</v>
      </c>
      <c r="B3631" t="s">
        <v>729</v>
      </c>
      <c r="C3631" t="s">
        <v>675</v>
      </c>
      <c r="D3631" s="230">
        <v>0</v>
      </c>
      <c r="E3631" t="s">
        <v>730</v>
      </c>
    </row>
    <row r="3632" spans="1:5" hidden="1" x14ac:dyDescent="0.3">
      <c r="A3632" t="s">
        <v>557</v>
      </c>
      <c r="B3632" t="s">
        <v>729</v>
      </c>
      <c r="C3632" t="s">
        <v>676</v>
      </c>
      <c r="D3632" s="230">
        <v>0</v>
      </c>
      <c r="E3632" t="s">
        <v>730</v>
      </c>
    </row>
    <row r="3633" spans="1:5" hidden="1" x14ac:dyDescent="0.3">
      <c r="A3633" t="s">
        <v>557</v>
      </c>
      <c r="B3633" t="s">
        <v>729</v>
      </c>
      <c r="C3633" t="s">
        <v>677</v>
      </c>
      <c r="D3633" s="230">
        <v>0</v>
      </c>
      <c r="E3633" t="s">
        <v>730</v>
      </c>
    </row>
    <row r="3634" spans="1:5" hidden="1" x14ac:dyDescent="0.3">
      <c r="A3634" t="s">
        <v>557</v>
      </c>
      <c r="B3634" t="s">
        <v>729</v>
      </c>
      <c r="C3634" t="s">
        <v>201</v>
      </c>
      <c r="D3634" s="230">
        <v>-26532</v>
      </c>
      <c r="E3634" t="s">
        <v>730</v>
      </c>
    </row>
    <row r="3635" spans="1:5" hidden="1" x14ac:dyDescent="0.3">
      <c r="A3635" t="s">
        <v>557</v>
      </c>
      <c r="B3635" t="s">
        <v>729</v>
      </c>
      <c r="C3635" t="s">
        <v>203</v>
      </c>
      <c r="D3635" s="230">
        <v>-26532</v>
      </c>
      <c r="E3635" t="s">
        <v>730</v>
      </c>
    </row>
    <row r="3636" spans="1:5" hidden="1" x14ac:dyDescent="0.3">
      <c r="A3636" t="s">
        <v>557</v>
      </c>
      <c r="B3636" t="s">
        <v>729</v>
      </c>
      <c r="C3636" t="s">
        <v>678</v>
      </c>
      <c r="D3636" s="230">
        <v>13266</v>
      </c>
      <c r="E3636" t="s">
        <v>730</v>
      </c>
    </row>
    <row r="3637" spans="1:5" hidden="1" x14ac:dyDescent="0.3">
      <c r="A3637" t="s">
        <v>557</v>
      </c>
      <c r="B3637" t="s">
        <v>729</v>
      </c>
      <c r="C3637" t="s">
        <v>205</v>
      </c>
      <c r="D3637" s="230">
        <v>-17479.810000000001</v>
      </c>
      <c r="E3637" t="s">
        <v>730</v>
      </c>
    </row>
    <row r="3638" spans="1:5" hidden="1" x14ac:dyDescent="0.3">
      <c r="A3638" t="s">
        <v>557</v>
      </c>
      <c r="B3638" t="s">
        <v>729</v>
      </c>
      <c r="C3638" t="s">
        <v>679</v>
      </c>
      <c r="D3638" s="230">
        <v>-2858.62</v>
      </c>
      <c r="E3638" t="s">
        <v>730</v>
      </c>
    </row>
    <row r="3639" spans="1:5" hidden="1" x14ac:dyDescent="0.3">
      <c r="A3639" t="s">
        <v>557</v>
      </c>
      <c r="B3639" t="s">
        <v>729</v>
      </c>
      <c r="C3639" t="s">
        <v>680</v>
      </c>
      <c r="D3639" s="230">
        <v>-2140.6999999999998</v>
      </c>
      <c r="E3639" t="s">
        <v>730</v>
      </c>
    </row>
    <row r="3640" spans="1:5" hidden="1" x14ac:dyDescent="0.3">
      <c r="A3640" t="s">
        <v>557</v>
      </c>
      <c r="B3640" t="s">
        <v>729</v>
      </c>
      <c r="C3640" t="s">
        <v>681</v>
      </c>
      <c r="D3640" s="230">
        <v>0</v>
      </c>
      <c r="E3640" t="s">
        <v>730</v>
      </c>
    </row>
    <row r="3641" spans="1:5" hidden="1" x14ac:dyDescent="0.3">
      <c r="A3641" t="s">
        <v>557</v>
      </c>
      <c r="B3641" t="s">
        <v>729</v>
      </c>
      <c r="C3641" t="s">
        <v>682</v>
      </c>
      <c r="D3641" s="230">
        <v>-7531.73</v>
      </c>
      <c r="E3641" t="s">
        <v>730</v>
      </c>
    </row>
    <row r="3642" spans="1:5" hidden="1" x14ac:dyDescent="0.3">
      <c r="A3642" t="s">
        <v>557</v>
      </c>
      <c r="B3642" t="s">
        <v>729</v>
      </c>
      <c r="C3642" t="s">
        <v>683</v>
      </c>
      <c r="D3642" s="230">
        <v>0</v>
      </c>
      <c r="E3642" t="s">
        <v>730</v>
      </c>
    </row>
    <row r="3643" spans="1:5" hidden="1" x14ac:dyDescent="0.3">
      <c r="A3643" t="s">
        <v>557</v>
      </c>
      <c r="B3643" t="s">
        <v>729</v>
      </c>
      <c r="C3643" t="s">
        <v>684</v>
      </c>
      <c r="D3643" s="230">
        <v>-2345.91</v>
      </c>
      <c r="E3643" t="s">
        <v>730</v>
      </c>
    </row>
    <row r="3644" spans="1:5" hidden="1" x14ac:dyDescent="0.3">
      <c r="A3644" t="s">
        <v>557</v>
      </c>
      <c r="B3644" t="s">
        <v>729</v>
      </c>
      <c r="C3644" t="s">
        <v>685</v>
      </c>
      <c r="D3644" s="230">
        <v>-701.27</v>
      </c>
      <c r="E3644" t="s">
        <v>730</v>
      </c>
    </row>
    <row r="3645" spans="1:5" hidden="1" x14ac:dyDescent="0.3">
      <c r="A3645" t="s">
        <v>557</v>
      </c>
      <c r="B3645" t="s">
        <v>729</v>
      </c>
      <c r="C3645" t="s">
        <v>686</v>
      </c>
      <c r="D3645" s="230">
        <v>0</v>
      </c>
      <c r="E3645" t="s">
        <v>730</v>
      </c>
    </row>
    <row r="3646" spans="1:5" hidden="1" x14ac:dyDescent="0.3">
      <c r="A3646" t="s">
        <v>557</v>
      </c>
      <c r="B3646" t="s">
        <v>729</v>
      </c>
      <c r="C3646" t="s">
        <v>687</v>
      </c>
      <c r="D3646" s="230">
        <v>0</v>
      </c>
      <c r="E3646" t="s">
        <v>730</v>
      </c>
    </row>
    <row r="3647" spans="1:5" hidden="1" x14ac:dyDescent="0.3">
      <c r="A3647" t="s">
        <v>557</v>
      </c>
      <c r="B3647" t="s">
        <v>729</v>
      </c>
      <c r="C3647" t="s">
        <v>688</v>
      </c>
      <c r="D3647" s="230">
        <v>0</v>
      </c>
      <c r="E3647" t="s">
        <v>730</v>
      </c>
    </row>
    <row r="3648" spans="1:5" hidden="1" x14ac:dyDescent="0.3">
      <c r="A3648" t="s">
        <v>557</v>
      </c>
      <c r="B3648" t="s">
        <v>729</v>
      </c>
      <c r="C3648" t="s">
        <v>689</v>
      </c>
      <c r="D3648" s="230">
        <v>0</v>
      </c>
      <c r="E3648" t="s">
        <v>730</v>
      </c>
    </row>
    <row r="3649" spans="1:5" hidden="1" x14ac:dyDescent="0.3">
      <c r="A3649" t="s">
        <v>557</v>
      </c>
      <c r="B3649" t="s">
        <v>729</v>
      </c>
      <c r="C3649" t="s">
        <v>690</v>
      </c>
      <c r="D3649" s="230">
        <v>0</v>
      </c>
      <c r="E3649" t="s">
        <v>730</v>
      </c>
    </row>
    <row r="3650" spans="1:5" hidden="1" x14ac:dyDescent="0.3">
      <c r="A3650" t="s">
        <v>557</v>
      </c>
      <c r="B3650" t="s">
        <v>729</v>
      </c>
      <c r="C3650" t="s">
        <v>691</v>
      </c>
      <c r="D3650" s="230">
        <v>0</v>
      </c>
      <c r="E3650" t="s">
        <v>730</v>
      </c>
    </row>
    <row r="3651" spans="1:5" hidden="1" x14ac:dyDescent="0.3">
      <c r="A3651" t="s">
        <v>557</v>
      </c>
      <c r="B3651" t="s">
        <v>729</v>
      </c>
      <c r="C3651" t="s">
        <v>692</v>
      </c>
      <c r="D3651" s="230">
        <v>-1901.58</v>
      </c>
      <c r="E3651" t="s">
        <v>730</v>
      </c>
    </row>
    <row r="3652" spans="1:5" hidden="1" x14ac:dyDescent="0.3">
      <c r="A3652" t="s">
        <v>557</v>
      </c>
      <c r="B3652" t="s">
        <v>729</v>
      </c>
      <c r="C3652" t="s">
        <v>693</v>
      </c>
      <c r="D3652" s="230">
        <v>0</v>
      </c>
      <c r="E3652" t="s">
        <v>730</v>
      </c>
    </row>
    <row r="3653" spans="1:5" hidden="1" x14ac:dyDescent="0.3">
      <c r="A3653" t="s">
        <v>557</v>
      </c>
      <c r="B3653" t="s">
        <v>729</v>
      </c>
      <c r="C3653" t="s">
        <v>694</v>
      </c>
      <c r="D3653" s="230">
        <v>0</v>
      </c>
      <c r="E3653" t="s">
        <v>730</v>
      </c>
    </row>
    <row r="3654" spans="1:5" hidden="1" x14ac:dyDescent="0.3">
      <c r="A3654" t="s">
        <v>557</v>
      </c>
      <c r="B3654" t="s">
        <v>729</v>
      </c>
      <c r="C3654" t="s">
        <v>238</v>
      </c>
      <c r="D3654" s="230">
        <v>-5736.77</v>
      </c>
      <c r="E3654" t="s">
        <v>730</v>
      </c>
    </row>
    <row r="3655" spans="1:5" hidden="1" x14ac:dyDescent="0.3">
      <c r="A3655" t="s">
        <v>557</v>
      </c>
      <c r="B3655" t="s">
        <v>729</v>
      </c>
      <c r="C3655" t="s">
        <v>695</v>
      </c>
      <c r="D3655" s="230">
        <v>-5663.3</v>
      </c>
      <c r="E3655" t="s">
        <v>730</v>
      </c>
    </row>
    <row r="3656" spans="1:5" hidden="1" x14ac:dyDescent="0.3">
      <c r="A3656" t="s">
        <v>557</v>
      </c>
      <c r="B3656" t="s">
        <v>729</v>
      </c>
      <c r="C3656" t="s">
        <v>696</v>
      </c>
      <c r="D3656" s="230">
        <v>0</v>
      </c>
      <c r="E3656" t="s">
        <v>730</v>
      </c>
    </row>
    <row r="3657" spans="1:5" hidden="1" x14ac:dyDescent="0.3">
      <c r="A3657" t="s">
        <v>557</v>
      </c>
      <c r="B3657" t="s">
        <v>729</v>
      </c>
      <c r="C3657" t="s">
        <v>697</v>
      </c>
      <c r="D3657" s="230">
        <v>0</v>
      </c>
      <c r="E3657" t="s">
        <v>730</v>
      </c>
    </row>
    <row r="3658" spans="1:5" hidden="1" x14ac:dyDescent="0.3">
      <c r="A3658" t="s">
        <v>557</v>
      </c>
      <c r="B3658" t="s">
        <v>729</v>
      </c>
      <c r="C3658" t="s">
        <v>698</v>
      </c>
      <c r="D3658" s="230">
        <v>-73.47</v>
      </c>
      <c r="E3658" t="s">
        <v>730</v>
      </c>
    </row>
    <row r="3659" spans="1:5" hidden="1" x14ac:dyDescent="0.3">
      <c r="A3659" t="s">
        <v>557</v>
      </c>
      <c r="B3659" t="s">
        <v>729</v>
      </c>
      <c r="C3659" t="s">
        <v>699</v>
      </c>
      <c r="D3659" s="230">
        <v>0</v>
      </c>
      <c r="E3659" t="s">
        <v>730</v>
      </c>
    </row>
    <row r="3660" spans="1:5" hidden="1" x14ac:dyDescent="0.3">
      <c r="A3660" t="s">
        <v>557</v>
      </c>
      <c r="B3660" t="s">
        <v>729</v>
      </c>
      <c r="C3660" t="s">
        <v>245</v>
      </c>
      <c r="D3660" s="230">
        <v>-10949.74</v>
      </c>
      <c r="E3660" t="s">
        <v>730</v>
      </c>
    </row>
    <row r="3661" spans="1:5" hidden="1" x14ac:dyDescent="0.3">
      <c r="A3661" t="s">
        <v>557</v>
      </c>
      <c r="B3661" t="s">
        <v>729</v>
      </c>
      <c r="C3661" t="s">
        <v>700</v>
      </c>
      <c r="D3661" s="230">
        <v>-283</v>
      </c>
      <c r="E3661" t="s">
        <v>730</v>
      </c>
    </row>
    <row r="3662" spans="1:5" hidden="1" x14ac:dyDescent="0.3">
      <c r="A3662" t="s">
        <v>557</v>
      </c>
      <c r="B3662" t="s">
        <v>729</v>
      </c>
      <c r="C3662" t="s">
        <v>701</v>
      </c>
      <c r="D3662" s="230">
        <v>-319.12</v>
      </c>
      <c r="E3662" t="s">
        <v>730</v>
      </c>
    </row>
    <row r="3663" spans="1:5" hidden="1" x14ac:dyDescent="0.3">
      <c r="A3663" t="s">
        <v>557</v>
      </c>
      <c r="B3663" t="s">
        <v>729</v>
      </c>
      <c r="C3663" t="s">
        <v>702</v>
      </c>
      <c r="D3663" s="230">
        <v>0</v>
      </c>
      <c r="E3663" t="s">
        <v>730</v>
      </c>
    </row>
    <row r="3664" spans="1:5" hidden="1" x14ac:dyDescent="0.3">
      <c r="A3664" t="s">
        <v>557</v>
      </c>
      <c r="B3664" t="s">
        <v>729</v>
      </c>
      <c r="C3664" t="s">
        <v>703</v>
      </c>
      <c r="D3664" s="230">
        <v>0</v>
      </c>
      <c r="E3664" t="s">
        <v>730</v>
      </c>
    </row>
    <row r="3665" spans="1:5" hidden="1" x14ac:dyDescent="0.3">
      <c r="A3665" t="s">
        <v>557</v>
      </c>
      <c r="B3665" t="s">
        <v>729</v>
      </c>
      <c r="C3665" t="s">
        <v>704</v>
      </c>
      <c r="D3665" s="230">
        <v>0</v>
      </c>
      <c r="E3665" t="s">
        <v>730</v>
      </c>
    </row>
    <row r="3666" spans="1:5" hidden="1" x14ac:dyDescent="0.3">
      <c r="A3666" t="s">
        <v>557</v>
      </c>
      <c r="B3666" t="s">
        <v>729</v>
      </c>
      <c r="C3666" t="s">
        <v>705</v>
      </c>
      <c r="D3666" s="230">
        <v>-10347.620000000001</v>
      </c>
      <c r="E3666" t="s">
        <v>730</v>
      </c>
    </row>
    <row r="3667" spans="1:5" hidden="1" x14ac:dyDescent="0.3">
      <c r="A3667" t="s">
        <v>557</v>
      </c>
      <c r="B3667" t="s">
        <v>729</v>
      </c>
      <c r="C3667" t="s">
        <v>706</v>
      </c>
      <c r="D3667" s="230">
        <v>0</v>
      </c>
      <c r="E3667" t="s">
        <v>730</v>
      </c>
    </row>
    <row r="3668" spans="1:5" hidden="1" x14ac:dyDescent="0.3">
      <c r="A3668" t="s">
        <v>557</v>
      </c>
      <c r="B3668" t="s">
        <v>729</v>
      </c>
      <c r="C3668" t="s">
        <v>254</v>
      </c>
      <c r="D3668" s="230">
        <v>-0.28000000000000003</v>
      </c>
      <c r="E3668" t="s">
        <v>730</v>
      </c>
    </row>
    <row r="3669" spans="1:5" hidden="1" x14ac:dyDescent="0.3">
      <c r="A3669" t="s">
        <v>557</v>
      </c>
      <c r="B3669" t="s">
        <v>729</v>
      </c>
      <c r="C3669" t="s">
        <v>255</v>
      </c>
      <c r="D3669" s="230">
        <v>-0.27</v>
      </c>
      <c r="E3669" t="s">
        <v>730</v>
      </c>
    </row>
    <row r="3670" spans="1:5" hidden="1" x14ac:dyDescent="0.3">
      <c r="A3670" t="s">
        <v>557</v>
      </c>
      <c r="B3670" t="s">
        <v>729</v>
      </c>
      <c r="C3670" t="s">
        <v>256</v>
      </c>
      <c r="D3670" s="230">
        <v>-51752.37</v>
      </c>
      <c r="E3670" t="s">
        <v>730</v>
      </c>
    </row>
    <row r="3671" spans="1:5" hidden="1" x14ac:dyDescent="0.3">
      <c r="A3671" t="s">
        <v>557</v>
      </c>
      <c r="B3671" t="s">
        <v>729</v>
      </c>
      <c r="C3671" t="s">
        <v>257</v>
      </c>
      <c r="D3671" s="230">
        <v>-49305.7</v>
      </c>
      <c r="E3671" t="s">
        <v>730</v>
      </c>
    </row>
    <row r="3672" spans="1:5" hidden="1" x14ac:dyDescent="0.3">
      <c r="A3672" t="s">
        <v>557</v>
      </c>
      <c r="B3672" t="s">
        <v>729</v>
      </c>
      <c r="C3672" t="s">
        <v>258</v>
      </c>
      <c r="D3672" s="230">
        <v>0</v>
      </c>
      <c r="E3672" t="s">
        <v>730</v>
      </c>
    </row>
    <row r="3673" spans="1:5" hidden="1" x14ac:dyDescent="0.3">
      <c r="A3673" t="s">
        <v>557</v>
      </c>
      <c r="B3673" t="s">
        <v>729</v>
      </c>
      <c r="C3673" t="s">
        <v>259</v>
      </c>
      <c r="D3673" s="230">
        <v>-2446.67</v>
      </c>
      <c r="E3673" t="s">
        <v>730</v>
      </c>
    </row>
    <row r="3674" spans="1:5" hidden="1" x14ac:dyDescent="0.3">
      <c r="A3674" t="s">
        <v>557</v>
      </c>
      <c r="B3674" t="s">
        <v>729</v>
      </c>
      <c r="C3674" t="s">
        <v>260</v>
      </c>
      <c r="D3674" s="230">
        <v>0</v>
      </c>
      <c r="E3674" t="s">
        <v>730</v>
      </c>
    </row>
    <row r="3675" spans="1:5" hidden="1" x14ac:dyDescent="0.3">
      <c r="A3675" t="s">
        <v>557</v>
      </c>
      <c r="B3675" t="s">
        <v>729</v>
      </c>
      <c r="C3675" t="s">
        <v>261</v>
      </c>
      <c r="D3675" s="230">
        <v>0</v>
      </c>
      <c r="E3675" t="s">
        <v>730</v>
      </c>
    </row>
    <row r="3676" spans="1:5" hidden="1" x14ac:dyDescent="0.3">
      <c r="A3676" t="s">
        <v>557</v>
      </c>
      <c r="B3676" t="s">
        <v>729</v>
      </c>
      <c r="C3676" t="s">
        <v>262</v>
      </c>
      <c r="D3676" s="230">
        <v>0</v>
      </c>
      <c r="E3676" t="s">
        <v>730</v>
      </c>
    </row>
    <row r="3677" spans="1:5" hidden="1" x14ac:dyDescent="0.3">
      <c r="A3677" t="s">
        <v>557</v>
      </c>
      <c r="B3677" t="s">
        <v>729</v>
      </c>
      <c r="C3677" t="s">
        <v>263</v>
      </c>
      <c r="D3677" s="230">
        <v>0</v>
      </c>
      <c r="E3677" t="s">
        <v>730</v>
      </c>
    </row>
    <row r="3678" spans="1:5" hidden="1" x14ac:dyDescent="0.3">
      <c r="A3678" t="s">
        <v>557</v>
      </c>
      <c r="B3678" t="s">
        <v>729</v>
      </c>
      <c r="C3678" t="s">
        <v>44</v>
      </c>
      <c r="D3678" s="230">
        <v>-7.0000000000000007E-2</v>
      </c>
      <c r="E3678" t="s">
        <v>730</v>
      </c>
    </row>
    <row r="3679" spans="1:5" hidden="1" x14ac:dyDescent="0.3">
      <c r="A3679" t="s">
        <v>557</v>
      </c>
      <c r="B3679" t="s">
        <v>729</v>
      </c>
      <c r="C3679" t="s">
        <v>264</v>
      </c>
      <c r="D3679" s="230">
        <v>-39073.21</v>
      </c>
      <c r="E3679" t="s">
        <v>730</v>
      </c>
    </row>
    <row r="3680" spans="1:5" hidden="1" x14ac:dyDescent="0.3">
      <c r="A3680" t="s">
        <v>557</v>
      </c>
      <c r="B3680" t="s">
        <v>729</v>
      </c>
      <c r="C3680" t="s">
        <v>265</v>
      </c>
      <c r="D3680" s="230">
        <v>-5225.6099999999997</v>
      </c>
      <c r="E3680" t="s">
        <v>730</v>
      </c>
    </row>
    <row r="3681" spans="1:5" hidden="1" x14ac:dyDescent="0.3">
      <c r="A3681" t="s">
        <v>557</v>
      </c>
      <c r="B3681" t="s">
        <v>729</v>
      </c>
      <c r="C3681" t="s">
        <v>266</v>
      </c>
      <c r="D3681" s="230">
        <v>-10949.05</v>
      </c>
      <c r="E3681" t="s">
        <v>730</v>
      </c>
    </row>
    <row r="3682" spans="1:5" hidden="1" x14ac:dyDescent="0.3">
      <c r="A3682" t="s">
        <v>557</v>
      </c>
      <c r="B3682" t="s">
        <v>729</v>
      </c>
      <c r="C3682" t="s">
        <v>267</v>
      </c>
      <c r="D3682" s="230">
        <v>-5697.34</v>
      </c>
      <c r="E3682" t="s">
        <v>730</v>
      </c>
    </row>
    <row r="3683" spans="1:5" hidden="1" x14ac:dyDescent="0.3">
      <c r="A3683" t="s">
        <v>557</v>
      </c>
      <c r="B3683" t="s">
        <v>729</v>
      </c>
      <c r="C3683" t="s">
        <v>268</v>
      </c>
      <c r="D3683" s="230">
        <v>-8419.94</v>
      </c>
      <c r="E3683" t="s">
        <v>730</v>
      </c>
    </row>
    <row r="3684" spans="1:5" hidden="1" x14ac:dyDescent="0.3">
      <c r="A3684" t="s">
        <v>557</v>
      </c>
      <c r="B3684" t="s">
        <v>729</v>
      </c>
      <c r="C3684" t="s">
        <v>269</v>
      </c>
      <c r="D3684" s="230">
        <v>0</v>
      </c>
      <c r="E3684" t="s">
        <v>730</v>
      </c>
    </row>
    <row r="3685" spans="1:5" hidden="1" x14ac:dyDescent="0.3">
      <c r="A3685" t="s">
        <v>557</v>
      </c>
      <c r="B3685" t="s">
        <v>729</v>
      </c>
      <c r="C3685" t="s">
        <v>270</v>
      </c>
      <c r="D3685" s="230">
        <v>-550</v>
      </c>
      <c r="E3685" t="s">
        <v>730</v>
      </c>
    </row>
    <row r="3686" spans="1:5" hidden="1" x14ac:dyDescent="0.3">
      <c r="A3686" t="s">
        <v>557</v>
      </c>
      <c r="B3686" t="s">
        <v>729</v>
      </c>
      <c r="C3686" t="s">
        <v>271</v>
      </c>
      <c r="D3686" s="230">
        <v>-761.52</v>
      </c>
      <c r="E3686" t="s">
        <v>730</v>
      </c>
    </row>
    <row r="3687" spans="1:5" hidden="1" x14ac:dyDescent="0.3">
      <c r="A3687" t="s">
        <v>557</v>
      </c>
      <c r="B3687" t="s">
        <v>729</v>
      </c>
      <c r="C3687" t="s">
        <v>272</v>
      </c>
      <c r="D3687" s="230">
        <v>-514.30999999999995</v>
      </c>
      <c r="E3687" t="s">
        <v>730</v>
      </c>
    </row>
    <row r="3688" spans="1:5" hidden="1" x14ac:dyDescent="0.3">
      <c r="A3688" t="s">
        <v>557</v>
      </c>
      <c r="B3688" t="s">
        <v>729</v>
      </c>
      <c r="C3688" t="s">
        <v>273</v>
      </c>
      <c r="D3688" s="230">
        <v>0</v>
      </c>
      <c r="E3688" t="s">
        <v>730</v>
      </c>
    </row>
    <row r="3689" spans="1:5" hidden="1" x14ac:dyDescent="0.3">
      <c r="A3689" t="s">
        <v>557</v>
      </c>
      <c r="B3689" t="s">
        <v>729</v>
      </c>
      <c r="C3689" t="s">
        <v>274</v>
      </c>
      <c r="D3689" s="230">
        <v>0</v>
      </c>
      <c r="E3689" t="s">
        <v>730</v>
      </c>
    </row>
    <row r="3690" spans="1:5" hidden="1" x14ac:dyDescent="0.3">
      <c r="A3690" t="s">
        <v>557</v>
      </c>
      <c r="B3690" t="s">
        <v>729</v>
      </c>
      <c r="C3690" t="s">
        <v>275</v>
      </c>
      <c r="D3690" s="230">
        <v>-100</v>
      </c>
      <c r="E3690" t="s">
        <v>730</v>
      </c>
    </row>
    <row r="3691" spans="1:5" hidden="1" x14ac:dyDescent="0.3">
      <c r="A3691" t="s">
        <v>557</v>
      </c>
      <c r="B3691" t="s">
        <v>729</v>
      </c>
      <c r="C3691" t="s">
        <v>276</v>
      </c>
      <c r="D3691" s="230">
        <v>-700</v>
      </c>
      <c r="E3691" t="s">
        <v>730</v>
      </c>
    </row>
    <row r="3692" spans="1:5" hidden="1" x14ac:dyDescent="0.3">
      <c r="A3692" t="s">
        <v>557</v>
      </c>
      <c r="B3692" t="s">
        <v>729</v>
      </c>
      <c r="C3692" t="s">
        <v>277</v>
      </c>
      <c r="D3692" s="230">
        <v>0</v>
      </c>
      <c r="E3692" t="s">
        <v>730</v>
      </c>
    </row>
    <row r="3693" spans="1:5" hidden="1" x14ac:dyDescent="0.3">
      <c r="A3693" t="s">
        <v>557</v>
      </c>
      <c r="B3693" t="s">
        <v>729</v>
      </c>
      <c r="C3693" t="s">
        <v>278</v>
      </c>
      <c r="D3693" s="230">
        <v>-6155.44</v>
      </c>
      <c r="E3693" t="s">
        <v>730</v>
      </c>
    </row>
    <row r="3694" spans="1:5" hidden="1" x14ac:dyDescent="0.3">
      <c r="A3694" t="s">
        <v>557</v>
      </c>
      <c r="B3694" t="s">
        <v>729</v>
      </c>
      <c r="C3694" t="s">
        <v>44</v>
      </c>
      <c r="D3694" s="230">
        <v>-0.06</v>
      </c>
      <c r="E3694" t="s">
        <v>730</v>
      </c>
    </row>
    <row r="3695" spans="1:5" hidden="1" x14ac:dyDescent="0.3">
      <c r="A3695" t="s">
        <v>557</v>
      </c>
      <c r="B3695" t="s">
        <v>729</v>
      </c>
      <c r="C3695" t="s">
        <v>279</v>
      </c>
      <c r="D3695" s="230">
        <v>-6861.42</v>
      </c>
      <c r="E3695" t="s">
        <v>730</v>
      </c>
    </row>
    <row r="3696" spans="1:5" hidden="1" x14ac:dyDescent="0.3">
      <c r="A3696" t="s">
        <v>557</v>
      </c>
      <c r="B3696" t="s">
        <v>729</v>
      </c>
      <c r="C3696" t="s">
        <v>280</v>
      </c>
      <c r="D3696" s="230">
        <v>-299.89999999999998</v>
      </c>
      <c r="E3696" t="s">
        <v>730</v>
      </c>
    </row>
    <row r="3697" spans="1:5" hidden="1" x14ac:dyDescent="0.3">
      <c r="A3697" t="s">
        <v>557</v>
      </c>
      <c r="B3697" t="s">
        <v>729</v>
      </c>
      <c r="C3697" t="s">
        <v>281</v>
      </c>
      <c r="D3697" s="230">
        <v>-291.60000000000002</v>
      </c>
      <c r="E3697" t="s">
        <v>730</v>
      </c>
    </row>
    <row r="3698" spans="1:5" hidden="1" x14ac:dyDescent="0.3">
      <c r="A3698" t="s">
        <v>557</v>
      </c>
      <c r="B3698" t="s">
        <v>729</v>
      </c>
      <c r="C3698" t="s">
        <v>282</v>
      </c>
      <c r="D3698" s="230">
        <v>-346.25</v>
      </c>
      <c r="E3698" t="s">
        <v>730</v>
      </c>
    </row>
    <row r="3699" spans="1:5" hidden="1" x14ac:dyDescent="0.3">
      <c r="A3699" t="s">
        <v>557</v>
      </c>
      <c r="B3699" t="s">
        <v>729</v>
      </c>
      <c r="C3699" t="s">
        <v>283</v>
      </c>
      <c r="D3699" s="230">
        <v>-276.69</v>
      </c>
      <c r="E3699" t="s">
        <v>730</v>
      </c>
    </row>
    <row r="3700" spans="1:5" hidden="1" x14ac:dyDescent="0.3">
      <c r="A3700" t="s">
        <v>557</v>
      </c>
      <c r="B3700" t="s">
        <v>729</v>
      </c>
      <c r="C3700" t="s">
        <v>284</v>
      </c>
      <c r="D3700" s="230">
        <v>-5646.98</v>
      </c>
      <c r="E3700" t="s">
        <v>730</v>
      </c>
    </row>
    <row r="3701" spans="1:5" hidden="1" x14ac:dyDescent="0.3">
      <c r="A3701" t="s">
        <v>557</v>
      </c>
      <c r="B3701" t="s">
        <v>729</v>
      </c>
      <c r="C3701" t="s">
        <v>285</v>
      </c>
      <c r="D3701" s="230">
        <v>0</v>
      </c>
      <c r="E3701" t="s">
        <v>730</v>
      </c>
    </row>
    <row r="3702" spans="1:5" hidden="1" x14ac:dyDescent="0.3">
      <c r="A3702" t="s">
        <v>557</v>
      </c>
      <c r="B3702" t="s">
        <v>729</v>
      </c>
      <c r="C3702" t="s">
        <v>286</v>
      </c>
      <c r="D3702" s="230">
        <v>0</v>
      </c>
      <c r="E3702" t="s">
        <v>730</v>
      </c>
    </row>
    <row r="3703" spans="1:5" hidden="1" x14ac:dyDescent="0.3">
      <c r="A3703" t="s">
        <v>557</v>
      </c>
      <c r="B3703" t="s">
        <v>729</v>
      </c>
      <c r="C3703" t="s">
        <v>44</v>
      </c>
      <c r="D3703" s="230">
        <v>-0.01</v>
      </c>
      <c r="E3703" t="s">
        <v>730</v>
      </c>
    </row>
    <row r="3704" spans="1:5" hidden="1" x14ac:dyDescent="0.3">
      <c r="A3704" t="s">
        <v>557</v>
      </c>
      <c r="B3704" t="s">
        <v>729</v>
      </c>
      <c r="C3704" t="s">
        <v>287</v>
      </c>
      <c r="D3704" s="230">
        <v>-12710.52</v>
      </c>
      <c r="E3704" t="s">
        <v>730</v>
      </c>
    </row>
    <row r="3705" spans="1:5" hidden="1" x14ac:dyDescent="0.3">
      <c r="A3705" t="s">
        <v>557</v>
      </c>
      <c r="B3705" t="s">
        <v>729</v>
      </c>
      <c r="C3705" t="s">
        <v>288</v>
      </c>
      <c r="D3705" s="230">
        <v>-12369.55</v>
      </c>
      <c r="E3705" t="s">
        <v>730</v>
      </c>
    </row>
    <row r="3706" spans="1:5" hidden="1" x14ac:dyDescent="0.3">
      <c r="A3706" t="s">
        <v>557</v>
      </c>
      <c r="B3706" t="s">
        <v>729</v>
      </c>
      <c r="C3706" t="s">
        <v>289</v>
      </c>
      <c r="D3706" s="230">
        <v>0</v>
      </c>
      <c r="E3706" t="s">
        <v>730</v>
      </c>
    </row>
    <row r="3707" spans="1:5" hidden="1" x14ac:dyDescent="0.3">
      <c r="A3707" t="s">
        <v>557</v>
      </c>
      <c r="B3707" t="s">
        <v>729</v>
      </c>
      <c r="C3707" t="s">
        <v>290</v>
      </c>
      <c r="D3707" s="230">
        <v>0</v>
      </c>
      <c r="E3707" t="s">
        <v>730</v>
      </c>
    </row>
    <row r="3708" spans="1:5" hidden="1" x14ac:dyDescent="0.3">
      <c r="A3708" t="s">
        <v>557</v>
      </c>
      <c r="B3708" t="s">
        <v>729</v>
      </c>
      <c r="C3708" t="s">
        <v>291</v>
      </c>
      <c r="D3708" s="230">
        <v>0</v>
      </c>
      <c r="E3708" t="s">
        <v>730</v>
      </c>
    </row>
    <row r="3709" spans="1:5" hidden="1" x14ac:dyDescent="0.3">
      <c r="A3709" t="s">
        <v>557</v>
      </c>
      <c r="B3709" t="s">
        <v>729</v>
      </c>
      <c r="C3709" t="s">
        <v>292</v>
      </c>
      <c r="D3709" s="230">
        <v>0</v>
      </c>
      <c r="E3709" t="s">
        <v>730</v>
      </c>
    </row>
    <row r="3710" spans="1:5" hidden="1" x14ac:dyDescent="0.3">
      <c r="A3710" t="s">
        <v>557</v>
      </c>
      <c r="B3710" t="s">
        <v>729</v>
      </c>
      <c r="C3710" t="s">
        <v>293</v>
      </c>
      <c r="D3710" s="230">
        <v>-150</v>
      </c>
      <c r="E3710" t="s">
        <v>730</v>
      </c>
    </row>
    <row r="3711" spans="1:5" hidden="1" x14ac:dyDescent="0.3">
      <c r="A3711" t="s">
        <v>557</v>
      </c>
      <c r="B3711" t="s">
        <v>729</v>
      </c>
      <c r="C3711" t="s">
        <v>294</v>
      </c>
      <c r="D3711" s="230">
        <v>-190.97</v>
      </c>
      <c r="E3711" t="s">
        <v>730</v>
      </c>
    </row>
    <row r="3712" spans="1:5" hidden="1" x14ac:dyDescent="0.3">
      <c r="A3712" t="s">
        <v>557</v>
      </c>
      <c r="B3712" t="s">
        <v>729</v>
      </c>
      <c r="C3712" t="s">
        <v>295</v>
      </c>
      <c r="D3712" s="230">
        <v>0</v>
      </c>
      <c r="E3712" t="s">
        <v>730</v>
      </c>
    </row>
    <row r="3713" spans="1:5" hidden="1" x14ac:dyDescent="0.3">
      <c r="A3713" t="s">
        <v>557</v>
      </c>
      <c r="B3713" t="s">
        <v>729</v>
      </c>
      <c r="C3713" t="s">
        <v>44</v>
      </c>
      <c r="D3713" s="230">
        <v>-0.02</v>
      </c>
      <c r="E3713" t="s">
        <v>730</v>
      </c>
    </row>
    <row r="3714" spans="1:5" hidden="1" x14ac:dyDescent="0.3">
      <c r="A3714" t="s">
        <v>557</v>
      </c>
      <c r="B3714" t="s">
        <v>729</v>
      </c>
      <c r="C3714" t="s">
        <v>296</v>
      </c>
      <c r="D3714" s="230">
        <v>-4252.79</v>
      </c>
      <c r="E3714" t="s">
        <v>730</v>
      </c>
    </row>
    <row r="3715" spans="1:5" hidden="1" x14ac:dyDescent="0.3">
      <c r="A3715" t="s">
        <v>557</v>
      </c>
      <c r="B3715" t="s">
        <v>729</v>
      </c>
      <c r="C3715" t="s">
        <v>297</v>
      </c>
      <c r="D3715" s="230">
        <v>-3500</v>
      </c>
      <c r="E3715" t="s">
        <v>730</v>
      </c>
    </row>
    <row r="3716" spans="1:5" hidden="1" x14ac:dyDescent="0.3">
      <c r="A3716" t="s">
        <v>557</v>
      </c>
      <c r="B3716" t="s">
        <v>729</v>
      </c>
      <c r="C3716" t="s">
        <v>298</v>
      </c>
      <c r="D3716" s="230">
        <v>-460</v>
      </c>
      <c r="E3716" t="s">
        <v>730</v>
      </c>
    </row>
    <row r="3717" spans="1:5" hidden="1" x14ac:dyDescent="0.3">
      <c r="A3717" t="s">
        <v>557</v>
      </c>
      <c r="B3717" t="s">
        <v>729</v>
      </c>
      <c r="C3717" t="s">
        <v>299</v>
      </c>
      <c r="D3717" s="230">
        <v>0</v>
      </c>
      <c r="E3717" t="s">
        <v>730</v>
      </c>
    </row>
    <row r="3718" spans="1:5" hidden="1" x14ac:dyDescent="0.3">
      <c r="A3718" t="s">
        <v>557</v>
      </c>
      <c r="B3718" t="s">
        <v>729</v>
      </c>
      <c r="C3718" t="s">
        <v>300</v>
      </c>
      <c r="D3718" s="230">
        <v>0</v>
      </c>
      <c r="E3718" t="s">
        <v>730</v>
      </c>
    </row>
    <row r="3719" spans="1:5" hidden="1" x14ac:dyDescent="0.3">
      <c r="A3719" t="s">
        <v>557</v>
      </c>
      <c r="B3719" t="s">
        <v>729</v>
      </c>
      <c r="C3719" t="s">
        <v>301</v>
      </c>
      <c r="D3719" s="230">
        <v>-292.79000000000002</v>
      </c>
      <c r="E3719" t="s">
        <v>730</v>
      </c>
    </row>
    <row r="3720" spans="1:5" hidden="1" x14ac:dyDescent="0.3">
      <c r="A3720" t="s">
        <v>557</v>
      </c>
      <c r="B3720" t="s">
        <v>729</v>
      </c>
      <c r="C3720" t="s">
        <v>302</v>
      </c>
      <c r="D3720" s="230">
        <v>0</v>
      </c>
      <c r="E3720" t="s">
        <v>730</v>
      </c>
    </row>
    <row r="3721" spans="1:5" hidden="1" x14ac:dyDescent="0.3">
      <c r="A3721" t="s">
        <v>557</v>
      </c>
      <c r="B3721" t="s">
        <v>729</v>
      </c>
      <c r="C3721" t="s">
        <v>303</v>
      </c>
      <c r="D3721" s="230">
        <v>0</v>
      </c>
      <c r="E3721" t="s">
        <v>730</v>
      </c>
    </row>
    <row r="3722" spans="1:5" hidden="1" x14ac:dyDescent="0.3">
      <c r="A3722" t="s">
        <v>557</v>
      </c>
      <c r="B3722" t="s">
        <v>729</v>
      </c>
      <c r="C3722" t="s">
        <v>304</v>
      </c>
      <c r="D3722" s="230">
        <v>0</v>
      </c>
      <c r="E3722" t="s">
        <v>730</v>
      </c>
    </row>
    <row r="3723" spans="1:5" hidden="1" x14ac:dyDescent="0.3">
      <c r="A3723" t="s">
        <v>557</v>
      </c>
      <c r="B3723" t="s">
        <v>729</v>
      </c>
      <c r="C3723" t="s">
        <v>305</v>
      </c>
      <c r="D3723" s="230">
        <v>0</v>
      </c>
      <c r="E3723" t="s">
        <v>730</v>
      </c>
    </row>
    <row r="3724" spans="1:5" hidden="1" x14ac:dyDescent="0.3">
      <c r="A3724" t="s">
        <v>557</v>
      </c>
      <c r="B3724" t="s">
        <v>729</v>
      </c>
      <c r="C3724" t="s">
        <v>306</v>
      </c>
      <c r="D3724" s="230">
        <v>0</v>
      </c>
      <c r="E3724" t="s">
        <v>730</v>
      </c>
    </row>
    <row r="3725" spans="1:5" hidden="1" x14ac:dyDescent="0.3">
      <c r="A3725" t="s">
        <v>557</v>
      </c>
      <c r="B3725" t="s">
        <v>729</v>
      </c>
      <c r="C3725" t="s">
        <v>307</v>
      </c>
      <c r="D3725" s="230">
        <v>0</v>
      </c>
      <c r="E3725" t="s">
        <v>730</v>
      </c>
    </row>
    <row r="3726" spans="1:5" hidden="1" x14ac:dyDescent="0.3">
      <c r="A3726" t="s">
        <v>557</v>
      </c>
      <c r="B3726" t="s">
        <v>729</v>
      </c>
      <c r="C3726" t="s">
        <v>44</v>
      </c>
      <c r="D3726" s="230">
        <v>-0.01</v>
      </c>
      <c r="E3726" t="s">
        <v>730</v>
      </c>
    </row>
    <row r="3727" spans="1:5" hidden="1" x14ac:dyDescent="0.3">
      <c r="A3727" t="s">
        <v>557</v>
      </c>
      <c r="B3727" t="s">
        <v>729</v>
      </c>
      <c r="C3727" t="s">
        <v>308</v>
      </c>
      <c r="D3727" s="230">
        <v>-13648.25</v>
      </c>
      <c r="E3727" t="s">
        <v>730</v>
      </c>
    </row>
    <row r="3728" spans="1:5" hidden="1" x14ac:dyDescent="0.3">
      <c r="A3728" t="s">
        <v>557</v>
      </c>
      <c r="B3728" t="s">
        <v>729</v>
      </c>
      <c r="C3728" t="s">
        <v>309</v>
      </c>
      <c r="D3728" s="230">
        <v>-4297.7</v>
      </c>
      <c r="E3728" t="s">
        <v>730</v>
      </c>
    </row>
    <row r="3729" spans="1:5" hidden="1" x14ac:dyDescent="0.3">
      <c r="A3729" t="s">
        <v>557</v>
      </c>
      <c r="B3729" t="s">
        <v>729</v>
      </c>
      <c r="C3729" t="s">
        <v>310</v>
      </c>
      <c r="D3729" s="230">
        <v>0</v>
      </c>
      <c r="E3729" t="s">
        <v>730</v>
      </c>
    </row>
    <row r="3730" spans="1:5" hidden="1" x14ac:dyDescent="0.3">
      <c r="A3730" t="s">
        <v>557</v>
      </c>
      <c r="B3730" t="s">
        <v>729</v>
      </c>
      <c r="C3730" t="s">
        <v>311</v>
      </c>
      <c r="D3730" s="230">
        <v>-9350.5499999999993</v>
      </c>
      <c r="E3730" t="s">
        <v>730</v>
      </c>
    </row>
    <row r="3731" spans="1:5" hidden="1" x14ac:dyDescent="0.3">
      <c r="A3731" t="s">
        <v>557</v>
      </c>
      <c r="B3731" t="s">
        <v>729</v>
      </c>
      <c r="C3731" t="s">
        <v>312</v>
      </c>
      <c r="D3731" s="230">
        <v>0</v>
      </c>
      <c r="E3731" t="s">
        <v>730</v>
      </c>
    </row>
    <row r="3732" spans="1:5" hidden="1" x14ac:dyDescent="0.3">
      <c r="A3732" t="s">
        <v>557</v>
      </c>
      <c r="B3732" t="s">
        <v>729</v>
      </c>
      <c r="C3732" t="s">
        <v>313</v>
      </c>
      <c r="D3732" s="230">
        <v>0</v>
      </c>
      <c r="E3732" t="s">
        <v>730</v>
      </c>
    </row>
    <row r="3733" spans="1:5" hidden="1" x14ac:dyDescent="0.3">
      <c r="A3733" t="s">
        <v>557</v>
      </c>
      <c r="B3733" t="s">
        <v>729</v>
      </c>
      <c r="C3733" t="s">
        <v>314</v>
      </c>
      <c r="D3733" s="230">
        <v>0</v>
      </c>
      <c r="E3733" t="s">
        <v>730</v>
      </c>
    </row>
    <row r="3734" spans="1:5" hidden="1" x14ac:dyDescent="0.3">
      <c r="A3734" t="s">
        <v>557</v>
      </c>
      <c r="B3734" t="s">
        <v>729</v>
      </c>
      <c r="C3734" t="s">
        <v>315</v>
      </c>
      <c r="D3734" s="230">
        <v>0</v>
      </c>
      <c r="E3734" t="s">
        <v>730</v>
      </c>
    </row>
    <row r="3735" spans="1:5" hidden="1" x14ac:dyDescent="0.3">
      <c r="A3735" t="s">
        <v>557</v>
      </c>
      <c r="B3735" t="s">
        <v>729</v>
      </c>
      <c r="C3735" t="s">
        <v>316</v>
      </c>
      <c r="D3735" s="230">
        <v>0</v>
      </c>
      <c r="E3735" t="s">
        <v>730</v>
      </c>
    </row>
    <row r="3736" spans="1:5" hidden="1" x14ac:dyDescent="0.3">
      <c r="A3736" t="s">
        <v>557</v>
      </c>
      <c r="B3736" t="s">
        <v>729</v>
      </c>
      <c r="C3736" t="s">
        <v>317</v>
      </c>
      <c r="D3736" s="230">
        <v>0</v>
      </c>
      <c r="E3736" t="s">
        <v>730</v>
      </c>
    </row>
    <row r="3737" spans="1:5" hidden="1" x14ac:dyDescent="0.3">
      <c r="A3737" t="s">
        <v>557</v>
      </c>
      <c r="B3737" t="s">
        <v>729</v>
      </c>
      <c r="C3737" t="s">
        <v>44</v>
      </c>
      <c r="D3737" s="230">
        <v>-0.02</v>
      </c>
      <c r="E3737" t="s">
        <v>730</v>
      </c>
    </row>
    <row r="3738" spans="1:5" hidden="1" x14ac:dyDescent="0.3">
      <c r="A3738" t="s">
        <v>557</v>
      </c>
      <c r="B3738" t="s">
        <v>729</v>
      </c>
      <c r="C3738" t="s">
        <v>318</v>
      </c>
      <c r="D3738" s="230">
        <v>-2183.04</v>
      </c>
      <c r="E3738" t="s">
        <v>730</v>
      </c>
    </row>
    <row r="3739" spans="1:5" hidden="1" x14ac:dyDescent="0.3">
      <c r="A3739" t="s">
        <v>557</v>
      </c>
      <c r="B3739" t="s">
        <v>729</v>
      </c>
      <c r="C3739" t="s">
        <v>319</v>
      </c>
      <c r="D3739" s="230">
        <v>-2183.04</v>
      </c>
      <c r="E3739" t="s">
        <v>730</v>
      </c>
    </row>
    <row r="3740" spans="1:5" hidden="1" x14ac:dyDescent="0.3">
      <c r="A3740" t="s">
        <v>557</v>
      </c>
      <c r="B3740" t="s">
        <v>729</v>
      </c>
      <c r="C3740" t="s">
        <v>320</v>
      </c>
      <c r="D3740" s="230">
        <v>0</v>
      </c>
      <c r="E3740" t="s">
        <v>730</v>
      </c>
    </row>
    <row r="3741" spans="1:5" hidden="1" x14ac:dyDescent="0.3">
      <c r="A3741" t="s">
        <v>557</v>
      </c>
      <c r="B3741" t="s">
        <v>729</v>
      </c>
      <c r="C3741" t="s">
        <v>321</v>
      </c>
      <c r="D3741" s="230">
        <v>0</v>
      </c>
      <c r="E3741" t="s">
        <v>730</v>
      </c>
    </row>
    <row r="3742" spans="1:5" hidden="1" x14ac:dyDescent="0.3">
      <c r="A3742" t="s">
        <v>557</v>
      </c>
      <c r="B3742" t="s">
        <v>729</v>
      </c>
      <c r="C3742" t="s">
        <v>322</v>
      </c>
      <c r="D3742" s="230">
        <v>0</v>
      </c>
      <c r="E3742" t="s">
        <v>730</v>
      </c>
    </row>
    <row r="3743" spans="1:5" hidden="1" x14ac:dyDescent="0.3">
      <c r="A3743" t="s">
        <v>557</v>
      </c>
      <c r="B3743" t="s">
        <v>729</v>
      </c>
      <c r="C3743" t="s">
        <v>44</v>
      </c>
      <c r="D3743" s="230">
        <v>0</v>
      </c>
      <c r="E3743" t="s">
        <v>730</v>
      </c>
    </row>
    <row r="3744" spans="1:5" hidden="1" x14ac:dyDescent="0.3">
      <c r="A3744" t="s">
        <v>557</v>
      </c>
      <c r="B3744" t="s">
        <v>729</v>
      </c>
      <c r="C3744" t="s">
        <v>323</v>
      </c>
      <c r="D3744" s="230">
        <v>-35682.71</v>
      </c>
      <c r="E3744" t="s">
        <v>730</v>
      </c>
    </row>
    <row r="3745" spans="1:5" hidden="1" x14ac:dyDescent="0.3">
      <c r="A3745" t="s">
        <v>557</v>
      </c>
      <c r="B3745" t="s">
        <v>729</v>
      </c>
      <c r="C3745" t="s">
        <v>324</v>
      </c>
      <c r="D3745" s="230">
        <v>0</v>
      </c>
      <c r="E3745" t="s">
        <v>730</v>
      </c>
    </row>
    <row r="3746" spans="1:5" hidden="1" x14ac:dyDescent="0.3">
      <c r="A3746" t="s">
        <v>557</v>
      </c>
      <c r="B3746" t="s">
        <v>729</v>
      </c>
      <c r="C3746" t="s">
        <v>325</v>
      </c>
      <c r="D3746" s="230">
        <v>0</v>
      </c>
      <c r="E3746" t="s">
        <v>730</v>
      </c>
    </row>
    <row r="3747" spans="1:5" hidden="1" x14ac:dyDescent="0.3">
      <c r="A3747" t="s">
        <v>557</v>
      </c>
      <c r="B3747" t="s">
        <v>729</v>
      </c>
      <c r="C3747" t="s">
        <v>326</v>
      </c>
      <c r="D3747" s="230">
        <v>-35682.71</v>
      </c>
      <c r="E3747" t="s">
        <v>730</v>
      </c>
    </row>
    <row r="3748" spans="1:5" hidden="1" x14ac:dyDescent="0.3">
      <c r="A3748" t="s">
        <v>557</v>
      </c>
      <c r="B3748" t="s">
        <v>729</v>
      </c>
      <c r="C3748" t="s">
        <v>44</v>
      </c>
      <c r="D3748" s="230">
        <v>-0.05</v>
      </c>
      <c r="E3748" t="s">
        <v>730</v>
      </c>
    </row>
    <row r="3749" spans="1:5" hidden="1" x14ac:dyDescent="0.3">
      <c r="A3749" t="s">
        <v>557</v>
      </c>
      <c r="B3749" t="s">
        <v>729</v>
      </c>
      <c r="C3749" t="s">
        <v>328</v>
      </c>
      <c r="D3749" s="230">
        <v>-296713.74</v>
      </c>
      <c r="E3749" t="s">
        <v>730</v>
      </c>
    </row>
    <row r="3750" spans="1:5" hidden="1" x14ac:dyDescent="0.3">
      <c r="A3750" t="s">
        <v>557</v>
      </c>
      <c r="B3750" t="s">
        <v>729</v>
      </c>
      <c r="C3750" t="s">
        <v>44</v>
      </c>
      <c r="D3750" s="230">
        <v>-0.42</v>
      </c>
      <c r="E3750" t="s">
        <v>730</v>
      </c>
    </row>
    <row r="3751" spans="1:5" hidden="1" x14ac:dyDescent="0.3">
      <c r="A3751" t="s">
        <v>557</v>
      </c>
      <c r="B3751" t="s">
        <v>729</v>
      </c>
      <c r="C3751" t="s">
        <v>329</v>
      </c>
      <c r="D3751" s="230">
        <v>100119.07</v>
      </c>
      <c r="E3751" t="s">
        <v>730</v>
      </c>
    </row>
    <row r="3752" spans="1:5" hidden="1" x14ac:dyDescent="0.3">
      <c r="A3752" t="s">
        <v>557</v>
      </c>
      <c r="B3752" t="s">
        <v>729</v>
      </c>
      <c r="C3752" t="s">
        <v>44</v>
      </c>
      <c r="D3752" s="230">
        <v>0.14000000000000001</v>
      </c>
      <c r="E3752" t="s">
        <v>730</v>
      </c>
    </row>
    <row r="3753" spans="1:5" hidden="1" x14ac:dyDescent="0.3">
      <c r="A3753" t="s">
        <v>557</v>
      </c>
      <c r="B3753" t="s">
        <v>729</v>
      </c>
      <c r="C3753" t="s">
        <v>330</v>
      </c>
      <c r="D3753" s="230">
        <v>0</v>
      </c>
      <c r="E3753" t="s">
        <v>730</v>
      </c>
    </row>
    <row r="3754" spans="1:5" hidden="1" x14ac:dyDescent="0.3">
      <c r="A3754" t="s">
        <v>557</v>
      </c>
      <c r="B3754" t="s">
        <v>729</v>
      </c>
      <c r="C3754" t="s">
        <v>332</v>
      </c>
      <c r="D3754" s="230">
        <v>100119.07</v>
      </c>
      <c r="E3754" t="s">
        <v>730</v>
      </c>
    </row>
    <row r="3755" spans="1:5" hidden="1" x14ac:dyDescent="0.3">
      <c r="A3755" t="s">
        <v>557</v>
      </c>
      <c r="B3755" t="s">
        <v>729</v>
      </c>
      <c r="C3755" t="s">
        <v>333</v>
      </c>
      <c r="D3755" s="230">
        <v>8127.76</v>
      </c>
      <c r="E3755" t="s">
        <v>730</v>
      </c>
    </row>
    <row r="3756" spans="1:5" hidden="1" x14ac:dyDescent="0.3">
      <c r="A3756" t="s">
        <v>557</v>
      </c>
      <c r="B3756" t="s">
        <v>729</v>
      </c>
      <c r="C3756" t="s">
        <v>334</v>
      </c>
      <c r="D3756" s="230">
        <v>2500</v>
      </c>
      <c r="E3756" t="s">
        <v>730</v>
      </c>
    </row>
    <row r="3757" spans="1:5" hidden="1" x14ac:dyDescent="0.3">
      <c r="A3757" t="s">
        <v>557</v>
      </c>
      <c r="B3757" t="s">
        <v>729</v>
      </c>
      <c r="C3757" t="s">
        <v>336</v>
      </c>
      <c r="D3757" s="230">
        <v>0</v>
      </c>
      <c r="E3757" t="s">
        <v>730</v>
      </c>
    </row>
    <row r="3758" spans="1:5" hidden="1" x14ac:dyDescent="0.3">
      <c r="A3758" t="s">
        <v>557</v>
      </c>
      <c r="B3758" t="s">
        <v>729</v>
      </c>
      <c r="C3758" t="s">
        <v>338</v>
      </c>
      <c r="D3758" s="230">
        <v>115028.23</v>
      </c>
      <c r="E3758" t="s">
        <v>730</v>
      </c>
    </row>
    <row r="3759" spans="1:5" hidden="1" x14ac:dyDescent="0.3">
      <c r="A3759" t="s">
        <v>557</v>
      </c>
      <c r="B3759" t="s">
        <v>729</v>
      </c>
      <c r="C3759" t="s">
        <v>339</v>
      </c>
      <c r="D3759" s="230">
        <v>-19479.02</v>
      </c>
      <c r="E3759" t="s">
        <v>730</v>
      </c>
    </row>
    <row r="3760" spans="1:5" hidden="1" x14ac:dyDescent="0.3">
      <c r="A3760" t="s">
        <v>557</v>
      </c>
      <c r="B3760" t="s">
        <v>729</v>
      </c>
      <c r="C3760" t="s">
        <v>342</v>
      </c>
      <c r="D3760" s="230">
        <v>0</v>
      </c>
      <c r="E3760" t="s">
        <v>730</v>
      </c>
    </row>
    <row r="3761" spans="1:5" hidden="1" x14ac:dyDescent="0.3">
      <c r="A3761" t="s">
        <v>557</v>
      </c>
      <c r="B3761" t="s">
        <v>729</v>
      </c>
      <c r="C3761" t="s">
        <v>344</v>
      </c>
      <c r="D3761" s="230">
        <v>-7817.67</v>
      </c>
      <c r="E3761" t="s">
        <v>730</v>
      </c>
    </row>
    <row r="3762" spans="1:5" hidden="1" x14ac:dyDescent="0.3">
      <c r="A3762" t="s">
        <v>557</v>
      </c>
      <c r="B3762" t="s">
        <v>729</v>
      </c>
      <c r="C3762" t="s">
        <v>345</v>
      </c>
      <c r="D3762" s="230">
        <v>-4625.45</v>
      </c>
      <c r="E3762" t="s">
        <v>730</v>
      </c>
    </row>
    <row r="3763" spans="1:5" hidden="1" x14ac:dyDescent="0.3">
      <c r="A3763" t="s">
        <v>557</v>
      </c>
      <c r="B3763" t="s">
        <v>729</v>
      </c>
      <c r="C3763" t="s">
        <v>346</v>
      </c>
      <c r="D3763" s="230">
        <v>-7035.9</v>
      </c>
      <c r="E3763" t="s">
        <v>730</v>
      </c>
    </row>
    <row r="3764" spans="1:5" hidden="1" x14ac:dyDescent="0.3">
      <c r="A3764" t="s">
        <v>557</v>
      </c>
      <c r="B3764" t="s">
        <v>729</v>
      </c>
      <c r="C3764" t="s">
        <v>347</v>
      </c>
      <c r="D3764" s="230">
        <v>95549.21</v>
      </c>
      <c r="E3764" t="s">
        <v>730</v>
      </c>
    </row>
    <row r="3765" spans="1:5" hidden="1" x14ac:dyDescent="0.3">
      <c r="A3765" t="s">
        <v>557</v>
      </c>
      <c r="B3765" t="s">
        <v>729</v>
      </c>
      <c r="C3765" t="s">
        <v>44</v>
      </c>
      <c r="D3765" s="230">
        <v>0.13</v>
      </c>
      <c r="E3765" t="s">
        <v>730</v>
      </c>
    </row>
    <row r="3766" spans="1:5" hidden="1" x14ac:dyDescent="0.3">
      <c r="A3766" t="s">
        <v>557</v>
      </c>
      <c r="B3766" t="s">
        <v>729</v>
      </c>
      <c r="C3766" t="s">
        <v>348</v>
      </c>
      <c r="D3766" s="230">
        <v>-9710.49</v>
      </c>
      <c r="E3766" t="s">
        <v>730</v>
      </c>
    </row>
    <row r="3767" spans="1:5" hidden="1" x14ac:dyDescent="0.3">
      <c r="A3767" t="s">
        <v>557</v>
      </c>
      <c r="B3767" t="s">
        <v>729</v>
      </c>
      <c r="C3767" t="s">
        <v>707</v>
      </c>
      <c r="D3767" s="230">
        <v>-4249.6400000000003</v>
      </c>
      <c r="E3767" t="s">
        <v>730</v>
      </c>
    </row>
    <row r="3768" spans="1:5" hidden="1" x14ac:dyDescent="0.3">
      <c r="A3768" t="s">
        <v>557</v>
      </c>
      <c r="B3768" t="s">
        <v>729</v>
      </c>
      <c r="C3768" t="s">
        <v>350</v>
      </c>
      <c r="D3768" s="230">
        <v>-5460.85</v>
      </c>
      <c r="E3768" t="s">
        <v>730</v>
      </c>
    </row>
    <row r="3769" spans="1:5" hidden="1" x14ac:dyDescent="0.3">
      <c r="A3769" t="s">
        <v>557</v>
      </c>
      <c r="B3769" t="s">
        <v>729</v>
      </c>
      <c r="C3769" t="s">
        <v>351</v>
      </c>
      <c r="D3769" s="230">
        <v>0</v>
      </c>
      <c r="E3769" t="s">
        <v>730</v>
      </c>
    </row>
    <row r="3770" spans="1:5" hidden="1" x14ac:dyDescent="0.3">
      <c r="A3770" t="s">
        <v>557</v>
      </c>
      <c r="B3770" t="s">
        <v>729</v>
      </c>
      <c r="C3770" t="s">
        <v>352</v>
      </c>
      <c r="D3770" s="230">
        <v>0</v>
      </c>
      <c r="E3770" t="s">
        <v>730</v>
      </c>
    </row>
    <row r="3771" spans="1:5" hidden="1" x14ac:dyDescent="0.3">
      <c r="A3771" t="s">
        <v>557</v>
      </c>
      <c r="B3771" t="s">
        <v>729</v>
      </c>
      <c r="C3771" t="s">
        <v>353</v>
      </c>
      <c r="D3771" s="230">
        <v>0</v>
      </c>
      <c r="E3771" t="s">
        <v>730</v>
      </c>
    </row>
    <row r="3772" spans="1:5" hidden="1" x14ac:dyDescent="0.3">
      <c r="A3772" t="s">
        <v>557</v>
      </c>
      <c r="B3772" t="s">
        <v>729</v>
      </c>
      <c r="C3772" t="s">
        <v>354</v>
      </c>
      <c r="D3772" s="230">
        <v>0</v>
      </c>
      <c r="E3772" t="s">
        <v>730</v>
      </c>
    </row>
    <row r="3773" spans="1:5" hidden="1" x14ac:dyDescent="0.3">
      <c r="A3773" t="s">
        <v>557</v>
      </c>
      <c r="B3773" t="s">
        <v>729</v>
      </c>
      <c r="C3773" t="s">
        <v>355</v>
      </c>
      <c r="D3773" s="230">
        <v>0</v>
      </c>
      <c r="E3773" t="s">
        <v>730</v>
      </c>
    </row>
    <row r="3774" spans="1:5" hidden="1" x14ac:dyDescent="0.3">
      <c r="A3774" t="s">
        <v>557</v>
      </c>
      <c r="B3774" t="s">
        <v>729</v>
      </c>
      <c r="C3774" t="s">
        <v>356</v>
      </c>
      <c r="D3774" s="230">
        <v>0</v>
      </c>
      <c r="E3774" t="s">
        <v>730</v>
      </c>
    </row>
    <row r="3775" spans="1:5" hidden="1" x14ac:dyDescent="0.3">
      <c r="A3775" t="s">
        <v>557</v>
      </c>
      <c r="B3775" t="s">
        <v>729</v>
      </c>
      <c r="C3775" t="s">
        <v>357</v>
      </c>
      <c r="D3775" s="230">
        <v>0</v>
      </c>
      <c r="E3775" t="s">
        <v>730</v>
      </c>
    </row>
    <row r="3776" spans="1:5" hidden="1" x14ac:dyDescent="0.3">
      <c r="A3776" t="s">
        <v>557</v>
      </c>
      <c r="B3776" t="s">
        <v>729</v>
      </c>
      <c r="C3776" t="s">
        <v>358</v>
      </c>
      <c r="D3776" s="230">
        <v>0</v>
      </c>
      <c r="E3776" t="s">
        <v>730</v>
      </c>
    </row>
    <row r="3777" spans="1:5" hidden="1" x14ac:dyDescent="0.3">
      <c r="A3777" t="s">
        <v>557</v>
      </c>
      <c r="B3777" t="s">
        <v>729</v>
      </c>
      <c r="C3777" t="s">
        <v>359</v>
      </c>
      <c r="D3777" s="230">
        <v>0</v>
      </c>
      <c r="E3777" t="s">
        <v>730</v>
      </c>
    </row>
    <row r="3778" spans="1:5" hidden="1" x14ac:dyDescent="0.3">
      <c r="A3778" t="s">
        <v>557</v>
      </c>
      <c r="B3778" t="s">
        <v>729</v>
      </c>
      <c r="C3778" t="s">
        <v>360</v>
      </c>
      <c r="D3778" s="230">
        <v>0</v>
      </c>
      <c r="E3778" t="s">
        <v>730</v>
      </c>
    </row>
    <row r="3779" spans="1:5" hidden="1" x14ac:dyDescent="0.3">
      <c r="A3779" t="s">
        <v>557</v>
      </c>
      <c r="B3779" t="s">
        <v>729</v>
      </c>
      <c r="C3779" t="s">
        <v>361</v>
      </c>
      <c r="D3779" s="230">
        <v>0</v>
      </c>
      <c r="E3779" t="s">
        <v>730</v>
      </c>
    </row>
    <row r="3780" spans="1:5" hidden="1" x14ac:dyDescent="0.3">
      <c r="A3780" t="s">
        <v>557</v>
      </c>
      <c r="B3780" t="s">
        <v>729</v>
      </c>
      <c r="C3780" t="s">
        <v>362</v>
      </c>
      <c r="D3780" s="230">
        <v>0</v>
      </c>
      <c r="E3780" t="s">
        <v>730</v>
      </c>
    </row>
    <row r="3781" spans="1:5" hidden="1" x14ac:dyDescent="0.3">
      <c r="A3781" t="s">
        <v>557</v>
      </c>
      <c r="B3781" t="s">
        <v>729</v>
      </c>
      <c r="C3781" t="s">
        <v>363</v>
      </c>
      <c r="D3781" s="230">
        <v>0</v>
      </c>
      <c r="E3781" t="s">
        <v>730</v>
      </c>
    </row>
    <row r="3782" spans="1:5" hidden="1" x14ac:dyDescent="0.3">
      <c r="A3782" t="s">
        <v>557</v>
      </c>
      <c r="B3782" t="s">
        <v>729</v>
      </c>
      <c r="C3782" t="s">
        <v>364</v>
      </c>
      <c r="D3782" s="230">
        <v>0</v>
      </c>
      <c r="E3782" t="s">
        <v>730</v>
      </c>
    </row>
    <row r="3783" spans="1:5" hidden="1" x14ac:dyDescent="0.3">
      <c r="A3783" t="s">
        <v>557</v>
      </c>
      <c r="B3783" t="s">
        <v>729</v>
      </c>
      <c r="C3783" t="s">
        <v>365</v>
      </c>
      <c r="D3783" s="230">
        <v>0</v>
      </c>
      <c r="E3783" t="s">
        <v>730</v>
      </c>
    </row>
    <row r="3784" spans="1:5" hidden="1" x14ac:dyDescent="0.3">
      <c r="A3784" t="s">
        <v>557</v>
      </c>
      <c r="B3784" t="s">
        <v>729</v>
      </c>
      <c r="C3784" t="s">
        <v>366</v>
      </c>
      <c r="D3784" s="230">
        <v>0</v>
      </c>
      <c r="E3784" t="s">
        <v>730</v>
      </c>
    </row>
    <row r="3785" spans="1:5" hidden="1" x14ac:dyDescent="0.3">
      <c r="A3785" t="s">
        <v>557</v>
      </c>
      <c r="B3785" t="s">
        <v>729</v>
      </c>
      <c r="C3785" t="s">
        <v>367</v>
      </c>
      <c r="D3785" s="230">
        <v>0</v>
      </c>
      <c r="E3785" t="s">
        <v>730</v>
      </c>
    </row>
    <row r="3786" spans="1:5" hidden="1" x14ac:dyDescent="0.3">
      <c r="A3786" t="s">
        <v>557</v>
      </c>
      <c r="B3786" t="s">
        <v>729</v>
      </c>
      <c r="C3786" t="s">
        <v>368</v>
      </c>
      <c r="D3786" s="230">
        <v>0</v>
      </c>
      <c r="E3786" t="s">
        <v>730</v>
      </c>
    </row>
    <row r="3787" spans="1:5" hidden="1" x14ac:dyDescent="0.3">
      <c r="A3787" t="s">
        <v>557</v>
      </c>
      <c r="B3787" t="s">
        <v>729</v>
      </c>
      <c r="C3787" t="s">
        <v>369</v>
      </c>
      <c r="D3787" s="230">
        <v>0</v>
      </c>
      <c r="E3787" t="s">
        <v>730</v>
      </c>
    </row>
    <row r="3788" spans="1:5" hidden="1" x14ac:dyDescent="0.3">
      <c r="A3788" t="s">
        <v>557</v>
      </c>
      <c r="B3788" t="s">
        <v>729</v>
      </c>
      <c r="C3788" t="s">
        <v>370</v>
      </c>
      <c r="D3788" s="230">
        <v>0</v>
      </c>
      <c r="E3788" t="s">
        <v>730</v>
      </c>
    </row>
    <row r="3789" spans="1:5" hidden="1" x14ac:dyDescent="0.3">
      <c r="A3789" t="s">
        <v>557</v>
      </c>
      <c r="B3789" t="s">
        <v>729</v>
      </c>
      <c r="C3789" t="s">
        <v>371</v>
      </c>
      <c r="D3789" s="230">
        <v>0</v>
      </c>
      <c r="E3789" t="s">
        <v>730</v>
      </c>
    </row>
    <row r="3790" spans="1:5" hidden="1" x14ac:dyDescent="0.3">
      <c r="A3790" t="s">
        <v>557</v>
      </c>
      <c r="B3790" t="s">
        <v>729</v>
      </c>
      <c r="C3790" t="s">
        <v>372</v>
      </c>
      <c r="D3790" s="230">
        <v>0</v>
      </c>
      <c r="E3790" t="s">
        <v>730</v>
      </c>
    </row>
    <row r="3791" spans="1:5" hidden="1" x14ac:dyDescent="0.3">
      <c r="A3791" t="s">
        <v>557</v>
      </c>
      <c r="B3791" t="s">
        <v>729</v>
      </c>
      <c r="C3791" t="s">
        <v>373</v>
      </c>
      <c r="D3791" s="230">
        <v>0</v>
      </c>
      <c r="E3791" t="s">
        <v>730</v>
      </c>
    </row>
    <row r="3792" spans="1:5" hidden="1" x14ac:dyDescent="0.3">
      <c r="A3792" t="s">
        <v>557</v>
      </c>
      <c r="B3792" t="s">
        <v>729</v>
      </c>
      <c r="C3792" t="s">
        <v>374</v>
      </c>
      <c r="D3792" s="230">
        <v>0</v>
      </c>
      <c r="E3792" t="s">
        <v>730</v>
      </c>
    </row>
    <row r="3793" spans="1:5" hidden="1" x14ac:dyDescent="0.3">
      <c r="A3793" t="s">
        <v>557</v>
      </c>
      <c r="B3793" t="s">
        <v>729</v>
      </c>
      <c r="C3793" t="s">
        <v>708</v>
      </c>
      <c r="D3793" s="230">
        <v>0</v>
      </c>
      <c r="E3793" t="s">
        <v>730</v>
      </c>
    </row>
    <row r="3794" spans="1:5" hidden="1" x14ac:dyDescent="0.3">
      <c r="A3794" t="s">
        <v>557</v>
      </c>
      <c r="B3794" t="s">
        <v>731</v>
      </c>
      <c r="C3794" t="s">
        <v>11</v>
      </c>
      <c r="D3794" s="230">
        <v>5328982.55</v>
      </c>
      <c r="E3794" t="s">
        <v>731</v>
      </c>
    </row>
    <row r="3795" spans="1:5" hidden="1" x14ac:dyDescent="0.3">
      <c r="A3795" t="s">
        <v>557</v>
      </c>
      <c r="B3795" t="s">
        <v>731</v>
      </c>
      <c r="C3795" t="s">
        <v>13</v>
      </c>
      <c r="D3795" s="230">
        <v>2620357.86</v>
      </c>
      <c r="E3795" t="s">
        <v>731</v>
      </c>
    </row>
    <row r="3796" spans="1:5" hidden="1" x14ac:dyDescent="0.3">
      <c r="A3796" t="s">
        <v>557</v>
      </c>
      <c r="B3796" t="s">
        <v>731</v>
      </c>
      <c r="C3796" t="s">
        <v>16</v>
      </c>
      <c r="D3796" s="230">
        <v>1424477.26</v>
      </c>
      <c r="E3796" t="s">
        <v>731</v>
      </c>
    </row>
    <row r="3797" spans="1:5" hidden="1" x14ac:dyDescent="0.3">
      <c r="A3797" t="s">
        <v>557</v>
      </c>
      <c r="B3797" t="s">
        <v>731</v>
      </c>
      <c r="C3797" t="s">
        <v>17</v>
      </c>
      <c r="D3797" s="230">
        <v>100277</v>
      </c>
      <c r="E3797" t="s">
        <v>731</v>
      </c>
    </row>
    <row r="3798" spans="1:5" hidden="1" x14ac:dyDescent="0.3">
      <c r="A3798" t="s">
        <v>557</v>
      </c>
      <c r="B3798" t="s">
        <v>731</v>
      </c>
      <c r="C3798" t="s">
        <v>18</v>
      </c>
      <c r="D3798" s="230">
        <v>2080.5</v>
      </c>
      <c r="E3798" t="s">
        <v>731</v>
      </c>
    </row>
    <row r="3799" spans="1:5" hidden="1" x14ac:dyDescent="0.3">
      <c r="A3799" t="s">
        <v>557</v>
      </c>
      <c r="B3799" t="s">
        <v>731</v>
      </c>
      <c r="C3799" t="s">
        <v>20</v>
      </c>
      <c r="D3799" s="230">
        <v>522059.26</v>
      </c>
      <c r="E3799" t="s">
        <v>731</v>
      </c>
    </row>
    <row r="3800" spans="1:5" hidden="1" x14ac:dyDescent="0.3">
      <c r="A3800" t="s">
        <v>557</v>
      </c>
      <c r="B3800" t="s">
        <v>731</v>
      </c>
      <c r="C3800" t="s">
        <v>23</v>
      </c>
      <c r="D3800" s="230">
        <v>439313.3</v>
      </c>
      <c r="E3800" t="s">
        <v>731</v>
      </c>
    </row>
    <row r="3801" spans="1:5" hidden="1" x14ac:dyDescent="0.3">
      <c r="A3801" t="s">
        <v>557</v>
      </c>
      <c r="B3801" t="s">
        <v>731</v>
      </c>
      <c r="C3801" t="s">
        <v>25</v>
      </c>
      <c r="D3801" s="230">
        <v>4500</v>
      </c>
      <c r="E3801" t="s">
        <v>731</v>
      </c>
    </row>
    <row r="3802" spans="1:5" hidden="1" x14ac:dyDescent="0.3">
      <c r="A3802" t="s">
        <v>557</v>
      </c>
      <c r="B3802" t="s">
        <v>731</v>
      </c>
      <c r="C3802" t="s">
        <v>26</v>
      </c>
      <c r="D3802" s="230">
        <v>192929.85</v>
      </c>
      <c r="E3802" t="s">
        <v>731</v>
      </c>
    </row>
    <row r="3803" spans="1:5" hidden="1" x14ac:dyDescent="0.3">
      <c r="A3803" t="s">
        <v>557</v>
      </c>
      <c r="B3803" t="s">
        <v>731</v>
      </c>
      <c r="C3803" t="s">
        <v>27</v>
      </c>
      <c r="D3803" s="230">
        <v>0</v>
      </c>
      <c r="E3803" t="s">
        <v>731</v>
      </c>
    </row>
    <row r="3804" spans="1:5" hidden="1" x14ac:dyDescent="0.3">
      <c r="A3804" t="s">
        <v>557</v>
      </c>
      <c r="B3804" t="s">
        <v>731</v>
      </c>
      <c r="C3804" t="s">
        <v>29</v>
      </c>
      <c r="D3804" s="230">
        <v>22801.13</v>
      </c>
      <c r="E3804" t="s">
        <v>731</v>
      </c>
    </row>
    <row r="3805" spans="1:5" hidden="1" x14ac:dyDescent="0.3">
      <c r="A3805" t="s">
        <v>557</v>
      </c>
      <c r="B3805" t="s">
        <v>731</v>
      </c>
      <c r="C3805" t="s">
        <v>31</v>
      </c>
      <c r="D3805" s="230">
        <v>186.4</v>
      </c>
      <c r="E3805" t="s">
        <v>731</v>
      </c>
    </row>
    <row r="3806" spans="1:5" hidden="1" x14ac:dyDescent="0.3">
      <c r="A3806" t="s">
        <v>557</v>
      </c>
      <c r="B3806" t="s">
        <v>731</v>
      </c>
      <c r="C3806" t="s">
        <v>34</v>
      </c>
      <c r="D3806" s="230">
        <v>-146467.82</v>
      </c>
      <c r="E3806" t="s">
        <v>731</v>
      </c>
    </row>
    <row r="3807" spans="1:5" hidden="1" x14ac:dyDescent="0.3">
      <c r="A3807" t="s">
        <v>557</v>
      </c>
      <c r="B3807" t="s">
        <v>731</v>
      </c>
      <c r="C3807" t="s">
        <v>38</v>
      </c>
      <c r="D3807" s="230">
        <v>-146467.82</v>
      </c>
      <c r="E3807" t="s">
        <v>731</v>
      </c>
    </row>
    <row r="3808" spans="1:5" hidden="1" x14ac:dyDescent="0.3">
      <c r="A3808" t="s">
        <v>557</v>
      </c>
      <c r="B3808" t="s">
        <v>731</v>
      </c>
      <c r="C3808" t="s">
        <v>40</v>
      </c>
      <c r="D3808" s="230">
        <v>0</v>
      </c>
      <c r="E3808" t="s">
        <v>731</v>
      </c>
    </row>
    <row r="3809" spans="1:5" hidden="1" x14ac:dyDescent="0.3">
      <c r="A3809" t="s">
        <v>557</v>
      </c>
      <c r="B3809" t="s">
        <v>731</v>
      </c>
      <c r="C3809" t="s">
        <v>42</v>
      </c>
      <c r="D3809" s="230">
        <v>0</v>
      </c>
      <c r="E3809" t="s">
        <v>731</v>
      </c>
    </row>
    <row r="3810" spans="1:5" hidden="1" x14ac:dyDescent="0.3">
      <c r="A3810" t="s">
        <v>557</v>
      </c>
      <c r="B3810" t="s">
        <v>731</v>
      </c>
      <c r="C3810" t="s">
        <v>44</v>
      </c>
      <c r="D3810" s="230">
        <v>-0.03</v>
      </c>
      <c r="E3810" t="s">
        <v>731</v>
      </c>
    </row>
    <row r="3811" spans="1:5" hidden="1" x14ac:dyDescent="0.3">
      <c r="A3811" t="s">
        <v>557</v>
      </c>
      <c r="B3811" t="s">
        <v>731</v>
      </c>
      <c r="C3811" t="s">
        <v>45</v>
      </c>
      <c r="D3811" s="230">
        <v>-332162.69</v>
      </c>
      <c r="E3811" t="s">
        <v>731</v>
      </c>
    </row>
    <row r="3812" spans="1:5" hidden="1" x14ac:dyDescent="0.3">
      <c r="A3812" t="s">
        <v>557</v>
      </c>
      <c r="B3812" t="s">
        <v>731</v>
      </c>
      <c r="C3812" t="s">
        <v>46</v>
      </c>
      <c r="D3812" s="230">
        <v>-170106.62</v>
      </c>
      <c r="E3812" t="s">
        <v>731</v>
      </c>
    </row>
    <row r="3813" spans="1:5" hidden="1" x14ac:dyDescent="0.3">
      <c r="A3813" t="s">
        <v>557</v>
      </c>
      <c r="B3813" t="s">
        <v>731</v>
      </c>
      <c r="C3813" t="s">
        <v>48</v>
      </c>
      <c r="D3813" s="230">
        <v>-135076.54999999999</v>
      </c>
      <c r="E3813" t="s">
        <v>731</v>
      </c>
    </row>
    <row r="3814" spans="1:5" hidden="1" x14ac:dyDescent="0.3">
      <c r="A3814" t="s">
        <v>557</v>
      </c>
      <c r="B3814" t="s">
        <v>731</v>
      </c>
      <c r="C3814" t="s">
        <v>49</v>
      </c>
      <c r="D3814" s="230">
        <v>-26979.52</v>
      </c>
      <c r="E3814" t="s">
        <v>731</v>
      </c>
    </row>
    <row r="3815" spans="1:5" hidden="1" x14ac:dyDescent="0.3">
      <c r="A3815" t="s">
        <v>557</v>
      </c>
      <c r="B3815" t="s">
        <v>731</v>
      </c>
      <c r="C3815" t="s">
        <v>50</v>
      </c>
      <c r="D3815" s="230">
        <v>4850352.04</v>
      </c>
      <c r="E3815" t="s">
        <v>731</v>
      </c>
    </row>
    <row r="3816" spans="1:5" hidden="1" x14ac:dyDescent="0.3">
      <c r="A3816" t="s">
        <v>557</v>
      </c>
      <c r="B3816" t="s">
        <v>731</v>
      </c>
      <c r="C3816" t="s">
        <v>51</v>
      </c>
      <c r="D3816" s="230">
        <v>-1389243.24</v>
      </c>
      <c r="E3816" t="s">
        <v>731</v>
      </c>
    </row>
    <row r="3817" spans="1:5" hidden="1" x14ac:dyDescent="0.3">
      <c r="A3817" t="s">
        <v>557</v>
      </c>
      <c r="B3817" t="s">
        <v>731</v>
      </c>
      <c r="C3817" t="s">
        <v>52</v>
      </c>
      <c r="D3817" s="230">
        <v>-1020948.67</v>
      </c>
      <c r="E3817" t="s">
        <v>731</v>
      </c>
    </row>
    <row r="3818" spans="1:5" hidden="1" x14ac:dyDescent="0.3">
      <c r="A3818" t="s">
        <v>557</v>
      </c>
      <c r="B3818" t="s">
        <v>731</v>
      </c>
      <c r="C3818" t="s">
        <v>53</v>
      </c>
      <c r="D3818" s="230">
        <v>-367443.06</v>
      </c>
      <c r="E3818" t="s">
        <v>731</v>
      </c>
    </row>
    <row r="3819" spans="1:5" hidden="1" x14ac:dyDescent="0.3">
      <c r="A3819" t="s">
        <v>557</v>
      </c>
      <c r="B3819" t="s">
        <v>731</v>
      </c>
      <c r="C3819" t="s">
        <v>54</v>
      </c>
      <c r="D3819" s="230">
        <v>-851.51</v>
      </c>
      <c r="E3819" t="s">
        <v>731</v>
      </c>
    </row>
    <row r="3820" spans="1:5" hidden="1" x14ac:dyDescent="0.3">
      <c r="A3820" t="s">
        <v>557</v>
      </c>
      <c r="B3820" t="s">
        <v>731</v>
      </c>
      <c r="C3820" t="s">
        <v>23</v>
      </c>
      <c r="D3820" s="230">
        <v>0</v>
      </c>
      <c r="E3820" t="s">
        <v>731</v>
      </c>
    </row>
    <row r="3821" spans="1:5" hidden="1" x14ac:dyDescent="0.3">
      <c r="A3821" t="s">
        <v>557</v>
      </c>
      <c r="B3821" t="s">
        <v>731</v>
      </c>
      <c r="C3821" t="s">
        <v>44</v>
      </c>
      <c r="D3821" s="230">
        <v>-0.31</v>
      </c>
      <c r="E3821" t="s">
        <v>731</v>
      </c>
    </row>
    <row r="3822" spans="1:5" hidden="1" x14ac:dyDescent="0.3">
      <c r="A3822" t="s">
        <v>557</v>
      </c>
      <c r="B3822" t="s">
        <v>731</v>
      </c>
      <c r="C3822" t="s">
        <v>55</v>
      </c>
      <c r="D3822" s="230">
        <v>-0.28999999999999998</v>
      </c>
      <c r="E3822" t="s">
        <v>731</v>
      </c>
    </row>
    <row r="3823" spans="1:5" hidden="1" x14ac:dyDescent="0.3">
      <c r="A3823" t="s">
        <v>557</v>
      </c>
      <c r="B3823" t="s">
        <v>731</v>
      </c>
      <c r="C3823" t="s">
        <v>56</v>
      </c>
      <c r="D3823" s="230">
        <v>-105530.28</v>
      </c>
      <c r="E3823" t="s">
        <v>731</v>
      </c>
    </row>
    <row r="3824" spans="1:5" hidden="1" x14ac:dyDescent="0.3">
      <c r="A3824" t="s">
        <v>557</v>
      </c>
      <c r="B3824" t="s">
        <v>731</v>
      </c>
      <c r="C3824" t="s">
        <v>57</v>
      </c>
      <c r="D3824" s="230">
        <v>-96280.28</v>
      </c>
      <c r="E3824" t="s">
        <v>731</v>
      </c>
    </row>
    <row r="3825" spans="1:5" hidden="1" x14ac:dyDescent="0.3">
      <c r="A3825" t="s">
        <v>557</v>
      </c>
      <c r="B3825" t="s">
        <v>731</v>
      </c>
      <c r="C3825" t="s">
        <v>58</v>
      </c>
      <c r="D3825" s="230">
        <v>-92446.06</v>
      </c>
      <c r="E3825" t="s">
        <v>731</v>
      </c>
    </row>
    <row r="3826" spans="1:5" hidden="1" x14ac:dyDescent="0.3">
      <c r="A3826" t="s">
        <v>557</v>
      </c>
      <c r="B3826" t="s">
        <v>731</v>
      </c>
      <c r="C3826" t="s">
        <v>59</v>
      </c>
      <c r="D3826" s="230">
        <v>-3834.22</v>
      </c>
      <c r="E3826" t="s">
        <v>731</v>
      </c>
    </row>
    <row r="3827" spans="1:5" hidden="1" x14ac:dyDescent="0.3">
      <c r="A3827" t="s">
        <v>557</v>
      </c>
      <c r="B3827" t="s">
        <v>731</v>
      </c>
      <c r="C3827" t="s">
        <v>61</v>
      </c>
      <c r="D3827" s="230">
        <v>0</v>
      </c>
      <c r="E3827" t="s">
        <v>731</v>
      </c>
    </row>
    <row r="3828" spans="1:5" hidden="1" x14ac:dyDescent="0.3">
      <c r="A3828" t="s">
        <v>557</v>
      </c>
      <c r="B3828" t="s">
        <v>731</v>
      </c>
      <c r="C3828" t="s">
        <v>62</v>
      </c>
      <c r="D3828" s="230">
        <v>0</v>
      </c>
      <c r="E3828" t="s">
        <v>731</v>
      </c>
    </row>
    <row r="3829" spans="1:5" hidden="1" x14ac:dyDescent="0.3">
      <c r="A3829" t="s">
        <v>557</v>
      </c>
      <c r="B3829" t="s">
        <v>731</v>
      </c>
      <c r="C3829" t="s">
        <v>64</v>
      </c>
      <c r="D3829" s="230">
        <v>0</v>
      </c>
      <c r="E3829" t="s">
        <v>731</v>
      </c>
    </row>
    <row r="3830" spans="1:5" hidden="1" x14ac:dyDescent="0.3">
      <c r="A3830" t="s">
        <v>557</v>
      </c>
      <c r="B3830" t="s">
        <v>731</v>
      </c>
      <c r="C3830" t="s">
        <v>65</v>
      </c>
      <c r="D3830" s="230">
        <v>-9250</v>
      </c>
      <c r="E3830" t="s">
        <v>731</v>
      </c>
    </row>
    <row r="3831" spans="1:5" hidden="1" x14ac:dyDescent="0.3">
      <c r="A3831" t="s">
        <v>557</v>
      </c>
      <c r="B3831" t="s">
        <v>731</v>
      </c>
      <c r="C3831" t="s">
        <v>66</v>
      </c>
      <c r="D3831" s="230">
        <v>-9250</v>
      </c>
      <c r="E3831" t="s">
        <v>731</v>
      </c>
    </row>
    <row r="3832" spans="1:5" hidden="1" x14ac:dyDescent="0.3">
      <c r="A3832" t="s">
        <v>557</v>
      </c>
      <c r="B3832" t="s">
        <v>731</v>
      </c>
      <c r="C3832" t="s">
        <v>68</v>
      </c>
      <c r="D3832" s="230">
        <v>0</v>
      </c>
      <c r="E3832" t="s">
        <v>731</v>
      </c>
    </row>
    <row r="3833" spans="1:5" hidden="1" x14ac:dyDescent="0.3">
      <c r="A3833" t="s">
        <v>557</v>
      </c>
      <c r="B3833" t="s">
        <v>731</v>
      </c>
      <c r="C3833" t="s">
        <v>69</v>
      </c>
      <c r="D3833" s="230">
        <v>0</v>
      </c>
      <c r="E3833" t="s">
        <v>731</v>
      </c>
    </row>
    <row r="3834" spans="1:5" hidden="1" x14ac:dyDescent="0.3">
      <c r="A3834" t="s">
        <v>557</v>
      </c>
      <c r="B3834" t="s">
        <v>731</v>
      </c>
      <c r="C3834" t="s">
        <v>70</v>
      </c>
      <c r="D3834" s="230">
        <v>-1.05</v>
      </c>
      <c r="E3834" t="s">
        <v>731</v>
      </c>
    </row>
    <row r="3835" spans="1:5" hidden="1" x14ac:dyDescent="0.3">
      <c r="A3835" t="s">
        <v>557</v>
      </c>
      <c r="B3835" t="s">
        <v>731</v>
      </c>
      <c r="C3835" t="s">
        <v>44</v>
      </c>
      <c r="D3835" s="230">
        <v>-0.02</v>
      </c>
      <c r="E3835" t="s">
        <v>731</v>
      </c>
    </row>
    <row r="3836" spans="1:5" hidden="1" x14ac:dyDescent="0.3">
      <c r="A3836" t="s">
        <v>557</v>
      </c>
      <c r="B3836" t="s">
        <v>731</v>
      </c>
      <c r="C3836" t="s">
        <v>71</v>
      </c>
      <c r="D3836" s="230">
        <v>-1500</v>
      </c>
      <c r="E3836" t="s">
        <v>731</v>
      </c>
    </row>
    <row r="3837" spans="1:5" hidden="1" x14ac:dyDescent="0.3">
      <c r="A3837" t="s">
        <v>557</v>
      </c>
      <c r="B3837" t="s">
        <v>731</v>
      </c>
      <c r="C3837" t="s">
        <v>72</v>
      </c>
      <c r="D3837" s="230">
        <v>-1500</v>
      </c>
      <c r="E3837" t="s">
        <v>731</v>
      </c>
    </row>
    <row r="3838" spans="1:5" hidden="1" x14ac:dyDescent="0.3">
      <c r="A3838" t="s">
        <v>557</v>
      </c>
      <c r="B3838" t="s">
        <v>731</v>
      </c>
      <c r="C3838" t="s">
        <v>73</v>
      </c>
      <c r="D3838" s="230">
        <v>0</v>
      </c>
      <c r="E3838" t="s">
        <v>731</v>
      </c>
    </row>
    <row r="3839" spans="1:5" hidden="1" x14ac:dyDescent="0.3">
      <c r="A3839" t="s">
        <v>557</v>
      </c>
      <c r="B3839" t="s">
        <v>731</v>
      </c>
      <c r="C3839" t="s">
        <v>75</v>
      </c>
      <c r="D3839" s="230">
        <v>-1500</v>
      </c>
      <c r="E3839" t="s">
        <v>731</v>
      </c>
    </row>
    <row r="3840" spans="1:5" hidden="1" x14ac:dyDescent="0.3">
      <c r="A3840" t="s">
        <v>557</v>
      </c>
      <c r="B3840" t="s">
        <v>731</v>
      </c>
      <c r="C3840" t="s">
        <v>77</v>
      </c>
      <c r="D3840" s="230">
        <v>0</v>
      </c>
      <c r="E3840" t="s">
        <v>731</v>
      </c>
    </row>
    <row r="3841" spans="1:5" hidden="1" x14ac:dyDescent="0.3">
      <c r="A3841" t="s">
        <v>557</v>
      </c>
      <c r="B3841" t="s">
        <v>731</v>
      </c>
      <c r="C3841" t="s">
        <v>78</v>
      </c>
      <c r="D3841" s="230">
        <v>0</v>
      </c>
      <c r="E3841" t="s">
        <v>731</v>
      </c>
    </row>
    <row r="3842" spans="1:5" hidden="1" x14ac:dyDescent="0.3">
      <c r="A3842" t="s">
        <v>557</v>
      </c>
      <c r="B3842" t="s">
        <v>731</v>
      </c>
      <c r="C3842" t="s">
        <v>80</v>
      </c>
      <c r="D3842" s="230">
        <v>0</v>
      </c>
      <c r="E3842" t="s">
        <v>731</v>
      </c>
    </row>
    <row r="3843" spans="1:5" hidden="1" x14ac:dyDescent="0.3">
      <c r="A3843" t="s">
        <v>557</v>
      </c>
      <c r="B3843" t="s">
        <v>731</v>
      </c>
      <c r="C3843" t="s">
        <v>82</v>
      </c>
      <c r="D3843" s="230">
        <v>0</v>
      </c>
      <c r="E3843" t="s">
        <v>731</v>
      </c>
    </row>
    <row r="3844" spans="1:5" hidden="1" x14ac:dyDescent="0.3">
      <c r="A3844" t="s">
        <v>557</v>
      </c>
      <c r="B3844" t="s">
        <v>731</v>
      </c>
      <c r="C3844" t="s">
        <v>84</v>
      </c>
      <c r="D3844" s="230">
        <v>0</v>
      </c>
      <c r="E3844" t="s">
        <v>731</v>
      </c>
    </row>
    <row r="3845" spans="1:5" hidden="1" x14ac:dyDescent="0.3">
      <c r="A3845" t="s">
        <v>557</v>
      </c>
      <c r="B3845" t="s">
        <v>731</v>
      </c>
      <c r="C3845" t="s">
        <v>85</v>
      </c>
      <c r="D3845" s="230">
        <v>0</v>
      </c>
      <c r="E3845" t="s">
        <v>731</v>
      </c>
    </row>
    <row r="3846" spans="1:5" hidden="1" x14ac:dyDescent="0.3">
      <c r="A3846" t="s">
        <v>557</v>
      </c>
      <c r="B3846" t="s">
        <v>731</v>
      </c>
      <c r="C3846" t="s">
        <v>86</v>
      </c>
      <c r="D3846" s="230">
        <v>0</v>
      </c>
      <c r="E3846" t="s">
        <v>731</v>
      </c>
    </row>
    <row r="3847" spans="1:5" hidden="1" x14ac:dyDescent="0.3">
      <c r="A3847" t="s">
        <v>557</v>
      </c>
      <c r="B3847" t="s">
        <v>731</v>
      </c>
      <c r="C3847" t="s">
        <v>87</v>
      </c>
      <c r="D3847" s="230">
        <v>0</v>
      </c>
      <c r="E3847" t="s">
        <v>731</v>
      </c>
    </row>
    <row r="3848" spans="1:5" hidden="1" x14ac:dyDescent="0.3">
      <c r="A3848" t="s">
        <v>557</v>
      </c>
      <c r="B3848" t="s">
        <v>731</v>
      </c>
      <c r="C3848" t="s">
        <v>88</v>
      </c>
      <c r="D3848" s="230">
        <v>0</v>
      </c>
      <c r="E3848" t="s">
        <v>731</v>
      </c>
    </row>
    <row r="3849" spans="1:5" hidden="1" x14ac:dyDescent="0.3">
      <c r="A3849" t="s">
        <v>557</v>
      </c>
      <c r="B3849" t="s">
        <v>731</v>
      </c>
      <c r="C3849" t="s">
        <v>89</v>
      </c>
      <c r="D3849" s="230">
        <v>0</v>
      </c>
      <c r="E3849" t="s">
        <v>731</v>
      </c>
    </row>
    <row r="3850" spans="1:5" hidden="1" x14ac:dyDescent="0.3">
      <c r="A3850" t="s">
        <v>557</v>
      </c>
      <c r="B3850" t="s">
        <v>731</v>
      </c>
      <c r="C3850" t="s">
        <v>90</v>
      </c>
      <c r="D3850" s="230">
        <v>0</v>
      </c>
      <c r="E3850" t="s">
        <v>731</v>
      </c>
    </row>
    <row r="3851" spans="1:5" hidden="1" x14ac:dyDescent="0.3">
      <c r="A3851" t="s">
        <v>557</v>
      </c>
      <c r="B3851" t="s">
        <v>731</v>
      </c>
      <c r="C3851" t="s">
        <v>91</v>
      </c>
      <c r="D3851" s="230">
        <v>0</v>
      </c>
      <c r="E3851" t="s">
        <v>731</v>
      </c>
    </row>
    <row r="3852" spans="1:5" hidden="1" x14ac:dyDescent="0.3">
      <c r="A3852" t="s">
        <v>557</v>
      </c>
      <c r="B3852" t="s">
        <v>731</v>
      </c>
      <c r="C3852" t="s">
        <v>93</v>
      </c>
      <c r="D3852" s="230">
        <v>0</v>
      </c>
      <c r="E3852" t="s">
        <v>731</v>
      </c>
    </row>
    <row r="3853" spans="1:5" hidden="1" x14ac:dyDescent="0.3">
      <c r="A3853" t="s">
        <v>557</v>
      </c>
      <c r="B3853" t="s">
        <v>731</v>
      </c>
      <c r="C3853" t="s">
        <v>95</v>
      </c>
      <c r="D3853" s="230">
        <v>0</v>
      </c>
      <c r="E3853" t="s">
        <v>731</v>
      </c>
    </row>
    <row r="3854" spans="1:5" hidden="1" x14ac:dyDescent="0.3">
      <c r="A3854" t="s">
        <v>557</v>
      </c>
      <c r="B3854" t="s">
        <v>731</v>
      </c>
      <c r="C3854" t="s">
        <v>96</v>
      </c>
      <c r="D3854" s="230">
        <v>0</v>
      </c>
      <c r="E3854" t="s">
        <v>731</v>
      </c>
    </row>
    <row r="3855" spans="1:5" hidden="1" x14ac:dyDescent="0.3">
      <c r="A3855" t="s">
        <v>557</v>
      </c>
      <c r="B3855" t="s">
        <v>731</v>
      </c>
      <c r="C3855" t="s">
        <v>98</v>
      </c>
      <c r="D3855" s="230">
        <v>0</v>
      </c>
      <c r="E3855" t="s">
        <v>731</v>
      </c>
    </row>
    <row r="3856" spans="1:5" hidden="1" x14ac:dyDescent="0.3">
      <c r="A3856" t="s">
        <v>557</v>
      </c>
      <c r="B3856" t="s">
        <v>731</v>
      </c>
      <c r="C3856" t="s">
        <v>100</v>
      </c>
      <c r="D3856" s="230">
        <v>0</v>
      </c>
      <c r="E3856" t="s">
        <v>731</v>
      </c>
    </row>
    <row r="3857" spans="1:5" hidden="1" x14ac:dyDescent="0.3">
      <c r="A3857" t="s">
        <v>557</v>
      </c>
      <c r="B3857" t="s">
        <v>731</v>
      </c>
      <c r="C3857" t="s">
        <v>101</v>
      </c>
      <c r="D3857" s="230">
        <v>0</v>
      </c>
      <c r="E3857" t="s">
        <v>731</v>
      </c>
    </row>
    <row r="3858" spans="1:5" hidden="1" x14ac:dyDescent="0.3">
      <c r="A3858" t="s">
        <v>557</v>
      </c>
      <c r="B3858" t="s">
        <v>731</v>
      </c>
      <c r="C3858" t="s">
        <v>102</v>
      </c>
      <c r="D3858" s="230">
        <v>0</v>
      </c>
      <c r="E3858" t="s">
        <v>731</v>
      </c>
    </row>
    <row r="3859" spans="1:5" hidden="1" x14ac:dyDescent="0.3">
      <c r="A3859" t="s">
        <v>557</v>
      </c>
      <c r="B3859" t="s">
        <v>731</v>
      </c>
      <c r="C3859" t="s">
        <v>103</v>
      </c>
      <c r="D3859" s="230">
        <v>0</v>
      </c>
      <c r="E3859" t="s">
        <v>731</v>
      </c>
    </row>
    <row r="3860" spans="1:5" hidden="1" x14ac:dyDescent="0.3">
      <c r="A3860" t="s">
        <v>557</v>
      </c>
      <c r="B3860" t="s">
        <v>731</v>
      </c>
      <c r="C3860" t="s">
        <v>104</v>
      </c>
      <c r="D3860" s="230">
        <v>0</v>
      </c>
      <c r="E3860" t="s">
        <v>731</v>
      </c>
    </row>
    <row r="3861" spans="1:5" hidden="1" x14ac:dyDescent="0.3">
      <c r="A3861" t="s">
        <v>557</v>
      </c>
      <c r="B3861" t="s">
        <v>731</v>
      </c>
      <c r="C3861" t="s">
        <v>105</v>
      </c>
      <c r="D3861" s="230">
        <v>0</v>
      </c>
      <c r="E3861" t="s">
        <v>731</v>
      </c>
    </row>
    <row r="3862" spans="1:5" hidden="1" x14ac:dyDescent="0.3">
      <c r="A3862" t="s">
        <v>557</v>
      </c>
      <c r="B3862" t="s">
        <v>731</v>
      </c>
      <c r="C3862" t="s">
        <v>107</v>
      </c>
      <c r="D3862" s="230">
        <v>0</v>
      </c>
      <c r="E3862" t="s">
        <v>731</v>
      </c>
    </row>
    <row r="3863" spans="1:5" hidden="1" x14ac:dyDescent="0.3">
      <c r="A3863" t="s">
        <v>557</v>
      </c>
      <c r="B3863" t="s">
        <v>731</v>
      </c>
      <c r="C3863" t="s">
        <v>108</v>
      </c>
      <c r="D3863" s="230">
        <v>0</v>
      </c>
      <c r="E3863" t="s">
        <v>731</v>
      </c>
    </row>
    <row r="3864" spans="1:5" hidden="1" x14ac:dyDescent="0.3">
      <c r="A3864" t="s">
        <v>557</v>
      </c>
      <c r="B3864" t="s">
        <v>731</v>
      </c>
      <c r="C3864" t="s">
        <v>109</v>
      </c>
      <c r="D3864" s="230">
        <v>0</v>
      </c>
      <c r="E3864" t="s">
        <v>731</v>
      </c>
    </row>
    <row r="3865" spans="1:5" hidden="1" x14ac:dyDescent="0.3">
      <c r="A3865" t="s">
        <v>557</v>
      </c>
      <c r="B3865" t="s">
        <v>731</v>
      </c>
      <c r="C3865" t="s">
        <v>110</v>
      </c>
      <c r="D3865" s="230">
        <v>0</v>
      </c>
      <c r="E3865" t="s">
        <v>731</v>
      </c>
    </row>
    <row r="3866" spans="1:5" hidden="1" x14ac:dyDescent="0.3">
      <c r="A3866" t="s">
        <v>557</v>
      </c>
      <c r="B3866" t="s">
        <v>731</v>
      </c>
      <c r="C3866" t="s">
        <v>44</v>
      </c>
      <c r="D3866" s="230">
        <v>0</v>
      </c>
      <c r="E3866" t="s">
        <v>731</v>
      </c>
    </row>
    <row r="3867" spans="1:5" hidden="1" x14ac:dyDescent="0.3">
      <c r="A3867" t="s">
        <v>557</v>
      </c>
      <c r="B3867" t="s">
        <v>731</v>
      </c>
      <c r="C3867" t="s">
        <v>111</v>
      </c>
      <c r="D3867" s="230">
        <v>-408391.39</v>
      </c>
      <c r="E3867" t="s">
        <v>731</v>
      </c>
    </row>
    <row r="3868" spans="1:5" hidden="1" x14ac:dyDescent="0.3">
      <c r="A3868" t="s">
        <v>557</v>
      </c>
      <c r="B3868" t="s">
        <v>731</v>
      </c>
      <c r="C3868" t="s">
        <v>608</v>
      </c>
      <c r="D3868" s="230">
        <v>-408391.39</v>
      </c>
      <c r="E3868" t="s">
        <v>731</v>
      </c>
    </row>
    <row r="3869" spans="1:5" hidden="1" x14ac:dyDescent="0.3">
      <c r="A3869" t="s">
        <v>557</v>
      </c>
      <c r="B3869" t="s">
        <v>731</v>
      </c>
      <c r="C3869" t="s">
        <v>44</v>
      </c>
      <c r="D3869" s="230">
        <v>-0.08</v>
      </c>
      <c r="E3869" t="s">
        <v>731</v>
      </c>
    </row>
    <row r="3870" spans="1:5" hidden="1" x14ac:dyDescent="0.3">
      <c r="A3870" t="s">
        <v>557</v>
      </c>
      <c r="B3870" t="s">
        <v>731</v>
      </c>
      <c r="C3870" t="s">
        <v>115</v>
      </c>
      <c r="D3870" s="230">
        <v>-80305.19</v>
      </c>
      <c r="E3870" t="s">
        <v>731</v>
      </c>
    </row>
    <row r="3871" spans="1:5" hidden="1" x14ac:dyDescent="0.3">
      <c r="A3871" t="s">
        <v>557</v>
      </c>
      <c r="B3871" t="s">
        <v>731</v>
      </c>
      <c r="C3871" t="s">
        <v>116</v>
      </c>
      <c r="D3871" s="230">
        <v>-73273.52</v>
      </c>
      <c r="E3871" t="s">
        <v>731</v>
      </c>
    </row>
    <row r="3872" spans="1:5" hidden="1" x14ac:dyDescent="0.3">
      <c r="A3872" t="s">
        <v>557</v>
      </c>
      <c r="B3872" t="s">
        <v>731</v>
      </c>
      <c r="C3872" t="s">
        <v>118</v>
      </c>
      <c r="D3872" s="230">
        <v>0</v>
      </c>
      <c r="E3872" t="s">
        <v>731</v>
      </c>
    </row>
    <row r="3873" spans="1:5" hidden="1" x14ac:dyDescent="0.3">
      <c r="A3873" t="s">
        <v>557</v>
      </c>
      <c r="B3873" t="s">
        <v>731</v>
      </c>
      <c r="C3873" t="s">
        <v>120</v>
      </c>
      <c r="D3873" s="230">
        <v>0</v>
      </c>
      <c r="E3873" t="s">
        <v>731</v>
      </c>
    </row>
    <row r="3874" spans="1:5" hidden="1" x14ac:dyDescent="0.3">
      <c r="A3874" t="s">
        <v>557</v>
      </c>
      <c r="B3874" t="s">
        <v>731</v>
      </c>
      <c r="C3874" t="s">
        <v>122</v>
      </c>
      <c r="D3874" s="230">
        <v>-7031.67</v>
      </c>
      <c r="E3874" t="s">
        <v>731</v>
      </c>
    </row>
    <row r="3875" spans="1:5" hidden="1" x14ac:dyDescent="0.3">
      <c r="A3875" t="s">
        <v>557</v>
      </c>
      <c r="B3875" t="s">
        <v>731</v>
      </c>
      <c r="C3875" t="s">
        <v>44</v>
      </c>
      <c r="D3875" s="230">
        <v>-0.02</v>
      </c>
      <c r="E3875" t="s">
        <v>731</v>
      </c>
    </row>
    <row r="3876" spans="1:5" hidden="1" x14ac:dyDescent="0.3">
      <c r="A3876" t="s">
        <v>557</v>
      </c>
      <c r="B3876" t="s">
        <v>731</v>
      </c>
      <c r="C3876" t="s">
        <v>126</v>
      </c>
      <c r="D3876" s="230">
        <v>2865381.95</v>
      </c>
      <c r="E3876" t="s">
        <v>731</v>
      </c>
    </row>
    <row r="3877" spans="1:5" hidden="1" x14ac:dyDescent="0.3">
      <c r="A3877" t="s">
        <v>557</v>
      </c>
      <c r="B3877" t="s">
        <v>731</v>
      </c>
      <c r="C3877" t="s">
        <v>127</v>
      </c>
      <c r="D3877" s="230">
        <v>0.54</v>
      </c>
      <c r="E3877" t="s">
        <v>731</v>
      </c>
    </row>
    <row r="3878" spans="1:5" hidden="1" x14ac:dyDescent="0.3">
      <c r="A3878" t="s">
        <v>557</v>
      </c>
      <c r="B3878" t="s">
        <v>731</v>
      </c>
      <c r="C3878" t="s">
        <v>128</v>
      </c>
      <c r="D3878" s="230">
        <v>-1436816.98</v>
      </c>
      <c r="E3878" t="s">
        <v>731</v>
      </c>
    </row>
    <row r="3879" spans="1:5" hidden="1" x14ac:dyDescent="0.3">
      <c r="A3879" t="s">
        <v>557</v>
      </c>
      <c r="B3879" t="s">
        <v>731</v>
      </c>
      <c r="C3879" t="s">
        <v>129</v>
      </c>
      <c r="D3879" s="230">
        <v>-468001.97</v>
      </c>
      <c r="E3879" t="s">
        <v>731</v>
      </c>
    </row>
    <row r="3880" spans="1:5" hidden="1" x14ac:dyDescent="0.3">
      <c r="A3880" t="s">
        <v>557</v>
      </c>
      <c r="B3880" t="s">
        <v>731</v>
      </c>
      <c r="C3880" t="s">
        <v>609</v>
      </c>
      <c r="D3880" s="230">
        <v>-47689.84</v>
      </c>
      <c r="E3880" t="s">
        <v>731</v>
      </c>
    </row>
    <row r="3881" spans="1:5" hidden="1" x14ac:dyDescent="0.3">
      <c r="A3881" t="s">
        <v>557</v>
      </c>
      <c r="B3881" t="s">
        <v>731</v>
      </c>
      <c r="C3881" t="s">
        <v>610</v>
      </c>
      <c r="D3881" s="230">
        <v>-171600</v>
      </c>
      <c r="E3881" t="s">
        <v>731</v>
      </c>
    </row>
    <row r="3882" spans="1:5" hidden="1" x14ac:dyDescent="0.3">
      <c r="A3882" t="s">
        <v>557</v>
      </c>
      <c r="B3882" t="s">
        <v>731</v>
      </c>
      <c r="C3882" t="s">
        <v>611</v>
      </c>
      <c r="D3882" s="230">
        <v>-39600</v>
      </c>
      <c r="E3882" t="s">
        <v>731</v>
      </c>
    </row>
    <row r="3883" spans="1:5" hidden="1" x14ac:dyDescent="0.3">
      <c r="A3883" t="s">
        <v>557</v>
      </c>
      <c r="B3883" t="s">
        <v>731</v>
      </c>
      <c r="C3883" t="s">
        <v>612</v>
      </c>
      <c r="D3883" s="230">
        <v>-63682.13</v>
      </c>
      <c r="E3883" t="s">
        <v>731</v>
      </c>
    </row>
    <row r="3884" spans="1:5" hidden="1" x14ac:dyDescent="0.3">
      <c r="A3884" t="s">
        <v>557</v>
      </c>
      <c r="B3884" t="s">
        <v>731</v>
      </c>
      <c r="C3884" t="s">
        <v>613</v>
      </c>
      <c r="D3884" s="230">
        <v>-13720</v>
      </c>
      <c r="E3884" t="s">
        <v>731</v>
      </c>
    </row>
    <row r="3885" spans="1:5" hidden="1" x14ac:dyDescent="0.3">
      <c r="A3885" t="s">
        <v>557</v>
      </c>
      <c r="B3885" t="s">
        <v>731</v>
      </c>
      <c r="C3885" t="s">
        <v>614</v>
      </c>
      <c r="D3885" s="230">
        <v>-63016.66</v>
      </c>
      <c r="E3885" t="s">
        <v>731</v>
      </c>
    </row>
    <row r="3886" spans="1:5" hidden="1" x14ac:dyDescent="0.3">
      <c r="A3886" t="s">
        <v>557</v>
      </c>
      <c r="B3886" t="s">
        <v>731</v>
      </c>
      <c r="C3886" t="s">
        <v>615</v>
      </c>
      <c r="D3886" s="230">
        <v>0</v>
      </c>
      <c r="E3886" t="s">
        <v>731</v>
      </c>
    </row>
    <row r="3887" spans="1:5" hidden="1" x14ac:dyDescent="0.3">
      <c r="A3887" t="s">
        <v>557</v>
      </c>
      <c r="B3887" t="s">
        <v>731</v>
      </c>
      <c r="C3887" t="s">
        <v>616</v>
      </c>
      <c r="D3887" s="230">
        <v>-68693.34</v>
      </c>
      <c r="E3887" t="s">
        <v>731</v>
      </c>
    </row>
    <row r="3888" spans="1:5" hidden="1" x14ac:dyDescent="0.3">
      <c r="A3888" t="s">
        <v>557</v>
      </c>
      <c r="B3888" t="s">
        <v>731</v>
      </c>
      <c r="C3888" t="s">
        <v>617</v>
      </c>
      <c r="D3888" s="230">
        <v>0</v>
      </c>
      <c r="E3888" t="s">
        <v>731</v>
      </c>
    </row>
    <row r="3889" spans="1:5" hidden="1" x14ac:dyDescent="0.3">
      <c r="A3889" t="s">
        <v>557</v>
      </c>
      <c r="B3889" t="s">
        <v>731</v>
      </c>
      <c r="C3889" t="s">
        <v>618</v>
      </c>
      <c r="D3889" s="230">
        <v>0</v>
      </c>
      <c r="E3889" t="s">
        <v>731</v>
      </c>
    </row>
    <row r="3890" spans="1:5" hidden="1" x14ac:dyDescent="0.3">
      <c r="A3890" t="s">
        <v>557</v>
      </c>
      <c r="B3890" t="s">
        <v>731</v>
      </c>
      <c r="C3890" t="s">
        <v>619</v>
      </c>
      <c r="D3890" s="230">
        <v>0</v>
      </c>
      <c r="E3890" t="s">
        <v>731</v>
      </c>
    </row>
    <row r="3891" spans="1:5" hidden="1" x14ac:dyDescent="0.3">
      <c r="A3891" t="s">
        <v>557</v>
      </c>
      <c r="B3891" t="s">
        <v>731</v>
      </c>
      <c r="C3891" t="s">
        <v>620</v>
      </c>
      <c r="D3891" s="230">
        <v>0</v>
      </c>
      <c r="E3891" t="s">
        <v>731</v>
      </c>
    </row>
    <row r="3892" spans="1:5" hidden="1" x14ac:dyDescent="0.3">
      <c r="A3892" t="s">
        <v>557</v>
      </c>
      <c r="B3892" t="s">
        <v>731</v>
      </c>
      <c r="C3892" t="s">
        <v>575</v>
      </c>
      <c r="D3892" s="230">
        <v>-435850.94</v>
      </c>
      <c r="E3892" t="s">
        <v>731</v>
      </c>
    </row>
    <row r="3893" spans="1:5" hidden="1" x14ac:dyDescent="0.3">
      <c r="A3893" t="s">
        <v>557</v>
      </c>
      <c r="B3893" t="s">
        <v>731</v>
      </c>
      <c r="C3893" t="s">
        <v>621</v>
      </c>
      <c r="D3893" s="230">
        <v>0</v>
      </c>
      <c r="E3893" t="s">
        <v>731</v>
      </c>
    </row>
    <row r="3894" spans="1:5" hidden="1" x14ac:dyDescent="0.3">
      <c r="A3894" t="s">
        <v>557</v>
      </c>
      <c r="B3894" t="s">
        <v>731</v>
      </c>
      <c r="C3894" t="s">
        <v>622</v>
      </c>
      <c r="D3894" s="230">
        <v>0</v>
      </c>
      <c r="E3894" t="s">
        <v>731</v>
      </c>
    </row>
    <row r="3895" spans="1:5" hidden="1" x14ac:dyDescent="0.3">
      <c r="A3895" t="s">
        <v>557</v>
      </c>
      <c r="B3895" t="s">
        <v>731</v>
      </c>
      <c r="C3895" t="s">
        <v>623</v>
      </c>
      <c r="D3895" s="230">
        <v>0</v>
      </c>
      <c r="E3895" t="s">
        <v>731</v>
      </c>
    </row>
    <row r="3896" spans="1:5" hidden="1" x14ac:dyDescent="0.3">
      <c r="A3896" t="s">
        <v>557</v>
      </c>
      <c r="B3896" t="s">
        <v>731</v>
      </c>
      <c r="C3896" t="s">
        <v>624</v>
      </c>
      <c r="D3896" s="230">
        <v>0</v>
      </c>
      <c r="E3896" t="s">
        <v>731</v>
      </c>
    </row>
    <row r="3897" spans="1:5" hidden="1" x14ac:dyDescent="0.3">
      <c r="A3897" t="s">
        <v>557</v>
      </c>
      <c r="B3897" t="s">
        <v>731</v>
      </c>
      <c r="C3897" t="s">
        <v>625</v>
      </c>
      <c r="D3897" s="230">
        <v>0</v>
      </c>
      <c r="E3897" t="s">
        <v>731</v>
      </c>
    </row>
    <row r="3898" spans="1:5" hidden="1" x14ac:dyDescent="0.3">
      <c r="A3898" t="s">
        <v>557</v>
      </c>
      <c r="B3898" t="s">
        <v>731</v>
      </c>
      <c r="C3898" t="s">
        <v>626</v>
      </c>
      <c r="D3898" s="230">
        <v>0</v>
      </c>
      <c r="E3898" t="s">
        <v>731</v>
      </c>
    </row>
    <row r="3899" spans="1:5" hidden="1" x14ac:dyDescent="0.3">
      <c r="A3899" t="s">
        <v>557</v>
      </c>
      <c r="B3899" t="s">
        <v>731</v>
      </c>
      <c r="C3899" t="s">
        <v>627</v>
      </c>
      <c r="D3899" s="230">
        <v>0</v>
      </c>
      <c r="E3899" t="s">
        <v>731</v>
      </c>
    </row>
    <row r="3900" spans="1:5" hidden="1" x14ac:dyDescent="0.3">
      <c r="A3900" t="s">
        <v>557</v>
      </c>
      <c r="B3900" t="s">
        <v>731</v>
      </c>
      <c r="C3900" t="s">
        <v>628</v>
      </c>
      <c r="D3900" s="230">
        <v>0</v>
      </c>
      <c r="E3900" t="s">
        <v>731</v>
      </c>
    </row>
    <row r="3901" spans="1:5" hidden="1" x14ac:dyDescent="0.3">
      <c r="A3901" t="s">
        <v>557</v>
      </c>
      <c r="B3901" t="s">
        <v>731</v>
      </c>
      <c r="C3901" t="s">
        <v>629</v>
      </c>
      <c r="D3901" s="230">
        <v>0</v>
      </c>
      <c r="E3901" t="s">
        <v>731</v>
      </c>
    </row>
    <row r="3902" spans="1:5" hidden="1" x14ac:dyDescent="0.3">
      <c r="A3902" t="s">
        <v>557</v>
      </c>
      <c r="B3902" t="s">
        <v>731</v>
      </c>
      <c r="C3902" t="s">
        <v>630</v>
      </c>
      <c r="D3902" s="230">
        <v>0</v>
      </c>
      <c r="E3902" t="s">
        <v>731</v>
      </c>
    </row>
    <row r="3903" spans="1:5" hidden="1" x14ac:dyDescent="0.3">
      <c r="A3903" t="s">
        <v>557</v>
      </c>
      <c r="B3903" t="s">
        <v>731</v>
      </c>
      <c r="C3903" t="s">
        <v>631</v>
      </c>
      <c r="D3903" s="230">
        <v>0</v>
      </c>
      <c r="E3903" t="s">
        <v>731</v>
      </c>
    </row>
    <row r="3904" spans="1:5" hidden="1" x14ac:dyDescent="0.3">
      <c r="A3904" t="s">
        <v>557</v>
      </c>
      <c r="B3904" t="s">
        <v>731</v>
      </c>
      <c r="C3904" t="s">
        <v>632</v>
      </c>
      <c r="D3904" s="230">
        <v>0</v>
      </c>
      <c r="E3904" t="s">
        <v>731</v>
      </c>
    </row>
    <row r="3905" spans="1:5" hidden="1" x14ac:dyDescent="0.3">
      <c r="A3905" t="s">
        <v>557</v>
      </c>
      <c r="B3905" t="s">
        <v>731</v>
      </c>
      <c r="C3905" t="s">
        <v>633</v>
      </c>
      <c r="D3905" s="230">
        <v>0</v>
      </c>
      <c r="E3905" t="s">
        <v>731</v>
      </c>
    </row>
    <row r="3906" spans="1:5" hidden="1" x14ac:dyDescent="0.3">
      <c r="A3906" t="s">
        <v>557</v>
      </c>
      <c r="B3906" t="s">
        <v>731</v>
      </c>
      <c r="C3906" t="s">
        <v>634</v>
      </c>
      <c r="D3906" s="230">
        <v>0</v>
      </c>
      <c r="E3906" t="s">
        <v>731</v>
      </c>
    </row>
    <row r="3907" spans="1:5" hidden="1" x14ac:dyDescent="0.3">
      <c r="A3907" t="s">
        <v>557</v>
      </c>
      <c r="B3907" t="s">
        <v>731</v>
      </c>
      <c r="C3907" t="s">
        <v>635</v>
      </c>
      <c r="D3907" s="230">
        <v>0</v>
      </c>
      <c r="E3907" t="s">
        <v>731</v>
      </c>
    </row>
    <row r="3908" spans="1:5" hidden="1" x14ac:dyDescent="0.3">
      <c r="A3908" t="s">
        <v>557</v>
      </c>
      <c r="B3908" t="s">
        <v>731</v>
      </c>
      <c r="C3908" t="s">
        <v>636</v>
      </c>
      <c r="D3908" s="230">
        <v>0</v>
      </c>
      <c r="E3908" t="s">
        <v>731</v>
      </c>
    </row>
    <row r="3909" spans="1:5" hidden="1" x14ac:dyDescent="0.3">
      <c r="A3909" t="s">
        <v>557</v>
      </c>
      <c r="B3909" t="s">
        <v>731</v>
      </c>
      <c r="C3909" t="s">
        <v>637</v>
      </c>
      <c r="D3909" s="230">
        <v>0</v>
      </c>
      <c r="E3909" t="s">
        <v>731</v>
      </c>
    </row>
    <row r="3910" spans="1:5" hidden="1" x14ac:dyDescent="0.3">
      <c r="A3910" t="s">
        <v>557</v>
      </c>
      <c r="B3910" t="s">
        <v>731</v>
      </c>
      <c r="C3910" t="s">
        <v>638</v>
      </c>
      <c r="D3910" s="230">
        <v>0</v>
      </c>
      <c r="E3910" t="s">
        <v>731</v>
      </c>
    </row>
    <row r="3911" spans="1:5" hidden="1" x14ac:dyDescent="0.3">
      <c r="A3911" t="s">
        <v>557</v>
      </c>
      <c r="B3911" t="s">
        <v>731</v>
      </c>
      <c r="C3911" t="s">
        <v>639</v>
      </c>
      <c r="D3911" s="230">
        <v>0</v>
      </c>
      <c r="E3911" t="s">
        <v>731</v>
      </c>
    </row>
    <row r="3912" spans="1:5" hidden="1" x14ac:dyDescent="0.3">
      <c r="A3912" t="s">
        <v>557</v>
      </c>
      <c r="B3912" t="s">
        <v>731</v>
      </c>
      <c r="C3912" t="s">
        <v>640</v>
      </c>
      <c r="D3912" s="230">
        <v>0</v>
      </c>
      <c r="E3912" t="s">
        <v>731</v>
      </c>
    </row>
    <row r="3913" spans="1:5" hidden="1" x14ac:dyDescent="0.3">
      <c r="A3913" t="s">
        <v>557</v>
      </c>
      <c r="B3913" t="s">
        <v>731</v>
      </c>
      <c r="C3913" t="s">
        <v>641</v>
      </c>
      <c r="D3913" s="230">
        <v>0</v>
      </c>
      <c r="E3913" t="s">
        <v>731</v>
      </c>
    </row>
    <row r="3914" spans="1:5" hidden="1" x14ac:dyDescent="0.3">
      <c r="A3914" t="s">
        <v>557</v>
      </c>
      <c r="B3914" t="s">
        <v>731</v>
      </c>
      <c r="C3914" t="s">
        <v>642</v>
      </c>
      <c r="D3914" s="230">
        <v>0</v>
      </c>
      <c r="E3914" t="s">
        <v>731</v>
      </c>
    </row>
    <row r="3915" spans="1:5" hidden="1" x14ac:dyDescent="0.3">
      <c r="A3915" t="s">
        <v>557</v>
      </c>
      <c r="B3915" t="s">
        <v>731</v>
      </c>
      <c r="C3915" t="s">
        <v>643</v>
      </c>
      <c r="D3915" s="230">
        <v>0</v>
      </c>
      <c r="E3915" t="s">
        <v>731</v>
      </c>
    </row>
    <row r="3916" spans="1:5" hidden="1" x14ac:dyDescent="0.3">
      <c r="A3916" t="s">
        <v>557</v>
      </c>
      <c r="B3916" t="s">
        <v>731</v>
      </c>
      <c r="C3916" t="s">
        <v>644</v>
      </c>
      <c r="D3916" s="230">
        <v>0</v>
      </c>
      <c r="E3916" t="s">
        <v>731</v>
      </c>
    </row>
    <row r="3917" spans="1:5" hidden="1" x14ac:dyDescent="0.3">
      <c r="A3917" t="s">
        <v>557</v>
      </c>
      <c r="B3917" t="s">
        <v>731</v>
      </c>
      <c r="C3917" t="s">
        <v>645</v>
      </c>
      <c r="D3917" s="230">
        <v>0</v>
      </c>
      <c r="E3917" t="s">
        <v>731</v>
      </c>
    </row>
    <row r="3918" spans="1:5" hidden="1" x14ac:dyDescent="0.3">
      <c r="A3918" t="s">
        <v>557</v>
      </c>
      <c r="B3918" t="s">
        <v>731</v>
      </c>
      <c r="C3918" t="s">
        <v>646</v>
      </c>
      <c r="D3918" s="230">
        <v>0</v>
      </c>
      <c r="E3918" t="s">
        <v>731</v>
      </c>
    </row>
    <row r="3919" spans="1:5" hidden="1" x14ac:dyDescent="0.3">
      <c r="A3919" t="s">
        <v>557</v>
      </c>
      <c r="B3919" t="s">
        <v>731</v>
      </c>
      <c r="C3919" t="s">
        <v>647</v>
      </c>
      <c r="D3919" s="230">
        <v>0</v>
      </c>
      <c r="E3919" t="s">
        <v>731</v>
      </c>
    </row>
    <row r="3920" spans="1:5" hidden="1" x14ac:dyDescent="0.3">
      <c r="A3920" t="s">
        <v>557</v>
      </c>
      <c r="B3920" t="s">
        <v>731</v>
      </c>
      <c r="C3920" t="s">
        <v>648</v>
      </c>
      <c r="D3920" s="230">
        <v>0</v>
      </c>
      <c r="E3920" t="s">
        <v>731</v>
      </c>
    </row>
    <row r="3921" spans="1:5" hidden="1" x14ac:dyDescent="0.3">
      <c r="A3921" t="s">
        <v>557</v>
      </c>
      <c r="B3921" t="s">
        <v>731</v>
      </c>
      <c r="C3921" t="s">
        <v>649</v>
      </c>
      <c r="D3921" s="230">
        <v>0</v>
      </c>
      <c r="E3921" t="s">
        <v>731</v>
      </c>
    </row>
    <row r="3922" spans="1:5" hidden="1" x14ac:dyDescent="0.3">
      <c r="A3922" t="s">
        <v>557</v>
      </c>
      <c r="B3922" t="s">
        <v>731</v>
      </c>
      <c r="C3922" t="s">
        <v>650</v>
      </c>
      <c r="D3922" s="230">
        <v>0</v>
      </c>
      <c r="E3922" t="s">
        <v>731</v>
      </c>
    </row>
    <row r="3923" spans="1:5" hidden="1" x14ac:dyDescent="0.3">
      <c r="A3923" t="s">
        <v>557</v>
      </c>
      <c r="B3923" t="s">
        <v>731</v>
      </c>
      <c r="C3923" t="s">
        <v>651</v>
      </c>
      <c r="D3923" s="230">
        <v>0</v>
      </c>
      <c r="E3923" t="s">
        <v>731</v>
      </c>
    </row>
    <row r="3924" spans="1:5" hidden="1" x14ac:dyDescent="0.3">
      <c r="A3924" t="s">
        <v>557</v>
      </c>
      <c r="B3924" t="s">
        <v>731</v>
      </c>
      <c r="C3924" t="s">
        <v>652</v>
      </c>
      <c r="D3924" s="230">
        <v>0</v>
      </c>
      <c r="E3924" t="s">
        <v>731</v>
      </c>
    </row>
    <row r="3925" spans="1:5" hidden="1" x14ac:dyDescent="0.3">
      <c r="A3925" t="s">
        <v>557</v>
      </c>
      <c r="B3925" t="s">
        <v>731</v>
      </c>
      <c r="C3925" t="s">
        <v>653</v>
      </c>
      <c r="D3925" s="230">
        <v>0</v>
      </c>
      <c r="E3925" t="s">
        <v>731</v>
      </c>
    </row>
    <row r="3926" spans="1:5" hidden="1" x14ac:dyDescent="0.3">
      <c r="A3926" t="s">
        <v>557</v>
      </c>
      <c r="B3926" t="s">
        <v>731</v>
      </c>
      <c r="C3926" t="s">
        <v>654</v>
      </c>
      <c r="D3926" s="230">
        <v>0</v>
      </c>
      <c r="E3926" t="s">
        <v>731</v>
      </c>
    </row>
    <row r="3927" spans="1:5" hidden="1" x14ac:dyDescent="0.3">
      <c r="A3927" t="s">
        <v>557</v>
      </c>
      <c r="B3927" t="s">
        <v>731</v>
      </c>
      <c r="C3927" t="s">
        <v>655</v>
      </c>
      <c r="D3927" s="230">
        <v>0</v>
      </c>
      <c r="E3927" t="s">
        <v>731</v>
      </c>
    </row>
    <row r="3928" spans="1:5" hidden="1" x14ac:dyDescent="0.3">
      <c r="A3928" t="s">
        <v>557</v>
      </c>
      <c r="B3928" t="s">
        <v>731</v>
      </c>
      <c r="C3928" t="s">
        <v>656</v>
      </c>
      <c r="D3928" s="230">
        <v>0</v>
      </c>
      <c r="E3928" t="s">
        <v>731</v>
      </c>
    </row>
    <row r="3929" spans="1:5" hidden="1" x14ac:dyDescent="0.3">
      <c r="A3929" t="s">
        <v>557</v>
      </c>
      <c r="B3929" t="s">
        <v>731</v>
      </c>
      <c r="C3929" t="s">
        <v>657</v>
      </c>
      <c r="D3929" s="230">
        <v>0</v>
      </c>
      <c r="E3929" t="s">
        <v>731</v>
      </c>
    </row>
    <row r="3930" spans="1:5" hidden="1" x14ac:dyDescent="0.3">
      <c r="A3930" t="s">
        <v>557</v>
      </c>
      <c r="B3930" t="s">
        <v>731</v>
      </c>
      <c r="C3930" t="s">
        <v>658</v>
      </c>
      <c r="D3930" s="230">
        <v>0</v>
      </c>
      <c r="E3930" t="s">
        <v>731</v>
      </c>
    </row>
    <row r="3931" spans="1:5" hidden="1" x14ac:dyDescent="0.3">
      <c r="A3931" t="s">
        <v>557</v>
      </c>
      <c r="B3931" t="s">
        <v>731</v>
      </c>
      <c r="C3931" t="s">
        <v>659</v>
      </c>
      <c r="D3931" s="230">
        <v>0</v>
      </c>
      <c r="E3931" t="s">
        <v>731</v>
      </c>
    </row>
    <row r="3932" spans="1:5" hidden="1" x14ac:dyDescent="0.3">
      <c r="A3932" t="s">
        <v>557</v>
      </c>
      <c r="B3932" t="s">
        <v>731</v>
      </c>
      <c r="C3932" t="s">
        <v>660</v>
      </c>
      <c r="D3932" s="230">
        <v>0</v>
      </c>
      <c r="E3932" t="s">
        <v>731</v>
      </c>
    </row>
    <row r="3933" spans="1:5" hidden="1" x14ac:dyDescent="0.3">
      <c r="A3933" t="s">
        <v>557</v>
      </c>
      <c r="B3933" t="s">
        <v>731</v>
      </c>
      <c r="C3933" t="s">
        <v>661</v>
      </c>
      <c r="D3933" s="230">
        <v>0</v>
      </c>
      <c r="E3933" t="s">
        <v>731</v>
      </c>
    </row>
    <row r="3934" spans="1:5" hidden="1" x14ac:dyDescent="0.3">
      <c r="A3934" t="s">
        <v>557</v>
      </c>
      <c r="B3934" t="s">
        <v>731</v>
      </c>
      <c r="C3934" t="s">
        <v>662</v>
      </c>
      <c r="D3934" s="230">
        <v>0</v>
      </c>
      <c r="E3934" t="s">
        <v>731</v>
      </c>
    </row>
    <row r="3935" spans="1:5" hidden="1" x14ac:dyDescent="0.3">
      <c r="A3935" t="s">
        <v>557</v>
      </c>
      <c r="B3935" t="s">
        <v>731</v>
      </c>
      <c r="C3935" t="s">
        <v>663</v>
      </c>
      <c r="D3935" s="230">
        <v>0</v>
      </c>
      <c r="E3935" t="s">
        <v>731</v>
      </c>
    </row>
    <row r="3936" spans="1:5" hidden="1" x14ac:dyDescent="0.3">
      <c r="A3936" t="s">
        <v>557</v>
      </c>
      <c r="B3936" t="s">
        <v>731</v>
      </c>
      <c r="C3936" t="s">
        <v>664</v>
      </c>
      <c r="D3936" s="230">
        <v>0</v>
      </c>
      <c r="E3936" t="s">
        <v>731</v>
      </c>
    </row>
    <row r="3937" spans="1:5" hidden="1" x14ac:dyDescent="0.3">
      <c r="A3937" t="s">
        <v>557</v>
      </c>
      <c r="B3937" t="s">
        <v>731</v>
      </c>
      <c r="C3937" t="s">
        <v>665</v>
      </c>
      <c r="D3937" s="230">
        <v>0</v>
      </c>
      <c r="E3937" t="s">
        <v>731</v>
      </c>
    </row>
    <row r="3938" spans="1:5" hidden="1" x14ac:dyDescent="0.3">
      <c r="A3938" t="s">
        <v>557</v>
      </c>
      <c r="B3938" t="s">
        <v>731</v>
      </c>
      <c r="C3938" t="s">
        <v>666</v>
      </c>
      <c r="D3938" s="230">
        <v>0</v>
      </c>
      <c r="E3938" t="s">
        <v>731</v>
      </c>
    </row>
    <row r="3939" spans="1:5" hidden="1" x14ac:dyDescent="0.3">
      <c r="A3939" t="s">
        <v>557</v>
      </c>
      <c r="B3939" t="s">
        <v>731</v>
      </c>
      <c r="C3939" t="s">
        <v>667</v>
      </c>
      <c r="D3939" s="230">
        <v>0</v>
      </c>
      <c r="E3939" t="s">
        <v>731</v>
      </c>
    </row>
    <row r="3940" spans="1:5" hidden="1" x14ac:dyDescent="0.3">
      <c r="A3940" t="s">
        <v>557</v>
      </c>
      <c r="B3940" t="s">
        <v>731</v>
      </c>
      <c r="C3940" t="s">
        <v>668</v>
      </c>
      <c r="D3940" s="230">
        <v>0</v>
      </c>
      <c r="E3940" t="s">
        <v>731</v>
      </c>
    </row>
    <row r="3941" spans="1:5" hidden="1" x14ac:dyDescent="0.3">
      <c r="A3941" t="s">
        <v>557</v>
      </c>
      <c r="B3941" t="s">
        <v>731</v>
      </c>
      <c r="C3941" t="s">
        <v>669</v>
      </c>
      <c r="D3941" s="230">
        <v>0</v>
      </c>
      <c r="E3941" t="s">
        <v>731</v>
      </c>
    </row>
    <row r="3942" spans="1:5" hidden="1" x14ac:dyDescent="0.3">
      <c r="A3942" t="s">
        <v>557</v>
      </c>
      <c r="B3942" t="s">
        <v>731</v>
      </c>
      <c r="C3942" t="s">
        <v>670</v>
      </c>
      <c r="D3942" s="230">
        <v>0</v>
      </c>
      <c r="E3942" t="s">
        <v>731</v>
      </c>
    </row>
    <row r="3943" spans="1:5" hidden="1" x14ac:dyDescent="0.3">
      <c r="A3943" t="s">
        <v>557</v>
      </c>
      <c r="B3943" t="s">
        <v>731</v>
      </c>
      <c r="C3943" t="s">
        <v>671</v>
      </c>
      <c r="D3943" s="230">
        <v>0</v>
      </c>
      <c r="E3943" t="s">
        <v>731</v>
      </c>
    </row>
    <row r="3944" spans="1:5" hidden="1" x14ac:dyDescent="0.3">
      <c r="A3944" t="s">
        <v>557</v>
      </c>
      <c r="B3944" t="s">
        <v>731</v>
      </c>
      <c r="C3944" t="s">
        <v>672</v>
      </c>
      <c r="D3944" s="230">
        <v>0</v>
      </c>
      <c r="E3944" t="s">
        <v>731</v>
      </c>
    </row>
    <row r="3945" spans="1:5" hidden="1" x14ac:dyDescent="0.3">
      <c r="A3945" t="s">
        <v>557</v>
      </c>
      <c r="B3945" t="s">
        <v>731</v>
      </c>
      <c r="C3945" t="s">
        <v>673</v>
      </c>
      <c r="D3945" s="230">
        <v>0</v>
      </c>
      <c r="E3945" t="s">
        <v>731</v>
      </c>
    </row>
    <row r="3946" spans="1:5" hidden="1" x14ac:dyDescent="0.3">
      <c r="A3946" t="s">
        <v>557</v>
      </c>
      <c r="B3946" t="s">
        <v>731</v>
      </c>
      <c r="C3946" t="s">
        <v>674</v>
      </c>
      <c r="D3946" s="230">
        <v>0</v>
      </c>
      <c r="E3946" t="s">
        <v>731</v>
      </c>
    </row>
    <row r="3947" spans="1:5" hidden="1" x14ac:dyDescent="0.3">
      <c r="A3947" t="s">
        <v>557</v>
      </c>
      <c r="B3947" t="s">
        <v>731</v>
      </c>
      <c r="C3947" t="s">
        <v>675</v>
      </c>
      <c r="D3947" s="230">
        <v>0</v>
      </c>
      <c r="E3947" t="s">
        <v>731</v>
      </c>
    </row>
    <row r="3948" spans="1:5" hidden="1" x14ac:dyDescent="0.3">
      <c r="A3948" t="s">
        <v>557</v>
      </c>
      <c r="B3948" t="s">
        <v>731</v>
      </c>
      <c r="C3948" t="s">
        <v>676</v>
      </c>
      <c r="D3948" s="230">
        <v>0</v>
      </c>
      <c r="E3948" t="s">
        <v>731</v>
      </c>
    </row>
    <row r="3949" spans="1:5" hidden="1" x14ac:dyDescent="0.3">
      <c r="A3949" t="s">
        <v>557</v>
      </c>
      <c r="B3949" t="s">
        <v>731</v>
      </c>
      <c r="C3949" t="s">
        <v>677</v>
      </c>
      <c r="D3949" s="230">
        <v>0</v>
      </c>
      <c r="E3949" t="s">
        <v>731</v>
      </c>
    </row>
    <row r="3950" spans="1:5" hidden="1" x14ac:dyDescent="0.3">
      <c r="A3950" t="s">
        <v>557</v>
      </c>
      <c r="B3950" t="s">
        <v>731</v>
      </c>
      <c r="C3950" t="s">
        <v>201</v>
      </c>
      <c r="D3950" s="230">
        <v>-148836.35999999999</v>
      </c>
      <c r="E3950" t="s">
        <v>731</v>
      </c>
    </row>
    <row r="3951" spans="1:5" hidden="1" x14ac:dyDescent="0.3">
      <c r="A3951" t="s">
        <v>557</v>
      </c>
      <c r="B3951" t="s">
        <v>731</v>
      </c>
      <c r="C3951" t="s">
        <v>203</v>
      </c>
      <c r="D3951" s="230">
        <v>-148836.35999999999</v>
      </c>
      <c r="E3951" t="s">
        <v>731</v>
      </c>
    </row>
    <row r="3952" spans="1:5" hidden="1" x14ac:dyDescent="0.3">
      <c r="A3952" t="s">
        <v>557</v>
      </c>
      <c r="B3952" t="s">
        <v>731</v>
      </c>
      <c r="C3952" t="s">
        <v>678</v>
      </c>
      <c r="D3952" s="230">
        <v>74418.179999999993</v>
      </c>
      <c r="E3952" t="s">
        <v>731</v>
      </c>
    </row>
    <row r="3953" spans="1:5" hidden="1" x14ac:dyDescent="0.3">
      <c r="A3953" t="s">
        <v>557</v>
      </c>
      <c r="B3953" t="s">
        <v>731</v>
      </c>
      <c r="C3953" t="s">
        <v>205</v>
      </c>
      <c r="D3953" s="230">
        <v>-210726.12</v>
      </c>
      <c r="E3953" t="s">
        <v>731</v>
      </c>
    </row>
    <row r="3954" spans="1:5" hidden="1" x14ac:dyDescent="0.3">
      <c r="A3954" t="s">
        <v>557</v>
      </c>
      <c r="B3954" t="s">
        <v>731</v>
      </c>
      <c r="C3954" t="s">
        <v>679</v>
      </c>
      <c r="D3954" s="230">
        <v>-42218.13</v>
      </c>
      <c r="E3954" t="s">
        <v>731</v>
      </c>
    </row>
    <row r="3955" spans="1:5" hidden="1" x14ac:dyDescent="0.3">
      <c r="A3955" t="s">
        <v>557</v>
      </c>
      <c r="B3955" t="s">
        <v>731</v>
      </c>
      <c r="C3955" t="s">
        <v>680</v>
      </c>
      <c r="D3955" s="230">
        <v>-7576.98</v>
      </c>
      <c r="E3955" t="s">
        <v>731</v>
      </c>
    </row>
    <row r="3956" spans="1:5" hidden="1" x14ac:dyDescent="0.3">
      <c r="A3956" t="s">
        <v>557</v>
      </c>
      <c r="B3956" t="s">
        <v>731</v>
      </c>
      <c r="C3956" t="s">
        <v>681</v>
      </c>
      <c r="D3956" s="230">
        <v>0</v>
      </c>
      <c r="E3956" t="s">
        <v>731</v>
      </c>
    </row>
    <row r="3957" spans="1:5" hidden="1" x14ac:dyDescent="0.3">
      <c r="A3957" t="s">
        <v>557</v>
      </c>
      <c r="B3957" t="s">
        <v>731</v>
      </c>
      <c r="C3957" t="s">
        <v>682</v>
      </c>
      <c r="D3957" s="230">
        <v>-65881.73</v>
      </c>
      <c r="E3957" t="s">
        <v>731</v>
      </c>
    </row>
    <row r="3958" spans="1:5" hidden="1" x14ac:dyDescent="0.3">
      <c r="A3958" t="s">
        <v>557</v>
      </c>
      <c r="B3958" t="s">
        <v>731</v>
      </c>
      <c r="C3958" t="s">
        <v>683</v>
      </c>
      <c r="D3958" s="230">
        <v>-21611.58</v>
      </c>
      <c r="E3958" t="s">
        <v>731</v>
      </c>
    </row>
    <row r="3959" spans="1:5" hidden="1" x14ac:dyDescent="0.3">
      <c r="A3959" t="s">
        <v>557</v>
      </c>
      <c r="B3959" t="s">
        <v>731</v>
      </c>
      <c r="C3959" t="s">
        <v>684</v>
      </c>
      <c r="D3959" s="230">
        <v>-20150.3</v>
      </c>
      <c r="E3959" t="s">
        <v>731</v>
      </c>
    </row>
    <row r="3960" spans="1:5" hidden="1" x14ac:dyDescent="0.3">
      <c r="A3960" t="s">
        <v>557</v>
      </c>
      <c r="B3960" t="s">
        <v>731</v>
      </c>
      <c r="C3960" t="s">
        <v>685</v>
      </c>
      <c r="D3960" s="230">
        <v>-6023.58</v>
      </c>
      <c r="E3960" t="s">
        <v>731</v>
      </c>
    </row>
    <row r="3961" spans="1:5" hidden="1" x14ac:dyDescent="0.3">
      <c r="A3961" t="s">
        <v>557</v>
      </c>
      <c r="B3961" t="s">
        <v>731</v>
      </c>
      <c r="C3961" t="s">
        <v>686</v>
      </c>
      <c r="D3961" s="230">
        <v>0</v>
      </c>
      <c r="E3961" t="s">
        <v>731</v>
      </c>
    </row>
    <row r="3962" spans="1:5" hidden="1" x14ac:dyDescent="0.3">
      <c r="A3962" t="s">
        <v>557</v>
      </c>
      <c r="B3962" t="s">
        <v>731</v>
      </c>
      <c r="C3962" t="s">
        <v>687</v>
      </c>
      <c r="D3962" s="230">
        <v>0</v>
      </c>
      <c r="E3962" t="s">
        <v>731</v>
      </c>
    </row>
    <row r="3963" spans="1:5" hidden="1" x14ac:dyDescent="0.3">
      <c r="A3963" t="s">
        <v>557</v>
      </c>
      <c r="B3963" t="s">
        <v>731</v>
      </c>
      <c r="C3963" t="s">
        <v>688</v>
      </c>
      <c r="D3963" s="230">
        <v>0</v>
      </c>
      <c r="E3963" t="s">
        <v>731</v>
      </c>
    </row>
    <row r="3964" spans="1:5" hidden="1" x14ac:dyDescent="0.3">
      <c r="A3964" t="s">
        <v>557</v>
      </c>
      <c r="B3964" t="s">
        <v>731</v>
      </c>
      <c r="C3964" t="s">
        <v>689</v>
      </c>
      <c r="D3964" s="230">
        <v>-2585.23</v>
      </c>
      <c r="E3964" t="s">
        <v>731</v>
      </c>
    </row>
    <row r="3965" spans="1:5" hidden="1" x14ac:dyDescent="0.3">
      <c r="A3965" t="s">
        <v>557</v>
      </c>
      <c r="B3965" t="s">
        <v>731</v>
      </c>
      <c r="C3965" t="s">
        <v>690</v>
      </c>
      <c r="D3965" s="230">
        <v>-30000</v>
      </c>
      <c r="E3965" t="s">
        <v>731</v>
      </c>
    </row>
    <row r="3966" spans="1:5" hidden="1" x14ac:dyDescent="0.3">
      <c r="A3966" t="s">
        <v>557</v>
      </c>
      <c r="B3966" t="s">
        <v>731</v>
      </c>
      <c r="C3966" t="s">
        <v>691</v>
      </c>
      <c r="D3966" s="230">
        <v>0</v>
      </c>
      <c r="E3966" t="s">
        <v>731</v>
      </c>
    </row>
    <row r="3967" spans="1:5" hidden="1" x14ac:dyDescent="0.3">
      <c r="A3967" t="s">
        <v>557</v>
      </c>
      <c r="B3967" t="s">
        <v>731</v>
      </c>
      <c r="C3967" t="s">
        <v>692</v>
      </c>
      <c r="D3967" s="230">
        <v>-14525.58</v>
      </c>
      <c r="E3967" t="s">
        <v>731</v>
      </c>
    </row>
    <row r="3968" spans="1:5" hidden="1" x14ac:dyDescent="0.3">
      <c r="A3968" t="s">
        <v>557</v>
      </c>
      <c r="B3968" t="s">
        <v>731</v>
      </c>
      <c r="C3968" t="s">
        <v>693</v>
      </c>
      <c r="D3968" s="230">
        <v>-153</v>
      </c>
      <c r="E3968" t="s">
        <v>731</v>
      </c>
    </row>
    <row r="3969" spans="1:5" hidden="1" x14ac:dyDescent="0.3">
      <c r="A3969" t="s">
        <v>557</v>
      </c>
      <c r="B3969" t="s">
        <v>731</v>
      </c>
      <c r="C3969" t="s">
        <v>694</v>
      </c>
      <c r="D3969" s="230">
        <v>0</v>
      </c>
      <c r="E3969" t="s">
        <v>731</v>
      </c>
    </row>
    <row r="3970" spans="1:5" hidden="1" x14ac:dyDescent="0.3">
      <c r="A3970" t="s">
        <v>557</v>
      </c>
      <c r="B3970" t="s">
        <v>731</v>
      </c>
      <c r="C3970" t="s">
        <v>238</v>
      </c>
      <c r="D3970" s="230">
        <v>-65207.88</v>
      </c>
      <c r="E3970" t="s">
        <v>731</v>
      </c>
    </row>
    <row r="3971" spans="1:5" hidden="1" x14ac:dyDescent="0.3">
      <c r="A3971" t="s">
        <v>557</v>
      </c>
      <c r="B3971" t="s">
        <v>731</v>
      </c>
      <c r="C3971" t="s">
        <v>695</v>
      </c>
      <c r="D3971" s="230">
        <v>-64431.65</v>
      </c>
      <c r="E3971" t="s">
        <v>731</v>
      </c>
    </row>
    <row r="3972" spans="1:5" hidden="1" x14ac:dyDescent="0.3">
      <c r="A3972" t="s">
        <v>557</v>
      </c>
      <c r="B3972" t="s">
        <v>731</v>
      </c>
      <c r="C3972" t="s">
        <v>696</v>
      </c>
      <c r="D3972" s="230">
        <v>0</v>
      </c>
      <c r="E3972" t="s">
        <v>731</v>
      </c>
    </row>
    <row r="3973" spans="1:5" hidden="1" x14ac:dyDescent="0.3">
      <c r="A3973" t="s">
        <v>557</v>
      </c>
      <c r="B3973" t="s">
        <v>731</v>
      </c>
      <c r="C3973" t="s">
        <v>697</v>
      </c>
      <c r="D3973" s="230">
        <v>0</v>
      </c>
      <c r="E3973" t="s">
        <v>731</v>
      </c>
    </row>
    <row r="3974" spans="1:5" hidden="1" x14ac:dyDescent="0.3">
      <c r="A3974" t="s">
        <v>557</v>
      </c>
      <c r="B3974" t="s">
        <v>731</v>
      </c>
      <c r="C3974" t="s">
        <v>698</v>
      </c>
      <c r="D3974" s="230">
        <v>-776.23</v>
      </c>
      <c r="E3974" t="s">
        <v>731</v>
      </c>
    </row>
    <row r="3975" spans="1:5" hidden="1" x14ac:dyDescent="0.3">
      <c r="A3975" t="s">
        <v>557</v>
      </c>
      <c r="B3975" t="s">
        <v>731</v>
      </c>
      <c r="C3975" t="s">
        <v>699</v>
      </c>
      <c r="D3975" s="230">
        <v>0</v>
      </c>
      <c r="E3975" t="s">
        <v>731</v>
      </c>
    </row>
    <row r="3976" spans="1:5" hidden="1" x14ac:dyDescent="0.3">
      <c r="A3976" t="s">
        <v>557</v>
      </c>
      <c r="B3976" t="s">
        <v>731</v>
      </c>
      <c r="C3976" t="s">
        <v>245</v>
      </c>
      <c r="D3976" s="230">
        <v>-108193.71</v>
      </c>
      <c r="E3976" t="s">
        <v>731</v>
      </c>
    </row>
    <row r="3977" spans="1:5" hidden="1" x14ac:dyDescent="0.3">
      <c r="A3977" t="s">
        <v>557</v>
      </c>
      <c r="B3977" t="s">
        <v>731</v>
      </c>
      <c r="C3977" t="s">
        <v>700</v>
      </c>
      <c r="D3977" s="230">
        <v>-4760.2299999999996</v>
      </c>
      <c r="E3977" t="s">
        <v>731</v>
      </c>
    </row>
    <row r="3978" spans="1:5" hidden="1" x14ac:dyDescent="0.3">
      <c r="A3978" t="s">
        <v>557</v>
      </c>
      <c r="B3978" t="s">
        <v>731</v>
      </c>
      <c r="C3978" t="s">
        <v>701</v>
      </c>
      <c r="D3978" s="230">
        <v>-5871.09</v>
      </c>
      <c r="E3978" t="s">
        <v>731</v>
      </c>
    </row>
    <row r="3979" spans="1:5" hidden="1" x14ac:dyDescent="0.3">
      <c r="A3979" t="s">
        <v>557</v>
      </c>
      <c r="B3979" t="s">
        <v>731</v>
      </c>
      <c r="C3979" t="s">
        <v>702</v>
      </c>
      <c r="D3979" s="230">
        <v>0</v>
      </c>
      <c r="E3979" t="s">
        <v>731</v>
      </c>
    </row>
    <row r="3980" spans="1:5" hidden="1" x14ac:dyDescent="0.3">
      <c r="A3980" t="s">
        <v>557</v>
      </c>
      <c r="B3980" t="s">
        <v>731</v>
      </c>
      <c r="C3980" t="s">
        <v>703</v>
      </c>
      <c r="D3980" s="230">
        <v>0</v>
      </c>
      <c r="E3980" t="s">
        <v>731</v>
      </c>
    </row>
    <row r="3981" spans="1:5" hidden="1" x14ac:dyDescent="0.3">
      <c r="A3981" t="s">
        <v>557</v>
      </c>
      <c r="B3981" t="s">
        <v>731</v>
      </c>
      <c r="C3981" t="s">
        <v>704</v>
      </c>
      <c r="D3981" s="230">
        <v>0</v>
      </c>
      <c r="E3981" t="s">
        <v>731</v>
      </c>
    </row>
    <row r="3982" spans="1:5" hidden="1" x14ac:dyDescent="0.3">
      <c r="A3982" t="s">
        <v>557</v>
      </c>
      <c r="B3982" t="s">
        <v>731</v>
      </c>
      <c r="C3982" t="s">
        <v>705</v>
      </c>
      <c r="D3982" s="230">
        <v>-97562.39</v>
      </c>
      <c r="E3982" t="s">
        <v>731</v>
      </c>
    </row>
    <row r="3983" spans="1:5" hidden="1" x14ac:dyDescent="0.3">
      <c r="A3983" t="s">
        <v>557</v>
      </c>
      <c r="B3983" t="s">
        <v>731</v>
      </c>
      <c r="C3983" t="s">
        <v>706</v>
      </c>
      <c r="D3983" s="230">
        <v>0</v>
      </c>
      <c r="E3983" t="s">
        <v>731</v>
      </c>
    </row>
    <row r="3984" spans="1:5" hidden="1" x14ac:dyDescent="0.3">
      <c r="A3984" t="s">
        <v>557</v>
      </c>
      <c r="B3984" t="s">
        <v>731</v>
      </c>
      <c r="C3984" t="s">
        <v>254</v>
      </c>
      <c r="D3984" s="230">
        <v>-0.27</v>
      </c>
      <c r="E3984" t="s">
        <v>731</v>
      </c>
    </row>
    <row r="3985" spans="1:5" hidden="1" x14ac:dyDescent="0.3">
      <c r="A3985" t="s">
        <v>557</v>
      </c>
      <c r="B3985" t="s">
        <v>731</v>
      </c>
      <c r="C3985" t="s">
        <v>255</v>
      </c>
      <c r="D3985" s="230">
        <v>-0.18</v>
      </c>
      <c r="E3985" t="s">
        <v>731</v>
      </c>
    </row>
    <row r="3986" spans="1:5" hidden="1" x14ac:dyDescent="0.3">
      <c r="A3986" t="s">
        <v>557</v>
      </c>
      <c r="B3986" t="s">
        <v>731</v>
      </c>
      <c r="C3986" t="s">
        <v>256</v>
      </c>
      <c r="D3986" s="230">
        <v>-621028.4</v>
      </c>
      <c r="E3986" t="s">
        <v>731</v>
      </c>
    </row>
    <row r="3987" spans="1:5" hidden="1" x14ac:dyDescent="0.3">
      <c r="A3987" t="s">
        <v>557</v>
      </c>
      <c r="B3987" t="s">
        <v>731</v>
      </c>
      <c r="C3987" t="s">
        <v>257</v>
      </c>
      <c r="D3987" s="230">
        <v>-591668.4</v>
      </c>
      <c r="E3987" t="s">
        <v>731</v>
      </c>
    </row>
    <row r="3988" spans="1:5" hidden="1" x14ac:dyDescent="0.3">
      <c r="A3988" t="s">
        <v>557</v>
      </c>
      <c r="B3988" t="s">
        <v>731</v>
      </c>
      <c r="C3988" t="s">
        <v>258</v>
      </c>
      <c r="D3988" s="230">
        <v>0</v>
      </c>
      <c r="E3988" t="s">
        <v>731</v>
      </c>
    </row>
    <row r="3989" spans="1:5" hidden="1" x14ac:dyDescent="0.3">
      <c r="A3989" t="s">
        <v>557</v>
      </c>
      <c r="B3989" t="s">
        <v>731</v>
      </c>
      <c r="C3989" t="s">
        <v>259</v>
      </c>
      <c r="D3989" s="230">
        <v>-29360</v>
      </c>
      <c r="E3989" t="s">
        <v>731</v>
      </c>
    </row>
    <row r="3990" spans="1:5" hidden="1" x14ac:dyDescent="0.3">
      <c r="A3990" t="s">
        <v>557</v>
      </c>
      <c r="B3990" t="s">
        <v>731</v>
      </c>
      <c r="C3990" t="s">
        <v>260</v>
      </c>
      <c r="D3990" s="230">
        <v>0</v>
      </c>
      <c r="E3990" t="s">
        <v>731</v>
      </c>
    </row>
    <row r="3991" spans="1:5" hidden="1" x14ac:dyDescent="0.3">
      <c r="A3991" t="s">
        <v>557</v>
      </c>
      <c r="B3991" t="s">
        <v>731</v>
      </c>
      <c r="C3991" t="s">
        <v>261</v>
      </c>
      <c r="D3991" s="230">
        <v>0</v>
      </c>
      <c r="E3991" t="s">
        <v>731</v>
      </c>
    </row>
    <row r="3992" spans="1:5" hidden="1" x14ac:dyDescent="0.3">
      <c r="A3992" t="s">
        <v>557</v>
      </c>
      <c r="B3992" t="s">
        <v>731</v>
      </c>
      <c r="C3992" t="s">
        <v>262</v>
      </c>
      <c r="D3992" s="230">
        <v>0</v>
      </c>
      <c r="E3992" t="s">
        <v>731</v>
      </c>
    </row>
    <row r="3993" spans="1:5" hidden="1" x14ac:dyDescent="0.3">
      <c r="A3993" t="s">
        <v>557</v>
      </c>
      <c r="B3993" t="s">
        <v>731</v>
      </c>
      <c r="C3993" t="s">
        <v>263</v>
      </c>
      <c r="D3993" s="230">
        <v>0</v>
      </c>
      <c r="E3993" t="s">
        <v>731</v>
      </c>
    </row>
    <row r="3994" spans="1:5" hidden="1" x14ac:dyDescent="0.3">
      <c r="A3994" t="s">
        <v>557</v>
      </c>
      <c r="B3994" t="s">
        <v>731</v>
      </c>
      <c r="C3994" t="s">
        <v>44</v>
      </c>
      <c r="D3994" s="230">
        <v>-0.12</v>
      </c>
      <c r="E3994" t="s">
        <v>731</v>
      </c>
    </row>
    <row r="3995" spans="1:5" hidden="1" x14ac:dyDescent="0.3">
      <c r="A3995" t="s">
        <v>557</v>
      </c>
      <c r="B3995" t="s">
        <v>731</v>
      </c>
      <c r="C3995" t="s">
        <v>264</v>
      </c>
      <c r="D3995" s="230">
        <v>-432716.73</v>
      </c>
      <c r="E3995" t="s">
        <v>731</v>
      </c>
    </row>
    <row r="3996" spans="1:5" hidden="1" x14ac:dyDescent="0.3">
      <c r="A3996" t="s">
        <v>557</v>
      </c>
      <c r="B3996" t="s">
        <v>731</v>
      </c>
      <c r="C3996" t="s">
        <v>265</v>
      </c>
      <c r="D3996" s="230">
        <v>-67902.89</v>
      </c>
      <c r="E3996" t="s">
        <v>731</v>
      </c>
    </row>
    <row r="3997" spans="1:5" hidden="1" x14ac:dyDescent="0.3">
      <c r="A3997" t="s">
        <v>557</v>
      </c>
      <c r="B3997" t="s">
        <v>731</v>
      </c>
      <c r="C3997" t="s">
        <v>266</v>
      </c>
      <c r="D3997" s="230">
        <v>-127294.77</v>
      </c>
      <c r="E3997" t="s">
        <v>731</v>
      </c>
    </row>
    <row r="3998" spans="1:5" hidden="1" x14ac:dyDescent="0.3">
      <c r="A3998" t="s">
        <v>557</v>
      </c>
      <c r="B3998" t="s">
        <v>731</v>
      </c>
      <c r="C3998" t="s">
        <v>267</v>
      </c>
      <c r="D3998" s="230">
        <v>-66088.12</v>
      </c>
      <c r="E3998" t="s">
        <v>731</v>
      </c>
    </row>
    <row r="3999" spans="1:5" hidden="1" x14ac:dyDescent="0.3">
      <c r="A3999" t="s">
        <v>557</v>
      </c>
      <c r="B3999" t="s">
        <v>731</v>
      </c>
      <c r="C3999" t="s">
        <v>268</v>
      </c>
      <c r="D3999" s="230">
        <v>-79335.039999999994</v>
      </c>
      <c r="E3999" t="s">
        <v>731</v>
      </c>
    </row>
    <row r="4000" spans="1:5" hidden="1" x14ac:dyDescent="0.3">
      <c r="A4000" t="s">
        <v>557</v>
      </c>
      <c r="B4000" t="s">
        <v>731</v>
      </c>
      <c r="C4000" t="s">
        <v>269</v>
      </c>
      <c r="D4000" s="230">
        <v>0</v>
      </c>
      <c r="E4000" t="s">
        <v>731</v>
      </c>
    </row>
    <row r="4001" spans="1:5" hidden="1" x14ac:dyDescent="0.3">
      <c r="A4001" t="s">
        <v>557</v>
      </c>
      <c r="B4001" t="s">
        <v>731</v>
      </c>
      <c r="C4001" t="s">
        <v>270</v>
      </c>
      <c r="D4001" s="230">
        <v>-6100</v>
      </c>
      <c r="E4001" t="s">
        <v>731</v>
      </c>
    </row>
    <row r="4002" spans="1:5" hidden="1" x14ac:dyDescent="0.3">
      <c r="A4002" t="s">
        <v>557</v>
      </c>
      <c r="B4002" t="s">
        <v>731</v>
      </c>
      <c r="C4002" t="s">
        <v>271</v>
      </c>
      <c r="D4002" s="230">
        <v>-10377.799999999999</v>
      </c>
      <c r="E4002" t="s">
        <v>731</v>
      </c>
    </row>
    <row r="4003" spans="1:5" hidden="1" x14ac:dyDescent="0.3">
      <c r="A4003" t="s">
        <v>557</v>
      </c>
      <c r="B4003" t="s">
        <v>731</v>
      </c>
      <c r="C4003" t="s">
        <v>272</v>
      </c>
      <c r="D4003" s="230">
        <v>-18888.810000000001</v>
      </c>
      <c r="E4003" t="s">
        <v>731</v>
      </c>
    </row>
    <row r="4004" spans="1:5" hidden="1" x14ac:dyDescent="0.3">
      <c r="A4004" t="s">
        <v>557</v>
      </c>
      <c r="B4004" t="s">
        <v>731</v>
      </c>
      <c r="C4004" t="s">
        <v>273</v>
      </c>
      <c r="D4004" s="230">
        <v>-2066.9899999999998</v>
      </c>
      <c r="E4004" t="s">
        <v>731</v>
      </c>
    </row>
    <row r="4005" spans="1:5" hidden="1" x14ac:dyDescent="0.3">
      <c r="A4005" t="s">
        <v>557</v>
      </c>
      <c r="B4005" t="s">
        <v>731</v>
      </c>
      <c r="C4005" t="s">
        <v>274</v>
      </c>
      <c r="D4005" s="230">
        <v>-64.260000000000005</v>
      </c>
      <c r="E4005" t="s">
        <v>731</v>
      </c>
    </row>
    <row r="4006" spans="1:5" hidden="1" x14ac:dyDescent="0.3">
      <c r="A4006" t="s">
        <v>557</v>
      </c>
      <c r="B4006" t="s">
        <v>731</v>
      </c>
      <c r="C4006" t="s">
        <v>275</v>
      </c>
      <c r="D4006" s="230">
        <v>-5551.68</v>
      </c>
      <c r="E4006" t="s">
        <v>731</v>
      </c>
    </row>
    <row r="4007" spans="1:5" hidden="1" x14ac:dyDescent="0.3">
      <c r="A4007" t="s">
        <v>557</v>
      </c>
      <c r="B4007" t="s">
        <v>731</v>
      </c>
      <c r="C4007" t="s">
        <v>276</v>
      </c>
      <c r="D4007" s="230">
        <v>-4020.18</v>
      </c>
      <c r="E4007" t="s">
        <v>731</v>
      </c>
    </row>
    <row r="4008" spans="1:5" hidden="1" x14ac:dyDescent="0.3">
      <c r="A4008" t="s">
        <v>557</v>
      </c>
      <c r="B4008" t="s">
        <v>731</v>
      </c>
      <c r="C4008" t="s">
        <v>277</v>
      </c>
      <c r="D4008" s="230">
        <v>0</v>
      </c>
      <c r="E4008" t="s">
        <v>731</v>
      </c>
    </row>
    <row r="4009" spans="1:5" hidden="1" x14ac:dyDescent="0.3">
      <c r="A4009" t="s">
        <v>557</v>
      </c>
      <c r="B4009" t="s">
        <v>731</v>
      </c>
      <c r="C4009" t="s">
        <v>278</v>
      </c>
      <c r="D4009" s="230">
        <v>-45026.19</v>
      </c>
      <c r="E4009" t="s">
        <v>731</v>
      </c>
    </row>
    <row r="4010" spans="1:5" hidden="1" x14ac:dyDescent="0.3">
      <c r="A4010" t="s">
        <v>557</v>
      </c>
      <c r="B4010" t="s">
        <v>731</v>
      </c>
      <c r="C4010" t="s">
        <v>44</v>
      </c>
      <c r="D4010" s="230">
        <v>-0.08</v>
      </c>
      <c r="E4010" t="s">
        <v>731</v>
      </c>
    </row>
    <row r="4011" spans="1:5" hidden="1" x14ac:dyDescent="0.3">
      <c r="A4011" t="s">
        <v>557</v>
      </c>
      <c r="B4011" t="s">
        <v>731</v>
      </c>
      <c r="C4011" t="s">
        <v>279</v>
      </c>
      <c r="D4011" s="230">
        <v>-74860.210000000006</v>
      </c>
      <c r="E4011" t="s">
        <v>731</v>
      </c>
    </row>
    <row r="4012" spans="1:5" hidden="1" x14ac:dyDescent="0.3">
      <c r="A4012" t="s">
        <v>557</v>
      </c>
      <c r="B4012" t="s">
        <v>731</v>
      </c>
      <c r="C4012" t="s">
        <v>280</v>
      </c>
      <c r="D4012" s="230">
        <v>-3598.8</v>
      </c>
      <c r="E4012" t="s">
        <v>731</v>
      </c>
    </row>
    <row r="4013" spans="1:5" hidden="1" x14ac:dyDescent="0.3">
      <c r="A4013" t="s">
        <v>557</v>
      </c>
      <c r="B4013" t="s">
        <v>731</v>
      </c>
      <c r="C4013" t="s">
        <v>281</v>
      </c>
      <c r="D4013" s="230">
        <v>-4310.3</v>
      </c>
      <c r="E4013" t="s">
        <v>731</v>
      </c>
    </row>
    <row r="4014" spans="1:5" hidden="1" x14ac:dyDescent="0.3">
      <c r="A4014" t="s">
        <v>557</v>
      </c>
      <c r="B4014" t="s">
        <v>731</v>
      </c>
      <c r="C4014" t="s">
        <v>282</v>
      </c>
      <c r="D4014" s="230">
        <v>-3794.4</v>
      </c>
      <c r="E4014" t="s">
        <v>731</v>
      </c>
    </row>
    <row r="4015" spans="1:5" hidden="1" x14ac:dyDescent="0.3">
      <c r="A4015" t="s">
        <v>557</v>
      </c>
      <c r="B4015" t="s">
        <v>731</v>
      </c>
      <c r="C4015" t="s">
        <v>283</v>
      </c>
      <c r="D4015" s="230">
        <v>-4639.76</v>
      </c>
      <c r="E4015" t="s">
        <v>731</v>
      </c>
    </row>
    <row r="4016" spans="1:5" hidden="1" x14ac:dyDescent="0.3">
      <c r="A4016" t="s">
        <v>557</v>
      </c>
      <c r="B4016" t="s">
        <v>731</v>
      </c>
      <c r="C4016" t="s">
        <v>284</v>
      </c>
      <c r="D4016" s="230">
        <v>-58516.95</v>
      </c>
      <c r="E4016" t="s">
        <v>731</v>
      </c>
    </row>
    <row r="4017" spans="1:5" hidden="1" x14ac:dyDescent="0.3">
      <c r="A4017" t="s">
        <v>557</v>
      </c>
      <c r="B4017" t="s">
        <v>731</v>
      </c>
      <c r="C4017" t="s">
        <v>285</v>
      </c>
      <c r="D4017" s="230">
        <v>0</v>
      </c>
      <c r="E4017" t="s">
        <v>731</v>
      </c>
    </row>
    <row r="4018" spans="1:5" hidden="1" x14ac:dyDescent="0.3">
      <c r="A4018" t="s">
        <v>557</v>
      </c>
      <c r="B4018" t="s">
        <v>731</v>
      </c>
      <c r="C4018" t="s">
        <v>286</v>
      </c>
      <c r="D4018" s="230">
        <v>0</v>
      </c>
      <c r="E4018" t="s">
        <v>731</v>
      </c>
    </row>
    <row r="4019" spans="1:5" hidden="1" x14ac:dyDescent="0.3">
      <c r="A4019" t="s">
        <v>557</v>
      </c>
      <c r="B4019" t="s">
        <v>731</v>
      </c>
      <c r="C4019" t="s">
        <v>44</v>
      </c>
      <c r="D4019" s="230">
        <v>-0.01</v>
      </c>
      <c r="E4019" t="s">
        <v>731</v>
      </c>
    </row>
    <row r="4020" spans="1:5" hidden="1" x14ac:dyDescent="0.3">
      <c r="A4020" t="s">
        <v>557</v>
      </c>
      <c r="B4020" t="s">
        <v>731</v>
      </c>
      <c r="C4020" t="s">
        <v>287</v>
      </c>
      <c r="D4020" s="230">
        <v>-119988.9</v>
      </c>
      <c r="E4020" t="s">
        <v>731</v>
      </c>
    </row>
    <row r="4021" spans="1:5" hidden="1" x14ac:dyDescent="0.3">
      <c r="A4021" t="s">
        <v>557</v>
      </c>
      <c r="B4021" t="s">
        <v>731</v>
      </c>
      <c r="C4021" t="s">
        <v>288</v>
      </c>
      <c r="D4021" s="230">
        <v>-112342.39</v>
      </c>
      <c r="E4021" t="s">
        <v>731</v>
      </c>
    </row>
    <row r="4022" spans="1:5" hidden="1" x14ac:dyDescent="0.3">
      <c r="A4022" t="s">
        <v>557</v>
      </c>
      <c r="B4022" t="s">
        <v>731</v>
      </c>
      <c r="C4022" t="s">
        <v>289</v>
      </c>
      <c r="D4022" s="230">
        <v>0</v>
      </c>
      <c r="E4022" t="s">
        <v>731</v>
      </c>
    </row>
    <row r="4023" spans="1:5" hidden="1" x14ac:dyDescent="0.3">
      <c r="A4023" t="s">
        <v>557</v>
      </c>
      <c r="B4023" t="s">
        <v>731</v>
      </c>
      <c r="C4023" t="s">
        <v>290</v>
      </c>
      <c r="D4023" s="230">
        <v>0</v>
      </c>
      <c r="E4023" t="s">
        <v>731</v>
      </c>
    </row>
    <row r="4024" spans="1:5" hidden="1" x14ac:dyDescent="0.3">
      <c r="A4024" t="s">
        <v>557</v>
      </c>
      <c r="B4024" t="s">
        <v>731</v>
      </c>
      <c r="C4024" t="s">
        <v>291</v>
      </c>
      <c r="D4024" s="230">
        <v>0</v>
      </c>
      <c r="E4024" t="s">
        <v>731</v>
      </c>
    </row>
    <row r="4025" spans="1:5" hidden="1" x14ac:dyDescent="0.3">
      <c r="A4025" t="s">
        <v>557</v>
      </c>
      <c r="B4025" t="s">
        <v>731</v>
      </c>
      <c r="C4025" t="s">
        <v>292</v>
      </c>
      <c r="D4025" s="230">
        <v>-940</v>
      </c>
      <c r="E4025" t="s">
        <v>731</v>
      </c>
    </row>
    <row r="4026" spans="1:5" hidden="1" x14ac:dyDescent="0.3">
      <c r="A4026" t="s">
        <v>557</v>
      </c>
      <c r="B4026" t="s">
        <v>731</v>
      </c>
      <c r="C4026" t="s">
        <v>293</v>
      </c>
      <c r="D4026" s="230">
        <v>-4715.42</v>
      </c>
      <c r="E4026" t="s">
        <v>731</v>
      </c>
    </row>
    <row r="4027" spans="1:5" hidden="1" x14ac:dyDescent="0.3">
      <c r="A4027" t="s">
        <v>557</v>
      </c>
      <c r="B4027" t="s">
        <v>731</v>
      </c>
      <c r="C4027" t="s">
        <v>294</v>
      </c>
      <c r="D4027" s="230">
        <v>-1991.09</v>
      </c>
      <c r="E4027" t="s">
        <v>731</v>
      </c>
    </row>
    <row r="4028" spans="1:5" hidden="1" x14ac:dyDescent="0.3">
      <c r="A4028" t="s">
        <v>557</v>
      </c>
      <c r="B4028" t="s">
        <v>731</v>
      </c>
      <c r="C4028" t="s">
        <v>295</v>
      </c>
      <c r="D4028" s="230">
        <v>0</v>
      </c>
      <c r="E4028" t="s">
        <v>731</v>
      </c>
    </row>
    <row r="4029" spans="1:5" hidden="1" x14ac:dyDescent="0.3">
      <c r="A4029" t="s">
        <v>557</v>
      </c>
      <c r="B4029" t="s">
        <v>731</v>
      </c>
      <c r="C4029" t="s">
        <v>44</v>
      </c>
      <c r="D4029" s="230">
        <v>-0.02</v>
      </c>
      <c r="E4029" t="s">
        <v>731</v>
      </c>
    </row>
    <row r="4030" spans="1:5" hidden="1" x14ac:dyDescent="0.3">
      <c r="A4030" t="s">
        <v>557</v>
      </c>
      <c r="B4030" t="s">
        <v>731</v>
      </c>
      <c r="C4030" t="s">
        <v>296</v>
      </c>
      <c r="D4030" s="230">
        <v>-77458.490000000005</v>
      </c>
      <c r="E4030" t="s">
        <v>731</v>
      </c>
    </row>
    <row r="4031" spans="1:5" hidden="1" x14ac:dyDescent="0.3">
      <c r="A4031" t="s">
        <v>557</v>
      </c>
      <c r="B4031" t="s">
        <v>731</v>
      </c>
      <c r="C4031" t="s">
        <v>297</v>
      </c>
      <c r="D4031" s="230">
        <v>-41000</v>
      </c>
      <c r="E4031" t="s">
        <v>731</v>
      </c>
    </row>
    <row r="4032" spans="1:5" hidden="1" x14ac:dyDescent="0.3">
      <c r="A4032" t="s">
        <v>557</v>
      </c>
      <c r="B4032" t="s">
        <v>731</v>
      </c>
      <c r="C4032" t="s">
        <v>298</v>
      </c>
      <c r="D4032" s="230">
        <v>-5510</v>
      </c>
      <c r="E4032" t="s">
        <v>731</v>
      </c>
    </row>
    <row r="4033" spans="1:5" hidden="1" x14ac:dyDescent="0.3">
      <c r="A4033" t="s">
        <v>557</v>
      </c>
      <c r="B4033" t="s">
        <v>731</v>
      </c>
      <c r="C4033" t="s">
        <v>299</v>
      </c>
      <c r="D4033" s="230">
        <v>0</v>
      </c>
      <c r="E4033" t="s">
        <v>731</v>
      </c>
    </row>
    <row r="4034" spans="1:5" hidden="1" x14ac:dyDescent="0.3">
      <c r="A4034" t="s">
        <v>557</v>
      </c>
      <c r="B4034" t="s">
        <v>731</v>
      </c>
      <c r="C4034" t="s">
        <v>300</v>
      </c>
      <c r="D4034" s="230">
        <v>0</v>
      </c>
      <c r="E4034" t="s">
        <v>731</v>
      </c>
    </row>
    <row r="4035" spans="1:5" hidden="1" x14ac:dyDescent="0.3">
      <c r="A4035" t="s">
        <v>557</v>
      </c>
      <c r="B4035" t="s">
        <v>731</v>
      </c>
      <c r="C4035" t="s">
        <v>301</v>
      </c>
      <c r="D4035" s="230">
        <v>-4319.9399999999996</v>
      </c>
      <c r="E4035" t="s">
        <v>731</v>
      </c>
    </row>
    <row r="4036" spans="1:5" hidden="1" x14ac:dyDescent="0.3">
      <c r="A4036" t="s">
        <v>557</v>
      </c>
      <c r="B4036" t="s">
        <v>731</v>
      </c>
      <c r="C4036" t="s">
        <v>302</v>
      </c>
      <c r="D4036" s="230">
        <v>0</v>
      </c>
      <c r="E4036" t="s">
        <v>731</v>
      </c>
    </row>
    <row r="4037" spans="1:5" hidden="1" x14ac:dyDescent="0.3">
      <c r="A4037" t="s">
        <v>557</v>
      </c>
      <c r="B4037" t="s">
        <v>731</v>
      </c>
      <c r="C4037" t="s">
        <v>303</v>
      </c>
      <c r="D4037" s="230">
        <v>0</v>
      </c>
      <c r="E4037" t="s">
        <v>731</v>
      </c>
    </row>
    <row r="4038" spans="1:5" hidden="1" x14ac:dyDescent="0.3">
      <c r="A4038" t="s">
        <v>557</v>
      </c>
      <c r="B4038" t="s">
        <v>731</v>
      </c>
      <c r="C4038" t="s">
        <v>304</v>
      </c>
      <c r="D4038" s="230">
        <v>-3389.84</v>
      </c>
      <c r="E4038" t="s">
        <v>731</v>
      </c>
    </row>
    <row r="4039" spans="1:5" hidden="1" x14ac:dyDescent="0.3">
      <c r="A4039" t="s">
        <v>557</v>
      </c>
      <c r="B4039" t="s">
        <v>731</v>
      </c>
      <c r="C4039" t="s">
        <v>305</v>
      </c>
      <c r="D4039" s="230">
        <v>-2177.5100000000002</v>
      </c>
      <c r="E4039" t="s">
        <v>731</v>
      </c>
    </row>
    <row r="4040" spans="1:5" hidden="1" x14ac:dyDescent="0.3">
      <c r="A4040" t="s">
        <v>557</v>
      </c>
      <c r="B4040" t="s">
        <v>731</v>
      </c>
      <c r="C4040" t="s">
        <v>306</v>
      </c>
      <c r="D4040" s="230">
        <v>0</v>
      </c>
      <c r="E4040" t="s">
        <v>731</v>
      </c>
    </row>
    <row r="4041" spans="1:5" hidden="1" x14ac:dyDescent="0.3">
      <c r="A4041" t="s">
        <v>557</v>
      </c>
      <c r="B4041" t="s">
        <v>731</v>
      </c>
      <c r="C4041" t="s">
        <v>307</v>
      </c>
      <c r="D4041" s="230">
        <v>-21061.200000000001</v>
      </c>
      <c r="E4041" t="s">
        <v>731</v>
      </c>
    </row>
    <row r="4042" spans="1:5" hidden="1" x14ac:dyDescent="0.3">
      <c r="A4042" t="s">
        <v>557</v>
      </c>
      <c r="B4042" t="s">
        <v>731</v>
      </c>
      <c r="C4042" t="s">
        <v>44</v>
      </c>
      <c r="D4042" s="230">
        <v>-0.01</v>
      </c>
      <c r="E4042" t="s">
        <v>731</v>
      </c>
    </row>
    <row r="4043" spans="1:5" hidden="1" x14ac:dyDescent="0.3">
      <c r="A4043" t="s">
        <v>557</v>
      </c>
      <c r="B4043" t="s">
        <v>731</v>
      </c>
      <c r="C4043" t="s">
        <v>308</v>
      </c>
      <c r="D4043" s="230">
        <v>-53201.43</v>
      </c>
      <c r="E4043" t="s">
        <v>731</v>
      </c>
    </row>
    <row r="4044" spans="1:5" hidden="1" x14ac:dyDescent="0.3">
      <c r="A4044" t="s">
        <v>557</v>
      </c>
      <c r="B4044" t="s">
        <v>731</v>
      </c>
      <c r="C4044" t="s">
        <v>309</v>
      </c>
      <c r="D4044" s="230">
        <v>-24653.4</v>
      </c>
      <c r="E4044" t="s">
        <v>731</v>
      </c>
    </row>
    <row r="4045" spans="1:5" hidden="1" x14ac:dyDescent="0.3">
      <c r="A4045" t="s">
        <v>557</v>
      </c>
      <c r="B4045" t="s">
        <v>731</v>
      </c>
      <c r="C4045" t="s">
        <v>310</v>
      </c>
      <c r="D4045" s="230">
        <v>0</v>
      </c>
      <c r="E4045" t="s">
        <v>731</v>
      </c>
    </row>
    <row r="4046" spans="1:5" hidden="1" x14ac:dyDescent="0.3">
      <c r="A4046" t="s">
        <v>557</v>
      </c>
      <c r="B4046" t="s">
        <v>731</v>
      </c>
      <c r="C4046" t="s">
        <v>311</v>
      </c>
      <c r="D4046" s="230">
        <v>-28253.279999999999</v>
      </c>
      <c r="E4046" t="s">
        <v>731</v>
      </c>
    </row>
    <row r="4047" spans="1:5" hidden="1" x14ac:dyDescent="0.3">
      <c r="A4047" t="s">
        <v>557</v>
      </c>
      <c r="B4047" t="s">
        <v>731</v>
      </c>
      <c r="C4047" t="s">
        <v>312</v>
      </c>
      <c r="D4047" s="230">
        <v>0</v>
      </c>
      <c r="E4047" t="s">
        <v>731</v>
      </c>
    </row>
    <row r="4048" spans="1:5" hidden="1" x14ac:dyDescent="0.3">
      <c r="A4048" t="s">
        <v>557</v>
      </c>
      <c r="B4048" t="s">
        <v>731</v>
      </c>
      <c r="C4048" t="s">
        <v>313</v>
      </c>
      <c r="D4048" s="230">
        <v>0</v>
      </c>
      <c r="E4048" t="s">
        <v>731</v>
      </c>
    </row>
    <row r="4049" spans="1:5" hidden="1" x14ac:dyDescent="0.3">
      <c r="A4049" t="s">
        <v>557</v>
      </c>
      <c r="B4049" t="s">
        <v>731</v>
      </c>
      <c r="C4049" t="s">
        <v>314</v>
      </c>
      <c r="D4049" s="230">
        <v>0</v>
      </c>
      <c r="E4049" t="s">
        <v>731</v>
      </c>
    </row>
    <row r="4050" spans="1:5" hidden="1" x14ac:dyDescent="0.3">
      <c r="A4050" t="s">
        <v>557</v>
      </c>
      <c r="B4050" t="s">
        <v>731</v>
      </c>
      <c r="C4050" t="s">
        <v>315</v>
      </c>
      <c r="D4050" s="230">
        <v>0</v>
      </c>
      <c r="E4050" t="s">
        <v>731</v>
      </c>
    </row>
    <row r="4051" spans="1:5" hidden="1" x14ac:dyDescent="0.3">
      <c r="A4051" t="s">
        <v>557</v>
      </c>
      <c r="B4051" t="s">
        <v>731</v>
      </c>
      <c r="C4051" t="s">
        <v>316</v>
      </c>
      <c r="D4051" s="230">
        <v>-236.23</v>
      </c>
      <c r="E4051" t="s">
        <v>731</v>
      </c>
    </row>
    <row r="4052" spans="1:5" hidden="1" x14ac:dyDescent="0.3">
      <c r="A4052" t="s">
        <v>557</v>
      </c>
      <c r="B4052" t="s">
        <v>731</v>
      </c>
      <c r="C4052" t="s">
        <v>317</v>
      </c>
      <c r="D4052" s="230">
        <v>-58.52</v>
      </c>
      <c r="E4052" t="s">
        <v>731</v>
      </c>
    </row>
    <row r="4053" spans="1:5" hidden="1" x14ac:dyDescent="0.3">
      <c r="A4053" t="s">
        <v>557</v>
      </c>
      <c r="B4053" t="s">
        <v>731</v>
      </c>
      <c r="C4053" t="s">
        <v>44</v>
      </c>
      <c r="D4053" s="230">
        <v>-0.01</v>
      </c>
      <c r="E4053" t="s">
        <v>731</v>
      </c>
    </row>
    <row r="4054" spans="1:5" hidden="1" x14ac:dyDescent="0.3">
      <c r="A4054" t="s">
        <v>557</v>
      </c>
      <c r="B4054" t="s">
        <v>731</v>
      </c>
      <c r="C4054" t="s">
        <v>318</v>
      </c>
      <c r="D4054" s="230">
        <v>-28827.82</v>
      </c>
      <c r="E4054" t="s">
        <v>731</v>
      </c>
    </row>
    <row r="4055" spans="1:5" hidden="1" x14ac:dyDescent="0.3">
      <c r="A4055" t="s">
        <v>557</v>
      </c>
      <c r="B4055" t="s">
        <v>731</v>
      </c>
      <c r="C4055" t="s">
        <v>319</v>
      </c>
      <c r="D4055" s="230">
        <v>-28827.82</v>
      </c>
      <c r="E4055" t="s">
        <v>731</v>
      </c>
    </row>
    <row r="4056" spans="1:5" hidden="1" x14ac:dyDescent="0.3">
      <c r="A4056" t="s">
        <v>557</v>
      </c>
      <c r="B4056" t="s">
        <v>731</v>
      </c>
      <c r="C4056" t="s">
        <v>320</v>
      </c>
      <c r="D4056" s="230">
        <v>0</v>
      </c>
      <c r="E4056" t="s">
        <v>731</v>
      </c>
    </row>
    <row r="4057" spans="1:5" hidden="1" x14ac:dyDescent="0.3">
      <c r="A4057" t="s">
        <v>557</v>
      </c>
      <c r="B4057" t="s">
        <v>731</v>
      </c>
      <c r="C4057" t="s">
        <v>321</v>
      </c>
      <c r="D4057" s="230">
        <v>0</v>
      </c>
      <c r="E4057" t="s">
        <v>731</v>
      </c>
    </row>
    <row r="4058" spans="1:5" hidden="1" x14ac:dyDescent="0.3">
      <c r="A4058" t="s">
        <v>557</v>
      </c>
      <c r="B4058" t="s">
        <v>731</v>
      </c>
      <c r="C4058" t="s">
        <v>322</v>
      </c>
      <c r="D4058" s="230">
        <v>0</v>
      </c>
      <c r="E4058" t="s">
        <v>731</v>
      </c>
    </row>
    <row r="4059" spans="1:5" hidden="1" x14ac:dyDescent="0.3">
      <c r="A4059" t="s">
        <v>557</v>
      </c>
      <c r="B4059" t="s">
        <v>731</v>
      </c>
      <c r="C4059" t="s">
        <v>44</v>
      </c>
      <c r="D4059" s="230">
        <v>-0.01</v>
      </c>
      <c r="E4059" t="s">
        <v>731</v>
      </c>
    </row>
    <row r="4060" spans="1:5" hidden="1" x14ac:dyDescent="0.3">
      <c r="A4060" t="s">
        <v>557</v>
      </c>
      <c r="B4060" t="s">
        <v>731</v>
      </c>
      <c r="C4060" t="s">
        <v>323</v>
      </c>
      <c r="D4060" s="230">
        <v>-266449.13</v>
      </c>
      <c r="E4060" t="s">
        <v>731</v>
      </c>
    </row>
    <row r="4061" spans="1:5" hidden="1" x14ac:dyDescent="0.3">
      <c r="A4061" t="s">
        <v>557</v>
      </c>
      <c r="B4061" t="s">
        <v>731</v>
      </c>
      <c r="C4061" t="s">
        <v>324</v>
      </c>
      <c r="D4061" s="230">
        <v>0</v>
      </c>
      <c r="E4061" t="s">
        <v>731</v>
      </c>
    </row>
    <row r="4062" spans="1:5" hidden="1" x14ac:dyDescent="0.3">
      <c r="A4062" t="s">
        <v>557</v>
      </c>
      <c r="B4062" t="s">
        <v>731</v>
      </c>
      <c r="C4062" t="s">
        <v>325</v>
      </c>
      <c r="D4062" s="230">
        <v>0</v>
      </c>
      <c r="E4062" t="s">
        <v>731</v>
      </c>
    </row>
    <row r="4063" spans="1:5" hidden="1" x14ac:dyDescent="0.3">
      <c r="A4063" t="s">
        <v>557</v>
      </c>
      <c r="B4063" t="s">
        <v>731</v>
      </c>
      <c r="C4063" t="s">
        <v>326</v>
      </c>
      <c r="D4063" s="230">
        <v>-266449.13</v>
      </c>
      <c r="E4063" t="s">
        <v>731</v>
      </c>
    </row>
    <row r="4064" spans="1:5" hidden="1" x14ac:dyDescent="0.3">
      <c r="A4064" t="s">
        <v>557</v>
      </c>
      <c r="B4064" t="s">
        <v>731</v>
      </c>
      <c r="C4064" t="s">
        <v>44</v>
      </c>
      <c r="D4064" s="230">
        <v>-0.05</v>
      </c>
      <c r="E4064" t="s">
        <v>731</v>
      </c>
    </row>
    <row r="4065" spans="1:5" hidden="1" x14ac:dyDescent="0.3">
      <c r="A4065" t="s">
        <v>557</v>
      </c>
      <c r="B4065" t="s">
        <v>731</v>
      </c>
      <c r="C4065" t="s">
        <v>328</v>
      </c>
      <c r="D4065" s="230">
        <v>-3111348.09</v>
      </c>
      <c r="E4065" t="s">
        <v>731</v>
      </c>
    </row>
    <row r="4066" spans="1:5" hidden="1" x14ac:dyDescent="0.3">
      <c r="A4066" t="s">
        <v>557</v>
      </c>
      <c r="B4066" t="s">
        <v>731</v>
      </c>
      <c r="C4066" t="s">
        <v>44</v>
      </c>
      <c r="D4066" s="230">
        <v>-0.57999999999999996</v>
      </c>
      <c r="E4066" t="s">
        <v>731</v>
      </c>
    </row>
    <row r="4067" spans="1:5" hidden="1" x14ac:dyDescent="0.3">
      <c r="A4067" t="s">
        <v>557</v>
      </c>
      <c r="B4067" t="s">
        <v>731</v>
      </c>
      <c r="C4067" t="s">
        <v>329</v>
      </c>
      <c r="D4067" s="230">
        <v>-245966.14</v>
      </c>
      <c r="E4067" t="s">
        <v>731</v>
      </c>
    </row>
    <row r="4068" spans="1:5" hidden="1" x14ac:dyDescent="0.3">
      <c r="A4068" t="s">
        <v>557</v>
      </c>
      <c r="B4068" t="s">
        <v>731</v>
      </c>
      <c r="C4068" t="s">
        <v>44</v>
      </c>
      <c r="D4068" s="230">
        <v>-0.05</v>
      </c>
      <c r="E4068" t="s">
        <v>731</v>
      </c>
    </row>
    <row r="4069" spans="1:5" hidden="1" x14ac:dyDescent="0.3">
      <c r="A4069" t="s">
        <v>557</v>
      </c>
      <c r="B4069" t="s">
        <v>731</v>
      </c>
      <c r="C4069" t="s">
        <v>330</v>
      </c>
      <c r="D4069" s="230">
        <v>0</v>
      </c>
      <c r="E4069" t="s">
        <v>731</v>
      </c>
    </row>
    <row r="4070" spans="1:5" hidden="1" x14ac:dyDescent="0.3">
      <c r="A4070" t="s">
        <v>557</v>
      </c>
      <c r="B4070" t="s">
        <v>731</v>
      </c>
      <c r="C4070" t="s">
        <v>332</v>
      </c>
      <c r="D4070" s="230">
        <v>-245966.14</v>
      </c>
      <c r="E4070" t="s">
        <v>731</v>
      </c>
    </row>
    <row r="4071" spans="1:5" hidden="1" x14ac:dyDescent="0.3">
      <c r="A4071" t="s">
        <v>557</v>
      </c>
      <c r="B4071" t="s">
        <v>731</v>
      </c>
      <c r="C4071" t="s">
        <v>333</v>
      </c>
      <c r="D4071" s="230">
        <v>89495.3</v>
      </c>
      <c r="E4071" t="s">
        <v>731</v>
      </c>
    </row>
    <row r="4072" spans="1:5" hidden="1" x14ac:dyDescent="0.3">
      <c r="A4072" t="s">
        <v>557</v>
      </c>
      <c r="B4072" t="s">
        <v>731</v>
      </c>
      <c r="C4072" t="s">
        <v>334</v>
      </c>
      <c r="D4072" s="230">
        <v>24640</v>
      </c>
      <c r="E4072" t="s">
        <v>731</v>
      </c>
    </row>
    <row r="4073" spans="1:5" hidden="1" x14ac:dyDescent="0.3">
      <c r="A4073" t="s">
        <v>557</v>
      </c>
      <c r="B4073" t="s">
        <v>731</v>
      </c>
      <c r="C4073" t="s">
        <v>336</v>
      </c>
      <c r="D4073" s="230">
        <v>-16897.5</v>
      </c>
      <c r="E4073" t="s">
        <v>731</v>
      </c>
    </row>
    <row r="4074" spans="1:5" hidden="1" x14ac:dyDescent="0.3">
      <c r="A4074" t="s">
        <v>557</v>
      </c>
      <c r="B4074" t="s">
        <v>731</v>
      </c>
      <c r="C4074" t="s">
        <v>338</v>
      </c>
      <c r="D4074" s="230">
        <v>-143525.44</v>
      </c>
      <c r="E4074" t="s">
        <v>731</v>
      </c>
    </row>
    <row r="4075" spans="1:5" hidden="1" x14ac:dyDescent="0.3">
      <c r="A4075" t="s">
        <v>557</v>
      </c>
      <c r="B4075" t="s">
        <v>731</v>
      </c>
      <c r="C4075" t="s">
        <v>339</v>
      </c>
      <c r="D4075" s="230">
        <v>-212012.76</v>
      </c>
      <c r="E4075" t="s">
        <v>731</v>
      </c>
    </row>
    <row r="4076" spans="1:5" hidden="1" x14ac:dyDescent="0.3">
      <c r="A4076" t="s">
        <v>557</v>
      </c>
      <c r="B4076" t="s">
        <v>731</v>
      </c>
      <c r="C4076" t="s">
        <v>342</v>
      </c>
      <c r="D4076" s="230">
        <v>-158513.10999999999</v>
      </c>
      <c r="E4076" t="s">
        <v>731</v>
      </c>
    </row>
    <row r="4077" spans="1:5" hidden="1" x14ac:dyDescent="0.3">
      <c r="A4077" t="s">
        <v>557</v>
      </c>
      <c r="B4077" t="s">
        <v>731</v>
      </c>
      <c r="C4077" t="s">
        <v>344</v>
      </c>
      <c r="D4077" s="230">
        <v>-21471.43</v>
      </c>
      <c r="E4077" t="s">
        <v>731</v>
      </c>
    </row>
    <row r="4078" spans="1:5" hidden="1" x14ac:dyDescent="0.3">
      <c r="A4078" t="s">
        <v>557</v>
      </c>
      <c r="B4078" t="s">
        <v>731</v>
      </c>
      <c r="C4078" t="s">
        <v>345</v>
      </c>
      <c r="D4078" s="230">
        <v>-12703.93</v>
      </c>
      <c r="E4078" t="s">
        <v>731</v>
      </c>
    </row>
    <row r="4079" spans="1:5" hidden="1" x14ac:dyDescent="0.3">
      <c r="A4079" t="s">
        <v>557</v>
      </c>
      <c r="B4079" t="s">
        <v>731</v>
      </c>
      <c r="C4079" t="s">
        <v>346</v>
      </c>
      <c r="D4079" s="230">
        <v>-19324.29</v>
      </c>
      <c r="E4079" t="s">
        <v>731</v>
      </c>
    </row>
    <row r="4080" spans="1:5" hidden="1" x14ac:dyDescent="0.3">
      <c r="A4080" t="s">
        <v>557</v>
      </c>
      <c r="B4080" t="s">
        <v>731</v>
      </c>
      <c r="C4080" t="s">
        <v>347</v>
      </c>
      <c r="D4080" s="230">
        <v>-355538.2</v>
      </c>
      <c r="E4080" t="s">
        <v>731</v>
      </c>
    </row>
    <row r="4081" spans="1:5" hidden="1" x14ac:dyDescent="0.3">
      <c r="A4081" t="s">
        <v>557</v>
      </c>
      <c r="B4081" t="s">
        <v>731</v>
      </c>
      <c r="C4081" t="s">
        <v>44</v>
      </c>
      <c r="D4081" s="230">
        <v>-7.0000000000000007E-2</v>
      </c>
      <c r="E4081" t="s">
        <v>731</v>
      </c>
    </row>
    <row r="4082" spans="1:5" hidden="1" x14ac:dyDescent="0.3">
      <c r="A4082" t="s">
        <v>557</v>
      </c>
      <c r="B4082" t="s">
        <v>731</v>
      </c>
      <c r="C4082" t="s">
        <v>348</v>
      </c>
      <c r="D4082" s="230">
        <v>-214367.2</v>
      </c>
      <c r="E4082" t="s">
        <v>731</v>
      </c>
    </row>
    <row r="4083" spans="1:5" hidden="1" x14ac:dyDescent="0.3">
      <c r="A4083" t="s">
        <v>557</v>
      </c>
      <c r="B4083" t="s">
        <v>731</v>
      </c>
      <c r="C4083" t="s">
        <v>707</v>
      </c>
      <c r="D4083" s="230">
        <v>-150208.85</v>
      </c>
      <c r="E4083" t="s">
        <v>731</v>
      </c>
    </row>
    <row r="4084" spans="1:5" hidden="1" x14ac:dyDescent="0.3">
      <c r="A4084" t="s">
        <v>557</v>
      </c>
      <c r="B4084" t="s">
        <v>731</v>
      </c>
      <c r="C4084" t="s">
        <v>350</v>
      </c>
      <c r="D4084" s="230">
        <v>-64158.35</v>
      </c>
      <c r="E4084" t="s">
        <v>731</v>
      </c>
    </row>
    <row r="4085" spans="1:5" hidden="1" x14ac:dyDescent="0.3">
      <c r="A4085" t="s">
        <v>557</v>
      </c>
      <c r="B4085" t="s">
        <v>731</v>
      </c>
      <c r="C4085" t="s">
        <v>351</v>
      </c>
      <c r="D4085" s="230">
        <v>0</v>
      </c>
      <c r="E4085" t="s">
        <v>731</v>
      </c>
    </row>
    <row r="4086" spans="1:5" hidden="1" x14ac:dyDescent="0.3">
      <c r="A4086" t="s">
        <v>557</v>
      </c>
      <c r="B4086" t="s">
        <v>731</v>
      </c>
      <c r="C4086" t="s">
        <v>352</v>
      </c>
      <c r="D4086" s="230">
        <v>0</v>
      </c>
      <c r="E4086" t="s">
        <v>731</v>
      </c>
    </row>
    <row r="4087" spans="1:5" hidden="1" x14ac:dyDescent="0.3">
      <c r="A4087" t="s">
        <v>557</v>
      </c>
      <c r="B4087" t="s">
        <v>731</v>
      </c>
      <c r="C4087" t="s">
        <v>353</v>
      </c>
      <c r="D4087" s="230">
        <v>0</v>
      </c>
      <c r="E4087" t="s">
        <v>731</v>
      </c>
    </row>
    <row r="4088" spans="1:5" hidden="1" x14ac:dyDescent="0.3">
      <c r="A4088" t="s">
        <v>557</v>
      </c>
      <c r="B4088" t="s">
        <v>731</v>
      </c>
      <c r="C4088" t="s">
        <v>354</v>
      </c>
      <c r="D4088" s="230">
        <v>0</v>
      </c>
      <c r="E4088" t="s">
        <v>731</v>
      </c>
    </row>
    <row r="4089" spans="1:5" hidden="1" x14ac:dyDescent="0.3">
      <c r="A4089" t="s">
        <v>557</v>
      </c>
      <c r="B4089" t="s">
        <v>731</v>
      </c>
      <c r="C4089" t="s">
        <v>355</v>
      </c>
      <c r="D4089" s="230">
        <v>0</v>
      </c>
      <c r="E4089" t="s">
        <v>731</v>
      </c>
    </row>
    <row r="4090" spans="1:5" hidden="1" x14ac:dyDescent="0.3">
      <c r="A4090" t="s">
        <v>557</v>
      </c>
      <c r="B4090" t="s">
        <v>731</v>
      </c>
      <c r="C4090" t="s">
        <v>356</v>
      </c>
      <c r="D4090" s="230">
        <v>0</v>
      </c>
      <c r="E4090" t="s">
        <v>731</v>
      </c>
    </row>
    <row r="4091" spans="1:5" hidden="1" x14ac:dyDescent="0.3">
      <c r="A4091" t="s">
        <v>557</v>
      </c>
      <c r="B4091" t="s">
        <v>731</v>
      </c>
      <c r="C4091" t="s">
        <v>357</v>
      </c>
      <c r="D4091" s="230">
        <v>0</v>
      </c>
      <c r="E4091" t="s">
        <v>731</v>
      </c>
    </row>
    <row r="4092" spans="1:5" hidden="1" x14ac:dyDescent="0.3">
      <c r="A4092" t="s">
        <v>557</v>
      </c>
      <c r="B4092" t="s">
        <v>731</v>
      </c>
      <c r="C4092" t="s">
        <v>358</v>
      </c>
      <c r="D4092" s="230">
        <v>0</v>
      </c>
      <c r="E4092" t="s">
        <v>731</v>
      </c>
    </row>
    <row r="4093" spans="1:5" hidden="1" x14ac:dyDescent="0.3">
      <c r="A4093" t="s">
        <v>557</v>
      </c>
      <c r="B4093" t="s">
        <v>731</v>
      </c>
      <c r="C4093" t="s">
        <v>359</v>
      </c>
      <c r="D4093" s="230">
        <v>0</v>
      </c>
      <c r="E4093" t="s">
        <v>731</v>
      </c>
    </row>
    <row r="4094" spans="1:5" hidden="1" x14ac:dyDescent="0.3">
      <c r="A4094" t="s">
        <v>557</v>
      </c>
      <c r="B4094" t="s">
        <v>731</v>
      </c>
      <c r="C4094" t="s">
        <v>360</v>
      </c>
      <c r="D4094" s="230">
        <v>0</v>
      </c>
      <c r="E4094" t="s">
        <v>731</v>
      </c>
    </row>
    <row r="4095" spans="1:5" hidden="1" x14ac:dyDescent="0.3">
      <c r="A4095" t="s">
        <v>557</v>
      </c>
      <c r="B4095" t="s">
        <v>731</v>
      </c>
      <c r="C4095" t="s">
        <v>361</v>
      </c>
      <c r="D4095" s="230">
        <v>0</v>
      </c>
      <c r="E4095" t="s">
        <v>731</v>
      </c>
    </row>
    <row r="4096" spans="1:5" hidden="1" x14ac:dyDescent="0.3">
      <c r="A4096" t="s">
        <v>557</v>
      </c>
      <c r="B4096" t="s">
        <v>731</v>
      </c>
      <c r="C4096" t="s">
        <v>362</v>
      </c>
      <c r="D4096" s="230">
        <v>0</v>
      </c>
      <c r="E4096" t="s">
        <v>731</v>
      </c>
    </row>
    <row r="4097" spans="1:5" hidden="1" x14ac:dyDescent="0.3">
      <c r="A4097" t="s">
        <v>557</v>
      </c>
      <c r="B4097" t="s">
        <v>731</v>
      </c>
      <c r="C4097" t="s">
        <v>363</v>
      </c>
      <c r="D4097" s="230">
        <v>0</v>
      </c>
      <c r="E4097" t="s">
        <v>731</v>
      </c>
    </row>
    <row r="4098" spans="1:5" hidden="1" x14ac:dyDescent="0.3">
      <c r="A4098" t="s">
        <v>557</v>
      </c>
      <c r="B4098" t="s">
        <v>731</v>
      </c>
      <c r="C4098" t="s">
        <v>364</v>
      </c>
      <c r="D4098" s="230">
        <v>0</v>
      </c>
      <c r="E4098" t="s">
        <v>731</v>
      </c>
    </row>
    <row r="4099" spans="1:5" hidden="1" x14ac:dyDescent="0.3">
      <c r="A4099" t="s">
        <v>557</v>
      </c>
      <c r="B4099" t="s">
        <v>731</v>
      </c>
      <c r="C4099" t="s">
        <v>365</v>
      </c>
      <c r="D4099" s="230">
        <v>0</v>
      </c>
      <c r="E4099" t="s">
        <v>731</v>
      </c>
    </row>
    <row r="4100" spans="1:5" hidden="1" x14ac:dyDescent="0.3">
      <c r="A4100" t="s">
        <v>557</v>
      </c>
      <c r="B4100" t="s">
        <v>731</v>
      </c>
      <c r="C4100" t="s">
        <v>366</v>
      </c>
      <c r="D4100" s="230">
        <v>0</v>
      </c>
      <c r="E4100" t="s">
        <v>731</v>
      </c>
    </row>
    <row r="4101" spans="1:5" hidden="1" x14ac:dyDescent="0.3">
      <c r="A4101" t="s">
        <v>557</v>
      </c>
      <c r="B4101" t="s">
        <v>731</v>
      </c>
      <c r="C4101" t="s">
        <v>367</v>
      </c>
      <c r="D4101" s="230">
        <v>0</v>
      </c>
      <c r="E4101" t="s">
        <v>731</v>
      </c>
    </row>
    <row r="4102" spans="1:5" hidden="1" x14ac:dyDescent="0.3">
      <c r="A4102" t="s">
        <v>557</v>
      </c>
      <c r="B4102" t="s">
        <v>731</v>
      </c>
      <c r="C4102" t="s">
        <v>368</v>
      </c>
      <c r="D4102" s="230">
        <v>0</v>
      </c>
      <c r="E4102" t="s">
        <v>731</v>
      </c>
    </row>
    <row r="4103" spans="1:5" hidden="1" x14ac:dyDescent="0.3">
      <c r="A4103" t="s">
        <v>557</v>
      </c>
      <c r="B4103" t="s">
        <v>731</v>
      </c>
      <c r="C4103" t="s">
        <v>369</v>
      </c>
      <c r="D4103" s="230">
        <v>0</v>
      </c>
      <c r="E4103" t="s">
        <v>731</v>
      </c>
    </row>
    <row r="4104" spans="1:5" hidden="1" x14ac:dyDescent="0.3">
      <c r="A4104" t="s">
        <v>557</v>
      </c>
      <c r="B4104" t="s">
        <v>731</v>
      </c>
      <c r="C4104" t="s">
        <v>370</v>
      </c>
      <c r="D4104" s="230">
        <v>0</v>
      </c>
      <c r="E4104" t="s">
        <v>731</v>
      </c>
    </row>
    <row r="4105" spans="1:5" hidden="1" x14ac:dyDescent="0.3">
      <c r="A4105" t="s">
        <v>557</v>
      </c>
      <c r="B4105" t="s">
        <v>731</v>
      </c>
      <c r="C4105" t="s">
        <v>371</v>
      </c>
      <c r="D4105" s="230">
        <v>0</v>
      </c>
      <c r="E4105" t="s">
        <v>731</v>
      </c>
    </row>
    <row r="4106" spans="1:5" hidden="1" x14ac:dyDescent="0.3">
      <c r="A4106" t="s">
        <v>557</v>
      </c>
      <c r="B4106" t="s">
        <v>731</v>
      </c>
      <c r="C4106" t="s">
        <v>372</v>
      </c>
      <c r="D4106" s="230">
        <v>0</v>
      </c>
      <c r="E4106" t="s">
        <v>731</v>
      </c>
    </row>
    <row r="4107" spans="1:5" hidden="1" x14ac:dyDescent="0.3">
      <c r="A4107" t="s">
        <v>557</v>
      </c>
      <c r="B4107" t="s">
        <v>731</v>
      </c>
      <c r="C4107" t="s">
        <v>373</v>
      </c>
      <c r="D4107" s="230">
        <v>-214367.2</v>
      </c>
      <c r="E4107" t="s">
        <v>731</v>
      </c>
    </row>
    <row r="4108" spans="1:5" hidden="1" x14ac:dyDescent="0.3">
      <c r="A4108" t="s">
        <v>557</v>
      </c>
      <c r="B4108" t="s">
        <v>731</v>
      </c>
      <c r="C4108" t="s">
        <v>374</v>
      </c>
      <c r="D4108" s="230">
        <v>-569905.4</v>
      </c>
      <c r="E4108" t="s">
        <v>731</v>
      </c>
    </row>
    <row r="4109" spans="1:5" hidden="1" x14ac:dyDescent="0.3">
      <c r="A4109" t="s">
        <v>557</v>
      </c>
      <c r="B4109" t="s">
        <v>731</v>
      </c>
      <c r="C4109" t="s">
        <v>708</v>
      </c>
      <c r="D4109" s="230">
        <v>0</v>
      </c>
      <c r="E4109" t="s">
        <v>731</v>
      </c>
    </row>
    <row r="4110" spans="1:5" hidden="1" x14ac:dyDescent="0.3">
      <c r="A4110" t="s">
        <v>557</v>
      </c>
      <c r="B4110" t="s">
        <v>606</v>
      </c>
      <c r="C4110" t="s">
        <v>11</v>
      </c>
      <c r="D4110" s="230">
        <v>392092.75</v>
      </c>
      <c r="E4110" t="s">
        <v>607</v>
      </c>
    </row>
    <row r="4111" spans="1:5" hidden="1" x14ac:dyDescent="0.3">
      <c r="A4111" t="s">
        <v>557</v>
      </c>
      <c r="B4111" t="s">
        <v>606</v>
      </c>
      <c r="C4111" t="s">
        <v>13</v>
      </c>
      <c r="D4111" s="230">
        <v>180553.4</v>
      </c>
      <c r="E4111" t="s">
        <v>607</v>
      </c>
    </row>
    <row r="4112" spans="1:5" hidden="1" x14ac:dyDescent="0.3">
      <c r="A4112" t="s">
        <v>557</v>
      </c>
      <c r="B4112" t="s">
        <v>606</v>
      </c>
      <c r="C4112" t="s">
        <v>16</v>
      </c>
      <c r="D4112" s="230">
        <v>121559.7</v>
      </c>
      <c r="E4112" t="s">
        <v>607</v>
      </c>
    </row>
    <row r="4113" spans="1:5" hidden="1" x14ac:dyDescent="0.3">
      <c r="A4113" t="s">
        <v>557</v>
      </c>
      <c r="B4113" t="s">
        <v>606</v>
      </c>
      <c r="C4113" t="s">
        <v>17</v>
      </c>
      <c r="D4113" s="230">
        <v>14880</v>
      </c>
      <c r="E4113" t="s">
        <v>607</v>
      </c>
    </row>
    <row r="4114" spans="1:5" hidden="1" x14ac:dyDescent="0.3">
      <c r="A4114" t="s">
        <v>557</v>
      </c>
      <c r="B4114" t="s">
        <v>606</v>
      </c>
      <c r="C4114" t="s">
        <v>18</v>
      </c>
      <c r="D4114" s="230">
        <v>0</v>
      </c>
      <c r="E4114" t="s">
        <v>607</v>
      </c>
    </row>
    <row r="4115" spans="1:5" hidden="1" x14ac:dyDescent="0.3">
      <c r="A4115" t="s">
        <v>557</v>
      </c>
      <c r="B4115" t="s">
        <v>606</v>
      </c>
      <c r="C4115" t="s">
        <v>20</v>
      </c>
      <c r="D4115" s="230">
        <v>40012.65</v>
      </c>
      <c r="E4115" t="s">
        <v>607</v>
      </c>
    </row>
    <row r="4116" spans="1:5" hidden="1" x14ac:dyDescent="0.3">
      <c r="A4116" t="s">
        <v>557</v>
      </c>
      <c r="B4116" t="s">
        <v>606</v>
      </c>
      <c r="C4116" t="s">
        <v>23</v>
      </c>
      <c r="D4116" s="230">
        <v>27355</v>
      </c>
      <c r="E4116" t="s">
        <v>607</v>
      </c>
    </row>
    <row r="4117" spans="1:5" hidden="1" x14ac:dyDescent="0.3">
      <c r="A4117" t="s">
        <v>557</v>
      </c>
      <c r="B4117" t="s">
        <v>606</v>
      </c>
      <c r="C4117" t="s">
        <v>25</v>
      </c>
      <c r="D4117" s="230">
        <v>0</v>
      </c>
      <c r="E4117" t="s">
        <v>607</v>
      </c>
    </row>
    <row r="4118" spans="1:5" hidden="1" x14ac:dyDescent="0.3">
      <c r="A4118" t="s">
        <v>557</v>
      </c>
      <c r="B4118" t="s">
        <v>606</v>
      </c>
      <c r="C4118" t="s">
        <v>26</v>
      </c>
      <c r="D4118" s="230">
        <v>6900</v>
      </c>
      <c r="E4118" t="s">
        <v>607</v>
      </c>
    </row>
    <row r="4119" spans="1:5" hidden="1" x14ac:dyDescent="0.3">
      <c r="A4119" t="s">
        <v>557</v>
      </c>
      <c r="B4119" t="s">
        <v>606</v>
      </c>
      <c r="C4119" t="s">
        <v>27</v>
      </c>
      <c r="D4119" s="230">
        <v>0</v>
      </c>
      <c r="E4119" t="s">
        <v>607</v>
      </c>
    </row>
    <row r="4120" spans="1:5" hidden="1" x14ac:dyDescent="0.3">
      <c r="A4120" t="s">
        <v>557</v>
      </c>
      <c r="B4120" t="s">
        <v>606</v>
      </c>
      <c r="C4120" t="s">
        <v>29</v>
      </c>
      <c r="D4120" s="230">
        <v>832</v>
      </c>
      <c r="E4120" t="s">
        <v>607</v>
      </c>
    </row>
    <row r="4121" spans="1:5" hidden="1" x14ac:dyDescent="0.3">
      <c r="A4121" t="s">
        <v>557</v>
      </c>
      <c r="B4121" t="s">
        <v>606</v>
      </c>
      <c r="C4121" t="s">
        <v>31</v>
      </c>
      <c r="D4121" s="230">
        <v>0</v>
      </c>
      <c r="E4121" t="s">
        <v>607</v>
      </c>
    </row>
    <row r="4122" spans="1:5" hidden="1" x14ac:dyDescent="0.3">
      <c r="A4122" t="s">
        <v>557</v>
      </c>
      <c r="B4122" t="s">
        <v>606</v>
      </c>
      <c r="C4122" t="s">
        <v>34</v>
      </c>
      <c r="D4122" s="230">
        <v>-11935.94</v>
      </c>
      <c r="E4122" t="s">
        <v>607</v>
      </c>
    </row>
    <row r="4123" spans="1:5" hidden="1" x14ac:dyDescent="0.3">
      <c r="A4123" t="s">
        <v>557</v>
      </c>
      <c r="B4123" t="s">
        <v>606</v>
      </c>
      <c r="C4123" t="s">
        <v>38</v>
      </c>
      <c r="D4123" s="230">
        <v>-11935.94</v>
      </c>
      <c r="E4123" t="s">
        <v>607</v>
      </c>
    </row>
    <row r="4124" spans="1:5" hidden="1" x14ac:dyDescent="0.3">
      <c r="A4124" t="s">
        <v>557</v>
      </c>
      <c r="B4124" t="s">
        <v>606</v>
      </c>
      <c r="C4124" t="s">
        <v>40</v>
      </c>
      <c r="D4124" s="230">
        <v>0</v>
      </c>
      <c r="E4124" t="s">
        <v>607</v>
      </c>
    </row>
    <row r="4125" spans="1:5" hidden="1" x14ac:dyDescent="0.3">
      <c r="A4125" t="s">
        <v>557</v>
      </c>
      <c r="B4125" t="s">
        <v>606</v>
      </c>
      <c r="C4125" t="s">
        <v>42</v>
      </c>
      <c r="D4125" s="230">
        <v>0</v>
      </c>
      <c r="E4125" t="s">
        <v>607</v>
      </c>
    </row>
    <row r="4126" spans="1:5" hidden="1" x14ac:dyDescent="0.3">
      <c r="A4126" t="s">
        <v>557</v>
      </c>
      <c r="B4126" t="s">
        <v>606</v>
      </c>
      <c r="C4126" t="s">
        <v>44</v>
      </c>
      <c r="D4126" s="230">
        <v>-0.03</v>
      </c>
      <c r="E4126" t="s">
        <v>607</v>
      </c>
    </row>
    <row r="4127" spans="1:5" hidden="1" x14ac:dyDescent="0.3">
      <c r="A4127" t="s">
        <v>557</v>
      </c>
      <c r="B4127" t="s">
        <v>606</v>
      </c>
      <c r="C4127" t="s">
        <v>45</v>
      </c>
      <c r="D4127" s="230">
        <v>-24536.27</v>
      </c>
      <c r="E4127" t="s">
        <v>607</v>
      </c>
    </row>
    <row r="4128" spans="1:5" hidden="1" x14ac:dyDescent="0.3">
      <c r="A4128" t="s">
        <v>557</v>
      </c>
      <c r="B4128" t="s">
        <v>606</v>
      </c>
      <c r="C4128" t="s">
        <v>46</v>
      </c>
      <c r="D4128" s="230">
        <v>-12415.26</v>
      </c>
      <c r="E4128" t="s">
        <v>607</v>
      </c>
    </row>
    <row r="4129" spans="1:5" hidden="1" x14ac:dyDescent="0.3">
      <c r="A4129" t="s">
        <v>557</v>
      </c>
      <c r="B4129" t="s">
        <v>606</v>
      </c>
      <c r="C4129" t="s">
        <v>48</v>
      </c>
      <c r="D4129" s="230">
        <v>-10009.25</v>
      </c>
      <c r="E4129" t="s">
        <v>607</v>
      </c>
    </row>
    <row r="4130" spans="1:5" hidden="1" x14ac:dyDescent="0.3">
      <c r="A4130" t="s">
        <v>557</v>
      </c>
      <c r="B4130" t="s">
        <v>606</v>
      </c>
      <c r="C4130" t="s">
        <v>49</v>
      </c>
      <c r="D4130" s="230">
        <v>-2111.75</v>
      </c>
      <c r="E4130" t="s">
        <v>607</v>
      </c>
    </row>
    <row r="4131" spans="1:5" hidden="1" x14ac:dyDescent="0.3">
      <c r="A4131" t="s">
        <v>557</v>
      </c>
      <c r="B4131" t="s">
        <v>606</v>
      </c>
      <c r="C4131" t="s">
        <v>50</v>
      </c>
      <c r="D4131" s="230">
        <v>355620.55</v>
      </c>
      <c r="E4131" t="s">
        <v>607</v>
      </c>
    </row>
    <row r="4132" spans="1:5" hidden="1" x14ac:dyDescent="0.3">
      <c r="A4132" t="s">
        <v>557</v>
      </c>
      <c r="B4132" t="s">
        <v>606</v>
      </c>
      <c r="C4132" t="s">
        <v>51</v>
      </c>
      <c r="D4132" s="230">
        <v>-99368.92</v>
      </c>
      <c r="E4132" t="s">
        <v>607</v>
      </c>
    </row>
    <row r="4133" spans="1:5" hidden="1" x14ac:dyDescent="0.3">
      <c r="A4133" t="s">
        <v>557</v>
      </c>
      <c r="B4133" t="s">
        <v>606</v>
      </c>
      <c r="C4133" t="s">
        <v>52</v>
      </c>
      <c r="D4133" s="230">
        <v>-68858</v>
      </c>
      <c r="E4133" t="s">
        <v>607</v>
      </c>
    </row>
    <row r="4134" spans="1:5" hidden="1" x14ac:dyDescent="0.3">
      <c r="A4134" t="s">
        <v>557</v>
      </c>
      <c r="B4134" t="s">
        <v>606</v>
      </c>
      <c r="C4134" t="s">
        <v>53</v>
      </c>
      <c r="D4134" s="230">
        <v>-29728.41</v>
      </c>
      <c r="E4134" t="s">
        <v>607</v>
      </c>
    </row>
    <row r="4135" spans="1:5" hidden="1" x14ac:dyDescent="0.3">
      <c r="A4135" t="s">
        <v>557</v>
      </c>
      <c r="B4135" t="s">
        <v>606</v>
      </c>
      <c r="C4135" t="s">
        <v>54</v>
      </c>
      <c r="D4135" s="230">
        <v>-782.51</v>
      </c>
      <c r="E4135" t="s">
        <v>607</v>
      </c>
    </row>
    <row r="4136" spans="1:5" hidden="1" x14ac:dyDescent="0.3">
      <c r="A4136" t="s">
        <v>557</v>
      </c>
      <c r="B4136" t="s">
        <v>606</v>
      </c>
      <c r="C4136" t="s">
        <v>23</v>
      </c>
      <c r="D4136" s="230">
        <v>0</v>
      </c>
      <c r="E4136" t="s">
        <v>607</v>
      </c>
    </row>
    <row r="4137" spans="1:5" hidden="1" x14ac:dyDescent="0.3">
      <c r="A4137" t="s">
        <v>557</v>
      </c>
      <c r="B4137" t="s">
        <v>606</v>
      </c>
      <c r="C4137" t="s">
        <v>44</v>
      </c>
      <c r="D4137" s="230">
        <v>-0.3</v>
      </c>
      <c r="E4137" t="s">
        <v>607</v>
      </c>
    </row>
    <row r="4138" spans="1:5" hidden="1" x14ac:dyDescent="0.3">
      <c r="A4138" t="s">
        <v>557</v>
      </c>
      <c r="B4138" t="s">
        <v>606</v>
      </c>
      <c r="C4138" t="s">
        <v>55</v>
      </c>
      <c r="D4138" s="230">
        <v>-0.28000000000000003</v>
      </c>
      <c r="E4138" t="s">
        <v>607</v>
      </c>
    </row>
    <row r="4139" spans="1:5" hidden="1" x14ac:dyDescent="0.3">
      <c r="A4139" t="s">
        <v>557</v>
      </c>
      <c r="B4139" t="s">
        <v>606</v>
      </c>
      <c r="C4139" t="s">
        <v>56</v>
      </c>
      <c r="D4139" s="230">
        <v>-11003.78</v>
      </c>
      <c r="E4139" t="s">
        <v>607</v>
      </c>
    </row>
    <row r="4140" spans="1:5" hidden="1" x14ac:dyDescent="0.3">
      <c r="A4140" t="s">
        <v>557</v>
      </c>
      <c r="B4140" t="s">
        <v>606</v>
      </c>
      <c r="C4140" t="s">
        <v>57</v>
      </c>
      <c r="D4140" s="230">
        <v>-11003.78</v>
      </c>
      <c r="E4140" t="s">
        <v>607</v>
      </c>
    </row>
    <row r="4141" spans="1:5" hidden="1" x14ac:dyDescent="0.3">
      <c r="A4141" t="s">
        <v>557</v>
      </c>
      <c r="B4141" t="s">
        <v>606</v>
      </c>
      <c r="C4141" t="s">
        <v>58</v>
      </c>
      <c r="D4141" s="230">
        <v>-10694.22</v>
      </c>
      <c r="E4141" t="s">
        <v>607</v>
      </c>
    </row>
    <row r="4142" spans="1:5" hidden="1" x14ac:dyDescent="0.3">
      <c r="A4142" t="s">
        <v>557</v>
      </c>
      <c r="B4142" t="s">
        <v>606</v>
      </c>
      <c r="C4142" t="s">
        <v>59</v>
      </c>
      <c r="D4142" s="230">
        <v>-309.56</v>
      </c>
      <c r="E4142" t="s">
        <v>607</v>
      </c>
    </row>
    <row r="4143" spans="1:5" hidden="1" x14ac:dyDescent="0.3">
      <c r="A4143" t="s">
        <v>557</v>
      </c>
      <c r="B4143" t="s">
        <v>606</v>
      </c>
      <c r="C4143" t="s">
        <v>61</v>
      </c>
      <c r="D4143" s="230">
        <v>0</v>
      </c>
      <c r="E4143" t="s">
        <v>607</v>
      </c>
    </row>
    <row r="4144" spans="1:5" hidden="1" x14ac:dyDescent="0.3">
      <c r="A4144" t="s">
        <v>557</v>
      </c>
      <c r="B4144" t="s">
        <v>606</v>
      </c>
      <c r="C4144" t="s">
        <v>62</v>
      </c>
      <c r="D4144" s="230">
        <v>0</v>
      </c>
      <c r="E4144" t="s">
        <v>607</v>
      </c>
    </row>
    <row r="4145" spans="1:5" hidden="1" x14ac:dyDescent="0.3">
      <c r="A4145" t="s">
        <v>557</v>
      </c>
      <c r="B4145" t="s">
        <v>606</v>
      </c>
      <c r="C4145" t="s">
        <v>64</v>
      </c>
      <c r="D4145" s="230">
        <v>0</v>
      </c>
      <c r="E4145" t="s">
        <v>607</v>
      </c>
    </row>
    <row r="4146" spans="1:5" hidden="1" x14ac:dyDescent="0.3">
      <c r="A4146" t="s">
        <v>557</v>
      </c>
      <c r="B4146" t="s">
        <v>606</v>
      </c>
      <c r="C4146" t="s">
        <v>65</v>
      </c>
      <c r="D4146" s="230">
        <v>0</v>
      </c>
      <c r="E4146" t="s">
        <v>607</v>
      </c>
    </row>
    <row r="4147" spans="1:5" hidden="1" x14ac:dyDescent="0.3">
      <c r="A4147" t="s">
        <v>557</v>
      </c>
      <c r="B4147" t="s">
        <v>606</v>
      </c>
      <c r="C4147" t="s">
        <v>66</v>
      </c>
      <c r="D4147" s="230">
        <v>0</v>
      </c>
      <c r="E4147" t="s">
        <v>607</v>
      </c>
    </row>
    <row r="4148" spans="1:5" hidden="1" x14ac:dyDescent="0.3">
      <c r="A4148" t="s">
        <v>557</v>
      </c>
      <c r="B4148" t="s">
        <v>606</v>
      </c>
      <c r="C4148" t="s">
        <v>68</v>
      </c>
      <c r="D4148" s="230">
        <v>0</v>
      </c>
      <c r="E4148" t="s">
        <v>607</v>
      </c>
    </row>
    <row r="4149" spans="1:5" hidden="1" x14ac:dyDescent="0.3">
      <c r="A4149" t="s">
        <v>557</v>
      </c>
      <c r="B4149" t="s">
        <v>606</v>
      </c>
      <c r="C4149" t="s">
        <v>69</v>
      </c>
      <c r="D4149" s="230">
        <v>0</v>
      </c>
      <c r="E4149" t="s">
        <v>607</v>
      </c>
    </row>
    <row r="4150" spans="1:5" hidden="1" x14ac:dyDescent="0.3">
      <c r="A4150" t="s">
        <v>557</v>
      </c>
      <c r="B4150" t="s">
        <v>606</v>
      </c>
      <c r="C4150" t="s">
        <v>70</v>
      </c>
      <c r="D4150" s="230">
        <v>-0.74</v>
      </c>
      <c r="E4150" t="s">
        <v>607</v>
      </c>
    </row>
    <row r="4151" spans="1:5" hidden="1" x14ac:dyDescent="0.3">
      <c r="A4151" t="s">
        <v>557</v>
      </c>
      <c r="B4151" t="s">
        <v>606</v>
      </c>
      <c r="C4151" t="s">
        <v>44</v>
      </c>
      <c r="D4151" s="230">
        <v>-0.03</v>
      </c>
      <c r="E4151" t="s">
        <v>607</v>
      </c>
    </row>
    <row r="4152" spans="1:5" hidden="1" x14ac:dyDescent="0.3">
      <c r="A4152" t="s">
        <v>557</v>
      </c>
      <c r="B4152" t="s">
        <v>606</v>
      </c>
      <c r="C4152" t="s">
        <v>71</v>
      </c>
      <c r="D4152" s="230">
        <v>0</v>
      </c>
      <c r="E4152" t="s">
        <v>607</v>
      </c>
    </row>
    <row r="4153" spans="1:5" hidden="1" x14ac:dyDescent="0.3">
      <c r="A4153" t="s">
        <v>557</v>
      </c>
      <c r="B4153" t="s">
        <v>606</v>
      </c>
      <c r="C4153" t="s">
        <v>72</v>
      </c>
      <c r="D4153" s="230">
        <v>0</v>
      </c>
      <c r="E4153" t="s">
        <v>607</v>
      </c>
    </row>
    <row r="4154" spans="1:5" hidden="1" x14ac:dyDescent="0.3">
      <c r="A4154" t="s">
        <v>557</v>
      </c>
      <c r="B4154" t="s">
        <v>606</v>
      </c>
      <c r="C4154" t="s">
        <v>73</v>
      </c>
      <c r="D4154" s="230">
        <v>0</v>
      </c>
      <c r="E4154" t="s">
        <v>607</v>
      </c>
    </row>
    <row r="4155" spans="1:5" hidden="1" x14ac:dyDescent="0.3">
      <c r="A4155" t="s">
        <v>557</v>
      </c>
      <c r="B4155" t="s">
        <v>606</v>
      </c>
      <c r="C4155" t="s">
        <v>75</v>
      </c>
      <c r="D4155" s="230">
        <v>0</v>
      </c>
      <c r="E4155" t="s">
        <v>607</v>
      </c>
    </row>
    <row r="4156" spans="1:5" hidden="1" x14ac:dyDescent="0.3">
      <c r="A4156" t="s">
        <v>557</v>
      </c>
      <c r="B4156" t="s">
        <v>606</v>
      </c>
      <c r="C4156" t="s">
        <v>77</v>
      </c>
      <c r="D4156" s="230">
        <v>0</v>
      </c>
      <c r="E4156" t="s">
        <v>607</v>
      </c>
    </row>
    <row r="4157" spans="1:5" hidden="1" x14ac:dyDescent="0.3">
      <c r="A4157" t="s">
        <v>557</v>
      </c>
      <c r="B4157" t="s">
        <v>606</v>
      </c>
      <c r="C4157" t="s">
        <v>78</v>
      </c>
      <c r="D4157" s="230">
        <v>0</v>
      </c>
      <c r="E4157" t="s">
        <v>607</v>
      </c>
    </row>
    <row r="4158" spans="1:5" hidden="1" x14ac:dyDescent="0.3">
      <c r="A4158" t="s">
        <v>557</v>
      </c>
      <c r="B4158" t="s">
        <v>606</v>
      </c>
      <c r="C4158" t="s">
        <v>80</v>
      </c>
      <c r="D4158" s="230">
        <v>0</v>
      </c>
      <c r="E4158" t="s">
        <v>607</v>
      </c>
    </row>
    <row r="4159" spans="1:5" hidden="1" x14ac:dyDescent="0.3">
      <c r="A4159" t="s">
        <v>557</v>
      </c>
      <c r="B4159" t="s">
        <v>606</v>
      </c>
      <c r="C4159" t="s">
        <v>82</v>
      </c>
      <c r="D4159" s="230">
        <v>0</v>
      </c>
      <c r="E4159" t="s">
        <v>607</v>
      </c>
    </row>
    <row r="4160" spans="1:5" hidden="1" x14ac:dyDescent="0.3">
      <c r="A4160" t="s">
        <v>557</v>
      </c>
      <c r="B4160" t="s">
        <v>606</v>
      </c>
      <c r="C4160" t="s">
        <v>84</v>
      </c>
      <c r="D4160" s="230">
        <v>0</v>
      </c>
      <c r="E4160" t="s">
        <v>607</v>
      </c>
    </row>
    <row r="4161" spans="1:5" hidden="1" x14ac:dyDescent="0.3">
      <c r="A4161" t="s">
        <v>557</v>
      </c>
      <c r="B4161" t="s">
        <v>606</v>
      </c>
      <c r="C4161" t="s">
        <v>85</v>
      </c>
      <c r="D4161" s="230">
        <v>0</v>
      </c>
      <c r="E4161" t="s">
        <v>607</v>
      </c>
    </row>
    <row r="4162" spans="1:5" hidden="1" x14ac:dyDescent="0.3">
      <c r="A4162" t="s">
        <v>557</v>
      </c>
      <c r="B4162" t="s">
        <v>606</v>
      </c>
      <c r="C4162" t="s">
        <v>86</v>
      </c>
      <c r="D4162" s="230">
        <v>0</v>
      </c>
      <c r="E4162" t="s">
        <v>607</v>
      </c>
    </row>
    <row r="4163" spans="1:5" hidden="1" x14ac:dyDescent="0.3">
      <c r="A4163" t="s">
        <v>557</v>
      </c>
      <c r="B4163" t="s">
        <v>606</v>
      </c>
      <c r="C4163" t="s">
        <v>87</v>
      </c>
      <c r="D4163" s="230">
        <v>0</v>
      </c>
      <c r="E4163" t="s">
        <v>607</v>
      </c>
    </row>
    <row r="4164" spans="1:5" hidden="1" x14ac:dyDescent="0.3">
      <c r="A4164" t="s">
        <v>557</v>
      </c>
      <c r="B4164" t="s">
        <v>606</v>
      </c>
      <c r="C4164" t="s">
        <v>88</v>
      </c>
      <c r="D4164" s="230">
        <v>0</v>
      </c>
      <c r="E4164" t="s">
        <v>607</v>
      </c>
    </row>
    <row r="4165" spans="1:5" hidden="1" x14ac:dyDescent="0.3">
      <c r="A4165" t="s">
        <v>557</v>
      </c>
      <c r="B4165" t="s">
        <v>606</v>
      </c>
      <c r="C4165" t="s">
        <v>89</v>
      </c>
      <c r="D4165" s="230">
        <v>0</v>
      </c>
      <c r="E4165" t="s">
        <v>607</v>
      </c>
    </row>
    <row r="4166" spans="1:5" hidden="1" x14ac:dyDescent="0.3">
      <c r="A4166" t="s">
        <v>557</v>
      </c>
      <c r="B4166" t="s">
        <v>606</v>
      </c>
      <c r="C4166" t="s">
        <v>90</v>
      </c>
      <c r="D4166" s="230">
        <v>0</v>
      </c>
      <c r="E4166" t="s">
        <v>607</v>
      </c>
    </row>
    <row r="4167" spans="1:5" hidden="1" x14ac:dyDescent="0.3">
      <c r="A4167" t="s">
        <v>557</v>
      </c>
      <c r="B4167" t="s">
        <v>606</v>
      </c>
      <c r="C4167" t="s">
        <v>91</v>
      </c>
      <c r="D4167" s="230">
        <v>0</v>
      </c>
      <c r="E4167" t="s">
        <v>607</v>
      </c>
    </row>
    <row r="4168" spans="1:5" hidden="1" x14ac:dyDescent="0.3">
      <c r="A4168" t="s">
        <v>557</v>
      </c>
      <c r="B4168" t="s">
        <v>606</v>
      </c>
      <c r="C4168" t="s">
        <v>93</v>
      </c>
      <c r="D4168" s="230">
        <v>0</v>
      </c>
      <c r="E4168" t="s">
        <v>607</v>
      </c>
    </row>
    <row r="4169" spans="1:5" hidden="1" x14ac:dyDescent="0.3">
      <c r="A4169" t="s">
        <v>557</v>
      </c>
      <c r="B4169" t="s">
        <v>606</v>
      </c>
      <c r="C4169" t="s">
        <v>95</v>
      </c>
      <c r="D4169" s="230">
        <v>0</v>
      </c>
      <c r="E4169" t="s">
        <v>607</v>
      </c>
    </row>
    <row r="4170" spans="1:5" hidden="1" x14ac:dyDescent="0.3">
      <c r="A4170" t="s">
        <v>557</v>
      </c>
      <c r="B4170" t="s">
        <v>606</v>
      </c>
      <c r="C4170" t="s">
        <v>96</v>
      </c>
      <c r="D4170" s="230">
        <v>0</v>
      </c>
      <c r="E4170" t="s">
        <v>607</v>
      </c>
    </row>
    <row r="4171" spans="1:5" hidden="1" x14ac:dyDescent="0.3">
      <c r="A4171" t="s">
        <v>557</v>
      </c>
      <c r="B4171" t="s">
        <v>606</v>
      </c>
      <c r="C4171" t="s">
        <v>98</v>
      </c>
      <c r="D4171" s="230">
        <v>0</v>
      </c>
      <c r="E4171" t="s">
        <v>607</v>
      </c>
    </row>
    <row r="4172" spans="1:5" hidden="1" x14ac:dyDescent="0.3">
      <c r="A4172" t="s">
        <v>557</v>
      </c>
      <c r="B4172" t="s">
        <v>606</v>
      </c>
      <c r="C4172" t="s">
        <v>100</v>
      </c>
      <c r="D4172" s="230">
        <v>0</v>
      </c>
      <c r="E4172" t="s">
        <v>607</v>
      </c>
    </row>
    <row r="4173" spans="1:5" hidden="1" x14ac:dyDescent="0.3">
      <c r="A4173" t="s">
        <v>557</v>
      </c>
      <c r="B4173" t="s">
        <v>606</v>
      </c>
      <c r="C4173" t="s">
        <v>101</v>
      </c>
      <c r="D4173" s="230">
        <v>0</v>
      </c>
      <c r="E4173" t="s">
        <v>607</v>
      </c>
    </row>
    <row r="4174" spans="1:5" hidden="1" x14ac:dyDescent="0.3">
      <c r="A4174" t="s">
        <v>557</v>
      </c>
      <c r="B4174" t="s">
        <v>606</v>
      </c>
      <c r="C4174" t="s">
        <v>102</v>
      </c>
      <c r="D4174" s="230">
        <v>0</v>
      </c>
      <c r="E4174" t="s">
        <v>607</v>
      </c>
    </row>
    <row r="4175" spans="1:5" hidden="1" x14ac:dyDescent="0.3">
      <c r="A4175" t="s">
        <v>557</v>
      </c>
      <c r="B4175" t="s">
        <v>606</v>
      </c>
      <c r="C4175" t="s">
        <v>103</v>
      </c>
      <c r="D4175" s="230">
        <v>0</v>
      </c>
      <c r="E4175" t="s">
        <v>607</v>
      </c>
    </row>
    <row r="4176" spans="1:5" hidden="1" x14ac:dyDescent="0.3">
      <c r="A4176" t="s">
        <v>557</v>
      </c>
      <c r="B4176" t="s">
        <v>606</v>
      </c>
      <c r="C4176" t="s">
        <v>104</v>
      </c>
      <c r="D4176" s="230">
        <v>0</v>
      </c>
      <c r="E4176" t="s">
        <v>607</v>
      </c>
    </row>
    <row r="4177" spans="1:5" hidden="1" x14ac:dyDescent="0.3">
      <c r="A4177" t="s">
        <v>557</v>
      </c>
      <c r="B4177" t="s">
        <v>606</v>
      </c>
      <c r="C4177" t="s">
        <v>105</v>
      </c>
      <c r="D4177" s="230">
        <v>0</v>
      </c>
      <c r="E4177" t="s">
        <v>607</v>
      </c>
    </row>
    <row r="4178" spans="1:5" hidden="1" x14ac:dyDescent="0.3">
      <c r="A4178" t="s">
        <v>557</v>
      </c>
      <c r="B4178" t="s">
        <v>606</v>
      </c>
      <c r="C4178" t="s">
        <v>107</v>
      </c>
      <c r="D4178" s="230">
        <v>0</v>
      </c>
      <c r="E4178" t="s">
        <v>607</v>
      </c>
    </row>
    <row r="4179" spans="1:5" hidden="1" x14ac:dyDescent="0.3">
      <c r="A4179" t="s">
        <v>557</v>
      </c>
      <c r="B4179" t="s">
        <v>606</v>
      </c>
      <c r="C4179" t="s">
        <v>108</v>
      </c>
      <c r="D4179" s="230">
        <v>0</v>
      </c>
      <c r="E4179" t="s">
        <v>607</v>
      </c>
    </row>
    <row r="4180" spans="1:5" hidden="1" x14ac:dyDescent="0.3">
      <c r="A4180" t="s">
        <v>557</v>
      </c>
      <c r="B4180" t="s">
        <v>606</v>
      </c>
      <c r="C4180" t="s">
        <v>109</v>
      </c>
      <c r="D4180" s="230">
        <v>0</v>
      </c>
      <c r="E4180" t="s">
        <v>607</v>
      </c>
    </row>
    <row r="4181" spans="1:5" hidden="1" x14ac:dyDescent="0.3">
      <c r="A4181" t="s">
        <v>557</v>
      </c>
      <c r="B4181" t="s">
        <v>606</v>
      </c>
      <c r="C4181" t="s">
        <v>110</v>
      </c>
      <c r="D4181" s="230">
        <v>0</v>
      </c>
      <c r="E4181" t="s">
        <v>607</v>
      </c>
    </row>
    <row r="4182" spans="1:5" hidden="1" x14ac:dyDescent="0.3">
      <c r="A4182" t="s">
        <v>557</v>
      </c>
      <c r="B4182" t="s">
        <v>606</v>
      </c>
      <c r="C4182" t="s">
        <v>44</v>
      </c>
      <c r="D4182" s="230">
        <v>0</v>
      </c>
      <c r="E4182" t="s">
        <v>607</v>
      </c>
    </row>
    <row r="4183" spans="1:5" hidden="1" x14ac:dyDescent="0.3">
      <c r="A4183" t="s">
        <v>557</v>
      </c>
      <c r="B4183" t="s">
        <v>606</v>
      </c>
      <c r="C4183" t="s">
        <v>111</v>
      </c>
      <c r="D4183" s="230">
        <v>-31054.1</v>
      </c>
      <c r="E4183" t="s">
        <v>607</v>
      </c>
    </row>
    <row r="4184" spans="1:5" hidden="1" x14ac:dyDescent="0.3">
      <c r="A4184" t="s">
        <v>557</v>
      </c>
      <c r="B4184" t="s">
        <v>606</v>
      </c>
      <c r="C4184" t="s">
        <v>608</v>
      </c>
      <c r="D4184" s="230">
        <v>-31054.1</v>
      </c>
      <c r="E4184" t="s">
        <v>607</v>
      </c>
    </row>
    <row r="4185" spans="1:5" hidden="1" x14ac:dyDescent="0.3">
      <c r="A4185" t="s">
        <v>557</v>
      </c>
      <c r="B4185" t="s">
        <v>606</v>
      </c>
      <c r="C4185" t="s">
        <v>44</v>
      </c>
      <c r="D4185" s="230">
        <v>-0.08</v>
      </c>
      <c r="E4185" t="s">
        <v>607</v>
      </c>
    </row>
    <row r="4186" spans="1:5" hidden="1" x14ac:dyDescent="0.3">
      <c r="A4186" t="s">
        <v>557</v>
      </c>
      <c r="B4186" t="s">
        <v>606</v>
      </c>
      <c r="C4186" t="s">
        <v>115</v>
      </c>
      <c r="D4186" s="230">
        <v>-7233.48</v>
      </c>
      <c r="E4186" t="s">
        <v>607</v>
      </c>
    </row>
    <row r="4187" spans="1:5" hidden="1" x14ac:dyDescent="0.3">
      <c r="A4187" t="s">
        <v>557</v>
      </c>
      <c r="B4187" t="s">
        <v>606</v>
      </c>
      <c r="C4187" t="s">
        <v>116</v>
      </c>
      <c r="D4187" s="230">
        <v>-7015.5</v>
      </c>
      <c r="E4187" t="s">
        <v>607</v>
      </c>
    </row>
    <row r="4188" spans="1:5" hidden="1" x14ac:dyDescent="0.3">
      <c r="A4188" t="s">
        <v>557</v>
      </c>
      <c r="B4188" t="s">
        <v>606</v>
      </c>
      <c r="C4188" t="s">
        <v>118</v>
      </c>
      <c r="D4188" s="230">
        <v>0</v>
      </c>
      <c r="E4188" t="s">
        <v>607</v>
      </c>
    </row>
    <row r="4189" spans="1:5" hidden="1" x14ac:dyDescent="0.3">
      <c r="A4189" t="s">
        <v>557</v>
      </c>
      <c r="B4189" t="s">
        <v>606</v>
      </c>
      <c r="C4189" t="s">
        <v>120</v>
      </c>
      <c r="D4189" s="230">
        <v>0</v>
      </c>
      <c r="E4189" t="s">
        <v>607</v>
      </c>
    </row>
    <row r="4190" spans="1:5" hidden="1" x14ac:dyDescent="0.3">
      <c r="A4190" t="s">
        <v>557</v>
      </c>
      <c r="B4190" t="s">
        <v>606</v>
      </c>
      <c r="C4190" t="s">
        <v>122</v>
      </c>
      <c r="D4190" s="230">
        <v>-217.98</v>
      </c>
      <c r="E4190" t="s">
        <v>607</v>
      </c>
    </row>
    <row r="4191" spans="1:5" hidden="1" x14ac:dyDescent="0.3">
      <c r="A4191" t="s">
        <v>557</v>
      </c>
      <c r="B4191" t="s">
        <v>606</v>
      </c>
      <c r="C4191" t="s">
        <v>44</v>
      </c>
      <c r="D4191" s="230">
        <v>-0.02</v>
      </c>
      <c r="E4191" t="s">
        <v>607</v>
      </c>
    </row>
    <row r="4192" spans="1:5" hidden="1" x14ac:dyDescent="0.3">
      <c r="A4192" t="s">
        <v>557</v>
      </c>
      <c r="B4192" t="s">
        <v>606</v>
      </c>
      <c r="C4192" t="s">
        <v>126</v>
      </c>
      <c r="D4192" s="230">
        <v>206960.26</v>
      </c>
      <c r="E4192" t="s">
        <v>607</v>
      </c>
    </row>
    <row r="4193" spans="1:5" hidden="1" x14ac:dyDescent="0.3">
      <c r="A4193" t="s">
        <v>557</v>
      </c>
      <c r="B4193" t="s">
        <v>606</v>
      </c>
      <c r="C4193" t="s">
        <v>127</v>
      </c>
      <c r="D4193" s="230">
        <v>0.53</v>
      </c>
      <c r="E4193" t="s">
        <v>607</v>
      </c>
    </row>
    <row r="4194" spans="1:5" hidden="1" x14ac:dyDescent="0.3">
      <c r="A4194" t="s">
        <v>557</v>
      </c>
      <c r="B4194" t="s">
        <v>606</v>
      </c>
      <c r="C4194" t="s">
        <v>128</v>
      </c>
      <c r="D4194" s="230">
        <v>-112717.66</v>
      </c>
      <c r="E4194" t="s">
        <v>607</v>
      </c>
    </row>
    <row r="4195" spans="1:5" hidden="1" x14ac:dyDescent="0.3">
      <c r="A4195" t="s">
        <v>557</v>
      </c>
      <c r="B4195" t="s">
        <v>606</v>
      </c>
      <c r="C4195" t="s">
        <v>129</v>
      </c>
      <c r="D4195" s="230">
        <v>-40724</v>
      </c>
      <c r="E4195" t="s">
        <v>607</v>
      </c>
    </row>
    <row r="4196" spans="1:5" hidden="1" x14ac:dyDescent="0.3">
      <c r="A4196" t="s">
        <v>557</v>
      </c>
      <c r="B4196" t="s">
        <v>606</v>
      </c>
      <c r="C4196" t="s">
        <v>609</v>
      </c>
      <c r="D4196" s="230">
        <v>-8100</v>
      </c>
      <c r="E4196" t="s">
        <v>607</v>
      </c>
    </row>
    <row r="4197" spans="1:5" hidden="1" x14ac:dyDescent="0.3">
      <c r="A4197" t="s">
        <v>557</v>
      </c>
      <c r="B4197" t="s">
        <v>606</v>
      </c>
      <c r="C4197" t="s">
        <v>610</v>
      </c>
      <c r="D4197" s="230">
        <v>-11000</v>
      </c>
      <c r="E4197" t="s">
        <v>607</v>
      </c>
    </row>
    <row r="4198" spans="1:5" hidden="1" x14ac:dyDescent="0.3">
      <c r="A4198" t="s">
        <v>557</v>
      </c>
      <c r="B4198" t="s">
        <v>606</v>
      </c>
      <c r="C4198" t="s">
        <v>611</v>
      </c>
      <c r="D4198" s="230">
        <v>-6600</v>
      </c>
      <c r="E4198" t="s">
        <v>607</v>
      </c>
    </row>
    <row r="4199" spans="1:5" hidden="1" x14ac:dyDescent="0.3">
      <c r="A4199" t="s">
        <v>557</v>
      </c>
      <c r="B4199" t="s">
        <v>606</v>
      </c>
      <c r="C4199" t="s">
        <v>612</v>
      </c>
      <c r="D4199" s="230">
        <v>-4224</v>
      </c>
      <c r="E4199" t="s">
        <v>607</v>
      </c>
    </row>
    <row r="4200" spans="1:5" hidden="1" x14ac:dyDescent="0.3">
      <c r="A4200" t="s">
        <v>557</v>
      </c>
      <c r="B4200" t="s">
        <v>606</v>
      </c>
      <c r="C4200" t="s">
        <v>613</v>
      </c>
      <c r="D4200" s="230">
        <v>0</v>
      </c>
      <c r="E4200" t="s">
        <v>607</v>
      </c>
    </row>
    <row r="4201" spans="1:5" hidden="1" x14ac:dyDescent="0.3">
      <c r="A4201" t="s">
        <v>557</v>
      </c>
      <c r="B4201" t="s">
        <v>606</v>
      </c>
      <c r="C4201" t="s">
        <v>614</v>
      </c>
      <c r="D4201" s="230">
        <v>-6000</v>
      </c>
      <c r="E4201" t="s">
        <v>607</v>
      </c>
    </row>
    <row r="4202" spans="1:5" hidden="1" x14ac:dyDescent="0.3">
      <c r="A4202" t="s">
        <v>557</v>
      </c>
      <c r="B4202" t="s">
        <v>606</v>
      </c>
      <c r="C4202" t="s">
        <v>615</v>
      </c>
      <c r="D4202" s="230">
        <v>0</v>
      </c>
      <c r="E4202" t="s">
        <v>607</v>
      </c>
    </row>
    <row r="4203" spans="1:5" hidden="1" x14ac:dyDescent="0.3">
      <c r="A4203" t="s">
        <v>557</v>
      </c>
      <c r="B4203" t="s">
        <v>606</v>
      </c>
      <c r="C4203" t="s">
        <v>616</v>
      </c>
      <c r="D4203" s="230">
        <v>-4800</v>
      </c>
      <c r="E4203" t="s">
        <v>607</v>
      </c>
    </row>
    <row r="4204" spans="1:5" hidden="1" x14ac:dyDescent="0.3">
      <c r="A4204" t="s">
        <v>557</v>
      </c>
      <c r="B4204" t="s">
        <v>606</v>
      </c>
      <c r="C4204" t="s">
        <v>617</v>
      </c>
      <c r="D4204" s="230">
        <v>0</v>
      </c>
      <c r="E4204" t="s">
        <v>607</v>
      </c>
    </row>
    <row r="4205" spans="1:5" hidden="1" x14ac:dyDescent="0.3">
      <c r="A4205" t="s">
        <v>557</v>
      </c>
      <c r="B4205" t="s">
        <v>606</v>
      </c>
      <c r="C4205" t="s">
        <v>618</v>
      </c>
      <c r="D4205" s="230">
        <v>0</v>
      </c>
      <c r="E4205" t="s">
        <v>607</v>
      </c>
    </row>
    <row r="4206" spans="1:5" hidden="1" x14ac:dyDescent="0.3">
      <c r="A4206" t="s">
        <v>557</v>
      </c>
      <c r="B4206" t="s">
        <v>606</v>
      </c>
      <c r="C4206" t="s">
        <v>619</v>
      </c>
      <c r="D4206" s="230">
        <v>0</v>
      </c>
      <c r="E4206" t="s">
        <v>607</v>
      </c>
    </row>
    <row r="4207" spans="1:5" hidden="1" x14ac:dyDescent="0.3">
      <c r="A4207" t="s">
        <v>557</v>
      </c>
      <c r="B4207" t="s">
        <v>606</v>
      </c>
      <c r="C4207" t="s">
        <v>620</v>
      </c>
      <c r="D4207" s="230">
        <v>0</v>
      </c>
      <c r="E4207" t="s">
        <v>607</v>
      </c>
    </row>
    <row r="4208" spans="1:5" hidden="1" x14ac:dyDescent="0.3">
      <c r="A4208" t="s">
        <v>557</v>
      </c>
      <c r="B4208" t="s">
        <v>606</v>
      </c>
      <c r="C4208" t="s">
        <v>575</v>
      </c>
      <c r="D4208" s="230">
        <v>-37431.85</v>
      </c>
      <c r="E4208" t="s">
        <v>607</v>
      </c>
    </row>
    <row r="4209" spans="1:5" hidden="1" x14ac:dyDescent="0.3">
      <c r="A4209" t="s">
        <v>557</v>
      </c>
      <c r="B4209" t="s">
        <v>606</v>
      </c>
      <c r="C4209" t="s">
        <v>621</v>
      </c>
      <c r="D4209" s="230">
        <v>0</v>
      </c>
      <c r="E4209" t="s">
        <v>607</v>
      </c>
    </row>
    <row r="4210" spans="1:5" hidden="1" x14ac:dyDescent="0.3">
      <c r="A4210" t="s">
        <v>557</v>
      </c>
      <c r="B4210" t="s">
        <v>606</v>
      </c>
      <c r="C4210" t="s">
        <v>622</v>
      </c>
      <c r="D4210" s="230">
        <v>0</v>
      </c>
      <c r="E4210" t="s">
        <v>607</v>
      </c>
    </row>
    <row r="4211" spans="1:5" hidden="1" x14ac:dyDescent="0.3">
      <c r="A4211" t="s">
        <v>557</v>
      </c>
      <c r="B4211" t="s">
        <v>606</v>
      </c>
      <c r="C4211" t="s">
        <v>623</v>
      </c>
      <c r="D4211" s="230">
        <v>0</v>
      </c>
      <c r="E4211" t="s">
        <v>607</v>
      </c>
    </row>
    <row r="4212" spans="1:5" hidden="1" x14ac:dyDescent="0.3">
      <c r="A4212" t="s">
        <v>557</v>
      </c>
      <c r="B4212" t="s">
        <v>606</v>
      </c>
      <c r="C4212" t="s">
        <v>624</v>
      </c>
      <c r="D4212" s="230">
        <v>0</v>
      </c>
      <c r="E4212" t="s">
        <v>607</v>
      </c>
    </row>
    <row r="4213" spans="1:5" hidden="1" x14ac:dyDescent="0.3">
      <c r="A4213" t="s">
        <v>557</v>
      </c>
      <c r="B4213" t="s">
        <v>606</v>
      </c>
      <c r="C4213" t="s">
        <v>625</v>
      </c>
      <c r="D4213" s="230">
        <v>0</v>
      </c>
      <c r="E4213" t="s">
        <v>607</v>
      </c>
    </row>
    <row r="4214" spans="1:5" hidden="1" x14ac:dyDescent="0.3">
      <c r="A4214" t="s">
        <v>557</v>
      </c>
      <c r="B4214" t="s">
        <v>606</v>
      </c>
      <c r="C4214" t="s">
        <v>626</v>
      </c>
      <c r="D4214" s="230">
        <v>0</v>
      </c>
      <c r="E4214" t="s">
        <v>607</v>
      </c>
    </row>
    <row r="4215" spans="1:5" hidden="1" x14ac:dyDescent="0.3">
      <c r="A4215" t="s">
        <v>557</v>
      </c>
      <c r="B4215" t="s">
        <v>606</v>
      </c>
      <c r="C4215" t="s">
        <v>627</v>
      </c>
      <c r="D4215" s="230">
        <v>0</v>
      </c>
      <c r="E4215" t="s">
        <v>607</v>
      </c>
    </row>
    <row r="4216" spans="1:5" hidden="1" x14ac:dyDescent="0.3">
      <c r="A4216" t="s">
        <v>557</v>
      </c>
      <c r="B4216" t="s">
        <v>606</v>
      </c>
      <c r="C4216" t="s">
        <v>628</v>
      </c>
      <c r="D4216" s="230">
        <v>0</v>
      </c>
      <c r="E4216" t="s">
        <v>607</v>
      </c>
    </row>
    <row r="4217" spans="1:5" hidden="1" x14ac:dyDescent="0.3">
      <c r="A4217" t="s">
        <v>557</v>
      </c>
      <c r="B4217" t="s">
        <v>606</v>
      </c>
      <c r="C4217" t="s">
        <v>629</v>
      </c>
      <c r="D4217" s="230">
        <v>0</v>
      </c>
      <c r="E4217" t="s">
        <v>607</v>
      </c>
    </row>
    <row r="4218" spans="1:5" hidden="1" x14ac:dyDescent="0.3">
      <c r="A4218" t="s">
        <v>557</v>
      </c>
      <c r="B4218" t="s">
        <v>606</v>
      </c>
      <c r="C4218" t="s">
        <v>630</v>
      </c>
      <c r="D4218" s="230">
        <v>0</v>
      </c>
      <c r="E4218" t="s">
        <v>607</v>
      </c>
    </row>
    <row r="4219" spans="1:5" hidden="1" x14ac:dyDescent="0.3">
      <c r="A4219" t="s">
        <v>557</v>
      </c>
      <c r="B4219" t="s">
        <v>606</v>
      </c>
      <c r="C4219" t="s">
        <v>631</v>
      </c>
      <c r="D4219" s="230">
        <v>0</v>
      </c>
      <c r="E4219" t="s">
        <v>607</v>
      </c>
    </row>
    <row r="4220" spans="1:5" hidden="1" x14ac:dyDescent="0.3">
      <c r="A4220" t="s">
        <v>557</v>
      </c>
      <c r="B4220" t="s">
        <v>606</v>
      </c>
      <c r="C4220" t="s">
        <v>632</v>
      </c>
      <c r="D4220" s="230">
        <v>0</v>
      </c>
      <c r="E4220" t="s">
        <v>607</v>
      </c>
    </row>
    <row r="4221" spans="1:5" hidden="1" x14ac:dyDescent="0.3">
      <c r="A4221" t="s">
        <v>557</v>
      </c>
      <c r="B4221" t="s">
        <v>606</v>
      </c>
      <c r="C4221" t="s">
        <v>633</v>
      </c>
      <c r="D4221" s="230">
        <v>0</v>
      </c>
      <c r="E4221" t="s">
        <v>607</v>
      </c>
    </row>
    <row r="4222" spans="1:5" hidden="1" x14ac:dyDescent="0.3">
      <c r="A4222" t="s">
        <v>557</v>
      </c>
      <c r="B4222" t="s">
        <v>606</v>
      </c>
      <c r="C4222" t="s">
        <v>634</v>
      </c>
      <c r="D4222" s="230">
        <v>0</v>
      </c>
      <c r="E4222" t="s">
        <v>607</v>
      </c>
    </row>
    <row r="4223" spans="1:5" hidden="1" x14ac:dyDescent="0.3">
      <c r="A4223" t="s">
        <v>557</v>
      </c>
      <c r="B4223" t="s">
        <v>606</v>
      </c>
      <c r="C4223" t="s">
        <v>635</v>
      </c>
      <c r="D4223" s="230">
        <v>0</v>
      </c>
      <c r="E4223" t="s">
        <v>607</v>
      </c>
    </row>
    <row r="4224" spans="1:5" hidden="1" x14ac:dyDescent="0.3">
      <c r="A4224" t="s">
        <v>557</v>
      </c>
      <c r="B4224" t="s">
        <v>606</v>
      </c>
      <c r="C4224" t="s">
        <v>636</v>
      </c>
      <c r="D4224" s="230">
        <v>0</v>
      </c>
      <c r="E4224" t="s">
        <v>607</v>
      </c>
    </row>
    <row r="4225" spans="1:5" hidden="1" x14ac:dyDescent="0.3">
      <c r="A4225" t="s">
        <v>557</v>
      </c>
      <c r="B4225" t="s">
        <v>606</v>
      </c>
      <c r="C4225" t="s">
        <v>637</v>
      </c>
      <c r="D4225" s="230">
        <v>0</v>
      </c>
      <c r="E4225" t="s">
        <v>607</v>
      </c>
    </row>
    <row r="4226" spans="1:5" hidden="1" x14ac:dyDescent="0.3">
      <c r="A4226" t="s">
        <v>557</v>
      </c>
      <c r="B4226" t="s">
        <v>606</v>
      </c>
      <c r="C4226" t="s">
        <v>638</v>
      </c>
      <c r="D4226" s="230">
        <v>0</v>
      </c>
      <c r="E4226" t="s">
        <v>607</v>
      </c>
    </row>
    <row r="4227" spans="1:5" hidden="1" x14ac:dyDescent="0.3">
      <c r="A4227" t="s">
        <v>557</v>
      </c>
      <c r="B4227" t="s">
        <v>606</v>
      </c>
      <c r="C4227" t="s">
        <v>639</v>
      </c>
      <c r="D4227" s="230">
        <v>0</v>
      </c>
      <c r="E4227" t="s">
        <v>607</v>
      </c>
    </row>
    <row r="4228" spans="1:5" hidden="1" x14ac:dyDescent="0.3">
      <c r="A4228" t="s">
        <v>557</v>
      </c>
      <c r="B4228" t="s">
        <v>606</v>
      </c>
      <c r="C4228" t="s">
        <v>640</v>
      </c>
      <c r="D4228" s="230">
        <v>0</v>
      </c>
      <c r="E4228" t="s">
        <v>607</v>
      </c>
    </row>
    <row r="4229" spans="1:5" hidden="1" x14ac:dyDescent="0.3">
      <c r="A4229" t="s">
        <v>557</v>
      </c>
      <c r="B4229" t="s">
        <v>606</v>
      </c>
      <c r="C4229" t="s">
        <v>641</v>
      </c>
      <c r="D4229" s="230">
        <v>0</v>
      </c>
      <c r="E4229" t="s">
        <v>607</v>
      </c>
    </row>
    <row r="4230" spans="1:5" hidden="1" x14ac:dyDescent="0.3">
      <c r="A4230" t="s">
        <v>557</v>
      </c>
      <c r="B4230" t="s">
        <v>606</v>
      </c>
      <c r="C4230" t="s">
        <v>642</v>
      </c>
      <c r="D4230" s="230">
        <v>0</v>
      </c>
      <c r="E4230" t="s">
        <v>607</v>
      </c>
    </row>
    <row r="4231" spans="1:5" hidden="1" x14ac:dyDescent="0.3">
      <c r="A4231" t="s">
        <v>557</v>
      </c>
      <c r="B4231" t="s">
        <v>606</v>
      </c>
      <c r="C4231" t="s">
        <v>643</v>
      </c>
      <c r="D4231" s="230">
        <v>0</v>
      </c>
      <c r="E4231" t="s">
        <v>607</v>
      </c>
    </row>
    <row r="4232" spans="1:5" hidden="1" x14ac:dyDescent="0.3">
      <c r="A4232" t="s">
        <v>557</v>
      </c>
      <c r="B4232" t="s">
        <v>606</v>
      </c>
      <c r="C4232" t="s">
        <v>644</v>
      </c>
      <c r="D4232" s="230">
        <v>0</v>
      </c>
      <c r="E4232" t="s">
        <v>607</v>
      </c>
    </row>
    <row r="4233" spans="1:5" hidden="1" x14ac:dyDescent="0.3">
      <c r="A4233" t="s">
        <v>557</v>
      </c>
      <c r="B4233" t="s">
        <v>606</v>
      </c>
      <c r="C4233" t="s">
        <v>645</v>
      </c>
      <c r="D4233" s="230">
        <v>0</v>
      </c>
      <c r="E4233" t="s">
        <v>607</v>
      </c>
    </row>
    <row r="4234" spans="1:5" hidden="1" x14ac:dyDescent="0.3">
      <c r="A4234" t="s">
        <v>557</v>
      </c>
      <c r="B4234" t="s">
        <v>606</v>
      </c>
      <c r="C4234" t="s">
        <v>646</v>
      </c>
      <c r="D4234" s="230">
        <v>0</v>
      </c>
      <c r="E4234" t="s">
        <v>607</v>
      </c>
    </row>
    <row r="4235" spans="1:5" hidden="1" x14ac:dyDescent="0.3">
      <c r="A4235" t="s">
        <v>557</v>
      </c>
      <c r="B4235" t="s">
        <v>606</v>
      </c>
      <c r="C4235" t="s">
        <v>647</v>
      </c>
      <c r="D4235" s="230">
        <v>0</v>
      </c>
      <c r="E4235" t="s">
        <v>607</v>
      </c>
    </row>
    <row r="4236" spans="1:5" hidden="1" x14ac:dyDescent="0.3">
      <c r="A4236" t="s">
        <v>557</v>
      </c>
      <c r="B4236" t="s">
        <v>606</v>
      </c>
      <c r="C4236" t="s">
        <v>648</v>
      </c>
      <c r="D4236" s="230">
        <v>0</v>
      </c>
      <c r="E4236" t="s">
        <v>607</v>
      </c>
    </row>
    <row r="4237" spans="1:5" hidden="1" x14ac:dyDescent="0.3">
      <c r="A4237" t="s">
        <v>557</v>
      </c>
      <c r="B4237" t="s">
        <v>606</v>
      </c>
      <c r="C4237" t="s">
        <v>649</v>
      </c>
      <c r="D4237" s="230">
        <v>0</v>
      </c>
      <c r="E4237" t="s">
        <v>607</v>
      </c>
    </row>
    <row r="4238" spans="1:5" hidden="1" x14ac:dyDescent="0.3">
      <c r="A4238" t="s">
        <v>557</v>
      </c>
      <c r="B4238" t="s">
        <v>606</v>
      </c>
      <c r="C4238" t="s">
        <v>650</v>
      </c>
      <c r="D4238" s="230">
        <v>0</v>
      </c>
      <c r="E4238" t="s">
        <v>607</v>
      </c>
    </row>
    <row r="4239" spans="1:5" hidden="1" x14ac:dyDescent="0.3">
      <c r="A4239" t="s">
        <v>557</v>
      </c>
      <c r="B4239" t="s">
        <v>606</v>
      </c>
      <c r="C4239" t="s">
        <v>651</v>
      </c>
      <c r="D4239" s="230">
        <v>0</v>
      </c>
      <c r="E4239" t="s">
        <v>607</v>
      </c>
    </row>
    <row r="4240" spans="1:5" hidden="1" x14ac:dyDescent="0.3">
      <c r="A4240" t="s">
        <v>557</v>
      </c>
      <c r="B4240" t="s">
        <v>606</v>
      </c>
      <c r="C4240" t="s">
        <v>652</v>
      </c>
      <c r="D4240" s="230">
        <v>0</v>
      </c>
      <c r="E4240" t="s">
        <v>607</v>
      </c>
    </row>
    <row r="4241" spans="1:5" hidden="1" x14ac:dyDescent="0.3">
      <c r="A4241" t="s">
        <v>557</v>
      </c>
      <c r="B4241" t="s">
        <v>606</v>
      </c>
      <c r="C4241" t="s">
        <v>653</v>
      </c>
      <c r="D4241" s="230">
        <v>0</v>
      </c>
      <c r="E4241" t="s">
        <v>607</v>
      </c>
    </row>
    <row r="4242" spans="1:5" hidden="1" x14ac:dyDescent="0.3">
      <c r="A4242" t="s">
        <v>557</v>
      </c>
      <c r="B4242" t="s">
        <v>606</v>
      </c>
      <c r="C4242" t="s">
        <v>654</v>
      </c>
      <c r="D4242" s="230">
        <v>0</v>
      </c>
      <c r="E4242" t="s">
        <v>607</v>
      </c>
    </row>
    <row r="4243" spans="1:5" hidden="1" x14ac:dyDescent="0.3">
      <c r="A4243" t="s">
        <v>557</v>
      </c>
      <c r="B4243" t="s">
        <v>606</v>
      </c>
      <c r="C4243" t="s">
        <v>655</v>
      </c>
      <c r="D4243" s="230">
        <v>0</v>
      </c>
      <c r="E4243" t="s">
        <v>607</v>
      </c>
    </row>
    <row r="4244" spans="1:5" hidden="1" x14ac:dyDescent="0.3">
      <c r="A4244" t="s">
        <v>557</v>
      </c>
      <c r="B4244" t="s">
        <v>606</v>
      </c>
      <c r="C4244" t="s">
        <v>656</v>
      </c>
      <c r="D4244" s="230">
        <v>0</v>
      </c>
      <c r="E4244" t="s">
        <v>607</v>
      </c>
    </row>
    <row r="4245" spans="1:5" hidden="1" x14ac:dyDescent="0.3">
      <c r="A4245" t="s">
        <v>557</v>
      </c>
      <c r="B4245" t="s">
        <v>606</v>
      </c>
      <c r="C4245" t="s">
        <v>657</v>
      </c>
      <c r="D4245" s="230">
        <v>0</v>
      </c>
      <c r="E4245" t="s">
        <v>607</v>
      </c>
    </row>
    <row r="4246" spans="1:5" hidden="1" x14ac:dyDescent="0.3">
      <c r="A4246" t="s">
        <v>557</v>
      </c>
      <c r="B4246" t="s">
        <v>606</v>
      </c>
      <c r="C4246" t="s">
        <v>658</v>
      </c>
      <c r="D4246" s="230">
        <v>0</v>
      </c>
      <c r="E4246" t="s">
        <v>607</v>
      </c>
    </row>
    <row r="4247" spans="1:5" hidden="1" x14ac:dyDescent="0.3">
      <c r="A4247" t="s">
        <v>557</v>
      </c>
      <c r="B4247" t="s">
        <v>606</v>
      </c>
      <c r="C4247" t="s">
        <v>659</v>
      </c>
      <c r="D4247" s="230">
        <v>0</v>
      </c>
      <c r="E4247" t="s">
        <v>607</v>
      </c>
    </row>
    <row r="4248" spans="1:5" hidden="1" x14ac:dyDescent="0.3">
      <c r="A4248" t="s">
        <v>557</v>
      </c>
      <c r="B4248" t="s">
        <v>606</v>
      </c>
      <c r="C4248" t="s">
        <v>660</v>
      </c>
      <c r="D4248" s="230">
        <v>0</v>
      </c>
      <c r="E4248" t="s">
        <v>607</v>
      </c>
    </row>
    <row r="4249" spans="1:5" hidden="1" x14ac:dyDescent="0.3">
      <c r="A4249" t="s">
        <v>557</v>
      </c>
      <c r="B4249" t="s">
        <v>606</v>
      </c>
      <c r="C4249" t="s">
        <v>661</v>
      </c>
      <c r="D4249" s="230">
        <v>0</v>
      </c>
      <c r="E4249" t="s">
        <v>607</v>
      </c>
    </row>
    <row r="4250" spans="1:5" hidden="1" x14ac:dyDescent="0.3">
      <c r="A4250" t="s">
        <v>557</v>
      </c>
      <c r="B4250" t="s">
        <v>606</v>
      </c>
      <c r="C4250" t="s">
        <v>662</v>
      </c>
      <c r="D4250" s="230">
        <v>0</v>
      </c>
      <c r="E4250" t="s">
        <v>607</v>
      </c>
    </row>
    <row r="4251" spans="1:5" hidden="1" x14ac:dyDescent="0.3">
      <c r="A4251" t="s">
        <v>557</v>
      </c>
      <c r="B4251" t="s">
        <v>606</v>
      </c>
      <c r="C4251" t="s">
        <v>663</v>
      </c>
      <c r="D4251" s="230">
        <v>0</v>
      </c>
      <c r="E4251" t="s">
        <v>607</v>
      </c>
    </row>
    <row r="4252" spans="1:5" hidden="1" x14ac:dyDescent="0.3">
      <c r="A4252" t="s">
        <v>557</v>
      </c>
      <c r="B4252" t="s">
        <v>606</v>
      </c>
      <c r="C4252" t="s">
        <v>664</v>
      </c>
      <c r="D4252" s="230">
        <v>0</v>
      </c>
      <c r="E4252" t="s">
        <v>607</v>
      </c>
    </row>
    <row r="4253" spans="1:5" hidden="1" x14ac:dyDescent="0.3">
      <c r="A4253" t="s">
        <v>557</v>
      </c>
      <c r="B4253" t="s">
        <v>606</v>
      </c>
      <c r="C4253" t="s">
        <v>665</v>
      </c>
      <c r="D4253" s="230">
        <v>0</v>
      </c>
      <c r="E4253" t="s">
        <v>607</v>
      </c>
    </row>
    <row r="4254" spans="1:5" hidden="1" x14ac:dyDescent="0.3">
      <c r="A4254" t="s">
        <v>557</v>
      </c>
      <c r="B4254" t="s">
        <v>606</v>
      </c>
      <c r="C4254" t="s">
        <v>666</v>
      </c>
      <c r="D4254" s="230">
        <v>0</v>
      </c>
      <c r="E4254" t="s">
        <v>607</v>
      </c>
    </row>
    <row r="4255" spans="1:5" hidden="1" x14ac:dyDescent="0.3">
      <c r="A4255" t="s">
        <v>557</v>
      </c>
      <c r="B4255" t="s">
        <v>606</v>
      </c>
      <c r="C4255" t="s">
        <v>667</v>
      </c>
      <c r="D4255" s="230">
        <v>0</v>
      </c>
      <c r="E4255" t="s">
        <v>607</v>
      </c>
    </row>
    <row r="4256" spans="1:5" hidden="1" x14ac:dyDescent="0.3">
      <c r="A4256" t="s">
        <v>557</v>
      </c>
      <c r="B4256" t="s">
        <v>606</v>
      </c>
      <c r="C4256" t="s">
        <v>668</v>
      </c>
      <c r="D4256" s="230">
        <v>0</v>
      </c>
      <c r="E4256" t="s">
        <v>607</v>
      </c>
    </row>
    <row r="4257" spans="1:5" hidden="1" x14ac:dyDescent="0.3">
      <c r="A4257" t="s">
        <v>557</v>
      </c>
      <c r="B4257" t="s">
        <v>606</v>
      </c>
      <c r="C4257" t="s">
        <v>669</v>
      </c>
      <c r="D4257" s="230">
        <v>0</v>
      </c>
      <c r="E4257" t="s">
        <v>607</v>
      </c>
    </row>
    <row r="4258" spans="1:5" hidden="1" x14ac:dyDescent="0.3">
      <c r="A4258" t="s">
        <v>557</v>
      </c>
      <c r="B4258" t="s">
        <v>606</v>
      </c>
      <c r="C4258" t="s">
        <v>670</v>
      </c>
      <c r="D4258" s="230">
        <v>0</v>
      </c>
      <c r="E4258" t="s">
        <v>607</v>
      </c>
    </row>
    <row r="4259" spans="1:5" hidden="1" x14ac:dyDescent="0.3">
      <c r="A4259" t="s">
        <v>557</v>
      </c>
      <c r="B4259" t="s">
        <v>606</v>
      </c>
      <c r="C4259" t="s">
        <v>671</v>
      </c>
      <c r="D4259" s="230">
        <v>0</v>
      </c>
      <c r="E4259" t="s">
        <v>607</v>
      </c>
    </row>
    <row r="4260" spans="1:5" hidden="1" x14ac:dyDescent="0.3">
      <c r="A4260" t="s">
        <v>557</v>
      </c>
      <c r="B4260" t="s">
        <v>606</v>
      </c>
      <c r="C4260" t="s">
        <v>672</v>
      </c>
      <c r="D4260" s="230">
        <v>0</v>
      </c>
      <c r="E4260" t="s">
        <v>607</v>
      </c>
    </row>
    <row r="4261" spans="1:5" hidden="1" x14ac:dyDescent="0.3">
      <c r="A4261" t="s">
        <v>557</v>
      </c>
      <c r="B4261" t="s">
        <v>606</v>
      </c>
      <c r="C4261" t="s">
        <v>673</v>
      </c>
      <c r="D4261" s="230">
        <v>0</v>
      </c>
      <c r="E4261" t="s">
        <v>607</v>
      </c>
    </row>
    <row r="4262" spans="1:5" hidden="1" x14ac:dyDescent="0.3">
      <c r="A4262" t="s">
        <v>557</v>
      </c>
      <c r="B4262" t="s">
        <v>606</v>
      </c>
      <c r="C4262" t="s">
        <v>674</v>
      </c>
      <c r="D4262" s="230">
        <v>0</v>
      </c>
      <c r="E4262" t="s">
        <v>607</v>
      </c>
    </row>
    <row r="4263" spans="1:5" hidden="1" x14ac:dyDescent="0.3">
      <c r="A4263" t="s">
        <v>557</v>
      </c>
      <c r="B4263" t="s">
        <v>606</v>
      </c>
      <c r="C4263" t="s">
        <v>675</v>
      </c>
      <c r="D4263" s="230">
        <v>0</v>
      </c>
      <c r="E4263" t="s">
        <v>607</v>
      </c>
    </row>
    <row r="4264" spans="1:5" hidden="1" x14ac:dyDescent="0.3">
      <c r="A4264" t="s">
        <v>557</v>
      </c>
      <c r="B4264" t="s">
        <v>606</v>
      </c>
      <c r="C4264" t="s">
        <v>676</v>
      </c>
      <c r="D4264" s="230">
        <v>0</v>
      </c>
      <c r="E4264" t="s">
        <v>607</v>
      </c>
    </row>
    <row r="4265" spans="1:5" hidden="1" x14ac:dyDescent="0.3">
      <c r="A4265" t="s">
        <v>557</v>
      </c>
      <c r="B4265" t="s">
        <v>606</v>
      </c>
      <c r="C4265" t="s">
        <v>677</v>
      </c>
      <c r="D4265" s="230">
        <v>0</v>
      </c>
      <c r="E4265" t="s">
        <v>607</v>
      </c>
    </row>
    <row r="4266" spans="1:5" hidden="1" x14ac:dyDescent="0.3">
      <c r="A4266" t="s">
        <v>557</v>
      </c>
      <c r="B4266" t="s">
        <v>606</v>
      </c>
      <c r="C4266" t="s">
        <v>201</v>
      </c>
      <c r="D4266" s="230">
        <v>-6014.56</v>
      </c>
      <c r="E4266" t="s">
        <v>607</v>
      </c>
    </row>
    <row r="4267" spans="1:5" hidden="1" x14ac:dyDescent="0.3">
      <c r="A4267" t="s">
        <v>557</v>
      </c>
      <c r="B4267" t="s">
        <v>606</v>
      </c>
      <c r="C4267" t="s">
        <v>203</v>
      </c>
      <c r="D4267" s="230">
        <v>-6014.56</v>
      </c>
      <c r="E4267" t="s">
        <v>607</v>
      </c>
    </row>
    <row r="4268" spans="1:5" hidden="1" x14ac:dyDescent="0.3">
      <c r="A4268" t="s">
        <v>557</v>
      </c>
      <c r="B4268" t="s">
        <v>606</v>
      </c>
      <c r="C4268" t="s">
        <v>678</v>
      </c>
      <c r="D4268" s="230">
        <v>3007.28</v>
      </c>
      <c r="E4268" t="s">
        <v>607</v>
      </c>
    </row>
    <row r="4269" spans="1:5" hidden="1" x14ac:dyDescent="0.3">
      <c r="A4269" t="s">
        <v>557</v>
      </c>
      <c r="B4269" t="s">
        <v>606</v>
      </c>
      <c r="C4269" t="s">
        <v>205</v>
      </c>
      <c r="D4269" s="230">
        <v>-13989.17</v>
      </c>
      <c r="E4269" t="s">
        <v>607</v>
      </c>
    </row>
    <row r="4270" spans="1:5" hidden="1" x14ac:dyDescent="0.3">
      <c r="A4270" t="s">
        <v>557</v>
      </c>
      <c r="B4270" t="s">
        <v>606</v>
      </c>
      <c r="C4270" t="s">
        <v>679</v>
      </c>
      <c r="D4270" s="230">
        <v>-3894.25</v>
      </c>
      <c r="E4270" t="s">
        <v>607</v>
      </c>
    </row>
    <row r="4271" spans="1:5" hidden="1" x14ac:dyDescent="0.3">
      <c r="A4271" t="s">
        <v>557</v>
      </c>
      <c r="B4271" t="s">
        <v>606</v>
      </c>
      <c r="C4271" t="s">
        <v>680</v>
      </c>
      <c r="D4271" s="230">
        <v>0</v>
      </c>
      <c r="E4271" t="s">
        <v>607</v>
      </c>
    </row>
    <row r="4272" spans="1:5" hidden="1" x14ac:dyDescent="0.3">
      <c r="A4272" t="s">
        <v>557</v>
      </c>
      <c r="B4272" t="s">
        <v>606</v>
      </c>
      <c r="C4272" t="s">
        <v>681</v>
      </c>
      <c r="D4272" s="230">
        <v>0</v>
      </c>
      <c r="E4272" t="s">
        <v>607</v>
      </c>
    </row>
    <row r="4273" spans="1:5" hidden="1" x14ac:dyDescent="0.3">
      <c r="A4273" t="s">
        <v>557</v>
      </c>
      <c r="B4273" t="s">
        <v>606</v>
      </c>
      <c r="C4273" t="s">
        <v>682</v>
      </c>
      <c r="D4273" s="230">
        <v>-4498</v>
      </c>
      <c r="E4273" t="s">
        <v>607</v>
      </c>
    </row>
    <row r="4274" spans="1:5" hidden="1" x14ac:dyDescent="0.3">
      <c r="A4274" t="s">
        <v>557</v>
      </c>
      <c r="B4274" t="s">
        <v>606</v>
      </c>
      <c r="C4274" t="s">
        <v>683</v>
      </c>
      <c r="D4274" s="230">
        <v>-1348.32</v>
      </c>
      <c r="E4274" t="s">
        <v>607</v>
      </c>
    </row>
    <row r="4275" spans="1:5" hidden="1" x14ac:dyDescent="0.3">
      <c r="A4275" t="s">
        <v>557</v>
      </c>
      <c r="B4275" t="s">
        <v>606</v>
      </c>
      <c r="C4275" t="s">
        <v>684</v>
      </c>
      <c r="D4275" s="230">
        <v>-1515.51</v>
      </c>
      <c r="E4275" t="s">
        <v>607</v>
      </c>
    </row>
    <row r="4276" spans="1:5" hidden="1" x14ac:dyDescent="0.3">
      <c r="A4276" t="s">
        <v>557</v>
      </c>
      <c r="B4276" t="s">
        <v>606</v>
      </c>
      <c r="C4276" t="s">
        <v>685</v>
      </c>
      <c r="D4276" s="230">
        <v>-453.04</v>
      </c>
      <c r="E4276" t="s">
        <v>607</v>
      </c>
    </row>
    <row r="4277" spans="1:5" hidden="1" x14ac:dyDescent="0.3">
      <c r="A4277" t="s">
        <v>557</v>
      </c>
      <c r="B4277" t="s">
        <v>606</v>
      </c>
      <c r="C4277" t="s">
        <v>686</v>
      </c>
      <c r="D4277" s="230">
        <v>0</v>
      </c>
      <c r="E4277" t="s">
        <v>607</v>
      </c>
    </row>
    <row r="4278" spans="1:5" hidden="1" x14ac:dyDescent="0.3">
      <c r="A4278" t="s">
        <v>557</v>
      </c>
      <c r="B4278" t="s">
        <v>606</v>
      </c>
      <c r="C4278" t="s">
        <v>687</v>
      </c>
      <c r="D4278" s="230">
        <v>0</v>
      </c>
      <c r="E4278" t="s">
        <v>607</v>
      </c>
    </row>
    <row r="4279" spans="1:5" hidden="1" x14ac:dyDescent="0.3">
      <c r="A4279" t="s">
        <v>557</v>
      </c>
      <c r="B4279" t="s">
        <v>606</v>
      </c>
      <c r="C4279" t="s">
        <v>688</v>
      </c>
      <c r="D4279" s="230">
        <v>0</v>
      </c>
      <c r="E4279" t="s">
        <v>607</v>
      </c>
    </row>
    <row r="4280" spans="1:5" hidden="1" x14ac:dyDescent="0.3">
      <c r="A4280" t="s">
        <v>557</v>
      </c>
      <c r="B4280" t="s">
        <v>606</v>
      </c>
      <c r="C4280" t="s">
        <v>689</v>
      </c>
      <c r="D4280" s="230">
        <v>-280.06</v>
      </c>
      <c r="E4280" t="s">
        <v>607</v>
      </c>
    </row>
    <row r="4281" spans="1:5" hidden="1" x14ac:dyDescent="0.3">
      <c r="A4281" t="s">
        <v>557</v>
      </c>
      <c r="B4281" t="s">
        <v>606</v>
      </c>
      <c r="C4281" t="s">
        <v>690</v>
      </c>
      <c r="D4281" s="230">
        <v>-2000</v>
      </c>
      <c r="E4281" t="s">
        <v>607</v>
      </c>
    </row>
    <row r="4282" spans="1:5" hidden="1" x14ac:dyDescent="0.3">
      <c r="A4282" t="s">
        <v>557</v>
      </c>
      <c r="B4282" t="s">
        <v>606</v>
      </c>
      <c r="C4282" t="s">
        <v>691</v>
      </c>
      <c r="D4282" s="230">
        <v>0</v>
      </c>
      <c r="E4282" t="s">
        <v>607</v>
      </c>
    </row>
    <row r="4283" spans="1:5" hidden="1" x14ac:dyDescent="0.3">
      <c r="A4283" t="s">
        <v>557</v>
      </c>
      <c r="B4283" t="s">
        <v>606</v>
      </c>
      <c r="C4283" t="s">
        <v>692</v>
      </c>
      <c r="D4283" s="230">
        <v>0</v>
      </c>
      <c r="E4283" t="s">
        <v>607</v>
      </c>
    </row>
    <row r="4284" spans="1:5" hidden="1" x14ac:dyDescent="0.3">
      <c r="A4284" t="s">
        <v>557</v>
      </c>
      <c r="B4284" t="s">
        <v>606</v>
      </c>
      <c r="C4284" t="s">
        <v>693</v>
      </c>
      <c r="D4284" s="230">
        <v>0</v>
      </c>
      <c r="E4284" t="s">
        <v>607</v>
      </c>
    </row>
    <row r="4285" spans="1:5" hidden="1" x14ac:dyDescent="0.3">
      <c r="A4285" t="s">
        <v>557</v>
      </c>
      <c r="B4285" t="s">
        <v>606</v>
      </c>
      <c r="C4285" t="s">
        <v>694</v>
      </c>
      <c r="D4285" s="230">
        <v>0</v>
      </c>
      <c r="E4285" t="s">
        <v>607</v>
      </c>
    </row>
    <row r="4286" spans="1:5" hidden="1" x14ac:dyDescent="0.3">
      <c r="A4286" t="s">
        <v>557</v>
      </c>
      <c r="B4286" t="s">
        <v>606</v>
      </c>
      <c r="C4286" t="s">
        <v>238</v>
      </c>
      <c r="D4286" s="230">
        <v>-6585.19</v>
      </c>
      <c r="E4286" t="s">
        <v>607</v>
      </c>
    </row>
    <row r="4287" spans="1:5" hidden="1" x14ac:dyDescent="0.3">
      <c r="A4287" t="s">
        <v>557</v>
      </c>
      <c r="B4287" t="s">
        <v>606</v>
      </c>
      <c r="C4287" t="s">
        <v>695</v>
      </c>
      <c r="D4287" s="230">
        <v>-6511.72</v>
      </c>
      <c r="E4287" t="s">
        <v>607</v>
      </c>
    </row>
    <row r="4288" spans="1:5" hidden="1" x14ac:dyDescent="0.3">
      <c r="A4288" t="s">
        <v>557</v>
      </c>
      <c r="B4288" t="s">
        <v>606</v>
      </c>
      <c r="C4288" t="s">
        <v>696</v>
      </c>
      <c r="D4288" s="230">
        <v>0</v>
      </c>
      <c r="E4288" t="s">
        <v>607</v>
      </c>
    </row>
    <row r="4289" spans="1:5" hidden="1" x14ac:dyDescent="0.3">
      <c r="A4289" t="s">
        <v>557</v>
      </c>
      <c r="B4289" t="s">
        <v>606</v>
      </c>
      <c r="C4289" t="s">
        <v>697</v>
      </c>
      <c r="D4289" s="230">
        <v>0</v>
      </c>
      <c r="E4289" t="s">
        <v>607</v>
      </c>
    </row>
    <row r="4290" spans="1:5" hidden="1" x14ac:dyDescent="0.3">
      <c r="A4290" t="s">
        <v>557</v>
      </c>
      <c r="B4290" t="s">
        <v>606</v>
      </c>
      <c r="C4290" t="s">
        <v>698</v>
      </c>
      <c r="D4290" s="230">
        <v>-73.47</v>
      </c>
      <c r="E4290" t="s">
        <v>607</v>
      </c>
    </row>
    <row r="4291" spans="1:5" hidden="1" x14ac:dyDescent="0.3">
      <c r="A4291" t="s">
        <v>557</v>
      </c>
      <c r="B4291" t="s">
        <v>606</v>
      </c>
      <c r="C4291" t="s">
        <v>699</v>
      </c>
      <c r="D4291" s="230">
        <v>0</v>
      </c>
      <c r="E4291" t="s">
        <v>607</v>
      </c>
    </row>
    <row r="4292" spans="1:5" hidden="1" x14ac:dyDescent="0.3">
      <c r="A4292" t="s">
        <v>557</v>
      </c>
      <c r="B4292" t="s">
        <v>606</v>
      </c>
      <c r="C4292" t="s">
        <v>245</v>
      </c>
      <c r="D4292" s="230">
        <v>-7972.88</v>
      </c>
      <c r="E4292" t="s">
        <v>607</v>
      </c>
    </row>
    <row r="4293" spans="1:5" hidden="1" x14ac:dyDescent="0.3">
      <c r="A4293" t="s">
        <v>557</v>
      </c>
      <c r="B4293" t="s">
        <v>606</v>
      </c>
      <c r="C4293" t="s">
        <v>700</v>
      </c>
      <c r="D4293" s="230">
        <v>-398</v>
      </c>
      <c r="E4293" t="s">
        <v>607</v>
      </c>
    </row>
    <row r="4294" spans="1:5" hidden="1" x14ac:dyDescent="0.3">
      <c r="A4294" t="s">
        <v>557</v>
      </c>
      <c r="B4294" t="s">
        <v>606</v>
      </c>
      <c r="C4294" t="s">
        <v>701</v>
      </c>
      <c r="D4294" s="230">
        <v>-467.38</v>
      </c>
      <c r="E4294" t="s">
        <v>607</v>
      </c>
    </row>
    <row r="4295" spans="1:5" hidden="1" x14ac:dyDescent="0.3">
      <c r="A4295" t="s">
        <v>557</v>
      </c>
      <c r="B4295" t="s">
        <v>606</v>
      </c>
      <c r="C4295" t="s">
        <v>702</v>
      </c>
      <c r="D4295" s="230">
        <v>0</v>
      </c>
      <c r="E4295" t="s">
        <v>607</v>
      </c>
    </row>
    <row r="4296" spans="1:5" hidden="1" x14ac:dyDescent="0.3">
      <c r="A4296" t="s">
        <v>557</v>
      </c>
      <c r="B4296" t="s">
        <v>606</v>
      </c>
      <c r="C4296" t="s">
        <v>703</v>
      </c>
      <c r="D4296" s="230">
        <v>0</v>
      </c>
      <c r="E4296" t="s">
        <v>607</v>
      </c>
    </row>
    <row r="4297" spans="1:5" hidden="1" x14ac:dyDescent="0.3">
      <c r="A4297" t="s">
        <v>557</v>
      </c>
      <c r="B4297" t="s">
        <v>606</v>
      </c>
      <c r="C4297" t="s">
        <v>704</v>
      </c>
      <c r="D4297" s="230">
        <v>0</v>
      </c>
      <c r="E4297" t="s">
        <v>607</v>
      </c>
    </row>
    <row r="4298" spans="1:5" hidden="1" x14ac:dyDescent="0.3">
      <c r="A4298" t="s">
        <v>557</v>
      </c>
      <c r="B4298" t="s">
        <v>606</v>
      </c>
      <c r="C4298" t="s">
        <v>705</v>
      </c>
      <c r="D4298" s="230">
        <v>-7107.5</v>
      </c>
      <c r="E4298" t="s">
        <v>607</v>
      </c>
    </row>
    <row r="4299" spans="1:5" hidden="1" x14ac:dyDescent="0.3">
      <c r="A4299" t="s">
        <v>557</v>
      </c>
      <c r="B4299" t="s">
        <v>606</v>
      </c>
      <c r="C4299" t="s">
        <v>706</v>
      </c>
      <c r="D4299" s="230">
        <v>0</v>
      </c>
      <c r="E4299" t="s">
        <v>607</v>
      </c>
    </row>
    <row r="4300" spans="1:5" hidden="1" x14ac:dyDescent="0.3">
      <c r="A4300" t="s">
        <v>557</v>
      </c>
      <c r="B4300" t="s">
        <v>606</v>
      </c>
      <c r="C4300" t="s">
        <v>254</v>
      </c>
      <c r="D4300" s="230">
        <v>-0.37</v>
      </c>
      <c r="E4300" t="s">
        <v>607</v>
      </c>
    </row>
    <row r="4301" spans="1:5" hidden="1" x14ac:dyDescent="0.3">
      <c r="A4301" t="s">
        <v>557</v>
      </c>
      <c r="B4301" t="s">
        <v>606</v>
      </c>
      <c r="C4301" t="s">
        <v>255</v>
      </c>
      <c r="D4301" s="230">
        <v>-0.35</v>
      </c>
      <c r="E4301" t="s">
        <v>607</v>
      </c>
    </row>
    <row r="4302" spans="1:5" hidden="1" x14ac:dyDescent="0.3">
      <c r="A4302" t="s">
        <v>557</v>
      </c>
      <c r="B4302" t="s">
        <v>606</v>
      </c>
      <c r="C4302" t="s">
        <v>256</v>
      </c>
      <c r="D4302" s="230">
        <v>-51752.37</v>
      </c>
      <c r="E4302" t="s">
        <v>607</v>
      </c>
    </row>
    <row r="4303" spans="1:5" hidden="1" x14ac:dyDescent="0.3">
      <c r="A4303" t="s">
        <v>557</v>
      </c>
      <c r="B4303" t="s">
        <v>606</v>
      </c>
      <c r="C4303" t="s">
        <v>257</v>
      </c>
      <c r="D4303" s="230">
        <v>-49305.7</v>
      </c>
      <c r="E4303" t="s">
        <v>607</v>
      </c>
    </row>
    <row r="4304" spans="1:5" hidden="1" x14ac:dyDescent="0.3">
      <c r="A4304" t="s">
        <v>557</v>
      </c>
      <c r="B4304" t="s">
        <v>606</v>
      </c>
      <c r="C4304" t="s">
        <v>258</v>
      </c>
      <c r="D4304" s="230">
        <v>0</v>
      </c>
      <c r="E4304" t="s">
        <v>607</v>
      </c>
    </row>
    <row r="4305" spans="1:5" hidden="1" x14ac:dyDescent="0.3">
      <c r="A4305" t="s">
        <v>557</v>
      </c>
      <c r="B4305" t="s">
        <v>606</v>
      </c>
      <c r="C4305" t="s">
        <v>259</v>
      </c>
      <c r="D4305" s="230">
        <v>-2446.67</v>
      </c>
      <c r="E4305" t="s">
        <v>607</v>
      </c>
    </row>
    <row r="4306" spans="1:5" hidden="1" x14ac:dyDescent="0.3">
      <c r="A4306" t="s">
        <v>557</v>
      </c>
      <c r="B4306" t="s">
        <v>606</v>
      </c>
      <c r="C4306" t="s">
        <v>260</v>
      </c>
      <c r="D4306" s="230">
        <v>0</v>
      </c>
      <c r="E4306" t="s">
        <v>607</v>
      </c>
    </row>
    <row r="4307" spans="1:5" hidden="1" x14ac:dyDescent="0.3">
      <c r="A4307" t="s">
        <v>557</v>
      </c>
      <c r="B4307" t="s">
        <v>606</v>
      </c>
      <c r="C4307" t="s">
        <v>261</v>
      </c>
      <c r="D4307" s="230">
        <v>0</v>
      </c>
      <c r="E4307" t="s">
        <v>607</v>
      </c>
    </row>
    <row r="4308" spans="1:5" hidden="1" x14ac:dyDescent="0.3">
      <c r="A4308" t="s">
        <v>557</v>
      </c>
      <c r="B4308" t="s">
        <v>606</v>
      </c>
      <c r="C4308" t="s">
        <v>262</v>
      </c>
      <c r="D4308" s="230">
        <v>0</v>
      </c>
      <c r="E4308" t="s">
        <v>607</v>
      </c>
    </row>
    <row r="4309" spans="1:5" hidden="1" x14ac:dyDescent="0.3">
      <c r="A4309" t="s">
        <v>557</v>
      </c>
      <c r="B4309" t="s">
        <v>606</v>
      </c>
      <c r="C4309" t="s">
        <v>263</v>
      </c>
      <c r="D4309" s="230">
        <v>0</v>
      </c>
      <c r="E4309" t="s">
        <v>607</v>
      </c>
    </row>
    <row r="4310" spans="1:5" hidden="1" x14ac:dyDescent="0.3">
      <c r="A4310" t="s">
        <v>557</v>
      </c>
      <c r="B4310" t="s">
        <v>606</v>
      </c>
      <c r="C4310" t="s">
        <v>44</v>
      </c>
      <c r="D4310" s="230">
        <v>-0.13</v>
      </c>
      <c r="E4310" t="s">
        <v>607</v>
      </c>
    </row>
    <row r="4311" spans="1:5" hidden="1" x14ac:dyDescent="0.3">
      <c r="A4311" t="s">
        <v>557</v>
      </c>
      <c r="B4311" t="s">
        <v>606</v>
      </c>
      <c r="C4311" t="s">
        <v>264</v>
      </c>
      <c r="D4311" s="230">
        <v>-30803.439999999999</v>
      </c>
      <c r="E4311" t="s">
        <v>607</v>
      </c>
    </row>
    <row r="4312" spans="1:5" hidden="1" x14ac:dyDescent="0.3">
      <c r="A4312" t="s">
        <v>557</v>
      </c>
      <c r="B4312" t="s">
        <v>606</v>
      </c>
      <c r="C4312" t="s">
        <v>265</v>
      </c>
      <c r="D4312" s="230">
        <v>-4721.6099999999997</v>
      </c>
      <c r="E4312" t="s">
        <v>607</v>
      </c>
    </row>
    <row r="4313" spans="1:5" hidden="1" x14ac:dyDescent="0.3">
      <c r="A4313" t="s">
        <v>557</v>
      </c>
      <c r="B4313" t="s">
        <v>606</v>
      </c>
      <c r="C4313" t="s">
        <v>266</v>
      </c>
      <c r="D4313" s="230">
        <v>-10295.52</v>
      </c>
      <c r="E4313" t="s">
        <v>607</v>
      </c>
    </row>
    <row r="4314" spans="1:5" hidden="1" x14ac:dyDescent="0.3">
      <c r="A4314" t="s">
        <v>557</v>
      </c>
      <c r="B4314" t="s">
        <v>606</v>
      </c>
      <c r="C4314" t="s">
        <v>267</v>
      </c>
      <c r="D4314" s="230">
        <v>-5093.54</v>
      </c>
      <c r="E4314" t="s">
        <v>607</v>
      </c>
    </row>
    <row r="4315" spans="1:5" hidden="1" x14ac:dyDescent="0.3">
      <c r="A4315" t="s">
        <v>557</v>
      </c>
      <c r="B4315" t="s">
        <v>606</v>
      </c>
      <c r="C4315" t="s">
        <v>268</v>
      </c>
      <c r="D4315" s="230">
        <v>-5675.4</v>
      </c>
      <c r="E4315" t="s">
        <v>607</v>
      </c>
    </row>
    <row r="4316" spans="1:5" hidden="1" x14ac:dyDescent="0.3">
      <c r="A4316" t="s">
        <v>557</v>
      </c>
      <c r="B4316" t="s">
        <v>606</v>
      </c>
      <c r="C4316" t="s">
        <v>269</v>
      </c>
      <c r="D4316" s="230">
        <v>0</v>
      </c>
      <c r="E4316" t="s">
        <v>607</v>
      </c>
    </row>
    <row r="4317" spans="1:5" hidden="1" x14ac:dyDescent="0.3">
      <c r="A4317" t="s">
        <v>557</v>
      </c>
      <c r="B4317" t="s">
        <v>606</v>
      </c>
      <c r="C4317" t="s">
        <v>270</v>
      </c>
      <c r="D4317" s="230">
        <v>-500</v>
      </c>
      <c r="E4317" t="s">
        <v>607</v>
      </c>
    </row>
    <row r="4318" spans="1:5" hidden="1" x14ac:dyDescent="0.3">
      <c r="A4318" t="s">
        <v>557</v>
      </c>
      <c r="B4318" t="s">
        <v>606</v>
      </c>
      <c r="C4318" t="s">
        <v>271</v>
      </c>
      <c r="D4318" s="230">
        <v>-802.56</v>
      </c>
      <c r="E4318" t="s">
        <v>607</v>
      </c>
    </row>
    <row r="4319" spans="1:5" hidden="1" x14ac:dyDescent="0.3">
      <c r="A4319" t="s">
        <v>557</v>
      </c>
      <c r="B4319" t="s">
        <v>606</v>
      </c>
      <c r="C4319" t="s">
        <v>272</v>
      </c>
      <c r="D4319" s="230">
        <v>0</v>
      </c>
      <c r="E4319" t="s">
        <v>607</v>
      </c>
    </row>
    <row r="4320" spans="1:5" hidden="1" x14ac:dyDescent="0.3">
      <c r="A4320" t="s">
        <v>557</v>
      </c>
      <c r="B4320" t="s">
        <v>606</v>
      </c>
      <c r="C4320" t="s">
        <v>273</v>
      </c>
      <c r="D4320" s="230">
        <v>0</v>
      </c>
      <c r="E4320" t="s">
        <v>607</v>
      </c>
    </row>
    <row r="4321" spans="1:5" hidden="1" x14ac:dyDescent="0.3">
      <c r="A4321" t="s">
        <v>557</v>
      </c>
      <c r="B4321" t="s">
        <v>606</v>
      </c>
      <c r="C4321" t="s">
        <v>274</v>
      </c>
      <c r="D4321" s="230">
        <v>0</v>
      </c>
      <c r="E4321" t="s">
        <v>607</v>
      </c>
    </row>
    <row r="4322" spans="1:5" hidden="1" x14ac:dyDescent="0.3">
      <c r="A4322" t="s">
        <v>557</v>
      </c>
      <c r="B4322" t="s">
        <v>606</v>
      </c>
      <c r="C4322" t="s">
        <v>275</v>
      </c>
      <c r="D4322" s="230">
        <v>-124.24</v>
      </c>
      <c r="E4322" t="s">
        <v>607</v>
      </c>
    </row>
    <row r="4323" spans="1:5" hidden="1" x14ac:dyDescent="0.3">
      <c r="A4323" t="s">
        <v>557</v>
      </c>
      <c r="B4323" t="s">
        <v>606</v>
      </c>
      <c r="C4323" t="s">
        <v>276</v>
      </c>
      <c r="D4323" s="230">
        <v>0</v>
      </c>
      <c r="E4323" t="s">
        <v>607</v>
      </c>
    </row>
    <row r="4324" spans="1:5" hidden="1" x14ac:dyDescent="0.3">
      <c r="A4324" t="s">
        <v>557</v>
      </c>
      <c r="B4324" t="s">
        <v>606</v>
      </c>
      <c r="C4324" t="s">
        <v>277</v>
      </c>
      <c r="D4324" s="230">
        <v>0</v>
      </c>
      <c r="E4324" t="s">
        <v>607</v>
      </c>
    </row>
    <row r="4325" spans="1:5" hidden="1" x14ac:dyDescent="0.3">
      <c r="A4325" t="s">
        <v>557</v>
      </c>
      <c r="B4325" t="s">
        <v>606</v>
      </c>
      <c r="C4325" t="s">
        <v>278</v>
      </c>
      <c r="D4325" s="230">
        <v>-3590.57</v>
      </c>
      <c r="E4325" t="s">
        <v>607</v>
      </c>
    </row>
    <row r="4326" spans="1:5" hidden="1" x14ac:dyDescent="0.3">
      <c r="A4326" t="s">
        <v>557</v>
      </c>
      <c r="B4326" t="s">
        <v>606</v>
      </c>
      <c r="C4326" t="s">
        <v>44</v>
      </c>
      <c r="D4326" s="230">
        <v>-0.08</v>
      </c>
      <c r="E4326" t="s">
        <v>607</v>
      </c>
    </row>
    <row r="4327" spans="1:5" hidden="1" x14ac:dyDescent="0.3">
      <c r="A4327" t="s">
        <v>557</v>
      </c>
      <c r="B4327" t="s">
        <v>606</v>
      </c>
      <c r="C4327" t="s">
        <v>279</v>
      </c>
      <c r="D4327" s="230">
        <v>-5814.68</v>
      </c>
      <c r="E4327" t="s">
        <v>607</v>
      </c>
    </row>
    <row r="4328" spans="1:5" hidden="1" x14ac:dyDescent="0.3">
      <c r="A4328" t="s">
        <v>557</v>
      </c>
      <c r="B4328" t="s">
        <v>606</v>
      </c>
      <c r="C4328" t="s">
        <v>280</v>
      </c>
      <c r="D4328" s="230">
        <v>-299.89999999999998</v>
      </c>
      <c r="E4328" t="s">
        <v>607</v>
      </c>
    </row>
    <row r="4329" spans="1:5" hidden="1" x14ac:dyDescent="0.3">
      <c r="A4329" t="s">
        <v>557</v>
      </c>
      <c r="B4329" t="s">
        <v>606</v>
      </c>
      <c r="C4329" t="s">
        <v>281</v>
      </c>
      <c r="D4329" s="230">
        <v>-264.39</v>
      </c>
      <c r="E4329" t="s">
        <v>607</v>
      </c>
    </row>
    <row r="4330" spans="1:5" hidden="1" x14ac:dyDescent="0.3">
      <c r="A4330" t="s">
        <v>557</v>
      </c>
      <c r="B4330" t="s">
        <v>606</v>
      </c>
      <c r="C4330" t="s">
        <v>282</v>
      </c>
      <c r="D4330" s="230">
        <v>-296.36</v>
      </c>
      <c r="E4330" t="s">
        <v>607</v>
      </c>
    </row>
    <row r="4331" spans="1:5" hidden="1" x14ac:dyDescent="0.3">
      <c r="A4331" t="s">
        <v>557</v>
      </c>
      <c r="B4331" t="s">
        <v>606</v>
      </c>
      <c r="C4331" t="s">
        <v>283</v>
      </c>
      <c r="D4331" s="230">
        <v>-236.23</v>
      </c>
      <c r="E4331" t="s">
        <v>607</v>
      </c>
    </row>
    <row r="4332" spans="1:5" hidden="1" x14ac:dyDescent="0.3">
      <c r="A4332" t="s">
        <v>557</v>
      </c>
      <c r="B4332" t="s">
        <v>606</v>
      </c>
      <c r="C4332" t="s">
        <v>284</v>
      </c>
      <c r="D4332" s="230">
        <v>-4717.8</v>
      </c>
      <c r="E4332" t="s">
        <v>607</v>
      </c>
    </row>
    <row r="4333" spans="1:5" hidden="1" x14ac:dyDescent="0.3">
      <c r="A4333" t="s">
        <v>557</v>
      </c>
      <c r="B4333" t="s">
        <v>606</v>
      </c>
      <c r="C4333" t="s">
        <v>285</v>
      </c>
      <c r="D4333" s="230">
        <v>0</v>
      </c>
      <c r="E4333" t="s">
        <v>607</v>
      </c>
    </row>
    <row r="4334" spans="1:5" hidden="1" x14ac:dyDescent="0.3">
      <c r="A4334" t="s">
        <v>557</v>
      </c>
      <c r="B4334" t="s">
        <v>606</v>
      </c>
      <c r="C4334" t="s">
        <v>286</v>
      </c>
      <c r="D4334" s="230">
        <v>0</v>
      </c>
      <c r="E4334" t="s">
        <v>607</v>
      </c>
    </row>
    <row r="4335" spans="1:5" hidden="1" x14ac:dyDescent="0.3">
      <c r="A4335" t="s">
        <v>557</v>
      </c>
      <c r="B4335" t="s">
        <v>606</v>
      </c>
      <c r="C4335" t="s">
        <v>44</v>
      </c>
      <c r="D4335" s="230">
        <v>-0.01</v>
      </c>
      <c r="E4335" t="s">
        <v>607</v>
      </c>
    </row>
    <row r="4336" spans="1:5" hidden="1" x14ac:dyDescent="0.3">
      <c r="A4336" t="s">
        <v>557</v>
      </c>
      <c r="B4336" t="s">
        <v>606</v>
      </c>
      <c r="C4336" t="s">
        <v>287</v>
      </c>
      <c r="D4336" s="230">
        <v>-9524.2199999999993</v>
      </c>
      <c r="E4336" t="s">
        <v>607</v>
      </c>
    </row>
    <row r="4337" spans="1:5" hidden="1" x14ac:dyDescent="0.3">
      <c r="A4337" t="s">
        <v>557</v>
      </c>
      <c r="B4337" t="s">
        <v>606</v>
      </c>
      <c r="C4337" t="s">
        <v>288</v>
      </c>
      <c r="D4337" s="230">
        <v>-9346.4500000000007</v>
      </c>
      <c r="E4337" t="s">
        <v>607</v>
      </c>
    </row>
    <row r="4338" spans="1:5" hidden="1" x14ac:dyDescent="0.3">
      <c r="A4338" t="s">
        <v>557</v>
      </c>
      <c r="B4338" t="s">
        <v>606</v>
      </c>
      <c r="C4338" t="s">
        <v>289</v>
      </c>
      <c r="D4338" s="230">
        <v>0</v>
      </c>
      <c r="E4338" t="s">
        <v>607</v>
      </c>
    </row>
    <row r="4339" spans="1:5" hidden="1" x14ac:dyDescent="0.3">
      <c r="A4339" t="s">
        <v>557</v>
      </c>
      <c r="B4339" t="s">
        <v>606</v>
      </c>
      <c r="C4339" t="s">
        <v>290</v>
      </c>
      <c r="D4339" s="230">
        <v>0</v>
      </c>
      <c r="E4339" t="s">
        <v>607</v>
      </c>
    </row>
    <row r="4340" spans="1:5" hidden="1" x14ac:dyDescent="0.3">
      <c r="A4340" t="s">
        <v>557</v>
      </c>
      <c r="B4340" t="s">
        <v>606</v>
      </c>
      <c r="C4340" t="s">
        <v>291</v>
      </c>
      <c r="D4340" s="230">
        <v>0</v>
      </c>
      <c r="E4340" t="s">
        <v>607</v>
      </c>
    </row>
    <row r="4341" spans="1:5" hidden="1" x14ac:dyDescent="0.3">
      <c r="A4341" t="s">
        <v>557</v>
      </c>
      <c r="B4341" t="s">
        <v>606</v>
      </c>
      <c r="C4341" t="s">
        <v>292</v>
      </c>
      <c r="D4341" s="230">
        <v>0</v>
      </c>
      <c r="E4341" t="s">
        <v>607</v>
      </c>
    </row>
    <row r="4342" spans="1:5" hidden="1" x14ac:dyDescent="0.3">
      <c r="A4342" t="s">
        <v>557</v>
      </c>
      <c r="B4342" t="s">
        <v>606</v>
      </c>
      <c r="C4342" t="s">
        <v>293</v>
      </c>
      <c r="D4342" s="230">
        <v>-177.77</v>
      </c>
      <c r="E4342" t="s">
        <v>607</v>
      </c>
    </row>
    <row r="4343" spans="1:5" hidden="1" x14ac:dyDescent="0.3">
      <c r="A4343" t="s">
        <v>557</v>
      </c>
      <c r="B4343" t="s">
        <v>606</v>
      </c>
      <c r="C4343" t="s">
        <v>294</v>
      </c>
      <c r="D4343" s="230">
        <v>-151.91</v>
      </c>
      <c r="E4343" t="s">
        <v>607</v>
      </c>
    </row>
    <row r="4344" spans="1:5" hidden="1" x14ac:dyDescent="0.3">
      <c r="A4344" t="s">
        <v>557</v>
      </c>
      <c r="B4344" t="s">
        <v>606</v>
      </c>
      <c r="C4344" t="s">
        <v>295</v>
      </c>
      <c r="D4344" s="230">
        <v>0</v>
      </c>
      <c r="E4344" t="s">
        <v>607</v>
      </c>
    </row>
    <row r="4345" spans="1:5" hidden="1" x14ac:dyDescent="0.3">
      <c r="A4345" t="s">
        <v>557</v>
      </c>
      <c r="B4345" t="s">
        <v>606</v>
      </c>
      <c r="C4345" t="s">
        <v>44</v>
      </c>
      <c r="D4345" s="230">
        <v>-0.02</v>
      </c>
      <c r="E4345" t="s">
        <v>607</v>
      </c>
    </row>
    <row r="4346" spans="1:5" hidden="1" x14ac:dyDescent="0.3">
      <c r="A4346" t="s">
        <v>557</v>
      </c>
      <c r="B4346" t="s">
        <v>606</v>
      </c>
      <c r="C4346" t="s">
        <v>296</v>
      </c>
      <c r="D4346" s="230">
        <v>-2450</v>
      </c>
      <c r="E4346" t="s">
        <v>607</v>
      </c>
    </row>
    <row r="4347" spans="1:5" hidden="1" x14ac:dyDescent="0.3">
      <c r="A4347" t="s">
        <v>557</v>
      </c>
      <c r="B4347" t="s">
        <v>606</v>
      </c>
      <c r="C4347" t="s">
        <v>297</v>
      </c>
      <c r="D4347" s="230">
        <v>-2000</v>
      </c>
      <c r="E4347" t="s">
        <v>607</v>
      </c>
    </row>
    <row r="4348" spans="1:5" hidden="1" x14ac:dyDescent="0.3">
      <c r="A4348" t="s">
        <v>557</v>
      </c>
      <c r="B4348" t="s">
        <v>606</v>
      </c>
      <c r="C4348" t="s">
        <v>298</v>
      </c>
      <c r="D4348" s="230">
        <v>-450</v>
      </c>
      <c r="E4348" t="s">
        <v>607</v>
      </c>
    </row>
    <row r="4349" spans="1:5" hidden="1" x14ac:dyDescent="0.3">
      <c r="A4349" t="s">
        <v>557</v>
      </c>
      <c r="B4349" t="s">
        <v>606</v>
      </c>
      <c r="C4349" t="s">
        <v>299</v>
      </c>
      <c r="D4349" s="230">
        <v>0</v>
      </c>
      <c r="E4349" t="s">
        <v>607</v>
      </c>
    </row>
    <row r="4350" spans="1:5" hidden="1" x14ac:dyDescent="0.3">
      <c r="A4350" t="s">
        <v>557</v>
      </c>
      <c r="B4350" t="s">
        <v>606</v>
      </c>
      <c r="C4350" t="s">
        <v>300</v>
      </c>
      <c r="D4350" s="230">
        <v>0</v>
      </c>
      <c r="E4350" t="s">
        <v>607</v>
      </c>
    </row>
    <row r="4351" spans="1:5" hidden="1" x14ac:dyDescent="0.3">
      <c r="A4351" t="s">
        <v>557</v>
      </c>
      <c r="B4351" t="s">
        <v>606</v>
      </c>
      <c r="C4351" t="s">
        <v>301</v>
      </c>
      <c r="D4351" s="230">
        <v>0</v>
      </c>
      <c r="E4351" t="s">
        <v>607</v>
      </c>
    </row>
    <row r="4352" spans="1:5" hidden="1" x14ac:dyDescent="0.3">
      <c r="A4352" t="s">
        <v>557</v>
      </c>
      <c r="B4352" t="s">
        <v>606</v>
      </c>
      <c r="C4352" t="s">
        <v>302</v>
      </c>
      <c r="D4352" s="230">
        <v>0</v>
      </c>
      <c r="E4352" t="s">
        <v>607</v>
      </c>
    </row>
    <row r="4353" spans="1:5" hidden="1" x14ac:dyDescent="0.3">
      <c r="A4353" t="s">
        <v>557</v>
      </c>
      <c r="B4353" t="s">
        <v>606</v>
      </c>
      <c r="C4353" t="s">
        <v>303</v>
      </c>
      <c r="D4353" s="230">
        <v>0</v>
      </c>
      <c r="E4353" t="s">
        <v>607</v>
      </c>
    </row>
    <row r="4354" spans="1:5" hidden="1" x14ac:dyDescent="0.3">
      <c r="A4354" t="s">
        <v>557</v>
      </c>
      <c r="B4354" t="s">
        <v>606</v>
      </c>
      <c r="C4354" t="s">
        <v>304</v>
      </c>
      <c r="D4354" s="230">
        <v>0</v>
      </c>
      <c r="E4354" t="s">
        <v>607</v>
      </c>
    </row>
    <row r="4355" spans="1:5" hidden="1" x14ac:dyDescent="0.3">
      <c r="A4355" t="s">
        <v>557</v>
      </c>
      <c r="B4355" t="s">
        <v>606</v>
      </c>
      <c r="C4355" t="s">
        <v>305</v>
      </c>
      <c r="D4355" s="230">
        <v>0</v>
      </c>
      <c r="E4355" t="s">
        <v>607</v>
      </c>
    </row>
    <row r="4356" spans="1:5" hidden="1" x14ac:dyDescent="0.3">
      <c r="A4356" t="s">
        <v>557</v>
      </c>
      <c r="B4356" t="s">
        <v>606</v>
      </c>
      <c r="C4356" t="s">
        <v>306</v>
      </c>
      <c r="D4356" s="230">
        <v>0</v>
      </c>
      <c r="E4356" t="s">
        <v>607</v>
      </c>
    </row>
    <row r="4357" spans="1:5" hidden="1" x14ac:dyDescent="0.3">
      <c r="A4357" t="s">
        <v>557</v>
      </c>
      <c r="B4357" t="s">
        <v>606</v>
      </c>
      <c r="C4357" t="s">
        <v>307</v>
      </c>
      <c r="D4357" s="230">
        <v>0</v>
      </c>
      <c r="E4357" t="s">
        <v>607</v>
      </c>
    </row>
    <row r="4358" spans="1:5" hidden="1" x14ac:dyDescent="0.3">
      <c r="A4358" t="s">
        <v>557</v>
      </c>
      <c r="B4358" t="s">
        <v>606</v>
      </c>
      <c r="C4358" t="s">
        <v>44</v>
      </c>
      <c r="D4358" s="230">
        <v>-0.01</v>
      </c>
      <c r="E4358" t="s">
        <v>607</v>
      </c>
    </row>
    <row r="4359" spans="1:5" hidden="1" x14ac:dyDescent="0.3">
      <c r="A4359" t="s">
        <v>557</v>
      </c>
      <c r="B4359" t="s">
        <v>606</v>
      </c>
      <c r="C4359" t="s">
        <v>308</v>
      </c>
      <c r="D4359" s="230">
        <v>-3103.33</v>
      </c>
      <c r="E4359" t="s">
        <v>607</v>
      </c>
    </row>
    <row r="4360" spans="1:5" hidden="1" x14ac:dyDescent="0.3">
      <c r="A4360" t="s">
        <v>557</v>
      </c>
      <c r="B4360" t="s">
        <v>606</v>
      </c>
      <c r="C4360" t="s">
        <v>309</v>
      </c>
      <c r="D4360" s="230">
        <v>-1500</v>
      </c>
      <c r="E4360" t="s">
        <v>607</v>
      </c>
    </row>
    <row r="4361" spans="1:5" hidden="1" x14ac:dyDescent="0.3">
      <c r="A4361" t="s">
        <v>557</v>
      </c>
      <c r="B4361" t="s">
        <v>606</v>
      </c>
      <c r="C4361" t="s">
        <v>310</v>
      </c>
      <c r="D4361" s="230">
        <v>0</v>
      </c>
      <c r="E4361" t="s">
        <v>607</v>
      </c>
    </row>
    <row r="4362" spans="1:5" hidden="1" x14ac:dyDescent="0.3">
      <c r="A4362" t="s">
        <v>557</v>
      </c>
      <c r="B4362" t="s">
        <v>606</v>
      </c>
      <c r="C4362" t="s">
        <v>311</v>
      </c>
      <c r="D4362" s="230">
        <v>-1603.33</v>
      </c>
      <c r="E4362" t="s">
        <v>607</v>
      </c>
    </row>
    <row r="4363" spans="1:5" hidden="1" x14ac:dyDescent="0.3">
      <c r="A4363" t="s">
        <v>557</v>
      </c>
      <c r="B4363" t="s">
        <v>606</v>
      </c>
      <c r="C4363" t="s">
        <v>312</v>
      </c>
      <c r="D4363" s="230">
        <v>0</v>
      </c>
      <c r="E4363" t="s">
        <v>607</v>
      </c>
    </row>
    <row r="4364" spans="1:5" hidden="1" x14ac:dyDescent="0.3">
      <c r="A4364" t="s">
        <v>557</v>
      </c>
      <c r="B4364" t="s">
        <v>606</v>
      </c>
      <c r="C4364" t="s">
        <v>313</v>
      </c>
      <c r="D4364" s="230">
        <v>0</v>
      </c>
      <c r="E4364" t="s">
        <v>607</v>
      </c>
    </row>
    <row r="4365" spans="1:5" hidden="1" x14ac:dyDescent="0.3">
      <c r="A4365" t="s">
        <v>557</v>
      </c>
      <c r="B4365" t="s">
        <v>606</v>
      </c>
      <c r="C4365" t="s">
        <v>314</v>
      </c>
      <c r="D4365" s="230">
        <v>0</v>
      </c>
      <c r="E4365" t="s">
        <v>607</v>
      </c>
    </row>
    <row r="4366" spans="1:5" hidden="1" x14ac:dyDescent="0.3">
      <c r="A4366" t="s">
        <v>557</v>
      </c>
      <c r="B4366" t="s">
        <v>606</v>
      </c>
      <c r="C4366" t="s">
        <v>315</v>
      </c>
      <c r="D4366" s="230">
        <v>0</v>
      </c>
      <c r="E4366" t="s">
        <v>607</v>
      </c>
    </row>
    <row r="4367" spans="1:5" hidden="1" x14ac:dyDescent="0.3">
      <c r="A4367" t="s">
        <v>557</v>
      </c>
      <c r="B4367" t="s">
        <v>606</v>
      </c>
      <c r="C4367" t="s">
        <v>316</v>
      </c>
      <c r="D4367" s="230">
        <v>0</v>
      </c>
      <c r="E4367" t="s">
        <v>607</v>
      </c>
    </row>
    <row r="4368" spans="1:5" hidden="1" x14ac:dyDescent="0.3">
      <c r="A4368" t="s">
        <v>557</v>
      </c>
      <c r="B4368" t="s">
        <v>606</v>
      </c>
      <c r="C4368" t="s">
        <v>317</v>
      </c>
      <c r="D4368" s="230">
        <v>0</v>
      </c>
      <c r="E4368" t="s">
        <v>607</v>
      </c>
    </row>
    <row r="4369" spans="1:5" hidden="1" x14ac:dyDescent="0.3">
      <c r="A4369" t="s">
        <v>557</v>
      </c>
      <c r="B4369" t="s">
        <v>606</v>
      </c>
      <c r="C4369" t="s">
        <v>44</v>
      </c>
      <c r="D4369" s="230">
        <v>-0.01</v>
      </c>
      <c r="E4369" t="s">
        <v>607</v>
      </c>
    </row>
    <row r="4370" spans="1:5" hidden="1" x14ac:dyDescent="0.3">
      <c r="A4370" t="s">
        <v>557</v>
      </c>
      <c r="B4370" t="s">
        <v>606</v>
      </c>
      <c r="C4370" t="s">
        <v>318</v>
      </c>
      <c r="D4370" s="230">
        <v>-2190</v>
      </c>
      <c r="E4370" t="s">
        <v>607</v>
      </c>
    </row>
    <row r="4371" spans="1:5" hidden="1" x14ac:dyDescent="0.3">
      <c r="A4371" t="s">
        <v>557</v>
      </c>
      <c r="B4371" t="s">
        <v>606</v>
      </c>
      <c r="C4371" t="s">
        <v>319</v>
      </c>
      <c r="D4371" s="230">
        <v>-2190</v>
      </c>
      <c r="E4371" t="s">
        <v>607</v>
      </c>
    </row>
    <row r="4372" spans="1:5" hidden="1" x14ac:dyDescent="0.3">
      <c r="A4372" t="s">
        <v>557</v>
      </c>
      <c r="B4372" t="s">
        <v>606</v>
      </c>
      <c r="C4372" t="s">
        <v>320</v>
      </c>
      <c r="D4372" s="230">
        <v>0</v>
      </c>
      <c r="E4372" t="s">
        <v>607</v>
      </c>
    </row>
    <row r="4373" spans="1:5" hidden="1" x14ac:dyDescent="0.3">
      <c r="A4373" t="s">
        <v>557</v>
      </c>
      <c r="B4373" t="s">
        <v>606</v>
      </c>
      <c r="C4373" t="s">
        <v>321</v>
      </c>
      <c r="D4373" s="230">
        <v>0</v>
      </c>
      <c r="E4373" t="s">
        <v>607</v>
      </c>
    </row>
    <row r="4374" spans="1:5" hidden="1" x14ac:dyDescent="0.3">
      <c r="A4374" t="s">
        <v>557</v>
      </c>
      <c r="B4374" t="s">
        <v>606</v>
      </c>
      <c r="C4374" t="s">
        <v>322</v>
      </c>
      <c r="D4374" s="230">
        <v>0</v>
      </c>
      <c r="E4374" t="s">
        <v>607</v>
      </c>
    </row>
    <row r="4375" spans="1:5" hidden="1" x14ac:dyDescent="0.3">
      <c r="A4375" t="s">
        <v>557</v>
      </c>
      <c r="B4375" t="s">
        <v>606</v>
      </c>
      <c r="C4375" t="s">
        <v>44</v>
      </c>
      <c r="D4375" s="230">
        <v>-0.01</v>
      </c>
      <c r="E4375" t="s">
        <v>607</v>
      </c>
    </row>
    <row r="4376" spans="1:5" hidden="1" x14ac:dyDescent="0.3">
      <c r="A4376" t="s">
        <v>557</v>
      </c>
      <c r="B4376" t="s">
        <v>606</v>
      </c>
      <c r="C4376" t="s">
        <v>323</v>
      </c>
      <c r="D4376" s="230">
        <v>-19604.64</v>
      </c>
      <c r="E4376" t="s">
        <v>607</v>
      </c>
    </row>
    <row r="4377" spans="1:5" hidden="1" x14ac:dyDescent="0.3">
      <c r="A4377" t="s">
        <v>557</v>
      </c>
      <c r="B4377" t="s">
        <v>606</v>
      </c>
      <c r="C4377" t="s">
        <v>324</v>
      </c>
      <c r="D4377" s="230">
        <v>0</v>
      </c>
      <c r="E4377" t="s">
        <v>607</v>
      </c>
    </row>
    <row r="4378" spans="1:5" hidden="1" x14ac:dyDescent="0.3">
      <c r="A4378" t="s">
        <v>557</v>
      </c>
      <c r="B4378" t="s">
        <v>606</v>
      </c>
      <c r="C4378" t="s">
        <v>325</v>
      </c>
      <c r="D4378" s="230">
        <v>0</v>
      </c>
      <c r="E4378" t="s">
        <v>607</v>
      </c>
    </row>
    <row r="4379" spans="1:5" x14ac:dyDescent="0.3">
      <c r="A4379" t="s">
        <v>557</v>
      </c>
      <c r="B4379" t="s">
        <v>606</v>
      </c>
      <c r="C4379" t="s">
        <v>326</v>
      </c>
      <c r="D4379" s="230">
        <v>-19604.64</v>
      </c>
      <c r="E4379" t="s">
        <v>607</v>
      </c>
    </row>
    <row r="4380" spans="1:5" hidden="1" x14ac:dyDescent="0.3">
      <c r="A4380" t="s">
        <v>557</v>
      </c>
      <c r="B4380" t="s">
        <v>606</v>
      </c>
      <c r="C4380" t="s">
        <v>44</v>
      </c>
      <c r="D4380" s="230">
        <v>-0.05</v>
      </c>
      <c r="E4380" t="s">
        <v>607</v>
      </c>
    </row>
    <row r="4381" spans="1:5" hidden="1" x14ac:dyDescent="0.3">
      <c r="A4381" t="s">
        <v>557</v>
      </c>
      <c r="B4381" t="s">
        <v>606</v>
      </c>
      <c r="C4381" t="s">
        <v>328</v>
      </c>
      <c r="D4381" s="230">
        <v>-237960.33</v>
      </c>
      <c r="E4381" t="s">
        <v>607</v>
      </c>
    </row>
    <row r="4382" spans="1:5" hidden="1" x14ac:dyDescent="0.3">
      <c r="A4382" t="s">
        <v>557</v>
      </c>
      <c r="B4382" t="s">
        <v>606</v>
      </c>
      <c r="C4382" t="s">
        <v>44</v>
      </c>
      <c r="D4382" s="230">
        <v>-0.61</v>
      </c>
      <c r="E4382" t="s">
        <v>607</v>
      </c>
    </row>
    <row r="4383" spans="1:5" hidden="1" x14ac:dyDescent="0.3">
      <c r="A4383" t="s">
        <v>557</v>
      </c>
      <c r="B4383" t="s">
        <v>606</v>
      </c>
      <c r="C4383" t="s">
        <v>329</v>
      </c>
      <c r="D4383" s="230">
        <v>-31000.07</v>
      </c>
      <c r="E4383" t="s">
        <v>607</v>
      </c>
    </row>
    <row r="4384" spans="1:5" hidden="1" x14ac:dyDescent="0.3">
      <c r="A4384" t="s">
        <v>557</v>
      </c>
      <c r="B4384" t="s">
        <v>606</v>
      </c>
      <c r="C4384" t="s">
        <v>44</v>
      </c>
      <c r="D4384" s="230">
        <v>-0.08</v>
      </c>
      <c r="E4384" t="s">
        <v>607</v>
      </c>
    </row>
    <row r="4385" spans="1:5" hidden="1" x14ac:dyDescent="0.3">
      <c r="A4385" t="s">
        <v>557</v>
      </c>
      <c r="B4385" t="s">
        <v>606</v>
      </c>
      <c r="C4385" t="s">
        <v>330</v>
      </c>
      <c r="D4385" s="230">
        <v>0</v>
      </c>
      <c r="E4385" t="s">
        <v>607</v>
      </c>
    </row>
    <row r="4386" spans="1:5" hidden="1" x14ac:dyDescent="0.3">
      <c r="A4386" t="s">
        <v>557</v>
      </c>
      <c r="B4386" t="s">
        <v>606</v>
      </c>
      <c r="C4386" t="s">
        <v>332</v>
      </c>
      <c r="D4386" s="230">
        <v>-31151.98</v>
      </c>
      <c r="E4386" t="s">
        <v>607</v>
      </c>
    </row>
    <row r="4387" spans="1:5" hidden="1" x14ac:dyDescent="0.3">
      <c r="A4387" t="s">
        <v>557</v>
      </c>
      <c r="B4387" t="s">
        <v>606</v>
      </c>
      <c r="C4387" t="s">
        <v>333</v>
      </c>
      <c r="D4387" s="230">
        <v>2088.84</v>
      </c>
      <c r="E4387" t="s">
        <v>607</v>
      </c>
    </row>
    <row r="4388" spans="1:5" hidden="1" x14ac:dyDescent="0.3">
      <c r="A4388" t="s">
        <v>557</v>
      </c>
      <c r="B4388" t="s">
        <v>606</v>
      </c>
      <c r="C4388" t="s">
        <v>334</v>
      </c>
      <c r="D4388" s="230">
        <v>0</v>
      </c>
      <c r="E4388" t="s">
        <v>607</v>
      </c>
    </row>
    <row r="4389" spans="1:5" hidden="1" x14ac:dyDescent="0.3">
      <c r="A4389" t="s">
        <v>557</v>
      </c>
      <c r="B4389" t="s">
        <v>606</v>
      </c>
      <c r="C4389" t="s">
        <v>336</v>
      </c>
      <c r="D4389" s="230">
        <v>0</v>
      </c>
      <c r="E4389" t="s">
        <v>607</v>
      </c>
    </row>
    <row r="4390" spans="1:5" hidden="1" x14ac:dyDescent="0.3">
      <c r="A4390" t="s">
        <v>557</v>
      </c>
      <c r="B4390" t="s">
        <v>606</v>
      </c>
      <c r="C4390" t="s">
        <v>338</v>
      </c>
      <c r="D4390" s="230">
        <v>-29063.14</v>
      </c>
      <c r="E4390" t="s">
        <v>607</v>
      </c>
    </row>
    <row r="4391" spans="1:5" hidden="1" x14ac:dyDescent="0.3">
      <c r="A4391" t="s">
        <v>557</v>
      </c>
      <c r="B4391" t="s">
        <v>606</v>
      </c>
      <c r="C4391" t="s">
        <v>339</v>
      </c>
      <c r="D4391" s="230">
        <v>-18820.45</v>
      </c>
      <c r="E4391" t="s">
        <v>607</v>
      </c>
    </row>
    <row r="4392" spans="1:5" hidden="1" x14ac:dyDescent="0.3">
      <c r="A4392" t="s">
        <v>557</v>
      </c>
      <c r="B4392" t="s">
        <v>606</v>
      </c>
      <c r="C4392" t="s">
        <v>342</v>
      </c>
      <c r="D4392" s="230">
        <v>-18820.45</v>
      </c>
      <c r="E4392" t="s">
        <v>607</v>
      </c>
    </row>
    <row r="4393" spans="1:5" hidden="1" x14ac:dyDescent="0.3">
      <c r="A4393" t="s">
        <v>557</v>
      </c>
      <c r="B4393" t="s">
        <v>606</v>
      </c>
      <c r="C4393" t="s">
        <v>344</v>
      </c>
      <c r="D4393" s="230">
        <v>0</v>
      </c>
      <c r="E4393" t="s">
        <v>607</v>
      </c>
    </row>
    <row r="4394" spans="1:5" hidden="1" x14ac:dyDescent="0.3">
      <c r="A4394" t="s">
        <v>557</v>
      </c>
      <c r="B4394" t="s">
        <v>606</v>
      </c>
      <c r="C4394" t="s">
        <v>345</v>
      </c>
      <c r="D4394" s="230">
        <v>0</v>
      </c>
      <c r="E4394" t="s">
        <v>607</v>
      </c>
    </row>
    <row r="4395" spans="1:5" hidden="1" x14ac:dyDescent="0.3">
      <c r="A4395" t="s">
        <v>557</v>
      </c>
      <c r="B4395" t="s">
        <v>606</v>
      </c>
      <c r="C4395" t="s">
        <v>346</v>
      </c>
      <c r="D4395" s="230">
        <v>0</v>
      </c>
      <c r="E4395" t="s">
        <v>607</v>
      </c>
    </row>
    <row r="4396" spans="1:5" hidden="1" x14ac:dyDescent="0.3">
      <c r="A4396" t="s">
        <v>557</v>
      </c>
      <c r="B4396" t="s">
        <v>606</v>
      </c>
      <c r="C4396" t="s">
        <v>347</v>
      </c>
      <c r="D4396" s="230">
        <v>-47883.59</v>
      </c>
      <c r="E4396" t="s">
        <v>607</v>
      </c>
    </row>
    <row r="4397" spans="1:5" hidden="1" x14ac:dyDescent="0.3">
      <c r="A4397" t="s">
        <v>557</v>
      </c>
      <c r="B4397" t="s">
        <v>606</v>
      </c>
      <c r="C4397" t="s">
        <v>44</v>
      </c>
      <c r="D4397" s="230">
        <v>-0.12</v>
      </c>
      <c r="E4397" t="s">
        <v>607</v>
      </c>
    </row>
    <row r="4398" spans="1:5" hidden="1" x14ac:dyDescent="0.3">
      <c r="A4398" t="s">
        <v>557</v>
      </c>
      <c r="B4398" t="s">
        <v>606</v>
      </c>
      <c r="C4398" t="s">
        <v>348</v>
      </c>
      <c r="D4398" s="230">
        <v>0</v>
      </c>
      <c r="E4398" t="s">
        <v>607</v>
      </c>
    </row>
    <row r="4399" spans="1:5" hidden="1" x14ac:dyDescent="0.3">
      <c r="A4399" t="s">
        <v>557</v>
      </c>
      <c r="B4399" t="s">
        <v>606</v>
      </c>
      <c r="C4399" t="s">
        <v>707</v>
      </c>
      <c r="D4399" s="230">
        <v>0</v>
      </c>
      <c r="E4399" t="s">
        <v>607</v>
      </c>
    </row>
    <row r="4400" spans="1:5" hidden="1" x14ac:dyDescent="0.3">
      <c r="A4400" t="s">
        <v>557</v>
      </c>
      <c r="B4400" t="s">
        <v>606</v>
      </c>
      <c r="C4400" t="s">
        <v>350</v>
      </c>
      <c r="D4400" s="230">
        <v>0</v>
      </c>
      <c r="E4400" t="s">
        <v>607</v>
      </c>
    </row>
    <row r="4401" spans="1:5" hidden="1" x14ac:dyDescent="0.3">
      <c r="A4401" t="s">
        <v>557</v>
      </c>
      <c r="B4401" t="s">
        <v>606</v>
      </c>
      <c r="C4401" t="s">
        <v>351</v>
      </c>
      <c r="D4401" s="230">
        <v>0</v>
      </c>
      <c r="E4401" t="s">
        <v>607</v>
      </c>
    </row>
    <row r="4402" spans="1:5" hidden="1" x14ac:dyDescent="0.3">
      <c r="A4402" t="s">
        <v>557</v>
      </c>
      <c r="B4402" t="s">
        <v>606</v>
      </c>
      <c r="C4402" t="s">
        <v>352</v>
      </c>
      <c r="D4402" s="230">
        <v>0</v>
      </c>
      <c r="E4402" t="s">
        <v>607</v>
      </c>
    </row>
    <row r="4403" spans="1:5" hidden="1" x14ac:dyDescent="0.3">
      <c r="A4403" t="s">
        <v>557</v>
      </c>
      <c r="B4403" t="s">
        <v>606</v>
      </c>
      <c r="C4403" t="s">
        <v>353</v>
      </c>
      <c r="D4403" s="230">
        <v>0</v>
      </c>
      <c r="E4403" t="s">
        <v>607</v>
      </c>
    </row>
    <row r="4404" spans="1:5" hidden="1" x14ac:dyDescent="0.3">
      <c r="A4404" t="s">
        <v>557</v>
      </c>
      <c r="B4404" t="s">
        <v>606</v>
      </c>
      <c r="C4404" t="s">
        <v>354</v>
      </c>
      <c r="D4404" s="230">
        <v>0</v>
      </c>
      <c r="E4404" t="s">
        <v>607</v>
      </c>
    </row>
    <row r="4405" spans="1:5" hidden="1" x14ac:dyDescent="0.3">
      <c r="A4405" t="s">
        <v>557</v>
      </c>
      <c r="B4405" t="s">
        <v>606</v>
      </c>
      <c r="C4405" t="s">
        <v>355</v>
      </c>
      <c r="D4405" s="230">
        <v>0</v>
      </c>
      <c r="E4405" t="s">
        <v>607</v>
      </c>
    </row>
    <row r="4406" spans="1:5" hidden="1" x14ac:dyDescent="0.3">
      <c r="A4406" t="s">
        <v>557</v>
      </c>
      <c r="B4406" t="s">
        <v>606</v>
      </c>
      <c r="C4406" t="s">
        <v>356</v>
      </c>
      <c r="D4406" s="230">
        <v>0</v>
      </c>
      <c r="E4406" t="s">
        <v>607</v>
      </c>
    </row>
    <row r="4407" spans="1:5" hidden="1" x14ac:dyDescent="0.3">
      <c r="A4407" t="s">
        <v>557</v>
      </c>
      <c r="B4407" t="s">
        <v>606</v>
      </c>
      <c r="C4407" t="s">
        <v>357</v>
      </c>
      <c r="D4407" s="230">
        <v>0</v>
      </c>
      <c r="E4407" t="s">
        <v>607</v>
      </c>
    </row>
    <row r="4408" spans="1:5" hidden="1" x14ac:dyDescent="0.3">
      <c r="A4408" t="s">
        <v>557</v>
      </c>
      <c r="B4408" t="s">
        <v>606</v>
      </c>
      <c r="C4408" t="s">
        <v>358</v>
      </c>
      <c r="D4408" s="230">
        <v>0</v>
      </c>
      <c r="E4408" t="s">
        <v>607</v>
      </c>
    </row>
    <row r="4409" spans="1:5" hidden="1" x14ac:dyDescent="0.3">
      <c r="A4409" t="s">
        <v>557</v>
      </c>
      <c r="B4409" t="s">
        <v>606</v>
      </c>
      <c r="C4409" t="s">
        <v>359</v>
      </c>
      <c r="D4409" s="230">
        <v>0</v>
      </c>
      <c r="E4409" t="s">
        <v>607</v>
      </c>
    </row>
    <row r="4410" spans="1:5" hidden="1" x14ac:dyDescent="0.3">
      <c r="A4410" t="s">
        <v>557</v>
      </c>
      <c r="B4410" t="s">
        <v>606</v>
      </c>
      <c r="C4410" t="s">
        <v>360</v>
      </c>
      <c r="D4410" s="230">
        <v>0</v>
      </c>
      <c r="E4410" t="s">
        <v>607</v>
      </c>
    </row>
    <row r="4411" spans="1:5" hidden="1" x14ac:dyDescent="0.3">
      <c r="A4411" t="s">
        <v>557</v>
      </c>
      <c r="B4411" t="s">
        <v>606</v>
      </c>
      <c r="C4411" t="s">
        <v>361</v>
      </c>
      <c r="D4411" s="230">
        <v>0</v>
      </c>
      <c r="E4411" t="s">
        <v>607</v>
      </c>
    </row>
    <row r="4412" spans="1:5" hidden="1" x14ac:dyDescent="0.3">
      <c r="A4412" t="s">
        <v>557</v>
      </c>
      <c r="B4412" t="s">
        <v>606</v>
      </c>
      <c r="C4412" t="s">
        <v>362</v>
      </c>
      <c r="D4412" s="230">
        <v>0</v>
      </c>
      <c r="E4412" t="s">
        <v>607</v>
      </c>
    </row>
    <row r="4413" spans="1:5" hidden="1" x14ac:dyDescent="0.3">
      <c r="A4413" t="s">
        <v>557</v>
      </c>
      <c r="B4413" t="s">
        <v>606</v>
      </c>
      <c r="C4413" t="s">
        <v>363</v>
      </c>
      <c r="D4413" s="230">
        <v>0</v>
      </c>
      <c r="E4413" t="s">
        <v>607</v>
      </c>
    </row>
    <row r="4414" spans="1:5" hidden="1" x14ac:dyDescent="0.3">
      <c r="A4414" t="s">
        <v>557</v>
      </c>
      <c r="B4414" t="s">
        <v>606</v>
      </c>
      <c r="C4414" t="s">
        <v>364</v>
      </c>
      <c r="D4414" s="230">
        <v>0</v>
      </c>
      <c r="E4414" t="s">
        <v>607</v>
      </c>
    </row>
    <row r="4415" spans="1:5" hidden="1" x14ac:dyDescent="0.3">
      <c r="A4415" t="s">
        <v>557</v>
      </c>
      <c r="B4415" t="s">
        <v>606</v>
      </c>
      <c r="C4415" t="s">
        <v>365</v>
      </c>
      <c r="D4415" s="230">
        <v>0</v>
      </c>
      <c r="E4415" t="s">
        <v>607</v>
      </c>
    </row>
    <row r="4416" spans="1:5" hidden="1" x14ac:dyDescent="0.3">
      <c r="A4416" t="s">
        <v>557</v>
      </c>
      <c r="B4416" t="s">
        <v>606</v>
      </c>
      <c r="C4416" t="s">
        <v>366</v>
      </c>
      <c r="D4416" s="230">
        <v>0</v>
      </c>
      <c r="E4416" t="s">
        <v>607</v>
      </c>
    </row>
    <row r="4417" spans="1:5" hidden="1" x14ac:dyDescent="0.3">
      <c r="A4417" t="s">
        <v>557</v>
      </c>
      <c r="B4417" t="s">
        <v>606</v>
      </c>
      <c r="C4417" t="s">
        <v>367</v>
      </c>
      <c r="D4417" s="230">
        <v>0</v>
      </c>
      <c r="E4417" t="s">
        <v>607</v>
      </c>
    </row>
    <row r="4418" spans="1:5" hidden="1" x14ac:dyDescent="0.3">
      <c r="A4418" t="s">
        <v>557</v>
      </c>
      <c r="B4418" t="s">
        <v>606</v>
      </c>
      <c r="C4418" t="s">
        <v>368</v>
      </c>
      <c r="D4418" s="230">
        <v>0</v>
      </c>
      <c r="E4418" t="s">
        <v>607</v>
      </c>
    </row>
    <row r="4419" spans="1:5" hidden="1" x14ac:dyDescent="0.3">
      <c r="A4419" t="s">
        <v>557</v>
      </c>
      <c r="B4419" t="s">
        <v>606</v>
      </c>
      <c r="C4419" t="s">
        <v>369</v>
      </c>
      <c r="D4419" s="230">
        <v>0</v>
      </c>
      <c r="E4419" t="s">
        <v>607</v>
      </c>
    </row>
    <row r="4420" spans="1:5" hidden="1" x14ac:dyDescent="0.3">
      <c r="A4420" t="s">
        <v>557</v>
      </c>
      <c r="B4420" t="s">
        <v>606</v>
      </c>
      <c r="C4420" t="s">
        <v>370</v>
      </c>
      <c r="D4420" s="230">
        <v>0</v>
      </c>
      <c r="E4420" t="s">
        <v>607</v>
      </c>
    </row>
    <row r="4421" spans="1:5" hidden="1" x14ac:dyDescent="0.3">
      <c r="A4421" t="s">
        <v>557</v>
      </c>
      <c r="B4421" t="s">
        <v>606</v>
      </c>
      <c r="C4421" t="s">
        <v>371</v>
      </c>
      <c r="D4421" s="230">
        <v>0</v>
      </c>
      <c r="E4421" t="s">
        <v>607</v>
      </c>
    </row>
    <row r="4422" spans="1:5" hidden="1" x14ac:dyDescent="0.3">
      <c r="A4422" t="s">
        <v>557</v>
      </c>
      <c r="B4422" t="s">
        <v>606</v>
      </c>
      <c r="C4422" t="s">
        <v>372</v>
      </c>
      <c r="D4422" s="230">
        <v>0</v>
      </c>
      <c r="E4422" t="s">
        <v>607</v>
      </c>
    </row>
    <row r="4423" spans="1:5" hidden="1" x14ac:dyDescent="0.3">
      <c r="A4423" t="s">
        <v>557</v>
      </c>
      <c r="B4423" t="s">
        <v>606</v>
      </c>
      <c r="C4423" t="s">
        <v>373</v>
      </c>
      <c r="D4423" s="230">
        <v>0</v>
      </c>
      <c r="E4423" t="s">
        <v>607</v>
      </c>
    </row>
    <row r="4424" spans="1:5" hidden="1" x14ac:dyDescent="0.3">
      <c r="A4424" t="s">
        <v>557</v>
      </c>
      <c r="B4424" t="s">
        <v>606</v>
      </c>
      <c r="C4424" t="s">
        <v>374</v>
      </c>
      <c r="D4424" s="230">
        <v>0</v>
      </c>
      <c r="E4424" t="s">
        <v>607</v>
      </c>
    </row>
    <row r="4425" spans="1:5" hidden="1" x14ac:dyDescent="0.3">
      <c r="A4425" t="s">
        <v>557</v>
      </c>
      <c r="B4425" t="s">
        <v>606</v>
      </c>
      <c r="C4425" t="s">
        <v>708</v>
      </c>
      <c r="D4425" s="230">
        <v>0</v>
      </c>
      <c r="E4425" t="s">
        <v>607</v>
      </c>
    </row>
    <row r="4426" spans="1:5" hidden="1" x14ac:dyDescent="0.3">
      <c r="A4426" t="s">
        <v>557</v>
      </c>
      <c r="B4426" t="s">
        <v>709</v>
      </c>
      <c r="C4426" t="s">
        <v>11</v>
      </c>
      <c r="D4426" s="230">
        <v>349755.39</v>
      </c>
      <c r="E4426" t="s">
        <v>710</v>
      </c>
    </row>
    <row r="4427" spans="1:5" hidden="1" x14ac:dyDescent="0.3">
      <c r="A4427" t="s">
        <v>557</v>
      </c>
      <c r="B4427" t="s">
        <v>709</v>
      </c>
      <c r="C4427" t="s">
        <v>13</v>
      </c>
      <c r="D4427" s="230">
        <v>168765.98</v>
      </c>
      <c r="E4427" t="s">
        <v>710</v>
      </c>
    </row>
    <row r="4428" spans="1:5" hidden="1" x14ac:dyDescent="0.3">
      <c r="A4428" t="s">
        <v>557</v>
      </c>
      <c r="B4428" t="s">
        <v>709</v>
      </c>
      <c r="C4428" t="s">
        <v>16</v>
      </c>
      <c r="D4428" s="230">
        <v>104080.98</v>
      </c>
      <c r="E4428" t="s">
        <v>710</v>
      </c>
    </row>
    <row r="4429" spans="1:5" hidden="1" x14ac:dyDescent="0.3">
      <c r="A4429" t="s">
        <v>557</v>
      </c>
      <c r="B4429" t="s">
        <v>709</v>
      </c>
      <c r="C4429" t="s">
        <v>17</v>
      </c>
      <c r="D4429" s="230">
        <v>9130</v>
      </c>
      <c r="E4429" t="s">
        <v>710</v>
      </c>
    </row>
    <row r="4430" spans="1:5" hidden="1" x14ac:dyDescent="0.3">
      <c r="A4430" t="s">
        <v>557</v>
      </c>
      <c r="B4430" t="s">
        <v>709</v>
      </c>
      <c r="C4430" t="s">
        <v>18</v>
      </c>
      <c r="D4430" s="230">
        <v>225</v>
      </c>
      <c r="E4430" t="s">
        <v>710</v>
      </c>
    </row>
    <row r="4431" spans="1:5" hidden="1" x14ac:dyDescent="0.3">
      <c r="A4431" t="s">
        <v>557</v>
      </c>
      <c r="B4431" t="s">
        <v>709</v>
      </c>
      <c r="C4431" t="s">
        <v>20</v>
      </c>
      <c r="D4431" s="230">
        <v>35818.86</v>
      </c>
      <c r="E4431" t="s">
        <v>710</v>
      </c>
    </row>
    <row r="4432" spans="1:5" hidden="1" x14ac:dyDescent="0.3">
      <c r="A4432" t="s">
        <v>557</v>
      </c>
      <c r="B4432" t="s">
        <v>709</v>
      </c>
      <c r="C4432" t="s">
        <v>23</v>
      </c>
      <c r="D4432" s="230">
        <v>16843.64</v>
      </c>
      <c r="E4432" t="s">
        <v>710</v>
      </c>
    </row>
    <row r="4433" spans="1:5" hidden="1" x14ac:dyDescent="0.3">
      <c r="A4433" t="s">
        <v>557</v>
      </c>
      <c r="B4433" t="s">
        <v>709</v>
      </c>
      <c r="C4433" t="s">
        <v>25</v>
      </c>
      <c r="D4433" s="230">
        <v>2600</v>
      </c>
      <c r="E4433" t="s">
        <v>710</v>
      </c>
    </row>
    <row r="4434" spans="1:5" hidden="1" x14ac:dyDescent="0.3">
      <c r="A4434" t="s">
        <v>557</v>
      </c>
      <c r="B4434" t="s">
        <v>709</v>
      </c>
      <c r="C4434" t="s">
        <v>26</v>
      </c>
      <c r="D4434" s="230">
        <v>11400</v>
      </c>
      <c r="E4434" t="s">
        <v>710</v>
      </c>
    </row>
    <row r="4435" spans="1:5" hidden="1" x14ac:dyDescent="0.3">
      <c r="A4435" t="s">
        <v>557</v>
      </c>
      <c r="B4435" t="s">
        <v>709</v>
      </c>
      <c r="C4435" t="s">
        <v>27</v>
      </c>
      <c r="D4435" s="230">
        <v>0</v>
      </c>
      <c r="E4435" t="s">
        <v>710</v>
      </c>
    </row>
    <row r="4436" spans="1:5" hidden="1" x14ac:dyDescent="0.3">
      <c r="A4436" t="s">
        <v>557</v>
      </c>
      <c r="B4436" t="s">
        <v>709</v>
      </c>
      <c r="C4436" t="s">
        <v>29</v>
      </c>
      <c r="D4436" s="230">
        <v>890.93</v>
      </c>
      <c r="E4436" t="s">
        <v>710</v>
      </c>
    </row>
    <row r="4437" spans="1:5" hidden="1" x14ac:dyDescent="0.3">
      <c r="A4437" t="s">
        <v>557</v>
      </c>
      <c r="B4437" t="s">
        <v>709</v>
      </c>
      <c r="C4437" t="s">
        <v>31</v>
      </c>
      <c r="D4437" s="230">
        <v>0</v>
      </c>
      <c r="E4437" t="s">
        <v>710</v>
      </c>
    </row>
    <row r="4438" spans="1:5" hidden="1" x14ac:dyDescent="0.3">
      <c r="A4438" t="s">
        <v>557</v>
      </c>
      <c r="B4438" t="s">
        <v>709</v>
      </c>
      <c r="C4438" t="s">
        <v>34</v>
      </c>
      <c r="D4438" s="230">
        <v>-7967.93</v>
      </c>
      <c r="E4438" t="s">
        <v>710</v>
      </c>
    </row>
    <row r="4439" spans="1:5" hidden="1" x14ac:dyDescent="0.3">
      <c r="A4439" t="s">
        <v>557</v>
      </c>
      <c r="B4439" t="s">
        <v>709</v>
      </c>
      <c r="C4439" t="s">
        <v>38</v>
      </c>
      <c r="D4439" s="230">
        <v>-7967.93</v>
      </c>
      <c r="E4439" t="s">
        <v>710</v>
      </c>
    </row>
    <row r="4440" spans="1:5" hidden="1" x14ac:dyDescent="0.3">
      <c r="A4440" t="s">
        <v>557</v>
      </c>
      <c r="B4440" t="s">
        <v>709</v>
      </c>
      <c r="C4440" t="s">
        <v>40</v>
      </c>
      <c r="D4440" s="230">
        <v>0</v>
      </c>
      <c r="E4440" t="s">
        <v>710</v>
      </c>
    </row>
    <row r="4441" spans="1:5" hidden="1" x14ac:dyDescent="0.3">
      <c r="A4441" t="s">
        <v>557</v>
      </c>
      <c r="B4441" t="s">
        <v>709</v>
      </c>
      <c r="C4441" t="s">
        <v>42</v>
      </c>
      <c r="D4441" s="230">
        <v>0</v>
      </c>
      <c r="E4441" t="s">
        <v>710</v>
      </c>
    </row>
    <row r="4442" spans="1:5" hidden="1" x14ac:dyDescent="0.3">
      <c r="A4442" t="s">
        <v>557</v>
      </c>
      <c r="B4442" t="s">
        <v>709</v>
      </c>
      <c r="C4442" t="s">
        <v>44</v>
      </c>
      <c r="D4442" s="230">
        <v>-0.02</v>
      </c>
      <c r="E4442" t="s">
        <v>710</v>
      </c>
    </row>
    <row r="4443" spans="1:5" hidden="1" x14ac:dyDescent="0.3">
      <c r="A4443" t="s">
        <v>557</v>
      </c>
      <c r="B4443" t="s">
        <v>709</v>
      </c>
      <c r="C4443" t="s">
        <v>45</v>
      </c>
      <c r="D4443" s="230">
        <v>-21718.53</v>
      </c>
      <c r="E4443" t="s">
        <v>710</v>
      </c>
    </row>
    <row r="4444" spans="1:5" hidden="1" x14ac:dyDescent="0.3">
      <c r="A4444" t="s">
        <v>557</v>
      </c>
      <c r="B4444" t="s">
        <v>709</v>
      </c>
      <c r="C4444" t="s">
        <v>46</v>
      </c>
      <c r="D4444" s="230">
        <v>-11167.85</v>
      </c>
      <c r="E4444" t="s">
        <v>710</v>
      </c>
    </row>
    <row r="4445" spans="1:5" hidden="1" x14ac:dyDescent="0.3">
      <c r="A4445" t="s">
        <v>557</v>
      </c>
      <c r="B4445" t="s">
        <v>709</v>
      </c>
      <c r="C4445" t="s">
        <v>48</v>
      </c>
      <c r="D4445" s="230">
        <v>-9252</v>
      </c>
      <c r="E4445" t="s">
        <v>710</v>
      </c>
    </row>
    <row r="4446" spans="1:5" hidden="1" x14ac:dyDescent="0.3">
      <c r="A4446" t="s">
        <v>557</v>
      </c>
      <c r="B4446" t="s">
        <v>709</v>
      </c>
      <c r="C4446" t="s">
        <v>49</v>
      </c>
      <c r="D4446" s="230">
        <v>-1298.68</v>
      </c>
      <c r="E4446" t="s">
        <v>710</v>
      </c>
    </row>
    <row r="4447" spans="1:5" hidden="1" x14ac:dyDescent="0.3">
      <c r="A4447" t="s">
        <v>557</v>
      </c>
      <c r="B4447" t="s">
        <v>709</v>
      </c>
      <c r="C4447" t="s">
        <v>50</v>
      </c>
      <c r="D4447" s="230">
        <v>320068.93</v>
      </c>
      <c r="E4447" t="s">
        <v>710</v>
      </c>
    </row>
    <row r="4448" spans="1:5" hidden="1" x14ac:dyDescent="0.3">
      <c r="A4448" t="s">
        <v>557</v>
      </c>
      <c r="B4448" t="s">
        <v>709</v>
      </c>
      <c r="C4448" t="s">
        <v>51</v>
      </c>
      <c r="D4448" s="230">
        <v>-100010.48</v>
      </c>
      <c r="E4448" t="s">
        <v>710</v>
      </c>
    </row>
    <row r="4449" spans="1:5" hidden="1" x14ac:dyDescent="0.3">
      <c r="A4449" t="s">
        <v>557</v>
      </c>
      <c r="B4449" t="s">
        <v>709</v>
      </c>
      <c r="C4449" t="s">
        <v>52</v>
      </c>
      <c r="D4449" s="230">
        <v>-70043.95</v>
      </c>
      <c r="E4449" t="s">
        <v>710</v>
      </c>
    </row>
    <row r="4450" spans="1:5" hidden="1" x14ac:dyDescent="0.3">
      <c r="A4450" t="s">
        <v>557</v>
      </c>
      <c r="B4450" t="s">
        <v>709</v>
      </c>
      <c r="C4450" t="s">
        <v>53</v>
      </c>
      <c r="D4450" s="230">
        <v>-29966.53</v>
      </c>
      <c r="E4450" t="s">
        <v>710</v>
      </c>
    </row>
    <row r="4451" spans="1:5" hidden="1" x14ac:dyDescent="0.3">
      <c r="A4451" t="s">
        <v>557</v>
      </c>
      <c r="B4451" t="s">
        <v>709</v>
      </c>
      <c r="C4451" t="s">
        <v>54</v>
      </c>
      <c r="D4451" s="230">
        <v>0</v>
      </c>
      <c r="E4451" t="s">
        <v>710</v>
      </c>
    </row>
    <row r="4452" spans="1:5" hidden="1" x14ac:dyDescent="0.3">
      <c r="A4452" t="s">
        <v>557</v>
      </c>
      <c r="B4452" t="s">
        <v>709</v>
      </c>
      <c r="C4452" t="s">
        <v>23</v>
      </c>
      <c r="D4452" s="230">
        <v>0</v>
      </c>
      <c r="E4452" t="s">
        <v>710</v>
      </c>
    </row>
    <row r="4453" spans="1:5" hidden="1" x14ac:dyDescent="0.3">
      <c r="A4453" t="s">
        <v>557</v>
      </c>
      <c r="B4453" t="s">
        <v>709</v>
      </c>
      <c r="C4453" t="s">
        <v>44</v>
      </c>
      <c r="D4453" s="230">
        <v>-0.34</v>
      </c>
      <c r="E4453" t="s">
        <v>710</v>
      </c>
    </row>
    <row r="4454" spans="1:5" hidden="1" x14ac:dyDescent="0.3">
      <c r="A4454" t="s">
        <v>557</v>
      </c>
      <c r="B4454" t="s">
        <v>709</v>
      </c>
      <c r="C4454" t="s">
        <v>55</v>
      </c>
      <c r="D4454" s="230">
        <v>-0.31</v>
      </c>
      <c r="E4454" t="s">
        <v>710</v>
      </c>
    </row>
    <row r="4455" spans="1:5" hidden="1" x14ac:dyDescent="0.3">
      <c r="A4455" t="s">
        <v>557</v>
      </c>
      <c r="B4455" t="s">
        <v>709</v>
      </c>
      <c r="C4455" t="s">
        <v>56</v>
      </c>
      <c r="D4455" s="230">
        <v>-8303.73</v>
      </c>
      <c r="E4455" t="s">
        <v>710</v>
      </c>
    </row>
    <row r="4456" spans="1:5" hidden="1" x14ac:dyDescent="0.3">
      <c r="A4456" t="s">
        <v>557</v>
      </c>
      <c r="B4456" t="s">
        <v>709</v>
      </c>
      <c r="C4456" t="s">
        <v>57</v>
      </c>
      <c r="D4456" s="230">
        <v>-8303.73</v>
      </c>
      <c r="E4456" t="s">
        <v>710</v>
      </c>
    </row>
    <row r="4457" spans="1:5" hidden="1" x14ac:dyDescent="0.3">
      <c r="A4457" t="s">
        <v>557</v>
      </c>
      <c r="B4457" t="s">
        <v>709</v>
      </c>
      <c r="C4457" t="s">
        <v>58</v>
      </c>
      <c r="D4457" s="230">
        <v>-7979.04</v>
      </c>
      <c r="E4457" t="s">
        <v>710</v>
      </c>
    </row>
    <row r="4458" spans="1:5" hidden="1" x14ac:dyDescent="0.3">
      <c r="A4458" t="s">
        <v>557</v>
      </c>
      <c r="B4458" t="s">
        <v>709</v>
      </c>
      <c r="C4458" t="s">
        <v>59</v>
      </c>
      <c r="D4458" s="230">
        <v>-324.69</v>
      </c>
      <c r="E4458" t="s">
        <v>710</v>
      </c>
    </row>
    <row r="4459" spans="1:5" hidden="1" x14ac:dyDescent="0.3">
      <c r="A4459" t="s">
        <v>557</v>
      </c>
      <c r="B4459" t="s">
        <v>709</v>
      </c>
      <c r="C4459" t="s">
        <v>61</v>
      </c>
      <c r="D4459" s="230">
        <v>0</v>
      </c>
      <c r="E4459" t="s">
        <v>710</v>
      </c>
    </row>
    <row r="4460" spans="1:5" hidden="1" x14ac:dyDescent="0.3">
      <c r="A4460" t="s">
        <v>557</v>
      </c>
      <c r="B4460" t="s">
        <v>709</v>
      </c>
      <c r="C4460" t="s">
        <v>62</v>
      </c>
      <c r="D4460" s="230">
        <v>0</v>
      </c>
      <c r="E4460" t="s">
        <v>710</v>
      </c>
    </row>
    <row r="4461" spans="1:5" hidden="1" x14ac:dyDescent="0.3">
      <c r="A4461" t="s">
        <v>557</v>
      </c>
      <c r="B4461" t="s">
        <v>709</v>
      </c>
      <c r="C4461" t="s">
        <v>64</v>
      </c>
      <c r="D4461" s="230">
        <v>0</v>
      </c>
      <c r="E4461" t="s">
        <v>710</v>
      </c>
    </row>
    <row r="4462" spans="1:5" hidden="1" x14ac:dyDescent="0.3">
      <c r="A4462" t="s">
        <v>557</v>
      </c>
      <c r="B4462" t="s">
        <v>709</v>
      </c>
      <c r="C4462" t="s">
        <v>65</v>
      </c>
      <c r="D4462" s="230">
        <v>0</v>
      </c>
      <c r="E4462" t="s">
        <v>710</v>
      </c>
    </row>
    <row r="4463" spans="1:5" hidden="1" x14ac:dyDescent="0.3">
      <c r="A4463" t="s">
        <v>557</v>
      </c>
      <c r="B4463" t="s">
        <v>709</v>
      </c>
      <c r="C4463" t="s">
        <v>66</v>
      </c>
      <c r="D4463" s="230">
        <v>0</v>
      </c>
      <c r="E4463" t="s">
        <v>710</v>
      </c>
    </row>
    <row r="4464" spans="1:5" hidden="1" x14ac:dyDescent="0.3">
      <c r="A4464" t="s">
        <v>557</v>
      </c>
      <c r="B4464" t="s">
        <v>709</v>
      </c>
      <c r="C4464" t="s">
        <v>68</v>
      </c>
      <c r="D4464" s="230">
        <v>0</v>
      </c>
      <c r="E4464" t="s">
        <v>710</v>
      </c>
    </row>
    <row r="4465" spans="1:5" hidden="1" x14ac:dyDescent="0.3">
      <c r="A4465" t="s">
        <v>557</v>
      </c>
      <c r="B4465" t="s">
        <v>709</v>
      </c>
      <c r="C4465" t="s">
        <v>69</v>
      </c>
      <c r="D4465" s="230">
        <v>0</v>
      </c>
      <c r="E4465" t="s">
        <v>710</v>
      </c>
    </row>
    <row r="4466" spans="1:5" hidden="1" x14ac:dyDescent="0.3">
      <c r="A4466" t="s">
        <v>557</v>
      </c>
      <c r="B4466" t="s">
        <v>709</v>
      </c>
      <c r="C4466" t="s">
        <v>70</v>
      </c>
      <c r="D4466" s="230">
        <v>-0.91</v>
      </c>
      <c r="E4466" t="s">
        <v>710</v>
      </c>
    </row>
    <row r="4467" spans="1:5" hidden="1" x14ac:dyDescent="0.3">
      <c r="A4467" t="s">
        <v>557</v>
      </c>
      <c r="B4467" t="s">
        <v>709</v>
      </c>
      <c r="C4467" t="s">
        <v>44</v>
      </c>
      <c r="D4467" s="230">
        <v>-0.02</v>
      </c>
      <c r="E4467" t="s">
        <v>710</v>
      </c>
    </row>
    <row r="4468" spans="1:5" hidden="1" x14ac:dyDescent="0.3">
      <c r="A4468" t="s">
        <v>557</v>
      </c>
      <c r="B4468" t="s">
        <v>709</v>
      </c>
      <c r="C4468" t="s">
        <v>71</v>
      </c>
      <c r="D4468" s="230">
        <v>0</v>
      </c>
      <c r="E4468" t="s">
        <v>710</v>
      </c>
    </row>
    <row r="4469" spans="1:5" hidden="1" x14ac:dyDescent="0.3">
      <c r="A4469" t="s">
        <v>557</v>
      </c>
      <c r="B4469" t="s">
        <v>709</v>
      </c>
      <c r="C4469" t="s">
        <v>72</v>
      </c>
      <c r="D4469" s="230">
        <v>0</v>
      </c>
      <c r="E4469" t="s">
        <v>710</v>
      </c>
    </row>
    <row r="4470" spans="1:5" hidden="1" x14ac:dyDescent="0.3">
      <c r="A4470" t="s">
        <v>557</v>
      </c>
      <c r="B4470" t="s">
        <v>709</v>
      </c>
      <c r="C4470" t="s">
        <v>73</v>
      </c>
      <c r="D4470" s="230">
        <v>0</v>
      </c>
      <c r="E4470" t="s">
        <v>710</v>
      </c>
    </row>
    <row r="4471" spans="1:5" hidden="1" x14ac:dyDescent="0.3">
      <c r="A4471" t="s">
        <v>557</v>
      </c>
      <c r="B4471" t="s">
        <v>709</v>
      </c>
      <c r="C4471" t="s">
        <v>75</v>
      </c>
      <c r="D4471" s="230">
        <v>0</v>
      </c>
      <c r="E4471" t="s">
        <v>710</v>
      </c>
    </row>
    <row r="4472" spans="1:5" hidden="1" x14ac:dyDescent="0.3">
      <c r="A4472" t="s">
        <v>557</v>
      </c>
      <c r="B4472" t="s">
        <v>709</v>
      </c>
      <c r="C4472" t="s">
        <v>77</v>
      </c>
      <c r="D4472" s="230">
        <v>0</v>
      </c>
      <c r="E4472" t="s">
        <v>710</v>
      </c>
    </row>
    <row r="4473" spans="1:5" hidden="1" x14ac:dyDescent="0.3">
      <c r="A4473" t="s">
        <v>557</v>
      </c>
      <c r="B4473" t="s">
        <v>709</v>
      </c>
      <c r="C4473" t="s">
        <v>78</v>
      </c>
      <c r="D4473" s="230">
        <v>0</v>
      </c>
      <c r="E4473" t="s">
        <v>710</v>
      </c>
    </row>
    <row r="4474" spans="1:5" hidden="1" x14ac:dyDescent="0.3">
      <c r="A4474" t="s">
        <v>557</v>
      </c>
      <c r="B4474" t="s">
        <v>709</v>
      </c>
      <c r="C4474" t="s">
        <v>80</v>
      </c>
      <c r="D4474" s="230">
        <v>0</v>
      </c>
      <c r="E4474" t="s">
        <v>710</v>
      </c>
    </row>
    <row r="4475" spans="1:5" hidden="1" x14ac:dyDescent="0.3">
      <c r="A4475" t="s">
        <v>557</v>
      </c>
      <c r="B4475" t="s">
        <v>709</v>
      </c>
      <c r="C4475" t="s">
        <v>82</v>
      </c>
      <c r="D4475" s="230">
        <v>0</v>
      </c>
      <c r="E4475" t="s">
        <v>710</v>
      </c>
    </row>
    <row r="4476" spans="1:5" hidden="1" x14ac:dyDescent="0.3">
      <c r="A4476" t="s">
        <v>557</v>
      </c>
      <c r="B4476" t="s">
        <v>709</v>
      </c>
      <c r="C4476" t="s">
        <v>84</v>
      </c>
      <c r="D4476" s="230">
        <v>0</v>
      </c>
      <c r="E4476" t="s">
        <v>710</v>
      </c>
    </row>
    <row r="4477" spans="1:5" hidden="1" x14ac:dyDescent="0.3">
      <c r="A4477" t="s">
        <v>557</v>
      </c>
      <c r="B4477" t="s">
        <v>709</v>
      </c>
      <c r="C4477" t="s">
        <v>85</v>
      </c>
      <c r="D4477" s="230">
        <v>0</v>
      </c>
      <c r="E4477" t="s">
        <v>710</v>
      </c>
    </row>
    <row r="4478" spans="1:5" hidden="1" x14ac:dyDescent="0.3">
      <c r="A4478" t="s">
        <v>557</v>
      </c>
      <c r="B4478" t="s">
        <v>709</v>
      </c>
      <c r="C4478" t="s">
        <v>86</v>
      </c>
      <c r="D4478" s="230">
        <v>0</v>
      </c>
      <c r="E4478" t="s">
        <v>710</v>
      </c>
    </row>
    <row r="4479" spans="1:5" hidden="1" x14ac:dyDescent="0.3">
      <c r="A4479" t="s">
        <v>557</v>
      </c>
      <c r="B4479" t="s">
        <v>709</v>
      </c>
      <c r="C4479" t="s">
        <v>87</v>
      </c>
      <c r="D4479" s="230">
        <v>0</v>
      </c>
      <c r="E4479" t="s">
        <v>710</v>
      </c>
    </row>
    <row r="4480" spans="1:5" hidden="1" x14ac:dyDescent="0.3">
      <c r="A4480" t="s">
        <v>557</v>
      </c>
      <c r="B4480" t="s">
        <v>709</v>
      </c>
      <c r="C4480" t="s">
        <v>88</v>
      </c>
      <c r="D4480" s="230">
        <v>0</v>
      </c>
      <c r="E4480" t="s">
        <v>710</v>
      </c>
    </row>
    <row r="4481" spans="1:5" hidden="1" x14ac:dyDescent="0.3">
      <c r="A4481" t="s">
        <v>557</v>
      </c>
      <c r="B4481" t="s">
        <v>709</v>
      </c>
      <c r="C4481" t="s">
        <v>89</v>
      </c>
      <c r="D4481" s="230">
        <v>0</v>
      </c>
      <c r="E4481" t="s">
        <v>710</v>
      </c>
    </row>
    <row r="4482" spans="1:5" hidden="1" x14ac:dyDescent="0.3">
      <c r="A4482" t="s">
        <v>557</v>
      </c>
      <c r="B4482" t="s">
        <v>709</v>
      </c>
      <c r="C4482" t="s">
        <v>90</v>
      </c>
      <c r="D4482" s="230">
        <v>0</v>
      </c>
      <c r="E4482" t="s">
        <v>710</v>
      </c>
    </row>
    <row r="4483" spans="1:5" hidden="1" x14ac:dyDescent="0.3">
      <c r="A4483" t="s">
        <v>557</v>
      </c>
      <c r="B4483" t="s">
        <v>709</v>
      </c>
      <c r="C4483" t="s">
        <v>91</v>
      </c>
      <c r="D4483" s="230">
        <v>0</v>
      </c>
      <c r="E4483" t="s">
        <v>710</v>
      </c>
    </row>
    <row r="4484" spans="1:5" hidden="1" x14ac:dyDescent="0.3">
      <c r="A4484" t="s">
        <v>557</v>
      </c>
      <c r="B4484" t="s">
        <v>709</v>
      </c>
      <c r="C4484" t="s">
        <v>93</v>
      </c>
      <c r="D4484" s="230">
        <v>0</v>
      </c>
      <c r="E4484" t="s">
        <v>710</v>
      </c>
    </row>
    <row r="4485" spans="1:5" hidden="1" x14ac:dyDescent="0.3">
      <c r="A4485" t="s">
        <v>557</v>
      </c>
      <c r="B4485" t="s">
        <v>709</v>
      </c>
      <c r="C4485" t="s">
        <v>95</v>
      </c>
      <c r="D4485" s="230">
        <v>0</v>
      </c>
      <c r="E4485" t="s">
        <v>710</v>
      </c>
    </row>
    <row r="4486" spans="1:5" hidden="1" x14ac:dyDescent="0.3">
      <c r="A4486" t="s">
        <v>557</v>
      </c>
      <c r="B4486" t="s">
        <v>709</v>
      </c>
      <c r="C4486" t="s">
        <v>96</v>
      </c>
      <c r="D4486" s="230">
        <v>0</v>
      </c>
      <c r="E4486" t="s">
        <v>710</v>
      </c>
    </row>
    <row r="4487" spans="1:5" hidden="1" x14ac:dyDescent="0.3">
      <c r="A4487" t="s">
        <v>557</v>
      </c>
      <c r="B4487" t="s">
        <v>709</v>
      </c>
      <c r="C4487" t="s">
        <v>98</v>
      </c>
      <c r="D4487" s="230">
        <v>0</v>
      </c>
      <c r="E4487" t="s">
        <v>710</v>
      </c>
    </row>
    <row r="4488" spans="1:5" hidden="1" x14ac:dyDescent="0.3">
      <c r="A4488" t="s">
        <v>557</v>
      </c>
      <c r="B4488" t="s">
        <v>709</v>
      </c>
      <c r="C4488" t="s">
        <v>100</v>
      </c>
      <c r="D4488" s="230">
        <v>0</v>
      </c>
      <c r="E4488" t="s">
        <v>710</v>
      </c>
    </row>
    <row r="4489" spans="1:5" hidden="1" x14ac:dyDescent="0.3">
      <c r="A4489" t="s">
        <v>557</v>
      </c>
      <c r="B4489" t="s">
        <v>709</v>
      </c>
      <c r="C4489" t="s">
        <v>101</v>
      </c>
      <c r="D4489" s="230">
        <v>0</v>
      </c>
      <c r="E4489" t="s">
        <v>710</v>
      </c>
    </row>
    <row r="4490" spans="1:5" hidden="1" x14ac:dyDescent="0.3">
      <c r="A4490" t="s">
        <v>557</v>
      </c>
      <c r="B4490" t="s">
        <v>709</v>
      </c>
      <c r="C4490" t="s">
        <v>102</v>
      </c>
      <c r="D4490" s="230">
        <v>0</v>
      </c>
      <c r="E4490" t="s">
        <v>710</v>
      </c>
    </row>
    <row r="4491" spans="1:5" hidden="1" x14ac:dyDescent="0.3">
      <c r="A4491" t="s">
        <v>557</v>
      </c>
      <c r="B4491" t="s">
        <v>709</v>
      </c>
      <c r="C4491" t="s">
        <v>103</v>
      </c>
      <c r="D4491" s="230">
        <v>0</v>
      </c>
      <c r="E4491" t="s">
        <v>710</v>
      </c>
    </row>
    <row r="4492" spans="1:5" hidden="1" x14ac:dyDescent="0.3">
      <c r="A4492" t="s">
        <v>557</v>
      </c>
      <c r="B4492" t="s">
        <v>709</v>
      </c>
      <c r="C4492" t="s">
        <v>104</v>
      </c>
      <c r="D4492" s="230">
        <v>0</v>
      </c>
      <c r="E4492" t="s">
        <v>710</v>
      </c>
    </row>
    <row r="4493" spans="1:5" hidden="1" x14ac:dyDescent="0.3">
      <c r="A4493" t="s">
        <v>557</v>
      </c>
      <c r="B4493" t="s">
        <v>709</v>
      </c>
      <c r="C4493" t="s">
        <v>105</v>
      </c>
      <c r="D4493" s="230">
        <v>0</v>
      </c>
      <c r="E4493" t="s">
        <v>710</v>
      </c>
    </row>
    <row r="4494" spans="1:5" hidden="1" x14ac:dyDescent="0.3">
      <c r="A4494" t="s">
        <v>557</v>
      </c>
      <c r="B4494" t="s">
        <v>709</v>
      </c>
      <c r="C4494" t="s">
        <v>107</v>
      </c>
      <c r="D4494" s="230">
        <v>0</v>
      </c>
      <c r="E4494" t="s">
        <v>710</v>
      </c>
    </row>
    <row r="4495" spans="1:5" hidden="1" x14ac:dyDescent="0.3">
      <c r="A4495" t="s">
        <v>557</v>
      </c>
      <c r="B4495" t="s">
        <v>709</v>
      </c>
      <c r="C4495" t="s">
        <v>108</v>
      </c>
      <c r="D4495" s="230">
        <v>0</v>
      </c>
      <c r="E4495" t="s">
        <v>710</v>
      </c>
    </row>
    <row r="4496" spans="1:5" hidden="1" x14ac:dyDescent="0.3">
      <c r="A4496" t="s">
        <v>557</v>
      </c>
      <c r="B4496" t="s">
        <v>709</v>
      </c>
      <c r="C4496" t="s">
        <v>109</v>
      </c>
      <c r="D4496" s="230">
        <v>0</v>
      </c>
      <c r="E4496" t="s">
        <v>710</v>
      </c>
    </row>
    <row r="4497" spans="1:5" hidden="1" x14ac:dyDescent="0.3">
      <c r="A4497" t="s">
        <v>557</v>
      </c>
      <c r="B4497" t="s">
        <v>709</v>
      </c>
      <c r="C4497" t="s">
        <v>110</v>
      </c>
      <c r="D4497" s="230">
        <v>0</v>
      </c>
      <c r="E4497" t="s">
        <v>710</v>
      </c>
    </row>
    <row r="4498" spans="1:5" hidden="1" x14ac:dyDescent="0.3">
      <c r="A4498" t="s">
        <v>557</v>
      </c>
      <c r="B4498" t="s">
        <v>709</v>
      </c>
      <c r="C4498" t="s">
        <v>44</v>
      </c>
      <c r="D4498" s="230">
        <v>0</v>
      </c>
      <c r="E4498" t="s">
        <v>710</v>
      </c>
    </row>
    <row r="4499" spans="1:5" hidden="1" x14ac:dyDescent="0.3">
      <c r="A4499" t="s">
        <v>557</v>
      </c>
      <c r="B4499" t="s">
        <v>709</v>
      </c>
      <c r="C4499" t="s">
        <v>111</v>
      </c>
      <c r="D4499" s="230">
        <v>-32771.5</v>
      </c>
      <c r="E4499" t="s">
        <v>710</v>
      </c>
    </row>
    <row r="4500" spans="1:5" hidden="1" x14ac:dyDescent="0.3">
      <c r="A4500" t="s">
        <v>557</v>
      </c>
      <c r="B4500" t="s">
        <v>709</v>
      </c>
      <c r="C4500" t="s">
        <v>608</v>
      </c>
      <c r="D4500" s="230">
        <v>-32771.5</v>
      </c>
      <c r="E4500" t="s">
        <v>710</v>
      </c>
    </row>
    <row r="4501" spans="1:5" hidden="1" x14ac:dyDescent="0.3">
      <c r="A4501" t="s">
        <v>557</v>
      </c>
      <c r="B4501" t="s">
        <v>709</v>
      </c>
      <c r="C4501" t="s">
        <v>44</v>
      </c>
      <c r="D4501" s="230">
        <v>-0.09</v>
      </c>
      <c r="E4501" t="s">
        <v>710</v>
      </c>
    </row>
    <row r="4502" spans="1:5" hidden="1" x14ac:dyDescent="0.3">
      <c r="A4502" t="s">
        <v>557</v>
      </c>
      <c r="B4502" t="s">
        <v>709</v>
      </c>
      <c r="C4502" t="s">
        <v>115</v>
      </c>
      <c r="D4502" s="230">
        <v>-7996.28</v>
      </c>
      <c r="E4502" t="s">
        <v>710</v>
      </c>
    </row>
    <row r="4503" spans="1:5" hidden="1" x14ac:dyDescent="0.3">
      <c r="A4503" t="s">
        <v>557</v>
      </c>
      <c r="B4503" t="s">
        <v>709</v>
      </c>
      <c r="C4503" t="s">
        <v>116</v>
      </c>
      <c r="D4503" s="230">
        <v>-6369.48</v>
      </c>
      <c r="E4503" t="s">
        <v>710</v>
      </c>
    </row>
    <row r="4504" spans="1:5" hidden="1" x14ac:dyDescent="0.3">
      <c r="A4504" t="s">
        <v>557</v>
      </c>
      <c r="B4504" t="s">
        <v>709</v>
      </c>
      <c r="C4504" t="s">
        <v>118</v>
      </c>
      <c r="D4504" s="230">
        <v>0</v>
      </c>
      <c r="E4504" t="s">
        <v>710</v>
      </c>
    </row>
    <row r="4505" spans="1:5" hidden="1" x14ac:dyDescent="0.3">
      <c r="A4505" t="s">
        <v>557</v>
      </c>
      <c r="B4505" t="s">
        <v>709</v>
      </c>
      <c r="C4505" t="s">
        <v>120</v>
      </c>
      <c r="D4505" s="230">
        <v>0</v>
      </c>
      <c r="E4505" t="s">
        <v>710</v>
      </c>
    </row>
    <row r="4506" spans="1:5" hidden="1" x14ac:dyDescent="0.3">
      <c r="A4506" t="s">
        <v>557</v>
      </c>
      <c r="B4506" t="s">
        <v>709</v>
      </c>
      <c r="C4506" t="s">
        <v>122</v>
      </c>
      <c r="D4506" s="230">
        <v>-1626.8</v>
      </c>
      <c r="E4506" t="s">
        <v>710</v>
      </c>
    </row>
    <row r="4507" spans="1:5" hidden="1" x14ac:dyDescent="0.3">
      <c r="A4507" t="s">
        <v>557</v>
      </c>
      <c r="B4507" t="s">
        <v>709</v>
      </c>
      <c r="C4507" t="s">
        <v>44</v>
      </c>
      <c r="D4507" s="230">
        <v>-0.02</v>
      </c>
      <c r="E4507" t="s">
        <v>710</v>
      </c>
    </row>
    <row r="4508" spans="1:5" hidden="1" x14ac:dyDescent="0.3">
      <c r="A4508" t="s">
        <v>557</v>
      </c>
      <c r="B4508" t="s">
        <v>709</v>
      </c>
      <c r="C4508" t="s">
        <v>126</v>
      </c>
      <c r="D4508" s="230">
        <v>170986.93</v>
      </c>
      <c r="E4508" t="s">
        <v>710</v>
      </c>
    </row>
    <row r="4509" spans="1:5" hidden="1" x14ac:dyDescent="0.3">
      <c r="A4509" t="s">
        <v>557</v>
      </c>
      <c r="B4509" t="s">
        <v>709</v>
      </c>
      <c r="C4509" t="s">
        <v>127</v>
      </c>
      <c r="D4509" s="230">
        <v>0.49</v>
      </c>
      <c r="E4509" t="s">
        <v>710</v>
      </c>
    </row>
    <row r="4510" spans="1:5" hidden="1" x14ac:dyDescent="0.3">
      <c r="A4510" t="s">
        <v>557</v>
      </c>
      <c r="B4510" t="s">
        <v>709</v>
      </c>
      <c r="C4510" t="s">
        <v>128</v>
      </c>
      <c r="D4510" s="230">
        <v>-120785.19</v>
      </c>
      <c r="E4510" t="s">
        <v>710</v>
      </c>
    </row>
    <row r="4511" spans="1:5" hidden="1" x14ac:dyDescent="0.3">
      <c r="A4511" t="s">
        <v>557</v>
      </c>
      <c r="B4511" t="s">
        <v>709</v>
      </c>
      <c r="C4511" t="s">
        <v>129</v>
      </c>
      <c r="D4511" s="230">
        <v>-45757.17</v>
      </c>
      <c r="E4511" t="s">
        <v>710</v>
      </c>
    </row>
    <row r="4512" spans="1:5" hidden="1" x14ac:dyDescent="0.3">
      <c r="A4512" t="s">
        <v>557</v>
      </c>
      <c r="B4512" t="s">
        <v>709</v>
      </c>
      <c r="C4512" t="s">
        <v>609</v>
      </c>
      <c r="D4512" s="230">
        <v>-5613.17</v>
      </c>
      <c r="E4512" t="s">
        <v>710</v>
      </c>
    </row>
    <row r="4513" spans="1:5" hidden="1" x14ac:dyDescent="0.3">
      <c r="A4513" t="s">
        <v>557</v>
      </c>
      <c r="B4513" t="s">
        <v>709</v>
      </c>
      <c r="C4513" t="s">
        <v>610</v>
      </c>
      <c r="D4513" s="230">
        <v>-11000</v>
      </c>
      <c r="E4513" t="s">
        <v>710</v>
      </c>
    </row>
    <row r="4514" spans="1:5" hidden="1" x14ac:dyDescent="0.3">
      <c r="A4514" t="s">
        <v>557</v>
      </c>
      <c r="B4514" t="s">
        <v>709</v>
      </c>
      <c r="C4514" t="s">
        <v>611</v>
      </c>
      <c r="D4514" s="230">
        <v>-6600</v>
      </c>
      <c r="E4514" t="s">
        <v>710</v>
      </c>
    </row>
    <row r="4515" spans="1:5" hidden="1" x14ac:dyDescent="0.3">
      <c r="A4515" t="s">
        <v>557</v>
      </c>
      <c r="B4515" t="s">
        <v>709</v>
      </c>
      <c r="C4515" t="s">
        <v>612</v>
      </c>
      <c r="D4515" s="230">
        <v>-4224</v>
      </c>
      <c r="E4515" t="s">
        <v>710</v>
      </c>
    </row>
    <row r="4516" spans="1:5" hidden="1" x14ac:dyDescent="0.3">
      <c r="A4516" t="s">
        <v>557</v>
      </c>
      <c r="B4516" t="s">
        <v>709</v>
      </c>
      <c r="C4516" t="s">
        <v>613</v>
      </c>
      <c r="D4516" s="230">
        <v>-1720</v>
      </c>
      <c r="E4516" t="s">
        <v>710</v>
      </c>
    </row>
    <row r="4517" spans="1:5" hidden="1" x14ac:dyDescent="0.3">
      <c r="A4517" t="s">
        <v>557</v>
      </c>
      <c r="B4517" t="s">
        <v>709</v>
      </c>
      <c r="C4517" t="s">
        <v>614</v>
      </c>
      <c r="D4517" s="230">
        <v>-11800</v>
      </c>
      <c r="E4517" t="s">
        <v>710</v>
      </c>
    </row>
    <row r="4518" spans="1:5" hidden="1" x14ac:dyDescent="0.3">
      <c r="A4518" t="s">
        <v>557</v>
      </c>
      <c r="B4518" t="s">
        <v>709</v>
      </c>
      <c r="C4518" t="s">
        <v>615</v>
      </c>
      <c r="D4518" s="230">
        <v>0</v>
      </c>
      <c r="E4518" t="s">
        <v>710</v>
      </c>
    </row>
    <row r="4519" spans="1:5" hidden="1" x14ac:dyDescent="0.3">
      <c r="A4519" t="s">
        <v>557</v>
      </c>
      <c r="B4519" t="s">
        <v>709</v>
      </c>
      <c r="C4519" t="s">
        <v>616</v>
      </c>
      <c r="D4519" s="230">
        <v>-4800</v>
      </c>
      <c r="E4519" t="s">
        <v>710</v>
      </c>
    </row>
    <row r="4520" spans="1:5" hidden="1" x14ac:dyDescent="0.3">
      <c r="A4520" t="s">
        <v>557</v>
      </c>
      <c r="B4520" t="s">
        <v>709</v>
      </c>
      <c r="C4520" t="s">
        <v>617</v>
      </c>
      <c r="D4520" s="230">
        <v>0</v>
      </c>
      <c r="E4520" t="s">
        <v>710</v>
      </c>
    </row>
    <row r="4521" spans="1:5" hidden="1" x14ac:dyDescent="0.3">
      <c r="A4521" t="s">
        <v>557</v>
      </c>
      <c r="B4521" t="s">
        <v>709</v>
      </c>
      <c r="C4521" t="s">
        <v>618</v>
      </c>
      <c r="D4521" s="230">
        <v>0</v>
      </c>
      <c r="E4521" t="s">
        <v>710</v>
      </c>
    </row>
    <row r="4522" spans="1:5" hidden="1" x14ac:dyDescent="0.3">
      <c r="A4522" t="s">
        <v>557</v>
      </c>
      <c r="B4522" t="s">
        <v>709</v>
      </c>
      <c r="C4522" t="s">
        <v>619</v>
      </c>
      <c r="D4522" s="230">
        <v>0</v>
      </c>
      <c r="E4522" t="s">
        <v>710</v>
      </c>
    </row>
    <row r="4523" spans="1:5" hidden="1" x14ac:dyDescent="0.3">
      <c r="A4523" t="s">
        <v>557</v>
      </c>
      <c r="B4523" t="s">
        <v>709</v>
      </c>
      <c r="C4523" t="s">
        <v>620</v>
      </c>
      <c r="D4523" s="230">
        <v>0</v>
      </c>
      <c r="E4523" t="s">
        <v>710</v>
      </c>
    </row>
    <row r="4524" spans="1:5" hidden="1" x14ac:dyDescent="0.3">
      <c r="A4524" t="s">
        <v>557</v>
      </c>
      <c r="B4524" t="s">
        <v>709</v>
      </c>
      <c r="C4524" t="s">
        <v>575</v>
      </c>
      <c r="D4524" s="230">
        <v>-35741.61</v>
      </c>
      <c r="E4524" t="s">
        <v>710</v>
      </c>
    </row>
    <row r="4525" spans="1:5" hidden="1" x14ac:dyDescent="0.3">
      <c r="A4525" t="s">
        <v>557</v>
      </c>
      <c r="B4525" t="s">
        <v>709</v>
      </c>
      <c r="C4525" t="s">
        <v>621</v>
      </c>
      <c r="D4525" s="230">
        <v>0</v>
      </c>
      <c r="E4525" t="s">
        <v>710</v>
      </c>
    </row>
    <row r="4526" spans="1:5" hidden="1" x14ac:dyDescent="0.3">
      <c r="A4526" t="s">
        <v>557</v>
      </c>
      <c r="B4526" t="s">
        <v>709</v>
      </c>
      <c r="C4526" t="s">
        <v>622</v>
      </c>
      <c r="D4526" s="230">
        <v>0</v>
      </c>
      <c r="E4526" t="s">
        <v>710</v>
      </c>
    </row>
    <row r="4527" spans="1:5" hidden="1" x14ac:dyDescent="0.3">
      <c r="A4527" t="s">
        <v>557</v>
      </c>
      <c r="B4527" t="s">
        <v>709</v>
      </c>
      <c r="C4527" t="s">
        <v>623</v>
      </c>
      <c r="D4527" s="230">
        <v>0</v>
      </c>
      <c r="E4527" t="s">
        <v>710</v>
      </c>
    </row>
    <row r="4528" spans="1:5" hidden="1" x14ac:dyDescent="0.3">
      <c r="A4528" t="s">
        <v>557</v>
      </c>
      <c r="B4528" t="s">
        <v>709</v>
      </c>
      <c r="C4528" t="s">
        <v>624</v>
      </c>
      <c r="D4528" s="230">
        <v>0</v>
      </c>
      <c r="E4528" t="s">
        <v>710</v>
      </c>
    </row>
    <row r="4529" spans="1:5" hidden="1" x14ac:dyDescent="0.3">
      <c r="A4529" t="s">
        <v>557</v>
      </c>
      <c r="B4529" t="s">
        <v>709</v>
      </c>
      <c r="C4529" t="s">
        <v>625</v>
      </c>
      <c r="D4529" s="230">
        <v>0</v>
      </c>
      <c r="E4529" t="s">
        <v>710</v>
      </c>
    </row>
    <row r="4530" spans="1:5" hidden="1" x14ac:dyDescent="0.3">
      <c r="A4530" t="s">
        <v>557</v>
      </c>
      <c r="B4530" t="s">
        <v>709</v>
      </c>
      <c r="C4530" t="s">
        <v>626</v>
      </c>
      <c r="D4530" s="230">
        <v>0</v>
      </c>
      <c r="E4530" t="s">
        <v>710</v>
      </c>
    </row>
    <row r="4531" spans="1:5" hidden="1" x14ac:dyDescent="0.3">
      <c r="A4531" t="s">
        <v>557</v>
      </c>
      <c r="B4531" t="s">
        <v>709</v>
      </c>
      <c r="C4531" t="s">
        <v>627</v>
      </c>
      <c r="D4531" s="230">
        <v>0</v>
      </c>
      <c r="E4531" t="s">
        <v>710</v>
      </c>
    </row>
    <row r="4532" spans="1:5" hidden="1" x14ac:dyDescent="0.3">
      <c r="A4532" t="s">
        <v>557</v>
      </c>
      <c r="B4532" t="s">
        <v>709</v>
      </c>
      <c r="C4532" t="s">
        <v>628</v>
      </c>
      <c r="D4532" s="230">
        <v>0</v>
      </c>
      <c r="E4532" t="s">
        <v>710</v>
      </c>
    </row>
    <row r="4533" spans="1:5" hidden="1" x14ac:dyDescent="0.3">
      <c r="A4533" t="s">
        <v>557</v>
      </c>
      <c r="B4533" t="s">
        <v>709</v>
      </c>
      <c r="C4533" t="s">
        <v>629</v>
      </c>
      <c r="D4533" s="230">
        <v>0</v>
      </c>
      <c r="E4533" t="s">
        <v>710</v>
      </c>
    </row>
    <row r="4534" spans="1:5" hidden="1" x14ac:dyDescent="0.3">
      <c r="A4534" t="s">
        <v>557</v>
      </c>
      <c r="B4534" t="s">
        <v>709</v>
      </c>
      <c r="C4534" t="s">
        <v>630</v>
      </c>
      <c r="D4534" s="230">
        <v>0</v>
      </c>
      <c r="E4534" t="s">
        <v>710</v>
      </c>
    </row>
    <row r="4535" spans="1:5" hidden="1" x14ac:dyDescent="0.3">
      <c r="A4535" t="s">
        <v>557</v>
      </c>
      <c r="B4535" t="s">
        <v>709</v>
      </c>
      <c r="C4535" t="s">
        <v>631</v>
      </c>
      <c r="D4535" s="230">
        <v>0</v>
      </c>
      <c r="E4535" t="s">
        <v>710</v>
      </c>
    </row>
    <row r="4536" spans="1:5" hidden="1" x14ac:dyDescent="0.3">
      <c r="A4536" t="s">
        <v>557</v>
      </c>
      <c r="B4536" t="s">
        <v>709</v>
      </c>
      <c r="C4536" t="s">
        <v>632</v>
      </c>
      <c r="D4536" s="230">
        <v>0</v>
      </c>
      <c r="E4536" t="s">
        <v>710</v>
      </c>
    </row>
    <row r="4537" spans="1:5" hidden="1" x14ac:dyDescent="0.3">
      <c r="A4537" t="s">
        <v>557</v>
      </c>
      <c r="B4537" t="s">
        <v>709</v>
      </c>
      <c r="C4537" t="s">
        <v>633</v>
      </c>
      <c r="D4537" s="230">
        <v>0</v>
      </c>
      <c r="E4537" t="s">
        <v>710</v>
      </c>
    </row>
    <row r="4538" spans="1:5" hidden="1" x14ac:dyDescent="0.3">
      <c r="A4538" t="s">
        <v>557</v>
      </c>
      <c r="B4538" t="s">
        <v>709</v>
      </c>
      <c r="C4538" t="s">
        <v>634</v>
      </c>
      <c r="D4538" s="230">
        <v>0</v>
      </c>
      <c r="E4538" t="s">
        <v>710</v>
      </c>
    </row>
    <row r="4539" spans="1:5" hidden="1" x14ac:dyDescent="0.3">
      <c r="A4539" t="s">
        <v>557</v>
      </c>
      <c r="B4539" t="s">
        <v>709</v>
      </c>
      <c r="C4539" t="s">
        <v>635</v>
      </c>
      <c r="D4539" s="230">
        <v>0</v>
      </c>
      <c r="E4539" t="s">
        <v>710</v>
      </c>
    </row>
    <row r="4540" spans="1:5" hidden="1" x14ac:dyDescent="0.3">
      <c r="A4540" t="s">
        <v>557</v>
      </c>
      <c r="B4540" t="s">
        <v>709</v>
      </c>
      <c r="C4540" t="s">
        <v>636</v>
      </c>
      <c r="D4540" s="230">
        <v>0</v>
      </c>
      <c r="E4540" t="s">
        <v>710</v>
      </c>
    </row>
    <row r="4541" spans="1:5" hidden="1" x14ac:dyDescent="0.3">
      <c r="A4541" t="s">
        <v>557</v>
      </c>
      <c r="B4541" t="s">
        <v>709</v>
      </c>
      <c r="C4541" t="s">
        <v>637</v>
      </c>
      <c r="D4541" s="230">
        <v>0</v>
      </c>
      <c r="E4541" t="s">
        <v>710</v>
      </c>
    </row>
    <row r="4542" spans="1:5" hidden="1" x14ac:dyDescent="0.3">
      <c r="A4542" t="s">
        <v>557</v>
      </c>
      <c r="B4542" t="s">
        <v>709</v>
      </c>
      <c r="C4542" t="s">
        <v>638</v>
      </c>
      <c r="D4542" s="230">
        <v>0</v>
      </c>
      <c r="E4542" t="s">
        <v>710</v>
      </c>
    </row>
    <row r="4543" spans="1:5" hidden="1" x14ac:dyDescent="0.3">
      <c r="A4543" t="s">
        <v>557</v>
      </c>
      <c r="B4543" t="s">
        <v>709</v>
      </c>
      <c r="C4543" t="s">
        <v>639</v>
      </c>
      <c r="D4543" s="230">
        <v>0</v>
      </c>
      <c r="E4543" t="s">
        <v>710</v>
      </c>
    </row>
    <row r="4544" spans="1:5" hidden="1" x14ac:dyDescent="0.3">
      <c r="A4544" t="s">
        <v>557</v>
      </c>
      <c r="B4544" t="s">
        <v>709</v>
      </c>
      <c r="C4544" t="s">
        <v>640</v>
      </c>
      <c r="D4544" s="230">
        <v>0</v>
      </c>
      <c r="E4544" t="s">
        <v>710</v>
      </c>
    </row>
    <row r="4545" spans="1:5" hidden="1" x14ac:dyDescent="0.3">
      <c r="A4545" t="s">
        <v>557</v>
      </c>
      <c r="B4545" t="s">
        <v>709</v>
      </c>
      <c r="C4545" t="s">
        <v>641</v>
      </c>
      <c r="D4545" s="230">
        <v>0</v>
      </c>
      <c r="E4545" t="s">
        <v>710</v>
      </c>
    </row>
    <row r="4546" spans="1:5" hidden="1" x14ac:dyDescent="0.3">
      <c r="A4546" t="s">
        <v>557</v>
      </c>
      <c r="B4546" t="s">
        <v>709</v>
      </c>
      <c r="C4546" t="s">
        <v>642</v>
      </c>
      <c r="D4546" s="230">
        <v>0</v>
      </c>
      <c r="E4546" t="s">
        <v>710</v>
      </c>
    </row>
    <row r="4547" spans="1:5" hidden="1" x14ac:dyDescent="0.3">
      <c r="A4547" t="s">
        <v>557</v>
      </c>
      <c r="B4547" t="s">
        <v>709</v>
      </c>
      <c r="C4547" t="s">
        <v>643</v>
      </c>
      <c r="D4547" s="230">
        <v>0</v>
      </c>
      <c r="E4547" t="s">
        <v>710</v>
      </c>
    </row>
    <row r="4548" spans="1:5" hidden="1" x14ac:dyDescent="0.3">
      <c r="A4548" t="s">
        <v>557</v>
      </c>
      <c r="B4548" t="s">
        <v>709</v>
      </c>
      <c r="C4548" t="s">
        <v>644</v>
      </c>
      <c r="D4548" s="230">
        <v>0</v>
      </c>
      <c r="E4548" t="s">
        <v>710</v>
      </c>
    </row>
    <row r="4549" spans="1:5" hidden="1" x14ac:dyDescent="0.3">
      <c r="A4549" t="s">
        <v>557</v>
      </c>
      <c r="B4549" t="s">
        <v>709</v>
      </c>
      <c r="C4549" t="s">
        <v>645</v>
      </c>
      <c r="D4549" s="230">
        <v>0</v>
      </c>
      <c r="E4549" t="s">
        <v>710</v>
      </c>
    </row>
    <row r="4550" spans="1:5" hidden="1" x14ac:dyDescent="0.3">
      <c r="A4550" t="s">
        <v>557</v>
      </c>
      <c r="B4550" t="s">
        <v>709</v>
      </c>
      <c r="C4550" t="s">
        <v>646</v>
      </c>
      <c r="D4550" s="230">
        <v>0</v>
      </c>
      <c r="E4550" t="s">
        <v>710</v>
      </c>
    </row>
    <row r="4551" spans="1:5" hidden="1" x14ac:dyDescent="0.3">
      <c r="A4551" t="s">
        <v>557</v>
      </c>
      <c r="B4551" t="s">
        <v>709</v>
      </c>
      <c r="C4551" t="s">
        <v>647</v>
      </c>
      <c r="D4551" s="230">
        <v>0</v>
      </c>
      <c r="E4551" t="s">
        <v>710</v>
      </c>
    </row>
    <row r="4552" spans="1:5" hidden="1" x14ac:dyDescent="0.3">
      <c r="A4552" t="s">
        <v>557</v>
      </c>
      <c r="B4552" t="s">
        <v>709</v>
      </c>
      <c r="C4552" t="s">
        <v>648</v>
      </c>
      <c r="D4552" s="230">
        <v>0</v>
      </c>
      <c r="E4552" t="s">
        <v>710</v>
      </c>
    </row>
    <row r="4553" spans="1:5" hidden="1" x14ac:dyDescent="0.3">
      <c r="A4553" t="s">
        <v>557</v>
      </c>
      <c r="B4553" t="s">
        <v>709</v>
      </c>
      <c r="C4553" t="s">
        <v>649</v>
      </c>
      <c r="D4553" s="230">
        <v>0</v>
      </c>
      <c r="E4553" t="s">
        <v>710</v>
      </c>
    </row>
    <row r="4554" spans="1:5" hidden="1" x14ac:dyDescent="0.3">
      <c r="A4554" t="s">
        <v>557</v>
      </c>
      <c r="B4554" t="s">
        <v>709</v>
      </c>
      <c r="C4554" t="s">
        <v>650</v>
      </c>
      <c r="D4554" s="230">
        <v>0</v>
      </c>
      <c r="E4554" t="s">
        <v>710</v>
      </c>
    </row>
    <row r="4555" spans="1:5" hidden="1" x14ac:dyDescent="0.3">
      <c r="A4555" t="s">
        <v>557</v>
      </c>
      <c r="B4555" t="s">
        <v>709</v>
      </c>
      <c r="C4555" t="s">
        <v>651</v>
      </c>
      <c r="D4555" s="230">
        <v>0</v>
      </c>
      <c r="E4555" t="s">
        <v>710</v>
      </c>
    </row>
    <row r="4556" spans="1:5" hidden="1" x14ac:dyDescent="0.3">
      <c r="A4556" t="s">
        <v>557</v>
      </c>
      <c r="B4556" t="s">
        <v>709</v>
      </c>
      <c r="C4556" t="s">
        <v>652</v>
      </c>
      <c r="D4556" s="230">
        <v>0</v>
      </c>
      <c r="E4556" t="s">
        <v>710</v>
      </c>
    </row>
    <row r="4557" spans="1:5" hidden="1" x14ac:dyDescent="0.3">
      <c r="A4557" t="s">
        <v>557</v>
      </c>
      <c r="B4557" t="s">
        <v>709</v>
      </c>
      <c r="C4557" t="s">
        <v>653</v>
      </c>
      <c r="D4557" s="230">
        <v>0</v>
      </c>
      <c r="E4557" t="s">
        <v>710</v>
      </c>
    </row>
    <row r="4558" spans="1:5" hidden="1" x14ac:dyDescent="0.3">
      <c r="A4558" t="s">
        <v>557</v>
      </c>
      <c r="B4558" t="s">
        <v>709</v>
      </c>
      <c r="C4558" t="s">
        <v>654</v>
      </c>
      <c r="D4558" s="230">
        <v>0</v>
      </c>
      <c r="E4558" t="s">
        <v>710</v>
      </c>
    </row>
    <row r="4559" spans="1:5" hidden="1" x14ac:dyDescent="0.3">
      <c r="A4559" t="s">
        <v>557</v>
      </c>
      <c r="B4559" t="s">
        <v>709</v>
      </c>
      <c r="C4559" t="s">
        <v>655</v>
      </c>
      <c r="D4559" s="230">
        <v>0</v>
      </c>
      <c r="E4559" t="s">
        <v>710</v>
      </c>
    </row>
    <row r="4560" spans="1:5" hidden="1" x14ac:dyDescent="0.3">
      <c r="A4560" t="s">
        <v>557</v>
      </c>
      <c r="B4560" t="s">
        <v>709</v>
      </c>
      <c r="C4560" t="s">
        <v>656</v>
      </c>
      <c r="D4560" s="230">
        <v>0</v>
      </c>
      <c r="E4560" t="s">
        <v>710</v>
      </c>
    </row>
    <row r="4561" spans="1:5" hidden="1" x14ac:dyDescent="0.3">
      <c r="A4561" t="s">
        <v>557</v>
      </c>
      <c r="B4561" t="s">
        <v>709</v>
      </c>
      <c r="C4561" t="s">
        <v>657</v>
      </c>
      <c r="D4561" s="230">
        <v>0</v>
      </c>
      <c r="E4561" t="s">
        <v>710</v>
      </c>
    </row>
    <row r="4562" spans="1:5" hidden="1" x14ac:dyDescent="0.3">
      <c r="A4562" t="s">
        <v>557</v>
      </c>
      <c r="B4562" t="s">
        <v>709</v>
      </c>
      <c r="C4562" t="s">
        <v>658</v>
      </c>
      <c r="D4562" s="230">
        <v>0</v>
      </c>
      <c r="E4562" t="s">
        <v>710</v>
      </c>
    </row>
    <row r="4563" spans="1:5" hidden="1" x14ac:dyDescent="0.3">
      <c r="A4563" t="s">
        <v>557</v>
      </c>
      <c r="B4563" t="s">
        <v>709</v>
      </c>
      <c r="C4563" t="s">
        <v>659</v>
      </c>
      <c r="D4563" s="230">
        <v>0</v>
      </c>
      <c r="E4563" t="s">
        <v>710</v>
      </c>
    </row>
    <row r="4564" spans="1:5" hidden="1" x14ac:dyDescent="0.3">
      <c r="A4564" t="s">
        <v>557</v>
      </c>
      <c r="B4564" t="s">
        <v>709</v>
      </c>
      <c r="C4564" t="s">
        <v>660</v>
      </c>
      <c r="D4564" s="230">
        <v>0</v>
      </c>
      <c r="E4564" t="s">
        <v>710</v>
      </c>
    </row>
    <row r="4565" spans="1:5" hidden="1" x14ac:dyDescent="0.3">
      <c r="A4565" t="s">
        <v>557</v>
      </c>
      <c r="B4565" t="s">
        <v>709</v>
      </c>
      <c r="C4565" t="s">
        <v>661</v>
      </c>
      <c r="D4565" s="230">
        <v>0</v>
      </c>
      <c r="E4565" t="s">
        <v>710</v>
      </c>
    </row>
    <row r="4566" spans="1:5" hidden="1" x14ac:dyDescent="0.3">
      <c r="A4566" t="s">
        <v>557</v>
      </c>
      <c r="B4566" t="s">
        <v>709</v>
      </c>
      <c r="C4566" t="s">
        <v>662</v>
      </c>
      <c r="D4566" s="230">
        <v>0</v>
      </c>
      <c r="E4566" t="s">
        <v>710</v>
      </c>
    </row>
    <row r="4567" spans="1:5" hidden="1" x14ac:dyDescent="0.3">
      <c r="A4567" t="s">
        <v>557</v>
      </c>
      <c r="B4567" t="s">
        <v>709</v>
      </c>
      <c r="C4567" t="s">
        <v>663</v>
      </c>
      <c r="D4567" s="230">
        <v>0</v>
      </c>
      <c r="E4567" t="s">
        <v>710</v>
      </c>
    </row>
    <row r="4568" spans="1:5" hidden="1" x14ac:dyDescent="0.3">
      <c r="A4568" t="s">
        <v>557</v>
      </c>
      <c r="B4568" t="s">
        <v>709</v>
      </c>
      <c r="C4568" t="s">
        <v>664</v>
      </c>
      <c r="D4568" s="230">
        <v>0</v>
      </c>
      <c r="E4568" t="s">
        <v>710</v>
      </c>
    </row>
    <row r="4569" spans="1:5" hidden="1" x14ac:dyDescent="0.3">
      <c r="A4569" t="s">
        <v>557</v>
      </c>
      <c r="B4569" t="s">
        <v>709</v>
      </c>
      <c r="C4569" t="s">
        <v>665</v>
      </c>
      <c r="D4569" s="230">
        <v>0</v>
      </c>
      <c r="E4569" t="s">
        <v>710</v>
      </c>
    </row>
    <row r="4570" spans="1:5" hidden="1" x14ac:dyDescent="0.3">
      <c r="A4570" t="s">
        <v>557</v>
      </c>
      <c r="B4570" t="s">
        <v>709</v>
      </c>
      <c r="C4570" t="s">
        <v>666</v>
      </c>
      <c r="D4570" s="230">
        <v>0</v>
      </c>
      <c r="E4570" t="s">
        <v>710</v>
      </c>
    </row>
    <row r="4571" spans="1:5" hidden="1" x14ac:dyDescent="0.3">
      <c r="A4571" t="s">
        <v>557</v>
      </c>
      <c r="B4571" t="s">
        <v>709</v>
      </c>
      <c r="C4571" t="s">
        <v>667</v>
      </c>
      <c r="D4571" s="230">
        <v>0</v>
      </c>
      <c r="E4571" t="s">
        <v>710</v>
      </c>
    </row>
    <row r="4572" spans="1:5" hidden="1" x14ac:dyDescent="0.3">
      <c r="A4572" t="s">
        <v>557</v>
      </c>
      <c r="B4572" t="s">
        <v>709</v>
      </c>
      <c r="C4572" t="s">
        <v>668</v>
      </c>
      <c r="D4572" s="230">
        <v>0</v>
      </c>
      <c r="E4572" t="s">
        <v>710</v>
      </c>
    </row>
    <row r="4573" spans="1:5" hidden="1" x14ac:dyDescent="0.3">
      <c r="A4573" t="s">
        <v>557</v>
      </c>
      <c r="B4573" t="s">
        <v>709</v>
      </c>
      <c r="C4573" t="s">
        <v>669</v>
      </c>
      <c r="D4573" s="230">
        <v>0</v>
      </c>
      <c r="E4573" t="s">
        <v>710</v>
      </c>
    </row>
    <row r="4574" spans="1:5" hidden="1" x14ac:dyDescent="0.3">
      <c r="A4574" t="s">
        <v>557</v>
      </c>
      <c r="B4574" t="s">
        <v>709</v>
      </c>
      <c r="C4574" t="s">
        <v>670</v>
      </c>
      <c r="D4574" s="230">
        <v>0</v>
      </c>
      <c r="E4574" t="s">
        <v>710</v>
      </c>
    </row>
    <row r="4575" spans="1:5" hidden="1" x14ac:dyDescent="0.3">
      <c r="A4575" t="s">
        <v>557</v>
      </c>
      <c r="B4575" t="s">
        <v>709</v>
      </c>
      <c r="C4575" t="s">
        <v>671</v>
      </c>
      <c r="D4575" s="230">
        <v>0</v>
      </c>
      <c r="E4575" t="s">
        <v>710</v>
      </c>
    </row>
    <row r="4576" spans="1:5" hidden="1" x14ac:dyDescent="0.3">
      <c r="A4576" t="s">
        <v>557</v>
      </c>
      <c r="B4576" t="s">
        <v>709</v>
      </c>
      <c r="C4576" t="s">
        <v>672</v>
      </c>
      <c r="D4576" s="230">
        <v>0</v>
      </c>
      <c r="E4576" t="s">
        <v>710</v>
      </c>
    </row>
    <row r="4577" spans="1:5" hidden="1" x14ac:dyDescent="0.3">
      <c r="A4577" t="s">
        <v>557</v>
      </c>
      <c r="B4577" t="s">
        <v>709</v>
      </c>
      <c r="C4577" t="s">
        <v>673</v>
      </c>
      <c r="D4577" s="230">
        <v>0</v>
      </c>
      <c r="E4577" t="s">
        <v>710</v>
      </c>
    </row>
    <row r="4578" spans="1:5" hidden="1" x14ac:dyDescent="0.3">
      <c r="A4578" t="s">
        <v>557</v>
      </c>
      <c r="B4578" t="s">
        <v>709</v>
      </c>
      <c r="C4578" t="s">
        <v>674</v>
      </c>
      <c r="D4578" s="230">
        <v>0</v>
      </c>
      <c r="E4578" t="s">
        <v>710</v>
      </c>
    </row>
    <row r="4579" spans="1:5" hidden="1" x14ac:dyDescent="0.3">
      <c r="A4579" t="s">
        <v>557</v>
      </c>
      <c r="B4579" t="s">
        <v>709</v>
      </c>
      <c r="C4579" t="s">
        <v>675</v>
      </c>
      <c r="D4579" s="230">
        <v>0</v>
      </c>
      <c r="E4579" t="s">
        <v>710</v>
      </c>
    </row>
    <row r="4580" spans="1:5" hidden="1" x14ac:dyDescent="0.3">
      <c r="A4580" t="s">
        <v>557</v>
      </c>
      <c r="B4580" t="s">
        <v>709</v>
      </c>
      <c r="C4580" t="s">
        <v>676</v>
      </c>
      <c r="D4580" s="230">
        <v>0</v>
      </c>
      <c r="E4580" t="s">
        <v>710</v>
      </c>
    </row>
    <row r="4581" spans="1:5" hidden="1" x14ac:dyDescent="0.3">
      <c r="A4581" t="s">
        <v>557</v>
      </c>
      <c r="B4581" t="s">
        <v>709</v>
      </c>
      <c r="C4581" t="s">
        <v>677</v>
      </c>
      <c r="D4581" s="230">
        <v>0</v>
      </c>
      <c r="E4581" t="s">
        <v>710</v>
      </c>
    </row>
    <row r="4582" spans="1:5" hidden="1" x14ac:dyDescent="0.3">
      <c r="A4582" t="s">
        <v>557</v>
      </c>
      <c r="B4582" t="s">
        <v>709</v>
      </c>
      <c r="C4582" t="s">
        <v>201</v>
      </c>
      <c r="D4582" s="230">
        <v>-8258.5499999999993</v>
      </c>
      <c r="E4582" t="s">
        <v>710</v>
      </c>
    </row>
    <row r="4583" spans="1:5" hidden="1" x14ac:dyDescent="0.3">
      <c r="A4583" t="s">
        <v>557</v>
      </c>
      <c r="B4583" t="s">
        <v>709</v>
      </c>
      <c r="C4583" t="s">
        <v>203</v>
      </c>
      <c r="D4583" s="230">
        <v>-8258.5499999999993</v>
      </c>
      <c r="E4583" t="s">
        <v>710</v>
      </c>
    </row>
    <row r="4584" spans="1:5" hidden="1" x14ac:dyDescent="0.3">
      <c r="A4584" t="s">
        <v>557</v>
      </c>
      <c r="B4584" t="s">
        <v>709</v>
      </c>
      <c r="C4584" t="s">
        <v>678</v>
      </c>
      <c r="D4584" s="230">
        <v>4129.28</v>
      </c>
      <c r="E4584" t="s">
        <v>710</v>
      </c>
    </row>
    <row r="4585" spans="1:5" hidden="1" x14ac:dyDescent="0.3">
      <c r="A4585" t="s">
        <v>557</v>
      </c>
      <c r="B4585" t="s">
        <v>709</v>
      </c>
      <c r="C4585" t="s">
        <v>205</v>
      </c>
      <c r="D4585" s="230">
        <v>-17684.82</v>
      </c>
      <c r="E4585" t="s">
        <v>710</v>
      </c>
    </row>
    <row r="4586" spans="1:5" hidden="1" x14ac:dyDescent="0.3">
      <c r="A4586" t="s">
        <v>557</v>
      </c>
      <c r="B4586" t="s">
        <v>709</v>
      </c>
      <c r="C4586" t="s">
        <v>679</v>
      </c>
      <c r="D4586" s="230">
        <v>-4588.24</v>
      </c>
      <c r="E4586" t="s">
        <v>710</v>
      </c>
    </row>
    <row r="4587" spans="1:5" hidden="1" x14ac:dyDescent="0.3">
      <c r="A4587" t="s">
        <v>557</v>
      </c>
      <c r="B4587" t="s">
        <v>709</v>
      </c>
      <c r="C4587" t="s">
        <v>680</v>
      </c>
      <c r="D4587" s="230">
        <v>0</v>
      </c>
      <c r="E4587" t="s">
        <v>710</v>
      </c>
    </row>
    <row r="4588" spans="1:5" hidden="1" x14ac:dyDescent="0.3">
      <c r="A4588" t="s">
        <v>557</v>
      </c>
      <c r="B4588" t="s">
        <v>709</v>
      </c>
      <c r="C4588" t="s">
        <v>681</v>
      </c>
      <c r="D4588" s="230">
        <v>0</v>
      </c>
      <c r="E4588" t="s">
        <v>710</v>
      </c>
    </row>
    <row r="4589" spans="1:5" hidden="1" x14ac:dyDescent="0.3">
      <c r="A4589" t="s">
        <v>557</v>
      </c>
      <c r="B4589" t="s">
        <v>709</v>
      </c>
      <c r="C4589" t="s">
        <v>682</v>
      </c>
      <c r="D4589" s="230">
        <v>-4498</v>
      </c>
      <c r="E4589" t="s">
        <v>710</v>
      </c>
    </row>
    <row r="4590" spans="1:5" hidden="1" x14ac:dyDescent="0.3">
      <c r="A4590" t="s">
        <v>557</v>
      </c>
      <c r="B4590" t="s">
        <v>709</v>
      </c>
      <c r="C4590" t="s">
        <v>683</v>
      </c>
      <c r="D4590" s="230">
        <v>-1348.32</v>
      </c>
      <c r="E4590" t="s">
        <v>710</v>
      </c>
    </row>
    <row r="4591" spans="1:5" hidden="1" x14ac:dyDescent="0.3">
      <c r="A4591" t="s">
        <v>557</v>
      </c>
      <c r="B4591" t="s">
        <v>709</v>
      </c>
      <c r="C4591" t="s">
        <v>684</v>
      </c>
      <c r="D4591" s="230">
        <v>-1515.51</v>
      </c>
      <c r="E4591" t="s">
        <v>710</v>
      </c>
    </row>
    <row r="4592" spans="1:5" hidden="1" x14ac:dyDescent="0.3">
      <c r="A4592" t="s">
        <v>557</v>
      </c>
      <c r="B4592" t="s">
        <v>709</v>
      </c>
      <c r="C4592" t="s">
        <v>685</v>
      </c>
      <c r="D4592" s="230">
        <v>-453.04</v>
      </c>
      <c r="E4592" t="s">
        <v>710</v>
      </c>
    </row>
    <row r="4593" spans="1:5" hidden="1" x14ac:dyDescent="0.3">
      <c r="A4593" t="s">
        <v>557</v>
      </c>
      <c r="B4593" t="s">
        <v>709</v>
      </c>
      <c r="C4593" t="s">
        <v>686</v>
      </c>
      <c r="D4593" s="230">
        <v>0</v>
      </c>
      <c r="E4593" t="s">
        <v>710</v>
      </c>
    </row>
    <row r="4594" spans="1:5" hidden="1" x14ac:dyDescent="0.3">
      <c r="A4594" t="s">
        <v>557</v>
      </c>
      <c r="B4594" t="s">
        <v>709</v>
      </c>
      <c r="C4594" t="s">
        <v>687</v>
      </c>
      <c r="D4594" s="230">
        <v>0</v>
      </c>
      <c r="E4594" t="s">
        <v>710</v>
      </c>
    </row>
    <row r="4595" spans="1:5" hidden="1" x14ac:dyDescent="0.3">
      <c r="A4595" t="s">
        <v>557</v>
      </c>
      <c r="B4595" t="s">
        <v>709</v>
      </c>
      <c r="C4595" t="s">
        <v>688</v>
      </c>
      <c r="D4595" s="230">
        <v>0</v>
      </c>
      <c r="E4595" t="s">
        <v>710</v>
      </c>
    </row>
    <row r="4596" spans="1:5" hidden="1" x14ac:dyDescent="0.3">
      <c r="A4596" t="s">
        <v>557</v>
      </c>
      <c r="B4596" t="s">
        <v>709</v>
      </c>
      <c r="C4596" t="s">
        <v>689</v>
      </c>
      <c r="D4596" s="230">
        <v>-281.72000000000003</v>
      </c>
      <c r="E4596" t="s">
        <v>710</v>
      </c>
    </row>
    <row r="4597" spans="1:5" hidden="1" x14ac:dyDescent="0.3">
      <c r="A4597" t="s">
        <v>557</v>
      </c>
      <c r="B4597" t="s">
        <v>709</v>
      </c>
      <c r="C4597" t="s">
        <v>690</v>
      </c>
      <c r="D4597" s="230">
        <v>-5000</v>
      </c>
      <c r="E4597" t="s">
        <v>710</v>
      </c>
    </row>
    <row r="4598" spans="1:5" hidden="1" x14ac:dyDescent="0.3">
      <c r="A4598" t="s">
        <v>557</v>
      </c>
      <c r="B4598" t="s">
        <v>709</v>
      </c>
      <c r="C4598" t="s">
        <v>691</v>
      </c>
      <c r="D4598" s="230">
        <v>0</v>
      </c>
      <c r="E4598" t="s">
        <v>710</v>
      </c>
    </row>
    <row r="4599" spans="1:5" hidden="1" x14ac:dyDescent="0.3">
      <c r="A4599" t="s">
        <v>557</v>
      </c>
      <c r="B4599" t="s">
        <v>709</v>
      </c>
      <c r="C4599" t="s">
        <v>692</v>
      </c>
      <c r="D4599" s="230">
        <v>0</v>
      </c>
      <c r="E4599" t="s">
        <v>710</v>
      </c>
    </row>
    <row r="4600" spans="1:5" hidden="1" x14ac:dyDescent="0.3">
      <c r="A4600" t="s">
        <v>557</v>
      </c>
      <c r="B4600" t="s">
        <v>709</v>
      </c>
      <c r="C4600" t="s">
        <v>693</v>
      </c>
      <c r="D4600" s="230">
        <v>0</v>
      </c>
      <c r="E4600" t="s">
        <v>710</v>
      </c>
    </row>
    <row r="4601" spans="1:5" hidden="1" x14ac:dyDescent="0.3">
      <c r="A4601" t="s">
        <v>557</v>
      </c>
      <c r="B4601" t="s">
        <v>709</v>
      </c>
      <c r="C4601" t="s">
        <v>694</v>
      </c>
      <c r="D4601" s="230">
        <v>0</v>
      </c>
      <c r="E4601" t="s">
        <v>710</v>
      </c>
    </row>
    <row r="4602" spans="1:5" hidden="1" x14ac:dyDescent="0.3">
      <c r="A4602" t="s">
        <v>557</v>
      </c>
      <c r="B4602" t="s">
        <v>709</v>
      </c>
      <c r="C4602" t="s">
        <v>238</v>
      </c>
      <c r="D4602" s="230">
        <v>-6200.12</v>
      </c>
      <c r="E4602" t="s">
        <v>710</v>
      </c>
    </row>
    <row r="4603" spans="1:5" hidden="1" x14ac:dyDescent="0.3">
      <c r="A4603" t="s">
        <v>557</v>
      </c>
      <c r="B4603" t="s">
        <v>709</v>
      </c>
      <c r="C4603" t="s">
        <v>695</v>
      </c>
      <c r="D4603" s="230">
        <v>-6126.65</v>
      </c>
      <c r="E4603" t="s">
        <v>710</v>
      </c>
    </row>
    <row r="4604" spans="1:5" hidden="1" x14ac:dyDescent="0.3">
      <c r="A4604" t="s">
        <v>557</v>
      </c>
      <c r="B4604" t="s">
        <v>709</v>
      </c>
      <c r="C4604" t="s">
        <v>696</v>
      </c>
      <c r="D4604" s="230">
        <v>0</v>
      </c>
      <c r="E4604" t="s">
        <v>710</v>
      </c>
    </row>
    <row r="4605" spans="1:5" hidden="1" x14ac:dyDescent="0.3">
      <c r="A4605" t="s">
        <v>557</v>
      </c>
      <c r="B4605" t="s">
        <v>709</v>
      </c>
      <c r="C4605" t="s">
        <v>697</v>
      </c>
      <c r="D4605" s="230">
        <v>0</v>
      </c>
      <c r="E4605" t="s">
        <v>710</v>
      </c>
    </row>
    <row r="4606" spans="1:5" hidden="1" x14ac:dyDescent="0.3">
      <c r="A4606" t="s">
        <v>557</v>
      </c>
      <c r="B4606" t="s">
        <v>709</v>
      </c>
      <c r="C4606" t="s">
        <v>698</v>
      </c>
      <c r="D4606" s="230">
        <v>-73.47</v>
      </c>
      <c r="E4606" t="s">
        <v>710</v>
      </c>
    </row>
    <row r="4607" spans="1:5" hidden="1" x14ac:dyDescent="0.3">
      <c r="A4607" t="s">
        <v>557</v>
      </c>
      <c r="B4607" t="s">
        <v>709</v>
      </c>
      <c r="C4607" t="s">
        <v>699</v>
      </c>
      <c r="D4607" s="230">
        <v>0</v>
      </c>
      <c r="E4607" t="s">
        <v>710</v>
      </c>
    </row>
    <row r="4608" spans="1:5" hidden="1" x14ac:dyDescent="0.3">
      <c r="A4608" t="s">
        <v>557</v>
      </c>
      <c r="B4608" t="s">
        <v>709</v>
      </c>
      <c r="C4608" t="s">
        <v>245</v>
      </c>
      <c r="D4608" s="230">
        <v>-7142.91</v>
      </c>
      <c r="E4608" t="s">
        <v>710</v>
      </c>
    </row>
    <row r="4609" spans="1:5" hidden="1" x14ac:dyDescent="0.3">
      <c r="A4609" t="s">
        <v>557</v>
      </c>
      <c r="B4609" t="s">
        <v>709</v>
      </c>
      <c r="C4609" t="s">
        <v>700</v>
      </c>
      <c r="D4609" s="230">
        <v>0</v>
      </c>
      <c r="E4609" t="s">
        <v>710</v>
      </c>
    </row>
    <row r="4610" spans="1:5" hidden="1" x14ac:dyDescent="0.3">
      <c r="A4610" t="s">
        <v>557</v>
      </c>
      <c r="B4610" t="s">
        <v>709</v>
      </c>
      <c r="C4610" t="s">
        <v>701</v>
      </c>
      <c r="D4610" s="230">
        <v>-303.8</v>
      </c>
      <c r="E4610" t="s">
        <v>710</v>
      </c>
    </row>
    <row r="4611" spans="1:5" hidden="1" x14ac:dyDescent="0.3">
      <c r="A4611" t="s">
        <v>557</v>
      </c>
      <c r="B4611" t="s">
        <v>709</v>
      </c>
      <c r="C4611" t="s">
        <v>702</v>
      </c>
      <c r="D4611" s="230">
        <v>0</v>
      </c>
      <c r="E4611" t="s">
        <v>710</v>
      </c>
    </row>
    <row r="4612" spans="1:5" hidden="1" x14ac:dyDescent="0.3">
      <c r="A4612" t="s">
        <v>557</v>
      </c>
      <c r="B4612" t="s">
        <v>709</v>
      </c>
      <c r="C4612" t="s">
        <v>703</v>
      </c>
      <c r="D4612" s="230">
        <v>0</v>
      </c>
      <c r="E4612" t="s">
        <v>710</v>
      </c>
    </row>
    <row r="4613" spans="1:5" hidden="1" x14ac:dyDescent="0.3">
      <c r="A4613" t="s">
        <v>557</v>
      </c>
      <c r="B4613" t="s">
        <v>709</v>
      </c>
      <c r="C4613" t="s">
        <v>704</v>
      </c>
      <c r="D4613" s="230">
        <v>0</v>
      </c>
      <c r="E4613" t="s">
        <v>710</v>
      </c>
    </row>
    <row r="4614" spans="1:5" hidden="1" x14ac:dyDescent="0.3">
      <c r="A4614" t="s">
        <v>557</v>
      </c>
      <c r="B4614" t="s">
        <v>709</v>
      </c>
      <c r="C4614" t="s">
        <v>705</v>
      </c>
      <c r="D4614" s="230">
        <v>-6839.11</v>
      </c>
      <c r="E4614" t="s">
        <v>710</v>
      </c>
    </row>
    <row r="4615" spans="1:5" hidden="1" x14ac:dyDescent="0.3">
      <c r="A4615" t="s">
        <v>557</v>
      </c>
      <c r="B4615" t="s">
        <v>709</v>
      </c>
      <c r="C4615" t="s">
        <v>706</v>
      </c>
      <c r="D4615" s="230">
        <v>0</v>
      </c>
      <c r="E4615" t="s">
        <v>710</v>
      </c>
    </row>
    <row r="4616" spans="1:5" hidden="1" x14ac:dyDescent="0.3">
      <c r="A4616" t="s">
        <v>557</v>
      </c>
      <c r="B4616" t="s">
        <v>709</v>
      </c>
      <c r="C4616" t="s">
        <v>254</v>
      </c>
      <c r="D4616" s="230">
        <v>-0.44</v>
      </c>
      <c r="E4616" t="s">
        <v>710</v>
      </c>
    </row>
    <row r="4617" spans="1:5" hidden="1" x14ac:dyDescent="0.3">
      <c r="A4617" t="s">
        <v>557</v>
      </c>
      <c r="B4617" t="s">
        <v>709</v>
      </c>
      <c r="C4617" t="s">
        <v>255</v>
      </c>
      <c r="D4617" s="230">
        <v>-0.42</v>
      </c>
      <c r="E4617" t="s">
        <v>710</v>
      </c>
    </row>
    <row r="4618" spans="1:5" hidden="1" x14ac:dyDescent="0.3">
      <c r="A4618" t="s">
        <v>557</v>
      </c>
      <c r="B4618" t="s">
        <v>709</v>
      </c>
      <c r="C4618" t="s">
        <v>256</v>
      </c>
      <c r="D4618" s="230">
        <v>-51752.37</v>
      </c>
      <c r="E4618" t="s">
        <v>710</v>
      </c>
    </row>
    <row r="4619" spans="1:5" hidden="1" x14ac:dyDescent="0.3">
      <c r="A4619" t="s">
        <v>557</v>
      </c>
      <c r="B4619" t="s">
        <v>709</v>
      </c>
      <c r="C4619" t="s">
        <v>257</v>
      </c>
      <c r="D4619" s="230">
        <v>-49305.7</v>
      </c>
      <c r="E4619" t="s">
        <v>710</v>
      </c>
    </row>
    <row r="4620" spans="1:5" hidden="1" x14ac:dyDescent="0.3">
      <c r="A4620" t="s">
        <v>557</v>
      </c>
      <c r="B4620" t="s">
        <v>709</v>
      </c>
      <c r="C4620" t="s">
        <v>258</v>
      </c>
      <c r="D4620" s="230">
        <v>0</v>
      </c>
      <c r="E4620" t="s">
        <v>710</v>
      </c>
    </row>
    <row r="4621" spans="1:5" hidden="1" x14ac:dyDescent="0.3">
      <c r="A4621" t="s">
        <v>557</v>
      </c>
      <c r="B4621" t="s">
        <v>709</v>
      </c>
      <c r="C4621" t="s">
        <v>259</v>
      </c>
      <c r="D4621" s="230">
        <v>-2446.67</v>
      </c>
      <c r="E4621" t="s">
        <v>710</v>
      </c>
    </row>
    <row r="4622" spans="1:5" hidden="1" x14ac:dyDescent="0.3">
      <c r="A4622" t="s">
        <v>557</v>
      </c>
      <c r="B4622" t="s">
        <v>709</v>
      </c>
      <c r="C4622" t="s">
        <v>260</v>
      </c>
      <c r="D4622" s="230">
        <v>0</v>
      </c>
      <c r="E4622" t="s">
        <v>710</v>
      </c>
    </row>
    <row r="4623" spans="1:5" hidden="1" x14ac:dyDescent="0.3">
      <c r="A4623" t="s">
        <v>557</v>
      </c>
      <c r="B4623" t="s">
        <v>709</v>
      </c>
      <c r="C4623" t="s">
        <v>261</v>
      </c>
      <c r="D4623" s="230">
        <v>0</v>
      </c>
      <c r="E4623" t="s">
        <v>710</v>
      </c>
    </row>
    <row r="4624" spans="1:5" hidden="1" x14ac:dyDescent="0.3">
      <c r="A4624" t="s">
        <v>557</v>
      </c>
      <c r="B4624" t="s">
        <v>709</v>
      </c>
      <c r="C4624" t="s">
        <v>262</v>
      </c>
      <c r="D4624" s="230">
        <v>0</v>
      </c>
      <c r="E4624" t="s">
        <v>710</v>
      </c>
    </row>
    <row r="4625" spans="1:5" hidden="1" x14ac:dyDescent="0.3">
      <c r="A4625" t="s">
        <v>557</v>
      </c>
      <c r="B4625" t="s">
        <v>709</v>
      </c>
      <c r="C4625" t="s">
        <v>263</v>
      </c>
      <c r="D4625" s="230">
        <v>0</v>
      </c>
      <c r="E4625" t="s">
        <v>710</v>
      </c>
    </row>
    <row r="4626" spans="1:5" hidden="1" x14ac:dyDescent="0.3">
      <c r="A4626" t="s">
        <v>557</v>
      </c>
      <c r="B4626" t="s">
        <v>709</v>
      </c>
      <c r="C4626" t="s">
        <v>44</v>
      </c>
      <c r="D4626" s="230">
        <v>-0.15</v>
      </c>
      <c r="E4626" t="s">
        <v>710</v>
      </c>
    </row>
    <row r="4627" spans="1:5" hidden="1" x14ac:dyDescent="0.3">
      <c r="A4627" t="s">
        <v>557</v>
      </c>
      <c r="B4627" t="s">
        <v>709</v>
      </c>
      <c r="C4627" t="s">
        <v>264</v>
      </c>
      <c r="D4627" s="230">
        <v>-32721.71</v>
      </c>
      <c r="E4627" t="s">
        <v>710</v>
      </c>
    </row>
    <row r="4628" spans="1:5" hidden="1" x14ac:dyDescent="0.3">
      <c r="A4628" t="s">
        <v>557</v>
      </c>
      <c r="B4628" t="s">
        <v>709</v>
      </c>
      <c r="C4628" t="s">
        <v>265</v>
      </c>
      <c r="D4628" s="230">
        <v>-5010.8999999999996</v>
      </c>
      <c r="E4628" t="s">
        <v>710</v>
      </c>
    </row>
    <row r="4629" spans="1:5" hidden="1" x14ac:dyDescent="0.3">
      <c r="A4629" t="s">
        <v>557</v>
      </c>
      <c r="B4629" t="s">
        <v>709</v>
      </c>
      <c r="C4629" t="s">
        <v>266</v>
      </c>
      <c r="D4629" s="230">
        <v>-10602.47</v>
      </c>
      <c r="E4629" t="s">
        <v>710</v>
      </c>
    </row>
    <row r="4630" spans="1:5" hidden="1" x14ac:dyDescent="0.3">
      <c r="A4630" t="s">
        <v>557</v>
      </c>
      <c r="B4630" t="s">
        <v>709</v>
      </c>
      <c r="C4630" t="s">
        <v>267</v>
      </c>
      <c r="D4630" s="230">
        <v>-4587.09</v>
      </c>
      <c r="E4630" t="s">
        <v>710</v>
      </c>
    </row>
    <row r="4631" spans="1:5" hidden="1" x14ac:dyDescent="0.3">
      <c r="A4631" t="s">
        <v>557</v>
      </c>
      <c r="B4631" t="s">
        <v>709</v>
      </c>
      <c r="C4631" t="s">
        <v>268</v>
      </c>
      <c r="D4631" s="230">
        <v>-4947.16</v>
      </c>
      <c r="E4631" t="s">
        <v>710</v>
      </c>
    </row>
    <row r="4632" spans="1:5" hidden="1" x14ac:dyDescent="0.3">
      <c r="A4632" t="s">
        <v>557</v>
      </c>
      <c r="B4632" t="s">
        <v>709</v>
      </c>
      <c r="C4632" t="s">
        <v>269</v>
      </c>
      <c r="D4632" s="230">
        <v>0</v>
      </c>
      <c r="E4632" t="s">
        <v>710</v>
      </c>
    </row>
    <row r="4633" spans="1:5" hidden="1" x14ac:dyDescent="0.3">
      <c r="A4633" t="s">
        <v>557</v>
      </c>
      <c r="B4633" t="s">
        <v>709</v>
      </c>
      <c r="C4633" t="s">
        <v>270</v>
      </c>
      <c r="D4633" s="230">
        <v>-500</v>
      </c>
      <c r="E4633" t="s">
        <v>710</v>
      </c>
    </row>
    <row r="4634" spans="1:5" hidden="1" x14ac:dyDescent="0.3">
      <c r="A4634" t="s">
        <v>557</v>
      </c>
      <c r="B4634" t="s">
        <v>709</v>
      </c>
      <c r="C4634" t="s">
        <v>271</v>
      </c>
      <c r="D4634" s="230">
        <v>-743.28</v>
      </c>
      <c r="E4634" t="s">
        <v>710</v>
      </c>
    </row>
    <row r="4635" spans="1:5" hidden="1" x14ac:dyDescent="0.3">
      <c r="A4635" t="s">
        <v>557</v>
      </c>
      <c r="B4635" t="s">
        <v>709</v>
      </c>
      <c r="C4635" t="s">
        <v>272</v>
      </c>
      <c r="D4635" s="230">
        <v>-1958.72</v>
      </c>
      <c r="E4635" t="s">
        <v>710</v>
      </c>
    </row>
    <row r="4636" spans="1:5" hidden="1" x14ac:dyDescent="0.3">
      <c r="A4636" t="s">
        <v>557</v>
      </c>
      <c r="B4636" t="s">
        <v>709</v>
      </c>
      <c r="C4636" t="s">
        <v>273</v>
      </c>
      <c r="D4636" s="230">
        <v>-40</v>
      </c>
      <c r="E4636" t="s">
        <v>710</v>
      </c>
    </row>
    <row r="4637" spans="1:5" hidden="1" x14ac:dyDescent="0.3">
      <c r="A4637" t="s">
        <v>557</v>
      </c>
      <c r="B4637" t="s">
        <v>709</v>
      </c>
      <c r="C4637" t="s">
        <v>274</v>
      </c>
      <c r="D4637" s="230">
        <v>0</v>
      </c>
      <c r="E4637" t="s">
        <v>710</v>
      </c>
    </row>
    <row r="4638" spans="1:5" hidden="1" x14ac:dyDescent="0.3">
      <c r="A4638" t="s">
        <v>557</v>
      </c>
      <c r="B4638" t="s">
        <v>709</v>
      </c>
      <c r="C4638" t="s">
        <v>275</v>
      </c>
      <c r="D4638" s="230">
        <v>-889.19</v>
      </c>
      <c r="E4638" t="s">
        <v>710</v>
      </c>
    </row>
    <row r="4639" spans="1:5" hidden="1" x14ac:dyDescent="0.3">
      <c r="A4639" t="s">
        <v>557</v>
      </c>
      <c r="B4639" t="s">
        <v>709</v>
      </c>
      <c r="C4639" t="s">
        <v>276</v>
      </c>
      <c r="D4639" s="230">
        <v>-900</v>
      </c>
      <c r="E4639" t="s">
        <v>710</v>
      </c>
    </row>
    <row r="4640" spans="1:5" hidden="1" x14ac:dyDescent="0.3">
      <c r="A4640" t="s">
        <v>557</v>
      </c>
      <c r="B4640" t="s">
        <v>709</v>
      </c>
      <c r="C4640" t="s">
        <v>277</v>
      </c>
      <c r="D4640" s="230">
        <v>0</v>
      </c>
      <c r="E4640" t="s">
        <v>710</v>
      </c>
    </row>
    <row r="4641" spans="1:5" hidden="1" x14ac:dyDescent="0.3">
      <c r="A4641" t="s">
        <v>557</v>
      </c>
      <c r="B4641" t="s">
        <v>709</v>
      </c>
      <c r="C4641" t="s">
        <v>278</v>
      </c>
      <c r="D4641" s="230">
        <v>-2542.9</v>
      </c>
      <c r="E4641" t="s">
        <v>710</v>
      </c>
    </row>
    <row r="4642" spans="1:5" hidden="1" x14ac:dyDescent="0.3">
      <c r="A4642" t="s">
        <v>557</v>
      </c>
      <c r="B4642" t="s">
        <v>709</v>
      </c>
      <c r="C4642" t="s">
        <v>44</v>
      </c>
      <c r="D4642" s="230">
        <v>-0.09</v>
      </c>
      <c r="E4642" t="s">
        <v>710</v>
      </c>
    </row>
    <row r="4643" spans="1:5" hidden="1" x14ac:dyDescent="0.3">
      <c r="A4643" t="s">
        <v>557</v>
      </c>
      <c r="B4643" t="s">
        <v>709</v>
      </c>
      <c r="C4643" t="s">
        <v>279</v>
      </c>
      <c r="D4643" s="230">
        <v>-5487.3</v>
      </c>
      <c r="E4643" t="s">
        <v>710</v>
      </c>
    </row>
    <row r="4644" spans="1:5" hidden="1" x14ac:dyDescent="0.3">
      <c r="A4644" t="s">
        <v>557</v>
      </c>
      <c r="B4644" t="s">
        <v>709</v>
      </c>
      <c r="C4644" t="s">
        <v>280</v>
      </c>
      <c r="D4644" s="230">
        <v>-299.89999999999998</v>
      </c>
      <c r="E4644" t="s">
        <v>710</v>
      </c>
    </row>
    <row r="4645" spans="1:5" hidden="1" x14ac:dyDescent="0.3">
      <c r="A4645" t="s">
        <v>557</v>
      </c>
      <c r="B4645" t="s">
        <v>709</v>
      </c>
      <c r="C4645" t="s">
        <v>281</v>
      </c>
      <c r="D4645" s="230">
        <v>-363.52</v>
      </c>
      <c r="E4645" t="s">
        <v>710</v>
      </c>
    </row>
    <row r="4646" spans="1:5" hidden="1" x14ac:dyDescent="0.3">
      <c r="A4646" t="s">
        <v>557</v>
      </c>
      <c r="B4646" t="s">
        <v>709</v>
      </c>
      <c r="C4646" t="s">
        <v>282</v>
      </c>
      <c r="D4646" s="230">
        <v>-302.37</v>
      </c>
      <c r="E4646" t="s">
        <v>710</v>
      </c>
    </row>
    <row r="4647" spans="1:5" hidden="1" x14ac:dyDescent="0.3">
      <c r="A4647" t="s">
        <v>557</v>
      </c>
      <c r="B4647" t="s">
        <v>709</v>
      </c>
      <c r="C4647" t="s">
        <v>283</v>
      </c>
      <c r="D4647" s="230">
        <v>-472.46</v>
      </c>
      <c r="E4647" t="s">
        <v>710</v>
      </c>
    </row>
    <row r="4648" spans="1:5" hidden="1" x14ac:dyDescent="0.3">
      <c r="A4648" t="s">
        <v>557</v>
      </c>
      <c r="B4648" t="s">
        <v>709</v>
      </c>
      <c r="C4648" t="s">
        <v>284</v>
      </c>
      <c r="D4648" s="230">
        <v>-4049.05</v>
      </c>
      <c r="E4648" t="s">
        <v>710</v>
      </c>
    </row>
    <row r="4649" spans="1:5" hidden="1" x14ac:dyDescent="0.3">
      <c r="A4649" t="s">
        <v>557</v>
      </c>
      <c r="B4649" t="s">
        <v>709</v>
      </c>
      <c r="C4649" t="s">
        <v>285</v>
      </c>
      <c r="D4649" s="230">
        <v>0</v>
      </c>
      <c r="E4649" t="s">
        <v>710</v>
      </c>
    </row>
    <row r="4650" spans="1:5" hidden="1" x14ac:dyDescent="0.3">
      <c r="A4650" t="s">
        <v>557</v>
      </c>
      <c r="B4650" t="s">
        <v>709</v>
      </c>
      <c r="C4650" t="s">
        <v>286</v>
      </c>
      <c r="D4650" s="230">
        <v>0</v>
      </c>
      <c r="E4650" t="s">
        <v>710</v>
      </c>
    </row>
    <row r="4651" spans="1:5" hidden="1" x14ac:dyDescent="0.3">
      <c r="A4651" t="s">
        <v>557</v>
      </c>
      <c r="B4651" t="s">
        <v>709</v>
      </c>
      <c r="C4651" t="s">
        <v>44</v>
      </c>
      <c r="D4651" s="230">
        <v>-0.02</v>
      </c>
      <c r="E4651" t="s">
        <v>710</v>
      </c>
    </row>
    <row r="4652" spans="1:5" hidden="1" x14ac:dyDescent="0.3">
      <c r="A4652" t="s">
        <v>557</v>
      </c>
      <c r="B4652" t="s">
        <v>709</v>
      </c>
      <c r="C4652" t="s">
        <v>287</v>
      </c>
      <c r="D4652" s="230">
        <v>-8706.32</v>
      </c>
      <c r="E4652" t="s">
        <v>710</v>
      </c>
    </row>
    <row r="4653" spans="1:5" hidden="1" x14ac:dyDescent="0.3">
      <c r="A4653" t="s">
        <v>557</v>
      </c>
      <c r="B4653" t="s">
        <v>709</v>
      </c>
      <c r="C4653" t="s">
        <v>288</v>
      </c>
      <c r="D4653" s="230">
        <v>-8184.58</v>
      </c>
      <c r="E4653" t="s">
        <v>710</v>
      </c>
    </row>
    <row r="4654" spans="1:5" hidden="1" x14ac:dyDescent="0.3">
      <c r="A4654" t="s">
        <v>557</v>
      </c>
      <c r="B4654" t="s">
        <v>709</v>
      </c>
      <c r="C4654" t="s">
        <v>289</v>
      </c>
      <c r="D4654" s="230">
        <v>0</v>
      </c>
      <c r="E4654" t="s">
        <v>710</v>
      </c>
    </row>
    <row r="4655" spans="1:5" hidden="1" x14ac:dyDescent="0.3">
      <c r="A4655" t="s">
        <v>557</v>
      </c>
      <c r="B4655" t="s">
        <v>709</v>
      </c>
      <c r="C4655" t="s">
        <v>290</v>
      </c>
      <c r="D4655" s="230">
        <v>0</v>
      </c>
      <c r="E4655" t="s">
        <v>710</v>
      </c>
    </row>
    <row r="4656" spans="1:5" hidden="1" x14ac:dyDescent="0.3">
      <c r="A4656" t="s">
        <v>557</v>
      </c>
      <c r="B4656" t="s">
        <v>709</v>
      </c>
      <c r="C4656" t="s">
        <v>291</v>
      </c>
      <c r="D4656" s="230">
        <v>0</v>
      </c>
      <c r="E4656" t="s">
        <v>710</v>
      </c>
    </row>
    <row r="4657" spans="1:5" hidden="1" x14ac:dyDescent="0.3">
      <c r="A4657" t="s">
        <v>557</v>
      </c>
      <c r="B4657" t="s">
        <v>709</v>
      </c>
      <c r="C4657" t="s">
        <v>292</v>
      </c>
      <c r="D4657" s="230">
        <v>0</v>
      </c>
      <c r="E4657" t="s">
        <v>710</v>
      </c>
    </row>
    <row r="4658" spans="1:5" hidden="1" x14ac:dyDescent="0.3">
      <c r="A4658" t="s">
        <v>557</v>
      </c>
      <c r="B4658" t="s">
        <v>709</v>
      </c>
      <c r="C4658" t="s">
        <v>293</v>
      </c>
      <c r="D4658" s="230">
        <v>-521.74</v>
      </c>
      <c r="E4658" t="s">
        <v>710</v>
      </c>
    </row>
    <row r="4659" spans="1:5" hidden="1" x14ac:dyDescent="0.3">
      <c r="A4659" t="s">
        <v>557</v>
      </c>
      <c r="B4659" t="s">
        <v>709</v>
      </c>
      <c r="C4659" t="s">
        <v>294</v>
      </c>
      <c r="D4659" s="230">
        <v>-43.2</v>
      </c>
      <c r="E4659" t="s">
        <v>710</v>
      </c>
    </row>
    <row r="4660" spans="1:5" hidden="1" x14ac:dyDescent="0.3">
      <c r="A4660" t="s">
        <v>557</v>
      </c>
      <c r="B4660" t="s">
        <v>709</v>
      </c>
      <c r="C4660" t="s">
        <v>295</v>
      </c>
      <c r="D4660" s="230">
        <v>0</v>
      </c>
      <c r="E4660" t="s">
        <v>710</v>
      </c>
    </row>
    <row r="4661" spans="1:5" hidden="1" x14ac:dyDescent="0.3">
      <c r="A4661" t="s">
        <v>557</v>
      </c>
      <c r="B4661" t="s">
        <v>709</v>
      </c>
      <c r="C4661" t="s">
        <v>44</v>
      </c>
      <c r="D4661" s="230">
        <v>-0.02</v>
      </c>
      <c r="E4661" t="s">
        <v>710</v>
      </c>
    </row>
    <row r="4662" spans="1:5" hidden="1" x14ac:dyDescent="0.3">
      <c r="A4662" t="s">
        <v>557</v>
      </c>
      <c r="B4662" t="s">
        <v>709</v>
      </c>
      <c r="C4662" t="s">
        <v>296</v>
      </c>
      <c r="D4662" s="230">
        <v>-6324.7</v>
      </c>
      <c r="E4662" t="s">
        <v>710</v>
      </c>
    </row>
    <row r="4663" spans="1:5" hidden="1" x14ac:dyDescent="0.3">
      <c r="A4663" t="s">
        <v>557</v>
      </c>
      <c r="B4663" t="s">
        <v>709</v>
      </c>
      <c r="C4663" t="s">
        <v>297</v>
      </c>
      <c r="D4663" s="230">
        <v>-2000</v>
      </c>
      <c r="E4663" t="s">
        <v>710</v>
      </c>
    </row>
    <row r="4664" spans="1:5" hidden="1" x14ac:dyDescent="0.3">
      <c r="A4664" t="s">
        <v>557</v>
      </c>
      <c r="B4664" t="s">
        <v>709</v>
      </c>
      <c r="C4664" t="s">
        <v>298</v>
      </c>
      <c r="D4664" s="230">
        <v>-460</v>
      </c>
      <c r="E4664" t="s">
        <v>710</v>
      </c>
    </row>
    <row r="4665" spans="1:5" hidden="1" x14ac:dyDescent="0.3">
      <c r="A4665" t="s">
        <v>557</v>
      </c>
      <c r="B4665" t="s">
        <v>709</v>
      </c>
      <c r="C4665" t="s">
        <v>299</v>
      </c>
      <c r="D4665" s="230">
        <v>0</v>
      </c>
      <c r="E4665" t="s">
        <v>710</v>
      </c>
    </row>
    <row r="4666" spans="1:5" hidden="1" x14ac:dyDescent="0.3">
      <c r="A4666" t="s">
        <v>557</v>
      </c>
      <c r="B4666" t="s">
        <v>709</v>
      </c>
      <c r="C4666" t="s">
        <v>300</v>
      </c>
      <c r="D4666" s="230">
        <v>0</v>
      </c>
      <c r="E4666" t="s">
        <v>710</v>
      </c>
    </row>
    <row r="4667" spans="1:5" hidden="1" x14ac:dyDescent="0.3">
      <c r="A4667" t="s">
        <v>557</v>
      </c>
      <c r="B4667" t="s">
        <v>709</v>
      </c>
      <c r="C4667" t="s">
        <v>301</v>
      </c>
      <c r="D4667" s="230">
        <v>0</v>
      </c>
      <c r="E4667" t="s">
        <v>710</v>
      </c>
    </row>
    <row r="4668" spans="1:5" hidden="1" x14ac:dyDescent="0.3">
      <c r="A4668" t="s">
        <v>557</v>
      </c>
      <c r="B4668" t="s">
        <v>709</v>
      </c>
      <c r="C4668" t="s">
        <v>302</v>
      </c>
      <c r="D4668" s="230">
        <v>0</v>
      </c>
      <c r="E4668" t="s">
        <v>710</v>
      </c>
    </row>
    <row r="4669" spans="1:5" hidden="1" x14ac:dyDescent="0.3">
      <c r="A4669" t="s">
        <v>557</v>
      </c>
      <c r="B4669" t="s">
        <v>709</v>
      </c>
      <c r="C4669" t="s">
        <v>303</v>
      </c>
      <c r="D4669" s="230">
        <v>0</v>
      </c>
      <c r="E4669" t="s">
        <v>710</v>
      </c>
    </row>
    <row r="4670" spans="1:5" hidden="1" x14ac:dyDescent="0.3">
      <c r="A4670" t="s">
        <v>557</v>
      </c>
      <c r="B4670" t="s">
        <v>709</v>
      </c>
      <c r="C4670" t="s">
        <v>304</v>
      </c>
      <c r="D4670" s="230">
        <v>0</v>
      </c>
      <c r="E4670" t="s">
        <v>710</v>
      </c>
    </row>
    <row r="4671" spans="1:5" hidden="1" x14ac:dyDescent="0.3">
      <c r="A4671" t="s">
        <v>557</v>
      </c>
      <c r="B4671" t="s">
        <v>709</v>
      </c>
      <c r="C4671" t="s">
        <v>305</v>
      </c>
      <c r="D4671" s="230">
        <v>0</v>
      </c>
      <c r="E4671" t="s">
        <v>710</v>
      </c>
    </row>
    <row r="4672" spans="1:5" hidden="1" x14ac:dyDescent="0.3">
      <c r="A4672" t="s">
        <v>557</v>
      </c>
      <c r="B4672" t="s">
        <v>709</v>
      </c>
      <c r="C4672" t="s">
        <v>306</v>
      </c>
      <c r="D4672" s="230">
        <v>0</v>
      </c>
      <c r="E4672" t="s">
        <v>710</v>
      </c>
    </row>
    <row r="4673" spans="1:5" hidden="1" x14ac:dyDescent="0.3">
      <c r="A4673" t="s">
        <v>557</v>
      </c>
      <c r="B4673" t="s">
        <v>709</v>
      </c>
      <c r="C4673" t="s">
        <v>307</v>
      </c>
      <c r="D4673" s="230">
        <v>-3864.7</v>
      </c>
      <c r="E4673" t="s">
        <v>710</v>
      </c>
    </row>
    <row r="4674" spans="1:5" hidden="1" x14ac:dyDescent="0.3">
      <c r="A4674" t="s">
        <v>557</v>
      </c>
      <c r="B4674" t="s">
        <v>709</v>
      </c>
      <c r="C4674" t="s">
        <v>44</v>
      </c>
      <c r="D4674" s="230">
        <v>-0.02</v>
      </c>
      <c r="E4674" t="s">
        <v>710</v>
      </c>
    </row>
    <row r="4675" spans="1:5" hidden="1" x14ac:dyDescent="0.3">
      <c r="A4675" t="s">
        <v>557</v>
      </c>
      <c r="B4675" t="s">
        <v>709</v>
      </c>
      <c r="C4675" t="s">
        <v>308</v>
      </c>
      <c r="D4675" s="230">
        <v>-3474</v>
      </c>
      <c r="E4675" t="s">
        <v>710</v>
      </c>
    </row>
    <row r="4676" spans="1:5" hidden="1" x14ac:dyDescent="0.3">
      <c r="A4676" t="s">
        <v>557</v>
      </c>
      <c r="B4676" t="s">
        <v>709</v>
      </c>
      <c r="C4676" t="s">
        <v>309</v>
      </c>
      <c r="D4676" s="230">
        <v>-2824</v>
      </c>
      <c r="E4676" t="s">
        <v>710</v>
      </c>
    </row>
    <row r="4677" spans="1:5" hidden="1" x14ac:dyDescent="0.3">
      <c r="A4677" t="s">
        <v>557</v>
      </c>
      <c r="B4677" t="s">
        <v>709</v>
      </c>
      <c r="C4677" t="s">
        <v>310</v>
      </c>
      <c r="D4677" s="230">
        <v>0</v>
      </c>
      <c r="E4677" t="s">
        <v>710</v>
      </c>
    </row>
    <row r="4678" spans="1:5" hidden="1" x14ac:dyDescent="0.3">
      <c r="A4678" t="s">
        <v>557</v>
      </c>
      <c r="B4678" t="s">
        <v>709</v>
      </c>
      <c r="C4678" t="s">
        <v>311</v>
      </c>
      <c r="D4678" s="230">
        <v>-650</v>
      </c>
      <c r="E4678" t="s">
        <v>710</v>
      </c>
    </row>
    <row r="4679" spans="1:5" hidden="1" x14ac:dyDescent="0.3">
      <c r="A4679" t="s">
        <v>557</v>
      </c>
      <c r="B4679" t="s">
        <v>709</v>
      </c>
      <c r="C4679" t="s">
        <v>312</v>
      </c>
      <c r="D4679" s="230">
        <v>0</v>
      </c>
      <c r="E4679" t="s">
        <v>710</v>
      </c>
    </row>
    <row r="4680" spans="1:5" hidden="1" x14ac:dyDescent="0.3">
      <c r="A4680" t="s">
        <v>557</v>
      </c>
      <c r="B4680" t="s">
        <v>709</v>
      </c>
      <c r="C4680" t="s">
        <v>313</v>
      </c>
      <c r="D4680" s="230">
        <v>0</v>
      </c>
      <c r="E4680" t="s">
        <v>710</v>
      </c>
    </row>
    <row r="4681" spans="1:5" hidden="1" x14ac:dyDescent="0.3">
      <c r="A4681" t="s">
        <v>557</v>
      </c>
      <c r="B4681" t="s">
        <v>709</v>
      </c>
      <c r="C4681" t="s">
        <v>314</v>
      </c>
      <c r="D4681" s="230">
        <v>0</v>
      </c>
      <c r="E4681" t="s">
        <v>710</v>
      </c>
    </row>
    <row r="4682" spans="1:5" hidden="1" x14ac:dyDescent="0.3">
      <c r="A4682" t="s">
        <v>557</v>
      </c>
      <c r="B4682" t="s">
        <v>709</v>
      </c>
      <c r="C4682" t="s">
        <v>315</v>
      </c>
      <c r="D4682" s="230">
        <v>0</v>
      </c>
      <c r="E4682" t="s">
        <v>710</v>
      </c>
    </row>
    <row r="4683" spans="1:5" hidden="1" x14ac:dyDescent="0.3">
      <c r="A4683" t="s">
        <v>557</v>
      </c>
      <c r="B4683" t="s">
        <v>709</v>
      </c>
      <c r="C4683" t="s">
        <v>316</v>
      </c>
      <c r="D4683" s="230">
        <v>0</v>
      </c>
      <c r="E4683" t="s">
        <v>710</v>
      </c>
    </row>
    <row r="4684" spans="1:5" hidden="1" x14ac:dyDescent="0.3">
      <c r="A4684" t="s">
        <v>557</v>
      </c>
      <c r="B4684" t="s">
        <v>709</v>
      </c>
      <c r="C4684" t="s">
        <v>317</v>
      </c>
      <c r="D4684" s="230">
        <v>0</v>
      </c>
      <c r="E4684" t="s">
        <v>710</v>
      </c>
    </row>
    <row r="4685" spans="1:5" hidden="1" x14ac:dyDescent="0.3">
      <c r="A4685" t="s">
        <v>557</v>
      </c>
      <c r="B4685" t="s">
        <v>709</v>
      </c>
      <c r="C4685" t="s">
        <v>44</v>
      </c>
      <c r="D4685" s="230">
        <v>-0.01</v>
      </c>
      <c r="E4685" t="s">
        <v>710</v>
      </c>
    </row>
    <row r="4686" spans="1:5" hidden="1" x14ac:dyDescent="0.3">
      <c r="A4686" t="s">
        <v>557</v>
      </c>
      <c r="B4686" t="s">
        <v>709</v>
      </c>
      <c r="C4686" t="s">
        <v>318</v>
      </c>
      <c r="D4686" s="230">
        <v>-2281.16</v>
      </c>
      <c r="E4686" t="s">
        <v>710</v>
      </c>
    </row>
    <row r="4687" spans="1:5" hidden="1" x14ac:dyDescent="0.3">
      <c r="A4687" t="s">
        <v>557</v>
      </c>
      <c r="B4687" t="s">
        <v>709</v>
      </c>
      <c r="C4687" t="s">
        <v>319</v>
      </c>
      <c r="D4687" s="230">
        <v>-2281.16</v>
      </c>
      <c r="E4687" t="s">
        <v>710</v>
      </c>
    </row>
    <row r="4688" spans="1:5" hidden="1" x14ac:dyDescent="0.3">
      <c r="A4688" t="s">
        <v>557</v>
      </c>
      <c r="B4688" t="s">
        <v>709</v>
      </c>
      <c r="C4688" t="s">
        <v>320</v>
      </c>
      <c r="D4688" s="230">
        <v>0</v>
      </c>
      <c r="E4688" t="s">
        <v>710</v>
      </c>
    </row>
    <row r="4689" spans="1:5" hidden="1" x14ac:dyDescent="0.3">
      <c r="A4689" t="s">
        <v>557</v>
      </c>
      <c r="B4689" t="s">
        <v>709</v>
      </c>
      <c r="C4689" t="s">
        <v>321</v>
      </c>
      <c r="D4689" s="230">
        <v>0</v>
      </c>
      <c r="E4689" t="s">
        <v>710</v>
      </c>
    </row>
    <row r="4690" spans="1:5" hidden="1" x14ac:dyDescent="0.3">
      <c r="A4690" t="s">
        <v>557</v>
      </c>
      <c r="B4690" t="s">
        <v>709</v>
      </c>
      <c r="C4690" t="s">
        <v>322</v>
      </c>
      <c r="D4690" s="230">
        <v>0</v>
      </c>
      <c r="E4690" t="s">
        <v>710</v>
      </c>
    </row>
    <row r="4691" spans="1:5" hidden="1" x14ac:dyDescent="0.3">
      <c r="A4691" t="s">
        <v>557</v>
      </c>
      <c r="B4691" t="s">
        <v>709</v>
      </c>
      <c r="C4691" t="s">
        <v>44</v>
      </c>
      <c r="D4691" s="230">
        <v>-0.01</v>
      </c>
      <c r="E4691" t="s">
        <v>710</v>
      </c>
    </row>
    <row r="4692" spans="1:5" hidden="1" x14ac:dyDescent="0.3">
      <c r="A4692" t="s">
        <v>557</v>
      </c>
      <c r="B4692" t="s">
        <v>709</v>
      </c>
      <c r="C4692" t="s">
        <v>323</v>
      </c>
      <c r="D4692" s="230">
        <v>-17487.77</v>
      </c>
      <c r="E4692" t="s">
        <v>710</v>
      </c>
    </row>
    <row r="4693" spans="1:5" hidden="1" x14ac:dyDescent="0.3">
      <c r="A4693" t="s">
        <v>557</v>
      </c>
      <c r="B4693" t="s">
        <v>709</v>
      </c>
      <c r="C4693" t="s">
        <v>324</v>
      </c>
      <c r="D4693" s="230">
        <v>0</v>
      </c>
      <c r="E4693" t="s">
        <v>710</v>
      </c>
    </row>
    <row r="4694" spans="1:5" hidden="1" x14ac:dyDescent="0.3">
      <c r="A4694" t="s">
        <v>557</v>
      </c>
      <c r="B4694" t="s">
        <v>709</v>
      </c>
      <c r="C4694" t="s">
        <v>325</v>
      </c>
      <c r="D4694" s="230">
        <v>0</v>
      </c>
      <c r="E4694" t="s">
        <v>710</v>
      </c>
    </row>
    <row r="4695" spans="1:5" hidden="1" x14ac:dyDescent="0.3">
      <c r="A4695" t="s">
        <v>557</v>
      </c>
      <c r="B4695" t="s">
        <v>709</v>
      </c>
      <c r="C4695" t="s">
        <v>326</v>
      </c>
      <c r="D4695" s="230">
        <v>-17487.77</v>
      </c>
      <c r="E4695" t="s">
        <v>710</v>
      </c>
    </row>
    <row r="4696" spans="1:5" hidden="1" x14ac:dyDescent="0.3">
      <c r="A4696" t="s">
        <v>557</v>
      </c>
      <c r="B4696" t="s">
        <v>709</v>
      </c>
      <c r="C4696" t="s">
        <v>44</v>
      </c>
      <c r="D4696" s="230">
        <v>-0.05</v>
      </c>
      <c r="E4696" t="s">
        <v>710</v>
      </c>
    </row>
    <row r="4697" spans="1:5" hidden="1" x14ac:dyDescent="0.3">
      <c r="A4697" t="s">
        <v>557</v>
      </c>
      <c r="B4697" t="s">
        <v>709</v>
      </c>
      <c r="C4697" t="s">
        <v>328</v>
      </c>
      <c r="D4697" s="230">
        <v>-249020.51</v>
      </c>
      <c r="E4697" t="s">
        <v>710</v>
      </c>
    </row>
    <row r="4698" spans="1:5" hidden="1" x14ac:dyDescent="0.3">
      <c r="A4698" t="s">
        <v>557</v>
      </c>
      <c r="B4698" t="s">
        <v>709</v>
      </c>
      <c r="C4698" t="s">
        <v>44</v>
      </c>
      <c r="D4698" s="230">
        <v>-0.71</v>
      </c>
      <c r="E4698" t="s">
        <v>710</v>
      </c>
    </row>
    <row r="4699" spans="1:5" hidden="1" x14ac:dyDescent="0.3">
      <c r="A4699" t="s">
        <v>557</v>
      </c>
      <c r="B4699" t="s">
        <v>709</v>
      </c>
      <c r="C4699" t="s">
        <v>329</v>
      </c>
      <c r="D4699" s="230">
        <v>-78033.58</v>
      </c>
      <c r="E4699" t="s">
        <v>710</v>
      </c>
    </row>
    <row r="4700" spans="1:5" hidden="1" x14ac:dyDescent="0.3">
      <c r="A4700" t="s">
        <v>557</v>
      </c>
      <c r="B4700" t="s">
        <v>709</v>
      </c>
      <c r="C4700" t="s">
        <v>44</v>
      </c>
      <c r="D4700" s="230">
        <v>-0.22</v>
      </c>
      <c r="E4700" t="s">
        <v>710</v>
      </c>
    </row>
    <row r="4701" spans="1:5" hidden="1" x14ac:dyDescent="0.3">
      <c r="A4701" t="s">
        <v>557</v>
      </c>
      <c r="B4701" t="s">
        <v>709</v>
      </c>
      <c r="C4701" t="s">
        <v>330</v>
      </c>
      <c r="D4701" s="230">
        <v>0</v>
      </c>
      <c r="E4701" t="s">
        <v>710</v>
      </c>
    </row>
    <row r="4702" spans="1:5" hidden="1" x14ac:dyDescent="0.3">
      <c r="A4702" t="s">
        <v>557</v>
      </c>
      <c r="B4702" t="s">
        <v>709</v>
      </c>
      <c r="C4702" t="s">
        <v>332</v>
      </c>
      <c r="D4702" s="230">
        <v>-78033.58</v>
      </c>
      <c r="E4702" t="s">
        <v>710</v>
      </c>
    </row>
    <row r="4703" spans="1:5" hidden="1" x14ac:dyDescent="0.3">
      <c r="A4703" t="s">
        <v>557</v>
      </c>
      <c r="B4703" t="s">
        <v>709</v>
      </c>
      <c r="C4703" t="s">
        <v>333</v>
      </c>
      <c r="D4703" s="230">
        <v>8110.5</v>
      </c>
      <c r="E4703" t="s">
        <v>710</v>
      </c>
    </row>
    <row r="4704" spans="1:5" hidden="1" x14ac:dyDescent="0.3">
      <c r="A4704" t="s">
        <v>557</v>
      </c>
      <c r="B4704" t="s">
        <v>709</v>
      </c>
      <c r="C4704" t="s">
        <v>334</v>
      </c>
      <c r="D4704" s="230">
        <v>0</v>
      </c>
      <c r="E4704" t="s">
        <v>710</v>
      </c>
    </row>
    <row r="4705" spans="1:5" hidden="1" x14ac:dyDescent="0.3">
      <c r="A4705" t="s">
        <v>557</v>
      </c>
      <c r="B4705" t="s">
        <v>709</v>
      </c>
      <c r="C4705" t="s">
        <v>336</v>
      </c>
      <c r="D4705" s="230">
        <v>-8550</v>
      </c>
      <c r="E4705" t="s">
        <v>710</v>
      </c>
    </row>
    <row r="4706" spans="1:5" hidden="1" x14ac:dyDescent="0.3">
      <c r="A4706" t="s">
        <v>557</v>
      </c>
      <c r="B4706" t="s">
        <v>709</v>
      </c>
      <c r="C4706" t="s">
        <v>338</v>
      </c>
      <c r="D4706" s="230">
        <v>-78473.08</v>
      </c>
      <c r="E4706" t="s">
        <v>710</v>
      </c>
    </row>
    <row r="4707" spans="1:5" hidden="1" x14ac:dyDescent="0.3">
      <c r="A4707" t="s">
        <v>557</v>
      </c>
      <c r="B4707" t="s">
        <v>709</v>
      </c>
      <c r="C4707" t="s">
        <v>339</v>
      </c>
      <c r="D4707" s="230">
        <v>-16788.259999999998</v>
      </c>
      <c r="E4707" t="s">
        <v>710</v>
      </c>
    </row>
    <row r="4708" spans="1:5" hidden="1" x14ac:dyDescent="0.3">
      <c r="A4708" t="s">
        <v>557</v>
      </c>
      <c r="B4708" t="s">
        <v>709</v>
      </c>
      <c r="C4708" t="s">
        <v>342</v>
      </c>
      <c r="D4708" s="230">
        <v>-16788.259999999998</v>
      </c>
      <c r="E4708" t="s">
        <v>710</v>
      </c>
    </row>
    <row r="4709" spans="1:5" hidden="1" x14ac:dyDescent="0.3">
      <c r="A4709" t="s">
        <v>557</v>
      </c>
      <c r="B4709" t="s">
        <v>709</v>
      </c>
      <c r="C4709" t="s">
        <v>344</v>
      </c>
      <c r="D4709" s="230">
        <v>0</v>
      </c>
      <c r="E4709" t="s">
        <v>710</v>
      </c>
    </row>
    <row r="4710" spans="1:5" hidden="1" x14ac:dyDescent="0.3">
      <c r="A4710" t="s">
        <v>557</v>
      </c>
      <c r="B4710" t="s">
        <v>709</v>
      </c>
      <c r="C4710" t="s">
        <v>345</v>
      </c>
      <c r="D4710" s="230">
        <v>0</v>
      </c>
      <c r="E4710" t="s">
        <v>710</v>
      </c>
    </row>
    <row r="4711" spans="1:5" hidden="1" x14ac:dyDescent="0.3">
      <c r="A4711" t="s">
        <v>557</v>
      </c>
      <c r="B4711" t="s">
        <v>709</v>
      </c>
      <c r="C4711" t="s">
        <v>346</v>
      </c>
      <c r="D4711" s="230">
        <v>0</v>
      </c>
      <c r="E4711" t="s">
        <v>710</v>
      </c>
    </row>
    <row r="4712" spans="1:5" hidden="1" x14ac:dyDescent="0.3">
      <c r="A4712" t="s">
        <v>557</v>
      </c>
      <c r="B4712" t="s">
        <v>709</v>
      </c>
      <c r="C4712" t="s">
        <v>347</v>
      </c>
      <c r="D4712" s="230">
        <v>-95261.34</v>
      </c>
      <c r="E4712" t="s">
        <v>710</v>
      </c>
    </row>
    <row r="4713" spans="1:5" hidden="1" x14ac:dyDescent="0.3">
      <c r="A4713" t="s">
        <v>557</v>
      </c>
      <c r="B4713" t="s">
        <v>709</v>
      </c>
      <c r="C4713" t="s">
        <v>44</v>
      </c>
      <c r="D4713" s="230">
        <v>-0.27</v>
      </c>
      <c r="E4713" t="s">
        <v>710</v>
      </c>
    </row>
    <row r="4714" spans="1:5" hidden="1" x14ac:dyDescent="0.3">
      <c r="A4714" t="s">
        <v>557</v>
      </c>
      <c r="B4714" t="s">
        <v>709</v>
      </c>
      <c r="C4714" t="s">
        <v>348</v>
      </c>
      <c r="D4714" s="230">
        <v>0</v>
      </c>
      <c r="E4714" t="s">
        <v>710</v>
      </c>
    </row>
    <row r="4715" spans="1:5" hidden="1" x14ac:dyDescent="0.3">
      <c r="A4715" t="s">
        <v>557</v>
      </c>
      <c r="B4715" t="s">
        <v>709</v>
      </c>
      <c r="C4715" t="s">
        <v>707</v>
      </c>
      <c r="D4715" s="230">
        <v>0</v>
      </c>
      <c r="E4715" t="s">
        <v>710</v>
      </c>
    </row>
    <row r="4716" spans="1:5" hidden="1" x14ac:dyDescent="0.3">
      <c r="A4716" t="s">
        <v>557</v>
      </c>
      <c r="B4716" t="s">
        <v>709</v>
      </c>
      <c r="C4716" t="s">
        <v>350</v>
      </c>
      <c r="D4716" s="230">
        <v>0</v>
      </c>
      <c r="E4716" t="s">
        <v>710</v>
      </c>
    </row>
    <row r="4717" spans="1:5" hidden="1" x14ac:dyDescent="0.3">
      <c r="A4717" t="s">
        <v>557</v>
      </c>
      <c r="B4717" t="s">
        <v>709</v>
      </c>
      <c r="C4717" t="s">
        <v>351</v>
      </c>
      <c r="D4717" s="230">
        <v>0</v>
      </c>
      <c r="E4717" t="s">
        <v>710</v>
      </c>
    </row>
    <row r="4718" spans="1:5" hidden="1" x14ac:dyDescent="0.3">
      <c r="A4718" t="s">
        <v>557</v>
      </c>
      <c r="B4718" t="s">
        <v>709</v>
      </c>
      <c r="C4718" t="s">
        <v>352</v>
      </c>
      <c r="D4718" s="230">
        <v>0</v>
      </c>
      <c r="E4718" t="s">
        <v>710</v>
      </c>
    </row>
    <row r="4719" spans="1:5" hidden="1" x14ac:dyDescent="0.3">
      <c r="A4719" t="s">
        <v>557</v>
      </c>
      <c r="B4719" t="s">
        <v>709</v>
      </c>
      <c r="C4719" t="s">
        <v>353</v>
      </c>
      <c r="D4719" s="230">
        <v>0</v>
      </c>
      <c r="E4719" t="s">
        <v>710</v>
      </c>
    </row>
    <row r="4720" spans="1:5" hidden="1" x14ac:dyDescent="0.3">
      <c r="A4720" t="s">
        <v>557</v>
      </c>
      <c r="B4720" t="s">
        <v>709</v>
      </c>
      <c r="C4720" t="s">
        <v>354</v>
      </c>
      <c r="D4720" s="230">
        <v>0</v>
      </c>
      <c r="E4720" t="s">
        <v>710</v>
      </c>
    </row>
    <row r="4721" spans="1:5" hidden="1" x14ac:dyDescent="0.3">
      <c r="A4721" t="s">
        <v>557</v>
      </c>
      <c r="B4721" t="s">
        <v>709</v>
      </c>
      <c r="C4721" t="s">
        <v>355</v>
      </c>
      <c r="D4721" s="230">
        <v>0</v>
      </c>
      <c r="E4721" t="s">
        <v>710</v>
      </c>
    </row>
    <row r="4722" spans="1:5" hidden="1" x14ac:dyDescent="0.3">
      <c r="A4722" t="s">
        <v>557</v>
      </c>
      <c r="B4722" t="s">
        <v>709</v>
      </c>
      <c r="C4722" t="s">
        <v>356</v>
      </c>
      <c r="D4722" s="230">
        <v>0</v>
      </c>
      <c r="E4722" t="s">
        <v>710</v>
      </c>
    </row>
    <row r="4723" spans="1:5" hidden="1" x14ac:dyDescent="0.3">
      <c r="A4723" t="s">
        <v>557</v>
      </c>
      <c r="B4723" t="s">
        <v>709</v>
      </c>
      <c r="C4723" t="s">
        <v>357</v>
      </c>
      <c r="D4723" s="230">
        <v>0</v>
      </c>
      <c r="E4723" t="s">
        <v>710</v>
      </c>
    </row>
    <row r="4724" spans="1:5" hidden="1" x14ac:dyDescent="0.3">
      <c r="A4724" t="s">
        <v>557</v>
      </c>
      <c r="B4724" t="s">
        <v>709</v>
      </c>
      <c r="C4724" t="s">
        <v>358</v>
      </c>
      <c r="D4724" s="230">
        <v>0</v>
      </c>
      <c r="E4724" t="s">
        <v>710</v>
      </c>
    </row>
    <row r="4725" spans="1:5" hidden="1" x14ac:dyDescent="0.3">
      <c r="A4725" t="s">
        <v>557</v>
      </c>
      <c r="B4725" t="s">
        <v>709</v>
      </c>
      <c r="C4725" t="s">
        <v>359</v>
      </c>
      <c r="D4725" s="230">
        <v>0</v>
      </c>
      <c r="E4725" t="s">
        <v>710</v>
      </c>
    </row>
    <row r="4726" spans="1:5" hidden="1" x14ac:dyDescent="0.3">
      <c r="A4726" t="s">
        <v>557</v>
      </c>
      <c r="B4726" t="s">
        <v>709</v>
      </c>
      <c r="C4726" t="s">
        <v>360</v>
      </c>
      <c r="D4726" s="230">
        <v>0</v>
      </c>
      <c r="E4726" t="s">
        <v>710</v>
      </c>
    </row>
    <row r="4727" spans="1:5" hidden="1" x14ac:dyDescent="0.3">
      <c r="A4727" t="s">
        <v>557</v>
      </c>
      <c r="B4727" t="s">
        <v>709</v>
      </c>
      <c r="C4727" t="s">
        <v>361</v>
      </c>
      <c r="D4727" s="230">
        <v>0</v>
      </c>
      <c r="E4727" t="s">
        <v>710</v>
      </c>
    </row>
    <row r="4728" spans="1:5" hidden="1" x14ac:dyDescent="0.3">
      <c r="A4728" t="s">
        <v>557</v>
      </c>
      <c r="B4728" t="s">
        <v>709</v>
      </c>
      <c r="C4728" t="s">
        <v>362</v>
      </c>
      <c r="D4728" s="230">
        <v>0</v>
      </c>
      <c r="E4728" t="s">
        <v>710</v>
      </c>
    </row>
    <row r="4729" spans="1:5" hidden="1" x14ac:dyDescent="0.3">
      <c r="A4729" t="s">
        <v>557</v>
      </c>
      <c r="B4729" t="s">
        <v>709</v>
      </c>
      <c r="C4729" t="s">
        <v>363</v>
      </c>
      <c r="D4729" s="230">
        <v>0</v>
      </c>
      <c r="E4729" t="s">
        <v>710</v>
      </c>
    </row>
    <row r="4730" spans="1:5" hidden="1" x14ac:dyDescent="0.3">
      <c r="A4730" t="s">
        <v>557</v>
      </c>
      <c r="B4730" t="s">
        <v>709</v>
      </c>
      <c r="C4730" t="s">
        <v>364</v>
      </c>
      <c r="D4730" s="230">
        <v>0</v>
      </c>
      <c r="E4730" t="s">
        <v>710</v>
      </c>
    </row>
    <row r="4731" spans="1:5" hidden="1" x14ac:dyDescent="0.3">
      <c r="A4731" t="s">
        <v>557</v>
      </c>
      <c r="B4731" t="s">
        <v>709</v>
      </c>
      <c r="C4731" t="s">
        <v>365</v>
      </c>
      <c r="D4731" s="230">
        <v>0</v>
      </c>
      <c r="E4731" t="s">
        <v>710</v>
      </c>
    </row>
    <row r="4732" spans="1:5" hidden="1" x14ac:dyDescent="0.3">
      <c r="A4732" t="s">
        <v>557</v>
      </c>
      <c r="B4732" t="s">
        <v>709</v>
      </c>
      <c r="C4732" t="s">
        <v>366</v>
      </c>
      <c r="D4732" s="230">
        <v>0</v>
      </c>
      <c r="E4732" t="s">
        <v>710</v>
      </c>
    </row>
    <row r="4733" spans="1:5" hidden="1" x14ac:dyDescent="0.3">
      <c r="A4733" t="s">
        <v>557</v>
      </c>
      <c r="B4733" t="s">
        <v>709</v>
      </c>
      <c r="C4733" t="s">
        <v>367</v>
      </c>
      <c r="D4733" s="230">
        <v>0</v>
      </c>
      <c r="E4733" t="s">
        <v>710</v>
      </c>
    </row>
    <row r="4734" spans="1:5" hidden="1" x14ac:dyDescent="0.3">
      <c r="A4734" t="s">
        <v>557</v>
      </c>
      <c r="B4734" t="s">
        <v>709</v>
      </c>
      <c r="C4734" t="s">
        <v>368</v>
      </c>
      <c r="D4734" s="230">
        <v>0</v>
      </c>
      <c r="E4734" t="s">
        <v>710</v>
      </c>
    </row>
    <row r="4735" spans="1:5" hidden="1" x14ac:dyDescent="0.3">
      <c r="A4735" t="s">
        <v>557</v>
      </c>
      <c r="B4735" t="s">
        <v>709</v>
      </c>
      <c r="C4735" t="s">
        <v>369</v>
      </c>
      <c r="D4735" s="230">
        <v>0</v>
      </c>
      <c r="E4735" t="s">
        <v>710</v>
      </c>
    </row>
    <row r="4736" spans="1:5" hidden="1" x14ac:dyDescent="0.3">
      <c r="A4736" t="s">
        <v>557</v>
      </c>
      <c r="B4736" t="s">
        <v>709</v>
      </c>
      <c r="C4736" t="s">
        <v>370</v>
      </c>
      <c r="D4736" s="230">
        <v>0</v>
      </c>
      <c r="E4736" t="s">
        <v>710</v>
      </c>
    </row>
    <row r="4737" spans="1:5" hidden="1" x14ac:dyDescent="0.3">
      <c r="A4737" t="s">
        <v>557</v>
      </c>
      <c r="B4737" t="s">
        <v>709</v>
      </c>
      <c r="C4737" t="s">
        <v>371</v>
      </c>
      <c r="D4737" s="230">
        <v>0</v>
      </c>
      <c r="E4737" t="s">
        <v>710</v>
      </c>
    </row>
    <row r="4738" spans="1:5" hidden="1" x14ac:dyDescent="0.3">
      <c r="A4738" t="s">
        <v>557</v>
      </c>
      <c r="B4738" t="s">
        <v>709</v>
      </c>
      <c r="C4738" t="s">
        <v>372</v>
      </c>
      <c r="D4738" s="230">
        <v>0</v>
      </c>
      <c r="E4738" t="s">
        <v>710</v>
      </c>
    </row>
    <row r="4739" spans="1:5" hidden="1" x14ac:dyDescent="0.3">
      <c r="A4739" t="s">
        <v>557</v>
      </c>
      <c r="B4739" t="s">
        <v>709</v>
      </c>
      <c r="C4739" t="s">
        <v>373</v>
      </c>
      <c r="D4739" s="230">
        <v>0</v>
      </c>
      <c r="E4739" t="s">
        <v>710</v>
      </c>
    </row>
    <row r="4740" spans="1:5" hidden="1" x14ac:dyDescent="0.3">
      <c r="A4740" t="s">
        <v>557</v>
      </c>
      <c r="B4740" t="s">
        <v>709</v>
      </c>
      <c r="C4740" t="s">
        <v>374</v>
      </c>
      <c r="D4740" s="230">
        <v>0</v>
      </c>
      <c r="E4740" t="s">
        <v>710</v>
      </c>
    </row>
    <row r="4741" spans="1:5" hidden="1" x14ac:dyDescent="0.3">
      <c r="A4741" t="s">
        <v>557</v>
      </c>
      <c r="B4741" t="s">
        <v>709</v>
      </c>
      <c r="C4741" t="s">
        <v>708</v>
      </c>
      <c r="D4741" s="230">
        <v>0</v>
      </c>
      <c r="E4741" t="s">
        <v>710</v>
      </c>
    </row>
    <row r="4742" spans="1:5" hidden="1" x14ac:dyDescent="0.3">
      <c r="A4742" t="s">
        <v>557</v>
      </c>
      <c r="B4742" t="s">
        <v>711</v>
      </c>
      <c r="C4742" t="s">
        <v>11</v>
      </c>
      <c r="D4742" s="230">
        <v>461385.85</v>
      </c>
      <c r="E4742" t="s">
        <v>712</v>
      </c>
    </row>
    <row r="4743" spans="1:5" hidden="1" x14ac:dyDescent="0.3">
      <c r="A4743" t="s">
        <v>557</v>
      </c>
      <c r="B4743" t="s">
        <v>711</v>
      </c>
      <c r="C4743" t="s">
        <v>13</v>
      </c>
      <c r="D4743" s="230">
        <v>218210.2</v>
      </c>
      <c r="E4743" t="s">
        <v>712</v>
      </c>
    </row>
    <row r="4744" spans="1:5" hidden="1" x14ac:dyDescent="0.3">
      <c r="A4744" t="s">
        <v>557</v>
      </c>
      <c r="B4744" t="s">
        <v>711</v>
      </c>
      <c r="C4744" t="s">
        <v>16</v>
      </c>
      <c r="D4744" s="230">
        <v>133100.5</v>
      </c>
      <c r="E4744" t="s">
        <v>712</v>
      </c>
    </row>
    <row r="4745" spans="1:5" hidden="1" x14ac:dyDescent="0.3">
      <c r="A4745" t="s">
        <v>557</v>
      </c>
      <c r="B4745" t="s">
        <v>711</v>
      </c>
      <c r="C4745" t="s">
        <v>17</v>
      </c>
      <c r="D4745" s="230">
        <v>10720</v>
      </c>
      <c r="E4745" t="s">
        <v>712</v>
      </c>
    </row>
    <row r="4746" spans="1:5" hidden="1" x14ac:dyDescent="0.3">
      <c r="A4746" t="s">
        <v>557</v>
      </c>
      <c r="B4746" t="s">
        <v>711</v>
      </c>
      <c r="C4746" t="s">
        <v>18</v>
      </c>
      <c r="D4746" s="230">
        <v>125</v>
      </c>
      <c r="E4746" t="s">
        <v>712</v>
      </c>
    </row>
    <row r="4747" spans="1:5" hidden="1" x14ac:dyDescent="0.3">
      <c r="A4747" t="s">
        <v>557</v>
      </c>
      <c r="B4747" t="s">
        <v>711</v>
      </c>
      <c r="C4747" t="s">
        <v>20</v>
      </c>
      <c r="D4747" s="230">
        <v>46132.15</v>
      </c>
      <c r="E4747" t="s">
        <v>712</v>
      </c>
    </row>
    <row r="4748" spans="1:5" hidden="1" x14ac:dyDescent="0.3">
      <c r="A4748" t="s">
        <v>557</v>
      </c>
      <c r="B4748" t="s">
        <v>711</v>
      </c>
      <c r="C4748" t="s">
        <v>23</v>
      </c>
      <c r="D4748" s="230">
        <v>37389.050000000003</v>
      </c>
      <c r="E4748" t="s">
        <v>712</v>
      </c>
    </row>
    <row r="4749" spans="1:5" hidden="1" x14ac:dyDescent="0.3">
      <c r="A4749" t="s">
        <v>557</v>
      </c>
      <c r="B4749" t="s">
        <v>711</v>
      </c>
      <c r="C4749" t="s">
        <v>25</v>
      </c>
      <c r="D4749" s="230">
        <v>900</v>
      </c>
      <c r="E4749" t="s">
        <v>712</v>
      </c>
    </row>
    <row r="4750" spans="1:5" hidden="1" x14ac:dyDescent="0.3">
      <c r="A4750" t="s">
        <v>557</v>
      </c>
      <c r="B4750" t="s">
        <v>711</v>
      </c>
      <c r="C4750" t="s">
        <v>26</v>
      </c>
      <c r="D4750" s="230">
        <v>14300</v>
      </c>
      <c r="E4750" t="s">
        <v>712</v>
      </c>
    </row>
    <row r="4751" spans="1:5" hidden="1" x14ac:dyDescent="0.3">
      <c r="A4751" t="s">
        <v>557</v>
      </c>
      <c r="B4751" t="s">
        <v>711</v>
      </c>
      <c r="C4751" t="s">
        <v>27</v>
      </c>
      <c r="D4751" s="230">
        <v>0</v>
      </c>
      <c r="E4751" t="s">
        <v>712</v>
      </c>
    </row>
    <row r="4752" spans="1:5" hidden="1" x14ac:dyDescent="0.3">
      <c r="A4752" t="s">
        <v>557</v>
      </c>
      <c r="B4752" t="s">
        <v>711</v>
      </c>
      <c r="C4752" t="s">
        <v>29</v>
      </c>
      <c r="D4752" s="230">
        <v>508.95</v>
      </c>
      <c r="E4752" t="s">
        <v>712</v>
      </c>
    </row>
    <row r="4753" spans="1:5" hidden="1" x14ac:dyDescent="0.3">
      <c r="A4753" t="s">
        <v>557</v>
      </c>
      <c r="B4753" t="s">
        <v>711</v>
      </c>
      <c r="C4753" t="s">
        <v>31</v>
      </c>
      <c r="D4753" s="230">
        <v>0</v>
      </c>
      <c r="E4753" t="s">
        <v>712</v>
      </c>
    </row>
    <row r="4754" spans="1:5" hidden="1" x14ac:dyDescent="0.3">
      <c r="A4754" t="s">
        <v>557</v>
      </c>
      <c r="B4754" t="s">
        <v>711</v>
      </c>
      <c r="C4754" t="s">
        <v>34</v>
      </c>
      <c r="D4754" s="230">
        <v>-14198.16</v>
      </c>
      <c r="E4754" t="s">
        <v>712</v>
      </c>
    </row>
    <row r="4755" spans="1:5" hidden="1" x14ac:dyDescent="0.3">
      <c r="A4755" t="s">
        <v>557</v>
      </c>
      <c r="B4755" t="s">
        <v>711</v>
      </c>
      <c r="C4755" t="s">
        <v>38</v>
      </c>
      <c r="D4755" s="230">
        <v>-14198.16</v>
      </c>
      <c r="E4755" t="s">
        <v>712</v>
      </c>
    </row>
    <row r="4756" spans="1:5" hidden="1" x14ac:dyDescent="0.3">
      <c r="A4756" t="s">
        <v>557</v>
      </c>
      <c r="B4756" t="s">
        <v>711</v>
      </c>
      <c r="C4756" t="s">
        <v>40</v>
      </c>
      <c r="D4756" s="230">
        <v>0</v>
      </c>
      <c r="E4756" t="s">
        <v>712</v>
      </c>
    </row>
    <row r="4757" spans="1:5" hidden="1" x14ac:dyDescent="0.3">
      <c r="A4757" t="s">
        <v>557</v>
      </c>
      <c r="B4757" t="s">
        <v>711</v>
      </c>
      <c r="C4757" t="s">
        <v>42</v>
      </c>
      <c r="D4757" s="230">
        <v>0</v>
      </c>
      <c r="E4757" t="s">
        <v>712</v>
      </c>
    </row>
    <row r="4758" spans="1:5" hidden="1" x14ac:dyDescent="0.3">
      <c r="A4758" t="s">
        <v>557</v>
      </c>
      <c r="B4758" t="s">
        <v>711</v>
      </c>
      <c r="C4758" t="s">
        <v>44</v>
      </c>
      <c r="D4758" s="230">
        <v>-0.03</v>
      </c>
      <c r="E4758" t="s">
        <v>712</v>
      </c>
    </row>
    <row r="4759" spans="1:5" hidden="1" x14ac:dyDescent="0.3">
      <c r="A4759" t="s">
        <v>557</v>
      </c>
      <c r="B4759" t="s">
        <v>711</v>
      </c>
      <c r="C4759" t="s">
        <v>45</v>
      </c>
      <c r="D4759" s="230">
        <v>-28681.31</v>
      </c>
      <c r="E4759" t="s">
        <v>712</v>
      </c>
    </row>
    <row r="4760" spans="1:5" hidden="1" x14ac:dyDescent="0.3">
      <c r="A4760" t="s">
        <v>557</v>
      </c>
      <c r="B4760" t="s">
        <v>711</v>
      </c>
      <c r="C4760" t="s">
        <v>46</v>
      </c>
      <c r="D4760" s="230">
        <v>-14638.53</v>
      </c>
      <c r="E4760" t="s">
        <v>712</v>
      </c>
    </row>
    <row r="4761" spans="1:5" hidden="1" x14ac:dyDescent="0.3">
      <c r="A4761" t="s">
        <v>557</v>
      </c>
      <c r="B4761" t="s">
        <v>711</v>
      </c>
      <c r="C4761" t="s">
        <v>48</v>
      </c>
      <c r="D4761" s="230">
        <v>-11637.33</v>
      </c>
      <c r="E4761" t="s">
        <v>712</v>
      </c>
    </row>
    <row r="4762" spans="1:5" hidden="1" x14ac:dyDescent="0.3">
      <c r="A4762" t="s">
        <v>557</v>
      </c>
      <c r="B4762" t="s">
        <v>711</v>
      </c>
      <c r="C4762" t="s">
        <v>49</v>
      </c>
      <c r="D4762" s="230">
        <v>-2405.4499999999998</v>
      </c>
      <c r="E4762" t="s">
        <v>712</v>
      </c>
    </row>
    <row r="4763" spans="1:5" hidden="1" x14ac:dyDescent="0.3">
      <c r="A4763" t="s">
        <v>557</v>
      </c>
      <c r="B4763" t="s">
        <v>711</v>
      </c>
      <c r="C4763" t="s">
        <v>50</v>
      </c>
      <c r="D4763" s="230">
        <v>418506.38</v>
      </c>
      <c r="E4763" t="s">
        <v>712</v>
      </c>
    </row>
    <row r="4764" spans="1:5" hidden="1" x14ac:dyDescent="0.3">
      <c r="A4764" t="s">
        <v>557</v>
      </c>
      <c r="B4764" t="s">
        <v>711</v>
      </c>
      <c r="C4764" t="s">
        <v>51</v>
      </c>
      <c r="D4764" s="230">
        <v>-121738.84</v>
      </c>
      <c r="E4764" t="s">
        <v>712</v>
      </c>
    </row>
    <row r="4765" spans="1:5" hidden="1" x14ac:dyDescent="0.3">
      <c r="A4765" t="s">
        <v>557</v>
      </c>
      <c r="B4765" t="s">
        <v>711</v>
      </c>
      <c r="C4765" t="s">
        <v>52</v>
      </c>
      <c r="D4765" s="230">
        <v>-90453.63</v>
      </c>
      <c r="E4765" t="s">
        <v>712</v>
      </c>
    </row>
    <row r="4766" spans="1:5" hidden="1" x14ac:dyDescent="0.3">
      <c r="A4766" t="s">
        <v>557</v>
      </c>
      <c r="B4766" t="s">
        <v>711</v>
      </c>
      <c r="C4766" t="s">
        <v>53</v>
      </c>
      <c r="D4766" s="230">
        <v>-31285.21</v>
      </c>
      <c r="E4766" t="s">
        <v>712</v>
      </c>
    </row>
    <row r="4767" spans="1:5" hidden="1" x14ac:dyDescent="0.3">
      <c r="A4767" t="s">
        <v>557</v>
      </c>
      <c r="B4767" t="s">
        <v>711</v>
      </c>
      <c r="C4767" t="s">
        <v>54</v>
      </c>
      <c r="D4767" s="230">
        <v>0</v>
      </c>
      <c r="E4767" t="s">
        <v>712</v>
      </c>
    </row>
    <row r="4768" spans="1:5" hidden="1" x14ac:dyDescent="0.3">
      <c r="A4768" t="s">
        <v>557</v>
      </c>
      <c r="B4768" t="s">
        <v>711</v>
      </c>
      <c r="C4768" t="s">
        <v>23</v>
      </c>
      <c r="D4768" s="230">
        <v>0</v>
      </c>
      <c r="E4768" t="s">
        <v>712</v>
      </c>
    </row>
    <row r="4769" spans="1:5" hidden="1" x14ac:dyDescent="0.3">
      <c r="A4769" t="s">
        <v>557</v>
      </c>
      <c r="B4769" t="s">
        <v>711</v>
      </c>
      <c r="C4769" t="s">
        <v>44</v>
      </c>
      <c r="D4769" s="230">
        <v>-0.31</v>
      </c>
      <c r="E4769" t="s">
        <v>712</v>
      </c>
    </row>
    <row r="4770" spans="1:5" hidden="1" x14ac:dyDescent="0.3">
      <c r="A4770" t="s">
        <v>557</v>
      </c>
      <c r="B4770" t="s">
        <v>711</v>
      </c>
      <c r="C4770" t="s">
        <v>55</v>
      </c>
      <c r="D4770" s="230">
        <v>-0.28999999999999998</v>
      </c>
      <c r="E4770" t="s">
        <v>712</v>
      </c>
    </row>
    <row r="4771" spans="1:5" hidden="1" x14ac:dyDescent="0.3">
      <c r="A4771" t="s">
        <v>557</v>
      </c>
      <c r="B4771" t="s">
        <v>711</v>
      </c>
      <c r="C4771" t="s">
        <v>56</v>
      </c>
      <c r="D4771" s="230">
        <v>-11139.64</v>
      </c>
      <c r="E4771" t="s">
        <v>712</v>
      </c>
    </row>
    <row r="4772" spans="1:5" hidden="1" x14ac:dyDescent="0.3">
      <c r="A4772" t="s">
        <v>557</v>
      </c>
      <c r="B4772" t="s">
        <v>711</v>
      </c>
      <c r="C4772" t="s">
        <v>57</v>
      </c>
      <c r="D4772" s="230">
        <v>-11139.64</v>
      </c>
      <c r="E4772" t="s">
        <v>712</v>
      </c>
    </row>
    <row r="4773" spans="1:5" hidden="1" x14ac:dyDescent="0.3">
      <c r="A4773" t="s">
        <v>557</v>
      </c>
      <c r="B4773" t="s">
        <v>711</v>
      </c>
      <c r="C4773" t="s">
        <v>58</v>
      </c>
      <c r="D4773" s="230">
        <v>-10622.8</v>
      </c>
      <c r="E4773" t="s">
        <v>712</v>
      </c>
    </row>
    <row r="4774" spans="1:5" hidden="1" x14ac:dyDescent="0.3">
      <c r="A4774" t="s">
        <v>557</v>
      </c>
      <c r="B4774" t="s">
        <v>711</v>
      </c>
      <c r="C4774" t="s">
        <v>59</v>
      </c>
      <c r="D4774" s="230">
        <v>-516.84</v>
      </c>
      <c r="E4774" t="s">
        <v>712</v>
      </c>
    </row>
    <row r="4775" spans="1:5" hidden="1" x14ac:dyDescent="0.3">
      <c r="A4775" t="s">
        <v>557</v>
      </c>
      <c r="B4775" t="s">
        <v>711</v>
      </c>
      <c r="C4775" t="s">
        <v>61</v>
      </c>
      <c r="D4775" s="230">
        <v>0</v>
      </c>
      <c r="E4775" t="s">
        <v>712</v>
      </c>
    </row>
    <row r="4776" spans="1:5" hidden="1" x14ac:dyDescent="0.3">
      <c r="A4776" t="s">
        <v>557</v>
      </c>
      <c r="B4776" t="s">
        <v>711</v>
      </c>
      <c r="C4776" t="s">
        <v>62</v>
      </c>
      <c r="D4776" s="230">
        <v>0</v>
      </c>
      <c r="E4776" t="s">
        <v>712</v>
      </c>
    </row>
    <row r="4777" spans="1:5" hidden="1" x14ac:dyDescent="0.3">
      <c r="A4777" t="s">
        <v>557</v>
      </c>
      <c r="B4777" t="s">
        <v>711</v>
      </c>
      <c r="C4777" t="s">
        <v>64</v>
      </c>
      <c r="D4777" s="230">
        <v>0</v>
      </c>
      <c r="E4777" t="s">
        <v>712</v>
      </c>
    </row>
    <row r="4778" spans="1:5" hidden="1" x14ac:dyDescent="0.3">
      <c r="A4778" t="s">
        <v>557</v>
      </c>
      <c r="B4778" t="s">
        <v>711</v>
      </c>
      <c r="C4778" t="s">
        <v>65</v>
      </c>
      <c r="D4778" s="230">
        <v>0</v>
      </c>
      <c r="E4778" t="s">
        <v>712</v>
      </c>
    </row>
    <row r="4779" spans="1:5" hidden="1" x14ac:dyDescent="0.3">
      <c r="A4779" t="s">
        <v>557</v>
      </c>
      <c r="B4779" t="s">
        <v>711</v>
      </c>
      <c r="C4779" t="s">
        <v>66</v>
      </c>
      <c r="D4779" s="230">
        <v>0</v>
      </c>
      <c r="E4779" t="s">
        <v>712</v>
      </c>
    </row>
    <row r="4780" spans="1:5" hidden="1" x14ac:dyDescent="0.3">
      <c r="A4780" t="s">
        <v>557</v>
      </c>
      <c r="B4780" t="s">
        <v>711</v>
      </c>
      <c r="C4780" t="s">
        <v>68</v>
      </c>
      <c r="D4780" s="230">
        <v>0</v>
      </c>
      <c r="E4780" t="s">
        <v>712</v>
      </c>
    </row>
    <row r="4781" spans="1:5" hidden="1" x14ac:dyDescent="0.3">
      <c r="A4781" t="s">
        <v>557</v>
      </c>
      <c r="B4781" t="s">
        <v>711</v>
      </c>
      <c r="C4781" t="s">
        <v>69</v>
      </c>
      <c r="D4781" s="230">
        <v>0</v>
      </c>
      <c r="E4781" t="s">
        <v>712</v>
      </c>
    </row>
    <row r="4782" spans="1:5" hidden="1" x14ac:dyDescent="0.3">
      <c r="A4782" t="s">
        <v>557</v>
      </c>
      <c r="B4782" t="s">
        <v>711</v>
      </c>
      <c r="C4782" t="s">
        <v>70</v>
      </c>
      <c r="D4782" s="230">
        <v>-1.04</v>
      </c>
      <c r="E4782" t="s">
        <v>712</v>
      </c>
    </row>
    <row r="4783" spans="1:5" hidden="1" x14ac:dyDescent="0.3">
      <c r="A4783" t="s">
        <v>557</v>
      </c>
      <c r="B4783" t="s">
        <v>711</v>
      </c>
      <c r="C4783" t="s">
        <v>44</v>
      </c>
      <c r="D4783" s="230">
        <v>-0.02</v>
      </c>
      <c r="E4783" t="s">
        <v>712</v>
      </c>
    </row>
    <row r="4784" spans="1:5" hidden="1" x14ac:dyDescent="0.3">
      <c r="A4784" t="s">
        <v>557</v>
      </c>
      <c r="B4784" t="s">
        <v>711</v>
      </c>
      <c r="C4784" t="s">
        <v>71</v>
      </c>
      <c r="D4784" s="230">
        <v>0</v>
      </c>
      <c r="E4784" t="s">
        <v>712</v>
      </c>
    </row>
    <row r="4785" spans="1:5" hidden="1" x14ac:dyDescent="0.3">
      <c r="A4785" t="s">
        <v>557</v>
      </c>
      <c r="B4785" t="s">
        <v>711</v>
      </c>
      <c r="C4785" t="s">
        <v>72</v>
      </c>
      <c r="D4785" s="230">
        <v>0</v>
      </c>
      <c r="E4785" t="s">
        <v>712</v>
      </c>
    </row>
    <row r="4786" spans="1:5" hidden="1" x14ac:dyDescent="0.3">
      <c r="A4786" t="s">
        <v>557</v>
      </c>
      <c r="B4786" t="s">
        <v>711</v>
      </c>
      <c r="C4786" t="s">
        <v>73</v>
      </c>
      <c r="D4786" s="230">
        <v>0</v>
      </c>
      <c r="E4786" t="s">
        <v>712</v>
      </c>
    </row>
    <row r="4787" spans="1:5" hidden="1" x14ac:dyDescent="0.3">
      <c r="A4787" t="s">
        <v>557</v>
      </c>
      <c r="B4787" t="s">
        <v>711</v>
      </c>
      <c r="C4787" t="s">
        <v>75</v>
      </c>
      <c r="D4787" s="230">
        <v>0</v>
      </c>
      <c r="E4787" t="s">
        <v>712</v>
      </c>
    </row>
    <row r="4788" spans="1:5" hidden="1" x14ac:dyDescent="0.3">
      <c r="A4788" t="s">
        <v>557</v>
      </c>
      <c r="B4788" t="s">
        <v>711</v>
      </c>
      <c r="C4788" t="s">
        <v>77</v>
      </c>
      <c r="D4788" s="230">
        <v>0</v>
      </c>
      <c r="E4788" t="s">
        <v>712</v>
      </c>
    </row>
    <row r="4789" spans="1:5" hidden="1" x14ac:dyDescent="0.3">
      <c r="A4789" t="s">
        <v>557</v>
      </c>
      <c r="B4789" t="s">
        <v>711</v>
      </c>
      <c r="C4789" t="s">
        <v>78</v>
      </c>
      <c r="D4789" s="230">
        <v>0</v>
      </c>
      <c r="E4789" t="s">
        <v>712</v>
      </c>
    </row>
    <row r="4790" spans="1:5" hidden="1" x14ac:dyDescent="0.3">
      <c r="A4790" t="s">
        <v>557</v>
      </c>
      <c r="B4790" t="s">
        <v>711</v>
      </c>
      <c r="C4790" t="s">
        <v>80</v>
      </c>
      <c r="D4790" s="230">
        <v>0</v>
      </c>
      <c r="E4790" t="s">
        <v>712</v>
      </c>
    </row>
    <row r="4791" spans="1:5" hidden="1" x14ac:dyDescent="0.3">
      <c r="A4791" t="s">
        <v>557</v>
      </c>
      <c r="B4791" t="s">
        <v>711</v>
      </c>
      <c r="C4791" t="s">
        <v>82</v>
      </c>
      <c r="D4791" s="230">
        <v>0</v>
      </c>
      <c r="E4791" t="s">
        <v>712</v>
      </c>
    </row>
    <row r="4792" spans="1:5" hidden="1" x14ac:dyDescent="0.3">
      <c r="A4792" t="s">
        <v>557</v>
      </c>
      <c r="B4792" t="s">
        <v>711</v>
      </c>
      <c r="C4792" t="s">
        <v>84</v>
      </c>
      <c r="D4792" s="230">
        <v>0</v>
      </c>
      <c r="E4792" t="s">
        <v>712</v>
      </c>
    </row>
    <row r="4793" spans="1:5" hidden="1" x14ac:dyDescent="0.3">
      <c r="A4793" t="s">
        <v>557</v>
      </c>
      <c r="B4793" t="s">
        <v>711</v>
      </c>
      <c r="C4793" t="s">
        <v>85</v>
      </c>
      <c r="D4793" s="230">
        <v>0</v>
      </c>
      <c r="E4793" t="s">
        <v>712</v>
      </c>
    </row>
    <row r="4794" spans="1:5" hidden="1" x14ac:dyDescent="0.3">
      <c r="A4794" t="s">
        <v>557</v>
      </c>
      <c r="B4794" t="s">
        <v>711</v>
      </c>
      <c r="C4794" t="s">
        <v>86</v>
      </c>
      <c r="D4794" s="230">
        <v>0</v>
      </c>
      <c r="E4794" t="s">
        <v>712</v>
      </c>
    </row>
    <row r="4795" spans="1:5" hidden="1" x14ac:dyDescent="0.3">
      <c r="A4795" t="s">
        <v>557</v>
      </c>
      <c r="B4795" t="s">
        <v>711</v>
      </c>
      <c r="C4795" t="s">
        <v>87</v>
      </c>
      <c r="D4795" s="230">
        <v>0</v>
      </c>
      <c r="E4795" t="s">
        <v>712</v>
      </c>
    </row>
    <row r="4796" spans="1:5" hidden="1" x14ac:dyDescent="0.3">
      <c r="A4796" t="s">
        <v>557</v>
      </c>
      <c r="B4796" t="s">
        <v>711</v>
      </c>
      <c r="C4796" t="s">
        <v>88</v>
      </c>
      <c r="D4796" s="230">
        <v>0</v>
      </c>
      <c r="E4796" t="s">
        <v>712</v>
      </c>
    </row>
    <row r="4797" spans="1:5" hidden="1" x14ac:dyDescent="0.3">
      <c r="A4797" t="s">
        <v>557</v>
      </c>
      <c r="B4797" t="s">
        <v>711</v>
      </c>
      <c r="C4797" t="s">
        <v>89</v>
      </c>
      <c r="D4797" s="230">
        <v>0</v>
      </c>
      <c r="E4797" t="s">
        <v>712</v>
      </c>
    </row>
    <row r="4798" spans="1:5" hidden="1" x14ac:dyDescent="0.3">
      <c r="A4798" t="s">
        <v>557</v>
      </c>
      <c r="B4798" t="s">
        <v>711</v>
      </c>
      <c r="C4798" t="s">
        <v>90</v>
      </c>
      <c r="D4798" s="230">
        <v>0</v>
      </c>
      <c r="E4798" t="s">
        <v>712</v>
      </c>
    </row>
    <row r="4799" spans="1:5" hidden="1" x14ac:dyDescent="0.3">
      <c r="A4799" t="s">
        <v>557</v>
      </c>
      <c r="B4799" t="s">
        <v>711</v>
      </c>
      <c r="C4799" t="s">
        <v>91</v>
      </c>
      <c r="D4799" s="230">
        <v>0</v>
      </c>
      <c r="E4799" t="s">
        <v>712</v>
      </c>
    </row>
    <row r="4800" spans="1:5" hidden="1" x14ac:dyDescent="0.3">
      <c r="A4800" t="s">
        <v>557</v>
      </c>
      <c r="B4800" t="s">
        <v>711</v>
      </c>
      <c r="C4800" t="s">
        <v>93</v>
      </c>
      <c r="D4800" s="230">
        <v>0</v>
      </c>
      <c r="E4800" t="s">
        <v>712</v>
      </c>
    </row>
    <row r="4801" spans="1:5" hidden="1" x14ac:dyDescent="0.3">
      <c r="A4801" t="s">
        <v>557</v>
      </c>
      <c r="B4801" t="s">
        <v>711</v>
      </c>
      <c r="C4801" t="s">
        <v>95</v>
      </c>
      <c r="D4801" s="230">
        <v>0</v>
      </c>
      <c r="E4801" t="s">
        <v>712</v>
      </c>
    </row>
    <row r="4802" spans="1:5" hidden="1" x14ac:dyDescent="0.3">
      <c r="A4802" t="s">
        <v>557</v>
      </c>
      <c r="B4802" t="s">
        <v>711</v>
      </c>
      <c r="C4802" t="s">
        <v>96</v>
      </c>
      <c r="D4802" s="230">
        <v>0</v>
      </c>
      <c r="E4802" t="s">
        <v>712</v>
      </c>
    </row>
    <row r="4803" spans="1:5" hidden="1" x14ac:dyDescent="0.3">
      <c r="A4803" t="s">
        <v>557</v>
      </c>
      <c r="B4803" t="s">
        <v>711</v>
      </c>
      <c r="C4803" t="s">
        <v>98</v>
      </c>
      <c r="D4803" s="230">
        <v>0</v>
      </c>
      <c r="E4803" t="s">
        <v>712</v>
      </c>
    </row>
    <row r="4804" spans="1:5" hidden="1" x14ac:dyDescent="0.3">
      <c r="A4804" t="s">
        <v>557</v>
      </c>
      <c r="B4804" t="s">
        <v>711</v>
      </c>
      <c r="C4804" t="s">
        <v>100</v>
      </c>
      <c r="D4804" s="230">
        <v>0</v>
      </c>
      <c r="E4804" t="s">
        <v>712</v>
      </c>
    </row>
    <row r="4805" spans="1:5" hidden="1" x14ac:dyDescent="0.3">
      <c r="A4805" t="s">
        <v>557</v>
      </c>
      <c r="B4805" t="s">
        <v>711</v>
      </c>
      <c r="C4805" t="s">
        <v>101</v>
      </c>
      <c r="D4805" s="230">
        <v>0</v>
      </c>
      <c r="E4805" t="s">
        <v>712</v>
      </c>
    </row>
    <row r="4806" spans="1:5" hidden="1" x14ac:dyDescent="0.3">
      <c r="A4806" t="s">
        <v>557</v>
      </c>
      <c r="B4806" t="s">
        <v>711</v>
      </c>
      <c r="C4806" t="s">
        <v>102</v>
      </c>
      <c r="D4806" s="230">
        <v>0</v>
      </c>
      <c r="E4806" t="s">
        <v>712</v>
      </c>
    </row>
    <row r="4807" spans="1:5" hidden="1" x14ac:dyDescent="0.3">
      <c r="A4807" t="s">
        <v>557</v>
      </c>
      <c r="B4807" t="s">
        <v>711</v>
      </c>
      <c r="C4807" t="s">
        <v>103</v>
      </c>
      <c r="D4807" s="230">
        <v>0</v>
      </c>
      <c r="E4807" t="s">
        <v>712</v>
      </c>
    </row>
    <row r="4808" spans="1:5" hidden="1" x14ac:dyDescent="0.3">
      <c r="A4808" t="s">
        <v>557</v>
      </c>
      <c r="B4808" t="s">
        <v>711</v>
      </c>
      <c r="C4808" t="s">
        <v>104</v>
      </c>
      <c r="D4808" s="230">
        <v>0</v>
      </c>
      <c r="E4808" t="s">
        <v>712</v>
      </c>
    </row>
    <row r="4809" spans="1:5" hidden="1" x14ac:dyDescent="0.3">
      <c r="A4809" t="s">
        <v>557</v>
      </c>
      <c r="B4809" t="s">
        <v>711</v>
      </c>
      <c r="C4809" t="s">
        <v>105</v>
      </c>
      <c r="D4809" s="230">
        <v>0</v>
      </c>
      <c r="E4809" t="s">
        <v>712</v>
      </c>
    </row>
    <row r="4810" spans="1:5" hidden="1" x14ac:dyDescent="0.3">
      <c r="A4810" t="s">
        <v>557</v>
      </c>
      <c r="B4810" t="s">
        <v>711</v>
      </c>
      <c r="C4810" t="s">
        <v>107</v>
      </c>
      <c r="D4810" s="230">
        <v>0</v>
      </c>
      <c r="E4810" t="s">
        <v>712</v>
      </c>
    </row>
    <row r="4811" spans="1:5" hidden="1" x14ac:dyDescent="0.3">
      <c r="A4811" t="s">
        <v>557</v>
      </c>
      <c r="B4811" t="s">
        <v>711</v>
      </c>
      <c r="C4811" t="s">
        <v>108</v>
      </c>
      <c r="D4811" s="230">
        <v>0</v>
      </c>
      <c r="E4811" t="s">
        <v>712</v>
      </c>
    </row>
    <row r="4812" spans="1:5" hidden="1" x14ac:dyDescent="0.3">
      <c r="A4812" t="s">
        <v>557</v>
      </c>
      <c r="B4812" t="s">
        <v>711</v>
      </c>
      <c r="C4812" t="s">
        <v>109</v>
      </c>
      <c r="D4812" s="230">
        <v>0</v>
      </c>
      <c r="E4812" t="s">
        <v>712</v>
      </c>
    </row>
    <row r="4813" spans="1:5" hidden="1" x14ac:dyDescent="0.3">
      <c r="A4813" t="s">
        <v>557</v>
      </c>
      <c r="B4813" t="s">
        <v>711</v>
      </c>
      <c r="C4813" t="s">
        <v>110</v>
      </c>
      <c r="D4813" s="230">
        <v>0</v>
      </c>
      <c r="E4813" t="s">
        <v>712</v>
      </c>
    </row>
    <row r="4814" spans="1:5" hidden="1" x14ac:dyDescent="0.3">
      <c r="A4814" t="s">
        <v>557</v>
      </c>
      <c r="B4814" t="s">
        <v>711</v>
      </c>
      <c r="C4814" t="s">
        <v>44</v>
      </c>
      <c r="D4814" s="230">
        <v>0</v>
      </c>
      <c r="E4814" t="s">
        <v>712</v>
      </c>
    </row>
    <row r="4815" spans="1:5" hidden="1" x14ac:dyDescent="0.3">
      <c r="A4815" t="s">
        <v>557</v>
      </c>
      <c r="B4815" t="s">
        <v>711</v>
      </c>
      <c r="C4815" t="s">
        <v>111</v>
      </c>
      <c r="D4815" s="230">
        <v>-33027.599999999999</v>
      </c>
      <c r="E4815" t="s">
        <v>712</v>
      </c>
    </row>
    <row r="4816" spans="1:5" hidden="1" x14ac:dyDescent="0.3">
      <c r="A4816" t="s">
        <v>557</v>
      </c>
      <c r="B4816" t="s">
        <v>711</v>
      </c>
      <c r="C4816" t="s">
        <v>608</v>
      </c>
      <c r="D4816" s="230">
        <v>-33027.599999999999</v>
      </c>
      <c r="E4816" t="s">
        <v>712</v>
      </c>
    </row>
    <row r="4817" spans="1:5" hidden="1" x14ac:dyDescent="0.3">
      <c r="A4817" t="s">
        <v>557</v>
      </c>
      <c r="B4817" t="s">
        <v>711</v>
      </c>
      <c r="C4817" t="s">
        <v>44</v>
      </c>
      <c r="D4817" s="230">
        <v>-7.0000000000000007E-2</v>
      </c>
      <c r="E4817" t="s">
        <v>712</v>
      </c>
    </row>
    <row r="4818" spans="1:5" hidden="1" x14ac:dyDescent="0.3">
      <c r="A4818" t="s">
        <v>557</v>
      </c>
      <c r="B4818" t="s">
        <v>711</v>
      </c>
      <c r="C4818" t="s">
        <v>115</v>
      </c>
      <c r="D4818" s="230">
        <v>-8567</v>
      </c>
      <c r="E4818" t="s">
        <v>712</v>
      </c>
    </row>
    <row r="4819" spans="1:5" hidden="1" x14ac:dyDescent="0.3">
      <c r="A4819" t="s">
        <v>557</v>
      </c>
      <c r="B4819" t="s">
        <v>711</v>
      </c>
      <c r="C4819" t="s">
        <v>116</v>
      </c>
      <c r="D4819" s="230">
        <v>-7790.88</v>
      </c>
      <c r="E4819" t="s">
        <v>712</v>
      </c>
    </row>
    <row r="4820" spans="1:5" hidden="1" x14ac:dyDescent="0.3">
      <c r="A4820" t="s">
        <v>557</v>
      </c>
      <c r="B4820" t="s">
        <v>711</v>
      </c>
      <c r="C4820" t="s">
        <v>118</v>
      </c>
      <c r="D4820" s="230">
        <v>0</v>
      </c>
      <c r="E4820" t="s">
        <v>712</v>
      </c>
    </row>
    <row r="4821" spans="1:5" hidden="1" x14ac:dyDescent="0.3">
      <c r="A4821" t="s">
        <v>557</v>
      </c>
      <c r="B4821" t="s">
        <v>711</v>
      </c>
      <c r="C4821" t="s">
        <v>120</v>
      </c>
      <c r="D4821" s="230">
        <v>0</v>
      </c>
      <c r="E4821" t="s">
        <v>712</v>
      </c>
    </row>
    <row r="4822" spans="1:5" hidden="1" x14ac:dyDescent="0.3">
      <c r="A4822" t="s">
        <v>557</v>
      </c>
      <c r="B4822" t="s">
        <v>711</v>
      </c>
      <c r="C4822" t="s">
        <v>122</v>
      </c>
      <c r="D4822" s="230">
        <v>-776.12</v>
      </c>
      <c r="E4822" t="s">
        <v>712</v>
      </c>
    </row>
    <row r="4823" spans="1:5" hidden="1" x14ac:dyDescent="0.3">
      <c r="A4823" t="s">
        <v>557</v>
      </c>
      <c r="B4823" t="s">
        <v>711</v>
      </c>
      <c r="C4823" t="s">
        <v>44</v>
      </c>
      <c r="D4823" s="230">
        <v>-0.02</v>
      </c>
      <c r="E4823" t="s">
        <v>712</v>
      </c>
    </row>
    <row r="4824" spans="1:5" hidden="1" x14ac:dyDescent="0.3">
      <c r="A4824" t="s">
        <v>557</v>
      </c>
      <c r="B4824" t="s">
        <v>711</v>
      </c>
      <c r="C4824" t="s">
        <v>126</v>
      </c>
      <c r="D4824" s="230">
        <v>244033.31</v>
      </c>
      <c r="E4824" t="s">
        <v>712</v>
      </c>
    </row>
    <row r="4825" spans="1:5" hidden="1" x14ac:dyDescent="0.3">
      <c r="A4825" t="s">
        <v>557</v>
      </c>
      <c r="B4825" t="s">
        <v>711</v>
      </c>
      <c r="C4825" t="s">
        <v>127</v>
      </c>
      <c r="D4825" s="230">
        <v>0.53</v>
      </c>
      <c r="E4825" t="s">
        <v>712</v>
      </c>
    </row>
    <row r="4826" spans="1:5" hidden="1" x14ac:dyDescent="0.3">
      <c r="A4826" t="s">
        <v>557</v>
      </c>
      <c r="B4826" t="s">
        <v>711</v>
      </c>
      <c r="C4826" t="s">
        <v>128</v>
      </c>
      <c r="D4826" s="230">
        <v>-116152.76</v>
      </c>
      <c r="E4826" t="s">
        <v>712</v>
      </c>
    </row>
    <row r="4827" spans="1:5" hidden="1" x14ac:dyDescent="0.3">
      <c r="A4827" t="s">
        <v>557</v>
      </c>
      <c r="B4827" t="s">
        <v>711</v>
      </c>
      <c r="C4827" t="s">
        <v>129</v>
      </c>
      <c r="D4827" s="230">
        <v>-37224</v>
      </c>
      <c r="E4827" t="s">
        <v>712</v>
      </c>
    </row>
    <row r="4828" spans="1:5" hidden="1" x14ac:dyDescent="0.3">
      <c r="A4828" t="s">
        <v>557</v>
      </c>
      <c r="B4828" t="s">
        <v>711</v>
      </c>
      <c r="C4828" t="s">
        <v>609</v>
      </c>
      <c r="D4828" s="230">
        <v>-3400</v>
      </c>
      <c r="E4828" t="s">
        <v>712</v>
      </c>
    </row>
    <row r="4829" spans="1:5" hidden="1" x14ac:dyDescent="0.3">
      <c r="A4829" t="s">
        <v>557</v>
      </c>
      <c r="B4829" t="s">
        <v>711</v>
      </c>
      <c r="C4829" t="s">
        <v>610</v>
      </c>
      <c r="D4829" s="230">
        <v>-11000</v>
      </c>
      <c r="E4829" t="s">
        <v>712</v>
      </c>
    </row>
    <row r="4830" spans="1:5" hidden="1" x14ac:dyDescent="0.3">
      <c r="A4830" t="s">
        <v>557</v>
      </c>
      <c r="B4830" t="s">
        <v>711</v>
      </c>
      <c r="C4830" t="s">
        <v>611</v>
      </c>
      <c r="D4830" s="230">
        <v>-6600</v>
      </c>
      <c r="E4830" t="s">
        <v>712</v>
      </c>
    </row>
    <row r="4831" spans="1:5" hidden="1" x14ac:dyDescent="0.3">
      <c r="A4831" t="s">
        <v>557</v>
      </c>
      <c r="B4831" t="s">
        <v>711</v>
      </c>
      <c r="C4831" t="s">
        <v>612</v>
      </c>
      <c r="D4831" s="230">
        <v>-4224</v>
      </c>
      <c r="E4831" t="s">
        <v>712</v>
      </c>
    </row>
    <row r="4832" spans="1:5" hidden="1" x14ac:dyDescent="0.3">
      <c r="A4832" t="s">
        <v>557</v>
      </c>
      <c r="B4832" t="s">
        <v>711</v>
      </c>
      <c r="C4832" t="s">
        <v>613</v>
      </c>
      <c r="D4832" s="230">
        <v>-1200</v>
      </c>
      <c r="E4832" t="s">
        <v>712</v>
      </c>
    </row>
    <row r="4833" spans="1:5" hidden="1" x14ac:dyDescent="0.3">
      <c r="A4833" t="s">
        <v>557</v>
      </c>
      <c r="B4833" t="s">
        <v>711</v>
      </c>
      <c r="C4833" t="s">
        <v>614</v>
      </c>
      <c r="D4833" s="230">
        <v>-6000</v>
      </c>
      <c r="E4833" t="s">
        <v>712</v>
      </c>
    </row>
    <row r="4834" spans="1:5" hidden="1" x14ac:dyDescent="0.3">
      <c r="A4834" t="s">
        <v>557</v>
      </c>
      <c r="B4834" t="s">
        <v>711</v>
      </c>
      <c r="C4834" t="s">
        <v>615</v>
      </c>
      <c r="D4834" s="230">
        <v>0</v>
      </c>
      <c r="E4834" t="s">
        <v>712</v>
      </c>
    </row>
    <row r="4835" spans="1:5" hidden="1" x14ac:dyDescent="0.3">
      <c r="A4835" t="s">
        <v>557</v>
      </c>
      <c r="B4835" t="s">
        <v>711</v>
      </c>
      <c r="C4835" t="s">
        <v>616</v>
      </c>
      <c r="D4835" s="230">
        <v>-4800</v>
      </c>
      <c r="E4835" t="s">
        <v>712</v>
      </c>
    </row>
    <row r="4836" spans="1:5" hidden="1" x14ac:dyDescent="0.3">
      <c r="A4836" t="s">
        <v>557</v>
      </c>
      <c r="B4836" t="s">
        <v>711</v>
      </c>
      <c r="C4836" t="s">
        <v>617</v>
      </c>
      <c r="D4836" s="230">
        <v>0</v>
      </c>
      <c r="E4836" t="s">
        <v>712</v>
      </c>
    </row>
    <row r="4837" spans="1:5" hidden="1" x14ac:dyDescent="0.3">
      <c r="A4837" t="s">
        <v>557</v>
      </c>
      <c r="B4837" t="s">
        <v>711</v>
      </c>
      <c r="C4837" t="s">
        <v>618</v>
      </c>
      <c r="D4837" s="230">
        <v>0</v>
      </c>
      <c r="E4837" t="s">
        <v>712</v>
      </c>
    </row>
    <row r="4838" spans="1:5" hidden="1" x14ac:dyDescent="0.3">
      <c r="A4838" t="s">
        <v>557</v>
      </c>
      <c r="B4838" t="s">
        <v>711</v>
      </c>
      <c r="C4838" t="s">
        <v>619</v>
      </c>
      <c r="D4838" s="230">
        <v>0</v>
      </c>
      <c r="E4838" t="s">
        <v>712</v>
      </c>
    </row>
    <row r="4839" spans="1:5" hidden="1" x14ac:dyDescent="0.3">
      <c r="A4839" t="s">
        <v>557</v>
      </c>
      <c r="B4839" t="s">
        <v>711</v>
      </c>
      <c r="C4839" t="s">
        <v>620</v>
      </c>
      <c r="D4839" s="230">
        <v>0</v>
      </c>
      <c r="E4839" t="s">
        <v>712</v>
      </c>
    </row>
    <row r="4840" spans="1:5" hidden="1" x14ac:dyDescent="0.3">
      <c r="A4840" t="s">
        <v>557</v>
      </c>
      <c r="B4840" t="s">
        <v>711</v>
      </c>
      <c r="C4840" t="s">
        <v>575</v>
      </c>
      <c r="D4840" s="230">
        <v>-33285.040000000001</v>
      </c>
      <c r="E4840" t="s">
        <v>712</v>
      </c>
    </row>
    <row r="4841" spans="1:5" hidden="1" x14ac:dyDescent="0.3">
      <c r="A4841" t="s">
        <v>557</v>
      </c>
      <c r="B4841" t="s">
        <v>711</v>
      </c>
      <c r="C4841" t="s">
        <v>621</v>
      </c>
      <c r="D4841" s="230">
        <v>0</v>
      </c>
      <c r="E4841" t="s">
        <v>712</v>
      </c>
    </row>
    <row r="4842" spans="1:5" hidden="1" x14ac:dyDescent="0.3">
      <c r="A4842" t="s">
        <v>557</v>
      </c>
      <c r="B4842" t="s">
        <v>711</v>
      </c>
      <c r="C4842" t="s">
        <v>622</v>
      </c>
      <c r="D4842" s="230">
        <v>0</v>
      </c>
      <c r="E4842" t="s">
        <v>712</v>
      </c>
    </row>
    <row r="4843" spans="1:5" hidden="1" x14ac:dyDescent="0.3">
      <c r="A4843" t="s">
        <v>557</v>
      </c>
      <c r="B4843" t="s">
        <v>711</v>
      </c>
      <c r="C4843" t="s">
        <v>623</v>
      </c>
      <c r="D4843" s="230">
        <v>0</v>
      </c>
      <c r="E4843" t="s">
        <v>712</v>
      </c>
    </row>
    <row r="4844" spans="1:5" hidden="1" x14ac:dyDescent="0.3">
      <c r="A4844" t="s">
        <v>557</v>
      </c>
      <c r="B4844" t="s">
        <v>711</v>
      </c>
      <c r="C4844" t="s">
        <v>624</v>
      </c>
      <c r="D4844" s="230">
        <v>0</v>
      </c>
      <c r="E4844" t="s">
        <v>712</v>
      </c>
    </row>
    <row r="4845" spans="1:5" hidden="1" x14ac:dyDescent="0.3">
      <c r="A4845" t="s">
        <v>557</v>
      </c>
      <c r="B4845" t="s">
        <v>711</v>
      </c>
      <c r="C4845" t="s">
        <v>625</v>
      </c>
      <c r="D4845" s="230">
        <v>0</v>
      </c>
      <c r="E4845" t="s">
        <v>712</v>
      </c>
    </row>
    <row r="4846" spans="1:5" hidden="1" x14ac:dyDescent="0.3">
      <c r="A4846" t="s">
        <v>557</v>
      </c>
      <c r="B4846" t="s">
        <v>711</v>
      </c>
      <c r="C4846" t="s">
        <v>626</v>
      </c>
      <c r="D4846" s="230">
        <v>0</v>
      </c>
      <c r="E4846" t="s">
        <v>712</v>
      </c>
    </row>
    <row r="4847" spans="1:5" hidden="1" x14ac:dyDescent="0.3">
      <c r="A4847" t="s">
        <v>557</v>
      </c>
      <c r="B4847" t="s">
        <v>711</v>
      </c>
      <c r="C4847" t="s">
        <v>627</v>
      </c>
      <c r="D4847" s="230">
        <v>0</v>
      </c>
      <c r="E4847" t="s">
        <v>712</v>
      </c>
    </row>
    <row r="4848" spans="1:5" hidden="1" x14ac:dyDescent="0.3">
      <c r="A4848" t="s">
        <v>557</v>
      </c>
      <c r="B4848" t="s">
        <v>711</v>
      </c>
      <c r="C4848" t="s">
        <v>628</v>
      </c>
      <c r="D4848" s="230">
        <v>0</v>
      </c>
      <c r="E4848" t="s">
        <v>712</v>
      </c>
    </row>
    <row r="4849" spans="1:5" hidden="1" x14ac:dyDescent="0.3">
      <c r="A4849" t="s">
        <v>557</v>
      </c>
      <c r="B4849" t="s">
        <v>711</v>
      </c>
      <c r="C4849" t="s">
        <v>629</v>
      </c>
      <c r="D4849" s="230">
        <v>0</v>
      </c>
      <c r="E4849" t="s">
        <v>712</v>
      </c>
    </row>
    <row r="4850" spans="1:5" hidden="1" x14ac:dyDescent="0.3">
      <c r="A4850" t="s">
        <v>557</v>
      </c>
      <c r="B4850" t="s">
        <v>711</v>
      </c>
      <c r="C4850" t="s">
        <v>630</v>
      </c>
      <c r="D4850" s="230">
        <v>0</v>
      </c>
      <c r="E4850" t="s">
        <v>712</v>
      </c>
    </row>
    <row r="4851" spans="1:5" hidden="1" x14ac:dyDescent="0.3">
      <c r="A4851" t="s">
        <v>557</v>
      </c>
      <c r="B4851" t="s">
        <v>711</v>
      </c>
      <c r="C4851" t="s">
        <v>631</v>
      </c>
      <c r="D4851" s="230">
        <v>0</v>
      </c>
      <c r="E4851" t="s">
        <v>712</v>
      </c>
    </row>
    <row r="4852" spans="1:5" hidden="1" x14ac:dyDescent="0.3">
      <c r="A4852" t="s">
        <v>557</v>
      </c>
      <c r="B4852" t="s">
        <v>711</v>
      </c>
      <c r="C4852" t="s">
        <v>632</v>
      </c>
      <c r="D4852" s="230">
        <v>0</v>
      </c>
      <c r="E4852" t="s">
        <v>712</v>
      </c>
    </row>
    <row r="4853" spans="1:5" hidden="1" x14ac:dyDescent="0.3">
      <c r="A4853" t="s">
        <v>557</v>
      </c>
      <c r="B4853" t="s">
        <v>711</v>
      </c>
      <c r="C4853" t="s">
        <v>633</v>
      </c>
      <c r="D4853" s="230">
        <v>0</v>
      </c>
      <c r="E4853" t="s">
        <v>712</v>
      </c>
    </row>
    <row r="4854" spans="1:5" hidden="1" x14ac:dyDescent="0.3">
      <c r="A4854" t="s">
        <v>557</v>
      </c>
      <c r="B4854" t="s">
        <v>711</v>
      </c>
      <c r="C4854" t="s">
        <v>634</v>
      </c>
      <c r="D4854" s="230">
        <v>0</v>
      </c>
      <c r="E4854" t="s">
        <v>712</v>
      </c>
    </row>
    <row r="4855" spans="1:5" hidden="1" x14ac:dyDescent="0.3">
      <c r="A4855" t="s">
        <v>557</v>
      </c>
      <c r="B4855" t="s">
        <v>711</v>
      </c>
      <c r="C4855" t="s">
        <v>635</v>
      </c>
      <c r="D4855" s="230">
        <v>0</v>
      </c>
      <c r="E4855" t="s">
        <v>712</v>
      </c>
    </row>
    <row r="4856" spans="1:5" hidden="1" x14ac:dyDescent="0.3">
      <c r="A4856" t="s">
        <v>557</v>
      </c>
      <c r="B4856" t="s">
        <v>711</v>
      </c>
      <c r="C4856" t="s">
        <v>636</v>
      </c>
      <c r="D4856" s="230">
        <v>0</v>
      </c>
      <c r="E4856" t="s">
        <v>712</v>
      </c>
    </row>
    <row r="4857" spans="1:5" hidden="1" x14ac:dyDescent="0.3">
      <c r="A4857" t="s">
        <v>557</v>
      </c>
      <c r="B4857" t="s">
        <v>711</v>
      </c>
      <c r="C4857" t="s">
        <v>637</v>
      </c>
      <c r="D4857" s="230">
        <v>0</v>
      </c>
      <c r="E4857" t="s">
        <v>712</v>
      </c>
    </row>
    <row r="4858" spans="1:5" hidden="1" x14ac:dyDescent="0.3">
      <c r="A4858" t="s">
        <v>557</v>
      </c>
      <c r="B4858" t="s">
        <v>711</v>
      </c>
      <c r="C4858" t="s">
        <v>638</v>
      </c>
      <c r="D4858" s="230">
        <v>0</v>
      </c>
      <c r="E4858" t="s">
        <v>712</v>
      </c>
    </row>
    <row r="4859" spans="1:5" hidden="1" x14ac:dyDescent="0.3">
      <c r="A4859" t="s">
        <v>557</v>
      </c>
      <c r="B4859" t="s">
        <v>711</v>
      </c>
      <c r="C4859" t="s">
        <v>639</v>
      </c>
      <c r="D4859" s="230">
        <v>0</v>
      </c>
      <c r="E4859" t="s">
        <v>712</v>
      </c>
    </row>
    <row r="4860" spans="1:5" hidden="1" x14ac:dyDescent="0.3">
      <c r="A4860" t="s">
        <v>557</v>
      </c>
      <c r="B4860" t="s">
        <v>711</v>
      </c>
      <c r="C4860" t="s">
        <v>640</v>
      </c>
      <c r="D4860" s="230">
        <v>0</v>
      </c>
      <c r="E4860" t="s">
        <v>712</v>
      </c>
    </row>
    <row r="4861" spans="1:5" hidden="1" x14ac:dyDescent="0.3">
      <c r="A4861" t="s">
        <v>557</v>
      </c>
      <c r="B4861" t="s">
        <v>711</v>
      </c>
      <c r="C4861" t="s">
        <v>641</v>
      </c>
      <c r="D4861" s="230">
        <v>0</v>
      </c>
      <c r="E4861" t="s">
        <v>712</v>
      </c>
    </row>
    <row r="4862" spans="1:5" hidden="1" x14ac:dyDescent="0.3">
      <c r="A4862" t="s">
        <v>557</v>
      </c>
      <c r="B4862" t="s">
        <v>711</v>
      </c>
      <c r="C4862" t="s">
        <v>642</v>
      </c>
      <c r="D4862" s="230">
        <v>0</v>
      </c>
      <c r="E4862" t="s">
        <v>712</v>
      </c>
    </row>
    <row r="4863" spans="1:5" hidden="1" x14ac:dyDescent="0.3">
      <c r="A4863" t="s">
        <v>557</v>
      </c>
      <c r="B4863" t="s">
        <v>711</v>
      </c>
      <c r="C4863" t="s">
        <v>643</v>
      </c>
      <c r="D4863" s="230">
        <v>0</v>
      </c>
      <c r="E4863" t="s">
        <v>712</v>
      </c>
    </row>
    <row r="4864" spans="1:5" hidden="1" x14ac:dyDescent="0.3">
      <c r="A4864" t="s">
        <v>557</v>
      </c>
      <c r="B4864" t="s">
        <v>711</v>
      </c>
      <c r="C4864" t="s">
        <v>644</v>
      </c>
      <c r="D4864" s="230">
        <v>0</v>
      </c>
      <c r="E4864" t="s">
        <v>712</v>
      </c>
    </row>
    <row r="4865" spans="1:5" hidden="1" x14ac:dyDescent="0.3">
      <c r="A4865" t="s">
        <v>557</v>
      </c>
      <c r="B4865" t="s">
        <v>711</v>
      </c>
      <c r="C4865" t="s">
        <v>645</v>
      </c>
      <c r="D4865" s="230">
        <v>0</v>
      </c>
      <c r="E4865" t="s">
        <v>712</v>
      </c>
    </row>
    <row r="4866" spans="1:5" hidden="1" x14ac:dyDescent="0.3">
      <c r="A4866" t="s">
        <v>557</v>
      </c>
      <c r="B4866" t="s">
        <v>711</v>
      </c>
      <c r="C4866" t="s">
        <v>646</v>
      </c>
      <c r="D4866" s="230">
        <v>0</v>
      </c>
      <c r="E4866" t="s">
        <v>712</v>
      </c>
    </row>
    <row r="4867" spans="1:5" hidden="1" x14ac:dyDescent="0.3">
      <c r="A4867" t="s">
        <v>557</v>
      </c>
      <c r="B4867" t="s">
        <v>711</v>
      </c>
      <c r="C4867" t="s">
        <v>647</v>
      </c>
      <c r="D4867" s="230">
        <v>0</v>
      </c>
      <c r="E4867" t="s">
        <v>712</v>
      </c>
    </row>
    <row r="4868" spans="1:5" hidden="1" x14ac:dyDescent="0.3">
      <c r="A4868" t="s">
        <v>557</v>
      </c>
      <c r="B4868" t="s">
        <v>711</v>
      </c>
      <c r="C4868" t="s">
        <v>648</v>
      </c>
      <c r="D4868" s="230">
        <v>0</v>
      </c>
      <c r="E4868" t="s">
        <v>712</v>
      </c>
    </row>
    <row r="4869" spans="1:5" hidden="1" x14ac:dyDescent="0.3">
      <c r="A4869" t="s">
        <v>557</v>
      </c>
      <c r="B4869" t="s">
        <v>711</v>
      </c>
      <c r="C4869" t="s">
        <v>649</v>
      </c>
      <c r="D4869" s="230">
        <v>0</v>
      </c>
      <c r="E4869" t="s">
        <v>712</v>
      </c>
    </row>
    <row r="4870" spans="1:5" hidden="1" x14ac:dyDescent="0.3">
      <c r="A4870" t="s">
        <v>557</v>
      </c>
      <c r="B4870" t="s">
        <v>711</v>
      </c>
      <c r="C4870" t="s">
        <v>650</v>
      </c>
      <c r="D4870" s="230">
        <v>0</v>
      </c>
      <c r="E4870" t="s">
        <v>712</v>
      </c>
    </row>
    <row r="4871" spans="1:5" hidden="1" x14ac:dyDescent="0.3">
      <c r="A4871" t="s">
        <v>557</v>
      </c>
      <c r="B4871" t="s">
        <v>711</v>
      </c>
      <c r="C4871" t="s">
        <v>651</v>
      </c>
      <c r="D4871" s="230">
        <v>0</v>
      </c>
      <c r="E4871" t="s">
        <v>712</v>
      </c>
    </row>
    <row r="4872" spans="1:5" hidden="1" x14ac:dyDescent="0.3">
      <c r="A4872" t="s">
        <v>557</v>
      </c>
      <c r="B4872" t="s">
        <v>711</v>
      </c>
      <c r="C4872" t="s">
        <v>652</v>
      </c>
      <c r="D4872" s="230">
        <v>0</v>
      </c>
      <c r="E4872" t="s">
        <v>712</v>
      </c>
    </row>
    <row r="4873" spans="1:5" hidden="1" x14ac:dyDescent="0.3">
      <c r="A4873" t="s">
        <v>557</v>
      </c>
      <c r="B4873" t="s">
        <v>711</v>
      </c>
      <c r="C4873" t="s">
        <v>653</v>
      </c>
      <c r="D4873" s="230">
        <v>0</v>
      </c>
      <c r="E4873" t="s">
        <v>712</v>
      </c>
    </row>
    <row r="4874" spans="1:5" hidden="1" x14ac:dyDescent="0.3">
      <c r="A4874" t="s">
        <v>557</v>
      </c>
      <c r="B4874" t="s">
        <v>711</v>
      </c>
      <c r="C4874" t="s">
        <v>654</v>
      </c>
      <c r="D4874" s="230">
        <v>0</v>
      </c>
      <c r="E4874" t="s">
        <v>712</v>
      </c>
    </row>
    <row r="4875" spans="1:5" hidden="1" x14ac:dyDescent="0.3">
      <c r="A4875" t="s">
        <v>557</v>
      </c>
      <c r="B4875" t="s">
        <v>711</v>
      </c>
      <c r="C4875" t="s">
        <v>655</v>
      </c>
      <c r="D4875" s="230">
        <v>0</v>
      </c>
      <c r="E4875" t="s">
        <v>712</v>
      </c>
    </row>
    <row r="4876" spans="1:5" hidden="1" x14ac:dyDescent="0.3">
      <c r="A4876" t="s">
        <v>557</v>
      </c>
      <c r="B4876" t="s">
        <v>711</v>
      </c>
      <c r="C4876" t="s">
        <v>656</v>
      </c>
      <c r="D4876" s="230">
        <v>0</v>
      </c>
      <c r="E4876" t="s">
        <v>712</v>
      </c>
    </row>
    <row r="4877" spans="1:5" hidden="1" x14ac:dyDescent="0.3">
      <c r="A4877" t="s">
        <v>557</v>
      </c>
      <c r="B4877" t="s">
        <v>711</v>
      </c>
      <c r="C4877" t="s">
        <v>657</v>
      </c>
      <c r="D4877" s="230">
        <v>0</v>
      </c>
      <c r="E4877" t="s">
        <v>712</v>
      </c>
    </row>
    <row r="4878" spans="1:5" hidden="1" x14ac:dyDescent="0.3">
      <c r="A4878" t="s">
        <v>557</v>
      </c>
      <c r="B4878" t="s">
        <v>711</v>
      </c>
      <c r="C4878" t="s">
        <v>658</v>
      </c>
      <c r="D4878" s="230">
        <v>0</v>
      </c>
      <c r="E4878" t="s">
        <v>712</v>
      </c>
    </row>
    <row r="4879" spans="1:5" hidden="1" x14ac:dyDescent="0.3">
      <c r="A4879" t="s">
        <v>557</v>
      </c>
      <c r="B4879" t="s">
        <v>711</v>
      </c>
      <c r="C4879" t="s">
        <v>659</v>
      </c>
      <c r="D4879" s="230">
        <v>0</v>
      </c>
      <c r="E4879" t="s">
        <v>712</v>
      </c>
    </row>
    <row r="4880" spans="1:5" hidden="1" x14ac:dyDescent="0.3">
      <c r="A4880" t="s">
        <v>557</v>
      </c>
      <c r="B4880" t="s">
        <v>711</v>
      </c>
      <c r="C4880" t="s">
        <v>660</v>
      </c>
      <c r="D4880" s="230">
        <v>0</v>
      </c>
      <c r="E4880" t="s">
        <v>712</v>
      </c>
    </row>
    <row r="4881" spans="1:5" hidden="1" x14ac:dyDescent="0.3">
      <c r="A4881" t="s">
        <v>557</v>
      </c>
      <c r="B4881" t="s">
        <v>711</v>
      </c>
      <c r="C4881" t="s">
        <v>661</v>
      </c>
      <c r="D4881" s="230">
        <v>0</v>
      </c>
      <c r="E4881" t="s">
        <v>712</v>
      </c>
    </row>
    <row r="4882" spans="1:5" hidden="1" x14ac:dyDescent="0.3">
      <c r="A4882" t="s">
        <v>557</v>
      </c>
      <c r="B4882" t="s">
        <v>711</v>
      </c>
      <c r="C4882" t="s">
        <v>662</v>
      </c>
      <c r="D4882" s="230">
        <v>0</v>
      </c>
      <c r="E4882" t="s">
        <v>712</v>
      </c>
    </row>
    <row r="4883" spans="1:5" hidden="1" x14ac:dyDescent="0.3">
      <c r="A4883" t="s">
        <v>557</v>
      </c>
      <c r="B4883" t="s">
        <v>711</v>
      </c>
      <c r="C4883" t="s">
        <v>663</v>
      </c>
      <c r="D4883" s="230">
        <v>0</v>
      </c>
      <c r="E4883" t="s">
        <v>712</v>
      </c>
    </row>
    <row r="4884" spans="1:5" hidden="1" x14ac:dyDescent="0.3">
      <c r="A4884" t="s">
        <v>557</v>
      </c>
      <c r="B4884" t="s">
        <v>711</v>
      </c>
      <c r="C4884" t="s">
        <v>664</v>
      </c>
      <c r="D4884" s="230">
        <v>0</v>
      </c>
      <c r="E4884" t="s">
        <v>712</v>
      </c>
    </row>
    <row r="4885" spans="1:5" hidden="1" x14ac:dyDescent="0.3">
      <c r="A4885" t="s">
        <v>557</v>
      </c>
      <c r="B4885" t="s">
        <v>711</v>
      </c>
      <c r="C4885" t="s">
        <v>665</v>
      </c>
      <c r="D4885" s="230">
        <v>0</v>
      </c>
      <c r="E4885" t="s">
        <v>712</v>
      </c>
    </row>
    <row r="4886" spans="1:5" hidden="1" x14ac:dyDescent="0.3">
      <c r="A4886" t="s">
        <v>557</v>
      </c>
      <c r="B4886" t="s">
        <v>711</v>
      </c>
      <c r="C4886" t="s">
        <v>666</v>
      </c>
      <c r="D4886" s="230">
        <v>0</v>
      </c>
      <c r="E4886" t="s">
        <v>712</v>
      </c>
    </row>
    <row r="4887" spans="1:5" hidden="1" x14ac:dyDescent="0.3">
      <c r="A4887" t="s">
        <v>557</v>
      </c>
      <c r="B4887" t="s">
        <v>711</v>
      </c>
      <c r="C4887" t="s">
        <v>667</v>
      </c>
      <c r="D4887" s="230">
        <v>0</v>
      </c>
      <c r="E4887" t="s">
        <v>712</v>
      </c>
    </row>
    <row r="4888" spans="1:5" hidden="1" x14ac:dyDescent="0.3">
      <c r="A4888" t="s">
        <v>557</v>
      </c>
      <c r="B4888" t="s">
        <v>711</v>
      </c>
      <c r="C4888" t="s">
        <v>668</v>
      </c>
      <c r="D4888" s="230">
        <v>0</v>
      </c>
      <c r="E4888" t="s">
        <v>712</v>
      </c>
    </row>
    <row r="4889" spans="1:5" hidden="1" x14ac:dyDescent="0.3">
      <c r="A4889" t="s">
        <v>557</v>
      </c>
      <c r="B4889" t="s">
        <v>711</v>
      </c>
      <c r="C4889" t="s">
        <v>669</v>
      </c>
      <c r="D4889" s="230">
        <v>0</v>
      </c>
      <c r="E4889" t="s">
        <v>712</v>
      </c>
    </row>
    <row r="4890" spans="1:5" hidden="1" x14ac:dyDescent="0.3">
      <c r="A4890" t="s">
        <v>557</v>
      </c>
      <c r="B4890" t="s">
        <v>711</v>
      </c>
      <c r="C4890" t="s">
        <v>670</v>
      </c>
      <c r="D4890" s="230">
        <v>0</v>
      </c>
      <c r="E4890" t="s">
        <v>712</v>
      </c>
    </row>
    <row r="4891" spans="1:5" hidden="1" x14ac:dyDescent="0.3">
      <c r="A4891" t="s">
        <v>557</v>
      </c>
      <c r="B4891" t="s">
        <v>711</v>
      </c>
      <c r="C4891" t="s">
        <v>671</v>
      </c>
      <c r="D4891" s="230">
        <v>0</v>
      </c>
      <c r="E4891" t="s">
        <v>712</v>
      </c>
    </row>
    <row r="4892" spans="1:5" hidden="1" x14ac:dyDescent="0.3">
      <c r="A4892" t="s">
        <v>557</v>
      </c>
      <c r="B4892" t="s">
        <v>711</v>
      </c>
      <c r="C4892" t="s">
        <v>672</v>
      </c>
      <c r="D4892" s="230">
        <v>0</v>
      </c>
      <c r="E4892" t="s">
        <v>712</v>
      </c>
    </row>
    <row r="4893" spans="1:5" hidden="1" x14ac:dyDescent="0.3">
      <c r="A4893" t="s">
        <v>557</v>
      </c>
      <c r="B4893" t="s">
        <v>711</v>
      </c>
      <c r="C4893" t="s">
        <v>673</v>
      </c>
      <c r="D4893" s="230">
        <v>0</v>
      </c>
      <c r="E4893" t="s">
        <v>712</v>
      </c>
    </row>
    <row r="4894" spans="1:5" hidden="1" x14ac:dyDescent="0.3">
      <c r="A4894" t="s">
        <v>557</v>
      </c>
      <c r="B4894" t="s">
        <v>711</v>
      </c>
      <c r="C4894" t="s">
        <v>674</v>
      </c>
      <c r="D4894" s="230">
        <v>0</v>
      </c>
      <c r="E4894" t="s">
        <v>712</v>
      </c>
    </row>
    <row r="4895" spans="1:5" hidden="1" x14ac:dyDescent="0.3">
      <c r="A4895" t="s">
        <v>557</v>
      </c>
      <c r="B4895" t="s">
        <v>711</v>
      </c>
      <c r="C4895" t="s">
        <v>675</v>
      </c>
      <c r="D4895" s="230">
        <v>0</v>
      </c>
      <c r="E4895" t="s">
        <v>712</v>
      </c>
    </row>
    <row r="4896" spans="1:5" hidden="1" x14ac:dyDescent="0.3">
      <c r="A4896" t="s">
        <v>557</v>
      </c>
      <c r="B4896" t="s">
        <v>711</v>
      </c>
      <c r="C4896" t="s">
        <v>676</v>
      </c>
      <c r="D4896" s="230">
        <v>0</v>
      </c>
      <c r="E4896" t="s">
        <v>712</v>
      </c>
    </row>
    <row r="4897" spans="1:5" hidden="1" x14ac:dyDescent="0.3">
      <c r="A4897" t="s">
        <v>557</v>
      </c>
      <c r="B4897" t="s">
        <v>711</v>
      </c>
      <c r="C4897" t="s">
        <v>677</v>
      </c>
      <c r="D4897" s="230">
        <v>0</v>
      </c>
      <c r="E4897" t="s">
        <v>712</v>
      </c>
    </row>
    <row r="4898" spans="1:5" hidden="1" x14ac:dyDescent="0.3">
      <c r="A4898" t="s">
        <v>557</v>
      </c>
      <c r="B4898" t="s">
        <v>711</v>
      </c>
      <c r="C4898" t="s">
        <v>201</v>
      </c>
      <c r="D4898" s="230">
        <v>-13497.3</v>
      </c>
      <c r="E4898" t="s">
        <v>712</v>
      </c>
    </row>
    <row r="4899" spans="1:5" hidden="1" x14ac:dyDescent="0.3">
      <c r="A4899" t="s">
        <v>557</v>
      </c>
      <c r="B4899" t="s">
        <v>711</v>
      </c>
      <c r="C4899" t="s">
        <v>203</v>
      </c>
      <c r="D4899" s="230">
        <v>-13497.3</v>
      </c>
      <c r="E4899" t="s">
        <v>712</v>
      </c>
    </row>
    <row r="4900" spans="1:5" hidden="1" x14ac:dyDescent="0.3">
      <c r="A4900" t="s">
        <v>557</v>
      </c>
      <c r="B4900" t="s">
        <v>711</v>
      </c>
      <c r="C4900" t="s">
        <v>678</v>
      </c>
      <c r="D4900" s="230">
        <v>6748.65</v>
      </c>
      <c r="E4900" t="s">
        <v>712</v>
      </c>
    </row>
    <row r="4901" spans="1:5" hidden="1" x14ac:dyDescent="0.3">
      <c r="A4901" t="s">
        <v>557</v>
      </c>
      <c r="B4901" t="s">
        <v>711</v>
      </c>
      <c r="C4901" t="s">
        <v>205</v>
      </c>
      <c r="D4901" s="230">
        <v>-17600.060000000001</v>
      </c>
      <c r="E4901" t="s">
        <v>712</v>
      </c>
    </row>
    <row r="4902" spans="1:5" hidden="1" x14ac:dyDescent="0.3">
      <c r="A4902" t="s">
        <v>557</v>
      </c>
      <c r="B4902" t="s">
        <v>711</v>
      </c>
      <c r="C4902" t="s">
        <v>679</v>
      </c>
      <c r="D4902" s="230">
        <v>-4540.1000000000004</v>
      </c>
      <c r="E4902" t="s">
        <v>712</v>
      </c>
    </row>
    <row r="4903" spans="1:5" hidden="1" x14ac:dyDescent="0.3">
      <c r="A4903" t="s">
        <v>557</v>
      </c>
      <c r="B4903" t="s">
        <v>711</v>
      </c>
      <c r="C4903" t="s">
        <v>680</v>
      </c>
      <c r="D4903" s="230">
        <v>0</v>
      </c>
      <c r="E4903" t="s">
        <v>712</v>
      </c>
    </row>
    <row r="4904" spans="1:5" hidden="1" x14ac:dyDescent="0.3">
      <c r="A4904" t="s">
        <v>557</v>
      </c>
      <c r="B4904" t="s">
        <v>711</v>
      </c>
      <c r="C4904" t="s">
        <v>681</v>
      </c>
      <c r="D4904" s="230">
        <v>0</v>
      </c>
      <c r="E4904" t="s">
        <v>712</v>
      </c>
    </row>
    <row r="4905" spans="1:5" hidden="1" x14ac:dyDescent="0.3">
      <c r="A4905" t="s">
        <v>557</v>
      </c>
      <c r="B4905" t="s">
        <v>711</v>
      </c>
      <c r="C4905" t="s">
        <v>682</v>
      </c>
      <c r="D4905" s="230">
        <v>-4639.0600000000004</v>
      </c>
      <c r="E4905" t="s">
        <v>712</v>
      </c>
    </row>
    <row r="4906" spans="1:5" hidden="1" x14ac:dyDescent="0.3">
      <c r="A4906" t="s">
        <v>557</v>
      </c>
      <c r="B4906" t="s">
        <v>711</v>
      </c>
      <c r="C4906" t="s">
        <v>683</v>
      </c>
      <c r="D4906" s="230">
        <v>-1390.61</v>
      </c>
      <c r="E4906" t="s">
        <v>712</v>
      </c>
    </row>
    <row r="4907" spans="1:5" hidden="1" x14ac:dyDescent="0.3">
      <c r="A4907" t="s">
        <v>557</v>
      </c>
      <c r="B4907" t="s">
        <v>711</v>
      </c>
      <c r="C4907" t="s">
        <v>684</v>
      </c>
      <c r="D4907" s="230">
        <v>-1563.04</v>
      </c>
      <c r="E4907" t="s">
        <v>712</v>
      </c>
    </row>
    <row r="4908" spans="1:5" hidden="1" x14ac:dyDescent="0.3">
      <c r="A4908" t="s">
        <v>557</v>
      </c>
      <c r="B4908" t="s">
        <v>711</v>
      </c>
      <c r="C4908" t="s">
        <v>685</v>
      </c>
      <c r="D4908" s="230">
        <v>-467.24</v>
      </c>
      <c r="E4908" t="s">
        <v>712</v>
      </c>
    </row>
    <row r="4909" spans="1:5" hidden="1" x14ac:dyDescent="0.3">
      <c r="A4909" t="s">
        <v>557</v>
      </c>
      <c r="B4909" t="s">
        <v>711</v>
      </c>
      <c r="C4909" t="s">
        <v>686</v>
      </c>
      <c r="D4909" s="230">
        <v>0</v>
      </c>
      <c r="E4909" t="s">
        <v>712</v>
      </c>
    </row>
    <row r="4910" spans="1:5" hidden="1" x14ac:dyDescent="0.3">
      <c r="A4910" t="s">
        <v>557</v>
      </c>
      <c r="B4910" t="s">
        <v>711</v>
      </c>
      <c r="C4910" t="s">
        <v>687</v>
      </c>
      <c r="D4910" s="230">
        <v>0</v>
      </c>
      <c r="E4910" t="s">
        <v>712</v>
      </c>
    </row>
    <row r="4911" spans="1:5" hidden="1" x14ac:dyDescent="0.3">
      <c r="A4911" t="s">
        <v>557</v>
      </c>
      <c r="B4911" t="s">
        <v>711</v>
      </c>
      <c r="C4911" t="s">
        <v>688</v>
      </c>
      <c r="D4911" s="230">
        <v>0</v>
      </c>
      <c r="E4911" t="s">
        <v>712</v>
      </c>
    </row>
    <row r="4912" spans="1:5" hidden="1" x14ac:dyDescent="0.3">
      <c r="A4912" t="s">
        <v>557</v>
      </c>
      <c r="B4912" t="s">
        <v>711</v>
      </c>
      <c r="C4912" t="s">
        <v>689</v>
      </c>
      <c r="D4912" s="230">
        <v>0</v>
      </c>
      <c r="E4912" t="s">
        <v>712</v>
      </c>
    </row>
    <row r="4913" spans="1:5" hidden="1" x14ac:dyDescent="0.3">
      <c r="A4913" t="s">
        <v>557</v>
      </c>
      <c r="B4913" t="s">
        <v>711</v>
      </c>
      <c r="C4913" t="s">
        <v>690</v>
      </c>
      <c r="D4913" s="230">
        <v>-5000</v>
      </c>
      <c r="E4913" t="s">
        <v>712</v>
      </c>
    </row>
    <row r="4914" spans="1:5" hidden="1" x14ac:dyDescent="0.3">
      <c r="A4914" t="s">
        <v>557</v>
      </c>
      <c r="B4914" t="s">
        <v>711</v>
      </c>
      <c r="C4914" t="s">
        <v>691</v>
      </c>
      <c r="D4914" s="230">
        <v>0</v>
      </c>
      <c r="E4914" t="s">
        <v>712</v>
      </c>
    </row>
    <row r="4915" spans="1:5" hidden="1" x14ac:dyDescent="0.3">
      <c r="A4915" t="s">
        <v>557</v>
      </c>
      <c r="B4915" t="s">
        <v>711</v>
      </c>
      <c r="C4915" t="s">
        <v>692</v>
      </c>
      <c r="D4915" s="230">
        <v>0</v>
      </c>
      <c r="E4915" t="s">
        <v>712</v>
      </c>
    </row>
    <row r="4916" spans="1:5" hidden="1" x14ac:dyDescent="0.3">
      <c r="A4916" t="s">
        <v>557</v>
      </c>
      <c r="B4916" t="s">
        <v>711</v>
      </c>
      <c r="C4916" t="s">
        <v>693</v>
      </c>
      <c r="D4916" s="230">
        <v>0</v>
      </c>
      <c r="E4916" t="s">
        <v>712</v>
      </c>
    </row>
    <row r="4917" spans="1:5" hidden="1" x14ac:dyDescent="0.3">
      <c r="A4917" t="s">
        <v>557</v>
      </c>
      <c r="B4917" t="s">
        <v>711</v>
      </c>
      <c r="C4917" t="s">
        <v>694</v>
      </c>
      <c r="D4917" s="230">
        <v>0</v>
      </c>
      <c r="E4917" t="s">
        <v>712</v>
      </c>
    </row>
    <row r="4918" spans="1:5" hidden="1" x14ac:dyDescent="0.3">
      <c r="A4918" t="s">
        <v>557</v>
      </c>
      <c r="B4918" t="s">
        <v>711</v>
      </c>
      <c r="C4918" t="s">
        <v>238</v>
      </c>
      <c r="D4918" s="230">
        <v>-5138.62</v>
      </c>
      <c r="E4918" t="s">
        <v>712</v>
      </c>
    </row>
    <row r="4919" spans="1:5" hidden="1" x14ac:dyDescent="0.3">
      <c r="A4919" t="s">
        <v>557</v>
      </c>
      <c r="B4919" t="s">
        <v>711</v>
      </c>
      <c r="C4919" t="s">
        <v>695</v>
      </c>
      <c r="D4919" s="230">
        <v>-5086.1400000000003</v>
      </c>
      <c r="E4919" t="s">
        <v>712</v>
      </c>
    </row>
    <row r="4920" spans="1:5" hidden="1" x14ac:dyDescent="0.3">
      <c r="A4920" t="s">
        <v>557</v>
      </c>
      <c r="B4920" t="s">
        <v>711</v>
      </c>
      <c r="C4920" t="s">
        <v>696</v>
      </c>
      <c r="D4920" s="230">
        <v>0</v>
      </c>
      <c r="E4920" t="s">
        <v>712</v>
      </c>
    </row>
    <row r="4921" spans="1:5" hidden="1" x14ac:dyDescent="0.3">
      <c r="A4921" t="s">
        <v>557</v>
      </c>
      <c r="B4921" t="s">
        <v>711</v>
      </c>
      <c r="C4921" t="s">
        <v>697</v>
      </c>
      <c r="D4921" s="230">
        <v>0</v>
      </c>
      <c r="E4921" t="s">
        <v>712</v>
      </c>
    </row>
    <row r="4922" spans="1:5" hidden="1" x14ac:dyDescent="0.3">
      <c r="A4922" t="s">
        <v>557</v>
      </c>
      <c r="B4922" t="s">
        <v>711</v>
      </c>
      <c r="C4922" t="s">
        <v>698</v>
      </c>
      <c r="D4922" s="230">
        <v>-52.48</v>
      </c>
      <c r="E4922" t="s">
        <v>712</v>
      </c>
    </row>
    <row r="4923" spans="1:5" hidden="1" x14ac:dyDescent="0.3">
      <c r="A4923" t="s">
        <v>557</v>
      </c>
      <c r="B4923" t="s">
        <v>711</v>
      </c>
      <c r="C4923" t="s">
        <v>699</v>
      </c>
      <c r="D4923" s="230">
        <v>0</v>
      </c>
      <c r="E4923" t="s">
        <v>712</v>
      </c>
    </row>
    <row r="4924" spans="1:5" hidden="1" x14ac:dyDescent="0.3">
      <c r="A4924" t="s">
        <v>557</v>
      </c>
      <c r="B4924" t="s">
        <v>711</v>
      </c>
      <c r="C4924" t="s">
        <v>245</v>
      </c>
      <c r="D4924" s="230">
        <v>-9407.74</v>
      </c>
      <c r="E4924" t="s">
        <v>712</v>
      </c>
    </row>
    <row r="4925" spans="1:5" hidden="1" x14ac:dyDescent="0.3">
      <c r="A4925" t="s">
        <v>557</v>
      </c>
      <c r="B4925" t="s">
        <v>711</v>
      </c>
      <c r="C4925" t="s">
        <v>700</v>
      </c>
      <c r="D4925" s="230">
        <v>-2187.27</v>
      </c>
      <c r="E4925" t="s">
        <v>712</v>
      </c>
    </row>
    <row r="4926" spans="1:5" hidden="1" x14ac:dyDescent="0.3">
      <c r="A4926" t="s">
        <v>557</v>
      </c>
      <c r="B4926" t="s">
        <v>711</v>
      </c>
      <c r="C4926" t="s">
        <v>701</v>
      </c>
      <c r="D4926" s="230">
        <v>-496.12</v>
      </c>
      <c r="E4926" t="s">
        <v>712</v>
      </c>
    </row>
    <row r="4927" spans="1:5" hidden="1" x14ac:dyDescent="0.3">
      <c r="A4927" t="s">
        <v>557</v>
      </c>
      <c r="B4927" t="s">
        <v>711</v>
      </c>
      <c r="C4927" t="s">
        <v>702</v>
      </c>
      <c r="D4927" s="230">
        <v>0</v>
      </c>
      <c r="E4927" t="s">
        <v>712</v>
      </c>
    </row>
    <row r="4928" spans="1:5" hidden="1" x14ac:dyDescent="0.3">
      <c r="A4928" t="s">
        <v>557</v>
      </c>
      <c r="B4928" t="s">
        <v>711</v>
      </c>
      <c r="C4928" t="s">
        <v>703</v>
      </c>
      <c r="D4928" s="230">
        <v>0</v>
      </c>
      <c r="E4928" t="s">
        <v>712</v>
      </c>
    </row>
    <row r="4929" spans="1:5" hidden="1" x14ac:dyDescent="0.3">
      <c r="A4929" t="s">
        <v>557</v>
      </c>
      <c r="B4929" t="s">
        <v>711</v>
      </c>
      <c r="C4929" t="s">
        <v>704</v>
      </c>
      <c r="D4929" s="230">
        <v>0</v>
      </c>
      <c r="E4929" t="s">
        <v>712</v>
      </c>
    </row>
    <row r="4930" spans="1:5" hidden="1" x14ac:dyDescent="0.3">
      <c r="A4930" t="s">
        <v>557</v>
      </c>
      <c r="B4930" t="s">
        <v>711</v>
      </c>
      <c r="C4930" t="s">
        <v>705</v>
      </c>
      <c r="D4930" s="230">
        <v>-6724.35</v>
      </c>
      <c r="E4930" t="s">
        <v>712</v>
      </c>
    </row>
    <row r="4931" spans="1:5" hidden="1" x14ac:dyDescent="0.3">
      <c r="A4931" t="s">
        <v>557</v>
      </c>
      <c r="B4931" t="s">
        <v>711</v>
      </c>
      <c r="C4931" t="s">
        <v>706</v>
      </c>
      <c r="D4931" s="230">
        <v>0</v>
      </c>
      <c r="E4931" t="s">
        <v>712</v>
      </c>
    </row>
    <row r="4932" spans="1:5" hidden="1" x14ac:dyDescent="0.3">
      <c r="A4932" t="s">
        <v>557</v>
      </c>
      <c r="B4932" t="s">
        <v>711</v>
      </c>
      <c r="C4932" t="s">
        <v>254</v>
      </c>
      <c r="D4932" s="230">
        <v>-0.32</v>
      </c>
      <c r="E4932" t="s">
        <v>712</v>
      </c>
    </row>
    <row r="4933" spans="1:5" hidden="1" x14ac:dyDescent="0.3">
      <c r="A4933" t="s">
        <v>557</v>
      </c>
      <c r="B4933" t="s">
        <v>711</v>
      </c>
      <c r="C4933" t="s">
        <v>255</v>
      </c>
      <c r="D4933" s="230">
        <v>-0.32</v>
      </c>
      <c r="E4933" t="s">
        <v>712</v>
      </c>
    </row>
    <row r="4934" spans="1:5" hidden="1" x14ac:dyDescent="0.3">
      <c r="A4934" t="s">
        <v>557</v>
      </c>
      <c r="B4934" t="s">
        <v>711</v>
      </c>
      <c r="C4934" t="s">
        <v>256</v>
      </c>
      <c r="D4934" s="230">
        <v>-51752.37</v>
      </c>
      <c r="E4934" t="s">
        <v>712</v>
      </c>
    </row>
    <row r="4935" spans="1:5" hidden="1" x14ac:dyDescent="0.3">
      <c r="A4935" t="s">
        <v>557</v>
      </c>
      <c r="B4935" t="s">
        <v>711</v>
      </c>
      <c r="C4935" t="s">
        <v>257</v>
      </c>
      <c r="D4935" s="230">
        <v>-49305.7</v>
      </c>
      <c r="E4935" t="s">
        <v>712</v>
      </c>
    </row>
    <row r="4936" spans="1:5" hidden="1" x14ac:dyDescent="0.3">
      <c r="A4936" t="s">
        <v>557</v>
      </c>
      <c r="B4936" t="s">
        <v>711</v>
      </c>
      <c r="C4936" t="s">
        <v>258</v>
      </c>
      <c r="D4936" s="230">
        <v>0</v>
      </c>
      <c r="E4936" t="s">
        <v>712</v>
      </c>
    </row>
    <row r="4937" spans="1:5" hidden="1" x14ac:dyDescent="0.3">
      <c r="A4937" t="s">
        <v>557</v>
      </c>
      <c r="B4937" t="s">
        <v>711</v>
      </c>
      <c r="C4937" t="s">
        <v>259</v>
      </c>
      <c r="D4937" s="230">
        <v>-2446.67</v>
      </c>
      <c r="E4937" t="s">
        <v>712</v>
      </c>
    </row>
    <row r="4938" spans="1:5" hidden="1" x14ac:dyDescent="0.3">
      <c r="A4938" t="s">
        <v>557</v>
      </c>
      <c r="B4938" t="s">
        <v>711</v>
      </c>
      <c r="C4938" t="s">
        <v>260</v>
      </c>
      <c r="D4938" s="230">
        <v>0</v>
      </c>
      <c r="E4938" t="s">
        <v>712</v>
      </c>
    </row>
    <row r="4939" spans="1:5" hidden="1" x14ac:dyDescent="0.3">
      <c r="A4939" t="s">
        <v>557</v>
      </c>
      <c r="B4939" t="s">
        <v>711</v>
      </c>
      <c r="C4939" t="s">
        <v>261</v>
      </c>
      <c r="D4939" s="230">
        <v>0</v>
      </c>
      <c r="E4939" t="s">
        <v>712</v>
      </c>
    </row>
    <row r="4940" spans="1:5" hidden="1" x14ac:dyDescent="0.3">
      <c r="A4940" t="s">
        <v>557</v>
      </c>
      <c r="B4940" t="s">
        <v>711</v>
      </c>
      <c r="C4940" t="s">
        <v>262</v>
      </c>
      <c r="D4940" s="230">
        <v>0</v>
      </c>
      <c r="E4940" t="s">
        <v>712</v>
      </c>
    </row>
    <row r="4941" spans="1:5" hidden="1" x14ac:dyDescent="0.3">
      <c r="A4941" t="s">
        <v>557</v>
      </c>
      <c r="B4941" t="s">
        <v>711</v>
      </c>
      <c r="C4941" t="s">
        <v>263</v>
      </c>
      <c r="D4941" s="230">
        <v>0</v>
      </c>
      <c r="E4941" t="s">
        <v>712</v>
      </c>
    </row>
    <row r="4942" spans="1:5" hidden="1" x14ac:dyDescent="0.3">
      <c r="A4942" t="s">
        <v>557</v>
      </c>
      <c r="B4942" t="s">
        <v>711</v>
      </c>
      <c r="C4942" t="s">
        <v>44</v>
      </c>
      <c r="D4942" s="230">
        <v>-0.11</v>
      </c>
      <c r="E4942" t="s">
        <v>712</v>
      </c>
    </row>
    <row r="4943" spans="1:5" hidden="1" x14ac:dyDescent="0.3">
      <c r="A4943" t="s">
        <v>557</v>
      </c>
      <c r="B4943" t="s">
        <v>711</v>
      </c>
      <c r="C4943" t="s">
        <v>264</v>
      </c>
      <c r="D4943" s="230">
        <v>-32910.43</v>
      </c>
      <c r="E4943" t="s">
        <v>712</v>
      </c>
    </row>
    <row r="4944" spans="1:5" hidden="1" x14ac:dyDescent="0.3">
      <c r="A4944" t="s">
        <v>557</v>
      </c>
      <c r="B4944" t="s">
        <v>711</v>
      </c>
      <c r="C4944" t="s">
        <v>265</v>
      </c>
      <c r="D4944" s="230">
        <v>-4910.72</v>
      </c>
      <c r="E4944" t="s">
        <v>712</v>
      </c>
    </row>
    <row r="4945" spans="1:5" hidden="1" x14ac:dyDescent="0.3">
      <c r="A4945" t="s">
        <v>557</v>
      </c>
      <c r="B4945" t="s">
        <v>711</v>
      </c>
      <c r="C4945" t="s">
        <v>266</v>
      </c>
      <c r="D4945" s="230">
        <v>-9678.2199999999993</v>
      </c>
      <c r="E4945" t="s">
        <v>712</v>
      </c>
    </row>
    <row r="4946" spans="1:5" hidden="1" x14ac:dyDescent="0.3">
      <c r="A4946" t="s">
        <v>557</v>
      </c>
      <c r="B4946" t="s">
        <v>711</v>
      </c>
      <c r="C4946" t="s">
        <v>267</v>
      </c>
      <c r="D4946" s="230">
        <v>-4319.87</v>
      </c>
      <c r="E4946" t="s">
        <v>712</v>
      </c>
    </row>
    <row r="4947" spans="1:5" hidden="1" x14ac:dyDescent="0.3">
      <c r="A4947" t="s">
        <v>557</v>
      </c>
      <c r="B4947" t="s">
        <v>711</v>
      </c>
      <c r="C4947" t="s">
        <v>268</v>
      </c>
      <c r="D4947" s="230">
        <v>-8054.91</v>
      </c>
      <c r="E4947" t="s">
        <v>712</v>
      </c>
    </row>
    <row r="4948" spans="1:5" hidden="1" x14ac:dyDescent="0.3">
      <c r="A4948" t="s">
        <v>557</v>
      </c>
      <c r="B4948" t="s">
        <v>711</v>
      </c>
      <c r="C4948" t="s">
        <v>269</v>
      </c>
      <c r="D4948" s="230">
        <v>0</v>
      </c>
      <c r="E4948" t="s">
        <v>712</v>
      </c>
    </row>
    <row r="4949" spans="1:5" hidden="1" x14ac:dyDescent="0.3">
      <c r="A4949" t="s">
        <v>557</v>
      </c>
      <c r="B4949" t="s">
        <v>711</v>
      </c>
      <c r="C4949" t="s">
        <v>270</v>
      </c>
      <c r="D4949" s="230">
        <v>-500</v>
      </c>
      <c r="E4949" t="s">
        <v>712</v>
      </c>
    </row>
    <row r="4950" spans="1:5" hidden="1" x14ac:dyDescent="0.3">
      <c r="A4950" t="s">
        <v>557</v>
      </c>
      <c r="B4950" t="s">
        <v>711</v>
      </c>
      <c r="C4950" t="s">
        <v>271</v>
      </c>
      <c r="D4950" s="230">
        <v>-788.88</v>
      </c>
      <c r="E4950" t="s">
        <v>712</v>
      </c>
    </row>
    <row r="4951" spans="1:5" hidden="1" x14ac:dyDescent="0.3">
      <c r="A4951" t="s">
        <v>557</v>
      </c>
      <c r="B4951" t="s">
        <v>711</v>
      </c>
      <c r="C4951" t="s">
        <v>272</v>
      </c>
      <c r="D4951" s="230">
        <v>-257.98</v>
      </c>
      <c r="E4951" t="s">
        <v>712</v>
      </c>
    </row>
    <row r="4952" spans="1:5" hidden="1" x14ac:dyDescent="0.3">
      <c r="A4952" t="s">
        <v>557</v>
      </c>
      <c r="B4952" t="s">
        <v>711</v>
      </c>
      <c r="C4952" t="s">
        <v>273</v>
      </c>
      <c r="D4952" s="230">
        <v>0</v>
      </c>
      <c r="E4952" t="s">
        <v>712</v>
      </c>
    </row>
    <row r="4953" spans="1:5" hidden="1" x14ac:dyDescent="0.3">
      <c r="A4953" t="s">
        <v>557</v>
      </c>
      <c r="B4953" t="s">
        <v>711</v>
      </c>
      <c r="C4953" t="s">
        <v>274</v>
      </c>
      <c r="D4953" s="230">
        <v>0</v>
      </c>
      <c r="E4953" t="s">
        <v>712</v>
      </c>
    </row>
    <row r="4954" spans="1:5" hidden="1" x14ac:dyDescent="0.3">
      <c r="A4954" t="s">
        <v>557</v>
      </c>
      <c r="B4954" t="s">
        <v>711</v>
      </c>
      <c r="C4954" t="s">
        <v>275</v>
      </c>
      <c r="D4954" s="230">
        <v>-530.11</v>
      </c>
      <c r="E4954" t="s">
        <v>712</v>
      </c>
    </row>
    <row r="4955" spans="1:5" hidden="1" x14ac:dyDescent="0.3">
      <c r="A4955" t="s">
        <v>557</v>
      </c>
      <c r="B4955" t="s">
        <v>711</v>
      </c>
      <c r="C4955" t="s">
        <v>276</v>
      </c>
      <c r="D4955" s="230">
        <v>-245.18</v>
      </c>
      <c r="E4955" t="s">
        <v>712</v>
      </c>
    </row>
    <row r="4956" spans="1:5" hidden="1" x14ac:dyDescent="0.3">
      <c r="A4956" t="s">
        <v>557</v>
      </c>
      <c r="B4956" t="s">
        <v>711</v>
      </c>
      <c r="C4956" t="s">
        <v>277</v>
      </c>
      <c r="D4956" s="230">
        <v>0</v>
      </c>
      <c r="E4956" t="s">
        <v>712</v>
      </c>
    </row>
    <row r="4957" spans="1:5" hidden="1" x14ac:dyDescent="0.3">
      <c r="A4957" t="s">
        <v>557</v>
      </c>
      <c r="B4957" t="s">
        <v>711</v>
      </c>
      <c r="C4957" t="s">
        <v>278</v>
      </c>
      <c r="D4957" s="230">
        <v>-3624.56</v>
      </c>
      <c r="E4957" t="s">
        <v>712</v>
      </c>
    </row>
    <row r="4958" spans="1:5" hidden="1" x14ac:dyDescent="0.3">
      <c r="A4958" t="s">
        <v>557</v>
      </c>
      <c r="B4958" t="s">
        <v>711</v>
      </c>
      <c r="C4958" t="s">
        <v>44</v>
      </c>
      <c r="D4958" s="230">
        <v>-7.0000000000000007E-2</v>
      </c>
      <c r="E4958" t="s">
        <v>712</v>
      </c>
    </row>
    <row r="4959" spans="1:5" hidden="1" x14ac:dyDescent="0.3">
      <c r="A4959" t="s">
        <v>557</v>
      </c>
      <c r="B4959" t="s">
        <v>711</v>
      </c>
      <c r="C4959" t="s">
        <v>279</v>
      </c>
      <c r="D4959" s="230">
        <v>-6009.37</v>
      </c>
      <c r="E4959" t="s">
        <v>712</v>
      </c>
    </row>
    <row r="4960" spans="1:5" hidden="1" x14ac:dyDescent="0.3">
      <c r="A4960" t="s">
        <v>557</v>
      </c>
      <c r="B4960" t="s">
        <v>711</v>
      </c>
      <c r="C4960" t="s">
        <v>280</v>
      </c>
      <c r="D4960" s="230">
        <v>-299.89999999999998</v>
      </c>
      <c r="E4960" t="s">
        <v>712</v>
      </c>
    </row>
    <row r="4961" spans="1:5" hidden="1" x14ac:dyDescent="0.3">
      <c r="A4961" t="s">
        <v>557</v>
      </c>
      <c r="B4961" t="s">
        <v>711</v>
      </c>
      <c r="C4961" t="s">
        <v>281</v>
      </c>
      <c r="D4961" s="230">
        <v>-363.37</v>
      </c>
      <c r="E4961" t="s">
        <v>712</v>
      </c>
    </row>
    <row r="4962" spans="1:5" hidden="1" x14ac:dyDescent="0.3">
      <c r="A4962" t="s">
        <v>557</v>
      </c>
      <c r="B4962" t="s">
        <v>711</v>
      </c>
      <c r="C4962" t="s">
        <v>282</v>
      </c>
      <c r="D4962" s="230">
        <v>-295.92</v>
      </c>
      <c r="E4962" t="s">
        <v>712</v>
      </c>
    </row>
    <row r="4963" spans="1:5" hidden="1" x14ac:dyDescent="0.3">
      <c r="A4963" t="s">
        <v>557</v>
      </c>
      <c r="B4963" t="s">
        <v>711</v>
      </c>
      <c r="C4963" t="s">
        <v>283</v>
      </c>
      <c r="D4963" s="230">
        <v>0</v>
      </c>
      <c r="E4963" t="s">
        <v>712</v>
      </c>
    </row>
    <row r="4964" spans="1:5" hidden="1" x14ac:dyDescent="0.3">
      <c r="A4964" t="s">
        <v>557</v>
      </c>
      <c r="B4964" t="s">
        <v>711</v>
      </c>
      <c r="C4964" t="s">
        <v>284</v>
      </c>
      <c r="D4964" s="230">
        <v>-5050.18</v>
      </c>
      <c r="E4964" t="s">
        <v>712</v>
      </c>
    </row>
    <row r="4965" spans="1:5" hidden="1" x14ac:dyDescent="0.3">
      <c r="A4965" t="s">
        <v>557</v>
      </c>
      <c r="B4965" t="s">
        <v>711</v>
      </c>
      <c r="C4965" t="s">
        <v>285</v>
      </c>
      <c r="D4965" s="230">
        <v>0</v>
      </c>
      <c r="E4965" t="s">
        <v>712</v>
      </c>
    </row>
    <row r="4966" spans="1:5" hidden="1" x14ac:dyDescent="0.3">
      <c r="A4966" t="s">
        <v>557</v>
      </c>
      <c r="B4966" t="s">
        <v>711</v>
      </c>
      <c r="C4966" t="s">
        <v>286</v>
      </c>
      <c r="D4966" s="230">
        <v>0</v>
      </c>
      <c r="E4966" t="s">
        <v>712</v>
      </c>
    </row>
    <row r="4967" spans="1:5" hidden="1" x14ac:dyDescent="0.3">
      <c r="A4967" t="s">
        <v>557</v>
      </c>
      <c r="B4967" t="s">
        <v>711</v>
      </c>
      <c r="C4967" t="s">
        <v>44</v>
      </c>
      <c r="D4967" s="230">
        <v>-0.01</v>
      </c>
      <c r="E4967" t="s">
        <v>712</v>
      </c>
    </row>
    <row r="4968" spans="1:5" hidden="1" x14ac:dyDescent="0.3">
      <c r="A4968" t="s">
        <v>557</v>
      </c>
      <c r="B4968" t="s">
        <v>711</v>
      </c>
      <c r="C4968" t="s">
        <v>287</v>
      </c>
      <c r="D4968" s="230">
        <v>-5616.7</v>
      </c>
      <c r="E4968" t="s">
        <v>712</v>
      </c>
    </row>
    <row r="4969" spans="1:5" hidden="1" x14ac:dyDescent="0.3">
      <c r="A4969" t="s">
        <v>557</v>
      </c>
      <c r="B4969" t="s">
        <v>711</v>
      </c>
      <c r="C4969" t="s">
        <v>288</v>
      </c>
      <c r="D4969" s="230">
        <v>-5017.8599999999997</v>
      </c>
      <c r="E4969" t="s">
        <v>712</v>
      </c>
    </row>
    <row r="4970" spans="1:5" hidden="1" x14ac:dyDescent="0.3">
      <c r="A4970" t="s">
        <v>557</v>
      </c>
      <c r="B4970" t="s">
        <v>711</v>
      </c>
      <c r="C4970" t="s">
        <v>289</v>
      </c>
      <c r="D4970" s="230">
        <v>0</v>
      </c>
      <c r="E4970" t="s">
        <v>712</v>
      </c>
    </row>
    <row r="4971" spans="1:5" hidden="1" x14ac:dyDescent="0.3">
      <c r="A4971" t="s">
        <v>557</v>
      </c>
      <c r="B4971" t="s">
        <v>711</v>
      </c>
      <c r="C4971" t="s">
        <v>290</v>
      </c>
      <c r="D4971" s="230">
        <v>0</v>
      </c>
      <c r="E4971" t="s">
        <v>712</v>
      </c>
    </row>
    <row r="4972" spans="1:5" hidden="1" x14ac:dyDescent="0.3">
      <c r="A4972" t="s">
        <v>557</v>
      </c>
      <c r="B4972" t="s">
        <v>711</v>
      </c>
      <c r="C4972" t="s">
        <v>291</v>
      </c>
      <c r="D4972" s="230">
        <v>0</v>
      </c>
      <c r="E4972" t="s">
        <v>712</v>
      </c>
    </row>
    <row r="4973" spans="1:5" hidden="1" x14ac:dyDescent="0.3">
      <c r="A4973" t="s">
        <v>557</v>
      </c>
      <c r="B4973" t="s">
        <v>711</v>
      </c>
      <c r="C4973" t="s">
        <v>292</v>
      </c>
      <c r="D4973" s="230">
        <v>0</v>
      </c>
      <c r="E4973" t="s">
        <v>712</v>
      </c>
    </row>
    <row r="4974" spans="1:5" hidden="1" x14ac:dyDescent="0.3">
      <c r="A4974" t="s">
        <v>557</v>
      </c>
      <c r="B4974" t="s">
        <v>711</v>
      </c>
      <c r="C4974" t="s">
        <v>293</v>
      </c>
      <c r="D4974" s="230">
        <v>-598.84</v>
      </c>
      <c r="E4974" t="s">
        <v>712</v>
      </c>
    </row>
    <row r="4975" spans="1:5" hidden="1" x14ac:dyDescent="0.3">
      <c r="A4975" t="s">
        <v>557</v>
      </c>
      <c r="B4975" t="s">
        <v>711</v>
      </c>
      <c r="C4975" t="s">
        <v>294</v>
      </c>
      <c r="D4975" s="230">
        <v>-228.92</v>
      </c>
      <c r="E4975" t="s">
        <v>712</v>
      </c>
    </row>
    <row r="4976" spans="1:5" hidden="1" x14ac:dyDescent="0.3">
      <c r="A4976" t="s">
        <v>557</v>
      </c>
      <c r="B4976" t="s">
        <v>711</v>
      </c>
      <c r="C4976" t="s">
        <v>295</v>
      </c>
      <c r="D4976" s="230">
        <v>0</v>
      </c>
      <c r="E4976" t="s">
        <v>712</v>
      </c>
    </row>
    <row r="4977" spans="1:5" hidden="1" x14ac:dyDescent="0.3">
      <c r="A4977" t="s">
        <v>557</v>
      </c>
      <c r="B4977" t="s">
        <v>711</v>
      </c>
      <c r="C4977" t="s">
        <v>44</v>
      </c>
      <c r="D4977" s="230">
        <v>-0.01</v>
      </c>
      <c r="E4977" t="s">
        <v>712</v>
      </c>
    </row>
    <row r="4978" spans="1:5" hidden="1" x14ac:dyDescent="0.3">
      <c r="A4978" t="s">
        <v>557</v>
      </c>
      <c r="B4978" t="s">
        <v>711</v>
      </c>
      <c r="C4978" t="s">
        <v>296</v>
      </c>
      <c r="D4978" s="230">
        <v>-5294.7</v>
      </c>
      <c r="E4978" t="s">
        <v>712</v>
      </c>
    </row>
    <row r="4979" spans="1:5" hidden="1" x14ac:dyDescent="0.3">
      <c r="A4979" t="s">
        <v>557</v>
      </c>
      <c r="B4979" t="s">
        <v>711</v>
      </c>
      <c r="C4979" t="s">
        <v>297</v>
      </c>
      <c r="D4979" s="230">
        <v>-2000</v>
      </c>
      <c r="E4979" t="s">
        <v>712</v>
      </c>
    </row>
    <row r="4980" spans="1:5" hidden="1" x14ac:dyDescent="0.3">
      <c r="A4980" t="s">
        <v>557</v>
      </c>
      <c r="B4980" t="s">
        <v>711</v>
      </c>
      <c r="C4980" t="s">
        <v>298</v>
      </c>
      <c r="D4980" s="230">
        <v>-460</v>
      </c>
      <c r="E4980" t="s">
        <v>712</v>
      </c>
    </row>
    <row r="4981" spans="1:5" hidden="1" x14ac:dyDescent="0.3">
      <c r="A4981" t="s">
        <v>557</v>
      </c>
      <c r="B4981" t="s">
        <v>711</v>
      </c>
      <c r="C4981" t="s">
        <v>299</v>
      </c>
      <c r="D4981" s="230">
        <v>0</v>
      </c>
      <c r="E4981" t="s">
        <v>712</v>
      </c>
    </row>
    <row r="4982" spans="1:5" hidden="1" x14ac:dyDescent="0.3">
      <c r="A4982" t="s">
        <v>557</v>
      </c>
      <c r="B4982" t="s">
        <v>711</v>
      </c>
      <c r="C4982" t="s">
        <v>300</v>
      </c>
      <c r="D4982" s="230">
        <v>0</v>
      </c>
      <c r="E4982" t="s">
        <v>712</v>
      </c>
    </row>
    <row r="4983" spans="1:5" hidden="1" x14ac:dyDescent="0.3">
      <c r="A4983" t="s">
        <v>557</v>
      </c>
      <c r="B4983" t="s">
        <v>711</v>
      </c>
      <c r="C4983" t="s">
        <v>301</v>
      </c>
      <c r="D4983" s="230">
        <v>0</v>
      </c>
      <c r="E4983" t="s">
        <v>712</v>
      </c>
    </row>
    <row r="4984" spans="1:5" hidden="1" x14ac:dyDescent="0.3">
      <c r="A4984" t="s">
        <v>557</v>
      </c>
      <c r="B4984" t="s">
        <v>711</v>
      </c>
      <c r="C4984" t="s">
        <v>302</v>
      </c>
      <c r="D4984" s="230">
        <v>0</v>
      </c>
      <c r="E4984" t="s">
        <v>712</v>
      </c>
    </row>
    <row r="4985" spans="1:5" hidden="1" x14ac:dyDescent="0.3">
      <c r="A4985" t="s">
        <v>557</v>
      </c>
      <c r="B4985" t="s">
        <v>711</v>
      </c>
      <c r="C4985" t="s">
        <v>303</v>
      </c>
      <c r="D4985" s="230">
        <v>0</v>
      </c>
      <c r="E4985" t="s">
        <v>712</v>
      </c>
    </row>
    <row r="4986" spans="1:5" hidden="1" x14ac:dyDescent="0.3">
      <c r="A4986" t="s">
        <v>557</v>
      </c>
      <c r="B4986" t="s">
        <v>711</v>
      </c>
      <c r="C4986" t="s">
        <v>304</v>
      </c>
      <c r="D4986" s="230">
        <v>-570</v>
      </c>
      <c r="E4986" t="s">
        <v>712</v>
      </c>
    </row>
    <row r="4987" spans="1:5" hidden="1" x14ac:dyDescent="0.3">
      <c r="A4987" t="s">
        <v>557</v>
      </c>
      <c r="B4987" t="s">
        <v>711</v>
      </c>
      <c r="C4987" t="s">
        <v>305</v>
      </c>
      <c r="D4987" s="230">
        <v>0</v>
      </c>
      <c r="E4987" t="s">
        <v>712</v>
      </c>
    </row>
    <row r="4988" spans="1:5" hidden="1" x14ac:dyDescent="0.3">
      <c r="A4988" t="s">
        <v>557</v>
      </c>
      <c r="B4988" t="s">
        <v>711</v>
      </c>
      <c r="C4988" t="s">
        <v>306</v>
      </c>
      <c r="D4988" s="230">
        <v>0</v>
      </c>
      <c r="E4988" t="s">
        <v>712</v>
      </c>
    </row>
    <row r="4989" spans="1:5" hidden="1" x14ac:dyDescent="0.3">
      <c r="A4989" t="s">
        <v>557</v>
      </c>
      <c r="B4989" t="s">
        <v>711</v>
      </c>
      <c r="C4989" t="s">
        <v>307</v>
      </c>
      <c r="D4989" s="230">
        <v>-2264.6999999999998</v>
      </c>
      <c r="E4989" t="s">
        <v>712</v>
      </c>
    </row>
    <row r="4990" spans="1:5" hidden="1" x14ac:dyDescent="0.3">
      <c r="A4990" t="s">
        <v>557</v>
      </c>
      <c r="B4990" t="s">
        <v>711</v>
      </c>
      <c r="C4990" t="s">
        <v>44</v>
      </c>
      <c r="D4990" s="230">
        <v>-0.01</v>
      </c>
      <c r="E4990" t="s">
        <v>712</v>
      </c>
    </row>
    <row r="4991" spans="1:5" hidden="1" x14ac:dyDescent="0.3">
      <c r="A4991" t="s">
        <v>557</v>
      </c>
      <c r="B4991" t="s">
        <v>711</v>
      </c>
      <c r="C4991" t="s">
        <v>308</v>
      </c>
      <c r="D4991" s="230">
        <v>-2298.23</v>
      </c>
      <c r="E4991" t="s">
        <v>712</v>
      </c>
    </row>
    <row r="4992" spans="1:5" hidden="1" x14ac:dyDescent="0.3">
      <c r="A4992" t="s">
        <v>557</v>
      </c>
      <c r="B4992" t="s">
        <v>711</v>
      </c>
      <c r="C4992" t="s">
        <v>309</v>
      </c>
      <c r="D4992" s="230">
        <v>-1412</v>
      </c>
      <c r="E4992" t="s">
        <v>712</v>
      </c>
    </row>
    <row r="4993" spans="1:5" hidden="1" x14ac:dyDescent="0.3">
      <c r="A4993" t="s">
        <v>557</v>
      </c>
      <c r="B4993" t="s">
        <v>711</v>
      </c>
      <c r="C4993" t="s">
        <v>310</v>
      </c>
      <c r="D4993" s="230">
        <v>0</v>
      </c>
      <c r="E4993" t="s">
        <v>712</v>
      </c>
    </row>
    <row r="4994" spans="1:5" hidden="1" x14ac:dyDescent="0.3">
      <c r="A4994" t="s">
        <v>557</v>
      </c>
      <c r="B4994" t="s">
        <v>711</v>
      </c>
      <c r="C4994" t="s">
        <v>311</v>
      </c>
      <c r="D4994" s="230">
        <v>-650</v>
      </c>
      <c r="E4994" t="s">
        <v>712</v>
      </c>
    </row>
    <row r="4995" spans="1:5" hidden="1" x14ac:dyDescent="0.3">
      <c r="A4995" t="s">
        <v>557</v>
      </c>
      <c r="B4995" t="s">
        <v>711</v>
      </c>
      <c r="C4995" t="s">
        <v>312</v>
      </c>
      <c r="D4995" s="230">
        <v>0</v>
      </c>
      <c r="E4995" t="s">
        <v>712</v>
      </c>
    </row>
    <row r="4996" spans="1:5" hidden="1" x14ac:dyDescent="0.3">
      <c r="A4996" t="s">
        <v>557</v>
      </c>
      <c r="B4996" t="s">
        <v>711</v>
      </c>
      <c r="C4996" t="s">
        <v>313</v>
      </c>
      <c r="D4996" s="230">
        <v>0</v>
      </c>
      <c r="E4996" t="s">
        <v>712</v>
      </c>
    </row>
    <row r="4997" spans="1:5" hidden="1" x14ac:dyDescent="0.3">
      <c r="A4997" t="s">
        <v>557</v>
      </c>
      <c r="B4997" t="s">
        <v>711</v>
      </c>
      <c r="C4997" t="s">
        <v>314</v>
      </c>
      <c r="D4997" s="230">
        <v>0</v>
      </c>
      <c r="E4997" t="s">
        <v>712</v>
      </c>
    </row>
    <row r="4998" spans="1:5" hidden="1" x14ac:dyDescent="0.3">
      <c r="A4998" t="s">
        <v>557</v>
      </c>
      <c r="B4998" t="s">
        <v>711</v>
      </c>
      <c r="C4998" t="s">
        <v>315</v>
      </c>
      <c r="D4998" s="230">
        <v>0</v>
      </c>
      <c r="E4998" t="s">
        <v>712</v>
      </c>
    </row>
    <row r="4999" spans="1:5" hidden="1" x14ac:dyDescent="0.3">
      <c r="A4999" t="s">
        <v>557</v>
      </c>
      <c r="B4999" t="s">
        <v>711</v>
      </c>
      <c r="C4999" t="s">
        <v>316</v>
      </c>
      <c r="D4999" s="230">
        <v>-236.23</v>
      </c>
      <c r="E4999" t="s">
        <v>712</v>
      </c>
    </row>
    <row r="5000" spans="1:5" hidden="1" x14ac:dyDescent="0.3">
      <c r="A5000" t="s">
        <v>557</v>
      </c>
      <c r="B5000" t="s">
        <v>711</v>
      </c>
      <c r="C5000" t="s">
        <v>317</v>
      </c>
      <c r="D5000" s="230">
        <v>0</v>
      </c>
      <c r="E5000" t="s">
        <v>712</v>
      </c>
    </row>
    <row r="5001" spans="1:5" hidden="1" x14ac:dyDescent="0.3">
      <c r="A5001" t="s">
        <v>557</v>
      </c>
      <c r="B5001" t="s">
        <v>711</v>
      </c>
      <c r="C5001" t="s">
        <v>44</v>
      </c>
      <c r="D5001" s="230">
        <v>0</v>
      </c>
      <c r="E5001" t="s">
        <v>712</v>
      </c>
    </row>
    <row r="5002" spans="1:5" hidden="1" x14ac:dyDescent="0.3">
      <c r="A5002" t="s">
        <v>557</v>
      </c>
      <c r="B5002" t="s">
        <v>711</v>
      </c>
      <c r="C5002" t="s">
        <v>318</v>
      </c>
      <c r="D5002" s="230">
        <v>-2124.3000000000002</v>
      </c>
      <c r="E5002" t="s">
        <v>712</v>
      </c>
    </row>
    <row r="5003" spans="1:5" hidden="1" x14ac:dyDescent="0.3">
      <c r="A5003" t="s">
        <v>557</v>
      </c>
      <c r="B5003" t="s">
        <v>711</v>
      </c>
      <c r="C5003" t="s">
        <v>319</v>
      </c>
      <c r="D5003" s="230">
        <v>-2124.3000000000002</v>
      </c>
      <c r="E5003" t="s">
        <v>712</v>
      </c>
    </row>
    <row r="5004" spans="1:5" hidden="1" x14ac:dyDescent="0.3">
      <c r="A5004" t="s">
        <v>557</v>
      </c>
      <c r="B5004" t="s">
        <v>711</v>
      </c>
      <c r="C5004" t="s">
        <v>320</v>
      </c>
      <c r="D5004" s="230">
        <v>0</v>
      </c>
      <c r="E5004" t="s">
        <v>712</v>
      </c>
    </row>
    <row r="5005" spans="1:5" hidden="1" x14ac:dyDescent="0.3">
      <c r="A5005" t="s">
        <v>557</v>
      </c>
      <c r="B5005" t="s">
        <v>711</v>
      </c>
      <c r="C5005" t="s">
        <v>321</v>
      </c>
      <c r="D5005" s="230">
        <v>0</v>
      </c>
      <c r="E5005" t="s">
        <v>712</v>
      </c>
    </row>
    <row r="5006" spans="1:5" hidden="1" x14ac:dyDescent="0.3">
      <c r="A5006" t="s">
        <v>557</v>
      </c>
      <c r="B5006" t="s">
        <v>711</v>
      </c>
      <c r="C5006" t="s">
        <v>322</v>
      </c>
      <c r="D5006" s="230">
        <v>0</v>
      </c>
      <c r="E5006" t="s">
        <v>712</v>
      </c>
    </row>
    <row r="5007" spans="1:5" hidden="1" x14ac:dyDescent="0.3">
      <c r="A5007" t="s">
        <v>557</v>
      </c>
      <c r="B5007" t="s">
        <v>711</v>
      </c>
      <c r="C5007" t="s">
        <v>44</v>
      </c>
      <c r="D5007" s="230">
        <v>0</v>
      </c>
      <c r="E5007" t="s">
        <v>712</v>
      </c>
    </row>
    <row r="5008" spans="1:5" hidden="1" x14ac:dyDescent="0.3">
      <c r="A5008" t="s">
        <v>557</v>
      </c>
      <c r="B5008" t="s">
        <v>711</v>
      </c>
      <c r="C5008" t="s">
        <v>323</v>
      </c>
      <c r="D5008" s="230">
        <v>-23069.29</v>
      </c>
      <c r="E5008" t="s">
        <v>712</v>
      </c>
    </row>
    <row r="5009" spans="1:5" hidden="1" x14ac:dyDescent="0.3">
      <c r="A5009" t="s">
        <v>557</v>
      </c>
      <c r="B5009" t="s">
        <v>711</v>
      </c>
      <c r="C5009" t="s">
        <v>324</v>
      </c>
      <c r="D5009" s="230">
        <v>0</v>
      </c>
      <c r="E5009" t="s">
        <v>712</v>
      </c>
    </row>
    <row r="5010" spans="1:5" hidden="1" x14ac:dyDescent="0.3">
      <c r="A5010" t="s">
        <v>557</v>
      </c>
      <c r="B5010" t="s">
        <v>711</v>
      </c>
      <c r="C5010" t="s">
        <v>325</v>
      </c>
      <c r="D5010" s="230">
        <v>0</v>
      </c>
      <c r="E5010" t="s">
        <v>712</v>
      </c>
    </row>
    <row r="5011" spans="1:5" hidden="1" x14ac:dyDescent="0.3">
      <c r="A5011" t="s">
        <v>557</v>
      </c>
      <c r="B5011" t="s">
        <v>711</v>
      </c>
      <c r="C5011" t="s">
        <v>326</v>
      </c>
      <c r="D5011" s="230">
        <v>-23069.29</v>
      </c>
      <c r="E5011" t="s">
        <v>712</v>
      </c>
    </row>
    <row r="5012" spans="1:5" hidden="1" x14ac:dyDescent="0.3">
      <c r="A5012" t="s">
        <v>557</v>
      </c>
      <c r="B5012" t="s">
        <v>711</v>
      </c>
      <c r="C5012" t="s">
        <v>44</v>
      </c>
      <c r="D5012" s="230">
        <v>-0.05</v>
      </c>
      <c r="E5012" t="s">
        <v>712</v>
      </c>
    </row>
    <row r="5013" spans="1:5" hidden="1" x14ac:dyDescent="0.3">
      <c r="A5013" t="s">
        <v>557</v>
      </c>
      <c r="B5013" t="s">
        <v>711</v>
      </c>
      <c r="C5013" t="s">
        <v>328</v>
      </c>
      <c r="D5013" s="230">
        <v>-245228.15</v>
      </c>
      <c r="E5013" t="s">
        <v>712</v>
      </c>
    </row>
    <row r="5014" spans="1:5" hidden="1" x14ac:dyDescent="0.3">
      <c r="A5014" t="s">
        <v>557</v>
      </c>
      <c r="B5014" t="s">
        <v>711</v>
      </c>
      <c r="C5014" t="s">
        <v>44</v>
      </c>
      <c r="D5014" s="230">
        <v>-0.53</v>
      </c>
      <c r="E5014" t="s">
        <v>712</v>
      </c>
    </row>
    <row r="5015" spans="1:5" hidden="1" x14ac:dyDescent="0.3">
      <c r="A5015" t="s">
        <v>557</v>
      </c>
      <c r="B5015" t="s">
        <v>711</v>
      </c>
      <c r="C5015" t="s">
        <v>329</v>
      </c>
      <c r="D5015" s="230">
        <v>-1194.8399999999999</v>
      </c>
      <c r="E5015" t="s">
        <v>712</v>
      </c>
    </row>
    <row r="5016" spans="1:5" hidden="1" x14ac:dyDescent="0.3">
      <c r="A5016" t="s">
        <v>557</v>
      </c>
      <c r="B5016" t="s">
        <v>711</v>
      </c>
      <c r="C5016" t="s">
        <v>44</v>
      </c>
      <c r="D5016" s="230">
        <v>0</v>
      </c>
      <c r="E5016" t="s">
        <v>712</v>
      </c>
    </row>
    <row r="5017" spans="1:5" hidden="1" x14ac:dyDescent="0.3">
      <c r="A5017" t="s">
        <v>557</v>
      </c>
      <c r="B5017" t="s">
        <v>711</v>
      </c>
      <c r="C5017" t="s">
        <v>330</v>
      </c>
      <c r="D5017" s="230">
        <v>0</v>
      </c>
      <c r="E5017" t="s">
        <v>712</v>
      </c>
    </row>
    <row r="5018" spans="1:5" hidden="1" x14ac:dyDescent="0.3">
      <c r="A5018" t="s">
        <v>557</v>
      </c>
      <c r="B5018" t="s">
        <v>711</v>
      </c>
      <c r="C5018" t="s">
        <v>332</v>
      </c>
      <c r="D5018" s="230">
        <v>-1194.8399999999999</v>
      </c>
      <c r="E5018" t="s">
        <v>712</v>
      </c>
    </row>
    <row r="5019" spans="1:5" hidden="1" x14ac:dyDescent="0.3">
      <c r="A5019" t="s">
        <v>557</v>
      </c>
      <c r="B5019" t="s">
        <v>711</v>
      </c>
      <c r="C5019" t="s">
        <v>333</v>
      </c>
      <c r="D5019" s="230">
        <v>7319.86</v>
      </c>
      <c r="E5019" t="s">
        <v>712</v>
      </c>
    </row>
    <row r="5020" spans="1:5" hidden="1" x14ac:dyDescent="0.3">
      <c r="A5020" t="s">
        <v>557</v>
      </c>
      <c r="B5020" t="s">
        <v>711</v>
      </c>
      <c r="C5020" t="s">
        <v>334</v>
      </c>
      <c r="D5020" s="230">
        <v>9640</v>
      </c>
      <c r="E5020" t="s">
        <v>712</v>
      </c>
    </row>
    <row r="5021" spans="1:5" hidden="1" x14ac:dyDescent="0.3">
      <c r="A5021" t="s">
        <v>557</v>
      </c>
      <c r="B5021" t="s">
        <v>711</v>
      </c>
      <c r="C5021" t="s">
        <v>336</v>
      </c>
      <c r="D5021" s="230">
        <v>0</v>
      </c>
      <c r="E5021" t="s">
        <v>712</v>
      </c>
    </row>
    <row r="5022" spans="1:5" hidden="1" x14ac:dyDescent="0.3">
      <c r="A5022" t="s">
        <v>557</v>
      </c>
      <c r="B5022" t="s">
        <v>711</v>
      </c>
      <c r="C5022" t="s">
        <v>338</v>
      </c>
      <c r="D5022" s="230">
        <v>15765.02</v>
      </c>
      <c r="E5022" t="s">
        <v>712</v>
      </c>
    </row>
    <row r="5023" spans="1:5" hidden="1" x14ac:dyDescent="0.3">
      <c r="A5023" t="s">
        <v>557</v>
      </c>
      <c r="B5023" t="s">
        <v>711</v>
      </c>
      <c r="C5023" t="s">
        <v>339</v>
      </c>
      <c r="D5023" s="230">
        <v>-22146.52</v>
      </c>
      <c r="E5023" t="s">
        <v>712</v>
      </c>
    </row>
    <row r="5024" spans="1:5" hidden="1" x14ac:dyDescent="0.3">
      <c r="A5024" t="s">
        <v>557</v>
      </c>
      <c r="B5024" t="s">
        <v>711</v>
      </c>
      <c r="C5024" t="s">
        <v>342</v>
      </c>
      <c r="D5024" s="230">
        <v>-22146.52</v>
      </c>
      <c r="E5024" t="s">
        <v>712</v>
      </c>
    </row>
    <row r="5025" spans="1:5" hidden="1" x14ac:dyDescent="0.3">
      <c r="A5025" t="s">
        <v>557</v>
      </c>
      <c r="B5025" t="s">
        <v>711</v>
      </c>
      <c r="C5025" t="s">
        <v>344</v>
      </c>
      <c r="D5025" s="230">
        <v>0</v>
      </c>
      <c r="E5025" t="s">
        <v>712</v>
      </c>
    </row>
    <row r="5026" spans="1:5" hidden="1" x14ac:dyDescent="0.3">
      <c r="A5026" t="s">
        <v>557</v>
      </c>
      <c r="B5026" t="s">
        <v>711</v>
      </c>
      <c r="C5026" t="s">
        <v>345</v>
      </c>
      <c r="D5026" s="230">
        <v>0</v>
      </c>
      <c r="E5026" t="s">
        <v>712</v>
      </c>
    </row>
    <row r="5027" spans="1:5" hidden="1" x14ac:dyDescent="0.3">
      <c r="A5027" t="s">
        <v>557</v>
      </c>
      <c r="B5027" t="s">
        <v>711</v>
      </c>
      <c r="C5027" t="s">
        <v>346</v>
      </c>
      <c r="D5027" s="230">
        <v>0</v>
      </c>
      <c r="E5027" t="s">
        <v>712</v>
      </c>
    </row>
    <row r="5028" spans="1:5" hidden="1" x14ac:dyDescent="0.3">
      <c r="A5028" t="s">
        <v>557</v>
      </c>
      <c r="B5028" t="s">
        <v>711</v>
      </c>
      <c r="C5028" t="s">
        <v>347</v>
      </c>
      <c r="D5028" s="230">
        <v>-6381.5</v>
      </c>
      <c r="E5028" t="s">
        <v>712</v>
      </c>
    </row>
    <row r="5029" spans="1:5" hidden="1" x14ac:dyDescent="0.3">
      <c r="A5029" t="s">
        <v>557</v>
      </c>
      <c r="B5029" t="s">
        <v>711</v>
      </c>
      <c r="C5029" t="s">
        <v>44</v>
      </c>
      <c r="D5029" s="230">
        <v>-0.01</v>
      </c>
      <c r="E5029" t="s">
        <v>712</v>
      </c>
    </row>
    <row r="5030" spans="1:5" hidden="1" x14ac:dyDescent="0.3">
      <c r="A5030" t="s">
        <v>557</v>
      </c>
      <c r="B5030" t="s">
        <v>711</v>
      </c>
      <c r="C5030" t="s">
        <v>348</v>
      </c>
      <c r="D5030" s="230">
        <v>0</v>
      </c>
      <c r="E5030" t="s">
        <v>712</v>
      </c>
    </row>
    <row r="5031" spans="1:5" hidden="1" x14ac:dyDescent="0.3">
      <c r="A5031" t="s">
        <v>557</v>
      </c>
      <c r="B5031" t="s">
        <v>711</v>
      </c>
      <c r="C5031" t="s">
        <v>707</v>
      </c>
      <c r="D5031" s="230">
        <v>0</v>
      </c>
      <c r="E5031" t="s">
        <v>712</v>
      </c>
    </row>
    <row r="5032" spans="1:5" hidden="1" x14ac:dyDescent="0.3">
      <c r="A5032" t="s">
        <v>557</v>
      </c>
      <c r="B5032" t="s">
        <v>711</v>
      </c>
      <c r="C5032" t="s">
        <v>350</v>
      </c>
      <c r="D5032" s="230">
        <v>0</v>
      </c>
      <c r="E5032" t="s">
        <v>712</v>
      </c>
    </row>
    <row r="5033" spans="1:5" hidden="1" x14ac:dyDescent="0.3">
      <c r="A5033" t="s">
        <v>557</v>
      </c>
      <c r="B5033" t="s">
        <v>711</v>
      </c>
      <c r="C5033" t="s">
        <v>351</v>
      </c>
      <c r="D5033" s="230">
        <v>0</v>
      </c>
      <c r="E5033" t="s">
        <v>712</v>
      </c>
    </row>
    <row r="5034" spans="1:5" hidden="1" x14ac:dyDescent="0.3">
      <c r="A5034" t="s">
        <v>557</v>
      </c>
      <c r="B5034" t="s">
        <v>711</v>
      </c>
      <c r="C5034" t="s">
        <v>352</v>
      </c>
      <c r="D5034" s="230">
        <v>0</v>
      </c>
      <c r="E5034" t="s">
        <v>712</v>
      </c>
    </row>
    <row r="5035" spans="1:5" hidden="1" x14ac:dyDescent="0.3">
      <c r="A5035" t="s">
        <v>557</v>
      </c>
      <c r="B5035" t="s">
        <v>711</v>
      </c>
      <c r="C5035" t="s">
        <v>353</v>
      </c>
      <c r="D5035" s="230">
        <v>0</v>
      </c>
      <c r="E5035" t="s">
        <v>712</v>
      </c>
    </row>
    <row r="5036" spans="1:5" hidden="1" x14ac:dyDescent="0.3">
      <c r="A5036" t="s">
        <v>557</v>
      </c>
      <c r="B5036" t="s">
        <v>711</v>
      </c>
      <c r="C5036" t="s">
        <v>354</v>
      </c>
      <c r="D5036" s="230">
        <v>0</v>
      </c>
      <c r="E5036" t="s">
        <v>712</v>
      </c>
    </row>
    <row r="5037" spans="1:5" hidden="1" x14ac:dyDescent="0.3">
      <c r="A5037" t="s">
        <v>557</v>
      </c>
      <c r="B5037" t="s">
        <v>711</v>
      </c>
      <c r="C5037" t="s">
        <v>355</v>
      </c>
      <c r="D5037" s="230">
        <v>0</v>
      </c>
      <c r="E5037" t="s">
        <v>712</v>
      </c>
    </row>
    <row r="5038" spans="1:5" hidden="1" x14ac:dyDescent="0.3">
      <c r="A5038" t="s">
        <v>557</v>
      </c>
      <c r="B5038" t="s">
        <v>711</v>
      </c>
      <c r="C5038" t="s">
        <v>356</v>
      </c>
      <c r="D5038" s="230">
        <v>0</v>
      </c>
      <c r="E5038" t="s">
        <v>712</v>
      </c>
    </row>
    <row r="5039" spans="1:5" hidden="1" x14ac:dyDescent="0.3">
      <c r="A5039" t="s">
        <v>557</v>
      </c>
      <c r="B5039" t="s">
        <v>711</v>
      </c>
      <c r="C5039" t="s">
        <v>357</v>
      </c>
      <c r="D5039" s="230">
        <v>0</v>
      </c>
      <c r="E5039" t="s">
        <v>712</v>
      </c>
    </row>
    <row r="5040" spans="1:5" hidden="1" x14ac:dyDescent="0.3">
      <c r="A5040" t="s">
        <v>557</v>
      </c>
      <c r="B5040" t="s">
        <v>711</v>
      </c>
      <c r="C5040" t="s">
        <v>358</v>
      </c>
      <c r="D5040" s="230">
        <v>0</v>
      </c>
      <c r="E5040" t="s">
        <v>712</v>
      </c>
    </row>
    <row r="5041" spans="1:5" hidden="1" x14ac:dyDescent="0.3">
      <c r="A5041" t="s">
        <v>557</v>
      </c>
      <c r="B5041" t="s">
        <v>711</v>
      </c>
      <c r="C5041" t="s">
        <v>359</v>
      </c>
      <c r="D5041" s="230">
        <v>0</v>
      </c>
      <c r="E5041" t="s">
        <v>712</v>
      </c>
    </row>
    <row r="5042" spans="1:5" hidden="1" x14ac:dyDescent="0.3">
      <c r="A5042" t="s">
        <v>557</v>
      </c>
      <c r="B5042" t="s">
        <v>711</v>
      </c>
      <c r="C5042" t="s">
        <v>360</v>
      </c>
      <c r="D5042" s="230">
        <v>0</v>
      </c>
      <c r="E5042" t="s">
        <v>712</v>
      </c>
    </row>
    <row r="5043" spans="1:5" hidden="1" x14ac:dyDescent="0.3">
      <c r="A5043" t="s">
        <v>557</v>
      </c>
      <c r="B5043" t="s">
        <v>711</v>
      </c>
      <c r="C5043" t="s">
        <v>361</v>
      </c>
      <c r="D5043" s="230">
        <v>0</v>
      </c>
      <c r="E5043" t="s">
        <v>712</v>
      </c>
    </row>
    <row r="5044" spans="1:5" hidden="1" x14ac:dyDescent="0.3">
      <c r="A5044" t="s">
        <v>557</v>
      </c>
      <c r="B5044" t="s">
        <v>711</v>
      </c>
      <c r="C5044" t="s">
        <v>362</v>
      </c>
      <c r="D5044" s="230">
        <v>0</v>
      </c>
      <c r="E5044" t="s">
        <v>712</v>
      </c>
    </row>
    <row r="5045" spans="1:5" hidden="1" x14ac:dyDescent="0.3">
      <c r="A5045" t="s">
        <v>557</v>
      </c>
      <c r="B5045" t="s">
        <v>711</v>
      </c>
      <c r="C5045" t="s">
        <v>363</v>
      </c>
      <c r="D5045" s="230">
        <v>0</v>
      </c>
      <c r="E5045" t="s">
        <v>712</v>
      </c>
    </row>
    <row r="5046" spans="1:5" hidden="1" x14ac:dyDescent="0.3">
      <c r="A5046" t="s">
        <v>557</v>
      </c>
      <c r="B5046" t="s">
        <v>711</v>
      </c>
      <c r="C5046" t="s">
        <v>364</v>
      </c>
      <c r="D5046" s="230">
        <v>0</v>
      </c>
      <c r="E5046" t="s">
        <v>712</v>
      </c>
    </row>
    <row r="5047" spans="1:5" hidden="1" x14ac:dyDescent="0.3">
      <c r="A5047" t="s">
        <v>557</v>
      </c>
      <c r="B5047" t="s">
        <v>711</v>
      </c>
      <c r="C5047" t="s">
        <v>365</v>
      </c>
      <c r="D5047" s="230">
        <v>0</v>
      </c>
      <c r="E5047" t="s">
        <v>712</v>
      </c>
    </row>
    <row r="5048" spans="1:5" hidden="1" x14ac:dyDescent="0.3">
      <c r="A5048" t="s">
        <v>557</v>
      </c>
      <c r="B5048" t="s">
        <v>711</v>
      </c>
      <c r="C5048" t="s">
        <v>366</v>
      </c>
      <c r="D5048" s="230">
        <v>0</v>
      </c>
      <c r="E5048" t="s">
        <v>712</v>
      </c>
    </row>
    <row r="5049" spans="1:5" hidden="1" x14ac:dyDescent="0.3">
      <c r="A5049" t="s">
        <v>557</v>
      </c>
      <c r="B5049" t="s">
        <v>711</v>
      </c>
      <c r="C5049" t="s">
        <v>367</v>
      </c>
      <c r="D5049" s="230">
        <v>0</v>
      </c>
      <c r="E5049" t="s">
        <v>712</v>
      </c>
    </row>
    <row r="5050" spans="1:5" hidden="1" x14ac:dyDescent="0.3">
      <c r="A5050" t="s">
        <v>557</v>
      </c>
      <c r="B5050" t="s">
        <v>711</v>
      </c>
      <c r="C5050" t="s">
        <v>368</v>
      </c>
      <c r="D5050" s="230">
        <v>0</v>
      </c>
      <c r="E5050" t="s">
        <v>712</v>
      </c>
    </row>
    <row r="5051" spans="1:5" hidden="1" x14ac:dyDescent="0.3">
      <c r="A5051" t="s">
        <v>557</v>
      </c>
      <c r="B5051" t="s">
        <v>711</v>
      </c>
      <c r="C5051" t="s">
        <v>369</v>
      </c>
      <c r="D5051" s="230">
        <v>0</v>
      </c>
      <c r="E5051" t="s">
        <v>712</v>
      </c>
    </row>
    <row r="5052" spans="1:5" hidden="1" x14ac:dyDescent="0.3">
      <c r="A5052" t="s">
        <v>557</v>
      </c>
      <c r="B5052" t="s">
        <v>711</v>
      </c>
      <c r="C5052" t="s">
        <v>370</v>
      </c>
      <c r="D5052" s="230">
        <v>0</v>
      </c>
      <c r="E5052" t="s">
        <v>712</v>
      </c>
    </row>
    <row r="5053" spans="1:5" hidden="1" x14ac:dyDescent="0.3">
      <c r="A5053" t="s">
        <v>557</v>
      </c>
      <c r="B5053" t="s">
        <v>711</v>
      </c>
      <c r="C5053" t="s">
        <v>371</v>
      </c>
      <c r="D5053" s="230">
        <v>0</v>
      </c>
      <c r="E5053" t="s">
        <v>712</v>
      </c>
    </row>
    <row r="5054" spans="1:5" hidden="1" x14ac:dyDescent="0.3">
      <c r="A5054" t="s">
        <v>557</v>
      </c>
      <c r="B5054" t="s">
        <v>711</v>
      </c>
      <c r="C5054" t="s">
        <v>372</v>
      </c>
      <c r="D5054" s="230">
        <v>0</v>
      </c>
      <c r="E5054" t="s">
        <v>712</v>
      </c>
    </row>
    <row r="5055" spans="1:5" hidden="1" x14ac:dyDescent="0.3">
      <c r="A5055" t="s">
        <v>557</v>
      </c>
      <c r="B5055" t="s">
        <v>711</v>
      </c>
      <c r="C5055" t="s">
        <v>373</v>
      </c>
      <c r="D5055" s="230">
        <v>0</v>
      </c>
      <c r="E5055" t="s">
        <v>712</v>
      </c>
    </row>
    <row r="5056" spans="1:5" hidden="1" x14ac:dyDescent="0.3">
      <c r="A5056" t="s">
        <v>557</v>
      </c>
      <c r="B5056" t="s">
        <v>711</v>
      </c>
      <c r="C5056" t="s">
        <v>374</v>
      </c>
      <c r="D5056" s="230">
        <v>0</v>
      </c>
      <c r="E5056" t="s">
        <v>712</v>
      </c>
    </row>
    <row r="5057" spans="1:5" hidden="1" x14ac:dyDescent="0.3">
      <c r="A5057" t="s">
        <v>557</v>
      </c>
      <c r="B5057" t="s">
        <v>711</v>
      </c>
      <c r="C5057" t="s">
        <v>708</v>
      </c>
      <c r="D5057" s="230">
        <v>0</v>
      </c>
      <c r="E5057" t="s">
        <v>712</v>
      </c>
    </row>
    <row r="5058" spans="1:5" hidden="1" x14ac:dyDescent="0.3">
      <c r="A5058" t="s">
        <v>557</v>
      </c>
      <c r="B5058" t="s">
        <v>713</v>
      </c>
      <c r="C5058" t="s">
        <v>11</v>
      </c>
      <c r="D5058" s="230">
        <v>413944.69</v>
      </c>
      <c r="E5058" t="s">
        <v>714</v>
      </c>
    </row>
    <row r="5059" spans="1:5" hidden="1" x14ac:dyDescent="0.3">
      <c r="A5059" t="s">
        <v>557</v>
      </c>
      <c r="B5059" t="s">
        <v>713</v>
      </c>
      <c r="C5059" t="s">
        <v>13</v>
      </c>
      <c r="D5059" s="230">
        <v>209188.5</v>
      </c>
      <c r="E5059" t="s">
        <v>714</v>
      </c>
    </row>
    <row r="5060" spans="1:5" hidden="1" x14ac:dyDescent="0.3">
      <c r="A5060" t="s">
        <v>557</v>
      </c>
      <c r="B5060" t="s">
        <v>713</v>
      </c>
      <c r="C5060" t="s">
        <v>16</v>
      </c>
      <c r="D5060" s="230">
        <v>132755.6</v>
      </c>
      <c r="E5060" t="s">
        <v>714</v>
      </c>
    </row>
    <row r="5061" spans="1:5" hidden="1" x14ac:dyDescent="0.3">
      <c r="A5061" t="s">
        <v>557</v>
      </c>
      <c r="B5061" t="s">
        <v>713</v>
      </c>
      <c r="C5061" t="s">
        <v>17</v>
      </c>
      <c r="D5061" s="230">
        <v>8720</v>
      </c>
      <c r="E5061" t="s">
        <v>714</v>
      </c>
    </row>
    <row r="5062" spans="1:5" hidden="1" x14ac:dyDescent="0.3">
      <c r="A5062" t="s">
        <v>557</v>
      </c>
      <c r="B5062" t="s">
        <v>713</v>
      </c>
      <c r="C5062" t="s">
        <v>18</v>
      </c>
      <c r="D5062" s="230">
        <v>275</v>
      </c>
      <c r="E5062" t="s">
        <v>714</v>
      </c>
    </row>
    <row r="5063" spans="1:5" hidden="1" x14ac:dyDescent="0.3">
      <c r="A5063" t="s">
        <v>557</v>
      </c>
      <c r="B5063" t="s">
        <v>713</v>
      </c>
      <c r="C5063" t="s">
        <v>20</v>
      </c>
      <c r="D5063" s="230">
        <v>44654.69</v>
      </c>
      <c r="E5063" t="s">
        <v>714</v>
      </c>
    </row>
    <row r="5064" spans="1:5" hidden="1" x14ac:dyDescent="0.3">
      <c r="A5064" t="s">
        <v>557</v>
      </c>
      <c r="B5064" t="s">
        <v>713</v>
      </c>
      <c r="C5064" t="s">
        <v>23</v>
      </c>
      <c r="D5064" s="230">
        <v>1650</v>
      </c>
      <c r="E5064" t="s">
        <v>714</v>
      </c>
    </row>
    <row r="5065" spans="1:5" hidden="1" x14ac:dyDescent="0.3">
      <c r="A5065" t="s">
        <v>557</v>
      </c>
      <c r="B5065" t="s">
        <v>713</v>
      </c>
      <c r="C5065" t="s">
        <v>25</v>
      </c>
      <c r="D5065" s="230">
        <v>0</v>
      </c>
      <c r="E5065" t="s">
        <v>714</v>
      </c>
    </row>
    <row r="5066" spans="1:5" hidden="1" x14ac:dyDescent="0.3">
      <c r="A5066" t="s">
        <v>557</v>
      </c>
      <c r="B5066" t="s">
        <v>713</v>
      </c>
      <c r="C5066" t="s">
        <v>26</v>
      </c>
      <c r="D5066" s="230">
        <v>16514.5</v>
      </c>
      <c r="E5066" t="s">
        <v>714</v>
      </c>
    </row>
    <row r="5067" spans="1:5" hidden="1" x14ac:dyDescent="0.3">
      <c r="A5067" t="s">
        <v>557</v>
      </c>
      <c r="B5067" t="s">
        <v>713</v>
      </c>
      <c r="C5067" t="s">
        <v>27</v>
      </c>
      <c r="D5067" s="230">
        <v>0</v>
      </c>
      <c r="E5067" t="s">
        <v>714</v>
      </c>
    </row>
    <row r="5068" spans="1:5" hidden="1" x14ac:dyDescent="0.3">
      <c r="A5068" t="s">
        <v>557</v>
      </c>
      <c r="B5068" t="s">
        <v>713</v>
      </c>
      <c r="C5068" t="s">
        <v>29</v>
      </c>
      <c r="D5068" s="230">
        <v>0</v>
      </c>
      <c r="E5068" t="s">
        <v>714</v>
      </c>
    </row>
    <row r="5069" spans="1:5" hidden="1" x14ac:dyDescent="0.3">
      <c r="A5069" t="s">
        <v>557</v>
      </c>
      <c r="B5069" t="s">
        <v>713</v>
      </c>
      <c r="C5069" t="s">
        <v>31</v>
      </c>
      <c r="D5069" s="230">
        <v>186.4</v>
      </c>
      <c r="E5069" t="s">
        <v>714</v>
      </c>
    </row>
    <row r="5070" spans="1:5" hidden="1" x14ac:dyDescent="0.3">
      <c r="A5070" t="s">
        <v>557</v>
      </c>
      <c r="B5070" t="s">
        <v>713</v>
      </c>
      <c r="C5070" t="s">
        <v>34</v>
      </c>
      <c r="D5070" s="230">
        <v>-11712.1</v>
      </c>
      <c r="E5070" t="s">
        <v>714</v>
      </c>
    </row>
    <row r="5071" spans="1:5" hidden="1" x14ac:dyDescent="0.3">
      <c r="A5071" t="s">
        <v>557</v>
      </c>
      <c r="B5071" t="s">
        <v>713</v>
      </c>
      <c r="C5071" t="s">
        <v>38</v>
      </c>
      <c r="D5071" s="230">
        <v>-11712.1</v>
      </c>
      <c r="E5071" t="s">
        <v>714</v>
      </c>
    </row>
    <row r="5072" spans="1:5" hidden="1" x14ac:dyDescent="0.3">
      <c r="A5072" t="s">
        <v>557</v>
      </c>
      <c r="B5072" t="s">
        <v>713</v>
      </c>
      <c r="C5072" t="s">
        <v>40</v>
      </c>
      <c r="D5072" s="230">
        <v>0</v>
      </c>
      <c r="E5072" t="s">
        <v>714</v>
      </c>
    </row>
    <row r="5073" spans="1:5" hidden="1" x14ac:dyDescent="0.3">
      <c r="A5073" t="s">
        <v>557</v>
      </c>
      <c r="B5073" t="s">
        <v>713</v>
      </c>
      <c r="C5073" t="s">
        <v>42</v>
      </c>
      <c r="D5073" s="230">
        <v>0</v>
      </c>
      <c r="E5073" t="s">
        <v>714</v>
      </c>
    </row>
    <row r="5074" spans="1:5" hidden="1" x14ac:dyDescent="0.3">
      <c r="A5074" t="s">
        <v>557</v>
      </c>
      <c r="B5074" t="s">
        <v>713</v>
      </c>
      <c r="C5074" t="s">
        <v>44</v>
      </c>
      <c r="D5074" s="230">
        <v>-0.03</v>
      </c>
      <c r="E5074" t="s">
        <v>714</v>
      </c>
    </row>
    <row r="5075" spans="1:5" hidden="1" x14ac:dyDescent="0.3">
      <c r="A5075" t="s">
        <v>557</v>
      </c>
      <c r="B5075" t="s">
        <v>713</v>
      </c>
      <c r="C5075" t="s">
        <v>45</v>
      </c>
      <c r="D5075" s="230">
        <v>-24959.79</v>
      </c>
      <c r="E5075" t="s">
        <v>714</v>
      </c>
    </row>
    <row r="5076" spans="1:5" hidden="1" x14ac:dyDescent="0.3">
      <c r="A5076" t="s">
        <v>557</v>
      </c>
      <c r="B5076" t="s">
        <v>713</v>
      </c>
      <c r="C5076" t="s">
        <v>46</v>
      </c>
      <c r="D5076" s="230">
        <v>-13051.59</v>
      </c>
      <c r="E5076" t="s">
        <v>714</v>
      </c>
    </row>
    <row r="5077" spans="1:5" hidden="1" x14ac:dyDescent="0.3">
      <c r="A5077" t="s">
        <v>557</v>
      </c>
      <c r="B5077" t="s">
        <v>713</v>
      </c>
      <c r="C5077" t="s">
        <v>48</v>
      </c>
      <c r="D5077" s="230">
        <v>-11389.69</v>
      </c>
      <c r="E5077" t="s">
        <v>714</v>
      </c>
    </row>
    <row r="5078" spans="1:5" hidden="1" x14ac:dyDescent="0.3">
      <c r="A5078" t="s">
        <v>557</v>
      </c>
      <c r="B5078" t="s">
        <v>713</v>
      </c>
      <c r="C5078" t="s">
        <v>49</v>
      </c>
      <c r="D5078" s="230">
        <v>-518.5</v>
      </c>
      <c r="E5078" t="s">
        <v>714</v>
      </c>
    </row>
    <row r="5079" spans="1:5" hidden="1" x14ac:dyDescent="0.3">
      <c r="A5079" t="s">
        <v>557</v>
      </c>
      <c r="B5079" t="s">
        <v>713</v>
      </c>
      <c r="C5079" t="s">
        <v>50</v>
      </c>
      <c r="D5079" s="230">
        <v>377272.8</v>
      </c>
      <c r="E5079" t="s">
        <v>714</v>
      </c>
    </row>
    <row r="5080" spans="1:5" hidden="1" x14ac:dyDescent="0.3">
      <c r="A5080" t="s">
        <v>557</v>
      </c>
      <c r="B5080" t="s">
        <v>713</v>
      </c>
      <c r="C5080" t="s">
        <v>51</v>
      </c>
      <c r="D5080" s="230">
        <v>-116416.28</v>
      </c>
      <c r="E5080" t="s">
        <v>714</v>
      </c>
    </row>
    <row r="5081" spans="1:5" hidden="1" x14ac:dyDescent="0.3">
      <c r="A5081" t="s">
        <v>557</v>
      </c>
      <c r="B5081" t="s">
        <v>713</v>
      </c>
      <c r="C5081" t="s">
        <v>52</v>
      </c>
      <c r="D5081" s="230">
        <v>-83357.56</v>
      </c>
      <c r="E5081" t="s">
        <v>714</v>
      </c>
    </row>
    <row r="5082" spans="1:5" hidden="1" x14ac:dyDescent="0.3">
      <c r="A5082" t="s">
        <v>557</v>
      </c>
      <c r="B5082" t="s">
        <v>713</v>
      </c>
      <c r="C5082" t="s">
        <v>53</v>
      </c>
      <c r="D5082" s="230">
        <v>-33058.720000000001</v>
      </c>
      <c r="E5082" t="s">
        <v>714</v>
      </c>
    </row>
    <row r="5083" spans="1:5" hidden="1" x14ac:dyDescent="0.3">
      <c r="A5083" t="s">
        <v>557</v>
      </c>
      <c r="B5083" t="s">
        <v>713</v>
      </c>
      <c r="C5083" t="s">
        <v>54</v>
      </c>
      <c r="D5083" s="230">
        <v>0</v>
      </c>
      <c r="E5083" t="s">
        <v>714</v>
      </c>
    </row>
    <row r="5084" spans="1:5" hidden="1" x14ac:dyDescent="0.3">
      <c r="A5084" t="s">
        <v>557</v>
      </c>
      <c r="B5084" t="s">
        <v>713</v>
      </c>
      <c r="C5084" t="s">
        <v>23</v>
      </c>
      <c r="D5084" s="230">
        <v>0</v>
      </c>
      <c r="E5084" t="s">
        <v>714</v>
      </c>
    </row>
    <row r="5085" spans="1:5" hidden="1" x14ac:dyDescent="0.3">
      <c r="A5085" t="s">
        <v>557</v>
      </c>
      <c r="B5085" t="s">
        <v>713</v>
      </c>
      <c r="C5085" t="s">
        <v>44</v>
      </c>
      <c r="D5085" s="230">
        <v>-0.34</v>
      </c>
      <c r="E5085" t="s">
        <v>714</v>
      </c>
    </row>
    <row r="5086" spans="1:5" hidden="1" x14ac:dyDescent="0.3">
      <c r="A5086" t="s">
        <v>557</v>
      </c>
      <c r="B5086" t="s">
        <v>713</v>
      </c>
      <c r="C5086" t="s">
        <v>55</v>
      </c>
      <c r="D5086" s="230">
        <v>-0.31</v>
      </c>
      <c r="E5086" t="s">
        <v>714</v>
      </c>
    </row>
    <row r="5087" spans="1:5" hidden="1" x14ac:dyDescent="0.3">
      <c r="A5087" t="s">
        <v>557</v>
      </c>
      <c r="B5087" t="s">
        <v>713</v>
      </c>
      <c r="C5087" t="s">
        <v>56</v>
      </c>
      <c r="D5087" s="230">
        <v>-5740.62</v>
      </c>
      <c r="E5087" t="s">
        <v>714</v>
      </c>
    </row>
    <row r="5088" spans="1:5" hidden="1" x14ac:dyDescent="0.3">
      <c r="A5088" t="s">
        <v>557</v>
      </c>
      <c r="B5088" t="s">
        <v>713</v>
      </c>
      <c r="C5088" t="s">
        <v>57</v>
      </c>
      <c r="D5088" s="230">
        <v>-5740.62</v>
      </c>
      <c r="E5088" t="s">
        <v>714</v>
      </c>
    </row>
    <row r="5089" spans="1:5" hidden="1" x14ac:dyDescent="0.3">
      <c r="A5089" t="s">
        <v>557</v>
      </c>
      <c r="B5089" t="s">
        <v>713</v>
      </c>
      <c r="C5089" t="s">
        <v>58</v>
      </c>
      <c r="D5089" s="230">
        <v>-5500</v>
      </c>
      <c r="E5089" t="s">
        <v>714</v>
      </c>
    </row>
    <row r="5090" spans="1:5" hidden="1" x14ac:dyDescent="0.3">
      <c r="A5090" t="s">
        <v>557</v>
      </c>
      <c r="B5090" t="s">
        <v>713</v>
      </c>
      <c r="C5090" t="s">
        <v>59</v>
      </c>
      <c r="D5090" s="230">
        <v>-240.62</v>
      </c>
      <c r="E5090" t="s">
        <v>714</v>
      </c>
    </row>
    <row r="5091" spans="1:5" hidden="1" x14ac:dyDescent="0.3">
      <c r="A5091" t="s">
        <v>557</v>
      </c>
      <c r="B5091" t="s">
        <v>713</v>
      </c>
      <c r="C5091" t="s">
        <v>61</v>
      </c>
      <c r="D5091" s="230">
        <v>0</v>
      </c>
      <c r="E5091" t="s">
        <v>714</v>
      </c>
    </row>
    <row r="5092" spans="1:5" hidden="1" x14ac:dyDescent="0.3">
      <c r="A5092" t="s">
        <v>557</v>
      </c>
      <c r="B5092" t="s">
        <v>713</v>
      </c>
      <c r="C5092" t="s">
        <v>62</v>
      </c>
      <c r="D5092" s="230">
        <v>0</v>
      </c>
      <c r="E5092" t="s">
        <v>714</v>
      </c>
    </row>
    <row r="5093" spans="1:5" hidden="1" x14ac:dyDescent="0.3">
      <c r="A5093" t="s">
        <v>557</v>
      </c>
      <c r="B5093" t="s">
        <v>713</v>
      </c>
      <c r="C5093" t="s">
        <v>64</v>
      </c>
      <c r="D5093" s="230">
        <v>0</v>
      </c>
      <c r="E5093" t="s">
        <v>714</v>
      </c>
    </row>
    <row r="5094" spans="1:5" hidden="1" x14ac:dyDescent="0.3">
      <c r="A5094" t="s">
        <v>557</v>
      </c>
      <c r="B5094" t="s">
        <v>713</v>
      </c>
      <c r="C5094" t="s">
        <v>65</v>
      </c>
      <c r="D5094" s="230">
        <v>0</v>
      </c>
      <c r="E5094" t="s">
        <v>714</v>
      </c>
    </row>
    <row r="5095" spans="1:5" hidden="1" x14ac:dyDescent="0.3">
      <c r="A5095" t="s">
        <v>557</v>
      </c>
      <c r="B5095" t="s">
        <v>713</v>
      </c>
      <c r="C5095" t="s">
        <v>66</v>
      </c>
      <c r="D5095" s="230">
        <v>0</v>
      </c>
      <c r="E5095" t="s">
        <v>714</v>
      </c>
    </row>
    <row r="5096" spans="1:5" hidden="1" x14ac:dyDescent="0.3">
      <c r="A5096" t="s">
        <v>557</v>
      </c>
      <c r="B5096" t="s">
        <v>713</v>
      </c>
      <c r="C5096" t="s">
        <v>68</v>
      </c>
      <c r="D5096" s="230">
        <v>0</v>
      </c>
      <c r="E5096" t="s">
        <v>714</v>
      </c>
    </row>
    <row r="5097" spans="1:5" hidden="1" x14ac:dyDescent="0.3">
      <c r="A5097" t="s">
        <v>557</v>
      </c>
      <c r="B5097" t="s">
        <v>713</v>
      </c>
      <c r="C5097" t="s">
        <v>69</v>
      </c>
      <c r="D5097" s="230">
        <v>0</v>
      </c>
      <c r="E5097" t="s">
        <v>714</v>
      </c>
    </row>
    <row r="5098" spans="1:5" hidden="1" x14ac:dyDescent="0.3">
      <c r="A5098" t="s">
        <v>557</v>
      </c>
      <c r="B5098" t="s">
        <v>713</v>
      </c>
      <c r="C5098" t="s">
        <v>70</v>
      </c>
      <c r="D5098" s="230">
        <v>-0.66</v>
      </c>
      <c r="E5098" t="s">
        <v>714</v>
      </c>
    </row>
    <row r="5099" spans="1:5" hidden="1" x14ac:dyDescent="0.3">
      <c r="A5099" t="s">
        <v>557</v>
      </c>
      <c r="B5099" t="s">
        <v>713</v>
      </c>
      <c r="C5099" t="s">
        <v>44</v>
      </c>
      <c r="D5099" s="230">
        <v>-0.01</v>
      </c>
      <c r="E5099" t="s">
        <v>714</v>
      </c>
    </row>
    <row r="5100" spans="1:5" hidden="1" x14ac:dyDescent="0.3">
      <c r="A5100" t="s">
        <v>557</v>
      </c>
      <c r="B5100" t="s">
        <v>713</v>
      </c>
      <c r="C5100" t="s">
        <v>71</v>
      </c>
      <c r="D5100" s="230">
        <v>0</v>
      </c>
      <c r="E5100" t="s">
        <v>714</v>
      </c>
    </row>
    <row r="5101" spans="1:5" hidden="1" x14ac:dyDescent="0.3">
      <c r="A5101" t="s">
        <v>557</v>
      </c>
      <c r="B5101" t="s">
        <v>713</v>
      </c>
      <c r="C5101" t="s">
        <v>72</v>
      </c>
      <c r="D5101" s="230">
        <v>0</v>
      </c>
      <c r="E5101" t="s">
        <v>714</v>
      </c>
    </row>
    <row r="5102" spans="1:5" hidden="1" x14ac:dyDescent="0.3">
      <c r="A5102" t="s">
        <v>557</v>
      </c>
      <c r="B5102" t="s">
        <v>713</v>
      </c>
      <c r="C5102" t="s">
        <v>73</v>
      </c>
      <c r="D5102" s="230">
        <v>0</v>
      </c>
      <c r="E5102" t="s">
        <v>714</v>
      </c>
    </row>
    <row r="5103" spans="1:5" hidden="1" x14ac:dyDescent="0.3">
      <c r="A5103" t="s">
        <v>557</v>
      </c>
      <c r="B5103" t="s">
        <v>713</v>
      </c>
      <c r="C5103" t="s">
        <v>75</v>
      </c>
      <c r="D5103" s="230">
        <v>0</v>
      </c>
      <c r="E5103" t="s">
        <v>714</v>
      </c>
    </row>
    <row r="5104" spans="1:5" hidden="1" x14ac:dyDescent="0.3">
      <c r="A5104" t="s">
        <v>557</v>
      </c>
      <c r="B5104" t="s">
        <v>713</v>
      </c>
      <c r="C5104" t="s">
        <v>77</v>
      </c>
      <c r="D5104" s="230">
        <v>0</v>
      </c>
      <c r="E5104" t="s">
        <v>714</v>
      </c>
    </row>
    <row r="5105" spans="1:5" hidden="1" x14ac:dyDescent="0.3">
      <c r="A5105" t="s">
        <v>557</v>
      </c>
      <c r="B5105" t="s">
        <v>713</v>
      </c>
      <c r="C5105" t="s">
        <v>78</v>
      </c>
      <c r="D5105" s="230">
        <v>0</v>
      </c>
      <c r="E5105" t="s">
        <v>714</v>
      </c>
    </row>
    <row r="5106" spans="1:5" hidden="1" x14ac:dyDescent="0.3">
      <c r="A5106" t="s">
        <v>557</v>
      </c>
      <c r="B5106" t="s">
        <v>713</v>
      </c>
      <c r="C5106" t="s">
        <v>80</v>
      </c>
      <c r="D5106" s="230">
        <v>0</v>
      </c>
      <c r="E5106" t="s">
        <v>714</v>
      </c>
    </row>
    <row r="5107" spans="1:5" hidden="1" x14ac:dyDescent="0.3">
      <c r="A5107" t="s">
        <v>557</v>
      </c>
      <c r="B5107" t="s">
        <v>713</v>
      </c>
      <c r="C5107" t="s">
        <v>82</v>
      </c>
      <c r="D5107" s="230">
        <v>0</v>
      </c>
      <c r="E5107" t="s">
        <v>714</v>
      </c>
    </row>
    <row r="5108" spans="1:5" hidden="1" x14ac:dyDescent="0.3">
      <c r="A5108" t="s">
        <v>557</v>
      </c>
      <c r="B5108" t="s">
        <v>713</v>
      </c>
      <c r="C5108" t="s">
        <v>84</v>
      </c>
      <c r="D5108" s="230">
        <v>0</v>
      </c>
      <c r="E5108" t="s">
        <v>714</v>
      </c>
    </row>
    <row r="5109" spans="1:5" hidden="1" x14ac:dyDescent="0.3">
      <c r="A5109" t="s">
        <v>557</v>
      </c>
      <c r="B5109" t="s">
        <v>713</v>
      </c>
      <c r="C5109" t="s">
        <v>85</v>
      </c>
      <c r="D5109" s="230">
        <v>0</v>
      </c>
      <c r="E5109" t="s">
        <v>714</v>
      </c>
    </row>
    <row r="5110" spans="1:5" hidden="1" x14ac:dyDescent="0.3">
      <c r="A5110" t="s">
        <v>557</v>
      </c>
      <c r="B5110" t="s">
        <v>713</v>
      </c>
      <c r="C5110" t="s">
        <v>86</v>
      </c>
      <c r="D5110" s="230">
        <v>0</v>
      </c>
      <c r="E5110" t="s">
        <v>714</v>
      </c>
    </row>
    <row r="5111" spans="1:5" hidden="1" x14ac:dyDescent="0.3">
      <c r="A5111" t="s">
        <v>557</v>
      </c>
      <c r="B5111" t="s">
        <v>713</v>
      </c>
      <c r="C5111" t="s">
        <v>87</v>
      </c>
      <c r="D5111" s="230">
        <v>0</v>
      </c>
      <c r="E5111" t="s">
        <v>714</v>
      </c>
    </row>
    <row r="5112" spans="1:5" hidden="1" x14ac:dyDescent="0.3">
      <c r="A5112" t="s">
        <v>557</v>
      </c>
      <c r="B5112" t="s">
        <v>713</v>
      </c>
      <c r="C5112" t="s">
        <v>88</v>
      </c>
      <c r="D5112" s="230">
        <v>0</v>
      </c>
      <c r="E5112" t="s">
        <v>714</v>
      </c>
    </row>
    <row r="5113" spans="1:5" hidden="1" x14ac:dyDescent="0.3">
      <c r="A5113" t="s">
        <v>557</v>
      </c>
      <c r="B5113" t="s">
        <v>713</v>
      </c>
      <c r="C5113" t="s">
        <v>89</v>
      </c>
      <c r="D5113" s="230">
        <v>0</v>
      </c>
      <c r="E5113" t="s">
        <v>714</v>
      </c>
    </row>
    <row r="5114" spans="1:5" hidden="1" x14ac:dyDescent="0.3">
      <c r="A5114" t="s">
        <v>557</v>
      </c>
      <c r="B5114" t="s">
        <v>713</v>
      </c>
      <c r="C5114" t="s">
        <v>90</v>
      </c>
      <c r="D5114" s="230">
        <v>0</v>
      </c>
      <c r="E5114" t="s">
        <v>714</v>
      </c>
    </row>
    <row r="5115" spans="1:5" hidden="1" x14ac:dyDescent="0.3">
      <c r="A5115" t="s">
        <v>557</v>
      </c>
      <c r="B5115" t="s">
        <v>713</v>
      </c>
      <c r="C5115" t="s">
        <v>91</v>
      </c>
      <c r="D5115" s="230">
        <v>0</v>
      </c>
      <c r="E5115" t="s">
        <v>714</v>
      </c>
    </row>
    <row r="5116" spans="1:5" hidden="1" x14ac:dyDescent="0.3">
      <c r="A5116" t="s">
        <v>557</v>
      </c>
      <c r="B5116" t="s">
        <v>713</v>
      </c>
      <c r="C5116" t="s">
        <v>93</v>
      </c>
      <c r="D5116" s="230">
        <v>0</v>
      </c>
      <c r="E5116" t="s">
        <v>714</v>
      </c>
    </row>
    <row r="5117" spans="1:5" hidden="1" x14ac:dyDescent="0.3">
      <c r="A5117" t="s">
        <v>557</v>
      </c>
      <c r="B5117" t="s">
        <v>713</v>
      </c>
      <c r="C5117" t="s">
        <v>95</v>
      </c>
      <c r="D5117" s="230">
        <v>0</v>
      </c>
      <c r="E5117" t="s">
        <v>714</v>
      </c>
    </row>
    <row r="5118" spans="1:5" hidden="1" x14ac:dyDescent="0.3">
      <c r="A5118" t="s">
        <v>557</v>
      </c>
      <c r="B5118" t="s">
        <v>713</v>
      </c>
      <c r="C5118" t="s">
        <v>96</v>
      </c>
      <c r="D5118" s="230">
        <v>0</v>
      </c>
      <c r="E5118" t="s">
        <v>714</v>
      </c>
    </row>
    <row r="5119" spans="1:5" hidden="1" x14ac:dyDescent="0.3">
      <c r="A5119" t="s">
        <v>557</v>
      </c>
      <c r="B5119" t="s">
        <v>713</v>
      </c>
      <c r="C5119" t="s">
        <v>98</v>
      </c>
      <c r="D5119" s="230">
        <v>0</v>
      </c>
      <c r="E5119" t="s">
        <v>714</v>
      </c>
    </row>
    <row r="5120" spans="1:5" hidden="1" x14ac:dyDescent="0.3">
      <c r="A5120" t="s">
        <v>557</v>
      </c>
      <c r="B5120" t="s">
        <v>713</v>
      </c>
      <c r="C5120" t="s">
        <v>100</v>
      </c>
      <c r="D5120" s="230">
        <v>0</v>
      </c>
      <c r="E5120" t="s">
        <v>714</v>
      </c>
    </row>
    <row r="5121" spans="1:5" hidden="1" x14ac:dyDescent="0.3">
      <c r="A5121" t="s">
        <v>557</v>
      </c>
      <c r="B5121" t="s">
        <v>713</v>
      </c>
      <c r="C5121" t="s">
        <v>101</v>
      </c>
      <c r="D5121" s="230">
        <v>0</v>
      </c>
      <c r="E5121" t="s">
        <v>714</v>
      </c>
    </row>
    <row r="5122" spans="1:5" hidden="1" x14ac:dyDescent="0.3">
      <c r="A5122" t="s">
        <v>557</v>
      </c>
      <c r="B5122" t="s">
        <v>713</v>
      </c>
      <c r="C5122" t="s">
        <v>102</v>
      </c>
      <c r="D5122" s="230">
        <v>0</v>
      </c>
      <c r="E5122" t="s">
        <v>714</v>
      </c>
    </row>
    <row r="5123" spans="1:5" hidden="1" x14ac:dyDescent="0.3">
      <c r="A5123" t="s">
        <v>557</v>
      </c>
      <c r="B5123" t="s">
        <v>713</v>
      </c>
      <c r="C5123" t="s">
        <v>103</v>
      </c>
      <c r="D5123" s="230">
        <v>0</v>
      </c>
      <c r="E5123" t="s">
        <v>714</v>
      </c>
    </row>
    <row r="5124" spans="1:5" hidden="1" x14ac:dyDescent="0.3">
      <c r="A5124" t="s">
        <v>557</v>
      </c>
      <c r="B5124" t="s">
        <v>713</v>
      </c>
      <c r="C5124" t="s">
        <v>104</v>
      </c>
      <c r="D5124" s="230">
        <v>0</v>
      </c>
      <c r="E5124" t="s">
        <v>714</v>
      </c>
    </row>
    <row r="5125" spans="1:5" hidden="1" x14ac:dyDescent="0.3">
      <c r="A5125" t="s">
        <v>557</v>
      </c>
      <c r="B5125" t="s">
        <v>713</v>
      </c>
      <c r="C5125" t="s">
        <v>105</v>
      </c>
      <c r="D5125" s="230">
        <v>0</v>
      </c>
      <c r="E5125" t="s">
        <v>714</v>
      </c>
    </row>
    <row r="5126" spans="1:5" hidden="1" x14ac:dyDescent="0.3">
      <c r="A5126" t="s">
        <v>557</v>
      </c>
      <c r="B5126" t="s">
        <v>713</v>
      </c>
      <c r="C5126" t="s">
        <v>107</v>
      </c>
      <c r="D5126" s="230">
        <v>0</v>
      </c>
      <c r="E5126" t="s">
        <v>714</v>
      </c>
    </row>
    <row r="5127" spans="1:5" hidden="1" x14ac:dyDescent="0.3">
      <c r="A5127" t="s">
        <v>557</v>
      </c>
      <c r="B5127" t="s">
        <v>713</v>
      </c>
      <c r="C5127" t="s">
        <v>108</v>
      </c>
      <c r="D5127" s="230">
        <v>0</v>
      </c>
      <c r="E5127" t="s">
        <v>714</v>
      </c>
    </row>
    <row r="5128" spans="1:5" hidden="1" x14ac:dyDescent="0.3">
      <c r="A5128" t="s">
        <v>557</v>
      </c>
      <c r="B5128" t="s">
        <v>713</v>
      </c>
      <c r="C5128" t="s">
        <v>109</v>
      </c>
      <c r="D5128" s="230">
        <v>0</v>
      </c>
      <c r="E5128" t="s">
        <v>714</v>
      </c>
    </row>
    <row r="5129" spans="1:5" hidden="1" x14ac:dyDescent="0.3">
      <c r="A5129" t="s">
        <v>557</v>
      </c>
      <c r="B5129" t="s">
        <v>713</v>
      </c>
      <c r="C5129" t="s">
        <v>110</v>
      </c>
      <c r="D5129" s="230">
        <v>0</v>
      </c>
      <c r="E5129" t="s">
        <v>714</v>
      </c>
    </row>
    <row r="5130" spans="1:5" hidden="1" x14ac:dyDescent="0.3">
      <c r="A5130" t="s">
        <v>557</v>
      </c>
      <c r="B5130" t="s">
        <v>713</v>
      </c>
      <c r="C5130" t="s">
        <v>44</v>
      </c>
      <c r="D5130" s="230">
        <v>0</v>
      </c>
      <c r="E5130" t="s">
        <v>714</v>
      </c>
    </row>
    <row r="5131" spans="1:5" hidden="1" x14ac:dyDescent="0.3">
      <c r="A5131" t="s">
        <v>557</v>
      </c>
      <c r="B5131" t="s">
        <v>713</v>
      </c>
      <c r="C5131" t="s">
        <v>111</v>
      </c>
      <c r="D5131" s="230">
        <v>-33174.11</v>
      </c>
      <c r="E5131" t="s">
        <v>714</v>
      </c>
    </row>
    <row r="5132" spans="1:5" hidden="1" x14ac:dyDescent="0.3">
      <c r="A5132" t="s">
        <v>557</v>
      </c>
      <c r="B5132" t="s">
        <v>713</v>
      </c>
      <c r="C5132" t="s">
        <v>608</v>
      </c>
      <c r="D5132" s="230">
        <v>-33174.11</v>
      </c>
      <c r="E5132" t="s">
        <v>714</v>
      </c>
    </row>
    <row r="5133" spans="1:5" hidden="1" x14ac:dyDescent="0.3">
      <c r="A5133" t="s">
        <v>557</v>
      </c>
      <c r="B5133" t="s">
        <v>713</v>
      </c>
      <c r="C5133" t="s">
        <v>44</v>
      </c>
      <c r="D5133" s="230">
        <v>-0.08</v>
      </c>
      <c r="E5133" t="s">
        <v>714</v>
      </c>
    </row>
    <row r="5134" spans="1:5" hidden="1" x14ac:dyDescent="0.3">
      <c r="A5134" t="s">
        <v>557</v>
      </c>
      <c r="B5134" t="s">
        <v>713</v>
      </c>
      <c r="C5134" t="s">
        <v>115</v>
      </c>
      <c r="D5134" s="230">
        <v>-7678.35</v>
      </c>
      <c r="E5134" t="s">
        <v>714</v>
      </c>
    </row>
    <row r="5135" spans="1:5" hidden="1" x14ac:dyDescent="0.3">
      <c r="A5135" t="s">
        <v>557</v>
      </c>
      <c r="B5135" t="s">
        <v>713</v>
      </c>
      <c r="C5135" t="s">
        <v>116</v>
      </c>
      <c r="D5135" s="230">
        <v>-7663.42</v>
      </c>
      <c r="E5135" t="s">
        <v>714</v>
      </c>
    </row>
    <row r="5136" spans="1:5" hidden="1" x14ac:dyDescent="0.3">
      <c r="A5136" t="s">
        <v>557</v>
      </c>
      <c r="B5136" t="s">
        <v>713</v>
      </c>
      <c r="C5136" t="s">
        <v>118</v>
      </c>
      <c r="D5136" s="230">
        <v>0</v>
      </c>
      <c r="E5136" t="s">
        <v>714</v>
      </c>
    </row>
    <row r="5137" spans="1:5" hidden="1" x14ac:dyDescent="0.3">
      <c r="A5137" t="s">
        <v>557</v>
      </c>
      <c r="B5137" t="s">
        <v>713</v>
      </c>
      <c r="C5137" t="s">
        <v>120</v>
      </c>
      <c r="D5137" s="230">
        <v>0</v>
      </c>
      <c r="E5137" t="s">
        <v>714</v>
      </c>
    </row>
    <row r="5138" spans="1:5" hidden="1" x14ac:dyDescent="0.3">
      <c r="A5138" t="s">
        <v>557</v>
      </c>
      <c r="B5138" t="s">
        <v>713</v>
      </c>
      <c r="C5138" t="s">
        <v>122</v>
      </c>
      <c r="D5138" s="230">
        <v>-14.93</v>
      </c>
      <c r="E5138" t="s">
        <v>714</v>
      </c>
    </row>
    <row r="5139" spans="1:5" hidden="1" x14ac:dyDescent="0.3">
      <c r="A5139" t="s">
        <v>557</v>
      </c>
      <c r="B5139" t="s">
        <v>713</v>
      </c>
      <c r="C5139" t="s">
        <v>44</v>
      </c>
      <c r="D5139" s="230">
        <v>-0.02</v>
      </c>
      <c r="E5139" t="s">
        <v>714</v>
      </c>
    </row>
    <row r="5140" spans="1:5" hidden="1" x14ac:dyDescent="0.3">
      <c r="A5140" t="s">
        <v>557</v>
      </c>
      <c r="B5140" t="s">
        <v>713</v>
      </c>
      <c r="C5140" t="s">
        <v>126</v>
      </c>
      <c r="D5140" s="230">
        <v>214263.44</v>
      </c>
      <c r="E5140" t="s">
        <v>714</v>
      </c>
    </row>
    <row r="5141" spans="1:5" hidden="1" x14ac:dyDescent="0.3">
      <c r="A5141" t="s">
        <v>557</v>
      </c>
      <c r="B5141" t="s">
        <v>713</v>
      </c>
      <c r="C5141" t="s">
        <v>127</v>
      </c>
      <c r="D5141" s="230">
        <v>0.52</v>
      </c>
      <c r="E5141" t="s">
        <v>714</v>
      </c>
    </row>
    <row r="5142" spans="1:5" hidden="1" x14ac:dyDescent="0.3">
      <c r="A5142" t="s">
        <v>557</v>
      </c>
      <c r="B5142" t="s">
        <v>713</v>
      </c>
      <c r="C5142" t="s">
        <v>128</v>
      </c>
      <c r="D5142" s="230">
        <v>-120712.52</v>
      </c>
      <c r="E5142" t="s">
        <v>714</v>
      </c>
    </row>
    <row r="5143" spans="1:5" hidden="1" x14ac:dyDescent="0.3">
      <c r="A5143" t="s">
        <v>557</v>
      </c>
      <c r="B5143" t="s">
        <v>713</v>
      </c>
      <c r="C5143" t="s">
        <v>129</v>
      </c>
      <c r="D5143" s="230">
        <v>-42084</v>
      </c>
      <c r="E5143" t="s">
        <v>714</v>
      </c>
    </row>
    <row r="5144" spans="1:5" hidden="1" x14ac:dyDescent="0.3">
      <c r="A5144" t="s">
        <v>557</v>
      </c>
      <c r="B5144" t="s">
        <v>713</v>
      </c>
      <c r="C5144" t="s">
        <v>609</v>
      </c>
      <c r="D5144" s="230">
        <v>-4526.67</v>
      </c>
      <c r="E5144" t="s">
        <v>714</v>
      </c>
    </row>
    <row r="5145" spans="1:5" hidden="1" x14ac:dyDescent="0.3">
      <c r="A5145" t="s">
        <v>557</v>
      </c>
      <c r="B5145" t="s">
        <v>713</v>
      </c>
      <c r="C5145" t="s">
        <v>610</v>
      </c>
      <c r="D5145" s="230">
        <v>-11000</v>
      </c>
      <c r="E5145" t="s">
        <v>714</v>
      </c>
    </row>
    <row r="5146" spans="1:5" hidden="1" x14ac:dyDescent="0.3">
      <c r="A5146" t="s">
        <v>557</v>
      </c>
      <c r="B5146" t="s">
        <v>713</v>
      </c>
      <c r="C5146" t="s">
        <v>611</v>
      </c>
      <c r="D5146" s="230">
        <v>-6600</v>
      </c>
      <c r="E5146" t="s">
        <v>714</v>
      </c>
    </row>
    <row r="5147" spans="1:5" hidden="1" x14ac:dyDescent="0.3">
      <c r="A5147" t="s">
        <v>557</v>
      </c>
      <c r="B5147" t="s">
        <v>713</v>
      </c>
      <c r="C5147" t="s">
        <v>612</v>
      </c>
      <c r="D5147" s="230">
        <v>-7957.33</v>
      </c>
      <c r="E5147" t="s">
        <v>714</v>
      </c>
    </row>
    <row r="5148" spans="1:5" hidden="1" x14ac:dyDescent="0.3">
      <c r="A5148" t="s">
        <v>557</v>
      </c>
      <c r="B5148" t="s">
        <v>713</v>
      </c>
      <c r="C5148" t="s">
        <v>613</v>
      </c>
      <c r="D5148" s="230">
        <v>-1200</v>
      </c>
      <c r="E5148" t="s">
        <v>714</v>
      </c>
    </row>
    <row r="5149" spans="1:5" hidden="1" x14ac:dyDescent="0.3">
      <c r="A5149" t="s">
        <v>557</v>
      </c>
      <c r="B5149" t="s">
        <v>713</v>
      </c>
      <c r="C5149" t="s">
        <v>614</v>
      </c>
      <c r="D5149" s="230">
        <v>-6000</v>
      </c>
      <c r="E5149" t="s">
        <v>714</v>
      </c>
    </row>
    <row r="5150" spans="1:5" hidden="1" x14ac:dyDescent="0.3">
      <c r="A5150" t="s">
        <v>557</v>
      </c>
      <c r="B5150" t="s">
        <v>713</v>
      </c>
      <c r="C5150" t="s">
        <v>615</v>
      </c>
      <c r="D5150" s="230">
        <v>0</v>
      </c>
      <c r="E5150" t="s">
        <v>714</v>
      </c>
    </row>
    <row r="5151" spans="1:5" hidden="1" x14ac:dyDescent="0.3">
      <c r="A5151" t="s">
        <v>557</v>
      </c>
      <c r="B5151" t="s">
        <v>713</v>
      </c>
      <c r="C5151" t="s">
        <v>616</v>
      </c>
      <c r="D5151" s="230">
        <v>-4800</v>
      </c>
      <c r="E5151" t="s">
        <v>714</v>
      </c>
    </row>
    <row r="5152" spans="1:5" hidden="1" x14ac:dyDescent="0.3">
      <c r="A5152" t="s">
        <v>557</v>
      </c>
      <c r="B5152" t="s">
        <v>713</v>
      </c>
      <c r="C5152" t="s">
        <v>617</v>
      </c>
      <c r="D5152" s="230">
        <v>0</v>
      </c>
      <c r="E5152" t="s">
        <v>714</v>
      </c>
    </row>
    <row r="5153" spans="1:5" hidden="1" x14ac:dyDescent="0.3">
      <c r="A5153" t="s">
        <v>557</v>
      </c>
      <c r="B5153" t="s">
        <v>713</v>
      </c>
      <c r="C5153" t="s">
        <v>618</v>
      </c>
      <c r="D5153" s="230">
        <v>0</v>
      </c>
      <c r="E5153" t="s">
        <v>714</v>
      </c>
    </row>
    <row r="5154" spans="1:5" hidden="1" x14ac:dyDescent="0.3">
      <c r="A5154" t="s">
        <v>557</v>
      </c>
      <c r="B5154" t="s">
        <v>713</v>
      </c>
      <c r="C5154" t="s">
        <v>619</v>
      </c>
      <c r="D5154" s="230">
        <v>0</v>
      </c>
      <c r="E5154" t="s">
        <v>714</v>
      </c>
    </row>
    <row r="5155" spans="1:5" hidden="1" x14ac:dyDescent="0.3">
      <c r="A5155" t="s">
        <v>557</v>
      </c>
      <c r="B5155" t="s">
        <v>713</v>
      </c>
      <c r="C5155" t="s">
        <v>620</v>
      </c>
      <c r="D5155" s="230">
        <v>0</v>
      </c>
      <c r="E5155" t="s">
        <v>714</v>
      </c>
    </row>
    <row r="5156" spans="1:5" hidden="1" x14ac:dyDescent="0.3">
      <c r="A5156" t="s">
        <v>557</v>
      </c>
      <c r="B5156" t="s">
        <v>713</v>
      </c>
      <c r="C5156" t="s">
        <v>575</v>
      </c>
      <c r="D5156" s="230">
        <v>-36918.58</v>
      </c>
      <c r="E5156" t="s">
        <v>714</v>
      </c>
    </row>
    <row r="5157" spans="1:5" hidden="1" x14ac:dyDescent="0.3">
      <c r="A5157" t="s">
        <v>557</v>
      </c>
      <c r="B5157" t="s">
        <v>713</v>
      </c>
      <c r="C5157" t="s">
        <v>621</v>
      </c>
      <c r="D5157" s="230">
        <v>0</v>
      </c>
      <c r="E5157" t="s">
        <v>714</v>
      </c>
    </row>
    <row r="5158" spans="1:5" hidden="1" x14ac:dyDescent="0.3">
      <c r="A5158" t="s">
        <v>557</v>
      </c>
      <c r="B5158" t="s">
        <v>713</v>
      </c>
      <c r="C5158" t="s">
        <v>622</v>
      </c>
      <c r="D5158" s="230">
        <v>0</v>
      </c>
      <c r="E5158" t="s">
        <v>714</v>
      </c>
    </row>
    <row r="5159" spans="1:5" hidden="1" x14ac:dyDescent="0.3">
      <c r="A5159" t="s">
        <v>557</v>
      </c>
      <c r="B5159" t="s">
        <v>713</v>
      </c>
      <c r="C5159" t="s">
        <v>623</v>
      </c>
      <c r="D5159" s="230">
        <v>0</v>
      </c>
      <c r="E5159" t="s">
        <v>714</v>
      </c>
    </row>
    <row r="5160" spans="1:5" hidden="1" x14ac:dyDescent="0.3">
      <c r="A5160" t="s">
        <v>557</v>
      </c>
      <c r="B5160" t="s">
        <v>713</v>
      </c>
      <c r="C5160" t="s">
        <v>624</v>
      </c>
      <c r="D5160" s="230">
        <v>0</v>
      </c>
      <c r="E5160" t="s">
        <v>714</v>
      </c>
    </row>
    <row r="5161" spans="1:5" hidden="1" x14ac:dyDescent="0.3">
      <c r="A5161" t="s">
        <v>557</v>
      </c>
      <c r="B5161" t="s">
        <v>713</v>
      </c>
      <c r="C5161" t="s">
        <v>625</v>
      </c>
      <c r="D5161" s="230">
        <v>0</v>
      </c>
      <c r="E5161" t="s">
        <v>714</v>
      </c>
    </row>
    <row r="5162" spans="1:5" hidden="1" x14ac:dyDescent="0.3">
      <c r="A5162" t="s">
        <v>557</v>
      </c>
      <c r="B5162" t="s">
        <v>713</v>
      </c>
      <c r="C5162" t="s">
        <v>626</v>
      </c>
      <c r="D5162" s="230">
        <v>0</v>
      </c>
      <c r="E5162" t="s">
        <v>714</v>
      </c>
    </row>
    <row r="5163" spans="1:5" hidden="1" x14ac:dyDescent="0.3">
      <c r="A5163" t="s">
        <v>557</v>
      </c>
      <c r="B5163" t="s">
        <v>713</v>
      </c>
      <c r="C5163" t="s">
        <v>627</v>
      </c>
      <c r="D5163" s="230">
        <v>0</v>
      </c>
      <c r="E5163" t="s">
        <v>714</v>
      </c>
    </row>
    <row r="5164" spans="1:5" hidden="1" x14ac:dyDescent="0.3">
      <c r="A5164" t="s">
        <v>557</v>
      </c>
      <c r="B5164" t="s">
        <v>713</v>
      </c>
      <c r="C5164" t="s">
        <v>628</v>
      </c>
      <c r="D5164" s="230">
        <v>0</v>
      </c>
      <c r="E5164" t="s">
        <v>714</v>
      </c>
    </row>
    <row r="5165" spans="1:5" hidden="1" x14ac:dyDescent="0.3">
      <c r="A5165" t="s">
        <v>557</v>
      </c>
      <c r="B5165" t="s">
        <v>713</v>
      </c>
      <c r="C5165" t="s">
        <v>629</v>
      </c>
      <c r="D5165" s="230">
        <v>0</v>
      </c>
      <c r="E5165" t="s">
        <v>714</v>
      </c>
    </row>
    <row r="5166" spans="1:5" hidden="1" x14ac:dyDescent="0.3">
      <c r="A5166" t="s">
        <v>557</v>
      </c>
      <c r="B5166" t="s">
        <v>713</v>
      </c>
      <c r="C5166" t="s">
        <v>630</v>
      </c>
      <c r="D5166" s="230">
        <v>0</v>
      </c>
      <c r="E5166" t="s">
        <v>714</v>
      </c>
    </row>
    <row r="5167" spans="1:5" hidden="1" x14ac:dyDescent="0.3">
      <c r="A5167" t="s">
        <v>557</v>
      </c>
      <c r="B5167" t="s">
        <v>713</v>
      </c>
      <c r="C5167" t="s">
        <v>631</v>
      </c>
      <c r="D5167" s="230">
        <v>0</v>
      </c>
      <c r="E5167" t="s">
        <v>714</v>
      </c>
    </row>
    <row r="5168" spans="1:5" hidden="1" x14ac:dyDescent="0.3">
      <c r="A5168" t="s">
        <v>557</v>
      </c>
      <c r="B5168" t="s">
        <v>713</v>
      </c>
      <c r="C5168" t="s">
        <v>632</v>
      </c>
      <c r="D5168" s="230">
        <v>0</v>
      </c>
      <c r="E5168" t="s">
        <v>714</v>
      </c>
    </row>
    <row r="5169" spans="1:5" hidden="1" x14ac:dyDescent="0.3">
      <c r="A5169" t="s">
        <v>557</v>
      </c>
      <c r="B5169" t="s">
        <v>713</v>
      </c>
      <c r="C5169" t="s">
        <v>633</v>
      </c>
      <c r="D5169" s="230">
        <v>0</v>
      </c>
      <c r="E5169" t="s">
        <v>714</v>
      </c>
    </row>
    <row r="5170" spans="1:5" hidden="1" x14ac:dyDescent="0.3">
      <c r="A5170" t="s">
        <v>557</v>
      </c>
      <c r="B5170" t="s">
        <v>713</v>
      </c>
      <c r="C5170" t="s">
        <v>634</v>
      </c>
      <c r="D5170" s="230">
        <v>0</v>
      </c>
      <c r="E5170" t="s">
        <v>714</v>
      </c>
    </row>
    <row r="5171" spans="1:5" hidden="1" x14ac:dyDescent="0.3">
      <c r="A5171" t="s">
        <v>557</v>
      </c>
      <c r="B5171" t="s">
        <v>713</v>
      </c>
      <c r="C5171" t="s">
        <v>635</v>
      </c>
      <c r="D5171" s="230">
        <v>0</v>
      </c>
      <c r="E5171" t="s">
        <v>714</v>
      </c>
    </row>
    <row r="5172" spans="1:5" hidden="1" x14ac:dyDescent="0.3">
      <c r="A5172" t="s">
        <v>557</v>
      </c>
      <c r="B5172" t="s">
        <v>713</v>
      </c>
      <c r="C5172" t="s">
        <v>636</v>
      </c>
      <c r="D5172" s="230">
        <v>0</v>
      </c>
      <c r="E5172" t="s">
        <v>714</v>
      </c>
    </row>
    <row r="5173" spans="1:5" hidden="1" x14ac:dyDescent="0.3">
      <c r="A5173" t="s">
        <v>557</v>
      </c>
      <c r="B5173" t="s">
        <v>713</v>
      </c>
      <c r="C5173" t="s">
        <v>637</v>
      </c>
      <c r="D5173" s="230">
        <v>0</v>
      </c>
      <c r="E5173" t="s">
        <v>714</v>
      </c>
    </row>
    <row r="5174" spans="1:5" hidden="1" x14ac:dyDescent="0.3">
      <c r="A5174" t="s">
        <v>557</v>
      </c>
      <c r="B5174" t="s">
        <v>713</v>
      </c>
      <c r="C5174" t="s">
        <v>638</v>
      </c>
      <c r="D5174" s="230">
        <v>0</v>
      </c>
      <c r="E5174" t="s">
        <v>714</v>
      </c>
    </row>
    <row r="5175" spans="1:5" hidden="1" x14ac:dyDescent="0.3">
      <c r="A5175" t="s">
        <v>557</v>
      </c>
      <c r="B5175" t="s">
        <v>713</v>
      </c>
      <c r="C5175" t="s">
        <v>639</v>
      </c>
      <c r="D5175" s="230">
        <v>0</v>
      </c>
      <c r="E5175" t="s">
        <v>714</v>
      </c>
    </row>
    <row r="5176" spans="1:5" hidden="1" x14ac:dyDescent="0.3">
      <c r="A5176" t="s">
        <v>557</v>
      </c>
      <c r="B5176" t="s">
        <v>713</v>
      </c>
      <c r="C5176" t="s">
        <v>640</v>
      </c>
      <c r="D5176" s="230">
        <v>0</v>
      </c>
      <c r="E5176" t="s">
        <v>714</v>
      </c>
    </row>
    <row r="5177" spans="1:5" hidden="1" x14ac:dyDescent="0.3">
      <c r="A5177" t="s">
        <v>557</v>
      </c>
      <c r="B5177" t="s">
        <v>713</v>
      </c>
      <c r="C5177" t="s">
        <v>641</v>
      </c>
      <c r="D5177" s="230">
        <v>0</v>
      </c>
      <c r="E5177" t="s">
        <v>714</v>
      </c>
    </row>
    <row r="5178" spans="1:5" hidden="1" x14ac:dyDescent="0.3">
      <c r="A5178" t="s">
        <v>557</v>
      </c>
      <c r="B5178" t="s">
        <v>713</v>
      </c>
      <c r="C5178" t="s">
        <v>642</v>
      </c>
      <c r="D5178" s="230">
        <v>0</v>
      </c>
      <c r="E5178" t="s">
        <v>714</v>
      </c>
    </row>
    <row r="5179" spans="1:5" hidden="1" x14ac:dyDescent="0.3">
      <c r="A5179" t="s">
        <v>557</v>
      </c>
      <c r="B5179" t="s">
        <v>713</v>
      </c>
      <c r="C5179" t="s">
        <v>643</v>
      </c>
      <c r="D5179" s="230">
        <v>0</v>
      </c>
      <c r="E5179" t="s">
        <v>714</v>
      </c>
    </row>
    <row r="5180" spans="1:5" hidden="1" x14ac:dyDescent="0.3">
      <c r="A5180" t="s">
        <v>557</v>
      </c>
      <c r="B5180" t="s">
        <v>713</v>
      </c>
      <c r="C5180" t="s">
        <v>644</v>
      </c>
      <c r="D5180" s="230">
        <v>0</v>
      </c>
      <c r="E5180" t="s">
        <v>714</v>
      </c>
    </row>
    <row r="5181" spans="1:5" hidden="1" x14ac:dyDescent="0.3">
      <c r="A5181" t="s">
        <v>557</v>
      </c>
      <c r="B5181" t="s">
        <v>713</v>
      </c>
      <c r="C5181" t="s">
        <v>645</v>
      </c>
      <c r="D5181" s="230">
        <v>0</v>
      </c>
      <c r="E5181" t="s">
        <v>714</v>
      </c>
    </row>
    <row r="5182" spans="1:5" hidden="1" x14ac:dyDescent="0.3">
      <c r="A5182" t="s">
        <v>557</v>
      </c>
      <c r="B5182" t="s">
        <v>713</v>
      </c>
      <c r="C5182" t="s">
        <v>646</v>
      </c>
      <c r="D5182" s="230">
        <v>0</v>
      </c>
      <c r="E5182" t="s">
        <v>714</v>
      </c>
    </row>
    <row r="5183" spans="1:5" hidden="1" x14ac:dyDescent="0.3">
      <c r="A5183" t="s">
        <v>557</v>
      </c>
      <c r="B5183" t="s">
        <v>713</v>
      </c>
      <c r="C5183" t="s">
        <v>647</v>
      </c>
      <c r="D5183" s="230">
        <v>0</v>
      </c>
      <c r="E5183" t="s">
        <v>714</v>
      </c>
    </row>
    <row r="5184" spans="1:5" hidden="1" x14ac:dyDescent="0.3">
      <c r="A5184" t="s">
        <v>557</v>
      </c>
      <c r="B5184" t="s">
        <v>713</v>
      </c>
      <c r="C5184" t="s">
        <v>648</v>
      </c>
      <c r="D5184" s="230">
        <v>0</v>
      </c>
      <c r="E5184" t="s">
        <v>714</v>
      </c>
    </row>
    <row r="5185" spans="1:5" hidden="1" x14ac:dyDescent="0.3">
      <c r="A5185" t="s">
        <v>557</v>
      </c>
      <c r="B5185" t="s">
        <v>713</v>
      </c>
      <c r="C5185" t="s">
        <v>649</v>
      </c>
      <c r="D5185" s="230">
        <v>0</v>
      </c>
      <c r="E5185" t="s">
        <v>714</v>
      </c>
    </row>
    <row r="5186" spans="1:5" hidden="1" x14ac:dyDescent="0.3">
      <c r="A5186" t="s">
        <v>557</v>
      </c>
      <c r="B5186" t="s">
        <v>713</v>
      </c>
      <c r="C5186" t="s">
        <v>650</v>
      </c>
      <c r="D5186" s="230">
        <v>0</v>
      </c>
      <c r="E5186" t="s">
        <v>714</v>
      </c>
    </row>
    <row r="5187" spans="1:5" hidden="1" x14ac:dyDescent="0.3">
      <c r="A5187" t="s">
        <v>557</v>
      </c>
      <c r="B5187" t="s">
        <v>713</v>
      </c>
      <c r="C5187" t="s">
        <v>651</v>
      </c>
      <c r="D5187" s="230">
        <v>0</v>
      </c>
      <c r="E5187" t="s">
        <v>714</v>
      </c>
    </row>
    <row r="5188" spans="1:5" hidden="1" x14ac:dyDescent="0.3">
      <c r="A5188" t="s">
        <v>557</v>
      </c>
      <c r="B5188" t="s">
        <v>713</v>
      </c>
      <c r="C5188" t="s">
        <v>652</v>
      </c>
      <c r="D5188" s="230">
        <v>0</v>
      </c>
      <c r="E5188" t="s">
        <v>714</v>
      </c>
    </row>
    <row r="5189" spans="1:5" hidden="1" x14ac:dyDescent="0.3">
      <c r="A5189" t="s">
        <v>557</v>
      </c>
      <c r="B5189" t="s">
        <v>713</v>
      </c>
      <c r="C5189" t="s">
        <v>653</v>
      </c>
      <c r="D5189" s="230">
        <v>0</v>
      </c>
      <c r="E5189" t="s">
        <v>714</v>
      </c>
    </row>
    <row r="5190" spans="1:5" hidden="1" x14ac:dyDescent="0.3">
      <c r="A5190" t="s">
        <v>557</v>
      </c>
      <c r="B5190" t="s">
        <v>713</v>
      </c>
      <c r="C5190" t="s">
        <v>654</v>
      </c>
      <c r="D5190" s="230">
        <v>0</v>
      </c>
      <c r="E5190" t="s">
        <v>714</v>
      </c>
    </row>
    <row r="5191" spans="1:5" hidden="1" x14ac:dyDescent="0.3">
      <c r="A5191" t="s">
        <v>557</v>
      </c>
      <c r="B5191" t="s">
        <v>713</v>
      </c>
      <c r="C5191" t="s">
        <v>655</v>
      </c>
      <c r="D5191" s="230">
        <v>0</v>
      </c>
      <c r="E5191" t="s">
        <v>714</v>
      </c>
    </row>
    <row r="5192" spans="1:5" hidden="1" x14ac:dyDescent="0.3">
      <c r="A5192" t="s">
        <v>557</v>
      </c>
      <c r="B5192" t="s">
        <v>713</v>
      </c>
      <c r="C5192" t="s">
        <v>656</v>
      </c>
      <c r="D5192" s="230">
        <v>0</v>
      </c>
      <c r="E5192" t="s">
        <v>714</v>
      </c>
    </row>
    <row r="5193" spans="1:5" hidden="1" x14ac:dyDescent="0.3">
      <c r="A5193" t="s">
        <v>557</v>
      </c>
      <c r="B5193" t="s">
        <v>713</v>
      </c>
      <c r="C5193" t="s">
        <v>657</v>
      </c>
      <c r="D5193" s="230">
        <v>0</v>
      </c>
      <c r="E5193" t="s">
        <v>714</v>
      </c>
    </row>
    <row r="5194" spans="1:5" hidden="1" x14ac:dyDescent="0.3">
      <c r="A5194" t="s">
        <v>557</v>
      </c>
      <c r="B5194" t="s">
        <v>713</v>
      </c>
      <c r="C5194" t="s">
        <v>658</v>
      </c>
      <c r="D5194" s="230">
        <v>0</v>
      </c>
      <c r="E5194" t="s">
        <v>714</v>
      </c>
    </row>
    <row r="5195" spans="1:5" hidden="1" x14ac:dyDescent="0.3">
      <c r="A5195" t="s">
        <v>557</v>
      </c>
      <c r="B5195" t="s">
        <v>713</v>
      </c>
      <c r="C5195" t="s">
        <v>659</v>
      </c>
      <c r="D5195" s="230">
        <v>0</v>
      </c>
      <c r="E5195" t="s">
        <v>714</v>
      </c>
    </row>
    <row r="5196" spans="1:5" hidden="1" x14ac:dyDescent="0.3">
      <c r="A5196" t="s">
        <v>557</v>
      </c>
      <c r="B5196" t="s">
        <v>713</v>
      </c>
      <c r="C5196" t="s">
        <v>660</v>
      </c>
      <c r="D5196" s="230">
        <v>0</v>
      </c>
      <c r="E5196" t="s">
        <v>714</v>
      </c>
    </row>
    <row r="5197" spans="1:5" hidden="1" x14ac:dyDescent="0.3">
      <c r="A5197" t="s">
        <v>557</v>
      </c>
      <c r="B5197" t="s">
        <v>713</v>
      </c>
      <c r="C5197" t="s">
        <v>661</v>
      </c>
      <c r="D5197" s="230">
        <v>0</v>
      </c>
      <c r="E5197" t="s">
        <v>714</v>
      </c>
    </row>
    <row r="5198" spans="1:5" hidden="1" x14ac:dyDescent="0.3">
      <c r="A5198" t="s">
        <v>557</v>
      </c>
      <c r="B5198" t="s">
        <v>713</v>
      </c>
      <c r="C5198" t="s">
        <v>662</v>
      </c>
      <c r="D5198" s="230">
        <v>0</v>
      </c>
      <c r="E5198" t="s">
        <v>714</v>
      </c>
    </row>
    <row r="5199" spans="1:5" hidden="1" x14ac:dyDescent="0.3">
      <c r="A5199" t="s">
        <v>557</v>
      </c>
      <c r="B5199" t="s">
        <v>713</v>
      </c>
      <c r="C5199" t="s">
        <v>663</v>
      </c>
      <c r="D5199" s="230">
        <v>0</v>
      </c>
      <c r="E5199" t="s">
        <v>714</v>
      </c>
    </row>
    <row r="5200" spans="1:5" hidden="1" x14ac:dyDescent="0.3">
      <c r="A5200" t="s">
        <v>557</v>
      </c>
      <c r="B5200" t="s">
        <v>713</v>
      </c>
      <c r="C5200" t="s">
        <v>664</v>
      </c>
      <c r="D5200" s="230">
        <v>0</v>
      </c>
      <c r="E5200" t="s">
        <v>714</v>
      </c>
    </row>
    <row r="5201" spans="1:5" hidden="1" x14ac:dyDescent="0.3">
      <c r="A5201" t="s">
        <v>557</v>
      </c>
      <c r="B5201" t="s">
        <v>713</v>
      </c>
      <c r="C5201" t="s">
        <v>665</v>
      </c>
      <c r="D5201" s="230">
        <v>0</v>
      </c>
      <c r="E5201" t="s">
        <v>714</v>
      </c>
    </row>
    <row r="5202" spans="1:5" hidden="1" x14ac:dyDescent="0.3">
      <c r="A5202" t="s">
        <v>557</v>
      </c>
      <c r="B5202" t="s">
        <v>713</v>
      </c>
      <c r="C5202" t="s">
        <v>666</v>
      </c>
      <c r="D5202" s="230">
        <v>0</v>
      </c>
      <c r="E5202" t="s">
        <v>714</v>
      </c>
    </row>
    <row r="5203" spans="1:5" hidden="1" x14ac:dyDescent="0.3">
      <c r="A5203" t="s">
        <v>557</v>
      </c>
      <c r="B5203" t="s">
        <v>713</v>
      </c>
      <c r="C5203" t="s">
        <v>667</v>
      </c>
      <c r="D5203" s="230">
        <v>0</v>
      </c>
      <c r="E5203" t="s">
        <v>714</v>
      </c>
    </row>
    <row r="5204" spans="1:5" hidden="1" x14ac:dyDescent="0.3">
      <c r="A5204" t="s">
        <v>557</v>
      </c>
      <c r="B5204" t="s">
        <v>713</v>
      </c>
      <c r="C5204" t="s">
        <v>668</v>
      </c>
      <c r="D5204" s="230">
        <v>0</v>
      </c>
      <c r="E5204" t="s">
        <v>714</v>
      </c>
    </row>
    <row r="5205" spans="1:5" hidden="1" x14ac:dyDescent="0.3">
      <c r="A5205" t="s">
        <v>557</v>
      </c>
      <c r="B5205" t="s">
        <v>713</v>
      </c>
      <c r="C5205" t="s">
        <v>669</v>
      </c>
      <c r="D5205" s="230">
        <v>0</v>
      </c>
      <c r="E5205" t="s">
        <v>714</v>
      </c>
    </row>
    <row r="5206" spans="1:5" hidden="1" x14ac:dyDescent="0.3">
      <c r="A5206" t="s">
        <v>557</v>
      </c>
      <c r="B5206" t="s">
        <v>713</v>
      </c>
      <c r="C5206" t="s">
        <v>670</v>
      </c>
      <c r="D5206" s="230">
        <v>0</v>
      </c>
      <c r="E5206" t="s">
        <v>714</v>
      </c>
    </row>
    <row r="5207" spans="1:5" hidden="1" x14ac:dyDescent="0.3">
      <c r="A5207" t="s">
        <v>557</v>
      </c>
      <c r="B5207" t="s">
        <v>713</v>
      </c>
      <c r="C5207" t="s">
        <v>671</v>
      </c>
      <c r="D5207" s="230">
        <v>0</v>
      </c>
      <c r="E5207" t="s">
        <v>714</v>
      </c>
    </row>
    <row r="5208" spans="1:5" hidden="1" x14ac:dyDescent="0.3">
      <c r="A5208" t="s">
        <v>557</v>
      </c>
      <c r="B5208" t="s">
        <v>713</v>
      </c>
      <c r="C5208" t="s">
        <v>672</v>
      </c>
      <c r="D5208" s="230">
        <v>0</v>
      </c>
      <c r="E5208" t="s">
        <v>714</v>
      </c>
    </row>
    <row r="5209" spans="1:5" hidden="1" x14ac:dyDescent="0.3">
      <c r="A5209" t="s">
        <v>557</v>
      </c>
      <c r="B5209" t="s">
        <v>713</v>
      </c>
      <c r="C5209" t="s">
        <v>673</v>
      </c>
      <c r="D5209" s="230">
        <v>0</v>
      </c>
      <c r="E5209" t="s">
        <v>714</v>
      </c>
    </row>
    <row r="5210" spans="1:5" hidden="1" x14ac:dyDescent="0.3">
      <c r="A5210" t="s">
        <v>557</v>
      </c>
      <c r="B5210" t="s">
        <v>713</v>
      </c>
      <c r="C5210" t="s">
        <v>674</v>
      </c>
      <c r="D5210" s="230">
        <v>0</v>
      </c>
      <c r="E5210" t="s">
        <v>714</v>
      </c>
    </row>
    <row r="5211" spans="1:5" hidden="1" x14ac:dyDescent="0.3">
      <c r="A5211" t="s">
        <v>557</v>
      </c>
      <c r="B5211" t="s">
        <v>713</v>
      </c>
      <c r="C5211" t="s">
        <v>675</v>
      </c>
      <c r="D5211" s="230">
        <v>0</v>
      </c>
      <c r="E5211" t="s">
        <v>714</v>
      </c>
    </row>
    <row r="5212" spans="1:5" hidden="1" x14ac:dyDescent="0.3">
      <c r="A5212" t="s">
        <v>557</v>
      </c>
      <c r="B5212" t="s">
        <v>713</v>
      </c>
      <c r="C5212" t="s">
        <v>676</v>
      </c>
      <c r="D5212" s="230">
        <v>0</v>
      </c>
      <c r="E5212" t="s">
        <v>714</v>
      </c>
    </row>
    <row r="5213" spans="1:5" hidden="1" x14ac:dyDescent="0.3">
      <c r="A5213" t="s">
        <v>557</v>
      </c>
      <c r="B5213" t="s">
        <v>713</v>
      </c>
      <c r="C5213" t="s">
        <v>677</v>
      </c>
      <c r="D5213" s="230">
        <v>0</v>
      </c>
      <c r="E5213" t="s">
        <v>714</v>
      </c>
    </row>
    <row r="5214" spans="1:5" hidden="1" x14ac:dyDescent="0.3">
      <c r="A5214" t="s">
        <v>557</v>
      </c>
      <c r="B5214" t="s">
        <v>713</v>
      </c>
      <c r="C5214" t="s">
        <v>201</v>
      </c>
      <c r="D5214" s="230">
        <v>-8752.33</v>
      </c>
      <c r="E5214" t="s">
        <v>714</v>
      </c>
    </row>
    <row r="5215" spans="1:5" hidden="1" x14ac:dyDescent="0.3">
      <c r="A5215" t="s">
        <v>557</v>
      </c>
      <c r="B5215" t="s">
        <v>713</v>
      </c>
      <c r="C5215" t="s">
        <v>203</v>
      </c>
      <c r="D5215" s="230">
        <v>-8752.33</v>
      </c>
      <c r="E5215" t="s">
        <v>714</v>
      </c>
    </row>
    <row r="5216" spans="1:5" hidden="1" x14ac:dyDescent="0.3">
      <c r="A5216" t="s">
        <v>557</v>
      </c>
      <c r="B5216" t="s">
        <v>713</v>
      </c>
      <c r="C5216" t="s">
        <v>678</v>
      </c>
      <c r="D5216" s="230">
        <v>4376.17</v>
      </c>
      <c r="E5216" t="s">
        <v>714</v>
      </c>
    </row>
    <row r="5217" spans="1:5" hidden="1" x14ac:dyDescent="0.3">
      <c r="A5217" t="s">
        <v>557</v>
      </c>
      <c r="B5217" t="s">
        <v>713</v>
      </c>
      <c r="C5217" t="s">
        <v>205</v>
      </c>
      <c r="D5217" s="230">
        <v>-18748.599999999999</v>
      </c>
      <c r="E5217" t="s">
        <v>714</v>
      </c>
    </row>
    <row r="5218" spans="1:5" hidden="1" x14ac:dyDescent="0.3">
      <c r="A5218" t="s">
        <v>557</v>
      </c>
      <c r="B5218" t="s">
        <v>713</v>
      </c>
      <c r="C5218" t="s">
        <v>679</v>
      </c>
      <c r="D5218" s="230">
        <v>-4833.3599999999997</v>
      </c>
      <c r="E5218" t="s">
        <v>714</v>
      </c>
    </row>
    <row r="5219" spans="1:5" hidden="1" x14ac:dyDescent="0.3">
      <c r="A5219" t="s">
        <v>557</v>
      </c>
      <c r="B5219" t="s">
        <v>713</v>
      </c>
      <c r="C5219" t="s">
        <v>680</v>
      </c>
      <c r="D5219" s="230">
        <v>0</v>
      </c>
      <c r="E5219" t="s">
        <v>714</v>
      </c>
    </row>
    <row r="5220" spans="1:5" hidden="1" x14ac:dyDescent="0.3">
      <c r="A5220" t="s">
        <v>557</v>
      </c>
      <c r="B5220" t="s">
        <v>713</v>
      </c>
      <c r="C5220" t="s">
        <v>681</v>
      </c>
      <c r="D5220" s="230">
        <v>0</v>
      </c>
      <c r="E5220" t="s">
        <v>714</v>
      </c>
    </row>
    <row r="5221" spans="1:5" hidden="1" x14ac:dyDescent="0.3">
      <c r="A5221" t="s">
        <v>557</v>
      </c>
      <c r="B5221" t="s">
        <v>713</v>
      </c>
      <c r="C5221" t="s">
        <v>682</v>
      </c>
      <c r="D5221" s="230">
        <v>-4967.17</v>
      </c>
      <c r="E5221" t="s">
        <v>714</v>
      </c>
    </row>
    <row r="5222" spans="1:5" hidden="1" x14ac:dyDescent="0.3">
      <c r="A5222" t="s">
        <v>557</v>
      </c>
      <c r="B5222" t="s">
        <v>713</v>
      </c>
      <c r="C5222" t="s">
        <v>683</v>
      </c>
      <c r="D5222" s="230">
        <v>-1488.96</v>
      </c>
      <c r="E5222" t="s">
        <v>714</v>
      </c>
    </row>
    <row r="5223" spans="1:5" hidden="1" x14ac:dyDescent="0.3">
      <c r="A5223" t="s">
        <v>557</v>
      </c>
      <c r="B5223" t="s">
        <v>713</v>
      </c>
      <c r="C5223" t="s">
        <v>684</v>
      </c>
      <c r="D5223" s="230">
        <v>-1673.59</v>
      </c>
      <c r="E5223" t="s">
        <v>714</v>
      </c>
    </row>
    <row r="5224" spans="1:5" hidden="1" x14ac:dyDescent="0.3">
      <c r="A5224" t="s">
        <v>557</v>
      </c>
      <c r="B5224" t="s">
        <v>713</v>
      </c>
      <c r="C5224" t="s">
        <v>685</v>
      </c>
      <c r="D5224" s="230">
        <v>-500.29</v>
      </c>
      <c r="E5224" t="s">
        <v>714</v>
      </c>
    </row>
    <row r="5225" spans="1:5" hidden="1" x14ac:dyDescent="0.3">
      <c r="A5225" t="s">
        <v>557</v>
      </c>
      <c r="B5225" t="s">
        <v>713</v>
      </c>
      <c r="C5225" t="s">
        <v>686</v>
      </c>
      <c r="D5225" s="230">
        <v>0</v>
      </c>
      <c r="E5225" t="s">
        <v>714</v>
      </c>
    </row>
    <row r="5226" spans="1:5" hidden="1" x14ac:dyDescent="0.3">
      <c r="A5226" t="s">
        <v>557</v>
      </c>
      <c r="B5226" t="s">
        <v>713</v>
      </c>
      <c r="C5226" t="s">
        <v>687</v>
      </c>
      <c r="D5226" s="230">
        <v>0</v>
      </c>
      <c r="E5226" t="s">
        <v>714</v>
      </c>
    </row>
    <row r="5227" spans="1:5" hidden="1" x14ac:dyDescent="0.3">
      <c r="A5227" t="s">
        <v>557</v>
      </c>
      <c r="B5227" t="s">
        <v>713</v>
      </c>
      <c r="C5227" t="s">
        <v>688</v>
      </c>
      <c r="D5227" s="230">
        <v>0</v>
      </c>
      <c r="E5227" t="s">
        <v>714</v>
      </c>
    </row>
    <row r="5228" spans="1:5" hidden="1" x14ac:dyDescent="0.3">
      <c r="A5228" t="s">
        <v>557</v>
      </c>
      <c r="B5228" t="s">
        <v>713</v>
      </c>
      <c r="C5228" t="s">
        <v>689</v>
      </c>
      <c r="D5228" s="230">
        <v>0</v>
      </c>
      <c r="E5228" t="s">
        <v>714</v>
      </c>
    </row>
    <row r="5229" spans="1:5" hidden="1" x14ac:dyDescent="0.3">
      <c r="A5229" t="s">
        <v>557</v>
      </c>
      <c r="B5229" t="s">
        <v>713</v>
      </c>
      <c r="C5229" t="s">
        <v>690</v>
      </c>
      <c r="D5229" s="230">
        <v>-4000</v>
      </c>
      <c r="E5229" t="s">
        <v>714</v>
      </c>
    </row>
    <row r="5230" spans="1:5" hidden="1" x14ac:dyDescent="0.3">
      <c r="A5230" t="s">
        <v>557</v>
      </c>
      <c r="B5230" t="s">
        <v>713</v>
      </c>
      <c r="C5230" t="s">
        <v>691</v>
      </c>
      <c r="D5230" s="230">
        <v>0</v>
      </c>
      <c r="E5230" t="s">
        <v>714</v>
      </c>
    </row>
    <row r="5231" spans="1:5" hidden="1" x14ac:dyDescent="0.3">
      <c r="A5231" t="s">
        <v>557</v>
      </c>
      <c r="B5231" t="s">
        <v>713</v>
      </c>
      <c r="C5231" t="s">
        <v>692</v>
      </c>
      <c r="D5231" s="230">
        <v>-1285.22</v>
      </c>
      <c r="E5231" t="s">
        <v>714</v>
      </c>
    </row>
    <row r="5232" spans="1:5" hidden="1" x14ac:dyDescent="0.3">
      <c r="A5232" t="s">
        <v>557</v>
      </c>
      <c r="B5232" t="s">
        <v>713</v>
      </c>
      <c r="C5232" t="s">
        <v>693</v>
      </c>
      <c r="D5232" s="230">
        <v>0</v>
      </c>
      <c r="E5232" t="s">
        <v>714</v>
      </c>
    </row>
    <row r="5233" spans="1:5" hidden="1" x14ac:dyDescent="0.3">
      <c r="A5233" t="s">
        <v>557</v>
      </c>
      <c r="B5233" t="s">
        <v>713</v>
      </c>
      <c r="C5233" t="s">
        <v>694</v>
      </c>
      <c r="D5233" s="230">
        <v>0</v>
      </c>
      <c r="E5233" t="s">
        <v>714</v>
      </c>
    </row>
    <row r="5234" spans="1:5" hidden="1" x14ac:dyDescent="0.3">
      <c r="A5234" t="s">
        <v>557</v>
      </c>
      <c r="B5234" t="s">
        <v>713</v>
      </c>
      <c r="C5234" t="s">
        <v>238</v>
      </c>
      <c r="D5234" s="230">
        <v>-6981.45</v>
      </c>
      <c r="E5234" t="s">
        <v>714</v>
      </c>
    </row>
    <row r="5235" spans="1:5" hidden="1" x14ac:dyDescent="0.3">
      <c r="A5235" t="s">
        <v>557</v>
      </c>
      <c r="B5235" t="s">
        <v>713</v>
      </c>
      <c r="C5235" t="s">
        <v>695</v>
      </c>
      <c r="D5235" s="230">
        <v>-6907.98</v>
      </c>
      <c r="E5235" t="s">
        <v>714</v>
      </c>
    </row>
    <row r="5236" spans="1:5" hidden="1" x14ac:dyDescent="0.3">
      <c r="A5236" t="s">
        <v>557</v>
      </c>
      <c r="B5236" t="s">
        <v>713</v>
      </c>
      <c r="C5236" t="s">
        <v>696</v>
      </c>
      <c r="D5236" s="230">
        <v>0</v>
      </c>
      <c r="E5236" t="s">
        <v>714</v>
      </c>
    </row>
    <row r="5237" spans="1:5" hidden="1" x14ac:dyDescent="0.3">
      <c r="A5237" t="s">
        <v>557</v>
      </c>
      <c r="B5237" t="s">
        <v>713</v>
      </c>
      <c r="C5237" t="s">
        <v>697</v>
      </c>
      <c r="D5237" s="230">
        <v>0</v>
      </c>
      <c r="E5237" t="s">
        <v>714</v>
      </c>
    </row>
    <row r="5238" spans="1:5" hidden="1" x14ac:dyDescent="0.3">
      <c r="A5238" t="s">
        <v>557</v>
      </c>
      <c r="B5238" t="s">
        <v>713</v>
      </c>
      <c r="C5238" t="s">
        <v>698</v>
      </c>
      <c r="D5238" s="230">
        <v>-73.47</v>
      </c>
      <c r="E5238" t="s">
        <v>714</v>
      </c>
    </row>
    <row r="5239" spans="1:5" hidden="1" x14ac:dyDescent="0.3">
      <c r="A5239" t="s">
        <v>557</v>
      </c>
      <c r="B5239" t="s">
        <v>713</v>
      </c>
      <c r="C5239" t="s">
        <v>699</v>
      </c>
      <c r="D5239" s="230">
        <v>0</v>
      </c>
      <c r="E5239" t="s">
        <v>714</v>
      </c>
    </row>
    <row r="5240" spans="1:5" hidden="1" x14ac:dyDescent="0.3">
      <c r="A5240" t="s">
        <v>557</v>
      </c>
      <c r="B5240" t="s">
        <v>713</v>
      </c>
      <c r="C5240" t="s">
        <v>245</v>
      </c>
      <c r="D5240" s="230">
        <v>-7227.56</v>
      </c>
      <c r="E5240" t="s">
        <v>714</v>
      </c>
    </row>
    <row r="5241" spans="1:5" hidden="1" x14ac:dyDescent="0.3">
      <c r="A5241" t="s">
        <v>557</v>
      </c>
      <c r="B5241" t="s">
        <v>713</v>
      </c>
      <c r="C5241" t="s">
        <v>700</v>
      </c>
      <c r="D5241" s="230">
        <v>-570</v>
      </c>
      <c r="E5241" t="s">
        <v>714</v>
      </c>
    </row>
    <row r="5242" spans="1:5" hidden="1" x14ac:dyDescent="0.3">
      <c r="A5242" t="s">
        <v>557</v>
      </c>
      <c r="B5242" t="s">
        <v>713</v>
      </c>
      <c r="C5242" t="s">
        <v>701</v>
      </c>
      <c r="D5242" s="230">
        <v>-214.56</v>
      </c>
      <c r="E5242" t="s">
        <v>714</v>
      </c>
    </row>
    <row r="5243" spans="1:5" hidden="1" x14ac:dyDescent="0.3">
      <c r="A5243" t="s">
        <v>557</v>
      </c>
      <c r="B5243" t="s">
        <v>713</v>
      </c>
      <c r="C5243" t="s">
        <v>702</v>
      </c>
      <c r="D5243" s="230">
        <v>0</v>
      </c>
      <c r="E5243" t="s">
        <v>714</v>
      </c>
    </row>
    <row r="5244" spans="1:5" hidden="1" x14ac:dyDescent="0.3">
      <c r="A5244" t="s">
        <v>557</v>
      </c>
      <c r="B5244" t="s">
        <v>713</v>
      </c>
      <c r="C5244" t="s">
        <v>703</v>
      </c>
      <c r="D5244" s="230">
        <v>0</v>
      </c>
      <c r="E5244" t="s">
        <v>714</v>
      </c>
    </row>
    <row r="5245" spans="1:5" hidden="1" x14ac:dyDescent="0.3">
      <c r="A5245" t="s">
        <v>557</v>
      </c>
      <c r="B5245" t="s">
        <v>713</v>
      </c>
      <c r="C5245" t="s">
        <v>704</v>
      </c>
      <c r="D5245" s="230">
        <v>0</v>
      </c>
      <c r="E5245" t="s">
        <v>714</v>
      </c>
    </row>
    <row r="5246" spans="1:5" hidden="1" x14ac:dyDescent="0.3">
      <c r="A5246" t="s">
        <v>557</v>
      </c>
      <c r="B5246" t="s">
        <v>713</v>
      </c>
      <c r="C5246" t="s">
        <v>705</v>
      </c>
      <c r="D5246" s="230">
        <v>-6443</v>
      </c>
      <c r="E5246" t="s">
        <v>714</v>
      </c>
    </row>
    <row r="5247" spans="1:5" hidden="1" x14ac:dyDescent="0.3">
      <c r="A5247" t="s">
        <v>557</v>
      </c>
      <c r="B5247" t="s">
        <v>713</v>
      </c>
      <c r="C5247" t="s">
        <v>706</v>
      </c>
      <c r="D5247" s="230">
        <v>0</v>
      </c>
      <c r="E5247" t="s">
        <v>714</v>
      </c>
    </row>
    <row r="5248" spans="1:5" hidden="1" x14ac:dyDescent="0.3">
      <c r="A5248" t="s">
        <v>557</v>
      </c>
      <c r="B5248" t="s">
        <v>713</v>
      </c>
      <c r="C5248" t="s">
        <v>254</v>
      </c>
      <c r="D5248" s="230">
        <v>-0.37</v>
      </c>
      <c r="E5248" t="s">
        <v>714</v>
      </c>
    </row>
    <row r="5249" spans="1:5" hidden="1" x14ac:dyDescent="0.3">
      <c r="A5249" t="s">
        <v>557</v>
      </c>
      <c r="B5249" t="s">
        <v>713</v>
      </c>
      <c r="C5249" t="s">
        <v>255</v>
      </c>
      <c r="D5249" s="230">
        <v>-0.36</v>
      </c>
      <c r="E5249" t="s">
        <v>714</v>
      </c>
    </row>
    <row r="5250" spans="1:5" hidden="1" x14ac:dyDescent="0.3">
      <c r="A5250" t="s">
        <v>557</v>
      </c>
      <c r="B5250" t="s">
        <v>713</v>
      </c>
      <c r="C5250" t="s">
        <v>256</v>
      </c>
      <c r="D5250" s="230">
        <v>-51752.37</v>
      </c>
      <c r="E5250" t="s">
        <v>714</v>
      </c>
    </row>
    <row r="5251" spans="1:5" hidden="1" x14ac:dyDescent="0.3">
      <c r="A5251" t="s">
        <v>557</v>
      </c>
      <c r="B5251" t="s">
        <v>713</v>
      </c>
      <c r="C5251" t="s">
        <v>257</v>
      </c>
      <c r="D5251" s="230">
        <v>-49305.7</v>
      </c>
      <c r="E5251" t="s">
        <v>714</v>
      </c>
    </row>
    <row r="5252" spans="1:5" hidden="1" x14ac:dyDescent="0.3">
      <c r="A5252" t="s">
        <v>557</v>
      </c>
      <c r="B5252" t="s">
        <v>713</v>
      </c>
      <c r="C5252" t="s">
        <v>258</v>
      </c>
      <c r="D5252" s="230">
        <v>0</v>
      </c>
      <c r="E5252" t="s">
        <v>714</v>
      </c>
    </row>
    <row r="5253" spans="1:5" hidden="1" x14ac:dyDescent="0.3">
      <c r="A5253" t="s">
        <v>557</v>
      </c>
      <c r="B5253" t="s">
        <v>713</v>
      </c>
      <c r="C5253" t="s">
        <v>259</v>
      </c>
      <c r="D5253" s="230">
        <v>-2446.67</v>
      </c>
      <c r="E5253" t="s">
        <v>714</v>
      </c>
    </row>
    <row r="5254" spans="1:5" hidden="1" x14ac:dyDescent="0.3">
      <c r="A5254" t="s">
        <v>557</v>
      </c>
      <c r="B5254" t="s">
        <v>713</v>
      </c>
      <c r="C5254" t="s">
        <v>260</v>
      </c>
      <c r="D5254" s="230">
        <v>0</v>
      </c>
      <c r="E5254" t="s">
        <v>714</v>
      </c>
    </row>
    <row r="5255" spans="1:5" hidden="1" x14ac:dyDescent="0.3">
      <c r="A5255" t="s">
        <v>557</v>
      </c>
      <c r="B5255" t="s">
        <v>713</v>
      </c>
      <c r="C5255" t="s">
        <v>261</v>
      </c>
      <c r="D5255" s="230">
        <v>0</v>
      </c>
      <c r="E5255" t="s">
        <v>714</v>
      </c>
    </row>
    <row r="5256" spans="1:5" hidden="1" x14ac:dyDescent="0.3">
      <c r="A5256" t="s">
        <v>557</v>
      </c>
      <c r="B5256" t="s">
        <v>713</v>
      </c>
      <c r="C5256" t="s">
        <v>262</v>
      </c>
      <c r="D5256" s="230">
        <v>0</v>
      </c>
      <c r="E5256" t="s">
        <v>714</v>
      </c>
    </row>
    <row r="5257" spans="1:5" hidden="1" x14ac:dyDescent="0.3">
      <c r="A5257" t="s">
        <v>557</v>
      </c>
      <c r="B5257" t="s">
        <v>713</v>
      </c>
      <c r="C5257" t="s">
        <v>263</v>
      </c>
      <c r="D5257" s="230">
        <v>0</v>
      </c>
      <c r="E5257" t="s">
        <v>714</v>
      </c>
    </row>
    <row r="5258" spans="1:5" hidden="1" x14ac:dyDescent="0.3">
      <c r="A5258" t="s">
        <v>557</v>
      </c>
      <c r="B5258" t="s">
        <v>713</v>
      </c>
      <c r="C5258" t="s">
        <v>44</v>
      </c>
      <c r="D5258" s="230">
        <v>-0.13</v>
      </c>
      <c r="E5258" t="s">
        <v>714</v>
      </c>
    </row>
    <row r="5259" spans="1:5" hidden="1" x14ac:dyDescent="0.3">
      <c r="A5259" t="s">
        <v>557</v>
      </c>
      <c r="B5259" t="s">
        <v>713</v>
      </c>
      <c r="C5259" t="s">
        <v>264</v>
      </c>
      <c r="D5259" s="230">
        <v>-36636.06</v>
      </c>
      <c r="E5259" t="s">
        <v>714</v>
      </c>
    </row>
    <row r="5260" spans="1:5" hidden="1" x14ac:dyDescent="0.3">
      <c r="A5260" t="s">
        <v>557</v>
      </c>
      <c r="B5260" t="s">
        <v>713</v>
      </c>
      <c r="C5260" t="s">
        <v>265</v>
      </c>
      <c r="D5260" s="230">
        <v>-4913.2700000000004</v>
      </c>
      <c r="E5260" t="s">
        <v>714</v>
      </c>
    </row>
    <row r="5261" spans="1:5" hidden="1" x14ac:dyDescent="0.3">
      <c r="A5261" t="s">
        <v>557</v>
      </c>
      <c r="B5261" t="s">
        <v>713</v>
      </c>
      <c r="C5261" t="s">
        <v>266</v>
      </c>
      <c r="D5261" s="230">
        <v>-10162.16</v>
      </c>
      <c r="E5261" t="s">
        <v>714</v>
      </c>
    </row>
    <row r="5262" spans="1:5" hidden="1" x14ac:dyDescent="0.3">
      <c r="A5262" t="s">
        <v>557</v>
      </c>
      <c r="B5262" t="s">
        <v>713</v>
      </c>
      <c r="C5262" t="s">
        <v>267</v>
      </c>
      <c r="D5262" s="230">
        <v>-4787.88</v>
      </c>
      <c r="E5262" t="s">
        <v>714</v>
      </c>
    </row>
    <row r="5263" spans="1:5" hidden="1" x14ac:dyDescent="0.3">
      <c r="A5263" t="s">
        <v>557</v>
      </c>
      <c r="B5263" t="s">
        <v>713</v>
      </c>
      <c r="C5263" t="s">
        <v>268</v>
      </c>
      <c r="D5263" s="230">
        <v>-8768.5499999999993</v>
      </c>
      <c r="E5263" t="s">
        <v>714</v>
      </c>
    </row>
    <row r="5264" spans="1:5" hidden="1" x14ac:dyDescent="0.3">
      <c r="A5264" t="s">
        <v>557</v>
      </c>
      <c r="B5264" t="s">
        <v>713</v>
      </c>
      <c r="C5264" t="s">
        <v>269</v>
      </c>
      <c r="D5264" s="230">
        <v>0</v>
      </c>
      <c r="E5264" t="s">
        <v>714</v>
      </c>
    </row>
    <row r="5265" spans="1:5" hidden="1" x14ac:dyDescent="0.3">
      <c r="A5265" t="s">
        <v>557</v>
      </c>
      <c r="B5265" t="s">
        <v>713</v>
      </c>
      <c r="C5265" t="s">
        <v>270</v>
      </c>
      <c r="D5265" s="230">
        <v>-500</v>
      </c>
      <c r="E5265" t="s">
        <v>714</v>
      </c>
    </row>
    <row r="5266" spans="1:5" hidden="1" x14ac:dyDescent="0.3">
      <c r="A5266" t="s">
        <v>557</v>
      </c>
      <c r="B5266" t="s">
        <v>713</v>
      </c>
      <c r="C5266" t="s">
        <v>271</v>
      </c>
      <c r="D5266" s="230">
        <v>-870.96</v>
      </c>
      <c r="E5266" t="s">
        <v>714</v>
      </c>
    </row>
    <row r="5267" spans="1:5" hidden="1" x14ac:dyDescent="0.3">
      <c r="A5267" t="s">
        <v>557</v>
      </c>
      <c r="B5267" t="s">
        <v>713</v>
      </c>
      <c r="C5267" t="s">
        <v>272</v>
      </c>
      <c r="D5267" s="230">
        <v>-1120</v>
      </c>
      <c r="E5267" t="s">
        <v>714</v>
      </c>
    </row>
    <row r="5268" spans="1:5" hidden="1" x14ac:dyDescent="0.3">
      <c r="A5268" t="s">
        <v>557</v>
      </c>
      <c r="B5268" t="s">
        <v>713</v>
      </c>
      <c r="C5268" t="s">
        <v>273</v>
      </c>
      <c r="D5268" s="230">
        <v>-866.4</v>
      </c>
      <c r="E5268" t="s">
        <v>714</v>
      </c>
    </row>
    <row r="5269" spans="1:5" hidden="1" x14ac:dyDescent="0.3">
      <c r="A5269" t="s">
        <v>557</v>
      </c>
      <c r="B5269" t="s">
        <v>713</v>
      </c>
      <c r="C5269" t="s">
        <v>274</v>
      </c>
      <c r="D5269" s="230">
        <v>0</v>
      </c>
      <c r="E5269" t="s">
        <v>714</v>
      </c>
    </row>
    <row r="5270" spans="1:5" hidden="1" x14ac:dyDescent="0.3">
      <c r="A5270" t="s">
        <v>557</v>
      </c>
      <c r="B5270" t="s">
        <v>713</v>
      </c>
      <c r="C5270" t="s">
        <v>275</v>
      </c>
      <c r="D5270" s="230">
        <v>-598.16</v>
      </c>
      <c r="E5270" t="s">
        <v>714</v>
      </c>
    </row>
    <row r="5271" spans="1:5" hidden="1" x14ac:dyDescent="0.3">
      <c r="A5271" t="s">
        <v>557</v>
      </c>
      <c r="B5271" t="s">
        <v>713</v>
      </c>
      <c r="C5271" t="s">
        <v>276</v>
      </c>
      <c r="D5271" s="230">
        <v>-125</v>
      </c>
      <c r="E5271" t="s">
        <v>714</v>
      </c>
    </row>
    <row r="5272" spans="1:5" hidden="1" x14ac:dyDescent="0.3">
      <c r="A5272" t="s">
        <v>557</v>
      </c>
      <c r="B5272" t="s">
        <v>713</v>
      </c>
      <c r="C5272" t="s">
        <v>277</v>
      </c>
      <c r="D5272" s="230">
        <v>0</v>
      </c>
      <c r="E5272" t="s">
        <v>714</v>
      </c>
    </row>
    <row r="5273" spans="1:5" hidden="1" x14ac:dyDescent="0.3">
      <c r="A5273" t="s">
        <v>557</v>
      </c>
      <c r="B5273" t="s">
        <v>713</v>
      </c>
      <c r="C5273" t="s">
        <v>278</v>
      </c>
      <c r="D5273" s="230">
        <v>-3923.68</v>
      </c>
      <c r="E5273" t="s">
        <v>714</v>
      </c>
    </row>
    <row r="5274" spans="1:5" hidden="1" x14ac:dyDescent="0.3">
      <c r="A5274" t="s">
        <v>557</v>
      </c>
      <c r="B5274" t="s">
        <v>713</v>
      </c>
      <c r="C5274" t="s">
        <v>44</v>
      </c>
      <c r="D5274" s="230">
        <v>-0.09</v>
      </c>
      <c r="E5274" t="s">
        <v>714</v>
      </c>
    </row>
    <row r="5275" spans="1:5" hidden="1" x14ac:dyDescent="0.3">
      <c r="A5275" t="s">
        <v>557</v>
      </c>
      <c r="B5275" t="s">
        <v>713</v>
      </c>
      <c r="C5275" t="s">
        <v>279</v>
      </c>
      <c r="D5275" s="230">
        <v>-6459.72</v>
      </c>
      <c r="E5275" t="s">
        <v>714</v>
      </c>
    </row>
    <row r="5276" spans="1:5" hidden="1" x14ac:dyDescent="0.3">
      <c r="A5276" t="s">
        <v>557</v>
      </c>
      <c r="B5276" t="s">
        <v>713</v>
      </c>
      <c r="C5276" t="s">
        <v>280</v>
      </c>
      <c r="D5276" s="230">
        <v>-299.89999999999998</v>
      </c>
      <c r="E5276" t="s">
        <v>714</v>
      </c>
    </row>
    <row r="5277" spans="1:5" hidden="1" x14ac:dyDescent="0.3">
      <c r="A5277" t="s">
        <v>557</v>
      </c>
      <c r="B5277" t="s">
        <v>713</v>
      </c>
      <c r="C5277" t="s">
        <v>281</v>
      </c>
      <c r="D5277" s="230">
        <v>-363.52</v>
      </c>
      <c r="E5277" t="s">
        <v>714</v>
      </c>
    </row>
    <row r="5278" spans="1:5" hidden="1" x14ac:dyDescent="0.3">
      <c r="A5278" t="s">
        <v>557</v>
      </c>
      <c r="B5278" t="s">
        <v>713</v>
      </c>
      <c r="C5278" t="s">
        <v>282</v>
      </c>
      <c r="D5278" s="230">
        <v>-295.92</v>
      </c>
      <c r="E5278" t="s">
        <v>714</v>
      </c>
    </row>
    <row r="5279" spans="1:5" hidden="1" x14ac:dyDescent="0.3">
      <c r="A5279" t="s">
        <v>557</v>
      </c>
      <c r="B5279" t="s">
        <v>713</v>
      </c>
      <c r="C5279" t="s">
        <v>283</v>
      </c>
      <c r="D5279" s="230">
        <v>-236.23</v>
      </c>
      <c r="E5279" t="s">
        <v>714</v>
      </c>
    </row>
    <row r="5280" spans="1:5" hidden="1" x14ac:dyDescent="0.3">
      <c r="A5280" t="s">
        <v>557</v>
      </c>
      <c r="B5280" t="s">
        <v>713</v>
      </c>
      <c r="C5280" t="s">
        <v>284</v>
      </c>
      <c r="D5280" s="230">
        <v>-5264.15</v>
      </c>
      <c r="E5280" t="s">
        <v>714</v>
      </c>
    </row>
    <row r="5281" spans="1:5" hidden="1" x14ac:dyDescent="0.3">
      <c r="A5281" t="s">
        <v>557</v>
      </c>
      <c r="B5281" t="s">
        <v>713</v>
      </c>
      <c r="C5281" t="s">
        <v>285</v>
      </c>
      <c r="D5281" s="230">
        <v>0</v>
      </c>
      <c r="E5281" t="s">
        <v>714</v>
      </c>
    </row>
    <row r="5282" spans="1:5" hidden="1" x14ac:dyDescent="0.3">
      <c r="A5282" t="s">
        <v>557</v>
      </c>
      <c r="B5282" t="s">
        <v>713</v>
      </c>
      <c r="C5282" t="s">
        <v>286</v>
      </c>
      <c r="D5282" s="230">
        <v>0</v>
      </c>
      <c r="E5282" t="s">
        <v>714</v>
      </c>
    </row>
    <row r="5283" spans="1:5" hidden="1" x14ac:dyDescent="0.3">
      <c r="A5283" t="s">
        <v>557</v>
      </c>
      <c r="B5283" t="s">
        <v>713</v>
      </c>
      <c r="C5283" t="s">
        <v>44</v>
      </c>
      <c r="D5283" s="230">
        <v>-0.02</v>
      </c>
      <c r="E5283" t="s">
        <v>714</v>
      </c>
    </row>
    <row r="5284" spans="1:5" hidden="1" x14ac:dyDescent="0.3">
      <c r="A5284" t="s">
        <v>557</v>
      </c>
      <c r="B5284" t="s">
        <v>713</v>
      </c>
      <c r="C5284" t="s">
        <v>287</v>
      </c>
      <c r="D5284" s="230">
        <v>-12656.36</v>
      </c>
      <c r="E5284" t="s">
        <v>714</v>
      </c>
    </row>
    <row r="5285" spans="1:5" hidden="1" x14ac:dyDescent="0.3">
      <c r="A5285" t="s">
        <v>557</v>
      </c>
      <c r="B5285" t="s">
        <v>713</v>
      </c>
      <c r="C5285" t="s">
        <v>288</v>
      </c>
      <c r="D5285" s="230">
        <v>-11977.62</v>
      </c>
      <c r="E5285" t="s">
        <v>714</v>
      </c>
    </row>
    <row r="5286" spans="1:5" hidden="1" x14ac:dyDescent="0.3">
      <c r="A5286" t="s">
        <v>557</v>
      </c>
      <c r="B5286" t="s">
        <v>713</v>
      </c>
      <c r="C5286" t="s">
        <v>289</v>
      </c>
      <c r="D5286" s="230">
        <v>0</v>
      </c>
      <c r="E5286" t="s">
        <v>714</v>
      </c>
    </row>
    <row r="5287" spans="1:5" hidden="1" x14ac:dyDescent="0.3">
      <c r="A5287" t="s">
        <v>557</v>
      </c>
      <c r="B5287" t="s">
        <v>713</v>
      </c>
      <c r="C5287" t="s">
        <v>290</v>
      </c>
      <c r="D5287" s="230">
        <v>0</v>
      </c>
      <c r="E5287" t="s">
        <v>714</v>
      </c>
    </row>
    <row r="5288" spans="1:5" hidden="1" x14ac:dyDescent="0.3">
      <c r="A5288" t="s">
        <v>557</v>
      </c>
      <c r="B5288" t="s">
        <v>713</v>
      </c>
      <c r="C5288" t="s">
        <v>291</v>
      </c>
      <c r="D5288" s="230">
        <v>0</v>
      </c>
      <c r="E5288" t="s">
        <v>714</v>
      </c>
    </row>
    <row r="5289" spans="1:5" hidden="1" x14ac:dyDescent="0.3">
      <c r="A5289" t="s">
        <v>557</v>
      </c>
      <c r="B5289" t="s">
        <v>713</v>
      </c>
      <c r="C5289" t="s">
        <v>292</v>
      </c>
      <c r="D5289" s="230">
        <v>0</v>
      </c>
      <c r="E5289" t="s">
        <v>714</v>
      </c>
    </row>
    <row r="5290" spans="1:5" hidden="1" x14ac:dyDescent="0.3">
      <c r="A5290" t="s">
        <v>557</v>
      </c>
      <c r="B5290" t="s">
        <v>713</v>
      </c>
      <c r="C5290" t="s">
        <v>293</v>
      </c>
      <c r="D5290" s="230">
        <v>-678.74</v>
      </c>
      <c r="E5290" t="s">
        <v>714</v>
      </c>
    </row>
    <row r="5291" spans="1:5" hidden="1" x14ac:dyDescent="0.3">
      <c r="A5291" t="s">
        <v>557</v>
      </c>
      <c r="B5291" t="s">
        <v>713</v>
      </c>
      <c r="C5291" t="s">
        <v>294</v>
      </c>
      <c r="D5291" s="230">
        <v>-189.97</v>
      </c>
      <c r="E5291" t="s">
        <v>714</v>
      </c>
    </row>
    <row r="5292" spans="1:5" hidden="1" x14ac:dyDescent="0.3">
      <c r="A5292" t="s">
        <v>557</v>
      </c>
      <c r="B5292" t="s">
        <v>713</v>
      </c>
      <c r="C5292" t="s">
        <v>295</v>
      </c>
      <c r="D5292" s="230">
        <v>0</v>
      </c>
      <c r="E5292" t="s">
        <v>714</v>
      </c>
    </row>
    <row r="5293" spans="1:5" hidden="1" x14ac:dyDescent="0.3">
      <c r="A5293" t="s">
        <v>557</v>
      </c>
      <c r="B5293" t="s">
        <v>713</v>
      </c>
      <c r="C5293" t="s">
        <v>44</v>
      </c>
      <c r="D5293" s="230">
        <v>-0.03</v>
      </c>
      <c r="E5293" t="s">
        <v>714</v>
      </c>
    </row>
    <row r="5294" spans="1:5" hidden="1" x14ac:dyDescent="0.3">
      <c r="A5294" t="s">
        <v>557</v>
      </c>
      <c r="B5294" t="s">
        <v>713</v>
      </c>
      <c r="C5294" t="s">
        <v>296</v>
      </c>
      <c r="D5294" s="230">
        <v>-4724.7</v>
      </c>
      <c r="E5294" t="s">
        <v>714</v>
      </c>
    </row>
    <row r="5295" spans="1:5" hidden="1" x14ac:dyDescent="0.3">
      <c r="A5295" t="s">
        <v>557</v>
      </c>
      <c r="B5295" t="s">
        <v>713</v>
      </c>
      <c r="C5295" t="s">
        <v>297</v>
      </c>
      <c r="D5295" s="230">
        <v>-2000</v>
      </c>
      <c r="E5295" t="s">
        <v>714</v>
      </c>
    </row>
    <row r="5296" spans="1:5" hidden="1" x14ac:dyDescent="0.3">
      <c r="A5296" t="s">
        <v>557</v>
      </c>
      <c r="B5296" t="s">
        <v>713</v>
      </c>
      <c r="C5296" t="s">
        <v>298</v>
      </c>
      <c r="D5296" s="230">
        <v>-460</v>
      </c>
      <c r="E5296" t="s">
        <v>714</v>
      </c>
    </row>
    <row r="5297" spans="1:5" hidden="1" x14ac:dyDescent="0.3">
      <c r="A5297" t="s">
        <v>557</v>
      </c>
      <c r="B5297" t="s">
        <v>713</v>
      </c>
      <c r="C5297" t="s">
        <v>299</v>
      </c>
      <c r="D5297" s="230">
        <v>0</v>
      </c>
      <c r="E5297" t="s">
        <v>714</v>
      </c>
    </row>
    <row r="5298" spans="1:5" hidden="1" x14ac:dyDescent="0.3">
      <c r="A5298" t="s">
        <v>557</v>
      </c>
      <c r="B5298" t="s">
        <v>713</v>
      </c>
      <c r="C5298" t="s">
        <v>300</v>
      </c>
      <c r="D5298" s="230">
        <v>0</v>
      </c>
      <c r="E5298" t="s">
        <v>714</v>
      </c>
    </row>
    <row r="5299" spans="1:5" hidden="1" x14ac:dyDescent="0.3">
      <c r="A5299" t="s">
        <v>557</v>
      </c>
      <c r="B5299" t="s">
        <v>713</v>
      </c>
      <c r="C5299" t="s">
        <v>301</v>
      </c>
      <c r="D5299" s="230">
        <v>0</v>
      </c>
      <c r="E5299" t="s">
        <v>714</v>
      </c>
    </row>
    <row r="5300" spans="1:5" hidden="1" x14ac:dyDescent="0.3">
      <c r="A5300" t="s">
        <v>557</v>
      </c>
      <c r="B5300" t="s">
        <v>713</v>
      </c>
      <c r="C5300" t="s">
        <v>302</v>
      </c>
      <c r="D5300" s="230">
        <v>0</v>
      </c>
      <c r="E5300" t="s">
        <v>714</v>
      </c>
    </row>
    <row r="5301" spans="1:5" hidden="1" x14ac:dyDescent="0.3">
      <c r="A5301" t="s">
        <v>557</v>
      </c>
      <c r="B5301" t="s">
        <v>713</v>
      </c>
      <c r="C5301" t="s">
        <v>303</v>
      </c>
      <c r="D5301" s="230">
        <v>0</v>
      </c>
      <c r="E5301" t="s">
        <v>714</v>
      </c>
    </row>
    <row r="5302" spans="1:5" hidden="1" x14ac:dyDescent="0.3">
      <c r="A5302" t="s">
        <v>557</v>
      </c>
      <c r="B5302" t="s">
        <v>713</v>
      </c>
      <c r="C5302" t="s">
        <v>304</v>
      </c>
      <c r="D5302" s="230">
        <v>0</v>
      </c>
      <c r="E5302" t="s">
        <v>714</v>
      </c>
    </row>
    <row r="5303" spans="1:5" hidden="1" x14ac:dyDescent="0.3">
      <c r="A5303" t="s">
        <v>557</v>
      </c>
      <c r="B5303" t="s">
        <v>713</v>
      </c>
      <c r="C5303" t="s">
        <v>305</v>
      </c>
      <c r="D5303" s="230">
        <v>0</v>
      </c>
      <c r="E5303" t="s">
        <v>714</v>
      </c>
    </row>
    <row r="5304" spans="1:5" hidden="1" x14ac:dyDescent="0.3">
      <c r="A5304" t="s">
        <v>557</v>
      </c>
      <c r="B5304" t="s">
        <v>713</v>
      </c>
      <c r="C5304" t="s">
        <v>306</v>
      </c>
      <c r="D5304" s="230">
        <v>0</v>
      </c>
      <c r="E5304" t="s">
        <v>714</v>
      </c>
    </row>
    <row r="5305" spans="1:5" hidden="1" x14ac:dyDescent="0.3">
      <c r="A5305" t="s">
        <v>557</v>
      </c>
      <c r="B5305" t="s">
        <v>713</v>
      </c>
      <c r="C5305" t="s">
        <v>307</v>
      </c>
      <c r="D5305" s="230">
        <v>-2264.6999999999998</v>
      </c>
      <c r="E5305" t="s">
        <v>714</v>
      </c>
    </row>
    <row r="5306" spans="1:5" hidden="1" x14ac:dyDescent="0.3">
      <c r="A5306" t="s">
        <v>557</v>
      </c>
      <c r="B5306" t="s">
        <v>713</v>
      </c>
      <c r="C5306" t="s">
        <v>44</v>
      </c>
      <c r="D5306" s="230">
        <v>-0.01</v>
      </c>
      <c r="E5306" t="s">
        <v>714</v>
      </c>
    </row>
    <row r="5307" spans="1:5" hidden="1" x14ac:dyDescent="0.3">
      <c r="A5307" t="s">
        <v>557</v>
      </c>
      <c r="B5307" t="s">
        <v>713</v>
      </c>
      <c r="C5307" t="s">
        <v>308</v>
      </c>
      <c r="D5307" s="230">
        <v>-2187.5500000000002</v>
      </c>
      <c r="E5307" t="s">
        <v>714</v>
      </c>
    </row>
    <row r="5308" spans="1:5" hidden="1" x14ac:dyDescent="0.3">
      <c r="A5308" t="s">
        <v>557</v>
      </c>
      <c r="B5308" t="s">
        <v>713</v>
      </c>
      <c r="C5308" t="s">
        <v>309</v>
      </c>
      <c r="D5308" s="230">
        <v>-1412</v>
      </c>
      <c r="E5308" t="s">
        <v>714</v>
      </c>
    </row>
    <row r="5309" spans="1:5" hidden="1" x14ac:dyDescent="0.3">
      <c r="A5309" t="s">
        <v>557</v>
      </c>
      <c r="B5309" t="s">
        <v>713</v>
      </c>
      <c r="C5309" t="s">
        <v>310</v>
      </c>
      <c r="D5309" s="230">
        <v>0</v>
      </c>
      <c r="E5309" t="s">
        <v>714</v>
      </c>
    </row>
    <row r="5310" spans="1:5" hidden="1" x14ac:dyDescent="0.3">
      <c r="A5310" t="s">
        <v>557</v>
      </c>
      <c r="B5310" t="s">
        <v>713</v>
      </c>
      <c r="C5310" t="s">
        <v>311</v>
      </c>
      <c r="D5310" s="230">
        <v>-775.55</v>
      </c>
      <c r="E5310" t="s">
        <v>714</v>
      </c>
    </row>
    <row r="5311" spans="1:5" hidden="1" x14ac:dyDescent="0.3">
      <c r="A5311" t="s">
        <v>557</v>
      </c>
      <c r="B5311" t="s">
        <v>713</v>
      </c>
      <c r="C5311" t="s">
        <v>312</v>
      </c>
      <c r="D5311" s="230">
        <v>0</v>
      </c>
      <c r="E5311" t="s">
        <v>714</v>
      </c>
    </row>
    <row r="5312" spans="1:5" hidden="1" x14ac:dyDescent="0.3">
      <c r="A5312" t="s">
        <v>557</v>
      </c>
      <c r="B5312" t="s">
        <v>713</v>
      </c>
      <c r="C5312" t="s">
        <v>313</v>
      </c>
      <c r="D5312" s="230">
        <v>0</v>
      </c>
      <c r="E5312" t="s">
        <v>714</v>
      </c>
    </row>
    <row r="5313" spans="1:5" hidden="1" x14ac:dyDescent="0.3">
      <c r="A5313" t="s">
        <v>557</v>
      </c>
      <c r="B5313" t="s">
        <v>713</v>
      </c>
      <c r="C5313" t="s">
        <v>314</v>
      </c>
      <c r="D5313" s="230">
        <v>0</v>
      </c>
      <c r="E5313" t="s">
        <v>714</v>
      </c>
    </row>
    <row r="5314" spans="1:5" hidden="1" x14ac:dyDescent="0.3">
      <c r="A5314" t="s">
        <v>557</v>
      </c>
      <c r="B5314" t="s">
        <v>713</v>
      </c>
      <c r="C5314" t="s">
        <v>315</v>
      </c>
      <c r="D5314" s="230">
        <v>0</v>
      </c>
      <c r="E5314" t="s">
        <v>714</v>
      </c>
    </row>
    <row r="5315" spans="1:5" hidden="1" x14ac:dyDescent="0.3">
      <c r="A5315" t="s">
        <v>557</v>
      </c>
      <c r="B5315" t="s">
        <v>713</v>
      </c>
      <c r="C5315" t="s">
        <v>316</v>
      </c>
      <c r="D5315" s="230">
        <v>0</v>
      </c>
      <c r="E5315" t="s">
        <v>714</v>
      </c>
    </row>
    <row r="5316" spans="1:5" hidden="1" x14ac:dyDescent="0.3">
      <c r="A5316" t="s">
        <v>557</v>
      </c>
      <c r="B5316" t="s">
        <v>713</v>
      </c>
      <c r="C5316" t="s">
        <v>317</v>
      </c>
      <c r="D5316" s="230">
        <v>0</v>
      </c>
      <c r="E5316" t="s">
        <v>714</v>
      </c>
    </row>
    <row r="5317" spans="1:5" hidden="1" x14ac:dyDescent="0.3">
      <c r="A5317" t="s">
        <v>557</v>
      </c>
      <c r="B5317" t="s">
        <v>713</v>
      </c>
      <c r="C5317" t="s">
        <v>44</v>
      </c>
      <c r="D5317" s="230">
        <v>-0.01</v>
      </c>
      <c r="E5317" t="s">
        <v>714</v>
      </c>
    </row>
    <row r="5318" spans="1:5" hidden="1" x14ac:dyDescent="0.3">
      <c r="A5318" t="s">
        <v>557</v>
      </c>
      <c r="B5318" t="s">
        <v>713</v>
      </c>
      <c r="C5318" t="s">
        <v>318</v>
      </c>
      <c r="D5318" s="230">
        <v>-2148.7800000000002</v>
      </c>
      <c r="E5318" t="s">
        <v>714</v>
      </c>
    </row>
    <row r="5319" spans="1:5" hidden="1" x14ac:dyDescent="0.3">
      <c r="A5319" t="s">
        <v>557</v>
      </c>
      <c r="B5319" t="s">
        <v>713</v>
      </c>
      <c r="C5319" t="s">
        <v>319</v>
      </c>
      <c r="D5319" s="230">
        <v>-2148.7800000000002</v>
      </c>
      <c r="E5319" t="s">
        <v>714</v>
      </c>
    </row>
    <row r="5320" spans="1:5" hidden="1" x14ac:dyDescent="0.3">
      <c r="A5320" t="s">
        <v>557</v>
      </c>
      <c r="B5320" t="s">
        <v>713</v>
      </c>
      <c r="C5320" t="s">
        <v>320</v>
      </c>
      <c r="D5320" s="230">
        <v>0</v>
      </c>
      <c r="E5320" t="s">
        <v>714</v>
      </c>
    </row>
    <row r="5321" spans="1:5" hidden="1" x14ac:dyDescent="0.3">
      <c r="A5321" t="s">
        <v>557</v>
      </c>
      <c r="B5321" t="s">
        <v>713</v>
      </c>
      <c r="C5321" t="s">
        <v>321</v>
      </c>
      <c r="D5321" s="230">
        <v>0</v>
      </c>
      <c r="E5321" t="s">
        <v>714</v>
      </c>
    </row>
    <row r="5322" spans="1:5" hidden="1" x14ac:dyDescent="0.3">
      <c r="A5322" t="s">
        <v>557</v>
      </c>
      <c r="B5322" t="s">
        <v>713</v>
      </c>
      <c r="C5322" t="s">
        <v>322</v>
      </c>
      <c r="D5322" s="230">
        <v>0</v>
      </c>
      <c r="E5322" t="s">
        <v>714</v>
      </c>
    </row>
    <row r="5323" spans="1:5" hidden="1" x14ac:dyDescent="0.3">
      <c r="A5323" t="s">
        <v>557</v>
      </c>
      <c r="B5323" t="s">
        <v>713</v>
      </c>
      <c r="C5323" t="s">
        <v>44</v>
      </c>
      <c r="D5323" s="230">
        <v>-0.01</v>
      </c>
      <c r="E5323" t="s">
        <v>714</v>
      </c>
    </row>
    <row r="5324" spans="1:5" hidden="1" x14ac:dyDescent="0.3">
      <c r="A5324" t="s">
        <v>557</v>
      </c>
      <c r="B5324" t="s">
        <v>713</v>
      </c>
      <c r="C5324" t="s">
        <v>323</v>
      </c>
      <c r="D5324" s="230">
        <v>-20697.23</v>
      </c>
      <c r="E5324" t="s">
        <v>714</v>
      </c>
    </row>
    <row r="5325" spans="1:5" hidden="1" x14ac:dyDescent="0.3">
      <c r="A5325" t="s">
        <v>557</v>
      </c>
      <c r="B5325" t="s">
        <v>713</v>
      </c>
      <c r="C5325" t="s">
        <v>324</v>
      </c>
      <c r="D5325" s="230">
        <v>0</v>
      </c>
      <c r="E5325" t="s">
        <v>714</v>
      </c>
    </row>
    <row r="5326" spans="1:5" hidden="1" x14ac:dyDescent="0.3">
      <c r="A5326" t="s">
        <v>557</v>
      </c>
      <c r="B5326" t="s">
        <v>713</v>
      </c>
      <c r="C5326" t="s">
        <v>325</v>
      </c>
      <c r="D5326" s="230">
        <v>0</v>
      </c>
      <c r="E5326" t="s">
        <v>714</v>
      </c>
    </row>
    <row r="5327" spans="1:5" hidden="1" x14ac:dyDescent="0.3">
      <c r="A5327" t="s">
        <v>557</v>
      </c>
      <c r="B5327" t="s">
        <v>713</v>
      </c>
      <c r="C5327" t="s">
        <v>326</v>
      </c>
      <c r="D5327" s="230">
        <v>-20697.23</v>
      </c>
      <c r="E5327" t="s">
        <v>714</v>
      </c>
    </row>
    <row r="5328" spans="1:5" hidden="1" x14ac:dyDescent="0.3">
      <c r="A5328" t="s">
        <v>557</v>
      </c>
      <c r="B5328" t="s">
        <v>713</v>
      </c>
      <c r="C5328" t="s">
        <v>44</v>
      </c>
      <c r="D5328" s="230">
        <v>-0.05</v>
      </c>
      <c r="E5328" t="s">
        <v>714</v>
      </c>
    </row>
    <row r="5329" spans="1:5" hidden="1" x14ac:dyDescent="0.3">
      <c r="A5329" t="s">
        <v>557</v>
      </c>
      <c r="B5329" t="s">
        <v>713</v>
      </c>
      <c r="C5329" t="s">
        <v>328</v>
      </c>
      <c r="D5329" s="230">
        <v>-257975.29</v>
      </c>
      <c r="E5329" t="s">
        <v>714</v>
      </c>
    </row>
    <row r="5330" spans="1:5" hidden="1" x14ac:dyDescent="0.3">
      <c r="A5330" t="s">
        <v>557</v>
      </c>
      <c r="B5330" t="s">
        <v>713</v>
      </c>
      <c r="C5330" t="s">
        <v>44</v>
      </c>
      <c r="D5330" s="230">
        <v>-0.62</v>
      </c>
      <c r="E5330" t="s">
        <v>714</v>
      </c>
    </row>
    <row r="5331" spans="1:5" hidden="1" x14ac:dyDescent="0.3">
      <c r="A5331" t="s">
        <v>557</v>
      </c>
      <c r="B5331" t="s">
        <v>713</v>
      </c>
      <c r="C5331" t="s">
        <v>329</v>
      </c>
      <c r="D5331" s="230">
        <v>-43711.839999999997</v>
      </c>
      <c r="E5331" t="s">
        <v>714</v>
      </c>
    </row>
    <row r="5332" spans="1:5" hidden="1" x14ac:dyDescent="0.3">
      <c r="A5332" t="s">
        <v>557</v>
      </c>
      <c r="B5332" t="s">
        <v>713</v>
      </c>
      <c r="C5332" t="s">
        <v>44</v>
      </c>
      <c r="D5332" s="230">
        <v>-0.11</v>
      </c>
      <c r="E5332" t="s">
        <v>714</v>
      </c>
    </row>
    <row r="5333" spans="1:5" hidden="1" x14ac:dyDescent="0.3">
      <c r="A5333" t="s">
        <v>557</v>
      </c>
      <c r="B5333" t="s">
        <v>713</v>
      </c>
      <c r="C5333" t="s">
        <v>330</v>
      </c>
      <c r="D5333" s="230">
        <v>0</v>
      </c>
      <c r="E5333" t="s">
        <v>714</v>
      </c>
    </row>
    <row r="5334" spans="1:5" hidden="1" x14ac:dyDescent="0.3">
      <c r="A5334" t="s">
        <v>557</v>
      </c>
      <c r="B5334" t="s">
        <v>713</v>
      </c>
      <c r="C5334" t="s">
        <v>332</v>
      </c>
      <c r="D5334" s="230">
        <v>-43711.839999999997</v>
      </c>
      <c r="E5334" t="s">
        <v>714</v>
      </c>
    </row>
    <row r="5335" spans="1:5" hidden="1" x14ac:dyDescent="0.3">
      <c r="A5335" t="s">
        <v>557</v>
      </c>
      <c r="B5335" t="s">
        <v>713</v>
      </c>
      <c r="C5335" t="s">
        <v>333</v>
      </c>
      <c r="D5335" s="230">
        <v>7331.63</v>
      </c>
      <c r="E5335" t="s">
        <v>714</v>
      </c>
    </row>
    <row r="5336" spans="1:5" hidden="1" x14ac:dyDescent="0.3">
      <c r="A5336" t="s">
        <v>557</v>
      </c>
      <c r="B5336" t="s">
        <v>713</v>
      </c>
      <c r="C5336" t="s">
        <v>334</v>
      </c>
      <c r="D5336" s="230">
        <v>0</v>
      </c>
      <c r="E5336" t="s">
        <v>714</v>
      </c>
    </row>
    <row r="5337" spans="1:5" hidden="1" x14ac:dyDescent="0.3">
      <c r="A5337" t="s">
        <v>557</v>
      </c>
      <c r="B5337" t="s">
        <v>713</v>
      </c>
      <c r="C5337" t="s">
        <v>336</v>
      </c>
      <c r="D5337" s="230">
        <v>0</v>
      </c>
      <c r="E5337" t="s">
        <v>714</v>
      </c>
    </row>
    <row r="5338" spans="1:5" hidden="1" x14ac:dyDescent="0.3">
      <c r="A5338" t="s">
        <v>557</v>
      </c>
      <c r="B5338" t="s">
        <v>713</v>
      </c>
      <c r="C5338" t="s">
        <v>338</v>
      </c>
      <c r="D5338" s="230">
        <v>-36380.21</v>
      </c>
      <c r="E5338" t="s">
        <v>714</v>
      </c>
    </row>
    <row r="5339" spans="1:5" hidden="1" x14ac:dyDescent="0.3">
      <c r="A5339" t="s">
        <v>557</v>
      </c>
      <c r="B5339" t="s">
        <v>713</v>
      </c>
      <c r="C5339" t="s">
        <v>339</v>
      </c>
      <c r="D5339" s="230">
        <v>-19869.349999999999</v>
      </c>
      <c r="E5339" t="s">
        <v>714</v>
      </c>
    </row>
    <row r="5340" spans="1:5" hidden="1" x14ac:dyDescent="0.3">
      <c r="A5340" t="s">
        <v>557</v>
      </c>
      <c r="B5340" t="s">
        <v>713</v>
      </c>
      <c r="C5340" t="s">
        <v>342</v>
      </c>
      <c r="D5340" s="230">
        <v>-19869.349999999999</v>
      </c>
      <c r="E5340" t="s">
        <v>714</v>
      </c>
    </row>
    <row r="5341" spans="1:5" hidden="1" x14ac:dyDescent="0.3">
      <c r="A5341" t="s">
        <v>557</v>
      </c>
      <c r="B5341" t="s">
        <v>713</v>
      </c>
      <c r="C5341" t="s">
        <v>344</v>
      </c>
      <c r="D5341" s="230">
        <v>0</v>
      </c>
      <c r="E5341" t="s">
        <v>714</v>
      </c>
    </row>
    <row r="5342" spans="1:5" hidden="1" x14ac:dyDescent="0.3">
      <c r="A5342" t="s">
        <v>557</v>
      </c>
      <c r="B5342" t="s">
        <v>713</v>
      </c>
      <c r="C5342" t="s">
        <v>345</v>
      </c>
      <c r="D5342" s="230">
        <v>0</v>
      </c>
      <c r="E5342" t="s">
        <v>714</v>
      </c>
    </row>
    <row r="5343" spans="1:5" hidden="1" x14ac:dyDescent="0.3">
      <c r="A5343" t="s">
        <v>557</v>
      </c>
      <c r="B5343" t="s">
        <v>713</v>
      </c>
      <c r="C5343" t="s">
        <v>346</v>
      </c>
      <c r="D5343" s="230">
        <v>0</v>
      </c>
      <c r="E5343" t="s">
        <v>714</v>
      </c>
    </row>
    <row r="5344" spans="1:5" hidden="1" x14ac:dyDescent="0.3">
      <c r="A5344" t="s">
        <v>557</v>
      </c>
      <c r="B5344" t="s">
        <v>713</v>
      </c>
      <c r="C5344" t="s">
        <v>347</v>
      </c>
      <c r="D5344" s="230">
        <v>-56249.56</v>
      </c>
      <c r="E5344" t="s">
        <v>714</v>
      </c>
    </row>
    <row r="5345" spans="1:5" hidden="1" x14ac:dyDescent="0.3">
      <c r="A5345" t="s">
        <v>557</v>
      </c>
      <c r="B5345" t="s">
        <v>713</v>
      </c>
      <c r="C5345" t="s">
        <v>44</v>
      </c>
      <c r="D5345" s="230">
        <v>-0.14000000000000001</v>
      </c>
      <c r="E5345" t="s">
        <v>714</v>
      </c>
    </row>
    <row r="5346" spans="1:5" hidden="1" x14ac:dyDescent="0.3">
      <c r="A5346" t="s">
        <v>557</v>
      </c>
      <c r="B5346" t="s">
        <v>713</v>
      </c>
      <c r="C5346" t="s">
        <v>348</v>
      </c>
      <c r="D5346" s="230">
        <v>-142941.67000000001</v>
      </c>
      <c r="E5346" t="s">
        <v>714</v>
      </c>
    </row>
    <row r="5347" spans="1:5" hidden="1" x14ac:dyDescent="0.3">
      <c r="A5347" t="s">
        <v>557</v>
      </c>
      <c r="B5347" t="s">
        <v>713</v>
      </c>
      <c r="C5347" t="s">
        <v>707</v>
      </c>
      <c r="D5347" s="230">
        <v>-92900</v>
      </c>
      <c r="E5347" t="s">
        <v>714</v>
      </c>
    </row>
    <row r="5348" spans="1:5" hidden="1" x14ac:dyDescent="0.3">
      <c r="A5348" t="s">
        <v>557</v>
      </c>
      <c r="B5348" t="s">
        <v>713</v>
      </c>
      <c r="C5348" t="s">
        <v>350</v>
      </c>
      <c r="D5348" s="230">
        <v>-50041.67</v>
      </c>
      <c r="E5348" t="s">
        <v>714</v>
      </c>
    </row>
    <row r="5349" spans="1:5" hidden="1" x14ac:dyDescent="0.3">
      <c r="A5349" t="s">
        <v>557</v>
      </c>
      <c r="B5349" t="s">
        <v>713</v>
      </c>
      <c r="C5349" t="s">
        <v>351</v>
      </c>
      <c r="D5349" s="230">
        <v>0</v>
      </c>
      <c r="E5349" t="s">
        <v>714</v>
      </c>
    </row>
    <row r="5350" spans="1:5" hidden="1" x14ac:dyDescent="0.3">
      <c r="A5350" t="s">
        <v>557</v>
      </c>
      <c r="B5350" t="s">
        <v>713</v>
      </c>
      <c r="C5350" t="s">
        <v>352</v>
      </c>
      <c r="D5350" s="230">
        <v>0</v>
      </c>
      <c r="E5350" t="s">
        <v>714</v>
      </c>
    </row>
    <row r="5351" spans="1:5" hidden="1" x14ac:dyDescent="0.3">
      <c r="A5351" t="s">
        <v>557</v>
      </c>
      <c r="B5351" t="s">
        <v>713</v>
      </c>
      <c r="C5351" t="s">
        <v>353</v>
      </c>
      <c r="D5351" s="230">
        <v>0</v>
      </c>
      <c r="E5351" t="s">
        <v>714</v>
      </c>
    </row>
    <row r="5352" spans="1:5" hidden="1" x14ac:dyDescent="0.3">
      <c r="A5352" t="s">
        <v>557</v>
      </c>
      <c r="B5352" t="s">
        <v>713</v>
      </c>
      <c r="C5352" t="s">
        <v>354</v>
      </c>
      <c r="D5352" s="230">
        <v>0</v>
      </c>
      <c r="E5352" t="s">
        <v>714</v>
      </c>
    </row>
    <row r="5353" spans="1:5" hidden="1" x14ac:dyDescent="0.3">
      <c r="A5353" t="s">
        <v>557</v>
      </c>
      <c r="B5353" t="s">
        <v>713</v>
      </c>
      <c r="C5353" t="s">
        <v>355</v>
      </c>
      <c r="D5353" s="230">
        <v>0</v>
      </c>
      <c r="E5353" t="s">
        <v>714</v>
      </c>
    </row>
    <row r="5354" spans="1:5" hidden="1" x14ac:dyDescent="0.3">
      <c r="A5354" t="s">
        <v>557</v>
      </c>
      <c r="B5354" t="s">
        <v>713</v>
      </c>
      <c r="C5354" t="s">
        <v>356</v>
      </c>
      <c r="D5354" s="230">
        <v>0</v>
      </c>
      <c r="E5354" t="s">
        <v>714</v>
      </c>
    </row>
    <row r="5355" spans="1:5" hidden="1" x14ac:dyDescent="0.3">
      <c r="A5355" t="s">
        <v>557</v>
      </c>
      <c r="B5355" t="s">
        <v>713</v>
      </c>
      <c r="C5355" t="s">
        <v>357</v>
      </c>
      <c r="D5355" s="230">
        <v>0</v>
      </c>
      <c r="E5355" t="s">
        <v>714</v>
      </c>
    </row>
    <row r="5356" spans="1:5" hidden="1" x14ac:dyDescent="0.3">
      <c r="A5356" t="s">
        <v>557</v>
      </c>
      <c r="B5356" t="s">
        <v>713</v>
      </c>
      <c r="C5356" t="s">
        <v>358</v>
      </c>
      <c r="D5356" s="230">
        <v>0</v>
      </c>
      <c r="E5356" t="s">
        <v>714</v>
      </c>
    </row>
    <row r="5357" spans="1:5" hidden="1" x14ac:dyDescent="0.3">
      <c r="A5357" t="s">
        <v>557</v>
      </c>
      <c r="B5357" t="s">
        <v>713</v>
      </c>
      <c r="C5357" t="s">
        <v>359</v>
      </c>
      <c r="D5357" s="230">
        <v>0</v>
      </c>
      <c r="E5357" t="s">
        <v>714</v>
      </c>
    </row>
    <row r="5358" spans="1:5" hidden="1" x14ac:dyDescent="0.3">
      <c r="A5358" t="s">
        <v>557</v>
      </c>
      <c r="B5358" t="s">
        <v>713</v>
      </c>
      <c r="C5358" t="s">
        <v>360</v>
      </c>
      <c r="D5358" s="230">
        <v>0</v>
      </c>
      <c r="E5358" t="s">
        <v>714</v>
      </c>
    </row>
    <row r="5359" spans="1:5" hidden="1" x14ac:dyDescent="0.3">
      <c r="A5359" t="s">
        <v>557</v>
      </c>
      <c r="B5359" t="s">
        <v>713</v>
      </c>
      <c r="C5359" t="s">
        <v>361</v>
      </c>
      <c r="D5359" s="230">
        <v>0</v>
      </c>
      <c r="E5359" t="s">
        <v>714</v>
      </c>
    </row>
    <row r="5360" spans="1:5" hidden="1" x14ac:dyDescent="0.3">
      <c r="A5360" t="s">
        <v>557</v>
      </c>
      <c r="B5360" t="s">
        <v>713</v>
      </c>
      <c r="C5360" t="s">
        <v>362</v>
      </c>
      <c r="D5360" s="230">
        <v>0</v>
      </c>
      <c r="E5360" t="s">
        <v>714</v>
      </c>
    </row>
    <row r="5361" spans="1:5" hidden="1" x14ac:dyDescent="0.3">
      <c r="A5361" t="s">
        <v>557</v>
      </c>
      <c r="B5361" t="s">
        <v>713</v>
      </c>
      <c r="C5361" t="s">
        <v>363</v>
      </c>
      <c r="D5361" s="230">
        <v>0</v>
      </c>
      <c r="E5361" t="s">
        <v>714</v>
      </c>
    </row>
    <row r="5362" spans="1:5" hidden="1" x14ac:dyDescent="0.3">
      <c r="A5362" t="s">
        <v>557</v>
      </c>
      <c r="B5362" t="s">
        <v>713</v>
      </c>
      <c r="C5362" t="s">
        <v>364</v>
      </c>
      <c r="D5362" s="230">
        <v>0</v>
      </c>
      <c r="E5362" t="s">
        <v>714</v>
      </c>
    </row>
    <row r="5363" spans="1:5" hidden="1" x14ac:dyDescent="0.3">
      <c r="A5363" t="s">
        <v>557</v>
      </c>
      <c r="B5363" t="s">
        <v>713</v>
      </c>
      <c r="C5363" t="s">
        <v>365</v>
      </c>
      <c r="D5363" s="230">
        <v>0</v>
      </c>
      <c r="E5363" t="s">
        <v>714</v>
      </c>
    </row>
    <row r="5364" spans="1:5" hidden="1" x14ac:dyDescent="0.3">
      <c r="A5364" t="s">
        <v>557</v>
      </c>
      <c r="B5364" t="s">
        <v>713</v>
      </c>
      <c r="C5364" t="s">
        <v>366</v>
      </c>
      <c r="D5364" s="230">
        <v>0</v>
      </c>
      <c r="E5364" t="s">
        <v>714</v>
      </c>
    </row>
    <row r="5365" spans="1:5" hidden="1" x14ac:dyDescent="0.3">
      <c r="A5365" t="s">
        <v>557</v>
      </c>
      <c r="B5365" t="s">
        <v>713</v>
      </c>
      <c r="C5365" t="s">
        <v>367</v>
      </c>
      <c r="D5365" s="230">
        <v>0</v>
      </c>
      <c r="E5365" t="s">
        <v>714</v>
      </c>
    </row>
    <row r="5366" spans="1:5" hidden="1" x14ac:dyDescent="0.3">
      <c r="A5366" t="s">
        <v>557</v>
      </c>
      <c r="B5366" t="s">
        <v>713</v>
      </c>
      <c r="C5366" t="s">
        <v>368</v>
      </c>
      <c r="D5366" s="230">
        <v>0</v>
      </c>
      <c r="E5366" t="s">
        <v>714</v>
      </c>
    </row>
    <row r="5367" spans="1:5" hidden="1" x14ac:dyDescent="0.3">
      <c r="A5367" t="s">
        <v>557</v>
      </c>
      <c r="B5367" t="s">
        <v>713</v>
      </c>
      <c r="C5367" t="s">
        <v>369</v>
      </c>
      <c r="D5367" s="230">
        <v>0</v>
      </c>
      <c r="E5367" t="s">
        <v>714</v>
      </c>
    </row>
    <row r="5368" spans="1:5" hidden="1" x14ac:dyDescent="0.3">
      <c r="A5368" t="s">
        <v>557</v>
      </c>
      <c r="B5368" t="s">
        <v>713</v>
      </c>
      <c r="C5368" t="s">
        <v>370</v>
      </c>
      <c r="D5368" s="230">
        <v>0</v>
      </c>
      <c r="E5368" t="s">
        <v>714</v>
      </c>
    </row>
    <row r="5369" spans="1:5" hidden="1" x14ac:dyDescent="0.3">
      <c r="A5369" t="s">
        <v>557</v>
      </c>
      <c r="B5369" t="s">
        <v>713</v>
      </c>
      <c r="C5369" t="s">
        <v>371</v>
      </c>
      <c r="D5369" s="230">
        <v>0</v>
      </c>
      <c r="E5369" t="s">
        <v>714</v>
      </c>
    </row>
    <row r="5370" spans="1:5" hidden="1" x14ac:dyDescent="0.3">
      <c r="A5370" t="s">
        <v>557</v>
      </c>
      <c r="B5370" t="s">
        <v>713</v>
      </c>
      <c r="C5370" t="s">
        <v>372</v>
      </c>
      <c r="D5370" s="230">
        <v>0</v>
      </c>
      <c r="E5370" t="s">
        <v>714</v>
      </c>
    </row>
    <row r="5371" spans="1:5" hidden="1" x14ac:dyDescent="0.3">
      <c r="A5371" t="s">
        <v>557</v>
      </c>
      <c r="B5371" t="s">
        <v>713</v>
      </c>
      <c r="C5371" t="s">
        <v>373</v>
      </c>
      <c r="D5371" s="230">
        <v>0</v>
      </c>
      <c r="E5371" t="s">
        <v>714</v>
      </c>
    </row>
    <row r="5372" spans="1:5" hidden="1" x14ac:dyDescent="0.3">
      <c r="A5372" t="s">
        <v>557</v>
      </c>
      <c r="B5372" t="s">
        <v>713</v>
      </c>
      <c r="C5372" t="s">
        <v>374</v>
      </c>
      <c r="D5372" s="230">
        <v>0</v>
      </c>
      <c r="E5372" t="s">
        <v>714</v>
      </c>
    </row>
    <row r="5373" spans="1:5" hidden="1" x14ac:dyDescent="0.3">
      <c r="A5373" t="s">
        <v>557</v>
      </c>
      <c r="B5373" t="s">
        <v>713</v>
      </c>
      <c r="C5373" t="s">
        <v>708</v>
      </c>
      <c r="D5373" s="230">
        <v>0</v>
      </c>
      <c r="E5373" t="s">
        <v>714</v>
      </c>
    </row>
    <row r="5374" spans="1:5" hidden="1" x14ac:dyDescent="0.3">
      <c r="A5374" t="s">
        <v>557</v>
      </c>
      <c r="B5374" t="s">
        <v>715</v>
      </c>
      <c r="C5374" t="s">
        <v>11</v>
      </c>
      <c r="D5374" s="230">
        <v>367943.46</v>
      </c>
      <c r="E5374" t="s">
        <v>716</v>
      </c>
    </row>
    <row r="5375" spans="1:5" hidden="1" x14ac:dyDescent="0.3">
      <c r="A5375" t="s">
        <v>557</v>
      </c>
      <c r="B5375" t="s">
        <v>715</v>
      </c>
      <c r="C5375" t="s">
        <v>13</v>
      </c>
      <c r="D5375" s="230">
        <v>212501.7</v>
      </c>
      <c r="E5375" t="s">
        <v>716</v>
      </c>
    </row>
    <row r="5376" spans="1:5" hidden="1" x14ac:dyDescent="0.3">
      <c r="A5376" t="s">
        <v>557</v>
      </c>
      <c r="B5376" t="s">
        <v>715</v>
      </c>
      <c r="C5376" t="s">
        <v>16</v>
      </c>
      <c r="D5376" s="230">
        <v>102390</v>
      </c>
      <c r="E5376" t="s">
        <v>716</v>
      </c>
    </row>
    <row r="5377" spans="1:5" hidden="1" x14ac:dyDescent="0.3">
      <c r="A5377" t="s">
        <v>557</v>
      </c>
      <c r="B5377" t="s">
        <v>715</v>
      </c>
      <c r="C5377" t="s">
        <v>17</v>
      </c>
      <c r="D5377" s="230">
        <v>7590</v>
      </c>
      <c r="E5377" t="s">
        <v>716</v>
      </c>
    </row>
    <row r="5378" spans="1:5" hidden="1" x14ac:dyDescent="0.3">
      <c r="A5378" t="s">
        <v>557</v>
      </c>
      <c r="B5378" t="s">
        <v>715</v>
      </c>
      <c r="C5378" t="s">
        <v>18</v>
      </c>
      <c r="D5378" s="230">
        <v>200</v>
      </c>
      <c r="E5378" t="s">
        <v>716</v>
      </c>
    </row>
    <row r="5379" spans="1:5" hidden="1" x14ac:dyDescent="0.3">
      <c r="A5379" t="s">
        <v>557</v>
      </c>
      <c r="B5379" t="s">
        <v>715</v>
      </c>
      <c r="C5379" t="s">
        <v>20</v>
      </c>
      <c r="D5379" s="230">
        <v>40544.9</v>
      </c>
      <c r="E5379" t="s">
        <v>716</v>
      </c>
    </row>
    <row r="5380" spans="1:5" hidden="1" x14ac:dyDescent="0.3">
      <c r="A5380" t="s">
        <v>557</v>
      </c>
      <c r="B5380" t="s">
        <v>715</v>
      </c>
      <c r="C5380" t="s">
        <v>23</v>
      </c>
      <c r="D5380" s="230">
        <v>0</v>
      </c>
      <c r="E5380" t="s">
        <v>716</v>
      </c>
    </row>
    <row r="5381" spans="1:5" hidden="1" x14ac:dyDescent="0.3">
      <c r="A5381" t="s">
        <v>557</v>
      </c>
      <c r="B5381" t="s">
        <v>715</v>
      </c>
      <c r="C5381" t="s">
        <v>25</v>
      </c>
      <c r="D5381" s="230">
        <v>0</v>
      </c>
      <c r="E5381" t="s">
        <v>716</v>
      </c>
    </row>
    <row r="5382" spans="1:5" hidden="1" x14ac:dyDescent="0.3">
      <c r="A5382" t="s">
        <v>557</v>
      </c>
      <c r="B5382" t="s">
        <v>715</v>
      </c>
      <c r="C5382" t="s">
        <v>26</v>
      </c>
      <c r="D5382" s="230">
        <v>2800</v>
      </c>
      <c r="E5382" t="s">
        <v>716</v>
      </c>
    </row>
    <row r="5383" spans="1:5" hidden="1" x14ac:dyDescent="0.3">
      <c r="A5383" t="s">
        <v>557</v>
      </c>
      <c r="B5383" t="s">
        <v>715</v>
      </c>
      <c r="C5383" t="s">
        <v>27</v>
      </c>
      <c r="D5383" s="230">
        <v>0</v>
      </c>
      <c r="E5383" t="s">
        <v>716</v>
      </c>
    </row>
    <row r="5384" spans="1:5" hidden="1" x14ac:dyDescent="0.3">
      <c r="A5384" t="s">
        <v>557</v>
      </c>
      <c r="B5384" t="s">
        <v>715</v>
      </c>
      <c r="C5384" t="s">
        <v>29</v>
      </c>
      <c r="D5384" s="230">
        <v>1916.86</v>
      </c>
      <c r="E5384" t="s">
        <v>716</v>
      </c>
    </row>
    <row r="5385" spans="1:5" hidden="1" x14ac:dyDescent="0.3">
      <c r="A5385" t="s">
        <v>557</v>
      </c>
      <c r="B5385" t="s">
        <v>715</v>
      </c>
      <c r="C5385" t="s">
        <v>31</v>
      </c>
      <c r="D5385" s="230">
        <v>0</v>
      </c>
      <c r="E5385" t="s">
        <v>716</v>
      </c>
    </row>
    <row r="5386" spans="1:5" hidden="1" x14ac:dyDescent="0.3">
      <c r="A5386" t="s">
        <v>557</v>
      </c>
      <c r="B5386" t="s">
        <v>715</v>
      </c>
      <c r="C5386" t="s">
        <v>34</v>
      </c>
      <c r="D5386" s="230">
        <v>-14266.32</v>
      </c>
      <c r="E5386" t="s">
        <v>716</v>
      </c>
    </row>
    <row r="5387" spans="1:5" hidden="1" x14ac:dyDescent="0.3">
      <c r="A5387" t="s">
        <v>557</v>
      </c>
      <c r="B5387" t="s">
        <v>715</v>
      </c>
      <c r="C5387" t="s">
        <v>38</v>
      </c>
      <c r="D5387" s="230">
        <v>-14266.32</v>
      </c>
      <c r="E5387" t="s">
        <v>716</v>
      </c>
    </row>
    <row r="5388" spans="1:5" hidden="1" x14ac:dyDescent="0.3">
      <c r="A5388" t="s">
        <v>557</v>
      </c>
      <c r="B5388" t="s">
        <v>715</v>
      </c>
      <c r="C5388" t="s">
        <v>40</v>
      </c>
      <c r="D5388" s="230">
        <v>0</v>
      </c>
      <c r="E5388" t="s">
        <v>716</v>
      </c>
    </row>
    <row r="5389" spans="1:5" hidden="1" x14ac:dyDescent="0.3">
      <c r="A5389" t="s">
        <v>557</v>
      </c>
      <c r="B5389" t="s">
        <v>715</v>
      </c>
      <c r="C5389" t="s">
        <v>42</v>
      </c>
      <c r="D5389" s="230">
        <v>0</v>
      </c>
      <c r="E5389" t="s">
        <v>716</v>
      </c>
    </row>
    <row r="5390" spans="1:5" hidden="1" x14ac:dyDescent="0.3">
      <c r="A5390" t="s">
        <v>557</v>
      </c>
      <c r="B5390" t="s">
        <v>715</v>
      </c>
      <c r="C5390" t="s">
        <v>44</v>
      </c>
      <c r="D5390" s="230">
        <v>-0.04</v>
      </c>
      <c r="E5390" t="s">
        <v>716</v>
      </c>
    </row>
    <row r="5391" spans="1:5" hidden="1" x14ac:dyDescent="0.3">
      <c r="A5391" t="s">
        <v>557</v>
      </c>
      <c r="B5391" t="s">
        <v>715</v>
      </c>
      <c r="C5391" t="s">
        <v>45</v>
      </c>
      <c r="D5391" s="230">
        <v>-21829.06</v>
      </c>
      <c r="E5391" t="s">
        <v>716</v>
      </c>
    </row>
    <row r="5392" spans="1:5" hidden="1" x14ac:dyDescent="0.3">
      <c r="A5392" t="s">
        <v>557</v>
      </c>
      <c r="B5392" t="s">
        <v>715</v>
      </c>
      <c r="C5392" t="s">
        <v>46</v>
      </c>
      <c r="D5392" s="230">
        <v>-11429.33</v>
      </c>
      <c r="E5392" t="s">
        <v>716</v>
      </c>
    </row>
    <row r="5393" spans="1:5" hidden="1" x14ac:dyDescent="0.3">
      <c r="A5393" t="s">
        <v>557</v>
      </c>
      <c r="B5393" t="s">
        <v>715</v>
      </c>
      <c r="C5393" t="s">
        <v>48</v>
      </c>
      <c r="D5393" s="230">
        <v>-10020.23</v>
      </c>
      <c r="E5393" t="s">
        <v>716</v>
      </c>
    </row>
    <row r="5394" spans="1:5" hidden="1" x14ac:dyDescent="0.3">
      <c r="A5394" t="s">
        <v>557</v>
      </c>
      <c r="B5394" t="s">
        <v>715</v>
      </c>
      <c r="C5394" t="s">
        <v>49</v>
      </c>
      <c r="D5394" s="230">
        <v>-379.5</v>
      </c>
      <c r="E5394" t="s">
        <v>716</v>
      </c>
    </row>
    <row r="5395" spans="1:5" hidden="1" x14ac:dyDescent="0.3">
      <c r="A5395" t="s">
        <v>557</v>
      </c>
      <c r="B5395" t="s">
        <v>715</v>
      </c>
      <c r="C5395" t="s">
        <v>50</v>
      </c>
      <c r="D5395" s="230">
        <v>331848.08</v>
      </c>
      <c r="E5395" t="s">
        <v>716</v>
      </c>
    </row>
    <row r="5396" spans="1:5" hidden="1" x14ac:dyDescent="0.3">
      <c r="A5396" t="s">
        <v>557</v>
      </c>
      <c r="B5396" t="s">
        <v>715</v>
      </c>
      <c r="C5396" t="s">
        <v>51</v>
      </c>
      <c r="D5396" s="230">
        <v>-109148.94</v>
      </c>
      <c r="E5396" t="s">
        <v>716</v>
      </c>
    </row>
    <row r="5397" spans="1:5" hidden="1" x14ac:dyDescent="0.3">
      <c r="A5397" t="s">
        <v>557</v>
      </c>
      <c r="B5397" t="s">
        <v>715</v>
      </c>
      <c r="C5397" t="s">
        <v>52</v>
      </c>
      <c r="D5397" s="230">
        <v>-86642.23</v>
      </c>
      <c r="E5397" t="s">
        <v>716</v>
      </c>
    </row>
    <row r="5398" spans="1:5" hidden="1" x14ac:dyDescent="0.3">
      <c r="A5398" t="s">
        <v>557</v>
      </c>
      <c r="B5398" t="s">
        <v>715</v>
      </c>
      <c r="C5398" t="s">
        <v>53</v>
      </c>
      <c r="D5398" s="230">
        <v>-22506.71</v>
      </c>
      <c r="E5398" t="s">
        <v>716</v>
      </c>
    </row>
    <row r="5399" spans="1:5" hidden="1" x14ac:dyDescent="0.3">
      <c r="A5399" t="s">
        <v>557</v>
      </c>
      <c r="B5399" t="s">
        <v>715</v>
      </c>
      <c r="C5399" t="s">
        <v>54</v>
      </c>
      <c r="D5399" s="230">
        <v>0</v>
      </c>
      <c r="E5399" t="s">
        <v>716</v>
      </c>
    </row>
    <row r="5400" spans="1:5" hidden="1" x14ac:dyDescent="0.3">
      <c r="A5400" t="s">
        <v>557</v>
      </c>
      <c r="B5400" t="s">
        <v>715</v>
      </c>
      <c r="C5400" t="s">
        <v>23</v>
      </c>
      <c r="D5400" s="230">
        <v>0</v>
      </c>
      <c r="E5400" t="s">
        <v>716</v>
      </c>
    </row>
    <row r="5401" spans="1:5" hidden="1" x14ac:dyDescent="0.3">
      <c r="A5401" t="s">
        <v>557</v>
      </c>
      <c r="B5401" t="s">
        <v>715</v>
      </c>
      <c r="C5401" t="s">
        <v>44</v>
      </c>
      <c r="D5401" s="230">
        <v>-0.34</v>
      </c>
      <c r="E5401" t="s">
        <v>716</v>
      </c>
    </row>
    <row r="5402" spans="1:5" hidden="1" x14ac:dyDescent="0.3">
      <c r="A5402" t="s">
        <v>557</v>
      </c>
      <c r="B5402" t="s">
        <v>715</v>
      </c>
      <c r="C5402" t="s">
        <v>55</v>
      </c>
      <c r="D5402" s="230">
        <v>-0.33</v>
      </c>
      <c r="E5402" t="s">
        <v>716</v>
      </c>
    </row>
    <row r="5403" spans="1:5" hidden="1" x14ac:dyDescent="0.3">
      <c r="A5403" t="s">
        <v>557</v>
      </c>
      <c r="B5403" t="s">
        <v>715</v>
      </c>
      <c r="C5403" t="s">
        <v>56</v>
      </c>
      <c r="D5403" s="230">
        <v>-7001.71</v>
      </c>
      <c r="E5403" t="s">
        <v>716</v>
      </c>
    </row>
    <row r="5404" spans="1:5" hidden="1" x14ac:dyDescent="0.3">
      <c r="A5404" t="s">
        <v>557</v>
      </c>
      <c r="B5404" t="s">
        <v>715</v>
      </c>
      <c r="C5404" t="s">
        <v>57</v>
      </c>
      <c r="D5404" s="230">
        <v>-7001.71</v>
      </c>
      <c r="E5404" t="s">
        <v>716</v>
      </c>
    </row>
    <row r="5405" spans="1:5" hidden="1" x14ac:dyDescent="0.3">
      <c r="A5405" t="s">
        <v>557</v>
      </c>
      <c r="B5405" t="s">
        <v>715</v>
      </c>
      <c r="C5405" t="s">
        <v>58</v>
      </c>
      <c r="D5405" s="230">
        <v>-6300</v>
      </c>
      <c r="E5405" t="s">
        <v>716</v>
      </c>
    </row>
    <row r="5406" spans="1:5" hidden="1" x14ac:dyDescent="0.3">
      <c r="A5406" t="s">
        <v>557</v>
      </c>
      <c r="B5406" t="s">
        <v>715</v>
      </c>
      <c r="C5406" t="s">
        <v>59</v>
      </c>
      <c r="D5406" s="230">
        <v>-701.71</v>
      </c>
      <c r="E5406" t="s">
        <v>716</v>
      </c>
    </row>
    <row r="5407" spans="1:5" hidden="1" x14ac:dyDescent="0.3">
      <c r="A5407" t="s">
        <v>557</v>
      </c>
      <c r="B5407" t="s">
        <v>715</v>
      </c>
      <c r="C5407" t="s">
        <v>61</v>
      </c>
      <c r="D5407" s="230">
        <v>0</v>
      </c>
      <c r="E5407" t="s">
        <v>716</v>
      </c>
    </row>
    <row r="5408" spans="1:5" hidden="1" x14ac:dyDescent="0.3">
      <c r="A5408" t="s">
        <v>557</v>
      </c>
      <c r="B5408" t="s">
        <v>715</v>
      </c>
      <c r="C5408" t="s">
        <v>62</v>
      </c>
      <c r="D5408" s="230">
        <v>0</v>
      </c>
      <c r="E5408" t="s">
        <v>716</v>
      </c>
    </row>
    <row r="5409" spans="1:5" hidden="1" x14ac:dyDescent="0.3">
      <c r="A5409" t="s">
        <v>557</v>
      </c>
      <c r="B5409" t="s">
        <v>715</v>
      </c>
      <c r="C5409" t="s">
        <v>64</v>
      </c>
      <c r="D5409" s="230">
        <v>0</v>
      </c>
      <c r="E5409" t="s">
        <v>716</v>
      </c>
    </row>
    <row r="5410" spans="1:5" hidden="1" x14ac:dyDescent="0.3">
      <c r="A5410" t="s">
        <v>557</v>
      </c>
      <c r="B5410" t="s">
        <v>715</v>
      </c>
      <c r="C5410" t="s">
        <v>65</v>
      </c>
      <c r="D5410" s="230">
        <v>0</v>
      </c>
      <c r="E5410" t="s">
        <v>716</v>
      </c>
    </row>
    <row r="5411" spans="1:5" hidden="1" x14ac:dyDescent="0.3">
      <c r="A5411" t="s">
        <v>557</v>
      </c>
      <c r="B5411" t="s">
        <v>715</v>
      </c>
      <c r="C5411" t="s">
        <v>66</v>
      </c>
      <c r="D5411" s="230">
        <v>0</v>
      </c>
      <c r="E5411" t="s">
        <v>716</v>
      </c>
    </row>
    <row r="5412" spans="1:5" hidden="1" x14ac:dyDescent="0.3">
      <c r="A5412" t="s">
        <v>557</v>
      </c>
      <c r="B5412" t="s">
        <v>715</v>
      </c>
      <c r="C5412" t="s">
        <v>68</v>
      </c>
      <c r="D5412" s="230">
        <v>0</v>
      </c>
      <c r="E5412" t="s">
        <v>716</v>
      </c>
    </row>
    <row r="5413" spans="1:5" hidden="1" x14ac:dyDescent="0.3">
      <c r="A5413" t="s">
        <v>557</v>
      </c>
      <c r="B5413" t="s">
        <v>715</v>
      </c>
      <c r="C5413" t="s">
        <v>69</v>
      </c>
      <c r="D5413" s="230">
        <v>0</v>
      </c>
      <c r="E5413" t="s">
        <v>716</v>
      </c>
    </row>
    <row r="5414" spans="1:5" hidden="1" x14ac:dyDescent="0.3">
      <c r="A5414" t="s">
        <v>557</v>
      </c>
      <c r="B5414" t="s">
        <v>715</v>
      </c>
      <c r="C5414" t="s">
        <v>70</v>
      </c>
      <c r="D5414" s="230">
        <v>-0.92</v>
      </c>
      <c r="E5414" t="s">
        <v>716</v>
      </c>
    </row>
    <row r="5415" spans="1:5" hidden="1" x14ac:dyDescent="0.3">
      <c r="A5415" t="s">
        <v>557</v>
      </c>
      <c r="B5415" t="s">
        <v>715</v>
      </c>
      <c r="C5415" t="s">
        <v>44</v>
      </c>
      <c r="D5415" s="230">
        <v>-0.02</v>
      </c>
      <c r="E5415" t="s">
        <v>716</v>
      </c>
    </row>
    <row r="5416" spans="1:5" hidden="1" x14ac:dyDescent="0.3">
      <c r="A5416" t="s">
        <v>557</v>
      </c>
      <c r="B5416" t="s">
        <v>715</v>
      </c>
      <c r="C5416" t="s">
        <v>71</v>
      </c>
      <c r="D5416" s="230">
        <v>0</v>
      </c>
      <c r="E5416" t="s">
        <v>716</v>
      </c>
    </row>
    <row r="5417" spans="1:5" hidden="1" x14ac:dyDescent="0.3">
      <c r="A5417" t="s">
        <v>557</v>
      </c>
      <c r="B5417" t="s">
        <v>715</v>
      </c>
      <c r="C5417" t="s">
        <v>72</v>
      </c>
      <c r="D5417" s="230">
        <v>0</v>
      </c>
      <c r="E5417" t="s">
        <v>716</v>
      </c>
    </row>
    <row r="5418" spans="1:5" hidden="1" x14ac:dyDescent="0.3">
      <c r="A5418" t="s">
        <v>557</v>
      </c>
      <c r="B5418" t="s">
        <v>715</v>
      </c>
      <c r="C5418" t="s">
        <v>73</v>
      </c>
      <c r="D5418" s="230">
        <v>0</v>
      </c>
      <c r="E5418" t="s">
        <v>716</v>
      </c>
    </row>
    <row r="5419" spans="1:5" hidden="1" x14ac:dyDescent="0.3">
      <c r="A5419" t="s">
        <v>557</v>
      </c>
      <c r="B5419" t="s">
        <v>715</v>
      </c>
      <c r="C5419" t="s">
        <v>75</v>
      </c>
      <c r="D5419" s="230">
        <v>0</v>
      </c>
      <c r="E5419" t="s">
        <v>716</v>
      </c>
    </row>
    <row r="5420" spans="1:5" hidden="1" x14ac:dyDescent="0.3">
      <c r="A5420" t="s">
        <v>557</v>
      </c>
      <c r="B5420" t="s">
        <v>715</v>
      </c>
      <c r="C5420" t="s">
        <v>77</v>
      </c>
      <c r="D5420" s="230">
        <v>0</v>
      </c>
      <c r="E5420" t="s">
        <v>716</v>
      </c>
    </row>
    <row r="5421" spans="1:5" hidden="1" x14ac:dyDescent="0.3">
      <c r="A5421" t="s">
        <v>557</v>
      </c>
      <c r="B5421" t="s">
        <v>715</v>
      </c>
      <c r="C5421" t="s">
        <v>78</v>
      </c>
      <c r="D5421" s="230">
        <v>0</v>
      </c>
      <c r="E5421" t="s">
        <v>716</v>
      </c>
    </row>
    <row r="5422" spans="1:5" hidden="1" x14ac:dyDescent="0.3">
      <c r="A5422" t="s">
        <v>557</v>
      </c>
      <c r="B5422" t="s">
        <v>715</v>
      </c>
      <c r="C5422" t="s">
        <v>80</v>
      </c>
      <c r="D5422" s="230">
        <v>0</v>
      </c>
      <c r="E5422" t="s">
        <v>716</v>
      </c>
    </row>
    <row r="5423" spans="1:5" hidden="1" x14ac:dyDescent="0.3">
      <c r="A5423" t="s">
        <v>557</v>
      </c>
      <c r="B5423" t="s">
        <v>715</v>
      </c>
      <c r="C5423" t="s">
        <v>82</v>
      </c>
      <c r="D5423" s="230">
        <v>0</v>
      </c>
      <c r="E5423" t="s">
        <v>716</v>
      </c>
    </row>
    <row r="5424" spans="1:5" hidden="1" x14ac:dyDescent="0.3">
      <c r="A5424" t="s">
        <v>557</v>
      </c>
      <c r="B5424" t="s">
        <v>715</v>
      </c>
      <c r="C5424" t="s">
        <v>84</v>
      </c>
      <c r="D5424" s="230">
        <v>0</v>
      </c>
      <c r="E5424" t="s">
        <v>716</v>
      </c>
    </row>
    <row r="5425" spans="1:5" hidden="1" x14ac:dyDescent="0.3">
      <c r="A5425" t="s">
        <v>557</v>
      </c>
      <c r="B5425" t="s">
        <v>715</v>
      </c>
      <c r="C5425" t="s">
        <v>85</v>
      </c>
      <c r="D5425" s="230">
        <v>0</v>
      </c>
      <c r="E5425" t="s">
        <v>716</v>
      </c>
    </row>
    <row r="5426" spans="1:5" hidden="1" x14ac:dyDescent="0.3">
      <c r="A5426" t="s">
        <v>557</v>
      </c>
      <c r="B5426" t="s">
        <v>715</v>
      </c>
      <c r="C5426" t="s">
        <v>86</v>
      </c>
      <c r="D5426" s="230">
        <v>0</v>
      </c>
      <c r="E5426" t="s">
        <v>716</v>
      </c>
    </row>
    <row r="5427" spans="1:5" hidden="1" x14ac:dyDescent="0.3">
      <c r="A5427" t="s">
        <v>557</v>
      </c>
      <c r="B5427" t="s">
        <v>715</v>
      </c>
      <c r="C5427" t="s">
        <v>87</v>
      </c>
      <c r="D5427" s="230">
        <v>0</v>
      </c>
      <c r="E5427" t="s">
        <v>716</v>
      </c>
    </row>
    <row r="5428" spans="1:5" hidden="1" x14ac:dyDescent="0.3">
      <c r="A5428" t="s">
        <v>557</v>
      </c>
      <c r="B5428" t="s">
        <v>715</v>
      </c>
      <c r="C5428" t="s">
        <v>88</v>
      </c>
      <c r="D5428" s="230">
        <v>0</v>
      </c>
      <c r="E5428" t="s">
        <v>716</v>
      </c>
    </row>
    <row r="5429" spans="1:5" hidden="1" x14ac:dyDescent="0.3">
      <c r="A5429" t="s">
        <v>557</v>
      </c>
      <c r="B5429" t="s">
        <v>715</v>
      </c>
      <c r="C5429" t="s">
        <v>89</v>
      </c>
      <c r="D5429" s="230">
        <v>0</v>
      </c>
      <c r="E5429" t="s">
        <v>716</v>
      </c>
    </row>
    <row r="5430" spans="1:5" hidden="1" x14ac:dyDescent="0.3">
      <c r="A5430" t="s">
        <v>557</v>
      </c>
      <c r="B5430" t="s">
        <v>715</v>
      </c>
      <c r="C5430" t="s">
        <v>90</v>
      </c>
      <c r="D5430" s="230">
        <v>0</v>
      </c>
      <c r="E5430" t="s">
        <v>716</v>
      </c>
    </row>
    <row r="5431" spans="1:5" hidden="1" x14ac:dyDescent="0.3">
      <c r="A5431" t="s">
        <v>557</v>
      </c>
      <c r="B5431" t="s">
        <v>715</v>
      </c>
      <c r="C5431" t="s">
        <v>91</v>
      </c>
      <c r="D5431" s="230">
        <v>0</v>
      </c>
      <c r="E5431" t="s">
        <v>716</v>
      </c>
    </row>
    <row r="5432" spans="1:5" hidden="1" x14ac:dyDescent="0.3">
      <c r="A5432" t="s">
        <v>557</v>
      </c>
      <c r="B5432" t="s">
        <v>715</v>
      </c>
      <c r="C5432" t="s">
        <v>93</v>
      </c>
      <c r="D5432" s="230">
        <v>0</v>
      </c>
      <c r="E5432" t="s">
        <v>716</v>
      </c>
    </row>
    <row r="5433" spans="1:5" hidden="1" x14ac:dyDescent="0.3">
      <c r="A5433" t="s">
        <v>557</v>
      </c>
      <c r="B5433" t="s">
        <v>715</v>
      </c>
      <c r="C5433" t="s">
        <v>95</v>
      </c>
      <c r="D5433" s="230">
        <v>0</v>
      </c>
      <c r="E5433" t="s">
        <v>716</v>
      </c>
    </row>
    <row r="5434" spans="1:5" hidden="1" x14ac:dyDescent="0.3">
      <c r="A5434" t="s">
        <v>557</v>
      </c>
      <c r="B5434" t="s">
        <v>715</v>
      </c>
      <c r="C5434" t="s">
        <v>96</v>
      </c>
      <c r="D5434" s="230">
        <v>0</v>
      </c>
      <c r="E5434" t="s">
        <v>716</v>
      </c>
    </row>
    <row r="5435" spans="1:5" hidden="1" x14ac:dyDescent="0.3">
      <c r="A5435" t="s">
        <v>557</v>
      </c>
      <c r="B5435" t="s">
        <v>715</v>
      </c>
      <c r="C5435" t="s">
        <v>98</v>
      </c>
      <c r="D5435" s="230">
        <v>0</v>
      </c>
      <c r="E5435" t="s">
        <v>716</v>
      </c>
    </row>
    <row r="5436" spans="1:5" hidden="1" x14ac:dyDescent="0.3">
      <c r="A5436" t="s">
        <v>557</v>
      </c>
      <c r="B5436" t="s">
        <v>715</v>
      </c>
      <c r="C5436" t="s">
        <v>100</v>
      </c>
      <c r="D5436" s="230">
        <v>0</v>
      </c>
      <c r="E5436" t="s">
        <v>716</v>
      </c>
    </row>
    <row r="5437" spans="1:5" hidden="1" x14ac:dyDescent="0.3">
      <c r="A5437" t="s">
        <v>557</v>
      </c>
      <c r="B5437" t="s">
        <v>715</v>
      </c>
      <c r="C5437" t="s">
        <v>101</v>
      </c>
      <c r="D5437" s="230">
        <v>0</v>
      </c>
      <c r="E5437" t="s">
        <v>716</v>
      </c>
    </row>
    <row r="5438" spans="1:5" hidden="1" x14ac:dyDescent="0.3">
      <c r="A5438" t="s">
        <v>557</v>
      </c>
      <c r="B5438" t="s">
        <v>715</v>
      </c>
      <c r="C5438" t="s">
        <v>102</v>
      </c>
      <c r="D5438" s="230">
        <v>0</v>
      </c>
      <c r="E5438" t="s">
        <v>716</v>
      </c>
    </row>
    <row r="5439" spans="1:5" hidden="1" x14ac:dyDescent="0.3">
      <c r="A5439" t="s">
        <v>557</v>
      </c>
      <c r="B5439" t="s">
        <v>715</v>
      </c>
      <c r="C5439" t="s">
        <v>103</v>
      </c>
      <c r="D5439" s="230">
        <v>0</v>
      </c>
      <c r="E5439" t="s">
        <v>716</v>
      </c>
    </row>
    <row r="5440" spans="1:5" hidden="1" x14ac:dyDescent="0.3">
      <c r="A5440" t="s">
        <v>557</v>
      </c>
      <c r="B5440" t="s">
        <v>715</v>
      </c>
      <c r="C5440" t="s">
        <v>104</v>
      </c>
      <c r="D5440" s="230">
        <v>0</v>
      </c>
      <c r="E5440" t="s">
        <v>716</v>
      </c>
    </row>
    <row r="5441" spans="1:5" hidden="1" x14ac:dyDescent="0.3">
      <c r="A5441" t="s">
        <v>557</v>
      </c>
      <c r="B5441" t="s">
        <v>715</v>
      </c>
      <c r="C5441" t="s">
        <v>105</v>
      </c>
      <c r="D5441" s="230">
        <v>0</v>
      </c>
      <c r="E5441" t="s">
        <v>716</v>
      </c>
    </row>
    <row r="5442" spans="1:5" hidden="1" x14ac:dyDescent="0.3">
      <c r="A5442" t="s">
        <v>557</v>
      </c>
      <c r="B5442" t="s">
        <v>715</v>
      </c>
      <c r="C5442" t="s">
        <v>107</v>
      </c>
      <c r="D5442" s="230">
        <v>0</v>
      </c>
      <c r="E5442" t="s">
        <v>716</v>
      </c>
    </row>
    <row r="5443" spans="1:5" hidden="1" x14ac:dyDescent="0.3">
      <c r="A5443" t="s">
        <v>557</v>
      </c>
      <c r="B5443" t="s">
        <v>715</v>
      </c>
      <c r="C5443" t="s">
        <v>108</v>
      </c>
      <c r="D5443" s="230">
        <v>0</v>
      </c>
      <c r="E5443" t="s">
        <v>716</v>
      </c>
    </row>
    <row r="5444" spans="1:5" hidden="1" x14ac:dyDescent="0.3">
      <c r="A5444" t="s">
        <v>557</v>
      </c>
      <c r="B5444" t="s">
        <v>715</v>
      </c>
      <c r="C5444" t="s">
        <v>109</v>
      </c>
      <c r="D5444" s="230">
        <v>0</v>
      </c>
      <c r="E5444" t="s">
        <v>716</v>
      </c>
    </row>
    <row r="5445" spans="1:5" hidden="1" x14ac:dyDescent="0.3">
      <c r="A5445" t="s">
        <v>557</v>
      </c>
      <c r="B5445" t="s">
        <v>715</v>
      </c>
      <c r="C5445" t="s">
        <v>110</v>
      </c>
      <c r="D5445" s="230">
        <v>0</v>
      </c>
      <c r="E5445" t="s">
        <v>716</v>
      </c>
    </row>
    <row r="5446" spans="1:5" hidden="1" x14ac:dyDescent="0.3">
      <c r="A5446" t="s">
        <v>557</v>
      </c>
      <c r="B5446" t="s">
        <v>715</v>
      </c>
      <c r="C5446" t="s">
        <v>44</v>
      </c>
      <c r="D5446" s="230">
        <v>0</v>
      </c>
      <c r="E5446" t="s">
        <v>716</v>
      </c>
    </row>
    <row r="5447" spans="1:5" hidden="1" x14ac:dyDescent="0.3">
      <c r="A5447" t="s">
        <v>557</v>
      </c>
      <c r="B5447" t="s">
        <v>715</v>
      </c>
      <c r="C5447" t="s">
        <v>111</v>
      </c>
      <c r="D5447" s="230">
        <v>-32038.1</v>
      </c>
      <c r="E5447" t="s">
        <v>716</v>
      </c>
    </row>
    <row r="5448" spans="1:5" hidden="1" x14ac:dyDescent="0.3">
      <c r="A5448" t="s">
        <v>557</v>
      </c>
      <c r="B5448" t="s">
        <v>715</v>
      </c>
      <c r="C5448" t="s">
        <v>608</v>
      </c>
      <c r="D5448" s="230">
        <v>-32038.1</v>
      </c>
      <c r="E5448" t="s">
        <v>716</v>
      </c>
    </row>
    <row r="5449" spans="1:5" hidden="1" x14ac:dyDescent="0.3">
      <c r="A5449" t="s">
        <v>557</v>
      </c>
      <c r="B5449" t="s">
        <v>715</v>
      </c>
      <c r="C5449" t="s">
        <v>44</v>
      </c>
      <c r="D5449" s="230">
        <v>-0.09</v>
      </c>
      <c r="E5449" t="s">
        <v>716</v>
      </c>
    </row>
    <row r="5450" spans="1:5" hidden="1" x14ac:dyDescent="0.3">
      <c r="A5450" t="s">
        <v>557</v>
      </c>
      <c r="B5450" t="s">
        <v>715</v>
      </c>
      <c r="C5450" t="s">
        <v>115</v>
      </c>
      <c r="D5450" s="230">
        <v>-7215.6</v>
      </c>
      <c r="E5450" t="s">
        <v>716</v>
      </c>
    </row>
    <row r="5451" spans="1:5" hidden="1" x14ac:dyDescent="0.3">
      <c r="A5451" t="s">
        <v>557</v>
      </c>
      <c r="B5451" t="s">
        <v>715</v>
      </c>
      <c r="C5451" t="s">
        <v>116</v>
      </c>
      <c r="D5451" s="230">
        <v>-7210.6</v>
      </c>
      <c r="E5451" t="s">
        <v>716</v>
      </c>
    </row>
    <row r="5452" spans="1:5" hidden="1" x14ac:dyDescent="0.3">
      <c r="A5452" t="s">
        <v>557</v>
      </c>
      <c r="B5452" t="s">
        <v>715</v>
      </c>
      <c r="C5452" t="s">
        <v>118</v>
      </c>
      <c r="D5452" s="230">
        <v>0</v>
      </c>
      <c r="E5452" t="s">
        <v>716</v>
      </c>
    </row>
    <row r="5453" spans="1:5" hidden="1" x14ac:dyDescent="0.3">
      <c r="A5453" t="s">
        <v>557</v>
      </c>
      <c r="B5453" t="s">
        <v>715</v>
      </c>
      <c r="C5453" t="s">
        <v>120</v>
      </c>
      <c r="D5453" s="230">
        <v>0</v>
      </c>
      <c r="E5453" t="s">
        <v>716</v>
      </c>
    </row>
    <row r="5454" spans="1:5" hidden="1" x14ac:dyDescent="0.3">
      <c r="A5454" t="s">
        <v>557</v>
      </c>
      <c r="B5454" t="s">
        <v>715</v>
      </c>
      <c r="C5454" t="s">
        <v>122</v>
      </c>
      <c r="D5454" s="230">
        <v>-5</v>
      </c>
      <c r="E5454" t="s">
        <v>716</v>
      </c>
    </row>
    <row r="5455" spans="1:5" hidden="1" x14ac:dyDescent="0.3">
      <c r="A5455" t="s">
        <v>557</v>
      </c>
      <c r="B5455" t="s">
        <v>715</v>
      </c>
      <c r="C5455" t="s">
        <v>44</v>
      </c>
      <c r="D5455" s="230">
        <v>-0.02</v>
      </c>
      <c r="E5455" t="s">
        <v>716</v>
      </c>
    </row>
    <row r="5456" spans="1:5" hidden="1" x14ac:dyDescent="0.3">
      <c r="A5456" t="s">
        <v>557</v>
      </c>
      <c r="B5456" t="s">
        <v>715</v>
      </c>
      <c r="C5456" t="s">
        <v>126</v>
      </c>
      <c r="D5456" s="230">
        <v>176443.73</v>
      </c>
      <c r="E5456" t="s">
        <v>716</v>
      </c>
    </row>
    <row r="5457" spans="1:5" hidden="1" x14ac:dyDescent="0.3">
      <c r="A5457" t="s">
        <v>557</v>
      </c>
      <c r="B5457" t="s">
        <v>715</v>
      </c>
      <c r="C5457" t="s">
        <v>127</v>
      </c>
      <c r="D5457" s="230">
        <v>0.48</v>
      </c>
      <c r="E5457" t="s">
        <v>716</v>
      </c>
    </row>
    <row r="5458" spans="1:5" hidden="1" x14ac:dyDescent="0.3">
      <c r="A5458" t="s">
        <v>557</v>
      </c>
      <c r="B5458" t="s">
        <v>715</v>
      </c>
      <c r="C5458" t="s">
        <v>128</v>
      </c>
      <c r="D5458" s="230">
        <v>-123204.2</v>
      </c>
      <c r="E5458" t="s">
        <v>716</v>
      </c>
    </row>
    <row r="5459" spans="1:5" hidden="1" x14ac:dyDescent="0.3">
      <c r="A5459" t="s">
        <v>557</v>
      </c>
      <c r="B5459" t="s">
        <v>715</v>
      </c>
      <c r="C5459" t="s">
        <v>129</v>
      </c>
      <c r="D5459" s="230">
        <v>-48452.800000000003</v>
      </c>
      <c r="E5459" t="s">
        <v>716</v>
      </c>
    </row>
    <row r="5460" spans="1:5" hidden="1" x14ac:dyDescent="0.3">
      <c r="A5460" t="s">
        <v>557</v>
      </c>
      <c r="B5460" t="s">
        <v>715</v>
      </c>
      <c r="C5460" t="s">
        <v>609</v>
      </c>
      <c r="D5460" s="230">
        <v>-600</v>
      </c>
      <c r="E5460" t="s">
        <v>716</v>
      </c>
    </row>
    <row r="5461" spans="1:5" hidden="1" x14ac:dyDescent="0.3">
      <c r="A5461" t="s">
        <v>557</v>
      </c>
      <c r="B5461" t="s">
        <v>715</v>
      </c>
      <c r="C5461" t="s">
        <v>610</v>
      </c>
      <c r="D5461" s="230">
        <v>-11000</v>
      </c>
      <c r="E5461" t="s">
        <v>716</v>
      </c>
    </row>
    <row r="5462" spans="1:5" hidden="1" x14ac:dyDescent="0.3">
      <c r="A5462" t="s">
        <v>557</v>
      </c>
      <c r="B5462" t="s">
        <v>715</v>
      </c>
      <c r="C5462" t="s">
        <v>611</v>
      </c>
      <c r="D5462" s="230">
        <v>-6600</v>
      </c>
      <c r="E5462" t="s">
        <v>716</v>
      </c>
    </row>
    <row r="5463" spans="1:5" hidden="1" x14ac:dyDescent="0.3">
      <c r="A5463" t="s">
        <v>557</v>
      </c>
      <c r="B5463" t="s">
        <v>715</v>
      </c>
      <c r="C5463" t="s">
        <v>612</v>
      </c>
      <c r="D5463" s="230">
        <v>-8252.7999999999993</v>
      </c>
      <c r="E5463" t="s">
        <v>716</v>
      </c>
    </row>
    <row r="5464" spans="1:5" hidden="1" x14ac:dyDescent="0.3">
      <c r="A5464" t="s">
        <v>557</v>
      </c>
      <c r="B5464" t="s">
        <v>715</v>
      </c>
      <c r="C5464" t="s">
        <v>613</v>
      </c>
      <c r="D5464" s="230">
        <v>-1200</v>
      </c>
      <c r="E5464" t="s">
        <v>716</v>
      </c>
    </row>
    <row r="5465" spans="1:5" hidden="1" x14ac:dyDescent="0.3">
      <c r="A5465" t="s">
        <v>557</v>
      </c>
      <c r="B5465" t="s">
        <v>715</v>
      </c>
      <c r="C5465" t="s">
        <v>614</v>
      </c>
      <c r="D5465" s="230">
        <v>-12000</v>
      </c>
      <c r="E5465" t="s">
        <v>716</v>
      </c>
    </row>
    <row r="5466" spans="1:5" hidden="1" x14ac:dyDescent="0.3">
      <c r="A5466" t="s">
        <v>557</v>
      </c>
      <c r="B5466" t="s">
        <v>715</v>
      </c>
      <c r="C5466" t="s">
        <v>615</v>
      </c>
      <c r="D5466" s="230">
        <v>0</v>
      </c>
      <c r="E5466" t="s">
        <v>716</v>
      </c>
    </row>
    <row r="5467" spans="1:5" hidden="1" x14ac:dyDescent="0.3">
      <c r="A5467" t="s">
        <v>557</v>
      </c>
      <c r="B5467" t="s">
        <v>715</v>
      </c>
      <c r="C5467" t="s">
        <v>616</v>
      </c>
      <c r="D5467" s="230">
        <v>-8800</v>
      </c>
      <c r="E5467" t="s">
        <v>716</v>
      </c>
    </row>
    <row r="5468" spans="1:5" hidden="1" x14ac:dyDescent="0.3">
      <c r="A5468" t="s">
        <v>557</v>
      </c>
      <c r="B5468" t="s">
        <v>715</v>
      </c>
      <c r="C5468" t="s">
        <v>617</v>
      </c>
      <c r="D5468" s="230">
        <v>0</v>
      </c>
      <c r="E5468" t="s">
        <v>716</v>
      </c>
    </row>
    <row r="5469" spans="1:5" hidden="1" x14ac:dyDescent="0.3">
      <c r="A5469" t="s">
        <v>557</v>
      </c>
      <c r="B5469" t="s">
        <v>715</v>
      </c>
      <c r="C5469" t="s">
        <v>618</v>
      </c>
      <c r="D5469" s="230">
        <v>0</v>
      </c>
      <c r="E5469" t="s">
        <v>716</v>
      </c>
    </row>
    <row r="5470" spans="1:5" hidden="1" x14ac:dyDescent="0.3">
      <c r="A5470" t="s">
        <v>557</v>
      </c>
      <c r="B5470" t="s">
        <v>715</v>
      </c>
      <c r="C5470" t="s">
        <v>619</v>
      </c>
      <c r="D5470" s="230">
        <v>0</v>
      </c>
      <c r="E5470" t="s">
        <v>716</v>
      </c>
    </row>
    <row r="5471" spans="1:5" hidden="1" x14ac:dyDescent="0.3">
      <c r="A5471" t="s">
        <v>557</v>
      </c>
      <c r="B5471" t="s">
        <v>715</v>
      </c>
      <c r="C5471" t="s">
        <v>620</v>
      </c>
      <c r="D5471" s="230">
        <v>0</v>
      </c>
      <c r="E5471" t="s">
        <v>716</v>
      </c>
    </row>
    <row r="5472" spans="1:5" hidden="1" x14ac:dyDescent="0.3">
      <c r="A5472" t="s">
        <v>557</v>
      </c>
      <c r="B5472" t="s">
        <v>715</v>
      </c>
      <c r="C5472" t="s">
        <v>575</v>
      </c>
      <c r="D5472" s="230">
        <v>-38209.699999999997</v>
      </c>
      <c r="E5472" t="s">
        <v>716</v>
      </c>
    </row>
    <row r="5473" spans="1:5" hidden="1" x14ac:dyDescent="0.3">
      <c r="A5473" t="s">
        <v>557</v>
      </c>
      <c r="B5473" t="s">
        <v>715</v>
      </c>
      <c r="C5473" t="s">
        <v>621</v>
      </c>
      <c r="D5473" s="230">
        <v>0</v>
      </c>
      <c r="E5473" t="s">
        <v>716</v>
      </c>
    </row>
    <row r="5474" spans="1:5" hidden="1" x14ac:dyDescent="0.3">
      <c r="A5474" t="s">
        <v>557</v>
      </c>
      <c r="B5474" t="s">
        <v>715</v>
      </c>
      <c r="C5474" t="s">
        <v>622</v>
      </c>
      <c r="D5474" s="230">
        <v>0</v>
      </c>
      <c r="E5474" t="s">
        <v>716</v>
      </c>
    </row>
    <row r="5475" spans="1:5" hidden="1" x14ac:dyDescent="0.3">
      <c r="A5475" t="s">
        <v>557</v>
      </c>
      <c r="B5475" t="s">
        <v>715</v>
      </c>
      <c r="C5475" t="s">
        <v>623</v>
      </c>
      <c r="D5475" s="230">
        <v>0</v>
      </c>
      <c r="E5475" t="s">
        <v>716</v>
      </c>
    </row>
    <row r="5476" spans="1:5" hidden="1" x14ac:dyDescent="0.3">
      <c r="A5476" t="s">
        <v>557</v>
      </c>
      <c r="B5476" t="s">
        <v>715</v>
      </c>
      <c r="C5476" t="s">
        <v>624</v>
      </c>
      <c r="D5476" s="230">
        <v>0</v>
      </c>
      <c r="E5476" t="s">
        <v>716</v>
      </c>
    </row>
    <row r="5477" spans="1:5" hidden="1" x14ac:dyDescent="0.3">
      <c r="A5477" t="s">
        <v>557</v>
      </c>
      <c r="B5477" t="s">
        <v>715</v>
      </c>
      <c r="C5477" t="s">
        <v>625</v>
      </c>
      <c r="D5477" s="230">
        <v>0</v>
      </c>
      <c r="E5477" t="s">
        <v>716</v>
      </c>
    </row>
    <row r="5478" spans="1:5" hidden="1" x14ac:dyDescent="0.3">
      <c r="A5478" t="s">
        <v>557</v>
      </c>
      <c r="B5478" t="s">
        <v>715</v>
      </c>
      <c r="C5478" t="s">
        <v>626</v>
      </c>
      <c r="D5478" s="230">
        <v>0</v>
      </c>
      <c r="E5478" t="s">
        <v>716</v>
      </c>
    </row>
    <row r="5479" spans="1:5" hidden="1" x14ac:dyDescent="0.3">
      <c r="A5479" t="s">
        <v>557</v>
      </c>
      <c r="B5479" t="s">
        <v>715</v>
      </c>
      <c r="C5479" t="s">
        <v>627</v>
      </c>
      <c r="D5479" s="230">
        <v>0</v>
      </c>
      <c r="E5479" t="s">
        <v>716</v>
      </c>
    </row>
    <row r="5480" spans="1:5" hidden="1" x14ac:dyDescent="0.3">
      <c r="A5480" t="s">
        <v>557</v>
      </c>
      <c r="B5480" t="s">
        <v>715</v>
      </c>
      <c r="C5480" t="s">
        <v>628</v>
      </c>
      <c r="D5480" s="230">
        <v>0</v>
      </c>
      <c r="E5480" t="s">
        <v>716</v>
      </c>
    </row>
    <row r="5481" spans="1:5" hidden="1" x14ac:dyDescent="0.3">
      <c r="A5481" t="s">
        <v>557</v>
      </c>
      <c r="B5481" t="s">
        <v>715</v>
      </c>
      <c r="C5481" t="s">
        <v>629</v>
      </c>
      <c r="D5481" s="230">
        <v>0</v>
      </c>
      <c r="E5481" t="s">
        <v>716</v>
      </c>
    </row>
    <row r="5482" spans="1:5" hidden="1" x14ac:dyDescent="0.3">
      <c r="A5482" t="s">
        <v>557</v>
      </c>
      <c r="B5482" t="s">
        <v>715</v>
      </c>
      <c r="C5482" t="s">
        <v>630</v>
      </c>
      <c r="D5482" s="230">
        <v>0</v>
      </c>
      <c r="E5482" t="s">
        <v>716</v>
      </c>
    </row>
    <row r="5483" spans="1:5" hidden="1" x14ac:dyDescent="0.3">
      <c r="A5483" t="s">
        <v>557</v>
      </c>
      <c r="B5483" t="s">
        <v>715</v>
      </c>
      <c r="C5483" t="s">
        <v>631</v>
      </c>
      <c r="D5483" s="230">
        <v>0</v>
      </c>
      <c r="E5483" t="s">
        <v>716</v>
      </c>
    </row>
    <row r="5484" spans="1:5" hidden="1" x14ac:dyDescent="0.3">
      <c r="A5484" t="s">
        <v>557</v>
      </c>
      <c r="B5484" t="s">
        <v>715</v>
      </c>
      <c r="C5484" t="s">
        <v>632</v>
      </c>
      <c r="D5484" s="230">
        <v>0</v>
      </c>
      <c r="E5484" t="s">
        <v>716</v>
      </c>
    </row>
    <row r="5485" spans="1:5" hidden="1" x14ac:dyDescent="0.3">
      <c r="A5485" t="s">
        <v>557</v>
      </c>
      <c r="B5485" t="s">
        <v>715</v>
      </c>
      <c r="C5485" t="s">
        <v>633</v>
      </c>
      <c r="D5485" s="230">
        <v>0</v>
      </c>
      <c r="E5485" t="s">
        <v>716</v>
      </c>
    </row>
    <row r="5486" spans="1:5" hidden="1" x14ac:dyDescent="0.3">
      <c r="A5486" t="s">
        <v>557</v>
      </c>
      <c r="B5486" t="s">
        <v>715</v>
      </c>
      <c r="C5486" t="s">
        <v>634</v>
      </c>
      <c r="D5486" s="230">
        <v>0</v>
      </c>
      <c r="E5486" t="s">
        <v>716</v>
      </c>
    </row>
    <row r="5487" spans="1:5" hidden="1" x14ac:dyDescent="0.3">
      <c r="A5487" t="s">
        <v>557</v>
      </c>
      <c r="B5487" t="s">
        <v>715</v>
      </c>
      <c r="C5487" t="s">
        <v>635</v>
      </c>
      <c r="D5487" s="230">
        <v>0</v>
      </c>
      <c r="E5487" t="s">
        <v>716</v>
      </c>
    </row>
    <row r="5488" spans="1:5" hidden="1" x14ac:dyDescent="0.3">
      <c r="A5488" t="s">
        <v>557</v>
      </c>
      <c r="B5488" t="s">
        <v>715</v>
      </c>
      <c r="C5488" t="s">
        <v>636</v>
      </c>
      <c r="D5488" s="230">
        <v>0</v>
      </c>
      <c r="E5488" t="s">
        <v>716</v>
      </c>
    </row>
    <row r="5489" spans="1:5" hidden="1" x14ac:dyDescent="0.3">
      <c r="A5489" t="s">
        <v>557</v>
      </c>
      <c r="B5489" t="s">
        <v>715</v>
      </c>
      <c r="C5489" t="s">
        <v>637</v>
      </c>
      <c r="D5489" s="230">
        <v>0</v>
      </c>
      <c r="E5489" t="s">
        <v>716</v>
      </c>
    </row>
    <row r="5490" spans="1:5" hidden="1" x14ac:dyDescent="0.3">
      <c r="A5490" t="s">
        <v>557</v>
      </c>
      <c r="B5490" t="s">
        <v>715</v>
      </c>
      <c r="C5490" t="s">
        <v>638</v>
      </c>
      <c r="D5490" s="230">
        <v>0</v>
      </c>
      <c r="E5490" t="s">
        <v>716</v>
      </c>
    </row>
    <row r="5491" spans="1:5" hidden="1" x14ac:dyDescent="0.3">
      <c r="A5491" t="s">
        <v>557</v>
      </c>
      <c r="B5491" t="s">
        <v>715</v>
      </c>
      <c r="C5491" t="s">
        <v>639</v>
      </c>
      <c r="D5491" s="230">
        <v>0</v>
      </c>
      <c r="E5491" t="s">
        <v>716</v>
      </c>
    </row>
    <row r="5492" spans="1:5" hidden="1" x14ac:dyDescent="0.3">
      <c r="A5492" t="s">
        <v>557</v>
      </c>
      <c r="B5492" t="s">
        <v>715</v>
      </c>
      <c r="C5492" t="s">
        <v>640</v>
      </c>
      <c r="D5492" s="230">
        <v>0</v>
      </c>
      <c r="E5492" t="s">
        <v>716</v>
      </c>
    </row>
    <row r="5493" spans="1:5" hidden="1" x14ac:dyDescent="0.3">
      <c r="A5493" t="s">
        <v>557</v>
      </c>
      <c r="B5493" t="s">
        <v>715</v>
      </c>
      <c r="C5493" t="s">
        <v>641</v>
      </c>
      <c r="D5493" s="230">
        <v>0</v>
      </c>
      <c r="E5493" t="s">
        <v>716</v>
      </c>
    </row>
    <row r="5494" spans="1:5" hidden="1" x14ac:dyDescent="0.3">
      <c r="A5494" t="s">
        <v>557</v>
      </c>
      <c r="B5494" t="s">
        <v>715</v>
      </c>
      <c r="C5494" t="s">
        <v>642</v>
      </c>
      <c r="D5494" s="230">
        <v>0</v>
      </c>
      <c r="E5494" t="s">
        <v>716</v>
      </c>
    </row>
    <row r="5495" spans="1:5" hidden="1" x14ac:dyDescent="0.3">
      <c r="A5495" t="s">
        <v>557</v>
      </c>
      <c r="B5495" t="s">
        <v>715</v>
      </c>
      <c r="C5495" t="s">
        <v>643</v>
      </c>
      <c r="D5495" s="230">
        <v>0</v>
      </c>
      <c r="E5495" t="s">
        <v>716</v>
      </c>
    </row>
    <row r="5496" spans="1:5" hidden="1" x14ac:dyDescent="0.3">
      <c r="A5496" t="s">
        <v>557</v>
      </c>
      <c r="B5496" t="s">
        <v>715</v>
      </c>
      <c r="C5496" t="s">
        <v>644</v>
      </c>
      <c r="D5496" s="230">
        <v>0</v>
      </c>
      <c r="E5496" t="s">
        <v>716</v>
      </c>
    </row>
    <row r="5497" spans="1:5" hidden="1" x14ac:dyDescent="0.3">
      <c r="A5497" t="s">
        <v>557</v>
      </c>
      <c r="B5497" t="s">
        <v>715</v>
      </c>
      <c r="C5497" t="s">
        <v>645</v>
      </c>
      <c r="D5497" s="230">
        <v>0</v>
      </c>
      <c r="E5497" t="s">
        <v>716</v>
      </c>
    </row>
    <row r="5498" spans="1:5" hidden="1" x14ac:dyDescent="0.3">
      <c r="A5498" t="s">
        <v>557</v>
      </c>
      <c r="B5498" t="s">
        <v>715</v>
      </c>
      <c r="C5498" t="s">
        <v>646</v>
      </c>
      <c r="D5498" s="230">
        <v>0</v>
      </c>
      <c r="E5498" t="s">
        <v>716</v>
      </c>
    </row>
    <row r="5499" spans="1:5" hidden="1" x14ac:dyDescent="0.3">
      <c r="A5499" t="s">
        <v>557</v>
      </c>
      <c r="B5499" t="s">
        <v>715</v>
      </c>
      <c r="C5499" t="s">
        <v>647</v>
      </c>
      <c r="D5499" s="230">
        <v>0</v>
      </c>
      <c r="E5499" t="s">
        <v>716</v>
      </c>
    </row>
    <row r="5500" spans="1:5" hidden="1" x14ac:dyDescent="0.3">
      <c r="A5500" t="s">
        <v>557</v>
      </c>
      <c r="B5500" t="s">
        <v>715</v>
      </c>
      <c r="C5500" t="s">
        <v>648</v>
      </c>
      <c r="D5500" s="230">
        <v>0</v>
      </c>
      <c r="E5500" t="s">
        <v>716</v>
      </c>
    </row>
    <row r="5501" spans="1:5" hidden="1" x14ac:dyDescent="0.3">
      <c r="A5501" t="s">
        <v>557</v>
      </c>
      <c r="B5501" t="s">
        <v>715</v>
      </c>
      <c r="C5501" t="s">
        <v>649</v>
      </c>
      <c r="D5501" s="230">
        <v>0</v>
      </c>
      <c r="E5501" t="s">
        <v>716</v>
      </c>
    </row>
    <row r="5502" spans="1:5" hidden="1" x14ac:dyDescent="0.3">
      <c r="A5502" t="s">
        <v>557</v>
      </c>
      <c r="B5502" t="s">
        <v>715</v>
      </c>
      <c r="C5502" t="s">
        <v>650</v>
      </c>
      <c r="D5502" s="230">
        <v>0</v>
      </c>
      <c r="E5502" t="s">
        <v>716</v>
      </c>
    </row>
    <row r="5503" spans="1:5" hidden="1" x14ac:dyDescent="0.3">
      <c r="A5503" t="s">
        <v>557</v>
      </c>
      <c r="B5503" t="s">
        <v>715</v>
      </c>
      <c r="C5503" t="s">
        <v>651</v>
      </c>
      <c r="D5503" s="230">
        <v>0</v>
      </c>
      <c r="E5503" t="s">
        <v>716</v>
      </c>
    </row>
    <row r="5504" spans="1:5" hidden="1" x14ac:dyDescent="0.3">
      <c r="A5504" t="s">
        <v>557</v>
      </c>
      <c r="B5504" t="s">
        <v>715</v>
      </c>
      <c r="C5504" t="s">
        <v>652</v>
      </c>
      <c r="D5504" s="230">
        <v>0</v>
      </c>
      <c r="E5504" t="s">
        <v>716</v>
      </c>
    </row>
    <row r="5505" spans="1:5" hidden="1" x14ac:dyDescent="0.3">
      <c r="A5505" t="s">
        <v>557</v>
      </c>
      <c r="B5505" t="s">
        <v>715</v>
      </c>
      <c r="C5505" t="s">
        <v>653</v>
      </c>
      <c r="D5505" s="230">
        <v>0</v>
      </c>
      <c r="E5505" t="s">
        <v>716</v>
      </c>
    </row>
    <row r="5506" spans="1:5" hidden="1" x14ac:dyDescent="0.3">
      <c r="A5506" t="s">
        <v>557</v>
      </c>
      <c r="B5506" t="s">
        <v>715</v>
      </c>
      <c r="C5506" t="s">
        <v>654</v>
      </c>
      <c r="D5506" s="230">
        <v>0</v>
      </c>
      <c r="E5506" t="s">
        <v>716</v>
      </c>
    </row>
    <row r="5507" spans="1:5" hidden="1" x14ac:dyDescent="0.3">
      <c r="A5507" t="s">
        <v>557</v>
      </c>
      <c r="B5507" t="s">
        <v>715</v>
      </c>
      <c r="C5507" t="s">
        <v>655</v>
      </c>
      <c r="D5507" s="230">
        <v>0</v>
      </c>
      <c r="E5507" t="s">
        <v>716</v>
      </c>
    </row>
    <row r="5508" spans="1:5" hidden="1" x14ac:dyDescent="0.3">
      <c r="A5508" t="s">
        <v>557</v>
      </c>
      <c r="B5508" t="s">
        <v>715</v>
      </c>
      <c r="C5508" t="s">
        <v>656</v>
      </c>
      <c r="D5508" s="230">
        <v>0</v>
      </c>
      <c r="E5508" t="s">
        <v>716</v>
      </c>
    </row>
    <row r="5509" spans="1:5" hidden="1" x14ac:dyDescent="0.3">
      <c r="A5509" t="s">
        <v>557</v>
      </c>
      <c r="B5509" t="s">
        <v>715</v>
      </c>
      <c r="C5509" t="s">
        <v>657</v>
      </c>
      <c r="D5509" s="230">
        <v>0</v>
      </c>
      <c r="E5509" t="s">
        <v>716</v>
      </c>
    </row>
    <row r="5510" spans="1:5" hidden="1" x14ac:dyDescent="0.3">
      <c r="A5510" t="s">
        <v>557</v>
      </c>
      <c r="B5510" t="s">
        <v>715</v>
      </c>
      <c r="C5510" t="s">
        <v>658</v>
      </c>
      <c r="D5510" s="230">
        <v>0</v>
      </c>
      <c r="E5510" t="s">
        <v>716</v>
      </c>
    </row>
    <row r="5511" spans="1:5" hidden="1" x14ac:dyDescent="0.3">
      <c r="A5511" t="s">
        <v>557</v>
      </c>
      <c r="B5511" t="s">
        <v>715</v>
      </c>
      <c r="C5511" t="s">
        <v>659</v>
      </c>
      <c r="D5511" s="230">
        <v>0</v>
      </c>
      <c r="E5511" t="s">
        <v>716</v>
      </c>
    </row>
    <row r="5512" spans="1:5" hidden="1" x14ac:dyDescent="0.3">
      <c r="A5512" t="s">
        <v>557</v>
      </c>
      <c r="B5512" t="s">
        <v>715</v>
      </c>
      <c r="C5512" t="s">
        <v>660</v>
      </c>
      <c r="D5512" s="230">
        <v>0</v>
      </c>
      <c r="E5512" t="s">
        <v>716</v>
      </c>
    </row>
    <row r="5513" spans="1:5" hidden="1" x14ac:dyDescent="0.3">
      <c r="A5513" t="s">
        <v>557</v>
      </c>
      <c r="B5513" t="s">
        <v>715</v>
      </c>
      <c r="C5513" t="s">
        <v>661</v>
      </c>
      <c r="D5513" s="230">
        <v>0</v>
      </c>
      <c r="E5513" t="s">
        <v>716</v>
      </c>
    </row>
    <row r="5514" spans="1:5" hidden="1" x14ac:dyDescent="0.3">
      <c r="A5514" t="s">
        <v>557</v>
      </c>
      <c r="B5514" t="s">
        <v>715</v>
      </c>
      <c r="C5514" t="s">
        <v>662</v>
      </c>
      <c r="D5514" s="230">
        <v>0</v>
      </c>
      <c r="E5514" t="s">
        <v>716</v>
      </c>
    </row>
    <row r="5515" spans="1:5" hidden="1" x14ac:dyDescent="0.3">
      <c r="A5515" t="s">
        <v>557</v>
      </c>
      <c r="B5515" t="s">
        <v>715</v>
      </c>
      <c r="C5515" t="s">
        <v>663</v>
      </c>
      <c r="D5515" s="230">
        <v>0</v>
      </c>
      <c r="E5515" t="s">
        <v>716</v>
      </c>
    </row>
    <row r="5516" spans="1:5" hidden="1" x14ac:dyDescent="0.3">
      <c r="A5516" t="s">
        <v>557</v>
      </c>
      <c r="B5516" t="s">
        <v>715</v>
      </c>
      <c r="C5516" t="s">
        <v>664</v>
      </c>
      <c r="D5516" s="230">
        <v>0</v>
      </c>
      <c r="E5516" t="s">
        <v>716</v>
      </c>
    </row>
    <row r="5517" spans="1:5" hidden="1" x14ac:dyDescent="0.3">
      <c r="A5517" t="s">
        <v>557</v>
      </c>
      <c r="B5517" t="s">
        <v>715</v>
      </c>
      <c r="C5517" t="s">
        <v>665</v>
      </c>
      <c r="D5517" s="230">
        <v>0</v>
      </c>
      <c r="E5517" t="s">
        <v>716</v>
      </c>
    </row>
    <row r="5518" spans="1:5" hidden="1" x14ac:dyDescent="0.3">
      <c r="A5518" t="s">
        <v>557</v>
      </c>
      <c r="B5518" t="s">
        <v>715</v>
      </c>
      <c r="C5518" t="s">
        <v>666</v>
      </c>
      <c r="D5518" s="230">
        <v>0</v>
      </c>
      <c r="E5518" t="s">
        <v>716</v>
      </c>
    </row>
    <row r="5519" spans="1:5" hidden="1" x14ac:dyDescent="0.3">
      <c r="A5519" t="s">
        <v>557</v>
      </c>
      <c r="B5519" t="s">
        <v>715</v>
      </c>
      <c r="C5519" t="s">
        <v>667</v>
      </c>
      <c r="D5519" s="230">
        <v>0</v>
      </c>
      <c r="E5519" t="s">
        <v>716</v>
      </c>
    </row>
    <row r="5520" spans="1:5" hidden="1" x14ac:dyDescent="0.3">
      <c r="A5520" t="s">
        <v>557</v>
      </c>
      <c r="B5520" t="s">
        <v>715</v>
      </c>
      <c r="C5520" t="s">
        <v>668</v>
      </c>
      <c r="D5520" s="230">
        <v>0</v>
      </c>
      <c r="E5520" t="s">
        <v>716</v>
      </c>
    </row>
    <row r="5521" spans="1:5" hidden="1" x14ac:dyDescent="0.3">
      <c r="A5521" t="s">
        <v>557</v>
      </c>
      <c r="B5521" t="s">
        <v>715</v>
      </c>
      <c r="C5521" t="s">
        <v>669</v>
      </c>
      <c r="D5521" s="230">
        <v>0</v>
      </c>
      <c r="E5521" t="s">
        <v>716</v>
      </c>
    </row>
    <row r="5522" spans="1:5" hidden="1" x14ac:dyDescent="0.3">
      <c r="A5522" t="s">
        <v>557</v>
      </c>
      <c r="B5522" t="s">
        <v>715</v>
      </c>
      <c r="C5522" t="s">
        <v>670</v>
      </c>
      <c r="D5522" s="230">
        <v>0</v>
      </c>
      <c r="E5522" t="s">
        <v>716</v>
      </c>
    </row>
    <row r="5523" spans="1:5" hidden="1" x14ac:dyDescent="0.3">
      <c r="A5523" t="s">
        <v>557</v>
      </c>
      <c r="B5523" t="s">
        <v>715</v>
      </c>
      <c r="C5523" t="s">
        <v>671</v>
      </c>
      <c r="D5523" s="230">
        <v>0</v>
      </c>
      <c r="E5523" t="s">
        <v>716</v>
      </c>
    </row>
    <row r="5524" spans="1:5" hidden="1" x14ac:dyDescent="0.3">
      <c r="A5524" t="s">
        <v>557</v>
      </c>
      <c r="B5524" t="s">
        <v>715</v>
      </c>
      <c r="C5524" t="s">
        <v>672</v>
      </c>
      <c r="D5524" s="230">
        <v>0</v>
      </c>
      <c r="E5524" t="s">
        <v>716</v>
      </c>
    </row>
    <row r="5525" spans="1:5" hidden="1" x14ac:dyDescent="0.3">
      <c r="A5525" t="s">
        <v>557</v>
      </c>
      <c r="B5525" t="s">
        <v>715</v>
      </c>
      <c r="C5525" t="s">
        <v>673</v>
      </c>
      <c r="D5525" s="230">
        <v>0</v>
      </c>
      <c r="E5525" t="s">
        <v>716</v>
      </c>
    </row>
    <row r="5526" spans="1:5" hidden="1" x14ac:dyDescent="0.3">
      <c r="A5526" t="s">
        <v>557</v>
      </c>
      <c r="B5526" t="s">
        <v>715</v>
      </c>
      <c r="C5526" t="s">
        <v>674</v>
      </c>
      <c r="D5526" s="230">
        <v>0</v>
      </c>
      <c r="E5526" t="s">
        <v>716</v>
      </c>
    </row>
    <row r="5527" spans="1:5" hidden="1" x14ac:dyDescent="0.3">
      <c r="A5527" t="s">
        <v>557</v>
      </c>
      <c r="B5527" t="s">
        <v>715</v>
      </c>
      <c r="C5527" t="s">
        <v>675</v>
      </c>
      <c r="D5527" s="230">
        <v>0</v>
      </c>
      <c r="E5527" t="s">
        <v>716</v>
      </c>
    </row>
    <row r="5528" spans="1:5" hidden="1" x14ac:dyDescent="0.3">
      <c r="A5528" t="s">
        <v>557</v>
      </c>
      <c r="B5528" t="s">
        <v>715</v>
      </c>
      <c r="C5528" t="s">
        <v>676</v>
      </c>
      <c r="D5528" s="230">
        <v>0</v>
      </c>
      <c r="E5528" t="s">
        <v>716</v>
      </c>
    </row>
    <row r="5529" spans="1:5" hidden="1" x14ac:dyDescent="0.3">
      <c r="A5529" t="s">
        <v>557</v>
      </c>
      <c r="B5529" t="s">
        <v>715</v>
      </c>
      <c r="C5529" t="s">
        <v>677</v>
      </c>
      <c r="D5529" s="230">
        <v>0</v>
      </c>
      <c r="E5529" t="s">
        <v>716</v>
      </c>
    </row>
    <row r="5530" spans="1:5" hidden="1" x14ac:dyDescent="0.3">
      <c r="A5530" t="s">
        <v>557</v>
      </c>
      <c r="B5530" t="s">
        <v>715</v>
      </c>
      <c r="C5530" t="s">
        <v>201</v>
      </c>
      <c r="D5530" s="230">
        <v>-7265.5</v>
      </c>
      <c r="E5530" t="s">
        <v>716</v>
      </c>
    </row>
    <row r="5531" spans="1:5" hidden="1" x14ac:dyDescent="0.3">
      <c r="A5531" t="s">
        <v>557</v>
      </c>
      <c r="B5531" t="s">
        <v>715</v>
      </c>
      <c r="C5531" t="s">
        <v>203</v>
      </c>
      <c r="D5531" s="230">
        <v>-7265.5</v>
      </c>
      <c r="E5531" t="s">
        <v>716</v>
      </c>
    </row>
    <row r="5532" spans="1:5" hidden="1" x14ac:dyDescent="0.3">
      <c r="A5532" t="s">
        <v>557</v>
      </c>
      <c r="B5532" t="s">
        <v>715</v>
      </c>
      <c r="C5532" t="s">
        <v>678</v>
      </c>
      <c r="D5532" s="230">
        <v>3632.75</v>
      </c>
      <c r="E5532" t="s">
        <v>716</v>
      </c>
    </row>
    <row r="5533" spans="1:5" hidden="1" x14ac:dyDescent="0.3">
      <c r="A5533" t="s">
        <v>557</v>
      </c>
      <c r="B5533" t="s">
        <v>715</v>
      </c>
      <c r="C5533" t="s">
        <v>205</v>
      </c>
      <c r="D5533" s="230">
        <v>-18625.88</v>
      </c>
      <c r="E5533" t="s">
        <v>716</v>
      </c>
    </row>
    <row r="5534" spans="1:5" hidden="1" x14ac:dyDescent="0.3">
      <c r="A5534" t="s">
        <v>557</v>
      </c>
      <c r="B5534" t="s">
        <v>715</v>
      </c>
      <c r="C5534" t="s">
        <v>679</v>
      </c>
      <c r="D5534" s="230">
        <v>-4827.17</v>
      </c>
      <c r="E5534" t="s">
        <v>716</v>
      </c>
    </row>
    <row r="5535" spans="1:5" hidden="1" x14ac:dyDescent="0.3">
      <c r="A5535" t="s">
        <v>557</v>
      </c>
      <c r="B5535" t="s">
        <v>715</v>
      </c>
      <c r="C5535" t="s">
        <v>680</v>
      </c>
      <c r="D5535" s="230">
        <v>0</v>
      </c>
      <c r="E5535" t="s">
        <v>716</v>
      </c>
    </row>
    <row r="5536" spans="1:5" hidden="1" x14ac:dyDescent="0.3">
      <c r="A5536" t="s">
        <v>557</v>
      </c>
      <c r="B5536" t="s">
        <v>715</v>
      </c>
      <c r="C5536" t="s">
        <v>681</v>
      </c>
      <c r="D5536" s="230">
        <v>0</v>
      </c>
      <c r="E5536" t="s">
        <v>716</v>
      </c>
    </row>
    <row r="5537" spans="1:5" hidden="1" x14ac:dyDescent="0.3">
      <c r="A5537" t="s">
        <v>557</v>
      </c>
      <c r="B5537" t="s">
        <v>715</v>
      </c>
      <c r="C5537" t="s">
        <v>682</v>
      </c>
      <c r="D5537" s="230">
        <v>-5111.6400000000003</v>
      </c>
      <c r="E5537" t="s">
        <v>716</v>
      </c>
    </row>
    <row r="5538" spans="1:5" hidden="1" x14ac:dyDescent="0.3">
      <c r="A5538" t="s">
        <v>557</v>
      </c>
      <c r="B5538" t="s">
        <v>715</v>
      </c>
      <c r="C5538" t="s">
        <v>683</v>
      </c>
      <c r="D5538" s="230">
        <v>-1532.27</v>
      </c>
      <c r="E5538" t="s">
        <v>716</v>
      </c>
    </row>
    <row r="5539" spans="1:5" hidden="1" x14ac:dyDescent="0.3">
      <c r="A5539" t="s">
        <v>557</v>
      </c>
      <c r="B5539" t="s">
        <v>715</v>
      </c>
      <c r="C5539" t="s">
        <v>684</v>
      </c>
      <c r="D5539" s="230">
        <v>-1722.27</v>
      </c>
      <c r="E5539" t="s">
        <v>716</v>
      </c>
    </row>
    <row r="5540" spans="1:5" hidden="1" x14ac:dyDescent="0.3">
      <c r="A5540" t="s">
        <v>557</v>
      </c>
      <c r="B5540" t="s">
        <v>715</v>
      </c>
      <c r="C5540" t="s">
        <v>685</v>
      </c>
      <c r="D5540" s="230">
        <v>-514.84</v>
      </c>
      <c r="E5540" t="s">
        <v>716</v>
      </c>
    </row>
    <row r="5541" spans="1:5" hidden="1" x14ac:dyDescent="0.3">
      <c r="A5541" t="s">
        <v>557</v>
      </c>
      <c r="B5541" t="s">
        <v>715</v>
      </c>
      <c r="C5541" t="s">
        <v>686</v>
      </c>
      <c r="D5541" s="230">
        <v>0</v>
      </c>
      <c r="E5541" t="s">
        <v>716</v>
      </c>
    </row>
    <row r="5542" spans="1:5" hidden="1" x14ac:dyDescent="0.3">
      <c r="A5542" t="s">
        <v>557</v>
      </c>
      <c r="B5542" t="s">
        <v>715</v>
      </c>
      <c r="C5542" t="s">
        <v>687</v>
      </c>
      <c r="D5542" s="230">
        <v>0</v>
      </c>
      <c r="E5542" t="s">
        <v>716</v>
      </c>
    </row>
    <row r="5543" spans="1:5" hidden="1" x14ac:dyDescent="0.3">
      <c r="A5543" t="s">
        <v>557</v>
      </c>
      <c r="B5543" t="s">
        <v>715</v>
      </c>
      <c r="C5543" t="s">
        <v>688</v>
      </c>
      <c r="D5543" s="230">
        <v>0</v>
      </c>
      <c r="E5543" t="s">
        <v>716</v>
      </c>
    </row>
    <row r="5544" spans="1:5" hidden="1" x14ac:dyDescent="0.3">
      <c r="A5544" t="s">
        <v>557</v>
      </c>
      <c r="B5544" t="s">
        <v>715</v>
      </c>
      <c r="C5544" t="s">
        <v>689</v>
      </c>
      <c r="D5544" s="230">
        <v>-113.3</v>
      </c>
      <c r="E5544" t="s">
        <v>716</v>
      </c>
    </row>
    <row r="5545" spans="1:5" hidden="1" x14ac:dyDescent="0.3">
      <c r="A5545" t="s">
        <v>557</v>
      </c>
      <c r="B5545" t="s">
        <v>715</v>
      </c>
      <c r="C5545" t="s">
        <v>690</v>
      </c>
      <c r="D5545" s="230">
        <v>-2000</v>
      </c>
      <c r="E5545" t="s">
        <v>716</v>
      </c>
    </row>
    <row r="5546" spans="1:5" hidden="1" x14ac:dyDescent="0.3">
      <c r="A5546" t="s">
        <v>557</v>
      </c>
      <c r="B5546" t="s">
        <v>715</v>
      </c>
      <c r="C5546" t="s">
        <v>691</v>
      </c>
      <c r="D5546" s="230">
        <v>0</v>
      </c>
      <c r="E5546" t="s">
        <v>716</v>
      </c>
    </row>
    <row r="5547" spans="1:5" hidden="1" x14ac:dyDescent="0.3">
      <c r="A5547" t="s">
        <v>557</v>
      </c>
      <c r="B5547" t="s">
        <v>715</v>
      </c>
      <c r="C5547" t="s">
        <v>692</v>
      </c>
      <c r="D5547" s="230">
        <v>-2651.39</v>
      </c>
      <c r="E5547" t="s">
        <v>716</v>
      </c>
    </row>
    <row r="5548" spans="1:5" hidden="1" x14ac:dyDescent="0.3">
      <c r="A5548" t="s">
        <v>557</v>
      </c>
      <c r="B5548" t="s">
        <v>715</v>
      </c>
      <c r="C5548" t="s">
        <v>693</v>
      </c>
      <c r="D5548" s="230">
        <v>-153</v>
      </c>
      <c r="E5548" t="s">
        <v>716</v>
      </c>
    </row>
    <row r="5549" spans="1:5" hidden="1" x14ac:dyDescent="0.3">
      <c r="A5549" t="s">
        <v>557</v>
      </c>
      <c r="B5549" t="s">
        <v>715</v>
      </c>
      <c r="C5549" t="s">
        <v>694</v>
      </c>
      <c r="D5549" s="230">
        <v>0</v>
      </c>
      <c r="E5549" t="s">
        <v>716</v>
      </c>
    </row>
    <row r="5550" spans="1:5" hidden="1" x14ac:dyDescent="0.3">
      <c r="A5550" t="s">
        <v>557</v>
      </c>
      <c r="B5550" t="s">
        <v>715</v>
      </c>
      <c r="C5550" t="s">
        <v>238</v>
      </c>
      <c r="D5550" s="230">
        <v>-3133.38</v>
      </c>
      <c r="E5550" t="s">
        <v>716</v>
      </c>
    </row>
    <row r="5551" spans="1:5" hidden="1" x14ac:dyDescent="0.3">
      <c r="A5551" t="s">
        <v>557</v>
      </c>
      <c r="B5551" t="s">
        <v>715</v>
      </c>
      <c r="C5551" t="s">
        <v>695</v>
      </c>
      <c r="D5551" s="230">
        <v>-3070.4</v>
      </c>
      <c r="E5551" t="s">
        <v>716</v>
      </c>
    </row>
    <row r="5552" spans="1:5" hidden="1" x14ac:dyDescent="0.3">
      <c r="A5552" t="s">
        <v>557</v>
      </c>
      <c r="B5552" t="s">
        <v>715</v>
      </c>
      <c r="C5552" t="s">
        <v>696</v>
      </c>
      <c r="D5552" s="230">
        <v>0</v>
      </c>
      <c r="E5552" t="s">
        <v>716</v>
      </c>
    </row>
    <row r="5553" spans="1:5" hidden="1" x14ac:dyDescent="0.3">
      <c r="A5553" t="s">
        <v>557</v>
      </c>
      <c r="B5553" t="s">
        <v>715</v>
      </c>
      <c r="C5553" t="s">
        <v>697</v>
      </c>
      <c r="D5553" s="230">
        <v>0</v>
      </c>
      <c r="E5553" t="s">
        <v>716</v>
      </c>
    </row>
    <row r="5554" spans="1:5" hidden="1" x14ac:dyDescent="0.3">
      <c r="A5554" t="s">
        <v>557</v>
      </c>
      <c r="B5554" t="s">
        <v>715</v>
      </c>
      <c r="C5554" t="s">
        <v>698</v>
      </c>
      <c r="D5554" s="230">
        <v>-62.98</v>
      </c>
      <c r="E5554" t="s">
        <v>716</v>
      </c>
    </row>
    <row r="5555" spans="1:5" hidden="1" x14ac:dyDescent="0.3">
      <c r="A5555" t="s">
        <v>557</v>
      </c>
      <c r="B5555" t="s">
        <v>715</v>
      </c>
      <c r="C5555" t="s">
        <v>699</v>
      </c>
      <c r="D5555" s="230">
        <v>0</v>
      </c>
      <c r="E5555" t="s">
        <v>716</v>
      </c>
    </row>
    <row r="5556" spans="1:5" hidden="1" x14ac:dyDescent="0.3">
      <c r="A5556" t="s">
        <v>557</v>
      </c>
      <c r="B5556" t="s">
        <v>715</v>
      </c>
      <c r="C5556" t="s">
        <v>245</v>
      </c>
      <c r="D5556" s="230">
        <v>-7516.94</v>
      </c>
      <c r="E5556" t="s">
        <v>716</v>
      </c>
    </row>
    <row r="5557" spans="1:5" hidden="1" x14ac:dyDescent="0.3">
      <c r="A5557" t="s">
        <v>557</v>
      </c>
      <c r="B5557" t="s">
        <v>715</v>
      </c>
      <c r="C5557" t="s">
        <v>700</v>
      </c>
      <c r="D5557" s="230">
        <v>-112</v>
      </c>
      <c r="E5557" t="s">
        <v>716</v>
      </c>
    </row>
    <row r="5558" spans="1:5" hidden="1" x14ac:dyDescent="0.3">
      <c r="A5558" t="s">
        <v>557</v>
      </c>
      <c r="B5558" t="s">
        <v>715</v>
      </c>
      <c r="C5558" t="s">
        <v>701</v>
      </c>
      <c r="D5558" s="230">
        <v>-310.95999999999998</v>
      </c>
      <c r="E5558" t="s">
        <v>716</v>
      </c>
    </row>
    <row r="5559" spans="1:5" hidden="1" x14ac:dyDescent="0.3">
      <c r="A5559" t="s">
        <v>557</v>
      </c>
      <c r="B5559" t="s">
        <v>715</v>
      </c>
      <c r="C5559" t="s">
        <v>702</v>
      </c>
      <c r="D5559" s="230">
        <v>0</v>
      </c>
      <c r="E5559" t="s">
        <v>716</v>
      </c>
    </row>
    <row r="5560" spans="1:5" hidden="1" x14ac:dyDescent="0.3">
      <c r="A5560" t="s">
        <v>557</v>
      </c>
      <c r="B5560" t="s">
        <v>715</v>
      </c>
      <c r="C5560" t="s">
        <v>703</v>
      </c>
      <c r="D5560" s="230">
        <v>0</v>
      </c>
      <c r="E5560" t="s">
        <v>716</v>
      </c>
    </row>
    <row r="5561" spans="1:5" hidden="1" x14ac:dyDescent="0.3">
      <c r="A5561" t="s">
        <v>557</v>
      </c>
      <c r="B5561" t="s">
        <v>715</v>
      </c>
      <c r="C5561" t="s">
        <v>704</v>
      </c>
      <c r="D5561" s="230">
        <v>0</v>
      </c>
      <c r="E5561" t="s">
        <v>716</v>
      </c>
    </row>
    <row r="5562" spans="1:5" hidden="1" x14ac:dyDescent="0.3">
      <c r="A5562" t="s">
        <v>557</v>
      </c>
      <c r="B5562" t="s">
        <v>715</v>
      </c>
      <c r="C5562" t="s">
        <v>705</v>
      </c>
      <c r="D5562" s="230">
        <v>-7093.98</v>
      </c>
      <c r="E5562" t="s">
        <v>716</v>
      </c>
    </row>
    <row r="5563" spans="1:5" hidden="1" x14ac:dyDescent="0.3">
      <c r="A5563" t="s">
        <v>557</v>
      </c>
      <c r="B5563" t="s">
        <v>715</v>
      </c>
      <c r="C5563" t="s">
        <v>706</v>
      </c>
      <c r="D5563" s="230">
        <v>0</v>
      </c>
      <c r="E5563" t="s">
        <v>716</v>
      </c>
    </row>
    <row r="5564" spans="1:5" hidden="1" x14ac:dyDescent="0.3">
      <c r="A5564" t="s">
        <v>557</v>
      </c>
      <c r="B5564" t="s">
        <v>715</v>
      </c>
      <c r="C5564" t="s">
        <v>254</v>
      </c>
      <c r="D5564" s="230">
        <v>-0.42</v>
      </c>
      <c r="E5564" t="s">
        <v>716</v>
      </c>
    </row>
    <row r="5565" spans="1:5" hidden="1" x14ac:dyDescent="0.3">
      <c r="A5565" t="s">
        <v>557</v>
      </c>
      <c r="B5565" t="s">
        <v>715</v>
      </c>
      <c r="C5565" t="s">
        <v>255</v>
      </c>
      <c r="D5565" s="230">
        <v>-0.42</v>
      </c>
      <c r="E5565" t="s">
        <v>716</v>
      </c>
    </row>
    <row r="5566" spans="1:5" hidden="1" x14ac:dyDescent="0.3">
      <c r="A5566" t="s">
        <v>557</v>
      </c>
      <c r="B5566" t="s">
        <v>715</v>
      </c>
      <c r="C5566" t="s">
        <v>256</v>
      </c>
      <c r="D5566" s="230">
        <v>-51752.37</v>
      </c>
      <c r="E5566" t="s">
        <v>716</v>
      </c>
    </row>
    <row r="5567" spans="1:5" hidden="1" x14ac:dyDescent="0.3">
      <c r="A5567" t="s">
        <v>557</v>
      </c>
      <c r="B5567" t="s">
        <v>715</v>
      </c>
      <c r="C5567" t="s">
        <v>257</v>
      </c>
      <c r="D5567" s="230">
        <v>-49305.7</v>
      </c>
      <c r="E5567" t="s">
        <v>716</v>
      </c>
    </row>
    <row r="5568" spans="1:5" hidden="1" x14ac:dyDescent="0.3">
      <c r="A5568" t="s">
        <v>557</v>
      </c>
      <c r="B5568" t="s">
        <v>715</v>
      </c>
      <c r="C5568" t="s">
        <v>258</v>
      </c>
      <c r="D5568" s="230">
        <v>0</v>
      </c>
      <c r="E5568" t="s">
        <v>716</v>
      </c>
    </row>
    <row r="5569" spans="1:5" hidden="1" x14ac:dyDescent="0.3">
      <c r="A5569" t="s">
        <v>557</v>
      </c>
      <c r="B5569" t="s">
        <v>715</v>
      </c>
      <c r="C5569" t="s">
        <v>259</v>
      </c>
      <c r="D5569" s="230">
        <v>-2446.67</v>
      </c>
      <c r="E5569" t="s">
        <v>716</v>
      </c>
    </row>
    <row r="5570" spans="1:5" hidden="1" x14ac:dyDescent="0.3">
      <c r="A5570" t="s">
        <v>557</v>
      </c>
      <c r="B5570" t="s">
        <v>715</v>
      </c>
      <c r="C5570" t="s">
        <v>260</v>
      </c>
      <c r="D5570" s="230">
        <v>0</v>
      </c>
      <c r="E5570" t="s">
        <v>716</v>
      </c>
    </row>
    <row r="5571" spans="1:5" hidden="1" x14ac:dyDescent="0.3">
      <c r="A5571" t="s">
        <v>557</v>
      </c>
      <c r="B5571" t="s">
        <v>715</v>
      </c>
      <c r="C5571" t="s">
        <v>261</v>
      </c>
      <c r="D5571" s="230">
        <v>0</v>
      </c>
      <c r="E5571" t="s">
        <v>716</v>
      </c>
    </row>
    <row r="5572" spans="1:5" hidden="1" x14ac:dyDescent="0.3">
      <c r="A5572" t="s">
        <v>557</v>
      </c>
      <c r="B5572" t="s">
        <v>715</v>
      </c>
      <c r="C5572" t="s">
        <v>262</v>
      </c>
      <c r="D5572" s="230">
        <v>0</v>
      </c>
      <c r="E5572" t="s">
        <v>716</v>
      </c>
    </row>
    <row r="5573" spans="1:5" hidden="1" x14ac:dyDescent="0.3">
      <c r="A5573" t="s">
        <v>557</v>
      </c>
      <c r="B5573" t="s">
        <v>715</v>
      </c>
      <c r="C5573" t="s">
        <v>263</v>
      </c>
      <c r="D5573" s="230">
        <v>0</v>
      </c>
      <c r="E5573" t="s">
        <v>716</v>
      </c>
    </row>
    <row r="5574" spans="1:5" hidden="1" x14ac:dyDescent="0.3">
      <c r="A5574" t="s">
        <v>557</v>
      </c>
      <c r="B5574" t="s">
        <v>715</v>
      </c>
      <c r="C5574" t="s">
        <v>44</v>
      </c>
      <c r="D5574" s="230">
        <v>-0.14000000000000001</v>
      </c>
      <c r="E5574" t="s">
        <v>716</v>
      </c>
    </row>
    <row r="5575" spans="1:5" hidden="1" x14ac:dyDescent="0.3">
      <c r="A5575" t="s">
        <v>557</v>
      </c>
      <c r="B5575" t="s">
        <v>715</v>
      </c>
      <c r="C5575" t="s">
        <v>264</v>
      </c>
      <c r="D5575" s="230">
        <v>-41083.230000000003</v>
      </c>
      <c r="E5575" t="s">
        <v>716</v>
      </c>
    </row>
    <row r="5576" spans="1:5" hidden="1" x14ac:dyDescent="0.3">
      <c r="A5576" t="s">
        <v>557</v>
      </c>
      <c r="B5576" t="s">
        <v>715</v>
      </c>
      <c r="C5576" t="s">
        <v>265</v>
      </c>
      <c r="D5576" s="230">
        <v>-9924.36</v>
      </c>
      <c r="E5576" t="s">
        <v>716</v>
      </c>
    </row>
    <row r="5577" spans="1:5" hidden="1" x14ac:dyDescent="0.3">
      <c r="A5577" t="s">
        <v>557</v>
      </c>
      <c r="B5577" t="s">
        <v>715</v>
      </c>
      <c r="C5577" t="s">
        <v>266</v>
      </c>
      <c r="D5577" s="230">
        <v>-10420.280000000001</v>
      </c>
      <c r="E5577" t="s">
        <v>716</v>
      </c>
    </row>
    <row r="5578" spans="1:5" hidden="1" x14ac:dyDescent="0.3">
      <c r="A5578" t="s">
        <v>557</v>
      </c>
      <c r="B5578" t="s">
        <v>715</v>
      </c>
      <c r="C5578" t="s">
        <v>267</v>
      </c>
      <c r="D5578" s="230">
        <v>-5422.06</v>
      </c>
      <c r="E5578" t="s">
        <v>716</v>
      </c>
    </row>
    <row r="5579" spans="1:5" hidden="1" x14ac:dyDescent="0.3">
      <c r="A5579" t="s">
        <v>557</v>
      </c>
      <c r="B5579" t="s">
        <v>715</v>
      </c>
      <c r="C5579" t="s">
        <v>268</v>
      </c>
      <c r="D5579" s="230">
        <v>-6446.5</v>
      </c>
      <c r="E5579" t="s">
        <v>716</v>
      </c>
    </row>
    <row r="5580" spans="1:5" hidden="1" x14ac:dyDescent="0.3">
      <c r="A5580" t="s">
        <v>557</v>
      </c>
      <c r="B5580" t="s">
        <v>715</v>
      </c>
      <c r="C5580" t="s">
        <v>269</v>
      </c>
      <c r="D5580" s="230">
        <v>0</v>
      </c>
      <c r="E5580" t="s">
        <v>716</v>
      </c>
    </row>
    <row r="5581" spans="1:5" hidden="1" x14ac:dyDescent="0.3">
      <c r="A5581" t="s">
        <v>557</v>
      </c>
      <c r="B5581" t="s">
        <v>715</v>
      </c>
      <c r="C5581" t="s">
        <v>270</v>
      </c>
      <c r="D5581" s="230">
        <v>-500</v>
      </c>
      <c r="E5581" t="s">
        <v>716</v>
      </c>
    </row>
    <row r="5582" spans="1:5" hidden="1" x14ac:dyDescent="0.3">
      <c r="A5582" t="s">
        <v>557</v>
      </c>
      <c r="B5582" t="s">
        <v>715</v>
      </c>
      <c r="C5582" t="s">
        <v>271</v>
      </c>
      <c r="D5582" s="230">
        <v>-1572.44</v>
      </c>
      <c r="E5582" t="s">
        <v>716</v>
      </c>
    </row>
    <row r="5583" spans="1:5" hidden="1" x14ac:dyDescent="0.3">
      <c r="A5583" t="s">
        <v>557</v>
      </c>
      <c r="B5583" t="s">
        <v>715</v>
      </c>
      <c r="C5583" t="s">
        <v>272</v>
      </c>
      <c r="D5583" s="230">
        <v>-2805.76</v>
      </c>
      <c r="E5583" t="s">
        <v>716</v>
      </c>
    </row>
    <row r="5584" spans="1:5" hidden="1" x14ac:dyDescent="0.3">
      <c r="A5584" t="s">
        <v>557</v>
      </c>
      <c r="B5584" t="s">
        <v>715</v>
      </c>
      <c r="C5584" t="s">
        <v>273</v>
      </c>
      <c r="D5584" s="230">
        <v>0</v>
      </c>
      <c r="E5584" t="s">
        <v>716</v>
      </c>
    </row>
    <row r="5585" spans="1:5" hidden="1" x14ac:dyDescent="0.3">
      <c r="A5585" t="s">
        <v>557</v>
      </c>
      <c r="B5585" t="s">
        <v>715</v>
      </c>
      <c r="C5585" t="s">
        <v>274</v>
      </c>
      <c r="D5585" s="230">
        <v>0</v>
      </c>
      <c r="E5585" t="s">
        <v>716</v>
      </c>
    </row>
    <row r="5586" spans="1:5" hidden="1" x14ac:dyDescent="0.3">
      <c r="A5586" t="s">
        <v>557</v>
      </c>
      <c r="B5586" t="s">
        <v>715</v>
      </c>
      <c r="C5586" t="s">
        <v>275</v>
      </c>
      <c r="D5586" s="230">
        <v>-337.59</v>
      </c>
      <c r="E5586" t="s">
        <v>716</v>
      </c>
    </row>
    <row r="5587" spans="1:5" hidden="1" x14ac:dyDescent="0.3">
      <c r="A5587" t="s">
        <v>557</v>
      </c>
      <c r="B5587" t="s">
        <v>715</v>
      </c>
      <c r="C5587" t="s">
        <v>276</v>
      </c>
      <c r="D5587" s="230">
        <v>0</v>
      </c>
      <c r="E5587" t="s">
        <v>716</v>
      </c>
    </row>
    <row r="5588" spans="1:5" hidden="1" x14ac:dyDescent="0.3">
      <c r="A5588" t="s">
        <v>557</v>
      </c>
      <c r="B5588" t="s">
        <v>715</v>
      </c>
      <c r="C5588" t="s">
        <v>277</v>
      </c>
      <c r="D5588" s="230">
        <v>0</v>
      </c>
      <c r="E5588" t="s">
        <v>716</v>
      </c>
    </row>
    <row r="5589" spans="1:5" hidden="1" x14ac:dyDescent="0.3">
      <c r="A5589" t="s">
        <v>557</v>
      </c>
      <c r="B5589" t="s">
        <v>715</v>
      </c>
      <c r="C5589" t="s">
        <v>278</v>
      </c>
      <c r="D5589" s="230">
        <v>-3654.24</v>
      </c>
      <c r="E5589" t="s">
        <v>716</v>
      </c>
    </row>
    <row r="5590" spans="1:5" hidden="1" x14ac:dyDescent="0.3">
      <c r="A5590" t="s">
        <v>557</v>
      </c>
      <c r="B5590" t="s">
        <v>715</v>
      </c>
      <c r="C5590" t="s">
        <v>44</v>
      </c>
      <c r="D5590" s="230">
        <v>-0.11</v>
      </c>
      <c r="E5590" t="s">
        <v>716</v>
      </c>
    </row>
    <row r="5591" spans="1:5" hidden="1" x14ac:dyDescent="0.3">
      <c r="A5591" t="s">
        <v>557</v>
      </c>
      <c r="B5591" t="s">
        <v>715</v>
      </c>
      <c r="C5591" t="s">
        <v>279</v>
      </c>
      <c r="D5591" s="230">
        <v>-7371.01</v>
      </c>
      <c r="E5591" t="s">
        <v>716</v>
      </c>
    </row>
    <row r="5592" spans="1:5" hidden="1" x14ac:dyDescent="0.3">
      <c r="A5592" t="s">
        <v>557</v>
      </c>
      <c r="B5592" t="s">
        <v>715</v>
      </c>
      <c r="C5592" t="s">
        <v>280</v>
      </c>
      <c r="D5592" s="230">
        <v>-299.89999999999998</v>
      </c>
      <c r="E5592" t="s">
        <v>716</v>
      </c>
    </row>
    <row r="5593" spans="1:5" hidden="1" x14ac:dyDescent="0.3">
      <c r="A5593" t="s">
        <v>557</v>
      </c>
      <c r="B5593" t="s">
        <v>715</v>
      </c>
      <c r="C5593" t="s">
        <v>281</v>
      </c>
      <c r="D5593" s="230">
        <v>-377.16</v>
      </c>
      <c r="E5593" t="s">
        <v>716</v>
      </c>
    </row>
    <row r="5594" spans="1:5" hidden="1" x14ac:dyDescent="0.3">
      <c r="A5594" t="s">
        <v>557</v>
      </c>
      <c r="B5594" t="s">
        <v>715</v>
      </c>
      <c r="C5594" t="s">
        <v>282</v>
      </c>
      <c r="D5594" s="230">
        <v>-295.92</v>
      </c>
      <c r="E5594" t="s">
        <v>716</v>
      </c>
    </row>
    <row r="5595" spans="1:5" hidden="1" x14ac:dyDescent="0.3">
      <c r="A5595" t="s">
        <v>557</v>
      </c>
      <c r="B5595" t="s">
        <v>715</v>
      </c>
      <c r="C5595" t="s">
        <v>283</v>
      </c>
      <c r="D5595" s="230">
        <v>-236.23</v>
      </c>
      <c r="E5595" t="s">
        <v>716</v>
      </c>
    </row>
    <row r="5596" spans="1:5" hidden="1" x14ac:dyDescent="0.3">
      <c r="A5596" t="s">
        <v>557</v>
      </c>
      <c r="B5596" t="s">
        <v>715</v>
      </c>
      <c r="C5596" t="s">
        <v>284</v>
      </c>
      <c r="D5596" s="230">
        <v>-6161.8</v>
      </c>
      <c r="E5596" t="s">
        <v>716</v>
      </c>
    </row>
    <row r="5597" spans="1:5" hidden="1" x14ac:dyDescent="0.3">
      <c r="A5597" t="s">
        <v>557</v>
      </c>
      <c r="B5597" t="s">
        <v>715</v>
      </c>
      <c r="C5597" t="s">
        <v>285</v>
      </c>
      <c r="D5597" s="230">
        <v>0</v>
      </c>
      <c r="E5597" t="s">
        <v>716</v>
      </c>
    </row>
    <row r="5598" spans="1:5" hidden="1" x14ac:dyDescent="0.3">
      <c r="A5598" t="s">
        <v>557</v>
      </c>
      <c r="B5598" t="s">
        <v>715</v>
      </c>
      <c r="C5598" t="s">
        <v>286</v>
      </c>
      <c r="D5598" s="230">
        <v>0</v>
      </c>
      <c r="E5598" t="s">
        <v>716</v>
      </c>
    </row>
    <row r="5599" spans="1:5" hidden="1" x14ac:dyDescent="0.3">
      <c r="A5599" t="s">
        <v>557</v>
      </c>
      <c r="B5599" t="s">
        <v>715</v>
      </c>
      <c r="C5599" t="s">
        <v>44</v>
      </c>
      <c r="D5599" s="230">
        <v>0</v>
      </c>
      <c r="E5599" t="s">
        <v>716</v>
      </c>
    </row>
    <row r="5600" spans="1:5" hidden="1" x14ac:dyDescent="0.3">
      <c r="A5600" t="s">
        <v>557</v>
      </c>
      <c r="B5600" t="s">
        <v>715</v>
      </c>
      <c r="C5600" t="s">
        <v>287</v>
      </c>
      <c r="D5600" s="230">
        <v>-17314.099999999999</v>
      </c>
      <c r="E5600" t="s">
        <v>716</v>
      </c>
    </row>
    <row r="5601" spans="1:5" hidden="1" x14ac:dyDescent="0.3">
      <c r="A5601" t="s">
        <v>557</v>
      </c>
      <c r="B5601" t="s">
        <v>715</v>
      </c>
      <c r="C5601" t="s">
        <v>288</v>
      </c>
      <c r="D5601" s="230">
        <v>-16354.51</v>
      </c>
      <c r="E5601" t="s">
        <v>716</v>
      </c>
    </row>
    <row r="5602" spans="1:5" hidden="1" x14ac:dyDescent="0.3">
      <c r="A5602" t="s">
        <v>557</v>
      </c>
      <c r="B5602" t="s">
        <v>715</v>
      </c>
      <c r="C5602" t="s">
        <v>289</v>
      </c>
      <c r="D5602" s="230">
        <v>0</v>
      </c>
      <c r="E5602" t="s">
        <v>716</v>
      </c>
    </row>
    <row r="5603" spans="1:5" hidden="1" x14ac:dyDescent="0.3">
      <c r="A5603" t="s">
        <v>557</v>
      </c>
      <c r="B5603" t="s">
        <v>715</v>
      </c>
      <c r="C5603" t="s">
        <v>290</v>
      </c>
      <c r="D5603" s="230">
        <v>0</v>
      </c>
      <c r="E5603" t="s">
        <v>716</v>
      </c>
    </row>
    <row r="5604" spans="1:5" hidden="1" x14ac:dyDescent="0.3">
      <c r="A5604" t="s">
        <v>557</v>
      </c>
      <c r="B5604" t="s">
        <v>715</v>
      </c>
      <c r="C5604" t="s">
        <v>291</v>
      </c>
      <c r="D5604" s="230">
        <v>0</v>
      </c>
      <c r="E5604" t="s">
        <v>716</v>
      </c>
    </row>
    <row r="5605" spans="1:5" hidden="1" x14ac:dyDescent="0.3">
      <c r="A5605" t="s">
        <v>557</v>
      </c>
      <c r="B5605" t="s">
        <v>715</v>
      </c>
      <c r="C5605" t="s">
        <v>292</v>
      </c>
      <c r="D5605" s="230">
        <v>0</v>
      </c>
      <c r="E5605" t="s">
        <v>716</v>
      </c>
    </row>
    <row r="5606" spans="1:5" hidden="1" x14ac:dyDescent="0.3">
      <c r="A5606" t="s">
        <v>557</v>
      </c>
      <c r="B5606" t="s">
        <v>715</v>
      </c>
      <c r="C5606" t="s">
        <v>293</v>
      </c>
      <c r="D5606" s="230">
        <v>-959.59</v>
      </c>
      <c r="E5606" t="s">
        <v>716</v>
      </c>
    </row>
    <row r="5607" spans="1:5" hidden="1" x14ac:dyDescent="0.3">
      <c r="A5607" t="s">
        <v>557</v>
      </c>
      <c r="B5607" t="s">
        <v>715</v>
      </c>
      <c r="C5607" t="s">
        <v>294</v>
      </c>
      <c r="D5607" s="230">
        <v>-180</v>
      </c>
      <c r="E5607" t="s">
        <v>716</v>
      </c>
    </row>
    <row r="5608" spans="1:5" hidden="1" x14ac:dyDescent="0.3">
      <c r="A5608" t="s">
        <v>557</v>
      </c>
      <c r="B5608" t="s">
        <v>715</v>
      </c>
      <c r="C5608" t="s">
        <v>295</v>
      </c>
      <c r="D5608" s="230">
        <v>0</v>
      </c>
      <c r="E5608" t="s">
        <v>716</v>
      </c>
    </row>
    <row r="5609" spans="1:5" hidden="1" x14ac:dyDescent="0.3">
      <c r="A5609" t="s">
        <v>557</v>
      </c>
      <c r="B5609" t="s">
        <v>715</v>
      </c>
      <c r="C5609" t="s">
        <v>44</v>
      </c>
      <c r="D5609" s="230">
        <v>-0.05</v>
      </c>
      <c r="E5609" t="s">
        <v>716</v>
      </c>
    </row>
    <row r="5610" spans="1:5" hidden="1" x14ac:dyDescent="0.3">
      <c r="A5610" t="s">
        <v>557</v>
      </c>
      <c r="B5610" t="s">
        <v>715</v>
      </c>
      <c r="C5610" t="s">
        <v>296</v>
      </c>
      <c r="D5610" s="230">
        <v>-9943.42</v>
      </c>
      <c r="E5610" t="s">
        <v>716</v>
      </c>
    </row>
    <row r="5611" spans="1:5" hidden="1" x14ac:dyDescent="0.3">
      <c r="A5611" t="s">
        <v>557</v>
      </c>
      <c r="B5611" t="s">
        <v>715</v>
      </c>
      <c r="C5611" t="s">
        <v>297</v>
      </c>
      <c r="D5611" s="230">
        <v>-5000</v>
      </c>
      <c r="E5611" t="s">
        <v>716</v>
      </c>
    </row>
    <row r="5612" spans="1:5" hidden="1" x14ac:dyDescent="0.3">
      <c r="A5612" t="s">
        <v>557</v>
      </c>
      <c r="B5612" t="s">
        <v>715</v>
      </c>
      <c r="C5612" t="s">
        <v>298</v>
      </c>
      <c r="D5612" s="230">
        <v>-460</v>
      </c>
      <c r="E5612" t="s">
        <v>716</v>
      </c>
    </row>
    <row r="5613" spans="1:5" hidden="1" x14ac:dyDescent="0.3">
      <c r="A5613" t="s">
        <v>557</v>
      </c>
      <c r="B5613" t="s">
        <v>715</v>
      </c>
      <c r="C5613" t="s">
        <v>299</v>
      </c>
      <c r="D5613" s="230">
        <v>0</v>
      </c>
      <c r="E5613" t="s">
        <v>716</v>
      </c>
    </row>
    <row r="5614" spans="1:5" hidden="1" x14ac:dyDescent="0.3">
      <c r="A5614" t="s">
        <v>557</v>
      </c>
      <c r="B5614" t="s">
        <v>715</v>
      </c>
      <c r="C5614" t="s">
        <v>300</v>
      </c>
      <c r="D5614" s="230">
        <v>0</v>
      </c>
      <c r="E5614" t="s">
        <v>716</v>
      </c>
    </row>
    <row r="5615" spans="1:5" hidden="1" x14ac:dyDescent="0.3">
      <c r="A5615" t="s">
        <v>557</v>
      </c>
      <c r="B5615" t="s">
        <v>715</v>
      </c>
      <c r="C5615" t="s">
        <v>301</v>
      </c>
      <c r="D5615" s="230">
        <v>-325</v>
      </c>
      <c r="E5615" t="s">
        <v>716</v>
      </c>
    </row>
    <row r="5616" spans="1:5" hidden="1" x14ac:dyDescent="0.3">
      <c r="A5616" t="s">
        <v>557</v>
      </c>
      <c r="B5616" t="s">
        <v>715</v>
      </c>
      <c r="C5616" t="s">
        <v>302</v>
      </c>
      <c r="D5616" s="230">
        <v>0</v>
      </c>
      <c r="E5616" t="s">
        <v>716</v>
      </c>
    </row>
    <row r="5617" spans="1:5" hidden="1" x14ac:dyDescent="0.3">
      <c r="A5617" t="s">
        <v>557</v>
      </c>
      <c r="B5617" t="s">
        <v>715</v>
      </c>
      <c r="C5617" t="s">
        <v>303</v>
      </c>
      <c r="D5617" s="230">
        <v>0</v>
      </c>
      <c r="E5617" t="s">
        <v>716</v>
      </c>
    </row>
    <row r="5618" spans="1:5" hidden="1" x14ac:dyDescent="0.3">
      <c r="A5618" t="s">
        <v>557</v>
      </c>
      <c r="B5618" t="s">
        <v>715</v>
      </c>
      <c r="C5618" t="s">
        <v>304</v>
      </c>
      <c r="D5618" s="230">
        <v>0</v>
      </c>
      <c r="E5618" t="s">
        <v>716</v>
      </c>
    </row>
    <row r="5619" spans="1:5" hidden="1" x14ac:dyDescent="0.3">
      <c r="A5619" t="s">
        <v>557</v>
      </c>
      <c r="B5619" t="s">
        <v>715</v>
      </c>
      <c r="C5619" t="s">
        <v>305</v>
      </c>
      <c r="D5619" s="230">
        <v>-363.74</v>
      </c>
      <c r="E5619" t="s">
        <v>716</v>
      </c>
    </row>
    <row r="5620" spans="1:5" hidden="1" x14ac:dyDescent="0.3">
      <c r="A5620" t="s">
        <v>557</v>
      </c>
      <c r="B5620" t="s">
        <v>715</v>
      </c>
      <c r="C5620" t="s">
        <v>306</v>
      </c>
      <c r="D5620" s="230">
        <v>0</v>
      </c>
      <c r="E5620" t="s">
        <v>716</v>
      </c>
    </row>
    <row r="5621" spans="1:5" hidden="1" x14ac:dyDescent="0.3">
      <c r="A5621" t="s">
        <v>557</v>
      </c>
      <c r="B5621" t="s">
        <v>715</v>
      </c>
      <c r="C5621" t="s">
        <v>307</v>
      </c>
      <c r="D5621" s="230">
        <v>-3794.68</v>
      </c>
      <c r="E5621" t="s">
        <v>716</v>
      </c>
    </row>
    <row r="5622" spans="1:5" hidden="1" x14ac:dyDescent="0.3">
      <c r="A5622" t="s">
        <v>557</v>
      </c>
      <c r="B5622" t="s">
        <v>715</v>
      </c>
      <c r="C5622" t="s">
        <v>44</v>
      </c>
      <c r="D5622" s="230">
        <v>-0.03</v>
      </c>
      <c r="E5622" t="s">
        <v>716</v>
      </c>
    </row>
    <row r="5623" spans="1:5" hidden="1" x14ac:dyDescent="0.3">
      <c r="A5623" t="s">
        <v>557</v>
      </c>
      <c r="B5623" t="s">
        <v>715</v>
      </c>
      <c r="C5623" t="s">
        <v>308</v>
      </c>
      <c r="D5623" s="230">
        <v>-2272.5500000000002</v>
      </c>
      <c r="E5623" t="s">
        <v>716</v>
      </c>
    </row>
    <row r="5624" spans="1:5" hidden="1" x14ac:dyDescent="0.3">
      <c r="A5624" t="s">
        <v>557</v>
      </c>
      <c r="B5624" t="s">
        <v>715</v>
      </c>
      <c r="C5624" t="s">
        <v>309</v>
      </c>
      <c r="D5624" s="230">
        <v>-1412</v>
      </c>
      <c r="E5624" t="s">
        <v>716</v>
      </c>
    </row>
    <row r="5625" spans="1:5" hidden="1" x14ac:dyDescent="0.3">
      <c r="A5625" t="s">
        <v>557</v>
      </c>
      <c r="B5625" t="s">
        <v>715</v>
      </c>
      <c r="C5625" t="s">
        <v>310</v>
      </c>
      <c r="D5625" s="230">
        <v>0</v>
      </c>
      <c r="E5625" t="s">
        <v>716</v>
      </c>
    </row>
    <row r="5626" spans="1:5" hidden="1" x14ac:dyDescent="0.3">
      <c r="A5626" t="s">
        <v>557</v>
      </c>
      <c r="B5626" t="s">
        <v>715</v>
      </c>
      <c r="C5626" t="s">
        <v>311</v>
      </c>
      <c r="D5626" s="230">
        <v>-860.55</v>
      </c>
      <c r="E5626" t="s">
        <v>716</v>
      </c>
    </row>
    <row r="5627" spans="1:5" hidden="1" x14ac:dyDescent="0.3">
      <c r="A5627" t="s">
        <v>557</v>
      </c>
      <c r="B5627" t="s">
        <v>715</v>
      </c>
      <c r="C5627" t="s">
        <v>312</v>
      </c>
      <c r="D5627" s="230">
        <v>0</v>
      </c>
      <c r="E5627" t="s">
        <v>716</v>
      </c>
    </row>
    <row r="5628" spans="1:5" hidden="1" x14ac:dyDescent="0.3">
      <c r="A5628" t="s">
        <v>557</v>
      </c>
      <c r="B5628" t="s">
        <v>715</v>
      </c>
      <c r="C5628" t="s">
        <v>313</v>
      </c>
      <c r="D5628" s="230">
        <v>0</v>
      </c>
      <c r="E5628" t="s">
        <v>716</v>
      </c>
    </row>
    <row r="5629" spans="1:5" hidden="1" x14ac:dyDescent="0.3">
      <c r="A5629" t="s">
        <v>557</v>
      </c>
      <c r="B5629" t="s">
        <v>715</v>
      </c>
      <c r="C5629" t="s">
        <v>314</v>
      </c>
      <c r="D5629" s="230">
        <v>0</v>
      </c>
      <c r="E5629" t="s">
        <v>716</v>
      </c>
    </row>
    <row r="5630" spans="1:5" hidden="1" x14ac:dyDescent="0.3">
      <c r="A5630" t="s">
        <v>557</v>
      </c>
      <c r="B5630" t="s">
        <v>715</v>
      </c>
      <c r="C5630" t="s">
        <v>315</v>
      </c>
      <c r="D5630" s="230">
        <v>0</v>
      </c>
      <c r="E5630" t="s">
        <v>716</v>
      </c>
    </row>
    <row r="5631" spans="1:5" hidden="1" x14ac:dyDescent="0.3">
      <c r="A5631" t="s">
        <v>557</v>
      </c>
      <c r="B5631" t="s">
        <v>715</v>
      </c>
      <c r="C5631" t="s">
        <v>316</v>
      </c>
      <c r="D5631" s="230">
        <v>0</v>
      </c>
      <c r="E5631" t="s">
        <v>716</v>
      </c>
    </row>
    <row r="5632" spans="1:5" hidden="1" x14ac:dyDescent="0.3">
      <c r="A5632" t="s">
        <v>557</v>
      </c>
      <c r="B5632" t="s">
        <v>715</v>
      </c>
      <c r="C5632" t="s">
        <v>317</v>
      </c>
      <c r="D5632" s="230">
        <v>0</v>
      </c>
      <c r="E5632" t="s">
        <v>716</v>
      </c>
    </row>
    <row r="5633" spans="1:5" hidden="1" x14ac:dyDescent="0.3">
      <c r="A5633" t="s">
        <v>557</v>
      </c>
      <c r="B5633" t="s">
        <v>715</v>
      </c>
      <c r="C5633" t="s">
        <v>44</v>
      </c>
      <c r="D5633" s="230">
        <v>-0.01</v>
      </c>
      <c r="E5633" t="s">
        <v>716</v>
      </c>
    </row>
    <row r="5634" spans="1:5" hidden="1" x14ac:dyDescent="0.3">
      <c r="A5634" t="s">
        <v>557</v>
      </c>
      <c r="B5634" t="s">
        <v>715</v>
      </c>
      <c r="C5634" t="s">
        <v>318</v>
      </c>
      <c r="D5634" s="230">
        <v>-2181.7800000000002</v>
      </c>
      <c r="E5634" t="s">
        <v>716</v>
      </c>
    </row>
    <row r="5635" spans="1:5" hidden="1" x14ac:dyDescent="0.3">
      <c r="A5635" t="s">
        <v>557</v>
      </c>
      <c r="B5635" t="s">
        <v>715</v>
      </c>
      <c r="C5635" t="s">
        <v>319</v>
      </c>
      <c r="D5635" s="230">
        <v>-2181.7800000000002</v>
      </c>
      <c r="E5635" t="s">
        <v>716</v>
      </c>
    </row>
    <row r="5636" spans="1:5" hidden="1" x14ac:dyDescent="0.3">
      <c r="A5636" t="s">
        <v>557</v>
      </c>
      <c r="B5636" t="s">
        <v>715</v>
      </c>
      <c r="C5636" t="s">
        <v>320</v>
      </c>
      <c r="D5636" s="230">
        <v>0</v>
      </c>
      <c r="E5636" t="s">
        <v>716</v>
      </c>
    </row>
    <row r="5637" spans="1:5" hidden="1" x14ac:dyDescent="0.3">
      <c r="A5637" t="s">
        <v>557</v>
      </c>
      <c r="B5637" t="s">
        <v>715</v>
      </c>
      <c r="C5637" t="s">
        <v>321</v>
      </c>
      <c r="D5637" s="230">
        <v>0</v>
      </c>
      <c r="E5637" t="s">
        <v>716</v>
      </c>
    </row>
    <row r="5638" spans="1:5" hidden="1" x14ac:dyDescent="0.3">
      <c r="A5638" t="s">
        <v>557</v>
      </c>
      <c r="B5638" t="s">
        <v>715</v>
      </c>
      <c r="C5638" t="s">
        <v>322</v>
      </c>
      <c r="D5638" s="230">
        <v>0</v>
      </c>
      <c r="E5638" t="s">
        <v>716</v>
      </c>
    </row>
    <row r="5639" spans="1:5" hidden="1" x14ac:dyDescent="0.3">
      <c r="A5639" t="s">
        <v>557</v>
      </c>
      <c r="B5639" t="s">
        <v>715</v>
      </c>
      <c r="C5639" t="s">
        <v>44</v>
      </c>
      <c r="D5639" s="230">
        <v>-0.01</v>
      </c>
      <c r="E5639" t="s">
        <v>716</v>
      </c>
    </row>
    <row r="5640" spans="1:5" hidden="1" x14ac:dyDescent="0.3">
      <c r="A5640" t="s">
        <v>557</v>
      </c>
      <c r="B5640" t="s">
        <v>715</v>
      </c>
      <c r="C5640" t="s">
        <v>323</v>
      </c>
      <c r="D5640" s="230">
        <v>-18397.169999999998</v>
      </c>
      <c r="E5640" t="s">
        <v>716</v>
      </c>
    </row>
    <row r="5641" spans="1:5" hidden="1" x14ac:dyDescent="0.3">
      <c r="A5641" t="s">
        <v>557</v>
      </c>
      <c r="B5641" t="s">
        <v>715</v>
      </c>
      <c r="C5641" t="s">
        <v>324</v>
      </c>
      <c r="D5641" s="230">
        <v>0</v>
      </c>
      <c r="E5641" t="s">
        <v>716</v>
      </c>
    </row>
    <row r="5642" spans="1:5" hidden="1" x14ac:dyDescent="0.3">
      <c r="A5642" t="s">
        <v>557</v>
      </c>
      <c r="B5642" t="s">
        <v>715</v>
      </c>
      <c r="C5642" t="s">
        <v>325</v>
      </c>
      <c r="D5642" s="230">
        <v>0</v>
      </c>
      <c r="E5642" t="s">
        <v>716</v>
      </c>
    </row>
    <row r="5643" spans="1:5" hidden="1" x14ac:dyDescent="0.3">
      <c r="A5643" t="s">
        <v>557</v>
      </c>
      <c r="B5643" t="s">
        <v>715</v>
      </c>
      <c r="C5643" t="s">
        <v>326</v>
      </c>
      <c r="D5643" s="230">
        <v>-18397.169999999998</v>
      </c>
      <c r="E5643" t="s">
        <v>716</v>
      </c>
    </row>
    <row r="5644" spans="1:5" hidden="1" x14ac:dyDescent="0.3">
      <c r="A5644" t="s">
        <v>557</v>
      </c>
      <c r="B5644" t="s">
        <v>715</v>
      </c>
      <c r="C5644" t="s">
        <v>44</v>
      </c>
      <c r="D5644" s="230">
        <v>-0.05</v>
      </c>
      <c r="E5644" t="s">
        <v>716</v>
      </c>
    </row>
    <row r="5645" spans="1:5" hidden="1" x14ac:dyDescent="0.3">
      <c r="A5645" t="s">
        <v>557</v>
      </c>
      <c r="B5645" t="s">
        <v>715</v>
      </c>
      <c r="C5645" t="s">
        <v>328</v>
      </c>
      <c r="D5645" s="230">
        <v>-273519.83</v>
      </c>
      <c r="E5645" t="s">
        <v>716</v>
      </c>
    </row>
    <row r="5646" spans="1:5" hidden="1" x14ac:dyDescent="0.3">
      <c r="A5646" t="s">
        <v>557</v>
      </c>
      <c r="B5646" t="s">
        <v>715</v>
      </c>
      <c r="C5646" t="s">
        <v>44</v>
      </c>
      <c r="D5646" s="230">
        <v>-0.74</v>
      </c>
      <c r="E5646" t="s">
        <v>716</v>
      </c>
    </row>
    <row r="5647" spans="1:5" hidden="1" x14ac:dyDescent="0.3">
      <c r="A5647" t="s">
        <v>557</v>
      </c>
      <c r="B5647" t="s">
        <v>715</v>
      </c>
      <c r="C5647" t="s">
        <v>329</v>
      </c>
      <c r="D5647" s="230">
        <v>-97076.09</v>
      </c>
      <c r="E5647" t="s">
        <v>716</v>
      </c>
    </row>
    <row r="5648" spans="1:5" hidden="1" x14ac:dyDescent="0.3">
      <c r="A5648" t="s">
        <v>557</v>
      </c>
      <c r="B5648" t="s">
        <v>715</v>
      </c>
      <c r="C5648" t="s">
        <v>44</v>
      </c>
      <c r="D5648" s="230">
        <v>-0.26</v>
      </c>
      <c r="E5648" t="s">
        <v>716</v>
      </c>
    </row>
    <row r="5649" spans="1:5" hidden="1" x14ac:dyDescent="0.3">
      <c r="A5649" t="s">
        <v>557</v>
      </c>
      <c r="B5649" t="s">
        <v>715</v>
      </c>
      <c r="C5649" t="s">
        <v>330</v>
      </c>
      <c r="D5649" s="230">
        <v>0</v>
      </c>
      <c r="E5649" t="s">
        <v>716</v>
      </c>
    </row>
    <row r="5650" spans="1:5" hidden="1" x14ac:dyDescent="0.3">
      <c r="A5650" t="s">
        <v>557</v>
      </c>
      <c r="B5650" t="s">
        <v>715</v>
      </c>
      <c r="C5650" t="s">
        <v>332</v>
      </c>
      <c r="D5650" s="230">
        <v>-97076.09</v>
      </c>
      <c r="E5650" t="s">
        <v>716</v>
      </c>
    </row>
    <row r="5651" spans="1:5" hidden="1" x14ac:dyDescent="0.3">
      <c r="A5651" t="s">
        <v>557</v>
      </c>
      <c r="B5651" t="s">
        <v>715</v>
      </c>
      <c r="C5651" t="s">
        <v>333</v>
      </c>
      <c r="D5651" s="230">
        <v>8655.6299999999992</v>
      </c>
      <c r="E5651" t="s">
        <v>716</v>
      </c>
    </row>
    <row r="5652" spans="1:5" hidden="1" x14ac:dyDescent="0.3">
      <c r="A5652" t="s">
        <v>557</v>
      </c>
      <c r="B5652" t="s">
        <v>715</v>
      </c>
      <c r="C5652" t="s">
        <v>334</v>
      </c>
      <c r="D5652" s="230">
        <v>0</v>
      </c>
      <c r="E5652" t="s">
        <v>716</v>
      </c>
    </row>
    <row r="5653" spans="1:5" hidden="1" x14ac:dyDescent="0.3">
      <c r="A5653" t="s">
        <v>557</v>
      </c>
      <c r="B5653" t="s">
        <v>715</v>
      </c>
      <c r="C5653" t="s">
        <v>336</v>
      </c>
      <c r="D5653" s="230">
        <v>-1090</v>
      </c>
      <c r="E5653" t="s">
        <v>716</v>
      </c>
    </row>
    <row r="5654" spans="1:5" hidden="1" x14ac:dyDescent="0.3">
      <c r="A5654" t="s">
        <v>557</v>
      </c>
      <c r="B5654" t="s">
        <v>715</v>
      </c>
      <c r="C5654" t="s">
        <v>338</v>
      </c>
      <c r="D5654" s="230">
        <v>-89510.46</v>
      </c>
      <c r="E5654" t="s">
        <v>716</v>
      </c>
    </row>
    <row r="5655" spans="1:5" hidden="1" x14ac:dyDescent="0.3">
      <c r="A5655" t="s">
        <v>557</v>
      </c>
      <c r="B5655" t="s">
        <v>715</v>
      </c>
      <c r="C5655" t="s">
        <v>339</v>
      </c>
      <c r="D5655" s="230">
        <v>-17661.29</v>
      </c>
      <c r="E5655" t="s">
        <v>716</v>
      </c>
    </row>
    <row r="5656" spans="1:5" hidden="1" x14ac:dyDescent="0.3">
      <c r="A5656" t="s">
        <v>557</v>
      </c>
      <c r="B5656" t="s">
        <v>715</v>
      </c>
      <c r="C5656" t="s">
        <v>342</v>
      </c>
      <c r="D5656" s="230">
        <v>-17661.29</v>
      </c>
      <c r="E5656" t="s">
        <v>716</v>
      </c>
    </row>
    <row r="5657" spans="1:5" hidden="1" x14ac:dyDescent="0.3">
      <c r="A5657" t="s">
        <v>557</v>
      </c>
      <c r="B5657" t="s">
        <v>715</v>
      </c>
      <c r="C5657" t="s">
        <v>344</v>
      </c>
      <c r="D5657" s="230">
        <v>0</v>
      </c>
      <c r="E5657" t="s">
        <v>716</v>
      </c>
    </row>
    <row r="5658" spans="1:5" hidden="1" x14ac:dyDescent="0.3">
      <c r="A5658" t="s">
        <v>557</v>
      </c>
      <c r="B5658" t="s">
        <v>715</v>
      </c>
      <c r="C5658" t="s">
        <v>345</v>
      </c>
      <c r="D5658" s="230">
        <v>0</v>
      </c>
      <c r="E5658" t="s">
        <v>716</v>
      </c>
    </row>
    <row r="5659" spans="1:5" hidden="1" x14ac:dyDescent="0.3">
      <c r="A5659" t="s">
        <v>557</v>
      </c>
      <c r="B5659" t="s">
        <v>715</v>
      </c>
      <c r="C5659" t="s">
        <v>346</v>
      </c>
      <c r="D5659" s="230">
        <v>0</v>
      </c>
      <c r="E5659" t="s">
        <v>716</v>
      </c>
    </row>
    <row r="5660" spans="1:5" hidden="1" x14ac:dyDescent="0.3">
      <c r="A5660" t="s">
        <v>557</v>
      </c>
      <c r="B5660" t="s">
        <v>715</v>
      </c>
      <c r="C5660" t="s">
        <v>347</v>
      </c>
      <c r="D5660" s="230">
        <v>-107171.75</v>
      </c>
      <c r="E5660" t="s">
        <v>716</v>
      </c>
    </row>
    <row r="5661" spans="1:5" hidden="1" x14ac:dyDescent="0.3">
      <c r="A5661" t="s">
        <v>557</v>
      </c>
      <c r="B5661" t="s">
        <v>715</v>
      </c>
      <c r="C5661" t="s">
        <v>44</v>
      </c>
      <c r="D5661" s="230">
        <v>-0.28999999999999998</v>
      </c>
      <c r="E5661" t="s">
        <v>716</v>
      </c>
    </row>
    <row r="5662" spans="1:5" hidden="1" x14ac:dyDescent="0.3">
      <c r="A5662" t="s">
        <v>557</v>
      </c>
      <c r="B5662" t="s">
        <v>715</v>
      </c>
      <c r="C5662" t="s">
        <v>348</v>
      </c>
      <c r="D5662" s="230">
        <v>-20054.21</v>
      </c>
      <c r="E5662" t="s">
        <v>716</v>
      </c>
    </row>
    <row r="5663" spans="1:5" hidden="1" x14ac:dyDescent="0.3">
      <c r="A5663" t="s">
        <v>557</v>
      </c>
      <c r="B5663" t="s">
        <v>715</v>
      </c>
      <c r="C5663" t="s">
        <v>707</v>
      </c>
      <c r="D5663" s="230">
        <v>-20054.21</v>
      </c>
      <c r="E5663" t="s">
        <v>716</v>
      </c>
    </row>
    <row r="5664" spans="1:5" hidden="1" x14ac:dyDescent="0.3">
      <c r="A5664" t="s">
        <v>557</v>
      </c>
      <c r="B5664" t="s">
        <v>715</v>
      </c>
      <c r="C5664" t="s">
        <v>350</v>
      </c>
      <c r="D5664" s="230">
        <v>0</v>
      </c>
      <c r="E5664" t="s">
        <v>716</v>
      </c>
    </row>
    <row r="5665" spans="1:5" hidden="1" x14ac:dyDescent="0.3">
      <c r="A5665" t="s">
        <v>557</v>
      </c>
      <c r="B5665" t="s">
        <v>715</v>
      </c>
      <c r="C5665" t="s">
        <v>351</v>
      </c>
      <c r="D5665" s="230">
        <v>0</v>
      </c>
      <c r="E5665" t="s">
        <v>716</v>
      </c>
    </row>
    <row r="5666" spans="1:5" hidden="1" x14ac:dyDescent="0.3">
      <c r="A5666" t="s">
        <v>557</v>
      </c>
      <c r="B5666" t="s">
        <v>715</v>
      </c>
      <c r="C5666" t="s">
        <v>352</v>
      </c>
      <c r="D5666" s="230">
        <v>0</v>
      </c>
      <c r="E5666" t="s">
        <v>716</v>
      </c>
    </row>
    <row r="5667" spans="1:5" hidden="1" x14ac:dyDescent="0.3">
      <c r="A5667" t="s">
        <v>557</v>
      </c>
      <c r="B5667" t="s">
        <v>715</v>
      </c>
      <c r="C5667" t="s">
        <v>353</v>
      </c>
      <c r="D5667" s="230">
        <v>0</v>
      </c>
      <c r="E5667" t="s">
        <v>716</v>
      </c>
    </row>
    <row r="5668" spans="1:5" hidden="1" x14ac:dyDescent="0.3">
      <c r="A5668" t="s">
        <v>557</v>
      </c>
      <c r="B5668" t="s">
        <v>715</v>
      </c>
      <c r="C5668" t="s">
        <v>354</v>
      </c>
      <c r="D5668" s="230">
        <v>0</v>
      </c>
      <c r="E5668" t="s">
        <v>716</v>
      </c>
    </row>
    <row r="5669" spans="1:5" hidden="1" x14ac:dyDescent="0.3">
      <c r="A5669" t="s">
        <v>557</v>
      </c>
      <c r="B5669" t="s">
        <v>715</v>
      </c>
      <c r="C5669" t="s">
        <v>355</v>
      </c>
      <c r="D5669" s="230">
        <v>0</v>
      </c>
      <c r="E5669" t="s">
        <v>716</v>
      </c>
    </row>
    <row r="5670" spans="1:5" hidden="1" x14ac:dyDescent="0.3">
      <c r="A5670" t="s">
        <v>557</v>
      </c>
      <c r="B5670" t="s">
        <v>715</v>
      </c>
      <c r="C5670" t="s">
        <v>356</v>
      </c>
      <c r="D5670" s="230">
        <v>0</v>
      </c>
      <c r="E5670" t="s">
        <v>716</v>
      </c>
    </row>
    <row r="5671" spans="1:5" hidden="1" x14ac:dyDescent="0.3">
      <c r="A5671" t="s">
        <v>557</v>
      </c>
      <c r="B5671" t="s">
        <v>715</v>
      </c>
      <c r="C5671" t="s">
        <v>357</v>
      </c>
      <c r="D5671" s="230">
        <v>0</v>
      </c>
      <c r="E5671" t="s">
        <v>716</v>
      </c>
    </row>
    <row r="5672" spans="1:5" hidden="1" x14ac:dyDescent="0.3">
      <c r="A5672" t="s">
        <v>557</v>
      </c>
      <c r="B5672" t="s">
        <v>715</v>
      </c>
      <c r="C5672" t="s">
        <v>358</v>
      </c>
      <c r="D5672" s="230">
        <v>0</v>
      </c>
      <c r="E5672" t="s">
        <v>716</v>
      </c>
    </row>
    <row r="5673" spans="1:5" hidden="1" x14ac:dyDescent="0.3">
      <c r="A5673" t="s">
        <v>557</v>
      </c>
      <c r="B5673" t="s">
        <v>715</v>
      </c>
      <c r="C5673" t="s">
        <v>359</v>
      </c>
      <c r="D5673" s="230">
        <v>0</v>
      </c>
      <c r="E5673" t="s">
        <v>716</v>
      </c>
    </row>
    <row r="5674" spans="1:5" hidden="1" x14ac:dyDescent="0.3">
      <c r="A5674" t="s">
        <v>557</v>
      </c>
      <c r="B5674" t="s">
        <v>715</v>
      </c>
      <c r="C5674" t="s">
        <v>360</v>
      </c>
      <c r="D5674" s="230">
        <v>0</v>
      </c>
      <c r="E5674" t="s">
        <v>716</v>
      </c>
    </row>
    <row r="5675" spans="1:5" hidden="1" x14ac:dyDescent="0.3">
      <c r="A5675" t="s">
        <v>557</v>
      </c>
      <c r="B5675" t="s">
        <v>715</v>
      </c>
      <c r="C5675" t="s">
        <v>361</v>
      </c>
      <c r="D5675" s="230">
        <v>0</v>
      </c>
      <c r="E5675" t="s">
        <v>716</v>
      </c>
    </row>
    <row r="5676" spans="1:5" hidden="1" x14ac:dyDescent="0.3">
      <c r="A5676" t="s">
        <v>557</v>
      </c>
      <c r="B5676" t="s">
        <v>715</v>
      </c>
      <c r="C5676" t="s">
        <v>362</v>
      </c>
      <c r="D5676" s="230">
        <v>0</v>
      </c>
      <c r="E5676" t="s">
        <v>716</v>
      </c>
    </row>
    <row r="5677" spans="1:5" hidden="1" x14ac:dyDescent="0.3">
      <c r="A5677" t="s">
        <v>557</v>
      </c>
      <c r="B5677" t="s">
        <v>715</v>
      </c>
      <c r="C5677" t="s">
        <v>363</v>
      </c>
      <c r="D5677" s="230">
        <v>0</v>
      </c>
      <c r="E5677" t="s">
        <v>716</v>
      </c>
    </row>
    <row r="5678" spans="1:5" hidden="1" x14ac:dyDescent="0.3">
      <c r="A5678" t="s">
        <v>557</v>
      </c>
      <c r="B5678" t="s">
        <v>715</v>
      </c>
      <c r="C5678" t="s">
        <v>364</v>
      </c>
      <c r="D5678" s="230">
        <v>0</v>
      </c>
      <c r="E5678" t="s">
        <v>716</v>
      </c>
    </row>
    <row r="5679" spans="1:5" hidden="1" x14ac:dyDescent="0.3">
      <c r="A5679" t="s">
        <v>557</v>
      </c>
      <c r="B5679" t="s">
        <v>715</v>
      </c>
      <c r="C5679" t="s">
        <v>365</v>
      </c>
      <c r="D5679" s="230">
        <v>0</v>
      </c>
      <c r="E5679" t="s">
        <v>716</v>
      </c>
    </row>
    <row r="5680" spans="1:5" hidden="1" x14ac:dyDescent="0.3">
      <c r="A5680" t="s">
        <v>557</v>
      </c>
      <c r="B5680" t="s">
        <v>715</v>
      </c>
      <c r="C5680" t="s">
        <v>366</v>
      </c>
      <c r="D5680" s="230">
        <v>0</v>
      </c>
      <c r="E5680" t="s">
        <v>716</v>
      </c>
    </row>
    <row r="5681" spans="1:5" hidden="1" x14ac:dyDescent="0.3">
      <c r="A5681" t="s">
        <v>557</v>
      </c>
      <c r="B5681" t="s">
        <v>715</v>
      </c>
      <c r="C5681" t="s">
        <v>367</v>
      </c>
      <c r="D5681" s="230">
        <v>0</v>
      </c>
      <c r="E5681" t="s">
        <v>716</v>
      </c>
    </row>
    <row r="5682" spans="1:5" hidden="1" x14ac:dyDescent="0.3">
      <c r="A5682" t="s">
        <v>557</v>
      </c>
      <c r="B5682" t="s">
        <v>715</v>
      </c>
      <c r="C5682" t="s">
        <v>368</v>
      </c>
      <c r="D5682" s="230">
        <v>0</v>
      </c>
      <c r="E5682" t="s">
        <v>716</v>
      </c>
    </row>
    <row r="5683" spans="1:5" hidden="1" x14ac:dyDescent="0.3">
      <c r="A5683" t="s">
        <v>557</v>
      </c>
      <c r="B5683" t="s">
        <v>715</v>
      </c>
      <c r="C5683" t="s">
        <v>369</v>
      </c>
      <c r="D5683" s="230">
        <v>0</v>
      </c>
      <c r="E5683" t="s">
        <v>716</v>
      </c>
    </row>
    <row r="5684" spans="1:5" hidden="1" x14ac:dyDescent="0.3">
      <c r="A5684" t="s">
        <v>557</v>
      </c>
      <c r="B5684" t="s">
        <v>715</v>
      </c>
      <c r="C5684" t="s">
        <v>370</v>
      </c>
      <c r="D5684" s="230">
        <v>0</v>
      </c>
      <c r="E5684" t="s">
        <v>716</v>
      </c>
    </row>
    <row r="5685" spans="1:5" hidden="1" x14ac:dyDescent="0.3">
      <c r="A5685" t="s">
        <v>557</v>
      </c>
      <c r="B5685" t="s">
        <v>715</v>
      </c>
      <c r="C5685" t="s">
        <v>371</v>
      </c>
      <c r="D5685" s="230">
        <v>0</v>
      </c>
      <c r="E5685" t="s">
        <v>716</v>
      </c>
    </row>
    <row r="5686" spans="1:5" hidden="1" x14ac:dyDescent="0.3">
      <c r="A5686" t="s">
        <v>557</v>
      </c>
      <c r="B5686" t="s">
        <v>715</v>
      </c>
      <c r="C5686" t="s">
        <v>372</v>
      </c>
      <c r="D5686" s="230">
        <v>0</v>
      </c>
      <c r="E5686" t="s">
        <v>716</v>
      </c>
    </row>
    <row r="5687" spans="1:5" hidden="1" x14ac:dyDescent="0.3">
      <c r="A5687" t="s">
        <v>557</v>
      </c>
      <c r="B5687" t="s">
        <v>715</v>
      </c>
      <c r="C5687" t="s">
        <v>373</v>
      </c>
      <c r="D5687" s="230">
        <v>0</v>
      </c>
      <c r="E5687" t="s">
        <v>716</v>
      </c>
    </row>
    <row r="5688" spans="1:5" hidden="1" x14ac:dyDescent="0.3">
      <c r="A5688" t="s">
        <v>557</v>
      </c>
      <c r="B5688" t="s">
        <v>715</v>
      </c>
      <c r="C5688" t="s">
        <v>374</v>
      </c>
      <c r="D5688" s="230">
        <v>0</v>
      </c>
      <c r="E5688" t="s">
        <v>716</v>
      </c>
    </row>
    <row r="5689" spans="1:5" hidden="1" x14ac:dyDescent="0.3">
      <c r="A5689" t="s">
        <v>557</v>
      </c>
      <c r="B5689" t="s">
        <v>715</v>
      </c>
      <c r="C5689" t="s">
        <v>708</v>
      </c>
      <c r="D5689" s="230">
        <v>0</v>
      </c>
      <c r="E5689" t="s">
        <v>716</v>
      </c>
    </row>
    <row r="5690" spans="1:5" hidden="1" x14ac:dyDescent="0.3">
      <c r="A5690" t="s">
        <v>557</v>
      </c>
      <c r="B5690" t="s">
        <v>717</v>
      </c>
      <c r="C5690" t="s">
        <v>11</v>
      </c>
      <c r="D5690" s="230">
        <v>451905.42</v>
      </c>
      <c r="E5690" t="s">
        <v>718</v>
      </c>
    </row>
    <row r="5691" spans="1:5" hidden="1" x14ac:dyDescent="0.3">
      <c r="A5691" t="s">
        <v>557</v>
      </c>
      <c r="B5691" t="s">
        <v>717</v>
      </c>
      <c r="C5691" t="s">
        <v>13</v>
      </c>
      <c r="D5691" s="230">
        <v>251830.7</v>
      </c>
      <c r="E5691" t="s">
        <v>718</v>
      </c>
    </row>
    <row r="5692" spans="1:5" hidden="1" x14ac:dyDescent="0.3">
      <c r="A5692" t="s">
        <v>557</v>
      </c>
      <c r="B5692" t="s">
        <v>717</v>
      </c>
      <c r="C5692" t="s">
        <v>16</v>
      </c>
      <c r="D5692" s="230">
        <v>133036.4</v>
      </c>
      <c r="E5692" t="s">
        <v>718</v>
      </c>
    </row>
    <row r="5693" spans="1:5" hidden="1" x14ac:dyDescent="0.3">
      <c r="A5693" t="s">
        <v>557</v>
      </c>
      <c r="B5693" t="s">
        <v>717</v>
      </c>
      <c r="C5693" t="s">
        <v>17</v>
      </c>
      <c r="D5693" s="230">
        <v>7584</v>
      </c>
      <c r="E5693" t="s">
        <v>718</v>
      </c>
    </row>
    <row r="5694" spans="1:5" hidden="1" x14ac:dyDescent="0.3">
      <c r="A5694" t="s">
        <v>557</v>
      </c>
      <c r="B5694" t="s">
        <v>717</v>
      </c>
      <c r="C5694" t="s">
        <v>18</v>
      </c>
      <c r="D5694" s="230">
        <v>216</v>
      </c>
      <c r="E5694" t="s">
        <v>718</v>
      </c>
    </row>
    <row r="5695" spans="1:5" hidden="1" x14ac:dyDescent="0.3">
      <c r="A5695" t="s">
        <v>557</v>
      </c>
      <c r="B5695" t="s">
        <v>717</v>
      </c>
      <c r="C5695" t="s">
        <v>20</v>
      </c>
      <c r="D5695" s="230">
        <v>49214.44</v>
      </c>
      <c r="E5695" t="s">
        <v>718</v>
      </c>
    </row>
    <row r="5696" spans="1:5" hidden="1" x14ac:dyDescent="0.3">
      <c r="A5696" t="s">
        <v>557</v>
      </c>
      <c r="B5696" t="s">
        <v>717</v>
      </c>
      <c r="C5696" t="s">
        <v>23</v>
      </c>
      <c r="D5696" s="230">
        <v>1050</v>
      </c>
      <c r="E5696" t="s">
        <v>718</v>
      </c>
    </row>
    <row r="5697" spans="1:5" hidden="1" x14ac:dyDescent="0.3">
      <c r="A5697" t="s">
        <v>557</v>
      </c>
      <c r="B5697" t="s">
        <v>717</v>
      </c>
      <c r="C5697" t="s">
        <v>25</v>
      </c>
      <c r="D5697" s="230">
        <v>0</v>
      </c>
      <c r="E5697" t="s">
        <v>718</v>
      </c>
    </row>
    <row r="5698" spans="1:5" hidden="1" x14ac:dyDescent="0.3">
      <c r="A5698" t="s">
        <v>557</v>
      </c>
      <c r="B5698" t="s">
        <v>717</v>
      </c>
      <c r="C5698" t="s">
        <v>26</v>
      </c>
      <c r="D5698" s="230">
        <v>7800</v>
      </c>
      <c r="E5698" t="s">
        <v>718</v>
      </c>
    </row>
    <row r="5699" spans="1:5" hidden="1" x14ac:dyDescent="0.3">
      <c r="A5699" t="s">
        <v>557</v>
      </c>
      <c r="B5699" t="s">
        <v>717</v>
      </c>
      <c r="C5699" t="s">
        <v>27</v>
      </c>
      <c r="D5699" s="230">
        <v>0</v>
      </c>
      <c r="E5699" t="s">
        <v>718</v>
      </c>
    </row>
    <row r="5700" spans="1:5" hidden="1" x14ac:dyDescent="0.3">
      <c r="A5700" t="s">
        <v>557</v>
      </c>
      <c r="B5700" t="s">
        <v>717</v>
      </c>
      <c r="C5700" t="s">
        <v>29</v>
      </c>
      <c r="D5700" s="230">
        <v>1173.8800000000001</v>
      </c>
      <c r="E5700" t="s">
        <v>718</v>
      </c>
    </row>
    <row r="5701" spans="1:5" hidden="1" x14ac:dyDescent="0.3">
      <c r="A5701" t="s">
        <v>557</v>
      </c>
      <c r="B5701" t="s">
        <v>717</v>
      </c>
      <c r="C5701" t="s">
        <v>31</v>
      </c>
      <c r="D5701" s="230">
        <v>0</v>
      </c>
      <c r="E5701" t="s">
        <v>718</v>
      </c>
    </row>
    <row r="5702" spans="1:5" hidden="1" x14ac:dyDescent="0.3">
      <c r="A5702" t="s">
        <v>557</v>
      </c>
      <c r="B5702" t="s">
        <v>717</v>
      </c>
      <c r="C5702" t="s">
        <v>34</v>
      </c>
      <c r="D5702" s="230">
        <v>-10142.209999999999</v>
      </c>
      <c r="E5702" t="s">
        <v>718</v>
      </c>
    </row>
    <row r="5703" spans="1:5" hidden="1" x14ac:dyDescent="0.3">
      <c r="A5703" t="s">
        <v>557</v>
      </c>
      <c r="B5703" t="s">
        <v>717</v>
      </c>
      <c r="C5703" t="s">
        <v>38</v>
      </c>
      <c r="D5703" s="230">
        <v>-10142.209999999999</v>
      </c>
      <c r="E5703" t="s">
        <v>718</v>
      </c>
    </row>
    <row r="5704" spans="1:5" hidden="1" x14ac:dyDescent="0.3">
      <c r="A5704" t="s">
        <v>557</v>
      </c>
      <c r="B5704" t="s">
        <v>717</v>
      </c>
      <c r="C5704" t="s">
        <v>40</v>
      </c>
      <c r="D5704" s="230">
        <v>0</v>
      </c>
      <c r="E5704" t="s">
        <v>718</v>
      </c>
    </row>
    <row r="5705" spans="1:5" hidden="1" x14ac:dyDescent="0.3">
      <c r="A5705" t="s">
        <v>557</v>
      </c>
      <c r="B5705" t="s">
        <v>717</v>
      </c>
      <c r="C5705" t="s">
        <v>42</v>
      </c>
      <c r="D5705" s="230">
        <v>0</v>
      </c>
      <c r="E5705" t="s">
        <v>718</v>
      </c>
    </row>
    <row r="5706" spans="1:5" hidden="1" x14ac:dyDescent="0.3">
      <c r="A5706" t="s">
        <v>557</v>
      </c>
      <c r="B5706" t="s">
        <v>717</v>
      </c>
      <c r="C5706" t="s">
        <v>44</v>
      </c>
      <c r="D5706" s="230">
        <v>-0.02</v>
      </c>
      <c r="E5706" t="s">
        <v>718</v>
      </c>
    </row>
    <row r="5707" spans="1:5" hidden="1" x14ac:dyDescent="0.3">
      <c r="A5707" t="s">
        <v>557</v>
      </c>
      <c r="B5707" t="s">
        <v>717</v>
      </c>
      <c r="C5707" t="s">
        <v>45</v>
      </c>
      <c r="D5707" s="230">
        <v>-27287.69</v>
      </c>
      <c r="E5707" t="s">
        <v>718</v>
      </c>
    </row>
    <row r="5708" spans="1:5" hidden="1" x14ac:dyDescent="0.3">
      <c r="A5708" t="s">
        <v>557</v>
      </c>
      <c r="B5708" t="s">
        <v>717</v>
      </c>
      <c r="C5708" t="s">
        <v>46</v>
      </c>
      <c r="D5708" s="230">
        <v>-14328.03</v>
      </c>
      <c r="E5708" t="s">
        <v>718</v>
      </c>
    </row>
    <row r="5709" spans="1:5" hidden="1" x14ac:dyDescent="0.3">
      <c r="A5709" t="s">
        <v>557</v>
      </c>
      <c r="B5709" t="s">
        <v>717</v>
      </c>
      <c r="C5709" t="s">
        <v>48</v>
      </c>
      <c r="D5709" s="230">
        <v>-12527.96</v>
      </c>
      <c r="E5709" t="s">
        <v>718</v>
      </c>
    </row>
    <row r="5710" spans="1:5" hidden="1" x14ac:dyDescent="0.3">
      <c r="A5710" t="s">
        <v>557</v>
      </c>
      <c r="B5710" t="s">
        <v>717</v>
      </c>
      <c r="C5710" t="s">
        <v>49</v>
      </c>
      <c r="D5710" s="230">
        <v>-431.7</v>
      </c>
      <c r="E5710" t="s">
        <v>718</v>
      </c>
    </row>
    <row r="5711" spans="1:5" hidden="1" x14ac:dyDescent="0.3">
      <c r="A5711" t="s">
        <v>557</v>
      </c>
      <c r="B5711" t="s">
        <v>717</v>
      </c>
      <c r="C5711" t="s">
        <v>50</v>
      </c>
      <c r="D5711" s="230">
        <v>414475.52000000002</v>
      </c>
      <c r="E5711" t="s">
        <v>718</v>
      </c>
    </row>
    <row r="5712" spans="1:5" hidden="1" x14ac:dyDescent="0.3">
      <c r="A5712" t="s">
        <v>557</v>
      </c>
      <c r="B5712" t="s">
        <v>717</v>
      </c>
      <c r="C5712" t="s">
        <v>51</v>
      </c>
      <c r="D5712" s="230">
        <v>-109392.82</v>
      </c>
      <c r="E5712" t="s">
        <v>718</v>
      </c>
    </row>
    <row r="5713" spans="1:5" hidden="1" x14ac:dyDescent="0.3">
      <c r="A5713" t="s">
        <v>557</v>
      </c>
      <c r="B5713" t="s">
        <v>717</v>
      </c>
      <c r="C5713" t="s">
        <v>52</v>
      </c>
      <c r="D5713" s="230">
        <v>-79225.460000000006</v>
      </c>
      <c r="E5713" t="s">
        <v>718</v>
      </c>
    </row>
    <row r="5714" spans="1:5" hidden="1" x14ac:dyDescent="0.3">
      <c r="A5714" t="s">
        <v>557</v>
      </c>
      <c r="B5714" t="s">
        <v>717</v>
      </c>
      <c r="C5714" t="s">
        <v>53</v>
      </c>
      <c r="D5714" s="230">
        <v>-30167.35</v>
      </c>
      <c r="E5714" t="s">
        <v>718</v>
      </c>
    </row>
    <row r="5715" spans="1:5" hidden="1" x14ac:dyDescent="0.3">
      <c r="A5715" t="s">
        <v>557</v>
      </c>
      <c r="B5715" t="s">
        <v>717</v>
      </c>
      <c r="C5715" t="s">
        <v>54</v>
      </c>
      <c r="D5715" s="230">
        <v>0</v>
      </c>
      <c r="E5715" t="s">
        <v>718</v>
      </c>
    </row>
    <row r="5716" spans="1:5" hidden="1" x14ac:dyDescent="0.3">
      <c r="A5716" t="s">
        <v>557</v>
      </c>
      <c r="B5716" t="s">
        <v>717</v>
      </c>
      <c r="C5716" t="s">
        <v>23</v>
      </c>
      <c r="D5716" s="230">
        <v>0</v>
      </c>
      <c r="E5716" t="s">
        <v>718</v>
      </c>
    </row>
    <row r="5717" spans="1:5" hidden="1" x14ac:dyDescent="0.3">
      <c r="A5717" t="s">
        <v>557</v>
      </c>
      <c r="B5717" t="s">
        <v>717</v>
      </c>
      <c r="C5717" t="s">
        <v>44</v>
      </c>
      <c r="D5717" s="230">
        <v>-0.28000000000000003</v>
      </c>
      <c r="E5717" t="s">
        <v>718</v>
      </c>
    </row>
    <row r="5718" spans="1:5" hidden="1" x14ac:dyDescent="0.3">
      <c r="A5718" t="s">
        <v>557</v>
      </c>
      <c r="B5718" t="s">
        <v>717</v>
      </c>
      <c r="C5718" t="s">
        <v>55</v>
      </c>
      <c r="D5718" s="230">
        <v>-0.26</v>
      </c>
      <c r="E5718" t="s">
        <v>718</v>
      </c>
    </row>
    <row r="5719" spans="1:5" hidden="1" x14ac:dyDescent="0.3">
      <c r="A5719" t="s">
        <v>557</v>
      </c>
      <c r="B5719" t="s">
        <v>717</v>
      </c>
      <c r="C5719" t="s">
        <v>56</v>
      </c>
      <c r="D5719" s="230">
        <v>-8912.49</v>
      </c>
      <c r="E5719" t="s">
        <v>718</v>
      </c>
    </row>
    <row r="5720" spans="1:5" hidden="1" x14ac:dyDescent="0.3">
      <c r="A5720" t="s">
        <v>557</v>
      </c>
      <c r="B5720" t="s">
        <v>717</v>
      </c>
      <c r="C5720" t="s">
        <v>57</v>
      </c>
      <c r="D5720" s="230">
        <v>-8912.49</v>
      </c>
      <c r="E5720" t="s">
        <v>718</v>
      </c>
    </row>
    <row r="5721" spans="1:5" hidden="1" x14ac:dyDescent="0.3">
      <c r="A5721" t="s">
        <v>557</v>
      </c>
      <c r="B5721" t="s">
        <v>717</v>
      </c>
      <c r="C5721" t="s">
        <v>58</v>
      </c>
      <c r="D5721" s="230">
        <v>-8450</v>
      </c>
      <c r="E5721" t="s">
        <v>718</v>
      </c>
    </row>
    <row r="5722" spans="1:5" hidden="1" x14ac:dyDescent="0.3">
      <c r="A5722" t="s">
        <v>557</v>
      </c>
      <c r="B5722" t="s">
        <v>717</v>
      </c>
      <c r="C5722" t="s">
        <v>59</v>
      </c>
      <c r="D5722" s="230">
        <v>-462.49</v>
      </c>
      <c r="E5722" t="s">
        <v>718</v>
      </c>
    </row>
    <row r="5723" spans="1:5" hidden="1" x14ac:dyDescent="0.3">
      <c r="A5723" t="s">
        <v>557</v>
      </c>
      <c r="B5723" t="s">
        <v>717</v>
      </c>
      <c r="C5723" t="s">
        <v>61</v>
      </c>
      <c r="D5723" s="230">
        <v>0</v>
      </c>
      <c r="E5723" t="s">
        <v>718</v>
      </c>
    </row>
    <row r="5724" spans="1:5" hidden="1" x14ac:dyDescent="0.3">
      <c r="A5724" t="s">
        <v>557</v>
      </c>
      <c r="B5724" t="s">
        <v>717</v>
      </c>
      <c r="C5724" t="s">
        <v>62</v>
      </c>
      <c r="D5724" s="230">
        <v>0</v>
      </c>
      <c r="E5724" t="s">
        <v>718</v>
      </c>
    </row>
    <row r="5725" spans="1:5" hidden="1" x14ac:dyDescent="0.3">
      <c r="A5725" t="s">
        <v>557</v>
      </c>
      <c r="B5725" t="s">
        <v>717</v>
      </c>
      <c r="C5725" t="s">
        <v>64</v>
      </c>
      <c r="D5725" s="230">
        <v>0</v>
      </c>
      <c r="E5725" t="s">
        <v>718</v>
      </c>
    </row>
    <row r="5726" spans="1:5" hidden="1" x14ac:dyDescent="0.3">
      <c r="A5726" t="s">
        <v>557</v>
      </c>
      <c r="B5726" t="s">
        <v>717</v>
      </c>
      <c r="C5726" t="s">
        <v>65</v>
      </c>
      <c r="D5726" s="230">
        <v>0</v>
      </c>
      <c r="E5726" t="s">
        <v>718</v>
      </c>
    </row>
    <row r="5727" spans="1:5" hidden="1" x14ac:dyDescent="0.3">
      <c r="A5727" t="s">
        <v>557</v>
      </c>
      <c r="B5727" t="s">
        <v>717</v>
      </c>
      <c r="C5727" t="s">
        <v>66</v>
      </c>
      <c r="D5727" s="230">
        <v>0</v>
      </c>
      <c r="E5727" t="s">
        <v>718</v>
      </c>
    </row>
    <row r="5728" spans="1:5" hidden="1" x14ac:dyDescent="0.3">
      <c r="A5728" t="s">
        <v>557</v>
      </c>
      <c r="B5728" t="s">
        <v>717</v>
      </c>
      <c r="C5728" t="s">
        <v>68</v>
      </c>
      <c r="D5728" s="230">
        <v>0</v>
      </c>
      <c r="E5728" t="s">
        <v>718</v>
      </c>
    </row>
    <row r="5729" spans="1:5" hidden="1" x14ac:dyDescent="0.3">
      <c r="A5729" t="s">
        <v>557</v>
      </c>
      <c r="B5729" t="s">
        <v>717</v>
      </c>
      <c r="C5729" t="s">
        <v>69</v>
      </c>
      <c r="D5729" s="230">
        <v>0</v>
      </c>
      <c r="E5729" t="s">
        <v>718</v>
      </c>
    </row>
    <row r="5730" spans="1:5" hidden="1" x14ac:dyDescent="0.3">
      <c r="A5730" t="s">
        <v>557</v>
      </c>
      <c r="B5730" t="s">
        <v>717</v>
      </c>
      <c r="C5730" t="s">
        <v>70</v>
      </c>
      <c r="D5730" s="230">
        <v>-1.18</v>
      </c>
      <c r="E5730" t="s">
        <v>718</v>
      </c>
    </row>
    <row r="5731" spans="1:5" hidden="1" x14ac:dyDescent="0.3">
      <c r="A5731" t="s">
        <v>557</v>
      </c>
      <c r="B5731" t="s">
        <v>717</v>
      </c>
      <c r="C5731" t="s">
        <v>44</v>
      </c>
      <c r="D5731" s="230">
        <v>-0.02</v>
      </c>
      <c r="E5731" t="s">
        <v>718</v>
      </c>
    </row>
    <row r="5732" spans="1:5" hidden="1" x14ac:dyDescent="0.3">
      <c r="A5732" t="s">
        <v>557</v>
      </c>
      <c r="B5732" t="s">
        <v>717</v>
      </c>
      <c r="C5732" t="s">
        <v>71</v>
      </c>
      <c r="D5732" s="230">
        <v>-1500</v>
      </c>
      <c r="E5732" t="s">
        <v>718</v>
      </c>
    </row>
    <row r="5733" spans="1:5" hidden="1" x14ac:dyDescent="0.3">
      <c r="A5733" t="s">
        <v>557</v>
      </c>
      <c r="B5733" t="s">
        <v>717</v>
      </c>
      <c r="C5733" t="s">
        <v>72</v>
      </c>
      <c r="D5733" s="230">
        <v>-1500</v>
      </c>
      <c r="E5733" t="s">
        <v>718</v>
      </c>
    </row>
    <row r="5734" spans="1:5" hidden="1" x14ac:dyDescent="0.3">
      <c r="A5734" t="s">
        <v>557</v>
      </c>
      <c r="B5734" t="s">
        <v>717</v>
      </c>
      <c r="C5734" t="s">
        <v>73</v>
      </c>
      <c r="D5734" s="230">
        <v>0</v>
      </c>
      <c r="E5734" t="s">
        <v>718</v>
      </c>
    </row>
    <row r="5735" spans="1:5" hidden="1" x14ac:dyDescent="0.3">
      <c r="A5735" t="s">
        <v>557</v>
      </c>
      <c r="B5735" t="s">
        <v>717</v>
      </c>
      <c r="C5735" t="s">
        <v>75</v>
      </c>
      <c r="D5735" s="230">
        <v>-1500</v>
      </c>
      <c r="E5735" t="s">
        <v>718</v>
      </c>
    </row>
    <row r="5736" spans="1:5" hidden="1" x14ac:dyDescent="0.3">
      <c r="A5736" t="s">
        <v>557</v>
      </c>
      <c r="B5736" t="s">
        <v>717</v>
      </c>
      <c r="C5736" t="s">
        <v>77</v>
      </c>
      <c r="D5736" s="230">
        <v>0</v>
      </c>
      <c r="E5736" t="s">
        <v>718</v>
      </c>
    </row>
    <row r="5737" spans="1:5" hidden="1" x14ac:dyDescent="0.3">
      <c r="A5737" t="s">
        <v>557</v>
      </c>
      <c r="B5737" t="s">
        <v>717</v>
      </c>
      <c r="C5737" t="s">
        <v>78</v>
      </c>
      <c r="D5737" s="230">
        <v>0</v>
      </c>
      <c r="E5737" t="s">
        <v>718</v>
      </c>
    </row>
    <row r="5738" spans="1:5" hidden="1" x14ac:dyDescent="0.3">
      <c r="A5738" t="s">
        <v>557</v>
      </c>
      <c r="B5738" t="s">
        <v>717</v>
      </c>
      <c r="C5738" t="s">
        <v>80</v>
      </c>
      <c r="D5738" s="230">
        <v>0</v>
      </c>
      <c r="E5738" t="s">
        <v>718</v>
      </c>
    </row>
    <row r="5739" spans="1:5" hidden="1" x14ac:dyDescent="0.3">
      <c r="A5739" t="s">
        <v>557</v>
      </c>
      <c r="B5739" t="s">
        <v>717</v>
      </c>
      <c r="C5739" t="s">
        <v>82</v>
      </c>
      <c r="D5739" s="230">
        <v>0</v>
      </c>
      <c r="E5739" t="s">
        <v>718</v>
      </c>
    </row>
    <row r="5740" spans="1:5" hidden="1" x14ac:dyDescent="0.3">
      <c r="A5740" t="s">
        <v>557</v>
      </c>
      <c r="B5740" t="s">
        <v>717</v>
      </c>
      <c r="C5740" t="s">
        <v>84</v>
      </c>
      <c r="D5740" s="230">
        <v>0</v>
      </c>
      <c r="E5740" t="s">
        <v>718</v>
      </c>
    </row>
    <row r="5741" spans="1:5" hidden="1" x14ac:dyDescent="0.3">
      <c r="A5741" t="s">
        <v>557</v>
      </c>
      <c r="B5741" t="s">
        <v>717</v>
      </c>
      <c r="C5741" t="s">
        <v>85</v>
      </c>
      <c r="D5741" s="230">
        <v>0</v>
      </c>
      <c r="E5741" t="s">
        <v>718</v>
      </c>
    </row>
    <row r="5742" spans="1:5" hidden="1" x14ac:dyDescent="0.3">
      <c r="A5742" t="s">
        <v>557</v>
      </c>
      <c r="B5742" t="s">
        <v>717</v>
      </c>
      <c r="C5742" t="s">
        <v>86</v>
      </c>
      <c r="D5742" s="230">
        <v>0</v>
      </c>
      <c r="E5742" t="s">
        <v>718</v>
      </c>
    </row>
    <row r="5743" spans="1:5" hidden="1" x14ac:dyDescent="0.3">
      <c r="A5743" t="s">
        <v>557</v>
      </c>
      <c r="B5743" t="s">
        <v>717</v>
      </c>
      <c r="C5743" t="s">
        <v>87</v>
      </c>
      <c r="D5743" s="230">
        <v>0</v>
      </c>
      <c r="E5743" t="s">
        <v>718</v>
      </c>
    </row>
    <row r="5744" spans="1:5" hidden="1" x14ac:dyDescent="0.3">
      <c r="A5744" t="s">
        <v>557</v>
      </c>
      <c r="B5744" t="s">
        <v>717</v>
      </c>
      <c r="C5744" t="s">
        <v>88</v>
      </c>
      <c r="D5744" s="230">
        <v>0</v>
      </c>
      <c r="E5744" t="s">
        <v>718</v>
      </c>
    </row>
    <row r="5745" spans="1:5" hidden="1" x14ac:dyDescent="0.3">
      <c r="A5745" t="s">
        <v>557</v>
      </c>
      <c r="B5745" t="s">
        <v>717</v>
      </c>
      <c r="C5745" t="s">
        <v>89</v>
      </c>
      <c r="D5745" s="230">
        <v>0</v>
      </c>
      <c r="E5745" t="s">
        <v>718</v>
      </c>
    </row>
    <row r="5746" spans="1:5" hidden="1" x14ac:dyDescent="0.3">
      <c r="A5746" t="s">
        <v>557</v>
      </c>
      <c r="B5746" t="s">
        <v>717</v>
      </c>
      <c r="C5746" t="s">
        <v>90</v>
      </c>
      <c r="D5746" s="230">
        <v>0</v>
      </c>
      <c r="E5746" t="s">
        <v>718</v>
      </c>
    </row>
    <row r="5747" spans="1:5" hidden="1" x14ac:dyDescent="0.3">
      <c r="A5747" t="s">
        <v>557</v>
      </c>
      <c r="B5747" t="s">
        <v>717</v>
      </c>
      <c r="C5747" t="s">
        <v>91</v>
      </c>
      <c r="D5747" s="230">
        <v>0</v>
      </c>
      <c r="E5747" t="s">
        <v>718</v>
      </c>
    </row>
    <row r="5748" spans="1:5" hidden="1" x14ac:dyDescent="0.3">
      <c r="A5748" t="s">
        <v>557</v>
      </c>
      <c r="B5748" t="s">
        <v>717</v>
      </c>
      <c r="C5748" t="s">
        <v>93</v>
      </c>
      <c r="D5748" s="230">
        <v>0</v>
      </c>
      <c r="E5748" t="s">
        <v>718</v>
      </c>
    </row>
    <row r="5749" spans="1:5" hidden="1" x14ac:dyDescent="0.3">
      <c r="A5749" t="s">
        <v>557</v>
      </c>
      <c r="B5749" t="s">
        <v>717</v>
      </c>
      <c r="C5749" t="s">
        <v>95</v>
      </c>
      <c r="D5749" s="230">
        <v>0</v>
      </c>
      <c r="E5749" t="s">
        <v>718</v>
      </c>
    </row>
    <row r="5750" spans="1:5" hidden="1" x14ac:dyDescent="0.3">
      <c r="A5750" t="s">
        <v>557</v>
      </c>
      <c r="B5750" t="s">
        <v>717</v>
      </c>
      <c r="C5750" t="s">
        <v>96</v>
      </c>
      <c r="D5750" s="230">
        <v>0</v>
      </c>
      <c r="E5750" t="s">
        <v>718</v>
      </c>
    </row>
    <row r="5751" spans="1:5" hidden="1" x14ac:dyDescent="0.3">
      <c r="A5751" t="s">
        <v>557</v>
      </c>
      <c r="B5751" t="s">
        <v>717</v>
      </c>
      <c r="C5751" t="s">
        <v>98</v>
      </c>
      <c r="D5751" s="230">
        <v>0</v>
      </c>
      <c r="E5751" t="s">
        <v>718</v>
      </c>
    </row>
    <row r="5752" spans="1:5" hidden="1" x14ac:dyDescent="0.3">
      <c r="A5752" t="s">
        <v>557</v>
      </c>
      <c r="B5752" t="s">
        <v>717</v>
      </c>
      <c r="C5752" t="s">
        <v>100</v>
      </c>
      <c r="D5752" s="230">
        <v>0</v>
      </c>
      <c r="E5752" t="s">
        <v>718</v>
      </c>
    </row>
    <row r="5753" spans="1:5" hidden="1" x14ac:dyDescent="0.3">
      <c r="A5753" t="s">
        <v>557</v>
      </c>
      <c r="B5753" t="s">
        <v>717</v>
      </c>
      <c r="C5753" t="s">
        <v>101</v>
      </c>
      <c r="D5753" s="230">
        <v>0</v>
      </c>
      <c r="E5753" t="s">
        <v>718</v>
      </c>
    </row>
    <row r="5754" spans="1:5" hidden="1" x14ac:dyDescent="0.3">
      <c r="A5754" t="s">
        <v>557</v>
      </c>
      <c r="B5754" t="s">
        <v>717</v>
      </c>
      <c r="C5754" t="s">
        <v>102</v>
      </c>
      <c r="D5754" s="230">
        <v>0</v>
      </c>
      <c r="E5754" t="s">
        <v>718</v>
      </c>
    </row>
    <row r="5755" spans="1:5" hidden="1" x14ac:dyDescent="0.3">
      <c r="A5755" t="s">
        <v>557</v>
      </c>
      <c r="B5755" t="s">
        <v>717</v>
      </c>
      <c r="C5755" t="s">
        <v>103</v>
      </c>
      <c r="D5755" s="230">
        <v>0</v>
      </c>
      <c r="E5755" t="s">
        <v>718</v>
      </c>
    </row>
    <row r="5756" spans="1:5" hidden="1" x14ac:dyDescent="0.3">
      <c r="A5756" t="s">
        <v>557</v>
      </c>
      <c r="B5756" t="s">
        <v>717</v>
      </c>
      <c r="C5756" t="s">
        <v>104</v>
      </c>
      <c r="D5756" s="230">
        <v>0</v>
      </c>
      <c r="E5756" t="s">
        <v>718</v>
      </c>
    </row>
    <row r="5757" spans="1:5" hidden="1" x14ac:dyDescent="0.3">
      <c r="A5757" t="s">
        <v>557</v>
      </c>
      <c r="B5757" t="s">
        <v>717</v>
      </c>
      <c r="C5757" t="s">
        <v>105</v>
      </c>
      <c r="D5757" s="230">
        <v>0</v>
      </c>
      <c r="E5757" t="s">
        <v>718</v>
      </c>
    </row>
    <row r="5758" spans="1:5" hidden="1" x14ac:dyDescent="0.3">
      <c r="A5758" t="s">
        <v>557</v>
      </c>
      <c r="B5758" t="s">
        <v>717</v>
      </c>
      <c r="C5758" t="s">
        <v>107</v>
      </c>
      <c r="D5758" s="230">
        <v>0</v>
      </c>
      <c r="E5758" t="s">
        <v>718</v>
      </c>
    </row>
    <row r="5759" spans="1:5" hidden="1" x14ac:dyDescent="0.3">
      <c r="A5759" t="s">
        <v>557</v>
      </c>
      <c r="B5759" t="s">
        <v>717</v>
      </c>
      <c r="C5759" t="s">
        <v>108</v>
      </c>
      <c r="D5759" s="230">
        <v>0</v>
      </c>
      <c r="E5759" t="s">
        <v>718</v>
      </c>
    </row>
    <row r="5760" spans="1:5" hidden="1" x14ac:dyDescent="0.3">
      <c r="A5760" t="s">
        <v>557</v>
      </c>
      <c r="B5760" t="s">
        <v>717</v>
      </c>
      <c r="C5760" t="s">
        <v>109</v>
      </c>
      <c r="D5760" s="230">
        <v>0</v>
      </c>
      <c r="E5760" t="s">
        <v>718</v>
      </c>
    </row>
    <row r="5761" spans="1:5" hidden="1" x14ac:dyDescent="0.3">
      <c r="A5761" t="s">
        <v>557</v>
      </c>
      <c r="B5761" t="s">
        <v>717</v>
      </c>
      <c r="C5761" t="s">
        <v>110</v>
      </c>
      <c r="D5761" s="230">
        <v>0</v>
      </c>
      <c r="E5761" t="s">
        <v>718</v>
      </c>
    </row>
    <row r="5762" spans="1:5" hidden="1" x14ac:dyDescent="0.3">
      <c r="A5762" t="s">
        <v>557</v>
      </c>
      <c r="B5762" t="s">
        <v>717</v>
      </c>
      <c r="C5762" t="s">
        <v>44</v>
      </c>
      <c r="D5762" s="230">
        <v>0</v>
      </c>
      <c r="E5762" t="s">
        <v>718</v>
      </c>
    </row>
    <row r="5763" spans="1:5" hidden="1" x14ac:dyDescent="0.3">
      <c r="A5763" t="s">
        <v>557</v>
      </c>
      <c r="B5763" t="s">
        <v>717</v>
      </c>
      <c r="C5763" t="s">
        <v>111</v>
      </c>
      <c r="D5763" s="230">
        <v>-29889.9</v>
      </c>
      <c r="E5763" t="s">
        <v>718</v>
      </c>
    </row>
    <row r="5764" spans="1:5" hidden="1" x14ac:dyDescent="0.3">
      <c r="A5764" t="s">
        <v>557</v>
      </c>
      <c r="B5764" t="s">
        <v>717</v>
      </c>
      <c r="C5764" t="s">
        <v>608</v>
      </c>
      <c r="D5764" s="230">
        <v>-29889.9</v>
      </c>
      <c r="E5764" t="s">
        <v>718</v>
      </c>
    </row>
    <row r="5765" spans="1:5" hidden="1" x14ac:dyDescent="0.3">
      <c r="A5765" t="s">
        <v>557</v>
      </c>
      <c r="B5765" t="s">
        <v>717</v>
      </c>
      <c r="C5765" t="s">
        <v>44</v>
      </c>
      <c r="D5765" s="230">
        <v>-7.0000000000000007E-2</v>
      </c>
      <c r="E5765" t="s">
        <v>718</v>
      </c>
    </row>
    <row r="5766" spans="1:5" hidden="1" x14ac:dyDescent="0.3">
      <c r="A5766" t="s">
        <v>557</v>
      </c>
      <c r="B5766" t="s">
        <v>717</v>
      </c>
      <c r="C5766" t="s">
        <v>115</v>
      </c>
      <c r="D5766" s="230">
        <v>-8449.25</v>
      </c>
      <c r="E5766" t="s">
        <v>718</v>
      </c>
    </row>
    <row r="5767" spans="1:5" hidden="1" x14ac:dyDescent="0.3">
      <c r="A5767" t="s">
        <v>557</v>
      </c>
      <c r="B5767" t="s">
        <v>717</v>
      </c>
      <c r="C5767" t="s">
        <v>116</v>
      </c>
      <c r="D5767" s="230">
        <v>-8115.9</v>
      </c>
      <c r="E5767" t="s">
        <v>718</v>
      </c>
    </row>
    <row r="5768" spans="1:5" hidden="1" x14ac:dyDescent="0.3">
      <c r="A5768" t="s">
        <v>557</v>
      </c>
      <c r="B5768" t="s">
        <v>717</v>
      </c>
      <c r="C5768" t="s">
        <v>118</v>
      </c>
      <c r="D5768" s="230">
        <v>0</v>
      </c>
      <c r="E5768" t="s">
        <v>718</v>
      </c>
    </row>
    <row r="5769" spans="1:5" hidden="1" x14ac:dyDescent="0.3">
      <c r="A5769" t="s">
        <v>557</v>
      </c>
      <c r="B5769" t="s">
        <v>717</v>
      </c>
      <c r="C5769" t="s">
        <v>120</v>
      </c>
      <c r="D5769" s="230">
        <v>0</v>
      </c>
      <c r="E5769" t="s">
        <v>718</v>
      </c>
    </row>
    <row r="5770" spans="1:5" hidden="1" x14ac:dyDescent="0.3">
      <c r="A5770" t="s">
        <v>557</v>
      </c>
      <c r="B5770" t="s">
        <v>717</v>
      </c>
      <c r="C5770" t="s">
        <v>122</v>
      </c>
      <c r="D5770" s="230">
        <v>-333.35</v>
      </c>
      <c r="E5770" t="s">
        <v>718</v>
      </c>
    </row>
    <row r="5771" spans="1:5" hidden="1" x14ac:dyDescent="0.3">
      <c r="A5771" t="s">
        <v>557</v>
      </c>
      <c r="B5771" t="s">
        <v>717</v>
      </c>
      <c r="C5771" t="s">
        <v>44</v>
      </c>
      <c r="D5771" s="230">
        <v>-0.02</v>
      </c>
      <c r="E5771" t="s">
        <v>718</v>
      </c>
    </row>
    <row r="5772" spans="1:5" hidden="1" x14ac:dyDescent="0.3">
      <c r="A5772" t="s">
        <v>557</v>
      </c>
      <c r="B5772" t="s">
        <v>717</v>
      </c>
      <c r="C5772" t="s">
        <v>126</v>
      </c>
      <c r="D5772" s="230">
        <v>256331.06</v>
      </c>
      <c r="E5772" t="s">
        <v>718</v>
      </c>
    </row>
    <row r="5773" spans="1:5" hidden="1" x14ac:dyDescent="0.3">
      <c r="A5773" t="s">
        <v>557</v>
      </c>
      <c r="B5773" t="s">
        <v>717</v>
      </c>
      <c r="C5773" t="s">
        <v>127</v>
      </c>
      <c r="D5773" s="230">
        <v>0.56999999999999995</v>
      </c>
      <c r="E5773" t="s">
        <v>718</v>
      </c>
    </row>
    <row r="5774" spans="1:5" hidden="1" x14ac:dyDescent="0.3">
      <c r="A5774" t="s">
        <v>557</v>
      </c>
      <c r="B5774" t="s">
        <v>717</v>
      </c>
      <c r="C5774" t="s">
        <v>128</v>
      </c>
      <c r="D5774" s="230">
        <v>-120795.57</v>
      </c>
      <c r="E5774" t="s">
        <v>718</v>
      </c>
    </row>
    <row r="5775" spans="1:5" hidden="1" x14ac:dyDescent="0.3">
      <c r="A5775" t="s">
        <v>557</v>
      </c>
      <c r="B5775" t="s">
        <v>717</v>
      </c>
      <c r="C5775" t="s">
        <v>129</v>
      </c>
      <c r="D5775" s="230">
        <v>-33000</v>
      </c>
      <c r="E5775" t="s">
        <v>718</v>
      </c>
    </row>
    <row r="5776" spans="1:5" hidden="1" x14ac:dyDescent="0.3">
      <c r="A5776" t="s">
        <v>557</v>
      </c>
      <c r="B5776" t="s">
        <v>717</v>
      </c>
      <c r="C5776" t="s">
        <v>609</v>
      </c>
      <c r="D5776" s="230">
        <v>-600</v>
      </c>
      <c r="E5776" t="s">
        <v>718</v>
      </c>
    </row>
    <row r="5777" spans="1:5" hidden="1" x14ac:dyDescent="0.3">
      <c r="A5777" t="s">
        <v>557</v>
      </c>
      <c r="B5777" t="s">
        <v>717</v>
      </c>
      <c r="C5777" t="s">
        <v>610</v>
      </c>
      <c r="D5777" s="230">
        <v>-11000</v>
      </c>
      <c r="E5777" t="s">
        <v>718</v>
      </c>
    </row>
    <row r="5778" spans="1:5" hidden="1" x14ac:dyDescent="0.3">
      <c r="A5778" t="s">
        <v>557</v>
      </c>
      <c r="B5778" t="s">
        <v>717</v>
      </c>
      <c r="C5778" t="s">
        <v>611</v>
      </c>
      <c r="D5778" s="230">
        <v>-6600</v>
      </c>
      <c r="E5778" t="s">
        <v>718</v>
      </c>
    </row>
    <row r="5779" spans="1:5" hidden="1" x14ac:dyDescent="0.3">
      <c r="A5779" t="s">
        <v>557</v>
      </c>
      <c r="B5779" t="s">
        <v>717</v>
      </c>
      <c r="C5779" t="s">
        <v>612</v>
      </c>
      <c r="D5779" s="230">
        <v>-4800</v>
      </c>
      <c r="E5779" t="s">
        <v>718</v>
      </c>
    </row>
    <row r="5780" spans="1:5" hidden="1" x14ac:dyDescent="0.3">
      <c r="A5780" t="s">
        <v>557</v>
      </c>
      <c r="B5780" t="s">
        <v>717</v>
      </c>
      <c r="C5780" t="s">
        <v>613</v>
      </c>
      <c r="D5780" s="230">
        <v>-1200</v>
      </c>
      <c r="E5780" t="s">
        <v>718</v>
      </c>
    </row>
    <row r="5781" spans="1:5" hidden="1" x14ac:dyDescent="0.3">
      <c r="A5781" t="s">
        <v>557</v>
      </c>
      <c r="B5781" t="s">
        <v>717</v>
      </c>
      <c r="C5781" t="s">
        <v>614</v>
      </c>
      <c r="D5781" s="230">
        <v>0</v>
      </c>
      <c r="E5781" t="s">
        <v>718</v>
      </c>
    </row>
    <row r="5782" spans="1:5" hidden="1" x14ac:dyDescent="0.3">
      <c r="A5782" t="s">
        <v>557</v>
      </c>
      <c r="B5782" t="s">
        <v>717</v>
      </c>
      <c r="C5782" t="s">
        <v>615</v>
      </c>
      <c r="D5782" s="230">
        <v>0</v>
      </c>
      <c r="E5782" t="s">
        <v>718</v>
      </c>
    </row>
    <row r="5783" spans="1:5" hidden="1" x14ac:dyDescent="0.3">
      <c r="A5783" t="s">
        <v>557</v>
      </c>
      <c r="B5783" t="s">
        <v>717</v>
      </c>
      <c r="C5783" t="s">
        <v>616</v>
      </c>
      <c r="D5783" s="230">
        <v>-8800</v>
      </c>
      <c r="E5783" t="s">
        <v>718</v>
      </c>
    </row>
    <row r="5784" spans="1:5" hidden="1" x14ac:dyDescent="0.3">
      <c r="A5784" t="s">
        <v>557</v>
      </c>
      <c r="B5784" t="s">
        <v>717</v>
      </c>
      <c r="C5784" t="s">
        <v>617</v>
      </c>
      <c r="D5784" s="230">
        <v>0</v>
      </c>
      <c r="E5784" t="s">
        <v>718</v>
      </c>
    </row>
    <row r="5785" spans="1:5" hidden="1" x14ac:dyDescent="0.3">
      <c r="A5785" t="s">
        <v>557</v>
      </c>
      <c r="B5785" t="s">
        <v>717</v>
      </c>
      <c r="C5785" t="s">
        <v>618</v>
      </c>
      <c r="D5785" s="230">
        <v>0</v>
      </c>
      <c r="E5785" t="s">
        <v>718</v>
      </c>
    </row>
    <row r="5786" spans="1:5" hidden="1" x14ac:dyDescent="0.3">
      <c r="A5786" t="s">
        <v>557</v>
      </c>
      <c r="B5786" t="s">
        <v>717</v>
      </c>
      <c r="C5786" t="s">
        <v>619</v>
      </c>
      <c r="D5786" s="230">
        <v>0</v>
      </c>
      <c r="E5786" t="s">
        <v>718</v>
      </c>
    </row>
    <row r="5787" spans="1:5" hidden="1" x14ac:dyDescent="0.3">
      <c r="A5787" t="s">
        <v>557</v>
      </c>
      <c r="B5787" t="s">
        <v>717</v>
      </c>
      <c r="C5787" t="s">
        <v>620</v>
      </c>
      <c r="D5787" s="230">
        <v>0</v>
      </c>
      <c r="E5787" t="s">
        <v>718</v>
      </c>
    </row>
    <row r="5788" spans="1:5" hidden="1" x14ac:dyDescent="0.3">
      <c r="A5788" t="s">
        <v>557</v>
      </c>
      <c r="B5788" t="s">
        <v>717</v>
      </c>
      <c r="C5788" t="s">
        <v>575</v>
      </c>
      <c r="D5788" s="230">
        <v>-44219.65</v>
      </c>
      <c r="E5788" t="s">
        <v>718</v>
      </c>
    </row>
    <row r="5789" spans="1:5" hidden="1" x14ac:dyDescent="0.3">
      <c r="A5789" t="s">
        <v>557</v>
      </c>
      <c r="B5789" t="s">
        <v>717</v>
      </c>
      <c r="C5789" t="s">
        <v>621</v>
      </c>
      <c r="D5789" s="230">
        <v>0</v>
      </c>
      <c r="E5789" t="s">
        <v>718</v>
      </c>
    </row>
    <row r="5790" spans="1:5" hidden="1" x14ac:dyDescent="0.3">
      <c r="A5790" t="s">
        <v>557</v>
      </c>
      <c r="B5790" t="s">
        <v>717</v>
      </c>
      <c r="C5790" t="s">
        <v>622</v>
      </c>
      <c r="D5790" s="230">
        <v>0</v>
      </c>
      <c r="E5790" t="s">
        <v>718</v>
      </c>
    </row>
    <row r="5791" spans="1:5" hidden="1" x14ac:dyDescent="0.3">
      <c r="A5791" t="s">
        <v>557</v>
      </c>
      <c r="B5791" t="s">
        <v>717</v>
      </c>
      <c r="C5791" t="s">
        <v>623</v>
      </c>
      <c r="D5791" s="230">
        <v>0</v>
      </c>
      <c r="E5791" t="s">
        <v>718</v>
      </c>
    </row>
    <row r="5792" spans="1:5" hidden="1" x14ac:dyDescent="0.3">
      <c r="A5792" t="s">
        <v>557</v>
      </c>
      <c r="B5792" t="s">
        <v>717</v>
      </c>
      <c r="C5792" t="s">
        <v>624</v>
      </c>
      <c r="D5792" s="230">
        <v>0</v>
      </c>
      <c r="E5792" t="s">
        <v>718</v>
      </c>
    </row>
    <row r="5793" spans="1:5" hidden="1" x14ac:dyDescent="0.3">
      <c r="A5793" t="s">
        <v>557</v>
      </c>
      <c r="B5793" t="s">
        <v>717</v>
      </c>
      <c r="C5793" t="s">
        <v>625</v>
      </c>
      <c r="D5793" s="230">
        <v>0</v>
      </c>
      <c r="E5793" t="s">
        <v>718</v>
      </c>
    </row>
    <row r="5794" spans="1:5" hidden="1" x14ac:dyDescent="0.3">
      <c r="A5794" t="s">
        <v>557</v>
      </c>
      <c r="B5794" t="s">
        <v>717</v>
      </c>
      <c r="C5794" t="s">
        <v>626</v>
      </c>
      <c r="D5794" s="230">
        <v>0</v>
      </c>
      <c r="E5794" t="s">
        <v>718</v>
      </c>
    </row>
    <row r="5795" spans="1:5" hidden="1" x14ac:dyDescent="0.3">
      <c r="A5795" t="s">
        <v>557</v>
      </c>
      <c r="B5795" t="s">
        <v>717</v>
      </c>
      <c r="C5795" t="s">
        <v>627</v>
      </c>
      <c r="D5795" s="230">
        <v>0</v>
      </c>
      <c r="E5795" t="s">
        <v>718</v>
      </c>
    </row>
    <row r="5796" spans="1:5" hidden="1" x14ac:dyDescent="0.3">
      <c r="A5796" t="s">
        <v>557</v>
      </c>
      <c r="B5796" t="s">
        <v>717</v>
      </c>
      <c r="C5796" t="s">
        <v>628</v>
      </c>
      <c r="D5796" s="230">
        <v>0</v>
      </c>
      <c r="E5796" t="s">
        <v>718</v>
      </c>
    </row>
    <row r="5797" spans="1:5" hidden="1" x14ac:dyDescent="0.3">
      <c r="A5797" t="s">
        <v>557</v>
      </c>
      <c r="B5797" t="s">
        <v>717</v>
      </c>
      <c r="C5797" t="s">
        <v>629</v>
      </c>
      <c r="D5797" s="230">
        <v>0</v>
      </c>
      <c r="E5797" t="s">
        <v>718</v>
      </c>
    </row>
    <row r="5798" spans="1:5" hidden="1" x14ac:dyDescent="0.3">
      <c r="A5798" t="s">
        <v>557</v>
      </c>
      <c r="B5798" t="s">
        <v>717</v>
      </c>
      <c r="C5798" t="s">
        <v>630</v>
      </c>
      <c r="D5798" s="230">
        <v>0</v>
      </c>
      <c r="E5798" t="s">
        <v>718</v>
      </c>
    </row>
    <row r="5799" spans="1:5" hidden="1" x14ac:dyDescent="0.3">
      <c r="A5799" t="s">
        <v>557</v>
      </c>
      <c r="B5799" t="s">
        <v>717</v>
      </c>
      <c r="C5799" t="s">
        <v>631</v>
      </c>
      <c r="D5799" s="230">
        <v>0</v>
      </c>
      <c r="E5799" t="s">
        <v>718</v>
      </c>
    </row>
    <row r="5800" spans="1:5" hidden="1" x14ac:dyDescent="0.3">
      <c r="A5800" t="s">
        <v>557</v>
      </c>
      <c r="B5800" t="s">
        <v>717</v>
      </c>
      <c r="C5800" t="s">
        <v>632</v>
      </c>
      <c r="D5800" s="230">
        <v>0</v>
      </c>
      <c r="E5800" t="s">
        <v>718</v>
      </c>
    </row>
    <row r="5801" spans="1:5" hidden="1" x14ac:dyDescent="0.3">
      <c r="A5801" t="s">
        <v>557</v>
      </c>
      <c r="B5801" t="s">
        <v>717</v>
      </c>
      <c r="C5801" t="s">
        <v>633</v>
      </c>
      <c r="D5801" s="230">
        <v>0</v>
      </c>
      <c r="E5801" t="s">
        <v>718</v>
      </c>
    </row>
    <row r="5802" spans="1:5" hidden="1" x14ac:dyDescent="0.3">
      <c r="A5802" t="s">
        <v>557</v>
      </c>
      <c r="B5802" t="s">
        <v>717</v>
      </c>
      <c r="C5802" t="s">
        <v>634</v>
      </c>
      <c r="D5802" s="230">
        <v>0</v>
      </c>
      <c r="E5802" t="s">
        <v>718</v>
      </c>
    </row>
    <row r="5803" spans="1:5" hidden="1" x14ac:dyDescent="0.3">
      <c r="A5803" t="s">
        <v>557</v>
      </c>
      <c r="B5803" t="s">
        <v>717</v>
      </c>
      <c r="C5803" t="s">
        <v>635</v>
      </c>
      <c r="D5803" s="230">
        <v>0</v>
      </c>
      <c r="E5803" t="s">
        <v>718</v>
      </c>
    </row>
    <row r="5804" spans="1:5" hidden="1" x14ac:dyDescent="0.3">
      <c r="A5804" t="s">
        <v>557</v>
      </c>
      <c r="B5804" t="s">
        <v>717</v>
      </c>
      <c r="C5804" t="s">
        <v>636</v>
      </c>
      <c r="D5804" s="230">
        <v>0</v>
      </c>
      <c r="E5804" t="s">
        <v>718</v>
      </c>
    </row>
    <row r="5805" spans="1:5" hidden="1" x14ac:dyDescent="0.3">
      <c r="A5805" t="s">
        <v>557</v>
      </c>
      <c r="B5805" t="s">
        <v>717</v>
      </c>
      <c r="C5805" t="s">
        <v>637</v>
      </c>
      <c r="D5805" s="230">
        <v>0</v>
      </c>
      <c r="E5805" t="s">
        <v>718</v>
      </c>
    </row>
    <row r="5806" spans="1:5" hidden="1" x14ac:dyDescent="0.3">
      <c r="A5806" t="s">
        <v>557</v>
      </c>
      <c r="B5806" t="s">
        <v>717</v>
      </c>
      <c r="C5806" t="s">
        <v>638</v>
      </c>
      <c r="D5806" s="230">
        <v>0</v>
      </c>
      <c r="E5806" t="s">
        <v>718</v>
      </c>
    </row>
    <row r="5807" spans="1:5" hidden="1" x14ac:dyDescent="0.3">
      <c r="A5807" t="s">
        <v>557</v>
      </c>
      <c r="B5807" t="s">
        <v>717</v>
      </c>
      <c r="C5807" t="s">
        <v>639</v>
      </c>
      <c r="D5807" s="230">
        <v>0</v>
      </c>
      <c r="E5807" t="s">
        <v>718</v>
      </c>
    </row>
    <row r="5808" spans="1:5" hidden="1" x14ac:dyDescent="0.3">
      <c r="A5808" t="s">
        <v>557</v>
      </c>
      <c r="B5808" t="s">
        <v>717</v>
      </c>
      <c r="C5808" t="s">
        <v>640</v>
      </c>
      <c r="D5808" s="230">
        <v>0</v>
      </c>
      <c r="E5808" t="s">
        <v>718</v>
      </c>
    </row>
    <row r="5809" spans="1:5" hidden="1" x14ac:dyDescent="0.3">
      <c r="A5809" t="s">
        <v>557</v>
      </c>
      <c r="B5809" t="s">
        <v>717</v>
      </c>
      <c r="C5809" t="s">
        <v>641</v>
      </c>
      <c r="D5809" s="230">
        <v>0</v>
      </c>
      <c r="E5809" t="s">
        <v>718</v>
      </c>
    </row>
    <row r="5810" spans="1:5" hidden="1" x14ac:dyDescent="0.3">
      <c r="A5810" t="s">
        <v>557</v>
      </c>
      <c r="B5810" t="s">
        <v>717</v>
      </c>
      <c r="C5810" t="s">
        <v>642</v>
      </c>
      <c r="D5810" s="230">
        <v>0</v>
      </c>
      <c r="E5810" t="s">
        <v>718</v>
      </c>
    </row>
    <row r="5811" spans="1:5" hidden="1" x14ac:dyDescent="0.3">
      <c r="A5811" t="s">
        <v>557</v>
      </c>
      <c r="B5811" t="s">
        <v>717</v>
      </c>
      <c r="C5811" t="s">
        <v>643</v>
      </c>
      <c r="D5811" s="230">
        <v>0</v>
      </c>
      <c r="E5811" t="s">
        <v>718</v>
      </c>
    </row>
    <row r="5812" spans="1:5" hidden="1" x14ac:dyDescent="0.3">
      <c r="A5812" t="s">
        <v>557</v>
      </c>
      <c r="B5812" t="s">
        <v>717</v>
      </c>
      <c r="C5812" t="s">
        <v>644</v>
      </c>
      <c r="D5812" s="230">
        <v>0</v>
      </c>
      <c r="E5812" t="s">
        <v>718</v>
      </c>
    </row>
    <row r="5813" spans="1:5" hidden="1" x14ac:dyDescent="0.3">
      <c r="A5813" t="s">
        <v>557</v>
      </c>
      <c r="B5813" t="s">
        <v>717</v>
      </c>
      <c r="C5813" t="s">
        <v>645</v>
      </c>
      <c r="D5813" s="230">
        <v>0</v>
      </c>
      <c r="E5813" t="s">
        <v>718</v>
      </c>
    </row>
    <row r="5814" spans="1:5" hidden="1" x14ac:dyDescent="0.3">
      <c r="A5814" t="s">
        <v>557</v>
      </c>
      <c r="B5814" t="s">
        <v>717</v>
      </c>
      <c r="C5814" t="s">
        <v>646</v>
      </c>
      <c r="D5814" s="230">
        <v>0</v>
      </c>
      <c r="E5814" t="s">
        <v>718</v>
      </c>
    </row>
    <row r="5815" spans="1:5" hidden="1" x14ac:dyDescent="0.3">
      <c r="A5815" t="s">
        <v>557</v>
      </c>
      <c r="B5815" t="s">
        <v>717</v>
      </c>
      <c r="C5815" t="s">
        <v>647</v>
      </c>
      <c r="D5815" s="230">
        <v>0</v>
      </c>
      <c r="E5815" t="s">
        <v>718</v>
      </c>
    </row>
    <row r="5816" spans="1:5" hidden="1" x14ac:dyDescent="0.3">
      <c r="A5816" t="s">
        <v>557</v>
      </c>
      <c r="B5816" t="s">
        <v>717</v>
      </c>
      <c r="C5816" t="s">
        <v>648</v>
      </c>
      <c r="D5816" s="230">
        <v>0</v>
      </c>
      <c r="E5816" t="s">
        <v>718</v>
      </c>
    </row>
    <row r="5817" spans="1:5" hidden="1" x14ac:dyDescent="0.3">
      <c r="A5817" t="s">
        <v>557</v>
      </c>
      <c r="B5817" t="s">
        <v>717</v>
      </c>
      <c r="C5817" t="s">
        <v>649</v>
      </c>
      <c r="D5817" s="230">
        <v>0</v>
      </c>
      <c r="E5817" t="s">
        <v>718</v>
      </c>
    </row>
    <row r="5818" spans="1:5" hidden="1" x14ac:dyDescent="0.3">
      <c r="A5818" t="s">
        <v>557</v>
      </c>
      <c r="B5818" t="s">
        <v>717</v>
      </c>
      <c r="C5818" t="s">
        <v>650</v>
      </c>
      <c r="D5818" s="230">
        <v>0</v>
      </c>
      <c r="E5818" t="s">
        <v>718</v>
      </c>
    </row>
    <row r="5819" spans="1:5" hidden="1" x14ac:dyDescent="0.3">
      <c r="A5819" t="s">
        <v>557</v>
      </c>
      <c r="B5819" t="s">
        <v>717</v>
      </c>
      <c r="C5819" t="s">
        <v>651</v>
      </c>
      <c r="D5819" s="230">
        <v>0</v>
      </c>
      <c r="E5819" t="s">
        <v>718</v>
      </c>
    </row>
    <row r="5820" spans="1:5" hidden="1" x14ac:dyDescent="0.3">
      <c r="A5820" t="s">
        <v>557</v>
      </c>
      <c r="B5820" t="s">
        <v>717</v>
      </c>
      <c r="C5820" t="s">
        <v>652</v>
      </c>
      <c r="D5820" s="230">
        <v>0</v>
      </c>
      <c r="E5820" t="s">
        <v>718</v>
      </c>
    </row>
    <row r="5821" spans="1:5" hidden="1" x14ac:dyDescent="0.3">
      <c r="A5821" t="s">
        <v>557</v>
      </c>
      <c r="B5821" t="s">
        <v>717</v>
      </c>
      <c r="C5821" t="s">
        <v>653</v>
      </c>
      <c r="D5821" s="230">
        <v>0</v>
      </c>
      <c r="E5821" t="s">
        <v>718</v>
      </c>
    </row>
    <row r="5822" spans="1:5" hidden="1" x14ac:dyDescent="0.3">
      <c r="A5822" t="s">
        <v>557</v>
      </c>
      <c r="B5822" t="s">
        <v>717</v>
      </c>
      <c r="C5822" t="s">
        <v>654</v>
      </c>
      <c r="D5822" s="230">
        <v>0</v>
      </c>
      <c r="E5822" t="s">
        <v>718</v>
      </c>
    </row>
    <row r="5823" spans="1:5" hidden="1" x14ac:dyDescent="0.3">
      <c r="A5823" t="s">
        <v>557</v>
      </c>
      <c r="B5823" t="s">
        <v>717</v>
      </c>
      <c r="C5823" t="s">
        <v>655</v>
      </c>
      <c r="D5823" s="230">
        <v>0</v>
      </c>
      <c r="E5823" t="s">
        <v>718</v>
      </c>
    </row>
    <row r="5824" spans="1:5" hidden="1" x14ac:dyDescent="0.3">
      <c r="A5824" t="s">
        <v>557</v>
      </c>
      <c r="B5824" t="s">
        <v>717</v>
      </c>
      <c r="C5824" t="s">
        <v>656</v>
      </c>
      <c r="D5824" s="230">
        <v>0</v>
      </c>
      <c r="E5824" t="s">
        <v>718</v>
      </c>
    </row>
    <row r="5825" spans="1:5" hidden="1" x14ac:dyDescent="0.3">
      <c r="A5825" t="s">
        <v>557</v>
      </c>
      <c r="B5825" t="s">
        <v>717</v>
      </c>
      <c r="C5825" t="s">
        <v>657</v>
      </c>
      <c r="D5825" s="230">
        <v>0</v>
      </c>
      <c r="E5825" t="s">
        <v>718</v>
      </c>
    </row>
    <row r="5826" spans="1:5" hidden="1" x14ac:dyDescent="0.3">
      <c r="A5826" t="s">
        <v>557</v>
      </c>
      <c r="B5826" t="s">
        <v>717</v>
      </c>
      <c r="C5826" t="s">
        <v>658</v>
      </c>
      <c r="D5826" s="230">
        <v>0</v>
      </c>
      <c r="E5826" t="s">
        <v>718</v>
      </c>
    </row>
    <row r="5827" spans="1:5" hidden="1" x14ac:dyDescent="0.3">
      <c r="A5827" t="s">
        <v>557</v>
      </c>
      <c r="B5827" t="s">
        <v>717</v>
      </c>
      <c r="C5827" t="s">
        <v>659</v>
      </c>
      <c r="D5827" s="230">
        <v>0</v>
      </c>
      <c r="E5827" t="s">
        <v>718</v>
      </c>
    </row>
    <row r="5828" spans="1:5" hidden="1" x14ac:dyDescent="0.3">
      <c r="A5828" t="s">
        <v>557</v>
      </c>
      <c r="B5828" t="s">
        <v>717</v>
      </c>
      <c r="C5828" t="s">
        <v>660</v>
      </c>
      <c r="D5828" s="230">
        <v>0</v>
      </c>
      <c r="E5828" t="s">
        <v>718</v>
      </c>
    </row>
    <row r="5829" spans="1:5" hidden="1" x14ac:dyDescent="0.3">
      <c r="A5829" t="s">
        <v>557</v>
      </c>
      <c r="B5829" t="s">
        <v>717</v>
      </c>
      <c r="C5829" t="s">
        <v>661</v>
      </c>
      <c r="D5829" s="230">
        <v>0</v>
      </c>
      <c r="E5829" t="s">
        <v>718</v>
      </c>
    </row>
    <row r="5830" spans="1:5" hidden="1" x14ac:dyDescent="0.3">
      <c r="A5830" t="s">
        <v>557</v>
      </c>
      <c r="B5830" t="s">
        <v>717</v>
      </c>
      <c r="C5830" t="s">
        <v>662</v>
      </c>
      <c r="D5830" s="230">
        <v>0</v>
      </c>
      <c r="E5830" t="s">
        <v>718</v>
      </c>
    </row>
    <row r="5831" spans="1:5" hidden="1" x14ac:dyDescent="0.3">
      <c r="A5831" t="s">
        <v>557</v>
      </c>
      <c r="B5831" t="s">
        <v>717</v>
      </c>
      <c r="C5831" t="s">
        <v>663</v>
      </c>
      <c r="D5831" s="230">
        <v>0</v>
      </c>
      <c r="E5831" t="s">
        <v>718</v>
      </c>
    </row>
    <row r="5832" spans="1:5" hidden="1" x14ac:dyDescent="0.3">
      <c r="A5832" t="s">
        <v>557</v>
      </c>
      <c r="B5832" t="s">
        <v>717</v>
      </c>
      <c r="C5832" t="s">
        <v>664</v>
      </c>
      <c r="D5832" s="230">
        <v>0</v>
      </c>
      <c r="E5832" t="s">
        <v>718</v>
      </c>
    </row>
    <row r="5833" spans="1:5" hidden="1" x14ac:dyDescent="0.3">
      <c r="A5833" t="s">
        <v>557</v>
      </c>
      <c r="B5833" t="s">
        <v>717</v>
      </c>
      <c r="C5833" t="s">
        <v>665</v>
      </c>
      <c r="D5833" s="230">
        <v>0</v>
      </c>
      <c r="E5833" t="s">
        <v>718</v>
      </c>
    </row>
    <row r="5834" spans="1:5" hidden="1" x14ac:dyDescent="0.3">
      <c r="A5834" t="s">
        <v>557</v>
      </c>
      <c r="B5834" t="s">
        <v>717</v>
      </c>
      <c r="C5834" t="s">
        <v>666</v>
      </c>
      <c r="D5834" s="230">
        <v>0</v>
      </c>
      <c r="E5834" t="s">
        <v>718</v>
      </c>
    </row>
    <row r="5835" spans="1:5" hidden="1" x14ac:dyDescent="0.3">
      <c r="A5835" t="s">
        <v>557</v>
      </c>
      <c r="B5835" t="s">
        <v>717</v>
      </c>
      <c r="C5835" t="s">
        <v>667</v>
      </c>
      <c r="D5835" s="230">
        <v>0</v>
      </c>
      <c r="E5835" t="s">
        <v>718</v>
      </c>
    </row>
    <row r="5836" spans="1:5" hidden="1" x14ac:dyDescent="0.3">
      <c r="A5836" t="s">
        <v>557</v>
      </c>
      <c r="B5836" t="s">
        <v>717</v>
      </c>
      <c r="C5836" t="s">
        <v>668</v>
      </c>
      <c r="D5836" s="230">
        <v>0</v>
      </c>
      <c r="E5836" t="s">
        <v>718</v>
      </c>
    </row>
    <row r="5837" spans="1:5" hidden="1" x14ac:dyDescent="0.3">
      <c r="A5837" t="s">
        <v>557</v>
      </c>
      <c r="B5837" t="s">
        <v>717</v>
      </c>
      <c r="C5837" t="s">
        <v>669</v>
      </c>
      <c r="D5837" s="230">
        <v>0</v>
      </c>
      <c r="E5837" t="s">
        <v>718</v>
      </c>
    </row>
    <row r="5838" spans="1:5" hidden="1" x14ac:dyDescent="0.3">
      <c r="A5838" t="s">
        <v>557</v>
      </c>
      <c r="B5838" t="s">
        <v>717</v>
      </c>
      <c r="C5838" t="s">
        <v>670</v>
      </c>
      <c r="D5838" s="230">
        <v>0</v>
      </c>
      <c r="E5838" t="s">
        <v>718</v>
      </c>
    </row>
    <row r="5839" spans="1:5" hidden="1" x14ac:dyDescent="0.3">
      <c r="A5839" t="s">
        <v>557</v>
      </c>
      <c r="B5839" t="s">
        <v>717</v>
      </c>
      <c r="C5839" t="s">
        <v>671</v>
      </c>
      <c r="D5839" s="230">
        <v>0</v>
      </c>
      <c r="E5839" t="s">
        <v>718</v>
      </c>
    </row>
    <row r="5840" spans="1:5" hidden="1" x14ac:dyDescent="0.3">
      <c r="A5840" t="s">
        <v>557</v>
      </c>
      <c r="B5840" t="s">
        <v>717</v>
      </c>
      <c r="C5840" t="s">
        <v>672</v>
      </c>
      <c r="D5840" s="230">
        <v>0</v>
      </c>
      <c r="E5840" t="s">
        <v>718</v>
      </c>
    </row>
    <row r="5841" spans="1:5" hidden="1" x14ac:dyDescent="0.3">
      <c r="A5841" t="s">
        <v>557</v>
      </c>
      <c r="B5841" t="s">
        <v>717</v>
      </c>
      <c r="C5841" t="s">
        <v>673</v>
      </c>
      <c r="D5841" s="230">
        <v>0</v>
      </c>
      <c r="E5841" t="s">
        <v>718</v>
      </c>
    </row>
    <row r="5842" spans="1:5" hidden="1" x14ac:dyDescent="0.3">
      <c r="A5842" t="s">
        <v>557</v>
      </c>
      <c r="B5842" t="s">
        <v>717</v>
      </c>
      <c r="C5842" t="s">
        <v>674</v>
      </c>
      <c r="D5842" s="230">
        <v>0</v>
      </c>
      <c r="E5842" t="s">
        <v>718</v>
      </c>
    </row>
    <row r="5843" spans="1:5" hidden="1" x14ac:dyDescent="0.3">
      <c r="A5843" t="s">
        <v>557</v>
      </c>
      <c r="B5843" t="s">
        <v>717</v>
      </c>
      <c r="C5843" t="s">
        <v>675</v>
      </c>
      <c r="D5843" s="230">
        <v>0</v>
      </c>
      <c r="E5843" t="s">
        <v>718</v>
      </c>
    </row>
    <row r="5844" spans="1:5" hidden="1" x14ac:dyDescent="0.3">
      <c r="A5844" t="s">
        <v>557</v>
      </c>
      <c r="B5844" t="s">
        <v>717</v>
      </c>
      <c r="C5844" t="s">
        <v>676</v>
      </c>
      <c r="D5844" s="230">
        <v>0</v>
      </c>
      <c r="E5844" t="s">
        <v>718</v>
      </c>
    </row>
    <row r="5845" spans="1:5" hidden="1" x14ac:dyDescent="0.3">
      <c r="A5845" t="s">
        <v>557</v>
      </c>
      <c r="B5845" t="s">
        <v>717</v>
      </c>
      <c r="C5845" t="s">
        <v>677</v>
      </c>
      <c r="D5845" s="230">
        <v>0</v>
      </c>
      <c r="E5845" t="s">
        <v>718</v>
      </c>
    </row>
    <row r="5846" spans="1:5" hidden="1" x14ac:dyDescent="0.3">
      <c r="A5846" t="s">
        <v>557</v>
      </c>
      <c r="B5846" t="s">
        <v>717</v>
      </c>
      <c r="C5846" t="s">
        <v>201</v>
      </c>
      <c r="D5846" s="230">
        <v>-10736</v>
      </c>
      <c r="E5846" t="s">
        <v>718</v>
      </c>
    </row>
    <row r="5847" spans="1:5" hidden="1" x14ac:dyDescent="0.3">
      <c r="A5847" t="s">
        <v>557</v>
      </c>
      <c r="B5847" t="s">
        <v>717</v>
      </c>
      <c r="C5847" t="s">
        <v>203</v>
      </c>
      <c r="D5847" s="230">
        <v>-10736</v>
      </c>
      <c r="E5847" t="s">
        <v>718</v>
      </c>
    </row>
    <row r="5848" spans="1:5" hidden="1" x14ac:dyDescent="0.3">
      <c r="A5848" t="s">
        <v>557</v>
      </c>
      <c r="B5848" t="s">
        <v>717</v>
      </c>
      <c r="C5848" t="s">
        <v>678</v>
      </c>
      <c r="D5848" s="230">
        <v>5368</v>
      </c>
      <c r="E5848" t="s">
        <v>718</v>
      </c>
    </row>
    <row r="5849" spans="1:5" hidden="1" x14ac:dyDescent="0.3">
      <c r="A5849" t="s">
        <v>557</v>
      </c>
      <c r="B5849" t="s">
        <v>717</v>
      </c>
      <c r="C5849" t="s">
        <v>205</v>
      </c>
      <c r="D5849" s="230">
        <v>-18586.13</v>
      </c>
      <c r="E5849" t="s">
        <v>718</v>
      </c>
    </row>
    <row r="5850" spans="1:5" hidden="1" x14ac:dyDescent="0.3">
      <c r="A5850" t="s">
        <v>557</v>
      </c>
      <c r="B5850" t="s">
        <v>717</v>
      </c>
      <c r="C5850" t="s">
        <v>679</v>
      </c>
      <c r="D5850" s="230">
        <v>-4539.09</v>
      </c>
      <c r="E5850" t="s">
        <v>718</v>
      </c>
    </row>
    <row r="5851" spans="1:5" hidden="1" x14ac:dyDescent="0.3">
      <c r="A5851" t="s">
        <v>557</v>
      </c>
      <c r="B5851" t="s">
        <v>717</v>
      </c>
      <c r="C5851" t="s">
        <v>680</v>
      </c>
      <c r="D5851" s="230">
        <v>0</v>
      </c>
      <c r="E5851" t="s">
        <v>718</v>
      </c>
    </row>
    <row r="5852" spans="1:5" hidden="1" x14ac:dyDescent="0.3">
      <c r="A5852" t="s">
        <v>557</v>
      </c>
      <c r="B5852" t="s">
        <v>717</v>
      </c>
      <c r="C5852" t="s">
        <v>681</v>
      </c>
      <c r="D5852" s="230">
        <v>0</v>
      </c>
      <c r="E5852" t="s">
        <v>718</v>
      </c>
    </row>
    <row r="5853" spans="1:5" hidden="1" x14ac:dyDescent="0.3">
      <c r="A5853" t="s">
        <v>557</v>
      </c>
      <c r="B5853" t="s">
        <v>717</v>
      </c>
      <c r="C5853" t="s">
        <v>682</v>
      </c>
      <c r="D5853" s="230">
        <v>-5628.2</v>
      </c>
      <c r="E5853" t="s">
        <v>718</v>
      </c>
    </row>
    <row r="5854" spans="1:5" hidden="1" x14ac:dyDescent="0.3">
      <c r="A5854" t="s">
        <v>557</v>
      </c>
      <c r="B5854" t="s">
        <v>717</v>
      </c>
      <c r="C5854" t="s">
        <v>683</v>
      </c>
      <c r="D5854" s="230">
        <v>-1687.11</v>
      </c>
      <c r="E5854" t="s">
        <v>718</v>
      </c>
    </row>
    <row r="5855" spans="1:5" hidden="1" x14ac:dyDescent="0.3">
      <c r="A5855" t="s">
        <v>557</v>
      </c>
      <c r="B5855" t="s">
        <v>717</v>
      </c>
      <c r="C5855" t="s">
        <v>684</v>
      </c>
      <c r="D5855" s="230">
        <v>-1896.31</v>
      </c>
      <c r="E5855" t="s">
        <v>718</v>
      </c>
    </row>
    <row r="5856" spans="1:5" hidden="1" x14ac:dyDescent="0.3">
      <c r="A5856" t="s">
        <v>557</v>
      </c>
      <c r="B5856" t="s">
        <v>717</v>
      </c>
      <c r="C5856" t="s">
        <v>685</v>
      </c>
      <c r="D5856" s="230">
        <v>-566.87</v>
      </c>
      <c r="E5856" t="s">
        <v>718</v>
      </c>
    </row>
    <row r="5857" spans="1:5" hidden="1" x14ac:dyDescent="0.3">
      <c r="A5857" t="s">
        <v>557</v>
      </c>
      <c r="B5857" t="s">
        <v>717</v>
      </c>
      <c r="C5857" t="s">
        <v>686</v>
      </c>
      <c r="D5857" s="230">
        <v>0</v>
      </c>
      <c r="E5857" t="s">
        <v>718</v>
      </c>
    </row>
    <row r="5858" spans="1:5" hidden="1" x14ac:dyDescent="0.3">
      <c r="A5858" t="s">
        <v>557</v>
      </c>
      <c r="B5858" t="s">
        <v>717</v>
      </c>
      <c r="C5858" t="s">
        <v>687</v>
      </c>
      <c r="D5858" s="230">
        <v>0</v>
      </c>
      <c r="E5858" t="s">
        <v>718</v>
      </c>
    </row>
    <row r="5859" spans="1:5" hidden="1" x14ac:dyDescent="0.3">
      <c r="A5859" t="s">
        <v>557</v>
      </c>
      <c r="B5859" t="s">
        <v>717</v>
      </c>
      <c r="C5859" t="s">
        <v>688</v>
      </c>
      <c r="D5859" s="230">
        <v>0</v>
      </c>
      <c r="E5859" t="s">
        <v>718</v>
      </c>
    </row>
    <row r="5860" spans="1:5" hidden="1" x14ac:dyDescent="0.3">
      <c r="A5860" t="s">
        <v>557</v>
      </c>
      <c r="B5860" t="s">
        <v>717</v>
      </c>
      <c r="C5860" t="s">
        <v>689</v>
      </c>
      <c r="D5860" s="230">
        <v>-1910.15</v>
      </c>
      <c r="E5860" t="s">
        <v>718</v>
      </c>
    </row>
    <row r="5861" spans="1:5" hidden="1" x14ac:dyDescent="0.3">
      <c r="A5861" t="s">
        <v>557</v>
      </c>
      <c r="B5861" t="s">
        <v>717</v>
      </c>
      <c r="C5861" t="s">
        <v>690</v>
      </c>
      <c r="D5861" s="230">
        <v>-2000</v>
      </c>
      <c r="E5861" t="s">
        <v>718</v>
      </c>
    </row>
    <row r="5862" spans="1:5" hidden="1" x14ac:dyDescent="0.3">
      <c r="A5862" t="s">
        <v>557</v>
      </c>
      <c r="B5862" t="s">
        <v>717</v>
      </c>
      <c r="C5862" t="s">
        <v>691</v>
      </c>
      <c r="D5862" s="230">
        <v>0</v>
      </c>
      <c r="E5862" t="s">
        <v>718</v>
      </c>
    </row>
    <row r="5863" spans="1:5" hidden="1" x14ac:dyDescent="0.3">
      <c r="A5863" t="s">
        <v>557</v>
      </c>
      <c r="B5863" t="s">
        <v>717</v>
      </c>
      <c r="C5863" t="s">
        <v>692</v>
      </c>
      <c r="D5863" s="230">
        <v>-358.4</v>
      </c>
      <c r="E5863" t="s">
        <v>718</v>
      </c>
    </row>
    <row r="5864" spans="1:5" hidden="1" x14ac:dyDescent="0.3">
      <c r="A5864" t="s">
        <v>557</v>
      </c>
      <c r="B5864" t="s">
        <v>717</v>
      </c>
      <c r="C5864" t="s">
        <v>693</v>
      </c>
      <c r="D5864" s="230">
        <v>0</v>
      </c>
      <c r="E5864" t="s">
        <v>718</v>
      </c>
    </row>
    <row r="5865" spans="1:5" hidden="1" x14ac:dyDescent="0.3">
      <c r="A5865" t="s">
        <v>557</v>
      </c>
      <c r="B5865" t="s">
        <v>717</v>
      </c>
      <c r="C5865" t="s">
        <v>694</v>
      </c>
      <c r="D5865" s="230">
        <v>0</v>
      </c>
      <c r="E5865" t="s">
        <v>718</v>
      </c>
    </row>
    <row r="5866" spans="1:5" hidden="1" x14ac:dyDescent="0.3">
      <c r="A5866" t="s">
        <v>557</v>
      </c>
      <c r="B5866" t="s">
        <v>717</v>
      </c>
      <c r="C5866" t="s">
        <v>238</v>
      </c>
      <c r="D5866" s="230">
        <v>-5377.47</v>
      </c>
      <c r="E5866" t="s">
        <v>718</v>
      </c>
    </row>
    <row r="5867" spans="1:5" hidden="1" x14ac:dyDescent="0.3">
      <c r="A5867" t="s">
        <v>557</v>
      </c>
      <c r="B5867" t="s">
        <v>717</v>
      </c>
      <c r="C5867" t="s">
        <v>695</v>
      </c>
      <c r="D5867" s="230">
        <v>-5314.49</v>
      </c>
      <c r="E5867" t="s">
        <v>718</v>
      </c>
    </row>
    <row r="5868" spans="1:5" hidden="1" x14ac:dyDescent="0.3">
      <c r="A5868" t="s">
        <v>557</v>
      </c>
      <c r="B5868" t="s">
        <v>717</v>
      </c>
      <c r="C5868" t="s">
        <v>696</v>
      </c>
      <c r="D5868" s="230">
        <v>0</v>
      </c>
      <c r="E5868" t="s">
        <v>718</v>
      </c>
    </row>
    <row r="5869" spans="1:5" hidden="1" x14ac:dyDescent="0.3">
      <c r="A5869" t="s">
        <v>557</v>
      </c>
      <c r="B5869" t="s">
        <v>717</v>
      </c>
      <c r="C5869" t="s">
        <v>697</v>
      </c>
      <c r="D5869" s="230">
        <v>0</v>
      </c>
      <c r="E5869" t="s">
        <v>718</v>
      </c>
    </row>
    <row r="5870" spans="1:5" hidden="1" x14ac:dyDescent="0.3">
      <c r="A5870" t="s">
        <v>557</v>
      </c>
      <c r="B5870" t="s">
        <v>717</v>
      </c>
      <c r="C5870" t="s">
        <v>698</v>
      </c>
      <c r="D5870" s="230">
        <v>-62.98</v>
      </c>
      <c r="E5870" t="s">
        <v>718</v>
      </c>
    </row>
    <row r="5871" spans="1:5" hidden="1" x14ac:dyDescent="0.3">
      <c r="A5871" t="s">
        <v>557</v>
      </c>
      <c r="B5871" t="s">
        <v>717</v>
      </c>
      <c r="C5871" t="s">
        <v>699</v>
      </c>
      <c r="D5871" s="230">
        <v>0</v>
      </c>
      <c r="E5871" t="s">
        <v>718</v>
      </c>
    </row>
    <row r="5872" spans="1:5" hidden="1" x14ac:dyDescent="0.3">
      <c r="A5872" t="s">
        <v>557</v>
      </c>
      <c r="B5872" t="s">
        <v>717</v>
      </c>
      <c r="C5872" t="s">
        <v>245</v>
      </c>
      <c r="D5872" s="230">
        <v>-8876.32</v>
      </c>
      <c r="E5872" t="s">
        <v>718</v>
      </c>
    </row>
    <row r="5873" spans="1:5" hidden="1" x14ac:dyDescent="0.3">
      <c r="A5873" t="s">
        <v>557</v>
      </c>
      <c r="B5873" t="s">
        <v>717</v>
      </c>
      <c r="C5873" t="s">
        <v>700</v>
      </c>
      <c r="D5873" s="230">
        <v>-96</v>
      </c>
      <c r="E5873" t="s">
        <v>718</v>
      </c>
    </row>
    <row r="5874" spans="1:5" hidden="1" x14ac:dyDescent="0.3">
      <c r="A5874" t="s">
        <v>557</v>
      </c>
      <c r="B5874" t="s">
        <v>717</v>
      </c>
      <c r="C5874" t="s">
        <v>701</v>
      </c>
      <c r="D5874" s="230">
        <v>-1055.03</v>
      </c>
      <c r="E5874" t="s">
        <v>718</v>
      </c>
    </row>
    <row r="5875" spans="1:5" hidden="1" x14ac:dyDescent="0.3">
      <c r="A5875" t="s">
        <v>557</v>
      </c>
      <c r="B5875" t="s">
        <v>717</v>
      </c>
      <c r="C5875" t="s">
        <v>702</v>
      </c>
      <c r="D5875" s="230">
        <v>0</v>
      </c>
      <c r="E5875" t="s">
        <v>718</v>
      </c>
    </row>
    <row r="5876" spans="1:5" hidden="1" x14ac:dyDescent="0.3">
      <c r="A5876" t="s">
        <v>557</v>
      </c>
      <c r="B5876" t="s">
        <v>717</v>
      </c>
      <c r="C5876" t="s">
        <v>703</v>
      </c>
      <c r="D5876" s="230">
        <v>0</v>
      </c>
      <c r="E5876" t="s">
        <v>718</v>
      </c>
    </row>
    <row r="5877" spans="1:5" hidden="1" x14ac:dyDescent="0.3">
      <c r="A5877" t="s">
        <v>557</v>
      </c>
      <c r="B5877" t="s">
        <v>717</v>
      </c>
      <c r="C5877" t="s">
        <v>704</v>
      </c>
      <c r="D5877" s="230">
        <v>0</v>
      </c>
      <c r="E5877" t="s">
        <v>718</v>
      </c>
    </row>
    <row r="5878" spans="1:5" hidden="1" x14ac:dyDescent="0.3">
      <c r="A5878" t="s">
        <v>557</v>
      </c>
      <c r="B5878" t="s">
        <v>717</v>
      </c>
      <c r="C5878" t="s">
        <v>705</v>
      </c>
      <c r="D5878" s="230">
        <v>-7725.29</v>
      </c>
      <c r="E5878" t="s">
        <v>718</v>
      </c>
    </row>
    <row r="5879" spans="1:5" hidden="1" x14ac:dyDescent="0.3">
      <c r="A5879" t="s">
        <v>557</v>
      </c>
      <c r="B5879" t="s">
        <v>717</v>
      </c>
      <c r="C5879" t="s">
        <v>706</v>
      </c>
      <c r="D5879" s="230">
        <v>0</v>
      </c>
      <c r="E5879" t="s">
        <v>718</v>
      </c>
    </row>
    <row r="5880" spans="1:5" hidden="1" x14ac:dyDescent="0.3">
      <c r="A5880" t="s">
        <v>557</v>
      </c>
      <c r="B5880" t="s">
        <v>717</v>
      </c>
      <c r="C5880" t="s">
        <v>254</v>
      </c>
      <c r="D5880" s="230">
        <v>-0.33</v>
      </c>
      <c r="E5880" t="s">
        <v>718</v>
      </c>
    </row>
    <row r="5881" spans="1:5" hidden="1" x14ac:dyDescent="0.3">
      <c r="A5881" t="s">
        <v>557</v>
      </c>
      <c r="B5881" t="s">
        <v>717</v>
      </c>
      <c r="C5881" t="s">
        <v>255</v>
      </c>
      <c r="D5881" s="230">
        <v>-0.33</v>
      </c>
      <c r="E5881" t="s">
        <v>718</v>
      </c>
    </row>
    <row r="5882" spans="1:5" hidden="1" x14ac:dyDescent="0.3">
      <c r="A5882" t="s">
        <v>557</v>
      </c>
      <c r="B5882" t="s">
        <v>717</v>
      </c>
      <c r="C5882" t="s">
        <v>256</v>
      </c>
      <c r="D5882" s="230">
        <v>-51752.37</v>
      </c>
      <c r="E5882" t="s">
        <v>718</v>
      </c>
    </row>
    <row r="5883" spans="1:5" hidden="1" x14ac:dyDescent="0.3">
      <c r="A5883" t="s">
        <v>557</v>
      </c>
      <c r="B5883" t="s">
        <v>717</v>
      </c>
      <c r="C5883" t="s">
        <v>257</v>
      </c>
      <c r="D5883" s="230">
        <v>-49305.7</v>
      </c>
      <c r="E5883" t="s">
        <v>718</v>
      </c>
    </row>
    <row r="5884" spans="1:5" hidden="1" x14ac:dyDescent="0.3">
      <c r="A5884" t="s">
        <v>557</v>
      </c>
      <c r="B5884" t="s">
        <v>717</v>
      </c>
      <c r="C5884" t="s">
        <v>258</v>
      </c>
      <c r="D5884" s="230">
        <v>0</v>
      </c>
      <c r="E5884" t="s">
        <v>718</v>
      </c>
    </row>
    <row r="5885" spans="1:5" hidden="1" x14ac:dyDescent="0.3">
      <c r="A5885" t="s">
        <v>557</v>
      </c>
      <c r="B5885" t="s">
        <v>717</v>
      </c>
      <c r="C5885" t="s">
        <v>259</v>
      </c>
      <c r="D5885" s="230">
        <v>-2446.67</v>
      </c>
      <c r="E5885" t="s">
        <v>718</v>
      </c>
    </row>
    <row r="5886" spans="1:5" hidden="1" x14ac:dyDescent="0.3">
      <c r="A5886" t="s">
        <v>557</v>
      </c>
      <c r="B5886" t="s">
        <v>717</v>
      </c>
      <c r="C5886" t="s">
        <v>260</v>
      </c>
      <c r="D5886" s="230">
        <v>0</v>
      </c>
      <c r="E5886" t="s">
        <v>718</v>
      </c>
    </row>
    <row r="5887" spans="1:5" hidden="1" x14ac:dyDescent="0.3">
      <c r="A5887" t="s">
        <v>557</v>
      </c>
      <c r="B5887" t="s">
        <v>717</v>
      </c>
      <c r="C5887" t="s">
        <v>261</v>
      </c>
      <c r="D5887" s="230">
        <v>0</v>
      </c>
      <c r="E5887" t="s">
        <v>718</v>
      </c>
    </row>
    <row r="5888" spans="1:5" hidden="1" x14ac:dyDescent="0.3">
      <c r="A5888" t="s">
        <v>557</v>
      </c>
      <c r="B5888" t="s">
        <v>717</v>
      </c>
      <c r="C5888" t="s">
        <v>262</v>
      </c>
      <c r="D5888" s="230">
        <v>0</v>
      </c>
      <c r="E5888" t="s">
        <v>718</v>
      </c>
    </row>
    <row r="5889" spans="1:5" hidden="1" x14ac:dyDescent="0.3">
      <c r="A5889" t="s">
        <v>557</v>
      </c>
      <c r="B5889" t="s">
        <v>717</v>
      </c>
      <c r="C5889" t="s">
        <v>263</v>
      </c>
      <c r="D5889" s="230">
        <v>0</v>
      </c>
      <c r="E5889" t="s">
        <v>718</v>
      </c>
    </row>
    <row r="5890" spans="1:5" hidden="1" x14ac:dyDescent="0.3">
      <c r="A5890" t="s">
        <v>557</v>
      </c>
      <c r="B5890" t="s">
        <v>717</v>
      </c>
      <c r="C5890" t="s">
        <v>44</v>
      </c>
      <c r="D5890" s="230">
        <v>-0.11</v>
      </c>
      <c r="E5890" t="s">
        <v>718</v>
      </c>
    </row>
    <row r="5891" spans="1:5" hidden="1" x14ac:dyDescent="0.3">
      <c r="A5891" t="s">
        <v>557</v>
      </c>
      <c r="B5891" t="s">
        <v>717</v>
      </c>
      <c r="C5891" t="s">
        <v>264</v>
      </c>
      <c r="D5891" s="230">
        <v>-33336.839999999997</v>
      </c>
      <c r="E5891" t="s">
        <v>718</v>
      </c>
    </row>
    <row r="5892" spans="1:5" hidden="1" x14ac:dyDescent="0.3">
      <c r="A5892" t="s">
        <v>557</v>
      </c>
      <c r="B5892" t="s">
        <v>717</v>
      </c>
      <c r="C5892" t="s">
        <v>265</v>
      </c>
      <c r="D5892" s="230">
        <v>-4797.09</v>
      </c>
      <c r="E5892" t="s">
        <v>718</v>
      </c>
    </row>
    <row r="5893" spans="1:5" hidden="1" x14ac:dyDescent="0.3">
      <c r="A5893" t="s">
        <v>557</v>
      </c>
      <c r="B5893" t="s">
        <v>717</v>
      </c>
      <c r="C5893" t="s">
        <v>266</v>
      </c>
      <c r="D5893" s="230">
        <v>-9635.2999999999993</v>
      </c>
      <c r="E5893" t="s">
        <v>718</v>
      </c>
    </row>
    <row r="5894" spans="1:5" hidden="1" x14ac:dyDescent="0.3">
      <c r="A5894" t="s">
        <v>557</v>
      </c>
      <c r="B5894" t="s">
        <v>717</v>
      </c>
      <c r="C5894" t="s">
        <v>267</v>
      </c>
      <c r="D5894" s="230">
        <v>-4610.76</v>
      </c>
      <c r="E5894" t="s">
        <v>718</v>
      </c>
    </row>
    <row r="5895" spans="1:5" hidden="1" x14ac:dyDescent="0.3">
      <c r="A5895" t="s">
        <v>557</v>
      </c>
      <c r="B5895" t="s">
        <v>717</v>
      </c>
      <c r="C5895" t="s">
        <v>268</v>
      </c>
      <c r="D5895" s="230">
        <v>-6361.91</v>
      </c>
      <c r="E5895" t="s">
        <v>718</v>
      </c>
    </row>
    <row r="5896" spans="1:5" hidden="1" x14ac:dyDescent="0.3">
      <c r="A5896" t="s">
        <v>557</v>
      </c>
      <c r="B5896" t="s">
        <v>717</v>
      </c>
      <c r="C5896" t="s">
        <v>269</v>
      </c>
      <c r="D5896" s="230">
        <v>0</v>
      </c>
      <c r="E5896" t="s">
        <v>718</v>
      </c>
    </row>
    <row r="5897" spans="1:5" hidden="1" x14ac:dyDescent="0.3">
      <c r="A5897" t="s">
        <v>557</v>
      </c>
      <c r="B5897" t="s">
        <v>717</v>
      </c>
      <c r="C5897" t="s">
        <v>270</v>
      </c>
      <c r="D5897" s="230">
        <v>-500</v>
      </c>
      <c r="E5897" t="s">
        <v>718</v>
      </c>
    </row>
    <row r="5898" spans="1:5" hidden="1" x14ac:dyDescent="0.3">
      <c r="A5898" t="s">
        <v>557</v>
      </c>
      <c r="B5898" t="s">
        <v>717</v>
      </c>
      <c r="C5898" t="s">
        <v>271</v>
      </c>
      <c r="D5898" s="230">
        <v>-870.96</v>
      </c>
      <c r="E5898" t="s">
        <v>718</v>
      </c>
    </row>
    <row r="5899" spans="1:5" hidden="1" x14ac:dyDescent="0.3">
      <c r="A5899" t="s">
        <v>557</v>
      </c>
      <c r="B5899" t="s">
        <v>717</v>
      </c>
      <c r="C5899" t="s">
        <v>272</v>
      </c>
      <c r="D5899" s="230">
        <v>-1885.18</v>
      </c>
      <c r="E5899" t="s">
        <v>718</v>
      </c>
    </row>
    <row r="5900" spans="1:5" hidden="1" x14ac:dyDescent="0.3">
      <c r="A5900" t="s">
        <v>557</v>
      </c>
      <c r="B5900" t="s">
        <v>717</v>
      </c>
      <c r="C5900" t="s">
        <v>273</v>
      </c>
      <c r="D5900" s="230">
        <v>-258</v>
      </c>
      <c r="E5900" t="s">
        <v>718</v>
      </c>
    </row>
    <row r="5901" spans="1:5" hidden="1" x14ac:dyDescent="0.3">
      <c r="A5901" t="s">
        <v>557</v>
      </c>
      <c r="B5901" t="s">
        <v>717</v>
      </c>
      <c r="C5901" t="s">
        <v>274</v>
      </c>
      <c r="D5901" s="230">
        <v>0</v>
      </c>
      <c r="E5901" t="s">
        <v>718</v>
      </c>
    </row>
    <row r="5902" spans="1:5" hidden="1" x14ac:dyDescent="0.3">
      <c r="A5902" t="s">
        <v>557</v>
      </c>
      <c r="B5902" t="s">
        <v>717</v>
      </c>
      <c r="C5902" t="s">
        <v>275</v>
      </c>
      <c r="D5902" s="230">
        <v>-337.95</v>
      </c>
      <c r="E5902" t="s">
        <v>718</v>
      </c>
    </row>
    <row r="5903" spans="1:5" hidden="1" x14ac:dyDescent="0.3">
      <c r="A5903" t="s">
        <v>557</v>
      </c>
      <c r="B5903" t="s">
        <v>717</v>
      </c>
      <c r="C5903" t="s">
        <v>276</v>
      </c>
      <c r="D5903" s="230">
        <v>0</v>
      </c>
      <c r="E5903" t="s">
        <v>718</v>
      </c>
    </row>
    <row r="5904" spans="1:5" hidden="1" x14ac:dyDescent="0.3">
      <c r="A5904" t="s">
        <v>557</v>
      </c>
      <c r="B5904" t="s">
        <v>717</v>
      </c>
      <c r="C5904" t="s">
        <v>277</v>
      </c>
      <c r="D5904" s="230">
        <v>0</v>
      </c>
      <c r="E5904" t="s">
        <v>718</v>
      </c>
    </row>
    <row r="5905" spans="1:5" hidden="1" x14ac:dyDescent="0.3">
      <c r="A5905" t="s">
        <v>557</v>
      </c>
      <c r="B5905" t="s">
        <v>717</v>
      </c>
      <c r="C5905" t="s">
        <v>278</v>
      </c>
      <c r="D5905" s="230">
        <v>-4079.69</v>
      </c>
      <c r="E5905" t="s">
        <v>718</v>
      </c>
    </row>
    <row r="5906" spans="1:5" hidden="1" x14ac:dyDescent="0.3">
      <c r="A5906" t="s">
        <v>557</v>
      </c>
      <c r="B5906" t="s">
        <v>717</v>
      </c>
      <c r="C5906" t="s">
        <v>44</v>
      </c>
      <c r="D5906" s="230">
        <v>-7.0000000000000007E-2</v>
      </c>
      <c r="E5906" t="s">
        <v>718</v>
      </c>
    </row>
    <row r="5907" spans="1:5" hidden="1" x14ac:dyDescent="0.3">
      <c r="A5907" t="s">
        <v>557</v>
      </c>
      <c r="B5907" t="s">
        <v>717</v>
      </c>
      <c r="C5907" t="s">
        <v>279</v>
      </c>
      <c r="D5907" s="230">
        <v>-6729.24</v>
      </c>
      <c r="E5907" t="s">
        <v>718</v>
      </c>
    </row>
    <row r="5908" spans="1:5" hidden="1" x14ac:dyDescent="0.3">
      <c r="A5908" t="s">
        <v>557</v>
      </c>
      <c r="B5908" t="s">
        <v>717</v>
      </c>
      <c r="C5908" t="s">
        <v>280</v>
      </c>
      <c r="D5908" s="230">
        <v>-299.89999999999998</v>
      </c>
      <c r="E5908" t="s">
        <v>718</v>
      </c>
    </row>
    <row r="5909" spans="1:5" hidden="1" x14ac:dyDescent="0.3">
      <c r="A5909" t="s">
        <v>557</v>
      </c>
      <c r="B5909" t="s">
        <v>717</v>
      </c>
      <c r="C5909" t="s">
        <v>281</v>
      </c>
      <c r="D5909" s="230">
        <v>-377.16</v>
      </c>
      <c r="E5909" t="s">
        <v>718</v>
      </c>
    </row>
    <row r="5910" spans="1:5" hidden="1" x14ac:dyDescent="0.3">
      <c r="A5910" t="s">
        <v>557</v>
      </c>
      <c r="B5910" t="s">
        <v>717</v>
      </c>
      <c r="C5910" t="s">
        <v>282</v>
      </c>
      <c r="D5910" s="230">
        <v>-264.25</v>
      </c>
      <c r="E5910" t="s">
        <v>718</v>
      </c>
    </row>
    <row r="5911" spans="1:5" hidden="1" x14ac:dyDescent="0.3">
      <c r="A5911" t="s">
        <v>557</v>
      </c>
      <c r="B5911" t="s">
        <v>717</v>
      </c>
      <c r="C5911" t="s">
        <v>283</v>
      </c>
      <c r="D5911" s="230">
        <v>-238.58</v>
      </c>
      <c r="E5911" t="s">
        <v>718</v>
      </c>
    </row>
    <row r="5912" spans="1:5" hidden="1" x14ac:dyDescent="0.3">
      <c r="A5912" t="s">
        <v>557</v>
      </c>
      <c r="B5912" t="s">
        <v>717</v>
      </c>
      <c r="C5912" t="s">
        <v>284</v>
      </c>
      <c r="D5912" s="230">
        <v>-5549.35</v>
      </c>
      <c r="E5912" t="s">
        <v>718</v>
      </c>
    </row>
    <row r="5913" spans="1:5" hidden="1" x14ac:dyDescent="0.3">
      <c r="A5913" t="s">
        <v>557</v>
      </c>
      <c r="B5913" t="s">
        <v>717</v>
      </c>
      <c r="C5913" t="s">
        <v>285</v>
      </c>
      <c r="D5913" s="230">
        <v>0</v>
      </c>
      <c r="E5913" t="s">
        <v>718</v>
      </c>
    </row>
    <row r="5914" spans="1:5" hidden="1" x14ac:dyDescent="0.3">
      <c r="A5914" t="s">
        <v>557</v>
      </c>
      <c r="B5914" t="s">
        <v>717</v>
      </c>
      <c r="C5914" t="s">
        <v>286</v>
      </c>
      <c r="D5914" s="230">
        <v>0</v>
      </c>
      <c r="E5914" t="s">
        <v>718</v>
      </c>
    </row>
    <row r="5915" spans="1:5" hidden="1" x14ac:dyDescent="0.3">
      <c r="A5915" t="s">
        <v>557</v>
      </c>
      <c r="B5915" t="s">
        <v>717</v>
      </c>
      <c r="C5915" t="s">
        <v>44</v>
      </c>
      <c r="D5915" s="230">
        <v>-0.01</v>
      </c>
      <c r="E5915" t="s">
        <v>718</v>
      </c>
    </row>
    <row r="5916" spans="1:5" hidden="1" x14ac:dyDescent="0.3">
      <c r="A5916" t="s">
        <v>557</v>
      </c>
      <c r="B5916" t="s">
        <v>717</v>
      </c>
      <c r="C5916" t="s">
        <v>287</v>
      </c>
      <c r="D5916" s="230">
        <v>-7975.83</v>
      </c>
      <c r="E5916" t="s">
        <v>718</v>
      </c>
    </row>
    <row r="5917" spans="1:5" hidden="1" x14ac:dyDescent="0.3">
      <c r="A5917" t="s">
        <v>557</v>
      </c>
      <c r="B5917" t="s">
        <v>717</v>
      </c>
      <c r="C5917" t="s">
        <v>288</v>
      </c>
      <c r="D5917" s="230">
        <v>-6723.72</v>
      </c>
      <c r="E5917" t="s">
        <v>718</v>
      </c>
    </row>
    <row r="5918" spans="1:5" hidden="1" x14ac:dyDescent="0.3">
      <c r="A5918" t="s">
        <v>557</v>
      </c>
      <c r="B5918" t="s">
        <v>717</v>
      </c>
      <c r="C5918" t="s">
        <v>289</v>
      </c>
      <c r="D5918" s="230">
        <v>0</v>
      </c>
      <c r="E5918" t="s">
        <v>718</v>
      </c>
    </row>
    <row r="5919" spans="1:5" hidden="1" x14ac:dyDescent="0.3">
      <c r="A5919" t="s">
        <v>557</v>
      </c>
      <c r="B5919" t="s">
        <v>717</v>
      </c>
      <c r="C5919" t="s">
        <v>290</v>
      </c>
      <c r="D5919" s="230">
        <v>0</v>
      </c>
      <c r="E5919" t="s">
        <v>718</v>
      </c>
    </row>
    <row r="5920" spans="1:5" hidden="1" x14ac:dyDescent="0.3">
      <c r="A5920" t="s">
        <v>557</v>
      </c>
      <c r="B5920" t="s">
        <v>717</v>
      </c>
      <c r="C5920" t="s">
        <v>291</v>
      </c>
      <c r="D5920" s="230">
        <v>0</v>
      </c>
      <c r="E5920" t="s">
        <v>718</v>
      </c>
    </row>
    <row r="5921" spans="1:5" hidden="1" x14ac:dyDescent="0.3">
      <c r="A5921" t="s">
        <v>557</v>
      </c>
      <c r="B5921" t="s">
        <v>717</v>
      </c>
      <c r="C5921" t="s">
        <v>292</v>
      </c>
      <c r="D5921" s="230">
        <v>-390</v>
      </c>
      <c r="E5921" t="s">
        <v>718</v>
      </c>
    </row>
    <row r="5922" spans="1:5" hidden="1" x14ac:dyDescent="0.3">
      <c r="A5922" t="s">
        <v>557</v>
      </c>
      <c r="B5922" t="s">
        <v>717</v>
      </c>
      <c r="C5922" t="s">
        <v>293</v>
      </c>
      <c r="D5922" s="230">
        <v>-862.11</v>
      </c>
      <c r="E5922" t="s">
        <v>718</v>
      </c>
    </row>
    <row r="5923" spans="1:5" hidden="1" x14ac:dyDescent="0.3">
      <c r="A5923" t="s">
        <v>557</v>
      </c>
      <c r="B5923" t="s">
        <v>717</v>
      </c>
      <c r="C5923" t="s">
        <v>294</v>
      </c>
      <c r="D5923" s="230">
        <v>-279.41000000000003</v>
      </c>
      <c r="E5923" t="s">
        <v>718</v>
      </c>
    </row>
    <row r="5924" spans="1:5" hidden="1" x14ac:dyDescent="0.3">
      <c r="A5924" t="s">
        <v>557</v>
      </c>
      <c r="B5924" t="s">
        <v>717</v>
      </c>
      <c r="C5924" t="s">
        <v>295</v>
      </c>
      <c r="D5924" s="230">
        <v>0</v>
      </c>
      <c r="E5924" t="s">
        <v>718</v>
      </c>
    </row>
    <row r="5925" spans="1:5" hidden="1" x14ac:dyDescent="0.3">
      <c r="A5925" t="s">
        <v>557</v>
      </c>
      <c r="B5925" t="s">
        <v>717</v>
      </c>
      <c r="C5925" t="s">
        <v>44</v>
      </c>
      <c r="D5925" s="230">
        <v>-0.02</v>
      </c>
      <c r="E5925" t="s">
        <v>718</v>
      </c>
    </row>
    <row r="5926" spans="1:5" hidden="1" x14ac:dyDescent="0.3">
      <c r="A5926" t="s">
        <v>557</v>
      </c>
      <c r="B5926" t="s">
        <v>717</v>
      </c>
      <c r="C5926" t="s">
        <v>296</v>
      </c>
      <c r="D5926" s="230">
        <v>-5972.5</v>
      </c>
      <c r="E5926" t="s">
        <v>718</v>
      </c>
    </row>
    <row r="5927" spans="1:5" hidden="1" x14ac:dyDescent="0.3">
      <c r="A5927" t="s">
        <v>557</v>
      </c>
      <c r="B5927" t="s">
        <v>717</v>
      </c>
      <c r="C5927" t="s">
        <v>297</v>
      </c>
      <c r="D5927" s="230">
        <v>-5000</v>
      </c>
      <c r="E5927" t="s">
        <v>718</v>
      </c>
    </row>
    <row r="5928" spans="1:5" hidden="1" x14ac:dyDescent="0.3">
      <c r="A5928" t="s">
        <v>557</v>
      </c>
      <c r="B5928" t="s">
        <v>717</v>
      </c>
      <c r="C5928" t="s">
        <v>298</v>
      </c>
      <c r="D5928" s="230">
        <v>-460</v>
      </c>
      <c r="E5928" t="s">
        <v>718</v>
      </c>
    </row>
    <row r="5929" spans="1:5" hidden="1" x14ac:dyDescent="0.3">
      <c r="A5929" t="s">
        <v>557</v>
      </c>
      <c r="B5929" t="s">
        <v>717</v>
      </c>
      <c r="C5929" t="s">
        <v>299</v>
      </c>
      <c r="D5929" s="230">
        <v>0</v>
      </c>
      <c r="E5929" t="s">
        <v>718</v>
      </c>
    </row>
    <row r="5930" spans="1:5" hidden="1" x14ac:dyDescent="0.3">
      <c r="A5930" t="s">
        <v>557</v>
      </c>
      <c r="B5930" t="s">
        <v>717</v>
      </c>
      <c r="C5930" t="s">
        <v>300</v>
      </c>
      <c r="D5930" s="230">
        <v>0</v>
      </c>
      <c r="E5930" t="s">
        <v>718</v>
      </c>
    </row>
    <row r="5931" spans="1:5" hidden="1" x14ac:dyDescent="0.3">
      <c r="A5931" t="s">
        <v>557</v>
      </c>
      <c r="B5931" t="s">
        <v>717</v>
      </c>
      <c r="C5931" t="s">
        <v>301</v>
      </c>
      <c r="D5931" s="230">
        <v>0</v>
      </c>
      <c r="E5931" t="s">
        <v>718</v>
      </c>
    </row>
    <row r="5932" spans="1:5" hidden="1" x14ac:dyDescent="0.3">
      <c r="A5932" t="s">
        <v>557</v>
      </c>
      <c r="B5932" t="s">
        <v>717</v>
      </c>
      <c r="C5932" t="s">
        <v>302</v>
      </c>
      <c r="D5932" s="230">
        <v>0</v>
      </c>
      <c r="E5932" t="s">
        <v>718</v>
      </c>
    </row>
    <row r="5933" spans="1:5" hidden="1" x14ac:dyDescent="0.3">
      <c r="A5933" t="s">
        <v>557</v>
      </c>
      <c r="B5933" t="s">
        <v>717</v>
      </c>
      <c r="C5933" t="s">
        <v>303</v>
      </c>
      <c r="D5933" s="230">
        <v>0</v>
      </c>
      <c r="E5933" t="s">
        <v>718</v>
      </c>
    </row>
    <row r="5934" spans="1:5" hidden="1" x14ac:dyDescent="0.3">
      <c r="A5934" t="s">
        <v>557</v>
      </c>
      <c r="B5934" t="s">
        <v>717</v>
      </c>
      <c r="C5934" t="s">
        <v>304</v>
      </c>
      <c r="D5934" s="230">
        <v>0</v>
      </c>
      <c r="E5934" t="s">
        <v>718</v>
      </c>
    </row>
    <row r="5935" spans="1:5" hidden="1" x14ac:dyDescent="0.3">
      <c r="A5935" t="s">
        <v>557</v>
      </c>
      <c r="B5935" t="s">
        <v>717</v>
      </c>
      <c r="C5935" t="s">
        <v>305</v>
      </c>
      <c r="D5935" s="230">
        <v>-120</v>
      </c>
      <c r="E5935" t="s">
        <v>718</v>
      </c>
    </row>
    <row r="5936" spans="1:5" hidden="1" x14ac:dyDescent="0.3">
      <c r="A5936" t="s">
        <v>557</v>
      </c>
      <c r="B5936" t="s">
        <v>717</v>
      </c>
      <c r="C5936" t="s">
        <v>306</v>
      </c>
      <c r="D5936" s="230">
        <v>0</v>
      </c>
      <c r="E5936" t="s">
        <v>718</v>
      </c>
    </row>
    <row r="5937" spans="1:5" hidden="1" x14ac:dyDescent="0.3">
      <c r="A5937" t="s">
        <v>557</v>
      </c>
      <c r="B5937" t="s">
        <v>717</v>
      </c>
      <c r="C5937" t="s">
        <v>307</v>
      </c>
      <c r="D5937" s="230">
        <v>-392.5</v>
      </c>
      <c r="E5937" t="s">
        <v>718</v>
      </c>
    </row>
    <row r="5938" spans="1:5" hidden="1" x14ac:dyDescent="0.3">
      <c r="A5938" t="s">
        <v>557</v>
      </c>
      <c r="B5938" t="s">
        <v>717</v>
      </c>
      <c r="C5938" t="s">
        <v>44</v>
      </c>
      <c r="D5938" s="230">
        <v>-0.01</v>
      </c>
      <c r="E5938" t="s">
        <v>718</v>
      </c>
    </row>
    <row r="5939" spans="1:5" hidden="1" x14ac:dyDescent="0.3">
      <c r="A5939" t="s">
        <v>557</v>
      </c>
      <c r="B5939" t="s">
        <v>717</v>
      </c>
      <c r="C5939" t="s">
        <v>308</v>
      </c>
      <c r="D5939" s="230">
        <v>-2272.5500000000002</v>
      </c>
      <c r="E5939" t="s">
        <v>718</v>
      </c>
    </row>
    <row r="5940" spans="1:5" hidden="1" x14ac:dyDescent="0.3">
      <c r="A5940" t="s">
        <v>557</v>
      </c>
      <c r="B5940" t="s">
        <v>717</v>
      </c>
      <c r="C5940" t="s">
        <v>309</v>
      </c>
      <c r="D5940" s="230">
        <v>-1412</v>
      </c>
      <c r="E5940" t="s">
        <v>718</v>
      </c>
    </row>
    <row r="5941" spans="1:5" hidden="1" x14ac:dyDescent="0.3">
      <c r="A5941" t="s">
        <v>557</v>
      </c>
      <c r="B5941" t="s">
        <v>717</v>
      </c>
      <c r="C5941" t="s">
        <v>310</v>
      </c>
      <c r="D5941" s="230">
        <v>0</v>
      </c>
      <c r="E5941" t="s">
        <v>718</v>
      </c>
    </row>
    <row r="5942" spans="1:5" hidden="1" x14ac:dyDescent="0.3">
      <c r="A5942" t="s">
        <v>557</v>
      </c>
      <c r="B5942" t="s">
        <v>717</v>
      </c>
      <c r="C5942" t="s">
        <v>311</v>
      </c>
      <c r="D5942" s="230">
        <v>-860.55</v>
      </c>
      <c r="E5942" t="s">
        <v>718</v>
      </c>
    </row>
    <row r="5943" spans="1:5" hidden="1" x14ac:dyDescent="0.3">
      <c r="A5943" t="s">
        <v>557</v>
      </c>
      <c r="B5943" t="s">
        <v>717</v>
      </c>
      <c r="C5943" t="s">
        <v>312</v>
      </c>
      <c r="D5943" s="230">
        <v>0</v>
      </c>
      <c r="E5943" t="s">
        <v>718</v>
      </c>
    </row>
    <row r="5944" spans="1:5" hidden="1" x14ac:dyDescent="0.3">
      <c r="A5944" t="s">
        <v>557</v>
      </c>
      <c r="B5944" t="s">
        <v>717</v>
      </c>
      <c r="C5944" t="s">
        <v>313</v>
      </c>
      <c r="D5944" s="230">
        <v>0</v>
      </c>
      <c r="E5944" t="s">
        <v>718</v>
      </c>
    </row>
    <row r="5945" spans="1:5" hidden="1" x14ac:dyDescent="0.3">
      <c r="A5945" t="s">
        <v>557</v>
      </c>
      <c r="B5945" t="s">
        <v>717</v>
      </c>
      <c r="C5945" t="s">
        <v>314</v>
      </c>
      <c r="D5945" s="230">
        <v>0</v>
      </c>
      <c r="E5945" t="s">
        <v>718</v>
      </c>
    </row>
    <row r="5946" spans="1:5" hidden="1" x14ac:dyDescent="0.3">
      <c r="A5946" t="s">
        <v>557</v>
      </c>
      <c r="B5946" t="s">
        <v>717</v>
      </c>
      <c r="C5946" t="s">
        <v>315</v>
      </c>
      <c r="D5946" s="230">
        <v>0</v>
      </c>
      <c r="E5946" t="s">
        <v>718</v>
      </c>
    </row>
    <row r="5947" spans="1:5" hidden="1" x14ac:dyDescent="0.3">
      <c r="A5947" t="s">
        <v>557</v>
      </c>
      <c r="B5947" t="s">
        <v>717</v>
      </c>
      <c r="C5947" t="s">
        <v>316</v>
      </c>
      <c r="D5947" s="230">
        <v>0</v>
      </c>
      <c r="E5947" t="s">
        <v>718</v>
      </c>
    </row>
    <row r="5948" spans="1:5" hidden="1" x14ac:dyDescent="0.3">
      <c r="A5948" t="s">
        <v>557</v>
      </c>
      <c r="B5948" t="s">
        <v>717</v>
      </c>
      <c r="C5948" t="s">
        <v>317</v>
      </c>
      <c r="D5948" s="230">
        <v>0</v>
      </c>
      <c r="E5948" t="s">
        <v>718</v>
      </c>
    </row>
    <row r="5949" spans="1:5" hidden="1" x14ac:dyDescent="0.3">
      <c r="A5949" t="s">
        <v>557</v>
      </c>
      <c r="B5949" t="s">
        <v>717</v>
      </c>
      <c r="C5949" t="s">
        <v>44</v>
      </c>
      <c r="D5949" s="230">
        <v>-0.01</v>
      </c>
      <c r="E5949" t="s">
        <v>718</v>
      </c>
    </row>
    <row r="5950" spans="1:5" hidden="1" x14ac:dyDescent="0.3">
      <c r="A5950" t="s">
        <v>557</v>
      </c>
      <c r="B5950" t="s">
        <v>717</v>
      </c>
      <c r="C5950" t="s">
        <v>318</v>
      </c>
      <c r="D5950" s="230">
        <v>-4525.46</v>
      </c>
      <c r="E5950" t="s">
        <v>718</v>
      </c>
    </row>
    <row r="5951" spans="1:5" hidden="1" x14ac:dyDescent="0.3">
      <c r="A5951" t="s">
        <v>557</v>
      </c>
      <c r="B5951" t="s">
        <v>717</v>
      </c>
      <c r="C5951" t="s">
        <v>319</v>
      </c>
      <c r="D5951" s="230">
        <v>-4525.46</v>
      </c>
      <c r="E5951" t="s">
        <v>718</v>
      </c>
    </row>
    <row r="5952" spans="1:5" hidden="1" x14ac:dyDescent="0.3">
      <c r="A5952" t="s">
        <v>557</v>
      </c>
      <c r="B5952" t="s">
        <v>717</v>
      </c>
      <c r="C5952" t="s">
        <v>320</v>
      </c>
      <c r="D5952" s="230">
        <v>0</v>
      </c>
      <c r="E5952" t="s">
        <v>718</v>
      </c>
    </row>
    <row r="5953" spans="1:5" hidden="1" x14ac:dyDescent="0.3">
      <c r="A5953" t="s">
        <v>557</v>
      </c>
      <c r="B5953" t="s">
        <v>717</v>
      </c>
      <c r="C5953" t="s">
        <v>321</v>
      </c>
      <c r="D5953" s="230">
        <v>0</v>
      </c>
      <c r="E5953" t="s">
        <v>718</v>
      </c>
    </row>
    <row r="5954" spans="1:5" hidden="1" x14ac:dyDescent="0.3">
      <c r="A5954" t="s">
        <v>557</v>
      </c>
      <c r="B5954" t="s">
        <v>717</v>
      </c>
      <c r="C5954" t="s">
        <v>322</v>
      </c>
      <c r="D5954" s="230">
        <v>0</v>
      </c>
      <c r="E5954" t="s">
        <v>718</v>
      </c>
    </row>
    <row r="5955" spans="1:5" hidden="1" x14ac:dyDescent="0.3">
      <c r="A5955" t="s">
        <v>557</v>
      </c>
      <c r="B5955" t="s">
        <v>717</v>
      </c>
      <c r="C5955" t="s">
        <v>44</v>
      </c>
      <c r="D5955" s="230">
        <v>-0.01</v>
      </c>
      <c r="E5955" t="s">
        <v>718</v>
      </c>
    </row>
    <row r="5956" spans="1:5" hidden="1" x14ac:dyDescent="0.3">
      <c r="A5956" t="s">
        <v>557</v>
      </c>
      <c r="B5956" t="s">
        <v>717</v>
      </c>
      <c r="C5956" t="s">
        <v>323</v>
      </c>
      <c r="D5956" s="230">
        <v>-22595.27</v>
      </c>
      <c r="E5956" t="s">
        <v>718</v>
      </c>
    </row>
    <row r="5957" spans="1:5" hidden="1" x14ac:dyDescent="0.3">
      <c r="A5957" t="s">
        <v>557</v>
      </c>
      <c r="B5957" t="s">
        <v>717</v>
      </c>
      <c r="C5957" t="s">
        <v>324</v>
      </c>
      <c r="D5957" s="230">
        <v>0</v>
      </c>
      <c r="E5957" t="s">
        <v>718</v>
      </c>
    </row>
    <row r="5958" spans="1:5" hidden="1" x14ac:dyDescent="0.3">
      <c r="A5958" t="s">
        <v>557</v>
      </c>
      <c r="B5958" t="s">
        <v>717</v>
      </c>
      <c r="C5958" t="s">
        <v>325</v>
      </c>
      <c r="D5958" s="230">
        <v>0</v>
      </c>
      <c r="E5958" t="s">
        <v>718</v>
      </c>
    </row>
    <row r="5959" spans="1:5" hidden="1" x14ac:dyDescent="0.3">
      <c r="A5959" t="s">
        <v>557</v>
      </c>
      <c r="B5959" t="s">
        <v>717</v>
      </c>
      <c r="C5959" t="s">
        <v>326</v>
      </c>
      <c r="D5959" s="230">
        <v>-22595.27</v>
      </c>
      <c r="E5959" t="s">
        <v>718</v>
      </c>
    </row>
    <row r="5960" spans="1:5" hidden="1" x14ac:dyDescent="0.3">
      <c r="A5960" t="s">
        <v>557</v>
      </c>
      <c r="B5960" t="s">
        <v>717</v>
      </c>
      <c r="C5960" t="s">
        <v>44</v>
      </c>
      <c r="D5960" s="230">
        <v>-0.05</v>
      </c>
      <c r="E5960" t="s">
        <v>718</v>
      </c>
    </row>
    <row r="5961" spans="1:5" hidden="1" x14ac:dyDescent="0.3">
      <c r="A5961" t="s">
        <v>557</v>
      </c>
      <c r="B5961" t="s">
        <v>717</v>
      </c>
      <c r="C5961" t="s">
        <v>328</v>
      </c>
      <c r="D5961" s="230">
        <v>-255955.63</v>
      </c>
      <c r="E5961" t="s">
        <v>718</v>
      </c>
    </row>
    <row r="5962" spans="1:5" hidden="1" x14ac:dyDescent="0.3">
      <c r="A5962" t="s">
        <v>557</v>
      </c>
      <c r="B5962" t="s">
        <v>717</v>
      </c>
      <c r="C5962" t="s">
        <v>44</v>
      </c>
      <c r="D5962" s="230">
        <v>-0.56999999999999995</v>
      </c>
      <c r="E5962" t="s">
        <v>718</v>
      </c>
    </row>
    <row r="5963" spans="1:5" hidden="1" x14ac:dyDescent="0.3">
      <c r="A5963" t="s">
        <v>557</v>
      </c>
      <c r="B5963" t="s">
        <v>717</v>
      </c>
      <c r="C5963" t="s">
        <v>329</v>
      </c>
      <c r="D5963" s="230">
        <v>375.43</v>
      </c>
      <c r="E5963" t="s">
        <v>718</v>
      </c>
    </row>
    <row r="5964" spans="1:5" hidden="1" x14ac:dyDescent="0.3">
      <c r="A5964" t="s">
        <v>557</v>
      </c>
      <c r="B5964" t="s">
        <v>717</v>
      </c>
      <c r="C5964" t="s">
        <v>44</v>
      </c>
      <c r="D5964" s="230">
        <v>0</v>
      </c>
      <c r="E5964" t="s">
        <v>718</v>
      </c>
    </row>
    <row r="5965" spans="1:5" hidden="1" x14ac:dyDescent="0.3">
      <c r="A5965" t="s">
        <v>557</v>
      </c>
      <c r="B5965" t="s">
        <v>717</v>
      </c>
      <c r="C5965" t="s">
        <v>330</v>
      </c>
      <c r="D5965" s="230">
        <v>0</v>
      </c>
      <c r="E5965" t="s">
        <v>718</v>
      </c>
    </row>
    <row r="5966" spans="1:5" hidden="1" x14ac:dyDescent="0.3">
      <c r="A5966" t="s">
        <v>557</v>
      </c>
      <c r="B5966" t="s">
        <v>717</v>
      </c>
      <c r="C5966" t="s">
        <v>332</v>
      </c>
      <c r="D5966" s="230">
        <v>375.43</v>
      </c>
      <c r="E5966" t="s">
        <v>718</v>
      </c>
    </row>
    <row r="5967" spans="1:5" hidden="1" x14ac:dyDescent="0.3">
      <c r="A5967" t="s">
        <v>557</v>
      </c>
      <c r="B5967" t="s">
        <v>717</v>
      </c>
      <c r="C5967" t="s">
        <v>333</v>
      </c>
      <c r="D5967" s="230">
        <v>7409.41</v>
      </c>
      <c r="E5967" t="s">
        <v>718</v>
      </c>
    </row>
    <row r="5968" spans="1:5" hidden="1" x14ac:dyDescent="0.3">
      <c r="A5968" t="s">
        <v>557</v>
      </c>
      <c r="B5968" t="s">
        <v>717</v>
      </c>
      <c r="C5968" t="s">
        <v>334</v>
      </c>
      <c r="D5968" s="230">
        <v>0</v>
      </c>
      <c r="E5968" t="s">
        <v>718</v>
      </c>
    </row>
    <row r="5969" spans="1:5" hidden="1" x14ac:dyDescent="0.3">
      <c r="A5969" t="s">
        <v>557</v>
      </c>
      <c r="B5969" t="s">
        <v>717</v>
      </c>
      <c r="C5969" t="s">
        <v>336</v>
      </c>
      <c r="D5969" s="230">
        <v>0</v>
      </c>
      <c r="E5969" t="s">
        <v>718</v>
      </c>
    </row>
    <row r="5970" spans="1:5" hidden="1" x14ac:dyDescent="0.3">
      <c r="A5970" t="s">
        <v>557</v>
      </c>
      <c r="B5970" t="s">
        <v>717</v>
      </c>
      <c r="C5970" t="s">
        <v>338</v>
      </c>
      <c r="D5970" s="230">
        <v>7784.84</v>
      </c>
      <c r="E5970" t="s">
        <v>718</v>
      </c>
    </row>
    <row r="5971" spans="1:5" hidden="1" x14ac:dyDescent="0.3">
      <c r="A5971" t="s">
        <v>557</v>
      </c>
      <c r="B5971" t="s">
        <v>717</v>
      </c>
      <c r="C5971" t="s">
        <v>339</v>
      </c>
      <c r="D5971" s="230">
        <v>-21691.46</v>
      </c>
      <c r="E5971" t="s">
        <v>718</v>
      </c>
    </row>
    <row r="5972" spans="1:5" hidden="1" x14ac:dyDescent="0.3">
      <c r="A5972" t="s">
        <v>557</v>
      </c>
      <c r="B5972" t="s">
        <v>717</v>
      </c>
      <c r="C5972" t="s">
        <v>342</v>
      </c>
      <c r="D5972" s="230">
        <v>-21691.46</v>
      </c>
      <c r="E5972" t="s">
        <v>718</v>
      </c>
    </row>
    <row r="5973" spans="1:5" hidden="1" x14ac:dyDescent="0.3">
      <c r="A5973" t="s">
        <v>557</v>
      </c>
      <c r="B5973" t="s">
        <v>717</v>
      </c>
      <c r="C5973" t="s">
        <v>344</v>
      </c>
      <c r="D5973" s="230">
        <v>0</v>
      </c>
      <c r="E5973" t="s">
        <v>718</v>
      </c>
    </row>
    <row r="5974" spans="1:5" hidden="1" x14ac:dyDescent="0.3">
      <c r="A5974" t="s">
        <v>557</v>
      </c>
      <c r="B5974" t="s">
        <v>717</v>
      </c>
      <c r="C5974" t="s">
        <v>345</v>
      </c>
      <c r="D5974" s="230">
        <v>0</v>
      </c>
      <c r="E5974" t="s">
        <v>718</v>
      </c>
    </row>
    <row r="5975" spans="1:5" hidden="1" x14ac:dyDescent="0.3">
      <c r="A5975" t="s">
        <v>557</v>
      </c>
      <c r="B5975" t="s">
        <v>717</v>
      </c>
      <c r="C5975" t="s">
        <v>346</v>
      </c>
      <c r="D5975" s="230">
        <v>0</v>
      </c>
      <c r="E5975" t="s">
        <v>718</v>
      </c>
    </row>
    <row r="5976" spans="1:5" hidden="1" x14ac:dyDescent="0.3">
      <c r="A5976" t="s">
        <v>557</v>
      </c>
      <c r="B5976" t="s">
        <v>717</v>
      </c>
      <c r="C5976" t="s">
        <v>347</v>
      </c>
      <c r="D5976" s="230">
        <v>-13906.62</v>
      </c>
      <c r="E5976" t="s">
        <v>718</v>
      </c>
    </row>
    <row r="5977" spans="1:5" hidden="1" x14ac:dyDescent="0.3">
      <c r="A5977" t="s">
        <v>557</v>
      </c>
      <c r="B5977" t="s">
        <v>717</v>
      </c>
      <c r="C5977" t="s">
        <v>44</v>
      </c>
      <c r="D5977" s="230">
        <v>-0.03</v>
      </c>
      <c r="E5977" t="s">
        <v>718</v>
      </c>
    </row>
    <row r="5978" spans="1:5" hidden="1" x14ac:dyDescent="0.3">
      <c r="A5978" t="s">
        <v>557</v>
      </c>
      <c r="B5978" t="s">
        <v>717</v>
      </c>
      <c r="C5978" t="s">
        <v>348</v>
      </c>
      <c r="D5978" s="230">
        <v>-89.92</v>
      </c>
      <c r="E5978" t="s">
        <v>718</v>
      </c>
    </row>
    <row r="5979" spans="1:5" hidden="1" x14ac:dyDescent="0.3">
      <c r="A5979" t="s">
        <v>557</v>
      </c>
      <c r="B5979" t="s">
        <v>717</v>
      </c>
      <c r="C5979" t="s">
        <v>707</v>
      </c>
      <c r="D5979" s="230">
        <v>0</v>
      </c>
      <c r="E5979" t="s">
        <v>718</v>
      </c>
    </row>
    <row r="5980" spans="1:5" hidden="1" x14ac:dyDescent="0.3">
      <c r="A5980" t="s">
        <v>557</v>
      </c>
      <c r="B5980" t="s">
        <v>717</v>
      </c>
      <c r="C5980" t="s">
        <v>350</v>
      </c>
      <c r="D5980" s="230">
        <v>-89.92</v>
      </c>
      <c r="E5980" t="s">
        <v>718</v>
      </c>
    </row>
    <row r="5981" spans="1:5" hidden="1" x14ac:dyDescent="0.3">
      <c r="A5981" t="s">
        <v>557</v>
      </c>
      <c r="B5981" t="s">
        <v>717</v>
      </c>
      <c r="C5981" t="s">
        <v>351</v>
      </c>
      <c r="D5981" s="230">
        <v>0</v>
      </c>
      <c r="E5981" t="s">
        <v>718</v>
      </c>
    </row>
    <row r="5982" spans="1:5" hidden="1" x14ac:dyDescent="0.3">
      <c r="A5982" t="s">
        <v>557</v>
      </c>
      <c r="B5982" t="s">
        <v>717</v>
      </c>
      <c r="C5982" t="s">
        <v>352</v>
      </c>
      <c r="D5982" s="230">
        <v>0</v>
      </c>
      <c r="E5982" t="s">
        <v>718</v>
      </c>
    </row>
    <row r="5983" spans="1:5" hidden="1" x14ac:dyDescent="0.3">
      <c r="A5983" t="s">
        <v>557</v>
      </c>
      <c r="B5983" t="s">
        <v>717</v>
      </c>
      <c r="C5983" t="s">
        <v>353</v>
      </c>
      <c r="D5983" s="230">
        <v>0</v>
      </c>
      <c r="E5983" t="s">
        <v>718</v>
      </c>
    </row>
    <row r="5984" spans="1:5" hidden="1" x14ac:dyDescent="0.3">
      <c r="A5984" t="s">
        <v>557</v>
      </c>
      <c r="B5984" t="s">
        <v>717</v>
      </c>
      <c r="C5984" t="s">
        <v>354</v>
      </c>
      <c r="D5984" s="230">
        <v>0</v>
      </c>
      <c r="E5984" t="s">
        <v>718</v>
      </c>
    </row>
    <row r="5985" spans="1:5" hidden="1" x14ac:dyDescent="0.3">
      <c r="A5985" t="s">
        <v>557</v>
      </c>
      <c r="B5985" t="s">
        <v>717</v>
      </c>
      <c r="C5985" t="s">
        <v>355</v>
      </c>
      <c r="D5985" s="230">
        <v>0</v>
      </c>
      <c r="E5985" t="s">
        <v>718</v>
      </c>
    </row>
    <row r="5986" spans="1:5" hidden="1" x14ac:dyDescent="0.3">
      <c r="A5986" t="s">
        <v>557</v>
      </c>
      <c r="B5986" t="s">
        <v>717</v>
      </c>
      <c r="C5986" t="s">
        <v>356</v>
      </c>
      <c r="D5986" s="230">
        <v>0</v>
      </c>
      <c r="E5986" t="s">
        <v>718</v>
      </c>
    </row>
    <row r="5987" spans="1:5" hidden="1" x14ac:dyDescent="0.3">
      <c r="A5987" t="s">
        <v>557</v>
      </c>
      <c r="B5987" t="s">
        <v>717</v>
      </c>
      <c r="C5987" t="s">
        <v>357</v>
      </c>
      <c r="D5987" s="230">
        <v>0</v>
      </c>
      <c r="E5987" t="s">
        <v>718</v>
      </c>
    </row>
    <row r="5988" spans="1:5" hidden="1" x14ac:dyDescent="0.3">
      <c r="A5988" t="s">
        <v>557</v>
      </c>
      <c r="B5988" t="s">
        <v>717</v>
      </c>
      <c r="C5988" t="s">
        <v>358</v>
      </c>
      <c r="D5988" s="230">
        <v>0</v>
      </c>
      <c r="E5988" t="s">
        <v>718</v>
      </c>
    </row>
    <row r="5989" spans="1:5" hidden="1" x14ac:dyDescent="0.3">
      <c r="A5989" t="s">
        <v>557</v>
      </c>
      <c r="B5989" t="s">
        <v>717</v>
      </c>
      <c r="C5989" t="s">
        <v>359</v>
      </c>
      <c r="D5989" s="230">
        <v>0</v>
      </c>
      <c r="E5989" t="s">
        <v>718</v>
      </c>
    </row>
    <row r="5990" spans="1:5" hidden="1" x14ac:dyDescent="0.3">
      <c r="A5990" t="s">
        <v>557</v>
      </c>
      <c r="B5990" t="s">
        <v>717</v>
      </c>
      <c r="C5990" t="s">
        <v>360</v>
      </c>
      <c r="D5990" s="230">
        <v>0</v>
      </c>
      <c r="E5990" t="s">
        <v>718</v>
      </c>
    </row>
    <row r="5991" spans="1:5" hidden="1" x14ac:dyDescent="0.3">
      <c r="A5991" t="s">
        <v>557</v>
      </c>
      <c r="B5991" t="s">
        <v>717</v>
      </c>
      <c r="C5991" t="s">
        <v>361</v>
      </c>
      <c r="D5991" s="230">
        <v>0</v>
      </c>
      <c r="E5991" t="s">
        <v>718</v>
      </c>
    </row>
    <row r="5992" spans="1:5" hidden="1" x14ac:dyDescent="0.3">
      <c r="A5992" t="s">
        <v>557</v>
      </c>
      <c r="B5992" t="s">
        <v>717</v>
      </c>
      <c r="C5992" t="s">
        <v>362</v>
      </c>
      <c r="D5992" s="230">
        <v>0</v>
      </c>
      <c r="E5992" t="s">
        <v>718</v>
      </c>
    </row>
    <row r="5993" spans="1:5" hidden="1" x14ac:dyDescent="0.3">
      <c r="A5993" t="s">
        <v>557</v>
      </c>
      <c r="B5993" t="s">
        <v>717</v>
      </c>
      <c r="C5993" t="s">
        <v>363</v>
      </c>
      <c r="D5993" s="230">
        <v>0</v>
      </c>
      <c r="E5993" t="s">
        <v>718</v>
      </c>
    </row>
    <row r="5994" spans="1:5" hidden="1" x14ac:dyDescent="0.3">
      <c r="A5994" t="s">
        <v>557</v>
      </c>
      <c r="B5994" t="s">
        <v>717</v>
      </c>
      <c r="C5994" t="s">
        <v>364</v>
      </c>
      <c r="D5994" s="230">
        <v>0</v>
      </c>
      <c r="E5994" t="s">
        <v>718</v>
      </c>
    </row>
    <row r="5995" spans="1:5" hidden="1" x14ac:dyDescent="0.3">
      <c r="A5995" t="s">
        <v>557</v>
      </c>
      <c r="B5995" t="s">
        <v>717</v>
      </c>
      <c r="C5995" t="s">
        <v>365</v>
      </c>
      <c r="D5995" s="230">
        <v>0</v>
      </c>
      <c r="E5995" t="s">
        <v>718</v>
      </c>
    </row>
    <row r="5996" spans="1:5" hidden="1" x14ac:dyDescent="0.3">
      <c r="A5996" t="s">
        <v>557</v>
      </c>
      <c r="B5996" t="s">
        <v>717</v>
      </c>
      <c r="C5996" t="s">
        <v>366</v>
      </c>
      <c r="D5996" s="230">
        <v>0</v>
      </c>
      <c r="E5996" t="s">
        <v>718</v>
      </c>
    </row>
    <row r="5997" spans="1:5" hidden="1" x14ac:dyDescent="0.3">
      <c r="A5997" t="s">
        <v>557</v>
      </c>
      <c r="B5997" t="s">
        <v>717</v>
      </c>
      <c r="C5997" t="s">
        <v>367</v>
      </c>
      <c r="D5997" s="230">
        <v>0</v>
      </c>
      <c r="E5997" t="s">
        <v>718</v>
      </c>
    </row>
    <row r="5998" spans="1:5" hidden="1" x14ac:dyDescent="0.3">
      <c r="A5998" t="s">
        <v>557</v>
      </c>
      <c r="B5998" t="s">
        <v>717</v>
      </c>
      <c r="C5998" t="s">
        <v>368</v>
      </c>
      <c r="D5998" s="230">
        <v>0</v>
      </c>
      <c r="E5998" t="s">
        <v>718</v>
      </c>
    </row>
    <row r="5999" spans="1:5" hidden="1" x14ac:dyDescent="0.3">
      <c r="A5999" t="s">
        <v>557</v>
      </c>
      <c r="B5999" t="s">
        <v>717</v>
      </c>
      <c r="C5999" t="s">
        <v>369</v>
      </c>
      <c r="D5999" s="230">
        <v>0</v>
      </c>
      <c r="E5999" t="s">
        <v>718</v>
      </c>
    </row>
    <row r="6000" spans="1:5" hidden="1" x14ac:dyDescent="0.3">
      <c r="A6000" t="s">
        <v>557</v>
      </c>
      <c r="B6000" t="s">
        <v>717</v>
      </c>
      <c r="C6000" t="s">
        <v>370</v>
      </c>
      <c r="D6000" s="230">
        <v>0</v>
      </c>
      <c r="E6000" t="s">
        <v>718</v>
      </c>
    </row>
    <row r="6001" spans="1:5" hidden="1" x14ac:dyDescent="0.3">
      <c r="A6001" t="s">
        <v>557</v>
      </c>
      <c r="B6001" t="s">
        <v>717</v>
      </c>
      <c r="C6001" t="s">
        <v>371</v>
      </c>
      <c r="D6001" s="230">
        <v>0</v>
      </c>
      <c r="E6001" t="s">
        <v>718</v>
      </c>
    </row>
    <row r="6002" spans="1:5" hidden="1" x14ac:dyDescent="0.3">
      <c r="A6002" t="s">
        <v>557</v>
      </c>
      <c r="B6002" t="s">
        <v>717</v>
      </c>
      <c r="C6002" t="s">
        <v>372</v>
      </c>
      <c r="D6002" s="230">
        <v>0</v>
      </c>
      <c r="E6002" t="s">
        <v>718</v>
      </c>
    </row>
    <row r="6003" spans="1:5" hidden="1" x14ac:dyDescent="0.3">
      <c r="A6003" t="s">
        <v>557</v>
      </c>
      <c r="B6003" t="s">
        <v>717</v>
      </c>
      <c r="C6003" t="s">
        <v>373</v>
      </c>
      <c r="D6003" s="230">
        <v>0</v>
      </c>
      <c r="E6003" t="s">
        <v>718</v>
      </c>
    </row>
    <row r="6004" spans="1:5" hidden="1" x14ac:dyDescent="0.3">
      <c r="A6004" t="s">
        <v>557</v>
      </c>
      <c r="B6004" t="s">
        <v>717</v>
      </c>
      <c r="C6004" t="s">
        <v>374</v>
      </c>
      <c r="D6004" s="230">
        <v>0</v>
      </c>
      <c r="E6004" t="s">
        <v>718</v>
      </c>
    </row>
    <row r="6005" spans="1:5" hidden="1" x14ac:dyDescent="0.3">
      <c r="A6005" t="s">
        <v>557</v>
      </c>
      <c r="B6005" t="s">
        <v>717</v>
      </c>
      <c r="C6005" t="s">
        <v>708</v>
      </c>
      <c r="D6005" s="230">
        <v>0</v>
      </c>
      <c r="E6005" t="s">
        <v>718</v>
      </c>
    </row>
    <row r="6006" spans="1:5" hidden="1" x14ac:dyDescent="0.3">
      <c r="A6006" t="s">
        <v>557</v>
      </c>
      <c r="B6006" t="s">
        <v>719</v>
      </c>
      <c r="C6006" t="s">
        <v>11</v>
      </c>
      <c r="D6006" s="230">
        <v>418451.97</v>
      </c>
      <c r="E6006" t="s">
        <v>720</v>
      </c>
    </row>
    <row r="6007" spans="1:5" hidden="1" x14ac:dyDescent="0.3">
      <c r="A6007" t="s">
        <v>557</v>
      </c>
      <c r="B6007" t="s">
        <v>719</v>
      </c>
      <c r="C6007" t="s">
        <v>13</v>
      </c>
      <c r="D6007" s="230">
        <v>222903.2</v>
      </c>
      <c r="E6007" t="s">
        <v>720</v>
      </c>
    </row>
    <row r="6008" spans="1:5" hidden="1" x14ac:dyDescent="0.3">
      <c r="A6008" t="s">
        <v>557</v>
      </c>
      <c r="B6008" t="s">
        <v>719</v>
      </c>
      <c r="C6008" t="s">
        <v>16</v>
      </c>
      <c r="D6008" s="230">
        <v>99768.3</v>
      </c>
      <c r="E6008" t="s">
        <v>720</v>
      </c>
    </row>
    <row r="6009" spans="1:5" hidden="1" x14ac:dyDescent="0.3">
      <c r="A6009" t="s">
        <v>557</v>
      </c>
      <c r="B6009" t="s">
        <v>719</v>
      </c>
      <c r="C6009" t="s">
        <v>17</v>
      </c>
      <c r="D6009" s="230">
        <v>9348</v>
      </c>
      <c r="E6009" t="s">
        <v>720</v>
      </c>
    </row>
    <row r="6010" spans="1:5" hidden="1" x14ac:dyDescent="0.3">
      <c r="A6010" t="s">
        <v>557</v>
      </c>
      <c r="B6010" t="s">
        <v>719</v>
      </c>
      <c r="C6010" t="s">
        <v>18</v>
      </c>
      <c r="D6010" s="230">
        <v>81</v>
      </c>
      <c r="E6010" t="s">
        <v>720</v>
      </c>
    </row>
    <row r="6011" spans="1:5" hidden="1" x14ac:dyDescent="0.3">
      <c r="A6011" t="s">
        <v>557</v>
      </c>
      <c r="B6011" t="s">
        <v>719</v>
      </c>
      <c r="C6011" t="s">
        <v>20</v>
      </c>
      <c r="D6011" s="230">
        <v>41816.14</v>
      </c>
      <c r="E6011" t="s">
        <v>720</v>
      </c>
    </row>
    <row r="6012" spans="1:5" hidden="1" x14ac:dyDescent="0.3">
      <c r="A6012" t="s">
        <v>557</v>
      </c>
      <c r="B6012" t="s">
        <v>719</v>
      </c>
      <c r="C6012" t="s">
        <v>23</v>
      </c>
      <c r="D6012" s="230">
        <v>7458</v>
      </c>
      <c r="E6012" t="s">
        <v>720</v>
      </c>
    </row>
    <row r="6013" spans="1:5" hidden="1" x14ac:dyDescent="0.3">
      <c r="A6013" t="s">
        <v>557</v>
      </c>
      <c r="B6013" t="s">
        <v>719</v>
      </c>
      <c r="C6013" t="s">
        <v>25</v>
      </c>
      <c r="D6013" s="230">
        <v>0</v>
      </c>
      <c r="E6013" t="s">
        <v>720</v>
      </c>
    </row>
    <row r="6014" spans="1:5" hidden="1" x14ac:dyDescent="0.3">
      <c r="A6014" t="s">
        <v>557</v>
      </c>
      <c r="B6014" t="s">
        <v>719</v>
      </c>
      <c r="C6014" t="s">
        <v>26</v>
      </c>
      <c r="D6014" s="230">
        <v>36645.35</v>
      </c>
      <c r="E6014" t="s">
        <v>720</v>
      </c>
    </row>
    <row r="6015" spans="1:5" hidden="1" x14ac:dyDescent="0.3">
      <c r="A6015" t="s">
        <v>557</v>
      </c>
      <c r="B6015" t="s">
        <v>719</v>
      </c>
      <c r="C6015" t="s">
        <v>27</v>
      </c>
      <c r="D6015" s="230">
        <v>0</v>
      </c>
      <c r="E6015" t="s">
        <v>720</v>
      </c>
    </row>
    <row r="6016" spans="1:5" hidden="1" x14ac:dyDescent="0.3">
      <c r="A6016" t="s">
        <v>557</v>
      </c>
      <c r="B6016" t="s">
        <v>719</v>
      </c>
      <c r="C6016" t="s">
        <v>29</v>
      </c>
      <c r="D6016" s="230">
        <v>431.98</v>
      </c>
      <c r="E6016" t="s">
        <v>720</v>
      </c>
    </row>
    <row r="6017" spans="1:5" hidden="1" x14ac:dyDescent="0.3">
      <c r="A6017" t="s">
        <v>557</v>
      </c>
      <c r="B6017" t="s">
        <v>719</v>
      </c>
      <c r="C6017" t="s">
        <v>31</v>
      </c>
      <c r="D6017" s="230">
        <v>0</v>
      </c>
      <c r="E6017" t="s">
        <v>720</v>
      </c>
    </row>
    <row r="6018" spans="1:5" hidden="1" x14ac:dyDescent="0.3">
      <c r="A6018" t="s">
        <v>557</v>
      </c>
      <c r="B6018" t="s">
        <v>719</v>
      </c>
      <c r="C6018" t="s">
        <v>34</v>
      </c>
      <c r="D6018" s="230">
        <v>-6858.1</v>
      </c>
      <c r="E6018" t="s">
        <v>720</v>
      </c>
    </row>
    <row r="6019" spans="1:5" hidden="1" x14ac:dyDescent="0.3">
      <c r="A6019" t="s">
        <v>557</v>
      </c>
      <c r="B6019" t="s">
        <v>719</v>
      </c>
      <c r="C6019" t="s">
        <v>38</v>
      </c>
      <c r="D6019" s="230">
        <v>-6858.1</v>
      </c>
      <c r="E6019" t="s">
        <v>720</v>
      </c>
    </row>
    <row r="6020" spans="1:5" hidden="1" x14ac:dyDescent="0.3">
      <c r="A6020" t="s">
        <v>557</v>
      </c>
      <c r="B6020" t="s">
        <v>719</v>
      </c>
      <c r="C6020" t="s">
        <v>40</v>
      </c>
      <c r="D6020" s="230">
        <v>0</v>
      </c>
      <c r="E6020" t="s">
        <v>720</v>
      </c>
    </row>
    <row r="6021" spans="1:5" hidden="1" x14ac:dyDescent="0.3">
      <c r="A6021" t="s">
        <v>557</v>
      </c>
      <c r="B6021" t="s">
        <v>719</v>
      </c>
      <c r="C6021" t="s">
        <v>42</v>
      </c>
      <c r="D6021" s="230">
        <v>0</v>
      </c>
      <c r="E6021" t="s">
        <v>720</v>
      </c>
    </row>
    <row r="6022" spans="1:5" hidden="1" x14ac:dyDescent="0.3">
      <c r="A6022" t="s">
        <v>557</v>
      </c>
      <c r="B6022" t="s">
        <v>719</v>
      </c>
      <c r="C6022" t="s">
        <v>44</v>
      </c>
      <c r="D6022" s="230">
        <v>-0.02</v>
      </c>
      <c r="E6022" t="s">
        <v>720</v>
      </c>
    </row>
    <row r="6023" spans="1:5" hidden="1" x14ac:dyDescent="0.3">
      <c r="A6023" t="s">
        <v>557</v>
      </c>
      <c r="B6023" t="s">
        <v>719</v>
      </c>
      <c r="C6023" t="s">
        <v>45</v>
      </c>
      <c r="D6023" s="230">
        <v>-25931.42</v>
      </c>
      <c r="E6023" t="s">
        <v>720</v>
      </c>
    </row>
    <row r="6024" spans="1:5" hidden="1" x14ac:dyDescent="0.3">
      <c r="A6024" t="s">
        <v>557</v>
      </c>
      <c r="B6024" t="s">
        <v>719</v>
      </c>
      <c r="C6024" t="s">
        <v>46</v>
      </c>
      <c r="D6024" s="230">
        <v>-13496.89</v>
      </c>
      <c r="E6024" t="s">
        <v>720</v>
      </c>
    </row>
    <row r="6025" spans="1:5" hidden="1" x14ac:dyDescent="0.3">
      <c r="A6025" t="s">
        <v>557</v>
      </c>
      <c r="B6025" t="s">
        <v>719</v>
      </c>
      <c r="C6025" t="s">
        <v>48</v>
      </c>
      <c r="D6025" s="230">
        <v>-11594.23</v>
      </c>
      <c r="E6025" t="s">
        <v>720</v>
      </c>
    </row>
    <row r="6026" spans="1:5" hidden="1" x14ac:dyDescent="0.3">
      <c r="A6026" t="s">
        <v>557</v>
      </c>
      <c r="B6026" t="s">
        <v>719</v>
      </c>
      <c r="C6026" t="s">
        <v>49</v>
      </c>
      <c r="D6026" s="230">
        <v>-840.3</v>
      </c>
      <c r="E6026" t="s">
        <v>720</v>
      </c>
    </row>
    <row r="6027" spans="1:5" hidden="1" x14ac:dyDescent="0.3">
      <c r="A6027" t="s">
        <v>557</v>
      </c>
      <c r="B6027" t="s">
        <v>719</v>
      </c>
      <c r="C6027" t="s">
        <v>50</v>
      </c>
      <c r="D6027" s="230">
        <v>385662.45</v>
      </c>
      <c r="E6027" t="s">
        <v>720</v>
      </c>
    </row>
    <row r="6028" spans="1:5" hidden="1" x14ac:dyDescent="0.3">
      <c r="A6028" t="s">
        <v>557</v>
      </c>
      <c r="B6028" t="s">
        <v>719</v>
      </c>
      <c r="C6028" t="s">
        <v>51</v>
      </c>
      <c r="D6028" s="230">
        <v>-106153.39</v>
      </c>
      <c r="E6028" t="s">
        <v>720</v>
      </c>
    </row>
    <row r="6029" spans="1:5" hidden="1" x14ac:dyDescent="0.3">
      <c r="A6029" t="s">
        <v>557</v>
      </c>
      <c r="B6029" t="s">
        <v>719</v>
      </c>
      <c r="C6029" t="s">
        <v>52</v>
      </c>
      <c r="D6029" s="230">
        <v>-78702.820000000007</v>
      </c>
      <c r="E6029" t="s">
        <v>720</v>
      </c>
    </row>
    <row r="6030" spans="1:5" hidden="1" x14ac:dyDescent="0.3">
      <c r="A6030" t="s">
        <v>557</v>
      </c>
      <c r="B6030" t="s">
        <v>719</v>
      </c>
      <c r="C6030" t="s">
        <v>53</v>
      </c>
      <c r="D6030" s="230">
        <v>-27450.57</v>
      </c>
      <c r="E6030" t="s">
        <v>720</v>
      </c>
    </row>
    <row r="6031" spans="1:5" hidden="1" x14ac:dyDescent="0.3">
      <c r="A6031" t="s">
        <v>557</v>
      </c>
      <c r="B6031" t="s">
        <v>719</v>
      </c>
      <c r="C6031" t="s">
        <v>54</v>
      </c>
      <c r="D6031" s="230">
        <v>0</v>
      </c>
      <c r="E6031" t="s">
        <v>720</v>
      </c>
    </row>
    <row r="6032" spans="1:5" hidden="1" x14ac:dyDescent="0.3">
      <c r="A6032" t="s">
        <v>557</v>
      </c>
      <c r="B6032" t="s">
        <v>719</v>
      </c>
      <c r="C6032" t="s">
        <v>23</v>
      </c>
      <c r="D6032" s="230">
        <v>0</v>
      </c>
      <c r="E6032" t="s">
        <v>720</v>
      </c>
    </row>
    <row r="6033" spans="1:5" hidden="1" x14ac:dyDescent="0.3">
      <c r="A6033" t="s">
        <v>557</v>
      </c>
      <c r="B6033" t="s">
        <v>719</v>
      </c>
      <c r="C6033" t="s">
        <v>44</v>
      </c>
      <c r="D6033" s="230">
        <v>-0.32</v>
      </c>
      <c r="E6033" t="s">
        <v>720</v>
      </c>
    </row>
    <row r="6034" spans="1:5" hidden="1" x14ac:dyDescent="0.3">
      <c r="A6034" t="s">
        <v>557</v>
      </c>
      <c r="B6034" t="s">
        <v>719</v>
      </c>
      <c r="C6034" t="s">
        <v>55</v>
      </c>
      <c r="D6034" s="230">
        <v>-0.28000000000000003</v>
      </c>
      <c r="E6034" t="s">
        <v>720</v>
      </c>
    </row>
    <row r="6035" spans="1:5" hidden="1" x14ac:dyDescent="0.3">
      <c r="A6035" t="s">
        <v>557</v>
      </c>
      <c r="B6035" t="s">
        <v>719</v>
      </c>
      <c r="C6035" t="s">
        <v>56</v>
      </c>
      <c r="D6035" s="230">
        <v>-9071.81</v>
      </c>
      <c r="E6035" t="s">
        <v>720</v>
      </c>
    </row>
    <row r="6036" spans="1:5" hidden="1" x14ac:dyDescent="0.3">
      <c r="A6036" t="s">
        <v>557</v>
      </c>
      <c r="B6036" t="s">
        <v>719</v>
      </c>
      <c r="C6036" t="s">
        <v>57</v>
      </c>
      <c r="D6036" s="230">
        <v>-9071.81</v>
      </c>
      <c r="E6036" t="s">
        <v>720</v>
      </c>
    </row>
    <row r="6037" spans="1:5" hidden="1" x14ac:dyDescent="0.3">
      <c r="A6037" t="s">
        <v>557</v>
      </c>
      <c r="B6037" t="s">
        <v>719</v>
      </c>
      <c r="C6037" t="s">
        <v>58</v>
      </c>
      <c r="D6037" s="230">
        <v>-8800</v>
      </c>
      <c r="E6037" t="s">
        <v>720</v>
      </c>
    </row>
    <row r="6038" spans="1:5" hidden="1" x14ac:dyDescent="0.3">
      <c r="A6038" t="s">
        <v>557</v>
      </c>
      <c r="B6038" t="s">
        <v>719</v>
      </c>
      <c r="C6038" t="s">
        <v>59</v>
      </c>
      <c r="D6038" s="230">
        <v>-271.81</v>
      </c>
      <c r="E6038" t="s">
        <v>720</v>
      </c>
    </row>
    <row r="6039" spans="1:5" hidden="1" x14ac:dyDescent="0.3">
      <c r="A6039" t="s">
        <v>557</v>
      </c>
      <c r="B6039" t="s">
        <v>719</v>
      </c>
      <c r="C6039" t="s">
        <v>61</v>
      </c>
      <c r="D6039" s="230">
        <v>0</v>
      </c>
      <c r="E6039" t="s">
        <v>720</v>
      </c>
    </row>
    <row r="6040" spans="1:5" hidden="1" x14ac:dyDescent="0.3">
      <c r="A6040" t="s">
        <v>557</v>
      </c>
      <c r="B6040" t="s">
        <v>719</v>
      </c>
      <c r="C6040" t="s">
        <v>62</v>
      </c>
      <c r="D6040" s="230">
        <v>0</v>
      </c>
      <c r="E6040" t="s">
        <v>720</v>
      </c>
    </row>
    <row r="6041" spans="1:5" hidden="1" x14ac:dyDescent="0.3">
      <c r="A6041" t="s">
        <v>557</v>
      </c>
      <c r="B6041" t="s">
        <v>719</v>
      </c>
      <c r="C6041" t="s">
        <v>64</v>
      </c>
      <c r="D6041" s="230">
        <v>0</v>
      </c>
      <c r="E6041" t="s">
        <v>720</v>
      </c>
    </row>
    <row r="6042" spans="1:5" hidden="1" x14ac:dyDescent="0.3">
      <c r="A6042" t="s">
        <v>557</v>
      </c>
      <c r="B6042" t="s">
        <v>719</v>
      </c>
      <c r="C6042" t="s">
        <v>65</v>
      </c>
      <c r="D6042" s="230">
        <v>0</v>
      </c>
      <c r="E6042" t="s">
        <v>720</v>
      </c>
    </row>
    <row r="6043" spans="1:5" hidden="1" x14ac:dyDescent="0.3">
      <c r="A6043" t="s">
        <v>557</v>
      </c>
      <c r="B6043" t="s">
        <v>719</v>
      </c>
      <c r="C6043" t="s">
        <v>66</v>
      </c>
      <c r="D6043" s="230">
        <v>0</v>
      </c>
      <c r="E6043" t="s">
        <v>720</v>
      </c>
    </row>
    <row r="6044" spans="1:5" hidden="1" x14ac:dyDescent="0.3">
      <c r="A6044" t="s">
        <v>557</v>
      </c>
      <c r="B6044" t="s">
        <v>719</v>
      </c>
      <c r="C6044" t="s">
        <v>68</v>
      </c>
      <c r="D6044" s="230">
        <v>0</v>
      </c>
      <c r="E6044" t="s">
        <v>720</v>
      </c>
    </row>
    <row r="6045" spans="1:5" hidden="1" x14ac:dyDescent="0.3">
      <c r="A6045" t="s">
        <v>557</v>
      </c>
      <c r="B6045" t="s">
        <v>719</v>
      </c>
      <c r="C6045" t="s">
        <v>69</v>
      </c>
      <c r="D6045" s="230">
        <v>0</v>
      </c>
      <c r="E6045" t="s">
        <v>720</v>
      </c>
    </row>
    <row r="6046" spans="1:5" hidden="1" x14ac:dyDescent="0.3">
      <c r="A6046" t="s">
        <v>557</v>
      </c>
      <c r="B6046" t="s">
        <v>719</v>
      </c>
      <c r="C6046" t="s">
        <v>70</v>
      </c>
      <c r="D6046" s="230">
        <v>-0.97</v>
      </c>
      <c r="E6046" t="s">
        <v>720</v>
      </c>
    </row>
    <row r="6047" spans="1:5" hidden="1" x14ac:dyDescent="0.3">
      <c r="A6047" t="s">
        <v>557</v>
      </c>
      <c r="B6047" t="s">
        <v>719</v>
      </c>
      <c r="C6047" t="s">
        <v>44</v>
      </c>
      <c r="D6047" s="230">
        <v>-0.02</v>
      </c>
      <c r="E6047" t="s">
        <v>720</v>
      </c>
    </row>
    <row r="6048" spans="1:5" hidden="1" x14ac:dyDescent="0.3">
      <c r="A6048" t="s">
        <v>557</v>
      </c>
      <c r="B6048" t="s">
        <v>719</v>
      </c>
      <c r="C6048" t="s">
        <v>71</v>
      </c>
      <c r="D6048" s="230">
        <v>0</v>
      </c>
      <c r="E6048" t="s">
        <v>720</v>
      </c>
    </row>
    <row r="6049" spans="1:5" hidden="1" x14ac:dyDescent="0.3">
      <c r="A6049" t="s">
        <v>557</v>
      </c>
      <c r="B6049" t="s">
        <v>719</v>
      </c>
      <c r="C6049" t="s">
        <v>72</v>
      </c>
      <c r="D6049" s="230">
        <v>0</v>
      </c>
      <c r="E6049" t="s">
        <v>720</v>
      </c>
    </row>
    <row r="6050" spans="1:5" hidden="1" x14ac:dyDescent="0.3">
      <c r="A6050" t="s">
        <v>557</v>
      </c>
      <c r="B6050" t="s">
        <v>719</v>
      </c>
      <c r="C6050" t="s">
        <v>73</v>
      </c>
      <c r="D6050" s="230">
        <v>0</v>
      </c>
      <c r="E6050" t="s">
        <v>720</v>
      </c>
    </row>
    <row r="6051" spans="1:5" hidden="1" x14ac:dyDescent="0.3">
      <c r="A6051" t="s">
        <v>557</v>
      </c>
      <c r="B6051" t="s">
        <v>719</v>
      </c>
      <c r="C6051" t="s">
        <v>75</v>
      </c>
      <c r="D6051" s="230">
        <v>0</v>
      </c>
      <c r="E6051" t="s">
        <v>720</v>
      </c>
    </row>
    <row r="6052" spans="1:5" hidden="1" x14ac:dyDescent="0.3">
      <c r="A6052" t="s">
        <v>557</v>
      </c>
      <c r="B6052" t="s">
        <v>719</v>
      </c>
      <c r="C6052" t="s">
        <v>77</v>
      </c>
      <c r="D6052" s="230">
        <v>0</v>
      </c>
      <c r="E6052" t="s">
        <v>720</v>
      </c>
    </row>
    <row r="6053" spans="1:5" hidden="1" x14ac:dyDescent="0.3">
      <c r="A6053" t="s">
        <v>557</v>
      </c>
      <c r="B6053" t="s">
        <v>719</v>
      </c>
      <c r="C6053" t="s">
        <v>78</v>
      </c>
      <c r="D6053" s="230">
        <v>0</v>
      </c>
      <c r="E6053" t="s">
        <v>720</v>
      </c>
    </row>
    <row r="6054" spans="1:5" hidden="1" x14ac:dyDescent="0.3">
      <c r="A6054" t="s">
        <v>557</v>
      </c>
      <c r="B6054" t="s">
        <v>719</v>
      </c>
      <c r="C6054" t="s">
        <v>80</v>
      </c>
      <c r="D6054" s="230">
        <v>0</v>
      </c>
      <c r="E6054" t="s">
        <v>720</v>
      </c>
    </row>
    <row r="6055" spans="1:5" hidden="1" x14ac:dyDescent="0.3">
      <c r="A6055" t="s">
        <v>557</v>
      </c>
      <c r="B6055" t="s">
        <v>719</v>
      </c>
      <c r="C6055" t="s">
        <v>82</v>
      </c>
      <c r="D6055" s="230">
        <v>0</v>
      </c>
      <c r="E6055" t="s">
        <v>720</v>
      </c>
    </row>
    <row r="6056" spans="1:5" hidden="1" x14ac:dyDescent="0.3">
      <c r="A6056" t="s">
        <v>557</v>
      </c>
      <c r="B6056" t="s">
        <v>719</v>
      </c>
      <c r="C6056" t="s">
        <v>84</v>
      </c>
      <c r="D6056" s="230">
        <v>0</v>
      </c>
      <c r="E6056" t="s">
        <v>720</v>
      </c>
    </row>
    <row r="6057" spans="1:5" hidden="1" x14ac:dyDescent="0.3">
      <c r="A6057" t="s">
        <v>557</v>
      </c>
      <c r="B6057" t="s">
        <v>719</v>
      </c>
      <c r="C6057" t="s">
        <v>85</v>
      </c>
      <c r="D6057" s="230">
        <v>0</v>
      </c>
      <c r="E6057" t="s">
        <v>720</v>
      </c>
    </row>
    <row r="6058" spans="1:5" hidden="1" x14ac:dyDescent="0.3">
      <c r="A6058" t="s">
        <v>557</v>
      </c>
      <c r="B6058" t="s">
        <v>719</v>
      </c>
      <c r="C6058" t="s">
        <v>86</v>
      </c>
      <c r="D6058" s="230">
        <v>0</v>
      </c>
      <c r="E6058" t="s">
        <v>720</v>
      </c>
    </row>
    <row r="6059" spans="1:5" hidden="1" x14ac:dyDescent="0.3">
      <c r="A6059" t="s">
        <v>557</v>
      </c>
      <c r="B6059" t="s">
        <v>719</v>
      </c>
      <c r="C6059" t="s">
        <v>87</v>
      </c>
      <c r="D6059" s="230">
        <v>0</v>
      </c>
      <c r="E6059" t="s">
        <v>720</v>
      </c>
    </row>
    <row r="6060" spans="1:5" hidden="1" x14ac:dyDescent="0.3">
      <c r="A6060" t="s">
        <v>557</v>
      </c>
      <c r="B6060" t="s">
        <v>719</v>
      </c>
      <c r="C6060" t="s">
        <v>88</v>
      </c>
      <c r="D6060" s="230">
        <v>0</v>
      </c>
      <c r="E6060" t="s">
        <v>720</v>
      </c>
    </row>
    <row r="6061" spans="1:5" hidden="1" x14ac:dyDescent="0.3">
      <c r="A6061" t="s">
        <v>557</v>
      </c>
      <c r="B6061" t="s">
        <v>719</v>
      </c>
      <c r="C6061" t="s">
        <v>89</v>
      </c>
      <c r="D6061" s="230">
        <v>0</v>
      </c>
      <c r="E6061" t="s">
        <v>720</v>
      </c>
    </row>
    <row r="6062" spans="1:5" hidden="1" x14ac:dyDescent="0.3">
      <c r="A6062" t="s">
        <v>557</v>
      </c>
      <c r="B6062" t="s">
        <v>719</v>
      </c>
      <c r="C6062" t="s">
        <v>90</v>
      </c>
      <c r="D6062" s="230">
        <v>0</v>
      </c>
      <c r="E6062" t="s">
        <v>720</v>
      </c>
    </row>
    <row r="6063" spans="1:5" hidden="1" x14ac:dyDescent="0.3">
      <c r="A6063" t="s">
        <v>557</v>
      </c>
      <c r="B6063" t="s">
        <v>719</v>
      </c>
      <c r="C6063" t="s">
        <v>91</v>
      </c>
      <c r="D6063" s="230">
        <v>0</v>
      </c>
      <c r="E6063" t="s">
        <v>720</v>
      </c>
    </row>
    <row r="6064" spans="1:5" hidden="1" x14ac:dyDescent="0.3">
      <c r="A6064" t="s">
        <v>557</v>
      </c>
      <c r="B6064" t="s">
        <v>719</v>
      </c>
      <c r="C6064" t="s">
        <v>93</v>
      </c>
      <c r="D6064" s="230">
        <v>0</v>
      </c>
      <c r="E6064" t="s">
        <v>720</v>
      </c>
    </row>
    <row r="6065" spans="1:5" hidden="1" x14ac:dyDescent="0.3">
      <c r="A6065" t="s">
        <v>557</v>
      </c>
      <c r="B6065" t="s">
        <v>719</v>
      </c>
      <c r="C6065" t="s">
        <v>95</v>
      </c>
      <c r="D6065" s="230">
        <v>0</v>
      </c>
      <c r="E6065" t="s">
        <v>720</v>
      </c>
    </row>
    <row r="6066" spans="1:5" hidden="1" x14ac:dyDescent="0.3">
      <c r="A6066" t="s">
        <v>557</v>
      </c>
      <c r="B6066" t="s">
        <v>719</v>
      </c>
      <c r="C6066" t="s">
        <v>96</v>
      </c>
      <c r="D6066" s="230">
        <v>0</v>
      </c>
      <c r="E6066" t="s">
        <v>720</v>
      </c>
    </row>
    <row r="6067" spans="1:5" hidden="1" x14ac:dyDescent="0.3">
      <c r="A6067" t="s">
        <v>557</v>
      </c>
      <c r="B6067" t="s">
        <v>719</v>
      </c>
      <c r="C6067" t="s">
        <v>98</v>
      </c>
      <c r="D6067" s="230">
        <v>0</v>
      </c>
      <c r="E6067" t="s">
        <v>720</v>
      </c>
    </row>
    <row r="6068" spans="1:5" hidden="1" x14ac:dyDescent="0.3">
      <c r="A6068" t="s">
        <v>557</v>
      </c>
      <c r="B6068" t="s">
        <v>719</v>
      </c>
      <c r="C6068" t="s">
        <v>100</v>
      </c>
      <c r="D6068" s="230">
        <v>0</v>
      </c>
      <c r="E6068" t="s">
        <v>720</v>
      </c>
    </row>
    <row r="6069" spans="1:5" hidden="1" x14ac:dyDescent="0.3">
      <c r="A6069" t="s">
        <v>557</v>
      </c>
      <c r="B6069" t="s">
        <v>719</v>
      </c>
      <c r="C6069" t="s">
        <v>101</v>
      </c>
      <c r="D6069" s="230">
        <v>0</v>
      </c>
      <c r="E6069" t="s">
        <v>720</v>
      </c>
    </row>
    <row r="6070" spans="1:5" hidden="1" x14ac:dyDescent="0.3">
      <c r="A6070" t="s">
        <v>557</v>
      </c>
      <c r="B6070" t="s">
        <v>719</v>
      </c>
      <c r="C6070" t="s">
        <v>102</v>
      </c>
      <c r="D6070" s="230">
        <v>0</v>
      </c>
      <c r="E6070" t="s">
        <v>720</v>
      </c>
    </row>
    <row r="6071" spans="1:5" hidden="1" x14ac:dyDescent="0.3">
      <c r="A6071" t="s">
        <v>557</v>
      </c>
      <c r="B6071" t="s">
        <v>719</v>
      </c>
      <c r="C6071" t="s">
        <v>103</v>
      </c>
      <c r="D6071" s="230">
        <v>0</v>
      </c>
      <c r="E6071" t="s">
        <v>720</v>
      </c>
    </row>
    <row r="6072" spans="1:5" hidden="1" x14ac:dyDescent="0.3">
      <c r="A6072" t="s">
        <v>557</v>
      </c>
      <c r="B6072" t="s">
        <v>719</v>
      </c>
      <c r="C6072" t="s">
        <v>104</v>
      </c>
      <c r="D6072" s="230">
        <v>0</v>
      </c>
      <c r="E6072" t="s">
        <v>720</v>
      </c>
    </row>
    <row r="6073" spans="1:5" hidden="1" x14ac:dyDescent="0.3">
      <c r="A6073" t="s">
        <v>557</v>
      </c>
      <c r="B6073" t="s">
        <v>719</v>
      </c>
      <c r="C6073" t="s">
        <v>105</v>
      </c>
      <c r="D6073" s="230">
        <v>0</v>
      </c>
      <c r="E6073" t="s">
        <v>720</v>
      </c>
    </row>
    <row r="6074" spans="1:5" hidden="1" x14ac:dyDescent="0.3">
      <c r="A6074" t="s">
        <v>557</v>
      </c>
      <c r="B6074" t="s">
        <v>719</v>
      </c>
      <c r="C6074" t="s">
        <v>107</v>
      </c>
      <c r="D6074" s="230">
        <v>0</v>
      </c>
      <c r="E6074" t="s">
        <v>720</v>
      </c>
    </row>
    <row r="6075" spans="1:5" hidden="1" x14ac:dyDescent="0.3">
      <c r="A6075" t="s">
        <v>557</v>
      </c>
      <c r="B6075" t="s">
        <v>719</v>
      </c>
      <c r="C6075" t="s">
        <v>108</v>
      </c>
      <c r="D6075" s="230">
        <v>0</v>
      </c>
      <c r="E6075" t="s">
        <v>720</v>
      </c>
    </row>
    <row r="6076" spans="1:5" hidden="1" x14ac:dyDescent="0.3">
      <c r="A6076" t="s">
        <v>557</v>
      </c>
      <c r="B6076" t="s">
        <v>719</v>
      </c>
      <c r="C6076" t="s">
        <v>109</v>
      </c>
      <c r="D6076" s="230">
        <v>0</v>
      </c>
      <c r="E6076" t="s">
        <v>720</v>
      </c>
    </row>
    <row r="6077" spans="1:5" hidden="1" x14ac:dyDescent="0.3">
      <c r="A6077" t="s">
        <v>557</v>
      </c>
      <c r="B6077" t="s">
        <v>719</v>
      </c>
      <c r="C6077" t="s">
        <v>110</v>
      </c>
      <c r="D6077" s="230">
        <v>0</v>
      </c>
      <c r="E6077" t="s">
        <v>720</v>
      </c>
    </row>
    <row r="6078" spans="1:5" hidden="1" x14ac:dyDescent="0.3">
      <c r="A6078" t="s">
        <v>557</v>
      </c>
      <c r="B6078" t="s">
        <v>719</v>
      </c>
      <c r="C6078" t="s">
        <v>44</v>
      </c>
      <c r="D6078" s="230">
        <v>0</v>
      </c>
      <c r="E6078" t="s">
        <v>720</v>
      </c>
    </row>
    <row r="6079" spans="1:5" hidden="1" x14ac:dyDescent="0.3">
      <c r="A6079" t="s">
        <v>557</v>
      </c>
      <c r="B6079" t="s">
        <v>719</v>
      </c>
      <c r="C6079" t="s">
        <v>111</v>
      </c>
      <c r="D6079" s="230">
        <v>-33062.58</v>
      </c>
      <c r="E6079" t="s">
        <v>720</v>
      </c>
    </row>
    <row r="6080" spans="1:5" hidden="1" x14ac:dyDescent="0.3">
      <c r="A6080" t="s">
        <v>557</v>
      </c>
      <c r="B6080" t="s">
        <v>719</v>
      </c>
      <c r="C6080" t="s">
        <v>608</v>
      </c>
      <c r="D6080" s="230">
        <v>-33062.58</v>
      </c>
      <c r="E6080" t="s">
        <v>720</v>
      </c>
    </row>
    <row r="6081" spans="1:5" hidden="1" x14ac:dyDescent="0.3">
      <c r="A6081" t="s">
        <v>557</v>
      </c>
      <c r="B6081" t="s">
        <v>719</v>
      </c>
      <c r="C6081" t="s">
        <v>44</v>
      </c>
      <c r="D6081" s="230">
        <v>-0.08</v>
      </c>
      <c r="E6081" t="s">
        <v>720</v>
      </c>
    </row>
    <row r="6082" spans="1:5" hidden="1" x14ac:dyDescent="0.3">
      <c r="A6082" t="s">
        <v>557</v>
      </c>
      <c r="B6082" t="s">
        <v>719</v>
      </c>
      <c r="C6082" t="s">
        <v>115</v>
      </c>
      <c r="D6082" s="230">
        <v>-4715.4399999999996</v>
      </c>
      <c r="E6082" t="s">
        <v>720</v>
      </c>
    </row>
    <row r="6083" spans="1:5" hidden="1" x14ac:dyDescent="0.3">
      <c r="A6083" t="s">
        <v>557</v>
      </c>
      <c r="B6083" t="s">
        <v>719</v>
      </c>
      <c r="C6083" t="s">
        <v>116</v>
      </c>
      <c r="D6083" s="230">
        <v>-4605.41</v>
      </c>
      <c r="E6083" t="s">
        <v>720</v>
      </c>
    </row>
    <row r="6084" spans="1:5" hidden="1" x14ac:dyDescent="0.3">
      <c r="A6084" t="s">
        <v>557</v>
      </c>
      <c r="B6084" t="s">
        <v>719</v>
      </c>
      <c r="C6084" t="s">
        <v>118</v>
      </c>
      <c r="D6084" s="230">
        <v>0</v>
      </c>
      <c r="E6084" t="s">
        <v>720</v>
      </c>
    </row>
    <row r="6085" spans="1:5" hidden="1" x14ac:dyDescent="0.3">
      <c r="A6085" t="s">
        <v>557</v>
      </c>
      <c r="B6085" t="s">
        <v>719</v>
      </c>
      <c r="C6085" t="s">
        <v>120</v>
      </c>
      <c r="D6085" s="230">
        <v>0</v>
      </c>
      <c r="E6085" t="s">
        <v>720</v>
      </c>
    </row>
    <row r="6086" spans="1:5" hidden="1" x14ac:dyDescent="0.3">
      <c r="A6086" t="s">
        <v>557</v>
      </c>
      <c r="B6086" t="s">
        <v>719</v>
      </c>
      <c r="C6086" t="s">
        <v>122</v>
      </c>
      <c r="D6086" s="230">
        <v>-110.03</v>
      </c>
      <c r="E6086" t="s">
        <v>720</v>
      </c>
    </row>
    <row r="6087" spans="1:5" hidden="1" x14ac:dyDescent="0.3">
      <c r="A6087" t="s">
        <v>557</v>
      </c>
      <c r="B6087" t="s">
        <v>719</v>
      </c>
      <c r="C6087" t="s">
        <v>44</v>
      </c>
      <c r="D6087" s="230">
        <v>-0.01</v>
      </c>
      <c r="E6087" t="s">
        <v>720</v>
      </c>
    </row>
    <row r="6088" spans="1:5" hidden="1" x14ac:dyDescent="0.3">
      <c r="A6088" t="s">
        <v>557</v>
      </c>
      <c r="B6088" t="s">
        <v>719</v>
      </c>
      <c r="C6088" t="s">
        <v>126</v>
      </c>
      <c r="D6088" s="230">
        <v>232659.23</v>
      </c>
      <c r="E6088" t="s">
        <v>720</v>
      </c>
    </row>
    <row r="6089" spans="1:5" hidden="1" x14ac:dyDescent="0.3">
      <c r="A6089" t="s">
        <v>557</v>
      </c>
      <c r="B6089" t="s">
        <v>719</v>
      </c>
      <c r="C6089" t="s">
        <v>127</v>
      </c>
      <c r="D6089" s="230">
        <v>0.56000000000000005</v>
      </c>
      <c r="E6089" t="s">
        <v>720</v>
      </c>
    </row>
    <row r="6090" spans="1:5" hidden="1" x14ac:dyDescent="0.3">
      <c r="A6090" t="s">
        <v>557</v>
      </c>
      <c r="B6090" t="s">
        <v>719</v>
      </c>
      <c r="C6090" t="s">
        <v>128</v>
      </c>
      <c r="D6090" s="230">
        <v>-106166.03</v>
      </c>
      <c r="E6090" t="s">
        <v>720</v>
      </c>
    </row>
    <row r="6091" spans="1:5" hidden="1" x14ac:dyDescent="0.3">
      <c r="A6091" t="s">
        <v>557</v>
      </c>
      <c r="B6091" t="s">
        <v>719</v>
      </c>
      <c r="C6091" t="s">
        <v>129</v>
      </c>
      <c r="D6091" s="230">
        <v>-32200</v>
      </c>
      <c r="E6091" t="s">
        <v>720</v>
      </c>
    </row>
    <row r="6092" spans="1:5" hidden="1" x14ac:dyDescent="0.3">
      <c r="A6092" t="s">
        <v>557</v>
      </c>
      <c r="B6092" t="s">
        <v>719</v>
      </c>
      <c r="C6092" t="s">
        <v>609</v>
      </c>
      <c r="D6092" s="230">
        <v>-600</v>
      </c>
      <c r="E6092" t="s">
        <v>720</v>
      </c>
    </row>
    <row r="6093" spans="1:5" hidden="1" x14ac:dyDescent="0.3">
      <c r="A6093" t="s">
        <v>557</v>
      </c>
      <c r="B6093" t="s">
        <v>719</v>
      </c>
      <c r="C6093" t="s">
        <v>610</v>
      </c>
      <c r="D6093" s="230">
        <v>-17600</v>
      </c>
      <c r="E6093" t="s">
        <v>720</v>
      </c>
    </row>
    <row r="6094" spans="1:5" hidden="1" x14ac:dyDescent="0.3">
      <c r="A6094" t="s">
        <v>557</v>
      </c>
      <c r="B6094" t="s">
        <v>719</v>
      </c>
      <c r="C6094" t="s">
        <v>611</v>
      </c>
      <c r="D6094" s="230">
        <v>0</v>
      </c>
      <c r="E6094" t="s">
        <v>720</v>
      </c>
    </row>
    <row r="6095" spans="1:5" hidden="1" x14ac:dyDescent="0.3">
      <c r="A6095" t="s">
        <v>557</v>
      </c>
      <c r="B6095" t="s">
        <v>719</v>
      </c>
      <c r="C6095" t="s">
        <v>612</v>
      </c>
      <c r="D6095" s="230">
        <v>-4000</v>
      </c>
      <c r="E6095" t="s">
        <v>720</v>
      </c>
    </row>
    <row r="6096" spans="1:5" hidden="1" x14ac:dyDescent="0.3">
      <c r="A6096" t="s">
        <v>557</v>
      </c>
      <c r="B6096" t="s">
        <v>719</v>
      </c>
      <c r="C6096" t="s">
        <v>613</v>
      </c>
      <c r="D6096" s="230">
        <v>-1200</v>
      </c>
      <c r="E6096" t="s">
        <v>720</v>
      </c>
    </row>
    <row r="6097" spans="1:5" hidden="1" x14ac:dyDescent="0.3">
      <c r="A6097" t="s">
        <v>557</v>
      </c>
      <c r="B6097" t="s">
        <v>719</v>
      </c>
      <c r="C6097" t="s">
        <v>614</v>
      </c>
      <c r="D6097" s="230">
        <v>0</v>
      </c>
      <c r="E6097" t="s">
        <v>720</v>
      </c>
    </row>
    <row r="6098" spans="1:5" hidden="1" x14ac:dyDescent="0.3">
      <c r="A6098" t="s">
        <v>557</v>
      </c>
      <c r="B6098" t="s">
        <v>719</v>
      </c>
      <c r="C6098" t="s">
        <v>615</v>
      </c>
      <c r="D6098" s="230">
        <v>0</v>
      </c>
      <c r="E6098" t="s">
        <v>720</v>
      </c>
    </row>
    <row r="6099" spans="1:5" hidden="1" x14ac:dyDescent="0.3">
      <c r="A6099" t="s">
        <v>557</v>
      </c>
      <c r="B6099" t="s">
        <v>719</v>
      </c>
      <c r="C6099" t="s">
        <v>616</v>
      </c>
      <c r="D6099" s="230">
        <v>-8800</v>
      </c>
      <c r="E6099" t="s">
        <v>720</v>
      </c>
    </row>
    <row r="6100" spans="1:5" hidden="1" x14ac:dyDescent="0.3">
      <c r="A6100" t="s">
        <v>557</v>
      </c>
      <c r="B6100" t="s">
        <v>719</v>
      </c>
      <c r="C6100" t="s">
        <v>617</v>
      </c>
      <c r="D6100" s="230">
        <v>0</v>
      </c>
      <c r="E6100" t="s">
        <v>720</v>
      </c>
    </row>
    <row r="6101" spans="1:5" hidden="1" x14ac:dyDescent="0.3">
      <c r="A6101" t="s">
        <v>557</v>
      </c>
      <c r="B6101" t="s">
        <v>719</v>
      </c>
      <c r="C6101" t="s">
        <v>618</v>
      </c>
      <c r="D6101" s="230">
        <v>0</v>
      </c>
      <c r="E6101" t="s">
        <v>720</v>
      </c>
    </row>
    <row r="6102" spans="1:5" hidden="1" x14ac:dyDescent="0.3">
      <c r="A6102" t="s">
        <v>557</v>
      </c>
      <c r="B6102" t="s">
        <v>719</v>
      </c>
      <c r="C6102" t="s">
        <v>619</v>
      </c>
      <c r="D6102" s="230">
        <v>0</v>
      </c>
      <c r="E6102" t="s">
        <v>720</v>
      </c>
    </row>
    <row r="6103" spans="1:5" hidden="1" x14ac:dyDescent="0.3">
      <c r="A6103" t="s">
        <v>557</v>
      </c>
      <c r="B6103" t="s">
        <v>719</v>
      </c>
      <c r="C6103" t="s">
        <v>620</v>
      </c>
      <c r="D6103" s="230">
        <v>0</v>
      </c>
      <c r="E6103" t="s">
        <v>720</v>
      </c>
    </row>
    <row r="6104" spans="1:5" hidden="1" x14ac:dyDescent="0.3">
      <c r="A6104" t="s">
        <v>557</v>
      </c>
      <c r="B6104" t="s">
        <v>719</v>
      </c>
      <c r="C6104" t="s">
        <v>575</v>
      </c>
      <c r="D6104" s="230">
        <v>-36799.58</v>
      </c>
      <c r="E6104" t="s">
        <v>720</v>
      </c>
    </row>
    <row r="6105" spans="1:5" hidden="1" x14ac:dyDescent="0.3">
      <c r="A6105" t="s">
        <v>557</v>
      </c>
      <c r="B6105" t="s">
        <v>719</v>
      </c>
      <c r="C6105" t="s">
        <v>621</v>
      </c>
      <c r="D6105" s="230">
        <v>0</v>
      </c>
      <c r="E6105" t="s">
        <v>720</v>
      </c>
    </row>
    <row r="6106" spans="1:5" hidden="1" x14ac:dyDescent="0.3">
      <c r="A6106" t="s">
        <v>557</v>
      </c>
      <c r="B6106" t="s">
        <v>719</v>
      </c>
      <c r="C6106" t="s">
        <v>622</v>
      </c>
      <c r="D6106" s="230">
        <v>0</v>
      </c>
      <c r="E6106" t="s">
        <v>720</v>
      </c>
    </row>
    <row r="6107" spans="1:5" hidden="1" x14ac:dyDescent="0.3">
      <c r="A6107" t="s">
        <v>557</v>
      </c>
      <c r="B6107" t="s">
        <v>719</v>
      </c>
      <c r="C6107" t="s">
        <v>623</v>
      </c>
      <c r="D6107" s="230">
        <v>0</v>
      </c>
      <c r="E6107" t="s">
        <v>720</v>
      </c>
    </row>
    <row r="6108" spans="1:5" hidden="1" x14ac:dyDescent="0.3">
      <c r="A6108" t="s">
        <v>557</v>
      </c>
      <c r="B6108" t="s">
        <v>719</v>
      </c>
      <c r="C6108" t="s">
        <v>624</v>
      </c>
      <c r="D6108" s="230">
        <v>0</v>
      </c>
      <c r="E6108" t="s">
        <v>720</v>
      </c>
    </row>
    <row r="6109" spans="1:5" hidden="1" x14ac:dyDescent="0.3">
      <c r="A6109" t="s">
        <v>557</v>
      </c>
      <c r="B6109" t="s">
        <v>719</v>
      </c>
      <c r="C6109" t="s">
        <v>625</v>
      </c>
      <c r="D6109" s="230">
        <v>0</v>
      </c>
      <c r="E6109" t="s">
        <v>720</v>
      </c>
    </row>
    <row r="6110" spans="1:5" hidden="1" x14ac:dyDescent="0.3">
      <c r="A6110" t="s">
        <v>557</v>
      </c>
      <c r="B6110" t="s">
        <v>719</v>
      </c>
      <c r="C6110" t="s">
        <v>626</v>
      </c>
      <c r="D6110" s="230">
        <v>0</v>
      </c>
      <c r="E6110" t="s">
        <v>720</v>
      </c>
    </row>
    <row r="6111" spans="1:5" hidden="1" x14ac:dyDescent="0.3">
      <c r="A6111" t="s">
        <v>557</v>
      </c>
      <c r="B6111" t="s">
        <v>719</v>
      </c>
      <c r="C6111" t="s">
        <v>627</v>
      </c>
      <c r="D6111" s="230">
        <v>0</v>
      </c>
      <c r="E6111" t="s">
        <v>720</v>
      </c>
    </row>
    <row r="6112" spans="1:5" hidden="1" x14ac:dyDescent="0.3">
      <c r="A6112" t="s">
        <v>557</v>
      </c>
      <c r="B6112" t="s">
        <v>719</v>
      </c>
      <c r="C6112" t="s">
        <v>628</v>
      </c>
      <c r="D6112" s="230">
        <v>0</v>
      </c>
      <c r="E6112" t="s">
        <v>720</v>
      </c>
    </row>
    <row r="6113" spans="1:5" hidden="1" x14ac:dyDescent="0.3">
      <c r="A6113" t="s">
        <v>557</v>
      </c>
      <c r="B6113" t="s">
        <v>719</v>
      </c>
      <c r="C6113" t="s">
        <v>629</v>
      </c>
      <c r="D6113" s="230">
        <v>0</v>
      </c>
      <c r="E6113" t="s">
        <v>720</v>
      </c>
    </row>
    <row r="6114" spans="1:5" hidden="1" x14ac:dyDescent="0.3">
      <c r="A6114" t="s">
        <v>557</v>
      </c>
      <c r="B6114" t="s">
        <v>719</v>
      </c>
      <c r="C6114" t="s">
        <v>630</v>
      </c>
      <c r="D6114" s="230">
        <v>0</v>
      </c>
      <c r="E6114" t="s">
        <v>720</v>
      </c>
    </row>
    <row r="6115" spans="1:5" hidden="1" x14ac:dyDescent="0.3">
      <c r="A6115" t="s">
        <v>557</v>
      </c>
      <c r="B6115" t="s">
        <v>719</v>
      </c>
      <c r="C6115" t="s">
        <v>631</v>
      </c>
      <c r="D6115" s="230">
        <v>0</v>
      </c>
      <c r="E6115" t="s">
        <v>720</v>
      </c>
    </row>
    <row r="6116" spans="1:5" hidden="1" x14ac:dyDescent="0.3">
      <c r="A6116" t="s">
        <v>557</v>
      </c>
      <c r="B6116" t="s">
        <v>719</v>
      </c>
      <c r="C6116" t="s">
        <v>632</v>
      </c>
      <c r="D6116" s="230">
        <v>0</v>
      </c>
      <c r="E6116" t="s">
        <v>720</v>
      </c>
    </row>
    <row r="6117" spans="1:5" hidden="1" x14ac:dyDescent="0.3">
      <c r="A6117" t="s">
        <v>557</v>
      </c>
      <c r="B6117" t="s">
        <v>719</v>
      </c>
      <c r="C6117" t="s">
        <v>633</v>
      </c>
      <c r="D6117" s="230">
        <v>0</v>
      </c>
      <c r="E6117" t="s">
        <v>720</v>
      </c>
    </row>
    <row r="6118" spans="1:5" hidden="1" x14ac:dyDescent="0.3">
      <c r="A6118" t="s">
        <v>557</v>
      </c>
      <c r="B6118" t="s">
        <v>719</v>
      </c>
      <c r="C6118" t="s">
        <v>634</v>
      </c>
      <c r="D6118" s="230">
        <v>0</v>
      </c>
      <c r="E6118" t="s">
        <v>720</v>
      </c>
    </row>
    <row r="6119" spans="1:5" hidden="1" x14ac:dyDescent="0.3">
      <c r="A6119" t="s">
        <v>557</v>
      </c>
      <c r="B6119" t="s">
        <v>719</v>
      </c>
      <c r="C6119" t="s">
        <v>635</v>
      </c>
      <c r="D6119" s="230">
        <v>0</v>
      </c>
      <c r="E6119" t="s">
        <v>720</v>
      </c>
    </row>
    <row r="6120" spans="1:5" hidden="1" x14ac:dyDescent="0.3">
      <c r="A6120" t="s">
        <v>557</v>
      </c>
      <c r="B6120" t="s">
        <v>719</v>
      </c>
      <c r="C6120" t="s">
        <v>636</v>
      </c>
      <c r="D6120" s="230">
        <v>0</v>
      </c>
      <c r="E6120" t="s">
        <v>720</v>
      </c>
    </row>
    <row r="6121" spans="1:5" hidden="1" x14ac:dyDescent="0.3">
      <c r="A6121" t="s">
        <v>557</v>
      </c>
      <c r="B6121" t="s">
        <v>719</v>
      </c>
      <c r="C6121" t="s">
        <v>637</v>
      </c>
      <c r="D6121" s="230">
        <v>0</v>
      </c>
      <c r="E6121" t="s">
        <v>720</v>
      </c>
    </row>
    <row r="6122" spans="1:5" hidden="1" x14ac:dyDescent="0.3">
      <c r="A6122" t="s">
        <v>557</v>
      </c>
      <c r="B6122" t="s">
        <v>719</v>
      </c>
      <c r="C6122" t="s">
        <v>638</v>
      </c>
      <c r="D6122" s="230">
        <v>0</v>
      </c>
      <c r="E6122" t="s">
        <v>720</v>
      </c>
    </row>
    <row r="6123" spans="1:5" hidden="1" x14ac:dyDescent="0.3">
      <c r="A6123" t="s">
        <v>557</v>
      </c>
      <c r="B6123" t="s">
        <v>719</v>
      </c>
      <c r="C6123" t="s">
        <v>639</v>
      </c>
      <c r="D6123" s="230">
        <v>0</v>
      </c>
      <c r="E6123" t="s">
        <v>720</v>
      </c>
    </row>
    <row r="6124" spans="1:5" hidden="1" x14ac:dyDescent="0.3">
      <c r="A6124" t="s">
        <v>557</v>
      </c>
      <c r="B6124" t="s">
        <v>719</v>
      </c>
      <c r="C6124" t="s">
        <v>640</v>
      </c>
      <c r="D6124" s="230">
        <v>0</v>
      </c>
      <c r="E6124" t="s">
        <v>720</v>
      </c>
    </row>
    <row r="6125" spans="1:5" hidden="1" x14ac:dyDescent="0.3">
      <c r="A6125" t="s">
        <v>557</v>
      </c>
      <c r="B6125" t="s">
        <v>719</v>
      </c>
      <c r="C6125" t="s">
        <v>641</v>
      </c>
      <c r="D6125" s="230">
        <v>0</v>
      </c>
      <c r="E6125" t="s">
        <v>720</v>
      </c>
    </row>
    <row r="6126" spans="1:5" hidden="1" x14ac:dyDescent="0.3">
      <c r="A6126" t="s">
        <v>557</v>
      </c>
      <c r="B6126" t="s">
        <v>719</v>
      </c>
      <c r="C6126" t="s">
        <v>642</v>
      </c>
      <c r="D6126" s="230">
        <v>0</v>
      </c>
      <c r="E6126" t="s">
        <v>720</v>
      </c>
    </row>
    <row r="6127" spans="1:5" hidden="1" x14ac:dyDescent="0.3">
      <c r="A6127" t="s">
        <v>557</v>
      </c>
      <c r="B6127" t="s">
        <v>719</v>
      </c>
      <c r="C6127" t="s">
        <v>643</v>
      </c>
      <c r="D6127" s="230">
        <v>0</v>
      </c>
      <c r="E6127" t="s">
        <v>720</v>
      </c>
    </row>
    <row r="6128" spans="1:5" hidden="1" x14ac:dyDescent="0.3">
      <c r="A6128" t="s">
        <v>557</v>
      </c>
      <c r="B6128" t="s">
        <v>719</v>
      </c>
      <c r="C6128" t="s">
        <v>644</v>
      </c>
      <c r="D6128" s="230">
        <v>0</v>
      </c>
      <c r="E6128" t="s">
        <v>720</v>
      </c>
    </row>
    <row r="6129" spans="1:5" hidden="1" x14ac:dyDescent="0.3">
      <c r="A6129" t="s">
        <v>557</v>
      </c>
      <c r="B6129" t="s">
        <v>719</v>
      </c>
      <c r="C6129" t="s">
        <v>645</v>
      </c>
      <c r="D6129" s="230">
        <v>0</v>
      </c>
      <c r="E6129" t="s">
        <v>720</v>
      </c>
    </row>
    <row r="6130" spans="1:5" hidden="1" x14ac:dyDescent="0.3">
      <c r="A6130" t="s">
        <v>557</v>
      </c>
      <c r="B6130" t="s">
        <v>719</v>
      </c>
      <c r="C6130" t="s">
        <v>646</v>
      </c>
      <c r="D6130" s="230">
        <v>0</v>
      </c>
      <c r="E6130" t="s">
        <v>720</v>
      </c>
    </row>
    <row r="6131" spans="1:5" hidden="1" x14ac:dyDescent="0.3">
      <c r="A6131" t="s">
        <v>557</v>
      </c>
      <c r="B6131" t="s">
        <v>719</v>
      </c>
      <c r="C6131" t="s">
        <v>647</v>
      </c>
      <c r="D6131" s="230">
        <v>0</v>
      </c>
      <c r="E6131" t="s">
        <v>720</v>
      </c>
    </row>
    <row r="6132" spans="1:5" hidden="1" x14ac:dyDescent="0.3">
      <c r="A6132" t="s">
        <v>557</v>
      </c>
      <c r="B6132" t="s">
        <v>719</v>
      </c>
      <c r="C6132" t="s">
        <v>648</v>
      </c>
      <c r="D6132" s="230">
        <v>0</v>
      </c>
      <c r="E6132" t="s">
        <v>720</v>
      </c>
    </row>
    <row r="6133" spans="1:5" hidden="1" x14ac:dyDescent="0.3">
      <c r="A6133" t="s">
        <v>557</v>
      </c>
      <c r="B6133" t="s">
        <v>719</v>
      </c>
      <c r="C6133" t="s">
        <v>649</v>
      </c>
      <c r="D6133" s="230">
        <v>0</v>
      </c>
      <c r="E6133" t="s">
        <v>720</v>
      </c>
    </row>
    <row r="6134" spans="1:5" hidden="1" x14ac:dyDescent="0.3">
      <c r="A6134" t="s">
        <v>557</v>
      </c>
      <c r="B6134" t="s">
        <v>719</v>
      </c>
      <c r="C6134" t="s">
        <v>650</v>
      </c>
      <c r="D6134" s="230">
        <v>0</v>
      </c>
      <c r="E6134" t="s">
        <v>720</v>
      </c>
    </row>
    <row r="6135" spans="1:5" hidden="1" x14ac:dyDescent="0.3">
      <c r="A6135" t="s">
        <v>557</v>
      </c>
      <c r="B6135" t="s">
        <v>719</v>
      </c>
      <c r="C6135" t="s">
        <v>651</v>
      </c>
      <c r="D6135" s="230">
        <v>0</v>
      </c>
      <c r="E6135" t="s">
        <v>720</v>
      </c>
    </row>
    <row r="6136" spans="1:5" hidden="1" x14ac:dyDescent="0.3">
      <c r="A6136" t="s">
        <v>557</v>
      </c>
      <c r="B6136" t="s">
        <v>719</v>
      </c>
      <c r="C6136" t="s">
        <v>652</v>
      </c>
      <c r="D6136" s="230">
        <v>0</v>
      </c>
      <c r="E6136" t="s">
        <v>720</v>
      </c>
    </row>
    <row r="6137" spans="1:5" hidden="1" x14ac:dyDescent="0.3">
      <c r="A6137" t="s">
        <v>557</v>
      </c>
      <c r="B6137" t="s">
        <v>719</v>
      </c>
      <c r="C6137" t="s">
        <v>653</v>
      </c>
      <c r="D6137" s="230">
        <v>0</v>
      </c>
      <c r="E6137" t="s">
        <v>720</v>
      </c>
    </row>
    <row r="6138" spans="1:5" hidden="1" x14ac:dyDescent="0.3">
      <c r="A6138" t="s">
        <v>557</v>
      </c>
      <c r="B6138" t="s">
        <v>719</v>
      </c>
      <c r="C6138" t="s">
        <v>654</v>
      </c>
      <c r="D6138" s="230">
        <v>0</v>
      </c>
      <c r="E6138" t="s">
        <v>720</v>
      </c>
    </row>
    <row r="6139" spans="1:5" hidden="1" x14ac:dyDescent="0.3">
      <c r="A6139" t="s">
        <v>557</v>
      </c>
      <c r="B6139" t="s">
        <v>719</v>
      </c>
      <c r="C6139" t="s">
        <v>655</v>
      </c>
      <c r="D6139" s="230">
        <v>0</v>
      </c>
      <c r="E6139" t="s">
        <v>720</v>
      </c>
    </row>
    <row r="6140" spans="1:5" hidden="1" x14ac:dyDescent="0.3">
      <c r="A6140" t="s">
        <v>557</v>
      </c>
      <c r="B6140" t="s">
        <v>719</v>
      </c>
      <c r="C6140" t="s">
        <v>656</v>
      </c>
      <c r="D6140" s="230">
        <v>0</v>
      </c>
      <c r="E6140" t="s">
        <v>720</v>
      </c>
    </row>
    <row r="6141" spans="1:5" hidden="1" x14ac:dyDescent="0.3">
      <c r="A6141" t="s">
        <v>557</v>
      </c>
      <c r="B6141" t="s">
        <v>719</v>
      </c>
      <c r="C6141" t="s">
        <v>657</v>
      </c>
      <c r="D6141" s="230">
        <v>0</v>
      </c>
      <c r="E6141" t="s">
        <v>720</v>
      </c>
    </row>
    <row r="6142" spans="1:5" hidden="1" x14ac:dyDescent="0.3">
      <c r="A6142" t="s">
        <v>557</v>
      </c>
      <c r="B6142" t="s">
        <v>719</v>
      </c>
      <c r="C6142" t="s">
        <v>658</v>
      </c>
      <c r="D6142" s="230">
        <v>0</v>
      </c>
      <c r="E6142" t="s">
        <v>720</v>
      </c>
    </row>
    <row r="6143" spans="1:5" hidden="1" x14ac:dyDescent="0.3">
      <c r="A6143" t="s">
        <v>557</v>
      </c>
      <c r="B6143" t="s">
        <v>719</v>
      </c>
      <c r="C6143" t="s">
        <v>659</v>
      </c>
      <c r="D6143" s="230">
        <v>0</v>
      </c>
      <c r="E6143" t="s">
        <v>720</v>
      </c>
    </row>
    <row r="6144" spans="1:5" hidden="1" x14ac:dyDescent="0.3">
      <c r="A6144" t="s">
        <v>557</v>
      </c>
      <c r="B6144" t="s">
        <v>719</v>
      </c>
      <c r="C6144" t="s">
        <v>660</v>
      </c>
      <c r="D6144" s="230">
        <v>0</v>
      </c>
      <c r="E6144" t="s">
        <v>720</v>
      </c>
    </row>
    <row r="6145" spans="1:5" hidden="1" x14ac:dyDescent="0.3">
      <c r="A6145" t="s">
        <v>557</v>
      </c>
      <c r="B6145" t="s">
        <v>719</v>
      </c>
      <c r="C6145" t="s">
        <v>661</v>
      </c>
      <c r="D6145" s="230">
        <v>0</v>
      </c>
      <c r="E6145" t="s">
        <v>720</v>
      </c>
    </row>
    <row r="6146" spans="1:5" hidden="1" x14ac:dyDescent="0.3">
      <c r="A6146" t="s">
        <v>557</v>
      </c>
      <c r="B6146" t="s">
        <v>719</v>
      </c>
      <c r="C6146" t="s">
        <v>662</v>
      </c>
      <c r="D6146" s="230">
        <v>0</v>
      </c>
      <c r="E6146" t="s">
        <v>720</v>
      </c>
    </row>
    <row r="6147" spans="1:5" hidden="1" x14ac:dyDescent="0.3">
      <c r="A6147" t="s">
        <v>557</v>
      </c>
      <c r="B6147" t="s">
        <v>719</v>
      </c>
      <c r="C6147" t="s">
        <v>663</v>
      </c>
      <c r="D6147" s="230">
        <v>0</v>
      </c>
      <c r="E6147" t="s">
        <v>720</v>
      </c>
    </row>
    <row r="6148" spans="1:5" hidden="1" x14ac:dyDescent="0.3">
      <c r="A6148" t="s">
        <v>557</v>
      </c>
      <c r="B6148" t="s">
        <v>719</v>
      </c>
      <c r="C6148" t="s">
        <v>664</v>
      </c>
      <c r="D6148" s="230">
        <v>0</v>
      </c>
      <c r="E6148" t="s">
        <v>720</v>
      </c>
    </row>
    <row r="6149" spans="1:5" hidden="1" x14ac:dyDescent="0.3">
      <c r="A6149" t="s">
        <v>557</v>
      </c>
      <c r="B6149" t="s">
        <v>719</v>
      </c>
      <c r="C6149" t="s">
        <v>665</v>
      </c>
      <c r="D6149" s="230">
        <v>0</v>
      </c>
      <c r="E6149" t="s">
        <v>720</v>
      </c>
    </row>
    <row r="6150" spans="1:5" hidden="1" x14ac:dyDescent="0.3">
      <c r="A6150" t="s">
        <v>557</v>
      </c>
      <c r="B6150" t="s">
        <v>719</v>
      </c>
      <c r="C6150" t="s">
        <v>666</v>
      </c>
      <c r="D6150" s="230">
        <v>0</v>
      </c>
      <c r="E6150" t="s">
        <v>720</v>
      </c>
    </row>
    <row r="6151" spans="1:5" hidden="1" x14ac:dyDescent="0.3">
      <c r="A6151" t="s">
        <v>557</v>
      </c>
      <c r="B6151" t="s">
        <v>719</v>
      </c>
      <c r="C6151" t="s">
        <v>667</v>
      </c>
      <c r="D6151" s="230">
        <v>0</v>
      </c>
      <c r="E6151" t="s">
        <v>720</v>
      </c>
    </row>
    <row r="6152" spans="1:5" hidden="1" x14ac:dyDescent="0.3">
      <c r="A6152" t="s">
        <v>557</v>
      </c>
      <c r="B6152" t="s">
        <v>719</v>
      </c>
      <c r="C6152" t="s">
        <v>668</v>
      </c>
      <c r="D6152" s="230">
        <v>0</v>
      </c>
      <c r="E6152" t="s">
        <v>720</v>
      </c>
    </row>
    <row r="6153" spans="1:5" hidden="1" x14ac:dyDescent="0.3">
      <c r="A6153" t="s">
        <v>557</v>
      </c>
      <c r="B6153" t="s">
        <v>719</v>
      </c>
      <c r="C6153" t="s">
        <v>669</v>
      </c>
      <c r="D6153" s="230">
        <v>0</v>
      </c>
      <c r="E6153" t="s">
        <v>720</v>
      </c>
    </row>
    <row r="6154" spans="1:5" hidden="1" x14ac:dyDescent="0.3">
      <c r="A6154" t="s">
        <v>557</v>
      </c>
      <c r="B6154" t="s">
        <v>719</v>
      </c>
      <c r="C6154" t="s">
        <v>670</v>
      </c>
      <c r="D6154" s="230">
        <v>0</v>
      </c>
      <c r="E6154" t="s">
        <v>720</v>
      </c>
    </row>
    <row r="6155" spans="1:5" hidden="1" x14ac:dyDescent="0.3">
      <c r="A6155" t="s">
        <v>557</v>
      </c>
      <c r="B6155" t="s">
        <v>719</v>
      </c>
      <c r="C6155" t="s">
        <v>671</v>
      </c>
      <c r="D6155" s="230">
        <v>0</v>
      </c>
      <c r="E6155" t="s">
        <v>720</v>
      </c>
    </row>
    <row r="6156" spans="1:5" hidden="1" x14ac:dyDescent="0.3">
      <c r="A6156" t="s">
        <v>557</v>
      </c>
      <c r="B6156" t="s">
        <v>719</v>
      </c>
      <c r="C6156" t="s">
        <v>672</v>
      </c>
      <c r="D6156" s="230">
        <v>0</v>
      </c>
      <c r="E6156" t="s">
        <v>720</v>
      </c>
    </row>
    <row r="6157" spans="1:5" hidden="1" x14ac:dyDescent="0.3">
      <c r="A6157" t="s">
        <v>557</v>
      </c>
      <c r="B6157" t="s">
        <v>719</v>
      </c>
      <c r="C6157" t="s">
        <v>673</v>
      </c>
      <c r="D6157" s="230">
        <v>0</v>
      </c>
      <c r="E6157" t="s">
        <v>720</v>
      </c>
    </row>
    <row r="6158" spans="1:5" hidden="1" x14ac:dyDescent="0.3">
      <c r="A6158" t="s">
        <v>557</v>
      </c>
      <c r="B6158" t="s">
        <v>719</v>
      </c>
      <c r="C6158" t="s">
        <v>674</v>
      </c>
      <c r="D6158" s="230">
        <v>0</v>
      </c>
      <c r="E6158" t="s">
        <v>720</v>
      </c>
    </row>
    <row r="6159" spans="1:5" hidden="1" x14ac:dyDescent="0.3">
      <c r="A6159" t="s">
        <v>557</v>
      </c>
      <c r="B6159" t="s">
        <v>719</v>
      </c>
      <c r="C6159" t="s">
        <v>675</v>
      </c>
      <c r="D6159" s="230">
        <v>0</v>
      </c>
      <c r="E6159" t="s">
        <v>720</v>
      </c>
    </row>
    <row r="6160" spans="1:5" hidden="1" x14ac:dyDescent="0.3">
      <c r="A6160" t="s">
        <v>557</v>
      </c>
      <c r="B6160" t="s">
        <v>719</v>
      </c>
      <c r="C6160" t="s">
        <v>676</v>
      </c>
      <c r="D6160" s="230">
        <v>0</v>
      </c>
      <c r="E6160" t="s">
        <v>720</v>
      </c>
    </row>
    <row r="6161" spans="1:5" hidden="1" x14ac:dyDescent="0.3">
      <c r="A6161" t="s">
        <v>557</v>
      </c>
      <c r="B6161" t="s">
        <v>719</v>
      </c>
      <c r="C6161" t="s">
        <v>677</v>
      </c>
      <c r="D6161" s="230">
        <v>0</v>
      </c>
      <c r="E6161" t="s">
        <v>720</v>
      </c>
    </row>
    <row r="6162" spans="1:5" hidden="1" x14ac:dyDescent="0.3">
      <c r="A6162" t="s">
        <v>557</v>
      </c>
      <c r="B6162" t="s">
        <v>719</v>
      </c>
      <c r="C6162" t="s">
        <v>201</v>
      </c>
      <c r="D6162" s="230">
        <v>-9686.1200000000008</v>
      </c>
      <c r="E6162" t="s">
        <v>720</v>
      </c>
    </row>
    <row r="6163" spans="1:5" hidden="1" x14ac:dyDescent="0.3">
      <c r="A6163" t="s">
        <v>557</v>
      </c>
      <c r="B6163" t="s">
        <v>719</v>
      </c>
      <c r="C6163" t="s">
        <v>203</v>
      </c>
      <c r="D6163" s="230">
        <v>-9686.1200000000008</v>
      </c>
      <c r="E6163" t="s">
        <v>720</v>
      </c>
    </row>
    <row r="6164" spans="1:5" hidden="1" x14ac:dyDescent="0.3">
      <c r="A6164" t="s">
        <v>557</v>
      </c>
      <c r="B6164" t="s">
        <v>719</v>
      </c>
      <c r="C6164" t="s">
        <v>678</v>
      </c>
      <c r="D6164" s="230">
        <v>4843.0600000000004</v>
      </c>
      <c r="E6164" t="s">
        <v>720</v>
      </c>
    </row>
    <row r="6165" spans="1:5" hidden="1" x14ac:dyDescent="0.3">
      <c r="A6165" t="s">
        <v>557</v>
      </c>
      <c r="B6165" t="s">
        <v>719</v>
      </c>
      <c r="C6165" t="s">
        <v>205</v>
      </c>
      <c r="D6165" s="230">
        <v>-13982.82</v>
      </c>
      <c r="E6165" t="s">
        <v>720</v>
      </c>
    </row>
    <row r="6166" spans="1:5" hidden="1" x14ac:dyDescent="0.3">
      <c r="A6166" t="s">
        <v>557</v>
      </c>
      <c r="B6166" t="s">
        <v>719</v>
      </c>
      <c r="C6166" t="s">
        <v>679</v>
      </c>
      <c r="D6166" s="230">
        <v>-2152.67</v>
      </c>
      <c r="E6166" t="s">
        <v>720</v>
      </c>
    </row>
    <row r="6167" spans="1:5" hidden="1" x14ac:dyDescent="0.3">
      <c r="A6167" t="s">
        <v>557</v>
      </c>
      <c r="B6167" t="s">
        <v>719</v>
      </c>
      <c r="C6167" t="s">
        <v>680</v>
      </c>
      <c r="D6167" s="230">
        <v>-2541.48</v>
      </c>
      <c r="E6167" t="s">
        <v>720</v>
      </c>
    </row>
    <row r="6168" spans="1:5" hidden="1" x14ac:dyDescent="0.3">
      <c r="A6168" t="s">
        <v>557</v>
      </c>
      <c r="B6168" t="s">
        <v>719</v>
      </c>
      <c r="C6168" t="s">
        <v>681</v>
      </c>
      <c r="D6168" s="230">
        <v>0</v>
      </c>
      <c r="E6168" t="s">
        <v>720</v>
      </c>
    </row>
    <row r="6169" spans="1:5" hidden="1" x14ac:dyDescent="0.3">
      <c r="A6169" t="s">
        <v>557</v>
      </c>
      <c r="B6169" t="s">
        <v>719</v>
      </c>
      <c r="C6169" t="s">
        <v>682</v>
      </c>
      <c r="D6169" s="230">
        <v>-5069.8500000000004</v>
      </c>
      <c r="E6169" t="s">
        <v>720</v>
      </c>
    </row>
    <row r="6170" spans="1:5" hidden="1" x14ac:dyDescent="0.3">
      <c r="A6170" t="s">
        <v>557</v>
      </c>
      <c r="B6170" t="s">
        <v>719</v>
      </c>
      <c r="C6170" t="s">
        <v>683</v>
      </c>
      <c r="D6170" s="230">
        <v>0</v>
      </c>
      <c r="E6170" t="s">
        <v>720</v>
      </c>
    </row>
    <row r="6171" spans="1:5" hidden="1" x14ac:dyDescent="0.3">
      <c r="A6171" t="s">
        <v>557</v>
      </c>
      <c r="B6171" t="s">
        <v>719</v>
      </c>
      <c r="C6171" t="s">
        <v>684</v>
      </c>
      <c r="D6171" s="230">
        <v>-1708.19</v>
      </c>
      <c r="E6171" t="s">
        <v>720</v>
      </c>
    </row>
    <row r="6172" spans="1:5" hidden="1" x14ac:dyDescent="0.3">
      <c r="A6172" t="s">
        <v>557</v>
      </c>
      <c r="B6172" t="s">
        <v>719</v>
      </c>
      <c r="C6172" t="s">
        <v>685</v>
      </c>
      <c r="D6172" s="230">
        <v>-510.63</v>
      </c>
      <c r="E6172" t="s">
        <v>720</v>
      </c>
    </row>
    <row r="6173" spans="1:5" hidden="1" x14ac:dyDescent="0.3">
      <c r="A6173" t="s">
        <v>557</v>
      </c>
      <c r="B6173" t="s">
        <v>719</v>
      </c>
      <c r="C6173" t="s">
        <v>686</v>
      </c>
      <c r="D6173" s="230">
        <v>0</v>
      </c>
      <c r="E6173" t="s">
        <v>720</v>
      </c>
    </row>
    <row r="6174" spans="1:5" hidden="1" x14ac:dyDescent="0.3">
      <c r="A6174" t="s">
        <v>557</v>
      </c>
      <c r="B6174" t="s">
        <v>719</v>
      </c>
      <c r="C6174" t="s">
        <v>687</v>
      </c>
      <c r="D6174" s="230">
        <v>0</v>
      </c>
      <c r="E6174" t="s">
        <v>720</v>
      </c>
    </row>
    <row r="6175" spans="1:5" hidden="1" x14ac:dyDescent="0.3">
      <c r="A6175" t="s">
        <v>557</v>
      </c>
      <c r="B6175" t="s">
        <v>719</v>
      </c>
      <c r="C6175" t="s">
        <v>688</v>
      </c>
      <c r="D6175" s="230">
        <v>0</v>
      </c>
      <c r="E6175" t="s">
        <v>720</v>
      </c>
    </row>
    <row r="6176" spans="1:5" hidden="1" x14ac:dyDescent="0.3">
      <c r="A6176" t="s">
        <v>557</v>
      </c>
      <c r="B6176" t="s">
        <v>719</v>
      </c>
      <c r="C6176" t="s">
        <v>689</v>
      </c>
      <c r="D6176" s="230">
        <v>0</v>
      </c>
      <c r="E6176" t="s">
        <v>720</v>
      </c>
    </row>
    <row r="6177" spans="1:5" hidden="1" x14ac:dyDescent="0.3">
      <c r="A6177" t="s">
        <v>557</v>
      </c>
      <c r="B6177" t="s">
        <v>719</v>
      </c>
      <c r="C6177" t="s">
        <v>690</v>
      </c>
      <c r="D6177" s="230">
        <v>-2000</v>
      </c>
      <c r="E6177" t="s">
        <v>720</v>
      </c>
    </row>
    <row r="6178" spans="1:5" hidden="1" x14ac:dyDescent="0.3">
      <c r="A6178" t="s">
        <v>557</v>
      </c>
      <c r="B6178" t="s">
        <v>719</v>
      </c>
      <c r="C6178" t="s">
        <v>691</v>
      </c>
      <c r="D6178" s="230">
        <v>0</v>
      </c>
      <c r="E6178" t="s">
        <v>720</v>
      </c>
    </row>
    <row r="6179" spans="1:5" hidden="1" x14ac:dyDescent="0.3">
      <c r="A6179" t="s">
        <v>557</v>
      </c>
      <c r="B6179" t="s">
        <v>719</v>
      </c>
      <c r="C6179" t="s">
        <v>692</v>
      </c>
      <c r="D6179" s="230">
        <v>0</v>
      </c>
      <c r="E6179" t="s">
        <v>720</v>
      </c>
    </row>
    <row r="6180" spans="1:5" hidden="1" x14ac:dyDescent="0.3">
      <c r="A6180" t="s">
        <v>557</v>
      </c>
      <c r="B6180" t="s">
        <v>719</v>
      </c>
      <c r="C6180" t="s">
        <v>693</v>
      </c>
      <c r="D6180" s="230">
        <v>0</v>
      </c>
      <c r="E6180" t="s">
        <v>720</v>
      </c>
    </row>
    <row r="6181" spans="1:5" hidden="1" x14ac:dyDescent="0.3">
      <c r="A6181" t="s">
        <v>557</v>
      </c>
      <c r="B6181" t="s">
        <v>719</v>
      </c>
      <c r="C6181" t="s">
        <v>694</v>
      </c>
      <c r="D6181" s="230">
        <v>0</v>
      </c>
      <c r="E6181" t="s">
        <v>720</v>
      </c>
    </row>
    <row r="6182" spans="1:5" hidden="1" x14ac:dyDescent="0.3">
      <c r="A6182" t="s">
        <v>557</v>
      </c>
      <c r="B6182" t="s">
        <v>719</v>
      </c>
      <c r="C6182" t="s">
        <v>238</v>
      </c>
      <c r="D6182" s="230">
        <v>-5551.57</v>
      </c>
      <c r="E6182" t="s">
        <v>720</v>
      </c>
    </row>
    <row r="6183" spans="1:5" hidden="1" x14ac:dyDescent="0.3">
      <c r="A6183" t="s">
        <v>557</v>
      </c>
      <c r="B6183" t="s">
        <v>719</v>
      </c>
      <c r="C6183" t="s">
        <v>695</v>
      </c>
      <c r="D6183" s="230">
        <v>-5478.1</v>
      </c>
      <c r="E6183" t="s">
        <v>720</v>
      </c>
    </row>
    <row r="6184" spans="1:5" hidden="1" x14ac:dyDescent="0.3">
      <c r="A6184" t="s">
        <v>557</v>
      </c>
      <c r="B6184" t="s">
        <v>719</v>
      </c>
      <c r="C6184" t="s">
        <v>696</v>
      </c>
      <c r="D6184" s="230">
        <v>0</v>
      </c>
      <c r="E6184" t="s">
        <v>720</v>
      </c>
    </row>
    <row r="6185" spans="1:5" hidden="1" x14ac:dyDescent="0.3">
      <c r="A6185" t="s">
        <v>557</v>
      </c>
      <c r="B6185" t="s">
        <v>719</v>
      </c>
      <c r="C6185" t="s">
        <v>697</v>
      </c>
      <c r="D6185" s="230">
        <v>0</v>
      </c>
      <c r="E6185" t="s">
        <v>720</v>
      </c>
    </row>
    <row r="6186" spans="1:5" hidden="1" x14ac:dyDescent="0.3">
      <c r="A6186" t="s">
        <v>557</v>
      </c>
      <c r="B6186" t="s">
        <v>719</v>
      </c>
      <c r="C6186" t="s">
        <v>698</v>
      </c>
      <c r="D6186" s="230">
        <v>-73.47</v>
      </c>
      <c r="E6186" t="s">
        <v>720</v>
      </c>
    </row>
    <row r="6187" spans="1:5" hidden="1" x14ac:dyDescent="0.3">
      <c r="A6187" t="s">
        <v>557</v>
      </c>
      <c r="B6187" t="s">
        <v>719</v>
      </c>
      <c r="C6187" t="s">
        <v>699</v>
      </c>
      <c r="D6187" s="230">
        <v>0</v>
      </c>
      <c r="E6187" t="s">
        <v>720</v>
      </c>
    </row>
    <row r="6188" spans="1:5" hidden="1" x14ac:dyDescent="0.3">
      <c r="A6188" t="s">
        <v>557</v>
      </c>
      <c r="B6188" t="s">
        <v>719</v>
      </c>
      <c r="C6188" t="s">
        <v>245</v>
      </c>
      <c r="D6188" s="230">
        <v>-7945.94</v>
      </c>
      <c r="E6188" t="s">
        <v>720</v>
      </c>
    </row>
    <row r="6189" spans="1:5" hidden="1" x14ac:dyDescent="0.3">
      <c r="A6189" t="s">
        <v>557</v>
      </c>
      <c r="B6189" t="s">
        <v>719</v>
      </c>
      <c r="C6189" t="s">
        <v>700</v>
      </c>
      <c r="D6189" s="230">
        <v>0</v>
      </c>
      <c r="E6189" t="s">
        <v>720</v>
      </c>
    </row>
    <row r="6190" spans="1:5" hidden="1" x14ac:dyDescent="0.3">
      <c r="A6190" t="s">
        <v>557</v>
      </c>
      <c r="B6190" t="s">
        <v>719</v>
      </c>
      <c r="C6190" t="s">
        <v>701</v>
      </c>
      <c r="D6190" s="230">
        <v>-507.11</v>
      </c>
      <c r="E6190" t="s">
        <v>720</v>
      </c>
    </row>
    <row r="6191" spans="1:5" hidden="1" x14ac:dyDescent="0.3">
      <c r="A6191" t="s">
        <v>557</v>
      </c>
      <c r="B6191" t="s">
        <v>719</v>
      </c>
      <c r="C6191" t="s">
        <v>702</v>
      </c>
      <c r="D6191" s="230">
        <v>0</v>
      </c>
      <c r="E6191" t="s">
        <v>720</v>
      </c>
    </row>
    <row r="6192" spans="1:5" hidden="1" x14ac:dyDescent="0.3">
      <c r="A6192" t="s">
        <v>557</v>
      </c>
      <c r="B6192" t="s">
        <v>719</v>
      </c>
      <c r="C6192" t="s">
        <v>703</v>
      </c>
      <c r="D6192" s="230">
        <v>0</v>
      </c>
      <c r="E6192" t="s">
        <v>720</v>
      </c>
    </row>
    <row r="6193" spans="1:5" hidden="1" x14ac:dyDescent="0.3">
      <c r="A6193" t="s">
        <v>557</v>
      </c>
      <c r="B6193" t="s">
        <v>719</v>
      </c>
      <c r="C6193" t="s">
        <v>704</v>
      </c>
      <c r="D6193" s="230">
        <v>0</v>
      </c>
      <c r="E6193" t="s">
        <v>720</v>
      </c>
    </row>
    <row r="6194" spans="1:5" hidden="1" x14ac:dyDescent="0.3">
      <c r="A6194" t="s">
        <v>557</v>
      </c>
      <c r="B6194" t="s">
        <v>719</v>
      </c>
      <c r="C6194" t="s">
        <v>705</v>
      </c>
      <c r="D6194" s="230">
        <v>-7438.83</v>
      </c>
      <c r="E6194" t="s">
        <v>720</v>
      </c>
    </row>
    <row r="6195" spans="1:5" hidden="1" x14ac:dyDescent="0.3">
      <c r="A6195" t="s">
        <v>557</v>
      </c>
      <c r="B6195" t="s">
        <v>719</v>
      </c>
      <c r="C6195" t="s">
        <v>706</v>
      </c>
      <c r="D6195" s="230">
        <v>0</v>
      </c>
      <c r="E6195" t="s">
        <v>720</v>
      </c>
    </row>
    <row r="6196" spans="1:5" hidden="1" x14ac:dyDescent="0.3">
      <c r="A6196" t="s">
        <v>557</v>
      </c>
      <c r="B6196" t="s">
        <v>719</v>
      </c>
      <c r="C6196" t="s">
        <v>254</v>
      </c>
      <c r="D6196" s="230">
        <v>-0.34</v>
      </c>
      <c r="E6196" t="s">
        <v>720</v>
      </c>
    </row>
    <row r="6197" spans="1:5" hidden="1" x14ac:dyDescent="0.3">
      <c r="A6197" t="s">
        <v>557</v>
      </c>
      <c r="B6197" t="s">
        <v>719</v>
      </c>
      <c r="C6197" t="s">
        <v>255</v>
      </c>
      <c r="D6197" s="230">
        <v>-0.34</v>
      </c>
      <c r="E6197" t="s">
        <v>720</v>
      </c>
    </row>
    <row r="6198" spans="1:5" hidden="1" x14ac:dyDescent="0.3">
      <c r="A6198" t="s">
        <v>557</v>
      </c>
      <c r="B6198" t="s">
        <v>719</v>
      </c>
      <c r="C6198" t="s">
        <v>256</v>
      </c>
      <c r="D6198" s="230">
        <v>-51752.37</v>
      </c>
      <c r="E6198" t="s">
        <v>720</v>
      </c>
    </row>
    <row r="6199" spans="1:5" hidden="1" x14ac:dyDescent="0.3">
      <c r="A6199" t="s">
        <v>557</v>
      </c>
      <c r="B6199" t="s">
        <v>719</v>
      </c>
      <c r="C6199" t="s">
        <v>257</v>
      </c>
      <c r="D6199" s="230">
        <v>-49305.7</v>
      </c>
      <c r="E6199" t="s">
        <v>720</v>
      </c>
    </row>
    <row r="6200" spans="1:5" hidden="1" x14ac:dyDescent="0.3">
      <c r="A6200" t="s">
        <v>557</v>
      </c>
      <c r="B6200" t="s">
        <v>719</v>
      </c>
      <c r="C6200" t="s">
        <v>258</v>
      </c>
      <c r="D6200" s="230">
        <v>0</v>
      </c>
      <c r="E6200" t="s">
        <v>720</v>
      </c>
    </row>
    <row r="6201" spans="1:5" hidden="1" x14ac:dyDescent="0.3">
      <c r="A6201" t="s">
        <v>557</v>
      </c>
      <c r="B6201" t="s">
        <v>719</v>
      </c>
      <c r="C6201" t="s">
        <v>259</v>
      </c>
      <c r="D6201" s="230">
        <v>-2446.67</v>
      </c>
      <c r="E6201" t="s">
        <v>720</v>
      </c>
    </row>
    <row r="6202" spans="1:5" hidden="1" x14ac:dyDescent="0.3">
      <c r="A6202" t="s">
        <v>557</v>
      </c>
      <c r="B6202" t="s">
        <v>719</v>
      </c>
      <c r="C6202" t="s">
        <v>260</v>
      </c>
      <c r="D6202" s="230">
        <v>0</v>
      </c>
      <c r="E6202" t="s">
        <v>720</v>
      </c>
    </row>
    <row r="6203" spans="1:5" hidden="1" x14ac:dyDescent="0.3">
      <c r="A6203" t="s">
        <v>557</v>
      </c>
      <c r="B6203" t="s">
        <v>719</v>
      </c>
      <c r="C6203" t="s">
        <v>261</v>
      </c>
      <c r="D6203" s="230">
        <v>0</v>
      </c>
      <c r="E6203" t="s">
        <v>720</v>
      </c>
    </row>
    <row r="6204" spans="1:5" hidden="1" x14ac:dyDescent="0.3">
      <c r="A6204" t="s">
        <v>557</v>
      </c>
      <c r="B6204" t="s">
        <v>719</v>
      </c>
      <c r="C6204" t="s">
        <v>262</v>
      </c>
      <c r="D6204" s="230">
        <v>0</v>
      </c>
      <c r="E6204" t="s">
        <v>720</v>
      </c>
    </row>
    <row r="6205" spans="1:5" hidden="1" x14ac:dyDescent="0.3">
      <c r="A6205" t="s">
        <v>557</v>
      </c>
      <c r="B6205" t="s">
        <v>719</v>
      </c>
      <c r="C6205" t="s">
        <v>263</v>
      </c>
      <c r="D6205" s="230">
        <v>0</v>
      </c>
      <c r="E6205" t="s">
        <v>720</v>
      </c>
    </row>
    <row r="6206" spans="1:5" hidden="1" x14ac:dyDescent="0.3">
      <c r="A6206" t="s">
        <v>557</v>
      </c>
      <c r="B6206" t="s">
        <v>719</v>
      </c>
      <c r="C6206" t="s">
        <v>44</v>
      </c>
      <c r="D6206" s="230">
        <v>-0.12</v>
      </c>
      <c r="E6206" t="s">
        <v>720</v>
      </c>
    </row>
    <row r="6207" spans="1:5" hidden="1" x14ac:dyDescent="0.3">
      <c r="A6207" t="s">
        <v>557</v>
      </c>
      <c r="B6207" t="s">
        <v>719</v>
      </c>
      <c r="C6207" t="s">
        <v>264</v>
      </c>
      <c r="D6207" s="230">
        <v>-40247.85</v>
      </c>
      <c r="E6207" t="s">
        <v>720</v>
      </c>
    </row>
    <row r="6208" spans="1:5" hidden="1" x14ac:dyDescent="0.3">
      <c r="A6208" t="s">
        <v>557</v>
      </c>
      <c r="B6208" t="s">
        <v>719</v>
      </c>
      <c r="C6208" t="s">
        <v>265</v>
      </c>
      <c r="D6208" s="230">
        <v>-7475.76</v>
      </c>
      <c r="E6208" t="s">
        <v>720</v>
      </c>
    </row>
    <row r="6209" spans="1:5" hidden="1" x14ac:dyDescent="0.3">
      <c r="A6209" t="s">
        <v>557</v>
      </c>
      <c r="B6209" t="s">
        <v>719</v>
      </c>
      <c r="C6209" t="s">
        <v>266</v>
      </c>
      <c r="D6209" s="230">
        <v>-10444.200000000001</v>
      </c>
      <c r="E6209" t="s">
        <v>720</v>
      </c>
    </row>
    <row r="6210" spans="1:5" hidden="1" x14ac:dyDescent="0.3">
      <c r="A6210" t="s">
        <v>557</v>
      </c>
      <c r="B6210" t="s">
        <v>719</v>
      </c>
      <c r="C6210" t="s">
        <v>267</v>
      </c>
      <c r="D6210" s="230">
        <v>-5913.82</v>
      </c>
      <c r="E6210" t="s">
        <v>720</v>
      </c>
    </row>
    <row r="6211" spans="1:5" hidden="1" x14ac:dyDescent="0.3">
      <c r="A6211" t="s">
        <v>557</v>
      </c>
      <c r="B6211" t="s">
        <v>719</v>
      </c>
      <c r="C6211" t="s">
        <v>268</v>
      </c>
      <c r="D6211" s="230">
        <v>-6361.07</v>
      </c>
      <c r="E6211" t="s">
        <v>720</v>
      </c>
    </row>
    <row r="6212" spans="1:5" hidden="1" x14ac:dyDescent="0.3">
      <c r="A6212" t="s">
        <v>557</v>
      </c>
      <c r="B6212" t="s">
        <v>719</v>
      </c>
      <c r="C6212" t="s">
        <v>269</v>
      </c>
      <c r="D6212" s="230">
        <v>0</v>
      </c>
      <c r="E6212" t="s">
        <v>720</v>
      </c>
    </row>
    <row r="6213" spans="1:5" hidden="1" x14ac:dyDescent="0.3">
      <c r="A6213" t="s">
        <v>557</v>
      </c>
      <c r="B6213" t="s">
        <v>719</v>
      </c>
      <c r="C6213" t="s">
        <v>270</v>
      </c>
      <c r="D6213" s="230">
        <v>-500</v>
      </c>
      <c r="E6213" t="s">
        <v>720</v>
      </c>
    </row>
    <row r="6214" spans="1:5" hidden="1" x14ac:dyDescent="0.3">
      <c r="A6214" t="s">
        <v>557</v>
      </c>
      <c r="B6214" t="s">
        <v>719</v>
      </c>
      <c r="C6214" t="s">
        <v>271</v>
      </c>
      <c r="D6214" s="230">
        <v>-725.04</v>
      </c>
      <c r="E6214" t="s">
        <v>720</v>
      </c>
    </row>
    <row r="6215" spans="1:5" hidden="1" x14ac:dyDescent="0.3">
      <c r="A6215" t="s">
        <v>557</v>
      </c>
      <c r="B6215" t="s">
        <v>719</v>
      </c>
      <c r="C6215" t="s">
        <v>272</v>
      </c>
      <c r="D6215" s="230">
        <v>-3233.79</v>
      </c>
      <c r="E6215" t="s">
        <v>720</v>
      </c>
    </row>
    <row r="6216" spans="1:5" hidden="1" x14ac:dyDescent="0.3">
      <c r="A6216" t="s">
        <v>557</v>
      </c>
      <c r="B6216" t="s">
        <v>719</v>
      </c>
      <c r="C6216" t="s">
        <v>273</v>
      </c>
      <c r="D6216" s="230">
        <v>0</v>
      </c>
      <c r="E6216" t="s">
        <v>720</v>
      </c>
    </row>
    <row r="6217" spans="1:5" hidden="1" x14ac:dyDescent="0.3">
      <c r="A6217" t="s">
        <v>557</v>
      </c>
      <c r="B6217" t="s">
        <v>719</v>
      </c>
      <c r="C6217" t="s">
        <v>274</v>
      </c>
      <c r="D6217" s="230">
        <v>0</v>
      </c>
      <c r="E6217" t="s">
        <v>720</v>
      </c>
    </row>
    <row r="6218" spans="1:5" hidden="1" x14ac:dyDescent="0.3">
      <c r="A6218" t="s">
        <v>557</v>
      </c>
      <c r="B6218" t="s">
        <v>719</v>
      </c>
      <c r="C6218" t="s">
        <v>275</v>
      </c>
      <c r="D6218" s="230">
        <v>-513.49</v>
      </c>
      <c r="E6218" t="s">
        <v>720</v>
      </c>
    </row>
    <row r="6219" spans="1:5" hidden="1" x14ac:dyDescent="0.3">
      <c r="A6219" t="s">
        <v>557</v>
      </c>
      <c r="B6219" t="s">
        <v>719</v>
      </c>
      <c r="C6219" t="s">
        <v>276</v>
      </c>
      <c r="D6219" s="230">
        <v>-1025</v>
      </c>
      <c r="E6219" t="s">
        <v>720</v>
      </c>
    </row>
    <row r="6220" spans="1:5" hidden="1" x14ac:dyDescent="0.3">
      <c r="A6220" t="s">
        <v>557</v>
      </c>
      <c r="B6220" t="s">
        <v>719</v>
      </c>
      <c r="C6220" t="s">
        <v>277</v>
      </c>
      <c r="D6220" s="230">
        <v>0</v>
      </c>
      <c r="E6220" t="s">
        <v>720</v>
      </c>
    </row>
    <row r="6221" spans="1:5" hidden="1" x14ac:dyDescent="0.3">
      <c r="A6221" t="s">
        <v>557</v>
      </c>
      <c r="B6221" t="s">
        <v>719</v>
      </c>
      <c r="C6221" t="s">
        <v>278</v>
      </c>
      <c r="D6221" s="230">
        <v>-4055.68</v>
      </c>
      <c r="E6221" t="s">
        <v>720</v>
      </c>
    </row>
    <row r="6222" spans="1:5" hidden="1" x14ac:dyDescent="0.3">
      <c r="A6222" t="s">
        <v>557</v>
      </c>
      <c r="B6222" t="s">
        <v>719</v>
      </c>
      <c r="C6222" t="s">
        <v>44</v>
      </c>
      <c r="D6222" s="230">
        <v>-0.1</v>
      </c>
      <c r="E6222" t="s">
        <v>720</v>
      </c>
    </row>
    <row r="6223" spans="1:5" hidden="1" x14ac:dyDescent="0.3">
      <c r="A6223" t="s">
        <v>557</v>
      </c>
      <c r="B6223" t="s">
        <v>719</v>
      </c>
      <c r="C6223" t="s">
        <v>279</v>
      </c>
      <c r="D6223" s="230">
        <v>-9424.4699999999993</v>
      </c>
      <c r="E6223" t="s">
        <v>720</v>
      </c>
    </row>
    <row r="6224" spans="1:5" hidden="1" x14ac:dyDescent="0.3">
      <c r="A6224" t="s">
        <v>557</v>
      </c>
      <c r="B6224" t="s">
        <v>719</v>
      </c>
      <c r="C6224" t="s">
        <v>280</v>
      </c>
      <c r="D6224" s="230">
        <v>-299.89999999999998</v>
      </c>
      <c r="E6224" t="s">
        <v>720</v>
      </c>
    </row>
    <row r="6225" spans="1:5" hidden="1" x14ac:dyDescent="0.3">
      <c r="A6225" t="s">
        <v>557</v>
      </c>
      <c r="B6225" t="s">
        <v>719</v>
      </c>
      <c r="C6225" t="s">
        <v>281</v>
      </c>
      <c r="D6225" s="230">
        <v>-377.04</v>
      </c>
      <c r="E6225" t="s">
        <v>720</v>
      </c>
    </row>
    <row r="6226" spans="1:5" hidden="1" x14ac:dyDescent="0.3">
      <c r="A6226" t="s">
        <v>557</v>
      </c>
      <c r="B6226" t="s">
        <v>719</v>
      </c>
      <c r="C6226" t="s">
        <v>282</v>
      </c>
      <c r="D6226" s="230">
        <v>-304.17</v>
      </c>
      <c r="E6226" t="s">
        <v>720</v>
      </c>
    </row>
    <row r="6227" spans="1:5" hidden="1" x14ac:dyDescent="0.3">
      <c r="A6227" t="s">
        <v>557</v>
      </c>
      <c r="B6227" t="s">
        <v>719</v>
      </c>
      <c r="C6227" t="s">
        <v>283</v>
      </c>
      <c r="D6227" s="230">
        <v>-1836.58</v>
      </c>
      <c r="E6227" t="s">
        <v>720</v>
      </c>
    </row>
    <row r="6228" spans="1:5" hidden="1" x14ac:dyDescent="0.3">
      <c r="A6228" t="s">
        <v>557</v>
      </c>
      <c r="B6228" t="s">
        <v>719</v>
      </c>
      <c r="C6228" t="s">
        <v>284</v>
      </c>
      <c r="D6228" s="230">
        <v>-6606.78</v>
      </c>
      <c r="E6228" t="s">
        <v>720</v>
      </c>
    </row>
    <row r="6229" spans="1:5" hidden="1" x14ac:dyDescent="0.3">
      <c r="A6229" t="s">
        <v>557</v>
      </c>
      <c r="B6229" t="s">
        <v>719</v>
      </c>
      <c r="C6229" t="s">
        <v>285</v>
      </c>
      <c r="D6229" s="230">
        <v>0</v>
      </c>
      <c r="E6229" t="s">
        <v>720</v>
      </c>
    </row>
    <row r="6230" spans="1:5" hidden="1" x14ac:dyDescent="0.3">
      <c r="A6230" t="s">
        <v>557</v>
      </c>
      <c r="B6230" t="s">
        <v>719</v>
      </c>
      <c r="C6230" t="s">
        <v>286</v>
      </c>
      <c r="D6230" s="230">
        <v>0</v>
      </c>
      <c r="E6230" t="s">
        <v>720</v>
      </c>
    </row>
    <row r="6231" spans="1:5" hidden="1" x14ac:dyDescent="0.3">
      <c r="A6231" t="s">
        <v>557</v>
      </c>
      <c r="B6231" t="s">
        <v>719</v>
      </c>
      <c r="C6231" t="s">
        <v>44</v>
      </c>
      <c r="D6231" s="230">
        <v>-0.03</v>
      </c>
      <c r="E6231" t="s">
        <v>720</v>
      </c>
    </row>
    <row r="6232" spans="1:5" hidden="1" x14ac:dyDescent="0.3">
      <c r="A6232" t="s">
        <v>557</v>
      </c>
      <c r="B6232" t="s">
        <v>719</v>
      </c>
      <c r="C6232" t="s">
        <v>287</v>
      </c>
      <c r="D6232" s="230">
        <v>-12057.45</v>
      </c>
      <c r="E6232" t="s">
        <v>720</v>
      </c>
    </row>
    <row r="6233" spans="1:5" hidden="1" x14ac:dyDescent="0.3">
      <c r="A6233" t="s">
        <v>557</v>
      </c>
      <c r="B6233" t="s">
        <v>719</v>
      </c>
      <c r="C6233" t="s">
        <v>288</v>
      </c>
      <c r="D6233" s="230">
        <v>-11863.45</v>
      </c>
      <c r="E6233" t="s">
        <v>720</v>
      </c>
    </row>
    <row r="6234" spans="1:5" hidden="1" x14ac:dyDescent="0.3">
      <c r="A6234" t="s">
        <v>557</v>
      </c>
      <c r="B6234" t="s">
        <v>719</v>
      </c>
      <c r="C6234" t="s">
        <v>289</v>
      </c>
      <c r="D6234" s="230">
        <v>0</v>
      </c>
      <c r="E6234" t="s">
        <v>720</v>
      </c>
    </row>
    <row r="6235" spans="1:5" hidden="1" x14ac:dyDescent="0.3">
      <c r="A6235" t="s">
        <v>557</v>
      </c>
      <c r="B6235" t="s">
        <v>719</v>
      </c>
      <c r="C6235" t="s">
        <v>290</v>
      </c>
      <c r="D6235" s="230">
        <v>0</v>
      </c>
      <c r="E6235" t="s">
        <v>720</v>
      </c>
    </row>
    <row r="6236" spans="1:5" hidden="1" x14ac:dyDescent="0.3">
      <c r="A6236" t="s">
        <v>557</v>
      </c>
      <c r="B6236" t="s">
        <v>719</v>
      </c>
      <c r="C6236" t="s">
        <v>291</v>
      </c>
      <c r="D6236" s="230">
        <v>0</v>
      </c>
      <c r="E6236" t="s">
        <v>720</v>
      </c>
    </row>
    <row r="6237" spans="1:5" hidden="1" x14ac:dyDescent="0.3">
      <c r="A6237" t="s">
        <v>557</v>
      </c>
      <c r="B6237" t="s">
        <v>719</v>
      </c>
      <c r="C6237" t="s">
        <v>292</v>
      </c>
      <c r="D6237" s="230">
        <v>0</v>
      </c>
      <c r="E6237" t="s">
        <v>720</v>
      </c>
    </row>
    <row r="6238" spans="1:5" hidden="1" x14ac:dyDescent="0.3">
      <c r="A6238" t="s">
        <v>557</v>
      </c>
      <c r="B6238" t="s">
        <v>719</v>
      </c>
      <c r="C6238" t="s">
        <v>293</v>
      </c>
      <c r="D6238" s="230">
        <v>-29</v>
      </c>
      <c r="E6238" t="s">
        <v>720</v>
      </c>
    </row>
    <row r="6239" spans="1:5" hidden="1" x14ac:dyDescent="0.3">
      <c r="A6239" t="s">
        <v>557</v>
      </c>
      <c r="B6239" t="s">
        <v>719</v>
      </c>
      <c r="C6239" t="s">
        <v>294</v>
      </c>
      <c r="D6239" s="230">
        <v>-165</v>
      </c>
      <c r="E6239" t="s">
        <v>720</v>
      </c>
    </row>
    <row r="6240" spans="1:5" hidden="1" x14ac:dyDescent="0.3">
      <c r="A6240" t="s">
        <v>557</v>
      </c>
      <c r="B6240" t="s">
        <v>719</v>
      </c>
      <c r="C6240" t="s">
        <v>295</v>
      </c>
      <c r="D6240" s="230">
        <v>0</v>
      </c>
      <c r="E6240" t="s">
        <v>720</v>
      </c>
    </row>
    <row r="6241" spans="1:5" hidden="1" x14ac:dyDescent="0.3">
      <c r="A6241" t="s">
        <v>557</v>
      </c>
      <c r="B6241" t="s">
        <v>719</v>
      </c>
      <c r="C6241" t="s">
        <v>44</v>
      </c>
      <c r="D6241" s="230">
        <v>-0.03</v>
      </c>
      <c r="E6241" t="s">
        <v>720</v>
      </c>
    </row>
    <row r="6242" spans="1:5" hidden="1" x14ac:dyDescent="0.3">
      <c r="A6242" t="s">
        <v>557</v>
      </c>
      <c r="B6242" t="s">
        <v>719</v>
      </c>
      <c r="C6242" t="s">
        <v>296</v>
      </c>
      <c r="D6242" s="230">
        <v>-11889.12</v>
      </c>
      <c r="E6242" t="s">
        <v>720</v>
      </c>
    </row>
    <row r="6243" spans="1:5" hidden="1" x14ac:dyDescent="0.3">
      <c r="A6243" t="s">
        <v>557</v>
      </c>
      <c r="B6243" t="s">
        <v>719</v>
      </c>
      <c r="C6243" t="s">
        <v>297</v>
      </c>
      <c r="D6243" s="230">
        <v>-5500</v>
      </c>
      <c r="E6243" t="s">
        <v>720</v>
      </c>
    </row>
    <row r="6244" spans="1:5" hidden="1" x14ac:dyDescent="0.3">
      <c r="A6244" t="s">
        <v>557</v>
      </c>
      <c r="B6244" t="s">
        <v>719</v>
      </c>
      <c r="C6244" t="s">
        <v>298</v>
      </c>
      <c r="D6244" s="230">
        <v>-460</v>
      </c>
      <c r="E6244" t="s">
        <v>720</v>
      </c>
    </row>
    <row r="6245" spans="1:5" hidden="1" x14ac:dyDescent="0.3">
      <c r="A6245" t="s">
        <v>557</v>
      </c>
      <c r="B6245" t="s">
        <v>719</v>
      </c>
      <c r="C6245" t="s">
        <v>299</v>
      </c>
      <c r="D6245" s="230">
        <v>0</v>
      </c>
      <c r="E6245" t="s">
        <v>720</v>
      </c>
    </row>
    <row r="6246" spans="1:5" hidden="1" x14ac:dyDescent="0.3">
      <c r="A6246" t="s">
        <v>557</v>
      </c>
      <c r="B6246" t="s">
        <v>719</v>
      </c>
      <c r="C6246" t="s">
        <v>300</v>
      </c>
      <c r="D6246" s="230">
        <v>0</v>
      </c>
      <c r="E6246" t="s">
        <v>720</v>
      </c>
    </row>
    <row r="6247" spans="1:5" hidden="1" x14ac:dyDescent="0.3">
      <c r="A6247" t="s">
        <v>557</v>
      </c>
      <c r="B6247" t="s">
        <v>719</v>
      </c>
      <c r="C6247" t="s">
        <v>301</v>
      </c>
      <c r="D6247" s="230">
        <v>-745.1</v>
      </c>
      <c r="E6247" t="s">
        <v>720</v>
      </c>
    </row>
    <row r="6248" spans="1:5" hidden="1" x14ac:dyDescent="0.3">
      <c r="A6248" t="s">
        <v>557</v>
      </c>
      <c r="B6248" t="s">
        <v>719</v>
      </c>
      <c r="C6248" t="s">
        <v>302</v>
      </c>
      <c r="D6248" s="230">
        <v>0</v>
      </c>
      <c r="E6248" t="s">
        <v>720</v>
      </c>
    </row>
    <row r="6249" spans="1:5" hidden="1" x14ac:dyDescent="0.3">
      <c r="A6249" t="s">
        <v>557</v>
      </c>
      <c r="B6249" t="s">
        <v>719</v>
      </c>
      <c r="C6249" t="s">
        <v>303</v>
      </c>
      <c r="D6249" s="230">
        <v>0</v>
      </c>
      <c r="E6249" t="s">
        <v>720</v>
      </c>
    </row>
    <row r="6250" spans="1:5" hidden="1" x14ac:dyDescent="0.3">
      <c r="A6250" t="s">
        <v>557</v>
      </c>
      <c r="B6250" t="s">
        <v>719</v>
      </c>
      <c r="C6250" t="s">
        <v>304</v>
      </c>
      <c r="D6250" s="230">
        <v>-204.8</v>
      </c>
      <c r="E6250" t="s">
        <v>720</v>
      </c>
    </row>
    <row r="6251" spans="1:5" hidden="1" x14ac:dyDescent="0.3">
      <c r="A6251" t="s">
        <v>557</v>
      </c>
      <c r="B6251" t="s">
        <v>719</v>
      </c>
      <c r="C6251" t="s">
        <v>305</v>
      </c>
      <c r="D6251" s="230">
        <v>-1279.22</v>
      </c>
      <c r="E6251" t="s">
        <v>720</v>
      </c>
    </row>
    <row r="6252" spans="1:5" hidden="1" x14ac:dyDescent="0.3">
      <c r="A6252" t="s">
        <v>557</v>
      </c>
      <c r="B6252" t="s">
        <v>719</v>
      </c>
      <c r="C6252" t="s">
        <v>306</v>
      </c>
      <c r="D6252" s="230">
        <v>0</v>
      </c>
      <c r="E6252" t="s">
        <v>720</v>
      </c>
    </row>
    <row r="6253" spans="1:5" hidden="1" x14ac:dyDescent="0.3">
      <c r="A6253" t="s">
        <v>557</v>
      </c>
      <c r="B6253" t="s">
        <v>719</v>
      </c>
      <c r="C6253" t="s">
        <v>307</v>
      </c>
      <c r="D6253" s="230">
        <v>-3700</v>
      </c>
      <c r="E6253" t="s">
        <v>720</v>
      </c>
    </row>
    <row r="6254" spans="1:5" hidden="1" x14ac:dyDescent="0.3">
      <c r="A6254" t="s">
        <v>557</v>
      </c>
      <c r="B6254" t="s">
        <v>719</v>
      </c>
      <c r="C6254" t="s">
        <v>44</v>
      </c>
      <c r="D6254" s="230">
        <v>-0.03</v>
      </c>
      <c r="E6254" t="s">
        <v>720</v>
      </c>
    </row>
    <row r="6255" spans="1:5" hidden="1" x14ac:dyDescent="0.3">
      <c r="A6255" t="s">
        <v>557</v>
      </c>
      <c r="B6255" t="s">
        <v>719</v>
      </c>
      <c r="C6255" t="s">
        <v>308</v>
      </c>
      <c r="D6255" s="230">
        <v>-2272.5500000000002</v>
      </c>
      <c r="E6255" t="s">
        <v>720</v>
      </c>
    </row>
    <row r="6256" spans="1:5" hidden="1" x14ac:dyDescent="0.3">
      <c r="A6256" t="s">
        <v>557</v>
      </c>
      <c r="B6256" t="s">
        <v>719</v>
      </c>
      <c r="C6256" t="s">
        <v>309</v>
      </c>
      <c r="D6256" s="230">
        <v>-1412</v>
      </c>
      <c r="E6256" t="s">
        <v>720</v>
      </c>
    </row>
    <row r="6257" spans="1:5" hidden="1" x14ac:dyDescent="0.3">
      <c r="A6257" t="s">
        <v>557</v>
      </c>
      <c r="B6257" t="s">
        <v>719</v>
      </c>
      <c r="C6257" t="s">
        <v>310</v>
      </c>
      <c r="D6257" s="230">
        <v>0</v>
      </c>
      <c r="E6257" t="s">
        <v>720</v>
      </c>
    </row>
    <row r="6258" spans="1:5" hidden="1" x14ac:dyDescent="0.3">
      <c r="A6258" t="s">
        <v>557</v>
      </c>
      <c r="B6258" t="s">
        <v>719</v>
      </c>
      <c r="C6258" t="s">
        <v>311</v>
      </c>
      <c r="D6258" s="230">
        <v>-860.55</v>
      </c>
      <c r="E6258" t="s">
        <v>720</v>
      </c>
    </row>
    <row r="6259" spans="1:5" hidden="1" x14ac:dyDescent="0.3">
      <c r="A6259" t="s">
        <v>557</v>
      </c>
      <c r="B6259" t="s">
        <v>719</v>
      </c>
      <c r="C6259" t="s">
        <v>312</v>
      </c>
      <c r="D6259" s="230">
        <v>0</v>
      </c>
      <c r="E6259" t="s">
        <v>720</v>
      </c>
    </row>
    <row r="6260" spans="1:5" hidden="1" x14ac:dyDescent="0.3">
      <c r="A6260" t="s">
        <v>557</v>
      </c>
      <c r="B6260" t="s">
        <v>719</v>
      </c>
      <c r="C6260" t="s">
        <v>313</v>
      </c>
      <c r="D6260" s="230">
        <v>0</v>
      </c>
      <c r="E6260" t="s">
        <v>720</v>
      </c>
    </row>
    <row r="6261" spans="1:5" hidden="1" x14ac:dyDescent="0.3">
      <c r="A6261" t="s">
        <v>557</v>
      </c>
      <c r="B6261" t="s">
        <v>719</v>
      </c>
      <c r="C6261" t="s">
        <v>314</v>
      </c>
      <c r="D6261" s="230">
        <v>0</v>
      </c>
      <c r="E6261" t="s">
        <v>720</v>
      </c>
    </row>
    <row r="6262" spans="1:5" hidden="1" x14ac:dyDescent="0.3">
      <c r="A6262" t="s">
        <v>557</v>
      </c>
      <c r="B6262" t="s">
        <v>719</v>
      </c>
      <c r="C6262" t="s">
        <v>315</v>
      </c>
      <c r="D6262" s="230">
        <v>0</v>
      </c>
      <c r="E6262" t="s">
        <v>720</v>
      </c>
    </row>
    <row r="6263" spans="1:5" hidden="1" x14ac:dyDescent="0.3">
      <c r="A6263" t="s">
        <v>557</v>
      </c>
      <c r="B6263" t="s">
        <v>719</v>
      </c>
      <c r="C6263" t="s">
        <v>316</v>
      </c>
      <c r="D6263" s="230">
        <v>0</v>
      </c>
      <c r="E6263" t="s">
        <v>720</v>
      </c>
    </row>
    <row r="6264" spans="1:5" hidden="1" x14ac:dyDescent="0.3">
      <c r="A6264" t="s">
        <v>557</v>
      </c>
      <c r="B6264" t="s">
        <v>719</v>
      </c>
      <c r="C6264" t="s">
        <v>317</v>
      </c>
      <c r="D6264" s="230">
        <v>0</v>
      </c>
      <c r="E6264" t="s">
        <v>720</v>
      </c>
    </row>
    <row r="6265" spans="1:5" hidden="1" x14ac:dyDescent="0.3">
      <c r="A6265" t="s">
        <v>557</v>
      </c>
      <c r="B6265" t="s">
        <v>719</v>
      </c>
      <c r="C6265" t="s">
        <v>44</v>
      </c>
      <c r="D6265" s="230">
        <v>-0.01</v>
      </c>
      <c r="E6265" t="s">
        <v>720</v>
      </c>
    </row>
    <row r="6266" spans="1:5" hidden="1" x14ac:dyDescent="0.3">
      <c r="A6266" t="s">
        <v>557</v>
      </c>
      <c r="B6266" t="s">
        <v>719</v>
      </c>
      <c r="C6266" t="s">
        <v>318</v>
      </c>
      <c r="D6266" s="230">
        <v>-2177.88</v>
      </c>
      <c r="E6266" t="s">
        <v>720</v>
      </c>
    </row>
    <row r="6267" spans="1:5" hidden="1" x14ac:dyDescent="0.3">
      <c r="A6267" t="s">
        <v>557</v>
      </c>
      <c r="B6267" t="s">
        <v>719</v>
      </c>
      <c r="C6267" t="s">
        <v>319</v>
      </c>
      <c r="D6267" s="230">
        <v>-2177.88</v>
      </c>
      <c r="E6267" t="s">
        <v>720</v>
      </c>
    </row>
    <row r="6268" spans="1:5" hidden="1" x14ac:dyDescent="0.3">
      <c r="A6268" t="s">
        <v>557</v>
      </c>
      <c r="B6268" t="s">
        <v>719</v>
      </c>
      <c r="C6268" t="s">
        <v>320</v>
      </c>
      <c r="D6268" s="230">
        <v>0</v>
      </c>
      <c r="E6268" t="s">
        <v>720</v>
      </c>
    </row>
    <row r="6269" spans="1:5" hidden="1" x14ac:dyDescent="0.3">
      <c r="A6269" t="s">
        <v>557</v>
      </c>
      <c r="B6269" t="s">
        <v>719</v>
      </c>
      <c r="C6269" t="s">
        <v>321</v>
      </c>
      <c r="D6269" s="230">
        <v>0</v>
      </c>
      <c r="E6269" t="s">
        <v>720</v>
      </c>
    </row>
    <row r="6270" spans="1:5" hidden="1" x14ac:dyDescent="0.3">
      <c r="A6270" t="s">
        <v>557</v>
      </c>
      <c r="B6270" t="s">
        <v>719</v>
      </c>
      <c r="C6270" t="s">
        <v>322</v>
      </c>
      <c r="D6270" s="230">
        <v>0</v>
      </c>
      <c r="E6270" t="s">
        <v>720</v>
      </c>
    </row>
    <row r="6271" spans="1:5" hidden="1" x14ac:dyDescent="0.3">
      <c r="A6271" t="s">
        <v>557</v>
      </c>
      <c r="B6271" t="s">
        <v>719</v>
      </c>
      <c r="C6271" t="s">
        <v>44</v>
      </c>
      <c r="D6271" s="230">
        <v>-0.01</v>
      </c>
      <c r="E6271" t="s">
        <v>720</v>
      </c>
    </row>
    <row r="6272" spans="1:5" hidden="1" x14ac:dyDescent="0.3">
      <c r="A6272" t="s">
        <v>557</v>
      </c>
      <c r="B6272" t="s">
        <v>719</v>
      </c>
      <c r="C6272" t="s">
        <v>323</v>
      </c>
      <c r="D6272" s="230">
        <v>-20922.599999999999</v>
      </c>
      <c r="E6272" t="s">
        <v>720</v>
      </c>
    </row>
    <row r="6273" spans="1:5" hidden="1" x14ac:dyDescent="0.3">
      <c r="A6273" t="s">
        <v>557</v>
      </c>
      <c r="B6273" t="s">
        <v>719</v>
      </c>
      <c r="C6273" t="s">
        <v>324</v>
      </c>
      <c r="D6273" s="230">
        <v>0</v>
      </c>
      <c r="E6273" t="s">
        <v>720</v>
      </c>
    </row>
    <row r="6274" spans="1:5" hidden="1" x14ac:dyDescent="0.3">
      <c r="A6274" t="s">
        <v>557</v>
      </c>
      <c r="B6274" t="s">
        <v>719</v>
      </c>
      <c r="C6274" t="s">
        <v>325</v>
      </c>
      <c r="D6274" s="230">
        <v>0</v>
      </c>
      <c r="E6274" t="s">
        <v>720</v>
      </c>
    </row>
    <row r="6275" spans="1:5" hidden="1" x14ac:dyDescent="0.3">
      <c r="A6275" t="s">
        <v>557</v>
      </c>
      <c r="B6275" t="s">
        <v>719</v>
      </c>
      <c r="C6275" t="s">
        <v>326</v>
      </c>
      <c r="D6275" s="230">
        <v>-20922.599999999999</v>
      </c>
      <c r="E6275" t="s">
        <v>720</v>
      </c>
    </row>
    <row r="6276" spans="1:5" hidden="1" x14ac:dyDescent="0.3">
      <c r="A6276" t="s">
        <v>557</v>
      </c>
      <c r="B6276" t="s">
        <v>719</v>
      </c>
      <c r="C6276" t="s">
        <v>44</v>
      </c>
      <c r="D6276" s="230">
        <v>-0.05</v>
      </c>
      <c r="E6276" t="s">
        <v>720</v>
      </c>
    </row>
    <row r="6277" spans="1:5" hidden="1" x14ac:dyDescent="0.3">
      <c r="A6277" t="s">
        <v>557</v>
      </c>
      <c r="B6277" t="s">
        <v>719</v>
      </c>
      <c r="C6277" t="s">
        <v>328</v>
      </c>
      <c r="D6277" s="230">
        <v>-256910.32</v>
      </c>
      <c r="E6277" t="s">
        <v>720</v>
      </c>
    </row>
    <row r="6278" spans="1:5" hidden="1" x14ac:dyDescent="0.3">
      <c r="A6278" t="s">
        <v>557</v>
      </c>
      <c r="B6278" t="s">
        <v>719</v>
      </c>
      <c r="C6278" t="s">
        <v>44</v>
      </c>
      <c r="D6278" s="230">
        <v>-0.61</v>
      </c>
      <c r="E6278" t="s">
        <v>720</v>
      </c>
    </row>
    <row r="6279" spans="1:5" hidden="1" x14ac:dyDescent="0.3">
      <c r="A6279" t="s">
        <v>557</v>
      </c>
      <c r="B6279" t="s">
        <v>719</v>
      </c>
      <c r="C6279" t="s">
        <v>329</v>
      </c>
      <c r="D6279" s="230">
        <v>-24251.09</v>
      </c>
      <c r="E6279" t="s">
        <v>720</v>
      </c>
    </row>
    <row r="6280" spans="1:5" hidden="1" x14ac:dyDescent="0.3">
      <c r="A6280" t="s">
        <v>557</v>
      </c>
      <c r="B6280" t="s">
        <v>719</v>
      </c>
      <c r="C6280" t="s">
        <v>44</v>
      </c>
      <c r="D6280" s="230">
        <v>-0.06</v>
      </c>
      <c r="E6280" t="s">
        <v>720</v>
      </c>
    </row>
    <row r="6281" spans="1:5" hidden="1" x14ac:dyDescent="0.3">
      <c r="A6281" t="s">
        <v>557</v>
      </c>
      <c r="B6281" t="s">
        <v>719</v>
      </c>
      <c r="C6281" t="s">
        <v>330</v>
      </c>
      <c r="D6281" s="230">
        <v>0</v>
      </c>
      <c r="E6281" t="s">
        <v>720</v>
      </c>
    </row>
    <row r="6282" spans="1:5" hidden="1" x14ac:dyDescent="0.3">
      <c r="A6282" t="s">
        <v>557</v>
      </c>
      <c r="B6282" t="s">
        <v>719</v>
      </c>
      <c r="C6282" t="s">
        <v>332</v>
      </c>
      <c r="D6282" s="230">
        <v>-24251.09</v>
      </c>
      <c r="E6282" t="s">
        <v>720</v>
      </c>
    </row>
    <row r="6283" spans="1:5" hidden="1" x14ac:dyDescent="0.3">
      <c r="A6283" t="s">
        <v>557</v>
      </c>
      <c r="B6283" t="s">
        <v>719</v>
      </c>
      <c r="C6283" t="s">
        <v>333</v>
      </c>
      <c r="D6283" s="230">
        <v>7705.02</v>
      </c>
      <c r="E6283" t="s">
        <v>720</v>
      </c>
    </row>
    <row r="6284" spans="1:5" hidden="1" x14ac:dyDescent="0.3">
      <c r="A6284" t="s">
        <v>557</v>
      </c>
      <c r="B6284" t="s">
        <v>719</v>
      </c>
      <c r="C6284" t="s">
        <v>334</v>
      </c>
      <c r="D6284" s="230">
        <v>0</v>
      </c>
      <c r="E6284" t="s">
        <v>720</v>
      </c>
    </row>
    <row r="6285" spans="1:5" hidden="1" x14ac:dyDescent="0.3">
      <c r="A6285" t="s">
        <v>557</v>
      </c>
      <c r="B6285" t="s">
        <v>719</v>
      </c>
      <c r="C6285" t="s">
        <v>336</v>
      </c>
      <c r="D6285" s="230">
        <v>0</v>
      </c>
      <c r="E6285" t="s">
        <v>720</v>
      </c>
    </row>
    <row r="6286" spans="1:5" hidden="1" x14ac:dyDescent="0.3">
      <c r="A6286" t="s">
        <v>557</v>
      </c>
      <c r="B6286" t="s">
        <v>719</v>
      </c>
      <c r="C6286" t="s">
        <v>338</v>
      </c>
      <c r="D6286" s="230">
        <v>-16546.07</v>
      </c>
      <c r="E6286" t="s">
        <v>720</v>
      </c>
    </row>
    <row r="6287" spans="1:5" hidden="1" x14ac:dyDescent="0.3">
      <c r="A6287" t="s">
        <v>557</v>
      </c>
      <c r="B6287" t="s">
        <v>719</v>
      </c>
      <c r="C6287" t="s">
        <v>339</v>
      </c>
      <c r="D6287" s="230">
        <v>-20085.689999999999</v>
      </c>
      <c r="E6287" t="s">
        <v>720</v>
      </c>
    </row>
    <row r="6288" spans="1:5" hidden="1" x14ac:dyDescent="0.3">
      <c r="A6288" t="s">
        <v>557</v>
      </c>
      <c r="B6288" t="s">
        <v>719</v>
      </c>
      <c r="C6288" t="s">
        <v>342</v>
      </c>
      <c r="D6288" s="230">
        <v>-20085.689999999999</v>
      </c>
      <c r="E6288" t="s">
        <v>720</v>
      </c>
    </row>
    <row r="6289" spans="1:5" hidden="1" x14ac:dyDescent="0.3">
      <c r="A6289" t="s">
        <v>557</v>
      </c>
      <c r="B6289" t="s">
        <v>719</v>
      </c>
      <c r="C6289" t="s">
        <v>344</v>
      </c>
      <c r="D6289" s="230">
        <v>0</v>
      </c>
      <c r="E6289" t="s">
        <v>720</v>
      </c>
    </row>
    <row r="6290" spans="1:5" hidden="1" x14ac:dyDescent="0.3">
      <c r="A6290" t="s">
        <v>557</v>
      </c>
      <c r="B6290" t="s">
        <v>719</v>
      </c>
      <c r="C6290" t="s">
        <v>345</v>
      </c>
      <c r="D6290" s="230">
        <v>0</v>
      </c>
      <c r="E6290" t="s">
        <v>720</v>
      </c>
    </row>
    <row r="6291" spans="1:5" hidden="1" x14ac:dyDescent="0.3">
      <c r="A6291" t="s">
        <v>557</v>
      </c>
      <c r="B6291" t="s">
        <v>719</v>
      </c>
      <c r="C6291" t="s">
        <v>346</v>
      </c>
      <c r="D6291" s="230">
        <v>0</v>
      </c>
      <c r="E6291" t="s">
        <v>720</v>
      </c>
    </row>
    <row r="6292" spans="1:5" hidden="1" x14ac:dyDescent="0.3">
      <c r="A6292" t="s">
        <v>557</v>
      </c>
      <c r="B6292" t="s">
        <v>719</v>
      </c>
      <c r="C6292" t="s">
        <v>347</v>
      </c>
      <c r="D6292" s="230">
        <v>-36631.769999999997</v>
      </c>
      <c r="E6292" t="s">
        <v>720</v>
      </c>
    </row>
    <row r="6293" spans="1:5" hidden="1" x14ac:dyDescent="0.3">
      <c r="A6293" t="s">
        <v>557</v>
      </c>
      <c r="B6293" t="s">
        <v>719</v>
      </c>
      <c r="C6293" t="s">
        <v>44</v>
      </c>
      <c r="D6293" s="230">
        <v>-0.09</v>
      </c>
      <c r="E6293" t="s">
        <v>720</v>
      </c>
    </row>
    <row r="6294" spans="1:5" hidden="1" x14ac:dyDescent="0.3">
      <c r="A6294" t="s">
        <v>557</v>
      </c>
      <c r="B6294" t="s">
        <v>719</v>
      </c>
      <c r="C6294" t="s">
        <v>348</v>
      </c>
      <c r="D6294" s="230">
        <v>-1750</v>
      </c>
      <c r="E6294" t="s">
        <v>720</v>
      </c>
    </row>
    <row r="6295" spans="1:5" hidden="1" x14ac:dyDescent="0.3">
      <c r="A6295" t="s">
        <v>557</v>
      </c>
      <c r="B6295" t="s">
        <v>719</v>
      </c>
      <c r="C6295" t="s">
        <v>707</v>
      </c>
      <c r="D6295" s="230">
        <v>-1600</v>
      </c>
      <c r="E6295" t="s">
        <v>720</v>
      </c>
    </row>
    <row r="6296" spans="1:5" hidden="1" x14ac:dyDescent="0.3">
      <c r="A6296" t="s">
        <v>557</v>
      </c>
      <c r="B6296" t="s">
        <v>719</v>
      </c>
      <c r="C6296" t="s">
        <v>350</v>
      </c>
      <c r="D6296" s="230">
        <v>-150</v>
      </c>
      <c r="E6296" t="s">
        <v>720</v>
      </c>
    </row>
    <row r="6297" spans="1:5" hidden="1" x14ac:dyDescent="0.3">
      <c r="A6297" t="s">
        <v>557</v>
      </c>
      <c r="B6297" t="s">
        <v>719</v>
      </c>
      <c r="C6297" t="s">
        <v>351</v>
      </c>
      <c r="D6297" s="230">
        <v>0</v>
      </c>
      <c r="E6297" t="s">
        <v>720</v>
      </c>
    </row>
    <row r="6298" spans="1:5" hidden="1" x14ac:dyDescent="0.3">
      <c r="A6298" t="s">
        <v>557</v>
      </c>
      <c r="B6298" t="s">
        <v>719</v>
      </c>
      <c r="C6298" t="s">
        <v>352</v>
      </c>
      <c r="D6298" s="230">
        <v>0</v>
      </c>
      <c r="E6298" t="s">
        <v>720</v>
      </c>
    </row>
    <row r="6299" spans="1:5" hidden="1" x14ac:dyDescent="0.3">
      <c r="A6299" t="s">
        <v>557</v>
      </c>
      <c r="B6299" t="s">
        <v>719</v>
      </c>
      <c r="C6299" t="s">
        <v>353</v>
      </c>
      <c r="D6299" s="230">
        <v>0</v>
      </c>
      <c r="E6299" t="s">
        <v>720</v>
      </c>
    </row>
    <row r="6300" spans="1:5" hidden="1" x14ac:dyDescent="0.3">
      <c r="A6300" t="s">
        <v>557</v>
      </c>
      <c r="B6300" t="s">
        <v>719</v>
      </c>
      <c r="C6300" t="s">
        <v>354</v>
      </c>
      <c r="D6300" s="230">
        <v>0</v>
      </c>
      <c r="E6300" t="s">
        <v>720</v>
      </c>
    </row>
    <row r="6301" spans="1:5" hidden="1" x14ac:dyDescent="0.3">
      <c r="A6301" t="s">
        <v>557</v>
      </c>
      <c r="B6301" t="s">
        <v>719</v>
      </c>
      <c r="C6301" t="s">
        <v>355</v>
      </c>
      <c r="D6301" s="230">
        <v>0</v>
      </c>
      <c r="E6301" t="s">
        <v>720</v>
      </c>
    </row>
    <row r="6302" spans="1:5" hidden="1" x14ac:dyDescent="0.3">
      <c r="A6302" t="s">
        <v>557</v>
      </c>
      <c r="B6302" t="s">
        <v>719</v>
      </c>
      <c r="C6302" t="s">
        <v>356</v>
      </c>
      <c r="D6302" s="230">
        <v>0</v>
      </c>
      <c r="E6302" t="s">
        <v>720</v>
      </c>
    </row>
    <row r="6303" spans="1:5" hidden="1" x14ac:dyDescent="0.3">
      <c r="A6303" t="s">
        <v>557</v>
      </c>
      <c r="B6303" t="s">
        <v>719</v>
      </c>
      <c r="C6303" t="s">
        <v>357</v>
      </c>
      <c r="D6303" s="230">
        <v>0</v>
      </c>
      <c r="E6303" t="s">
        <v>720</v>
      </c>
    </row>
    <row r="6304" spans="1:5" hidden="1" x14ac:dyDescent="0.3">
      <c r="A6304" t="s">
        <v>557</v>
      </c>
      <c r="B6304" t="s">
        <v>719</v>
      </c>
      <c r="C6304" t="s">
        <v>358</v>
      </c>
      <c r="D6304" s="230">
        <v>0</v>
      </c>
      <c r="E6304" t="s">
        <v>720</v>
      </c>
    </row>
    <row r="6305" spans="1:5" hidden="1" x14ac:dyDescent="0.3">
      <c r="A6305" t="s">
        <v>557</v>
      </c>
      <c r="B6305" t="s">
        <v>719</v>
      </c>
      <c r="C6305" t="s">
        <v>359</v>
      </c>
      <c r="D6305" s="230">
        <v>0</v>
      </c>
      <c r="E6305" t="s">
        <v>720</v>
      </c>
    </row>
    <row r="6306" spans="1:5" hidden="1" x14ac:dyDescent="0.3">
      <c r="A6306" t="s">
        <v>557</v>
      </c>
      <c r="B6306" t="s">
        <v>719</v>
      </c>
      <c r="C6306" t="s">
        <v>360</v>
      </c>
      <c r="D6306" s="230">
        <v>0</v>
      </c>
      <c r="E6306" t="s">
        <v>720</v>
      </c>
    </row>
    <row r="6307" spans="1:5" hidden="1" x14ac:dyDescent="0.3">
      <c r="A6307" t="s">
        <v>557</v>
      </c>
      <c r="B6307" t="s">
        <v>719</v>
      </c>
      <c r="C6307" t="s">
        <v>361</v>
      </c>
      <c r="D6307" s="230">
        <v>0</v>
      </c>
      <c r="E6307" t="s">
        <v>720</v>
      </c>
    </row>
    <row r="6308" spans="1:5" hidden="1" x14ac:dyDescent="0.3">
      <c r="A6308" t="s">
        <v>557</v>
      </c>
      <c r="B6308" t="s">
        <v>719</v>
      </c>
      <c r="C6308" t="s">
        <v>362</v>
      </c>
      <c r="D6308" s="230">
        <v>0</v>
      </c>
      <c r="E6308" t="s">
        <v>720</v>
      </c>
    </row>
    <row r="6309" spans="1:5" hidden="1" x14ac:dyDescent="0.3">
      <c r="A6309" t="s">
        <v>557</v>
      </c>
      <c r="B6309" t="s">
        <v>719</v>
      </c>
      <c r="C6309" t="s">
        <v>363</v>
      </c>
      <c r="D6309" s="230">
        <v>0</v>
      </c>
      <c r="E6309" t="s">
        <v>720</v>
      </c>
    </row>
    <row r="6310" spans="1:5" hidden="1" x14ac:dyDescent="0.3">
      <c r="A6310" t="s">
        <v>557</v>
      </c>
      <c r="B6310" t="s">
        <v>719</v>
      </c>
      <c r="C6310" t="s">
        <v>364</v>
      </c>
      <c r="D6310" s="230">
        <v>0</v>
      </c>
      <c r="E6310" t="s">
        <v>720</v>
      </c>
    </row>
    <row r="6311" spans="1:5" hidden="1" x14ac:dyDescent="0.3">
      <c r="A6311" t="s">
        <v>557</v>
      </c>
      <c r="B6311" t="s">
        <v>719</v>
      </c>
      <c r="C6311" t="s">
        <v>365</v>
      </c>
      <c r="D6311" s="230">
        <v>0</v>
      </c>
      <c r="E6311" t="s">
        <v>720</v>
      </c>
    </row>
    <row r="6312" spans="1:5" hidden="1" x14ac:dyDescent="0.3">
      <c r="A6312" t="s">
        <v>557</v>
      </c>
      <c r="B6312" t="s">
        <v>719</v>
      </c>
      <c r="C6312" t="s">
        <v>366</v>
      </c>
      <c r="D6312" s="230">
        <v>0</v>
      </c>
      <c r="E6312" t="s">
        <v>720</v>
      </c>
    </row>
    <row r="6313" spans="1:5" hidden="1" x14ac:dyDescent="0.3">
      <c r="A6313" t="s">
        <v>557</v>
      </c>
      <c r="B6313" t="s">
        <v>719</v>
      </c>
      <c r="C6313" t="s">
        <v>367</v>
      </c>
      <c r="D6313" s="230">
        <v>0</v>
      </c>
      <c r="E6313" t="s">
        <v>720</v>
      </c>
    </row>
    <row r="6314" spans="1:5" hidden="1" x14ac:dyDescent="0.3">
      <c r="A6314" t="s">
        <v>557</v>
      </c>
      <c r="B6314" t="s">
        <v>719</v>
      </c>
      <c r="C6314" t="s">
        <v>368</v>
      </c>
      <c r="D6314" s="230">
        <v>0</v>
      </c>
      <c r="E6314" t="s">
        <v>720</v>
      </c>
    </row>
    <row r="6315" spans="1:5" hidden="1" x14ac:dyDescent="0.3">
      <c r="A6315" t="s">
        <v>557</v>
      </c>
      <c r="B6315" t="s">
        <v>719</v>
      </c>
      <c r="C6315" t="s">
        <v>369</v>
      </c>
      <c r="D6315" s="230">
        <v>0</v>
      </c>
      <c r="E6315" t="s">
        <v>720</v>
      </c>
    </row>
    <row r="6316" spans="1:5" hidden="1" x14ac:dyDescent="0.3">
      <c r="A6316" t="s">
        <v>557</v>
      </c>
      <c r="B6316" t="s">
        <v>719</v>
      </c>
      <c r="C6316" t="s">
        <v>370</v>
      </c>
      <c r="D6316" s="230">
        <v>0</v>
      </c>
      <c r="E6316" t="s">
        <v>720</v>
      </c>
    </row>
    <row r="6317" spans="1:5" hidden="1" x14ac:dyDescent="0.3">
      <c r="A6317" t="s">
        <v>557</v>
      </c>
      <c r="B6317" t="s">
        <v>719</v>
      </c>
      <c r="C6317" t="s">
        <v>371</v>
      </c>
      <c r="D6317" s="230">
        <v>0</v>
      </c>
      <c r="E6317" t="s">
        <v>720</v>
      </c>
    </row>
    <row r="6318" spans="1:5" hidden="1" x14ac:dyDescent="0.3">
      <c r="A6318" t="s">
        <v>557</v>
      </c>
      <c r="B6318" t="s">
        <v>719</v>
      </c>
      <c r="C6318" t="s">
        <v>372</v>
      </c>
      <c r="D6318" s="230">
        <v>0</v>
      </c>
      <c r="E6318" t="s">
        <v>720</v>
      </c>
    </row>
    <row r="6319" spans="1:5" hidden="1" x14ac:dyDescent="0.3">
      <c r="A6319" t="s">
        <v>557</v>
      </c>
      <c r="B6319" t="s">
        <v>719</v>
      </c>
      <c r="C6319" t="s">
        <v>373</v>
      </c>
      <c r="D6319" s="230">
        <v>0</v>
      </c>
      <c r="E6319" t="s">
        <v>720</v>
      </c>
    </row>
    <row r="6320" spans="1:5" hidden="1" x14ac:dyDescent="0.3">
      <c r="A6320" t="s">
        <v>557</v>
      </c>
      <c r="B6320" t="s">
        <v>719</v>
      </c>
      <c r="C6320" t="s">
        <v>374</v>
      </c>
      <c r="D6320" s="230">
        <v>0</v>
      </c>
      <c r="E6320" t="s">
        <v>720</v>
      </c>
    </row>
    <row r="6321" spans="1:5" hidden="1" x14ac:dyDescent="0.3">
      <c r="A6321" t="s">
        <v>557</v>
      </c>
      <c r="B6321" t="s">
        <v>719</v>
      </c>
      <c r="C6321" t="s">
        <v>708</v>
      </c>
      <c r="D6321" s="230">
        <v>0</v>
      </c>
      <c r="E6321" t="s">
        <v>720</v>
      </c>
    </row>
    <row r="6322" spans="1:5" hidden="1" x14ac:dyDescent="0.3">
      <c r="A6322" t="s">
        <v>557</v>
      </c>
      <c r="B6322" t="s">
        <v>721</v>
      </c>
      <c r="C6322" t="s">
        <v>11</v>
      </c>
      <c r="D6322" s="230">
        <v>446876.9</v>
      </c>
      <c r="E6322" t="s">
        <v>722</v>
      </c>
    </row>
    <row r="6323" spans="1:5" hidden="1" x14ac:dyDescent="0.3">
      <c r="A6323" t="s">
        <v>557</v>
      </c>
      <c r="B6323" t="s">
        <v>721</v>
      </c>
      <c r="C6323" t="s">
        <v>13</v>
      </c>
      <c r="D6323" s="230">
        <v>237471.8</v>
      </c>
      <c r="E6323" t="s">
        <v>722</v>
      </c>
    </row>
    <row r="6324" spans="1:5" hidden="1" x14ac:dyDescent="0.3">
      <c r="A6324" t="s">
        <v>557</v>
      </c>
      <c r="B6324" t="s">
        <v>721</v>
      </c>
      <c r="C6324" t="s">
        <v>16</v>
      </c>
      <c r="D6324" s="230">
        <v>120348.2</v>
      </c>
      <c r="E6324" t="s">
        <v>722</v>
      </c>
    </row>
    <row r="6325" spans="1:5" hidden="1" x14ac:dyDescent="0.3">
      <c r="A6325" t="s">
        <v>557</v>
      </c>
      <c r="B6325" t="s">
        <v>721</v>
      </c>
      <c r="C6325" t="s">
        <v>17</v>
      </c>
      <c r="D6325" s="230">
        <v>9695</v>
      </c>
      <c r="E6325" t="s">
        <v>722</v>
      </c>
    </row>
    <row r="6326" spans="1:5" hidden="1" x14ac:dyDescent="0.3">
      <c r="A6326" t="s">
        <v>557</v>
      </c>
      <c r="B6326" t="s">
        <v>721</v>
      </c>
      <c r="C6326" t="s">
        <v>18</v>
      </c>
      <c r="D6326" s="230">
        <v>0</v>
      </c>
      <c r="E6326" t="s">
        <v>722</v>
      </c>
    </row>
    <row r="6327" spans="1:5" hidden="1" x14ac:dyDescent="0.3">
      <c r="A6327" t="s">
        <v>557</v>
      </c>
      <c r="B6327" t="s">
        <v>721</v>
      </c>
      <c r="C6327" t="s">
        <v>20</v>
      </c>
      <c r="D6327" s="230">
        <v>46011.58</v>
      </c>
      <c r="E6327" t="s">
        <v>722</v>
      </c>
    </row>
    <row r="6328" spans="1:5" hidden="1" x14ac:dyDescent="0.3">
      <c r="A6328" t="s">
        <v>557</v>
      </c>
      <c r="B6328" t="s">
        <v>721</v>
      </c>
      <c r="C6328" t="s">
        <v>23</v>
      </c>
      <c r="D6328" s="230">
        <v>17000</v>
      </c>
      <c r="E6328" t="s">
        <v>722</v>
      </c>
    </row>
    <row r="6329" spans="1:5" hidden="1" x14ac:dyDescent="0.3">
      <c r="A6329" t="s">
        <v>557</v>
      </c>
      <c r="B6329" t="s">
        <v>721</v>
      </c>
      <c r="C6329" t="s">
        <v>25</v>
      </c>
      <c r="D6329" s="230">
        <v>0</v>
      </c>
      <c r="E6329" t="s">
        <v>722</v>
      </c>
    </row>
    <row r="6330" spans="1:5" hidden="1" x14ac:dyDescent="0.3">
      <c r="A6330" t="s">
        <v>557</v>
      </c>
      <c r="B6330" t="s">
        <v>721</v>
      </c>
      <c r="C6330" t="s">
        <v>26</v>
      </c>
      <c r="D6330" s="230">
        <v>12620</v>
      </c>
      <c r="E6330" t="s">
        <v>722</v>
      </c>
    </row>
    <row r="6331" spans="1:5" hidden="1" x14ac:dyDescent="0.3">
      <c r="A6331" t="s">
        <v>557</v>
      </c>
      <c r="B6331" t="s">
        <v>721</v>
      </c>
      <c r="C6331" t="s">
        <v>27</v>
      </c>
      <c r="D6331" s="230">
        <v>0</v>
      </c>
      <c r="E6331" t="s">
        <v>722</v>
      </c>
    </row>
    <row r="6332" spans="1:5" hidden="1" x14ac:dyDescent="0.3">
      <c r="A6332" t="s">
        <v>557</v>
      </c>
      <c r="B6332" t="s">
        <v>721</v>
      </c>
      <c r="C6332" t="s">
        <v>29</v>
      </c>
      <c r="D6332" s="230">
        <v>3730.32</v>
      </c>
      <c r="E6332" t="s">
        <v>722</v>
      </c>
    </row>
    <row r="6333" spans="1:5" hidden="1" x14ac:dyDescent="0.3">
      <c r="A6333" t="s">
        <v>557</v>
      </c>
      <c r="B6333" t="s">
        <v>721</v>
      </c>
      <c r="C6333" t="s">
        <v>31</v>
      </c>
      <c r="D6333" s="230">
        <v>0</v>
      </c>
      <c r="E6333" t="s">
        <v>722</v>
      </c>
    </row>
    <row r="6334" spans="1:5" hidden="1" x14ac:dyDescent="0.3">
      <c r="A6334" t="s">
        <v>557</v>
      </c>
      <c r="B6334" t="s">
        <v>721</v>
      </c>
      <c r="C6334" t="s">
        <v>34</v>
      </c>
      <c r="D6334" s="230">
        <v>-9900.83</v>
      </c>
      <c r="E6334" t="s">
        <v>722</v>
      </c>
    </row>
    <row r="6335" spans="1:5" hidden="1" x14ac:dyDescent="0.3">
      <c r="A6335" t="s">
        <v>557</v>
      </c>
      <c r="B6335" t="s">
        <v>721</v>
      </c>
      <c r="C6335" t="s">
        <v>38</v>
      </c>
      <c r="D6335" s="230">
        <v>-9900.83</v>
      </c>
      <c r="E6335" t="s">
        <v>722</v>
      </c>
    </row>
    <row r="6336" spans="1:5" hidden="1" x14ac:dyDescent="0.3">
      <c r="A6336" t="s">
        <v>557</v>
      </c>
      <c r="B6336" t="s">
        <v>721</v>
      </c>
      <c r="C6336" t="s">
        <v>40</v>
      </c>
      <c r="D6336" s="230">
        <v>0</v>
      </c>
      <c r="E6336" t="s">
        <v>722</v>
      </c>
    </row>
    <row r="6337" spans="1:5" hidden="1" x14ac:dyDescent="0.3">
      <c r="A6337" t="s">
        <v>557</v>
      </c>
      <c r="B6337" t="s">
        <v>721</v>
      </c>
      <c r="C6337" t="s">
        <v>42</v>
      </c>
      <c r="D6337" s="230">
        <v>0</v>
      </c>
      <c r="E6337" t="s">
        <v>722</v>
      </c>
    </row>
    <row r="6338" spans="1:5" hidden="1" x14ac:dyDescent="0.3">
      <c r="A6338" t="s">
        <v>557</v>
      </c>
      <c r="B6338" t="s">
        <v>721</v>
      </c>
      <c r="C6338" t="s">
        <v>44</v>
      </c>
      <c r="D6338" s="230">
        <v>-0.02</v>
      </c>
      <c r="E6338" t="s">
        <v>722</v>
      </c>
    </row>
    <row r="6339" spans="1:5" hidden="1" x14ac:dyDescent="0.3">
      <c r="A6339" t="s">
        <v>557</v>
      </c>
      <c r="B6339" t="s">
        <v>721</v>
      </c>
      <c r="C6339" t="s">
        <v>45</v>
      </c>
      <c r="D6339" s="230">
        <v>-27571.82</v>
      </c>
      <c r="E6339" t="s">
        <v>722</v>
      </c>
    </row>
    <row r="6340" spans="1:5" hidden="1" x14ac:dyDescent="0.3">
      <c r="A6340" t="s">
        <v>557</v>
      </c>
      <c r="B6340" t="s">
        <v>721</v>
      </c>
      <c r="C6340" t="s">
        <v>46</v>
      </c>
      <c r="D6340" s="230">
        <v>-14270.2</v>
      </c>
      <c r="E6340" t="s">
        <v>722</v>
      </c>
    </row>
    <row r="6341" spans="1:5" hidden="1" x14ac:dyDescent="0.3">
      <c r="A6341" t="s">
        <v>557</v>
      </c>
      <c r="B6341" t="s">
        <v>721</v>
      </c>
      <c r="C6341" t="s">
        <v>48</v>
      </c>
      <c r="D6341" s="230">
        <v>-11966.86</v>
      </c>
      <c r="E6341" t="s">
        <v>722</v>
      </c>
    </row>
    <row r="6342" spans="1:5" hidden="1" x14ac:dyDescent="0.3">
      <c r="A6342" t="s">
        <v>557</v>
      </c>
      <c r="B6342" t="s">
        <v>721</v>
      </c>
      <c r="C6342" t="s">
        <v>49</v>
      </c>
      <c r="D6342" s="230">
        <v>-1334.75</v>
      </c>
      <c r="E6342" t="s">
        <v>722</v>
      </c>
    </row>
    <row r="6343" spans="1:5" hidden="1" x14ac:dyDescent="0.3">
      <c r="A6343" t="s">
        <v>557</v>
      </c>
      <c r="B6343" t="s">
        <v>721</v>
      </c>
      <c r="C6343" t="s">
        <v>50</v>
      </c>
      <c r="D6343" s="230">
        <v>409404.25</v>
      </c>
      <c r="E6343" t="s">
        <v>722</v>
      </c>
    </row>
    <row r="6344" spans="1:5" hidden="1" x14ac:dyDescent="0.3">
      <c r="A6344" t="s">
        <v>557</v>
      </c>
      <c r="B6344" t="s">
        <v>721</v>
      </c>
      <c r="C6344" t="s">
        <v>51</v>
      </c>
      <c r="D6344" s="230">
        <v>-118232.16</v>
      </c>
      <c r="E6344" t="s">
        <v>722</v>
      </c>
    </row>
    <row r="6345" spans="1:5" hidden="1" x14ac:dyDescent="0.3">
      <c r="A6345" t="s">
        <v>557</v>
      </c>
      <c r="B6345" t="s">
        <v>721</v>
      </c>
      <c r="C6345" t="s">
        <v>52</v>
      </c>
      <c r="D6345" s="230">
        <v>-86387.78</v>
      </c>
      <c r="E6345" t="s">
        <v>722</v>
      </c>
    </row>
    <row r="6346" spans="1:5" hidden="1" x14ac:dyDescent="0.3">
      <c r="A6346" t="s">
        <v>557</v>
      </c>
      <c r="B6346" t="s">
        <v>721</v>
      </c>
      <c r="C6346" t="s">
        <v>53</v>
      </c>
      <c r="D6346" s="230">
        <v>-31844.38</v>
      </c>
      <c r="E6346" t="s">
        <v>722</v>
      </c>
    </row>
    <row r="6347" spans="1:5" hidden="1" x14ac:dyDescent="0.3">
      <c r="A6347" t="s">
        <v>557</v>
      </c>
      <c r="B6347" t="s">
        <v>721</v>
      </c>
      <c r="C6347" t="s">
        <v>54</v>
      </c>
      <c r="D6347" s="230">
        <v>0</v>
      </c>
      <c r="E6347" t="s">
        <v>722</v>
      </c>
    </row>
    <row r="6348" spans="1:5" hidden="1" x14ac:dyDescent="0.3">
      <c r="A6348" t="s">
        <v>557</v>
      </c>
      <c r="B6348" t="s">
        <v>721</v>
      </c>
      <c r="C6348" t="s">
        <v>23</v>
      </c>
      <c r="D6348" s="230">
        <v>0</v>
      </c>
      <c r="E6348" t="s">
        <v>722</v>
      </c>
    </row>
    <row r="6349" spans="1:5" hidden="1" x14ac:dyDescent="0.3">
      <c r="A6349" t="s">
        <v>557</v>
      </c>
      <c r="B6349" t="s">
        <v>721</v>
      </c>
      <c r="C6349" t="s">
        <v>44</v>
      </c>
      <c r="D6349" s="230">
        <v>-0.31</v>
      </c>
      <c r="E6349" t="s">
        <v>722</v>
      </c>
    </row>
    <row r="6350" spans="1:5" hidden="1" x14ac:dyDescent="0.3">
      <c r="A6350" t="s">
        <v>557</v>
      </c>
      <c r="B6350" t="s">
        <v>721</v>
      </c>
      <c r="C6350" t="s">
        <v>55</v>
      </c>
      <c r="D6350" s="230">
        <v>-0.28999999999999998</v>
      </c>
      <c r="E6350" t="s">
        <v>722</v>
      </c>
    </row>
    <row r="6351" spans="1:5" hidden="1" x14ac:dyDescent="0.3">
      <c r="A6351" t="s">
        <v>557</v>
      </c>
      <c r="B6351" t="s">
        <v>721</v>
      </c>
      <c r="C6351" t="s">
        <v>56</v>
      </c>
      <c r="D6351" s="230">
        <v>-8603.08</v>
      </c>
      <c r="E6351" t="s">
        <v>722</v>
      </c>
    </row>
    <row r="6352" spans="1:5" hidden="1" x14ac:dyDescent="0.3">
      <c r="A6352" t="s">
        <v>557</v>
      </c>
      <c r="B6352" t="s">
        <v>721</v>
      </c>
      <c r="C6352" t="s">
        <v>57</v>
      </c>
      <c r="D6352" s="230">
        <v>-7520.08</v>
      </c>
      <c r="E6352" t="s">
        <v>722</v>
      </c>
    </row>
    <row r="6353" spans="1:5" hidden="1" x14ac:dyDescent="0.3">
      <c r="A6353" t="s">
        <v>557</v>
      </c>
      <c r="B6353" t="s">
        <v>721</v>
      </c>
      <c r="C6353" t="s">
        <v>58</v>
      </c>
      <c r="D6353" s="230">
        <v>-7350</v>
      </c>
      <c r="E6353" t="s">
        <v>722</v>
      </c>
    </row>
    <row r="6354" spans="1:5" hidden="1" x14ac:dyDescent="0.3">
      <c r="A6354" t="s">
        <v>557</v>
      </c>
      <c r="B6354" t="s">
        <v>721</v>
      </c>
      <c r="C6354" t="s">
        <v>59</v>
      </c>
      <c r="D6354" s="230">
        <v>-170.08</v>
      </c>
      <c r="E6354" t="s">
        <v>722</v>
      </c>
    </row>
    <row r="6355" spans="1:5" hidden="1" x14ac:dyDescent="0.3">
      <c r="A6355" t="s">
        <v>557</v>
      </c>
      <c r="B6355" t="s">
        <v>721</v>
      </c>
      <c r="C6355" t="s">
        <v>61</v>
      </c>
      <c r="D6355" s="230">
        <v>0</v>
      </c>
      <c r="E6355" t="s">
        <v>722</v>
      </c>
    </row>
    <row r="6356" spans="1:5" hidden="1" x14ac:dyDescent="0.3">
      <c r="A6356" t="s">
        <v>557</v>
      </c>
      <c r="B6356" t="s">
        <v>721</v>
      </c>
      <c r="C6356" t="s">
        <v>62</v>
      </c>
      <c r="D6356" s="230">
        <v>0</v>
      </c>
      <c r="E6356" t="s">
        <v>722</v>
      </c>
    </row>
    <row r="6357" spans="1:5" hidden="1" x14ac:dyDescent="0.3">
      <c r="A6357" t="s">
        <v>557</v>
      </c>
      <c r="B6357" t="s">
        <v>721</v>
      </c>
      <c r="C6357" t="s">
        <v>64</v>
      </c>
      <c r="D6357" s="230">
        <v>0</v>
      </c>
      <c r="E6357" t="s">
        <v>722</v>
      </c>
    </row>
    <row r="6358" spans="1:5" hidden="1" x14ac:dyDescent="0.3">
      <c r="A6358" t="s">
        <v>557</v>
      </c>
      <c r="B6358" t="s">
        <v>721</v>
      </c>
      <c r="C6358" t="s">
        <v>65</v>
      </c>
      <c r="D6358" s="230">
        <v>-1083</v>
      </c>
      <c r="E6358" t="s">
        <v>722</v>
      </c>
    </row>
    <row r="6359" spans="1:5" hidden="1" x14ac:dyDescent="0.3">
      <c r="A6359" t="s">
        <v>557</v>
      </c>
      <c r="B6359" t="s">
        <v>721</v>
      </c>
      <c r="C6359" t="s">
        <v>66</v>
      </c>
      <c r="D6359" s="230">
        <v>-1083</v>
      </c>
      <c r="E6359" t="s">
        <v>722</v>
      </c>
    </row>
    <row r="6360" spans="1:5" hidden="1" x14ac:dyDescent="0.3">
      <c r="A6360" t="s">
        <v>557</v>
      </c>
      <c r="B6360" t="s">
        <v>721</v>
      </c>
      <c r="C6360" t="s">
        <v>68</v>
      </c>
      <c r="D6360" s="230">
        <v>0</v>
      </c>
      <c r="E6360" t="s">
        <v>722</v>
      </c>
    </row>
    <row r="6361" spans="1:5" hidden="1" x14ac:dyDescent="0.3">
      <c r="A6361" t="s">
        <v>557</v>
      </c>
      <c r="B6361" t="s">
        <v>721</v>
      </c>
      <c r="C6361" t="s">
        <v>69</v>
      </c>
      <c r="D6361" s="230">
        <v>0</v>
      </c>
      <c r="E6361" t="s">
        <v>722</v>
      </c>
    </row>
    <row r="6362" spans="1:5" hidden="1" x14ac:dyDescent="0.3">
      <c r="A6362" t="s">
        <v>557</v>
      </c>
      <c r="B6362" t="s">
        <v>721</v>
      </c>
      <c r="C6362" t="s">
        <v>70</v>
      </c>
      <c r="D6362" s="230">
        <v>-0.89</v>
      </c>
      <c r="E6362" t="s">
        <v>722</v>
      </c>
    </row>
    <row r="6363" spans="1:5" hidden="1" x14ac:dyDescent="0.3">
      <c r="A6363" t="s">
        <v>557</v>
      </c>
      <c r="B6363" t="s">
        <v>721</v>
      </c>
      <c r="C6363" t="s">
        <v>44</v>
      </c>
      <c r="D6363" s="230">
        <v>-0.02</v>
      </c>
      <c r="E6363" t="s">
        <v>722</v>
      </c>
    </row>
    <row r="6364" spans="1:5" hidden="1" x14ac:dyDescent="0.3">
      <c r="A6364" t="s">
        <v>557</v>
      </c>
      <c r="B6364" t="s">
        <v>721</v>
      </c>
      <c r="C6364" t="s">
        <v>71</v>
      </c>
      <c r="D6364" s="230">
        <v>0</v>
      </c>
      <c r="E6364" t="s">
        <v>722</v>
      </c>
    </row>
    <row r="6365" spans="1:5" hidden="1" x14ac:dyDescent="0.3">
      <c r="A6365" t="s">
        <v>557</v>
      </c>
      <c r="B6365" t="s">
        <v>721</v>
      </c>
      <c r="C6365" t="s">
        <v>72</v>
      </c>
      <c r="D6365" s="230">
        <v>0</v>
      </c>
      <c r="E6365" t="s">
        <v>722</v>
      </c>
    </row>
    <row r="6366" spans="1:5" hidden="1" x14ac:dyDescent="0.3">
      <c r="A6366" t="s">
        <v>557</v>
      </c>
      <c r="B6366" t="s">
        <v>721</v>
      </c>
      <c r="C6366" t="s">
        <v>73</v>
      </c>
      <c r="D6366" s="230">
        <v>0</v>
      </c>
      <c r="E6366" t="s">
        <v>722</v>
      </c>
    </row>
    <row r="6367" spans="1:5" hidden="1" x14ac:dyDescent="0.3">
      <c r="A6367" t="s">
        <v>557</v>
      </c>
      <c r="B6367" t="s">
        <v>721</v>
      </c>
      <c r="C6367" t="s">
        <v>75</v>
      </c>
      <c r="D6367" s="230">
        <v>0</v>
      </c>
      <c r="E6367" t="s">
        <v>722</v>
      </c>
    </row>
    <row r="6368" spans="1:5" hidden="1" x14ac:dyDescent="0.3">
      <c r="A6368" t="s">
        <v>557</v>
      </c>
      <c r="B6368" t="s">
        <v>721</v>
      </c>
      <c r="C6368" t="s">
        <v>77</v>
      </c>
      <c r="D6368" s="230">
        <v>0</v>
      </c>
      <c r="E6368" t="s">
        <v>722</v>
      </c>
    </row>
    <row r="6369" spans="1:5" hidden="1" x14ac:dyDescent="0.3">
      <c r="A6369" t="s">
        <v>557</v>
      </c>
      <c r="B6369" t="s">
        <v>721</v>
      </c>
      <c r="C6369" t="s">
        <v>78</v>
      </c>
      <c r="D6369" s="230">
        <v>0</v>
      </c>
      <c r="E6369" t="s">
        <v>722</v>
      </c>
    </row>
    <row r="6370" spans="1:5" hidden="1" x14ac:dyDescent="0.3">
      <c r="A6370" t="s">
        <v>557</v>
      </c>
      <c r="B6370" t="s">
        <v>721</v>
      </c>
      <c r="C6370" t="s">
        <v>80</v>
      </c>
      <c r="D6370" s="230">
        <v>0</v>
      </c>
      <c r="E6370" t="s">
        <v>722</v>
      </c>
    </row>
    <row r="6371" spans="1:5" hidden="1" x14ac:dyDescent="0.3">
      <c r="A6371" t="s">
        <v>557</v>
      </c>
      <c r="B6371" t="s">
        <v>721</v>
      </c>
      <c r="C6371" t="s">
        <v>82</v>
      </c>
      <c r="D6371" s="230">
        <v>0</v>
      </c>
      <c r="E6371" t="s">
        <v>722</v>
      </c>
    </row>
    <row r="6372" spans="1:5" hidden="1" x14ac:dyDescent="0.3">
      <c r="A6372" t="s">
        <v>557</v>
      </c>
      <c r="B6372" t="s">
        <v>721</v>
      </c>
      <c r="C6372" t="s">
        <v>84</v>
      </c>
      <c r="D6372" s="230">
        <v>0</v>
      </c>
      <c r="E6372" t="s">
        <v>722</v>
      </c>
    </row>
    <row r="6373" spans="1:5" hidden="1" x14ac:dyDescent="0.3">
      <c r="A6373" t="s">
        <v>557</v>
      </c>
      <c r="B6373" t="s">
        <v>721</v>
      </c>
      <c r="C6373" t="s">
        <v>85</v>
      </c>
      <c r="D6373" s="230">
        <v>0</v>
      </c>
      <c r="E6373" t="s">
        <v>722</v>
      </c>
    </row>
    <row r="6374" spans="1:5" hidden="1" x14ac:dyDescent="0.3">
      <c r="A6374" t="s">
        <v>557</v>
      </c>
      <c r="B6374" t="s">
        <v>721</v>
      </c>
      <c r="C6374" t="s">
        <v>86</v>
      </c>
      <c r="D6374" s="230">
        <v>0</v>
      </c>
      <c r="E6374" t="s">
        <v>722</v>
      </c>
    </row>
    <row r="6375" spans="1:5" hidden="1" x14ac:dyDescent="0.3">
      <c r="A6375" t="s">
        <v>557</v>
      </c>
      <c r="B6375" t="s">
        <v>721</v>
      </c>
      <c r="C6375" t="s">
        <v>87</v>
      </c>
      <c r="D6375" s="230">
        <v>0</v>
      </c>
      <c r="E6375" t="s">
        <v>722</v>
      </c>
    </row>
    <row r="6376" spans="1:5" hidden="1" x14ac:dyDescent="0.3">
      <c r="A6376" t="s">
        <v>557</v>
      </c>
      <c r="B6376" t="s">
        <v>721</v>
      </c>
      <c r="C6376" t="s">
        <v>88</v>
      </c>
      <c r="D6376" s="230">
        <v>0</v>
      </c>
      <c r="E6376" t="s">
        <v>722</v>
      </c>
    </row>
    <row r="6377" spans="1:5" hidden="1" x14ac:dyDescent="0.3">
      <c r="A6377" t="s">
        <v>557</v>
      </c>
      <c r="B6377" t="s">
        <v>721</v>
      </c>
      <c r="C6377" t="s">
        <v>89</v>
      </c>
      <c r="D6377" s="230">
        <v>0</v>
      </c>
      <c r="E6377" t="s">
        <v>722</v>
      </c>
    </row>
    <row r="6378" spans="1:5" hidden="1" x14ac:dyDescent="0.3">
      <c r="A6378" t="s">
        <v>557</v>
      </c>
      <c r="B6378" t="s">
        <v>721</v>
      </c>
      <c r="C6378" t="s">
        <v>90</v>
      </c>
      <c r="D6378" s="230">
        <v>0</v>
      </c>
      <c r="E6378" t="s">
        <v>722</v>
      </c>
    </row>
    <row r="6379" spans="1:5" hidden="1" x14ac:dyDescent="0.3">
      <c r="A6379" t="s">
        <v>557</v>
      </c>
      <c r="B6379" t="s">
        <v>721</v>
      </c>
      <c r="C6379" t="s">
        <v>91</v>
      </c>
      <c r="D6379" s="230">
        <v>0</v>
      </c>
      <c r="E6379" t="s">
        <v>722</v>
      </c>
    </row>
    <row r="6380" spans="1:5" hidden="1" x14ac:dyDescent="0.3">
      <c r="A6380" t="s">
        <v>557</v>
      </c>
      <c r="B6380" t="s">
        <v>721</v>
      </c>
      <c r="C6380" t="s">
        <v>93</v>
      </c>
      <c r="D6380" s="230">
        <v>0</v>
      </c>
      <c r="E6380" t="s">
        <v>722</v>
      </c>
    </row>
    <row r="6381" spans="1:5" hidden="1" x14ac:dyDescent="0.3">
      <c r="A6381" t="s">
        <v>557</v>
      </c>
      <c r="B6381" t="s">
        <v>721</v>
      </c>
      <c r="C6381" t="s">
        <v>95</v>
      </c>
      <c r="D6381" s="230">
        <v>0</v>
      </c>
      <c r="E6381" t="s">
        <v>722</v>
      </c>
    </row>
    <row r="6382" spans="1:5" hidden="1" x14ac:dyDescent="0.3">
      <c r="A6382" t="s">
        <v>557</v>
      </c>
      <c r="B6382" t="s">
        <v>721</v>
      </c>
      <c r="C6382" t="s">
        <v>96</v>
      </c>
      <c r="D6382" s="230">
        <v>0</v>
      </c>
      <c r="E6382" t="s">
        <v>722</v>
      </c>
    </row>
    <row r="6383" spans="1:5" hidden="1" x14ac:dyDescent="0.3">
      <c r="A6383" t="s">
        <v>557</v>
      </c>
      <c r="B6383" t="s">
        <v>721</v>
      </c>
      <c r="C6383" t="s">
        <v>98</v>
      </c>
      <c r="D6383" s="230">
        <v>0</v>
      </c>
      <c r="E6383" t="s">
        <v>722</v>
      </c>
    </row>
    <row r="6384" spans="1:5" hidden="1" x14ac:dyDescent="0.3">
      <c r="A6384" t="s">
        <v>557</v>
      </c>
      <c r="B6384" t="s">
        <v>721</v>
      </c>
      <c r="C6384" t="s">
        <v>100</v>
      </c>
      <c r="D6384" s="230">
        <v>0</v>
      </c>
      <c r="E6384" t="s">
        <v>722</v>
      </c>
    </row>
    <row r="6385" spans="1:5" hidden="1" x14ac:dyDescent="0.3">
      <c r="A6385" t="s">
        <v>557</v>
      </c>
      <c r="B6385" t="s">
        <v>721</v>
      </c>
      <c r="C6385" t="s">
        <v>101</v>
      </c>
      <c r="D6385" s="230">
        <v>0</v>
      </c>
      <c r="E6385" t="s">
        <v>722</v>
      </c>
    </row>
    <row r="6386" spans="1:5" hidden="1" x14ac:dyDescent="0.3">
      <c r="A6386" t="s">
        <v>557</v>
      </c>
      <c r="B6386" t="s">
        <v>721</v>
      </c>
      <c r="C6386" t="s">
        <v>102</v>
      </c>
      <c r="D6386" s="230">
        <v>0</v>
      </c>
      <c r="E6386" t="s">
        <v>722</v>
      </c>
    </row>
    <row r="6387" spans="1:5" hidden="1" x14ac:dyDescent="0.3">
      <c r="A6387" t="s">
        <v>557</v>
      </c>
      <c r="B6387" t="s">
        <v>721</v>
      </c>
      <c r="C6387" t="s">
        <v>103</v>
      </c>
      <c r="D6387" s="230">
        <v>0</v>
      </c>
      <c r="E6387" t="s">
        <v>722</v>
      </c>
    </row>
    <row r="6388" spans="1:5" hidden="1" x14ac:dyDescent="0.3">
      <c r="A6388" t="s">
        <v>557</v>
      </c>
      <c r="B6388" t="s">
        <v>721</v>
      </c>
      <c r="C6388" t="s">
        <v>104</v>
      </c>
      <c r="D6388" s="230">
        <v>0</v>
      </c>
      <c r="E6388" t="s">
        <v>722</v>
      </c>
    </row>
    <row r="6389" spans="1:5" hidden="1" x14ac:dyDescent="0.3">
      <c r="A6389" t="s">
        <v>557</v>
      </c>
      <c r="B6389" t="s">
        <v>721</v>
      </c>
      <c r="C6389" t="s">
        <v>105</v>
      </c>
      <c r="D6389" s="230">
        <v>0</v>
      </c>
      <c r="E6389" t="s">
        <v>722</v>
      </c>
    </row>
    <row r="6390" spans="1:5" hidden="1" x14ac:dyDescent="0.3">
      <c r="A6390" t="s">
        <v>557</v>
      </c>
      <c r="B6390" t="s">
        <v>721</v>
      </c>
      <c r="C6390" t="s">
        <v>107</v>
      </c>
      <c r="D6390" s="230">
        <v>0</v>
      </c>
      <c r="E6390" t="s">
        <v>722</v>
      </c>
    </row>
    <row r="6391" spans="1:5" hidden="1" x14ac:dyDescent="0.3">
      <c r="A6391" t="s">
        <v>557</v>
      </c>
      <c r="B6391" t="s">
        <v>721</v>
      </c>
      <c r="C6391" t="s">
        <v>108</v>
      </c>
      <c r="D6391" s="230">
        <v>0</v>
      </c>
      <c r="E6391" t="s">
        <v>722</v>
      </c>
    </row>
    <row r="6392" spans="1:5" hidden="1" x14ac:dyDescent="0.3">
      <c r="A6392" t="s">
        <v>557</v>
      </c>
      <c r="B6392" t="s">
        <v>721</v>
      </c>
      <c r="C6392" t="s">
        <v>109</v>
      </c>
      <c r="D6392" s="230">
        <v>0</v>
      </c>
      <c r="E6392" t="s">
        <v>722</v>
      </c>
    </row>
    <row r="6393" spans="1:5" hidden="1" x14ac:dyDescent="0.3">
      <c r="A6393" t="s">
        <v>557</v>
      </c>
      <c r="B6393" t="s">
        <v>721</v>
      </c>
      <c r="C6393" t="s">
        <v>110</v>
      </c>
      <c r="D6393" s="230">
        <v>0</v>
      </c>
      <c r="E6393" t="s">
        <v>722</v>
      </c>
    </row>
    <row r="6394" spans="1:5" hidden="1" x14ac:dyDescent="0.3">
      <c r="A6394" t="s">
        <v>557</v>
      </c>
      <c r="B6394" t="s">
        <v>721</v>
      </c>
      <c r="C6394" t="s">
        <v>44</v>
      </c>
      <c r="D6394" s="230">
        <v>0</v>
      </c>
      <c r="E6394" t="s">
        <v>722</v>
      </c>
    </row>
    <row r="6395" spans="1:5" hidden="1" x14ac:dyDescent="0.3">
      <c r="A6395" t="s">
        <v>557</v>
      </c>
      <c r="B6395" t="s">
        <v>721</v>
      </c>
      <c r="C6395" t="s">
        <v>111</v>
      </c>
      <c r="D6395" s="230">
        <v>-31827.7</v>
      </c>
      <c r="E6395" t="s">
        <v>722</v>
      </c>
    </row>
    <row r="6396" spans="1:5" hidden="1" x14ac:dyDescent="0.3">
      <c r="A6396" t="s">
        <v>557</v>
      </c>
      <c r="B6396" t="s">
        <v>721</v>
      </c>
      <c r="C6396" t="s">
        <v>608</v>
      </c>
      <c r="D6396" s="230">
        <v>-31827.7</v>
      </c>
      <c r="E6396" t="s">
        <v>722</v>
      </c>
    </row>
    <row r="6397" spans="1:5" hidden="1" x14ac:dyDescent="0.3">
      <c r="A6397" t="s">
        <v>557</v>
      </c>
      <c r="B6397" t="s">
        <v>721</v>
      </c>
      <c r="C6397" t="s">
        <v>44</v>
      </c>
      <c r="D6397" s="230">
        <v>-7.0000000000000007E-2</v>
      </c>
      <c r="E6397" t="s">
        <v>722</v>
      </c>
    </row>
    <row r="6398" spans="1:5" hidden="1" x14ac:dyDescent="0.3">
      <c r="A6398" t="s">
        <v>557</v>
      </c>
      <c r="B6398" t="s">
        <v>721</v>
      </c>
      <c r="C6398" t="s">
        <v>115</v>
      </c>
      <c r="D6398" s="230">
        <v>-915.3</v>
      </c>
      <c r="E6398" t="s">
        <v>722</v>
      </c>
    </row>
    <row r="6399" spans="1:5" hidden="1" x14ac:dyDescent="0.3">
      <c r="A6399" t="s">
        <v>557</v>
      </c>
      <c r="B6399" t="s">
        <v>721</v>
      </c>
      <c r="C6399" t="s">
        <v>116</v>
      </c>
      <c r="D6399" s="230">
        <v>0</v>
      </c>
      <c r="E6399" t="s">
        <v>722</v>
      </c>
    </row>
    <row r="6400" spans="1:5" hidden="1" x14ac:dyDescent="0.3">
      <c r="A6400" t="s">
        <v>557</v>
      </c>
      <c r="B6400" t="s">
        <v>721</v>
      </c>
      <c r="C6400" t="s">
        <v>118</v>
      </c>
      <c r="D6400" s="230">
        <v>0</v>
      </c>
      <c r="E6400" t="s">
        <v>722</v>
      </c>
    </row>
    <row r="6401" spans="1:5" hidden="1" x14ac:dyDescent="0.3">
      <c r="A6401" t="s">
        <v>557</v>
      </c>
      <c r="B6401" t="s">
        <v>721</v>
      </c>
      <c r="C6401" t="s">
        <v>120</v>
      </c>
      <c r="D6401" s="230">
        <v>0</v>
      </c>
      <c r="E6401" t="s">
        <v>722</v>
      </c>
    </row>
    <row r="6402" spans="1:5" hidden="1" x14ac:dyDescent="0.3">
      <c r="A6402" t="s">
        <v>557</v>
      </c>
      <c r="B6402" t="s">
        <v>721</v>
      </c>
      <c r="C6402" t="s">
        <v>122</v>
      </c>
      <c r="D6402" s="230">
        <v>-915.3</v>
      </c>
      <c r="E6402" t="s">
        <v>722</v>
      </c>
    </row>
    <row r="6403" spans="1:5" hidden="1" x14ac:dyDescent="0.3">
      <c r="A6403" t="s">
        <v>557</v>
      </c>
      <c r="B6403" t="s">
        <v>721</v>
      </c>
      <c r="C6403" t="s">
        <v>44</v>
      </c>
      <c r="D6403" s="230">
        <v>0</v>
      </c>
      <c r="E6403" t="s">
        <v>722</v>
      </c>
    </row>
    <row r="6404" spans="1:5" hidden="1" x14ac:dyDescent="0.3">
      <c r="A6404" t="s">
        <v>557</v>
      </c>
      <c r="B6404" t="s">
        <v>721</v>
      </c>
      <c r="C6404" t="s">
        <v>126</v>
      </c>
      <c r="D6404" s="230">
        <v>249826.02</v>
      </c>
      <c r="E6404" t="s">
        <v>722</v>
      </c>
    </row>
    <row r="6405" spans="1:5" hidden="1" x14ac:dyDescent="0.3">
      <c r="A6405" t="s">
        <v>557</v>
      </c>
      <c r="B6405" t="s">
        <v>721</v>
      </c>
      <c r="C6405" t="s">
        <v>127</v>
      </c>
      <c r="D6405" s="230">
        <v>0.56000000000000005</v>
      </c>
      <c r="E6405" t="s">
        <v>722</v>
      </c>
    </row>
    <row r="6406" spans="1:5" hidden="1" x14ac:dyDescent="0.3">
      <c r="A6406" t="s">
        <v>557</v>
      </c>
      <c r="B6406" t="s">
        <v>721</v>
      </c>
      <c r="C6406" t="s">
        <v>128</v>
      </c>
      <c r="D6406" s="230">
        <v>-131394.69</v>
      </c>
      <c r="E6406" t="s">
        <v>722</v>
      </c>
    </row>
    <row r="6407" spans="1:5" hidden="1" x14ac:dyDescent="0.3">
      <c r="A6407" t="s">
        <v>557</v>
      </c>
      <c r="B6407" t="s">
        <v>721</v>
      </c>
      <c r="C6407" t="s">
        <v>129</v>
      </c>
      <c r="D6407" s="230">
        <v>-50943.34</v>
      </c>
      <c r="E6407" t="s">
        <v>722</v>
      </c>
    </row>
    <row r="6408" spans="1:5" hidden="1" x14ac:dyDescent="0.3">
      <c r="A6408" t="s">
        <v>557</v>
      </c>
      <c r="B6408" t="s">
        <v>721</v>
      </c>
      <c r="C6408" t="s">
        <v>609</v>
      </c>
      <c r="D6408" s="230">
        <v>-4200</v>
      </c>
      <c r="E6408" t="s">
        <v>722</v>
      </c>
    </row>
    <row r="6409" spans="1:5" hidden="1" x14ac:dyDescent="0.3">
      <c r="A6409" t="s">
        <v>557</v>
      </c>
      <c r="B6409" t="s">
        <v>721</v>
      </c>
      <c r="C6409" t="s">
        <v>610</v>
      </c>
      <c r="D6409" s="230">
        <v>-17600</v>
      </c>
      <c r="E6409" t="s">
        <v>722</v>
      </c>
    </row>
    <row r="6410" spans="1:5" hidden="1" x14ac:dyDescent="0.3">
      <c r="A6410" t="s">
        <v>557</v>
      </c>
      <c r="B6410" t="s">
        <v>721</v>
      </c>
      <c r="C6410" t="s">
        <v>611</v>
      </c>
      <c r="D6410" s="230">
        <v>0</v>
      </c>
      <c r="E6410" t="s">
        <v>722</v>
      </c>
    </row>
    <row r="6411" spans="1:5" hidden="1" x14ac:dyDescent="0.3">
      <c r="A6411" t="s">
        <v>557</v>
      </c>
      <c r="B6411" t="s">
        <v>721</v>
      </c>
      <c r="C6411" t="s">
        <v>612</v>
      </c>
      <c r="D6411" s="230">
        <v>-10000</v>
      </c>
      <c r="E6411" t="s">
        <v>722</v>
      </c>
    </row>
    <row r="6412" spans="1:5" hidden="1" x14ac:dyDescent="0.3">
      <c r="A6412" t="s">
        <v>557</v>
      </c>
      <c r="B6412" t="s">
        <v>721</v>
      </c>
      <c r="C6412" t="s">
        <v>613</v>
      </c>
      <c r="D6412" s="230">
        <v>-1200</v>
      </c>
      <c r="E6412" t="s">
        <v>722</v>
      </c>
    </row>
    <row r="6413" spans="1:5" hidden="1" x14ac:dyDescent="0.3">
      <c r="A6413" t="s">
        <v>557</v>
      </c>
      <c r="B6413" t="s">
        <v>721</v>
      </c>
      <c r="C6413" t="s">
        <v>614</v>
      </c>
      <c r="D6413" s="230">
        <v>-4183.33</v>
      </c>
      <c r="E6413" t="s">
        <v>722</v>
      </c>
    </row>
    <row r="6414" spans="1:5" hidden="1" x14ac:dyDescent="0.3">
      <c r="A6414" t="s">
        <v>557</v>
      </c>
      <c r="B6414" t="s">
        <v>721</v>
      </c>
      <c r="C6414" t="s">
        <v>615</v>
      </c>
      <c r="D6414" s="230">
        <v>0</v>
      </c>
      <c r="E6414" t="s">
        <v>722</v>
      </c>
    </row>
    <row r="6415" spans="1:5" hidden="1" x14ac:dyDescent="0.3">
      <c r="A6415" t="s">
        <v>557</v>
      </c>
      <c r="B6415" t="s">
        <v>721</v>
      </c>
      <c r="C6415" t="s">
        <v>616</v>
      </c>
      <c r="D6415" s="230">
        <v>-13760.01</v>
      </c>
      <c r="E6415" t="s">
        <v>722</v>
      </c>
    </row>
    <row r="6416" spans="1:5" hidden="1" x14ac:dyDescent="0.3">
      <c r="A6416" t="s">
        <v>557</v>
      </c>
      <c r="B6416" t="s">
        <v>721</v>
      </c>
      <c r="C6416" t="s">
        <v>617</v>
      </c>
      <c r="D6416" s="230">
        <v>0</v>
      </c>
      <c r="E6416" t="s">
        <v>722</v>
      </c>
    </row>
    <row r="6417" spans="1:5" hidden="1" x14ac:dyDescent="0.3">
      <c r="A6417" t="s">
        <v>557</v>
      </c>
      <c r="B6417" t="s">
        <v>721</v>
      </c>
      <c r="C6417" t="s">
        <v>618</v>
      </c>
      <c r="D6417" s="230">
        <v>0</v>
      </c>
      <c r="E6417" t="s">
        <v>722</v>
      </c>
    </row>
    <row r="6418" spans="1:5" hidden="1" x14ac:dyDescent="0.3">
      <c r="A6418" t="s">
        <v>557</v>
      </c>
      <c r="B6418" t="s">
        <v>721</v>
      </c>
      <c r="C6418" t="s">
        <v>619</v>
      </c>
      <c r="D6418" s="230">
        <v>0</v>
      </c>
      <c r="E6418" t="s">
        <v>722</v>
      </c>
    </row>
    <row r="6419" spans="1:5" hidden="1" x14ac:dyDescent="0.3">
      <c r="A6419" t="s">
        <v>557</v>
      </c>
      <c r="B6419" t="s">
        <v>721</v>
      </c>
      <c r="C6419" t="s">
        <v>620</v>
      </c>
      <c r="D6419" s="230">
        <v>0</v>
      </c>
      <c r="E6419" t="s">
        <v>722</v>
      </c>
    </row>
    <row r="6420" spans="1:5" hidden="1" x14ac:dyDescent="0.3">
      <c r="A6420" t="s">
        <v>557</v>
      </c>
      <c r="B6420" t="s">
        <v>721</v>
      </c>
      <c r="C6420" t="s">
        <v>575</v>
      </c>
      <c r="D6420" s="230">
        <v>-32030.42</v>
      </c>
      <c r="E6420" t="s">
        <v>722</v>
      </c>
    </row>
    <row r="6421" spans="1:5" hidden="1" x14ac:dyDescent="0.3">
      <c r="A6421" t="s">
        <v>557</v>
      </c>
      <c r="B6421" t="s">
        <v>721</v>
      </c>
      <c r="C6421" t="s">
        <v>621</v>
      </c>
      <c r="D6421" s="230">
        <v>0</v>
      </c>
      <c r="E6421" t="s">
        <v>722</v>
      </c>
    </row>
    <row r="6422" spans="1:5" hidden="1" x14ac:dyDescent="0.3">
      <c r="A6422" t="s">
        <v>557</v>
      </c>
      <c r="B6422" t="s">
        <v>721</v>
      </c>
      <c r="C6422" t="s">
        <v>622</v>
      </c>
      <c r="D6422" s="230">
        <v>0</v>
      </c>
      <c r="E6422" t="s">
        <v>722</v>
      </c>
    </row>
    <row r="6423" spans="1:5" hidden="1" x14ac:dyDescent="0.3">
      <c r="A6423" t="s">
        <v>557</v>
      </c>
      <c r="B6423" t="s">
        <v>721</v>
      </c>
      <c r="C6423" t="s">
        <v>623</v>
      </c>
      <c r="D6423" s="230">
        <v>0</v>
      </c>
      <c r="E6423" t="s">
        <v>722</v>
      </c>
    </row>
    <row r="6424" spans="1:5" hidden="1" x14ac:dyDescent="0.3">
      <c r="A6424" t="s">
        <v>557</v>
      </c>
      <c r="B6424" t="s">
        <v>721</v>
      </c>
      <c r="C6424" t="s">
        <v>624</v>
      </c>
      <c r="D6424" s="230">
        <v>0</v>
      </c>
      <c r="E6424" t="s">
        <v>722</v>
      </c>
    </row>
    <row r="6425" spans="1:5" hidden="1" x14ac:dyDescent="0.3">
      <c r="A6425" t="s">
        <v>557</v>
      </c>
      <c r="B6425" t="s">
        <v>721</v>
      </c>
      <c r="C6425" t="s">
        <v>625</v>
      </c>
      <c r="D6425" s="230">
        <v>0</v>
      </c>
      <c r="E6425" t="s">
        <v>722</v>
      </c>
    </row>
    <row r="6426" spans="1:5" hidden="1" x14ac:dyDescent="0.3">
      <c r="A6426" t="s">
        <v>557</v>
      </c>
      <c r="B6426" t="s">
        <v>721</v>
      </c>
      <c r="C6426" t="s">
        <v>626</v>
      </c>
      <c r="D6426" s="230">
        <v>0</v>
      </c>
      <c r="E6426" t="s">
        <v>722</v>
      </c>
    </row>
    <row r="6427" spans="1:5" hidden="1" x14ac:dyDescent="0.3">
      <c r="A6427" t="s">
        <v>557</v>
      </c>
      <c r="B6427" t="s">
        <v>721</v>
      </c>
      <c r="C6427" t="s">
        <v>627</v>
      </c>
      <c r="D6427" s="230">
        <v>0</v>
      </c>
      <c r="E6427" t="s">
        <v>722</v>
      </c>
    </row>
    <row r="6428" spans="1:5" hidden="1" x14ac:dyDescent="0.3">
      <c r="A6428" t="s">
        <v>557</v>
      </c>
      <c r="B6428" t="s">
        <v>721</v>
      </c>
      <c r="C6428" t="s">
        <v>628</v>
      </c>
      <c r="D6428" s="230">
        <v>0</v>
      </c>
      <c r="E6428" t="s">
        <v>722</v>
      </c>
    </row>
    <row r="6429" spans="1:5" hidden="1" x14ac:dyDescent="0.3">
      <c r="A6429" t="s">
        <v>557</v>
      </c>
      <c r="B6429" t="s">
        <v>721</v>
      </c>
      <c r="C6429" t="s">
        <v>629</v>
      </c>
      <c r="D6429" s="230">
        <v>0</v>
      </c>
      <c r="E6429" t="s">
        <v>722</v>
      </c>
    </row>
    <row r="6430" spans="1:5" hidden="1" x14ac:dyDescent="0.3">
      <c r="A6430" t="s">
        <v>557</v>
      </c>
      <c r="B6430" t="s">
        <v>721</v>
      </c>
      <c r="C6430" t="s">
        <v>630</v>
      </c>
      <c r="D6430" s="230">
        <v>0</v>
      </c>
      <c r="E6430" t="s">
        <v>722</v>
      </c>
    </row>
    <row r="6431" spans="1:5" hidden="1" x14ac:dyDescent="0.3">
      <c r="A6431" t="s">
        <v>557</v>
      </c>
      <c r="B6431" t="s">
        <v>721</v>
      </c>
      <c r="C6431" t="s">
        <v>631</v>
      </c>
      <c r="D6431" s="230">
        <v>0</v>
      </c>
      <c r="E6431" t="s">
        <v>722</v>
      </c>
    </row>
    <row r="6432" spans="1:5" hidden="1" x14ac:dyDescent="0.3">
      <c r="A6432" t="s">
        <v>557</v>
      </c>
      <c r="B6432" t="s">
        <v>721</v>
      </c>
      <c r="C6432" t="s">
        <v>632</v>
      </c>
      <c r="D6432" s="230">
        <v>0</v>
      </c>
      <c r="E6432" t="s">
        <v>722</v>
      </c>
    </row>
    <row r="6433" spans="1:5" hidden="1" x14ac:dyDescent="0.3">
      <c r="A6433" t="s">
        <v>557</v>
      </c>
      <c r="B6433" t="s">
        <v>721</v>
      </c>
      <c r="C6433" t="s">
        <v>633</v>
      </c>
      <c r="D6433" s="230">
        <v>0</v>
      </c>
      <c r="E6433" t="s">
        <v>722</v>
      </c>
    </row>
    <row r="6434" spans="1:5" hidden="1" x14ac:dyDescent="0.3">
      <c r="A6434" t="s">
        <v>557</v>
      </c>
      <c r="B6434" t="s">
        <v>721</v>
      </c>
      <c r="C6434" t="s">
        <v>634</v>
      </c>
      <c r="D6434" s="230">
        <v>0</v>
      </c>
      <c r="E6434" t="s">
        <v>722</v>
      </c>
    </row>
    <row r="6435" spans="1:5" hidden="1" x14ac:dyDescent="0.3">
      <c r="A6435" t="s">
        <v>557</v>
      </c>
      <c r="B6435" t="s">
        <v>721</v>
      </c>
      <c r="C6435" t="s">
        <v>635</v>
      </c>
      <c r="D6435" s="230">
        <v>0</v>
      </c>
      <c r="E6435" t="s">
        <v>722</v>
      </c>
    </row>
    <row r="6436" spans="1:5" hidden="1" x14ac:dyDescent="0.3">
      <c r="A6436" t="s">
        <v>557</v>
      </c>
      <c r="B6436" t="s">
        <v>721</v>
      </c>
      <c r="C6436" t="s">
        <v>636</v>
      </c>
      <c r="D6436" s="230">
        <v>0</v>
      </c>
      <c r="E6436" t="s">
        <v>722</v>
      </c>
    </row>
    <row r="6437" spans="1:5" hidden="1" x14ac:dyDescent="0.3">
      <c r="A6437" t="s">
        <v>557</v>
      </c>
      <c r="B6437" t="s">
        <v>721</v>
      </c>
      <c r="C6437" t="s">
        <v>637</v>
      </c>
      <c r="D6437" s="230">
        <v>0</v>
      </c>
      <c r="E6437" t="s">
        <v>722</v>
      </c>
    </row>
    <row r="6438" spans="1:5" hidden="1" x14ac:dyDescent="0.3">
      <c r="A6438" t="s">
        <v>557</v>
      </c>
      <c r="B6438" t="s">
        <v>721</v>
      </c>
      <c r="C6438" t="s">
        <v>638</v>
      </c>
      <c r="D6438" s="230">
        <v>0</v>
      </c>
      <c r="E6438" t="s">
        <v>722</v>
      </c>
    </row>
    <row r="6439" spans="1:5" hidden="1" x14ac:dyDescent="0.3">
      <c r="A6439" t="s">
        <v>557</v>
      </c>
      <c r="B6439" t="s">
        <v>721</v>
      </c>
      <c r="C6439" t="s">
        <v>639</v>
      </c>
      <c r="D6439" s="230">
        <v>0</v>
      </c>
      <c r="E6439" t="s">
        <v>722</v>
      </c>
    </row>
    <row r="6440" spans="1:5" hidden="1" x14ac:dyDescent="0.3">
      <c r="A6440" t="s">
        <v>557</v>
      </c>
      <c r="B6440" t="s">
        <v>721</v>
      </c>
      <c r="C6440" t="s">
        <v>640</v>
      </c>
      <c r="D6440" s="230">
        <v>0</v>
      </c>
      <c r="E6440" t="s">
        <v>722</v>
      </c>
    </row>
    <row r="6441" spans="1:5" hidden="1" x14ac:dyDescent="0.3">
      <c r="A6441" t="s">
        <v>557</v>
      </c>
      <c r="B6441" t="s">
        <v>721</v>
      </c>
      <c r="C6441" t="s">
        <v>641</v>
      </c>
      <c r="D6441" s="230">
        <v>0</v>
      </c>
      <c r="E6441" t="s">
        <v>722</v>
      </c>
    </row>
    <row r="6442" spans="1:5" hidden="1" x14ac:dyDescent="0.3">
      <c r="A6442" t="s">
        <v>557</v>
      </c>
      <c r="B6442" t="s">
        <v>721</v>
      </c>
      <c r="C6442" t="s">
        <v>642</v>
      </c>
      <c r="D6442" s="230">
        <v>0</v>
      </c>
      <c r="E6442" t="s">
        <v>722</v>
      </c>
    </row>
    <row r="6443" spans="1:5" hidden="1" x14ac:dyDescent="0.3">
      <c r="A6443" t="s">
        <v>557</v>
      </c>
      <c r="B6443" t="s">
        <v>721</v>
      </c>
      <c r="C6443" t="s">
        <v>643</v>
      </c>
      <c r="D6443" s="230">
        <v>0</v>
      </c>
      <c r="E6443" t="s">
        <v>722</v>
      </c>
    </row>
    <row r="6444" spans="1:5" hidden="1" x14ac:dyDescent="0.3">
      <c r="A6444" t="s">
        <v>557</v>
      </c>
      <c r="B6444" t="s">
        <v>721</v>
      </c>
      <c r="C6444" t="s">
        <v>644</v>
      </c>
      <c r="D6444" s="230">
        <v>0</v>
      </c>
      <c r="E6444" t="s">
        <v>722</v>
      </c>
    </row>
    <row r="6445" spans="1:5" hidden="1" x14ac:dyDescent="0.3">
      <c r="A6445" t="s">
        <v>557</v>
      </c>
      <c r="B6445" t="s">
        <v>721</v>
      </c>
      <c r="C6445" t="s">
        <v>645</v>
      </c>
      <c r="D6445" s="230">
        <v>0</v>
      </c>
      <c r="E6445" t="s">
        <v>722</v>
      </c>
    </row>
    <row r="6446" spans="1:5" hidden="1" x14ac:dyDescent="0.3">
      <c r="A6446" t="s">
        <v>557</v>
      </c>
      <c r="B6446" t="s">
        <v>721</v>
      </c>
      <c r="C6446" t="s">
        <v>646</v>
      </c>
      <c r="D6446" s="230">
        <v>0</v>
      </c>
      <c r="E6446" t="s">
        <v>722</v>
      </c>
    </row>
    <row r="6447" spans="1:5" hidden="1" x14ac:dyDescent="0.3">
      <c r="A6447" t="s">
        <v>557</v>
      </c>
      <c r="B6447" t="s">
        <v>721</v>
      </c>
      <c r="C6447" t="s">
        <v>647</v>
      </c>
      <c r="D6447" s="230">
        <v>0</v>
      </c>
      <c r="E6447" t="s">
        <v>722</v>
      </c>
    </row>
    <row r="6448" spans="1:5" hidden="1" x14ac:dyDescent="0.3">
      <c r="A6448" t="s">
        <v>557</v>
      </c>
      <c r="B6448" t="s">
        <v>721</v>
      </c>
      <c r="C6448" t="s">
        <v>648</v>
      </c>
      <c r="D6448" s="230">
        <v>0</v>
      </c>
      <c r="E6448" t="s">
        <v>722</v>
      </c>
    </row>
    <row r="6449" spans="1:5" hidden="1" x14ac:dyDescent="0.3">
      <c r="A6449" t="s">
        <v>557</v>
      </c>
      <c r="B6449" t="s">
        <v>721</v>
      </c>
      <c r="C6449" t="s">
        <v>649</v>
      </c>
      <c r="D6449" s="230">
        <v>0</v>
      </c>
      <c r="E6449" t="s">
        <v>722</v>
      </c>
    </row>
    <row r="6450" spans="1:5" hidden="1" x14ac:dyDescent="0.3">
      <c r="A6450" t="s">
        <v>557</v>
      </c>
      <c r="B6450" t="s">
        <v>721</v>
      </c>
      <c r="C6450" t="s">
        <v>650</v>
      </c>
      <c r="D6450" s="230">
        <v>0</v>
      </c>
      <c r="E6450" t="s">
        <v>722</v>
      </c>
    </row>
    <row r="6451" spans="1:5" hidden="1" x14ac:dyDescent="0.3">
      <c r="A6451" t="s">
        <v>557</v>
      </c>
      <c r="B6451" t="s">
        <v>721</v>
      </c>
      <c r="C6451" t="s">
        <v>651</v>
      </c>
      <c r="D6451" s="230">
        <v>0</v>
      </c>
      <c r="E6451" t="s">
        <v>722</v>
      </c>
    </row>
    <row r="6452" spans="1:5" hidden="1" x14ac:dyDescent="0.3">
      <c r="A6452" t="s">
        <v>557</v>
      </c>
      <c r="B6452" t="s">
        <v>721</v>
      </c>
      <c r="C6452" t="s">
        <v>652</v>
      </c>
      <c r="D6452" s="230">
        <v>0</v>
      </c>
      <c r="E6452" t="s">
        <v>722</v>
      </c>
    </row>
    <row r="6453" spans="1:5" hidden="1" x14ac:dyDescent="0.3">
      <c r="A6453" t="s">
        <v>557</v>
      </c>
      <c r="B6453" t="s">
        <v>721</v>
      </c>
      <c r="C6453" t="s">
        <v>653</v>
      </c>
      <c r="D6453" s="230">
        <v>0</v>
      </c>
      <c r="E6453" t="s">
        <v>722</v>
      </c>
    </row>
    <row r="6454" spans="1:5" hidden="1" x14ac:dyDescent="0.3">
      <c r="A6454" t="s">
        <v>557</v>
      </c>
      <c r="B6454" t="s">
        <v>721</v>
      </c>
      <c r="C6454" t="s">
        <v>654</v>
      </c>
      <c r="D6454" s="230">
        <v>0</v>
      </c>
      <c r="E6454" t="s">
        <v>722</v>
      </c>
    </row>
    <row r="6455" spans="1:5" hidden="1" x14ac:dyDescent="0.3">
      <c r="A6455" t="s">
        <v>557</v>
      </c>
      <c r="B6455" t="s">
        <v>721</v>
      </c>
      <c r="C6455" t="s">
        <v>655</v>
      </c>
      <c r="D6455" s="230">
        <v>0</v>
      </c>
      <c r="E6455" t="s">
        <v>722</v>
      </c>
    </row>
    <row r="6456" spans="1:5" hidden="1" x14ac:dyDescent="0.3">
      <c r="A6456" t="s">
        <v>557</v>
      </c>
      <c r="B6456" t="s">
        <v>721</v>
      </c>
      <c r="C6456" t="s">
        <v>656</v>
      </c>
      <c r="D6456" s="230">
        <v>0</v>
      </c>
      <c r="E6456" t="s">
        <v>722</v>
      </c>
    </row>
    <row r="6457" spans="1:5" hidden="1" x14ac:dyDescent="0.3">
      <c r="A6457" t="s">
        <v>557</v>
      </c>
      <c r="B6457" t="s">
        <v>721</v>
      </c>
      <c r="C6457" t="s">
        <v>657</v>
      </c>
      <c r="D6457" s="230">
        <v>0</v>
      </c>
      <c r="E6457" t="s">
        <v>722</v>
      </c>
    </row>
    <row r="6458" spans="1:5" hidden="1" x14ac:dyDescent="0.3">
      <c r="A6458" t="s">
        <v>557</v>
      </c>
      <c r="B6458" t="s">
        <v>721</v>
      </c>
      <c r="C6458" t="s">
        <v>658</v>
      </c>
      <c r="D6458" s="230">
        <v>0</v>
      </c>
      <c r="E6458" t="s">
        <v>722</v>
      </c>
    </row>
    <row r="6459" spans="1:5" hidden="1" x14ac:dyDescent="0.3">
      <c r="A6459" t="s">
        <v>557</v>
      </c>
      <c r="B6459" t="s">
        <v>721</v>
      </c>
      <c r="C6459" t="s">
        <v>659</v>
      </c>
      <c r="D6459" s="230">
        <v>0</v>
      </c>
      <c r="E6459" t="s">
        <v>722</v>
      </c>
    </row>
    <row r="6460" spans="1:5" hidden="1" x14ac:dyDescent="0.3">
      <c r="A6460" t="s">
        <v>557</v>
      </c>
      <c r="B6460" t="s">
        <v>721</v>
      </c>
      <c r="C6460" t="s">
        <v>660</v>
      </c>
      <c r="D6460" s="230">
        <v>0</v>
      </c>
      <c r="E6460" t="s">
        <v>722</v>
      </c>
    </row>
    <row r="6461" spans="1:5" hidden="1" x14ac:dyDescent="0.3">
      <c r="A6461" t="s">
        <v>557</v>
      </c>
      <c r="B6461" t="s">
        <v>721</v>
      </c>
      <c r="C6461" t="s">
        <v>661</v>
      </c>
      <c r="D6461" s="230">
        <v>0</v>
      </c>
      <c r="E6461" t="s">
        <v>722</v>
      </c>
    </row>
    <row r="6462" spans="1:5" hidden="1" x14ac:dyDescent="0.3">
      <c r="A6462" t="s">
        <v>557</v>
      </c>
      <c r="B6462" t="s">
        <v>721</v>
      </c>
      <c r="C6462" t="s">
        <v>662</v>
      </c>
      <c r="D6462" s="230">
        <v>0</v>
      </c>
      <c r="E6462" t="s">
        <v>722</v>
      </c>
    </row>
    <row r="6463" spans="1:5" hidden="1" x14ac:dyDescent="0.3">
      <c r="A6463" t="s">
        <v>557</v>
      </c>
      <c r="B6463" t="s">
        <v>721</v>
      </c>
      <c r="C6463" t="s">
        <v>663</v>
      </c>
      <c r="D6463" s="230">
        <v>0</v>
      </c>
      <c r="E6463" t="s">
        <v>722</v>
      </c>
    </row>
    <row r="6464" spans="1:5" hidden="1" x14ac:dyDescent="0.3">
      <c r="A6464" t="s">
        <v>557</v>
      </c>
      <c r="B6464" t="s">
        <v>721</v>
      </c>
      <c r="C6464" t="s">
        <v>664</v>
      </c>
      <c r="D6464" s="230">
        <v>0</v>
      </c>
      <c r="E6464" t="s">
        <v>722</v>
      </c>
    </row>
    <row r="6465" spans="1:5" hidden="1" x14ac:dyDescent="0.3">
      <c r="A6465" t="s">
        <v>557</v>
      </c>
      <c r="B6465" t="s">
        <v>721</v>
      </c>
      <c r="C6465" t="s">
        <v>665</v>
      </c>
      <c r="D6465" s="230">
        <v>0</v>
      </c>
      <c r="E6465" t="s">
        <v>722</v>
      </c>
    </row>
    <row r="6466" spans="1:5" hidden="1" x14ac:dyDescent="0.3">
      <c r="A6466" t="s">
        <v>557</v>
      </c>
      <c r="B6466" t="s">
        <v>721</v>
      </c>
      <c r="C6466" t="s">
        <v>666</v>
      </c>
      <c r="D6466" s="230">
        <v>0</v>
      </c>
      <c r="E6466" t="s">
        <v>722</v>
      </c>
    </row>
    <row r="6467" spans="1:5" hidden="1" x14ac:dyDescent="0.3">
      <c r="A6467" t="s">
        <v>557</v>
      </c>
      <c r="B6467" t="s">
        <v>721</v>
      </c>
      <c r="C6467" t="s">
        <v>667</v>
      </c>
      <c r="D6467" s="230">
        <v>0</v>
      </c>
      <c r="E6467" t="s">
        <v>722</v>
      </c>
    </row>
    <row r="6468" spans="1:5" hidden="1" x14ac:dyDescent="0.3">
      <c r="A6468" t="s">
        <v>557</v>
      </c>
      <c r="B6468" t="s">
        <v>721</v>
      </c>
      <c r="C6468" t="s">
        <v>668</v>
      </c>
      <c r="D6468" s="230">
        <v>0</v>
      </c>
      <c r="E6468" t="s">
        <v>722</v>
      </c>
    </row>
    <row r="6469" spans="1:5" hidden="1" x14ac:dyDescent="0.3">
      <c r="A6469" t="s">
        <v>557</v>
      </c>
      <c r="B6469" t="s">
        <v>721</v>
      </c>
      <c r="C6469" t="s">
        <v>669</v>
      </c>
      <c r="D6469" s="230">
        <v>0</v>
      </c>
      <c r="E6469" t="s">
        <v>722</v>
      </c>
    </row>
    <row r="6470" spans="1:5" hidden="1" x14ac:dyDescent="0.3">
      <c r="A6470" t="s">
        <v>557</v>
      </c>
      <c r="B6470" t="s">
        <v>721</v>
      </c>
      <c r="C6470" t="s">
        <v>670</v>
      </c>
      <c r="D6470" s="230">
        <v>0</v>
      </c>
      <c r="E6470" t="s">
        <v>722</v>
      </c>
    </row>
    <row r="6471" spans="1:5" hidden="1" x14ac:dyDescent="0.3">
      <c r="A6471" t="s">
        <v>557</v>
      </c>
      <c r="B6471" t="s">
        <v>721</v>
      </c>
      <c r="C6471" t="s">
        <v>671</v>
      </c>
      <c r="D6471" s="230">
        <v>0</v>
      </c>
      <c r="E6471" t="s">
        <v>722</v>
      </c>
    </row>
    <row r="6472" spans="1:5" hidden="1" x14ac:dyDescent="0.3">
      <c r="A6472" t="s">
        <v>557</v>
      </c>
      <c r="B6472" t="s">
        <v>721</v>
      </c>
      <c r="C6472" t="s">
        <v>672</v>
      </c>
      <c r="D6472" s="230">
        <v>0</v>
      </c>
      <c r="E6472" t="s">
        <v>722</v>
      </c>
    </row>
    <row r="6473" spans="1:5" hidden="1" x14ac:dyDescent="0.3">
      <c r="A6473" t="s">
        <v>557</v>
      </c>
      <c r="B6473" t="s">
        <v>721</v>
      </c>
      <c r="C6473" t="s">
        <v>673</v>
      </c>
      <c r="D6473" s="230">
        <v>0</v>
      </c>
      <c r="E6473" t="s">
        <v>722</v>
      </c>
    </row>
    <row r="6474" spans="1:5" hidden="1" x14ac:dyDescent="0.3">
      <c r="A6474" t="s">
        <v>557</v>
      </c>
      <c r="B6474" t="s">
        <v>721</v>
      </c>
      <c r="C6474" t="s">
        <v>674</v>
      </c>
      <c r="D6474" s="230">
        <v>0</v>
      </c>
      <c r="E6474" t="s">
        <v>722</v>
      </c>
    </row>
    <row r="6475" spans="1:5" hidden="1" x14ac:dyDescent="0.3">
      <c r="A6475" t="s">
        <v>557</v>
      </c>
      <c r="B6475" t="s">
        <v>721</v>
      </c>
      <c r="C6475" t="s">
        <v>675</v>
      </c>
      <c r="D6475" s="230">
        <v>0</v>
      </c>
      <c r="E6475" t="s">
        <v>722</v>
      </c>
    </row>
    <row r="6476" spans="1:5" hidden="1" x14ac:dyDescent="0.3">
      <c r="A6476" t="s">
        <v>557</v>
      </c>
      <c r="B6476" t="s">
        <v>721</v>
      </c>
      <c r="C6476" t="s">
        <v>676</v>
      </c>
      <c r="D6476" s="230">
        <v>0</v>
      </c>
      <c r="E6476" t="s">
        <v>722</v>
      </c>
    </row>
    <row r="6477" spans="1:5" hidden="1" x14ac:dyDescent="0.3">
      <c r="A6477" t="s">
        <v>557</v>
      </c>
      <c r="B6477" t="s">
        <v>721</v>
      </c>
      <c r="C6477" t="s">
        <v>677</v>
      </c>
      <c r="D6477" s="230">
        <v>0</v>
      </c>
      <c r="E6477" t="s">
        <v>722</v>
      </c>
    </row>
    <row r="6478" spans="1:5" hidden="1" x14ac:dyDescent="0.3">
      <c r="A6478" t="s">
        <v>557</v>
      </c>
      <c r="B6478" t="s">
        <v>721</v>
      </c>
      <c r="C6478" t="s">
        <v>201</v>
      </c>
      <c r="D6478" s="230">
        <v>-14167.89</v>
      </c>
      <c r="E6478" t="s">
        <v>722</v>
      </c>
    </row>
    <row r="6479" spans="1:5" hidden="1" x14ac:dyDescent="0.3">
      <c r="A6479" t="s">
        <v>557</v>
      </c>
      <c r="B6479" t="s">
        <v>721</v>
      </c>
      <c r="C6479" t="s">
        <v>203</v>
      </c>
      <c r="D6479" s="230">
        <v>-14167.89</v>
      </c>
      <c r="E6479" t="s">
        <v>722</v>
      </c>
    </row>
    <row r="6480" spans="1:5" hidden="1" x14ac:dyDescent="0.3">
      <c r="A6480" t="s">
        <v>557</v>
      </c>
      <c r="B6480" t="s">
        <v>721</v>
      </c>
      <c r="C6480" t="s">
        <v>678</v>
      </c>
      <c r="D6480" s="230">
        <v>7083.95</v>
      </c>
      <c r="E6480" t="s">
        <v>722</v>
      </c>
    </row>
    <row r="6481" spans="1:5" hidden="1" x14ac:dyDescent="0.3">
      <c r="A6481" t="s">
        <v>557</v>
      </c>
      <c r="B6481" t="s">
        <v>721</v>
      </c>
      <c r="C6481" t="s">
        <v>205</v>
      </c>
      <c r="D6481" s="230">
        <v>-20291</v>
      </c>
      <c r="E6481" t="s">
        <v>722</v>
      </c>
    </row>
    <row r="6482" spans="1:5" hidden="1" x14ac:dyDescent="0.3">
      <c r="A6482" t="s">
        <v>557</v>
      </c>
      <c r="B6482" t="s">
        <v>721</v>
      </c>
      <c r="C6482" t="s">
        <v>679</v>
      </c>
      <c r="D6482" s="230">
        <v>-2316.41</v>
      </c>
      <c r="E6482" t="s">
        <v>722</v>
      </c>
    </row>
    <row r="6483" spans="1:5" hidden="1" x14ac:dyDescent="0.3">
      <c r="A6483" t="s">
        <v>557</v>
      </c>
      <c r="B6483" t="s">
        <v>721</v>
      </c>
      <c r="C6483" t="s">
        <v>680</v>
      </c>
      <c r="D6483" s="230">
        <v>-2810.12</v>
      </c>
      <c r="E6483" t="s">
        <v>722</v>
      </c>
    </row>
    <row r="6484" spans="1:5" hidden="1" x14ac:dyDescent="0.3">
      <c r="A6484" t="s">
        <v>557</v>
      </c>
      <c r="B6484" t="s">
        <v>721</v>
      </c>
      <c r="C6484" t="s">
        <v>681</v>
      </c>
      <c r="D6484" s="230">
        <v>0</v>
      </c>
      <c r="E6484" t="s">
        <v>722</v>
      </c>
    </row>
    <row r="6485" spans="1:5" hidden="1" x14ac:dyDescent="0.3">
      <c r="A6485" t="s">
        <v>557</v>
      </c>
      <c r="B6485" t="s">
        <v>721</v>
      </c>
      <c r="C6485" t="s">
        <v>682</v>
      </c>
      <c r="D6485" s="230">
        <v>-3946.41</v>
      </c>
      <c r="E6485" t="s">
        <v>722</v>
      </c>
    </row>
    <row r="6486" spans="1:5" hidden="1" x14ac:dyDescent="0.3">
      <c r="A6486" t="s">
        <v>557</v>
      </c>
      <c r="B6486" t="s">
        <v>721</v>
      </c>
      <c r="C6486" t="s">
        <v>683</v>
      </c>
      <c r="D6486" s="230">
        <v>-7490.91</v>
      </c>
      <c r="E6486" t="s">
        <v>722</v>
      </c>
    </row>
    <row r="6487" spans="1:5" hidden="1" x14ac:dyDescent="0.3">
      <c r="A6487" t="s">
        <v>557</v>
      </c>
      <c r="B6487" t="s">
        <v>721</v>
      </c>
      <c r="C6487" t="s">
        <v>684</v>
      </c>
      <c r="D6487" s="230">
        <v>-1329.67</v>
      </c>
      <c r="E6487" t="s">
        <v>722</v>
      </c>
    </row>
    <row r="6488" spans="1:5" hidden="1" x14ac:dyDescent="0.3">
      <c r="A6488" t="s">
        <v>557</v>
      </c>
      <c r="B6488" t="s">
        <v>721</v>
      </c>
      <c r="C6488" t="s">
        <v>685</v>
      </c>
      <c r="D6488" s="230">
        <v>-397.48</v>
      </c>
      <c r="E6488" t="s">
        <v>722</v>
      </c>
    </row>
    <row r="6489" spans="1:5" hidden="1" x14ac:dyDescent="0.3">
      <c r="A6489" t="s">
        <v>557</v>
      </c>
      <c r="B6489" t="s">
        <v>721</v>
      </c>
      <c r="C6489" t="s">
        <v>686</v>
      </c>
      <c r="D6489" s="230">
        <v>0</v>
      </c>
      <c r="E6489" t="s">
        <v>722</v>
      </c>
    </row>
    <row r="6490" spans="1:5" hidden="1" x14ac:dyDescent="0.3">
      <c r="A6490" t="s">
        <v>557</v>
      </c>
      <c r="B6490" t="s">
        <v>721</v>
      </c>
      <c r="C6490" t="s">
        <v>687</v>
      </c>
      <c r="D6490" s="230">
        <v>0</v>
      </c>
      <c r="E6490" t="s">
        <v>722</v>
      </c>
    </row>
    <row r="6491" spans="1:5" hidden="1" x14ac:dyDescent="0.3">
      <c r="A6491" t="s">
        <v>557</v>
      </c>
      <c r="B6491" t="s">
        <v>721</v>
      </c>
      <c r="C6491" t="s">
        <v>688</v>
      </c>
      <c r="D6491" s="230">
        <v>0</v>
      </c>
      <c r="E6491" t="s">
        <v>722</v>
      </c>
    </row>
    <row r="6492" spans="1:5" hidden="1" x14ac:dyDescent="0.3">
      <c r="A6492" t="s">
        <v>557</v>
      </c>
      <c r="B6492" t="s">
        <v>721</v>
      </c>
      <c r="C6492" t="s">
        <v>689</v>
      </c>
      <c r="D6492" s="230">
        <v>0</v>
      </c>
      <c r="E6492" t="s">
        <v>722</v>
      </c>
    </row>
    <row r="6493" spans="1:5" hidden="1" x14ac:dyDescent="0.3">
      <c r="A6493" t="s">
        <v>557</v>
      </c>
      <c r="B6493" t="s">
        <v>721</v>
      </c>
      <c r="C6493" t="s">
        <v>690</v>
      </c>
      <c r="D6493" s="230">
        <v>-2000</v>
      </c>
      <c r="E6493" t="s">
        <v>722</v>
      </c>
    </row>
    <row r="6494" spans="1:5" hidden="1" x14ac:dyDescent="0.3">
      <c r="A6494" t="s">
        <v>557</v>
      </c>
      <c r="B6494" t="s">
        <v>721</v>
      </c>
      <c r="C6494" t="s">
        <v>691</v>
      </c>
      <c r="D6494" s="230">
        <v>0</v>
      </c>
      <c r="E6494" t="s">
        <v>722</v>
      </c>
    </row>
    <row r="6495" spans="1:5" hidden="1" x14ac:dyDescent="0.3">
      <c r="A6495" t="s">
        <v>557</v>
      </c>
      <c r="B6495" t="s">
        <v>721</v>
      </c>
      <c r="C6495" t="s">
        <v>692</v>
      </c>
      <c r="D6495" s="230">
        <v>0</v>
      </c>
      <c r="E6495" t="s">
        <v>722</v>
      </c>
    </row>
    <row r="6496" spans="1:5" hidden="1" x14ac:dyDescent="0.3">
      <c r="A6496" t="s">
        <v>557</v>
      </c>
      <c r="B6496" t="s">
        <v>721</v>
      </c>
      <c r="C6496" t="s">
        <v>693</v>
      </c>
      <c r="D6496" s="230">
        <v>0</v>
      </c>
      <c r="E6496" t="s">
        <v>722</v>
      </c>
    </row>
    <row r="6497" spans="1:5" hidden="1" x14ac:dyDescent="0.3">
      <c r="A6497" t="s">
        <v>557</v>
      </c>
      <c r="B6497" t="s">
        <v>721</v>
      </c>
      <c r="C6497" t="s">
        <v>694</v>
      </c>
      <c r="D6497" s="230">
        <v>0</v>
      </c>
      <c r="E6497" t="s">
        <v>722</v>
      </c>
    </row>
    <row r="6498" spans="1:5" hidden="1" x14ac:dyDescent="0.3">
      <c r="A6498" t="s">
        <v>557</v>
      </c>
      <c r="B6498" t="s">
        <v>721</v>
      </c>
      <c r="C6498" t="s">
        <v>238</v>
      </c>
      <c r="D6498" s="230">
        <v>-4610.21</v>
      </c>
      <c r="E6498" t="s">
        <v>722</v>
      </c>
    </row>
    <row r="6499" spans="1:5" hidden="1" x14ac:dyDescent="0.3">
      <c r="A6499" t="s">
        <v>557</v>
      </c>
      <c r="B6499" t="s">
        <v>721</v>
      </c>
      <c r="C6499" t="s">
        <v>695</v>
      </c>
      <c r="D6499" s="230">
        <v>-4536.74</v>
      </c>
      <c r="E6499" t="s">
        <v>722</v>
      </c>
    </row>
    <row r="6500" spans="1:5" hidden="1" x14ac:dyDescent="0.3">
      <c r="A6500" t="s">
        <v>557</v>
      </c>
      <c r="B6500" t="s">
        <v>721</v>
      </c>
      <c r="C6500" t="s">
        <v>696</v>
      </c>
      <c r="D6500" s="230">
        <v>0</v>
      </c>
      <c r="E6500" t="s">
        <v>722</v>
      </c>
    </row>
    <row r="6501" spans="1:5" hidden="1" x14ac:dyDescent="0.3">
      <c r="A6501" t="s">
        <v>557</v>
      </c>
      <c r="B6501" t="s">
        <v>721</v>
      </c>
      <c r="C6501" t="s">
        <v>697</v>
      </c>
      <c r="D6501" s="230">
        <v>0</v>
      </c>
      <c r="E6501" t="s">
        <v>722</v>
      </c>
    </row>
    <row r="6502" spans="1:5" hidden="1" x14ac:dyDescent="0.3">
      <c r="A6502" t="s">
        <v>557</v>
      </c>
      <c r="B6502" t="s">
        <v>721</v>
      </c>
      <c r="C6502" t="s">
        <v>698</v>
      </c>
      <c r="D6502" s="230">
        <v>-73.47</v>
      </c>
      <c r="E6502" t="s">
        <v>722</v>
      </c>
    </row>
    <row r="6503" spans="1:5" hidden="1" x14ac:dyDescent="0.3">
      <c r="A6503" t="s">
        <v>557</v>
      </c>
      <c r="B6503" t="s">
        <v>721</v>
      </c>
      <c r="C6503" t="s">
        <v>699</v>
      </c>
      <c r="D6503" s="230">
        <v>0</v>
      </c>
      <c r="E6503" t="s">
        <v>722</v>
      </c>
    </row>
    <row r="6504" spans="1:5" hidden="1" x14ac:dyDescent="0.3">
      <c r="A6504" t="s">
        <v>557</v>
      </c>
      <c r="B6504" t="s">
        <v>721</v>
      </c>
      <c r="C6504" t="s">
        <v>245</v>
      </c>
      <c r="D6504" s="230">
        <v>-9351.83</v>
      </c>
      <c r="E6504" t="s">
        <v>722</v>
      </c>
    </row>
    <row r="6505" spans="1:5" hidden="1" x14ac:dyDescent="0.3">
      <c r="A6505" t="s">
        <v>557</v>
      </c>
      <c r="B6505" t="s">
        <v>721</v>
      </c>
      <c r="C6505" t="s">
        <v>700</v>
      </c>
      <c r="D6505" s="230">
        <v>-407.96</v>
      </c>
      <c r="E6505" t="s">
        <v>722</v>
      </c>
    </row>
    <row r="6506" spans="1:5" hidden="1" x14ac:dyDescent="0.3">
      <c r="A6506" t="s">
        <v>557</v>
      </c>
      <c r="B6506" t="s">
        <v>721</v>
      </c>
      <c r="C6506" t="s">
        <v>701</v>
      </c>
      <c r="D6506" s="230">
        <v>-477.32</v>
      </c>
      <c r="E6506" t="s">
        <v>722</v>
      </c>
    </row>
    <row r="6507" spans="1:5" hidden="1" x14ac:dyDescent="0.3">
      <c r="A6507" t="s">
        <v>557</v>
      </c>
      <c r="B6507" t="s">
        <v>721</v>
      </c>
      <c r="C6507" t="s">
        <v>702</v>
      </c>
      <c r="D6507" s="230">
        <v>0</v>
      </c>
      <c r="E6507" t="s">
        <v>722</v>
      </c>
    </row>
    <row r="6508" spans="1:5" hidden="1" x14ac:dyDescent="0.3">
      <c r="A6508" t="s">
        <v>557</v>
      </c>
      <c r="B6508" t="s">
        <v>721</v>
      </c>
      <c r="C6508" t="s">
        <v>703</v>
      </c>
      <c r="D6508" s="230">
        <v>0</v>
      </c>
      <c r="E6508" t="s">
        <v>722</v>
      </c>
    </row>
    <row r="6509" spans="1:5" hidden="1" x14ac:dyDescent="0.3">
      <c r="A6509" t="s">
        <v>557</v>
      </c>
      <c r="B6509" t="s">
        <v>721</v>
      </c>
      <c r="C6509" t="s">
        <v>704</v>
      </c>
      <c r="D6509" s="230">
        <v>0</v>
      </c>
      <c r="E6509" t="s">
        <v>722</v>
      </c>
    </row>
    <row r="6510" spans="1:5" hidden="1" x14ac:dyDescent="0.3">
      <c r="A6510" t="s">
        <v>557</v>
      </c>
      <c r="B6510" t="s">
        <v>721</v>
      </c>
      <c r="C6510" t="s">
        <v>705</v>
      </c>
      <c r="D6510" s="230">
        <v>-8466.5499999999993</v>
      </c>
      <c r="E6510" t="s">
        <v>722</v>
      </c>
    </row>
    <row r="6511" spans="1:5" hidden="1" x14ac:dyDescent="0.3">
      <c r="A6511" t="s">
        <v>557</v>
      </c>
      <c r="B6511" t="s">
        <v>721</v>
      </c>
      <c r="C6511" t="s">
        <v>706</v>
      </c>
      <c r="D6511" s="230">
        <v>0</v>
      </c>
      <c r="E6511" t="s">
        <v>722</v>
      </c>
    </row>
    <row r="6512" spans="1:5" hidden="1" x14ac:dyDescent="0.3">
      <c r="A6512" t="s">
        <v>557</v>
      </c>
      <c r="B6512" t="s">
        <v>721</v>
      </c>
      <c r="C6512" t="s">
        <v>254</v>
      </c>
      <c r="D6512" s="230">
        <v>-0.28999999999999998</v>
      </c>
      <c r="E6512" t="s">
        <v>722</v>
      </c>
    </row>
    <row r="6513" spans="1:5" hidden="1" x14ac:dyDescent="0.3">
      <c r="A6513" t="s">
        <v>557</v>
      </c>
      <c r="B6513" t="s">
        <v>721</v>
      </c>
      <c r="C6513" t="s">
        <v>255</v>
      </c>
      <c r="D6513" s="230">
        <v>-0.18</v>
      </c>
      <c r="E6513" t="s">
        <v>722</v>
      </c>
    </row>
    <row r="6514" spans="1:5" hidden="1" x14ac:dyDescent="0.3">
      <c r="A6514" t="s">
        <v>557</v>
      </c>
      <c r="B6514" t="s">
        <v>721</v>
      </c>
      <c r="C6514" t="s">
        <v>256</v>
      </c>
      <c r="D6514" s="230">
        <v>-51752.37</v>
      </c>
      <c r="E6514" t="s">
        <v>722</v>
      </c>
    </row>
    <row r="6515" spans="1:5" hidden="1" x14ac:dyDescent="0.3">
      <c r="A6515" t="s">
        <v>557</v>
      </c>
      <c r="B6515" t="s">
        <v>721</v>
      </c>
      <c r="C6515" t="s">
        <v>257</v>
      </c>
      <c r="D6515" s="230">
        <v>-49305.7</v>
      </c>
      <c r="E6515" t="s">
        <v>722</v>
      </c>
    </row>
    <row r="6516" spans="1:5" hidden="1" x14ac:dyDescent="0.3">
      <c r="A6516" t="s">
        <v>557</v>
      </c>
      <c r="B6516" t="s">
        <v>721</v>
      </c>
      <c r="C6516" t="s">
        <v>258</v>
      </c>
      <c r="D6516" s="230">
        <v>0</v>
      </c>
      <c r="E6516" t="s">
        <v>722</v>
      </c>
    </row>
    <row r="6517" spans="1:5" hidden="1" x14ac:dyDescent="0.3">
      <c r="A6517" t="s">
        <v>557</v>
      </c>
      <c r="B6517" t="s">
        <v>721</v>
      </c>
      <c r="C6517" t="s">
        <v>259</v>
      </c>
      <c r="D6517" s="230">
        <v>-2446.67</v>
      </c>
      <c r="E6517" t="s">
        <v>722</v>
      </c>
    </row>
    <row r="6518" spans="1:5" hidden="1" x14ac:dyDescent="0.3">
      <c r="A6518" t="s">
        <v>557</v>
      </c>
      <c r="B6518" t="s">
        <v>721</v>
      </c>
      <c r="C6518" t="s">
        <v>260</v>
      </c>
      <c r="D6518" s="230">
        <v>0</v>
      </c>
      <c r="E6518" t="s">
        <v>722</v>
      </c>
    </row>
    <row r="6519" spans="1:5" hidden="1" x14ac:dyDescent="0.3">
      <c r="A6519" t="s">
        <v>557</v>
      </c>
      <c r="B6519" t="s">
        <v>721</v>
      </c>
      <c r="C6519" t="s">
        <v>261</v>
      </c>
      <c r="D6519" s="230">
        <v>0</v>
      </c>
      <c r="E6519" t="s">
        <v>722</v>
      </c>
    </row>
    <row r="6520" spans="1:5" hidden="1" x14ac:dyDescent="0.3">
      <c r="A6520" t="s">
        <v>557</v>
      </c>
      <c r="B6520" t="s">
        <v>721</v>
      </c>
      <c r="C6520" t="s">
        <v>262</v>
      </c>
      <c r="D6520" s="230">
        <v>0</v>
      </c>
      <c r="E6520" t="s">
        <v>722</v>
      </c>
    </row>
    <row r="6521" spans="1:5" hidden="1" x14ac:dyDescent="0.3">
      <c r="A6521" t="s">
        <v>557</v>
      </c>
      <c r="B6521" t="s">
        <v>721</v>
      </c>
      <c r="C6521" t="s">
        <v>263</v>
      </c>
      <c r="D6521" s="230">
        <v>0</v>
      </c>
      <c r="E6521" t="s">
        <v>722</v>
      </c>
    </row>
    <row r="6522" spans="1:5" hidden="1" x14ac:dyDescent="0.3">
      <c r="A6522" t="s">
        <v>557</v>
      </c>
      <c r="B6522" t="s">
        <v>721</v>
      </c>
      <c r="C6522" t="s">
        <v>44</v>
      </c>
      <c r="D6522" s="230">
        <v>-0.12</v>
      </c>
      <c r="E6522" t="s">
        <v>722</v>
      </c>
    </row>
    <row r="6523" spans="1:5" hidden="1" x14ac:dyDescent="0.3">
      <c r="A6523" t="s">
        <v>557</v>
      </c>
      <c r="B6523" t="s">
        <v>721</v>
      </c>
      <c r="C6523" t="s">
        <v>264</v>
      </c>
      <c r="D6523" s="230">
        <v>-33193.32</v>
      </c>
      <c r="E6523" t="s">
        <v>722</v>
      </c>
    </row>
    <row r="6524" spans="1:5" hidden="1" x14ac:dyDescent="0.3">
      <c r="A6524" t="s">
        <v>557</v>
      </c>
      <c r="B6524" t="s">
        <v>721</v>
      </c>
      <c r="C6524" t="s">
        <v>265</v>
      </c>
      <c r="D6524" s="230">
        <v>-5191.37</v>
      </c>
      <c r="E6524" t="s">
        <v>722</v>
      </c>
    </row>
    <row r="6525" spans="1:5" hidden="1" x14ac:dyDescent="0.3">
      <c r="A6525" t="s">
        <v>557</v>
      </c>
      <c r="B6525" t="s">
        <v>721</v>
      </c>
      <c r="C6525" t="s">
        <v>266</v>
      </c>
      <c r="D6525" s="230">
        <v>-9909.59</v>
      </c>
      <c r="E6525" t="s">
        <v>722</v>
      </c>
    </row>
    <row r="6526" spans="1:5" hidden="1" x14ac:dyDescent="0.3">
      <c r="A6526" t="s">
        <v>557</v>
      </c>
      <c r="B6526" t="s">
        <v>721</v>
      </c>
      <c r="C6526" t="s">
        <v>267</v>
      </c>
      <c r="D6526" s="230">
        <v>-6257.68</v>
      </c>
      <c r="E6526" t="s">
        <v>722</v>
      </c>
    </row>
    <row r="6527" spans="1:5" hidden="1" x14ac:dyDescent="0.3">
      <c r="A6527" t="s">
        <v>557</v>
      </c>
      <c r="B6527" t="s">
        <v>721</v>
      </c>
      <c r="C6527" t="s">
        <v>268</v>
      </c>
      <c r="D6527" s="230">
        <v>-5554.01</v>
      </c>
      <c r="E6527" t="s">
        <v>722</v>
      </c>
    </row>
    <row r="6528" spans="1:5" hidden="1" x14ac:dyDescent="0.3">
      <c r="A6528" t="s">
        <v>557</v>
      </c>
      <c r="B6528" t="s">
        <v>721</v>
      </c>
      <c r="C6528" t="s">
        <v>269</v>
      </c>
      <c r="D6528" s="230">
        <v>0</v>
      </c>
      <c r="E6528" t="s">
        <v>722</v>
      </c>
    </row>
    <row r="6529" spans="1:5" hidden="1" x14ac:dyDescent="0.3">
      <c r="A6529" t="s">
        <v>557</v>
      </c>
      <c r="B6529" t="s">
        <v>721</v>
      </c>
      <c r="C6529" t="s">
        <v>270</v>
      </c>
      <c r="D6529" s="230">
        <v>-500</v>
      </c>
      <c r="E6529" t="s">
        <v>722</v>
      </c>
    </row>
    <row r="6530" spans="1:5" hidden="1" x14ac:dyDescent="0.3">
      <c r="A6530" t="s">
        <v>557</v>
      </c>
      <c r="B6530" t="s">
        <v>721</v>
      </c>
      <c r="C6530" t="s">
        <v>271</v>
      </c>
      <c r="D6530" s="230">
        <v>-861.84</v>
      </c>
      <c r="E6530" t="s">
        <v>722</v>
      </c>
    </row>
    <row r="6531" spans="1:5" hidden="1" x14ac:dyDescent="0.3">
      <c r="A6531" t="s">
        <v>557</v>
      </c>
      <c r="B6531" t="s">
        <v>721</v>
      </c>
      <c r="C6531" t="s">
        <v>272</v>
      </c>
      <c r="D6531" s="230">
        <v>-503.38</v>
      </c>
      <c r="E6531" t="s">
        <v>722</v>
      </c>
    </row>
    <row r="6532" spans="1:5" hidden="1" x14ac:dyDescent="0.3">
      <c r="A6532" t="s">
        <v>557</v>
      </c>
      <c r="B6532" t="s">
        <v>721</v>
      </c>
      <c r="C6532" t="s">
        <v>273</v>
      </c>
      <c r="D6532" s="230">
        <v>0</v>
      </c>
      <c r="E6532" t="s">
        <v>722</v>
      </c>
    </row>
    <row r="6533" spans="1:5" hidden="1" x14ac:dyDescent="0.3">
      <c r="A6533" t="s">
        <v>557</v>
      </c>
      <c r="B6533" t="s">
        <v>721</v>
      </c>
      <c r="C6533" t="s">
        <v>274</v>
      </c>
      <c r="D6533" s="230">
        <v>0</v>
      </c>
      <c r="E6533" t="s">
        <v>722</v>
      </c>
    </row>
    <row r="6534" spans="1:5" hidden="1" x14ac:dyDescent="0.3">
      <c r="A6534" t="s">
        <v>557</v>
      </c>
      <c r="B6534" t="s">
        <v>721</v>
      </c>
      <c r="C6534" t="s">
        <v>275</v>
      </c>
      <c r="D6534" s="230">
        <v>-589.1</v>
      </c>
      <c r="E6534" t="s">
        <v>722</v>
      </c>
    </row>
    <row r="6535" spans="1:5" hidden="1" x14ac:dyDescent="0.3">
      <c r="A6535" t="s">
        <v>557</v>
      </c>
      <c r="B6535" t="s">
        <v>721</v>
      </c>
      <c r="C6535" t="s">
        <v>276</v>
      </c>
      <c r="D6535" s="230">
        <v>0</v>
      </c>
      <c r="E6535" t="s">
        <v>722</v>
      </c>
    </row>
    <row r="6536" spans="1:5" hidden="1" x14ac:dyDescent="0.3">
      <c r="A6536" t="s">
        <v>557</v>
      </c>
      <c r="B6536" t="s">
        <v>721</v>
      </c>
      <c r="C6536" t="s">
        <v>277</v>
      </c>
      <c r="D6536" s="230">
        <v>0</v>
      </c>
      <c r="E6536" t="s">
        <v>722</v>
      </c>
    </row>
    <row r="6537" spans="1:5" hidden="1" x14ac:dyDescent="0.3">
      <c r="A6537" t="s">
        <v>557</v>
      </c>
      <c r="B6537" t="s">
        <v>721</v>
      </c>
      <c r="C6537" t="s">
        <v>278</v>
      </c>
      <c r="D6537" s="230">
        <v>-3826.35</v>
      </c>
      <c r="E6537" t="s">
        <v>722</v>
      </c>
    </row>
    <row r="6538" spans="1:5" hidden="1" x14ac:dyDescent="0.3">
      <c r="A6538" t="s">
        <v>557</v>
      </c>
      <c r="B6538" t="s">
        <v>721</v>
      </c>
      <c r="C6538" t="s">
        <v>44</v>
      </c>
      <c r="D6538" s="230">
        <v>-7.0000000000000007E-2</v>
      </c>
      <c r="E6538" t="s">
        <v>722</v>
      </c>
    </row>
    <row r="6539" spans="1:5" hidden="1" x14ac:dyDescent="0.3">
      <c r="A6539" t="s">
        <v>557</v>
      </c>
      <c r="B6539" t="s">
        <v>721</v>
      </c>
      <c r="C6539" t="s">
        <v>279</v>
      </c>
      <c r="D6539" s="230">
        <v>-3462.7</v>
      </c>
      <c r="E6539" t="s">
        <v>722</v>
      </c>
    </row>
    <row r="6540" spans="1:5" hidden="1" x14ac:dyDescent="0.3">
      <c r="A6540" t="s">
        <v>557</v>
      </c>
      <c r="B6540" t="s">
        <v>721</v>
      </c>
      <c r="C6540" t="s">
        <v>280</v>
      </c>
      <c r="D6540" s="230">
        <v>-299.89999999999998</v>
      </c>
      <c r="E6540" t="s">
        <v>722</v>
      </c>
    </row>
    <row r="6541" spans="1:5" hidden="1" x14ac:dyDescent="0.3">
      <c r="A6541" t="s">
        <v>557</v>
      </c>
      <c r="B6541" t="s">
        <v>721</v>
      </c>
      <c r="C6541" t="s">
        <v>281</v>
      </c>
      <c r="D6541" s="230">
        <v>-377.16</v>
      </c>
      <c r="E6541" t="s">
        <v>722</v>
      </c>
    </row>
    <row r="6542" spans="1:5" hidden="1" x14ac:dyDescent="0.3">
      <c r="A6542" t="s">
        <v>557</v>
      </c>
      <c r="B6542" t="s">
        <v>721</v>
      </c>
      <c r="C6542" t="s">
        <v>282</v>
      </c>
      <c r="D6542" s="230">
        <v>-295.92</v>
      </c>
      <c r="E6542" t="s">
        <v>722</v>
      </c>
    </row>
    <row r="6543" spans="1:5" hidden="1" x14ac:dyDescent="0.3">
      <c r="A6543" t="s">
        <v>557</v>
      </c>
      <c r="B6543" t="s">
        <v>721</v>
      </c>
      <c r="C6543" t="s">
        <v>283</v>
      </c>
      <c r="D6543" s="230">
        <v>-276.69</v>
      </c>
      <c r="E6543" t="s">
        <v>722</v>
      </c>
    </row>
    <row r="6544" spans="1:5" hidden="1" x14ac:dyDescent="0.3">
      <c r="A6544" t="s">
        <v>557</v>
      </c>
      <c r="B6544" t="s">
        <v>721</v>
      </c>
      <c r="C6544" t="s">
        <v>284</v>
      </c>
      <c r="D6544" s="230">
        <v>-2213.0300000000002</v>
      </c>
      <c r="E6544" t="s">
        <v>722</v>
      </c>
    </row>
    <row r="6545" spans="1:5" hidden="1" x14ac:dyDescent="0.3">
      <c r="A6545" t="s">
        <v>557</v>
      </c>
      <c r="B6545" t="s">
        <v>721</v>
      </c>
      <c r="C6545" t="s">
        <v>285</v>
      </c>
      <c r="D6545" s="230">
        <v>0</v>
      </c>
      <c r="E6545" t="s">
        <v>722</v>
      </c>
    </row>
    <row r="6546" spans="1:5" hidden="1" x14ac:dyDescent="0.3">
      <c r="A6546" t="s">
        <v>557</v>
      </c>
      <c r="B6546" t="s">
        <v>721</v>
      </c>
      <c r="C6546" t="s">
        <v>286</v>
      </c>
      <c r="D6546" s="230">
        <v>0</v>
      </c>
      <c r="E6546" t="s">
        <v>722</v>
      </c>
    </row>
    <row r="6547" spans="1:5" hidden="1" x14ac:dyDescent="0.3">
      <c r="A6547" t="s">
        <v>557</v>
      </c>
      <c r="B6547" t="s">
        <v>721</v>
      </c>
      <c r="C6547" t="s">
        <v>44</v>
      </c>
      <c r="D6547" s="230">
        <v>-0.01</v>
      </c>
      <c r="E6547" t="s">
        <v>722</v>
      </c>
    </row>
    <row r="6548" spans="1:5" hidden="1" x14ac:dyDescent="0.3">
      <c r="A6548" t="s">
        <v>557</v>
      </c>
      <c r="B6548" t="s">
        <v>721</v>
      </c>
      <c r="C6548" t="s">
        <v>287</v>
      </c>
      <c r="D6548" s="230">
        <v>-8071.61</v>
      </c>
      <c r="E6548" t="s">
        <v>722</v>
      </c>
    </row>
    <row r="6549" spans="1:5" hidden="1" x14ac:dyDescent="0.3">
      <c r="A6549" t="s">
        <v>557</v>
      </c>
      <c r="B6549" t="s">
        <v>721</v>
      </c>
      <c r="C6549" t="s">
        <v>288</v>
      </c>
      <c r="D6549" s="230">
        <v>-6773.89</v>
      </c>
      <c r="E6549" t="s">
        <v>722</v>
      </c>
    </row>
    <row r="6550" spans="1:5" hidden="1" x14ac:dyDescent="0.3">
      <c r="A6550" t="s">
        <v>557</v>
      </c>
      <c r="B6550" t="s">
        <v>721</v>
      </c>
      <c r="C6550" t="s">
        <v>289</v>
      </c>
      <c r="D6550" s="230">
        <v>0</v>
      </c>
      <c r="E6550" t="s">
        <v>722</v>
      </c>
    </row>
    <row r="6551" spans="1:5" hidden="1" x14ac:dyDescent="0.3">
      <c r="A6551" t="s">
        <v>557</v>
      </c>
      <c r="B6551" t="s">
        <v>721</v>
      </c>
      <c r="C6551" t="s">
        <v>290</v>
      </c>
      <c r="D6551" s="230">
        <v>0</v>
      </c>
      <c r="E6551" t="s">
        <v>722</v>
      </c>
    </row>
    <row r="6552" spans="1:5" hidden="1" x14ac:dyDescent="0.3">
      <c r="A6552" t="s">
        <v>557</v>
      </c>
      <c r="B6552" t="s">
        <v>721</v>
      </c>
      <c r="C6552" t="s">
        <v>291</v>
      </c>
      <c r="D6552" s="230">
        <v>0</v>
      </c>
      <c r="E6552" t="s">
        <v>722</v>
      </c>
    </row>
    <row r="6553" spans="1:5" hidden="1" x14ac:dyDescent="0.3">
      <c r="A6553" t="s">
        <v>557</v>
      </c>
      <c r="B6553" t="s">
        <v>721</v>
      </c>
      <c r="C6553" t="s">
        <v>292</v>
      </c>
      <c r="D6553" s="230">
        <v>-550</v>
      </c>
      <c r="E6553" t="s">
        <v>722</v>
      </c>
    </row>
    <row r="6554" spans="1:5" hidden="1" x14ac:dyDescent="0.3">
      <c r="A6554" t="s">
        <v>557</v>
      </c>
      <c r="B6554" t="s">
        <v>721</v>
      </c>
      <c r="C6554" t="s">
        <v>293</v>
      </c>
      <c r="D6554" s="230">
        <v>-679.72</v>
      </c>
      <c r="E6554" t="s">
        <v>722</v>
      </c>
    </row>
    <row r="6555" spans="1:5" hidden="1" x14ac:dyDescent="0.3">
      <c r="A6555" t="s">
        <v>557</v>
      </c>
      <c r="B6555" t="s">
        <v>721</v>
      </c>
      <c r="C6555" t="s">
        <v>294</v>
      </c>
      <c r="D6555" s="230">
        <v>-68</v>
      </c>
      <c r="E6555" t="s">
        <v>722</v>
      </c>
    </row>
    <row r="6556" spans="1:5" hidden="1" x14ac:dyDescent="0.3">
      <c r="A6556" t="s">
        <v>557</v>
      </c>
      <c r="B6556" t="s">
        <v>721</v>
      </c>
      <c r="C6556" t="s">
        <v>295</v>
      </c>
      <c r="D6556" s="230">
        <v>0</v>
      </c>
      <c r="E6556" t="s">
        <v>722</v>
      </c>
    </row>
    <row r="6557" spans="1:5" hidden="1" x14ac:dyDescent="0.3">
      <c r="A6557" t="s">
        <v>557</v>
      </c>
      <c r="B6557" t="s">
        <v>721</v>
      </c>
      <c r="C6557" t="s">
        <v>44</v>
      </c>
      <c r="D6557" s="230">
        <v>-0.02</v>
      </c>
      <c r="E6557" t="s">
        <v>722</v>
      </c>
    </row>
    <row r="6558" spans="1:5" hidden="1" x14ac:dyDescent="0.3">
      <c r="A6558" t="s">
        <v>557</v>
      </c>
      <c r="B6558" t="s">
        <v>721</v>
      </c>
      <c r="C6558" t="s">
        <v>296</v>
      </c>
      <c r="D6558" s="230">
        <v>-5373.96</v>
      </c>
      <c r="E6558" t="s">
        <v>722</v>
      </c>
    </row>
    <row r="6559" spans="1:5" hidden="1" x14ac:dyDescent="0.3">
      <c r="A6559" t="s">
        <v>557</v>
      </c>
      <c r="B6559" t="s">
        <v>721</v>
      </c>
      <c r="C6559" t="s">
        <v>297</v>
      </c>
      <c r="D6559" s="230">
        <v>-3500</v>
      </c>
      <c r="E6559" t="s">
        <v>722</v>
      </c>
    </row>
    <row r="6560" spans="1:5" hidden="1" x14ac:dyDescent="0.3">
      <c r="A6560" t="s">
        <v>557</v>
      </c>
      <c r="B6560" t="s">
        <v>721</v>
      </c>
      <c r="C6560" t="s">
        <v>298</v>
      </c>
      <c r="D6560" s="230">
        <v>-460</v>
      </c>
      <c r="E6560" t="s">
        <v>722</v>
      </c>
    </row>
    <row r="6561" spans="1:5" hidden="1" x14ac:dyDescent="0.3">
      <c r="A6561" t="s">
        <v>557</v>
      </c>
      <c r="B6561" t="s">
        <v>721</v>
      </c>
      <c r="C6561" t="s">
        <v>299</v>
      </c>
      <c r="D6561" s="230">
        <v>0</v>
      </c>
      <c r="E6561" t="s">
        <v>722</v>
      </c>
    </row>
    <row r="6562" spans="1:5" hidden="1" x14ac:dyDescent="0.3">
      <c r="A6562" t="s">
        <v>557</v>
      </c>
      <c r="B6562" t="s">
        <v>721</v>
      </c>
      <c r="C6562" t="s">
        <v>300</v>
      </c>
      <c r="D6562" s="230">
        <v>0</v>
      </c>
      <c r="E6562" t="s">
        <v>722</v>
      </c>
    </row>
    <row r="6563" spans="1:5" hidden="1" x14ac:dyDescent="0.3">
      <c r="A6563" t="s">
        <v>557</v>
      </c>
      <c r="B6563" t="s">
        <v>721</v>
      </c>
      <c r="C6563" t="s">
        <v>301</v>
      </c>
      <c r="D6563" s="230">
        <v>-136.80000000000001</v>
      </c>
      <c r="E6563" t="s">
        <v>722</v>
      </c>
    </row>
    <row r="6564" spans="1:5" hidden="1" x14ac:dyDescent="0.3">
      <c r="A6564" t="s">
        <v>557</v>
      </c>
      <c r="B6564" t="s">
        <v>721</v>
      </c>
      <c r="C6564" t="s">
        <v>302</v>
      </c>
      <c r="D6564" s="230">
        <v>0</v>
      </c>
      <c r="E6564" t="s">
        <v>722</v>
      </c>
    </row>
    <row r="6565" spans="1:5" hidden="1" x14ac:dyDescent="0.3">
      <c r="A6565" t="s">
        <v>557</v>
      </c>
      <c r="B6565" t="s">
        <v>721</v>
      </c>
      <c r="C6565" t="s">
        <v>303</v>
      </c>
      <c r="D6565" s="230">
        <v>0</v>
      </c>
      <c r="E6565" t="s">
        <v>722</v>
      </c>
    </row>
    <row r="6566" spans="1:5" hidden="1" x14ac:dyDescent="0.3">
      <c r="A6566" t="s">
        <v>557</v>
      </c>
      <c r="B6566" t="s">
        <v>721</v>
      </c>
      <c r="C6566" t="s">
        <v>304</v>
      </c>
      <c r="D6566" s="230">
        <v>0</v>
      </c>
      <c r="E6566" t="s">
        <v>722</v>
      </c>
    </row>
    <row r="6567" spans="1:5" hidden="1" x14ac:dyDescent="0.3">
      <c r="A6567" t="s">
        <v>557</v>
      </c>
      <c r="B6567" t="s">
        <v>721</v>
      </c>
      <c r="C6567" t="s">
        <v>305</v>
      </c>
      <c r="D6567" s="230">
        <v>-269.14999999999998</v>
      </c>
      <c r="E6567" t="s">
        <v>722</v>
      </c>
    </row>
    <row r="6568" spans="1:5" hidden="1" x14ac:dyDescent="0.3">
      <c r="A6568" t="s">
        <v>557</v>
      </c>
      <c r="B6568" t="s">
        <v>721</v>
      </c>
      <c r="C6568" t="s">
        <v>306</v>
      </c>
      <c r="D6568" s="230">
        <v>0</v>
      </c>
      <c r="E6568" t="s">
        <v>722</v>
      </c>
    </row>
    <row r="6569" spans="1:5" hidden="1" x14ac:dyDescent="0.3">
      <c r="A6569" t="s">
        <v>557</v>
      </c>
      <c r="B6569" t="s">
        <v>721</v>
      </c>
      <c r="C6569" t="s">
        <v>307</v>
      </c>
      <c r="D6569" s="230">
        <v>-1008.01</v>
      </c>
      <c r="E6569" t="s">
        <v>722</v>
      </c>
    </row>
    <row r="6570" spans="1:5" hidden="1" x14ac:dyDescent="0.3">
      <c r="A6570" t="s">
        <v>557</v>
      </c>
      <c r="B6570" t="s">
        <v>721</v>
      </c>
      <c r="C6570" t="s">
        <v>44</v>
      </c>
      <c r="D6570" s="230">
        <v>-0.01</v>
      </c>
      <c r="E6570" t="s">
        <v>722</v>
      </c>
    </row>
    <row r="6571" spans="1:5" hidden="1" x14ac:dyDescent="0.3">
      <c r="A6571" t="s">
        <v>557</v>
      </c>
      <c r="B6571" t="s">
        <v>721</v>
      </c>
      <c r="C6571" t="s">
        <v>308</v>
      </c>
      <c r="D6571" s="230">
        <v>-2331.0700000000002</v>
      </c>
      <c r="E6571" t="s">
        <v>722</v>
      </c>
    </row>
    <row r="6572" spans="1:5" hidden="1" x14ac:dyDescent="0.3">
      <c r="A6572" t="s">
        <v>557</v>
      </c>
      <c r="B6572" t="s">
        <v>721</v>
      </c>
      <c r="C6572" t="s">
        <v>309</v>
      </c>
      <c r="D6572" s="230">
        <v>-1412</v>
      </c>
      <c r="E6572" t="s">
        <v>722</v>
      </c>
    </row>
    <row r="6573" spans="1:5" hidden="1" x14ac:dyDescent="0.3">
      <c r="A6573" t="s">
        <v>557</v>
      </c>
      <c r="B6573" t="s">
        <v>721</v>
      </c>
      <c r="C6573" t="s">
        <v>310</v>
      </c>
      <c r="D6573" s="230">
        <v>0</v>
      </c>
      <c r="E6573" t="s">
        <v>722</v>
      </c>
    </row>
    <row r="6574" spans="1:5" hidden="1" x14ac:dyDescent="0.3">
      <c r="A6574" t="s">
        <v>557</v>
      </c>
      <c r="B6574" t="s">
        <v>721</v>
      </c>
      <c r="C6574" t="s">
        <v>311</v>
      </c>
      <c r="D6574" s="230">
        <v>-860.55</v>
      </c>
      <c r="E6574" t="s">
        <v>722</v>
      </c>
    </row>
    <row r="6575" spans="1:5" hidden="1" x14ac:dyDescent="0.3">
      <c r="A6575" t="s">
        <v>557</v>
      </c>
      <c r="B6575" t="s">
        <v>721</v>
      </c>
      <c r="C6575" t="s">
        <v>312</v>
      </c>
      <c r="D6575" s="230">
        <v>0</v>
      </c>
      <c r="E6575" t="s">
        <v>722</v>
      </c>
    </row>
    <row r="6576" spans="1:5" hidden="1" x14ac:dyDescent="0.3">
      <c r="A6576" t="s">
        <v>557</v>
      </c>
      <c r="B6576" t="s">
        <v>721</v>
      </c>
      <c r="C6576" t="s">
        <v>313</v>
      </c>
      <c r="D6576" s="230">
        <v>0</v>
      </c>
      <c r="E6576" t="s">
        <v>722</v>
      </c>
    </row>
    <row r="6577" spans="1:5" hidden="1" x14ac:dyDescent="0.3">
      <c r="A6577" t="s">
        <v>557</v>
      </c>
      <c r="B6577" t="s">
        <v>721</v>
      </c>
      <c r="C6577" t="s">
        <v>314</v>
      </c>
      <c r="D6577" s="230">
        <v>0</v>
      </c>
      <c r="E6577" t="s">
        <v>722</v>
      </c>
    </row>
    <row r="6578" spans="1:5" hidden="1" x14ac:dyDescent="0.3">
      <c r="A6578" t="s">
        <v>557</v>
      </c>
      <c r="B6578" t="s">
        <v>721</v>
      </c>
      <c r="C6578" t="s">
        <v>315</v>
      </c>
      <c r="D6578" s="230">
        <v>0</v>
      </c>
      <c r="E6578" t="s">
        <v>722</v>
      </c>
    </row>
    <row r="6579" spans="1:5" hidden="1" x14ac:dyDescent="0.3">
      <c r="A6579" t="s">
        <v>557</v>
      </c>
      <c r="B6579" t="s">
        <v>721</v>
      </c>
      <c r="C6579" t="s">
        <v>316</v>
      </c>
      <c r="D6579" s="230">
        <v>0</v>
      </c>
      <c r="E6579" t="s">
        <v>722</v>
      </c>
    </row>
    <row r="6580" spans="1:5" hidden="1" x14ac:dyDescent="0.3">
      <c r="A6580" t="s">
        <v>557</v>
      </c>
      <c r="B6580" t="s">
        <v>721</v>
      </c>
      <c r="C6580" t="s">
        <v>317</v>
      </c>
      <c r="D6580" s="230">
        <v>-58.52</v>
      </c>
      <c r="E6580" t="s">
        <v>722</v>
      </c>
    </row>
    <row r="6581" spans="1:5" hidden="1" x14ac:dyDescent="0.3">
      <c r="A6581" t="s">
        <v>557</v>
      </c>
      <c r="B6581" t="s">
        <v>721</v>
      </c>
      <c r="C6581" t="s">
        <v>44</v>
      </c>
      <c r="D6581" s="230">
        <v>-0.01</v>
      </c>
      <c r="E6581" t="s">
        <v>722</v>
      </c>
    </row>
    <row r="6582" spans="1:5" hidden="1" x14ac:dyDescent="0.3">
      <c r="A6582" t="s">
        <v>557</v>
      </c>
      <c r="B6582" t="s">
        <v>721</v>
      </c>
      <c r="C6582" t="s">
        <v>318</v>
      </c>
      <c r="D6582" s="230">
        <v>-2163.2399999999998</v>
      </c>
      <c r="E6582" t="s">
        <v>722</v>
      </c>
    </row>
    <row r="6583" spans="1:5" hidden="1" x14ac:dyDescent="0.3">
      <c r="A6583" t="s">
        <v>557</v>
      </c>
      <c r="B6583" t="s">
        <v>721</v>
      </c>
      <c r="C6583" t="s">
        <v>319</v>
      </c>
      <c r="D6583" s="230">
        <v>-2163.2399999999998</v>
      </c>
      <c r="E6583" t="s">
        <v>722</v>
      </c>
    </row>
    <row r="6584" spans="1:5" hidden="1" x14ac:dyDescent="0.3">
      <c r="A6584" t="s">
        <v>557</v>
      </c>
      <c r="B6584" t="s">
        <v>721</v>
      </c>
      <c r="C6584" t="s">
        <v>320</v>
      </c>
      <c r="D6584" s="230">
        <v>0</v>
      </c>
      <c r="E6584" t="s">
        <v>722</v>
      </c>
    </row>
    <row r="6585" spans="1:5" hidden="1" x14ac:dyDescent="0.3">
      <c r="A6585" t="s">
        <v>557</v>
      </c>
      <c r="B6585" t="s">
        <v>721</v>
      </c>
      <c r="C6585" t="s">
        <v>321</v>
      </c>
      <c r="D6585" s="230">
        <v>0</v>
      </c>
      <c r="E6585" t="s">
        <v>722</v>
      </c>
    </row>
    <row r="6586" spans="1:5" hidden="1" x14ac:dyDescent="0.3">
      <c r="A6586" t="s">
        <v>557</v>
      </c>
      <c r="B6586" t="s">
        <v>721</v>
      </c>
      <c r="C6586" t="s">
        <v>322</v>
      </c>
      <c r="D6586" s="230">
        <v>0</v>
      </c>
      <c r="E6586" t="s">
        <v>722</v>
      </c>
    </row>
    <row r="6587" spans="1:5" hidden="1" x14ac:dyDescent="0.3">
      <c r="A6587" t="s">
        <v>557</v>
      </c>
      <c r="B6587" t="s">
        <v>721</v>
      </c>
      <c r="C6587" t="s">
        <v>44</v>
      </c>
      <c r="D6587" s="230">
        <v>0</v>
      </c>
      <c r="E6587" t="s">
        <v>722</v>
      </c>
    </row>
    <row r="6588" spans="1:5" hidden="1" x14ac:dyDescent="0.3">
      <c r="A6588" t="s">
        <v>557</v>
      </c>
      <c r="B6588" t="s">
        <v>721</v>
      </c>
      <c r="C6588" t="s">
        <v>323</v>
      </c>
      <c r="D6588" s="230">
        <v>-22343.85</v>
      </c>
      <c r="E6588" t="s">
        <v>722</v>
      </c>
    </row>
    <row r="6589" spans="1:5" hidden="1" x14ac:dyDescent="0.3">
      <c r="A6589" t="s">
        <v>557</v>
      </c>
      <c r="B6589" t="s">
        <v>721</v>
      </c>
      <c r="C6589" t="s">
        <v>324</v>
      </c>
      <c r="D6589" s="230">
        <v>0</v>
      </c>
      <c r="E6589" t="s">
        <v>722</v>
      </c>
    </row>
    <row r="6590" spans="1:5" hidden="1" x14ac:dyDescent="0.3">
      <c r="A6590" t="s">
        <v>557</v>
      </c>
      <c r="B6590" t="s">
        <v>721</v>
      </c>
      <c r="C6590" t="s">
        <v>325</v>
      </c>
      <c r="D6590" s="230">
        <v>0</v>
      </c>
      <c r="E6590" t="s">
        <v>722</v>
      </c>
    </row>
    <row r="6591" spans="1:5" hidden="1" x14ac:dyDescent="0.3">
      <c r="A6591" t="s">
        <v>557</v>
      </c>
      <c r="B6591" t="s">
        <v>721</v>
      </c>
      <c r="C6591" t="s">
        <v>326</v>
      </c>
      <c r="D6591" s="230">
        <v>-22343.85</v>
      </c>
      <c r="E6591" t="s">
        <v>722</v>
      </c>
    </row>
    <row r="6592" spans="1:5" hidden="1" x14ac:dyDescent="0.3">
      <c r="A6592" t="s">
        <v>557</v>
      </c>
      <c r="B6592" t="s">
        <v>721</v>
      </c>
      <c r="C6592" t="s">
        <v>44</v>
      </c>
      <c r="D6592" s="230">
        <v>-0.05</v>
      </c>
      <c r="E6592" t="s">
        <v>722</v>
      </c>
    </row>
    <row r="6593" spans="1:5" hidden="1" x14ac:dyDescent="0.3">
      <c r="A6593" t="s">
        <v>557</v>
      </c>
      <c r="B6593" t="s">
        <v>721</v>
      </c>
      <c r="C6593" t="s">
        <v>328</v>
      </c>
      <c r="D6593" s="230">
        <v>-260086.8</v>
      </c>
      <c r="E6593" t="s">
        <v>722</v>
      </c>
    </row>
    <row r="6594" spans="1:5" hidden="1" x14ac:dyDescent="0.3">
      <c r="A6594" t="s">
        <v>557</v>
      </c>
      <c r="B6594" t="s">
        <v>721</v>
      </c>
      <c r="C6594" t="s">
        <v>44</v>
      </c>
      <c r="D6594" s="230">
        <v>-0.57999999999999996</v>
      </c>
      <c r="E6594" t="s">
        <v>722</v>
      </c>
    </row>
    <row r="6595" spans="1:5" hidden="1" x14ac:dyDescent="0.3">
      <c r="A6595" t="s">
        <v>557</v>
      </c>
      <c r="B6595" t="s">
        <v>721</v>
      </c>
      <c r="C6595" t="s">
        <v>329</v>
      </c>
      <c r="D6595" s="230">
        <v>-10260.780000000001</v>
      </c>
      <c r="E6595" t="s">
        <v>722</v>
      </c>
    </row>
    <row r="6596" spans="1:5" hidden="1" x14ac:dyDescent="0.3">
      <c r="A6596" t="s">
        <v>557</v>
      </c>
      <c r="B6596" t="s">
        <v>721</v>
      </c>
      <c r="C6596" t="s">
        <v>44</v>
      </c>
      <c r="D6596" s="230">
        <v>-0.02</v>
      </c>
      <c r="E6596" t="s">
        <v>722</v>
      </c>
    </row>
    <row r="6597" spans="1:5" hidden="1" x14ac:dyDescent="0.3">
      <c r="A6597" t="s">
        <v>557</v>
      </c>
      <c r="B6597" t="s">
        <v>721</v>
      </c>
      <c r="C6597" t="s">
        <v>330</v>
      </c>
      <c r="D6597" s="230">
        <v>0</v>
      </c>
      <c r="E6597" t="s">
        <v>722</v>
      </c>
    </row>
    <row r="6598" spans="1:5" hidden="1" x14ac:dyDescent="0.3">
      <c r="A6598" t="s">
        <v>557</v>
      </c>
      <c r="B6598" t="s">
        <v>721</v>
      </c>
      <c r="C6598" t="s">
        <v>332</v>
      </c>
      <c r="D6598" s="230">
        <v>-10260.780000000001</v>
      </c>
      <c r="E6598" t="s">
        <v>722</v>
      </c>
    </row>
    <row r="6599" spans="1:5" hidden="1" x14ac:dyDescent="0.3">
      <c r="A6599" t="s">
        <v>557</v>
      </c>
      <c r="B6599" t="s">
        <v>721</v>
      </c>
      <c r="C6599" t="s">
        <v>333</v>
      </c>
      <c r="D6599" s="230">
        <v>7722.2</v>
      </c>
      <c r="E6599" t="s">
        <v>722</v>
      </c>
    </row>
    <row r="6600" spans="1:5" hidden="1" x14ac:dyDescent="0.3">
      <c r="A6600" t="s">
        <v>557</v>
      </c>
      <c r="B6600" t="s">
        <v>721</v>
      </c>
      <c r="C6600" t="s">
        <v>334</v>
      </c>
      <c r="D6600" s="230">
        <v>0</v>
      </c>
      <c r="E6600" t="s">
        <v>722</v>
      </c>
    </row>
    <row r="6601" spans="1:5" hidden="1" x14ac:dyDescent="0.3">
      <c r="A6601" t="s">
        <v>557</v>
      </c>
      <c r="B6601" t="s">
        <v>721</v>
      </c>
      <c r="C6601" t="s">
        <v>336</v>
      </c>
      <c r="D6601" s="230">
        <v>-122.43</v>
      </c>
      <c r="E6601" t="s">
        <v>722</v>
      </c>
    </row>
    <row r="6602" spans="1:5" hidden="1" x14ac:dyDescent="0.3">
      <c r="A6602" t="s">
        <v>557</v>
      </c>
      <c r="B6602" t="s">
        <v>721</v>
      </c>
      <c r="C6602" t="s">
        <v>338</v>
      </c>
      <c r="D6602" s="230">
        <v>-2661.01</v>
      </c>
      <c r="E6602" t="s">
        <v>722</v>
      </c>
    </row>
    <row r="6603" spans="1:5" hidden="1" x14ac:dyDescent="0.3">
      <c r="A6603" t="s">
        <v>557</v>
      </c>
      <c r="B6603" t="s">
        <v>721</v>
      </c>
      <c r="C6603" t="s">
        <v>339</v>
      </c>
      <c r="D6603" s="230">
        <v>-21450.09</v>
      </c>
      <c r="E6603" t="s">
        <v>722</v>
      </c>
    </row>
    <row r="6604" spans="1:5" hidden="1" x14ac:dyDescent="0.3">
      <c r="A6604" t="s">
        <v>557</v>
      </c>
      <c r="B6604" t="s">
        <v>721</v>
      </c>
      <c r="C6604" t="s">
        <v>342</v>
      </c>
      <c r="D6604" s="230">
        <v>-21450.09</v>
      </c>
      <c r="E6604" t="s">
        <v>722</v>
      </c>
    </row>
    <row r="6605" spans="1:5" hidden="1" x14ac:dyDescent="0.3">
      <c r="A6605" t="s">
        <v>557</v>
      </c>
      <c r="B6605" t="s">
        <v>721</v>
      </c>
      <c r="C6605" t="s">
        <v>344</v>
      </c>
      <c r="D6605" s="230">
        <v>0</v>
      </c>
      <c r="E6605" t="s">
        <v>722</v>
      </c>
    </row>
    <row r="6606" spans="1:5" hidden="1" x14ac:dyDescent="0.3">
      <c r="A6606" t="s">
        <v>557</v>
      </c>
      <c r="B6606" t="s">
        <v>721</v>
      </c>
      <c r="C6606" t="s">
        <v>345</v>
      </c>
      <c r="D6606" s="230">
        <v>0</v>
      </c>
      <c r="E6606" t="s">
        <v>722</v>
      </c>
    </row>
    <row r="6607" spans="1:5" hidden="1" x14ac:dyDescent="0.3">
      <c r="A6607" t="s">
        <v>557</v>
      </c>
      <c r="B6607" t="s">
        <v>721</v>
      </c>
      <c r="C6607" t="s">
        <v>346</v>
      </c>
      <c r="D6607" s="230">
        <v>0</v>
      </c>
      <c r="E6607" t="s">
        <v>722</v>
      </c>
    </row>
    <row r="6608" spans="1:5" hidden="1" x14ac:dyDescent="0.3">
      <c r="A6608" t="s">
        <v>557</v>
      </c>
      <c r="B6608" t="s">
        <v>721</v>
      </c>
      <c r="C6608" t="s">
        <v>347</v>
      </c>
      <c r="D6608" s="230">
        <v>-24111.1</v>
      </c>
      <c r="E6608" t="s">
        <v>722</v>
      </c>
    </row>
    <row r="6609" spans="1:5" hidden="1" x14ac:dyDescent="0.3">
      <c r="A6609" t="s">
        <v>557</v>
      </c>
      <c r="B6609" t="s">
        <v>721</v>
      </c>
      <c r="C6609" t="s">
        <v>44</v>
      </c>
      <c r="D6609" s="230">
        <v>-0.05</v>
      </c>
      <c r="E6609" t="s">
        <v>722</v>
      </c>
    </row>
    <row r="6610" spans="1:5" hidden="1" x14ac:dyDescent="0.3">
      <c r="A6610" t="s">
        <v>557</v>
      </c>
      <c r="B6610" t="s">
        <v>721</v>
      </c>
      <c r="C6610" t="s">
        <v>348</v>
      </c>
      <c r="D6610" s="230">
        <v>-433.33</v>
      </c>
      <c r="E6610" t="s">
        <v>722</v>
      </c>
    </row>
    <row r="6611" spans="1:5" hidden="1" x14ac:dyDescent="0.3">
      <c r="A6611" t="s">
        <v>557</v>
      </c>
      <c r="B6611" t="s">
        <v>721</v>
      </c>
      <c r="C6611" t="s">
        <v>707</v>
      </c>
      <c r="D6611" s="230">
        <v>-433.33</v>
      </c>
      <c r="E6611" t="s">
        <v>722</v>
      </c>
    </row>
    <row r="6612" spans="1:5" hidden="1" x14ac:dyDescent="0.3">
      <c r="A6612" t="s">
        <v>557</v>
      </c>
      <c r="B6612" t="s">
        <v>721</v>
      </c>
      <c r="C6612" t="s">
        <v>350</v>
      </c>
      <c r="D6612" s="230">
        <v>0</v>
      </c>
      <c r="E6612" t="s">
        <v>722</v>
      </c>
    </row>
    <row r="6613" spans="1:5" hidden="1" x14ac:dyDescent="0.3">
      <c r="A6613" t="s">
        <v>557</v>
      </c>
      <c r="B6613" t="s">
        <v>721</v>
      </c>
      <c r="C6613" t="s">
        <v>351</v>
      </c>
      <c r="D6613" s="230">
        <v>0</v>
      </c>
      <c r="E6613" t="s">
        <v>722</v>
      </c>
    </row>
    <row r="6614" spans="1:5" hidden="1" x14ac:dyDescent="0.3">
      <c r="A6614" t="s">
        <v>557</v>
      </c>
      <c r="B6614" t="s">
        <v>721</v>
      </c>
      <c r="C6614" t="s">
        <v>352</v>
      </c>
      <c r="D6614" s="230">
        <v>0</v>
      </c>
      <c r="E6614" t="s">
        <v>722</v>
      </c>
    </row>
    <row r="6615" spans="1:5" hidden="1" x14ac:dyDescent="0.3">
      <c r="A6615" t="s">
        <v>557</v>
      </c>
      <c r="B6615" t="s">
        <v>721</v>
      </c>
      <c r="C6615" t="s">
        <v>353</v>
      </c>
      <c r="D6615" s="230">
        <v>0</v>
      </c>
      <c r="E6615" t="s">
        <v>722</v>
      </c>
    </row>
    <row r="6616" spans="1:5" hidden="1" x14ac:dyDescent="0.3">
      <c r="A6616" t="s">
        <v>557</v>
      </c>
      <c r="B6616" t="s">
        <v>721</v>
      </c>
      <c r="C6616" t="s">
        <v>354</v>
      </c>
      <c r="D6616" s="230">
        <v>0</v>
      </c>
      <c r="E6616" t="s">
        <v>722</v>
      </c>
    </row>
    <row r="6617" spans="1:5" hidden="1" x14ac:dyDescent="0.3">
      <c r="A6617" t="s">
        <v>557</v>
      </c>
      <c r="B6617" t="s">
        <v>721</v>
      </c>
      <c r="C6617" t="s">
        <v>355</v>
      </c>
      <c r="D6617" s="230">
        <v>0</v>
      </c>
      <c r="E6617" t="s">
        <v>722</v>
      </c>
    </row>
    <row r="6618" spans="1:5" hidden="1" x14ac:dyDescent="0.3">
      <c r="A6618" t="s">
        <v>557</v>
      </c>
      <c r="B6618" t="s">
        <v>721</v>
      </c>
      <c r="C6618" t="s">
        <v>356</v>
      </c>
      <c r="D6618" s="230">
        <v>0</v>
      </c>
      <c r="E6618" t="s">
        <v>722</v>
      </c>
    </row>
    <row r="6619" spans="1:5" hidden="1" x14ac:dyDescent="0.3">
      <c r="A6619" t="s">
        <v>557</v>
      </c>
      <c r="B6619" t="s">
        <v>721</v>
      </c>
      <c r="C6619" t="s">
        <v>357</v>
      </c>
      <c r="D6619" s="230">
        <v>0</v>
      </c>
      <c r="E6619" t="s">
        <v>722</v>
      </c>
    </row>
    <row r="6620" spans="1:5" hidden="1" x14ac:dyDescent="0.3">
      <c r="A6620" t="s">
        <v>557</v>
      </c>
      <c r="B6620" t="s">
        <v>721</v>
      </c>
      <c r="C6620" t="s">
        <v>358</v>
      </c>
      <c r="D6620" s="230">
        <v>0</v>
      </c>
      <c r="E6620" t="s">
        <v>722</v>
      </c>
    </row>
    <row r="6621" spans="1:5" hidden="1" x14ac:dyDescent="0.3">
      <c r="A6621" t="s">
        <v>557</v>
      </c>
      <c r="B6621" t="s">
        <v>721</v>
      </c>
      <c r="C6621" t="s">
        <v>359</v>
      </c>
      <c r="D6621" s="230">
        <v>0</v>
      </c>
      <c r="E6621" t="s">
        <v>722</v>
      </c>
    </row>
    <row r="6622" spans="1:5" hidden="1" x14ac:dyDescent="0.3">
      <c r="A6622" t="s">
        <v>557</v>
      </c>
      <c r="B6622" t="s">
        <v>721</v>
      </c>
      <c r="C6622" t="s">
        <v>360</v>
      </c>
      <c r="D6622" s="230">
        <v>0</v>
      </c>
      <c r="E6622" t="s">
        <v>722</v>
      </c>
    </row>
    <row r="6623" spans="1:5" hidden="1" x14ac:dyDescent="0.3">
      <c r="A6623" t="s">
        <v>557</v>
      </c>
      <c r="B6623" t="s">
        <v>721</v>
      </c>
      <c r="C6623" t="s">
        <v>361</v>
      </c>
      <c r="D6623" s="230">
        <v>0</v>
      </c>
      <c r="E6623" t="s">
        <v>722</v>
      </c>
    </row>
    <row r="6624" spans="1:5" hidden="1" x14ac:dyDescent="0.3">
      <c r="A6624" t="s">
        <v>557</v>
      </c>
      <c r="B6624" t="s">
        <v>721</v>
      </c>
      <c r="C6624" t="s">
        <v>362</v>
      </c>
      <c r="D6624" s="230">
        <v>0</v>
      </c>
      <c r="E6624" t="s">
        <v>722</v>
      </c>
    </row>
    <row r="6625" spans="1:5" hidden="1" x14ac:dyDescent="0.3">
      <c r="A6625" t="s">
        <v>557</v>
      </c>
      <c r="B6625" t="s">
        <v>721</v>
      </c>
      <c r="C6625" t="s">
        <v>363</v>
      </c>
      <c r="D6625" s="230">
        <v>0</v>
      </c>
      <c r="E6625" t="s">
        <v>722</v>
      </c>
    </row>
    <row r="6626" spans="1:5" hidden="1" x14ac:dyDescent="0.3">
      <c r="A6626" t="s">
        <v>557</v>
      </c>
      <c r="B6626" t="s">
        <v>721</v>
      </c>
      <c r="C6626" t="s">
        <v>364</v>
      </c>
      <c r="D6626" s="230">
        <v>0</v>
      </c>
      <c r="E6626" t="s">
        <v>722</v>
      </c>
    </row>
    <row r="6627" spans="1:5" hidden="1" x14ac:dyDescent="0.3">
      <c r="A6627" t="s">
        <v>557</v>
      </c>
      <c r="B6627" t="s">
        <v>721</v>
      </c>
      <c r="C6627" t="s">
        <v>365</v>
      </c>
      <c r="D6627" s="230">
        <v>0</v>
      </c>
      <c r="E6627" t="s">
        <v>722</v>
      </c>
    </row>
    <row r="6628" spans="1:5" hidden="1" x14ac:dyDescent="0.3">
      <c r="A6628" t="s">
        <v>557</v>
      </c>
      <c r="B6628" t="s">
        <v>721</v>
      </c>
      <c r="C6628" t="s">
        <v>366</v>
      </c>
      <c r="D6628" s="230">
        <v>0</v>
      </c>
      <c r="E6628" t="s">
        <v>722</v>
      </c>
    </row>
    <row r="6629" spans="1:5" hidden="1" x14ac:dyDescent="0.3">
      <c r="A6629" t="s">
        <v>557</v>
      </c>
      <c r="B6629" t="s">
        <v>721</v>
      </c>
      <c r="C6629" t="s">
        <v>367</v>
      </c>
      <c r="D6629" s="230">
        <v>0</v>
      </c>
      <c r="E6629" t="s">
        <v>722</v>
      </c>
    </row>
    <row r="6630" spans="1:5" hidden="1" x14ac:dyDescent="0.3">
      <c r="A6630" t="s">
        <v>557</v>
      </c>
      <c r="B6630" t="s">
        <v>721</v>
      </c>
      <c r="C6630" t="s">
        <v>368</v>
      </c>
      <c r="D6630" s="230">
        <v>0</v>
      </c>
      <c r="E6630" t="s">
        <v>722</v>
      </c>
    </row>
    <row r="6631" spans="1:5" hidden="1" x14ac:dyDescent="0.3">
      <c r="A6631" t="s">
        <v>557</v>
      </c>
      <c r="B6631" t="s">
        <v>721</v>
      </c>
      <c r="C6631" t="s">
        <v>369</v>
      </c>
      <c r="D6631" s="230">
        <v>0</v>
      </c>
      <c r="E6631" t="s">
        <v>722</v>
      </c>
    </row>
    <row r="6632" spans="1:5" hidden="1" x14ac:dyDescent="0.3">
      <c r="A6632" t="s">
        <v>557</v>
      </c>
      <c r="B6632" t="s">
        <v>721</v>
      </c>
      <c r="C6632" t="s">
        <v>370</v>
      </c>
      <c r="D6632" s="230">
        <v>0</v>
      </c>
      <c r="E6632" t="s">
        <v>722</v>
      </c>
    </row>
    <row r="6633" spans="1:5" hidden="1" x14ac:dyDescent="0.3">
      <c r="A6633" t="s">
        <v>557</v>
      </c>
      <c r="B6633" t="s">
        <v>721</v>
      </c>
      <c r="C6633" t="s">
        <v>371</v>
      </c>
      <c r="D6633" s="230">
        <v>0</v>
      </c>
      <c r="E6633" t="s">
        <v>722</v>
      </c>
    </row>
    <row r="6634" spans="1:5" hidden="1" x14ac:dyDescent="0.3">
      <c r="A6634" t="s">
        <v>557</v>
      </c>
      <c r="B6634" t="s">
        <v>721</v>
      </c>
      <c r="C6634" t="s">
        <v>372</v>
      </c>
      <c r="D6634" s="230">
        <v>0</v>
      </c>
      <c r="E6634" t="s">
        <v>722</v>
      </c>
    </row>
    <row r="6635" spans="1:5" hidden="1" x14ac:dyDescent="0.3">
      <c r="A6635" t="s">
        <v>557</v>
      </c>
      <c r="B6635" t="s">
        <v>721</v>
      </c>
      <c r="C6635" t="s">
        <v>373</v>
      </c>
      <c r="D6635" s="230">
        <v>0</v>
      </c>
      <c r="E6635" t="s">
        <v>722</v>
      </c>
    </row>
    <row r="6636" spans="1:5" hidden="1" x14ac:dyDescent="0.3">
      <c r="A6636" t="s">
        <v>557</v>
      </c>
      <c r="B6636" t="s">
        <v>721</v>
      </c>
      <c r="C6636" t="s">
        <v>374</v>
      </c>
      <c r="D6636" s="230">
        <v>0</v>
      </c>
      <c r="E6636" t="s">
        <v>722</v>
      </c>
    </row>
    <row r="6637" spans="1:5" hidden="1" x14ac:dyDescent="0.3">
      <c r="A6637" t="s">
        <v>557</v>
      </c>
      <c r="B6637" t="s">
        <v>721</v>
      </c>
      <c r="C6637" t="s">
        <v>708</v>
      </c>
      <c r="D6637" s="230">
        <v>0</v>
      </c>
      <c r="E6637" t="s">
        <v>722</v>
      </c>
    </row>
    <row r="6638" spans="1:5" hidden="1" x14ac:dyDescent="0.3">
      <c r="A6638" t="s">
        <v>557</v>
      </c>
      <c r="B6638" t="s">
        <v>723</v>
      </c>
      <c r="C6638" t="s">
        <v>11</v>
      </c>
      <c r="D6638" s="230">
        <v>462951.13</v>
      </c>
      <c r="E6638" t="s">
        <v>724</v>
      </c>
    </row>
    <row r="6639" spans="1:5" hidden="1" x14ac:dyDescent="0.3">
      <c r="A6639" t="s">
        <v>557</v>
      </c>
      <c r="B6639" t="s">
        <v>723</v>
      </c>
      <c r="C6639" t="s">
        <v>13</v>
      </c>
      <c r="D6639" s="230">
        <v>239466.2</v>
      </c>
      <c r="E6639" t="s">
        <v>724</v>
      </c>
    </row>
    <row r="6640" spans="1:5" hidden="1" x14ac:dyDescent="0.3">
      <c r="A6640" t="s">
        <v>557</v>
      </c>
      <c r="B6640" t="s">
        <v>723</v>
      </c>
      <c r="C6640" t="s">
        <v>16</v>
      </c>
      <c r="D6640" s="230">
        <v>118842.8</v>
      </c>
      <c r="E6640" t="s">
        <v>724</v>
      </c>
    </row>
    <row r="6641" spans="1:5" hidden="1" x14ac:dyDescent="0.3">
      <c r="A6641" t="s">
        <v>557</v>
      </c>
      <c r="B6641" t="s">
        <v>723</v>
      </c>
      <c r="C6641" t="s">
        <v>17</v>
      </c>
      <c r="D6641" s="230">
        <v>7830</v>
      </c>
      <c r="E6641" t="s">
        <v>724</v>
      </c>
    </row>
    <row r="6642" spans="1:5" hidden="1" x14ac:dyDescent="0.3">
      <c r="A6642" t="s">
        <v>557</v>
      </c>
      <c r="B6642" t="s">
        <v>723</v>
      </c>
      <c r="C6642" t="s">
        <v>18</v>
      </c>
      <c r="D6642" s="230">
        <v>189</v>
      </c>
      <c r="E6642" t="s">
        <v>724</v>
      </c>
    </row>
    <row r="6643" spans="1:5" hidden="1" x14ac:dyDescent="0.3">
      <c r="A6643" t="s">
        <v>557</v>
      </c>
      <c r="B6643" t="s">
        <v>723</v>
      </c>
      <c r="C6643" t="s">
        <v>20</v>
      </c>
      <c r="D6643" s="230">
        <v>46561.73</v>
      </c>
      <c r="E6643" t="s">
        <v>724</v>
      </c>
    </row>
    <row r="6644" spans="1:5" hidden="1" x14ac:dyDescent="0.3">
      <c r="A6644" t="s">
        <v>557</v>
      </c>
      <c r="B6644" t="s">
        <v>723</v>
      </c>
      <c r="C6644" t="s">
        <v>23</v>
      </c>
      <c r="D6644" s="230">
        <v>29911.93</v>
      </c>
      <c r="E6644" t="s">
        <v>724</v>
      </c>
    </row>
    <row r="6645" spans="1:5" hidden="1" x14ac:dyDescent="0.3">
      <c r="A6645" t="s">
        <v>557</v>
      </c>
      <c r="B6645" t="s">
        <v>723</v>
      </c>
      <c r="C6645" t="s">
        <v>25</v>
      </c>
      <c r="D6645" s="230">
        <v>1000</v>
      </c>
      <c r="E6645" t="s">
        <v>724</v>
      </c>
    </row>
    <row r="6646" spans="1:5" hidden="1" x14ac:dyDescent="0.3">
      <c r="A6646" t="s">
        <v>557</v>
      </c>
      <c r="B6646" t="s">
        <v>723</v>
      </c>
      <c r="C6646" t="s">
        <v>26</v>
      </c>
      <c r="D6646" s="230">
        <v>15400</v>
      </c>
      <c r="E6646" t="s">
        <v>724</v>
      </c>
    </row>
    <row r="6647" spans="1:5" hidden="1" x14ac:dyDescent="0.3">
      <c r="A6647" t="s">
        <v>557</v>
      </c>
      <c r="B6647" t="s">
        <v>723</v>
      </c>
      <c r="C6647" t="s">
        <v>27</v>
      </c>
      <c r="D6647" s="230">
        <v>0</v>
      </c>
      <c r="E6647" t="s">
        <v>724</v>
      </c>
    </row>
    <row r="6648" spans="1:5" hidden="1" x14ac:dyDescent="0.3">
      <c r="A6648" t="s">
        <v>557</v>
      </c>
      <c r="B6648" t="s">
        <v>723</v>
      </c>
      <c r="C6648" t="s">
        <v>29</v>
      </c>
      <c r="D6648" s="230">
        <v>3749.47</v>
      </c>
      <c r="E6648" t="s">
        <v>724</v>
      </c>
    </row>
    <row r="6649" spans="1:5" hidden="1" x14ac:dyDescent="0.3">
      <c r="A6649" t="s">
        <v>557</v>
      </c>
      <c r="B6649" t="s">
        <v>723</v>
      </c>
      <c r="C6649" t="s">
        <v>31</v>
      </c>
      <c r="D6649" s="230">
        <v>0</v>
      </c>
      <c r="E6649" t="s">
        <v>724</v>
      </c>
    </row>
    <row r="6650" spans="1:5" hidden="1" x14ac:dyDescent="0.3">
      <c r="A6650" t="s">
        <v>557</v>
      </c>
      <c r="B6650" t="s">
        <v>723</v>
      </c>
      <c r="C6650" t="s">
        <v>34</v>
      </c>
      <c r="D6650" s="230">
        <v>-14516.95</v>
      </c>
      <c r="E6650" t="s">
        <v>724</v>
      </c>
    </row>
    <row r="6651" spans="1:5" hidden="1" x14ac:dyDescent="0.3">
      <c r="A6651" t="s">
        <v>557</v>
      </c>
      <c r="B6651" t="s">
        <v>723</v>
      </c>
      <c r="C6651" t="s">
        <v>38</v>
      </c>
      <c r="D6651" s="230">
        <v>-14516.95</v>
      </c>
      <c r="E6651" t="s">
        <v>724</v>
      </c>
    </row>
    <row r="6652" spans="1:5" hidden="1" x14ac:dyDescent="0.3">
      <c r="A6652" t="s">
        <v>557</v>
      </c>
      <c r="B6652" t="s">
        <v>723</v>
      </c>
      <c r="C6652" t="s">
        <v>40</v>
      </c>
      <c r="D6652" s="230">
        <v>0</v>
      </c>
      <c r="E6652" t="s">
        <v>724</v>
      </c>
    </row>
    <row r="6653" spans="1:5" hidden="1" x14ac:dyDescent="0.3">
      <c r="A6653" t="s">
        <v>557</v>
      </c>
      <c r="B6653" t="s">
        <v>723</v>
      </c>
      <c r="C6653" t="s">
        <v>42</v>
      </c>
      <c r="D6653" s="230">
        <v>0</v>
      </c>
      <c r="E6653" t="s">
        <v>724</v>
      </c>
    </row>
    <row r="6654" spans="1:5" hidden="1" x14ac:dyDescent="0.3">
      <c r="A6654" t="s">
        <v>557</v>
      </c>
      <c r="B6654" t="s">
        <v>723</v>
      </c>
      <c r="C6654" t="s">
        <v>44</v>
      </c>
      <c r="D6654" s="230">
        <v>-0.03</v>
      </c>
      <c r="E6654" t="s">
        <v>724</v>
      </c>
    </row>
    <row r="6655" spans="1:5" hidden="1" x14ac:dyDescent="0.3">
      <c r="A6655" t="s">
        <v>557</v>
      </c>
      <c r="B6655" t="s">
        <v>723</v>
      </c>
      <c r="C6655" t="s">
        <v>45</v>
      </c>
      <c r="D6655" s="230">
        <v>-28458.18</v>
      </c>
      <c r="E6655" t="s">
        <v>724</v>
      </c>
    </row>
    <row r="6656" spans="1:5" hidden="1" x14ac:dyDescent="0.3">
      <c r="A6656" t="s">
        <v>557</v>
      </c>
      <c r="B6656" t="s">
        <v>723</v>
      </c>
      <c r="C6656" t="s">
        <v>46</v>
      </c>
      <c r="D6656" s="230">
        <v>-14668.34</v>
      </c>
      <c r="E6656" t="s">
        <v>724</v>
      </c>
    </row>
    <row r="6657" spans="1:5" hidden="1" x14ac:dyDescent="0.3">
      <c r="A6657" t="s">
        <v>557</v>
      </c>
      <c r="B6657" t="s">
        <v>723</v>
      </c>
      <c r="C6657" t="s">
        <v>48</v>
      </c>
      <c r="D6657" s="230">
        <v>-11902.74</v>
      </c>
      <c r="E6657" t="s">
        <v>724</v>
      </c>
    </row>
    <row r="6658" spans="1:5" hidden="1" x14ac:dyDescent="0.3">
      <c r="A6658" t="s">
        <v>557</v>
      </c>
      <c r="B6658" t="s">
        <v>723</v>
      </c>
      <c r="C6658" t="s">
        <v>49</v>
      </c>
      <c r="D6658" s="230">
        <v>-1887.1</v>
      </c>
      <c r="E6658" t="s">
        <v>724</v>
      </c>
    </row>
    <row r="6659" spans="1:5" hidden="1" x14ac:dyDescent="0.3">
      <c r="A6659" t="s">
        <v>557</v>
      </c>
      <c r="B6659" t="s">
        <v>723</v>
      </c>
      <c r="C6659" t="s">
        <v>50</v>
      </c>
      <c r="D6659" s="230">
        <v>419976</v>
      </c>
      <c r="E6659" t="s">
        <v>724</v>
      </c>
    </row>
    <row r="6660" spans="1:5" hidden="1" x14ac:dyDescent="0.3">
      <c r="A6660" t="s">
        <v>557</v>
      </c>
      <c r="B6660" t="s">
        <v>723</v>
      </c>
      <c r="C6660" t="s">
        <v>51</v>
      </c>
      <c r="D6660" s="230">
        <v>-122042.06</v>
      </c>
      <c r="E6660" t="s">
        <v>724</v>
      </c>
    </row>
    <row r="6661" spans="1:5" hidden="1" x14ac:dyDescent="0.3">
      <c r="A6661" t="s">
        <v>557</v>
      </c>
      <c r="B6661" t="s">
        <v>723</v>
      </c>
      <c r="C6661" t="s">
        <v>52</v>
      </c>
      <c r="D6661" s="230">
        <v>-88058.71</v>
      </c>
      <c r="E6661" t="s">
        <v>724</v>
      </c>
    </row>
    <row r="6662" spans="1:5" hidden="1" x14ac:dyDescent="0.3">
      <c r="A6662" t="s">
        <v>557</v>
      </c>
      <c r="B6662" t="s">
        <v>723</v>
      </c>
      <c r="C6662" t="s">
        <v>53</v>
      </c>
      <c r="D6662" s="230">
        <v>-33914.35</v>
      </c>
      <c r="E6662" t="s">
        <v>724</v>
      </c>
    </row>
    <row r="6663" spans="1:5" hidden="1" x14ac:dyDescent="0.3">
      <c r="A6663" t="s">
        <v>557</v>
      </c>
      <c r="B6663" t="s">
        <v>723</v>
      </c>
      <c r="C6663" t="s">
        <v>54</v>
      </c>
      <c r="D6663" s="230">
        <v>-69</v>
      </c>
      <c r="E6663" t="s">
        <v>724</v>
      </c>
    </row>
    <row r="6664" spans="1:5" hidden="1" x14ac:dyDescent="0.3">
      <c r="A6664" t="s">
        <v>557</v>
      </c>
      <c r="B6664" t="s">
        <v>723</v>
      </c>
      <c r="C6664" t="s">
        <v>23</v>
      </c>
      <c r="D6664" s="230">
        <v>0</v>
      </c>
      <c r="E6664" t="s">
        <v>724</v>
      </c>
    </row>
    <row r="6665" spans="1:5" hidden="1" x14ac:dyDescent="0.3">
      <c r="A6665" t="s">
        <v>557</v>
      </c>
      <c r="B6665" t="s">
        <v>723</v>
      </c>
      <c r="C6665" t="s">
        <v>44</v>
      </c>
      <c r="D6665" s="230">
        <v>-0.31</v>
      </c>
      <c r="E6665" t="s">
        <v>724</v>
      </c>
    </row>
    <row r="6666" spans="1:5" hidden="1" x14ac:dyDescent="0.3">
      <c r="A6666" t="s">
        <v>557</v>
      </c>
      <c r="B6666" t="s">
        <v>723</v>
      </c>
      <c r="C6666" t="s">
        <v>55</v>
      </c>
      <c r="D6666" s="230">
        <v>-0.28999999999999998</v>
      </c>
      <c r="E6666" t="s">
        <v>724</v>
      </c>
    </row>
    <row r="6667" spans="1:5" hidden="1" x14ac:dyDescent="0.3">
      <c r="A6667" t="s">
        <v>557</v>
      </c>
      <c r="B6667" t="s">
        <v>723</v>
      </c>
      <c r="C6667" t="s">
        <v>56</v>
      </c>
      <c r="D6667" s="230">
        <v>-9066.41</v>
      </c>
      <c r="E6667" t="s">
        <v>724</v>
      </c>
    </row>
    <row r="6668" spans="1:5" hidden="1" x14ac:dyDescent="0.3">
      <c r="A6668" t="s">
        <v>557</v>
      </c>
      <c r="B6668" t="s">
        <v>723</v>
      </c>
      <c r="C6668" t="s">
        <v>57</v>
      </c>
      <c r="D6668" s="230">
        <v>-6899.41</v>
      </c>
      <c r="E6668" t="s">
        <v>724</v>
      </c>
    </row>
    <row r="6669" spans="1:5" hidden="1" x14ac:dyDescent="0.3">
      <c r="A6669" t="s">
        <v>557</v>
      </c>
      <c r="B6669" t="s">
        <v>723</v>
      </c>
      <c r="C6669" t="s">
        <v>58</v>
      </c>
      <c r="D6669" s="230">
        <v>-6600</v>
      </c>
      <c r="E6669" t="s">
        <v>724</v>
      </c>
    </row>
    <row r="6670" spans="1:5" hidden="1" x14ac:dyDescent="0.3">
      <c r="A6670" t="s">
        <v>557</v>
      </c>
      <c r="B6670" t="s">
        <v>723</v>
      </c>
      <c r="C6670" t="s">
        <v>59</v>
      </c>
      <c r="D6670" s="230">
        <v>-299.41000000000003</v>
      </c>
      <c r="E6670" t="s">
        <v>724</v>
      </c>
    </row>
    <row r="6671" spans="1:5" hidden="1" x14ac:dyDescent="0.3">
      <c r="A6671" t="s">
        <v>557</v>
      </c>
      <c r="B6671" t="s">
        <v>723</v>
      </c>
      <c r="C6671" t="s">
        <v>61</v>
      </c>
      <c r="D6671" s="230">
        <v>0</v>
      </c>
      <c r="E6671" t="s">
        <v>724</v>
      </c>
    </row>
    <row r="6672" spans="1:5" hidden="1" x14ac:dyDescent="0.3">
      <c r="A6672" t="s">
        <v>557</v>
      </c>
      <c r="B6672" t="s">
        <v>723</v>
      </c>
      <c r="C6672" t="s">
        <v>62</v>
      </c>
      <c r="D6672" s="230">
        <v>0</v>
      </c>
      <c r="E6672" t="s">
        <v>724</v>
      </c>
    </row>
    <row r="6673" spans="1:5" hidden="1" x14ac:dyDescent="0.3">
      <c r="A6673" t="s">
        <v>557</v>
      </c>
      <c r="B6673" t="s">
        <v>723</v>
      </c>
      <c r="C6673" t="s">
        <v>64</v>
      </c>
      <c r="D6673" s="230">
        <v>0</v>
      </c>
      <c r="E6673" t="s">
        <v>724</v>
      </c>
    </row>
    <row r="6674" spans="1:5" hidden="1" x14ac:dyDescent="0.3">
      <c r="A6674" t="s">
        <v>557</v>
      </c>
      <c r="B6674" t="s">
        <v>723</v>
      </c>
      <c r="C6674" t="s">
        <v>65</v>
      </c>
      <c r="D6674" s="230">
        <v>-2167</v>
      </c>
      <c r="E6674" t="s">
        <v>724</v>
      </c>
    </row>
    <row r="6675" spans="1:5" hidden="1" x14ac:dyDescent="0.3">
      <c r="A6675" t="s">
        <v>557</v>
      </c>
      <c r="B6675" t="s">
        <v>723</v>
      </c>
      <c r="C6675" t="s">
        <v>66</v>
      </c>
      <c r="D6675" s="230">
        <v>-2167</v>
      </c>
      <c r="E6675" t="s">
        <v>724</v>
      </c>
    </row>
    <row r="6676" spans="1:5" hidden="1" x14ac:dyDescent="0.3">
      <c r="A6676" t="s">
        <v>557</v>
      </c>
      <c r="B6676" t="s">
        <v>723</v>
      </c>
      <c r="C6676" t="s">
        <v>68</v>
      </c>
      <c r="D6676" s="230">
        <v>0</v>
      </c>
      <c r="E6676" t="s">
        <v>724</v>
      </c>
    </row>
    <row r="6677" spans="1:5" hidden="1" x14ac:dyDescent="0.3">
      <c r="A6677" t="s">
        <v>557</v>
      </c>
      <c r="B6677" t="s">
        <v>723</v>
      </c>
      <c r="C6677" t="s">
        <v>69</v>
      </c>
      <c r="D6677" s="230">
        <v>0</v>
      </c>
      <c r="E6677" t="s">
        <v>724</v>
      </c>
    </row>
    <row r="6678" spans="1:5" hidden="1" x14ac:dyDescent="0.3">
      <c r="A6678" t="s">
        <v>557</v>
      </c>
      <c r="B6678" t="s">
        <v>723</v>
      </c>
      <c r="C6678" t="s">
        <v>70</v>
      </c>
      <c r="D6678" s="230">
        <v>-1.1599999999999999</v>
      </c>
      <c r="E6678" t="s">
        <v>724</v>
      </c>
    </row>
    <row r="6679" spans="1:5" hidden="1" x14ac:dyDescent="0.3">
      <c r="A6679" t="s">
        <v>557</v>
      </c>
      <c r="B6679" t="s">
        <v>723</v>
      </c>
      <c r="C6679" t="s">
        <v>44</v>
      </c>
      <c r="D6679" s="230">
        <v>-0.02</v>
      </c>
      <c r="E6679" t="s">
        <v>724</v>
      </c>
    </row>
    <row r="6680" spans="1:5" hidden="1" x14ac:dyDescent="0.3">
      <c r="A6680" t="s">
        <v>557</v>
      </c>
      <c r="B6680" t="s">
        <v>723</v>
      </c>
      <c r="C6680" t="s">
        <v>71</v>
      </c>
      <c r="D6680" s="230">
        <v>0</v>
      </c>
      <c r="E6680" t="s">
        <v>724</v>
      </c>
    </row>
    <row r="6681" spans="1:5" hidden="1" x14ac:dyDescent="0.3">
      <c r="A6681" t="s">
        <v>557</v>
      </c>
      <c r="B6681" t="s">
        <v>723</v>
      </c>
      <c r="C6681" t="s">
        <v>72</v>
      </c>
      <c r="D6681" s="230">
        <v>0</v>
      </c>
      <c r="E6681" t="s">
        <v>724</v>
      </c>
    </row>
    <row r="6682" spans="1:5" hidden="1" x14ac:dyDescent="0.3">
      <c r="A6682" t="s">
        <v>557</v>
      </c>
      <c r="B6682" t="s">
        <v>723</v>
      </c>
      <c r="C6682" t="s">
        <v>73</v>
      </c>
      <c r="D6682" s="230">
        <v>0</v>
      </c>
      <c r="E6682" t="s">
        <v>724</v>
      </c>
    </row>
    <row r="6683" spans="1:5" hidden="1" x14ac:dyDescent="0.3">
      <c r="A6683" t="s">
        <v>557</v>
      </c>
      <c r="B6683" t="s">
        <v>723</v>
      </c>
      <c r="C6683" t="s">
        <v>75</v>
      </c>
      <c r="D6683" s="230">
        <v>0</v>
      </c>
      <c r="E6683" t="s">
        <v>724</v>
      </c>
    </row>
    <row r="6684" spans="1:5" hidden="1" x14ac:dyDescent="0.3">
      <c r="A6684" t="s">
        <v>557</v>
      </c>
      <c r="B6684" t="s">
        <v>723</v>
      </c>
      <c r="C6684" t="s">
        <v>77</v>
      </c>
      <c r="D6684" s="230">
        <v>0</v>
      </c>
      <c r="E6684" t="s">
        <v>724</v>
      </c>
    </row>
    <row r="6685" spans="1:5" hidden="1" x14ac:dyDescent="0.3">
      <c r="A6685" t="s">
        <v>557</v>
      </c>
      <c r="B6685" t="s">
        <v>723</v>
      </c>
      <c r="C6685" t="s">
        <v>78</v>
      </c>
      <c r="D6685" s="230">
        <v>0</v>
      </c>
      <c r="E6685" t="s">
        <v>724</v>
      </c>
    </row>
    <row r="6686" spans="1:5" hidden="1" x14ac:dyDescent="0.3">
      <c r="A6686" t="s">
        <v>557</v>
      </c>
      <c r="B6686" t="s">
        <v>723</v>
      </c>
      <c r="C6686" t="s">
        <v>80</v>
      </c>
      <c r="D6686" s="230">
        <v>0</v>
      </c>
      <c r="E6686" t="s">
        <v>724</v>
      </c>
    </row>
    <row r="6687" spans="1:5" hidden="1" x14ac:dyDescent="0.3">
      <c r="A6687" t="s">
        <v>557</v>
      </c>
      <c r="B6687" t="s">
        <v>723</v>
      </c>
      <c r="C6687" t="s">
        <v>82</v>
      </c>
      <c r="D6687" s="230">
        <v>0</v>
      </c>
      <c r="E6687" t="s">
        <v>724</v>
      </c>
    </row>
    <row r="6688" spans="1:5" hidden="1" x14ac:dyDescent="0.3">
      <c r="A6688" t="s">
        <v>557</v>
      </c>
      <c r="B6688" t="s">
        <v>723</v>
      </c>
      <c r="C6688" t="s">
        <v>84</v>
      </c>
      <c r="D6688" s="230">
        <v>0</v>
      </c>
      <c r="E6688" t="s">
        <v>724</v>
      </c>
    </row>
    <row r="6689" spans="1:5" hidden="1" x14ac:dyDescent="0.3">
      <c r="A6689" t="s">
        <v>557</v>
      </c>
      <c r="B6689" t="s">
        <v>723</v>
      </c>
      <c r="C6689" t="s">
        <v>85</v>
      </c>
      <c r="D6689" s="230">
        <v>0</v>
      </c>
      <c r="E6689" t="s">
        <v>724</v>
      </c>
    </row>
    <row r="6690" spans="1:5" hidden="1" x14ac:dyDescent="0.3">
      <c r="A6690" t="s">
        <v>557</v>
      </c>
      <c r="B6690" t="s">
        <v>723</v>
      </c>
      <c r="C6690" t="s">
        <v>86</v>
      </c>
      <c r="D6690" s="230">
        <v>0</v>
      </c>
      <c r="E6690" t="s">
        <v>724</v>
      </c>
    </row>
    <row r="6691" spans="1:5" hidden="1" x14ac:dyDescent="0.3">
      <c r="A6691" t="s">
        <v>557</v>
      </c>
      <c r="B6691" t="s">
        <v>723</v>
      </c>
      <c r="C6691" t="s">
        <v>87</v>
      </c>
      <c r="D6691" s="230">
        <v>0</v>
      </c>
      <c r="E6691" t="s">
        <v>724</v>
      </c>
    </row>
    <row r="6692" spans="1:5" hidden="1" x14ac:dyDescent="0.3">
      <c r="A6692" t="s">
        <v>557</v>
      </c>
      <c r="B6692" t="s">
        <v>723</v>
      </c>
      <c r="C6692" t="s">
        <v>88</v>
      </c>
      <c r="D6692" s="230">
        <v>0</v>
      </c>
      <c r="E6692" t="s">
        <v>724</v>
      </c>
    </row>
    <row r="6693" spans="1:5" hidden="1" x14ac:dyDescent="0.3">
      <c r="A6693" t="s">
        <v>557</v>
      </c>
      <c r="B6693" t="s">
        <v>723</v>
      </c>
      <c r="C6693" t="s">
        <v>89</v>
      </c>
      <c r="D6693" s="230">
        <v>0</v>
      </c>
      <c r="E6693" t="s">
        <v>724</v>
      </c>
    </row>
    <row r="6694" spans="1:5" hidden="1" x14ac:dyDescent="0.3">
      <c r="A6694" t="s">
        <v>557</v>
      </c>
      <c r="B6694" t="s">
        <v>723</v>
      </c>
      <c r="C6694" t="s">
        <v>90</v>
      </c>
      <c r="D6694" s="230">
        <v>0</v>
      </c>
      <c r="E6694" t="s">
        <v>724</v>
      </c>
    </row>
    <row r="6695" spans="1:5" hidden="1" x14ac:dyDescent="0.3">
      <c r="A6695" t="s">
        <v>557</v>
      </c>
      <c r="B6695" t="s">
        <v>723</v>
      </c>
      <c r="C6695" t="s">
        <v>91</v>
      </c>
      <c r="D6695" s="230">
        <v>0</v>
      </c>
      <c r="E6695" t="s">
        <v>724</v>
      </c>
    </row>
    <row r="6696" spans="1:5" hidden="1" x14ac:dyDescent="0.3">
      <c r="A6696" t="s">
        <v>557</v>
      </c>
      <c r="B6696" t="s">
        <v>723</v>
      </c>
      <c r="C6696" t="s">
        <v>93</v>
      </c>
      <c r="D6696" s="230">
        <v>0</v>
      </c>
      <c r="E6696" t="s">
        <v>724</v>
      </c>
    </row>
    <row r="6697" spans="1:5" hidden="1" x14ac:dyDescent="0.3">
      <c r="A6697" t="s">
        <v>557</v>
      </c>
      <c r="B6697" t="s">
        <v>723</v>
      </c>
      <c r="C6697" t="s">
        <v>95</v>
      </c>
      <c r="D6697" s="230">
        <v>0</v>
      </c>
      <c r="E6697" t="s">
        <v>724</v>
      </c>
    </row>
    <row r="6698" spans="1:5" hidden="1" x14ac:dyDescent="0.3">
      <c r="A6698" t="s">
        <v>557</v>
      </c>
      <c r="B6698" t="s">
        <v>723</v>
      </c>
      <c r="C6698" t="s">
        <v>96</v>
      </c>
      <c r="D6698" s="230">
        <v>0</v>
      </c>
      <c r="E6698" t="s">
        <v>724</v>
      </c>
    </row>
    <row r="6699" spans="1:5" hidden="1" x14ac:dyDescent="0.3">
      <c r="A6699" t="s">
        <v>557</v>
      </c>
      <c r="B6699" t="s">
        <v>723</v>
      </c>
      <c r="C6699" t="s">
        <v>98</v>
      </c>
      <c r="D6699" s="230">
        <v>0</v>
      </c>
      <c r="E6699" t="s">
        <v>724</v>
      </c>
    </row>
    <row r="6700" spans="1:5" hidden="1" x14ac:dyDescent="0.3">
      <c r="A6700" t="s">
        <v>557</v>
      </c>
      <c r="B6700" t="s">
        <v>723</v>
      </c>
      <c r="C6700" t="s">
        <v>100</v>
      </c>
      <c r="D6700" s="230">
        <v>0</v>
      </c>
      <c r="E6700" t="s">
        <v>724</v>
      </c>
    </row>
    <row r="6701" spans="1:5" hidden="1" x14ac:dyDescent="0.3">
      <c r="A6701" t="s">
        <v>557</v>
      </c>
      <c r="B6701" t="s">
        <v>723</v>
      </c>
      <c r="C6701" t="s">
        <v>101</v>
      </c>
      <c r="D6701" s="230">
        <v>0</v>
      </c>
      <c r="E6701" t="s">
        <v>724</v>
      </c>
    </row>
    <row r="6702" spans="1:5" hidden="1" x14ac:dyDescent="0.3">
      <c r="A6702" t="s">
        <v>557</v>
      </c>
      <c r="B6702" t="s">
        <v>723</v>
      </c>
      <c r="C6702" t="s">
        <v>102</v>
      </c>
      <c r="D6702" s="230">
        <v>0</v>
      </c>
      <c r="E6702" t="s">
        <v>724</v>
      </c>
    </row>
    <row r="6703" spans="1:5" hidden="1" x14ac:dyDescent="0.3">
      <c r="A6703" t="s">
        <v>557</v>
      </c>
      <c r="B6703" t="s">
        <v>723</v>
      </c>
      <c r="C6703" t="s">
        <v>103</v>
      </c>
      <c r="D6703" s="230">
        <v>0</v>
      </c>
      <c r="E6703" t="s">
        <v>724</v>
      </c>
    </row>
    <row r="6704" spans="1:5" hidden="1" x14ac:dyDescent="0.3">
      <c r="A6704" t="s">
        <v>557</v>
      </c>
      <c r="B6704" t="s">
        <v>723</v>
      </c>
      <c r="C6704" t="s">
        <v>104</v>
      </c>
      <c r="D6704" s="230">
        <v>0</v>
      </c>
      <c r="E6704" t="s">
        <v>724</v>
      </c>
    </row>
    <row r="6705" spans="1:5" hidden="1" x14ac:dyDescent="0.3">
      <c r="A6705" t="s">
        <v>557</v>
      </c>
      <c r="B6705" t="s">
        <v>723</v>
      </c>
      <c r="C6705" t="s">
        <v>105</v>
      </c>
      <c r="D6705" s="230">
        <v>0</v>
      </c>
      <c r="E6705" t="s">
        <v>724</v>
      </c>
    </row>
    <row r="6706" spans="1:5" hidden="1" x14ac:dyDescent="0.3">
      <c r="A6706" t="s">
        <v>557</v>
      </c>
      <c r="B6706" t="s">
        <v>723</v>
      </c>
      <c r="C6706" t="s">
        <v>107</v>
      </c>
      <c r="D6706" s="230">
        <v>0</v>
      </c>
      <c r="E6706" t="s">
        <v>724</v>
      </c>
    </row>
    <row r="6707" spans="1:5" hidden="1" x14ac:dyDescent="0.3">
      <c r="A6707" t="s">
        <v>557</v>
      </c>
      <c r="B6707" t="s">
        <v>723</v>
      </c>
      <c r="C6707" t="s">
        <v>108</v>
      </c>
      <c r="D6707" s="230">
        <v>0</v>
      </c>
      <c r="E6707" t="s">
        <v>724</v>
      </c>
    </row>
    <row r="6708" spans="1:5" hidden="1" x14ac:dyDescent="0.3">
      <c r="A6708" t="s">
        <v>557</v>
      </c>
      <c r="B6708" t="s">
        <v>723</v>
      </c>
      <c r="C6708" t="s">
        <v>109</v>
      </c>
      <c r="D6708" s="230">
        <v>0</v>
      </c>
      <c r="E6708" t="s">
        <v>724</v>
      </c>
    </row>
    <row r="6709" spans="1:5" hidden="1" x14ac:dyDescent="0.3">
      <c r="A6709" t="s">
        <v>557</v>
      </c>
      <c r="B6709" t="s">
        <v>723</v>
      </c>
      <c r="C6709" t="s">
        <v>110</v>
      </c>
      <c r="D6709" s="230">
        <v>0</v>
      </c>
      <c r="E6709" t="s">
        <v>724</v>
      </c>
    </row>
    <row r="6710" spans="1:5" hidden="1" x14ac:dyDescent="0.3">
      <c r="A6710" t="s">
        <v>557</v>
      </c>
      <c r="B6710" t="s">
        <v>723</v>
      </c>
      <c r="C6710" t="s">
        <v>44</v>
      </c>
      <c r="D6710" s="230">
        <v>0</v>
      </c>
      <c r="E6710" t="s">
        <v>724</v>
      </c>
    </row>
    <row r="6711" spans="1:5" hidden="1" x14ac:dyDescent="0.3">
      <c r="A6711" t="s">
        <v>557</v>
      </c>
      <c r="B6711" t="s">
        <v>723</v>
      </c>
      <c r="C6711" t="s">
        <v>111</v>
      </c>
      <c r="D6711" s="230">
        <v>-24821.69</v>
      </c>
      <c r="E6711" t="s">
        <v>724</v>
      </c>
    </row>
    <row r="6712" spans="1:5" hidden="1" x14ac:dyDescent="0.3">
      <c r="A6712" t="s">
        <v>557</v>
      </c>
      <c r="B6712" t="s">
        <v>723</v>
      </c>
      <c r="C6712" t="s">
        <v>608</v>
      </c>
      <c r="D6712" s="230">
        <v>-24821.69</v>
      </c>
      <c r="E6712" t="s">
        <v>724</v>
      </c>
    </row>
    <row r="6713" spans="1:5" hidden="1" x14ac:dyDescent="0.3">
      <c r="A6713" t="s">
        <v>557</v>
      </c>
      <c r="B6713" t="s">
        <v>723</v>
      </c>
      <c r="C6713" t="s">
        <v>44</v>
      </c>
      <c r="D6713" s="230">
        <v>-0.05</v>
      </c>
      <c r="E6713" t="s">
        <v>724</v>
      </c>
    </row>
    <row r="6714" spans="1:5" hidden="1" x14ac:dyDescent="0.3">
      <c r="A6714" t="s">
        <v>557</v>
      </c>
      <c r="B6714" t="s">
        <v>723</v>
      </c>
      <c r="C6714" t="s">
        <v>115</v>
      </c>
      <c r="D6714" s="230">
        <v>-6084.27</v>
      </c>
      <c r="E6714" t="s">
        <v>724</v>
      </c>
    </row>
    <row r="6715" spans="1:5" hidden="1" x14ac:dyDescent="0.3">
      <c r="A6715" t="s">
        <v>557</v>
      </c>
      <c r="B6715" t="s">
        <v>723</v>
      </c>
      <c r="C6715" t="s">
        <v>116</v>
      </c>
      <c r="D6715" s="230">
        <v>-5328.9</v>
      </c>
      <c r="E6715" t="s">
        <v>724</v>
      </c>
    </row>
    <row r="6716" spans="1:5" hidden="1" x14ac:dyDescent="0.3">
      <c r="A6716" t="s">
        <v>557</v>
      </c>
      <c r="B6716" t="s">
        <v>723</v>
      </c>
      <c r="C6716" t="s">
        <v>118</v>
      </c>
      <c r="D6716" s="230">
        <v>0</v>
      </c>
      <c r="E6716" t="s">
        <v>724</v>
      </c>
    </row>
    <row r="6717" spans="1:5" hidden="1" x14ac:dyDescent="0.3">
      <c r="A6717" t="s">
        <v>557</v>
      </c>
      <c r="B6717" t="s">
        <v>723</v>
      </c>
      <c r="C6717" t="s">
        <v>120</v>
      </c>
      <c r="D6717" s="230">
        <v>0</v>
      </c>
      <c r="E6717" t="s">
        <v>724</v>
      </c>
    </row>
    <row r="6718" spans="1:5" hidden="1" x14ac:dyDescent="0.3">
      <c r="A6718" t="s">
        <v>557</v>
      </c>
      <c r="B6718" t="s">
        <v>723</v>
      </c>
      <c r="C6718" t="s">
        <v>122</v>
      </c>
      <c r="D6718" s="230">
        <v>-755.37</v>
      </c>
      <c r="E6718" t="s">
        <v>724</v>
      </c>
    </row>
    <row r="6719" spans="1:5" hidden="1" x14ac:dyDescent="0.3">
      <c r="A6719" t="s">
        <v>557</v>
      </c>
      <c r="B6719" t="s">
        <v>723</v>
      </c>
      <c r="C6719" t="s">
        <v>44</v>
      </c>
      <c r="D6719" s="230">
        <v>-0.01</v>
      </c>
      <c r="E6719" t="s">
        <v>724</v>
      </c>
    </row>
    <row r="6720" spans="1:5" hidden="1" x14ac:dyDescent="0.3">
      <c r="A6720" t="s">
        <v>557</v>
      </c>
      <c r="B6720" t="s">
        <v>723</v>
      </c>
      <c r="C6720" t="s">
        <v>126</v>
      </c>
      <c r="D6720" s="230">
        <v>257961.57</v>
      </c>
      <c r="E6720" t="s">
        <v>724</v>
      </c>
    </row>
    <row r="6721" spans="1:5" hidden="1" x14ac:dyDescent="0.3">
      <c r="A6721" t="s">
        <v>557</v>
      </c>
      <c r="B6721" t="s">
        <v>723</v>
      </c>
      <c r="C6721" t="s">
        <v>127</v>
      </c>
      <c r="D6721" s="230">
        <v>0.56000000000000005</v>
      </c>
      <c r="E6721" t="s">
        <v>724</v>
      </c>
    </row>
    <row r="6722" spans="1:5" hidden="1" x14ac:dyDescent="0.3">
      <c r="A6722" t="s">
        <v>557</v>
      </c>
      <c r="B6722" t="s">
        <v>723</v>
      </c>
      <c r="C6722" t="s">
        <v>128</v>
      </c>
      <c r="D6722" s="230">
        <v>-118901.03</v>
      </c>
      <c r="E6722" t="s">
        <v>724</v>
      </c>
    </row>
    <row r="6723" spans="1:5" hidden="1" x14ac:dyDescent="0.3">
      <c r="A6723" t="s">
        <v>557</v>
      </c>
      <c r="B6723" t="s">
        <v>723</v>
      </c>
      <c r="C6723" t="s">
        <v>129</v>
      </c>
      <c r="D6723" s="230">
        <v>-37900</v>
      </c>
      <c r="E6723" t="s">
        <v>724</v>
      </c>
    </row>
    <row r="6724" spans="1:5" hidden="1" x14ac:dyDescent="0.3">
      <c r="A6724" t="s">
        <v>557</v>
      </c>
      <c r="B6724" t="s">
        <v>723</v>
      </c>
      <c r="C6724" t="s">
        <v>609</v>
      </c>
      <c r="D6724" s="230">
        <v>-4600</v>
      </c>
      <c r="E6724" t="s">
        <v>724</v>
      </c>
    </row>
    <row r="6725" spans="1:5" hidden="1" x14ac:dyDescent="0.3">
      <c r="A6725" t="s">
        <v>557</v>
      </c>
      <c r="B6725" t="s">
        <v>723</v>
      </c>
      <c r="C6725" t="s">
        <v>610</v>
      </c>
      <c r="D6725" s="230">
        <v>-17600</v>
      </c>
      <c r="E6725" t="s">
        <v>724</v>
      </c>
    </row>
    <row r="6726" spans="1:5" hidden="1" x14ac:dyDescent="0.3">
      <c r="A6726" t="s">
        <v>557</v>
      </c>
      <c r="B6726" t="s">
        <v>723</v>
      </c>
      <c r="C6726" t="s">
        <v>611</v>
      </c>
      <c r="D6726" s="230">
        <v>0</v>
      </c>
      <c r="E6726" t="s">
        <v>724</v>
      </c>
    </row>
    <row r="6727" spans="1:5" hidden="1" x14ac:dyDescent="0.3">
      <c r="A6727" t="s">
        <v>557</v>
      </c>
      <c r="B6727" t="s">
        <v>723</v>
      </c>
      <c r="C6727" t="s">
        <v>612</v>
      </c>
      <c r="D6727" s="230">
        <v>-4000</v>
      </c>
      <c r="E6727" t="s">
        <v>724</v>
      </c>
    </row>
    <row r="6728" spans="1:5" hidden="1" x14ac:dyDescent="0.3">
      <c r="A6728" t="s">
        <v>557</v>
      </c>
      <c r="B6728" t="s">
        <v>723</v>
      </c>
      <c r="C6728" t="s">
        <v>613</v>
      </c>
      <c r="D6728" s="230">
        <v>-1200</v>
      </c>
      <c r="E6728" t="s">
        <v>724</v>
      </c>
    </row>
    <row r="6729" spans="1:5" hidden="1" x14ac:dyDescent="0.3">
      <c r="A6729" t="s">
        <v>557</v>
      </c>
      <c r="B6729" t="s">
        <v>723</v>
      </c>
      <c r="C6729" t="s">
        <v>614</v>
      </c>
      <c r="D6729" s="230">
        <v>-6500</v>
      </c>
      <c r="E6729" t="s">
        <v>724</v>
      </c>
    </row>
    <row r="6730" spans="1:5" hidden="1" x14ac:dyDescent="0.3">
      <c r="A6730" t="s">
        <v>557</v>
      </c>
      <c r="B6730" t="s">
        <v>723</v>
      </c>
      <c r="C6730" t="s">
        <v>615</v>
      </c>
      <c r="D6730" s="230">
        <v>0</v>
      </c>
      <c r="E6730" t="s">
        <v>724</v>
      </c>
    </row>
    <row r="6731" spans="1:5" hidden="1" x14ac:dyDescent="0.3">
      <c r="A6731" t="s">
        <v>557</v>
      </c>
      <c r="B6731" t="s">
        <v>723</v>
      </c>
      <c r="C6731" t="s">
        <v>616</v>
      </c>
      <c r="D6731" s="230">
        <v>-4000</v>
      </c>
      <c r="E6731" t="s">
        <v>724</v>
      </c>
    </row>
    <row r="6732" spans="1:5" hidden="1" x14ac:dyDescent="0.3">
      <c r="A6732" t="s">
        <v>557</v>
      </c>
      <c r="B6732" t="s">
        <v>723</v>
      </c>
      <c r="C6732" t="s">
        <v>617</v>
      </c>
      <c r="D6732" s="230">
        <v>0</v>
      </c>
      <c r="E6732" t="s">
        <v>724</v>
      </c>
    </row>
    <row r="6733" spans="1:5" hidden="1" x14ac:dyDescent="0.3">
      <c r="A6733" t="s">
        <v>557</v>
      </c>
      <c r="B6733" t="s">
        <v>723</v>
      </c>
      <c r="C6733" t="s">
        <v>618</v>
      </c>
      <c r="D6733" s="230">
        <v>0</v>
      </c>
      <c r="E6733" t="s">
        <v>724</v>
      </c>
    </row>
    <row r="6734" spans="1:5" hidden="1" x14ac:dyDescent="0.3">
      <c r="A6734" t="s">
        <v>557</v>
      </c>
      <c r="B6734" t="s">
        <v>723</v>
      </c>
      <c r="C6734" t="s">
        <v>619</v>
      </c>
      <c r="D6734" s="230">
        <v>0</v>
      </c>
      <c r="E6734" t="s">
        <v>724</v>
      </c>
    </row>
    <row r="6735" spans="1:5" hidden="1" x14ac:dyDescent="0.3">
      <c r="A6735" t="s">
        <v>557</v>
      </c>
      <c r="B6735" t="s">
        <v>723</v>
      </c>
      <c r="C6735" t="s">
        <v>620</v>
      </c>
      <c r="D6735" s="230">
        <v>0</v>
      </c>
      <c r="E6735" t="s">
        <v>724</v>
      </c>
    </row>
    <row r="6736" spans="1:5" hidden="1" x14ac:dyDescent="0.3">
      <c r="A6736" t="s">
        <v>557</v>
      </c>
      <c r="B6736" t="s">
        <v>723</v>
      </c>
      <c r="C6736" t="s">
        <v>575</v>
      </c>
      <c r="D6736" s="230">
        <v>-35125.25</v>
      </c>
      <c r="E6736" t="s">
        <v>724</v>
      </c>
    </row>
    <row r="6737" spans="1:5" hidden="1" x14ac:dyDescent="0.3">
      <c r="A6737" t="s">
        <v>557</v>
      </c>
      <c r="B6737" t="s">
        <v>723</v>
      </c>
      <c r="C6737" t="s">
        <v>621</v>
      </c>
      <c r="D6737" s="230">
        <v>0</v>
      </c>
      <c r="E6737" t="s">
        <v>724</v>
      </c>
    </row>
    <row r="6738" spans="1:5" hidden="1" x14ac:dyDescent="0.3">
      <c r="A6738" t="s">
        <v>557</v>
      </c>
      <c r="B6738" t="s">
        <v>723</v>
      </c>
      <c r="C6738" t="s">
        <v>622</v>
      </c>
      <c r="D6738" s="230">
        <v>0</v>
      </c>
      <c r="E6738" t="s">
        <v>724</v>
      </c>
    </row>
    <row r="6739" spans="1:5" hidden="1" x14ac:dyDescent="0.3">
      <c r="A6739" t="s">
        <v>557</v>
      </c>
      <c r="B6739" t="s">
        <v>723</v>
      </c>
      <c r="C6739" t="s">
        <v>623</v>
      </c>
      <c r="D6739" s="230">
        <v>0</v>
      </c>
      <c r="E6739" t="s">
        <v>724</v>
      </c>
    </row>
    <row r="6740" spans="1:5" hidden="1" x14ac:dyDescent="0.3">
      <c r="A6740" t="s">
        <v>557</v>
      </c>
      <c r="B6740" t="s">
        <v>723</v>
      </c>
      <c r="C6740" t="s">
        <v>624</v>
      </c>
      <c r="D6740" s="230">
        <v>0</v>
      </c>
      <c r="E6740" t="s">
        <v>724</v>
      </c>
    </row>
    <row r="6741" spans="1:5" hidden="1" x14ac:dyDescent="0.3">
      <c r="A6741" t="s">
        <v>557</v>
      </c>
      <c r="B6741" t="s">
        <v>723</v>
      </c>
      <c r="C6741" t="s">
        <v>625</v>
      </c>
      <c r="D6741" s="230">
        <v>0</v>
      </c>
      <c r="E6741" t="s">
        <v>724</v>
      </c>
    </row>
    <row r="6742" spans="1:5" hidden="1" x14ac:dyDescent="0.3">
      <c r="A6742" t="s">
        <v>557</v>
      </c>
      <c r="B6742" t="s">
        <v>723</v>
      </c>
      <c r="C6742" t="s">
        <v>626</v>
      </c>
      <c r="D6742" s="230">
        <v>0</v>
      </c>
      <c r="E6742" t="s">
        <v>724</v>
      </c>
    </row>
    <row r="6743" spans="1:5" hidden="1" x14ac:dyDescent="0.3">
      <c r="A6743" t="s">
        <v>557</v>
      </c>
      <c r="B6743" t="s">
        <v>723</v>
      </c>
      <c r="C6743" t="s">
        <v>627</v>
      </c>
      <c r="D6743" s="230">
        <v>0</v>
      </c>
      <c r="E6743" t="s">
        <v>724</v>
      </c>
    </row>
    <row r="6744" spans="1:5" hidden="1" x14ac:dyDescent="0.3">
      <c r="A6744" t="s">
        <v>557</v>
      </c>
      <c r="B6744" t="s">
        <v>723</v>
      </c>
      <c r="C6744" t="s">
        <v>628</v>
      </c>
      <c r="D6744" s="230">
        <v>0</v>
      </c>
      <c r="E6744" t="s">
        <v>724</v>
      </c>
    </row>
    <row r="6745" spans="1:5" hidden="1" x14ac:dyDescent="0.3">
      <c r="A6745" t="s">
        <v>557</v>
      </c>
      <c r="B6745" t="s">
        <v>723</v>
      </c>
      <c r="C6745" t="s">
        <v>629</v>
      </c>
      <c r="D6745" s="230">
        <v>0</v>
      </c>
      <c r="E6745" t="s">
        <v>724</v>
      </c>
    </row>
    <row r="6746" spans="1:5" hidden="1" x14ac:dyDescent="0.3">
      <c r="A6746" t="s">
        <v>557</v>
      </c>
      <c r="B6746" t="s">
        <v>723</v>
      </c>
      <c r="C6746" t="s">
        <v>630</v>
      </c>
      <c r="D6746" s="230">
        <v>0</v>
      </c>
      <c r="E6746" t="s">
        <v>724</v>
      </c>
    </row>
    <row r="6747" spans="1:5" hidden="1" x14ac:dyDescent="0.3">
      <c r="A6747" t="s">
        <v>557</v>
      </c>
      <c r="B6747" t="s">
        <v>723</v>
      </c>
      <c r="C6747" t="s">
        <v>631</v>
      </c>
      <c r="D6747" s="230">
        <v>0</v>
      </c>
      <c r="E6747" t="s">
        <v>724</v>
      </c>
    </row>
    <row r="6748" spans="1:5" hidden="1" x14ac:dyDescent="0.3">
      <c r="A6748" t="s">
        <v>557</v>
      </c>
      <c r="B6748" t="s">
        <v>723</v>
      </c>
      <c r="C6748" t="s">
        <v>632</v>
      </c>
      <c r="D6748" s="230">
        <v>0</v>
      </c>
      <c r="E6748" t="s">
        <v>724</v>
      </c>
    </row>
    <row r="6749" spans="1:5" hidden="1" x14ac:dyDescent="0.3">
      <c r="A6749" t="s">
        <v>557</v>
      </c>
      <c r="B6749" t="s">
        <v>723</v>
      </c>
      <c r="C6749" t="s">
        <v>633</v>
      </c>
      <c r="D6749" s="230">
        <v>0</v>
      </c>
      <c r="E6749" t="s">
        <v>724</v>
      </c>
    </row>
    <row r="6750" spans="1:5" hidden="1" x14ac:dyDescent="0.3">
      <c r="A6750" t="s">
        <v>557</v>
      </c>
      <c r="B6750" t="s">
        <v>723</v>
      </c>
      <c r="C6750" t="s">
        <v>634</v>
      </c>
      <c r="D6750" s="230">
        <v>0</v>
      </c>
      <c r="E6750" t="s">
        <v>724</v>
      </c>
    </row>
    <row r="6751" spans="1:5" hidden="1" x14ac:dyDescent="0.3">
      <c r="A6751" t="s">
        <v>557</v>
      </c>
      <c r="B6751" t="s">
        <v>723</v>
      </c>
      <c r="C6751" t="s">
        <v>635</v>
      </c>
      <c r="D6751" s="230">
        <v>0</v>
      </c>
      <c r="E6751" t="s">
        <v>724</v>
      </c>
    </row>
    <row r="6752" spans="1:5" hidden="1" x14ac:dyDescent="0.3">
      <c r="A6752" t="s">
        <v>557</v>
      </c>
      <c r="B6752" t="s">
        <v>723</v>
      </c>
      <c r="C6752" t="s">
        <v>636</v>
      </c>
      <c r="D6752" s="230">
        <v>0</v>
      </c>
      <c r="E6752" t="s">
        <v>724</v>
      </c>
    </row>
    <row r="6753" spans="1:5" hidden="1" x14ac:dyDescent="0.3">
      <c r="A6753" t="s">
        <v>557</v>
      </c>
      <c r="B6753" t="s">
        <v>723</v>
      </c>
      <c r="C6753" t="s">
        <v>637</v>
      </c>
      <c r="D6753" s="230">
        <v>0</v>
      </c>
      <c r="E6753" t="s">
        <v>724</v>
      </c>
    </row>
    <row r="6754" spans="1:5" hidden="1" x14ac:dyDescent="0.3">
      <c r="A6754" t="s">
        <v>557</v>
      </c>
      <c r="B6754" t="s">
        <v>723</v>
      </c>
      <c r="C6754" t="s">
        <v>638</v>
      </c>
      <c r="D6754" s="230">
        <v>0</v>
      </c>
      <c r="E6754" t="s">
        <v>724</v>
      </c>
    </row>
    <row r="6755" spans="1:5" hidden="1" x14ac:dyDescent="0.3">
      <c r="A6755" t="s">
        <v>557</v>
      </c>
      <c r="B6755" t="s">
        <v>723</v>
      </c>
      <c r="C6755" t="s">
        <v>639</v>
      </c>
      <c r="D6755" s="230">
        <v>0</v>
      </c>
      <c r="E6755" t="s">
        <v>724</v>
      </c>
    </row>
    <row r="6756" spans="1:5" hidden="1" x14ac:dyDescent="0.3">
      <c r="A6756" t="s">
        <v>557</v>
      </c>
      <c r="B6756" t="s">
        <v>723</v>
      </c>
      <c r="C6756" t="s">
        <v>640</v>
      </c>
      <c r="D6756" s="230">
        <v>0</v>
      </c>
      <c r="E6756" t="s">
        <v>724</v>
      </c>
    </row>
    <row r="6757" spans="1:5" hidden="1" x14ac:dyDescent="0.3">
      <c r="A6757" t="s">
        <v>557</v>
      </c>
      <c r="B6757" t="s">
        <v>723</v>
      </c>
      <c r="C6757" t="s">
        <v>641</v>
      </c>
      <c r="D6757" s="230">
        <v>0</v>
      </c>
      <c r="E6757" t="s">
        <v>724</v>
      </c>
    </row>
    <row r="6758" spans="1:5" hidden="1" x14ac:dyDescent="0.3">
      <c r="A6758" t="s">
        <v>557</v>
      </c>
      <c r="B6758" t="s">
        <v>723</v>
      </c>
      <c r="C6758" t="s">
        <v>642</v>
      </c>
      <c r="D6758" s="230">
        <v>0</v>
      </c>
      <c r="E6758" t="s">
        <v>724</v>
      </c>
    </row>
    <row r="6759" spans="1:5" hidden="1" x14ac:dyDescent="0.3">
      <c r="A6759" t="s">
        <v>557</v>
      </c>
      <c r="B6759" t="s">
        <v>723</v>
      </c>
      <c r="C6759" t="s">
        <v>643</v>
      </c>
      <c r="D6759" s="230">
        <v>0</v>
      </c>
      <c r="E6759" t="s">
        <v>724</v>
      </c>
    </row>
    <row r="6760" spans="1:5" hidden="1" x14ac:dyDescent="0.3">
      <c r="A6760" t="s">
        <v>557</v>
      </c>
      <c r="B6760" t="s">
        <v>723</v>
      </c>
      <c r="C6760" t="s">
        <v>644</v>
      </c>
      <c r="D6760" s="230">
        <v>0</v>
      </c>
      <c r="E6760" t="s">
        <v>724</v>
      </c>
    </row>
    <row r="6761" spans="1:5" hidden="1" x14ac:dyDescent="0.3">
      <c r="A6761" t="s">
        <v>557</v>
      </c>
      <c r="B6761" t="s">
        <v>723</v>
      </c>
      <c r="C6761" t="s">
        <v>645</v>
      </c>
      <c r="D6761" s="230">
        <v>0</v>
      </c>
      <c r="E6761" t="s">
        <v>724</v>
      </c>
    </row>
    <row r="6762" spans="1:5" hidden="1" x14ac:dyDescent="0.3">
      <c r="A6762" t="s">
        <v>557</v>
      </c>
      <c r="B6762" t="s">
        <v>723</v>
      </c>
      <c r="C6762" t="s">
        <v>646</v>
      </c>
      <c r="D6762" s="230">
        <v>0</v>
      </c>
      <c r="E6762" t="s">
        <v>724</v>
      </c>
    </row>
    <row r="6763" spans="1:5" hidden="1" x14ac:dyDescent="0.3">
      <c r="A6763" t="s">
        <v>557</v>
      </c>
      <c r="B6763" t="s">
        <v>723</v>
      </c>
      <c r="C6763" t="s">
        <v>647</v>
      </c>
      <c r="D6763" s="230">
        <v>0</v>
      </c>
      <c r="E6763" t="s">
        <v>724</v>
      </c>
    </row>
    <row r="6764" spans="1:5" hidden="1" x14ac:dyDescent="0.3">
      <c r="A6764" t="s">
        <v>557</v>
      </c>
      <c r="B6764" t="s">
        <v>723</v>
      </c>
      <c r="C6764" t="s">
        <v>648</v>
      </c>
      <c r="D6764" s="230">
        <v>0</v>
      </c>
      <c r="E6764" t="s">
        <v>724</v>
      </c>
    </row>
    <row r="6765" spans="1:5" hidden="1" x14ac:dyDescent="0.3">
      <c r="A6765" t="s">
        <v>557</v>
      </c>
      <c r="B6765" t="s">
        <v>723</v>
      </c>
      <c r="C6765" t="s">
        <v>649</v>
      </c>
      <c r="D6765" s="230">
        <v>0</v>
      </c>
      <c r="E6765" t="s">
        <v>724</v>
      </c>
    </row>
    <row r="6766" spans="1:5" hidden="1" x14ac:dyDescent="0.3">
      <c r="A6766" t="s">
        <v>557</v>
      </c>
      <c r="B6766" t="s">
        <v>723</v>
      </c>
      <c r="C6766" t="s">
        <v>650</v>
      </c>
      <c r="D6766" s="230">
        <v>0</v>
      </c>
      <c r="E6766" t="s">
        <v>724</v>
      </c>
    </row>
    <row r="6767" spans="1:5" hidden="1" x14ac:dyDescent="0.3">
      <c r="A6767" t="s">
        <v>557</v>
      </c>
      <c r="B6767" t="s">
        <v>723</v>
      </c>
      <c r="C6767" t="s">
        <v>651</v>
      </c>
      <c r="D6767" s="230">
        <v>0</v>
      </c>
      <c r="E6767" t="s">
        <v>724</v>
      </c>
    </row>
    <row r="6768" spans="1:5" hidden="1" x14ac:dyDescent="0.3">
      <c r="A6768" t="s">
        <v>557</v>
      </c>
      <c r="B6768" t="s">
        <v>723</v>
      </c>
      <c r="C6768" t="s">
        <v>652</v>
      </c>
      <c r="D6768" s="230">
        <v>0</v>
      </c>
      <c r="E6768" t="s">
        <v>724</v>
      </c>
    </row>
    <row r="6769" spans="1:5" hidden="1" x14ac:dyDescent="0.3">
      <c r="A6769" t="s">
        <v>557</v>
      </c>
      <c r="B6769" t="s">
        <v>723</v>
      </c>
      <c r="C6769" t="s">
        <v>653</v>
      </c>
      <c r="D6769" s="230">
        <v>0</v>
      </c>
      <c r="E6769" t="s">
        <v>724</v>
      </c>
    </row>
    <row r="6770" spans="1:5" hidden="1" x14ac:dyDescent="0.3">
      <c r="A6770" t="s">
        <v>557</v>
      </c>
      <c r="B6770" t="s">
        <v>723</v>
      </c>
      <c r="C6770" t="s">
        <v>654</v>
      </c>
      <c r="D6770" s="230">
        <v>0</v>
      </c>
      <c r="E6770" t="s">
        <v>724</v>
      </c>
    </row>
    <row r="6771" spans="1:5" hidden="1" x14ac:dyDescent="0.3">
      <c r="A6771" t="s">
        <v>557</v>
      </c>
      <c r="B6771" t="s">
        <v>723</v>
      </c>
      <c r="C6771" t="s">
        <v>655</v>
      </c>
      <c r="D6771" s="230">
        <v>0</v>
      </c>
      <c r="E6771" t="s">
        <v>724</v>
      </c>
    </row>
    <row r="6772" spans="1:5" hidden="1" x14ac:dyDescent="0.3">
      <c r="A6772" t="s">
        <v>557</v>
      </c>
      <c r="B6772" t="s">
        <v>723</v>
      </c>
      <c r="C6772" t="s">
        <v>656</v>
      </c>
      <c r="D6772" s="230">
        <v>0</v>
      </c>
      <c r="E6772" t="s">
        <v>724</v>
      </c>
    </row>
    <row r="6773" spans="1:5" hidden="1" x14ac:dyDescent="0.3">
      <c r="A6773" t="s">
        <v>557</v>
      </c>
      <c r="B6773" t="s">
        <v>723</v>
      </c>
      <c r="C6773" t="s">
        <v>657</v>
      </c>
      <c r="D6773" s="230">
        <v>0</v>
      </c>
      <c r="E6773" t="s">
        <v>724</v>
      </c>
    </row>
    <row r="6774" spans="1:5" hidden="1" x14ac:dyDescent="0.3">
      <c r="A6774" t="s">
        <v>557</v>
      </c>
      <c r="B6774" t="s">
        <v>723</v>
      </c>
      <c r="C6774" t="s">
        <v>658</v>
      </c>
      <c r="D6774" s="230">
        <v>0</v>
      </c>
      <c r="E6774" t="s">
        <v>724</v>
      </c>
    </row>
    <row r="6775" spans="1:5" hidden="1" x14ac:dyDescent="0.3">
      <c r="A6775" t="s">
        <v>557</v>
      </c>
      <c r="B6775" t="s">
        <v>723</v>
      </c>
      <c r="C6775" t="s">
        <v>659</v>
      </c>
      <c r="D6775" s="230">
        <v>0</v>
      </c>
      <c r="E6775" t="s">
        <v>724</v>
      </c>
    </row>
    <row r="6776" spans="1:5" hidden="1" x14ac:dyDescent="0.3">
      <c r="A6776" t="s">
        <v>557</v>
      </c>
      <c r="B6776" t="s">
        <v>723</v>
      </c>
      <c r="C6776" t="s">
        <v>660</v>
      </c>
      <c r="D6776" s="230">
        <v>0</v>
      </c>
      <c r="E6776" t="s">
        <v>724</v>
      </c>
    </row>
    <row r="6777" spans="1:5" hidden="1" x14ac:dyDescent="0.3">
      <c r="A6777" t="s">
        <v>557</v>
      </c>
      <c r="B6777" t="s">
        <v>723</v>
      </c>
      <c r="C6777" t="s">
        <v>661</v>
      </c>
      <c r="D6777" s="230">
        <v>0</v>
      </c>
      <c r="E6777" t="s">
        <v>724</v>
      </c>
    </row>
    <row r="6778" spans="1:5" hidden="1" x14ac:dyDescent="0.3">
      <c r="A6778" t="s">
        <v>557</v>
      </c>
      <c r="B6778" t="s">
        <v>723</v>
      </c>
      <c r="C6778" t="s">
        <v>662</v>
      </c>
      <c r="D6778" s="230">
        <v>0</v>
      </c>
      <c r="E6778" t="s">
        <v>724</v>
      </c>
    </row>
    <row r="6779" spans="1:5" hidden="1" x14ac:dyDescent="0.3">
      <c r="A6779" t="s">
        <v>557</v>
      </c>
      <c r="B6779" t="s">
        <v>723</v>
      </c>
      <c r="C6779" t="s">
        <v>663</v>
      </c>
      <c r="D6779" s="230">
        <v>0</v>
      </c>
      <c r="E6779" t="s">
        <v>724</v>
      </c>
    </row>
    <row r="6780" spans="1:5" hidden="1" x14ac:dyDescent="0.3">
      <c r="A6780" t="s">
        <v>557</v>
      </c>
      <c r="B6780" t="s">
        <v>723</v>
      </c>
      <c r="C6780" t="s">
        <v>664</v>
      </c>
      <c r="D6780" s="230">
        <v>0</v>
      </c>
      <c r="E6780" t="s">
        <v>724</v>
      </c>
    </row>
    <row r="6781" spans="1:5" hidden="1" x14ac:dyDescent="0.3">
      <c r="A6781" t="s">
        <v>557</v>
      </c>
      <c r="B6781" t="s">
        <v>723</v>
      </c>
      <c r="C6781" t="s">
        <v>665</v>
      </c>
      <c r="D6781" s="230">
        <v>0</v>
      </c>
      <c r="E6781" t="s">
        <v>724</v>
      </c>
    </row>
    <row r="6782" spans="1:5" hidden="1" x14ac:dyDescent="0.3">
      <c r="A6782" t="s">
        <v>557</v>
      </c>
      <c r="B6782" t="s">
        <v>723</v>
      </c>
      <c r="C6782" t="s">
        <v>666</v>
      </c>
      <c r="D6782" s="230">
        <v>0</v>
      </c>
      <c r="E6782" t="s">
        <v>724</v>
      </c>
    </row>
    <row r="6783" spans="1:5" hidden="1" x14ac:dyDescent="0.3">
      <c r="A6783" t="s">
        <v>557</v>
      </c>
      <c r="B6783" t="s">
        <v>723</v>
      </c>
      <c r="C6783" t="s">
        <v>667</v>
      </c>
      <c r="D6783" s="230">
        <v>0</v>
      </c>
      <c r="E6783" t="s">
        <v>724</v>
      </c>
    </row>
    <row r="6784" spans="1:5" hidden="1" x14ac:dyDescent="0.3">
      <c r="A6784" t="s">
        <v>557</v>
      </c>
      <c r="B6784" t="s">
        <v>723</v>
      </c>
      <c r="C6784" t="s">
        <v>668</v>
      </c>
      <c r="D6784" s="230">
        <v>0</v>
      </c>
      <c r="E6784" t="s">
        <v>724</v>
      </c>
    </row>
    <row r="6785" spans="1:5" hidden="1" x14ac:dyDescent="0.3">
      <c r="A6785" t="s">
        <v>557</v>
      </c>
      <c r="B6785" t="s">
        <v>723</v>
      </c>
      <c r="C6785" t="s">
        <v>669</v>
      </c>
      <c r="D6785" s="230">
        <v>0</v>
      </c>
      <c r="E6785" t="s">
        <v>724</v>
      </c>
    </row>
    <row r="6786" spans="1:5" hidden="1" x14ac:dyDescent="0.3">
      <c r="A6786" t="s">
        <v>557</v>
      </c>
      <c r="B6786" t="s">
        <v>723</v>
      </c>
      <c r="C6786" t="s">
        <v>670</v>
      </c>
      <c r="D6786" s="230">
        <v>0</v>
      </c>
      <c r="E6786" t="s">
        <v>724</v>
      </c>
    </row>
    <row r="6787" spans="1:5" hidden="1" x14ac:dyDescent="0.3">
      <c r="A6787" t="s">
        <v>557</v>
      </c>
      <c r="B6787" t="s">
        <v>723</v>
      </c>
      <c r="C6787" t="s">
        <v>671</v>
      </c>
      <c r="D6787" s="230">
        <v>0</v>
      </c>
      <c r="E6787" t="s">
        <v>724</v>
      </c>
    </row>
    <row r="6788" spans="1:5" hidden="1" x14ac:dyDescent="0.3">
      <c r="A6788" t="s">
        <v>557</v>
      </c>
      <c r="B6788" t="s">
        <v>723</v>
      </c>
      <c r="C6788" t="s">
        <v>672</v>
      </c>
      <c r="D6788" s="230">
        <v>0</v>
      </c>
      <c r="E6788" t="s">
        <v>724</v>
      </c>
    </row>
    <row r="6789" spans="1:5" hidden="1" x14ac:dyDescent="0.3">
      <c r="A6789" t="s">
        <v>557</v>
      </c>
      <c r="B6789" t="s">
        <v>723</v>
      </c>
      <c r="C6789" t="s">
        <v>673</v>
      </c>
      <c r="D6789" s="230">
        <v>0</v>
      </c>
      <c r="E6789" t="s">
        <v>724</v>
      </c>
    </row>
    <row r="6790" spans="1:5" hidden="1" x14ac:dyDescent="0.3">
      <c r="A6790" t="s">
        <v>557</v>
      </c>
      <c r="B6790" t="s">
        <v>723</v>
      </c>
      <c r="C6790" t="s">
        <v>674</v>
      </c>
      <c r="D6790" s="230">
        <v>0</v>
      </c>
      <c r="E6790" t="s">
        <v>724</v>
      </c>
    </row>
    <row r="6791" spans="1:5" hidden="1" x14ac:dyDescent="0.3">
      <c r="A6791" t="s">
        <v>557</v>
      </c>
      <c r="B6791" t="s">
        <v>723</v>
      </c>
      <c r="C6791" t="s">
        <v>675</v>
      </c>
      <c r="D6791" s="230">
        <v>0</v>
      </c>
      <c r="E6791" t="s">
        <v>724</v>
      </c>
    </row>
    <row r="6792" spans="1:5" hidden="1" x14ac:dyDescent="0.3">
      <c r="A6792" t="s">
        <v>557</v>
      </c>
      <c r="B6792" t="s">
        <v>723</v>
      </c>
      <c r="C6792" t="s">
        <v>676</v>
      </c>
      <c r="D6792" s="230">
        <v>0</v>
      </c>
      <c r="E6792" t="s">
        <v>724</v>
      </c>
    </row>
    <row r="6793" spans="1:5" hidden="1" x14ac:dyDescent="0.3">
      <c r="A6793" t="s">
        <v>557</v>
      </c>
      <c r="B6793" t="s">
        <v>723</v>
      </c>
      <c r="C6793" t="s">
        <v>677</v>
      </c>
      <c r="D6793" s="230">
        <v>0</v>
      </c>
      <c r="E6793" t="s">
        <v>724</v>
      </c>
    </row>
    <row r="6794" spans="1:5" hidden="1" x14ac:dyDescent="0.3">
      <c r="A6794" t="s">
        <v>557</v>
      </c>
      <c r="B6794" t="s">
        <v>723</v>
      </c>
      <c r="C6794" t="s">
        <v>201</v>
      </c>
      <c r="D6794" s="230">
        <v>-16239.54</v>
      </c>
      <c r="E6794" t="s">
        <v>724</v>
      </c>
    </row>
    <row r="6795" spans="1:5" hidden="1" x14ac:dyDescent="0.3">
      <c r="A6795" t="s">
        <v>557</v>
      </c>
      <c r="B6795" t="s">
        <v>723</v>
      </c>
      <c r="C6795" t="s">
        <v>203</v>
      </c>
      <c r="D6795" s="230">
        <v>-16239.54</v>
      </c>
      <c r="E6795" t="s">
        <v>724</v>
      </c>
    </row>
    <row r="6796" spans="1:5" hidden="1" x14ac:dyDescent="0.3">
      <c r="A6796" t="s">
        <v>557</v>
      </c>
      <c r="B6796" t="s">
        <v>723</v>
      </c>
      <c r="C6796" t="s">
        <v>678</v>
      </c>
      <c r="D6796" s="230">
        <v>8119.77</v>
      </c>
      <c r="E6796" t="s">
        <v>724</v>
      </c>
    </row>
    <row r="6797" spans="1:5" hidden="1" x14ac:dyDescent="0.3">
      <c r="A6797" t="s">
        <v>557</v>
      </c>
      <c r="B6797" t="s">
        <v>723</v>
      </c>
      <c r="C6797" t="s">
        <v>205</v>
      </c>
      <c r="D6797" s="230">
        <v>-14492.14</v>
      </c>
      <c r="E6797" t="s">
        <v>724</v>
      </c>
    </row>
    <row r="6798" spans="1:5" hidden="1" x14ac:dyDescent="0.3">
      <c r="A6798" t="s">
        <v>557</v>
      </c>
      <c r="B6798" t="s">
        <v>723</v>
      </c>
      <c r="C6798" t="s">
        <v>679</v>
      </c>
      <c r="D6798" s="230">
        <v>-2501.5500000000002</v>
      </c>
      <c r="E6798" t="s">
        <v>724</v>
      </c>
    </row>
    <row r="6799" spans="1:5" hidden="1" x14ac:dyDescent="0.3">
      <c r="A6799" t="s">
        <v>557</v>
      </c>
      <c r="B6799" t="s">
        <v>723</v>
      </c>
      <c r="C6799" t="s">
        <v>680</v>
      </c>
      <c r="D6799" s="230">
        <v>-84.68</v>
      </c>
      <c r="E6799" t="s">
        <v>724</v>
      </c>
    </row>
    <row r="6800" spans="1:5" hidden="1" x14ac:dyDescent="0.3">
      <c r="A6800" t="s">
        <v>557</v>
      </c>
      <c r="B6800" t="s">
        <v>723</v>
      </c>
      <c r="C6800" t="s">
        <v>681</v>
      </c>
      <c r="D6800" s="230">
        <v>0</v>
      </c>
      <c r="E6800" t="s">
        <v>724</v>
      </c>
    </row>
    <row r="6801" spans="1:5" hidden="1" x14ac:dyDescent="0.3">
      <c r="A6801" t="s">
        <v>557</v>
      </c>
      <c r="B6801" t="s">
        <v>723</v>
      </c>
      <c r="C6801" t="s">
        <v>682</v>
      </c>
      <c r="D6801" s="230">
        <v>-4928.21</v>
      </c>
      <c r="E6801" t="s">
        <v>724</v>
      </c>
    </row>
    <row r="6802" spans="1:5" hidden="1" x14ac:dyDescent="0.3">
      <c r="A6802" t="s">
        <v>557</v>
      </c>
      <c r="B6802" t="s">
        <v>723</v>
      </c>
      <c r="C6802" t="s">
        <v>683</v>
      </c>
      <c r="D6802" s="230">
        <v>0</v>
      </c>
      <c r="E6802" t="s">
        <v>724</v>
      </c>
    </row>
    <row r="6803" spans="1:5" hidden="1" x14ac:dyDescent="0.3">
      <c r="A6803" t="s">
        <v>557</v>
      </c>
      <c r="B6803" t="s">
        <v>723</v>
      </c>
      <c r="C6803" t="s">
        <v>684</v>
      </c>
      <c r="D6803" s="230">
        <v>-1660.46</v>
      </c>
      <c r="E6803" t="s">
        <v>724</v>
      </c>
    </row>
    <row r="6804" spans="1:5" hidden="1" x14ac:dyDescent="0.3">
      <c r="A6804" t="s">
        <v>557</v>
      </c>
      <c r="B6804" t="s">
        <v>723</v>
      </c>
      <c r="C6804" t="s">
        <v>685</v>
      </c>
      <c r="D6804" s="230">
        <v>-496.37</v>
      </c>
      <c r="E6804" t="s">
        <v>724</v>
      </c>
    </row>
    <row r="6805" spans="1:5" hidden="1" x14ac:dyDescent="0.3">
      <c r="A6805" t="s">
        <v>557</v>
      </c>
      <c r="B6805" t="s">
        <v>723</v>
      </c>
      <c r="C6805" t="s">
        <v>686</v>
      </c>
      <c r="D6805" s="230">
        <v>0</v>
      </c>
      <c r="E6805" t="s">
        <v>724</v>
      </c>
    </row>
    <row r="6806" spans="1:5" hidden="1" x14ac:dyDescent="0.3">
      <c r="A6806" t="s">
        <v>557</v>
      </c>
      <c r="B6806" t="s">
        <v>723</v>
      </c>
      <c r="C6806" t="s">
        <v>687</v>
      </c>
      <c r="D6806" s="230">
        <v>0</v>
      </c>
      <c r="E6806" t="s">
        <v>724</v>
      </c>
    </row>
    <row r="6807" spans="1:5" hidden="1" x14ac:dyDescent="0.3">
      <c r="A6807" t="s">
        <v>557</v>
      </c>
      <c r="B6807" t="s">
        <v>723</v>
      </c>
      <c r="C6807" t="s">
        <v>688</v>
      </c>
      <c r="D6807" s="230">
        <v>0</v>
      </c>
      <c r="E6807" t="s">
        <v>724</v>
      </c>
    </row>
    <row r="6808" spans="1:5" hidden="1" x14ac:dyDescent="0.3">
      <c r="A6808" t="s">
        <v>557</v>
      </c>
      <c r="B6808" t="s">
        <v>723</v>
      </c>
      <c r="C6808" t="s">
        <v>689</v>
      </c>
      <c r="D6808" s="230">
        <v>0</v>
      </c>
      <c r="E6808" t="s">
        <v>724</v>
      </c>
    </row>
    <row r="6809" spans="1:5" hidden="1" x14ac:dyDescent="0.3">
      <c r="A6809" t="s">
        <v>557</v>
      </c>
      <c r="B6809" t="s">
        <v>723</v>
      </c>
      <c r="C6809" t="s">
        <v>690</v>
      </c>
      <c r="D6809" s="230">
        <v>-2000</v>
      </c>
      <c r="E6809" t="s">
        <v>724</v>
      </c>
    </row>
    <row r="6810" spans="1:5" hidden="1" x14ac:dyDescent="0.3">
      <c r="A6810" t="s">
        <v>557</v>
      </c>
      <c r="B6810" t="s">
        <v>723</v>
      </c>
      <c r="C6810" t="s">
        <v>691</v>
      </c>
      <c r="D6810" s="230">
        <v>0</v>
      </c>
      <c r="E6810" t="s">
        <v>724</v>
      </c>
    </row>
    <row r="6811" spans="1:5" hidden="1" x14ac:dyDescent="0.3">
      <c r="A6811" t="s">
        <v>557</v>
      </c>
      <c r="B6811" t="s">
        <v>723</v>
      </c>
      <c r="C6811" t="s">
        <v>692</v>
      </c>
      <c r="D6811" s="230">
        <v>-2820.86</v>
      </c>
      <c r="E6811" t="s">
        <v>724</v>
      </c>
    </row>
    <row r="6812" spans="1:5" hidden="1" x14ac:dyDescent="0.3">
      <c r="A6812" t="s">
        <v>557</v>
      </c>
      <c r="B6812" t="s">
        <v>723</v>
      </c>
      <c r="C6812" t="s">
        <v>693</v>
      </c>
      <c r="D6812" s="230">
        <v>0</v>
      </c>
      <c r="E6812" t="s">
        <v>724</v>
      </c>
    </row>
    <row r="6813" spans="1:5" hidden="1" x14ac:dyDescent="0.3">
      <c r="A6813" t="s">
        <v>557</v>
      </c>
      <c r="B6813" t="s">
        <v>723</v>
      </c>
      <c r="C6813" t="s">
        <v>694</v>
      </c>
      <c r="D6813" s="230">
        <v>0</v>
      </c>
      <c r="E6813" t="s">
        <v>724</v>
      </c>
    </row>
    <row r="6814" spans="1:5" hidden="1" x14ac:dyDescent="0.3">
      <c r="A6814" t="s">
        <v>557</v>
      </c>
      <c r="B6814" t="s">
        <v>723</v>
      </c>
      <c r="C6814" t="s">
        <v>238</v>
      </c>
      <c r="D6814" s="230">
        <v>-4960.3900000000003</v>
      </c>
      <c r="E6814" t="s">
        <v>724</v>
      </c>
    </row>
    <row r="6815" spans="1:5" hidden="1" x14ac:dyDescent="0.3">
      <c r="A6815" t="s">
        <v>557</v>
      </c>
      <c r="B6815" t="s">
        <v>723</v>
      </c>
      <c r="C6815" t="s">
        <v>695</v>
      </c>
      <c r="D6815" s="230">
        <v>-4887.3900000000003</v>
      </c>
      <c r="E6815" t="s">
        <v>724</v>
      </c>
    </row>
    <row r="6816" spans="1:5" hidden="1" x14ac:dyDescent="0.3">
      <c r="A6816" t="s">
        <v>557</v>
      </c>
      <c r="B6816" t="s">
        <v>723</v>
      </c>
      <c r="C6816" t="s">
        <v>696</v>
      </c>
      <c r="D6816" s="230">
        <v>0</v>
      </c>
      <c r="E6816" t="s">
        <v>724</v>
      </c>
    </row>
    <row r="6817" spans="1:5" hidden="1" x14ac:dyDescent="0.3">
      <c r="A6817" t="s">
        <v>557</v>
      </c>
      <c r="B6817" t="s">
        <v>723</v>
      </c>
      <c r="C6817" t="s">
        <v>697</v>
      </c>
      <c r="D6817" s="230">
        <v>0</v>
      </c>
      <c r="E6817" t="s">
        <v>724</v>
      </c>
    </row>
    <row r="6818" spans="1:5" hidden="1" x14ac:dyDescent="0.3">
      <c r="A6818" t="s">
        <v>557</v>
      </c>
      <c r="B6818" t="s">
        <v>723</v>
      </c>
      <c r="C6818" t="s">
        <v>698</v>
      </c>
      <c r="D6818" s="230">
        <v>-73</v>
      </c>
      <c r="E6818" t="s">
        <v>724</v>
      </c>
    </row>
    <row r="6819" spans="1:5" hidden="1" x14ac:dyDescent="0.3">
      <c r="A6819" t="s">
        <v>557</v>
      </c>
      <c r="B6819" t="s">
        <v>723</v>
      </c>
      <c r="C6819" t="s">
        <v>699</v>
      </c>
      <c r="D6819" s="230">
        <v>0</v>
      </c>
      <c r="E6819" t="s">
        <v>724</v>
      </c>
    </row>
    <row r="6820" spans="1:5" hidden="1" x14ac:dyDescent="0.3">
      <c r="A6820" t="s">
        <v>557</v>
      </c>
      <c r="B6820" t="s">
        <v>723</v>
      </c>
      <c r="C6820" t="s">
        <v>245</v>
      </c>
      <c r="D6820" s="230">
        <v>-10183.709999999999</v>
      </c>
      <c r="E6820" t="s">
        <v>724</v>
      </c>
    </row>
    <row r="6821" spans="1:5" hidden="1" x14ac:dyDescent="0.3">
      <c r="A6821" t="s">
        <v>557</v>
      </c>
      <c r="B6821" t="s">
        <v>723</v>
      </c>
      <c r="C6821" t="s">
        <v>700</v>
      </c>
      <c r="D6821" s="230">
        <v>-312</v>
      </c>
      <c r="E6821" t="s">
        <v>724</v>
      </c>
    </row>
    <row r="6822" spans="1:5" hidden="1" x14ac:dyDescent="0.3">
      <c r="A6822" t="s">
        <v>557</v>
      </c>
      <c r="B6822" t="s">
        <v>723</v>
      </c>
      <c r="C6822" t="s">
        <v>701</v>
      </c>
      <c r="D6822" s="230">
        <v>-477.32</v>
      </c>
      <c r="E6822" t="s">
        <v>724</v>
      </c>
    </row>
    <row r="6823" spans="1:5" hidden="1" x14ac:dyDescent="0.3">
      <c r="A6823" t="s">
        <v>557</v>
      </c>
      <c r="B6823" t="s">
        <v>723</v>
      </c>
      <c r="C6823" t="s">
        <v>702</v>
      </c>
      <c r="D6823" s="230">
        <v>0</v>
      </c>
      <c r="E6823" t="s">
        <v>724</v>
      </c>
    </row>
    <row r="6824" spans="1:5" hidden="1" x14ac:dyDescent="0.3">
      <c r="A6824" t="s">
        <v>557</v>
      </c>
      <c r="B6824" t="s">
        <v>723</v>
      </c>
      <c r="C6824" t="s">
        <v>703</v>
      </c>
      <c r="D6824" s="230">
        <v>0</v>
      </c>
      <c r="E6824" t="s">
        <v>724</v>
      </c>
    </row>
    <row r="6825" spans="1:5" hidden="1" x14ac:dyDescent="0.3">
      <c r="A6825" t="s">
        <v>557</v>
      </c>
      <c r="B6825" t="s">
        <v>723</v>
      </c>
      <c r="C6825" t="s">
        <v>704</v>
      </c>
      <c r="D6825" s="230">
        <v>0</v>
      </c>
      <c r="E6825" t="s">
        <v>724</v>
      </c>
    </row>
    <row r="6826" spans="1:5" hidden="1" x14ac:dyDescent="0.3">
      <c r="A6826" t="s">
        <v>557</v>
      </c>
      <c r="B6826" t="s">
        <v>723</v>
      </c>
      <c r="C6826" t="s">
        <v>705</v>
      </c>
      <c r="D6826" s="230">
        <v>-9394.39</v>
      </c>
      <c r="E6826" t="s">
        <v>724</v>
      </c>
    </row>
    <row r="6827" spans="1:5" hidden="1" x14ac:dyDescent="0.3">
      <c r="A6827" t="s">
        <v>557</v>
      </c>
      <c r="B6827" t="s">
        <v>723</v>
      </c>
      <c r="C6827" t="s">
        <v>706</v>
      </c>
      <c r="D6827" s="230">
        <v>0</v>
      </c>
      <c r="E6827" t="s">
        <v>724</v>
      </c>
    </row>
    <row r="6828" spans="1:5" hidden="1" x14ac:dyDescent="0.3">
      <c r="A6828" t="s">
        <v>557</v>
      </c>
      <c r="B6828" t="s">
        <v>723</v>
      </c>
      <c r="C6828" t="s">
        <v>254</v>
      </c>
      <c r="D6828" s="230">
        <v>-0.31</v>
      </c>
      <c r="E6828" t="s">
        <v>724</v>
      </c>
    </row>
    <row r="6829" spans="1:5" hidden="1" x14ac:dyDescent="0.3">
      <c r="A6829" t="s">
        <v>557</v>
      </c>
      <c r="B6829" t="s">
        <v>723</v>
      </c>
      <c r="C6829" t="s">
        <v>255</v>
      </c>
      <c r="D6829" s="230">
        <v>-0.3</v>
      </c>
      <c r="E6829" t="s">
        <v>724</v>
      </c>
    </row>
    <row r="6830" spans="1:5" hidden="1" x14ac:dyDescent="0.3">
      <c r="A6830" t="s">
        <v>557</v>
      </c>
      <c r="B6830" t="s">
        <v>723</v>
      </c>
      <c r="C6830" t="s">
        <v>256</v>
      </c>
      <c r="D6830" s="230">
        <v>-51752.37</v>
      </c>
      <c r="E6830" t="s">
        <v>724</v>
      </c>
    </row>
    <row r="6831" spans="1:5" hidden="1" x14ac:dyDescent="0.3">
      <c r="A6831" t="s">
        <v>557</v>
      </c>
      <c r="B6831" t="s">
        <v>723</v>
      </c>
      <c r="C6831" t="s">
        <v>257</v>
      </c>
      <c r="D6831" s="230">
        <v>-49305.7</v>
      </c>
      <c r="E6831" t="s">
        <v>724</v>
      </c>
    </row>
    <row r="6832" spans="1:5" hidden="1" x14ac:dyDescent="0.3">
      <c r="A6832" t="s">
        <v>557</v>
      </c>
      <c r="B6832" t="s">
        <v>723</v>
      </c>
      <c r="C6832" t="s">
        <v>258</v>
      </c>
      <c r="D6832" s="230">
        <v>0</v>
      </c>
      <c r="E6832" t="s">
        <v>724</v>
      </c>
    </row>
    <row r="6833" spans="1:5" hidden="1" x14ac:dyDescent="0.3">
      <c r="A6833" t="s">
        <v>557</v>
      </c>
      <c r="B6833" t="s">
        <v>723</v>
      </c>
      <c r="C6833" t="s">
        <v>259</v>
      </c>
      <c r="D6833" s="230">
        <v>-2446.67</v>
      </c>
      <c r="E6833" t="s">
        <v>724</v>
      </c>
    </row>
    <row r="6834" spans="1:5" hidden="1" x14ac:dyDescent="0.3">
      <c r="A6834" t="s">
        <v>557</v>
      </c>
      <c r="B6834" t="s">
        <v>723</v>
      </c>
      <c r="C6834" t="s">
        <v>260</v>
      </c>
      <c r="D6834" s="230">
        <v>0</v>
      </c>
      <c r="E6834" t="s">
        <v>724</v>
      </c>
    </row>
    <row r="6835" spans="1:5" hidden="1" x14ac:dyDescent="0.3">
      <c r="A6835" t="s">
        <v>557</v>
      </c>
      <c r="B6835" t="s">
        <v>723</v>
      </c>
      <c r="C6835" t="s">
        <v>261</v>
      </c>
      <c r="D6835" s="230">
        <v>0</v>
      </c>
      <c r="E6835" t="s">
        <v>724</v>
      </c>
    </row>
    <row r="6836" spans="1:5" hidden="1" x14ac:dyDescent="0.3">
      <c r="A6836" t="s">
        <v>557</v>
      </c>
      <c r="B6836" t="s">
        <v>723</v>
      </c>
      <c r="C6836" t="s">
        <v>262</v>
      </c>
      <c r="D6836" s="230">
        <v>0</v>
      </c>
      <c r="E6836" t="s">
        <v>724</v>
      </c>
    </row>
    <row r="6837" spans="1:5" hidden="1" x14ac:dyDescent="0.3">
      <c r="A6837" t="s">
        <v>557</v>
      </c>
      <c r="B6837" t="s">
        <v>723</v>
      </c>
      <c r="C6837" t="s">
        <v>263</v>
      </c>
      <c r="D6837" s="230">
        <v>0</v>
      </c>
      <c r="E6837" t="s">
        <v>724</v>
      </c>
    </row>
    <row r="6838" spans="1:5" hidden="1" x14ac:dyDescent="0.3">
      <c r="A6838" t="s">
        <v>557</v>
      </c>
      <c r="B6838" t="s">
        <v>723</v>
      </c>
      <c r="C6838" t="s">
        <v>44</v>
      </c>
      <c r="D6838" s="230">
        <v>-0.11</v>
      </c>
      <c r="E6838" t="s">
        <v>724</v>
      </c>
    </row>
    <row r="6839" spans="1:5" hidden="1" x14ac:dyDescent="0.3">
      <c r="A6839" t="s">
        <v>557</v>
      </c>
      <c r="B6839" t="s">
        <v>723</v>
      </c>
      <c r="C6839" t="s">
        <v>264</v>
      </c>
      <c r="D6839" s="230">
        <v>-35099.25</v>
      </c>
      <c r="E6839" t="s">
        <v>724</v>
      </c>
    </row>
    <row r="6840" spans="1:5" hidden="1" x14ac:dyDescent="0.3">
      <c r="A6840" t="s">
        <v>557</v>
      </c>
      <c r="B6840" t="s">
        <v>723</v>
      </c>
      <c r="C6840" t="s">
        <v>265</v>
      </c>
      <c r="D6840" s="230">
        <v>-5672.02</v>
      </c>
      <c r="E6840" t="s">
        <v>724</v>
      </c>
    </row>
    <row r="6841" spans="1:5" hidden="1" x14ac:dyDescent="0.3">
      <c r="A6841" t="s">
        <v>557</v>
      </c>
      <c r="B6841" t="s">
        <v>723</v>
      </c>
      <c r="C6841" t="s">
        <v>266</v>
      </c>
      <c r="D6841" s="230">
        <v>-11268.66</v>
      </c>
      <c r="E6841" t="s">
        <v>724</v>
      </c>
    </row>
    <row r="6842" spans="1:5" hidden="1" x14ac:dyDescent="0.3">
      <c r="A6842" t="s">
        <v>557</v>
      </c>
      <c r="B6842" t="s">
        <v>723</v>
      </c>
      <c r="C6842" t="s">
        <v>267</v>
      </c>
      <c r="D6842" s="230">
        <v>-6190.85</v>
      </c>
      <c r="E6842" t="s">
        <v>724</v>
      </c>
    </row>
    <row r="6843" spans="1:5" hidden="1" x14ac:dyDescent="0.3">
      <c r="A6843" t="s">
        <v>557</v>
      </c>
      <c r="B6843" t="s">
        <v>723</v>
      </c>
      <c r="C6843" t="s">
        <v>268</v>
      </c>
      <c r="D6843" s="230">
        <v>-5211.5600000000004</v>
      </c>
      <c r="E6843" t="s">
        <v>724</v>
      </c>
    </row>
    <row r="6844" spans="1:5" hidden="1" x14ac:dyDescent="0.3">
      <c r="A6844" t="s">
        <v>557</v>
      </c>
      <c r="B6844" t="s">
        <v>723</v>
      </c>
      <c r="C6844" t="s">
        <v>269</v>
      </c>
      <c r="D6844" s="230">
        <v>0</v>
      </c>
      <c r="E6844" t="s">
        <v>724</v>
      </c>
    </row>
    <row r="6845" spans="1:5" hidden="1" x14ac:dyDescent="0.3">
      <c r="A6845" t="s">
        <v>557</v>
      </c>
      <c r="B6845" t="s">
        <v>723</v>
      </c>
      <c r="C6845" t="s">
        <v>270</v>
      </c>
      <c r="D6845" s="230">
        <v>-500</v>
      </c>
      <c r="E6845" t="s">
        <v>724</v>
      </c>
    </row>
    <row r="6846" spans="1:5" hidden="1" x14ac:dyDescent="0.3">
      <c r="A6846" t="s">
        <v>557</v>
      </c>
      <c r="B6846" t="s">
        <v>723</v>
      </c>
      <c r="C6846" t="s">
        <v>271</v>
      </c>
      <c r="D6846" s="230">
        <v>-766.08</v>
      </c>
      <c r="E6846" t="s">
        <v>724</v>
      </c>
    </row>
    <row r="6847" spans="1:5" hidden="1" x14ac:dyDescent="0.3">
      <c r="A6847" t="s">
        <v>557</v>
      </c>
      <c r="B6847" t="s">
        <v>723</v>
      </c>
      <c r="C6847" t="s">
        <v>272</v>
      </c>
      <c r="D6847" s="230">
        <v>-2363.9899999999998</v>
      </c>
      <c r="E6847" t="s">
        <v>724</v>
      </c>
    </row>
    <row r="6848" spans="1:5" hidden="1" x14ac:dyDescent="0.3">
      <c r="A6848" t="s">
        <v>557</v>
      </c>
      <c r="B6848" t="s">
        <v>723</v>
      </c>
      <c r="C6848" t="s">
        <v>273</v>
      </c>
      <c r="D6848" s="230">
        <v>-175</v>
      </c>
      <c r="E6848" t="s">
        <v>724</v>
      </c>
    </row>
    <row r="6849" spans="1:5" hidden="1" x14ac:dyDescent="0.3">
      <c r="A6849" t="s">
        <v>557</v>
      </c>
      <c r="B6849" t="s">
        <v>723</v>
      </c>
      <c r="C6849" t="s">
        <v>274</v>
      </c>
      <c r="D6849" s="230">
        <v>0</v>
      </c>
      <c r="E6849" t="s">
        <v>724</v>
      </c>
    </row>
    <row r="6850" spans="1:5" hidden="1" x14ac:dyDescent="0.3">
      <c r="A6850" t="s">
        <v>557</v>
      </c>
      <c r="B6850" t="s">
        <v>723</v>
      </c>
      <c r="C6850" t="s">
        <v>275</v>
      </c>
      <c r="D6850" s="230">
        <v>-542</v>
      </c>
      <c r="E6850" t="s">
        <v>724</v>
      </c>
    </row>
    <row r="6851" spans="1:5" hidden="1" x14ac:dyDescent="0.3">
      <c r="A6851" t="s">
        <v>557</v>
      </c>
      <c r="B6851" t="s">
        <v>723</v>
      </c>
      <c r="C6851" t="s">
        <v>276</v>
      </c>
      <c r="D6851" s="230">
        <v>-125</v>
      </c>
      <c r="E6851" t="s">
        <v>724</v>
      </c>
    </row>
    <row r="6852" spans="1:5" hidden="1" x14ac:dyDescent="0.3">
      <c r="A6852" t="s">
        <v>557</v>
      </c>
      <c r="B6852" t="s">
        <v>723</v>
      </c>
      <c r="C6852" t="s">
        <v>277</v>
      </c>
      <c r="D6852" s="230">
        <v>0</v>
      </c>
      <c r="E6852" t="s">
        <v>724</v>
      </c>
    </row>
    <row r="6853" spans="1:5" hidden="1" x14ac:dyDescent="0.3">
      <c r="A6853" t="s">
        <v>557</v>
      </c>
      <c r="B6853" t="s">
        <v>723</v>
      </c>
      <c r="C6853" t="s">
        <v>278</v>
      </c>
      <c r="D6853" s="230">
        <v>-2284.09</v>
      </c>
      <c r="E6853" t="s">
        <v>724</v>
      </c>
    </row>
    <row r="6854" spans="1:5" hidden="1" x14ac:dyDescent="0.3">
      <c r="A6854" t="s">
        <v>557</v>
      </c>
      <c r="B6854" t="s">
        <v>723</v>
      </c>
      <c r="C6854" t="s">
        <v>44</v>
      </c>
      <c r="D6854" s="230">
        <v>-0.08</v>
      </c>
      <c r="E6854" t="s">
        <v>724</v>
      </c>
    </row>
    <row r="6855" spans="1:5" hidden="1" x14ac:dyDescent="0.3">
      <c r="A6855" t="s">
        <v>557</v>
      </c>
      <c r="B6855" t="s">
        <v>723</v>
      </c>
      <c r="C6855" t="s">
        <v>279</v>
      </c>
      <c r="D6855" s="230">
        <v>-5029.5600000000004</v>
      </c>
      <c r="E6855" t="s">
        <v>724</v>
      </c>
    </row>
    <row r="6856" spans="1:5" hidden="1" x14ac:dyDescent="0.3">
      <c r="A6856" t="s">
        <v>557</v>
      </c>
      <c r="B6856" t="s">
        <v>723</v>
      </c>
      <c r="C6856" t="s">
        <v>280</v>
      </c>
      <c r="D6856" s="230">
        <v>-299.89999999999998</v>
      </c>
      <c r="E6856" t="s">
        <v>724</v>
      </c>
    </row>
    <row r="6857" spans="1:5" hidden="1" x14ac:dyDescent="0.3">
      <c r="A6857" t="s">
        <v>557</v>
      </c>
      <c r="B6857" t="s">
        <v>723</v>
      </c>
      <c r="C6857" t="s">
        <v>281</v>
      </c>
      <c r="D6857" s="230">
        <v>-381.54</v>
      </c>
      <c r="E6857" t="s">
        <v>724</v>
      </c>
    </row>
    <row r="6858" spans="1:5" hidden="1" x14ac:dyDescent="0.3">
      <c r="A6858" t="s">
        <v>557</v>
      </c>
      <c r="B6858" t="s">
        <v>723</v>
      </c>
      <c r="C6858" t="s">
        <v>282</v>
      </c>
      <c r="D6858" s="230">
        <v>-295.92</v>
      </c>
      <c r="E6858" t="s">
        <v>724</v>
      </c>
    </row>
    <row r="6859" spans="1:5" hidden="1" x14ac:dyDescent="0.3">
      <c r="A6859" t="s">
        <v>557</v>
      </c>
      <c r="B6859" t="s">
        <v>723</v>
      </c>
      <c r="C6859" t="s">
        <v>283</v>
      </c>
      <c r="D6859" s="230">
        <v>-276.69</v>
      </c>
      <c r="E6859" t="s">
        <v>724</v>
      </c>
    </row>
    <row r="6860" spans="1:5" hidden="1" x14ac:dyDescent="0.3">
      <c r="A6860" t="s">
        <v>557</v>
      </c>
      <c r="B6860" t="s">
        <v>723</v>
      </c>
      <c r="C6860" t="s">
        <v>284</v>
      </c>
      <c r="D6860" s="230">
        <v>-3775.51</v>
      </c>
      <c r="E6860" t="s">
        <v>724</v>
      </c>
    </row>
    <row r="6861" spans="1:5" hidden="1" x14ac:dyDescent="0.3">
      <c r="A6861" t="s">
        <v>557</v>
      </c>
      <c r="B6861" t="s">
        <v>723</v>
      </c>
      <c r="C6861" t="s">
        <v>285</v>
      </c>
      <c r="D6861" s="230">
        <v>0</v>
      </c>
      <c r="E6861" t="s">
        <v>724</v>
      </c>
    </row>
    <row r="6862" spans="1:5" hidden="1" x14ac:dyDescent="0.3">
      <c r="A6862" t="s">
        <v>557</v>
      </c>
      <c r="B6862" t="s">
        <v>723</v>
      </c>
      <c r="C6862" t="s">
        <v>286</v>
      </c>
      <c r="D6862" s="230">
        <v>0</v>
      </c>
      <c r="E6862" t="s">
        <v>724</v>
      </c>
    </row>
    <row r="6863" spans="1:5" hidden="1" x14ac:dyDescent="0.3">
      <c r="A6863" t="s">
        <v>557</v>
      </c>
      <c r="B6863" t="s">
        <v>723</v>
      </c>
      <c r="C6863" t="s">
        <v>44</v>
      </c>
      <c r="D6863" s="230">
        <v>-0.01</v>
      </c>
      <c r="E6863" t="s">
        <v>724</v>
      </c>
    </row>
    <row r="6864" spans="1:5" hidden="1" x14ac:dyDescent="0.3">
      <c r="A6864" t="s">
        <v>557</v>
      </c>
      <c r="B6864" t="s">
        <v>723</v>
      </c>
      <c r="C6864" t="s">
        <v>287</v>
      </c>
      <c r="D6864" s="230">
        <v>-12199.7</v>
      </c>
      <c r="E6864" t="s">
        <v>724</v>
      </c>
    </row>
    <row r="6865" spans="1:5" hidden="1" x14ac:dyDescent="0.3">
      <c r="A6865" t="s">
        <v>557</v>
      </c>
      <c r="B6865" t="s">
        <v>723</v>
      </c>
      <c r="C6865" t="s">
        <v>288</v>
      </c>
      <c r="D6865" s="230">
        <v>-12121.7</v>
      </c>
      <c r="E6865" t="s">
        <v>724</v>
      </c>
    </row>
    <row r="6866" spans="1:5" hidden="1" x14ac:dyDescent="0.3">
      <c r="A6866" t="s">
        <v>557</v>
      </c>
      <c r="B6866" t="s">
        <v>723</v>
      </c>
      <c r="C6866" t="s">
        <v>289</v>
      </c>
      <c r="D6866" s="230">
        <v>0</v>
      </c>
      <c r="E6866" t="s">
        <v>724</v>
      </c>
    </row>
    <row r="6867" spans="1:5" hidden="1" x14ac:dyDescent="0.3">
      <c r="A6867" t="s">
        <v>557</v>
      </c>
      <c r="B6867" t="s">
        <v>723</v>
      </c>
      <c r="C6867" t="s">
        <v>290</v>
      </c>
      <c r="D6867" s="230">
        <v>0</v>
      </c>
      <c r="E6867" t="s">
        <v>724</v>
      </c>
    </row>
    <row r="6868" spans="1:5" hidden="1" x14ac:dyDescent="0.3">
      <c r="A6868" t="s">
        <v>557</v>
      </c>
      <c r="B6868" t="s">
        <v>723</v>
      </c>
      <c r="C6868" t="s">
        <v>291</v>
      </c>
      <c r="D6868" s="230">
        <v>0</v>
      </c>
      <c r="E6868" t="s">
        <v>724</v>
      </c>
    </row>
    <row r="6869" spans="1:5" hidden="1" x14ac:dyDescent="0.3">
      <c r="A6869" t="s">
        <v>557</v>
      </c>
      <c r="B6869" t="s">
        <v>723</v>
      </c>
      <c r="C6869" t="s">
        <v>292</v>
      </c>
      <c r="D6869" s="230">
        <v>0</v>
      </c>
      <c r="E6869" t="s">
        <v>724</v>
      </c>
    </row>
    <row r="6870" spans="1:5" hidden="1" x14ac:dyDescent="0.3">
      <c r="A6870" t="s">
        <v>557</v>
      </c>
      <c r="B6870" t="s">
        <v>723</v>
      </c>
      <c r="C6870" t="s">
        <v>293</v>
      </c>
      <c r="D6870" s="230">
        <v>0</v>
      </c>
      <c r="E6870" t="s">
        <v>724</v>
      </c>
    </row>
    <row r="6871" spans="1:5" hidden="1" x14ac:dyDescent="0.3">
      <c r="A6871" t="s">
        <v>557</v>
      </c>
      <c r="B6871" t="s">
        <v>723</v>
      </c>
      <c r="C6871" t="s">
        <v>294</v>
      </c>
      <c r="D6871" s="230">
        <v>-78</v>
      </c>
      <c r="E6871" t="s">
        <v>724</v>
      </c>
    </row>
    <row r="6872" spans="1:5" hidden="1" x14ac:dyDescent="0.3">
      <c r="A6872" t="s">
        <v>557</v>
      </c>
      <c r="B6872" t="s">
        <v>723</v>
      </c>
      <c r="C6872" t="s">
        <v>295</v>
      </c>
      <c r="D6872" s="230">
        <v>0</v>
      </c>
      <c r="E6872" t="s">
        <v>724</v>
      </c>
    </row>
    <row r="6873" spans="1:5" hidden="1" x14ac:dyDescent="0.3">
      <c r="A6873" t="s">
        <v>557</v>
      </c>
      <c r="B6873" t="s">
        <v>723</v>
      </c>
      <c r="C6873" t="s">
        <v>44</v>
      </c>
      <c r="D6873" s="230">
        <v>-0.03</v>
      </c>
      <c r="E6873" t="s">
        <v>724</v>
      </c>
    </row>
    <row r="6874" spans="1:5" hidden="1" x14ac:dyDescent="0.3">
      <c r="A6874" t="s">
        <v>557</v>
      </c>
      <c r="B6874" t="s">
        <v>723</v>
      </c>
      <c r="C6874" t="s">
        <v>296</v>
      </c>
      <c r="D6874" s="230">
        <v>-7856.09</v>
      </c>
      <c r="E6874" t="s">
        <v>724</v>
      </c>
    </row>
    <row r="6875" spans="1:5" hidden="1" x14ac:dyDescent="0.3">
      <c r="A6875" t="s">
        <v>557</v>
      </c>
      <c r="B6875" t="s">
        <v>723</v>
      </c>
      <c r="C6875" t="s">
        <v>297</v>
      </c>
      <c r="D6875" s="230">
        <v>-3500</v>
      </c>
      <c r="E6875" t="s">
        <v>724</v>
      </c>
    </row>
    <row r="6876" spans="1:5" hidden="1" x14ac:dyDescent="0.3">
      <c r="A6876" t="s">
        <v>557</v>
      </c>
      <c r="B6876" t="s">
        <v>723</v>
      </c>
      <c r="C6876" t="s">
        <v>298</v>
      </c>
      <c r="D6876" s="230">
        <v>-460</v>
      </c>
      <c r="E6876" t="s">
        <v>724</v>
      </c>
    </row>
    <row r="6877" spans="1:5" hidden="1" x14ac:dyDescent="0.3">
      <c r="A6877" t="s">
        <v>557</v>
      </c>
      <c r="B6877" t="s">
        <v>723</v>
      </c>
      <c r="C6877" t="s">
        <v>299</v>
      </c>
      <c r="D6877" s="230">
        <v>0</v>
      </c>
      <c r="E6877" t="s">
        <v>724</v>
      </c>
    </row>
    <row r="6878" spans="1:5" hidden="1" x14ac:dyDescent="0.3">
      <c r="A6878" t="s">
        <v>557</v>
      </c>
      <c r="B6878" t="s">
        <v>723</v>
      </c>
      <c r="C6878" t="s">
        <v>300</v>
      </c>
      <c r="D6878" s="230">
        <v>0</v>
      </c>
      <c r="E6878" t="s">
        <v>724</v>
      </c>
    </row>
    <row r="6879" spans="1:5" hidden="1" x14ac:dyDescent="0.3">
      <c r="A6879" t="s">
        <v>557</v>
      </c>
      <c r="B6879" t="s">
        <v>723</v>
      </c>
      <c r="C6879" t="s">
        <v>301</v>
      </c>
      <c r="D6879" s="230">
        <v>-1989.75</v>
      </c>
      <c r="E6879" t="s">
        <v>724</v>
      </c>
    </row>
    <row r="6880" spans="1:5" hidden="1" x14ac:dyDescent="0.3">
      <c r="A6880" t="s">
        <v>557</v>
      </c>
      <c r="B6880" t="s">
        <v>723</v>
      </c>
      <c r="C6880" t="s">
        <v>302</v>
      </c>
      <c r="D6880" s="230">
        <v>0</v>
      </c>
      <c r="E6880" t="s">
        <v>724</v>
      </c>
    </row>
    <row r="6881" spans="1:5" hidden="1" x14ac:dyDescent="0.3">
      <c r="A6881" t="s">
        <v>557</v>
      </c>
      <c r="B6881" t="s">
        <v>723</v>
      </c>
      <c r="C6881" t="s">
        <v>303</v>
      </c>
      <c r="D6881" s="230">
        <v>0</v>
      </c>
      <c r="E6881" t="s">
        <v>724</v>
      </c>
    </row>
    <row r="6882" spans="1:5" hidden="1" x14ac:dyDescent="0.3">
      <c r="A6882" t="s">
        <v>557</v>
      </c>
      <c r="B6882" t="s">
        <v>723</v>
      </c>
      <c r="C6882" t="s">
        <v>304</v>
      </c>
      <c r="D6882" s="230">
        <v>0</v>
      </c>
      <c r="E6882" t="s">
        <v>724</v>
      </c>
    </row>
    <row r="6883" spans="1:5" hidden="1" x14ac:dyDescent="0.3">
      <c r="A6883" t="s">
        <v>557</v>
      </c>
      <c r="B6883" t="s">
        <v>723</v>
      </c>
      <c r="C6883" t="s">
        <v>305</v>
      </c>
      <c r="D6883" s="230">
        <v>-53.49</v>
      </c>
      <c r="E6883" t="s">
        <v>724</v>
      </c>
    </row>
    <row r="6884" spans="1:5" hidden="1" x14ac:dyDescent="0.3">
      <c r="A6884" t="s">
        <v>557</v>
      </c>
      <c r="B6884" t="s">
        <v>723</v>
      </c>
      <c r="C6884" t="s">
        <v>306</v>
      </c>
      <c r="D6884" s="230">
        <v>0</v>
      </c>
      <c r="E6884" t="s">
        <v>724</v>
      </c>
    </row>
    <row r="6885" spans="1:5" hidden="1" x14ac:dyDescent="0.3">
      <c r="A6885" t="s">
        <v>557</v>
      </c>
      <c r="B6885" t="s">
        <v>723</v>
      </c>
      <c r="C6885" t="s">
        <v>307</v>
      </c>
      <c r="D6885" s="230">
        <v>-1852.85</v>
      </c>
      <c r="E6885" t="s">
        <v>724</v>
      </c>
    </row>
    <row r="6886" spans="1:5" hidden="1" x14ac:dyDescent="0.3">
      <c r="A6886" t="s">
        <v>557</v>
      </c>
      <c r="B6886" t="s">
        <v>723</v>
      </c>
      <c r="C6886" t="s">
        <v>44</v>
      </c>
      <c r="D6886" s="230">
        <v>-0.02</v>
      </c>
      <c r="E6886" t="s">
        <v>724</v>
      </c>
    </row>
    <row r="6887" spans="1:5" hidden="1" x14ac:dyDescent="0.3">
      <c r="A6887" t="s">
        <v>557</v>
      </c>
      <c r="B6887" t="s">
        <v>723</v>
      </c>
      <c r="C6887" t="s">
        <v>308</v>
      </c>
      <c r="D6887" s="230">
        <v>-2272.5500000000002</v>
      </c>
      <c r="E6887" t="s">
        <v>724</v>
      </c>
    </row>
    <row r="6888" spans="1:5" hidden="1" x14ac:dyDescent="0.3">
      <c r="A6888" t="s">
        <v>557</v>
      </c>
      <c r="B6888" t="s">
        <v>723</v>
      </c>
      <c r="C6888" t="s">
        <v>309</v>
      </c>
      <c r="D6888" s="230">
        <v>-1412</v>
      </c>
      <c r="E6888" t="s">
        <v>724</v>
      </c>
    </row>
    <row r="6889" spans="1:5" hidden="1" x14ac:dyDescent="0.3">
      <c r="A6889" t="s">
        <v>557</v>
      </c>
      <c r="B6889" t="s">
        <v>723</v>
      </c>
      <c r="C6889" t="s">
        <v>310</v>
      </c>
      <c r="D6889" s="230">
        <v>0</v>
      </c>
      <c r="E6889" t="s">
        <v>724</v>
      </c>
    </row>
    <row r="6890" spans="1:5" hidden="1" x14ac:dyDescent="0.3">
      <c r="A6890" t="s">
        <v>557</v>
      </c>
      <c r="B6890" t="s">
        <v>723</v>
      </c>
      <c r="C6890" t="s">
        <v>311</v>
      </c>
      <c r="D6890" s="230">
        <v>-860.55</v>
      </c>
      <c r="E6890" t="s">
        <v>724</v>
      </c>
    </row>
    <row r="6891" spans="1:5" hidden="1" x14ac:dyDescent="0.3">
      <c r="A6891" t="s">
        <v>557</v>
      </c>
      <c r="B6891" t="s">
        <v>723</v>
      </c>
      <c r="C6891" t="s">
        <v>312</v>
      </c>
      <c r="D6891" s="230">
        <v>0</v>
      </c>
      <c r="E6891" t="s">
        <v>724</v>
      </c>
    </row>
    <row r="6892" spans="1:5" hidden="1" x14ac:dyDescent="0.3">
      <c r="A6892" t="s">
        <v>557</v>
      </c>
      <c r="B6892" t="s">
        <v>723</v>
      </c>
      <c r="C6892" t="s">
        <v>313</v>
      </c>
      <c r="D6892" s="230">
        <v>0</v>
      </c>
      <c r="E6892" t="s">
        <v>724</v>
      </c>
    </row>
    <row r="6893" spans="1:5" hidden="1" x14ac:dyDescent="0.3">
      <c r="A6893" t="s">
        <v>557</v>
      </c>
      <c r="B6893" t="s">
        <v>723</v>
      </c>
      <c r="C6893" t="s">
        <v>314</v>
      </c>
      <c r="D6893" s="230">
        <v>0</v>
      </c>
      <c r="E6893" t="s">
        <v>724</v>
      </c>
    </row>
    <row r="6894" spans="1:5" hidden="1" x14ac:dyDescent="0.3">
      <c r="A6894" t="s">
        <v>557</v>
      </c>
      <c r="B6894" t="s">
        <v>723</v>
      </c>
      <c r="C6894" t="s">
        <v>315</v>
      </c>
      <c r="D6894" s="230">
        <v>0</v>
      </c>
      <c r="E6894" t="s">
        <v>724</v>
      </c>
    </row>
    <row r="6895" spans="1:5" hidden="1" x14ac:dyDescent="0.3">
      <c r="A6895" t="s">
        <v>557</v>
      </c>
      <c r="B6895" t="s">
        <v>723</v>
      </c>
      <c r="C6895" t="s">
        <v>316</v>
      </c>
      <c r="D6895" s="230">
        <v>0</v>
      </c>
      <c r="E6895" t="s">
        <v>724</v>
      </c>
    </row>
    <row r="6896" spans="1:5" hidden="1" x14ac:dyDescent="0.3">
      <c r="A6896" t="s">
        <v>557</v>
      </c>
      <c r="B6896" t="s">
        <v>723</v>
      </c>
      <c r="C6896" t="s">
        <v>317</v>
      </c>
      <c r="D6896" s="230">
        <v>0</v>
      </c>
      <c r="E6896" t="s">
        <v>724</v>
      </c>
    </row>
    <row r="6897" spans="1:5" hidden="1" x14ac:dyDescent="0.3">
      <c r="A6897" t="s">
        <v>557</v>
      </c>
      <c r="B6897" t="s">
        <v>723</v>
      </c>
      <c r="C6897" t="s">
        <v>44</v>
      </c>
      <c r="D6897" s="230">
        <v>0</v>
      </c>
      <c r="E6897" t="s">
        <v>724</v>
      </c>
    </row>
    <row r="6898" spans="1:5" hidden="1" x14ac:dyDescent="0.3">
      <c r="A6898" t="s">
        <v>557</v>
      </c>
      <c r="B6898" t="s">
        <v>723</v>
      </c>
      <c r="C6898" t="s">
        <v>318</v>
      </c>
      <c r="D6898" s="230">
        <v>-2176.1999999999998</v>
      </c>
      <c r="E6898" t="s">
        <v>724</v>
      </c>
    </row>
    <row r="6899" spans="1:5" hidden="1" x14ac:dyDescent="0.3">
      <c r="A6899" t="s">
        <v>557</v>
      </c>
      <c r="B6899" t="s">
        <v>723</v>
      </c>
      <c r="C6899" t="s">
        <v>319</v>
      </c>
      <c r="D6899" s="230">
        <v>-2176.1999999999998</v>
      </c>
      <c r="E6899" t="s">
        <v>724</v>
      </c>
    </row>
    <row r="6900" spans="1:5" hidden="1" x14ac:dyDescent="0.3">
      <c r="A6900" t="s">
        <v>557</v>
      </c>
      <c r="B6900" t="s">
        <v>723</v>
      </c>
      <c r="C6900" t="s">
        <v>320</v>
      </c>
      <c r="D6900" s="230">
        <v>0</v>
      </c>
      <c r="E6900" t="s">
        <v>724</v>
      </c>
    </row>
    <row r="6901" spans="1:5" hidden="1" x14ac:dyDescent="0.3">
      <c r="A6901" t="s">
        <v>557</v>
      </c>
      <c r="B6901" t="s">
        <v>723</v>
      </c>
      <c r="C6901" t="s">
        <v>321</v>
      </c>
      <c r="D6901" s="230">
        <v>0</v>
      </c>
      <c r="E6901" t="s">
        <v>724</v>
      </c>
    </row>
    <row r="6902" spans="1:5" hidden="1" x14ac:dyDescent="0.3">
      <c r="A6902" t="s">
        <v>557</v>
      </c>
      <c r="B6902" t="s">
        <v>723</v>
      </c>
      <c r="C6902" t="s">
        <v>322</v>
      </c>
      <c r="D6902" s="230">
        <v>0</v>
      </c>
      <c r="E6902" t="s">
        <v>724</v>
      </c>
    </row>
    <row r="6903" spans="1:5" hidden="1" x14ac:dyDescent="0.3">
      <c r="A6903" t="s">
        <v>557</v>
      </c>
      <c r="B6903" t="s">
        <v>723</v>
      </c>
      <c r="C6903" t="s">
        <v>44</v>
      </c>
      <c r="D6903" s="230">
        <v>0</v>
      </c>
      <c r="E6903" t="s">
        <v>724</v>
      </c>
    </row>
    <row r="6904" spans="1:5" hidden="1" x14ac:dyDescent="0.3">
      <c r="A6904" t="s">
        <v>557</v>
      </c>
      <c r="B6904" t="s">
        <v>723</v>
      </c>
      <c r="C6904" t="s">
        <v>323</v>
      </c>
      <c r="D6904" s="230">
        <v>-23147.56</v>
      </c>
      <c r="E6904" t="s">
        <v>724</v>
      </c>
    </row>
    <row r="6905" spans="1:5" hidden="1" x14ac:dyDescent="0.3">
      <c r="A6905" t="s">
        <v>557</v>
      </c>
      <c r="B6905" t="s">
        <v>723</v>
      </c>
      <c r="C6905" t="s">
        <v>324</v>
      </c>
      <c r="D6905" s="230">
        <v>0</v>
      </c>
      <c r="E6905" t="s">
        <v>724</v>
      </c>
    </row>
    <row r="6906" spans="1:5" hidden="1" x14ac:dyDescent="0.3">
      <c r="A6906" t="s">
        <v>557</v>
      </c>
      <c r="B6906" t="s">
        <v>723</v>
      </c>
      <c r="C6906" t="s">
        <v>325</v>
      </c>
      <c r="D6906" s="230">
        <v>0</v>
      </c>
      <c r="E6906" t="s">
        <v>724</v>
      </c>
    </row>
    <row r="6907" spans="1:5" hidden="1" x14ac:dyDescent="0.3">
      <c r="A6907" t="s">
        <v>557</v>
      </c>
      <c r="B6907" t="s">
        <v>723</v>
      </c>
      <c r="C6907" t="s">
        <v>326</v>
      </c>
      <c r="D6907" s="230">
        <v>-23147.56</v>
      </c>
      <c r="E6907" t="s">
        <v>724</v>
      </c>
    </row>
    <row r="6908" spans="1:5" hidden="1" x14ac:dyDescent="0.3">
      <c r="A6908" t="s">
        <v>557</v>
      </c>
      <c r="B6908" t="s">
        <v>723</v>
      </c>
      <c r="C6908" t="s">
        <v>44</v>
      </c>
      <c r="D6908" s="230">
        <v>-0.05</v>
      </c>
      <c r="E6908" t="s">
        <v>724</v>
      </c>
    </row>
    <row r="6909" spans="1:5" hidden="1" x14ac:dyDescent="0.3">
      <c r="A6909" t="s">
        <v>557</v>
      </c>
      <c r="B6909" t="s">
        <v>723</v>
      </c>
      <c r="C6909" t="s">
        <v>328</v>
      </c>
      <c r="D6909" s="230">
        <v>-258434.3</v>
      </c>
      <c r="E6909" t="s">
        <v>724</v>
      </c>
    </row>
    <row r="6910" spans="1:5" hidden="1" x14ac:dyDescent="0.3">
      <c r="A6910" t="s">
        <v>557</v>
      </c>
      <c r="B6910" t="s">
        <v>723</v>
      </c>
      <c r="C6910" t="s">
        <v>44</v>
      </c>
      <c r="D6910" s="230">
        <v>-0.56000000000000005</v>
      </c>
      <c r="E6910" t="s">
        <v>724</v>
      </c>
    </row>
    <row r="6911" spans="1:5" hidden="1" x14ac:dyDescent="0.3">
      <c r="A6911" t="s">
        <v>557</v>
      </c>
      <c r="B6911" t="s">
        <v>723</v>
      </c>
      <c r="C6911" t="s">
        <v>329</v>
      </c>
      <c r="D6911" s="230">
        <v>-472.74</v>
      </c>
      <c r="E6911" t="s">
        <v>724</v>
      </c>
    </row>
    <row r="6912" spans="1:5" hidden="1" x14ac:dyDescent="0.3">
      <c r="A6912" t="s">
        <v>557</v>
      </c>
      <c r="B6912" t="s">
        <v>723</v>
      </c>
      <c r="C6912" t="s">
        <v>44</v>
      </c>
      <c r="D6912" s="230">
        <v>0</v>
      </c>
      <c r="E6912" t="s">
        <v>724</v>
      </c>
    </row>
    <row r="6913" spans="1:5" hidden="1" x14ac:dyDescent="0.3">
      <c r="A6913" t="s">
        <v>557</v>
      </c>
      <c r="B6913" t="s">
        <v>723</v>
      </c>
      <c r="C6913" t="s">
        <v>330</v>
      </c>
      <c r="D6913" s="230">
        <v>0</v>
      </c>
      <c r="E6913" t="s">
        <v>724</v>
      </c>
    </row>
    <row r="6914" spans="1:5" hidden="1" x14ac:dyDescent="0.3">
      <c r="A6914" t="s">
        <v>557</v>
      </c>
      <c r="B6914" t="s">
        <v>723</v>
      </c>
      <c r="C6914" t="s">
        <v>332</v>
      </c>
      <c r="D6914" s="230">
        <v>-472.74</v>
      </c>
      <c r="E6914" t="s">
        <v>724</v>
      </c>
    </row>
    <row r="6915" spans="1:5" hidden="1" x14ac:dyDescent="0.3">
      <c r="A6915" t="s">
        <v>557</v>
      </c>
      <c r="B6915" t="s">
        <v>723</v>
      </c>
      <c r="C6915" t="s">
        <v>333</v>
      </c>
      <c r="D6915" s="230">
        <v>7896.37</v>
      </c>
      <c r="E6915" t="s">
        <v>724</v>
      </c>
    </row>
    <row r="6916" spans="1:5" hidden="1" x14ac:dyDescent="0.3">
      <c r="A6916" t="s">
        <v>557</v>
      </c>
      <c r="B6916" t="s">
        <v>723</v>
      </c>
      <c r="C6916" t="s">
        <v>334</v>
      </c>
      <c r="D6916" s="230">
        <v>10000</v>
      </c>
      <c r="E6916" t="s">
        <v>724</v>
      </c>
    </row>
    <row r="6917" spans="1:5" hidden="1" x14ac:dyDescent="0.3">
      <c r="A6917" t="s">
        <v>557</v>
      </c>
      <c r="B6917" t="s">
        <v>723</v>
      </c>
      <c r="C6917" t="s">
        <v>336</v>
      </c>
      <c r="D6917" s="230">
        <v>-2895.83</v>
      </c>
      <c r="E6917" t="s">
        <v>724</v>
      </c>
    </row>
    <row r="6918" spans="1:5" hidden="1" x14ac:dyDescent="0.3">
      <c r="A6918" t="s">
        <v>557</v>
      </c>
      <c r="B6918" t="s">
        <v>723</v>
      </c>
      <c r="C6918" t="s">
        <v>338</v>
      </c>
      <c r="D6918" s="230">
        <v>14527.8</v>
      </c>
      <c r="E6918" t="s">
        <v>724</v>
      </c>
    </row>
    <row r="6919" spans="1:5" hidden="1" x14ac:dyDescent="0.3">
      <c r="A6919" t="s">
        <v>557</v>
      </c>
      <c r="B6919" t="s">
        <v>723</v>
      </c>
      <c r="C6919" t="s">
        <v>339</v>
      </c>
      <c r="D6919" s="230">
        <v>-12015.99</v>
      </c>
      <c r="E6919" t="s">
        <v>724</v>
      </c>
    </row>
    <row r="6920" spans="1:5" hidden="1" x14ac:dyDescent="0.3">
      <c r="A6920" t="s">
        <v>557</v>
      </c>
      <c r="B6920" t="s">
        <v>723</v>
      </c>
      <c r="C6920" t="s">
        <v>342</v>
      </c>
      <c r="D6920" s="230">
        <v>0</v>
      </c>
      <c r="E6920" t="s">
        <v>724</v>
      </c>
    </row>
    <row r="6921" spans="1:5" hidden="1" x14ac:dyDescent="0.3">
      <c r="A6921" t="s">
        <v>557</v>
      </c>
      <c r="B6921" t="s">
        <v>723</v>
      </c>
      <c r="C6921" t="s">
        <v>344</v>
      </c>
      <c r="D6921" s="230">
        <v>-4822.47</v>
      </c>
      <c r="E6921" t="s">
        <v>724</v>
      </c>
    </row>
    <row r="6922" spans="1:5" hidden="1" x14ac:dyDescent="0.3">
      <c r="A6922" t="s">
        <v>557</v>
      </c>
      <c r="B6922" t="s">
        <v>723</v>
      </c>
      <c r="C6922" t="s">
        <v>345</v>
      </c>
      <c r="D6922" s="230">
        <v>-2853.29</v>
      </c>
      <c r="E6922" t="s">
        <v>724</v>
      </c>
    </row>
    <row r="6923" spans="1:5" hidden="1" x14ac:dyDescent="0.3">
      <c r="A6923" t="s">
        <v>557</v>
      </c>
      <c r="B6923" t="s">
        <v>723</v>
      </c>
      <c r="C6923" t="s">
        <v>346</v>
      </c>
      <c r="D6923" s="230">
        <v>-4340.22</v>
      </c>
      <c r="E6923" t="s">
        <v>724</v>
      </c>
    </row>
    <row r="6924" spans="1:5" hidden="1" x14ac:dyDescent="0.3">
      <c r="A6924" t="s">
        <v>557</v>
      </c>
      <c r="B6924" t="s">
        <v>723</v>
      </c>
      <c r="C6924" t="s">
        <v>347</v>
      </c>
      <c r="D6924" s="230">
        <v>2511.8200000000002</v>
      </c>
      <c r="E6924" t="s">
        <v>724</v>
      </c>
    </row>
    <row r="6925" spans="1:5" hidden="1" x14ac:dyDescent="0.3">
      <c r="A6925" t="s">
        <v>557</v>
      </c>
      <c r="B6925" t="s">
        <v>723</v>
      </c>
      <c r="C6925" t="s">
        <v>44</v>
      </c>
      <c r="D6925" s="230">
        <v>0.01</v>
      </c>
      <c r="E6925" t="s">
        <v>724</v>
      </c>
    </row>
    <row r="6926" spans="1:5" hidden="1" x14ac:dyDescent="0.3">
      <c r="A6926" t="s">
        <v>557</v>
      </c>
      <c r="B6926" t="s">
        <v>723</v>
      </c>
      <c r="C6926" t="s">
        <v>348</v>
      </c>
      <c r="D6926" s="230">
        <v>-22263.41</v>
      </c>
      <c r="E6926" t="s">
        <v>724</v>
      </c>
    </row>
    <row r="6927" spans="1:5" hidden="1" x14ac:dyDescent="0.3">
      <c r="A6927" t="s">
        <v>557</v>
      </c>
      <c r="B6927" t="s">
        <v>723</v>
      </c>
      <c r="C6927" t="s">
        <v>707</v>
      </c>
      <c r="D6927" s="230">
        <v>-20433.330000000002</v>
      </c>
      <c r="E6927" t="s">
        <v>724</v>
      </c>
    </row>
    <row r="6928" spans="1:5" hidden="1" x14ac:dyDescent="0.3">
      <c r="A6928" t="s">
        <v>557</v>
      </c>
      <c r="B6928" t="s">
        <v>723</v>
      </c>
      <c r="C6928" t="s">
        <v>350</v>
      </c>
      <c r="D6928" s="230">
        <v>-1830.08</v>
      </c>
      <c r="E6928" t="s">
        <v>724</v>
      </c>
    </row>
    <row r="6929" spans="1:5" hidden="1" x14ac:dyDescent="0.3">
      <c r="A6929" t="s">
        <v>557</v>
      </c>
      <c r="B6929" t="s">
        <v>723</v>
      </c>
      <c r="C6929" t="s">
        <v>351</v>
      </c>
      <c r="D6929" s="230">
        <v>0</v>
      </c>
      <c r="E6929" t="s">
        <v>724</v>
      </c>
    </row>
    <row r="6930" spans="1:5" hidden="1" x14ac:dyDescent="0.3">
      <c r="A6930" t="s">
        <v>557</v>
      </c>
      <c r="B6930" t="s">
        <v>723</v>
      </c>
      <c r="C6930" t="s">
        <v>352</v>
      </c>
      <c r="D6930" s="230">
        <v>0</v>
      </c>
      <c r="E6930" t="s">
        <v>724</v>
      </c>
    </row>
    <row r="6931" spans="1:5" hidden="1" x14ac:dyDescent="0.3">
      <c r="A6931" t="s">
        <v>557</v>
      </c>
      <c r="B6931" t="s">
        <v>723</v>
      </c>
      <c r="C6931" t="s">
        <v>353</v>
      </c>
      <c r="D6931" s="230">
        <v>0</v>
      </c>
      <c r="E6931" t="s">
        <v>724</v>
      </c>
    </row>
    <row r="6932" spans="1:5" hidden="1" x14ac:dyDescent="0.3">
      <c r="A6932" t="s">
        <v>557</v>
      </c>
      <c r="B6932" t="s">
        <v>723</v>
      </c>
      <c r="C6932" t="s">
        <v>354</v>
      </c>
      <c r="D6932" s="230">
        <v>0</v>
      </c>
      <c r="E6932" t="s">
        <v>724</v>
      </c>
    </row>
    <row r="6933" spans="1:5" hidden="1" x14ac:dyDescent="0.3">
      <c r="A6933" t="s">
        <v>557</v>
      </c>
      <c r="B6933" t="s">
        <v>723</v>
      </c>
      <c r="C6933" t="s">
        <v>355</v>
      </c>
      <c r="D6933" s="230">
        <v>0</v>
      </c>
      <c r="E6933" t="s">
        <v>724</v>
      </c>
    </row>
    <row r="6934" spans="1:5" hidden="1" x14ac:dyDescent="0.3">
      <c r="A6934" t="s">
        <v>557</v>
      </c>
      <c r="B6934" t="s">
        <v>723</v>
      </c>
      <c r="C6934" t="s">
        <v>356</v>
      </c>
      <c r="D6934" s="230">
        <v>0</v>
      </c>
      <c r="E6934" t="s">
        <v>724</v>
      </c>
    </row>
    <row r="6935" spans="1:5" hidden="1" x14ac:dyDescent="0.3">
      <c r="A6935" t="s">
        <v>557</v>
      </c>
      <c r="B6935" t="s">
        <v>723</v>
      </c>
      <c r="C6935" t="s">
        <v>357</v>
      </c>
      <c r="D6935" s="230">
        <v>0</v>
      </c>
      <c r="E6935" t="s">
        <v>724</v>
      </c>
    </row>
    <row r="6936" spans="1:5" hidden="1" x14ac:dyDescent="0.3">
      <c r="A6936" t="s">
        <v>557</v>
      </c>
      <c r="B6936" t="s">
        <v>723</v>
      </c>
      <c r="C6936" t="s">
        <v>358</v>
      </c>
      <c r="D6936" s="230">
        <v>0</v>
      </c>
      <c r="E6936" t="s">
        <v>724</v>
      </c>
    </row>
    <row r="6937" spans="1:5" hidden="1" x14ac:dyDescent="0.3">
      <c r="A6937" t="s">
        <v>557</v>
      </c>
      <c r="B6937" t="s">
        <v>723</v>
      </c>
      <c r="C6937" t="s">
        <v>359</v>
      </c>
      <c r="D6937" s="230">
        <v>0</v>
      </c>
      <c r="E6937" t="s">
        <v>724</v>
      </c>
    </row>
    <row r="6938" spans="1:5" hidden="1" x14ac:dyDescent="0.3">
      <c r="A6938" t="s">
        <v>557</v>
      </c>
      <c r="B6938" t="s">
        <v>723</v>
      </c>
      <c r="C6938" t="s">
        <v>360</v>
      </c>
      <c r="D6938" s="230">
        <v>0</v>
      </c>
      <c r="E6938" t="s">
        <v>724</v>
      </c>
    </row>
    <row r="6939" spans="1:5" hidden="1" x14ac:dyDescent="0.3">
      <c r="A6939" t="s">
        <v>557</v>
      </c>
      <c r="B6939" t="s">
        <v>723</v>
      </c>
      <c r="C6939" t="s">
        <v>361</v>
      </c>
      <c r="D6939" s="230">
        <v>0</v>
      </c>
      <c r="E6939" t="s">
        <v>724</v>
      </c>
    </row>
    <row r="6940" spans="1:5" hidden="1" x14ac:dyDescent="0.3">
      <c r="A6940" t="s">
        <v>557</v>
      </c>
      <c r="B6940" t="s">
        <v>723</v>
      </c>
      <c r="C6940" t="s">
        <v>362</v>
      </c>
      <c r="D6940" s="230">
        <v>0</v>
      </c>
      <c r="E6940" t="s">
        <v>724</v>
      </c>
    </row>
    <row r="6941" spans="1:5" hidden="1" x14ac:dyDescent="0.3">
      <c r="A6941" t="s">
        <v>557</v>
      </c>
      <c r="B6941" t="s">
        <v>723</v>
      </c>
      <c r="C6941" t="s">
        <v>363</v>
      </c>
      <c r="D6941" s="230">
        <v>0</v>
      </c>
      <c r="E6941" t="s">
        <v>724</v>
      </c>
    </row>
    <row r="6942" spans="1:5" hidden="1" x14ac:dyDescent="0.3">
      <c r="A6942" t="s">
        <v>557</v>
      </c>
      <c r="B6942" t="s">
        <v>723</v>
      </c>
      <c r="C6942" t="s">
        <v>364</v>
      </c>
      <c r="D6942" s="230">
        <v>0</v>
      </c>
      <c r="E6942" t="s">
        <v>724</v>
      </c>
    </row>
    <row r="6943" spans="1:5" hidden="1" x14ac:dyDescent="0.3">
      <c r="A6943" t="s">
        <v>557</v>
      </c>
      <c r="B6943" t="s">
        <v>723</v>
      </c>
      <c r="C6943" t="s">
        <v>365</v>
      </c>
      <c r="D6943" s="230">
        <v>0</v>
      </c>
      <c r="E6943" t="s">
        <v>724</v>
      </c>
    </row>
    <row r="6944" spans="1:5" hidden="1" x14ac:dyDescent="0.3">
      <c r="A6944" t="s">
        <v>557</v>
      </c>
      <c r="B6944" t="s">
        <v>723</v>
      </c>
      <c r="C6944" t="s">
        <v>366</v>
      </c>
      <c r="D6944" s="230">
        <v>0</v>
      </c>
      <c r="E6944" t="s">
        <v>724</v>
      </c>
    </row>
    <row r="6945" spans="1:5" hidden="1" x14ac:dyDescent="0.3">
      <c r="A6945" t="s">
        <v>557</v>
      </c>
      <c r="B6945" t="s">
        <v>723</v>
      </c>
      <c r="C6945" t="s">
        <v>367</v>
      </c>
      <c r="D6945" s="230">
        <v>0</v>
      </c>
      <c r="E6945" t="s">
        <v>724</v>
      </c>
    </row>
    <row r="6946" spans="1:5" hidden="1" x14ac:dyDescent="0.3">
      <c r="A6946" t="s">
        <v>557</v>
      </c>
      <c r="B6946" t="s">
        <v>723</v>
      </c>
      <c r="C6946" t="s">
        <v>368</v>
      </c>
      <c r="D6946" s="230">
        <v>0</v>
      </c>
      <c r="E6946" t="s">
        <v>724</v>
      </c>
    </row>
    <row r="6947" spans="1:5" hidden="1" x14ac:dyDescent="0.3">
      <c r="A6947" t="s">
        <v>557</v>
      </c>
      <c r="B6947" t="s">
        <v>723</v>
      </c>
      <c r="C6947" t="s">
        <v>369</v>
      </c>
      <c r="D6947" s="230">
        <v>0</v>
      </c>
      <c r="E6947" t="s">
        <v>724</v>
      </c>
    </row>
    <row r="6948" spans="1:5" hidden="1" x14ac:dyDescent="0.3">
      <c r="A6948" t="s">
        <v>557</v>
      </c>
      <c r="B6948" t="s">
        <v>723</v>
      </c>
      <c r="C6948" t="s">
        <v>370</v>
      </c>
      <c r="D6948" s="230">
        <v>0</v>
      </c>
      <c r="E6948" t="s">
        <v>724</v>
      </c>
    </row>
    <row r="6949" spans="1:5" hidden="1" x14ac:dyDescent="0.3">
      <c r="A6949" t="s">
        <v>557</v>
      </c>
      <c r="B6949" t="s">
        <v>723</v>
      </c>
      <c r="C6949" t="s">
        <v>371</v>
      </c>
      <c r="D6949" s="230">
        <v>0</v>
      </c>
      <c r="E6949" t="s">
        <v>724</v>
      </c>
    </row>
    <row r="6950" spans="1:5" hidden="1" x14ac:dyDescent="0.3">
      <c r="A6950" t="s">
        <v>557</v>
      </c>
      <c r="B6950" t="s">
        <v>723</v>
      </c>
      <c r="C6950" t="s">
        <v>372</v>
      </c>
      <c r="D6950" s="230">
        <v>0</v>
      </c>
      <c r="E6950" t="s">
        <v>724</v>
      </c>
    </row>
    <row r="6951" spans="1:5" hidden="1" x14ac:dyDescent="0.3">
      <c r="A6951" t="s">
        <v>557</v>
      </c>
      <c r="B6951" t="s">
        <v>723</v>
      </c>
      <c r="C6951" t="s">
        <v>373</v>
      </c>
      <c r="D6951" s="230">
        <v>0</v>
      </c>
      <c r="E6951" t="s">
        <v>724</v>
      </c>
    </row>
    <row r="6952" spans="1:5" hidden="1" x14ac:dyDescent="0.3">
      <c r="A6952" t="s">
        <v>557</v>
      </c>
      <c r="B6952" t="s">
        <v>723</v>
      </c>
      <c r="C6952" t="s">
        <v>374</v>
      </c>
      <c r="D6952" s="230">
        <v>0</v>
      </c>
      <c r="E6952" t="s">
        <v>724</v>
      </c>
    </row>
    <row r="6953" spans="1:5" hidden="1" x14ac:dyDescent="0.3">
      <c r="A6953" t="s">
        <v>557</v>
      </c>
      <c r="B6953" t="s">
        <v>723</v>
      </c>
      <c r="C6953" t="s">
        <v>708</v>
      </c>
      <c r="D6953" s="230">
        <v>0</v>
      </c>
      <c r="E6953" t="s">
        <v>724</v>
      </c>
    </row>
    <row r="6954" spans="1:5" hidden="1" x14ac:dyDescent="0.3">
      <c r="A6954" t="s">
        <v>557</v>
      </c>
      <c r="B6954" t="s">
        <v>725</v>
      </c>
      <c r="C6954" t="s">
        <v>11</v>
      </c>
      <c r="D6954" s="230">
        <v>420212.06</v>
      </c>
      <c r="E6954" t="s">
        <v>726</v>
      </c>
    </row>
    <row r="6955" spans="1:5" hidden="1" x14ac:dyDescent="0.3">
      <c r="A6955" t="s">
        <v>557</v>
      </c>
      <c r="B6955" t="s">
        <v>725</v>
      </c>
      <c r="C6955" t="s">
        <v>13</v>
      </c>
      <c r="D6955" s="230">
        <v>240168.1</v>
      </c>
      <c r="E6955" t="s">
        <v>726</v>
      </c>
    </row>
    <row r="6956" spans="1:5" hidden="1" x14ac:dyDescent="0.3">
      <c r="A6956" t="s">
        <v>557</v>
      </c>
      <c r="B6956" t="s">
        <v>725</v>
      </c>
      <c r="C6956" t="s">
        <v>16</v>
      </c>
      <c r="D6956" s="230">
        <v>108401.4</v>
      </c>
      <c r="E6956" t="s">
        <v>726</v>
      </c>
    </row>
    <row r="6957" spans="1:5" hidden="1" x14ac:dyDescent="0.3">
      <c r="A6957" t="s">
        <v>557</v>
      </c>
      <c r="B6957" t="s">
        <v>725</v>
      </c>
      <c r="C6957" t="s">
        <v>17</v>
      </c>
      <c r="D6957" s="230">
        <v>6430</v>
      </c>
      <c r="E6957" t="s">
        <v>726</v>
      </c>
    </row>
    <row r="6958" spans="1:5" hidden="1" x14ac:dyDescent="0.3">
      <c r="A6958" t="s">
        <v>557</v>
      </c>
      <c r="B6958" t="s">
        <v>725</v>
      </c>
      <c r="C6958" t="s">
        <v>18</v>
      </c>
      <c r="D6958" s="230">
        <v>378</v>
      </c>
      <c r="E6958" t="s">
        <v>726</v>
      </c>
    </row>
    <row r="6959" spans="1:5" hidden="1" x14ac:dyDescent="0.3">
      <c r="A6959" t="s">
        <v>557</v>
      </c>
      <c r="B6959" t="s">
        <v>725</v>
      </c>
      <c r="C6959" t="s">
        <v>20</v>
      </c>
      <c r="D6959" s="230">
        <v>43879.17</v>
      </c>
      <c r="E6959" t="s">
        <v>726</v>
      </c>
    </row>
    <row r="6960" spans="1:5" hidden="1" x14ac:dyDescent="0.3">
      <c r="A6960" t="s">
        <v>557</v>
      </c>
      <c r="B6960" t="s">
        <v>725</v>
      </c>
      <c r="C6960" t="s">
        <v>23</v>
      </c>
      <c r="D6960" s="230">
        <v>11544</v>
      </c>
      <c r="E6960" t="s">
        <v>726</v>
      </c>
    </row>
    <row r="6961" spans="1:5" hidden="1" x14ac:dyDescent="0.3">
      <c r="A6961" t="s">
        <v>557</v>
      </c>
      <c r="B6961" t="s">
        <v>725</v>
      </c>
      <c r="C6961" t="s">
        <v>25</v>
      </c>
      <c r="D6961" s="230">
        <v>0</v>
      </c>
      <c r="E6961" t="s">
        <v>726</v>
      </c>
    </row>
    <row r="6962" spans="1:5" hidden="1" x14ac:dyDescent="0.3">
      <c r="A6962" t="s">
        <v>557</v>
      </c>
      <c r="B6962" t="s">
        <v>725</v>
      </c>
      <c r="C6962" t="s">
        <v>26</v>
      </c>
      <c r="D6962" s="230">
        <v>7100</v>
      </c>
      <c r="E6962" t="s">
        <v>726</v>
      </c>
    </row>
    <row r="6963" spans="1:5" hidden="1" x14ac:dyDescent="0.3">
      <c r="A6963" t="s">
        <v>557</v>
      </c>
      <c r="B6963" t="s">
        <v>725</v>
      </c>
      <c r="C6963" t="s">
        <v>27</v>
      </c>
      <c r="D6963" s="230">
        <v>0</v>
      </c>
      <c r="E6963" t="s">
        <v>726</v>
      </c>
    </row>
    <row r="6964" spans="1:5" hidden="1" x14ac:dyDescent="0.3">
      <c r="A6964" t="s">
        <v>557</v>
      </c>
      <c r="B6964" t="s">
        <v>725</v>
      </c>
      <c r="C6964" t="s">
        <v>29</v>
      </c>
      <c r="D6964" s="230">
        <v>2311.39</v>
      </c>
      <c r="E6964" t="s">
        <v>726</v>
      </c>
    </row>
    <row r="6965" spans="1:5" hidden="1" x14ac:dyDescent="0.3">
      <c r="A6965" t="s">
        <v>557</v>
      </c>
      <c r="B6965" t="s">
        <v>725</v>
      </c>
      <c r="C6965" t="s">
        <v>31</v>
      </c>
      <c r="D6965" s="230">
        <v>0</v>
      </c>
      <c r="E6965" t="s">
        <v>726</v>
      </c>
    </row>
    <row r="6966" spans="1:5" hidden="1" x14ac:dyDescent="0.3">
      <c r="A6966" t="s">
        <v>557</v>
      </c>
      <c r="B6966" t="s">
        <v>725</v>
      </c>
      <c r="C6966" t="s">
        <v>34</v>
      </c>
      <c r="D6966" s="230">
        <v>-16467.740000000002</v>
      </c>
      <c r="E6966" t="s">
        <v>726</v>
      </c>
    </row>
    <row r="6967" spans="1:5" hidden="1" x14ac:dyDescent="0.3">
      <c r="A6967" t="s">
        <v>557</v>
      </c>
      <c r="B6967" t="s">
        <v>725</v>
      </c>
      <c r="C6967" t="s">
        <v>38</v>
      </c>
      <c r="D6967" s="230">
        <v>-16467.740000000002</v>
      </c>
      <c r="E6967" t="s">
        <v>726</v>
      </c>
    </row>
    <row r="6968" spans="1:5" hidden="1" x14ac:dyDescent="0.3">
      <c r="A6968" t="s">
        <v>557</v>
      </c>
      <c r="B6968" t="s">
        <v>725</v>
      </c>
      <c r="C6968" t="s">
        <v>40</v>
      </c>
      <c r="D6968" s="230">
        <v>0</v>
      </c>
      <c r="E6968" t="s">
        <v>726</v>
      </c>
    </row>
    <row r="6969" spans="1:5" hidden="1" x14ac:dyDescent="0.3">
      <c r="A6969" t="s">
        <v>557</v>
      </c>
      <c r="B6969" t="s">
        <v>725</v>
      </c>
      <c r="C6969" t="s">
        <v>42</v>
      </c>
      <c r="D6969" s="230">
        <v>0</v>
      </c>
      <c r="E6969" t="s">
        <v>726</v>
      </c>
    </row>
    <row r="6970" spans="1:5" hidden="1" x14ac:dyDescent="0.3">
      <c r="A6970" t="s">
        <v>557</v>
      </c>
      <c r="B6970" t="s">
        <v>725</v>
      </c>
      <c r="C6970" t="s">
        <v>44</v>
      </c>
      <c r="D6970" s="230">
        <v>-0.04</v>
      </c>
      <c r="E6970" t="s">
        <v>726</v>
      </c>
    </row>
    <row r="6971" spans="1:5" hidden="1" x14ac:dyDescent="0.3">
      <c r="A6971" t="s">
        <v>557</v>
      </c>
      <c r="B6971" t="s">
        <v>725</v>
      </c>
      <c r="C6971" t="s">
        <v>45</v>
      </c>
      <c r="D6971" s="230">
        <v>-25180.05</v>
      </c>
      <c r="E6971" t="s">
        <v>726</v>
      </c>
    </row>
    <row r="6972" spans="1:5" hidden="1" x14ac:dyDescent="0.3">
      <c r="A6972" t="s">
        <v>557</v>
      </c>
      <c r="B6972" t="s">
        <v>725</v>
      </c>
      <c r="C6972" t="s">
        <v>46</v>
      </c>
      <c r="D6972" s="230">
        <v>-13135.08</v>
      </c>
      <c r="E6972" t="s">
        <v>726</v>
      </c>
    </row>
    <row r="6973" spans="1:5" hidden="1" x14ac:dyDescent="0.3">
      <c r="A6973" t="s">
        <v>557</v>
      </c>
      <c r="B6973" t="s">
        <v>725</v>
      </c>
      <c r="C6973" t="s">
        <v>48</v>
      </c>
      <c r="D6973" s="230">
        <v>-11146.28</v>
      </c>
      <c r="E6973" t="s">
        <v>726</v>
      </c>
    </row>
    <row r="6974" spans="1:5" hidden="1" x14ac:dyDescent="0.3">
      <c r="A6974" t="s">
        <v>557</v>
      </c>
      <c r="B6974" t="s">
        <v>725</v>
      </c>
      <c r="C6974" t="s">
        <v>49</v>
      </c>
      <c r="D6974" s="230">
        <v>-898.7</v>
      </c>
      <c r="E6974" t="s">
        <v>726</v>
      </c>
    </row>
    <row r="6975" spans="1:5" hidden="1" x14ac:dyDescent="0.3">
      <c r="A6975" t="s">
        <v>557</v>
      </c>
      <c r="B6975" t="s">
        <v>725</v>
      </c>
      <c r="C6975" t="s">
        <v>50</v>
      </c>
      <c r="D6975" s="230">
        <v>378564.27</v>
      </c>
      <c r="E6975" t="s">
        <v>726</v>
      </c>
    </row>
    <row r="6976" spans="1:5" hidden="1" x14ac:dyDescent="0.3">
      <c r="A6976" t="s">
        <v>557</v>
      </c>
      <c r="B6976" t="s">
        <v>725</v>
      </c>
      <c r="C6976" t="s">
        <v>51</v>
      </c>
      <c r="D6976" s="230">
        <v>-108860.39</v>
      </c>
      <c r="E6976" t="s">
        <v>726</v>
      </c>
    </row>
    <row r="6977" spans="1:5" hidden="1" x14ac:dyDescent="0.3">
      <c r="A6977" t="s">
        <v>557</v>
      </c>
      <c r="B6977" t="s">
        <v>725</v>
      </c>
      <c r="C6977" t="s">
        <v>52</v>
      </c>
      <c r="D6977" s="230">
        <v>-88324.45</v>
      </c>
      <c r="E6977" t="s">
        <v>726</v>
      </c>
    </row>
    <row r="6978" spans="1:5" hidden="1" x14ac:dyDescent="0.3">
      <c r="A6978" t="s">
        <v>557</v>
      </c>
      <c r="B6978" t="s">
        <v>725</v>
      </c>
      <c r="C6978" t="s">
        <v>53</v>
      </c>
      <c r="D6978" s="230">
        <v>-20535.939999999999</v>
      </c>
      <c r="E6978" t="s">
        <v>726</v>
      </c>
    </row>
    <row r="6979" spans="1:5" hidden="1" x14ac:dyDescent="0.3">
      <c r="A6979" t="s">
        <v>557</v>
      </c>
      <c r="B6979" t="s">
        <v>725</v>
      </c>
      <c r="C6979" t="s">
        <v>54</v>
      </c>
      <c r="D6979" s="230">
        <v>0</v>
      </c>
      <c r="E6979" t="s">
        <v>726</v>
      </c>
    </row>
    <row r="6980" spans="1:5" hidden="1" x14ac:dyDescent="0.3">
      <c r="A6980" t="s">
        <v>557</v>
      </c>
      <c r="B6980" t="s">
        <v>725</v>
      </c>
      <c r="C6980" t="s">
        <v>23</v>
      </c>
      <c r="D6980" s="230">
        <v>0</v>
      </c>
      <c r="E6980" t="s">
        <v>726</v>
      </c>
    </row>
    <row r="6981" spans="1:5" hidden="1" x14ac:dyDescent="0.3">
      <c r="A6981" t="s">
        <v>557</v>
      </c>
      <c r="B6981" t="s">
        <v>725</v>
      </c>
      <c r="C6981" t="s">
        <v>44</v>
      </c>
      <c r="D6981" s="230">
        <v>-0.3</v>
      </c>
      <c r="E6981" t="s">
        <v>726</v>
      </c>
    </row>
    <row r="6982" spans="1:5" hidden="1" x14ac:dyDescent="0.3">
      <c r="A6982" t="s">
        <v>557</v>
      </c>
      <c r="B6982" t="s">
        <v>725</v>
      </c>
      <c r="C6982" t="s">
        <v>55</v>
      </c>
      <c r="D6982" s="230">
        <v>-0.28999999999999998</v>
      </c>
      <c r="E6982" t="s">
        <v>726</v>
      </c>
    </row>
    <row r="6983" spans="1:5" hidden="1" x14ac:dyDescent="0.3">
      <c r="A6983" t="s">
        <v>557</v>
      </c>
      <c r="B6983" t="s">
        <v>725</v>
      </c>
      <c r="C6983" t="s">
        <v>56</v>
      </c>
      <c r="D6983" s="230">
        <v>-9639.92</v>
      </c>
      <c r="E6983" t="s">
        <v>726</v>
      </c>
    </row>
    <row r="6984" spans="1:5" hidden="1" x14ac:dyDescent="0.3">
      <c r="A6984" t="s">
        <v>557</v>
      </c>
      <c r="B6984" t="s">
        <v>725</v>
      </c>
      <c r="C6984" t="s">
        <v>57</v>
      </c>
      <c r="D6984" s="230">
        <v>-7639.92</v>
      </c>
      <c r="E6984" t="s">
        <v>726</v>
      </c>
    </row>
    <row r="6985" spans="1:5" hidden="1" x14ac:dyDescent="0.3">
      <c r="A6985" t="s">
        <v>557</v>
      </c>
      <c r="B6985" t="s">
        <v>725</v>
      </c>
      <c r="C6985" t="s">
        <v>58</v>
      </c>
      <c r="D6985" s="230">
        <v>-7300</v>
      </c>
      <c r="E6985" t="s">
        <v>726</v>
      </c>
    </row>
    <row r="6986" spans="1:5" hidden="1" x14ac:dyDescent="0.3">
      <c r="A6986" t="s">
        <v>557</v>
      </c>
      <c r="B6986" t="s">
        <v>725</v>
      </c>
      <c r="C6986" t="s">
        <v>59</v>
      </c>
      <c r="D6986" s="230">
        <v>-339.92</v>
      </c>
      <c r="E6986" t="s">
        <v>726</v>
      </c>
    </row>
    <row r="6987" spans="1:5" hidden="1" x14ac:dyDescent="0.3">
      <c r="A6987" t="s">
        <v>557</v>
      </c>
      <c r="B6987" t="s">
        <v>725</v>
      </c>
      <c r="C6987" t="s">
        <v>61</v>
      </c>
      <c r="D6987" s="230">
        <v>0</v>
      </c>
      <c r="E6987" t="s">
        <v>726</v>
      </c>
    </row>
    <row r="6988" spans="1:5" hidden="1" x14ac:dyDescent="0.3">
      <c r="A6988" t="s">
        <v>557</v>
      </c>
      <c r="B6988" t="s">
        <v>725</v>
      </c>
      <c r="C6988" t="s">
        <v>62</v>
      </c>
      <c r="D6988" s="230">
        <v>0</v>
      </c>
      <c r="E6988" t="s">
        <v>726</v>
      </c>
    </row>
    <row r="6989" spans="1:5" hidden="1" x14ac:dyDescent="0.3">
      <c r="A6989" t="s">
        <v>557</v>
      </c>
      <c r="B6989" t="s">
        <v>725</v>
      </c>
      <c r="C6989" t="s">
        <v>64</v>
      </c>
      <c r="D6989" s="230">
        <v>0</v>
      </c>
      <c r="E6989" t="s">
        <v>726</v>
      </c>
    </row>
    <row r="6990" spans="1:5" hidden="1" x14ac:dyDescent="0.3">
      <c r="A6990" t="s">
        <v>557</v>
      </c>
      <c r="B6990" t="s">
        <v>725</v>
      </c>
      <c r="C6990" t="s">
        <v>65</v>
      </c>
      <c r="D6990" s="230">
        <v>-2000</v>
      </c>
      <c r="E6990" t="s">
        <v>726</v>
      </c>
    </row>
    <row r="6991" spans="1:5" hidden="1" x14ac:dyDescent="0.3">
      <c r="A6991" t="s">
        <v>557</v>
      </c>
      <c r="B6991" t="s">
        <v>725</v>
      </c>
      <c r="C6991" t="s">
        <v>66</v>
      </c>
      <c r="D6991" s="230">
        <v>-2000</v>
      </c>
      <c r="E6991" t="s">
        <v>726</v>
      </c>
    </row>
    <row r="6992" spans="1:5" hidden="1" x14ac:dyDescent="0.3">
      <c r="A6992" t="s">
        <v>557</v>
      </c>
      <c r="B6992" t="s">
        <v>725</v>
      </c>
      <c r="C6992" t="s">
        <v>68</v>
      </c>
      <c r="D6992" s="230">
        <v>0</v>
      </c>
      <c r="E6992" t="s">
        <v>726</v>
      </c>
    </row>
    <row r="6993" spans="1:5" hidden="1" x14ac:dyDescent="0.3">
      <c r="A6993" t="s">
        <v>557</v>
      </c>
      <c r="B6993" t="s">
        <v>725</v>
      </c>
      <c r="C6993" t="s">
        <v>69</v>
      </c>
      <c r="D6993" s="230">
        <v>0</v>
      </c>
      <c r="E6993" t="s">
        <v>726</v>
      </c>
    </row>
    <row r="6994" spans="1:5" hidden="1" x14ac:dyDescent="0.3">
      <c r="A6994" t="s">
        <v>557</v>
      </c>
      <c r="B6994" t="s">
        <v>725</v>
      </c>
      <c r="C6994" t="s">
        <v>70</v>
      </c>
      <c r="D6994" s="230">
        <v>-1.5</v>
      </c>
      <c r="E6994" t="s">
        <v>726</v>
      </c>
    </row>
    <row r="6995" spans="1:5" hidden="1" x14ac:dyDescent="0.3">
      <c r="A6995" t="s">
        <v>557</v>
      </c>
      <c r="B6995" t="s">
        <v>725</v>
      </c>
      <c r="C6995" t="s">
        <v>44</v>
      </c>
      <c r="D6995" s="230">
        <v>-0.02</v>
      </c>
      <c r="E6995" t="s">
        <v>726</v>
      </c>
    </row>
    <row r="6996" spans="1:5" hidden="1" x14ac:dyDescent="0.3">
      <c r="A6996" t="s">
        <v>557</v>
      </c>
      <c r="B6996" t="s">
        <v>725</v>
      </c>
      <c r="C6996" t="s">
        <v>71</v>
      </c>
      <c r="D6996" s="230">
        <v>0</v>
      </c>
      <c r="E6996" t="s">
        <v>726</v>
      </c>
    </row>
    <row r="6997" spans="1:5" hidden="1" x14ac:dyDescent="0.3">
      <c r="A6997" t="s">
        <v>557</v>
      </c>
      <c r="B6997" t="s">
        <v>725</v>
      </c>
      <c r="C6997" t="s">
        <v>72</v>
      </c>
      <c r="D6997" s="230">
        <v>0</v>
      </c>
      <c r="E6997" t="s">
        <v>726</v>
      </c>
    </row>
    <row r="6998" spans="1:5" hidden="1" x14ac:dyDescent="0.3">
      <c r="A6998" t="s">
        <v>557</v>
      </c>
      <c r="B6998" t="s">
        <v>725</v>
      </c>
      <c r="C6998" t="s">
        <v>73</v>
      </c>
      <c r="D6998" s="230">
        <v>0</v>
      </c>
      <c r="E6998" t="s">
        <v>726</v>
      </c>
    </row>
    <row r="6999" spans="1:5" hidden="1" x14ac:dyDescent="0.3">
      <c r="A6999" t="s">
        <v>557</v>
      </c>
      <c r="B6999" t="s">
        <v>725</v>
      </c>
      <c r="C6999" t="s">
        <v>75</v>
      </c>
      <c r="D6999" s="230">
        <v>0</v>
      </c>
      <c r="E6999" t="s">
        <v>726</v>
      </c>
    </row>
    <row r="7000" spans="1:5" hidden="1" x14ac:dyDescent="0.3">
      <c r="A7000" t="s">
        <v>557</v>
      </c>
      <c r="B7000" t="s">
        <v>725</v>
      </c>
      <c r="C7000" t="s">
        <v>77</v>
      </c>
      <c r="D7000" s="230">
        <v>0</v>
      </c>
      <c r="E7000" t="s">
        <v>726</v>
      </c>
    </row>
    <row r="7001" spans="1:5" hidden="1" x14ac:dyDescent="0.3">
      <c r="A7001" t="s">
        <v>557</v>
      </c>
      <c r="B7001" t="s">
        <v>725</v>
      </c>
      <c r="C7001" t="s">
        <v>78</v>
      </c>
      <c r="D7001" s="230">
        <v>0</v>
      </c>
      <c r="E7001" t="s">
        <v>726</v>
      </c>
    </row>
    <row r="7002" spans="1:5" hidden="1" x14ac:dyDescent="0.3">
      <c r="A7002" t="s">
        <v>557</v>
      </c>
      <c r="B7002" t="s">
        <v>725</v>
      </c>
      <c r="C7002" t="s">
        <v>80</v>
      </c>
      <c r="D7002" s="230">
        <v>0</v>
      </c>
      <c r="E7002" t="s">
        <v>726</v>
      </c>
    </row>
    <row r="7003" spans="1:5" hidden="1" x14ac:dyDescent="0.3">
      <c r="A7003" t="s">
        <v>557</v>
      </c>
      <c r="B7003" t="s">
        <v>725</v>
      </c>
      <c r="C7003" t="s">
        <v>82</v>
      </c>
      <c r="D7003" s="230">
        <v>0</v>
      </c>
      <c r="E7003" t="s">
        <v>726</v>
      </c>
    </row>
    <row r="7004" spans="1:5" hidden="1" x14ac:dyDescent="0.3">
      <c r="A7004" t="s">
        <v>557</v>
      </c>
      <c r="B7004" t="s">
        <v>725</v>
      </c>
      <c r="C7004" t="s">
        <v>84</v>
      </c>
      <c r="D7004" s="230">
        <v>0</v>
      </c>
      <c r="E7004" t="s">
        <v>726</v>
      </c>
    </row>
    <row r="7005" spans="1:5" hidden="1" x14ac:dyDescent="0.3">
      <c r="A7005" t="s">
        <v>557</v>
      </c>
      <c r="B7005" t="s">
        <v>725</v>
      </c>
      <c r="C7005" t="s">
        <v>85</v>
      </c>
      <c r="D7005" s="230">
        <v>0</v>
      </c>
      <c r="E7005" t="s">
        <v>726</v>
      </c>
    </row>
    <row r="7006" spans="1:5" hidden="1" x14ac:dyDescent="0.3">
      <c r="A7006" t="s">
        <v>557</v>
      </c>
      <c r="B7006" t="s">
        <v>725</v>
      </c>
      <c r="C7006" t="s">
        <v>86</v>
      </c>
      <c r="D7006" s="230">
        <v>0</v>
      </c>
      <c r="E7006" t="s">
        <v>726</v>
      </c>
    </row>
    <row r="7007" spans="1:5" hidden="1" x14ac:dyDescent="0.3">
      <c r="A7007" t="s">
        <v>557</v>
      </c>
      <c r="B7007" t="s">
        <v>725</v>
      </c>
      <c r="C7007" t="s">
        <v>87</v>
      </c>
      <c r="D7007" s="230">
        <v>0</v>
      </c>
      <c r="E7007" t="s">
        <v>726</v>
      </c>
    </row>
    <row r="7008" spans="1:5" hidden="1" x14ac:dyDescent="0.3">
      <c r="A7008" t="s">
        <v>557</v>
      </c>
      <c r="B7008" t="s">
        <v>725</v>
      </c>
      <c r="C7008" t="s">
        <v>88</v>
      </c>
      <c r="D7008" s="230">
        <v>0</v>
      </c>
      <c r="E7008" t="s">
        <v>726</v>
      </c>
    </row>
    <row r="7009" spans="1:5" hidden="1" x14ac:dyDescent="0.3">
      <c r="A7009" t="s">
        <v>557</v>
      </c>
      <c r="B7009" t="s">
        <v>725</v>
      </c>
      <c r="C7009" t="s">
        <v>89</v>
      </c>
      <c r="D7009" s="230">
        <v>0</v>
      </c>
      <c r="E7009" t="s">
        <v>726</v>
      </c>
    </row>
    <row r="7010" spans="1:5" hidden="1" x14ac:dyDescent="0.3">
      <c r="A7010" t="s">
        <v>557</v>
      </c>
      <c r="B7010" t="s">
        <v>725</v>
      </c>
      <c r="C7010" t="s">
        <v>90</v>
      </c>
      <c r="D7010" s="230">
        <v>0</v>
      </c>
      <c r="E7010" t="s">
        <v>726</v>
      </c>
    </row>
    <row r="7011" spans="1:5" hidden="1" x14ac:dyDescent="0.3">
      <c r="A7011" t="s">
        <v>557</v>
      </c>
      <c r="B7011" t="s">
        <v>725</v>
      </c>
      <c r="C7011" t="s">
        <v>91</v>
      </c>
      <c r="D7011" s="230">
        <v>0</v>
      </c>
      <c r="E7011" t="s">
        <v>726</v>
      </c>
    </row>
    <row r="7012" spans="1:5" hidden="1" x14ac:dyDescent="0.3">
      <c r="A7012" t="s">
        <v>557</v>
      </c>
      <c r="B7012" t="s">
        <v>725</v>
      </c>
      <c r="C7012" t="s">
        <v>93</v>
      </c>
      <c r="D7012" s="230">
        <v>0</v>
      </c>
      <c r="E7012" t="s">
        <v>726</v>
      </c>
    </row>
    <row r="7013" spans="1:5" hidden="1" x14ac:dyDescent="0.3">
      <c r="A7013" t="s">
        <v>557</v>
      </c>
      <c r="B7013" t="s">
        <v>725</v>
      </c>
      <c r="C7013" t="s">
        <v>95</v>
      </c>
      <c r="D7013" s="230">
        <v>0</v>
      </c>
      <c r="E7013" t="s">
        <v>726</v>
      </c>
    </row>
    <row r="7014" spans="1:5" hidden="1" x14ac:dyDescent="0.3">
      <c r="A7014" t="s">
        <v>557</v>
      </c>
      <c r="B7014" t="s">
        <v>725</v>
      </c>
      <c r="C7014" t="s">
        <v>96</v>
      </c>
      <c r="D7014" s="230">
        <v>0</v>
      </c>
      <c r="E7014" t="s">
        <v>726</v>
      </c>
    </row>
    <row r="7015" spans="1:5" hidden="1" x14ac:dyDescent="0.3">
      <c r="A7015" t="s">
        <v>557</v>
      </c>
      <c r="B7015" t="s">
        <v>725</v>
      </c>
      <c r="C7015" t="s">
        <v>98</v>
      </c>
      <c r="D7015" s="230">
        <v>0</v>
      </c>
      <c r="E7015" t="s">
        <v>726</v>
      </c>
    </row>
    <row r="7016" spans="1:5" hidden="1" x14ac:dyDescent="0.3">
      <c r="A7016" t="s">
        <v>557</v>
      </c>
      <c r="B7016" t="s">
        <v>725</v>
      </c>
      <c r="C7016" t="s">
        <v>100</v>
      </c>
      <c r="D7016" s="230">
        <v>0</v>
      </c>
      <c r="E7016" t="s">
        <v>726</v>
      </c>
    </row>
    <row r="7017" spans="1:5" hidden="1" x14ac:dyDescent="0.3">
      <c r="A7017" t="s">
        <v>557</v>
      </c>
      <c r="B7017" t="s">
        <v>725</v>
      </c>
      <c r="C7017" t="s">
        <v>101</v>
      </c>
      <c r="D7017" s="230">
        <v>0</v>
      </c>
      <c r="E7017" t="s">
        <v>726</v>
      </c>
    </row>
    <row r="7018" spans="1:5" hidden="1" x14ac:dyDescent="0.3">
      <c r="A7018" t="s">
        <v>557</v>
      </c>
      <c r="B7018" t="s">
        <v>725</v>
      </c>
      <c r="C7018" t="s">
        <v>102</v>
      </c>
      <c r="D7018" s="230">
        <v>0</v>
      </c>
      <c r="E7018" t="s">
        <v>726</v>
      </c>
    </row>
    <row r="7019" spans="1:5" hidden="1" x14ac:dyDescent="0.3">
      <c r="A7019" t="s">
        <v>557</v>
      </c>
      <c r="B7019" t="s">
        <v>725</v>
      </c>
      <c r="C7019" t="s">
        <v>103</v>
      </c>
      <c r="D7019" s="230">
        <v>0</v>
      </c>
      <c r="E7019" t="s">
        <v>726</v>
      </c>
    </row>
    <row r="7020" spans="1:5" hidden="1" x14ac:dyDescent="0.3">
      <c r="A7020" t="s">
        <v>557</v>
      </c>
      <c r="B7020" t="s">
        <v>725</v>
      </c>
      <c r="C7020" t="s">
        <v>104</v>
      </c>
      <c r="D7020" s="230">
        <v>0</v>
      </c>
      <c r="E7020" t="s">
        <v>726</v>
      </c>
    </row>
    <row r="7021" spans="1:5" hidden="1" x14ac:dyDescent="0.3">
      <c r="A7021" t="s">
        <v>557</v>
      </c>
      <c r="B7021" t="s">
        <v>725</v>
      </c>
      <c r="C7021" t="s">
        <v>105</v>
      </c>
      <c r="D7021" s="230">
        <v>0</v>
      </c>
      <c r="E7021" t="s">
        <v>726</v>
      </c>
    </row>
    <row r="7022" spans="1:5" hidden="1" x14ac:dyDescent="0.3">
      <c r="A7022" t="s">
        <v>557</v>
      </c>
      <c r="B7022" t="s">
        <v>725</v>
      </c>
      <c r="C7022" t="s">
        <v>107</v>
      </c>
      <c r="D7022" s="230">
        <v>0</v>
      </c>
      <c r="E7022" t="s">
        <v>726</v>
      </c>
    </row>
    <row r="7023" spans="1:5" hidden="1" x14ac:dyDescent="0.3">
      <c r="A7023" t="s">
        <v>557</v>
      </c>
      <c r="B7023" t="s">
        <v>725</v>
      </c>
      <c r="C7023" t="s">
        <v>108</v>
      </c>
      <c r="D7023" s="230">
        <v>0</v>
      </c>
      <c r="E7023" t="s">
        <v>726</v>
      </c>
    </row>
    <row r="7024" spans="1:5" hidden="1" x14ac:dyDescent="0.3">
      <c r="A7024" t="s">
        <v>557</v>
      </c>
      <c r="B7024" t="s">
        <v>725</v>
      </c>
      <c r="C7024" t="s">
        <v>109</v>
      </c>
      <c r="D7024" s="230">
        <v>0</v>
      </c>
      <c r="E7024" t="s">
        <v>726</v>
      </c>
    </row>
    <row r="7025" spans="1:5" hidden="1" x14ac:dyDescent="0.3">
      <c r="A7025" t="s">
        <v>557</v>
      </c>
      <c r="B7025" t="s">
        <v>725</v>
      </c>
      <c r="C7025" t="s">
        <v>110</v>
      </c>
      <c r="D7025" s="230">
        <v>0</v>
      </c>
      <c r="E7025" t="s">
        <v>726</v>
      </c>
    </row>
    <row r="7026" spans="1:5" hidden="1" x14ac:dyDescent="0.3">
      <c r="A7026" t="s">
        <v>557</v>
      </c>
      <c r="B7026" t="s">
        <v>725</v>
      </c>
      <c r="C7026" t="s">
        <v>44</v>
      </c>
      <c r="D7026" s="230">
        <v>0</v>
      </c>
      <c r="E7026" t="s">
        <v>726</v>
      </c>
    </row>
    <row r="7027" spans="1:5" hidden="1" x14ac:dyDescent="0.3">
      <c r="A7027" t="s">
        <v>557</v>
      </c>
      <c r="B7027" t="s">
        <v>725</v>
      </c>
      <c r="C7027" t="s">
        <v>111</v>
      </c>
      <c r="D7027" s="230">
        <v>-31398.58</v>
      </c>
      <c r="E7027" t="s">
        <v>726</v>
      </c>
    </row>
    <row r="7028" spans="1:5" hidden="1" x14ac:dyDescent="0.3">
      <c r="A7028" t="s">
        <v>557</v>
      </c>
      <c r="B7028" t="s">
        <v>725</v>
      </c>
      <c r="C7028" t="s">
        <v>608</v>
      </c>
      <c r="D7028" s="230">
        <v>-31398.58</v>
      </c>
      <c r="E7028" t="s">
        <v>726</v>
      </c>
    </row>
    <row r="7029" spans="1:5" hidden="1" x14ac:dyDescent="0.3">
      <c r="A7029" t="s">
        <v>557</v>
      </c>
      <c r="B7029" t="s">
        <v>725</v>
      </c>
      <c r="C7029" t="s">
        <v>44</v>
      </c>
      <c r="D7029" s="230">
        <v>-7.0000000000000007E-2</v>
      </c>
      <c r="E7029" t="s">
        <v>726</v>
      </c>
    </row>
    <row r="7030" spans="1:5" hidden="1" x14ac:dyDescent="0.3">
      <c r="A7030" t="s">
        <v>557</v>
      </c>
      <c r="B7030" t="s">
        <v>725</v>
      </c>
      <c r="C7030" t="s">
        <v>115</v>
      </c>
      <c r="D7030" s="230">
        <v>-5656.84</v>
      </c>
      <c r="E7030" t="s">
        <v>726</v>
      </c>
    </row>
    <row r="7031" spans="1:5" hidden="1" x14ac:dyDescent="0.3">
      <c r="A7031" t="s">
        <v>557</v>
      </c>
      <c r="B7031" t="s">
        <v>725</v>
      </c>
      <c r="C7031" t="s">
        <v>116</v>
      </c>
      <c r="D7031" s="230">
        <v>-5089.42</v>
      </c>
      <c r="E7031" t="s">
        <v>726</v>
      </c>
    </row>
    <row r="7032" spans="1:5" hidden="1" x14ac:dyDescent="0.3">
      <c r="A7032" t="s">
        <v>557</v>
      </c>
      <c r="B7032" t="s">
        <v>725</v>
      </c>
      <c r="C7032" t="s">
        <v>118</v>
      </c>
      <c r="D7032" s="230">
        <v>0</v>
      </c>
      <c r="E7032" t="s">
        <v>726</v>
      </c>
    </row>
    <row r="7033" spans="1:5" hidden="1" x14ac:dyDescent="0.3">
      <c r="A7033" t="s">
        <v>557</v>
      </c>
      <c r="B7033" t="s">
        <v>725</v>
      </c>
      <c r="C7033" t="s">
        <v>120</v>
      </c>
      <c r="D7033" s="230">
        <v>0</v>
      </c>
      <c r="E7033" t="s">
        <v>726</v>
      </c>
    </row>
    <row r="7034" spans="1:5" hidden="1" x14ac:dyDescent="0.3">
      <c r="A7034" t="s">
        <v>557</v>
      </c>
      <c r="B7034" t="s">
        <v>725</v>
      </c>
      <c r="C7034" t="s">
        <v>122</v>
      </c>
      <c r="D7034" s="230">
        <v>-567.41999999999996</v>
      </c>
      <c r="E7034" t="s">
        <v>726</v>
      </c>
    </row>
    <row r="7035" spans="1:5" hidden="1" x14ac:dyDescent="0.3">
      <c r="A7035" t="s">
        <v>557</v>
      </c>
      <c r="B7035" t="s">
        <v>725</v>
      </c>
      <c r="C7035" t="s">
        <v>44</v>
      </c>
      <c r="D7035" s="230">
        <v>-0.01</v>
      </c>
      <c r="E7035" t="s">
        <v>726</v>
      </c>
    </row>
    <row r="7036" spans="1:5" hidden="1" x14ac:dyDescent="0.3">
      <c r="A7036" t="s">
        <v>557</v>
      </c>
      <c r="B7036" t="s">
        <v>725</v>
      </c>
      <c r="C7036" t="s">
        <v>126</v>
      </c>
      <c r="D7036" s="230">
        <v>223008.54</v>
      </c>
      <c r="E7036" t="s">
        <v>726</v>
      </c>
    </row>
    <row r="7037" spans="1:5" hidden="1" x14ac:dyDescent="0.3">
      <c r="A7037" t="s">
        <v>557</v>
      </c>
      <c r="B7037" t="s">
        <v>725</v>
      </c>
      <c r="C7037" t="s">
        <v>127</v>
      </c>
      <c r="D7037" s="230">
        <v>0.53</v>
      </c>
      <c r="E7037" t="s">
        <v>726</v>
      </c>
    </row>
    <row r="7038" spans="1:5" hidden="1" x14ac:dyDescent="0.3">
      <c r="A7038" t="s">
        <v>557</v>
      </c>
      <c r="B7038" t="s">
        <v>725</v>
      </c>
      <c r="C7038" t="s">
        <v>128</v>
      </c>
      <c r="D7038" s="230">
        <v>-121420.45</v>
      </c>
      <c r="E7038" t="s">
        <v>726</v>
      </c>
    </row>
    <row r="7039" spans="1:5" hidden="1" x14ac:dyDescent="0.3">
      <c r="A7039" t="s">
        <v>557</v>
      </c>
      <c r="B7039" t="s">
        <v>725</v>
      </c>
      <c r="C7039" t="s">
        <v>129</v>
      </c>
      <c r="D7039" s="230">
        <v>-37900</v>
      </c>
      <c r="E7039" t="s">
        <v>726</v>
      </c>
    </row>
    <row r="7040" spans="1:5" hidden="1" x14ac:dyDescent="0.3">
      <c r="A7040" t="s">
        <v>557</v>
      </c>
      <c r="B7040" t="s">
        <v>725</v>
      </c>
      <c r="C7040" t="s">
        <v>609</v>
      </c>
      <c r="D7040" s="230">
        <v>-4600</v>
      </c>
      <c r="E7040" t="s">
        <v>726</v>
      </c>
    </row>
    <row r="7041" spans="1:5" hidden="1" x14ac:dyDescent="0.3">
      <c r="A7041" t="s">
        <v>557</v>
      </c>
      <c r="B7041" t="s">
        <v>725</v>
      </c>
      <c r="C7041" t="s">
        <v>610</v>
      </c>
      <c r="D7041" s="230">
        <v>-17600</v>
      </c>
      <c r="E7041" t="s">
        <v>726</v>
      </c>
    </row>
    <row r="7042" spans="1:5" hidden="1" x14ac:dyDescent="0.3">
      <c r="A7042" t="s">
        <v>557</v>
      </c>
      <c r="B7042" t="s">
        <v>725</v>
      </c>
      <c r="C7042" t="s">
        <v>611</v>
      </c>
      <c r="D7042" s="230">
        <v>0</v>
      </c>
      <c r="E7042" t="s">
        <v>726</v>
      </c>
    </row>
    <row r="7043" spans="1:5" hidden="1" x14ac:dyDescent="0.3">
      <c r="A7043" t="s">
        <v>557</v>
      </c>
      <c r="B7043" t="s">
        <v>725</v>
      </c>
      <c r="C7043" t="s">
        <v>612</v>
      </c>
      <c r="D7043" s="230">
        <v>-4000</v>
      </c>
      <c r="E7043" t="s">
        <v>726</v>
      </c>
    </row>
    <row r="7044" spans="1:5" hidden="1" x14ac:dyDescent="0.3">
      <c r="A7044" t="s">
        <v>557</v>
      </c>
      <c r="B7044" t="s">
        <v>725</v>
      </c>
      <c r="C7044" t="s">
        <v>613</v>
      </c>
      <c r="D7044" s="230">
        <v>-1200</v>
      </c>
      <c r="E7044" t="s">
        <v>726</v>
      </c>
    </row>
    <row r="7045" spans="1:5" hidden="1" x14ac:dyDescent="0.3">
      <c r="A7045" t="s">
        <v>557</v>
      </c>
      <c r="B7045" t="s">
        <v>725</v>
      </c>
      <c r="C7045" t="s">
        <v>614</v>
      </c>
      <c r="D7045" s="230">
        <v>-6500</v>
      </c>
      <c r="E7045" t="s">
        <v>726</v>
      </c>
    </row>
    <row r="7046" spans="1:5" hidden="1" x14ac:dyDescent="0.3">
      <c r="A7046" t="s">
        <v>557</v>
      </c>
      <c r="B7046" t="s">
        <v>725</v>
      </c>
      <c r="C7046" t="s">
        <v>615</v>
      </c>
      <c r="D7046" s="230">
        <v>0</v>
      </c>
      <c r="E7046" t="s">
        <v>726</v>
      </c>
    </row>
    <row r="7047" spans="1:5" hidden="1" x14ac:dyDescent="0.3">
      <c r="A7047" t="s">
        <v>557</v>
      </c>
      <c r="B7047" t="s">
        <v>725</v>
      </c>
      <c r="C7047" t="s">
        <v>616</v>
      </c>
      <c r="D7047" s="230">
        <v>-4000</v>
      </c>
      <c r="E7047" t="s">
        <v>726</v>
      </c>
    </row>
    <row r="7048" spans="1:5" hidden="1" x14ac:dyDescent="0.3">
      <c r="A7048" t="s">
        <v>557</v>
      </c>
      <c r="B7048" t="s">
        <v>725</v>
      </c>
      <c r="C7048" t="s">
        <v>617</v>
      </c>
      <c r="D7048" s="230">
        <v>0</v>
      </c>
      <c r="E7048" t="s">
        <v>726</v>
      </c>
    </row>
    <row r="7049" spans="1:5" hidden="1" x14ac:dyDescent="0.3">
      <c r="A7049" t="s">
        <v>557</v>
      </c>
      <c r="B7049" t="s">
        <v>725</v>
      </c>
      <c r="C7049" t="s">
        <v>618</v>
      </c>
      <c r="D7049" s="230">
        <v>0</v>
      </c>
      <c r="E7049" t="s">
        <v>726</v>
      </c>
    </row>
    <row r="7050" spans="1:5" hidden="1" x14ac:dyDescent="0.3">
      <c r="A7050" t="s">
        <v>557</v>
      </c>
      <c r="B7050" t="s">
        <v>725</v>
      </c>
      <c r="C7050" t="s">
        <v>619</v>
      </c>
      <c r="D7050" s="230">
        <v>0</v>
      </c>
      <c r="E7050" t="s">
        <v>726</v>
      </c>
    </row>
    <row r="7051" spans="1:5" hidden="1" x14ac:dyDescent="0.3">
      <c r="A7051" t="s">
        <v>557</v>
      </c>
      <c r="B7051" t="s">
        <v>725</v>
      </c>
      <c r="C7051" t="s">
        <v>620</v>
      </c>
      <c r="D7051" s="230">
        <v>0</v>
      </c>
      <c r="E7051" t="s">
        <v>726</v>
      </c>
    </row>
    <row r="7052" spans="1:5" hidden="1" x14ac:dyDescent="0.3">
      <c r="A7052" t="s">
        <v>557</v>
      </c>
      <c r="B7052" t="s">
        <v>725</v>
      </c>
      <c r="C7052" t="s">
        <v>575</v>
      </c>
      <c r="D7052" s="230">
        <v>-33382.18</v>
      </c>
      <c r="E7052" t="s">
        <v>726</v>
      </c>
    </row>
    <row r="7053" spans="1:5" hidden="1" x14ac:dyDescent="0.3">
      <c r="A7053" t="s">
        <v>557</v>
      </c>
      <c r="B7053" t="s">
        <v>725</v>
      </c>
      <c r="C7053" t="s">
        <v>621</v>
      </c>
      <c r="D7053" s="230">
        <v>0</v>
      </c>
      <c r="E7053" t="s">
        <v>726</v>
      </c>
    </row>
    <row r="7054" spans="1:5" hidden="1" x14ac:dyDescent="0.3">
      <c r="A7054" t="s">
        <v>557</v>
      </c>
      <c r="B7054" t="s">
        <v>725</v>
      </c>
      <c r="C7054" t="s">
        <v>622</v>
      </c>
      <c r="D7054" s="230">
        <v>0</v>
      </c>
      <c r="E7054" t="s">
        <v>726</v>
      </c>
    </row>
    <row r="7055" spans="1:5" hidden="1" x14ac:dyDescent="0.3">
      <c r="A7055" t="s">
        <v>557</v>
      </c>
      <c r="B7055" t="s">
        <v>725</v>
      </c>
      <c r="C7055" t="s">
        <v>623</v>
      </c>
      <c r="D7055" s="230">
        <v>0</v>
      </c>
      <c r="E7055" t="s">
        <v>726</v>
      </c>
    </row>
    <row r="7056" spans="1:5" hidden="1" x14ac:dyDescent="0.3">
      <c r="A7056" t="s">
        <v>557</v>
      </c>
      <c r="B7056" t="s">
        <v>725</v>
      </c>
      <c r="C7056" t="s">
        <v>624</v>
      </c>
      <c r="D7056" s="230">
        <v>0</v>
      </c>
      <c r="E7056" t="s">
        <v>726</v>
      </c>
    </row>
    <row r="7057" spans="1:5" hidden="1" x14ac:dyDescent="0.3">
      <c r="A7057" t="s">
        <v>557</v>
      </c>
      <c r="B7057" t="s">
        <v>725</v>
      </c>
      <c r="C7057" t="s">
        <v>625</v>
      </c>
      <c r="D7057" s="230">
        <v>0</v>
      </c>
      <c r="E7057" t="s">
        <v>726</v>
      </c>
    </row>
    <row r="7058" spans="1:5" hidden="1" x14ac:dyDescent="0.3">
      <c r="A7058" t="s">
        <v>557</v>
      </c>
      <c r="B7058" t="s">
        <v>725</v>
      </c>
      <c r="C7058" t="s">
        <v>626</v>
      </c>
      <c r="D7058" s="230">
        <v>0</v>
      </c>
      <c r="E7058" t="s">
        <v>726</v>
      </c>
    </row>
    <row r="7059" spans="1:5" hidden="1" x14ac:dyDescent="0.3">
      <c r="A7059" t="s">
        <v>557</v>
      </c>
      <c r="B7059" t="s">
        <v>725</v>
      </c>
      <c r="C7059" t="s">
        <v>627</v>
      </c>
      <c r="D7059" s="230">
        <v>0</v>
      </c>
      <c r="E7059" t="s">
        <v>726</v>
      </c>
    </row>
    <row r="7060" spans="1:5" hidden="1" x14ac:dyDescent="0.3">
      <c r="A7060" t="s">
        <v>557</v>
      </c>
      <c r="B7060" t="s">
        <v>725</v>
      </c>
      <c r="C7060" t="s">
        <v>628</v>
      </c>
      <c r="D7060" s="230">
        <v>0</v>
      </c>
      <c r="E7060" t="s">
        <v>726</v>
      </c>
    </row>
    <row r="7061" spans="1:5" hidden="1" x14ac:dyDescent="0.3">
      <c r="A7061" t="s">
        <v>557</v>
      </c>
      <c r="B7061" t="s">
        <v>725</v>
      </c>
      <c r="C7061" t="s">
        <v>629</v>
      </c>
      <c r="D7061" s="230">
        <v>0</v>
      </c>
      <c r="E7061" t="s">
        <v>726</v>
      </c>
    </row>
    <row r="7062" spans="1:5" hidden="1" x14ac:dyDescent="0.3">
      <c r="A7062" t="s">
        <v>557</v>
      </c>
      <c r="B7062" t="s">
        <v>725</v>
      </c>
      <c r="C7062" t="s">
        <v>630</v>
      </c>
      <c r="D7062" s="230">
        <v>0</v>
      </c>
      <c r="E7062" t="s">
        <v>726</v>
      </c>
    </row>
    <row r="7063" spans="1:5" hidden="1" x14ac:dyDescent="0.3">
      <c r="A7063" t="s">
        <v>557</v>
      </c>
      <c r="B7063" t="s">
        <v>725</v>
      </c>
      <c r="C7063" t="s">
        <v>631</v>
      </c>
      <c r="D7063" s="230">
        <v>0</v>
      </c>
      <c r="E7063" t="s">
        <v>726</v>
      </c>
    </row>
    <row r="7064" spans="1:5" hidden="1" x14ac:dyDescent="0.3">
      <c r="A7064" t="s">
        <v>557</v>
      </c>
      <c r="B7064" t="s">
        <v>725</v>
      </c>
      <c r="C7064" t="s">
        <v>632</v>
      </c>
      <c r="D7064" s="230">
        <v>0</v>
      </c>
      <c r="E7064" t="s">
        <v>726</v>
      </c>
    </row>
    <row r="7065" spans="1:5" hidden="1" x14ac:dyDescent="0.3">
      <c r="A7065" t="s">
        <v>557</v>
      </c>
      <c r="B7065" t="s">
        <v>725</v>
      </c>
      <c r="C7065" t="s">
        <v>633</v>
      </c>
      <c r="D7065" s="230">
        <v>0</v>
      </c>
      <c r="E7065" t="s">
        <v>726</v>
      </c>
    </row>
    <row r="7066" spans="1:5" hidden="1" x14ac:dyDescent="0.3">
      <c r="A7066" t="s">
        <v>557</v>
      </c>
      <c r="B7066" t="s">
        <v>725</v>
      </c>
      <c r="C7066" t="s">
        <v>634</v>
      </c>
      <c r="D7066" s="230">
        <v>0</v>
      </c>
      <c r="E7066" t="s">
        <v>726</v>
      </c>
    </row>
    <row r="7067" spans="1:5" hidden="1" x14ac:dyDescent="0.3">
      <c r="A7067" t="s">
        <v>557</v>
      </c>
      <c r="B7067" t="s">
        <v>725</v>
      </c>
      <c r="C7067" t="s">
        <v>635</v>
      </c>
      <c r="D7067" s="230">
        <v>0</v>
      </c>
      <c r="E7067" t="s">
        <v>726</v>
      </c>
    </row>
    <row r="7068" spans="1:5" hidden="1" x14ac:dyDescent="0.3">
      <c r="A7068" t="s">
        <v>557</v>
      </c>
      <c r="B7068" t="s">
        <v>725</v>
      </c>
      <c r="C7068" t="s">
        <v>636</v>
      </c>
      <c r="D7068" s="230">
        <v>0</v>
      </c>
      <c r="E7068" t="s">
        <v>726</v>
      </c>
    </row>
    <row r="7069" spans="1:5" hidden="1" x14ac:dyDescent="0.3">
      <c r="A7069" t="s">
        <v>557</v>
      </c>
      <c r="B7069" t="s">
        <v>725</v>
      </c>
      <c r="C7069" t="s">
        <v>637</v>
      </c>
      <c r="D7069" s="230">
        <v>0</v>
      </c>
      <c r="E7069" t="s">
        <v>726</v>
      </c>
    </row>
    <row r="7070" spans="1:5" hidden="1" x14ac:dyDescent="0.3">
      <c r="A7070" t="s">
        <v>557</v>
      </c>
      <c r="B7070" t="s">
        <v>725</v>
      </c>
      <c r="C7070" t="s">
        <v>638</v>
      </c>
      <c r="D7070" s="230">
        <v>0</v>
      </c>
      <c r="E7070" t="s">
        <v>726</v>
      </c>
    </row>
    <row r="7071" spans="1:5" hidden="1" x14ac:dyDescent="0.3">
      <c r="A7071" t="s">
        <v>557</v>
      </c>
      <c r="B7071" t="s">
        <v>725</v>
      </c>
      <c r="C7071" t="s">
        <v>639</v>
      </c>
      <c r="D7071" s="230">
        <v>0</v>
      </c>
      <c r="E7071" t="s">
        <v>726</v>
      </c>
    </row>
    <row r="7072" spans="1:5" hidden="1" x14ac:dyDescent="0.3">
      <c r="A7072" t="s">
        <v>557</v>
      </c>
      <c r="B7072" t="s">
        <v>725</v>
      </c>
      <c r="C7072" t="s">
        <v>640</v>
      </c>
      <c r="D7072" s="230">
        <v>0</v>
      </c>
      <c r="E7072" t="s">
        <v>726</v>
      </c>
    </row>
    <row r="7073" spans="1:5" hidden="1" x14ac:dyDescent="0.3">
      <c r="A7073" t="s">
        <v>557</v>
      </c>
      <c r="B7073" t="s">
        <v>725</v>
      </c>
      <c r="C7073" t="s">
        <v>641</v>
      </c>
      <c r="D7073" s="230">
        <v>0</v>
      </c>
      <c r="E7073" t="s">
        <v>726</v>
      </c>
    </row>
    <row r="7074" spans="1:5" hidden="1" x14ac:dyDescent="0.3">
      <c r="A7074" t="s">
        <v>557</v>
      </c>
      <c r="B7074" t="s">
        <v>725</v>
      </c>
      <c r="C7074" t="s">
        <v>642</v>
      </c>
      <c r="D7074" s="230">
        <v>0</v>
      </c>
      <c r="E7074" t="s">
        <v>726</v>
      </c>
    </row>
    <row r="7075" spans="1:5" hidden="1" x14ac:dyDescent="0.3">
      <c r="A7075" t="s">
        <v>557</v>
      </c>
      <c r="B7075" t="s">
        <v>725</v>
      </c>
      <c r="C7075" t="s">
        <v>643</v>
      </c>
      <c r="D7075" s="230">
        <v>0</v>
      </c>
      <c r="E7075" t="s">
        <v>726</v>
      </c>
    </row>
    <row r="7076" spans="1:5" hidden="1" x14ac:dyDescent="0.3">
      <c r="A7076" t="s">
        <v>557</v>
      </c>
      <c r="B7076" t="s">
        <v>725</v>
      </c>
      <c r="C7076" t="s">
        <v>644</v>
      </c>
      <c r="D7076" s="230">
        <v>0</v>
      </c>
      <c r="E7076" t="s">
        <v>726</v>
      </c>
    </row>
    <row r="7077" spans="1:5" hidden="1" x14ac:dyDescent="0.3">
      <c r="A7077" t="s">
        <v>557</v>
      </c>
      <c r="B7077" t="s">
        <v>725</v>
      </c>
      <c r="C7077" t="s">
        <v>645</v>
      </c>
      <c r="D7077" s="230">
        <v>0</v>
      </c>
      <c r="E7077" t="s">
        <v>726</v>
      </c>
    </row>
    <row r="7078" spans="1:5" hidden="1" x14ac:dyDescent="0.3">
      <c r="A7078" t="s">
        <v>557</v>
      </c>
      <c r="B7078" t="s">
        <v>725</v>
      </c>
      <c r="C7078" t="s">
        <v>646</v>
      </c>
      <c r="D7078" s="230">
        <v>0</v>
      </c>
      <c r="E7078" t="s">
        <v>726</v>
      </c>
    </row>
    <row r="7079" spans="1:5" hidden="1" x14ac:dyDescent="0.3">
      <c r="A7079" t="s">
        <v>557</v>
      </c>
      <c r="B7079" t="s">
        <v>725</v>
      </c>
      <c r="C7079" t="s">
        <v>647</v>
      </c>
      <c r="D7079" s="230">
        <v>0</v>
      </c>
      <c r="E7079" t="s">
        <v>726</v>
      </c>
    </row>
    <row r="7080" spans="1:5" hidden="1" x14ac:dyDescent="0.3">
      <c r="A7080" t="s">
        <v>557</v>
      </c>
      <c r="B7080" t="s">
        <v>725</v>
      </c>
      <c r="C7080" t="s">
        <v>648</v>
      </c>
      <c r="D7080" s="230">
        <v>0</v>
      </c>
      <c r="E7080" t="s">
        <v>726</v>
      </c>
    </row>
    <row r="7081" spans="1:5" hidden="1" x14ac:dyDescent="0.3">
      <c r="A7081" t="s">
        <v>557</v>
      </c>
      <c r="B7081" t="s">
        <v>725</v>
      </c>
      <c r="C7081" t="s">
        <v>649</v>
      </c>
      <c r="D7081" s="230">
        <v>0</v>
      </c>
      <c r="E7081" t="s">
        <v>726</v>
      </c>
    </row>
    <row r="7082" spans="1:5" hidden="1" x14ac:dyDescent="0.3">
      <c r="A7082" t="s">
        <v>557</v>
      </c>
      <c r="B7082" t="s">
        <v>725</v>
      </c>
      <c r="C7082" t="s">
        <v>650</v>
      </c>
      <c r="D7082" s="230">
        <v>0</v>
      </c>
      <c r="E7082" t="s">
        <v>726</v>
      </c>
    </row>
    <row r="7083" spans="1:5" hidden="1" x14ac:dyDescent="0.3">
      <c r="A7083" t="s">
        <v>557</v>
      </c>
      <c r="B7083" t="s">
        <v>725</v>
      </c>
      <c r="C7083" t="s">
        <v>651</v>
      </c>
      <c r="D7083" s="230">
        <v>0</v>
      </c>
      <c r="E7083" t="s">
        <v>726</v>
      </c>
    </row>
    <row r="7084" spans="1:5" hidden="1" x14ac:dyDescent="0.3">
      <c r="A7084" t="s">
        <v>557</v>
      </c>
      <c r="B7084" t="s">
        <v>725</v>
      </c>
      <c r="C7084" t="s">
        <v>652</v>
      </c>
      <c r="D7084" s="230">
        <v>0</v>
      </c>
      <c r="E7084" t="s">
        <v>726</v>
      </c>
    </row>
    <row r="7085" spans="1:5" hidden="1" x14ac:dyDescent="0.3">
      <c r="A7085" t="s">
        <v>557</v>
      </c>
      <c r="B7085" t="s">
        <v>725</v>
      </c>
      <c r="C7085" t="s">
        <v>653</v>
      </c>
      <c r="D7085" s="230">
        <v>0</v>
      </c>
      <c r="E7085" t="s">
        <v>726</v>
      </c>
    </row>
    <row r="7086" spans="1:5" hidden="1" x14ac:dyDescent="0.3">
      <c r="A7086" t="s">
        <v>557</v>
      </c>
      <c r="B7086" t="s">
        <v>725</v>
      </c>
      <c r="C7086" t="s">
        <v>654</v>
      </c>
      <c r="D7086" s="230">
        <v>0</v>
      </c>
      <c r="E7086" t="s">
        <v>726</v>
      </c>
    </row>
    <row r="7087" spans="1:5" hidden="1" x14ac:dyDescent="0.3">
      <c r="A7087" t="s">
        <v>557</v>
      </c>
      <c r="B7087" t="s">
        <v>725</v>
      </c>
      <c r="C7087" t="s">
        <v>655</v>
      </c>
      <c r="D7087" s="230">
        <v>0</v>
      </c>
      <c r="E7087" t="s">
        <v>726</v>
      </c>
    </row>
    <row r="7088" spans="1:5" hidden="1" x14ac:dyDescent="0.3">
      <c r="A7088" t="s">
        <v>557</v>
      </c>
      <c r="B7088" t="s">
        <v>725</v>
      </c>
      <c r="C7088" t="s">
        <v>656</v>
      </c>
      <c r="D7088" s="230">
        <v>0</v>
      </c>
      <c r="E7088" t="s">
        <v>726</v>
      </c>
    </row>
    <row r="7089" spans="1:5" hidden="1" x14ac:dyDescent="0.3">
      <c r="A7089" t="s">
        <v>557</v>
      </c>
      <c r="B7089" t="s">
        <v>725</v>
      </c>
      <c r="C7089" t="s">
        <v>657</v>
      </c>
      <c r="D7089" s="230">
        <v>0</v>
      </c>
      <c r="E7089" t="s">
        <v>726</v>
      </c>
    </row>
    <row r="7090" spans="1:5" hidden="1" x14ac:dyDescent="0.3">
      <c r="A7090" t="s">
        <v>557</v>
      </c>
      <c r="B7090" t="s">
        <v>725</v>
      </c>
      <c r="C7090" t="s">
        <v>658</v>
      </c>
      <c r="D7090" s="230">
        <v>0</v>
      </c>
      <c r="E7090" t="s">
        <v>726</v>
      </c>
    </row>
    <row r="7091" spans="1:5" hidden="1" x14ac:dyDescent="0.3">
      <c r="A7091" t="s">
        <v>557</v>
      </c>
      <c r="B7091" t="s">
        <v>725</v>
      </c>
      <c r="C7091" t="s">
        <v>659</v>
      </c>
      <c r="D7091" s="230">
        <v>0</v>
      </c>
      <c r="E7091" t="s">
        <v>726</v>
      </c>
    </row>
    <row r="7092" spans="1:5" hidden="1" x14ac:dyDescent="0.3">
      <c r="A7092" t="s">
        <v>557</v>
      </c>
      <c r="B7092" t="s">
        <v>725</v>
      </c>
      <c r="C7092" t="s">
        <v>660</v>
      </c>
      <c r="D7092" s="230">
        <v>0</v>
      </c>
      <c r="E7092" t="s">
        <v>726</v>
      </c>
    </row>
    <row r="7093" spans="1:5" hidden="1" x14ac:dyDescent="0.3">
      <c r="A7093" t="s">
        <v>557</v>
      </c>
      <c r="B7093" t="s">
        <v>725</v>
      </c>
      <c r="C7093" t="s">
        <v>661</v>
      </c>
      <c r="D7093" s="230">
        <v>0</v>
      </c>
      <c r="E7093" t="s">
        <v>726</v>
      </c>
    </row>
    <row r="7094" spans="1:5" hidden="1" x14ac:dyDescent="0.3">
      <c r="A7094" t="s">
        <v>557</v>
      </c>
      <c r="B7094" t="s">
        <v>725</v>
      </c>
      <c r="C7094" t="s">
        <v>662</v>
      </c>
      <c r="D7094" s="230">
        <v>0</v>
      </c>
      <c r="E7094" t="s">
        <v>726</v>
      </c>
    </row>
    <row r="7095" spans="1:5" hidden="1" x14ac:dyDescent="0.3">
      <c r="A7095" t="s">
        <v>557</v>
      </c>
      <c r="B7095" t="s">
        <v>725</v>
      </c>
      <c r="C7095" t="s">
        <v>663</v>
      </c>
      <c r="D7095" s="230">
        <v>0</v>
      </c>
      <c r="E7095" t="s">
        <v>726</v>
      </c>
    </row>
    <row r="7096" spans="1:5" hidden="1" x14ac:dyDescent="0.3">
      <c r="A7096" t="s">
        <v>557</v>
      </c>
      <c r="B7096" t="s">
        <v>725</v>
      </c>
      <c r="C7096" t="s">
        <v>664</v>
      </c>
      <c r="D7096" s="230">
        <v>0</v>
      </c>
      <c r="E7096" t="s">
        <v>726</v>
      </c>
    </row>
    <row r="7097" spans="1:5" hidden="1" x14ac:dyDescent="0.3">
      <c r="A7097" t="s">
        <v>557</v>
      </c>
      <c r="B7097" t="s">
        <v>725</v>
      </c>
      <c r="C7097" t="s">
        <v>665</v>
      </c>
      <c r="D7097" s="230">
        <v>0</v>
      </c>
      <c r="E7097" t="s">
        <v>726</v>
      </c>
    </row>
    <row r="7098" spans="1:5" hidden="1" x14ac:dyDescent="0.3">
      <c r="A7098" t="s">
        <v>557</v>
      </c>
      <c r="B7098" t="s">
        <v>725</v>
      </c>
      <c r="C7098" t="s">
        <v>666</v>
      </c>
      <c r="D7098" s="230">
        <v>0</v>
      </c>
      <c r="E7098" t="s">
        <v>726</v>
      </c>
    </row>
    <row r="7099" spans="1:5" hidden="1" x14ac:dyDescent="0.3">
      <c r="A7099" t="s">
        <v>557</v>
      </c>
      <c r="B7099" t="s">
        <v>725</v>
      </c>
      <c r="C7099" t="s">
        <v>667</v>
      </c>
      <c r="D7099" s="230">
        <v>0</v>
      </c>
      <c r="E7099" t="s">
        <v>726</v>
      </c>
    </row>
    <row r="7100" spans="1:5" hidden="1" x14ac:dyDescent="0.3">
      <c r="A7100" t="s">
        <v>557</v>
      </c>
      <c r="B7100" t="s">
        <v>725</v>
      </c>
      <c r="C7100" t="s">
        <v>668</v>
      </c>
      <c r="D7100" s="230">
        <v>0</v>
      </c>
      <c r="E7100" t="s">
        <v>726</v>
      </c>
    </row>
    <row r="7101" spans="1:5" hidden="1" x14ac:dyDescent="0.3">
      <c r="A7101" t="s">
        <v>557</v>
      </c>
      <c r="B7101" t="s">
        <v>725</v>
      </c>
      <c r="C7101" t="s">
        <v>669</v>
      </c>
      <c r="D7101" s="230">
        <v>0</v>
      </c>
      <c r="E7101" t="s">
        <v>726</v>
      </c>
    </row>
    <row r="7102" spans="1:5" hidden="1" x14ac:dyDescent="0.3">
      <c r="A7102" t="s">
        <v>557</v>
      </c>
      <c r="B7102" t="s">
        <v>725</v>
      </c>
      <c r="C7102" t="s">
        <v>670</v>
      </c>
      <c r="D7102" s="230">
        <v>0</v>
      </c>
      <c r="E7102" t="s">
        <v>726</v>
      </c>
    </row>
    <row r="7103" spans="1:5" hidden="1" x14ac:dyDescent="0.3">
      <c r="A7103" t="s">
        <v>557</v>
      </c>
      <c r="B7103" t="s">
        <v>725</v>
      </c>
      <c r="C7103" t="s">
        <v>671</v>
      </c>
      <c r="D7103" s="230">
        <v>0</v>
      </c>
      <c r="E7103" t="s">
        <v>726</v>
      </c>
    </row>
    <row r="7104" spans="1:5" hidden="1" x14ac:dyDescent="0.3">
      <c r="A7104" t="s">
        <v>557</v>
      </c>
      <c r="B7104" t="s">
        <v>725</v>
      </c>
      <c r="C7104" t="s">
        <v>672</v>
      </c>
      <c r="D7104" s="230">
        <v>0</v>
      </c>
      <c r="E7104" t="s">
        <v>726</v>
      </c>
    </row>
    <row r="7105" spans="1:5" hidden="1" x14ac:dyDescent="0.3">
      <c r="A7105" t="s">
        <v>557</v>
      </c>
      <c r="B7105" t="s">
        <v>725</v>
      </c>
      <c r="C7105" t="s">
        <v>673</v>
      </c>
      <c r="D7105" s="230">
        <v>0</v>
      </c>
      <c r="E7105" t="s">
        <v>726</v>
      </c>
    </row>
    <row r="7106" spans="1:5" hidden="1" x14ac:dyDescent="0.3">
      <c r="A7106" t="s">
        <v>557</v>
      </c>
      <c r="B7106" t="s">
        <v>725</v>
      </c>
      <c r="C7106" t="s">
        <v>674</v>
      </c>
      <c r="D7106" s="230">
        <v>0</v>
      </c>
      <c r="E7106" t="s">
        <v>726</v>
      </c>
    </row>
    <row r="7107" spans="1:5" hidden="1" x14ac:dyDescent="0.3">
      <c r="A7107" t="s">
        <v>557</v>
      </c>
      <c r="B7107" t="s">
        <v>725</v>
      </c>
      <c r="C7107" t="s">
        <v>675</v>
      </c>
      <c r="D7107" s="230">
        <v>0</v>
      </c>
      <c r="E7107" t="s">
        <v>726</v>
      </c>
    </row>
    <row r="7108" spans="1:5" hidden="1" x14ac:dyDescent="0.3">
      <c r="A7108" t="s">
        <v>557</v>
      </c>
      <c r="B7108" t="s">
        <v>725</v>
      </c>
      <c r="C7108" t="s">
        <v>676</v>
      </c>
      <c r="D7108" s="230">
        <v>0</v>
      </c>
      <c r="E7108" t="s">
        <v>726</v>
      </c>
    </row>
    <row r="7109" spans="1:5" hidden="1" x14ac:dyDescent="0.3">
      <c r="A7109" t="s">
        <v>557</v>
      </c>
      <c r="B7109" t="s">
        <v>725</v>
      </c>
      <c r="C7109" t="s">
        <v>677</v>
      </c>
      <c r="D7109" s="230">
        <v>0</v>
      </c>
      <c r="E7109" t="s">
        <v>726</v>
      </c>
    </row>
    <row r="7110" spans="1:5" hidden="1" x14ac:dyDescent="0.3">
      <c r="A7110" t="s">
        <v>557</v>
      </c>
      <c r="B7110" t="s">
        <v>725</v>
      </c>
      <c r="C7110" t="s">
        <v>201</v>
      </c>
      <c r="D7110" s="230">
        <v>-12049.88</v>
      </c>
      <c r="E7110" t="s">
        <v>726</v>
      </c>
    </row>
    <row r="7111" spans="1:5" hidden="1" x14ac:dyDescent="0.3">
      <c r="A7111" t="s">
        <v>557</v>
      </c>
      <c r="B7111" t="s">
        <v>725</v>
      </c>
      <c r="C7111" t="s">
        <v>203</v>
      </c>
      <c r="D7111" s="230">
        <v>-12049.88</v>
      </c>
      <c r="E7111" t="s">
        <v>726</v>
      </c>
    </row>
    <row r="7112" spans="1:5" hidden="1" x14ac:dyDescent="0.3">
      <c r="A7112" t="s">
        <v>557</v>
      </c>
      <c r="B7112" t="s">
        <v>725</v>
      </c>
      <c r="C7112" t="s">
        <v>678</v>
      </c>
      <c r="D7112" s="230">
        <v>6024.94</v>
      </c>
      <c r="E7112" t="s">
        <v>726</v>
      </c>
    </row>
    <row r="7113" spans="1:5" hidden="1" x14ac:dyDescent="0.3">
      <c r="A7113" t="s">
        <v>557</v>
      </c>
      <c r="B7113" t="s">
        <v>725</v>
      </c>
      <c r="C7113" t="s">
        <v>205</v>
      </c>
      <c r="D7113" s="230">
        <v>-21649.16</v>
      </c>
      <c r="E7113" t="s">
        <v>726</v>
      </c>
    </row>
    <row r="7114" spans="1:5" hidden="1" x14ac:dyDescent="0.3">
      <c r="A7114" t="s">
        <v>557</v>
      </c>
      <c r="B7114" t="s">
        <v>725</v>
      </c>
      <c r="C7114" t="s">
        <v>679</v>
      </c>
      <c r="D7114" s="230">
        <v>-2291.2199999999998</v>
      </c>
      <c r="E7114" t="s">
        <v>726</v>
      </c>
    </row>
    <row r="7115" spans="1:5" hidden="1" x14ac:dyDescent="0.3">
      <c r="A7115" t="s">
        <v>557</v>
      </c>
      <c r="B7115" t="s">
        <v>725</v>
      </c>
      <c r="C7115" t="s">
        <v>680</v>
      </c>
      <c r="D7115" s="230">
        <v>0</v>
      </c>
      <c r="E7115" t="s">
        <v>726</v>
      </c>
    </row>
    <row r="7116" spans="1:5" hidden="1" x14ac:dyDescent="0.3">
      <c r="A7116" t="s">
        <v>557</v>
      </c>
      <c r="B7116" t="s">
        <v>725</v>
      </c>
      <c r="C7116" t="s">
        <v>681</v>
      </c>
      <c r="D7116" s="230">
        <v>0</v>
      </c>
      <c r="E7116" t="s">
        <v>726</v>
      </c>
    </row>
    <row r="7117" spans="1:5" hidden="1" x14ac:dyDescent="0.3">
      <c r="A7117" t="s">
        <v>557</v>
      </c>
      <c r="B7117" t="s">
        <v>725</v>
      </c>
      <c r="C7117" t="s">
        <v>682</v>
      </c>
      <c r="D7117" s="230">
        <v>-7531.73</v>
      </c>
      <c r="E7117" t="s">
        <v>726</v>
      </c>
    </row>
    <row r="7118" spans="1:5" hidden="1" x14ac:dyDescent="0.3">
      <c r="A7118" t="s">
        <v>557</v>
      </c>
      <c r="B7118" t="s">
        <v>725</v>
      </c>
      <c r="C7118" t="s">
        <v>683</v>
      </c>
      <c r="D7118" s="230">
        <v>-5325.09</v>
      </c>
      <c r="E7118" t="s">
        <v>726</v>
      </c>
    </row>
    <row r="7119" spans="1:5" hidden="1" x14ac:dyDescent="0.3">
      <c r="A7119" t="s">
        <v>557</v>
      </c>
      <c r="B7119" t="s">
        <v>725</v>
      </c>
      <c r="C7119" t="s">
        <v>684</v>
      </c>
      <c r="D7119" s="230">
        <v>-1608.51</v>
      </c>
      <c r="E7119" t="s">
        <v>726</v>
      </c>
    </row>
    <row r="7120" spans="1:5" hidden="1" x14ac:dyDescent="0.3">
      <c r="A7120" t="s">
        <v>557</v>
      </c>
      <c r="B7120" t="s">
        <v>725</v>
      </c>
      <c r="C7120" t="s">
        <v>685</v>
      </c>
      <c r="D7120" s="230">
        <v>-480.83</v>
      </c>
      <c r="E7120" t="s">
        <v>726</v>
      </c>
    </row>
    <row r="7121" spans="1:5" hidden="1" x14ac:dyDescent="0.3">
      <c r="A7121" t="s">
        <v>557</v>
      </c>
      <c r="B7121" t="s">
        <v>725</v>
      </c>
      <c r="C7121" t="s">
        <v>686</v>
      </c>
      <c r="D7121" s="230">
        <v>0</v>
      </c>
      <c r="E7121" t="s">
        <v>726</v>
      </c>
    </row>
    <row r="7122" spans="1:5" hidden="1" x14ac:dyDescent="0.3">
      <c r="A7122" t="s">
        <v>557</v>
      </c>
      <c r="B7122" t="s">
        <v>725</v>
      </c>
      <c r="C7122" t="s">
        <v>687</v>
      </c>
      <c r="D7122" s="230">
        <v>0</v>
      </c>
      <c r="E7122" t="s">
        <v>726</v>
      </c>
    </row>
    <row r="7123" spans="1:5" hidden="1" x14ac:dyDescent="0.3">
      <c r="A7123" t="s">
        <v>557</v>
      </c>
      <c r="B7123" t="s">
        <v>725</v>
      </c>
      <c r="C7123" t="s">
        <v>688</v>
      </c>
      <c r="D7123" s="230">
        <v>0</v>
      </c>
      <c r="E7123" t="s">
        <v>726</v>
      </c>
    </row>
    <row r="7124" spans="1:5" hidden="1" x14ac:dyDescent="0.3">
      <c r="A7124" t="s">
        <v>557</v>
      </c>
      <c r="B7124" t="s">
        <v>725</v>
      </c>
      <c r="C7124" t="s">
        <v>689</v>
      </c>
      <c r="D7124" s="230">
        <v>0</v>
      </c>
      <c r="E7124" t="s">
        <v>726</v>
      </c>
    </row>
    <row r="7125" spans="1:5" hidden="1" x14ac:dyDescent="0.3">
      <c r="A7125" t="s">
        <v>557</v>
      </c>
      <c r="B7125" t="s">
        <v>725</v>
      </c>
      <c r="C7125" t="s">
        <v>690</v>
      </c>
      <c r="D7125" s="230">
        <v>-2000</v>
      </c>
      <c r="E7125" t="s">
        <v>726</v>
      </c>
    </row>
    <row r="7126" spans="1:5" hidden="1" x14ac:dyDescent="0.3">
      <c r="A7126" t="s">
        <v>557</v>
      </c>
      <c r="B7126" t="s">
        <v>725</v>
      </c>
      <c r="C7126" t="s">
        <v>691</v>
      </c>
      <c r="D7126" s="230">
        <v>0</v>
      </c>
      <c r="E7126" t="s">
        <v>726</v>
      </c>
    </row>
    <row r="7127" spans="1:5" hidden="1" x14ac:dyDescent="0.3">
      <c r="A7127" t="s">
        <v>557</v>
      </c>
      <c r="B7127" t="s">
        <v>725</v>
      </c>
      <c r="C7127" t="s">
        <v>692</v>
      </c>
      <c r="D7127" s="230">
        <v>-2411.7800000000002</v>
      </c>
      <c r="E7127" t="s">
        <v>726</v>
      </c>
    </row>
    <row r="7128" spans="1:5" hidden="1" x14ac:dyDescent="0.3">
      <c r="A7128" t="s">
        <v>557</v>
      </c>
      <c r="B7128" t="s">
        <v>725</v>
      </c>
      <c r="C7128" t="s">
        <v>693</v>
      </c>
      <c r="D7128" s="230">
        <v>0</v>
      </c>
      <c r="E7128" t="s">
        <v>726</v>
      </c>
    </row>
    <row r="7129" spans="1:5" hidden="1" x14ac:dyDescent="0.3">
      <c r="A7129" t="s">
        <v>557</v>
      </c>
      <c r="B7129" t="s">
        <v>725</v>
      </c>
      <c r="C7129" t="s">
        <v>694</v>
      </c>
      <c r="D7129" s="230">
        <v>0</v>
      </c>
      <c r="E7129" t="s">
        <v>726</v>
      </c>
    </row>
    <row r="7130" spans="1:5" hidden="1" x14ac:dyDescent="0.3">
      <c r="A7130" t="s">
        <v>557</v>
      </c>
      <c r="B7130" t="s">
        <v>725</v>
      </c>
      <c r="C7130" t="s">
        <v>238</v>
      </c>
      <c r="D7130" s="230">
        <v>-5694.61</v>
      </c>
      <c r="E7130" t="s">
        <v>726</v>
      </c>
    </row>
    <row r="7131" spans="1:5" hidden="1" x14ac:dyDescent="0.3">
      <c r="A7131" t="s">
        <v>557</v>
      </c>
      <c r="B7131" t="s">
        <v>725</v>
      </c>
      <c r="C7131" t="s">
        <v>695</v>
      </c>
      <c r="D7131" s="230">
        <v>-5610.64</v>
      </c>
      <c r="E7131" t="s">
        <v>726</v>
      </c>
    </row>
    <row r="7132" spans="1:5" hidden="1" x14ac:dyDescent="0.3">
      <c r="A7132" t="s">
        <v>557</v>
      </c>
      <c r="B7132" t="s">
        <v>725</v>
      </c>
      <c r="C7132" t="s">
        <v>696</v>
      </c>
      <c r="D7132" s="230">
        <v>0</v>
      </c>
      <c r="E7132" t="s">
        <v>726</v>
      </c>
    </row>
    <row r="7133" spans="1:5" hidden="1" x14ac:dyDescent="0.3">
      <c r="A7133" t="s">
        <v>557</v>
      </c>
      <c r="B7133" t="s">
        <v>725</v>
      </c>
      <c r="C7133" t="s">
        <v>697</v>
      </c>
      <c r="D7133" s="230">
        <v>0</v>
      </c>
      <c r="E7133" t="s">
        <v>726</v>
      </c>
    </row>
    <row r="7134" spans="1:5" hidden="1" x14ac:dyDescent="0.3">
      <c r="A7134" t="s">
        <v>557</v>
      </c>
      <c r="B7134" t="s">
        <v>725</v>
      </c>
      <c r="C7134" t="s">
        <v>698</v>
      </c>
      <c r="D7134" s="230">
        <v>-83.97</v>
      </c>
      <c r="E7134" t="s">
        <v>726</v>
      </c>
    </row>
    <row r="7135" spans="1:5" hidden="1" x14ac:dyDescent="0.3">
      <c r="A7135" t="s">
        <v>557</v>
      </c>
      <c r="B7135" t="s">
        <v>725</v>
      </c>
      <c r="C7135" t="s">
        <v>699</v>
      </c>
      <c r="D7135" s="230">
        <v>0</v>
      </c>
      <c r="E7135" t="s">
        <v>726</v>
      </c>
    </row>
    <row r="7136" spans="1:5" hidden="1" x14ac:dyDescent="0.3">
      <c r="A7136" t="s">
        <v>557</v>
      </c>
      <c r="B7136" t="s">
        <v>725</v>
      </c>
      <c r="C7136" t="s">
        <v>245</v>
      </c>
      <c r="D7136" s="230">
        <v>-10744.63</v>
      </c>
      <c r="E7136" t="s">
        <v>726</v>
      </c>
    </row>
    <row r="7137" spans="1:5" hidden="1" x14ac:dyDescent="0.3">
      <c r="A7137" t="s">
        <v>557</v>
      </c>
      <c r="B7137" t="s">
        <v>725</v>
      </c>
      <c r="C7137" t="s">
        <v>700</v>
      </c>
      <c r="D7137" s="230">
        <v>-136</v>
      </c>
      <c r="E7137" t="s">
        <v>726</v>
      </c>
    </row>
    <row r="7138" spans="1:5" hidden="1" x14ac:dyDescent="0.3">
      <c r="A7138" t="s">
        <v>557</v>
      </c>
      <c r="B7138" t="s">
        <v>725</v>
      </c>
      <c r="C7138" t="s">
        <v>701</v>
      </c>
      <c r="D7138" s="230">
        <v>-668.85</v>
      </c>
      <c r="E7138" t="s">
        <v>726</v>
      </c>
    </row>
    <row r="7139" spans="1:5" hidden="1" x14ac:dyDescent="0.3">
      <c r="A7139" t="s">
        <v>557</v>
      </c>
      <c r="B7139" t="s">
        <v>725</v>
      </c>
      <c r="C7139" t="s">
        <v>702</v>
      </c>
      <c r="D7139" s="230">
        <v>0</v>
      </c>
      <c r="E7139" t="s">
        <v>726</v>
      </c>
    </row>
    <row r="7140" spans="1:5" hidden="1" x14ac:dyDescent="0.3">
      <c r="A7140" t="s">
        <v>557</v>
      </c>
      <c r="B7140" t="s">
        <v>725</v>
      </c>
      <c r="C7140" t="s">
        <v>703</v>
      </c>
      <c r="D7140" s="230">
        <v>0</v>
      </c>
      <c r="E7140" t="s">
        <v>726</v>
      </c>
    </row>
    <row r="7141" spans="1:5" hidden="1" x14ac:dyDescent="0.3">
      <c r="A7141" t="s">
        <v>557</v>
      </c>
      <c r="B7141" t="s">
        <v>725</v>
      </c>
      <c r="C7141" t="s">
        <v>704</v>
      </c>
      <c r="D7141" s="230">
        <v>0</v>
      </c>
      <c r="E7141" t="s">
        <v>726</v>
      </c>
    </row>
    <row r="7142" spans="1:5" hidden="1" x14ac:dyDescent="0.3">
      <c r="A7142" t="s">
        <v>557</v>
      </c>
      <c r="B7142" t="s">
        <v>725</v>
      </c>
      <c r="C7142" t="s">
        <v>705</v>
      </c>
      <c r="D7142" s="230">
        <v>-9939.7800000000007</v>
      </c>
      <c r="E7142" t="s">
        <v>726</v>
      </c>
    </row>
    <row r="7143" spans="1:5" hidden="1" x14ac:dyDescent="0.3">
      <c r="A7143" t="s">
        <v>557</v>
      </c>
      <c r="B7143" t="s">
        <v>725</v>
      </c>
      <c r="C7143" t="s">
        <v>706</v>
      </c>
      <c r="D7143" s="230">
        <v>0</v>
      </c>
      <c r="E7143" t="s">
        <v>726</v>
      </c>
    </row>
    <row r="7144" spans="1:5" hidden="1" x14ac:dyDescent="0.3">
      <c r="A7144" t="s">
        <v>557</v>
      </c>
      <c r="B7144" t="s">
        <v>725</v>
      </c>
      <c r="C7144" t="s">
        <v>254</v>
      </c>
      <c r="D7144" s="230">
        <v>-0.36</v>
      </c>
      <c r="E7144" t="s">
        <v>726</v>
      </c>
    </row>
    <row r="7145" spans="1:5" hidden="1" x14ac:dyDescent="0.3">
      <c r="A7145" t="s">
        <v>557</v>
      </c>
      <c r="B7145" t="s">
        <v>725</v>
      </c>
      <c r="C7145" t="s">
        <v>255</v>
      </c>
      <c r="D7145" s="230">
        <v>-0.35</v>
      </c>
      <c r="E7145" t="s">
        <v>726</v>
      </c>
    </row>
    <row r="7146" spans="1:5" hidden="1" x14ac:dyDescent="0.3">
      <c r="A7146" t="s">
        <v>557</v>
      </c>
      <c r="B7146" t="s">
        <v>725</v>
      </c>
      <c r="C7146" t="s">
        <v>256</v>
      </c>
      <c r="D7146" s="230">
        <v>-51752.37</v>
      </c>
      <c r="E7146" t="s">
        <v>726</v>
      </c>
    </row>
    <row r="7147" spans="1:5" hidden="1" x14ac:dyDescent="0.3">
      <c r="A7147" t="s">
        <v>557</v>
      </c>
      <c r="B7147" t="s">
        <v>725</v>
      </c>
      <c r="C7147" t="s">
        <v>257</v>
      </c>
      <c r="D7147" s="230">
        <v>-49305.7</v>
      </c>
      <c r="E7147" t="s">
        <v>726</v>
      </c>
    </row>
    <row r="7148" spans="1:5" hidden="1" x14ac:dyDescent="0.3">
      <c r="A7148" t="s">
        <v>557</v>
      </c>
      <c r="B7148" t="s">
        <v>725</v>
      </c>
      <c r="C7148" t="s">
        <v>258</v>
      </c>
      <c r="D7148" s="230">
        <v>0</v>
      </c>
      <c r="E7148" t="s">
        <v>726</v>
      </c>
    </row>
    <row r="7149" spans="1:5" hidden="1" x14ac:dyDescent="0.3">
      <c r="A7149" t="s">
        <v>557</v>
      </c>
      <c r="B7149" t="s">
        <v>725</v>
      </c>
      <c r="C7149" t="s">
        <v>259</v>
      </c>
      <c r="D7149" s="230">
        <v>-2446.67</v>
      </c>
      <c r="E7149" t="s">
        <v>726</v>
      </c>
    </row>
    <row r="7150" spans="1:5" hidden="1" x14ac:dyDescent="0.3">
      <c r="A7150" t="s">
        <v>557</v>
      </c>
      <c r="B7150" t="s">
        <v>725</v>
      </c>
      <c r="C7150" t="s">
        <v>260</v>
      </c>
      <c r="D7150" s="230">
        <v>0</v>
      </c>
      <c r="E7150" t="s">
        <v>726</v>
      </c>
    </row>
    <row r="7151" spans="1:5" hidden="1" x14ac:dyDescent="0.3">
      <c r="A7151" t="s">
        <v>557</v>
      </c>
      <c r="B7151" t="s">
        <v>725</v>
      </c>
      <c r="C7151" t="s">
        <v>261</v>
      </c>
      <c r="D7151" s="230">
        <v>0</v>
      </c>
      <c r="E7151" t="s">
        <v>726</v>
      </c>
    </row>
    <row r="7152" spans="1:5" hidden="1" x14ac:dyDescent="0.3">
      <c r="A7152" t="s">
        <v>557</v>
      </c>
      <c r="B7152" t="s">
        <v>725</v>
      </c>
      <c r="C7152" t="s">
        <v>262</v>
      </c>
      <c r="D7152" s="230">
        <v>0</v>
      </c>
      <c r="E7152" t="s">
        <v>726</v>
      </c>
    </row>
    <row r="7153" spans="1:5" hidden="1" x14ac:dyDescent="0.3">
      <c r="A7153" t="s">
        <v>557</v>
      </c>
      <c r="B7153" t="s">
        <v>725</v>
      </c>
      <c r="C7153" t="s">
        <v>263</v>
      </c>
      <c r="D7153" s="230">
        <v>0</v>
      </c>
      <c r="E7153" t="s">
        <v>726</v>
      </c>
    </row>
    <row r="7154" spans="1:5" hidden="1" x14ac:dyDescent="0.3">
      <c r="A7154" t="s">
        <v>557</v>
      </c>
      <c r="B7154" t="s">
        <v>725</v>
      </c>
      <c r="C7154" t="s">
        <v>44</v>
      </c>
      <c r="D7154" s="230">
        <v>-0.12</v>
      </c>
      <c r="E7154" t="s">
        <v>726</v>
      </c>
    </row>
    <row r="7155" spans="1:5" hidden="1" x14ac:dyDescent="0.3">
      <c r="A7155" t="s">
        <v>557</v>
      </c>
      <c r="B7155" t="s">
        <v>725</v>
      </c>
      <c r="C7155" t="s">
        <v>264</v>
      </c>
      <c r="D7155" s="230">
        <v>-40191.660000000003</v>
      </c>
      <c r="E7155" t="s">
        <v>726</v>
      </c>
    </row>
    <row r="7156" spans="1:5" hidden="1" x14ac:dyDescent="0.3">
      <c r="A7156" t="s">
        <v>557</v>
      </c>
      <c r="B7156" t="s">
        <v>725</v>
      </c>
      <c r="C7156" t="s">
        <v>265</v>
      </c>
      <c r="D7156" s="230">
        <v>-7114.39</v>
      </c>
      <c r="E7156" t="s">
        <v>726</v>
      </c>
    </row>
    <row r="7157" spans="1:5" hidden="1" x14ac:dyDescent="0.3">
      <c r="A7157" t="s">
        <v>557</v>
      </c>
      <c r="B7157" t="s">
        <v>725</v>
      </c>
      <c r="C7157" t="s">
        <v>266</v>
      </c>
      <c r="D7157" s="230">
        <v>-12686.81</v>
      </c>
      <c r="E7157" t="s">
        <v>726</v>
      </c>
    </row>
    <row r="7158" spans="1:5" hidden="1" x14ac:dyDescent="0.3">
      <c r="A7158" t="s">
        <v>557</v>
      </c>
      <c r="B7158" t="s">
        <v>725</v>
      </c>
      <c r="C7158" t="s">
        <v>267</v>
      </c>
      <c r="D7158" s="230">
        <v>-5987.76</v>
      </c>
      <c r="E7158" t="s">
        <v>726</v>
      </c>
    </row>
    <row r="7159" spans="1:5" hidden="1" x14ac:dyDescent="0.3">
      <c r="A7159" t="s">
        <v>557</v>
      </c>
      <c r="B7159" t="s">
        <v>725</v>
      </c>
      <c r="C7159" t="s">
        <v>268</v>
      </c>
      <c r="D7159" s="230">
        <v>-7357.46</v>
      </c>
      <c r="E7159" t="s">
        <v>726</v>
      </c>
    </row>
    <row r="7160" spans="1:5" hidden="1" x14ac:dyDescent="0.3">
      <c r="A7160" t="s">
        <v>557</v>
      </c>
      <c r="B7160" t="s">
        <v>725</v>
      </c>
      <c r="C7160" t="s">
        <v>269</v>
      </c>
      <c r="D7160" s="230">
        <v>0</v>
      </c>
      <c r="E7160" t="s">
        <v>726</v>
      </c>
    </row>
    <row r="7161" spans="1:5" hidden="1" x14ac:dyDescent="0.3">
      <c r="A7161" t="s">
        <v>557</v>
      </c>
      <c r="B7161" t="s">
        <v>725</v>
      </c>
      <c r="C7161" t="s">
        <v>270</v>
      </c>
      <c r="D7161" s="230">
        <v>-500</v>
      </c>
      <c r="E7161" t="s">
        <v>726</v>
      </c>
    </row>
    <row r="7162" spans="1:5" hidden="1" x14ac:dyDescent="0.3">
      <c r="A7162" t="s">
        <v>557</v>
      </c>
      <c r="B7162" t="s">
        <v>725</v>
      </c>
      <c r="C7162" t="s">
        <v>271</v>
      </c>
      <c r="D7162" s="230">
        <v>-816.24</v>
      </c>
      <c r="E7162" t="s">
        <v>726</v>
      </c>
    </row>
    <row r="7163" spans="1:5" hidden="1" x14ac:dyDescent="0.3">
      <c r="A7163" t="s">
        <v>557</v>
      </c>
      <c r="B7163" t="s">
        <v>725</v>
      </c>
      <c r="C7163" t="s">
        <v>272</v>
      </c>
      <c r="D7163" s="230">
        <v>-416.3</v>
      </c>
      <c r="E7163" t="s">
        <v>726</v>
      </c>
    </row>
    <row r="7164" spans="1:5" hidden="1" x14ac:dyDescent="0.3">
      <c r="A7164" t="s">
        <v>557</v>
      </c>
      <c r="B7164" t="s">
        <v>725</v>
      </c>
      <c r="C7164" t="s">
        <v>273</v>
      </c>
      <c r="D7164" s="230">
        <v>-727.59</v>
      </c>
      <c r="E7164" t="s">
        <v>726</v>
      </c>
    </row>
    <row r="7165" spans="1:5" hidden="1" x14ac:dyDescent="0.3">
      <c r="A7165" t="s">
        <v>557</v>
      </c>
      <c r="B7165" t="s">
        <v>725</v>
      </c>
      <c r="C7165" t="s">
        <v>274</v>
      </c>
      <c r="D7165" s="230">
        <v>0</v>
      </c>
      <c r="E7165" t="s">
        <v>726</v>
      </c>
    </row>
    <row r="7166" spans="1:5" hidden="1" x14ac:dyDescent="0.3">
      <c r="A7166" t="s">
        <v>557</v>
      </c>
      <c r="B7166" t="s">
        <v>725</v>
      </c>
      <c r="C7166" t="s">
        <v>275</v>
      </c>
      <c r="D7166" s="230">
        <v>-376.89</v>
      </c>
      <c r="E7166" t="s">
        <v>726</v>
      </c>
    </row>
    <row r="7167" spans="1:5" hidden="1" x14ac:dyDescent="0.3">
      <c r="A7167" t="s">
        <v>557</v>
      </c>
      <c r="B7167" t="s">
        <v>725</v>
      </c>
      <c r="C7167" t="s">
        <v>276</v>
      </c>
      <c r="D7167" s="230">
        <v>0</v>
      </c>
      <c r="E7167" t="s">
        <v>726</v>
      </c>
    </row>
    <row r="7168" spans="1:5" hidden="1" x14ac:dyDescent="0.3">
      <c r="A7168" t="s">
        <v>557</v>
      </c>
      <c r="B7168" t="s">
        <v>725</v>
      </c>
      <c r="C7168" t="s">
        <v>277</v>
      </c>
      <c r="D7168" s="230">
        <v>0</v>
      </c>
      <c r="E7168" t="s">
        <v>726</v>
      </c>
    </row>
    <row r="7169" spans="1:5" hidden="1" x14ac:dyDescent="0.3">
      <c r="A7169" t="s">
        <v>557</v>
      </c>
      <c r="B7169" t="s">
        <v>725</v>
      </c>
      <c r="C7169" t="s">
        <v>278</v>
      </c>
      <c r="D7169" s="230">
        <v>-4208.22</v>
      </c>
      <c r="E7169" t="s">
        <v>726</v>
      </c>
    </row>
    <row r="7170" spans="1:5" hidden="1" x14ac:dyDescent="0.3">
      <c r="A7170" t="s">
        <v>557</v>
      </c>
      <c r="B7170" t="s">
        <v>725</v>
      </c>
      <c r="C7170" t="s">
        <v>44</v>
      </c>
      <c r="D7170" s="230">
        <v>-0.1</v>
      </c>
      <c r="E7170" t="s">
        <v>726</v>
      </c>
    </row>
    <row r="7171" spans="1:5" hidden="1" x14ac:dyDescent="0.3">
      <c r="A7171" t="s">
        <v>557</v>
      </c>
      <c r="B7171" t="s">
        <v>725</v>
      </c>
      <c r="C7171" t="s">
        <v>279</v>
      </c>
      <c r="D7171" s="230">
        <v>-7215.33</v>
      </c>
      <c r="E7171" t="s">
        <v>726</v>
      </c>
    </row>
    <row r="7172" spans="1:5" hidden="1" x14ac:dyDescent="0.3">
      <c r="A7172" t="s">
        <v>557</v>
      </c>
      <c r="B7172" t="s">
        <v>725</v>
      </c>
      <c r="C7172" t="s">
        <v>280</v>
      </c>
      <c r="D7172" s="230">
        <v>-299.89999999999998</v>
      </c>
      <c r="E7172" t="s">
        <v>726</v>
      </c>
    </row>
    <row r="7173" spans="1:5" hidden="1" x14ac:dyDescent="0.3">
      <c r="A7173" t="s">
        <v>557</v>
      </c>
      <c r="B7173" t="s">
        <v>725</v>
      </c>
      <c r="C7173" t="s">
        <v>281</v>
      </c>
      <c r="D7173" s="230">
        <v>-386.92</v>
      </c>
      <c r="E7173" t="s">
        <v>726</v>
      </c>
    </row>
    <row r="7174" spans="1:5" hidden="1" x14ac:dyDescent="0.3">
      <c r="A7174" t="s">
        <v>557</v>
      </c>
      <c r="B7174" t="s">
        <v>725</v>
      </c>
      <c r="C7174" t="s">
        <v>282</v>
      </c>
      <c r="D7174" s="230">
        <v>-346.25</v>
      </c>
      <c r="E7174" t="s">
        <v>726</v>
      </c>
    </row>
    <row r="7175" spans="1:5" hidden="1" x14ac:dyDescent="0.3">
      <c r="A7175" t="s">
        <v>557</v>
      </c>
      <c r="B7175" t="s">
        <v>725</v>
      </c>
      <c r="C7175" t="s">
        <v>283</v>
      </c>
      <c r="D7175" s="230">
        <v>-276.69</v>
      </c>
      <c r="E7175" t="s">
        <v>726</v>
      </c>
    </row>
    <row r="7176" spans="1:5" hidden="1" x14ac:dyDescent="0.3">
      <c r="A7176" t="s">
        <v>557</v>
      </c>
      <c r="B7176" t="s">
        <v>725</v>
      </c>
      <c r="C7176" t="s">
        <v>284</v>
      </c>
      <c r="D7176" s="230">
        <v>-5905.57</v>
      </c>
      <c r="E7176" t="s">
        <v>726</v>
      </c>
    </row>
    <row r="7177" spans="1:5" hidden="1" x14ac:dyDescent="0.3">
      <c r="A7177" t="s">
        <v>557</v>
      </c>
      <c r="B7177" t="s">
        <v>725</v>
      </c>
      <c r="C7177" t="s">
        <v>285</v>
      </c>
      <c r="D7177" s="230">
        <v>0</v>
      </c>
      <c r="E7177" t="s">
        <v>726</v>
      </c>
    </row>
    <row r="7178" spans="1:5" hidden="1" x14ac:dyDescent="0.3">
      <c r="A7178" t="s">
        <v>557</v>
      </c>
      <c r="B7178" t="s">
        <v>725</v>
      </c>
      <c r="C7178" t="s">
        <v>286</v>
      </c>
      <c r="D7178" s="230">
        <v>0</v>
      </c>
      <c r="E7178" t="s">
        <v>726</v>
      </c>
    </row>
    <row r="7179" spans="1:5" hidden="1" x14ac:dyDescent="0.3">
      <c r="A7179" t="s">
        <v>557</v>
      </c>
      <c r="B7179" t="s">
        <v>725</v>
      </c>
      <c r="C7179" t="s">
        <v>44</v>
      </c>
      <c r="D7179" s="230">
        <v>0</v>
      </c>
      <c r="E7179" t="s">
        <v>726</v>
      </c>
    </row>
    <row r="7180" spans="1:5" hidden="1" x14ac:dyDescent="0.3">
      <c r="A7180" t="s">
        <v>557</v>
      </c>
      <c r="B7180" t="s">
        <v>725</v>
      </c>
      <c r="C7180" t="s">
        <v>287</v>
      </c>
      <c r="D7180" s="230">
        <v>-5273.12</v>
      </c>
      <c r="E7180" t="s">
        <v>726</v>
      </c>
    </row>
    <row r="7181" spans="1:5" hidden="1" x14ac:dyDescent="0.3">
      <c r="A7181" t="s">
        <v>557</v>
      </c>
      <c r="B7181" t="s">
        <v>725</v>
      </c>
      <c r="C7181" t="s">
        <v>288</v>
      </c>
      <c r="D7181" s="230">
        <v>-5170.01</v>
      </c>
      <c r="E7181" t="s">
        <v>726</v>
      </c>
    </row>
    <row r="7182" spans="1:5" hidden="1" x14ac:dyDescent="0.3">
      <c r="A7182" t="s">
        <v>557</v>
      </c>
      <c r="B7182" t="s">
        <v>725</v>
      </c>
      <c r="C7182" t="s">
        <v>289</v>
      </c>
      <c r="D7182" s="230">
        <v>0</v>
      </c>
      <c r="E7182" t="s">
        <v>726</v>
      </c>
    </row>
    <row r="7183" spans="1:5" hidden="1" x14ac:dyDescent="0.3">
      <c r="A7183" t="s">
        <v>557</v>
      </c>
      <c r="B7183" t="s">
        <v>725</v>
      </c>
      <c r="C7183" t="s">
        <v>290</v>
      </c>
      <c r="D7183" s="230">
        <v>0</v>
      </c>
      <c r="E7183" t="s">
        <v>726</v>
      </c>
    </row>
    <row r="7184" spans="1:5" hidden="1" x14ac:dyDescent="0.3">
      <c r="A7184" t="s">
        <v>557</v>
      </c>
      <c r="B7184" t="s">
        <v>725</v>
      </c>
      <c r="C7184" t="s">
        <v>291</v>
      </c>
      <c r="D7184" s="230">
        <v>0</v>
      </c>
      <c r="E7184" t="s">
        <v>726</v>
      </c>
    </row>
    <row r="7185" spans="1:5" hidden="1" x14ac:dyDescent="0.3">
      <c r="A7185" t="s">
        <v>557</v>
      </c>
      <c r="B7185" t="s">
        <v>725</v>
      </c>
      <c r="C7185" t="s">
        <v>292</v>
      </c>
      <c r="D7185" s="230">
        <v>0</v>
      </c>
      <c r="E7185" t="s">
        <v>726</v>
      </c>
    </row>
    <row r="7186" spans="1:5" hidden="1" x14ac:dyDescent="0.3">
      <c r="A7186" t="s">
        <v>557</v>
      </c>
      <c r="B7186" t="s">
        <v>725</v>
      </c>
      <c r="C7186" t="s">
        <v>293</v>
      </c>
      <c r="D7186" s="230">
        <v>0</v>
      </c>
      <c r="E7186" t="s">
        <v>726</v>
      </c>
    </row>
    <row r="7187" spans="1:5" hidden="1" x14ac:dyDescent="0.3">
      <c r="A7187" t="s">
        <v>557</v>
      </c>
      <c r="B7187" t="s">
        <v>725</v>
      </c>
      <c r="C7187" t="s">
        <v>294</v>
      </c>
      <c r="D7187" s="230">
        <v>-103.11</v>
      </c>
      <c r="E7187" t="s">
        <v>726</v>
      </c>
    </row>
    <row r="7188" spans="1:5" hidden="1" x14ac:dyDescent="0.3">
      <c r="A7188" t="s">
        <v>557</v>
      </c>
      <c r="B7188" t="s">
        <v>725</v>
      </c>
      <c r="C7188" t="s">
        <v>295</v>
      </c>
      <c r="D7188" s="230">
        <v>0</v>
      </c>
      <c r="E7188" t="s">
        <v>726</v>
      </c>
    </row>
    <row r="7189" spans="1:5" hidden="1" x14ac:dyDescent="0.3">
      <c r="A7189" t="s">
        <v>557</v>
      </c>
      <c r="B7189" t="s">
        <v>725</v>
      </c>
      <c r="C7189" t="s">
        <v>44</v>
      </c>
      <c r="D7189" s="230">
        <v>-0.01</v>
      </c>
      <c r="E7189" t="s">
        <v>726</v>
      </c>
    </row>
    <row r="7190" spans="1:5" hidden="1" x14ac:dyDescent="0.3">
      <c r="A7190" t="s">
        <v>557</v>
      </c>
      <c r="B7190" t="s">
        <v>725</v>
      </c>
      <c r="C7190" t="s">
        <v>296</v>
      </c>
      <c r="D7190" s="230">
        <v>-6118.26</v>
      </c>
      <c r="E7190" t="s">
        <v>726</v>
      </c>
    </row>
    <row r="7191" spans="1:5" hidden="1" x14ac:dyDescent="0.3">
      <c r="A7191" t="s">
        <v>557</v>
      </c>
      <c r="B7191" t="s">
        <v>725</v>
      </c>
      <c r="C7191" t="s">
        <v>297</v>
      </c>
      <c r="D7191" s="230">
        <v>-3500</v>
      </c>
      <c r="E7191" t="s">
        <v>726</v>
      </c>
    </row>
    <row r="7192" spans="1:5" hidden="1" x14ac:dyDescent="0.3">
      <c r="A7192" t="s">
        <v>557</v>
      </c>
      <c r="B7192" t="s">
        <v>725</v>
      </c>
      <c r="C7192" t="s">
        <v>298</v>
      </c>
      <c r="D7192" s="230">
        <v>-460</v>
      </c>
      <c r="E7192" t="s">
        <v>726</v>
      </c>
    </row>
    <row r="7193" spans="1:5" hidden="1" x14ac:dyDescent="0.3">
      <c r="A7193" t="s">
        <v>557</v>
      </c>
      <c r="B7193" t="s">
        <v>725</v>
      </c>
      <c r="C7193" t="s">
        <v>299</v>
      </c>
      <c r="D7193" s="230">
        <v>0</v>
      </c>
      <c r="E7193" t="s">
        <v>726</v>
      </c>
    </row>
    <row r="7194" spans="1:5" hidden="1" x14ac:dyDescent="0.3">
      <c r="A7194" t="s">
        <v>557</v>
      </c>
      <c r="B7194" t="s">
        <v>725</v>
      </c>
      <c r="C7194" t="s">
        <v>300</v>
      </c>
      <c r="D7194" s="230">
        <v>0</v>
      </c>
      <c r="E7194" t="s">
        <v>726</v>
      </c>
    </row>
    <row r="7195" spans="1:5" hidden="1" x14ac:dyDescent="0.3">
      <c r="A7195" t="s">
        <v>557</v>
      </c>
      <c r="B7195" t="s">
        <v>725</v>
      </c>
      <c r="C7195" t="s">
        <v>301</v>
      </c>
      <c r="D7195" s="230">
        <v>-340.5</v>
      </c>
      <c r="E7195" t="s">
        <v>726</v>
      </c>
    </row>
    <row r="7196" spans="1:5" hidden="1" x14ac:dyDescent="0.3">
      <c r="A7196" t="s">
        <v>557</v>
      </c>
      <c r="B7196" t="s">
        <v>725</v>
      </c>
      <c r="C7196" t="s">
        <v>302</v>
      </c>
      <c r="D7196" s="230">
        <v>0</v>
      </c>
      <c r="E7196" t="s">
        <v>726</v>
      </c>
    </row>
    <row r="7197" spans="1:5" hidden="1" x14ac:dyDescent="0.3">
      <c r="A7197" t="s">
        <v>557</v>
      </c>
      <c r="B7197" t="s">
        <v>725</v>
      </c>
      <c r="C7197" t="s">
        <v>303</v>
      </c>
      <c r="D7197" s="230">
        <v>0</v>
      </c>
      <c r="E7197" t="s">
        <v>726</v>
      </c>
    </row>
    <row r="7198" spans="1:5" hidden="1" x14ac:dyDescent="0.3">
      <c r="A7198" t="s">
        <v>557</v>
      </c>
      <c r="B7198" t="s">
        <v>725</v>
      </c>
      <c r="C7198" t="s">
        <v>304</v>
      </c>
      <c r="D7198" s="230">
        <v>-315.04000000000002</v>
      </c>
      <c r="E7198" t="s">
        <v>726</v>
      </c>
    </row>
    <row r="7199" spans="1:5" hidden="1" x14ac:dyDescent="0.3">
      <c r="A7199" t="s">
        <v>557</v>
      </c>
      <c r="B7199" t="s">
        <v>725</v>
      </c>
      <c r="C7199" t="s">
        <v>305</v>
      </c>
      <c r="D7199" s="230">
        <v>-87.02</v>
      </c>
      <c r="E7199" t="s">
        <v>726</v>
      </c>
    </row>
    <row r="7200" spans="1:5" hidden="1" x14ac:dyDescent="0.3">
      <c r="A7200" t="s">
        <v>557</v>
      </c>
      <c r="B7200" t="s">
        <v>725</v>
      </c>
      <c r="C7200" t="s">
        <v>306</v>
      </c>
      <c r="D7200" s="230">
        <v>0</v>
      </c>
      <c r="E7200" t="s">
        <v>726</v>
      </c>
    </row>
    <row r="7201" spans="1:5" hidden="1" x14ac:dyDescent="0.3">
      <c r="A7201" t="s">
        <v>557</v>
      </c>
      <c r="B7201" t="s">
        <v>725</v>
      </c>
      <c r="C7201" t="s">
        <v>307</v>
      </c>
      <c r="D7201" s="230">
        <v>-1415.7</v>
      </c>
      <c r="E7201" t="s">
        <v>726</v>
      </c>
    </row>
    <row r="7202" spans="1:5" hidden="1" x14ac:dyDescent="0.3">
      <c r="A7202" t="s">
        <v>557</v>
      </c>
      <c r="B7202" t="s">
        <v>725</v>
      </c>
      <c r="C7202" t="s">
        <v>44</v>
      </c>
      <c r="D7202" s="230">
        <v>-0.01</v>
      </c>
      <c r="E7202" t="s">
        <v>726</v>
      </c>
    </row>
    <row r="7203" spans="1:5" hidden="1" x14ac:dyDescent="0.3">
      <c r="A7203" t="s">
        <v>557</v>
      </c>
      <c r="B7203" t="s">
        <v>725</v>
      </c>
      <c r="C7203" t="s">
        <v>308</v>
      </c>
      <c r="D7203" s="230">
        <v>-2710.55</v>
      </c>
      <c r="E7203" t="s">
        <v>726</v>
      </c>
    </row>
    <row r="7204" spans="1:5" hidden="1" x14ac:dyDescent="0.3">
      <c r="A7204" t="s">
        <v>557</v>
      </c>
      <c r="B7204" t="s">
        <v>725</v>
      </c>
      <c r="C7204" t="s">
        <v>309</v>
      </c>
      <c r="D7204" s="230">
        <v>-1850</v>
      </c>
      <c r="E7204" t="s">
        <v>726</v>
      </c>
    </row>
    <row r="7205" spans="1:5" hidden="1" x14ac:dyDescent="0.3">
      <c r="A7205" t="s">
        <v>557</v>
      </c>
      <c r="B7205" t="s">
        <v>725</v>
      </c>
      <c r="C7205" t="s">
        <v>310</v>
      </c>
      <c r="D7205" s="230">
        <v>0</v>
      </c>
      <c r="E7205" t="s">
        <v>726</v>
      </c>
    </row>
    <row r="7206" spans="1:5" hidden="1" x14ac:dyDescent="0.3">
      <c r="A7206" t="s">
        <v>557</v>
      </c>
      <c r="B7206" t="s">
        <v>725</v>
      </c>
      <c r="C7206" t="s">
        <v>311</v>
      </c>
      <c r="D7206" s="230">
        <v>-860.55</v>
      </c>
      <c r="E7206" t="s">
        <v>726</v>
      </c>
    </row>
    <row r="7207" spans="1:5" hidden="1" x14ac:dyDescent="0.3">
      <c r="A7207" t="s">
        <v>557</v>
      </c>
      <c r="B7207" t="s">
        <v>725</v>
      </c>
      <c r="C7207" t="s">
        <v>312</v>
      </c>
      <c r="D7207" s="230">
        <v>0</v>
      </c>
      <c r="E7207" t="s">
        <v>726</v>
      </c>
    </row>
    <row r="7208" spans="1:5" hidden="1" x14ac:dyDescent="0.3">
      <c r="A7208" t="s">
        <v>557</v>
      </c>
      <c r="B7208" t="s">
        <v>725</v>
      </c>
      <c r="C7208" t="s">
        <v>313</v>
      </c>
      <c r="D7208" s="230">
        <v>0</v>
      </c>
      <c r="E7208" t="s">
        <v>726</v>
      </c>
    </row>
    <row r="7209" spans="1:5" hidden="1" x14ac:dyDescent="0.3">
      <c r="A7209" t="s">
        <v>557</v>
      </c>
      <c r="B7209" t="s">
        <v>725</v>
      </c>
      <c r="C7209" t="s">
        <v>314</v>
      </c>
      <c r="D7209" s="230">
        <v>0</v>
      </c>
      <c r="E7209" t="s">
        <v>726</v>
      </c>
    </row>
    <row r="7210" spans="1:5" hidden="1" x14ac:dyDescent="0.3">
      <c r="A7210" t="s">
        <v>557</v>
      </c>
      <c r="B7210" t="s">
        <v>725</v>
      </c>
      <c r="C7210" t="s">
        <v>315</v>
      </c>
      <c r="D7210" s="230">
        <v>0</v>
      </c>
      <c r="E7210" t="s">
        <v>726</v>
      </c>
    </row>
    <row r="7211" spans="1:5" hidden="1" x14ac:dyDescent="0.3">
      <c r="A7211" t="s">
        <v>557</v>
      </c>
      <c r="B7211" t="s">
        <v>725</v>
      </c>
      <c r="C7211" t="s">
        <v>316</v>
      </c>
      <c r="D7211" s="230">
        <v>0</v>
      </c>
      <c r="E7211" t="s">
        <v>726</v>
      </c>
    </row>
    <row r="7212" spans="1:5" hidden="1" x14ac:dyDescent="0.3">
      <c r="A7212" t="s">
        <v>557</v>
      </c>
      <c r="B7212" t="s">
        <v>725</v>
      </c>
      <c r="C7212" t="s">
        <v>317</v>
      </c>
      <c r="D7212" s="230">
        <v>0</v>
      </c>
      <c r="E7212" t="s">
        <v>726</v>
      </c>
    </row>
    <row r="7213" spans="1:5" hidden="1" x14ac:dyDescent="0.3">
      <c r="A7213" t="s">
        <v>557</v>
      </c>
      <c r="B7213" t="s">
        <v>725</v>
      </c>
      <c r="C7213" t="s">
        <v>44</v>
      </c>
      <c r="D7213" s="230">
        <v>-0.01</v>
      </c>
      <c r="E7213" t="s">
        <v>726</v>
      </c>
    </row>
    <row r="7214" spans="1:5" hidden="1" x14ac:dyDescent="0.3">
      <c r="A7214" t="s">
        <v>557</v>
      </c>
      <c r="B7214" t="s">
        <v>725</v>
      </c>
      <c r="C7214" t="s">
        <v>318</v>
      </c>
      <c r="D7214" s="230">
        <v>-2235.92</v>
      </c>
      <c r="E7214" t="s">
        <v>726</v>
      </c>
    </row>
    <row r="7215" spans="1:5" hidden="1" x14ac:dyDescent="0.3">
      <c r="A7215" t="s">
        <v>557</v>
      </c>
      <c r="B7215" t="s">
        <v>725</v>
      </c>
      <c r="C7215" t="s">
        <v>319</v>
      </c>
      <c r="D7215" s="230">
        <v>-2235.92</v>
      </c>
      <c r="E7215" t="s">
        <v>726</v>
      </c>
    </row>
    <row r="7216" spans="1:5" hidden="1" x14ac:dyDescent="0.3">
      <c r="A7216" t="s">
        <v>557</v>
      </c>
      <c r="B7216" t="s">
        <v>725</v>
      </c>
      <c r="C7216" t="s">
        <v>320</v>
      </c>
      <c r="D7216" s="230">
        <v>0</v>
      </c>
      <c r="E7216" t="s">
        <v>726</v>
      </c>
    </row>
    <row r="7217" spans="1:5" hidden="1" x14ac:dyDescent="0.3">
      <c r="A7217" t="s">
        <v>557</v>
      </c>
      <c r="B7217" t="s">
        <v>725</v>
      </c>
      <c r="C7217" t="s">
        <v>321</v>
      </c>
      <c r="D7217" s="230">
        <v>0</v>
      </c>
      <c r="E7217" t="s">
        <v>726</v>
      </c>
    </row>
    <row r="7218" spans="1:5" hidden="1" x14ac:dyDescent="0.3">
      <c r="A7218" t="s">
        <v>557</v>
      </c>
      <c r="B7218" t="s">
        <v>725</v>
      </c>
      <c r="C7218" t="s">
        <v>322</v>
      </c>
      <c r="D7218" s="230">
        <v>0</v>
      </c>
      <c r="E7218" t="s">
        <v>726</v>
      </c>
    </row>
    <row r="7219" spans="1:5" hidden="1" x14ac:dyDescent="0.3">
      <c r="A7219" t="s">
        <v>557</v>
      </c>
      <c r="B7219" t="s">
        <v>725</v>
      </c>
      <c r="C7219" t="s">
        <v>44</v>
      </c>
      <c r="D7219" s="230">
        <v>-0.01</v>
      </c>
      <c r="E7219" t="s">
        <v>726</v>
      </c>
    </row>
    <row r="7220" spans="1:5" hidden="1" x14ac:dyDescent="0.3">
      <c r="A7220" t="s">
        <v>557</v>
      </c>
      <c r="B7220" t="s">
        <v>725</v>
      </c>
      <c r="C7220" t="s">
        <v>323</v>
      </c>
      <c r="D7220" s="230">
        <v>-21010.6</v>
      </c>
      <c r="E7220" t="s">
        <v>726</v>
      </c>
    </row>
    <row r="7221" spans="1:5" hidden="1" x14ac:dyDescent="0.3">
      <c r="A7221" t="s">
        <v>557</v>
      </c>
      <c r="B7221" t="s">
        <v>725</v>
      </c>
      <c r="C7221" t="s">
        <v>324</v>
      </c>
      <c r="D7221" s="230">
        <v>0</v>
      </c>
      <c r="E7221" t="s">
        <v>726</v>
      </c>
    </row>
    <row r="7222" spans="1:5" hidden="1" x14ac:dyDescent="0.3">
      <c r="A7222" t="s">
        <v>557</v>
      </c>
      <c r="B7222" t="s">
        <v>725</v>
      </c>
      <c r="C7222" t="s">
        <v>325</v>
      </c>
      <c r="D7222" s="230">
        <v>0</v>
      </c>
      <c r="E7222" t="s">
        <v>726</v>
      </c>
    </row>
    <row r="7223" spans="1:5" hidden="1" x14ac:dyDescent="0.3">
      <c r="A7223" t="s">
        <v>557</v>
      </c>
      <c r="B7223" t="s">
        <v>725</v>
      </c>
      <c r="C7223" t="s">
        <v>326</v>
      </c>
      <c r="D7223" s="230">
        <v>-21010.6</v>
      </c>
      <c r="E7223" t="s">
        <v>726</v>
      </c>
    </row>
    <row r="7224" spans="1:5" hidden="1" x14ac:dyDescent="0.3">
      <c r="A7224" t="s">
        <v>557</v>
      </c>
      <c r="B7224" t="s">
        <v>725</v>
      </c>
      <c r="C7224" t="s">
        <v>44</v>
      </c>
      <c r="D7224" s="230">
        <v>-0.05</v>
      </c>
      <c r="E7224" t="s">
        <v>726</v>
      </c>
    </row>
    <row r="7225" spans="1:5" hidden="1" x14ac:dyDescent="0.3">
      <c r="A7225" t="s">
        <v>557</v>
      </c>
      <c r="B7225" t="s">
        <v>725</v>
      </c>
      <c r="C7225" t="s">
        <v>328</v>
      </c>
      <c r="D7225" s="230">
        <v>-257928.26</v>
      </c>
      <c r="E7225" t="s">
        <v>726</v>
      </c>
    </row>
    <row r="7226" spans="1:5" hidden="1" x14ac:dyDescent="0.3">
      <c r="A7226" t="s">
        <v>557</v>
      </c>
      <c r="B7226" t="s">
        <v>725</v>
      </c>
      <c r="C7226" t="s">
        <v>44</v>
      </c>
      <c r="D7226" s="230">
        <v>-0.61</v>
      </c>
      <c r="E7226" t="s">
        <v>726</v>
      </c>
    </row>
    <row r="7227" spans="1:5" hidden="1" x14ac:dyDescent="0.3">
      <c r="A7227" t="s">
        <v>557</v>
      </c>
      <c r="B7227" t="s">
        <v>725</v>
      </c>
      <c r="C7227" t="s">
        <v>329</v>
      </c>
      <c r="D7227" s="230">
        <v>-34919.72</v>
      </c>
      <c r="E7227" t="s">
        <v>726</v>
      </c>
    </row>
    <row r="7228" spans="1:5" hidden="1" x14ac:dyDescent="0.3">
      <c r="A7228" t="s">
        <v>557</v>
      </c>
      <c r="B7228" t="s">
        <v>725</v>
      </c>
      <c r="C7228" t="s">
        <v>44</v>
      </c>
      <c r="D7228" s="230">
        <v>-0.08</v>
      </c>
      <c r="E7228" t="s">
        <v>726</v>
      </c>
    </row>
    <row r="7229" spans="1:5" hidden="1" x14ac:dyDescent="0.3">
      <c r="A7229" t="s">
        <v>557</v>
      </c>
      <c r="B7229" t="s">
        <v>725</v>
      </c>
      <c r="C7229" t="s">
        <v>330</v>
      </c>
      <c r="D7229" s="230">
        <v>0</v>
      </c>
      <c r="E7229" t="s">
        <v>726</v>
      </c>
    </row>
    <row r="7230" spans="1:5" hidden="1" x14ac:dyDescent="0.3">
      <c r="A7230" t="s">
        <v>557</v>
      </c>
      <c r="B7230" t="s">
        <v>725</v>
      </c>
      <c r="C7230" t="s">
        <v>332</v>
      </c>
      <c r="D7230" s="230">
        <v>-34919.72</v>
      </c>
      <c r="E7230" t="s">
        <v>726</v>
      </c>
    </row>
    <row r="7231" spans="1:5" hidden="1" x14ac:dyDescent="0.3">
      <c r="A7231" t="s">
        <v>557</v>
      </c>
      <c r="B7231" t="s">
        <v>725</v>
      </c>
      <c r="C7231" t="s">
        <v>333</v>
      </c>
      <c r="D7231" s="230">
        <v>8197.51</v>
      </c>
      <c r="E7231" t="s">
        <v>726</v>
      </c>
    </row>
    <row r="7232" spans="1:5" hidden="1" x14ac:dyDescent="0.3">
      <c r="A7232" t="s">
        <v>557</v>
      </c>
      <c r="B7232" t="s">
        <v>725</v>
      </c>
      <c r="C7232" t="s">
        <v>334</v>
      </c>
      <c r="D7232" s="230">
        <v>0</v>
      </c>
      <c r="E7232" t="s">
        <v>726</v>
      </c>
    </row>
    <row r="7233" spans="1:5" hidden="1" x14ac:dyDescent="0.3">
      <c r="A7233" t="s">
        <v>557</v>
      </c>
      <c r="B7233" t="s">
        <v>725</v>
      </c>
      <c r="C7233" t="s">
        <v>336</v>
      </c>
      <c r="D7233" s="230">
        <v>-1544.62</v>
      </c>
      <c r="E7233" t="s">
        <v>726</v>
      </c>
    </row>
    <row r="7234" spans="1:5" hidden="1" x14ac:dyDescent="0.3">
      <c r="A7234" t="s">
        <v>557</v>
      </c>
      <c r="B7234" t="s">
        <v>725</v>
      </c>
      <c r="C7234" t="s">
        <v>338</v>
      </c>
      <c r="D7234" s="230">
        <v>-28266.83</v>
      </c>
      <c r="E7234" t="s">
        <v>726</v>
      </c>
    </row>
    <row r="7235" spans="1:5" hidden="1" x14ac:dyDescent="0.3">
      <c r="A7235" t="s">
        <v>557</v>
      </c>
      <c r="B7235" t="s">
        <v>725</v>
      </c>
      <c r="C7235" t="s">
        <v>339</v>
      </c>
      <c r="D7235" s="230">
        <v>-10759.97</v>
      </c>
      <c r="E7235" t="s">
        <v>726</v>
      </c>
    </row>
    <row r="7236" spans="1:5" hidden="1" x14ac:dyDescent="0.3">
      <c r="A7236" t="s">
        <v>557</v>
      </c>
      <c r="B7236" t="s">
        <v>725</v>
      </c>
      <c r="C7236" t="s">
        <v>342</v>
      </c>
      <c r="D7236" s="230">
        <v>0</v>
      </c>
      <c r="E7236" t="s">
        <v>726</v>
      </c>
    </row>
    <row r="7237" spans="1:5" hidden="1" x14ac:dyDescent="0.3">
      <c r="A7237" t="s">
        <v>557</v>
      </c>
      <c r="B7237" t="s">
        <v>725</v>
      </c>
      <c r="C7237" t="s">
        <v>344</v>
      </c>
      <c r="D7237" s="230">
        <v>-4318.38</v>
      </c>
      <c r="E7237" t="s">
        <v>726</v>
      </c>
    </row>
    <row r="7238" spans="1:5" hidden="1" x14ac:dyDescent="0.3">
      <c r="A7238" t="s">
        <v>557</v>
      </c>
      <c r="B7238" t="s">
        <v>725</v>
      </c>
      <c r="C7238" t="s">
        <v>345</v>
      </c>
      <c r="D7238" s="230">
        <v>-2555.04</v>
      </c>
      <c r="E7238" t="s">
        <v>726</v>
      </c>
    </row>
    <row r="7239" spans="1:5" hidden="1" x14ac:dyDescent="0.3">
      <c r="A7239" t="s">
        <v>557</v>
      </c>
      <c r="B7239" t="s">
        <v>725</v>
      </c>
      <c r="C7239" t="s">
        <v>346</v>
      </c>
      <c r="D7239" s="230">
        <v>-3886.54</v>
      </c>
      <c r="E7239" t="s">
        <v>726</v>
      </c>
    </row>
    <row r="7240" spans="1:5" hidden="1" x14ac:dyDescent="0.3">
      <c r="A7240" t="s">
        <v>557</v>
      </c>
      <c r="B7240" t="s">
        <v>725</v>
      </c>
      <c r="C7240" t="s">
        <v>347</v>
      </c>
      <c r="D7240" s="230">
        <v>-39026.800000000003</v>
      </c>
      <c r="E7240" t="s">
        <v>726</v>
      </c>
    </row>
    <row r="7241" spans="1:5" hidden="1" x14ac:dyDescent="0.3">
      <c r="A7241" t="s">
        <v>557</v>
      </c>
      <c r="B7241" t="s">
        <v>725</v>
      </c>
      <c r="C7241" t="s">
        <v>44</v>
      </c>
      <c r="D7241" s="230">
        <v>-0.09</v>
      </c>
      <c r="E7241" t="s">
        <v>726</v>
      </c>
    </row>
    <row r="7242" spans="1:5" hidden="1" x14ac:dyDescent="0.3">
      <c r="A7242" t="s">
        <v>557</v>
      </c>
      <c r="B7242" t="s">
        <v>725</v>
      </c>
      <c r="C7242" t="s">
        <v>348</v>
      </c>
      <c r="D7242" s="230">
        <v>-2263.42</v>
      </c>
      <c r="E7242" t="s">
        <v>726</v>
      </c>
    </row>
    <row r="7243" spans="1:5" hidden="1" x14ac:dyDescent="0.3">
      <c r="A7243" t="s">
        <v>557</v>
      </c>
      <c r="B7243" t="s">
        <v>725</v>
      </c>
      <c r="C7243" t="s">
        <v>707</v>
      </c>
      <c r="D7243" s="230">
        <v>-433.34</v>
      </c>
      <c r="E7243" t="s">
        <v>726</v>
      </c>
    </row>
    <row r="7244" spans="1:5" hidden="1" x14ac:dyDescent="0.3">
      <c r="A7244" t="s">
        <v>557</v>
      </c>
      <c r="B7244" t="s">
        <v>725</v>
      </c>
      <c r="C7244" t="s">
        <v>350</v>
      </c>
      <c r="D7244" s="230">
        <v>-1830.08</v>
      </c>
      <c r="E7244" t="s">
        <v>726</v>
      </c>
    </row>
    <row r="7245" spans="1:5" hidden="1" x14ac:dyDescent="0.3">
      <c r="A7245" t="s">
        <v>557</v>
      </c>
      <c r="B7245" t="s">
        <v>725</v>
      </c>
      <c r="C7245" t="s">
        <v>351</v>
      </c>
      <c r="D7245" s="230">
        <v>0</v>
      </c>
      <c r="E7245" t="s">
        <v>726</v>
      </c>
    </row>
    <row r="7246" spans="1:5" hidden="1" x14ac:dyDescent="0.3">
      <c r="A7246" t="s">
        <v>557</v>
      </c>
      <c r="B7246" t="s">
        <v>725</v>
      </c>
      <c r="C7246" t="s">
        <v>352</v>
      </c>
      <c r="D7246" s="230">
        <v>0</v>
      </c>
      <c r="E7246" t="s">
        <v>726</v>
      </c>
    </row>
    <row r="7247" spans="1:5" hidden="1" x14ac:dyDescent="0.3">
      <c r="A7247" t="s">
        <v>557</v>
      </c>
      <c r="B7247" t="s">
        <v>725</v>
      </c>
      <c r="C7247" t="s">
        <v>353</v>
      </c>
      <c r="D7247" s="230">
        <v>0</v>
      </c>
      <c r="E7247" t="s">
        <v>726</v>
      </c>
    </row>
    <row r="7248" spans="1:5" hidden="1" x14ac:dyDescent="0.3">
      <c r="A7248" t="s">
        <v>557</v>
      </c>
      <c r="B7248" t="s">
        <v>725</v>
      </c>
      <c r="C7248" t="s">
        <v>354</v>
      </c>
      <c r="D7248" s="230">
        <v>0</v>
      </c>
      <c r="E7248" t="s">
        <v>726</v>
      </c>
    </row>
    <row r="7249" spans="1:5" hidden="1" x14ac:dyDescent="0.3">
      <c r="A7249" t="s">
        <v>557</v>
      </c>
      <c r="B7249" t="s">
        <v>725</v>
      </c>
      <c r="C7249" t="s">
        <v>355</v>
      </c>
      <c r="D7249" s="230">
        <v>0</v>
      </c>
      <c r="E7249" t="s">
        <v>726</v>
      </c>
    </row>
    <row r="7250" spans="1:5" hidden="1" x14ac:dyDescent="0.3">
      <c r="A7250" t="s">
        <v>557</v>
      </c>
      <c r="B7250" t="s">
        <v>725</v>
      </c>
      <c r="C7250" t="s">
        <v>356</v>
      </c>
      <c r="D7250" s="230">
        <v>0</v>
      </c>
      <c r="E7250" t="s">
        <v>726</v>
      </c>
    </row>
    <row r="7251" spans="1:5" hidden="1" x14ac:dyDescent="0.3">
      <c r="A7251" t="s">
        <v>557</v>
      </c>
      <c r="B7251" t="s">
        <v>725</v>
      </c>
      <c r="C7251" t="s">
        <v>357</v>
      </c>
      <c r="D7251" s="230">
        <v>0</v>
      </c>
      <c r="E7251" t="s">
        <v>726</v>
      </c>
    </row>
    <row r="7252" spans="1:5" hidden="1" x14ac:dyDescent="0.3">
      <c r="A7252" t="s">
        <v>557</v>
      </c>
      <c r="B7252" t="s">
        <v>725</v>
      </c>
      <c r="C7252" t="s">
        <v>358</v>
      </c>
      <c r="D7252" s="230">
        <v>0</v>
      </c>
      <c r="E7252" t="s">
        <v>726</v>
      </c>
    </row>
    <row r="7253" spans="1:5" hidden="1" x14ac:dyDescent="0.3">
      <c r="A7253" t="s">
        <v>557</v>
      </c>
      <c r="B7253" t="s">
        <v>725</v>
      </c>
      <c r="C7253" t="s">
        <v>359</v>
      </c>
      <c r="D7253" s="230">
        <v>0</v>
      </c>
      <c r="E7253" t="s">
        <v>726</v>
      </c>
    </row>
    <row r="7254" spans="1:5" hidden="1" x14ac:dyDescent="0.3">
      <c r="A7254" t="s">
        <v>557</v>
      </c>
      <c r="B7254" t="s">
        <v>725</v>
      </c>
      <c r="C7254" t="s">
        <v>360</v>
      </c>
      <c r="D7254" s="230">
        <v>0</v>
      </c>
      <c r="E7254" t="s">
        <v>726</v>
      </c>
    </row>
    <row r="7255" spans="1:5" hidden="1" x14ac:dyDescent="0.3">
      <c r="A7255" t="s">
        <v>557</v>
      </c>
      <c r="B7255" t="s">
        <v>725</v>
      </c>
      <c r="C7255" t="s">
        <v>361</v>
      </c>
      <c r="D7255" s="230">
        <v>0</v>
      </c>
      <c r="E7255" t="s">
        <v>726</v>
      </c>
    </row>
    <row r="7256" spans="1:5" hidden="1" x14ac:dyDescent="0.3">
      <c r="A7256" t="s">
        <v>557</v>
      </c>
      <c r="B7256" t="s">
        <v>725</v>
      </c>
      <c r="C7256" t="s">
        <v>362</v>
      </c>
      <c r="D7256" s="230">
        <v>0</v>
      </c>
      <c r="E7256" t="s">
        <v>726</v>
      </c>
    </row>
    <row r="7257" spans="1:5" hidden="1" x14ac:dyDescent="0.3">
      <c r="A7257" t="s">
        <v>557</v>
      </c>
      <c r="B7257" t="s">
        <v>725</v>
      </c>
      <c r="C7257" t="s">
        <v>363</v>
      </c>
      <c r="D7257" s="230">
        <v>0</v>
      </c>
      <c r="E7257" t="s">
        <v>726</v>
      </c>
    </row>
    <row r="7258" spans="1:5" hidden="1" x14ac:dyDescent="0.3">
      <c r="A7258" t="s">
        <v>557</v>
      </c>
      <c r="B7258" t="s">
        <v>725</v>
      </c>
      <c r="C7258" t="s">
        <v>364</v>
      </c>
      <c r="D7258" s="230">
        <v>0</v>
      </c>
      <c r="E7258" t="s">
        <v>726</v>
      </c>
    </row>
    <row r="7259" spans="1:5" hidden="1" x14ac:dyDescent="0.3">
      <c r="A7259" t="s">
        <v>557</v>
      </c>
      <c r="B7259" t="s">
        <v>725</v>
      </c>
      <c r="C7259" t="s">
        <v>365</v>
      </c>
      <c r="D7259" s="230">
        <v>0</v>
      </c>
      <c r="E7259" t="s">
        <v>726</v>
      </c>
    </row>
    <row r="7260" spans="1:5" hidden="1" x14ac:dyDescent="0.3">
      <c r="A7260" t="s">
        <v>557</v>
      </c>
      <c r="B7260" t="s">
        <v>725</v>
      </c>
      <c r="C7260" t="s">
        <v>366</v>
      </c>
      <c r="D7260" s="230">
        <v>0</v>
      </c>
      <c r="E7260" t="s">
        <v>726</v>
      </c>
    </row>
    <row r="7261" spans="1:5" hidden="1" x14ac:dyDescent="0.3">
      <c r="A7261" t="s">
        <v>557</v>
      </c>
      <c r="B7261" t="s">
        <v>725</v>
      </c>
      <c r="C7261" t="s">
        <v>367</v>
      </c>
      <c r="D7261" s="230">
        <v>0</v>
      </c>
      <c r="E7261" t="s">
        <v>726</v>
      </c>
    </row>
    <row r="7262" spans="1:5" hidden="1" x14ac:dyDescent="0.3">
      <c r="A7262" t="s">
        <v>557</v>
      </c>
      <c r="B7262" t="s">
        <v>725</v>
      </c>
      <c r="C7262" t="s">
        <v>368</v>
      </c>
      <c r="D7262" s="230">
        <v>0</v>
      </c>
      <c r="E7262" t="s">
        <v>726</v>
      </c>
    </row>
    <row r="7263" spans="1:5" hidden="1" x14ac:dyDescent="0.3">
      <c r="A7263" t="s">
        <v>557</v>
      </c>
      <c r="B7263" t="s">
        <v>725</v>
      </c>
      <c r="C7263" t="s">
        <v>369</v>
      </c>
      <c r="D7263" s="230">
        <v>0</v>
      </c>
      <c r="E7263" t="s">
        <v>726</v>
      </c>
    </row>
    <row r="7264" spans="1:5" hidden="1" x14ac:dyDescent="0.3">
      <c r="A7264" t="s">
        <v>557</v>
      </c>
      <c r="B7264" t="s">
        <v>725</v>
      </c>
      <c r="C7264" t="s">
        <v>370</v>
      </c>
      <c r="D7264" s="230">
        <v>0</v>
      </c>
      <c r="E7264" t="s">
        <v>726</v>
      </c>
    </row>
    <row r="7265" spans="1:5" hidden="1" x14ac:dyDescent="0.3">
      <c r="A7265" t="s">
        <v>557</v>
      </c>
      <c r="B7265" t="s">
        <v>725</v>
      </c>
      <c r="C7265" t="s">
        <v>371</v>
      </c>
      <c r="D7265" s="230">
        <v>0</v>
      </c>
      <c r="E7265" t="s">
        <v>726</v>
      </c>
    </row>
    <row r="7266" spans="1:5" hidden="1" x14ac:dyDescent="0.3">
      <c r="A7266" t="s">
        <v>557</v>
      </c>
      <c r="B7266" t="s">
        <v>725</v>
      </c>
      <c r="C7266" t="s">
        <v>372</v>
      </c>
      <c r="D7266" s="230">
        <v>0</v>
      </c>
      <c r="E7266" t="s">
        <v>726</v>
      </c>
    </row>
    <row r="7267" spans="1:5" hidden="1" x14ac:dyDescent="0.3">
      <c r="A7267" t="s">
        <v>557</v>
      </c>
      <c r="B7267" t="s">
        <v>725</v>
      </c>
      <c r="C7267" t="s">
        <v>373</v>
      </c>
      <c r="D7267" s="230">
        <v>0</v>
      </c>
      <c r="E7267" t="s">
        <v>726</v>
      </c>
    </row>
    <row r="7268" spans="1:5" hidden="1" x14ac:dyDescent="0.3">
      <c r="A7268" t="s">
        <v>557</v>
      </c>
      <c r="B7268" t="s">
        <v>725</v>
      </c>
      <c r="C7268" t="s">
        <v>374</v>
      </c>
      <c r="D7268" s="230">
        <v>0</v>
      </c>
      <c r="E7268" t="s">
        <v>726</v>
      </c>
    </row>
    <row r="7269" spans="1:5" hidden="1" x14ac:dyDescent="0.3">
      <c r="A7269" t="s">
        <v>557</v>
      </c>
      <c r="B7269" t="s">
        <v>725</v>
      </c>
      <c r="C7269" t="s">
        <v>708</v>
      </c>
      <c r="D7269" s="230">
        <v>0</v>
      </c>
      <c r="E7269" t="s">
        <v>726</v>
      </c>
    </row>
    <row r="7270" spans="1:5" hidden="1" x14ac:dyDescent="0.3">
      <c r="A7270" t="s">
        <v>557</v>
      </c>
      <c r="B7270" t="s">
        <v>727</v>
      </c>
      <c r="C7270" t="s">
        <v>11</v>
      </c>
      <c r="D7270" s="230">
        <v>429808.8</v>
      </c>
      <c r="E7270" t="s">
        <v>728</v>
      </c>
    </row>
    <row r="7271" spans="1:5" hidden="1" x14ac:dyDescent="0.3">
      <c r="A7271" t="s">
        <v>557</v>
      </c>
      <c r="B7271" t="s">
        <v>727</v>
      </c>
      <c r="C7271" t="s">
        <v>13</v>
      </c>
      <c r="D7271" s="230">
        <v>202791.1</v>
      </c>
      <c r="E7271" t="s">
        <v>728</v>
      </c>
    </row>
    <row r="7272" spans="1:5" hidden="1" x14ac:dyDescent="0.3">
      <c r="A7272" t="s">
        <v>557</v>
      </c>
      <c r="B7272" t="s">
        <v>727</v>
      </c>
      <c r="C7272" t="s">
        <v>16</v>
      </c>
      <c r="D7272" s="230">
        <v>100527.2</v>
      </c>
      <c r="E7272" t="s">
        <v>728</v>
      </c>
    </row>
    <row r="7273" spans="1:5" hidden="1" x14ac:dyDescent="0.3">
      <c r="A7273" t="s">
        <v>557</v>
      </c>
      <c r="B7273" t="s">
        <v>727</v>
      </c>
      <c r="C7273" t="s">
        <v>17</v>
      </c>
      <c r="D7273" s="230">
        <v>5500</v>
      </c>
      <c r="E7273" t="s">
        <v>728</v>
      </c>
    </row>
    <row r="7274" spans="1:5" hidden="1" x14ac:dyDescent="0.3">
      <c r="A7274" t="s">
        <v>557</v>
      </c>
      <c r="B7274" t="s">
        <v>727</v>
      </c>
      <c r="C7274" t="s">
        <v>18</v>
      </c>
      <c r="D7274" s="230">
        <v>202.5</v>
      </c>
      <c r="E7274" t="s">
        <v>728</v>
      </c>
    </row>
    <row r="7275" spans="1:5" hidden="1" x14ac:dyDescent="0.3">
      <c r="A7275" t="s">
        <v>557</v>
      </c>
      <c r="B7275" t="s">
        <v>727</v>
      </c>
      <c r="C7275" t="s">
        <v>20</v>
      </c>
      <c r="D7275" s="230">
        <v>38438.85</v>
      </c>
      <c r="E7275" t="s">
        <v>728</v>
      </c>
    </row>
    <row r="7276" spans="1:5" hidden="1" x14ac:dyDescent="0.3">
      <c r="A7276" t="s">
        <v>557</v>
      </c>
      <c r="B7276" t="s">
        <v>727</v>
      </c>
      <c r="C7276" t="s">
        <v>23</v>
      </c>
      <c r="D7276" s="230">
        <v>52009.8</v>
      </c>
      <c r="E7276" t="s">
        <v>728</v>
      </c>
    </row>
    <row r="7277" spans="1:5" hidden="1" x14ac:dyDescent="0.3">
      <c r="A7277" t="s">
        <v>557</v>
      </c>
      <c r="B7277" t="s">
        <v>727</v>
      </c>
      <c r="C7277" t="s">
        <v>25</v>
      </c>
      <c r="D7277" s="230">
        <v>0</v>
      </c>
      <c r="E7277" t="s">
        <v>728</v>
      </c>
    </row>
    <row r="7278" spans="1:5" hidden="1" x14ac:dyDescent="0.3">
      <c r="A7278" t="s">
        <v>557</v>
      </c>
      <c r="B7278" t="s">
        <v>727</v>
      </c>
      <c r="C7278" t="s">
        <v>26</v>
      </c>
      <c r="D7278" s="230">
        <v>27100</v>
      </c>
      <c r="E7278" t="s">
        <v>728</v>
      </c>
    </row>
    <row r="7279" spans="1:5" hidden="1" x14ac:dyDescent="0.3">
      <c r="A7279" t="s">
        <v>557</v>
      </c>
      <c r="B7279" t="s">
        <v>727</v>
      </c>
      <c r="C7279" t="s">
        <v>27</v>
      </c>
      <c r="D7279" s="230">
        <v>0</v>
      </c>
      <c r="E7279" t="s">
        <v>728</v>
      </c>
    </row>
    <row r="7280" spans="1:5" hidden="1" x14ac:dyDescent="0.3">
      <c r="A7280" t="s">
        <v>557</v>
      </c>
      <c r="B7280" t="s">
        <v>727</v>
      </c>
      <c r="C7280" t="s">
        <v>29</v>
      </c>
      <c r="D7280" s="230">
        <v>3239.35</v>
      </c>
      <c r="E7280" t="s">
        <v>728</v>
      </c>
    </row>
    <row r="7281" spans="1:5" hidden="1" x14ac:dyDescent="0.3">
      <c r="A7281" t="s">
        <v>557</v>
      </c>
      <c r="B7281" t="s">
        <v>727</v>
      </c>
      <c r="C7281" t="s">
        <v>31</v>
      </c>
      <c r="D7281" s="230">
        <v>0</v>
      </c>
      <c r="E7281" t="s">
        <v>728</v>
      </c>
    </row>
    <row r="7282" spans="1:5" hidden="1" x14ac:dyDescent="0.3">
      <c r="A7282" t="s">
        <v>557</v>
      </c>
      <c r="B7282" t="s">
        <v>727</v>
      </c>
      <c r="C7282" t="s">
        <v>34</v>
      </c>
      <c r="D7282" s="230">
        <v>-15293.75</v>
      </c>
      <c r="E7282" t="s">
        <v>728</v>
      </c>
    </row>
    <row r="7283" spans="1:5" hidden="1" x14ac:dyDescent="0.3">
      <c r="A7283" t="s">
        <v>557</v>
      </c>
      <c r="B7283" t="s">
        <v>727</v>
      </c>
      <c r="C7283" t="s">
        <v>38</v>
      </c>
      <c r="D7283" s="230">
        <v>-15293.75</v>
      </c>
      <c r="E7283" t="s">
        <v>728</v>
      </c>
    </row>
    <row r="7284" spans="1:5" hidden="1" x14ac:dyDescent="0.3">
      <c r="A7284" t="s">
        <v>557</v>
      </c>
      <c r="B7284" t="s">
        <v>727</v>
      </c>
      <c r="C7284" t="s">
        <v>40</v>
      </c>
      <c r="D7284" s="230">
        <v>0</v>
      </c>
      <c r="E7284" t="s">
        <v>728</v>
      </c>
    </row>
    <row r="7285" spans="1:5" hidden="1" x14ac:dyDescent="0.3">
      <c r="A7285" t="s">
        <v>557</v>
      </c>
      <c r="B7285" t="s">
        <v>727</v>
      </c>
      <c r="C7285" t="s">
        <v>42</v>
      </c>
      <c r="D7285" s="230">
        <v>0</v>
      </c>
      <c r="E7285" t="s">
        <v>728</v>
      </c>
    </row>
    <row r="7286" spans="1:5" hidden="1" x14ac:dyDescent="0.3">
      <c r="A7286" t="s">
        <v>557</v>
      </c>
      <c r="B7286" t="s">
        <v>727</v>
      </c>
      <c r="C7286" t="s">
        <v>44</v>
      </c>
      <c r="D7286" s="230">
        <v>-0.04</v>
      </c>
      <c r="E7286" t="s">
        <v>728</v>
      </c>
    </row>
    <row r="7287" spans="1:5" hidden="1" x14ac:dyDescent="0.3">
      <c r="A7287" t="s">
        <v>557</v>
      </c>
      <c r="B7287" t="s">
        <v>727</v>
      </c>
      <c r="C7287" t="s">
        <v>45</v>
      </c>
      <c r="D7287" s="230">
        <v>-26972.400000000001</v>
      </c>
      <c r="E7287" t="s">
        <v>728</v>
      </c>
    </row>
    <row r="7288" spans="1:5" hidden="1" x14ac:dyDescent="0.3">
      <c r="A7288" t="s">
        <v>557</v>
      </c>
      <c r="B7288" t="s">
        <v>727</v>
      </c>
      <c r="C7288" t="s">
        <v>46</v>
      </c>
      <c r="D7288" s="230">
        <v>-13726.78</v>
      </c>
      <c r="E7288" t="s">
        <v>728</v>
      </c>
    </row>
    <row r="7289" spans="1:5" hidden="1" x14ac:dyDescent="0.3">
      <c r="A7289" t="s">
        <v>557</v>
      </c>
      <c r="B7289" t="s">
        <v>727</v>
      </c>
      <c r="C7289" t="s">
        <v>48</v>
      </c>
      <c r="D7289" s="230">
        <v>-10370.120000000001</v>
      </c>
      <c r="E7289" t="s">
        <v>728</v>
      </c>
    </row>
    <row r="7290" spans="1:5" hidden="1" x14ac:dyDescent="0.3">
      <c r="A7290" t="s">
        <v>557</v>
      </c>
      <c r="B7290" t="s">
        <v>727</v>
      </c>
      <c r="C7290" t="s">
        <v>49</v>
      </c>
      <c r="D7290" s="230">
        <v>-2875.49</v>
      </c>
      <c r="E7290" t="s">
        <v>728</v>
      </c>
    </row>
    <row r="7291" spans="1:5" hidden="1" x14ac:dyDescent="0.3">
      <c r="A7291" t="s">
        <v>557</v>
      </c>
      <c r="B7291" t="s">
        <v>727</v>
      </c>
      <c r="C7291" t="s">
        <v>50</v>
      </c>
      <c r="D7291" s="230">
        <v>387542.66</v>
      </c>
      <c r="E7291" t="s">
        <v>728</v>
      </c>
    </row>
    <row r="7292" spans="1:5" hidden="1" x14ac:dyDescent="0.3">
      <c r="A7292" t="s">
        <v>557</v>
      </c>
      <c r="B7292" t="s">
        <v>727</v>
      </c>
      <c r="C7292" t="s">
        <v>51</v>
      </c>
      <c r="D7292" s="230">
        <v>-107003.09</v>
      </c>
      <c r="E7292" t="s">
        <v>728</v>
      </c>
    </row>
    <row r="7293" spans="1:5" hidden="1" x14ac:dyDescent="0.3">
      <c r="A7293" t="s">
        <v>557</v>
      </c>
      <c r="B7293" t="s">
        <v>727</v>
      </c>
      <c r="C7293" t="s">
        <v>52</v>
      </c>
      <c r="D7293" s="230">
        <v>-74311.990000000005</v>
      </c>
      <c r="E7293" t="s">
        <v>728</v>
      </c>
    </row>
    <row r="7294" spans="1:5" hidden="1" x14ac:dyDescent="0.3">
      <c r="A7294" t="s">
        <v>557</v>
      </c>
      <c r="B7294" t="s">
        <v>727</v>
      </c>
      <c r="C7294" t="s">
        <v>53</v>
      </c>
      <c r="D7294" s="230">
        <v>-32691.1</v>
      </c>
      <c r="E7294" t="s">
        <v>728</v>
      </c>
    </row>
    <row r="7295" spans="1:5" hidden="1" x14ac:dyDescent="0.3">
      <c r="A7295" t="s">
        <v>557</v>
      </c>
      <c r="B7295" t="s">
        <v>727</v>
      </c>
      <c r="C7295" t="s">
        <v>54</v>
      </c>
      <c r="D7295" s="230">
        <v>0</v>
      </c>
      <c r="E7295" t="s">
        <v>728</v>
      </c>
    </row>
    <row r="7296" spans="1:5" hidden="1" x14ac:dyDescent="0.3">
      <c r="A7296" t="s">
        <v>557</v>
      </c>
      <c r="B7296" t="s">
        <v>727</v>
      </c>
      <c r="C7296" t="s">
        <v>23</v>
      </c>
      <c r="D7296" s="230">
        <v>0</v>
      </c>
      <c r="E7296" t="s">
        <v>728</v>
      </c>
    </row>
    <row r="7297" spans="1:5" hidden="1" x14ac:dyDescent="0.3">
      <c r="A7297" t="s">
        <v>557</v>
      </c>
      <c r="B7297" t="s">
        <v>727</v>
      </c>
      <c r="C7297" t="s">
        <v>44</v>
      </c>
      <c r="D7297" s="230">
        <v>-0.3</v>
      </c>
      <c r="E7297" t="s">
        <v>728</v>
      </c>
    </row>
    <row r="7298" spans="1:5" hidden="1" x14ac:dyDescent="0.3">
      <c r="A7298" t="s">
        <v>557</v>
      </c>
      <c r="B7298" t="s">
        <v>727</v>
      </c>
      <c r="C7298" t="s">
        <v>55</v>
      </c>
      <c r="D7298" s="230">
        <v>-0.28000000000000003</v>
      </c>
      <c r="E7298" t="s">
        <v>728</v>
      </c>
    </row>
    <row r="7299" spans="1:5" hidden="1" x14ac:dyDescent="0.3">
      <c r="A7299" t="s">
        <v>557</v>
      </c>
      <c r="B7299" t="s">
        <v>727</v>
      </c>
      <c r="C7299" t="s">
        <v>56</v>
      </c>
      <c r="D7299" s="230">
        <v>-10310.89</v>
      </c>
      <c r="E7299" t="s">
        <v>728</v>
      </c>
    </row>
    <row r="7300" spans="1:5" hidden="1" x14ac:dyDescent="0.3">
      <c r="A7300" t="s">
        <v>557</v>
      </c>
      <c r="B7300" t="s">
        <v>727</v>
      </c>
      <c r="C7300" t="s">
        <v>57</v>
      </c>
      <c r="D7300" s="230">
        <v>-7977.89</v>
      </c>
      <c r="E7300" t="s">
        <v>728</v>
      </c>
    </row>
    <row r="7301" spans="1:5" hidden="1" x14ac:dyDescent="0.3">
      <c r="A7301" t="s">
        <v>557</v>
      </c>
      <c r="B7301" t="s">
        <v>727</v>
      </c>
      <c r="C7301" t="s">
        <v>58</v>
      </c>
      <c r="D7301" s="230">
        <v>-7900</v>
      </c>
      <c r="E7301" t="s">
        <v>728</v>
      </c>
    </row>
    <row r="7302" spans="1:5" hidden="1" x14ac:dyDescent="0.3">
      <c r="A7302" t="s">
        <v>557</v>
      </c>
      <c r="B7302" t="s">
        <v>727</v>
      </c>
      <c r="C7302" t="s">
        <v>59</v>
      </c>
      <c r="D7302" s="230">
        <v>-77.89</v>
      </c>
      <c r="E7302" t="s">
        <v>728</v>
      </c>
    </row>
    <row r="7303" spans="1:5" hidden="1" x14ac:dyDescent="0.3">
      <c r="A7303" t="s">
        <v>557</v>
      </c>
      <c r="B7303" t="s">
        <v>727</v>
      </c>
      <c r="C7303" t="s">
        <v>61</v>
      </c>
      <c r="D7303" s="230">
        <v>0</v>
      </c>
      <c r="E7303" t="s">
        <v>728</v>
      </c>
    </row>
    <row r="7304" spans="1:5" hidden="1" x14ac:dyDescent="0.3">
      <c r="A7304" t="s">
        <v>557</v>
      </c>
      <c r="B7304" t="s">
        <v>727</v>
      </c>
      <c r="C7304" t="s">
        <v>62</v>
      </c>
      <c r="D7304" s="230">
        <v>0</v>
      </c>
      <c r="E7304" t="s">
        <v>728</v>
      </c>
    </row>
    <row r="7305" spans="1:5" hidden="1" x14ac:dyDescent="0.3">
      <c r="A7305" t="s">
        <v>557</v>
      </c>
      <c r="B7305" t="s">
        <v>727</v>
      </c>
      <c r="C7305" t="s">
        <v>64</v>
      </c>
      <c r="D7305" s="230">
        <v>0</v>
      </c>
      <c r="E7305" t="s">
        <v>728</v>
      </c>
    </row>
    <row r="7306" spans="1:5" hidden="1" x14ac:dyDescent="0.3">
      <c r="A7306" t="s">
        <v>557</v>
      </c>
      <c r="B7306" t="s">
        <v>727</v>
      </c>
      <c r="C7306" t="s">
        <v>65</v>
      </c>
      <c r="D7306" s="230">
        <v>-2333</v>
      </c>
      <c r="E7306" t="s">
        <v>728</v>
      </c>
    </row>
    <row r="7307" spans="1:5" hidden="1" x14ac:dyDescent="0.3">
      <c r="A7307" t="s">
        <v>557</v>
      </c>
      <c r="B7307" t="s">
        <v>727</v>
      </c>
      <c r="C7307" t="s">
        <v>66</v>
      </c>
      <c r="D7307" s="230">
        <v>-2333</v>
      </c>
      <c r="E7307" t="s">
        <v>728</v>
      </c>
    </row>
    <row r="7308" spans="1:5" hidden="1" x14ac:dyDescent="0.3">
      <c r="A7308" t="s">
        <v>557</v>
      </c>
      <c r="B7308" t="s">
        <v>727</v>
      </c>
      <c r="C7308" t="s">
        <v>68</v>
      </c>
      <c r="D7308" s="230">
        <v>0</v>
      </c>
      <c r="E7308" t="s">
        <v>728</v>
      </c>
    </row>
    <row r="7309" spans="1:5" hidden="1" x14ac:dyDescent="0.3">
      <c r="A7309" t="s">
        <v>557</v>
      </c>
      <c r="B7309" t="s">
        <v>727</v>
      </c>
      <c r="C7309" t="s">
        <v>69</v>
      </c>
      <c r="D7309" s="230">
        <v>0</v>
      </c>
      <c r="E7309" t="s">
        <v>728</v>
      </c>
    </row>
    <row r="7310" spans="1:5" hidden="1" x14ac:dyDescent="0.3">
      <c r="A7310" t="s">
        <v>557</v>
      </c>
      <c r="B7310" t="s">
        <v>727</v>
      </c>
      <c r="C7310" t="s">
        <v>70</v>
      </c>
      <c r="D7310" s="230">
        <v>-1.87</v>
      </c>
      <c r="E7310" t="s">
        <v>728</v>
      </c>
    </row>
    <row r="7311" spans="1:5" hidden="1" x14ac:dyDescent="0.3">
      <c r="A7311" t="s">
        <v>557</v>
      </c>
      <c r="B7311" t="s">
        <v>727</v>
      </c>
      <c r="C7311" t="s">
        <v>44</v>
      </c>
      <c r="D7311" s="230">
        <v>-0.02</v>
      </c>
      <c r="E7311" t="s">
        <v>728</v>
      </c>
    </row>
    <row r="7312" spans="1:5" hidden="1" x14ac:dyDescent="0.3">
      <c r="A7312" t="s">
        <v>557</v>
      </c>
      <c r="B7312" t="s">
        <v>727</v>
      </c>
      <c r="C7312" t="s">
        <v>71</v>
      </c>
      <c r="D7312" s="230">
        <v>0</v>
      </c>
      <c r="E7312" t="s">
        <v>728</v>
      </c>
    </row>
    <row r="7313" spans="1:5" hidden="1" x14ac:dyDescent="0.3">
      <c r="A7313" t="s">
        <v>557</v>
      </c>
      <c r="B7313" t="s">
        <v>727</v>
      </c>
      <c r="C7313" t="s">
        <v>72</v>
      </c>
      <c r="D7313" s="230">
        <v>0</v>
      </c>
      <c r="E7313" t="s">
        <v>728</v>
      </c>
    </row>
    <row r="7314" spans="1:5" hidden="1" x14ac:dyDescent="0.3">
      <c r="A7314" t="s">
        <v>557</v>
      </c>
      <c r="B7314" t="s">
        <v>727</v>
      </c>
      <c r="C7314" t="s">
        <v>73</v>
      </c>
      <c r="D7314" s="230">
        <v>0</v>
      </c>
      <c r="E7314" t="s">
        <v>728</v>
      </c>
    </row>
    <row r="7315" spans="1:5" hidden="1" x14ac:dyDescent="0.3">
      <c r="A7315" t="s">
        <v>557</v>
      </c>
      <c r="B7315" t="s">
        <v>727</v>
      </c>
      <c r="C7315" t="s">
        <v>75</v>
      </c>
      <c r="D7315" s="230">
        <v>0</v>
      </c>
      <c r="E7315" t="s">
        <v>728</v>
      </c>
    </row>
    <row r="7316" spans="1:5" hidden="1" x14ac:dyDescent="0.3">
      <c r="A7316" t="s">
        <v>557</v>
      </c>
      <c r="B7316" t="s">
        <v>727</v>
      </c>
      <c r="C7316" t="s">
        <v>77</v>
      </c>
      <c r="D7316" s="230">
        <v>0</v>
      </c>
      <c r="E7316" t="s">
        <v>728</v>
      </c>
    </row>
    <row r="7317" spans="1:5" hidden="1" x14ac:dyDescent="0.3">
      <c r="A7317" t="s">
        <v>557</v>
      </c>
      <c r="B7317" t="s">
        <v>727</v>
      </c>
      <c r="C7317" t="s">
        <v>78</v>
      </c>
      <c r="D7317" s="230">
        <v>0</v>
      </c>
      <c r="E7317" t="s">
        <v>728</v>
      </c>
    </row>
    <row r="7318" spans="1:5" hidden="1" x14ac:dyDescent="0.3">
      <c r="A7318" t="s">
        <v>557</v>
      </c>
      <c r="B7318" t="s">
        <v>727</v>
      </c>
      <c r="C7318" t="s">
        <v>80</v>
      </c>
      <c r="D7318" s="230">
        <v>0</v>
      </c>
      <c r="E7318" t="s">
        <v>728</v>
      </c>
    </row>
    <row r="7319" spans="1:5" hidden="1" x14ac:dyDescent="0.3">
      <c r="A7319" t="s">
        <v>557</v>
      </c>
      <c r="B7319" t="s">
        <v>727</v>
      </c>
      <c r="C7319" t="s">
        <v>82</v>
      </c>
      <c r="D7319" s="230">
        <v>0</v>
      </c>
      <c r="E7319" t="s">
        <v>728</v>
      </c>
    </row>
    <row r="7320" spans="1:5" hidden="1" x14ac:dyDescent="0.3">
      <c r="A7320" t="s">
        <v>557</v>
      </c>
      <c r="B7320" t="s">
        <v>727</v>
      </c>
      <c r="C7320" t="s">
        <v>84</v>
      </c>
      <c r="D7320" s="230">
        <v>0</v>
      </c>
      <c r="E7320" t="s">
        <v>728</v>
      </c>
    </row>
    <row r="7321" spans="1:5" hidden="1" x14ac:dyDescent="0.3">
      <c r="A7321" t="s">
        <v>557</v>
      </c>
      <c r="B7321" t="s">
        <v>727</v>
      </c>
      <c r="C7321" t="s">
        <v>85</v>
      </c>
      <c r="D7321" s="230">
        <v>0</v>
      </c>
      <c r="E7321" t="s">
        <v>728</v>
      </c>
    </row>
    <row r="7322" spans="1:5" hidden="1" x14ac:dyDescent="0.3">
      <c r="A7322" t="s">
        <v>557</v>
      </c>
      <c r="B7322" t="s">
        <v>727</v>
      </c>
      <c r="C7322" t="s">
        <v>86</v>
      </c>
      <c r="D7322" s="230">
        <v>0</v>
      </c>
      <c r="E7322" t="s">
        <v>728</v>
      </c>
    </row>
    <row r="7323" spans="1:5" hidden="1" x14ac:dyDescent="0.3">
      <c r="A7323" t="s">
        <v>557</v>
      </c>
      <c r="B7323" t="s">
        <v>727</v>
      </c>
      <c r="C7323" t="s">
        <v>87</v>
      </c>
      <c r="D7323" s="230">
        <v>0</v>
      </c>
      <c r="E7323" t="s">
        <v>728</v>
      </c>
    </row>
    <row r="7324" spans="1:5" hidden="1" x14ac:dyDescent="0.3">
      <c r="A7324" t="s">
        <v>557</v>
      </c>
      <c r="B7324" t="s">
        <v>727</v>
      </c>
      <c r="C7324" t="s">
        <v>88</v>
      </c>
      <c r="D7324" s="230">
        <v>0</v>
      </c>
      <c r="E7324" t="s">
        <v>728</v>
      </c>
    </row>
    <row r="7325" spans="1:5" hidden="1" x14ac:dyDescent="0.3">
      <c r="A7325" t="s">
        <v>557</v>
      </c>
      <c r="B7325" t="s">
        <v>727</v>
      </c>
      <c r="C7325" t="s">
        <v>89</v>
      </c>
      <c r="D7325" s="230">
        <v>0</v>
      </c>
      <c r="E7325" t="s">
        <v>728</v>
      </c>
    </row>
    <row r="7326" spans="1:5" hidden="1" x14ac:dyDescent="0.3">
      <c r="A7326" t="s">
        <v>557</v>
      </c>
      <c r="B7326" t="s">
        <v>727</v>
      </c>
      <c r="C7326" t="s">
        <v>90</v>
      </c>
      <c r="D7326" s="230">
        <v>0</v>
      </c>
      <c r="E7326" t="s">
        <v>728</v>
      </c>
    </row>
    <row r="7327" spans="1:5" hidden="1" x14ac:dyDescent="0.3">
      <c r="A7327" t="s">
        <v>557</v>
      </c>
      <c r="B7327" t="s">
        <v>727</v>
      </c>
      <c r="C7327" t="s">
        <v>91</v>
      </c>
      <c r="D7327" s="230">
        <v>0</v>
      </c>
      <c r="E7327" t="s">
        <v>728</v>
      </c>
    </row>
    <row r="7328" spans="1:5" hidden="1" x14ac:dyDescent="0.3">
      <c r="A7328" t="s">
        <v>557</v>
      </c>
      <c r="B7328" t="s">
        <v>727</v>
      </c>
      <c r="C7328" t="s">
        <v>93</v>
      </c>
      <c r="D7328" s="230">
        <v>0</v>
      </c>
      <c r="E7328" t="s">
        <v>728</v>
      </c>
    </row>
    <row r="7329" spans="1:5" hidden="1" x14ac:dyDescent="0.3">
      <c r="A7329" t="s">
        <v>557</v>
      </c>
      <c r="B7329" t="s">
        <v>727</v>
      </c>
      <c r="C7329" t="s">
        <v>95</v>
      </c>
      <c r="D7329" s="230">
        <v>0</v>
      </c>
      <c r="E7329" t="s">
        <v>728</v>
      </c>
    </row>
    <row r="7330" spans="1:5" hidden="1" x14ac:dyDescent="0.3">
      <c r="A7330" t="s">
        <v>557</v>
      </c>
      <c r="B7330" t="s">
        <v>727</v>
      </c>
      <c r="C7330" t="s">
        <v>96</v>
      </c>
      <c r="D7330" s="230">
        <v>0</v>
      </c>
      <c r="E7330" t="s">
        <v>728</v>
      </c>
    </row>
    <row r="7331" spans="1:5" hidden="1" x14ac:dyDescent="0.3">
      <c r="A7331" t="s">
        <v>557</v>
      </c>
      <c r="B7331" t="s">
        <v>727</v>
      </c>
      <c r="C7331" t="s">
        <v>98</v>
      </c>
      <c r="D7331" s="230">
        <v>0</v>
      </c>
      <c r="E7331" t="s">
        <v>728</v>
      </c>
    </row>
    <row r="7332" spans="1:5" hidden="1" x14ac:dyDescent="0.3">
      <c r="A7332" t="s">
        <v>557</v>
      </c>
      <c r="B7332" t="s">
        <v>727</v>
      </c>
      <c r="C7332" t="s">
        <v>100</v>
      </c>
      <c r="D7332" s="230">
        <v>0</v>
      </c>
      <c r="E7332" t="s">
        <v>728</v>
      </c>
    </row>
    <row r="7333" spans="1:5" hidden="1" x14ac:dyDescent="0.3">
      <c r="A7333" t="s">
        <v>557</v>
      </c>
      <c r="B7333" t="s">
        <v>727</v>
      </c>
      <c r="C7333" t="s">
        <v>101</v>
      </c>
      <c r="D7333" s="230">
        <v>0</v>
      </c>
      <c r="E7333" t="s">
        <v>728</v>
      </c>
    </row>
    <row r="7334" spans="1:5" hidden="1" x14ac:dyDescent="0.3">
      <c r="A7334" t="s">
        <v>557</v>
      </c>
      <c r="B7334" t="s">
        <v>727</v>
      </c>
      <c r="C7334" t="s">
        <v>102</v>
      </c>
      <c r="D7334" s="230">
        <v>0</v>
      </c>
      <c r="E7334" t="s">
        <v>728</v>
      </c>
    </row>
    <row r="7335" spans="1:5" hidden="1" x14ac:dyDescent="0.3">
      <c r="A7335" t="s">
        <v>557</v>
      </c>
      <c r="B7335" t="s">
        <v>727</v>
      </c>
      <c r="C7335" t="s">
        <v>103</v>
      </c>
      <c r="D7335" s="230">
        <v>0</v>
      </c>
      <c r="E7335" t="s">
        <v>728</v>
      </c>
    </row>
    <row r="7336" spans="1:5" hidden="1" x14ac:dyDescent="0.3">
      <c r="A7336" t="s">
        <v>557</v>
      </c>
      <c r="B7336" t="s">
        <v>727</v>
      </c>
      <c r="C7336" t="s">
        <v>104</v>
      </c>
      <c r="D7336" s="230">
        <v>0</v>
      </c>
      <c r="E7336" t="s">
        <v>728</v>
      </c>
    </row>
    <row r="7337" spans="1:5" hidden="1" x14ac:dyDescent="0.3">
      <c r="A7337" t="s">
        <v>557</v>
      </c>
      <c r="B7337" t="s">
        <v>727</v>
      </c>
      <c r="C7337" t="s">
        <v>105</v>
      </c>
      <c r="D7337" s="230">
        <v>0</v>
      </c>
      <c r="E7337" t="s">
        <v>728</v>
      </c>
    </row>
    <row r="7338" spans="1:5" hidden="1" x14ac:dyDescent="0.3">
      <c r="A7338" t="s">
        <v>557</v>
      </c>
      <c r="B7338" t="s">
        <v>727</v>
      </c>
      <c r="C7338" t="s">
        <v>107</v>
      </c>
      <c r="D7338" s="230">
        <v>0</v>
      </c>
      <c r="E7338" t="s">
        <v>728</v>
      </c>
    </row>
    <row r="7339" spans="1:5" hidden="1" x14ac:dyDescent="0.3">
      <c r="A7339" t="s">
        <v>557</v>
      </c>
      <c r="B7339" t="s">
        <v>727</v>
      </c>
      <c r="C7339" t="s">
        <v>108</v>
      </c>
      <c r="D7339" s="230">
        <v>0</v>
      </c>
      <c r="E7339" t="s">
        <v>728</v>
      </c>
    </row>
    <row r="7340" spans="1:5" hidden="1" x14ac:dyDescent="0.3">
      <c r="A7340" t="s">
        <v>557</v>
      </c>
      <c r="B7340" t="s">
        <v>727</v>
      </c>
      <c r="C7340" t="s">
        <v>109</v>
      </c>
      <c r="D7340" s="230">
        <v>0</v>
      </c>
      <c r="E7340" t="s">
        <v>728</v>
      </c>
    </row>
    <row r="7341" spans="1:5" hidden="1" x14ac:dyDescent="0.3">
      <c r="A7341" t="s">
        <v>557</v>
      </c>
      <c r="B7341" t="s">
        <v>727</v>
      </c>
      <c r="C7341" t="s">
        <v>110</v>
      </c>
      <c r="D7341" s="230">
        <v>0</v>
      </c>
      <c r="E7341" t="s">
        <v>728</v>
      </c>
    </row>
    <row r="7342" spans="1:5" hidden="1" x14ac:dyDescent="0.3">
      <c r="A7342" t="s">
        <v>557</v>
      </c>
      <c r="B7342" t="s">
        <v>727</v>
      </c>
      <c r="C7342" t="s">
        <v>44</v>
      </c>
      <c r="D7342" s="230">
        <v>0</v>
      </c>
      <c r="E7342" t="s">
        <v>728</v>
      </c>
    </row>
    <row r="7343" spans="1:5" hidden="1" x14ac:dyDescent="0.3">
      <c r="A7343" t="s">
        <v>557</v>
      </c>
      <c r="B7343" t="s">
        <v>727</v>
      </c>
      <c r="C7343" t="s">
        <v>111</v>
      </c>
      <c r="D7343" s="230">
        <v>-25240</v>
      </c>
      <c r="E7343" t="s">
        <v>728</v>
      </c>
    </row>
    <row r="7344" spans="1:5" hidden="1" x14ac:dyDescent="0.3">
      <c r="A7344" t="s">
        <v>557</v>
      </c>
      <c r="B7344" t="s">
        <v>727</v>
      </c>
      <c r="C7344" t="s">
        <v>608</v>
      </c>
      <c r="D7344" s="230">
        <v>-25240</v>
      </c>
      <c r="E7344" t="s">
        <v>728</v>
      </c>
    </row>
    <row r="7345" spans="1:5" hidden="1" x14ac:dyDescent="0.3">
      <c r="A7345" t="s">
        <v>557</v>
      </c>
      <c r="B7345" t="s">
        <v>727</v>
      </c>
      <c r="C7345" t="s">
        <v>44</v>
      </c>
      <c r="D7345" s="230">
        <v>-0.06</v>
      </c>
      <c r="E7345" t="s">
        <v>728</v>
      </c>
    </row>
    <row r="7346" spans="1:5" hidden="1" x14ac:dyDescent="0.3">
      <c r="A7346" t="s">
        <v>557</v>
      </c>
      <c r="B7346" t="s">
        <v>727</v>
      </c>
      <c r="C7346" t="s">
        <v>115</v>
      </c>
      <c r="D7346" s="230">
        <v>-8913.6299999999992</v>
      </c>
      <c r="E7346" t="s">
        <v>728</v>
      </c>
    </row>
    <row r="7347" spans="1:5" hidden="1" x14ac:dyDescent="0.3">
      <c r="A7347" t="s">
        <v>557</v>
      </c>
      <c r="B7347" t="s">
        <v>727</v>
      </c>
      <c r="C7347" t="s">
        <v>116</v>
      </c>
      <c r="D7347" s="230">
        <v>-8102.05</v>
      </c>
      <c r="E7347" t="s">
        <v>728</v>
      </c>
    </row>
    <row r="7348" spans="1:5" hidden="1" x14ac:dyDescent="0.3">
      <c r="A7348" t="s">
        <v>557</v>
      </c>
      <c r="B7348" t="s">
        <v>727</v>
      </c>
      <c r="C7348" t="s">
        <v>118</v>
      </c>
      <c r="D7348" s="230">
        <v>0</v>
      </c>
      <c r="E7348" t="s">
        <v>728</v>
      </c>
    </row>
    <row r="7349" spans="1:5" hidden="1" x14ac:dyDescent="0.3">
      <c r="A7349" t="s">
        <v>557</v>
      </c>
      <c r="B7349" t="s">
        <v>727</v>
      </c>
      <c r="C7349" t="s">
        <v>120</v>
      </c>
      <c r="D7349" s="230">
        <v>0</v>
      </c>
      <c r="E7349" t="s">
        <v>728</v>
      </c>
    </row>
    <row r="7350" spans="1:5" hidden="1" x14ac:dyDescent="0.3">
      <c r="A7350" t="s">
        <v>557</v>
      </c>
      <c r="B7350" t="s">
        <v>727</v>
      </c>
      <c r="C7350" t="s">
        <v>122</v>
      </c>
      <c r="D7350" s="230">
        <v>-811.58</v>
      </c>
      <c r="E7350" t="s">
        <v>728</v>
      </c>
    </row>
    <row r="7351" spans="1:5" hidden="1" x14ac:dyDescent="0.3">
      <c r="A7351" t="s">
        <v>557</v>
      </c>
      <c r="B7351" t="s">
        <v>727</v>
      </c>
      <c r="C7351" t="s">
        <v>44</v>
      </c>
      <c r="D7351" s="230">
        <v>-0.02</v>
      </c>
      <c r="E7351" t="s">
        <v>728</v>
      </c>
    </row>
    <row r="7352" spans="1:5" hidden="1" x14ac:dyDescent="0.3">
      <c r="A7352" t="s">
        <v>557</v>
      </c>
      <c r="B7352" t="s">
        <v>727</v>
      </c>
      <c r="C7352" t="s">
        <v>126</v>
      </c>
      <c r="D7352" s="230">
        <v>236075.05</v>
      </c>
      <c r="E7352" t="s">
        <v>728</v>
      </c>
    </row>
    <row r="7353" spans="1:5" hidden="1" x14ac:dyDescent="0.3">
      <c r="A7353" t="s">
        <v>557</v>
      </c>
      <c r="B7353" t="s">
        <v>727</v>
      </c>
      <c r="C7353" t="s">
        <v>127</v>
      </c>
      <c r="D7353" s="230">
        <v>0.55000000000000004</v>
      </c>
      <c r="E7353" t="s">
        <v>728</v>
      </c>
    </row>
    <row r="7354" spans="1:5" hidden="1" x14ac:dyDescent="0.3">
      <c r="A7354" t="s">
        <v>557</v>
      </c>
      <c r="B7354" t="s">
        <v>727</v>
      </c>
      <c r="C7354" t="s">
        <v>128</v>
      </c>
      <c r="D7354" s="230">
        <v>-114017.45</v>
      </c>
      <c r="E7354" t="s">
        <v>728</v>
      </c>
    </row>
    <row r="7355" spans="1:5" hidden="1" x14ac:dyDescent="0.3">
      <c r="A7355" t="s">
        <v>557</v>
      </c>
      <c r="B7355" t="s">
        <v>727</v>
      </c>
      <c r="C7355" t="s">
        <v>129</v>
      </c>
      <c r="D7355" s="230">
        <v>-28750</v>
      </c>
      <c r="E7355" t="s">
        <v>728</v>
      </c>
    </row>
    <row r="7356" spans="1:5" hidden="1" x14ac:dyDescent="0.3">
      <c r="A7356" t="s">
        <v>557</v>
      </c>
      <c r="B7356" t="s">
        <v>727</v>
      </c>
      <c r="C7356" t="s">
        <v>609</v>
      </c>
      <c r="D7356" s="230">
        <v>-5950</v>
      </c>
      <c r="E7356" t="s">
        <v>728</v>
      </c>
    </row>
    <row r="7357" spans="1:5" hidden="1" x14ac:dyDescent="0.3">
      <c r="A7357" t="s">
        <v>557</v>
      </c>
      <c r="B7357" t="s">
        <v>727</v>
      </c>
      <c r="C7357" t="s">
        <v>610</v>
      </c>
      <c r="D7357" s="230">
        <v>-17600</v>
      </c>
      <c r="E7357" t="s">
        <v>728</v>
      </c>
    </row>
    <row r="7358" spans="1:5" hidden="1" x14ac:dyDescent="0.3">
      <c r="A7358" t="s">
        <v>557</v>
      </c>
      <c r="B7358" t="s">
        <v>727</v>
      </c>
      <c r="C7358" t="s">
        <v>611</v>
      </c>
      <c r="D7358" s="230">
        <v>0</v>
      </c>
      <c r="E7358" t="s">
        <v>728</v>
      </c>
    </row>
    <row r="7359" spans="1:5" hidden="1" x14ac:dyDescent="0.3">
      <c r="A7359" t="s">
        <v>557</v>
      </c>
      <c r="B7359" t="s">
        <v>727</v>
      </c>
      <c r="C7359" t="s">
        <v>612</v>
      </c>
      <c r="D7359" s="230">
        <v>-4000</v>
      </c>
      <c r="E7359" t="s">
        <v>728</v>
      </c>
    </row>
    <row r="7360" spans="1:5" hidden="1" x14ac:dyDescent="0.3">
      <c r="A7360" t="s">
        <v>557</v>
      </c>
      <c r="B7360" t="s">
        <v>727</v>
      </c>
      <c r="C7360" t="s">
        <v>613</v>
      </c>
      <c r="D7360" s="230">
        <v>-1200</v>
      </c>
      <c r="E7360" t="s">
        <v>728</v>
      </c>
    </row>
    <row r="7361" spans="1:5" hidden="1" x14ac:dyDescent="0.3">
      <c r="A7361" t="s">
        <v>557</v>
      </c>
      <c r="B7361" t="s">
        <v>727</v>
      </c>
      <c r="C7361" t="s">
        <v>614</v>
      </c>
      <c r="D7361" s="230">
        <v>0</v>
      </c>
      <c r="E7361" t="s">
        <v>728</v>
      </c>
    </row>
    <row r="7362" spans="1:5" hidden="1" x14ac:dyDescent="0.3">
      <c r="A7362" t="s">
        <v>557</v>
      </c>
      <c r="B7362" t="s">
        <v>727</v>
      </c>
      <c r="C7362" t="s">
        <v>615</v>
      </c>
      <c r="D7362" s="230">
        <v>0</v>
      </c>
      <c r="E7362" t="s">
        <v>728</v>
      </c>
    </row>
    <row r="7363" spans="1:5" hidden="1" x14ac:dyDescent="0.3">
      <c r="A7363" t="s">
        <v>557</v>
      </c>
      <c r="B7363" t="s">
        <v>727</v>
      </c>
      <c r="C7363" t="s">
        <v>616</v>
      </c>
      <c r="D7363" s="230">
        <v>0</v>
      </c>
      <c r="E7363" t="s">
        <v>728</v>
      </c>
    </row>
    <row r="7364" spans="1:5" hidden="1" x14ac:dyDescent="0.3">
      <c r="A7364" t="s">
        <v>557</v>
      </c>
      <c r="B7364" t="s">
        <v>727</v>
      </c>
      <c r="C7364" t="s">
        <v>617</v>
      </c>
      <c r="D7364" s="230">
        <v>0</v>
      </c>
      <c r="E7364" t="s">
        <v>728</v>
      </c>
    </row>
    <row r="7365" spans="1:5" hidden="1" x14ac:dyDescent="0.3">
      <c r="A7365" t="s">
        <v>557</v>
      </c>
      <c r="B7365" t="s">
        <v>727</v>
      </c>
      <c r="C7365" t="s">
        <v>618</v>
      </c>
      <c r="D7365" s="230">
        <v>0</v>
      </c>
      <c r="E7365" t="s">
        <v>728</v>
      </c>
    </row>
    <row r="7366" spans="1:5" hidden="1" x14ac:dyDescent="0.3">
      <c r="A7366" t="s">
        <v>557</v>
      </c>
      <c r="B7366" t="s">
        <v>727</v>
      </c>
      <c r="C7366" t="s">
        <v>619</v>
      </c>
      <c r="D7366" s="230">
        <v>0</v>
      </c>
      <c r="E7366" t="s">
        <v>728</v>
      </c>
    </row>
    <row r="7367" spans="1:5" hidden="1" x14ac:dyDescent="0.3">
      <c r="A7367" t="s">
        <v>557</v>
      </c>
      <c r="B7367" t="s">
        <v>727</v>
      </c>
      <c r="C7367" t="s">
        <v>620</v>
      </c>
      <c r="D7367" s="230">
        <v>0</v>
      </c>
      <c r="E7367" t="s">
        <v>728</v>
      </c>
    </row>
    <row r="7368" spans="1:5" hidden="1" x14ac:dyDescent="0.3">
      <c r="A7368" t="s">
        <v>557</v>
      </c>
      <c r="B7368" t="s">
        <v>727</v>
      </c>
      <c r="C7368" t="s">
        <v>575</v>
      </c>
      <c r="D7368" s="230">
        <v>-35922.620000000003</v>
      </c>
      <c r="E7368" t="s">
        <v>728</v>
      </c>
    </row>
    <row r="7369" spans="1:5" hidden="1" x14ac:dyDescent="0.3">
      <c r="A7369" t="s">
        <v>557</v>
      </c>
      <c r="B7369" t="s">
        <v>727</v>
      </c>
      <c r="C7369" t="s">
        <v>621</v>
      </c>
      <c r="D7369" s="230">
        <v>0</v>
      </c>
      <c r="E7369" t="s">
        <v>728</v>
      </c>
    </row>
    <row r="7370" spans="1:5" hidden="1" x14ac:dyDescent="0.3">
      <c r="A7370" t="s">
        <v>557</v>
      </c>
      <c r="B7370" t="s">
        <v>727</v>
      </c>
      <c r="C7370" t="s">
        <v>622</v>
      </c>
      <c r="D7370" s="230">
        <v>0</v>
      </c>
      <c r="E7370" t="s">
        <v>728</v>
      </c>
    </row>
    <row r="7371" spans="1:5" hidden="1" x14ac:dyDescent="0.3">
      <c r="A7371" t="s">
        <v>557</v>
      </c>
      <c r="B7371" t="s">
        <v>727</v>
      </c>
      <c r="C7371" t="s">
        <v>623</v>
      </c>
      <c r="D7371" s="230">
        <v>0</v>
      </c>
      <c r="E7371" t="s">
        <v>728</v>
      </c>
    </row>
    <row r="7372" spans="1:5" hidden="1" x14ac:dyDescent="0.3">
      <c r="A7372" t="s">
        <v>557</v>
      </c>
      <c r="B7372" t="s">
        <v>727</v>
      </c>
      <c r="C7372" t="s">
        <v>624</v>
      </c>
      <c r="D7372" s="230">
        <v>0</v>
      </c>
      <c r="E7372" t="s">
        <v>728</v>
      </c>
    </row>
    <row r="7373" spans="1:5" hidden="1" x14ac:dyDescent="0.3">
      <c r="A7373" t="s">
        <v>557</v>
      </c>
      <c r="B7373" t="s">
        <v>727</v>
      </c>
      <c r="C7373" t="s">
        <v>625</v>
      </c>
      <c r="D7373" s="230">
        <v>0</v>
      </c>
      <c r="E7373" t="s">
        <v>728</v>
      </c>
    </row>
    <row r="7374" spans="1:5" hidden="1" x14ac:dyDescent="0.3">
      <c r="A7374" t="s">
        <v>557</v>
      </c>
      <c r="B7374" t="s">
        <v>727</v>
      </c>
      <c r="C7374" t="s">
        <v>626</v>
      </c>
      <c r="D7374" s="230">
        <v>0</v>
      </c>
      <c r="E7374" t="s">
        <v>728</v>
      </c>
    </row>
    <row r="7375" spans="1:5" hidden="1" x14ac:dyDescent="0.3">
      <c r="A7375" t="s">
        <v>557</v>
      </c>
      <c r="B7375" t="s">
        <v>727</v>
      </c>
      <c r="C7375" t="s">
        <v>627</v>
      </c>
      <c r="D7375" s="230">
        <v>0</v>
      </c>
      <c r="E7375" t="s">
        <v>728</v>
      </c>
    </row>
    <row r="7376" spans="1:5" hidden="1" x14ac:dyDescent="0.3">
      <c r="A7376" t="s">
        <v>557</v>
      </c>
      <c r="B7376" t="s">
        <v>727</v>
      </c>
      <c r="C7376" t="s">
        <v>628</v>
      </c>
      <c r="D7376" s="230">
        <v>0</v>
      </c>
      <c r="E7376" t="s">
        <v>728</v>
      </c>
    </row>
    <row r="7377" spans="1:5" hidden="1" x14ac:dyDescent="0.3">
      <c r="A7377" t="s">
        <v>557</v>
      </c>
      <c r="B7377" t="s">
        <v>727</v>
      </c>
      <c r="C7377" t="s">
        <v>629</v>
      </c>
      <c r="D7377" s="230">
        <v>0</v>
      </c>
      <c r="E7377" t="s">
        <v>728</v>
      </c>
    </row>
    <row r="7378" spans="1:5" hidden="1" x14ac:dyDescent="0.3">
      <c r="A7378" t="s">
        <v>557</v>
      </c>
      <c r="B7378" t="s">
        <v>727</v>
      </c>
      <c r="C7378" t="s">
        <v>630</v>
      </c>
      <c r="D7378" s="230">
        <v>0</v>
      </c>
      <c r="E7378" t="s">
        <v>728</v>
      </c>
    </row>
    <row r="7379" spans="1:5" hidden="1" x14ac:dyDescent="0.3">
      <c r="A7379" t="s">
        <v>557</v>
      </c>
      <c r="B7379" t="s">
        <v>727</v>
      </c>
      <c r="C7379" t="s">
        <v>631</v>
      </c>
      <c r="D7379" s="230">
        <v>0</v>
      </c>
      <c r="E7379" t="s">
        <v>728</v>
      </c>
    </row>
    <row r="7380" spans="1:5" hidden="1" x14ac:dyDescent="0.3">
      <c r="A7380" t="s">
        <v>557</v>
      </c>
      <c r="B7380" t="s">
        <v>727</v>
      </c>
      <c r="C7380" t="s">
        <v>632</v>
      </c>
      <c r="D7380" s="230">
        <v>0</v>
      </c>
      <c r="E7380" t="s">
        <v>728</v>
      </c>
    </row>
    <row r="7381" spans="1:5" hidden="1" x14ac:dyDescent="0.3">
      <c r="A7381" t="s">
        <v>557</v>
      </c>
      <c r="B7381" t="s">
        <v>727</v>
      </c>
      <c r="C7381" t="s">
        <v>633</v>
      </c>
      <c r="D7381" s="230">
        <v>0</v>
      </c>
      <c r="E7381" t="s">
        <v>728</v>
      </c>
    </row>
    <row r="7382" spans="1:5" hidden="1" x14ac:dyDescent="0.3">
      <c r="A7382" t="s">
        <v>557</v>
      </c>
      <c r="B7382" t="s">
        <v>727</v>
      </c>
      <c r="C7382" t="s">
        <v>634</v>
      </c>
      <c r="D7382" s="230">
        <v>0</v>
      </c>
      <c r="E7382" t="s">
        <v>728</v>
      </c>
    </row>
    <row r="7383" spans="1:5" hidden="1" x14ac:dyDescent="0.3">
      <c r="A7383" t="s">
        <v>557</v>
      </c>
      <c r="B7383" t="s">
        <v>727</v>
      </c>
      <c r="C7383" t="s">
        <v>635</v>
      </c>
      <c r="D7383" s="230">
        <v>0</v>
      </c>
      <c r="E7383" t="s">
        <v>728</v>
      </c>
    </row>
    <row r="7384" spans="1:5" hidden="1" x14ac:dyDescent="0.3">
      <c r="A7384" t="s">
        <v>557</v>
      </c>
      <c r="B7384" t="s">
        <v>727</v>
      </c>
      <c r="C7384" t="s">
        <v>636</v>
      </c>
      <c r="D7384" s="230">
        <v>0</v>
      </c>
      <c r="E7384" t="s">
        <v>728</v>
      </c>
    </row>
    <row r="7385" spans="1:5" hidden="1" x14ac:dyDescent="0.3">
      <c r="A7385" t="s">
        <v>557</v>
      </c>
      <c r="B7385" t="s">
        <v>727</v>
      </c>
      <c r="C7385" t="s">
        <v>637</v>
      </c>
      <c r="D7385" s="230">
        <v>0</v>
      </c>
      <c r="E7385" t="s">
        <v>728</v>
      </c>
    </row>
    <row r="7386" spans="1:5" hidden="1" x14ac:dyDescent="0.3">
      <c r="A7386" t="s">
        <v>557</v>
      </c>
      <c r="B7386" t="s">
        <v>727</v>
      </c>
      <c r="C7386" t="s">
        <v>638</v>
      </c>
      <c r="D7386" s="230">
        <v>0</v>
      </c>
      <c r="E7386" t="s">
        <v>728</v>
      </c>
    </row>
    <row r="7387" spans="1:5" hidden="1" x14ac:dyDescent="0.3">
      <c r="A7387" t="s">
        <v>557</v>
      </c>
      <c r="B7387" t="s">
        <v>727</v>
      </c>
      <c r="C7387" t="s">
        <v>639</v>
      </c>
      <c r="D7387" s="230">
        <v>0</v>
      </c>
      <c r="E7387" t="s">
        <v>728</v>
      </c>
    </row>
    <row r="7388" spans="1:5" hidden="1" x14ac:dyDescent="0.3">
      <c r="A7388" t="s">
        <v>557</v>
      </c>
      <c r="B7388" t="s">
        <v>727</v>
      </c>
      <c r="C7388" t="s">
        <v>640</v>
      </c>
      <c r="D7388" s="230">
        <v>0</v>
      </c>
      <c r="E7388" t="s">
        <v>728</v>
      </c>
    </row>
    <row r="7389" spans="1:5" hidden="1" x14ac:dyDescent="0.3">
      <c r="A7389" t="s">
        <v>557</v>
      </c>
      <c r="B7389" t="s">
        <v>727</v>
      </c>
      <c r="C7389" t="s">
        <v>641</v>
      </c>
      <c r="D7389" s="230">
        <v>0</v>
      </c>
      <c r="E7389" t="s">
        <v>728</v>
      </c>
    </row>
    <row r="7390" spans="1:5" hidden="1" x14ac:dyDescent="0.3">
      <c r="A7390" t="s">
        <v>557</v>
      </c>
      <c r="B7390" t="s">
        <v>727</v>
      </c>
      <c r="C7390" t="s">
        <v>642</v>
      </c>
      <c r="D7390" s="230">
        <v>0</v>
      </c>
      <c r="E7390" t="s">
        <v>728</v>
      </c>
    </row>
    <row r="7391" spans="1:5" hidden="1" x14ac:dyDescent="0.3">
      <c r="A7391" t="s">
        <v>557</v>
      </c>
      <c r="B7391" t="s">
        <v>727</v>
      </c>
      <c r="C7391" t="s">
        <v>643</v>
      </c>
      <c r="D7391" s="230">
        <v>0</v>
      </c>
      <c r="E7391" t="s">
        <v>728</v>
      </c>
    </row>
    <row r="7392" spans="1:5" hidden="1" x14ac:dyDescent="0.3">
      <c r="A7392" t="s">
        <v>557</v>
      </c>
      <c r="B7392" t="s">
        <v>727</v>
      </c>
      <c r="C7392" t="s">
        <v>644</v>
      </c>
      <c r="D7392" s="230">
        <v>0</v>
      </c>
      <c r="E7392" t="s">
        <v>728</v>
      </c>
    </row>
    <row r="7393" spans="1:5" hidden="1" x14ac:dyDescent="0.3">
      <c r="A7393" t="s">
        <v>557</v>
      </c>
      <c r="B7393" t="s">
        <v>727</v>
      </c>
      <c r="C7393" t="s">
        <v>645</v>
      </c>
      <c r="D7393" s="230">
        <v>0</v>
      </c>
      <c r="E7393" t="s">
        <v>728</v>
      </c>
    </row>
    <row r="7394" spans="1:5" hidden="1" x14ac:dyDescent="0.3">
      <c r="A7394" t="s">
        <v>557</v>
      </c>
      <c r="B7394" t="s">
        <v>727</v>
      </c>
      <c r="C7394" t="s">
        <v>646</v>
      </c>
      <c r="D7394" s="230">
        <v>0</v>
      </c>
      <c r="E7394" t="s">
        <v>728</v>
      </c>
    </row>
    <row r="7395" spans="1:5" hidden="1" x14ac:dyDescent="0.3">
      <c r="A7395" t="s">
        <v>557</v>
      </c>
      <c r="B7395" t="s">
        <v>727</v>
      </c>
      <c r="C7395" t="s">
        <v>647</v>
      </c>
      <c r="D7395" s="230">
        <v>0</v>
      </c>
      <c r="E7395" t="s">
        <v>728</v>
      </c>
    </row>
    <row r="7396" spans="1:5" hidden="1" x14ac:dyDescent="0.3">
      <c r="A7396" t="s">
        <v>557</v>
      </c>
      <c r="B7396" t="s">
        <v>727</v>
      </c>
      <c r="C7396" t="s">
        <v>648</v>
      </c>
      <c r="D7396" s="230">
        <v>0</v>
      </c>
      <c r="E7396" t="s">
        <v>728</v>
      </c>
    </row>
    <row r="7397" spans="1:5" hidden="1" x14ac:dyDescent="0.3">
      <c r="A7397" t="s">
        <v>557</v>
      </c>
      <c r="B7397" t="s">
        <v>727</v>
      </c>
      <c r="C7397" t="s">
        <v>649</v>
      </c>
      <c r="D7397" s="230">
        <v>0</v>
      </c>
      <c r="E7397" t="s">
        <v>728</v>
      </c>
    </row>
    <row r="7398" spans="1:5" hidden="1" x14ac:dyDescent="0.3">
      <c r="A7398" t="s">
        <v>557</v>
      </c>
      <c r="B7398" t="s">
        <v>727</v>
      </c>
      <c r="C7398" t="s">
        <v>650</v>
      </c>
      <c r="D7398" s="230">
        <v>0</v>
      </c>
      <c r="E7398" t="s">
        <v>728</v>
      </c>
    </row>
    <row r="7399" spans="1:5" hidden="1" x14ac:dyDescent="0.3">
      <c r="A7399" t="s">
        <v>557</v>
      </c>
      <c r="B7399" t="s">
        <v>727</v>
      </c>
      <c r="C7399" t="s">
        <v>651</v>
      </c>
      <c r="D7399" s="230">
        <v>0</v>
      </c>
      <c r="E7399" t="s">
        <v>728</v>
      </c>
    </row>
    <row r="7400" spans="1:5" hidden="1" x14ac:dyDescent="0.3">
      <c r="A7400" t="s">
        <v>557</v>
      </c>
      <c r="B7400" t="s">
        <v>727</v>
      </c>
      <c r="C7400" t="s">
        <v>652</v>
      </c>
      <c r="D7400" s="230">
        <v>0</v>
      </c>
      <c r="E7400" t="s">
        <v>728</v>
      </c>
    </row>
    <row r="7401" spans="1:5" hidden="1" x14ac:dyDescent="0.3">
      <c r="A7401" t="s">
        <v>557</v>
      </c>
      <c r="B7401" t="s">
        <v>727</v>
      </c>
      <c r="C7401" t="s">
        <v>653</v>
      </c>
      <c r="D7401" s="230">
        <v>0</v>
      </c>
      <c r="E7401" t="s">
        <v>728</v>
      </c>
    </row>
    <row r="7402" spans="1:5" hidden="1" x14ac:dyDescent="0.3">
      <c r="A7402" t="s">
        <v>557</v>
      </c>
      <c r="B7402" t="s">
        <v>727</v>
      </c>
      <c r="C7402" t="s">
        <v>654</v>
      </c>
      <c r="D7402" s="230">
        <v>0</v>
      </c>
      <c r="E7402" t="s">
        <v>728</v>
      </c>
    </row>
    <row r="7403" spans="1:5" hidden="1" x14ac:dyDescent="0.3">
      <c r="A7403" t="s">
        <v>557</v>
      </c>
      <c r="B7403" t="s">
        <v>727</v>
      </c>
      <c r="C7403" t="s">
        <v>655</v>
      </c>
      <c r="D7403" s="230">
        <v>0</v>
      </c>
      <c r="E7403" t="s">
        <v>728</v>
      </c>
    </row>
    <row r="7404" spans="1:5" hidden="1" x14ac:dyDescent="0.3">
      <c r="A7404" t="s">
        <v>557</v>
      </c>
      <c r="B7404" t="s">
        <v>727</v>
      </c>
      <c r="C7404" t="s">
        <v>656</v>
      </c>
      <c r="D7404" s="230">
        <v>0</v>
      </c>
      <c r="E7404" t="s">
        <v>728</v>
      </c>
    </row>
    <row r="7405" spans="1:5" hidden="1" x14ac:dyDescent="0.3">
      <c r="A7405" t="s">
        <v>557</v>
      </c>
      <c r="B7405" t="s">
        <v>727</v>
      </c>
      <c r="C7405" t="s">
        <v>657</v>
      </c>
      <c r="D7405" s="230">
        <v>0</v>
      </c>
      <c r="E7405" t="s">
        <v>728</v>
      </c>
    </row>
    <row r="7406" spans="1:5" hidden="1" x14ac:dyDescent="0.3">
      <c r="A7406" t="s">
        <v>557</v>
      </c>
      <c r="B7406" t="s">
        <v>727</v>
      </c>
      <c r="C7406" t="s">
        <v>658</v>
      </c>
      <c r="D7406" s="230">
        <v>0</v>
      </c>
      <c r="E7406" t="s">
        <v>728</v>
      </c>
    </row>
    <row r="7407" spans="1:5" hidden="1" x14ac:dyDescent="0.3">
      <c r="A7407" t="s">
        <v>557</v>
      </c>
      <c r="B7407" t="s">
        <v>727</v>
      </c>
      <c r="C7407" t="s">
        <v>659</v>
      </c>
      <c r="D7407" s="230">
        <v>0</v>
      </c>
      <c r="E7407" t="s">
        <v>728</v>
      </c>
    </row>
    <row r="7408" spans="1:5" hidden="1" x14ac:dyDescent="0.3">
      <c r="A7408" t="s">
        <v>557</v>
      </c>
      <c r="B7408" t="s">
        <v>727</v>
      </c>
      <c r="C7408" t="s">
        <v>660</v>
      </c>
      <c r="D7408" s="230">
        <v>0</v>
      </c>
      <c r="E7408" t="s">
        <v>728</v>
      </c>
    </row>
    <row r="7409" spans="1:5" hidden="1" x14ac:dyDescent="0.3">
      <c r="A7409" t="s">
        <v>557</v>
      </c>
      <c r="B7409" t="s">
        <v>727</v>
      </c>
      <c r="C7409" t="s">
        <v>661</v>
      </c>
      <c r="D7409" s="230">
        <v>0</v>
      </c>
      <c r="E7409" t="s">
        <v>728</v>
      </c>
    </row>
    <row r="7410" spans="1:5" hidden="1" x14ac:dyDescent="0.3">
      <c r="A7410" t="s">
        <v>557</v>
      </c>
      <c r="B7410" t="s">
        <v>727</v>
      </c>
      <c r="C7410" t="s">
        <v>662</v>
      </c>
      <c r="D7410" s="230">
        <v>0</v>
      </c>
      <c r="E7410" t="s">
        <v>728</v>
      </c>
    </row>
    <row r="7411" spans="1:5" hidden="1" x14ac:dyDescent="0.3">
      <c r="A7411" t="s">
        <v>557</v>
      </c>
      <c r="B7411" t="s">
        <v>727</v>
      </c>
      <c r="C7411" t="s">
        <v>663</v>
      </c>
      <c r="D7411" s="230">
        <v>0</v>
      </c>
      <c r="E7411" t="s">
        <v>728</v>
      </c>
    </row>
    <row r="7412" spans="1:5" hidden="1" x14ac:dyDescent="0.3">
      <c r="A7412" t="s">
        <v>557</v>
      </c>
      <c r="B7412" t="s">
        <v>727</v>
      </c>
      <c r="C7412" t="s">
        <v>664</v>
      </c>
      <c r="D7412" s="230">
        <v>0</v>
      </c>
      <c r="E7412" t="s">
        <v>728</v>
      </c>
    </row>
    <row r="7413" spans="1:5" hidden="1" x14ac:dyDescent="0.3">
      <c r="A7413" t="s">
        <v>557</v>
      </c>
      <c r="B7413" t="s">
        <v>727</v>
      </c>
      <c r="C7413" t="s">
        <v>665</v>
      </c>
      <c r="D7413" s="230">
        <v>0</v>
      </c>
      <c r="E7413" t="s">
        <v>728</v>
      </c>
    </row>
    <row r="7414" spans="1:5" hidden="1" x14ac:dyDescent="0.3">
      <c r="A7414" t="s">
        <v>557</v>
      </c>
      <c r="B7414" t="s">
        <v>727</v>
      </c>
      <c r="C7414" t="s">
        <v>666</v>
      </c>
      <c r="D7414" s="230">
        <v>0</v>
      </c>
      <c r="E7414" t="s">
        <v>728</v>
      </c>
    </row>
    <row r="7415" spans="1:5" hidden="1" x14ac:dyDescent="0.3">
      <c r="A7415" t="s">
        <v>557</v>
      </c>
      <c r="B7415" t="s">
        <v>727</v>
      </c>
      <c r="C7415" t="s">
        <v>667</v>
      </c>
      <c r="D7415" s="230">
        <v>0</v>
      </c>
      <c r="E7415" t="s">
        <v>728</v>
      </c>
    </row>
    <row r="7416" spans="1:5" hidden="1" x14ac:dyDescent="0.3">
      <c r="A7416" t="s">
        <v>557</v>
      </c>
      <c r="B7416" t="s">
        <v>727</v>
      </c>
      <c r="C7416" t="s">
        <v>668</v>
      </c>
      <c r="D7416" s="230">
        <v>0</v>
      </c>
      <c r="E7416" t="s">
        <v>728</v>
      </c>
    </row>
    <row r="7417" spans="1:5" hidden="1" x14ac:dyDescent="0.3">
      <c r="A7417" t="s">
        <v>557</v>
      </c>
      <c r="B7417" t="s">
        <v>727</v>
      </c>
      <c r="C7417" t="s">
        <v>669</v>
      </c>
      <c r="D7417" s="230">
        <v>0</v>
      </c>
      <c r="E7417" t="s">
        <v>728</v>
      </c>
    </row>
    <row r="7418" spans="1:5" hidden="1" x14ac:dyDescent="0.3">
      <c r="A7418" t="s">
        <v>557</v>
      </c>
      <c r="B7418" t="s">
        <v>727</v>
      </c>
      <c r="C7418" t="s">
        <v>670</v>
      </c>
      <c r="D7418" s="230">
        <v>0</v>
      </c>
      <c r="E7418" t="s">
        <v>728</v>
      </c>
    </row>
    <row r="7419" spans="1:5" hidden="1" x14ac:dyDescent="0.3">
      <c r="A7419" t="s">
        <v>557</v>
      </c>
      <c r="B7419" t="s">
        <v>727</v>
      </c>
      <c r="C7419" t="s">
        <v>671</v>
      </c>
      <c r="D7419" s="230">
        <v>0</v>
      </c>
      <c r="E7419" t="s">
        <v>728</v>
      </c>
    </row>
    <row r="7420" spans="1:5" hidden="1" x14ac:dyDescent="0.3">
      <c r="A7420" t="s">
        <v>557</v>
      </c>
      <c r="B7420" t="s">
        <v>727</v>
      </c>
      <c r="C7420" t="s">
        <v>672</v>
      </c>
      <c r="D7420" s="230">
        <v>0</v>
      </c>
      <c r="E7420" t="s">
        <v>728</v>
      </c>
    </row>
    <row r="7421" spans="1:5" hidden="1" x14ac:dyDescent="0.3">
      <c r="A7421" t="s">
        <v>557</v>
      </c>
      <c r="B7421" t="s">
        <v>727</v>
      </c>
      <c r="C7421" t="s">
        <v>673</v>
      </c>
      <c r="D7421" s="230">
        <v>0</v>
      </c>
      <c r="E7421" t="s">
        <v>728</v>
      </c>
    </row>
    <row r="7422" spans="1:5" hidden="1" x14ac:dyDescent="0.3">
      <c r="A7422" t="s">
        <v>557</v>
      </c>
      <c r="B7422" t="s">
        <v>727</v>
      </c>
      <c r="C7422" t="s">
        <v>674</v>
      </c>
      <c r="D7422" s="230">
        <v>0</v>
      </c>
      <c r="E7422" t="s">
        <v>728</v>
      </c>
    </row>
    <row r="7423" spans="1:5" hidden="1" x14ac:dyDescent="0.3">
      <c r="A7423" t="s">
        <v>557</v>
      </c>
      <c r="B7423" t="s">
        <v>727</v>
      </c>
      <c r="C7423" t="s">
        <v>675</v>
      </c>
      <c r="D7423" s="230">
        <v>0</v>
      </c>
      <c r="E7423" t="s">
        <v>728</v>
      </c>
    </row>
    <row r="7424" spans="1:5" hidden="1" x14ac:dyDescent="0.3">
      <c r="A7424" t="s">
        <v>557</v>
      </c>
      <c r="B7424" t="s">
        <v>727</v>
      </c>
      <c r="C7424" t="s">
        <v>676</v>
      </c>
      <c r="D7424" s="230">
        <v>0</v>
      </c>
      <c r="E7424" t="s">
        <v>728</v>
      </c>
    </row>
    <row r="7425" spans="1:5" hidden="1" x14ac:dyDescent="0.3">
      <c r="A7425" t="s">
        <v>557</v>
      </c>
      <c r="B7425" t="s">
        <v>727</v>
      </c>
      <c r="C7425" t="s">
        <v>677</v>
      </c>
      <c r="D7425" s="230">
        <v>0</v>
      </c>
      <c r="E7425" t="s">
        <v>728</v>
      </c>
    </row>
    <row r="7426" spans="1:5" hidden="1" x14ac:dyDescent="0.3">
      <c r="A7426" t="s">
        <v>557</v>
      </c>
      <c r="B7426" t="s">
        <v>727</v>
      </c>
      <c r="C7426" t="s">
        <v>201</v>
      </c>
      <c r="D7426" s="230">
        <v>-15636.69</v>
      </c>
      <c r="E7426" t="s">
        <v>728</v>
      </c>
    </row>
    <row r="7427" spans="1:5" hidden="1" x14ac:dyDescent="0.3">
      <c r="A7427" t="s">
        <v>557</v>
      </c>
      <c r="B7427" t="s">
        <v>727</v>
      </c>
      <c r="C7427" t="s">
        <v>203</v>
      </c>
      <c r="D7427" s="230">
        <v>-15636.69</v>
      </c>
      <c r="E7427" t="s">
        <v>728</v>
      </c>
    </row>
    <row r="7428" spans="1:5" hidden="1" x14ac:dyDescent="0.3">
      <c r="A7428" t="s">
        <v>557</v>
      </c>
      <c r="B7428" t="s">
        <v>727</v>
      </c>
      <c r="C7428" t="s">
        <v>678</v>
      </c>
      <c r="D7428" s="230">
        <v>7818.35</v>
      </c>
      <c r="E7428" t="s">
        <v>728</v>
      </c>
    </row>
    <row r="7429" spans="1:5" hidden="1" x14ac:dyDescent="0.3">
      <c r="A7429" t="s">
        <v>557</v>
      </c>
      <c r="B7429" t="s">
        <v>727</v>
      </c>
      <c r="C7429" t="s">
        <v>205</v>
      </c>
      <c r="D7429" s="230">
        <v>-17596.53</v>
      </c>
      <c r="E7429" t="s">
        <v>728</v>
      </c>
    </row>
    <row r="7430" spans="1:5" hidden="1" x14ac:dyDescent="0.3">
      <c r="A7430" t="s">
        <v>557</v>
      </c>
      <c r="B7430" t="s">
        <v>727</v>
      </c>
      <c r="C7430" t="s">
        <v>679</v>
      </c>
      <c r="D7430" s="230">
        <v>-2875.45</v>
      </c>
      <c r="E7430" t="s">
        <v>728</v>
      </c>
    </row>
    <row r="7431" spans="1:5" hidden="1" x14ac:dyDescent="0.3">
      <c r="A7431" t="s">
        <v>557</v>
      </c>
      <c r="B7431" t="s">
        <v>727</v>
      </c>
      <c r="C7431" t="s">
        <v>680</v>
      </c>
      <c r="D7431" s="230">
        <v>0</v>
      </c>
      <c r="E7431" t="s">
        <v>728</v>
      </c>
    </row>
    <row r="7432" spans="1:5" hidden="1" x14ac:dyDescent="0.3">
      <c r="A7432" t="s">
        <v>557</v>
      </c>
      <c r="B7432" t="s">
        <v>727</v>
      </c>
      <c r="C7432" t="s">
        <v>681</v>
      </c>
      <c r="D7432" s="230">
        <v>0</v>
      </c>
      <c r="E7432" t="s">
        <v>728</v>
      </c>
    </row>
    <row r="7433" spans="1:5" hidden="1" x14ac:dyDescent="0.3">
      <c r="A7433" t="s">
        <v>557</v>
      </c>
      <c r="B7433" t="s">
        <v>727</v>
      </c>
      <c r="C7433" t="s">
        <v>682</v>
      </c>
      <c r="D7433" s="230">
        <v>-7531.73</v>
      </c>
      <c r="E7433" t="s">
        <v>728</v>
      </c>
    </row>
    <row r="7434" spans="1:5" hidden="1" x14ac:dyDescent="0.3">
      <c r="A7434" t="s">
        <v>557</v>
      </c>
      <c r="B7434" t="s">
        <v>727</v>
      </c>
      <c r="C7434" t="s">
        <v>683</v>
      </c>
      <c r="D7434" s="230">
        <v>0</v>
      </c>
      <c r="E7434" t="s">
        <v>728</v>
      </c>
    </row>
    <row r="7435" spans="1:5" hidden="1" x14ac:dyDescent="0.3">
      <c r="A7435" t="s">
        <v>557</v>
      </c>
      <c r="B7435" t="s">
        <v>727</v>
      </c>
      <c r="C7435" t="s">
        <v>684</v>
      </c>
      <c r="D7435" s="230">
        <v>-1611.33</v>
      </c>
      <c r="E7435" t="s">
        <v>728</v>
      </c>
    </row>
    <row r="7436" spans="1:5" hidden="1" x14ac:dyDescent="0.3">
      <c r="A7436" t="s">
        <v>557</v>
      </c>
      <c r="B7436" t="s">
        <v>727</v>
      </c>
      <c r="C7436" t="s">
        <v>685</v>
      </c>
      <c r="D7436" s="230">
        <v>-481.68</v>
      </c>
      <c r="E7436" t="s">
        <v>728</v>
      </c>
    </row>
    <row r="7437" spans="1:5" hidden="1" x14ac:dyDescent="0.3">
      <c r="A7437" t="s">
        <v>557</v>
      </c>
      <c r="B7437" t="s">
        <v>727</v>
      </c>
      <c r="C7437" t="s">
        <v>686</v>
      </c>
      <c r="D7437" s="230">
        <v>0</v>
      </c>
      <c r="E7437" t="s">
        <v>728</v>
      </c>
    </row>
    <row r="7438" spans="1:5" hidden="1" x14ac:dyDescent="0.3">
      <c r="A7438" t="s">
        <v>557</v>
      </c>
      <c r="B7438" t="s">
        <v>727</v>
      </c>
      <c r="C7438" t="s">
        <v>687</v>
      </c>
      <c r="D7438" s="230">
        <v>0</v>
      </c>
      <c r="E7438" t="s">
        <v>728</v>
      </c>
    </row>
    <row r="7439" spans="1:5" hidden="1" x14ac:dyDescent="0.3">
      <c r="A7439" t="s">
        <v>557</v>
      </c>
      <c r="B7439" t="s">
        <v>727</v>
      </c>
      <c r="C7439" t="s">
        <v>688</v>
      </c>
      <c r="D7439" s="230">
        <v>0</v>
      </c>
      <c r="E7439" t="s">
        <v>728</v>
      </c>
    </row>
    <row r="7440" spans="1:5" hidden="1" x14ac:dyDescent="0.3">
      <c r="A7440" t="s">
        <v>557</v>
      </c>
      <c r="B7440" t="s">
        <v>727</v>
      </c>
      <c r="C7440" t="s">
        <v>689</v>
      </c>
      <c r="D7440" s="230">
        <v>0</v>
      </c>
      <c r="E7440" t="s">
        <v>728</v>
      </c>
    </row>
    <row r="7441" spans="1:5" hidden="1" x14ac:dyDescent="0.3">
      <c r="A7441" t="s">
        <v>557</v>
      </c>
      <c r="B7441" t="s">
        <v>727</v>
      </c>
      <c r="C7441" t="s">
        <v>690</v>
      </c>
      <c r="D7441" s="230">
        <v>-2000</v>
      </c>
      <c r="E7441" t="s">
        <v>728</v>
      </c>
    </row>
    <row r="7442" spans="1:5" hidden="1" x14ac:dyDescent="0.3">
      <c r="A7442" t="s">
        <v>557</v>
      </c>
      <c r="B7442" t="s">
        <v>727</v>
      </c>
      <c r="C7442" t="s">
        <v>691</v>
      </c>
      <c r="D7442" s="230">
        <v>0</v>
      </c>
      <c r="E7442" t="s">
        <v>728</v>
      </c>
    </row>
    <row r="7443" spans="1:5" hidden="1" x14ac:dyDescent="0.3">
      <c r="A7443" t="s">
        <v>557</v>
      </c>
      <c r="B7443" t="s">
        <v>727</v>
      </c>
      <c r="C7443" t="s">
        <v>692</v>
      </c>
      <c r="D7443" s="230">
        <v>-3096.35</v>
      </c>
      <c r="E7443" t="s">
        <v>728</v>
      </c>
    </row>
    <row r="7444" spans="1:5" hidden="1" x14ac:dyDescent="0.3">
      <c r="A7444" t="s">
        <v>557</v>
      </c>
      <c r="B7444" t="s">
        <v>727</v>
      </c>
      <c r="C7444" t="s">
        <v>693</v>
      </c>
      <c r="D7444" s="230">
        <v>0</v>
      </c>
      <c r="E7444" t="s">
        <v>728</v>
      </c>
    </row>
    <row r="7445" spans="1:5" hidden="1" x14ac:dyDescent="0.3">
      <c r="A7445" t="s">
        <v>557</v>
      </c>
      <c r="B7445" t="s">
        <v>727</v>
      </c>
      <c r="C7445" t="s">
        <v>694</v>
      </c>
      <c r="D7445" s="230">
        <v>0</v>
      </c>
      <c r="E7445" t="s">
        <v>728</v>
      </c>
    </row>
    <row r="7446" spans="1:5" hidden="1" x14ac:dyDescent="0.3">
      <c r="A7446" t="s">
        <v>557</v>
      </c>
      <c r="B7446" t="s">
        <v>727</v>
      </c>
      <c r="C7446" t="s">
        <v>238</v>
      </c>
      <c r="D7446" s="230">
        <v>-5238.1000000000004</v>
      </c>
      <c r="E7446" t="s">
        <v>728</v>
      </c>
    </row>
    <row r="7447" spans="1:5" hidden="1" x14ac:dyDescent="0.3">
      <c r="A7447" t="s">
        <v>557</v>
      </c>
      <c r="B7447" t="s">
        <v>727</v>
      </c>
      <c r="C7447" t="s">
        <v>695</v>
      </c>
      <c r="D7447" s="230">
        <v>-5238.1000000000004</v>
      </c>
      <c r="E7447" t="s">
        <v>728</v>
      </c>
    </row>
    <row r="7448" spans="1:5" hidden="1" x14ac:dyDescent="0.3">
      <c r="A7448" t="s">
        <v>557</v>
      </c>
      <c r="B7448" t="s">
        <v>727</v>
      </c>
      <c r="C7448" t="s">
        <v>696</v>
      </c>
      <c r="D7448" s="230">
        <v>0</v>
      </c>
      <c r="E7448" t="s">
        <v>728</v>
      </c>
    </row>
    <row r="7449" spans="1:5" hidden="1" x14ac:dyDescent="0.3">
      <c r="A7449" t="s">
        <v>557</v>
      </c>
      <c r="B7449" t="s">
        <v>727</v>
      </c>
      <c r="C7449" t="s">
        <v>697</v>
      </c>
      <c r="D7449" s="230">
        <v>0</v>
      </c>
      <c r="E7449" t="s">
        <v>728</v>
      </c>
    </row>
    <row r="7450" spans="1:5" hidden="1" x14ac:dyDescent="0.3">
      <c r="A7450" t="s">
        <v>557</v>
      </c>
      <c r="B7450" t="s">
        <v>727</v>
      </c>
      <c r="C7450" t="s">
        <v>698</v>
      </c>
      <c r="D7450" s="230">
        <v>0</v>
      </c>
      <c r="E7450" t="s">
        <v>728</v>
      </c>
    </row>
    <row r="7451" spans="1:5" hidden="1" x14ac:dyDescent="0.3">
      <c r="A7451" t="s">
        <v>557</v>
      </c>
      <c r="B7451" t="s">
        <v>727</v>
      </c>
      <c r="C7451" t="s">
        <v>699</v>
      </c>
      <c r="D7451" s="230">
        <v>0</v>
      </c>
      <c r="E7451" t="s">
        <v>728</v>
      </c>
    </row>
    <row r="7452" spans="1:5" hidden="1" x14ac:dyDescent="0.3">
      <c r="A7452" t="s">
        <v>557</v>
      </c>
      <c r="B7452" t="s">
        <v>727</v>
      </c>
      <c r="C7452" t="s">
        <v>245</v>
      </c>
      <c r="D7452" s="230">
        <v>-10873.51</v>
      </c>
      <c r="E7452" t="s">
        <v>728</v>
      </c>
    </row>
    <row r="7453" spans="1:5" hidden="1" x14ac:dyDescent="0.3">
      <c r="A7453" t="s">
        <v>557</v>
      </c>
      <c r="B7453" t="s">
        <v>727</v>
      </c>
      <c r="C7453" t="s">
        <v>700</v>
      </c>
      <c r="D7453" s="230">
        <v>-258</v>
      </c>
      <c r="E7453" t="s">
        <v>728</v>
      </c>
    </row>
    <row r="7454" spans="1:5" hidden="1" x14ac:dyDescent="0.3">
      <c r="A7454" t="s">
        <v>557</v>
      </c>
      <c r="B7454" t="s">
        <v>727</v>
      </c>
      <c r="C7454" t="s">
        <v>701</v>
      </c>
      <c r="D7454" s="230">
        <v>-573.52</v>
      </c>
      <c r="E7454" t="s">
        <v>728</v>
      </c>
    </row>
    <row r="7455" spans="1:5" hidden="1" x14ac:dyDescent="0.3">
      <c r="A7455" t="s">
        <v>557</v>
      </c>
      <c r="B7455" t="s">
        <v>727</v>
      </c>
      <c r="C7455" t="s">
        <v>702</v>
      </c>
      <c r="D7455" s="230">
        <v>0</v>
      </c>
      <c r="E7455" t="s">
        <v>728</v>
      </c>
    </row>
    <row r="7456" spans="1:5" hidden="1" x14ac:dyDescent="0.3">
      <c r="A7456" t="s">
        <v>557</v>
      </c>
      <c r="B7456" t="s">
        <v>727</v>
      </c>
      <c r="C7456" t="s">
        <v>703</v>
      </c>
      <c r="D7456" s="230">
        <v>0</v>
      </c>
      <c r="E7456" t="s">
        <v>728</v>
      </c>
    </row>
    <row r="7457" spans="1:5" hidden="1" x14ac:dyDescent="0.3">
      <c r="A7457" t="s">
        <v>557</v>
      </c>
      <c r="B7457" t="s">
        <v>727</v>
      </c>
      <c r="C7457" t="s">
        <v>704</v>
      </c>
      <c r="D7457" s="230">
        <v>0</v>
      </c>
      <c r="E7457" t="s">
        <v>728</v>
      </c>
    </row>
    <row r="7458" spans="1:5" hidden="1" x14ac:dyDescent="0.3">
      <c r="A7458" t="s">
        <v>557</v>
      </c>
      <c r="B7458" t="s">
        <v>727</v>
      </c>
      <c r="C7458" t="s">
        <v>705</v>
      </c>
      <c r="D7458" s="230">
        <v>-10041.99</v>
      </c>
      <c r="E7458" t="s">
        <v>728</v>
      </c>
    </row>
    <row r="7459" spans="1:5" hidden="1" x14ac:dyDescent="0.3">
      <c r="A7459" t="s">
        <v>557</v>
      </c>
      <c r="B7459" t="s">
        <v>727</v>
      </c>
      <c r="C7459" t="s">
        <v>706</v>
      </c>
      <c r="D7459" s="230">
        <v>0</v>
      </c>
      <c r="E7459" t="s">
        <v>728</v>
      </c>
    </row>
    <row r="7460" spans="1:5" hidden="1" x14ac:dyDescent="0.3">
      <c r="A7460" t="s">
        <v>557</v>
      </c>
      <c r="B7460" t="s">
        <v>727</v>
      </c>
      <c r="C7460" t="s">
        <v>254</v>
      </c>
      <c r="D7460" s="230">
        <v>-0.32</v>
      </c>
      <c r="E7460" t="s">
        <v>728</v>
      </c>
    </row>
    <row r="7461" spans="1:5" hidden="1" x14ac:dyDescent="0.3">
      <c r="A7461" t="s">
        <v>557</v>
      </c>
      <c r="B7461" t="s">
        <v>727</v>
      </c>
      <c r="C7461" t="s">
        <v>255</v>
      </c>
      <c r="D7461" s="230">
        <v>-0.31</v>
      </c>
      <c r="E7461" t="s">
        <v>728</v>
      </c>
    </row>
    <row r="7462" spans="1:5" hidden="1" x14ac:dyDescent="0.3">
      <c r="A7462" t="s">
        <v>557</v>
      </c>
      <c r="B7462" t="s">
        <v>727</v>
      </c>
      <c r="C7462" t="s">
        <v>256</v>
      </c>
      <c r="D7462" s="230">
        <v>-51752.37</v>
      </c>
      <c r="E7462" t="s">
        <v>728</v>
      </c>
    </row>
    <row r="7463" spans="1:5" hidden="1" x14ac:dyDescent="0.3">
      <c r="A7463" t="s">
        <v>557</v>
      </c>
      <c r="B7463" t="s">
        <v>727</v>
      </c>
      <c r="C7463" t="s">
        <v>257</v>
      </c>
      <c r="D7463" s="230">
        <v>-49305.7</v>
      </c>
      <c r="E7463" t="s">
        <v>728</v>
      </c>
    </row>
    <row r="7464" spans="1:5" hidden="1" x14ac:dyDescent="0.3">
      <c r="A7464" t="s">
        <v>557</v>
      </c>
      <c r="B7464" t="s">
        <v>727</v>
      </c>
      <c r="C7464" t="s">
        <v>258</v>
      </c>
      <c r="D7464" s="230">
        <v>0</v>
      </c>
      <c r="E7464" t="s">
        <v>728</v>
      </c>
    </row>
    <row r="7465" spans="1:5" hidden="1" x14ac:dyDescent="0.3">
      <c r="A7465" t="s">
        <v>557</v>
      </c>
      <c r="B7465" t="s">
        <v>727</v>
      </c>
      <c r="C7465" t="s">
        <v>259</v>
      </c>
      <c r="D7465" s="230">
        <v>-2446.67</v>
      </c>
      <c r="E7465" t="s">
        <v>728</v>
      </c>
    </row>
    <row r="7466" spans="1:5" hidden="1" x14ac:dyDescent="0.3">
      <c r="A7466" t="s">
        <v>557</v>
      </c>
      <c r="B7466" t="s">
        <v>727</v>
      </c>
      <c r="C7466" t="s">
        <v>260</v>
      </c>
      <c r="D7466" s="230">
        <v>0</v>
      </c>
      <c r="E7466" t="s">
        <v>728</v>
      </c>
    </row>
    <row r="7467" spans="1:5" hidden="1" x14ac:dyDescent="0.3">
      <c r="A7467" t="s">
        <v>557</v>
      </c>
      <c r="B7467" t="s">
        <v>727</v>
      </c>
      <c r="C7467" t="s">
        <v>261</v>
      </c>
      <c r="D7467" s="230">
        <v>0</v>
      </c>
      <c r="E7467" t="s">
        <v>728</v>
      </c>
    </row>
    <row r="7468" spans="1:5" hidden="1" x14ac:dyDescent="0.3">
      <c r="A7468" t="s">
        <v>557</v>
      </c>
      <c r="B7468" t="s">
        <v>727</v>
      </c>
      <c r="C7468" t="s">
        <v>262</v>
      </c>
      <c r="D7468" s="230">
        <v>0</v>
      </c>
      <c r="E7468" t="s">
        <v>728</v>
      </c>
    </row>
    <row r="7469" spans="1:5" hidden="1" x14ac:dyDescent="0.3">
      <c r="A7469" t="s">
        <v>557</v>
      </c>
      <c r="B7469" t="s">
        <v>727</v>
      </c>
      <c r="C7469" t="s">
        <v>263</v>
      </c>
      <c r="D7469" s="230">
        <v>0</v>
      </c>
      <c r="E7469" t="s">
        <v>728</v>
      </c>
    </row>
    <row r="7470" spans="1:5" hidden="1" x14ac:dyDescent="0.3">
      <c r="A7470" t="s">
        <v>557</v>
      </c>
      <c r="B7470" t="s">
        <v>727</v>
      </c>
      <c r="C7470" t="s">
        <v>44</v>
      </c>
      <c r="D7470" s="230">
        <v>-0.12</v>
      </c>
      <c r="E7470" t="s">
        <v>728</v>
      </c>
    </row>
    <row r="7471" spans="1:5" hidden="1" x14ac:dyDescent="0.3">
      <c r="A7471" t="s">
        <v>557</v>
      </c>
      <c r="B7471" t="s">
        <v>727</v>
      </c>
      <c r="C7471" t="s">
        <v>264</v>
      </c>
      <c r="D7471" s="230">
        <v>-37419.730000000003</v>
      </c>
      <c r="E7471" t="s">
        <v>728</v>
      </c>
    </row>
    <row r="7472" spans="1:5" hidden="1" x14ac:dyDescent="0.3">
      <c r="A7472" t="s">
        <v>557</v>
      </c>
      <c r="B7472" t="s">
        <v>727</v>
      </c>
      <c r="C7472" t="s">
        <v>265</v>
      </c>
      <c r="D7472" s="230">
        <v>-2945.79</v>
      </c>
      <c r="E7472" t="s">
        <v>728</v>
      </c>
    </row>
    <row r="7473" spans="1:5" hidden="1" x14ac:dyDescent="0.3">
      <c r="A7473" t="s">
        <v>557</v>
      </c>
      <c r="B7473" t="s">
        <v>727</v>
      </c>
      <c r="C7473" t="s">
        <v>266</v>
      </c>
      <c r="D7473" s="230">
        <v>-11242.51</v>
      </c>
      <c r="E7473" t="s">
        <v>728</v>
      </c>
    </row>
    <row r="7474" spans="1:5" hidden="1" x14ac:dyDescent="0.3">
      <c r="A7474" t="s">
        <v>557</v>
      </c>
      <c r="B7474" t="s">
        <v>727</v>
      </c>
      <c r="C7474" t="s">
        <v>267</v>
      </c>
      <c r="D7474" s="230">
        <v>-7219.47</v>
      </c>
      <c r="E7474" t="s">
        <v>728</v>
      </c>
    </row>
    <row r="7475" spans="1:5" hidden="1" x14ac:dyDescent="0.3">
      <c r="A7475" t="s">
        <v>557</v>
      </c>
      <c r="B7475" t="s">
        <v>727</v>
      </c>
      <c r="C7475" t="s">
        <v>268</v>
      </c>
      <c r="D7475" s="230">
        <v>-6176.57</v>
      </c>
      <c r="E7475" t="s">
        <v>728</v>
      </c>
    </row>
    <row r="7476" spans="1:5" hidden="1" x14ac:dyDescent="0.3">
      <c r="A7476" t="s">
        <v>557</v>
      </c>
      <c r="B7476" t="s">
        <v>727</v>
      </c>
      <c r="C7476" t="s">
        <v>269</v>
      </c>
      <c r="D7476" s="230">
        <v>0</v>
      </c>
      <c r="E7476" t="s">
        <v>728</v>
      </c>
    </row>
    <row r="7477" spans="1:5" hidden="1" x14ac:dyDescent="0.3">
      <c r="A7477" t="s">
        <v>557</v>
      </c>
      <c r="B7477" t="s">
        <v>727</v>
      </c>
      <c r="C7477" t="s">
        <v>270</v>
      </c>
      <c r="D7477" s="230">
        <v>-550</v>
      </c>
      <c r="E7477" t="s">
        <v>728</v>
      </c>
    </row>
    <row r="7478" spans="1:5" hidden="1" x14ac:dyDescent="0.3">
      <c r="A7478" t="s">
        <v>557</v>
      </c>
      <c r="B7478" t="s">
        <v>727</v>
      </c>
      <c r="C7478" t="s">
        <v>271</v>
      </c>
      <c r="D7478" s="230">
        <v>-798</v>
      </c>
      <c r="E7478" t="s">
        <v>728</v>
      </c>
    </row>
    <row r="7479" spans="1:5" hidden="1" x14ac:dyDescent="0.3">
      <c r="A7479" t="s">
        <v>557</v>
      </c>
      <c r="B7479" t="s">
        <v>727</v>
      </c>
      <c r="C7479" t="s">
        <v>272</v>
      </c>
      <c r="D7479" s="230">
        <v>-3829.4</v>
      </c>
      <c r="E7479" t="s">
        <v>728</v>
      </c>
    </row>
    <row r="7480" spans="1:5" hidden="1" x14ac:dyDescent="0.3">
      <c r="A7480" t="s">
        <v>557</v>
      </c>
      <c r="B7480" t="s">
        <v>727</v>
      </c>
      <c r="C7480" t="s">
        <v>273</v>
      </c>
      <c r="D7480" s="230">
        <v>0</v>
      </c>
      <c r="E7480" t="s">
        <v>728</v>
      </c>
    </row>
    <row r="7481" spans="1:5" hidden="1" x14ac:dyDescent="0.3">
      <c r="A7481" t="s">
        <v>557</v>
      </c>
      <c r="B7481" t="s">
        <v>727</v>
      </c>
      <c r="C7481" t="s">
        <v>274</v>
      </c>
      <c r="D7481" s="230">
        <v>-64.260000000000005</v>
      </c>
      <c r="E7481" t="s">
        <v>728</v>
      </c>
    </row>
    <row r="7482" spans="1:5" hidden="1" x14ac:dyDescent="0.3">
      <c r="A7482" t="s">
        <v>557</v>
      </c>
      <c r="B7482" t="s">
        <v>727</v>
      </c>
      <c r="C7482" t="s">
        <v>275</v>
      </c>
      <c r="D7482" s="230">
        <v>-612.96</v>
      </c>
      <c r="E7482" t="s">
        <v>728</v>
      </c>
    </row>
    <row r="7483" spans="1:5" hidden="1" x14ac:dyDescent="0.3">
      <c r="A7483" t="s">
        <v>557</v>
      </c>
      <c r="B7483" t="s">
        <v>727</v>
      </c>
      <c r="C7483" t="s">
        <v>276</v>
      </c>
      <c r="D7483" s="230">
        <v>-900</v>
      </c>
      <c r="E7483" t="s">
        <v>728</v>
      </c>
    </row>
    <row r="7484" spans="1:5" hidden="1" x14ac:dyDescent="0.3">
      <c r="A7484" t="s">
        <v>557</v>
      </c>
      <c r="B7484" t="s">
        <v>727</v>
      </c>
      <c r="C7484" t="s">
        <v>277</v>
      </c>
      <c r="D7484" s="230">
        <v>0</v>
      </c>
      <c r="E7484" t="s">
        <v>728</v>
      </c>
    </row>
    <row r="7485" spans="1:5" hidden="1" x14ac:dyDescent="0.3">
      <c r="A7485" t="s">
        <v>557</v>
      </c>
      <c r="B7485" t="s">
        <v>727</v>
      </c>
      <c r="C7485" t="s">
        <v>278</v>
      </c>
      <c r="D7485" s="230">
        <v>-3080.77</v>
      </c>
      <c r="E7485" t="s">
        <v>728</v>
      </c>
    </row>
    <row r="7486" spans="1:5" hidden="1" x14ac:dyDescent="0.3">
      <c r="A7486" t="s">
        <v>557</v>
      </c>
      <c r="B7486" t="s">
        <v>727</v>
      </c>
      <c r="C7486" t="s">
        <v>44</v>
      </c>
      <c r="D7486" s="230">
        <v>-0.09</v>
      </c>
      <c r="E7486" t="s">
        <v>728</v>
      </c>
    </row>
    <row r="7487" spans="1:5" hidden="1" x14ac:dyDescent="0.3">
      <c r="A7487" t="s">
        <v>557</v>
      </c>
      <c r="B7487" t="s">
        <v>727</v>
      </c>
      <c r="C7487" t="s">
        <v>279</v>
      </c>
      <c r="D7487" s="230">
        <v>-4995.41</v>
      </c>
      <c r="E7487" t="s">
        <v>728</v>
      </c>
    </row>
    <row r="7488" spans="1:5" hidden="1" x14ac:dyDescent="0.3">
      <c r="A7488" t="s">
        <v>557</v>
      </c>
      <c r="B7488" t="s">
        <v>727</v>
      </c>
      <c r="C7488" t="s">
        <v>280</v>
      </c>
      <c r="D7488" s="230">
        <v>-299.89999999999998</v>
      </c>
      <c r="E7488" t="s">
        <v>728</v>
      </c>
    </row>
    <row r="7489" spans="1:5" hidden="1" x14ac:dyDescent="0.3">
      <c r="A7489" t="s">
        <v>557</v>
      </c>
      <c r="B7489" t="s">
        <v>727</v>
      </c>
      <c r="C7489" t="s">
        <v>281</v>
      </c>
      <c r="D7489" s="230">
        <v>-386.92</v>
      </c>
      <c r="E7489" t="s">
        <v>728</v>
      </c>
    </row>
    <row r="7490" spans="1:5" hidden="1" x14ac:dyDescent="0.3">
      <c r="A7490" t="s">
        <v>557</v>
      </c>
      <c r="B7490" t="s">
        <v>727</v>
      </c>
      <c r="C7490" t="s">
        <v>282</v>
      </c>
      <c r="D7490" s="230">
        <v>-455.15</v>
      </c>
      <c r="E7490" t="s">
        <v>728</v>
      </c>
    </row>
    <row r="7491" spans="1:5" hidden="1" x14ac:dyDescent="0.3">
      <c r="A7491" t="s">
        <v>557</v>
      </c>
      <c r="B7491" t="s">
        <v>727</v>
      </c>
      <c r="C7491" t="s">
        <v>283</v>
      </c>
      <c r="D7491" s="230">
        <v>-276.69</v>
      </c>
      <c r="E7491" t="s">
        <v>728</v>
      </c>
    </row>
    <row r="7492" spans="1:5" hidden="1" x14ac:dyDescent="0.3">
      <c r="A7492" t="s">
        <v>557</v>
      </c>
      <c r="B7492" t="s">
        <v>727</v>
      </c>
      <c r="C7492" t="s">
        <v>284</v>
      </c>
      <c r="D7492" s="230">
        <v>-3576.75</v>
      </c>
      <c r="E7492" t="s">
        <v>728</v>
      </c>
    </row>
    <row r="7493" spans="1:5" hidden="1" x14ac:dyDescent="0.3">
      <c r="A7493" t="s">
        <v>557</v>
      </c>
      <c r="B7493" t="s">
        <v>727</v>
      </c>
      <c r="C7493" t="s">
        <v>285</v>
      </c>
      <c r="D7493" s="230">
        <v>0</v>
      </c>
      <c r="E7493" t="s">
        <v>728</v>
      </c>
    </row>
    <row r="7494" spans="1:5" hidden="1" x14ac:dyDescent="0.3">
      <c r="A7494" t="s">
        <v>557</v>
      </c>
      <c r="B7494" t="s">
        <v>727</v>
      </c>
      <c r="C7494" t="s">
        <v>286</v>
      </c>
      <c r="D7494" s="230">
        <v>0</v>
      </c>
      <c r="E7494" t="s">
        <v>728</v>
      </c>
    </row>
    <row r="7495" spans="1:5" hidden="1" x14ac:dyDescent="0.3">
      <c r="A7495" t="s">
        <v>557</v>
      </c>
      <c r="B7495" t="s">
        <v>727</v>
      </c>
      <c r="C7495" t="s">
        <v>44</v>
      </c>
      <c r="D7495" s="230">
        <v>-0.01</v>
      </c>
      <c r="E7495" t="s">
        <v>728</v>
      </c>
    </row>
    <row r="7496" spans="1:5" hidden="1" x14ac:dyDescent="0.3">
      <c r="A7496" t="s">
        <v>557</v>
      </c>
      <c r="B7496" t="s">
        <v>727</v>
      </c>
      <c r="C7496" t="s">
        <v>287</v>
      </c>
      <c r="D7496" s="230">
        <v>-6809.56</v>
      </c>
      <c r="E7496" t="s">
        <v>728</v>
      </c>
    </row>
    <row r="7497" spans="1:5" hidden="1" x14ac:dyDescent="0.3">
      <c r="A7497" t="s">
        <v>557</v>
      </c>
      <c r="B7497" t="s">
        <v>727</v>
      </c>
      <c r="C7497" t="s">
        <v>288</v>
      </c>
      <c r="D7497" s="230">
        <v>-6439.05</v>
      </c>
      <c r="E7497" t="s">
        <v>728</v>
      </c>
    </row>
    <row r="7498" spans="1:5" hidden="1" x14ac:dyDescent="0.3">
      <c r="A7498" t="s">
        <v>557</v>
      </c>
      <c r="B7498" t="s">
        <v>727</v>
      </c>
      <c r="C7498" t="s">
        <v>289</v>
      </c>
      <c r="D7498" s="230">
        <v>0</v>
      </c>
      <c r="E7498" t="s">
        <v>728</v>
      </c>
    </row>
    <row r="7499" spans="1:5" hidden="1" x14ac:dyDescent="0.3">
      <c r="A7499" t="s">
        <v>557</v>
      </c>
      <c r="B7499" t="s">
        <v>727</v>
      </c>
      <c r="C7499" t="s">
        <v>290</v>
      </c>
      <c r="D7499" s="230">
        <v>0</v>
      </c>
      <c r="E7499" t="s">
        <v>728</v>
      </c>
    </row>
    <row r="7500" spans="1:5" hidden="1" x14ac:dyDescent="0.3">
      <c r="A7500" t="s">
        <v>557</v>
      </c>
      <c r="B7500" t="s">
        <v>727</v>
      </c>
      <c r="C7500" t="s">
        <v>291</v>
      </c>
      <c r="D7500" s="230">
        <v>0</v>
      </c>
      <c r="E7500" t="s">
        <v>728</v>
      </c>
    </row>
    <row r="7501" spans="1:5" hidden="1" x14ac:dyDescent="0.3">
      <c r="A7501" t="s">
        <v>557</v>
      </c>
      <c r="B7501" t="s">
        <v>727</v>
      </c>
      <c r="C7501" t="s">
        <v>292</v>
      </c>
      <c r="D7501" s="230">
        <v>0</v>
      </c>
      <c r="E7501" t="s">
        <v>728</v>
      </c>
    </row>
    <row r="7502" spans="1:5" hidden="1" x14ac:dyDescent="0.3">
      <c r="A7502" t="s">
        <v>557</v>
      </c>
      <c r="B7502" t="s">
        <v>727</v>
      </c>
      <c r="C7502" t="s">
        <v>293</v>
      </c>
      <c r="D7502" s="230">
        <v>-57.91</v>
      </c>
      <c r="E7502" t="s">
        <v>728</v>
      </c>
    </row>
    <row r="7503" spans="1:5" hidden="1" x14ac:dyDescent="0.3">
      <c r="A7503" t="s">
        <v>557</v>
      </c>
      <c r="B7503" t="s">
        <v>727</v>
      </c>
      <c r="C7503" t="s">
        <v>294</v>
      </c>
      <c r="D7503" s="230">
        <v>-312.60000000000002</v>
      </c>
      <c r="E7503" t="s">
        <v>728</v>
      </c>
    </row>
    <row r="7504" spans="1:5" hidden="1" x14ac:dyDescent="0.3">
      <c r="A7504" t="s">
        <v>557</v>
      </c>
      <c r="B7504" t="s">
        <v>727</v>
      </c>
      <c r="C7504" t="s">
        <v>295</v>
      </c>
      <c r="D7504" s="230">
        <v>0</v>
      </c>
      <c r="E7504" t="s">
        <v>728</v>
      </c>
    </row>
    <row r="7505" spans="1:5" hidden="1" x14ac:dyDescent="0.3">
      <c r="A7505" t="s">
        <v>557</v>
      </c>
      <c r="B7505" t="s">
        <v>727</v>
      </c>
      <c r="C7505" t="s">
        <v>44</v>
      </c>
      <c r="D7505" s="230">
        <v>-0.02</v>
      </c>
      <c r="E7505" t="s">
        <v>728</v>
      </c>
    </row>
    <row r="7506" spans="1:5" hidden="1" x14ac:dyDescent="0.3">
      <c r="A7506" t="s">
        <v>557</v>
      </c>
      <c r="B7506" t="s">
        <v>727</v>
      </c>
      <c r="C7506" t="s">
        <v>296</v>
      </c>
      <c r="D7506" s="230">
        <v>-7258.25</v>
      </c>
      <c r="E7506" t="s">
        <v>728</v>
      </c>
    </row>
    <row r="7507" spans="1:5" hidden="1" x14ac:dyDescent="0.3">
      <c r="A7507" t="s">
        <v>557</v>
      </c>
      <c r="B7507" t="s">
        <v>727</v>
      </c>
      <c r="C7507" t="s">
        <v>297</v>
      </c>
      <c r="D7507" s="230">
        <v>-3500</v>
      </c>
      <c r="E7507" t="s">
        <v>728</v>
      </c>
    </row>
    <row r="7508" spans="1:5" hidden="1" x14ac:dyDescent="0.3">
      <c r="A7508" t="s">
        <v>557</v>
      </c>
      <c r="B7508" t="s">
        <v>727</v>
      </c>
      <c r="C7508" t="s">
        <v>298</v>
      </c>
      <c r="D7508" s="230">
        <v>-460</v>
      </c>
      <c r="E7508" t="s">
        <v>728</v>
      </c>
    </row>
    <row r="7509" spans="1:5" hidden="1" x14ac:dyDescent="0.3">
      <c r="A7509" t="s">
        <v>557</v>
      </c>
      <c r="B7509" t="s">
        <v>727</v>
      </c>
      <c r="C7509" t="s">
        <v>299</v>
      </c>
      <c r="D7509" s="230">
        <v>0</v>
      </c>
      <c r="E7509" t="s">
        <v>728</v>
      </c>
    </row>
    <row r="7510" spans="1:5" hidden="1" x14ac:dyDescent="0.3">
      <c r="A7510" t="s">
        <v>557</v>
      </c>
      <c r="B7510" t="s">
        <v>727</v>
      </c>
      <c r="C7510" t="s">
        <v>300</v>
      </c>
      <c r="D7510" s="230">
        <v>0</v>
      </c>
      <c r="E7510" t="s">
        <v>728</v>
      </c>
    </row>
    <row r="7511" spans="1:5" hidden="1" x14ac:dyDescent="0.3">
      <c r="A7511" t="s">
        <v>557</v>
      </c>
      <c r="B7511" t="s">
        <v>727</v>
      </c>
      <c r="C7511" t="s">
        <v>301</v>
      </c>
      <c r="D7511" s="230">
        <v>-490</v>
      </c>
      <c r="E7511" t="s">
        <v>728</v>
      </c>
    </row>
    <row r="7512" spans="1:5" hidden="1" x14ac:dyDescent="0.3">
      <c r="A7512" t="s">
        <v>557</v>
      </c>
      <c r="B7512" t="s">
        <v>727</v>
      </c>
      <c r="C7512" t="s">
        <v>302</v>
      </c>
      <c r="D7512" s="230">
        <v>0</v>
      </c>
      <c r="E7512" t="s">
        <v>728</v>
      </c>
    </row>
    <row r="7513" spans="1:5" hidden="1" x14ac:dyDescent="0.3">
      <c r="A7513" t="s">
        <v>557</v>
      </c>
      <c r="B7513" t="s">
        <v>727</v>
      </c>
      <c r="C7513" t="s">
        <v>303</v>
      </c>
      <c r="D7513" s="230">
        <v>0</v>
      </c>
      <c r="E7513" t="s">
        <v>728</v>
      </c>
    </row>
    <row r="7514" spans="1:5" hidden="1" x14ac:dyDescent="0.3">
      <c r="A7514" t="s">
        <v>557</v>
      </c>
      <c r="B7514" t="s">
        <v>727</v>
      </c>
      <c r="C7514" t="s">
        <v>304</v>
      </c>
      <c r="D7514" s="230">
        <v>-2300</v>
      </c>
      <c r="E7514" t="s">
        <v>728</v>
      </c>
    </row>
    <row r="7515" spans="1:5" hidden="1" x14ac:dyDescent="0.3">
      <c r="A7515" t="s">
        <v>557</v>
      </c>
      <c r="B7515" t="s">
        <v>727</v>
      </c>
      <c r="C7515" t="s">
        <v>305</v>
      </c>
      <c r="D7515" s="230">
        <v>-4.8899999999999997</v>
      </c>
      <c r="E7515" t="s">
        <v>728</v>
      </c>
    </row>
    <row r="7516" spans="1:5" hidden="1" x14ac:dyDescent="0.3">
      <c r="A7516" t="s">
        <v>557</v>
      </c>
      <c r="B7516" t="s">
        <v>727</v>
      </c>
      <c r="C7516" t="s">
        <v>306</v>
      </c>
      <c r="D7516" s="230">
        <v>0</v>
      </c>
      <c r="E7516" t="s">
        <v>728</v>
      </c>
    </row>
    <row r="7517" spans="1:5" hidden="1" x14ac:dyDescent="0.3">
      <c r="A7517" t="s">
        <v>557</v>
      </c>
      <c r="B7517" t="s">
        <v>727</v>
      </c>
      <c r="C7517" t="s">
        <v>307</v>
      </c>
      <c r="D7517" s="230">
        <v>-503.36</v>
      </c>
      <c r="E7517" t="s">
        <v>728</v>
      </c>
    </row>
    <row r="7518" spans="1:5" hidden="1" x14ac:dyDescent="0.3">
      <c r="A7518" t="s">
        <v>557</v>
      </c>
      <c r="B7518" t="s">
        <v>727</v>
      </c>
      <c r="C7518" t="s">
        <v>44</v>
      </c>
      <c r="D7518" s="230">
        <v>-0.02</v>
      </c>
      <c r="E7518" t="s">
        <v>728</v>
      </c>
    </row>
    <row r="7519" spans="1:5" hidden="1" x14ac:dyDescent="0.3">
      <c r="A7519" t="s">
        <v>557</v>
      </c>
      <c r="B7519" t="s">
        <v>727</v>
      </c>
      <c r="C7519" t="s">
        <v>308</v>
      </c>
      <c r="D7519" s="230">
        <v>-14358.25</v>
      </c>
      <c r="E7519" t="s">
        <v>728</v>
      </c>
    </row>
    <row r="7520" spans="1:5" hidden="1" x14ac:dyDescent="0.3">
      <c r="A7520" t="s">
        <v>557</v>
      </c>
      <c r="B7520" t="s">
        <v>727</v>
      </c>
      <c r="C7520" t="s">
        <v>309</v>
      </c>
      <c r="D7520" s="230">
        <v>-4297.7</v>
      </c>
      <c r="E7520" t="s">
        <v>728</v>
      </c>
    </row>
    <row r="7521" spans="1:5" hidden="1" x14ac:dyDescent="0.3">
      <c r="A7521" t="s">
        <v>557</v>
      </c>
      <c r="B7521" t="s">
        <v>727</v>
      </c>
      <c r="C7521" t="s">
        <v>310</v>
      </c>
      <c r="D7521" s="230">
        <v>0</v>
      </c>
      <c r="E7521" t="s">
        <v>728</v>
      </c>
    </row>
    <row r="7522" spans="1:5" hidden="1" x14ac:dyDescent="0.3">
      <c r="A7522" t="s">
        <v>557</v>
      </c>
      <c r="B7522" t="s">
        <v>727</v>
      </c>
      <c r="C7522" t="s">
        <v>311</v>
      </c>
      <c r="D7522" s="230">
        <v>-10060.549999999999</v>
      </c>
      <c r="E7522" t="s">
        <v>728</v>
      </c>
    </row>
    <row r="7523" spans="1:5" hidden="1" x14ac:dyDescent="0.3">
      <c r="A7523" t="s">
        <v>557</v>
      </c>
      <c r="B7523" t="s">
        <v>727</v>
      </c>
      <c r="C7523" t="s">
        <v>312</v>
      </c>
      <c r="D7523" s="230">
        <v>0</v>
      </c>
      <c r="E7523" t="s">
        <v>728</v>
      </c>
    </row>
    <row r="7524" spans="1:5" hidden="1" x14ac:dyDescent="0.3">
      <c r="A7524" t="s">
        <v>557</v>
      </c>
      <c r="B7524" t="s">
        <v>727</v>
      </c>
      <c r="C7524" t="s">
        <v>313</v>
      </c>
      <c r="D7524" s="230">
        <v>0</v>
      </c>
      <c r="E7524" t="s">
        <v>728</v>
      </c>
    </row>
    <row r="7525" spans="1:5" hidden="1" x14ac:dyDescent="0.3">
      <c r="A7525" t="s">
        <v>557</v>
      </c>
      <c r="B7525" t="s">
        <v>727</v>
      </c>
      <c r="C7525" t="s">
        <v>314</v>
      </c>
      <c r="D7525" s="230">
        <v>0</v>
      </c>
      <c r="E7525" t="s">
        <v>728</v>
      </c>
    </row>
    <row r="7526" spans="1:5" hidden="1" x14ac:dyDescent="0.3">
      <c r="A7526" t="s">
        <v>557</v>
      </c>
      <c r="B7526" t="s">
        <v>727</v>
      </c>
      <c r="C7526" t="s">
        <v>315</v>
      </c>
      <c r="D7526" s="230">
        <v>0</v>
      </c>
      <c r="E7526" t="s">
        <v>728</v>
      </c>
    </row>
    <row r="7527" spans="1:5" hidden="1" x14ac:dyDescent="0.3">
      <c r="A7527" t="s">
        <v>557</v>
      </c>
      <c r="B7527" t="s">
        <v>727</v>
      </c>
      <c r="C7527" t="s">
        <v>316</v>
      </c>
      <c r="D7527" s="230">
        <v>0</v>
      </c>
      <c r="E7527" t="s">
        <v>728</v>
      </c>
    </row>
    <row r="7528" spans="1:5" hidden="1" x14ac:dyDescent="0.3">
      <c r="A7528" t="s">
        <v>557</v>
      </c>
      <c r="B7528" t="s">
        <v>727</v>
      </c>
      <c r="C7528" t="s">
        <v>317</v>
      </c>
      <c r="D7528" s="230">
        <v>0</v>
      </c>
      <c r="E7528" t="s">
        <v>728</v>
      </c>
    </row>
    <row r="7529" spans="1:5" hidden="1" x14ac:dyDescent="0.3">
      <c r="A7529" t="s">
        <v>557</v>
      </c>
      <c r="B7529" t="s">
        <v>727</v>
      </c>
      <c r="C7529" t="s">
        <v>44</v>
      </c>
      <c r="D7529" s="230">
        <v>-0.03</v>
      </c>
      <c r="E7529" t="s">
        <v>728</v>
      </c>
    </row>
    <row r="7530" spans="1:5" hidden="1" x14ac:dyDescent="0.3">
      <c r="A7530" t="s">
        <v>557</v>
      </c>
      <c r="B7530" t="s">
        <v>727</v>
      </c>
      <c r="C7530" t="s">
        <v>318</v>
      </c>
      <c r="D7530" s="230">
        <v>-2440.06</v>
      </c>
      <c r="E7530" t="s">
        <v>728</v>
      </c>
    </row>
    <row r="7531" spans="1:5" hidden="1" x14ac:dyDescent="0.3">
      <c r="A7531" t="s">
        <v>557</v>
      </c>
      <c r="B7531" t="s">
        <v>727</v>
      </c>
      <c r="C7531" t="s">
        <v>319</v>
      </c>
      <c r="D7531" s="230">
        <v>-2440.06</v>
      </c>
      <c r="E7531" t="s">
        <v>728</v>
      </c>
    </row>
    <row r="7532" spans="1:5" hidden="1" x14ac:dyDescent="0.3">
      <c r="A7532" t="s">
        <v>557</v>
      </c>
      <c r="B7532" t="s">
        <v>727</v>
      </c>
      <c r="C7532" t="s">
        <v>320</v>
      </c>
      <c r="D7532" s="230">
        <v>0</v>
      </c>
      <c r="E7532" t="s">
        <v>728</v>
      </c>
    </row>
    <row r="7533" spans="1:5" hidden="1" x14ac:dyDescent="0.3">
      <c r="A7533" t="s">
        <v>557</v>
      </c>
      <c r="B7533" t="s">
        <v>727</v>
      </c>
      <c r="C7533" t="s">
        <v>321</v>
      </c>
      <c r="D7533" s="230">
        <v>0</v>
      </c>
      <c r="E7533" t="s">
        <v>728</v>
      </c>
    </row>
    <row r="7534" spans="1:5" hidden="1" x14ac:dyDescent="0.3">
      <c r="A7534" t="s">
        <v>557</v>
      </c>
      <c r="B7534" t="s">
        <v>727</v>
      </c>
      <c r="C7534" t="s">
        <v>322</v>
      </c>
      <c r="D7534" s="230">
        <v>0</v>
      </c>
      <c r="E7534" t="s">
        <v>728</v>
      </c>
    </row>
    <row r="7535" spans="1:5" hidden="1" x14ac:dyDescent="0.3">
      <c r="A7535" t="s">
        <v>557</v>
      </c>
      <c r="B7535" t="s">
        <v>727</v>
      </c>
      <c r="C7535" t="s">
        <v>44</v>
      </c>
      <c r="D7535" s="230">
        <v>-0.01</v>
      </c>
      <c r="E7535" t="s">
        <v>728</v>
      </c>
    </row>
    <row r="7536" spans="1:5" hidden="1" x14ac:dyDescent="0.3">
      <c r="A7536" t="s">
        <v>557</v>
      </c>
      <c r="B7536" t="s">
        <v>727</v>
      </c>
      <c r="C7536" t="s">
        <v>323</v>
      </c>
      <c r="D7536" s="230">
        <v>-21490.44</v>
      </c>
      <c r="E7536" t="s">
        <v>728</v>
      </c>
    </row>
    <row r="7537" spans="1:5" hidden="1" x14ac:dyDescent="0.3">
      <c r="A7537" t="s">
        <v>557</v>
      </c>
      <c r="B7537" t="s">
        <v>727</v>
      </c>
      <c r="C7537" t="s">
        <v>324</v>
      </c>
      <c r="D7537" s="230">
        <v>0</v>
      </c>
      <c r="E7537" t="s">
        <v>728</v>
      </c>
    </row>
    <row r="7538" spans="1:5" hidden="1" x14ac:dyDescent="0.3">
      <c r="A7538" t="s">
        <v>557</v>
      </c>
      <c r="B7538" t="s">
        <v>727</v>
      </c>
      <c r="C7538" t="s">
        <v>325</v>
      </c>
      <c r="D7538" s="230">
        <v>0</v>
      </c>
      <c r="E7538" t="s">
        <v>728</v>
      </c>
    </row>
    <row r="7539" spans="1:5" hidden="1" x14ac:dyDescent="0.3">
      <c r="A7539" t="s">
        <v>557</v>
      </c>
      <c r="B7539" t="s">
        <v>727</v>
      </c>
      <c r="C7539" t="s">
        <v>326</v>
      </c>
      <c r="D7539" s="230">
        <v>-21490.44</v>
      </c>
      <c r="E7539" t="s">
        <v>728</v>
      </c>
    </row>
    <row r="7540" spans="1:5" hidden="1" x14ac:dyDescent="0.3">
      <c r="A7540" t="s">
        <v>557</v>
      </c>
      <c r="B7540" t="s">
        <v>727</v>
      </c>
      <c r="C7540" t="s">
        <v>44</v>
      </c>
      <c r="D7540" s="230">
        <v>-0.05</v>
      </c>
      <c r="E7540" t="s">
        <v>728</v>
      </c>
    </row>
    <row r="7541" spans="1:5" hidden="1" x14ac:dyDescent="0.3">
      <c r="A7541" t="s">
        <v>557</v>
      </c>
      <c r="B7541" t="s">
        <v>727</v>
      </c>
      <c r="C7541" t="s">
        <v>328</v>
      </c>
      <c r="D7541" s="230">
        <v>-260541.52</v>
      </c>
      <c r="E7541" t="s">
        <v>728</v>
      </c>
    </row>
    <row r="7542" spans="1:5" hidden="1" x14ac:dyDescent="0.3">
      <c r="A7542" t="s">
        <v>557</v>
      </c>
      <c r="B7542" t="s">
        <v>727</v>
      </c>
      <c r="C7542" t="s">
        <v>44</v>
      </c>
      <c r="D7542" s="230">
        <v>-0.61</v>
      </c>
      <c r="E7542" t="s">
        <v>728</v>
      </c>
    </row>
    <row r="7543" spans="1:5" hidden="1" x14ac:dyDescent="0.3">
      <c r="A7543" t="s">
        <v>557</v>
      </c>
      <c r="B7543" t="s">
        <v>727</v>
      </c>
      <c r="C7543" t="s">
        <v>329</v>
      </c>
      <c r="D7543" s="230">
        <v>-24466.47</v>
      </c>
      <c r="E7543" t="s">
        <v>728</v>
      </c>
    </row>
    <row r="7544" spans="1:5" hidden="1" x14ac:dyDescent="0.3">
      <c r="A7544" t="s">
        <v>557</v>
      </c>
      <c r="B7544" t="s">
        <v>727</v>
      </c>
      <c r="C7544" t="s">
        <v>44</v>
      </c>
      <c r="D7544" s="230">
        <v>-0.06</v>
      </c>
      <c r="E7544" t="s">
        <v>728</v>
      </c>
    </row>
    <row r="7545" spans="1:5" hidden="1" x14ac:dyDescent="0.3">
      <c r="A7545" t="s">
        <v>557</v>
      </c>
      <c r="B7545" t="s">
        <v>727</v>
      </c>
      <c r="C7545" t="s">
        <v>330</v>
      </c>
      <c r="D7545" s="230">
        <v>0</v>
      </c>
      <c r="E7545" t="s">
        <v>728</v>
      </c>
    </row>
    <row r="7546" spans="1:5" hidden="1" x14ac:dyDescent="0.3">
      <c r="A7546" t="s">
        <v>557</v>
      </c>
      <c r="B7546" t="s">
        <v>727</v>
      </c>
      <c r="C7546" t="s">
        <v>332</v>
      </c>
      <c r="D7546" s="230">
        <v>-24466.47</v>
      </c>
      <c r="E7546" t="s">
        <v>728</v>
      </c>
    </row>
    <row r="7547" spans="1:5" hidden="1" x14ac:dyDescent="0.3">
      <c r="A7547" t="s">
        <v>557</v>
      </c>
      <c r="B7547" t="s">
        <v>727</v>
      </c>
      <c r="C7547" t="s">
        <v>333</v>
      </c>
      <c r="D7547" s="230">
        <v>8930.57</v>
      </c>
      <c r="E7547" t="s">
        <v>728</v>
      </c>
    </row>
    <row r="7548" spans="1:5" hidden="1" x14ac:dyDescent="0.3">
      <c r="A7548" t="s">
        <v>557</v>
      </c>
      <c r="B7548" t="s">
        <v>727</v>
      </c>
      <c r="C7548" t="s">
        <v>334</v>
      </c>
      <c r="D7548" s="230">
        <v>2500</v>
      </c>
      <c r="E7548" t="s">
        <v>728</v>
      </c>
    </row>
    <row r="7549" spans="1:5" hidden="1" x14ac:dyDescent="0.3">
      <c r="A7549" t="s">
        <v>557</v>
      </c>
      <c r="B7549" t="s">
        <v>727</v>
      </c>
      <c r="C7549" t="s">
        <v>336</v>
      </c>
      <c r="D7549" s="230">
        <v>-2694.62</v>
      </c>
      <c r="E7549" t="s">
        <v>728</v>
      </c>
    </row>
    <row r="7550" spans="1:5" hidden="1" x14ac:dyDescent="0.3">
      <c r="A7550" t="s">
        <v>557</v>
      </c>
      <c r="B7550" t="s">
        <v>727</v>
      </c>
      <c r="C7550" t="s">
        <v>338</v>
      </c>
      <c r="D7550" s="230">
        <v>-15730.52</v>
      </c>
      <c r="E7550" t="s">
        <v>728</v>
      </c>
    </row>
    <row r="7551" spans="1:5" hidden="1" x14ac:dyDescent="0.3">
      <c r="A7551" t="s">
        <v>557</v>
      </c>
      <c r="B7551" t="s">
        <v>727</v>
      </c>
      <c r="C7551" t="s">
        <v>339</v>
      </c>
      <c r="D7551" s="230">
        <v>-11244.68</v>
      </c>
      <c r="E7551" t="s">
        <v>728</v>
      </c>
    </row>
    <row r="7552" spans="1:5" hidden="1" x14ac:dyDescent="0.3">
      <c r="A7552" t="s">
        <v>557</v>
      </c>
      <c r="B7552" t="s">
        <v>727</v>
      </c>
      <c r="C7552" t="s">
        <v>342</v>
      </c>
      <c r="D7552" s="230">
        <v>0</v>
      </c>
      <c r="E7552" t="s">
        <v>728</v>
      </c>
    </row>
    <row r="7553" spans="1:5" hidden="1" x14ac:dyDescent="0.3">
      <c r="A7553" t="s">
        <v>557</v>
      </c>
      <c r="B7553" t="s">
        <v>727</v>
      </c>
      <c r="C7553" t="s">
        <v>344</v>
      </c>
      <c r="D7553" s="230">
        <v>-4512.91</v>
      </c>
      <c r="E7553" t="s">
        <v>728</v>
      </c>
    </row>
    <row r="7554" spans="1:5" hidden="1" x14ac:dyDescent="0.3">
      <c r="A7554" t="s">
        <v>557</v>
      </c>
      <c r="B7554" t="s">
        <v>727</v>
      </c>
      <c r="C7554" t="s">
        <v>345</v>
      </c>
      <c r="D7554" s="230">
        <v>-2670.14</v>
      </c>
      <c r="E7554" t="s">
        <v>728</v>
      </c>
    </row>
    <row r="7555" spans="1:5" hidden="1" x14ac:dyDescent="0.3">
      <c r="A7555" t="s">
        <v>557</v>
      </c>
      <c r="B7555" t="s">
        <v>727</v>
      </c>
      <c r="C7555" t="s">
        <v>346</v>
      </c>
      <c r="D7555" s="230">
        <v>-4061.62</v>
      </c>
      <c r="E7555" t="s">
        <v>728</v>
      </c>
    </row>
    <row r="7556" spans="1:5" hidden="1" x14ac:dyDescent="0.3">
      <c r="A7556" t="s">
        <v>557</v>
      </c>
      <c r="B7556" t="s">
        <v>727</v>
      </c>
      <c r="C7556" t="s">
        <v>347</v>
      </c>
      <c r="D7556" s="230">
        <v>-26975.200000000001</v>
      </c>
      <c r="E7556" t="s">
        <v>728</v>
      </c>
    </row>
    <row r="7557" spans="1:5" hidden="1" x14ac:dyDescent="0.3">
      <c r="A7557" t="s">
        <v>557</v>
      </c>
      <c r="B7557" t="s">
        <v>727</v>
      </c>
      <c r="C7557" t="s">
        <v>44</v>
      </c>
      <c r="D7557" s="230">
        <v>-0.06</v>
      </c>
      <c r="E7557" t="s">
        <v>728</v>
      </c>
    </row>
    <row r="7558" spans="1:5" hidden="1" x14ac:dyDescent="0.3">
      <c r="A7558" t="s">
        <v>557</v>
      </c>
      <c r="B7558" t="s">
        <v>727</v>
      </c>
      <c r="C7558" t="s">
        <v>348</v>
      </c>
      <c r="D7558" s="230">
        <v>-14860.75</v>
      </c>
      <c r="E7558" t="s">
        <v>728</v>
      </c>
    </row>
    <row r="7559" spans="1:5" hidden="1" x14ac:dyDescent="0.3">
      <c r="A7559" t="s">
        <v>557</v>
      </c>
      <c r="B7559" t="s">
        <v>727</v>
      </c>
      <c r="C7559" t="s">
        <v>707</v>
      </c>
      <c r="D7559" s="230">
        <v>-10105</v>
      </c>
      <c r="E7559" t="s">
        <v>728</v>
      </c>
    </row>
    <row r="7560" spans="1:5" hidden="1" x14ac:dyDescent="0.3">
      <c r="A7560" t="s">
        <v>557</v>
      </c>
      <c r="B7560" t="s">
        <v>727</v>
      </c>
      <c r="C7560" t="s">
        <v>350</v>
      </c>
      <c r="D7560" s="230">
        <v>-4755.75</v>
      </c>
      <c r="E7560" t="s">
        <v>728</v>
      </c>
    </row>
    <row r="7561" spans="1:5" hidden="1" x14ac:dyDescent="0.3">
      <c r="A7561" t="s">
        <v>557</v>
      </c>
      <c r="B7561" t="s">
        <v>727</v>
      </c>
      <c r="C7561" t="s">
        <v>351</v>
      </c>
      <c r="D7561" s="230">
        <v>0</v>
      </c>
      <c r="E7561" t="s">
        <v>728</v>
      </c>
    </row>
    <row r="7562" spans="1:5" hidden="1" x14ac:dyDescent="0.3">
      <c r="A7562" t="s">
        <v>557</v>
      </c>
      <c r="B7562" t="s">
        <v>727</v>
      </c>
      <c r="C7562" t="s">
        <v>352</v>
      </c>
      <c r="D7562" s="230">
        <v>0</v>
      </c>
      <c r="E7562" t="s">
        <v>728</v>
      </c>
    </row>
    <row r="7563" spans="1:5" hidden="1" x14ac:dyDescent="0.3">
      <c r="A7563" t="s">
        <v>557</v>
      </c>
      <c r="B7563" t="s">
        <v>727</v>
      </c>
      <c r="C7563" t="s">
        <v>353</v>
      </c>
      <c r="D7563" s="230">
        <v>0</v>
      </c>
      <c r="E7563" t="s">
        <v>728</v>
      </c>
    </row>
    <row r="7564" spans="1:5" hidden="1" x14ac:dyDescent="0.3">
      <c r="A7564" t="s">
        <v>557</v>
      </c>
      <c r="B7564" t="s">
        <v>727</v>
      </c>
      <c r="C7564" t="s">
        <v>354</v>
      </c>
      <c r="D7564" s="230">
        <v>0</v>
      </c>
      <c r="E7564" t="s">
        <v>728</v>
      </c>
    </row>
    <row r="7565" spans="1:5" hidden="1" x14ac:dyDescent="0.3">
      <c r="A7565" t="s">
        <v>557</v>
      </c>
      <c r="B7565" t="s">
        <v>727</v>
      </c>
      <c r="C7565" t="s">
        <v>355</v>
      </c>
      <c r="D7565" s="230">
        <v>0</v>
      </c>
      <c r="E7565" t="s">
        <v>728</v>
      </c>
    </row>
    <row r="7566" spans="1:5" hidden="1" x14ac:dyDescent="0.3">
      <c r="A7566" t="s">
        <v>557</v>
      </c>
      <c r="B7566" t="s">
        <v>727</v>
      </c>
      <c r="C7566" t="s">
        <v>356</v>
      </c>
      <c r="D7566" s="230">
        <v>0</v>
      </c>
      <c r="E7566" t="s">
        <v>728</v>
      </c>
    </row>
    <row r="7567" spans="1:5" hidden="1" x14ac:dyDescent="0.3">
      <c r="A7567" t="s">
        <v>557</v>
      </c>
      <c r="B7567" t="s">
        <v>727</v>
      </c>
      <c r="C7567" t="s">
        <v>357</v>
      </c>
      <c r="D7567" s="230">
        <v>0</v>
      </c>
      <c r="E7567" t="s">
        <v>728</v>
      </c>
    </row>
    <row r="7568" spans="1:5" hidden="1" x14ac:dyDescent="0.3">
      <c r="A7568" t="s">
        <v>557</v>
      </c>
      <c r="B7568" t="s">
        <v>727</v>
      </c>
      <c r="C7568" t="s">
        <v>358</v>
      </c>
      <c r="D7568" s="230">
        <v>0</v>
      </c>
      <c r="E7568" t="s">
        <v>728</v>
      </c>
    </row>
    <row r="7569" spans="1:5" hidden="1" x14ac:dyDescent="0.3">
      <c r="A7569" t="s">
        <v>557</v>
      </c>
      <c r="B7569" t="s">
        <v>727</v>
      </c>
      <c r="C7569" t="s">
        <v>359</v>
      </c>
      <c r="D7569" s="230">
        <v>0</v>
      </c>
      <c r="E7569" t="s">
        <v>728</v>
      </c>
    </row>
    <row r="7570" spans="1:5" hidden="1" x14ac:dyDescent="0.3">
      <c r="A7570" t="s">
        <v>557</v>
      </c>
      <c r="B7570" t="s">
        <v>727</v>
      </c>
      <c r="C7570" t="s">
        <v>360</v>
      </c>
      <c r="D7570" s="230">
        <v>0</v>
      </c>
      <c r="E7570" t="s">
        <v>728</v>
      </c>
    </row>
    <row r="7571" spans="1:5" hidden="1" x14ac:dyDescent="0.3">
      <c r="A7571" t="s">
        <v>557</v>
      </c>
      <c r="B7571" t="s">
        <v>727</v>
      </c>
      <c r="C7571" t="s">
        <v>361</v>
      </c>
      <c r="D7571" s="230">
        <v>0</v>
      </c>
      <c r="E7571" t="s">
        <v>728</v>
      </c>
    </row>
    <row r="7572" spans="1:5" hidden="1" x14ac:dyDescent="0.3">
      <c r="A7572" t="s">
        <v>557</v>
      </c>
      <c r="B7572" t="s">
        <v>727</v>
      </c>
      <c r="C7572" t="s">
        <v>362</v>
      </c>
      <c r="D7572" s="230">
        <v>0</v>
      </c>
      <c r="E7572" t="s">
        <v>728</v>
      </c>
    </row>
    <row r="7573" spans="1:5" hidden="1" x14ac:dyDescent="0.3">
      <c r="A7573" t="s">
        <v>557</v>
      </c>
      <c r="B7573" t="s">
        <v>727</v>
      </c>
      <c r="C7573" t="s">
        <v>363</v>
      </c>
      <c r="D7573" s="230">
        <v>0</v>
      </c>
      <c r="E7573" t="s">
        <v>728</v>
      </c>
    </row>
    <row r="7574" spans="1:5" hidden="1" x14ac:dyDescent="0.3">
      <c r="A7574" t="s">
        <v>557</v>
      </c>
      <c r="B7574" t="s">
        <v>727</v>
      </c>
      <c r="C7574" t="s">
        <v>364</v>
      </c>
      <c r="D7574" s="230">
        <v>0</v>
      </c>
      <c r="E7574" t="s">
        <v>728</v>
      </c>
    </row>
    <row r="7575" spans="1:5" hidden="1" x14ac:dyDescent="0.3">
      <c r="A7575" t="s">
        <v>557</v>
      </c>
      <c r="B7575" t="s">
        <v>727</v>
      </c>
      <c r="C7575" t="s">
        <v>365</v>
      </c>
      <c r="D7575" s="230">
        <v>0</v>
      </c>
      <c r="E7575" t="s">
        <v>728</v>
      </c>
    </row>
    <row r="7576" spans="1:5" hidden="1" x14ac:dyDescent="0.3">
      <c r="A7576" t="s">
        <v>557</v>
      </c>
      <c r="B7576" t="s">
        <v>727</v>
      </c>
      <c r="C7576" t="s">
        <v>366</v>
      </c>
      <c r="D7576" s="230">
        <v>0</v>
      </c>
      <c r="E7576" t="s">
        <v>728</v>
      </c>
    </row>
    <row r="7577" spans="1:5" hidden="1" x14ac:dyDescent="0.3">
      <c r="A7577" t="s">
        <v>557</v>
      </c>
      <c r="B7577" t="s">
        <v>727</v>
      </c>
      <c r="C7577" t="s">
        <v>367</v>
      </c>
      <c r="D7577" s="230">
        <v>0</v>
      </c>
      <c r="E7577" t="s">
        <v>728</v>
      </c>
    </row>
    <row r="7578" spans="1:5" hidden="1" x14ac:dyDescent="0.3">
      <c r="A7578" t="s">
        <v>557</v>
      </c>
      <c r="B7578" t="s">
        <v>727</v>
      </c>
      <c r="C7578" t="s">
        <v>368</v>
      </c>
      <c r="D7578" s="230">
        <v>0</v>
      </c>
      <c r="E7578" t="s">
        <v>728</v>
      </c>
    </row>
    <row r="7579" spans="1:5" hidden="1" x14ac:dyDescent="0.3">
      <c r="A7579" t="s">
        <v>557</v>
      </c>
      <c r="B7579" t="s">
        <v>727</v>
      </c>
      <c r="C7579" t="s">
        <v>369</v>
      </c>
      <c r="D7579" s="230">
        <v>0</v>
      </c>
      <c r="E7579" t="s">
        <v>728</v>
      </c>
    </row>
    <row r="7580" spans="1:5" hidden="1" x14ac:dyDescent="0.3">
      <c r="A7580" t="s">
        <v>557</v>
      </c>
      <c r="B7580" t="s">
        <v>727</v>
      </c>
      <c r="C7580" t="s">
        <v>370</v>
      </c>
      <c r="D7580" s="230">
        <v>0</v>
      </c>
      <c r="E7580" t="s">
        <v>728</v>
      </c>
    </row>
    <row r="7581" spans="1:5" hidden="1" x14ac:dyDescent="0.3">
      <c r="A7581" t="s">
        <v>557</v>
      </c>
      <c r="B7581" t="s">
        <v>727</v>
      </c>
      <c r="C7581" t="s">
        <v>371</v>
      </c>
      <c r="D7581" s="230">
        <v>0</v>
      </c>
      <c r="E7581" t="s">
        <v>728</v>
      </c>
    </row>
    <row r="7582" spans="1:5" hidden="1" x14ac:dyDescent="0.3">
      <c r="A7582" t="s">
        <v>557</v>
      </c>
      <c r="B7582" t="s">
        <v>727</v>
      </c>
      <c r="C7582" t="s">
        <v>372</v>
      </c>
      <c r="D7582" s="230">
        <v>0</v>
      </c>
      <c r="E7582" t="s">
        <v>728</v>
      </c>
    </row>
    <row r="7583" spans="1:5" hidden="1" x14ac:dyDescent="0.3">
      <c r="A7583" t="s">
        <v>557</v>
      </c>
      <c r="B7583" t="s">
        <v>727</v>
      </c>
      <c r="C7583" t="s">
        <v>373</v>
      </c>
      <c r="D7583" s="230">
        <v>0</v>
      </c>
      <c r="E7583" t="s">
        <v>728</v>
      </c>
    </row>
    <row r="7584" spans="1:5" hidden="1" x14ac:dyDescent="0.3">
      <c r="A7584" t="s">
        <v>557</v>
      </c>
      <c r="B7584" t="s">
        <v>727</v>
      </c>
      <c r="C7584" t="s">
        <v>374</v>
      </c>
      <c r="D7584" s="230">
        <v>0</v>
      </c>
      <c r="E7584" t="s">
        <v>728</v>
      </c>
    </row>
    <row r="7585" spans="1:5" hidden="1" x14ac:dyDescent="0.3">
      <c r="A7585" t="s">
        <v>557</v>
      </c>
      <c r="B7585" t="s">
        <v>727</v>
      </c>
      <c r="C7585" t="s">
        <v>708</v>
      </c>
      <c r="D7585" s="230">
        <v>0</v>
      </c>
      <c r="E7585" t="s">
        <v>728</v>
      </c>
    </row>
    <row r="7586" spans="1:5" hidden="1" x14ac:dyDescent="0.3">
      <c r="A7586" t="s">
        <v>557</v>
      </c>
      <c r="B7586" t="s">
        <v>729</v>
      </c>
      <c r="C7586" t="s">
        <v>11</v>
      </c>
      <c r="D7586" s="230">
        <v>713654.13</v>
      </c>
      <c r="E7586" t="s">
        <v>730</v>
      </c>
    </row>
    <row r="7587" spans="1:5" hidden="1" x14ac:dyDescent="0.3">
      <c r="A7587" t="s">
        <v>557</v>
      </c>
      <c r="B7587" t="s">
        <v>729</v>
      </c>
      <c r="C7587" t="s">
        <v>13</v>
      </c>
      <c r="D7587" s="230">
        <v>236506.98</v>
      </c>
      <c r="E7587" t="s">
        <v>730</v>
      </c>
    </row>
    <row r="7588" spans="1:5" hidden="1" x14ac:dyDescent="0.3">
      <c r="A7588" t="s">
        <v>557</v>
      </c>
      <c r="B7588" t="s">
        <v>729</v>
      </c>
      <c r="C7588" t="s">
        <v>16</v>
      </c>
      <c r="D7588" s="230">
        <v>149666.18</v>
      </c>
      <c r="E7588" t="s">
        <v>730</v>
      </c>
    </row>
    <row r="7589" spans="1:5" hidden="1" x14ac:dyDescent="0.3">
      <c r="A7589" t="s">
        <v>557</v>
      </c>
      <c r="B7589" t="s">
        <v>729</v>
      </c>
      <c r="C7589" t="s">
        <v>17</v>
      </c>
      <c r="D7589" s="230">
        <v>2850</v>
      </c>
      <c r="E7589" t="s">
        <v>730</v>
      </c>
    </row>
    <row r="7590" spans="1:5" hidden="1" x14ac:dyDescent="0.3">
      <c r="A7590" t="s">
        <v>557</v>
      </c>
      <c r="B7590" t="s">
        <v>729</v>
      </c>
      <c r="C7590" t="s">
        <v>18</v>
      </c>
      <c r="D7590" s="230">
        <v>189</v>
      </c>
      <c r="E7590" t="s">
        <v>730</v>
      </c>
    </row>
    <row r="7591" spans="1:5" hidden="1" x14ac:dyDescent="0.3">
      <c r="A7591" t="s">
        <v>557</v>
      </c>
      <c r="B7591" t="s">
        <v>729</v>
      </c>
      <c r="C7591" t="s">
        <v>20</v>
      </c>
      <c r="D7591" s="230">
        <v>48974.1</v>
      </c>
      <c r="E7591" t="s">
        <v>730</v>
      </c>
    </row>
    <row r="7592" spans="1:5" hidden="1" x14ac:dyDescent="0.3">
      <c r="A7592" t="s">
        <v>557</v>
      </c>
      <c r="B7592" t="s">
        <v>729</v>
      </c>
      <c r="C7592" t="s">
        <v>23</v>
      </c>
      <c r="D7592" s="230">
        <v>237101.88</v>
      </c>
      <c r="E7592" t="s">
        <v>730</v>
      </c>
    </row>
    <row r="7593" spans="1:5" hidden="1" x14ac:dyDescent="0.3">
      <c r="A7593" t="s">
        <v>557</v>
      </c>
      <c r="B7593" t="s">
        <v>729</v>
      </c>
      <c r="C7593" t="s">
        <v>25</v>
      </c>
      <c r="D7593" s="230">
        <v>0</v>
      </c>
      <c r="E7593" t="s">
        <v>730</v>
      </c>
    </row>
    <row r="7594" spans="1:5" hidden="1" x14ac:dyDescent="0.3">
      <c r="A7594" t="s">
        <v>557</v>
      </c>
      <c r="B7594" t="s">
        <v>729</v>
      </c>
      <c r="C7594" t="s">
        <v>26</v>
      </c>
      <c r="D7594" s="230">
        <v>34350</v>
      </c>
      <c r="E7594" t="s">
        <v>730</v>
      </c>
    </row>
    <row r="7595" spans="1:5" hidden="1" x14ac:dyDescent="0.3">
      <c r="A7595" t="s">
        <v>557</v>
      </c>
      <c r="B7595" t="s">
        <v>729</v>
      </c>
      <c r="C7595" t="s">
        <v>27</v>
      </c>
      <c r="D7595" s="230">
        <v>0</v>
      </c>
      <c r="E7595" t="s">
        <v>730</v>
      </c>
    </row>
    <row r="7596" spans="1:5" hidden="1" x14ac:dyDescent="0.3">
      <c r="A7596" t="s">
        <v>557</v>
      </c>
      <c r="B7596" t="s">
        <v>729</v>
      </c>
      <c r="C7596" t="s">
        <v>29</v>
      </c>
      <c r="D7596" s="230">
        <v>4016</v>
      </c>
      <c r="E7596" t="s">
        <v>730</v>
      </c>
    </row>
    <row r="7597" spans="1:5" hidden="1" x14ac:dyDescent="0.3">
      <c r="A7597" t="s">
        <v>557</v>
      </c>
      <c r="B7597" t="s">
        <v>729</v>
      </c>
      <c r="C7597" t="s">
        <v>31</v>
      </c>
      <c r="D7597" s="230">
        <v>0</v>
      </c>
      <c r="E7597" t="s">
        <v>730</v>
      </c>
    </row>
    <row r="7598" spans="1:5" hidden="1" x14ac:dyDescent="0.3">
      <c r="A7598" t="s">
        <v>557</v>
      </c>
      <c r="B7598" t="s">
        <v>729</v>
      </c>
      <c r="C7598" t="s">
        <v>34</v>
      </c>
      <c r="D7598" s="230">
        <v>-13207.79</v>
      </c>
      <c r="E7598" t="s">
        <v>730</v>
      </c>
    </row>
    <row r="7599" spans="1:5" hidden="1" x14ac:dyDescent="0.3">
      <c r="A7599" t="s">
        <v>557</v>
      </c>
      <c r="B7599" t="s">
        <v>729</v>
      </c>
      <c r="C7599" t="s">
        <v>38</v>
      </c>
      <c r="D7599" s="230">
        <v>-13207.79</v>
      </c>
      <c r="E7599" t="s">
        <v>730</v>
      </c>
    </row>
    <row r="7600" spans="1:5" hidden="1" x14ac:dyDescent="0.3">
      <c r="A7600" t="s">
        <v>557</v>
      </c>
      <c r="B7600" t="s">
        <v>729</v>
      </c>
      <c r="C7600" t="s">
        <v>40</v>
      </c>
      <c r="D7600" s="230">
        <v>0</v>
      </c>
      <c r="E7600" t="s">
        <v>730</v>
      </c>
    </row>
    <row r="7601" spans="1:5" hidden="1" x14ac:dyDescent="0.3">
      <c r="A7601" t="s">
        <v>557</v>
      </c>
      <c r="B7601" t="s">
        <v>729</v>
      </c>
      <c r="C7601" t="s">
        <v>42</v>
      </c>
      <c r="D7601" s="230">
        <v>0</v>
      </c>
      <c r="E7601" t="s">
        <v>730</v>
      </c>
    </row>
    <row r="7602" spans="1:5" hidden="1" x14ac:dyDescent="0.3">
      <c r="A7602" t="s">
        <v>557</v>
      </c>
      <c r="B7602" t="s">
        <v>729</v>
      </c>
      <c r="C7602" t="s">
        <v>44</v>
      </c>
      <c r="D7602" s="230">
        <v>-0.02</v>
      </c>
      <c r="E7602" t="s">
        <v>730</v>
      </c>
    </row>
    <row r="7603" spans="1:5" hidden="1" x14ac:dyDescent="0.3">
      <c r="A7603" t="s">
        <v>557</v>
      </c>
      <c r="B7603" t="s">
        <v>729</v>
      </c>
      <c r="C7603" t="s">
        <v>45</v>
      </c>
      <c r="D7603" s="230">
        <v>-49036.18</v>
      </c>
      <c r="E7603" t="s">
        <v>730</v>
      </c>
    </row>
    <row r="7604" spans="1:5" hidden="1" x14ac:dyDescent="0.3">
      <c r="A7604" t="s">
        <v>557</v>
      </c>
      <c r="B7604" t="s">
        <v>729</v>
      </c>
      <c r="C7604" t="s">
        <v>46</v>
      </c>
      <c r="D7604" s="230">
        <v>-23778.74</v>
      </c>
      <c r="E7604" t="s">
        <v>730</v>
      </c>
    </row>
    <row r="7605" spans="1:5" hidden="1" x14ac:dyDescent="0.3">
      <c r="A7605" t="s">
        <v>557</v>
      </c>
      <c r="B7605" t="s">
        <v>729</v>
      </c>
      <c r="C7605" t="s">
        <v>48</v>
      </c>
      <c r="D7605" s="230">
        <v>-13259.85</v>
      </c>
      <c r="E7605" t="s">
        <v>730</v>
      </c>
    </row>
    <row r="7606" spans="1:5" hidden="1" x14ac:dyDescent="0.3">
      <c r="A7606" t="s">
        <v>557</v>
      </c>
      <c r="B7606" t="s">
        <v>729</v>
      </c>
      <c r="C7606" t="s">
        <v>49</v>
      </c>
      <c r="D7606" s="230">
        <v>-11997.59</v>
      </c>
      <c r="E7606" t="s">
        <v>730</v>
      </c>
    </row>
    <row r="7607" spans="1:5" hidden="1" x14ac:dyDescent="0.3">
      <c r="A7607" t="s">
        <v>557</v>
      </c>
      <c r="B7607" t="s">
        <v>729</v>
      </c>
      <c r="C7607" t="s">
        <v>50</v>
      </c>
      <c r="D7607" s="230">
        <v>651410.16</v>
      </c>
      <c r="E7607" t="s">
        <v>730</v>
      </c>
    </row>
    <row r="7608" spans="1:5" hidden="1" x14ac:dyDescent="0.3">
      <c r="A7608" t="s">
        <v>557</v>
      </c>
      <c r="B7608" t="s">
        <v>729</v>
      </c>
      <c r="C7608" t="s">
        <v>51</v>
      </c>
      <c r="D7608" s="230">
        <v>-170875.87</v>
      </c>
      <c r="E7608" t="s">
        <v>730</v>
      </c>
    </row>
    <row r="7609" spans="1:5" hidden="1" x14ac:dyDescent="0.3">
      <c r="A7609" t="s">
        <v>557</v>
      </c>
      <c r="B7609" t="s">
        <v>729</v>
      </c>
      <c r="C7609" t="s">
        <v>52</v>
      </c>
      <c r="D7609" s="230">
        <v>-126582.08</v>
      </c>
      <c r="E7609" t="s">
        <v>730</v>
      </c>
    </row>
    <row r="7610" spans="1:5" hidden="1" x14ac:dyDescent="0.3">
      <c r="A7610" t="s">
        <v>557</v>
      </c>
      <c r="B7610" t="s">
        <v>729</v>
      </c>
      <c r="C7610" t="s">
        <v>53</v>
      </c>
      <c r="D7610" s="230">
        <v>-44293.79</v>
      </c>
      <c r="E7610" t="s">
        <v>730</v>
      </c>
    </row>
    <row r="7611" spans="1:5" hidden="1" x14ac:dyDescent="0.3">
      <c r="A7611" t="s">
        <v>557</v>
      </c>
      <c r="B7611" t="s">
        <v>729</v>
      </c>
      <c r="C7611" t="s">
        <v>54</v>
      </c>
      <c r="D7611" s="230">
        <v>0</v>
      </c>
      <c r="E7611" t="s">
        <v>730</v>
      </c>
    </row>
    <row r="7612" spans="1:5" hidden="1" x14ac:dyDescent="0.3">
      <c r="A7612" t="s">
        <v>557</v>
      </c>
      <c r="B7612" t="s">
        <v>729</v>
      </c>
      <c r="C7612" t="s">
        <v>23</v>
      </c>
      <c r="D7612" s="230">
        <v>0</v>
      </c>
      <c r="E7612" t="s">
        <v>730</v>
      </c>
    </row>
    <row r="7613" spans="1:5" hidden="1" x14ac:dyDescent="0.3">
      <c r="A7613" t="s">
        <v>557</v>
      </c>
      <c r="B7613" t="s">
        <v>729</v>
      </c>
      <c r="C7613" t="s">
        <v>44</v>
      </c>
      <c r="D7613" s="230">
        <v>-0.27</v>
      </c>
      <c r="E7613" t="s">
        <v>730</v>
      </c>
    </row>
    <row r="7614" spans="1:5" hidden="1" x14ac:dyDescent="0.3">
      <c r="A7614" t="s">
        <v>557</v>
      </c>
      <c r="B7614" t="s">
        <v>729</v>
      </c>
      <c r="C7614" t="s">
        <v>55</v>
      </c>
      <c r="D7614" s="230">
        <v>-0.26</v>
      </c>
      <c r="E7614" t="s">
        <v>730</v>
      </c>
    </row>
    <row r="7615" spans="1:5" hidden="1" x14ac:dyDescent="0.3">
      <c r="A7615" t="s">
        <v>557</v>
      </c>
      <c r="B7615" t="s">
        <v>729</v>
      </c>
      <c r="C7615" t="s">
        <v>56</v>
      </c>
      <c r="D7615" s="230">
        <v>-6736.2</v>
      </c>
      <c r="E7615" t="s">
        <v>730</v>
      </c>
    </row>
    <row r="7616" spans="1:5" hidden="1" x14ac:dyDescent="0.3">
      <c r="A7616" t="s">
        <v>557</v>
      </c>
      <c r="B7616" t="s">
        <v>729</v>
      </c>
      <c r="C7616" t="s">
        <v>57</v>
      </c>
      <c r="D7616" s="230">
        <v>-5069.2</v>
      </c>
      <c r="E7616" t="s">
        <v>730</v>
      </c>
    </row>
    <row r="7617" spans="1:5" hidden="1" x14ac:dyDescent="0.3">
      <c r="A7617" t="s">
        <v>557</v>
      </c>
      <c r="B7617" t="s">
        <v>729</v>
      </c>
      <c r="C7617" t="s">
        <v>58</v>
      </c>
      <c r="D7617" s="230">
        <v>-4950</v>
      </c>
      <c r="E7617" t="s">
        <v>730</v>
      </c>
    </row>
    <row r="7618" spans="1:5" hidden="1" x14ac:dyDescent="0.3">
      <c r="A7618" t="s">
        <v>557</v>
      </c>
      <c r="B7618" t="s">
        <v>729</v>
      </c>
      <c r="C7618" t="s">
        <v>59</v>
      </c>
      <c r="D7618" s="230">
        <v>-119.2</v>
      </c>
      <c r="E7618" t="s">
        <v>730</v>
      </c>
    </row>
    <row r="7619" spans="1:5" hidden="1" x14ac:dyDescent="0.3">
      <c r="A7619" t="s">
        <v>557</v>
      </c>
      <c r="B7619" t="s">
        <v>729</v>
      </c>
      <c r="C7619" t="s">
        <v>61</v>
      </c>
      <c r="D7619" s="230">
        <v>0</v>
      </c>
      <c r="E7619" t="s">
        <v>730</v>
      </c>
    </row>
    <row r="7620" spans="1:5" hidden="1" x14ac:dyDescent="0.3">
      <c r="A7620" t="s">
        <v>557</v>
      </c>
      <c r="B7620" t="s">
        <v>729</v>
      </c>
      <c r="C7620" t="s">
        <v>62</v>
      </c>
      <c r="D7620" s="230">
        <v>0</v>
      </c>
      <c r="E7620" t="s">
        <v>730</v>
      </c>
    </row>
    <row r="7621" spans="1:5" hidden="1" x14ac:dyDescent="0.3">
      <c r="A7621" t="s">
        <v>557</v>
      </c>
      <c r="B7621" t="s">
        <v>729</v>
      </c>
      <c r="C7621" t="s">
        <v>64</v>
      </c>
      <c r="D7621" s="230">
        <v>0</v>
      </c>
      <c r="E7621" t="s">
        <v>730</v>
      </c>
    </row>
    <row r="7622" spans="1:5" hidden="1" x14ac:dyDescent="0.3">
      <c r="A7622" t="s">
        <v>557</v>
      </c>
      <c r="B7622" t="s">
        <v>729</v>
      </c>
      <c r="C7622" t="s">
        <v>65</v>
      </c>
      <c r="D7622" s="230">
        <v>-1667</v>
      </c>
      <c r="E7622" t="s">
        <v>730</v>
      </c>
    </row>
    <row r="7623" spans="1:5" hidden="1" x14ac:dyDescent="0.3">
      <c r="A7623" t="s">
        <v>557</v>
      </c>
      <c r="B7623" t="s">
        <v>729</v>
      </c>
      <c r="C7623" t="s">
        <v>66</v>
      </c>
      <c r="D7623" s="230">
        <v>-1667</v>
      </c>
      <c r="E7623" t="s">
        <v>730</v>
      </c>
    </row>
    <row r="7624" spans="1:5" hidden="1" x14ac:dyDescent="0.3">
      <c r="A7624" t="s">
        <v>557</v>
      </c>
      <c r="B7624" t="s">
        <v>729</v>
      </c>
      <c r="C7624" t="s">
        <v>68</v>
      </c>
      <c r="D7624" s="230">
        <v>0</v>
      </c>
      <c r="E7624" t="s">
        <v>730</v>
      </c>
    </row>
    <row r="7625" spans="1:5" hidden="1" x14ac:dyDescent="0.3">
      <c r="A7625" t="s">
        <v>557</v>
      </c>
      <c r="B7625" t="s">
        <v>729</v>
      </c>
      <c r="C7625" t="s">
        <v>69</v>
      </c>
      <c r="D7625" s="230">
        <v>0</v>
      </c>
      <c r="E7625" t="s">
        <v>730</v>
      </c>
    </row>
    <row r="7626" spans="1:5" hidden="1" x14ac:dyDescent="0.3">
      <c r="A7626" t="s">
        <v>557</v>
      </c>
      <c r="B7626" t="s">
        <v>729</v>
      </c>
      <c r="C7626" t="s">
        <v>70</v>
      </c>
      <c r="D7626" s="230">
        <v>-2.36</v>
      </c>
      <c r="E7626" t="s">
        <v>730</v>
      </c>
    </row>
    <row r="7627" spans="1:5" hidden="1" x14ac:dyDescent="0.3">
      <c r="A7627" t="s">
        <v>557</v>
      </c>
      <c r="B7627" t="s">
        <v>729</v>
      </c>
      <c r="C7627" t="s">
        <v>44</v>
      </c>
      <c r="D7627" s="230">
        <v>-0.01</v>
      </c>
      <c r="E7627" t="s">
        <v>730</v>
      </c>
    </row>
    <row r="7628" spans="1:5" hidden="1" x14ac:dyDescent="0.3">
      <c r="A7628" t="s">
        <v>557</v>
      </c>
      <c r="B7628" t="s">
        <v>729</v>
      </c>
      <c r="C7628" t="s">
        <v>71</v>
      </c>
      <c r="D7628" s="230">
        <v>0</v>
      </c>
      <c r="E7628" t="s">
        <v>730</v>
      </c>
    </row>
    <row r="7629" spans="1:5" hidden="1" x14ac:dyDescent="0.3">
      <c r="A7629" t="s">
        <v>557</v>
      </c>
      <c r="B7629" t="s">
        <v>729</v>
      </c>
      <c r="C7629" t="s">
        <v>72</v>
      </c>
      <c r="D7629" s="230">
        <v>0</v>
      </c>
      <c r="E7629" t="s">
        <v>730</v>
      </c>
    </row>
    <row r="7630" spans="1:5" hidden="1" x14ac:dyDescent="0.3">
      <c r="A7630" t="s">
        <v>557</v>
      </c>
      <c r="B7630" t="s">
        <v>729</v>
      </c>
      <c r="C7630" t="s">
        <v>73</v>
      </c>
      <c r="D7630" s="230">
        <v>0</v>
      </c>
      <c r="E7630" t="s">
        <v>730</v>
      </c>
    </row>
    <row r="7631" spans="1:5" hidden="1" x14ac:dyDescent="0.3">
      <c r="A7631" t="s">
        <v>557</v>
      </c>
      <c r="B7631" t="s">
        <v>729</v>
      </c>
      <c r="C7631" t="s">
        <v>75</v>
      </c>
      <c r="D7631" s="230">
        <v>0</v>
      </c>
      <c r="E7631" t="s">
        <v>730</v>
      </c>
    </row>
    <row r="7632" spans="1:5" hidden="1" x14ac:dyDescent="0.3">
      <c r="A7632" t="s">
        <v>557</v>
      </c>
      <c r="B7632" t="s">
        <v>729</v>
      </c>
      <c r="C7632" t="s">
        <v>77</v>
      </c>
      <c r="D7632" s="230">
        <v>0</v>
      </c>
      <c r="E7632" t="s">
        <v>730</v>
      </c>
    </row>
    <row r="7633" spans="1:5" hidden="1" x14ac:dyDescent="0.3">
      <c r="A7633" t="s">
        <v>557</v>
      </c>
      <c r="B7633" t="s">
        <v>729</v>
      </c>
      <c r="C7633" t="s">
        <v>78</v>
      </c>
      <c r="D7633" s="230">
        <v>0</v>
      </c>
      <c r="E7633" t="s">
        <v>730</v>
      </c>
    </row>
    <row r="7634" spans="1:5" hidden="1" x14ac:dyDescent="0.3">
      <c r="A7634" t="s">
        <v>557</v>
      </c>
      <c r="B7634" t="s">
        <v>729</v>
      </c>
      <c r="C7634" t="s">
        <v>80</v>
      </c>
      <c r="D7634" s="230">
        <v>0</v>
      </c>
      <c r="E7634" t="s">
        <v>730</v>
      </c>
    </row>
    <row r="7635" spans="1:5" hidden="1" x14ac:dyDescent="0.3">
      <c r="A7635" t="s">
        <v>557</v>
      </c>
      <c r="B7635" t="s">
        <v>729</v>
      </c>
      <c r="C7635" t="s">
        <v>82</v>
      </c>
      <c r="D7635" s="230">
        <v>0</v>
      </c>
      <c r="E7635" t="s">
        <v>730</v>
      </c>
    </row>
    <row r="7636" spans="1:5" hidden="1" x14ac:dyDescent="0.3">
      <c r="A7636" t="s">
        <v>557</v>
      </c>
      <c r="B7636" t="s">
        <v>729</v>
      </c>
      <c r="C7636" t="s">
        <v>84</v>
      </c>
      <c r="D7636" s="230">
        <v>0</v>
      </c>
      <c r="E7636" t="s">
        <v>730</v>
      </c>
    </row>
    <row r="7637" spans="1:5" hidden="1" x14ac:dyDescent="0.3">
      <c r="A7637" t="s">
        <v>557</v>
      </c>
      <c r="B7637" t="s">
        <v>729</v>
      </c>
      <c r="C7637" t="s">
        <v>85</v>
      </c>
      <c r="D7637" s="230">
        <v>0</v>
      </c>
      <c r="E7637" t="s">
        <v>730</v>
      </c>
    </row>
    <row r="7638" spans="1:5" hidden="1" x14ac:dyDescent="0.3">
      <c r="A7638" t="s">
        <v>557</v>
      </c>
      <c r="B7638" t="s">
        <v>729</v>
      </c>
      <c r="C7638" t="s">
        <v>86</v>
      </c>
      <c r="D7638" s="230">
        <v>0</v>
      </c>
      <c r="E7638" t="s">
        <v>730</v>
      </c>
    </row>
    <row r="7639" spans="1:5" hidden="1" x14ac:dyDescent="0.3">
      <c r="A7639" t="s">
        <v>557</v>
      </c>
      <c r="B7639" t="s">
        <v>729</v>
      </c>
      <c r="C7639" t="s">
        <v>87</v>
      </c>
      <c r="D7639" s="230">
        <v>0</v>
      </c>
      <c r="E7639" t="s">
        <v>730</v>
      </c>
    </row>
    <row r="7640" spans="1:5" hidden="1" x14ac:dyDescent="0.3">
      <c r="A7640" t="s">
        <v>557</v>
      </c>
      <c r="B7640" t="s">
        <v>729</v>
      </c>
      <c r="C7640" t="s">
        <v>88</v>
      </c>
      <c r="D7640" s="230">
        <v>0</v>
      </c>
      <c r="E7640" t="s">
        <v>730</v>
      </c>
    </row>
    <row r="7641" spans="1:5" hidden="1" x14ac:dyDescent="0.3">
      <c r="A7641" t="s">
        <v>557</v>
      </c>
      <c r="B7641" t="s">
        <v>729</v>
      </c>
      <c r="C7641" t="s">
        <v>89</v>
      </c>
      <c r="D7641" s="230">
        <v>0</v>
      </c>
      <c r="E7641" t="s">
        <v>730</v>
      </c>
    </row>
    <row r="7642" spans="1:5" hidden="1" x14ac:dyDescent="0.3">
      <c r="A7642" t="s">
        <v>557</v>
      </c>
      <c r="B7642" t="s">
        <v>729</v>
      </c>
      <c r="C7642" t="s">
        <v>90</v>
      </c>
      <c r="D7642" s="230">
        <v>0</v>
      </c>
      <c r="E7642" t="s">
        <v>730</v>
      </c>
    </row>
    <row r="7643" spans="1:5" hidden="1" x14ac:dyDescent="0.3">
      <c r="A7643" t="s">
        <v>557</v>
      </c>
      <c r="B7643" t="s">
        <v>729</v>
      </c>
      <c r="C7643" t="s">
        <v>91</v>
      </c>
      <c r="D7643" s="230">
        <v>0</v>
      </c>
      <c r="E7643" t="s">
        <v>730</v>
      </c>
    </row>
    <row r="7644" spans="1:5" hidden="1" x14ac:dyDescent="0.3">
      <c r="A7644" t="s">
        <v>557</v>
      </c>
      <c r="B7644" t="s">
        <v>729</v>
      </c>
      <c r="C7644" t="s">
        <v>93</v>
      </c>
      <c r="D7644" s="230">
        <v>0</v>
      </c>
      <c r="E7644" t="s">
        <v>730</v>
      </c>
    </row>
    <row r="7645" spans="1:5" hidden="1" x14ac:dyDescent="0.3">
      <c r="A7645" t="s">
        <v>557</v>
      </c>
      <c r="B7645" t="s">
        <v>729</v>
      </c>
      <c r="C7645" t="s">
        <v>95</v>
      </c>
      <c r="D7645" s="230">
        <v>0</v>
      </c>
      <c r="E7645" t="s">
        <v>730</v>
      </c>
    </row>
    <row r="7646" spans="1:5" hidden="1" x14ac:dyDescent="0.3">
      <c r="A7646" t="s">
        <v>557</v>
      </c>
      <c r="B7646" t="s">
        <v>729</v>
      </c>
      <c r="C7646" t="s">
        <v>96</v>
      </c>
      <c r="D7646" s="230">
        <v>0</v>
      </c>
      <c r="E7646" t="s">
        <v>730</v>
      </c>
    </row>
    <row r="7647" spans="1:5" hidden="1" x14ac:dyDescent="0.3">
      <c r="A7647" t="s">
        <v>557</v>
      </c>
      <c r="B7647" t="s">
        <v>729</v>
      </c>
      <c r="C7647" t="s">
        <v>98</v>
      </c>
      <c r="D7647" s="230">
        <v>0</v>
      </c>
      <c r="E7647" t="s">
        <v>730</v>
      </c>
    </row>
    <row r="7648" spans="1:5" hidden="1" x14ac:dyDescent="0.3">
      <c r="A7648" t="s">
        <v>557</v>
      </c>
      <c r="B7648" t="s">
        <v>729</v>
      </c>
      <c r="C7648" t="s">
        <v>100</v>
      </c>
      <c r="D7648" s="230">
        <v>0</v>
      </c>
      <c r="E7648" t="s">
        <v>730</v>
      </c>
    </row>
    <row r="7649" spans="1:5" hidden="1" x14ac:dyDescent="0.3">
      <c r="A7649" t="s">
        <v>557</v>
      </c>
      <c r="B7649" t="s">
        <v>729</v>
      </c>
      <c r="C7649" t="s">
        <v>101</v>
      </c>
      <c r="D7649" s="230">
        <v>0</v>
      </c>
      <c r="E7649" t="s">
        <v>730</v>
      </c>
    </row>
    <row r="7650" spans="1:5" hidden="1" x14ac:dyDescent="0.3">
      <c r="A7650" t="s">
        <v>557</v>
      </c>
      <c r="B7650" t="s">
        <v>729</v>
      </c>
      <c r="C7650" t="s">
        <v>102</v>
      </c>
      <c r="D7650" s="230">
        <v>0</v>
      </c>
      <c r="E7650" t="s">
        <v>730</v>
      </c>
    </row>
    <row r="7651" spans="1:5" hidden="1" x14ac:dyDescent="0.3">
      <c r="A7651" t="s">
        <v>557</v>
      </c>
      <c r="B7651" t="s">
        <v>729</v>
      </c>
      <c r="C7651" t="s">
        <v>103</v>
      </c>
      <c r="D7651" s="230">
        <v>0</v>
      </c>
      <c r="E7651" t="s">
        <v>730</v>
      </c>
    </row>
    <row r="7652" spans="1:5" hidden="1" x14ac:dyDescent="0.3">
      <c r="A7652" t="s">
        <v>557</v>
      </c>
      <c r="B7652" t="s">
        <v>729</v>
      </c>
      <c r="C7652" t="s">
        <v>104</v>
      </c>
      <c r="D7652" s="230">
        <v>0</v>
      </c>
      <c r="E7652" t="s">
        <v>730</v>
      </c>
    </row>
    <row r="7653" spans="1:5" hidden="1" x14ac:dyDescent="0.3">
      <c r="A7653" t="s">
        <v>557</v>
      </c>
      <c r="B7653" t="s">
        <v>729</v>
      </c>
      <c r="C7653" t="s">
        <v>105</v>
      </c>
      <c r="D7653" s="230">
        <v>0</v>
      </c>
      <c r="E7653" t="s">
        <v>730</v>
      </c>
    </row>
    <row r="7654" spans="1:5" hidden="1" x14ac:dyDescent="0.3">
      <c r="A7654" t="s">
        <v>557</v>
      </c>
      <c r="B7654" t="s">
        <v>729</v>
      </c>
      <c r="C7654" t="s">
        <v>107</v>
      </c>
      <c r="D7654" s="230">
        <v>0</v>
      </c>
      <c r="E7654" t="s">
        <v>730</v>
      </c>
    </row>
    <row r="7655" spans="1:5" hidden="1" x14ac:dyDescent="0.3">
      <c r="A7655" t="s">
        <v>557</v>
      </c>
      <c r="B7655" t="s">
        <v>729</v>
      </c>
      <c r="C7655" t="s">
        <v>108</v>
      </c>
      <c r="D7655" s="230">
        <v>0</v>
      </c>
      <c r="E7655" t="s">
        <v>730</v>
      </c>
    </row>
    <row r="7656" spans="1:5" hidden="1" x14ac:dyDescent="0.3">
      <c r="A7656" t="s">
        <v>557</v>
      </c>
      <c r="B7656" t="s">
        <v>729</v>
      </c>
      <c r="C7656" t="s">
        <v>109</v>
      </c>
      <c r="D7656" s="230">
        <v>0</v>
      </c>
      <c r="E7656" t="s">
        <v>730</v>
      </c>
    </row>
    <row r="7657" spans="1:5" hidden="1" x14ac:dyDescent="0.3">
      <c r="A7657" t="s">
        <v>557</v>
      </c>
      <c r="B7657" t="s">
        <v>729</v>
      </c>
      <c r="C7657" t="s">
        <v>110</v>
      </c>
      <c r="D7657" s="230">
        <v>0</v>
      </c>
      <c r="E7657" t="s">
        <v>730</v>
      </c>
    </row>
    <row r="7658" spans="1:5" hidden="1" x14ac:dyDescent="0.3">
      <c r="A7658" t="s">
        <v>557</v>
      </c>
      <c r="B7658" t="s">
        <v>729</v>
      </c>
      <c r="C7658" t="s">
        <v>44</v>
      </c>
      <c r="D7658" s="230">
        <v>0</v>
      </c>
      <c r="E7658" t="s">
        <v>730</v>
      </c>
    </row>
    <row r="7659" spans="1:5" hidden="1" x14ac:dyDescent="0.3">
      <c r="A7659" t="s">
        <v>557</v>
      </c>
      <c r="B7659" t="s">
        <v>729</v>
      </c>
      <c r="C7659" t="s">
        <v>111</v>
      </c>
      <c r="D7659" s="230">
        <v>-70085.53</v>
      </c>
      <c r="E7659" t="s">
        <v>730</v>
      </c>
    </row>
    <row r="7660" spans="1:5" hidden="1" x14ac:dyDescent="0.3">
      <c r="A7660" t="s">
        <v>557</v>
      </c>
      <c r="B7660" t="s">
        <v>729</v>
      </c>
      <c r="C7660" t="s">
        <v>608</v>
      </c>
      <c r="D7660" s="230">
        <v>-70085.53</v>
      </c>
      <c r="E7660" t="s">
        <v>730</v>
      </c>
    </row>
    <row r="7661" spans="1:5" hidden="1" x14ac:dyDescent="0.3">
      <c r="A7661" t="s">
        <v>557</v>
      </c>
      <c r="B7661" t="s">
        <v>729</v>
      </c>
      <c r="C7661" t="s">
        <v>44</v>
      </c>
      <c r="D7661" s="230">
        <v>-0.1</v>
      </c>
      <c r="E7661" t="s">
        <v>730</v>
      </c>
    </row>
    <row r="7662" spans="1:5" hidden="1" x14ac:dyDescent="0.3">
      <c r="A7662" t="s">
        <v>557</v>
      </c>
      <c r="B7662" t="s">
        <v>729</v>
      </c>
      <c r="C7662" t="s">
        <v>115</v>
      </c>
      <c r="D7662" s="230">
        <v>-6879.75</v>
      </c>
      <c r="E7662" t="s">
        <v>730</v>
      </c>
    </row>
    <row r="7663" spans="1:5" hidden="1" x14ac:dyDescent="0.3">
      <c r="A7663" t="s">
        <v>557</v>
      </c>
      <c r="B7663" t="s">
        <v>729</v>
      </c>
      <c r="C7663" t="s">
        <v>116</v>
      </c>
      <c r="D7663" s="230">
        <v>-5981.96</v>
      </c>
      <c r="E7663" t="s">
        <v>730</v>
      </c>
    </row>
    <row r="7664" spans="1:5" hidden="1" x14ac:dyDescent="0.3">
      <c r="A7664" t="s">
        <v>557</v>
      </c>
      <c r="B7664" t="s">
        <v>729</v>
      </c>
      <c r="C7664" t="s">
        <v>118</v>
      </c>
      <c r="D7664" s="230">
        <v>0</v>
      </c>
      <c r="E7664" t="s">
        <v>730</v>
      </c>
    </row>
    <row r="7665" spans="1:5" hidden="1" x14ac:dyDescent="0.3">
      <c r="A7665" t="s">
        <v>557</v>
      </c>
      <c r="B7665" t="s">
        <v>729</v>
      </c>
      <c r="C7665" t="s">
        <v>120</v>
      </c>
      <c r="D7665" s="230">
        <v>0</v>
      </c>
      <c r="E7665" t="s">
        <v>730</v>
      </c>
    </row>
    <row r="7666" spans="1:5" hidden="1" x14ac:dyDescent="0.3">
      <c r="A7666" t="s">
        <v>557</v>
      </c>
      <c r="B7666" t="s">
        <v>729</v>
      </c>
      <c r="C7666" t="s">
        <v>122</v>
      </c>
      <c r="D7666" s="230">
        <v>-897.79</v>
      </c>
      <c r="E7666" t="s">
        <v>730</v>
      </c>
    </row>
    <row r="7667" spans="1:5" hidden="1" x14ac:dyDescent="0.3">
      <c r="A7667" t="s">
        <v>557</v>
      </c>
      <c r="B7667" t="s">
        <v>729</v>
      </c>
      <c r="C7667" t="s">
        <v>44</v>
      </c>
      <c r="D7667" s="230">
        <v>-0.01</v>
      </c>
      <c r="E7667" t="s">
        <v>730</v>
      </c>
    </row>
    <row r="7668" spans="1:5" hidden="1" x14ac:dyDescent="0.3">
      <c r="A7668" t="s">
        <v>557</v>
      </c>
      <c r="B7668" t="s">
        <v>729</v>
      </c>
      <c r="C7668" t="s">
        <v>126</v>
      </c>
      <c r="D7668" s="230">
        <v>396832.81</v>
      </c>
      <c r="E7668" t="s">
        <v>730</v>
      </c>
    </row>
    <row r="7669" spans="1:5" hidden="1" x14ac:dyDescent="0.3">
      <c r="A7669" t="s">
        <v>557</v>
      </c>
      <c r="B7669" t="s">
        <v>729</v>
      </c>
      <c r="C7669" t="s">
        <v>127</v>
      </c>
      <c r="D7669" s="230">
        <v>0.56000000000000005</v>
      </c>
      <c r="E7669" t="s">
        <v>730</v>
      </c>
    </row>
    <row r="7670" spans="1:5" hidden="1" x14ac:dyDescent="0.3">
      <c r="A7670" t="s">
        <v>557</v>
      </c>
      <c r="B7670" t="s">
        <v>729</v>
      </c>
      <c r="C7670" t="s">
        <v>128</v>
      </c>
      <c r="D7670" s="230">
        <v>-130549.44</v>
      </c>
      <c r="E7670" t="s">
        <v>730</v>
      </c>
    </row>
    <row r="7671" spans="1:5" hidden="1" x14ac:dyDescent="0.3">
      <c r="A7671" t="s">
        <v>557</v>
      </c>
      <c r="B7671" t="s">
        <v>729</v>
      </c>
      <c r="C7671" t="s">
        <v>129</v>
      </c>
      <c r="D7671" s="230">
        <v>-33066.660000000003</v>
      </c>
      <c r="E7671" t="s">
        <v>730</v>
      </c>
    </row>
    <row r="7672" spans="1:5" hidden="1" x14ac:dyDescent="0.3">
      <c r="A7672" t="s">
        <v>557</v>
      </c>
      <c r="B7672" t="s">
        <v>729</v>
      </c>
      <c r="C7672" t="s">
        <v>609</v>
      </c>
      <c r="D7672" s="230">
        <v>-4900</v>
      </c>
      <c r="E7672" t="s">
        <v>730</v>
      </c>
    </row>
    <row r="7673" spans="1:5" hidden="1" x14ac:dyDescent="0.3">
      <c r="A7673" t="s">
        <v>557</v>
      </c>
      <c r="B7673" t="s">
        <v>729</v>
      </c>
      <c r="C7673" t="s">
        <v>610</v>
      </c>
      <c r="D7673" s="230">
        <v>-17600</v>
      </c>
      <c r="E7673" t="s">
        <v>730</v>
      </c>
    </row>
    <row r="7674" spans="1:5" hidden="1" x14ac:dyDescent="0.3">
      <c r="A7674" t="s">
        <v>557</v>
      </c>
      <c r="B7674" t="s">
        <v>729</v>
      </c>
      <c r="C7674" t="s">
        <v>611</v>
      </c>
      <c r="D7674" s="230">
        <v>0</v>
      </c>
      <c r="E7674" t="s">
        <v>730</v>
      </c>
    </row>
    <row r="7675" spans="1:5" hidden="1" x14ac:dyDescent="0.3">
      <c r="A7675" t="s">
        <v>557</v>
      </c>
      <c r="B7675" t="s">
        <v>729</v>
      </c>
      <c r="C7675" t="s">
        <v>612</v>
      </c>
      <c r="D7675" s="230">
        <v>-4000</v>
      </c>
      <c r="E7675" t="s">
        <v>730</v>
      </c>
    </row>
    <row r="7676" spans="1:5" hidden="1" x14ac:dyDescent="0.3">
      <c r="A7676" t="s">
        <v>557</v>
      </c>
      <c r="B7676" t="s">
        <v>729</v>
      </c>
      <c r="C7676" t="s">
        <v>613</v>
      </c>
      <c r="D7676" s="230">
        <v>-1200</v>
      </c>
      <c r="E7676" t="s">
        <v>730</v>
      </c>
    </row>
    <row r="7677" spans="1:5" hidden="1" x14ac:dyDescent="0.3">
      <c r="A7677" t="s">
        <v>557</v>
      </c>
      <c r="B7677" t="s">
        <v>729</v>
      </c>
      <c r="C7677" t="s">
        <v>614</v>
      </c>
      <c r="D7677" s="230">
        <v>-4033.33</v>
      </c>
      <c r="E7677" t="s">
        <v>730</v>
      </c>
    </row>
    <row r="7678" spans="1:5" hidden="1" x14ac:dyDescent="0.3">
      <c r="A7678" t="s">
        <v>557</v>
      </c>
      <c r="B7678" t="s">
        <v>729</v>
      </c>
      <c r="C7678" t="s">
        <v>615</v>
      </c>
      <c r="D7678" s="230">
        <v>0</v>
      </c>
      <c r="E7678" t="s">
        <v>730</v>
      </c>
    </row>
    <row r="7679" spans="1:5" hidden="1" x14ac:dyDescent="0.3">
      <c r="A7679" t="s">
        <v>557</v>
      </c>
      <c r="B7679" t="s">
        <v>729</v>
      </c>
      <c r="C7679" t="s">
        <v>616</v>
      </c>
      <c r="D7679" s="230">
        <v>-1333.33</v>
      </c>
      <c r="E7679" t="s">
        <v>730</v>
      </c>
    </row>
    <row r="7680" spans="1:5" hidden="1" x14ac:dyDescent="0.3">
      <c r="A7680" t="s">
        <v>557</v>
      </c>
      <c r="B7680" t="s">
        <v>729</v>
      </c>
      <c r="C7680" t="s">
        <v>617</v>
      </c>
      <c r="D7680" s="230">
        <v>0</v>
      </c>
      <c r="E7680" t="s">
        <v>730</v>
      </c>
    </row>
    <row r="7681" spans="1:5" hidden="1" x14ac:dyDescent="0.3">
      <c r="A7681" t="s">
        <v>557</v>
      </c>
      <c r="B7681" t="s">
        <v>729</v>
      </c>
      <c r="C7681" t="s">
        <v>618</v>
      </c>
      <c r="D7681" s="230">
        <v>0</v>
      </c>
      <c r="E7681" t="s">
        <v>730</v>
      </c>
    </row>
    <row r="7682" spans="1:5" hidden="1" x14ac:dyDescent="0.3">
      <c r="A7682" t="s">
        <v>557</v>
      </c>
      <c r="B7682" t="s">
        <v>729</v>
      </c>
      <c r="C7682" t="s">
        <v>619</v>
      </c>
      <c r="D7682" s="230">
        <v>0</v>
      </c>
      <c r="E7682" t="s">
        <v>730</v>
      </c>
    </row>
    <row r="7683" spans="1:5" hidden="1" x14ac:dyDescent="0.3">
      <c r="A7683" t="s">
        <v>557</v>
      </c>
      <c r="B7683" t="s">
        <v>729</v>
      </c>
      <c r="C7683" t="s">
        <v>620</v>
      </c>
      <c r="D7683" s="230">
        <v>0</v>
      </c>
      <c r="E7683" t="s">
        <v>730</v>
      </c>
    </row>
    <row r="7684" spans="1:5" hidden="1" x14ac:dyDescent="0.3">
      <c r="A7684" t="s">
        <v>557</v>
      </c>
      <c r="B7684" t="s">
        <v>729</v>
      </c>
      <c r="C7684" t="s">
        <v>575</v>
      </c>
      <c r="D7684" s="230">
        <v>-36784.46</v>
      </c>
      <c r="E7684" t="s">
        <v>730</v>
      </c>
    </row>
    <row r="7685" spans="1:5" hidden="1" x14ac:dyDescent="0.3">
      <c r="A7685" t="s">
        <v>557</v>
      </c>
      <c r="B7685" t="s">
        <v>729</v>
      </c>
      <c r="C7685" t="s">
        <v>621</v>
      </c>
      <c r="D7685" s="230">
        <v>0</v>
      </c>
      <c r="E7685" t="s">
        <v>730</v>
      </c>
    </row>
    <row r="7686" spans="1:5" hidden="1" x14ac:dyDescent="0.3">
      <c r="A7686" t="s">
        <v>557</v>
      </c>
      <c r="B7686" t="s">
        <v>729</v>
      </c>
      <c r="C7686" t="s">
        <v>622</v>
      </c>
      <c r="D7686" s="230">
        <v>0</v>
      </c>
      <c r="E7686" t="s">
        <v>730</v>
      </c>
    </row>
    <row r="7687" spans="1:5" hidden="1" x14ac:dyDescent="0.3">
      <c r="A7687" t="s">
        <v>557</v>
      </c>
      <c r="B7687" t="s">
        <v>729</v>
      </c>
      <c r="C7687" t="s">
        <v>623</v>
      </c>
      <c r="D7687" s="230">
        <v>0</v>
      </c>
      <c r="E7687" t="s">
        <v>730</v>
      </c>
    </row>
    <row r="7688" spans="1:5" hidden="1" x14ac:dyDescent="0.3">
      <c r="A7688" t="s">
        <v>557</v>
      </c>
      <c r="B7688" t="s">
        <v>729</v>
      </c>
      <c r="C7688" t="s">
        <v>624</v>
      </c>
      <c r="D7688" s="230">
        <v>0</v>
      </c>
      <c r="E7688" t="s">
        <v>730</v>
      </c>
    </row>
    <row r="7689" spans="1:5" hidden="1" x14ac:dyDescent="0.3">
      <c r="A7689" t="s">
        <v>557</v>
      </c>
      <c r="B7689" t="s">
        <v>729</v>
      </c>
      <c r="C7689" t="s">
        <v>625</v>
      </c>
      <c r="D7689" s="230">
        <v>0</v>
      </c>
      <c r="E7689" t="s">
        <v>730</v>
      </c>
    </row>
    <row r="7690" spans="1:5" hidden="1" x14ac:dyDescent="0.3">
      <c r="A7690" t="s">
        <v>557</v>
      </c>
      <c r="B7690" t="s">
        <v>729</v>
      </c>
      <c r="C7690" t="s">
        <v>626</v>
      </c>
      <c r="D7690" s="230">
        <v>0</v>
      </c>
      <c r="E7690" t="s">
        <v>730</v>
      </c>
    </row>
    <row r="7691" spans="1:5" hidden="1" x14ac:dyDescent="0.3">
      <c r="A7691" t="s">
        <v>557</v>
      </c>
      <c r="B7691" t="s">
        <v>729</v>
      </c>
      <c r="C7691" t="s">
        <v>627</v>
      </c>
      <c r="D7691" s="230">
        <v>0</v>
      </c>
      <c r="E7691" t="s">
        <v>730</v>
      </c>
    </row>
    <row r="7692" spans="1:5" hidden="1" x14ac:dyDescent="0.3">
      <c r="A7692" t="s">
        <v>557</v>
      </c>
      <c r="B7692" t="s">
        <v>729</v>
      </c>
      <c r="C7692" t="s">
        <v>628</v>
      </c>
      <c r="D7692" s="230">
        <v>0</v>
      </c>
      <c r="E7692" t="s">
        <v>730</v>
      </c>
    </row>
    <row r="7693" spans="1:5" hidden="1" x14ac:dyDescent="0.3">
      <c r="A7693" t="s">
        <v>557</v>
      </c>
      <c r="B7693" t="s">
        <v>729</v>
      </c>
      <c r="C7693" t="s">
        <v>629</v>
      </c>
      <c r="D7693" s="230">
        <v>0</v>
      </c>
      <c r="E7693" t="s">
        <v>730</v>
      </c>
    </row>
    <row r="7694" spans="1:5" hidden="1" x14ac:dyDescent="0.3">
      <c r="A7694" t="s">
        <v>557</v>
      </c>
      <c r="B7694" t="s">
        <v>729</v>
      </c>
      <c r="C7694" t="s">
        <v>630</v>
      </c>
      <c r="D7694" s="230">
        <v>0</v>
      </c>
      <c r="E7694" t="s">
        <v>730</v>
      </c>
    </row>
    <row r="7695" spans="1:5" hidden="1" x14ac:dyDescent="0.3">
      <c r="A7695" t="s">
        <v>557</v>
      </c>
      <c r="B7695" t="s">
        <v>729</v>
      </c>
      <c r="C7695" t="s">
        <v>631</v>
      </c>
      <c r="D7695" s="230">
        <v>0</v>
      </c>
      <c r="E7695" t="s">
        <v>730</v>
      </c>
    </row>
    <row r="7696" spans="1:5" hidden="1" x14ac:dyDescent="0.3">
      <c r="A7696" t="s">
        <v>557</v>
      </c>
      <c r="B7696" t="s">
        <v>729</v>
      </c>
      <c r="C7696" t="s">
        <v>632</v>
      </c>
      <c r="D7696" s="230">
        <v>0</v>
      </c>
      <c r="E7696" t="s">
        <v>730</v>
      </c>
    </row>
    <row r="7697" spans="1:5" hidden="1" x14ac:dyDescent="0.3">
      <c r="A7697" t="s">
        <v>557</v>
      </c>
      <c r="B7697" t="s">
        <v>729</v>
      </c>
      <c r="C7697" t="s">
        <v>633</v>
      </c>
      <c r="D7697" s="230">
        <v>0</v>
      </c>
      <c r="E7697" t="s">
        <v>730</v>
      </c>
    </row>
    <row r="7698" spans="1:5" hidden="1" x14ac:dyDescent="0.3">
      <c r="A7698" t="s">
        <v>557</v>
      </c>
      <c r="B7698" t="s">
        <v>729</v>
      </c>
      <c r="C7698" t="s">
        <v>634</v>
      </c>
      <c r="D7698" s="230">
        <v>0</v>
      </c>
      <c r="E7698" t="s">
        <v>730</v>
      </c>
    </row>
    <row r="7699" spans="1:5" hidden="1" x14ac:dyDescent="0.3">
      <c r="A7699" t="s">
        <v>557</v>
      </c>
      <c r="B7699" t="s">
        <v>729</v>
      </c>
      <c r="C7699" t="s">
        <v>635</v>
      </c>
      <c r="D7699" s="230">
        <v>0</v>
      </c>
      <c r="E7699" t="s">
        <v>730</v>
      </c>
    </row>
    <row r="7700" spans="1:5" hidden="1" x14ac:dyDescent="0.3">
      <c r="A7700" t="s">
        <v>557</v>
      </c>
      <c r="B7700" t="s">
        <v>729</v>
      </c>
      <c r="C7700" t="s">
        <v>636</v>
      </c>
      <c r="D7700" s="230">
        <v>0</v>
      </c>
      <c r="E7700" t="s">
        <v>730</v>
      </c>
    </row>
    <row r="7701" spans="1:5" hidden="1" x14ac:dyDescent="0.3">
      <c r="A7701" t="s">
        <v>557</v>
      </c>
      <c r="B7701" t="s">
        <v>729</v>
      </c>
      <c r="C7701" t="s">
        <v>637</v>
      </c>
      <c r="D7701" s="230">
        <v>0</v>
      </c>
      <c r="E7701" t="s">
        <v>730</v>
      </c>
    </row>
    <row r="7702" spans="1:5" hidden="1" x14ac:dyDescent="0.3">
      <c r="A7702" t="s">
        <v>557</v>
      </c>
      <c r="B7702" t="s">
        <v>729</v>
      </c>
      <c r="C7702" t="s">
        <v>638</v>
      </c>
      <c r="D7702" s="230">
        <v>0</v>
      </c>
      <c r="E7702" t="s">
        <v>730</v>
      </c>
    </row>
    <row r="7703" spans="1:5" hidden="1" x14ac:dyDescent="0.3">
      <c r="A7703" t="s">
        <v>557</v>
      </c>
      <c r="B7703" t="s">
        <v>729</v>
      </c>
      <c r="C7703" t="s">
        <v>639</v>
      </c>
      <c r="D7703" s="230">
        <v>0</v>
      </c>
      <c r="E7703" t="s">
        <v>730</v>
      </c>
    </row>
    <row r="7704" spans="1:5" hidden="1" x14ac:dyDescent="0.3">
      <c r="A7704" t="s">
        <v>557</v>
      </c>
      <c r="B7704" t="s">
        <v>729</v>
      </c>
      <c r="C7704" t="s">
        <v>640</v>
      </c>
      <c r="D7704" s="230">
        <v>0</v>
      </c>
      <c r="E7704" t="s">
        <v>730</v>
      </c>
    </row>
    <row r="7705" spans="1:5" hidden="1" x14ac:dyDescent="0.3">
      <c r="A7705" t="s">
        <v>557</v>
      </c>
      <c r="B7705" t="s">
        <v>729</v>
      </c>
      <c r="C7705" t="s">
        <v>641</v>
      </c>
      <c r="D7705" s="230">
        <v>0</v>
      </c>
      <c r="E7705" t="s">
        <v>730</v>
      </c>
    </row>
    <row r="7706" spans="1:5" hidden="1" x14ac:dyDescent="0.3">
      <c r="A7706" t="s">
        <v>557</v>
      </c>
      <c r="B7706" t="s">
        <v>729</v>
      </c>
      <c r="C7706" t="s">
        <v>642</v>
      </c>
      <c r="D7706" s="230">
        <v>0</v>
      </c>
      <c r="E7706" t="s">
        <v>730</v>
      </c>
    </row>
    <row r="7707" spans="1:5" hidden="1" x14ac:dyDescent="0.3">
      <c r="A7707" t="s">
        <v>557</v>
      </c>
      <c r="B7707" t="s">
        <v>729</v>
      </c>
      <c r="C7707" t="s">
        <v>643</v>
      </c>
      <c r="D7707" s="230">
        <v>0</v>
      </c>
      <c r="E7707" t="s">
        <v>730</v>
      </c>
    </row>
    <row r="7708" spans="1:5" hidden="1" x14ac:dyDescent="0.3">
      <c r="A7708" t="s">
        <v>557</v>
      </c>
      <c r="B7708" t="s">
        <v>729</v>
      </c>
      <c r="C7708" t="s">
        <v>644</v>
      </c>
      <c r="D7708" s="230">
        <v>0</v>
      </c>
      <c r="E7708" t="s">
        <v>730</v>
      </c>
    </row>
    <row r="7709" spans="1:5" hidden="1" x14ac:dyDescent="0.3">
      <c r="A7709" t="s">
        <v>557</v>
      </c>
      <c r="B7709" t="s">
        <v>729</v>
      </c>
      <c r="C7709" t="s">
        <v>645</v>
      </c>
      <c r="D7709" s="230">
        <v>0</v>
      </c>
      <c r="E7709" t="s">
        <v>730</v>
      </c>
    </row>
    <row r="7710" spans="1:5" hidden="1" x14ac:dyDescent="0.3">
      <c r="A7710" t="s">
        <v>557</v>
      </c>
      <c r="B7710" t="s">
        <v>729</v>
      </c>
      <c r="C7710" t="s">
        <v>646</v>
      </c>
      <c r="D7710" s="230">
        <v>0</v>
      </c>
      <c r="E7710" t="s">
        <v>730</v>
      </c>
    </row>
    <row r="7711" spans="1:5" hidden="1" x14ac:dyDescent="0.3">
      <c r="A7711" t="s">
        <v>557</v>
      </c>
      <c r="B7711" t="s">
        <v>729</v>
      </c>
      <c r="C7711" t="s">
        <v>647</v>
      </c>
      <c r="D7711" s="230">
        <v>0</v>
      </c>
      <c r="E7711" t="s">
        <v>730</v>
      </c>
    </row>
    <row r="7712" spans="1:5" hidden="1" x14ac:dyDescent="0.3">
      <c r="A7712" t="s">
        <v>557</v>
      </c>
      <c r="B7712" t="s">
        <v>729</v>
      </c>
      <c r="C7712" t="s">
        <v>648</v>
      </c>
      <c r="D7712" s="230">
        <v>0</v>
      </c>
      <c r="E7712" t="s">
        <v>730</v>
      </c>
    </row>
    <row r="7713" spans="1:5" hidden="1" x14ac:dyDescent="0.3">
      <c r="A7713" t="s">
        <v>557</v>
      </c>
      <c r="B7713" t="s">
        <v>729</v>
      </c>
      <c r="C7713" t="s">
        <v>649</v>
      </c>
      <c r="D7713" s="230">
        <v>0</v>
      </c>
      <c r="E7713" t="s">
        <v>730</v>
      </c>
    </row>
    <row r="7714" spans="1:5" hidden="1" x14ac:dyDescent="0.3">
      <c r="A7714" t="s">
        <v>557</v>
      </c>
      <c r="B7714" t="s">
        <v>729</v>
      </c>
      <c r="C7714" t="s">
        <v>650</v>
      </c>
      <c r="D7714" s="230">
        <v>0</v>
      </c>
      <c r="E7714" t="s">
        <v>730</v>
      </c>
    </row>
    <row r="7715" spans="1:5" hidden="1" x14ac:dyDescent="0.3">
      <c r="A7715" t="s">
        <v>557</v>
      </c>
      <c r="B7715" t="s">
        <v>729</v>
      </c>
      <c r="C7715" t="s">
        <v>651</v>
      </c>
      <c r="D7715" s="230">
        <v>0</v>
      </c>
      <c r="E7715" t="s">
        <v>730</v>
      </c>
    </row>
    <row r="7716" spans="1:5" hidden="1" x14ac:dyDescent="0.3">
      <c r="A7716" t="s">
        <v>557</v>
      </c>
      <c r="B7716" t="s">
        <v>729</v>
      </c>
      <c r="C7716" t="s">
        <v>652</v>
      </c>
      <c r="D7716" s="230">
        <v>0</v>
      </c>
      <c r="E7716" t="s">
        <v>730</v>
      </c>
    </row>
    <row r="7717" spans="1:5" hidden="1" x14ac:dyDescent="0.3">
      <c r="A7717" t="s">
        <v>557</v>
      </c>
      <c r="B7717" t="s">
        <v>729</v>
      </c>
      <c r="C7717" t="s">
        <v>653</v>
      </c>
      <c r="D7717" s="230">
        <v>0</v>
      </c>
      <c r="E7717" t="s">
        <v>730</v>
      </c>
    </row>
    <row r="7718" spans="1:5" hidden="1" x14ac:dyDescent="0.3">
      <c r="A7718" t="s">
        <v>557</v>
      </c>
      <c r="B7718" t="s">
        <v>729</v>
      </c>
      <c r="C7718" t="s">
        <v>654</v>
      </c>
      <c r="D7718" s="230">
        <v>0</v>
      </c>
      <c r="E7718" t="s">
        <v>730</v>
      </c>
    </row>
    <row r="7719" spans="1:5" hidden="1" x14ac:dyDescent="0.3">
      <c r="A7719" t="s">
        <v>557</v>
      </c>
      <c r="B7719" t="s">
        <v>729</v>
      </c>
      <c r="C7719" t="s">
        <v>655</v>
      </c>
      <c r="D7719" s="230">
        <v>0</v>
      </c>
      <c r="E7719" t="s">
        <v>730</v>
      </c>
    </row>
    <row r="7720" spans="1:5" hidden="1" x14ac:dyDescent="0.3">
      <c r="A7720" t="s">
        <v>557</v>
      </c>
      <c r="B7720" t="s">
        <v>729</v>
      </c>
      <c r="C7720" t="s">
        <v>656</v>
      </c>
      <c r="D7720" s="230">
        <v>0</v>
      </c>
      <c r="E7720" t="s">
        <v>730</v>
      </c>
    </row>
    <row r="7721" spans="1:5" hidden="1" x14ac:dyDescent="0.3">
      <c r="A7721" t="s">
        <v>557</v>
      </c>
      <c r="B7721" t="s">
        <v>729</v>
      </c>
      <c r="C7721" t="s">
        <v>657</v>
      </c>
      <c r="D7721" s="230">
        <v>0</v>
      </c>
      <c r="E7721" t="s">
        <v>730</v>
      </c>
    </row>
    <row r="7722" spans="1:5" hidden="1" x14ac:dyDescent="0.3">
      <c r="A7722" t="s">
        <v>557</v>
      </c>
      <c r="B7722" t="s">
        <v>729</v>
      </c>
      <c r="C7722" t="s">
        <v>658</v>
      </c>
      <c r="D7722" s="230">
        <v>0</v>
      </c>
      <c r="E7722" t="s">
        <v>730</v>
      </c>
    </row>
    <row r="7723" spans="1:5" hidden="1" x14ac:dyDescent="0.3">
      <c r="A7723" t="s">
        <v>557</v>
      </c>
      <c r="B7723" t="s">
        <v>729</v>
      </c>
      <c r="C7723" t="s">
        <v>659</v>
      </c>
      <c r="D7723" s="230">
        <v>0</v>
      </c>
      <c r="E7723" t="s">
        <v>730</v>
      </c>
    </row>
    <row r="7724" spans="1:5" hidden="1" x14ac:dyDescent="0.3">
      <c r="A7724" t="s">
        <v>557</v>
      </c>
      <c r="B7724" t="s">
        <v>729</v>
      </c>
      <c r="C7724" t="s">
        <v>660</v>
      </c>
      <c r="D7724" s="230">
        <v>0</v>
      </c>
      <c r="E7724" t="s">
        <v>730</v>
      </c>
    </row>
    <row r="7725" spans="1:5" hidden="1" x14ac:dyDescent="0.3">
      <c r="A7725" t="s">
        <v>557</v>
      </c>
      <c r="B7725" t="s">
        <v>729</v>
      </c>
      <c r="C7725" t="s">
        <v>661</v>
      </c>
      <c r="D7725" s="230">
        <v>0</v>
      </c>
      <c r="E7725" t="s">
        <v>730</v>
      </c>
    </row>
    <row r="7726" spans="1:5" hidden="1" x14ac:dyDescent="0.3">
      <c r="A7726" t="s">
        <v>557</v>
      </c>
      <c r="B7726" t="s">
        <v>729</v>
      </c>
      <c r="C7726" t="s">
        <v>662</v>
      </c>
      <c r="D7726" s="230">
        <v>0</v>
      </c>
      <c r="E7726" t="s">
        <v>730</v>
      </c>
    </row>
    <row r="7727" spans="1:5" hidden="1" x14ac:dyDescent="0.3">
      <c r="A7727" t="s">
        <v>557</v>
      </c>
      <c r="B7727" t="s">
        <v>729</v>
      </c>
      <c r="C7727" t="s">
        <v>663</v>
      </c>
      <c r="D7727" s="230">
        <v>0</v>
      </c>
      <c r="E7727" t="s">
        <v>730</v>
      </c>
    </row>
    <row r="7728" spans="1:5" hidden="1" x14ac:dyDescent="0.3">
      <c r="A7728" t="s">
        <v>557</v>
      </c>
      <c r="B7728" t="s">
        <v>729</v>
      </c>
      <c r="C7728" t="s">
        <v>664</v>
      </c>
      <c r="D7728" s="230">
        <v>0</v>
      </c>
      <c r="E7728" t="s">
        <v>730</v>
      </c>
    </row>
    <row r="7729" spans="1:5" hidden="1" x14ac:dyDescent="0.3">
      <c r="A7729" t="s">
        <v>557</v>
      </c>
      <c r="B7729" t="s">
        <v>729</v>
      </c>
      <c r="C7729" t="s">
        <v>665</v>
      </c>
      <c r="D7729" s="230">
        <v>0</v>
      </c>
      <c r="E7729" t="s">
        <v>730</v>
      </c>
    </row>
    <row r="7730" spans="1:5" hidden="1" x14ac:dyDescent="0.3">
      <c r="A7730" t="s">
        <v>557</v>
      </c>
      <c r="B7730" t="s">
        <v>729</v>
      </c>
      <c r="C7730" t="s">
        <v>666</v>
      </c>
      <c r="D7730" s="230">
        <v>0</v>
      </c>
      <c r="E7730" t="s">
        <v>730</v>
      </c>
    </row>
    <row r="7731" spans="1:5" hidden="1" x14ac:dyDescent="0.3">
      <c r="A7731" t="s">
        <v>557</v>
      </c>
      <c r="B7731" t="s">
        <v>729</v>
      </c>
      <c r="C7731" t="s">
        <v>667</v>
      </c>
      <c r="D7731" s="230">
        <v>0</v>
      </c>
      <c r="E7731" t="s">
        <v>730</v>
      </c>
    </row>
    <row r="7732" spans="1:5" hidden="1" x14ac:dyDescent="0.3">
      <c r="A7732" t="s">
        <v>557</v>
      </c>
      <c r="B7732" t="s">
        <v>729</v>
      </c>
      <c r="C7732" t="s">
        <v>668</v>
      </c>
      <c r="D7732" s="230">
        <v>0</v>
      </c>
      <c r="E7732" t="s">
        <v>730</v>
      </c>
    </row>
    <row r="7733" spans="1:5" hidden="1" x14ac:dyDescent="0.3">
      <c r="A7733" t="s">
        <v>557</v>
      </c>
      <c r="B7733" t="s">
        <v>729</v>
      </c>
      <c r="C7733" t="s">
        <v>669</v>
      </c>
      <c r="D7733" s="230">
        <v>0</v>
      </c>
      <c r="E7733" t="s">
        <v>730</v>
      </c>
    </row>
    <row r="7734" spans="1:5" hidden="1" x14ac:dyDescent="0.3">
      <c r="A7734" t="s">
        <v>557</v>
      </c>
      <c r="B7734" t="s">
        <v>729</v>
      </c>
      <c r="C7734" t="s">
        <v>670</v>
      </c>
      <c r="D7734" s="230">
        <v>0</v>
      </c>
      <c r="E7734" t="s">
        <v>730</v>
      </c>
    </row>
    <row r="7735" spans="1:5" hidden="1" x14ac:dyDescent="0.3">
      <c r="A7735" t="s">
        <v>557</v>
      </c>
      <c r="B7735" t="s">
        <v>729</v>
      </c>
      <c r="C7735" t="s">
        <v>671</v>
      </c>
      <c r="D7735" s="230">
        <v>0</v>
      </c>
      <c r="E7735" t="s">
        <v>730</v>
      </c>
    </row>
    <row r="7736" spans="1:5" hidden="1" x14ac:dyDescent="0.3">
      <c r="A7736" t="s">
        <v>557</v>
      </c>
      <c r="B7736" t="s">
        <v>729</v>
      </c>
      <c r="C7736" t="s">
        <v>672</v>
      </c>
      <c r="D7736" s="230">
        <v>0</v>
      </c>
      <c r="E7736" t="s">
        <v>730</v>
      </c>
    </row>
    <row r="7737" spans="1:5" hidden="1" x14ac:dyDescent="0.3">
      <c r="A7737" t="s">
        <v>557</v>
      </c>
      <c r="B7737" t="s">
        <v>729</v>
      </c>
      <c r="C7737" t="s">
        <v>673</v>
      </c>
      <c r="D7737" s="230">
        <v>0</v>
      </c>
      <c r="E7737" t="s">
        <v>730</v>
      </c>
    </row>
    <row r="7738" spans="1:5" hidden="1" x14ac:dyDescent="0.3">
      <c r="A7738" t="s">
        <v>557</v>
      </c>
      <c r="B7738" t="s">
        <v>729</v>
      </c>
      <c r="C7738" t="s">
        <v>674</v>
      </c>
      <c r="D7738" s="230">
        <v>0</v>
      </c>
      <c r="E7738" t="s">
        <v>730</v>
      </c>
    </row>
    <row r="7739" spans="1:5" hidden="1" x14ac:dyDescent="0.3">
      <c r="A7739" t="s">
        <v>557</v>
      </c>
      <c r="B7739" t="s">
        <v>729</v>
      </c>
      <c r="C7739" t="s">
        <v>675</v>
      </c>
      <c r="D7739" s="230">
        <v>0</v>
      </c>
      <c r="E7739" t="s">
        <v>730</v>
      </c>
    </row>
    <row r="7740" spans="1:5" hidden="1" x14ac:dyDescent="0.3">
      <c r="A7740" t="s">
        <v>557</v>
      </c>
      <c r="B7740" t="s">
        <v>729</v>
      </c>
      <c r="C7740" t="s">
        <v>676</v>
      </c>
      <c r="D7740" s="230">
        <v>0</v>
      </c>
      <c r="E7740" t="s">
        <v>730</v>
      </c>
    </row>
    <row r="7741" spans="1:5" hidden="1" x14ac:dyDescent="0.3">
      <c r="A7741" t="s">
        <v>557</v>
      </c>
      <c r="B7741" t="s">
        <v>729</v>
      </c>
      <c r="C7741" t="s">
        <v>677</v>
      </c>
      <c r="D7741" s="230">
        <v>0</v>
      </c>
      <c r="E7741" t="s">
        <v>730</v>
      </c>
    </row>
    <row r="7742" spans="1:5" hidden="1" x14ac:dyDescent="0.3">
      <c r="A7742" t="s">
        <v>557</v>
      </c>
      <c r="B7742" t="s">
        <v>729</v>
      </c>
      <c r="C7742" t="s">
        <v>201</v>
      </c>
      <c r="D7742" s="230">
        <v>-26532</v>
      </c>
      <c r="E7742" t="s">
        <v>730</v>
      </c>
    </row>
    <row r="7743" spans="1:5" hidden="1" x14ac:dyDescent="0.3">
      <c r="A7743" t="s">
        <v>557</v>
      </c>
      <c r="B7743" t="s">
        <v>729</v>
      </c>
      <c r="C7743" t="s">
        <v>203</v>
      </c>
      <c r="D7743" s="230">
        <v>-26532</v>
      </c>
      <c r="E7743" t="s">
        <v>730</v>
      </c>
    </row>
    <row r="7744" spans="1:5" hidden="1" x14ac:dyDescent="0.3">
      <c r="A7744" t="s">
        <v>557</v>
      </c>
      <c r="B7744" t="s">
        <v>729</v>
      </c>
      <c r="C7744" t="s">
        <v>678</v>
      </c>
      <c r="D7744" s="230">
        <v>13266</v>
      </c>
      <c r="E7744" t="s">
        <v>730</v>
      </c>
    </row>
    <row r="7745" spans="1:5" hidden="1" x14ac:dyDescent="0.3">
      <c r="A7745" t="s">
        <v>557</v>
      </c>
      <c r="B7745" t="s">
        <v>729</v>
      </c>
      <c r="C7745" t="s">
        <v>205</v>
      </c>
      <c r="D7745" s="230">
        <v>-17479.810000000001</v>
      </c>
      <c r="E7745" t="s">
        <v>730</v>
      </c>
    </row>
    <row r="7746" spans="1:5" hidden="1" x14ac:dyDescent="0.3">
      <c r="A7746" t="s">
        <v>557</v>
      </c>
      <c r="B7746" t="s">
        <v>729</v>
      </c>
      <c r="C7746" t="s">
        <v>679</v>
      </c>
      <c r="D7746" s="230">
        <v>-2858.62</v>
      </c>
      <c r="E7746" t="s">
        <v>730</v>
      </c>
    </row>
    <row r="7747" spans="1:5" hidden="1" x14ac:dyDescent="0.3">
      <c r="A7747" t="s">
        <v>557</v>
      </c>
      <c r="B7747" t="s">
        <v>729</v>
      </c>
      <c r="C7747" t="s">
        <v>680</v>
      </c>
      <c r="D7747" s="230">
        <v>-2140.6999999999998</v>
      </c>
      <c r="E7747" t="s">
        <v>730</v>
      </c>
    </row>
    <row r="7748" spans="1:5" hidden="1" x14ac:dyDescent="0.3">
      <c r="A7748" t="s">
        <v>557</v>
      </c>
      <c r="B7748" t="s">
        <v>729</v>
      </c>
      <c r="C7748" t="s">
        <v>681</v>
      </c>
      <c r="D7748" s="230">
        <v>0</v>
      </c>
      <c r="E7748" t="s">
        <v>730</v>
      </c>
    </row>
    <row r="7749" spans="1:5" hidden="1" x14ac:dyDescent="0.3">
      <c r="A7749" t="s">
        <v>557</v>
      </c>
      <c r="B7749" t="s">
        <v>729</v>
      </c>
      <c r="C7749" t="s">
        <v>682</v>
      </c>
      <c r="D7749" s="230">
        <v>-7531.73</v>
      </c>
      <c r="E7749" t="s">
        <v>730</v>
      </c>
    </row>
    <row r="7750" spans="1:5" hidden="1" x14ac:dyDescent="0.3">
      <c r="A7750" t="s">
        <v>557</v>
      </c>
      <c r="B7750" t="s">
        <v>729</v>
      </c>
      <c r="C7750" t="s">
        <v>683</v>
      </c>
      <c r="D7750" s="230">
        <v>0</v>
      </c>
      <c r="E7750" t="s">
        <v>730</v>
      </c>
    </row>
    <row r="7751" spans="1:5" hidden="1" x14ac:dyDescent="0.3">
      <c r="A7751" t="s">
        <v>557</v>
      </c>
      <c r="B7751" t="s">
        <v>729</v>
      </c>
      <c r="C7751" t="s">
        <v>684</v>
      </c>
      <c r="D7751" s="230">
        <v>-2345.91</v>
      </c>
      <c r="E7751" t="s">
        <v>730</v>
      </c>
    </row>
    <row r="7752" spans="1:5" hidden="1" x14ac:dyDescent="0.3">
      <c r="A7752" t="s">
        <v>557</v>
      </c>
      <c r="B7752" t="s">
        <v>729</v>
      </c>
      <c r="C7752" t="s">
        <v>685</v>
      </c>
      <c r="D7752" s="230">
        <v>-701.27</v>
      </c>
      <c r="E7752" t="s">
        <v>730</v>
      </c>
    </row>
    <row r="7753" spans="1:5" hidden="1" x14ac:dyDescent="0.3">
      <c r="A7753" t="s">
        <v>557</v>
      </c>
      <c r="B7753" t="s">
        <v>729</v>
      </c>
      <c r="C7753" t="s">
        <v>686</v>
      </c>
      <c r="D7753" s="230">
        <v>0</v>
      </c>
      <c r="E7753" t="s">
        <v>730</v>
      </c>
    </row>
    <row r="7754" spans="1:5" hidden="1" x14ac:dyDescent="0.3">
      <c r="A7754" t="s">
        <v>557</v>
      </c>
      <c r="B7754" t="s">
        <v>729</v>
      </c>
      <c r="C7754" t="s">
        <v>687</v>
      </c>
      <c r="D7754" s="230">
        <v>0</v>
      </c>
      <c r="E7754" t="s">
        <v>730</v>
      </c>
    </row>
    <row r="7755" spans="1:5" hidden="1" x14ac:dyDescent="0.3">
      <c r="A7755" t="s">
        <v>557</v>
      </c>
      <c r="B7755" t="s">
        <v>729</v>
      </c>
      <c r="C7755" t="s">
        <v>688</v>
      </c>
      <c r="D7755" s="230">
        <v>0</v>
      </c>
      <c r="E7755" t="s">
        <v>730</v>
      </c>
    </row>
    <row r="7756" spans="1:5" hidden="1" x14ac:dyDescent="0.3">
      <c r="A7756" t="s">
        <v>557</v>
      </c>
      <c r="B7756" t="s">
        <v>729</v>
      </c>
      <c r="C7756" t="s">
        <v>689</v>
      </c>
      <c r="D7756" s="230">
        <v>0</v>
      </c>
      <c r="E7756" t="s">
        <v>730</v>
      </c>
    </row>
    <row r="7757" spans="1:5" hidden="1" x14ac:dyDescent="0.3">
      <c r="A7757" t="s">
        <v>557</v>
      </c>
      <c r="B7757" t="s">
        <v>729</v>
      </c>
      <c r="C7757" t="s">
        <v>690</v>
      </c>
      <c r="D7757" s="230">
        <v>0</v>
      </c>
      <c r="E7757" t="s">
        <v>730</v>
      </c>
    </row>
    <row r="7758" spans="1:5" hidden="1" x14ac:dyDescent="0.3">
      <c r="A7758" t="s">
        <v>557</v>
      </c>
      <c r="B7758" t="s">
        <v>729</v>
      </c>
      <c r="C7758" t="s">
        <v>691</v>
      </c>
      <c r="D7758" s="230">
        <v>0</v>
      </c>
      <c r="E7758" t="s">
        <v>730</v>
      </c>
    </row>
    <row r="7759" spans="1:5" hidden="1" x14ac:dyDescent="0.3">
      <c r="A7759" t="s">
        <v>557</v>
      </c>
      <c r="B7759" t="s">
        <v>729</v>
      </c>
      <c r="C7759" t="s">
        <v>692</v>
      </c>
      <c r="D7759" s="230">
        <v>-1901.58</v>
      </c>
      <c r="E7759" t="s">
        <v>730</v>
      </c>
    </row>
    <row r="7760" spans="1:5" hidden="1" x14ac:dyDescent="0.3">
      <c r="A7760" t="s">
        <v>557</v>
      </c>
      <c r="B7760" t="s">
        <v>729</v>
      </c>
      <c r="C7760" t="s">
        <v>693</v>
      </c>
      <c r="D7760" s="230">
        <v>0</v>
      </c>
      <c r="E7760" t="s">
        <v>730</v>
      </c>
    </row>
    <row r="7761" spans="1:5" hidden="1" x14ac:dyDescent="0.3">
      <c r="A7761" t="s">
        <v>557</v>
      </c>
      <c r="B7761" t="s">
        <v>729</v>
      </c>
      <c r="C7761" t="s">
        <v>694</v>
      </c>
      <c r="D7761" s="230">
        <v>0</v>
      </c>
      <c r="E7761" t="s">
        <v>730</v>
      </c>
    </row>
    <row r="7762" spans="1:5" hidden="1" x14ac:dyDescent="0.3">
      <c r="A7762" t="s">
        <v>557</v>
      </c>
      <c r="B7762" t="s">
        <v>729</v>
      </c>
      <c r="C7762" t="s">
        <v>238</v>
      </c>
      <c r="D7762" s="230">
        <v>-5736.77</v>
      </c>
      <c r="E7762" t="s">
        <v>730</v>
      </c>
    </row>
    <row r="7763" spans="1:5" hidden="1" x14ac:dyDescent="0.3">
      <c r="A7763" t="s">
        <v>557</v>
      </c>
      <c r="B7763" t="s">
        <v>729</v>
      </c>
      <c r="C7763" t="s">
        <v>695</v>
      </c>
      <c r="D7763" s="230">
        <v>-5663.3</v>
      </c>
      <c r="E7763" t="s">
        <v>730</v>
      </c>
    </row>
    <row r="7764" spans="1:5" hidden="1" x14ac:dyDescent="0.3">
      <c r="A7764" t="s">
        <v>557</v>
      </c>
      <c r="B7764" t="s">
        <v>729</v>
      </c>
      <c r="C7764" t="s">
        <v>696</v>
      </c>
      <c r="D7764" s="230">
        <v>0</v>
      </c>
      <c r="E7764" t="s">
        <v>730</v>
      </c>
    </row>
    <row r="7765" spans="1:5" hidden="1" x14ac:dyDescent="0.3">
      <c r="A7765" t="s">
        <v>557</v>
      </c>
      <c r="B7765" t="s">
        <v>729</v>
      </c>
      <c r="C7765" t="s">
        <v>697</v>
      </c>
      <c r="D7765" s="230">
        <v>0</v>
      </c>
      <c r="E7765" t="s">
        <v>730</v>
      </c>
    </row>
    <row r="7766" spans="1:5" hidden="1" x14ac:dyDescent="0.3">
      <c r="A7766" t="s">
        <v>557</v>
      </c>
      <c r="B7766" t="s">
        <v>729</v>
      </c>
      <c r="C7766" t="s">
        <v>698</v>
      </c>
      <c r="D7766" s="230">
        <v>-73.47</v>
      </c>
      <c r="E7766" t="s">
        <v>730</v>
      </c>
    </row>
    <row r="7767" spans="1:5" hidden="1" x14ac:dyDescent="0.3">
      <c r="A7767" t="s">
        <v>557</v>
      </c>
      <c r="B7767" t="s">
        <v>729</v>
      </c>
      <c r="C7767" t="s">
        <v>699</v>
      </c>
      <c r="D7767" s="230">
        <v>0</v>
      </c>
      <c r="E7767" t="s">
        <v>730</v>
      </c>
    </row>
    <row r="7768" spans="1:5" hidden="1" x14ac:dyDescent="0.3">
      <c r="A7768" t="s">
        <v>557</v>
      </c>
      <c r="B7768" t="s">
        <v>729</v>
      </c>
      <c r="C7768" t="s">
        <v>245</v>
      </c>
      <c r="D7768" s="230">
        <v>-10949.74</v>
      </c>
      <c r="E7768" t="s">
        <v>730</v>
      </c>
    </row>
    <row r="7769" spans="1:5" hidden="1" x14ac:dyDescent="0.3">
      <c r="A7769" t="s">
        <v>557</v>
      </c>
      <c r="B7769" t="s">
        <v>729</v>
      </c>
      <c r="C7769" t="s">
        <v>700</v>
      </c>
      <c r="D7769" s="230">
        <v>-283</v>
      </c>
      <c r="E7769" t="s">
        <v>730</v>
      </c>
    </row>
    <row r="7770" spans="1:5" hidden="1" x14ac:dyDescent="0.3">
      <c r="A7770" t="s">
        <v>557</v>
      </c>
      <c r="B7770" t="s">
        <v>729</v>
      </c>
      <c r="C7770" t="s">
        <v>701</v>
      </c>
      <c r="D7770" s="230">
        <v>-319.12</v>
      </c>
      <c r="E7770" t="s">
        <v>730</v>
      </c>
    </row>
    <row r="7771" spans="1:5" hidden="1" x14ac:dyDescent="0.3">
      <c r="A7771" t="s">
        <v>557</v>
      </c>
      <c r="B7771" t="s">
        <v>729</v>
      </c>
      <c r="C7771" t="s">
        <v>702</v>
      </c>
      <c r="D7771" s="230">
        <v>0</v>
      </c>
      <c r="E7771" t="s">
        <v>730</v>
      </c>
    </row>
    <row r="7772" spans="1:5" hidden="1" x14ac:dyDescent="0.3">
      <c r="A7772" t="s">
        <v>557</v>
      </c>
      <c r="B7772" t="s">
        <v>729</v>
      </c>
      <c r="C7772" t="s">
        <v>703</v>
      </c>
      <c r="D7772" s="230">
        <v>0</v>
      </c>
      <c r="E7772" t="s">
        <v>730</v>
      </c>
    </row>
    <row r="7773" spans="1:5" hidden="1" x14ac:dyDescent="0.3">
      <c r="A7773" t="s">
        <v>557</v>
      </c>
      <c r="B7773" t="s">
        <v>729</v>
      </c>
      <c r="C7773" t="s">
        <v>704</v>
      </c>
      <c r="D7773" s="230">
        <v>0</v>
      </c>
      <c r="E7773" t="s">
        <v>730</v>
      </c>
    </row>
    <row r="7774" spans="1:5" hidden="1" x14ac:dyDescent="0.3">
      <c r="A7774" t="s">
        <v>557</v>
      </c>
      <c r="B7774" t="s">
        <v>729</v>
      </c>
      <c r="C7774" t="s">
        <v>705</v>
      </c>
      <c r="D7774" s="230">
        <v>-10347.620000000001</v>
      </c>
      <c r="E7774" t="s">
        <v>730</v>
      </c>
    </row>
    <row r="7775" spans="1:5" hidden="1" x14ac:dyDescent="0.3">
      <c r="A7775" t="s">
        <v>557</v>
      </c>
      <c r="B7775" t="s">
        <v>729</v>
      </c>
      <c r="C7775" t="s">
        <v>706</v>
      </c>
      <c r="D7775" s="230">
        <v>0</v>
      </c>
      <c r="E7775" t="s">
        <v>730</v>
      </c>
    </row>
    <row r="7776" spans="1:5" hidden="1" x14ac:dyDescent="0.3">
      <c r="A7776" t="s">
        <v>557</v>
      </c>
      <c r="B7776" t="s">
        <v>729</v>
      </c>
      <c r="C7776" t="s">
        <v>254</v>
      </c>
      <c r="D7776" s="230">
        <v>-0.28000000000000003</v>
      </c>
      <c r="E7776" t="s">
        <v>730</v>
      </c>
    </row>
    <row r="7777" spans="1:5" hidden="1" x14ac:dyDescent="0.3">
      <c r="A7777" t="s">
        <v>557</v>
      </c>
      <c r="B7777" t="s">
        <v>729</v>
      </c>
      <c r="C7777" t="s">
        <v>255</v>
      </c>
      <c r="D7777" s="230">
        <v>-0.27</v>
      </c>
      <c r="E7777" t="s">
        <v>730</v>
      </c>
    </row>
    <row r="7778" spans="1:5" hidden="1" x14ac:dyDescent="0.3">
      <c r="A7778" t="s">
        <v>557</v>
      </c>
      <c r="B7778" t="s">
        <v>729</v>
      </c>
      <c r="C7778" t="s">
        <v>256</v>
      </c>
      <c r="D7778" s="230">
        <v>-51752.37</v>
      </c>
      <c r="E7778" t="s">
        <v>730</v>
      </c>
    </row>
    <row r="7779" spans="1:5" hidden="1" x14ac:dyDescent="0.3">
      <c r="A7779" t="s">
        <v>557</v>
      </c>
      <c r="B7779" t="s">
        <v>729</v>
      </c>
      <c r="C7779" t="s">
        <v>257</v>
      </c>
      <c r="D7779" s="230">
        <v>-49305.7</v>
      </c>
      <c r="E7779" t="s">
        <v>730</v>
      </c>
    </row>
    <row r="7780" spans="1:5" hidden="1" x14ac:dyDescent="0.3">
      <c r="A7780" t="s">
        <v>557</v>
      </c>
      <c r="B7780" t="s">
        <v>729</v>
      </c>
      <c r="C7780" t="s">
        <v>258</v>
      </c>
      <c r="D7780" s="230">
        <v>0</v>
      </c>
      <c r="E7780" t="s">
        <v>730</v>
      </c>
    </row>
    <row r="7781" spans="1:5" hidden="1" x14ac:dyDescent="0.3">
      <c r="A7781" t="s">
        <v>557</v>
      </c>
      <c r="B7781" t="s">
        <v>729</v>
      </c>
      <c r="C7781" t="s">
        <v>259</v>
      </c>
      <c r="D7781" s="230">
        <v>-2446.67</v>
      </c>
      <c r="E7781" t="s">
        <v>730</v>
      </c>
    </row>
    <row r="7782" spans="1:5" hidden="1" x14ac:dyDescent="0.3">
      <c r="A7782" t="s">
        <v>557</v>
      </c>
      <c r="B7782" t="s">
        <v>729</v>
      </c>
      <c r="C7782" t="s">
        <v>260</v>
      </c>
      <c r="D7782" s="230">
        <v>0</v>
      </c>
      <c r="E7782" t="s">
        <v>730</v>
      </c>
    </row>
    <row r="7783" spans="1:5" hidden="1" x14ac:dyDescent="0.3">
      <c r="A7783" t="s">
        <v>557</v>
      </c>
      <c r="B7783" t="s">
        <v>729</v>
      </c>
      <c r="C7783" t="s">
        <v>261</v>
      </c>
      <c r="D7783" s="230">
        <v>0</v>
      </c>
      <c r="E7783" t="s">
        <v>730</v>
      </c>
    </row>
    <row r="7784" spans="1:5" hidden="1" x14ac:dyDescent="0.3">
      <c r="A7784" t="s">
        <v>557</v>
      </c>
      <c r="B7784" t="s">
        <v>729</v>
      </c>
      <c r="C7784" t="s">
        <v>262</v>
      </c>
      <c r="D7784" s="230">
        <v>0</v>
      </c>
      <c r="E7784" t="s">
        <v>730</v>
      </c>
    </row>
    <row r="7785" spans="1:5" hidden="1" x14ac:dyDescent="0.3">
      <c r="A7785" t="s">
        <v>557</v>
      </c>
      <c r="B7785" t="s">
        <v>729</v>
      </c>
      <c r="C7785" t="s">
        <v>263</v>
      </c>
      <c r="D7785" s="230">
        <v>0</v>
      </c>
      <c r="E7785" t="s">
        <v>730</v>
      </c>
    </row>
    <row r="7786" spans="1:5" hidden="1" x14ac:dyDescent="0.3">
      <c r="A7786" t="s">
        <v>557</v>
      </c>
      <c r="B7786" t="s">
        <v>729</v>
      </c>
      <c r="C7786" t="s">
        <v>44</v>
      </c>
      <c r="D7786" s="230">
        <v>-7.0000000000000007E-2</v>
      </c>
      <c r="E7786" t="s">
        <v>730</v>
      </c>
    </row>
    <row r="7787" spans="1:5" hidden="1" x14ac:dyDescent="0.3">
      <c r="A7787" t="s">
        <v>557</v>
      </c>
      <c r="B7787" t="s">
        <v>729</v>
      </c>
      <c r="C7787" t="s">
        <v>264</v>
      </c>
      <c r="D7787" s="230">
        <v>-39073.21</v>
      </c>
      <c r="E7787" t="s">
        <v>730</v>
      </c>
    </row>
    <row r="7788" spans="1:5" hidden="1" x14ac:dyDescent="0.3">
      <c r="A7788" t="s">
        <v>557</v>
      </c>
      <c r="B7788" t="s">
        <v>729</v>
      </c>
      <c r="C7788" t="s">
        <v>265</v>
      </c>
      <c r="D7788" s="230">
        <v>-5225.6099999999997</v>
      </c>
      <c r="E7788" t="s">
        <v>730</v>
      </c>
    </row>
    <row r="7789" spans="1:5" hidden="1" x14ac:dyDescent="0.3">
      <c r="A7789" t="s">
        <v>557</v>
      </c>
      <c r="B7789" t="s">
        <v>729</v>
      </c>
      <c r="C7789" t="s">
        <v>266</v>
      </c>
      <c r="D7789" s="230">
        <v>-10949.05</v>
      </c>
      <c r="E7789" t="s">
        <v>730</v>
      </c>
    </row>
    <row r="7790" spans="1:5" hidden="1" x14ac:dyDescent="0.3">
      <c r="A7790" t="s">
        <v>557</v>
      </c>
      <c r="B7790" t="s">
        <v>729</v>
      </c>
      <c r="C7790" t="s">
        <v>267</v>
      </c>
      <c r="D7790" s="230">
        <v>-5697.34</v>
      </c>
      <c r="E7790" t="s">
        <v>730</v>
      </c>
    </row>
    <row r="7791" spans="1:5" hidden="1" x14ac:dyDescent="0.3">
      <c r="A7791" t="s">
        <v>557</v>
      </c>
      <c r="B7791" t="s">
        <v>729</v>
      </c>
      <c r="C7791" t="s">
        <v>268</v>
      </c>
      <c r="D7791" s="230">
        <v>-8419.94</v>
      </c>
      <c r="E7791" t="s">
        <v>730</v>
      </c>
    </row>
    <row r="7792" spans="1:5" hidden="1" x14ac:dyDescent="0.3">
      <c r="A7792" t="s">
        <v>557</v>
      </c>
      <c r="B7792" t="s">
        <v>729</v>
      </c>
      <c r="C7792" t="s">
        <v>269</v>
      </c>
      <c r="D7792" s="230">
        <v>0</v>
      </c>
      <c r="E7792" t="s">
        <v>730</v>
      </c>
    </row>
    <row r="7793" spans="1:5" hidden="1" x14ac:dyDescent="0.3">
      <c r="A7793" t="s">
        <v>557</v>
      </c>
      <c r="B7793" t="s">
        <v>729</v>
      </c>
      <c r="C7793" t="s">
        <v>270</v>
      </c>
      <c r="D7793" s="230">
        <v>-550</v>
      </c>
      <c r="E7793" t="s">
        <v>730</v>
      </c>
    </row>
    <row r="7794" spans="1:5" hidden="1" x14ac:dyDescent="0.3">
      <c r="A7794" t="s">
        <v>557</v>
      </c>
      <c r="B7794" t="s">
        <v>729</v>
      </c>
      <c r="C7794" t="s">
        <v>271</v>
      </c>
      <c r="D7794" s="230">
        <v>-761.52</v>
      </c>
      <c r="E7794" t="s">
        <v>730</v>
      </c>
    </row>
    <row r="7795" spans="1:5" hidden="1" x14ac:dyDescent="0.3">
      <c r="A7795" t="s">
        <v>557</v>
      </c>
      <c r="B7795" t="s">
        <v>729</v>
      </c>
      <c r="C7795" t="s">
        <v>272</v>
      </c>
      <c r="D7795" s="230">
        <v>-514.30999999999995</v>
      </c>
      <c r="E7795" t="s">
        <v>730</v>
      </c>
    </row>
    <row r="7796" spans="1:5" hidden="1" x14ac:dyDescent="0.3">
      <c r="A7796" t="s">
        <v>557</v>
      </c>
      <c r="B7796" t="s">
        <v>729</v>
      </c>
      <c r="C7796" t="s">
        <v>273</v>
      </c>
      <c r="D7796" s="230">
        <v>0</v>
      </c>
      <c r="E7796" t="s">
        <v>730</v>
      </c>
    </row>
    <row r="7797" spans="1:5" hidden="1" x14ac:dyDescent="0.3">
      <c r="A7797" t="s">
        <v>557</v>
      </c>
      <c r="B7797" t="s">
        <v>729</v>
      </c>
      <c r="C7797" t="s">
        <v>274</v>
      </c>
      <c r="D7797" s="230">
        <v>0</v>
      </c>
      <c r="E7797" t="s">
        <v>730</v>
      </c>
    </row>
    <row r="7798" spans="1:5" hidden="1" x14ac:dyDescent="0.3">
      <c r="A7798" t="s">
        <v>557</v>
      </c>
      <c r="B7798" t="s">
        <v>729</v>
      </c>
      <c r="C7798" t="s">
        <v>275</v>
      </c>
      <c r="D7798" s="230">
        <v>-100</v>
      </c>
      <c r="E7798" t="s">
        <v>730</v>
      </c>
    </row>
    <row r="7799" spans="1:5" hidden="1" x14ac:dyDescent="0.3">
      <c r="A7799" t="s">
        <v>557</v>
      </c>
      <c r="B7799" t="s">
        <v>729</v>
      </c>
      <c r="C7799" t="s">
        <v>276</v>
      </c>
      <c r="D7799" s="230">
        <v>-700</v>
      </c>
      <c r="E7799" t="s">
        <v>730</v>
      </c>
    </row>
    <row r="7800" spans="1:5" hidden="1" x14ac:dyDescent="0.3">
      <c r="A7800" t="s">
        <v>557</v>
      </c>
      <c r="B7800" t="s">
        <v>729</v>
      </c>
      <c r="C7800" t="s">
        <v>277</v>
      </c>
      <c r="D7800" s="230">
        <v>0</v>
      </c>
      <c r="E7800" t="s">
        <v>730</v>
      </c>
    </row>
    <row r="7801" spans="1:5" hidden="1" x14ac:dyDescent="0.3">
      <c r="A7801" t="s">
        <v>557</v>
      </c>
      <c r="B7801" t="s">
        <v>729</v>
      </c>
      <c r="C7801" t="s">
        <v>278</v>
      </c>
      <c r="D7801" s="230">
        <v>-6155.44</v>
      </c>
      <c r="E7801" t="s">
        <v>730</v>
      </c>
    </row>
    <row r="7802" spans="1:5" hidden="1" x14ac:dyDescent="0.3">
      <c r="A7802" t="s">
        <v>557</v>
      </c>
      <c r="B7802" t="s">
        <v>729</v>
      </c>
      <c r="C7802" t="s">
        <v>44</v>
      </c>
      <c r="D7802" s="230">
        <v>-0.06</v>
      </c>
      <c r="E7802" t="s">
        <v>730</v>
      </c>
    </row>
    <row r="7803" spans="1:5" hidden="1" x14ac:dyDescent="0.3">
      <c r="A7803" t="s">
        <v>557</v>
      </c>
      <c r="B7803" t="s">
        <v>729</v>
      </c>
      <c r="C7803" t="s">
        <v>279</v>
      </c>
      <c r="D7803" s="230">
        <v>-6861.42</v>
      </c>
      <c r="E7803" t="s">
        <v>730</v>
      </c>
    </row>
    <row r="7804" spans="1:5" hidden="1" x14ac:dyDescent="0.3">
      <c r="A7804" t="s">
        <v>557</v>
      </c>
      <c r="B7804" t="s">
        <v>729</v>
      </c>
      <c r="C7804" t="s">
        <v>280</v>
      </c>
      <c r="D7804" s="230">
        <v>-299.89999999999998</v>
      </c>
      <c r="E7804" t="s">
        <v>730</v>
      </c>
    </row>
    <row r="7805" spans="1:5" hidden="1" x14ac:dyDescent="0.3">
      <c r="A7805" t="s">
        <v>557</v>
      </c>
      <c r="B7805" t="s">
        <v>729</v>
      </c>
      <c r="C7805" t="s">
        <v>281</v>
      </c>
      <c r="D7805" s="230">
        <v>-291.60000000000002</v>
      </c>
      <c r="E7805" t="s">
        <v>730</v>
      </c>
    </row>
    <row r="7806" spans="1:5" hidden="1" x14ac:dyDescent="0.3">
      <c r="A7806" t="s">
        <v>557</v>
      </c>
      <c r="B7806" t="s">
        <v>729</v>
      </c>
      <c r="C7806" t="s">
        <v>282</v>
      </c>
      <c r="D7806" s="230">
        <v>-346.25</v>
      </c>
      <c r="E7806" t="s">
        <v>730</v>
      </c>
    </row>
    <row r="7807" spans="1:5" hidden="1" x14ac:dyDescent="0.3">
      <c r="A7807" t="s">
        <v>557</v>
      </c>
      <c r="B7807" t="s">
        <v>729</v>
      </c>
      <c r="C7807" t="s">
        <v>283</v>
      </c>
      <c r="D7807" s="230">
        <v>-276.69</v>
      </c>
      <c r="E7807" t="s">
        <v>730</v>
      </c>
    </row>
    <row r="7808" spans="1:5" hidden="1" x14ac:dyDescent="0.3">
      <c r="A7808" t="s">
        <v>557</v>
      </c>
      <c r="B7808" t="s">
        <v>729</v>
      </c>
      <c r="C7808" t="s">
        <v>284</v>
      </c>
      <c r="D7808" s="230">
        <v>-5646.98</v>
      </c>
      <c r="E7808" t="s">
        <v>730</v>
      </c>
    </row>
    <row r="7809" spans="1:5" hidden="1" x14ac:dyDescent="0.3">
      <c r="A7809" t="s">
        <v>557</v>
      </c>
      <c r="B7809" t="s">
        <v>729</v>
      </c>
      <c r="C7809" t="s">
        <v>285</v>
      </c>
      <c r="D7809" s="230">
        <v>0</v>
      </c>
      <c r="E7809" t="s">
        <v>730</v>
      </c>
    </row>
    <row r="7810" spans="1:5" hidden="1" x14ac:dyDescent="0.3">
      <c r="A7810" t="s">
        <v>557</v>
      </c>
      <c r="B7810" t="s">
        <v>729</v>
      </c>
      <c r="C7810" t="s">
        <v>286</v>
      </c>
      <c r="D7810" s="230">
        <v>0</v>
      </c>
      <c r="E7810" t="s">
        <v>730</v>
      </c>
    </row>
    <row r="7811" spans="1:5" hidden="1" x14ac:dyDescent="0.3">
      <c r="A7811" t="s">
        <v>557</v>
      </c>
      <c r="B7811" t="s">
        <v>729</v>
      </c>
      <c r="C7811" t="s">
        <v>44</v>
      </c>
      <c r="D7811" s="230">
        <v>-0.01</v>
      </c>
      <c r="E7811" t="s">
        <v>730</v>
      </c>
    </row>
    <row r="7812" spans="1:5" hidden="1" x14ac:dyDescent="0.3">
      <c r="A7812" t="s">
        <v>557</v>
      </c>
      <c r="B7812" t="s">
        <v>729</v>
      </c>
      <c r="C7812" t="s">
        <v>287</v>
      </c>
      <c r="D7812" s="230">
        <v>-12710.52</v>
      </c>
      <c r="E7812" t="s">
        <v>730</v>
      </c>
    </row>
    <row r="7813" spans="1:5" hidden="1" x14ac:dyDescent="0.3">
      <c r="A7813" t="s">
        <v>557</v>
      </c>
      <c r="B7813" t="s">
        <v>729</v>
      </c>
      <c r="C7813" t="s">
        <v>288</v>
      </c>
      <c r="D7813" s="230">
        <v>-12369.55</v>
      </c>
      <c r="E7813" t="s">
        <v>730</v>
      </c>
    </row>
    <row r="7814" spans="1:5" hidden="1" x14ac:dyDescent="0.3">
      <c r="A7814" t="s">
        <v>557</v>
      </c>
      <c r="B7814" t="s">
        <v>729</v>
      </c>
      <c r="C7814" t="s">
        <v>289</v>
      </c>
      <c r="D7814" s="230">
        <v>0</v>
      </c>
      <c r="E7814" t="s">
        <v>730</v>
      </c>
    </row>
    <row r="7815" spans="1:5" hidden="1" x14ac:dyDescent="0.3">
      <c r="A7815" t="s">
        <v>557</v>
      </c>
      <c r="B7815" t="s">
        <v>729</v>
      </c>
      <c r="C7815" t="s">
        <v>290</v>
      </c>
      <c r="D7815" s="230">
        <v>0</v>
      </c>
      <c r="E7815" t="s">
        <v>730</v>
      </c>
    </row>
    <row r="7816" spans="1:5" hidden="1" x14ac:dyDescent="0.3">
      <c r="A7816" t="s">
        <v>557</v>
      </c>
      <c r="B7816" t="s">
        <v>729</v>
      </c>
      <c r="C7816" t="s">
        <v>291</v>
      </c>
      <c r="D7816" s="230">
        <v>0</v>
      </c>
      <c r="E7816" t="s">
        <v>730</v>
      </c>
    </row>
    <row r="7817" spans="1:5" hidden="1" x14ac:dyDescent="0.3">
      <c r="A7817" t="s">
        <v>557</v>
      </c>
      <c r="B7817" t="s">
        <v>729</v>
      </c>
      <c r="C7817" t="s">
        <v>292</v>
      </c>
      <c r="D7817" s="230">
        <v>0</v>
      </c>
      <c r="E7817" t="s">
        <v>730</v>
      </c>
    </row>
    <row r="7818" spans="1:5" hidden="1" x14ac:dyDescent="0.3">
      <c r="A7818" t="s">
        <v>557</v>
      </c>
      <c r="B7818" t="s">
        <v>729</v>
      </c>
      <c r="C7818" t="s">
        <v>293</v>
      </c>
      <c r="D7818" s="230">
        <v>-150</v>
      </c>
      <c r="E7818" t="s">
        <v>730</v>
      </c>
    </row>
    <row r="7819" spans="1:5" hidden="1" x14ac:dyDescent="0.3">
      <c r="A7819" t="s">
        <v>557</v>
      </c>
      <c r="B7819" t="s">
        <v>729</v>
      </c>
      <c r="C7819" t="s">
        <v>294</v>
      </c>
      <c r="D7819" s="230">
        <v>-190.97</v>
      </c>
      <c r="E7819" t="s">
        <v>730</v>
      </c>
    </row>
    <row r="7820" spans="1:5" hidden="1" x14ac:dyDescent="0.3">
      <c r="A7820" t="s">
        <v>557</v>
      </c>
      <c r="B7820" t="s">
        <v>729</v>
      </c>
      <c r="C7820" t="s">
        <v>295</v>
      </c>
      <c r="D7820" s="230">
        <v>0</v>
      </c>
      <c r="E7820" t="s">
        <v>730</v>
      </c>
    </row>
    <row r="7821" spans="1:5" hidden="1" x14ac:dyDescent="0.3">
      <c r="A7821" t="s">
        <v>557</v>
      </c>
      <c r="B7821" t="s">
        <v>729</v>
      </c>
      <c r="C7821" t="s">
        <v>44</v>
      </c>
      <c r="D7821" s="230">
        <v>-0.02</v>
      </c>
      <c r="E7821" t="s">
        <v>730</v>
      </c>
    </row>
    <row r="7822" spans="1:5" hidden="1" x14ac:dyDescent="0.3">
      <c r="A7822" t="s">
        <v>557</v>
      </c>
      <c r="B7822" t="s">
        <v>729</v>
      </c>
      <c r="C7822" t="s">
        <v>296</v>
      </c>
      <c r="D7822" s="230">
        <v>-4252.79</v>
      </c>
      <c r="E7822" t="s">
        <v>730</v>
      </c>
    </row>
    <row r="7823" spans="1:5" hidden="1" x14ac:dyDescent="0.3">
      <c r="A7823" t="s">
        <v>557</v>
      </c>
      <c r="B7823" t="s">
        <v>729</v>
      </c>
      <c r="C7823" t="s">
        <v>297</v>
      </c>
      <c r="D7823" s="230">
        <v>-3500</v>
      </c>
      <c r="E7823" t="s">
        <v>730</v>
      </c>
    </row>
    <row r="7824" spans="1:5" hidden="1" x14ac:dyDescent="0.3">
      <c r="A7824" t="s">
        <v>557</v>
      </c>
      <c r="B7824" t="s">
        <v>729</v>
      </c>
      <c r="C7824" t="s">
        <v>298</v>
      </c>
      <c r="D7824" s="230">
        <v>-460</v>
      </c>
      <c r="E7824" t="s">
        <v>730</v>
      </c>
    </row>
    <row r="7825" spans="1:5" hidden="1" x14ac:dyDescent="0.3">
      <c r="A7825" t="s">
        <v>557</v>
      </c>
      <c r="B7825" t="s">
        <v>729</v>
      </c>
      <c r="C7825" t="s">
        <v>299</v>
      </c>
      <c r="D7825" s="230">
        <v>0</v>
      </c>
      <c r="E7825" t="s">
        <v>730</v>
      </c>
    </row>
    <row r="7826" spans="1:5" hidden="1" x14ac:dyDescent="0.3">
      <c r="A7826" t="s">
        <v>557</v>
      </c>
      <c r="B7826" t="s">
        <v>729</v>
      </c>
      <c r="C7826" t="s">
        <v>300</v>
      </c>
      <c r="D7826" s="230">
        <v>0</v>
      </c>
      <c r="E7826" t="s">
        <v>730</v>
      </c>
    </row>
    <row r="7827" spans="1:5" hidden="1" x14ac:dyDescent="0.3">
      <c r="A7827" t="s">
        <v>557</v>
      </c>
      <c r="B7827" t="s">
        <v>729</v>
      </c>
      <c r="C7827" t="s">
        <v>301</v>
      </c>
      <c r="D7827" s="230">
        <v>-292.79000000000002</v>
      </c>
      <c r="E7827" t="s">
        <v>730</v>
      </c>
    </row>
    <row r="7828" spans="1:5" hidden="1" x14ac:dyDescent="0.3">
      <c r="A7828" t="s">
        <v>557</v>
      </c>
      <c r="B7828" t="s">
        <v>729</v>
      </c>
      <c r="C7828" t="s">
        <v>302</v>
      </c>
      <c r="D7828" s="230">
        <v>0</v>
      </c>
      <c r="E7828" t="s">
        <v>730</v>
      </c>
    </row>
    <row r="7829" spans="1:5" hidden="1" x14ac:dyDescent="0.3">
      <c r="A7829" t="s">
        <v>557</v>
      </c>
      <c r="B7829" t="s">
        <v>729</v>
      </c>
      <c r="C7829" t="s">
        <v>303</v>
      </c>
      <c r="D7829" s="230">
        <v>0</v>
      </c>
      <c r="E7829" t="s">
        <v>730</v>
      </c>
    </row>
    <row r="7830" spans="1:5" hidden="1" x14ac:dyDescent="0.3">
      <c r="A7830" t="s">
        <v>557</v>
      </c>
      <c r="B7830" t="s">
        <v>729</v>
      </c>
      <c r="C7830" t="s">
        <v>304</v>
      </c>
      <c r="D7830" s="230">
        <v>0</v>
      </c>
      <c r="E7830" t="s">
        <v>730</v>
      </c>
    </row>
    <row r="7831" spans="1:5" hidden="1" x14ac:dyDescent="0.3">
      <c r="A7831" t="s">
        <v>557</v>
      </c>
      <c r="B7831" t="s">
        <v>729</v>
      </c>
      <c r="C7831" t="s">
        <v>305</v>
      </c>
      <c r="D7831" s="230">
        <v>0</v>
      </c>
      <c r="E7831" t="s">
        <v>730</v>
      </c>
    </row>
    <row r="7832" spans="1:5" hidden="1" x14ac:dyDescent="0.3">
      <c r="A7832" t="s">
        <v>557</v>
      </c>
      <c r="B7832" t="s">
        <v>729</v>
      </c>
      <c r="C7832" t="s">
        <v>306</v>
      </c>
      <c r="D7832" s="230">
        <v>0</v>
      </c>
      <c r="E7832" t="s">
        <v>730</v>
      </c>
    </row>
    <row r="7833" spans="1:5" hidden="1" x14ac:dyDescent="0.3">
      <c r="A7833" t="s">
        <v>557</v>
      </c>
      <c r="B7833" t="s">
        <v>729</v>
      </c>
      <c r="C7833" t="s">
        <v>307</v>
      </c>
      <c r="D7833" s="230">
        <v>0</v>
      </c>
      <c r="E7833" t="s">
        <v>730</v>
      </c>
    </row>
    <row r="7834" spans="1:5" hidden="1" x14ac:dyDescent="0.3">
      <c r="A7834" t="s">
        <v>557</v>
      </c>
      <c r="B7834" t="s">
        <v>729</v>
      </c>
      <c r="C7834" t="s">
        <v>44</v>
      </c>
      <c r="D7834" s="230">
        <v>-0.01</v>
      </c>
      <c r="E7834" t="s">
        <v>730</v>
      </c>
    </row>
    <row r="7835" spans="1:5" hidden="1" x14ac:dyDescent="0.3">
      <c r="A7835" t="s">
        <v>557</v>
      </c>
      <c r="B7835" t="s">
        <v>729</v>
      </c>
      <c r="C7835" t="s">
        <v>308</v>
      </c>
      <c r="D7835" s="230">
        <v>-13648.25</v>
      </c>
      <c r="E7835" t="s">
        <v>730</v>
      </c>
    </row>
    <row r="7836" spans="1:5" hidden="1" x14ac:dyDescent="0.3">
      <c r="A7836" t="s">
        <v>557</v>
      </c>
      <c r="B7836" t="s">
        <v>729</v>
      </c>
      <c r="C7836" t="s">
        <v>309</v>
      </c>
      <c r="D7836" s="230">
        <v>-4297.7</v>
      </c>
      <c r="E7836" t="s">
        <v>730</v>
      </c>
    </row>
    <row r="7837" spans="1:5" hidden="1" x14ac:dyDescent="0.3">
      <c r="A7837" t="s">
        <v>557</v>
      </c>
      <c r="B7837" t="s">
        <v>729</v>
      </c>
      <c r="C7837" t="s">
        <v>310</v>
      </c>
      <c r="D7837" s="230">
        <v>0</v>
      </c>
      <c r="E7837" t="s">
        <v>730</v>
      </c>
    </row>
    <row r="7838" spans="1:5" hidden="1" x14ac:dyDescent="0.3">
      <c r="A7838" t="s">
        <v>557</v>
      </c>
      <c r="B7838" t="s">
        <v>729</v>
      </c>
      <c r="C7838" t="s">
        <v>311</v>
      </c>
      <c r="D7838" s="230">
        <v>-9350.5499999999993</v>
      </c>
      <c r="E7838" t="s">
        <v>730</v>
      </c>
    </row>
    <row r="7839" spans="1:5" hidden="1" x14ac:dyDescent="0.3">
      <c r="A7839" t="s">
        <v>557</v>
      </c>
      <c r="B7839" t="s">
        <v>729</v>
      </c>
      <c r="C7839" t="s">
        <v>312</v>
      </c>
      <c r="D7839" s="230">
        <v>0</v>
      </c>
      <c r="E7839" t="s">
        <v>730</v>
      </c>
    </row>
    <row r="7840" spans="1:5" hidden="1" x14ac:dyDescent="0.3">
      <c r="A7840" t="s">
        <v>557</v>
      </c>
      <c r="B7840" t="s">
        <v>729</v>
      </c>
      <c r="C7840" t="s">
        <v>313</v>
      </c>
      <c r="D7840" s="230">
        <v>0</v>
      </c>
      <c r="E7840" t="s">
        <v>730</v>
      </c>
    </row>
    <row r="7841" spans="1:5" hidden="1" x14ac:dyDescent="0.3">
      <c r="A7841" t="s">
        <v>557</v>
      </c>
      <c r="B7841" t="s">
        <v>729</v>
      </c>
      <c r="C7841" t="s">
        <v>314</v>
      </c>
      <c r="D7841" s="230">
        <v>0</v>
      </c>
      <c r="E7841" t="s">
        <v>730</v>
      </c>
    </row>
    <row r="7842" spans="1:5" hidden="1" x14ac:dyDescent="0.3">
      <c r="A7842" t="s">
        <v>557</v>
      </c>
      <c r="B7842" t="s">
        <v>729</v>
      </c>
      <c r="C7842" t="s">
        <v>315</v>
      </c>
      <c r="D7842" s="230">
        <v>0</v>
      </c>
      <c r="E7842" t="s">
        <v>730</v>
      </c>
    </row>
    <row r="7843" spans="1:5" hidden="1" x14ac:dyDescent="0.3">
      <c r="A7843" t="s">
        <v>557</v>
      </c>
      <c r="B7843" t="s">
        <v>729</v>
      </c>
      <c r="C7843" t="s">
        <v>316</v>
      </c>
      <c r="D7843" s="230">
        <v>0</v>
      </c>
      <c r="E7843" t="s">
        <v>730</v>
      </c>
    </row>
    <row r="7844" spans="1:5" hidden="1" x14ac:dyDescent="0.3">
      <c r="A7844" t="s">
        <v>557</v>
      </c>
      <c r="B7844" t="s">
        <v>729</v>
      </c>
      <c r="C7844" t="s">
        <v>317</v>
      </c>
      <c r="D7844" s="230">
        <v>0</v>
      </c>
      <c r="E7844" t="s">
        <v>730</v>
      </c>
    </row>
    <row r="7845" spans="1:5" hidden="1" x14ac:dyDescent="0.3">
      <c r="A7845" t="s">
        <v>557</v>
      </c>
      <c r="B7845" t="s">
        <v>729</v>
      </c>
      <c r="C7845" t="s">
        <v>44</v>
      </c>
      <c r="D7845" s="230">
        <v>-0.02</v>
      </c>
      <c r="E7845" t="s">
        <v>730</v>
      </c>
    </row>
    <row r="7846" spans="1:5" hidden="1" x14ac:dyDescent="0.3">
      <c r="A7846" t="s">
        <v>557</v>
      </c>
      <c r="B7846" t="s">
        <v>729</v>
      </c>
      <c r="C7846" t="s">
        <v>318</v>
      </c>
      <c r="D7846" s="230">
        <v>-2183.04</v>
      </c>
      <c r="E7846" t="s">
        <v>730</v>
      </c>
    </row>
    <row r="7847" spans="1:5" hidden="1" x14ac:dyDescent="0.3">
      <c r="A7847" t="s">
        <v>557</v>
      </c>
      <c r="B7847" t="s">
        <v>729</v>
      </c>
      <c r="C7847" t="s">
        <v>319</v>
      </c>
      <c r="D7847" s="230">
        <v>-2183.04</v>
      </c>
      <c r="E7847" t="s">
        <v>730</v>
      </c>
    </row>
    <row r="7848" spans="1:5" hidden="1" x14ac:dyDescent="0.3">
      <c r="A7848" t="s">
        <v>557</v>
      </c>
      <c r="B7848" t="s">
        <v>729</v>
      </c>
      <c r="C7848" t="s">
        <v>320</v>
      </c>
      <c r="D7848" s="230">
        <v>0</v>
      </c>
      <c r="E7848" t="s">
        <v>730</v>
      </c>
    </row>
    <row r="7849" spans="1:5" hidden="1" x14ac:dyDescent="0.3">
      <c r="A7849" t="s">
        <v>557</v>
      </c>
      <c r="B7849" t="s">
        <v>729</v>
      </c>
      <c r="C7849" t="s">
        <v>321</v>
      </c>
      <c r="D7849" s="230">
        <v>0</v>
      </c>
      <c r="E7849" t="s">
        <v>730</v>
      </c>
    </row>
    <row r="7850" spans="1:5" hidden="1" x14ac:dyDescent="0.3">
      <c r="A7850" t="s">
        <v>557</v>
      </c>
      <c r="B7850" t="s">
        <v>729</v>
      </c>
      <c r="C7850" t="s">
        <v>322</v>
      </c>
      <c r="D7850" s="230">
        <v>0</v>
      </c>
      <c r="E7850" t="s">
        <v>730</v>
      </c>
    </row>
    <row r="7851" spans="1:5" hidden="1" x14ac:dyDescent="0.3">
      <c r="A7851" t="s">
        <v>557</v>
      </c>
      <c r="B7851" t="s">
        <v>729</v>
      </c>
      <c r="C7851" t="s">
        <v>44</v>
      </c>
      <c r="D7851" s="230">
        <v>0</v>
      </c>
      <c r="E7851" t="s">
        <v>730</v>
      </c>
    </row>
    <row r="7852" spans="1:5" hidden="1" x14ac:dyDescent="0.3">
      <c r="A7852" t="s">
        <v>557</v>
      </c>
      <c r="B7852" t="s">
        <v>729</v>
      </c>
      <c r="C7852" t="s">
        <v>323</v>
      </c>
      <c r="D7852" s="230">
        <v>-35682.71</v>
      </c>
      <c r="E7852" t="s">
        <v>730</v>
      </c>
    </row>
    <row r="7853" spans="1:5" hidden="1" x14ac:dyDescent="0.3">
      <c r="A7853" t="s">
        <v>557</v>
      </c>
      <c r="B7853" t="s">
        <v>729</v>
      </c>
      <c r="C7853" t="s">
        <v>324</v>
      </c>
      <c r="D7853" s="230">
        <v>0</v>
      </c>
      <c r="E7853" t="s">
        <v>730</v>
      </c>
    </row>
    <row r="7854" spans="1:5" hidden="1" x14ac:dyDescent="0.3">
      <c r="A7854" t="s">
        <v>557</v>
      </c>
      <c r="B7854" t="s">
        <v>729</v>
      </c>
      <c r="C7854" t="s">
        <v>325</v>
      </c>
      <c r="D7854" s="230">
        <v>0</v>
      </c>
      <c r="E7854" t="s">
        <v>730</v>
      </c>
    </row>
    <row r="7855" spans="1:5" hidden="1" x14ac:dyDescent="0.3">
      <c r="A7855" t="s">
        <v>557</v>
      </c>
      <c r="B7855" t="s">
        <v>729</v>
      </c>
      <c r="C7855" t="s">
        <v>326</v>
      </c>
      <c r="D7855" s="230">
        <v>-35682.71</v>
      </c>
      <c r="E7855" t="s">
        <v>730</v>
      </c>
    </row>
    <row r="7856" spans="1:5" hidden="1" x14ac:dyDescent="0.3">
      <c r="A7856" t="s">
        <v>557</v>
      </c>
      <c r="B7856" t="s">
        <v>729</v>
      </c>
      <c r="C7856" t="s">
        <v>44</v>
      </c>
      <c r="D7856" s="230">
        <v>-0.05</v>
      </c>
      <c r="E7856" t="s">
        <v>730</v>
      </c>
    </row>
    <row r="7857" spans="1:5" hidden="1" x14ac:dyDescent="0.3">
      <c r="A7857" t="s">
        <v>557</v>
      </c>
      <c r="B7857" t="s">
        <v>729</v>
      </c>
      <c r="C7857" t="s">
        <v>328</v>
      </c>
      <c r="D7857" s="230">
        <v>-296713.74</v>
      </c>
      <c r="E7857" t="s">
        <v>730</v>
      </c>
    </row>
    <row r="7858" spans="1:5" hidden="1" x14ac:dyDescent="0.3">
      <c r="A7858" t="s">
        <v>557</v>
      </c>
      <c r="B7858" t="s">
        <v>729</v>
      </c>
      <c r="C7858" t="s">
        <v>44</v>
      </c>
      <c r="D7858" s="230">
        <v>-0.42</v>
      </c>
      <c r="E7858" t="s">
        <v>730</v>
      </c>
    </row>
    <row r="7859" spans="1:5" hidden="1" x14ac:dyDescent="0.3">
      <c r="A7859" t="s">
        <v>557</v>
      </c>
      <c r="B7859" t="s">
        <v>729</v>
      </c>
      <c r="C7859" t="s">
        <v>329</v>
      </c>
      <c r="D7859" s="230">
        <v>100119.07</v>
      </c>
      <c r="E7859" t="s">
        <v>730</v>
      </c>
    </row>
    <row r="7860" spans="1:5" hidden="1" x14ac:dyDescent="0.3">
      <c r="A7860" t="s">
        <v>557</v>
      </c>
      <c r="B7860" t="s">
        <v>729</v>
      </c>
      <c r="C7860" t="s">
        <v>44</v>
      </c>
      <c r="D7860" s="230">
        <v>0.14000000000000001</v>
      </c>
      <c r="E7860" t="s">
        <v>730</v>
      </c>
    </row>
    <row r="7861" spans="1:5" hidden="1" x14ac:dyDescent="0.3">
      <c r="A7861" t="s">
        <v>557</v>
      </c>
      <c r="B7861" t="s">
        <v>729</v>
      </c>
      <c r="C7861" t="s">
        <v>330</v>
      </c>
      <c r="D7861" s="230">
        <v>0</v>
      </c>
      <c r="E7861" t="s">
        <v>730</v>
      </c>
    </row>
    <row r="7862" spans="1:5" hidden="1" x14ac:dyDescent="0.3">
      <c r="A7862" t="s">
        <v>557</v>
      </c>
      <c r="B7862" t="s">
        <v>729</v>
      </c>
      <c r="C7862" t="s">
        <v>332</v>
      </c>
      <c r="D7862" s="230">
        <v>100119.07</v>
      </c>
      <c r="E7862" t="s">
        <v>730</v>
      </c>
    </row>
    <row r="7863" spans="1:5" hidden="1" x14ac:dyDescent="0.3">
      <c r="A7863" t="s">
        <v>557</v>
      </c>
      <c r="B7863" t="s">
        <v>729</v>
      </c>
      <c r="C7863" t="s">
        <v>333</v>
      </c>
      <c r="D7863" s="230">
        <v>8127.76</v>
      </c>
      <c r="E7863" t="s">
        <v>730</v>
      </c>
    </row>
    <row r="7864" spans="1:5" hidden="1" x14ac:dyDescent="0.3">
      <c r="A7864" t="s">
        <v>557</v>
      </c>
      <c r="B7864" t="s">
        <v>729</v>
      </c>
      <c r="C7864" t="s">
        <v>334</v>
      </c>
      <c r="D7864" s="230">
        <v>2500</v>
      </c>
      <c r="E7864" t="s">
        <v>730</v>
      </c>
    </row>
    <row r="7865" spans="1:5" hidden="1" x14ac:dyDescent="0.3">
      <c r="A7865" t="s">
        <v>557</v>
      </c>
      <c r="B7865" t="s">
        <v>729</v>
      </c>
      <c r="C7865" t="s">
        <v>336</v>
      </c>
      <c r="D7865" s="230">
        <v>0</v>
      </c>
      <c r="E7865" t="s">
        <v>730</v>
      </c>
    </row>
    <row r="7866" spans="1:5" hidden="1" x14ac:dyDescent="0.3">
      <c r="A7866" t="s">
        <v>557</v>
      </c>
      <c r="B7866" t="s">
        <v>729</v>
      </c>
      <c r="C7866" t="s">
        <v>338</v>
      </c>
      <c r="D7866" s="230">
        <v>115028.23</v>
      </c>
      <c r="E7866" t="s">
        <v>730</v>
      </c>
    </row>
    <row r="7867" spans="1:5" hidden="1" x14ac:dyDescent="0.3">
      <c r="A7867" t="s">
        <v>557</v>
      </c>
      <c r="B7867" t="s">
        <v>729</v>
      </c>
      <c r="C7867" t="s">
        <v>339</v>
      </c>
      <c r="D7867" s="230">
        <v>-19479.02</v>
      </c>
      <c r="E7867" t="s">
        <v>730</v>
      </c>
    </row>
    <row r="7868" spans="1:5" hidden="1" x14ac:dyDescent="0.3">
      <c r="A7868" t="s">
        <v>557</v>
      </c>
      <c r="B7868" t="s">
        <v>729</v>
      </c>
      <c r="C7868" t="s">
        <v>342</v>
      </c>
      <c r="D7868" s="230">
        <v>0</v>
      </c>
      <c r="E7868" t="s">
        <v>730</v>
      </c>
    </row>
    <row r="7869" spans="1:5" hidden="1" x14ac:dyDescent="0.3">
      <c r="A7869" t="s">
        <v>557</v>
      </c>
      <c r="B7869" t="s">
        <v>729</v>
      </c>
      <c r="C7869" t="s">
        <v>344</v>
      </c>
      <c r="D7869" s="230">
        <v>-7817.67</v>
      </c>
      <c r="E7869" t="s">
        <v>730</v>
      </c>
    </row>
    <row r="7870" spans="1:5" hidden="1" x14ac:dyDescent="0.3">
      <c r="A7870" t="s">
        <v>557</v>
      </c>
      <c r="B7870" t="s">
        <v>729</v>
      </c>
      <c r="C7870" t="s">
        <v>345</v>
      </c>
      <c r="D7870" s="230">
        <v>-4625.45</v>
      </c>
      <c r="E7870" t="s">
        <v>730</v>
      </c>
    </row>
    <row r="7871" spans="1:5" hidden="1" x14ac:dyDescent="0.3">
      <c r="A7871" t="s">
        <v>557</v>
      </c>
      <c r="B7871" t="s">
        <v>729</v>
      </c>
      <c r="C7871" t="s">
        <v>346</v>
      </c>
      <c r="D7871" s="230">
        <v>-7035.9</v>
      </c>
      <c r="E7871" t="s">
        <v>730</v>
      </c>
    </row>
    <row r="7872" spans="1:5" hidden="1" x14ac:dyDescent="0.3">
      <c r="A7872" t="s">
        <v>557</v>
      </c>
      <c r="B7872" t="s">
        <v>729</v>
      </c>
      <c r="C7872" t="s">
        <v>347</v>
      </c>
      <c r="D7872" s="230">
        <v>95549.21</v>
      </c>
      <c r="E7872" t="s">
        <v>730</v>
      </c>
    </row>
    <row r="7873" spans="1:5" hidden="1" x14ac:dyDescent="0.3">
      <c r="A7873" t="s">
        <v>557</v>
      </c>
      <c r="B7873" t="s">
        <v>729</v>
      </c>
      <c r="C7873" t="s">
        <v>44</v>
      </c>
      <c r="D7873" s="230">
        <v>0.13</v>
      </c>
      <c r="E7873" t="s">
        <v>730</v>
      </c>
    </row>
    <row r="7874" spans="1:5" hidden="1" x14ac:dyDescent="0.3">
      <c r="A7874" t="s">
        <v>557</v>
      </c>
      <c r="B7874" t="s">
        <v>729</v>
      </c>
      <c r="C7874" t="s">
        <v>348</v>
      </c>
      <c r="D7874" s="230">
        <v>-9710.49</v>
      </c>
      <c r="E7874" t="s">
        <v>730</v>
      </c>
    </row>
    <row r="7875" spans="1:5" hidden="1" x14ac:dyDescent="0.3">
      <c r="A7875" t="s">
        <v>557</v>
      </c>
      <c r="B7875" t="s">
        <v>729</v>
      </c>
      <c r="C7875" t="s">
        <v>707</v>
      </c>
      <c r="D7875" s="230">
        <v>-4249.6400000000003</v>
      </c>
      <c r="E7875" t="s">
        <v>730</v>
      </c>
    </row>
    <row r="7876" spans="1:5" hidden="1" x14ac:dyDescent="0.3">
      <c r="A7876" t="s">
        <v>557</v>
      </c>
      <c r="B7876" t="s">
        <v>729</v>
      </c>
      <c r="C7876" t="s">
        <v>350</v>
      </c>
      <c r="D7876" s="230">
        <v>-5460.85</v>
      </c>
      <c r="E7876" t="s">
        <v>730</v>
      </c>
    </row>
    <row r="7877" spans="1:5" hidden="1" x14ac:dyDescent="0.3">
      <c r="A7877" t="s">
        <v>557</v>
      </c>
      <c r="B7877" t="s">
        <v>729</v>
      </c>
      <c r="C7877" t="s">
        <v>351</v>
      </c>
      <c r="D7877" s="230">
        <v>0</v>
      </c>
      <c r="E7877" t="s">
        <v>730</v>
      </c>
    </row>
    <row r="7878" spans="1:5" hidden="1" x14ac:dyDescent="0.3">
      <c r="A7878" t="s">
        <v>557</v>
      </c>
      <c r="B7878" t="s">
        <v>729</v>
      </c>
      <c r="C7878" t="s">
        <v>352</v>
      </c>
      <c r="D7878" s="230">
        <v>0</v>
      </c>
      <c r="E7878" t="s">
        <v>730</v>
      </c>
    </row>
    <row r="7879" spans="1:5" hidden="1" x14ac:dyDescent="0.3">
      <c r="A7879" t="s">
        <v>557</v>
      </c>
      <c r="B7879" t="s">
        <v>729</v>
      </c>
      <c r="C7879" t="s">
        <v>353</v>
      </c>
      <c r="D7879" s="230">
        <v>0</v>
      </c>
      <c r="E7879" t="s">
        <v>730</v>
      </c>
    </row>
    <row r="7880" spans="1:5" hidden="1" x14ac:dyDescent="0.3">
      <c r="A7880" t="s">
        <v>557</v>
      </c>
      <c r="B7880" t="s">
        <v>729</v>
      </c>
      <c r="C7880" t="s">
        <v>354</v>
      </c>
      <c r="D7880" s="230">
        <v>0</v>
      </c>
      <c r="E7880" t="s">
        <v>730</v>
      </c>
    </row>
    <row r="7881" spans="1:5" hidden="1" x14ac:dyDescent="0.3">
      <c r="A7881" t="s">
        <v>557</v>
      </c>
      <c r="B7881" t="s">
        <v>729</v>
      </c>
      <c r="C7881" t="s">
        <v>355</v>
      </c>
      <c r="D7881" s="230">
        <v>0</v>
      </c>
      <c r="E7881" t="s">
        <v>730</v>
      </c>
    </row>
    <row r="7882" spans="1:5" hidden="1" x14ac:dyDescent="0.3">
      <c r="A7882" t="s">
        <v>557</v>
      </c>
      <c r="B7882" t="s">
        <v>729</v>
      </c>
      <c r="C7882" t="s">
        <v>356</v>
      </c>
      <c r="D7882" s="230">
        <v>0</v>
      </c>
      <c r="E7882" t="s">
        <v>730</v>
      </c>
    </row>
    <row r="7883" spans="1:5" hidden="1" x14ac:dyDescent="0.3">
      <c r="A7883" t="s">
        <v>557</v>
      </c>
      <c r="B7883" t="s">
        <v>729</v>
      </c>
      <c r="C7883" t="s">
        <v>357</v>
      </c>
      <c r="D7883" s="230">
        <v>0</v>
      </c>
      <c r="E7883" t="s">
        <v>730</v>
      </c>
    </row>
    <row r="7884" spans="1:5" hidden="1" x14ac:dyDescent="0.3">
      <c r="A7884" t="s">
        <v>557</v>
      </c>
      <c r="B7884" t="s">
        <v>729</v>
      </c>
      <c r="C7884" t="s">
        <v>358</v>
      </c>
      <c r="D7884" s="230">
        <v>0</v>
      </c>
      <c r="E7884" t="s">
        <v>730</v>
      </c>
    </row>
    <row r="7885" spans="1:5" hidden="1" x14ac:dyDescent="0.3">
      <c r="A7885" t="s">
        <v>557</v>
      </c>
      <c r="B7885" t="s">
        <v>729</v>
      </c>
      <c r="C7885" t="s">
        <v>359</v>
      </c>
      <c r="D7885" s="230">
        <v>0</v>
      </c>
      <c r="E7885" t="s">
        <v>730</v>
      </c>
    </row>
    <row r="7886" spans="1:5" hidden="1" x14ac:dyDescent="0.3">
      <c r="A7886" t="s">
        <v>557</v>
      </c>
      <c r="B7886" t="s">
        <v>729</v>
      </c>
      <c r="C7886" t="s">
        <v>360</v>
      </c>
      <c r="D7886" s="230">
        <v>0</v>
      </c>
      <c r="E7886" t="s">
        <v>730</v>
      </c>
    </row>
    <row r="7887" spans="1:5" hidden="1" x14ac:dyDescent="0.3">
      <c r="A7887" t="s">
        <v>557</v>
      </c>
      <c r="B7887" t="s">
        <v>729</v>
      </c>
      <c r="C7887" t="s">
        <v>361</v>
      </c>
      <c r="D7887" s="230">
        <v>0</v>
      </c>
      <c r="E7887" t="s">
        <v>730</v>
      </c>
    </row>
    <row r="7888" spans="1:5" hidden="1" x14ac:dyDescent="0.3">
      <c r="A7888" t="s">
        <v>557</v>
      </c>
      <c r="B7888" t="s">
        <v>729</v>
      </c>
      <c r="C7888" t="s">
        <v>362</v>
      </c>
      <c r="D7888" s="230">
        <v>0</v>
      </c>
      <c r="E7888" t="s">
        <v>730</v>
      </c>
    </row>
    <row r="7889" spans="1:5" hidden="1" x14ac:dyDescent="0.3">
      <c r="A7889" t="s">
        <v>557</v>
      </c>
      <c r="B7889" t="s">
        <v>729</v>
      </c>
      <c r="C7889" t="s">
        <v>363</v>
      </c>
      <c r="D7889" s="230">
        <v>0</v>
      </c>
      <c r="E7889" t="s">
        <v>730</v>
      </c>
    </row>
    <row r="7890" spans="1:5" hidden="1" x14ac:dyDescent="0.3">
      <c r="A7890" t="s">
        <v>557</v>
      </c>
      <c r="B7890" t="s">
        <v>729</v>
      </c>
      <c r="C7890" t="s">
        <v>364</v>
      </c>
      <c r="D7890" s="230">
        <v>0</v>
      </c>
      <c r="E7890" t="s">
        <v>730</v>
      </c>
    </row>
    <row r="7891" spans="1:5" hidden="1" x14ac:dyDescent="0.3">
      <c r="A7891" t="s">
        <v>557</v>
      </c>
      <c r="B7891" t="s">
        <v>729</v>
      </c>
      <c r="C7891" t="s">
        <v>365</v>
      </c>
      <c r="D7891" s="230">
        <v>0</v>
      </c>
      <c r="E7891" t="s">
        <v>730</v>
      </c>
    </row>
    <row r="7892" spans="1:5" hidden="1" x14ac:dyDescent="0.3">
      <c r="A7892" t="s">
        <v>557</v>
      </c>
      <c r="B7892" t="s">
        <v>729</v>
      </c>
      <c r="C7892" t="s">
        <v>366</v>
      </c>
      <c r="D7892" s="230">
        <v>0</v>
      </c>
      <c r="E7892" t="s">
        <v>730</v>
      </c>
    </row>
    <row r="7893" spans="1:5" hidden="1" x14ac:dyDescent="0.3">
      <c r="A7893" t="s">
        <v>557</v>
      </c>
      <c r="B7893" t="s">
        <v>729</v>
      </c>
      <c r="C7893" t="s">
        <v>367</v>
      </c>
      <c r="D7893" s="230">
        <v>0</v>
      </c>
      <c r="E7893" t="s">
        <v>730</v>
      </c>
    </row>
    <row r="7894" spans="1:5" hidden="1" x14ac:dyDescent="0.3">
      <c r="A7894" t="s">
        <v>557</v>
      </c>
      <c r="B7894" t="s">
        <v>729</v>
      </c>
      <c r="C7894" t="s">
        <v>368</v>
      </c>
      <c r="D7894" s="230">
        <v>0</v>
      </c>
      <c r="E7894" t="s">
        <v>730</v>
      </c>
    </row>
    <row r="7895" spans="1:5" hidden="1" x14ac:dyDescent="0.3">
      <c r="A7895" t="s">
        <v>557</v>
      </c>
      <c r="B7895" t="s">
        <v>729</v>
      </c>
      <c r="C7895" t="s">
        <v>369</v>
      </c>
      <c r="D7895" s="230">
        <v>0</v>
      </c>
      <c r="E7895" t="s">
        <v>730</v>
      </c>
    </row>
    <row r="7896" spans="1:5" hidden="1" x14ac:dyDescent="0.3">
      <c r="A7896" t="s">
        <v>557</v>
      </c>
      <c r="B7896" t="s">
        <v>729</v>
      </c>
      <c r="C7896" t="s">
        <v>370</v>
      </c>
      <c r="D7896" s="230">
        <v>0</v>
      </c>
      <c r="E7896" t="s">
        <v>730</v>
      </c>
    </row>
    <row r="7897" spans="1:5" hidden="1" x14ac:dyDescent="0.3">
      <c r="A7897" t="s">
        <v>557</v>
      </c>
      <c r="B7897" t="s">
        <v>729</v>
      </c>
      <c r="C7897" t="s">
        <v>371</v>
      </c>
      <c r="D7897" s="230">
        <v>0</v>
      </c>
      <c r="E7897" t="s">
        <v>730</v>
      </c>
    </row>
    <row r="7898" spans="1:5" hidden="1" x14ac:dyDescent="0.3">
      <c r="A7898" t="s">
        <v>557</v>
      </c>
      <c r="B7898" t="s">
        <v>729</v>
      </c>
      <c r="C7898" t="s">
        <v>372</v>
      </c>
      <c r="D7898" s="230">
        <v>0</v>
      </c>
      <c r="E7898" t="s">
        <v>730</v>
      </c>
    </row>
    <row r="7899" spans="1:5" hidden="1" x14ac:dyDescent="0.3">
      <c r="A7899" t="s">
        <v>557</v>
      </c>
      <c r="B7899" t="s">
        <v>729</v>
      </c>
      <c r="C7899" t="s">
        <v>373</v>
      </c>
      <c r="D7899" s="230">
        <v>0</v>
      </c>
      <c r="E7899" t="s">
        <v>730</v>
      </c>
    </row>
    <row r="7900" spans="1:5" hidden="1" x14ac:dyDescent="0.3">
      <c r="A7900" t="s">
        <v>557</v>
      </c>
      <c r="B7900" t="s">
        <v>729</v>
      </c>
      <c r="C7900" t="s">
        <v>374</v>
      </c>
      <c r="D7900" s="230">
        <v>0</v>
      </c>
      <c r="E7900" t="s">
        <v>730</v>
      </c>
    </row>
    <row r="7901" spans="1:5" hidden="1" x14ac:dyDescent="0.3">
      <c r="A7901" t="s">
        <v>557</v>
      </c>
      <c r="B7901" t="s">
        <v>729</v>
      </c>
      <c r="C7901" t="s">
        <v>708</v>
      </c>
      <c r="D7901" s="230">
        <v>0</v>
      </c>
      <c r="E7901" t="s">
        <v>730</v>
      </c>
    </row>
    <row r="7902" spans="1:5" hidden="1" x14ac:dyDescent="0.3">
      <c r="A7902" t="s">
        <v>557</v>
      </c>
      <c r="B7902" t="s">
        <v>731</v>
      </c>
      <c r="C7902" t="s">
        <v>11</v>
      </c>
      <c r="D7902" s="230">
        <v>5328982.55</v>
      </c>
      <c r="E7902" t="s">
        <v>731</v>
      </c>
    </row>
    <row r="7903" spans="1:5" hidden="1" x14ac:dyDescent="0.3">
      <c r="A7903" t="s">
        <v>557</v>
      </c>
      <c r="B7903" t="s">
        <v>731</v>
      </c>
      <c r="C7903" t="s">
        <v>13</v>
      </c>
      <c r="D7903" s="230">
        <v>2620357.86</v>
      </c>
      <c r="E7903" t="s">
        <v>731</v>
      </c>
    </row>
    <row r="7904" spans="1:5" hidden="1" x14ac:dyDescent="0.3">
      <c r="A7904" t="s">
        <v>557</v>
      </c>
      <c r="B7904" t="s">
        <v>731</v>
      </c>
      <c r="C7904" t="s">
        <v>16</v>
      </c>
      <c r="D7904" s="230">
        <v>1424477.26</v>
      </c>
      <c r="E7904" t="s">
        <v>731</v>
      </c>
    </row>
    <row r="7905" spans="1:5" hidden="1" x14ac:dyDescent="0.3">
      <c r="A7905" t="s">
        <v>557</v>
      </c>
      <c r="B7905" t="s">
        <v>731</v>
      </c>
      <c r="C7905" t="s">
        <v>17</v>
      </c>
      <c r="D7905" s="230">
        <v>100277</v>
      </c>
      <c r="E7905" t="s">
        <v>731</v>
      </c>
    </row>
    <row r="7906" spans="1:5" hidden="1" x14ac:dyDescent="0.3">
      <c r="A7906" t="s">
        <v>557</v>
      </c>
      <c r="B7906" t="s">
        <v>731</v>
      </c>
      <c r="C7906" t="s">
        <v>18</v>
      </c>
      <c r="D7906" s="230">
        <v>2080.5</v>
      </c>
      <c r="E7906" t="s">
        <v>731</v>
      </c>
    </row>
    <row r="7907" spans="1:5" hidden="1" x14ac:dyDescent="0.3">
      <c r="A7907" t="s">
        <v>557</v>
      </c>
      <c r="B7907" t="s">
        <v>731</v>
      </c>
      <c r="C7907" t="s">
        <v>20</v>
      </c>
      <c r="D7907" s="230">
        <v>522059.26</v>
      </c>
      <c r="E7907" t="s">
        <v>731</v>
      </c>
    </row>
    <row r="7908" spans="1:5" hidden="1" x14ac:dyDescent="0.3">
      <c r="A7908" t="s">
        <v>557</v>
      </c>
      <c r="B7908" t="s">
        <v>731</v>
      </c>
      <c r="C7908" t="s">
        <v>23</v>
      </c>
      <c r="D7908" s="230">
        <v>439313.3</v>
      </c>
      <c r="E7908" t="s">
        <v>731</v>
      </c>
    </row>
    <row r="7909" spans="1:5" hidden="1" x14ac:dyDescent="0.3">
      <c r="A7909" t="s">
        <v>557</v>
      </c>
      <c r="B7909" t="s">
        <v>731</v>
      </c>
      <c r="C7909" t="s">
        <v>25</v>
      </c>
      <c r="D7909" s="230">
        <v>4500</v>
      </c>
      <c r="E7909" t="s">
        <v>731</v>
      </c>
    </row>
    <row r="7910" spans="1:5" hidden="1" x14ac:dyDescent="0.3">
      <c r="A7910" t="s">
        <v>557</v>
      </c>
      <c r="B7910" t="s">
        <v>731</v>
      </c>
      <c r="C7910" t="s">
        <v>26</v>
      </c>
      <c r="D7910" s="230">
        <v>192929.85</v>
      </c>
      <c r="E7910" t="s">
        <v>731</v>
      </c>
    </row>
    <row r="7911" spans="1:5" hidden="1" x14ac:dyDescent="0.3">
      <c r="A7911" t="s">
        <v>557</v>
      </c>
      <c r="B7911" t="s">
        <v>731</v>
      </c>
      <c r="C7911" t="s">
        <v>27</v>
      </c>
      <c r="D7911" s="230">
        <v>0</v>
      </c>
      <c r="E7911" t="s">
        <v>731</v>
      </c>
    </row>
    <row r="7912" spans="1:5" hidden="1" x14ac:dyDescent="0.3">
      <c r="A7912" t="s">
        <v>557</v>
      </c>
      <c r="B7912" t="s">
        <v>731</v>
      </c>
      <c r="C7912" t="s">
        <v>29</v>
      </c>
      <c r="D7912" s="230">
        <v>22801.13</v>
      </c>
      <c r="E7912" t="s">
        <v>731</v>
      </c>
    </row>
    <row r="7913" spans="1:5" hidden="1" x14ac:dyDescent="0.3">
      <c r="A7913" t="s">
        <v>557</v>
      </c>
      <c r="B7913" t="s">
        <v>731</v>
      </c>
      <c r="C7913" t="s">
        <v>31</v>
      </c>
      <c r="D7913" s="230">
        <v>186.4</v>
      </c>
      <c r="E7913" t="s">
        <v>731</v>
      </c>
    </row>
    <row r="7914" spans="1:5" hidden="1" x14ac:dyDescent="0.3">
      <c r="A7914" t="s">
        <v>557</v>
      </c>
      <c r="B7914" t="s">
        <v>731</v>
      </c>
      <c r="C7914" t="s">
        <v>34</v>
      </c>
      <c r="D7914" s="230">
        <v>-146467.82</v>
      </c>
      <c r="E7914" t="s">
        <v>731</v>
      </c>
    </row>
    <row r="7915" spans="1:5" hidden="1" x14ac:dyDescent="0.3">
      <c r="A7915" t="s">
        <v>557</v>
      </c>
      <c r="B7915" t="s">
        <v>731</v>
      </c>
      <c r="C7915" t="s">
        <v>38</v>
      </c>
      <c r="D7915" s="230">
        <v>-146467.82</v>
      </c>
      <c r="E7915" t="s">
        <v>731</v>
      </c>
    </row>
    <row r="7916" spans="1:5" hidden="1" x14ac:dyDescent="0.3">
      <c r="A7916" t="s">
        <v>557</v>
      </c>
      <c r="B7916" t="s">
        <v>731</v>
      </c>
      <c r="C7916" t="s">
        <v>40</v>
      </c>
      <c r="D7916" s="230">
        <v>0</v>
      </c>
      <c r="E7916" t="s">
        <v>731</v>
      </c>
    </row>
    <row r="7917" spans="1:5" hidden="1" x14ac:dyDescent="0.3">
      <c r="A7917" t="s">
        <v>557</v>
      </c>
      <c r="B7917" t="s">
        <v>731</v>
      </c>
      <c r="C7917" t="s">
        <v>42</v>
      </c>
      <c r="D7917" s="230">
        <v>0</v>
      </c>
      <c r="E7917" t="s">
        <v>731</v>
      </c>
    </row>
    <row r="7918" spans="1:5" hidden="1" x14ac:dyDescent="0.3">
      <c r="A7918" t="s">
        <v>557</v>
      </c>
      <c r="B7918" t="s">
        <v>731</v>
      </c>
      <c r="C7918" t="s">
        <v>44</v>
      </c>
      <c r="D7918" s="230">
        <v>-0.03</v>
      </c>
      <c r="E7918" t="s">
        <v>731</v>
      </c>
    </row>
    <row r="7919" spans="1:5" hidden="1" x14ac:dyDescent="0.3">
      <c r="A7919" t="s">
        <v>557</v>
      </c>
      <c r="B7919" t="s">
        <v>731</v>
      </c>
      <c r="C7919" t="s">
        <v>45</v>
      </c>
      <c r="D7919" s="230">
        <v>-332162.69</v>
      </c>
      <c r="E7919" t="s">
        <v>731</v>
      </c>
    </row>
    <row r="7920" spans="1:5" hidden="1" x14ac:dyDescent="0.3">
      <c r="A7920" t="s">
        <v>557</v>
      </c>
      <c r="B7920" t="s">
        <v>731</v>
      </c>
      <c r="C7920" t="s">
        <v>46</v>
      </c>
      <c r="D7920" s="230">
        <v>-170106.62</v>
      </c>
      <c r="E7920" t="s">
        <v>731</v>
      </c>
    </row>
    <row r="7921" spans="1:5" hidden="1" x14ac:dyDescent="0.3">
      <c r="A7921" t="s">
        <v>557</v>
      </c>
      <c r="B7921" t="s">
        <v>731</v>
      </c>
      <c r="C7921" t="s">
        <v>48</v>
      </c>
      <c r="D7921" s="230">
        <v>-135076.54999999999</v>
      </c>
      <c r="E7921" t="s">
        <v>731</v>
      </c>
    </row>
    <row r="7922" spans="1:5" hidden="1" x14ac:dyDescent="0.3">
      <c r="A7922" t="s">
        <v>557</v>
      </c>
      <c r="B7922" t="s">
        <v>731</v>
      </c>
      <c r="C7922" t="s">
        <v>49</v>
      </c>
      <c r="D7922" s="230">
        <v>-26979.52</v>
      </c>
      <c r="E7922" t="s">
        <v>731</v>
      </c>
    </row>
    <row r="7923" spans="1:5" hidden="1" x14ac:dyDescent="0.3">
      <c r="A7923" t="s">
        <v>557</v>
      </c>
      <c r="B7923" t="s">
        <v>731</v>
      </c>
      <c r="C7923" t="s">
        <v>50</v>
      </c>
      <c r="D7923" s="230">
        <v>4850352.04</v>
      </c>
      <c r="E7923" t="s">
        <v>731</v>
      </c>
    </row>
    <row r="7924" spans="1:5" hidden="1" x14ac:dyDescent="0.3">
      <c r="A7924" t="s">
        <v>557</v>
      </c>
      <c r="B7924" t="s">
        <v>731</v>
      </c>
      <c r="C7924" t="s">
        <v>51</v>
      </c>
      <c r="D7924" s="230">
        <v>-1389243.24</v>
      </c>
      <c r="E7924" t="s">
        <v>731</v>
      </c>
    </row>
    <row r="7925" spans="1:5" hidden="1" x14ac:dyDescent="0.3">
      <c r="A7925" t="s">
        <v>557</v>
      </c>
      <c r="B7925" t="s">
        <v>731</v>
      </c>
      <c r="C7925" t="s">
        <v>52</v>
      </c>
      <c r="D7925" s="230">
        <v>-1020948.67</v>
      </c>
      <c r="E7925" t="s">
        <v>731</v>
      </c>
    </row>
    <row r="7926" spans="1:5" hidden="1" x14ac:dyDescent="0.3">
      <c r="A7926" t="s">
        <v>557</v>
      </c>
      <c r="B7926" t="s">
        <v>731</v>
      </c>
      <c r="C7926" t="s">
        <v>53</v>
      </c>
      <c r="D7926" s="230">
        <v>-367443.06</v>
      </c>
      <c r="E7926" t="s">
        <v>731</v>
      </c>
    </row>
    <row r="7927" spans="1:5" hidden="1" x14ac:dyDescent="0.3">
      <c r="A7927" t="s">
        <v>557</v>
      </c>
      <c r="B7927" t="s">
        <v>731</v>
      </c>
      <c r="C7927" t="s">
        <v>54</v>
      </c>
      <c r="D7927" s="230">
        <v>-851.51</v>
      </c>
      <c r="E7927" t="s">
        <v>731</v>
      </c>
    </row>
    <row r="7928" spans="1:5" hidden="1" x14ac:dyDescent="0.3">
      <c r="A7928" t="s">
        <v>557</v>
      </c>
      <c r="B7928" t="s">
        <v>731</v>
      </c>
      <c r="C7928" t="s">
        <v>23</v>
      </c>
      <c r="D7928" s="230">
        <v>0</v>
      </c>
      <c r="E7928" t="s">
        <v>731</v>
      </c>
    </row>
    <row r="7929" spans="1:5" hidden="1" x14ac:dyDescent="0.3">
      <c r="A7929" t="s">
        <v>557</v>
      </c>
      <c r="B7929" t="s">
        <v>731</v>
      </c>
      <c r="C7929" t="s">
        <v>44</v>
      </c>
      <c r="D7929" s="230">
        <v>-0.31</v>
      </c>
      <c r="E7929" t="s">
        <v>731</v>
      </c>
    </row>
    <row r="7930" spans="1:5" hidden="1" x14ac:dyDescent="0.3">
      <c r="A7930" t="s">
        <v>557</v>
      </c>
      <c r="B7930" t="s">
        <v>731</v>
      </c>
      <c r="C7930" t="s">
        <v>55</v>
      </c>
      <c r="D7930" s="230">
        <v>-0.28999999999999998</v>
      </c>
      <c r="E7930" t="s">
        <v>731</v>
      </c>
    </row>
    <row r="7931" spans="1:5" hidden="1" x14ac:dyDescent="0.3">
      <c r="A7931" t="s">
        <v>557</v>
      </c>
      <c r="B7931" t="s">
        <v>731</v>
      </c>
      <c r="C7931" t="s">
        <v>56</v>
      </c>
      <c r="D7931" s="230">
        <v>-105530.28</v>
      </c>
      <c r="E7931" t="s">
        <v>731</v>
      </c>
    </row>
    <row r="7932" spans="1:5" hidden="1" x14ac:dyDescent="0.3">
      <c r="A7932" t="s">
        <v>557</v>
      </c>
      <c r="B7932" t="s">
        <v>731</v>
      </c>
      <c r="C7932" t="s">
        <v>57</v>
      </c>
      <c r="D7932" s="230">
        <v>-96280.28</v>
      </c>
      <c r="E7932" t="s">
        <v>731</v>
      </c>
    </row>
    <row r="7933" spans="1:5" hidden="1" x14ac:dyDescent="0.3">
      <c r="A7933" t="s">
        <v>557</v>
      </c>
      <c r="B7933" t="s">
        <v>731</v>
      </c>
      <c r="C7933" t="s">
        <v>58</v>
      </c>
      <c r="D7933" s="230">
        <v>-92446.06</v>
      </c>
      <c r="E7933" t="s">
        <v>731</v>
      </c>
    </row>
    <row r="7934" spans="1:5" hidden="1" x14ac:dyDescent="0.3">
      <c r="A7934" t="s">
        <v>557</v>
      </c>
      <c r="B7934" t="s">
        <v>731</v>
      </c>
      <c r="C7934" t="s">
        <v>59</v>
      </c>
      <c r="D7934" s="230">
        <v>-3834.22</v>
      </c>
      <c r="E7934" t="s">
        <v>731</v>
      </c>
    </row>
    <row r="7935" spans="1:5" hidden="1" x14ac:dyDescent="0.3">
      <c r="A7935" t="s">
        <v>557</v>
      </c>
      <c r="B7935" t="s">
        <v>731</v>
      </c>
      <c r="C7935" t="s">
        <v>61</v>
      </c>
      <c r="D7935" s="230">
        <v>0</v>
      </c>
      <c r="E7935" t="s">
        <v>731</v>
      </c>
    </row>
    <row r="7936" spans="1:5" hidden="1" x14ac:dyDescent="0.3">
      <c r="A7936" t="s">
        <v>557</v>
      </c>
      <c r="B7936" t="s">
        <v>731</v>
      </c>
      <c r="C7936" t="s">
        <v>62</v>
      </c>
      <c r="D7936" s="230">
        <v>0</v>
      </c>
      <c r="E7936" t="s">
        <v>731</v>
      </c>
    </row>
    <row r="7937" spans="1:5" hidden="1" x14ac:dyDescent="0.3">
      <c r="A7937" t="s">
        <v>557</v>
      </c>
      <c r="B7937" t="s">
        <v>731</v>
      </c>
      <c r="C7937" t="s">
        <v>64</v>
      </c>
      <c r="D7937" s="230">
        <v>0</v>
      </c>
      <c r="E7937" t="s">
        <v>731</v>
      </c>
    </row>
    <row r="7938" spans="1:5" hidden="1" x14ac:dyDescent="0.3">
      <c r="A7938" t="s">
        <v>557</v>
      </c>
      <c r="B7938" t="s">
        <v>731</v>
      </c>
      <c r="C7938" t="s">
        <v>65</v>
      </c>
      <c r="D7938" s="230">
        <v>-9250</v>
      </c>
      <c r="E7938" t="s">
        <v>731</v>
      </c>
    </row>
    <row r="7939" spans="1:5" hidden="1" x14ac:dyDescent="0.3">
      <c r="A7939" t="s">
        <v>557</v>
      </c>
      <c r="B7939" t="s">
        <v>731</v>
      </c>
      <c r="C7939" t="s">
        <v>66</v>
      </c>
      <c r="D7939" s="230">
        <v>-9250</v>
      </c>
      <c r="E7939" t="s">
        <v>731</v>
      </c>
    </row>
    <row r="7940" spans="1:5" hidden="1" x14ac:dyDescent="0.3">
      <c r="A7940" t="s">
        <v>557</v>
      </c>
      <c r="B7940" t="s">
        <v>731</v>
      </c>
      <c r="C7940" t="s">
        <v>68</v>
      </c>
      <c r="D7940" s="230">
        <v>0</v>
      </c>
      <c r="E7940" t="s">
        <v>731</v>
      </c>
    </row>
    <row r="7941" spans="1:5" hidden="1" x14ac:dyDescent="0.3">
      <c r="A7941" t="s">
        <v>557</v>
      </c>
      <c r="B7941" t="s">
        <v>731</v>
      </c>
      <c r="C7941" t="s">
        <v>69</v>
      </c>
      <c r="D7941" s="230">
        <v>0</v>
      </c>
      <c r="E7941" t="s">
        <v>731</v>
      </c>
    </row>
    <row r="7942" spans="1:5" hidden="1" x14ac:dyDescent="0.3">
      <c r="A7942" t="s">
        <v>557</v>
      </c>
      <c r="B7942" t="s">
        <v>731</v>
      </c>
      <c r="C7942" t="s">
        <v>70</v>
      </c>
      <c r="D7942" s="230">
        <v>-1.05</v>
      </c>
      <c r="E7942" t="s">
        <v>731</v>
      </c>
    </row>
    <row r="7943" spans="1:5" hidden="1" x14ac:dyDescent="0.3">
      <c r="A7943" t="s">
        <v>557</v>
      </c>
      <c r="B7943" t="s">
        <v>731</v>
      </c>
      <c r="C7943" t="s">
        <v>44</v>
      </c>
      <c r="D7943" s="230">
        <v>-0.02</v>
      </c>
      <c r="E7943" t="s">
        <v>731</v>
      </c>
    </row>
    <row r="7944" spans="1:5" hidden="1" x14ac:dyDescent="0.3">
      <c r="A7944" t="s">
        <v>557</v>
      </c>
      <c r="B7944" t="s">
        <v>731</v>
      </c>
      <c r="C7944" t="s">
        <v>71</v>
      </c>
      <c r="D7944" s="230">
        <v>-1500</v>
      </c>
      <c r="E7944" t="s">
        <v>731</v>
      </c>
    </row>
    <row r="7945" spans="1:5" hidden="1" x14ac:dyDescent="0.3">
      <c r="A7945" t="s">
        <v>557</v>
      </c>
      <c r="B7945" t="s">
        <v>731</v>
      </c>
      <c r="C7945" t="s">
        <v>72</v>
      </c>
      <c r="D7945" s="230">
        <v>-1500</v>
      </c>
      <c r="E7945" t="s">
        <v>731</v>
      </c>
    </row>
    <row r="7946" spans="1:5" hidden="1" x14ac:dyDescent="0.3">
      <c r="A7946" t="s">
        <v>557</v>
      </c>
      <c r="B7946" t="s">
        <v>731</v>
      </c>
      <c r="C7946" t="s">
        <v>73</v>
      </c>
      <c r="D7946" s="230">
        <v>0</v>
      </c>
      <c r="E7946" t="s">
        <v>731</v>
      </c>
    </row>
    <row r="7947" spans="1:5" hidden="1" x14ac:dyDescent="0.3">
      <c r="A7947" t="s">
        <v>557</v>
      </c>
      <c r="B7947" t="s">
        <v>731</v>
      </c>
      <c r="C7947" t="s">
        <v>75</v>
      </c>
      <c r="D7947" s="230">
        <v>-1500</v>
      </c>
      <c r="E7947" t="s">
        <v>731</v>
      </c>
    </row>
    <row r="7948" spans="1:5" hidden="1" x14ac:dyDescent="0.3">
      <c r="A7948" t="s">
        <v>557</v>
      </c>
      <c r="B7948" t="s">
        <v>731</v>
      </c>
      <c r="C7948" t="s">
        <v>77</v>
      </c>
      <c r="D7948" s="230">
        <v>0</v>
      </c>
      <c r="E7948" t="s">
        <v>731</v>
      </c>
    </row>
    <row r="7949" spans="1:5" hidden="1" x14ac:dyDescent="0.3">
      <c r="A7949" t="s">
        <v>557</v>
      </c>
      <c r="B7949" t="s">
        <v>731</v>
      </c>
      <c r="C7949" t="s">
        <v>78</v>
      </c>
      <c r="D7949" s="230">
        <v>0</v>
      </c>
      <c r="E7949" t="s">
        <v>731</v>
      </c>
    </row>
    <row r="7950" spans="1:5" hidden="1" x14ac:dyDescent="0.3">
      <c r="A7950" t="s">
        <v>557</v>
      </c>
      <c r="B7950" t="s">
        <v>731</v>
      </c>
      <c r="C7950" t="s">
        <v>80</v>
      </c>
      <c r="D7950" s="230">
        <v>0</v>
      </c>
      <c r="E7950" t="s">
        <v>731</v>
      </c>
    </row>
    <row r="7951" spans="1:5" hidden="1" x14ac:dyDescent="0.3">
      <c r="A7951" t="s">
        <v>557</v>
      </c>
      <c r="B7951" t="s">
        <v>731</v>
      </c>
      <c r="C7951" t="s">
        <v>82</v>
      </c>
      <c r="D7951" s="230">
        <v>0</v>
      </c>
      <c r="E7951" t="s">
        <v>731</v>
      </c>
    </row>
    <row r="7952" spans="1:5" hidden="1" x14ac:dyDescent="0.3">
      <c r="A7952" t="s">
        <v>557</v>
      </c>
      <c r="B7952" t="s">
        <v>731</v>
      </c>
      <c r="C7952" t="s">
        <v>84</v>
      </c>
      <c r="D7952" s="230">
        <v>0</v>
      </c>
      <c r="E7952" t="s">
        <v>731</v>
      </c>
    </row>
    <row r="7953" spans="1:5" hidden="1" x14ac:dyDescent="0.3">
      <c r="A7953" t="s">
        <v>557</v>
      </c>
      <c r="B7953" t="s">
        <v>731</v>
      </c>
      <c r="C7953" t="s">
        <v>85</v>
      </c>
      <c r="D7953" s="230">
        <v>0</v>
      </c>
      <c r="E7953" t="s">
        <v>731</v>
      </c>
    </row>
    <row r="7954" spans="1:5" hidden="1" x14ac:dyDescent="0.3">
      <c r="A7954" t="s">
        <v>557</v>
      </c>
      <c r="B7954" t="s">
        <v>731</v>
      </c>
      <c r="C7954" t="s">
        <v>86</v>
      </c>
      <c r="D7954" s="230">
        <v>0</v>
      </c>
      <c r="E7954" t="s">
        <v>731</v>
      </c>
    </row>
    <row r="7955" spans="1:5" hidden="1" x14ac:dyDescent="0.3">
      <c r="A7955" t="s">
        <v>557</v>
      </c>
      <c r="B7955" t="s">
        <v>731</v>
      </c>
      <c r="C7955" t="s">
        <v>87</v>
      </c>
      <c r="D7955" s="230">
        <v>0</v>
      </c>
      <c r="E7955" t="s">
        <v>731</v>
      </c>
    </row>
    <row r="7956" spans="1:5" hidden="1" x14ac:dyDescent="0.3">
      <c r="A7956" t="s">
        <v>557</v>
      </c>
      <c r="B7956" t="s">
        <v>731</v>
      </c>
      <c r="C7956" t="s">
        <v>88</v>
      </c>
      <c r="D7956" s="230">
        <v>0</v>
      </c>
      <c r="E7956" t="s">
        <v>731</v>
      </c>
    </row>
    <row r="7957" spans="1:5" hidden="1" x14ac:dyDescent="0.3">
      <c r="A7957" t="s">
        <v>557</v>
      </c>
      <c r="B7957" t="s">
        <v>731</v>
      </c>
      <c r="C7957" t="s">
        <v>89</v>
      </c>
      <c r="D7957" s="230">
        <v>0</v>
      </c>
      <c r="E7957" t="s">
        <v>731</v>
      </c>
    </row>
    <row r="7958" spans="1:5" hidden="1" x14ac:dyDescent="0.3">
      <c r="A7958" t="s">
        <v>557</v>
      </c>
      <c r="B7958" t="s">
        <v>731</v>
      </c>
      <c r="C7958" t="s">
        <v>90</v>
      </c>
      <c r="D7958" s="230">
        <v>0</v>
      </c>
      <c r="E7958" t="s">
        <v>731</v>
      </c>
    </row>
    <row r="7959" spans="1:5" hidden="1" x14ac:dyDescent="0.3">
      <c r="A7959" t="s">
        <v>557</v>
      </c>
      <c r="B7959" t="s">
        <v>731</v>
      </c>
      <c r="C7959" t="s">
        <v>91</v>
      </c>
      <c r="D7959" s="230">
        <v>0</v>
      </c>
      <c r="E7959" t="s">
        <v>731</v>
      </c>
    </row>
    <row r="7960" spans="1:5" hidden="1" x14ac:dyDescent="0.3">
      <c r="A7960" t="s">
        <v>557</v>
      </c>
      <c r="B7960" t="s">
        <v>731</v>
      </c>
      <c r="C7960" t="s">
        <v>93</v>
      </c>
      <c r="D7960" s="230">
        <v>0</v>
      </c>
      <c r="E7960" t="s">
        <v>731</v>
      </c>
    </row>
    <row r="7961" spans="1:5" hidden="1" x14ac:dyDescent="0.3">
      <c r="A7961" t="s">
        <v>557</v>
      </c>
      <c r="B7961" t="s">
        <v>731</v>
      </c>
      <c r="C7961" t="s">
        <v>95</v>
      </c>
      <c r="D7961" s="230">
        <v>0</v>
      </c>
      <c r="E7961" t="s">
        <v>731</v>
      </c>
    </row>
    <row r="7962" spans="1:5" hidden="1" x14ac:dyDescent="0.3">
      <c r="A7962" t="s">
        <v>557</v>
      </c>
      <c r="B7962" t="s">
        <v>731</v>
      </c>
      <c r="C7962" t="s">
        <v>96</v>
      </c>
      <c r="D7962" s="230">
        <v>0</v>
      </c>
      <c r="E7962" t="s">
        <v>731</v>
      </c>
    </row>
    <row r="7963" spans="1:5" hidden="1" x14ac:dyDescent="0.3">
      <c r="A7963" t="s">
        <v>557</v>
      </c>
      <c r="B7963" t="s">
        <v>731</v>
      </c>
      <c r="C7963" t="s">
        <v>98</v>
      </c>
      <c r="D7963" s="230">
        <v>0</v>
      </c>
      <c r="E7963" t="s">
        <v>731</v>
      </c>
    </row>
    <row r="7964" spans="1:5" hidden="1" x14ac:dyDescent="0.3">
      <c r="A7964" t="s">
        <v>557</v>
      </c>
      <c r="B7964" t="s">
        <v>731</v>
      </c>
      <c r="C7964" t="s">
        <v>100</v>
      </c>
      <c r="D7964" s="230">
        <v>0</v>
      </c>
      <c r="E7964" t="s">
        <v>731</v>
      </c>
    </row>
    <row r="7965" spans="1:5" hidden="1" x14ac:dyDescent="0.3">
      <c r="A7965" t="s">
        <v>557</v>
      </c>
      <c r="B7965" t="s">
        <v>731</v>
      </c>
      <c r="C7965" t="s">
        <v>101</v>
      </c>
      <c r="D7965" s="230">
        <v>0</v>
      </c>
      <c r="E7965" t="s">
        <v>731</v>
      </c>
    </row>
    <row r="7966" spans="1:5" hidden="1" x14ac:dyDescent="0.3">
      <c r="A7966" t="s">
        <v>557</v>
      </c>
      <c r="B7966" t="s">
        <v>731</v>
      </c>
      <c r="C7966" t="s">
        <v>102</v>
      </c>
      <c r="D7966" s="230">
        <v>0</v>
      </c>
      <c r="E7966" t="s">
        <v>731</v>
      </c>
    </row>
    <row r="7967" spans="1:5" hidden="1" x14ac:dyDescent="0.3">
      <c r="A7967" t="s">
        <v>557</v>
      </c>
      <c r="B7967" t="s">
        <v>731</v>
      </c>
      <c r="C7967" t="s">
        <v>103</v>
      </c>
      <c r="D7967" s="230">
        <v>0</v>
      </c>
      <c r="E7967" t="s">
        <v>731</v>
      </c>
    </row>
    <row r="7968" spans="1:5" hidden="1" x14ac:dyDescent="0.3">
      <c r="A7968" t="s">
        <v>557</v>
      </c>
      <c r="B7968" t="s">
        <v>731</v>
      </c>
      <c r="C7968" t="s">
        <v>104</v>
      </c>
      <c r="D7968" s="230">
        <v>0</v>
      </c>
      <c r="E7968" t="s">
        <v>731</v>
      </c>
    </row>
    <row r="7969" spans="1:5" hidden="1" x14ac:dyDescent="0.3">
      <c r="A7969" t="s">
        <v>557</v>
      </c>
      <c r="B7969" t="s">
        <v>731</v>
      </c>
      <c r="C7969" t="s">
        <v>105</v>
      </c>
      <c r="D7969" s="230">
        <v>0</v>
      </c>
      <c r="E7969" t="s">
        <v>731</v>
      </c>
    </row>
    <row r="7970" spans="1:5" hidden="1" x14ac:dyDescent="0.3">
      <c r="A7970" t="s">
        <v>557</v>
      </c>
      <c r="B7970" t="s">
        <v>731</v>
      </c>
      <c r="C7970" t="s">
        <v>107</v>
      </c>
      <c r="D7970" s="230">
        <v>0</v>
      </c>
      <c r="E7970" t="s">
        <v>731</v>
      </c>
    </row>
    <row r="7971" spans="1:5" hidden="1" x14ac:dyDescent="0.3">
      <c r="A7971" t="s">
        <v>557</v>
      </c>
      <c r="B7971" t="s">
        <v>731</v>
      </c>
      <c r="C7971" t="s">
        <v>108</v>
      </c>
      <c r="D7971" s="230">
        <v>0</v>
      </c>
      <c r="E7971" t="s">
        <v>731</v>
      </c>
    </row>
    <row r="7972" spans="1:5" hidden="1" x14ac:dyDescent="0.3">
      <c r="A7972" t="s">
        <v>557</v>
      </c>
      <c r="B7972" t="s">
        <v>731</v>
      </c>
      <c r="C7972" t="s">
        <v>109</v>
      </c>
      <c r="D7972" s="230">
        <v>0</v>
      </c>
      <c r="E7972" t="s">
        <v>731</v>
      </c>
    </row>
    <row r="7973" spans="1:5" hidden="1" x14ac:dyDescent="0.3">
      <c r="A7973" t="s">
        <v>557</v>
      </c>
      <c r="B7973" t="s">
        <v>731</v>
      </c>
      <c r="C7973" t="s">
        <v>110</v>
      </c>
      <c r="D7973" s="230">
        <v>0</v>
      </c>
      <c r="E7973" t="s">
        <v>731</v>
      </c>
    </row>
    <row r="7974" spans="1:5" hidden="1" x14ac:dyDescent="0.3">
      <c r="A7974" t="s">
        <v>557</v>
      </c>
      <c r="B7974" t="s">
        <v>731</v>
      </c>
      <c r="C7974" t="s">
        <v>44</v>
      </c>
      <c r="D7974" s="230">
        <v>0</v>
      </c>
      <c r="E7974" t="s">
        <v>731</v>
      </c>
    </row>
    <row r="7975" spans="1:5" hidden="1" x14ac:dyDescent="0.3">
      <c r="A7975" t="s">
        <v>557</v>
      </c>
      <c r="B7975" t="s">
        <v>731</v>
      </c>
      <c r="C7975" t="s">
        <v>111</v>
      </c>
      <c r="D7975" s="230">
        <v>-408391.39</v>
      </c>
      <c r="E7975" t="s">
        <v>731</v>
      </c>
    </row>
    <row r="7976" spans="1:5" hidden="1" x14ac:dyDescent="0.3">
      <c r="A7976" t="s">
        <v>557</v>
      </c>
      <c r="B7976" t="s">
        <v>731</v>
      </c>
      <c r="C7976" t="s">
        <v>608</v>
      </c>
      <c r="D7976" s="230">
        <v>-408391.39</v>
      </c>
      <c r="E7976" t="s">
        <v>731</v>
      </c>
    </row>
    <row r="7977" spans="1:5" hidden="1" x14ac:dyDescent="0.3">
      <c r="A7977" t="s">
        <v>557</v>
      </c>
      <c r="B7977" t="s">
        <v>731</v>
      </c>
      <c r="C7977" t="s">
        <v>44</v>
      </c>
      <c r="D7977" s="230">
        <v>-0.08</v>
      </c>
      <c r="E7977" t="s">
        <v>731</v>
      </c>
    </row>
    <row r="7978" spans="1:5" hidden="1" x14ac:dyDescent="0.3">
      <c r="A7978" t="s">
        <v>557</v>
      </c>
      <c r="B7978" t="s">
        <v>731</v>
      </c>
      <c r="C7978" t="s">
        <v>115</v>
      </c>
      <c r="D7978" s="230">
        <v>-80305.19</v>
      </c>
      <c r="E7978" t="s">
        <v>731</v>
      </c>
    </row>
    <row r="7979" spans="1:5" hidden="1" x14ac:dyDescent="0.3">
      <c r="A7979" t="s">
        <v>557</v>
      </c>
      <c r="B7979" t="s">
        <v>731</v>
      </c>
      <c r="C7979" t="s">
        <v>116</v>
      </c>
      <c r="D7979" s="230">
        <v>-73273.52</v>
      </c>
      <c r="E7979" t="s">
        <v>731</v>
      </c>
    </row>
    <row r="7980" spans="1:5" hidden="1" x14ac:dyDescent="0.3">
      <c r="A7980" t="s">
        <v>557</v>
      </c>
      <c r="B7980" t="s">
        <v>731</v>
      </c>
      <c r="C7980" t="s">
        <v>118</v>
      </c>
      <c r="D7980" s="230">
        <v>0</v>
      </c>
      <c r="E7980" t="s">
        <v>731</v>
      </c>
    </row>
    <row r="7981" spans="1:5" hidden="1" x14ac:dyDescent="0.3">
      <c r="A7981" t="s">
        <v>557</v>
      </c>
      <c r="B7981" t="s">
        <v>731</v>
      </c>
      <c r="C7981" t="s">
        <v>120</v>
      </c>
      <c r="D7981" s="230">
        <v>0</v>
      </c>
      <c r="E7981" t="s">
        <v>731</v>
      </c>
    </row>
    <row r="7982" spans="1:5" hidden="1" x14ac:dyDescent="0.3">
      <c r="A7982" t="s">
        <v>557</v>
      </c>
      <c r="B7982" t="s">
        <v>731</v>
      </c>
      <c r="C7982" t="s">
        <v>122</v>
      </c>
      <c r="D7982" s="230">
        <v>-7031.67</v>
      </c>
      <c r="E7982" t="s">
        <v>731</v>
      </c>
    </row>
    <row r="7983" spans="1:5" hidden="1" x14ac:dyDescent="0.3">
      <c r="A7983" t="s">
        <v>557</v>
      </c>
      <c r="B7983" t="s">
        <v>731</v>
      </c>
      <c r="C7983" t="s">
        <v>44</v>
      </c>
      <c r="D7983" s="230">
        <v>-0.02</v>
      </c>
      <c r="E7983" t="s">
        <v>731</v>
      </c>
    </row>
    <row r="7984" spans="1:5" hidden="1" x14ac:dyDescent="0.3">
      <c r="A7984" t="s">
        <v>557</v>
      </c>
      <c r="B7984" t="s">
        <v>731</v>
      </c>
      <c r="C7984" t="s">
        <v>126</v>
      </c>
      <c r="D7984" s="230">
        <v>2865381.95</v>
      </c>
      <c r="E7984" t="s">
        <v>731</v>
      </c>
    </row>
    <row r="7985" spans="1:5" hidden="1" x14ac:dyDescent="0.3">
      <c r="A7985" t="s">
        <v>557</v>
      </c>
      <c r="B7985" t="s">
        <v>731</v>
      </c>
      <c r="C7985" t="s">
        <v>127</v>
      </c>
      <c r="D7985" s="230">
        <v>0.54</v>
      </c>
      <c r="E7985" t="s">
        <v>731</v>
      </c>
    </row>
    <row r="7986" spans="1:5" hidden="1" x14ac:dyDescent="0.3">
      <c r="A7986" t="s">
        <v>557</v>
      </c>
      <c r="B7986" t="s">
        <v>731</v>
      </c>
      <c r="C7986" t="s">
        <v>128</v>
      </c>
      <c r="D7986" s="230">
        <v>-1436816.98</v>
      </c>
      <c r="E7986" t="s">
        <v>731</v>
      </c>
    </row>
    <row r="7987" spans="1:5" hidden="1" x14ac:dyDescent="0.3">
      <c r="A7987" t="s">
        <v>557</v>
      </c>
      <c r="B7987" t="s">
        <v>731</v>
      </c>
      <c r="C7987" t="s">
        <v>129</v>
      </c>
      <c r="D7987" s="230">
        <v>-468001.97</v>
      </c>
      <c r="E7987" t="s">
        <v>731</v>
      </c>
    </row>
    <row r="7988" spans="1:5" hidden="1" x14ac:dyDescent="0.3">
      <c r="A7988" t="s">
        <v>557</v>
      </c>
      <c r="B7988" t="s">
        <v>731</v>
      </c>
      <c r="C7988" t="s">
        <v>609</v>
      </c>
      <c r="D7988" s="230">
        <v>-47689.84</v>
      </c>
      <c r="E7988" t="s">
        <v>731</v>
      </c>
    </row>
    <row r="7989" spans="1:5" hidden="1" x14ac:dyDescent="0.3">
      <c r="A7989" t="s">
        <v>557</v>
      </c>
      <c r="B7989" t="s">
        <v>731</v>
      </c>
      <c r="C7989" t="s">
        <v>610</v>
      </c>
      <c r="D7989" s="230">
        <v>-171600</v>
      </c>
      <c r="E7989" t="s">
        <v>731</v>
      </c>
    </row>
    <row r="7990" spans="1:5" hidden="1" x14ac:dyDescent="0.3">
      <c r="A7990" t="s">
        <v>557</v>
      </c>
      <c r="B7990" t="s">
        <v>731</v>
      </c>
      <c r="C7990" t="s">
        <v>611</v>
      </c>
      <c r="D7990" s="230">
        <v>-39600</v>
      </c>
      <c r="E7990" t="s">
        <v>731</v>
      </c>
    </row>
    <row r="7991" spans="1:5" hidden="1" x14ac:dyDescent="0.3">
      <c r="A7991" t="s">
        <v>557</v>
      </c>
      <c r="B7991" t="s">
        <v>731</v>
      </c>
      <c r="C7991" t="s">
        <v>612</v>
      </c>
      <c r="D7991" s="230">
        <v>-63682.13</v>
      </c>
      <c r="E7991" t="s">
        <v>731</v>
      </c>
    </row>
    <row r="7992" spans="1:5" hidden="1" x14ac:dyDescent="0.3">
      <c r="A7992" t="s">
        <v>557</v>
      </c>
      <c r="B7992" t="s">
        <v>731</v>
      </c>
      <c r="C7992" t="s">
        <v>613</v>
      </c>
      <c r="D7992" s="230">
        <v>-13720</v>
      </c>
      <c r="E7992" t="s">
        <v>731</v>
      </c>
    </row>
    <row r="7993" spans="1:5" hidden="1" x14ac:dyDescent="0.3">
      <c r="A7993" t="s">
        <v>557</v>
      </c>
      <c r="B7993" t="s">
        <v>731</v>
      </c>
      <c r="C7993" t="s">
        <v>614</v>
      </c>
      <c r="D7993" s="230">
        <v>-63016.66</v>
      </c>
      <c r="E7993" t="s">
        <v>731</v>
      </c>
    </row>
    <row r="7994" spans="1:5" hidden="1" x14ac:dyDescent="0.3">
      <c r="A7994" t="s">
        <v>557</v>
      </c>
      <c r="B7994" t="s">
        <v>731</v>
      </c>
      <c r="C7994" t="s">
        <v>615</v>
      </c>
      <c r="D7994" s="230">
        <v>0</v>
      </c>
      <c r="E7994" t="s">
        <v>731</v>
      </c>
    </row>
    <row r="7995" spans="1:5" hidden="1" x14ac:dyDescent="0.3">
      <c r="A7995" t="s">
        <v>557</v>
      </c>
      <c r="B7995" t="s">
        <v>731</v>
      </c>
      <c r="C7995" t="s">
        <v>616</v>
      </c>
      <c r="D7995" s="230">
        <v>-68693.34</v>
      </c>
      <c r="E7995" t="s">
        <v>731</v>
      </c>
    </row>
    <row r="7996" spans="1:5" hidden="1" x14ac:dyDescent="0.3">
      <c r="A7996" t="s">
        <v>557</v>
      </c>
      <c r="B7996" t="s">
        <v>731</v>
      </c>
      <c r="C7996" t="s">
        <v>617</v>
      </c>
      <c r="D7996" s="230">
        <v>0</v>
      </c>
      <c r="E7996" t="s">
        <v>731</v>
      </c>
    </row>
    <row r="7997" spans="1:5" hidden="1" x14ac:dyDescent="0.3">
      <c r="A7997" t="s">
        <v>557</v>
      </c>
      <c r="B7997" t="s">
        <v>731</v>
      </c>
      <c r="C7997" t="s">
        <v>618</v>
      </c>
      <c r="D7997" s="230">
        <v>0</v>
      </c>
      <c r="E7997" t="s">
        <v>731</v>
      </c>
    </row>
    <row r="7998" spans="1:5" hidden="1" x14ac:dyDescent="0.3">
      <c r="A7998" t="s">
        <v>557</v>
      </c>
      <c r="B7998" t="s">
        <v>731</v>
      </c>
      <c r="C7998" t="s">
        <v>619</v>
      </c>
      <c r="D7998" s="230">
        <v>0</v>
      </c>
      <c r="E7998" t="s">
        <v>731</v>
      </c>
    </row>
    <row r="7999" spans="1:5" hidden="1" x14ac:dyDescent="0.3">
      <c r="A7999" t="s">
        <v>557</v>
      </c>
      <c r="B7999" t="s">
        <v>731</v>
      </c>
      <c r="C7999" t="s">
        <v>620</v>
      </c>
      <c r="D7999" s="230">
        <v>0</v>
      </c>
      <c r="E7999" t="s">
        <v>731</v>
      </c>
    </row>
    <row r="8000" spans="1:5" hidden="1" x14ac:dyDescent="0.3">
      <c r="A8000" t="s">
        <v>557</v>
      </c>
      <c r="B8000" t="s">
        <v>731</v>
      </c>
      <c r="C8000" t="s">
        <v>575</v>
      </c>
      <c r="D8000" s="230">
        <v>-435850.94</v>
      </c>
      <c r="E8000" t="s">
        <v>731</v>
      </c>
    </row>
    <row r="8001" spans="1:5" hidden="1" x14ac:dyDescent="0.3">
      <c r="A8001" t="s">
        <v>557</v>
      </c>
      <c r="B8001" t="s">
        <v>731</v>
      </c>
      <c r="C8001" t="s">
        <v>621</v>
      </c>
      <c r="D8001" s="230">
        <v>0</v>
      </c>
      <c r="E8001" t="s">
        <v>731</v>
      </c>
    </row>
    <row r="8002" spans="1:5" hidden="1" x14ac:dyDescent="0.3">
      <c r="A8002" t="s">
        <v>557</v>
      </c>
      <c r="B8002" t="s">
        <v>731</v>
      </c>
      <c r="C8002" t="s">
        <v>622</v>
      </c>
      <c r="D8002" s="230">
        <v>0</v>
      </c>
      <c r="E8002" t="s">
        <v>731</v>
      </c>
    </row>
    <row r="8003" spans="1:5" hidden="1" x14ac:dyDescent="0.3">
      <c r="A8003" t="s">
        <v>557</v>
      </c>
      <c r="B8003" t="s">
        <v>731</v>
      </c>
      <c r="C8003" t="s">
        <v>623</v>
      </c>
      <c r="D8003" s="230">
        <v>0</v>
      </c>
      <c r="E8003" t="s">
        <v>731</v>
      </c>
    </row>
    <row r="8004" spans="1:5" hidden="1" x14ac:dyDescent="0.3">
      <c r="A8004" t="s">
        <v>557</v>
      </c>
      <c r="B8004" t="s">
        <v>731</v>
      </c>
      <c r="C8004" t="s">
        <v>624</v>
      </c>
      <c r="D8004" s="230">
        <v>0</v>
      </c>
      <c r="E8004" t="s">
        <v>731</v>
      </c>
    </row>
    <row r="8005" spans="1:5" hidden="1" x14ac:dyDescent="0.3">
      <c r="A8005" t="s">
        <v>557</v>
      </c>
      <c r="B8005" t="s">
        <v>731</v>
      </c>
      <c r="C8005" t="s">
        <v>625</v>
      </c>
      <c r="D8005" s="230">
        <v>0</v>
      </c>
      <c r="E8005" t="s">
        <v>731</v>
      </c>
    </row>
    <row r="8006" spans="1:5" hidden="1" x14ac:dyDescent="0.3">
      <c r="A8006" t="s">
        <v>557</v>
      </c>
      <c r="B8006" t="s">
        <v>731</v>
      </c>
      <c r="C8006" t="s">
        <v>626</v>
      </c>
      <c r="D8006" s="230">
        <v>0</v>
      </c>
      <c r="E8006" t="s">
        <v>731</v>
      </c>
    </row>
    <row r="8007" spans="1:5" hidden="1" x14ac:dyDescent="0.3">
      <c r="A8007" t="s">
        <v>557</v>
      </c>
      <c r="B8007" t="s">
        <v>731</v>
      </c>
      <c r="C8007" t="s">
        <v>627</v>
      </c>
      <c r="D8007" s="230">
        <v>0</v>
      </c>
      <c r="E8007" t="s">
        <v>731</v>
      </c>
    </row>
    <row r="8008" spans="1:5" hidden="1" x14ac:dyDescent="0.3">
      <c r="A8008" t="s">
        <v>557</v>
      </c>
      <c r="B8008" t="s">
        <v>731</v>
      </c>
      <c r="C8008" t="s">
        <v>628</v>
      </c>
      <c r="D8008" s="230">
        <v>0</v>
      </c>
      <c r="E8008" t="s">
        <v>731</v>
      </c>
    </row>
    <row r="8009" spans="1:5" hidden="1" x14ac:dyDescent="0.3">
      <c r="A8009" t="s">
        <v>557</v>
      </c>
      <c r="B8009" t="s">
        <v>731</v>
      </c>
      <c r="C8009" t="s">
        <v>629</v>
      </c>
      <c r="D8009" s="230">
        <v>0</v>
      </c>
      <c r="E8009" t="s">
        <v>731</v>
      </c>
    </row>
    <row r="8010" spans="1:5" hidden="1" x14ac:dyDescent="0.3">
      <c r="A8010" t="s">
        <v>557</v>
      </c>
      <c r="B8010" t="s">
        <v>731</v>
      </c>
      <c r="C8010" t="s">
        <v>630</v>
      </c>
      <c r="D8010" s="230">
        <v>0</v>
      </c>
      <c r="E8010" t="s">
        <v>731</v>
      </c>
    </row>
    <row r="8011" spans="1:5" hidden="1" x14ac:dyDescent="0.3">
      <c r="A8011" t="s">
        <v>557</v>
      </c>
      <c r="B8011" t="s">
        <v>731</v>
      </c>
      <c r="C8011" t="s">
        <v>631</v>
      </c>
      <c r="D8011" s="230">
        <v>0</v>
      </c>
      <c r="E8011" t="s">
        <v>731</v>
      </c>
    </row>
    <row r="8012" spans="1:5" hidden="1" x14ac:dyDescent="0.3">
      <c r="A8012" t="s">
        <v>557</v>
      </c>
      <c r="B8012" t="s">
        <v>731</v>
      </c>
      <c r="C8012" t="s">
        <v>632</v>
      </c>
      <c r="D8012" s="230">
        <v>0</v>
      </c>
      <c r="E8012" t="s">
        <v>731</v>
      </c>
    </row>
    <row r="8013" spans="1:5" hidden="1" x14ac:dyDescent="0.3">
      <c r="A8013" t="s">
        <v>557</v>
      </c>
      <c r="B8013" t="s">
        <v>731</v>
      </c>
      <c r="C8013" t="s">
        <v>633</v>
      </c>
      <c r="D8013" s="230">
        <v>0</v>
      </c>
      <c r="E8013" t="s">
        <v>731</v>
      </c>
    </row>
    <row r="8014" spans="1:5" hidden="1" x14ac:dyDescent="0.3">
      <c r="A8014" t="s">
        <v>557</v>
      </c>
      <c r="B8014" t="s">
        <v>731</v>
      </c>
      <c r="C8014" t="s">
        <v>634</v>
      </c>
      <c r="D8014" s="230">
        <v>0</v>
      </c>
      <c r="E8014" t="s">
        <v>731</v>
      </c>
    </row>
    <row r="8015" spans="1:5" hidden="1" x14ac:dyDescent="0.3">
      <c r="A8015" t="s">
        <v>557</v>
      </c>
      <c r="B8015" t="s">
        <v>731</v>
      </c>
      <c r="C8015" t="s">
        <v>635</v>
      </c>
      <c r="D8015" s="230">
        <v>0</v>
      </c>
      <c r="E8015" t="s">
        <v>731</v>
      </c>
    </row>
    <row r="8016" spans="1:5" hidden="1" x14ac:dyDescent="0.3">
      <c r="A8016" t="s">
        <v>557</v>
      </c>
      <c r="B8016" t="s">
        <v>731</v>
      </c>
      <c r="C8016" t="s">
        <v>636</v>
      </c>
      <c r="D8016" s="230">
        <v>0</v>
      </c>
      <c r="E8016" t="s">
        <v>731</v>
      </c>
    </row>
    <row r="8017" spans="1:5" hidden="1" x14ac:dyDescent="0.3">
      <c r="A8017" t="s">
        <v>557</v>
      </c>
      <c r="B8017" t="s">
        <v>731</v>
      </c>
      <c r="C8017" t="s">
        <v>637</v>
      </c>
      <c r="D8017" s="230">
        <v>0</v>
      </c>
      <c r="E8017" t="s">
        <v>731</v>
      </c>
    </row>
    <row r="8018" spans="1:5" hidden="1" x14ac:dyDescent="0.3">
      <c r="A8018" t="s">
        <v>557</v>
      </c>
      <c r="B8018" t="s">
        <v>731</v>
      </c>
      <c r="C8018" t="s">
        <v>638</v>
      </c>
      <c r="D8018" s="230">
        <v>0</v>
      </c>
      <c r="E8018" t="s">
        <v>731</v>
      </c>
    </row>
    <row r="8019" spans="1:5" hidden="1" x14ac:dyDescent="0.3">
      <c r="A8019" t="s">
        <v>557</v>
      </c>
      <c r="B8019" t="s">
        <v>731</v>
      </c>
      <c r="C8019" t="s">
        <v>639</v>
      </c>
      <c r="D8019" s="230">
        <v>0</v>
      </c>
      <c r="E8019" t="s">
        <v>731</v>
      </c>
    </row>
    <row r="8020" spans="1:5" hidden="1" x14ac:dyDescent="0.3">
      <c r="A8020" t="s">
        <v>557</v>
      </c>
      <c r="B8020" t="s">
        <v>731</v>
      </c>
      <c r="C8020" t="s">
        <v>640</v>
      </c>
      <c r="D8020" s="230">
        <v>0</v>
      </c>
      <c r="E8020" t="s">
        <v>731</v>
      </c>
    </row>
    <row r="8021" spans="1:5" hidden="1" x14ac:dyDescent="0.3">
      <c r="A8021" t="s">
        <v>557</v>
      </c>
      <c r="B8021" t="s">
        <v>731</v>
      </c>
      <c r="C8021" t="s">
        <v>641</v>
      </c>
      <c r="D8021" s="230">
        <v>0</v>
      </c>
      <c r="E8021" t="s">
        <v>731</v>
      </c>
    </row>
    <row r="8022" spans="1:5" hidden="1" x14ac:dyDescent="0.3">
      <c r="A8022" t="s">
        <v>557</v>
      </c>
      <c r="B8022" t="s">
        <v>731</v>
      </c>
      <c r="C8022" t="s">
        <v>642</v>
      </c>
      <c r="D8022" s="230">
        <v>0</v>
      </c>
      <c r="E8022" t="s">
        <v>731</v>
      </c>
    </row>
    <row r="8023" spans="1:5" hidden="1" x14ac:dyDescent="0.3">
      <c r="A8023" t="s">
        <v>557</v>
      </c>
      <c r="B8023" t="s">
        <v>731</v>
      </c>
      <c r="C8023" t="s">
        <v>643</v>
      </c>
      <c r="D8023" s="230">
        <v>0</v>
      </c>
      <c r="E8023" t="s">
        <v>731</v>
      </c>
    </row>
    <row r="8024" spans="1:5" hidden="1" x14ac:dyDescent="0.3">
      <c r="A8024" t="s">
        <v>557</v>
      </c>
      <c r="B8024" t="s">
        <v>731</v>
      </c>
      <c r="C8024" t="s">
        <v>644</v>
      </c>
      <c r="D8024" s="230">
        <v>0</v>
      </c>
      <c r="E8024" t="s">
        <v>731</v>
      </c>
    </row>
    <row r="8025" spans="1:5" hidden="1" x14ac:dyDescent="0.3">
      <c r="A8025" t="s">
        <v>557</v>
      </c>
      <c r="B8025" t="s">
        <v>731</v>
      </c>
      <c r="C8025" t="s">
        <v>645</v>
      </c>
      <c r="D8025" s="230">
        <v>0</v>
      </c>
      <c r="E8025" t="s">
        <v>731</v>
      </c>
    </row>
    <row r="8026" spans="1:5" hidden="1" x14ac:dyDescent="0.3">
      <c r="A8026" t="s">
        <v>557</v>
      </c>
      <c r="B8026" t="s">
        <v>731</v>
      </c>
      <c r="C8026" t="s">
        <v>646</v>
      </c>
      <c r="D8026" s="230">
        <v>0</v>
      </c>
      <c r="E8026" t="s">
        <v>731</v>
      </c>
    </row>
    <row r="8027" spans="1:5" hidden="1" x14ac:dyDescent="0.3">
      <c r="A8027" t="s">
        <v>557</v>
      </c>
      <c r="B8027" t="s">
        <v>731</v>
      </c>
      <c r="C8027" t="s">
        <v>647</v>
      </c>
      <c r="D8027" s="230">
        <v>0</v>
      </c>
      <c r="E8027" t="s">
        <v>731</v>
      </c>
    </row>
    <row r="8028" spans="1:5" hidden="1" x14ac:dyDescent="0.3">
      <c r="A8028" t="s">
        <v>557</v>
      </c>
      <c r="B8028" t="s">
        <v>731</v>
      </c>
      <c r="C8028" t="s">
        <v>648</v>
      </c>
      <c r="D8028" s="230">
        <v>0</v>
      </c>
      <c r="E8028" t="s">
        <v>731</v>
      </c>
    </row>
    <row r="8029" spans="1:5" hidden="1" x14ac:dyDescent="0.3">
      <c r="A8029" t="s">
        <v>557</v>
      </c>
      <c r="B8029" t="s">
        <v>731</v>
      </c>
      <c r="C8029" t="s">
        <v>649</v>
      </c>
      <c r="D8029" s="230">
        <v>0</v>
      </c>
      <c r="E8029" t="s">
        <v>731</v>
      </c>
    </row>
    <row r="8030" spans="1:5" hidden="1" x14ac:dyDescent="0.3">
      <c r="A8030" t="s">
        <v>557</v>
      </c>
      <c r="B8030" t="s">
        <v>731</v>
      </c>
      <c r="C8030" t="s">
        <v>650</v>
      </c>
      <c r="D8030" s="230">
        <v>0</v>
      </c>
      <c r="E8030" t="s">
        <v>731</v>
      </c>
    </row>
    <row r="8031" spans="1:5" hidden="1" x14ac:dyDescent="0.3">
      <c r="A8031" t="s">
        <v>557</v>
      </c>
      <c r="B8031" t="s">
        <v>731</v>
      </c>
      <c r="C8031" t="s">
        <v>651</v>
      </c>
      <c r="D8031" s="230">
        <v>0</v>
      </c>
      <c r="E8031" t="s">
        <v>731</v>
      </c>
    </row>
    <row r="8032" spans="1:5" hidden="1" x14ac:dyDescent="0.3">
      <c r="A8032" t="s">
        <v>557</v>
      </c>
      <c r="B8032" t="s">
        <v>731</v>
      </c>
      <c r="C8032" t="s">
        <v>652</v>
      </c>
      <c r="D8032" s="230">
        <v>0</v>
      </c>
      <c r="E8032" t="s">
        <v>731</v>
      </c>
    </row>
    <row r="8033" spans="1:5" hidden="1" x14ac:dyDescent="0.3">
      <c r="A8033" t="s">
        <v>557</v>
      </c>
      <c r="B8033" t="s">
        <v>731</v>
      </c>
      <c r="C8033" t="s">
        <v>653</v>
      </c>
      <c r="D8033" s="230">
        <v>0</v>
      </c>
      <c r="E8033" t="s">
        <v>731</v>
      </c>
    </row>
    <row r="8034" spans="1:5" hidden="1" x14ac:dyDescent="0.3">
      <c r="A8034" t="s">
        <v>557</v>
      </c>
      <c r="B8034" t="s">
        <v>731</v>
      </c>
      <c r="C8034" t="s">
        <v>654</v>
      </c>
      <c r="D8034" s="230">
        <v>0</v>
      </c>
      <c r="E8034" t="s">
        <v>731</v>
      </c>
    </row>
    <row r="8035" spans="1:5" hidden="1" x14ac:dyDescent="0.3">
      <c r="A8035" t="s">
        <v>557</v>
      </c>
      <c r="B8035" t="s">
        <v>731</v>
      </c>
      <c r="C8035" t="s">
        <v>655</v>
      </c>
      <c r="D8035" s="230">
        <v>0</v>
      </c>
      <c r="E8035" t="s">
        <v>731</v>
      </c>
    </row>
    <row r="8036" spans="1:5" hidden="1" x14ac:dyDescent="0.3">
      <c r="A8036" t="s">
        <v>557</v>
      </c>
      <c r="B8036" t="s">
        <v>731</v>
      </c>
      <c r="C8036" t="s">
        <v>656</v>
      </c>
      <c r="D8036" s="230">
        <v>0</v>
      </c>
      <c r="E8036" t="s">
        <v>731</v>
      </c>
    </row>
    <row r="8037" spans="1:5" hidden="1" x14ac:dyDescent="0.3">
      <c r="A8037" t="s">
        <v>557</v>
      </c>
      <c r="B8037" t="s">
        <v>731</v>
      </c>
      <c r="C8037" t="s">
        <v>657</v>
      </c>
      <c r="D8037" s="230">
        <v>0</v>
      </c>
      <c r="E8037" t="s">
        <v>731</v>
      </c>
    </row>
    <row r="8038" spans="1:5" hidden="1" x14ac:dyDescent="0.3">
      <c r="A8038" t="s">
        <v>557</v>
      </c>
      <c r="B8038" t="s">
        <v>731</v>
      </c>
      <c r="C8038" t="s">
        <v>658</v>
      </c>
      <c r="D8038" s="230">
        <v>0</v>
      </c>
      <c r="E8038" t="s">
        <v>731</v>
      </c>
    </row>
    <row r="8039" spans="1:5" hidden="1" x14ac:dyDescent="0.3">
      <c r="A8039" t="s">
        <v>557</v>
      </c>
      <c r="B8039" t="s">
        <v>731</v>
      </c>
      <c r="C8039" t="s">
        <v>659</v>
      </c>
      <c r="D8039" s="230">
        <v>0</v>
      </c>
      <c r="E8039" t="s">
        <v>731</v>
      </c>
    </row>
    <row r="8040" spans="1:5" hidden="1" x14ac:dyDescent="0.3">
      <c r="A8040" t="s">
        <v>557</v>
      </c>
      <c r="B8040" t="s">
        <v>731</v>
      </c>
      <c r="C8040" t="s">
        <v>660</v>
      </c>
      <c r="D8040" s="230">
        <v>0</v>
      </c>
      <c r="E8040" t="s">
        <v>731</v>
      </c>
    </row>
    <row r="8041" spans="1:5" hidden="1" x14ac:dyDescent="0.3">
      <c r="A8041" t="s">
        <v>557</v>
      </c>
      <c r="B8041" t="s">
        <v>731</v>
      </c>
      <c r="C8041" t="s">
        <v>661</v>
      </c>
      <c r="D8041" s="230">
        <v>0</v>
      </c>
      <c r="E8041" t="s">
        <v>731</v>
      </c>
    </row>
    <row r="8042" spans="1:5" hidden="1" x14ac:dyDescent="0.3">
      <c r="A8042" t="s">
        <v>557</v>
      </c>
      <c r="B8042" t="s">
        <v>731</v>
      </c>
      <c r="C8042" t="s">
        <v>662</v>
      </c>
      <c r="D8042" s="230">
        <v>0</v>
      </c>
      <c r="E8042" t="s">
        <v>731</v>
      </c>
    </row>
    <row r="8043" spans="1:5" hidden="1" x14ac:dyDescent="0.3">
      <c r="A8043" t="s">
        <v>557</v>
      </c>
      <c r="B8043" t="s">
        <v>731</v>
      </c>
      <c r="C8043" t="s">
        <v>663</v>
      </c>
      <c r="D8043" s="230">
        <v>0</v>
      </c>
      <c r="E8043" t="s">
        <v>731</v>
      </c>
    </row>
    <row r="8044" spans="1:5" hidden="1" x14ac:dyDescent="0.3">
      <c r="A8044" t="s">
        <v>557</v>
      </c>
      <c r="B8044" t="s">
        <v>731</v>
      </c>
      <c r="C8044" t="s">
        <v>664</v>
      </c>
      <c r="D8044" s="230">
        <v>0</v>
      </c>
      <c r="E8044" t="s">
        <v>731</v>
      </c>
    </row>
    <row r="8045" spans="1:5" hidden="1" x14ac:dyDescent="0.3">
      <c r="A8045" t="s">
        <v>557</v>
      </c>
      <c r="B8045" t="s">
        <v>731</v>
      </c>
      <c r="C8045" t="s">
        <v>665</v>
      </c>
      <c r="D8045" s="230">
        <v>0</v>
      </c>
      <c r="E8045" t="s">
        <v>731</v>
      </c>
    </row>
    <row r="8046" spans="1:5" hidden="1" x14ac:dyDescent="0.3">
      <c r="A8046" t="s">
        <v>557</v>
      </c>
      <c r="B8046" t="s">
        <v>731</v>
      </c>
      <c r="C8046" t="s">
        <v>666</v>
      </c>
      <c r="D8046" s="230">
        <v>0</v>
      </c>
      <c r="E8046" t="s">
        <v>731</v>
      </c>
    </row>
    <row r="8047" spans="1:5" hidden="1" x14ac:dyDescent="0.3">
      <c r="A8047" t="s">
        <v>557</v>
      </c>
      <c r="B8047" t="s">
        <v>731</v>
      </c>
      <c r="C8047" t="s">
        <v>667</v>
      </c>
      <c r="D8047" s="230">
        <v>0</v>
      </c>
      <c r="E8047" t="s">
        <v>731</v>
      </c>
    </row>
    <row r="8048" spans="1:5" hidden="1" x14ac:dyDescent="0.3">
      <c r="A8048" t="s">
        <v>557</v>
      </c>
      <c r="B8048" t="s">
        <v>731</v>
      </c>
      <c r="C8048" t="s">
        <v>668</v>
      </c>
      <c r="D8048" s="230">
        <v>0</v>
      </c>
      <c r="E8048" t="s">
        <v>731</v>
      </c>
    </row>
    <row r="8049" spans="1:5" hidden="1" x14ac:dyDescent="0.3">
      <c r="A8049" t="s">
        <v>557</v>
      </c>
      <c r="B8049" t="s">
        <v>731</v>
      </c>
      <c r="C8049" t="s">
        <v>669</v>
      </c>
      <c r="D8049" s="230">
        <v>0</v>
      </c>
      <c r="E8049" t="s">
        <v>731</v>
      </c>
    </row>
    <row r="8050" spans="1:5" hidden="1" x14ac:dyDescent="0.3">
      <c r="A8050" t="s">
        <v>557</v>
      </c>
      <c r="B8050" t="s">
        <v>731</v>
      </c>
      <c r="C8050" t="s">
        <v>670</v>
      </c>
      <c r="D8050" s="230">
        <v>0</v>
      </c>
      <c r="E8050" t="s">
        <v>731</v>
      </c>
    </row>
    <row r="8051" spans="1:5" hidden="1" x14ac:dyDescent="0.3">
      <c r="A8051" t="s">
        <v>557</v>
      </c>
      <c r="B8051" t="s">
        <v>731</v>
      </c>
      <c r="C8051" t="s">
        <v>671</v>
      </c>
      <c r="D8051" s="230">
        <v>0</v>
      </c>
      <c r="E8051" t="s">
        <v>731</v>
      </c>
    </row>
    <row r="8052" spans="1:5" hidden="1" x14ac:dyDescent="0.3">
      <c r="A8052" t="s">
        <v>557</v>
      </c>
      <c r="B8052" t="s">
        <v>731</v>
      </c>
      <c r="C8052" t="s">
        <v>672</v>
      </c>
      <c r="D8052" s="230">
        <v>0</v>
      </c>
      <c r="E8052" t="s">
        <v>731</v>
      </c>
    </row>
    <row r="8053" spans="1:5" hidden="1" x14ac:dyDescent="0.3">
      <c r="A8053" t="s">
        <v>557</v>
      </c>
      <c r="B8053" t="s">
        <v>731</v>
      </c>
      <c r="C8053" t="s">
        <v>673</v>
      </c>
      <c r="D8053" s="230">
        <v>0</v>
      </c>
      <c r="E8053" t="s">
        <v>731</v>
      </c>
    </row>
    <row r="8054" spans="1:5" hidden="1" x14ac:dyDescent="0.3">
      <c r="A8054" t="s">
        <v>557</v>
      </c>
      <c r="B8054" t="s">
        <v>731</v>
      </c>
      <c r="C8054" t="s">
        <v>674</v>
      </c>
      <c r="D8054" s="230">
        <v>0</v>
      </c>
      <c r="E8054" t="s">
        <v>731</v>
      </c>
    </row>
    <row r="8055" spans="1:5" hidden="1" x14ac:dyDescent="0.3">
      <c r="A8055" t="s">
        <v>557</v>
      </c>
      <c r="B8055" t="s">
        <v>731</v>
      </c>
      <c r="C8055" t="s">
        <v>675</v>
      </c>
      <c r="D8055" s="230">
        <v>0</v>
      </c>
      <c r="E8055" t="s">
        <v>731</v>
      </c>
    </row>
    <row r="8056" spans="1:5" hidden="1" x14ac:dyDescent="0.3">
      <c r="A8056" t="s">
        <v>557</v>
      </c>
      <c r="B8056" t="s">
        <v>731</v>
      </c>
      <c r="C8056" t="s">
        <v>676</v>
      </c>
      <c r="D8056" s="230">
        <v>0</v>
      </c>
      <c r="E8056" t="s">
        <v>731</v>
      </c>
    </row>
    <row r="8057" spans="1:5" hidden="1" x14ac:dyDescent="0.3">
      <c r="A8057" t="s">
        <v>557</v>
      </c>
      <c r="B8057" t="s">
        <v>731</v>
      </c>
      <c r="C8057" t="s">
        <v>677</v>
      </c>
      <c r="D8057" s="230">
        <v>0</v>
      </c>
      <c r="E8057" t="s">
        <v>731</v>
      </c>
    </row>
    <row r="8058" spans="1:5" hidden="1" x14ac:dyDescent="0.3">
      <c r="A8058" t="s">
        <v>557</v>
      </c>
      <c r="B8058" t="s">
        <v>731</v>
      </c>
      <c r="C8058" t="s">
        <v>201</v>
      </c>
      <c r="D8058" s="230">
        <v>-148836.35999999999</v>
      </c>
      <c r="E8058" t="s">
        <v>731</v>
      </c>
    </row>
    <row r="8059" spans="1:5" hidden="1" x14ac:dyDescent="0.3">
      <c r="A8059" t="s">
        <v>557</v>
      </c>
      <c r="B8059" t="s">
        <v>731</v>
      </c>
      <c r="C8059" t="s">
        <v>203</v>
      </c>
      <c r="D8059" s="230">
        <v>-148836.35999999999</v>
      </c>
      <c r="E8059" t="s">
        <v>731</v>
      </c>
    </row>
    <row r="8060" spans="1:5" hidden="1" x14ac:dyDescent="0.3">
      <c r="A8060" t="s">
        <v>557</v>
      </c>
      <c r="B8060" t="s">
        <v>731</v>
      </c>
      <c r="C8060" t="s">
        <v>678</v>
      </c>
      <c r="D8060" s="230">
        <v>74418.179999999993</v>
      </c>
      <c r="E8060" t="s">
        <v>731</v>
      </c>
    </row>
    <row r="8061" spans="1:5" hidden="1" x14ac:dyDescent="0.3">
      <c r="A8061" t="s">
        <v>557</v>
      </c>
      <c r="B8061" t="s">
        <v>731</v>
      </c>
      <c r="C8061" t="s">
        <v>205</v>
      </c>
      <c r="D8061" s="230">
        <v>-210726.12</v>
      </c>
      <c r="E8061" t="s">
        <v>731</v>
      </c>
    </row>
    <row r="8062" spans="1:5" hidden="1" x14ac:dyDescent="0.3">
      <c r="A8062" t="s">
        <v>557</v>
      </c>
      <c r="B8062" t="s">
        <v>731</v>
      </c>
      <c r="C8062" t="s">
        <v>679</v>
      </c>
      <c r="D8062" s="230">
        <v>-42218.13</v>
      </c>
      <c r="E8062" t="s">
        <v>731</v>
      </c>
    </row>
    <row r="8063" spans="1:5" hidden="1" x14ac:dyDescent="0.3">
      <c r="A8063" t="s">
        <v>557</v>
      </c>
      <c r="B8063" t="s">
        <v>731</v>
      </c>
      <c r="C8063" t="s">
        <v>680</v>
      </c>
      <c r="D8063" s="230">
        <v>-7576.98</v>
      </c>
      <c r="E8063" t="s">
        <v>731</v>
      </c>
    </row>
    <row r="8064" spans="1:5" hidden="1" x14ac:dyDescent="0.3">
      <c r="A8064" t="s">
        <v>557</v>
      </c>
      <c r="B8064" t="s">
        <v>731</v>
      </c>
      <c r="C8064" t="s">
        <v>681</v>
      </c>
      <c r="D8064" s="230">
        <v>0</v>
      </c>
      <c r="E8064" t="s">
        <v>731</v>
      </c>
    </row>
    <row r="8065" spans="1:5" hidden="1" x14ac:dyDescent="0.3">
      <c r="A8065" t="s">
        <v>557</v>
      </c>
      <c r="B8065" t="s">
        <v>731</v>
      </c>
      <c r="C8065" t="s">
        <v>682</v>
      </c>
      <c r="D8065" s="230">
        <v>-65881.73</v>
      </c>
      <c r="E8065" t="s">
        <v>731</v>
      </c>
    </row>
    <row r="8066" spans="1:5" hidden="1" x14ac:dyDescent="0.3">
      <c r="A8066" t="s">
        <v>557</v>
      </c>
      <c r="B8066" t="s">
        <v>731</v>
      </c>
      <c r="C8066" t="s">
        <v>683</v>
      </c>
      <c r="D8066" s="230">
        <v>-21611.58</v>
      </c>
      <c r="E8066" t="s">
        <v>731</v>
      </c>
    </row>
    <row r="8067" spans="1:5" hidden="1" x14ac:dyDescent="0.3">
      <c r="A8067" t="s">
        <v>557</v>
      </c>
      <c r="B8067" t="s">
        <v>731</v>
      </c>
      <c r="C8067" t="s">
        <v>684</v>
      </c>
      <c r="D8067" s="230">
        <v>-20150.3</v>
      </c>
      <c r="E8067" t="s">
        <v>731</v>
      </c>
    </row>
    <row r="8068" spans="1:5" hidden="1" x14ac:dyDescent="0.3">
      <c r="A8068" t="s">
        <v>557</v>
      </c>
      <c r="B8068" t="s">
        <v>731</v>
      </c>
      <c r="C8068" t="s">
        <v>685</v>
      </c>
      <c r="D8068" s="230">
        <v>-6023.58</v>
      </c>
      <c r="E8068" t="s">
        <v>731</v>
      </c>
    </row>
    <row r="8069" spans="1:5" hidden="1" x14ac:dyDescent="0.3">
      <c r="A8069" t="s">
        <v>557</v>
      </c>
      <c r="B8069" t="s">
        <v>731</v>
      </c>
      <c r="C8069" t="s">
        <v>686</v>
      </c>
      <c r="D8069" s="230">
        <v>0</v>
      </c>
      <c r="E8069" t="s">
        <v>731</v>
      </c>
    </row>
    <row r="8070" spans="1:5" hidden="1" x14ac:dyDescent="0.3">
      <c r="A8070" t="s">
        <v>557</v>
      </c>
      <c r="B8070" t="s">
        <v>731</v>
      </c>
      <c r="C8070" t="s">
        <v>687</v>
      </c>
      <c r="D8070" s="230">
        <v>0</v>
      </c>
      <c r="E8070" t="s">
        <v>731</v>
      </c>
    </row>
    <row r="8071" spans="1:5" hidden="1" x14ac:dyDescent="0.3">
      <c r="A8071" t="s">
        <v>557</v>
      </c>
      <c r="B8071" t="s">
        <v>731</v>
      </c>
      <c r="C8071" t="s">
        <v>688</v>
      </c>
      <c r="D8071" s="230">
        <v>0</v>
      </c>
      <c r="E8071" t="s">
        <v>731</v>
      </c>
    </row>
    <row r="8072" spans="1:5" hidden="1" x14ac:dyDescent="0.3">
      <c r="A8072" t="s">
        <v>557</v>
      </c>
      <c r="B8072" t="s">
        <v>731</v>
      </c>
      <c r="C8072" t="s">
        <v>689</v>
      </c>
      <c r="D8072" s="230">
        <v>-2585.23</v>
      </c>
      <c r="E8072" t="s">
        <v>731</v>
      </c>
    </row>
    <row r="8073" spans="1:5" hidden="1" x14ac:dyDescent="0.3">
      <c r="A8073" t="s">
        <v>557</v>
      </c>
      <c r="B8073" t="s">
        <v>731</v>
      </c>
      <c r="C8073" t="s">
        <v>690</v>
      </c>
      <c r="D8073" s="230">
        <v>-30000</v>
      </c>
      <c r="E8073" t="s">
        <v>731</v>
      </c>
    </row>
    <row r="8074" spans="1:5" hidden="1" x14ac:dyDescent="0.3">
      <c r="A8074" t="s">
        <v>557</v>
      </c>
      <c r="B8074" t="s">
        <v>731</v>
      </c>
      <c r="C8074" t="s">
        <v>691</v>
      </c>
      <c r="D8074" s="230">
        <v>0</v>
      </c>
      <c r="E8074" t="s">
        <v>731</v>
      </c>
    </row>
    <row r="8075" spans="1:5" hidden="1" x14ac:dyDescent="0.3">
      <c r="A8075" t="s">
        <v>557</v>
      </c>
      <c r="B8075" t="s">
        <v>731</v>
      </c>
      <c r="C8075" t="s">
        <v>692</v>
      </c>
      <c r="D8075" s="230">
        <v>-14525.58</v>
      </c>
      <c r="E8075" t="s">
        <v>731</v>
      </c>
    </row>
    <row r="8076" spans="1:5" hidden="1" x14ac:dyDescent="0.3">
      <c r="A8076" t="s">
        <v>557</v>
      </c>
      <c r="B8076" t="s">
        <v>731</v>
      </c>
      <c r="C8076" t="s">
        <v>693</v>
      </c>
      <c r="D8076" s="230">
        <v>-153</v>
      </c>
      <c r="E8076" t="s">
        <v>731</v>
      </c>
    </row>
    <row r="8077" spans="1:5" hidden="1" x14ac:dyDescent="0.3">
      <c r="A8077" t="s">
        <v>557</v>
      </c>
      <c r="B8077" t="s">
        <v>731</v>
      </c>
      <c r="C8077" t="s">
        <v>694</v>
      </c>
      <c r="D8077" s="230">
        <v>0</v>
      </c>
      <c r="E8077" t="s">
        <v>731</v>
      </c>
    </row>
    <row r="8078" spans="1:5" hidden="1" x14ac:dyDescent="0.3">
      <c r="A8078" t="s">
        <v>557</v>
      </c>
      <c r="B8078" t="s">
        <v>731</v>
      </c>
      <c r="C8078" t="s">
        <v>238</v>
      </c>
      <c r="D8078" s="230">
        <v>-65207.88</v>
      </c>
      <c r="E8078" t="s">
        <v>731</v>
      </c>
    </row>
    <row r="8079" spans="1:5" hidden="1" x14ac:dyDescent="0.3">
      <c r="A8079" t="s">
        <v>557</v>
      </c>
      <c r="B8079" t="s">
        <v>731</v>
      </c>
      <c r="C8079" t="s">
        <v>695</v>
      </c>
      <c r="D8079" s="230">
        <v>-64431.65</v>
      </c>
      <c r="E8079" t="s">
        <v>731</v>
      </c>
    </row>
    <row r="8080" spans="1:5" hidden="1" x14ac:dyDescent="0.3">
      <c r="A8080" t="s">
        <v>557</v>
      </c>
      <c r="B8080" t="s">
        <v>731</v>
      </c>
      <c r="C8080" t="s">
        <v>696</v>
      </c>
      <c r="D8080" s="230">
        <v>0</v>
      </c>
      <c r="E8080" t="s">
        <v>731</v>
      </c>
    </row>
    <row r="8081" spans="1:5" hidden="1" x14ac:dyDescent="0.3">
      <c r="A8081" t="s">
        <v>557</v>
      </c>
      <c r="B8081" t="s">
        <v>731</v>
      </c>
      <c r="C8081" t="s">
        <v>697</v>
      </c>
      <c r="D8081" s="230">
        <v>0</v>
      </c>
      <c r="E8081" t="s">
        <v>731</v>
      </c>
    </row>
    <row r="8082" spans="1:5" hidden="1" x14ac:dyDescent="0.3">
      <c r="A8082" t="s">
        <v>557</v>
      </c>
      <c r="B8082" t="s">
        <v>731</v>
      </c>
      <c r="C8082" t="s">
        <v>698</v>
      </c>
      <c r="D8082" s="230">
        <v>-776.23</v>
      </c>
      <c r="E8082" t="s">
        <v>731</v>
      </c>
    </row>
    <row r="8083" spans="1:5" hidden="1" x14ac:dyDescent="0.3">
      <c r="A8083" t="s">
        <v>557</v>
      </c>
      <c r="B8083" t="s">
        <v>731</v>
      </c>
      <c r="C8083" t="s">
        <v>699</v>
      </c>
      <c r="D8083" s="230">
        <v>0</v>
      </c>
      <c r="E8083" t="s">
        <v>731</v>
      </c>
    </row>
    <row r="8084" spans="1:5" hidden="1" x14ac:dyDescent="0.3">
      <c r="A8084" t="s">
        <v>557</v>
      </c>
      <c r="B8084" t="s">
        <v>731</v>
      </c>
      <c r="C8084" t="s">
        <v>245</v>
      </c>
      <c r="D8084" s="230">
        <v>-108193.71</v>
      </c>
      <c r="E8084" t="s">
        <v>731</v>
      </c>
    </row>
    <row r="8085" spans="1:5" hidden="1" x14ac:dyDescent="0.3">
      <c r="A8085" t="s">
        <v>557</v>
      </c>
      <c r="B8085" t="s">
        <v>731</v>
      </c>
      <c r="C8085" t="s">
        <v>700</v>
      </c>
      <c r="D8085" s="230">
        <v>-4760.2299999999996</v>
      </c>
      <c r="E8085" t="s">
        <v>731</v>
      </c>
    </row>
    <row r="8086" spans="1:5" hidden="1" x14ac:dyDescent="0.3">
      <c r="A8086" t="s">
        <v>557</v>
      </c>
      <c r="B8086" t="s">
        <v>731</v>
      </c>
      <c r="C8086" t="s">
        <v>701</v>
      </c>
      <c r="D8086" s="230">
        <v>-5871.09</v>
      </c>
      <c r="E8086" t="s">
        <v>731</v>
      </c>
    </row>
    <row r="8087" spans="1:5" hidden="1" x14ac:dyDescent="0.3">
      <c r="A8087" t="s">
        <v>557</v>
      </c>
      <c r="B8087" t="s">
        <v>731</v>
      </c>
      <c r="C8087" t="s">
        <v>702</v>
      </c>
      <c r="D8087" s="230">
        <v>0</v>
      </c>
      <c r="E8087" t="s">
        <v>731</v>
      </c>
    </row>
    <row r="8088" spans="1:5" hidden="1" x14ac:dyDescent="0.3">
      <c r="A8088" t="s">
        <v>557</v>
      </c>
      <c r="B8088" t="s">
        <v>731</v>
      </c>
      <c r="C8088" t="s">
        <v>703</v>
      </c>
      <c r="D8088" s="230">
        <v>0</v>
      </c>
      <c r="E8088" t="s">
        <v>731</v>
      </c>
    </row>
    <row r="8089" spans="1:5" hidden="1" x14ac:dyDescent="0.3">
      <c r="A8089" t="s">
        <v>557</v>
      </c>
      <c r="B8089" t="s">
        <v>731</v>
      </c>
      <c r="C8089" t="s">
        <v>704</v>
      </c>
      <c r="D8089" s="230">
        <v>0</v>
      </c>
      <c r="E8089" t="s">
        <v>731</v>
      </c>
    </row>
    <row r="8090" spans="1:5" hidden="1" x14ac:dyDescent="0.3">
      <c r="A8090" t="s">
        <v>557</v>
      </c>
      <c r="B8090" t="s">
        <v>731</v>
      </c>
      <c r="C8090" t="s">
        <v>705</v>
      </c>
      <c r="D8090" s="230">
        <v>-97562.39</v>
      </c>
      <c r="E8090" t="s">
        <v>731</v>
      </c>
    </row>
    <row r="8091" spans="1:5" hidden="1" x14ac:dyDescent="0.3">
      <c r="A8091" t="s">
        <v>557</v>
      </c>
      <c r="B8091" t="s">
        <v>731</v>
      </c>
      <c r="C8091" t="s">
        <v>706</v>
      </c>
      <c r="D8091" s="230">
        <v>0</v>
      </c>
      <c r="E8091" t="s">
        <v>731</v>
      </c>
    </row>
    <row r="8092" spans="1:5" hidden="1" x14ac:dyDescent="0.3">
      <c r="A8092" t="s">
        <v>557</v>
      </c>
      <c r="B8092" t="s">
        <v>731</v>
      </c>
      <c r="C8092" t="s">
        <v>254</v>
      </c>
      <c r="D8092" s="230">
        <v>-0.27</v>
      </c>
      <c r="E8092" t="s">
        <v>731</v>
      </c>
    </row>
    <row r="8093" spans="1:5" hidden="1" x14ac:dyDescent="0.3">
      <c r="A8093" t="s">
        <v>557</v>
      </c>
      <c r="B8093" t="s">
        <v>731</v>
      </c>
      <c r="C8093" t="s">
        <v>255</v>
      </c>
      <c r="D8093" s="230">
        <v>-0.18</v>
      </c>
      <c r="E8093" t="s">
        <v>731</v>
      </c>
    </row>
    <row r="8094" spans="1:5" hidden="1" x14ac:dyDescent="0.3">
      <c r="A8094" t="s">
        <v>557</v>
      </c>
      <c r="B8094" t="s">
        <v>731</v>
      </c>
      <c r="C8094" t="s">
        <v>256</v>
      </c>
      <c r="D8094" s="230">
        <v>-621028.4</v>
      </c>
      <c r="E8094" t="s">
        <v>731</v>
      </c>
    </row>
    <row r="8095" spans="1:5" hidden="1" x14ac:dyDescent="0.3">
      <c r="A8095" t="s">
        <v>557</v>
      </c>
      <c r="B8095" t="s">
        <v>731</v>
      </c>
      <c r="C8095" t="s">
        <v>257</v>
      </c>
      <c r="D8095" s="230">
        <v>-591668.4</v>
      </c>
      <c r="E8095" t="s">
        <v>731</v>
      </c>
    </row>
    <row r="8096" spans="1:5" hidden="1" x14ac:dyDescent="0.3">
      <c r="A8096" t="s">
        <v>557</v>
      </c>
      <c r="B8096" t="s">
        <v>731</v>
      </c>
      <c r="C8096" t="s">
        <v>258</v>
      </c>
      <c r="D8096" s="230">
        <v>0</v>
      </c>
      <c r="E8096" t="s">
        <v>731</v>
      </c>
    </row>
    <row r="8097" spans="1:5" hidden="1" x14ac:dyDescent="0.3">
      <c r="A8097" t="s">
        <v>557</v>
      </c>
      <c r="B8097" t="s">
        <v>731</v>
      </c>
      <c r="C8097" t="s">
        <v>259</v>
      </c>
      <c r="D8097" s="230">
        <v>-29360</v>
      </c>
      <c r="E8097" t="s">
        <v>731</v>
      </c>
    </row>
    <row r="8098" spans="1:5" hidden="1" x14ac:dyDescent="0.3">
      <c r="A8098" t="s">
        <v>557</v>
      </c>
      <c r="B8098" t="s">
        <v>731</v>
      </c>
      <c r="C8098" t="s">
        <v>260</v>
      </c>
      <c r="D8098" s="230">
        <v>0</v>
      </c>
      <c r="E8098" t="s">
        <v>731</v>
      </c>
    </row>
    <row r="8099" spans="1:5" hidden="1" x14ac:dyDescent="0.3">
      <c r="A8099" t="s">
        <v>557</v>
      </c>
      <c r="B8099" t="s">
        <v>731</v>
      </c>
      <c r="C8099" t="s">
        <v>261</v>
      </c>
      <c r="D8099" s="230">
        <v>0</v>
      </c>
      <c r="E8099" t="s">
        <v>731</v>
      </c>
    </row>
    <row r="8100" spans="1:5" hidden="1" x14ac:dyDescent="0.3">
      <c r="A8100" t="s">
        <v>557</v>
      </c>
      <c r="B8100" t="s">
        <v>731</v>
      </c>
      <c r="C8100" t="s">
        <v>262</v>
      </c>
      <c r="D8100" s="230">
        <v>0</v>
      </c>
      <c r="E8100" t="s">
        <v>731</v>
      </c>
    </row>
    <row r="8101" spans="1:5" hidden="1" x14ac:dyDescent="0.3">
      <c r="A8101" t="s">
        <v>557</v>
      </c>
      <c r="B8101" t="s">
        <v>731</v>
      </c>
      <c r="C8101" t="s">
        <v>263</v>
      </c>
      <c r="D8101" s="230">
        <v>0</v>
      </c>
      <c r="E8101" t="s">
        <v>731</v>
      </c>
    </row>
    <row r="8102" spans="1:5" hidden="1" x14ac:dyDescent="0.3">
      <c r="A8102" t="s">
        <v>557</v>
      </c>
      <c r="B8102" t="s">
        <v>731</v>
      </c>
      <c r="C8102" t="s">
        <v>44</v>
      </c>
      <c r="D8102" s="230">
        <v>-0.12</v>
      </c>
      <c r="E8102" t="s">
        <v>731</v>
      </c>
    </row>
    <row r="8103" spans="1:5" hidden="1" x14ac:dyDescent="0.3">
      <c r="A8103" t="s">
        <v>557</v>
      </c>
      <c r="B8103" t="s">
        <v>731</v>
      </c>
      <c r="C8103" t="s">
        <v>264</v>
      </c>
      <c r="D8103" s="230">
        <v>-432716.73</v>
      </c>
      <c r="E8103" t="s">
        <v>731</v>
      </c>
    </row>
    <row r="8104" spans="1:5" hidden="1" x14ac:dyDescent="0.3">
      <c r="A8104" t="s">
        <v>557</v>
      </c>
      <c r="B8104" t="s">
        <v>731</v>
      </c>
      <c r="C8104" t="s">
        <v>265</v>
      </c>
      <c r="D8104" s="230">
        <v>-67902.89</v>
      </c>
      <c r="E8104" t="s">
        <v>731</v>
      </c>
    </row>
    <row r="8105" spans="1:5" hidden="1" x14ac:dyDescent="0.3">
      <c r="A8105" t="s">
        <v>557</v>
      </c>
      <c r="B8105" t="s">
        <v>731</v>
      </c>
      <c r="C8105" t="s">
        <v>266</v>
      </c>
      <c r="D8105" s="230">
        <v>-127294.77</v>
      </c>
      <c r="E8105" t="s">
        <v>731</v>
      </c>
    </row>
    <row r="8106" spans="1:5" hidden="1" x14ac:dyDescent="0.3">
      <c r="A8106" t="s">
        <v>557</v>
      </c>
      <c r="B8106" t="s">
        <v>731</v>
      </c>
      <c r="C8106" t="s">
        <v>267</v>
      </c>
      <c r="D8106" s="230">
        <v>-66088.12</v>
      </c>
      <c r="E8106" t="s">
        <v>731</v>
      </c>
    </row>
    <row r="8107" spans="1:5" hidden="1" x14ac:dyDescent="0.3">
      <c r="A8107" t="s">
        <v>557</v>
      </c>
      <c r="B8107" t="s">
        <v>731</v>
      </c>
      <c r="C8107" t="s">
        <v>268</v>
      </c>
      <c r="D8107" s="230">
        <v>-79335.039999999994</v>
      </c>
      <c r="E8107" t="s">
        <v>731</v>
      </c>
    </row>
    <row r="8108" spans="1:5" hidden="1" x14ac:dyDescent="0.3">
      <c r="A8108" t="s">
        <v>557</v>
      </c>
      <c r="B8108" t="s">
        <v>731</v>
      </c>
      <c r="C8108" t="s">
        <v>269</v>
      </c>
      <c r="D8108" s="230">
        <v>0</v>
      </c>
      <c r="E8108" t="s">
        <v>731</v>
      </c>
    </row>
    <row r="8109" spans="1:5" hidden="1" x14ac:dyDescent="0.3">
      <c r="A8109" t="s">
        <v>557</v>
      </c>
      <c r="B8109" t="s">
        <v>731</v>
      </c>
      <c r="C8109" t="s">
        <v>270</v>
      </c>
      <c r="D8109" s="230">
        <v>-6100</v>
      </c>
      <c r="E8109" t="s">
        <v>731</v>
      </c>
    </row>
    <row r="8110" spans="1:5" hidden="1" x14ac:dyDescent="0.3">
      <c r="A8110" t="s">
        <v>557</v>
      </c>
      <c r="B8110" t="s">
        <v>731</v>
      </c>
      <c r="C8110" t="s">
        <v>271</v>
      </c>
      <c r="D8110" s="230">
        <v>-10377.799999999999</v>
      </c>
      <c r="E8110" t="s">
        <v>731</v>
      </c>
    </row>
    <row r="8111" spans="1:5" hidden="1" x14ac:dyDescent="0.3">
      <c r="A8111" t="s">
        <v>557</v>
      </c>
      <c r="B8111" t="s">
        <v>731</v>
      </c>
      <c r="C8111" t="s">
        <v>272</v>
      </c>
      <c r="D8111" s="230">
        <v>-18888.810000000001</v>
      </c>
      <c r="E8111" t="s">
        <v>731</v>
      </c>
    </row>
    <row r="8112" spans="1:5" hidden="1" x14ac:dyDescent="0.3">
      <c r="A8112" t="s">
        <v>557</v>
      </c>
      <c r="B8112" t="s">
        <v>731</v>
      </c>
      <c r="C8112" t="s">
        <v>273</v>
      </c>
      <c r="D8112" s="230">
        <v>-2066.9899999999998</v>
      </c>
      <c r="E8112" t="s">
        <v>731</v>
      </c>
    </row>
    <row r="8113" spans="1:5" hidden="1" x14ac:dyDescent="0.3">
      <c r="A8113" t="s">
        <v>557</v>
      </c>
      <c r="B8113" t="s">
        <v>731</v>
      </c>
      <c r="C8113" t="s">
        <v>274</v>
      </c>
      <c r="D8113" s="230">
        <v>-64.260000000000005</v>
      </c>
      <c r="E8113" t="s">
        <v>731</v>
      </c>
    </row>
    <row r="8114" spans="1:5" hidden="1" x14ac:dyDescent="0.3">
      <c r="A8114" t="s">
        <v>557</v>
      </c>
      <c r="B8114" t="s">
        <v>731</v>
      </c>
      <c r="C8114" t="s">
        <v>275</v>
      </c>
      <c r="D8114" s="230">
        <v>-5551.68</v>
      </c>
      <c r="E8114" t="s">
        <v>731</v>
      </c>
    </row>
    <row r="8115" spans="1:5" hidden="1" x14ac:dyDescent="0.3">
      <c r="A8115" t="s">
        <v>557</v>
      </c>
      <c r="B8115" t="s">
        <v>731</v>
      </c>
      <c r="C8115" t="s">
        <v>276</v>
      </c>
      <c r="D8115" s="230">
        <v>-4020.18</v>
      </c>
      <c r="E8115" t="s">
        <v>731</v>
      </c>
    </row>
    <row r="8116" spans="1:5" hidden="1" x14ac:dyDescent="0.3">
      <c r="A8116" t="s">
        <v>557</v>
      </c>
      <c r="B8116" t="s">
        <v>731</v>
      </c>
      <c r="C8116" t="s">
        <v>277</v>
      </c>
      <c r="D8116" s="230">
        <v>0</v>
      </c>
      <c r="E8116" t="s">
        <v>731</v>
      </c>
    </row>
    <row r="8117" spans="1:5" hidden="1" x14ac:dyDescent="0.3">
      <c r="A8117" t="s">
        <v>557</v>
      </c>
      <c r="B8117" t="s">
        <v>731</v>
      </c>
      <c r="C8117" t="s">
        <v>278</v>
      </c>
      <c r="D8117" s="230">
        <v>-45026.19</v>
      </c>
      <c r="E8117" t="s">
        <v>731</v>
      </c>
    </row>
    <row r="8118" spans="1:5" hidden="1" x14ac:dyDescent="0.3">
      <c r="A8118" t="s">
        <v>557</v>
      </c>
      <c r="B8118" t="s">
        <v>731</v>
      </c>
      <c r="C8118" t="s">
        <v>44</v>
      </c>
      <c r="D8118" s="230">
        <v>-0.08</v>
      </c>
      <c r="E8118" t="s">
        <v>731</v>
      </c>
    </row>
    <row r="8119" spans="1:5" hidden="1" x14ac:dyDescent="0.3">
      <c r="A8119" t="s">
        <v>557</v>
      </c>
      <c r="B8119" t="s">
        <v>731</v>
      </c>
      <c r="C8119" t="s">
        <v>279</v>
      </c>
      <c r="D8119" s="230">
        <v>-74860.210000000006</v>
      </c>
      <c r="E8119" t="s">
        <v>731</v>
      </c>
    </row>
    <row r="8120" spans="1:5" hidden="1" x14ac:dyDescent="0.3">
      <c r="A8120" t="s">
        <v>557</v>
      </c>
      <c r="B8120" t="s">
        <v>731</v>
      </c>
      <c r="C8120" t="s">
        <v>280</v>
      </c>
      <c r="D8120" s="230">
        <v>-3598.8</v>
      </c>
      <c r="E8120" t="s">
        <v>731</v>
      </c>
    </row>
    <row r="8121" spans="1:5" hidden="1" x14ac:dyDescent="0.3">
      <c r="A8121" t="s">
        <v>557</v>
      </c>
      <c r="B8121" t="s">
        <v>731</v>
      </c>
      <c r="C8121" t="s">
        <v>281</v>
      </c>
      <c r="D8121" s="230">
        <v>-4310.3</v>
      </c>
      <c r="E8121" t="s">
        <v>731</v>
      </c>
    </row>
    <row r="8122" spans="1:5" hidden="1" x14ac:dyDescent="0.3">
      <c r="A8122" t="s">
        <v>557</v>
      </c>
      <c r="B8122" t="s">
        <v>731</v>
      </c>
      <c r="C8122" t="s">
        <v>282</v>
      </c>
      <c r="D8122" s="230">
        <v>-3794.4</v>
      </c>
      <c r="E8122" t="s">
        <v>731</v>
      </c>
    </row>
    <row r="8123" spans="1:5" hidden="1" x14ac:dyDescent="0.3">
      <c r="A8123" t="s">
        <v>557</v>
      </c>
      <c r="B8123" t="s">
        <v>731</v>
      </c>
      <c r="C8123" t="s">
        <v>283</v>
      </c>
      <c r="D8123" s="230">
        <v>-4639.76</v>
      </c>
      <c r="E8123" t="s">
        <v>731</v>
      </c>
    </row>
    <row r="8124" spans="1:5" hidden="1" x14ac:dyDescent="0.3">
      <c r="A8124" t="s">
        <v>557</v>
      </c>
      <c r="B8124" t="s">
        <v>731</v>
      </c>
      <c r="C8124" t="s">
        <v>284</v>
      </c>
      <c r="D8124" s="230">
        <v>-58516.95</v>
      </c>
      <c r="E8124" t="s">
        <v>731</v>
      </c>
    </row>
    <row r="8125" spans="1:5" hidden="1" x14ac:dyDescent="0.3">
      <c r="A8125" t="s">
        <v>557</v>
      </c>
      <c r="B8125" t="s">
        <v>731</v>
      </c>
      <c r="C8125" t="s">
        <v>285</v>
      </c>
      <c r="D8125" s="230">
        <v>0</v>
      </c>
      <c r="E8125" t="s">
        <v>731</v>
      </c>
    </row>
    <row r="8126" spans="1:5" hidden="1" x14ac:dyDescent="0.3">
      <c r="A8126" t="s">
        <v>557</v>
      </c>
      <c r="B8126" t="s">
        <v>731</v>
      </c>
      <c r="C8126" t="s">
        <v>286</v>
      </c>
      <c r="D8126" s="230">
        <v>0</v>
      </c>
      <c r="E8126" t="s">
        <v>731</v>
      </c>
    </row>
    <row r="8127" spans="1:5" hidden="1" x14ac:dyDescent="0.3">
      <c r="A8127" t="s">
        <v>557</v>
      </c>
      <c r="B8127" t="s">
        <v>731</v>
      </c>
      <c r="C8127" t="s">
        <v>44</v>
      </c>
      <c r="D8127" s="230">
        <v>-0.01</v>
      </c>
      <c r="E8127" t="s">
        <v>731</v>
      </c>
    </row>
    <row r="8128" spans="1:5" hidden="1" x14ac:dyDescent="0.3">
      <c r="A8128" t="s">
        <v>557</v>
      </c>
      <c r="B8128" t="s">
        <v>731</v>
      </c>
      <c r="C8128" t="s">
        <v>287</v>
      </c>
      <c r="D8128" s="230">
        <v>-119988.9</v>
      </c>
      <c r="E8128" t="s">
        <v>731</v>
      </c>
    </row>
    <row r="8129" spans="1:5" hidden="1" x14ac:dyDescent="0.3">
      <c r="A8129" t="s">
        <v>557</v>
      </c>
      <c r="B8129" t="s">
        <v>731</v>
      </c>
      <c r="C8129" t="s">
        <v>288</v>
      </c>
      <c r="D8129" s="230">
        <v>-112342.39</v>
      </c>
      <c r="E8129" t="s">
        <v>731</v>
      </c>
    </row>
    <row r="8130" spans="1:5" hidden="1" x14ac:dyDescent="0.3">
      <c r="A8130" t="s">
        <v>557</v>
      </c>
      <c r="B8130" t="s">
        <v>731</v>
      </c>
      <c r="C8130" t="s">
        <v>289</v>
      </c>
      <c r="D8130" s="230">
        <v>0</v>
      </c>
      <c r="E8130" t="s">
        <v>731</v>
      </c>
    </row>
    <row r="8131" spans="1:5" hidden="1" x14ac:dyDescent="0.3">
      <c r="A8131" t="s">
        <v>557</v>
      </c>
      <c r="B8131" t="s">
        <v>731</v>
      </c>
      <c r="C8131" t="s">
        <v>290</v>
      </c>
      <c r="D8131" s="230">
        <v>0</v>
      </c>
      <c r="E8131" t="s">
        <v>731</v>
      </c>
    </row>
    <row r="8132" spans="1:5" hidden="1" x14ac:dyDescent="0.3">
      <c r="A8132" t="s">
        <v>557</v>
      </c>
      <c r="B8132" t="s">
        <v>731</v>
      </c>
      <c r="C8132" t="s">
        <v>291</v>
      </c>
      <c r="D8132" s="230">
        <v>0</v>
      </c>
      <c r="E8132" t="s">
        <v>731</v>
      </c>
    </row>
    <row r="8133" spans="1:5" hidden="1" x14ac:dyDescent="0.3">
      <c r="A8133" t="s">
        <v>557</v>
      </c>
      <c r="B8133" t="s">
        <v>731</v>
      </c>
      <c r="C8133" t="s">
        <v>292</v>
      </c>
      <c r="D8133" s="230">
        <v>-940</v>
      </c>
      <c r="E8133" t="s">
        <v>731</v>
      </c>
    </row>
    <row r="8134" spans="1:5" hidden="1" x14ac:dyDescent="0.3">
      <c r="A8134" t="s">
        <v>557</v>
      </c>
      <c r="B8134" t="s">
        <v>731</v>
      </c>
      <c r="C8134" t="s">
        <v>293</v>
      </c>
      <c r="D8134" s="230">
        <v>-4715.42</v>
      </c>
      <c r="E8134" t="s">
        <v>731</v>
      </c>
    </row>
    <row r="8135" spans="1:5" hidden="1" x14ac:dyDescent="0.3">
      <c r="A8135" t="s">
        <v>557</v>
      </c>
      <c r="B8135" t="s">
        <v>731</v>
      </c>
      <c r="C8135" t="s">
        <v>294</v>
      </c>
      <c r="D8135" s="230">
        <v>-1991.09</v>
      </c>
      <c r="E8135" t="s">
        <v>731</v>
      </c>
    </row>
    <row r="8136" spans="1:5" hidden="1" x14ac:dyDescent="0.3">
      <c r="A8136" t="s">
        <v>557</v>
      </c>
      <c r="B8136" t="s">
        <v>731</v>
      </c>
      <c r="C8136" t="s">
        <v>295</v>
      </c>
      <c r="D8136" s="230">
        <v>0</v>
      </c>
      <c r="E8136" t="s">
        <v>731</v>
      </c>
    </row>
    <row r="8137" spans="1:5" hidden="1" x14ac:dyDescent="0.3">
      <c r="A8137" t="s">
        <v>557</v>
      </c>
      <c r="B8137" t="s">
        <v>731</v>
      </c>
      <c r="C8137" t="s">
        <v>44</v>
      </c>
      <c r="D8137" s="230">
        <v>-0.02</v>
      </c>
      <c r="E8137" t="s">
        <v>731</v>
      </c>
    </row>
    <row r="8138" spans="1:5" hidden="1" x14ac:dyDescent="0.3">
      <c r="A8138" t="s">
        <v>557</v>
      </c>
      <c r="B8138" t="s">
        <v>731</v>
      </c>
      <c r="C8138" t="s">
        <v>296</v>
      </c>
      <c r="D8138" s="230">
        <v>-77458.490000000005</v>
      </c>
      <c r="E8138" t="s">
        <v>731</v>
      </c>
    </row>
    <row r="8139" spans="1:5" hidden="1" x14ac:dyDescent="0.3">
      <c r="A8139" t="s">
        <v>557</v>
      </c>
      <c r="B8139" t="s">
        <v>731</v>
      </c>
      <c r="C8139" t="s">
        <v>297</v>
      </c>
      <c r="D8139" s="230">
        <v>-41000</v>
      </c>
      <c r="E8139" t="s">
        <v>731</v>
      </c>
    </row>
    <row r="8140" spans="1:5" hidden="1" x14ac:dyDescent="0.3">
      <c r="A8140" t="s">
        <v>557</v>
      </c>
      <c r="B8140" t="s">
        <v>731</v>
      </c>
      <c r="C8140" t="s">
        <v>298</v>
      </c>
      <c r="D8140" s="230">
        <v>-5510</v>
      </c>
      <c r="E8140" t="s">
        <v>731</v>
      </c>
    </row>
    <row r="8141" spans="1:5" hidden="1" x14ac:dyDescent="0.3">
      <c r="A8141" t="s">
        <v>557</v>
      </c>
      <c r="B8141" t="s">
        <v>731</v>
      </c>
      <c r="C8141" t="s">
        <v>299</v>
      </c>
      <c r="D8141" s="230">
        <v>0</v>
      </c>
      <c r="E8141" t="s">
        <v>731</v>
      </c>
    </row>
    <row r="8142" spans="1:5" hidden="1" x14ac:dyDescent="0.3">
      <c r="A8142" t="s">
        <v>557</v>
      </c>
      <c r="B8142" t="s">
        <v>731</v>
      </c>
      <c r="C8142" t="s">
        <v>300</v>
      </c>
      <c r="D8142" s="230">
        <v>0</v>
      </c>
      <c r="E8142" t="s">
        <v>731</v>
      </c>
    </row>
    <row r="8143" spans="1:5" hidden="1" x14ac:dyDescent="0.3">
      <c r="A8143" t="s">
        <v>557</v>
      </c>
      <c r="B8143" t="s">
        <v>731</v>
      </c>
      <c r="C8143" t="s">
        <v>301</v>
      </c>
      <c r="D8143" s="230">
        <v>-4319.9399999999996</v>
      </c>
      <c r="E8143" t="s">
        <v>731</v>
      </c>
    </row>
    <row r="8144" spans="1:5" hidden="1" x14ac:dyDescent="0.3">
      <c r="A8144" t="s">
        <v>557</v>
      </c>
      <c r="B8144" t="s">
        <v>731</v>
      </c>
      <c r="C8144" t="s">
        <v>302</v>
      </c>
      <c r="D8144" s="230">
        <v>0</v>
      </c>
      <c r="E8144" t="s">
        <v>731</v>
      </c>
    </row>
    <row r="8145" spans="1:5" hidden="1" x14ac:dyDescent="0.3">
      <c r="A8145" t="s">
        <v>557</v>
      </c>
      <c r="B8145" t="s">
        <v>731</v>
      </c>
      <c r="C8145" t="s">
        <v>303</v>
      </c>
      <c r="D8145" s="230">
        <v>0</v>
      </c>
      <c r="E8145" t="s">
        <v>731</v>
      </c>
    </row>
    <row r="8146" spans="1:5" hidden="1" x14ac:dyDescent="0.3">
      <c r="A8146" t="s">
        <v>557</v>
      </c>
      <c r="B8146" t="s">
        <v>731</v>
      </c>
      <c r="C8146" t="s">
        <v>304</v>
      </c>
      <c r="D8146" s="230">
        <v>-3389.84</v>
      </c>
      <c r="E8146" t="s">
        <v>731</v>
      </c>
    </row>
    <row r="8147" spans="1:5" hidden="1" x14ac:dyDescent="0.3">
      <c r="A8147" t="s">
        <v>557</v>
      </c>
      <c r="B8147" t="s">
        <v>731</v>
      </c>
      <c r="C8147" t="s">
        <v>305</v>
      </c>
      <c r="D8147" s="230">
        <v>-2177.5100000000002</v>
      </c>
      <c r="E8147" t="s">
        <v>731</v>
      </c>
    </row>
    <row r="8148" spans="1:5" hidden="1" x14ac:dyDescent="0.3">
      <c r="A8148" t="s">
        <v>557</v>
      </c>
      <c r="B8148" t="s">
        <v>731</v>
      </c>
      <c r="C8148" t="s">
        <v>306</v>
      </c>
      <c r="D8148" s="230">
        <v>0</v>
      </c>
      <c r="E8148" t="s">
        <v>731</v>
      </c>
    </row>
    <row r="8149" spans="1:5" hidden="1" x14ac:dyDescent="0.3">
      <c r="A8149" t="s">
        <v>557</v>
      </c>
      <c r="B8149" t="s">
        <v>731</v>
      </c>
      <c r="C8149" t="s">
        <v>307</v>
      </c>
      <c r="D8149" s="230">
        <v>-21061.200000000001</v>
      </c>
      <c r="E8149" t="s">
        <v>731</v>
      </c>
    </row>
    <row r="8150" spans="1:5" hidden="1" x14ac:dyDescent="0.3">
      <c r="A8150" t="s">
        <v>557</v>
      </c>
      <c r="B8150" t="s">
        <v>731</v>
      </c>
      <c r="C8150" t="s">
        <v>44</v>
      </c>
      <c r="D8150" s="230">
        <v>-0.01</v>
      </c>
      <c r="E8150" t="s">
        <v>731</v>
      </c>
    </row>
    <row r="8151" spans="1:5" hidden="1" x14ac:dyDescent="0.3">
      <c r="A8151" t="s">
        <v>557</v>
      </c>
      <c r="B8151" t="s">
        <v>731</v>
      </c>
      <c r="C8151" t="s">
        <v>308</v>
      </c>
      <c r="D8151" s="230">
        <v>-53201.43</v>
      </c>
      <c r="E8151" t="s">
        <v>731</v>
      </c>
    </row>
    <row r="8152" spans="1:5" hidden="1" x14ac:dyDescent="0.3">
      <c r="A8152" t="s">
        <v>557</v>
      </c>
      <c r="B8152" t="s">
        <v>731</v>
      </c>
      <c r="C8152" t="s">
        <v>309</v>
      </c>
      <c r="D8152" s="230">
        <v>-24653.4</v>
      </c>
      <c r="E8152" t="s">
        <v>731</v>
      </c>
    </row>
    <row r="8153" spans="1:5" hidden="1" x14ac:dyDescent="0.3">
      <c r="A8153" t="s">
        <v>557</v>
      </c>
      <c r="B8153" t="s">
        <v>731</v>
      </c>
      <c r="C8153" t="s">
        <v>310</v>
      </c>
      <c r="D8153" s="230">
        <v>0</v>
      </c>
      <c r="E8153" t="s">
        <v>731</v>
      </c>
    </row>
    <row r="8154" spans="1:5" hidden="1" x14ac:dyDescent="0.3">
      <c r="A8154" t="s">
        <v>557</v>
      </c>
      <c r="B8154" t="s">
        <v>731</v>
      </c>
      <c r="C8154" t="s">
        <v>311</v>
      </c>
      <c r="D8154" s="230">
        <v>-28253.279999999999</v>
      </c>
      <c r="E8154" t="s">
        <v>731</v>
      </c>
    </row>
    <row r="8155" spans="1:5" hidden="1" x14ac:dyDescent="0.3">
      <c r="A8155" t="s">
        <v>557</v>
      </c>
      <c r="B8155" t="s">
        <v>731</v>
      </c>
      <c r="C8155" t="s">
        <v>312</v>
      </c>
      <c r="D8155" s="230">
        <v>0</v>
      </c>
      <c r="E8155" t="s">
        <v>731</v>
      </c>
    </row>
    <row r="8156" spans="1:5" hidden="1" x14ac:dyDescent="0.3">
      <c r="A8156" t="s">
        <v>557</v>
      </c>
      <c r="B8156" t="s">
        <v>731</v>
      </c>
      <c r="C8156" t="s">
        <v>313</v>
      </c>
      <c r="D8156" s="230">
        <v>0</v>
      </c>
      <c r="E8156" t="s">
        <v>731</v>
      </c>
    </row>
    <row r="8157" spans="1:5" hidden="1" x14ac:dyDescent="0.3">
      <c r="A8157" t="s">
        <v>557</v>
      </c>
      <c r="B8157" t="s">
        <v>731</v>
      </c>
      <c r="C8157" t="s">
        <v>314</v>
      </c>
      <c r="D8157" s="230">
        <v>0</v>
      </c>
      <c r="E8157" t="s">
        <v>731</v>
      </c>
    </row>
    <row r="8158" spans="1:5" hidden="1" x14ac:dyDescent="0.3">
      <c r="A8158" t="s">
        <v>557</v>
      </c>
      <c r="B8158" t="s">
        <v>731</v>
      </c>
      <c r="C8158" t="s">
        <v>315</v>
      </c>
      <c r="D8158" s="230">
        <v>0</v>
      </c>
      <c r="E8158" t="s">
        <v>731</v>
      </c>
    </row>
    <row r="8159" spans="1:5" hidden="1" x14ac:dyDescent="0.3">
      <c r="A8159" t="s">
        <v>557</v>
      </c>
      <c r="B8159" t="s">
        <v>731</v>
      </c>
      <c r="C8159" t="s">
        <v>316</v>
      </c>
      <c r="D8159" s="230">
        <v>-236.23</v>
      </c>
      <c r="E8159" t="s">
        <v>731</v>
      </c>
    </row>
    <row r="8160" spans="1:5" hidden="1" x14ac:dyDescent="0.3">
      <c r="A8160" t="s">
        <v>557</v>
      </c>
      <c r="B8160" t="s">
        <v>731</v>
      </c>
      <c r="C8160" t="s">
        <v>317</v>
      </c>
      <c r="D8160" s="230">
        <v>-58.52</v>
      </c>
      <c r="E8160" t="s">
        <v>731</v>
      </c>
    </row>
    <row r="8161" spans="1:5" hidden="1" x14ac:dyDescent="0.3">
      <c r="A8161" t="s">
        <v>557</v>
      </c>
      <c r="B8161" t="s">
        <v>731</v>
      </c>
      <c r="C8161" t="s">
        <v>44</v>
      </c>
      <c r="D8161" s="230">
        <v>-0.01</v>
      </c>
      <c r="E8161" t="s">
        <v>731</v>
      </c>
    </row>
    <row r="8162" spans="1:5" hidden="1" x14ac:dyDescent="0.3">
      <c r="A8162" t="s">
        <v>557</v>
      </c>
      <c r="B8162" t="s">
        <v>731</v>
      </c>
      <c r="C8162" t="s">
        <v>318</v>
      </c>
      <c r="D8162" s="230">
        <v>-28827.82</v>
      </c>
      <c r="E8162" t="s">
        <v>731</v>
      </c>
    </row>
    <row r="8163" spans="1:5" hidden="1" x14ac:dyDescent="0.3">
      <c r="A8163" t="s">
        <v>557</v>
      </c>
      <c r="B8163" t="s">
        <v>731</v>
      </c>
      <c r="C8163" t="s">
        <v>319</v>
      </c>
      <c r="D8163" s="230">
        <v>-28827.82</v>
      </c>
      <c r="E8163" t="s">
        <v>731</v>
      </c>
    </row>
    <row r="8164" spans="1:5" hidden="1" x14ac:dyDescent="0.3">
      <c r="A8164" t="s">
        <v>557</v>
      </c>
      <c r="B8164" t="s">
        <v>731</v>
      </c>
      <c r="C8164" t="s">
        <v>320</v>
      </c>
      <c r="D8164" s="230">
        <v>0</v>
      </c>
      <c r="E8164" t="s">
        <v>731</v>
      </c>
    </row>
    <row r="8165" spans="1:5" hidden="1" x14ac:dyDescent="0.3">
      <c r="A8165" t="s">
        <v>557</v>
      </c>
      <c r="B8165" t="s">
        <v>731</v>
      </c>
      <c r="C8165" t="s">
        <v>321</v>
      </c>
      <c r="D8165" s="230">
        <v>0</v>
      </c>
      <c r="E8165" t="s">
        <v>731</v>
      </c>
    </row>
    <row r="8166" spans="1:5" hidden="1" x14ac:dyDescent="0.3">
      <c r="A8166" t="s">
        <v>557</v>
      </c>
      <c r="B8166" t="s">
        <v>731</v>
      </c>
      <c r="C8166" t="s">
        <v>322</v>
      </c>
      <c r="D8166" s="230">
        <v>0</v>
      </c>
      <c r="E8166" t="s">
        <v>731</v>
      </c>
    </row>
    <row r="8167" spans="1:5" hidden="1" x14ac:dyDescent="0.3">
      <c r="A8167" t="s">
        <v>557</v>
      </c>
      <c r="B8167" t="s">
        <v>731</v>
      </c>
      <c r="C8167" t="s">
        <v>44</v>
      </c>
      <c r="D8167" s="230">
        <v>-0.01</v>
      </c>
      <c r="E8167" t="s">
        <v>731</v>
      </c>
    </row>
    <row r="8168" spans="1:5" hidden="1" x14ac:dyDescent="0.3">
      <c r="A8168" t="s">
        <v>557</v>
      </c>
      <c r="B8168" t="s">
        <v>731</v>
      </c>
      <c r="C8168" t="s">
        <v>323</v>
      </c>
      <c r="D8168" s="230">
        <v>-266449.13</v>
      </c>
      <c r="E8168" t="s">
        <v>731</v>
      </c>
    </row>
    <row r="8169" spans="1:5" hidden="1" x14ac:dyDescent="0.3">
      <c r="A8169" t="s">
        <v>557</v>
      </c>
      <c r="B8169" t="s">
        <v>731</v>
      </c>
      <c r="C8169" t="s">
        <v>324</v>
      </c>
      <c r="D8169" s="230">
        <v>0</v>
      </c>
      <c r="E8169" t="s">
        <v>731</v>
      </c>
    </row>
    <row r="8170" spans="1:5" hidden="1" x14ac:dyDescent="0.3">
      <c r="A8170" t="s">
        <v>557</v>
      </c>
      <c r="B8170" t="s">
        <v>731</v>
      </c>
      <c r="C8170" t="s">
        <v>325</v>
      </c>
      <c r="D8170" s="230">
        <v>0</v>
      </c>
      <c r="E8170" t="s">
        <v>731</v>
      </c>
    </row>
    <row r="8171" spans="1:5" hidden="1" x14ac:dyDescent="0.3">
      <c r="A8171" t="s">
        <v>557</v>
      </c>
      <c r="B8171" t="s">
        <v>731</v>
      </c>
      <c r="C8171" t="s">
        <v>326</v>
      </c>
      <c r="D8171" s="230">
        <v>-266449.13</v>
      </c>
      <c r="E8171" t="s">
        <v>731</v>
      </c>
    </row>
    <row r="8172" spans="1:5" hidden="1" x14ac:dyDescent="0.3">
      <c r="A8172" t="s">
        <v>557</v>
      </c>
      <c r="B8172" t="s">
        <v>731</v>
      </c>
      <c r="C8172" t="s">
        <v>44</v>
      </c>
      <c r="D8172" s="230">
        <v>-0.05</v>
      </c>
      <c r="E8172" t="s">
        <v>731</v>
      </c>
    </row>
    <row r="8173" spans="1:5" hidden="1" x14ac:dyDescent="0.3">
      <c r="A8173" t="s">
        <v>557</v>
      </c>
      <c r="B8173" t="s">
        <v>731</v>
      </c>
      <c r="C8173" t="s">
        <v>328</v>
      </c>
      <c r="D8173" s="230">
        <v>-3111348.09</v>
      </c>
      <c r="E8173" t="s">
        <v>731</v>
      </c>
    </row>
    <row r="8174" spans="1:5" hidden="1" x14ac:dyDescent="0.3">
      <c r="A8174" t="s">
        <v>557</v>
      </c>
      <c r="B8174" t="s">
        <v>731</v>
      </c>
      <c r="C8174" t="s">
        <v>44</v>
      </c>
      <c r="D8174" s="230">
        <v>-0.57999999999999996</v>
      </c>
      <c r="E8174" t="s">
        <v>731</v>
      </c>
    </row>
    <row r="8175" spans="1:5" hidden="1" x14ac:dyDescent="0.3">
      <c r="A8175" t="s">
        <v>557</v>
      </c>
      <c r="B8175" t="s">
        <v>731</v>
      </c>
      <c r="C8175" t="s">
        <v>329</v>
      </c>
      <c r="D8175" s="230">
        <v>-245966.14</v>
      </c>
      <c r="E8175" t="s">
        <v>731</v>
      </c>
    </row>
    <row r="8176" spans="1:5" hidden="1" x14ac:dyDescent="0.3">
      <c r="A8176" t="s">
        <v>557</v>
      </c>
      <c r="B8176" t="s">
        <v>731</v>
      </c>
      <c r="C8176" t="s">
        <v>44</v>
      </c>
      <c r="D8176" s="230">
        <v>-0.05</v>
      </c>
      <c r="E8176" t="s">
        <v>731</v>
      </c>
    </row>
    <row r="8177" spans="1:5" hidden="1" x14ac:dyDescent="0.3">
      <c r="A8177" t="s">
        <v>557</v>
      </c>
      <c r="B8177" t="s">
        <v>731</v>
      </c>
      <c r="C8177" t="s">
        <v>330</v>
      </c>
      <c r="D8177" s="230">
        <v>0</v>
      </c>
      <c r="E8177" t="s">
        <v>731</v>
      </c>
    </row>
    <row r="8178" spans="1:5" hidden="1" x14ac:dyDescent="0.3">
      <c r="A8178" t="s">
        <v>557</v>
      </c>
      <c r="B8178" t="s">
        <v>731</v>
      </c>
      <c r="C8178" t="s">
        <v>332</v>
      </c>
      <c r="D8178" s="230">
        <v>-245966.14</v>
      </c>
      <c r="E8178" t="s">
        <v>731</v>
      </c>
    </row>
    <row r="8179" spans="1:5" hidden="1" x14ac:dyDescent="0.3">
      <c r="A8179" t="s">
        <v>557</v>
      </c>
      <c r="B8179" t="s">
        <v>731</v>
      </c>
      <c r="C8179" t="s">
        <v>333</v>
      </c>
      <c r="D8179" s="230">
        <v>89495.3</v>
      </c>
      <c r="E8179" t="s">
        <v>731</v>
      </c>
    </row>
    <row r="8180" spans="1:5" hidden="1" x14ac:dyDescent="0.3">
      <c r="A8180" t="s">
        <v>557</v>
      </c>
      <c r="B8180" t="s">
        <v>731</v>
      </c>
      <c r="C8180" t="s">
        <v>334</v>
      </c>
      <c r="D8180" s="230">
        <v>24640</v>
      </c>
      <c r="E8180" t="s">
        <v>731</v>
      </c>
    </row>
    <row r="8181" spans="1:5" hidden="1" x14ac:dyDescent="0.3">
      <c r="A8181" t="s">
        <v>557</v>
      </c>
      <c r="B8181" t="s">
        <v>731</v>
      </c>
      <c r="C8181" t="s">
        <v>336</v>
      </c>
      <c r="D8181" s="230">
        <v>-16897.5</v>
      </c>
      <c r="E8181" t="s">
        <v>731</v>
      </c>
    </row>
    <row r="8182" spans="1:5" hidden="1" x14ac:dyDescent="0.3">
      <c r="A8182" t="s">
        <v>557</v>
      </c>
      <c r="B8182" t="s">
        <v>731</v>
      </c>
      <c r="C8182" t="s">
        <v>338</v>
      </c>
      <c r="D8182" s="230">
        <v>-143525.44</v>
      </c>
      <c r="E8182" t="s">
        <v>731</v>
      </c>
    </row>
    <row r="8183" spans="1:5" hidden="1" x14ac:dyDescent="0.3">
      <c r="A8183" t="s">
        <v>557</v>
      </c>
      <c r="B8183" t="s">
        <v>731</v>
      </c>
      <c r="C8183" t="s">
        <v>339</v>
      </c>
      <c r="D8183" s="230">
        <v>-212012.76</v>
      </c>
      <c r="E8183" t="s">
        <v>731</v>
      </c>
    </row>
    <row r="8184" spans="1:5" hidden="1" x14ac:dyDescent="0.3">
      <c r="A8184" t="s">
        <v>557</v>
      </c>
      <c r="B8184" t="s">
        <v>731</v>
      </c>
      <c r="C8184" t="s">
        <v>342</v>
      </c>
      <c r="D8184" s="230">
        <v>-158513.10999999999</v>
      </c>
      <c r="E8184" t="s">
        <v>731</v>
      </c>
    </row>
    <row r="8185" spans="1:5" hidden="1" x14ac:dyDescent="0.3">
      <c r="A8185" t="s">
        <v>557</v>
      </c>
      <c r="B8185" t="s">
        <v>731</v>
      </c>
      <c r="C8185" t="s">
        <v>344</v>
      </c>
      <c r="D8185" s="230">
        <v>-21471.43</v>
      </c>
      <c r="E8185" t="s">
        <v>731</v>
      </c>
    </row>
    <row r="8186" spans="1:5" hidden="1" x14ac:dyDescent="0.3">
      <c r="A8186" t="s">
        <v>557</v>
      </c>
      <c r="B8186" t="s">
        <v>731</v>
      </c>
      <c r="C8186" t="s">
        <v>345</v>
      </c>
      <c r="D8186" s="230">
        <v>-12703.93</v>
      </c>
      <c r="E8186" t="s">
        <v>731</v>
      </c>
    </row>
    <row r="8187" spans="1:5" hidden="1" x14ac:dyDescent="0.3">
      <c r="A8187" t="s">
        <v>557</v>
      </c>
      <c r="B8187" t="s">
        <v>731</v>
      </c>
      <c r="C8187" t="s">
        <v>346</v>
      </c>
      <c r="D8187" s="230">
        <v>-19324.29</v>
      </c>
      <c r="E8187" t="s">
        <v>731</v>
      </c>
    </row>
    <row r="8188" spans="1:5" hidden="1" x14ac:dyDescent="0.3">
      <c r="A8188" t="s">
        <v>557</v>
      </c>
      <c r="B8188" t="s">
        <v>731</v>
      </c>
      <c r="C8188" t="s">
        <v>347</v>
      </c>
      <c r="D8188" s="230">
        <v>-355538.2</v>
      </c>
      <c r="E8188" t="s">
        <v>731</v>
      </c>
    </row>
    <row r="8189" spans="1:5" hidden="1" x14ac:dyDescent="0.3">
      <c r="A8189" t="s">
        <v>557</v>
      </c>
      <c r="B8189" t="s">
        <v>731</v>
      </c>
      <c r="C8189" t="s">
        <v>44</v>
      </c>
      <c r="D8189" s="230">
        <v>-7.0000000000000007E-2</v>
      </c>
      <c r="E8189" t="s">
        <v>731</v>
      </c>
    </row>
    <row r="8190" spans="1:5" hidden="1" x14ac:dyDescent="0.3">
      <c r="A8190" t="s">
        <v>557</v>
      </c>
      <c r="B8190" t="s">
        <v>731</v>
      </c>
      <c r="C8190" t="s">
        <v>348</v>
      </c>
      <c r="D8190" s="230">
        <v>-214367.2</v>
      </c>
      <c r="E8190" t="s">
        <v>731</v>
      </c>
    </row>
    <row r="8191" spans="1:5" hidden="1" x14ac:dyDescent="0.3">
      <c r="A8191" t="s">
        <v>557</v>
      </c>
      <c r="B8191" t="s">
        <v>731</v>
      </c>
      <c r="C8191" t="s">
        <v>707</v>
      </c>
      <c r="D8191" s="230">
        <v>-150208.85</v>
      </c>
      <c r="E8191" t="s">
        <v>731</v>
      </c>
    </row>
    <row r="8192" spans="1:5" hidden="1" x14ac:dyDescent="0.3">
      <c r="A8192" t="s">
        <v>557</v>
      </c>
      <c r="B8192" t="s">
        <v>731</v>
      </c>
      <c r="C8192" t="s">
        <v>350</v>
      </c>
      <c r="D8192" s="230">
        <v>-64158.35</v>
      </c>
      <c r="E8192" t="s">
        <v>731</v>
      </c>
    </row>
    <row r="8193" spans="1:5" hidden="1" x14ac:dyDescent="0.3">
      <c r="A8193" t="s">
        <v>557</v>
      </c>
      <c r="B8193" t="s">
        <v>731</v>
      </c>
      <c r="C8193" t="s">
        <v>351</v>
      </c>
      <c r="D8193" s="230">
        <v>0</v>
      </c>
      <c r="E8193" t="s">
        <v>731</v>
      </c>
    </row>
    <row r="8194" spans="1:5" hidden="1" x14ac:dyDescent="0.3">
      <c r="A8194" t="s">
        <v>557</v>
      </c>
      <c r="B8194" t="s">
        <v>731</v>
      </c>
      <c r="C8194" t="s">
        <v>352</v>
      </c>
      <c r="D8194" s="230">
        <v>0</v>
      </c>
      <c r="E8194" t="s">
        <v>731</v>
      </c>
    </row>
    <row r="8195" spans="1:5" hidden="1" x14ac:dyDescent="0.3">
      <c r="A8195" t="s">
        <v>557</v>
      </c>
      <c r="B8195" t="s">
        <v>731</v>
      </c>
      <c r="C8195" t="s">
        <v>353</v>
      </c>
      <c r="D8195" s="230">
        <v>0</v>
      </c>
      <c r="E8195" t="s">
        <v>731</v>
      </c>
    </row>
    <row r="8196" spans="1:5" hidden="1" x14ac:dyDescent="0.3">
      <c r="A8196" t="s">
        <v>557</v>
      </c>
      <c r="B8196" t="s">
        <v>731</v>
      </c>
      <c r="C8196" t="s">
        <v>354</v>
      </c>
      <c r="D8196" s="230">
        <v>0</v>
      </c>
      <c r="E8196" t="s">
        <v>731</v>
      </c>
    </row>
    <row r="8197" spans="1:5" hidden="1" x14ac:dyDescent="0.3">
      <c r="A8197" t="s">
        <v>557</v>
      </c>
      <c r="B8197" t="s">
        <v>731</v>
      </c>
      <c r="C8197" t="s">
        <v>355</v>
      </c>
      <c r="D8197" s="230">
        <v>0</v>
      </c>
      <c r="E8197" t="s">
        <v>731</v>
      </c>
    </row>
    <row r="8198" spans="1:5" hidden="1" x14ac:dyDescent="0.3">
      <c r="A8198" t="s">
        <v>557</v>
      </c>
      <c r="B8198" t="s">
        <v>731</v>
      </c>
      <c r="C8198" t="s">
        <v>356</v>
      </c>
      <c r="D8198" s="230">
        <v>0</v>
      </c>
      <c r="E8198" t="s">
        <v>731</v>
      </c>
    </row>
    <row r="8199" spans="1:5" hidden="1" x14ac:dyDescent="0.3">
      <c r="A8199" t="s">
        <v>557</v>
      </c>
      <c r="B8199" t="s">
        <v>731</v>
      </c>
      <c r="C8199" t="s">
        <v>357</v>
      </c>
      <c r="D8199" s="230">
        <v>0</v>
      </c>
      <c r="E8199" t="s">
        <v>731</v>
      </c>
    </row>
    <row r="8200" spans="1:5" hidden="1" x14ac:dyDescent="0.3">
      <c r="A8200" t="s">
        <v>557</v>
      </c>
      <c r="B8200" t="s">
        <v>731</v>
      </c>
      <c r="C8200" t="s">
        <v>358</v>
      </c>
      <c r="D8200" s="230">
        <v>0</v>
      </c>
      <c r="E8200" t="s">
        <v>731</v>
      </c>
    </row>
    <row r="8201" spans="1:5" hidden="1" x14ac:dyDescent="0.3">
      <c r="A8201" t="s">
        <v>557</v>
      </c>
      <c r="B8201" t="s">
        <v>731</v>
      </c>
      <c r="C8201" t="s">
        <v>359</v>
      </c>
      <c r="D8201" s="230">
        <v>0</v>
      </c>
      <c r="E8201" t="s">
        <v>731</v>
      </c>
    </row>
    <row r="8202" spans="1:5" hidden="1" x14ac:dyDescent="0.3">
      <c r="A8202" t="s">
        <v>557</v>
      </c>
      <c r="B8202" t="s">
        <v>731</v>
      </c>
      <c r="C8202" t="s">
        <v>360</v>
      </c>
      <c r="D8202" s="230">
        <v>0</v>
      </c>
      <c r="E8202" t="s">
        <v>731</v>
      </c>
    </row>
    <row r="8203" spans="1:5" hidden="1" x14ac:dyDescent="0.3">
      <c r="A8203" t="s">
        <v>557</v>
      </c>
      <c r="B8203" t="s">
        <v>731</v>
      </c>
      <c r="C8203" t="s">
        <v>361</v>
      </c>
      <c r="D8203" s="230">
        <v>0</v>
      </c>
      <c r="E8203" t="s">
        <v>731</v>
      </c>
    </row>
    <row r="8204" spans="1:5" hidden="1" x14ac:dyDescent="0.3">
      <c r="A8204" t="s">
        <v>557</v>
      </c>
      <c r="B8204" t="s">
        <v>731</v>
      </c>
      <c r="C8204" t="s">
        <v>362</v>
      </c>
      <c r="D8204" s="230">
        <v>0</v>
      </c>
      <c r="E8204" t="s">
        <v>731</v>
      </c>
    </row>
    <row r="8205" spans="1:5" hidden="1" x14ac:dyDescent="0.3">
      <c r="A8205" t="s">
        <v>557</v>
      </c>
      <c r="B8205" t="s">
        <v>731</v>
      </c>
      <c r="C8205" t="s">
        <v>363</v>
      </c>
      <c r="D8205" s="230">
        <v>0</v>
      </c>
      <c r="E8205" t="s">
        <v>731</v>
      </c>
    </row>
    <row r="8206" spans="1:5" hidden="1" x14ac:dyDescent="0.3">
      <c r="A8206" t="s">
        <v>557</v>
      </c>
      <c r="B8206" t="s">
        <v>731</v>
      </c>
      <c r="C8206" t="s">
        <v>364</v>
      </c>
      <c r="D8206" s="230">
        <v>0</v>
      </c>
      <c r="E8206" t="s">
        <v>731</v>
      </c>
    </row>
    <row r="8207" spans="1:5" hidden="1" x14ac:dyDescent="0.3">
      <c r="A8207" t="s">
        <v>557</v>
      </c>
      <c r="B8207" t="s">
        <v>731</v>
      </c>
      <c r="C8207" t="s">
        <v>365</v>
      </c>
      <c r="D8207" s="230">
        <v>0</v>
      </c>
      <c r="E8207" t="s">
        <v>731</v>
      </c>
    </row>
    <row r="8208" spans="1:5" hidden="1" x14ac:dyDescent="0.3">
      <c r="A8208" t="s">
        <v>557</v>
      </c>
      <c r="B8208" t="s">
        <v>731</v>
      </c>
      <c r="C8208" t="s">
        <v>366</v>
      </c>
      <c r="D8208" s="230">
        <v>0</v>
      </c>
      <c r="E8208" t="s">
        <v>731</v>
      </c>
    </row>
    <row r="8209" spans="1:5" hidden="1" x14ac:dyDescent="0.3">
      <c r="A8209" t="s">
        <v>557</v>
      </c>
      <c r="B8209" t="s">
        <v>731</v>
      </c>
      <c r="C8209" t="s">
        <v>367</v>
      </c>
      <c r="D8209" s="230">
        <v>0</v>
      </c>
      <c r="E8209" t="s">
        <v>731</v>
      </c>
    </row>
    <row r="8210" spans="1:5" hidden="1" x14ac:dyDescent="0.3">
      <c r="A8210" t="s">
        <v>557</v>
      </c>
      <c r="B8210" t="s">
        <v>731</v>
      </c>
      <c r="C8210" t="s">
        <v>368</v>
      </c>
      <c r="D8210" s="230">
        <v>0</v>
      </c>
      <c r="E8210" t="s">
        <v>731</v>
      </c>
    </row>
    <row r="8211" spans="1:5" hidden="1" x14ac:dyDescent="0.3">
      <c r="A8211" t="s">
        <v>557</v>
      </c>
      <c r="B8211" t="s">
        <v>731</v>
      </c>
      <c r="C8211" t="s">
        <v>369</v>
      </c>
      <c r="D8211" s="230">
        <v>0</v>
      </c>
      <c r="E8211" t="s">
        <v>731</v>
      </c>
    </row>
    <row r="8212" spans="1:5" hidden="1" x14ac:dyDescent="0.3">
      <c r="A8212" t="s">
        <v>557</v>
      </c>
      <c r="B8212" t="s">
        <v>731</v>
      </c>
      <c r="C8212" t="s">
        <v>370</v>
      </c>
      <c r="D8212" s="230">
        <v>0</v>
      </c>
      <c r="E8212" t="s">
        <v>731</v>
      </c>
    </row>
    <row r="8213" spans="1:5" hidden="1" x14ac:dyDescent="0.3">
      <c r="A8213" t="s">
        <v>557</v>
      </c>
      <c r="B8213" t="s">
        <v>731</v>
      </c>
      <c r="C8213" t="s">
        <v>371</v>
      </c>
      <c r="D8213" s="230">
        <v>0</v>
      </c>
      <c r="E8213" t="s">
        <v>731</v>
      </c>
    </row>
    <row r="8214" spans="1:5" hidden="1" x14ac:dyDescent="0.3">
      <c r="A8214" t="s">
        <v>557</v>
      </c>
      <c r="B8214" t="s">
        <v>731</v>
      </c>
      <c r="C8214" t="s">
        <v>372</v>
      </c>
      <c r="D8214" s="230">
        <v>0</v>
      </c>
      <c r="E8214" t="s">
        <v>731</v>
      </c>
    </row>
    <row r="8215" spans="1:5" hidden="1" x14ac:dyDescent="0.3">
      <c r="A8215" t="s">
        <v>557</v>
      </c>
      <c r="B8215" t="s">
        <v>731</v>
      </c>
      <c r="C8215" t="s">
        <v>373</v>
      </c>
      <c r="D8215" s="230">
        <v>-214367.2</v>
      </c>
      <c r="E8215" t="s">
        <v>731</v>
      </c>
    </row>
    <row r="8216" spans="1:5" hidden="1" x14ac:dyDescent="0.3">
      <c r="A8216" t="s">
        <v>557</v>
      </c>
      <c r="B8216" t="s">
        <v>731</v>
      </c>
      <c r="C8216" t="s">
        <v>374</v>
      </c>
      <c r="D8216" s="230">
        <v>-569905.4</v>
      </c>
      <c r="E8216" t="s">
        <v>731</v>
      </c>
    </row>
    <row r="8217" spans="1:5" hidden="1" x14ac:dyDescent="0.3">
      <c r="A8217" t="s">
        <v>557</v>
      </c>
      <c r="B8217" t="s">
        <v>731</v>
      </c>
      <c r="C8217" t="s">
        <v>708</v>
      </c>
      <c r="D8217" s="230">
        <v>0</v>
      </c>
      <c r="E8217" t="s">
        <v>731</v>
      </c>
    </row>
    <row r="8218" spans="1:5" hidden="1" x14ac:dyDescent="0.3">
      <c r="A8218" t="s">
        <v>557</v>
      </c>
      <c r="B8218" t="s">
        <v>732</v>
      </c>
      <c r="C8218" t="s">
        <v>11</v>
      </c>
      <c r="D8218" s="230">
        <v>304316.7</v>
      </c>
      <c r="E8218" t="s">
        <v>733</v>
      </c>
    </row>
    <row r="8219" spans="1:5" hidden="1" x14ac:dyDescent="0.3">
      <c r="A8219" t="s">
        <v>557</v>
      </c>
      <c r="B8219" t="s">
        <v>732</v>
      </c>
      <c r="C8219" t="s">
        <v>13</v>
      </c>
      <c r="D8219" s="230">
        <v>167488.9</v>
      </c>
      <c r="E8219" t="s">
        <v>733</v>
      </c>
    </row>
    <row r="8220" spans="1:5" hidden="1" x14ac:dyDescent="0.3">
      <c r="A8220" t="s">
        <v>557</v>
      </c>
      <c r="B8220" t="s">
        <v>732</v>
      </c>
      <c r="C8220" t="s">
        <v>16</v>
      </c>
      <c r="D8220" s="230">
        <v>83845.899999999994</v>
      </c>
      <c r="E8220" t="s">
        <v>733</v>
      </c>
    </row>
    <row r="8221" spans="1:5" hidden="1" x14ac:dyDescent="0.3">
      <c r="A8221" t="s">
        <v>557</v>
      </c>
      <c r="B8221" t="s">
        <v>732</v>
      </c>
      <c r="C8221" t="s">
        <v>17</v>
      </c>
      <c r="D8221" s="230">
        <v>4880</v>
      </c>
      <c r="E8221" t="s">
        <v>733</v>
      </c>
    </row>
    <row r="8222" spans="1:5" hidden="1" x14ac:dyDescent="0.3">
      <c r="A8222" t="s">
        <v>557</v>
      </c>
      <c r="B8222" t="s">
        <v>732</v>
      </c>
      <c r="C8222" t="s">
        <v>18</v>
      </c>
      <c r="D8222" s="230">
        <v>0</v>
      </c>
      <c r="E8222" t="s">
        <v>733</v>
      </c>
    </row>
    <row r="8223" spans="1:5" hidden="1" x14ac:dyDescent="0.3">
      <c r="A8223" t="s">
        <v>557</v>
      </c>
      <c r="B8223" t="s">
        <v>732</v>
      </c>
      <c r="C8223" t="s">
        <v>20</v>
      </c>
      <c r="D8223" s="230">
        <v>31299.13</v>
      </c>
      <c r="E8223" t="s">
        <v>733</v>
      </c>
    </row>
    <row r="8224" spans="1:5" hidden="1" x14ac:dyDescent="0.3">
      <c r="A8224" t="s">
        <v>557</v>
      </c>
      <c r="B8224" t="s">
        <v>732</v>
      </c>
      <c r="C8224" t="s">
        <v>23</v>
      </c>
      <c r="D8224" s="230">
        <v>3724.48</v>
      </c>
      <c r="E8224" t="s">
        <v>733</v>
      </c>
    </row>
    <row r="8225" spans="1:5" hidden="1" x14ac:dyDescent="0.3">
      <c r="A8225" t="s">
        <v>557</v>
      </c>
      <c r="B8225" t="s">
        <v>732</v>
      </c>
      <c r="C8225" t="s">
        <v>25</v>
      </c>
      <c r="D8225" s="230">
        <v>0</v>
      </c>
      <c r="E8225" t="s">
        <v>733</v>
      </c>
    </row>
    <row r="8226" spans="1:5" hidden="1" x14ac:dyDescent="0.3">
      <c r="A8226" t="s">
        <v>557</v>
      </c>
      <c r="B8226" t="s">
        <v>732</v>
      </c>
      <c r="C8226" t="s">
        <v>26</v>
      </c>
      <c r="D8226" s="230">
        <v>6800</v>
      </c>
      <c r="E8226" t="s">
        <v>733</v>
      </c>
    </row>
    <row r="8227" spans="1:5" hidden="1" x14ac:dyDescent="0.3">
      <c r="A8227" t="s">
        <v>557</v>
      </c>
      <c r="B8227" t="s">
        <v>732</v>
      </c>
      <c r="C8227" t="s">
        <v>27</v>
      </c>
      <c r="D8227" s="230">
        <v>0</v>
      </c>
      <c r="E8227" t="s">
        <v>733</v>
      </c>
    </row>
    <row r="8228" spans="1:5" hidden="1" x14ac:dyDescent="0.3">
      <c r="A8228" t="s">
        <v>557</v>
      </c>
      <c r="B8228" t="s">
        <v>732</v>
      </c>
      <c r="C8228" t="s">
        <v>29</v>
      </c>
      <c r="D8228" s="230">
        <v>5819.29</v>
      </c>
      <c r="E8228" t="s">
        <v>733</v>
      </c>
    </row>
    <row r="8229" spans="1:5" hidden="1" x14ac:dyDescent="0.3">
      <c r="A8229" t="s">
        <v>557</v>
      </c>
      <c r="B8229" t="s">
        <v>732</v>
      </c>
      <c r="C8229" t="s">
        <v>31</v>
      </c>
      <c r="D8229" s="230">
        <v>459</v>
      </c>
      <c r="E8229" t="s">
        <v>733</v>
      </c>
    </row>
    <row r="8230" spans="1:5" hidden="1" x14ac:dyDescent="0.3">
      <c r="A8230" t="s">
        <v>557</v>
      </c>
      <c r="B8230" t="s">
        <v>732</v>
      </c>
      <c r="C8230" t="s">
        <v>34</v>
      </c>
      <c r="D8230" s="230">
        <v>-11941.43</v>
      </c>
      <c r="E8230" t="s">
        <v>733</v>
      </c>
    </row>
    <row r="8231" spans="1:5" hidden="1" x14ac:dyDescent="0.3">
      <c r="A8231" t="s">
        <v>557</v>
      </c>
      <c r="B8231" t="s">
        <v>732</v>
      </c>
      <c r="C8231" t="s">
        <v>38</v>
      </c>
      <c r="D8231" s="230">
        <v>-3839.85</v>
      </c>
      <c r="E8231" t="s">
        <v>733</v>
      </c>
    </row>
    <row r="8232" spans="1:5" hidden="1" x14ac:dyDescent="0.3">
      <c r="A8232" t="s">
        <v>557</v>
      </c>
      <c r="B8232" t="s">
        <v>732</v>
      </c>
      <c r="C8232" t="s">
        <v>40</v>
      </c>
      <c r="D8232" s="230">
        <v>-7399.1</v>
      </c>
      <c r="E8232" t="s">
        <v>733</v>
      </c>
    </row>
    <row r="8233" spans="1:5" hidden="1" x14ac:dyDescent="0.3">
      <c r="A8233" t="s">
        <v>557</v>
      </c>
      <c r="B8233" t="s">
        <v>732</v>
      </c>
      <c r="C8233" t="s">
        <v>42</v>
      </c>
      <c r="D8233" s="230">
        <v>-702.48</v>
      </c>
      <c r="E8233" t="s">
        <v>733</v>
      </c>
    </row>
    <row r="8234" spans="1:5" hidden="1" x14ac:dyDescent="0.3">
      <c r="A8234" t="s">
        <v>557</v>
      </c>
      <c r="B8234" t="s">
        <v>732</v>
      </c>
      <c r="C8234" t="s">
        <v>44</v>
      </c>
      <c r="D8234" s="230">
        <v>-0.04</v>
      </c>
      <c r="E8234" t="s">
        <v>733</v>
      </c>
    </row>
    <row r="8235" spans="1:5" hidden="1" x14ac:dyDescent="0.3">
      <c r="A8235" t="s">
        <v>557</v>
      </c>
      <c r="B8235" t="s">
        <v>732</v>
      </c>
      <c r="C8235" t="s">
        <v>45</v>
      </c>
      <c r="D8235" s="230">
        <v>-21310.9</v>
      </c>
      <c r="E8235" t="s">
        <v>733</v>
      </c>
    </row>
    <row r="8236" spans="1:5" hidden="1" x14ac:dyDescent="0.3">
      <c r="A8236" t="s">
        <v>557</v>
      </c>
      <c r="B8236" t="s">
        <v>732</v>
      </c>
      <c r="C8236" t="s">
        <v>46</v>
      </c>
      <c r="D8236" s="230">
        <v>-10535.75</v>
      </c>
      <c r="E8236" t="s">
        <v>733</v>
      </c>
    </row>
    <row r="8237" spans="1:5" hidden="1" x14ac:dyDescent="0.3">
      <c r="A8237" t="s">
        <v>557</v>
      </c>
      <c r="B8237" t="s">
        <v>732</v>
      </c>
      <c r="C8237" t="s">
        <v>48</v>
      </c>
      <c r="D8237" s="230">
        <v>-10435.14</v>
      </c>
      <c r="E8237" t="s">
        <v>733</v>
      </c>
    </row>
    <row r="8238" spans="1:5" hidden="1" x14ac:dyDescent="0.3">
      <c r="A8238" t="s">
        <v>557</v>
      </c>
      <c r="B8238" t="s">
        <v>732</v>
      </c>
      <c r="C8238" t="s">
        <v>49</v>
      </c>
      <c r="D8238" s="230">
        <v>-340</v>
      </c>
      <c r="E8238" t="s">
        <v>733</v>
      </c>
    </row>
    <row r="8239" spans="1:5" hidden="1" x14ac:dyDescent="0.3">
      <c r="A8239" t="s">
        <v>557</v>
      </c>
      <c r="B8239" t="s">
        <v>732</v>
      </c>
      <c r="C8239" t="s">
        <v>50</v>
      </c>
      <c r="D8239" s="230">
        <v>271064.38</v>
      </c>
      <c r="E8239" t="s">
        <v>733</v>
      </c>
    </row>
    <row r="8240" spans="1:5" hidden="1" x14ac:dyDescent="0.3">
      <c r="A8240" t="s">
        <v>557</v>
      </c>
      <c r="B8240" t="s">
        <v>732</v>
      </c>
      <c r="C8240" t="s">
        <v>51</v>
      </c>
      <c r="D8240" s="230">
        <v>-93023.09</v>
      </c>
      <c r="E8240" t="s">
        <v>733</v>
      </c>
    </row>
    <row r="8241" spans="1:5" hidden="1" x14ac:dyDescent="0.3">
      <c r="A8241" t="s">
        <v>557</v>
      </c>
      <c r="B8241" t="s">
        <v>732</v>
      </c>
      <c r="C8241" t="s">
        <v>52</v>
      </c>
      <c r="D8241" s="230">
        <v>-72920.59</v>
      </c>
      <c r="E8241" t="s">
        <v>733</v>
      </c>
    </row>
    <row r="8242" spans="1:5" hidden="1" x14ac:dyDescent="0.3">
      <c r="A8242" t="s">
        <v>557</v>
      </c>
      <c r="B8242" t="s">
        <v>732</v>
      </c>
      <c r="C8242" t="s">
        <v>53</v>
      </c>
      <c r="D8242" s="230">
        <v>-18043.240000000002</v>
      </c>
      <c r="E8242" t="s">
        <v>733</v>
      </c>
    </row>
    <row r="8243" spans="1:5" hidden="1" x14ac:dyDescent="0.3">
      <c r="A8243" t="s">
        <v>557</v>
      </c>
      <c r="B8243" t="s">
        <v>732</v>
      </c>
      <c r="C8243" t="s">
        <v>54</v>
      </c>
      <c r="D8243" s="230">
        <v>-2059.2600000000002</v>
      </c>
      <c r="E8243" t="s">
        <v>733</v>
      </c>
    </row>
    <row r="8244" spans="1:5" hidden="1" x14ac:dyDescent="0.3">
      <c r="A8244" t="s">
        <v>557</v>
      </c>
      <c r="B8244" t="s">
        <v>732</v>
      </c>
      <c r="C8244" t="s">
        <v>23</v>
      </c>
      <c r="D8244" s="230">
        <v>0</v>
      </c>
      <c r="E8244" t="s">
        <v>733</v>
      </c>
    </row>
    <row r="8245" spans="1:5" hidden="1" x14ac:dyDescent="0.3">
      <c r="A8245" t="s">
        <v>557</v>
      </c>
      <c r="B8245" t="s">
        <v>732</v>
      </c>
      <c r="C8245" t="s">
        <v>44</v>
      </c>
      <c r="D8245" s="230">
        <v>-0.36</v>
      </c>
      <c r="E8245" t="s">
        <v>733</v>
      </c>
    </row>
    <row r="8246" spans="1:5" hidden="1" x14ac:dyDescent="0.3">
      <c r="A8246" t="s">
        <v>557</v>
      </c>
      <c r="B8246" t="s">
        <v>732</v>
      </c>
      <c r="C8246" t="s">
        <v>55</v>
      </c>
      <c r="D8246" s="230">
        <v>-0.34</v>
      </c>
      <c r="E8246" t="s">
        <v>733</v>
      </c>
    </row>
    <row r="8247" spans="1:5" hidden="1" x14ac:dyDescent="0.3">
      <c r="A8247" t="s">
        <v>557</v>
      </c>
      <c r="B8247" t="s">
        <v>732</v>
      </c>
      <c r="C8247" t="s">
        <v>56</v>
      </c>
      <c r="D8247" s="230">
        <v>-8697.94</v>
      </c>
      <c r="E8247" t="s">
        <v>733</v>
      </c>
    </row>
    <row r="8248" spans="1:5" hidden="1" x14ac:dyDescent="0.3">
      <c r="A8248" t="s">
        <v>557</v>
      </c>
      <c r="B8248" t="s">
        <v>732</v>
      </c>
      <c r="C8248" t="s">
        <v>57</v>
      </c>
      <c r="D8248" s="230">
        <v>-6864.27</v>
      </c>
      <c r="E8248" t="s">
        <v>733</v>
      </c>
    </row>
    <row r="8249" spans="1:5" hidden="1" x14ac:dyDescent="0.3">
      <c r="A8249" t="s">
        <v>557</v>
      </c>
      <c r="B8249" t="s">
        <v>732</v>
      </c>
      <c r="C8249" t="s">
        <v>58</v>
      </c>
      <c r="D8249" s="230">
        <v>-6450</v>
      </c>
      <c r="E8249" t="s">
        <v>733</v>
      </c>
    </row>
    <row r="8250" spans="1:5" hidden="1" x14ac:dyDescent="0.3">
      <c r="A8250" t="s">
        <v>557</v>
      </c>
      <c r="B8250" t="s">
        <v>732</v>
      </c>
      <c r="C8250" t="s">
        <v>59</v>
      </c>
      <c r="D8250" s="230">
        <v>-414.27</v>
      </c>
      <c r="E8250" t="s">
        <v>733</v>
      </c>
    </row>
    <row r="8251" spans="1:5" hidden="1" x14ac:dyDescent="0.3">
      <c r="A8251" t="s">
        <v>557</v>
      </c>
      <c r="B8251" t="s">
        <v>732</v>
      </c>
      <c r="C8251" t="s">
        <v>61</v>
      </c>
      <c r="D8251" s="230">
        <v>0</v>
      </c>
      <c r="E8251" t="s">
        <v>733</v>
      </c>
    </row>
    <row r="8252" spans="1:5" hidden="1" x14ac:dyDescent="0.3">
      <c r="A8252" t="s">
        <v>557</v>
      </c>
      <c r="B8252" t="s">
        <v>732</v>
      </c>
      <c r="C8252" t="s">
        <v>62</v>
      </c>
      <c r="D8252" s="230">
        <v>0</v>
      </c>
      <c r="E8252" t="s">
        <v>733</v>
      </c>
    </row>
    <row r="8253" spans="1:5" hidden="1" x14ac:dyDescent="0.3">
      <c r="A8253" t="s">
        <v>557</v>
      </c>
      <c r="B8253" t="s">
        <v>732</v>
      </c>
      <c r="C8253" t="s">
        <v>64</v>
      </c>
      <c r="D8253" s="230">
        <v>0</v>
      </c>
      <c r="E8253" t="s">
        <v>733</v>
      </c>
    </row>
    <row r="8254" spans="1:5" hidden="1" x14ac:dyDescent="0.3">
      <c r="A8254" t="s">
        <v>557</v>
      </c>
      <c r="B8254" t="s">
        <v>732</v>
      </c>
      <c r="C8254" t="s">
        <v>65</v>
      </c>
      <c r="D8254" s="230">
        <v>-1833.67</v>
      </c>
      <c r="E8254" t="s">
        <v>733</v>
      </c>
    </row>
    <row r="8255" spans="1:5" hidden="1" x14ac:dyDescent="0.3">
      <c r="A8255" t="s">
        <v>557</v>
      </c>
      <c r="B8255" t="s">
        <v>732</v>
      </c>
      <c r="C8255" t="s">
        <v>66</v>
      </c>
      <c r="D8255" s="230">
        <v>-1833.67</v>
      </c>
      <c r="E8255" t="s">
        <v>733</v>
      </c>
    </row>
    <row r="8256" spans="1:5" hidden="1" x14ac:dyDescent="0.3">
      <c r="A8256" t="s">
        <v>557</v>
      </c>
      <c r="B8256" t="s">
        <v>732</v>
      </c>
      <c r="C8256" t="s">
        <v>68</v>
      </c>
      <c r="D8256" s="230">
        <v>0</v>
      </c>
      <c r="E8256" t="s">
        <v>733</v>
      </c>
    </row>
    <row r="8257" spans="1:5" hidden="1" x14ac:dyDescent="0.3">
      <c r="A8257" t="s">
        <v>557</v>
      </c>
      <c r="B8257" t="s">
        <v>732</v>
      </c>
      <c r="C8257" t="s">
        <v>69</v>
      </c>
      <c r="D8257" s="230">
        <v>0</v>
      </c>
      <c r="E8257" t="s">
        <v>733</v>
      </c>
    </row>
    <row r="8258" spans="1:5" hidden="1" x14ac:dyDescent="0.3">
      <c r="A8258" t="s">
        <v>557</v>
      </c>
      <c r="B8258" t="s">
        <v>732</v>
      </c>
      <c r="C8258" t="s">
        <v>70</v>
      </c>
      <c r="D8258" s="230">
        <v>-1.78</v>
      </c>
      <c r="E8258" t="s">
        <v>733</v>
      </c>
    </row>
    <row r="8259" spans="1:5" hidden="1" x14ac:dyDescent="0.3">
      <c r="A8259" t="s">
        <v>557</v>
      </c>
      <c r="B8259" t="s">
        <v>732</v>
      </c>
      <c r="C8259" t="s">
        <v>44</v>
      </c>
      <c r="D8259" s="230">
        <v>-0.03</v>
      </c>
      <c r="E8259" t="s">
        <v>733</v>
      </c>
    </row>
    <row r="8260" spans="1:5" hidden="1" x14ac:dyDescent="0.3">
      <c r="A8260" t="s">
        <v>557</v>
      </c>
      <c r="B8260" t="s">
        <v>732</v>
      </c>
      <c r="C8260" t="s">
        <v>71</v>
      </c>
      <c r="D8260" s="230">
        <v>-3783.41</v>
      </c>
      <c r="E8260" t="s">
        <v>733</v>
      </c>
    </row>
    <row r="8261" spans="1:5" hidden="1" x14ac:dyDescent="0.3">
      <c r="A8261" t="s">
        <v>557</v>
      </c>
      <c r="B8261" t="s">
        <v>732</v>
      </c>
      <c r="C8261" t="s">
        <v>72</v>
      </c>
      <c r="D8261" s="230">
        <v>-3783.41</v>
      </c>
      <c r="E8261" t="s">
        <v>733</v>
      </c>
    </row>
    <row r="8262" spans="1:5" hidden="1" x14ac:dyDescent="0.3">
      <c r="A8262" t="s">
        <v>557</v>
      </c>
      <c r="B8262" t="s">
        <v>732</v>
      </c>
      <c r="C8262" t="s">
        <v>73</v>
      </c>
      <c r="D8262" s="230">
        <v>-3500</v>
      </c>
      <c r="E8262" t="s">
        <v>733</v>
      </c>
    </row>
    <row r="8263" spans="1:5" hidden="1" x14ac:dyDescent="0.3">
      <c r="A8263" t="s">
        <v>557</v>
      </c>
      <c r="B8263" t="s">
        <v>732</v>
      </c>
      <c r="C8263" t="s">
        <v>75</v>
      </c>
      <c r="D8263" s="230">
        <v>-283.41000000000003</v>
      </c>
      <c r="E8263" t="s">
        <v>733</v>
      </c>
    </row>
    <row r="8264" spans="1:5" hidden="1" x14ac:dyDescent="0.3">
      <c r="A8264" t="s">
        <v>557</v>
      </c>
      <c r="B8264" t="s">
        <v>732</v>
      </c>
      <c r="C8264" t="s">
        <v>77</v>
      </c>
      <c r="D8264" s="230">
        <v>0</v>
      </c>
      <c r="E8264" t="s">
        <v>733</v>
      </c>
    </row>
    <row r="8265" spans="1:5" hidden="1" x14ac:dyDescent="0.3">
      <c r="A8265" t="s">
        <v>557</v>
      </c>
      <c r="B8265" t="s">
        <v>732</v>
      </c>
      <c r="C8265" t="s">
        <v>78</v>
      </c>
      <c r="D8265" s="230">
        <v>0</v>
      </c>
      <c r="E8265" t="s">
        <v>733</v>
      </c>
    </row>
    <row r="8266" spans="1:5" hidden="1" x14ac:dyDescent="0.3">
      <c r="A8266" t="s">
        <v>557</v>
      </c>
      <c r="B8266" t="s">
        <v>732</v>
      </c>
      <c r="C8266" t="s">
        <v>80</v>
      </c>
      <c r="D8266" s="230">
        <v>0</v>
      </c>
      <c r="E8266" t="s">
        <v>733</v>
      </c>
    </row>
    <row r="8267" spans="1:5" hidden="1" x14ac:dyDescent="0.3">
      <c r="A8267" t="s">
        <v>557</v>
      </c>
      <c r="B8267" t="s">
        <v>732</v>
      </c>
      <c r="C8267" t="s">
        <v>82</v>
      </c>
      <c r="D8267" s="230">
        <v>0</v>
      </c>
      <c r="E8267" t="s">
        <v>733</v>
      </c>
    </row>
    <row r="8268" spans="1:5" hidden="1" x14ac:dyDescent="0.3">
      <c r="A8268" t="s">
        <v>557</v>
      </c>
      <c r="B8268" t="s">
        <v>732</v>
      </c>
      <c r="C8268" t="s">
        <v>84</v>
      </c>
      <c r="D8268" s="230">
        <v>0</v>
      </c>
      <c r="E8268" t="s">
        <v>733</v>
      </c>
    </row>
    <row r="8269" spans="1:5" hidden="1" x14ac:dyDescent="0.3">
      <c r="A8269" t="s">
        <v>557</v>
      </c>
      <c r="B8269" t="s">
        <v>732</v>
      </c>
      <c r="C8269" t="s">
        <v>85</v>
      </c>
      <c r="D8269" s="230">
        <v>0</v>
      </c>
      <c r="E8269" t="s">
        <v>733</v>
      </c>
    </row>
    <row r="8270" spans="1:5" hidden="1" x14ac:dyDescent="0.3">
      <c r="A8270" t="s">
        <v>557</v>
      </c>
      <c r="B8270" t="s">
        <v>732</v>
      </c>
      <c r="C8270" t="s">
        <v>86</v>
      </c>
      <c r="D8270" s="230">
        <v>0</v>
      </c>
      <c r="E8270" t="s">
        <v>733</v>
      </c>
    </row>
    <row r="8271" spans="1:5" hidden="1" x14ac:dyDescent="0.3">
      <c r="A8271" t="s">
        <v>557</v>
      </c>
      <c r="B8271" t="s">
        <v>732</v>
      </c>
      <c r="C8271" t="s">
        <v>87</v>
      </c>
      <c r="D8271" s="230">
        <v>0</v>
      </c>
      <c r="E8271" t="s">
        <v>733</v>
      </c>
    </row>
    <row r="8272" spans="1:5" hidden="1" x14ac:dyDescent="0.3">
      <c r="A8272" t="s">
        <v>557</v>
      </c>
      <c r="B8272" t="s">
        <v>732</v>
      </c>
      <c r="C8272" t="s">
        <v>88</v>
      </c>
      <c r="D8272" s="230">
        <v>0</v>
      </c>
      <c r="E8272" t="s">
        <v>733</v>
      </c>
    </row>
    <row r="8273" spans="1:5" hidden="1" x14ac:dyDescent="0.3">
      <c r="A8273" t="s">
        <v>557</v>
      </c>
      <c r="B8273" t="s">
        <v>732</v>
      </c>
      <c r="C8273" t="s">
        <v>89</v>
      </c>
      <c r="D8273" s="230">
        <v>0</v>
      </c>
      <c r="E8273" t="s">
        <v>733</v>
      </c>
    </row>
    <row r="8274" spans="1:5" hidden="1" x14ac:dyDescent="0.3">
      <c r="A8274" t="s">
        <v>557</v>
      </c>
      <c r="B8274" t="s">
        <v>732</v>
      </c>
      <c r="C8274" t="s">
        <v>90</v>
      </c>
      <c r="D8274" s="230">
        <v>0</v>
      </c>
      <c r="E8274" t="s">
        <v>733</v>
      </c>
    </row>
    <row r="8275" spans="1:5" hidden="1" x14ac:dyDescent="0.3">
      <c r="A8275" t="s">
        <v>557</v>
      </c>
      <c r="B8275" t="s">
        <v>732</v>
      </c>
      <c r="C8275" t="s">
        <v>91</v>
      </c>
      <c r="D8275" s="230">
        <v>0</v>
      </c>
      <c r="E8275" t="s">
        <v>733</v>
      </c>
    </row>
    <row r="8276" spans="1:5" hidden="1" x14ac:dyDescent="0.3">
      <c r="A8276" t="s">
        <v>557</v>
      </c>
      <c r="B8276" t="s">
        <v>732</v>
      </c>
      <c r="C8276" t="s">
        <v>93</v>
      </c>
      <c r="D8276" s="230">
        <v>0</v>
      </c>
      <c r="E8276" t="s">
        <v>733</v>
      </c>
    </row>
    <row r="8277" spans="1:5" hidden="1" x14ac:dyDescent="0.3">
      <c r="A8277" t="s">
        <v>557</v>
      </c>
      <c r="B8277" t="s">
        <v>732</v>
      </c>
      <c r="C8277" t="s">
        <v>95</v>
      </c>
      <c r="D8277" s="230">
        <v>0</v>
      </c>
      <c r="E8277" t="s">
        <v>733</v>
      </c>
    </row>
    <row r="8278" spans="1:5" hidden="1" x14ac:dyDescent="0.3">
      <c r="A8278" t="s">
        <v>557</v>
      </c>
      <c r="B8278" t="s">
        <v>732</v>
      </c>
      <c r="C8278" t="s">
        <v>96</v>
      </c>
      <c r="D8278" s="230">
        <v>0</v>
      </c>
      <c r="E8278" t="s">
        <v>733</v>
      </c>
    </row>
    <row r="8279" spans="1:5" hidden="1" x14ac:dyDescent="0.3">
      <c r="A8279" t="s">
        <v>557</v>
      </c>
      <c r="B8279" t="s">
        <v>732</v>
      </c>
      <c r="C8279" t="s">
        <v>98</v>
      </c>
      <c r="D8279" s="230">
        <v>0</v>
      </c>
      <c r="E8279" t="s">
        <v>733</v>
      </c>
    </row>
    <row r="8280" spans="1:5" hidden="1" x14ac:dyDescent="0.3">
      <c r="A8280" t="s">
        <v>557</v>
      </c>
      <c r="B8280" t="s">
        <v>732</v>
      </c>
      <c r="C8280" t="s">
        <v>100</v>
      </c>
      <c r="D8280" s="230">
        <v>0</v>
      </c>
      <c r="E8280" t="s">
        <v>733</v>
      </c>
    </row>
    <row r="8281" spans="1:5" hidden="1" x14ac:dyDescent="0.3">
      <c r="A8281" t="s">
        <v>557</v>
      </c>
      <c r="B8281" t="s">
        <v>732</v>
      </c>
      <c r="C8281" t="s">
        <v>101</v>
      </c>
      <c r="D8281" s="230">
        <v>0</v>
      </c>
      <c r="E8281" t="s">
        <v>733</v>
      </c>
    </row>
    <row r="8282" spans="1:5" hidden="1" x14ac:dyDescent="0.3">
      <c r="A8282" t="s">
        <v>557</v>
      </c>
      <c r="B8282" t="s">
        <v>732</v>
      </c>
      <c r="C8282" t="s">
        <v>102</v>
      </c>
      <c r="D8282" s="230">
        <v>0</v>
      </c>
      <c r="E8282" t="s">
        <v>733</v>
      </c>
    </row>
    <row r="8283" spans="1:5" hidden="1" x14ac:dyDescent="0.3">
      <c r="A8283" t="s">
        <v>557</v>
      </c>
      <c r="B8283" t="s">
        <v>732</v>
      </c>
      <c r="C8283" t="s">
        <v>103</v>
      </c>
      <c r="D8283" s="230">
        <v>0</v>
      </c>
      <c r="E8283" t="s">
        <v>733</v>
      </c>
    </row>
    <row r="8284" spans="1:5" hidden="1" x14ac:dyDescent="0.3">
      <c r="A8284" t="s">
        <v>557</v>
      </c>
      <c r="B8284" t="s">
        <v>732</v>
      </c>
      <c r="C8284" t="s">
        <v>104</v>
      </c>
      <c r="D8284" s="230">
        <v>0</v>
      </c>
      <c r="E8284" t="s">
        <v>733</v>
      </c>
    </row>
    <row r="8285" spans="1:5" hidden="1" x14ac:dyDescent="0.3">
      <c r="A8285" t="s">
        <v>557</v>
      </c>
      <c r="B8285" t="s">
        <v>732</v>
      </c>
      <c r="C8285" t="s">
        <v>105</v>
      </c>
      <c r="D8285" s="230">
        <v>0</v>
      </c>
      <c r="E8285" t="s">
        <v>733</v>
      </c>
    </row>
    <row r="8286" spans="1:5" hidden="1" x14ac:dyDescent="0.3">
      <c r="A8286" t="s">
        <v>557</v>
      </c>
      <c r="B8286" t="s">
        <v>732</v>
      </c>
      <c r="C8286" t="s">
        <v>107</v>
      </c>
      <c r="D8286" s="230">
        <v>0</v>
      </c>
      <c r="E8286" t="s">
        <v>733</v>
      </c>
    </row>
    <row r="8287" spans="1:5" hidden="1" x14ac:dyDescent="0.3">
      <c r="A8287" t="s">
        <v>557</v>
      </c>
      <c r="B8287" t="s">
        <v>732</v>
      </c>
      <c r="C8287" t="s">
        <v>108</v>
      </c>
      <c r="D8287" s="230">
        <v>0</v>
      </c>
      <c r="E8287" t="s">
        <v>733</v>
      </c>
    </row>
    <row r="8288" spans="1:5" hidden="1" x14ac:dyDescent="0.3">
      <c r="A8288" t="s">
        <v>557</v>
      </c>
      <c r="B8288" t="s">
        <v>732</v>
      </c>
      <c r="C8288" t="s">
        <v>109</v>
      </c>
      <c r="D8288" s="230">
        <v>0</v>
      </c>
      <c r="E8288" t="s">
        <v>733</v>
      </c>
    </row>
    <row r="8289" spans="1:5" hidden="1" x14ac:dyDescent="0.3">
      <c r="A8289" t="s">
        <v>557</v>
      </c>
      <c r="B8289" t="s">
        <v>732</v>
      </c>
      <c r="C8289" t="s">
        <v>110</v>
      </c>
      <c r="D8289" s="230">
        <v>-0.36</v>
      </c>
      <c r="E8289" t="s">
        <v>733</v>
      </c>
    </row>
    <row r="8290" spans="1:5" hidden="1" x14ac:dyDescent="0.3">
      <c r="A8290" t="s">
        <v>557</v>
      </c>
      <c r="B8290" t="s">
        <v>732</v>
      </c>
      <c r="C8290" t="s">
        <v>44</v>
      </c>
      <c r="D8290" s="230">
        <v>-0.01</v>
      </c>
      <c r="E8290" t="s">
        <v>733</v>
      </c>
    </row>
    <row r="8291" spans="1:5" hidden="1" x14ac:dyDescent="0.3">
      <c r="A8291" t="s">
        <v>557</v>
      </c>
      <c r="B8291" t="s">
        <v>732</v>
      </c>
      <c r="C8291" t="s">
        <v>111</v>
      </c>
      <c r="D8291" s="230">
        <v>-20290</v>
      </c>
      <c r="E8291" t="s">
        <v>733</v>
      </c>
    </row>
    <row r="8292" spans="1:5" hidden="1" x14ac:dyDescent="0.3">
      <c r="A8292" t="s">
        <v>557</v>
      </c>
      <c r="B8292" t="s">
        <v>732</v>
      </c>
      <c r="C8292" t="s">
        <v>608</v>
      </c>
      <c r="D8292" s="230">
        <v>-20290</v>
      </c>
      <c r="E8292" t="s">
        <v>733</v>
      </c>
    </row>
    <row r="8293" spans="1:5" hidden="1" x14ac:dyDescent="0.3">
      <c r="A8293" t="s">
        <v>557</v>
      </c>
      <c r="B8293" t="s">
        <v>732</v>
      </c>
      <c r="C8293" t="s">
        <v>44</v>
      </c>
      <c r="D8293" s="230">
        <v>-7.0000000000000007E-2</v>
      </c>
      <c r="E8293" t="s">
        <v>733</v>
      </c>
    </row>
    <row r="8294" spans="1:5" hidden="1" x14ac:dyDescent="0.3">
      <c r="A8294" t="s">
        <v>557</v>
      </c>
      <c r="B8294" t="s">
        <v>732</v>
      </c>
      <c r="C8294" t="s">
        <v>115</v>
      </c>
      <c r="D8294" s="230">
        <v>-4410.59</v>
      </c>
      <c r="E8294" t="s">
        <v>733</v>
      </c>
    </row>
    <row r="8295" spans="1:5" hidden="1" x14ac:dyDescent="0.3">
      <c r="A8295" t="s">
        <v>557</v>
      </c>
      <c r="B8295" t="s">
        <v>732</v>
      </c>
      <c r="C8295" t="s">
        <v>116</v>
      </c>
      <c r="D8295" s="230">
        <v>-3639.37</v>
      </c>
      <c r="E8295" t="s">
        <v>733</v>
      </c>
    </row>
    <row r="8296" spans="1:5" hidden="1" x14ac:dyDescent="0.3">
      <c r="A8296" t="s">
        <v>557</v>
      </c>
      <c r="B8296" t="s">
        <v>732</v>
      </c>
      <c r="C8296" t="s">
        <v>118</v>
      </c>
      <c r="D8296" s="230">
        <v>-738.72</v>
      </c>
      <c r="E8296" t="s">
        <v>733</v>
      </c>
    </row>
    <row r="8297" spans="1:5" hidden="1" x14ac:dyDescent="0.3">
      <c r="A8297" t="s">
        <v>557</v>
      </c>
      <c r="B8297" t="s">
        <v>732</v>
      </c>
      <c r="C8297" t="s">
        <v>120</v>
      </c>
      <c r="D8297" s="230">
        <v>0</v>
      </c>
      <c r="E8297" t="s">
        <v>733</v>
      </c>
    </row>
    <row r="8298" spans="1:5" hidden="1" x14ac:dyDescent="0.3">
      <c r="A8298" t="s">
        <v>557</v>
      </c>
      <c r="B8298" t="s">
        <v>732</v>
      </c>
      <c r="C8298" t="s">
        <v>122</v>
      </c>
      <c r="D8298" s="230">
        <v>-32.5</v>
      </c>
      <c r="E8298" t="s">
        <v>733</v>
      </c>
    </row>
    <row r="8299" spans="1:5" hidden="1" x14ac:dyDescent="0.3">
      <c r="A8299" t="s">
        <v>557</v>
      </c>
      <c r="B8299" t="s">
        <v>732</v>
      </c>
      <c r="C8299" t="s">
        <v>44</v>
      </c>
      <c r="D8299" s="230">
        <v>-0.01</v>
      </c>
      <c r="E8299" t="s">
        <v>733</v>
      </c>
    </row>
    <row r="8300" spans="1:5" hidden="1" x14ac:dyDescent="0.3">
      <c r="A8300" t="s">
        <v>557</v>
      </c>
      <c r="B8300" t="s">
        <v>732</v>
      </c>
      <c r="C8300" t="s">
        <v>126</v>
      </c>
      <c r="D8300" s="230">
        <v>140859.35</v>
      </c>
      <c r="E8300" t="s">
        <v>733</v>
      </c>
    </row>
    <row r="8301" spans="1:5" hidden="1" x14ac:dyDescent="0.3">
      <c r="A8301" t="s">
        <v>557</v>
      </c>
      <c r="B8301" t="s">
        <v>732</v>
      </c>
      <c r="C8301" t="s">
        <v>127</v>
      </c>
      <c r="D8301" s="230">
        <v>0.46</v>
      </c>
      <c r="E8301" t="s">
        <v>733</v>
      </c>
    </row>
    <row r="8302" spans="1:5" hidden="1" x14ac:dyDescent="0.3">
      <c r="A8302" t="s">
        <v>557</v>
      </c>
      <c r="B8302" t="s">
        <v>732</v>
      </c>
      <c r="C8302" t="s">
        <v>128</v>
      </c>
      <c r="D8302" s="230">
        <v>-115830.62</v>
      </c>
      <c r="E8302" t="s">
        <v>733</v>
      </c>
    </row>
    <row r="8303" spans="1:5" hidden="1" x14ac:dyDescent="0.3">
      <c r="A8303" t="s">
        <v>557</v>
      </c>
      <c r="B8303" t="s">
        <v>732</v>
      </c>
      <c r="C8303" t="s">
        <v>129</v>
      </c>
      <c r="D8303" s="230">
        <v>-33836.33</v>
      </c>
      <c r="E8303" t="s">
        <v>733</v>
      </c>
    </row>
    <row r="8304" spans="1:5" hidden="1" x14ac:dyDescent="0.3">
      <c r="A8304" t="s">
        <v>557</v>
      </c>
      <c r="B8304" t="s">
        <v>732</v>
      </c>
      <c r="C8304" t="s">
        <v>609</v>
      </c>
      <c r="D8304" s="230">
        <v>-3350</v>
      </c>
      <c r="E8304" t="s">
        <v>733</v>
      </c>
    </row>
    <row r="8305" spans="1:5" hidden="1" x14ac:dyDescent="0.3">
      <c r="A8305" t="s">
        <v>557</v>
      </c>
      <c r="B8305" t="s">
        <v>732</v>
      </c>
      <c r="C8305" t="s">
        <v>610</v>
      </c>
      <c r="D8305" s="230">
        <v>-21600</v>
      </c>
      <c r="E8305" t="s">
        <v>733</v>
      </c>
    </row>
    <row r="8306" spans="1:5" hidden="1" x14ac:dyDescent="0.3">
      <c r="A8306" t="s">
        <v>557</v>
      </c>
      <c r="B8306" t="s">
        <v>732</v>
      </c>
      <c r="C8306" t="s">
        <v>611</v>
      </c>
      <c r="D8306" s="230">
        <v>0</v>
      </c>
      <c r="E8306" t="s">
        <v>733</v>
      </c>
    </row>
    <row r="8307" spans="1:5" hidden="1" x14ac:dyDescent="0.3">
      <c r="A8307" t="s">
        <v>557</v>
      </c>
      <c r="B8307" t="s">
        <v>732</v>
      </c>
      <c r="C8307" t="s">
        <v>612</v>
      </c>
      <c r="D8307" s="230">
        <v>0</v>
      </c>
      <c r="E8307" t="s">
        <v>733</v>
      </c>
    </row>
    <row r="8308" spans="1:5" hidden="1" x14ac:dyDescent="0.3">
      <c r="A8308" t="s">
        <v>557</v>
      </c>
      <c r="B8308" t="s">
        <v>732</v>
      </c>
      <c r="C8308" t="s">
        <v>613</v>
      </c>
      <c r="D8308" s="230">
        <v>-1200</v>
      </c>
      <c r="E8308" t="s">
        <v>733</v>
      </c>
    </row>
    <row r="8309" spans="1:5" hidden="1" x14ac:dyDescent="0.3">
      <c r="A8309" t="s">
        <v>557</v>
      </c>
      <c r="B8309" t="s">
        <v>732</v>
      </c>
      <c r="C8309" t="s">
        <v>614</v>
      </c>
      <c r="D8309" s="230">
        <v>-3686.33</v>
      </c>
      <c r="E8309" t="s">
        <v>733</v>
      </c>
    </row>
    <row r="8310" spans="1:5" hidden="1" x14ac:dyDescent="0.3">
      <c r="A8310" t="s">
        <v>557</v>
      </c>
      <c r="B8310" t="s">
        <v>732</v>
      </c>
      <c r="C8310" t="s">
        <v>615</v>
      </c>
      <c r="D8310" s="230">
        <v>0</v>
      </c>
      <c r="E8310" t="s">
        <v>733</v>
      </c>
    </row>
    <row r="8311" spans="1:5" hidden="1" x14ac:dyDescent="0.3">
      <c r="A8311" t="s">
        <v>557</v>
      </c>
      <c r="B8311" t="s">
        <v>732</v>
      </c>
      <c r="C8311" t="s">
        <v>616</v>
      </c>
      <c r="D8311" s="230">
        <v>-4000</v>
      </c>
      <c r="E8311" t="s">
        <v>733</v>
      </c>
    </row>
    <row r="8312" spans="1:5" hidden="1" x14ac:dyDescent="0.3">
      <c r="A8312" t="s">
        <v>557</v>
      </c>
      <c r="B8312" t="s">
        <v>732</v>
      </c>
      <c r="C8312" t="s">
        <v>617</v>
      </c>
      <c r="D8312" s="230">
        <v>0</v>
      </c>
      <c r="E8312" t="s">
        <v>733</v>
      </c>
    </row>
    <row r="8313" spans="1:5" hidden="1" x14ac:dyDescent="0.3">
      <c r="A8313" t="s">
        <v>557</v>
      </c>
      <c r="B8313" t="s">
        <v>732</v>
      </c>
      <c r="C8313" t="s">
        <v>618</v>
      </c>
      <c r="D8313" s="230">
        <v>0</v>
      </c>
      <c r="E8313" t="s">
        <v>733</v>
      </c>
    </row>
    <row r="8314" spans="1:5" hidden="1" x14ac:dyDescent="0.3">
      <c r="A8314" t="s">
        <v>557</v>
      </c>
      <c r="B8314" t="s">
        <v>732</v>
      </c>
      <c r="C8314" t="s">
        <v>619</v>
      </c>
      <c r="D8314" s="230">
        <v>0</v>
      </c>
      <c r="E8314" t="s">
        <v>733</v>
      </c>
    </row>
    <row r="8315" spans="1:5" hidden="1" x14ac:dyDescent="0.3">
      <c r="A8315" t="s">
        <v>557</v>
      </c>
      <c r="B8315" t="s">
        <v>732</v>
      </c>
      <c r="C8315" t="s">
        <v>620</v>
      </c>
      <c r="D8315" s="230">
        <v>0</v>
      </c>
      <c r="E8315" t="s">
        <v>733</v>
      </c>
    </row>
    <row r="8316" spans="1:5" hidden="1" x14ac:dyDescent="0.3">
      <c r="A8316" t="s">
        <v>557</v>
      </c>
      <c r="B8316" t="s">
        <v>732</v>
      </c>
      <c r="C8316" t="s">
        <v>575</v>
      </c>
      <c r="D8316" s="230">
        <v>-31049.82</v>
      </c>
      <c r="E8316" t="s">
        <v>733</v>
      </c>
    </row>
    <row r="8317" spans="1:5" hidden="1" x14ac:dyDescent="0.3">
      <c r="A8317" t="s">
        <v>557</v>
      </c>
      <c r="B8317" t="s">
        <v>732</v>
      </c>
      <c r="C8317" t="s">
        <v>621</v>
      </c>
      <c r="D8317" s="230">
        <v>0</v>
      </c>
      <c r="E8317" t="s">
        <v>733</v>
      </c>
    </row>
    <row r="8318" spans="1:5" hidden="1" x14ac:dyDescent="0.3">
      <c r="A8318" t="s">
        <v>557</v>
      </c>
      <c r="B8318" t="s">
        <v>732</v>
      </c>
      <c r="C8318" t="s">
        <v>622</v>
      </c>
      <c r="D8318" s="230">
        <v>0</v>
      </c>
      <c r="E8318" t="s">
        <v>733</v>
      </c>
    </row>
    <row r="8319" spans="1:5" hidden="1" x14ac:dyDescent="0.3">
      <c r="A8319" t="s">
        <v>557</v>
      </c>
      <c r="B8319" t="s">
        <v>732</v>
      </c>
      <c r="C8319" t="s">
        <v>623</v>
      </c>
      <c r="D8319" s="230">
        <v>0</v>
      </c>
      <c r="E8319" t="s">
        <v>733</v>
      </c>
    </row>
    <row r="8320" spans="1:5" hidden="1" x14ac:dyDescent="0.3">
      <c r="A8320" t="s">
        <v>557</v>
      </c>
      <c r="B8320" t="s">
        <v>732</v>
      </c>
      <c r="C8320" t="s">
        <v>624</v>
      </c>
      <c r="D8320" s="230">
        <v>0</v>
      </c>
      <c r="E8320" t="s">
        <v>733</v>
      </c>
    </row>
    <row r="8321" spans="1:5" hidden="1" x14ac:dyDescent="0.3">
      <c r="A8321" t="s">
        <v>557</v>
      </c>
      <c r="B8321" t="s">
        <v>732</v>
      </c>
      <c r="C8321" t="s">
        <v>625</v>
      </c>
      <c r="D8321" s="230">
        <v>0</v>
      </c>
      <c r="E8321" t="s">
        <v>733</v>
      </c>
    </row>
    <row r="8322" spans="1:5" hidden="1" x14ac:dyDescent="0.3">
      <c r="A8322" t="s">
        <v>557</v>
      </c>
      <c r="B8322" t="s">
        <v>732</v>
      </c>
      <c r="C8322" t="s">
        <v>626</v>
      </c>
      <c r="D8322" s="230">
        <v>0</v>
      </c>
      <c r="E8322" t="s">
        <v>733</v>
      </c>
    </row>
    <row r="8323" spans="1:5" hidden="1" x14ac:dyDescent="0.3">
      <c r="A8323" t="s">
        <v>557</v>
      </c>
      <c r="B8323" t="s">
        <v>732</v>
      </c>
      <c r="C8323" t="s">
        <v>627</v>
      </c>
      <c r="D8323" s="230">
        <v>0</v>
      </c>
      <c r="E8323" t="s">
        <v>733</v>
      </c>
    </row>
    <row r="8324" spans="1:5" hidden="1" x14ac:dyDescent="0.3">
      <c r="A8324" t="s">
        <v>557</v>
      </c>
      <c r="B8324" t="s">
        <v>732</v>
      </c>
      <c r="C8324" t="s">
        <v>628</v>
      </c>
      <c r="D8324" s="230">
        <v>0</v>
      </c>
      <c r="E8324" t="s">
        <v>733</v>
      </c>
    </row>
    <row r="8325" spans="1:5" hidden="1" x14ac:dyDescent="0.3">
      <c r="A8325" t="s">
        <v>557</v>
      </c>
      <c r="B8325" t="s">
        <v>732</v>
      </c>
      <c r="C8325" t="s">
        <v>629</v>
      </c>
      <c r="D8325" s="230">
        <v>0</v>
      </c>
      <c r="E8325" t="s">
        <v>733</v>
      </c>
    </row>
    <row r="8326" spans="1:5" hidden="1" x14ac:dyDescent="0.3">
      <c r="A8326" t="s">
        <v>557</v>
      </c>
      <c r="B8326" t="s">
        <v>732</v>
      </c>
      <c r="C8326" t="s">
        <v>630</v>
      </c>
      <c r="D8326" s="230">
        <v>0</v>
      </c>
      <c r="E8326" t="s">
        <v>733</v>
      </c>
    </row>
    <row r="8327" spans="1:5" hidden="1" x14ac:dyDescent="0.3">
      <c r="A8327" t="s">
        <v>557</v>
      </c>
      <c r="B8327" t="s">
        <v>732</v>
      </c>
      <c r="C8327" t="s">
        <v>631</v>
      </c>
      <c r="D8327" s="230">
        <v>0</v>
      </c>
      <c r="E8327" t="s">
        <v>733</v>
      </c>
    </row>
    <row r="8328" spans="1:5" hidden="1" x14ac:dyDescent="0.3">
      <c r="A8328" t="s">
        <v>557</v>
      </c>
      <c r="B8328" t="s">
        <v>732</v>
      </c>
      <c r="C8328" t="s">
        <v>632</v>
      </c>
      <c r="D8328" s="230">
        <v>0</v>
      </c>
      <c r="E8328" t="s">
        <v>733</v>
      </c>
    </row>
    <row r="8329" spans="1:5" hidden="1" x14ac:dyDescent="0.3">
      <c r="A8329" t="s">
        <v>557</v>
      </c>
      <c r="B8329" t="s">
        <v>732</v>
      </c>
      <c r="C8329" t="s">
        <v>633</v>
      </c>
      <c r="D8329" s="230">
        <v>0</v>
      </c>
      <c r="E8329" t="s">
        <v>733</v>
      </c>
    </row>
    <row r="8330" spans="1:5" hidden="1" x14ac:dyDescent="0.3">
      <c r="A8330" t="s">
        <v>557</v>
      </c>
      <c r="B8330" t="s">
        <v>732</v>
      </c>
      <c r="C8330" t="s">
        <v>634</v>
      </c>
      <c r="D8330" s="230">
        <v>0</v>
      </c>
      <c r="E8330" t="s">
        <v>733</v>
      </c>
    </row>
    <row r="8331" spans="1:5" hidden="1" x14ac:dyDescent="0.3">
      <c r="A8331" t="s">
        <v>557</v>
      </c>
      <c r="B8331" t="s">
        <v>732</v>
      </c>
      <c r="C8331" t="s">
        <v>635</v>
      </c>
      <c r="D8331" s="230">
        <v>0</v>
      </c>
      <c r="E8331" t="s">
        <v>733</v>
      </c>
    </row>
    <row r="8332" spans="1:5" hidden="1" x14ac:dyDescent="0.3">
      <c r="A8332" t="s">
        <v>557</v>
      </c>
      <c r="B8332" t="s">
        <v>732</v>
      </c>
      <c r="C8332" t="s">
        <v>636</v>
      </c>
      <c r="D8332" s="230">
        <v>0</v>
      </c>
      <c r="E8332" t="s">
        <v>733</v>
      </c>
    </row>
    <row r="8333" spans="1:5" hidden="1" x14ac:dyDescent="0.3">
      <c r="A8333" t="s">
        <v>557</v>
      </c>
      <c r="B8333" t="s">
        <v>732</v>
      </c>
      <c r="C8333" t="s">
        <v>637</v>
      </c>
      <c r="D8333" s="230">
        <v>0</v>
      </c>
      <c r="E8333" t="s">
        <v>733</v>
      </c>
    </row>
    <row r="8334" spans="1:5" hidden="1" x14ac:dyDescent="0.3">
      <c r="A8334" t="s">
        <v>557</v>
      </c>
      <c r="B8334" t="s">
        <v>732</v>
      </c>
      <c r="C8334" t="s">
        <v>638</v>
      </c>
      <c r="D8334" s="230">
        <v>0</v>
      </c>
      <c r="E8334" t="s">
        <v>733</v>
      </c>
    </row>
    <row r="8335" spans="1:5" hidden="1" x14ac:dyDescent="0.3">
      <c r="A8335" t="s">
        <v>557</v>
      </c>
      <c r="B8335" t="s">
        <v>732</v>
      </c>
      <c r="C8335" t="s">
        <v>639</v>
      </c>
      <c r="D8335" s="230">
        <v>0</v>
      </c>
      <c r="E8335" t="s">
        <v>733</v>
      </c>
    </row>
    <row r="8336" spans="1:5" hidden="1" x14ac:dyDescent="0.3">
      <c r="A8336" t="s">
        <v>557</v>
      </c>
      <c r="B8336" t="s">
        <v>732</v>
      </c>
      <c r="C8336" t="s">
        <v>640</v>
      </c>
      <c r="D8336" s="230">
        <v>0</v>
      </c>
      <c r="E8336" t="s">
        <v>733</v>
      </c>
    </row>
    <row r="8337" spans="1:5" hidden="1" x14ac:dyDescent="0.3">
      <c r="A8337" t="s">
        <v>557</v>
      </c>
      <c r="B8337" t="s">
        <v>732</v>
      </c>
      <c r="C8337" t="s">
        <v>641</v>
      </c>
      <c r="D8337" s="230">
        <v>0</v>
      </c>
      <c r="E8337" t="s">
        <v>733</v>
      </c>
    </row>
    <row r="8338" spans="1:5" hidden="1" x14ac:dyDescent="0.3">
      <c r="A8338" t="s">
        <v>557</v>
      </c>
      <c r="B8338" t="s">
        <v>732</v>
      </c>
      <c r="C8338" t="s">
        <v>642</v>
      </c>
      <c r="D8338" s="230">
        <v>0</v>
      </c>
      <c r="E8338" t="s">
        <v>733</v>
      </c>
    </row>
    <row r="8339" spans="1:5" hidden="1" x14ac:dyDescent="0.3">
      <c r="A8339" t="s">
        <v>557</v>
      </c>
      <c r="B8339" t="s">
        <v>732</v>
      </c>
      <c r="C8339" t="s">
        <v>643</v>
      </c>
      <c r="D8339" s="230">
        <v>0</v>
      </c>
      <c r="E8339" t="s">
        <v>733</v>
      </c>
    </row>
    <row r="8340" spans="1:5" hidden="1" x14ac:dyDescent="0.3">
      <c r="A8340" t="s">
        <v>557</v>
      </c>
      <c r="B8340" t="s">
        <v>732</v>
      </c>
      <c r="C8340" t="s">
        <v>644</v>
      </c>
      <c r="D8340" s="230">
        <v>0</v>
      </c>
      <c r="E8340" t="s">
        <v>733</v>
      </c>
    </row>
    <row r="8341" spans="1:5" hidden="1" x14ac:dyDescent="0.3">
      <c r="A8341" t="s">
        <v>557</v>
      </c>
      <c r="B8341" t="s">
        <v>732</v>
      </c>
      <c r="C8341" t="s">
        <v>645</v>
      </c>
      <c r="D8341" s="230">
        <v>0</v>
      </c>
      <c r="E8341" t="s">
        <v>733</v>
      </c>
    </row>
    <row r="8342" spans="1:5" hidden="1" x14ac:dyDescent="0.3">
      <c r="A8342" t="s">
        <v>557</v>
      </c>
      <c r="B8342" t="s">
        <v>732</v>
      </c>
      <c r="C8342" t="s">
        <v>646</v>
      </c>
      <c r="D8342" s="230">
        <v>0</v>
      </c>
      <c r="E8342" t="s">
        <v>733</v>
      </c>
    </row>
    <row r="8343" spans="1:5" hidden="1" x14ac:dyDescent="0.3">
      <c r="A8343" t="s">
        <v>557</v>
      </c>
      <c r="B8343" t="s">
        <v>732</v>
      </c>
      <c r="C8343" t="s">
        <v>647</v>
      </c>
      <c r="D8343" s="230">
        <v>0</v>
      </c>
      <c r="E8343" t="s">
        <v>733</v>
      </c>
    </row>
    <row r="8344" spans="1:5" hidden="1" x14ac:dyDescent="0.3">
      <c r="A8344" t="s">
        <v>557</v>
      </c>
      <c r="B8344" t="s">
        <v>732</v>
      </c>
      <c r="C8344" t="s">
        <v>648</v>
      </c>
      <c r="D8344" s="230">
        <v>0</v>
      </c>
      <c r="E8344" t="s">
        <v>733</v>
      </c>
    </row>
    <row r="8345" spans="1:5" hidden="1" x14ac:dyDescent="0.3">
      <c r="A8345" t="s">
        <v>557</v>
      </c>
      <c r="B8345" t="s">
        <v>732</v>
      </c>
      <c r="C8345" t="s">
        <v>649</v>
      </c>
      <c r="D8345" s="230">
        <v>0</v>
      </c>
      <c r="E8345" t="s">
        <v>733</v>
      </c>
    </row>
    <row r="8346" spans="1:5" hidden="1" x14ac:dyDescent="0.3">
      <c r="A8346" t="s">
        <v>557</v>
      </c>
      <c r="B8346" t="s">
        <v>732</v>
      </c>
      <c r="C8346" t="s">
        <v>650</v>
      </c>
      <c r="D8346" s="230">
        <v>0</v>
      </c>
      <c r="E8346" t="s">
        <v>733</v>
      </c>
    </row>
    <row r="8347" spans="1:5" hidden="1" x14ac:dyDescent="0.3">
      <c r="A8347" t="s">
        <v>557</v>
      </c>
      <c r="B8347" t="s">
        <v>732</v>
      </c>
      <c r="C8347" t="s">
        <v>651</v>
      </c>
      <c r="D8347" s="230">
        <v>0</v>
      </c>
      <c r="E8347" t="s">
        <v>733</v>
      </c>
    </row>
    <row r="8348" spans="1:5" hidden="1" x14ac:dyDescent="0.3">
      <c r="A8348" t="s">
        <v>557</v>
      </c>
      <c r="B8348" t="s">
        <v>732</v>
      </c>
      <c r="C8348" t="s">
        <v>652</v>
      </c>
      <c r="D8348" s="230">
        <v>0</v>
      </c>
      <c r="E8348" t="s">
        <v>733</v>
      </c>
    </row>
    <row r="8349" spans="1:5" hidden="1" x14ac:dyDescent="0.3">
      <c r="A8349" t="s">
        <v>557</v>
      </c>
      <c r="B8349" t="s">
        <v>732</v>
      </c>
      <c r="C8349" t="s">
        <v>653</v>
      </c>
      <c r="D8349" s="230">
        <v>0</v>
      </c>
      <c r="E8349" t="s">
        <v>733</v>
      </c>
    </row>
    <row r="8350" spans="1:5" hidden="1" x14ac:dyDescent="0.3">
      <c r="A8350" t="s">
        <v>557</v>
      </c>
      <c r="B8350" t="s">
        <v>732</v>
      </c>
      <c r="C8350" t="s">
        <v>654</v>
      </c>
      <c r="D8350" s="230">
        <v>0</v>
      </c>
      <c r="E8350" t="s">
        <v>733</v>
      </c>
    </row>
    <row r="8351" spans="1:5" hidden="1" x14ac:dyDescent="0.3">
      <c r="A8351" t="s">
        <v>557</v>
      </c>
      <c r="B8351" t="s">
        <v>732</v>
      </c>
      <c r="C8351" t="s">
        <v>655</v>
      </c>
      <c r="D8351" s="230">
        <v>0</v>
      </c>
      <c r="E8351" t="s">
        <v>733</v>
      </c>
    </row>
    <row r="8352" spans="1:5" hidden="1" x14ac:dyDescent="0.3">
      <c r="A8352" t="s">
        <v>557</v>
      </c>
      <c r="B8352" t="s">
        <v>732</v>
      </c>
      <c r="C8352" t="s">
        <v>656</v>
      </c>
      <c r="D8352" s="230">
        <v>0</v>
      </c>
      <c r="E8352" t="s">
        <v>733</v>
      </c>
    </row>
    <row r="8353" spans="1:5" hidden="1" x14ac:dyDescent="0.3">
      <c r="A8353" t="s">
        <v>557</v>
      </c>
      <c r="B8353" t="s">
        <v>732</v>
      </c>
      <c r="C8353" t="s">
        <v>657</v>
      </c>
      <c r="D8353" s="230">
        <v>0</v>
      </c>
      <c r="E8353" t="s">
        <v>733</v>
      </c>
    </row>
    <row r="8354" spans="1:5" hidden="1" x14ac:dyDescent="0.3">
      <c r="A8354" t="s">
        <v>557</v>
      </c>
      <c r="B8354" t="s">
        <v>732</v>
      </c>
      <c r="C8354" t="s">
        <v>658</v>
      </c>
      <c r="D8354" s="230">
        <v>0</v>
      </c>
      <c r="E8354" t="s">
        <v>733</v>
      </c>
    </row>
    <row r="8355" spans="1:5" hidden="1" x14ac:dyDescent="0.3">
      <c r="A8355" t="s">
        <v>557</v>
      </c>
      <c r="B8355" t="s">
        <v>732</v>
      </c>
      <c r="C8355" t="s">
        <v>659</v>
      </c>
      <c r="D8355" s="230">
        <v>0</v>
      </c>
      <c r="E8355" t="s">
        <v>733</v>
      </c>
    </row>
    <row r="8356" spans="1:5" hidden="1" x14ac:dyDescent="0.3">
      <c r="A8356" t="s">
        <v>557</v>
      </c>
      <c r="B8356" t="s">
        <v>732</v>
      </c>
      <c r="C8356" t="s">
        <v>660</v>
      </c>
      <c r="D8356" s="230">
        <v>0</v>
      </c>
      <c r="E8356" t="s">
        <v>733</v>
      </c>
    </row>
    <row r="8357" spans="1:5" hidden="1" x14ac:dyDescent="0.3">
      <c r="A8357" t="s">
        <v>557</v>
      </c>
      <c r="B8357" t="s">
        <v>732</v>
      </c>
      <c r="C8357" t="s">
        <v>661</v>
      </c>
      <c r="D8357" s="230">
        <v>0</v>
      </c>
      <c r="E8357" t="s">
        <v>733</v>
      </c>
    </row>
    <row r="8358" spans="1:5" hidden="1" x14ac:dyDescent="0.3">
      <c r="A8358" t="s">
        <v>557</v>
      </c>
      <c r="B8358" t="s">
        <v>732</v>
      </c>
      <c r="C8358" t="s">
        <v>662</v>
      </c>
      <c r="D8358" s="230">
        <v>0</v>
      </c>
      <c r="E8358" t="s">
        <v>733</v>
      </c>
    </row>
    <row r="8359" spans="1:5" hidden="1" x14ac:dyDescent="0.3">
      <c r="A8359" t="s">
        <v>557</v>
      </c>
      <c r="B8359" t="s">
        <v>732</v>
      </c>
      <c r="C8359" t="s">
        <v>663</v>
      </c>
      <c r="D8359" s="230">
        <v>0</v>
      </c>
      <c r="E8359" t="s">
        <v>733</v>
      </c>
    </row>
    <row r="8360" spans="1:5" hidden="1" x14ac:dyDescent="0.3">
      <c r="A8360" t="s">
        <v>557</v>
      </c>
      <c r="B8360" t="s">
        <v>732</v>
      </c>
      <c r="C8360" t="s">
        <v>664</v>
      </c>
      <c r="D8360" s="230">
        <v>0</v>
      </c>
      <c r="E8360" t="s">
        <v>733</v>
      </c>
    </row>
    <row r="8361" spans="1:5" hidden="1" x14ac:dyDescent="0.3">
      <c r="A8361" t="s">
        <v>557</v>
      </c>
      <c r="B8361" t="s">
        <v>732</v>
      </c>
      <c r="C8361" t="s">
        <v>665</v>
      </c>
      <c r="D8361" s="230">
        <v>0</v>
      </c>
      <c r="E8361" t="s">
        <v>733</v>
      </c>
    </row>
    <row r="8362" spans="1:5" hidden="1" x14ac:dyDescent="0.3">
      <c r="A8362" t="s">
        <v>557</v>
      </c>
      <c r="B8362" t="s">
        <v>732</v>
      </c>
      <c r="C8362" t="s">
        <v>666</v>
      </c>
      <c r="D8362" s="230">
        <v>0</v>
      </c>
      <c r="E8362" t="s">
        <v>733</v>
      </c>
    </row>
    <row r="8363" spans="1:5" hidden="1" x14ac:dyDescent="0.3">
      <c r="A8363" t="s">
        <v>557</v>
      </c>
      <c r="B8363" t="s">
        <v>732</v>
      </c>
      <c r="C8363" t="s">
        <v>667</v>
      </c>
      <c r="D8363" s="230">
        <v>0</v>
      </c>
      <c r="E8363" t="s">
        <v>733</v>
      </c>
    </row>
    <row r="8364" spans="1:5" hidden="1" x14ac:dyDescent="0.3">
      <c r="A8364" t="s">
        <v>557</v>
      </c>
      <c r="B8364" t="s">
        <v>732</v>
      </c>
      <c r="C8364" t="s">
        <v>668</v>
      </c>
      <c r="D8364" s="230">
        <v>0</v>
      </c>
      <c r="E8364" t="s">
        <v>733</v>
      </c>
    </row>
    <row r="8365" spans="1:5" hidden="1" x14ac:dyDescent="0.3">
      <c r="A8365" t="s">
        <v>557</v>
      </c>
      <c r="B8365" t="s">
        <v>732</v>
      </c>
      <c r="C8365" t="s">
        <v>669</v>
      </c>
      <c r="D8365" s="230">
        <v>0</v>
      </c>
      <c r="E8365" t="s">
        <v>733</v>
      </c>
    </row>
    <row r="8366" spans="1:5" hidden="1" x14ac:dyDescent="0.3">
      <c r="A8366" t="s">
        <v>557</v>
      </c>
      <c r="B8366" t="s">
        <v>732</v>
      </c>
      <c r="C8366" t="s">
        <v>670</v>
      </c>
      <c r="D8366" s="230">
        <v>0</v>
      </c>
      <c r="E8366" t="s">
        <v>733</v>
      </c>
    </row>
    <row r="8367" spans="1:5" hidden="1" x14ac:dyDescent="0.3">
      <c r="A8367" t="s">
        <v>557</v>
      </c>
      <c r="B8367" t="s">
        <v>732</v>
      </c>
      <c r="C8367" t="s">
        <v>671</v>
      </c>
      <c r="D8367" s="230">
        <v>0</v>
      </c>
      <c r="E8367" t="s">
        <v>733</v>
      </c>
    </row>
    <row r="8368" spans="1:5" hidden="1" x14ac:dyDescent="0.3">
      <c r="A8368" t="s">
        <v>557</v>
      </c>
      <c r="B8368" t="s">
        <v>732</v>
      </c>
      <c r="C8368" t="s">
        <v>672</v>
      </c>
      <c r="D8368" s="230">
        <v>0</v>
      </c>
      <c r="E8368" t="s">
        <v>733</v>
      </c>
    </row>
    <row r="8369" spans="1:5" hidden="1" x14ac:dyDescent="0.3">
      <c r="A8369" t="s">
        <v>557</v>
      </c>
      <c r="B8369" t="s">
        <v>732</v>
      </c>
      <c r="C8369" t="s">
        <v>673</v>
      </c>
      <c r="D8369" s="230">
        <v>0</v>
      </c>
      <c r="E8369" t="s">
        <v>733</v>
      </c>
    </row>
    <row r="8370" spans="1:5" hidden="1" x14ac:dyDescent="0.3">
      <c r="A8370" t="s">
        <v>557</v>
      </c>
      <c r="B8370" t="s">
        <v>732</v>
      </c>
      <c r="C8370" t="s">
        <v>674</v>
      </c>
      <c r="D8370" s="230">
        <v>0</v>
      </c>
      <c r="E8370" t="s">
        <v>733</v>
      </c>
    </row>
    <row r="8371" spans="1:5" hidden="1" x14ac:dyDescent="0.3">
      <c r="A8371" t="s">
        <v>557</v>
      </c>
      <c r="B8371" t="s">
        <v>732</v>
      </c>
      <c r="C8371" t="s">
        <v>675</v>
      </c>
      <c r="D8371" s="230">
        <v>0</v>
      </c>
      <c r="E8371" t="s">
        <v>733</v>
      </c>
    </row>
    <row r="8372" spans="1:5" hidden="1" x14ac:dyDescent="0.3">
      <c r="A8372" t="s">
        <v>557</v>
      </c>
      <c r="B8372" t="s">
        <v>732</v>
      </c>
      <c r="C8372" t="s">
        <v>676</v>
      </c>
      <c r="D8372" s="230">
        <v>0</v>
      </c>
      <c r="E8372" t="s">
        <v>733</v>
      </c>
    </row>
    <row r="8373" spans="1:5" hidden="1" x14ac:dyDescent="0.3">
      <c r="A8373" t="s">
        <v>557</v>
      </c>
      <c r="B8373" t="s">
        <v>732</v>
      </c>
      <c r="C8373" t="s">
        <v>677</v>
      </c>
      <c r="D8373" s="230">
        <v>0</v>
      </c>
      <c r="E8373" t="s">
        <v>733</v>
      </c>
    </row>
    <row r="8374" spans="1:5" hidden="1" x14ac:dyDescent="0.3">
      <c r="A8374" t="s">
        <v>557</v>
      </c>
      <c r="B8374" t="s">
        <v>732</v>
      </c>
      <c r="C8374" t="s">
        <v>201</v>
      </c>
      <c r="D8374" s="230">
        <v>-14610</v>
      </c>
      <c r="E8374" t="s">
        <v>733</v>
      </c>
    </row>
    <row r="8375" spans="1:5" hidden="1" x14ac:dyDescent="0.3">
      <c r="A8375" t="s">
        <v>557</v>
      </c>
      <c r="B8375" t="s">
        <v>732</v>
      </c>
      <c r="C8375" t="s">
        <v>203</v>
      </c>
      <c r="D8375" s="230">
        <v>-14610</v>
      </c>
      <c r="E8375" t="s">
        <v>733</v>
      </c>
    </row>
    <row r="8376" spans="1:5" hidden="1" x14ac:dyDescent="0.3">
      <c r="A8376" t="s">
        <v>557</v>
      </c>
      <c r="B8376" t="s">
        <v>732</v>
      </c>
      <c r="C8376" t="s">
        <v>678</v>
      </c>
      <c r="D8376" s="230">
        <v>7305</v>
      </c>
      <c r="E8376" t="s">
        <v>733</v>
      </c>
    </row>
    <row r="8377" spans="1:5" hidden="1" x14ac:dyDescent="0.3">
      <c r="A8377" t="s">
        <v>557</v>
      </c>
      <c r="B8377" t="s">
        <v>732</v>
      </c>
      <c r="C8377" t="s">
        <v>205</v>
      </c>
      <c r="D8377" s="230">
        <v>-15660.84</v>
      </c>
      <c r="E8377" t="s">
        <v>733</v>
      </c>
    </row>
    <row r="8378" spans="1:5" hidden="1" x14ac:dyDescent="0.3">
      <c r="A8378" t="s">
        <v>557</v>
      </c>
      <c r="B8378" t="s">
        <v>732</v>
      </c>
      <c r="C8378" t="s">
        <v>679</v>
      </c>
      <c r="D8378" s="230">
        <v>-3773.73</v>
      </c>
      <c r="E8378" t="s">
        <v>733</v>
      </c>
    </row>
    <row r="8379" spans="1:5" hidden="1" x14ac:dyDescent="0.3">
      <c r="A8379" t="s">
        <v>557</v>
      </c>
      <c r="B8379" t="s">
        <v>732</v>
      </c>
      <c r="C8379" t="s">
        <v>680</v>
      </c>
      <c r="D8379" s="230">
        <v>0</v>
      </c>
      <c r="E8379" t="s">
        <v>733</v>
      </c>
    </row>
    <row r="8380" spans="1:5" hidden="1" x14ac:dyDescent="0.3">
      <c r="A8380" t="s">
        <v>557</v>
      </c>
      <c r="B8380" t="s">
        <v>732</v>
      </c>
      <c r="C8380" t="s">
        <v>681</v>
      </c>
      <c r="D8380" s="230">
        <v>-4162</v>
      </c>
      <c r="E8380" t="s">
        <v>733</v>
      </c>
    </row>
    <row r="8381" spans="1:5" hidden="1" x14ac:dyDescent="0.3">
      <c r="A8381" t="s">
        <v>557</v>
      </c>
      <c r="B8381" t="s">
        <v>732</v>
      </c>
      <c r="C8381" t="s">
        <v>682</v>
      </c>
      <c r="D8381" s="230">
        <v>-2619.25</v>
      </c>
      <c r="E8381" t="s">
        <v>733</v>
      </c>
    </row>
    <row r="8382" spans="1:5" hidden="1" x14ac:dyDescent="0.3">
      <c r="A8382" t="s">
        <v>557</v>
      </c>
      <c r="B8382" t="s">
        <v>732</v>
      </c>
      <c r="C8382" t="s">
        <v>683</v>
      </c>
      <c r="D8382" s="230">
        <v>-4141.1899999999996</v>
      </c>
      <c r="E8382" t="s">
        <v>733</v>
      </c>
    </row>
    <row r="8383" spans="1:5" hidden="1" x14ac:dyDescent="0.3">
      <c r="A8383" t="s">
        <v>557</v>
      </c>
      <c r="B8383" t="s">
        <v>732</v>
      </c>
      <c r="C8383" t="s">
        <v>684</v>
      </c>
      <c r="D8383" s="230">
        <v>0</v>
      </c>
      <c r="E8383" t="s">
        <v>733</v>
      </c>
    </row>
    <row r="8384" spans="1:5" hidden="1" x14ac:dyDescent="0.3">
      <c r="A8384" t="s">
        <v>557</v>
      </c>
      <c r="B8384" t="s">
        <v>732</v>
      </c>
      <c r="C8384" t="s">
        <v>685</v>
      </c>
      <c r="D8384" s="230">
        <v>0</v>
      </c>
      <c r="E8384" t="s">
        <v>733</v>
      </c>
    </row>
    <row r="8385" spans="1:5" hidden="1" x14ac:dyDescent="0.3">
      <c r="A8385" t="s">
        <v>557</v>
      </c>
      <c r="B8385" t="s">
        <v>732</v>
      </c>
      <c r="C8385" t="s">
        <v>686</v>
      </c>
      <c r="D8385" s="230">
        <v>-288.12</v>
      </c>
      <c r="E8385" t="s">
        <v>733</v>
      </c>
    </row>
    <row r="8386" spans="1:5" hidden="1" x14ac:dyDescent="0.3">
      <c r="A8386" t="s">
        <v>557</v>
      </c>
      <c r="B8386" t="s">
        <v>732</v>
      </c>
      <c r="C8386" t="s">
        <v>687</v>
      </c>
      <c r="D8386" s="230">
        <v>-455.53</v>
      </c>
      <c r="E8386" t="s">
        <v>733</v>
      </c>
    </row>
    <row r="8387" spans="1:5" hidden="1" x14ac:dyDescent="0.3">
      <c r="A8387" t="s">
        <v>557</v>
      </c>
      <c r="B8387" t="s">
        <v>732</v>
      </c>
      <c r="C8387" t="s">
        <v>688</v>
      </c>
      <c r="D8387" s="230">
        <v>0</v>
      </c>
      <c r="E8387" t="s">
        <v>733</v>
      </c>
    </row>
    <row r="8388" spans="1:5" hidden="1" x14ac:dyDescent="0.3">
      <c r="A8388" t="s">
        <v>557</v>
      </c>
      <c r="B8388" t="s">
        <v>732</v>
      </c>
      <c r="C8388" t="s">
        <v>689</v>
      </c>
      <c r="D8388" s="230">
        <v>0</v>
      </c>
      <c r="E8388" t="s">
        <v>733</v>
      </c>
    </row>
    <row r="8389" spans="1:5" hidden="1" x14ac:dyDescent="0.3">
      <c r="A8389" t="s">
        <v>557</v>
      </c>
      <c r="B8389" t="s">
        <v>732</v>
      </c>
      <c r="C8389" t="s">
        <v>690</v>
      </c>
      <c r="D8389" s="230">
        <v>0</v>
      </c>
      <c r="E8389" t="s">
        <v>733</v>
      </c>
    </row>
    <row r="8390" spans="1:5" hidden="1" x14ac:dyDescent="0.3">
      <c r="A8390" t="s">
        <v>557</v>
      </c>
      <c r="B8390" t="s">
        <v>732</v>
      </c>
      <c r="C8390" t="s">
        <v>691</v>
      </c>
      <c r="D8390" s="230">
        <v>0</v>
      </c>
      <c r="E8390" t="s">
        <v>733</v>
      </c>
    </row>
    <row r="8391" spans="1:5" hidden="1" x14ac:dyDescent="0.3">
      <c r="A8391" t="s">
        <v>557</v>
      </c>
      <c r="B8391" t="s">
        <v>732</v>
      </c>
      <c r="C8391" t="s">
        <v>692</v>
      </c>
      <c r="D8391" s="230">
        <v>-221.02</v>
      </c>
      <c r="E8391" t="s">
        <v>733</v>
      </c>
    </row>
    <row r="8392" spans="1:5" hidden="1" x14ac:dyDescent="0.3">
      <c r="A8392" t="s">
        <v>557</v>
      </c>
      <c r="B8392" t="s">
        <v>732</v>
      </c>
      <c r="C8392" t="s">
        <v>693</v>
      </c>
      <c r="D8392" s="230">
        <v>0</v>
      </c>
      <c r="E8392" t="s">
        <v>733</v>
      </c>
    </row>
    <row r="8393" spans="1:5" hidden="1" x14ac:dyDescent="0.3">
      <c r="A8393" t="s">
        <v>557</v>
      </c>
      <c r="B8393" t="s">
        <v>732</v>
      </c>
      <c r="C8393" t="s">
        <v>694</v>
      </c>
      <c r="D8393" s="230">
        <v>0</v>
      </c>
      <c r="E8393" t="s">
        <v>733</v>
      </c>
    </row>
    <row r="8394" spans="1:5" hidden="1" x14ac:dyDescent="0.3">
      <c r="A8394" t="s">
        <v>557</v>
      </c>
      <c r="B8394" t="s">
        <v>732</v>
      </c>
      <c r="C8394" t="s">
        <v>238</v>
      </c>
      <c r="D8394" s="230">
        <v>-7017.99</v>
      </c>
      <c r="E8394" t="s">
        <v>733</v>
      </c>
    </row>
    <row r="8395" spans="1:5" hidden="1" x14ac:dyDescent="0.3">
      <c r="A8395" t="s">
        <v>557</v>
      </c>
      <c r="B8395" t="s">
        <v>732</v>
      </c>
      <c r="C8395" t="s">
        <v>695</v>
      </c>
      <c r="D8395" s="230">
        <v>-5560.81</v>
      </c>
      <c r="E8395" t="s">
        <v>733</v>
      </c>
    </row>
    <row r="8396" spans="1:5" hidden="1" x14ac:dyDescent="0.3">
      <c r="A8396" t="s">
        <v>557</v>
      </c>
      <c r="B8396" t="s">
        <v>732</v>
      </c>
      <c r="C8396" t="s">
        <v>696</v>
      </c>
      <c r="D8396" s="230">
        <v>-1457.18</v>
      </c>
      <c r="E8396" t="s">
        <v>733</v>
      </c>
    </row>
    <row r="8397" spans="1:5" hidden="1" x14ac:dyDescent="0.3">
      <c r="A8397" t="s">
        <v>557</v>
      </c>
      <c r="B8397" t="s">
        <v>732</v>
      </c>
      <c r="C8397" t="s">
        <v>697</v>
      </c>
      <c r="D8397" s="230">
        <v>0</v>
      </c>
      <c r="E8397" t="s">
        <v>733</v>
      </c>
    </row>
    <row r="8398" spans="1:5" hidden="1" x14ac:dyDescent="0.3">
      <c r="A8398" t="s">
        <v>557</v>
      </c>
      <c r="B8398" t="s">
        <v>732</v>
      </c>
      <c r="C8398" t="s">
        <v>698</v>
      </c>
      <c r="D8398" s="230">
        <v>0</v>
      </c>
      <c r="E8398" t="s">
        <v>733</v>
      </c>
    </row>
    <row r="8399" spans="1:5" hidden="1" x14ac:dyDescent="0.3">
      <c r="A8399" t="s">
        <v>557</v>
      </c>
      <c r="B8399" t="s">
        <v>732</v>
      </c>
      <c r="C8399" t="s">
        <v>699</v>
      </c>
      <c r="D8399" s="230">
        <v>0</v>
      </c>
      <c r="E8399" t="s">
        <v>733</v>
      </c>
    </row>
    <row r="8400" spans="1:5" hidden="1" x14ac:dyDescent="0.3">
      <c r="A8400" t="s">
        <v>557</v>
      </c>
      <c r="B8400" t="s">
        <v>732</v>
      </c>
      <c r="C8400" t="s">
        <v>245</v>
      </c>
      <c r="D8400" s="230">
        <v>-13655.64</v>
      </c>
      <c r="E8400" t="s">
        <v>733</v>
      </c>
    </row>
    <row r="8401" spans="1:5" hidden="1" x14ac:dyDescent="0.3">
      <c r="A8401" t="s">
        <v>557</v>
      </c>
      <c r="B8401" t="s">
        <v>732</v>
      </c>
      <c r="C8401" t="s">
        <v>700</v>
      </c>
      <c r="D8401" s="230">
        <v>0</v>
      </c>
      <c r="E8401" t="s">
        <v>733</v>
      </c>
    </row>
    <row r="8402" spans="1:5" hidden="1" x14ac:dyDescent="0.3">
      <c r="A8402" t="s">
        <v>557</v>
      </c>
      <c r="B8402" t="s">
        <v>732</v>
      </c>
      <c r="C8402" t="s">
        <v>701</v>
      </c>
      <c r="D8402" s="230">
        <v>-535.04999999999995</v>
      </c>
      <c r="E8402" t="s">
        <v>733</v>
      </c>
    </row>
    <row r="8403" spans="1:5" hidden="1" x14ac:dyDescent="0.3">
      <c r="A8403" t="s">
        <v>557</v>
      </c>
      <c r="B8403" t="s">
        <v>732</v>
      </c>
      <c r="C8403" t="s">
        <v>702</v>
      </c>
      <c r="D8403" s="230">
        <v>0</v>
      </c>
      <c r="E8403" t="s">
        <v>733</v>
      </c>
    </row>
    <row r="8404" spans="1:5" hidden="1" x14ac:dyDescent="0.3">
      <c r="A8404" t="s">
        <v>557</v>
      </c>
      <c r="B8404" t="s">
        <v>732</v>
      </c>
      <c r="C8404" t="s">
        <v>703</v>
      </c>
      <c r="D8404" s="230">
        <v>-2400</v>
      </c>
      <c r="E8404" t="s">
        <v>733</v>
      </c>
    </row>
    <row r="8405" spans="1:5" hidden="1" x14ac:dyDescent="0.3">
      <c r="A8405" t="s">
        <v>557</v>
      </c>
      <c r="B8405" t="s">
        <v>732</v>
      </c>
      <c r="C8405" t="s">
        <v>704</v>
      </c>
      <c r="D8405" s="230">
        <v>0</v>
      </c>
      <c r="E8405" t="s">
        <v>733</v>
      </c>
    </row>
    <row r="8406" spans="1:5" hidden="1" x14ac:dyDescent="0.3">
      <c r="A8406" t="s">
        <v>557</v>
      </c>
      <c r="B8406" t="s">
        <v>732</v>
      </c>
      <c r="C8406" t="s">
        <v>705</v>
      </c>
      <c r="D8406" s="230">
        <v>-10720.59</v>
      </c>
      <c r="E8406" t="s">
        <v>733</v>
      </c>
    </row>
    <row r="8407" spans="1:5" hidden="1" x14ac:dyDescent="0.3">
      <c r="A8407" t="s">
        <v>557</v>
      </c>
      <c r="B8407" t="s">
        <v>732</v>
      </c>
      <c r="C8407" t="s">
        <v>706</v>
      </c>
      <c r="D8407" s="230">
        <v>0</v>
      </c>
      <c r="E8407" t="s">
        <v>733</v>
      </c>
    </row>
    <row r="8408" spans="1:5" hidden="1" x14ac:dyDescent="0.3">
      <c r="A8408" t="s">
        <v>557</v>
      </c>
      <c r="B8408" t="s">
        <v>732</v>
      </c>
      <c r="C8408" t="s">
        <v>254</v>
      </c>
      <c r="D8408" s="230">
        <v>-0.38</v>
      </c>
      <c r="E8408" t="s">
        <v>733</v>
      </c>
    </row>
    <row r="8409" spans="1:5" hidden="1" x14ac:dyDescent="0.3">
      <c r="A8409" t="s">
        <v>557</v>
      </c>
      <c r="B8409" t="s">
        <v>732</v>
      </c>
      <c r="C8409" t="s">
        <v>255</v>
      </c>
      <c r="D8409" s="230">
        <v>-0.27</v>
      </c>
      <c r="E8409" t="s">
        <v>733</v>
      </c>
    </row>
    <row r="8410" spans="1:5" hidden="1" x14ac:dyDescent="0.3">
      <c r="A8410" t="s">
        <v>557</v>
      </c>
      <c r="B8410" t="s">
        <v>732</v>
      </c>
      <c r="C8410" t="s">
        <v>256</v>
      </c>
      <c r="D8410" s="230">
        <v>-53049.87</v>
      </c>
      <c r="E8410" t="s">
        <v>733</v>
      </c>
    </row>
    <row r="8411" spans="1:5" hidden="1" x14ac:dyDescent="0.3">
      <c r="A8411" t="s">
        <v>557</v>
      </c>
      <c r="B8411" t="s">
        <v>732</v>
      </c>
      <c r="C8411" t="s">
        <v>257</v>
      </c>
      <c r="D8411" s="230">
        <v>-50613.7</v>
      </c>
      <c r="E8411" t="s">
        <v>733</v>
      </c>
    </row>
    <row r="8412" spans="1:5" hidden="1" x14ac:dyDescent="0.3">
      <c r="A8412" t="s">
        <v>557</v>
      </c>
      <c r="B8412" t="s">
        <v>732</v>
      </c>
      <c r="C8412" t="s">
        <v>258</v>
      </c>
      <c r="D8412" s="230">
        <v>0</v>
      </c>
      <c r="E8412" t="s">
        <v>733</v>
      </c>
    </row>
    <row r="8413" spans="1:5" hidden="1" x14ac:dyDescent="0.3">
      <c r="A8413" t="s">
        <v>557</v>
      </c>
      <c r="B8413" t="s">
        <v>732</v>
      </c>
      <c r="C8413" t="s">
        <v>259</v>
      </c>
      <c r="D8413" s="230">
        <v>-2436.17</v>
      </c>
      <c r="E8413" t="s">
        <v>733</v>
      </c>
    </row>
    <row r="8414" spans="1:5" hidden="1" x14ac:dyDescent="0.3">
      <c r="A8414" t="s">
        <v>557</v>
      </c>
      <c r="B8414" t="s">
        <v>732</v>
      </c>
      <c r="C8414" t="s">
        <v>260</v>
      </c>
      <c r="D8414" s="230">
        <v>0</v>
      </c>
      <c r="E8414" t="s">
        <v>733</v>
      </c>
    </row>
    <row r="8415" spans="1:5" hidden="1" x14ac:dyDescent="0.3">
      <c r="A8415" t="s">
        <v>557</v>
      </c>
      <c r="B8415" t="s">
        <v>732</v>
      </c>
      <c r="C8415" t="s">
        <v>261</v>
      </c>
      <c r="D8415" s="230">
        <v>0</v>
      </c>
      <c r="E8415" t="s">
        <v>733</v>
      </c>
    </row>
    <row r="8416" spans="1:5" hidden="1" x14ac:dyDescent="0.3">
      <c r="A8416" t="s">
        <v>557</v>
      </c>
      <c r="B8416" t="s">
        <v>732</v>
      </c>
      <c r="C8416" t="s">
        <v>262</v>
      </c>
      <c r="D8416" s="230">
        <v>0</v>
      </c>
      <c r="E8416" t="s">
        <v>733</v>
      </c>
    </row>
    <row r="8417" spans="1:5" hidden="1" x14ac:dyDescent="0.3">
      <c r="A8417" t="s">
        <v>557</v>
      </c>
      <c r="B8417" t="s">
        <v>732</v>
      </c>
      <c r="C8417" t="s">
        <v>263</v>
      </c>
      <c r="D8417" s="230">
        <v>0</v>
      </c>
      <c r="E8417" t="s">
        <v>733</v>
      </c>
    </row>
    <row r="8418" spans="1:5" hidden="1" x14ac:dyDescent="0.3">
      <c r="A8418" t="s">
        <v>557</v>
      </c>
      <c r="B8418" t="s">
        <v>732</v>
      </c>
      <c r="C8418" t="s">
        <v>44</v>
      </c>
      <c r="D8418" s="230">
        <v>-0.17</v>
      </c>
      <c r="E8418" t="s">
        <v>733</v>
      </c>
    </row>
    <row r="8419" spans="1:5" hidden="1" x14ac:dyDescent="0.3">
      <c r="A8419" t="s">
        <v>557</v>
      </c>
      <c r="B8419" t="s">
        <v>732</v>
      </c>
      <c r="C8419" t="s">
        <v>264</v>
      </c>
      <c r="D8419" s="230">
        <v>-38294.519999999997</v>
      </c>
      <c r="E8419" t="s">
        <v>733</v>
      </c>
    </row>
    <row r="8420" spans="1:5" hidden="1" x14ac:dyDescent="0.3">
      <c r="A8420" t="s">
        <v>557</v>
      </c>
      <c r="B8420" t="s">
        <v>732</v>
      </c>
      <c r="C8420" t="s">
        <v>265</v>
      </c>
      <c r="D8420" s="230">
        <v>-3752.63</v>
      </c>
      <c r="E8420" t="s">
        <v>733</v>
      </c>
    </row>
    <row r="8421" spans="1:5" hidden="1" x14ac:dyDescent="0.3">
      <c r="A8421" t="s">
        <v>557</v>
      </c>
      <c r="B8421" t="s">
        <v>732</v>
      </c>
      <c r="C8421" t="s">
        <v>266</v>
      </c>
      <c r="D8421" s="230">
        <v>-10232.629999999999</v>
      </c>
      <c r="E8421" t="s">
        <v>733</v>
      </c>
    </row>
    <row r="8422" spans="1:5" hidden="1" x14ac:dyDescent="0.3">
      <c r="A8422" t="s">
        <v>557</v>
      </c>
      <c r="B8422" t="s">
        <v>732</v>
      </c>
      <c r="C8422" t="s">
        <v>267</v>
      </c>
      <c r="D8422" s="230">
        <v>-5910.49</v>
      </c>
      <c r="E8422" t="s">
        <v>733</v>
      </c>
    </row>
    <row r="8423" spans="1:5" hidden="1" x14ac:dyDescent="0.3">
      <c r="A8423" t="s">
        <v>557</v>
      </c>
      <c r="B8423" t="s">
        <v>732</v>
      </c>
      <c r="C8423" t="s">
        <v>268</v>
      </c>
      <c r="D8423" s="230">
        <v>-5947.15</v>
      </c>
      <c r="E8423" t="s">
        <v>733</v>
      </c>
    </row>
    <row r="8424" spans="1:5" hidden="1" x14ac:dyDescent="0.3">
      <c r="A8424" t="s">
        <v>557</v>
      </c>
      <c r="B8424" t="s">
        <v>732</v>
      </c>
      <c r="C8424" t="s">
        <v>269</v>
      </c>
      <c r="D8424" s="230">
        <v>0</v>
      </c>
      <c r="E8424" t="s">
        <v>733</v>
      </c>
    </row>
    <row r="8425" spans="1:5" hidden="1" x14ac:dyDescent="0.3">
      <c r="A8425" t="s">
        <v>557</v>
      </c>
      <c r="B8425" t="s">
        <v>732</v>
      </c>
      <c r="C8425" t="s">
        <v>270</v>
      </c>
      <c r="D8425" s="230">
        <v>-550</v>
      </c>
      <c r="E8425" t="s">
        <v>733</v>
      </c>
    </row>
    <row r="8426" spans="1:5" hidden="1" x14ac:dyDescent="0.3">
      <c r="A8426" t="s">
        <v>557</v>
      </c>
      <c r="B8426" t="s">
        <v>732</v>
      </c>
      <c r="C8426" t="s">
        <v>271</v>
      </c>
      <c r="D8426" s="230">
        <v>-1053.3599999999999</v>
      </c>
      <c r="E8426" t="s">
        <v>733</v>
      </c>
    </row>
    <row r="8427" spans="1:5" hidden="1" x14ac:dyDescent="0.3">
      <c r="A8427" t="s">
        <v>557</v>
      </c>
      <c r="B8427" t="s">
        <v>732</v>
      </c>
      <c r="C8427" t="s">
        <v>272</v>
      </c>
      <c r="D8427" s="230">
        <v>-3607.42</v>
      </c>
      <c r="E8427" t="s">
        <v>733</v>
      </c>
    </row>
    <row r="8428" spans="1:5" hidden="1" x14ac:dyDescent="0.3">
      <c r="A8428" t="s">
        <v>557</v>
      </c>
      <c r="B8428" t="s">
        <v>732</v>
      </c>
      <c r="C8428" t="s">
        <v>273</v>
      </c>
      <c r="D8428" s="230">
        <v>-25</v>
      </c>
      <c r="E8428" t="s">
        <v>733</v>
      </c>
    </row>
    <row r="8429" spans="1:5" hidden="1" x14ac:dyDescent="0.3">
      <c r="A8429" t="s">
        <v>557</v>
      </c>
      <c r="B8429" t="s">
        <v>732</v>
      </c>
      <c r="C8429" t="s">
        <v>274</v>
      </c>
      <c r="D8429" s="230">
        <v>0</v>
      </c>
      <c r="E8429" t="s">
        <v>733</v>
      </c>
    </row>
    <row r="8430" spans="1:5" hidden="1" x14ac:dyDescent="0.3">
      <c r="A8430" t="s">
        <v>557</v>
      </c>
      <c r="B8430" t="s">
        <v>732</v>
      </c>
      <c r="C8430" t="s">
        <v>275</v>
      </c>
      <c r="D8430" s="230">
        <v>-1766.89</v>
      </c>
      <c r="E8430" t="s">
        <v>733</v>
      </c>
    </row>
    <row r="8431" spans="1:5" hidden="1" x14ac:dyDescent="0.3">
      <c r="A8431" t="s">
        <v>557</v>
      </c>
      <c r="B8431" t="s">
        <v>732</v>
      </c>
      <c r="C8431" t="s">
        <v>276</v>
      </c>
      <c r="D8431" s="230">
        <v>0</v>
      </c>
      <c r="E8431" t="s">
        <v>733</v>
      </c>
    </row>
    <row r="8432" spans="1:5" hidden="1" x14ac:dyDescent="0.3">
      <c r="A8432" t="s">
        <v>557</v>
      </c>
      <c r="B8432" t="s">
        <v>732</v>
      </c>
      <c r="C8432" t="s">
        <v>277</v>
      </c>
      <c r="D8432" s="230">
        <v>-390</v>
      </c>
      <c r="E8432" t="s">
        <v>733</v>
      </c>
    </row>
    <row r="8433" spans="1:5" hidden="1" x14ac:dyDescent="0.3">
      <c r="A8433" t="s">
        <v>557</v>
      </c>
      <c r="B8433" t="s">
        <v>732</v>
      </c>
      <c r="C8433" t="s">
        <v>278</v>
      </c>
      <c r="D8433" s="230">
        <v>-5058.95</v>
      </c>
      <c r="E8433" t="s">
        <v>733</v>
      </c>
    </row>
    <row r="8434" spans="1:5" hidden="1" x14ac:dyDescent="0.3">
      <c r="A8434" t="s">
        <v>557</v>
      </c>
      <c r="B8434" t="s">
        <v>732</v>
      </c>
      <c r="C8434" t="s">
        <v>44</v>
      </c>
      <c r="D8434" s="230">
        <v>-0.13</v>
      </c>
      <c r="E8434" t="s">
        <v>733</v>
      </c>
    </row>
    <row r="8435" spans="1:5" hidden="1" x14ac:dyDescent="0.3">
      <c r="A8435" t="s">
        <v>557</v>
      </c>
      <c r="B8435" t="s">
        <v>732</v>
      </c>
      <c r="C8435" t="s">
        <v>279</v>
      </c>
      <c r="D8435" s="230">
        <v>-6312.23</v>
      </c>
      <c r="E8435" t="s">
        <v>733</v>
      </c>
    </row>
    <row r="8436" spans="1:5" hidden="1" x14ac:dyDescent="0.3">
      <c r="A8436" t="s">
        <v>557</v>
      </c>
      <c r="B8436" t="s">
        <v>732</v>
      </c>
      <c r="C8436" t="s">
        <v>280</v>
      </c>
      <c r="D8436" s="230">
        <v>0</v>
      </c>
      <c r="E8436" t="s">
        <v>733</v>
      </c>
    </row>
    <row r="8437" spans="1:5" hidden="1" x14ac:dyDescent="0.3">
      <c r="A8437" t="s">
        <v>557</v>
      </c>
      <c r="B8437" t="s">
        <v>732</v>
      </c>
      <c r="C8437" t="s">
        <v>281</v>
      </c>
      <c r="D8437" s="230">
        <v>-926</v>
      </c>
      <c r="E8437" t="s">
        <v>733</v>
      </c>
    </row>
    <row r="8438" spans="1:5" hidden="1" x14ac:dyDescent="0.3">
      <c r="A8438" t="s">
        <v>557</v>
      </c>
      <c r="B8438" t="s">
        <v>732</v>
      </c>
      <c r="C8438" t="s">
        <v>282</v>
      </c>
      <c r="D8438" s="230">
        <v>-400.15</v>
      </c>
      <c r="E8438" t="s">
        <v>733</v>
      </c>
    </row>
    <row r="8439" spans="1:5" hidden="1" x14ac:dyDescent="0.3">
      <c r="A8439" t="s">
        <v>557</v>
      </c>
      <c r="B8439" t="s">
        <v>732</v>
      </c>
      <c r="C8439" t="s">
        <v>283</v>
      </c>
      <c r="D8439" s="230">
        <v>-274.33</v>
      </c>
      <c r="E8439" t="s">
        <v>733</v>
      </c>
    </row>
    <row r="8440" spans="1:5" hidden="1" x14ac:dyDescent="0.3">
      <c r="A8440" t="s">
        <v>557</v>
      </c>
      <c r="B8440" t="s">
        <v>732</v>
      </c>
      <c r="C8440" t="s">
        <v>284</v>
      </c>
      <c r="D8440" s="230">
        <v>-3351.06</v>
      </c>
      <c r="E8440" t="s">
        <v>733</v>
      </c>
    </row>
    <row r="8441" spans="1:5" hidden="1" x14ac:dyDescent="0.3">
      <c r="A8441" t="s">
        <v>557</v>
      </c>
      <c r="B8441" t="s">
        <v>732</v>
      </c>
      <c r="C8441" t="s">
        <v>285</v>
      </c>
      <c r="D8441" s="230">
        <v>-360</v>
      </c>
      <c r="E8441" t="s">
        <v>733</v>
      </c>
    </row>
    <row r="8442" spans="1:5" hidden="1" x14ac:dyDescent="0.3">
      <c r="A8442" t="s">
        <v>557</v>
      </c>
      <c r="B8442" t="s">
        <v>732</v>
      </c>
      <c r="C8442" t="s">
        <v>286</v>
      </c>
      <c r="D8442" s="230">
        <v>-1000.69</v>
      </c>
      <c r="E8442" t="s">
        <v>733</v>
      </c>
    </row>
    <row r="8443" spans="1:5" hidden="1" x14ac:dyDescent="0.3">
      <c r="A8443" t="s">
        <v>557</v>
      </c>
      <c r="B8443" t="s">
        <v>732</v>
      </c>
      <c r="C8443" t="s">
        <v>44</v>
      </c>
      <c r="D8443" s="230">
        <v>-0.02</v>
      </c>
      <c r="E8443" t="s">
        <v>733</v>
      </c>
    </row>
    <row r="8444" spans="1:5" hidden="1" x14ac:dyDescent="0.3">
      <c r="A8444" t="s">
        <v>557</v>
      </c>
      <c r="B8444" t="s">
        <v>732</v>
      </c>
      <c r="C8444" t="s">
        <v>287</v>
      </c>
      <c r="D8444" s="230">
        <v>-8374.39</v>
      </c>
      <c r="E8444" t="s">
        <v>733</v>
      </c>
    </row>
    <row r="8445" spans="1:5" hidden="1" x14ac:dyDescent="0.3">
      <c r="A8445" t="s">
        <v>557</v>
      </c>
      <c r="B8445" t="s">
        <v>732</v>
      </c>
      <c r="C8445" t="s">
        <v>288</v>
      </c>
      <c r="D8445" s="230">
        <v>-5650.66</v>
      </c>
      <c r="E8445" t="s">
        <v>733</v>
      </c>
    </row>
    <row r="8446" spans="1:5" hidden="1" x14ac:dyDescent="0.3">
      <c r="A8446" t="s">
        <v>557</v>
      </c>
      <c r="B8446" t="s">
        <v>732</v>
      </c>
      <c r="C8446" t="s">
        <v>289</v>
      </c>
      <c r="D8446" s="230">
        <v>0</v>
      </c>
      <c r="E8446" t="s">
        <v>733</v>
      </c>
    </row>
    <row r="8447" spans="1:5" hidden="1" x14ac:dyDescent="0.3">
      <c r="A8447" t="s">
        <v>557</v>
      </c>
      <c r="B8447" t="s">
        <v>732</v>
      </c>
      <c r="C8447" t="s">
        <v>290</v>
      </c>
      <c r="D8447" s="230">
        <v>0</v>
      </c>
      <c r="E8447" t="s">
        <v>733</v>
      </c>
    </row>
    <row r="8448" spans="1:5" hidden="1" x14ac:dyDescent="0.3">
      <c r="A8448" t="s">
        <v>557</v>
      </c>
      <c r="B8448" t="s">
        <v>732</v>
      </c>
      <c r="C8448" t="s">
        <v>291</v>
      </c>
      <c r="D8448" s="230">
        <v>-1968.27</v>
      </c>
      <c r="E8448" t="s">
        <v>733</v>
      </c>
    </row>
    <row r="8449" spans="1:5" hidden="1" x14ac:dyDescent="0.3">
      <c r="A8449" t="s">
        <v>557</v>
      </c>
      <c r="B8449" t="s">
        <v>732</v>
      </c>
      <c r="C8449" t="s">
        <v>292</v>
      </c>
      <c r="D8449" s="230">
        <v>0</v>
      </c>
      <c r="E8449" t="s">
        <v>733</v>
      </c>
    </row>
    <row r="8450" spans="1:5" hidden="1" x14ac:dyDescent="0.3">
      <c r="A8450" t="s">
        <v>557</v>
      </c>
      <c r="B8450" t="s">
        <v>732</v>
      </c>
      <c r="C8450" t="s">
        <v>293</v>
      </c>
      <c r="D8450" s="230">
        <v>-533.42999999999995</v>
      </c>
      <c r="E8450" t="s">
        <v>733</v>
      </c>
    </row>
    <row r="8451" spans="1:5" hidden="1" x14ac:dyDescent="0.3">
      <c r="A8451" t="s">
        <v>557</v>
      </c>
      <c r="B8451" t="s">
        <v>732</v>
      </c>
      <c r="C8451" t="s">
        <v>294</v>
      </c>
      <c r="D8451" s="230">
        <v>-222.03</v>
      </c>
      <c r="E8451" t="s">
        <v>733</v>
      </c>
    </row>
    <row r="8452" spans="1:5" hidden="1" x14ac:dyDescent="0.3">
      <c r="A8452" t="s">
        <v>557</v>
      </c>
      <c r="B8452" t="s">
        <v>732</v>
      </c>
      <c r="C8452" t="s">
        <v>295</v>
      </c>
      <c r="D8452" s="230">
        <v>0</v>
      </c>
      <c r="E8452" t="s">
        <v>733</v>
      </c>
    </row>
    <row r="8453" spans="1:5" hidden="1" x14ac:dyDescent="0.3">
      <c r="A8453" t="s">
        <v>557</v>
      </c>
      <c r="B8453" t="s">
        <v>732</v>
      </c>
      <c r="C8453" t="s">
        <v>44</v>
      </c>
      <c r="D8453" s="230">
        <v>-0.03</v>
      </c>
      <c r="E8453" t="s">
        <v>733</v>
      </c>
    </row>
    <row r="8454" spans="1:5" hidden="1" x14ac:dyDescent="0.3">
      <c r="A8454" t="s">
        <v>557</v>
      </c>
      <c r="B8454" t="s">
        <v>732</v>
      </c>
      <c r="C8454" t="s">
        <v>296</v>
      </c>
      <c r="D8454" s="230">
        <v>-12046.77</v>
      </c>
      <c r="E8454" t="s">
        <v>733</v>
      </c>
    </row>
    <row r="8455" spans="1:5" hidden="1" x14ac:dyDescent="0.3">
      <c r="A8455" t="s">
        <v>557</v>
      </c>
      <c r="B8455" t="s">
        <v>732</v>
      </c>
      <c r="C8455" t="s">
        <v>297</v>
      </c>
      <c r="D8455" s="230">
        <v>-7500</v>
      </c>
      <c r="E8455" t="s">
        <v>733</v>
      </c>
    </row>
    <row r="8456" spans="1:5" hidden="1" x14ac:dyDescent="0.3">
      <c r="A8456" t="s">
        <v>557</v>
      </c>
      <c r="B8456" t="s">
        <v>732</v>
      </c>
      <c r="C8456" t="s">
        <v>298</v>
      </c>
      <c r="D8456" s="230">
        <v>-460</v>
      </c>
      <c r="E8456" t="s">
        <v>733</v>
      </c>
    </row>
    <row r="8457" spans="1:5" hidden="1" x14ac:dyDescent="0.3">
      <c r="A8457" t="s">
        <v>557</v>
      </c>
      <c r="B8457" t="s">
        <v>732</v>
      </c>
      <c r="C8457" t="s">
        <v>299</v>
      </c>
      <c r="D8457" s="230">
        <v>0</v>
      </c>
      <c r="E8457" t="s">
        <v>733</v>
      </c>
    </row>
    <row r="8458" spans="1:5" hidden="1" x14ac:dyDescent="0.3">
      <c r="A8458" t="s">
        <v>557</v>
      </c>
      <c r="B8458" t="s">
        <v>732</v>
      </c>
      <c r="C8458" t="s">
        <v>300</v>
      </c>
      <c r="D8458" s="230">
        <v>-140.38</v>
      </c>
      <c r="E8458" t="s">
        <v>733</v>
      </c>
    </row>
    <row r="8459" spans="1:5" hidden="1" x14ac:dyDescent="0.3">
      <c r="A8459" t="s">
        <v>557</v>
      </c>
      <c r="B8459" t="s">
        <v>732</v>
      </c>
      <c r="C8459" t="s">
        <v>301</v>
      </c>
      <c r="D8459" s="230">
        <v>-1860.68</v>
      </c>
      <c r="E8459" t="s">
        <v>733</v>
      </c>
    </row>
    <row r="8460" spans="1:5" hidden="1" x14ac:dyDescent="0.3">
      <c r="A8460" t="s">
        <v>557</v>
      </c>
      <c r="B8460" t="s">
        <v>732</v>
      </c>
      <c r="C8460" t="s">
        <v>302</v>
      </c>
      <c r="D8460" s="230">
        <v>-53.87</v>
      </c>
      <c r="E8460" t="s">
        <v>733</v>
      </c>
    </row>
    <row r="8461" spans="1:5" hidden="1" x14ac:dyDescent="0.3">
      <c r="A8461" t="s">
        <v>557</v>
      </c>
      <c r="B8461" t="s">
        <v>732</v>
      </c>
      <c r="C8461" t="s">
        <v>303</v>
      </c>
      <c r="D8461" s="230">
        <v>-1502.84</v>
      </c>
      <c r="E8461" t="s">
        <v>733</v>
      </c>
    </row>
    <row r="8462" spans="1:5" hidden="1" x14ac:dyDescent="0.3">
      <c r="A8462" t="s">
        <v>557</v>
      </c>
      <c r="B8462" t="s">
        <v>732</v>
      </c>
      <c r="C8462" t="s">
        <v>304</v>
      </c>
      <c r="D8462" s="230">
        <v>-529</v>
      </c>
      <c r="E8462" t="s">
        <v>733</v>
      </c>
    </row>
    <row r="8463" spans="1:5" hidden="1" x14ac:dyDescent="0.3">
      <c r="A8463" t="s">
        <v>557</v>
      </c>
      <c r="B8463" t="s">
        <v>732</v>
      </c>
      <c r="C8463" t="s">
        <v>305</v>
      </c>
      <c r="D8463" s="230">
        <v>0</v>
      </c>
      <c r="E8463" t="s">
        <v>733</v>
      </c>
    </row>
    <row r="8464" spans="1:5" hidden="1" x14ac:dyDescent="0.3">
      <c r="A8464" t="s">
        <v>557</v>
      </c>
      <c r="B8464" t="s">
        <v>732</v>
      </c>
      <c r="C8464" t="s">
        <v>306</v>
      </c>
      <c r="D8464" s="230">
        <v>0</v>
      </c>
      <c r="E8464" t="s">
        <v>733</v>
      </c>
    </row>
    <row r="8465" spans="1:5" hidden="1" x14ac:dyDescent="0.3">
      <c r="A8465" t="s">
        <v>557</v>
      </c>
      <c r="B8465" t="s">
        <v>732</v>
      </c>
      <c r="C8465" t="s">
        <v>307</v>
      </c>
      <c r="D8465" s="230">
        <v>0</v>
      </c>
      <c r="E8465" t="s">
        <v>733</v>
      </c>
    </row>
    <row r="8466" spans="1:5" hidden="1" x14ac:dyDescent="0.3">
      <c r="A8466" t="s">
        <v>557</v>
      </c>
      <c r="B8466" t="s">
        <v>732</v>
      </c>
      <c r="C8466" t="s">
        <v>44</v>
      </c>
      <c r="D8466" s="230">
        <v>-0.04</v>
      </c>
      <c r="E8466" t="s">
        <v>733</v>
      </c>
    </row>
    <row r="8467" spans="1:5" hidden="1" x14ac:dyDescent="0.3">
      <c r="A8467" t="s">
        <v>557</v>
      </c>
      <c r="B8467" t="s">
        <v>732</v>
      </c>
      <c r="C8467" t="s">
        <v>308</v>
      </c>
      <c r="D8467" s="230">
        <v>-10212.08</v>
      </c>
      <c r="E8467" t="s">
        <v>733</v>
      </c>
    </row>
    <row r="8468" spans="1:5" hidden="1" x14ac:dyDescent="0.3">
      <c r="A8468" t="s">
        <v>557</v>
      </c>
      <c r="B8468" t="s">
        <v>732</v>
      </c>
      <c r="C8468" t="s">
        <v>309</v>
      </c>
      <c r="D8468" s="230">
        <v>-3318.9</v>
      </c>
      <c r="E8468" t="s">
        <v>733</v>
      </c>
    </row>
    <row r="8469" spans="1:5" hidden="1" x14ac:dyDescent="0.3">
      <c r="A8469" t="s">
        <v>557</v>
      </c>
      <c r="B8469" t="s">
        <v>732</v>
      </c>
      <c r="C8469" t="s">
        <v>310</v>
      </c>
      <c r="D8469" s="230">
        <v>0</v>
      </c>
      <c r="E8469" t="s">
        <v>733</v>
      </c>
    </row>
    <row r="8470" spans="1:5" hidden="1" x14ac:dyDescent="0.3">
      <c r="A8470" t="s">
        <v>557</v>
      </c>
      <c r="B8470" t="s">
        <v>732</v>
      </c>
      <c r="C8470" t="s">
        <v>311</v>
      </c>
      <c r="D8470" s="230">
        <v>0</v>
      </c>
      <c r="E8470" t="s">
        <v>733</v>
      </c>
    </row>
    <row r="8471" spans="1:5" hidden="1" x14ac:dyDescent="0.3">
      <c r="A8471" t="s">
        <v>557</v>
      </c>
      <c r="B8471" t="s">
        <v>732</v>
      </c>
      <c r="C8471" t="s">
        <v>312</v>
      </c>
      <c r="D8471" s="230">
        <v>-185</v>
      </c>
      <c r="E8471" t="s">
        <v>733</v>
      </c>
    </row>
    <row r="8472" spans="1:5" hidden="1" x14ac:dyDescent="0.3">
      <c r="A8472" t="s">
        <v>557</v>
      </c>
      <c r="B8472" t="s">
        <v>732</v>
      </c>
      <c r="C8472" t="s">
        <v>313</v>
      </c>
      <c r="D8472" s="230">
        <v>0</v>
      </c>
      <c r="E8472" t="s">
        <v>733</v>
      </c>
    </row>
    <row r="8473" spans="1:5" hidden="1" x14ac:dyDescent="0.3">
      <c r="A8473" t="s">
        <v>557</v>
      </c>
      <c r="B8473" t="s">
        <v>732</v>
      </c>
      <c r="C8473" t="s">
        <v>314</v>
      </c>
      <c r="D8473" s="230">
        <v>-6708.18</v>
      </c>
      <c r="E8473" t="s">
        <v>733</v>
      </c>
    </row>
    <row r="8474" spans="1:5" hidden="1" x14ac:dyDescent="0.3">
      <c r="A8474" t="s">
        <v>557</v>
      </c>
      <c r="B8474" t="s">
        <v>732</v>
      </c>
      <c r="C8474" t="s">
        <v>315</v>
      </c>
      <c r="D8474" s="230">
        <v>0</v>
      </c>
      <c r="E8474" t="s">
        <v>733</v>
      </c>
    </row>
    <row r="8475" spans="1:5" hidden="1" x14ac:dyDescent="0.3">
      <c r="A8475" t="s">
        <v>557</v>
      </c>
      <c r="B8475" t="s">
        <v>732</v>
      </c>
      <c r="C8475" t="s">
        <v>316</v>
      </c>
      <c r="D8475" s="230">
        <v>0</v>
      </c>
      <c r="E8475" t="s">
        <v>733</v>
      </c>
    </row>
    <row r="8476" spans="1:5" hidden="1" x14ac:dyDescent="0.3">
      <c r="A8476" t="s">
        <v>557</v>
      </c>
      <c r="B8476" t="s">
        <v>732</v>
      </c>
      <c r="C8476" t="s">
        <v>317</v>
      </c>
      <c r="D8476" s="230">
        <v>0</v>
      </c>
      <c r="E8476" t="s">
        <v>733</v>
      </c>
    </row>
    <row r="8477" spans="1:5" hidden="1" x14ac:dyDescent="0.3">
      <c r="A8477" t="s">
        <v>557</v>
      </c>
      <c r="B8477" t="s">
        <v>732</v>
      </c>
      <c r="C8477" t="s">
        <v>44</v>
      </c>
      <c r="D8477" s="230">
        <v>-0.03</v>
      </c>
      <c r="E8477" t="s">
        <v>733</v>
      </c>
    </row>
    <row r="8478" spans="1:5" hidden="1" x14ac:dyDescent="0.3">
      <c r="A8478" t="s">
        <v>557</v>
      </c>
      <c r="B8478" t="s">
        <v>732</v>
      </c>
      <c r="C8478" t="s">
        <v>318</v>
      </c>
      <c r="D8478" s="230">
        <v>-2439.4</v>
      </c>
      <c r="E8478" t="s">
        <v>733</v>
      </c>
    </row>
    <row r="8479" spans="1:5" hidden="1" x14ac:dyDescent="0.3">
      <c r="A8479" t="s">
        <v>557</v>
      </c>
      <c r="B8479" t="s">
        <v>732</v>
      </c>
      <c r="C8479" t="s">
        <v>319</v>
      </c>
      <c r="D8479" s="230">
        <v>-2086</v>
      </c>
      <c r="E8479" t="s">
        <v>733</v>
      </c>
    </row>
    <row r="8480" spans="1:5" hidden="1" x14ac:dyDescent="0.3">
      <c r="A8480" t="s">
        <v>557</v>
      </c>
      <c r="B8480" t="s">
        <v>732</v>
      </c>
      <c r="C8480" t="s">
        <v>320</v>
      </c>
      <c r="D8480" s="230">
        <v>-153.4</v>
      </c>
      <c r="E8480" t="s">
        <v>733</v>
      </c>
    </row>
    <row r="8481" spans="1:5" hidden="1" x14ac:dyDescent="0.3">
      <c r="A8481" t="s">
        <v>557</v>
      </c>
      <c r="B8481" t="s">
        <v>732</v>
      </c>
      <c r="C8481" t="s">
        <v>321</v>
      </c>
      <c r="D8481" s="230">
        <v>-200</v>
      </c>
      <c r="E8481" t="s">
        <v>733</v>
      </c>
    </row>
    <row r="8482" spans="1:5" hidden="1" x14ac:dyDescent="0.3">
      <c r="A8482" t="s">
        <v>557</v>
      </c>
      <c r="B8482" t="s">
        <v>732</v>
      </c>
      <c r="C8482" t="s">
        <v>322</v>
      </c>
      <c r="D8482" s="230">
        <v>0</v>
      </c>
      <c r="E8482" t="s">
        <v>733</v>
      </c>
    </row>
    <row r="8483" spans="1:5" hidden="1" x14ac:dyDescent="0.3">
      <c r="A8483" t="s">
        <v>557</v>
      </c>
      <c r="B8483" t="s">
        <v>732</v>
      </c>
      <c r="C8483" t="s">
        <v>44</v>
      </c>
      <c r="D8483" s="230">
        <v>-0.01</v>
      </c>
      <c r="E8483" t="s">
        <v>733</v>
      </c>
    </row>
    <row r="8484" spans="1:5" hidden="1" x14ac:dyDescent="0.3">
      <c r="A8484" t="s">
        <v>557</v>
      </c>
      <c r="B8484" t="s">
        <v>732</v>
      </c>
      <c r="C8484" t="s">
        <v>323</v>
      </c>
      <c r="D8484" s="230">
        <v>-15215.84</v>
      </c>
      <c r="E8484" t="s">
        <v>733</v>
      </c>
    </row>
    <row r="8485" spans="1:5" hidden="1" x14ac:dyDescent="0.3">
      <c r="A8485" t="s">
        <v>557</v>
      </c>
      <c r="B8485" t="s">
        <v>732</v>
      </c>
      <c r="C8485" t="s">
        <v>324</v>
      </c>
      <c r="D8485" s="230">
        <v>0</v>
      </c>
      <c r="E8485" t="s">
        <v>733</v>
      </c>
    </row>
    <row r="8486" spans="1:5" hidden="1" x14ac:dyDescent="0.3">
      <c r="A8486" t="s">
        <v>557</v>
      </c>
      <c r="B8486" t="s">
        <v>732</v>
      </c>
      <c r="C8486" t="s">
        <v>325</v>
      </c>
      <c r="D8486" s="230">
        <v>0</v>
      </c>
      <c r="E8486" t="s">
        <v>733</v>
      </c>
    </row>
    <row r="8487" spans="1:5" x14ac:dyDescent="0.3">
      <c r="A8487" t="s">
        <v>557</v>
      </c>
      <c r="B8487" t="s">
        <v>732</v>
      </c>
      <c r="C8487" t="s">
        <v>326</v>
      </c>
      <c r="D8487" s="230">
        <v>-15215.84</v>
      </c>
      <c r="E8487" t="s">
        <v>733</v>
      </c>
    </row>
    <row r="8488" spans="1:5" hidden="1" x14ac:dyDescent="0.3">
      <c r="A8488" t="s">
        <v>557</v>
      </c>
      <c r="B8488" t="s">
        <v>732</v>
      </c>
      <c r="C8488" t="s">
        <v>44</v>
      </c>
      <c r="D8488" s="230">
        <v>-0.05</v>
      </c>
      <c r="E8488" t="s">
        <v>733</v>
      </c>
    </row>
    <row r="8489" spans="1:5" hidden="1" x14ac:dyDescent="0.3">
      <c r="A8489" t="s">
        <v>557</v>
      </c>
      <c r="B8489" t="s">
        <v>732</v>
      </c>
      <c r="C8489" t="s">
        <v>328</v>
      </c>
      <c r="D8489" s="230">
        <v>-261775.71</v>
      </c>
      <c r="E8489" t="s">
        <v>733</v>
      </c>
    </row>
    <row r="8490" spans="1:5" hidden="1" x14ac:dyDescent="0.3">
      <c r="A8490" t="s">
        <v>557</v>
      </c>
      <c r="B8490" t="s">
        <v>732</v>
      </c>
      <c r="C8490" t="s">
        <v>44</v>
      </c>
      <c r="D8490" s="230">
        <v>-0.86</v>
      </c>
      <c r="E8490" t="s">
        <v>733</v>
      </c>
    </row>
    <row r="8491" spans="1:5" hidden="1" x14ac:dyDescent="0.3">
      <c r="A8491" t="s">
        <v>557</v>
      </c>
      <c r="B8491" t="s">
        <v>732</v>
      </c>
      <c r="C8491" t="s">
        <v>329</v>
      </c>
      <c r="D8491" s="230">
        <v>-120916.37</v>
      </c>
      <c r="E8491" t="s">
        <v>733</v>
      </c>
    </row>
    <row r="8492" spans="1:5" hidden="1" x14ac:dyDescent="0.3">
      <c r="A8492" t="s">
        <v>557</v>
      </c>
      <c r="B8492" t="s">
        <v>732</v>
      </c>
      <c r="C8492" t="s">
        <v>44</v>
      </c>
      <c r="D8492" s="230">
        <v>-0.4</v>
      </c>
      <c r="E8492" t="s">
        <v>733</v>
      </c>
    </row>
    <row r="8493" spans="1:5" hidden="1" x14ac:dyDescent="0.3">
      <c r="A8493" t="s">
        <v>557</v>
      </c>
      <c r="B8493" t="s">
        <v>732</v>
      </c>
      <c r="C8493" t="s">
        <v>330</v>
      </c>
      <c r="D8493" s="230">
        <v>0</v>
      </c>
      <c r="E8493" t="s">
        <v>733</v>
      </c>
    </row>
    <row r="8494" spans="1:5" hidden="1" x14ac:dyDescent="0.3">
      <c r="A8494" t="s">
        <v>557</v>
      </c>
      <c r="B8494" t="s">
        <v>732</v>
      </c>
      <c r="C8494" t="s">
        <v>332</v>
      </c>
      <c r="D8494" s="230">
        <v>-120916.37</v>
      </c>
      <c r="E8494" t="s">
        <v>733</v>
      </c>
    </row>
    <row r="8495" spans="1:5" hidden="1" x14ac:dyDescent="0.3">
      <c r="A8495" t="s">
        <v>557</v>
      </c>
      <c r="B8495" t="s">
        <v>732</v>
      </c>
      <c r="C8495" t="s">
        <v>333</v>
      </c>
      <c r="D8495" s="230">
        <v>5634.01</v>
      </c>
      <c r="E8495" t="s">
        <v>733</v>
      </c>
    </row>
    <row r="8496" spans="1:5" hidden="1" x14ac:dyDescent="0.3">
      <c r="A8496" t="s">
        <v>557</v>
      </c>
      <c r="B8496" t="s">
        <v>732</v>
      </c>
      <c r="C8496" t="s">
        <v>334</v>
      </c>
      <c r="D8496" s="230">
        <v>0</v>
      </c>
      <c r="E8496" t="s">
        <v>733</v>
      </c>
    </row>
    <row r="8497" spans="1:5" hidden="1" x14ac:dyDescent="0.3">
      <c r="A8497" t="s">
        <v>557</v>
      </c>
      <c r="B8497" t="s">
        <v>732</v>
      </c>
      <c r="C8497" t="s">
        <v>336</v>
      </c>
      <c r="D8497" s="230">
        <v>-4518.8999999999996</v>
      </c>
      <c r="E8497" t="s">
        <v>733</v>
      </c>
    </row>
    <row r="8498" spans="1:5" hidden="1" x14ac:dyDescent="0.3">
      <c r="A8498" t="s">
        <v>557</v>
      </c>
      <c r="B8498" t="s">
        <v>732</v>
      </c>
      <c r="C8498" t="s">
        <v>338</v>
      </c>
      <c r="D8498" s="230">
        <v>-119801.26</v>
      </c>
      <c r="E8498" t="s">
        <v>733</v>
      </c>
    </row>
    <row r="8499" spans="1:5" hidden="1" x14ac:dyDescent="0.3">
      <c r="A8499" t="s">
        <v>557</v>
      </c>
      <c r="B8499" t="s">
        <v>732</v>
      </c>
      <c r="C8499" t="s">
        <v>339</v>
      </c>
      <c r="D8499" s="230">
        <v>-6691.7</v>
      </c>
      <c r="E8499" t="s">
        <v>733</v>
      </c>
    </row>
    <row r="8500" spans="1:5" hidden="1" x14ac:dyDescent="0.3">
      <c r="A8500" t="s">
        <v>557</v>
      </c>
      <c r="B8500" t="s">
        <v>732</v>
      </c>
      <c r="C8500" t="s">
        <v>342</v>
      </c>
      <c r="D8500" s="230">
        <v>0</v>
      </c>
      <c r="E8500" t="s">
        <v>733</v>
      </c>
    </row>
    <row r="8501" spans="1:5" hidden="1" x14ac:dyDescent="0.3">
      <c r="A8501" t="s">
        <v>557</v>
      </c>
      <c r="B8501" t="s">
        <v>732</v>
      </c>
      <c r="C8501" t="s">
        <v>344</v>
      </c>
      <c r="D8501" s="230">
        <v>-3584.35</v>
      </c>
      <c r="E8501" t="s">
        <v>733</v>
      </c>
    </row>
    <row r="8502" spans="1:5" hidden="1" x14ac:dyDescent="0.3">
      <c r="A8502" t="s">
        <v>557</v>
      </c>
      <c r="B8502" t="s">
        <v>732</v>
      </c>
      <c r="C8502" t="s">
        <v>345</v>
      </c>
      <c r="D8502" s="230">
        <v>0</v>
      </c>
      <c r="E8502" t="s">
        <v>733</v>
      </c>
    </row>
    <row r="8503" spans="1:5" hidden="1" x14ac:dyDescent="0.3">
      <c r="A8503" t="s">
        <v>557</v>
      </c>
      <c r="B8503" t="s">
        <v>732</v>
      </c>
      <c r="C8503" t="s">
        <v>346</v>
      </c>
      <c r="D8503" s="230">
        <v>-3107.34</v>
      </c>
      <c r="E8503" t="s">
        <v>733</v>
      </c>
    </row>
    <row r="8504" spans="1:5" hidden="1" x14ac:dyDescent="0.3">
      <c r="A8504" t="s">
        <v>557</v>
      </c>
      <c r="B8504" t="s">
        <v>732</v>
      </c>
      <c r="C8504" t="s">
        <v>347</v>
      </c>
      <c r="D8504" s="230">
        <v>-126492.95</v>
      </c>
      <c r="E8504" t="s">
        <v>733</v>
      </c>
    </row>
    <row r="8505" spans="1:5" hidden="1" x14ac:dyDescent="0.3">
      <c r="A8505" t="s">
        <v>557</v>
      </c>
      <c r="B8505" t="s">
        <v>732</v>
      </c>
      <c r="C8505" t="s">
        <v>44</v>
      </c>
      <c r="D8505" s="230">
        <v>-0.42</v>
      </c>
      <c r="E8505" t="s">
        <v>733</v>
      </c>
    </row>
    <row r="8506" spans="1:5" hidden="1" x14ac:dyDescent="0.3">
      <c r="A8506" t="s">
        <v>557</v>
      </c>
      <c r="B8506" t="s">
        <v>732</v>
      </c>
      <c r="C8506" t="s">
        <v>348</v>
      </c>
      <c r="D8506" s="230">
        <v>-15253</v>
      </c>
      <c r="E8506" t="s">
        <v>733</v>
      </c>
    </row>
    <row r="8507" spans="1:5" hidden="1" x14ac:dyDescent="0.3">
      <c r="A8507" t="s">
        <v>557</v>
      </c>
      <c r="B8507" t="s">
        <v>732</v>
      </c>
      <c r="C8507" t="s">
        <v>707</v>
      </c>
      <c r="D8507" s="230">
        <v>0</v>
      </c>
      <c r="E8507" t="s">
        <v>733</v>
      </c>
    </row>
    <row r="8508" spans="1:5" hidden="1" x14ac:dyDescent="0.3">
      <c r="A8508" t="s">
        <v>557</v>
      </c>
      <c r="B8508" t="s">
        <v>732</v>
      </c>
      <c r="C8508" t="s">
        <v>350</v>
      </c>
      <c r="D8508" s="230">
        <v>-10575</v>
      </c>
      <c r="E8508" t="s">
        <v>733</v>
      </c>
    </row>
    <row r="8509" spans="1:5" hidden="1" x14ac:dyDescent="0.3">
      <c r="A8509" t="s">
        <v>557</v>
      </c>
      <c r="B8509" t="s">
        <v>732</v>
      </c>
      <c r="C8509" t="s">
        <v>351</v>
      </c>
      <c r="D8509" s="230">
        <v>0</v>
      </c>
      <c r="E8509" t="s">
        <v>733</v>
      </c>
    </row>
    <row r="8510" spans="1:5" hidden="1" x14ac:dyDescent="0.3">
      <c r="A8510" t="s">
        <v>557</v>
      </c>
      <c r="B8510" t="s">
        <v>732</v>
      </c>
      <c r="C8510" t="s">
        <v>352</v>
      </c>
      <c r="D8510" s="230">
        <v>0</v>
      </c>
      <c r="E8510" t="s">
        <v>733</v>
      </c>
    </row>
    <row r="8511" spans="1:5" hidden="1" x14ac:dyDescent="0.3">
      <c r="A8511" t="s">
        <v>557</v>
      </c>
      <c r="B8511" t="s">
        <v>732</v>
      </c>
      <c r="C8511" t="s">
        <v>353</v>
      </c>
      <c r="D8511" s="230">
        <v>0</v>
      </c>
      <c r="E8511" t="s">
        <v>733</v>
      </c>
    </row>
    <row r="8512" spans="1:5" hidden="1" x14ac:dyDescent="0.3">
      <c r="A8512" t="s">
        <v>557</v>
      </c>
      <c r="B8512" t="s">
        <v>732</v>
      </c>
      <c r="C8512" t="s">
        <v>354</v>
      </c>
      <c r="D8512" s="230">
        <v>0</v>
      </c>
      <c r="E8512" t="s">
        <v>733</v>
      </c>
    </row>
    <row r="8513" spans="1:5" hidden="1" x14ac:dyDescent="0.3">
      <c r="A8513" t="s">
        <v>557</v>
      </c>
      <c r="B8513" t="s">
        <v>732</v>
      </c>
      <c r="C8513" t="s">
        <v>355</v>
      </c>
      <c r="D8513" s="230">
        <v>-2378</v>
      </c>
      <c r="E8513" t="s">
        <v>733</v>
      </c>
    </row>
    <row r="8514" spans="1:5" hidden="1" x14ac:dyDescent="0.3">
      <c r="A8514" t="s">
        <v>557</v>
      </c>
      <c r="B8514" t="s">
        <v>732</v>
      </c>
      <c r="C8514" t="s">
        <v>356</v>
      </c>
      <c r="D8514" s="230">
        <v>0</v>
      </c>
      <c r="E8514" t="s">
        <v>733</v>
      </c>
    </row>
    <row r="8515" spans="1:5" hidden="1" x14ac:dyDescent="0.3">
      <c r="A8515" t="s">
        <v>557</v>
      </c>
      <c r="B8515" t="s">
        <v>732</v>
      </c>
      <c r="C8515" t="s">
        <v>357</v>
      </c>
      <c r="D8515" s="230">
        <v>0</v>
      </c>
      <c r="E8515" t="s">
        <v>733</v>
      </c>
    </row>
    <row r="8516" spans="1:5" hidden="1" x14ac:dyDescent="0.3">
      <c r="A8516" t="s">
        <v>557</v>
      </c>
      <c r="B8516" t="s">
        <v>732</v>
      </c>
      <c r="C8516" t="s">
        <v>358</v>
      </c>
      <c r="D8516" s="230">
        <v>0</v>
      </c>
      <c r="E8516" t="s">
        <v>733</v>
      </c>
    </row>
    <row r="8517" spans="1:5" hidden="1" x14ac:dyDescent="0.3">
      <c r="A8517" t="s">
        <v>557</v>
      </c>
      <c r="B8517" t="s">
        <v>732</v>
      </c>
      <c r="C8517" t="s">
        <v>359</v>
      </c>
      <c r="D8517" s="230">
        <v>-2300</v>
      </c>
      <c r="E8517" t="s">
        <v>733</v>
      </c>
    </row>
    <row r="8518" spans="1:5" hidden="1" x14ac:dyDescent="0.3">
      <c r="A8518" t="s">
        <v>557</v>
      </c>
      <c r="B8518" t="s">
        <v>732</v>
      </c>
      <c r="C8518" t="s">
        <v>360</v>
      </c>
      <c r="D8518" s="230">
        <v>0</v>
      </c>
      <c r="E8518" t="s">
        <v>733</v>
      </c>
    </row>
    <row r="8519" spans="1:5" hidden="1" x14ac:dyDescent="0.3">
      <c r="A8519" t="s">
        <v>557</v>
      </c>
      <c r="B8519" t="s">
        <v>732</v>
      </c>
      <c r="C8519" t="s">
        <v>361</v>
      </c>
      <c r="D8519" s="230">
        <v>0</v>
      </c>
      <c r="E8519" t="s">
        <v>733</v>
      </c>
    </row>
    <row r="8520" spans="1:5" hidden="1" x14ac:dyDescent="0.3">
      <c r="A8520" t="s">
        <v>557</v>
      </c>
      <c r="B8520" t="s">
        <v>732</v>
      </c>
      <c r="C8520" t="s">
        <v>362</v>
      </c>
      <c r="D8520" s="230">
        <v>0</v>
      </c>
      <c r="E8520" t="s">
        <v>733</v>
      </c>
    </row>
    <row r="8521" spans="1:5" hidden="1" x14ac:dyDescent="0.3">
      <c r="A8521" t="s">
        <v>557</v>
      </c>
      <c r="B8521" t="s">
        <v>732</v>
      </c>
      <c r="C8521" t="s">
        <v>363</v>
      </c>
      <c r="D8521" s="230">
        <v>0</v>
      </c>
      <c r="E8521" t="s">
        <v>733</v>
      </c>
    </row>
    <row r="8522" spans="1:5" hidden="1" x14ac:dyDescent="0.3">
      <c r="A8522" t="s">
        <v>557</v>
      </c>
      <c r="B8522" t="s">
        <v>732</v>
      </c>
      <c r="C8522" t="s">
        <v>364</v>
      </c>
      <c r="D8522" s="230">
        <v>0</v>
      </c>
      <c r="E8522" t="s">
        <v>733</v>
      </c>
    </row>
    <row r="8523" spans="1:5" hidden="1" x14ac:dyDescent="0.3">
      <c r="A8523" t="s">
        <v>557</v>
      </c>
      <c r="B8523" t="s">
        <v>732</v>
      </c>
      <c r="C8523" t="s">
        <v>365</v>
      </c>
      <c r="D8523" s="230">
        <v>-1168.49</v>
      </c>
      <c r="E8523" t="s">
        <v>733</v>
      </c>
    </row>
    <row r="8524" spans="1:5" hidden="1" x14ac:dyDescent="0.3">
      <c r="A8524" t="s">
        <v>557</v>
      </c>
      <c r="B8524" t="s">
        <v>732</v>
      </c>
      <c r="C8524" t="s">
        <v>366</v>
      </c>
      <c r="D8524" s="230">
        <v>0</v>
      </c>
      <c r="E8524" t="s">
        <v>733</v>
      </c>
    </row>
    <row r="8525" spans="1:5" hidden="1" x14ac:dyDescent="0.3">
      <c r="A8525" t="s">
        <v>557</v>
      </c>
      <c r="B8525" t="s">
        <v>732</v>
      </c>
      <c r="C8525" t="s">
        <v>367</v>
      </c>
      <c r="D8525" s="230">
        <v>0</v>
      </c>
      <c r="E8525" t="s">
        <v>733</v>
      </c>
    </row>
    <row r="8526" spans="1:5" hidden="1" x14ac:dyDescent="0.3">
      <c r="A8526" t="s">
        <v>557</v>
      </c>
      <c r="B8526" t="s">
        <v>732</v>
      </c>
      <c r="C8526" t="s">
        <v>368</v>
      </c>
      <c r="D8526" s="230">
        <v>-1168.49</v>
      </c>
      <c r="E8526" t="s">
        <v>733</v>
      </c>
    </row>
    <row r="8527" spans="1:5" hidden="1" x14ac:dyDescent="0.3">
      <c r="A8527" t="s">
        <v>557</v>
      </c>
      <c r="B8527" t="s">
        <v>732</v>
      </c>
      <c r="C8527" t="s">
        <v>369</v>
      </c>
      <c r="D8527" s="230">
        <v>0</v>
      </c>
      <c r="E8527" t="s">
        <v>733</v>
      </c>
    </row>
    <row r="8528" spans="1:5" hidden="1" x14ac:dyDescent="0.3">
      <c r="A8528" t="s">
        <v>557</v>
      </c>
      <c r="B8528" t="s">
        <v>732</v>
      </c>
      <c r="C8528" t="s">
        <v>370</v>
      </c>
      <c r="D8528" s="230">
        <v>0</v>
      </c>
      <c r="E8528" t="s">
        <v>733</v>
      </c>
    </row>
    <row r="8529" spans="1:5" hidden="1" x14ac:dyDescent="0.3">
      <c r="A8529" t="s">
        <v>557</v>
      </c>
      <c r="B8529" t="s">
        <v>732</v>
      </c>
      <c r="C8529" t="s">
        <v>371</v>
      </c>
      <c r="D8529" s="230">
        <v>0</v>
      </c>
      <c r="E8529" t="s">
        <v>733</v>
      </c>
    </row>
    <row r="8530" spans="1:5" hidden="1" x14ac:dyDescent="0.3">
      <c r="A8530" t="s">
        <v>557</v>
      </c>
      <c r="B8530" t="s">
        <v>732</v>
      </c>
      <c r="C8530" t="s">
        <v>372</v>
      </c>
      <c r="D8530" s="230">
        <v>0</v>
      </c>
      <c r="E8530" t="s">
        <v>733</v>
      </c>
    </row>
    <row r="8531" spans="1:5" hidden="1" x14ac:dyDescent="0.3">
      <c r="A8531" t="s">
        <v>557</v>
      </c>
      <c r="B8531" t="s">
        <v>732</v>
      </c>
      <c r="C8531" t="s">
        <v>373</v>
      </c>
      <c r="D8531" s="230">
        <v>-16421.490000000002</v>
      </c>
      <c r="E8531" t="s">
        <v>733</v>
      </c>
    </row>
    <row r="8532" spans="1:5" hidden="1" x14ac:dyDescent="0.3">
      <c r="A8532" t="s">
        <v>557</v>
      </c>
      <c r="B8532" t="s">
        <v>732</v>
      </c>
      <c r="C8532" t="s">
        <v>374</v>
      </c>
      <c r="D8532" s="230">
        <v>-142914.44</v>
      </c>
      <c r="E8532" t="s">
        <v>733</v>
      </c>
    </row>
    <row r="8533" spans="1:5" hidden="1" x14ac:dyDescent="0.3">
      <c r="A8533" t="s">
        <v>557</v>
      </c>
      <c r="B8533" t="s">
        <v>732</v>
      </c>
      <c r="C8533" t="s">
        <v>708</v>
      </c>
      <c r="D8533" s="230">
        <v>-142914.44</v>
      </c>
      <c r="E8533" t="s">
        <v>733</v>
      </c>
    </row>
    <row r="8534" spans="1:5" hidden="1" x14ac:dyDescent="0.3">
      <c r="A8534" t="s">
        <v>557</v>
      </c>
      <c r="B8534" t="s">
        <v>734</v>
      </c>
      <c r="C8534" t="s">
        <v>11</v>
      </c>
      <c r="D8534" s="230">
        <v>320349.14</v>
      </c>
      <c r="E8534" t="s">
        <v>735</v>
      </c>
    </row>
    <row r="8535" spans="1:5" hidden="1" x14ac:dyDescent="0.3">
      <c r="A8535" t="s">
        <v>557</v>
      </c>
      <c r="B8535" t="s">
        <v>734</v>
      </c>
      <c r="C8535" t="s">
        <v>13</v>
      </c>
      <c r="D8535" s="230">
        <v>165460.20000000001</v>
      </c>
      <c r="E8535" t="s">
        <v>735</v>
      </c>
    </row>
    <row r="8536" spans="1:5" hidden="1" x14ac:dyDescent="0.3">
      <c r="A8536" t="s">
        <v>557</v>
      </c>
      <c r="B8536" t="s">
        <v>734</v>
      </c>
      <c r="C8536" t="s">
        <v>16</v>
      </c>
      <c r="D8536" s="230">
        <v>87610.6</v>
      </c>
      <c r="E8536" t="s">
        <v>735</v>
      </c>
    </row>
    <row r="8537" spans="1:5" hidden="1" x14ac:dyDescent="0.3">
      <c r="A8537" t="s">
        <v>557</v>
      </c>
      <c r="B8537" t="s">
        <v>734</v>
      </c>
      <c r="C8537" t="s">
        <v>17</v>
      </c>
      <c r="D8537" s="230">
        <v>4720</v>
      </c>
      <c r="E8537" t="s">
        <v>735</v>
      </c>
    </row>
    <row r="8538" spans="1:5" hidden="1" x14ac:dyDescent="0.3">
      <c r="A8538" t="s">
        <v>557</v>
      </c>
      <c r="B8538" t="s">
        <v>734</v>
      </c>
      <c r="C8538" t="s">
        <v>18</v>
      </c>
      <c r="D8538" s="230">
        <v>0</v>
      </c>
      <c r="E8538" t="s">
        <v>735</v>
      </c>
    </row>
    <row r="8539" spans="1:5" hidden="1" x14ac:dyDescent="0.3">
      <c r="A8539" t="s">
        <v>557</v>
      </c>
      <c r="B8539" t="s">
        <v>734</v>
      </c>
      <c r="C8539" t="s">
        <v>20</v>
      </c>
      <c r="D8539" s="230">
        <v>32615.46</v>
      </c>
      <c r="E8539" t="s">
        <v>735</v>
      </c>
    </row>
    <row r="8540" spans="1:5" hidden="1" x14ac:dyDescent="0.3">
      <c r="A8540" t="s">
        <v>557</v>
      </c>
      <c r="B8540" t="s">
        <v>734</v>
      </c>
      <c r="C8540" t="s">
        <v>23</v>
      </c>
      <c r="D8540" s="230">
        <v>18949.8</v>
      </c>
      <c r="E8540" t="s">
        <v>735</v>
      </c>
    </row>
    <row r="8541" spans="1:5" hidden="1" x14ac:dyDescent="0.3">
      <c r="A8541" t="s">
        <v>557</v>
      </c>
      <c r="B8541" t="s">
        <v>734</v>
      </c>
      <c r="C8541" t="s">
        <v>25</v>
      </c>
      <c r="D8541" s="230">
        <v>0</v>
      </c>
      <c r="E8541" t="s">
        <v>735</v>
      </c>
    </row>
    <row r="8542" spans="1:5" hidden="1" x14ac:dyDescent="0.3">
      <c r="A8542" t="s">
        <v>557</v>
      </c>
      <c r="B8542" t="s">
        <v>734</v>
      </c>
      <c r="C8542" t="s">
        <v>26</v>
      </c>
      <c r="D8542" s="230">
        <v>6400</v>
      </c>
      <c r="E8542" t="s">
        <v>735</v>
      </c>
    </row>
    <row r="8543" spans="1:5" hidden="1" x14ac:dyDescent="0.3">
      <c r="A8543" t="s">
        <v>557</v>
      </c>
      <c r="B8543" t="s">
        <v>734</v>
      </c>
      <c r="C8543" t="s">
        <v>27</v>
      </c>
      <c r="D8543" s="230">
        <v>0</v>
      </c>
      <c r="E8543" t="s">
        <v>735</v>
      </c>
    </row>
    <row r="8544" spans="1:5" hidden="1" x14ac:dyDescent="0.3">
      <c r="A8544" t="s">
        <v>557</v>
      </c>
      <c r="B8544" t="s">
        <v>734</v>
      </c>
      <c r="C8544" t="s">
        <v>29</v>
      </c>
      <c r="D8544" s="230">
        <v>4458.08</v>
      </c>
      <c r="E8544" t="s">
        <v>735</v>
      </c>
    </row>
    <row r="8545" spans="1:5" hidden="1" x14ac:dyDescent="0.3">
      <c r="A8545" t="s">
        <v>557</v>
      </c>
      <c r="B8545" t="s">
        <v>734</v>
      </c>
      <c r="C8545" t="s">
        <v>31</v>
      </c>
      <c r="D8545" s="230">
        <v>135</v>
      </c>
      <c r="E8545" t="s">
        <v>735</v>
      </c>
    </row>
    <row r="8546" spans="1:5" hidden="1" x14ac:dyDescent="0.3">
      <c r="A8546" t="s">
        <v>557</v>
      </c>
      <c r="B8546" t="s">
        <v>734</v>
      </c>
      <c r="C8546" t="s">
        <v>34</v>
      </c>
      <c r="D8546" s="230">
        <v>-5172.68</v>
      </c>
      <c r="E8546" t="s">
        <v>735</v>
      </c>
    </row>
    <row r="8547" spans="1:5" hidden="1" x14ac:dyDescent="0.3">
      <c r="A8547" t="s">
        <v>557</v>
      </c>
      <c r="B8547" t="s">
        <v>734</v>
      </c>
      <c r="C8547" t="s">
        <v>38</v>
      </c>
      <c r="D8547" s="230">
        <v>-2776.03</v>
      </c>
      <c r="E8547" t="s">
        <v>735</v>
      </c>
    </row>
    <row r="8548" spans="1:5" hidden="1" x14ac:dyDescent="0.3">
      <c r="A8548" t="s">
        <v>557</v>
      </c>
      <c r="B8548" t="s">
        <v>734</v>
      </c>
      <c r="C8548" t="s">
        <v>40</v>
      </c>
      <c r="D8548" s="230">
        <v>-1475.25</v>
      </c>
      <c r="E8548" t="s">
        <v>735</v>
      </c>
    </row>
    <row r="8549" spans="1:5" hidden="1" x14ac:dyDescent="0.3">
      <c r="A8549" t="s">
        <v>557</v>
      </c>
      <c r="B8549" t="s">
        <v>734</v>
      </c>
      <c r="C8549" t="s">
        <v>42</v>
      </c>
      <c r="D8549" s="230">
        <v>-921.41</v>
      </c>
      <c r="E8549" t="s">
        <v>735</v>
      </c>
    </row>
    <row r="8550" spans="1:5" hidden="1" x14ac:dyDescent="0.3">
      <c r="A8550" t="s">
        <v>557</v>
      </c>
      <c r="B8550" t="s">
        <v>734</v>
      </c>
      <c r="C8550" t="s">
        <v>44</v>
      </c>
      <c r="D8550" s="230">
        <v>-0.02</v>
      </c>
      <c r="E8550" t="s">
        <v>735</v>
      </c>
    </row>
    <row r="8551" spans="1:5" hidden="1" x14ac:dyDescent="0.3">
      <c r="A8551" t="s">
        <v>557</v>
      </c>
      <c r="B8551" t="s">
        <v>734</v>
      </c>
      <c r="C8551" t="s">
        <v>45</v>
      </c>
      <c r="D8551" s="230">
        <v>-22191.42</v>
      </c>
      <c r="E8551" t="s">
        <v>735</v>
      </c>
    </row>
    <row r="8552" spans="1:5" hidden="1" x14ac:dyDescent="0.3">
      <c r="A8552" t="s">
        <v>557</v>
      </c>
      <c r="B8552" t="s">
        <v>734</v>
      </c>
      <c r="C8552" t="s">
        <v>46</v>
      </c>
      <c r="D8552" s="230">
        <v>-10812.27</v>
      </c>
      <c r="E8552" t="s">
        <v>735</v>
      </c>
    </row>
    <row r="8553" spans="1:5" hidden="1" x14ac:dyDescent="0.3">
      <c r="A8553" t="s">
        <v>557</v>
      </c>
      <c r="B8553" t="s">
        <v>734</v>
      </c>
      <c r="C8553" t="s">
        <v>48</v>
      </c>
      <c r="D8553" s="230">
        <v>-11059.15</v>
      </c>
      <c r="E8553" t="s">
        <v>735</v>
      </c>
    </row>
    <row r="8554" spans="1:5" hidden="1" x14ac:dyDescent="0.3">
      <c r="A8554" t="s">
        <v>557</v>
      </c>
      <c r="B8554" t="s">
        <v>734</v>
      </c>
      <c r="C8554" t="s">
        <v>49</v>
      </c>
      <c r="D8554" s="230">
        <v>-320</v>
      </c>
      <c r="E8554" t="s">
        <v>735</v>
      </c>
    </row>
    <row r="8555" spans="1:5" hidden="1" x14ac:dyDescent="0.3">
      <c r="A8555" t="s">
        <v>557</v>
      </c>
      <c r="B8555" t="s">
        <v>734</v>
      </c>
      <c r="C8555" t="s">
        <v>50</v>
      </c>
      <c r="D8555" s="230">
        <v>292985.03999999998</v>
      </c>
      <c r="E8555" t="s">
        <v>735</v>
      </c>
    </row>
    <row r="8556" spans="1:5" hidden="1" x14ac:dyDescent="0.3">
      <c r="A8556" t="s">
        <v>557</v>
      </c>
      <c r="B8556" t="s">
        <v>734</v>
      </c>
      <c r="C8556" t="s">
        <v>51</v>
      </c>
      <c r="D8556" s="230">
        <v>-92275.63</v>
      </c>
      <c r="E8556" t="s">
        <v>735</v>
      </c>
    </row>
    <row r="8557" spans="1:5" hidden="1" x14ac:dyDescent="0.3">
      <c r="A8557" t="s">
        <v>557</v>
      </c>
      <c r="B8557" t="s">
        <v>734</v>
      </c>
      <c r="C8557" t="s">
        <v>52</v>
      </c>
      <c r="D8557" s="230">
        <v>-67822.5</v>
      </c>
      <c r="E8557" t="s">
        <v>735</v>
      </c>
    </row>
    <row r="8558" spans="1:5" hidden="1" x14ac:dyDescent="0.3">
      <c r="A8558" t="s">
        <v>557</v>
      </c>
      <c r="B8558" t="s">
        <v>734</v>
      </c>
      <c r="C8558" t="s">
        <v>53</v>
      </c>
      <c r="D8558" s="230">
        <v>-24453.13</v>
      </c>
      <c r="E8558" t="s">
        <v>735</v>
      </c>
    </row>
    <row r="8559" spans="1:5" hidden="1" x14ac:dyDescent="0.3">
      <c r="A8559" t="s">
        <v>557</v>
      </c>
      <c r="B8559" t="s">
        <v>734</v>
      </c>
      <c r="C8559" t="s">
        <v>54</v>
      </c>
      <c r="D8559" s="230">
        <v>0</v>
      </c>
      <c r="E8559" t="s">
        <v>735</v>
      </c>
    </row>
    <row r="8560" spans="1:5" hidden="1" x14ac:dyDescent="0.3">
      <c r="A8560" t="s">
        <v>557</v>
      </c>
      <c r="B8560" t="s">
        <v>734</v>
      </c>
      <c r="C8560" t="s">
        <v>23</v>
      </c>
      <c r="D8560" s="230">
        <v>0</v>
      </c>
      <c r="E8560" t="s">
        <v>735</v>
      </c>
    </row>
    <row r="8561" spans="1:5" hidden="1" x14ac:dyDescent="0.3">
      <c r="A8561" t="s">
        <v>557</v>
      </c>
      <c r="B8561" t="s">
        <v>734</v>
      </c>
      <c r="C8561" t="s">
        <v>44</v>
      </c>
      <c r="D8561" s="230">
        <v>-0.33</v>
      </c>
      <c r="E8561" t="s">
        <v>735</v>
      </c>
    </row>
    <row r="8562" spans="1:5" hidden="1" x14ac:dyDescent="0.3">
      <c r="A8562" t="s">
        <v>557</v>
      </c>
      <c r="B8562" t="s">
        <v>734</v>
      </c>
      <c r="C8562" t="s">
        <v>55</v>
      </c>
      <c r="D8562" s="230">
        <v>-0.31</v>
      </c>
      <c r="E8562" t="s">
        <v>735</v>
      </c>
    </row>
    <row r="8563" spans="1:5" hidden="1" x14ac:dyDescent="0.3">
      <c r="A8563" t="s">
        <v>557</v>
      </c>
      <c r="B8563" t="s">
        <v>734</v>
      </c>
      <c r="C8563" t="s">
        <v>56</v>
      </c>
      <c r="D8563" s="230">
        <v>-12822.92</v>
      </c>
      <c r="E8563" t="s">
        <v>735</v>
      </c>
    </row>
    <row r="8564" spans="1:5" hidden="1" x14ac:dyDescent="0.3">
      <c r="A8564" t="s">
        <v>557</v>
      </c>
      <c r="B8564" t="s">
        <v>734</v>
      </c>
      <c r="C8564" t="s">
        <v>57</v>
      </c>
      <c r="D8564" s="230">
        <v>-10822.92</v>
      </c>
      <c r="E8564" t="s">
        <v>735</v>
      </c>
    </row>
    <row r="8565" spans="1:5" hidden="1" x14ac:dyDescent="0.3">
      <c r="A8565" t="s">
        <v>557</v>
      </c>
      <c r="B8565" t="s">
        <v>734</v>
      </c>
      <c r="C8565" t="s">
        <v>58</v>
      </c>
      <c r="D8565" s="230">
        <v>-10153.950000000001</v>
      </c>
      <c r="E8565" t="s">
        <v>735</v>
      </c>
    </row>
    <row r="8566" spans="1:5" hidden="1" x14ac:dyDescent="0.3">
      <c r="A8566" t="s">
        <v>557</v>
      </c>
      <c r="B8566" t="s">
        <v>734</v>
      </c>
      <c r="C8566" t="s">
        <v>59</v>
      </c>
      <c r="D8566" s="230">
        <v>-668.97</v>
      </c>
      <c r="E8566" t="s">
        <v>735</v>
      </c>
    </row>
    <row r="8567" spans="1:5" hidden="1" x14ac:dyDescent="0.3">
      <c r="A8567" t="s">
        <v>557</v>
      </c>
      <c r="B8567" t="s">
        <v>734</v>
      </c>
      <c r="C8567" t="s">
        <v>61</v>
      </c>
      <c r="D8567" s="230">
        <v>0</v>
      </c>
      <c r="E8567" t="s">
        <v>735</v>
      </c>
    </row>
    <row r="8568" spans="1:5" hidden="1" x14ac:dyDescent="0.3">
      <c r="A8568" t="s">
        <v>557</v>
      </c>
      <c r="B8568" t="s">
        <v>734</v>
      </c>
      <c r="C8568" t="s">
        <v>62</v>
      </c>
      <c r="D8568" s="230">
        <v>0</v>
      </c>
      <c r="E8568" t="s">
        <v>735</v>
      </c>
    </row>
    <row r="8569" spans="1:5" hidden="1" x14ac:dyDescent="0.3">
      <c r="A8569" t="s">
        <v>557</v>
      </c>
      <c r="B8569" t="s">
        <v>734</v>
      </c>
      <c r="C8569" t="s">
        <v>64</v>
      </c>
      <c r="D8569" s="230">
        <v>0</v>
      </c>
      <c r="E8569" t="s">
        <v>735</v>
      </c>
    </row>
    <row r="8570" spans="1:5" hidden="1" x14ac:dyDescent="0.3">
      <c r="A8570" t="s">
        <v>557</v>
      </c>
      <c r="B8570" t="s">
        <v>734</v>
      </c>
      <c r="C8570" t="s">
        <v>65</v>
      </c>
      <c r="D8570" s="230">
        <v>-2000</v>
      </c>
      <c r="E8570" t="s">
        <v>735</v>
      </c>
    </row>
    <row r="8571" spans="1:5" hidden="1" x14ac:dyDescent="0.3">
      <c r="A8571" t="s">
        <v>557</v>
      </c>
      <c r="B8571" t="s">
        <v>734</v>
      </c>
      <c r="C8571" t="s">
        <v>66</v>
      </c>
      <c r="D8571" s="230">
        <v>-2000</v>
      </c>
      <c r="E8571" t="s">
        <v>735</v>
      </c>
    </row>
    <row r="8572" spans="1:5" hidden="1" x14ac:dyDescent="0.3">
      <c r="A8572" t="s">
        <v>557</v>
      </c>
      <c r="B8572" t="s">
        <v>734</v>
      </c>
      <c r="C8572" t="s">
        <v>68</v>
      </c>
      <c r="D8572" s="230">
        <v>0</v>
      </c>
      <c r="E8572" t="s">
        <v>735</v>
      </c>
    </row>
    <row r="8573" spans="1:5" hidden="1" x14ac:dyDescent="0.3">
      <c r="A8573" t="s">
        <v>557</v>
      </c>
      <c r="B8573" t="s">
        <v>734</v>
      </c>
      <c r="C8573" t="s">
        <v>69</v>
      </c>
      <c r="D8573" s="230">
        <v>0</v>
      </c>
      <c r="E8573" t="s">
        <v>735</v>
      </c>
    </row>
    <row r="8574" spans="1:5" hidden="1" x14ac:dyDescent="0.3">
      <c r="A8574" t="s">
        <v>557</v>
      </c>
      <c r="B8574" t="s">
        <v>734</v>
      </c>
      <c r="C8574" t="s">
        <v>70</v>
      </c>
      <c r="D8574" s="230">
        <v>-2.72</v>
      </c>
      <c r="E8574" t="s">
        <v>735</v>
      </c>
    </row>
    <row r="8575" spans="1:5" hidden="1" x14ac:dyDescent="0.3">
      <c r="A8575" t="s">
        <v>557</v>
      </c>
      <c r="B8575" t="s">
        <v>734</v>
      </c>
      <c r="C8575" t="s">
        <v>44</v>
      </c>
      <c r="D8575" s="230">
        <v>-0.04</v>
      </c>
      <c r="E8575" t="s">
        <v>735</v>
      </c>
    </row>
    <row r="8576" spans="1:5" hidden="1" x14ac:dyDescent="0.3">
      <c r="A8576" t="s">
        <v>557</v>
      </c>
      <c r="B8576" t="s">
        <v>734</v>
      </c>
      <c r="C8576" t="s">
        <v>71</v>
      </c>
      <c r="D8576" s="230">
        <v>-5329.58</v>
      </c>
      <c r="E8576" t="s">
        <v>735</v>
      </c>
    </row>
    <row r="8577" spans="1:5" hidden="1" x14ac:dyDescent="0.3">
      <c r="A8577" t="s">
        <v>557</v>
      </c>
      <c r="B8577" t="s">
        <v>734</v>
      </c>
      <c r="C8577" t="s">
        <v>72</v>
      </c>
      <c r="D8577" s="230">
        <v>-4329.58</v>
      </c>
      <c r="E8577" t="s">
        <v>735</v>
      </c>
    </row>
    <row r="8578" spans="1:5" hidden="1" x14ac:dyDescent="0.3">
      <c r="A8578" t="s">
        <v>557</v>
      </c>
      <c r="B8578" t="s">
        <v>734</v>
      </c>
      <c r="C8578" t="s">
        <v>73</v>
      </c>
      <c r="D8578" s="230">
        <v>-3500</v>
      </c>
      <c r="E8578" t="s">
        <v>735</v>
      </c>
    </row>
    <row r="8579" spans="1:5" hidden="1" x14ac:dyDescent="0.3">
      <c r="A8579" t="s">
        <v>557</v>
      </c>
      <c r="B8579" t="s">
        <v>734</v>
      </c>
      <c r="C8579" t="s">
        <v>75</v>
      </c>
      <c r="D8579" s="230">
        <v>-829.58</v>
      </c>
      <c r="E8579" t="s">
        <v>735</v>
      </c>
    </row>
    <row r="8580" spans="1:5" hidden="1" x14ac:dyDescent="0.3">
      <c r="A8580" t="s">
        <v>557</v>
      </c>
      <c r="B8580" t="s">
        <v>734</v>
      </c>
      <c r="C8580" t="s">
        <v>77</v>
      </c>
      <c r="D8580" s="230">
        <v>0</v>
      </c>
      <c r="E8580" t="s">
        <v>735</v>
      </c>
    </row>
    <row r="8581" spans="1:5" hidden="1" x14ac:dyDescent="0.3">
      <c r="A8581" t="s">
        <v>557</v>
      </c>
      <c r="B8581" t="s">
        <v>734</v>
      </c>
      <c r="C8581" t="s">
        <v>78</v>
      </c>
      <c r="D8581" s="230">
        <v>0</v>
      </c>
      <c r="E8581" t="s">
        <v>735</v>
      </c>
    </row>
    <row r="8582" spans="1:5" hidden="1" x14ac:dyDescent="0.3">
      <c r="A8582" t="s">
        <v>557</v>
      </c>
      <c r="B8582" t="s">
        <v>734</v>
      </c>
      <c r="C8582" t="s">
        <v>80</v>
      </c>
      <c r="D8582" s="230">
        <v>0</v>
      </c>
      <c r="E8582" t="s">
        <v>735</v>
      </c>
    </row>
    <row r="8583" spans="1:5" hidden="1" x14ac:dyDescent="0.3">
      <c r="A8583" t="s">
        <v>557</v>
      </c>
      <c r="B8583" t="s">
        <v>734</v>
      </c>
      <c r="C8583" t="s">
        <v>82</v>
      </c>
      <c r="D8583" s="230">
        <v>0</v>
      </c>
      <c r="E8583" t="s">
        <v>735</v>
      </c>
    </row>
    <row r="8584" spans="1:5" hidden="1" x14ac:dyDescent="0.3">
      <c r="A8584" t="s">
        <v>557</v>
      </c>
      <c r="B8584" t="s">
        <v>734</v>
      </c>
      <c r="C8584" t="s">
        <v>84</v>
      </c>
      <c r="D8584" s="230">
        <v>0</v>
      </c>
      <c r="E8584" t="s">
        <v>735</v>
      </c>
    </row>
    <row r="8585" spans="1:5" hidden="1" x14ac:dyDescent="0.3">
      <c r="A8585" t="s">
        <v>557</v>
      </c>
      <c r="B8585" t="s">
        <v>734</v>
      </c>
      <c r="C8585" t="s">
        <v>85</v>
      </c>
      <c r="D8585" s="230">
        <v>0</v>
      </c>
      <c r="E8585" t="s">
        <v>735</v>
      </c>
    </row>
    <row r="8586" spans="1:5" hidden="1" x14ac:dyDescent="0.3">
      <c r="A8586" t="s">
        <v>557</v>
      </c>
      <c r="B8586" t="s">
        <v>734</v>
      </c>
      <c r="C8586" t="s">
        <v>86</v>
      </c>
      <c r="D8586" s="230">
        <v>0</v>
      </c>
      <c r="E8586" t="s">
        <v>735</v>
      </c>
    </row>
    <row r="8587" spans="1:5" hidden="1" x14ac:dyDescent="0.3">
      <c r="A8587" t="s">
        <v>557</v>
      </c>
      <c r="B8587" t="s">
        <v>734</v>
      </c>
      <c r="C8587" t="s">
        <v>87</v>
      </c>
      <c r="D8587" s="230">
        <v>0</v>
      </c>
      <c r="E8587" t="s">
        <v>735</v>
      </c>
    </row>
    <row r="8588" spans="1:5" hidden="1" x14ac:dyDescent="0.3">
      <c r="A8588" t="s">
        <v>557</v>
      </c>
      <c r="B8588" t="s">
        <v>734</v>
      </c>
      <c r="C8588" t="s">
        <v>88</v>
      </c>
      <c r="D8588" s="230">
        <v>0</v>
      </c>
      <c r="E8588" t="s">
        <v>735</v>
      </c>
    </row>
    <row r="8589" spans="1:5" hidden="1" x14ac:dyDescent="0.3">
      <c r="A8589" t="s">
        <v>557</v>
      </c>
      <c r="B8589" t="s">
        <v>734</v>
      </c>
      <c r="C8589" t="s">
        <v>89</v>
      </c>
      <c r="D8589" s="230">
        <v>0</v>
      </c>
      <c r="E8589" t="s">
        <v>735</v>
      </c>
    </row>
    <row r="8590" spans="1:5" hidden="1" x14ac:dyDescent="0.3">
      <c r="A8590" t="s">
        <v>557</v>
      </c>
      <c r="B8590" t="s">
        <v>734</v>
      </c>
      <c r="C8590" t="s">
        <v>90</v>
      </c>
      <c r="D8590" s="230">
        <v>0</v>
      </c>
      <c r="E8590" t="s">
        <v>735</v>
      </c>
    </row>
    <row r="8591" spans="1:5" hidden="1" x14ac:dyDescent="0.3">
      <c r="A8591" t="s">
        <v>557</v>
      </c>
      <c r="B8591" t="s">
        <v>734</v>
      </c>
      <c r="C8591" t="s">
        <v>91</v>
      </c>
      <c r="D8591" s="230">
        <v>0</v>
      </c>
      <c r="E8591" t="s">
        <v>735</v>
      </c>
    </row>
    <row r="8592" spans="1:5" hidden="1" x14ac:dyDescent="0.3">
      <c r="A8592" t="s">
        <v>557</v>
      </c>
      <c r="B8592" t="s">
        <v>734</v>
      </c>
      <c r="C8592" t="s">
        <v>93</v>
      </c>
      <c r="D8592" s="230">
        <v>0</v>
      </c>
      <c r="E8592" t="s">
        <v>735</v>
      </c>
    </row>
    <row r="8593" spans="1:5" hidden="1" x14ac:dyDescent="0.3">
      <c r="A8593" t="s">
        <v>557</v>
      </c>
      <c r="B8593" t="s">
        <v>734</v>
      </c>
      <c r="C8593" t="s">
        <v>95</v>
      </c>
      <c r="D8593" s="230">
        <v>0</v>
      </c>
      <c r="E8593" t="s">
        <v>735</v>
      </c>
    </row>
    <row r="8594" spans="1:5" hidden="1" x14ac:dyDescent="0.3">
      <c r="A8594" t="s">
        <v>557</v>
      </c>
      <c r="B8594" t="s">
        <v>734</v>
      </c>
      <c r="C8594" t="s">
        <v>96</v>
      </c>
      <c r="D8594" s="230">
        <v>0</v>
      </c>
      <c r="E8594" t="s">
        <v>735</v>
      </c>
    </row>
    <row r="8595" spans="1:5" hidden="1" x14ac:dyDescent="0.3">
      <c r="A8595" t="s">
        <v>557</v>
      </c>
      <c r="B8595" t="s">
        <v>734</v>
      </c>
      <c r="C8595" t="s">
        <v>98</v>
      </c>
      <c r="D8595" s="230">
        <v>0</v>
      </c>
      <c r="E8595" t="s">
        <v>735</v>
      </c>
    </row>
    <row r="8596" spans="1:5" hidden="1" x14ac:dyDescent="0.3">
      <c r="A8596" t="s">
        <v>557</v>
      </c>
      <c r="B8596" t="s">
        <v>734</v>
      </c>
      <c r="C8596" t="s">
        <v>100</v>
      </c>
      <c r="D8596" s="230">
        <v>0</v>
      </c>
      <c r="E8596" t="s">
        <v>735</v>
      </c>
    </row>
    <row r="8597" spans="1:5" hidden="1" x14ac:dyDescent="0.3">
      <c r="A8597" t="s">
        <v>557</v>
      </c>
      <c r="B8597" t="s">
        <v>734</v>
      </c>
      <c r="C8597" t="s">
        <v>101</v>
      </c>
      <c r="D8597" s="230">
        <v>-1000</v>
      </c>
      <c r="E8597" t="s">
        <v>735</v>
      </c>
    </row>
    <row r="8598" spans="1:5" hidden="1" x14ac:dyDescent="0.3">
      <c r="A8598" t="s">
        <v>557</v>
      </c>
      <c r="B8598" t="s">
        <v>734</v>
      </c>
      <c r="C8598" t="s">
        <v>102</v>
      </c>
      <c r="D8598" s="230">
        <v>0</v>
      </c>
      <c r="E8598" t="s">
        <v>735</v>
      </c>
    </row>
    <row r="8599" spans="1:5" hidden="1" x14ac:dyDescent="0.3">
      <c r="A8599" t="s">
        <v>557</v>
      </c>
      <c r="B8599" t="s">
        <v>734</v>
      </c>
      <c r="C8599" t="s">
        <v>103</v>
      </c>
      <c r="D8599" s="230">
        <v>-1000</v>
      </c>
      <c r="E8599" t="s">
        <v>735</v>
      </c>
    </row>
    <row r="8600" spans="1:5" hidden="1" x14ac:dyDescent="0.3">
      <c r="A8600" t="s">
        <v>557</v>
      </c>
      <c r="B8600" t="s">
        <v>734</v>
      </c>
      <c r="C8600" t="s">
        <v>104</v>
      </c>
      <c r="D8600" s="230">
        <v>0</v>
      </c>
      <c r="E8600" t="s">
        <v>735</v>
      </c>
    </row>
    <row r="8601" spans="1:5" hidden="1" x14ac:dyDescent="0.3">
      <c r="A8601" t="s">
        <v>557</v>
      </c>
      <c r="B8601" t="s">
        <v>734</v>
      </c>
      <c r="C8601" t="s">
        <v>105</v>
      </c>
      <c r="D8601" s="230">
        <v>0</v>
      </c>
      <c r="E8601" t="s">
        <v>735</v>
      </c>
    </row>
    <row r="8602" spans="1:5" hidden="1" x14ac:dyDescent="0.3">
      <c r="A8602" t="s">
        <v>557</v>
      </c>
      <c r="B8602" t="s">
        <v>734</v>
      </c>
      <c r="C8602" t="s">
        <v>107</v>
      </c>
      <c r="D8602" s="230">
        <v>0</v>
      </c>
      <c r="E8602" t="s">
        <v>735</v>
      </c>
    </row>
    <row r="8603" spans="1:5" hidden="1" x14ac:dyDescent="0.3">
      <c r="A8603" t="s">
        <v>557</v>
      </c>
      <c r="B8603" t="s">
        <v>734</v>
      </c>
      <c r="C8603" t="s">
        <v>108</v>
      </c>
      <c r="D8603" s="230">
        <v>0</v>
      </c>
      <c r="E8603" t="s">
        <v>735</v>
      </c>
    </row>
    <row r="8604" spans="1:5" hidden="1" x14ac:dyDescent="0.3">
      <c r="A8604" t="s">
        <v>557</v>
      </c>
      <c r="B8604" t="s">
        <v>734</v>
      </c>
      <c r="C8604" t="s">
        <v>109</v>
      </c>
      <c r="D8604" s="230">
        <v>0</v>
      </c>
      <c r="E8604" t="s">
        <v>735</v>
      </c>
    </row>
    <row r="8605" spans="1:5" hidden="1" x14ac:dyDescent="0.3">
      <c r="A8605" t="s">
        <v>557</v>
      </c>
      <c r="B8605" t="s">
        <v>734</v>
      </c>
      <c r="C8605" t="s">
        <v>110</v>
      </c>
      <c r="D8605" s="230">
        <v>-0.21</v>
      </c>
      <c r="E8605" t="s">
        <v>735</v>
      </c>
    </row>
    <row r="8606" spans="1:5" hidden="1" x14ac:dyDescent="0.3">
      <c r="A8606" t="s">
        <v>557</v>
      </c>
      <c r="B8606" t="s">
        <v>734</v>
      </c>
      <c r="C8606" t="s">
        <v>44</v>
      </c>
      <c r="D8606" s="230">
        <v>-0.02</v>
      </c>
      <c r="E8606" t="s">
        <v>735</v>
      </c>
    </row>
    <row r="8607" spans="1:5" hidden="1" x14ac:dyDescent="0.3">
      <c r="A8607" t="s">
        <v>557</v>
      </c>
      <c r="B8607" t="s">
        <v>734</v>
      </c>
      <c r="C8607" t="s">
        <v>111</v>
      </c>
      <c r="D8607" s="230">
        <v>-22386.42</v>
      </c>
      <c r="E8607" t="s">
        <v>735</v>
      </c>
    </row>
    <row r="8608" spans="1:5" hidden="1" x14ac:dyDescent="0.3">
      <c r="A8608" t="s">
        <v>557</v>
      </c>
      <c r="B8608" t="s">
        <v>734</v>
      </c>
      <c r="C8608" t="s">
        <v>608</v>
      </c>
      <c r="D8608" s="230">
        <v>-22386.42</v>
      </c>
      <c r="E8608" t="s">
        <v>735</v>
      </c>
    </row>
    <row r="8609" spans="1:5" hidden="1" x14ac:dyDescent="0.3">
      <c r="A8609" t="s">
        <v>557</v>
      </c>
      <c r="B8609" t="s">
        <v>734</v>
      </c>
      <c r="C8609" t="s">
        <v>44</v>
      </c>
      <c r="D8609" s="230">
        <v>-7.0000000000000007E-2</v>
      </c>
      <c r="E8609" t="s">
        <v>735</v>
      </c>
    </row>
    <row r="8610" spans="1:5" hidden="1" x14ac:dyDescent="0.3">
      <c r="A8610" t="s">
        <v>557</v>
      </c>
      <c r="B8610" t="s">
        <v>734</v>
      </c>
      <c r="C8610" t="s">
        <v>115</v>
      </c>
      <c r="D8610" s="230">
        <v>-5208.3599999999997</v>
      </c>
      <c r="E8610" t="s">
        <v>735</v>
      </c>
    </row>
    <row r="8611" spans="1:5" hidden="1" x14ac:dyDescent="0.3">
      <c r="A8611" t="s">
        <v>557</v>
      </c>
      <c r="B8611" t="s">
        <v>734</v>
      </c>
      <c r="C8611" t="s">
        <v>116</v>
      </c>
      <c r="D8611" s="230">
        <v>-3643.4</v>
      </c>
      <c r="E8611" t="s">
        <v>735</v>
      </c>
    </row>
    <row r="8612" spans="1:5" hidden="1" x14ac:dyDescent="0.3">
      <c r="A8612" t="s">
        <v>557</v>
      </c>
      <c r="B8612" t="s">
        <v>734</v>
      </c>
      <c r="C8612" t="s">
        <v>118</v>
      </c>
      <c r="D8612" s="230">
        <v>-1564.96</v>
      </c>
      <c r="E8612" t="s">
        <v>735</v>
      </c>
    </row>
    <row r="8613" spans="1:5" hidden="1" x14ac:dyDescent="0.3">
      <c r="A8613" t="s">
        <v>557</v>
      </c>
      <c r="B8613" t="s">
        <v>734</v>
      </c>
      <c r="C8613" t="s">
        <v>120</v>
      </c>
      <c r="D8613" s="230">
        <v>0</v>
      </c>
      <c r="E8613" t="s">
        <v>735</v>
      </c>
    </row>
    <row r="8614" spans="1:5" hidden="1" x14ac:dyDescent="0.3">
      <c r="A8614" t="s">
        <v>557</v>
      </c>
      <c r="B8614" t="s">
        <v>734</v>
      </c>
      <c r="C8614" t="s">
        <v>122</v>
      </c>
      <c r="D8614" s="230">
        <v>0</v>
      </c>
      <c r="E8614" t="s">
        <v>735</v>
      </c>
    </row>
    <row r="8615" spans="1:5" hidden="1" x14ac:dyDescent="0.3">
      <c r="A8615" t="s">
        <v>557</v>
      </c>
      <c r="B8615" t="s">
        <v>734</v>
      </c>
      <c r="C8615" t="s">
        <v>44</v>
      </c>
      <c r="D8615" s="230">
        <v>-0.02</v>
      </c>
      <c r="E8615" t="s">
        <v>735</v>
      </c>
    </row>
    <row r="8616" spans="1:5" hidden="1" x14ac:dyDescent="0.3">
      <c r="A8616" t="s">
        <v>557</v>
      </c>
      <c r="B8616" t="s">
        <v>734</v>
      </c>
      <c r="C8616" t="s">
        <v>126</v>
      </c>
      <c r="D8616" s="230">
        <v>154962.13</v>
      </c>
      <c r="E8616" t="s">
        <v>735</v>
      </c>
    </row>
    <row r="8617" spans="1:5" hidden="1" x14ac:dyDescent="0.3">
      <c r="A8617" t="s">
        <v>557</v>
      </c>
      <c r="B8617" t="s">
        <v>734</v>
      </c>
      <c r="C8617" t="s">
        <v>127</v>
      </c>
      <c r="D8617" s="230">
        <v>0.48</v>
      </c>
      <c r="E8617" t="s">
        <v>735</v>
      </c>
    </row>
    <row r="8618" spans="1:5" hidden="1" x14ac:dyDescent="0.3">
      <c r="A8618" t="s">
        <v>557</v>
      </c>
      <c r="B8618" t="s">
        <v>734</v>
      </c>
      <c r="C8618" t="s">
        <v>128</v>
      </c>
      <c r="D8618" s="230">
        <v>-117762.88</v>
      </c>
      <c r="E8618" t="s">
        <v>735</v>
      </c>
    </row>
    <row r="8619" spans="1:5" hidden="1" x14ac:dyDescent="0.3">
      <c r="A8619" t="s">
        <v>557</v>
      </c>
      <c r="B8619" t="s">
        <v>734</v>
      </c>
      <c r="C8619" t="s">
        <v>129</v>
      </c>
      <c r="D8619" s="230">
        <v>-35928.57</v>
      </c>
      <c r="E8619" t="s">
        <v>735</v>
      </c>
    </row>
    <row r="8620" spans="1:5" hidden="1" x14ac:dyDescent="0.3">
      <c r="A8620" t="s">
        <v>557</v>
      </c>
      <c r="B8620" t="s">
        <v>734</v>
      </c>
      <c r="C8620" t="s">
        <v>609</v>
      </c>
      <c r="D8620" s="230">
        <v>-4850</v>
      </c>
      <c r="E8620" t="s">
        <v>735</v>
      </c>
    </row>
    <row r="8621" spans="1:5" hidden="1" x14ac:dyDescent="0.3">
      <c r="A8621" t="s">
        <v>557</v>
      </c>
      <c r="B8621" t="s">
        <v>734</v>
      </c>
      <c r="C8621" t="s">
        <v>610</v>
      </c>
      <c r="D8621" s="230">
        <v>-21600</v>
      </c>
      <c r="E8621" t="s">
        <v>735</v>
      </c>
    </row>
    <row r="8622" spans="1:5" hidden="1" x14ac:dyDescent="0.3">
      <c r="A8622" t="s">
        <v>557</v>
      </c>
      <c r="B8622" t="s">
        <v>734</v>
      </c>
      <c r="C8622" t="s">
        <v>611</v>
      </c>
      <c r="D8622" s="230">
        <v>0</v>
      </c>
      <c r="E8622" t="s">
        <v>735</v>
      </c>
    </row>
    <row r="8623" spans="1:5" hidden="1" x14ac:dyDescent="0.3">
      <c r="A8623" t="s">
        <v>557</v>
      </c>
      <c r="B8623" t="s">
        <v>734</v>
      </c>
      <c r="C8623" t="s">
        <v>612</v>
      </c>
      <c r="D8623" s="230">
        <v>0</v>
      </c>
      <c r="E8623" t="s">
        <v>735</v>
      </c>
    </row>
    <row r="8624" spans="1:5" hidden="1" x14ac:dyDescent="0.3">
      <c r="A8624" t="s">
        <v>557</v>
      </c>
      <c r="B8624" t="s">
        <v>734</v>
      </c>
      <c r="C8624" t="s">
        <v>613</v>
      </c>
      <c r="D8624" s="230">
        <v>-1607.14</v>
      </c>
      <c r="E8624" t="s">
        <v>735</v>
      </c>
    </row>
    <row r="8625" spans="1:5" hidden="1" x14ac:dyDescent="0.3">
      <c r="A8625" t="s">
        <v>557</v>
      </c>
      <c r="B8625" t="s">
        <v>734</v>
      </c>
      <c r="C8625" t="s">
        <v>614</v>
      </c>
      <c r="D8625" s="230">
        <v>-6500</v>
      </c>
      <c r="E8625" t="s">
        <v>735</v>
      </c>
    </row>
    <row r="8626" spans="1:5" hidden="1" x14ac:dyDescent="0.3">
      <c r="A8626" t="s">
        <v>557</v>
      </c>
      <c r="B8626" t="s">
        <v>734</v>
      </c>
      <c r="C8626" t="s">
        <v>615</v>
      </c>
      <c r="D8626" s="230">
        <v>0</v>
      </c>
      <c r="E8626" t="s">
        <v>735</v>
      </c>
    </row>
    <row r="8627" spans="1:5" hidden="1" x14ac:dyDescent="0.3">
      <c r="A8627" t="s">
        <v>557</v>
      </c>
      <c r="B8627" t="s">
        <v>734</v>
      </c>
      <c r="C8627" t="s">
        <v>616</v>
      </c>
      <c r="D8627" s="230">
        <v>-1371.43</v>
      </c>
      <c r="E8627" t="s">
        <v>735</v>
      </c>
    </row>
    <row r="8628" spans="1:5" hidden="1" x14ac:dyDescent="0.3">
      <c r="A8628" t="s">
        <v>557</v>
      </c>
      <c r="B8628" t="s">
        <v>734</v>
      </c>
      <c r="C8628" t="s">
        <v>617</v>
      </c>
      <c r="D8628" s="230">
        <v>0</v>
      </c>
      <c r="E8628" t="s">
        <v>735</v>
      </c>
    </row>
    <row r="8629" spans="1:5" hidden="1" x14ac:dyDescent="0.3">
      <c r="A8629" t="s">
        <v>557</v>
      </c>
      <c r="B8629" t="s">
        <v>734</v>
      </c>
      <c r="C8629" t="s">
        <v>618</v>
      </c>
      <c r="D8629" s="230">
        <v>0</v>
      </c>
      <c r="E8629" t="s">
        <v>735</v>
      </c>
    </row>
    <row r="8630" spans="1:5" hidden="1" x14ac:dyDescent="0.3">
      <c r="A8630" t="s">
        <v>557</v>
      </c>
      <c r="B8630" t="s">
        <v>734</v>
      </c>
      <c r="C8630" t="s">
        <v>619</v>
      </c>
      <c r="D8630" s="230">
        <v>0</v>
      </c>
      <c r="E8630" t="s">
        <v>735</v>
      </c>
    </row>
    <row r="8631" spans="1:5" hidden="1" x14ac:dyDescent="0.3">
      <c r="A8631" t="s">
        <v>557</v>
      </c>
      <c r="B8631" t="s">
        <v>734</v>
      </c>
      <c r="C8631" t="s">
        <v>620</v>
      </c>
      <c r="D8631" s="230">
        <v>0</v>
      </c>
      <c r="E8631" t="s">
        <v>735</v>
      </c>
    </row>
    <row r="8632" spans="1:5" hidden="1" x14ac:dyDescent="0.3">
      <c r="A8632" t="s">
        <v>557</v>
      </c>
      <c r="B8632" t="s">
        <v>734</v>
      </c>
      <c r="C8632" t="s">
        <v>575</v>
      </c>
      <c r="D8632" s="230">
        <v>-31905.67</v>
      </c>
      <c r="E8632" t="s">
        <v>735</v>
      </c>
    </row>
    <row r="8633" spans="1:5" hidden="1" x14ac:dyDescent="0.3">
      <c r="A8633" t="s">
        <v>557</v>
      </c>
      <c r="B8633" t="s">
        <v>734</v>
      </c>
      <c r="C8633" t="s">
        <v>621</v>
      </c>
      <c r="D8633" s="230">
        <v>0</v>
      </c>
      <c r="E8633" t="s">
        <v>735</v>
      </c>
    </row>
    <row r="8634" spans="1:5" hidden="1" x14ac:dyDescent="0.3">
      <c r="A8634" t="s">
        <v>557</v>
      </c>
      <c r="B8634" t="s">
        <v>734</v>
      </c>
      <c r="C8634" t="s">
        <v>622</v>
      </c>
      <c r="D8634" s="230">
        <v>0</v>
      </c>
      <c r="E8634" t="s">
        <v>735</v>
      </c>
    </row>
    <row r="8635" spans="1:5" hidden="1" x14ac:dyDescent="0.3">
      <c r="A8635" t="s">
        <v>557</v>
      </c>
      <c r="B8635" t="s">
        <v>734</v>
      </c>
      <c r="C8635" t="s">
        <v>623</v>
      </c>
      <c r="D8635" s="230">
        <v>0</v>
      </c>
      <c r="E8635" t="s">
        <v>735</v>
      </c>
    </row>
    <row r="8636" spans="1:5" hidden="1" x14ac:dyDescent="0.3">
      <c r="A8636" t="s">
        <v>557</v>
      </c>
      <c r="B8636" t="s">
        <v>734</v>
      </c>
      <c r="C8636" t="s">
        <v>624</v>
      </c>
      <c r="D8636" s="230">
        <v>0</v>
      </c>
      <c r="E8636" t="s">
        <v>735</v>
      </c>
    </row>
    <row r="8637" spans="1:5" hidden="1" x14ac:dyDescent="0.3">
      <c r="A8637" t="s">
        <v>557</v>
      </c>
      <c r="B8637" t="s">
        <v>734</v>
      </c>
      <c r="C8637" t="s">
        <v>625</v>
      </c>
      <c r="D8637" s="230">
        <v>0</v>
      </c>
      <c r="E8637" t="s">
        <v>735</v>
      </c>
    </row>
    <row r="8638" spans="1:5" hidden="1" x14ac:dyDescent="0.3">
      <c r="A8638" t="s">
        <v>557</v>
      </c>
      <c r="B8638" t="s">
        <v>734</v>
      </c>
      <c r="C8638" t="s">
        <v>626</v>
      </c>
      <c r="D8638" s="230">
        <v>0</v>
      </c>
      <c r="E8638" t="s">
        <v>735</v>
      </c>
    </row>
    <row r="8639" spans="1:5" hidden="1" x14ac:dyDescent="0.3">
      <c r="A8639" t="s">
        <v>557</v>
      </c>
      <c r="B8639" t="s">
        <v>734</v>
      </c>
      <c r="C8639" t="s">
        <v>627</v>
      </c>
      <c r="D8639" s="230">
        <v>0</v>
      </c>
      <c r="E8639" t="s">
        <v>735</v>
      </c>
    </row>
    <row r="8640" spans="1:5" hidden="1" x14ac:dyDescent="0.3">
      <c r="A8640" t="s">
        <v>557</v>
      </c>
      <c r="B8640" t="s">
        <v>734</v>
      </c>
      <c r="C8640" t="s">
        <v>628</v>
      </c>
      <c r="D8640" s="230">
        <v>0</v>
      </c>
      <c r="E8640" t="s">
        <v>735</v>
      </c>
    </row>
    <row r="8641" spans="1:5" hidden="1" x14ac:dyDescent="0.3">
      <c r="A8641" t="s">
        <v>557</v>
      </c>
      <c r="B8641" t="s">
        <v>734</v>
      </c>
      <c r="C8641" t="s">
        <v>629</v>
      </c>
      <c r="D8641" s="230">
        <v>0</v>
      </c>
      <c r="E8641" t="s">
        <v>735</v>
      </c>
    </row>
    <row r="8642" spans="1:5" hidden="1" x14ac:dyDescent="0.3">
      <c r="A8642" t="s">
        <v>557</v>
      </c>
      <c r="B8642" t="s">
        <v>734</v>
      </c>
      <c r="C8642" t="s">
        <v>630</v>
      </c>
      <c r="D8642" s="230">
        <v>0</v>
      </c>
      <c r="E8642" t="s">
        <v>735</v>
      </c>
    </row>
    <row r="8643" spans="1:5" hidden="1" x14ac:dyDescent="0.3">
      <c r="A8643" t="s">
        <v>557</v>
      </c>
      <c r="B8643" t="s">
        <v>734</v>
      </c>
      <c r="C8643" t="s">
        <v>631</v>
      </c>
      <c r="D8643" s="230">
        <v>0</v>
      </c>
      <c r="E8643" t="s">
        <v>735</v>
      </c>
    </row>
    <row r="8644" spans="1:5" hidden="1" x14ac:dyDescent="0.3">
      <c r="A8644" t="s">
        <v>557</v>
      </c>
      <c r="B8644" t="s">
        <v>734</v>
      </c>
      <c r="C8644" t="s">
        <v>632</v>
      </c>
      <c r="D8644" s="230">
        <v>0</v>
      </c>
      <c r="E8644" t="s">
        <v>735</v>
      </c>
    </row>
    <row r="8645" spans="1:5" hidden="1" x14ac:dyDescent="0.3">
      <c r="A8645" t="s">
        <v>557</v>
      </c>
      <c r="B8645" t="s">
        <v>734</v>
      </c>
      <c r="C8645" t="s">
        <v>633</v>
      </c>
      <c r="D8645" s="230">
        <v>0</v>
      </c>
      <c r="E8645" t="s">
        <v>735</v>
      </c>
    </row>
    <row r="8646" spans="1:5" hidden="1" x14ac:dyDescent="0.3">
      <c r="A8646" t="s">
        <v>557</v>
      </c>
      <c r="B8646" t="s">
        <v>734</v>
      </c>
      <c r="C8646" t="s">
        <v>634</v>
      </c>
      <c r="D8646" s="230">
        <v>0</v>
      </c>
      <c r="E8646" t="s">
        <v>735</v>
      </c>
    </row>
    <row r="8647" spans="1:5" hidden="1" x14ac:dyDescent="0.3">
      <c r="A8647" t="s">
        <v>557</v>
      </c>
      <c r="B8647" t="s">
        <v>734</v>
      </c>
      <c r="C8647" t="s">
        <v>635</v>
      </c>
      <c r="D8647" s="230">
        <v>0</v>
      </c>
      <c r="E8647" t="s">
        <v>735</v>
      </c>
    </row>
    <row r="8648" spans="1:5" hidden="1" x14ac:dyDescent="0.3">
      <c r="A8648" t="s">
        <v>557</v>
      </c>
      <c r="B8648" t="s">
        <v>734</v>
      </c>
      <c r="C8648" t="s">
        <v>636</v>
      </c>
      <c r="D8648" s="230">
        <v>0</v>
      </c>
      <c r="E8648" t="s">
        <v>735</v>
      </c>
    </row>
    <row r="8649" spans="1:5" hidden="1" x14ac:dyDescent="0.3">
      <c r="A8649" t="s">
        <v>557</v>
      </c>
      <c r="B8649" t="s">
        <v>734</v>
      </c>
      <c r="C8649" t="s">
        <v>637</v>
      </c>
      <c r="D8649" s="230">
        <v>0</v>
      </c>
      <c r="E8649" t="s">
        <v>735</v>
      </c>
    </row>
    <row r="8650" spans="1:5" hidden="1" x14ac:dyDescent="0.3">
      <c r="A8650" t="s">
        <v>557</v>
      </c>
      <c r="B8650" t="s">
        <v>734</v>
      </c>
      <c r="C8650" t="s">
        <v>638</v>
      </c>
      <c r="D8650" s="230">
        <v>0</v>
      </c>
      <c r="E8650" t="s">
        <v>735</v>
      </c>
    </row>
    <row r="8651" spans="1:5" hidden="1" x14ac:dyDescent="0.3">
      <c r="A8651" t="s">
        <v>557</v>
      </c>
      <c r="B8651" t="s">
        <v>734</v>
      </c>
      <c r="C8651" t="s">
        <v>639</v>
      </c>
      <c r="D8651" s="230">
        <v>0</v>
      </c>
      <c r="E8651" t="s">
        <v>735</v>
      </c>
    </row>
    <row r="8652" spans="1:5" hidden="1" x14ac:dyDescent="0.3">
      <c r="A8652" t="s">
        <v>557</v>
      </c>
      <c r="B8652" t="s">
        <v>734</v>
      </c>
      <c r="C8652" t="s">
        <v>640</v>
      </c>
      <c r="D8652" s="230">
        <v>0</v>
      </c>
      <c r="E8652" t="s">
        <v>735</v>
      </c>
    </row>
    <row r="8653" spans="1:5" hidden="1" x14ac:dyDescent="0.3">
      <c r="A8653" t="s">
        <v>557</v>
      </c>
      <c r="B8653" t="s">
        <v>734</v>
      </c>
      <c r="C8653" t="s">
        <v>641</v>
      </c>
      <c r="D8653" s="230">
        <v>0</v>
      </c>
      <c r="E8653" t="s">
        <v>735</v>
      </c>
    </row>
    <row r="8654" spans="1:5" hidden="1" x14ac:dyDescent="0.3">
      <c r="A8654" t="s">
        <v>557</v>
      </c>
      <c r="B8654" t="s">
        <v>734</v>
      </c>
      <c r="C8654" t="s">
        <v>642</v>
      </c>
      <c r="D8654" s="230">
        <v>0</v>
      </c>
      <c r="E8654" t="s">
        <v>735</v>
      </c>
    </row>
    <row r="8655" spans="1:5" hidden="1" x14ac:dyDescent="0.3">
      <c r="A8655" t="s">
        <v>557</v>
      </c>
      <c r="B8655" t="s">
        <v>734</v>
      </c>
      <c r="C8655" t="s">
        <v>643</v>
      </c>
      <c r="D8655" s="230">
        <v>0</v>
      </c>
      <c r="E8655" t="s">
        <v>735</v>
      </c>
    </row>
    <row r="8656" spans="1:5" hidden="1" x14ac:dyDescent="0.3">
      <c r="A8656" t="s">
        <v>557</v>
      </c>
      <c r="B8656" t="s">
        <v>734</v>
      </c>
      <c r="C8656" t="s">
        <v>644</v>
      </c>
      <c r="D8656" s="230">
        <v>0</v>
      </c>
      <c r="E8656" t="s">
        <v>735</v>
      </c>
    </row>
    <row r="8657" spans="1:5" hidden="1" x14ac:dyDescent="0.3">
      <c r="A8657" t="s">
        <v>557</v>
      </c>
      <c r="B8657" t="s">
        <v>734</v>
      </c>
      <c r="C8657" t="s">
        <v>645</v>
      </c>
      <c r="D8657" s="230">
        <v>0</v>
      </c>
      <c r="E8657" t="s">
        <v>735</v>
      </c>
    </row>
    <row r="8658" spans="1:5" hidden="1" x14ac:dyDescent="0.3">
      <c r="A8658" t="s">
        <v>557</v>
      </c>
      <c r="B8658" t="s">
        <v>734</v>
      </c>
      <c r="C8658" t="s">
        <v>646</v>
      </c>
      <c r="D8658" s="230">
        <v>0</v>
      </c>
      <c r="E8658" t="s">
        <v>735</v>
      </c>
    </row>
    <row r="8659" spans="1:5" hidden="1" x14ac:dyDescent="0.3">
      <c r="A8659" t="s">
        <v>557</v>
      </c>
      <c r="B8659" t="s">
        <v>734</v>
      </c>
      <c r="C8659" t="s">
        <v>647</v>
      </c>
      <c r="D8659" s="230">
        <v>0</v>
      </c>
      <c r="E8659" t="s">
        <v>735</v>
      </c>
    </row>
    <row r="8660" spans="1:5" hidden="1" x14ac:dyDescent="0.3">
      <c r="A8660" t="s">
        <v>557</v>
      </c>
      <c r="B8660" t="s">
        <v>734</v>
      </c>
      <c r="C8660" t="s">
        <v>648</v>
      </c>
      <c r="D8660" s="230">
        <v>0</v>
      </c>
      <c r="E8660" t="s">
        <v>735</v>
      </c>
    </row>
    <row r="8661" spans="1:5" hidden="1" x14ac:dyDescent="0.3">
      <c r="A8661" t="s">
        <v>557</v>
      </c>
      <c r="B8661" t="s">
        <v>734</v>
      </c>
      <c r="C8661" t="s">
        <v>649</v>
      </c>
      <c r="D8661" s="230">
        <v>0</v>
      </c>
      <c r="E8661" t="s">
        <v>735</v>
      </c>
    </row>
    <row r="8662" spans="1:5" hidden="1" x14ac:dyDescent="0.3">
      <c r="A8662" t="s">
        <v>557</v>
      </c>
      <c r="B8662" t="s">
        <v>734</v>
      </c>
      <c r="C8662" t="s">
        <v>650</v>
      </c>
      <c r="D8662" s="230">
        <v>0</v>
      </c>
      <c r="E8662" t="s">
        <v>735</v>
      </c>
    </row>
    <row r="8663" spans="1:5" hidden="1" x14ac:dyDescent="0.3">
      <c r="A8663" t="s">
        <v>557</v>
      </c>
      <c r="B8663" t="s">
        <v>734</v>
      </c>
      <c r="C8663" t="s">
        <v>651</v>
      </c>
      <c r="D8663" s="230">
        <v>0</v>
      </c>
      <c r="E8663" t="s">
        <v>735</v>
      </c>
    </row>
    <row r="8664" spans="1:5" hidden="1" x14ac:dyDescent="0.3">
      <c r="A8664" t="s">
        <v>557</v>
      </c>
      <c r="B8664" t="s">
        <v>734</v>
      </c>
      <c r="C8664" t="s">
        <v>652</v>
      </c>
      <c r="D8664" s="230">
        <v>0</v>
      </c>
      <c r="E8664" t="s">
        <v>735</v>
      </c>
    </row>
    <row r="8665" spans="1:5" hidden="1" x14ac:dyDescent="0.3">
      <c r="A8665" t="s">
        <v>557</v>
      </c>
      <c r="B8665" t="s">
        <v>734</v>
      </c>
      <c r="C8665" t="s">
        <v>653</v>
      </c>
      <c r="D8665" s="230">
        <v>0</v>
      </c>
      <c r="E8665" t="s">
        <v>735</v>
      </c>
    </row>
    <row r="8666" spans="1:5" hidden="1" x14ac:dyDescent="0.3">
      <c r="A8666" t="s">
        <v>557</v>
      </c>
      <c r="B8666" t="s">
        <v>734</v>
      </c>
      <c r="C8666" t="s">
        <v>654</v>
      </c>
      <c r="D8666" s="230">
        <v>0</v>
      </c>
      <c r="E8666" t="s">
        <v>735</v>
      </c>
    </row>
    <row r="8667" spans="1:5" hidden="1" x14ac:dyDescent="0.3">
      <c r="A8667" t="s">
        <v>557</v>
      </c>
      <c r="B8667" t="s">
        <v>734</v>
      </c>
      <c r="C8667" t="s">
        <v>655</v>
      </c>
      <c r="D8667" s="230">
        <v>0</v>
      </c>
      <c r="E8667" t="s">
        <v>735</v>
      </c>
    </row>
    <row r="8668" spans="1:5" hidden="1" x14ac:dyDescent="0.3">
      <c r="A8668" t="s">
        <v>557</v>
      </c>
      <c r="B8668" t="s">
        <v>734</v>
      </c>
      <c r="C8668" t="s">
        <v>656</v>
      </c>
      <c r="D8668" s="230">
        <v>0</v>
      </c>
      <c r="E8668" t="s">
        <v>735</v>
      </c>
    </row>
    <row r="8669" spans="1:5" hidden="1" x14ac:dyDescent="0.3">
      <c r="A8669" t="s">
        <v>557</v>
      </c>
      <c r="B8669" t="s">
        <v>734</v>
      </c>
      <c r="C8669" t="s">
        <v>657</v>
      </c>
      <c r="D8669" s="230">
        <v>0</v>
      </c>
      <c r="E8669" t="s">
        <v>735</v>
      </c>
    </row>
    <row r="8670" spans="1:5" hidden="1" x14ac:dyDescent="0.3">
      <c r="A8670" t="s">
        <v>557</v>
      </c>
      <c r="B8670" t="s">
        <v>734</v>
      </c>
      <c r="C8670" t="s">
        <v>658</v>
      </c>
      <c r="D8670" s="230">
        <v>0</v>
      </c>
      <c r="E8670" t="s">
        <v>735</v>
      </c>
    </row>
    <row r="8671" spans="1:5" hidden="1" x14ac:dyDescent="0.3">
      <c r="A8671" t="s">
        <v>557</v>
      </c>
      <c r="B8671" t="s">
        <v>734</v>
      </c>
      <c r="C8671" t="s">
        <v>659</v>
      </c>
      <c r="D8671" s="230">
        <v>0</v>
      </c>
      <c r="E8671" t="s">
        <v>735</v>
      </c>
    </row>
    <row r="8672" spans="1:5" hidden="1" x14ac:dyDescent="0.3">
      <c r="A8672" t="s">
        <v>557</v>
      </c>
      <c r="B8672" t="s">
        <v>734</v>
      </c>
      <c r="C8672" t="s">
        <v>660</v>
      </c>
      <c r="D8672" s="230">
        <v>0</v>
      </c>
      <c r="E8672" t="s">
        <v>735</v>
      </c>
    </row>
    <row r="8673" spans="1:5" hidden="1" x14ac:dyDescent="0.3">
      <c r="A8673" t="s">
        <v>557</v>
      </c>
      <c r="B8673" t="s">
        <v>734</v>
      </c>
      <c r="C8673" t="s">
        <v>661</v>
      </c>
      <c r="D8673" s="230">
        <v>0</v>
      </c>
      <c r="E8673" t="s">
        <v>735</v>
      </c>
    </row>
    <row r="8674" spans="1:5" hidden="1" x14ac:dyDescent="0.3">
      <c r="A8674" t="s">
        <v>557</v>
      </c>
      <c r="B8674" t="s">
        <v>734</v>
      </c>
      <c r="C8674" t="s">
        <v>662</v>
      </c>
      <c r="D8674" s="230">
        <v>0</v>
      </c>
      <c r="E8674" t="s">
        <v>735</v>
      </c>
    </row>
    <row r="8675" spans="1:5" hidden="1" x14ac:dyDescent="0.3">
      <c r="A8675" t="s">
        <v>557</v>
      </c>
      <c r="B8675" t="s">
        <v>734</v>
      </c>
      <c r="C8675" t="s">
        <v>663</v>
      </c>
      <c r="D8675" s="230">
        <v>0</v>
      </c>
      <c r="E8675" t="s">
        <v>735</v>
      </c>
    </row>
    <row r="8676" spans="1:5" hidden="1" x14ac:dyDescent="0.3">
      <c r="A8676" t="s">
        <v>557</v>
      </c>
      <c r="B8676" t="s">
        <v>734</v>
      </c>
      <c r="C8676" t="s">
        <v>664</v>
      </c>
      <c r="D8676" s="230">
        <v>0</v>
      </c>
      <c r="E8676" t="s">
        <v>735</v>
      </c>
    </row>
    <row r="8677" spans="1:5" hidden="1" x14ac:dyDescent="0.3">
      <c r="A8677" t="s">
        <v>557</v>
      </c>
      <c r="B8677" t="s">
        <v>734</v>
      </c>
      <c r="C8677" t="s">
        <v>665</v>
      </c>
      <c r="D8677" s="230">
        <v>0</v>
      </c>
      <c r="E8677" t="s">
        <v>735</v>
      </c>
    </row>
    <row r="8678" spans="1:5" hidden="1" x14ac:dyDescent="0.3">
      <c r="A8678" t="s">
        <v>557</v>
      </c>
      <c r="B8678" t="s">
        <v>734</v>
      </c>
      <c r="C8678" t="s">
        <v>666</v>
      </c>
      <c r="D8678" s="230">
        <v>0</v>
      </c>
      <c r="E8678" t="s">
        <v>735</v>
      </c>
    </row>
    <row r="8679" spans="1:5" hidden="1" x14ac:dyDescent="0.3">
      <c r="A8679" t="s">
        <v>557</v>
      </c>
      <c r="B8679" t="s">
        <v>734</v>
      </c>
      <c r="C8679" t="s">
        <v>667</v>
      </c>
      <c r="D8679" s="230">
        <v>0</v>
      </c>
      <c r="E8679" t="s">
        <v>735</v>
      </c>
    </row>
    <row r="8680" spans="1:5" hidden="1" x14ac:dyDescent="0.3">
      <c r="A8680" t="s">
        <v>557</v>
      </c>
      <c r="B8680" t="s">
        <v>734</v>
      </c>
      <c r="C8680" t="s">
        <v>668</v>
      </c>
      <c r="D8680" s="230">
        <v>0</v>
      </c>
      <c r="E8680" t="s">
        <v>735</v>
      </c>
    </row>
    <row r="8681" spans="1:5" hidden="1" x14ac:dyDescent="0.3">
      <c r="A8681" t="s">
        <v>557</v>
      </c>
      <c r="B8681" t="s">
        <v>734</v>
      </c>
      <c r="C8681" t="s">
        <v>669</v>
      </c>
      <c r="D8681" s="230">
        <v>0</v>
      </c>
      <c r="E8681" t="s">
        <v>735</v>
      </c>
    </row>
    <row r="8682" spans="1:5" hidden="1" x14ac:dyDescent="0.3">
      <c r="A8682" t="s">
        <v>557</v>
      </c>
      <c r="B8682" t="s">
        <v>734</v>
      </c>
      <c r="C8682" t="s">
        <v>670</v>
      </c>
      <c r="D8682" s="230">
        <v>0</v>
      </c>
      <c r="E8682" t="s">
        <v>735</v>
      </c>
    </row>
    <row r="8683" spans="1:5" hidden="1" x14ac:dyDescent="0.3">
      <c r="A8683" t="s">
        <v>557</v>
      </c>
      <c r="B8683" t="s">
        <v>734</v>
      </c>
      <c r="C8683" t="s">
        <v>671</v>
      </c>
      <c r="D8683" s="230">
        <v>0</v>
      </c>
      <c r="E8683" t="s">
        <v>735</v>
      </c>
    </row>
    <row r="8684" spans="1:5" hidden="1" x14ac:dyDescent="0.3">
      <c r="A8684" t="s">
        <v>557</v>
      </c>
      <c r="B8684" t="s">
        <v>734</v>
      </c>
      <c r="C8684" t="s">
        <v>672</v>
      </c>
      <c r="D8684" s="230">
        <v>0</v>
      </c>
      <c r="E8684" t="s">
        <v>735</v>
      </c>
    </row>
    <row r="8685" spans="1:5" hidden="1" x14ac:dyDescent="0.3">
      <c r="A8685" t="s">
        <v>557</v>
      </c>
      <c r="B8685" t="s">
        <v>734</v>
      </c>
      <c r="C8685" t="s">
        <v>673</v>
      </c>
      <c r="D8685" s="230">
        <v>0</v>
      </c>
      <c r="E8685" t="s">
        <v>735</v>
      </c>
    </row>
    <row r="8686" spans="1:5" hidden="1" x14ac:dyDescent="0.3">
      <c r="A8686" t="s">
        <v>557</v>
      </c>
      <c r="B8686" t="s">
        <v>734</v>
      </c>
      <c r="C8686" t="s">
        <v>674</v>
      </c>
      <c r="D8686" s="230">
        <v>0</v>
      </c>
      <c r="E8686" t="s">
        <v>735</v>
      </c>
    </row>
    <row r="8687" spans="1:5" hidden="1" x14ac:dyDescent="0.3">
      <c r="A8687" t="s">
        <v>557</v>
      </c>
      <c r="B8687" t="s">
        <v>734</v>
      </c>
      <c r="C8687" t="s">
        <v>675</v>
      </c>
      <c r="D8687" s="230">
        <v>0</v>
      </c>
      <c r="E8687" t="s">
        <v>735</v>
      </c>
    </row>
    <row r="8688" spans="1:5" hidden="1" x14ac:dyDescent="0.3">
      <c r="A8688" t="s">
        <v>557</v>
      </c>
      <c r="B8688" t="s">
        <v>734</v>
      </c>
      <c r="C8688" t="s">
        <v>676</v>
      </c>
      <c r="D8688" s="230">
        <v>0</v>
      </c>
      <c r="E8688" t="s">
        <v>735</v>
      </c>
    </row>
    <row r="8689" spans="1:5" hidden="1" x14ac:dyDescent="0.3">
      <c r="A8689" t="s">
        <v>557</v>
      </c>
      <c r="B8689" t="s">
        <v>734</v>
      </c>
      <c r="C8689" t="s">
        <v>677</v>
      </c>
      <c r="D8689" s="230">
        <v>0</v>
      </c>
      <c r="E8689" t="s">
        <v>735</v>
      </c>
    </row>
    <row r="8690" spans="1:5" hidden="1" x14ac:dyDescent="0.3">
      <c r="A8690" t="s">
        <v>557</v>
      </c>
      <c r="B8690" t="s">
        <v>734</v>
      </c>
      <c r="C8690" t="s">
        <v>201</v>
      </c>
      <c r="D8690" s="230">
        <v>-11652</v>
      </c>
      <c r="E8690" t="s">
        <v>735</v>
      </c>
    </row>
    <row r="8691" spans="1:5" hidden="1" x14ac:dyDescent="0.3">
      <c r="A8691" t="s">
        <v>557</v>
      </c>
      <c r="B8691" t="s">
        <v>734</v>
      </c>
      <c r="C8691" t="s">
        <v>203</v>
      </c>
      <c r="D8691" s="230">
        <v>-11652</v>
      </c>
      <c r="E8691" t="s">
        <v>735</v>
      </c>
    </row>
    <row r="8692" spans="1:5" hidden="1" x14ac:dyDescent="0.3">
      <c r="A8692" t="s">
        <v>557</v>
      </c>
      <c r="B8692" t="s">
        <v>734</v>
      </c>
      <c r="C8692" t="s">
        <v>678</v>
      </c>
      <c r="D8692" s="230">
        <v>5826</v>
      </c>
      <c r="E8692" t="s">
        <v>735</v>
      </c>
    </row>
    <row r="8693" spans="1:5" hidden="1" x14ac:dyDescent="0.3">
      <c r="A8693" t="s">
        <v>557</v>
      </c>
      <c r="B8693" t="s">
        <v>734</v>
      </c>
      <c r="C8693" t="s">
        <v>205</v>
      </c>
      <c r="D8693" s="230">
        <v>-16673.34</v>
      </c>
      <c r="E8693" t="s">
        <v>735</v>
      </c>
    </row>
    <row r="8694" spans="1:5" hidden="1" x14ac:dyDescent="0.3">
      <c r="A8694" t="s">
        <v>557</v>
      </c>
      <c r="B8694" t="s">
        <v>734</v>
      </c>
      <c r="C8694" t="s">
        <v>679</v>
      </c>
      <c r="D8694" s="230">
        <v>-4225.12</v>
      </c>
      <c r="E8694" t="s">
        <v>735</v>
      </c>
    </row>
    <row r="8695" spans="1:5" hidden="1" x14ac:dyDescent="0.3">
      <c r="A8695" t="s">
        <v>557</v>
      </c>
      <c r="B8695" t="s">
        <v>734</v>
      </c>
      <c r="C8695" t="s">
        <v>680</v>
      </c>
      <c r="D8695" s="230">
        <v>0</v>
      </c>
      <c r="E8695" t="s">
        <v>735</v>
      </c>
    </row>
    <row r="8696" spans="1:5" hidden="1" x14ac:dyDescent="0.3">
      <c r="A8696" t="s">
        <v>557</v>
      </c>
      <c r="B8696" t="s">
        <v>734</v>
      </c>
      <c r="C8696" t="s">
        <v>681</v>
      </c>
      <c r="D8696" s="230">
        <v>-4844</v>
      </c>
      <c r="E8696" t="s">
        <v>735</v>
      </c>
    </row>
    <row r="8697" spans="1:5" hidden="1" x14ac:dyDescent="0.3">
      <c r="A8697" t="s">
        <v>557</v>
      </c>
      <c r="B8697" t="s">
        <v>734</v>
      </c>
      <c r="C8697" t="s">
        <v>682</v>
      </c>
      <c r="D8697" s="230">
        <v>-2701.7</v>
      </c>
      <c r="E8697" t="s">
        <v>735</v>
      </c>
    </row>
    <row r="8698" spans="1:5" hidden="1" x14ac:dyDescent="0.3">
      <c r="A8698" t="s">
        <v>557</v>
      </c>
      <c r="B8698" t="s">
        <v>734</v>
      </c>
      <c r="C8698" t="s">
        <v>683</v>
      </c>
      <c r="D8698" s="230">
        <v>0</v>
      </c>
      <c r="E8698" t="s">
        <v>735</v>
      </c>
    </row>
    <row r="8699" spans="1:5" hidden="1" x14ac:dyDescent="0.3">
      <c r="A8699" t="s">
        <v>557</v>
      </c>
      <c r="B8699" t="s">
        <v>734</v>
      </c>
      <c r="C8699" t="s">
        <v>684</v>
      </c>
      <c r="D8699" s="230">
        <v>0</v>
      </c>
      <c r="E8699" t="s">
        <v>735</v>
      </c>
    </row>
    <row r="8700" spans="1:5" hidden="1" x14ac:dyDescent="0.3">
      <c r="A8700" t="s">
        <v>557</v>
      </c>
      <c r="B8700" t="s">
        <v>734</v>
      </c>
      <c r="C8700" t="s">
        <v>685</v>
      </c>
      <c r="D8700" s="230">
        <v>0</v>
      </c>
      <c r="E8700" t="s">
        <v>735</v>
      </c>
    </row>
    <row r="8701" spans="1:5" hidden="1" x14ac:dyDescent="0.3">
      <c r="A8701" t="s">
        <v>557</v>
      </c>
      <c r="B8701" t="s">
        <v>734</v>
      </c>
      <c r="C8701" t="s">
        <v>686</v>
      </c>
      <c r="D8701" s="230">
        <v>-297.19</v>
      </c>
      <c r="E8701" t="s">
        <v>735</v>
      </c>
    </row>
    <row r="8702" spans="1:5" hidden="1" x14ac:dyDescent="0.3">
      <c r="A8702" t="s">
        <v>557</v>
      </c>
      <c r="B8702" t="s">
        <v>734</v>
      </c>
      <c r="C8702" t="s">
        <v>687</v>
      </c>
      <c r="D8702" s="230">
        <v>0</v>
      </c>
      <c r="E8702" t="s">
        <v>735</v>
      </c>
    </row>
    <row r="8703" spans="1:5" hidden="1" x14ac:dyDescent="0.3">
      <c r="A8703" t="s">
        <v>557</v>
      </c>
      <c r="B8703" t="s">
        <v>734</v>
      </c>
      <c r="C8703" t="s">
        <v>688</v>
      </c>
      <c r="D8703" s="230">
        <v>-1523.38</v>
      </c>
      <c r="E8703" t="s">
        <v>735</v>
      </c>
    </row>
    <row r="8704" spans="1:5" hidden="1" x14ac:dyDescent="0.3">
      <c r="A8704" t="s">
        <v>557</v>
      </c>
      <c r="B8704" t="s">
        <v>734</v>
      </c>
      <c r="C8704" t="s">
        <v>689</v>
      </c>
      <c r="D8704" s="230">
        <v>-192.53</v>
      </c>
      <c r="E8704" t="s">
        <v>735</v>
      </c>
    </row>
    <row r="8705" spans="1:5" hidden="1" x14ac:dyDescent="0.3">
      <c r="A8705" t="s">
        <v>557</v>
      </c>
      <c r="B8705" t="s">
        <v>734</v>
      </c>
      <c r="C8705" t="s">
        <v>690</v>
      </c>
      <c r="D8705" s="230">
        <v>0</v>
      </c>
      <c r="E8705" t="s">
        <v>735</v>
      </c>
    </row>
    <row r="8706" spans="1:5" hidden="1" x14ac:dyDescent="0.3">
      <c r="A8706" t="s">
        <v>557</v>
      </c>
      <c r="B8706" t="s">
        <v>734</v>
      </c>
      <c r="C8706" t="s">
        <v>691</v>
      </c>
      <c r="D8706" s="230">
        <v>0</v>
      </c>
      <c r="E8706" t="s">
        <v>735</v>
      </c>
    </row>
    <row r="8707" spans="1:5" hidden="1" x14ac:dyDescent="0.3">
      <c r="A8707" t="s">
        <v>557</v>
      </c>
      <c r="B8707" t="s">
        <v>734</v>
      </c>
      <c r="C8707" t="s">
        <v>692</v>
      </c>
      <c r="D8707" s="230">
        <v>-2889.43</v>
      </c>
      <c r="E8707" t="s">
        <v>735</v>
      </c>
    </row>
    <row r="8708" spans="1:5" hidden="1" x14ac:dyDescent="0.3">
      <c r="A8708" t="s">
        <v>557</v>
      </c>
      <c r="B8708" t="s">
        <v>734</v>
      </c>
      <c r="C8708" t="s">
        <v>693</v>
      </c>
      <c r="D8708" s="230">
        <v>0</v>
      </c>
      <c r="E8708" t="s">
        <v>735</v>
      </c>
    </row>
    <row r="8709" spans="1:5" hidden="1" x14ac:dyDescent="0.3">
      <c r="A8709" t="s">
        <v>557</v>
      </c>
      <c r="B8709" t="s">
        <v>734</v>
      </c>
      <c r="C8709" t="s">
        <v>694</v>
      </c>
      <c r="D8709" s="230">
        <v>0</v>
      </c>
      <c r="E8709" t="s">
        <v>735</v>
      </c>
    </row>
    <row r="8710" spans="1:5" hidden="1" x14ac:dyDescent="0.3">
      <c r="A8710" t="s">
        <v>557</v>
      </c>
      <c r="B8710" t="s">
        <v>734</v>
      </c>
      <c r="C8710" t="s">
        <v>238</v>
      </c>
      <c r="D8710" s="230">
        <v>-6797.18</v>
      </c>
      <c r="E8710" t="s">
        <v>735</v>
      </c>
    </row>
    <row r="8711" spans="1:5" hidden="1" x14ac:dyDescent="0.3">
      <c r="A8711" t="s">
        <v>557</v>
      </c>
      <c r="B8711" t="s">
        <v>734</v>
      </c>
      <c r="C8711" t="s">
        <v>695</v>
      </c>
      <c r="D8711" s="230">
        <v>-5340</v>
      </c>
      <c r="E8711" t="s">
        <v>735</v>
      </c>
    </row>
    <row r="8712" spans="1:5" hidden="1" x14ac:dyDescent="0.3">
      <c r="A8712" t="s">
        <v>557</v>
      </c>
      <c r="B8712" t="s">
        <v>734</v>
      </c>
      <c r="C8712" t="s">
        <v>696</v>
      </c>
      <c r="D8712" s="230">
        <v>-1457.18</v>
      </c>
      <c r="E8712" t="s">
        <v>735</v>
      </c>
    </row>
    <row r="8713" spans="1:5" hidden="1" x14ac:dyDescent="0.3">
      <c r="A8713" t="s">
        <v>557</v>
      </c>
      <c r="B8713" t="s">
        <v>734</v>
      </c>
      <c r="C8713" t="s">
        <v>697</v>
      </c>
      <c r="D8713" s="230">
        <v>0</v>
      </c>
      <c r="E8713" t="s">
        <v>735</v>
      </c>
    </row>
    <row r="8714" spans="1:5" hidden="1" x14ac:dyDescent="0.3">
      <c r="A8714" t="s">
        <v>557</v>
      </c>
      <c r="B8714" t="s">
        <v>734</v>
      </c>
      <c r="C8714" t="s">
        <v>698</v>
      </c>
      <c r="D8714" s="230">
        <v>0</v>
      </c>
      <c r="E8714" t="s">
        <v>735</v>
      </c>
    </row>
    <row r="8715" spans="1:5" hidden="1" x14ac:dyDescent="0.3">
      <c r="A8715" t="s">
        <v>557</v>
      </c>
      <c r="B8715" t="s">
        <v>734</v>
      </c>
      <c r="C8715" t="s">
        <v>699</v>
      </c>
      <c r="D8715" s="230">
        <v>0</v>
      </c>
      <c r="E8715" t="s">
        <v>735</v>
      </c>
    </row>
    <row r="8716" spans="1:5" hidden="1" x14ac:dyDescent="0.3">
      <c r="A8716" t="s">
        <v>557</v>
      </c>
      <c r="B8716" t="s">
        <v>734</v>
      </c>
      <c r="C8716" t="s">
        <v>245</v>
      </c>
      <c r="D8716" s="230">
        <v>-14806.12</v>
      </c>
      <c r="E8716" t="s">
        <v>735</v>
      </c>
    </row>
    <row r="8717" spans="1:5" hidden="1" x14ac:dyDescent="0.3">
      <c r="A8717" t="s">
        <v>557</v>
      </c>
      <c r="B8717" t="s">
        <v>734</v>
      </c>
      <c r="C8717" t="s">
        <v>700</v>
      </c>
      <c r="D8717" s="230">
        <v>0</v>
      </c>
      <c r="E8717" t="s">
        <v>735</v>
      </c>
    </row>
    <row r="8718" spans="1:5" hidden="1" x14ac:dyDescent="0.3">
      <c r="A8718" t="s">
        <v>557</v>
      </c>
      <c r="B8718" t="s">
        <v>734</v>
      </c>
      <c r="C8718" t="s">
        <v>701</v>
      </c>
      <c r="D8718" s="230">
        <v>-1086.56</v>
      </c>
      <c r="E8718" t="s">
        <v>735</v>
      </c>
    </row>
    <row r="8719" spans="1:5" hidden="1" x14ac:dyDescent="0.3">
      <c r="A8719" t="s">
        <v>557</v>
      </c>
      <c r="B8719" t="s">
        <v>734</v>
      </c>
      <c r="C8719" t="s">
        <v>702</v>
      </c>
      <c r="D8719" s="230">
        <v>0</v>
      </c>
      <c r="E8719" t="s">
        <v>735</v>
      </c>
    </row>
    <row r="8720" spans="1:5" hidden="1" x14ac:dyDescent="0.3">
      <c r="A8720" t="s">
        <v>557</v>
      </c>
      <c r="B8720" t="s">
        <v>734</v>
      </c>
      <c r="C8720" t="s">
        <v>703</v>
      </c>
      <c r="D8720" s="230">
        <v>-2700</v>
      </c>
      <c r="E8720" t="s">
        <v>735</v>
      </c>
    </row>
    <row r="8721" spans="1:5" hidden="1" x14ac:dyDescent="0.3">
      <c r="A8721" t="s">
        <v>557</v>
      </c>
      <c r="B8721" t="s">
        <v>734</v>
      </c>
      <c r="C8721" t="s">
        <v>704</v>
      </c>
      <c r="D8721" s="230">
        <v>0</v>
      </c>
      <c r="E8721" t="s">
        <v>735</v>
      </c>
    </row>
    <row r="8722" spans="1:5" hidden="1" x14ac:dyDescent="0.3">
      <c r="A8722" t="s">
        <v>557</v>
      </c>
      <c r="B8722" t="s">
        <v>734</v>
      </c>
      <c r="C8722" t="s">
        <v>705</v>
      </c>
      <c r="D8722" s="230">
        <v>-11019.56</v>
      </c>
      <c r="E8722" t="s">
        <v>735</v>
      </c>
    </row>
    <row r="8723" spans="1:5" hidden="1" x14ac:dyDescent="0.3">
      <c r="A8723" t="s">
        <v>557</v>
      </c>
      <c r="B8723" t="s">
        <v>734</v>
      </c>
      <c r="C8723" t="s">
        <v>706</v>
      </c>
      <c r="D8723" s="230">
        <v>0</v>
      </c>
      <c r="E8723" t="s">
        <v>735</v>
      </c>
    </row>
    <row r="8724" spans="1:5" hidden="1" x14ac:dyDescent="0.3">
      <c r="A8724" t="s">
        <v>557</v>
      </c>
      <c r="B8724" t="s">
        <v>734</v>
      </c>
      <c r="C8724" t="s">
        <v>254</v>
      </c>
      <c r="D8724" s="230">
        <v>-0.37</v>
      </c>
      <c r="E8724" t="s">
        <v>735</v>
      </c>
    </row>
    <row r="8725" spans="1:5" hidden="1" x14ac:dyDescent="0.3">
      <c r="A8725" t="s">
        <v>557</v>
      </c>
      <c r="B8725" t="s">
        <v>734</v>
      </c>
      <c r="C8725" t="s">
        <v>255</v>
      </c>
      <c r="D8725" s="230">
        <v>-0.26</v>
      </c>
      <c r="E8725" t="s">
        <v>735</v>
      </c>
    </row>
    <row r="8726" spans="1:5" hidden="1" x14ac:dyDescent="0.3">
      <c r="A8726" t="s">
        <v>557</v>
      </c>
      <c r="B8726" t="s">
        <v>734</v>
      </c>
      <c r="C8726" t="s">
        <v>256</v>
      </c>
      <c r="D8726" s="230">
        <v>-54515.22</v>
      </c>
      <c r="E8726" t="s">
        <v>735</v>
      </c>
    </row>
    <row r="8727" spans="1:5" hidden="1" x14ac:dyDescent="0.3">
      <c r="A8727" t="s">
        <v>557</v>
      </c>
      <c r="B8727" t="s">
        <v>734</v>
      </c>
      <c r="C8727" t="s">
        <v>257</v>
      </c>
      <c r="D8727" s="230">
        <v>-52079.05</v>
      </c>
      <c r="E8727" t="s">
        <v>735</v>
      </c>
    </row>
    <row r="8728" spans="1:5" hidden="1" x14ac:dyDescent="0.3">
      <c r="A8728" t="s">
        <v>557</v>
      </c>
      <c r="B8728" t="s">
        <v>734</v>
      </c>
      <c r="C8728" t="s">
        <v>258</v>
      </c>
      <c r="D8728" s="230">
        <v>0</v>
      </c>
      <c r="E8728" t="s">
        <v>735</v>
      </c>
    </row>
    <row r="8729" spans="1:5" hidden="1" x14ac:dyDescent="0.3">
      <c r="A8729" t="s">
        <v>557</v>
      </c>
      <c r="B8729" t="s">
        <v>734</v>
      </c>
      <c r="C8729" t="s">
        <v>259</v>
      </c>
      <c r="D8729" s="230">
        <v>-2436.17</v>
      </c>
      <c r="E8729" t="s">
        <v>735</v>
      </c>
    </row>
    <row r="8730" spans="1:5" hidden="1" x14ac:dyDescent="0.3">
      <c r="A8730" t="s">
        <v>557</v>
      </c>
      <c r="B8730" t="s">
        <v>734</v>
      </c>
      <c r="C8730" t="s">
        <v>260</v>
      </c>
      <c r="D8730" s="230">
        <v>0</v>
      </c>
      <c r="E8730" t="s">
        <v>735</v>
      </c>
    </row>
    <row r="8731" spans="1:5" hidden="1" x14ac:dyDescent="0.3">
      <c r="A8731" t="s">
        <v>557</v>
      </c>
      <c r="B8731" t="s">
        <v>734</v>
      </c>
      <c r="C8731" t="s">
        <v>261</v>
      </c>
      <c r="D8731" s="230">
        <v>0</v>
      </c>
      <c r="E8731" t="s">
        <v>735</v>
      </c>
    </row>
    <row r="8732" spans="1:5" hidden="1" x14ac:dyDescent="0.3">
      <c r="A8732" t="s">
        <v>557</v>
      </c>
      <c r="B8732" t="s">
        <v>734</v>
      </c>
      <c r="C8732" t="s">
        <v>262</v>
      </c>
      <c r="D8732" s="230">
        <v>0</v>
      </c>
      <c r="E8732" t="s">
        <v>735</v>
      </c>
    </row>
    <row r="8733" spans="1:5" hidden="1" x14ac:dyDescent="0.3">
      <c r="A8733" t="s">
        <v>557</v>
      </c>
      <c r="B8733" t="s">
        <v>734</v>
      </c>
      <c r="C8733" t="s">
        <v>263</v>
      </c>
      <c r="D8733" s="230">
        <v>0</v>
      </c>
      <c r="E8733" t="s">
        <v>735</v>
      </c>
    </row>
    <row r="8734" spans="1:5" hidden="1" x14ac:dyDescent="0.3">
      <c r="A8734" t="s">
        <v>557</v>
      </c>
      <c r="B8734" t="s">
        <v>734</v>
      </c>
      <c r="C8734" t="s">
        <v>44</v>
      </c>
      <c r="D8734" s="230">
        <v>-0.17</v>
      </c>
      <c r="E8734" t="s">
        <v>735</v>
      </c>
    </row>
    <row r="8735" spans="1:5" hidden="1" x14ac:dyDescent="0.3">
      <c r="A8735" t="s">
        <v>557</v>
      </c>
      <c r="B8735" t="s">
        <v>734</v>
      </c>
      <c r="C8735" t="s">
        <v>264</v>
      </c>
      <c r="D8735" s="230">
        <v>-37223.589999999997</v>
      </c>
      <c r="E8735" t="s">
        <v>735</v>
      </c>
    </row>
    <row r="8736" spans="1:5" hidden="1" x14ac:dyDescent="0.3">
      <c r="A8736" t="s">
        <v>557</v>
      </c>
      <c r="B8736" t="s">
        <v>734</v>
      </c>
      <c r="C8736" t="s">
        <v>265</v>
      </c>
      <c r="D8736" s="230">
        <v>-5004.92</v>
      </c>
      <c r="E8736" t="s">
        <v>735</v>
      </c>
    </row>
    <row r="8737" spans="1:5" hidden="1" x14ac:dyDescent="0.3">
      <c r="A8737" t="s">
        <v>557</v>
      </c>
      <c r="B8737" t="s">
        <v>734</v>
      </c>
      <c r="C8737" t="s">
        <v>266</v>
      </c>
      <c r="D8737" s="230">
        <v>-11241.79</v>
      </c>
      <c r="E8737" t="s">
        <v>735</v>
      </c>
    </row>
    <row r="8738" spans="1:5" hidden="1" x14ac:dyDescent="0.3">
      <c r="A8738" t="s">
        <v>557</v>
      </c>
      <c r="B8738" t="s">
        <v>734</v>
      </c>
      <c r="C8738" t="s">
        <v>267</v>
      </c>
      <c r="D8738" s="230">
        <v>-5805.22</v>
      </c>
      <c r="E8738" t="s">
        <v>735</v>
      </c>
    </row>
    <row r="8739" spans="1:5" hidden="1" x14ac:dyDescent="0.3">
      <c r="A8739" t="s">
        <v>557</v>
      </c>
      <c r="B8739" t="s">
        <v>734</v>
      </c>
      <c r="C8739" t="s">
        <v>268</v>
      </c>
      <c r="D8739" s="230">
        <v>-5372.95</v>
      </c>
      <c r="E8739" t="s">
        <v>735</v>
      </c>
    </row>
    <row r="8740" spans="1:5" hidden="1" x14ac:dyDescent="0.3">
      <c r="A8740" t="s">
        <v>557</v>
      </c>
      <c r="B8740" t="s">
        <v>734</v>
      </c>
      <c r="C8740" t="s">
        <v>269</v>
      </c>
      <c r="D8740" s="230">
        <v>0</v>
      </c>
      <c r="E8740" t="s">
        <v>735</v>
      </c>
    </row>
    <row r="8741" spans="1:5" hidden="1" x14ac:dyDescent="0.3">
      <c r="A8741" t="s">
        <v>557</v>
      </c>
      <c r="B8741" t="s">
        <v>734</v>
      </c>
      <c r="C8741" t="s">
        <v>270</v>
      </c>
      <c r="D8741" s="230">
        <v>-550</v>
      </c>
      <c r="E8741" t="s">
        <v>735</v>
      </c>
    </row>
    <row r="8742" spans="1:5" hidden="1" x14ac:dyDescent="0.3">
      <c r="A8742" t="s">
        <v>557</v>
      </c>
      <c r="B8742" t="s">
        <v>734</v>
      </c>
      <c r="C8742" t="s">
        <v>271</v>
      </c>
      <c r="D8742" s="230">
        <v>-770.64</v>
      </c>
      <c r="E8742" t="s">
        <v>735</v>
      </c>
    </row>
    <row r="8743" spans="1:5" hidden="1" x14ac:dyDescent="0.3">
      <c r="A8743" t="s">
        <v>557</v>
      </c>
      <c r="B8743" t="s">
        <v>734</v>
      </c>
      <c r="C8743" t="s">
        <v>272</v>
      </c>
      <c r="D8743" s="230">
        <v>-3187.21</v>
      </c>
      <c r="E8743" t="s">
        <v>735</v>
      </c>
    </row>
    <row r="8744" spans="1:5" hidden="1" x14ac:dyDescent="0.3">
      <c r="A8744" t="s">
        <v>557</v>
      </c>
      <c r="B8744" t="s">
        <v>734</v>
      </c>
      <c r="C8744" t="s">
        <v>273</v>
      </c>
      <c r="D8744" s="230">
        <v>0</v>
      </c>
      <c r="E8744" t="s">
        <v>735</v>
      </c>
    </row>
    <row r="8745" spans="1:5" hidden="1" x14ac:dyDescent="0.3">
      <c r="A8745" t="s">
        <v>557</v>
      </c>
      <c r="B8745" t="s">
        <v>734</v>
      </c>
      <c r="C8745" t="s">
        <v>274</v>
      </c>
      <c r="D8745" s="230">
        <v>0</v>
      </c>
      <c r="E8745" t="s">
        <v>735</v>
      </c>
    </row>
    <row r="8746" spans="1:5" hidden="1" x14ac:dyDescent="0.3">
      <c r="A8746" t="s">
        <v>557</v>
      </c>
      <c r="B8746" t="s">
        <v>734</v>
      </c>
      <c r="C8746" t="s">
        <v>275</v>
      </c>
      <c r="D8746" s="230">
        <v>-568.75</v>
      </c>
      <c r="E8746" t="s">
        <v>735</v>
      </c>
    </row>
    <row r="8747" spans="1:5" hidden="1" x14ac:dyDescent="0.3">
      <c r="A8747" t="s">
        <v>557</v>
      </c>
      <c r="B8747" t="s">
        <v>734</v>
      </c>
      <c r="C8747" t="s">
        <v>276</v>
      </c>
      <c r="D8747" s="230">
        <v>-243.1</v>
      </c>
      <c r="E8747" t="s">
        <v>735</v>
      </c>
    </row>
    <row r="8748" spans="1:5" hidden="1" x14ac:dyDescent="0.3">
      <c r="A8748" t="s">
        <v>557</v>
      </c>
      <c r="B8748" t="s">
        <v>734</v>
      </c>
      <c r="C8748" t="s">
        <v>277</v>
      </c>
      <c r="D8748" s="230">
        <v>-150</v>
      </c>
      <c r="E8748" t="s">
        <v>735</v>
      </c>
    </row>
    <row r="8749" spans="1:5" hidden="1" x14ac:dyDescent="0.3">
      <c r="A8749" t="s">
        <v>557</v>
      </c>
      <c r="B8749" t="s">
        <v>734</v>
      </c>
      <c r="C8749" t="s">
        <v>278</v>
      </c>
      <c r="D8749" s="230">
        <v>-4329.01</v>
      </c>
      <c r="E8749" t="s">
        <v>735</v>
      </c>
    </row>
    <row r="8750" spans="1:5" hidden="1" x14ac:dyDescent="0.3">
      <c r="A8750" t="s">
        <v>557</v>
      </c>
      <c r="B8750" t="s">
        <v>734</v>
      </c>
      <c r="C8750" t="s">
        <v>44</v>
      </c>
      <c r="D8750" s="230">
        <v>-0.12</v>
      </c>
      <c r="E8750" t="s">
        <v>735</v>
      </c>
    </row>
    <row r="8751" spans="1:5" hidden="1" x14ac:dyDescent="0.3">
      <c r="A8751" t="s">
        <v>557</v>
      </c>
      <c r="B8751" t="s">
        <v>734</v>
      </c>
      <c r="C8751" t="s">
        <v>279</v>
      </c>
      <c r="D8751" s="230">
        <v>-6793.48</v>
      </c>
      <c r="E8751" t="s">
        <v>735</v>
      </c>
    </row>
    <row r="8752" spans="1:5" hidden="1" x14ac:dyDescent="0.3">
      <c r="A8752" t="s">
        <v>557</v>
      </c>
      <c r="B8752" t="s">
        <v>734</v>
      </c>
      <c r="C8752" t="s">
        <v>280</v>
      </c>
      <c r="D8752" s="230">
        <v>0</v>
      </c>
      <c r="E8752" t="s">
        <v>735</v>
      </c>
    </row>
    <row r="8753" spans="1:5" hidden="1" x14ac:dyDescent="0.3">
      <c r="A8753" t="s">
        <v>557</v>
      </c>
      <c r="B8753" t="s">
        <v>734</v>
      </c>
      <c r="C8753" t="s">
        <v>281</v>
      </c>
      <c r="D8753" s="230">
        <v>-768.18</v>
      </c>
      <c r="E8753" t="s">
        <v>735</v>
      </c>
    </row>
    <row r="8754" spans="1:5" hidden="1" x14ac:dyDescent="0.3">
      <c r="A8754" t="s">
        <v>557</v>
      </c>
      <c r="B8754" t="s">
        <v>734</v>
      </c>
      <c r="C8754" t="s">
        <v>282</v>
      </c>
      <c r="D8754" s="230">
        <v>-404.87</v>
      </c>
      <c r="E8754" t="s">
        <v>735</v>
      </c>
    </row>
    <row r="8755" spans="1:5" hidden="1" x14ac:dyDescent="0.3">
      <c r="A8755" t="s">
        <v>557</v>
      </c>
      <c r="B8755" t="s">
        <v>734</v>
      </c>
      <c r="C8755" t="s">
        <v>283</v>
      </c>
      <c r="D8755" s="230">
        <v>-274.33</v>
      </c>
      <c r="E8755" t="s">
        <v>735</v>
      </c>
    </row>
    <row r="8756" spans="1:5" hidden="1" x14ac:dyDescent="0.3">
      <c r="A8756" t="s">
        <v>557</v>
      </c>
      <c r="B8756" t="s">
        <v>734</v>
      </c>
      <c r="C8756" t="s">
        <v>284</v>
      </c>
      <c r="D8756" s="230">
        <v>-4022.46</v>
      </c>
      <c r="E8756" t="s">
        <v>735</v>
      </c>
    </row>
    <row r="8757" spans="1:5" hidden="1" x14ac:dyDescent="0.3">
      <c r="A8757" t="s">
        <v>557</v>
      </c>
      <c r="B8757" t="s">
        <v>734</v>
      </c>
      <c r="C8757" t="s">
        <v>285</v>
      </c>
      <c r="D8757" s="230">
        <v>-360</v>
      </c>
      <c r="E8757" t="s">
        <v>735</v>
      </c>
    </row>
    <row r="8758" spans="1:5" hidden="1" x14ac:dyDescent="0.3">
      <c r="A8758" t="s">
        <v>557</v>
      </c>
      <c r="B8758" t="s">
        <v>734</v>
      </c>
      <c r="C8758" t="s">
        <v>286</v>
      </c>
      <c r="D8758" s="230">
        <v>-963.64</v>
      </c>
      <c r="E8758" t="s">
        <v>735</v>
      </c>
    </row>
    <row r="8759" spans="1:5" hidden="1" x14ac:dyDescent="0.3">
      <c r="A8759" t="s">
        <v>557</v>
      </c>
      <c r="B8759" t="s">
        <v>734</v>
      </c>
      <c r="C8759" t="s">
        <v>44</v>
      </c>
      <c r="D8759" s="230">
        <v>-0.02</v>
      </c>
      <c r="E8759" t="s">
        <v>735</v>
      </c>
    </row>
    <row r="8760" spans="1:5" hidden="1" x14ac:dyDescent="0.3">
      <c r="A8760" t="s">
        <v>557</v>
      </c>
      <c r="B8760" t="s">
        <v>734</v>
      </c>
      <c r="C8760" t="s">
        <v>287</v>
      </c>
      <c r="D8760" s="230">
        <v>-6476.2</v>
      </c>
      <c r="E8760" t="s">
        <v>735</v>
      </c>
    </row>
    <row r="8761" spans="1:5" hidden="1" x14ac:dyDescent="0.3">
      <c r="A8761" t="s">
        <v>557</v>
      </c>
      <c r="B8761" t="s">
        <v>734</v>
      </c>
      <c r="C8761" t="s">
        <v>288</v>
      </c>
      <c r="D8761" s="230">
        <v>-5866.68</v>
      </c>
      <c r="E8761" t="s">
        <v>735</v>
      </c>
    </row>
    <row r="8762" spans="1:5" hidden="1" x14ac:dyDescent="0.3">
      <c r="A8762" t="s">
        <v>557</v>
      </c>
      <c r="B8762" t="s">
        <v>734</v>
      </c>
      <c r="C8762" t="s">
        <v>289</v>
      </c>
      <c r="D8762" s="230">
        <v>0</v>
      </c>
      <c r="E8762" t="s">
        <v>735</v>
      </c>
    </row>
    <row r="8763" spans="1:5" hidden="1" x14ac:dyDescent="0.3">
      <c r="A8763" t="s">
        <v>557</v>
      </c>
      <c r="B8763" t="s">
        <v>734</v>
      </c>
      <c r="C8763" t="s">
        <v>290</v>
      </c>
      <c r="D8763" s="230">
        <v>0</v>
      </c>
      <c r="E8763" t="s">
        <v>735</v>
      </c>
    </row>
    <row r="8764" spans="1:5" hidden="1" x14ac:dyDescent="0.3">
      <c r="A8764" t="s">
        <v>557</v>
      </c>
      <c r="B8764" t="s">
        <v>734</v>
      </c>
      <c r="C8764" t="s">
        <v>291</v>
      </c>
      <c r="D8764" s="230">
        <v>-391.52</v>
      </c>
      <c r="E8764" t="s">
        <v>735</v>
      </c>
    </row>
    <row r="8765" spans="1:5" hidden="1" x14ac:dyDescent="0.3">
      <c r="A8765" t="s">
        <v>557</v>
      </c>
      <c r="B8765" t="s">
        <v>734</v>
      </c>
      <c r="C8765" t="s">
        <v>292</v>
      </c>
      <c r="D8765" s="230">
        <v>-111</v>
      </c>
      <c r="E8765" t="s">
        <v>735</v>
      </c>
    </row>
    <row r="8766" spans="1:5" hidden="1" x14ac:dyDescent="0.3">
      <c r="A8766" t="s">
        <v>557</v>
      </c>
      <c r="B8766" t="s">
        <v>734</v>
      </c>
      <c r="C8766" t="s">
        <v>293</v>
      </c>
      <c r="D8766" s="230">
        <v>0</v>
      </c>
      <c r="E8766" t="s">
        <v>735</v>
      </c>
    </row>
    <row r="8767" spans="1:5" hidden="1" x14ac:dyDescent="0.3">
      <c r="A8767" t="s">
        <v>557</v>
      </c>
      <c r="B8767" t="s">
        <v>734</v>
      </c>
      <c r="C8767" t="s">
        <v>294</v>
      </c>
      <c r="D8767" s="230">
        <v>-107</v>
      </c>
      <c r="E8767" t="s">
        <v>735</v>
      </c>
    </row>
    <row r="8768" spans="1:5" hidden="1" x14ac:dyDescent="0.3">
      <c r="A8768" t="s">
        <v>557</v>
      </c>
      <c r="B8768" t="s">
        <v>734</v>
      </c>
      <c r="C8768" t="s">
        <v>295</v>
      </c>
      <c r="D8768" s="230">
        <v>0</v>
      </c>
      <c r="E8768" t="s">
        <v>735</v>
      </c>
    </row>
    <row r="8769" spans="1:5" hidden="1" x14ac:dyDescent="0.3">
      <c r="A8769" t="s">
        <v>557</v>
      </c>
      <c r="B8769" t="s">
        <v>734</v>
      </c>
      <c r="C8769" t="s">
        <v>44</v>
      </c>
      <c r="D8769" s="230">
        <v>-0.02</v>
      </c>
      <c r="E8769" t="s">
        <v>735</v>
      </c>
    </row>
    <row r="8770" spans="1:5" hidden="1" x14ac:dyDescent="0.3">
      <c r="A8770" t="s">
        <v>557</v>
      </c>
      <c r="B8770" t="s">
        <v>734</v>
      </c>
      <c r="C8770" t="s">
        <v>296</v>
      </c>
      <c r="D8770" s="230">
        <v>-9302.7199999999993</v>
      </c>
      <c r="E8770" t="s">
        <v>735</v>
      </c>
    </row>
    <row r="8771" spans="1:5" hidden="1" x14ac:dyDescent="0.3">
      <c r="A8771" t="s">
        <v>557</v>
      </c>
      <c r="B8771" t="s">
        <v>734</v>
      </c>
      <c r="C8771" t="s">
        <v>297</v>
      </c>
      <c r="D8771" s="230">
        <v>-4000</v>
      </c>
      <c r="E8771" t="s">
        <v>735</v>
      </c>
    </row>
    <row r="8772" spans="1:5" hidden="1" x14ac:dyDescent="0.3">
      <c r="A8772" t="s">
        <v>557</v>
      </c>
      <c r="B8772" t="s">
        <v>734</v>
      </c>
      <c r="C8772" t="s">
        <v>298</v>
      </c>
      <c r="D8772" s="230">
        <v>-460</v>
      </c>
      <c r="E8772" t="s">
        <v>735</v>
      </c>
    </row>
    <row r="8773" spans="1:5" hidden="1" x14ac:dyDescent="0.3">
      <c r="A8773" t="s">
        <v>557</v>
      </c>
      <c r="B8773" t="s">
        <v>734</v>
      </c>
      <c r="C8773" t="s">
        <v>299</v>
      </c>
      <c r="D8773" s="230">
        <v>0</v>
      </c>
      <c r="E8773" t="s">
        <v>735</v>
      </c>
    </row>
    <row r="8774" spans="1:5" hidden="1" x14ac:dyDescent="0.3">
      <c r="A8774" t="s">
        <v>557</v>
      </c>
      <c r="B8774" t="s">
        <v>734</v>
      </c>
      <c r="C8774" t="s">
        <v>300</v>
      </c>
      <c r="D8774" s="230">
        <v>-2000</v>
      </c>
      <c r="E8774" t="s">
        <v>735</v>
      </c>
    </row>
    <row r="8775" spans="1:5" hidden="1" x14ac:dyDescent="0.3">
      <c r="A8775" t="s">
        <v>557</v>
      </c>
      <c r="B8775" t="s">
        <v>734</v>
      </c>
      <c r="C8775" t="s">
        <v>301</v>
      </c>
      <c r="D8775" s="230">
        <v>-1341.73</v>
      </c>
      <c r="E8775" t="s">
        <v>735</v>
      </c>
    </row>
    <row r="8776" spans="1:5" hidden="1" x14ac:dyDescent="0.3">
      <c r="A8776" t="s">
        <v>557</v>
      </c>
      <c r="B8776" t="s">
        <v>734</v>
      </c>
      <c r="C8776" t="s">
        <v>302</v>
      </c>
      <c r="D8776" s="230">
        <v>0</v>
      </c>
      <c r="E8776" t="s">
        <v>735</v>
      </c>
    </row>
    <row r="8777" spans="1:5" hidden="1" x14ac:dyDescent="0.3">
      <c r="A8777" t="s">
        <v>557</v>
      </c>
      <c r="B8777" t="s">
        <v>734</v>
      </c>
      <c r="C8777" t="s">
        <v>303</v>
      </c>
      <c r="D8777" s="230">
        <v>0</v>
      </c>
      <c r="E8777" t="s">
        <v>735</v>
      </c>
    </row>
    <row r="8778" spans="1:5" hidden="1" x14ac:dyDescent="0.3">
      <c r="A8778" t="s">
        <v>557</v>
      </c>
      <c r="B8778" t="s">
        <v>734</v>
      </c>
      <c r="C8778" t="s">
        <v>304</v>
      </c>
      <c r="D8778" s="230">
        <v>-1000</v>
      </c>
      <c r="E8778" t="s">
        <v>735</v>
      </c>
    </row>
    <row r="8779" spans="1:5" hidden="1" x14ac:dyDescent="0.3">
      <c r="A8779" t="s">
        <v>557</v>
      </c>
      <c r="B8779" t="s">
        <v>734</v>
      </c>
      <c r="C8779" t="s">
        <v>305</v>
      </c>
      <c r="D8779" s="230">
        <v>-452.99</v>
      </c>
      <c r="E8779" t="s">
        <v>735</v>
      </c>
    </row>
    <row r="8780" spans="1:5" hidden="1" x14ac:dyDescent="0.3">
      <c r="A8780" t="s">
        <v>557</v>
      </c>
      <c r="B8780" t="s">
        <v>734</v>
      </c>
      <c r="C8780" t="s">
        <v>306</v>
      </c>
      <c r="D8780" s="230">
        <v>0</v>
      </c>
      <c r="E8780" t="s">
        <v>735</v>
      </c>
    </row>
    <row r="8781" spans="1:5" hidden="1" x14ac:dyDescent="0.3">
      <c r="A8781" t="s">
        <v>557</v>
      </c>
      <c r="B8781" t="s">
        <v>734</v>
      </c>
      <c r="C8781" t="s">
        <v>307</v>
      </c>
      <c r="D8781" s="230">
        <v>-48</v>
      </c>
      <c r="E8781" t="s">
        <v>735</v>
      </c>
    </row>
    <row r="8782" spans="1:5" hidden="1" x14ac:dyDescent="0.3">
      <c r="A8782" t="s">
        <v>557</v>
      </c>
      <c r="B8782" t="s">
        <v>734</v>
      </c>
      <c r="C8782" t="s">
        <v>44</v>
      </c>
      <c r="D8782" s="230">
        <v>-0.03</v>
      </c>
      <c r="E8782" t="s">
        <v>735</v>
      </c>
    </row>
    <row r="8783" spans="1:5" hidden="1" x14ac:dyDescent="0.3">
      <c r="A8783" t="s">
        <v>557</v>
      </c>
      <c r="B8783" t="s">
        <v>734</v>
      </c>
      <c r="C8783" t="s">
        <v>308</v>
      </c>
      <c r="D8783" s="230">
        <v>-3893.18</v>
      </c>
      <c r="E8783" t="s">
        <v>735</v>
      </c>
    </row>
    <row r="8784" spans="1:5" hidden="1" x14ac:dyDescent="0.3">
      <c r="A8784" t="s">
        <v>557</v>
      </c>
      <c r="B8784" t="s">
        <v>734</v>
      </c>
      <c r="C8784" t="s">
        <v>309</v>
      </c>
      <c r="D8784" s="230">
        <v>-3000</v>
      </c>
      <c r="E8784" t="s">
        <v>735</v>
      </c>
    </row>
    <row r="8785" spans="1:5" hidden="1" x14ac:dyDescent="0.3">
      <c r="A8785" t="s">
        <v>557</v>
      </c>
      <c r="B8785" t="s">
        <v>734</v>
      </c>
      <c r="C8785" t="s">
        <v>310</v>
      </c>
      <c r="D8785" s="230">
        <v>0</v>
      </c>
      <c r="E8785" t="s">
        <v>735</v>
      </c>
    </row>
    <row r="8786" spans="1:5" hidden="1" x14ac:dyDescent="0.3">
      <c r="A8786" t="s">
        <v>557</v>
      </c>
      <c r="B8786" t="s">
        <v>734</v>
      </c>
      <c r="C8786" t="s">
        <v>311</v>
      </c>
      <c r="D8786" s="230">
        <v>0</v>
      </c>
      <c r="E8786" t="s">
        <v>735</v>
      </c>
    </row>
    <row r="8787" spans="1:5" hidden="1" x14ac:dyDescent="0.3">
      <c r="A8787" t="s">
        <v>557</v>
      </c>
      <c r="B8787" t="s">
        <v>734</v>
      </c>
      <c r="C8787" t="s">
        <v>312</v>
      </c>
      <c r="D8787" s="230">
        <v>-185</v>
      </c>
      <c r="E8787" t="s">
        <v>735</v>
      </c>
    </row>
    <row r="8788" spans="1:5" hidden="1" x14ac:dyDescent="0.3">
      <c r="A8788" t="s">
        <v>557</v>
      </c>
      <c r="B8788" t="s">
        <v>734</v>
      </c>
      <c r="C8788" t="s">
        <v>313</v>
      </c>
      <c r="D8788" s="230">
        <v>0</v>
      </c>
      <c r="E8788" t="s">
        <v>735</v>
      </c>
    </row>
    <row r="8789" spans="1:5" hidden="1" x14ac:dyDescent="0.3">
      <c r="A8789" t="s">
        <v>557</v>
      </c>
      <c r="B8789" t="s">
        <v>734</v>
      </c>
      <c r="C8789" t="s">
        <v>314</v>
      </c>
      <c r="D8789" s="230">
        <v>-708.18</v>
      </c>
      <c r="E8789" t="s">
        <v>735</v>
      </c>
    </row>
    <row r="8790" spans="1:5" hidden="1" x14ac:dyDescent="0.3">
      <c r="A8790" t="s">
        <v>557</v>
      </c>
      <c r="B8790" t="s">
        <v>734</v>
      </c>
      <c r="C8790" t="s">
        <v>315</v>
      </c>
      <c r="D8790" s="230">
        <v>0</v>
      </c>
      <c r="E8790" t="s">
        <v>735</v>
      </c>
    </row>
    <row r="8791" spans="1:5" hidden="1" x14ac:dyDescent="0.3">
      <c r="A8791" t="s">
        <v>557</v>
      </c>
      <c r="B8791" t="s">
        <v>734</v>
      </c>
      <c r="C8791" t="s">
        <v>316</v>
      </c>
      <c r="D8791" s="230">
        <v>0</v>
      </c>
      <c r="E8791" t="s">
        <v>735</v>
      </c>
    </row>
    <row r="8792" spans="1:5" hidden="1" x14ac:dyDescent="0.3">
      <c r="A8792" t="s">
        <v>557</v>
      </c>
      <c r="B8792" t="s">
        <v>734</v>
      </c>
      <c r="C8792" t="s">
        <v>317</v>
      </c>
      <c r="D8792" s="230">
        <v>0</v>
      </c>
      <c r="E8792" t="s">
        <v>735</v>
      </c>
    </row>
    <row r="8793" spans="1:5" hidden="1" x14ac:dyDescent="0.3">
      <c r="A8793" t="s">
        <v>557</v>
      </c>
      <c r="B8793" t="s">
        <v>734</v>
      </c>
      <c r="C8793" t="s">
        <v>44</v>
      </c>
      <c r="D8793" s="230">
        <v>-0.01</v>
      </c>
      <c r="E8793" t="s">
        <v>735</v>
      </c>
    </row>
    <row r="8794" spans="1:5" hidden="1" x14ac:dyDescent="0.3">
      <c r="A8794" t="s">
        <v>557</v>
      </c>
      <c r="B8794" t="s">
        <v>734</v>
      </c>
      <c r="C8794" t="s">
        <v>318</v>
      </c>
      <c r="D8794" s="230">
        <v>-2460.89</v>
      </c>
      <c r="E8794" t="s">
        <v>735</v>
      </c>
    </row>
    <row r="8795" spans="1:5" hidden="1" x14ac:dyDescent="0.3">
      <c r="A8795" t="s">
        <v>557</v>
      </c>
      <c r="B8795" t="s">
        <v>734</v>
      </c>
      <c r="C8795" t="s">
        <v>319</v>
      </c>
      <c r="D8795" s="230">
        <v>-2086</v>
      </c>
      <c r="E8795" t="s">
        <v>735</v>
      </c>
    </row>
    <row r="8796" spans="1:5" hidden="1" x14ac:dyDescent="0.3">
      <c r="A8796" t="s">
        <v>557</v>
      </c>
      <c r="B8796" t="s">
        <v>734</v>
      </c>
      <c r="C8796" t="s">
        <v>320</v>
      </c>
      <c r="D8796" s="230">
        <v>-174.89</v>
      </c>
      <c r="E8796" t="s">
        <v>735</v>
      </c>
    </row>
    <row r="8797" spans="1:5" hidden="1" x14ac:dyDescent="0.3">
      <c r="A8797" t="s">
        <v>557</v>
      </c>
      <c r="B8797" t="s">
        <v>734</v>
      </c>
      <c r="C8797" t="s">
        <v>321</v>
      </c>
      <c r="D8797" s="230">
        <v>-200</v>
      </c>
      <c r="E8797" t="s">
        <v>735</v>
      </c>
    </row>
    <row r="8798" spans="1:5" hidden="1" x14ac:dyDescent="0.3">
      <c r="A8798" t="s">
        <v>557</v>
      </c>
      <c r="B8798" t="s">
        <v>734</v>
      </c>
      <c r="C8798" t="s">
        <v>322</v>
      </c>
      <c r="D8798" s="230">
        <v>0</v>
      </c>
      <c r="E8798" t="s">
        <v>735</v>
      </c>
    </row>
    <row r="8799" spans="1:5" hidden="1" x14ac:dyDescent="0.3">
      <c r="A8799" t="s">
        <v>557</v>
      </c>
      <c r="B8799" t="s">
        <v>734</v>
      </c>
      <c r="C8799" t="s">
        <v>44</v>
      </c>
      <c r="D8799" s="230">
        <v>-0.01</v>
      </c>
      <c r="E8799" t="s">
        <v>735</v>
      </c>
    </row>
    <row r="8800" spans="1:5" hidden="1" x14ac:dyDescent="0.3">
      <c r="A8800" t="s">
        <v>557</v>
      </c>
      <c r="B8800" t="s">
        <v>734</v>
      </c>
      <c r="C8800" t="s">
        <v>323</v>
      </c>
      <c r="D8800" s="230">
        <v>-16017.46</v>
      </c>
      <c r="E8800" t="s">
        <v>735</v>
      </c>
    </row>
    <row r="8801" spans="1:5" hidden="1" x14ac:dyDescent="0.3">
      <c r="A8801" t="s">
        <v>557</v>
      </c>
      <c r="B8801" t="s">
        <v>734</v>
      </c>
      <c r="C8801" t="s">
        <v>324</v>
      </c>
      <c r="D8801" s="230">
        <v>0</v>
      </c>
      <c r="E8801" t="s">
        <v>735</v>
      </c>
    </row>
    <row r="8802" spans="1:5" hidden="1" x14ac:dyDescent="0.3">
      <c r="A8802" t="s">
        <v>557</v>
      </c>
      <c r="B8802" t="s">
        <v>734</v>
      </c>
      <c r="C8802" t="s">
        <v>325</v>
      </c>
      <c r="D8802" s="230">
        <v>0</v>
      </c>
      <c r="E8802" t="s">
        <v>735</v>
      </c>
    </row>
    <row r="8803" spans="1:5" hidden="1" x14ac:dyDescent="0.3">
      <c r="A8803" t="s">
        <v>557</v>
      </c>
      <c r="B8803" t="s">
        <v>734</v>
      </c>
      <c r="C8803" t="s">
        <v>326</v>
      </c>
      <c r="D8803" s="230">
        <v>-16017.46</v>
      </c>
      <c r="E8803" t="s">
        <v>735</v>
      </c>
    </row>
    <row r="8804" spans="1:5" hidden="1" x14ac:dyDescent="0.3">
      <c r="A8804" t="s">
        <v>557</v>
      </c>
      <c r="B8804" t="s">
        <v>734</v>
      </c>
      <c r="C8804" t="s">
        <v>44</v>
      </c>
      <c r="D8804" s="230">
        <v>-0.05</v>
      </c>
      <c r="E8804" t="s">
        <v>735</v>
      </c>
    </row>
    <row r="8805" spans="1:5" hidden="1" x14ac:dyDescent="0.3">
      <c r="A8805" t="s">
        <v>557</v>
      </c>
      <c r="B8805" t="s">
        <v>734</v>
      </c>
      <c r="C8805" t="s">
        <v>328</v>
      </c>
      <c r="D8805" s="230">
        <v>-254445.62</v>
      </c>
      <c r="E8805" t="s">
        <v>735</v>
      </c>
    </row>
    <row r="8806" spans="1:5" hidden="1" x14ac:dyDescent="0.3">
      <c r="A8806" t="s">
        <v>557</v>
      </c>
      <c r="B8806" t="s">
        <v>734</v>
      </c>
      <c r="C8806" t="s">
        <v>44</v>
      </c>
      <c r="D8806" s="230">
        <v>-0.79</v>
      </c>
      <c r="E8806" t="s">
        <v>735</v>
      </c>
    </row>
    <row r="8807" spans="1:5" hidden="1" x14ac:dyDescent="0.3">
      <c r="A8807" t="s">
        <v>557</v>
      </c>
      <c r="B8807" t="s">
        <v>734</v>
      </c>
      <c r="C8807" t="s">
        <v>329</v>
      </c>
      <c r="D8807" s="230">
        <v>-99483.5</v>
      </c>
      <c r="E8807" t="s">
        <v>735</v>
      </c>
    </row>
    <row r="8808" spans="1:5" hidden="1" x14ac:dyDescent="0.3">
      <c r="A8808" t="s">
        <v>557</v>
      </c>
      <c r="B8808" t="s">
        <v>734</v>
      </c>
      <c r="C8808" t="s">
        <v>44</v>
      </c>
      <c r="D8808" s="230">
        <v>-0.31</v>
      </c>
      <c r="E8808" t="s">
        <v>735</v>
      </c>
    </row>
    <row r="8809" spans="1:5" hidden="1" x14ac:dyDescent="0.3">
      <c r="A8809" t="s">
        <v>557</v>
      </c>
      <c r="B8809" t="s">
        <v>734</v>
      </c>
      <c r="C8809" t="s">
        <v>330</v>
      </c>
      <c r="D8809" s="230">
        <v>0</v>
      </c>
      <c r="E8809" t="s">
        <v>735</v>
      </c>
    </row>
    <row r="8810" spans="1:5" hidden="1" x14ac:dyDescent="0.3">
      <c r="A8810" t="s">
        <v>557</v>
      </c>
      <c r="B8810" t="s">
        <v>734</v>
      </c>
      <c r="C8810" t="s">
        <v>332</v>
      </c>
      <c r="D8810" s="230">
        <v>-99483.5</v>
      </c>
      <c r="E8810" t="s">
        <v>735</v>
      </c>
    </row>
    <row r="8811" spans="1:5" hidden="1" x14ac:dyDescent="0.3">
      <c r="A8811" t="s">
        <v>557</v>
      </c>
      <c r="B8811" t="s">
        <v>734</v>
      </c>
      <c r="C8811" t="s">
        <v>333</v>
      </c>
      <c r="D8811" s="230">
        <v>5974.45</v>
      </c>
      <c r="E8811" t="s">
        <v>735</v>
      </c>
    </row>
    <row r="8812" spans="1:5" hidden="1" x14ac:dyDescent="0.3">
      <c r="A8812" t="s">
        <v>557</v>
      </c>
      <c r="B8812" t="s">
        <v>734</v>
      </c>
      <c r="C8812" t="s">
        <v>334</v>
      </c>
      <c r="D8812" s="230">
        <v>0</v>
      </c>
      <c r="E8812" t="s">
        <v>735</v>
      </c>
    </row>
    <row r="8813" spans="1:5" hidden="1" x14ac:dyDescent="0.3">
      <c r="A8813" t="s">
        <v>557</v>
      </c>
      <c r="B8813" t="s">
        <v>734</v>
      </c>
      <c r="C8813" t="s">
        <v>336</v>
      </c>
      <c r="D8813" s="230">
        <v>-1861.5</v>
      </c>
      <c r="E8813" t="s">
        <v>735</v>
      </c>
    </row>
    <row r="8814" spans="1:5" hidden="1" x14ac:dyDescent="0.3">
      <c r="A8814" t="s">
        <v>557</v>
      </c>
      <c r="B8814" t="s">
        <v>734</v>
      </c>
      <c r="C8814" t="s">
        <v>338</v>
      </c>
      <c r="D8814" s="230">
        <v>-95370.55</v>
      </c>
      <c r="E8814" t="s">
        <v>735</v>
      </c>
    </row>
    <row r="8815" spans="1:5" hidden="1" x14ac:dyDescent="0.3">
      <c r="A8815" t="s">
        <v>557</v>
      </c>
      <c r="B8815" t="s">
        <v>734</v>
      </c>
      <c r="C8815" t="s">
        <v>339</v>
      </c>
      <c r="D8815" s="230">
        <v>-6935.25</v>
      </c>
      <c r="E8815" t="s">
        <v>735</v>
      </c>
    </row>
    <row r="8816" spans="1:5" hidden="1" x14ac:dyDescent="0.3">
      <c r="A8816" t="s">
        <v>557</v>
      </c>
      <c r="B8816" t="s">
        <v>734</v>
      </c>
      <c r="C8816" t="s">
        <v>342</v>
      </c>
      <c r="D8816" s="230">
        <v>0</v>
      </c>
      <c r="E8816" t="s">
        <v>735</v>
      </c>
    </row>
    <row r="8817" spans="1:5" hidden="1" x14ac:dyDescent="0.3">
      <c r="A8817" t="s">
        <v>557</v>
      </c>
      <c r="B8817" t="s">
        <v>734</v>
      </c>
      <c r="C8817" t="s">
        <v>344</v>
      </c>
      <c r="D8817" s="230">
        <v>-3701.83</v>
      </c>
      <c r="E8817" t="s">
        <v>735</v>
      </c>
    </row>
    <row r="8818" spans="1:5" hidden="1" x14ac:dyDescent="0.3">
      <c r="A8818" t="s">
        <v>557</v>
      </c>
      <c r="B8818" t="s">
        <v>734</v>
      </c>
      <c r="C8818" t="s">
        <v>345</v>
      </c>
      <c r="D8818" s="230">
        <v>0</v>
      </c>
      <c r="E8818" t="s">
        <v>735</v>
      </c>
    </row>
    <row r="8819" spans="1:5" hidden="1" x14ac:dyDescent="0.3">
      <c r="A8819" t="s">
        <v>557</v>
      </c>
      <c r="B8819" t="s">
        <v>734</v>
      </c>
      <c r="C8819" t="s">
        <v>346</v>
      </c>
      <c r="D8819" s="230">
        <v>-3233.42</v>
      </c>
      <c r="E8819" t="s">
        <v>735</v>
      </c>
    </row>
    <row r="8820" spans="1:5" hidden="1" x14ac:dyDescent="0.3">
      <c r="A8820" t="s">
        <v>557</v>
      </c>
      <c r="B8820" t="s">
        <v>734</v>
      </c>
      <c r="C8820" t="s">
        <v>347</v>
      </c>
      <c r="D8820" s="230">
        <v>-102305.8</v>
      </c>
      <c r="E8820" t="s">
        <v>735</v>
      </c>
    </row>
    <row r="8821" spans="1:5" hidden="1" x14ac:dyDescent="0.3">
      <c r="A8821" t="s">
        <v>557</v>
      </c>
      <c r="B8821" t="s">
        <v>734</v>
      </c>
      <c r="C8821" t="s">
        <v>44</v>
      </c>
      <c r="D8821" s="230">
        <v>-0.32</v>
      </c>
      <c r="E8821" t="s">
        <v>735</v>
      </c>
    </row>
    <row r="8822" spans="1:5" hidden="1" x14ac:dyDescent="0.3">
      <c r="A8822" t="s">
        <v>557</v>
      </c>
      <c r="B8822" t="s">
        <v>734</v>
      </c>
      <c r="C8822" t="s">
        <v>348</v>
      </c>
      <c r="D8822" s="230">
        <v>-5378.94</v>
      </c>
      <c r="E8822" t="s">
        <v>735</v>
      </c>
    </row>
    <row r="8823" spans="1:5" hidden="1" x14ac:dyDescent="0.3">
      <c r="A8823" t="s">
        <v>557</v>
      </c>
      <c r="B8823" t="s">
        <v>734</v>
      </c>
      <c r="C8823" t="s">
        <v>707</v>
      </c>
      <c r="D8823" s="230">
        <v>0</v>
      </c>
      <c r="E8823" t="s">
        <v>735</v>
      </c>
    </row>
    <row r="8824" spans="1:5" hidden="1" x14ac:dyDescent="0.3">
      <c r="A8824" t="s">
        <v>557</v>
      </c>
      <c r="B8824" t="s">
        <v>734</v>
      </c>
      <c r="C8824" t="s">
        <v>350</v>
      </c>
      <c r="D8824" s="230">
        <v>-5078.95</v>
      </c>
      <c r="E8824" t="s">
        <v>735</v>
      </c>
    </row>
    <row r="8825" spans="1:5" hidden="1" x14ac:dyDescent="0.3">
      <c r="A8825" t="s">
        <v>557</v>
      </c>
      <c r="B8825" t="s">
        <v>734</v>
      </c>
      <c r="C8825" t="s">
        <v>351</v>
      </c>
      <c r="D8825" s="230">
        <v>-299.99</v>
      </c>
      <c r="E8825" t="s">
        <v>735</v>
      </c>
    </row>
    <row r="8826" spans="1:5" hidden="1" x14ac:dyDescent="0.3">
      <c r="A8826" t="s">
        <v>557</v>
      </c>
      <c r="B8826" t="s">
        <v>734</v>
      </c>
      <c r="C8826" t="s">
        <v>352</v>
      </c>
      <c r="D8826" s="230">
        <v>0</v>
      </c>
      <c r="E8826" t="s">
        <v>735</v>
      </c>
    </row>
    <row r="8827" spans="1:5" hidden="1" x14ac:dyDescent="0.3">
      <c r="A8827" t="s">
        <v>557</v>
      </c>
      <c r="B8827" t="s">
        <v>734</v>
      </c>
      <c r="C8827" t="s">
        <v>353</v>
      </c>
      <c r="D8827" s="230">
        <v>0</v>
      </c>
      <c r="E8827" t="s">
        <v>735</v>
      </c>
    </row>
    <row r="8828" spans="1:5" hidden="1" x14ac:dyDescent="0.3">
      <c r="A8828" t="s">
        <v>557</v>
      </c>
      <c r="B8828" t="s">
        <v>734</v>
      </c>
      <c r="C8828" t="s">
        <v>354</v>
      </c>
      <c r="D8828" s="230">
        <v>0</v>
      </c>
      <c r="E8828" t="s">
        <v>735</v>
      </c>
    </row>
    <row r="8829" spans="1:5" hidden="1" x14ac:dyDescent="0.3">
      <c r="A8829" t="s">
        <v>557</v>
      </c>
      <c r="B8829" t="s">
        <v>734</v>
      </c>
      <c r="C8829" t="s">
        <v>355</v>
      </c>
      <c r="D8829" s="230">
        <v>0</v>
      </c>
      <c r="E8829" t="s">
        <v>735</v>
      </c>
    </row>
    <row r="8830" spans="1:5" hidden="1" x14ac:dyDescent="0.3">
      <c r="A8830" t="s">
        <v>557</v>
      </c>
      <c r="B8830" t="s">
        <v>734</v>
      </c>
      <c r="C8830" t="s">
        <v>356</v>
      </c>
      <c r="D8830" s="230">
        <v>0</v>
      </c>
      <c r="E8830" t="s">
        <v>735</v>
      </c>
    </row>
    <row r="8831" spans="1:5" hidden="1" x14ac:dyDescent="0.3">
      <c r="A8831" t="s">
        <v>557</v>
      </c>
      <c r="B8831" t="s">
        <v>734</v>
      </c>
      <c r="C8831" t="s">
        <v>357</v>
      </c>
      <c r="D8831" s="230">
        <v>0</v>
      </c>
      <c r="E8831" t="s">
        <v>735</v>
      </c>
    </row>
    <row r="8832" spans="1:5" hidden="1" x14ac:dyDescent="0.3">
      <c r="A8832" t="s">
        <v>557</v>
      </c>
      <c r="B8832" t="s">
        <v>734</v>
      </c>
      <c r="C8832" t="s">
        <v>358</v>
      </c>
      <c r="D8832" s="230">
        <v>0</v>
      </c>
      <c r="E8832" t="s">
        <v>735</v>
      </c>
    </row>
    <row r="8833" spans="1:5" hidden="1" x14ac:dyDescent="0.3">
      <c r="A8833" t="s">
        <v>557</v>
      </c>
      <c r="B8833" t="s">
        <v>734</v>
      </c>
      <c r="C8833" t="s">
        <v>359</v>
      </c>
      <c r="D8833" s="230">
        <v>0</v>
      </c>
      <c r="E8833" t="s">
        <v>735</v>
      </c>
    </row>
    <row r="8834" spans="1:5" hidden="1" x14ac:dyDescent="0.3">
      <c r="A8834" t="s">
        <v>557</v>
      </c>
      <c r="B8834" t="s">
        <v>734</v>
      </c>
      <c r="C8834" t="s">
        <v>360</v>
      </c>
      <c r="D8834" s="230">
        <v>0</v>
      </c>
      <c r="E8834" t="s">
        <v>735</v>
      </c>
    </row>
    <row r="8835" spans="1:5" hidden="1" x14ac:dyDescent="0.3">
      <c r="A8835" t="s">
        <v>557</v>
      </c>
      <c r="B8835" t="s">
        <v>734</v>
      </c>
      <c r="C8835" t="s">
        <v>361</v>
      </c>
      <c r="D8835" s="230">
        <v>0</v>
      </c>
      <c r="E8835" t="s">
        <v>735</v>
      </c>
    </row>
    <row r="8836" spans="1:5" hidden="1" x14ac:dyDescent="0.3">
      <c r="A8836" t="s">
        <v>557</v>
      </c>
      <c r="B8836" t="s">
        <v>734</v>
      </c>
      <c r="C8836" t="s">
        <v>362</v>
      </c>
      <c r="D8836" s="230">
        <v>0</v>
      </c>
      <c r="E8836" t="s">
        <v>735</v>
      </c>
    </row>
    <row r="8837" spans="1:5" hidden="1" x14ac:dyDescent="0.3">
      <c r="A8837" t="s">
        <v>557</v>
      </c>
      <c r="B8837" t="s">
        <v>734</v>
      </c>
      <c r="C8837" t="s">
        <v>363</v>
      </c>
      <c r="D8837" s="230">
        <v>0</v>
      </c>
      <c r="E8837" t="s">
        <v>735</v>
      </c>
    </row>
    <row r="8838" spans="1:5" hidden="1" x14ac:dyDescent="0.3">
      <c r="A8838" t="s">
        <v>557</v>
      </c>
      <c r="B8838" t="s">
        <v>734</v>
      </c>
      <c r="C8838" t="s">
        <v>364</v>
      </c>
      <c r="D8838" s="230">
        <v>0</v>
      </c>
      <c r="E8838" t="s">
        <v>735</v>
      </c>
    </row>
    <row r="8839" spans="1:5" hidden="1" x14ac:dyDescent="0.3">
      <c r="A8839" t="s">
        <v>557</v>
      </c>
      <c r="B8839" t="s">
        <v>734</v>
      </c>
      <c r="C8839" t="s">
        <v>365</v>
      </c>
      <c r="D8839" s="230">
        <v>-4153.22</v>
      </c>
      <c r="E8839" t="s">
        <v>735</v>
      </c>
    </row>
    <row r="8840" spans="1:5" hidden="1" x14ac:dyDescent="0.3">
      <c r="A8840" t="s">
        <v>557</v>
      </c>
      <c r="B8840" t="s">
        <v>734</v>
      </c>
      <c r="C8840" t="s">
        <v>366</v>
      </c>
      <c r="D8840" s="230">
        <v>0</v>
      </c>
      <c r="E8840" t="s">
        <v>735</v>
      </c>
    </row>
    <row r="8841" spans="1:5" hidden="1" x14ac:dyDescent="0.3">
      <c r="A8841" t="s">
        <v>557</v>
      </c>
      <c r="B8841" t="s">
        <v>734</v>
      </c>
      <c r="C8841" t="s">
        <v>367</v>
      </c>
      <c r="D8841" s="230">
        <v>0</v>
      </c>
      <c r="E8841" t="s">
        <v>735</v>
      </c>
    </row>
    <row r="8842" spans="1:5" hidden="1" x14ac:dyDescent="0.3">
      <c r="A8842" t="s">
        <v>557</v>
      </c>
      <c r="B8842" t="s">
        <v>734</v>
      </c>
      <c r="C8842" t="s">
        <v>368</v>
      </c>
      <c r="D8842" s="230">
        <v>-1953.22</v>
      </c>
      <c r="E8842" t="s">
        <v>735</v>
      </c>
    </row>
    <row r="8843" spans="1:5" hidden="1" x14ac:dyDescent="0.3">
      <c r="A8843" t="s">
        <v>557</v>
      </c>
      <c r="B8843" t="s">
        <v>734</v>
      </c>
      <c r="C8843" t="s">
        <v>369</v>
      </c>
      <c r="D8843" s="230">
        <v>-2200</v>
      </c>
      <c r="E8843" t="s">
        <v>735</v>
      </c>
    </row>
    <row r="8844" spans="1:5" hidden="1" x14ac:dyDescent="0.3">
      <c r="A8844" t="s">
        <v>557</v>
      </c>
      <c r="B8844" t="s">
        <v>734</v>
      </c>
      <c r="C8844" t="s">
        <v>370</v>
      </c>
      <c r="D8844" s="230">
        <v>0</v>
      </c>
      <c r="E8844" t="s">
        <v>735</v>
      </c>
    </row>
    <row r="8845" spans="1:5" hidden="1" x14ac:dyDescent="0.3">
      <c r="A8845" t="s">
        <v>557</v>
      </c>
      <c r="B8845" t="s">
        <v>734</v>
      </c>
      <c r="C8845" t="s">
        <v>371</v>
      </c>
      <c r="D8845" s="230">
        <v>0</v>
      </c>
      <c r="E8845" t="s">
        <v>735</v>
      </c>
    </row>
    <row r="8846" spans="1:5" hidden="1" x14ac:dyDescent="0.3">
      <c r="A8846" t="s">
        <v>557</v>
      </c>
      <c r="B8846" t="s">
        <v>734</v>
      </c>
      <c r="C8846" t="s">
        <v>372</v>
      </c>
      <c r="D8846" s="230">
        <v>0</v>
      </c>
      <c r="E8846" t="s">
        <v>735</v>
      </c>
    </row>
    <row r="8847" spans="1:5" hidden="1" x14ac:dyDescent="0.3">
      <c r="A8847" t="s">
        <v>557</v>
      </c>
      <c r="B8847" t="s">
        <v>734</v>
      </c>
      <c r="C8847" t="s">
        <v>373</v>
      </c>
      <c r="D8847" s="230">
        <v>-9532.16</v>
      </c>
      <c r="E8847" t="s">
        <v>735</v>
      </c>
    </row>
    <row r="8848" spans="1:5" hidden="1" x14ac:dyDescent="0.3">
      <c r="A8848" t="s">
        <v>557</v>
      </c>
      <c r="B8848" t="s">
        <v>734</v>
      </c>
      <c r="C8848" t="s">
        <v>374</v>
      </c>
      <c r="D8848" s="230">
        <v>-111837.96</v>
      </c>
      <c r="E8848" t="s">
        <v>735</v>
      </c>
    </row>
    <row r="8849" spans="1:5" hidden="1" x14ac:dyDescent="0.3">
      <c r="A8849" t="s">
        <v>557</v>
      </c>
      <c r="B8849" t="s">
        <v>734</v>
      </c>
      <c r="C8849" t="s">
        <v>708</v>
      </c>
      <c r="D8849" s="230">
        <v>-111837.96</v>
      </c>
      <c r="E8849" t="s">
        <v>735</v>
      </c>
    </row>
    <row r="8850" spans="1:5" hidden="1" x14ac:dyDescent="0.3">
      <c r="A8850" t="s">
        <v>557</v>
      </c>
      <c r="B8850" t="s">
        <v>736</v>
      </c>
      <c r="C8850" t="s">
        <v>11</v>
      </c>
      <c r="D8850" s="230">
        <v>438100.74</v>
      </c>
      <c r="E8850" t="s">
        <v>737</v>
      </c>
    </row>
    <row r="8851" spans="1:5" hidden="1" x14ac:dyDescent="0.3">
      <c r="A8851" t="s">
        <v>557</v>
      </c>
      <c r="B8851" t="s">
        <v>736</v>
      </c>
      <c r="C8851" t="s">
        <v>13</v>
      </c>
      <c r="D8851" s="230">
        <v>220206.7</v>
      </c>
      <c r="E8851" t="s">
        <v>737</v>
      </c>
    </row>
    <row r="8852" spans="1:5" hidden="1" x14ac:dyDescent="0.3">
      <c r="A8852" t="s">
        <v>557</v>
      </c>
      <c r="B8852" t="s">
        <v>736</v>
      </c>
      <c r="C8852" t="s">
        <v>16</v>
      </c>
      <c r="D8852" s="230">
        <v>133040</v>
      </c>
      <c r="E8852" t="s">
        <v>737</v>
      </c>
    </row>
    <row r="8853" spans="1:5" hidden="1" x14ac:dyDescent="0.3">
      <c r="A8853" t="s">
        <v>557</v>
      </c>
      <c r="B8853" t="s">
        <v>736</v>
      </c>
      <c r="C8853" t="s">
        <v>17</v>
      </c>
      <c r="D8853" s="230">
        <v>8845</v>
      </c>
      <c r="E8853" t="s">
        <v>737</v>
      </c>
    </row>
    <row r="8854" spans="1:5" hidden="1" x14ac:dyDescent="0.3">
      <c r="A8854" t="s">
        <v>557</v>
      </c>
      <c r="B8854" t="s">
        <v>736</v>
      </c>
      <c r="C8854" t="s">
        <v>18</v>
      </c>
      <c r="D8854" s="230">
        <v>0</v>
      </c>
      <c r="E8854" t="s">
        <v>737</v>
      </c>
    </row>
    <row r="8855" spans="1:5" hidden="1" x14ac:dyDescent="0.3">
      <c r="A8855" t="s">
        <v>557</v>
      </c>
      <c r="B8855" t="s">
        <v>736</v>
      </c>
      <c r="C8855" t="s">
        <v>20</v>
      </c>
      <c r="D8855" s="230">
        <v>43631.59</v>
      </c>
      <c r="E8855" t="s">
        <v>737</v>
      </c>
    </row>
    <row r="8856" spans="1:5" hidden="1" x14ac:dyDescent="0.3">
      <c r="A8856" t="s">
        <v>557</v>
      </c>
      <c r="B8856" t="s">
        <v>736</v>
      </c>
      <c r="C8856" t="s">
        <v>23</v>
      </c>
      <c r="D8856" s="230">
        <v>13012</v>
      </c>
      <c r="E8856" t="s">
        <v>737</v>
      </c>
    </row>
    <row r="8857" spans="1:5" hidden="1" x14ac:dyDescent="0.3">
      <c r="A8857" t="s">
        <v>557</v>
      </c>
      <c r="B8857" t="s">
        <v>736</v>
      </c>
      <c r="C8857" t="s">
        <v>25</v>
      </c>
      <c r="D8857" s="230">
        <v>0</v>
      </c>
      <c r="E8857" t="s">
        <v>737</v>
      </c>
    </row>
    <row r="8858" spans="1:5" hidden="1" x14ac:dyDescent="0.3">
      <c r="A8858" t="s">
        <v>557</v>
      </c>
      <c r="B8858" t="s">
        <v>736</v>
      </c>
      <c r="C8858" t="s">
        <v>26</v>
      </c>
      <c r="D8858" s="230">
        <v>10100</v>
      </c>
      <c r="E8858" t="s">
        <v>737</v>
      </c>
    </row>
    <row r="8859" spans="1:5" hidden="1" x14ac:dyDescent="0.3">
      <c r="A8859" t="s">
        <v>557</v>
      </c>
      <c r="B8859" t="s">
        <v>736</v>
      </c>
      <c r="C8859" t="s">
        <v>27</v>
      </c>
      <c r="D8859" s="230">
        <v>0</v>
      </c>
      <c r="E8859" t="s">
        <v>737</v>
      </c>
    </row>
    <row r="8860" spans="1:5" hidden="1" x14ac:dyDescent="0.3">
      <c r="A8860" t="s">
        <v>557</v>
      </c>
      <c r="B8860" t="s">
        <v>736</v>
      </c>
      <c r="C8860" t="s">
        <v>29</v>
      </c>
      <c r="D8860" s="230">
        <v>8981.9500000000007</v>
      </c>
      <c r="E8860" t="s">
        <v>737</v>
      </c>
    </row>
    <row r="8861" spans="1:5" hidden="1" x14ac:dyDescent="0.3">
      <c r="A8861" t="s">
        <v>557</v>
      </c>
      <c r="B8861" t="s">
        <v>736</v>
      </c>
      <c r="C8861" t="s">
        <v>31</v>
      </c>
      <c r="D8861" s="230">
        <v>283.5</v>
      </c>
      <c r="E8861" t="s">
        <v>737</v>
      </c>
    </row>
    <row r="8862" spans="1:5" hidden="1" x14ac:dyDescent="0.3">
      <c r="A8862" t="s">
        <v>557</v>
      </c>
      <c r="B8862" t="s">
        <v>736</v>
      </c>
      <c r="C8862" t="s">
        <v>34</v>
      </c>
      <c r="D8862" s="230">
        <v>-8298.08</v>
      </c>
      <c r="E8862" t="s">
        <v>737</v>
      </c>
    </row>
    <row r="8863" spans="1:5" hidden="1" x14ac:dyDescent="0.3">
      <c r="A8863" t="s">
        <v>557</v>
      </c>
      <c r="B8863" t="s">
        <v>736</v>
      </c>
      <c r="C8863" t="s">
        <v>38</v>
      </c>
      <c r="D8863" s="230">
        <v>-4403.08</v>
      </c>
      <c r="E8863" t="s">
        <v>737</v>
      </c>
    </row>
    <row r="8864" spans="1:5" hidden="1" x14ac:dyDescent="0.3">
      <c r="A8864" t="s">
        <v>557</v>
      </c>
      <c r="B8864" t="s">
        <v>736</v>
      </c>
      <c r="C8864" t="s">
        <v>40</v>
      </c>
      <c r="D8864" s="230">
        <v>-2601.92</v>
      </c>
      <c r="E8864" t="s">
        <v>737</v>
      </c>
    </row>
    <row r="8865" spans="1:5" hidden="1" x14ac:dyDescent="0.3">
      <c r="A8865" t="s">
        <v>557</v>
      </c>
      <c r="B8865" t="s">
        <v>736</v>
      </c>
      <c r="C8865" t="s">
        <v>42</v>
      </c>
      <c r="D8865" s="230">
        <v>-1293.0899999999999</v>
      </c>
      <c r="E8865" t="s">
        <v>737</v>
      </c>
    </row>
    <row r="8866" spans="1:5" hidden="1" x14ac:dyDescent="0.3">
      <c r="A8866" t="s">
        <v>557</v>
      </c>
      <c r="B8866" t="s">
        <v>736</v>
      </c>
      <c r="C8866" t="s">
        <v>44</v>
      </c>
      <c r="D8866" s="230">
        <v>-0.02</v>
      </c>
      <c r="E8866" t="s">
        <v>737</v>
      </c>
    </row>
    <row r="8867" spans="1:5" hidden="1" x14ac:dyDescent="0.3">
      <c r="A8867" t="s">
        <v>557</v>
      </c>
      <c r="B8867" t="s">
        <v>736</v>
      </c>
      <c r="C8867" t="s">
        <v>45</v>
      </c>
      <c r="D8867" s="230">
        <v>-30727.48</v>
      </c>
      <c r="E8867" t="s">
        <v>737</v>
      </c>
    </row>
    <row r="8868" spans="1:5" hidden="1" x14ac:dyDescent="0.3">
      <c r="A8868" t="s">
        <v>557</v>
      </c>
      <c r="B8868" t="s">
        <v>736</v>
      </c>
      <c r="C8868" t="s">
        <v>46</v>
      </c>
      <c r="D8868" s="230">
        <v>-15212.86</v>
      </c>
      <c r="E8868" t="s">
        <v>737</v>
      </c>
    </row>
    <row r="8869" spans="1:5" hidden="1" x14ac:dyDescent="0.3">
      <c r="A8869" t="s">
        <v>557</v>
      </c>
      <c r="B8869" t="s">
        <v>736</v>
      </c>
      <c r="C8869" t="s">
        <v>48</v>
      </c>
      <c r="D8869" s="230">
        <v>-15009.63</v>
      </c>
      <c r="E8869" t="s">
        <v>737</v>
      </c>
    </row>
    <row r="8870" spans="1:5" hidden="1" x14ac:dyDescent="0.3">
      <c r="A8870" t="s">
        <v>557</v>
      </c>
      <c r="B8870" t="s">
        <v>736</v>
      </c>
      <c r="C8870" t="s">
        <v>49</v>
      </c>
      <c r="D8870" s="230">
        <v>-505</v>
      </c>
      <c r="E8870" t="s">
        <v>737</v>
      </c>
    </row>
    <row r="8871" spans="1:5" hidden="1" x14ac:dyDescent="0.3">
      <c r="A8871" t="s">
        <v>557</v>
      </c>
      <c r="B8871" t="s">
        <v>736</v>
      </c>
      <c r="C8871" t="s">
        <v>50</v>
      </c>
      <c r="D8871" s="230">
        <v>399075.17</v>
      </c>
      <c r="E8871" t="s">
        <v>737</v>
      </c>
    </row>
    <row r="8872" spans="1:5" hidden="1" x14ac:dyDescent="0.3">
      <c r="A8872" t="s">
        <v>557</v>
      </c>
      <c r="B8872" t="s">
        <v>736</v>
      </c>
      <c r="C8872" t="s">
        <v>51</v>
      </c>
      <c r="D8872" s="230">
        <v>-126169.09</v>
      </c>
      <c r="E8872" t="s">
        <v>737</v>
      </c>
    </row>
    <row r="8873" spans="1:5" hidden="1" x14ac:dyDescent="0.3">
      <c r="A8873" t="s">
        <v>557</v>
      </c>
      <c r="B8873" t="s">
        <v>736</v>
      </c>
      <c r="C8873" t="s">
        <v>52</v>
      </c>
      <c r="D8873" s="230">
        <v>-91347.11</v>
      </c>
      <c r="E8873" t="s">
        <v>737</v>
      </c>
    </row>
    <row r="8874" spans="1:5" hidden="1" x14ac:dyDescent="0.3">
      <c r="A8874" t="s">
        <v>557</v>
      </c>
      <c r="B8874" t="s">
        <v>736</v>
      </c>
      <c r="C8874" t="s">
        <v>53</v>
      </c>
      <c r="D8874" s="230">
        <v>-34821.980000000003</v>
      </c>
      <c r="E8874" t="s">
        <v>737</v>
      </c>
    </row>
    <row r="8875" spans="1:5" hidden="1" x14ac:dyDescent="0.3">
      <c r="A8875" t="s">
        <v>557</v>
      </c>
      <c r="B8875" t="s">
        <v>736</v>
      </c>
      <c r="C8875" t="s">
        <v>54</v>
      </c>
      <c r="D8875" s="230">
        <v>0</v>
      </c>
      <c r="E8875" t="s">
        <v>737</v>
      </c>
    </row>
    <row r="8876" spans="1:5" hidden="1" x14ac:dyDescent="0.3">
      <c r="A8876" t="s">
        <v>557</v>
      </c>
      <c r="B8876" t="s">
        <v>736</v>
      </c>
      <c r="C8876" t="s">
        <v>23</v>
      </c>
      <c r="D8876" s="230">
        <v>0</v>
      </c>
      <c r="E8876" t="s">
        <v>737</v>
      </c>
    </row>
    <row r="8877" spans="1:5" hidden="1" x14ac:dyDescent="0.3">
      <c r="A8877" t="s">
        <v>557</v>
      </c>
      <c r="B8877" t="s">
        <v>736</v>
      </c>
      <c r="C8877" t="s">
        <v>44</v>
      </c>
      <c r="D8877" s="230">
        <v>-0.34</v>
      </c>
      <c r="E8877" t="s">
        <v>737</v>
      </c>
    </row>
    <row r="8878" spans="1:5" hidden="1" x14ac:dyDescent="0.3">
      <c r="A8878" t="s">
        <v>557</v>
      </c>
      <c r="B8878" t="s">
        <v>736</v>
      </c>
      <c r="C8878" t="s">
        <v>55</v>
      </c>
      <c r="D8878" s="230">
        <v>-0.32</v>
      </c>
      <c r="E8878" t="s">
        <v>737</v>
      </c>
    </row>
    <row r="8879" spans="1:5" hidden="1" x14ac:dyDescent="0.3">
      <c r="A8879" t="s">
        <v>557</v>
      </c>
      <c r="B8879" t="s">
        <v>736</v>
      </c>
      <c r="C8879" t="s">
        <v>56</v>
      </c>
      <c r="D8879" s="230">
        <v>-15603.29</v>
      </c>
      <c r="E8879" t="s">
        <v>737</v>
      </c>
    </row>
    <row r="8880" spans="1:5" hidden="1" x14ac:dyDescent="0.3">
      <c r="A8880" t="s">
        <v>557</v>
      </c>
      <c r="B8880" t="s">
        <v>736</v>
      </c>
      <c r="C8880" t="s">
        <v>57</v>
      </c>
      <c r="D8880" s="230">
        <v>-13270.29</v>
      </c>
      <c r="E8880" t="s">
        <v>737</v>
      </c>
    </row>
    <row r="8881" spans="1:5" hidden="1" x14ac:dyDescent="0.3">
      <c r="A8881" t="s">
        <v>557</v>
      </c>
      <c r="B8881" t="s">
        <v>736</v>
      </c>
      <c r="C8881" t="s">
        <v>58</v>
      </c>
      <c r="D8881" s="230">
        <v>-12500</v>
      </c>
      <c r="E8881" t="s">
        <v>737</v>
      </c>
    </row>
    <row r="8882" spans="1:5" hidden="1" x14ac:dyDescent="0.3">
      <c r="A8882" t="s">
        <v>557</v>
      </c>
      <c r="B8882" t="s">
        <v>736</v>
      </c>
      <c r="C8882" t="s">
        <v>59</v>
      </c>
      <c r="D8882" s="230">
        <v>-770.29</v>
      </c>
      <c r="E8882" t="s">
        <v>737</v>
      </c>
    </row>
    <row r="8883" spans="1:5" hidden="1" x14ac:dyDescent="0.3">
      <c r="A8883" t="s">
        <v>557</v>
      </c>
      <c r="B8883" t="s">
        <v>736</v>
      </c>
      <c r="C8883" t="s">
        <v>61</v>
      </c>
      <c r="D8883" s="230">
        <v>0</v>
      </c>
      <c r="E8883" t="s">
        <v>737</v>
      </c>
    </row>
    <row r="8884" spans="1:5" hidden="1" x14ac:dyDescent="0.3">
      <c r="A8884" t="s">
        <v>557</v>
      </c>
      <c r="B8884" t="s">
        <v>736</v>
      </c>
      <c r="C8884" t="s">
        <v>62</v>
      </c>
      <c r="D8884" s="230">
        <v>0</v>
      </c>
      <c r="E8884" t="s">
        <v>737</v>
      </c>
    </row>
    <row r="8885" spans="1:5" hidden="1" x14ac:dyDescent="0.3">
      <c r="A8885" t="s">
        <v>557</v>
      </c>
      <c r="B8885" t="s">
        <v>736</v>
      </c>
      <c r="C8885" t="s">
        <v>64</v>
      </c>
      <c r="D8885" s="230">
        <v>0</v>
      </c>
      <c r="E8885" t="s">
        <v>737</v>
      </c>
    </row>
    <row r="8886" spans="1:5" hidden="1" x14ac:dyDescent="0.3">
      <c r="A8886" t="s">
        <v>557</v>
      </c>
      <c r="B8886" t="s">
        <v>736</v>
      </c>
      <c r="C8886" t="s">
        <v>65</v>
      </c>
      <c r="D8886" s="230">
        <v>-2333</v>
      </c>
      <c r="E8886" t="s">
        <v>737</v>
      </c>
    </row>
    <row r="8887" spans="1:5" hidden="1" x14ac:dyDescent="0.3">
      <c r="A8887" t="s">
        <v>557</v>
      </c>
      <c r="B8887" t="s">
        <v>736</v>
      </c>
      <c r="C8887" t="s">
        <v>66</v>
      </c>
      <c r="D8887" s="230">
        <v>-2333</v>
      </c>
      <c r="E8887" t="s">
        <v>737</v>
      </c>
    </row>
    <row r="8888" spans="1:5" hidden="1" x14ac:dyDescent="0.3">
      <c r="A8888" t="s">
        <v>557</v>
      </c>
      <c r="B8888" t="s">
        <v>736</v>
      </c>
      <c r="C8888" t="s">
        <v>68</v>
      </c>
      <c r="D8888" s="230">
        <v>0</v>
      </c>
      <c r="E8888" t="s">
        <v>737</v>
      </c>
    </row>
    <row r="8889" spans="1:5" hidden="1" x14ac:dyDescent="0.3">
      <c r="A8889" t="s">
        <v>557</v>
      </c>
      <c r="B8889" t="s">
        <v>736</v>
      </c>
      <c r="C8889" t="s">
        <v>69</v>
      </c>
      <c r="D8889" s="230">
        <v>0</v>
      </c>
      <c r="E8889" t="s">
        <v>737</v>
      </c>
    </row>
    <row r="8890" spans="1:5" hidden="1" x14ac:dyDescent="0.3">
      <c r="A8890" t="s">
        <v>557</v>
      </c>
      <c r="B8890" t="s">
        <v>736</v>
      </c>
      <c r="C8890" t="s">
        <v>70</v>
      </c>
      <c r="D8890" s="230">
        <v>-1.76</v>
      </c>
      <c r="E8890" t="s">
        <v>737</v>
      </c>
    </row>
    <row r="8891" spans="1:5" hidden="1" x14ac:dyDescent="0.3">
      <c r="A8891" t="s">
        <v>557</v>
      </c>
      <c r="B8891" t="s">
        <v>736</v>
      </c>
      <c r="C8891" t="s">
        <v>44</v>
      </c>
      <c r="D8891" s="230">
        <v>-0.04</v>
      </c>
      <c r="E8891" t="s">
        <v>737</v>
      </c>
    </row>
    <row r="8892" spans="1:5" hidden="1" x14ac:dyDescent="0.3">
      <c r="A8892" t="s">
        <v>557</v>
      </c>
      <c r="B8892" t="s">
        <v>736</v>
      </c>
      <c r="C8892" t="s">
        <v>71</v>
      </c>
      <c r="D8892" s="230">
        <v>-4622.37</v>
      </c>
      <c r="E8892" t="s">
        <v>737</v>
      </c>
    </row>
    <row r="8893" spans="1:5" hidden="1" x14ac:dyDescent="0.3">
      <c r="A8893" t="s">
        <v>557</v>
      </c>
      <c r="B8893" t="s">
        <v>736</v>
      </c>
      <c r="C8893" t="s">
        <v>72</v>
      </c>
      <c r="D8893" s="230">
        <v>-4622.37</v>
      </c>
      <c r="E8893" t="s">
        <v>737</v>
      </c>
    </row>
    <row r="8894" spans="1:5" hidden="1" x14ac:dyDescent="0.3">
      <c r="A8894" t="s">
        <v>557</v>
      </c>
      <c r="B8894" t="s">
        <v>736</v>
      </c>
      <c r="C8894" t="s">
        <v>73</v>
      </c>
      <c r="D8894" s="230">
        <v>-4000</v>
      </c>
      <c r="E8894" t="s">
        <v>737</v>
      </c>
    </row>
    <row r="8895" spans="1:5" hidden="1" x14ac:dyDescent="0.3">
      <c r="A8895" t="s">
        <v>557</v>
      </c>
      <c r="B8895" t="s">
        <v>736</v>
      </c>
      <c r="C8895" t="s">
        <v>75</v>
      </c>
      <c r="D8895" s="230">
        <v>-622.37</v>
      </c>
      <c r="E8895" t="s">
        <v>737</v>
      </c>
    </row>
    <row r="8896" spans="1:5" hidden="1" x14ac:dyDescent="0.3">
      <c r="A8896" t="s">
        <v>557</v>
      </c>
      <c r="B8896" t="s">
        <v>736</v>
      </c>
      <c r="C8896" t="s">
        <v>77</v>
      </c>
      <c r="D8896" s="230">
        <v>0</v>
      </c>
      <c r="E8896" t="s">
        <v>737</v>
      </c>
    </row>
    <row r="8897" spans="1:5" hidden="1" x14ac:dyDescent="0.3">
      <c r="A8897" t="s">
        <v>557</v>
      </c>
      <c r="B8897" t="s">
        <v>736</v>
      </c>
      <c r="C8897" t="s">
        <v>78</v>
      </c>
      <c r="D8897" s="230">
        <v>0</v>
      </c>
      <c r="E8897" t="s">
        <v>737</v>
      </c>
    </row>
    <row r="8898" spans="1:5" hidden="1" x14ac:dyDescent="0.3">
      <c r="A8898" t="s">
        <v>557</v>
      </c>
      <c r="B8898" t="s">
        <v>736</v>
      </c>
      <c r="C8898" t="s">
        <v>80</v>
      </c>
      <c r="D8898" s="230">
        <v>0</v>
      </c>
      <c r="E8898" t="s">
        <v>737</v>
      </c>
    </row>
    <row r="8899" spans="1:5" hidden="1" x14ac:dyDescent="0.3">
      <c r="A8899" t="s">
        <v>557</v>
      </c>
      <c r="B8899" t="s">
        <v>736</v>
      </c>
      <c r="C8899" t="s">
        <v>82</v>
      </c>
      <c r="D8899" s="230">
        <v>0</v>
      </c>
      <c r="E8899" t="s">
        <v>737</v>
      </c>
    </row>
    <row r="8900" spans="1:5" hidden="1" x14ac:dyDescent="0.3">
      <c r="A8900" t="s">
        <v>557</v>
      </c>
      <c r="B8900" t="s">
        <v>736</v>
      </c>
      <c r="C8900" t="s">
        <v>84</v>
      </c>
      <c r="D8900" s="230">
        <v>0</v>
      </c>
      <c r="E8900" t="s">
        <v>737</v>
      </c>
    </row>
    <row r="8901" spans="1:5" hidden="1" x14ac:dyDescent="0.3">
      <c r="A8901" t="s">
        <v>557</v>
      </c>
      <c r="B8901" t="s">
        <v>736</v>
      </c>
      <c r="C8901" t="s">
        <v>85</v>
      </c>
      <c r="D8901" s="230">
        <v>0</v>
      </c>
      <c r="E8901" t="s">
        <v>737</v>
      </c>
    </row>
    <row r="8902" spans="1:5" hidden="1" x14ac:dyDescent="0.3">
      <c r="A8902" t="s">
        <v>557</v>
      </c>
      <c r="B8902" t="s">
        <v>736</v>
      </c>
      <c r="C8902" t="s">
        <v>86</v>
      </c>
      <c r="D8902" s="230">
        <v>0</v>
      </c>
      <c r="E8902" t="s">
        <v>737</v>
      </c>
    </row>
    <row r="8903" spans="1:5" hidden="1" x14ac:dyDescent="0.3">
      <c r="A8903" t="s">
        <v>557</v>
      </c>
      <c r="B8903" t="s">
        <v>736</v>
      </c>
      <c r="C8903" t="s">
        <v>87</v>
      </c>
      <c r="D8903" s="230">
        <v>0</v>
      </c>
      <c r="E8903" t="s">
        <v>737</v>
      </c>
    </row>
    <row r="8904" spans="1:5" hidden="1" x14ac:dyDescent="0.3">
      <c r="A8904" t="s">
        <v>557</v>
      </c>
      <c r="B8904" t="s">
        <v>736</v>
      </c>
      <c r="C8904" t="s">
        <v>88</v>
      </c>
      <c r="D8904" s="230">
        <v>0</v>
      </c>
      <c r="E8904" t="s">
        <v>737</v>
      </c>
    </row>
    <row r="8905" spans="1:5" hidden="1" x14ac:dyDescent="0.3">
      <c r="A8905" t="s">
        <v>557</v>
      </c>
      <c r="B8905" t="s">
        <v>736</v>
      </c>
      <c r="C8905" t="s">
        <v>89</v>
      </c>
      <c r="D8905" s="230">
        <v>0</v>
      </c>
      <c r="E8905" t="s">
        <v>737</v>
      </c>
    </row>
    <row r="8906" spans="1:5" hidden="1" x14ac:dyDescent="0.3">
      <c r="A8906" t="s">
        <v>557</v>
      </c>
      <c r="B8906" t="s">
        <v>736</v>
      </c>
      <c r="C8906" t="s">
        <v>90</v>
      </c>
      <c r="D8906" s="230">
        <v>0</v>
      </c>
      <c r="E8906" t="s">
        <v>737</v>
      </c>
    </row>
    <row r="8907" spans="1:5" hidden="1" x14ac:dyDescent="0.3">
      <c r="A8907" t="s">
        <v>557</v>
      </c>
      <c r="B8907" t="s">
        <v>736</v>
      </c>
      <c r="C8907" t="s">
        <v>91</v>
      </c>
      <c r="D8907" s="230">
        <v>0</v>
      </c>
      <c r="E8907" t="s">
        <v>737</v>
      </c>
    </row>
    <row r="8908" spans="1:5" hidden="1" x14ac:dyDescent="0.3">
      <c r="A8908" t="s">
        <v>557</v>
      </c>
      <c r="B8908" t="s">
        <v>736</v>
      </c>
      <c r="C8908" t="s">
        <v>93</v>
      </c>
      <c r="D8908" s="230">
        <v>0</v>
      </c>
      <c r="E8908" t="s">
        <v>737</v>
      </c>
    </row>
    <row r="8909" spans="1:5" hidden="1" x14ac:dyDescent="0.3">
      <c r="A8909" t="s">
        <v>557</v>
      </c>
      <c r="B8909" t="s">
        <v>736</v>
      </c>
      <c r="C8909" t="s">
        <v>95</v>
      </c>
      <c r="D8909" s="230">
        <v>0</v>
      </c>
      <c r="E8909" t="s">
        <v>737</v>
      </c>
    </row>
    <row r="8910" spans="1:5" hidden="1" x14ac:dyDescent="0.3">
      <c r="A8910" t="s">
        <v>557</v>
      </c>
      <c r="B8910" t="s">
        <v>736</v>
      </c>
      <c r="C8910" t="s">
        <v>96</v>
      </c>
      <c r="D8910" s="230">
        <v>0</v>
      </c>
      <c r="E8910" t="s">
        <v>737</v>
      </c>
    </row>
    <row r="8911" spans="1:5" hidden="1" x14ac:dyDescent="0.3">
      <c r="A8911" t="s">
        <v>557</v>
      </c>
      <c r="B8911" t="s">
        <v>736</v>
      </c>
      <c r="C8911" t="s">
        <v>98</v>
      </c>
      <c r="D8911" s="230">
        <v>0</v>
      </c>
      <c r="E8911" t="s">
        <v>737</v>
      </c>
    </row>
    <row r="8912" spans="1:5" hidden="1" x14ac:dyDescent="0.3">
      <c r="A8912" t="s">
        <v>557</v>
      </c>
      <c r="B8912" t="s">
        <v>736</v>
      </c>
      <c r="C8912" t="s">
        <v>100</v>
      </c>
      <c r="D8912" s="230">
        <v>0</v>
      </c>
      <c r="E8912" t="s">
        <v>737</v>
      </c>
    </row>
    <row r="8913" spans="1:5" hidden="1" x14ac:dyDescent="0.3">
      <c r="A8913" t="s">
        <v>557</v>
      </c>
      <c r="B8913" t="s">
        <v>736</v>
      </c>
      <c r="C8913" t="s">
        <v>101</v>
      </c>
      <c r="D8913" s="230">
        <v>0</v>
      </c>
      <c r="E8913" t="s">
        <v>737</v>
      </c>
    </row>
    <row r="8914" spans="1:5" hidden="1" x14ac:dyDescent="0.3">
      <c r="A8914" t="s">
        <v>557</v>
      </c>
      <c r="B8914" t="s">
        <v>736</v>
      </c>
      <c r="C8914" t="s">
        <v>102</v>
      </c>
      <c r="D8914" s="230">
        <v>0</v>
      </c>
      <c r="E8914" t="s">
        <v>737</v>
      </c>
    </row>
    <row r="8915" spans="1:5" hidden="1" x14ac:dyDescent="0.3">
      <c r="A8915" t="s">
        <v>557</v>
      </c>
      <c r="B8915" t="s">
        <v>736</v>
      </c>
      <c r="C8915" t="s">
        <v>103</v>
      </c>
      <c r="D8915" s="230">
        <v>0</v>
      </c>
      <c r="E8915" t="s">
        <v>737</v>
      </c>
    </row>
    <row r="8916" spans="1:5" hidden="1" x14ac:dyDescent="0.3">
      <c r="A8916" t="s">
        <v>557</v>
      </c>
      <c r="B8916" t="s">
        <v>736</v>
      </c>
      <c r="C8916" t="s">
        <v>104</v>
      </c>
      <c r="D8916" s="230">
        <v>0</v>
      </c>
      <c r="E8916" t="s">
        <v>737</v>
      </c>
    </row>
    <row r="8917" spans="1:5" hidden="1" x14ac:dyDescent="0.3">
      <c r="A8917" t="s">
        <v>557</v>
      </c>
      <c r="B8917" t="s">
        <v>736</v>
      </c>
      <c r="C8917" t="s">
        <v>105</v>
      </c>
      <c r="D8917" s="230">
        <v>0</v>
      </c>
      <c r="E8917" t="s">
        <v>737</v>
      </c>
    </row>
    <row r="8918" spans="1:5" hidden="1" x14ac:dyDescent="0.3">
      <c r="A8918" t="s">
        <v>557</v>
      </c>
      <c r="B8918" t="s">
        <v>736</v>
      </c>
      <c r="C8918" t="s">
        <v>107</v>
      </c>
      <c r="D8918" s="230">
        <v>0</v>
      </c>
      <c r="E8918" t="s">
        <v>737</v>
      </c>
    </row>
    <row r="8919" spans="1:5" hidden="1" x14ac:dyDescent="0.3">
      <c r="A8919" t="s">
        <v>557</v>
      </c>
      <c r="B8919" t="s">
        <v>736</v>
      </c>
      <c r="C8919" t="s">
        <v>108</v>
      </c>
      <c r="D8919" s="230">
        <v>0</v>
      </c>
      <c r="E8919" t="s">
        <v>737</v>
      </c>
    </row>
    <row r="8920" spans="1:5" hidden="1" x14ac:dyDescent="0.3">
      <c r="A8920" t="s">
        <v>557</v>
      </c>
      <c r="B8920" t="s">
        <v>736</v>
      </c>
      <c r="C8920" t="s">
        <v>109</v>
      </c>
      <c r="D8920" s="230">
        <v>0</v>
      </c>
      <c r="E8920" t="s">
        <v>737</v>
      </c>
    </row>
    <row r="8921" spans="1:5" hidden="1" x14ac:dyDescent="0.3">
      <c r="A8921" t="s">
        <v>557</v>
      </c>
      <c r="B8921" t="s">
        <v>736</v>
      </c>
      <c r="C8921" t="s">
        <v>110</v>
      </c>
      <c r="D8921" s="230">
        <v>-0.2</v>
      </c>
      <c r="E8921" t="s">
        <v>737</v>
      </c>
    </row>
    <row r="8922" spans="1:5" hidden="1" x14ac:dyDescent="0.3">
      <c r="A8922" t="s">
        <v>557</v>
      </c>
      <c r="B8922" t="s">
        <v>736</v>
      </c>
      <c r="C8922" t="s">
        <v>44</v>
      </c>
      <c r="D8922" s="230">
        <v>-0.01</v>
      </c>
      <c r="E8922" t="s">
        <v>737</v>
      </c>
    </row>
    <row r="8923" spans="1:5" hidden="1" x14ac:dyDescent="0.3">
      <c r="A8923" t="s">
        <v>557</v>
      </c>
      <c r="B8923" t="s">
        <v>736</v>
      </c>
      <c r="C8923" t="s">
        <v>111</v>
      </c>
      <c r="D8923" s="230">
        <v>-26360</v>
      </c>
      <c r="E8923" t="s">
        <v>737</v>
      </c>
    </row>
    <row r="8924" spans="1:5" hidden="1" x14ac:dyDescent="0.3">
      <c r="A8924" t="s">
        <v>557</v>
      </c>
      <c r="B8924" t="s">
        <v>736</v>
      </c>
      <c r="C8924" t="s">
        <v>608</v>
      </c>
      <c r="D8924" s="230">
        <v>-26360</v>
      </c>
      <c r="E8924" t="s">
        <v>737</v>
      </c>
    </row>
    <row r="8925" spans="1:5" hidden="1" x14ac:dyDescent="0.3">
      <c r="A8925" t="s">
        <v>557</v>
      </c>
      <c r="B8925" t="s">
        <v>736</v>
      </c>
      <c r="C8925" t="s">
        <v>44</v>
      </c>
      <c r="D8925" s="230">
        <v>-0.06</v>
      </c>
      <c r="E8925" t="s">
        <v>737</v>
      </c>
    </row>
    <row r="8926" spans="1:5" hidden="1" x14ac:dyDescent="0.3">
      <c r="A8926" t="s">
        <v>557</v>
      </c>
      <c r="B8926" t="s">
        <v>736</v>
      </c>
      <c r="C8926" t="s">
        <v>115</v>
      </c>
      <c r="D8926" s="230">
        <v>-8802.4</v>
      </c>
      <c r="E8926" t="s">
        <v>737</v>
      </c>
    </row>
    <row r="8927" spans="1:5" hidden="1" x14ac:dyDescent="0.3">
      <c r="A8927" t="s">
        <v>557</v>
      </c>
      <c r="B8927" t="s">
        <v>736</v>
      </c>
      <c r="C8927" t="s">
        <v>116</v>
      </c>
      <c r="D8927" s="230">
        <v>-5824.23</v>
      </c>
      <c r="E8927" t="s">
        <v>737</v>
      </c>
    </row>
    <row r="8928" spans="1:5" hidden="1" x14ac:dyDescent="0.3">
      <c r="A8928" t="s">
        <v>557</v>
      </c>
      <c r="B8928" t="s">
        <v>736</v>
      </c>
      <c r="C8928" t="s">
        <v>118</v>
      </c>
      <c r="D8928" s="230">
        <v>-2978.17</v>
      </c>
      <c r="E8928" t="s">
        <v>737</v>
      </c>
    </row>
    <row r="8929" spans="1:5" hidden="1" x14ac:dyDescent="0.3">
      <c r="A8929" t="s">
        <v>557</v>
      </c>
      <c r="B8929" t="s">
        <v>736</v>
      </c>
      <c r="C8929" t="s">
        <v>120</v>
      </c>
      <c r="D8929" s="230">
        <v>0</v>
      </c>
      <c r="E8929" t="s">
        <v>737</v>
      </c>
    </row>
    <row r="8930" spans="1:5" hidden="1" x14ac:dyDescent="0.3">
      <c r="A8930" t="s">
        <v>557</v>
      </c>
      <c r="B8930" t="s">
        <v>736</v>
      </c>
      <c r="C8930" t="s">
        <v>122</v>
      </c>
      <c r="D8930" s="230">
        <v>0</v>
      </c>
      <c r="E8930" t="s">
        <v>737</v>
      </c>
    </row>
    <row r="8931" spans="1:5" hidden="1" x14ac:dyDescent="0.3">
      <c r="A8931" t="s">
        <v>557</v>
      </c>
      <c r="B8931" t="s">
        <v>736</v>
      </c>
      <c r="C8931" t="s">
        <v>44</v>
      </c>
      <c r="D8931" s="230">
        <v>-0.02</v>
      </c>
      <c r="E8931" t="s">
        <v>737</v>
      </c>
    </row>
    <row r="8932" spans="1:5" hidden="1" x14ac:dyDescent="0.3">
      <c r="A8932" t="s">
        <v>557</v>
      </c>
      <c r="B8932" t="s">
        <v>736</v>
      </c>
      <c r="C8932" t="s">
        <v>126</v>
      </c>
      <c r="D8932" s="230">
        <v>217518.02</v>
      </c>
      <c r="E8932" t="s">
        <v>737</v>
      </c>
    </row>
    <row r="8933" spans="1:5" hidden="1" x14ac:dyDescent="0.3">
      <c r="A8933" t="s">
        <v>557</v>
      </c>
      <c r="B8933" t="s">
        <v>736</v>
      </c>
      <c r="C8933" t="s">
        <v>127</v>
      </c>
      <c r="D8933" s="230">
        <v>0.5</v>
      </c>
      <c r="E8933" t="s">
        <v>737</v>
      </c>
    </row>
    <row r="8934" spans="1:5" hidden="1" x14ac:dyDescent="0.3">
      <c r="A8934" t="s">
        <v>557</v>
      </c>
      <c r="B8934" t="s">
        <v>736</v>
      </c>
      <c r="C8934" t="s">
        <v>128</v>
      </c>
      <c r="D8934" s="230">
        <v>-129794.95</v>
      </c>
      <c r="E8934" t="s">
        <v>737</v>
      </c>
    </row>
    <row r="8935" spans="1:5" hidden="1" x14ac:dyDescent="0.3">
      <c r="A8935" t="s">
        <v>557</v>
      </c>
      <c r="B8935" t="s">
        <v>736</v>
      </c>
      <c r="C8935" t="s">
        <v>129</v>
      </c>
      <c r="D8935" s="230">
        <v>-48016.67</v>
      </c>
      <c r="E8935" t="s">
        <v>737</v>
      </c>
    </row>
    <row r="8936" spans="1:5" hidden="1" x14ac:dyDescent="0.3">
      <c r="A8936" t="s">
        <v>557</v>
      </c>
      <c r="B8936" t="s">
        <v>736</v>
      </c>
      <c r="C8936" t="s">
        <v>609</v>
      </c>
      <c r="D8936" s="230">
        <v>-4850</v>
      </c>
      <c r="E8936" t="s">
        <v>737</v>
      </c>
    </row>
    <row r="8937" spans="1:5" hidden="1" x14ac:dyDescent="0.3">
      <c r="A8937" t="s">
        <v>557</v>
      </c>
      <c r="B8937" t="s">
        <v>736</v>
      </c>
      <c r="C8937" t="s">
        <v>610</v>
      </c>
      <c r="D8937" s="230">
        <v>-28200</v>
      </c>
      <c r="E8937" t="s">
        <v>737</v>
      </c>
    </row>
    <row r="8938" spans="1:5" hidden="1" x14ac:dyDescent="0.3">
      <c r="A8938" t="s">
        <v>557</v>
      </c>
      <c r="B8938" t="s">
        <v>736</v>
      </c>
      <c r="C8938" t="s">
        <v>611</v>
      </c>
      <c r="D8938" s="230">
        <v>0</v>
      </c>
      <c r="E8938" t="s">
        <v>737</v>
      </c>
    </row>
    <row r="8939" spans="1:5" hidden="1" x14ac:dyDescent="0.3">
      <c r="A8939" t="s">
        <v>557</v>
      </c>
      <c r="B8939" t="s">
        <v>736</v>
      </c>
      <c r="C8939" t="s">
        <v>612</v>
      </c>
      <c r="D8939" s="230">
        <v>-2666.67</v>
      </c>
      <c r="E8939" t="s">
        <v>737</v>
      </c>
    </row>
    <row r="8940" spans="1:5" hidden="1" x14ac:dyDescent="0.3">
      <c r="A8940" t="s">
        <v>557</v>
      </c>
      <c r="B8940" t="s">
        <v>736</v>
      </c>
      <c r="C8940" t="s">
        <v>613</v>
      </c>
      <c r="D8940" s="230">
        <v>-1800</v>
      </c>
      <c r="E8940" t="s">
        <v>737</v>
      </c>
    </row>
    <row r="8941" spans="1:5" hidden="1" x14ac:dyDescent="0.3">
      <c r="A8941" t="s">
        <v>557</v>
      </c>
      <c r="B8941" t="s">
        <v>736</v>
      </c>
      <c r="C8941" t="s">
        <v>614</v>
      </c>
      <c r="D8941" s="230">
        <v>-6500</v>
      </c>
      <c r="E8941" t="s">
        <v>737</v>
      </c>
    </row>
    <row r="8942" spans="1:5" hidden="1" x14ac:dyDescent="0.3">
      <c r="A8942" t="s">
        <v>557</v>
      </c>
      <c r="B8942" t="s">
        <v>736</v>
      </c>
      <c r="C8942" t="s">
        <v>615</v>
      </c>
      <c r="D8942" s="230">
        <v>0</v>
      </c>
      <c r="E8942" t="s">
        <v>737</v>
      </c>
    </row>
    <row r="8943" spans="1:5" hidden="1" x14ac:dyDescent="0.3">
      <c r="A8943" t="s">
        <v>557</v>
      </c>
      <c r="B8943" t="s">
        <v>736</v>
      </c>
      <c r="C8943" t="s">
        <v>616</v>
      </c>
      <c r="D8943" s="230">
        <v>-4000</v>
      </c>
      <c r="E8943" t="s">
        <v>737</v>
      </c>
    </row>
    <row r="8944" spans="1:5" hidden="1" x14ac:dyDescent="0.3">
      <c r="A8944" t="s">
        <v>557</v>
      </c>
      <c r="B8944" t="s">
        <v>736</v>
      </c>
      <c r="C8944" t="s">
        <v>617</v>
      </c>
      <c r="D8944" s="230">
        <v>0</v>
      </c>
      <c r="E8944" t="s">
        <v>737</v>
      </c>
    </row>
    <row r="8945" spans="1:5" hidden="1" x14ac:dyDescent="0.3">
      <c r="A8945" t="s">
        <v>557</v>
      </c>
      <c r="B8945" t="s">
        <v>736</v>
      </c>
      <c r="C8945" t="s">
        <v>618</v>
      </c>
      <c r="D8945" s="230">
        <v>0</v>
      </c>
      <c r="E8945" t="s">
        <v>737</v>
      </c>
    </row>
    <row r="8946" spans="1:5" hidden="1" x14ac:dyDescent="0.3">
      <c r="A8946" t="s">
        <v>557</v>
      </c>
      <c r="B8946" t="s">
        <v>736</v>
      </c>
      <c r="C8946" t="s">
        <v>619</v>
      </c>
      <c r="D8946" s="230">
        <v>0</v>
      </c>
      <c r="E8946" t="s">
        <v>737</v>
      </c>
    </row>
    <row r="8947" spans="1:5" hidden="1" x14ac:dyDescent="0.3">
      <c r="A8947" t="s">
        <v>557</v>
      </c>
      <c r="B8947" t="s">
        <v>736</v>
      </c>
      <c r="C8947" t="s">
        <v>620</v>
      </c>
      <c r="D8947" s="230">
        <v>0</v>
      </c>
      <c r="E8947" t="s">
        <v>737</v>
      </c>
    </row>
    <row r="8948" spans="1:5" hidden="1" x14ac:dyDescent="0.3">
      <c r="A8948" t="s">
        <v>557</v>
      </c>
      <c r="B8948" t="s">
        <v>736</v>
      </c>
      <c r="C8948" t="s">
        <v>575</v>
      </c>
      <c r="D8948" s="230">
        <v>-31144.25</v>
      </c>
      <c r="E8948" t="s">
        <v>737</v>
      </c>
    </row>
    <row r="8949" spans="1:5" hidden="1" x14ac:dyDescent="0.3">
      <c r="A8949" t="s">
        <v>557</v>
      </c>
      <c r="B8949" t="s">
        <v>736</v>
      </c>
      <c r="C8949" t="s">
        <v>621</v>
      </c>
      <c r="D8949" s="230">
        <v>0</v>
      </c>
      <c r="E8949" t="s">
        <v>737</v>
      </c>
    </row>
    <row r="8950" spans="1:5" hidden="1" x14ac:dyDescent="0.3">
      <c r="A8950" t="s">
        <v>557</v>
      </c>
      <c r="B8950" t="s">
        <v>736</v>
      </c>
      <c r="C8950" t="s">
        <v>622</v>
      </c>
      <c r="D8950" s="230">
        <v>0</v>
      </c>
      <c r="E8950" t="s">
        <v>737</v>
      </c>
    </row>
    <row r="8951" spans="1:5" hidden="1" x14ac:dyDescent="0.3">
      <c r="A8951" t="s">
        <v>557</v>
      </c>
      <c r="B8951" t="s">
        <v>736</v>
      </c>
      <c r="C8951" t="s">
        <v>623</v>
      </c>
      <c r="D8951" s="230">
        <v>0</v>
      </c>
      <c r="E8951" t="s">
        <v>737</v>
      </c>
    </row>
    <row r="8952" spans="1:5" hidden="1" x14ac:dyDescent="0.3">
      <c r="A8952" t="s">
        <v>557</v>
      </c>
      <c r="B8952" t="s">
        <v>736</v>
      </c>
      <c r="C8952" t="s">
        <v>624</v>
      </c>
      <c r="D8952" s="230">
        <v>0</v>
      </c>
      <c r="E8952" t="s">
        <v>737</v>
      </c>
    </row>
    <row r="8953" spans="1:5" hidden="1" x14ac:dyDescent="0.3">
      <c r="A8953" t="s">
        <v>557</v>
      </c>
      <c r="B8953" t="s">
        <v>736</v>
      </c>
      <c r="C8953" t="s">
        <v>625</v>
      </c>
      <c r="D8953" s="230">
        <v>0</v>
      </c>
      <c r="E8953" t="s">
        <v>737</v>
      </c>
    </row>
    <row r="8954" spans="1:5" hidden="1" x14ac:dyDescent="0.3">
      <c r="A8954" t="s">
        <v>557</v>
      </c>
      <c r="B8954" t="s">
        <v>736</v>
      </c>
      <c r="C8954" t="s">
        <v>626</v>
      </c>
      <c r="D8954" s="230">
        <v>0</v>
      </c>
      <c r="E8954" t="s">
        <v>737</v>
      </c>
    </row>
    <row r="8955" spans="1:5" hidden="1" x14ac:dyDescent="0.3">
      <c r="A8955" t="s">
        <v>557</v>
      </c>
      <c r="B8955" t="s">
        <v>736</v>
      </c>
      <c r="C8955" t="s">
        <v>627</v>
      </c>
      <c r="D8955" s="230">
        <v>0</v>
      </c>
      <c r="E8955" t="s">
        <v>737</v>
      </c>
    </row>
    <row r="8956" spans="1:5" hidden="1" x14ac:dyDescent="0.3">
      <c r="A8956" t="s">
        <v>557</v>
      </c>
      <c r="B8956" t="s">
        <v>736</v>
      </c>
      <c r="C8956" t="s">
        <v>628</v>
      </c>
      <c r="D8956" s="230">
        <v>0</v>
      </c>
      <c r="E8956" t="s">
        <v>737</v>
      </c>
    </row>
    <row r="8957" spans="1:5" hidden="1" x14ac:dyDescent="0.3">
      <c r="A8957" t="s">
        <v>557</v>
      </c>
      <c r="B8957" t="s">
        <v>736</v>
      </c>
      <c r="C8957" t="s">
        <v>629</v>
      </c>
      <c r="D8957" s="230">
        <v>0</v>
      </c>
      <c r="E8957" t="s">
        <v>737</v>
      </c>
    </row>
    <row r="8958" spans="1:5" hidden="1" x14ac:dyDescent="0.3">
      <c r="A8958" t="s">
        <v>557</v>
      </c>
      <c r="B8958" t="s">
        <v>736</v>
      </c>
      <c r="C8958" t="s">
        <v>630</v>
      </c>
      <c r="D8958" s="230">
        <v>0</v>
      </c>
      <c r="E8958" t="s">
        <v>737</v>
      </c>
    </row>
    <row r="8959" spans="1:5" hidden="1" x14ac:dyDescent="0.3">
      <c r="A8959" t="s">
        <v>557</v>
      </c>
      <c r="B8959" t="s">
        <v>736</v>
      </c>
      <c r="C8959" t="s">
        <v>631</v>
      </c>
      <c r="D8959" s="230">
        <v>0</v>
      </c>
      <c r="E8959" t="s">
        <v>737</v>
      </c>
    </row>
    <row r="8960" spans="1:5" hidden="1" x14ac:dyDescent="0.3">
      <c r="A8960" t="s">
        <v>557</v>
      </c>
      <c r="B8960" t="s">
        <v>736</v>
      </c>
      <c r="C8960" t="s">
        <v>632</v>
      </c>
      <c r="D8960" s="230">
        <v>0</v>
      </c>
      <c r="E8960" t="s">
        <v>737</v>
      </c>
    </row>
    <row r="8961" spans="1:5" hidden="1" x14ac:dyDescent="0.3">
      <c r="A8961" t="s">
        <v>557</v>
      </c>
      <c r="B8961" t="s">
        <v>736</v>
      </c>
      <c r="C8961" t="s">
        <v>633</v>
      </c>
      <c r="D8961" s="230">
        <v>0</v>
      </c>
      <c r="E8961" t="s">
        <v>737</v>
      </c>
    </row>
    <row r="8962" spans="1:5" hidden="1" x14ac:dyDescent="0.3">
      <c r="A8962" t="s">
        <v>557</v>
      </c>
      <c r="B8962" t="s">
        <v>736</v>
      </c>
      <c r="C8962" t="s">
        <v>634</v>
      </c>
      <c r="D8962" s="230">
        <v>0</v>
      </c>
      <c r="E8962" t="s">
        <v>737</v>
      </c>
    </row>
    <row r="8963" spans="1:5" hidden="1" x14ac:dyDescent="0.3">
      <c r="A8963" t="s">
        <v>557</v>
      </c>
      <c r="B8963" t="s">
        <v>736</v>
      </c>
      <c r="C8963" t="s">
        <v>635</v>
      </c>
      <c r="D8963" s="230">
        <v>0</v>
      </c>
      <c r="E8963" t="s">
        <v>737</v>
      </c>
    </row>
    <row r="8964" spans="1:5" hidden="1" x14ac:dyDescent="0.3">
      <c r="A8964" t="s">
        <v>557</v>
      </c>
      <c r="B8964" t="s">
        <v>736</v>
      </c>
      <c r="C8964" t="s">
        <v>636</v>
      </c>
      <c r="D8964" s="230">
        <v>0</v>
      </c>
      <c r="E8964" t="s">
        <v>737</v>
      </c>
    </row>
    <row r="8965" spans="1:5" hidden="1" x14ac:dyDescent="0.3">
      <c r="A8965" t="s">
        <v>557</v>
      </c>
      <c r="B8965" t="s">
        <v>736</v>
      </c>
      <c r="C8965" t="s">
        <v>637</v>
      </c>
      <c r="D8965" s="230">
        <v>0</v>
      </c>
      <c r="E8965" t="s">
        <v>737</v>
      </c>
    </row>
    <row r="8966" spans="1:5" hidden="1" x14ac:dyDescent="0.3">
      <c r="A8966" t="s">
        <v>557</v>
      </c>
      <c r="B8966" t="s">
        <v>736</v>
      </c>
      <c r="C8966" t="s">
        <v>638</v>
      </c>
      <c r="D8966" s="230">
        <v>0</v>
      </c>
      <c r="E8966" t="s">
        <v>737</v>
      </c>
    </row>
    <row r="8967" spans="1:5" hidden="1" x14ac:dyDescent="0.3">
      <c r="A8967" t="s">
        <v>557</v>
      </c>
      <c r="B8967" t="s">
        <v>736</v>
      </c>
      <c r="C8967" t="s">
        <v>639</v>
      </c>
      <c r="D8967" s="230">
        <v>0</v>
      </c>
      <c r="E8967" t="s">
        <v>737</v>
      </c>
    </row>
    <row r="8968" spans="1:5" hidden="1" x14ac:dyDescent="0.3">
      <c r="A8968" t="s">
        <v>557</v>
      </c>
      <c r="B8968" t="s">
        <v>736</v>
      </c>
      <c r="C8968" t="s">
        <v>640</v>
      </c>
      <c r="D8968" s="230">
        <v>0</v>
      </c>
      <c r="E8968" t="s">
        <v>737</v>
      </c>
    </row>
    <row r="8969" spans="1:5" hidden="1" x14ac:dyDescent="0.3">
      <c r="A8969" t="s">
        <v>557</v>
      </c>
      <c r="B8969" t="s">
        <v>736</v>
      </c>
      <c r="C8969" t="s">
        <v>641</v>
      </c>
      <c r="D8969" s="230">
        <v>0</v>
      </c>
      <c r="E8969" t="s">
        <v>737</v>
      </c>
    </row>
    <row r="8970" spans="1:5" hidden="1" x14ac:dyDescent="0.3">
      <c r="A8970" t="s">
        <v>557</v>
      </c>
      <c r="B8970" t="s">
        <v>736</v>
      </c>
      <c r="C8970" t="s">
        <v>642</v>
      </c>
      <c r="D8970" s="230">
        <v>0</v>
      </c>
      <c r="E8970" t="s">
        <v>737</v>
      </c>
    </row>
    <row r="8971" spans="1:5" hidden="1" x14ac:dyDescent="0.3">
      <c r="A8971" t="s">
        <v>557</v>
      </c>
      <c r="B8971" t="s">
        <v>736</v>
      </c>
      <c r="C8971" t="s">
        <v>643</v>
      </c>
      <c r="D8971" s="230">
        <v>0</v>
      </c>
      <c r="E8971" t="s">
        <v>737</v>
      </c>
    </row>
    <row r="8972" spans="1:5" hidden="1" x14ac:dyDescent="0.3">
      <c r="A8972" t="s">
        <v>557</v>
      </c>
      <c r="B8972" t="s">
        <v>736</v>
      </c>
      <c r="C8972" t="s">
        <v>644</v>
      </c>
      <c r="D8972" s="230">
        <v>0</v>
      </c>
      <c r="E8972" t="s">
        <v>737</v>
      </c>
    </row>
    <row r="8973" spans="1:5" hidden="1" x14ac:dyDescent="0.3">
      <c r="A8973" t="s">
        <v>557</v>
      </c>
      <c r="B8973" t="s">
        <v>736</v>
      </c>
      <c r="C8973" t="s">
        <v>645</v>
      </c>
      <c r="D8973" s="230">
        <v>0</v>
      </c>
      <c r="E8973" t="s">
        <v>737</v>
      </c>
    </row>
    <row r="8974" spans="1:5" hidden="1" x14ac:dyDescent="0.3">
      <c r="A8974" t="s">
        <v>557</v>
      </c>
      <c r="B8974" t="s">
        <v>736</v>
      </c>
      <c r="C8974" t="s">
        <v>646</v>
      </c>
      <c r="D8974" s="230">
        <v>0</v>
      </c>
      <c r="E8974" t="s">
        <v>737</v>
      </c>
    </row>
    <row r="8975" spans="1:5" hidden="1" x14ac:dyDescent="0.3">
      <c r="A8975" t="s">
        <v>557</v>
      </c>
      <c r="B8975" t="s">
        <v>736</v>
      </c>
      <c r="C8975" t="s">
        <v>647</v>
      </c>
      <c r="D8975" s="230">
        <v>0</v>
      </c>
      <c r="E8975" t="s">
        <v>737</v>
      </c>
    </row>
    <row r="8976" spans="1:5" hidden="1" x14ac:dyDescent="0.3">
      <c r="A8976" t="s">
        <v>557</v>
      </c>
      <c r="B8976" t="s">
        <v>736</v>
      </c>
      <c r="C8976" t="s">
        <v>648</v>
      </c>
      <c r="D8976" s="230">
        <v>0</v>
      </c>
      <c r="E8976" t="s">
        <v>737</v>
      </c>
    </row>
    <row r="8977" spans="1:5" hidden="1" x14ac:dyDescent="0.3">
      <c r="A8977" t="s">
        <v>557</v>
      </c>
      <c r="B8977" t="s">
        <v>736</v>
      </c>
      <c r="C8977" t="s">
        <v>649</v>
      </c>
      <c r="D8977" s="230">
        <v>0</v>
      </c>
      <c r="E8977" t="s">
        <v>737</v>
      </c>
    </row>
    <row r="8978" spans="1:5" hidden="1" x14ac:dyDescent="0.3">
      <c r="A8978" t="s">
        <v>557</v>
      </c>
      <c r="B8978" t="s">
        <v>736</v>
      </c>
      <c r="C8978" t="s">
        <v>650</v>
      </c>
      <c r="D8978" s="230">
        <v>0</v>
      </c>
      <c r="E8978" t="s">
        <v>737</v>
      </c>
    </row>
    <row r="8979" spans="1:5" hidden="1" x14ac:dyDescent="0.3">
      <c r="A8979" t="s">
        <v>557</v>
      </c>
      <c r="B8979" t="s">
        <v>736</v>
      </c>
      <c r="C8979" t="s">
        <v>651</v>
      </c>
      <c r="D8979" s="230">
        <v>0</v>
      </c>
      <c r="E8979" t="s">
        <v>737</v>
      </c>
    </row>
    <row r="8980" spans="1:5" hidden="1" x14ac:dyDescent="0.3">
      <c r="A8980" t="s">
        <v>557</v>
      </c>
      <c r="B8980" t="s">
        <v>736</v>
      </c>
      <c r="C8980" t="s">
        <v>652</v>
      </c>
      <c r="D8980" s="230">
        <v>0</v>
      </c>
      <c r="E8980" t="s">
        <v>737</v>
      </c>
    </row>
    <row r="8981" spans="1:5" hidden="1" x14ac:dyDescent="0.3">
      <c r="A8981" t="s">
        <v>557</v>
      </c>
      <c r="B8981" t="s">
        <v>736</v>
      </c>
      <c r="C8981" t="s">
        <v>653</v>
      </c>
      <c r="D8981" s="230">
        <v>0</v>
      </c>
      <c r="E8981" t="s">
        <v>737</v>
      </c>
    </row>
    <row r="8982" spans="1:5" hidden="1" x14ac:dyDescent="0.3">
      <c r="A8982" t="s">
        <v>557</v>
      </c>
      <c r="B8982" t="s">
        <v>736</v>
      </c>
      <c r="C8982" t="s">
        <v>654</v>
      </c>
      <c r="D8982" s="230">
        <v>0</v>
      </c>
      <c r="E8982" t="s">
        <v>737</v>
      </c>
    </row>
    <row r="8983" spans="1:5" hidden="1" x14ac:dyDescent="0.3">
      <c r="A8983" t="s">
        <v>557</v>
      </c>
      <c r="B8983" t="s">
        <v>736</v>
      </c>
      <c r="C8983" t="s">
        <v>655</v>
      </c>
      <c r="D8983" s="230">
        <v>0</v>
      </c>
      <c r="E8983" t="s">
        <v>737</v>
      </c>
    </row>
    <row r="8984" spans="1:5" hidden="1" x14ac:dyDescent="0.3">
      <c r="A8984" t="s">
        <v>557</v>
      </c>
      <c r="B8984" t="s">
        <v>736</v>
      </c>
      <c r="C8984" t="s">
        <v>656</v>
      </c>
      <c r="D8984" s="230">
        <v>0</v>
      </c>
      <c r="E8984" t="s">
        <v>737</v>
      </c>
    </row>
    <row r="8985" spans="1:5" hidden="1" x14ac:dyDescent="0.3">
      <c r="A8985" t="s">
        <v>557</v>
      </c>
      <c r="B8985" t="s">
        <v>736</v>
      </c>
      <c r="C8985" t="s">
        <v>657</v>
      </c>
      <c r="D8985" s="230">
        <v>0</v>
      </c>
      <c r="E8985" t="s">
        <v>737</v>
      </c>
    </row>
    <row r="8986" spans="1:5" hidden="1" x14ac:dyDescent="0.3">
      <c r="A8986" t="s">
        <v>557</v>
      </c>
      <c r="B8986" t="s">
        <v>736</v>
      </c>
      <c r="C8986" t="s">
        <v>658</v>
      </c>
      <c r="D8986" s="230">
        <v>0</v>
      </c>
      <c r="E8986" t="s">
        <v>737</v>
      </c>
    </row>
    <row r="8987" spans="1:5" hidden="1" x14ac:dyDescent="0.3">
      <c r="A8987" t="s">
        <v>557</v>
      </c>
      <c r="B8987" t="s">
        <v>736</v>
      </c>
      <c r="C8987" t="s">
        <v>659</v>
      </c>
      <c r="D8987" s="230">
        <v>0</v>
      </c>
      <c r="E8987" t="s">
        <v>737</v>
      </c>
    </row>
    <row r="8988" spans="1:5" hidden="1" x14ac:dyDescent="0.3">
      <c r="A8988" t="s">
        <v>557</v>
      </c>
      <c r="B8988" t="s">
        <v>736</v>
      </c>
      <c r="C8988" t="s">
        <v>660</v>
      </c>
      <c r="D8988" s="230">
        <v>0</v>
      </c>
      <c r="E8988" t="s">
        <v>737</v>
      </c>
    </row>
    <row r="8989" spans="1:5" hidden="1" x14ac:dyDescent="0.3">
      <c r="A8989" t="s">
        <v>557</v>
      </c>
      <c r="B8989" t="s">
        <v>736</v>
      </c>
      <c r="C8989" t="s">
        <v>661</v>
      </c>
      <c r="D8989" s="230">
        <v>0</v>
      </c>
      <c r="E8989" t="s">
        <v>737</v>
      </c>
    </row>
    <row r="8990" spans="1:5" hidden="1" x14ac:dyDescent="0.3">
      <c r="A8990" t="s">
        <v>557</v>
      </c>
      <c r="B8990" t="s">
        <v>736</v>
      </c>
      <c r="C8990" t="s">
        <v>662</v>
      </c>
      <c r="D8990" s="230">
        <v>0</v>
      </c>
      <c r="E8990" t="s">
        <v>737</v>
      </c>
    </row>
    <row r="8991" spans="1:5" hidden="1" x14ac:dyDescent="0.3">
      <c r="A8991" t="s">
        <v>557</v>
      </c>
      <c r="B8991" t="s">
        <v>736</v>
      </c>
      <c r="C8991" t="s">
        <v>663</v>
      </c>
      <c r="D8991" s="230">
        <v>0</v>
      </c>
      <c r="E8991" t="s">
        <v>737</v>
      </c>
    </row>
    <row r="8992" spans="1:5" hidden="1" x14ac:dyDescent="0.3">
      <c r="A8992" t="s">
        <v>557</v>
      </c>
      <c r="B8992" t="s">
        <v>736</v>
      </c>
      <c r="C8992" t="s">
        <v>664</v>
      </c>
      <c r="D8992" s="230">
        <v>0</v>
      </c>
      <c r="E8992" t="s">
        <v>737</v>
      </c>
    </row>
    <row r="8993" spans="1:5" hidden="1" x14ac:dyDescent="0.3">
      <c r="A8993" t="s">
        <v>557</v>
      </c>
      <c r="B8993" t="s">
        <v>736</v>
      </c>
      <c r="C8993" t="s">
        <v>665</v>
      </c>
      <c r="D8993" s="230">
        <v>0</v>
      </c>
      <c r="E8993" t="s">
        <v>737</v>
      </c>
    </row>
    <row r="8994" spans="1:5" hidden="1" x14ac:dyDescent="0.3">
      <c r="A8994" t="s">
        <v>557</v>
      </c>
      <c r="B8994" t="s">
        <v>736</v>
      </c>
      <c r="C8994" t="s">
        <v>666</v>
      </c>
      <c r="D8994" s="230">
        <v>0</v>
      </c>
      <c r="E8994" t="s">
        <v>737</v>
      </c>
    </row>
    <row r="8995" spans="1:5" hidden="1" x14ac:dyDescent="0.3">
      <c r="A8995" t="s">
        <v>557</v>
      </c>
      <c r="B8995" t="s">
        <v>736</v>
      </c>
      <c r="C8995" t="s">
        <v>667</v>
      </c>
      <c r="D8995" s="230">
        <v>0</v>
      </c>
      <c r="E8995" t="s">
        <v>737</v>
      </c>
    </row>
    <row r="8996" spans="1:5" hidden="1" x14ac:dyDescent="0.3">
      <c r="A8996" t="s">
        <v>557</v>
      </c>
      <c r="B8996" t="s">
        <v>736</v>
      </c>
      <c r="C8996" t="s">
        <v>668</v>
      </c>
      <c r="D8996" s="230">
        <v>0</v>
      </c>
      <c r="E8996" t="s">
        <v>737</v>
      </c>
    </row>
    <row r="8997" spans="1:5" hidden="1" x14ac:dyDescent="0.3">
      <c r="A8997" t="s">
        <v>557</v>
      </c>
      <c r="B8997" t="s">
        <v>736</v>
      </c>
      <c r="C8997" t="s">
        <v>669</v>
      </c>
      <c r="D8997" s="230">
        <v>0</v>
      </c>
      <c r="E8997" t="s">
        <v>737</v>
      </c>
    </row>
    <row r="8998" spans="1:5" hidden="1" x14ac:dyDescent="0.3">
      <c r="A8998" t="s">
        <v>557</v>
      </c>
      <c r="B8998" t="s">
        <v>736</v>
      </c>
      <c r="C8998" t="s">
        <v>670</v>
      </c>
      <c r="D8998" s="230">
        <v>0</v>
      </c>
      <c r="E8998" t="s">
        <v>737</v>
      </c>
    </row>
    <row r="8999" spans="1:5" hidden="1" x14ac:dyDescent="0.3">
      <c r="A8999" t="s">
        <v>557</v>
      </c>
      <c r="B8999" t="s">
        <v>736</v>
      </c>
      <c r="C8999" t="s">
        <v>671</v>
      </c>
      <c r="D8999" s="230">
        <v>0</v>
      </c>
      <c r="E8999" t="s">
        <v>737</v>
      </c>
    </row>
    <row r="9000" spans="1:5" hidden="1" x14ac:dyDescent="0.3">
      <c r="A9000" t="s">
        <v>557</v>
      </c>
      <c r="B9000" t="s">
        <v>736</v>
      </c>
      <c r="C9000" t="s">
        <v>672</v>
      </c>
      <c r="D9000" s="230">
        <v>0</v>
      </c>
      <c r="E9000" t="s">
        <v>737</v>
      </c>
    </row>
    <row r="9001" spans="1:5" hidden="1" x14ac:dyDescent="0.3">
      <c r="A9001" t="s">
        <v>557</v>
      </c>
      <c r="B9001" t="s">
        <v>736</v>
      </c>
      <c r="C9001" t="s">
        <v>673</v>
      </c>
      <c r="D9001" s="230">
        <v>0</v>
      </c>
      <c r="E9001" t="s">
        <v>737</v>
      </c>
    </row>
    <row r="9002" spans="1:5" hidden="1" x14ac:dyDescent="0.3">
      <c r="A9002" t="s">
        <v>557</v>
      </c>
      <c r="B9002" t="s">
        <v>736</v>
      </c>
      <c r="C9002" t="s">
        <v>674</v>
      </c>
      <c r="D9002" s="230">
        <v>0</v>
      </c>
      <c r="E9002" t="s">
        <v>737</v>
      </c>
    </row>
    <row r="9003" spans="1:5" hidden="1" x14ac:dyDescent="0.3">
      <c r="A9003" t="s">
        <v>557</v>
      </c>
      <c r="B9003" t="s">
        <v>736</v>
      </c>
      <c r="C9003" t="s">
        <v>675</v>
      </c>
      <c r="D9003" s="230">
        <v>0</v>
      </c>
      <c r="E9003" t="s">
        <v>737</v>
      </c>
    </row>
    <row r="9004" spans="1:5" hidden="1" x14ac:dyDescent="0.3">
      <c r="A9004" t="s">
        <v>557</v>
      </c>
      <c r="B9004" t="s">
        <v>736</v>
      </c>
      <c r="C9004" t="s">
        <v>676</v>
      </c>
      <c r="D9004" s="230">
        <v>0</v>
      </c>
      <c r="E9004" t="s">
        <v>737</v>
      </c>
    </row>
    <row r="9005" spans="1:5" hidden="1" x14ac:dyDescent="0.3">
      <c r="A9005" t="s">
        <v>557</v>
      </c>
      <c r="B9005" t="s">
        <v>736</v>
      </c>
      <c r="C9005" t="s">
        <v>677</v>
      </c>
      <c r="D9005" s="230">
        <v>0</v>
      </c>
      <c r="E9005" t="s">
        <v>737</v>
      </c>
    </row>
    <row r="9006" spans="1:5" hidden="1" x14ac:dyDescent="0.3">
      <c r="A9006" t="s">
        <v>557</v>
      </c>
      <c r="B9006" t="s">
        <v>736</v>
      </c>
      <c r="C9006" t="s">
        <v>201</v>
      </c>
      <c r="D9006" s="230">
        <v>-11885.5</v>
      </c>
      <c r="E9006" t="s">
        <v>737</v>
      </c>
    </row>
    <row r="9007" spans="1:5" hidden="1" x14ac:dyDescent="0.3">
      <c r="A9007" t="s">
        <v>557</v>
      </c>
      <c r="B9007" t="s">
        <v>736</v>
      </c>
      <c r="C9007" t="s">
        <v>203</v>
      </c>
      <c r="D9007" s="230">
        <v>-11885.5</v>
      </c>
      <c r="E9007" t="s">
        <v>737</v>
      </c>
    </row>
    <row r="9008" spans="1:5" hidden="1" x14ac:dyDescent="0.3">
      <c r="A9008" t="s">
        <v>557</v>
      </c>
      <c r="B9008" t="s">
        <v>736</v>
      </c>
      <c r="C9008" t="s">
        <v>678</v>
      </c>
      <c r="D9008" s="230">
        <v>5942.75</v>
      </c>
      <c r="E9008" t="s">
        <v>737</v>
      </c>
    </row>
    <row r="9009" spans="1:5" hidden="1" x14ac:dyDescent="0.3">
      <c r="A9009" t="s">
        <v>557</v>
      </c>
      <c r="B9009" t="s">
        <v>736</v>
      </c>
      <c r="C9009" t="s">
        <v>205</v>
      </c>
      <c r="D9009" s="230">
        <v>-15065.87</v>
      </c>
      <c r="E9009" t="s">
        <v>737</v>
      </c>
    </row>
    <row r="9010" spans="1:5" hidden="1" x14ac:dyDescent="0.3">
      <c r="A9010" t="s">
        <v>557</v>
      </c>
      <c r="B9010" t="s">
        <v>736</v>
      </c>
      <c r="C9010" t="s">
        <v>679</v>
      </c>
      <c r="D9010" s="230">
        <v>-4421.7</v>
      </c>
      <c r="E9010" t="s">
        <v>737</v>
      </c>
    </row>
    <row r="9011" spans="1:5" hidden="1" x14ac:dyDescent="0.3">
      <c r="A9011" t="s">
        <v>557</v>
      </c>
      <c r="B9011" t="s">
        <v>736</v>
      </c>
      <c r="C9011" t="s">
        <v>680</v>
      </c>
      <c r="D9011" s="230">
        <v>0</v>
      </c>
      <c r="E9011" t="s">
        <v>737</v>
      </c>
    </row>
    <row r="9012" spans="1:5" hidden="1" x14ac:dyDescent="0.3">
      <c r="A9012" t="s">
        <v>557</v>
      </c>
      <c r="B9012" t="s">
        <v>736</v>
      </c>
      <c r="C9012" t="s">
        <v>681</v>
      </c>
      <c r="D9012" s="230">
        <v>-5133.45</v>
      </c>
      <c r="E9012" t="s">
        <v>737</v>
      </c>
    </row>
    <row r="9013" spans="1:5" hidden="1" x14ac:dyDescent="0.3">
      <c r="A9013" t="s">
        <v>557</v>
      </c>
      <c r="B9013" t="s">
        <v>736</v>
      </c>
      <c r="C9013" t="s">
        <v>682</v>
      </c>
      <c r="D9013" s="230">
        <v>-2667.27</v>
      </c>
      <c r="E9013" t="s">
        <v>737</v>
      </c>
    </row>
    <row r="9014" spans="1:5" hidden="1" x14ac:dyDescent="0.3">
      <c r="A9014" t="s">
        <v>557</v>
      </c>
      <c r="B9014" t="s">
        <v>736</v>
      </c>
      <c r="C9014" t="s">
        <v>683</v>
      </c>
      <c r="D9014" s="230">
        <v>0</v>
      </c>
      <c r="E9014" t="s">
        <v>737</v>
      </c>
    </row>
    <row r="9015" spans="1:5" hidden="1" x14ac:dyDescent="0.3">
      <c r="A9015" t="s">
        <v>557</v>
      </c>
      <c r="B9015" t="s">
        <v>736</v>
      </c>
      <c r="C9015" t="s">
        <v>684</v>
      </c>
      <c r="D9015" s="230">
        <v>0</v>
      </c>
      <c r="E9015" t="s">
        <v>737</v>
      </c>
    </row>
    <row r="9016" spans="1:5" hidden="1" x14ac:dyDescent="0.3">
      <c r="A9016" t="s">
        <v>557</v>
      </c>
      <c r="B9016" t="s">
        <v>736</v>
      </c>
      <c r="C9016" t="s">
        <v>685</v>
      </c>
      <c r="D9016" s="230">
        <v>0</v>
      </c>
      <c r="E9016" t="s">
        <v>737</v>
      </c>
    </row>
    <row r="9017" spans="1:5" hidden="1" x14ac:dyDescent="0.3">
      <c r="A9017" t="s">
        <v>557</v>
      </c>
      <c r="B9017" t="s">
        <v>736</v>
      </c>
      <c r="C9017" t="s">
        <v>686</v>
      </c>
      <c r="D9017" s="230">
        <v>-293.39999999999998</v>
      </c>
      <c r="E9017" t="s">
        <v>737</v>
      </c>
    </row>
    <row r="9018" spans="1:5" hidden="1" x14ac:dyDescent="0.3">
      <c r="A9018" t="s">
        <v>557</v>
      </c>
      <c r="B9018" t="s">
        <v>736</v>
      </c>
      <c r="C9018" t="s">
        <v>687</v>
      </c>
      <c r="D9018" s="230">
        <v>0</v>
      </c>
      <c r="E9018" t="s">
        <v>737</v>
      </c>
    </row>
    <row r="9019" spans="1:5" hidden="1" x14ac:dyDescent="0.3">
      <c r="A9019" t="s">
        <v>557</v>
      </c>
      <c r="B9019" t="s">
        <v>736</v>
      </c>
      <c r="C9019" t="s">
        <v>688</v>
      </c>
      <c r="D9019" s="230">
        <v>-1489.16</v>
      </c>
      <c r="E9019" t="s">
        <v>737</v>
      </c>
    </row>
    <row r="9020" spans="1:5" hidden="1" x14ac:dyDescent="0.3">
      <c r="A9020" t="s">
        <v>557</v>
      </c>
      <c r="B9020" t="s">
        <v>736</v>
      </c>
      <c r="C9020" t="s">
        <v>689</v>
      </c>
      <c r="D9020" s="230">
        <v>-193.73</v>
      </c>
      <c r="E9020" t="s">
        <v>737</v>
      </c>
    </row>
    <row r="9021" spans="1:5" hidden="1" x14ac:dyDescent="0.3">
      <c r="A9021" t="s">
        <v>557</v>
      </c>
      <c r="B9021" t="s">
        <v>736</v>
      </c>
      <c r="C9021" t="s">
        <v>690</v>
      </c>
      <c r="D9021" s="230">
        <v>0</v>
      </c>
      <c r="E9021" t="s">
        <v>737</v>
      </c>
    </row>
    <row r="9022" spans="1:5" hidden="1" x14ac:dyDescent="0.3">
      <c r="A9022" t="s">
        <v>557</v>
      </c>
      <c r="B9022" t="s">
        <v>736</v>
      </c>
      <c r="C9022" t="s">
        <v>691</v>
      </c>
      <c r="D9022" s="230">
        <v>0</v>
      </c>
      <c r="E9022" t="s">
        <v>737</v>
      </c>
    </row>
    <row r="9023" spans="1:5" hidden="1" x14ac:dyDescent="0.3">
      <c r="A9023" t="s">
        <v>557</v>
      </c>
      <c r="B9023" t="s">
        <v>736</v>
      </c>
      <c r="C9023" t="s">
        <v>692</v>
      </c>
      <c r="D9023" s="230">
        <v>-867.16</v>
      </c>
      <c r="E9023" t="s">
        <v>737</v>
      </c>
    </row>
    <row r="9024" spans="1:5" hidden="1" x14ac:dyDescent="0.3">
      <c r="A9024" t="s">
        <v>557</v>
      </c>
      <c r="B9024" t="s">
        <v>736</v>
      </c>
      <c r="C9024" t="s">
        <v>693</v>
      </c>
      <c r="D9024" s="230">
        <v>0</v>
      </c>
      <c r="E9024" t="s">
        <v>737</v>
      </c>
    </row>
    <row r="9025" spans="1:5" hidden="1" x14ac:dyDescent="0.3">
      <c r="A9025" t="s">
        <v>557</v>
      </c>
      <c r="B9025" t="s">
        <v>736</v>
      </c>
      <c r="C9025" t="s">
        <v>694</v>
      </c>
      <c r="D9025" s="230">
        <v>0</v>
      </c>
      <c r="E9025" t="s">
        <v>737</v>
      </c>
    </row>
    <row r="9026" spans="1:5" hidden="1" x14ac:dyDescent="0.3">
      <c r="A9026" t="s">
        <v>557</v>
      </c>
      <c r="B9026" t="s">
        <v>736</v>
      </c>
      <c r="C9026" t="s">
        <v>238</v>
      </c>
      <c r="D9026" s="230">
        <v>-7662.43</v>
      </c>
      <c r="E9026" t="s">
        <v>737</v>
      </c>
    </row>
    <row r="9027" spans="1:5" hidden="1" x14ac:dyDescent="0.3">
      <c r="A9027" t="s">
        <v>557</v>
      </c>
      <c r="B9027" t="s">
        <v>736</v>
      </c>
      <c r="C9027" t="s">
        <v>695</v>
      </c>
      <c r="D9027" s="230">
        <v>-6004.48</v>
      </c>
      <c r="E9027" t="s">
        <v>737</v>
      </c>
    </row>
    <row r="9028" spans="1:5" hidden="1" x14ac:dyDescent="0.3">
      <c r="A9028" t="s">
        <v>557</v>
      </c>
      <c r="B9028" t="s">
        <v>736</v>
      </c>
      <c r="C9028" t="s">
        <v>696</v>
      </c>
      <c r="D9028" s="230">
        <v>-1457.18</v>
      </c>
      <c r="E9028" t="s">
        <v>737</v>
      </c>
    </row>
    <row r="9029" spans="1:5" hidden="1" x14ac:dyDescent="0.3">
      <c r="A9029" t="s">
        <v>557</v>
      </c>
      <c r="B9029" t="s">
        <v>736</v>
      </c>
      <c r="C9029" t="s">
        <v>697</v>
      </c>
      <c r="D9029" s="230">
        <v>0</v>
      </c>
      <c r="E9029" t="s">
        <v>737</v>
      </c>
    </row>
    <row r="9030" spans="1:5" hidden="1" x14ac:dyDescent="0.3">
      <c r="A9030" t="s">
        <v>557</v>
      </c>
      <c r="B9030" t="s">
        <v>736</v>
      </c>
      <c r="C9030" t="s">
        <v>698</v>
      </c>
      <c r="D9030" s="230">
        <v>-200.77</v>
      </c>
      <c r="E9030" t="s">
        <v>737</v>
      </c>
    </row>
    <row r="9031" spans="1:5" hidden="1" x14ac:dyDescent="0.3">
      <c r="A9031" t="s">
        <v>557</v>
      </c>
      <c r="B9031" t="s">
        <v>736</v>
      </c>
      <c r="C9031" t="s">
        <v>699</v>
      </c>
      <c r="D9031" s="230">
        <v>0</v>
      </c>
      <c r="E9031" t="s">
        <v>737</v>
      </c>
    </row>
    <row r="9032" spans="1:5" hidden="1" x14ac:dyDescent="0.3">
      <c r="A9032" t="s">
        <v>557</v>
      </c>
      <c r="B9032" t="s">
        <v>736</v>
      </c>
      <c r="C9032" t="s">
        <v>245</v>
      </c>
      <c r="D9032" s="230">
        <v>-16020.22</v>
      </c>
      <c r="E9032" t="s">
        <v>737</v>
      </c>
    </row>
    <row r="9033" spans="1:5" hidden="1" x14ac:dyDescent="0.3">
      <c r="A9033" t="s">
        <v>557</v>
      </c>
      <c r="B9033" t="s">
        <v>736</v>
      </c>
      <c r="C9033" t="s">
        <v>700</v>
      </c>
      <c r="D9033" s="230">
        <v>-1091.49</v>
      </c>
      <c r="E9033" t="s">
        <v>737</v>
      </c>
    </row>
    <row r="9034" spans="1:5" hidden="1" x14ac:dyDescent="0.3">
      <c r="A9034" t="s">
        <v>557</v>
      </c>
      <c r="B9034" t="s">
        <v>736</v>
      </c>
      <c r="C9034" t="s">
        <v>701</v>
      </c>
      <c r="D9034" s="230">
        <v>-346.93</v>
      </c>
      <c r="E9034" t="s">
        <v>737</v>
      </c>
    </row>
    <row r="9035" spans="1:5" hidden="1" x14ac:dyDescent="0.3">
      <c r="A9035" t="s">
        <v>557</v>
      </c>
      <c r="B9035" t="s">
        <v>736</v>
      </c>
      <c r="C9035" t="s">
        <v>702</v>
      </c>
      <c r="D9035" s="230">
        <v>0</v>
      </c>
      <c r="E9035" t="s">
        <v>737</v>
      </c>
    </row>
    <row r="9036" spans="1:5" hidden="1" x14ac:dyDescent="0.3">
      <c r="A9036" t="s">
        <v>557</v>
      </c>
      <c r="B9036" t="s">
        <v>736</v>
      </c>
      <c r="C9036" t="s">
        <v>703</v>
      </c>
      <c r="D9036" s="230">
        <v>-2700</v>
      </c>
      <c r="E9036" t="s">
        <v>737</v>
      </c>
    </row>
    <row r="9037" spans="1:5" hidden="1" x14ac:dyDescent="0.3">
      <c r="A9037" t="s">
        <v>557</v>
      </c>
      <c r="B9037" t="s">
        <v>736</v>
      </c>
      <c r="C9037" t="s">
        <v>704</v>
      </c>
      <c r="D9037" s="230">
        <v>0</v>
      </c>
      <c r="E9037" t="s">
        <v>737</v>
      </c>
    </row>
    <row r="9038" spans="1:5" hidden="1" x14ac:dyDescent="0.3">
      <c r="A9038" t="s">
        <v>557</v>
      </c>
      <c r="B9038" t="s">
        <v>736</v>
      </c>
      <c r="C9038" t="s">
        <v>705</v>
      </c>
      <c r="D9038" s="230">
        <v>-11881.8</v>
      </c>
      <c r="E9038" t="s">
        <v>737</v>
      </c>
    </row>
    <row r="9039" spans="1:5" hidden="1" x14ac:dyDescent="0.3">
      <c r="A9039" t="s">
        <v>557</v>
      </c>
      <c r="B9039" t="s">
        <v>736</v>
      </c>
      <c r="C9039" t="s">
        <v>706</v>
      </c>
      <c r="D9039" s="230">
        <v>0</v>
      </c>
      <c r="E9039" t="s">
        <v>737</v>
      </c>
    </row>
    <row r="9040" spans="1:5" hidden="1" x14ac:dyDescent="0.3">
      <c r="A9040" t="s">
        <v>557</v>
      </c>
      <c r="B9040" t="s">
        <v>736</v>
      </c>
      <c r="C9040" t="s">
        <v>254</v>
      </c>
      <c r="D9040" s="230">
        <v>-0.3</v>
      </c>
      <c r="E9040" t="s">
        <v>737</v>
      </c>
    </row>
    <row r="9041" spans="1:5" hidden="1" x14ac:dyDescent="0.3">
      <c r="A9041" t="s">
        <v>557</v>
      </c>
      <c r="B9041" t="s">
        <v>736</v>
      </c>
      <c r="C9041" t="s">
        <v>255</v>
      </c>
      <c r="D9041" s="230">
        <v>-0.19</v>
      </c>
      <c r="E9041" t="s">
        <v>737</v>
      </c>
    </row>
    <row r="9042" spans="1:5" hidden="1" x14ac:dyDescent="0.3">
      <c r="A9042" t="s">
        <v>557</v>
      </c>
      <c r="B9042" t="s">
        <v>736</v>
      </c>
      <c r="C9042" t="s">
        <v>256</v>
      </c>
      <c r="D9042" s="230">
        <v>-51438.17</v>
      </c>
      <c r="E9042" t="s">
        <v>737</v>
      </c>
    </row>
    <row r="9043" spans="1:5" hidden="1" x14ac:dyDescent="0.3">
      <c r="A9043" t="s">
        <v>557</v>
      </c>
      <c r="B9043" t="s">
        <v>736</v>
      </c>
      <c r="C9043" t="s">
        <v>257</v>
      </c>
      <c r="D9043" s="230">
        <v>-49002</v>
      </c>
      <c r="E9043" t="s">
        <v>737</v>
      </c>
    </row>
    <row r="9044" spans="1:5" hidden="1" x14ac:dyDescent="0.3">
      <c r="A9044" t="s">
        <v>557</v>
      </c>
      <c r="B9044" t="s">
        <v>736</v>
      </c>
      <c r="C9044" t="s">
        <v>258</v>
      </c>
      <c r="D9044" s="230">
        <v>0</v>
      </c>
      <c r="E9044" t="s">
        <v>737</v>
      </c>
    </row>
    <row r="9045" spans="1:5" hidden="1" x14ac:dyDescent="0.3">
      <c r="A9045" t="s">
        <v>557</v>
      </c>
      <c r="B9045" t="s">
        <v>736</v>
      </c>
      <c r="C9045" t="s">
        <v>259</v>
      </c>
      <c r="D9045" s="230">
        <v>-2436.17</v>
      </c>
      <c r="E9045" t="s">
        <v>737</v>
      </c>
    </row>
    <row r="9046" spans="1:5" hidden="1" x14ac:dyDescent="0.3">
      <c r="A9046" t="s">
        <v>557</v>
      </c>
      <c r="B9046" t="s">
        <v>736</v>
      </c>
      <c r="C9046" t="s">
        <v>260</v>
      </c>
      <c r="D9046" s="230">
        <v>0</v>
      </c>
      <c r="E9046" t="s">
        <v>737</v>
      </c>
    </row>
    <row r="9047" spans="1:5" hidden="1" x14ac:dyDescent="0.3">
      <c r="A9047" t="s">
        <v>557</v>
      </c>
      <c r="B9047" t="s">
        <v>736</v>
      </c>
      <c r="C9047" t="s">
        <v>261</v>
      </c>
      <c r="D9047" s="230">
        <v>0</v>
      </c>
      <c r="E9047" t="s">
        <v>737</v>
      </c>
    </row>
    <row r="9048" spans="1:5" hidden="1" x14ac:dyDescent="0.3">
      <c r="A9048" t="s">
        <v>557</v>
      </c>
      <c r="B9048" t="s">
        <v>736</v>
      </c>
      <c r="C9048" t="s">
        <v>262</v>
      </c>
      <c r="D9048" s="230">
        <v>0</v>
      </c>
      <c r="E9048" t="s">
        <v>737</v>
      </c>
    </row>
    <row r="9049" spans="1:5" hidden="1" x14ac:dyDescent="0.3">
      <c r="A9049" t="s">
        <v>557</v>
      </c>
      <c r="B9049" t="s">
        <v>736</v>
      </c>
      <c r="C9049" t="s">
        <v>263</v>
      </c>
      <c r="D9049" s="230">
        <v>0</v>
      </c>
      <c r="E9049" t="s">
        <v>737</v>
      </c>
    </row>
    <row r="9050" spans="1:5" hidden="1" x14ac:dyDescent="0.3">
      <c r="A9050" t="s">
        <v>557</v>
      </c>
      <c r="B9050" t="s">
        <v>736</v>
      </c>
      <c r="C9050" t="s">
        <v>44</v>
      </c>
      <c r="D9050" s="230">
        <v>-0.12</v>
      </c>
      <c r="E9050" t="s">
        <v>737</v>
      </c>
    </row>
    <row r="9051" spans="1:5" hidden="1" x14ac:dyDescent="0.3">
      <c r="A9051" t="s">
        <v>557</v>
      </c>
      <c r="B9051" t="s">
        <v>736</v>
      </c>
      <c r="C9051" t="s">
        <v>264</v>
      </c>
      <c r="D9051" s="230">
        <v>-38943.480000000003</v>
      </c>
      <c r="E9051" t="s">
        <v>737</v>
      </c>
    </row>
    <row r="9052" spans="1:5" hidden="1" x14ac:dyDescent="0.3">
      <c r="A9052" t="s">
        <v>557</v>
      </c>
      <c r="B9052" t="s">
        <v>736</v>
      </c>
      <c r="C9052" t="s">
        <v>265</v>
      </c>
      <c r="D9052" s="230">
        <v>-5826.63</v>
      </c>
      <c r="E9052" t="s">
        <v>737</v>
      </c>
    </row>
    <row r="9053" spans="1:5" hidden="1" x14ac:dyDescent="0.3">
      <c r="A9053" t="s">
        <v>557</v>
      </c>
      <c r="B9053" t="s">
        <v>736</v>
      </c>
      <c r="C9053" t="s">
        <v>266</v>
      </c>
      <c r="D9053" s="230">
        <v>-15133.43</v>
      </c>
      <c r="E9053" t="s">
        <v>737</v>
      </c>
    </row>
    <row r="9054" spans="1:5" hidden="1" x14ac:dyDescent="0.3">
      <c r="A9054" t="s">
        <v>557</v>
      </c>
      <c r="B9054" t="s">
        <v>736</v>
      </c>
      <c r="C9054" t="s">
        <v>267</v>
      </c>
      <c r="D9054" s="230">
        <v>-4959.13</v>
      </c>
      <c r="E9054" t="s">
        <v>737</v>
      </c>
    </row>
    <row r="9055" spans="1:5" hidden="1" x14ac:dyDescent="0.3">
      <c r="A9055" t="s">
        <v>557</v>
      </c>
      <c r="B9055" t="s">
        <v>736</v>
      </c>
      <c r="C9055" t="s">
        <v>268</v>
      </c>
      <c r="D9055" s="230">
        <v>-5359.78</v>
      </c>
      <c r="E9055" t="s">
        <v>737</v>
      </c>
    </row>
    <row r="9056" spans="1:5" hidden="1" x14ac:dyDescent="0.3">
      <c r="A9056" t="s">
        <v>557</v>
      </c>
      <c r="B9056" t="s">
        <v>736</v>
      </c>
      <c r="C9056" t="s">
        <v>269</v>
      </c>
      <c r="D9056" s="230">
        <v>0</v>
      </c>
      <c r="E9056" t="s">
        <v>737</v>
      </c>
    </row>
    <row r="9057" spans="1:5" hidden="1" x14ac:dyDescent="0.3">
      <c r="A9057" t="s">
        <v>557</v>
      </c>
      <c r="B9057" t="s">
        <v>736</v>
      </c>
      <c r="C9057" t="s">
        <v>270</v>
      </c>
      <c r="D9057" s="230">
        <v>-550</v>
      </c>
      <c r="E9057" t="s">
        <v>737</v>
      </c>
    </row>
    <row r="9058" spans="1:5" hidden="1" x14ac:dyDescent="0.3">
      <c r="A9058" t="s">
        <v>557</v>
      </c>
      <c r="B9058" t="s">
        <v>736</v>
      </c>
      <c r="C9058" t="s">
        <v>271</v>
      </c>
      <c r="D9058" s="230">
        <v>-1092.97</v>
      </c>
      <c r="E9058" t="s">
        <v>737</v>
      </c>
    </row>
    <row r="9059" spans="1:5" hidden="1" x14ac:dyDescent="0.3">
      <c r="A9059" t="s">
        <v>557</v>
      </c>
      <c r="B9059" t="s">
        <v>736</v>
      </c>
      <c r="C9059" t="s">
        <v>272</v>
      </c>
      <c r="D9059" s="230">
        <v>-690.6</v>
      </c>
      <c r="E9059" t="s">
        <v>737</v>
      </c>
    </row>
    <row r="9060" spans="1:5" hidden="1" x14ac:dyDescent="0.3">
      <c r="A9060" t="s">
        <v>557</v>
      </c>
      <c r="B9060" t="s">
        <v>736</v>
      </c>
      <c r="C9060" t="s">
        <v>273</v>
      </c>
      <c r="D9060" s="230">
        <v>0</v>
      </c>
      <c r="E9060" t="s">
        <v>737</v>
      </c>
    </row>
    <row r="9061" spans="1:5" hidden="1" x14ac:dyDescent="0.3">
      <c r="A9061" t="s">
        <v>557</v>
      </c>
      <c r="B9061" t="s">
        <v>736</v>
      </c>
      <c r="C9061" t="s">
        <v>274</v>
      </c>
      <c r="D9061" s="230">
        <v>0</v>
      </c>
      <c r="E9061" t="s">
        <v>737</v>
      </c>
    </row>
    <row r="9062" spans="1:5" hidden="1" x14ac:dyDescent="0.3">
      <c r="A9062" t="s">
        <v>557</v>
      </c>
      <c r="B9062" t="s">
        <v>736</v>
      </c>
      <c r="C9062" t="s">
        <v>275</v>
      </c>
      <c r="D9062" s="230">
        <v>-877.33</v>
      </c>
      <c r="E9062" t="s">
        <v>737</v>
      </c>
    </row>
    <row r="9063" spans="1:5" hidden="1" x14ac:dyDescent="0.3">
      <c r="A9063" t="s">
        <v>557</v>
      </c>
      <c r="B9063" t="s">
        <v>736</v>
      </c>
      <c r="C9063" t="s">
        <v>276</v>
      </c>
      <c r="D9063" s="230">
        <v>-1638.41</v>
      </c>
      <c r="E9063" t="s">
        <v>737</v>
      </c>
    </row>
    <row r="9064" spans="1:5" hidden="1" x14ac:dyDescent="0.3">
      <c r="A9064" t="s">
        <v>557</v>
      </c>
      <c r="B9064" t="s">
        <v>736</v>
      </c>
      <c r="C9064" t="s">
        <v>277</v>
      </c>
      <c r="D9064" s="230">
        <v>-545</v>
      </c>
      <c r="E9064" t="s">
        <v>737</v>
      </c>
    </row>
    <row r="9065" spans="1:5" hidden="1" x14ac:dyDescent="0.3">
      <c r="A9065" t="s">
        <v>557</v>
      </c>
      <c r="B9065" t="s">
        <v>736</v>
      </c>
      <c r="C9065" t="s">
        <v>278</v>
      </c>
      <c r="D9065" s="230">
        <v>-2270.1999999999998</v>
      </c>
      <c r="E9065" t="s">
        <v>737</v>
      </c>
    </row>
    <row r="9066" spans="1:5" hidden="1" x14ac:dyDescent="0.3">
      <c r="A9066" t="s">
        <v>557</v>
      </c>
      <c r="B9066" t="s">
        <v>736</v>
      </c>
      <c r="C9066" t="s">
        <v>44</v>
      </c>
      <c r="D9066" s="230">
        <v>-0.09</v>
      </c>
      <c r="E9066" t="s">
        <v>737</v>
      </c>
    </row>
    <row r="9067" spans="1:5" hidden="1" x14ac:dyDescent="0.3">
      <c r="A9067" t="s">
        <v>557</v>
      </c>
      <c r="B9067" t="s">
        <v>736</v>
      </c>
      <c r="C9067" t="s">
        <v>279</v>
      </c>
      <c r="D9067" s="230">
        <v>-6267.05</v>
      </c>
      <c r="E9067" t="s">
        <v>737</v>
      </c>
    </row>
    <row r="9068" spans="1:5" hidden="1" x14ac:dyDescent="0.3">
      <c r="A9068" t="s">
        <v>557</v>
      </c>
      <c r="B9068" t="s">
        <v>736</v>
      </c>
      <c r="C9068" t="s">
        <v>280</v>
      </c>
      <c r="D9068" s="230">
        <v>0</v>
      </c>
      <c r="E9068" t="s">
        <v>737</v>
      </c>
    </row>
    <row r="9069" spans="1:5" hidden="1" x14ac:dyDescent="0.3">
      <c r="A9069" t="s">
        <v>557</v>
      </c>
      <c r="B9069" t="s">
        <v>736</v>
      </c>
      <c r="C9069" t="s">
        <v>281</v>
      </c>
      <c r="D9069" s="230">
        <v>-712.01</v>
      </c>
      <c r="E9069" t="s">
        <v>737</v>
      </c>
    </row>
    <row r="9070" spans="1:5" hidden="1" x14ac:dyDescent="0.3">
      <c r="A9070" t="s">
        <v>557</v>
      </c>
      <c r="B9070" t="s">
        <v>736</v>
      </c>
      <c r="C9070" t="s">
        <v>282</v>
      </c>
      <c r="D9070" s="230">
        <v>-754.42</v>
      </c>
      <c r="E9070" t="s">
        <v>737</v>
      </c>
    </row>
    <row r="9071" spans="1:5" hidden="1" x14ac:dyDescent="0.3">
      <c r="A9071" t="s">
        <v>557</v>
      </c>
      <c r="B9071" t="s">
        <v>736</v>
      </c>
      <c r="C9071" t="s">
        <v>283</v>
      </c>
      <c r="D9071" s="230">
        <v>0</v>
      </c>
      <c r="E9071" t="s">
        <v>737</v>
      </c>
    </row>
    <row r="9072" spans="1:5" hidden="1" x14ac:dyDescent="0.3">
      <c r="A9072" t="s">
        <v>557</v>
      </c>
      <c r="B9072" t="s">
        <v>736</v>
      </c>
      <c r="C9072" t="s">
        <v>284</v>
      </c>
      <c r="D9072" s="230">
        <v>-3457.03</v>
      </c>
      <c r="E9072" t="s">
        <v>737</v>
      </c>
    </row>
    <row r="9073" spans="1:5" hidden="1" x14ac:dyDescent="0.3">
      <c r="A9073" t="s">
        <v>557</v>
      </c>
      <c r="B9073" t="s">
        <v>736</v>
      </c>
      <c r="C9073" t="s">
        <v>285</v>
      </c>
      <c r="D9073" s="230">
        <v>-389</v>
      </c>
      <c r="E9073" t="s">
        <v>737</v>
      </c>
    </row>
    <row r="9074" spans="1:5" hidden="1" x14ac:dyDescent="0.3">
      <c r="A9074" t="s">
        <v>557</v>
      </c>
      <c r="B9074" t="s">
        <v>736</v>
      </c>
      <c r="C9074" t="s">
        <v>286</v>
      </c>
      <c r="D9074" s="230">
        <v>-954.59</v>
      </c>
      <c r="E9074" t="s">
        <v>737</v>
      </c>
    </row>
    <row r="9075" spans="1:5" hidden="1" x14ac:dyDescent="0.3">
      <c r="A9075" t="s">
        <v>557</v>
      </c>
      <c r="B9075" t="s">
        <v>736</v>
      </c>
      <c r="C9075" t="s">
        <v>44</v>
      </c>
      <c r="D9075" s="230">
        <v>-0.01</v>
      </c>
      <c r="E9075" t="s">
        <v>737</v>
      </c>
    </row>
    <row r="9076" spans="1:5" hidden="1" x14ac:dyDescent="0.3">
      <c r="A9076" t="s">
        <v>557</v>
      </c>
      <c r="B9076" t="s">
        <v>736</v>
      </c>
      <c r="C9076" t="s">
        <v>287</v>
      </c>
      <c r="D9076" s="230">
        <v>-7258.51</v>
      </c>
      <c r="E9076" t="s">
        <v>737</v>
      </c>
    </row>
    <row r="9077" spans="1:5" hidden="1" x14ac:dyDescent="0.3">
      <c r="A9077" t="s">
        <v>557</v>
      </c>
      <c r="B9077" t="s">
        <v>736</v>
      </c>
      <c r="C9077" t="s">
        <v>288</v>
      </c>
      <c r="D9077" s="230">
        <v>-2500</v>
      </c>
      <c r="E9077" t="s">
        <v>737</v>
      </c>
    </row>
    <row r="9078" spans="1:5" hidden="1" x14ac:dyDescent="0.3">
      <c r="A9078" t="s">
        <v>557</v>
      </c>
      <c r="B9078" t="s">
        <v>736</v>
      </c>
      <c r="C9078" t="s">
        <v>289</v>
      </c>
      <c r="D9078" s="230">
        <v>0</v>
      </c>
      <c r="E9078" t="s">
        <v>737</v>
      </c>
    </row>
    <row r="9079" spans="1:5" hidden="1" x14ac:dyDescent="0.3">
      <c r="A9079" t="s">
        <v>557</v>
      </c>
      <c r="B9079" t="s">
        <v>736</v>
      </c>
      <c r="C9079" t="s">
        <v>290</v>
      </c>
      <c r="D9079" s="230">
        <v>0</v>
      </c>
      <c r="E9079" t="s">
        <v>737</v>
      </c>
    </row>
    <row r="9080" spans="1:5" hidden="1" x14ac:dyDescent="0.3">
      <c r="A9080" t="s">
        <v>557</v>
      </c>
      <c r="B9080" t="s">
        <v>736</v>
      </c>
      <c r="C9080" t="s">
        <v>291</v>
      </c>
      <c r="D9080" s="230">
        <v>-3641.27</v>
      </c>
      <c r="E9080" t="s">
        <v>737</v>
      </c>
    </row>
    <row r="9081" spans="1:5" hidden="1" x14ac:dyDescent="0.3">
      <c r="A9081" t="s">
        <v>557</v>
      </c>
      <c r="B9081" t="s">
        <v>736</v>
      </c>
      <c r="C9081" t="s">
        <v>292</v>
      </c>
      <c r="D9081" s="230">
        <v>0</v>
      </c>
      <c r="E9081" t="s">
        <v>737</v>
      </c>
    </row>
    <row r="9082" spans="1:5" hidden="1" x14ac:dyDescent="0.3">
      <c r="A9082" t="s">
        <v>557</v>
      </c>
      <c r="B9082" t="s">
        <v>736</v>
      </c>
      <c r="C9082" t="s">
        <v>293</v>
      </c>
      <c r="D9082" s="230">
        <v>-793.07</v>
      </c>
      <c r="E9082" t="s">
        <v>737</v>
      </c>
    </row>
    <row r="9083" spans="1:5" hidden="1" x14ac:dyDescent="0.3">
      <c r="A9083" t="s">
        <v>557</v>
      </c>
      <c r="B9083" t="s">
        <v>736</v>
      </c>
      <c r="C9083" t="s">
        <v>294</v>
      </c>
      <c r="D9083" s="230">
        <v>-324.17</v>
      </c>
      <c r="E9083" t="s">
        <v>737</v>
      </c>
    </row>
    <row r="9084" spans="1:5" hidden="1" x14ac:dyDescent="0.3">
      <c r="A9084" t="s">
        <v>557</v>
      </c>
      <c r="B9084" t="s">
        <v>736</v>
      </c>
      <c r="C9084" t="s">
        <v>295</v>
      </c>
      <c r="D9084" s="230">
        <v>0</v>
      </c>
      <c r="E9084" t="s">
        <v>737</v>
      </c>
    </row>
    <row r="9085" spans="1:5" hidden="1" x14ac:dyDescent="0.3">
      <c r="A9085" t="s">
        <v>557</v>
      </c>
      <c r="B9085" t="s">
        <v>736</v>
      </c>
      <c r="C9085" t="s">
        <v>44</v>
      </c>
      <c r="D9085" s="230">
        <v>-0.02</v>
      </c>
      <c r="E9085" t="s">
        <v>737</v>
      </c>
    </row>
    <row r="9086" spans="1:5" hidden="1" x14ac:dyDescent="0.3">
      <c r="A9086" t="s">
        <v>557</v>
      </c>
      <c r="B9086" t="s">
        <v>736</v>
      </c>
      <c r="C9086" t="s">
        <v>296</v>
      </c>
      <c r="D9086" s="230">
        <v>-8072.08</v>
      </c>
      <c r="E9086" t="s">
        <v>737</v>
      </c>
    </row>
    <row r="9087" spans="1:5" hidden="1" x14ac:dyDescent="0.3">
      <c r="A9087" t="s">
        <v>557</v>
      </c>
      <c r="B9087" t="s">
        <v>736</v>
      </c>
      <c r="C9087" t="s">
        <v>297</v>
      </c>
      <c r="D9087" s="230">
        <v>-4000</v>
      </c>
      <c r="E9087" t="s">
        <v>737</v>
      </c>
    </row>
    <row r="9088" spans="1:5" hidden="1" x14ac:dyDescent="0.3">
      <c r="A9088" t="s">
        <v>557</v>
      </c>
      <c r="B9088" t="s">
        <v>736</v>
      </c>
      <c r="C9088" t="s">
        <v>298</v>
      </c>
      <c r="D9088" s="230">
        <v>-460</v>
      </c>
      <c r="E9088" t="s">
        <v>737</v>
      </c>
    </row>
    <row r="9089" spans="1:5" hidden="1" x14ac:dyDescent="0.3">
      <c r="A9089" t="s">
        <v>557</v>
      </c>
      <c r="B9089" t="s">
        <v>736</v>
      </c>
      <c r="C9089" t="s">
        <v>299</v>
      </c>
      <c r="D9089" s="230">
        <v>0</v>
      </c>
      <c r="E9089" t="s">
        <v>737</v>
      </c>
    </row>
    <row r="9090" spans="1:5" hidden="1" x14ac:dyDescent="0.3">
      <c r="A9090" t="s">
        <v>557</v>
      </c>
      <c r="B9090" t="s">
        <v>736</v>
      </c>
      <c r="C9090" t="s">
        <v>300</v>
      </c>
      <c r="D9090" s="230">
        <v>0</v>
      </c>
      <c r="E9090" t="s">
        <v>737</v>
      </c>
    </row>
    <row r="9091" spans="1:5" hidden="1" x14ac:dyDescent="0.3">
      <c r="A9091" t="s">
        <v>557</v>
      </c>
      <c r="B9091" t="s">
        <v>736</v>
      </c>
      <c r="C9091" t="s">
        <v>301</v>
      </c>
      <c r="D9091" s="230">
        <v>-581.64</v>
      </c>
      <c r="E9091" t="s">
        <v>737</v>
      </c>
    </row>
    <row r="9092" spans="1:5" hidden="1" x14ac:dyDescent="0.3">
      <c r="A9092" t="s">
        <v>557</v>
      </c>
      <c r="B9092" t="s">
        <v>736</v>
      </c>
      <c r="C9092" t="s">
        <v>302</v>
      </c>
      <c r="D9092" s="230">
        <v>0</v>
      </c>
      <c r="E9092" t="s">
        <v>737</v>
      </c>
    </row>
    <row r="9093" spans="1:5" hidden="1" x14ac:dyDescent="0.3">
      <c r="A9093" t="s">
        <v>557</v>
      </c>
      <c r="B9093" t="s">
        <v>736</v>
      </c>
      <c r="C9093" t="s">
        <v>303</v>
      </c>
      <c r="D9093" s="230">
        <v>0</v>
      </c>
      <c r="E9093" t="s">
        <v>737</v>
      </c>
    </row>
    <row r="9094" spans="1:5" hidden="1" x14ac:dyDescent="0.3">
      <c r="A9094" t="s">
        <v>557</v>
      </c>
      <c r="B9094" t="s">
        <v>736</v>
      </c>
      <c r="C9094" t="s">
        <v>304</v>
      </c>
      <c r="D9094" s="230">
        <v>-2354.5</v>
      </c>
      <c r="E9094" t="s">
        <v>737</v>
      </c>
    </row>
    <row r="9095" spans="1:5" hidden="1" x14ac:dyDescent="0.3">
      <c r="A9095" t="s">
        <v>557</v>
      </c>
      <c r="B9095" t="s">
        <v>736</v>
      </c>
      <c r="C9095" t="s">
        <v>305</v>
      </c>
      <c r="D9095" s="230">
        <v>-675.94</v>
      </c>
      <c r="E9095" t="s">
        <v>737</v>
      </c>
    </row>
    <row r="9096" spans="1:5" hidden="1" x14ac:dyDescent="0.3">
      <c r="A9096" t="s">
        <v>557</v>
      </c>
      <c r="B9096" t="s">
        <v>736</v>
      </c>
      <c r="C9096" t="s">
        <v>306</v>
      </c>
      <c r="D9096" s="230">
        <v>0</v>
      </c>
      <c r="E9096" t="s">
        <v>737</v>
      </c>
    </row>
    <row r="9097" spans="1:5" hidden="1" x14ac:dyDescent="0.3">
      <c r="A9097" t="s">
        <v>557</v>
      </c>
      <c r="B9097" t="s">
        <v>736</v>
      </c>
      <c r="C9097" t="s">
        <v>307</v>
      </c>
      <c r="D9097" s="230">
        <v>0</v>
      </c>
      <c r="E9097" t="s">
        <v>737</v>
      </c>
    </row>
    <row r="9098" spans="1:5" hidden="1" x14ac:dyDescent="0.3">
      <c r="A9098" t="s">
        <v>557</v>
      </c>
      <c r="B9098" t="s">
        <v>736</v>
      </c>
      <c r="C9098" t="s">
        <v>44</v>
      </c>
      <c r="D9098" s="230">
        <v>-0.02</v>
      </c>
      <c r="E9098" t="s">
        <v>737</v>
      </c>
    </row>
    <row r="9099" spans="1:5" hidden="1" x14ac:dyDescent="0.3">
      <c r="A9099" t="s">
        <v>557</v>
      </c>
      <c r="B9099" t="s">
        <v>736</v>
      </c>
      <c r="C9099" t="s">
        <v>308</v>
      </c>
      <c r="D9099" s="230">
        <v>-3893.18</v>
      </c>
      <c r="E9099" t="s">
        <v>737</v>
      </c>
    </row>
    <row r="9100" spans="1:5" hidden="1" x14ac:dyDescent="0.3">
      <c r="A9100" t="s">
        <v>557</v>
      </c>
      <c r="B9100" t="s">
        <v>736</v>
      </c>
      <c r="C9100" t="s">
        <v>309</v>
      </c>
      <c r="D9100" s="230">
        <v>-3000</v>
      </c>
      <c r="E9100" t="s">
        <v>737</v>
      </c>
    </row>
    <row r="9101" spans="1:5" hidden="1" x14ac:dyDescent="0.3">
      <c r="A9101" t="s">
        <v>557</v>
      </c>
      <c r="B9101" t="s">
        <v>736</v>
      </c>
      <c r="C9101" t="s">
        <v>310</v>
      </c>
      <c r="D9101" s="230">
        <v>0</v>
      </c>
      <c r="E9101" t="s">
        <v>737</v>
      </c>
    </row>
    <row r="9102" spans="1:5" hidden="1" x14ac:dyDescent="0.3">
      <c r="A9102" t="s">
        <v>557</v>
      </c>
      <c r="B9102" t="s">
        <v>736</v>
      </c>
      <c r="C9102" t="s">
        <v>311</v>
      </c>
      <c r="D9102" s="230">
        <v>0</v>
      </c>
      <c r="E9102" t="s">
        <v>737</v>
      </c>
    </row>
    <row r="9103" spans="1:5" hidden="1" x14ac:dyDescent="0.3">
      <c r="A9103" t="s">
        <v>557</v>
      </c>
      <c r="B9103" t="s">
        <v>736</v>
      </c>
      <c r="C9103" t="s">
        <v>312</v>
      </c>
      <c r="D9103" s="230">
        <v>-185</v>
      </c>
      <c r="E9103" t="s">
        <v>737</v>
      </c>
    </row>
    <row r="9104" spans="1:5" hidden="1" x14ac:dyDescent="0.3">
      <c r="A9104" t="s">
        <v>557</v>
      </c>
      <c r="B9104" t="s">
        <v>736</v>
      </c>
      <c r="C9104" t="s">
        <v>313</v>
      </c>
      <c r="D9104" s="230">
        <v>0</v>
      </c>
      <c r="E9104" t="s">
        <v>737</v>
      </c>
    </row>
    <row r="9105" spans="1:5" hidden="1" x14ac:dyDescent="0.3">
      <c r="A9105" t="s">
        <v>557</v>
      </c>
      <c r="B9105" t="s">
        <v>736</v>
      </c>
      <c r="C9105" t="s">
        <v>314</v>
      </c>
      <c r="D9105" s="230">
        <v>-708.18</v>
      </c>
      <c r="E9105" t="s">
        <v>737</v>
      </c>
    </row>
    <row r="9106" spans="1:5" hidden="1" x14ac:dyDescent="0.3">
      <c r="A9106" t="s">
        <v>557</v>
      </c>
      <c r="B9106" t="s">
        <v>736</v>
      </c>
      <c r="C9106" t="s">
        <v>315</v>
      </c>
      <c r="D9106" s="230">
        <v>0</v>
      </c>
      <c r="E9106" t="s">
        <v>737</v>
      </c>
    </row>
    <row r="9107" spans="1:5" hidden="1" x14ac:dyDescent="0.3">
      <c r="A9107" t="s">
        <v>557</v>
      </c>
      <c r="B9107" t="s">
        <v>736</v>
      </c>
      <c r="C9107" t="s">
        <v>316</v>
      </c>
      <c r="D9107" s="230">
        <v>0</v>
      </c>
      <c r="E9107" t="s">
        <v>737</v>
      </c>
    </row>
    <row r="9108" spans="1:5" hidden="1" x14ac:dyDescent="0.3">
      <c r="A9108" t="s">
        <v>557</v>
      </c>
      <c r="B9108" t="s">
        <v>736</v>
      </c>
      <c r="C9108" t="s">
        <v>317</v>
      </c>
      <c r="D9108" s="230">
        <v>0</v>
      </c>
      <c r="E9108" t="s">
        <v>737</v>
      </c>
    </row>
    <row r="9109" spans="1:5" hidden="1" x14ac:dyDescent="0.3">
      <c r="A9109" t="s">
        <v>557</v>
      </c>
      <c r="B9109" t="s">
        <v>736</v>
      </c>
      <c r="C9109" t="s">
        <v>44</v>
      </c>
      <c r="D9109" s="230">
        <v>-0.01</v>
      </c>
      <c r="E9109" t="s">
        <v>737</v>
      </c>
    </row>
    <row r="9110" spans="1:5" hidden="1" x14ac:dyDescent="0.3">
      <c r="A9110" t="s">
        <v>557</v>
      </c>
      <c r="B9110" t="s">
        <v>736</v>
      </c>
      <c r="C9110" t="s">
        <v>318</v>
      </c>
      <c r="D9110" s="230">
        <v>-2446.61</v>
      </c>
      <c r="E9110" t="s">
        <v>737</v>
      </c>
    </row>
    <row r="9111" spans="1:5" hidden="1" x14ac:dyDescent="0.3">
      <c r="A9111" t="s">
        <v>557</v>
      </c>
      <c r="B9111" t="s">
        <v>736</v>
      </c>
      <c r="C9111" t="s">
        <v>319</v>
      </c>
      <c r="D9111" s="230">
        <v>-2086</v>
      </c>
      <c r="E9111" t="s">
        <v>737</v>
      </c>
    </row>
    <row r="9112" spans="1:5" hidden="1" x14ac:dyDescent="0.3">
      <c r="A9112" t="s">
        <v>557</v>
      </c>
      <c r="B9112" t="s">
        <v>736</v>
      </c>
      <c r="C9112" t="s">
        <v>320</v>
      </c>
      <c r="D9112" s="230">
        <v>-160.61000000000001</v>
      </c>
      <c r="E9112" t="s">
        <v>737</v>
      </c>
    </row>
    <row r="9113" spans="1:5" hidden="1" x14ac:dyDescent="0.3">
      <c r="A9113" t="s">
        <v>557</v>
      </c>
      <c r="B9113" t="s">
        <v>736</v>
      </c>
      <c r="C9113" t="s">
        <v>321</v>
      </c>
      <c r="D9113" s="230">
        <v>-200</v>
      </c>
      <c r="E9113" t="s">
        <v>737</v>
      </c>
    </row>
    <row r="9114" spans="1:5" hidden="1" x14ac:dyDescent="0.3">
      <c r="A9114" t="s">
        <v>557</v>
      </c>
      <c r="B9114" t="s">
        <v>736</v>
      </c>
      <c r="C9114" t="s">
        <v>322</v>
      </c>
      <c r="D9114" s="230">
        <v>0</v>
      </c>
      <c r="E9114" t="s">
        <v>737</v>
      </c>
    </row>
    <row r="9115" spans="1:5" hidden="1" x14ac:dyDescent="0.3">
      <c r="A9115" t="s">
        <v>557</v>
      </c>
      <c r="B9115" t="s">
        <v>736</v>
      </c>
      <c r="C9115" t="s">
        <v>44</v>
      </c>
      <c r="D9115" s="230">
        <v>-0.01</v>
      </c>
      <c r="E9115" t="s">
        <v>737</v>
      </c>
    </row>
    <row r="9116" spans="1:5" hidden="1" x14ac:dyDescent="0.3">
      <c r="A9116" t="s">
        <v>557</v>
      </c>
      <c r="B9116" t="s">
        <v>736</v>
      </c>
      <c r="C9116" t="s">
        <v>323</v>
      </c>
      <c r="D9116" s="230">
        <v>-21905.040000000001</v>
      </c>
      <c r="E9116" t="s">
        <v>737</v>
      </c>
    </row>
    <row r="9117" spans="1:5" hidden="1" x14ac:dyDescent="0.3">
      <c r="A9117" t="s">
        <v>557</v>
      </c>
      <c r="B9117" t="s">
        <v>736</v>
      </c>
      <c r="C9117" t="s">
        <v>324</v>
      </c>
      <c r="D9117" s="230">
        <v>0</v>
      </c>
      <c r="E9117" t="s">
        <v>737</v>
      </c>
    </row>
    <row r="9118" spans="1:5" hidden="1" x14ac:dyDescent="0.3">
      <c r="A9118" t="s">
        <v>557</v>
      </c>
      <c r="B9118" t="s">
        <v>736</v>
      </c>
      <c r="C9118" t="s">
        <v>325</v>
      </c>
      <c r="D9118" s="230">
        <v>0</v>
      </c>
      <c r="E9118" t="s">
        <v>737</v>
      </c>
    </row>
    <row r="9119" spans="1:5" hidden="1" x14ac:dyDescent="0.3">
      <c r="A9119" t="s">
        <v>557</v>
      </c>
      <c r="B9119" t="s">
        <v>736</v>
      </c>
      <c r="C9119" t="s">
        <v>326</v>
      </c>
      <c r="D9119" s="230">
        <v>-21905.040000000001</v>
      </c>
      <c r="E9119" t="s">
        <v>737</v>
      </c>
    </row>
    <row r="9120" spans="1:5" hidden="1" x14ac:dyDescent="0.3">
      <c r="A9120" t="s">
        <v>557</v>
      </c>
      <c r="B9120" t="s">
        <v>736</v>
      </c>
      <c r="C9120" t="s">
        <v>44</v>
      </c>
      <c r="D9120" s="230">
        <v>-0.05</v>
      </c>
      <c r="E9120" t="s">
        <v>737</v>
      </c>
    </row>
    <row r="9121" spans="1:5" hidden="1" x14ac:dyDescent="0.3">
      <c r="A9121" t="s">
        <v>557</v>
      </c>
      <c r="B9121" t="s">
        <v>736</v>
      </c>
      <c r="C9121" t="s">
        <v>328</v>
      </c>
      <c r="D9121" s="230">
        <v>-270019.06</v>
      </c>
      <c r="E9121" t="s">
        <v>737</v>
      </c>
    </row>
    <row r="9122" spans="1:5" hidden="1" x14ac:dyDescent="0.3">
      <c r="A9122" t="s">
        <v>557</v>
      </c>
      <c r="B9122" t="s">
        <v>736</v>
      </c>
      <c r="C9122" t="s">
        <v>44</v>
      </c>
      <c r="D9122" s="230">
        <v>-0.62</v>
      </c>
      <c r="E9122" t="s">
        <v>737</v>
      </c>
    </row>
    <row r="9123" spans="1:5" hidden="1" x14ac:dyDescent="0.3">
      <c r="A9123" t="s">
        <v>557</v>
      </c>
      <c r="B9123" t="s">
        <v>736</v>
      </c>
      <c r="C9123" t="s">
        <v>329</v>
      </c>
      <c r="D9123" s="230">
        <v>-52501.04</v>
      </c>
      <c r="E9123" t="s">
        <v>737</v>
      </c>
    </row>
    <row r="9124" spans="1:5" hidden="1" x14ac:dyDescent="0.3">
      <c r="A9124" t="s">
        <v>557</v>
      </c>
      <c r="B9124" t="s">
        <v>736</v>
      </c>
      <c r="C9124" t="s">
        <v>44</v>
      </c>
      <c r="D9124" s="230">
        <v>-0.12</v>
      </c>
      <c r="E9124" t="s">
        <v>737</v>
      </c>
    </row>
    <row r="9125" spans="1:5" hidden="1" x14ac:dyDescent="0.3">
      <c r="A9125" t="s">
        <v>557</v>
      </c>
      <c r="B9125" t="s">
        <v>736</v>
      </c>
      <c r="C9125" t="s">
        <v>330</v>
      </c>
      <c r="D9125" s="230">
        <v>0</v>
      </c>
      <c r="E9125" t="s">
        <v>737</v>
      </c>
    </row>
    <row r="9126" spans="1:5" hidden="1" x14ac:dyDescent="0.3">
      <c r="A9126" t="s">
        <v>557</v>
      </c>
      <c r="B9126" t="s">
        <v>736</v>
      </c>
      <c r="C9126" t="s">
        <v>332</v>
      </c>
      <c r="D9126" s="230">
        <v>-52501.04</v>
      </c>
      <c r="E9126" t="s">
        <v>737</v>
      </c>
    </row>
    <row r="9127" spans="1:5" hidden="1" x14ac:dyDescent="0.3">
      <c r="A9127" t="s">
        <v>557</v>
      </c>
      <c r="B9127" t="s">
        <v>736</v>
      </c>
      <c r="C9127" t="s">
        <v>333</v>
      </c>
      <c r="D9127" s="230">
        <v>5410.98</v>
      </c>
      <c r="E9127" t="s">
        <v>737</v>
      </c>
    </row>
    <row r="9128" spans="1:5" hidden="1" x14ac:dyDescent="0.3">
      <c r="A9128" t="s">
        <v>557</v>
      </c>
      <c r="B9128" t="s">
        <v>736</v>
      </c>
      <c r="C9128" t="s">
        <v>334</v>
      </c>
      <c r="D9128" s="230">
        <v>0</v>
      </c>
      <c r="E9128" t="s">
        <v>737</v>
      </c>
    </row>
    <row r="9129" spans="1:5" hidden="1" x14ac:dyDescent="0.3">
      <c r="A9129" t="s">
        <v>557</v>
      </c>
      <c r="B9129" t="s">
        <v>736</v>
      </c>
      <c r="C9129" t="s">
        <v>336</v>
      </c>
      <c r="D9129" s="230">
        <v>-720</v>
      </c>
      <c r="E9129" t="s">
        <v>737</v>
      </c>
    </row>
    <row r="9130" spans="1:5" hidden="1" x14ac:dyDescent="0.3">
      <c r="A9130" t="s">
        <v>557</v>
      </c>
      <c r="B9130" t="s">
        <v>736</v>
      </c>
      <c r="C9130" t="s">
        <v>338</v>
      </c>
      <c r="D9130" s="230">
        <v>-47810.06</v>
      </c>
      <c r="E9130" t="s">
        <v>737</v>
      </c>
    </row>
    <row r="9131" spans="1:5" hidden="1" x14ac:dyDescent="0.3">
      <c r="A9131" t="s">
        <v>557</v>
      </c>
      <c r="B9131" t="s">
        <v>736</v>
      </c>
      <c r="C9131" t="s">
        <v>339</v>
      </c>
      <c r="D9131" s="230">
        <v>-11882.57</v>
      </c>
      <c r="E9131" t="s">
        <v>737</v>
      </c>
    </row>
    <row r="9132" spans="1:5" hidden="1" x14ac:dyDescent="0.3">
      <c r="A9132" t="s">
        <v>557</v>
      </c>
      <c r="B9132" t="s">
        <v>736</v>
      </c>
      <c r="C9132" t="s">
        <v>342</v>
      </c>
      <c r="D9132" s="230">
        <v>0</v>
      </c>
      <c r="E9132" t="s">
        <v>737</v>
      </c>
    </row>
    <row r="9133" spans="1:5" hidden="1" x14ac:dyDescent="0.3">
      <c r="A9133" t="s">
        <v>557</v>
      </c>
      <c r="B9133" t="s">
        <v>736</v>
      </c>
      <c r="C9133" t="s">
        <v>344</v>
      </c>
      <c r="D9133" s="230">
        <v>-7418.05</v>
      </c>
      <c r="E9133" t="s">
        <v>737</v>
      </c>
    </row>
    <row r="9134" spans="1:5" hidden="1" x14ac:dyDescent="0.3">
      <c r="A9134" t="s">
        <v>557</v>
      </c>
      <c r="B9134" t="s">
        <v>736</v>
      </c>
      <c r="C9134" t="s">
        <v>345</v>
      </c>
      <c r="D9134" s="230">
        <v>0</v>
      </c>
      <c r="E9134" t="s">
        <v>737</v>
      </c>
    </row>
    <row r="9135" spans="1:5" hidden="1" x14ac:dyDescent="0.3">
      <c r="A9135" t="s">
        <v>557</v>
      </c>
      <c r="B9135" t="s">
        <v>736</v>
      </c>
      <c r="C9135" t="s">
        <v>346</v>
      </c>
      <c r="D9135" s="230">
        <v>-4464.5200000000004</v>
      </c>
      <c r="E9135" t="s">
        <v>737</v>
      </c>
    </row>
    <row r="9136" spans="1:5" hidden="1" x14ac:dyDescent="0.3">
      <c r="A9136" t="s">
        <v>557</v>
      </c>
      <c r="B9136" t="s">
        <v>736</v>
      </c>
      <c r="C9136" t="s">
        <v>347</v>
      </c>
      <c r="D9136" s="230">
        <v>-59692.63</v>
      </c>
      <c r="E9136" t="s">
        <v>737</v>
      </c>
    </row>
    <row r="9137" spans="1:5" hidden="1" x14ac:dyDescent="0.3">
      <c r="A9137" t="s">
        <v>557</v>
      </c>
      <c r="B9137" t="s">
        <v>736</v>
      </c>
      <c r="C9137" t="s">
        <v>44</v>
      </c>
      <c r="D9137" s="230">
        <v>-0.14000000000000001</v>
      </c>
      <c r="E9137" t="s">
        <v>737</v>
      </c>
    </row>
    <row r="9138" spans="1:5" hidden="1" x14ac:dyDescent="0.3">
      <c r="A9138" t="s">
        <v>557</v>
      </c>
      <c r="B9138" t="s">
        <v>736</v>
      </c>
      <c r="C9138" t="s">
        <v>348</v>
      </c>
      <c r="D9138" s="230">
        <v>-5000</v>
      </c>
      <c r="E9138" t="s">
        <v>737</v>
      </c>
    </row>
    <row r="9139" spans="1:5" hidden="1" x14ac:dyDescent="0.3">
      <c r="A9139" t="s">
        <v>557</v>
      </c>
      <c r="B9139" t="s">
        <v>736</v>
      </c>
      <c r="C9139" t="s">
        <v>707</v>
      </c>
      <c r="D9139" s="230">
        <v>0</v>
      </c>
      <c r="E9139" t="s">
        <v>737</v>
      </c>
    </row>
    <row r="9140" spans="1:5" hidden="1" x14ac:dyDescent="0.3">
      <c r="A9140" t="s">
        <v>557</v>
      </c>
      <c r="B9140" t="s">
        <v>736</v>
      </c>
      <c r="C9140" t="s">
        <v>350</v>
      </c>
      <c r="D9140" s="230">
        <v>-5000</v>
      </c>
      <c r="E9140" t="s">
        <v>737</v>
      </c>
    </row>
    <row r="9141" spans="1:5" hidden="1" x14ac:dyDescent="0.3">
      <c r="A9141" t="s">
        <v>557</v>
      </c>
      <c r="B9141" t="s">
        <v>736</v>
      </c>
      <c r="C9141" t="s">
        <v>351</v>
      </c>
      <c r="D9141" s="230">
        <v>0</v>
      </c>
      <c r="E9141" t="s">
        <v>737</v>
      </c>
    </row>
    <row r="9142" spans="1:5" hidden="1" x14ac:dyDescent="0.3">
      <c r="A9142" t="s">
        <v>557</v>
      </c>
      <c r="B9142" t="s">
        <v>736</v>
      </c>
      <c r="C9142" t="s">
        <v>352</v>
      </c>
      <c r="D9142" s="230">
        <v>0</v>
      </c>
      <c r="E9142" t="s">
        <v>737</v>
      </c>
    </row>
    <row r="9143" spans="1:5" hidden="1" x14ac:dyDescent="0.3">
      <c r="A9143" t="s">
        <v>557</v>
      </c>
      <c r="B9143" t="s">
        <v>736</v>
      </c>
      <c r="C9143" t="s">
        <v>353</v>
      </c>
      <c r="D9143" s="230">
        <v>0</v>
      </c>
      <c r="E9143" t="s">
        <v>737</v>
      </c>
    </row>
    <row r="9144" spans="1:5" hidden="1" x14ac:dyDescent="0.3">
      <c r="A9144" t="s">
        <v>557</v>
      </c>
      <c r="B9144" t="s">
        <v>736</v>
      </c>
      <c r="C9144" t="s">
        <v>354</v>
      </c>
      <c r="D9144" s="230">
        <v>0</v>
      </c>
      <c r="E9144" t="s">
        <v>737</v>
      </c>
    </row>
    <row r="9145" spans="1:5" hidden="1" x14ac:dyDescent="0.3">
      <c r="A9145" t="s">
        <v>557</v>
      </c>
      <c r="B9145" t="s">
        <v>736</v>
      </c>
      <c r="C9145" t="s">
        <v>355</v>
      </c>
      <c r="D9145" s="230">
        <v>0</v>
      </c>
      <c r="E9145" t="s">
        <v>737</v>
      </c>
    </row>
    <row r="9146" spans="1:5" hidden="1" x14ac:dyDescent="0.3">
      <c r="A9146" t="s">
        <v>557</v>
      </c>
      <c r="B9146" t="s">
        <v>736</v>
      </c>
      <c r="C9146" t="s">
        <v>356</v>
      </c>
      <c r="D9146" s="230">
        <v>0</v>
      </c>
      <c r="E9146" t="s">
        <v>737</v>
      </c>
    </row>
    <row r="9147" spans="1:5" hidden="1" x14ac:dyDescent="0.3">
      <c r="A9147" t="s">
        <v>557</v>
      </c>
      <c r="B9147" t="s">
        <v>736</v>
      </c>
      <c r="C9147" t="s">
        <v>357</v>
      </c>
      <c r="D9147" s="230">
        <v>0</v>
      </c>
      <c r="E9147" t="s">
        <v>737</v>
      </c>
    </row>
    <row r="9148" spans="1:5" hidden="1" x14ac:dyDescent="0.3">
      <c r="A9148" t="s">
        <v>557</v>
      </c>
      <c r="B9148" t="s">
        <v>736</v>
      </c>
      <c r="C9148" t="s">
        <v>358</v>
      </c>
      <c r="D9148" s="230">
        <v>0</v>
      </c>
      <c r="E9148" t="s">
        <v>737</v>
      </c>
    </row>
    <row r="9149" spans="1:5" hidden="1" x14ac:dyDescent="0.3">
      <c r="A9149" t="s">
        <v>557</v>
      </c>
      <c r="B9149" t="s">
        <v>736</v>
      </c>
      <c r="C9149" t="s">
        <v>359</v>
      </c>
      <c r="D9149" s="230">
        <v>0</v>
      </c>
      <c r="E9149" t="s">
        <v>737</v>
      </c>
    </row>
    <row r="9150" spans="1:5" hidden="1" x14ac:dyDescent="0.3">
      <c r="A9150" t="s">
        <v>557</v>
      </c>
      <c r="B9150" t="s">
        <v>736</v>
      </c>
      <c r="C9150" t="s">
        <v>360</v>
      </c>
      <c r="D9150" s="230">
        <v>0</v>
      </c>
      <c r="E9150" t="s">
        <v>737</v>
      </c>
    </row>
    <row r="9151" spans="1:5" hidden="1" x14ac:dyDescent="0.3">
      <c r="A9151" t="s">
        <v>557</v>
      </c>
      <c r="B9151" t="s">
        <v>736</v>
      </c>
      <c r="C9151" t="s">
        <v>361</v>
      </c>
      <c r="D9151" s="230">
        <v>0</v>
      </c>
      <c r="E9151" t="s">
        <v>737</v>
      </c>
    </row>
    <row r="9152" spans="1:5" hidden="1" x14ac:dyDescent="0.3">
      <c r="A9152" t="s">
        <v>557</v>
      </c>
      <c r="B9152" t="s">
        <v>736</v>
      </c>
      <c r="C9152" t="s">
        <v>362</v>
      </c>
      <c r="D9152" s="230">
        <v>0</v>
      </c>
      <c r="E9152" t="s">
        <v>737</v>
      </c>
    </row>
    <row r="9153" spans="1:5" hidden="1" x14ac:dyDescent="0.3">
      <c r="A9153" t="s">
        <v>557</v>
      </c>
      <c r="B9153" t="s">
        <v>736</v>
      </c>
      <c r="C9153" t="s">
        <v>363</v>
      </c>
      <c r="D9153" s="230">
        <v>0</v>
      </c>
      <c r="E9153" t="s">
        <v>737</v>
      </c>
    </row>
    <row r="9154" spans="1:5" hidden="1" x14ac:dyDescent="0.3">
      <c r="A9154" t="s">
        <v>557</v>
      </c>
      <c r="B9154" t="s">
        <v>736</v>
      </c>
      <c r="C9154" t="s">
        <v>364</v>
      </c>
      <c r="D9154" s="230">
        <v>0</v>
      </c>
      <c r="E9154" t="s">
        <v>737</v>
      </c>
    </row>
    <row r="9155" spans="1:5" hidden="1" x14ac:dyDescent="0.3">
      <c r="A9155" t="s">
        <v>557</v>
      </c>
      <c r="B9155" t="s">
        <v>736</v>
      </c>
      <c r="C9155" t="s">
        <v>365</v>
      </c>
      <c r="D9155" s="230">
        <v>-5360.3</v>
      </c>
      <c r="E9155" t="s">
        <v>737</v>
      </c>
    </row>
    <row r="9156" spans="1:5" hidden="1" x14ac:dyDescent="0.3">
      <c r="A9156" t="s">
        <v>557</v>
      </c>
      <c r="B9156" t="s">
        <v>736</v>
      </c>
      <c r="C9156" t="s">
        <v>366</v>
      </c>
      <c r="D9156" s="230">
        <v>0</v>
      </c>
      <c r="E9156" t="s">
        <v>737</v>
      </c>
    </row>
    <row r="9157" spans="1:5" hidden="1" x14ac:dyDescent="0.3">
      <c r="A9157" t="s">
        <v>557</v>
      </c>
      <c r="B9157" t="s">
        <v>736</v>
      </c>
      <c r="C9157" t="s">
        <v>367</v>
      </c>
      <c r="D9157" s="230">
        <v>0</v>
      </c>
      <c r="E9157" t="s">
        <v>737</v>
      </c>
    </row>
    <row r="9158" spans="1:5" hidden="1" x14ac:dyDescent="0.3">
      <c r="A9158" t="s">
        <v>557</v>
      </c>
      <c r="B9158" t="s">
        <v>736</v>
      </c>
      <c r="C9158" t="s">
        <v>368</v>
      </c>
      <c r="D9158" s="230">
        <v>-660.3</v>
      </c>
      <c r="E9158" t="s">
        <v>737</v>
      </c>
    </row>
    <row r="9159" spans="1:5" hidden="1" x14ac:dyDescent="0.3">
      <c r="A9159" t="s">
        <v>557</v>
      </c>
      <c r="B9159" t="s">
        <v>736</v>
      </c>
      <c r="C9159" t="s">
        <v>369</v>
      </c>
      <c r="D9159" s="230">
        <v>-4700</v>
      </c>
      <c r="E9159" t="s">
        <v>737</v>
      </c>
    </row>
    <row r="9160" spans="1:5" hidden="1" x14ac:dyDescent="0.3">
      <c r="A9160" t="s">
        <v>557</v>
      </c>
      <c r="B9160" t="s">
        <v>736</v>
      </c>
      <c r="C9160" t="s">
        <v>370</v>
      </c>
      <c r="D9160" s="230">
        <v>0</v>
      </c>
      <c r="E9160" t="s">
        <v>737</v>
      </c>
    </row>
    <row r="9161" spans="1:5" hidden="1" x14ac:dyDescent="0.3">
      <c r="A9161" t="s">
        <v>557</v>
      </c>
      <c r="B9161" t="s">
        <v>736</v>
      </c>
      <c r="C9161" t="s">
        <v>371</v>
      </c>
      <c r="D9161" s="230">
        <v>0</v>
      </c>
      <c r="E9161" t="s">
        <v>737</v>
      </c>
    </row>
    <row r="9162" spans="1:5" hidden="1" x14ac:dyDescent="0.3">
      <c r="A9162" t="s">
        <v>557</v>
      </c>
      <c r="B9162" t="s">
        <v>736</v>
      </c>
      <c r="C9162" t="s">
        <v>372</v>
      </c>
      <c r="D9162" s="230">
        <v>0</v>
      </c>
      <c r="E9162" t="s">
        <v>737</v>
      </c>
    </row>
    <row r="9163" spans="1:5" hidden="1" x14ac:dyDescent="0.3">
      <c r="A9163" t="s">
        <v>557</v>
      </c>
      <c r="B9163" t="s">
        <v>736</v>
      </c>
      <c r="C9163" t="s">
        <v>373</v>
      </c>
      <c r="D9163" s="230">
        <v>-10360.299999999999</v>
      </c>
      <c r="E9163" t="s">
        <v>737</v>
      </c>
    </row>
    <row r="9164" spans="1:5" hidden="1" x14ac:dyDescent="0.3">
      <c r="A9164" t="s">
        <v>557</v>
      </c>
      <c r="B9164" t="s">
        <v>736</v>
      </c>
      <c r="C9164" t="s">
        <v>374</v>
      </c>
      <c r="D9164" s="230">
        <v>-70052.929999999993</v>
      </c>
      <c r="E9164" t="s">
        <v>737</v>
      </c>
    </row>
    <row r="9165" spans="1:5" hidden="1" x14ac:dyDescent="0.3">
      <c r="A9165" t="s">
        <v>557</v>
      </c>
      <c r="B9165" t="s">
        <v>736</v>
      </c>
      <c r="C9165" t="s">
        <v>708</v>
      </c>
      <c r="D9165" s="230">
        <v>-70052.929999999993</v>
      </c>
      <c r="E9165" t="s">
        <v>737</v>
      </c>
    </row>
    <row r="9166" spans="1:5" hidden="1" x14ac:dyDescent="0.3">
      <c r="A9166" t="s">
        <v>557</v>
      </c>
      <c r="B9166" t="s">
        <v>738</v>
      </c>
      <c r="C9166" t="s">
        <v>11</v>
      </c>
      <c r="D9166" s="230">
        <v>417221.03</v>
      </c>
      <c r="E9166" t="s">
        <v>739</v>
      </c>
    </row>
    <row r="9167" spans="1:5" hidden="1" x14ac:dyDescent="0.3">
      <c r="A9167" t="s">
        <v>557</v>
      </c>
      <c r="B9167" t="s">
        <v>738</v>
      </c>
      <c r="C9167" t="s">
        <v>13</v>
      </c>
      <c r="D9167" s="230">
        <v>220424.3</v>
      </c>
      <c r="E9167" t="s">
        <v>739</v>
      </c>
    </row>
    <row r="9168" spans="1:5" hidden="1" x14ac:dyDescent="0.3">
      <c r="A9168" t="s">
        <v>557</v>
      </c>
      <c r="B9168" t="s">
        <v>738</v>
      </c>
      <c r="C9168" t="s">
        <v>16</v>
      </c>
      <c r="D9168" s="230">
        <v>100835.5</v>
      </c>
      <c r="E9168" t="s">
        <v>739</v>
      </c>
    </row>
    <row r="9169" spans="1:5" hidden="1" x14ac:dyDescent="0.3">
      <c r="A9169" t="s">
        <v>557</v>
      </c>
      <c r="B9169" t="s">
        <v>738</v>
      </c>
      <c r="C9169" t="s">
        <v>17</v>
      </c>
      <c r="D9169" s="230">
        <v>6200</v>
      </c>
      <c r="E9169" t="s">
        <v>739</v>
      </c>
    </row>
    <row r="9170" spans="1:5" hidden="1" x14ac:dyDescent="0.3">
      <c r="A9170" t="s">
        <v>557</v>
      </c>
      <c r="B9170" t="s">
        <v>738</v>
      </c>
      <c r="C9170" t="s">
        <v>18</v>
      </c>
      <c r="D9170" s="230">
        <v>0</v>
      </c>
      <c r="E9170" t="s">
        <v>739</v>
      </c>
    </row>
    <row r="9171" spans="1:5" hidden="1" x14ac:dyDescent="0.3">
      <c r="A9171" t="s">
        <v>557</v>
      </c>
      <c r="B9171" t="s">
        <v>738</v>
      </c>
      <c r="C9171" t="s">
        <v>20</v>
      </c>
      <c r="D9171" s="230">
        <v>40058.959999999999</v>
      </c>
      <c r="E9171" t="s">
        <v>739</v>
      </c>
    </row>
    <row r="9172" spans="1:5" hidden="1" x14ac:dyDescent="0.3">
      <c r="A9172" t="s">
        <v>557</v>
      </c>
      <c r="B9172" t="s">
        <v>738</v>
      </c>
      <c r="C9172" t="s">
        <v>23</v>
      </c>
      <c r="D9172" s="230">
        <v>31176.58</v>
      </c>
      <c r="E9172" t="s">
        <v>739</v>
      </c>
    </row>
    <row r="9173" spans="1:5" hidden="1" x14ac:dyDescent="0.3">
      <c r="A9173" t="s">
        <v>557</v>
      </c>
      <c r="B9173" t="s">
        <v>738</v>
      </c>
      <c r="C9173" t="s">
        <v>25</v>
      </c>
      <c r="D9173" s="230">
        <v>0</v>
      </c>
      <c r="E9173" t="s">
        <v>739</v>
      </c>
    </row>
    <row r="9174" spans="1:5" hidden="1" x14ac:dyDescent="0.3">
      <c r="A9174" t="s">
        <v>557</v>
      </c>
      <c r="B9174" t="s">
        <v>738</v>
      </c>
      <c r="C9174" t="s">
        <v>26</v>
      </c>
      <c r="D9174" s="230">
        <v>9300</v>
      </c>
      <c r="E9174" t="s">
        <v>739</v>
      </c>
    </row>
    <row r="9175" spans="1:5" hidden="1" x14ac:dyDescent="0.3">
      <c r="A9175" t="s">
        <v>557</v>
      </c>
      <c r="B9175" t="s">
        <v>738</v>
      </c>
      <c r="C9175" t="s">
        <v>27</v>
      </c>
      <c r="D9175" s="230">
        <v>0</v>
      </c>
      <c r="E9175" t="s">
        <v>739</v>
      </c>
    </row>
    <row r="9176" spans="1:5" hidden="1" x14ac:dyDescent="0.3">
      <c r="A9176" t="s">
        <v>557</v>
      </c>
      <c r="B9176" t="s">
        <v>738</v>
      </c>
      <c r="C9176" t="s">
        <v>29</v>
      </c>
      <c r="D9176" s="230">
        <v>9104.19</v>
      </c>
      <c r="E9176" t="s">
        <v>739</v>
      </c>
    </row>
    <row r="9177" spans="1:5" hidden="1" x14ac:dyDescent="0.3">
      <c r="A9177" t="s">
        <v>557</v>
      </c>
      <c r="B9177" t="s">
        <v>738</v>
      </c>
      <c r="C9177" t="s">
        <v>31</v>
      </c>
      <c r="D9177" s="230">
        <v>121.5</v>
      </c>
      <c r="E9177" t="s">
        <v>739</v>
      </c>
    </row>
    <row r="9178" spans="1:5" hidden="1" x14ac:dyDescent="0.3">
      <c r="A9178" t="s">
        <v>557</v>
      </c>
      <c r="B9178" t="s">
        <v>738</v>
      </c>
      <c r="C9178" t="s">
        <v>34</v>
      </c>
      <c r="D9178" s="230">
        <v>-14769.72</v>
      </c>
      <c r="E9178" t="s">
        <v>739</v>
      </c>
    </row>
    <row r="9179" spans="1:5" hidden="1" x14ac:dyDescent="0.3">
      <c r="A9179" t="s">
        <v>557</v>
      </c>
      <c r="B9179" t="s">
        <v>738</v>
      </c>
      <c r="C9179" t="s">
        <v>38</v>
      </c>
      <c r="D9179" s="230">
        <v>-3951.76</v>
      </c>
      <c r="E9179" t="s">
        <v>739</v>
      </c>
    </row>
    <row r="9180" spans="1:5" hidden="1" x14ac:dyDescent="0.3">
      <c r="A9180" t="s">
        <v>557</v>
      </c>
      <c r="B9180" t="s">
        <v>738</v>
      </c>
      <c r="C9180" t="s">
        <v>40</v>
      </c>
      <c r="D9180" s="230">
        <v>-8884.99</v>
      </c>
      <c r="E9180" t="s">
        <v>739</v>
      </c>
    </row>
    <row r="9181" spans="1:5" hidden="1" x14ac:dyDescent="0.3">
      <c r="A9181" t="s">
        <v>557</v>
      </c>
      <c r="B9181" t="s">
        <v>738</v>
      </c>
      <c r="C9181" t="s">
        <v>42</v>
      </c>
      <c r="D9181" s="230">
        <v>-1932.97</v>
      </c>
      <c r="E9181" t="s">
        <v>739</v>
      </c>
    </row>
    <row r="9182" spans="1:5" hidden="1" x14ac:dyDescent="0.3">
      <c r="A9182" t="s">
        <v>557</v>
      </c>
      <c r="B9182" t="s">
        <v>738</v>
      </c>
      <c r="C9182" t="s">
        <v>44</v>
      </c>
      <c r="D9182" s="230">
        <v>-0.04</v>
      </c>
      <c r="E9182" t="s">
        <v>739</v>
      </c>
    </row>
    <row r="9183" spans="1:5" hidden="1" x14ac:dyDescent="0.3">
      <c r="A9183" t="s">
        <v>557</v>
      </c>
      <c r="B9183" t="s">
        <v>738</v>
      </c>
      <c r="C9183" t="s">
        <v>45</v>
      </c>
      <c r="D9183" s="230">
        <v>-28478.15</v>
      </c>
      <c r="E9183" t="s">
        <v>739</v>
      </c>
    </row>
    <row r="9184" spans="1:5" hidden="1" x14ac:dyDescent="0.3">
      <c r="A9184" t="s">
        <v>557</v>
      </c>
      <c r="B9184" t="s">
        <v>738</v>
      </c>
      <c r="C9184" t="s">
        <v>46</v>
      </c>
      <c r="D9184" s="230">
        <v>-13551.53</v>
      </c>
      <c r="E9184" t="s">
        <v>739</v>
      </c>
    </row>
    <row r="9185" spans="1:5" hidden="1" x14ac:dyDescent="0.3">
      <c r="A9185" t="s">
        <v>557</v>
      </c>
      <c r="B9185" t="s">
        <v>738</v>
      </c>
      <c r="C9185" t="s">
        <v>48</v>
      </c>
      <c r="D9185" s="230">
        <v>-14461.62</v>
      </c>
      <c r="E9185" t="s">
        <v>739</v>
      </c>
    </row>
    <row r="9186" spans="1:5" hidden="1" x14ac:dyDescent="0.3">
      <c r="A9186" t="s">
        <v>557</v>
      </c>
      <c r="B9186" t="s">
        <v>738</v>
      </c>
      <c r="C9186" t="s">
        <v>49</v>
      </c>
      <c r="D9186" s="230">
        <v>-465</v>
      </c>
      <c r="E9186" t="s">
        <v>739</v>
      </c>
    </row>
    <row r="9187" spans="1:5" hidden="1" x14ac:dyDescent="0.3">
      <c r="A9187" t="s">
        <v>557</v>
      </c>
      <c r="B9187" t="s">
        <v>738</v>
      </c>
      <c r="C9187" t="s">
        <v>50</v>
      </c>
      <c r="D9187" s="230">
        <v>373973.16</v>
      </c>
      <c r="E9187" t="s">
        <v>739</v>
      </c>
    </row>
    <row r="9188" spans="1:5" hidden="1" x14ac:dyDescent="0.3">
      <c r="A9188" t="s">
        <v>557</v>
      </c>
      <c r="B9188" t="s">
        <v>738</v>
      </c>
      <c r="C9188" t="s">
        <v>51</v>
      </c>
      <c r="D9188" s="230">
        <v>-121043.75</v>
      </c>
      <c r="E9188" t="s">
        <v>739</v>
      </c>
    </row>
    <row r="9189" spans="1:5" hidden="1" x14ac:dyDescent="0.3">
      <c r="A9189" t="s">
        <v>557</v>
      </c>
      <c r="B9189" t="s">
        <v>738</v>
      </c>
      <c r="C9189" t="s">
        <v>52</v>
      </c>
      <c r="D9189" s="230">
        <v>-92232.98</v>
      </c>
      <c r="E9189" t="s">
        <v>739</v>
      </c>
    </row>
    <row r="9190" spans="1:5" hidden="1" x14ac:dyDescent="0.3">
      <c r="A9190" t="s">
        <v>557</v>
      </c>
      <c r="B9190" t="s">
        <v>738</v>
      </c>
      <c r="C9190" t="s">
        <v>53</v>
      </c>
      <c r="D9190" s="230">
        <v>-26751.51</v>
      </c>
      <c r="E9190" t="s">
        <v>739</v>
      </c>
    </row>
    <row r="9191" spans="1:5" hidden="1" x14ac:dyDescent="0.3">
      <c r="A9191" t="s">
        <v>557</v>
      </c>
      <c r="B9191" t="s">
        <v>738</v>
      </c>
      <c r="C9191" t="s">
        <v>54</v>
      </c>
      <c r="D9191" s="230">
        <v>-2059.2600000000002</v>
      </c>
      <c r="E9191" t="s">
        <v>739</v>
      </c>
    </row>
    <row r="9192" spans="1:5" hidden="1" x14ac:dyDescent="0.3">
      <c r="A9192" t="s">
        <v>557</v>
      </c>
      <c r="B9192" t="s">
        <v>738</v>
      </c>
      <c r="C9192" t="s">
        <v>23</v>
      </c>
      <c r="D9192" s="230">
        <v>0</v>
      </c>
      <c r="E9192" t="s">
        <v>739</v>
      </c>
    </row>
    <row r="9193" spans="1:5" hidden="1" x14ac:dyDescent="0.3">
      <c r="A9193" t="s">
        <v>557</v>
      </c>
      <c r="B9193" t="s">
        <v>738</v>
      </c>
      <c r="C9193" t="s">
        <v>44</v>
      </c>
      <c r="D9193" s="230">
        <v>-0.33</v>
      </c>
      <c r="E9193" t="s">
        <v>739</v>
      </c>
    </row>
    <row r="9194" spans="1:5" hidden="1" x14ac:dyDescent="0.3">
      <c r="A9194" t="s">
        <v>557</v>
      </c>
      <c r="B9194" t="s">
        <v>738</v>
      </c>
      <c r="C9194" t="s">
        <v>55</v>
      </c>
      <c r="D9194" s="230">
        <v>-0.32</v>
      </c>
      <c r="E9194" t="s">
        <v>739</v>
      </c>
    </row>
    <row r="9195" spans="1:5" hidden="1" x14ac:dyDescent="0.3">
      <c r="A9195" t="s">
        <v>557</v>
      </c>
      <c r="B9195" t="s">
        <v>738</v>
      </c>
      <c r="C9195" t="s">
        <v>56</v>
      </c>
      <c r="D9195" s="230">
        <v>-12246.8</v>
      </c>
      <c r="E9195" t="s">
        <v>739</v>
      </c>
    </row>
    <row r="9196" spans="1:5" hidden="1" x14ac:dyDescent="0.3">
      <c r="A9196" t="s">
        <v>557</v>
      </c>
      <c r="B9196" t="s">
        <v>738</v>
      </c>
      <c r="C9196" t="s">
        <v>57</v>
      </c>
      <c r="D9196" s="230">
        <v>-10413.799999999999</v>
      </c>
      <c r="E9196" t="s">
        <v>739</v>
      </c>
    </row>
    <row r="9197" spans="1:5" hidden="1" x14ac:dyDescent="0.3">
      <c r="A9197" t="s">
        <v>557</v>
      </c>
      <c r="B9197" t="s">
        <v>738</v>
      </c>
      <c r="C9197" t="s">
        <v>58</v>
      </c>
      <c r="D9197" s="230">
        <v>-9850</v>
      </c>
      <c r="E9197" t="s">
        <v>739</v>
      </c>
    </row>
    <row r="9198" spans="1:5" hidden="1" x14ac:dyDescent="0.3">
      <c r="A9198" t="s">
        <v>557</v>
      </c>
      <c r="B9198" t="s">
        <v>738</v>
      </c>
      <c r="C9198" t="s">
        <v>59</v>
      </c>
      <c r="D9198" s="230">
        <v>-563.79999999999995</v>
      </c>
      <c r="E9198" t="s">
        <v>739</v>
      </c>
    </row>
    <row r="9199" spans="1:5" hidden="1" x14ac:dyDescent="0.3">
      <c r="A9199" t="s">
        <v>557</v>
      </c>
      <c r="B9199" t="s">
        <v>738</v>
      </c>
      <c r="C9199" t="s">
        <v>61</v>
      </c>
      <c r="D9199" s="230">
        <v>0</v>
      </c>
      <c r="E9199" t="s">
        <v>739</v>
      </c>
    </row>
    <row r="9200" spans="1:5" hidden="1" x14ac:dyDescent="0.3">
      <c r="A9200" t="s">
        <v>557</v>
      </c>
      <c r="B9200" t="s">
        <v>738</v>
      </c>
      <c r="C9200" t="s">
        <v>62</v>
      </c>
      <c r="D9200" s="230">
        <v>0</v>
      </c>
      <c r="E9200" t="s">
        <v>739</v>
      </c>
    </row>
    <row r="9201" spans="1:5" hidden="1" x14ac:dyDescent="0.3">
      <c r="A9201" t="s">
        <v>557</v>
      </c>
      <c r="B9201" t="s">
        <v>738</v>
      </c>
      <c r="C9201" t="s">
        <v>64</v>
      </c>
      <c r="D9201" s="230">
        <v>0</v>
      </c>
      <c r="E9201" t="s">
        <v>739</v>
      </c>
    </row>
    <row r="9202" spans="1:5" hidden="1" x14ac:dyDescent="0.3">
      <c r="A9202" t="s">
        <v>557</v>
      </c>
      <c r="B9202" t="s">
        <v>738</v>
      </c>
      <c r="C9202" t="s">
        <v>65</v>
      </c>
      <c r="D9202" s="230">
        <v>-1833</v>
      </c>
      <c r="E9202" t="s">
        <v>739</v>
      </c>
    </row>
    <row r="9203" spans="1:5" hidden="1" x14ac:dyDescent="0.3">
      <c r="A9203" t="s">
        <v>557</v>
      </c>
      <c r="B9203" t="s">
        <v>738</v>
      </c>
      <c r="C9203" t="s">
        <v>66</v>
      </c>
      <c r="D9203" s="230">
        <v>-1833</v>
      </c>
      <c r="E9203" t="s">
        <v>739</v>
      </c>
    </row>
    <row r="9204" spans="1:5" hidden="1" x14ac:dyDescent="0.3">
      <c r="A9204" t="s">
        <v>557</v>
      </c>
      <c r="B9204" t="s">
        <v>738</v>
      </c>
      <c r="C9204" t="s">
        <v>68</v>
      </c>
      <c r="D9204" s="230">
        <v>0</v>
      </c>
      <c r="E9204" t="s">
        <v>739</v>
      </c>
    </row>
    <row r="9205" spans="1:5" hidden="1" x14ac:dyDescent="0.3">
      <c r="A9205" t="s">
        <v>557</v>
      </c>
      <c r="B9205" t="s">
        <v>738</v>
      </c>
      <c r="C9205" t="s">
        <v>69</v>
      </c>
      <c r="D9205" s="230">
        <v>0</v>
      </c>
      <c r="E9205" t="s">
        <v>739</v>
      </c>
    </row>
    <row r="9206" spans="1:5" hidden="1" x14ac:dyDescent="0.3">
      <c r="A9206" t="s">
        <v>557</v>
      </c>
      <c r="B9206" t="s">
        <v>738</v>
      </c>
      <c r="C9206" t="s">
        <v>70</v>
      </c>
      <c r="D9206" s="230">
        <v>-1.98</v>
      </c>
      <c r="E9206" t="s">
        <v>739</v>
      </c>
    </row>
    <row r="9207" spans="1:5" hidden="1" x14ac:dyDescent="0.3">
      <c r="A9207" t="s">
        <v>557</v>
      </c>
      <c r="B9207" t="s">
        <v>738</v>
      </c>
      <c r="C9207" t="s">
        <v>44</v>
      </c>
      <c r="D9207" s="230">
        <v>-0.03</v>
      </c>
      <c r="E9207" t="s">
        <v>739</v>
      </c>
    </row>
    <row r="9208" spans="1:5" hidden="1" x14ac:dyDescent="0.3">
      <c r="A9208" t="s">
        <v>557</v>
      </c>
      <c r="B9208" t="s">
        <v>738</v>
      </c>
      <c r="C9208" t="s">
        <v>71</v>
      </c>
      <c r="D9208" s="230">
        <v>-5388.17</v>
      </c>
      <c r="E9208" t="s">
        <v>739</v>
      </c>
    </row>
    <row r="9209" spans="1:5" hidden="1" x14ac:dyDescent="0.3">
      <c r="A9209" t="s">
        <v>557</v>
      </c>
      <c r="B9209" t="s">
        <v>738</v>
      </c>
      <c r="C9209" t="s">
        <v>72</v>
      </c>
      <c r="D9209" s="230">
        <v>-5388.17</v>
      </c>
      <c r="E9209" t="s">
        <v>739</v>
      </c>
    </row>
    <row r="9210" spans="1:5" hidden="1" x14ac:dyDescent="0.3">
      <c r="A9210" t="s">
        <v>557</v>
      </c>
      <c r="B9210" t="s">
        <v>738</v>
      </c>
      <c r="C9210" t="s">
        <v>73</v>
      </c>
      <c r="D9210" s="230">
        <v>-4000</v>
      </c>
      <c r="E9210" t="s">
        <v>739</v>
      </c>
    </row>
    <row r="9211" spans="1:5" hidden="1" x14ac:dyDescent="0.3">
      <c r="A9211" t="s">
        <v>557</v>
      </c>
      <c r="B9211" t="s">
        <v>738</v>
      </c>
      <c r="C9211" t="s">
        <v>75</v>
      </c>
      <c r="D9211" s="230">
        <v>-1388.17</v>
      </c>
      <c r="E9211" t="s">
        <v>739</v>
      </c>
    </row>
    <row r="9212" spans="1:5" hidden="1" x14ac:dyDescent="0.3">
      <c r="A9212" t="s">
        <v>557</v>
      </c>
      <c r="B9212" t="s">
        <v>738</v>
      </c>
      <c r="C9212" t="s">
        <v>77</v>
      </c>
      <c r="D9212" s="230">
        <v>0</v>
      </c>
      <c r="E9212" t="s">
        <v>739</v>
      </c>
    </row>
    <row r="9213" spans="1:5" hidden="1" x14ac:dyDescent="0.3">
      <c r="A9213" t="s">
        <v>557</v>
      </c>
      <c r="B9213" t="s">
        <v>738</v>
      </c>
      <c r="C9213" t="s">
        <v>78</v>
      </c>
      <c r="D9213" s="230">
        <v>0</v>
      </c>
      <c r="E9213" t="s">
        <v>739</v>
      </c>
    </row>
    <row r="9214" spans="1:5" hidden="1" x14ac:dyDescent="0.3">
      <c r="A9214" t="s">
        <v>557</v>
      </c>
      <c r="B9214" t="s">
        <v>738</v>
      </c>
      <c r="C9214" t="s">
        <v>80</v>
      </c>
      <c r="D9214" s="230">
        <v>0</v>
      </c>
      <c r="E9214" t="s">
        <v>739</v>
      </c>
    </row>
    <row r="9215" spans="1:5" hidden="1" x14ac:dyDescent="0.3">
      <c r="A9215" t="s">
        <v>557</v>
      </c>
      <c r="B9215" t="s">
        <v>738</v>
      </c>
      <c r="C9215" t="s">
        <v>82</v>
      </c>
      <c r="D9215" s="230">
        <v>0</v>
      </c>
      <c r="E9215" t="s">
        <v>739</v>
      </c>
    </row>
    <row r="9216" spans="1:5" hidden="1" x14ac:dyDescent="0.3">
      <c r="A9216" t="s">
        <v>557</v>
      </c>
      <c r="B9216" t="s">
        <v>738</v>
      </c>
      <c r="C9216" t="s">
        <v>84</v>
      </c>
      <c r="D9216" s="230">
        <v>0</v>
      </c>
      <c r="E9216" t="s">
        <v>739</v>
      </c>
    </row>
    <row r="9217" spans="1:5" hidden="1" x14ac:dyDescent="0.3">
      <c r="A9217" t="s">
        <v>557</v>
      </c>
      <c r="B9217" t="s">
        <v>738</v>
      </c>
      <c r="C9217" t="s">
        <v>85</v>
      </c>
      <c r="D9217" s="230">
        <v>0</v>
      </c>
      <c r="E9217" t="s">
        <v>739</v>
      </c>
    </row>
    <row r="9218" spans="1:5" hidden="1" x14ac:dyDescent="0.3">
      <c r="A9218" t="s">
        <v>557</v>
      </c>
      <c r="B9218" t="s">
        <v>738</v>
      </c>
      <c r="C9218" t="s">
        <v>86</v>
      </c>
      <c r="D9218" s="230">
        <v>0</v>
      </c>
      <c r="E9218" t="s">
        <v>739</v>
      </c>
    </row>
    <row r="9219" spans="1:5" hidden="1" x14ac:dyDescent="0.3">
      <c r="A9219" t="s">
        <v>557</v>
      </c>
      <c r="B9219" t="s">
        <v>738</v>
      </c>
      <c r="C9219" t="s">
        <v>87</v>
      </c>
      <c r="D9219" s="230">
        <v>0</v>
      </c>
      <c r="E9219" t="s">
        <v>739</v>
      </c>
    </row>
    <row r="9220" spans="1:5" hidden="1" x14ac:dyDescent="0.3">
      <c r="A9220" t="s">
        <v>557</v>
      </c>
      <c r="B9220" t="s">
        <v>738</v>
      </c>
      <c r="C9220" t="s">
        <v>88</v>
      </c>
      <c r="D9220" s="230">
        <v>0</v>
      </c>
      <c r="E9220" t="s">
        <v>739</v>
      </c>
    </row>
    <row r="9221" spans="1:5" hidden="1" x14ac:dyDescent="0.3">
      <c r="A9221" t="s">
        <v>557</v>
      </c>
      <c r="B9221" t="s">
        <v>738</v>
      </c>
      <c r="C9221" t="s">
        <v>89</v>
      </c>
      <c r="D9221" s="230">
        <v>0</v>
      </c>
      <c r="E9221" t="s">
        <v>739</v>
      </c>
    </row>
    <row r="9222" spans="1:5" hidden="1" x14ac:dyDescent="0.3">
      <c r="A9222" t="s">
        <v>557</v>
      </c>
      <c r="B9222" t="s">
        <v>738</v>
      </c>
      <c r="C9222" t="s">
        <v>90</v>
      </c>
      <c r="D9222" s="230">
        <v>0</v>
      </c>
      <c r="E9222" t="s">
        <v>739</v>
      </c>
    </row>
    <row r="9223" spans="1:5" hidden="1" x14ac:dyDescent="0.3">
      <c r="A9223" t="s">
        <v>557</v>
      </c>
      <c r="B9223" t="s">
        <v>738</v>
      </c>
      <c r="C9223" t="s">
        <v>91</v>
      </c>
      <c r="D9223" s="230">
        <v>0</v>
      </c>
      <c r="E9223" t="s">
        <v>739</v>
      </c>
    </row>
    <row r="9224" spans="1:5" hidden="1" x14ac:dyDescent="0.3">
      <c r="A9224" t="s">
        <v>557</v>
      </c>
      <c r="B9224" t="s">
        <v>738</v>
      </c>
      <c r="C9224" t="s">
        <v>93</v>
      </c>
      <c r="D9224" s="230">
        <v>0</v>
      </c>
      <c r="E9224" t="s">
        <v>739</v>
      </c>
    </row>
    <row r="9225" spans="1:5" hidden="1" x14ac:dyDescent="0.3">
      <c r="A9225" t="s">
        <v>557</v>
      </c>
      <c r="B9225" t="s">
        <v>738</v>
      </c>
      <c r="C9225" t="s">
        <v>95</v>
      </c>
      <c r="D9225" s="230">
        <v>0</v>
      </c>
      <c r="E9225" t="s">
        <v>739</v>
      </c>
    </row>
    <row r="9226" spans="1:5" hidden="1" x14ac:dyDescent="0.3">
      <c r="A9226" t="s">
        <v>557</v>
      </c>
      <c r="B9226" t="s">
        <v>738</v>
      </c>
      <c r="C9226" t="s">
        <v>96</v>
      </c>
      <c r="D9226" s="230">
        <v>0</v>
      </c>
      <c r="E9226" t="s">
        <v>739</v>
      </c>
    </row>
    <row r="9227" spans="1:5" hidden="1" x14ac:dyDescent="0.3">
      <c r="A9227" t="s">
        <v>557</v>
      </c>
      <c r="B9227" t="s">
        <v>738</v>
      </c>
      <c r="C9227" t="s">
        <v>98</v>
      </c>
      <c r="D9227" s="230">
        <v>0</v>
      </c>
      <c r="E9227" t="s">
        <v>739</v>
      </c>
    </row>
    <row r="9228" spans="1:5" hidden="1" x14ac:dyDescent="0.3">
      <c r="A9228" t="s">
        <v>557</v>
      </c>
      <c r="B9228" t="s">
        <v>738</v>
      </c>
      <c r="C9228" t="s">
        <v>100</v>
      </c>
      <c r="D9228" s="230">
        <v>0</v>
      </c>
      <c r="E9228" t="s">
        <v>739</v>
      </c>
    </row>
    <row r="9229" spans="1:5" hidden="1" x14ac:dyDescent="0.3">
      <c r="A9229" t="s">
        <v>557</v>
      </c>
      <c r="B9229" t="s">
        <v>738</v>
      </c>
      <c r="C9229" t="s">
        <v>101</v>
      </c>
      <c r="D9229" s="230">
        <v>0</v>
      </c>
      <c r="E9229" t="s">
        <v>739</v>
      </c>
    </row>
    <row r="9230" spans="1:5" hidden="1" x14ac:dyDescent="0.3">
      <c r="A9230" t="s">
        <v>557</v>
      </c>
      <c r="B9230" t="s">
        <v>738</v>
      </c>
      <c r="C9230" t="s">
        <v>102</v>
      </c>
      <c r="D9230" s="230">
        <v>0</v>
      </c>
      <c r="E9230" t="s">
        <v>739</v>
      </c>
    </row>
    <row r="9231" spans="1:5" hidden="1" x14ac:dyDescent="0.3">
      <c r="A9231" t="s">
        <v>557</v>
      </c>
      <c r="B9231" t="s">
        <v>738</v>
      </c>
      <c r="C9231" t="s">
        <v>103</v>
      </c>
      <c r="D9231" s="230">
        <v>0</v>
      </c>
      <c r="E9231" t="s">
        <v>739</v>
      </c>
    </row>
    <row r="9232" spans="1:5" hidden="1" x14ac:dyDescent="0.3">
      <c r="A9232" t="s">
        <v>557</v>
      </c>
      <c r="B9232" t="s">
        <v>738</v>
      </c>
      <c r="C9232" t="s">
        <v>104</v>
      </c>
      <c r="D9232" s="230">
        <v>0</v>
      </c>
      <c r="E9232" t="s">
        <v>739</v>
      </c>
    </row>
    <row r="9233" spans="1:5" hidden="1" x14ac:dyDescent="0.3">
      <c r="A9233" t="s">
        <v>557</v>
      </c>
      <c r="B9233" t="s">
        <v>738</v>
      </c>
      <c r="C9233" t="s">
        <v>105</v>
      </c>
      <c r="D9233" s="230">
        <v>0</v>
      </c>
      <c r="E9233" t="s">
        <v>739</v>
      </c>
    </row>
    <row r="9234" spans="1:5" hidden="1" x14ac:dyDescent="0.3">
      <c r="A9234" t="s">
        <v>557</v>
      </c>
      <c r="B9234" t="s">
        <v>738</v>
      </c>
      <c r="C9234" t="s">
        <v>107</v>
      </c>
      <c r="D9234" s="230">
        <v>0</v>
      </c>
      <c r="E9234" t="s">
        <v>739</v>
      </c>
    </row>
    <row r="9235" spans="1:5" hidden="1" x14ac:dyDescent="0.3">
      <c r="A9235" t="s">
        <v>557</v>
      </c>
      <c r="B9235" t="s">
        <v>738</v>
      </c>
      <c r="C9235" t="s">
        <v>108</v>
      </c>
      <c r="D9235" s="230">
        <v>0</v>
      </c>
      <c r="E9235" t="s">
        <v>739</v>
      </c>
    </row>
    <row r="9236" spans="1:5" hidden="1" x14ac:dyDescent="0.3">
      <c r="A9236" t="s">
        <v>557</v>
      </c>
      <c r="B9236" t="s">
        <v>738</v>
      </c>
      <c r="C9236" t="s">
        <v>109</v>
      </c>
      <c r="D9236" s="230">
        <v>0</v>
      </c>
      <c r="E9236" t="s">
        <v>739</v>
      </c>
    </row>
    <row r="9237" spans="1:5" hidden="1" x14ac:dyDescent="0.3">
      <c r="A9237" t="s">
        <v>557</v>
      </c>
      <c r="B9237" t="s">
        <v>738</v>
      </c>
      <c r="C9237" t="s">
        <v>110</v>
      </c>
      <c r="D9237" s="230">
        <v>-0.13</v>
      </c>
      <c r="E9237" t="s">
        <v>739</v>
      </c>
    </row>
    <row r="9238" spans="1:5" hidden="1" x14ac:dyDescent="0.3">
      <c r="A9238" t="s">
        <v>557</v>
      </c>
      <c r="B9238" t="s">
        <v>738</v>
      </c>
      <c r="C9238" t="s">
        <v>44</v>
      </c>
      <c r="D9238" s="230">
        <v>-0.01</v>
      </c>
      <c r="E9238" t="s">
        <v>739</v>
      </c>
    </row>
    <row r="9239" spans="1:5" hidden="1" x14ac:dyDescent="0.3">
      <c r="A9239" t="s">
        <v>557</v>
      </c>
      <c r="B9239" t="s">
        <v>738</v>
      </c>
      <c r="C9239" t="s">
        <v>111</v>
      </c>
      <c r="D9239" s="230">
        <v>-30660</v>
      </c>
      <c r="E9239" t="s">
        <v>739</v>
      </c>
    </row>
    <row r="9240" spans="1:5" hidden="1" x14ac:dyDescent="0.3">
      <c r="A9240" t="s">
        <v>557</v>
      </c>
      <c r="B9240" t="s">
        <v>738</v>
      </c>
      <c r="C9240" t="s">
        <v>608</v>
      </c>
      <c r="D9240" s="230">
        <v>-30660</v>
      </c>
      <c r="E9240" t="s">
        <v>739</v>
      </c>
    </row>
    <row r="9241" spans="1:5" hidden="1" x14ac:dyDescent="0.3">
      <c r="A9241" t="s">
        <v>557</v>
      </c>
      <c r="B9241" t="s">
        <v>738</v>
      </c>
      <c r="C9241" t="s">
        <v>44</v>
      </c>
      <c r="D9241" s="230">
        <v>-7.0000000000000007E-2</v>
      </c>
      <c r="E9241" t="s">
        <v>739</v>
      </c>
    </row>
    <row r="9242" spans="1:5" hidden="1" x14ac:dyDescent="0.3">
      <c r="A9242" t="s">
        <v>557</v>
      </c>
      <c r="B9242" t="s">
        <v>738</v>
      </c>
      <c r="C9242" t="s">
        <v>115</v>
      </c>
      <c r="D9242" s="230">
        <v>-6935.6</v>
      </c>
      <c r="E9242" t="s">
        <v>739</v>
      </c>
    </row>
    <row r="9243" spans="1:5" hidden="1" x14ac:dyDescent="0.3">
      <c r="A9243" t="s">
        <v>557</v>
      </c>
      <c r="B9243" t="s">
        <v>738</v>
      </c>
      <c r="C9243" t="s">
        <v>116</v>
      </c>
      <c r="D9243" s="230">
        <v>-5222.75</v>
      </c>
      <c r="E9243" t="s">
        <v>739</v>
      </c>
    </row>
    <row r="9244" spans="1:5" hidden="1" x14ac:dyDescent="0.3">
      <c r="A9244" t="s">
        <v>557</v>
      </c>
      <c r="B9244" t="s">
        <v>738</v>
      </c>
      <c r="C9244" t="s">
        <v>118</v>
      </c>
      <c r="D9244" s="230">
        <v>-1712.85</v>
      </c>
      <c r="E9244" t="s">
        <v>739</v>
      </c>
    </row>
    <row r="9245" spans="1:5" hidden="1" x14ac:dyDescent="0.3">
      <c r="A9245" t="s">
        <v>557</v>
      </c>
      <c r="B9245" t="s">
        <v>738</v>
      </c>
      <c r="C9245" t="s">
        <v>120</v>
      </c>
      <c r="D9245" s="230">
        <v>0</v>
      </c>
      <c r="E9245" t="s">
        <v>739</v>
      </c>
    </row>
    <row r="9246" spans="1:5" hidden="1" x14ac:dyDescent="0.3">
      <c r="A9246" t="s">
        <v>557</v>
      </c>
      <c r="B9246" t="s">
        <v>738</v>
      </c>
      <c r="C9246" t="s">
        <v>122</v>
      </c>
      <c r="D9246" s="230">
        <v>0</v>
      </c>
      <c r="E9246" t="s">
        <v>739</v>
      </c>
    </row>
    <row r="9247" spans="1:5" hidden="1" x14ac:dyDescent="0.3">
      <c r="A9247" t="s">
        <v>557</v>
      </c>
      <c r="B9247" t="s">
        <v>738</v>
      </c>
      <c r="C9247" t="s">
        <v>44</v>
      </c>
      <c r="D9247" s="230">
        <v>-0.02</v>
      </c>
      <c r="E9247" t="s">
        <v>739</v>
      </c>
    </row>
    <row r="9248" spans="1:5" hidden="1" x14ac:dyDescent="0.3">
      <c r="A9248" t="s">
        <v>557</v>
      </c>
      <c r="B9248" t="s">
        <v>738</v>
      </c>
      <c r="C9248" t="s">
        <v>126</v>
      </c>
      <c r="D9248" s="230">
        <v>197698.84</v>
      </c>
      <c r="E9248" t="s">
        <v>739</v>
      </c>
    </row>
    <row r="9249" spans="1:5" hidden="1" x14ac:dyDescent="0.3">
      <c r="A9249" t="s">
        <v>557</v>
      </c>
      <c r="B9249" t="s">
        <v>738</v>
      </c>
      <c r="C9249" t="s">
        <v>127</v>
      </c>
      <c r="D9249" s="230">
        <v>0.47</v>
      </c>
      <c r="E9249" t="s">
        <v>739</v>
      </c>
    </row>
    <row r="9250" spans="1:5" hidden="1" x14ac:dyDescent="0.3">
      <c r="A9250" t="s">
        <v>557</v>
      </c>
      <c r="B9250" t="s">
        <v>738</v>
      </c>
      <c r="C9250" t="s">
        <v>128</v>
      </c>
      <c r="D9250" s="230">
        <v>-111901.01</v>
      </c>
      <c r="E9250" t="s">
        <v>739</v>
      </c>
    </row>
    <row r="9251" spans="1:5" hidden="1" x14ac:dyDescent="0.3">
      <c r="A9251" t="s">
        <v>557</v>
      </c>
      <c r="B9251" t="s">
        <v>738</v>
      </c>
      <c r="C9251" t="s">
        <v>129</v>
      </c>
      <c r="D9251" s="230">
        <v>-33191.67</v>
      </c>
      <c r="E9251" t="s">
        <v>739</v>
      </c>
    </row>
    <row r="9252" spans="1:5" hidden="1" x14ac:dyDescent="0.3">
      <c r="A9252" t="s">
        <v>557</v>
      </c>
      <c r="B9252" t="s">
        <v>738</v>
      </c>
      <c r="C9252" t="s">
        <v>609</v>
      </c>
      <c r="D9252" s="230">
        <v>-4850</v>
      </c>
      <c r="E9252" t="s">
        <v>739</v>
      </c>
    </row>
    <row r="9253" spans="1:5" hidden="1" x14ac:dyDescent="0.3">
      <c r="A9253" t="s">
        <v>557</v>
      </c>
      <c r="B9253" t="s">
        <v>738</v>
      </c>
      <c r="C9253" t="s">
        <v>610</v>
      </c>
      <c r="D9253" s="230">
        <v>-17600</v>
      </c>
      <c r="E9253" t="s">
        <v>739</v>
      </c>
    </row>
    <row r="9254" spans="1:5" hidden="1" x14ac:dyDescent="0.3">
      <c r="A9254" t="s">
        <v>557</v>
      </c>
      <c r="B9254" t="s">
        <v>738</v>
      </c>
      <c r="C9254" t="s">
        <v>611</v>
      </c>
      <c r="D9254" s="230">
        <v>0</v>
      </c>
      <c r="E9254" t="s">
        <v>739</v>
      </c>
    </row>
    <row r="9255" spans="1:5" hidden="1" x14ac:dyDescent="0.3">
      <c r="A9255" t="s">
        <v>557</v>
      </c>
      <c r="B9255" t="s">
        <v>738</v>
      </c>
      <c r="C9255" t="s">
        <v>612</v>
      </c>
      <c r="D9255" s="230">
        <v>-2266.67</v>
      </c>
      <c r="E9255" t="s">
        <v>739</v>
      </c>
    </row>
    <row r="9256" spans="1:5" hidden="1" x14ac:dyDescent="0.3">
      <c r="A9256" t="s">
        <v>557</v>
      </c>
      <c r="B9256" t="s">
        <v>738</v>
      </c>
      <c r="C9256" t="s">
        <v>613</v>
      </c>
      <c r="D9256" s="230">
        <v>-1975</v>
      </c>
      <c r="E9256" t="s">
        <v>739</v>
      </c>
    </row>
    <row r="9257" spans="1:5" hidden="1" x14ac:dyDescent="0.3">
      <c r="A9257" t="s">
        <v>557</v>
      </c>
      <c r="B9257" t="s">
        <v>738</v>
      </c>
      <c r="C9257" t="s">
        <v>614</v>
      </c>
      <c r="D9257" s="230">
        <v>-6500</v>
      </c>
      <c r="E9257" t="s">
        <v>739</v>
      </c>
    </row>
    <row r="9258" spans="1:5" hidden="1" x14ac:dyDescent="0.3">
      <c r="A9258" t="s">
        <v>557</v>
      </c>
      <c r="B9258" t="s">
        <v>738</v>
      </c>
      <c r="C9258" t="s">
        <v>615</v>
      </c>
      <c r="D9258" s="230">
        <v>0</v>
      </c>
      <c r="E9258" t="s">
        <v>739</v>
      </c>
    </row>
    <row r="9259" spans="1:5" hidden="1" x14ac:dyDescent="0.3">
      <c r="A9259" t="s">
        <v>557</v>
      </c>
      <c r="B9259" t="s">
        <v>738</v>
      </c>
      <c r="C9259" t="s">
        <v>616</v>
      </c>
      <c r="D9259" s="230">
        <v>0</v>
      </c>
      <c r="E9259" t="s">
        <v>739</v>
      </c>
    </row>
    <row r="9260" spans="1:5" hidden="1" x14ac:dyDescent="0.3">
      <c r="A9260" t="s">
        <v>557</v>
      </c>
      <c r="B9260" t="s">
        <v>738</v>
      </c>
      <c r="C9260" t="s">
        <v>617</v>
      </c>
      <c r="D9260" s="230">
        <v>0</v>
      </c>
      <c r="E9260" t="s">
        <v>739</v>
      </c>
    </row>
    <row r="9261" spans="1:5" hidden="1" x14ac:dyDescent="0.3">
      <c r="A9261" t="s">
        <v>557</v>
      </c>
      <c r="B9261" t="s">
        <v>738</v>
      </c>
      <c r="C9261" t="s">
        <v>618</v>
      </c>
      <c r="D9261" s="230">
        <v>0</v>
      </c>
      <c r="E9261" t="s">
        <v>739</v>
      </c>
    </row>
    <row r="9262" spans="1:5" hidden="1" x14ac:dyDescent="0.3">
      <c r="A9262" t="s">
        <v>557</v>
      </c>
      <c r="B9262" t="s">
        <v>738</v>
      </c>
      <c r="C9262" t="s">
        <v>619</v>
      </c>
      <c r="D9262" s="230">
        <v>0</v>
      </c>
      <c r="E9262" t="s">
        <v>739</v>
      </c>
    </row>
    <row r="9263" spans="1:5" hidden="1" x14ac:dyDescent="0.3">
      <c r="A9263" t="s">
        <v>557</v>
      </c>
      <c r="B9263" t="s">
        <v>738</v>
      </c>
      <c r="C9263" t="s">
        <v>620</v>
      </c>
      <c r="D9263" s="230">
        <v>0</v>
      </c>
      <c r="E9263" t="s">
        <v>739</v>
      </c>
    </row>
    <row r="9264" spans="1:5" hidden="1" x14ac:dyDescent="0.3">
      <c r="A9264" t="s">
        <v>557</v>
      </c>
      <c r="B9264" t="s">
        <v>738</v>
      </c>
      <c r="C9264" t="s">
        <v>575</v>
      </c>
      <c r="D9264" s="230">
        <v>-28282.880000000001</v>
      </c>
      <c r="E9264" t="s">
        <v>739</v>
      </c>
    </row>
    <row r="9265" spans="1:5" hidden="1" x14ac:dyDescent="0.3">
      <c r="A9265" t="s">
        <v>557</v>
      </c>
      <c r="B9265" t="s">
        <v>738</v>
      </c>
      <c r="C9265" t="s">
        <v>621</v>
      </c>
      <c r="D9265" s="230">
        <v>0</v>
      </c>
      <c r="E9265" t="s">
        <v>739</v>
      </c>
    </row>
    <row r="9266" spans="1:5" hidden="1" x14ac:dyDescent="0.3">
      <c r="A9266" t="s">
        <v>557</v>
      </c>
      <c r="B9266" t="s">
        <v>738</v>
      </c>
      <c r="C9266" t="s">
        <v>622</v>
      </c>
      <c r="D9266" s="230">
        <v>0</v>
      </c>
      <c r="E9266" t="s">
        <v>739</v>
      </c>
    </row>
    <row r="9267" spans="1:5" hidden="1" x14ac:dyDescent="0.3">
      <c r="A9267" t="s">
        <v>557</v>
      </c>
      <c r="B9267" t="s">
        <v>738</v>
      </c>
      <c r="C9267" t="s">
        <v>623</v>
      </c>
      <c r="D9267" s="230">
        <v>0</v>
      </c>
      <c r="E9267" t="s">
        <v>739</v>
      </c>
    </row>
    <row r="9268" spans="1:5" hidden="1" x14ac:dyDescent="0.3">
      <c r="A9268" t="s">
        <v>557</v>
      </c>
      <c r="B9268" t="s">
        <v>738</v>
      </c>
      <c r="C9268" t="s">
        <v>624</v>
      </c>
      <c r="D9268" s="230">
        <v>0</v>
      </c>
      <c r="E9268" t="s">
        <v>739</v>
      </c>
    </row>
    <row r="9269" spans="1:5" hidden="1" x14ac:dyDescent="0.3">
      <c r="A9269" t="s">
        <v>557</v>
      </c>
      <c r="B9269" t="s">
        <v>738</v>
      </c>
      <c r="C9269" t="s">
        <v>625</v>
      </c>
      <c r="D9269" s="230">
        <v>0</v>
      </c>
      <c r="E9269" t="s">
        <v>739</v>
      </c>
    </row>
    <row r="9270" spans="1:5" hidden="1" x14ac:dyDescent="0.3">
      <c r="A9270" t="s">
        <v>557</v>
      </c>
      <c r="B9270" t="s">
        <v>738</v>
      </c>
      <c r="C9270" t="s">
        <v>626</v>
      </c>
      <c r="D9270" s="230">
        <v>0</v>
      </c>
      <c r="E9270" t="s">
        <v>739</v>
      </c>
    </row>
    <row r="9271" spans="1:5" hidden="1" x14ac:dyDescent="0.3">
      <c r="A9271" t="s">
        <v>557</v>
      </c>
      <c r="B9271" t="s">
        <v>738</v>
      </c>
      <c r="C9271" t="s">
        <v>627</v>
      </c>
      <c r="D9271" s="230">
        <v>0</v>
      </c>
      <c r="E9271" t="s">
        <v>739</v>
      </c>
    </row>
    <row r="9272" spans="1:5" hidden="1" x14ac:dyDescent="0.3">
      <c r="A9272" t="s">
        <v>557</v>
      </c>
      <c r="B9272" t="s">
        <v>738</v>
      </c>
      <c r="C9272" t="s">
        <v>628</v>
      </c>
      <c r="D9272" s="230">
        <v>0</v>
      </c>
      <c r="E9272" t="s">
        <v>739</v>
      </c>
    </row>
    <row r="9273" spans="1:5" hidden="1" x14ac:dyDescent="0.3">
      <c r="A9273" t="s">
        <v>557</v>
      </c>
      <c r="B9273" t="s">
        <v>738</v>
      </c>
      <c r="C9273" t="s">
        <v>629</v>
      </c>
      <c r="D9273" s="230">
        <v>0</v>
      </c>
      <c r="E9273" t="s">
        <v>739</v>
      </c>
    </row>
    <row r="9274" spans="1:5" hidden="1" x14ac:dyDescent="0.3">
      <c r="A9274" t="s">
        <v>557</v>
      </c>
      <c r="B9274" t="s">
        <v>738</v>
      </c>
      <c r="C9274" t="s">
        <v>630</v>
      </c>
      <c r="D9274" s="230">
        <v>0</v>
      </c>
      <c r="E9274" t="s">
        <v>739</v>
      </c>
    </row>
    <row r="9275" spans="1:5" hidden="1" x14ac:dyDescent="0.3">
      <c r="A9275" t="s">
        <v>557</v>
      </c>
      <c r="B9275" t="s">
        <v>738</v>
      </c>
      <c r="C9275" t="s">
        <v>631</v>
      </c>
      <c r="D9275" s="230">
        <v>0</v>
      </c>
      <c r="E9275" t="s">
        <v>739</v>
      </c>
    </row>
    <row r="9276" spans="1:5" hidden="1" x14ac:dyDescent="0.3">
      <c r="A9276" t="s">
        <v>557</v>
      </c>
      <c r="B9276" t="s">
        <v>738</v>
      </c>
      <c r="C9276" t="s">
        <v>632</v>
      </c>
      <c r="D9276" s="230">
        <v>0</v>
      </c>
      <c r="E9276" t="s">
        <v>739</v>
      </c>
    </row>
    <row r="9277" spans="1:5" hidden="1" x14ac:dyDescent="0.3">
      <c r="A9277" t="s">
        <v>557</v>
      </c>
      <c r="B9277" t="s">
        <v>738</v>
      </c>
      <c r="C9277" t="s">
        <v>633</v>
      </c>
      <c r="D9277" s="230">
        <v>0</v>
      </c>
      <c r="E9277" t="s">
        <v>739</v>
      </c>
    </row>
    <row r="9278" spans="1:5" hidden="1" x14ac:dyDescent="0.3">
      <c r="A9278" t="s">
        <v>557</v>
      </c>
      <c r="B9278" t="s">
        <v>738</v>
      </c>
      <c r="C9278" t="s">
        <v>634</v>
      </c>
      <c r="D9278" s="230">
        <v>0</v>
      </c>
      <c r="E9278" t="s">
        <v>739</v>
      </c>
    </row>
    <row r="9279" spans="1:5" hidden="1" x14ac:dyDescent="0.3">
      <c r="A9279" t="s">
        <v>557</v>
      </c>
      <c r="B9279" t="s">
        <v>738</v>
      </c>
      <c r="C9279" t="s">
        <v>635</v>
      </c>
      <c r="D9279" s="230">
        <v>0</v>
      </c>
      <c r="E9279" t="s">
        <v>739</v>
      </c>
    </row>
    <row r="9280" spans="1:5" hidden="1" x14ac:dyDescent="0.3">
      <c r="A9280" t="s">
        <v>557</v>
      </c>
      <c r="B9280" t="s">
        <v>738</v>
      </c>
      <c r="C9280" t="s">
        <v>636</v>
      </c>
      <c r="D9280" s="230">
        <v>0</v>
      </c>
      <c r="E9280" t="s">
        <v>739</v>
      </c>
    </row>
    <row r="9281" spans="1:5" hidden="1" x14ac:dyDescent="0.3">
      <c r="A9281" t="s">
        <v>557</v>
      </c>
      <c r="B9281" t="s">
        <v>738</v>
      </c>
      <c r="C9281" t="s">
        <v>637</v>
      </c>
      <c r="D9281" s="230">
        <v>0</v>
      </c>
      <c r="E9281" t="s">
        <v>739</v>
      </c>
    </row>
    <row r="9282" spans="1:5" hidden="1" x14ac:dyDescent="0.3">
      <c r="A9282" t="s">
        <v>557</v>
      </c>
      <c r="B9282" t="s">
        <v>738</v>
      </c>
      <c r="C9282" t="s">
        <v>638</v>
      </c>
      <c r="D9282" s="230">
        <v>0</v>
      </c>
      <c r="E9282" t="s">
        <v>739</v>
      </c>
    </row>
    <row r="9283" spans="1:5" hidden="1" x14ac:dyDescent="0.3">
      <c r="A9283" t="s">
        <v>557</v>
      </c>
      <c r="B9283" t="s">
        <v>738</v>
      </c>
      <c r="C9283" t="s">
        <v>639</v>
      </c>
      <c r="D9283" s="230">
        <v>0</v>
      </c>
      <c r="E9283" t="s">
        <v>739</v>
      </c>
    </row>
    <row r="9284" spans="1:5" hidden="1" x14ac:dyDescent="0.3">
      <c r="A9284" t="s">
        <v>557</v>
      </c>
      <c r="B9284" t="s">
        <v>738</v>
      </c>
      <c r="C9284" t="s">
        <v>640</v>
      </c>
      <c r="D9284" s="230">
        <v>0</v>
      </c>
      <c r="E9284" t="s">
        <v>739</v>
      </c>
    </row>
    <row r="9285" spans="1:5" hidden="1" x14ac:dyDescent="0.3">
      <c r="A9285" t="s">
        <v>557</v>
      </c>
      <c r="B9285" t="s">
        <v>738</v>
      </c>
      <c r="C9285" t="s">
        <v>641</v>
      </c>
      <c r="D9285" s="230">
        <v>0</v>
      </c>
      <c r="E9285" t="s">
        <v>739</v>
      </c>
    </row>
    <row r="9286" spans="1:5" hidden="1" x14ac:dyDescent="0.3">
      <c r="A9286" t="s">
        <v>557</v>
      </c>
      <c r="B9286" t="s">
        <v>738</v>
      </c>
      <c r="C9286" t="s">
        <v>642</v>
      </c>
      <c r="D9286" s="230">
        <v>0</v>
      </c>
      <c r="E9286" t="s">
        <v>739</v>
      </c>
    </row>
    <row r="9287" spans="1:5" hidden="1" x14ac:dyDescent="0.3">
      <c r="A9287" t="s">
        <v>557</v>
      </c>
      <c r="B9287" t="s">
        <v>738</v>
      </c>
      <c r="C9287" t="s">
        <v>643</v>
      </c>
      <c r="D9287" s="230">
        <v>0</v>
      </c>
      <c r="E9287" t="s">
        <v>739</v>
      </c>
    </row>
    <row r="9288" spans="1:5" hidden="1" x14ac:dyDescent="0.3">
      <c r="A9288" t="s">
        <v>557</v>
      </c>
      <c r="B9288" t="s">
        <v>738</v>
      </c>
      <c r="C9288" t="s">
        <v>644</v>
      </c>
      <c r="D9288" s="230">
        <v>0</v>
      </c>
      <c r="E9288" t="s">
        <v>739</v>
      </c>
    </row>
    <row r="9289" spans="1:5" hidden="1" x14ac:dyDescent="0.3">
      <c r="A9289" t="s">
        <v>557</v>
      </c>
      <c r="B9289" t="s">
        <v>738</v>
      </c>
      <c r="C9289" t="s">
        <v>645</v>
      </c>
      <c r="D9289" s="230">
        <v>0</v>
      </c>
      <c r="E9289" t="s">
        <v>739</v>
      </c>
    </row>
    <row r="9290" spans="1:5" hidden="1" x14ac:dyDescent="0.3">
      <c r="A9290" t="s">
        <v>557</v>
      </c>
      <c r="B9290" t="s">
        <v>738</v>
      </c>
      <c r="C9290" t="s">
        <v>646</v>
      </c>
      <c r="D9290" s="230">
        <v>0</v>
      </c>
      <c r="E9290" t="s">
        <v>739</v>
      </c>
    </row>
    <row r="9291" spans="1:5" hidden="1" x14ac:dyDescent="0.3">
      <c r="A9291" t="s">
        <v>557</v>
      </c>
      <c r="B9291" t="s">
        <v>738</v>
      </c>
      <c r="C9291" t="s">
        <v>647</v>
      </c>
      <c r="D9291" s="230">
        <v>0</v>
      </c>
      <c r="E9291" t="s">
        <v>739</v>
      </c>
    </row>
    <row r="9292" spans="1:5" hidden="1" x14ac:dyDescent="0.3">
      <c r="A9292" t="s">
        <v>557</v>
      </c>
      <c r="B9292" t="s">
        <v>738</v>
      </c>
      <c r="C9292" t="s">
        <v>648</v>
      </c>
      <c r="D9292" s="230">
        <v>0</v>
      </c>
      <c r="E9292" t="s">
        <v>739</v>
      </c>
    </row>
    <row r="9293" spans="1:5" hidden="1" x14ac:dyDescent="0.3">
      <c r="A9293" t="s">
        <v>557</v>
      </c>
      <c r="B9293" t="s">
        <v>738</v>
      </c>
      <c r="C9293" t="s">
        <v>649</v>
      </c>
      <c r="D9293" s="230">
        <v>0</v>
      </c>
      <c r="E9293" t="s">
        <v>739</v>
      </c>
    </row>
    <row r="9294" spans="1:5" hidden="1" x14ac:dyDescent="0.3">
      <c r="A9294" t="s">
        <v>557</v>
      </c>
      <c r="B9294" t="s">
        <v>738</v>
      </c>
      <c r="C9294" t="s">
        <v>650</v>
      </c>
      <c r="D9294" s="230">
        <v>0</v>
      </c>
      <c r="E9294" t="s">
        <v>739</v>
      </c>
    </row>
    <row r="9295" spans="1:5" hidden="1" x14ac:dyDescent="0.3">
      <c r="A9295" t="s">
        <v>557</v>
      </c>
      <c r="B9295" t="s">
        <v>738</v>
      </c>
      <c r="C9295" t="s">
        <v>651</v>
      </c>
      <c r="D9295" s="230">
        <v>0</v>
      </c>
      <c r="E9295" t="s">
        <v>739</v>
      </c>
    </row>
    <row r="9296" spans="1:5" hidden="1" x14ac:dyDescent="0.3">
      <c r="A9296" t="s">
        <v>557</v>
      </c>
      <c r="B9296" t="s">
        <v>738</v>
      </c>
      <c r="C9296" t="s">
        <v>652</v>
      </c>
      <c r="D9296" s="230">
        <v>0</v>
      </c>
      <c r="E9296" t="s">
        <v>739</v>
      </c>
    </row>
    <row r="9297" spans="1:5" hidden="1" x14ac:dyDescent="0.3">
      <c r="A9297" t="s">
        <v>557</v>
      </c>
      <c r="B9297" t="s">
        <v>738</v>
      </c>
      <c r="C9297" t="s">
        <v>653</v>
      </c>
      <c r="D9297" s="230">
        <v>0</v>
      </c>
      <c r="E9297" t="s">
        <v>739</v>
      </c>
    </row>
    <row r="9298" spans="1:5" hidden="1" x14ac:dyDescent="0.3">
      <c r="A9298" t="s">
        <v>557</v>
      </c>
      <c r="B9298" t="s">
        <v>738</v>
      </c>
      <c r="C9298" t="s">
        <v>654</v>
      </c>
      <c r="D9298" s="230">
        <v>0</v>
      </c>
      <c r="E9298" t="s">
        <v>739</v>
      </c>
    </row>
    <row r="9299" spans="1:5" hidden="1" x14ac:dyDescent="0.3">
      <c r="A9299" t="s">
        <v>557</v>
      </c>
      <c r="B9299" t="s">
        <v>738</v>
      </c>
      <c r="C9299" t="s">
        <v>655</v>
      </c>
      <c r="D9299" s="230">
        <v>0</v>
      </c>
      <c r="E9299" t="s">
        <v>739</v>
      </c>
    </row>
    <row r="9300" spans="1:5" hidden="1" x14ac:dyDescent="0.3">
      <c r="A9300" t="s">
        <v>557</v>
      </c>
      <c r="B9300" t="s">
        <v>738</v>
      </c>
      <c r="C9300" t="s">
        <v>656</v>
      </c>
      <c r="D9300" s="230">
        <v>0</v>
      </c>
      <c r="E9300" t="s">
        <v>739</v>
      </c>
    </row>
    <row r="9301" spans="1:5" hidden="1" x14ac:dyDescent="0.3">
      <c r="A9301" t="s">
        <v>557</v>
      </c>
      <c r="B9301" t="s">
        <v>738</v>
      </c>
      <c r="C9301" t="s">
        <v>657</v>
      </c>
      <c r="D9301" s="230">
        <v>0</v>
      </c>
      <c r="E9301" t="s">
        <v>739</v>
      </c>
    </row>
    <row r="9302" spans="1:5" hidden="1" x14ac:dyDescent="0.3">
      <c r="A9302" t="s">
        <v>557</v>
      </c>
      <c r="B9302" t="s">
        <v>738</v>
      </c>
      <c r="C9302" t="s">
        <v>658</v>
      </c>
      <c r="D9302" s="230">
        <v>0</v>
      </c>
      <c r="E9302" t="s">
        <v>739</v>
      </c>
    </row>
    <row r="9303" spans="1:5" hidden="1" x14ac:dyDescent="0.3">
      <c r="A9303" t="s">
        <v>557</v>
      </c>
      <c r="B9303" t="s">
        <v>738</v>
      </c>
      <c r="C9303" t="s">
        <v>659</v>
      </c>
      <c r="D9303" s="230">
        <v>0</v>
      </c>
      <c r="E9303" t="s">
        <v>739</v>
      </c>
    </row>
    <row r="9304" spans="1:5" hidden="1" x14ac:dyDescent="0.3">
      <c r="A9304" t="s">
        <v>557</v>
      </c>
      <c r="B9304" t="s">
        <v>738</v>
      </c>
      <c r="C9304" t="s">
        <v>660</v>
      </c>
      <c r="D9304" s="230">
        <v>0</v>
      </c>
      <c r="E9304" t="s">
        <v>739</v>
      </c>
    </row>
    <row r="9305" spans="1:5" hidden="1" x14ac:dyDescent="0.3">
      <c r="A9305" t="s">
        <v>557</v>
      </c>
      <c r="B9305" t="s">
        <v>738</v>
      </c>
      <c r="C9305" t="s">
        <v>661</v>
      </c>
      <c r="D9305" s="230">
        <v>0</v>
      </c>
      <c r="E9305" t="s">
        <v>739</v>
      </c>
    </row>
    <row r="9306" spans="1:5" hidden="1" x14ac:dyDescent="0.3">
      <c r="A9306" t="s">
        <v>557</v>
      </c>
      <c r="B9306" t="s">
        <v>738</v>
      </c>
      <c r="C9306" t="s">
        <v>662</v>
      </c>
      <c r="D9306" s="230">
        <v>0</v>
      </c>
      <c r="E9306" t="s">
        <v>739</v>
      </c>
    </row>
    <row r="9307" spans="1:5" hidden="1" x14ac:dyDescent="0.3">
      <c r="A9307" t="s">
        <v>557</v>
      </c>
      <c r="B9307" t="s">
        <v>738</v>
      </c>
      <c r="C9307" t="s">
        <v>663</v>
      </c>
      <c r="D9307" s="230">
        <v>0</v>
      </c>
      <c r="E9307" t="s">
        <v>739</v>
      </c>
    </row>
    <row r="9308" spans="1:5" hidden="1" x14ac:dyDescent="0.3">
      <c r="A9308" t="s">
        <v>557</v>
      </c>
      <c r="B9308" t="s">
        <v>738</v>
      </c>
      <c r="C9308" t="s">
        <v>664</v>
      </c>
      <c r="D9308" s="230">
        <v>0</v>
      </c>
      <c r="E9308" t="s">
        <v>739</v>
      </c>
    </row>
    <row r="9309" spans="1:5" hidden="1" x14ac:dyDescent="0.3">
      <c r="A9309" t="s">
        <v>557</v>
      </c>
      <c r="B9309" t="s">
        <v>738</v>
      </c>
      <c r="C9309" t="s">
        <v>665</v>
      </c>
      <c r="D9309" s="230">
        <v>0</v>
      </c>
      <c r="E9309" t="s">
        <v>739</v>
      </c>
    </row>
    <row r="9310" spans="1:5" hidden="1" x14ac:dyDescent="0.3">
      <c r="A9310" t="s">
        <v>557</v>
      </c>
      <c r="B9310" t="s">
        <v>738</v>
      </c>
      <c r="C9310" t="s">
        <v>666</v>
      </c>
      <c r="D9310" s="230">
        <v>0</v>
      </c>
      <c r="E9310" t="s">
        <v>739</v>
      </c>
    </row>
    <row r="9311" spans="1:5" hidden="1" x14ac:dyDescent="0.3">
      <c r="A9311" t="s">
        <v>557</v>
      </c>
      <c r="B9311" t="s">
        <v>738</v>
      </c>
      <c r="C9311" t="s">
        <v>667</v>
      </c>
      <c r="D9311" s="230">
        <v>0</v>
      </c>
      <c r="E9311" t="s">
        <v>739</v>
      </c>
    </row>
    <row r="9312" spans="1:5" hidden="1" x14ac:dyDescent="0.3">
      <c r="A9312" t="s">
        <v>557</v>
      </c>
      <c r="B9312" t="s">
        <v>738</v>
      </c>
      <c r="C9312" t="s">
        <v>668</v>
      </c>
      <c r="D9312" s="230">
        <v>0</v>
      </c>
      <c r="E9312" t="s">
        <v>739</v>
      </c>
    </row>
    <row r="9313" spans="1:5" hidden="1" x14ac:dyDescent="0.3">
      <c r="A9313" t="s">
        <v>557</v>
      </c>
      <c r="B9313" t="s">
        <v>738</v>
      </c>
      <c r="C9313" t="s">
        <v>669</v>
      </c>
      <c r="D9313" s="230">
        <v>0</v>
      </c>
      <c r="E9313" t="s">
        <v>739</v>
      </c>
    </row>
    <row r="9314" spans="1:5" hidden="1" x14ac:dyDescent="0.3">
      <c r="A9314" t="s">
        <v>557</v>
      </c>
      <c r="B9314" t="s">
        <v>738</v>
      </c>
      <c r="C9314" t="s">
        <v>670</v>
      </c>
      <c r="D9314" s="230">
        <v>0</v>
      </c>
      <c r="E9314" t="s">
        <v>739</v>
      </c>
    </row>
    <row r="9315" spans="1:5" hidden="1" x14ac:dyDescent="0.3">
      <c r="A9315" t="s">
        <v>557</v>
      </c>
      <c r="B9315" t="s">
        <v>738</v>
      </c>
      <c r="C9315" t="s">
        <v>671</v>
      </c>
      <c r="D9315" s="230">
        <v>0</v>
      </c>
      <c r="E9315" t="s">
        <v>739</v>
      </c>
    </row>
    <row r="9316" spans="1:5" hidden="1" x14ac:dyDescent="0.3">
      <c r="A9316" t="s">
        <v>557</v>
      </c>
      <c r="B9316" t="s">
        <v>738</v>
      </c>
      <c r="C9316" t="s">
        <v>672</v>
      </c>
      <c r="D9316" s="230">
        <v>0</v>
      </c>
      <c r="E9316" t="s">
        <v>739</v>
      </c>
    </row>
    <row r="9317" spans="1:5" hidden="1" x14ac:dyDescent="0.3">
      <c r="A9317" t="s">
        <v>557</v>
      </c>
      <c r="B9317" t="s">
        <v>738</v>
      </c>
      <c r="C9317" t="s">
        <v>673</v>
      </c>
      <c r="D9317" s="230">
        <v>0</v>
      </c>
      <c r="E9317" t="s">
        <v>739</v>
      </c>
    </row>
    <row r="9318" spans="1:5" hidden="1" x14ac:dyDescent="0.3">
      <c r="A9318" t="s">
        <v>557</v>
      </c>
      <c r="B9318" t="s">
        <v>738</v>
      </c>
      <c r="C9318" t="s">
        <v>674</v>
      </c>
      <c r="D9318" s="230">
        <v>0</v>
      </c>
      <c r="E9318" t="s">
        <v>739</v>
      </c>
    </row>
    <row r="9319" spans="1:5" hidden="1" x14ac:dyDescent="0.3">
      <c r="A9319" t="s">
        <v>557</v>
      </c>
      <c r="B9319" t="s">
        <v>738</v>
      </c>
      <c r="C9319" t="s">
        <v>675</v>
      </c>
      <c r="D9319" s="230">
        <v>0</v>
      </c>
      <c r="E9319" t="s">
        <v>739</v>
      </c>
    </row>
    <row r="9320" spans="1:5" hidden="1" x14ac:dyDescent="0.3">
      <c r="A9320" t="s">
        <v>557</v>
      </c>
      <c r="B9320" t="s">
        <v>738</v>
      </c>
      <c r="C9320" t="s">
        <v>676</v>
      </c>
      <c r="D9320" s="230">
        <v>0</v>
      </c>
      <c r="E9320" t="s">
        <v>739</v>
      </c>
    </row>
    <row r="9321" spans="1:5" hidden="1" x14ac:dyDescent="0.3">
      <c r="A9321" t="s">
        <v>557</v>
      </c>
      <c r="B9321" t="s">
        <v>738</v>
      </c>
      <c r="C9321" t="s">
        <v>677</v>
      </c>
      <c r="D9321" s="230">
        <v>0</v>
      </c>
      <c r="E9321" t="s">
        <v>739</v>
      </c>
    </row>
    <row r="9322" spans="1:5" hidden="1" x14ac:dyDescent="0.3">
      <c r="A9322" t="s">
        <v>557</v>
      </c>
      <c r="B9322" t="s">
        <v>738</v>
      </c>
      <c r="C9322" t="s">
        <v>201</v>
      </c>
      <c r="D9322" s="230">
        <v>-10778</v>
      </c>
      <c r="E9322" t="s">
        <v>739</v>
      </c>
    </row>
    <row r="9323" spans="1:5" hidden="1" x14ac:dyDescent="0.3">
      <c r="A9323" t="s">
        <v>557</v>
      </c>
      <c r="B9323" t="s">
        <v>738</v>
      </c>
      <c r="C9323" t="s">
        <v>203</v>
      </c>
      <c r="D9323" s="230">
        <v>-10778</v>
      </c>
      <c r="E9323" t="s">
        <v>739</v>
      </c>
    </row>
    <row r="9324" spans="1:5" hidden="1" x14ac:dyDescent="0.3">
      <c r="A9324" t="s">
        <v>557</v>
      </c>
      <c r="B9324" t="s">
        <v>738</v>
      </c>
      <c r="C9324" t="s">
        <v>678</v>
      </c>
      <c r="D9324" s="230">
        <v>5389</v>
      </c>
      <c r="E9324" t="s">
        <v>739</v>
      </c>
    </row>
    <row r="9325" spans="1:5" hidden="1" x14ac:dyDescent="0.3">
      <c r="A9325" t="s">
        <v>557</v>
      </c>
      <c r="B9325" t="s">
        <v>738</v>
      </c>
      <c r="C9325" t="s">
        <v>205</v>
      </c>
      <c r="D9325" s="230">
        <v>-17029.2</v>
      </c>
      <c r="E9325" t="s">
        <v>739</v>
      </c>
    </row>
    <row r="9326" spans="1:5" hidden="1" x14ac:dyDescent="0.3">
      <c r="A9326" t="s">
        <v>557</v>
      </c>
      <c r="B9326" t="s">
        <v>738</v>
      </c>
      <c r="C9326" t="s">
        <v>679</v>
      </c>
      <c r="D9326" s="230">
        <v>-4870.75</v>
      </c>
      <c r="E9326" t="s">
        <v>739</v>
      </c>
    </row>
    <row r="9327" spans="1:5" hidden="1" x14ac:dyDescent="0.3">
      <c r="A9327" t="s">
        <v>557</v>
      </c>
      <c r="B9327" t="s">
        <v>738</v>
      </c>
      <c r="C9327" t="s">
        <v>680</v>
      </c>
      <c r="D9327" s="230">
        <v>0</v>
      </c>
      <c r="E9327" t="s">
        <v>739</v>
      </c>
    </row>
    <row r="9328" spans="1:5" hidden="1" x14ac:dyDescent="0.3">
      <c r="A9328" t="s">
        <v>557</v>
      </c>
      <c r="B9328" t="s">
        <v>738</v>
      </c>
      <c r="C9328" t="s">
        <v>681</v>
      </c>
      <c r="D9328" s="230">
        <v>-5577.84</v>
      </c>
      <c r="E9328" t="s">
        <v>739</v>
      </c>
    </row>
    <row r="9329" spans="1:5" hidden="1" x14ac:dyDescent="0.3">
      <c r="A9329" t="s">
        <v>557</v>
      </c>
      <c r="B9329" t="s">
        <v>738</v>
      </c>
      <c r="C9329" t="s">
        <v>682</v>
      </c>
      <c r="D9329" s="230">
        <v>-2467.0300000000002</v>
      </c>
      <c r="E9329" t="s">
        <v>739</v>
      </c>
    </row>
    <row r="9330" spans="1:5" hidden="1" x14ac:dyDescent="0.3">
      <c r="A9330" t="s">
        <v>557</v>
      </c>
      <c r="B9330" t="s">
        <v>738</v>
      </c>
      <c r="C9330" t="s">
        <v>683</v>
      </c>
      <c r="D9330" s="230">
        <v>0</v>
      </c>
      <c r="E9330" t="s">
        <v>739</v>
      </c>
    </row>
    <row r="9331" spans="1:5" hidden="1" x14ac:dyDescent="0.3">
      <c r="A9331" t="s">
        <v>557</v>
      </c>
      <c r="B9331" t="s">
        <v>738</v>
      </c>
      <c r="C9331" t="s">
        <v>684</v>
      </c>
      <c r="D9331" s="230">
        <v>0</v>
      </c>
      <c r="E9331" t="s">
        <v>739</v>
      </c>
    </row>
    <row r="9332" spans="1:5" hidden="1" x14ac:dyDescent="0.3">
      <c r="A9332" t="s">
        <v>557</v>
      </c>
      <c r="B9332" t="s">
        <v>738</v>
      </c>
      <c r="C9332" t="s">
        <v>685</v>
      </c>
      <c r="D9332" s="230">
        <v>0</v>
      </c>
      <c r="E9332" t="s">
        <v>739</v>
      </c>
    </row>
    <row r="9333" spans="1:5" hidden="1" x14ac:dyDescent="0.3">
      <c r="A9333" t="s">
        <v>557</v>
      </c>
      <c r="B9333" t="s">
        <v>738</v>
      </c>
      <c r="C9333" t="s">
        <v>686</v>
      </c>
      <c r="D9333" s="230">
        <v>-271.37</v>
      </c>
      <c r="E9333" t="s">
        <v>739</v>
      </c>
    </row>
    <row r="9334" spans="1:5" hidden="1" x14ac:dyDescent="0.3">
      <c r="A9334" t="s">
        <v>557</v>
      </c>
      <c r="B9334" t="s">
        <v>738</v>
      </c>
      <c r="C9334" t="s">
        <v>687</v>
      </c>
      <c r="D9334" s="230">
        <v>0</v>
      </c>
      <c r="E9334" t="s">
        <v>739</v>
      </c>
    </row>
    <row r="9335" spans="1:5" hidden="1" x14ac:dyDescent="0.3">
      <c r="A9335" t="s">
        <v>557</v>
      </c>
      <c r="B9335" t="s">
        <v>738</v>
      </c>
      <c r="C9335" t="s">
        <v>688</v>
      </c>
      <c r="D9335" s="230">
        <v>-3320.85</v>
      </c>
      <c r="E9335" t="s">
        <v>739</v>
      </c>
    </row>
    <row r="9336" spans="1:5" hidden="1" x14ac:dyDescent="0.3">
      <c r="A9336" t="s">
        <v>557</v>
      </c>
      <c r="B9336" t="s">
        <v>738</v>
      </c>
      <c r="C9336" t="s">
        <v>689</v>
      </c>
      <c r="D9336" s="230">
        <v>0</v>
      </c>
      <c r="E9336" t="s">
        <v>739</v>
      </c>
    </row>
    <row r="9337" spans="1:5" hidden="1" x14ac:dyDescent="0.3">
      <c r="A9337" t="s">
        <v>557</v>
      </c>
      <c r="B9337" t="s">
        <v>738</v>
      </c>
      <c r="C9337" t="s">
        <v>690</v>
      </c>
      <c r="D9337" s="230">
        <v>0</v>
      </c>
      <c r="E9337" t="s">
        <v>739</v>
      </c>
    </row>
    <row r="9338" spans="1:5" hidden="1" x14ac:dyDescent="0.3">
      <c r="A9338" t="s">
        <v>557</v>
      </c>
      <c r="B9338" t="s">
        <v>738</v>
      </c>
      <c r="C9338" t="s">
        <v>691</v>
      </c>
      <c r="D9338" s="230">
        <v>0</v>
      </c>
      <c r="E9338" t="s">
        <v>739</v>
      </c>
    </row>
    <row r="9339" spans="1:5" hidden="1" x14ac:dyDescent="0.3">
      <c r="A9339" t="s">
        <v>557</v>
      </c>
      <c r="B9339" t="s">
        <v>738</v>
      </c>
      <c r="C9339" t="s">
        <v>692</v>
      </c>
      <c r="D9339" s="230">
        <v>-521.36</v>
      </c>
      <c r="E9339" t="s">
        <v>739</v>
      </c>
    </row>
    <row r="9340" spans="1:5" hidden="1" x14ac:dyDescent="0.3">
      <c r="A9340" t="s">
        <v>557</v>
      </c>
      <c r="B9340" t="s">
        <v>738</v>
      </c>
      <c r="C9340" t="s">
        <v>693</v>
      </c>
      <c r="D9340" s="230">
        <v>0</v>
      </c>
      <c r="E9340" t="s">
        <v>739</v>
      </c>
    </row>
    <row r="9341" spans="1:5" hidden="1" x14ac:dyDescent="0.3">
      <c r="A9341" t="s">
        <v>557</v>
      </c>
      <c r="B9341" t="s">
        <v>738</v>
      </c>
      <c r="C9341" t="s">
        <v>694</v>
      </c>
      <c r="D9341" s="230">
        <v>0</v>
      </c>
      <c r="E9341" t="s">
        <v>739</v>
      </c>
    </row>
    <row r="9342" spans="1:5" hidden="1" x14ac:dyDescent="0.3">
      <c r="A9342" t="s">
        <v>557</v>
      </c>
      <c r="B9342" t="s">
        <v>738</v>
      </c>
      <c r="C9342" t="s">
        <v>238</v>
      </c>
      <c r="D9342" s="230">
        <v>-7721.5</v>
      </c>
      <c r="E9342" t="s">
        <v>739</v>
      </c>
    </row>
    <row r="9343" spans="1:5" hidden="1" x14ac:dyDescent="0.3">
      <c r="A9343" t="s">
        <v>557</v>
      </c>
      <c r="B9343" t="s">
        <v>738</v>
      </c>
      <c r="C9343" t="s">
        <v>695</v>
      </c>
      <c r="D9343" s="230">
        <v>-6063.55</v>
      </c>
      <c r="E9343" t="s">
        <v>739</v>
      </c>
    </row>
    <row r="9344" spans="1:5" hidden="1" x14ac:dyDescent="0.3">
      <c r="A9344" t="s">
        <v>557</v>
      </c>
      <c r="B9344" t="s">
        <v>738</v>
      </c>
      <c r="C9344" t="s">
        <v>696</v>
      </c>
      <c r="D9344" s="230">
        <v>-1457.18</v>
      </c>
      <c r="E9344" t="s">
        <v>739</v>
      </c>
    </row>
    <row r="9345" spans="1:5" hidden="1" x14ac:dyDescent="0.3">
      <c r="A9345" t="s">
        <v>557</v>
      </c>
      <c r="B9345" t="s">
        <v>738</v>
      </c>
      <c r="C9345" t="s">
        <v>697</v>
      </c>
      <c r="D9345" s="230">
        <v>0</v>
      </c>
      <c r="E9345" t="s">
        <v>739</v>
      </c>
    </row>
    <row r="9346" spans="1:5" hidden="1" x14ac:dyDescent="0.3">
      <c r="A9346" t="s">
        <v>557</v>
      </c>
      <c r="B9346" t="s">
        <v>738</v>
      </c>
      <c r="C9346" t="s">
        <v>698</v>
      </c>
      <c r="D9346" s="230">
        <v>-200.77</v>
      </c>
      <c r="E9346" t="s">
        <v>739</v>
      </c>
    </row>
    <row r="9347" spans="1:5" hidden="1" x14ac:dyDescent="0.3">
      <c r="A9347" t="s">
        <v>557</v>
      </c>
      <c r="B9347" t="s">
        <v>738</v>
      </c>
      <c r="C9347" t="s">
        <v>699</v>
      </c>
      <c r="D9347" s="230">
        <v>0</v>
      </c>
      <c r="E9347" t="s">
        <v>739</v>
      </c>
    </row>
    <row r="9348" spans="1:5" hidden="1" x14ac:dyDescent="0.3">
      <c r="A9348" t="s">
        <v>557</v>
      </c>
      <c r="B9348" t="s">
        <v>738</v>
      </c>
      <c r="C9348" t="s">
        <v>245</v>
      </c>
      <c r="D9348" s="230">
        <v>-14897.76</v>
      </c>
      <c r="E9348" t="s">
        <v>739</v>
      </c>
    </row>
    <row r="9349" spans="1:5" hidden="1" x14ac:dyDescent="0.3">
      <c r="A9349" t="s">
        <v>557</v>
      </c>
      <c r="B9349" t="s">
        <v>738</v>
      </c>
      <c r="C9349" t="s">
        <v>700</v>
      </c>
      <c r="D9349" s="230">
        <v>0</v>
      </c>
      <c r="E9349" t="s">
        <v>739</v>
      </c>
    </row>
    <row r="9350" spans="1:5" hidden="1" x14ac:dyDescent="0.3">
      <c r="A9350" t="s">
        <v>557</v>
      </c>
      <c r="B9350" t="s">
        <v>738</v>
      </c>
      <c r="C9350" t="s">
        <v>701</v>
      </c>
      <c r="D9350" s="230">
        <v>-272.39999999999998</v>
      </c>
      <c r="E9350" t="s">
        <v>739</v>
      </c>
    </row>
    <row r="9351" spans="1:5" hidden="1" x14ac:dyDescent="0.3">
      <c r="A9351" t="s">
        <v>557</v>
      </c>
      <c r="B9351" t="s">
        <v>738</v>
      </c>
      <c r="C9351" t="s">
        <v>702</v>
      </c>
      <c r="D9351" s="230">
        <v>0</v>
      </c>
      <c r="E9351" t="s">
        <v>739</v>
      </c>
    </row>
    <row r="9352" spans="1:5" hidden="1" x14ac:dyDescent="0.3">
      <c r="A9352" t="s">
        <v>557</v>
      </c>
      <c r="B9352" t="s">
        <v>738</v>
      </c>
      <c r="C9352" t="s">
        <v>703</v>
      </c>
      <c r="D9352" s="230">
        <v>-2100</v>
      </c>
      <c r="E9352" t="s">
        <v>739</v>
      </c>
    </row>
    <row r="9353" spans="1:5" hidden="1" x14ac:dyDescent="0.3">
      <c r="A9353" t="s">
        <v>557</v>
      </c>
      <c r="B9353" t="s">
        <v>738</v>
      </c>
      <c r="C9353" t="s">
        <v>704</v>
      </c>
      <c r="D9353" s="230">
        <v>0</v>
      </c>
      <c r="E9353" t="s">
        <v>739</v>
      </c>
    </row>
    <row r="9354" spans="1:5" hidden="1" x14ac:dyDescent="0.3">
      <c r="A9354" t="s">
        <v>557</v>
      </c>
      <c r="B9354" t="s">
        <v>738</v>
      </c>
      <c r="C9354" t="s">
        <v>705</v>
      </c>
      <c r="D9354" s="230">
        <v>-12525.36</v>
      </c>
      <c r="E9354" t="s">
        <v>739</v>
      </c>
    </row>
    <row r="9355" spans="1:5" hidden="1" x14ac:dyDescent="0.3">
      <c r="A9355" t="s">
        <v>557</v>
      </c>
      <c r="B9355" t="s">
        <v>738</v>
      </c>
      <c r="C9355" t="s">
        <v>706</v>
      </c>
      <c r="D9355" s="230">
        <v>0</v>
      </c>
      <c r="E9355" t="s">
        <v>739</v>
      </c>
    </row>
    <row r="9356" spans="1:5" hidden="1" x14ac:dyDescent="0.3">
      <c r="A9356" t="s">
        <v>557</v>
      </c>
      <c r="B9356" t="s">
        <v>738</v>
      </c>
      <c r="C9356" t="s">
        <v>254</v>
      </c>
      <c r="D9356" s="230">
        <v>-0.27</v>
      </c>
      <c r="E9356" t="s">
        <v>739</v>
      </c>
    </row>
    <row r="9357" spans="1:5" hidden="1" x14ac:dyDescent="0.3">
      <c r="A9357" t="s">
        <v>557</v>
      </c>
      <c r="B9357" t="s">
        <v>738</v>
      </c>
      <c r="C9357" t="s">
        <v>255</v>
      </c>
      <c r="D9357" s="230">
        <v>-0.19</v>
      </c>
      <c r="E9357" t="s">
        <v>739</v>
      </c>
    </row>
    <row r="9358" spans="1:5" hidden="1" x14ac:dyDescent="0.3">
      <c r="A9358" t="s">
        <v>557</v>
      </c>
      <c r="B9358" t="s">
        <v>738</v>
      </c>
      <c r="C9358" t="s">
        <v>256</v>
      </c>
      <c r="D9358" s="230">
        <v>-51438.17</v>
      </c>
      <c r="E9358" t="s">
        <v>739</v>
      </c>
    </row>
    <row r="9359" spans="1:5" hidden="1" x14ac:dyDescent="0.3">
      <c r="A9359" t="s">
        <v>557</v>
      </c>
      <c r="B9359" t="s">
        <v>738</v>
      </c>
      <c r="C9359" t="s">
        <v>257</v>
      </c>
      <c r="D9359" s="230">
        <v>-49002</v>
      </c>
      <c r="E9359" t="s">
        <v>739</v>
      </c>
    </row>
    <row r="9360" spans="1:5" hidden="1" x14ac:dyDescent="0.3">
      <c r="A9360" t="s">
        <v>557</v>
      </c>
      <c r="B9360" t="s">
        <v>738</v>
      </c>
      <c r="C9360" t="s">
        <v>258</v>
      </c>
      <c r="D9360" s="230">
        <v>0</v>
      </c>
      <c r="E9360" t="s">
        <v>739</v>
      </c>
    </row>
    <row r="9361" spans="1:5" hidden="1" x14ac:dyDescent="0.3">
      <c r="A9361" t="s">
        <v>557</v>
      </c>
      <c r="B9361" t="s">
        <v>738</v>
      </c>
      <c r="C9361" t="s">
        <v>259</v>
      </c>
      <c r="D9361" s="230">
        <v>-2436.17</v>
      </c>
      <c r="E9361" t="s">
        <v>739</v>
      </c>
    </row>
    <row r="9362" spans="1:5" hidden="1" x14ac:dyDescent="0.3">
      <c r="A9362" t="s">
        <v>557</v>
      </c>
      <c r="B9362" t="s">
        <v>738</v>
      </c>
      <c r="C9362" t="s">
        <v>260</v>
      </c>
      <c r="D9362" s="230">
        <v>0</v>
      </c>
      <c r="E9362" t="s">
        <v>739</v>
      </c>
    </row>
    <row r="9363" spans="1:5" hidden="1" x14ac:dyDescent="0.3">
      <c r="A9363" t="s">
        <v>557</v>
      </c>
      <c r="B9363" t="s">
        <v>738</v>
      </c>
      <c r="C9363" t="s">
        <v>261</v>
      </c>
      <c r="D9363" s="230">
        <v>0</v>
      </c>
      <c r="E9363" t="s">
        <v>739</v>
      </c>
    </row>
    <row r="9364" spans="1:5" hidden="1" x14ac:dyDescent="0.3">
      <c r="A9364" t="s">
        <v>557</v>
      </c>
      <c r="B9364" t="s">
        <v>738</v>
      </c>
      <c r="C9364" t="s">
        <v>262</v>
      </c>
      <c r="D9364" s="230">
        <v>0</v>
      </c>
      <c r="E9364" t="s">
        <v>739</v>
      </c>
    </row>
    <row r="9365" spans="1:5" hidden="1" x14ac:dyDescent="0.3">
      <c r="A9365" t="s">
        <v>557</v>
      </c>
      <c r="B9365" t="s">
        <v>738</v>
      </c>
      <c r="C9365" t="s">
        <v>263</v>
      </c>
      <c r="D9365" s="230">
        <v>0</v>
      </c>
      <c r="E9365" t="s">
        <v>739</v>
      </c>
    </row>
    <row r="9366" spans="1:5" hidden="1" x14ac:dyDescent="0.3">
      <c r="A9366" t="s">
        <v>557</v>
      </c>
      <c r="B9366" t="s">
        <v>738</v>
      </c>
      <c r="C9366" t="s">
        <v>44</v>
      </c>
      <c r="D9366" s="230">
        <v>-0.12</v>
      </c>
      <c r="E9366" t="s">
        <v>739</v>
      </c>
    </row>
    <row r="9367" spans="1:5" hidden="1" x14ac:dyDescent="0.3">
      <c r="A9367" t="s">
        <v>557</v>
      </c>
      <c r="B9367" t="s">
        <v>738</v>
      </c>
      <c r="C9367" t="s">
        <v>264</v>
      </c>
      <c r="D9367" s="230">
        <v>-33760.18</v>
      </c>
      <c r="E9367" t="s">
        <v>739</v>
      </c>
    </row>
    <row r="9368" spans="1:5" hidden="1" x14ac:dyDescent="0.3">
      <c r="A9368" t="s">
        <v>557</v>
      </c>
      <c r="B9368" t="s">
        <v>738</v>
      </c>
      <c r="C9368" t="s">
        <v>265</v>
      </c>
      <c r="D9368" s="230">
        <v>-4474.05</v>
      </c>
      <c r="E9368" t="s">
        <v>739</v>
      </c>
    </row>
    <row r="9369" spans="1:5" hidden="1" x14ac:dyDescent="0.3">
      <c r="A9369" t="s">
        <v>557</v>
      </c>
      <c r="B9369" t="s">
        <v>738</v>
      </c>
      <c r="C9369" t="s">
        <v>266</v>
      </c>
      <c r="D9369" s="230">
        <v>-10145.4</v>
      </c>
      <c r="E9369" t="s">
        <v>739</v>
      </c>
    </row>
    <row r="9370" spans="1:5" hidden="1" x14ac:dyDescent="0.3">
      <c r="A9370" t="s">
        <v>557</v>
      </c>
      <c r="B9370" t="s">
        <v>738</v>
      </c>
      <c r="C9370" t="s">
        <v>267</v>
      </c>
      <c r="D9370" s="230">
        <v>-5295.93</v>
      </c>
      <c r="E9370" t="s">
        <v>739</v>
      </c>
    </row>
    <row r="9371" spans="1:5" hidden="1" x14ac:dyDescent="0.3">
      <c r="A9371" t="s">
        <v>557</v>
      </c>
      <c r="B9371" t="s">
        <v>738</v>
      </c>
      <c r="C9371" t="s">
        <v>268</v>
      </c>
      <c r="D9371" s="230">
        <v>-6751.1</v>
      </c>
      <c r="E9371" t="s">
        <v>739</v>
      </c>
    </row>
    <row r="9372" spans="1:5" hidden="1" x14ac:dyDescent="0.3">
      <c r="A9372" t="s">
        <v>557</v>
      </c>
      <c r="B9372" t="s">
        <v>738</v>
      </c>
      <c r="C9372" t="s">
        <v>269</v>
      </c>
      <c r="D9372" s="230">
        <v>0</v>
      </c>
      <c r="E9372" t="s">
        <v>739</v>
      </c>
    </row>
    <row r="9373" spans="1:5" hidden="1" x14ac:dyDescent="0.3">
      <c r="A9373" t="s">
        <v>557</v>
      </c>
      <c r="B9373" t="s">
        <v>738</v>
      </c>
      <c r="C9373" t="s">
        <v>270</v>
      </c>
      <c r="D9373" s="230">
        <v>-550</v>
      </c>
      <c r="E9373" t="s">
        <v>739</v>
      </c>
    </row>
    <row r="9374" spans="1:5" hidden="1" x14ac:dyDescent="0.3">
      <c r="A9374" t="s">
        <v>557</v>
      </c>
      <c r="B9374" t="s">
        <v>738</v>
      </c>
      <c r="C9374" t="s">
        <v>271</v>
      </c>
      <c r="D9374" s="230">
        <v>-1210.8</v>
      </c>
      <c r="E9374" t="s">
        <v>739</v>
      </c>
    </row>
    <row r="9375" spans="1:5" hidden="1" x14ac:dyDescent="0.3">
      <c r="A9375" t="s">
        <v>557</v>
      </c>
      <c r="B9375" t="s">
        <v>738</v>
      </c>
      <c r="C9375" t="s">
        <v>272</v>
      </c>
      <c r="D9375" s="230">
        <v>-723.42</v>
      </c>
      <c r="E9375" t="s">
        <v>739</v>
      </c>
    </row>
    <row r="9376" spans="1:5" hidden="1" x14ac:dyDescent="0.3">
      <c r="A9376" t="s">
        <v>557</v>
      </c>
      <c r="B9376" t="s">
        <v>738</v>
      </c>
      <c r="C9376" t="s">
        <v>273</v>
      </c>
      <c r="D9376" s="230">
        <v>-47</v>
      </c>
      <c r="E9376" t="s">
        <v>739</v>
      </c>
    </row>
    <row r="9377" spans="1:5" hidden="1" x14ac:dyDescent="0.3">
      <c r="A9377" t="s">
        <v>557</v>
      </c>
      <c r="B9377" t="s">
        <v>738</v>
      </c>
      <c r="C9377" t="s">
        <v>274</v>
      </c>
      <c r="D9377" s="230">
        <v>0</v>
      </c>
      <c r="E9377" t="s">
        <v>739</v>
      </c>
    </row>
    <row r="9378" spans="1:5" hidden="1" x14ac:dyDescent="0.3">
      <c r="A9378" t="s">
        <v>557</v>
      </c>
      <c r="B9378" t="s">
        <v>738</v>
      </c>
      <c r="C9378" t="s">
        <v>275</v>
      </c>
      <c r="D9378" s="230">
        <v>559.57000000000005</v>
      </c>
      <c r="E9378" t="s">
        <v>739</v>
      </c>
    </row>
    <row r="9379" spans="1:5" hidden="1" x14ac:dyDescent="0.3">
      <c r="A9379" t="s">
        <v>557</v>
      </c>
      <c r="B9379" t="s">
        <v>738</v>
      </c>
      <c r="C9379" t="s">
        <v>276</v>
      </c>
      <c r="D9379" s="230">
        <v>-1521.55</v>
      </c>
      <c r="E9379" t="s">
        <v>739</v>
      </c>
    </row>
    <row r="9380" spans="1:5" hidden="1" x14ac:dyDescent="0.3">
      <c r="A9380" t="s">
        <v>557</v>
      </c>
      <c r="B9380" t="s">
        <v>738</v>
      </c>
      <c r="C9380" t="s">
        <v>277</v>
      </c>
      <c r="D9380" s="230">
        <v>-93</v>
      </c>
      <c r="E9380" t="s">
        <v>739</v>
      </c>
    </row>
    <row r="9381" spans="1:5" hidden="1" x14ac:dyDescent="0.3">
      <c r="A9381" t="s">
        <v>557</v>
      </c>
      <c r="B9381" t="s">
        <v>738</v>
      </c>
      <c r="C9381" t="s">
        <v>278</v>
      </c>
      <c r="D9381" s="230">
        <v>-3507.5</v>
      </c>
      <c r="E9381" t="s">
        <v>739</v>
      </c>
    </row>
    <row r="9382" spans="1:5" hidden="1" x14ac:dyDescent="0.3">
      <c r="A9382" t="s">
        <v>557</v>
      </c>
      <c r="B9382" t="s">
        <v>738</v>
      </c>
      <c r="C9382" t="s">
        <v>44</v>
      </c>
      <c r="D9382" s="230">
        <v>-0.08</v>
      </c>
      <c r="E9382" t="s">
        <v>739</v>
      </c>
    </row>
    <row r="9383" spans="1:5" hidden="1" x14ac:dyDescent="0.3">
      <c r="A9383" t="s">
        <v>557</v>
      </c>
      <c r="B9383" t="s">
        <v>738</v>
      </c>
      <c r="C9383" t="s">
        <v>279</v>
      </c>
      <c r="D9383" s="230">
        <v>-4189.1400000000003</v>
      </c>
      <c r="E9383" t="s">
        <v>739</v>
      </c>
    </row>
    <row r="9384" spans="1:5" hidden="1" x14ac:dyDescent="0.3">
      <c r="A9384" t="s">
        <v>557</v>
      </c>
      <c r="B9384" t="s">
        <v>738</v>
      </c>
      <c r="C9384" t="s">
        <v>280</v>
      </c>
      <c r="D9384" s="230">
        <v>0</v>
      </c>
      <c r="E9384" t="s">
        <v>739</v>
      </c>
    </row>
    <row r="9385" spans="1:5" hidden="1" x14ac:dyDescent="0.3">
      <c r="A9385" t="s">
        <v>557</v>
      </c>
      <c r="B9385" t="s">
        <v>738</v>
      </c>
      <c r="C9385" t="s">
        <v>281</v>
      </c>
      <c r="D9385" s="230">
        <v>-579.88</v>
      </c>
      <c r="E9385" t="s">
        <v>739</v>
      </c>
    </row>
    <row r="9386" spans="1:5" hidden="1" x14ac:dyDescent="0.3">
      <c r="A9386" t="s">
        <v>557</v>
      </c>
      <c r="B9386" t="s">
        <v>738</v>
      </c>
      <c r="C9386" t="s">
        <v>282</v>
      </c>
      <c r="D9386" s="230">
        <v>-342.91</v>
      </c>
      <c r="E9386" t="s">
        <v>739</v>
      </c>
    </row>
    <row r="9387" spans="1:5" hidden="1" x14ac:dyDescent="0.3">
      <c r="A9387" t="s">
        <v>557</v>
      </c>
      <c r="B9387" t="s">
        <v>738</v>
      </c>
      <c r="C9387" t="s">
        <v>283</v>
      </c>
      <c r="D9387" s="230">
        <v>-293.93</v>
      </c>
      <c r="E9387" t="s">
        <v>739</v>
      </c>
    </row>
    <row r="9388" spans="1:5" hidden="1" x14ac:dyDescent="0.3">
      <c r="A9388" t="s">
        <v>557</v>
      </c>
      <c r="B9388" t="s">
        <v>738</v>
      </c>
      <c r="C9388" t="s">
        <v>284</v>
      </c>
      <c r="D9388" s="230">
        <v>-1615.82</v>
      </c>
      <c r="E9388" t="s">
        <v>739</v>
      </c>
    </row>
    <row r="9389" spans="1:5" hidden="1" x14ac:dyDescent="0.3">
      <c r="A9389" t="s">
        <v>557</v>
      </c>
      <c r="B9389" t="s">
        <v>738</v>
      </c>
      <c r="C9389" t="s">
        <v>285</v>
      </c>
      <c r="D9389" s="230">
        <v>-409</v>
      </c>
      <c r="E9389" t="s">
        <v>739</v>
      </c>
    </row>
    <row r="9390" spans="1:5" hidden="1" x14ac:dyDescent="0.3">
      <c r="A9390" t="s">
        <v>557</v>
      </c>
      <c r="B9390" t="s">
        <v>738</v>
      </c>
      <c r="C9390" t="s">
        <v>286</v>
      </c>
      <c r="D9390" s="230">
        <v>-947.6</v>
      </c>
      <c r="E9390" t="s">
        <v>739</v>
      </c>
    </row>
    <row r="9391" spans="1:5" hidden="1" x14ac:dyDescent="0.3">
      <c r="A9391" t="s">
        <v>557</v>
      </c>
      <c r="B9391" t="s">
        <v>738</v>
      </c>
      <c r="C9391" t="s">
        <v>44</v>
      </c>
      <c r="D9391" s="230">
        <v>-0.01</v>
      </c>
      <c r="E9391" t="s">
        <v>739</v>
      </c>
    </row>
    <row r="9392" spans="1:5" hidden="1" x14ac:dyDescent="0.3">
      <c r="A9392" t="s">
        <v>557</v>
      </c>
      <c r="B9392" t="s">
        <v>738</v>
      </c>
      <c r="C9392" t="s">
        <v>287</v>
      </c>
      <c r="D9392" s="230">
        <v>-8911.65</v>
      </c>
      <c r="E9392" t="s">
        <v>739</v>
      </c>
    </row>
    <row r="9393" spans="1:5" hidden="1" x14ac:dyDescent="0.3">
      <c r="A9393" t="s">
        <v>557</v>
      </c>
      <c r="B9393" t="s">
        <v>738</v>
      </c>
      <c r="C9393" t="s">
        <v>288</v>
      </c>
      <c r="D9393" s="230">
        <v>-2500</v>
      </c>
      <c r="E9393" t="s">
        <v>739</v>
      </c>
    </row>
    <row r="9394" spans="1:5" hidden="1" x14ac:dyDescent="0.3">
      <c r="A9394" t="s">
        <v>557</v>
      </c>
      <c r="B9394" t="s">
        <v>738</v>
      </c>
      <c r="C9394" t="s">
        <v>289</v>
      </c>
      <c r="D9394" s="230">
        <v>-1713.05</v>
      </c>
      <c r="E9394" t="s">
        <v>739</v>
      </c>
    </row>
    <row r="9395" spans="1:5" hidden="1" x14ac:dyDescent="0.3">
      <c r="A9395" t="s">
        <v>557</v>
      </c>
      <c r="B9395" t="s">
        <v>738</v>
      </c>
      <c r="C9395" t="s">
        <v>290</v>
      </c>
      <c r="D9395" s="230">
        <v>0</v>
      </c>
      <c r="E9395" t="s">
        <v>739</v>
      </c>
    </row>
    <row r="9396" spans="1:5" hidden="1" x14ac:dyDescent="0.3">
      <c r="A9396" t="s">
        <v>557</v>
      </c>
      <c r="B9396" t="s">
        <v>738</v>
      </c>
      <c r="C9396" t="s">
        <v>291</v>
      </c>
      <c r="D9396" s="230">
        <v>-3299.8</v>
      </c>
      <c r="E9396" t="s">
        <v>739</v>
      </c>
    </row>
    <row r="9397" spans="1:5" hidden="1" x14ac:dyDescent="0.3">
      <c r="A9397" t="s">
        <v>557</v>
      </c>
      <c r="B9397" t="s">
        <v>738</v>
      </c>
      <c r="C9397" t="s">
        <v>292</v>
      </c>
      <c r="D9397" s="230">
        <v>0</v>
      </c>
      <c r="E9397" t="s">
        <v>739</v>
      </c>
    </row>
    <row r="9398" spans="1:5" hidden="1" x14ac:dyDescent="0.3">
      <c r="A9398" t="s">
        <v>557</v>
      </c>
      <c r="B9398" t="s">
        <v>738</v>
      </c>
      <c r="C9398" t="s">
        <v>293</v>
      </c>
      <c r="D9398" s="230">
        <v>-1361.9</v>
      </c>
      <c r="E9398" t="s">
        <v>739</v>
      </c>
    </row>
    <row r="9399" spans="1:5" hidden="1" x14ac:dyDescent="0.3">
      <c r="A9399" t="s">
        <v>557</v>
      </c>
      <c r="B9399" t="s">
        <v>738</v>
      </c>
      <c r="C9399" t="s">
        <v>294</v>
      </c>
      <c r="D9399" s="230">
        <v>-36.9</v>
      </c>
      <c r="E9399" t="s">
        <v>739</v>
      </c>
    </row>
    <row r="9400" spans="1:5" hidden="1" x14ac:dyDescent="0.3">
      <c r="A9400" t="s">
        <v>557</v>
      </c>
      <c r="B9400" t="s">
        <v>738</v>
      </c>
      <c r="C9400" t="s">
        <v>295</v>
      </c>
      <c r="D9400" s="230">
        <v>0</v>
      </c>
      <c r="E9400" t="s">
        <v>739</v>
      </c>
    </row>
    <row r="9401" spans="1:5" hidden="1" x14ac:dyDescent="0.3">
      <c r="A9401" t="s">
        <v>557</v>
      </c>
      <c r="B9401" t="s">
        <v>738</v>
      </c>
      <c r="C9401" t="s">
        <v>44</v>
      </c>
      <c r="D9401" s="230">
        <v>-0.02</v>
      </c>
      <c r="E9401" t="s">
        <v>739</v>
      </c>
    </row>
    <row r="9402" spans="1:5" hidden="1" x14ac:dyDescent="0.3">
      <c r="A9402" t="s">
        <v>557</v>
      </c>
      <c r="B9402" t="s">
        <v>738</v>
      </c>
      <c r="C9402" t="s">
        <v>296</v>
      </c>
      <c r="D9402" s="230">
        <v>-6581.96</v>
      </c>
      <c r="E9402" t="s">
        <v>739</v>
      </c>
    </row>
    <row r="9403" spans="1:5" hidden="1" x14ac:dyDescent="0.3">
      <c r="A9403" t="s">
        <v>557</v>
      </c>
      <c r="B9403" t="s">
        <v>738</v>
      </c>
      <c r="C9403" t="s">
        <v>297</v>
      </c>
      <c r="D9403" s="230">
        <v>-4000</v>
      </c>
      <c r="E9403" t="s">
        <v>739</v>
      </c>
    </row>
    <row r="9404" spans="1:5" hidden="1" x14ac:dyDescent="0.3">
      <c r="A9404" t="s">
        <v>557</v>
      </c>
      <c r="B9404" t="s">
        <v>738</v>
      </c>
      <c r="C9404" t="s">
        <v>298</v>
      </c>
      <c r="D9404" s="230">
        <v>-500</v>
      </c>
      <c r="E9404" t="s">
        <v>739</v>
      </c>
    </row>
    <row r="9405" spans="1:5" hidden="1" x14ac:dyDescent="0.3">
      <c r="A9405" t="s">
        <v>557</v>
      </c>
      <c r="B9405" t="s">
        <v>738</v>
      </c>
      <c r="C9405" t="s">
        <v>299</v>
      </c>
      <c r="D9405" s="230">
        <v>0</v>
      </c>
      <c r="E9405" t="s">
        <v>739</v>
      </c>
    </row>
    <row r="9406" spans="1:5" hidden="1" x14ac:dyDescent="0.3">
      <c r="A9406" t="s">
        <v>557</v>
      </c>
      <c r="B9406" t="s">
        <v>738</v>
      </c>
      <c r="C9406" t="s">
        <v>300</v>
      </c>
      <c r="D9406" s="230">
        <v>-289.60000000000002</v>
      </c>
      <c r="E9406" t="s">
        <v>739</v>
      </c>
    </row>
    <row r="9407" spans="1:5" hidden="1" x14ac:dyDescent="0.3">
      <c r="A9407" t="s">
        <v>557</v>
      </c>
      <c r="B9407" t="s">
        <v>738</v>
      </c>
      <c r="C9407" t="s">
        <v>301</v>
      </c>
      <c r="D9407" s="230">
        <v>-99.4</v>
      </c>
      <c r="E9407" t="s">
        <v>739</v>
      </c>
    </row>
    <row r="9408" spans="1:5" hidden="1" x14ac:dyDescent="0.3">
      <c r="A9408" t="s">
        <v>557</v>
      </c>
      <c r="B9408" t="s">
        <v>738</v>
      </c>
      <c r="C9408" t="s">
        <v>302</v>
      </c>
      <c r="D9408" s="230">
        <v>0</v>
      </c>
      <c r="E9408" t="s">
        <v>739</v>
      </c>
    </row>
    <row r="9409" spans="1:5" hidden="1" x14ac:dyDescent="0.3">
      <c r="A9409" t="s">
        <v>557</v>
      </c>
      <c r="B9409" t="s">
        <v>738</v>
      </c>
      <c r="C9409" t="s">
        <v>303</v>
      </c>
      <c r="D9409" s="230">
        <v>-877.96</v>
      </c>
      <c r="E9409" t="s">
        <v>739</v>
      </c>
    </row>
    <row r="9410" spans="1:5" hidden="1" x14ac:dyDescent="0.3">
      <c r="A9410" t="s">
        <v>557</v>
      </c>
      <c r="B9410" t="s">
        <v>738</v>
      </c>
      <c r="C9410" t="s">
        <v>304</v>
      </c>
      <c r="D9410" s="230">
        <v>-815</v>
      </c>
      <c r="E9410" t="s">
        <v>739</v>
      </c>
    </row>
    <row r="9411" spans="1:5" hidden="1" x14ac:dyDescent="0.3">
      <c r="A9411" t="s">
        <v>557</v>
      </c>
      <c r="B9411" t="s">
        <v>738</v>
      </c>
      <c r="C9411" t="s">
        <v>305</v>
      </c>
      <c r="D9411" s="230">
        <v>0</v>
      </c>
      <c r="E9411" t="s">
        <v>739</v>
      </c>
    </row>
    <row r="9412" spans="1:5" hidden="1" x14ac:dyDescent="0.3">
      <c r="A9412" t="s">
        <v>557</v>
      </c>
      <c r="B9412" t="s">
        <v>738</v>
      </c>
      <c r="C9412" t="s">
        <v>306</v>
      </c>
      <c r="D9412" s="230">
        <v>0</v>
      </c>
      <c r="E9412" t="s">
        <v>739</v>
      </c>
    </row>
    <row r="9413" spans="1:5" hidden="1" x14ac:dyDescent="0.3">
      <c r="A9413" t="s">
        <v>557</v>
      </c>
      <c r="B9413" t="s">
        <v>738</v>
      </c>
      <c r="C9413" t="s">
        <v>307</v>
      </c>
      <c r="D9413" s="230">
        <v>0</v>
      </c>
      <c r="E9413" t="s">
        <v>739</v>
      </c>
    </row>
    <row r="9414" spans="1:5" hidden="1" x14ac:dyDescent="0.3">
      <c r="A9414" t="s">
        <v>557</v>
      </c>
      <c r="B9414" t="s">
        <v>738</v>
      </c>
      <c r="C9414" t="s">
        <v>44</v>
      </c>
      <c r="D9414" s="230">
        <v>-0.02</v>
      </c>
      <c r="E9414" t="s">
        <v>739</v>
      </c>
    </row>
    <row r="9415" spans="1:5" hidden="1" x14ac:dyDescent="0.3">
      <c r="A9415" t="s">
        <v>557</v>
      </c>
      <c r="B9415" t="s">
        <v>738</v>
      </c>
      <c r="C9415" t="s">
        <v>308</v>
      </c>
      <c r="D9415" s="230">
        <v>-4193.18</v>
      </c>
      <c r="E9415" t="s">
        <v>739</v>
      </c>
    </row>
    <row r="9416" spans="1:5" hidden="1" x14ac:dyDescent="0.3">
      <c r="A9416" t="s">
        <v>557</v>
      </c>
      <c r="B9416" t="s">
        <v>738</v>
      </c>
      <c r="C9416" t="s">
        <v>309</v>
      </c>
      <c r="D9416" s="230">
        <v>-3000</v>
      </c>
      <c r="E9416" t="s">
        <v>739</v>
      </c>
    </row>
    <row r="9417" spans="1:5" hidden="1" x14ac:dyDescent="0.3">
      <c r="A9417" t="s">
        <v>557</v>
      </c>
      <c r="B9417" t="s">
        <v>738</v>
      </c>
      <c r="C9417" t="s">
        <v>310</v>
      </c>
      <c r="D9417" s="230">
        <v>0</v>
      </c>
      <c r="E9417" t="s">
        <v>739</v>
      </c>
    </row>
    <row r="9418" spans="1:5" hidden="1" x14ac:dyDescent="0.3">
      <c r="A9418" t="s">
        <v>557</v>
      </c>
      <c r="B9418" t="s">
        <v>738</v>
      </c>
      <c r="C9418" t="s">
        <v>311</v>
      </c>
      <c r="D9418" s="230">
        <v>-300</v>
      </c>
      <c r="E9418" t="s">
        <v>739</v>
      </c>
    </row>
    <row r="9419" spans="1:5" hidden="1" x14ac:dyDescent="0.3">
      <c r="A9419" t="s">
        <v>557</v>
      </c>
      <c r="B9419" t="s">
        <v>738</v>
      </c>
      <c r="C9419" t="s">
        <v>312</v>
      </c>
      <c r="D9419" s="230">
        <v>-185</v>
      </c>
      <c r="E9419" t="s">
        <v>739</v>
      </c>
    </row>
    <row r="9420" spans="1:5" hidden="1" x14ac:dyDescent="0.3">
      <c r="A9420" t="s">
        <v>557</v>
      </c>
      <c r="B9420" t="s">
        <v>738</v>
      </c>
      <c r="C9420" t="s">
        <v>313</v>
      </c>
      <c r="D9420" s="230">
        <v>0</v>
      </c>
      <c r="E9420" t="s">
        <v>739</v>
      </c>
    </row>
    <row r="9421" spans="1:5" hidden="1" x14ac:dyDescent="0.3">
      <c r="A9421" t="s">
        <v>557</v>
      </c>
      <c r="B9421" t="s">
        <v>738</v>
      </c>
      <c r="C9421" t="s">
        <v>314</v>
      </c>
      <c r="D9421" s="230">
        <v>-708.18</v>
      </c>
      <c r="E9421" t="s">
        <v>739</v>
      </c>
    </row>
    <row r="9422" spans="1:5" hidden="1" x14ac:dyDescent="0.3">
      <c r="A9422" t="s">
        <v>557</v>
      </c>
      <c r="B9422" t="s">
        <v>738</v>
      </c>
      <c r="C9422" t="s">
        <v>315</v>
      </c>
      <c r="D9422" s="230">
        <v>0</v>
      </c>
      <c r="E9422" t="s">
        <v>739</v>
      </c>
    </row>
    <row r="9423" spans="1:5" hidden="1" x14ac:dyDescent="0.3">
      <c r="A9423" t="s">
        <v>557</v>
      </c>
      <c r="B9423" t="s">
        <v>738</v>
      </c>
      <c r="C9423" t="s">
        <v>316</v>
      </c>
      <c r="D9423" s="230">
        <v>0</v>
      </c>
      <c r="E9423" t="s">
        <v>739</v>
      </c>
    </row>
    <row r="9424" spans="1:5" hidden="1" x14ac:dyDescent="0.3">
      <c r="A9424" t="s">
        <v>557</v>
      </c>
      <c r="B9424" t="s">
        <v>738</v>
      </c>
      <c r="C9424" t="s">
        <v>317</v>
      </c>
      <c r="D9424" s="230">
        <v>0</v>
      </c>
      <c r="E9424" t="s">
        <v>739</v>
      </c>
    </row>
    <row r="9425" spans="1:5" hidden="1" x14ac:dyDescent="0.3">
      <c r="A9425" t="s">
        <v>557</v>
      </c>
      <c r="B9425" t="s">
        <v>738</v>
      </c>
      <c r="C9425" t="s">
        <v>44</v>
      </c>
      <c r="D9425" s="230">
        <v>-0.01</v>
      </c>
      <c r="E9425" t="s">
        <v>739</v>
      </c>
    </row>
    <row r="9426" spans="1:5" hidden="1" x14ac:dyDescent="0.3">
      <c r="A9426" t="s">
        <v>557</v>
      </c>
      <c r="B9426" t="s">
        <v>738</v>
      </c>
      <c r="C9426" t="s">
        <v>318</v>
      </c>
      <c r="D9426" s="230">
        <v>-2431.79</v>
      </c>
      <c r="E9426" t="s">
        <v>739</v>
      </c>
    </row>
    <row r="9427" spans="1:5" hidden="1" x14ac:dyDescent="0.3">
      <c r="A9427" t="s">
        <v>557</v>
      </c>
      <c r="B9427" t="s">
        <v>738</v>
      </c>
      <c r="C9427" t="s">
        <v>319</v>
      </c>
      <c r="D9427" s="230">
        <v>-2086</v>
      </c>
      <c r="E9427" t="s">
        <v>739</v>
      </c>
    </row>
    <row r="9428" spans="1:5" hidden="1" x14ac:dyDescent="0.3">
      <c r="A9428" t="s">
        <v>557</v>
      </c>
      <c r="B9428" t="s">
        <v>738</v>
      </c>
      <c r="C9428" t="s">
        <v>320</v>
      </c>
      <c r="D9428" s="230">
        <v>-145.79</v>
      </c>
      <c r="E9428" t="s">
        <v>739</v>
      </c>
    </row>
    <row r="9429" spans="1:5" hidden="1" x14ac:dyDescent="0.3">
      <c r="A9429" t="s">
        <v>557</v>
      </c>
      <c r="B9429" t="s">
        <v>738</v>
      </c>
      <c r="C9429" t="s">
        <v>321</v>
      </c>
      <c r="D9429" s="230">
        <v>-200</v>
      </c>
      <c r="E9429" t="s">
        <v>739</v>
      </c>
    </row>
    <row r="9430" spans="1:5" hidden="1" x14ac:dyDescent="0.3">
      <c r="A9430" t="s">
        <v>557</v>
      </c>
      <c r="B9430" t="s">
        <v>738</v>
      </c>
      <c r="C9430" t="s">
        <v>322</v>
      </c>
      <c r="D9430" s="230">
        <v>0</v>
      </c>
      <c r="E9430" t="s">
        <v>739</v>
      </c>
    </row>
    <row r="9431" spans="1:5" hidden="1" x14ac:dyDescent="0.3">
      <c r="A9431" t="s">
        <v>557</v>
      </c>
      <c r="B9431" t="s">
        <v>738</v>
      </c>
      <c r="C9431" t="s">
        <v>44</v>
      </c>
      <c r="D9431" s="230">
        <v>-0.01</v>
      </c>
      <c r="E9431" t="s">
        <v>739</v>
      </c>
    </row>
    <row r="9432" spans="1:5" hidden="1" x14ac:dyDescent="0.3">
      <c r="A9432" t="s">
        <v>557</v>
      </c>
      <c r="B9432" t="s">
        <v>738</v>
      </c>
      <c r="C9432" t="s">
        <v>323</v>
      </c>
      <c r="D9432" s="230">
        <v>-20861.05</v>
      </c>
      <c r="E9432" t="s">
        <v>739</v>
      </c>
    </row>
    <row r="9433" spans="1:5" hidden="1" x14ac:dyDescent="0.3">
      <c r="A9433" t="s">
        <v>557</v>
      </c>
      <c r="B9433" t="s">
        <v>738</v>
      </c>
      <c r="C9433" t="s">
        <v>324</v>
      </c>
      <c r="D9433" s="230">
        <v>0</v>
      </c>
      <c r="E9433" t="s">
        <v>739</v>
      </c>
    </row>
    <row r="9434" spans="1:5" hidden="1" x14ac:dyDescent="0.3">
      <c r="A9434" t="s">
        <v>557</v>
      </c>
      <c r="B9434" t="s">
        <v>738</v>
      </c>
      <c r="C9434" t="s">
        <v>325</v>
      </c>
      <c r="D9434" s="230">
        <v>0</v>
      </c>
      <c r="E9434" t="s">
        <v>739</v>
      </c>
    </row>
    <row r="9435" spans="1:5" hidden="1" x14ac:dyDescent="0.3">
      <c r="A9435" t="s">
        <v>557</v>
      </c>
      <c r="B9435" t="s">
        <v>738</v>
      </c>
      <c r="C9435" t="s">
        <v>326</v>
      </c>
      <c r="D9435" s="230">
        <v>-20861.05</v>
      </c>
      <c r="E9435" t="s">
        <v>739</v>
      </c>
    </row>
    <row r="9436" spans="1:5" hidden="1" x14ac:dyDescent="0.3">
      <c r="A9436" t="s">
        <v>557</v>
      </c>
      <c r="B9436" t="s">
        <v>738</v>
      </c>
      <c r="C9436" t="s">
        <v>44</v>
      </c>
      <c r="D9436" s="230">
        <v>-0.05</v>
      </c>
      <c r="E9436" t="s">
        <v>739</v>
      </c>
    </row>
    <row r="9437" spans="1:5" hidden="1" x14ac:dyDescent="0.3">
      <c r="A9437" t="s">
        <v>557</v>
      </c>
      <c r="B9437" t="s">
        <v>738</v>
      </c>
      <c r="C9437" t="s">
        <v>328</v>
      </c>
      <c r="D9437" s="230">
        <v>-244268.13</v>
      </c>
      <c r="E9437" t="s">
        <v>739</v>
      </c>
    </row>
    <row r="9438" spans="1:5" hidden="1" x14ac:dyDescent="0.3">
      <c r="A9438" t="s">
        <v>557</v>
      </c>
      <c r="B9438" t="s">
        <v>738</v>
      </c>
      <c r="C9438" t="s">
        <v>44</v>
      </c>
      <c r="D9438" s="230">
        <v>-0.59</v>
      </c>
      <c r="E9438" t="s">
        <v>739</v>
      </c>
    </row>
    <row r="9439" spans="1:5" hidden="1" x14ac:dyDescent="0.3">
      <c r="A9439" t="s">
        <v>557</v>
      </c>
      <c r="B9439" t="s">
        <v>738</v>
      </c>
      <c r="C9439" t="s">
        <v>329</v>
      </c>
      <c r="D9439" s="230">
        <v>-46569.29</v>
      </c>
      <c r="E9439" t="s">
        <v>739</v>
      </c>
    </row>
    <row r="9440" spans="1:5" hidden="1" x14ac:dyDescent="0.3">
      <c r="A9440" t="s">
        <v>557</v>
      </c>
      <c r="B9440" t="s">
        <v>738</v>
      </c>
      <c r="C9440" t="s">
        <v>44</v>
      </c>
      <c r="D9440" s="230">
        <v>-0.11</v>
      </c>
      <c r="E9440" t="s">
        <v>739</v>
      </c>
    </row>
    <row r="9441" spans="1:5" hidden="1" x14ac:dyDescent="0.3">
      <c r="A9441" t="s">
        <v>557</v>
      </c>
      <c r="B9441" t="s">
        <v>738</v>
      </c>
      <c r="C9441" t="s">
        <v>330</v>
      </c>
      <c r="D9441" s="230">
        <v>0</v>
      </c>
      <c r="E9441" t="s">
        <v>739</v>
      </c>
    </row>
    <row r="9442" spans="1:5" hidden="1" x14ac:dyDescent="0.3">
      <c r="A9442" t="s">
        <v>557</v>
      </c>
      <c r="B9442" t="s">
        <v>738</v>
      </c>
      <c r="C9442" t="s">
        <v>332</v>
      </c>
      <c r="D9442" s="230">
        <v>-46569.29</v>
      </c>
      <c r="E9442" t="s">
        <v>739</v>
      </c>
    </row>
    <row r="9443" spans="1:5" hidden="1" x14ac:dyDescent="0.3">
      <c r="A9443" t="s">
        <v>557</v>
      </c>
      <c r="B9443" t="s">
        <v>738</v>
      </c>
      <c r="C9443" t="s">
        <v>333</v>
      </c>
      <c r="D9443" s="230">
        <v>6401.89</v>
      </c>
      <c r="E9443" t="s">
        <v>739</v>
      </c>
    </row>
    <row r="9444" spans="1:5" hidden="1" x14ac:dyDescent="0.3">
      <c r="A9444" t="s">
        <v>557</v>
      </c>
      <c r="B9444" t="s">
        <v>738</v>
      </c>
      <c r="C9444" t="s">
        <v>334</v>
      </c>
      <c r="D9444" s="230">
        <v>3100</v>
      </c>
      <c r="E9444" t="s">
        <v>739</v>
      </c>
    </row>
    <row r="9445" spans="1:5" hidden="1" x14ac:dyDescent="0.3">
      <c r="A9445" t="s">
        <v>557</v>
      </c>
      <c r="B9445" t="s">
        <v>738</v>
      </c>
      <c r="C9445" t="s">
        <v>336</v>
      </c>
      <c r="D9445" s="230">
        <v>0</v>
      </c>
      <c r="E9445" t="s">
        <v>739</v>
      </c>
    </row>
    <row r="9446" spans="1:5" hidden="1" x14ac:dyDescent="0.3">
      <c r="A9446" t="s">
        <v>557</v>
      </c>
      <c r="B9446" t="s">
        <v>738</v>
      </c>
      <c r="C9446" t="s">
        <v>338</v>
      </c>
      <c r="D9446" s="230">
        <v>-37067.4</v>
      </c>
      <c r="E9446" t="s">
        <v>739</v>
      </c>
    </row>
    <row r="9447" spans="1:5" hidden="1" x14ac:dyDescent="0.3">
      <c r="A9447" t="s">
        <v>557</v>
      </c>
      <c r="B9447" t="s">
        <v>738</v>
      </c>
      <c r="C9447" t="s">
        <v>339</v>
      </c>
      <c r="D9447" s="230">
        <v>-9127.8799999999992</v>
      </c>
      <c r="E9447" t="s">
        <v>739</v>
      </c>
    </row>
    <row r="9448" spans="1:5" hidden="1" x14ac:dyDescent="0.3">
      <c r="A9448" t="s">
        <v>557</v>
      </c>
      <c r="B9448" t="s">
        <v>738</v>
      </c>
      <c r="C9448" t="s">
        <v>342</v>
      </c>
      <c r="D9448" s="230">
        <v>0</v>
      </c>
      <c r="E9448" t="s">
        <v>739</v>
      </c>
    </row>
    <row r="9449" spans="1:5" hidden="1" x14ac:dyDescent="0.3">
      <c r="A9449" t="s">
        <v>557</v>
      </c>
      <c r="B9449" t="s">
        <v>738</v>
      </c>
      <c r="C9449" t="s">
        <v>344</v>
      </c>
      <c r="D9449" s="230">
        <v>-4877.51</v>
      </c>
      <c r="E9449" t="s">
        <v>739</v>
      </c>
    </row>
    <row r="9450" spans="1:5" hidden="1" x14ac:dyDescent="0.3">
      <c r="A9450" t="s">
        <v>557</v>
      </c>
      <c r="B9450" t="s">
        <v>738</v>
      </c>
      <c r="C9450" t="s">
        <v>345</v>
      </c>
      <c r="D9450" s="230">
        <v>0</v>
      </c>
      <c r="E9450" t="s">
        <v>739</v>
      </c>
    </row>
    <row r="9451" spans="1:5" hidden="1" x14ac:dyDescent="0.3">
      <c r="A9451" t="s">
        <v>557</v>
      </c>
      <c r="B9451" t="s">
        <v>738</v>
      </c>
      <c r="C9451" t="s">
        <v>346</v>
      </c>
      <c r="D9451" s="230">
        <v>-4250.37</v>
      </c>
      <c r="E9451" t="s">
        <v>739</v>
      </c>
    </row>
    <row r="9452" spans="1:5" hidden="1" x14ac:dyDescent="0.3">
      <c r="A9452" t="s">
        <v>557</v>
      </c>
      <c r="B9452" t="s">
        <v>738</v>
      </c>
      <c r="C9452" t="s">
        <v>347</v>
      </c>
      <c r="D9452" s="230">
        <v>-46195.29</v>
      </c>
      <c r="E9452" t="s">
        <v>739</v>
      </c>
    </row>
    <row r="9453" spans="1:5" hidden="1" x14ac:dyDescent="0.3">
      <c r="A9453" t="s">
        <v>557</v>
      </c>
      <c r="B9453" t="s">
        <v>738</v>
      </c>
      <c r="C9453" t="s">
        <v>44</v>
      </c>
      <c r="D9453" s="230">
        <v>-0.11</v>
      </c>
      <c r="E9453" t="s">
        <v>739</v>
      </c>
    </row>
    <row r="9454" spans="1:5" hidden="1" x14ac:dyDescent="0.3">
      <c r="A9454" t="s">
        <v>557</v>
      </c>
      <c r="B9454" t="s">
        <v>738</v>
      </c>
      <c r="C9454" t="s">
        <v>348</v>
      </c>
      <c r="D9454" s="230">
        <v>-8198</v>
      </c>
      <c r="E9454" t="s">
        <v>739</v>
      </c>
    </row>
    <row r="9455" spans="1:5" hidden="1" x14ac:dyDescent="0.3">
      <c r="A9455" t="s">
        <v>557</v>
      </c>
      <c r="B9455" t="s">
        <v>738</v>
      </c>
      <c r="C9455" t="s">
        <v>707</v>
      </c>
      <c r="D9455" s="230">
        <v>0</v>
      </c>
      <c r="E9455" t="s">
        <v>739</v>
      </c>
    </row>
    <row r="9456" spans="1:5" hidden="1" x14ac:dyDescent="0.3">
      <c r="A9456" t="s">
        <v>557</v>
      </c>
      <c r="B9456" t="s">
        <v>738</v>
      </c>
      <c r="C9456" t="s">
        <v>350</v>
      </c>
      <c r="D9456" s="230">
        <v>-8198</v>
      </c>
      <c r="E9456" t="s">
        <v>739</v>
      </c>
    </row>
    <row r="9457" spans="1:5" hidden="1" x14ac:dyDescent="0.3">
      <c r="A9457" t="s">
        <v>557</v>
      </c>
      <c r="B9457" t="s">
        <v>738</v>
      </c>
      <c r="C9457" t="s">
        <v>351</v>
      </c>
      <c r="D9457" s="230">
        <v>0</v>
      </c>
      <c r="E9457" t="s">
        <v>739</v>
      </c>
    </row>
    <row r="9458" spans="1:5" hidden="1" x14ac:dyDescent="0.3">
      <c r="A9458" t="s">
        <v>557</v>
      </c>
      <c r="B9458" t="s">
        <v>738</v>
      </c>
      <c r="C9458" t="s">
        <v>352</v>
      </c>
      <c r="D9458" s="230">
        <v>0</v>
      </c>
      <c r="E9458" t="s">
        <v>739</v>
      </c>
    </row>
    <row r="9459" spans="1:5" hidden="1" x14ac:dyDescent="0.3">
      <c r="A9459" t="s">
        <v>557</v>
      </c>
      <c r="B9459" t="s">
        <v>738</v>
      </c>
      <c r="C9459" t="s">
        <v>353</v>
      </c>
      <c r="D9459" s="230">
        <v>0</v>
      </c>
      <c r="E9459" t="s">
        <v>739</v>
      </c>
    </row>
    <row r="9460" spans="1:5" hidden="1" x14ac:dyDescent="0.3">
      <c r="A9460" t="s">
        <v>557</v>
      </c>
      <c r="B9460" t="s">
        <v>738</v>
      </c>
      <c r="C9460" t="s">
        <v>354</v>
      </c>
      <c r="D9460" s="230">
        <v>0</v>
      </c>
      <c r="E9460" t="s">
        <v>739</v>
      </c>
    </row>
    <row r="9461" spans="1:5" hidden="1" x14ac:dyDescent="0.3">
      <c r="A9461" t="s">
        <v>557</v>
      </c>
      <c r="B9461" t="s">
        <v>738</v>
      </c>
      <c r="C9461" t="s">
        <v>355</v>
      </c>
      <c r="D9461" s="230">
        <v>0</v>
      </c>
      <c r="E9461" t="s">
        <v>739</v>
      </c>
    </row>
    <row r="9462" spans="1:5" hidden="1" x14ac:dyDescent="0.3">
      <c r="A9462" t="s">
        <v>557</v>
      </c>
      <c r="B9462" t="s">
        <v>738</v>
      </c>
      <c r="C9462" t="s">
        <v>356</v>
      </c>
      <c r="D9462" s="230">
        <v>0</v>
      </c>
      <c r="E9462" t="s">
        <v>739</v>
      </c>
    </row>
    <row r="9463" spans="1:5" hidden="1" x14ac:dyDescent="0.3">
      <c r="A9463" t="s">
        <v>557</v>
      </c>
      <c r="B9463" t="s">
        <v>738</v>
      </c>
      <c r="C9463" t="s">
        <v>357</v>
      </c>
      <c r="D9463" s="230">
        <v>0</v>
      </c>
      <c r="E9463" t="s">
        <v>739</v>
      </c>
    </row>
    <row r="9464" spans="1:5" hidden="1" x14ac:dyDescent="0.3">
      <c r="A9464" t="s">
        <v>557</v>
      </c>
      <c r="B9464" t="s">
        <v>738</v>
      </c>
      <c r="C9464" t="s">
        <v>358</v>
      </c>
      <c r="D9464" s="230">
        <v>0</v>
      </c>
      <c r="E9464" t="s">
        <v>739</v>
      </c>
    </row>
    <row r="9465" spans="1:5" hidden="1" x14ac:dyDescent="0.3">
      <c r="A9465" t="s">
        <v>557</v>
      </c>
      <c r="B9465" t="s">
        <v>738</v>
      </c>
      <c r="C9465" t="s">
        <v>359</v>
      </c>
      <c r="D9465" s="230">
        <v>0</v>
      </c>
      <c r="E9465" t="s">
        <v>739</v>
      </c>
    </row>
    <row r="9466" spans="1:5" hidden="1" x14ac:dyDescent="0.3">
      <c r="A9466" t="s">
        <v>557</v>
      </c>
      <c r="B9466" t="s">
        <v>738</v>
      </c>
      <c r="C9466" t="s">
        <v>360</v>
      </c>
      <c r="D9466" s="230">
        <v>0</v>
      </c>
      <c r="E9466" t="s">
        <v>739</v>
      </c>
    </row>
    <row r="9467" spans="1:5" hidden="1" x14ac:dyDescent="0.3">
      <c r="A9467" t="s">
        <v>557</v>
      </c>
      <c r="B9467" t="s">
        <v>738</v>
      </c>
      <c r="C9467" t="s">
        <v>361</v>
      </c>
      <c r="D9467" s="230">
        <v>0</v>
      </c>
      <c r="E9467" t="s">
        <v>739</v>
      </c>
    </row>
    <row r="9468" spans="1:5" hidden="1" x14ac:dyDescent="0.3">
      <c r="A9468" t="s">
        <v>557</v>
      </c>
      <c r="B9468" t="s">
        <v>738</v>
      </c>
      <c r="C9468" t="s">
        <v>362</v>
      </c>
      <c r="D9468" s="230">
        <v>0</v>
      </c>
      <c r="E9468" t="s">
        <v>739</v>
      </c>
    </row>
    <row r="9469" spans="1:5" hidden="1" x14ac:dyDescent="0.3">
      <c r="A9469" t="s">
        <v>557</v>
      </c>
      <c r="B9469" t="s">
        <v>738</v>
      </c>
      <c r="C9469" t="s">
        <v>363</v>
      </c>
      <c r="D9469" s="230">
        <v>0</v>
      </c>
      <c r="E9469" t="s">
        <v>739</v>
      </c>
    </row>
    <row r="9470" spans="1:5" hidden="1" x14ac:dyDescent="0.3">
      <c r="A9470" t="s">
        <v>557</v>
      </c>
      <c r="B9470" t="s">
        <v>738</v>
      </c>
      <c r="C9470" t="s">
        <v>364</v>
      </c>
      <c r="D9470" s="230">
        <v>0</v>
      </c>
      <c r="E9470" t="s">
        <v>739</v>
      </c>
    </row>
    <row r="9471" spans="1:5" hidden="1" x14ac:dyDescent="0.3">
      <c r="A9471" t="s">
        <v>557</v>
      </c>
      <c r="B9471" t="s">
        <v>738</v>
      </c>
      <c r="C9471" t="s">
        <v>365</v>
      </c>
      <c r="D9471" s="230">
        <v>-9963.9</v>
      </c>
      <c r="E9471" t="s">
        <v>739</v>
      </c>
    </row>
    <row r="9472" spans="1:5" hidden="1" x14ac:dyDescent="0.3">
      <c r="A9472" t="s">
        <v>557</v>
      </c>
      <c r="B9472" t="s">
        <v>738</v>
      </c>
      <c r="C9472" t="s">
        <v>366</v>
      </c>
      <c r="D9472" s="230">
        <v>0</v>
      </c>
      <c r="E9472" t="s">
        <v>739</v>
      </c>
    </row>
    <row r="9473" spans="1:5" hidden="1" x14ac:dyDescent="0.3">
      <c r="A9473" t="s">
        <v>557</v>
      </c>
      <c r="B9473" t="s">
        <v>738</v>
      </c>
      <c r="C9473" t="s">
        <v>367</v>
      </c>
      <c r="D9473" s="230">
        <v>0</v>
      </c>
      <c r="E9473" t="s">
        <v>739</v>
      </c>
    </row>
    <row r="9474" spans="1:5" hidden="1" x14ac:dyDescent="0.3">
      <c r="A9474" t="s">
        <v>557</v>
      </c>
      <c r="B9474" t="s">
        <v>738</v>
      </c>
      <c r="C9474" t="s">
        <v>368</v>
      </c>
      <c r="D9474" s="230">
        <v>-2763.9</v>
      </c>
      <c r="E9474" t="s">
        <v>739</v>
      </c>
    </row>
    <row r="9475" spans="1:5" hidden="1" x14ac:dyDescent="0.3">
      <c r="A9475" t="s">
        <v>557</v>
      </c>
      <c r="B9475" t="s">
        <v>738</v>
      </c>
      <c r="C9475" t="s">
        <v>369</v>
      </c>
      <c r="D9475" s="230">
        <v>-7200</v>
      </c>
      <c r="E9475" t="s">
        <v>739</v>
      </c>
    </row>
    <row r="9476" spans="1:5" hidden="1" x14ac:dyDescent="0.3">
      <c r="A9476" t="s">
        <v>557</v>
      </c>
      <c r="B9476" t="s">
        <v>738</v>
      </c>
      <c r="C9476" t="s">
        <v>370</v>
      </c>
      <c r="D9476" s="230">
        <v>0</v>
      </c>
      <c r="E9476" t="s">
        <v>739</v>
      </c>
    </row>
    <row r="9477" spans="1:5" hidden="1" x14ac:dyDescent="0.3">
      <c r="A9477" t="s">
        <v>557</v>
      </c>
      <c r="B9477" t="s">
        <v>738</v>
      </c>
      <c r="C9477" t="s">
        <v>371</v>
      </c>
      <c r="D9477" s="230">
        <v>0</v>
      </c>
      <c r="E9477" t="s">
        <v>739</v>
      </c>
    </row>
    <row r="9478" spans="1:5" hidden="1" x14ac:dyDescent="0.3">
      <c r="A9478" t="s">
        <v>557</v>
      </c>
      <c r="B9478" t="s">
        <v>738</v>
      </c>
      <c r="C9478" t="s">
        <v>372</v>
      </c>
      <c r="D9478" s="230">
        <v>0</v>
      </c>
      <c r="E9478" t="s">
        <v>739</v>
      </c>
    </row>
    <row r="9479" spans="1:5" hidden="1" x14ac:dyDescent="0.3">
      <c r="A9479" t="s">
        <v>557</v>
      </c>
      <c r="B9479" t="s">
        <v>738</v>
      </c>
      <c r="C9479" t="s">
        <v>373</v>
      </c>
      <c r="D9479" s="230">
        <v>-18161.900000000001</v>
      </c>
      <c r="E9479" t="s">
        <v>739</v>
      </c>
    </row>
    <row r="9480" spans="1:5" hidden="1" x14ac:dyDescent="0.3">
      <c r="A9480" t="s">
        <v>557</v>
      </c>
      <c r="B9480" t="s">
        <v>738</v>
      </c>
      <c r="C9480" t="s">
        <v>374</v>
      </c>
      <c r="D9480" s="230">
        <v>-64357.19</v>
      </c>
      <c r="E9480" t="s">
        <v>739</v>
      </c>
    </row>
    <row r="9481" spans="1:5" hidden="1" x14ac:dyDescent="0.3">
      <c r="A9481" t="s">
        <v>557</v>
      </c>
      <c r="B9481" t="s">
        <v>738</v>
      </c>
      <c r="C9481" t="s">
        <v>708</v>
      </c>
      <c r="D9481" s="230">
        <v>-64357.19</v>
      </c>
      <c r="E9481" t="s">
        <v>739</v>
      </c>
    </row>
    <row r="9482" spans="1:5" hidden="1" x14ac:dyDescent="0.3">
      <c r="A9482" t="s">
        <v>557</v>
      </c>
      <c r="B9482" t="s">
        <v>740</v>
      </c>
      <c r="C9482" t="s">
        <v>11</v>
      </c>
      <c r="D9482" s="230">
        <v>417809.43</v>
      </c>
      <c r="E9482" t="s">
        <v>741</v>
      </c>
    </row>
    <row r="9483" spans="1:5" hidden="1" x14ac:dyDescent="0.3">
      <c r="A9483" t="s">
        <v>557</v>
      </c>
      <c r="B9483" t="s">
        <v>740</v>
      </c>
      <c r="C9483" t="s">
        <v>13</v>
      </c>
      <c r="D9483" s="230">
        <v>225799.6</v>
      </c>
      <c r="E9483" t="s">
        <v>741</v>
      </c>
    </row>
    <row r="9484" spans="1:5" hidden="1" x14ac:dyDescent="0.3">
      <c r="A9484" t="s">
        <v>557</v>
      </c>
      <c r="B9484" t="s">
        <v>740</v>
      </c>
      <c r="C9484" t="s">
        <v>16</v>
      </c>
      <c r="D9484" s="230">
        <v>113223.9</v>
      </c>
      <c r="E9484" t="s">
        <v>741</v>
      </c>
    </row>
    <row r="9485" spans="1:5" hidden="1" x14ac:dyDescent="0.3">
      <c r="A9485" t="s">
        <v>557</v>
      </c>
      <c r="B9485" t="s">
        <v>740</v>
      </c>
      <c r="C9485" t="s">
        <v>17</v>
      </c>
      <c r="D9485" s="230">
        <v>7020</v>
      </c>
      <c r="E9485" t="s">
        <v>741</v>
      </c>
    </row>
    <row r="9486" spans="1:5" hidden="1" x14ac:dyDescent="0.3">
      <c r="A9486" t="s">
        <v>557</v>
      </c>
      <c r="B9486" t="s">
        <v>740</v>
      </c>
      <c r="C9486" t="s">
        <v>18</v>
      </c>
      <c r="D9486" s="230">
        <v>0</v>
      </c>
      <c r="E9486" t="s">
        <v>741</v>
      </c>
    </row>
    <row r="9487" spans="1:5" hidden="1" x14ac:dyDescent="0.3">
      <c r="A9487" t="s">
        <v>557</v>
      </c>
      <c r="B9487" t="s">
        <v>740</v>
      </c>
      <c r="C9487" t="s">
        <v>20</v>
      </c>
      <c r="D9487" s="230">
        <v>42504.94</v>
      </c>
      <c r="E9487" t="s">
        <v>741</v>
      </c>
    </row>
    <row r="9488" spans="1:5" hidden="1" x14ac:dyDescent="0.3">
      <c r="A9488" t="s">
        <v>557</v>
      </c>
      <c r="B9488" t="s">
        <v>740</v>
      </c>
      <c r="C9488" t="s">
        <v>23</v>
      </c>
      <c r="D9488" s="230">
        <v>6500</v>
      </c>
      <c r="E9488" t="s">
        <v>741</v>
      </c>
    </row>
    <row r="9489" spans="1:5" hidden="1" x14ac:dyDescent="0.3">
      <c r="A9489" t="s">
        <v>557</v>
      </c>
      <c r="B9489" t="s">
        <v>740</v>
      </c>
      <c r="C9489" t="s">
        <v>25</v>
      </c>
      <c r="D9489" s="230">
        <v>0</v>
      </c>
      <c r="E9489" t="s">
        <v>741</v>
      </c>
    </row>
    <row r="9490" spans="1:5" hidden="1" x14ac:dyDescent="0.3">
      <c r="A9490" t="s">
        <v>557</v>
      </c>
      <c r="B9490" t="s">
        <v>740</v>
      </c>
      <c r="C9490" t="s">
        <v>26</v>
      </c>
      <c r="D9490" s="230">
        <v>7200</v>
      </c>
      <c r="E9490" t="s">
        <v>741</v>
      </c>
    </row>
    <row r="9491" spans="1:5" hidden="1" x14ac:dyDescent="0.3">
      <c r="A9491" t="s">
        <v>557</v>
      </c>
      <c r="B9491" t="s">
        <v>740</v>
      </c>
      <c r="C9491" t="s">
        <v>27</v>
      </c>
      <c r="D9491" s="230">
        <v>0</v>
      </c>
      <c r="E9491" t="s">
        <v>741</v>
      </c>
    </row>
    <row r="9492" spans="1:5" hidden="1" x14ac:dyDescent="0.3">
      <c r="A9492" t="s">
        <v>557</v>
      </c>
      <c r="B9492" t="s">
        <v>740</v>
      </c>
      <c r="C9492" t="s">
        <v>29</v>
      </c>
      <c r="D9492" s="230">
        <v>15452.99</v>
      </c>
      <c r="E9492" t="s">
        <v>741</v>
      </c>
    </row>
    <row r="9493" spans="1:5" hidden="1" x14ac:dyDescent="0.3">
      <c r="A9493" t="s">
        <v>557</v>
      </c>
      <c r="B9493" t="s">
        <v>740</v>
      </c>
      <c r="C9493" t="s">
        <v>31</v>
      </c>
      <c r="D9493" s="230">
        <v>108</v>
      </c>
      <c r="E9493" t="s">
        <v>741</v>
      </c>
    </row>
    <row r="9494" spans="1:5" hidden="1" x14ac:dyDescent="0.3">
      <c r="A9494" t="s">
        <v>557</v>
      </c>
      <c r="B9494" t="s">
        <v>740</v>
      </c>
      <c r="C9494" t="s">
        <v>34</v>
      </c>
      <c r="D9494" s="230">
        <v>-13709.16</v>
      </c>
      <c r="E9494" t="s">
        <v>741</v>
      </c>
    </row>
    <row r="9495" spans="1:5" hidden="1" x14ac:dyDescent="0.3">
      <c r="A9495" t="s">
        <v>557</v>
      </c>
      <c r="B9495" t="s">
        <v>740</v>
      </c>
      <c r="C9495" t="s">
        <v>38</v>
      </c>
      <c r="D9495" s="230">
        <v>-3693.25</v>
      </c>
      <c r="E9495" t="s">
        <v>741</v>
      </c>
    </row>
    <row r="9496" spans="1:5" hidden="1" x14ac:dyDescent="0.3">
      <c r="A9496" t="s">
        <v>557</v>
      </c>
      <c r="B9496" t="s">
        <v>740</v>
      </c>
      <c r="C9496" t="s">
        <v>40</v>
      </c>
      <c r="D9496" s="230">
        <v>-9056.69</v>
      </c>
      <c r="E9496" t="s">
        <v>741</v>
      </c>
    </row>
    <row r="9497" spans="1:5" hidden="1" x14ac:dyDescent="0.3">
      <c r="A9497" t="s">
        <v>557</v>
      </c>
      <c r="B9497" t="s">
        <v>740</v>
      </c>
      <c r="C9497" t="s">
        <v>42</v>
      </c>
      <c r="D9497" s="230">
        <v>-959.21</v>
      </c>
      <c r="E9497" t="s">
        <v>741</v>
      </c>
    </row>
    <row r="9498" spans="1:5" hidden="1" x14ac:dyDescent="0.3">
      <c r="A9498" t="s">
        <v>557</v>
      </c>
      <c r="B9498" t="s">
        <v>740</v>
      </c>
      <c r="C9498" t="s">
        <v>44</v>
      </c>
      <c r="D9498" s="230">
        <v>-0.03</v>
      </c>
      <c r="E9498" t="s">
        <v>741</v>
      </c>
    </row>
    <row r="9499" spans="1:5" hidden="1" x14ac:dyDescent="0.3">
      <c r="A9499" t="s">
        <v>557</v>
      </c>
      <c r="B9499" t="s">
        <v>740</v>
      </c>
      <c r="C9499" t="s">
        <v>45</v>
      </c>
      <c r="D9499" s="230">
        <v>-29311.47</v>
      </c>
      <c r="E9499" t="s">
        <v>741</v>
      </c>
    </row>
    <row r="9500" spans="1:5" hidden="1" x14ac:dyDescent="0.3">
      <c r="A9500" t="s">
        <v>557</v>
      </c>
      <c r="B9500" t="s">
        <v>740</v>
      </c>
      <c r="C9500" t="s">
        <v>46</v>
      </c>
      <c r="D9500" s="230">
        <v>-14512.41</v>
      </c>
      <c r="E9500" t="s">
        <v>741</v>
      </c>
    </row>
    <row r="9501" spans="1:5" hidden="1" x14ac:dyDescent="0.3">
      <c r="A9501" t="s">
        <v>557</v>
      </c>
      <c r="B9501" t="s">
        <v>740</v>
      </c>
      <c r="C9501" t="s">
        <v>48</v>
      </c>
      <c r="D9501" s="230">
        <v>-14439.06</v>
      </c>
      <c r="E9501" t="s">
        <v>741</v>
      </c>
    </row>
    <row r="9502" spans="1:5" hidden="1" x14ac:dyDescent="0.3">
      <c r="A9502" t="s">
        <v>557</v>
      </c>
      <c r="B9502" t="s">
        <v>740</v>
      </c>
      <c r="C9502" t="s">
        <v>49</v>
      </c>
      <c r="D9502" s="230">
        <v>-360</v>
      </c>
      <c r="E9502" t="s">
        <v>741</v>
      </c>
    </row>
    <row r="9503" spans="1:5" hidden="1" x14ac:dyDescent="0.3">
      <c r="A9503" t="s">
        <v>557</v>
      </c>
      <c r="B9503" t="s">
        <v>740</v>
      </c>
      <c r="C9503" t="s">
        <v>50</v>
      </c>
      <c r="D9503" s="230">
        <v>374788.8</v>
      </c>
      <c r="E9503" t="s">
        <v>741</v>
      </c>
    </row>
    <row r="9504" spans="1:5" hidden="1" x14ac:dyDescent="0.3">
      <c r="A9504" t="s">
        <v>557</v>
      </c>
      <c r="B9504" t="s">
        <v>740</v>
      </c>
      <c r="C9504" t="s">
        <v>51</v>
      </c>
      <c r="D9504" s="230">
        <v>-109485.29</v>
      </c>
      <c r="E9504" t="s">
        <v>741</v>
      </c>
    </row>
    <row r="9505" spans="1:5" hidden="1" x14ac:dyDescent="0.3">
      <c r="A9505" t="s">
        <v>557</v>
      </c>
      <c r="B9505" t="s">
        <v>740</v>
      </c>
      <c r="C9505" t="s">
        <v>52</v>
      </c>
      <c r="D9505" s="230">
        <v>-81921.27</v>
      </c>
      <c r="E9505" t="s">
        <v>741</v>
      </c>
    </row>
    <row r="9506" spans="1:5" hidden="1" x14ac:dyDescent="0.3">
      <c r="A9506" t="s">
        <v>557</v>
      </c>
      <c r="B9506" t="s">
        <v>740</v>
      </c>
      <c r="C9506" t="s">
        <v>53</v>
      </c>
      <c r="D9506" s="230">
        <v>-27564.02</v>
      </c>
      <c r="E9506" t="s">
        <v>741</v>
      </c>
    </row>
    <row r="9507" spans="1:5" hidden="1" x14ac:dyDescent="0.3">
      <c r="A9507" t="s">
        <v>557</v>
      </c>
      <c r="B9507" t="s">
        <v>740</v>
      </c>
      <c r="C9507" t="s">
        <v>54</v>
      </c>
      <c r="D9507" s="230">
        <v>0</v>
      </c>
      <c r="E9507" t="s">
        <v>741</v>
      </c>
    </row>
    <row r="9508" spans="1:5" hidden="1" x14ac:dyDescent="0.3">
      <c r="A9508" t="s">
        <v>557</v>
      </c>
      <c r="B9508" t="s">
        <v>740</v>
      </c>
      <c r="C9508" t="s">
        <v>23</v>
      </c>
      <c r="D9508" s="230">
        <v>0</v>
      </c>
      <c r="E9508" t="s">
        <v>741</v>
      </c>
    </row>
    <row r="9509" spans="1:5" hidden="1" x14ac:dyDescent="0.3">
      <c r="A9509" t="s">
        <v>557</v>
      </c>
      <c r="B9509" t="s">
        <v>740</v>
      </c>
      <c r="C9509" t="s">
        <v>44</v>
      </c>
      <c r="D9509" s="230">
        <v>-0.3</v>
      </c>
      <c r="E9509" t="s">
        <v>741</v>
      </c>
    </row>
    <row r="9510" spans="1:5" hidden="1" x14ac:dyDescent="0.3">
      <c r="A9510" t="s">
        <v>557</v>
      </c>
      <c r="B9510" t="s">
        <v>740</v>
      </c>
      <c r="C9510" t="s">
        <v>55</v>
      </c>
      <c r="D9510" s="230">
        <v>-0.28999999999999998</v>
      </c>
      <c r="E9510" t="s">
        <v>741</v>
      </c>
    </row>
    <row r="9511" spans="1:5" hidden="1" x14ac:dyDescent="0.3">
      <c r="A9511" t="s">
        <v>557</v>
      </c>
      <c r="B9511" t="s">
        <v>740</v>
      </c>
      <c r="C9511" t="s">
        <v>56</v>
      </c>
      <c r="D9511" s="230">
        <v>-13948.57</v>
      </c>
      <c r="E9511" t="s">
        <v>741</v>
      </c>
    </row>
    <row r="9512" spans="1:5" hidden="1" x14ac:dyDescent="0.3">
      <c r="A9512" t="s">
        <v>557</v>
      </c>
      <c r="B9512" t="s">
        <v>740</v>
      </c>
      <c r="C9512" t="s">
        <v>57</v>
      </c>
      <c r="D9512" s="230">
        <v>-11614.57</v>
      </c>
      <c r="E9512" t="s">
        <v>741</v>
      </c>
    </row>
    <row r="9513" spans="1:5" hidden="1" x14ac:dyDescent="0.3">
      <c r="A9513" t="s">
        <v>557</v>
      </c>
      <c r="B9513" t="s">
        <v>740</v>
      </c>
      <c r="C9513" t="s">
        <v>58</v>
      </c>
      <c r="D9513" s="230">
        <v>-10950</v>
      </c>
      <c r="E9513" t="s">
        <v>741</v>
      </c>
    </row>
    <row r="9514" spans="1:5" hidden="1" x14ac:dyDescent="0.3">
      <c r="A9514" t="s">
        <v>557</v>
      </c>
      <c r="B9514" t="s">
        <v>740</v>
      </c>
      <c r="C9514" t="s">
        <v>59</v>
      </c>
      <c r="D9514" s="230">
        <v>-664.57</v>
      </c>
      <c r="E9514" t="s">
        <v>741</v>
      </c>
    </row>
    <row r="9515" spans="1:5" hidden="1" x14ac:dyDescent="0.3">
      <c r="A9515" t="s">
        <v>557</v>
      </c>
      <c r="B9515" t="s">
        <v>740</v>
      </c>
      <c r="C9515" t="s">
        <v>61</v>
      </c>
      <c r="D9515" s="230">
        <v>0</v>
      </c>
      <c r="E9515" t="s">
        <v>741</v>
      </c>
    </row>
    <row r="9516" spans="1:5" hidden="1" x14ac:dyDescent="0.3">
      <c r="A9516" t="s">
        <v>557</v>
      </c>
      <c r="B9516" t="s">
        <v>740</v>
      </c>
      <c r="C9516" t="s">
        <v>62</v>
      </c>
      <c r="D9516" s="230">
        <v>0</v>
      </c>
      <c r="E9516" t="s">
        <v>741</v>
      </c>
    </row>
    <row r="9517" spans="1:5" hidden="1" x14ac:dyDescent="0.3">
      <c r="A9517" t="s">
        <v>557</v>
      </c>
      <c r="B9517" t="s">
        <v>740</v>
      </c>
      <c r="C9517" t="s">
        <v>64</v>
      </c>
      <c r="D9517" s="230">
        <v>0</v>
      </c>
      <c r="E9517" t="s">
        <v>741</v>
      </c>
    </row>
    <row r="9518" spans="1:5" hidden="1" x14ac:dyDescent="0.3">
      <c r="A9518" t="s">
        <v>557</v>
      </c>
      <c r="B9518" t="s">
        <v>740</v>
      </c>
      <c r="C9518" t="s">
        <v>65</v>
      </c>
      <c r="D9518" s="230">
        <v>-2334</v>
      </c>
      <c r="E9518" t="s">
        <v>741</v>
      </c>
    </row>
    <row r="9519" spans="1:5" hidden="1" x14ac:dyDescent="0.3">
      <c r="A9519" t="s">
        <v>557</v>
      </c>
      <c r="B9519" t="s">
        <v>740</v>
      </c>
      <c r="C9519" t="s">
        <v>66</v>
      </c>
      <c r="D9519" s="230">
        <v>-2334</v>
      </c>
      <c r="E9519" t="s">
        <v>741</v>
      </c>
    </row>
    <row r="9520" spans="1:5" hidden="1" x14ac:dyDescent="0.3">
      <c r="A9520" t="s">
        <v>557</v>
      </c>
      <c r="B9520" t="s">
        <v>740</v>
      </c>
      <c r="C9520" t="s">
        <v>68</v>
      </c>
      <c r="D9520" s="230">
        <v>0</v>
      </c>
      <c r="E9520" t="s">
        <v>741</v>
      </c>
    </row>
    <row r="9521" spans="1:5" hidden="1" x14ac:dyDescent="0.3">
      <c r="A9521" t="s">
        <v>557</v>
      </c>
      <c r="B9521" t="s">
        <v>740</v>
      </c>
      <c r="C9521" t="s">
        <v>69</v>
      </c>
      <c r="D9521" s="230">
        <v>0</v>
      </c>
      <c r="E9521" t="s">
        <v>741</v>
      </c>
    </row>
    <row r="9522" spans="1:5" hidden="1" x14ac:dyDescent="0.3">
      <c r="A9522" t="s">
        <v>557</v>
      </c>
      <c r="B9522" t="s">
        <v>740</v>
      </c>
      <c r="C9522" t="s">
        <v>70</v>
      </c>
      <c r="D9522" s="230">
        <v>-1.99</v>
      </c>
      <c r="E9522" t="s">
        <v>741</v>
      </c>
    </row>
    <row r="9523" spans="1:5" hidden="1" x14ac:dyDescent="0.3">
      <c r="A9523" t="s">
        <v>557</v>
      </c>
      <c r="B9523" t="s">
        <v>740</v>
      </c>
      <c r="C9523" t="s">
        <v>44</v>
      </c>
      <c r="D9523" s="230">
        <v>-0.03</v>
      </c>
      <c r="E9523" t="s">
        <v>741</v>
      </c>
    </row>
    <row r="9524" spans="1:5" hidden="1" x14ac:dyDescent="0.3">
      <c r="A9524" t="s">
        <v>557</v>
      </c>
      <c r="B9524" t="s">
        <v>740</v>
      </c>
      <c r="C9524" t="s">
        <v>71</v>
      </c>
      <c r="D9524" s="230">
        <v>-4481.08</v>
      </c>
      <c r="E9524" t="s">
        <v>741</v>
      </c>
    </row>
    <row r="9525" spans="1:5" hidden="1" x14ac:dyDescent="0.3">
      <c r="A9525" t="s">
        <v>557</v>
      </c>
      <c r="B9525" t="s">
        <v>740</v>
      </c>
      <c r="C9525" t="s">
        <v>72</v>
      </c>
      <c r="D9525" s="230">
        <v>-4481.08</v>
      </c>
      <c r="E9525" t="s">
        <v>741</v>
      </c>
    </row>
    <row r="9526" spans="1:5" hidden="1" x14ac:dyDescent="0.3">
      <c r="A9526" t="s">
        <v>557</v>
      </c>
      <c r="B9526" t="s">
        <v>740</v>
      </c>
      <c r="C9526" t="s">
        <v>73</v>
      </c>
      <c r="D9526" s="230">
        <v>-4000</v>
      </c>
      <c r="E9526" t="s">
        <v>741</v>
      </c>
    </row>
    <row r="9527" spans="1:5" hidden="1" x14ac:dyDescent="0.3">
      <c r="A9527" t="s">
        <v>557</v>
      </c>
      <c r="B9527" t="s">
        <v>740</v>
      </c>
      <c r="C9527" t="s">
        <v>75</v>
      </c>
      <c r="D9527" s="230">
        <v>-481.08</v>
      </c>
      <c r="E9527" t="s">
        <v>741</v>
      </c>
    </row>
    <row r="9528" spans="1:5" hidden="1" x14ac:dyDescent="0.3">
      <c r="A9528" t="s">
        <v>557</v>
      </c>
      <c r="B9528" t="s">
        <v>740</v>
      </c>
      <c r="C9528" t="s">
        <v>77</v>
      </c>
      <c r="D9528" s="230">
        <v>0</v>
      </c>
      <c r="E9528" t="s">
        <v>741</v>
      </c>
    </row>
    <row r="9529" spans="1:5" hidden="1" x14ac:dyDescent="0.3">
      <c r="A9529" t="s">
        <v>557</v>
      </c>
      <c r="B9529" t="s">
        <v>740</v>
      </c>
      <c r="C9529" t="s">
        <v>78</v>
      </c>
      <c r="D9529" s="230">
        <v>0</v>
      </c>
      <c r="E9529" t="s">
        <v>741</v>
      </c>
    </row>
    <row r="9530" spans="1:5" hidden="1" x14ac:dyDescent="0.3">
      <c r="A9530" t="s">
        <v>557</v>
      </c>
      <c r="B9530" t="s">
        <v>740</v>
      </c>
      <c r="C9530" t="s">
        <v>80</v>
      </c>
      <c r="D9530" s="230">
        <v>0</v>
      </c>
      <c r="E9530" t="s">
        <v>741</v>
      </c>
    </row>
    <row r="9531" spans="1:5" hidden="1" x14ac:dyDescent="0.3">
      <c r="A9531" t="s">
        <v>557</v>
      </c>
      <c r="B9531" t="s">
        <v>740</v>
      </c>
      <c r="C9531" t="s">
        <v>82</v>
      </c>
      <c r="D9531" s="230">
        <v>0</v>
      </c>
      <c r="E9531" t="s">
        <v>741</v>
      </c>
    </row>
    <row r="9532" spans="1:5" hidden="1" x14ac:dyDescent="0.3">
      <c r="A9532" t="s">
        <v>557</v>
      </c>
      <c r="B9532" t="s">
        <v>740</v>
      </c>
      <c r="C9532" t="s">
        <v>84</v>
      </c>
      <c r="D9532" s="230">
        <v>0</v>
      </c>
      <c r="E9532" t="s">
        <v>741</v>
      </c>
    </row>
    <row r="9533" spans="1:5" hidden="1" x14ac:dyDescent="0.3">
      <c r="A9533" t="s">
        <v>557</v>
      </c>
      <c r="B9533" t="s">
        <v>740</v>
      </c>
      <c r="C9533" t="s">
        <v>85</v>
      </c>
      <c r="D9533" s="230">
        <v>0</v>
      </c>
      <c r="E9533" t="s">
        <v>741</v>
      </c>
    </row>
    <row r="9534" spans="1:5" hidden="1" x14ac:dyDescent="0.3">
      <c r="A9534" t="s">
        <v>557</v>
      </c>
      <c r="B9534" t="s">
        <v>740</v>
      </c>
      <c r="C9534" t="s">
        <v>86</v>
      </c>
      <c r="D9534" s="230">
        <v>0</v>
      </c>
      <c r="E9534" t="s">
        <v>741</v>
      </c>
    </row>
    <row r="9535" spans="1:5" hidden="1" x14ac:dyDescent="0.3">
      <c r="A9535" t="s">
        <v>557</v>
      </c>
      <c r="B9535" t="s">
        <v>740</v>
      </c>
      <c r="C9535" t="s">
        <v>87</v>
      </c>
      <c r="D9535" s="230">
        <v>0</v>
      </c>
      <c r="E9535" t="s">
        <v>741</v>
      </c>
    </row>
    <row r="9536" spans="1:5" hidden="1" x14ac:dyDescent="0.3">
      <c r="A9536" t="s">
        <v>557</v>
      </c>
      <c r="B9536" t="s">
        <v>740</v>
      </c>
      <c r="C9536" t="s">
        <v>88</v>
      </c>
      <c r="D9536" s="230">
        <v>0</v>
      </c>
      <c r="E9536" t="s">
        <v>741</v>
      </c>
    </row>
    <row r="9537" spans="1:5" hidden="1" x14ac:dyDescent="0.3">
      <c r="A9537" t="s">
        <v>557</v>
      </c>
      <c r="B9537" t="s">
        <v>740</v>
      </c>
      <c r="C9537" t="s">
        <v>89</v>
      </c>
      <c r="D9537" s="230">
        <v>0</v>
      </c>
      <c r="E9537" t="s">
        <v>741</v>
      </c>
    </row>
    <row r="9538" spans="1:5" hidden="1" x14ac:dyDescent="0.3">
      <c r="A9538" t="s">
        <v>557</v>
      </c>
      <c r="B9538" t="s">
        <v>740</v>
      </c>
      <c r="C9538" t="s">
        <v>90</v>
      </c>
      <c r="D9538" s="230">
        <v>0</v>
      </c>
      <c r="E9538" t="s">
        <v>741</v>
      </c>
    </row>
    <row r="9539" spans="1:5" hidden="1" x14ac:dyDescent="0.3">
      <c r="A9539" t="s">
        <v>557</v>
      </c>
      <c r="B9539" t="s">
        <v>740</v>
      </c>
      <c r="C9539" t="s">
        <v>91</v>
      </c>
      <c r="D9539" s="230">
        <v>0</v>
      </c>
      <c r="E9539" t="s">
        <v>741</v>
      </c>
    </row>
    <row r="9540" spans="1:5" hidden="1" x14ac:dyDescent="0.3">
      <c r="A9540" t="s">
        <v>557</v>
      </c>
      <c r="B9540" t="s">
        <v>740</v>
      </c>
      <c r="C9540" t="s">
        <v>93</v>
      </c>
      <c r="D9540" s="230">
        <v>0</v>
      </c>
      <c r="E9540" t="s">
        <v>741</v>
      </c>
    </row>
    <row r="9541" spans="1:5" hidden="1" x14ac:dyDescent="0.3">
      <c r="A9541" t="s">
        <v>557</v>
      </c>
      <c r="B9541" t="s">
        <v>740</v>
      </c>
      <c r="C9541" t="s">
        <v>95</v>
      </c>
      <c r="D9541" s="230">
        <v>0</v>
      </c>
      <c r="E9541" t="s">
        <v>741</v>
      </c>
    </row>
    <row r="9542" spans="1:5" hidden="1" x14ac:dyDescent="0.3">
      <c r="A9542" t="s">
        <v>557</v>
      </c>
      <c r="B9542" t="s">
        <v>740</v>
      </c>
      <c r="C9542" t="s">
        <v>96</v>
      </c>
      <c r="D9542" s="230">
        <v>0</v>
      </c>
      <c r="E9542" t="s">
        <v>741</v>
      </c>
    </row>
    <row r="9543" spans="1:5" hidden="1" x14ac:dyDescent="0.3">
      <c r="A9543" t="s">
        <v>557</v>
      </c>
      <c r="B9543" t="s">
        <v>740</v>
      </c>
      <c r="C9543" t="s">
        <v>98</v>
      </c>
      <c r="D9543" s="230">
        <v>0</v>
      </c>
      <c r="E9543" t="s">
        <v>741</v>
      </c>
    </row>
    <row r="9544" spans="1:5" hidden="1" x14ac:dyDescent="0.3">
      <c r="A9544" t="s">
        <v>557</v>
      </c>
      <c r="B9544" t="s">
        <v>740</v>
      </c>
      <c r="C9544" t="s">
        <v>100</v>
      </c>
      <c r="D9544" s="230">
        <v>0</v>
      </c>
      <c r="E9544" t="s">
        <v>741</v>
      </c>
    </row>
    <row r="9545" spans="1:5" hidden="1" x14ac:dyDescent="0.3">
      <c r="A9545" t="s">
        <v>557</v>
      </c>
      <c r="B9545" t="s">
        <v>740</v>
      </c>
      <c r="C9545" t="s">
        <v>101</v>
      </c>
      <c r="D9545" s="230">
        <v>0</v>
      </c>
      <c r="E9545" t="s">
        <v>741</v>
      </c>
    </row>
    <row r="9546" spans="1:5" hidden="1" x14ac:dyDescent="0.3">
      <c r="A9546" t="s">
        <v>557</v>
      </c>
      <c r="B9546" t="s">
        <v>740</v>
      </c>
      <c r="C9546" t="s">
        <v>102</v>
      </c>
      <c r="D9546" s="230">
        <v>0</v>
      </c>
      <c r="E9546" t="s">
        <v>741</v>
      </c>
    </row>
    <row r="9547" spans="1:5" hidden="1" x14ac:dyDescent="0.3">
      <c r="A9547" t="s">
        <v>557</v>
      </c>
      <c r="B9547" t="s">
        <v>740</v>
      </c>
      <c r="C9547" t="s">
        <v>103</v>
      </c>
      <c r="D9547" s="230">
        <v>0</v>
      </c>
      <c r="E9547" t="s">
        <v>741</v>
      </c>
    </row>
    <row r="9548" spans="1:5" hidden="1" x14ac:dyDescent="0.3">
      <c r="A9548" t="s">
        <v>557</v>
      </c>
      <c r="B9548" t="s">
        <v>740</v>
      </c>
      <c r="C9548" t="s">
        <v>104</v>
      </c>
      <c r="D9548" s="230">
        <v>0</v>
      </c>
      <c r="E9548" t="s">
        <v>741</v>
      </c>
    </row>
    <row r="9549" spans="1:5" hidden="1" x14ac:dyDescent="0.3">
      <c r="A9549" t="s">
        <v>557</v>
      </c>
      <c r="B9549" t="s">
        <v>740</v>
      </c>
      <c r="C9549" t="s">
        <v>105</v>
      </c>
      <c r="D9549" s="230">
        <v>0</v>
      </c>
      <c r="E9549" t="s">
        <v>741</v>
      </c>
    </row>
    <row r="9550" spans="1:5" hidden="1" x14ac:dyDescent="0.3">
      <c r="A9550" t="s">
        <v>557</v>
      </c>
      <c r="B9550" t="s">
        <v>740</v>
      </c>
      <c r="C9550" t="s">
        <v>107</v>
      </c>
      <c r="D9550" s="230">
        <v>0</v>
      </c>
      <c r="E9550" t="s">
        <v>741</v>
      </c>
    </row>
    <row r="9551" spans="1:5" hidden="1" x14ac:dyDescent="0.3">
      <c r="A9551" t="s">
        <v>557</v>
      </c>
      <c r="B9551" t="s">
        <v>740</v>
      </c>
      <c r="C9551" t="s">
        <v>108</v>
      </c>
      <c r="D9551" s="230">
        <v>0</v>
      </c>
      <c r="E9551" t="s">
        <v>741</v>
      </c>
    </row>
    <row r="9552" spans="1:5" hidden="1" x14ac:dyDescent="0.3">
      <c r="A9552" t="s">
        <v>557</v>
      </c>
      <c r="B9552" t="s">
        <v>740</v>
      </c>
      <c r="C9552" t="s">
        <v>109</v>
      </c>
      <c r="D9552" s="230">
        <v>0</v>
      </c>
      <c r="E9552" t="s">
        <v>741</v>
      </c>
    </row>
    <row r="9553" spans="1:5" hidden="1" x14ac:dyDescent="0.3">
      <c r="A9553" t="s">
        <v>557</v>
      </c>
      <c r="B9553" t="s">
        <v>740</v>
      </c>
      <c r="C9553" t="s">
        <v>110</v>
      </c>
      <c r="D9553" s="230">
        <v>-0.33</v>
      </c>
      <c r="E9553" t="s">
        <v>741</v>
      </c>
    </row>
    <row r="9554" spans="1:5" hidden="1" x14ac:dyDescent="0.3">
      <c r="A9554" t="s">
        <v>557</v>
      </c>
      <c r="B9554" t="s">
        <v>740</v>
      </c>
      <c r="C9554" t="s">
        <v>44</v>
      </c>
      <c r="D9554" s="230">
        <v>-0.01</v>
      </c>
      <c r="E9554" t="s">
        <v>741</v>
      </c>
    </row>
    <row r="9555" spans="1:5" hidden="1" x14ac:dyDescent="0.3">
      <c r="A9555" t="s">
        <v>557</v>
      </c>
      <c r="B9555" t="s">
        <v>740</v>
      </c>
      <c r="C9555" t="s">
        <v>111</v>
      </c>
      <c r="D9555" s="230">
        <v>-32810</v>
      </c>
      <c r="E9555" t="s">
        <v>741</v>
      </c>
    </row>
    <row r="9556" spans="1:5" hidden="1" x14ac:dyDescent="0.3">
      <c r="A9556" t="s">
        <v>557</v>
      </c>
      <c r="B9556" t="s">
        <v>740</v>
      </c>
      <c r="C9556" t="s">
        <v>608</v>
      </c>
      <c r="D9556" s="230">
        <v>-32810</v>
      </c>
      <c r="E9556" t="s">
        <v>741</v>
      </c>
    </row>
    <row r="9557" spans="1:5" hidden="1" x14ac:dyDescent="0.3">
      <c r="A9557" t="s">
        <v>557</v>
      </c>
      <c r="B9557" t="s">
        <v>740</v>
      </c>
      <c r="C9557" t="s">
        <v>44</v>
      </c>
      <c r="D9557" s="230">
        <v>-0.08</v>
      </c>
      <c r="E9557" t="s">
        <v>741</v>
      </c>
    </row>
    <row r="9558" spans="1:5" hidden="1" x14ac:dyDescent="0.3">
      <c r="A9558" t="s">
        <v>557</v>
      </c>
      <c r="B9558" t="s">
        <v>740</v>
      </c>
      <c r="C9558" t="s">
        <v>115</v>
      </c>
      <c r="D9558" s="230">
        <v>-9175.61</v>
      </c>
      <c r="E9558" t="s">
        <v>741</v>
      </c>
    </row>
    <row r="9559" spans="1:5" hidden="1" x14ac:dyDescent="0.3">
      <c r="A9559" t="s">
        <v>557</v>
      </c>
      <c r="B9559" t="s">
        <v>740</v>
      </c>
      <c r="C9559" t="s">
        <v>116</v>
      </c>
      <c r="D9559" s="230">
        <v>-5211.7700000000004</v>
      </c>
      <c r="E9559" t="s">
        <v>741</v>
      </c>
    </row>
    <row r="9560" spans="1:5" hidden="1" x14ac:dyDescent="0.3">
      <c r="A9560" t="s">
        <v>557</v>
      </c>
      <c r="B9560" t="s">
        <v>740</v>
      </c>
      <c r="C9560" t="s">
        <v>118</v>
      </c>
      <c r="D9560" s="230">
        <v>-3963.84</v>
      </c>
      <c r="E9560" t="s">
        <v>741</v>
      </c>
    </row>
    <row r="9561" spans="1:5" hidden="1" x14ac:dyDescent="0.3">
      <c r="A9561" t="s">
        <v>557</v>
      </c>
      <c r="B9561" t="s">
        <v>740</v>
      </c>
      <c r="C9561" t="s">
        <v>120</v>
      </c>
      <c r="D9561" s="230">
        <v>0</v>
      </c>
      <c r="E9561" t="s">
        <v>741</v>
      </c>
    </row>
    <row r="9562" spans="1:5" hidden="1" x14ac:dyDescent="0.3">
      <c r="A9562" t="s">
        <v>557</v>
      </c>
      <c r="B9562" t="s">
        <v>740</v>
      </c>
      <c r="C9562" t="s">
        <v>122</v>
      </c>
      <c r="D9562" s="230">
        <v>0</v>
      </c>
      <c r="E9562" t="s">
        <v>741</v>
      </c>
    </row>
    <row r="9563" spans="1:5" hidden="1" x14ac:dyDescent="0.3">
      <c r="A9563" t="s">
        <v>557</v>
      </c>
      <c r="B9563" t="s">
        <v>740</v>
      </c>
      <c r="C9563" t="s">
        <v>44</v>
      </c>
      <c r="D9563" s="230">
        <v>-0.02</v>
      </c>
      <c r="E9563" t="s">
        <v>741</v>
      </c>
    </row>
    <row r="9564" spans="1:5" hidden="1" x14ac:dyDescent="0.3">
      <c r="A9564" t="s">
        <v>557</v>
      </c>
      <c r="B9564" t="s">
        <v>740</v>
      </c>
      <c r="C9564" t="s">
        <v>126</v>
      </c>
      <c r="D9564" s="230">
        <v>204888.26</v>
      </c>
      <c r="E9564" t="s">
        <v>741</v>
      </c>
    </row>
    <row r="9565" spans="1:5" hidden="1" x14ac:dyDescent="0.3">
      <c r="A9565" t="s">
        <v>557</v>
      </c>
      <c r="B9565" t="s">
        <v>740</v>
      </c>
      <c r="C9565" t="s">
        <v>127</v>
      </c>
      <c r="D9565" s="230">
        <v>0.49</v>
      </c>
      <c r="E9565" t="s">
        <v>741</v>
      </c>
    </row>
    <row r="9566" spans="1:5" hidden="1" x14ac:dyDescent="0.3">
      <c r="A9566" t="s">
        <v>557</v>
      </c>
      <c r="B9566" t="s">
        <v>740</v>
      </c>
      <c r="C9566" t="s">
        <v>128</v>
      </c>
      <c r="D9566" s="230">
        <v>-136389.04</v>
      </c>
      <c r="E9566" t="s">
        <v>741</v>
      </c>
    </row>
    <row r="9567" spans="1:5" hidden="1" x14ac:dyDescent="0.3">
      <c r="A9567" t="s">
        <v>557</v>
      </c>
      <c r="B9567" t="s">
        <v>740</v>
      </c>
      <c r="C9567" t="s">
        <v>129</v>
      </c>
      <c r="D9567" s="230">
        <v>-37408.61</v>
      </c>
      <c r="E9567" t="s">
        <v>741</v>
      </c>
    </row>
    <row r="9568" spans="1:5" hidden="1" x14ac:dyDescent="0.3">
      <c r="A9568" t="s">
        <v>557</v>
      </c>
      <c r="B9568" t="s">
        <v>740</v>
      </c>
      <c r="C9568" t="s">
        <v>609</v>
      </c>
      <c r="D9568" s="230">
        <v>-5350</v>
      </c>
      <c r="E9568" t="s">
        <v>741</v>
      </c>
    </row>
    <row r="9569" spans="1:5" hidden="1" x14ac:dyDescent="0.3">
      <c r="A9569" t="s">
        <v>557</v>
      </c>
      <c r="B9569" t="s">
        <v>740</v>
      </c>
      <c r="C9569" t="s">
        <v>610</v>
      </c>
      <c r="D9569" s="230">
        <v>-17600</v>
      </c>
      <c r="E9569" t="s">
        <v>741</v>
      </c>
    </row>
    <row r="9570" spans="1:5" hidden="1" x14ac:dyDescent="0.3">
      <c r="A9570" t="s">
        <v>557</v>
      </c>
      <c r="B9570" t="s">
        <v>740</v>
      </c>
      <c r="C9570" t="s">
        <v>611</v>
      </c>
      <c r="D9570" s="230">
        <v>0</v>
      </c>
      <c r="E9570" t="s">
        <v>741</v>
      </c>
    </row>
    <row r="9571" spans="1:5" hidden="1" x14ac:dyDescent="0.3">
      <c r="A9571" t="s">
        <v>557</v>
      </c>
      <c r="B9571" t="s">
        <v>740</v>
      </c>
      <c r="C9571" t="s">
        <v>612</v>
      </c>
      <c r="D9571" s="230">
        <v>-2215.06</v>
      </c>
      <c r="E9571" t="s">
        <v>741</v>
      </c>
    </row>
    <row r="9572" spans="1:5" hidden="1" x14ac:dyDescent="0.3">
      <c r="A9572" t="s">
        <v>557</v>
      </c>
      <c r="B9572" t="s">
        <v>740</v>
      </c>
      <c r="C9572" t="s">
        <v>613</v>
      </c>
      <c r="D9572" s="230">
        <v>-3550</v>
      </c>
      <c r="E9572" t="s">
        <v>741</v>
      </c>
    </row>
    <row r="9573" spans="1:5" hidden="1" x14ac:dyDescent="0.3">
      <c r="A9573" t="s">
        <v>557</v>
      </c>
      <c r="B9573" t="s">
        <v>740</v>
      </c>
      <c r="C9573" t="s">
        <v>614</v>
      </c>
      <c r="D9573" s="230">
        <v>-6500</v>
      </c>
      <c r="E9573" t="s">
        <v>741</v>
      </c>
    </row>
    <row r="9574" spans="1:5" hidden="1" x14ac:dyDescent="0.3">
      <c r="A9574" t="s">
        <v>557</v>
      </c>
      <c r="B9574" t="s">
        <v>740</v>
      </c>
      <c r="C9574" t="s">
        <v>615</v>
      </c>
      <c r="D9574" s="230">
        <v>0</v>
      </c>
      <c r="E9574" t="s">
        <v>741</v>
      </c>
    </row>
    <row r="9575" spans="1:5" hidden="1" x14ac:dyDescent="0.3">
      <c r="A9575" t="s">
        <v>557</v>
      </c>
      <c r="B9575" t="s">
        <v>740</v>
      </c>
      <c r="C9575" t="s">
        <v>616</v>
      </c>
      <c r="D9575" s="230">
        <v>-2193.5500000000002</v>
      </c>
      <c r="E9575" t="s">
        <v>741</v>
      </c>
    </row>
    <row r="9576" spans="1:5" hidden="1" x14ac:dyDescent="0.3">
      <c r="A9576" t="s">
        <v>557</v>
      </c>
      <c r="B9576" t="s">
        <v>740</v>
      </c>
      <c r="C9576" t="s">
        <v>617</v>
      </c>
      <c r="D9576" s="230">
        <v>0</v>
      </c>
      <c r="E9576" t="s">
        <v>741</v>
      </c>
    </row>
    <row r="9577" spans="1:5" hidden="1" x14ac:dyDescent="0.3">
      <c r="A9577" t="s">
        <v>557</v>
      </c>
      <c r="B9577" t="s">
        <v>740</v>
      </c>
      <c r="C9577" t="s">
        <v>618</v>
      </c>
      <c r="D9577" s="230">
        <v>0</v>
      </c>
      <c r="E9577" t="s">
        <v>741</v>
      </c>
    </row>
    <row r="9578" spans="1:5" hidden="1" x14ac:dyDescent="0.3">
      <c r="A9578" t="s">
        <v>557</v>
      </c>
      <c r="B9578" t="s">
        <v>740</v>
      </c>
      <c r="C9578" t="s">
        <v>619</v>
      </c>
      <c r="D9578" s="230">
        <v>0</v>
      </c>
      <c r="E9578" t="s">
        <v>741</v>
      </c>
    </row>
    <row r="9579" spans="1:5" hidden="1" x14ac:dyDescent="0.3">
      <c r="A9579" t="s">
        <v>557</v>
      </c>
      <c r="B9579" t="s">
        <v>740</v>
      </c>
      <c r="C9579" t="s">
        <v>620</v>
      </c>
      <c r="D9579" s="230">
        <v>0</v>
      </c>
      <c r="E9579" t="s">
        <v>741</v>
      </c>
    </row>
    <row r="9580" spans="1:5" hidden="1" x14ac:dyDescent="0.3">
      <c r="A9580" t="s">
        <v>557</v>
      </c>
      <c r="B9580" t="s">
        <v>740</v>
      </c>
      <c r="C9580" t="s">
        <v>575</v>
      </c>
      <c r="D9580" s="230">
        <v>-31011.200000000001</v>
      </c>
      <c r="E9580" t="s">
        <v>741</v>
      </c>
    </row>
    <row r="9581" spans="1:5" hidden="1" x14ac:dyDescent="0.3">
      <c r="A9581" t="s">
        <v>557</v>
      </c>
      <c r="B9581" t="s">
        <v>740</v>
      </c>
      <c r="C9581" t="s">
        <v>621</v>
      </c>
      <c r="D9581" s="230">
        <v>0</v>
      </c>
      <c r="E9581" t="s">
        <v>741</v>
      </c>
    </row>
    <row r="9582" spans="1:5" hidden="1" x14ac:dyDescent="0.3">
      <c r="A9582" t="s">
        <v>557</v>
      </c>
      <c r="B9582" t="s">
        <v>740</v>
      </c>
      <c r="C9582" t="s">
        <v>622</v>
      </c>
      <c r="D9582" s="230">
        <v>0</v>
      </c>
      <c r="E9582" t="s">
        <v>741</v>
      </c>
    </row>
    <row r="9583" spans="1:5" hidden="1" x14ac:dyDescent="0.3">
      <c r="A9583" t="s">
        <v>557</v>
      </c>
      <c r="B9583" t="s">
        <v>740</v>
      </c>
      <c r="C9583" t="s">
        <v>623</v>
      </c>
      <c r="D9583" s="230">
        <v>0</v>
      </c>
      <c r="E9583" t="s">
        <v>741</v>
      </c>
    </row>
    <row r="9584" spans="1:5" hidden="1" x14ac:dyDescent="0.3">
      <c r="A9584" t="s">
        <v>557</v>
      </c>
      <c r="B9584" t="s">
        <v>740</v>
      </c>
      <c r="C9584" t="s">
        <v>624</v>
      </c>
      <c r="D9584" s="230">
        <v>0</v>
      </c>
      <c r="E9584" t="s">
        <v>741</v>
      </c>
    </row>
    <row r="9585" spans="1:5" hidden="1" x14ac:dyDescent="0.3">
      <c r="A9585" t="s">
        <v>557</v>
      </c>
      <c r="B9585" t="s">
        <v>740</v>
      </c>
      <c r="C9585" t="s">
        <v>625</v>
      </c>
      <c r="D9585" s="230">
        <v>0</v>
      </c>
      <c r="E9585" t="s">
        <v>741</v>
      </c>
    </row>
    <row r="9586" spans="1:5" hidden="1" x14ac:dyDescent="0.3">
      <c r="A9586" t="s">
        <v>557</v>
      </c>
      <c r="B9586" t="s">
        <v>740</v>
      </c>
      <c r="C9586" t="s">
        <v>626</v>
      </c>
      <c r="D9586" s="230">
        <v>0</v>
      </c>
      <c r="E9586" t="s">
        <v>741</v>
      </c>
    </row>
    <row r="9587" spans="1:5" hidden="1" x14ac:dyDescent="0.3">
      <c r="A9587" t="s">
        <v>557</v>
      </c>
      <c r="B9587" t="s">
        <v>740</v>
      </c>
      <c r="C9587" t="s">
        <v>627</v>
      </c>
      <c r="D9587" s="230">
        <v>0</v>
      </c>
      <c r="E9587" t="s">
        <v>741</v>
      </c>
    </row>
    <row r="9588" spans="1:5" hidden="1" x14ac:dyDescent="0.3">
      <c r="A9588" t="s">
        <v>557</v>
      </c>
      <c r="B9588" t="s">
        <v>740</v>
      </c>
      <c r="C9588" t="s">
        <v>628</v>
      </c>
      <c r="D9588" s="230">
        <v>0</v>
      </c>
      <c r="E9588" t="s">
        <v>741</v>
      </c>
    </row>
    <row r="9589" spans="1:5" hidden="1" x14ac:dyDescent="0.3">
      <c r="A9589" t="s">
        <v>557</v>
      </c>
      <c r="B9589" t="s">
        <v>740</v>
      </c>
      <c r="C9589" t="s">
        <v>629</v>
      </c>
      <c r="D9589" s="230">
        <v>0</v>
      </c>
      <c r="E9589" t="s">
        <v>741</v>
      </c>
    </row>
    <row r="9590" spans="1:5" hidden="1" x14ac:dyDescent="0.3">
      <c r="A9590" t="s">
        <v>557</v>
      </c>
      <c r="B9590" t="s">
        <v>740</v>
      </c>
      <c r="C9590" t="s">
        <v>630</v>
      </c>
      <c r="D9590" s="230">
        <v>0</v>
      </c>
      <c r="E9590" t="s">
        <v>741</v>
      </c>
    </row>
    <row r="9591" spans="1:5" hidden="1" x14ac:dyDescent="0.3">
      <c r="A9591" t="s">
        <v>557</v>
      </c>
      <c r="B9591" t="s">
        <v>740</v>
      </c>
      <c r="C9591" t="s">
        <v>631</v>
      </c>
      <c r="D9591" s="230">
        <v>0</v>
      </c>
      <c r="E9591" t="s">
        <v>741</v>
      </c>
    </row>
    <row r="9592" spans="1:5" hidden="1" x14ac:dyDescent="0.3">
      <c r="A9592" t="s">
        <v>557</v>
      </c>
      <c r="B9592" t="s">
        <v>740</v>
      </c>
      <c r="C9592" t="s">
        <v>632</v>
      </c>
      <c r="D9592" s="230">
        <v>0</v>
      </c>
      <c r="E9592" t="s">
        <v>741</v>
      </c>
    </row>
    <row r="9593" spans="1:5" hidden="1" x14ac:dyDescent="0.3">
      <c r="A9593" t="s">
        <v>557</v>
      </c>
      <c r="B9593" t="s">
        <v>740</v>
      </c>
      <c r="C9593" t="s">
        <v>633</v>
      </c>
      <c r="D9593" s="230">
        <v>0</v>
      </c>
      <c r="E9593" t="s">
        <v>741</v>
      </c>
    </row>
    <row r="9594" spans="1:5" hidden="1" x14ac:dyDescent="0.3">
      <c r="A9594" t="s">
        <v>557</v>
      </c>
      <c r="B9594" t="s">
        <v>740</v>
      </c>
      <c r="C9594" t="s">
        <v>634</v>
      </c>
      <c r="D9594" s="230">
        <v>0</v>
      </c>
      <c r="E9594" t="s">
        <v>741</v>
      </c>
    </row>
    <row r="9595" spans="1:5" hidden="1" x14ac:dyDescent="0.3">
      <c r="A9595" t="s">
        <v>557</v>
      </c>
      <c r="B9595" t="s">
        <v>740</v>
      </c>
      <c r="C9595" t="s">
        <v>635</v>
      </c>
      <c r="D9595" s="230">
        <v>0</v>
      </c>
      <c r="E9595" t="s">
        <v>741</v>
      </c>
    </row>
    <row r="9596" spans="1:5" hidden="1" x14ac:dyDescent="0.3">
      <c r="A9596" t="s">
        <v>557</v>
      </c>
      <c r="B9596" t="s">
        <v>740</v>
      </c>
      <c r="C9596" t="s">
        <v>636</v>
      </c>
      <c r="D9596" s="230">
        <v>0</v>
      </c>
      <c r="E9596" t="s">
        <v>741</v>
      </c>
    </row>
    <row r="9597" spans="1:5" hidden="1" x14ac:dyDescent="0.3">
      <c r="A9597" t="s">
        <v>557</v>
      </c>
      <c r="B9597" t="s">
        <v>740</v>
      </c>
      <c r="C9597" t="s">
        <v>637</v>
      </c>
      <c r="D9597" s="230">
        <v>0</v>
      </c>
      <c r="E9597" t="s">
        <v>741</v>
      </c>
    </row>
    <row r="9598" spans="1:5" hidden="1" x14ac:dyDescent="0.3">
      <c r="A9598" t="s">
        <v>557</v>
      </c>
      <c r="B9598" t="s">
        <v>740</v>
      </c>
      <c r="C9598" t="s">
        <v>638</v>
      </c>
      <c r="D9598" s="230">
        <v>0</v>
      </c>
      <c r="E9598" t="s">
        <v>741</v>
      </c>
    </row>
    <row r="9599" spans="1:5" hidden="1" x14ac:dyDescent="0.3">
      <c r="A9599" t="s">
        <v>557</v>
      </c>
      <c r="B9599" t="s">
        <v>740</v>
      </c>
      <c r="C9599" t="s">
        <v>639</v>
      </c>
      <c r="D9599" s="230">
        <v>0</v>
      </c>
      <c r="E9599" t="s">
        <v>741</v>
      </c>
    </row>
    <row r="9600" spans="1:5" hidden="1" x14ac:dyDescent="0.3">
      <c r="A9600" t="s">
        <v>557</v>
      </c>
      <c r="B9600" t="s">
        <v>740</v>
      </c>
      <c r="C9600" t="s">
        <v>640</v>
      </c>
      <c r="D9600" s="230">
        <v>0</v>
      </c>
      <c r="E9600" t="s">
        <v>741</v>
      </c>
    </row>
    <row r="9601" spans="1:5" hidden="1" x14ac:dyDescent="0.3">
      <c r="A9601" t="s">
        <v>557</v>
      </c>
      <c r="B9601" t="s">
        <v>740</v>
      </c>
      <c r="C9601" t="s">
        <v>641</v>
      </c>
      <c r="D9601" s="230">
        <v>0</v>
      </c>
      <c r="E9601" t="s">
        <v>741</v>
      </c>
    </row>
    <row r="9602" spans="1:5" hidden="1" x14ac:dyDescent="0.3">
      <c r="A9602" t="s">
        <v>557</v>
      </c>
      <c r="B9602" t="s">
        <v>740</v>
      </c>
      <c r="C9602" t="s">
        <v>642</v>
      </c>
      <c r="D9602" s="230">
        <v>0</v>
      </c>
      <c r="E9602" t="s">
        <v>741</v>
      </c>
    </row>
    <row r="9603" spans="1:5" hidden="1" x14ac:dyDescent="0.3">
      <c r="A9603" t="s">
        <v>557</v>
      </c>
      <c r="B9603" t="s">
        <v>740</v>
      </c>
      <c r="C9603" t="s">
        <v>643</v>
      </c>
      <c r="D9603" s="230">
        <v>0</v>
      </c>
      <c r="E9603" t="s">
        <v>741</v>
      </c>
    </row>
    <row r="9604" spans="1:5" hidden="1" x14ac:dyDescent="0.3">
      <c r="A9604" t="s">
        <v>557</v>
      </c>
      <c r="B9604" t="s">
        <v>740</v>
      </c>
      <c r="C9604" t="s">
        <v>644</v>
      </c>
      <c r="D9604" s="230">
        <v>0</v>
      </c>
      <c r="E9604" t="s">
        <v>741</v>
      </c>
    </row>
    <row r="9605" spans="1:5" hidden="1" x14ac:dyDescent="0.3">
      <c r="A9605" t="s">
        <v>557</v>
      </c>
      <c r="B9605" t="s">
        <v>740</v>
      </c>
      <c r="C9605" t="s">
        <v>645</v>
      </c>
      <c r="D9605" s="230">
        <v>0</v>
      </c>
      <c r="E9605" t="s">
        <v>741</v>
      </c>
    </row>
    <row r="9606" spans="1:5" hidden="1" x14ac:dyDescent="0.3">
      <c r="A9606" t="s">
        <v>557</v>
      </c>
      <c r="B9606" t="s">
        <v>740</v>
      </c>
      <c r="C9606" t="s">
        <v>646</v>
      </c>
      <c r="D9606" s="230">
        <v>0</v>
      </c>
      <c r="E9606" t="s">
        <v>741</v>
      </c>
    </row>
    <row r="9607" spans="1:5" hidden="1" x14ac:dyDescent="0.3">
      <c r="A9607" t="s">
        <v>557</v>
      </c>
      <c r="B9607" t="s">
        <v>740</v>
      </c>
      <c r="C9607" t="s">
        <v>647</v>
      </c>
      <c r="D9607" s="230">
        <v>0</v>
      </c>
      <c r="E9607" t="s">
        <v>741</v>
      </c>
    </row>
    <row r="9608" spans="1:5" hidden="1" x14ac:dyDescent="0.3">
      <c r="A9608" t="s">
        <v>557</v>
      </c>
      <c r="B9608" t="s">
        <v>740</v>
      </c>
      <c r="C9608" t="s">
        <v>648</v>
      </c>
      <c r="D9608" s="230">
        <v>0</v>
      </c>
      <c r="E9608" t="s">
        <v>741</v>
      </c>
    </row>
    <row r="9609" spans="1:5" hidden="1" x14ac:dyDescent="0.3">
      <c r="A9609" t="s">
        <v>557</v>
      </c>
      <c r="B9609" t="s">
        <v>740</v>
      </c>
      <c r="C9609" t="s">
        <v>649</v>
      </c>
      <c r="D9609" s="230">
        <v>0</v>
      </c>
      <c r="E9609" t="s">
        <v>741</v>
      </c>
    </row>
    <row r="9610" spans="1:5" hidden="1" x14ac:dyDescent="0.3">
      <c r="A9610" t="s">
        <v>557</v>
      </c>
      <c r="B9610" t="s">
        <v>740</v>
      </c>
      <c r="C9610" t="s">
        <v>650</v>
      </c>
      <c r="D9610" s="230">
        <v>0</v>
      </c>
      <c r="E9610" t="s">
        <v>741</v>
      </c>
    </row>
    <row r="9611" spans="1:5" hidden="1" x14ac:dyDescent="0.3">
      <c r="A9611" t="s">
        <v>557</v>
      </c>
      <c r="B9611" t="s">
        <v>740</v>
      </c>
      <c r="C9611" t="s">
        <v>651</v>
      </c>
      <c r="D9611" s="230">
        <v>0</v>
      </c>
      <c r="E9611" t="s">
        <v>741</v>
      </c>
    </row>
    <row r="9612" spans="1:5" hidden="1" x14ac:dyDescent="0.3">
      <c r="A9612" t="s">
        <v>557</v>
      </c>
      <c r="B9612" t="s">
        <v>740</v>
      </c>
      <c r="C9612" t="s">
        <v>652</v>
      </c>
      <c r="D9612" s="230">
        <v>0</v>
      </c>
      <c r="E9612" t="s">
        <v>741</v>
      </c>
    </row>
    <row r="9613" spans="1:5" hidden="1" x14ac:dyDescent="0.3">
      <c r="A9613" t="s">
        <v>557</v>
      </c>
      <c r="B9613" t="s">
        <v>740</v>
      </c>
      <c r="C9613" t="s">
        <v>653</v>
      </c>
      <c r="D9613" s="230">
        <v>0</v>
      </c>
      <c r="E9613" t="s">
        <v>741</v>
      </c>
    </row>
    <row r="9614" spans="1:5" hidden="1" x14ac:dyDescent="0.3">
      <c r="A9614" t="s">
        <v>557</v>
      </c>
      <c r="B9614" t="s">
        <v>740</v>
      </c>
      <c r="C9614" t="s">
        <v>654</v>
      </c>
      <c r="D9614" s="230">
        <v>0</v>
      </c>
      <c r="E9614" t="s">
        <v>741</v>
      </c>
    </row>
    <row r="9615" spans="1:5" hidden="1" x14ac:dyDescent="0.3">
      <c r="A9615" t="s">
        <v>557</v>
      </c>
      <c r="B9615" t="s">
        <v>740</v>
      </c>
      <c r="C9615" t="s">
        <v>655</v>
      </c>
      <c r="D9615" s="230">
        <v>0</v>
      </c>
      <c r="E9615" t="s">
        <v>741</v>
      </c>
    </row>
    <row r="9616" spans="1:5" hidden="1" x14ac:dyDescent="0.3">
      <c r="A9616" t="s">
        <v>557</v>
      </c>
      <c r="B9616" t="s">
        <v>740</v>
      </c>
      <c r="C9616" t="s">
        <v>656</v>
      </c>
      <c r="D9616" s="230">
        <v>0</v>
      </c>
      <c r="E9616" t="s">
        <v>741</v>
      </c>
    </row>
    <row r="9617" spans="1:5" hidden="1" x14ac:dyDescent="0.3">
      <c r="A9617" t="s">
        <v>557</v>
      </c>
      <c r="B9617" t="s">
        <v>740</v>
      </c>
      <c r="C9617" t="s">
        <v>657</v>
      </c>
      <c r="D9617" s="230">
        <v>0</v>
      </c>
      <c r="E9617" t="s">
        <v>741</v>
      </c>
    </row>
    <row r="9618" spans="1:5" hidden="1" x14ac:dyDescent="0.3">
      <c r="A9618" t="s">
        <v>557</v>
      </c>
      <c r="B9618" t="s">
        <v>740</v>
      </c>
      <c r="C9618" t="s">
        <v>658</v>
      </c>
      <c r="D9618" s="230">
        <v>0</v>
      </c>
      <c r="E9618" t="s">
        <v>741</v>
      </c>
    </row>
    <row r="9619" spans="1:5" hidden="1" x14ac:dyDescent="0.3">
      <c r="A9619" t="s">
        <v>557</v>
      </c>
      <c r="B9619" t="s">
        <v>740</v>
      </c>
      <c r="C9619" t="s">
        <v>659</v>
      </c>
      <c r="D9619" s="230">
        <v>0</v>
      </c>
      <c r="E9619" t="s">
        <v>741</v>
      </c>
    </row>
    <row r="9620" spans="1:5" hidden="1" x14ac:dyDescent="0.3">
      <c r="A9620" t="s">
        <v>557</v>
      </c>
      <c r="B9620" t="s">
        <v>740</v>
      </c>
      <c r="C9620" t="s">
        <v>660</v>
      </c>
      <c r="D9620" s="230">
        <v>0</v>
      </c>
      <c r="E9620" t="s">
        <v>741</v>
      </c>
    </row>
    <row r="9621" spans="1:5" hidden="1" x14ac:dyDescent="0.3">
      <c r="A9621" t="s">
        <v>557</v>
      </c>
      <c r="B9621" t="s">
        <v>740</v>
      </c>
      <c r="C9621" t="s">
        <v>661</v>
      </c>
      <c r="D9621" s="230">
        <v>0</v>
      </c>
      <c r="E9621" t="s">
        <v>741</v>
      </c>
    </row>
    <row r="9622" spans="1:5" hidden="1" x14ac:dyDescent="0.3">
      <c r="A9622" t="s">
        <v>557</v>
      </c>
      <c r="B9622" t="s">
        <v>740</v>
      </c>
      <c r="C9622" t="s">
        <v>662</v>
      </c>
      <c r="D9622" s="230">
        <v>0</v>
      </c>
      <c r="E9622" t="s">
        <v>741</v>
      </c>
    </row>
    <row r="9623" spans="1:5" hidden="1" x14ac:dyDescent="0.3">
      <c r="A9623" t="s">
        <v>557</v>
      </c>
      <c r="B9623" t="s">
        <v>740</v>
      </c>
      <c r="C9623" t="s">
        <v>663</v>
      </c>
      <c r="D9623" s="230">
        <v>0</v>
      </c>
      <c r="E9623" t="s">
        <v>741</v>
      </c>
    </row>
    <row r="9624" spans="1:5" hidden="1" x14ac:dyDescent="0.3">
      <c r="A9624" t="s">
        <v>557</v>
      </c>
      <c r="B9624" t="s">
        <v>740</v>
      </c>
      <c r="C9624" t="s">
        <v>664</v>
      </c>
      <c r="D9624" s="230">
        <v>0</v>
      </c>
      <c r="E9624" t="s">
        <v>741</v>
      </c>
    </row>
    <row r="9625" spans="1:5" hidden="1" x14ac:dyDescent="0.3">
      <c r="A9625" t="s">
        <v>557</v>
      </c>
      <c r="B9625" t="s">
        <v>740</v>
      </c>
      <c r="C9625" t="s">
        <v>665</v>
      </c>
      <c r="D9625" s="230">
        <v>0</v>
      </c>
      <c r="E9625" t="s">
        <v>741</v>
      </c>
    </row>
    <row r="9626" spans="1:5" hidden="1" x14ac:dyDescent="0.3">
      <c r="A9626" t="s">
        <v>557</v>
      </c>
      <c r="B9626" t="s">
        <v>740</v>
      </c>
      <c r="C9626" t="s">
        <v>666</v>
      </c>
      <c r="D9626" s="230">
        <v>0</v>
      </c>
      <c r="E9626" t="s">
        <v>741</v>
      </c>
    </row>
    <row r="9627" spans="1:5" hidden="1" x14ac:dyDescent="0.3">
      <c r="A9627" t="s">
        <v>557</v>
      </c>
      <c r="B9627" t="s">
        <v>740</v>
      </c>
      <c r="C9627" t="s">
        <v>667</v>
      </c>
      <c r="D9627" s="230">
        <v>0</v>
      </c>
      <c r="E9627" t="s">
        <v>741</v>
      </c>
    </row>
    <row r="9628" spans="1:5" hidden="1" x14ac:dyDescent="0.3">
      <c r="A9628" t="s">
        <v>557</v>
      </c>
      <c r="B9628" t="s">
        <v>740</v>
      </c>
      <c r="C9628" t="s">
        <v>668</v>
      </c>
      <c r="D9628" s="230">
        <v>0</v>
      </c>
      <c r="E9628" t="s">
        <v>741</v>
      </c>
    </row>
    <row r="9629" spans="1:5" hidden="1" x14ac:dyDescent="0.3">
      <c r="A9629" t="s">
        <v>557</v>
      </c>
      <c r="B9629" t="s">
        <v>740</v>
      </c>
      <c r="C9629" t="s">
        <v>669</v>
      </c>
      <c r="D9629" s="230">
        <v>0</v>
      </c>
      <c r="E9629" t="s">
        <v>741</v>
      </c>
    </row>
    <row r="9630" spans="1:5" hidden="1" x14ac:dyDescent="0.3">
      <c r="A9630" t="s">
        <v>557</v>
      </c>
      <c r="B9630" t="s">
        <v>740</v>
      </c>
      <c r="C9630" t="s">
        <v>670</v>
      </c>
      <c r="D9630" s="230">
        <v>0</v>
      </c>
      <c r="E9630" t="s">
        <v>741</v>
      </c>
    </row>
    <row r="9631" spans="1:5" hidden="1" x14ac:dyDescent="0.3">
      <c r="A9631" t="s">
        <v>557</v>
      </c>
      <c r="B9631" t="s">
        <v>740</v>
      </c>
      <c r="C9631" t="s">
        <v>671</v>
      </c>
      <c r="D9631" s="230">
        <v>0</v>
      </c>
      <c r="E9631" t="s">
        <v>741</v>
      </c>
    </row>
    <row r="9632" spans="1:5" hidden="1" x14ac:dyDescent="0.3">
      <c r="A9632" t="s">
        <v>557</v>
      </c>
      <c r="B9632" t="s">
        <v>740</v>
      </c>
      <c r="C9632" t="s">
        <v>672</v>
      </c>
      <c r="D9632" s="230">
        <v>0</v>
      </c>
      <c r="E9632" t="s">
        <v>741</v>
      </c>
    </row>
    <row r="9633" spans="1:5" hidden="1" x14ac:dyDescent="0.3">
      <c r="A9633" t="s">
        <v>557</v>
      </c>
      <c r="B9633" t="s">
        <v>740</v>
      </c>
      <c r="C9633" t="s">
        <v>673</v>
      </c>
      <c r="D9633" s="230">
        <v>0</v>
      </c>
      <c r="E9633" t="s">
        <v>741</v>
      </c>
    </row>
    <row r="9634" spans="1:5" hidden="1" x14ac:dyDescent="0.3">
      <c r="A9634" t="s">
        <v>557</v>
      </c>
      <c r="B9634" t="s">
        <v>740</v>
      </c>
      <c r="C9634" t="s">
        <v>674</v>
      </c>
      <c r="D9634" s="230">
        <v>0</v>
      </c>
      <c r="E9634" t="s">
        <v>741</v>
      </c>
    </row>
    <row r="9635" spans="1:5" hidden="1" x14ac:dyDescent="0.3">
      <c r="A9635" t="s">
        <v>557</v>
      </c>
      <c r="B9635" t="s">
        <v>740</v>
      </c>
      <c r="C9635" t="s">
        <v>675</v>
      </c>
      <c r="D9635" s="230">
        <v>0</v>
      </c>
      <c r="E9635" t="s">
        <v>741</v>
      </c>
    </row>
    <row r="9636" spans="1:5" hidden="1" x14ac:dyDescent="0.3">
      <c r="A9636" t="s">
        <v>557</v>
      </c>
      <c r="B9636" t="s">
        <v>740</v>
      </c>
      <c r="C9636" t="s">
        <v>676</v>
      </c>
      <c r="D9636" s="230">
        <v>0</v>
      </c>
      <c r="E9636" t="s">
        <v>741</v>
      </c>
    </row>
    <row r="9637" spans="1:5" hidden="1" x14ac:dyDescent="0.3">
      <c r="A9637" t="s">
        <v>557</v>
      </c>
      <c r="B9637" t="s">
        <v>740</v>
      </c>
      <c r="C9637" t="s">
        <v>677</v>
      </c>
      <c r="D9637" s="230">
        <v>0</v>
      </c>
      <c r="E9637" t="s">
        <v>741</v>
      </c>
    </row>
    <row r="9638" spans="1:5" hidden="1" x14ac:dyDescent="0.3">
      <c r="A9638" t="s">
        <v>557</v>
      </c>
      <c r="B9638" t="s">
        <v>740</v>
      </c>
      <c r="C9638" t="s">
        <v>201</v>
      </c>
      <c r="D9638" s="230">
        <v>-11352</v>
      </c>
      <c r="E9638" t="s">
        <v>741</v>
      </c>
    </row>
    <row r="9639" spans="1:5" hidden="1" x14ac:dyDescent="0.3">
      <c r="A9639" t="s">
        <v>557</v>
      </c>
      <c r="B9639" t="s">
        <v>740</v>
      </c>
      <c r="C9639" t="s">
        <v>203</v>
      </c>
      <c r="D9639" s="230">
        <v>-11352</v>
      </c>
      <c r="E9639" t="s">
        <v>741</v>
      </c>
    </row>
    <row r="9640" spans="1:5" hidden="1" x14ac:dyDescent="0.3">
      <c r="A9640" t="s">
        <v>557</v>
      </c>
      <c r="B9640" t="s">
        <v>740</v>
      </c>
      <c r="C9640" t="s">
        <v>678</v>
      </c>
      <c r="D9640" s="230">
        <v>5676</v>
      </c>
      <c r="E9640" t="s">
        <v>741</v>
      </c>
    </row>
    <row r="9641" spans="1:5" hidden="1" x14ac:dyDescent="0.3">
      <c r="A9641" t="s">
        <v>557</v>
      </c>
      <c r="B9641" t="s">
        <v>740</v>
      </c>
      <c r="C9641" t="s">
        <v>205</v>
      </c>
      <c r="D9641" s="230">
        <v>-30296.61</v>
      </c>
      <c r="E9641" t="s">
        <v>741</v>
      </c>
    </row>
    <row r="9642" spans="1:5" hidden="1" x14ac:dyDescent="0.3">
      <c r="A9642" t="s">
        <v>557</v>
      </c>
      <c r="B9642" t="s">
        <v>740</v>
      </c>
      <c r="C9642" t="s">
        <v>679</v>
      </c>
      <c r="D9642" s="230">
        <v>-5477.12</v>
      </c>
      <c r="E9642" t="s">
        <v>741</v>
      </c>
    </row>
    <row r="9643" spans="1:5" hidden="1" x14ac:dyDescent="0.3">
      <c r="A9643" t="s">
        <v>557</v>
      </c>
      <c r="B9643" t="s">
        <v>740</v>
      </c>
      <c r="C9643" t="s">
        <v>680</v>
      </c>
      <c r="D9643" s="230">
        <v>0</v>
      </c>
      <c r="E9643" t="s">
        <v>741</v>
      </c>
    </row>
    <row r="9644" spans="1:5" hidden="1" x14ac:dyDescent="0.3">
      <c r="A9644" t="s">
        <v>557</v>
      </c>
      <c r="B9644" t="s">
        <v>740</v>
      </c>
      <c r="C9644" t="s">
        <v>681</v>
      </c>
      <c r="D9644" s="230">
        <v>-6466.83</v>
      </c>
      <c r="E9644" t="s">
        <v>741</v>
      </c>
    </row>
    <row r="9645" spans="1:5" hidden="1" x14ac:dyDescent="0.3">
      <c r="A9645" t="s">
        <v>557</v>
      </c>
      <c r="B9645" t="s">
        <v>740</v>
      </c>
      <c r="C9645" t="s">
        <v>682</v>
      </c>
      <c r="D9645" s="230">
        <v>-2699.63</v>
      </c>
      <c r="E9645" t="s">
        <v>741</v>
      </c>
    </row>
    <row r="9646" spans="1:5" hidden="1" x14ac:dyDescent="0.3">
      <c r="A9646" t="s">
        <v>557</v>
      </c>
      <c r="B9646" t="s">
        <v>740</v>
      </c>
      <c r="C9646" t="s">
        <v>683</v>
      </c>
      <c r="D9646" s="230">
        <v>-8564.4699999999993</v>
      </c>
      <c r="E9646" t="s">
        <v>741</v>
      </c>
    </row>
    <row r="9647" spans="1:5" hidden="1" x14ac:dyDescent="0.3">
      <c r="A9647" t="s">
        <v>557</v>
      </c>
      <c r="B9647" t="s">
        <v>740</v>
      </c>
      <c r="C9647" t="s">
        <v>684</v>
      </c>
      <c r="D9647" s="230">
        <v>0</v>
      </c>
      <c r="E9647" t="s">
        <v>741</v>
      </c>
    </row>
    <row r="9648" spans="1:5" hidden="1" x14ac:dyDescent="0.3">
      <c r="A9648" t="s">
        <v>557</v>
      </c>
      <c r="B9648" t="s">
        <v>740</v>
      </c>
      <c r="C9648" t="s">
        <v>685</v>
      </c>
      <c r="D9648" s="230">
        <v>0</v>
      </c>
      <c r="E9648" t="s">
        <v>741</v>
      </c>
    </row>
    <row r="9649" spans="1:5" hidden="1" x14ac:dyDescent="0.3">
      <c r="A9649" t="s">
        <v>557</v>
      </c>
      <c r="B9649" t="s">
        <v>740</v>
      </c>
      <c r="C9649" t="s">
        <v>686</v>
      </c>
      <c r="D9649" s="230">
        <v>-296.95999999999998</v>
      </c>
      <c r="E9649" t="s">
        <v>741</v>
      </c>
    </row>
    <row r="9650" spans="1:5" hidden="1" x14ac:dyDescent="0.3">
      <c r="A9650" t="s">
        <v>557</v>
      </c>
      <c r="B9650" t="s">
        <v>740</v>
      </c>
      <c r="C9650" t="s">
        <v>687</v>
      </c>
      <c r="D9650" s="230">
        <v>-942.09</v>
      </c>
      <c r="E9650" t="s">
        <v>741</v>
      </c>
    </row>
    <row r="9651" spans="1:5" hidden="1" x14ac:dyDescent="0.3">
      <c r="A9651" t="s">
        <v>557</v>
      </c>
      <c r="B9651" t="s">
        <v>740</v>
      </c>
      <c r="C9651" t="s">
        <v>688</v>
      </c>
      <c r="D9651" s="230">
        <v>0</v>
      </c>
      <c r="E9651" t="s">
        <v>741</v>
      </c>
    </row>
    <row r="9652" spans="1:5" hidden="1" x14ac:dyDescent="0.3">
      <c r="A9652" t="s">
        <v>557</v>
      </c>
      <c r="B9652" t="s">
        <v>740</v>
      </c>
      <c r="C9652" t="s">
        <v>689</v>
      </c>
      <c r="D9652" s="230">
        <v>0</v>
      </c>
      <c r="E9652" t="s">
        <v>741</v>
      </c>
    </row>
    <row r="9653" spans="1:5" hidden="1" x14ac:dyDescent="0.3">
      <c r="A9653" t="s">
        <v>557</v>
      </c>
      <c r="B9653" t="s">
        <v>740</v>
      </c>
      <c r="C9653" t="s">
        <v>690</v>
      </c>
      <c r="D9653" s="230">
        <v>0</v>
      </c>
      <c r="E9653" t="s">
        <v>741</v>
      </c>
    </row>
    <row r="9654" spans="1:5" hidden="1" x14ac:dyDescent="0.3">
      <c r="A9654" t="s">
        <v>557</v>
      </c>
      <c r="B9654" t="s">
        <v>740</v>
      </c>
      <c r="C9654" t="s">
        <v>691</v>
      </c>
      <c r="D9654" s="230">
        <v>0</v>
      </c>
      <c r="E9654" t="s">
        <v>741</v>
      </c>
    </row>
    <row r="9655" spans="1:5" hidden="1" x14ac:dyDescent="0.3">
      <c r="A9655" t="s">
        <v>557</v>
      </c>
      <c r="B9655" t="s">
        <v>740</v>
      </c>
      <c r="C9655" t="s">
        <v>692</v>
      </c>
      <c r="D9655" s="230">
        <v>-5849.51</v>
      </c>
      <c r="E9655" t="s">
        <v>741</v>
      </c>
    </row>
    <row r="9656" spans="1:5" hidden="1" x14ac:dyDescent="0.3">
      <c r="A9656" t="s">
        <v>557</v>
      </c>
      <c r="B9656" t="s">
        <v>740</v>
      </c>
      <c r="C9656" t="s">
        <v>693</v>
      </c>
      <c r="D9656" s="230">
        <v>0</v>
      </c>
      <c r="E9656" t="s">
        <v>741</v>
      </c>
    </row>
    <row r="9657" spans="1:5" hidden="1" x14ac:dyDescent="0.3">
      <c r="A9657" t="s">
        <v>557</v>
      </c>
      <c r="B9657" t="s">
        <v>740</v>
      </c>
      <c r="C9657" t="s">
        <v>694</v>
      </c>
      <c r="D9657" s="230">
        <v>0</v>
      </c>
      <c r="E9657" t="s">
        <v>741</v>
      </c>
    </row>
    <row r="9658" spans="1:5" hidden="1" x14ac:dyDescent="0.3">
      <c r="A9658" t="s">
        <v>557</v>
      </c>
      <c r="B9658" t="s">
        <v>740</v>
      </c>
      <c r="C9658" t="s">
        <v>238</v>
      </c>
      <c r="D9658" s="230">
        <v>-9878.6200000000008</v>
      </c>
      <c r="E9658" t="s">
        <v>741</v>
      </c>
    </row>
    <row r="9659" spans="1:5" hidden="1" x14ac:dyDescent="0.3">
      <c r="A9659" t="s">
        <v>557</v>
      </c>
      <c r="B9659" t="s">
        <v>740</v>
      </c>
      <c r="C9659" t="s">
        <v>695</v>
      </c>
      <c r="D9659" s="230">
        <v>-8220.67</v>
      </c>
      <c r="E9659" t="s">
        <v>741</v>
      </c>
    </row>
    <row r="9660" spans="1:5" hidden="1" x14ac:dyDescent="0.3">
      <c r="A9660" t="s">
        <v>557</v>
      </c>
      <c r="B9660" t="s">
        <v>740</v>
      </c>
      <c r="C9660" t="s">
        <v>696</v>
      </c>
      <c r="D9660" s="230">
        <v>-1457.18</v>
      </c>
      <c r="E9660" t="s">
        <v>741</v>
      </c>
    </row>
    <row r="9661" spans="1:5" hidden="1" x14ac:dyDescent="0.3">
      <c r="A9661" t="s">
        <v>557</v>
      </c>
      <c r="B9661" t="s">
        <v>740</v>
      </c>
      <c r="C9661" t="s">
        <v>697</v>
      </c>
      <c r="D9661" s="230">
        <v>0</v>
      </c>
      <c r="E9661" t="s">
        <v>741</v>
      </c>
    </row>
    <row r="9662" spans="1:5" hidden="1" x14ac:dyDescent="0.3">
      <c r="A9662" t="s">
        <v>557</v>
      </c>
      <c r="B9662" t="s">
        <v>740</v>
      </c>
      <c r="C9662" t="s">
        <v>698</v>
      </c>
      <c r="D9662" s="230">
        <v>-200.77</v>
      </c>
      <c r="E9662" t="s">
        <v>741</v>
      </c>
    </row>
    <row r="9663" spans="1:5" hidden="1" x14ac:dyDescent="0.3">
      <c r="A9663" t="s">
        <v>557</v>
      </c>
      <c r="B9663" t="s">
        <v>740</v>
      </c>
      <c r="C9663" t="s">
        <v>699</v>
      </c>
      <c r="D9663" s="230">
        <v>0</v>
      </c>
      <c r="E9663" t="s">
        <v>741</v>
      </c>
    </row>
    <row r="9664" spans="1:5" hidden="1" x14ac:dyDescent="0.3">
      <c r="A9664" t="s">
        <v>557</v>
      </c>
      <c r="B9664" t="s">
        <v>740</v>
      </c>
      <c r="C9664" t="s">
        <v>245</v>
      </c>
      <c r="D9664" s="230">
        <v>-16442.009999999998</v>
      </c>
      <c r="E9664" t="s">
        <v>741</v>
      </c>
    </row>
    <row r="9665" spans="1:5" hidden="1" x14ac:dyDescent="0.3">
      <c r="A9665" t="s">
        <v>557</v>
      </c>
      <c r="B9665" t="s">
        <v>740</v>
      </c>
      <c r="C9665" t="s">
        <v>700</v>
      </c>
      <c r="D9665" s="230">
        <v>0</v>
      </c>
      <c r="E9665" t="s">
        <v>741</v>
      </c>
    </row>
    <row r="9666" spans="1:5" hidden="1" x14ac:dyDescent="0.3">
      <c r="A9666" t="s">
        <v>557</v>
      </c>
      <c r="B9666" t="s">
        <v>740</v>
      </c>
      <c r="C9666" t="s">
        <v>701</v>
      </c>
      <c r="D9666" s="230">
        <v>-531.54999999999995</v>
      </c>
      <c r="E9666" t="s">
        <v>741</v>
      </c>
    </row>
    <row r="9667" spans="1:5" hidden="1" x14ac:dyDescent="0.3">
      <c r="A9667" t="s">
        <v>557</v>
      </c>
      <c r="B9667" t="s">
        <v>740</v>
      </c>
      <c r="C9667" t="s">
        <v>702</v>
      </c>
      <c r="D9667" s="230">
        <v>0</v>
      </c>
      <c r="E9667" t="s">
        <v>741</v>
      </c>
    </row>
    <row r="9668" spans="1:5" hidden="1" x14ac:dyDescent="0.3">
      <c r="A9668" t="s">
        <v>557</v>
      </c>
      <c r="B9668" t="s">
        <v>740</v>
      </c>
      <c r="C9668" t="s">
        <v>703</v>
      </c>
      <c r="D9668" s="230">
        <v>-2700</v>
      </c>
      <c r="E9668" t="s">
        <v>741</v>
      </c>
    </row>
    <row r="9669" spans="1:5" hidden="1" x14ac:dyDescent="0.3">
      <c r="A9669" t="s">
        <v>557</v>
      </c>
      <c r="B9669" t="s">
        <v>740</v>
      </c>
      <c r="C9669" t="s">
        <v>704</v>
      </c>
      <c r="D9669" s="230">
        <v>0</v>
      </c>
      <c r="E9669" t="s">
        <v>741</v>
      </c>
    </row>
    <row r="9670" spans="1:5" hidden="1" x14ac:dyDescent="0.3">
      <c r="A9670" t="s">
        <v>557</v>
      </c>
      <c r="B9670" t="s">
        <v>740</v>
      </c>
      <c r="C9670" t="s">
        <v>705</v>
      </c>
      <c r="D9670" s="230">
        <v>-13210.46</v>
      </c>
      <c r="E9670" t="s">
        <v>741</v>
      </c>
    </row>
    <row r="9671" spans="1:5" hidden="1" x14ac:dyDescent="0.3">
      <c r="A9671" t="s">
        <v>557</v>
      </c>
      <c r="B9671" t="s">
        <v>740</v>
      </c>
      <c r="C9671" t="s">
        <v>706</v>
      </c>
      <c r="D9671" s="230">
        <v>0</v>
      </c>
      <c r="E9671" t="s">
        <v>741</v>
      </c>
    </row>
    <row r="9672" spans="1:5" hidden="1" x14ac:dyDescent="0.3">
      <c r="A9672" t="s">
        <v>557</v>
      </c>
      <c r="B9672" t="s">
        <v>740</v>
      </c>
      <c r="C9672" t="s">
        <v>254</v>
      </c>
      <c r="D9672" s="230">
        <v>-0.33</v>
      </c>
      <c r="E9672" t="s">
        <v>741</v>
      </c>
    </row>
    <row r="9673" spans="1:5" hidden="1" x14ac:dyDescent="0.3">
      <c r="A9673" t="s">
        <v>557</v>
      </c>
      <c r="B9673" t="s">
        <v>740</v>
      </c>
      <c r="C9673" t="s">
        <v>255</v>
      </c>
      <c r="D9673" s="230">
        <v>-0.24</v>
      </c>
      <c r="E9673" t="s">
        <v>741</v>
      </c>
    </row>
    <row r="9674" spans="1:5" hidden="1" x14ac:dyDescent="0.3">
      <c r="A9674" t="s">
        <v>557</v>
      </c>
      <c r="B9674" t="s">
        <v>740</v>
      </c>
      <c r="C9674" t="s">
        <v>256</v>
      </c>
      <c r="D9674" s="230">
        <v>-51438.17</v>
      </c>
      <c r="E9674" t="s">
        <v>741</v>
      </c>
    </row>
    <row r="9675" spans="1:5" hidden="1" x14ac:dyDescent="0.3">
      <c r="A9675" t="s">
        <v>557</v>
      </c>
      <c r="B9675" t="s">
        <v>740</v>
      </c>
      <c r="C9675" t="s">
        <v>257</v>
      </c>
      <c r="D9675" s="230">
        <v>-49002</v>
      </c>
      <c r="E9675" t="s">
        <v>741</v>
      </c>
    </row>
    <row r="9676" spans="1:5" hidden="1" x14ac:dyDescent="0.3">
      <c r="A9676" t="s">
        <v>557</v>
      </c>
      <c r="B9676" t="s">
        <v>740</v>
      </c>
      <c r="C9676" t="s">
        <v>258</v>
      </c>
      <c r="D9676" s="230">
        <v>0</v>
      </c>
      <c r="E9676" t="s">
        <v>741</v>
      </c>
    </row>
    <row r="9677" spans="1:5" hidden="1" x14ac:dyDescent="0.3">
      <c r="A9677" t="s">
        <v>557</v>
      </c>
      <c r="B9677" t="s">
        <v>740</v>
      </c>
      <c r="C9677" t="s">
        <v>259</v>
      </c>
      <c r="D9677" s="230">
        <v>-2436.17</v>
      </c>
      <c r="E9677" t="s">
        <v>741</v>
      </c>
    </row>
    <row r="9678" spans="1:5" hidden="1" x14ac:dyDescent="0.3">
      <c r="A9678" t="s">
        <v>557</v>
      </c>
      <c r="B9678" t="s">
        <v>740</v>
      </c>
      <c r="C9678" t="s">
        <v>260</v>
      </c>
      <c r="D9678" s="230">
        <v>0</v>
      </c>
      <c r="E9678" t="s">
        <v>741</v>
      </c>
    </row>
    <row r="9679" spans="1:5" hidden="1" x14ac:dyDescent="0.3">
      <c r="A9679" t="s">
        <v>557</v>
      </c>
      <c r="B9679" t="s">
        <v>740</v>
      </c>
      <c r="C9679" t="s">
        <v>261</v>
      </c>
      <c r="D9679" s="230">
        <v>0</v>
      </c>
      <c r="E9679" t="s">
        <v>741</v>
      </c>
    </row>
    <row r="9680" spans="1:5" hidden="1" x14ac:dyDescent="0.3">
      <c r="A9680" t="s">
        <v>557</v>
      </c>
      <c r="B9680" t="s">
        <v>740</v>
      </c>
      <c r="C9680" t="s">
        <v>262</v>
      </c>
      <c r="D9680" s="230">
        <v>0</v>
      </c>
      <c r="E9680" t="s">
        <v>741</v>
      </c>
    </row>
    <row r="9681" spans="1:5" hidden="1" x14ac:dyDescent="0.3">
      <c r="A9681" t="s">
        <v>557</v>
      </c>
      <c r="B9681" t="s">
        <v>740</v>
      </c>
      <c r="C9681" t="s">
        <v>263</v>
      </c>
      <c r="D9681" s="230">
        <v>0</v>
      </c>
      <c r="E9681" t="s">
        <v>741</v>
      </c>
    </row>
    <row r="9682" spans="1:5" hidden="1" x14ac:dyDescent="0.3">
      <c r="A9682" t="s">
        <v>557</v>
      </c>
      <c r="B9682" t="s">
        <v>740</v>
      </c>
      <c r="C9682" t="s">
        <v>44</v>
      </c>
      <c r="D9682" s="230">
        <v>-0.12</v>
      </c>
      <c r="E9682" t="s">
        <v>741</v>
      </c>
    </row>
    <row r="9683" spans="1:5" hidden="1" x14ac:dyDescent="0.3">
      <c r="A9683" t="s">
        <v>557</v>
      </c>
      <c r="B9683" t="s">
        <v>740</v>
      </c>
      <c r="C9683" t="s">
        <v>264</v>
      </c>
      <c r="D9683" s="230">
        <v>-35431.49</v>
      </c>
      <c r="E9683" t="s">
        <v>741</v>
      </c>
    </row>
    <row r="9684" spans="1:5" hidden="1" x14ac:dyDescent="0.3">
      <c r="A9684" t="s">
        <v>557</v>
      </c>
      <c r="B9684" t="s">
        <v>740</v>
      </c>
      <c r="C9684" t="s">
        <v>265</v>
      </c>
      <c r="D9684" s="230">
        <v>-4776.43</v>
      </c>
      <c r="E9684" t="s">
        <v>741</v>
      </c>
    </row>
    <row r="9685" spans="1:5" hidden="1" x14ac:dyDescent="0.3">
      <c r="A9685" t="s">
        <v>557</v>
      </c>
      <c r="B9685" t="s">
        <v>740</v>
      </c>
      <c r="C9685" t="s">
        <v>266</v>
      </c>
      <c r="D9685" s="230">
        <v>-10190.17</v>
      </c>
      <c r="E9685" t="s">
        <v>741</v>
      </c>
    </row>
    <row r="9686" spans="1:5" hidden="1" x14ac:dyDescent="0.3">
      <c r="A9686" t="s">
        <v>557</v>
      </c>
      <c r="B9686" t="s">
        <v>740</v>
      </c>
      <c r="C9686" t="s">
        <v>267</v>
      </c>
      <c r="D9686" s="230">
        <v>-5552.69</v>
      </c>
      <c r="E9686" t="s">
        <v>741</v>
      </c>
    </row>
    <row r="9687" spans="1:5" hidden="1" x14ac:dyDescent="0.3">
      <c r="A9687" t="s">
        <v>557</v>
      </c>
      <c r="B9687" t="s">
        <v>740</v>
      </c>
      <c r="C9687" t="s">
        <v>268</v>
      </c>
      <c r="D9687" s="230">
        <v>-5742</v>
      </c>
      <c r="E9687" t="s">
        <v>741</v>
      </c>
    </row>
    <row r="9688" spans="1:5" hidden="1" x14ac:dyDescent="0.3">
      <c r="A9688" t="s">
        <v>557</v>
      </c>
      <c r="B9688" t="s">
        <v>740</v>
      </c>
      <c r="C9688" t="s">
        <v>269</v>
      </c>
      <c r="D9688" s="230">
        <v>0</v>
      </c>
      <c r="E9688" t="s">
        <v>741</v>
      </c>
    </row>
    <row r="9689" spans="1:5" hidden="1" x14ac:dyDescent="0.3">
      <c r="A9689" t="s">
        <v>557</v>
      </c>
      <c r="B9689" t="s">
        <v>740</v>
      </c>
      <c r="C9689" t="s">
        <v>270</v>
      </c>
      <c r="D9689" s="230">
        <v>-550</v>
      </c>
      <c r="E9689" t="s">
        <v>741</v>
      </c>
    </row>
    <row r="9690" spans="1:5" hidden="1" x14ac:dyDescent="0.3">
      <c r="A9690" t="s">
        <v>557</v>
      </c>
      <c r="B9690" t="s">
        <v>740</v>
      </c>
      <c r="C9690" t="s">
        <v>271</v>
      </c>
      <c r="D9690" s="230">
        <v>-985.3</v>
      </c>
      <c r="E9690" t="s">
        <v>741</v>
      </c>
    </row>
    <row r="9691" spans="1:5" hidden="1" x14ac:dyDescent="0.3">
      <c r="A9691" t="s">
        <v>557</v>
      </c>
      <c r="B9691" t="s">
        <v>740</v>
      </c>
      <c r="C9691" t="s">
        <v>272</v>
      </c>
      <c r="D9691" s="230">
        <v>-100.69</v>
      </c>
      <c r="E9691" t="s">
        <v>741</v>
      </c>
    </row>
    <row r="9692" spans="1:5" hidden="1" x14ac:dyDescent="0.3">
      <c r="A9692" t="s">
        <v>557</v>
      </c>
      <c r="B9692" t="s">
        <v>740</v>
      </c>
      <c r="C9692" t="s">
        <v>273</v>
      </c>
      <c r="D9692" s="230">
        <v>0</v>
      </c>
      <c r="E9692" t="s">
        <v>741</v>
      </c>
    </row>
    <row r="9693" spans="1:5" hidden="1" x14ac:dyDescent="0.3">
      <c r="A9693" t="s">
        <v>557</v>
      </c>
      <c r="B9693" t="s">
        <v>740</v>
      </c>
      <c r="C9693" t="s">
        <v>274</v>
      </c>
      <c r="D9693" s="230">
        <v>0</v>
      </c>
      <c r="E9693" t="s">
        <v>741</v>
      </c>
    </row>
    <row r="9694" spans="1:5" hidden="1" x14ac:dyDescent="0.3">
      <c r="A9694" t="s">
        <v>557</v>
      </c>
      <c r="B9694" t="s">
        <v>740</v>
      </c>
      <c r="C9694" t="s">
        <v>275</v>
      </c>
      <c r="D9694" s="230">
        <v>-983.96</v>
      </c>
      <c r="E9694" t="s">
        <v>741</v>
      </c>
    </row>
    <row r="9695" spans="1:5" hidden="1" x14ac:dyDescent="0.3">
      <c r="A9695" t="s">
        <v>557</v>
      </c>
      <c r="B9695" t="s">
        <v>740</v>
      </c>
      <c r="C9695" t="s">
        <v>276</v>
      </c>
      <c r="D9695" s="230">
        <v>-1400</v>
      </c>
      <c r="E9695" t="s">
        <v>741</v>
      </c>
    </row>
    <row r="9696" spans="1:5" hidden="1" x14ac:dyDescent="0.3">
      <c r="A9696" t="s">
        <v>557</v>
      </c>
      <c r="B9696" t="s">
        <v>740</v>
      </c>
      <c r="C9696" t="s">
        <v>277</v>
      </c>
      <c r="D9696" s="230">
        <v>-333</v>
      </c>
      <c r="E9696" t="s">
        <v>741</v>
      </c>
    </row>
    <row r="9697" spans="1:5" hidden="1" x14ac:dyDescent="0.3">
      <c r="A9697" t="s">
        <v>557</v>
      </c>
      <c r="B9697" t="s">
        <v>740</v>
      </c>
      <c r="C9697" t="s">
        <v>278</v>
      </c>
      <c r="D9697" s="230">
        <v>-4817.25</v>
      </c>
      <c r="E9697" t="s">
        <v>741</v>
      </c>
    </row>
    <row r="9698" spans="1:5" hidden="1" x14ac:dyDescent="0.3">
      <c r="A9698" t="s">
        <v>557</v>
      </c>
      <c r="B9698" t="s">
        <v>740</v>
      </c>
      <c r="C9698" t="s">
        <v>44</v>
      </c>
      <c r="D9698" s="230">
        <v>-0.08</v>
      </c>
      <c r="E9698" t="s">
        <v>741</v>
      </c>
    </row>
    <row r="9699" spans="1:5" hidden="1" x14ac:dyDescent="0.3">
      <c r="A9699" t="s">
        <v>557</v>
      </c>
      <c r="B9699" t="s">
        <v>740</v>
      </c>
      <c r="C9699" t="s">
        <v>279</v>
      </c>
      <c r="D9699" s="230">
        <v>-5593.98</v>
      </c>
      <c r="E9699" t="s">
        <v>741</v>
      </c>
    </row>
    <row r="9700" spans="1:5" hidden="1" x14ac:dyDescent="0.3">
      <c r="A9700" t="s">
        <v>557</v>
      </c>
      <c r="B9700" t="s">
        <v>740</v>
      </c>
      <c r="C9700" t="s">
        <v>280</v>
      </c>
      <c r="D9700" s="230">
        <v>0</v>
      </c>
      <c r="E9700" t="s">
        <v>741</v>
      </c>
    </row>
    <row r="9701" spans="1:5" hidden="1" x14ac:dyDescent="0.3">
      <c r="A9701" t="s">
        <v>557</v>
      </c>
      <c r="B9701" t="s">
        <v>740</v>
      </c>
      <c r="C9701" t="s">
        <v>281</v>
      </c>
      <c r="D9701" s="230">
        <v>-579.88</v>
      </c>
      <c r="E9701" t="s">
        <v>741</v>
      </c>
    </row>
    <row r="9702" spans="1:5" hidden="1" x14ac:dyDescent="0.3">
      <c r="A9702" t="s">
        <v>557</v>
      </c>
      <c r="B9702" t="s">
        <v>740</v>
      </c>
      <c r="C9702" t="s">
        <v>282</v>
      </c>
      <c r="D9702" s="230">
        <v>-342.97</v>
      </c>
      <c r="E9702" t="s">
        <v>741</v>
      </c>
    </row>
    <row r="9703" spans="1:5" hidden="1" x14ac:dyDescent="0.3">
      <c r="A9703" t="s">
        <v>557</v>
      </c>
      <c r="B9703" t="s">
        <v>740</v>
      </c>
      <c r="C9703" t="s">
        <v>283</v>
      </c>
      <c r="D9703" s="230">
        <v>-692.93</v>
      </c>
      <c r="E9703" t="s">
        <v>741</v>
      </c>
    </row>
    <row r="9704" spans="1:5" hidden="1" x14ac:dyDescent="0.3">
      <c r="A9704" t="s">
        <v>557</v>
      </c>
      <c r="B9704" t="s">
        <v>740</v>
      </c>
      <c r="C9704" t="s">
        <v>284</v>
      </c>
      <c r="D9704" s="230">
        <v>-2654.42</v>
      </c>
      <c r="E9704" t="s">
        <v>741</v>
      </c>
    </row>
    <row r="9705" spans="1:5" hidden="1" x14ac:dyDescent="0.3">
      <c r="A9705" t="s">
        <v>557</v>
      </c>
      <c r="B9705" t="s">
        <v>740</v>
      </c>
      <c r="C9705" t="s">
        <v>285</v>
      </c>
      <c r="D9705" s="230">
        <v>-389</v>
      </c>
      <c r="E9705" t="s">
        <v>741</v>
      </c>
    </row>
    <row r="9706" spans="1:5" hidden="1" x14ac:dyDescent="0.3">
      <c r="A9706" t="s">
        <v>557</v>
      </c>
      <c r="B9706" t="s">
        <v>740</v>
      </c>
      <c r="C9706" t="s">
        <v>286</v>
      </c>
      <c r="D9706" s="230">
        <v>-934.78</v>
      </c>
      <c r="E9706" t="s">
        <v>741</v>
      </c>
    </row>
    <row r="9707" spans="1:5" hidden="1" x14ac:dyDescent="0.3">
      <c r="A9707" t="s">
        <v>557</v>
      </c>
      <c r="B9707" t="s">
        <v>740</v>
      </c>
      <c r="C9707" t="s">
        <v>44</v>
      </c>
      <c r="D9707" s="230">
        <v>-0.01</v>
      </c>
      <c r="E9707" t="s">
        <v>741</v>
      </c>
    </row>
    <row r="9708" spans="1:5" hidden="1" x14ac:dyDescent="0.3">
      <c r="A9708" t="s">
        <v>557</v>
      </c>
      <c r="B9708" t="s">
        <v>740</v>
      </c>
      <c r="C9708" t="s">
        <v>287</v>
      </c>
      <c r="D9708" s="230">
        <v>-4519.7299999999996</v>
      </c>
      <c r="E9708" t="s">
        <v>741</v>
      </c>
    </row>
    <row r="9709" spans="1:5" hidden="1" x14ac:dyDescent="0.3">
      <c r="A9709" t="s">
        <v>557</v>
      </c>
      <c r="B9709" t="s">
        <v>740</v>
      </c>
      <c r="C9709" t="s">
        <v>288</v>
      </c>
      <c r="D9709" s="230">
        <v>-2500</v>
      </c>
      <c r="E9709" t="s">
        <v>741</v>
      </c>
    </row>
    <row r="9710" spans="1:5" hidden="1" x14ac:dyDescent="0.3">
      <c r="A9710" t="s">
        <v>557</v>
      </c>
      <c r="B9710" t="s">
        <v>740</v>
      </c>
      <c r="C9710" t="s">
        <v>289</v>
      </c>
      <c r="D9710" s="230">
        <v>-800</v>
      </c>
      <c r="E9710" t="s">
        <v>741</v>
      </c>
    </row>
    <row r="9711" spans="1:5" hidden="1" x14ac:dyDescent="0.3">
      <c r="A9711" t="s">
        <v>557</v>
      </c>
      <c r="B9711" t="s">
        <v>740</v>
      </c>
      <c r="C9711" t="s">
        <v>290</v>
      </c>
      <c r="D9711" s="230">
        <v>0</v>
      </c>
      <c r="E9711" t="s">
        <v>741</v>
      </c>
    </row>
    <row r="9712" spans="1:5" hidden="1" x14ac:dyDescent="0.3">
      <c r="A9712" t="s">
        <v>557</v>
      </c>
      <c r="B9712" t="s">
        <v>740</v>
      </c>
      <c r="C9712" t="s">
        <v>291</v>
      </c>
      <c r="D9712" s="230">
        <v>-439.53</v>
      </c>
      <c r="E9712" t="s">
        <v>741</v>
      </c>
    </row>
    <row r="9713" spans="1:5" hidden="1" x14ac:dyDescent="0.3">
      <c r="A9713" t="s">
        <v>557</v>
      </c>
      <c r="B9713" t="s">
        <v>740</v>
      </c>
      <c r="C9713" t="s">
        <v>292</v>
      </c>
      <c r="D9713" s="230">
        <v>0</v>
      </c>
      <c r="E9713" t="s">
        <v>741</v>
      </c>
    </row>
    <row r="9714" spans="1:5" hidden="1" x14ac:dyDescent="0.3">
      <c r="A9714" t="s">
        <v>557</v>
      </c>
      <c r="B9714" t="s">
        <v>740</v>
      </c>
      <c r="C9714" t="s">
        <v>293</v>
      </c>
      <c r="D9714" s="230">
        <v>-780.2</v>
      </c>
      <c r="E9714" t="s">
        <v>741</v>
      </c>
    </row>
    <row r="9715" spans="1:5" hidden="1" x14ac:dyDescent="0.3">
      <c r="A9715" t="s">
        <v>557</v>
      </c>
      <c r="B9715" t="s">
        <v>740</v>
      </c>
      <c r="C9715" t="s">
        <v>294</v>
      </c>
      <c r="D9715" s="230">
        <v>0</v>
      </c>
      <c r="E9715" t="s">
        <v>741</v>
      </c>
    </row>
    <row r="9716" spans="1:5" hidden="1" x14ac:dyDescent="0.3">
      <c r="A9716" t="s">
        <v>557</v>
      </c>
      <c r="B9716" t="s">
        <v>740</v>
      </c>
      <c r="C9716" t="s">
        <v>295</v>
      </c>
      <c r="D9716" s="230">
        <v>0</v>
      </c>
      <c r="E9716" t="s">
        <v>741</v>
      </c>
    </row>
    <row r="9717" spans="1:5" hidden="1" x14ac:dyDescent="0.3">
      <c r="A9717" t="s">
        <v>557</v>
      </c>
      <c r="B9717" t="s">
        <v>740</v>
      </c>
      <c r="C9717" t="s">
        <v>44</v>
      </c>
      <c r="D9717" s="230">
        <v>-0.01</v>
      </c>
      <c r="E9717" t="s">
        <v>741</v>
      </c>
    </row>
    <row r="9718" spans="1:5" hidden="1" x14ac:dyDescent="0.3">
      <c r="A9718" t="s">
        <v>557</v>
      </c>
      <c r="B9718" t="s">
        <v>740</v>
      </c>
      <c r="C9718" t="s">
        <v>296</v>
      </c>
      <c r="D9718" s="230">
        <v>-7605.8</v>
      </c>
      <c r="E9718" t="s">
        <v>741</v>
      </c>
    </row>
    <row r="9719" spans="1:5" hidden="1" x14ac:dyDescent="0.3">
      <c r="A9719" t="s">
        <v>557</v>
      </c>
      <c r="B9719" t="s">
        <v>740</v>
      </c>
      <c r="C9719" t="s">
        <v>297</v>
      </c>
      <c r="D9719" s="230">
        <v>-4000</v>
      </c>
      <c r="E9719" t="s">
        <v>741</v>
      </c>
    </row>
    <row r="9720" spans="1:5" hidden="1" x14ac:dyDescent="0.3">
      <c r="A9720" t="s">
        <v>557</v>
      </c>
      <c r="B9720" t="s">
        <v>740</v>
      </c>
      <c r="C9720" t="s">
        <v>298</v>
      </c>
      <c r="D9720" s="230">
        <v>-500</v>
      </c>
      <c r="E9720" t="s">
        <v>741</v>
      </c>
    </row>
    <row r="9721" spans="1:5" hidden="1" x14ac:dyDescent="0.3">
      <c r="A9721" t="s">
        <v>557</v>
      </c>
      <c r="B9721" t="s">
        <v>740</v>
      </c>
      <c r="C9721" t="s">
        <v>299</v>
      </c>
      <c r="D9721" s="230">
        <v>0</v>
      </c>
      <c r="E9721" t="s">
        <v>741</v>
      </c>
    </row>
    <row r="9722" spans="1:5" hidden="1" x14ac:dyDescent="0.3">
      <c r="A9722" t="s">
        <v>557</v>
      </c>
      <c r="B9722" t="s">
        <v>740</v>
      </c>
      <c r="C9722" t="s">
        <v>300</v>
      </c>
      <c r="D9722" s="230">
        <v>0</v>
      </c>
      <c r="E9722" t="s">
        <v>741</v>
      </c>
    </row>
    <row r="9723" spans="1:5" hidden="1" x14ac:dyDescent="0.3">
      <c r="A9723" t="s">
        <v>557</v>
      </c>
      <c r="B9723" t="s">
        <v>740</v>
      </c>
      <c r="C9723" t="s">
        <v>301</v>
      </c>
      <c r="D9723" s="230">
        <v>-965.61</v>
      </c>
      <c r="E9723" t="s">
        <v>741</v>
      </c>
    </row>
    <row r="9724" spans="1:5" hidden="1" x14ac:dyDescent="0.3">
      <c r="A9724" t="s">
        <v>557</v>
      </c>
      <c r="B9724" t="s">
        <v>740</v>
      </c>
      <c r="C9724" t="s">
        <v>302</v>
      </c>
      <c r="D9724" s="230">
        <v>0</v>
      </c>
      <c r="E9724" t="s">
        <v>741</v>
      </c>
    </row>
    <row r="9725" spans="1:5" hidden="1" x14ac:dyDescent="0.3">
      <c r="A9725" t="s">
        <v>557</v>
      </c>
      <c r="B9725" t="s">
        <v>740</v>
      </c>
      <c r="C9725" t="s">
        <v>303</v>
      </c>
      <c r="D9725" s="230">
        <v>-1611.55</v>
      </c>
      <c r="E9725" t="s">
        <v>741</v>
      </c>
    </row>
    <row r="9726" spans="1:5" hidden="1" x14ac:dyDescent="0.3">
      <c r="A9726" t="s">
        <v>557</v>
      </c>
      <c r="B9726" t="s">
        <v>740</v>
      </c>
      <c r="C9726" t="s">
        <v>304</v>
      </c>
      <c r="D9726" s="230">
        <v>-210</v>
      </c>
      <c r="E9726" t="s">
        <v>741</v>
      </c>
    </row>
    <row r="9727" spans="1:5" hidden="1" x14ac:dyDescent="0.3">
      <c r="A9727" t="s">
        <v>557</v>
      </c>
      <c r="B9727" t="s">
        <v>740</v>
      </c>
      <c r="C9727" t="s">
        <v>305</v>
      </c>
      <c r="D9727" s="230">
        <v>-168.64</v>
      </c>
      <c r="E9727" t="s">
        <v>741</v>
      </c>
    </row>
    <row r="9728" spans="1:5" hidden="1" x14ac:dyDescent="0.3">
      <c r="A9728" t="s">
        <v>557</v>
      </c>
      <c r="B9728" t="s">
        <v>740</v>
      </c>
      <c r="C9728" t="s">
        <v>306</v>
      </c>
      <c r="D9728" s="230">
        <v>0</v>
      </c>
      <c r="E9728" t="s">
        <v>741</v>
      </c>
    </row>
    <row r="9729" spans="1:5" hidden="1" x14ac:dyDescent="0.3">
      <c r="A9729" t="s">
        <v>557</v>
      </c>
      <c r="B9729" t="s">
        <v>740</v>
      </c>
      <c r="C9729" t="s">
        <v>307</v>
      </c>
      <c r="D9729" s="230">
        <v>-150</v>
      </c>
      <c r="E9729" t="s">
        <v>741</v>
      </c>
    </row>
    <row r="9730" spans="1:5" hidden="1" x14ac:dyDescent="0.3">
      <c r="A9730" t="s">
        <v>557</v>
      </c>
      <c r="B9730" t="s">
        <v>740</v>
      </c>
      <c r="C9730" t="s">
        <v>44</v>
      </c>
      <c r="D9730" s="230">
        <v>-0.02</v>
      </c>
      <c r="E9730" t="s">
        <v>741</v>
      </c>
    </row>
    <row r="9731" spans="1:5" hidden="1" x14ac:dyDescent="0.3">
      <c r="A9731" t="s">
        <v>557</v>
      </c>
      <c r="B9731" t="s">
        <v>740</v>
      </c>
      <c r="C9731" t="s">
        <v>308</v>
      </c>
      <c r="D9731" s="230">
        <v>-5557.48</v>
      </c>
      <c r="E9731" t="s">
        <v>741</v>
      </c>
    </row>
    <row r="9732" spans="1:5" hidden="1" x14ac:dyDescent="0.3">
      <c r="A9732" t="s">
        <v>557</v>
      </c>
      <c r="B9732" t="s">
        <v>740</v>
      </c>
      <c r="C9732" t="s">
        <v>309</v>
      </c>
      <c r="D9732" s="230">
        <v>-3114.3</v>
      </c>
      <c r="E9732" t="s">
        <v>741</v>
      </c>
    </row>
    <row r="9733" spans="1:5" hidden="1" x14ac:dyDescent="0.3">
      <c r="A9733" t="s">
        <v>557</v>
      </c>
      <c r="B9733" t="s">
        <v>740</v>
      </c>
      <c r="C9733" t="s">
        <v>310</v>
      </c>
      <c r="D9733" s="230">
        <v>0</v>
      </c>
      <c r="E9733" t="s">
        <v>741</v>
      </c>
    </row>
    <row r="9734" spans="1:5" hidden="1" x14ac:dyDescent="0.3">
      <c r="A9734" t="s">
        <v>557</v>
      </c>
      <c r="B9734" t="s">
        <v>740</v>
      </c>
      <c r="C9734" t="s">
        <v>311</v>
      </c>
      <c r="D9734" s="230">
        <v>-1550</v>
      </c>
      <c r="E9734" t="s">
        <v>741</v>
      </c>
    </row>
    <row r="9735" spans="1:5" hidden="1" x14ac:dyDescent="0.3">
      <c r="A9735" t="s">
        <v>557</v>
      </c>
      <c r="B9735" t="s">
        <v>740</v>
      </c>
      <c r="C9735" t="s">
        <v>312</v>
      </c>
      <c r="D9735" s="230">
        <v>-185</v>
      </c>
      <c r="E9735" t="s">
        <v>741</v>
      </c>
    </row>
    <row r="9736" spans="1:5" hidden="1" x14ac:dyDescent="0.3">
      <c r="A9736" t="s">
        <v>557</v>
      </c>
      <c r="B9736" t="s">
        <v>740</v>
      </c>
      <c r="C9736" t="s">
        <v>313</v>
      </c>
      <c r="D9736" s="230">
        <v>0</v>
      </c>
      <c r="E9736" t="s">
        <v>741</v>
      </c>
    </row>
    <row r="9737" spans="1:5" hidden="1" x14ac:dyDescent="0.3">
      <c r="A9737" t="s">
        <v>557</v>
      </c>
      <c r="B9737" t="s">
        <v>740</v>
      </c>
      <c r="C9737" t="s">
        <v>314</v>
      </c>
      <c r="D9737" s="230">
        <v>-708.18</v>
      </c>
      <c r="E9737" t="s">
        <v>741</v>
      </c>
    </row>
    <row r="9738" spans="1:5" hidden="1" x14ac:dyDescent="0.3">
      <c r="A9738" t="s">
        <v>557</v>
      </c>
      <c r="B9738" t="s">
        <v>740</v>
      </c>
      <c r="C9738" t="s">
        <v>315</v>
      </c>
      <c r="D9738" s="230">
        <v>0</v>
      </c>
      <c r="E9738" t="s">
        <v>741</v>
      </c>
    </row>
    <row r="9739" spans="1:5" hidden="1" x14ac:dyDescent="0.3">
      <c r="A9739" t="s">
        <v>557</v>
      </c>
      <c r="B9739" t="s">
        <v>740</v>
      </c>
      <c r="C9739" t="s">
        <v>316</v>
      </c>
      <c r="D9739" s="230">
        <v>0</v>
      </c>
      <c r="E9739" t="s">
        <v>741</v>
      </c>
    </row>
    <row r="9740" spans="1:5" hidden="1" x14ac:dyDescent="0.3">
      <c r="A9740" t="s">
        <v>557</v>
      </c>
      <c r="B9740" t="s">
        <v>740</v>
      </c>
      <c r="C9740" t="s">
        <v>317</v>
      </c>
      <c r="D9740" s="230">
        <v>0</v>
      </c>
      <c r="E9740" t="s">
        <v>741</v>
      </c>
    </row>
    <row r="9741" spans="1:5" hidden="1" x14ac:dyDescent="0.3">
      <c r="A9741" t="s">
        <v>557</v>
      </c>
      <c r="B9741" t="s">
        <v>740</v>
      </c>
      <c r="C9741" t="s">
        <v>44</v>
      </c>
      <c r="D9741" s="230">
        <v>-0.01</v>
      </c>
      <c r="E9741" t="s">
        <v>741</v>
      </c>
    </row>
    <row r="9742" spans="1:5" hidden="1" x14ac:dyDescent="0.3">
      <c r="A9742" t="s">
        <v>557</v>
      </c>
      <c r="B9742" t="s">
        <v>740</v>
      </c>
      <c r="C9742" t="s">
        <v>318</v>
      </c>
      <c r="D9742" s="230">
        <v>-2393.69</v>
      </c>
      <c r="E9742" t="s">
        <v>741</v>
      </c>
    </row>
    <row r="9743" spans="1:5" hidden="1" x14ac:dyDescent="0.3">
      <c r="A9743" t="s">
        <v>557</v>
      </c>
      <c r="B9743" t="s">
        <v>740</v>
      </c>
      <c r="C9743" t="s">
        <v>319</v>
      </c>
      <c r="D9743" s="230">
        <v>-2086</v>
      </c>
      <c r="E9743" t="s">
        <v>741</v>
      </c>
    </row>
    <row r="9744" spans="1:5" hidden="1" x14ac:dyDescent="0.3">
      <c r="A9744" t="s">
        <v>557</v>
      </c>
      <c r="B9744" t="s">
        <v>740</v>
      </c>
      <c r="C9744" t="s">
        <v>320</v>
      </c>
      <c r="D9744" s="230">
        <v>-107.69</v>
      </c>
      <c r="E9744" t="s">
        <v>741</v>
      </c>
    </row>
    <row r="9745" spans="1:5" hidden="1" x14ac:dyDescent="0.3">
      <c r="A9745" t="s">
        <v>557</v>
      </c>
      <c r="B9745" t="s">
        <v>740</v>
      </c>
      <c r="C9745" t="s">
        <v>321</v>
      </c>
      <c r="D9745" s="230">
        <v>-200</v>
      </c>
      <c r="E9745" t="s">
        <v>741</v>
      </c>
    </row>
    <row r="9746" spans="1:5" hidden="1" x14ac:dyDescent="0.3">
      <c r="A9746" t="s">
        <v>557</v>
      </c>
      <c r="B9746" t="s">
        <v>740</v>
      </c>
      <c r="C9746" t="s">
        <v>322</v>
      </c>
      <c r="D9746" s="230">
        <v>0</v>
      </c>
      <c r="E9746" t="s">
        <v>741</v>
      </c>
    </row>
    <row r="9747" spans="1:5" hidden="1" x14ac:dyDescent="0.3">
      <c r="A9747" t="s">
        <v>557</v>
      </c>
      <c r="B9747" t="s">
        <v>740</v>
      </c>
      <c r="C9747" t="s">
        <v>44</v>
      </c>
      <c r="D9747" s="230">
        <v>-0.01</v>
      </c>
      <c r="E9747" t="s">
        <v>741</v>
      </c>
    </row>
    <row r="9748" spans="1:5" hidden="1" x14ac:dyDescent="0.3">
      <c r="A9748" t="s">
        <v>557</v>
      </c>
      <c r="B9748" t="s">
        <v>740</v>
      </c>
      <c r="C9748" t="s">
        <v>323</v>
      </c>
      <c r="D9748" s="230">
        <v>-20890.47</v>
      </c>
      <c r="E9748" t="s">
        <v>741</v>
      </c>
    </row>
    <row r="9749" spans="1:5" hidden="1" x14ac:dyDescent="0.3">
      <c r="A9749" t="s">
        <v>557</v>
      </c>
      <c r="B9749" t="s">
        <v>740</v>
      </c>
      <c r="C9749" t="s">
        <v>324</v>
      </c>
      <c r="D9749" s="230">
        <v>0</v>
      </c>
      <c r="E9749" t="s">
        <v>741</v>
      </c>
    </row>
    <row r="9750" spans="1:5" hidden="1" x14ac:dyDescent="0.3">
      <c r="A9750" t="s">
        <v>557</v>
      </c>
      <c r="B9750" t="s">
        <v>740</v>
      </c>
      <c r="C9750" t="s">
        <v>325</v>
      </c>
      <c r="D9750" s="230">
        <v>0</v>
      </c>
      <c r="E9750" t="s">
        <v>741</v>
      </c>
    </row>
    <row r="9751" spans="1:5" hidden="1" x14ac:dyDescent="0.3">
      <c r="A9751" t="s">
        <v>557</v>
      </c>
      <c r="B9751" t="s">
        <v>740</v>
      </c>
      <c r="C9751" t="s">
        <v>326</v>
      </c>
      <c r="D9751" s="230">
        <v>-20890.47</v>
      </c>
      <c r="E9751" t="s">
        <v>741</v>
      </c>
    </row>
    <row r="9752" spans="1:5" hidden="1" x14ac:dyDescent="0.3">
      <c r="A9752" t="s">
        <v>557</v>
      </c>
      <c r="B9752" t="s">
        <v>740</v>
      </c>
      <c r="C9752" t="s">
        <v>44</v>
      </c>
      <c r="D9752" s="230">
        <v>-0.05</v>
      </c>
      <c r="E9752" t="s">
        <v>741</v>
      </c>
    </row>
    <row r="9753" spans="1:5" hidden="1" x14ac:dyDescent="0.3">
      <c r="A9753" t="s">
        <v>557</v>
      </c>
      <c r="B9753" t="s">
        <v>740</v>
      </c>
      <c r="C9753" t="s">
        <v>328</v>
      </c>
      <c r="D9753" s="230">
        <v>-269819.84999999998</v>
      </c>
      <c r="E9753" t="s">
        <v>741</v>
      </c>
    </row>
    <row r="9754" spans="1:5" hidden="1" x14ac:dyDescent="0.3">
      <c r="A9754" t="s">
        <v>557</v>
      </c>
      <c r="B9754" t="s">
        <v>740</v>
      </c>
      <c r="C9754" t="s">
        <v>44</v>
      </c>
      <c r="D9754" s="230">
        <v>-0.65</v>
      </c>
      <c r="E9754" t="s">
        <v>741</v>
      </c>
    </row>
    <row r="9755" spans="1:5" hidden="1" x14ac:dyDescent="0.3">
      <c r="A9755" t="s">
        <v>557</v>
      </c>
      <c r="B9755" t="s">
        <v>740</v>
      </c>
      <c r="C9755" t="s">
        <v>329</v>
      </c>
      <c r="D9755" s="230">
        <v>-64931.59</v>
      </c>
      <c r="E9755" t="s">
        <v>741</v>
      </c>
    </row>
    <row r="9756" spans="1:5" hidden="1" x14ac:dyDescent="0.3">
      <c r="A9756" t="s">
        <v>557</v>
      </c>
      <c r="B9756" t="s">
        <v>740</v>
      </c>
      <c r="C9756" t="s">
        <v>44</v>
      </c>
      <c r="D9756" s="230">
        <v>-0.16</v>
      </c>
      <c r="E9756" t="s">
        <v>741</v>
      </c>
    </row>
    <row r="9757" spans="1:5" hidden="1" x14ac:dyDescent="0.3">
      <c r="A9757" t="s">
        <v>557</v>
      </c>
      <c r="B9757" t="s">
        <v>740</v>
      </c>
      <c r="C9757" t="s">
        <v>330</v>
      </c>
      <c r="D9757" s="230">
        <v>0</v>
      </c>
      <c r="E9757" t="s">
        <v>741</v>
      </c>
    </row>
    <row r="9758" spans="1:5" hidden="1" x14ac:dyDescent="0.3">
      <c r="A9758" t="s">
        <v>557</v>
      </c>
      <c r="B9758" t="s">
        <v>740</v>
      </c>
      <c r="C9758" t="s">
        <v>332</v>
      </c>
      <c r="D9758" s="230">
        <v>-64931.59</v>
      </c>
      <c r="E9758" t="s">
        <v>741</v>
      </c>
    </row>
    <row r="9759" spans="1:5" hidden="1" x14ac:dyDescent="0.3">
      <c r="A9759" t="s">
        <v>557</v>
      </c>
      <c r="B9759" t="s">
        <v>740</v>
      </c>
      <c r="C9759" t="s">
        <v>333</v>
      </c>
      <c r="D9759" s="230">
        <v>6296.09</v>
      </c>
      <c r="E9759" t="s">
        <v>741</v>
      </c>
    </row>
    <row r="9760" spans="1:5" hidden="1" x14ac:dyDescent="0.3">
      <c r="A9760" t="s">
        <v>557</v>
      </c>
      <c r="B9760" t="s">
        <v>740</v>
      </c>
      <c r="C9760" t="s">
        <v>334</v>
      </c>
      <c r="D9760" s="230">
        <v>1023</v>
      </c>
      <c r="E9760" t="s">
        <v>741</v>
      </c>
    </row>
    <row r="9761" spans="1:5" hidden="1" x14ac:dyDescent="0.3">
      <c r="A9761" t="s">
        <v>557</v>
      </c>
      <c r="B9761" t="s">
        <v>740</v>
      </c>
      <c r="C9761" t="s">
        <v>336</v>
      </c>
      <c r="D9761" s="230">
        <v>0</v>
      </c>
      <c r="E9761" t="s">
        <v>741</v>
      </c>
    </row>
    <row r="9762" spans="1:5" hidden="1" x14ac:dyDescent="0.3">
      <c r="A9762" t="s">
        <v>557</v>
      </c>
      <c r="B9762" t="s">
        <v>740</v>
      </c>
      <c r="C9762" t="s">
        <v>338</v>
      </c>
      <c r="D9762" s="230">
        <v>-57612.5</v>
      </c>
      <c r="E9762" t="s">
        <v>741</v>
      </c>
    </row>
    <row r="9763" spans="1:5" hidden="1" x14ac:dyDescent="0.3">
      <c r="A9763" t="s">
        <v>557</v>
      </c>
      <c r="B9763" t="s">
        <v>740</v>
      </c>
      <c r="C9763" t="s">
        <v>339</v>
      </c>
      <c r="D9763" s="230">
        <v>-8969.2000000000007</v>
      </c>
      <c r="E9763" t="s">
        <v>741</v>
      </c>
    </row>
    <row r="9764" spans="1:5" hidden="1" x14ac:dyDescent="0.3">
      <c r="A9764" t="s">
        <v>557</v>
      </c>
      <c r="B9764" t="s">
        <v>740</v>
      </c>
      <c r="C9764" t="s">
        <v>342</v>
      </c>
      <c r="D9764" s="230">
        <v>0</v>
      </c>
      <c r="E9764" t="s">
        <v>741</v>
      </c>
    </row>
    <row r="9765" spans="1:5" hidden="1" x14ac:dyDescent="0.3">
      <c r="A9765" t="s">
        <v>557</v>
      </c>
      <c r="B9765" t="s">
        <v>740</v>
      </c>
      <c r="C9765" t="s">
        <v>344</v>
      </c>
      <c r="D9765" s="230">
        <v>-4777.76</v>
      </c>
      <c r="E9765" t="s">
        <v>741</v>
      </c>
    </row>
    <row r="9766" spans="1:5" hidden="1" x14ac:dyDescent="0.3">
      <c r="A9766" t="s">
        <v>557</v>
      </c>
      <c r="B9766" t="s">
        <v>740</v>
      </c>
      <c r="C9766" t="s">
        <v>345</v>
      </c>
      <c r="D9766" s="230">
        <v>0</v>
      </c>
      <c r="E9766" t="s">
        <v>741</v>
      </c>
    </row>
    <row r="9767" spans="1:5" hidden="1" x14ac:dyDescent="0.3">
      <c r="A9767" t="s">
        <v>557</v>
      </c>
      <c r="B9767" t="s">
        <v>740</v>
      </c>
      <c r="C9767" t="s">
        <v>346</v>
      </c>
      <c r="D9767" s="230">
        <v>-4191.4399999999996</v>
      </c>
      <c r="E9767" t="s">
        <v>741</v>
      </c>
    </row>
    <row r="9768" spans="1:5" hidden="1" x14ac:dyDescent="0.3">
      <c r="A9768" t="s">
        <v>557</v>
      </c>
      <c r="B9768" t="s">
        <v>740</v>
      </c>
      <c r="C9768" t="s">
        <v>347</v>
      </c>
      <c r="D9768" s="230">
        <v>-66581.7</v>
      </c>
      <c r="E9768" t="s">
        <v>741</v>
      </c>
    </row>
    <row r="9769" spans="1:5" hidden="1" x14ac:dyDescent="0.3">
      <c r="A9769" t="s">
        <v>557</v>
      </c>
      <c r="B9769" t="s">
        <v>740</v>
      </c>
      <c r="C9769" t="s">
        <v>44</v>
      </c>
      <c r="D9769" s="230">
        <v>-0.16</v>
      </c>
      <c r="E9769" t="s">
        <v>741</v>
      </c>
    </row>
    <row r="9770" spans="1:5" hidden="1" x14ac:dyDescent="0.3">
      <c r="A9770" t="s">
        <v>557</v>
      </c>
      <c r="B9770" t="s">
        <v>740</v>
      </c>
      <c r="C9770" t="s">
        <v>348</v>
      </c>
      <c r="D9770" s="230">
        <v>-9100</v>
      </c>
      <c r="E9770" t="s">
        <v>741</v>
      </c>
    </row>
    <row r="9771" spans="1:5" hidden="1" x14ac:dyDescent="0.3">
      <c r="A9771" t="s">
        <v>557</v>
      </c>
      <c r="B9771" t="s">
        <v>740</v>
      </c>
      <c r="C9771" t="s">
        <v>707</v>
      </c>
      <c r="D9771" s="230">
        <v>-4100</v>
      </c>
      <c r="E9771" t="s">
        <v>741</v>
      </c>
    </row>
    <row r="9772" spans="1:5" hidden="1" x14ac:dyDescent="0.3">
      <c r="A9772" t="s">
        <v>557</v>
      </c>
      <c r="B9772" t="s">
        <v>740</v>
      </c>
      <c r="C9772" t="s">
        <v>350</v>
      </c>
      <c r="D9772" s="230">
        <v>-5000</v>
      </c>
      <c r="E9772" t="s">
        <v>741</v>
      </c>
    </row>
    <row r="9773" spans="1:5" hidden="1" x14ac:dyDescent="0.3">
      <c r="A9773" t="s">
        <v>557</v>
      </c>
      <c r="B9773" t="s">
        <v>740</v>
      </c>
      <c r="C9773" t="s">
        <v>351</v>
      </c>
      <c r="D9773" s="230">
        <v>0</v>
      </c>
      <c r="E9773" t="s">
        <v>741</v>
      </c>
    </row>
    <row r="9774" spans="1:5" hidden="1" x14ac:dyDescent="0.3">
      <c r="A9774" t="s">
        <v>557</v>
      </c>
      <c r="B9774" t="s">
        <v>740</v>
      </c>
      <c r="C9774" t="s">
        <v>352</v>
      </c>
      <c r="D9774" s="230">
        <v>0</v>
      </c>
      <c r="E9774" t="s">
        <v>741</v>
      </c>
    </row>
    <row r="9775" spans="1:5" hidden="1" x14ac:dyDescent="0.3">
      <c r="A9775" t="s">
        <v>557</v>
      </c>
      <c r="B9775" t="s">
        <v>740</v>
      </c>
      <c r="C9775" t="s">
        <v>353</v>
      </c>
      <c r="D9775" s="230">
        <v>0</v>
      </c>
      <c r="E9775" t="s">
        <v>741</v>
      </c>
    </row>
    <row r="9776" spans="1:5" hidden="1" x14ac:dyDescent="0.3">
      <c r="A9776" t="s">
        <v>557</v>
      </c>
      <c r="B9776" t="s">
        <v>740</v>
      </c>
      <c r="C9776" t="s">
        <v>354</v>
      </c>
      <c r="D9776" s="230">
        <v>0</v>
      </c>
      <c r="E9776" t="s">
        <v>741</v>
      </c>
    </row>
    <row r="9777" spans="1:5" hidden="1" x14ac:dyDescent="0.3">
      <c r="A9777" t="s">
        <v>557</v>
      </c>
      <c r="B9777" t="s">
        <v>740</v>
      </c>
      <c r="C9777" t="s">
        <v>355</v>
      </c>
      <c r="D9777" s="230">
        <v>0</v>
      </c>
      <c r="E9777" t="s">
        <v>741</v>
      </c>
    </row>
    <row r="9778" spans="1:5" hidden="1" x14ac:dyDescent="0.3">
      <c r="A9778" t="s">
        <v>557</v>
      </c>
      <c r="B9778" t="s">
        <v>740</v>
      </c>
      <c r="C9778" t="s">
        <v>356</v>
      </c>
      <c r="D9778" s="230">
        <v>0</v>
      </c>
      <c r="E9778" t="s">
        <v>741</v>
      </c>
    </row>
    <row r="9779" spans="1:5" hidden="1" x14ac:dyDescent="0.3">
      <c r="A9779" t="s">
        <v>557</v>
      </c>
      <c r="B9779" t="s">
        <v>740</v>
      </c>
      <c r="C9779" t="s">
        <v>357</v>
      </c>
      <c r="D9779" s="230">
        <v>0</v>
      </c>
      <c r="E9779" t="s">
        <v>741</v>
      </c>
    </row>
    <row r="9780" spans="1:5" hidden="1" x14ac:dyDescent="0.3">
      <c r="A9780" t="s">
        <v>557</v>
      </c>
      <c r="B9780" t="s">
        <v>740</v>
      </c>
      <c r="C9780" t="s">
        <v>358</v>
      </c>
      <c r="D9780" s="230">
        <v>0</v>
      </c>
      <c r="E9780" t="s">
        <v>741</v>
      </c>
    </row>
    <row r="9781" spans="1:5" hidden="1" x14ac:dyDescent="0.3">
      <c r="A9781" t="s">
        <v>557</v>
      </c>
      <c r="B9781" t="s">
        <v>740</v>
      </c>
      <c r="C9781" t="s">
        <v>359</v>
      </c>
      <c r="D9781" s="230">
        <v>0</v>
      </c>
      <c r="E9781" t="s">
        <v>741</v>
      </c>
    </row>
    <row r="9782" spans="1:5" hidden="1" x14ac:dyDescent="0.3">
      <c r="A9782" t="s">
        <v>557</v>
      </c>
      <c r="B9782" t="s">
        <v>740</v>
      </c>
      <c r="C9782" t="s">
        <v>360</v>
      </c>
      <c r="D9782" s="230">
        <v>0</v>
      </c>
      <c r="E9782" t="s">
        <v>741</v>
      </c>
    </row>
    <row r="9783" spans="1:5" hidden="1" x14ac:dyDescent="0.3">
      <c r="A9783" t="s">
        <v>557</v>
      </c>
      <c r="B9783" t="s">
        <v>740</v>
      </c>
      <c r="C9783" t="s">
        <v>361</v>
      </c>
      <c r="D9783" s="230">
        <v>0</v>
      </c>
      <c r="E9783" t="s">
        <v>741</v>
      </c>
    </row>
    <row r="9784" spans="1:5" hidden="1" x14ac:dyDescent="0.3">
      <c r="A9784" t="s">
        <v>557</v>
      </c>
      <c r="B9784" t="s">
        <v>740</v>
      </c>
      <c r="C9784" t="s">
        <v>362</v>
      </c>
      <c r="D9784" s="230">
        <v>0</v>
      </c>
      <c r="E9784" t="s">
        <v>741</v>
      </c>
    </row>
    <row r="9785" spans="1:5" hidden="1" x14ac:dyDescent="0.3">
      <c r="A9785" t="s">
        <v>557</v>
      </c>
      <c r="B9785" t="s">
        <v>740</v>
      </c>
      <c r="C9785" t="s">
        <v>363</v>
      </c>
      <c r="D9785" s="230">
        <v>0</v>
      </c>
      <c r="E9785" t="s">
        <v>741</v>
      </c>
    </row>
    <row r="9786" spans="1:5" hidden="1" x14ac:dyDescent="0.3">
      <c r="A9786" t="s">
        <v>557</v>
      </c>
      <c r="B9786" t="s">
        <v>740</v>
      </c>
      <c r="C9786" t="s">
        <v>364</v>
      </c>
      <c r="D9786" s="230">
        <v>0</v>
      </c>
      <c r="E9786" t="s">
        <v>741</v>
      </c>
    </row>
    <row r="9787" spans="1:5" hidden="1" x14ac:dyDescent="0.3">
      <c r="A9787" t="s">
        <v>557</v>
      </c>
      <c r="B9787" t="s">
        <v>740</v>
      </c>
      <c r="C9787" t="s">
        <v>365</v>
      </c>
      <c r="D9787" s="230">
        <v>-7200</v>
      </c>
      <c r="E9787" t="s">
        <v>741</v>
      </c>
    </row>
    <row r="9788" spans="1:5" hidden="1" x14ac:dyDescent="0.3">
      <c r="A9788" t="s">
        <v>557</v>
      </c>
      <c r="B9788" t="s">
        <v>740</v>
      </c>
      <c r="C9788" t="s">
        <v>366</v>
      </c>
      <c r="D9788" s="230">
        <v>0</v>
      </c>
      <c r="E9788" t="s">
        <v>741</v>
      </c>
    </row>
    <row r="9789" spans="1:5" hidden="1" x14ac:dyDescent="0.3">
      <c r="A9789" t="s">
        <v>557</v>
      </c>
      <c r="B9789" t="s">
        <v>740</v>
      </c>
      <c r="C9789" t="s">
        <v>367</v>
      </c>
      <c r="D9789" s="230">
        <v>0</v>
      </c>
      <c r="E9789" t="s">
        <v>741</v>
      </c>
    </row>
    <row r="9790" spans="1:5" hidden="1" x14ac:dyDescent="0.3">
      <c r="A9790" t="s">
        <v>557</v>
      </c>
      <c r="B9790" t="s">
        <v>740</v>
      </c>
      <c r="C9790" t="s">
        <v>368</v>
      </c>
      <c r="D9790" s="230">
        <v>0</v>
      </c>
      <c r="E9790" t="s">
        <v>741</v>
      </c>
    </row>
    <row r="9791" spans="1:5" hidden="1" x14ac:dyDescent="0.3">
      <c r="A9791" t="s">
        <v>557</v>
      </c>
      <c r="B9791" t="s">
        <v>740</v>
      </c>
      <c r="C9791" t="s">
        <v>369</v>
      </c>
      <c r="D9791" s="230">
        <v>-7200</v>
      </c>
      <c r="E9791" t="s">
        <v>741</v>
      </c>
    </row>
    <row r="9792" spans="1:5" hidden="1" x14ac:dyDescent="0.3">
      <c r="A9792" t="s">
        <v>557</v>
      </c>
      <c r="B9792" t="s">
        <v>740</v>
      </c>
      <c r="C9792" t="s">
        <v>370</v>
      </c>
      <c r="D9792" s="230">
        <v>0</v>
      </c>
      <c r="E9792" t="s">
        <v>741</v>
      </c>
    </row>
    <row r="9793" spans="1:5" hidden="1" x14ac:dyDescent="0.3">
      <c r="A9793" t="s">
        <v>557</v>
      </c>
      <c r="B9793" t="s">
        <v>740</v>
      </c>
      <c r="C9793" t="s">
        <v>371</v>
      </c>
      <c r="D9793" s="230">
        <v>0</v>
      </c>
      <c r="E9793" t="s">
        <v>741</v>
      </c>
    </row>
    <row r="9794" spans="1:5" hidden="1" x14ac:dyDescent="0.3">
      <c r="A9794" t="s">
        <v>557</v>
      </c>
      <c r="B9794" t="s">
        <v>740</v>
      </c>
      <c r="C9794" t="s">
        <v>372</v>
      </c>
      <c r="D9794" s="230">
        <v>0</v>
      </c>
      <c r="E9794" t="s">
        <v>741</v>
      </c>
    </row>
    <row r="9795" spans="1:5" hidden="1" x14ac:dyDescent="0.3">
      <c r="A9795" t="s">
        <v>557</v>
      </c>
      <c r="B9795" t="s">
        <v>740</v>
      </c>
      <c r="C9795" t="s">
        <v>373</v>
      </c>
      <c r="D9795" s="230">
        <v>-16300</v>
      </c>
      <c r="E9795" t="s">
        <v>741</v>
      </c>
    </row>
    <row r="9796" spans="1:5" hidden="1" x14ac:dyDescent="0.3">
      <c r="A9796" t="s">
        <v>557</v>
      </c>
      <c r="B9796" t="s">
        <v>740</v>
      </c>
      <c r="C9796" t="s">
        <v>374</v>
      </c>
      <c r="D9796" s="230">
        <v>-82881.7</v>
      </c>
      <c r="E9796" t="s">
        <v>741</v>
      </c>
    </row>
    <row r="9797" spans="1:5" hidden="1" x14ac:dyDescent="0.3">
      <c r="A9797" t="s">
        <v>557</v>
      </c>
      <c r="B9797" t="s">
        <v>740</v>
      </c>
      <c r="C9797" t="s">
        <v>708</v>
      </c>
      <c r="D9797" s="230">
        <v>-82881.7</v>
      </c>
      <c r="E9797" t="s">
        <v>741</v>
      </c>
    </row>
    <row r="9798" spans="1:5" hidden="1" x14ac:dyDescent="0.3">
      <c r="A9798" t="s">
        <v>557</v>
      </c>
      <c r="B9798" t="s">
        <v>742</v>
      </c>
      <c r="C9798" t="s">
        <v>11</v>
      </c>
      <c r="D9798" s="230">
        <v>407828.22</v>
      </c>
      <c r="E9798" t="s">
        <v>743</v>
      </c>
    </row>
    <row r="9799" spans="1:5" hidden="1" x14ac:dyDescent="0.3">
      <c r="A9799" t="s">
        <v>557</v>
      </c>
      <c r="B9799" t="s">
        <v>742</v>
      </c>
      <c r="C9799" t="s">
        <v>13</v>
      </c>
      <c r="D9799" s="230">
        <v>219222.9</v>
      </c>
      <c r="E9799" t="s">
        <v>743</v>
      </c>
    </row>
    <row r="9800" spans="1:5" hidden="1" x14ac:dyDescent="0.3">
      <c r="A9800" t="s">
        <v>557</v>
      </c>
      <c r="B9800" t="s">
        <v>742</v>
      </c>
      <c r="C9800" t="s">
        <v>16</v>
      </c>
      <c r="D9800" s="230">
        <v>104824.9</v>
      </c>
      <c r="E9800" t="s">
        <v>743</v>
      </c>
    </row>
    <row r="9801" spans="1:5" hidden="1" x14ac:dyDescent="0.3">
      <c r="A9801" t="s">
        <v>557</v>
      </c>
      <c r="B9801" t="s">
        <v>742</v>
      </c>
      <c r="C9801" t="s">
        <v>17</v>
      </c>
      <c r="D9801" s="230">
        <v>5860</v>
      </c>
      <c r="E9801" t="s">
        <v>743</v>
      </c>
    </row>
    <row r="9802" spans="1:5" hidden="1" x14ac:dyDescent="0.3">
      <c r="A9802" t="s">
        <v>557</v>
      </c>
      <c r="B9802" t="s">
        <v>742</v>
      </c>
      <c r="C9802" t="s">
        <v>18</v>
      </c>
      <c r="D9802" s="230">
        <v>0</v>
      </c>
      <c r="E9802" t="s">
        <v>743</v>
      </c>
    </row>
    <row r="9803" spans="1:5" hidden="1" x14ac:dyDescent="0.3">
      <c r="A9803" t="s">
        <v>557</v>
      </c>
      <c r="B9803" t="s">
        <v>742</v>
      </c>
      <c r="C9803" t="s">
        <v>20</v>
      </c>
      <c r="D9803" s="230">
        <v>37858.400000000001</v>
      </c>
      <c r="E9803" t="s">
        <v>743</v>
      </c>
    </row>
    <row r="9804" spans="1:5" hidden="1" x14ac:dyDescent="0.3">
      <c r="A9804" t="s">
        <v>557</v>
      </c>
      <c r="B9804" t="s">
        <v>742</v>
      </c>
      <c r="C9804" t="s">
        <v>23</v>
      </c>
      <c r="D9804" s="230">
        <v>12400</v>
      </c>
      <c r="E9804" t="s">
        <v>743</v>
      </c>
    </row>
    <row r="9805" spans="1:5" hidden="1" x14ac:dyDescent="0.3">
      <c r="A9805" t="s">
        <v>557</v>
      </c>
      <c r="B9805" t="s">
        <v>742</v>
      </c>
      <c r="C9805" t="s">
        <v>25</v>
      </c>
      <c r="D9805" s="230">
        <v>0</v>
      </c>
      <c r="E9805" t="s">
        <v>743</v>
      </c>
    </row>
    <row r="9806" spans="1:5" hidden="1" x14ac:dyDescent="0.3">
      <c r="A9806" t="s">
        <v>557</v>
      </c>
      <c r="B9806" t="s">
        <v>742</v>
      </c>
      <c r="C9806" t="s">
        <v>26</v>
      </c>
      <c r="D9806" s="230">
        <v>11300</v>
      </c>
      <c r="E9806" t="s">
        <v>743</v>
      </c>
    </row>
    <row r="9807" spans="1:5" hidden="1" x14ac:dyDescent="0.3">
      <c r="A9807" t="s">
        <v>557</v>
      </c>
      <c r="B9807" t="s">
        <v>742</v>
      </c>
      <c r="C9807" t="s">
        <v>27</v>
      </c>
      <c r="D9807" s="230">
        <v>0</v>
      </c>
      <c r="E9807" t="s">
        <v>743</v>
      </c>
    </row>
    <row r="9808" spans="1:5" hidden="1" x14ac:dyDescent="0.3">
      <c r="A9808" t="s">
        <v>557</v>
      </c>
      <c r="B9808" t="s">
        <v>742</v>
      </c>
      <c r="C9808" t="s">
        <v>29</v>
      </c>
      <c r="D9808" s="230">
        <v>16024.52</v>
      </c>
      <c r="E9808" t="s">
        <v>743</v>
      </c>
    </row>
    <row r="9809" spans="1:5" hidden="1" x14ac:dyDescent="0.3">
      <c r="A9809" t="s">
        <v>557</v>
      </c>
      <c r="B9809" t="s">
        <v>742</v>
      </c>
      <c r="C9809" t="s">
        <v>31</v>
      </c>
      <c r="D9809" s="230">
        <v>337.5</v>
      </c>
      <c r="E9809" t="s">
        <v>743</v>
      </c>
    </row>
    <row r="9810" spans="1:5" hidden="1" x14ac:dyDescent="0.3">
      <c r="A9810" t="s">
        <v>557</v>
      </c>
      <c r="B9810" t="s">
        <v>742</v>
      </c>
      <c r="C9810" t="s">
        <v>34</v>
      </c>
      <c r="D9810" s="230">
        <v>-13635.27</v>
      </c>
      <c r="E9810" t="s">
        <v>743</v>
      </c>
    </row>
    <row r="9811" spans="1:5" hidden="1" x14ac:dyDescent="0.3">
      <c r="A9811" t="s">
        <v>557</v>
      </c>
      <c r="B9811" t="s">
        <v>742</v>
      </c>
      <c r="C9811" t="s">
        <v>38</v>
      </c>
      <c r="D9811" s="230">
        <v>-2316.3000000000002</v>
      </c>
      <c r="E9811" t="s">
        <v>743</v>
      </c>
    </row>
    <row r="9812" spans="1:5" hidden="1" x14ac:dyDescent="0.3">
      <c r="A9812" t="s">
        <v>557</v>
      </c>
      <c r="B9812" t="s">
        <v>742</v>
      </c>
      <c r="C9812" t="s">
        <v>40</v>
      </c>
      <c r="D9812" s="230">
        <v>-9784.0400000000009</v>
      </c>
      <c r="E9812" t="s">
        <v>743</v>
      </c>
    </row>
    <row r="9813" spans="1:5" hidden="1" x14ac:dyDescent="0.3">
      <c r="A9813" t="s">
        <v>557</v>
      </c>
      <c r="B9813" t="s">
        <v>742</v>
      </c>
      <c r="C9813" t="s">
        <v>42</v>
      </c>
      <c r="D9813" s="230">
        <v>-1534.93</v>
      </c>
      <c r="E9813" t="s">
        <v>743</v>
      </c>
    </row>
    <row r="9814" spans="1:5" hidden="1" x14ac:dyDescent="0.3">
      <c r="A9814" t="s">
        <v>557</v>
      </c>
      <c r="B9814" t="s">
        <v>742</v>
      </c>
      <c r="C9814" t="s">
        <v>44</v>
      </c>
      <c r="D9814" s="230">
        <v>-0.03</v>
      </c>
      <c r="E9814" t="s">
        <v>743</v>
      </c>
    </row>
    <row r="9815" spans="1:5" hidden="1" x14ac:dyDescent="0.3">
      <c r="A9815" t="s">
        <v>557</v>
      </c>
      <c r="B9815" t="s">
        <v>742</v>
      </c>
      <c r="C9815" t="s">
        <v>45</v>
      </c>
      <c r="D9815" s="230">
        <v>-28599.34</v>
      </c>
      <c r="E9815" t="s">
        <v>743</v>
      </c>
    </row>
    <row r="9816" spans="1:5" hidden="1" x14ac:dyDescent="0.3">
      <c r="A9816" t="s">
        <v>557</v>
      </c>
      <c r="B9816" t="s">
        <v>742</v>
      </c>
      <c r="C9816" t="s">
        <v>46</v>
      </c>
      <c r="D9816" s="230">
        <v>-13935.44</v>
      </c>
      <c r="E9816" t="s">
        <v>743</v>
      </c>
    </row>
    <row r="9817" spans="1:5" hidden="1" x14ac:dyDescent="0.3">
      <c r="A9817" t="s">
        <v>557</v>
      </c>
      <c r="B9817" t="s">
        <v>742</v>
      </c>
      <c r="C9817" t="s">
        <v>48</v>
      </c>
      <c r="D9817" s="230">
        <v>-14098.89</v>
      </c>
      <c r="E9817" t="s">
        <v>743</v>
      </c>
    </row>
    <row r="9818" spans="1:5" hidden="1" x14ac:dyDescent="0.3">
      <c r="A9818" t="s">
        <v>557</v>
      </c>
      <c r="B9818" t="s">
        <v>742</v>
      </c>
      <c r="C9818" t="s">
        <v>49</v>
      </c>
      <c r="D9818" s="230">
        <v>-565</v>
      </c>
      <c r="E9818" t="s">
        <v>743</v>
      </c>
    </row>
    <row r="9819" spans="1:5" hidden="1" x14ac:dyDescent="0.3">
      <c r="A9819" t="s">
        <v>557</v>
      </c>
      <c r="B9819" t="s">
        <v>742</v>
      </c>
      <c r="C9819" t="s">
        <v>50</v>
      </c>
      <c r="D9819" s="230">
        <v>365593.61</v>
      </c>
      <c r="E9819" t="s">
        <v>743</v>
      </c>
    </row>
    <row r="9820" spans="1:5" hidden="1" x14ac:dyDescent="0.3">
      <c r="A9820" t="s">
        <v>557</v>
      </c>
      <c r="B9820" t="s">
        <v>742</v>
      </c>
      <c r="C9820" t="s">
        <v>51</v>
      </c>
      <c r="D9820" s="230">
        <v>-106699.92</v>
      </c>
      <c r="E9820" t="s">
        <v>743</v>
      </c>
    </row>
    <row r="9821" spans="1:5" hidden="1" x14ac:dyDescent="0.3">
      <c r="A9821" t="s">
        <v>557</v>
      </c>
      <c r="B9821" t="s">
        <v>742</v>
      </c>
      <c r="C9821" t="s">
        <v>52</v>
      </c>
      <c r="D9821" s="230">
        <v>-81322.66</v>
      </c>
      <c r="E9821" t="s">
        <v>743</v>
      </c>
    </row>
    <row r="9822" spans="1:5" hidden="1" x14ac:dyDescent="0.3">
      <c r="A9822" t="s">
        <v>557</v>
      </c>
      <c r="B9822" t="s">
        <v>742</v>
      </c>
      <c r="C9822" t="s">
        <v>53</v>
      </c>
      <c r="D9822" s="230">
        <v>-23800.71</v>
      </c>
      <c r="E9822" t="s">
        <v>743</v>
      </c>
    </row>
    <row r="9823" spans="1:5" hidden="1" x14ac:dyDescent="0.3">
      <c r="A9823" t="s">
        <v>557</v>
      </c>
      <c r="B9823" t="s">
        <v>742</v>
      </c>
      <c r="C9823" t="s">
        <v>54</v>
      </c>
      <c r="D9823" s="230">
        <v>-1576.55</v>
      </c>
      <c r="E9823" t="s">
        <v>743</v>
      </c>
    </row>
    <row r="9824" spans="1:5" hidden="1" x14ac:dyDescent="0.3">
      <c r="A9824" t="s">
        <v>557</v>
      </c>
      <c r="B9824" t="s">
        <v>742</v>
      </c>
      <c r="C9824" t="s">
        <v>23</v>
      </c>
      <c r="D9824" s="230">
        <v>0</v>
      </c>
      <c r="E9824" t="s">
        <v>743</v>
      </c>
    </row>
    <row r="9825" spans="1:5" hidden="1" x14ac:dyDescent="0.3">
      <c r="A9825" t="s">
        <v>557</v>
      </c>
      <c r="B9825" t="s">
        <v>742</v>
      </c>
      <c r="C9825" t="s">
        <v>44</v>
      </c>
      <c r="D9825" s="230">
        <v>-0.3</v>
      </c>
      <c r="E9825" t="s">
        <v>743</v>
      </c>
    </row>
    <row r="9826" spans="1:5" hidden="1" x14ac:dyDescent="0.3">
      <c r="A9826" t="s">
        <v>557</v>
      </c>
      <c r="B9826" t="s">
        <v>742</v>
      </c>
      <c r="C9826" t="s">
        <v>55</v>
      </c>
      <c r="D9826" s="230">
        <v>-0.28999999999999998</v>
      </c>
      <c r="E9826" t="s">
        <v>743</v>
      </c>
    </row>
    <row r="9827" spans="1:5" hidden="1" x14ac:dyDescent="0.3">
      <c r="A9827" t="s">
        <v>557</v>
      </c>
      <c r="B9827" t="s">
        <v>742</v>
      </c>
      <c r="C9827" t="s">
        <v>56</v>
      </c>
      <c r="D9827" s="230">
        <v>-17042.55</v>
      </c>
      <c r="E9827" t="s">
        <v>743</v>
      </c>
    </row>
    <row r="9828" spans="1:5" hidden="1" x14ac:dyDescent="0.3">
      <c r="A9828" t="s">
        <v>557</v>
      </c>
      <c r="B9828" t="s">
        <v>742</v>
      </c>
      <c r="C9828" t="s">
        <v>57</v>
      </c>
      <c r="D9828" s="230">
        <v>-14875.55</v>
      </c>
      <c r="E9828" t="s">
        <v>743</v>
      </c>
    </row>
    <row r="9829" spans="1:5" hidden="1" x14ac:dyDescent="0.3">
      <c r="A9829" t="s">
        <v>557</v>
      </c>
      <c r="B9829" t="s">
        <v>742</v>
      </c>
      <c r="C9829" t="s">
        <v>58</v>
      </c>
      <c r="D9829" s="230">
        <v>-14350</v>
      </c>
      <c r="E9829" t="s">
        <v>743</v>
      </c>
    </row>
    <row r="9830" spans="1:5" hidden="1" x14ac:dyDescent="0.3">
      <c r="A9830" t="s">
        <v>557</v>
      </c>
      <c r="B9830" t="s">
        <v>742</v>
      </c>
      <c r="C9830" t="s">
        <v>59</v>
      </c>
      <c r="D9830" s="230">
        <v>-525.54999999999995</v>
      </c>
      <c r="E9830" t="s">
        <v>743</v>
      </c>
    </row>
    <row r="9831" spans="1:5" hidden="1" x14ac:dyDescent="0.3">
      <c r="A9831" t="s">
        <v>557</v>
      </c>
      <c r="B9831" t="s">
        <v>742</v>
      </c>
      <c r="C9831" t="s">
        <v>61</v>
      </c>
      <c r="D9831" s="230">
        <v>0</v>
      </c>
      <c r="E9831" t="s">
        <v>743</v>
      </c>
    </row>
    <row r="9832" spans="1:5" hidden="1" x14ac:dyDescent="0.3">
      <c r="A9832" t="s">
        <v>557</v>
      </c>
      <c r="B9832" t="s">
        <v>742</v>
      </c>
      <c r="C9832" t="s">
        <v>62</v>
      </c>
      <c r="D9832" s="230">
        <v>0</v>
      </c>
      <c r="E9832" t="s">
        <v>743</v>
      </c>
    </row>
    <row r="9833" spans="1:5" hidden="1" x14ac:dyDescent="0.3">
      <c r="A9833" t="s">
        <v>557</v>
      </c>
      <c r="B9833" t="s">
        <v>742</v>
      </c>
      <c r="C9833" t="s">
        <v>64</v>
      </c>
      <c r="D9833" s="230">
        <v>0</v>
      </c>
      <c r="E9833" t="s">
        <v>743</v>
      </c>
    </row>
    <row r="9834" spans="1:5" hidden="1" x14ac:dyDescent="0.3">
      <c r="A9834" t="s">
        <v>557</v>
      </c>
      <c r="B9834" t="s">
        <v>742</v>
      </c>
      <c r="C9834" t="s">
        <v>65</v>
      </c>
      <c r="D9834" s="230">
        <v>-2167</v>
      </c>
      <c r="E9834" t="s">
        <v>743</v>
      </c>
    </row>
    <row r="9835" spans="1:5" hidden="1" x14ac:dyDescent="0.3">
      <c r="A9835" t="s">
        <v>557</v>
      </c>
      <c r="B9835" t="s">
        <v>742</v>
      </c>
      <c r="C9835" t="s">
        <v>66</v>
      </c>
      <c r="D9835" s="230">
        <v>-2167</v>
      </c>
      <c r="E9835" t="s">
        <v>743</v>
      </c>
    </row>
    <row r="9836" spans="1:5" hidden="1" x14ac:dyDescent="0.3">
      <c r="A9836" t="s">
        <v>557</v>
      </c>
      <c r="B9836" t="s">
        <v>742</v>
      </c>
      <c r="C9836" t="s">
        <v>68</v>
      </c>
      <c r="D9836" s="230">
        <v>0</v>
      </c>
      <c r="E9836" t="s">
        <v>743</v>
      </c>
    </row>
    <row r="9837" spans="1:5" hidden="1" x14ac:dyDescent="0.3">
      <c r="A9837" t="s">
        <v>557</v>
      </c>
      <c r="B9837" t="s">
        <v>742</v>
      </c>
      <c r="C9837" t="s">
        <v>69</v>
      </c>
      <c r="D9837" s="230">
        <v>0</v>
      </c>
      <c r="E9837" t="s">
        <v>743</v>
      </c>
    </row>
    <row r="9838" spans="1:5" hidden="1" x14ac:dyDescent="0.3">
      <c r="A9838" t="s">
        <v>557</v>
      </c>
      <c r="B9838" t="s">
        <v>742</v>
      </c>
      <c r="C9838" t="s">
        <v>70</v>
      </c>
      <c r="D9838" s="230">
        <v>-2.91</v>
      </c>
      <c r="E9838" t="s">
        <v>743</v>
      </c>
    </row>
    <row r="9839" spans="1:5" hidden="1" x14ac:dyDescent="0.3">
      <c r="A9839" t="s">
        <v>557</v>
      </c>
      <c r="B9839" t="s">
        <v>742</v>
      </c>
      <c r="C9839" t="s">
        <v>44</v>
      </c>
      <c r="D9839" s="230">
        <v>-0.04</v>
      </c>
      <c r="E9839" t="s">
        <v>743</v>
      </c>
    </row>
    <row r="9840" spans="1:5" hidden="1" x14ac:dyDescent="0.3">
      <c r="A9840" t="s">
        <v>557</v>
      </c>
      <c r="B9840" t="s">
        <v>742</v>
      </c>
      <c r="C9840" t="s">
        <v>71</v>
      </c>
      <c r="D9840" s="230">
        <v>-4719.37</v>
      </c>
      <c r="E9840" t="s">
        <v>743</v>
      </c>
    </row>
    <row r="9841" spans="1:5" hidden="1" x14ac:dyDescent="0.3">
      <c r="A9841" t="s">
        <v>557</v>
      </c>
      <c r="B9841" t="s">
        <v>742</v>
      </c>
      <c r="C9841" t="s">
        <v>72</v>
      </c>
      <c r="D9841" s="230">
        <v>-4719.37</v>
      </c>
      <c r="E9841" t="s">
        <v>743</v>
      </c>
    </row>
    <row r="9842" spans="1:5" hidden="1" x14ac:dyDescent="0.3">
      <c r="A9842" t="s">
        <v>557</v>
      </c>
      <c r="B9842" t="s">
        <v>742</v>
      </c>
      <c r="C9842" t="s">
        <v>73</v>
      </c>
      <c r="D9842" s="230">
        <v>-4000</v>
      </c>
      <c r="E9842" t="s">
        <v>743</v>
      </c>
    </row>
    <row r="9843" spans="1:5" hidden="1" x14ac:dyDescent="0.3">
      <c r="A9843" t="s">
        <v>557</v>
      </c>
      <c r="B9843" t="s">
        <v>742</v>
      </c>
      <c r="C9843" t="s">
        <v>75</v>
      </c>
      <c r="D9843" s="230">
        <v>-719.37</v>
      </c>
      <c r="E9843" t="s">
        <v>743</v>
      </c>
    </row>
    <row r="9844" spans="1:5" hidden="1" x14ac:dyDescent="0.3">
      <c r="A9844" t="s">
        <v>557</v>
      </c>
      <c r="B9844" t="s">
        <v>742</v>
      </c>
      <c r="C9844" t="s">
        <v>77</v>
      </c>
      <c r="D9844" s="230">
        <v>0</v>
      </c>
      <c r="E9844" t="s">
        <v>743</v>
      </c>
    </row>
    <row r="9845" spans="1:5" hidden="1" x14ac:dyDescent="0.3">
      <c r="A9845" t="s">
        <v>557</v>
      </c>
      <c r="B9845" t="s">
        <v>742</v>
      </c>
      <c r="C9845" t="s">
        <v>78</v>
      </c>
      <c r="D9845" s="230">
        <v>0</v>
      </c>
      <c r="E9845" t="s">
        <v>743</v>
      </c>
    </row>
    <row r="9846" spans="1:5" hidden="1" x14ac:dyDescent="0.3">
      <c r="A9846" t="s">
        <v>557</v>
      </c>
      <c r="B9846" t="s">
        <v>742</v>
      </c>
      <c r="C9846" t="s">
        <v>80</v>
      </c>
      <c r="D9846" s="230">
        <v>0</v>
      </c>
      <c r="E9846" t="s">
        <v>743</v>
      </c>
    </row>
    <row r="9847" spans="1:5" hidden="1" x14ac:dyDescent="0.3">
      <c r="A9847" t="s">
        <v>557</v>
      </c>
      <c r="B9847" t="s">
        <v>742</v>
      </c>
      <c r="C9847" t="s">
        <v>82</v>
      </c>
      <c r="D9847" s="230">
        <v>0</v>
      </c>
      <c r="E9847" t="s">
        <v>743</v>
      </c>
    </row>
    <row r="9848" spans="1:5" hidden="1" x14ac:dyDescent="0.3">
      <c r="A9848" t="s">
        <v>557</v>
      </c>
      <c r="B9848" t="s">
        <v>742</v>
      </c>
      <c r="C9848" t="s">
        <v>84</v>
      </c>
      <c r="D9848" s="230">
        <v>0</v>
      </c>
      <c r="E9848" t="s">
        <v>743</v>
      </c>
    </row>
    <row r="9849" spans="1:5" hidden="1" x14ac:dyDescent="0.3">
      <c r="A9849" t="s">
        <v>557</v>
      </c>
      <c r="B9849" t="s">
        <v>742</v>
      </c>
      <c r="C9849" t="s">
        <v>85</v>
      </c>
      <c r="D9849" s="230">
        <v>0</v>
      </c>
      <c r="E9849" t="s">
        <v>743</v>
      </c>
    </row>
    <row r="9850" spans="1:5" hidden="1" x14ac:dyDescent="0.3">
      <c r="A9850" t="s">
        <v>557</v>
      </c>
      <c r="B9850" t="s">
        <v>742</v>
      </c>
      <c r="C9850" t="s">
        <v>86</v>
      </c>
      <c r="D9850" s="230">
        <v>0</v>
      </c>
      <c r="E9850" t="s">
        <v>743</v>
      </c>
    </row>
    <row r="9851" spans="1:5" hidden="1" x14ac:dyDescent="0.3">
      <c r="A9851" t="s">
        <v>557</v>
      </c>
      <c r="B9851" t="s">
        <v>742</v>
      </c>
      <c r="C9851" t="s">
        <v>87</v>
      </c>
      <c r="D9851" s="230">
        <v>0</v>
      </c>
      <c r="E9851" t="s">
        <v>743</v>
      </c>
    </row>
    <row r="9852" spans="1:5" hidden="1" x14ac:dyDescent="0.3">
      <c r="A9852" t="s">
        <v>557</v>
      </c>
      <c r="B9852" t="s">
        <v>742</v>
      </c>
      <c r="C9852" t="s">
        <v>88</v>
      </c>
      <c r="D9852" s="230">
        <v>0</v>
      </c>
      <c r="E9852" t="s">
        <v>743</v>
      </c>
    </row>
    <row r="9853" spans="1:5" hidden="1" x14ac:dyDescent="0.3">
      <c r="A9853" t="s">
        <v>557</v>
      </c>
      <c r="B9853" t="s">
        <v>742</v>
      </c>
      <c r="C9853" t="s">
        <v>89</v>
      </c>
      <c r="D9853" s="230">
        <v>0</v>
      </c>
      <c r="E9853" t="s">
        <v>743</v>
      </c>
    </row>
    <row r="9854" spans="1:5" hidden="1" x14ac:dyDescent="0.3">
      <c r="A9854" t="s">
        <v>557</v>
      </c>
      <c r="B9854" t="s">
        <v>742</v>
      </c>
      <c r="C9854" t="s">
        <v>90</v>
      </c>
      <c r="D9854" s="230">
        <v>0</v>
      </c>
      <c r="E9854" t="s">
        <v>743</v>
      </c>
    </row>
    <row r="9855" spans="1:5" hidden="1" x14ac:dyDescent="0.3">
      <c r="A9855" t="s">
        <v>557</v>
      </c>
      <c r="B9855" t="s">
        <v>742</v>
      </c>
      <c r="C9855" t="s">
        <v>91</v>
      </c>
      <c r="D9855" s="230">
        <v>0</v>
      </c>
      <c r="E9855" t="s">
        <v>743</v>
      </c>
    </row>
    <row r="9856" spans="1:5" hidden="1" x14ac:dyDescent="0.3">
      <c r="A9856" t="s">
        <v>557</v>
      </c>
      <c r="B9856" t="s">
        <v>742</v>
      </c>
      <c r="C9856" t="s">
        <v>93</v>
      </c>
      <c r="D9856" s="230">
        <v>0</v>
      </c>
      <c r="E9856" t="s">
        <v>743</v>
      </c>
    </row>
    <row r="9857" spans="1:5" hidden="1" x14ac:dyDescent="0.3">
      <c r="A9857" t="s">
        <v>557</v>
      </c>
      <c r="B9857" t="s">
        <v>742</v>
      </c>
      <c r="C9857" t="s">
        <v>95</v>
      </c>
      <c r="D9857" s="230">
        <v>0</v>
      </c>
      <c r="E9857" t="s">
        <v>743</v>
      </c>
    </row>
    <row r="9858" spans="1:5" hidden="1" x14ac:dyDescent="0.3">
      <c r="A9858" t="s">
        <v>557</v>
      </c>
      <c r="B9858" t="s">
        <v>742</v>
      </c>
      <c r="C9858" t="s">
        <v>96</v>
      </c>
      <c r="D9858" s="230">
        <v>0</v>
      </c>
      <c r="E9858" t="s">
        <v>743</v>
      </c>
    </row>
    <row r="9859" spans="1:5" hidden="1" x14ac:dyDescent="0.3">
      <c r="A9859" t="s">
        <v>557</v>
      </c>
      <c r="B9859" t="s">
        <v>742</v>
      </c>
      <c r="C9859" t="s">
        <v>98</v>
      </c>
      <c r="D9859" s="230">
        <v>0</v>
      </c>
      <c r="E9859" t="s">
        <v>743</v>
      </c>
    </row>
    <row r="9860" spans="1:5" hidden="1" x14ac:dyDescent="0.3">
      <c r="A9860" t="s">
        <v>557</v>
      </c>
      <c r="B9860" t="s">
        <v>742</v>
      </c>
      <c r="C9860" t="s">
        <v>100</v>
      </c>
      <c r="D9860" s="230">
        <v>0</v>
      </c>
      <c r="E9860" t="s">
        <v>743</v>
      </c>
    </row>
    <row r="9861" spans="1:5" hidden="1" x14ac:dyDescent="0.3">
      <c r="A9861" t="s">
        <v>557</v>
      </c>
      <c r="B9861" t="s">
        <v>742</v>
      </c>
      <c r="C9861" t="s">
        <v>101</v>
      </c>
      <c r="D9861" s="230">
        <v>0</v>
      </c>
      <c r="E9861" t="s">
        <v>743</v>
      </c>
    </row>
    <row r="9862" spans="1:5" hidden="1" x14ac:dyDescent="0.3">
      <c r="A9862" t="s">
        <v>557</v>
      </c>
      <c r="B9862" t="s">
        <v>742</v>
      </c>
      <c r="C9862" t="s">
        <v>102</v>
      </c>
      <c r="D9862" s="230">
        <v>0</v>
      </c>
      <c r="E9862" t="s">
        <v>743</v>
      </c>
    </row>
    <row r="9863" spans="1:5" hidden="1" x14ac:dyDescent="0.3">
      <c r="A9863" t="s">
        <v>557</v>
      </c>
      <c r="B9863" t="s">
        <v>742</v>
      </c>
      <c r="C9863" t="s">
        <v>103</v>
      </c>
      <c r="D9863" s="230">
        <v>0</v>
      </c>
      <c r="E9863" t="s">
        <v>743</v>
      </c>
    </row>
    <row r="9864" spans="1:5" hidden="1" x14ac:dyDescent="0.3">
      <c r="A9864" t="s">
        <v>557</v>
      </c>
      <c r="B9864" t="s">
        <v>742</v>
      </c>
      <c r="C9864" t="s">
        <v>104</v>
      </c>
      <c r="D9864" s="230">
        <v>0</v>
      </c>
      <c r="E9864" t="s">
        <v>743</v>
      </c>
    </row>
    <row r="9865" spans="1:5" hidden="1" x14ac:dyDescent="0.3">
      <c r="A9865" t="s">
        <v>557</v>
      </c>
      <c r="B9865" t="s">
        <v>742</v>
      </c>
      <c r="C9865" t="s">
        <v>105</v>
      </c>
      <c r="D9865" s="230">
        <v>0</v>
      </c>
      <c r="E9865" t="s">
        <v>743</v>
      </c>
    </row>
    <row r="9866" spans="1:5" hidden="1" x14ac:dyDescent="0.3">
      <c r="A9866" t="s">
        <v>557</v>
      </c>
      <c r="B9866" t="s">
        <v>742</v>
      </c>
      <c r="C9866" t="s">
        <v>107</v>
      </c>
      <c r="D9866" s="230">
        <v>0</v>
      </c>
      <c r="E9866" t="s">
        <v>743</v>
      </c>
    </row>
    <row r="9867" spans="1:5" hidden="1" x14ac:dyDescent="0.3">
      <c r="A9867" t="s">
        <v>557</v>
      </c>
      <c r="B9867" t="s">
        <v>742</v>
      </c>
      <c r="C9867" t="s">
        <v>108</v>
      </c>
      <c r="D9867" s="230">
        <v>0</v>
      </c>
      <c r="E9867" t="s">
        <v>743</v>
      </c>
    </row>
    <row r="9868" spans="1:5" hidden="1" x14ac:dyDescent="0.3">
      <c r="A9868" t="s">
        <v>557</v>
      </c>
      <c r="B9868" t="s">
        <v>742</v>
      </c>
      <c r="C9868" t="s">
        <v>109</v>
      </c>
      <c r="D9868" s="230">
        <v>0</v>
      </c>
      <c r="E9868" t="s">
        <v>743</v>
      </c>
    </row>
    <row r="9869" spans="1:5" hidden="1" x14ac:dyDescent="0.3">
      <c r="A9869" t="s">
        <v>557</v>
      </c>
      <c r="B9869" t="s">
        <v>742</v>
      </c>
      <c r="C9869" t="s">
        <v>110</v>
      </c>
      <c r="D9869" s="230">
        <v>-0.2</v>
      </c>
      <c r="E9869" t="s">
        <v>743</v>
      </c>
    </row>
    <row r="9870" spans="1:5" hidden="1" x14ac:dyDescent="0.3">
      <c r="A9870" t="s">
        <v>557</v>
      </c>
      <c r="B9870" t="s">
        <v>742</v>
      </c>
      <c r="C9870" t="s">
        <v>44</v>
      </c>
      <c r="D9870" s="230">
        <v>-0.01</v>
      </c>
      <c r="E9870" t="s">
        <v>743</v>
      </c>
    </row>
    <row r="9871" spans="1:5" hidden="1" x14ac:dyDescent="0.3">
      <c r="A9871" t="s">
        <v>557</v>
      </c>
      <c r="B9871" t="s">
        <v>742</v>
      </c>
      <c r="C9871" t="s">
        <v>111</v>
      </c>
      <c r="D9871" s="230">
        <v>-26383.439999999999</v>
      </c>
      <c r="E9871" t="s">
        <v>743</v>
      </c>
    </row>
    <row r="9872" spans="1:5" hidden="1" x14ac:dyDescent="0.3">
      <c r="A9872" t="s">
        <v>557</v>
      </c>
      <c r="B9872" t="s">
        <v>742</v>
      </c>
      <c r="C9872" t="s">
        <v>608</v>
      </c>
      <c r="D9872" s="230">
        <v>-26383.439999999999</v>
      </c>
      <c r="E9872" t="s">
        <v>743</v>
      </c>
    </row>
    <row r="9873" spans="1:5" hidden="1" x14ac:dyDescent="0.3">
      <c r="A9873" t="s">
        <v>557</v>
      </c>
      <c r="B9873" t="s">
        <v>742</v>
      </c>
      <c r="C9873" t="s">
        <v>44</v>
      </c>
      <c r="D9873" s="230">
        <v>-0.06</v>
      </c>
      <c r="E9873" t="s">
        <v>743</v>
      </c>
    </row>
    <row r="9874" spans="1:5" hidden="1" x14ac:dyDescent="0.3">
      <c r="A9874" t="s">
        <v>557</v>
      </c>
      <c r="B9874" t="s">
        <v>742</v>
      </c>
      <c r="C9874" t="s">
        <v>115</v>
      </c>
      <c r="D9874" s="230">
        <v>-9935.11</v>
      </c>
      <c r="E9874" t="s">
        <v>743</v>
      </c>
    </row>
    <row r="9875" spans="1:5" hidden="1" x14ac:dyDescent="0.3">
      <c r="A9875" t="s">
        <v>557</v>
      </c>
      <c r="B9875" t="s">
        <v>742</v>
      </c>
      <c r="C9875" t="s">
        <v>116</v>
      </c>
      <c r="D9875" s="230">
        <v>-5914.47</v>
      </c>
      <c r="E9875" t="s">
        <v>743</v>
      </c>
    </row>
    <row r="9876" spans="1:5" hidden="1" x14ac:dyDescent="0.3">
      <c r="A9876" t="s">
        <v>557</v>
      </c>
      <c r="B9876" t="s">
        <v>742</v>
      </c>
      <c r="C9876" t="s">
        <v>118</v>
      </c>
      <c r="D9876" s="230">
        <v>-3760.18</v>
      </c>
      <c r="E9876" t="s">
        <v>743</v>
      </c>
    </row>
    <row r="9877" spans="1:5" hidden="1" x14ac:dyDescent="0.3">
      <c r="A9877" t="s">
        <v>557</v>
      </c>
      <c r="B9877" t="s">
        <v>742</v>
      </c>
      <c r="C9877" t="s">
        <v>120</v>
      </c>
      <c r="D9877" s="230">
        <v>0</v>
      </c>
      <c r="E9877" t="s">
        <v>743</v>
      </c>
    </row>
    <row r="9878" spans="1:5" hidden="1" x14ac:dyDescent="0.3">
      <c r="A9878" t="s">
        <v>557</v>
      </c>
      <c r="B9878" t="s">
        <v>742</v>
      </c>
      <c r="C9878" t="s">
        <v>122</v>
      </c>
      <c r="D9878" s="230">
        <v>-260.45999999999998</v>
      </c>
      <c r="E9878" t="s">
        <v>743</v>
      </c>
    </row>
    <row r="9879" spans="1:5" hidden="1" x14ac:dyDescent="0.3">
      <c r="A9879" t="s">
        <v>557</v>
      </c>
      <c r="B9879" t="s">
        <v>742</v>
      </c>
      <c r="C9879" t="s">
        <v>44</v>
      </c>
      <c r="D9879" s="230">
        <v>-0.02</v>
      </c>
      <c r="E9879" t="s">
        <v>743</v>
      </c>
    </row>
    <row r="9880" spans="1:5" hidden="1" x14ac:dyDescent="0.3">
      <c r="A9880" t="s">
        <v>557</v>
      </c>
      <c r="B9880" t="s">
        <v>742</v>
      </c>
      <c r="C9880" t="s">
        <v>126</v>
      </c>
      <c r="D9880" s="230">
        <v>200813.22</v>
      </c>
      <c r="E9880" t="s">
        <v>743</v>
      </c>
    </row>
    <row r="9881" spans="1:5" hidden="1" x14ac:dyDescent="0.3">
      <c r="A9881" t="s">
        <v>557</v>
      </c>
      <c r="B9881" t="s">
        <v>742</v>
      </c>
      <c r="C9881" t="s">
        <v>127</v>
      </c>
      <c r="D9881" s="230">
        <v>0.49</v>
      </c>
      <c r="E9881" t="s">
        <v>743</v>
      </c>
    </row>
    <row r="9882" spans="1:5" hidden="1" x14ac:dyDescent="0.3">
      <c r="A9882" t="s">
        <v>557</v>
      </c>
      <c r="B9882" t="s">
        <v>742</v>
      </c>
      <c r="C9882" t="s">
        <v>128</v>
      </c>
      <c r="D9882" s="230">
        <v>-121669.63</v>
      </c>
      <c r="E9882" t="s">
        <v>743</v>
      </c>
    </row>
    <row r="9883" spans="1:5" hidden="1" x14ac:dyDescent="0.3">
      <c r="A9883" t="s">
        <v>557</v>
      </c>
      <c r="B9883" t="s">
        <v>742</v>
      </c>
      <c r="C9883" t="s">
        <v>129</v>
      </c>
      <c r="D9883" s="230">
        <v>-37883.339999999997</v>
      </c>
      <c r="E9883" t="s">
        <v>743</v>
      </c>
    </row>
    <row r="9884" spans="1:5" hidden="1" x14ac:dyDescent="0.3">
      <c r="A9884" t="s">
        <v>557</v>
      </c>
      <c r="B9884" t="s">
        <v>742</v>
      </c>
      <c r="C9884" t="s">
        <v>609</v>
      </c>
      <c r="D9884" s="230">
        <v>-4033.34</v>
      </c>
      <c r="E9884" t="s">
        <v>743</v>
      </c>
    </row>
    <row r="9885" spans="1:5" hidden="1" x14ac:dyDescent="0.3">
      <c r="A9885" t="s">
        <v>557</v>
      </c>
      <c r="B9885" t="s">
        <v>742</v>
      </c>
      <c r="C9885" t="s">
        <v>610</v>
      </c>
      <c r="D9885" s="230">
        <v>-17600</v>
      </c>
      <c r="E9885" t="s">
        <v>743</v>
      </c>
    </row>
    <row r="9886" spans="1:5" hidden="1" x14ac:dyDescent="0.3">
      <c r="A9886" t="s">
        <v>557</v>
      </c>
      <c r="B9886" t="s">
        <v>742</v>
      </c>
      <c r="C9886" t="s">
        <v>611</v>
      </c>
      <c r="D9886" s="230">
        <v>0</v>
      </c>
      <c r="E9886" t="s">
        <v>743</v>
      </c>
    </row>
    <row r="9887" spans="1:5" hidden="1" x14ac:dyDescent="0.3">
      <c r="A9887" t="s">
        <v>557</v>
      </c>
      <c r="B9887" t="s">
        <v>742</v>
      </c>
      <c r="C9887" t="s">
        <v>612</v>
      </c>
      <c r="D9887" s="230">
        <v>-4000</v>
      </c>
      <c r="E9887" t="s">
        <v>743</v>
      </c>
    </row>
    <row r="9888" spans="1:5" hidden="1" x14ac:dyDescent="0.3">
      <c r="A9888" t="s">
        <v>557</v>
      </c>
      <c r="B9888" t="s">
        <v>742</v>
      </c>
      <c r="C9888" t="s">
        <v>613</v>
      </c>
      <c r="D9888" s="230">
        <v>-1750</v>
      </c>
      <c r="E9888" t="s">
        <v>743</v>
      </c>
    </row>
    <row r="9889" spans="1:5" hidden="1" x14ac:dyDescent="0.3">
      <c r="A9889" t="s">
        <v>557</v>
      </c>
      <c r="B9889" t="s">
        <v>742</v>
      </c>
      <c r="C9889" t="s">
        <v>614</v>
      </c>
      <c r="D9889" s="230">
        <v>-6500</v>
      </c>
      <c r="E9889" t="s">
        <v>743</v>
      </c>
    </row>
    <row r="9890" spans="1:5" hidden="1" x14ac:dyDescent="0.3">
      <c r="A9890" t="s">
        <v>557</v>
      </c>
      <c r="B9890" t="s">
        <v>742</v>
      </c>
      <c r="C9890" t="s">
        <v>615</v>
      </c>
      <c r="D9890" s="230">
        <v>0</v>
      </c>
      <c r="E9890" t="s">
        <v>743</v>
      </c>
    </row>
    <row r="9891" spans="1:5" hidden="1" x14ac:dyDescent="0.3">
      <c r="A9891" t="s">
        <v>557</v>
      </c>
      <c r="B9891" t="s">
        <v>742</v>
      </c>
      <c r="C9891" t="s">
        <v>616</v>
      </c>
      <c r="D9891" s="230">
        <v>-4000</v>
      </c>
      <c r="E9891" t="s">
        <v>743</v>
      </c>
    </row>
    <row r="9892" spans="1:5" hidden="1" x14ac:dyDescent="0.3">
      <c r="A9892" t="s">
        <v>557</v>
      </c>
      <c r="B9892" t="s">
        <v>742</v>
      </c>
      <c r="C9892" t="s">
        <v>617</v>
      </c>
      <c r="D9892" s="230">
        <v>0</v>
      </c>
      <c r="E9892" t="s">
        <v>743</v>
      </c>
    </row>
    <row r="9893" spans="1:5" hidden="1" x14ac:dyDescent="0.3">
      <c r="A9893" t="s">
        <v>557</v>
      </c>
      <c r="B9893" t="s">
        <v>742</v>
      </c>
      <c r="C9893" t="s">
        <v>618</v>
      </c>
      <c r="D9893" s="230">
        <v>0</v>
      </c>
      <c r="E9893" t="s">
        <v>743</v>
      </c>
    </row>
    <row r="9894" spans="1:5" hidden="1" x14ac:dyDescent="0.3">
      <c r="A9894" t="s">
        <v>557</v>
      </c>
      <c r="B9894" t="s">
        <v>742</v>
      </c>
      <c r="C9894" t="s">
        <v>619</v>
      </c>
      <c r="D9894" s="230">
        <v>0</v>
      </c>
      <c r="E9894" t="s">
        <v>743</v>
      </c>
    </row>
    <row r="9895" spans="1:5" hidden="1" x14ac:dyDescent="0.3">
      <c r="A9895" t="s">
        <v>557</v>
      </c>
      <c r="B9895" t="s">
        <v>742</v>
      </c>
      <c r="C9895" t="s">
        <v>620</v>
      </c>
      <c r="D9895" s="230">
        <v>0</v>
      </c>
      <c r="E9895" t="s">
        <v>743</v>
      </c>
    </row>
    <row r="9896" spans="1:5" hidden="1" x14ac:dyDescent="0.3">
      <c r="A9896" t="s">
        <v>557</v>
      </c>
      <c r="B9896" t="s">
        <v>742</v>
      </c>
      <c r="C9896" t="s">
        <v>575</v>
      </c>
      <c r="D9896" s="230">
        <v>-32003.24</v>
      </c>
      <c r="E9896" t="s">
        <v>743</v>
      </c>
    </row>
    <row r="9897" spans="1:5" hidden="1" x14ac:dyDescent="0.3">
      <c r="A9897" t="s">
        <v>557</v>
      </c>
      <c r="B9897" t="s">
        <v>742</v>
      </c>
      <c r="C9897" t="s">
        <v>621</v>
      </c>
      <c r="D9897" s="230">
        <v>0</v>
      </c>
      <c r="E9897" t="s">
        <v>743</v>
      </c>
    </row>
    <row r="9898" spans="1:5" hidden="1" x14ac:dyDescent="0.3">
      <c r="A9898" t="s">
        <v>557</v>
      </c>
      <c r="B9898" t="s">
        <v>742</v>
      </c>
      <c r="C9898" t="s">
        <v>622</v>
      </c>
      <c r="D9898" s="230">
        <v>0</v>
      </c>
      <c r="E9898" t="s">
        <v>743</v>
      </c>
    </row>
    <row r="9899" spans="1:5" hidden="1" x14ac:dyDescent="0.3">
      <c r="A9899" t="s">
        <v>557</v>
      </c>
      <c r="B9899" t="s">
        <v>742</v>
      </c>
      <c r="C9899" t="s">
        <v>623</v>
      </c>
      <c r="D9899" s="230">
        <v>0</v>
      </c>
      <c r="E9899" t="s">
        <v>743</v>
      </c>
    </row>
    <row r="9900" spans="1:5" hidden="1" x14ac:dyDescent="0.3">
      <c r="A9900" t="s">
        <v>557</v>
      </c>
      <c r="B9900" t="s">
        <v>742</v>
      </c>
      <c r="C9900" t="s">
        <v>624</v>
      </c>
      <c r="D9900" s="230">
        <v>0</v>
      </c>
      <c r="E9900" t="s">
        <v>743</v>
      </c>
    </row>
    <row r="9901" spans="1:5" hidden="1" x14ac:dyDescent="0.3">
      <c r="A9901" t="s">
        <v>557</v>
      </c>
      <c r="B9901" t="s">
        <v>742</v>
      </c>
      <c r="C9901" t="s">
        <v>625</v>
      </c>
      <c r="D9901" s="230">
        <v>0</v>
      </c>
      <c r="E9901" t="s">
        <v>743</v>
      </c>
    </row>
    <row r="9902" spans="1:5" hidden="1" x14ac:dyDescent="0.3">
      <c r="A9902" t="s">
        <v>557</v>
      </c>
      <c r="B9902" t="s">
        <v>742</v>
      </c>
      <c r="C9902" t="s">
        <v>626</v>
      </c>
      <c r="D9902" s="230">
        <v>0</v>
      </c>
      <c r="E9902" t="s">
        <v>743</v>
      </c>
    </row>
    <row r="9903" spans="1:5" hidden="1" x14ac:dyDescent="0.3">
      <c r="A9903" t="s">
        <v>557</v>
      </c>
      <c r="B9903" t="s">
        <v>742</v>
      </c>
      <c r="C9903" t="s">
        <v>627</v>
      </c>
      <c r="D9903" s="230">
        <v>0</v>
      </c>
      <c r="E9903" t="s">
        <v>743</v>
      </c>
    </row>
    <row r="9904" spans="1:5" hidden="1" x14ac:dyDescent="0.3">
      <c r="A9904" t="s">
        <v>557</v>
      </c>
      <c r="B9904" t="s">
        <v>742</v>
      </c>
      <c r="C9904" t="s">
        <v>628</v>
      </c>
      <c r="D9904" s="230">
        <v>0</v>
      </c>
      <c r="E9904" t="s">
        <v>743</v>
      </c>
    </row>
    <row r="9905" spans="1:5" hidden="1" x14ac:dyDescent="0.3">
      <c r="A9905" t="s">
        <v>557</v>
      </c>
      <c r="B9905" t="s">
        <v>742</v>
      </c>
      <c r="C9905" t="s">
        <v>629</v>
      </c>
      <c r="D9905" s="230">
        <v>0</v>
      </c>
      <c r="E9905" t="s">
        <v>743</v>
      </c>
    </row>
    <row r="9906" spans="1:5" hidden="1" x14ac:dyDescent="0.3">
      <c r="A9906" t="s">
        <v>557</v>
      </c>
      <c r="B9906" t="s">
        <v>742</v>
      </c>
      <c r="C9906" t="s">
        <v>630</v>
      </c>
      <c r="D9906" s="230">
        <v>0</v>
      </c>
      <c r="E9906" t="s">
        <v>743</v>
      </c>
    </row>
    <row r="9907" spans="1:5" hidden="1" x14ac:dyDescent="0.3">
      <c r="A9907" t="s">
        <v>557</v>
      </c>
      <c r="B9907" t="s">
        <v>742</v>
      </c>
      <c r="C9907" t="s">
        <v>631</v>
      </c>
      <c r="D9907" s="230">
        <v>0</v>
      </c>
      <c r="E9907" t="s">
        <v>743</v>
      </c>
    </row>
    <row r="9908" spans="1:5" hidden="1" x14ac:dyDescent="0.3">
      <c r="A9908" t="s">
        <v>557</v>
      </c>
      <c r="B9908" t="s">
        <v>742</v>
      </c>
      <c r="C9908" t="s">
        <v>632</v>
      </c>
      <c r="D9908" s="230">
        <v>0</v>
      </c>
      <c r="E9908" t="s">
        <v>743</v>
      </c>
    </row>
    <row r="9909" spans="1:5" hidden="1" x14ac:dyDescent="0.3">
      <c r="A9909" t="s">
        <v>557</v>
      </c>
      <c r="B9909" t="s">
        <v>742</v>
      </c>
      <c r="C9909" t="s">
        <v>633</v>
      </c>
      <c r="D9909" s="230">
        <v>0</v>
      </c>
      <c r="E9909" t="s">
        <v>743</v>
      </c>
    </row>
    <row r="9910" spans="1:5" hidden="1" x14ac:dyDescent="0.3">
      <c r="A9910" t="s">
        <v>557</v>
      </c>
      <c r="B9910" t="s">
        <v>742</v>
      </c>
      <c r="C9910" t="s">
        <v>634</v>
      </c>
      <c r="D9910" s="230">
        <v>0</v>
      </c>
      <c r="E9910" t="s">
        <v>743</v>
      </c>
    </row>
    <row r="9911" spans="1:5" hidden="1" x14ac:dyDescent="0.3">
      <c r="A9911" t="s">
        <v>557</v>
      </c>
      <c r="B9911" t="s">
        <v>742</v>
      </c>
      <c r="C9911" t="s">
        <v>635</v>
      </c>
      <c r="D9911" s="230">
        <v>0</v>
      </c>
      <c r="E9911" t="s">
        <v>743</v>
      </c>
    </row>
    <row r="9912" spans="1:5" hidden="1" x14ac:dyDescent="0.3">
      <c r="A9912" t="s">
        <v>557</v>
      </c>
      <c r="B9912" t="s">
        <v>742</v>
      </c>
      <c r="C9912" t="s">
        <v>636</v>
      </c>
      <c r="D9912" s="230">
        <v>0</v>
      </c>
      <c r="E9912" t="s">
        <v>743</v>
      </c>
    </row>
    <row r="9913" spans="1:5" hidden="1" x14ac:dyDescent="0.3">
      <c r="A9913" t="s">
        <v>557</v>
      </c>
      <c r="B9913" t="s">
        <v>742</v>
      </c>
      <c r="C9913" t="s">
        <v>637</v>
      </c>
      <c r="D9913" s="230">
        <v>0</v>
      </c>
      <c r="E9913" t="s">
        <v>743</v>
      </c>
    </row>
    <row r="9914" spans="1:5" hidden="1" x14ac:dyDescent="0.3">
      <c r="A9914" t="s">
        <v>557</v>
      </c>
      <c r="B9914" t="s">
        <v>742</v>
      </c>
      <c r="C9914" t="s">
        <v>638</v>
      </c>
      <c r="D9914" s="230">
        <v>0</v>
      </c>
      <c r="E9914" t="s">
        <v>743</v>
      </c>
    </row>
    <row r="9915" spans="1:5" hidden="1" x14ac:dyDescent="0.3">
      <c r="A9915" t="s">
        <v>557</v>
      </c>
      <c r="B9915" t="s">
        <v>742</v>
      </c>
      <c r="C9915" t="s">
        <v>639</v>
      </c>
      <c r="D9915" s="230">
        <v>0</v>
      </c>
      <c r="E9915" t="s">
        <v>743</v>
      </c>
    </row>
    <row r="9916" spans="1:5" hidden="1" x14ac:dyDescent="0.3">
      <c r="A9916" t="s">
        <v>557</v>
      </c>
      <c r="B9916" t="s">
        <v>742</v>
      </c>
      <c r="C9916" t="s">
        <v>640</v>
      </c>
      <c r="D9916" s="230">
        <v>0</v>
      </c>
      <c r="E9916" t="s">
        <v>743</v>
      </c>
    </row>
    <row r="9917" spans="1:5" hidden="1" x14ac:dyDescent="0.3">
      <c r="A9917" t="s">
        <v>557</v>
      </c>
      <c r="B9917" t="s">
        <v>742</v>
      </c>
      <c r="C9917" t="s">
        <v>641</v>
      </c>
      <c r="D9917" s="230">
        <v>0</v>
      </c>
      <c r="E9917" t="s">
        <v>743</v>
      </c>
    </row>
    <row r="9918" spans="1:5" hidden="1" x14ac:dyDescent="0.3">
      <c r="A9918" t="s">
        <v>557</v>
      </c>
      <c r="B9918" t="s">
        <v>742</v>
      </c>
      <c r="C9918" t="s">
        <v>642</v>
      </c>
      <c r="D9918" s="230">
        <v>0</v>
      </c>
      <c r="E9918" t="s">
        <v>743</v>
      </c>
    </row>
    <row r="9919" spans="1:5" hidden="1" x14ac:dyDescent="0.3">
      <c r="A9919" t="s">
        <v>557</v>
      </c>
      <c r="B9919" t="s">
        <v>742</v>
      </c>
      <c r="C9919" t="s">
        <v>643</v>
      </c>
      <c r="D9919" s="230">
        <v>0</v>
      </c>
      <c r="E9919" t="s">
        <v>743</v>
      </c>
    </row>
    <row r="9920" spans="1:5" hidden="1" x14ac:dyDescent="0.3">
      <c r="A9920" t="s">
        <v>557</v>
      </c>
      <c r="B9920" t="s">
        <v>742</v>
      </c>
      <c r="C9920" t="s">
        <v>644</v>
      </c>
      <c r="D9920" s="230">
        <v>0</v>
      </c>
      <c r="E9920" t="s">
        <v>743</v>
      </c>
    </row>
    <row r="9921" spans="1:5" hidden="1" x14ac:dyDescent="0.3">
      <c r="A9921" t="s">
        <v>557</v>
      </c>
      <c r="B9921" t="s">
        <v>742</v>
      </c>
      <c r="C9921" t="s">
        <v>645</v>
      </c>
      <c r="D9921" s="230">
        <v>0</v>
      </c>
      <c r="E9921" t="s">
        <v>743</v>
      </c>
    </row>
    <row r="9922" spans="1:5" hidden="1" x14ac:dyDescent="0.3">
      <c r="A9922" t="s">
        <v>557</v>
      </c>
      <c r="B9922" t="s">
        <v>742</v>
      </c>
      <c r="C9922" t="s">
        <v>646</v>
      </c>
      <c r="D9922" s="230">
        <v>0</v>
      </c>
      <c r="E9922" t="s">
        <v>743</v>
      </c>
    </row>
    <row r="9923" spans="1:5" hidden="1" x14ac:dyDescent="0.3">
      <c r="A9923" t="s">
        <v>557</v>
      </c>
      <c r="B9923" t="s">
        <v>742</v>
      </c>
      <c r="C9923" t="s">
        <v>647</v>
      </c>
      <c r="D9923" s="230">
        <v>0</v>
      </c>
      <c r="E9923" t="s">
        <v>743</v>
      </c>
    </row>
    <row r="9924" spans="1:5" hidden="1" x14ac:dyDescent="0.3">
      <c r="A9924" t="s">
        <v>557</v>
      </c>
      <c r="B9924" t="s">
        <v>742</v>
      </c>
      <c r="C9924" t="s">
        <v>648</v>
      </c>
      <c r="D9924" s="230">
        <v>0</v>
      </c>
      <c r="E9924" t="s">
        <v>743</v>
      </c>
    </row>
    <row r="9925" spans="1:5" hidden="1" x14ac:dyDescent="0.3">
      <c r="A9925" t="s">
        <v>557</v>
      </c>
      <c r="B9925" t="s">
        <v>742</v>
      </c>
      <c r="C9925" t="s">
        <v>649</v>
      </c>
      <c r="D9925" s="230">
        <v>0</v>
      </c>
      <c r="E9925" t="s">
        <v>743</v>
      </c>
    </row>
    <row r="9926" spans="1:5" hidden="1" x14ac:dyDescent="0.3">
      <c r="A9926" t="s">
        <v>557</v>
      </c>
      <c r="B9926" t="s">
        <v>742</v>
      </c>
      <c r="C9926" t="s">
        <v>650</v>
      </c>
      <c r="D9926" s="230">
        <v>0</v>
      </c>
      <c r="E9926" t="s">
        <v>743</v>
      </c>
    </row>
    <row r="9927" spans="1:5" hidden="1" x14ac:dyDescent="0.3">
      <c r="A9927" t="s">
        <v>557</v>
      </c>
      <c r="B9927" t="s">
        <v>742</v>
      </c>
      <c r="C9927" t="s">
        <v>651</v>
      </c>
      <c r="D9927" s="230">
        <v>0</v>
      </c>
      <c r="E9927" t="s">
        <v>743</v>
      </c>
    </row>
    <row r="9928" spans="1:5" hidden="1" x14ac:dyDescent="0.3">
      <c r="A9928" t="s">
        <v>557</v>
      </c>
      <c r="B9928" t="s">
        <v>742</v>
      </c>
      <c r="C9928" t="s">
        <v>652</v>
      </c>
      <c r="D9928" s="230">
        <v>0</v>
      </c>
      <c r="E9928" t="s">
        <v>743</v>
      </c>
    </row>
    <row r="9929" spans="1:5" hidden="1" x14ac:dyDescent="0.3">
      <c r="A9929" t="s">
        <v>557</v>
      </c>
      <c r="B9929" t="s">
        <v>742</v>
      </c>
      <c r="C9929" t="s">
        <v>653</v>
      </c>
      <c r="D9929" s="230">
        <v>0</v>
      </c>
      <c r="E9929" t="s">
        <v>743</v>
      </c>
    </row>
    <row r="9930" spans="1:5" hidden="1" x14ac:dyDescent="0.3">
      <c r="A9930" t="s">
        <v>557</v>
      </c>
      <c r="B9930" t="s">
        <v>742</v>
      </c>
      <c r="C9930" t="s">
        <v>654</v>
      </c>
      <c r="D9930" s="230">
        <v>0</v>
      </c>
      <c r="E9930" t="s">
        <v>743</v>
      </c>
    </row>
    <row r="9931" spans="1:5" hidden="1" x14ac:dyDescent="0.3">
      <c r="A9931" t="s">
        <v>557</v>
      </c>
      <c r="B9931" t="s">
        <v>742</v>
      </c>
      <c r="C9931" t="s">
        <v>655</v>
      </c>
      <c r="D9931" s="230">
        <v>0</v>
      </c>
      <c r="E9931" t="s">
        <v>743</v>
      </c>
    </row>
    <row r="9932" spans="1:5" hidden="1" x14ac:dyDescent="0.3">
      <c r="A9932" t="s">
        <v>557</v>
      </c>
      <c r="B9932" t="s">
        <v>742</v>
      </c>
      <c r="C9932" t="s">
        <v>656</v>
      </c>
      <c r="D9932" s="230">
        <v>0</v>
      </c>
      <c r="E9932" t="s">
        <v>743</v>
      </c>
    </row>
    <row r="9933" spans="1:5" hidden="1" x14ac:dyDescent="0.3">
      <c r="A9933" t="s">
        <v>557</v>
      </c>
      <c r="B9933" t="s">
        <v>742</v>
      </c>
      <c r="C9933" t="s">
        <v>657</v>
      </c>
      <c r="D9933" s="230">
        <v>0</v>
      </c>
      <c r="E9933" t="s">
        <v>743</v>
      </c>
    </row>
    <row r="9934" spans="1:5" hidden="1" x14ac:dyDescent="0.3">
      <c r="A9934" t="s">
        <v>557</v>
      </c>
      <c r="B9934" t="s">
        <v>742</v>
      </c>
      <c r="C9934" t="s">
        <v>658</v>
      </c>
      <c r="D9934" s="230">
        <v>0</v>
      </c>
      <c r="E9934" t="s">
        <v>743</v>
      </c>
    </row>
    <row r="9935" spans="1:5" hidden="1" x14ac:dyDescent="0.3">
      <c r="A9935" t="s">
        <v>557</v>
      </c>
      <c r="B9935" t="s">
        <v>742</v>
      </c>
      <c r="C9935" t="s">
        <v>659</v>
      </c>
      <c r="D9935" s="230">
        <v>0</v>
      </c>
      <c r="E9935" t="s">
        <v>743</v>
      </c>
    </row>
    <row r="9936" spans="1:5" hidden="1" x14ac:dyDescent="0.3">
      <c r="A9936" t="s">
        <v>557</v>
      </c>
      <c r="B9936" t="s">
        <v>742</v>
      </c>
      <c r="C9936" t="s">
        <v>660</v>
      </c>
      <c r="D9936" s="230">
        <v>0</v>
      </c>
      <c r="E9936" t="s">
        <v>743</v>
      </c>
    </row>
    <row r="9937" spans="1:5" hidden="1" x14ac:dyDescent="0.3">
      <c r="A9937" t="s">
        <v>557</v>
      </c>
      <c r="B9937" t="s">
        <v>742</v>
      </c>
      <c r="C9937" t="s">
        <v>661</v>
      </c>
      <c r="D9937" s="230">
        <v>0</v>
      </c>
      <c r="E9937" t="s">
        <v>743</v>
      </c>
    </row>
    <row r="9938" spans="1:5" hidden="1" x14ac:dyDescent="0.3">
      <c r="A9938" t="s">
        <v>557</v>
      </c>
      <c r="B9938" t="s">
        <v>742</v>
      </c>
      <c r="C9938" t="s">
        <v>662</v>
      </c>
      <c r="D9938" s="230">
        <v>0</v>
      </c>
      <c r="E9938" t="s">
        <v>743</v>
      </c>
    </row>
    <row r="9939" spans="1:5" hidden="1" x14ac:dyDescent="0.3">
      <c r="A9939" t="s">
        <v>557</v>
      </c>
      <c r="B9939" t="s">
        <v>742</v>
      </c>
      <c r="C9939" t="s">
        <v>663</v>
      </c>
      <c r="D9939" s="230">
        <v>0</v>
      </c>
      <c r="E9939" t="s">
        <v>743</v>
      </c>
    </row>
    <row r="9940" spans="1:5" hidden="1" x14ac:dyDescent="0.3">
      <c r="A9940" t="s">
        <v>557</v>
      </c>
      <c r="B9940" t="s">
        <v>742</v>
      </c>
      <c r="C9940" t="s">
        <v>664</v>
      </c>
      <c r="D9940" s="230">
        <v>0</v>
      </c>
      <c r="E9940" t="s">
        <v>743</v>
      </c>
    </row>
    <row r="9941" spans="1:5" hidden="1" x14ac:dyDescent="0.3">
      <c r="A9941" t="s">
        <v>557</v>
      </c>
      <c r="B9941" t="s">
        <v>742</v>
      </c>
      <c r="C9941" t="s">
        <v>665</v>
      </c>
      <c r="D9941" s="230">
        <v>0</v>
      </c>
      <c r="E9941" t="s">
        <v>743</v>
      </c>
    </row>
    <row r="9942" spans="1:5" hidden="1" x14ac:dyDescent="0.3">
      <c r="A9942" t="s">
        <v>557</v>
      </c>
      <c r="B9942" t="s">
        <v>742</v>
      </c>
      <c r="C9942" t="s">
        <v>666</v>
      </c>
      <c r="D9942" s="230">
        <v>0</v>
      </c>
      <c r="E9942" t="s">
        <v>743</v>
      </c>
    </row>
    <row r="9943" spans="1:5" hidden="1" x14ac:dyDescent="0.3">
      <c r="A9943" t="s">
        <v>557</v>
      </c>
      <c r="B9943" t="s">
        <v>742</v>
      </c>
      <c r="C9943" t="s">
        <v>667</v>
      </c>
      <c r="D9943" s="230">
        <v>0</v>
      </c>
      <c r="E9943" t="s">
        <v>743</v>
      </c>
    </row>
    <row r="9944" spans="1:5" hidden="1" x14ac:dyDescent="0.3">
      <c r="A9944" t="s">
        <v>557</v>
      </c>
      <c r="B9944" t="s">
        <v>742</v>
      </c>
      <c r="C9944" t="s">
        <v>668</v>
      </c>
      <c r="D9944" s="230">
        <v>0</v>
      </c>
      <c r="E9944" t="s">
        <v>743</v>
      </c>
    </row>
    <row r="9945" spans="1:5" hidden="1" x14ac:dyDescent="0.3">
      <c r="A9945" t="s">
        <v>557</v>
      </c>
      <c r="B9945" t="s">
        <v>742</v>
      </c>
      <c r="C9945" t="s">
        <v>669</v>
      </c>
      <c r="D9945" s="230">
        <v>0</v>
      </c>
      <c r="E9945" t="s">
        <v>743</v>
      </c>
    </row>
    <row r="9946" spans="1:5" hidden="1" x14ac:dyDescent="0.3">
      <c r="A9946" t="s">
        <v>557</v>
      </c>
      <c r="B9946" t="s">
        <v>742</v>
      </c>
      <c r="C9946" t="s">
        <v>670</v>
      </c>
      <c r="D9946" s="230">
        <v>0</v>
      </c>
      <c r="E9946" t="s">
        <v>743</v>
      </c>
    </row>
    <row r="9947" spans="1:5" hidden="1" x14ac:dyDescent="0.3">
      <c r="A9947" t="s">
        <v>557</v>
      </c>
      <c r="B9947" t="s">
        <v>742</v>
      </c>
      <c r="C9947" t="s">
        <v>671</v>
      </c>
      <c r="D9947" s="230">
        <v>0</v>
      </c>
      <c r="E9947" t="s">
        <v>743</v>
      </c>
    </row>
    <row r="9948" spans="1:5" hidden="1" x14ac:dyDescent="0.3">
      <c r="A9948" t="s">
        <v>557</v>
      </c>
      <c r="B9948" t="s">
        <v>742</v>
      </c>
      <c r="C9948" t="s">
        <v>672</v>
      </c>
      <c r="D9948" s="230">
        <v>0</v>
      </c>
      <c r="E9948" t="s">
        <v>743</v>
      </c>
    </row>
    <row r="9949" spans="1:5" hidden="1" x14ac:dyDescent="0.3">
      <c r="A9949" t="s">
        <v>557</v>
      </c>
      <c r="B9949" t="s">
        <v>742</v>
      </c>
      <c r="C9949" t="s">
        <v>673</v>
      </c>
      <c r="D9949" s="230">
        <v>0</v>
      </c>
      <c r="E9949" t="s">
        <v>743</v>
      </c>
    </row>
    <row r="9950" spans="1:5" hidden="1" x14ac:dyDescent="0.3">
      <c r="A9950" t="s">
        <v>557</v>
      </c>
      <c r="B9950" t="s">
        <v>742</v>
      </c>
      <c r="C9950" t="s">
        <v>674</v>
      </c>
      <c r="D9950" s="230">
        <v>0</v>
      </c>
      <c r="E9950" t="s">
        <v>743</v>
      </c>
    </row>
    <row r="9951" spans="1:5" hidden="1" x14ac:dyDescent="0.3">
      <c r="A9951" t="s">
        <v>557</v>
      </c>
      <c r="B9951" t="s">
        <v>742</v>
      </c>
      <c r="C9951" t="s">
        <v>675</v>
      </c>
      <c r="D9951" s="230">
        <v>0</v>
      </c>
      <c r="E9951" t="s">
        <v>743</v>
      </c>
    </row>
    <row r="9952" spans="1:5" hidden="1" x14ac:dyDescent="0.3">
      <c r="A9952" t="s">
        <v>557</v>
      </c>
      <c r="B9952" t="s">
        <v>742</v>
      </c>
      <c r="C9952" t="s">
        <v>676</v>
      </c>
      <c r="D9952" s="230">
        <v>0</v>
      </c>
      <c r="E9952" t="s">
        <v>743</v>
      </c>
    </row>
    <row r="9953" spans="1:5" hidden="1" x14ac:dyDescent="0.3">
      <c r="A9953" t="s">
        <v>557</v>
      </c>
      <c r="B9953" t="s">
        <v>742</v>
      </c>
      <c r="C9953" t="s">
        <v>677</v>
      </c>
      <c r="D9953" s="230">
        <v>0</v>
      </c>
      <c r="E9953" t="s">
        <v>743</v>
      </c>
    </row>
    <row r="9954" spans="1:5" hidden="1" x14ac:dyDescent="0.3">
      <c r="A9954" t="s">
        <v>557</v>
      </c>
      <c r="B9954" t="s">
        <v>742</v>
      </c>
      <c r="C9954" t="s">
        <v>201</v>
      </c>
      <c r="D9954" s="230">
        <v>-13651</v>
      </c>
      <c r="E9954" t="s">
        <v>743</v>
      </c>
    </row>
    <row r="9955" spans="1:5" hidden="1" x14ac:dyDescent="0.3">
      <c r="A9955" t="s">
        <v>557</v>
      </c>
      <c r="B9955" t="s">
        <v>742</v>
      </c>
      <c r="C9955" t="s">
        <v>203</v>
      </c>
      <c r="D9955" s="230">
        <v>-13651</v>
      </c>
      <c r="E9955" t="s">
        <v>743</v>
      </c>
    </row>
    <row r="9956" spans="1:5" hidden="1" x14ac:dyDescent="0.3">
      <c r="A9956" t="s">
        <v>557</v>
      </c>
      <c r="B9956" t="s">
        <v>742</v>
      </c>
      <c r="C9956" t="s">
        <v>678</v>
      </c>
      <c r="D9956" s="230">
        <v>6825.5</v>
      </c>
      <c r="E9956" t="s">
        <v>743</v>
      </c>
    </row>
    <row r="9957" spans="1:5" hidden="1" x14ac:dyDescent="0.3">
      <c r="A9957" t="s">
        <v>557</v>
      </c>
      <c r="B9957" t="s">
        <v>742</v>
      </c>
      <c r="C9957" t="s">
        <v>205</v>
      </c>
      <c r="D9957" s="230">
        <v>-15614.97</v>
      </c>
      <c r="E9957" t="s">
        <v>743</v>
      </c>
    </row>
    <row r="9958" spans="1:5" hidden="1" x14ac:dyDescent="0.3">
      <c r="A9958" t="s">
        <v>557</v>
      </c>
      <c r="B9958" t="s">
        <v>742</v>
      </c>
      <c r="C9958" t="s">
        <v>679</v>
      </c>
      <c r="D9958" s="230">
        <v>-4742.66</v>
      </c>
      <c r="E9958" t="s">
        <v>743</v>
      </c>
    </row>
    <row r="9959" spans="1:5" hidden="1" x14ac:dyDescent="0.3">
      <c r="A9959" t="s">
        <v>557</v>
      </c>
      <c r="B9959" t="s">
        <v>742</v>
      </c>
      <c r="C9959" t="s">
        <v>680</v>
      </c>
      <c r="D9959" s="230">
        <v>0</v>
      </c>
      <c r="E9959" t="s">
        <v>743</v>
      </c>
    </row>
    <row r="9960" spans="1:5" hidden="1" x14ac:dyDescent="0.3">
      <c r="A9960" t="s">
        <v>557</v>
      </c>
      <c r="B9960" t="s">
        <v>742</v>
      </c>
      <c r="C9960" t="s">
        <v>681</v>
      </c>
      <c r="D9960" s="230">
        <v>-5603.81</v>
      </c>
      <c r="E9960" t="s">
        <v>743</v>
      </c>
    </row>
    <row r="9961" spans="1:5" hidden="1" x14ac:dyDescent="0.3">
      <c r="A9961" t="s">
        <v>557</v>
      </c>
      <c r="B9961" t="s">
        <v>742</v>
      </c>
      <c r="C9961" t="s">
        <v>682</v>
      </c>
      <c r="D9961" s="230">
        <v>-2736.15</v>
      </c>
      <c r="E9961" t="s">
        <v>743</v>
      </c>
    </row>
    <row r="9962" spans="1:5" hidden="1" x14ac:dyDescent="0.3">
      <c r="A9962" t="s">
        <v>557</v>
      </c>
      <c r="B9962" t="s">
        <v>742</v>
      </c>
      <c r="C9962" t="s">
        <v>683</v>
      </c>
      <c r="D9962" s="230">
        <v>0</v>
      </c>
      <c r="E9962" t="s">
        <v>743</v>
      </c>
    </row>
    <row r="9963" spans="1:5" hidden="1" x14ac:dyDescent="0.3">
      <c r="A9963" t="s">
        <v>557</v>
      </c>
      <c r="B9963" t="s">
        <v>742</v>
      </c>
      <c r="C9963" t="s">
        <v>684</v>
      </c>
      <c r="D9963" s="230">
        <v>0</v>
      </c>
      <c r="E9963" t="s">
        <v>743</v>
      </c>
    </row>
    <row r="9964" spans="1:5" hidden="1" x14ac:dyDescent="0.3">
      <c r="A9964" t="s">
        <v>557</v>
      </c>
      <c r="B9964" t="s">
        <v>742</v>
      </c>
      <c r="C9964" t="s">
        <v>685</v>
      </c>
      <c r="D9964" s="230">
        <v>0</v>
      </c>
      <c r="E9964" t="s">
        <v>743</v>
      </c>
    </row>
    <row r="9965" spans="1:5" hidden="1" x14ac:dyDescent="0.3">
      <c r="A9965" t="s">
        <v>557</v>
      </c>
      <c r="B9965" t="s">
        <v>742</v>
      </c>
      <c r="C9965" t="s">
        <v>686</v>
      </c>
      <c r="D9965" s="230">
        <v>-300.98</v>
      </c>
      <c r="E9965" t="s">
        <v>743</v>
      </c>
    </row>
    <row r="9966" spans="1:5" hidden="1" x14ac:dyDescent="0.3">
      <c r="A9966" t="s">
        <v>557</v>
      </c>
      <c r="B9966" t="s">
        <v>742</v>
      </c>
      <c r="C9966" t="s">
        <v>687</v>
      </c>
      <c r="D9966" s="230">
        <v>0</v>
      </c>
      <c r="E9966" t="s">
        <v>743</v>
      </c>
    </row>
    <row r="9967" spans="1:5" hidden="1" x14ac:dyDescent="0.3">
      <c r="A9967" t="s">
        <v>557</v>
      </c>
      <c r="B9967" t="s">
        <v>742</v>
      </c>
      <c r="C9967" t="s">
        <v>688</v>
      </c>
      <c r="D9967" s="230">
        <v>0</v>
      </c>
      <c r="E9967" t="s">
        <v>743</v>
      </c>
    </row>
    <row r="9968" spans="1:5" hidden="1" x14ac:dyDescent="0.3">
      <c r="A9968" t="s">
        <v>557</v>
      </c>
      <c r="B9968" t="s">
        <v>742</v>
      </c>
      <c r="C9968" t="s">
        <v>689</v>
      </c>
      <c r="D9968" s="230">
        <v>-204.53</v>
      </c>
      <c r="E9968" t="s">
        <v>743</v>
      </c>
    </row>
    <row r="9969" spans="1:5" hidden="1" x14ac:dyDescent="0.3">
      <c r="A9969" t="s">
        <v>557</v>
      </c>
      <c r="B9969" t="s">
        <v>742</v>
      </c>
      <c r="C9969" t="s">
        <v>690</v>
      </c>
      <c r="D9969" s="230">
        <v>0</v>
      </c>
      <c r="E9969" t="s">
        <v>743</v>
      </c>
    </row>
    <row r="9970" spans="1:5" hidden="1" x14ac:dyDescent="0.3">
      <c r="A9970" t="s">
        <v>557</v>
      </c>
      <c r="B9970" t="s">
        <v>742</v>
      </c>
      <c r="C9970" t="s">
        <v>691</v>
      </c>
      <c r="D9970" s="230">
        <v>0</v>
      </c>
      <c r="E9970" t="s">
        <v>743</v>
      </c>
    </row>
    <row r="9971" spans="1:5" hidden="1" x14ac:dyDescent="0.3">
      <c r="A9971" t="s">
        <v>557</v>
      </c>
      <c r="B9971" t="s">
        <v>742</v>
      </c>
      <c r="C9971" t="s">
        <v>692</v>
      </c>
      <c r="D9971" s="230">
        <v>-2026.84</v>
      </c>
      <c r="E9971" t="s">
        <v>743</v>
      </c>
    </row>
    <row r="9972" spans="1:5" hidden="1" x14ac:dyDescent="0.3">
      <c r="A9972" t="s">
        <v>557</v>
      </c>
      <c r="B9972" t="s">
        <v>742</v>
      </c>
      <c r="C9972" t="s">
        <v>693</v>
      </c>
      <c r="D9972" s="230">
        <v>0</v>
      </c>
      <c r="E9972" t="s">
        <v>743</v>
      </c>
    </row>
    <row r="9973" spans="1:5" hidden="1" x14ac:dyDescent="0.3">
      <c r="A9973" t="s">
        <v>557</v>
      </c>
      <c r="B9973" t="s">
        <v>742</v>
      </c>
      <c r="C9973" t="s">
        <v>694</v>
      </c>
      <c r="D9973" s="230">
        <v>0</v>
      </c>
      <c r="E9973" t="s">
        <v>743</v>
      </c>
    </row>
    <row r="9974" spans="1:5" hidden="1" x14ac:dyDescent="0.3">
      <c r="A9974" t="s">
        <v>557</v>
      </c>
      <c r="B9974" t="s">
        <v>742</v>
      </c>
      <c r="C9974" t="s">
        <v>238</v>
      </c>
      <c r="D9974" s="230">
        <v>-6920.19</v>
      </c>
      <c r="E9974" t="s">
        <v>743</v>
      </c>
    </row>
    <row r="9975" spans="1:5" hidden="1" x14ac:dyDescent="0.3">
      <c r="A9975" t="s">
        <v>557</v>
      </c>
      <c r="B9975" t="s">
        <v>742</v>
      </c>
      <c r="C9975" t="s">
        <v>695</v>
      </c>
      <c r="D9975" s="230">
        <v>-5262.24</v>
      </c>
      <c r="E9975" t="s">
        <v>743</v>
      </c>
    </row>
    <row r="9976" spans="1:5" hidden="1" x14ac:dyDescent="0.3">
      <c r="A9976" t="s">
        <v>557</v>
      </c>
      <c r="B9976" t="s">
        <v>742</v>
      </c>
      <c r="C9976" t="s">
        <v>696</v>
      </c>
      <c r="D9976" s="230">
        <v>-1457.18</v>
      </c>
      <c r="E9976" t="s">
        <v>743</v>
      </c>
    </row>
    <row r="9977" spans="1:5" hidden="1" x14ac:dyDescent="0.3">
      <c r="A9977" t="s">
        <v>557</v>
      </c>
      <c r="B9977" t="s">
        <v>742</v>
      </c>
      <c r="C9977" t="s">
        <v>697</v>
      </c>
      <c r="D9977" s="230">
        <v>0</v>
      </c>
      <c r="E9977" t="s">
        <v>743</v>
      </c>
    </row>
    <row r="9978" spans="1:5" hidden="1" x14ac:dyDescent="0.3">
      <c r="A9978" t="s">
        <v>557</v>
      </c>
      <c r="B9978" t="s">
        <v>742</v>
      </c>
      <c r="C9978" t="s">
        <v>698</v>
      </c>
      <c r="D9978" s="230">
        <v>-200.77</v>
      </c>
      <c r="E9978" t="s">
        <v>743</v>
      </c>
    </row>
    <row r="9979" spans="1:5" hidden="1" x14ac:dyDescent="0.3">
      <c r="A9979" t="s">
        <v>557</v>
      </c>
      <c r="B9979" t="s">
        <v>742</v>
      </c>
      <c r="C9979" t="s">
        <v>699</v>
      </c>
      <c r="D9979" s="230">
        <v>0</v>
      </c>
      <c r="E9979" t="s">
        <v>743</v>
      </c>
    </row>
    <row r="9980" spans="1:5" hidden="1" x14ac:dyDescent="0.3">
      <c r="A9980" t="s">
        <v>557</v>
      </c>
      <c r="B9980" t="s">
        <v>742</v>
      </c>
      <c r="C9980" t="s">
        <v>245</v>
      </c>
      <c r="D9980" s="230">
        <v>-15596.89</v>
      </c>
      <c r="E9980" t="s">
        <v>743</v>
      </c>
    </row>
    <row r="9981" spans="1:5" hidden="1" x14ac:dyDescent="0.3">
      <c r="A9981" t="s">
        <v>557</v>
      </c>
      <c r="B9981" t="s">
        <v>742</v>
      </c>
      <c r="C9981" t="s">
        <v>700</v>
      </c>
      <c r="D9981" s="230">
        <v>-159.97999999999999</v>
      </c>
      <c r="E9981" t="s">
        <v>743</v>
      </c>
    </row>
    <row r="9982" spans="1:5" hidden="1" x14ac:dyDescent="0.3">
      <c r="A9982" t="s">
        <v>557</v>
      </c>
      <c r="B9982" t="s">
        <v>742</v>
      </c>
      <c r="C9982" t="s">
        <v>701</v>
      </c>
      <c r="D9982" s="230">
        <v>-454.47</v>
      </c>
      <c r="E9982" t="s">
        <v>743</v>
      </c>
    </row>
    <row r="9983" spans="1:5" hidden="1" x14ac:dyDescent="0.3">
      <c r="A9983" t="s">
        <v>557</v>
      </c>
      <c r="B9983" t="s">
        <v>742</v>
      </c>
      <c r="C9983" t="s">
        <v>702</v>
      </c>
      <c r="D9983" s="230">
        <v>0</v>
      </c>
      <c r="E9983" t="s">
        <v>743</v>
      </c>
    </row>
    <row r="9984" spans="1:5" hidden="1" x14ac:dyDescent="0.3">
      <c r="A9984" t="s">
        <v>557</v>
      </c>
      <c r="B9984" t="s">
        <v>742</v>
      </c>
      <c r="C9984" t="s">
        <v>703</v>
      </c>
      <c r="D9984" s="230">
        <v>-2700</v>
      </c>
      <c r="E9984" t="s">
        <v>743</v>
      </c>
    </row>
    <row r="9985" spans="1:5" hidden="1" x14ac:dyDescent="0.3">
      <c r="A9985" t="s">
        <v>557</v>
      </c>
      <c r="B9985" t="s">
        <v>742</v>
      </c>
      <c r="C9985" t="s">
        <v>704</v>
      </c>
      <c r="D9985" s="230">
        <v>0</v>
      </c>
      <c r="E9985" t="s">
        <v>743</v>
      </c>
    </row>
    <row r="9986" spans="1:5" hidden="1" x14ac:dyDescent="0.3">
      <c r="A9986" t="s">
        <v>557</v>
      </c>
      <c r="B9986" t="s">
        <v>742</v>
      </c>
      <c r="C9986" t="s">
        <v>705</v>
      </c>
      <c r="D9986" s="230">
        <v>-12282.44</v>
      </c>
      <c r="E9986" t="s">
        <v>743</v>
      </c>
    </row>
    <row r="9987" spans="1:5" hidden="1" x14ac:dyDescent="0.3">
      <c r="A9987" t="s">
        <v>557</v>
      </c>
      <c r="B9987" t="s">
        <v>742</v>
      </c>
      <c r="C9987" t="s">
        <v>706</v>
      </c>
      <c r="D9987" s="230">
        <v>0</v>
      </c>
      <c r="E9987" t="s">
        <v>743</v>
      </c>
    </row>
    <row r="9988" spans="1:5" hidden="1" x14ac:dyDescent="0.3">
      <c r="A9988" t="s">
        <v>557</v>
      </c>
      <c r="B9988" t="s">
        <v>742</v>
      </c>
      <c r="C9988" t="s">
        <v>254</v>
      </c>
      <c r="D9988" s="230">
        <v>-0.3</v>
      </c>
      <c r="E9988" t="s">
        <v>743</v>
      </c>
    </row>
    <row r="9989" spans="1:5" hidden="1" x14ac:dyDescent="0.3">
      <c r="A9989" t="s">
        <v>557</v>
      </c>
      <c r="B9989" t="s">
        <v>742</v>
      </c>
      <c r="C9989" t="s">
        <v>255</v>
      </c>
      <c r="D9989" s="230">
        <v>-0.21</v>
      </c>
      <c r="E9989" t="s">
        <v>743</v>
      </c>
    </row>
    <row r="9990" spans="1:5" hidden="1" x14ac:dyDescent="0.3">
      <c r="A9990" t="s">
        <v>557</v>
      </c>
      <c r="B9990" t="s">
        <v>742</v>
      </c>
      <c r="C9990" t="s">
        <v>256</v>
      </c>
      <c r="D9990" s="230">
        <v>-51664.85</v>
      </c>
      <c r="E9990" t="s">
        <v>743</v>
      </c>
    </row>
    <row r="9991" spans="1:5" hidden="1" x14ac:dyDescent="0.3">
      <c r="A9991" t="s">
        <v>557</v>
      </c>
      <c r="B9991" t="s">
        <v>742</v>
      </c>
      <c r="C9991" t="s">
        <v>257</v>
      </c>
      <c r="D9991" s="230">
        <v>-49002</v>
      </c>
      <c r="E9991" t="s">
        <v>743</v>
      </c>
    </row>
    <row r="9992" spans="1:5" hidden="1" x14ac:dyDescent="0.3">
      <c r="A9992" t="s">
        <v>557</v>
      </c>
      <c r="B9992" t="s">
        <v>742</v>
      </c>
      <c r="C9992" t="s">
        <v>258</v>
      </c>
      <c r="D9992" s="230">
        <v>0</v>
      </c>
      <c r="E9992" t="s">
        <v>743</v>
      </c>
    </row>
    <row r="9993" spans="1:5" hidden="1" x14ac:dyDescent="0.3">
      <c r="A9993" t="s">
        <v>557</v>
      </c>
      <c r="B9993" t="s">
        <v>742</v>
      </c>
      <c r="C9993" t="s">
        <v>259</v>
      </c>
      <c r="D9993" s="230">
        <v>-2436.17</v>
      </c>
      <c r="E9993" t="s">
        <v>743</v>
      </c>
    </row>
    <row r="9994" spans="1:5" hidden="1" x14ac:dyDescent="0.3">
      <c r="A9994" t="s">
        <v>557</v>
      </c>
      <c r="B9994" t="s">
        <v>742</v>
      </c>
      <c r="C9994" t="s">
        <v>260</v>
      </c>
      <c r="D9994" s="230">
        <v>0</v>
      </c>
      <c r="E9994" t="s">
        <v>743</v>
      </c>
    </row>
    <row r="9995" spans="1:5" hidden="1" x14ac:dyDescent="0.3">
      <c r="A9995" t="s">
        <v>557</v>
      </c>
      <c r="B9995" t="s">
        <v>742</v>
      </c>
      <c r="C9995" t="s">
        <v>261</v>
      </c>
      <c r="D9995" s="230">
        <v>0</v>
      </c>
      <c r="E9995" t="s">
        <v>743</v>
      </c>
    </row>
    <row r="9996" spans="1:5" hidden="1" x14ac:dyDescent="0.3">
      <c r="A9996" t="s">
        <v>557</v>
      </c>
      <c r="B9996" t="s">
        <v>742</v>
      </c>
      <c r="C9996" t="s">
        <v>262</v>
      </c>
      <c r="D9996" s="230">
        <v>0</v>
      </c>
      <c r="E9996" t="s">
        <v>743</v>
      </c>
    </row>
    <row r="9997" spans="1:5" hidden="1" x14ac:dyDescent="0.3">
      <c r="A9997" t="s">
        <v>557</v>
      </c>
      <c r="B9997" t="s">
        <v>742</v>
      </c>
      <c r="C9997" t="s">
        <v>263</v>
      </c>
      <c r="D9997" s="230">
        <v>-226.68</v>
      </c>
      <c r="E9997" t="s">
        <v>743</v>
      </c>
    </row>
    <row r="9998" spans="1:5" hidden="1" x14ac:dyDescent="0.3">
      <c r="A9998" t="s">
        <v>557</v>
      </c>
      <c r="B9998" t="s">
        <v>742</v>
      </c>
      <c r="C9998" t="s">
        <v>44</v>
      </c>
      <c r="D9998" s="230">
        <v>-0.13</v>
      </c>
      <c r="E9998" t="s">
        <v>743</v>
      </c>
    </row>
    <row r="9999" spans="1:5" hidden="1" x14ac:dyDescent="0.3">
      <c r="A9999" t="s">
        <v>557</v>
      </c>
      <c r="B9999" t="s">
        <v>742</v>
      </c>
      <c r="C9999" t="s">
        <v>264</v>
      </c>
      <c r="D9999" s="230">
        <v>-31730.61</v>
      </c>
      <c r="E9999" t="s">
        <v>743</v>
      </c>
    </row>
    <row r="10000" spans="1:5" hidden="1" x14ac:dyDescent="0.3">
      <c r="A10000" t="s">
        <v>557</v>
      </c>
      <c r="B10000" t="s">
        <v>742</v>
      </c>
      <c r="C10000" t="s">
        <v>265</v>
      </c>
      <c r="D10000" s="230">
        <v>-4958.03</v>
      </c>
      <c r="E10000" t="s">
        <v>743</v>
      </c>
    </row>
    <row r="10001" spans="1:5" hidden="1" x14ac:dyDescent="0.3">
      <c r="A10001" t="s">
        <v>557</v>
      </c>
      <c r="B10001" t="s">
        <v>742</v>
      </c>
      <c r="C10001" t="s">
        <v>266</v>
      </c>
      <c r="D10001" s="230">
        <v>-8774.4599999999991</v>
      </c>
      <c r="E10001" t="s">
        <v>743</v>
      </c>
    </row>
    <row r="10002" spans="1:5" hidden="1" x14ac:dyDescent="0.3">
      <c r="A10002" t="s">
        <v>557</v>
      </c>
      <c r="B10002" t="s">
        <v>742</v>
      </c>
      <c r="C10002" t="s">
        <v>267</v>
      </c>
      <c r="D10002" s="230">
        <v>-6273.14</v>
      </c>
      <c r="E10002" t="s">
        <v>743</v>
      </c>
    </row>
    <row r="10003" spans="1:5" hidden="1" x14ac:dyDescent="0.3">
      <c r="A10003" t="s">
        <v>557</v>
      </c>
      <c r="B10003" t="s">
        <v>742</v>
      </c>
      <c r="C10003" t="s">
        <v>268</v>
      </c>
      <c r="D10003" s="230">
        <v>-3815.87</v>
      </c>
      <c r="E10003" t="s">
        <v>743</v>
      </c>
    </row>
    <row r="10004" spans="1:5" hidden="1" x14ac:dyDescent="0.3">
      <c r="A10004" t="s">
        <v>557</v>
      </c>
      <c r="B10004" t="s">
        <v>742</v>
      </c>
      <c r="C10004" t="s">
        <v>269</v>
      </c>
      <c r="D10004" s="230">
        <v>-95.05</v>
      </c>
      <c r="E10004" t="s">
        <v>743</v>
      </c>
    </row>
    <row r="10005" spans="1:5" hidden="1" x14ac:dyDescent="0.3">
      <c r="A10005" t="s">
        <v>557</v>
      </c>
      <c r="B10005" t="s">
        <v>742</v>
      </c>
      <c r="C10005" t="s">
        <v>270</v>
      </c>
      <c r="D10005" s="230">
        <v>-550</v>
      </c>
      <c r="E10005" t="s">
        <v>743</v>
      </c>
    </row>
    <row r="10006" spans="1:5" hidden="1" x14ac:dyDescent="0.3">
      <c r="A10006" t="s">
        <v>557</v>
      </c>
      <c r="B10006" t="s">
        <v>742</v>
      </c>
      <c r="C10006" t="s">
        <v>271</v>
      </c>
      <c r="D10006" s="230">
        <v>-997.69</v>
      </c>
      <c r="E10006" t="s">
        <v>743</v>
      </c>
    </row>
    <row r="10007" spans="1:5" hidden="1" x14ac:dyDescent="0.3">
      <c r="A10007" t="s">
        <v>557</v>
      </c>
      <c r="B10007" t="s">
        <v>742</v>
      </c>
      <c r="C10007" t="s">
        <v>272</v>
      </c>
      <c r="D10007" s="230">
        <v>-65.75</v>
      </c>
      <c r="E10007" t="s">
        <v>743</v>
      </c>
    </row>
    <row r="10008" spans="1:5" hidden="1" x14ac:dyDescent="0.3">
      <c r="A10008" t="s">
        <v>557</v>
      </c>
      <c r="B10008" t="s">
        <v>742</v>
      </c>
      <c r="C10008" t="s">
        <v>273</v>
      </c>
      <c r="D10008" s="230">
        <v>0</v>
      </c>
      <c r="E10008" t="s">
        <v>743</v>
      </c>
    </row>
    <row r="10009" spans="1:5" hidden="1" x14ac:dyDescent="0.3">
      <c r="A10009" t="s">
        <v>557</v>
      </c>
      <c r="B10009" t="s">
        <v>742</v>
      </c>
      <c r="C10009" t="s">
        <v>274</v>
      </c>
      <c r="D10009" s="230">
        <v>0</v>
      </c>
      <c r="E10009" t="s">
        <v>743</v>
      </c>
    </row>
    <row r="10010" spans="1:5" hidden="1" x14ac:dyDescent="0.3">
      <c r="A10010" t="s">
        <v>557</v>
      </c>
      <c r="B10010" t="s">
        <v>742</v>
      </c>
      <c r="C10010" t="s">
        <v>275</v>
      </c>
      <c r="D10010" s="230">
        <v>-1012.53</v>
      </c>
      <c r="E10010" t="s">
        <v>743</v>
      </c>
    </row>
    <row r="10011" spans="1:5" hidden="1" x14ac:dyDescent="0.3">
      <c r="A10011" t="s">
        <v>557</v>
      </c>
      <c r="B10011" t="s">
        <v>742</v>
      </c>
      <c r="C10011" t="s">
        <v>276</v>
      </c>
      <c r="D10011" s="230">
        <v>-1521.55</v>
      </c>
      <c r="E10011" t="s">
        <v>743</v>
      </c>
    </row>
    <row r="10012" spans="1:5" hidden="1" x14ac:dyDescent="0.3">
      <c r="A10012" t="s">
        <v>557</v>
      </c>
      <c r="B10012" t="s">
        <v>742</v>
      </c>
      <c r="C10012" t="s">
        <v>277</v>
      </c>
      <c r="D10012" s="230">
        <v>-432</v>
      </c>
      <c r="E10012" t="s">
        <v>743</v>
      </c>
    </row>
    <row r="10013" spans="1:5" hidden="1" x14ac:dyDescent="0.3">
      <c r="A10013" t="s">
        <v>557</v>
      </c>
      <c r="B10013" t="s">
        <v>742</v>
      </c>
      <c r="C10013" t="s">
        <v>278</v>
      </c>
      <c r="D10013" s="230">
        <v>-3234.54</v>
      </c>
      <c r="E10013" t="s">
        <v>743</v>
      </c>
    </row>
    <row r="10014" spans="1:5" hidden="1" x14ac:dyDescent="0.3">
      <c r="A10014" t="s">
        <v>557</v>
      </c>
      <c r="B10014" t="s">
        <v>742</v>
      </c>
      <c r="C10014" t="s">
        <v>44</v>
      </c>
      <c r="D10014" s="230">
        <v>-0.08</v>
      </c>
      <c r="E10014" t="s">
        <v>743</v>
      </c>
    </row>
    <row r="10015" spans="1:5" hidden="1" x14ac:dyDescent="0.3">
      <c r="A10015" t="s">
        <v>557</v>
      </c>
      <c r="B10015" t="s">
        <v>742</v>
      </c>
      <c r="C10015" t="s">
        <v>279</v>
      </c>
      <c r="D10015" s="230">
        <v>-6836.19</v>
      </c>
      <c r="E10015" t="s">
        <v>743</v>
      </c>
    </row>
    <row r="10016" spans="1:5" hidden="1" x14ac:dyDescent="0.3">
      <c r="A10016" t="s">
        <v>557</v>
      </c>
      <c r="B10016" t="s">
        <v>742</v>
      </c>
      <c r="C10016" t="s">
        <v>280</v>
      </c>
      <c r="D10016" s="230">
        <v>0</v>
      </c>
      <c r="E10016" t="s">
        <v>743</v>
      </c>
    </row>
    <row r="10017" spans="1:5" hidden="1" x14ac:dyDescent="0.3">
      <c r="A10017" t="s">
        <v>557</v>
      </c>
      <c r="B10017" t="s">
        <v>742</v>
      </c>
      <c r="C10017" t="s">
        <v>281</v>
      </c>
      <c r="D10017" s="230">
        <v>-429.98</v>
      </c>
      <c r="E10017" t="s">
        <v>743</v>
      </c>
    </row>
    <row r="10018" spans="1:5" hidden="1" x14ac:dyDescent="0.3">
      <c r="A10018" t="s">
        <v>557</v>
      </c>
      <c r="B10018" t="s">
        <v>742</v>
      </c>
      <c r="C10018" t="s">
        <v>282</v>
      </c>
      <c r="D10018" s="230">
        <v>-492.87</v>
      </c>
      <c r="E10018" t="s">
        <v>743</v>
      </c>
    </row>
    <row r="10019" spans="1:5" hidden="1" x14ac:dyDescent="0.3">
      <c r="A10019" t="s">
        <v>557</v>
      </c>
      <c r="B10019" t="s">
        <v>742</v>
      </c>
      <c r="C10019" t="s">
        <v>283</v>
      </c>
      <c r="D10019" s="230">
        <v>-941.93</v>
      </c>
      <c r="E10019" t="s">
        <v>743</v>
      </c>
    </row>
    <row r="10020" spans="1:5" hidden="1" x14ac:dyDescent="0.3">
      <c r="A10020" t="s">
        <v>557</v>
      </c>
      <c r="B10020" t="s">
        <v>742</v>
      </c>
      <c r="C10020" t="s">
        <v>284</v>
      </c>
      <c r="D10020" s="230">
        <v>-3655.37</v>
      </c>
      <c r="E10020" t="s">
        <v>743</v>
      </c>
    </row>
    <row r="10021" spans="1:5" hidden="1" x14ac:dyDescent="0.3">
      <c r="A10021" t="s">
        <v>557</v>
      </c>
      <c r="B10021" t="s">
        <v>742</v>
      </c>
      <c r="C10021" t="s">
        <v>285</v>
      </c>
      <c r="D10021" s="230">
        <v>-389</v>
      </c>
      <c r="E10021" t="s">
        <v>743</v>
      </c>
    </row>
    <row r="10022" spans="1:5" hidden="1" x14ac:dyDescent="0.3">
      <c r="A10022" t="s">
        <v>557</v>
      </c>
      <c r="B10022" t="s">
        <v>742</v>
      </c>
      <c r="C10022" t="s">
        <v>286</v>
      </c>
      <c r="D10022" s="230">
        <v>-927.04</v>
      </c>
      <c r="E10022" t="s">
        <v>743</v>
      </c>
    </row>
    <row r="10023" spans="1:5" hidden="1" x14ac:dyDescent="0.3">
      <c r="A10023" t="s">
        <v>557</v>
      </c>
      <c r="B10023" t="s">
        <v>742</v>
      </c>
      <c r="C10023" t="s">
        <v>44</v>
      </c>
      <c r="D10023" s="230">
        <v>-0.02</v>
      </c>
      <c r="E10023" t="s">
        <v>743</v>
      </c>
    </row>
    <row r="10024" spans="1:5" hidden="1" x14ac:dyDescent="0.3">
      <c r="A10024" t="s">
        <v>557</v>
      </c>
      <c r="B10024" t="s">
        <v>742</v>
      </c>
      <c r="C10024" t="s">
        <v>287</v>
      </c>
      <c r="D10024" s="230">
        <v>-3661.15</v>
      </c>
      <c r="E10024" t="s">
        <v>743</v>
      </c>
    </row>
    <row r="10025" spans="1:5" hidden="1" x14ac:dyDescent="0.3">
      <c r="A10025" t="s">
        <v>557</v>
      </c>
      <c r="B10025" t="s">
        <v>742</v>
      </c>
      <c r="C10025" t="s">
        <v>288</v>
      </c>
      <c r="D10025" s="230">
        <v>-2800</v>
      </c>
      <c r="E10025" t="s">
        <v>743</v>
      </c>
    </row>
    <row r="10026" spans="1:5" hidden="1" x14ac:dyDescent="0.3">
      <c r="A10026" t="s">
        <v>557</v>
      </c>
      <c r="B10026" t="s">
        <v>742</v>
      </c>
      <c r="C10026" t="s">
        <v>289</v>
      </c>
      <c r="D10026" s="230">
        <v>0</v>
      </c>
      <c r="E10026" t="s">
        <v>743</v>
      </c>
    </row>
    <row r="10027" spans="1:5" hidden="1" x14ac:dyDescent="0.3">
      <c r="A10027" t="s">
        <v>557</v>
      </c>
      <c r="B10027" t="s">
        <v>742</v>
      </c>
      <c r="C10027" t="s">
        <v>290</v>
      </c>
      <c r="D10027" s="230">
        <v>0</v>
      </c>
      <c r="E10027" t="s">
        <v>743</v>
      </c>
    </row>
    <row r="10028" spans="1:5" hidden="1" x14ac:dyDescent="0.3">
      <c r="A10028" t="s">
        <v>557</v>
      </c>
      <c r="B10028" t="s">
        <v>742</v>
      </c>
      <c r="C10028" t="s">
        <v>291</v>
      </c>
      <c r="D10028" s="230">
        <v>-206.79</v>
      </c>
      <c r="E10028" t="s">
        <v>743</v>
      </c>
    </row>
    <row r="10029" spans="1:5" hidden="1" x14ac:dyDescent="0.3">
      <c r="A10029" t="s">
        <v>557</v>
      </c>
      <c r="B10029" t="s">
        <v>742</v>
      </c>
      <c r="C10029" t="s">
        <v>292</v>
      </c>
      <c r="D10029" s="230">
        <v>0</v>
      </c>
      <c r="E10029" t="s">
        <v>743</v>
      </c>
    </row>
    <row r="10030" spans="1:5" hidden="1" x14ac:dyDescent="0.3">
      <c r="A10030" t="s">
        <v>557</v>
      </c>
      <c r="B10030" t="s">
        <v>742</v>
      </c>
      <c r="C10030" t="s">
        <v>293</v>
      </c>
      <c r="D10030" s="230">
        <v>-654.36</v>
      </c>
      <c r="E10030" t="s">
        <v>743</v>
      </c>
    </row>
    <row r="10031" spans="1:5" hidden="1" x14ac:dyDescent="0.3">
      <c r="A10031" t="s">
        <v>557</v>
      </c>
      <c r="B10031" t="s">
        <v>742</v>
      </c>
      <c r="C10031" t="s">
        <v>294</v>
      </c>
      <c r="D10031" s="230">
        <v>0</v>
      </c>
      <c r="E10031" t="s">
        <v>743</v>
      </c>
    </row>
    <row r="10032" spans="1:5" hidden="1" x14ac:dyDescent="0.3">
      <c r="A10032" t="s">
        <v>557</v>
      </c>
      <c r="B10032" t="s">
        <v>742</v>
      </c>
      <c r="C10032" t="s">
        <v>295</v>
      </c>
      <c r="D10032" s="230">
        <v>0</v>
      </c>
      <c r="E10032" t="s">
        <v>743</v>
      </c>
    </row>
    <row r="10033" spans="1:5" hidden="1" x14ac:dyDescent="0.3">
      <c r="A10033" t="s">
        <v>557</v>
      </c>
      <c r="B10033" t="s">
        <v>742</v>
      </c>
      <c r="C10033" t="s">
        <v>44</v>
      </c>
      <c r="D10033" s="230">
        <v>-0.01</v>
      </c>
      <c r="E10033" t="s">
        <v>743</v>
      </c>
    </row>
    <row r="10034" spans="1:5" hidden="1" x14ac:dyDescent="0.3">
      <c r="A10034" t="s">
        <v>557</v>
      </c>
      <c r="B10034" t="s">
        <v>742</v>
      </c>
      <c r="C10034" t="s">
        <v>296</v>
      </c>
      <c r="D10034" s="230">
        <v>-7527.53</v>
      </c>
      <c r="E10034" t="s">
        <v>743</v>
      </c>
    </row>
    <row r="10035" spans="1:5" hidden="1" x14ac:dyDescent="0.3">
      <c r="A10035" t="s">
        <v>557</v>
      </c>
      <c r="B10035" t="s">
        <v>742</v>
      </c>
      <c r="C10035" t="s">
        <v>297</v>
      </c>
      <c r="D10035" s="230">
        <v>-4000</v>
      </c>
      <c r="E10035" t="s">
        <v>743</v>
      </c>
    </row>
    <row r="10036" spans="1:5" hidden="1" x14ac:dyDescent="0.3">
      <c r="A10036" t="s">
        <v>557</v>
      </c>
      <c r="B10036" t="s">
        <v>742</v>
      </c>
      <c r="C10036" t="s">
        <v>298</v>
      </c>
      <c r="D10036" s="230">
        <v>-500</v>
      </c>
      <c r="E10036" t="s">
        <v>743</v>
      </c>
    </row>
    <row r="10037" spans="1:5" hidden="1" x14ac:dyDescent="0.3">
      <c r="A10037" t="s">
        <v>557</v>
      </c>
      <c r="B10037" t="s">
        <v>742</v>
      </c>
      <c r="C10037" t="s">
        <v>299</v>
      </c>
      <c r="D10037" s="230">
        <v>0</v>
      </c>
      <c r="E10037" t="s">
        <v>743</v>
      </c>
    </row>
    <row r="10038" spans="1:5" hidden="1" x14ac:dyDescent="0.3">
      <c r="A10038" t="s">
        <v>557</v>
      </c>
      <c r="B10038" t="s">
        <v>742</v>
      </c>
      <c r="C10038" t="s">
        <v>300</v>
      </c>
      <c r="D10038" s="230">
        <v>0</v>
      </c>
      <c r="E10038" t="s">
        <v>743</v>
      </c>
    </row>
    <row r="10039" spans="1:5" hidden="1" x14ac:dyDescent="0.3">
      <c r="A10039" t="s">
        <v>557</v>
      </c>
      <c r="B10039" t="s">
        <v>742</v>
      </c>
      <c r="C10039" t="s">
        <v>301</v>
      </c>
      <c r="D10039" s="230">
        <v>-423.46</v>
      </c>
      <c r="E10039" t="s">
        <v>743</v>
      </c>
    </row>
    <row r="10040" spans="1:5" hidden="1" x14ac:dyDescent="0.3">
      <c r="A10040" t="s">
        <v>557</v>
      </c>
      <c r="B10040" t="s">
        <v>742</v>
      </c>
      <c r="C10040" t="s">
        <v>302</v>
      </c>
      <c r="D10040" s="230">
        <v>0</v>
      </c>
      <c r="E10040" t="s">
        <v>743</v>
      </c>
    </row>
    <row r="10041" spans="1:5" hidden="1" x14ac:dyDescent="0.3">
      <c r="A10041" t="s">
        <v>557</v>
      </c>
      <c r="B10041" t="s">
        <v>742</v>
      </c>
      <c r="C10041" t="s">
        <v>303</v>
      </c>
      <c r="D10041" s="230">
        <v>-400</v>
      </c>
      <c r="E10041" t="s">
        <v>743</v>
      </c>
    </row>
    <row r="10042" spans="1:5" hidden="1" x14ac:dyDescent="0.3">
      <c r="A10042" t="s">
        <v>557</v>
      </c>
      <c r="B10042" t="s">
        <v>742</v>
      </c>
      <c r="C10042" t="s">
        <v>304</v>
      </c>
      <c r="D10042" s="230">
        <v>-957.5</v>
      </c>
      <c r="E10042" t="s">
        <v>743</v>
      </c>
    </row>
    <row r="10043" spans="1:5" hidden="1" x14ac:dyDescent="0.3">
      <c r="A10043" t="s">
        <v>557</v>
      </c>
      <c r="B10043" t="s">
        <v>742</v>
      </c>
      <c r="C10043" t="s">
        <v>305</v>
      </c>
      <c r="D10043" s="230">
        <v>-96.57</v>
      </c>
      <c r="E10043" t="s">
        <v>743</v>
      </c>
    </row>
    <row r="10044" spans="1:5" hidden="1" x14ac:dyDescent="0.3">
      <c r="A10044" t="s">
        <v>557</v>
      </c>
      <c r="B10044" t="s">
        <v>742</v>
      </c>
      <c r="C10044" t="s">
        <v>306</v>
      </c>
      <c r="D10044" s="230">
        <v>0</v>
      </c>
      <c r="E10044" t="s">
        <v>743</v>
      </c>
    </row>
    <row r="10045" spans="1:5" hidden="1" x14ac:dyDescent="0.3">
      <c r="A10045" t="s">
        <v>557</v>
      </c>
      <c r="B10045" t="s">
        <v>742</v>
      </c>
      <c r="C10045" t="s">
        <v>307</v>
      </c>
      <c r="D10045" s="230">
        <v>-1150</v>
      </c>
      <c r="E10045" t="s">
        <v>743</v>
      </c>
    </row>
    <row r="10046" spans="1:5" hidden="1" x14ac:dyDescent="0.3">
      <c r="A10046" t="s">
        <v>557</v>
      </c>
      <c r="B10046" t="s">
        <v>742</v>
      </c>
      <c r="C10046" t="s">
        <v>44</v>
      </c>
      <c r="D10046" s="230">
        <v>-0.02</v>
      </c>
      <c r="E10046" t="s">
        <v>743</v>
      </c>
    </row>
    <row r="10047" spans="1:5" hidden="1" x14ac:dyDescent="0.3">
      <c r="A10047" t="s">
        <v>557</v>
      </c>
      <c r="B10047" t="s">
        <v>742</v>
      </c>
      <c r="C10047" t="s">
        <v>308</v>
      </c>
      <c r="D10047" s="230">
        <v>-5307.88</v>
      </c>
      <c r="E10047" t="s">
        <v>743</v>
      </c>
    </row>
    <row r="10048" spans="1:5" hidden="1" x14ac:dyDescent="0.3">
      <c r="A10048" t="s">
        <v>557</v>
      </c>
      <c r="B10048" t="s">
        <v>742</v>
      </c>
      <c r="C10048" t="s">
        <v>309</v>
      </c>
      <c r="D10048" s="230">
        <v>-2864.7</v>
      </c>
      <c r="E10048" t="s">
        <v>743</v>
      </c>
    </row>
    <row r="10049" spans="1:5" hidden="1" x14ac:dyDescent="0.3">
      <c r="A10049" t="s">
        <v>557</v>
      </c>
      <c r="B10049" t="s">
        <v>742</v>
      </c>
      <c r="C10049" t="s">
        <v>310</v>
      </c>
      <c r="D10049" s="230">
        <v>0</v>
      </c>
      <c r="E10049" t="s">
        <v>743</v>
      </c>
    </row>
    <row r="10050" spans="1:5" hidden="1" x14ac:dyDescent="0.3">
      <c r="A10050" t="s">
        <v>557</v>
      </c>
      <c r="B10050" t="s">
        <v>742</v>
      </c>
      <c r="C10050" t="s">
        <v>311</v>
      </c>
      <c r="D10050" s="230">
        <v>-1550</v>
      </c>
      <c r="E10050" t="s">
        <v>743</v>
      </c>
    </row>
    <row r="10051" spans="1:5" hidden="1" x14ac:dyDescent="0.3">
      <c r="A10051" t="s">
        <v>557</v>
      </c>
      <c r="B10051" t="s">
        <v>742</v>
      </c>
      <c r="C10051" t="s">
        <v>312</v>
      </c>
      <c r="D10051" s="230">
        <v>-185</v>
      </c>
      <c r="E10051" t="s">
        <v>743</v>
      </c>
    </row>
    <row r="10052" spans="1:5" hidden="1" x14ac:dyDescent="0.3">
      <c r="A10052" t="s">
        <v>557</v>
      </c>
      <c r="B10052" t="s">
        <v>742</v>
      </c>
      <c r="C10052" t="s">
        <v>313</v>
      </c>
      <c r="D10052" s="230">
        <v>0</v>
      </c>
      <c r="E10052" t="s">
        <v>743</v>
      </c>
    </row>
    <row r="10053" spans="1:5" hidden="1" x14ac:dyDescent="0.3">
      <c r="A10053" t="s">
        <v>557</v>
      </c>
      <c r="B10053" t="s">
        <v>742</v>
      </c>
      <c r="C10053" t="s">
        <v>314</v>
      </c>
      <c r="D10053" s="230">
        <v>-708.18</v>
      </c>
      <c r="E10053" t="s">
        <v>743</v>
      </c>
    </row>
    <row r="10054" spans="1:5" hidden="1" x14ac:dyDescent="0.3">
      <c r="A10054" t="s">
        <v>557</v>
      </c>
      <c r="B10054" t="s">
        <v>742</v>
      </c>
      <c r="C10054" t="s">
        <v>315</v>
      </c>
      <c r="D10054" s="230">
        <v>0</v>
      </c>
      <c r="E10054" t="s">
        <v>743</v>
      </c>
    </row>
    <row r="10055" spans="1:5" hidden="1" x14ac:dyDescent="0.3">
      <c r="A10055" t="s">
        <v>557</v>
      </c>
      <c r="B10055" t="s">
        <v>742</v>
      </c>
      <c r="C10055" t="s">
        <v>316</v>
      </c>
      <c r="D10055" s="230">
        <v>0</v>
      </c>
      <c r="E10055" t="s">
        <v>743</v>
      </c>
    </row>
    <row r="10056" spans="1:5" hidden="1" x14ac:dyDescent="0.3">
      <c r="A10056" t="s">
        <v>557</v>
      </c>
      <c r="B10056" t="s">
        <v>742</v>
      </c>
      <c r="C10056" t="s">
        <v>317</v>
      </c>
      <c r="D10056" s="230">
        <v>0</v>
      </c>
      <c r="E10056" t="s">
        <v>743</v>
      </c>
    </row>
    <row r="10057" spans="1:5" hidden="1" x14ac:dyDescent="0.3">
      <c r="A10057" t="s">
        <v>557</v>
      </c>
      <c r="B10057" t="s">
        <v>742</v>
      </c>
      <c r="C10057" t="s">
        <v>44</v>
      </c>
      <c r="D10057" s="230">
        <v>-0.01</v>
      </c>
      <c r="E10057" t="s">
        <v>743</v>
      </c>
    </row>
    <row r="10058" spans="1:5" hidden="1" x14ac:dyDescent="0.3">
      <c r="A10058" t="s">
        <v>557</v>
      </c>
      <c r="B10058" t="s">
        <v>742</v>
      </c>
      <c r="C10058" t="s">
        <v>318</v>
      </c>
      <c r="D10058" s="230">
        <v>-2890.87</v>
      </c>
      <c r="E10058" t="s">
        <v>743</v>
      </c>
    </row>
    <row r="10059" spans="1:5" hidden="1" x14ac:dyDescent="0.3">
      <c r="A10059" t="s">
        <v>557</v>
      </c>
      <c r="B10059" t="s">
        <v>742</v>
      </c>
      <c r="C10059" t="s">
        <v>319</v>
      </c>
      <c r="D10059" s="230">
        <v>-2586</v>
      </c>
      <c r="E10059" t="s">
        <v>743</v>
      </c>
    </row>
    <row r="10060" spans="1:5" hidden="1" x14ac:dyDescent="0.3">
      <c r="A10060" t="s">
        <v>557</v>
      </c>
      <c r="B10060" t="s">
        <v>742</v>
      </c>
      <c r="C10060" t="s">
        <v>320</v>
      </c>
      <c r="D10060" s="230">
        <v>-104.87</v>
      </c>
      <c r="E10060" t="s">
        <v>743</v>
      </c>
    </row>
    <row r="10061" spans="1:5" hidden="1" x14ac:dyDescent="0.3">
      <c r="A10061" t="s">
        <v>557</v>
      </c>
      <c r="B10061" t="s">
        <v>742</v>
      </c>
      <c r="C10061" t="s">
        <v>321</v>
      </c>
      <c r="D10061" s="230">
        <v>-200</v>
      </c>
      <c r="E10061" t="s">
        <v>743</v>
      </c>
    </row>
    <row r="10062" spans="1:5" hidden="1" x14ac:dyDescent="0.3">
      <c r="A10062" t="s">
        <v>557</v>
      </c>
      <c r="B10062" t="s">
        <v>742</v>
      </c>
      <c r="C10062" t="s">
        <v>322</v>
      </c>
      <c r="D10062" s="230">
        <v>0</v>
      </c>
      <c r="E10062" t="s">
        <v>743</v>
      </c>
    </row>
    <row r="10063" spans="1:5" hidden="1" x14ac:dyDescent="0.3">
      <c r="A10063" t="s">
        <v>557</v>
      </c>
      <c r="B10063" t="s">
        <v>742</v>
      </c>
      <c r="C10063" t="s">
        <v>44</v>
      </c>
      <c r="D10063" s="230">
        <v>-0.01</v>
      </c>
      <c r="E10063" t="s">
        <v>743</v>
      </c>
    </row>
    <row r="10064" spans="1:5" hidden="1" x14ac:dyDescent="0.3">
      <c r="A10064" t="s">
        <v>557</v>
      </c>
      <c r="B10064" t="s">
        <v>742</v>
      </c>
      <c r="C10064" t="s">
        <v>323</v>
      </c>
      <c r="D10064" s="230">
        <v>-20391.41</v>
      </c>
      <c r="E10064" t="s">
        <v>743</v>
      </c>
    </row>
    <row r="10065" spans="1:5" hidden="1" x14ac:dyDescent="0.3">
      <c r="A10065" t="s">
        <v>557</v>
      </c>
      <c r="B10065" t="s">
        <v>742</v>
      </c>
      <c r="C10065" t="s">
        <v>324</v>
      </c>
      <c r="D10065" s="230">
        <v>0</v>
      </c>
      <c r="E10065" t="s">
        <v>743</v>
      </c>
    </row>
    <row r="10066" spans="1:5" hidden="1" x14ac:dyDescent="0.3">
      <c r="A10066" t="s">
        <v>557</v>
      </c>
      <c r="B10066" t="s">
        <v>742</v>
      </c>
      <c r="C10066" t="s">
        <v>325</v>
      </c>
      <c r="D10066" s="230">
        <v>0</v>
      </c>
      <c r="E10066" t="s">
        <v>743</v>
      </c>
    </row>
    <row r="10067" spans="1:5" hidden="1" x14ac:dyDescent="0.3">
      <c r="A10067" t="s">
        <v>557</v>
      </c>
      <c r="B10067" t="s">
        <v>742</v>
      </c>
      <c r="C10067" t="s">
        <v>326</v>
      </c>
      <c r="D10067" s="230">
        <v>-20391.41</v>
      </c>
      <c r="E10067" t="s">
        <v>743</v>
      </c>
    </row>
    <row r="10068" spans="1:5" hidden="1" x14ac:dyDescent="0.3">
      <c r="A10068" t="s">
        <v>557</v>
      </c>
      <c r="B10068" t="s">
        <v>742</v>
      </c>
      <c r="C10068" t="s">
        <v>44</v>
      </c>
      <c r="D10068" s="230">
        <v>-0.05</v>
      </c>
      <c r="E10068" t="s">
        <v>743</v>
      </c>
    </row>
    <row r="10069" spans="1:5" hidden="1" x14ac:dyDescent="0.3">
      <c r="A10069" t="s">
        <v>557</v>
      </c>
      <c r="B10069" t="s">
        <v>742</v>
      </c>
      <c r="C10069" t="s">
        <v>328</v>
      </c>
      <c r="D10069" s="230">
        <v>-251680.11</v>
      </c>
      <c r="E10069" t="s">
        <v>743</v>
      </c>
    </row>
    <row r="10070" spans="1:5" hidden="1" x14ac:dyDescent="0.3">
      <c r="A10070" t="s">
        <v>557</v>
      </c>
      <c r="B10070" t="s">
        <v>742</v>
      </c>
      <c r="C10070" t="s">
        <v>44</v>
      </c>
      <c r="D10070" s="230">
        <v>-0.62</v>
      </c>
      <c r="E10070" t="s">
        <v>743</v>
      </c>
    </row>
    <row r="10071" spans="1:5" hidden="1" x14ac:dyDescent="0.3">
      <c r="A10071" t="s">
        <v>557</v>
      </c>
      <c r="B10071" t="s">
        <v>742</v>
      </c>
      <c r="C10071" t="s">
        <v>329</v>
      </c>
      <c r="D10071" s="230">
        <v>-50866.89</v>
      </c>
      <c r="E10071" t="s">
        <v>743</v>
      </c>
    </row>
    <row r="10072" spans="1:5" hidden="1" x14ac:dyDescent="0.3">
      <c r="A10072" t="s">
        <v>557</v>
      </c>
      <c r="B10072" t="s">
        <v>742</v>
      </c>
      <c r="C10072" t="s">
        <v>44</v>
      </c>
      <c r="D10072" s="230">
        <v>-0.12</v>
      </c>
      <c r="E10072" t="s">
        <v>743</v>
      </c>
    </row>
    <row r="10073" spans="1:5" hidden="1" x14ac:dyDescent="0.3">
      <c r="A10073" t="s">
        <v>557</v>
      </c>
      <c r="B10073" t="s">
        <v>742</v>
      </c>
      <c r="C10073" t="s">
        <v>330</v>
      </c>
      <c r="D10073" s="230">
        <v>0</v>
      </c>
      <c r="E10073" t="s">
        <v>743</v>
      </c>
    </row>
    <row r="10074" spans="1:5" hidden="1" x14ac:dyDescent="0.3">
      <c r="A10074" t="s">
        <v>557</v>
      </c>
      <c r="B10074" t="s">
        <v>742</v>
      </c>
      <c r="C10074" t="s">
        <v>332</v>
      </c>
      <c r="D10074" s="230">
        <v>-50866.89</v>
      </c>
      <c r="E10074" t="s">
        <v>743</v>
      </c>
    </row>
    <row r="10075" spans="1:5" hidden="1" x14ac:dyDescent="0.3">
      <c r="A10075" t="s">
        <v>557</v>
      </c>
      <c r="B10075" t="s">
        <v>742</v>
      </c>
      <c r="C10075" t="s">
        <v>333</v>
      </c>
      <c r="D10075" s="230">
        <v>6574</v>
      </c>
      <c r="E10075" t="s">
        <v>743</v>
      </c>
    </row>
    <row r="10076" spans="1:5" hidden="1" x14ac:dyDescent="0.3">
      <c r="A10076" t="s">
        <v>557</v>
      </c>
      <c r="B10076" t="s">
        <v>742</v>
      </c>
      <c r="C10076" t="s">
        <v>334</v>
      </c>
      <c r="D10076" s="230">
        <v>51000</v>
      </c>
      <c r="E10076" t="s">
        <v>743</v>
      </c>
    </row>
    <row r="10077" spans="1:5" hidden="1" x14ac:dyDescent="0.3">
      <c r="A10077" t="s">
        <v>557</v>
      </c>
      <c r="B10077" t="s">
        <v>742</v>
      </c>
      <c r="C10077" t="s">
        <v>336</v>
      </c>
      <c r="D10077" s="230">
        <v>0</v>
      </c>
      <c r="E10077" t="s">
        <v>743</v>
      </c>
    </row>
    <row r="10078" spans="1:5" hidden="1" x14ac:dyDescent="0.3">
      <c r="A10078" t="s">
        <v>557</v>
      </c>
      <c r="B10078" t="s">
        <v>742</v>
      </c>
      <c r="C10078" t="s">
        <v>338</v>
      </c>
      <c r="D10078" s="230">
        <v>6707.11</v>
      </c>
      <c r="E10078" t="s">
        <v>743</v>
      </c>
    </row>
    <row r="10079" spans="1:5" hidden="1" x14ac:dyDescent="0.3">
      <c r="A10079" t="s">
        <v>557</v>
      </c>
      <c r="B10079" t="s">
        <v>742</v>
      </c>
      <c r="C10079" t="s">
        <v>339</v>
      </c>
      <c r="D10079" s="230">
        <v>-12817.67</v>
      </c>
      <c r="E10079" t="s">
        <v>743</v>
      </c>
    </row>
    <row r="10080" spans="1:5" hidden="1" x14ac:dyDescent="0.3">
      <c r="A10080" t="s">
        <v>557</v>
      </c>
      <c r="B10080" t="s">
        <v>742</v>
      </c>
      <c r="C10080" t="s">
        <v>342</v>
      </c>
      <c r="D10080" s="230">
        <v>0</v>
      </c>
      <c r="E10080" t="s">
        <v>743</v>
      </c>
    </row>
    <row r="10081" spans="1:5" hidden="1" x14ac:dyDescent="0.3">
      <c r="A10081" t="s">
        <v>557</v>
      </c>
      <c r="B10081" t="s">
        <v>742</v>
      </c>
      <c r="C10081" t="s">
        <v>344</v>
      </c>
      <c r="D10081" s="230">
        <v>-8591.8700000000008</v>
      </c>
      <c r="E10081" t="s">
        <v>743</v>
      </c>
    </row>
    <row r="10082" spans="1:5" hidden="1" x14ac:dyDescent="0.3">
      <c r="A10082" t="s">
        <v>557</v>
      </c>
      <c r="B10082" t="s">
        <v>742</v>
      </c>
      <c r="C10082" t="s">
        <v>345</v>
      </c>
      <c r="D10082" s="230">
        <v>0</v>
      </c>
      <c r="E10082" t="s">
        <v>743</v>
      </c>
    </row>
    <row r="10083" spans="1:5" hidden="1" x14ac:dyDescent="0.3">
      <c r="A10083" t="s">
        <v>557</v>
      </c>
      <c r="B10083" t="s">
        <v>742</v>
      </c>
      <c r="C10083" t="s">
        <v>346</v>
      </c>
      <c r="D10083" s="230">
        <v>-4225.8</v>
      </c>
      <c r="E10083" t="s">
        <v>743</v>
      </c>
    </row>
    <row r="10084" spans="1:5" hidden="1" x14ac:dyDescent="0.3">
      <c r="A10084" t="s">
        <v>557</v>
      </c>
      <c r="B10084" t="s">
        <v>742</v>
      </c>
      <c r="C10084" t="s">
        <v>347</v>
      </c>
      <c r="D10084" s="230">
        <v>-6110.56</v>
      </c>
      <c r="E10084" t="s">
        <v>743</v>
      </c>
    </row>
    <row r="10085" spans="1:5" hidden="1" x14ac:dyDescent="0.3">
      <c r="A10085" t="s">
        <v>557</v>
      </c>
      <c r="B10085" t="s">
        <v>742</v>
      </c>
      <c r="C10085" t="s">
        <v>44</v>
      </c>
      <c r="D10085" s="230">
        <v>-0.01</v>
      </c>
      <c r="E10085" t="s">
        <v>743</v>
      </c>
    </row>
    <row r="10086" spans="1:5" hidden="1" x14ac:dyDescent="0.3">
      <c r="A10086" t="s">
        <v>557</v>
      </c>
      <c r="B10086" t="s">
        <v>742</v>
      </c>
      <c r="C10086" t="s">
        <v>348</v>
      </c>
      <c r="D10086" s="230">
        <v>-5000</v>
      </c>
      <c r="E10086" t="s">
        <v>743</v>
      </c>
    </row>
    <row r="10087" spans="1:5" hidden="1" x14ac:dyDescent="0.3">
      <c r="A10087" t="s">
        <v>557</v>
      </c>
      <c r="B10087" t="s">
        <v>742</v>
      </c>
      <c r="C10087" t="s">
        <v>707</v>
      </c>
      <c r="D10087" s="230">
        <v>0</v>
      </c>
      <c r="E10087" t="s">
        <v>743</v>
      </c>
    </row>
    <row r="10088" spans="1:5" hidden="1" x14ac:dyDescent="0.3">
      <c r="A10088" t="s">
        <v>557</v>
      </c>
      <c r="B10088" t="s">
        <v>742</v>
      </c>
      <c r="C10088" t="s">
        <v>350</v>
      </c>
      <c r="D10088" s="230">
        <v>-5000</v>
      </c>
      <c r="E10088" t="s">
        <v>743</v>
      </c>
    </row>
    <row r="10089" spans="1:5" hidden="1" x14ac:dyDescent="0.3">
      <c r="A10089" t="s">
        <v>557</v>
      </c>
      <c r="B10089" t="s">
        <v>742</v>
      </c>
      <c r="C10089" t="s">
        <v>351</v>
      </c>
      <c r="D10089" s="230">
        <v>0</v>
      </c>
      <c r="E10089" t="s">
        <v>743</v>
      </c>
    </row>
    <row r="10090" spans="1:5" hidden="1" x14ac:dyDescent="0.3">
      <c r="A10090" t="s">
        <v>557</v>
      </c>
      <c r="B10090" t="s">
        <v>742</v>
      </c>
      <c r="C10090" t="s">
        <v>352</v>
      </c>
      <c r="D10090" s="230">
        <v>0</v>
      </c>
      <c r="E10090" t="s">
        <v>743</v>
      </c>
    </row>
    <row r="10091" spans="1:5" hidden="1" x14ac:dyDescent="0.3">
      <c r="A10091" t="s">
        <v>557</v>
      </c>
      <c r="B10091" t="s">
        <v>742</v>
      </c>
      <c r="C10091" t="s">
        <v>353</v>
      </c>
      <c r="D10091" s="230">
        <v>0</v>
      </c>
      <c r="E10091" t="s">
        <v>743</v>
      </c>
    </row>
    <row r="10092" spans="1:5" hidden="1" x14ac:dyDescent="0.3">
      <c r="A10092" t="s">
        <v>557</v>
      </c>
      <c r="B10092" t="s">
        <v>742</v>
      </c>
      <c r="C10092" t="s">
        <v>354</v>
      </c>
      <c r="D10092" s="230">
        <v>0</v>
      </c>
      <c r="E10092" t="s">
        <v>743</v>
      </c>
    </row>
    <row r="10093" spans="1:5" hidden="1" x14ac:dyDescent="0.3">
      <c r="A10093" t="s">
        <v>557</v>
      </c>
      <c r="B10093" t="s">
        <v>742</v>
      </c>
      <c r="C10093" t="s">
        <v>355</v>
      </c>
      <c r="D10093" s="230">
        <v>0</v>
      </c>
      <c r="E10093" t="s">
        <v>743</v>
      </c>
    </row>
    <row r="10094" spans="1:5" hidden="1" x14ac:dyDescent="0.3">
      <c r="A10094" t="s">
        <v>557</v>
      </c>
      <c r="B10094" t="s">
        <v>742</v>
      </c>
      <c r="C10094" t="s">
        <v>356</v>
      </c>
      <c r="D10094" s="230">
        <v>0</v>
      </c>
      <c r="E10094" t="s">
        <v>743</v>
      </c>
    </row>
    <row r="10095" spans="1:5" hidden="1" x14ac:dyDescent="0.3">
      <c r="A10095" t="s">
        <v>557</v>
      </c>
      <c r="B10095" t="s">
        <v>742</v>
      </c>
      <c r="C10095" t="s">
        <v>357</v>
      </c>
      <c r="D10095" s="230">
        <v>0</v>
      </c>
      <c r="E10095" t="s">
        <v>743</v>
      </c>
    </row>
    <row r="10096" spans="1:5" hidden="1" x14ac:dyDescent="0.3">
      <c r="A10096" t="s">
        <v>557</v>
      </c>
      <c r="B10096" t="s">
        <v>742</v>
      </c>
      <c r="C10096" t="s">
        <v>358</v>
      </c>
      <c r="D10096" s="230">
        <v>0</v>
      </c>
      <c r="E10096" t="s">
        <v>743</v>
      </c>
    </row>
    <row r="10097" spans="1:5" hidden="1" x14ac:dyDescent="0.3">
      <c r="A10097" t="s">
        <v>557</v>
      </c>
      <c r="B10097" t="s">
        <v>742</v>
      </c>
      <c r="C10097" t="s">
        <v>359</v>
      </c>
      <c r="D10097" s="230">
        <v>0</v>
      </c>
      <c r="E10097" t="s">
        <v>743</v>
      </c>
    </row>
    <row r="10098" spans="1:5" hidden="1" x14ac:dyDescent="0.3">
      <c r="A10098" t="s">
        <v>557</v>
      </c>
      <c r="B10098" t="s">
        <v>742</v>
      </c>
      <c r="C10098" t="s">
        <v>360</v>
      </c>
      <c r="D10098" s="230">
        <v>0</v>
      </c>
      <c r="E10098" t="s">
        <v>743</v>
      </c>
    </row>
    <row r="10099" spans="1:5" hidden="1" x14ac:dyDescent="0.3">
      <c r="A10099" t="s">
        <v>557</v>
      </c>
      <c r="B10099" t="s">
        <v>742</v>
      </c>
      <c r="C10099" t="s">
        <v>361</v>
      </c>
      <c r="D10099" s="230">
        <v>0</v>
      </c>
      <c r="E10099" t="s">
        <v>743</v>
      </c>
    </row>
    <row r="10100" spans="1:5" hidden="1" x14ac:dyDescent="0.3">
      <c r="A10100" t="s">
        <v>557</v>
      </c>
      <c r="B10100" t="s">
        <v>742</v>
      </c>
      <c r="C10100" t="s">
        <v>362</v>
      </c>
      <c r="D10100" s="230">
        <v>0</v>
      </c>
      <c r="E10100" t="s">
        <v>743</v>
      </c>
    </row>
    <row r="10101" spans="1:5" hidden="1" x14ac:dyDescent="0.3">
      <c r="A10101" t="s">
        <v>557</v>
      </c>
      <c r="B10101" t="s">
        <v>742</v>
      </c>
      <c r="C10101" t="s">
        <v>363</v>
      </c>
      <c r="D10101" s="230">
        <v>0</v>
      </c>
      <c r="E10101" t="s">
        <v>743</v>
      </c>
    </row>
    <row r="10102" spans="1:5" hidden="1" x14ac:dyDescent="0.3">
      <c r="A10102" t="s">
        <v>557</v>
      </c>
      <c r="B10102" t="s">
        <v>742</v>
      </c>
      <c r="C10102" t="s">
        <v>364</v>
      </c>
      <c r="D10102" s="230">
        <v>0</v>
      </c>
      <c r="E10102" t="s">
        <v>743</v>
      </c>
    </row>
    <row r="10103" spans="1:5" hidden="1" x14ac:dyDescent="0.3">
      <c r="A10103" t="s">
        <v>557</v>
      </c>
      <c r="B10103" t="s">
        <v>742</v>
      </c>
      <c r="C10103" t="s">
        <v>365</v>
      </c>
      <c r="D10103" s="230">
        <v>-15500</v>
      </c>
      <c r="E10103" t="s">
        <v>743</v>
      </c>
    </row>
    <row r="10104" spans="1:5" hidden="1" x14ac:dyDescent="0.3">
      <c r="A10104" t="s">
        <v>557</v>
      </c>
      <c r="B10104" t="s">
        <v>742</v>
      </c>
      <c r="C10104" t="s">
        <v>366</v>
      </c>
      <c r="D10104" s="230">
        <v>0</v>
      </c>
      <c r="E10104" t="s">
        <v>743</v>
      </c>
    </row>
    <row r="10105" spans="1:5" hidden="1" x14ac:dyDescent="0.3">
      <c r="A10105" t="s">
        <v>557</v>
      </c>
      <c r="B10105" t="s">
        <v>742</v>
      </c>
      <c r="C10105" t="s">
        <v>367</v>
      </c>
      <c r="D10105" s="230">
        <v>0</v>
      </c>
      <c r="E10105" t="s">
        <v>743</v>
      </c>
    </row>
    <row r="10106" spans="1:5" hidden="1" x14ac:dyDescent="0.3">
      <c r="A10106" t="s">
        <v>557</v>
      </c>
      <c r="B10106" t="s">
        <v>742</v>
      </c>
      <c r="C10106" t="s">
        <v>368</v>
      </c>
      <c r="D10106" s="230">
        <v>0</v>
      </c>
      <c r="E10106" t="s">
        <v>743</v>
      </c>
    </row>
    <row r="10107" spans="1:5" hidden="1" x14ac:dyDescent="0.3">
      <c r="A10107" t="s">
        <v>557</v>
      </c>
      <c r="B10107" t="s">
        <v>742</v>
      </c>
      <c r="C10107" t="s">
        <v>369</v>
      </c>
      <c r="D10107" s="230">
        <v>-15500</v>
      </c>
      <c r="E10107" t="s">
        <v>743</v>
      </c>
    </row>
    <row r="10108" spans="1:5" hidden="1" x14ac:dyDescent="0.3">
      <c r="A10108" t="s">
        <v>557</v>
      </c>
      <c r="B10108" t="s">
        <v>742</v>
      </c>
      <c r="C10108" t="s">
        <v>370</v>
      </c>
      <c r="D10108" s="230">
        <v>0</v>
      </c>
      <c r="E10108" t="s">
        <v>743</v>
      </c>
    </row>
    <row r="10109" spans="1:5" hidden="1" x14ac:dyDescent="0.3">
      <c r="A10109" t="s">
        <v>557</v>
      </c>
      <c r="B10109" t="s">
        <v>742</v>
      </c>
      <c r="C10109" t="s">
        <v>371</v>
      </c>
      <c r="D10109" s="230">
        <v>0</v>
      </c>
      <c r="E10109" t="s">
        <v>743</v>
      </c>
    </row>
    <row r="10110" spans="1:5" hidden="1" x14ac:dyDescent="0.3">
      <c r="A10110" t="s">
        <v>557</v>
      </c>
      <c r="B10110" t="s">
        <v>742</v>
      </c>
      <c r="C10110" t="s">
        <v>372</v>
      </c>
      <c r="D10110" s="230">
        <v>0</v>
      </c>
      <c r="E10110" t="s">
        <v>743</v>
      </c>
    </row>
    <row r="10111" spans="1:5" hidden="1" x14ac:dyDescent="0.3">
      <c r="A10111" t="s">
        <v>557</v>
      </c>
      <c r="B10111" t="s">
        <v>742</v>
      </c>
      <c r="C10111" t="s">
        <v>373</v>
      </c>
      <c r="D10111" s="230">
        <v>-20500</v>
      </c>
      <c r="E10111" t="s">
        <v>743</v>
      </c>
    </row>
    <row r="10112" spans="1:5" hidden="1" x14ac:dyDescent="0.3">
      <c r="A10112" t="s">
        <v>557</v>
      </c>
      <c r="B10112" t="s">
        <v>742</v>
      </c>
      <c r="C10112" t="s">
        <v>374</v>
      </c>
      <c r="D10112" s="230">
        <v>-26610.560000000001</v>
      </c>
      <c r="E10112" t="s">
        <v>743</v>
      </c>
    </row>
    <row r="10113" spans="1:5" hidden="1" x14ac:dyDescent="0.3">
      <c r="A10113" t="s">
        <v>557</v>
      </c>
      <c r="B10113" t="s">
        <v>742</v>
      </c>
      <c r="C10113" t="s">
        <v>708</v>
      </c>
      <c r="D10113" s="230">
        <v>-26610.560000000001</v>
      </c>
      <c r="E10113" t="s">
        <v>743</v>
      </c>
    </row>
    <row r="10114" spans="1:5" hidden="1" x14ac:dyDescent="0.3">
      <c r="A10114" t="s">
        <v>557</v>
      </c>
      <c r="B10114" t="s">
        <v>744</v>
      </c>
      <c r="C10114" t="s">
        <v>11</v>
      </c>
      <c r="D10114" s="230">
        <v>498918.54</v>
      </c>
      <c r="E10114" t="s">
        <v>745</v>
      </c>
    </row>
    <row r="10115" spans="1:5" hidden="1" x14ac:dyDescent="0.3">
      <c r="A10115" t="s">
        <v>557</v>
      </c>
      <c r="B10115" t="s">
        <v>744</v>
      </c>
      <c r="C10115" t="s">
        <v>13</v>
      </c>
      <c r="D10115" s="230">
        <v>254931.7</v>
      </c>
      <c r="E10115" t="s">
        <v>745</v>
      </c>
    </row>
    <row r="10116" spans="1:5" hidden="1" x14ac:dyDescent="0.3">
      <c r="A10116" t="s">
        <v>557</v>
      </c>
      <c r="B10116" t="s">
        <v>744</v>
      </c>
      <c r="C10116" t="s">
        <v>16</v>
      </c>
      <c r="D10116" s="230">
        <v>113748.6</v>
      </c>
      <c r="E10116" t="s">
        <v>745</v>
      </c>
    </row>
    <row r="10117" spans="1:5" hidden="1" x14ac:dyDescent="0.3">
      <c r="A10117" t="s">
        <v>557</v>
      </c>
      <c r="B10117" t="s">
        <v>744</v>
      </c>
      <c r="C10117" t="s">
        <v>17</v>
      </c>
      <c r="D10117" s="230">
        <v>6980</v>
      </c>
      <c r="E10117" t="s">
        <v>745</v>
      </c>
    </row>
    <row r="10118" spans="1:5" hidden="1" x14ac:dyDescent="0.3">
      <c r="A10118" t="s">
        <v>557</v>
      </c>
      <c r="B10118" t="s">
        <v>744</v>
      </c>
      <c r="C10118" t="s">
        <v>18</v>
      </c>
      <c r="D10118" s="230">
        <v>0</v>
      </c>
      <c r="E10118" t="s">
        <v>745</v>
      </c>
    </row>
    <row r="10119" spans="1:5" hidden="1" x14ac:dyDescent="0.3">
      <c r="A10119" t="s">
        <v>557</v>
      </c>
      <c r="B10119" t="s">
        <v>744</v>
      </c>
      <c r="C10119" t="s">
        <v>20</v>
      </c>
      <c r="D10119" s="230">
        <v>45917.78</v>
      </c>
      <c r="E10119" t="s">
        <v>745</v>
      </c>
    </row>
    <row r="10120" spans="1:5" hidden="1" x14ac:dyDescent="0.3">
      <c r="A10120" t="s">
        <v>557</v>
      </c>
      <c r="B10120" t="s">
        <v>744</v>
      </c>
      <c r="C10120" t="s">
        <v>23</v>
      </c>
      <c r="D10120" s="230">
        <v>53437.72</v>
      </c>
      <c r="E10120" t="s">
        <v>745</v>
      </c>
    </row>
    <row r="10121" spans="1:5" hidden="1" x14ac:dyDescent="0.3">
      <c r="A10121" t="s">
        <v>557</v>
      </c>
      <c r="B10121" t="s">
        <v>744</v>
      </c>
      <c r="C10121" t="s">
        <v>25</v>
      </c>
      <c r="D10121" s="230">
        <v>0</v>
      </c>
      <c r="E10121" t="s">
        <v>745</v>
      </c>
    </row>
    <row r="10122" spans="1:5" hidden="1" x14ac:dyDescent="0.3">
      <c r="A10122" t="s">
        <v>557</v>
      </c>
      <c r="B10122" t="s">
        <v>744</v>
      </c>
      <c r="C10122" t="s">
        <v>26</v>
      </c>
      <c r="D10122" s="230">
        <v>5200</v>
      </c>
      <c r="E10122" t="s">
        <v>745</v>
      </c>
    </row>
    <row r="10123" spans="1:5" hidden="1" x14ac:dyDescent="0.3">
      <c r="A10123" t="s">
        <v>557</v>
      </c>
      <c r="B10123" t="s">
        <v>744</v>
      </c>
      <c r="C10123" t="s">
        <v>27</v>
      </c>
      <c r="D10123" s="230">
        <v>0</v>
      </c>
      <c r="E10123" t="s">
        <v>745</v>
      </c>
    </row>
    <row r="10124" spans="1:5" hidden="1" x14ac:dyDescent="0.3">
      <c r="A10124" t="s">
        <v>557</v>
      </c>
      <c r="B10124" t="s">
        <v>744</v>
      </c>
      <c r="C10124" t="s">
        <v>29</v>
      </c>
      <c r="D10124" s="230">
        <v>18297.740000000002</v>
      </c>
      <c r="E10124" t="s">
        <v>745</v>
      </c>
    </row>
    <row r="10125" spans="1:5" hidden="1" x14ac:dyDescent="0.3">
      <c r="A10125" t="s">
        <v>557</v>
      </c>
      <c r="B10125" t="s">
        <v>744</v>
      </c>
      <c r="C10125" t="s">
        <v>31</v>
      </c>
      <c r="D10125" s="230">
        <v>405</v>
      </c>
      <c r="E10125" t="s">
        <v>745</v>
      </c>
    </row>
    <row r="10126" spans="1:5" hidden="1" x14ac:dyDescent="0.3">
      <c r="A10126" t="s">
        <v>557</v>
      </c>
      <c r="B10126" t="s">
        <v>744</v>
      </c>
      <c r="C10126" t="s">
        <v>34</v>
      </c>
      <c r="D10126" s="230">
        <v>-13878.55</v>
      </c>
      <c r="E10126" t="s">
        <v>745</v>
      </c>
    </row>
    <row r="10127" spans="1:5" hidden="1" x14ac:dyDescent="0.3">
      <c r="A10127" t="s">
        <v>557</v>
      </c>
      <c r="B10127" t="s">
        <v>744</v>
      </c>
      <c r="C10127" t="s">
        <v>38</v>
      </c>
      <c r="D10127" s="230">
        <v>-1547.99</v>
      </c>
      <c r="E10127" t="s">
        <v>745</v>
      </c>
    </row>
    <row r="10128" spans="1:5" hidden="1" x14ac:dyDescent="0.3">
      <c r="A10128" t="s">
        <v>557</v>
      </c>
      <c r="B10128" t="s">
        <v>744</v>
      </c>
      <c r="C10128" t="s">
        <v>40</v>
      </c>
      <c r="D10128" s="230">
        <v>-10060.719999999999</v>
      </c>
      <c r="E10128" t="s">
        <v>745</v>
      </c>
    </row>
    <row r="10129" spans="1:5" hidden="1" x14ac:dyDescent="0.3">
      <c r="A10129" t="s">
        <v>557</v>
      </c>
      <c r="B10129" t="s">
        <v>744</v>
      </c>
      <c r="C10129" t="s">
        <v>42</v>
      </c>
      <c r="D10129" s="230">
        <v>-2269.83</v>
      </c>
      <c r="E10129" t="s">
        <v>745</v>
      </c>
    </row>
    <row r="10130" spans="1:5" hidden="1" x14ac:dyDescent="0.3">
      <c r="A10130" t="s">
        <v>557</v>
      </c>
      <c r="B10130" t="s">
        <v>744</v>
      </c>
      <c r="C10130" t="s">
        <v>44</v>
      </c>
      <c r="D10130" s="230">
        <v>-0.03</v>
      </c>
      <c r="E10130" t="s">
        <v>745</v>
      </c>
    </row>
    <row r="10131" spans="1:5" hidden="1" x14ac:dyDescent="0.3">
      <c r="A10131" t="s">
        <v>557</v>
      </c>
      <c r="B10131" t="s">
        <v>744</v>
      </c>
      <c r="C10131" t="s">
        <v>45</v>
      </c>
      <c r="D10131" s="230">
        <v>-33630.11</v>
      </c>
      <c r="E10131" t="s">
        <v>745</v>
      </c>
    </row>
    <row r="10132" spans="1:5" hidden="1" x14ac:dyDescent="0.3">
      <c r="A10132" t="s">
        <v>557</v>
      </c>
      <c r="B10132" t="s">
        <v>744</v>
      </c>
      <c r="C10132" t="s">
        <v>46</v>
      </c>
      <c r="D10132" s="230">
        <v>-15753.48</v>
      </c>
      <c r="E10132" t="s">
        <v>745</v>
      </c>
    </row>
    <row r="10133" spans="1:5" hidden="1" x14ac:dyDescent="0.3">
      <c r="A10133" t="s">
        <v>557</v>
      </c>
      <c r="B10133" t="s">
        <v>744</v>
      </c>
      <c r="C10133" t="s">
        <v>48</v>
      </c>
      <c r="D10133" s="230">
        <v>-17616.63</v>
      </c>
      <c r="E10133" t="s">
        <v>745</v>
      </c>
    </row>
    <row r="10134" spans="1:5" hidden="1" x14ac:dyDescent="0.3">
      <c r="A10134" t="s">
        <v>557</v>
      </c>
      <c r="B10134" t="s">
        <v>744</v>
      </c>
      <c r="C10134" t="s">
        <v>49</v>
      </c>
      <c r="D10134" s="230">
        <v>-260</v>
      </c>
      <c r="E10134" t="s">
        <v>745</v>
      </c>
    </row>
    <row r="10135" spans="1:5" hidden="1" x14ac:dyDescent="0.3">
      <c r="A10135" t="s">
        <v>557</v>
      </c>
      <c r="B10135" t="s">
        <v>744</v>
      </c>
      <c r="C10135" t="s">
        <v>50</v>
      </c>
      <c r="D10135" s="230">
        <v>451409.87</v>
      </c>
      <c r="E10135" t="s">
        <v>745</v>
      </c>
    </row>
    <row r="10136" spans="1:5" hidden="1" x14ac:dyDescent="0.3">
      <c r="A10136" t="s">
        <v>557</v>
      </c>
      <c r="B10136" t="s">
        <v>744</v>
      </c>
      <c r="C10136" t="s">
        <v>51</v>
      </c>
      <c r="D10136" s="230">
        <v>-134223.79999999999</v>
      </c>
      <c r="E10136" t="s">
        <v>745</v>
      </c>
    </row>
    <row r="10137" spans="1:5" hidden="1" x14ac:dyDescent="0.3">
      <c r="A10137" t="s">
        <v>557</v>
      </c>
      <c r="B10137" t="s">
        <v>744</v>
      </c>
      <c r="C10137" t="s">
        <v>52</v>
      </c>
      <c r="D10137" s="230">
        <v>-100299.41</v>
      </c>
      <c r="E10137" t="s">
        <v>745</v>
      </c>
    </row>
    <row r="10138" spans="1:5" hidden="1" x14ac:dyDescent="0.3">
      <c r="A10138" t="s">
        <v>557</v>
      </c>
      <c r="B10138" t="s">
        <v>744</v>
      </c>
      <c r="C10138" t="s">
        <v>53</v>
      </c>
      <c r="D10138" s="230">
        <v>-31865.13</v>
      </c>
      <c r="E10138" t="s">
        <v>745</v>
      </c>
    </row>
    <row r="10139" spans="1:5" hidden="1" x14ac:dyDescent="0.3">
      <c r="A10139" t="s">
        <v>557</v>
      </c>
      <c r="B10139" t="s">
        <v>744</v>
      </c>
      <c r="C10139" t="s">
        <v>54</v>
      </c>
      <c r="D10139" s="230">
        <v>-2059.2600000000002</v>
      </c>
      <c r="E10139" t="s">
        <v>745</v>
      </c>
    </row>
    <row r="10140" spans="1:5" hidden="1" x14ac:dyDescent="0.3">
      <c r="A10140" t="s">
        <v>557</v>
      </c>
      <c r="B10140" t="s">
        <v>744</v>
      </c>
      <c r="C10140" t="s">
        <v>23</v>
      </c>
      <c r="D10140" s="230">
        <v>0</v>
      </c>
      <c r="E10140" t="s">
        <v>745</v>
      </c>
    </row>
    <row r="10141" spans="1:5" hidden="1" x14ac:dyDescent="0.3">
      <c r="A10141" t="s">
        <v>557</v>
      </c>
      <c r="B10141" t="s">
        <v>744</v>
      </c>
      <c r="C10141" t="s">
        <v>44</v>
      </c>
      <c r="D10141" s="230">
        <v>-0.3</v>
      </c>
      <c r="E10141" t="s">
        <v>745</v>
      </c>
    </row>
    <row r="10142" spans="1:5" hidden="1" x14ac:dyDescent="0.3">
      <c r="A10142" t="s">
        <v>557</v>
      </c>
      <c r="B10142" t="s">
        <v>744</v>
      </c>
      <c r="C10142" t="s">
        <v>55</v>
      </c>
      <c r="D10142" s="230">
        <v>-0.3</v>
      </c>
      <c r="E10142" t="s">
        <v>745</v>
      </c>
    </row>
    <row r="10143" spans="1:5" hidden="1" x14ac:dyDescent="0.3">
      <c r="A10143" t="s">
        <v>557</v>
      </c>
      <c r="B10143" t="s">
        <v>744</v>
      </c>
      <c r="C10143" t="s">
        <v>56</v>
      </c>
      <c r="D10143" s="230">
        <v>-6774.8</v>
      </c>
      <c r="E10143" t="s">
        <v>745</v>
      </c>
    </row>
    <row r="10144" spans="1:5" hidden="1" x14ac:dyDescent="0.3">
      <c r="A10144" t="s">
        <v>557</v>
      </c>
      <c r="B10144" t="s">
        <v>744</v>
      </c>
      <c r="C10144" t="s">
        <v>57</v>
      </c>
      <c r="D10144" s="230">
        <v>-4774.8</v>
      </c>
      <c r="E10144" t="s">
        <v>745</v>
      </c>
    </row>
    <row r="10145" spans="1:5" hidden="1" x14ac:dyDescent="0.3">
      <c r="A10145" t="s">
        <v>557</v>
      </c>
      <c r="B10145" t="s">
        <v>744</v>
      </c>
      <c r="C10145" t="s">
        <v>58</v>
      </c>
      <c r="D10145" s="230">
        <v>-4550</v>
      </c>
      <c r="E10145" t="s">
        <v>745</v>
      </c>
    </row>
    <row r="10146" spans="1:5" hidden="1" x14ac:dyDescent="0.3">
      <c r="A10146" t="s">
        <v>557</v>
      </c>
      <c r="B10146" t="s">
        <v>744</v>
      </c>
      <c r="C10146" t="s">
        <v>59</v>
      </c>
      <c r="D10146" s="230">
        <v>-224.8</v>
      </c>
      <c r="E10146" t="s">
        <v>745</v>
      </c>
    </row>
    <row r="10147" spans="1:5" hidden="1" x14ac:dyDescent="0.3">
      <c r="A10147" t="s">
        <v>557</v>
      </c>
      <c r="B10147" t="s">
        <v>744</v>
      </c>
      <c r="C10147" t="s">
        <v>61</v>
      </c>
      <c r="D10147" s="230">
        <v>0</v>
      </c>
      <c r="E10147" t="s">
        <v>745</v>
      </c>
    </row>
    <row r="10148" spans="1:5" hidden="1" x14ac:dyDescent="0.3">
      <c r="A10148" t="s">
        <v>557</v>
      </c>
      <c r="B10148" t="s">
        <v>744</v>
      </c>
      <c r="C10148" t="s">
        <v>62</v>
      </c>
      <c r="D10148" s="230">
        <v>0</v>
      </c>
      <c r="E10148" t="s">
        <v>745</v>
      </c>
    </row>
    <row r="10149" spans="1:5" hidden="1" x14ac:dyDescent="0.3">
      <c r="A10149" t="s">
        <v>557</v>
      </c>
      <c r="B10149" t="s">
        <v>744</v>
      </c>
      <c r="C10149" t="s">
        <v>64</v>
      </c>
      <c r="D10149" s="230">
        <v>0</v>
      </c>
      <c r="E10149" t="s">
        <v>745</v>
      </c>
    </row>
    <row r="10150" spans="1:5" hidden="1" x14ac:dyDescent="0.3">
      <c r="A10150" t="s">
        <v>557</v>
      </c>
      <c r="B10150" t="s">
        <v>744</v>
      </c>
      <c r="C10150" t="s">
        <v>65</v>
      </c>
      <c r="D10150" s="230">
        <v>-2000</v>
      </c>
      <c r="E10150" t="s">
        <v>745</v>
      </c>
    </row>
    <row r="10151" spans="1:5" hidden="1" x14ac:dyDescent="0.3">
      <c r="A10151" t="s">
        <v>557</v>
      </c>
      <c r="B10151" t="s">
        <v>744</v>
      </c>
      <c r="C10151" t="s">
        <v>66</v>
      </c>
      <c r="D10151" s="230">
        <v>-2000</v>
      </c>
      <c r="E10151" t="s">
        <v>745</v>
      </c>
    </row>
    <row r="10152" spans="1:5" hidden="1" x14ac:dyDescent="0.3">
      <c r="A10152" t="s">
        <v>557</v>
      </c>
      <c r="B10152" t="s">
        <v>744</v>
      </c>
      <c r="C10152" t="s">
        <v>68</v>
      </c>
      <c r="D10152" s="230">
        <v>0</v>
      </c>
      <c r="E10152" t="s">
        <v>745</v>
      </c>
    </row>
    <row r="10153" spans="1:5" hidden="1" x14ac:dyDescent="0.3">
      <c r="A10153" t="s">
        <v>557</v>
      </c>
      <c r="B10153" t="s">
        <v>744</v>
      </c>
      <c r="C10153" t="s">
        <v>69</v>
      </c>
      <c r="D10153" s="230">
        <v>0</v>
      </c>
      <c r="E10153" t="s">
        <v>745</v>
      </c>
    </row>
    <row r="10154" spans="1:5" hidden="1" x14ac:dyDescent="0.3">
      <c r="A10154" t="s">
        <v>557</v>
      </c>
      <c r="B10154" t="s">
        <v>744</v>
      </c>
      <c r="C10154" t="s">
        <v>70</v>
      </c>
      <c r="D10154" s="230">
        <v>-0.97</v>
      </c>
      <c r="E10154" t="s">
        <v>745</v>
      </c>
    </row>
    <row r="10155" spans="1:5" hidden="1" x14ac:dyDescent="0.3">
      <c r="A10155" t="s">
        <v>557</v>
      </c>
      <c r="B10155" t="s">
        <v>744</v>
      </c>
      <c r="C10155" t="s">
        <v>44</v>
      </c>
      <c r="D10155" s="230">
        <v>-0.01</v>
      </c>
      <c r="E10155" t="s">
        <v>745</v>
      </c>
    </row>
    <row r="10156" spans="1:5" hidden="1" x14ac:dyDescent="0.3">
      <c r="A10156" t="s">
        <v>557</v>
      </c>
      <c r="B10156" t="s">
        <v>744</v>
      </c>
      <c r="C10156" t="s">
        <v>71</v>
      </c>
      <c r="D10156" s="230">
        <v>-4047.86</v>
      </c>
      <c r="E10156" t="s">
        <v>745</v>
      </c>
    </row>
    <row r="10157" spans="1:5" hidden="1" x14ac:dyDescent="0.3">
      <c r="A10157" t="s">
        <v>557</v>
      </c>
      <c r="B10157" t="s">
        <v>744</v>
      </c>
      <c r="C10157" t="s">
        <v>72</v>
      </c>
      <c r="D10157" s="230">
        <v>-4047.86</v>
      </c>
      <c r="E10157" t="s">
        <v>745</v>
      </c>
    </row>
    <row r="10158" spans="1:5" hidden="1" x14ac:dyDescent="0.3">
      <c r="A10158" t="s">
        <v>557</v>
      </c>
      <c r="B10158" t="s">
        <v>744</v>
      </c>
      <c r="C10158" t="s">
        <v>73</v>
      </c>
      <c r="D10158" s="230">
        <v>-2000</v>
      </c>
      <c r="E10158" t="s">
        <v>745</v>
      </c>
    </row>
    <row r="10159" spans="1:5" hidden="1" x14ac:dyDescent="0.3">
      <c r="A10159" t="s">
        <v>557</v>
      </c>
      <c r="B10159" t="s">
        <v>744</v>
      </c>
      <c r="C10159" t="s">
        <v>75</v>
      </c>
      <c r="D10159" s="230">
        <v>-2047.86</v>
      </c>
      <c r="E10159" t="s">
        <v>745</v>
      </c>
    </row>
    <row r="10160" spans="1:5" hidden="1" x14ac:dyDescent="0.3">
      <c r="A10160" t="s">
        <v>557</v>
      </c>
      <c r="B10160" t="s">
        <v>744</v>
      </c>
      <c r="C10160" t="s">
        <v>77</v>
      </c>
      <c r="D10160" s="230">
        <v>0</v>
      </c>
      <c r="E10160" t="s">
        <v>745</v>
      </c>
    </row>
    <row r="10161" spans="1:5" hidden="1" x14ac:dyDescent="0.3">
      <c r="A10161" t="s">
        <v>557</v>
      </c>
      <c r="B10161" t="s">
        <v>744</v>
      </c>
      <c r="C10161" t="s">
        <v>78</v>
      </c>
      <c r="D10161" s="230">
        <v>0</v>
      </c>
      <c r="E10161" t="s">
        <v>745</v>
      </c>
    </row>
    <row r="10162" spans="1:5" hidden="1" x14ac:dyDescent="0.3">
      <c r="A10162" t="s">
        <v>557</v>
      </c>
      <c r="B10162" t="s">
        <v>744</v>
      </c>
      <c r="C10162" t="s">
        <v>80</v>
      </c>
      <c r="D10162" s="230">
        <v>0</v>
      </c>
      <c r="E10162" t="s">
        <v>745</v>
      </c>
    </row>
    <row r="10163" spans="1:5" hidden="1" x14ac:dyDescent="0.3">
      <c r="A10163" t="s">
        <v>557</v>
      </c>
      <c r="B10163" t="s">
        <v>744</v>
      </c>
      <c r="C10163" t="s">
        <v>82</v>
      </c>
      <c r="D10163" s="230">
        <v>0</v>
      </c>
      <c r="E10163" t="s">
        <v>745</v>
      </c>
    </row>
    <row r="10164" spans="1:5" hidden="1" x14ac:dyDescent="0.3">
      <c r="A10164" t="s">
        <v>557</v>
      </c>
      <c r="B10164" t="s">
        <v>744</v>
      </c>
      <c r="C10164" t="s">
        <v>84</v>
      </c>
      <c r="D10164" s="230">
        <v>0</v>
      </c>
      <c r="E10164" t="s">
        <v>745</v>
      </c>
    </row>
    <row r="10165" spans="1:5" hidden="1" x14ac:dyDescent="0.3">
      <c r="A10165" t="s">
        <v>557</v>
      </c>
      <c r="B10165" t="s">
        <v>744</v>
      </c>
      <c r="C10165" t="s">
        <v>85</v>
      </c>
      <c r="D10165" s="230">
        <v>0</v>
      </c>
      <c r="E10165" t="s">
        <v>745</v>
      </c>
    </row>
    <row r="10166" spans="1:5" hidden="1" x14ac:dyDescent="0.3">
      <c r="A10166" t="s">
        <v>557</v>
      </c>
      <c r="B10166" t="s">
        <v>744</v>
      </c>
      <c r="C10166" t="s">
        <v>86</v>
      </c>
      <c r="D10166" s="230">
        <v>0</v>
      </c>
      <c r="E10166" t="s">
        <v>745</v>
      </c>
    </row>
    <row r="10167" spans="1:5" hidden="1" x14ac:dyDescent="0.3">
      <c r="A10167" t="s">
        <v>557</v>
      </c>
      <c r="B10167" t="s">
        <v>744</v>
      </c>
      <c r="C10167" t="s">
        <v>87</v>
      </c>
      <c r="D10167" s="230">
        <v>0</v>
      </c>
      <c r="E10167" t="s">
        <v>745</v>
      </c>
    </row>
    <row r="10168" spans="1:5" hidden="1" x14ac:dyDescent="0.3">
      <c r="A10168" t="s">
        <v>557</v>
      </c>
      <c r="B10168" t="s">
        <v>744</v>
      </c>
      <c r="C10168" t="s">
        <v>88</v>
      </c>
      <c r="D10168" s="230">
        <v>0</v>
      </c>
      <c r="E10168" t="s">
        <v>745</v>
      </c>
    </row>
    <row r="10169" spans="1:5" hidden="1" x14ac:dyDescent="0.3">
      <c r="A10169" t="s">
        <v>557</v>
      </c>
      <c r="B10169" t="s">
        <v>744</v>
      </c>
      <c r="C10169" t="s">
        <v>89</v>
      </c>
      <c r="D10169" s="230">
        <v>0</v>
      </c>
      <c r="E10169" t="s">
        <v>745</v>
      </c>
    </row>
    <row r="10170" spans="1:5" hidden="1" x14ac:dyDescent="0.3">
      <c r="A10170" t="s">
        <v>557</v>
      </c>
      <c r="B10170" t="s">
        <v>744</v>
      </c>
      <c r="C10170" t="s">
        <v>90</v>
      </c>
      <c r="D10170" s="230">
        <v>0</v>
      </c>
      <c r="E10170" t="s">
        <v>745</v>
      </c>
    </row>
    <row r="10171" spans="1:5" hidden="1" x14ac:dyDescent="0.3">
      <c r="A10171" t="s">
        <v>557</v>
      </c>
      <c r="B10171" t="s">
        <v>744</v>
      </c>
      <c r="C10171" t="s">
        <v>91</v>
      </c>
      <c r="D10171" s="230">
        <v>0</v>
      </c>
      <c r="E10171" t="s">
        <v>745</v>
      </c>
    </row>
    <row r="10172" spans="1:5" hidden="1" x14ac:dyDescent="0.3">
      <c r="A10172" t="s">
        <v>557</v>
      </c>
      <c r="B10172" t="s">
        <v>744</v>
      </c>
      <c r="C10172" t="s">
        <v>93</v>
      </c>
      <c r="D10172" s="230">
        <v>0</v>
      </c>
      <c r="E10172" t="s">
        <v>745</v>
      </c>
    </row>
    <row r="10173" spans="1:5" hidden="1" x14ac:dyDescent="0.3">
      <c r="A10173" t="s">
        <v>557</v>
      </c>
      <c r="B10173" t="s">
        <v>744</v>
      </c>
      <c r="C10173" t="s">
        <v>95</v>
      </c>
      <c r="D10173" s="230">
        <v>0</v>
      </c>
      <c r="E10173" t="s">
        <v>745</v>
      </c>
    </row>
    <row r="10174" spans="1:5" hidden="1" x14ac:dyDescent="0.3">
      <c r="A10174" t="s">
        <v>557</v>
      </c>
      <c r="B10174" t="s">
        <v>744</v>
      </c>
      <c r="C10174" t="s">
        <v>96</v>
      </c>
      <c r="D10174" s="230">
        <v>0</v>
      </c>
      <c r="E10174" t="s">
        <v>745</v>
      </c>
    </row>
    <row r="10175" spans="1:5" hidden="1" x14ac:dyDescent="0.3">
      <c r="A10175" t="s">
        <v>557</v>
      </c>
      <c r="B10175" t="s">
        <v>744</v>
      </c>
      <c r="C10175" t="s">
        <v>98</v>
      </c>
      <c r="D10175" s="230">
        <v>0</v>
      </c>
      <c r="E10175" t="s">
        <v>745</v>
      </c>
    </row>
    <row r="10176" spans="1:5" hidden="1" x14ac:dyDescent="0.3">
      <c r="A10176" t="s">
        <v>557</v>
      </c>
      <c r="B10176" t="s">
        <v>744</v>
      </c>
      <c r="C10176" t="s">
        <v>100</v>
      </c>
      <c r="D10176" s="230">
        <v>0</v>
      </c>
      <c r="E10176" t="s">
        <v>745</v>
      </c>
    </row>
    <row r="10177" spans="1:5" hidden="1" x14ac:dyDescent="0.3">
      <c r="A10177" t="s">
        <v>557</v>
      </c>
      <c r="B10177" t="s">
        <v>744</v>
      </c>
      <c r="C10177" t="s">
        <v>101</v>
      </c>
      <c r="D10177" s="230">
        <v>0</v>
      </c>
      <c r="E10177" t="s">
        <v>745</v>
      </c>
    </row>
    <row r="10178" spans="1:5" hidden="1" x14ac:dyDescent="0.3">
      <c r="A10178" t="s">
        <v>557</v>
      </c>
      <c r="B10178" t="s">
        <v>744</v>
      </c>
      <c r="C10178" t="s">
        <v>102</v>
      </c>
      <c r="D10178" s="230">
        <v>0</v>
      </c>
      <c r="E10178" t="s">
        <v>745</v>
      </c>
    </row>
    <row r="10179" spans="1:5" hidden="1" x14ac:dyDescent="0.3">
      <c r="A10179" t="s">
        <v>557</v>
      </c>
      <c r="B10179" t="s">
        <v>744</v>
      </c>
      <c r="C10179" t="s">
        <v>103</v>
      </c>
      <c r="D10179" s="230">
        <v>0</v>
      </c>
      <c r="E10179" t="s">
        <v>745</v>
      </c>
    </row>
    <row r="10180" spans="1:5" hidden="1" x14ac:dyDescent="0.3">
      <c r="A10180" t="s">
        <v>557</v>
      </c>
      <c r="B10180" t="s">
        <v>744</v>
      </c>
      <c r="C10180" t="s">
        <v>104</v>
      </c>
      <c r="D10180" s="230">
        <v>0</v>
      </c>
      <c r="E10180" t="s">
        <v>745</v>
      </c>
    </row>
    <row r="10181" spans="1:5" hidden="1" x14ac:dyDescent="0.3">
      <c r="A10181" t="s">
        <v>557</v>
      </c>
      <c r="B10181" t="s">
        <v>744</v>
      </c>
      <c r="C10181" t="s">
        <v>105</v>
      </c>
      <c r="D10181" s="230">
        <v>0</v>
      </c>
      <c r="E10181" t="s">
        <v>745</v>
      </c>
    </row>
    <row r="10182" spans="1:5" hidden="1" x14ac:dyDescent="0.3">
      <c r="A10182" t="s">
        <v>557</v>
      </c>
      <c r="B10182" t="s">
        <v>744</v>
      </c>
      <c r="C10182" t="s">
        <v>107</v>
      </c>
      <c r="D10182" s="230">
        <v>0</v>
      </c>
      <c r="E10182" t="s">
        <v>745</v>
      </c>
    </row>
    <row r="10183" spans="1:5" hidden="1" x14ac:dyDescent="0.3">
      <c r="A10183" t="s">
        <v>557</v>
      </c>
      <c r="B10183" t="s">
        <v>744</v>
      </c>
      <c r="C10183" t="s">
        <v>108</v>
      </c>
      <c r="D10183" s="230">
        <v>0</v>
      </c>
      <c r="E10183" t="s">
        <v>745</v>
      </c>
    </row>
    <row r="10184" spans="1:5" hidden="1" x14ac:dyDescent="0.3">
      <c r="A10184" t="s">
        <v>557</v>
      </c>
      <c r="B10184" t="s">
        <v>744</v>
      </c>
      <c r="C10184" t="s">
        <v>109</v>
      </c>
      <c r="D10184" s="230">
        <v>0</v>
      </c>
      <c r="E10184" t="s">
        <v>745</v>
      </c>
    </row>
    <row r="10185" spans="1:5" hidden="1" x14ac:dyDescent="0.3">
      <c r="A10185" t="s">
        <v>557</v>
      </c>
      <c r="B10185" t="s">
        <v>744</v>
      </c>
      <c r="C10185" t="s">
        <v>110</v>
      </c>
      <c r="D10185" s="230">
        <v>-7.0000000000000007E-2</v>
      </c>
      <c r="E10185" t="s">
        <v>745</v>
      </c>
    </row>
    <row r="10186" spans="1:5" hidden="1" x14ac:dyDescent="0.3">
      <c r="A10186" t="s">
        <v>557</v>
      </c>
      <c r="B10186" t="s">
        <v>744</v>
      </c>
      <c r="C10186" t="s">
        <v>44</v>
      </c>
      <c r="D10186" s="230">
        <v>-0.01</v>
      </c>
      <c r="E10186" t="s">
        <v>745</v>
      </c>
    </row>
    <row r="10187" spans="1:5" hidden="1" x14ac:dyDescent="0.3">
      <c r="A10187" t="s">
        <v>557</v>
      </c>
      <c r="B10187" t="s">
        <v>744</v>
      </c>
      <c r="C10187" t="s">
        <v>111</v>
      </c>
      <c r="D10187" s="230">
        <v>-37985.35</v>
      </c>
      <c r="E10187" t="s">
        <v>745</v>
      </c>
    </row>
    <row r="10188" spans="1:5" hidden="1" x14ac:dyDescent="0.3">
      <c r="A10188" t="s">
        <v>557</v>
      </c>
      <c r="B10188" t="s">
        <v>744</v>
      </c>
      <c r="C10188" t="s">
        <v>608</v>
      </c>
      <c r="D10188" s="230">
        <v>-37985.35</v>
      </c>
      <c r="E10188" t="s">
        <v>745</v>
      </c>
    </row>
    <row r="10189" spans="1:5" hidden="1" x14ac:dyDescent="0.3">
      <c r="A10189" t="s">
        <v>557</v>
      </c>
      <c r="B10189" t="s">
        <v>744</v>
      </c>
      <c r="C10189" t="s">
        <v>44</v>
      </c>
      <c r="D10189" s="230">
        <v>-0.08</v>
      </c>
      <c r="E10189" t="s">
        <v>745</v>
      </c>
    </row>
    <row r="10190" spans="1:5" hidden="1" x14ac:dyDescent="0.3">
      <c r="A10190" t="s">
        <v>557</v>
      </c>
      <c r="B10190" t="s">
        <v>744</v>
      </c>
      <c r="C10190" t="s">
        <v>115</v>
      </c>
      <c r="D10190" s="230">
        <v>-9352.76</v>
      </c>
      <c r="E10190" t="s">
        <v>745</v>
      </c>
    </row>
    <row r="10191" spans="1:5" hidden="1" x14ac:dyDescent="0.3">
      <c r="A10191" t="s">
        <v>557</v>
      </c>
      <c r="B10191" t="s">
        <v>744</v>
      </c>
      <c r="C10191" t="s">
        <v>116</v>
      </c>
      <c r="D10191" s="230">
        <v>-6373.2</v>
      </c>
      <c r="E10191" t="s">
        <v>745</v>
      </c>
    </row>
    <row r="10192" spans="1:5" hidden="1" x14ac:dyDescent="0.3">
      <c r="A10192" t="s">
        <v>557</v>
      </c>
      <c r="B10192" t="s">
        <v>744</v>
      </c>
      <c r="C10192" t="s">
        <v>118</v>
      </c>
      <c r="D10192" s="230">
        <v>-2630.75</v>
      </c>
      <c r="E10192" t="s">
        <v>745</v>
      </c>
    </row>
    <row r="10193" spans="1:5" hidden="1" x14ac:dyDescent="0.3">
      <c r="A10193" t="s">
        <v>557</v>
      </c>
      <c r="B10193" t="s">
        <v>744</v>
      </c>
      <c r="C10193" t="s">
        <v>120</v>
      </c>
      <c r="D10193" s="230">
        <v>0</v>
      </c>
      <c r="E10193" t="s">
        <v>745</v>
      </c>
    </row>
    <row r="10194" spans="1:5" hidden="1" x14ac:dyDescent="0.3">
      <c r="A10194" t="s">
        <v>557</v>
      </c>
      <c r="B10194" t="s">
        <v>744</v>
      </c>
      <c r="C10194" t="s">
        <v>122</v>
      </c>
      <c r="D10194" s="230">
        <v>-348.81</v>
      </c>
      <c r="E10194" t="s">
        <v>745</v>
      </c>
    </row>
    <row r="10195" spans="1:5" hidden="1" x14ac:dyDescent="0.3">
      <c r="A10195" t="s">
        <v>557</v>
      </c>
      <c r="B10195" t="s">
        <v>744</v>
      </c>
      <c r="C10195" t="s">
        <v>44</v>
      </c>
      <c r="D10195" s="230">
        <v>-0.02</v>
      </c>
      <c r="E10195" t="s">
        <v>745</v>
      </c>
    </row>
    <row r="10196" spans="1:5" hidden="1" x14ac:dyDescent="0.3">
      <c r="A10196" t="s">
        <v>557</v>
      </c>
      <c r="B10196" t="s">
        <v>744</v>
      </c>
      <c r="C10196" t="s">
        <v>126</v>
      </c>
      <c r="D10196" s="230">
        <v>259025.31</v>
      </c>
      <c r="E10196" t="s">
        <v>745</v>
      </c>
    </row>
    <row r="10197" spans="1:5" hidden="1" x14ac:dyDescent="0.3">
      <c r="A10197" t="s">
        <v>557</v>
      </c>
      <c r="B10197" t="s">
        <v>744</v>
      </c>
      <c r="C10197" t="s">
        <v>127</v>
      </c>
      <c r="D10197" s="230">
        <v>0.52</v>
      </c>
      <c r="E10197" t="s">
        <v>745</v>
      </c>
    </row>
    <row r="10198" spans="1:5" hidden="1" x14ac:dyDescent="0.3">
      <c r="A10198" t="s">
        <v>557</v>
      </c>
      <c r="B10198" t="s">
        <v>744</v>
      </c>
      <c r="C10198" t="s">
        <v>128</v>
      </c>
      <c r="D10198" s="230">
        <v>-134249.47</v>
      </c>
      <c r="E10198" t="s">
        <v>745</v>
      </c>
    </row>
    <row r="10199" spans="1:5" hidden="1" x14ac:dyDescent="0.3">
      <c r="A10199" t="s">
        <v>557</v>
      </c>
      <c r="B10199" t="s">
        <v>744</v>
      </c>
      <c r="C10199" t="s">
        <v>129</v>
      </c>
      <c r="D10199" s="230">
        <v>-33850</v>
      </c>
      <c r="E10199" t="s">
        <v>745</v>
      </c>
    </row>
    <row r="10200" spans="1:5" hidden="1" x14ac:dyDescent="0.3">
      <c r="A10200" t="s">
        <v>557</v>
      </c>
      <c r="B10200" t="s">
        <v>744</v>
      </c>
      <c r="C10200" t="s">
        <v>609</v>
      </c>
      <c r="D10200" s="230">
        <v>0</v>
      </c>
      <c r="E10200" t="s">
        <v>745</v>
      </c>
    </row>
    <row r="10201" spans="1:5" hidden="1" x14ac:dyDescent="0.3">
      <c r="A10201" t="s">
        <v>557</v>
      </c>
      <c r="B10201" t="s">
        <v>744</v>
      </c>
      <c r="C10201" t="s">
        <v>610</v>
      </c>
      <c r="D10201" s="230">
        <v>-17600</v>
      </c>
      <c r="E10201" t="s">
        <v>745</v>
      </c>
    </row>
    <row r="10202" spans="1:5" hidden="1" x14ac:dyDescent="0.3">
      <c r="A10202" t="s">
        <v>557</v>
      </c>
      <c r="B10202" t="s">
        <v>744</v>
      </c>
      <c r="C10202" t="s">
        <v>611</v>
      </c>
      <c r="D10202" s="230">
        <v>0</v>
      </c>
      <c r="E10202" t="s">
        <v>745</v>
      </c>
    </row>
    <row r="10203" spans="1:5" hidden="1" x14ac:dyDescent="0.3">
      <c r="A10203" t="s">
        <v>557</v>
      </c>
      <c r="B10203" t="s">
        <v>744</v>
      </c>
      <c r="C10203" t="s">
        <v>612</v>
      </c>
      <c r="D10203" s="230">
        <v>-4000</v>
      </c>
      <c r="E10203" t="s">
        <v>745</v>
      </c>
    </row>
    <row r="10204" spans="1:5" hidden="1" x14ac:dyDescent="0.3">
      <c r="A10204" t="s">
        <v>557</v>
      </c>
      <c r="B10204" t="s">
        <v>744</v>
      </c>
      <c r="C10204" t="s">
        <v>613</v>
      </c>
      <c r="D10204" s="230">
        <v>-1750</v>
      </c>
      <c r="E10204" t="s">
        <v>745</v>
      </c>
    </row>
    <row r="10205" spans="1:5" hidden="1" x14ac:dyDescent="0.3">
      <c r="A10205" t="s">
        <v>557</v>
      </c>
      <c r="B10205" t="s">
        <v>744</v>
      </c>
      <c r="C10205" t="s">
        <v>614</v>
      </c>
      <c r="D10205" s="230">
        <v>-6500</v>
      </c>
      <c r="E10205" t="s">
        <v>745</v>
      </c>
    </row>
    <row r="10206" spans="1:5" hidden="1" x14ac:dyDescent="0.3">
      <c r="A10206" t="s">
        <v>557</v>
      </c>
      <c r="B10206" t="s">
        <v>744</v>
      </c>
      <c r="C10206" t="s">
        <v>615</v>
      </c>
      <c r="D10206" s="230">
        <v>0</v>
      </c>
      <c r="E10206" t="s">
        <v>745</v>
      </c>
    </row>
    <row r="10207" spans="1:5" hidden="1" x14ac:dyDescent="0.3">
      <c r="A10207" t="s">
        <v>557</v>
      </c>
      <c r="B10207" t="s">
        <v>744</v>
      </c>
      <c r="C10207" t="s">
        <v>616</v>
      </c>
      <c r="D10207" s="230">
        <v>-4000</v>
      </c>
      <c r="E10207" t="s">
        <v>745</v>
      </c>
    </row>
    <row r="10208" spans="1:5" hidden="1" x14ac:dyDescent="0.3">
      <c r="A10208" t="s">
        <v>557</v>
      </c>
      <c r="B10208" t="s">
        <v>744</v>
      </c>
      <c r="C10208" t="s">
        <v>617</v>
      </c>
      <c r="D10208" s="230">
        <v>0</v>
      </c>
      <c r="E10208" t="s">
        <v>745</v>
      </c>
    </row>
    <row r="10209" spans="1:5" hidden="1" x14ac:dyDescent="0.3">
      <c r="A10209" t="s">
        <v>557</v>
      </c>
      <c r="B10209" t="s">
        <v>744</v>
      </c>
      <c r="C10209" t="s">
        <v>618</v>
      </c>
      <c r="D10209" s="230">
        <v>0</v>
      </c>
      <c r="E10209" t="s">
        <v>745</v>
      </c>
    </row>
    <row r="10210" spans="1:5" hidden="1" x14ac:dyDescent="0.3">
      <c r="A10210" t="s">
        <v>557</v>
      </c>
      <c r="B10210" t="s">
        <v>744</v>
      </c>
      <c r="C10210" t="s">
        <v>619</v>
      </c>
      <c r="D10210" s="230">
        <v>0</v>
      </c>
      <c r="E10210" t="s">
        <v>745</v>
      </c>
    </row>
    <row r="10211" spans="1:5" hidden="1" x14ac:dyDescent="0.3">
      <c r="A10211" t="s">
        <v>557</v>
      </c>
      <c r="B10211" t="s">
        <v>744</v>
      </c>
      <c r="C10211" t="s">
        <v>620</v>
      </c>
      <c r="D10211" s="230">
        <v>0</v>
      </c>
      <c r="E10211" t="s">
        <v>745</v>
      </c>
    </row>
    <row r="10212" spans="1:5" hidden="1" x14ac:dyDescent="0.3">
      <c r="A10212" t="s">
        <v>557</v>
      </c>
      <c r="B10212" t="s">
        <v>744</v>
      </c>
      <c r="C10212" t="s">
        <v>575</v>
      </c>
      <c r="D10212" s="230">
        <v>-29264.36</v>
      </c>
      <c r="E10212" t="s">
        <v>745</v>
      </c>
    </row>
    <row r="10213" spans="1:5" hidden="1" x14ac:dyDescent="0.3">
      <c r="A10213" t="s">
        <v>557</v>
      </c>
      <c r="B10213" t="s">
        <v>744</v>
      </c>
      <c r="C10213" t="s">
        <v>621</v>
      </c>
      <c r="D10213" s="230">
        <v>0</v>
      </c>
      <c r="E10213" t="s">
        <v>745</v>
      </c>
    </row>
    <row r="10214" spans="1:5" hidden="1" x14ac:dyDescent="0.3">
      <c r="A10214" t="s">
        <v>557</v>
      </c>
      <c r="B10214" t="s">
        <v>744</v>
      </c>
      <c r="C10214" t="s">
        <v>622</v>
      </c>
      <c r="D10214" s="230">
        <v>0</v>
      </c>
      <c r="E10214" t="s">
        <v>745</v>
      </c>
    </row>
    <row r="10215" spans="1:5" hidden="1" x14ac:dyDescent="0.3">
      <c r="A10215" t="s">
        <v>557</v>
      </c>
      <c r="B10215" t="s">
        <v>744</v>
      </c>
      <c r="C10215" t="s">
        <v>623</v>
      </c>
      <c r="D10215" s="230">
        <v>0</v>
      </c>
      <c r="E10215" t="s">
        <v>745</v>
      </c>
    </row>
    <row r="10216" spans="1:5" hidden="1" x14ac:dyDescent="0.3">
      <c r="A10216" t="s">
        <v>557</v>
      </c>
      <c r="B10216" t="s">
        <v>744</v>
      </c>
      <c r="C10216" t="s">
        <v>624</v>
      </c>
      <c r="D10216" s="230">
        <v>0</v>
      </c>
      <c r="E10216" t="s">
        <v>745</v>
      </c>
    </row>
    <row r="10217" spans="1:5" hidden="1" x14ac:dyDescent="0.3">
      <c r="A10217" t="s">
        <v>557</v>
      </c>
      <c r="B10217" t="s">
        <v>744</v>
      </c>
      <c r="C10217" t="s">
        <v>625</v>
      </c>
      <c r="D10217" s="230">
        <v>0</v>
      </c>
      <c r="E10217" t="s">
        <v>745</v>
      </c>
    </row>
    <row r="10218" spans="1:5" hidden="1" x14ac:dyDescent="0.3">
      <c r="A10218" t="s">
        <v>557</v>
      </c>
      <c r="B10218" t="s">
        <v>744</v>
      </c>
      <c r="C10218" t="s">
        <v>626</v>
      </c>
      <c r="D10218" s="230">
        <v>0</v>
      </c>
      <c r="E10218" t="s">
        <v>745</v>
      </c>
    </row>
    <row r="10219" spans="1:5" hidden="1" x14ac:dyDescent="0.3">
      <c r="A10219" t="s">
        <v>557</v>
      </c>
      <c r="B10219" t="s">
        <v>744</v>
      </c>
      <c r="C10219" t="s">
        <v>627</v>
      </c>
      <c r="D10219" s="230">
        <v>0</v>
      </c>
      <c r="E10219" t="s">
        <v>745</v>
      </c>
    </row>
    <row r="10220" spans="1:5" hidden="1" x14ac:dyDescent="0.3">
      <c r="A10220" t="s">
        <v>557</v>
      </c>
      <c r="B10220" t="s">
        <v>744</v>
      </c>
      <c r="C10220" t="s">
        <v>628</v>
      </c>
      <c r="D10220" s="230">
        <v>0</v>
      </c>
      <c r="E10220" t="s">
        <v>745</v>
      </c>
    </row>
    <row r="10221" spans="1:5" hidden="1" x14ac:dyDescent="0.3">
      <c r="A10221" t="s">
        <v>557</v>
      </c>
      <c r="B10221" t="s">
        <v>744</v>
      </c>
      <c r="C10221" t="s">
        <v>629</v>
      </c>
      <c r="D10221" s="230">
        <v>0</v>
      </c>
      <c r="E10221" t="s">
        <v>745</v>
      </c>
    </row>
    <row r="10222" spans="1:5" hidden="1" x14ac:dyDescent="0.3">
      <c r="A10222" t="s">
        <v>557</v>
      </c>
      <c r="B10222" t="s">
        <v>744</v>
      </c>
      <c r="C10222" t="s">
        <v>630</v>
      </c>
      <c r="D10222" s="230">
        <v>0</v>
      </c>
      <c r="E10222" t="s">
        <v>745</v>
      </c>
    </row>
    <row r="10223" spans="1:5" hidden="1" x14ac:dyDescent="0.3">
      <c r="A10223" t="s">
        <v>557</v>
      </c>
      <c r="B10223" t="s">
        <v>744</v>
      </c>
      <c r="C10223" t="s">
        <v>631</v>
      </c>
      <c r="D10223" s="230">
        <v>0</v>
      </c>
      <c r="E10223" t="s">
        <v>745</v>
      </c>
    </row>
    <row r="10224" spans="1:5" hidden="1" x14ac:dyDescent="0.3">
      <c r="A10224" t="s">
        <v>557</v>
      </c>
      <c r="B10224" t="s">
        <v>744</v>
      </c>
      <c r="C10224" t="s">
        <v>632</v>
      </c>
      <c r="D10224" s="230">
        <v>0</v>
      </c>
      <c r="E10224" t="s">
        <v>745</v>
      </c>
    </row>
    <row r="10225" spans="1:5" hidden="1" x14ac:dyDescent="0.3">
      <c r="A10225" t="s">
        <v>557</v>
      </c>
      <c r="B10225" t="s">
        <v>744</v>
      </c>
      <c r="C10225" t="s">
        <v>633</v>
      </c>
      <c r="D10225" s="230">
        <v>0</v>
      </c>
      <c r="E10225" t="s">
        <v>745</v>
      </c>
    </row>
    <row r="10226" spans="1:5" hidden="1" x14ac:dyDescent="0.3">
      <c r="A10226" t="s">
        <v>557</v>
      </c>
      <c r="B10226" t="s">
        <v>744</v>
      </c>
      <c r="C10226" t="s">
        <v>634</v>
      </c>
      <c r="D10226" s="230">
        <v>0</v>
      </c>
      <c r="E10226" t="s">
        <v>745</v>
      </c>
    </row>
    <row r="10227" spans="1:5" hidden="1" x14ac:dyDescent="0.3">
      <c r="A10227" t="s">
        <v>557</v>
      </c>
      <c r="B10227" t="s">
        <v>744</v>
      </c>
      <c r="C10227" t="s">
        <v>635</v>
      </c>
      <c r="D10227" s="230">
        <v>0</v>
      </c>
      <c r="E10227" t="s">
        <v>745</v>
      </c>
    </row>
    <row r="10228" spans="1:5" hidden="1" x14ac:dyDescent="0.3">
      <c r="A10228" t="s">
        <v>557</v>
      </c>
      <c r="B10228" t="s">
        <v>744</v>
      </c>
      <c r="C10228" t="s">
        <v>636</v>
      </c>
      <c r="D10228" s="230">
        <v>0</v>
      </c>
      <c r="E10228" t="s">
        <v>745</v>
      </c>
    </row>
    <row r="10229" spans="1:5" hidden="1" x14ac:dyDescent="0.3">
      <c r="A10229" t="s">
        <v>557</v>
      </c>
      <c r="B10229" t="s">
        <v>744</v>
      </c>
      <c r="C10229" t="s">
        <v>637</v>
      </c>
      <c r="D10229" s="230">
        <v>0</v>
      </c>
      <c r="E10229" t="s">
        <v>745</v>
      </c>
    </row>
    <row r="10230" spans="1:5" hidden="1" x14ac:dyDescent="0.3">
      <c r="A10230" t="s">
        <v>557</v>
      </c>
      <c r="B10230" t="s">
        <v>744</v>
      </c>
      <c r="C10230" t="s">
        <v>638</v>
      </c>
      <c r="D10230" s="230">
        <v>0</v>
      </c>
      <c r="E10230" t="s">
        <v>745</v>
      </c>
    </row>
    <row r="10231" spans="1:5" hidden="1" x14ac:dyDescent="0.3">
      <c r="A10231" t="s">
        <v>557</v>
      </c>
      <c r="B10231" t="s">
        <v>744</v>
      </c>
      <c r="C10231" t="s">
        <v>639</v>
      </c>
      <c r="D10231" s="230">
        <v>0</v>
      </c>
      <c r="E10231" t="s">
        <v>745</v>
      </c>
    </row>
    <row r="10232" spans="1:5" hidden="1" x14ac:dyDescent="0.3">
      <c r="A10232" t="s">
        <v>557</v>
      </c>
      <c r="B10232" t="s">
        <v>744</v>
      </c>
      <c r="C10232" t="s">
        <v>640</v>
      </c>
      <c r="D10232" s="230">
        <v>0</v>
      </c>
      <c r="E10232" t="s">
        <v>745</v>
      </c>
    </row>
    <row r="10233" spans="1:5" hidden="1" x14ac:dyDescent="0.3">
      <c r="A10233" t="s">
        <v>557</v>
      </c>
      <c r="B10233" t="s">
        <v>744</v>
      </c>
      <c r="C10233" t="s">
        <v>641</v>
      </c>
      <c r="D10233" s="230">
        <v>0</v>
      </c>
      <c r="E10233" t="s">
        <v>745</v>
      </c>
    </row>
    <row r="10234" spans="1:5" hidden="1" x14ac:dyDescent="0.3">
      <c r="A10234" t="s">
        <v>557</v>
      </c>
      <c r="B10234" t="s">
        <v>744</v>
      </c>
      <c r="C10234" t="s">
        <v>642</v>
      </c>
      <c r="D10234" s="230">
        <v>0</v>
      </c>
      <c r="E10234" t="s">
        <v>745</v>
      </c>
    </row>
    <row r="10235" spans="1:5" hidden="1" x14ac:dyDescent="0.3">
      <c r="A10235" t="s">
        <v>557</v>
      </c>
      <c r="B10235" t="s">
        <v>744</v>
      </c>
      <c r="C10235" t="s">
        <v>643</v>
      </c>
      <c r="D10235" s="230">
        <v>0</v>
      </c>
      <c r="E10235" t="s">
        <v>745</v>
      </c>
    </row>
    <row r="10236" spans="1:5" hidden="1" x14ac:dyDescent="0.3">
      <c r="A10236" t="s">
        <v>557</v>
      </c>
      <c r="B10236" t="s">
        <v>744</v>
      </c>
      <c r="C10236" t="s">
        <v>644</v>
      </c>
      <c r="D10236" s="230">
        <v>0</v>
      </c>
      <c r="E10236" t="s">
        <v>745</v>
      </c>
    </row>
    <row r="10237" spans="1:5" hidden="1" x14ac:dyDescent="0.3">
      <c r="A10237" t="s">
        <v>557</v>
      </c>
      <c r="B10237" t="s">
        <v>744</v>
      </c>
      <c r="C10237" t="s">
        <v>645</v>
      </c>
      <c r="D10237" s="230">
        <v>0</v>
      </c>
      <c r="E10237" t="s">
        <v>745</v>
      </c>
    </row>
    <row r="10238" spans="1:5" hidden="1" x14ac:dyDescent="0.3">
      <c r="A10238" t="s">
        <v>557</v>
      </c>
      <c r="B10238" t="s">
        <v>744</v>
      </c>
      <c r="C10238" t="s">
        <v>646</v>
      </c>
      <c r="D10238" s="230">
        <v>0</v>
      </c>
      <c r="E10238" t="s">
        <v>745</v>
      </c>
    </row>
    <row r="10239" spans="1:5" hidden="1" x14ac:dyDescent="0.3">
      <c r="A10239" t="s">
        <v>557</v>
      </c>
      <c r="B10239" t="s">
        <v>744</v>
      </c>
      <c r="C10239" t="s">
        <v>647</v>
      </c>
      <c r="D10239" s="230">
        <v>0</v>
      </c>
      <c r="E10239" t="s">
        <v>745</v>
      </c>
    </row>
    <row r="10240" spans="1:5" hidden="1" x14ac:dyDescent="0.3">
      <c r="A10240" t="s">
        <v>557</v>
      </c>
      <c r="B10240" t="s">
        <v>744</v>
      </c>
      <c r="C10240" t="s">
        <v>648</v>
      </c>
      <c r="D10240" s="230">
        <v>0</v>
      </c>
      <c r="E10240" t="s">
        <v>745</v>
      </c>
    </row>
    <row r="10241" spans="1:5" hidden="1" x14ac:dyDescent="0.3">
      <c r="A10241" t="s">
        <v>557</v>
      </c>
      <c r="B10241" t="s">
        <v>744</v>
      </c>
      <c r="C10241" t="s">
        <v>649</v>
      </c>
      <c r="D10241" s="230">
        <v>0</v>
      </c>
      <c r="E10241" t="s">
        <v>745</v>
      </c>
    </row>
    <row r="10242" spans="1:5" hidden="1" x14ac:dyDescent="0.3">
      <c r="A10242" t="s">
        <v>557</v>
      </c>
      <c r="B10242" t="s">
        <v>744</v>
      </c>
      <c r="C10242" t="s">
        <v>650</v>
      </c>
      <c r="D10242" s="230">
        <v>0</v>
      </c>
      <c r="E10242" t="s">
        <v>745</v>
      </c>
    </row>
    <row r="10243" spans="1:5" hidden="1" x14ac:dyDescent="0.3">
      <c r="A10243" t="s">
        <v>557</v>
      </c>
      <c r="B10243" t="s">
        <v>744</v>
      </c>
      <c r="C10243" t="s">
        <v>651</v>
      </c>
      <c r="D10243" s="230">
        <v>0</v>
      </c>
      <c r="E10243" t="s">
        <v>745</v>
      </c>
    </row>
    <row r="10244" spans="1:5" hidden="1" x14ac:dyDescent="0.3">
      <c r="A10244" t="s">
        <v>557</v>
      </c>
      <c r="B10244" t="s">
        <v>744</v>
      </c>
      <c r="C10244" t="s">
        <v>652</v>
      </c>
      <c r="D10244" s="230">
        <v>0</v>
      </c>
      <c r="E10244" t="s">
        <v>745</v>
      </c>
    </row>
    <row r="10245" spans="1:5" hidden="1" x14ac:dyDescent="0.3">
      <c r="A10245" t="s">
        <v>557</v>
      </c>
      <c r="B10245" t="s">
        <v>744</v>
      </c>
      <c r="C10245" t="s">
        <v>653</v>
      </c>
      <c r="D10245" s="230">
        <v>0</v>
      </c>
      <c r="E10245" t="s">
        <v>745</v>
      </c>
    </row>
    <row r="10246" spans="1:5" hidden="1" x14ac:dyDescent="0.3">
      <c r="A10246" t="s">
        <v>557</v>
      </c>
      <c r="B10246" t="s">
        <v>744</v>
      </c>
      <c r="C10246" t="s">
        <v>654</v>
      </c>
      <c r="D10246" s="230">
        <v>0</v>
      </c>
      <c r="E10246" t="s">
        <v>745</v>
      </c>
    </row>
    <row r="10247" spans="1:5" hidden="1" x14ac:dyDescent="0.3">
      <c r="A10247" t="s">
        <v>557</v>
      </c>
      <c r="B10247" t="s">
        <v>744</v>
      </c>
      <c r="C10247" t="s">
        <v>655</v>
      </c>
      <c r="D10247" s="230">
        <v>0</v>
      </c>
      <c r="E10247" t="s">
        <v>745</v>
      </c>
    </row>
    <row r="10248" spans="1:5" hidden="1" x14ac:dyDescent="0.3">
      <c r="A10248" t="s">
        <v>557</v>
      </c>
      <c r="B10248" t="s">
        <v>744</v>
      </c>
      <c r="C10248" t="s">
        <v>656</v>
      </c>
      <c r="D10248" s="230">
        <v>0</v>
      </c>
      <c r="E10248" t="s">
        <v>745</v>
      </c>
    </row>
    <row r="10249" spans="1:5" hidden="1" x14ac:dyDescent="0.3">
      <c r="A10249" t="s">
        <v>557</v>
      </c>
      <c r="B10249" t="s">
        <v>744</v>
      </c>
      <c r="C10249" t="s">
        <v>657</v>
      </c>
      <c r="D10249" s="230">
        <v>0</v>
      </c>
      <c r="E10249" t="s">
        <v>745</v>
      </c>
    </row>
    <row r="10250" spans="1:5" hidden="1" x14ac:dyDescent="0.3">
      <c r="A10250" t="s">
        <v>557</v>
      </c>
      <c r="B10250" t="s">
        <v>744</v>
      </c>
      <c r="C10250" t="s">
        <v>658</v>
      </c>
      <c r="D10250" s="230">
        <v>0</v>
      </c>
      <c r="E10250" t="s">
        <v>745</v>
      </c>
    </row>
    <row r="10251" spans="1:5" hidden="1" x14ac:dyDescent="0.3">
      <c r="A10251" t="s">
        <v>557</v>
      </c>
      <c r="B10251" t="s">
        <v>744</v>
      </c>
      <c r="C10251" t="s">
        <v>659</v>
      </c>
      <c r="D10251" s="230">
        <v>0</v>
      </c>
      <c r="E10251" t="s">
        <v>745</v>
      </c>
    </row>
    <row r="10252" spans="1:5" hidden="1" x14ac:dyDescent="0.3">
      <c r="A10252" t="s">
        <v>557</v>
      </c>
      <c r="B10252" t="s">
        <v>744</v>
      </c>
      <c r="C10252" t="s">
        <v>660</v>
      </c>
      <c r="D10252" s="230">
        <v>0</v>
      </c>
      <c r="E10252" t="s">
        <v>745</v>
      </c>
    </row>
    <row r="10253" spans="1:5" hidden="1" x14ac:dyDescent="0.3">
      <c r="A10253" t="s">
        <v>557</v>
      </c>
      <c r="B10253" t="s">
        <v>744</v>
      </c>
      <c r="C10253" t="s">
        <v>661</v>
      </c>
      <c r="D10253" s="230">
        <v>0</v>
      </c>
      <c r="E10253" t="s">
        <v>745</v>
      </c>
    </row>
    <row r="10254" spans="1:5" hidden="1" x14ac:dyDescent="0.3">
      <c r="A10254" t="s">
        <v>557</v>
      </c>
      <c r="B10254" t="s">
        <v>744</v>
      </c>
      <c r="C10254" t="s">
        <v>662</v>
      </c>
      <c r="D10254" s="230">
        <v>0</v>
      </c>
      <c r="E10254" t="s">
        <v>745</v>
      </c>
    </row>
    <row r="10255" spans="1:5" hidden="1" x14ac:dyDescent="0.3">
      <c r="A10255" t="s">
        <v>557</v>
      </c>
      <c r="B10255" t="s">
        <v>744</v>
      </c>
      <c r="C10255" t="s">
        <v>663</v>
      </c>
      <c r="D10255" s="230">
        <v>0</v>
      </c>
      <c r="E10255" t="s">
        <v>745</v>
      </c>
    </row>
    <row r="10256" spans="1:5" hidden="1" x14ac:dyDescent="0.3">
      <c r="A10256" t="s">
        <v>557</v>
      </c>
      <c r="B10256" t="s">
        <v>744</v>
      </c>
      <c r="C10256" t="s">
        <v>664</v>
      </c>
      <c r="D10256" s="230">
        <v>0</v>
      </c>
      <c r="E10256" t="s">
        <v>745</v>
      </c>
    </row>
    <row r="10257" spans="1:5" hidden="1" x14ac:dyDescent="0.3">
      <c r="A10257" t="s">
        <v>557</v>
      </c>
      <c r="B10257" t="s">
        <v>744</v>
      </c>
      <c r="C10257" t="s">
        <v>665</v>
      </c>
      <c r="D10257" s="230">
        <v>0</v>
      </c>
      <c r="E10257" t="s">
        <v>745</v>
      </c>
    </row>
    <row r="10258" spans="1:5" hidden="1" x14ac:dyDescent="0.3">
      <c r="A10258" t="s">
        <v>557</v>
      </c>
      <c r="B10258" t="s">
        <v>744</v>
      </c>
      <c r="C10258" t="s">
        <v>666</v>
      </c>
      <c r="D10258" s="230">
        <v>0</v>
      </c>
      <c r="E10258" t="s">
        <v>745</v>
      </c>
    </row>
    <row r="10259" spans="1:5" hidden="1" x14ac:dyDescent="0.3">
      <c r="A10259" t="s">
        <v>557</v>
      </c>
      <c r="B10259" t="s">
        <v>744</v>
      </c>
      <c r="C10259" t="s">
        <v>667</v>
      </c>
      <c r="D10259" s="230">
        <v>0</v>
      </c>
      <c r="E10259" t="s">
        <v>745</v>
      </c>
    </row>
    <row r="10260" spans="1:5" hidden="1" x14ac:dyDescent="0.3">
      <c r="A10260" t="s">
        <v>557</v>
      </c>
      <c r="B10260" t="s">
        <v>744</v>
      </c>
      <c r="C10260" t="s">
        <v>668</v>
      </c>
      <c r="D10260" s="230">
        <v>0</v>
      </c>
      <c r="E10260" t="s">
        <v>745</v>
      </c>
    </row>
    <row r="10261" spans="1:5" hidden="1" x14ac:dyDescent="0.3">
      <c r="A10261" t="s">
        <v>557</v>
      </c>
      <c r="B10261" t="s">
        <v>744</v>
      </c>
      <c r="C10261" t="s">
        <v>669</v>
      </c>
      <c r="D10261" s="230">
        <v>0</v>
      </c>
      <c r="E10261" t="s">
        <v>745</v>
      </c>
    </row>
    <row r="10262" spans="1:5" hidden="1" x14ac:dyDescent="0.3">
      <c r="A10262" t="s">
        <v>557</v>
      </c>
      <c r="B10262" t="s">
        <v>744</v>
      </c>
      <c r="C10262" t="s">
        <v>670</v>
      </c>
      <c r="D10262" s="230">
        <v>0</v>
      </c>
      <c r="E10262" t="s">
        <v>745</v>
      </c>
    </row>
    <row r="10263" spans="1:5" hidden="1" x14ac:dyDescent="0.3">
      <c r="A10263" t="s">
        <v>557</v>
      </c>
      <c r="B10263" t="s">
        <v>744</v>
      </c>
      <c r="C10263" t="s">
        <v>671</v>
      </c>
      <c r="D10263" s="230">
        <v>0</v>
      </c>
      <c r="E10263" t="s">
        <v>745</v>
      </c>
    </row>
    <row r="10264" spans="1:5" hidden="1" x14ac:dyDescent="0.3">
      <c r="A10264" t="s">
        <v>557</v>
      </c>
      <c r="B10264" t="s">
        <v>744</v>
      </c>
      <c r="C10264" t="s">
        <v>672</v>
      </c>
      <c r="D10264" s="230">
        <v>0</v>
      </c>
      <c r="E10264" t="s">
        <v>745</v>
      </c>
    </row>
    <row r="10265" spans="1:5" hidden="1" x14ac:dyDescent="0.3">
      <c r="A10265" t="s">
        <v>557</v>
      </c>
      <c r="B10265" t="s">
        <v>744</v>
      </c>
      <c r="C10265" t="s">
        <v>673</v>
      </c>
      <c r="D10265" s="230">
        <v>0</v>
      </c>
      <c r="E10265" t="s">
        <v>745</v>
      </c>
    </row>
    <row r="10266" spans="1:5" hidden="1" x14ac:dyDescent="0.3">
      <c r="A10266" t="s">
        <v>557</v>
      </c>
      <c r="B10266" t="s">
        <v>744</v>
      </c>
      <c r="C10266" t="s">
        <v>674</v>
      </c>
      <c r="D10266" s="230">
        <v>0</v>
      </c>
      <c r="E10266" t="s">
        <v>745</v>
      </c>
    </row>
    <row r="10267" spans="1:5" hidden="1" x14ac:dyDescent="0.3">
      <c r="A10267" t="s">
        <v>557</v>
      </c>
      <c r="B10267" t="s">
        <v>744</v>
      </c>
      <c r="C10267" t="s">
        <v>675</v>
      </c>
      <c r="D10267" s="230">
        <v>0</v>
      </c>
      <c r="E10267" t="s">
        <v>745</v>
      </c>
    </row>
    <row r="10268" spans="1:5" hidden="1" x14ac:dyDescent="0.3">
      <c r="A10268" t="s">
        <v>557</v>
      </c>
      <c r="B10268" t="s">
        <v>744</v>
      </c>
      <c r="C10268" t="s">
        <v>676</v>
      </c>
      <c r="D10268" s="230">
        <v>0</v>
      </c>
      <c r="E10268" t="s">
        <v>745</v>
      </c>
    </row>
    <row r="10269" spans="1:5" hidden="1" x14ac:dyDescent="0.3">
      <c r="A10269" t="s">
        <v>557</v>
      </c>
      <c r="B10269" t="s">
        <v>744</v>
      </c>
      <c r="C10269" t="s">
        <v>677</v>
      </c>
      <c r="D10269" s="230">
        <v>0</v>
      </c>
      <c r="E10269" t="s">
        <v>745</v>
      </c>
    </row>
    <row r="10270" spans="1:5" hidden="1" x14ac:dyDescent="0.3">
      <c r="A10270" t="s">
        <v>557</v>
      </c>
      <c r="B10270" t="s">
        <v>744</v>
      </c>
      <c r="C10270" t="s">
        <v>201</v>
      </c>
      <c r="D10270" s="230">
        <v>-7848.5</v>
      </c>
      <c r="E10270" t="s">
        <v>745</v>
      </c>
    </row>
    <row r="10271" spans="1:5" hidden="1" x14ac:dyDescent="0.3">
      <c r="A10271" t="s">
        <v>557</v>
      </c>
      <c r="B10271" t="s">
        <v>744</v>
      </c>
      <c r="C10271" t="s">
        <v>203</v>
      </c>
      <c r="D10271" s="230">
        <v>-7848.5</v>
      </c>
      <c r="E10271" t="s">
        <v>745</v>
      </c>
    </row>
    <row r="10272" spans="1:5" hidden="1" x14ac:dyDescent="0.3">
      <c r="A10272" t="s">
        <v>557</v>
      </c>
      <c r="B10272" t="s">
        <v>744</v>
      </c>
      <c r="C10272" t="s">
        <v>678</v>
      </c>
      <c r="D10272" s="230">
        <v>3924.25</v>
      </c>
      <c r="E10272" t="s">
        <v>745</v>
      </c>
    </row>
    <row r="10273" spans="1:5" hidden="1" x14ac:dyDescent="0.3">
      <c r="A10273" t="s">
        <v>557</v>
      </c>
      <c r="B10273" t="s">
        <v>744</v>
      </c>
      <c r="C10273" t="s">
        <v>205</v>
      </c>
      <c r="D10273" s="230">
        <v>-38190.65</v>
      </c>
      <c r="E10273" t="s">
        <v>745</v>
      </c>
    </row>
    <row r="10274" spans="1:5" hidden="1" x14ac:dyDescent="0.3">
      <c r="A10274" t="s">
        <v>557</v>
      </c>
      <c r="B10274" t="s">
        <v>744</v>
      </c>
      <c r="C10274" t="s">
        <v>679</v>
      </c>
      <c r="D10274" s="230">
        <v>-5565.13</v>
      </c>
      <c r="E10274" t="s">
        <v>745</v>
      </c>
    </row>
    <row r="10275" spans="1:5" hidden="1" x14ac:dyDescent="0.3">
      <c r="A10275" t="s">
        <v>557</v>
      </c>
      <c r="B10275" t="s">
        <v>744</v>
      </c>
      <c r="C10275" t="s">
        <v>680</v>
      </c>
      <c r="D10275" s="230">
        <v>0</v>
      </c>
      <c r="E10275" t="s">
        <v>745</v>
      </c>
    </row>
    <row r="10276" spans="1:5" hidden="1" x14ac:dyDescent="0.3">
      <c r="A10276" t="s">
        <v>557</v>
      </c>
      <c r="B10276" t="s">
        <v>744</v>
      </c>
      <c r="C10276" t="s">
        <v>681</v>
      </c>
      <c r="D10276" s="230">
        <v>-7016.38</v>
      </c>
      <c r="E10276" t="s">
        <v>745</v>
      </c>
    </row>
    <row r="10277" spans="1:5" hidden="1" x14ac:dyDescent="0.3">
      <c r="A10277" t="s">
        <v>557</v>
      </c>
      <c r="B10277" t="s">
        <v>744</v>
      </c>
      <c r="C10277" t="s">
        <v>682</v>
      </c>
      <c r="D10277" s="230">
        <v>-2594.38</v>
      </c>
      <c r="E10277" t="s">
        <v>745</v>
      </c>
    </row>
    <row r="10278" spans="1:5" hidden="1" x14ac:dyDescent="0.3">
      <c r="A10278" t="s">
        <v>557</v>
      </c>
      <c r="B10278" t="s">
        <v>744</v>
      </c>
      <c r="C10278" t="s">
        <v>683</v>
      </c>
      <c r="D10278" s="230">
        <v>-4110.8999999999996</v>
      </c>
      <c r="E10278" t="s">
        <v>745</v>
      </c>
    </row>
    <row r="10279" spans="1:5" hidden="1" x14ac:dyDescent="0.3">
      <c r="A10279" t="s">
        <v>557</v>
      </c>
      <c r="B10279" t="s">
        <v>744</v>
      </c>
      <c r="C10279" t="s">
        <v>684</v>
      </c>
      <c r="D10279" s="230">
        <v>0</v>
      </c>
      <c r="E10279" t="s">
        <v>745</v>
      </c>
    </row>
    <row r="10280" spans="1:5" hidden="1" x14ac:dyDescent="0.3">
      <c r="A10280" t="s">
        <v>557</v>
      </c>
      <c r="B10280" t="s">
        <v>744</v>
      </c>
      <c r="C10280" t="s">
        <v>685</v>
      </c>
      <c r="D10280" s="230">
        <v>0</v>
      </c>
      <c r="E10280" t="s">
        <v>745</v>
      </c>
    </row>
    <row r="10281" spans="1:5" hidden="1" x14ac:dyDescent="0.3">
      <c r="A10281" t="s">
        <v>557</v>
      </c>
      <c r="B10281" t="s">
        <v>744</v>
      </c>
      <c r="C10281" t="s">
        <v>686</v>
      </c>
      <c r="D10281" s="230">
        <v>-285.38</v>
      </c>
      <c r="E10281" t="s">
        <v>745</v>
      </c>
    </row>
    <row r="10282" spans="1:5" hidden="1" x14ac:dyDescent="0.3">
      <c r="A10282" t="s">
        <v>557</v>
      </c>
      <c r="B10282" t="s">
        <v>744</v>
      </c>
      <c r="C10282" t="s">
        <v>687</v>
      </c>
      <c r="D10282" s="230">
        <v>-452.2</v>
      </c>
      <c r="E10282" t="s">
        <v>745</v>
      </c>
    </row>
    <row r="10283" spans="1:5" hidden="1" x14ac:dyDescent="0.3">
      <c r="A10283" t="s">
        <v>557</v>
      </c>
      <c r="B10283" t="s">
        <v>744</v>
      </c>
      <c r="C10283" t="s">
        <v>688</v>
      </c>
      <c r="D10283" s="230">
        <v>-9145.66</v>
      </c>
      <c r="E10283" t="s">
        <v>745</v>
      </c>
    </row>
    <row r="10284" spans="1:5" hidden="1" x14ac:dyDescent="0.3">
      <c r="A10284" t="s">
        <v>557</v>
      </c>
      <c r="B10284" t="s">
        <v>744</v>
      </c>
      <c r="C10284" t="s">
        <v>689</v>
      </c>
      <c r="D10284" s="230">
        <v>-4381.8500000000004</v>
      </c>
      <c r="E10284" t="s">
        <v>745</v>
      </c>
    </row>
    <row r="10285" spans="1:5" hidden="1" x14ac:dyDescent="0.3">
      <c r="A10285" t="s">
        <v>557</v>
      </c>
      <c r="B10285" t="s">
        <v>744</v>
      </c>
      <c r="C10285" t="s">
        <v>690</v>
      </c>
      <c r="D10285" s="230">
        <v>0</v>
      </c>
      <c r="E10285" t="s">
        <v>745</v>
      </c>
    </row>
    <row r="10286" spans="1:5" hidden="1" x14ac:dyDescent="0.3">
      <c r="A10286" t="s">
        <v>557</v>
      </c>
      <c r="B10286" t="s">
        <v>744</v>
      </c>
      <c r="C10286" t="s">
        <v>691</v>
      </c>
      <c r="D10286" s="230">
        <v>0</v>
      </c>
      <c r="E10286" t="s">
        <v>745</v>
      </c>
    </row>
    <row r="10287" spans="1:5" hidden="1" x14ac:dyDescent="0.3">
      <c r="A10287" t="s">
        <v>557</v>
      </c>
      <c r="B10287" t="s">
        <v>744</v>
      </c>
      <c r="C10287" t="s">
        <v>692</v>
      </c>
      <c r="D10287" s="230">
        <v>-4638.76</v>
      </c>
      <c r="E10287" t="s">
        <v>745</v>
      </c>
    </row>
    <row r="10288" spans="1:5" hidden="1" x14ac:dyDescent="0.3">
      <c r="A10288" t="s">
        <v>557</v>
      </c>
      <c r="B10288" t="s">
        <v>744</v>
      </c>
      <c r="C10288" t="s">
        <v>693</v>
      </c>
      <c r="D10288" s="230">
        <v>0</v>
      </c>
      <c r="E10288" t="s">
        <v>745</v>
      </c>
    </row>
    <row r="10289" spans="1:5" hidden="1" x14ac:dyDescent="0.3">
      <c r="A10289" t="s">
        <v>557</v>
      </c>
      <c r="B10289" t="s">
        <v>744</v>
      </c>
      <c r="C10289" t="s">
        <v>694</v>
      </c>
      <c r="D10289" s="230">
        <v>0</v>
      </c>
      <c r="E10289" t="s">
        <v>745</v>
      </c>
    </row>
    <row r="10290" spans="1:5" hidden="1" x14ac:dyDescent="0.3">
      <c r="A10290" t="s">
        <v>557</v>
      </c>
      <c r="B10290" t="s">
        <v>744</v>
      </c>
      <c r="C10290" t="s">
        <v>238</v>
      </c>
      <c r="D10290" s="230">
        <v>-8093.16</v>
      </c>
      <c r="E10290" t="s">
        <v>745</v>
      </c>
    </row>
    <row r="10291" spans="1:5" hidden="1" x14ac:dyDescent="0.3">
      <c r="A10291" t="s">
        <v>557</v>
      </c>
      <c r="B10291" t="s">
        <v>744</v>
      </c>
      <c r="C10291" t="s">
        <v>695</v>
      </c>
      <c r="D10291" s="230">
        <v>-6400.64</v>
      </c>
      <c r="E10291" t="s">
        <v>745</v>
      </c>
    </row>
    <row r="10292" spans="1:5" hidden="1" x14ac:dyDescent="0.3">
      <c r="A10292" t="s">
        <v>557</v>
      </c>
      <c r="B10292" t="s">
        <v>744</v>
      </c>
      <c r="C10292" t="s">
        <v>696</v>
      </c>
      <c r="D10292" s="230">
        <v>-1457.18</v>
      </c>
      <c r="E10292" t="s">
        <v>745</v>
      </c>
    </row>
    <row r="10293" spans="1:5" hidden="1" x14ac:dyDescent="0.3">
      <c r="A10293" t="s">
        <v>557</v>
      </c>
      <c r="B10293" t="s">
        <v>744</v>
      </c>
      <c r="C10293" t="s">
        <v>697</v>
      </c>
      <c r="D10293" s="230">
        <v>0</v>
      </c>
      <c r="E10293" t="s">
        <v>745</v>
      </c>
    </row>
    <row r="10294" spans="1:5" hidden="1" x14ac:dyDescent="0.3">
      <c r="A10294" t="s">
        <v>557</v>
      </c>
      <c r="B10294" t="s">
        <v>744</v>
      </c>
      <c r="C10294" t="s">
        <v>698</v>
      </c>
      <c r="D10294" s="230">
        <v>-235.34</v>
      </c>
      <c r="E10294" t="s">
        <v>745</v>
      </c>
    </row>
    <row r="10295" spans="1:5" hidden="1" x14ac:dyDescent="0.3">
      <c r="A10295" t="s">
        <v>557</v>
      </c>
      <c r="B10295" t="s">
        <v>744</v>
      </c>
      <c r="C10295" t="s">
        <v>699</v>
      </c>
      <c r="D10295" s="230">
        <v>0</v>
      </c>
      <c r="E10295" t="s">
        <v>745</v>
      </c>
    </row>
    <row r="10296" spans="1:5" hidden="1" x14ac:dyDescent="0.3">
      <c r="A10296" t="s">
        <v>557</v>
      </c>
      <c r="B10296" t="s">
        <v>744</v>
      </c>
      <c r="C10296" t="s">
        <v>245</v>
      </c>
      <c r="D10296" s="230">
        <v>-17002.810000000001</v>
      </c>
      <c r="E10296" t="s">
        <v>745</v>
      </c>
    </row>
    <row r="10297" spans="1:5" hidden="1" x14ac:dyDescent="0.3">
      <c r="A10297" t="s">
        <v>557</v>
      </c>
      <c r="B10297" t="s">
        <v>744</v>
      </c>
      <c r="C10297" t="s">
        <v>700</v>
      </c>
      <c r="D10297" s="230">
        <v>-419.4</v>
      </c>
      <c r="E10297" t="s">
        <v>745</v>
      </c>
    </row>
    <row r="10298" spans="1:5" hidden="1" x14ac:dyDescent="0.3">
      <c r="A10298" t="s">
        <v>557</v>
      </c>
      <c r="B10298" t="s">
        <v>744</v>
      </c>
      <c r="C10298" t="s">
        <v>701</v>
      </c>
      <c r="D10298" s="230">
        <v>-726.23</v>
      </c>
      <c r="E10298" t="s">
        <v>745</v>
      </c>
    </row>
    <row r="10299" spans="1:5" hidden="1" x14ac:dyDescent="0.3">
      <c r="A10299" t="s">
        <v>557</v>
      </c>
      <c r="B10299" t="s">
        <v>744</v>
      </c>
      <c r="C10299" t="s">
        <v>702</v>
      </c>
      <c r="D10299" s="230">
        <v>0</v>
      </c>
      <c r="E10299" t="s">
        <v>745</v>
      </c>
    </row>
    <row r="10300" spans="1:5" hidden="1" x14ac:dyDescent="0.3">
      <c r="A10300" t="s">
        <v>557</v>
      </c>
      <c r="B10300" t="s">
        <v>744</v>
      </c>
      <c r="C10300" t="s">
        <v>703</v>
      </c>
      <c r="D10300" s="230">
        <v>-3000</v>
      </c>
      <c r="E10300" t="s">
        <v>745</v>
      </c>
    </row>
    <row r="10301" spans="1:5" hidden="1" x14ac:dyDescent="0.3">
      <c r="A10301" t="s">
        <v>557</v>
      </c>
      <c r="B10301" t="s">
        <v>744</v>
      </c>
      <c r="C10301" t="s">
        <v>704</v>
      </c>
      <c r="D10301" s="230">
        <v>0</v>
      </c>
      <c r="E10301" t="s">
        <v>745</v>
      </c>
    </row>
    <row r="10302" spans="1:5" hidden="1" x14ac:dyDescent="0.3">
      <c r="A10302" t="s">
        <v>557</v>
      </c>
      <c r="B10302" t="s">
        <v>744</v>
      </c>
      <c r="C10302" t="s">
        <v>705</v>
      </c>
      <c r="D10302" s="230">
        <v>-12857.18</v>
      </c>
      <c r="E10302" t="s">
        <v>745</v>
      </c>
    </row>
    <row r="10303" spans="1:5" hidden="1" x14ac:dyDescent="0.3">
      <c r="A10303" t="s">
        <v>557</v>
      </c>
      <c r="B10303" t="s">
        <v>744</v>
      </c>
      <c r="C10303" t="s">
        <v>706</v>
      </c>
      <c r="D10303" s="230">
        <v>0</v>
      </c>
      <c r="E10303" t="s">
        <v>745</v>
      </c>
    </row>
    <row r="10304" spans="1:5" hidden="1" x14ac:dyDescent="0.3">
      <c r="A10304" t="s">
        <v>557</v>
      </c>
      <c r="B10304" t="s">
        <v>744</v>
      </c>
      <c r="C10304" t="s">
        <v>254</v>
      </c>
      <c r="D10304" s="230">
        <v>-0.27</v>
      </c>
      <c r="E10304" t="s">
        <v>745</v>
      </c>
    </row>
    <row r="10305" spans="1:5" hidden="1" x14ac:dyDescent="0.3">
      <c r="A10305" t="s">
        <v>557</v>
      </c>
      <c r="B10305" t="s">
        <v>744</v>
      </c>
      <c r="C10305" t="s">
        <v>255</v>
      </c>
      <c r="D10305" s="230">
        <v>-0.2</v>
      </c>
      <c r="E10305" t="s">
        <v>745</v>
      </c>
    </row>
    <row r="10306" spans="1:5" hidden="1" x14ac:dyDescent="0.3">
      <c r="A10306" t="s">
        <v>557</v>
      </c>
      <c r="B10306" t="s">
        <v>744</v>
      </c>
      <c r="C10306" t="s">
        <v>256</v>
      </c>
      <c r="D10306" s="230">
        <v>-51438.17</v>
      </c>
      <c r="E10306" t="s">
        <v>745</v>
      </c>
    </row>
    <row r="10307" spans="1:5" hidden="1" x14ac:dyDescent="0.3">
      <c r="A10307" t="s">
        <v>557</v>
      </c>
      <c r="B10307" t="s">
        <v>744</v>
      </c>
      <c r="C10307" t="s">
        <v>257</v>
      </c>
      <c r="D10307" s="230">
        <v>-49002</v>
      </c>
      <c r="E10307" t="s">
        <v>745</v>
      </c>
    </row>
    <row r="10308" spans="1:5" hidden="1" x14ac:dyDescent="0.3">
      <c r="A10308" t="s">
        <v>557</v>
      </c>
      <c r="B10308" t="s">
        <v>744</v>
      </c>
      <c r="C10308" t="s">
        <v>258</v>
      </c>
      <c r="D10308" s="230">
        <v>0</v>
      </c>
      <c r="E10308" t="s">
        <v>745</v>
      </c>
    </row>
    <row r="10309" spans="1:5" hidden="1" x14ac:dyDescent="0.3">
      <c r="A10309" t="s">
        <v>557</v>
      </c>
      <c r="B10309" t="s">
        <v>744</v>
      </c>
      <c r="C10309" t="s">
        <v>259</v>
      </c>
      <c r="D10309" s="230">
        <v>-2436.17</v>
      </c>
      <c r="E10309" t="s">
        <v>745</v>
      </c>
    </row>
    <row r="10310" spans="1:5" hidden="1" x14ac:dyDescent="0.3">
      <c r="A10310" t="s">
        <v>557</v>
      </c>
      <c r="B10310" t="s">
        <v>744</v>
      </c>
      <c r="C10310" t="s">
        <v>260</v>
      </c>
      <c r="D10310" s="230">
        <v>0</v>
      </c>
      <c r="E10310" t="s">
        <v>745</v>
      </c>
    </row>
    <row r="10311" spans="1:5" hidden="1" x14ac:dyDescent="0.3">
      <c r="A10311" t="s">
        <v>557</v>
      </c>
      <c r="B10311" t="s">
        <v>744</v>
      </c>
      <c r="C10311" t="s">
        <v>261</v>
      </c>
      <c r="D10311" s="230">
        <v>0</v>
      </c>
      <c r="E10311" t="s">
        <v>745</v>
      </c>
    </row>
    <row r="10312" spans="1:5" hidden="1" x14ac:dyDescent="0.3">
      <c r="A10312" t="s">
        <v>557</v>
      </c>
      <c r="B10312" t="s">
        <v>744</v>
      </c>
      <c r="C10312" t="s">
        <v>262</v>
      </c>
      <c r="D10312" s="230">
        <v>0</v>
      </c>
      <c r="E10312" t="s">
        <v>745</v>
      </c>
    </row>
    <row r="10313" spans="1:5" hidden="1" x14ac:dyDescent="0.3">
      <c r="A10313" t="s">
        <v>557</v>
      </c>
      <c r="B10313" t="s">
        <v>744</v>
      </c>
      <c r="C10313" t="s">
        <v>263</v>
      </c>
      <c r="D10313" s="230">
        <v>0</v>
      </c>
      <c r="E10313" t="s">
        <v>745</v>
      </c>
    </row>
    <row r="10314" spans="1:5" hidden="1" x14ac:dyDescent="0.3">
      <c r="A10314" t="s">
        <v>557</v>
      </c>
      <c r="B10314" t="s">
        <v>744</v>
      </c>
      <c r="C10314" t="s">
        <v>44</v>
      </c>
      <c r="D10314" s="230">
        <v>-0.1</v>
      </c>
      <c r="E10314" t="s">
        <v>745</v>
      </c>
    </row>
    <row r="10315" spans="1:5" hidden="1" x14ac:dyDescent="0.3">
      <c r="A10315" t="s">
        <v>557</v>
      </c>
      <c r="B10315" t="s">
        <v>744</v>
      </c>
      <c r="C10315" t="s">
        <v>264</v>
      </c>
      <c r="D10315" s="230">
        <v>-38460.730000000003</v>
      </c>
      <c r="E10315" t="s">
        <v>745</v>
      </c>
    </row>
    <row r="10316" spans="1:5" hidden="1" x14ac:dyDescent="0.3">
      <c r="A10316" t="s">
        <v>557</v>
      </c>
      <c r="B10316" t="s">
        <v>744</v>
      </c>
      <c r="C10316" t="s">
        <v>265</v>
      </c>
      <c r="D10316" s="230">
        <v>-5075.05</v>
      </c>
      <c r="E10316" t="s">
        <v>745</v>
      </c>
    </row>
    <row r="10317" spans="1:5" hidden="1" x14ac:dyDescent="0.3">
      <c r="A10317" t="s">
        <v>557</v>
      </c>
      <c r="B10317" t="s">
        <v>744</v>
      </c>
      <c r="C10317" t="s">
        <v>266</v>
      </c>
      <c r="D10317" s="230">
        <v>-10869.82</v>
      </c>
      <c r="E10317" t="s">
        <v>745</v>
      </c>
    </row>
    <row r="10318" spans="1:5" hidden="1" x14ac:dyDescent="0.3">
      <c r="A10318" t="s">
        <v>557</v>
      </c>
      <c r="B10318" t="s">
        <v>744</v>
      </c>
      <c r="C10318" t="s">
        <v>267</v>
      </c>
      <c r="D10318" s="230">
        <v>-6000.85</v>
      </c>
      <c r="E10318" t="s">
        <v>745</v>
      </c>
    </row>
    <row r="10319" spans="1:5" hidden="1" x14ac:dyDescent="0.3">
      <c r="A10319" t="s">
        <v>557</v>
      </c>
      <c r="B10319" t="s">
        <v>744</v>
      </c>
      <c r="C10319" t="s">
        <v>268</v>
      </c>
      <c r="D10319" s="230">
        <v>-7975.7</v>
      </c>
      <c r="E10319" t="s">
        <v>745</v>
      </c>
    </row>
    <row r="10320" spans="1:5" hidden="1" x14ac:dyDescent="0.3">
      <c r="A10320" t="s">
        <v>557</v>
      </c>
      <c r="B10320" t="s">
        <v>744</v>
      </c>
      <c r="C10320" t="s">
        <v>269</v>
      </c>
      <c r="D10320" s="230">
        <v>0</v>
      </c>
      <c r="E10320" t="s">
        <v>745</v>
      </c>
    </row>
    <row r="10321" spans="1:5" hidden="1" x14ac:dyDescent="0.3">
      <c r="A10321" t="s">
        <v>557</v>
      </c>
      <c r="B10321" t="s">
        <v>744</v>
      </c>
      <c r="C10321" t="s">
        <v>270</v>
      </c>
      <c r="D10321" s="230">
        <v>-550</v>
      </c>
      <c r="E10321" t="s">
        <v>745</v>
      </c>
    </row>
    <row r="10322" spans="1:5" hidden="1" x14ac:dyDescent="0.3">
      <c r="A10322" t="s">
        <v>557</v>
      </c>
      <c r="B10322" t="s">
        <v>744</v>
      </c>
      <c r="C10322" t="s">
        <v>271</v>
      </c>
      <c r="D10322" s="230">
        <v>-975.27</v>
      </c>
      <c r="E10322" t="s">
        <v>745</v>
      </c>
    </row>
    <row r="10323" spans="1:5" hidden="1" x14ac:dyDescent="0.3">
      <c r="A10323" t="s">
        <v>557</v>
      </c>
      <c r="B10323" t="s">
        <v>744</v>
      </c>
      <c r="C10323" t="s">
        <v>272</v>
      </c>
      <c r="D10323" s="230">
        <v>-422.53</v>
      </c>
      <c r="E10323" t="s">
        <v>745</v>
      </c>
    </row>
    <row r="10324" spans="1:5" hidden="1" x14ac:dyDescent="0.3">
      <c r="A10324" t="s">
        <v>557</v>
      </c>
      <c r="B10324" t="s">
        <v>744</v>
      </c>
      <c r="C10324" t="s">
        <v>273</v>
      </c>
      <c r="D10324" s="230">
        <v>0</v>
      </c>
      <c r="E10324" t="s">
        <v>745</v>
      </c>
    </row>
    <row r="10325" spans="1:5" hidden="1" x14ac:dyDescent="0.3">
      <c r="A10325" t="s">
        <v>557</v>
      </c>
      <c r="B10325" t="s">
        <v>744</v>
      </c>
      <c r="C10325" t="s">
        <v>274</v>
      </c>
      <c r="D10325" s="230">
        <v>0</v>
      </c>
      <c r="E10325" t="s">
        <v>745</v>
      </c>
    </row>
    <row r="10326" spans="1:5" hidden="1" x14ac:dyDescent="0.3">
      <c r="A10326" t="s">
        <v>557</v>
      </c>
      <c r="B10326" t="s">
        <v>744</v>
      </c>
      <c r="C10326" t="s">
        <v>275</v>
      </c>
      <c r="D10326" s="230">
        <v>-455.46</v>
      </c>
      <c r="E10326" t="s">
        <v>745</v>
      </c>
    </row>
    <row r="10327" spans="1:5" hidden="1" x14ac:dyDescent="0.3">
      <c r="A10327" t="s">
        <v>557</v>
      </c>
      <c r="B10327" t="s">
        <v>744</v>
      </c>
      <c r="C10327" t="s">
        <v>276</v>
      </c>
      <c r="D10327" s="230">
        <v>-1400</v>
      </c>
      <c r="E10327" t="s">
        <v>745</v>
      </c>
    </row>
    <row r="10328" spans="1:5" hidden="1" x14ac:dyDescent="0.3">
      <c r="A10328" t="s">
        <v>557</v>
      </c>
      <c r="B10328" t="s">
        <v>744</v>
      </c>
      <c r="C10328" t="s">
        <v>277</v>
      </c>
      <c r="D10328" s="230">
        <v>-208</v>
      </c>
      <c r="E10328" t="s">
        <v>745</v>
      </c>
    </row>
    <row r="10329" spans="1:5" hidden="1" x14ac:dyDescent="0.3">
      <c r="A10329" t="s">
        <v>557</v>
      </c>
      <c r="B10329" t="s">
        <v>744</v>
      </c>
      <c r="C10329" t="s">
        <v>278</v>
      </c>
      <c r="D10329" s="230">
        <v>-4528.05</v>
      </c>
      <c r="E10329" t="s">
        <v>745</v>
      </c>
    </row>
    <row r="10330" spans="1:5" hidden="1" x14ac:dyDescent="0.3">
      <c r="A10330" t="s">
        <v>557</v>
      </c>
      <c r="B10330" t="s">
        <v>744</v>
      </c>
      <c r="C10330" t="s">
        <v>44</v>
      </c>
      <c r="D10330" s="230">
        <v>-0.08</v>
      </c>
      <c r="E10330" t="s">
        <v>745</v>
      </c>
    </row>
    <row r="10331" spans="1:5" hidden="1" x14ac:dyDescent="0.3">
      <c r="A10331" t="s">
        <v>557</v>
      </c>
      <c r="B10331" t="s">
        <v>744</v>
      </c>
      <c r="C10331" t="s">
        <v>279</v>
      </c>
      <c r="D10331" s="230">
        <v>-6183.47</v>
      </c>
      <c r="E10331" t="s">
        <v>745</v>
      </c>
    </row>
    <row r="10332" spans="1:5" hidden="1" x14ac:dyDescent="0.3">
      <c r="A10332" t="s">
        <v>557</v>
      </c>
      <c r="B10332" t="s">
        <v>744</v>
      </c>
      <c r="C10332" t="s">
        <v>280</v>
      </c>
      <c r="D10332" s="230">
        <v>0</v>
      </c>
      <c r="E10332" t="s">
        <v>745</v>
      </c>
    </row>
    <row r="10333" spans="1:5" hidden="1" x14ac:dyDescent="0.3">
      <c r="A10333" t="s">
        <v>557</v>
      </c>
      <c r="B10333" t="s">
        <v>744</v>
      </c>
      <c r="C10333" t="s">
        <v>281</v>
      </c>
      <c r="D10333" s="230">
        <v>-579.88</v>
      </c>
      <c r="E10333" t="s">
        <v>745</v>
      </c>
    </row>
    <row r="10334" spans="1:5" hidden="1" x14ac:dyDescent="0.3">
      <c r="A10334" t="s">
        <v>557</v>
      </c>
      <c r="B10334" t="s">
        <v>744</v>
      </c>
      <c r="C10334" t="s">
        <v>282</v>
      </c>
      <c r="D10334" s="230">
        <v>-342.97</v>
      </c>
      <c r="E10334" t="s">
        <v>745</v>
      </c>
    </row>
    <row r="10335" spans="1:5" hidden="1" x14ac:dyDescent="0.3">
      <c r="A10335" t="s">
        <v>557</v>
      </c>
      <c r="B10335" t="s">
        <v>744</v>
      </c>
      <c r="C10335" t="s">
        <v>283</v>
      </c>
      <c r="D10335" s="230">
        <v>-300.22000000000003</v>
      </c>
      <c r="E10335" t="s">
        <v>745</v>
      </c>
    </row>
    <row r="10336" spans="1:5" hidden="1" x14ac:dyDescent="0.3">
      <c r="A10336" t="s">
        <v>557</v>
      </c>
      <c r="B10336" t="s">
        <v>744</v>
      </c>
      <c r="C10336" t="s">
        <v>284</v>
      </c>
      <c r="D10336" s="230">
        <v>-3675.3</v>
      </c>
      <c r="E10336" t="s">
        <v>745</v>
      </c>
    </row>
    <row r="10337" spans="1:5" hidden="1" x14ac:dyDescent="0.3">
      <c r="A10337" t="s">
        <v>557</v>
      </c>
      <c r="B10337" t="s">
        <v>744</v>
      </c>
      <c r="C10337" t="s">
        <v>285</v>
      </c>
      <c r="D10337" s="230">
        <v>-389</v>
      </c>
      <c r="E10337" t="s">
        <v>745</v>
      </c>
    </row>
    <row r="10338" spans="1:5" hidden="1" x14ac:dyDescent="0.3">
      <c r="A10338" t="s">
        <v>557</v>
      </c>
      <c r="B10338" t="s">
        <v>744</v>
      </c>
      <c r="C10338" t="s">
        <v>286</v>
      </c>
      <c r="D10338" s="230">
        <v>-896.1</v>
      </c>
      <c r="E10338" t="s">
        <v>745</v>
      </c>
    </row>
    <row r="10339" spans="1:5" hidden="1" x14ac:dyDescent="0.3">
      <c r="A10339" t="s">
        <v>557</v>
      </c>
      <c r="B10339" t="s">
        <v>744</v>
      </c>
      <c r="C10339" t="s">
        <v>44</v>
      </c>
      <c r="D10339" s="230">
        <v>-0.01</v>
      </c>
      <c r="E10339" t="s">
        <v>745</v>
      </c>
    </row>
    <row r="10340" spans="1:5" hidden="1" x14ac:dyDescent="0.3">
      <c r="A10340" t="s">
        <v>557</v>
      </c>
      <c r="B10340" t="s">
        <v>744</v>
      </c>
      <c r="C10340" t="s">
        <v>287</v>
      </c>
      <c r="D10340" s="230">
        <v>-5181.84</v>
      </c>
      <c r="E10340" t="s">
        <v>745</v>
      </c>
    </row>
    <row r="10341" spans="1:5" hidden="1" x14ac:dyDescent="0.3">
      <c r="A10341" t="s">
        <v>557</v>
      </c>
      <c r="B10341" t="s">
        <v>744</v>
      </c>
      <c r="C10341" t="s">
        <v>288</v>
      </c>
      <c r="D10341" s="230">
        <v>-3850</v>
      </c>
      <c r="E10341" t="s">
        <v>745</v>
      </c>
    </row>
    <row r="10342" spans="1:5" hidden="1" x14ac:dyDescent="0.3">
      <c r="A10342" t="s">
        <v>557</v>
      </c>
      <c r="B10342" t="s">
        <v>744</v>
      </c>
      <c r="C10342" t="s">
        <v>289</v>
      </c>
      <c r="D10342" s="230">
        <v>-1296.3</v>
      </c>
      <c r="E10342" t="s">
        <v>745</v>
      </c>
    </row>
    <row r="10343" spans="1:5" hidden="1" x14ac:dyDescent="0.3">
      <c r="A10343" t="s">
        <v>557</v>
      </c>
      <c r="B10343" t="s">
        <v>744</v>
      </c>
      <c r="C10343" t="s">
        <v>290</v>
      </c>
      <c r="D10343" s="230">
        <v>0</v>
      </c>
      <c r="E10343" t="s">
        <v>745</v>
      </c>
    </row>
    <row r="10344" spans="1:5" hidden="1" x14ac:dyDescent="0.3">
      <c r="A10344" t="s">
        <v>557</v>
      </c>
      <c r="B10344" t="s">
        <v>744</v>
      </c>
      <c r="C10344" t="s">
        <v>291</v>
      </c>
      <c r="D10344" s="230">
        <v>-35.54</v>
      </c>
      <c r="E10344" t="s">
        <v>745</v>
      </c>
    </row>
    <row r="10345" spans="1:5" hidden="1" x14ac:dyDescent="0.3">
      <c r="A10345" t="s">
        <v>557</v>
      </c>
      <c r="B10345" t="s">
        <v>744</v>
      </c>
      <c r="C10345" t="s">
        <v>292</v>
      </c>
      <c r="D10345" s="230">
        <v>0</v>
      </c>
      <c r="E10345" t="s">
        <v>745</v>
      </c>
    </row>
    <row r="10346" spans="1:5" hidden="1" x14ac:dyDescent="0.3">
      <c r="A10346" t="s">
        <v>557</v>
      </c>
      <c r="B10346" t="s">
        <v>744</v>
      </c>
      <c r="C10346" t="s">
        <v>293</v>
      </c>
      <c r="D10346" s="230">
        <v>0</v>
      </c>
      <c r="E10346" t="s">
        <v>745</v>
      </c>
    </row>
    <row r="10347" spans="1:5" hidden="1" x14ac:dyDescent="0.3">
      <c r="A10347" t="s">
        <v>557</v>
      </c>
      <c r="B10347" t="s">
        <v>744</v>
      </c>
      <c r="C10347" t="s">
        <v>294</v>
      </c>
      <c r="D10347" s="230">
        <v>0</v>
      </c>
      <c r="E10347" t="s">
        <v>745</v>
      </c>
    </row>
    <row r="10348" spans="1:5" hidden="1" x14ac:dyDescent="0.3">
      <c r="A10348" t="s">
        <v>557</v>
      </c>
      <c r="B10348" t="s">
        <v>744</v>
      </c>
      <c r="C10348" t="s">
        <v>295</v>
      </c>
      <c r="D10348" s="230">
        <v>0</v>
      </c>
      <c r="E10348" t="s">
        <v>745</v>
      </c>
    </row>
    <row r="10349" spans="1:5" hidden="1" x14ac:dyDescent="0.3">
      <c r="A10349" t="s">
        <v>557</v>
      </c>
      <c r="B10349" t="s">
        <v>744</v>
      </c>
      <c r="C10349" t="s">
        <v>44</v>
      </c>
      <c r="D10349" s="230">
        <v>-0.01</v>
      </c>
      <c r="E10349" t="s">
        <v>745</v>
      </c>
    </row>
    <row r="10350" spans="1:5" hidden="1" x14ac:dyDescent="0.3">
      <c r="A10350" t="s">
        <v>557</v>
      </c>
      <c r="B10350" t="s">
        <v>744</v>
      </c>
      <c r="C10350" t="s">
        <v>296</v>
      </c>
      <c r="D10350" s="230">
        <v>-9573.0400000000009</v>
      </c>
      <c r="E10350" t="s">
        <v>745</v>
      </c>
    </row>
    <row r="10351" spans="1:5" hidden="1" x14ac:dyDescent="0.3">
      <c r="A10351" t="s">
        <v>557</v>
      </c>
      <c r="B10351" t="s">
        <v>744</v>
      </c>
      <c r="C10351" t="s">
        <v>297</v>
      </c>
      <c r="D10351" s="230">
        <v>-4000</v>
      </c>
      <c r="E10351" t="s">
        <v>745</v>
      </c>
    </row>
    <row r="10352" spans="1:5" hidden="1" x14ac:dyDescent="0.3">
      <c r="A10352" t="s">
        <v>557</v>
      </c>
      <c r="B10352" t="s">
        <v>744</v>
      </c>
      <c r="C10352" t="s">
        <v>298</v>
      </c>
      <c r="D10352" s="230">
        <v>-500</v>
      </c>
      <c r="E10352" t="s">
        <v>745</v>
      </c>
    </row>
    <row r="10353" spans="1:5" hidden="1" x14ac:dyDescent="0.3">
      <c r="A10353" t="s">
        <v>557</v>
      </c>
      <c r="B10353" t="s">
        <v>744</v>
      </c>
      <c r="C10353" t="s">
        <v>299</v>
      </c>
      <c r="D10353" s="230">
        <v>0</v>
      </c>
      <c r="E10353" t="s">
        <v>745</v>
      </c>
    </row>
    <row r="10354" spans="1:5" hidden="1" x14ac:dyDescent="0.3">
      <c r="A10354" t="s">
        <v>557</v>
      </c>
      <c r="B10354" t="s">
        <v>744</v>
      </c>
      <c r="C10354" t="s">
        <v>300</v>
      </c>
      <c r="D10354" s="230">
        <v>0</v>
      </c>
      <c r="E10354" t="s">
        <v>745</v>
      </c>
    </row>
    <row r="10355" spans="1:5" hidden="1" x14ac:dyDescent="0.3">
      <c r="A10355" t="s">
        <v>557</v>
      </c>
      <c r="B10355" t="s">
        <v>744</v>
      </c>
      <c r="C10355" t="s">
        <v>301</v>
      </c>
      <c r="D10355" s="230">
        <v>-1575.62</v>
      </c>
      <c r="E10355" t="s">
        <v>745</v>
      </c>
    </row>
    <row r="10356" spans="1:5" hidden="1" x14ac:dyDescent="0.3">
      <c r="A10356" t="s">
        <v>557</v>
      </c>
      <c r="B10356" t="s">
        <v>744</v>
      </c>
      <c r="C10356" t="s">
        <v>302</v>
      </c>
      <c r="D10356" s="230">
        <v>0</v>
      </c>
      <c r="E10356" t="s">
        <v>745</v>
      </c>
    </row>
    <row r="10357" spans="1:5" hidden="1" x14ac:dyDescent="0.3">
      <c r="A10357" t="s">
        <v>557</v>
      </c>
      <c r="B10357" t="s">
        <v>744</v>
      </c>
      <c r="C10357" t="s">
        <v>303</v>
      </c>
      <c r="D10357" s="230">
        <v>-596.66999999999996</v>
      </c>
      <c r="E10357" t="s">
        <v>745</v>
      </c>
    </row>
    <row r="10358" spans="1:5" hidden="1" x14ac:dyDescent="0.3">
      <c r="A10358" t="s">
        <v>557</v>
      </c>
      <c r="B10358" t="s">
        <v>744</v>
      </c>
      <c r="C10358" t="s">
        <v>304</v>
      </c>
      <c r="D10358" s="230">
        <v>-2750.75</v>
      </c>
      <c r="E10358" t="s">
        <v>745</v>
      </c>
    </row>
    <row r="10359" spans="1:5" hidden="1" x14ac:dyDescent="0.3">
      <c r="A10359" t="s">
        <v>557</v>
      </c>
      <c r="B10359" t="s">
        <v>744</v>
      </c>
      <c r="C10359" t="s">
        <v>305</v>
      </c>
      <c r="D10359" s="230">
        <v>0</v>
      </c>
      <c r="E10359" t="s">
        <v>745</v>
      </c>
    </row>
    <row r="10360" spans="1:5" hidden="1" x14ac:dyDescent="0.3">
      <c r="A10360" t="s">
        <v>557</v>
      </c>
      <c r="B10360" t="s">
        <v>744</v>
      </c>
      <c r="C10360" t="s">
        <v>306</v>
      </c>
      <c r="D10360" s="230">
        <v>0</v>
      </c>
      <c r="E10360" t="s">
        <v>745</v>
      </c>
    </row>
    <row r="10361" spans="1:5" hidden="1" x14ac:dyDescent="0.3">
      <c r="A10361" t="s">
        <v>557</v>
      </c>
      <c r="B10361" t="s">
        <v>744</v>
      </c>
      <c r="C10361" t="s">
        <v>307</v>
      </c>
      <c r="D10361" s="230">
        <v>-150</v>
      </c>
      <c r="E10361" t="s">
        <v>745</v>
      </c>
    </row>
    <row r="10362" spans="1:5" hidden="1" x14ac:dyDescent="0.3">
      <c r="A10362" t="s">
        <v>557</v>
      </c>
      <c r="B10362" t="s">
        <v>744</v>
      </c>
      <c r="C10362" t="s">
        <v>44</v>
      </c>
      <c r="D10362" s="230">
        <v>-0.02</v>
      </c>
      <c r="E10362" t="s">
        <v>745</v>
      </c>
    </row>
    <row r="10363" spans="1:5" hidden="1" x14ac:dyDescent="0.3">
      <c r="A10363" t="s">
        <v>557</v>
      </c>
      <c r="B10363" t="s">
        <v>744</v>
      </c>
      <c r="C10363" t="s">
        <v>308</v>
      </c>
      <c r="D10363" s="230">
        <v>-5443.18</v>
      </c>
      <c r="E10363" t="s">
        <v>745</v>
      </c>
    </row>
    <row r="10364" spans="1:5" hidden="1" x14ac:dyDescent="0.3">
      <c r="A10364" t="s">
        <v>557</v>
      </c>
      <c r="B10364" t="s">
        <v>744</v>
      </c>
      <c r="C10364" t="s">
        <v>309</v>
      </c>
      <c r="D10364" s="230">
        <v>-3000</v>
      </c>
      <c r="E10364" t="s">
        <v>745</v>
      </c>
    </row>
    <row r="10365" spans="1:5" hidden="1" x14ac:dyDescent="0.3">
      <c r="A10365" t="s">
        <v>557</v>
      </c>
      <c r="B10365" t="s">
        <v>744</v>
      </c>
      <c r="C10365" t="s">
        <v>310</v>
      </c>
      <c r="D10365" s="230">
        <v>0</v>
      </c>
      <c r="E10365" t="s">
        <v>745</v>
      </c>
    </row>
    <row r="10366" spans="1:5" hidden="1" x14ac:dyDescent="0.3">
      <c r="A10366" t="s">
        <v>557</v>
      </c>
      <c r="B10366" t="s">
        <v>744</v>
      </c>
      <c r="C10366" t="s">
        <v>311</v>
      </c>
      <c r="D10366" s="230">
        <v>-1550</v>
      </c>
      <c r="E10366" t="s">
        <v>745</v>
      </c>
    </row>
    <row r="10367" spans="1:5" hidden="1" x14ac:dyDescent="0.3">
      <c r="A10367" t="s">
        <v>557</v>
      </c>
      <c r="B10367" t="s">
        <v>744</v>
      </c>
      <c r="C10367" t="s">
        <v>312</v>
      </c>
      <c r="D10367" s="230">
        <v>-185</v>
      </c>
      <c r="E10367" t="s">
        <v>745</v>
      </c>
    </row>
    <row r="10368" spans="1:5" hidden="1" x14ac:dyDescent="0.3">
      <c r="A10368" t="s">
        <v>557</v>
      </c>
      <c r="B10368" t="s">
        <v>744</v>
      </c>
      <c r="C10368" t="s">
        <v>313</v>
      </c>
      <c r="D10368" s="230">
        <v>0</v>
      </c>
      <c r="E10368" t="s">
        <v>745</v>
      </c>
    </row>
    <row r="10369" spans="1:5" hidden="1" x14ac:dyDescent="0.3">
      <c r="A10369" t="s">
        <v>557</v>
      </c>
      <c r="B10369" t="s">
        <v>744</v>
      </c>
      <c r="C10369" t="s">
        <v>314</v>
      </c>
      <c r="D10369" s="230">
        <v>-708.18</v>
      </c>
      <c r="E10369" t="s">
        <v>745</v>
      </c>
    </row>
    <row r="10370" spans="1:5" hidden="1" x14ac:dyDescent="0.3">
      <c r="A10370" t="s">
        <v>557</v>
      </c>
      <c r="B10370" t="s">
        <v>744</v>
      </c>
      <c r="C10370" t="s">
        <v>315</v>
      </c>
      <c r="D10370" s="230">
        <v>0</v>
      </c>
      <c r="E10370" t="s">
        <v>745</v>
      </c>
    </row>
    <row r="10371" spans="1:5" hidden="1" x14ac:dyDescent="0.3">
      <c r="A10371" t="s">
        <v>557</v>
      </c>
      <c r="B10371" t="s">
        <v>744</v>
      </c>
      <c r="C10371" t="s">
        <v>316</v>
      </c>
      <c r="D10371" s="230">
        <v>0</v>
      </c>
      <c r="E10371" t="s">
        <v>745</v>
      </c>
    </row>
    <row r="10372" spans="1:5" hidden="1" x14ac:dyDescent="0.3">
      <c r="A10372" t="s">
        <v>557</v>
      </c>
      <c r="B10372" t="s">
        <v>744</v>
      </c>
      <c r="C10372" t="s">
        <v>317</v>
      </c>
      <c r="D10372" s="230">
        <v>0</v>
      </c>
      <c r="E10372" t="s">
        <v>745</v>
      </c>
    </row>
    <row r="10373" spans="1:5" hidden="1" x14ac:dyDescent="0.3">
      <c r="A10373" t="s">
        <v>557</v>
      </c>
      <c r="B10373" t="s">
        <v>744</v>
      </c>
      <c r="C10373" t="s">
        <v>44</v>
      </c>
      <c r="D10373" s="230">
        <v>-0.01</v>
      </c>
      <c r="E10373" t="s">
        <v>745</v>
      </c>
    </row>
    <row r="10374" spans="1:5" hidden="1" x14ac:dyDescent="0.3">
      <c r="A10374" t="s">
        <v>557</v>
      </c>
      <c r="B10374" t="s">
        <v>744</v>
      </c>
      <c r="C10374" t="s">
        <v>318</v>
      </c>
      <c r="D10374" s="230">
        <v>-3532.47</v>
      </c>
      <c r="E10374" t="s">
        <v>745</v>
      </c>
    </row>
    <row r="10375" spans="1:5" hidden="1" x14ac:dyDescent="0.3">
      <c r="A10375" t="s">
        <v>557</v>
      </c>
      <c r="B10375" t="s">
        <v>744</v>
      </c>
      <c r="C10375" t="s">
        <v>319</v>
      </c>
      <c r="D10375" s="230">
        <v>-3086</v>
      </c>
      <c r="E10375" t="s">
        <v>745</v>
      </c>
    </row>
    <row r="10376" spans="1:5" hidden="1" x14ac:dyDescent="0.3">
      <c r="A10376" t="s">
        <v>557</v>
      </c>
      <c r="B10376" t="s">
        <v>744</v>
      </c>
      <c r="C10376" t="s">
        <v>320</v>
      </c>
      <c r="D10376" s="230">
        <v>-246.47</v>
      </c>
      <c r="E10376" t="s">
        <v>745</v>
      </c>
    </row>
    <row r="10377" spans="1:5" hidden="1" x14ac:dyDescent="0.3">
      <c r="A10377" t="s">
        <v>557</v>
      </c>
      <c r="B10377" t="s">
        <v>744</v>
      </c>
      <c r="C10377" t="s">
        <v>321</v>
      </c>
      <c r="D10377" s="230">
        <v>-200</v>
      </c>
      <c r="E10377" t="s">
        <v>745</v>
      </c>
    </row>
    <row r="10378" spans="1:5" hidden="1" x14ac:dyDescent="0.3">
      <c r="A10378" t="s">
        <v>557</v>
      </c>
      <c r="B10378" t="s">
        <v>744</v>
      </c>
      <c r="C10378" t="s">
        <v>322</v>
      </c>
      <c r="D10378" s="230">
        <v>0</v>
      </c>
      <c r="E10378" t="s">
        <v>745</v>
      </c>
    </row>
    <row r="10379" spans="1:5" hidden="1" x14ac:dyDescent="0.3">
      <c r="A10379" t="s">
        <v>557</v>
      </c>
      <c r="B10379" t="s">
        <v>744</v>
      </c>
      <c r="C10379" t="s">
        <v>44</v>
      </c>
      <c r="D10379" s="230">
        <v>-0.01</v>
      </c>
      <c r="E10379" t="s">
        <v>745</v>
      </c>
    </row>
    <row r="10380" spans="1:5" hidden="1" x14ac:dyDescent="0.3">
      <c r="A10380" t="s">
        <v>557</v>
      </c>
      <c r="B10380" t="s">
        <v>744</v>
      </c>
      <c r="C10380" t="s">
        <v>323</v>
      </c>
      <c r="D10380" s="230">
        <v>-24945.93</v>
      </c>
      <c r="E10380" t="s">
        <v>745</v>
      </c>
    </row>
    <row r="10381" spans="1:5" hidden="1" x14ac:dyDescent="0.3">
      <c r="A10381" t="s">
        <v>557</v>
      </c>
      <c r="B10381" t="s">
        <v>744</v>
      </c>
      <c r="C10381" t="s">
        <v>324</v>
      </c>
      <c r="D10381" s="230">
        <v>0</v>
      </c>
      <c r="E10381" t="s">
        <v>745</v>
      </c>
    </row>
    <row r="10382" spans="1:5" hidden="1" x14ac:dyDescent="0.3">
      <c r="A10382" t="s">
        <v>557</v>
      </c>
      <c r="B10382" t="s">
        <v>744</v>
      </c>
      <c r="C10382" t="s">
        <v>325</v>
      </c>
      <c r="D10382" s="230">
        <v>0</v>
      </c>
      <c r="E10382" t="s">
        <v>745</v>
      </c>
    </row>
    <row r="10383" spans="1:5" hidden="1" x14ac:dyDescent="0.3">
      <c r="A10383" t="s">
        <v>557</v>
      </c>
      <c r="B10383" t="s">
        <v>744</v>
      </c>
      <c r="C10383" t="s">
        <v>326</v>
      </c>
      <c r="D10383" s="230">
        <v>-24945.93</v>
      </c>
      <c r="E10383" t="s">
        <v>745</v>
      </c>
    </row>
    <row r="10384" spans="1:5" hidden="1" x14ac:dyDescent="0.3">
      <c r="A10384" t="s">
        <v>557</v>
      </c>
      <c r="B10384" t="s">
        <v>744</v>
      </c>
      <c r="C10384" t="s">
        <v>44</v>
      </c>
      <c r="D10384" s="230">
        <v>-0.05</v>
      </c>
      <c r="E10384" t="s">
        <v>745</v>
      </c>
    </row>
    <row r="10385" spans="1:5" hidden="1" x14ac:dyDescent="0.3">
      <c r="A10385" t="s">
        <v>557</v>
      </c>
      <c r="B10385" t="s">
        <v>744</v>
      </c>
      <c r="C10385" t="s">
        <v>328</v>
      </c>
      <c r="D10385" s="230">
        <v>-279008.28999999998</v>
      </c>
      <c r="E10385" t="s">
        <v>745</v>
      </c>
    </row>
    <row r="10386" spans="1:5" hidden="1" x14ac:dyDescent="0.3">
      <c r="A10386" t="s">
        <v>557</v>
      </c>
      <c r="B10386" t="s">
        <v>744</v>
      </c>
      <c r="C10386" t="s">
        <v>44</v>
      </c>
      <c r="D10386" s="230">
        <v>-0.56000000000000005</v>
      </c>
      <c r="E10386" t="s">
        <v>745</v>
      </c>
    </row>
    <row r="10387" spans="1:5" hidden="1" x14ac:dyDescent="0.3">
      <c r="A10387" t="s">
        <v>557</v>
      </c>
      <c r="B10387" t="s">
        <v>744</v>
      </c>
      <c r="C10387" t="s">
        <v>329</v>
      </c>
      <c r="D10387" s="230">
        <v>-19982.98</v>
      </c>
      <c r="E10387" t="s">
        <v>745</v>
      </c>
    </row>
    <row r="10388" spans="1:5" hidden="1" x14ac:dyDescent="0.3">
      <c r="A10388" t="s">
        <v>557</v>
      </c>
      <c r="B10388" t="s">
        <v>744</v>
      </c>
      <c r="C10388" t="s">
        <v>44</v>
      </c>
      <c r="D10388" s="230">
        <v>-0.04</v>
      </c>
      <c r="E10388" t="s">
        <v>745</v>
      </c>
    </row>
    <row r="10389" spans="1:5" hidden="1" x14ac:dyDescent="0.3">
      <c r="A10389" t="s">
        <v>557</v>
      </c>
      <c r="B10389" t="s">
        <v>744</v>
      </c>
      <c r="C10389" t="s">
        <v>330</v>
      </c>
      <c r="D10389" s="230">
        <v>0</v>
      </c>
      <c r="E10389" t="s">
        <v>745</v>
      </c>
    </row>
    <row r="10390" spans="1:5" hidden="1" x14ac:dyDescent="0.3">
      <c r="A10390" t="s">
        <v>557</v>
      </c>
      <c r="B10390" t="s">
        <v>744</v>
      </c>
      <c r="C10390" t="s">
        <v>332</v>
      </c>
      <c r="D10390" s="230">
        <v>-19982.98</v>
      </c>
      <c r="E10390" t="s">
        <v>745</v>
      </c>
    </row>
    <row r="10391" spans="1:5" hidden="1" x14ac:dyDescent="0.3">
      <c r="A10391" t="s">
        <v>557</v>
      </c>
      <c r="B10391" t="s">
        <v>744</v>
      </c>
      <c r="C10391" t="s">
        <v>333</v>
      </c>
      <c r="D10391" s="230">
        <v>6100.16</v>
      </c>
      <c r="E10391" t="s">
        <v>745</v>
      </c>
    </row>
    <row r="10392" spans="1:5" hidden="1" x14ac:dyDescent="0.3">
      <c r="A10392" t="s">
        <v>557</v>
      </c>
      <c r="B10392" t="s">
        <v>744</v>
      </c>
      <c r="C10392" t="s">
        <v>334</v>
      </c>
      <c r="D10392" s="230">
        <v>0</v>
      </c>
      <c r="E10392" t="s">
        <v>745</v>
      </c>
    </row>
    <row r="10393" spans="1:5" hidden="1" x14ac:dyDescent="0.3">
      <c r="A10393" t="s">
        <v>557</v>
      </c>
      <c r="B10393" t="s">
        <v>744</v>
      </c>
      <c r="C10393" t="s">
        <v>336</v>
      </c>
      <c r="D10393" s="230">
        <v>0</v>
      </c>
      <c r="E10393" t="s">
        <v>745</v>
      </c>
    </row>
    <row r="10394" spans="1:5" hidden="1" x14ac:dyDescent="0.3">
      <c r="A10394" t="s">
        <v>557</v>
      </c>
      <c r="B10394" t="s">
        <v>744</v>
      </c>
      <c r="C10394" t="s">
        <v>338</v>
      </c>
      <c r="D10394" s="230">
        <v>-13882.82</v>
      </c>
      <c r="E10394" t="s">
        <v>745</v>
      </c>
    </row>
    <row r="10395" spans="1:5" hidden="1" x14ac:dyDescent="0.3">
      <c r="A10395" t="s">
        <v>557</v>
      </c>
      <c r="B10395" t="s">
        <v>744</v>
      </c>
      <c r="C10395" t="s">
        <v>339</v>
      </c>
      <c r="D10395" s="230">
        <v>-10697.18</v>
      </c>
      <c r="E10395" t="s">
        <v>745</v>
      </c>
    </row>
    <row r="10396" spans="1:5" hidden="1" x14ac:dyDescent="0.3">
      <c r="A10396" t="s">
        <v>557</v>
      </c>
      <c r="B10396" t="s">
        <v>744</v>
      </c>
      <c r="C10396" t="s">
        <v>342</v>
      </c>
      <c r="D10396" s="230">
        <v>0</v>
      </c>
      <c r="E10396" t="s">
        <v>745</v>
      </c>
    </row>
    <row r="10397" spans="1:5" hidden="1" x14ac:dyDescent="0.3">
      <c r="A10397" t="s">
        <v>557</v>
      </c>
      <c r="B10397" t="s">
        <v>744</v>
      </c>
      <c r="C10397" t="s">
        <v>344</v>
      </c>
      <c r="D10397" s="230">
        <v>-5679.1</v>
      </c>
      <c r="E10397" t="s">
        <v>745</v>
      </c>
    </row>
    <row r="10398" spans="1:5" hidden="1" x14ac:dyDescent="0.3">
      <c r="A10398" t="s">
        <v>557</v>
      </c>
      <c r="B10398" t="s">
        <v>744</v>
      </c>
      <c r="C10398" t="s">
        <v>345</v>
      </c>
      <c r="D10398" s="230">
        <v>0</v>
      </c>
      <c r="E10398" t="s">
        <v>745</v>
      </c>
    </row>
    <row r="10399" spans="1:5" hidden="1" x14ac:dyDescent="0.3">
      <c r="A10399" t="s">
        <v>557</v>
      </c>
      <c r="B10399" t="s">
        <v>744</v>
      </c>
      <c r="C10399" t="s">
        <v>346</v>
      </c>
      <c r="D10399" s="230">
        <v>-5018.08</v>
      </c>
      <c r="E10399" t="s">
        <v>745</v>
      </c>
    </row>
    <row r="10400" spans="1:5" hidden="1" x14ac:dyDescent="0.3">
      <c r="A10400" t="s">
        <v>557</v>
      </c>
      <c r="B10400" t="s">
        <v>744</v>
      </c>
      <c r="C10400" t="s">
        <v>347</v>
      </c>
      <c r="D10400" s="230">
        <v>-24580.01</v>
      </c>
      <c r="E10400" t="s">
        <v>745</v>
      </c>
    </row>
    <row r="10401" spans="1:5" hidden="1" x14ac:dyDescent="0.3">
      <c r="A10401" t="s">
        <v>557</v>
      </c>
      <c r="B10401" t="s">
        <v>744</v>
      </c>
      <c r="C10401" t="s">
        <v>44</v>
      </c>
      <c r="D10401" s="230">
        <v>-0.05</v>
      </c>
      <c r="E10401" t="s">
        <v>745</v>
      </c>
    </row>
    <row r="10402" spans="1:5" hidden="1" x14ac:dyDescent="0.3">
      <c r="A10402" t="s">
        <v>557</v>
      </c>
      <c r="B10402" t="s">
        <v>744</v>
      </c>
      <c r="C10402" t="s">
        <v>348</v>
      </c>
      <c r="D10402" s="230">
        <v>0</v>
      </c>
      <c r="E10402" t="s">
        <v>745</v>
      </c>
    </row>
    <row r="10403" spans="1:5" hidden="1" x14ac:dyDescent="0.3">
      <c r="A10403" t="s">
        <v>557</v>
      </c>
      <c r="B10403" t="s">
        <v>744</v>
      </c>
      <c r="C10403" t="s">
        <v>707</v>
      </c>
      <c r="D10403" s="230">
        <v>0</v>
      </c>
      <c r="E10403" t="s">
        <v>745</v>
      </c>
    </row>
    <row r="10404" spans="1:5" hidden="1" x14ac:dyDescent="0.3">
      <c r="A10404" t="s">
        <v>557</v>
      </c>
      <c r="B10404" t="s">
        <v>744</v>
      </c>
      <c r="C10404" t="s">
        <v>350</v>
      </c>
      <c r="D10404" s="230">
        <v>0</v>
      </c>
      <c r="E10404" t="s">
        <v>745</v>
      </c>
    </row>
    <row r="10405" spans="1:5" hidden="1" x14ac:dyDescent="0.3">
      <c r="A10405" t="s">
        <v>557</v>
      </c>
      <c r="B10405" t="s">
        <v>744</v>
      </c>
      <c r="C10405" t="s">
        <v>351</v>
      </c>
      <c r="D10405" s="230">
        <v>0</v>
      </c>
      <c r="E10405" t="s">
        <v>745</v>
      </c>
    </row>
    <row r="10406" spans="1:5" hidden="1" x14ac:dyDescent="0.3">
      <c r="A10406" t="s">
        <v>557</v>
      </c>
      <c r="B10406" t="s">
        <v>744</v>
      </c>
      <c r="C10406" t="s">
        <v>352</v>
      </c>
      <c r="D10406" s="230">
        <v>0</v>
      </c>
      <c r="E10406" t="s">
        <v>745</v>
      </c>
    </row>
    <row r="10407" spans="1:5" hidden="1" x14ac:dyDescent="0.3">
      <c r="A10407" t="s">
        <v>557</v>
      </c>
      <c r="B10407" t="s">
        <v>744</v>
      </c>
      <c r="C10407" t="s">
        <v>353</v>
      </c>
      <c r="D10407" s="230">
        <v>0</v>
      </c>
      <c r="E10407" t="s">
        <v>745</v>
      </c>
    </row>
    <row r="10408" spans="1:5" hidden="1" x14ac:dyDescent="0.3">
      <c r="A10408" t="s">
        <v>557</v>
      </c>
      <c r="B10408" t="s">
        <v>744</v>
      </c>
      <c r="C10408" t="s">
        <v>354</v>
      </c>
      <c r="D10408" s="230">
        <v>0</v>
      </c>
      <c r="E10408" t="s">
        <v>745</v>
      </c>
    </row>
    <row r="10409" spans="1:5" hidden="1" x14ac:dyDescent="0.3">
      <c r="A10409" t="s">
        <v>557</v>
      </c>
      <c r="B10409" t="s">
        <v>744</v>
      </c>
      <c r="C10409" t="s">
        <v>355</v>
      </c>
      <c r="D10409" s="230">
        <v>0</v>
      </c>
      <c r="E10409" t="s">
        <v>745</v>
      </c>
    </row>
    <row r="10410" spans="1:5" hidden="1" x14ac:dyDescent="0.3">
      <c r="A10410" t="s">
        <v>557</v>
      </c>
      <c r="B10410" t="s">
        <v>744</v>
      </c>
      <c r="C10410" t="s">
        <v>356</v>
      </c>
      <c r="D10410" s="230">
        <v>0</v>
      </c>
      <c r="E10410" t="s">
        <v>745</v>
      </c>
    </row>
    <row r="10411" spans="1:5" hidden="1" x14ac:dyDescent="0.3">
      <c r="A10411" t="s">
        <v>557</v>
      </c>
      <c r="B10411" t="s">
        <v>744</v>
      </c>
      <c r="C10411" t="s">
        <v>357</v>
      </c>
      <c r="D10411" s="230">
        <v>0</v>
      </c>
      <c r="E10411" t="s">
        <v>745</v>
      </c>
    </row>
    <row r="10412" spans="1:5" hidden="1" x14ac:dyDescent="0.3">
      <c r="A10412" t="s">
        <v>557</v>
      </c>
      <c r="B10412" t="s">
        <v>744</v>
      </c>
      <c r="C10412" t="s">
        <v>358</v>
      </c>
      <c r="D10412" s="230">
        <v>0</v>
      </c>
      <c r="E10412" t="s">
        <v>745</v>
      </c>
    </row>
    <row r="10413" spans="1:5" hidden="1" x14ac:dyDescent="0.3">
      <c r="A10413" t="s">
        <v>557</v>
      </c>
      <c r="B10413" t="s">
        <v>744</v>
      </c>
      <c r="C10413" t="s">
        <v>359</v>
      </c>
      <c r="D10413" s="230">
        <v>0</v>
      </c>
      <c r="E10413" t="s">
        <v>745</v>
      </c>
    </row>
    <row r="10414" spans="1:5" hidden="1" x14ac:dyDescent="0.3">
      <c r="A10414" t="s">
        <v>557</v>
      </c>
      <c r="B10414" t="s">
        <v>744</v>
      </c>
      <c r="C10414" t="s">
        <v>360</v>
      </c>
      <c r="D10414" s="230">
        <v>0</v>
      </c>
      <c r="E10414" t="s">
        <v>745</v>
      </c>
    </row>
    <row r="10415" spans="1:5" hidden="1" x14ac:dyDescent="0.3">
      <c r="A10415" t="s">
        <v>557</v>
      </c>
      <c r="B10415" t="s">
        <v>744</v>
      </c>
      <c r="C10415" t="s">
        <v>361</v>
      </c>
      <c r="D10415" s="230">
        <v>0</v>
      </c>
      <c r="E10415" t="s">
        <v>745</v>
      </c>
    </row>
    <row r="10416" spans="1:5" hidden="1" x14ac:dyDescent="0.3">
      <c r="A10416" t="s">
        <v>557</v>
      </c>
      <c r="B10416" t="s">
        <v>744</v>
      </c>
      <c r="C10416" t="s">
        <v>362</v>
      </c>
      <c r="D10416" s="230">
        <v>0</v>
      </c>
      <c r="E10416" t="s">
        <v>745</v>
      </c>
    </row>
    <row r="10417" spans="1:5" hidden="1" x14ac:dyDescent="0.3">
      <c r="A10417" t="s">
        <v>557</v>
      </c>
      <c r="B10417" t="s">
        <v>744</v>
      </c>
      <c r="C10417" t="s">
        <v>363</v>
      </c>
      <c r="D10417" s="230">
        <v>0</v>
      </c>
      <c r="E10417" t="s">
        <v>745</v>
      </c>
    </row>
    <row r="10418" spans="1:5" hidden="1" x14ac:dyDescent="0.3">
      <c r="A10418" t="s">
        <v>557</v>
      </c>
      <c r="B10418" t="s">
        <v>744</v>
      </c>
      <c r="C10418" t="s">
        <v>364</v>
      </c>
      <c r="D10418" s="230">
        <v>0</v>
      </c>
      <c r="E10418" t="s">
        <v>745</v>
      </c>
    </row>
    <row r="10419" spans="1:5" hidden="1" x14ac:dyDescent="0.3">
      <c r="A10419" t="s">
        <v>557</v>
      </c>
      <c r="B10419" t="s">
        <v>744</v>
      </c>
      <c r="C10419" t="s">
        <v>365</v>
      </c>
      <c r="D10419" s="230">
        <v>-13000</v>
      </c>
      <c r="E10419" t="s">
        <v>745</v>
      </c>
    </row>
    <row r="10420" spans="1:5" hidden="1" x14ac:dyDescent="0.3">
      <c r="A10420" t="s">
        <v>557</v>
      </c>
      <c r="B10420" t="s">
        <v>744</v>
      </c>
      <c r="C10420" t="s">
        <v>366</v>
      </c>
      <c r="D10420" s="230">
        <v>0</v>
      </c>
      <c r="E10420" t="s">
        <v>745</v>
      </c>
    </row>
    <row r="10421" spans="1:5" hidden="1" x14ac:dyDescent="0.3">
      <c r="A10421" t="s">
        <v>557</v>
      </c>
      <c r="B10421" t="s">
        <v>744</v>
      </c>
      <c r="C10421" t="s">
        <v>367</v>
      </c>
      <c r="D10421" s="230">
        <v>0</v>
      </c>
      <c r="E10421" t="s">
        <v>745</v>
      </c>
    </row>
    <row r="10422" spans="1:5" hidden="1" x14ac:dyDescent="0.3">
      <c r="A10422" t="s">
        <v>557</v>
      </c>
      <c r="B10422" t="s">
        <v>744</v>
      </c>
      <c r="C10422" t="s">
        <v>368</v>
      </c>
      <c r="D10422" s="230">
        <v>0</v>
      </c>
      <c r="E10422" t="s">
        <v>745</v>
      </c>
    </row>
    <row r="10423" spans="1:5" hidden="1" x14ac:dyDescent="0.3">
      <c r="A10423" t="s">
        <v>557</v>
      </c>
      <c r="B10423" t="s">
        <v>744</v>
      </c>
      <c r="C10423" t="s">
        <v>369</v>
      </c>
      <c r="D10423" s="230">
        <v>-13000</v>
      </c>
      <c r="E10423" t="s">
        <v>745</v>
      </c>
    </row>
    <row r="10424" spans="1:5" hidden="1" x14ac:dyDescent="0.3">
      <c r="A10424" t="s">
        <v>557</v>
      </c>
      <c r="B10424" t="s">
        <v>744</v>
      </c>
      <c r="C10424" t="s">
        <v>370</v>
      </c>
      <c r="D10424" s="230">
        <v>0</v>
      </c>
      <c r="E10424" t="s">
        <v>745</v>
      </c>
    </row>
    <row r="10425" spans="1:5" hidden="1" x14ac:dyDescent="0.3">
      <c r="A10425" t="s">
        <v>557</v>
      </c>
      <c r="B10425" t="s">
        <v>744</v>
      </c>
      <c r="C10425" t="s">
        <v>371</v>
      </c>
      <c r="D10425" s="230">
        <v>0</v>
      </c>
      <c r="E10425" t="s">
        <v>745</v>
      </c>
    </row>
    <row r="10426" spans="1:5" hidden="1" x14ac:dyDescent="0.3">
      <c r="A10426" t="s">
        <v>557</v>
      </c>
      <c r="B10426" t="s">
        <v>744</v>
      </c>
      <c r="C10426" t="s">
        <v>372</v>
      </c>
      <c r="D10426" s="230">
        <v>0</v>
      </c>
      <c r="E10426" t="s">
        <v>745</v>
      </c>
    </row>
    <row r="10427" spans="1:5" hidden="1" x14ac:dyDescent="0.3">
      <c r="A10427" t="s">
        <v>557</v>
      </c>
      <c r="B10427" t="s">
        <v>744</v>
      </c>
      <c r="C10427" t="s">
        <v>373</v>
      </c>
      <c r="D10427" s="230">
        <v>-13000</v>
      </c>
      <c r="E10427" t="s">
        <v>745</v>
      </c>
    </row>
    <row r="10428" spans="1:5" hidden="1" x14ac:dyDescent="0.3">
      <c r="A10428" t="s">
        <v>557</v>
      </c>
      <c r="B10428" t="s">
        <v>744</v>
      </c>
      <c r="C10428" t="s">
        <v>374</v>
      </c>
      <c r="D10428" s="230">
        <v>-37580.01</v>
      </c>
      <c r="E10428" t="s">
        <v>745</v>
      </c>
    </row>
    <row r="10429" spans="1:5" hidden="1" x14ac:dyDescent="0.3">
      <c r="A10429" t="s">
        <v>557</v>
      </c>
      <c r="B10429" t="s">
        <v>744</v>
      </c>
      <c r="C10429" t="s">
        <v>708</v>
      </c>
      <c r="D10429" s="230">
        <v>-37580.01</v>
      </c>
      <c r="E10429" t="s">
        <v>745</v>
      </c>
    </row>
    <row r="10430" spans="1:5" hidden="1" x14ac:dyDescent="0.3">
      <c r="A10430" t="s">
        <v>557</v>
      </c>
      <c r="B10430" t="s">
        <v>746</v>
      </c>
      <c r="C10430" t="s">
        <v>11</v>
      </c>
      <c r="D10430" s="230">
        <v>476370.65</v>
      </c>
      <c r="E10430" t="s">
        <v>747</v>
      </c>
    </row>
    <row r="10431" spans="1:5" hidden="1" x14ac:dyDescent="0.3">
      <c r="A10431" t="s">
        <v>557</v>
      </c>
      <c r="B10431" t="s">
        <v>746</v>
      </c>
      <c r="C10431" t="s">
        <v>13</v>
      </c>
      <c r="D10431" s="230">
        <v>261255.8</v>
      </c>
      <c r="E10431" t="s">
        <v>747</v>
      </c>
    </row>
    <row r="10432" spans="1:5" hidden="1" x14ac:dyDescent="0.3">
      <c r="A10432" t="s">
        <v>557</v>
      </c>
      <c r="B10432" t="s">
        <v>746</v>
      </c>
      <c r="C10432" t="s">
        <v>16</v>
      </c>
      <c r="D10432" s="230">
        <v>127922.2</v>
      </c>
      <c r="E10432" t="s">
        <v>747</v>
      </c>
    </row>
    <row r="10433" spans="1:5" hidden="1" x14ac:dyDescent="0.3">
      <c r="A10433" t="s">
        <v>557</v>
      </c>
      <c r="B10433" t="s">
        <v>746</v>
      </c>
      <c r="C10433" t="s">
        <v>17</v>
      </c>
      <c r="D10433" s="230">
        <v>8120</v>
      </c>
      <c r="E10433" t="s">
        <v>747</v>
      </c>
    </row>
    <row r="10434" spans="1:5" hidden="1" x14ac:dyDescent="0.3">
      <c r="A10434" t="s">
        <v>557</v>
      </c>
      <c r="B10434" t="s">
        <v>746</v>
      </c>
      <c r="C10434" t="s">
        <v>18</v>
      </c>
      <c r="D10434" s="230">
        <v>0</v>
      </c>
      <c r="E10434" t="s">
        <v>747</v>
      </c>
    </row>
    <row r="10435" spans="1:5" hidden="1" x14ac:dyDescent="0.3">
      <c r="A10435" t="s">
        <v>557</v>
      </c>
      <c r="B10435" t="s">
        <v>746</v>
      </c>
      <c r="C10435" t="s">
        <v>20</v>
      </c>
      <c r="D10435" s="230">
        <v>49008.92</v>
      </c>
      <c r="E10435" t="s">
        <v>747</v>
      </c>
    </row>
    <row r="10436" spans="1:5" hidden="1" x14ac:dyDescent="0.3">
      <c r="A10436" t="s">
        <v>557</v>
      </c>
      <c r="B10436" t="s">
        <v>746</v>
      </c>
      <c r="C10436" t="s">
        <v>23</v>
      </c>
      <c r="D10436" s="230">
        <v>2000</v>
      </c>
      <c r="E10436" t="s">
        <v>747</v>
      </c>
    </row>
    <row r="10437" spans="1:5" hidden="1" x14ac:dyDescent="0.3">
      <c r="A10437" t="s">
        <v>557</v>
      </c>
      <c r="B10437" t="s">
        <v>746</v>
      </c>
      <c r="C10437" t="s">
        <v>25</v>
      </c>
      <c r="D10437" s="230">
        <v>0</v>
      </c>
      <c r="E10437" t="s">
        <v>747</v>
      </c>
    </row>
    <row r="10438" spans="1:5" hidden="1" x14ac:dyDescent="0.3">
      <c r="A10438" t="s">
        <v>557</v>
      </c>
      <c r="B10438" t="s">
        <v>746</v>
      </c>
      <c r="C10438" t="s">
        <v>26</v>
      </c>
      <c r="D10438" s="230">
        <v>8500</v>
      </c>
      <c r="E10438" t="s">
        <v>747</v>
      </c>
    </row>
    <row r="10439" spans="1:5" hidden="1" x14ac:dyDescent="0.3">
      <c r="A10439" t="s">
        <v>557</v>
      </c>
      <c r="B10439" t="s">
        <v>746</v>
      </c>
      <c r="C10439" t="s">
        <v>27</v>
      </c>
      <c r="D10439" s="230">
        <v>0</v>
      </c>
      <c r="E10439" t="s">
        <v>747</v>
      </c>
    </row>
    <row r="10440" spans="1:5" hidden="1" x14ac:dyDescent="0.3">
      <c r="A10440" t="s">
        <v>557</v>
      </c>
      <c r="B10440" t="s">
        <v>746</v>
      </c>
      <c r="C10440" t="s">
        <v>29</v>
      </c>
      <c r="D10440" s="230">
        <v>19293.73</v>
      </c>
      <c r="E10440" t="s">
        <v>747</v>
      </c>
    </row>
    <row r="10441" spans="1:5" hidden="1" x14ac:dyDescent="0.3">
      <c r="A10441" t="s">
        <v>557</v>
      </c>
      <c r="B10441" t="s">
        <v>746</v>
      </c>
      <c r="C10441" t="s">
        <v>31</v>
      </c>
      <c r="D10441" s="230">
        <v>270</v>
      </c>
      <c r="E10441" t="s">
        <v>747</v>
      </c>
    </row>
    <row r="10442" spans="1:5" hidden="1" x14ac:dyDescent="0.3">
      <c r="A10442" t="s">
        <v>557</v>
      </c>
      <c r="B10442" t="s">
        <v>746</v>
      </c>
      <c r="C10442" t="s">
        <v>34</v>
      </c>
      <c r="D10442" s="230">
        <v>-13037.99</v>
      </c>
      <c r="E10442" t="s">
        <v>747</v>
      </c>
    </row>
    <row r="10443" spans="1:5" hidden="1" x14ac:dyDescent="0.3">
      <c r="A10443" t="s">
        <v>557</v>
      </c>
      <c r="B10443" t="s">
        <v>746</v>
      </c>
      <c r="C10443" t="s">
        <v>38</v>
      </c>
      <c r="D10443" s="230">
        <v>-1915.57</v>
      </c>
      <c r="E10443" t="s">
        <v>747</v>
      </c>
    </row>
    <row r="10444" spans="1:5" hidden="1" x14ac:dyDescent="0.3">
      <c r="A10444" t="s">
        <v>557</v>
      </c>
      <c r="B10444" t="s">
        <v>746</v>
      </c>
      <c r="C10444" t="s">
        <v>40</v>
      </c>
      <c r="D10444" s="230">
        <v>-9768.5300000000007</v>
      </c>
      <c r="E10444" t="s">
        <v>747</v>
      </c>
    </row>
    <row r="10445" spans="1:5" hidden="1" x14ac:dyDescent="0.3">
      <c r="A10445" t="s">
        <v>557</v>
      </c>
      <c r="B10445" t="s">
        <v>746</v>
      </c>
      <c r="C10445" t="s">
        <v>42</v>
      </c>
      <c r="D10445" s="230">
        <v>-1353.89</v>
      </c>
      <c r="E10445" t="s">
        <v>747</v>
      </c>
    </row>
    <row r="10446" spans="1:5" hidden="1" x14ac:dyDescent="0.3">
      <c r="A10446" t="s">
        <v>557</v>
      </c>
      <c r="B10446" t="s">
        <v>746</v>
      </c>
      <c r="C10446" t="s">
        <v>44</v>
      </c>
      <c r="D10446" s="230">
        <v>-0.03</v>
      </c>
      <c r="E10446" t="s">
        <v>747</v>
      </c>
    </row>
    <row r="10447" spans="1:5" hidden="1" x14ac:dyDescent="0.3">
      <c r="A10447" t="s">
        <v>557</v>
      </c>
      <c r="B10447" t="s">
        <v>746</v>
      </c>
      <c r="C10447" t="s">
        <v>45</v>
      </c>
      <c r="D10447" s="230">
        <v>-33682.51</v>
      </c>
      <c r="E10447" t="s">
        <v>747</v>
      </c>
    </row>
    <row r="10448" spans="1:5" hidden="1" x14ac:dyDescent="0.3">
      <c r="A10448" t="s">
        <v>557</v>
      </c>
      <c r="B10448" t="s">
        <v>746</v>
      </c>
      <c r="C10448" t="s">
        <v>46</v>
      </c>
      <c r="D10448" s="230">
        <v>-16838.64</v>
      </c>
      <c r="E10448" t="s">
        <v>747</v>
      </c>
    </row>
    <row r="10449" spans="1:5" hidden="1" x14ac:dyDescent="0.3">
      <c r="A10449" t="s">
        <v>557</v>
      </c>
      <c r="B10449" t="s">
        <v>746</v>
      </c>
      <c r="C10449" t="s">
        <v>48</v>
      </c>
      <c r="D10449" s="230">
        <v>-16418.87</v>
      </c>
      <c r="E10449" t="s">
        <v>747</v>
      </c>
    </row>
    <row r="10450" spans="1:5" hidden="1" x14ac:dyDescent="0.3">
      <c r="A10450" t="s">
        <v>557</v>
      </c>
      <c r="B10450" t="s">
        <v>746</v>
      </c>
      <c r="C10450" t="s">
        <v>49</v>
      </c>
      <c r="D10450" s="230">
        <v>-425</v>
      </c>
      <c r="E10450" t="s">
        <v>747</v>
      </c>
    </row>
    <row r="10451" spans="1:5" hidden="1" x14ac:dyDescent="0.3">
      <c r="A10451" t="s">
        <v>557</v>
      </c>
      <c r="B10451" t="s">
        <v>746</v>
      </c>
      <c r="C10451" t="s">
        <v>50</v>
      </c>
      <c r="D10451" s="230">
        <v>429650.15</v>
      </c>
      <c r="E10451" t="s">
        <v>747</v>
      </c>
    </row>
    <row r="10452" spans="1:5" hidden="1" x14ac:dyDescent="0.3">
      <c r="A10452" t="s">
        <v>557</v>
      </c>
      <c r="B10452" t="s">
        <v>746</v>
      </c>
      <c r="C10452" t="s">
        <v>51</v>
      </c>
      <c r="D10452" s="230">
        <v>-123061.94</v>
      </c>
      <c r="E10452" t="s">
        <v>747</v>
      </c>
    </row>
    <row r="10453" spans="1:5" hidden="1" x14ac:dyDescent="0.3">
      <c r="A10453" t="s">
        <v>557</v>
      </c>
      <c r="B10453" t="s">
        <v>746</v>
      </c>
      <c r="C10453" t="s">
        <v>52</v>
      </c>
      <c r="D10453" s="230">
        <v>-96109.29</v>
      </c>
      <c r="E10453" t="s">
        <v>747</v>
      </c>
    </row>
    <row r="10454" spans="1:5" hidden="1" x14ac:dyDescent="0.3">
      <c r="A10454" t="s">
        <v>557</v>
      </c>
      <c r="B10454" t="s">
        <v>746</v>
      </c>
      <c r="C10454" t="s">
        <v>53</v>
      </c>
      <c r="D10454" s="230">
        <v>-25292.89</v>
      </c>
      <c r="E10454" t="s">
        <v>747</v>
      </c>
    </row>
    <row r="10455" spans="1:5" hidden="1" x14ac:dyDescent="0.3">
      <c r="A10455" t="s">
        <v>557</v>
      </c>
      <c r="B10455" t="s">
        <v>746</v>
      </c>
      <c r="C10455" t="s">
        <v>54</v>
      </c>
      <c r="D10455" s="230">
        <v>-1659.76</v>
      </c>
      <c r="E10455" t="s">
        <v>747</v>
      </c>
    </row>
    <row r="10456" spans="1:5" hidden="1" x14ac:dyDescent="0.3">
      <c r="A10456" t="s">
        <v>557</v>
      </c>
      <c r="B10456" t="s">
        <v>746</v>
      </c>
      <c r="C10456" t="s">
        <v>23</v>
      </c>
      <c r="D10456" s="230">
        <v>0</v>
      </c>
      <c r="E10456" t="s">
        <v>747</v>
      </c>
    </row>
    <row r="10457" spans="1:5" hidden="1" x14ac:dyDescent="0.3">
      <c r="A10457" t="s">
        <v>557</v>
      </c>
      <c r="B10457" t="s">
        <v>746</v>
      </c>
      <c r="C10457" t="s">
        <v>44</v>
      </c>
      <c r="D10457" s="230">
        <v>-0.3</v>
      </c>
      <c r="E10457" t="s">
        <v>747</v>
      </c>
    </row>
    <row r="10458" spans="1:5" hidden="1" x14ac:dyDescent="0.3">
      <c r="A10458" t="s">
        <v>557</v>
      </c>
      <c r="B10458" t="s">
        <v>746</v>
      </c>
      <c r="C10458" t="s">
        <v>55</v>
      </c>
      <c r="D10458" s="230">
        <v>-0.28999999999999998</v>
      </c>
      <c r="E10458" t="s">
        <v>747</v>
      </c>
    </row>
    <row r="10459" spans="1:5" hidden="1" x14ac:dyDescent="0.3">
      <c r="A10459" t="s">
        <v>557</v>
      </c>
      <c r="B10459" t="s">
        <v>746</v>
      </c>
      <c r="C10459" t="s">
        <v>56</v>
      </c>
      <c r="D10459" s="230">
        <v>-8112.9</v>
      </c>
      <c r="E10459" t="s">
        <v>747</v>
      </c>
    </row>
    <row r="10460" spans="1:5" hidden="1" x14ac:dyDescent="0.3">
      <c r="A10460" t="s">
        <v>557</v>
      </c>
      <c r="B10460" t="s">
        <v>746</v>
      </c>
      <c r="C10460" t="s">
        <v>57</v>
      </c>
      <c r="D10460" s="230">
        <v>-6612.93</v>
      </c>
      <c r="E10460" t="s">
        <v>747</v>
      </c>
    </row>
    <row r="10461" spans="1:5" hidden="1" x14ac:dyDescent="0.3">
      <c r="A10461" t="s">
        <v>557</v>
      </c>
      <c r="B10461" t="s">
        <v>746</v>
      </c>
      <c r="C10461" t="s">
        <v>58</v>
      </c>
      <c r="D10461" s="230">
        <v>-6350</v>
      </c>
      <c r="E10461" t="s">
        <v>747</v>
      </c>
    </row>
    <row r="10462" spans="1:5" hidden="1" x14ac:dyDescent="0.3">
      <c r="A10462" t="s">
        <v>557</v>
      </c>
      <c r="B10462" t="s">
        <v>746</v>
      </c>
      <c r="C10462" t="s">
        <v>59</v>
      </c>
      <c r="D10462" s="230">
        <v>-262.93</v>
      </c>
      <c r="E10462" t="s">
        <v>747</v>
      </c>
    </row>
    <row r="10463" spans="1:5" hidden="1" x14ac:dyDescent="0.3">
      <c r="A10463" t="s">
        <v>557</v>
      </c>
      <c r="B10463" t="s">
        <v>746</v>
      </c>
      <c r="C10463" t="s">
        <v>61</v>
      </c>
      <c r="D10463" s="230">
        <v>0</v>
      </c>
      <c r="E10463" t="s">
        <v>747</v>
      </c>
    </row>
    <row r="10464" spans="1:5" hidden="1" x14ac:dyDescent="0.3">
      <c r="A10464" t="s">
        <v>557</v>
      </c>
      <c r="B10464" t="s">
        <v>746</v>
      </c>
      <c r="C10464" t="s">
        <v>62</v>
      </c>
      <c r="D10464" s="230">
        <v>0</v>
      </c>
      <c r="E10464" t="s">
        <v>747</v>
      </c>
    </row>
    <row r="10465" spans="1:5" hidden="1" x14ac:dyDescent="0.3">
      <c r="A10465" t="s">
        <v>557</v>
      </c>
      <c r="B10465" t="s">
        <v>746</v>
      </c>
      <c r="C10465" t="s">
        <v>64</v>
      </c>
      <c r="D10465" s="230">
        <v>0</v>
      </c>
      <c r="E10465" t="s">
        <v>747</v>
      </c>
    </row>
    <row r="10466" spans="1:5" hidden="1" x14ac:dyDescent="0.3">
      <c r="A10466" t="s">
        <v>557</v>
      </c>
      <c r="B10466" t="s">
        <v>746</v>
      </c>
      <c r="C10466" t="s">
        <v>65</v>
      </c>
      <c r="D10466" s="230">
        <v>-1499.97</v>
      </c>
      <c r="E10466" t="s">
        <v>747</v>
      </c>
    </row>
    <row r="10467" spans="1:5" hidden="1" x14ac:dyDescent="0.3">
      <c r="A10467" t="s">
        <v>557</v>
      </c>
      <c r="B10467" t="s">
        <v>746</v>
      </c>
      <c r="C10467" t="s">
        <v>66</v>
      </c>
      <c r="D10467" s="230">
        <v>-1499.97</v>
      </c>
      <c r="E10467" t="s">
        <v>747</v>
      </c>
    </row>
    <row r="10468" spans="1:5" hidden="1" x14ac:dyDescent="0.3">
      <c r="A10468" t="s">
        <v>557</v>
      </c>
      <c r="B10468" t="s">
        <v>746</v>
      </c>
      <c r="C10468" t="s">
        <v>68</v>
      </c>
      <c r="D10468" s="230">
        <v>0</v>
      </c>
      <c r="E10468" t="s">
        <v>747</v>
      </c>
    </row>
    <row r="10469" spans="1:5" hidden="1" x14ac:dyDescent="0.3">
      <c r="A10469" t="s">
        <v>557</v>
      </c>
      <c r="B10469" t="s">
        <v>746</v>
      </c>
      <c r="C10469" t="s">
        <v>69</v>
      </c>
      <c r="D10469" s="230">
        <v>0</v>
      </c>
      <c r="E10469" t="s">
        <v>747</v>
      </c>
    </row>
    <row r="10470" spans="1:5" hidden="1" x14ac:dyDescent="0.3">
      <c r="A10470" t="s">
        <v>557</v>
      </c>
      <c r="B10470" t="s">
        <v>746</v>
      </c>
      <c r="C10470" t="s">
        <v>70</v>
      </c>
      <c r="D10470" s="230">
        <v>-1</v>
      </c>
      <c r="E10470" t="s">
        <v>747</v>
      </c>
    </row>
    <row r="10471" spans="1:5" hidden="1" x14ac:dyDescent="0.3">
      <c r="A10471" t="s">
        <v>557</v>
      </c>
      <c r="B10471" t="s">
        <v>746</v>
      </c>
      <c r="C10471" t="s">
        <v>44</v>
      </c>
      <c r="D10471" s="230">
        <v>-0.02</v>
      </c>
      <c r="E10471" t="s">
        <v>747</v>
      </c>
    </row>
    <row r="10472" spans="1:5" hidden="1" x14ac:dyDescent="0.3">
      <c r="A10472" t="s">
        <v>557</v>
      </c>
      <c r="B10472" t="s">
        <v>746</v>
      </c>
      <c r="C10472" t="s">
        <v>71</v>
      </c>
      <c r="D10472" s="230">
        <v>-2237.23</v>
      </c>
      <c r="E10472" t="s">
        <v>747</v>
      </c>
    </row>
    <row r="10473" spans="1:5" hidden="1" x14ac:dyDescent="0.3">
      <c r="A10473" t="s">
        <v>557</v>
      </c>
      <c r="B10473" t="s">
        <v>746</v>
      </c>
      <c r="C10473" t="s">
        <v>72</v>
      </c>
      <c r="D10473" s="230">
        <v>-2237.23</v>
      </c>
      <c r="E10473" t="s">
        <v>747</v>
      </c>
    </row>
    <row r="10474" spans="1:5" hidden="1" x14ac:dyDescent="0.3">
      <c r="A10474" t="s">
        <v>557</v>
      </c>
      <c r="B10474" t="s">
        <v>746</v>
      </c>
      <c r="C10474" t="s">
        <v>73</v>
      </c>
      <c r="D10474" s="230">
        <v>-2000</v>
      </c>
      <c r="E10474" t="s">
        <v>747</v>
      </c>
    </row>
    <row r="10475" spans="1:5" hidden="1" x14ac:dyDescent="0.3">
      <c r="A10475" t="s">
        <v>557</v>
      </c>
      <c r="B10475" t="s">
        <v>746</v>
      </c>
      <c r="C10475" t="s">
        <v>75</v>
      </c>
      <c r="D10475" s="230">
        <v>-237.23</v>
      </c>
      <c r="E10475" t="s">
        <v>747</v>
      </c>
    </row>
    <row r="10476" spans="1:5" hidden="1" x14ac:dyDescent="0.3">
      <c r="A10476" t="s">
        <v>557</v>
      </c>
      <c r="B10476" t="s">
        <v>746</v>
      </c>
      <c r="C10476" t="s">
        <v>77</v>
      </c>
      <c r="D10476" s="230">
        <v>0</v>
      </c>
      <c r="E10476" t="s">
        <v>747</v>
      </c>
    </row>
    <row r="10477" spans="1:5" hidden="1" x14ac:dyDescent="0.3">
      <c r="A10477" t="s">
        <v>557</v>
      </c>
      <c r="B10477" t="s">
        <v>746</v>
      </c>
      <c r="C10477" t="s">
        <v>78</v>
      </c>
      <c r="D10477" s="230">
        <v>0</v>
      </c>
      <c r="E10477" t="s">
        <v>747</v>
      </c>
    </row>
    <row r="10478" spans="1:5" hidden="1" x14ac:dyDescent="0.3">
      <c r="A10478" t="s">
        <v>557</v>
      </c>
      <c r="B10478" t="s">
        <v>746</v>
      </c>
      <c r="C10478" t="s">
        <v>80</v>
      </c>
      <c r="D10478" s="230">
        <v>0</v>
      </c>
      <c r="E10478" t="s">
        <v>747</v>
      </c>
    </row>
    <row r="10479" spans="1:5" hidden="1" x14ac:dyDescent="0.3">
      <c r="A10479" t="s">
        <v>557</v>
      </c>
      <c r="B10479" t="s">
        <v>746</v>
      </c>
      <c r="C10479" t="s">
        <v>82</v>
      </c>
      <c r="D10479" s="230">
        <v>0</v>
      </c>
      <c r="E10479" t="s">
        <v>747</v>
      </c>
    </row>
    <row r="10480" spans="1:5" hidden="1" x14ac:dyDescent="0.3">
      <c r="A10480" t="s">
        <v>557</v>
      </c>
      <c r="B10480" t="s">
        <v>746</v>
      </c>
      <c r="C10480" t="s">
        <v>84</v>
      </c>
      <c r="D10480" s="230">
        <v>0</v>
      </c>
      <c r="E10480" t="s">
        <v>747</v>
      </c>
    </row>
    <row r="10481" spans="1:5" hidden="1" x14ac:dyDescent="0.3">
      <c r="A10481" t="s">
        <v>557</v>
      </c>
      <c r="B10481" t="s">
        <v>746</v>
      </c>
      <c r="C10481" t="s">
        <v>85</v>
      </c>
      <c r="D10481" s="230">
        <v>0</v>
      </c>
      <c r="E10481" t="s">
        <v>747</v>
      </c>
    </row>
    <row r="10482" spans="1:5" hidden="1" x14ac:dyDescent="0.3">
      <c r="A10482" t="s">
        <v>557</v>
      </c>
      <c r="B10482" t="s">
        <v>746</v>
      </c>
      <c r="C10482" t="s">
        <v>86</v>
      </c>
      <c r="D10482" s="230">
        <v>0</v>
      </c>
      <c r="E10482" t="s">
        <v>747</v>
      </c>
    </row>
    <row r="10483" spans="1:5" hidden="1" x14ac:dyDescent="0.3">
      <c r="A10483" t="s">
        <v>557</v>
      </c>
      <c r="B10483" t="s">
        <v>746</v>
      </c>
      <c r="C10483" t="s">
        <v>87</v>
      </c>
      <c r="D10483" s="230">
        <v>0</v>
      </c>
      <c r="E10483" t="s">
        <v>747</v>
      </c>
    </row>
    <row r="10484" spans="1:5" hidden="1" x14ac:dyDescent="0.3">
      <c r="A10484" t="s">
        <v>557</v>
      </c>
      <c r="B10484" t="s">
        <v>746</v>
      </c>
      <c r="C10484" t="s">
        <v>88</v>
      </c>
      <c r="D10484" s="230">
        <v>0</v>
      </c>
      <c r="E10484" t="s">
        <v>747</v>
      </c>
    </row>
    <row r="10485" spans="1:5" hidden="1" x14ac:dyDescent="0.3">
      <c r="A10485" t="s">
        <v>557</v>
      </c>
      <c r="B10485" t="s">
        <v>746</v>
      </c>
      <c r="C10485" t="s">
        <v>89</v>
      </c>
      <c r="D10485" s="230">
        <v>0</v>
      </c>
      <c r="E10485" t="s">
        <v>747</v>
      </c>
    </row>
    <row r="10486" spans="1:5" hidden="1" x14ac:dyDescent="0.3">
      <c r="A10486" t="s">
        <v>557</v>
      </c>
      <c r="B10486" t="s">
        <v>746</v>
      </c>
      <c r="C10486" t="s">
        <v>90</v>
      </c>
      <c r="D10486" s="230">
        <v>0</v>
      </c>
      <c r="E10486" t="s">
        <v>747</v>
      </c>
    </row>
    <row r="10487" spans="1:5" hidden="1" x14ac:dyDescent="0.3">
      <c r="A10487" t="s">
        <v>557</v>
      </c>
      <c r="B10487" t="s">
        <v>746</v>
      </c>
      <c r="C10487" t="s">
        <v>91</v>
      </c>
      <c r="D10487" s="230">
        <v>0</v>
      </c>
      <c r="E10487" t="s">
        <v>747</v>
      </c>
    </row>
    <row r="10488" spans="1:5" hidden="1" x14ac:dyDescent="0.3">
      <c r="A10488" t="s">
        <v>557</v>
      </c>
      <c r="B10488" t="s">
        <v>746</v>
      </c>
      <c r="C10488" t="s">
        <v>93</v>
      </c>
      <c r="D10488" s="230">
        <v>0</v>
      </c>
      <c r="E10488" t="s">
        <v>747</v>
      </c>
    </row>
    <row r="10489" spans="1:5" hidden="1" x14ac:dyDescent="0.3">
      <c r="A10489" t="s">
        <v>557</v>
      </c>
      <c r="B10489" t="s">
        <v>746</v>
      </c>
      <c r="C10489" t="s">
        <v>95</v>
      </c>
      <c r="D10489" s="230">
        <v>0</v>
      </c>
      <c r="E10489" t="s">
        <v>747</v>
      </c>
    </row>
    <row r="10490" spans="1:5" hidden="1" x14ac:dyDescent="0.3">
      <c r="A10490" t="s">
        <v>557</v>
      </c>
      <c r="B10490" t="s">
        <v>746</v>
      </c>
      <c r="C10490" t="s">
        <v>96</v>
      </c>
      <c r="D10490" s="230">
        <v>0</v>
      </c>
      <c r="E10490" t="s">
        <v>747</v>
      </c>
    </row>
    <row r="10491" spans="1:5" hidden="1" x14ac:dyDescent="0.3">
      <c r="A10491" t="s">
        <v>557</v>
      </c>
      <c r="B10491" t="s">
        <v>746</v>
      </c>
      <c r="C10491" t="s">
        <v>98</v>
      </c>
      <c r="D10491" s="230">
        <v>0</v>
      </c>
      <c r="E10491" t="s">
        <v>747</v>
      </c>
    </row>
    <row r="10492" spans="1:5" hidden="1" x14ac:dyDescent="0.3">
      <c r="A10492" t="s">
        <v>557</v>
      </c>
      <c r="B10492" t="s">
        <v>746</v>
      </c>
      <c r="C10492" t="s">
        <v>100</v>
      </c>
      <c r="D10492" s="230">
        <v>0</v>
      </c>
      <c r="E10492" t="s">
        <v>747</v>
      </c>
    </row>
    <row r="10493" spans="1:5" hidden="1" x14ac:dyDescent="0.3">
      <c r="A10493" t="s">
        <v>557</v>
      </c>
      <c r="B10493" t="s">
        <v>746</v>
      </c>
      <c r="C10493" t="s">
        <v>101</v>
      </c>
      <c r="D10493" s="230">
        <v>0</v>
      </c>
      <c r="E10493" t="s">
        <v>747</v>
      </c>
    </row>
    <row r="10494" spans="1:5" hidden="1" x14ac:dyDescent="0.3">
      <c r="A10494" t="s">
        <v>557</v>
      </c>
      <c r="B10494" t="s">
        <v>746</v>
      </c>
      <c r="C10494" t="s">
        <v>102</v>
      </c>
      <c r="D10494" s="230">
        <v>0</v>
      </c>
      <c r="E10494" t="s">
        <v>747</v>
      </c>
    </row>
    <row r="10495" spans="1:5" hidden="1" x14ac:dyDescent="0.3">
      <c r="A10495" t="s">
        <v>557</v>
      </c>
      <c r="B10495" t="s">
        <v>746</v>
      </c>
      <c r="C10495" t="s">
        <v>103</v>
      </c>
      <c r="D10495" s="230">
        <v>0</v>
      </c>
      <c r="E10495" t="s">
        <v>747</v>
      </c>
    </row>
    <row r="10496" spans="1:5" hidden="1" x14ac:dyDescent="0.3">
      <c r="A10496" t="s">
        <v>557</v>
      </c>
      <c r="B10496" t="s">
        <v>746</v>
      </c>
      <c r="C10496" t="s">
        <v>104</v>
      </c>
      <c r="D10496" s="230">
        <v>0</v>
      </c>
      <c r="E10496" t="s">
        <v>747</v>
      </c>
    </row>
    <row r="10497" spans="1:5" hidden="1" x14ac:dyDescent="0.3">
      <c r="A10497" t="s">
        <v>557</v>
      </c>
      <c r="B10497" t="s">
        <v>746</v>
      </c>
      <c r="C10497" t="s">
        <v>105</v>
      </c>
      <c r="D10497" s="230">
        <v>0</v>
      </c>
      <c r="E10497" t="s">
        <v>747</v>
      </c>
    </row>
    <row r="10498" spans="1:5" hidden="1" x14ac:dyDescent="0.3">
      <c r="A10498" t="s">
        <v>557</v>
      </c>
      <c r="B10498" t="s">
        <v>746</v>
      </c>
      <c r="C10498" t="s">
        <v>107</v>
      </c>
      <c r="D10498" s="230">
        <v>0</v>
      </c>
      <c r="E10498" t="s">
        <v>747</v>
      </c>
    </row>
    <row r="10499" spans="1:5" hidden="1" x14ac:dyDescent="0.3">
      <c r="A10499" t="s">
        <v>557</v>
      </c>
      <c r="B10499" t="s">
        <v>746</v>
      </c>
      <c r="C10499" t="s">
        <v>108</v>
      </c>
      <c r="D10499" s="230">
        <v>0</v>
      </c>
      <c r="E10499" t="s">
        <v>747</v>
      </c>
    </row>
    <row r="10500" spans="1:5" hidden="1" x14ac:dyDescent="0.3">
      <c r="A10500" t="s">
        <v>557</v>
      </c>
      <c r="B10500" t="s">
        <v>746</v>
      </c>
      <c r="C10500" t="s">
        <v>109</v>
      </c>
      <c r="D10500" s="230">
        <v>0</v>
      </c>
      <c r="E10500" t="s">
        <v>747</v>
      </c>
    </row>
    <row r="10501" spans="1:5" hidden="1" x14ac:dyDescent="0.3">
      <c r="A10501" t="s">
        <v>557</v>
      </c>
      <c r="B10501" t="s">
        <v>746</v>
      </c>
      <c r="C10501" t="s">
        <v>110</v>
      </c>
      <c r="D10501" s="230">
        <v>-0.21</v>
      </c>
      <c r="E10501" t="s">
        <v>747</v>
      </c>
    </row>
    <row r="10502" spans="1:5" hidden="1" x14ac:dyDescent="0.3">
      <c r="A10502" t="s">
        <v>557</v>
      </c>
      <c r="B10502" t="s">
        <v>746</v>
      </c>
      <c r="C10502" t="s">
        <v>44</v>
      </c>
      <c r="D10502" s="230">
        <v>0</v>
      </c>
      <c r="E10502" t="s">
        <v>747</v>
      </c>
    </row>
    <row r="10503" spans="1:5" hidden="1" x14ac:dyDescent="0.3">
      <c r="A10503" t="s">
        <v>557</v>
      </c>
      <c r="B10503" t="s">
        <v>746</v>
      </c>
      <c r="C10503" t="s">
        <v>111</v>
      </c>
      <c r="D10503" s="230">
        <v>-30458.17</v>
      </c>
      <c r="E10503" t="s">
        <v>747</v>
      </c>
    </row>
    <row r="10504" spans="1:5" hidden="1" x14ac:dyDescent="0.3">
      <c r="A10504" t="s">
        <v>557</v>
      </c>
      <c r="B10504" t="s">
        <v>746</v>
      </c>
      <c r="C10504" t="s">
        <v>608</v>
      </c>
      <c r="D10504" s="230">
        <v>-30458.17</v>
      </c>
      <c r="E10504" t="s">
        <v>747</v>
      </c>
    </row>
    <row r="10505" spans="1:5" hidden="1" x14ac:dyDescent="0.3">
      <c r="A10505" t="s">
        <v>557</v>
      </c>
      <c r="B10505" t="s">
        <v>746</v>
      </c>
      <c r="C10505" t="s">
        <v>44</v>
      </c>
      <c r="D10505" s="230">
        <v>-0.06</v>
      </c>
      <c r="E10505" t="s">
        <v>747</v>
      </c>
    </row>
    <row r="10506" spans="1:5" hidden="1" x14ac:dyDescent="0.3">
      <c r="A10506" t="s">
        <v>557</v>
      </c>
      <c r="B10506" t="s">
        <v>746</v>
      </c>
      <c r="C10506" t="s">
        <v>115</v>
      </c>
      <c r="D10506" s="230">
        <v>-8489.01</v>
      </c>
      <c r="E10506" t="s">
        <v>747</v>
      </c>
    </row>
    <row r="10507" spans="1:5" hidden="1" x14ac:dyDescent="0.3">
      <c r="A10507" t="s">
        <v>557</v>
      </c>
      <c r="B10507" t="s">
        <v>746</v>
      </c>
      <c r="C10507" t="s">
        <v>116</v>
      </c>
      <c r="D10507" s="230">
        <v>-7820.07</v>
      </c>
      <c r="E10507" t="s">
        <v>747</v>
      </c>
    </row>
    <row r="10508" spans="1:5" hidden="1" x14ac:dyDescent="0.3">
      <c r="A10508" t="s">
        <v>557</v>
      </c>
      <c r="B10508" t="s">
        <v>746</v>
      </c>
      <c r="C10508" t="s">
        <v>118</v>
      </c>
      <c r="D10508" s="230">
        <v>-668.94</v>
      </c>
      <c r="E10508" t="s">
        <v>747</v>
      </c>
    </row>
    <row r="10509" spans="1:5" hidden="1" x14ac:dyDescent="0.3">
      <c r="A10509" t="s">
        <v>557</v>
      </c>
      <c r="B10509" t="s">
        <v>746</v>
      </c>
      <c r="C10509" t="s">
        <v>120</v>
      </c>
      <c r="D10509" s="230">
        <v>0</v>
      </c>
      <c r="E10509" t="s">
        <v>747</v>
      </c>
    </row>
    <row r="10510" spans="1:5" hidden="1" x14ac:dyDescent="0.3">
      <c r="A10510" t="s">
        <v>557</v>
      </c>
      <c r="B10510" t="s">
        <v>746</v>
      </c>
      <c r="C10510" t="s">
        <v>122</v>
      </c>
      <c r="D10510" s="230">
        <v>0</v>
      </c>
      <c r="E10510" t="s">
        <v>747</v>
      </c>
    </row>
    <row r="10511" spans="1:5" hidden="1" x14ac:dyDescent="0.3">
      <c r="A10511" t="s">
        <v>557</v>
      </c>
      <c r="B10511" t="s">
        <v>746</v>
      </c>
      <c r="C10511" t="s">
        <v>44</v>
      </c>
      <c r="D10511" s="230">
        <v>-0.02</v>
      </c>
      <c r="E10511" t="s">
        <v>747</v>
      </c>
    </row>
    <row r="10512" spans="1:5" hidden="1" x14ac:dyDescent="0.3">
      <c r="A10512" t="s">
        <v>557</v>
      </c>
      <c r="B10512" t="s">
        <v>746</v>
      </c>
      <c r="C10512" t="s">
        <v>126</v>
      </c>
      <c r="D10512" s="230">
        <v>257290.9</v>
      </c>
      <c r="E10512" t="s">
        <v>747</v>
      </c>
    </row>
    <row r="10513" spans="1:5" hidden="1" x14ac:dyDescent="0.3">
      <c r="A10513" t="s">
        <v>557</v>
      </c>
      <c r="B10513" t="s">
        <v>746</v>
      </c>
      <c r="C10513" t="s">
        <v>127</v>
      </c>
      <c r="D10513" s="230">
        <v>0.54</v>
      </c>
      <c r="E10513" t="s">
        <v>747</v>
      </c>
    </row>
    <row r="10514" spans="1:5" hidden="1" x14ac:dyDescent="0.3">
      <c r="A10514" t="s">
        <v>557</v>
      </c>
      <c r="B10514" t="s">
        <v>746</v>
      </c>
      <c r="C10514" t="s">
        <v>128</v>
      </c>
      <c r="D10514" s="230">
        <v>-125084.1</v>
      </c>
      <c r="E10514" t="s">
        <v>747</v>
      </c>
    </row>
    <row r="10515" spans="1:5" hidden="1" x14ac:dyDescent="0.3">
      <c r="A10515" t="s">
        <v>557</v>
      </c>
      <c r="B10515" t="s">
        <v>746</v>
      </c>
      <c r="C10515" t="s">
        <v>129</v>
      </c>
      <c r="D10515" s="230">
        <v>-36366.129999999997</v>
      </c>
      <c r="E10515" t="s">
        <v>747</v>
      </c>
    </row>
    <row r="10516" spans="1:5" hidden="1" x14ac:dyDescent="0.3">
      <c r="A10516" t="s">
        <v>557</v>
      </c>
      <c r="B10516" t="s">
        <v>746</v>
      </c>
      <c r="C10516" t="s">
        <v>609</v>
      </c>
      <c r="D10516" s="230">
        <v>0</v>
      </c>
      <c r="E10516" t="s">
        <v>747</v>
      </c>
    </row>
    <row r="10517" spans="1:5" hidden="1" x14ac:dyDescent="0.3">
      <c r="A10517" t="s">
        <v>557</v>
      </c>
      <c r="B10517" t="s">
        <v>746</v>
      </c>
      <c r="C10517" t="s">
        <v>610</v>
      </c>
      <c r="D10517" s="230">
        <v>-17600</v>
      </c>
      <c r="E10517" t="s">
        <v>747</v>
      </c>
    </row>
    <row r="10518" spans="1:5" hidden="1" x14ac:dyDescent="0.3">
      <c r="A10518" t="s">
        <v>557</v>
      </c>
      <c r="B10518" t="s">
        <v>746</v>
      </c>
      <c r="C10518" t="s">
        <v>611</v>
      </c>
      <c r="D10518" s="230">
        <v>0</v>
      </c>
      <c r="E10518" t="s">
        <v>747</v>
      </c>
    </row>
    <row r="10519" spans="1:5" hidden="1" x14ac:dyDescent="0.3">
      <c r="A10519" t="s">
        <v>557</v>
      </c>
      <c r="B10519" t="s">
        <v>746</v>
      </c>
      <c r="C10519" t="s">
        <v>612</v>
      </c>
      <c r="D10519" s="230">
        <v>-4000</v>
      </c>
      <c r="E10519" t="s">
        <v>747</v>
      </c>
    </row>
    <row r="10520" spans="1:5" hidden="1" x14ac:dyDescent="0.3">
      <c r="A10520" t="s">
        <v>557</v>
      </c>
      <c r="B10520" t="s">
        <v>746</v>
      </c>
      <c r="C10520" t="s">
        <v>613</v>
      </c>
      <c r="D10520" s="230">
        <v>-1750</v>
      </c>
      <c r="E10520" t="s">
        <v>747</v>
      </c>
    </row>
    <row r="10521" spans="1:5" hidden="1" x14ac:dyDescent="0.3">
      <c r="A10521" t="s">
        <v>557</v>
      </c>
      <c r="B10521" t="s">
        <v>746</v>
      </c>
      <c r="C10521" t="s">
        <v>614</v>
      </c>
      <c r="D10521" s="230">
        <v>-9016.1299999999992</v>
      </c>
      <c r="E10521" t="s">
        <v>747</v>
      </c>
    </row>
    <row r="10522" spans="1:5" hidden="1" x14ac:dyDescent="0.3">
      <c r="A10522" t="s">
        <v>557</v>
      </c>
      <c r="B10522" t="s">
        <v>746</v>
      </c>
      <c r="C10522" t="s">
        <v>615</v>
      </c>
      <c r="D10522" s="230">
        <v>0</v>
      </c>
      <c r="E10522" t="s">
        <v>747</v>
      </c>
    </row>
    <row r="10523" spans="1:5" hidden="1" x14ac:dyDescent="0.3">
      <c r="A10523" t="s">
        <v>557</v>
      </c>
      <c r="B10523" t="s">
        <v>746</v>
      </c>
      <c r="C10523" t="s">
        <v>616</v>
      </c>
      <c r="D10523" s="230">
        <v>-4000</v>
      </c>
      <c r="E10523" t="s">
        <v>747</v>
      </c>
    </row>
    <row r="10524" spans="1:5" hidden="1" x14ac:dyDescent="0.3">
      <c r="A10524" t="s">
        <v>557</v>
      </c>
      <c r="B10524" t="s">
        <v>746</v>
      </c>
      <c r="C10524" t="s">
        <v>617</v>
      </c>
      <c r="D10524" s="230">
        <v>0</v>
      </c>
      <c r="E10524" t="s">
        <v>747</v>
      </c>
    </row>
    <row r="10525" spans="1:5" hidden="1" x14ac:dyDescent="0.3">
      <c r="A10525" t="s">
        <v>557</v>
      </c>
      <c r="B10525" t="s">
        <v>746</v>
      </c>
      <c r="C10525" t="s">
        <v>618</v>
      </c>
      <c r="D10525" s="230">
        <v>0</v>
      </c>
      <c r="E10525" t="s">
        <v>747</v>
      </c>
    </row>
    <row r="10526" spans="1:5" hidden="1" x14ac:dyDescent="0.3">
      <c r="A10526" t="s">
        <v>557</v>
      </c>
      <c r="B10526" t="s">
        <v>746</v>
      </c>
      <c r="C10526" t="s">
        <v>619</v>
      </c>
      <c r="D10526" s="230">
        <v>0</v>
      </c>
      <c r="E10526" t="s">
        <v>747</v>
      </c>
    </row>
    <row r="10527" spans="1:5" hidden="1" x14ac:dyDescent="0.3">
      <c r="A10527" t="s">
        <v>557</v>
      </c>
      <c r="B10527" t="s">
        <v>746</v>
      </c>
      <c r="C10527" t="s">
        <v>620</v>
      </c>
      <c r="D10527" s="230">
        <v>0</v>
      </c>
      <c r="E10527" t="s">
        <v>747</v>
      </c>
    </row>
    <row r="10528" spans="1:5" hidden="1" x14ac:dyDescent="0.3">
      <c r="A10528" t="s">
        <v>557</v>
      </c>
      <c r="B10528" t="s">
        <v>746</v>
      </c>
      <c r="C10528" t="s">
        <v>575</v>
      </c>
      <c r="D10528" s="230">
        <v>-31532.82</v>
      </c>
      <c r="E10528" t="s">
        <v>747</v>
      </c>
    </row>
    <row r="10529" spans="1:5" hidden="1" x14ac:dyDescent="0.3">
      <c r="A10529" t="s">
        <v>557</v>
      </c>
      <c r="B10529" t="s">
        <v>746</v>
      </c>
      <c r="C10529" t="s">
        <v>621</v>
      </c>
      <c r="D10529" s="230">
        <v>0</v>
      </c>
      <c r="E10529" t="s">
        <v>747</v>
      </c>
    </row>
    <row r="10530" spans="1:5" hidden="1" x14ac:dyDescent="0.3">
      <c r="A10530" t="s">
        <v>557</v>
      </c>
      <c r="B10530" t="s">
        <v>746</v>
      </c>
      <c r="C10530" t="s">
        <v>622</v>
      </c>
      <c r="D10530" s="230">
        <v>0</v>
      </c>
      <c r="E10530" t="s">
        <v>747</v>
      </c>
    </row>
    <row r="10531" spans="1:5" hidden="1" x14ac:dyDescent="0.3">
      <c r="A10531" t="s">
        <v>557</v>
      </c>
      <c r="B10531" t="s">
        <v>746</v>
      </c>
      <c r="C10531" t="s">
        <v>623</v>
      </c>
      <c r="D10531" s="230">
        <v>0</v>
      </c>
      <c r="E10531" t="s">
        <v>747</v>
      </c>
    </row>
    <row r="10532" spans="1:5" hidden="1" x14ac:dyDescent="0.3">
      <c r="A10532" t="s">
        <v>557</v>
      </c>
      <c r="B10532" t="s">
        <v>746</v>
      </c>
      <c r="C10532" t="s">
        <v>624</v>
      </c>
      <c r="D10532" s="230">
        <v>0</v>
      </c>
      <c r="E10532" t="s">
        <v>747</v>
      </c>
    </row>
    <row r="10533" spans="1:5" hidden="1" x14ac:dyDescent="0.3">
      <c r="A10533" t="s">
        <v>557</v>
      </c>
      <c r="B10533" t="s">
        <v>746</v>
      </c>
      <c r="C10533" t="s">
        <v>625</v>
      </c>
      <c r="D10533" s="230">
        <v>0</v>
      </c>
      <c r="E10533" t="s">
        <v>747</v>
      </c>
    </row>
    <row r="10534" spans="1:5" hidden="1" x14ac:dyDescent="0.3">
      <c r="A10534" t="s">
        <v>557</v>
      </c>
      <c r="B10534" t="s">
        <v>746</v>
      </c>
      <c r="C10534" t="s">
        <v>626</v>
      </c>
      <c r="D10534" s="230">
        <v>0</v>
      </c>
      <c r="E10534" t="s">
        <v>747</v>
      </c>
    </row>
    <row r="10535" spans="1:5" hidden="1" x14ac:dyDescent="0.3">
      <c r="A10535" t="s">
        <v>557</v>
      </c>
      <c r="B10535" t="s">
        <v>746</v>
      </c>
      <c r="C10535" t="s">
        <v>627</v>
      </c>
      <c r="D10535" s="230">
        <v>0</v>
      </c>
      <c r="E10535" t="s">
        <v>747</v>
      </c>
    </row>
    <row r="10536" spans="1:5" hidden="1" x14ac:dyDescent="0.3">
      <c r="A10536" t="s">
        <v>557</v>
      </c>
      <c r="B10536" t="s">
        <v>746</v>
      </c>
      <c r="C10536" t="s">
        <v>628</v>
      </c>
      <c r="D10536" s="230">
        <v>0</v>
      </c>
      <c r="E10536" t="s">
        <v>747</v>
      </c>
    </row>
    <row r="10537" spans="1:5" hidden="1" x14ac:dyDescent="0.3">
      <c r="A10537" t="s">
        <v>557</v>
      </c>
      <c r="B10537" t="s">
        <v>746</v>
      </c>
      <c r="C10537" t="s">
        <v>629</v>
      </c>
      <c r="D10537" s="230">
        <v>0</v>
      </c>
      <c r="E10537" t="s">
        <v>747</v>
      </c>
    </row>
    <row r="10538" spans="1:5" hidden="1" x14ac:dyDescent="0.3">
      <c r="A10538" t="s">
        <v>557</v>
      </c>
      <c r="B10538" t="s">
        <v>746</v>
      </c>
      <c r="C10538" t="s">
        <v>630</v>
      </c>
      <c r="D10538" s="230">
        <v>0</v>
      </c>
      <c r="E10538" t="s">
        <v>747</v>
      </c>
    </row>
    <row r="10539" spans="1:5" hidden="1" x14ac:dyDescent="0.3">
      <c r="A10539" t="s">
        <v>557</v>
      </c>
      <c r="B10539" t="s">
        <v>746</v>
      </c>
      <c r="C10539" t="s">
        <v>631</v>
      </c>
      <c r="D10539" s="230">
        <v>0</v>
      </c>
      <c r="E10539" t="s">
        <v>747</v>
      </c>
    </row>
    <row r="10540" spans="1:5" hidden="1" x14ac:dyDescent="0.3">
      <c r="A10540" t="s">
        <v>557</v>
      </c>
      <c r="B10540" t="s">
        <v>746</v>
      </c>
      <c r="C10540" t="s">
        <v>632</v>
      </c>
      <c r="D10540" s="230">
        <v>0</v>
      </c>
      <c r="E10540" t="s">
        <v>747</v>
      </c>
    </row>
    <row r="10541" spans="1:5" hidden="1" x14ac:dyDescent="0.3">
      <c r="A10541" t="s">
        <v>557</v>
      </c>
      <c r="B10541" t="s">
        <v>746</v>
      </c>
      <c r="C10541" t="s">
        <v>633</v>
      </c>
      <c r="D10541" s="230">
        <v>0</v>
      </c>
      <c r="E10541" t="s">
        <v>747</v>
      </c>
    </row>
    <row r="10542" spans="1:5" hidden="1" x14ac:dyDescent="0.3">
      <c r="A10542" t="s">
        <v>557</v>
      </c>
      <c r="B10542" t="s">
        <v>746</v>
      </c>
      <c r="C10542" t="s">
        <v>634</v>
      </c>
      <c r="D10542" s="230">
        <v>0</v>
      </c>
      <c r="E10542" t="s">
        <v>747</v>
      </c>
    </row>
    <row r="10543" spans="1:5" hidden="1" x14ac:dyDescent="0.3">
      <c r="A10543" t="s">
        <v>557</v>
      </c>
      <c r="B10543" t="s">
        <v>746</v>
      </c>
      <c r="C10543" t="s">
        <v>635</v>
      </c>
      <c r="D10543" s="230">
        <v>0</v>
      </c>
      <c r="E10543" t="s">
        <v>747</v>
      </c>
    </row>
    <row r="10544" spans="1:5" hidden="1" x14ac:dyDescent="0.3">
      <c r="A10544" t="s">
        <v>557</v>
      </c>
      <c r="B10544" t="s">
        <v>746</v>
      </c>
      <c r="C10544" t="s">
        <v>636</v>
      </c>
      <c r="D10544" s="230">
        <v>0</v>
      </c>
      <c r="E10544" t="s">
        <v>747</v>
      </c>
    </row>
    <row r="10545" spans="1:5" hidden="1" x14ac:dyDescent="0.3">
      <c r="A10545" t="s">
        <v>557</v>
      </c>
      <c r="B10545" t="s">
        <v>746</v>
      </c>
      <c r="C10545" t="s">
        <v>637</v>
      </c>
      <c r="D10545" s="230">
        <v>0</v>
      </c>
      <c r="E10545" t="s">
        <v>747</v>
      </c>
    </row>
    <row r="10546" spans="1:5" hidden="1" x14ac:dyDescent="0.3">
      <c r="A10546" t="s">
        <v>557</v>
      </c>
      <c r="B10546" t="s">
        <v>746</v>
      </c>
      <c r="C10546" t="s">
        <v>638</v>
      </c>
      <c r="D10546" s="230">
        <v>0</v>
      </c>
      <c r="E10546" t="s">
        <v>747</v>
      </c>
    </row>
    <row r="10547" spans="1:5" hidden="1" x14ac:dyDescent="0.3">
      <c r="A10547" t="s">
        <v>557</v>
      </c>
      <c r="B10547" t="s">
        <v>746</v>
      </c>
      <c r="C10547" t="s">
        <v>639</v>
      </c>
      <c r="D10547" s="230">
        <v>0</v>
      </c>
      <c r="E10547" t="s">
        <v>747</v>
      </c>
    </row>
    <row r="10548" spans="1:5" hidden="1" x14ac:dyDescent="0.3">
      <c r="A10548" t="s">
        <v>557</v>
      </c>
      <c r="B10548" t="s">
        <v>746</v>
      </c>
      <c r="C10548" t="s">
        <v>640</v>
      </c>
      <c r="D10548" s="230">
        <v>0</v>
      </c>
      <c r="E10548" t="s">
        <v>747</v>
      </c>
    </row>
    <row r="10549" spans="1:5" hidden="1" x14ac:dyDescent="0.3">
      <c r="A10549" t="s">
        <v>557</v>
      </c>
      <c r="B10549" t="s">
        <v>746</v>
      </c>
      <c r="C10549" t="s">
        <v>641</v>
      </c>
      <c r="D10549" s="230">
        <v>0</v>
      </c>
      <c r="E10549" t="s">
        <v>747</v>
      </c>
    </row>
    <row r="10550" spans="1:5" hidden="1" x14ac:dyDescent="0.3">
      <c r="A10550" t="s">
        <v>557</v>
      </c>
      <c r="B10550" t="s">
        <v>746</v>
      </c>
      <c r="C10550" t="s">
        <v>642</v>
      </c>
      <c r="D10550" s="230">
        <v>0</v>
      </c>
      <c r="E10550" t="s">
        <v>747</v>
      </c>
    </row>
    <row r="10551" spans="1:5" hidden="1" x14ac:dyDescent="0.3">
      <c r="A10551" t="s">
        <v>557</v>
      </c>
      <c r="B10551" t="s">
        <v>746</v>
      </c>
      <c r="C10551" t="s">
        <v>643</v>
      </c>
      <c r="D10551" s="230">
        <v>0</v>
      </c>
      <c r="E10551" t="s">
        <v>747</v>
      </c>
    </row>
    <row r="10552" spans="1:5" hidden="1" x14ac:dyDescent="0.3">
      <c r="A10552" t="s">
        <v>557</v>
      </c>
      <c r="B10552" t="s">
        <v>746</v>
      </c>
      <c r="C10552" t="s">
        <v>644</v>
      </c>
      <c r="D10552" s="230">
        <v>0</v>
      </c>
      <c r="E10552" t="s">
        <v>747</v>
      </c>
    </row>
    <row r="10553" spans="1:5" hidden="1" x14ac:dyDescent="0.3">
      <c r="A10553" t="s">
        <v>557</v>
      </c>
      <c r="B10553" t="s">
        <v>746</v>
      </c>
      <c r="C10553" t="s">
        <v>645</v>
      </c>
      <c r="D10553" s="230">
        <v>0</v>
      </c>
      <c r="E10553" t="s">
        <v>747</v>
      </c>
    </row>
    <row r="10554" spans="1:5" hidden="1" x14ac:dyDescent="0.3">
      <c r="A10554" t="s">
        <v>557</v>
      </c>
      <c r="B10554" t="s">
        <v>746</v>
      </c>
      <c r="C10554" t="s">
        <v>646</v>
      </c>
      <c r="D10554" s="230">
        <v>0</v>
      </c>
      <c r="E10554" t="s">
        <v>747</v>
      </c>
    </row>
    <row r="10555" spans="1:5" hidden="1" x14ac:dyDescent="0.3">
      <c r="A10555" t="s">
        <v>557</v>
      </c>
      <c r="B10555" t="s">
        <v>746</v>
      </c>
      <c r="C10555" t="s">
        <v>647</v>
      </c>
      <c r="D10555" s="230">
        <v>0</v>
      </c>
      <c r="E10555" t="s">
        <v>747</v>
      </c>
    </row>
    <row r="10556" spans="1:5" hidden="1" x14ac:dyDescent="0.3">
      <c r="A10556" t="s">
        <v>557</v>
      </c>
      <c r="B10556" t="s">
        <v>746</v>
      </c>
      <c r="C10556" t="s">
        <v>648</v>
      </c>
      <c r="D10556" s="230">
        <v>0</v>
      </c>
      <c r="E10556" t="s">
        <v>747</v>
      </c>
    </row>
    <row r="10557" spans="1:5" hidden="1" x14ac:dyDescent="0.3">
      <c r="A10557" t="s">
        <v>557</v>
      </c>
      <c r="B10557" t="s">
        <v>746</v>
      </c>
      <c r="C10557" t="s">
        <v>649</v>
      </c>
      <c r="D10557" s="230">
        <v>0</v>
      </c>
      <c r="E10557" t="s">
        <v>747</v>
      </c>
    </row>
    <row r="10558" spans="1:5" hidden="1" x14ac:dyDescent="0.3">
      <c r="A10558" t="s">
        <v>557</v>
      </c>
      <c r="B10558" t="s">
        <v>746</v>
      </c>
      <c r="C10558" t="s">
        <v>650</v>
      </c>
      <c r="D10558" s="230">
        <v>0</v>
      </c>
      <c r="E10558" t="s">
        <v>747</v>
      </c>
    </row>
    <row r="10559" spans="1:5" hidden="1" x14ac:dyDescent="0.3">
      <c r="A10559" t="s">
        <v>557</v>
      </c>
      <c r="B10559" t="s">
        <v>746</v>
      </c>
      <c r="C10559" t="s">
        <v>651</v>
      </c>
      <c r="D10559" s="230">
        <v>0</v>
      </c>
      <c r="E10559" t="s">
        <v>747</v>
      </c>
    </row>
    <row r="10560" spans="1:5" hidden="1" x14ac:dyDescent="0.3">
      <c r="A10560" t="s">
        <v>557</v>
      </c>
      <c r="B10560" t="s">
        <v>746</v>
      </c>
      <c r="C10560" t="s">
        <v>652</v>
      </c>
      <c r="D10560" s="230">
        <v>0</v>
      </c>
      <c r="E10560" t="s">
        <v>747</v>
      </c>
    </row>
    <row r="10561" spans="1:5" hidden="1" x14ac:dyDescent="0.3">
      <c r="A10561" t="s">
        <v>557</v>
      </c>
      <c r="B10561" t="s">
        <v>746</v>
      </c>
      <c r="C10561" t="s">
        <v>653</v>
      </c>
      <c r="D10561" s="230">
        <v>0</v>
      </c>
      <c r="E10561" t="s">
        <v>747</v>
      </c>
    </row>
    <row r="10562" spans="1:5" hidden="1" x14ac:dyDescent="0.3">
      <c r="A10562" t="s">
        <v>557</v>
      </c>
      <c r="B10562" t="s">
        <v>746</v>
      </c>
      <c r="C10562" t="s">
        <v>654</v>
      </c>
      <c r="D10562" s="230">
        <v>0</v>
      </c>
      <c r="E10562" t="s">
        <v>747</v>
      </c>
    </row>
    <row r="10563" spans="1:5" hidden="1" x14ac:dyDescent="0.3">
      <c r="A10563" t="s">
        <v>557</v>
      </c>
      <c r="B10563" t="s">
        <v>746</v>
      </c>
      <c r="C10563" t="s">
        <v>655</v>
      </c>
      <c r="D10563" s="230">
        <v>0</v>
      </c>
      <c r="E10563" t="s">
        <v>747</v>
      </c>
    </row>
    <row r="10564" spans="1:5" hidden="1" x14ac:dyDescent="0.3">
      <c r="A10564" t="s">
        <v>557</v>
      </c>
      <c r="B10564" t="s">
        <v>746</v>
      </c>
      <c r="C10564" t="s">
        <v>656</v>
      </c>
      <c r="D10564" s="230">
        <v>0</v>
      </c>
      <c r="E10564" t="s">
        <v>747</v>
      </c>
    </row>
    <row r="10565" spans="1:5" hidden="1" x14ac:dyDescent="0.3">
      <c r="A10565" t="s">
        <v>557</v>
      </c>
      <c r="B10565" t="s">
        <v>746</v>
      </c>
      <c r="C10565" t="s">
        <v>657</v>
      </c>
      <c r="D10565" s="230">
        <v>0</v>
      </c>
      <c r="E10565" t="s">
        <v>747</v>
      </c>
    </row>
    <row r="10566" spans="1:5" hidden="1" x14ac:dyDescent="0.3">
      <c r="A10566" t="s">
        <v>557</v>
      </c>
      <c r="B10566" t="s">
        <v>746</v>
      </c>
      <c r="C10566" t="s">
        <v>658</v>
      </c>
      <c r="D10566" s="230">
        <v>0</v>
      </c>
      <c r="E10566" t="s">
        <v>747</v>
      </c>
    </row>
    <row r="10567" spans="1:5" hidden="1" x14ac:dyDescent="0.3">
      <c r="A10567" t="s">
        <v>557</v>
      </c>
      <c r="B10567" t="s">
        <v>746</v>
      </c>
      <c r="C10567" t="s">
        <v>659</v>
      </c>
      <c r="D10567" s="230">
        <v>0</v>
      </c>
      <c r="E10567" t="s">
        <v>747</v>
      </c>
    </row>
    <row r="10568" spans="1:5" hidden="1" x14ac:dyDescent="0.3">
      <c r="A10568" t="s">
        <v>557</v>
      </c>
      <c r="B10568" t="s">
        <v>746</v>
      </c>
      <c r="C10568" t="s">
        <v>660</v>
      </c>
      <c r="D10568" s="230">
        <v>0</v>
      </c>
      <c r="E10568" t="s">
        <v>747</v>
      </c>
    </row>
    <row r="10569" spans="1:5" hidden="1" x14ac:dyDescent="0.3">
      <c r="A10569" t="s">
        <v>557</v>
      </c>
      <c r="B10569" t="s">
        <v>746</v>
      </c>
      <c r="C10569" t="s">
        <v>661</v>
      </c>
      <c r="D10569" s="230">
        <v>0</v>
      </c>
      <c r="E10569" t="s">
        <v>747</v>
      </c>
    </row>
    <row r="10570" spans="1:5" hidden="1" x14ac:dyDescent="0.3">
      <c r="A10570" t="s">
        <v>557</v>
      </c>
      <c r="B10570" t="s">
        <v>746</v>
      </c>
      <c r="C10570" t="s">
        <v>662</v>
      </c>
      <c r="D10570" s="230">
        <v>0</v>
      </c>
      <c r="E10570" t="s">
        <v>747</v>
      </c>
    </row>
    <row r="10571" spans="1:5" hidden="1" x14ac:dyDescent="0.3">
      <c r="A10571" t="s">
        <v>557</v>
      </c>
      <c r="B10571" t="s">
        <v>746</v>
      </c>
      <c r="C10571" t="s">
        <v>663</v>
      </c>
      <c r="D10571" s="230">
        <v>0</v>
      </c>
      <c r="E10571" t="s">
        <v>747</v>
      </c>
    </row>
    <row r="10572" spans="1:5" hidden="1" x14ac:dyDescent="0.3">
      <c r="A10572" t="s">
        <v>557</v>
      </c>
      <c r="B10572" t="s">
        <v>746</v>
      </c>
      <c r="C10572" t="s">
        <v>664</v>
      </c>
      <c r="D10572" s="230">
        <v>0</v>
      </c>
      <c r="E10572" t="s">
        <v>747</v>
      </c>
    </row>
    <row r="10573" spans="1:5" hidden="1" x14ac:dyDescent="0.3">
      <c r="A10573" t="s">
        <v>557</v>
      </c>
      <c r="B10573" t="s">
        <v>746</v>
      </c>
      <c r="C10573" t="s">
        <v>665</v>
      </c>
      <c r="D10573" s="230">
        <v>0</v>
      </c>
      <c r="E10573" t="s">
        <v>747</v>
      </c>
    </row>
    <row r="10574" spans="1:5" hidden="1" x14ac:dyDescent="0.3">
      <c r="A10574" t="s">
        <v>557</v>
      </c>
      <c r="B10574" t="s">
        <v>746</v>
      </c>
      <c r="C10574" t="s">
        <v>666</v>
      </c>
      <c r="D10574" s="230">
        <v>0</v>
      </c>
      <c r="E10574" t="s">
        <v>747</v>
      </c>
    </row>
    <row r="10575" spans="1:5" hidden="1" x14ac:dyDescent="0.3">
      <c r="A10575" t="s">
        <v>557</v>
      </c>
      <c r="B10575" t="s">
        <v>746</v>
      </c>
      <c r="C10575" t="s">
        <v>667</v>
      </c>
      <c r="D10575" s="230">
        <v>0</v>
      </c>
      <c r="E10575" t="s">
        <v>747</v>
      </c>
    </row>
    <row r="10576" spans="1:5" hidden="1" x14ac:dyDescent="0.3">
      <c r="A10576" t="s">
        <v>557</v>
      </c>
      <c r="B10576" t="s">
        <v>746</v>
      </c>
      <c r="C10576" t="s">
        <v>668</v>
      </c>
      <c r="D10576" s="230">
        <v>0</v>
      </c>
      <c r="E10576" t="s">
        <v>747</v>
      </c>
    </row>
    <row r="10577" spans="1:5" hidden="1" x14ac:dyDescent="0.3">
      <c r="A10577" t="s">
        <v>557</v>
      </c>
      <c r="B10577" t="s">
        <v>746</v>
      </c>
      <c r="C10577" t="s">
        <v>669</v>
      </c>
      <c r="D10577" s="230">
        <v>0</v>
      </c>
      <c r="E10577" t="s">
        <v>747</v>
      </c>
    </row>
    <row r="10578" spans="1:5" hidden="1" x14ac:dyDescent="0.3">
      <c r="A10578" t="s">
        <v>557</v>
      </c>
      <c r="B10578" t="s">
        <v>746</v>
      </c>
      <c r="C10578" t="s">
        <v>670</v>
      </c>
      <c r="D10578" s="230">
        <v>0</v>
      </c>
      <c r="E10578" t="s">
        <v>747</v>
      </c>
    </row>
    <row r="10579" spans="1:5" hidden="1" x14ac:dyDescent="0.3">
      <c r="A10579" t="s">
        <v>557</v>
      </c>
      <c r="B10579" t="s">
        <v>746</v>
      </c>
      <c r="C10579" t="s">
        <v>671</v>
      </c>
      <c r="D10579" s="230">
        <v>0</v>
      </c>
      <c r="E10579" t="s">
        <v>747</v>
      </c>
    </row>
    <row r="10580" spans="1:5" hidden="1" x14ac:dyDescent="0.3">
      <c r="A10580" t="s">
        <v>557</v>
      </c>
      <c r="B10580" t="s">
        <v>746</v>
      </c>
      <c r="C10580" t="s">
        <v>672</v>
      </c>
      <c r="D10580" s="230">
        <v>0</v>
      </c>
      <c r="E10580" t="s">
        <v>747</v>
      </c>
    </row>
    <row r="10581" spans="1:5" hidden="1" x14ac:dyDescent="0.3">
      <c r="A10581" t="s">
        <v>557</v>
      </c>
      <c r="B10581" t="s">
        <v>746</v>
      </c>
      <c r="C10581" t="s">
        <v>673</v>
      </c>
      <c r="D10581" s="230">
        <v>0</v>
      </c>
      <c r="E10581" t="s">
        <v>747</v>
      </c>
    </row>
    <row r="10582" spans="1:5" hidden="1" x14ac:dyDescent="0.3">
      <c r="A10582" t="s">
        <v>557</v>
      </c>
      <c r="B10582" t="s">
        <v>746</v>
      </c>
      <c r="C10582" t="s">
        <v>674</v>
      </c>
      <c r="D10582" s="230">
        <v>0</v>
      </c>
      <c r="E10582" t="s">
        <v>747</v>
      </c>
    </row>
    <row r="10583" spans="1:5" hidden="1" x14ac:dyDescent="0.3">
      <c r="A10583" t="s">
        <v>557</v>
      </c>
      <c r="B10583" t="s">
        <v>746</v>
      </c>
      <c r="C10583" t="s">
        <v>675</v>
      </c>
      <c r="D10583" s="230">
        <v>0</v>
      </c>
      <c r="E10583" t="s">
        <v>747</v>
      </c>
    </row>
    <row r="10584" spans="1:5" hidden="1" x14ac:dyDescent="0.3">
      <c r="A10584" t="s">
        <v>557</v>
      </c>
      <c r="B10584" t="s">
        <v>746</v>
      </c>
      <c r="C10584" t="s">
        <v>676</v>
      </c>
      <c r="D10584" s="230">
        <v>0</v>
      </c>
      <c r="E10584" t="s">
        <v>747</v>
      </c>
    </row>
    <row r="10585" spans="1:5" hidden="1" x14ac:dyDescent="0.3">
      <c r="A10585" t="s">
        <v>557</v>
      </c>
      <c r="B10585" t="s">
        <v>746</v>
      </c>
      <c r="C10585" t="s">
        <v>677</v>
      </c>
      <c r="D10585" s="230">
        <v>0</v>
      </c>
      <c r="E10585" t="s">
        <v>747</v>
      </c>
    </row>
    <row r="10586" spans="1:5" hidden="1" x14ac:dyDescent="0.3">
      <c r="A10586" t="s">
        <v>557</v>
      </c>
      <c r="B10586" t="s">
        <v>746</v>
      </c>
      <c r="C10586" t="s">
        <v>201</v>
      </c>
      <c r="D10586" s="230">
        <v>-11465.6</v>
      </c>
      <c r="E10586" t="s">
        <v>747</v>
      </c>
    </row>
    <row r="10587" spans="1:5" hidden="1" x14ac:dyDescent="0.3">
      <c r="A10587" t="s">
        <v>557</v>
      </c>
      <c r="B10587" t="s">
        <v>746</v>
      </c>
      <c r="C10587" t="s">
        <v>203</v>
      </c>
      <c r="D10587" s="230">
        <v>-11465.6</v>
      </c>
      <c r="E10587" t="s">
        <v>747</v>
      </c>
    </row>
    <row r="10588" spans="1:5" hidden="1" x14ac:dyDescent="0.3">
      <c r="A10588" t="s">
        <v>557</v>
      </c>
      <c r="B10588" t="s">
        <v>746</v>
      </c>
      <c r="C10588" t="s">
        <v>678</v>
      </c>
      <c r="D10588" s="230">
        <v>5732.8</v>
      </c>
      <c r="E10588" t="s">
        <v>747</v>
      </c>
    </row>
    <row r="10589" spans="1:5" hidden="1" x14ac:dyDescent="0.3">
      <c r="A10589" t="s">
        <v>557</v>
      </c>
      <c r="B10589" t="s">
        <v>746</v>
      </c>
      <c r="C10589" t="s">
        <v>205</v>
      </c>
      <c r="D10589" s="230">
        <v>-20013.52</v>
      </c>
      <c r="E10589" t="s">
        <v>747</v>
      </c>
    </row>
    <row r="10590" spans="1:5" hidden="1" x14ac:dyDescent="0.3">
      <c r="A10590" t="s">
        <v>557</v>
      </c>
      <c r="B10590" t="s">
        <v>746</v>
      </c>
      <c r="C10590" t="s">
        <v>679</v>
      </c>
      <c r="D10590" s="230">
        <v>-5210.84</v>
      </c>
      <c r="E10590" t="s">
        <v>747</v>
      </c>
    </row>
    <row r="10591" spans="1:5" hidden="1" x14ac:dyDescent="0.3">
      <c r="A10591" t="s">
        <v>557</v>
      </c>
      <c r="B10591" t="s">
        <v>746</v>
      </c>
      <c r="C10591" t="s">
        <v>680</v>
      </c>
      <c r="D10591" s="230">
        <v>0</v>
      </c>
      <c r="E10591" t="s">
        <v>747</v>
      </c>
    </row>
    <row r="10592" spans="1:5" hidden="1" x14ac:dyDescent="0.3">
      <c r="A10592" t="s">
        <v>557</v>
      </c>
      <c r="B10592" t="s">
        <v>746</v>
      </c>
      <c r="C10592" t="s">
        <v>681</v>
      </c>
      <c r="D10592" s="230">
        <v>-6171.11</v>
      </c>
      <c r="E10592" t="s">
        <v>747</v>
      </c>
    </row>
    <row r="10593" spans="1:5" hidden="1" x14ac:dyDescent="0.3">
      <c r="A10593" t="s">
        <v>557</v>
      </c>
      <c r="B10593" t="s">
        <v>746</v>
      </c>
      <c r="C10593" t="s">
        <v>682</v>
      </c>
      <c r="D10593" s="230">
        <v>-2725.68</v>
      </c>
      <c r="E10593" t="s">
        <v>747</v>
      </c>
    </row>
    <row r="10594" spans="1:5" hidden="1" x14ac:dyDescent="0.3">
      <c r="A10594" t="s">
        <v>557</v>
      </c>
      <c r="B10594" t="s">
        <v>746</v>
      </c>
      <c r="C10594" t="s">
        <v>683</v>
      </c>
      <c r="D10594" s="230">
        <v>-3714.29</v>
      </c>
      <c r="E10594" t="s">
        <v>747</v>
      </c>
    </row>
    <row r="10595" spans="1:5" hidden="1" x14ac:dyDescent="0.3">
      <c r="A10595" t="s">
        <v>557</v>
      </c>
      <c r="B10595" t="s">
        <v>746</v>
      </c>
      <c r="C10595" t="s">
        <v>684</v>
      </c>
      <c r="D10595" s="230">
        <v>0</v>
      </c>
      <c r="E10595" t="s">
        <v>747</v>
      </c>
    </row>
    <row r="10596" spans="1:5" hidden="1" x14ac:dyDescent="0.3">
      <c r="A10596" t="s">
        <v>557</v>
      </c>
      <c r="B10596" t="s">
        <v>746</v>
      </c>
      <c r="C10596" t="s">
        <v>685</v>
      </c>
      <c r="D10596" s="230">
        <v>0</v>
      </c>
      <c r="E10596" t="s">
        <v>747</v>
      </c>
    </row>
    <row r="10597" spans="1:5" hidden="1" x14ac:dyDescent="0.3">
      <c r="A10597" t="s">
        <v>557</v>
      </c>
      <c r="B10597" t="s">
        <v>746</v>
      </c>
      <c r="C10597" t="s">
        <v>686</v>
      </c>
      <c r="D10597" s="230">
        <v>-299.82</v>
      </c>
      <c r="E10597" t="s">
        <v>747</v>
      </c>
    </row>
    <row r="10598" spans="1:5" hidden="1" x14ac:dyDescent="0.3">
      <c r="A10598" t="s">
        <v>557</v>
      </c>
      <c r="B10598" t="s">
        <v>746</v>
      </c>
      <c r="C10598" t="s">
        <v>687</v>
      </c>
      <c r="D10598" s="230">
        <v>-408.57</v>
      </c>
      <c r="E10598" t="s">
        <v>747</v>
      </c>
    </row>
    <row r="10599" spans="1:5" hidden="1" x14ac:dyDescent="0.3">
      <c r="A10599" t="s">
        <v>557</v>
      </c>
      <c r="B10599" t="s">
        <v>746</v>
      </c>
      <c r="C10599" t="s">
        <v>688</v>
      </c>
      <c r="D10599" s="230">
        <v>-540.79</v>
      </c>
      <c r="E10599" t="s">
        <v>747</v>
      </c>
    </row>
    <row r="10600" spans="1:5" hidden="1" x14ac:dyDescent="0.3">
      <c r="A10600" t="s">
        <v>557</v>
      </c>
      <c r="B10600" t="s">
        <v>746</v>
      </c>
      <c r="C10600" t="s">
        <v>689</v>
      </c>
      <c r="D10600" s="230">
        <v>-118.28</v>
      </c>
      <c r="E10600" t="s">
        <v>747</v>
      </c>
    </row>
    <row r="10601" spans="1:5" hidden="1" x14ac:dyDescent="0.3">
      <c r="A10601" t="s">
        <v>557</v>
      </c>
      <c r="B10601" t="s">
        <v>746</v>
      </c>
      <c r="C10601" t="s">
        <v>690</v>
      </c>
      <c r="D10601" s="230">
        <v>0</v>
      </c>
      <c r="E10601" t="s">
        <v>747</v>
      </c>
    </row>
    <row r="10602" spans="1:5" hidden="1" x14ac:dyDescent="0.3">
      <c r="A10602" t="s">
        <v>557</v>
      </c>
      <c r="B10602" t="s">
        <v>746</v>
      </c>
      <c r="C10602" t="s">
        <v>691</v>
      </c>
      <c r="D10602" s="230">
        <v>0</v>
      </c>
      <c r="E10602" t="s">
        <v>747</v>
      </c>
    </row>
    <row r="10603" spans="1:5" hidden="1" x14ac:dyDescent="0.3">
      <c r="A10603" t="s">
        <v>557</v>
      </c>
      <c r="B10603" t="s">
        <v>746</v>
      </c>
      <c r="C10603" t="s">
        <v>692</v>
      </c>
      <c r="D10603" s="230">
        <v>-824.13</v>
      </c>
      <c r="E10603" t="s">
        <v>747</v>
      </c>
    </row>
    <row r="10604" spans="1:5" hidden="1" x14ac:dyDescent="0.3">
      <c r="A10604" t="s">
        <v>557</v>
      </c>
      <c r="B10604" t="s">
        <v>746</v>
      </c>
      <c r="C10604" t="s">
        <v>693</v>
      </c>
      <c r="D10604" s="230">
        <v>0</v>
      </c>
      <c r="E10604" t="s">
        <v>747</v>
      </c>
    </row>
    <row r="10605" spans="1:5" hidden="1" x14ac:dyDescent="0.3">
      <c r="A10605" t="s">
        <v>557</v>
      </c>
      <c r="B10605" t="s">
        <v>746</v>
      </c>
      <c r="C10605" t="s">
        <v>694</v>
      </c>
      <c r="D10605" s="230">
        <v>0</v>
      </c>
      <c r="E10605" t="s">
        <v>747</v>
      </c>
    </row>
    <row r="10606" spans="1:5" hidden="1" x14ac:dyDescent="0.3">
      <c r="A10606" t="s">
        <v>557</v>
      </c>
      <c r="B10606" t="s">
        <v>746</v>
      </c>
      <c r="C10606" t="s">
        <v>238</v>
      </c>
      <c r="D10606" s="230">
        <v>-8534.5300000000007</v>
      </c>
      <c r="E10606" t="s">
        <v>747</v>
      </c>
    </row>
    <row r="10607" spans="1:5" hidden="1" x14ac:dyDescent="0.3">
      <c r="A10607" t="s">
        <v>557</v>
      </c>
      <c r="B10607" t="s">
        <v>746</v>
      </c>
      <c r="C10607" t="s">
        <v>695</v>
      </c>
      <c r="D10607" s="230">
        <v>-6665.39</v>
      </c>
      <c r="E10607" t="s">
        <v>747</v>
      </c>
    </row>
    <row r="10608" spans="1:5" hidden="1" x14ac:dyDescent="0.3">
      <c r="A10608" t="s">
        <v>557</v>
      </c>
      <c r="B10608" t="s">
        <v>746</v>
      </c>
      <c r="C10608" t="s">
        <v>696</v>
      </c>
      <c r="D10608" s="230">
        <v>-1633.8</v>
      </c>
      <c r="E10608" t="s">
        <v>747</v>
      </c>
    </row>
    <row r="10609" spans="1:5" hidden="1" x14ac:dyDescent="0.3">
      <c r="A10609" t="s">
        <v>557</v>
      </c>
      <c r="B10609" t="s">
        <v>746</v>
      </c>
      <c r="C10609" t="s">
        <v>697</v>
      </c>
      <c r="D10609" s="230">
        <v>0</v>
      </c>
      <c r="E10609" t="s">
        <v>747</v>
      </c>
    </row>
    <row r="10610" spans="1:5" hidden="1" x14ac:dyDescent="0.3">
      <c r="A10610" t="s">
        <v>557</v>
      </c>
      <c r="B10610" t="s">
        <v>746</v>
      </c>
      <c r="C10610" t="s">
        <v>698</v>
      </c>
      <c r="D10610" s="230">
        <v>-235.34</v>
      </c>
      <c r="E10610" t="s">
        <v>747</v>
      </c>
    </row>
    <row r="10611" spans="1:5" hidden="1" x14ac:dyDescent="0.3">
      <c r="A10611" t="s">
        <v>557</v>
      </c>
      <c r="B10611" t="s">
        <v>746</v>
      </c>
      <c r="C10611" t="s">
        <v>699</v>
      </c>
      <c r="D10611" s="230">
        <v>0</v>
      </c>
      <c r="E10611" t="s">
        <v>747</v>
      </c>
    </row>
    <row r="10612" spans="1:5" hidden="1" x14ac:dyDescent="0.3">
      <c r="A10612" t="s">
        <v>557</v>
      </c>
      <c r="B10612" t="s">
        <v>746</v>
      </c>
      <c r="C10612" t="s">
        <v>245</v>
      </c>
      <c r="D10612" s="230">
        <v>-17171.5</v>
      </c>
      <c r="E10612" t="s">
        <v>747</v>
      </c>
    </row>
    <row r="10613" spans="1:5" hidden="1" x14ac:dyDescent="0.3">
      <c r="A10613" t="s">
        <v>557</v>
      </c>
      <c r="B10613" t="s">
        <v>746</v>
      </c>
      <c r="C10613" t="s">
        <v>700</v>
      </c>
      <c r="D10613" s="230">
        <v>0</v>
      </c>
      <c r="E10613" t="s">
        <v>747</v>
      </c>
    </row>
    <row r="10614" spans="1:5" hidden="1" x14ac:dyDescent="0.3">
      <c r="A10614" t="s">
        <v>557</v>
      </c>
      <c r="B10614" t="s">
        <v>746</v>
      </c>
      <c r="C10614" t="s">
        <v>701</v>
      </c>
      <c r="D10614" s="230">
        <v>-954.34</v>
      </c>
      <c r="E10614" t="s">
        <v>747</v>
      </c>
    </row>
    <row r="10615" spans="1:5" hidden="1" x14ac:dyDescent="0.3">
      <c r="A10615" t="s">
        <v>557</v>
      </c>
      <c r="B10615" t="s">
        <v>746</v>
      </c>
      <c r="C10615" t="s">
        <v>702</v>
      </c>
      <c r="D10615" s="230">
        <v>0</v>
      </c>
      <c r="E10615" t="s">
        <v>747</v>
      </c>
    </row>
    <row r="10616" spans="1:5" hidden="1" x14ac:dyDescent="0.3">
      <c r="A10616" t="s">
        <v>557</v>
      </c>
      <c r="B10616" t="s">
        <v>746</v>
      </c>
      <c r="C10616" t="s">
        <v>703</v>
      </c>
      <c r="D10616" s="230">
        <v>-2700</v>
      </c>
      <c r="E10616" t="s">
        <v>747</v>
      </c>
    </row>
    <row r="10617" spans="1:5" hidden="1" x14ac:dyDescent="0.3">
      <c r="A10617" t="s">
        <v>557</v>
      </c>
      <c r="B10617" t="s">
        <v>746</v>
      </c>
      <c r="C10617" t="s">
        <v>704</v>
      </c>
      <c r="D10617" s="230">
        <v>0</v>
      </c>
      <c r="E10617" t="s">
        <v>747</v>
      </c>
    </row>
    <row r="10618" spans="1:5" hidden="1" x14ac:dyDescent="0.3">
      <c r="A10618" t="s">
        <v>557</v>
      </c>
      <c r="B10618" t="s">
        <v>746</v>
      </c>
      <c r="C10618" t="s">
        <v>705</v>
      </c>
      <c r="D10618" s="230">
        <v>-13517.16</v>
      </c>
      <c r="E10618" t="s">
        <v>747</v>
      </c>
    </row>
    <row r="10619" spans="1:5" hidden="1" x14ac:dyDescent="0.3">
      <c r="A10619" t="s">
        <v>557</v>
      </c>
      <c r="B10619" t="s">
        <v>746</v>
      </c>
      <c r="C10619" t="s">
        <v>706</v>
      </c>
      <c r="D10619" s="230">
        <v>0</v>
      </c>
      <c r="E10619" t="s">
        <v>747</v>
      </c>
    </row>
    <row r="10620" spans="1:5" hidden="1" x14ac:dyDescent="0.3">
      <c r="A10620" t="s">
        <v>557</v>
      </c>
      <c r="B10620" t="s">
        <v>746</v>
      </c>
      <c r="C10620" t="s">
        <v>254</v>
      </c>
      <c r="D10620" s="230">
        <v>-0.26</v>
      </c>
      <c r="E10620" t="s">
        <v>747</v>
      </c>
    </row>
    <row r="10621" spans="1:5" hidden="1" x14ac:dyDescent="0.3">
      <c r="A10621" t="s">
        <v>557</v>
      </c>
      <c r="B10621" t="s">
        <v>746</v>
      </c>
      <c r="C10621" t="s">
        <v>255</v>
      </c>
      <c r="D10621" s="230">
        <v>-0.19</v>
      </c>
      <c r="E10621" t="s">
        <v>747</v>
      </c>
    </row>
    <row r="10622" spans="1:5" hidden="1" x14ac:dyDescent="0.3">
      <c r="A10622" t="s">
        <v>557</v>
      </c>
      <c r="B10622" t="s">
        <v>746</v>
      </c>
      <c r="C10622" t="s">
        <v>256</v>
      </c>
      <c r="D10622" s="230">
        <v>-51719.519999999997</v>
      </c>
      <c r="E10622" t="s">
        <v>747</v>
      </c>
    </row>
    <row r="10623" spans="1:5" hidden="1" x14ac:dyDescent="0.3">
      <c r="A10623" t="s">
        <v>557</v>
      </c>
      <c r="B10623" t="s">
        <v>746</v>
      </c>
      <c r="C10623" t="s">
        <v>257</v>
      </c>
      <c r="D10623" s="230">
        <v>-49002</v>
      </c>
      <c r="E10623" t="s">
        <v>747</v>
      </c>
    </row>
    <row r="10624" spans="1:5" hidden="1" x14ac:dyDescent="0.3">
      <c r="A10624" t="s">
        <v>557</v>
      </c>
      <c r="B10624" t="s">
        <v>746</v>
      </c>
      <c r="C10624" t="s">
        <v>258</v>
      </c>
      <c r="D10624" s="230">
        <v>0</v>
      </c>
      <c r="E10624" t="s">
        <v>747</v>
      </c>
    </row>
    <row r="10625" spans="1:5" hidden="1" x14ac:dyDescent="0.3">
      <c r="A10625" t="s">
        <v>557</v>
      </c>
      <c r="B10625" t="s">
        <v>746</v>
      </c>
      <c r="C10625" t="s">
        <v>259</v>
      </c>
      <c r="D10625" s="230">
        <v>-2436.17</v>
      </c>
      <c r="E10625" t="s">
        <v>747</v>
      </c>
    </row>
    <row r="10626" spans="1:5" hidden="1" x14ac:dyDescent="0.3">
      <c r="A10626" t="s">
        <v>557</v>
      </c>
      <c r="B10626" t="s">
        <v>746</v>
      </c>
      <c r="C10626" t="s">
        <v>260</v>
      </c>
      <c r="D10626" s="230">
        <v>0</v>
      </c>
      <c r="E10626" t="s">
        <v>747</v>
      </c>
    </row>
    <row r="10627" spans="1:5" hidden="1" x14ac:dyDescent="0.3">
      <c r="A10627" t="s">
        <v>557</v>
      </c>
      <c r="B10627" t="s">
        <v>746</v>
      </c>
      <c r="C10627" t="s">
        <v>261</v>
      </c>
      <c r="D10627" s="230">
        <v>-281.35000000000002</v>
      </c>
      <c r="E10627" t="s">
        <v>747</v>
      </c>
    </row>
    <row r="10628" spans="1:5" hidden="1" x14ac:dyDescent="0.3">
      <c r="A10628" t="s">
        <v>557</v>
      </c>
      <c r="B10628" t="s">
        <v>746</v>
      </c>
      <c r="C10628" t="s">
        <v>262</v>
      </c>
      <c r="D10628" s="230">
        <v>0</v>
      </c>
      <c r="E10628" t="s">
        <v>747</v>
      </c>
    </row>
    <row r="10629" spans="1:5" hidden="1" x14ac:dyDescent="0.3">
      <c r="A10629" t="s">
        <v>557</v>
      </c>
      <c r="B10629" t="s">
        <v>746</v>
      </c>
      <c r="C10629" t="s">
        <v>263</v>
      </c>
      <c r="D10629" s="230">
        <v>0</v>
      </c>
      <c r="E10629" t="s">
        <v>747</v>
      </c>
    </row>
    <row r="10630" spans="1:5" hidden="1" x14ac:dyDescent="0.3">
      <c r="A10630" t="s">
        <v>557</v>
      </c>
      <c r="B10630" t="s">
        <v>746</v>
      </c>
      <c r="C10630" t="s">
        <v>44</v>
      </c>
      <c r="D10630" s="230">
        <v>-0.11</v>
      </c>
      <c r="E10630" t="s">
        <v>747</v>
      </c>
    </row>
    <row r="10631" spans="1:5" hidden="1" x14ac:dyDescent="0.3">
      <c r="A10631" t="s">
        <v>557</v>
      </c>
      <c r="B10631" t="s">
        <v>746</v>
      </c>
      <c r="C10631" t="s">
        <v>264</v>
      </c>
      <c r="D10631" s="230">
        <v>-43978.39</v>
      </c>
      <c r="E10631" t="s">
        <v>747</v>
      </c>
    </row>
    <row r="10632" spans="1:5" hidden="1" x14ac:dyDescent="0.3">
      <c r="A10632" t="s">
        <v>557</v>
      </c>
      <c r="B10632" t="s">
        <v>746</v>
      </c>
      <c r="C10632" t="s">
        <v>265</v>
      </c>
      <c r="D10632" s="230">
        <v>-4323.5</v>
      </c>
      <c r="E10632" t="s">
        <v>747</v>
      </c>
    </row>
    <row r="10633" spans="1:5" hidden="1" x14ac:dyDescent="0.3">
      <c r="A10633" t="s">
        <v>557</v>
      </c>
      <c r="B10633" t="s">
        <v>746</v>
      </c>
      <c r="C10633" t="s">
        <v>266</v>
      </c>
      <c r="D10633" s="230">
        <v>-10535.19</v>
      </c>
      <c r="E10633" t="s">
        <v>747</v>
      </c>
    </row>
    <row r="10634" spans="1:5" hidden="1" x14ac:dyDescent="0.3">
      <c r="A10634" t="s">
        <v>557</v>
      </c>
      <c r="B10634" t="s">
        <v>746</v>
      </c>
      <c r="C10634" t="s">
        <v>267</v>
      </c>
      <c r="D10634" s="230">
        <v>-7290.13</v>
      </c>
      <c r="E10634" t="s">
        <v>747</v>
      </c>
    </row>
    <row r="10635" spans="1:5" hidden="1" x14ac:dyDescent="0.3">
      <c r="A10635" t="s">
        <v>557</v>
      </c>
      <c r="B10635" t="s">
        <v>746</v>
      </c>
      <c r="C10635" t="s">
        <v>268</v>
      </c>
      <c r="D10635" s="230">
        <v>-6185.36</v>
      </c>
      <c r="E10635" t="s">
        <v>747</v>
      </c>
    </row>
    <row r="10636" spans="1:5" hidden="1" x14ac:dyDescent="0.3">
      <c r="A10636" t="s">
        <v>557</v>
      </c>
      <c r="B10636" t="s">
        <v>746</v>
      </c>
      <c r="C10636" t="s">
        <v>269</v>
      </c>
      <c r="D10636" s="230">
        <v>-1177.05</v>
      </c>
      <c r="E10636" t="s">
        <v>747</v>
      </c>
    </row>
    <row r="10637" spans="1:5" hidden="1" x14ac:dyDescent="0.3">
      <c r="A10637" t="s">
        <v>557</v>
      </c>
      <c r="B10637" t="s">
        <v>746</v>
      </c>
      <c r="C10637" t="s">
        <v>270</v>
      </c>
      <c r="D10637" s="230">
        <v>-550</v>
      </c>
      <c r="E10637" t="s">
        <v>747</v>
      </c>
    </row>
    <row r="10638" spans="1:5" hidden="1" x14ac:dyDescent="0.3">
      <c r="A10638" t="s">
        <v>557</v>
      </c>
      <c r="B10638" t="s">
        <v>746</v>
      </c>
      <c r="C10638" t="s">
        <v>271</v>
      </c>
      <c r="D10638" s="230">
        <v>-1014.5</v>
      </c>
      <c r="E10638" t="s">
        <v>747</v>
      </c>
    </row>
    <row r="10639" spans="1:5" hidden="1" x14ac:dyDescent="0.3">
      <c r="A10639" t="s">
        <v>557</v>
      </c>
      <c r="B10639" t="s">
        <v>746</v>
      </c>
      <c r="C10639" t="s">
        <v>272</v>
      </c>
      <c r="D10639" s="230">
        <v>-8524.99</v>
      </c>
      <c r="E10639" t="s">
        <v>747</v>
      </c>
    </row>
    <row r="10640" spans="1:5" hidden="1" x14ac:dyDescent="0.3">
      <c r="A10640" t="s">
        <v>557</v>
      </c>
      <c r="B10640" t="s">
        <v>746</v>
      </c>
      <c r="C10640" t="s">
        <v>273</v>
      </c>
      <c r="D10640" s="230">
        <v>0</v>
      </c>
      <c r="E10640" t="s">
        <v>747</v>
      </c>
    </row>
    <row r="10641" spans="1:5" hidden="1" x14ac:dyDescent="0.3">
      <c r="A10641" t="s">
        <v>557</v>
      </c>
      <c r="B10641" t="s">
        <v>746</v>
      </c>
      <c r="C10641" t="s">
        <v>274</v>
      </c>
      <c r="D10641" s="230">
        <v>0</v>
      </c>
      <c r="E10641" t="s">
        <v>747</v>
      </c>
    </row>
    <row r="10642" spans="1:5" hidden="1" x14ac:dyDescent="0.3">
      <c r="A10642" t="s">
        <v>557</v>
      </c>
      <c r="B10642" t="s">
        <v>746</v>
      </c>
      <c r="C10642" t="s">
        <v>275</v>
      </c>
      <c r="D10642" s="230">
        <v>669.38</v>
      </c>
      <c r="E10642" t="s">
        <v>747</v>
      </c>
    </row>
    <row r="10643" spans="1:5" hidden="1" x14ac:dyDescent="0.3">
      <c r="A10643" t="s">
        <v>557</v>
      </c>
      <c r="B10643" t="s">
        <v>746</v>
      </c>
      <c r="C10643" t="s">
        <v>276</v>
      </c>
      <c r="D10643" s="230">
        <v>-1521.55</v>
      </c>
      <c r="E10643" t="s">
        <v>747</v>
      </c>
    </row>
    <row r="10644" spans="1:5" hidden="1" x14ac:dyDescent="0.3">
      <c r="A10644" t="s">
        <v>557</v>
      </c>
      <c r="B10644" t="s">
        <v>746</v>
      </c>
      <c r="C10644" t="s">
        <v>277</v>
      </c>
      <c r="D10644" s="230">
        <v>-324</v>
      </c>
      <c r="E10644" t="s">
        <v>747</v>
      </c>
    </row>
    <row r="10645" spans="1:5" hidden="1" x14ac:dyDescent="0.3">
      <c r="A10645" t="s">
        <v>557</v>
      </c>
      <c r="B10645" t="s">
        <v>746</v>
      </c>
      <c r="C10645" t="s">
        <v>278</v>
      </c>
      <c r="D10645" s="230">
        <v>-3201.5</v>
      </c>
      <c r="E10645" t="s">
        <v>747</v>
      </c>
    </row>
    <row r="10646" spans="1:5" hidden="1" x14ac:dyDescent="0.3">
      <c r="A10646" t="s">
        <v>557</v>
      </c>
      <c r="B10646" t="s">
        <v>746</v>
      </c>
      <c r="C10646" t="s">
        <v>44</v>
      </c>
      <c r="D10646" s="230">
        <v>-0.09</v>
      </c>
      <c r="E10646" t="s">
        <v>747</v>
      </c>
    </row>
    <row r="10647" spans="1:5" hidden="1" x14ac:dyDescent="0.3">
      <c r="A10647" t="s">
        <v>557</v>
      </c>
      <c r="B10647" t="s">
        <v>746</v>
      </c>
      <c r="C10647" t="s">
        <v>279</v>
      </c>
      <c r="D10647" s="230">
        <v>-4648.7</v>
      </c>
      <c r="E10647" t="s">
        <v>747</v>
      </c>
    </row>
    <row r="10648" spans="1:5" hidden="1" x14ac:dyDescent="0.3">
      <c r="A10648" t="s">
        <v>557</v>
      </c>
      <c r="B10648" t="s">
        <v>746</v>
      </c>
      <c r="C10648" t="s">
        <v>280</v>
      </c>
      <c r="D10648" s="230">
        <v>0</v>
      </c>
      <c r="E10648" t="s">
        <v>747</v>
      </c>
    </row>
    <row r="10649" spans="1:5" hidden="1" x14ac:dyDescent="0.3">
      <c r="A10649" t="s">
        <v>557</v>
      </c>
      <c r="B10649" t="s">
        <v>746</v>
      </c>
      <c r="C10649" t="s">
        <v>281</v>
      </c>
      <c r="D10649" s="230">
        <v>-738.05</v>
      </c>
      <c r="E10649" t="s">
        <v>747</v>
      </c>
    </row>
    <row r="10650" spans="1:5" hidden="1" x14ac:dyDescent="0.3">
      <c r="A10650" t="s">
        <v>557</v>
      </c>
      <c r="B10650" t="s">
        <v>746</v>
      </c>
      <c r="C10650" t="s">
        <v>282</v>
      </c>
      <c r="D10650" s="230">
        <v>-284.7</v>
      </c>
      <c r="E10650" t="s">
        <v>747</v>
      </c>
    </row>
    <row r="10651" spans="1:5" hidden="1" x14ac:dyDescent="0.3">
      <c r="A10651" t="s">
        <v>557</v>
      </c>
      <c r="B10651" t="s">
        <v>746</v>
      </c>
      <c r="C10651" t="s">
        <v>283</v>
      </c>
      <c r="D10651" s="230">
        <v>-300.22000000000003</v>
      </c>
      <c r="E10651" t="s">
        <v>747</v>
      </c>
    </row>
    <row r="10652" spans="1:5" hidden="1" x14ac:dyDescent="0.3">
      <c r="A10652" t="s">
        <v>557</v>
      </c>
      <c r="B10652" t="s">
        <v>746</v>
      </c>
      <c r="C10652" t="s">
        <v>284</v>
      </c>
      <c r="D10652" s="230">
        <v>-2022.87</v>
      </c>
      <c r="E10652" t="s">
        <v>747</v>
      </c>
    </row>
    <row r="10653" spans="1:5" hidden="1" x14ac:dyDescent="0.3">
      <c r="A10653" t="s">
        <v>557</v>
      </c>
      <c r="B10653" t="s">
        <v>746</v>
      </c>
      <c r="C10653" t="s">
        <v>285</v>
      </c>
      <c r="D10653" s="230">
        <v>-389</v>
      </c>
      <c r="E10653" t="s">
        <v>747</v>
      </c>
    </row>
    <row r="10654" spans="1:5" hidden="1" x14ac:dyDescent="0.3">
      <c r="A10654" t="s">
        <v>557</v>
      </c>
      <c r="B10654" t="s">
        <v>746</v>
      </c>
      <c r="C10654" t="s">
        <v>286</v>
      </c>
      <c r="D10654" s="230">
        <v>-913.86</v>
      </c>
      <c r="E10654" t="s">
        <v>747</v>
      </c>
    </row>
    <row r="10655" spans="1:5" hidden="1" x14ac:dyDescent="0.3">
      <c r="A10655" t="s">
        <v>557</v>
      </c>
      <c r="B10655" t="s">
        <v>746</v>
      </c>
      <c r="C10655" t="s">
        <v>44</v>
      </c>
      <c r="D10655" s="230">
        <v>-0.01</v>
      </c>
      <c r="E10655" t="s">
        <v>747</v>
      </c>
    </row>
    <row r="10656" spans="1:5" hidden="1" x14ac:dyDescent="0.3">
      <c r="A10656" t="s">
        <v>557</v>
      </c>
      <c r="B10656" t="s">
        <v>746</v>
      </c>
      <c r="C10656" t="s">
        <v>287</v>
      </c>
      <c r="D10656" s="230">
        <v>-9066.82</v>
      </c>
      <c r="E10656" t="s">
        <v>747</v>
      </c>
    </row>
    <row r="10657" spans="1:5" hidden="1" x14ac:dyDescent="0.3">
      <c r="A10657" t="s">
        <v>557</v>
      </c>
      <c r="B10657" t="s">
        <v>746</v>
      </c>
      <c r="C10657" t="s">
        <v>288</v>
      </c>
      <c r="D10657" s="230">
        <v>-3850</v>
      </c>
      <c r="E10657" t="s">
        <v>747</v>
      </c>
    </row>
    <row r="10658" spans="1:5" hidden="1" x14ac:dyDescent="0.3">
      <c r="A10658" t="s">
        <v>557</v>
      </c>
      <c r="B10658" t="s">
        <v>746</v>
      </c>
      <c r="C10658" t="s">
        <v>289</v>
      </c>
      <c r="D10658" s="230">
        <v>-4175.6899999999996</v>
      </c>
      <c r="E10658" t="s">
        <v>747</v>
      </c>
    </row>
    <row r="10659" spans="1:5" hidden="1" x14ac:dyDescent="0.3">
      <c r="A10659" t="s">
        <v>557</v>
      </c>
      <c r="B10659" t="s">
        <v>746</v>
      </c>
      <c r="C10659" t="s">
        <v>290</v>
      </c>
      <c r="D10659" s="230">
        <v>0</v>
      </c>
      <c r="E10659" t="s">
        <v>747</v>
      </c>
    </row>
    <row r="10660" spans="1:5" hidden="1" x14ac:dyDescent="0.3">
      <c r="A10660" t="s">
        <v>557</v>
      </c>
      <c r="B10660" t="s">
        <v>746</v>
      </c>
      <c r="C10660" t="s">
        <v>291</v>
      </c>
      <c r="D10660" s="230">
        <v>-541.99</v>
      </c>
      <c r="E10660" t="s">
        <v>747</v>
      </c>
    </row>
    <row r="10661" spans="1:5" hidden="1" x14ac:dyDescent="0.3">
      <c r="A10661" t="s">
        <v>557</v>
      </c>
      <c r="B10661" t="s">
        <v>746</v>
      </c>
      <c r="C10661" t="s">
        <v>292</v>
      </c>
      <c r="D10661" s="230">
        <v>0</v>
      </c>
      <c r="E10661" t="s">
        <v>747</v>
      </c>
    </row>
    <row r="10662" spans="1:5" hidden="1" x14ac:dyDescent="0.3">
      <c r="A10662" t="s">
        <v>557</v>
      </c>
      <c r="B10662" t="s">
        <v>746</v>
      </c>
      <c r="C10662" t="s">
        <v>293</v>
      </c>
      <c r="D10662" s="230">
        <v>-334.78</v>
      </c>
      <c r="E10662" t="s">
        <v>747</v>
      </c>
    </row>
    <row r="10663" spans="1:5" hidden="1" x14ac:dyDescent="0.3">
      <c r="A10663" t="s">
        <v>557</v>
      </c>
      <c r="B10663" t="s">
        <v>746</v>
      </c>
      <c r="C10663" t="s">
        <v>294</v>
      </c>
      <c r="D10663" s="230">
        <v>-164.36</v>
      </c>
      <c r="E10663" t="s">
        <v>747</v>
      </c>
    </row>
    <row r="10664" spans="1:5" hidden="1" x14ac:dyDescent="0.3">
      <c r="A10664" t="s">
        <v>557</v>
      </c>
      <c r="B10664" t="s">
        <v>746</v>
      </c>
      <c r="C10664" t="s">
        <v>295</v>
      </c>
      <c r="D10664" s="230">
        <v>0</v>
      </c>
      <c r="E10664" t="s">
        <v>747</v>
      </c>
    </row>
    <row r="10665" spans="1:5" hidden="1" x14ac:dyDescent="0.3">
      <c r="A10665" t="s">
        <v>557</v>
      </c>
      <c r="B10665" t="s">
        <v>746</v>
      </c>
      <c r="C10665" t="s">
        <v>44</v>
      </c>
      <c r="D10665" s="230">
        <v>-0.02</v>
      </c>
      <c r="E10665" t="s">
        <v>747</v>
      </c>
    </row>
    <row r="10666" spans="1:5" hidden="1" x14ac:dyDescent="0.3">
      <c r="A10666" t="s">
        <v>557</v>
      </c>
      <c r="B10666" t="s">
        <v>746</v>
      </c>
      <c r="C10666" t="s">
        <v>296</v>
      </c>
      <c r="D10666" s="230">
        <v>-8725.0300000000007</v>
      </c>
      <c r="E10666" t="s">
        <v>747</v>
      </c>
    </row>
    <row r="10667" spans="1:5" hidden="1" x14ac:dyDescent="0.3">
      <c r="A10667" t="s">
        <v>557</v>
      </c>
      <c r="B10667" t="s">
        <v>746</v>
      </c>
      <c r="C10667" t="s">
        <v>297</v>
      </c>
      <c r="D10667" s="230">
        <v>-4000</v>
      </c>
      <c r="E10667" t="s">
        <v>747</v>
      </c>
    </row>
    <row r="10668" spans="1:5" hidden="1" x14ac:dyDescent="0.3">
      <c r="A10668" t="s">
        <v>557</v>
      </c>
      <c r="B10668" t="s">
        <v>746</v>
      </c>
      <c r="C10668" t="s">
        <v>298</v>
      </c>
      <c r="D10668" s="230">
        <v>-500</v>
      </c>
      <c r="E10668" t="s">
        <v>747</v>
      </c>
    </row>
    <row r="10669" spans="1:5" hidden="1" x14ac:dyDescent="0.3">
      <c r="A10669" t="s">
        <v>557</v>
      </c>
      <c r="B10669" t="s">
        <v>746</v>
      </c>
      <c r="C10669" t="s">
        <v>299</v>
      </c>
      <c r="D10669" s="230">
        <v>0</v>
      </c>
      <c r="E10669" t="s">
        <v>747</v>
      </c>
    </row>
    <row r="10670" spans="1:5" hidden="1" x14ac:dyDescent="0.3">
      <c r="A10670" t="s">
        <v>557</v>
      </c>
      <c r="B10670" t="s">
        <v>746</v>
      </c>
      <c r="C10670" t="s">
        <v>300</v>
      </c>
      <c r="D10670" s="230">
        <v>0</v>
      </c>
      <c r="E10670" t="s">
        <v>747</v>
      </c>
    </row>
    <row r="10671" spans="1:5" hidden="1" x14ac:dyDescent="0.3">
      <c r="A10671" t="s">
        <v>557</v>
      </c>
      <c r="B10671" t="s">
        <v>746</v>
      </c>
      <c r="C10671" t="s">
        <v>301</v>
      </c>
      <c r="D10671" s="230">
        <v>-2365.16</v>
      </c>
      <c r="E10671" t="s">
        <v>747</v>
      </c>
    </row>
    <row r="10672" spans="1:5" hidden="1" x14ac:dyDescent="0.3">
      <c r="A10672" t="s">
        <v>557</v>
      </c>
      <c r="B10672" t="s">
        <v>746</v>
      </c>
      <c r="C10672" t="s">
        <v>302</v>
      </c>
      <c r="D10672" s="230">
        <v>0</v>
      </c>
      <c r="E10672" t="s">
        <v>747</v>
      </c>
    </row>
    <row r="10673" spans="1:5" hidden="1" x14ac:dyDescent="0.3">
      <c r="A10673" t="s">
        <v>557</v>
      </c>
      <c r="B10673" t="s">
        <v>746</v>
      </c>
      <c r="C10673" t="s">
        <v>303</v>
      </c>
      <c r="D10673" s="230">
        <v>-51.87</v>
      </c>
      <c r="E10673" t="s">
        <v>747</v>
      </c>
    </row>
    <row r="10674" spans="1:5" hidden="1" x14ac:dyDescent="0.3">
      <c r="A10674" t="s">
        <v>557</v>
      </c>
      <c r="B10674" t="s">
        <v>746</v>
      </c>
      <c r="C10674" t="s">
        <v>304</v>
      </c>
      <c r="D10674" s="230">
        <v>-1658</v>
      </c>
      <c r="E10674" t="s">
        <v>747</v>
      </c>
    </row>
    <row r="10675" spans="1:5" hidden="1" x14ac:dyDescent="0.3">
      <c r="A10675" t="s">
        <v>557</v>
      </c>
      <c r="B10675" t="s">
        <v>746</v>
      </c>
      <c r="C10675" t="s">
        <v>305</v>
      </c>
      <c r="D10675" s="230">
        <v>0</v>
      </c>
      <c r="E10675" t="s">
        <v>747</v>
      </c>
    </row>
    <row r="10676" spans="1:5" hidden="1" x14ac:dyDescent="0.3">
      <c r="A10676" t="s">
        <v>557</v>
      </c>
      <c r="B10676" t="s">
        <v>746</v>
      </c>
      <c r="C10676" t="s">
        <v>306</v>
      </c>
      <c r="D10676" s="230">
        <v>0</v>
      </c>
      <c r="E10676" t="s">
        <v>747</v>
      </c>
    </row>
    <row r="10677" spans="1:5" hidden="1" x14ac:dyDescent="0.3">
      <c r="A10677" t="s">
        <v>557</v>
      </c>
      <c r="B10677" t="s">
        <v>746</v>
      </c>
      <c r="C10677" t="s">
        <v>307</v>
      </c>
      <c r="D10677" s="230">
        <v>-150</v>
      </c>
      <c r="E10677" t="s">
        <v>747</v>
      </c>
    </row>
    <row r="10678" spans="1:5" hidden="1" x14ac:dyDescent="0.3">
      <c r="A10678" t="s">
        <v>557</v>
      </c>
      <c r="B10678" t="s">
        <v>746</v>
      </c>
      <c r="C10678" t="s">
        <v>44</v>
      </c>
      <c r="D10678" s="230">
        <v>-0.02</v>
      </c>
      <c r="E10678" t="s">
        <v>747</v>
      </c>
    </row>
    <row r="10679" spans="1:5" hidden="1" x14ac:dyDescent="0.3">
      <c r="A10679" t="s">
        <v>557</v>
      </c>
      <c r="B10679" t="s">
        <v>746</v>
      </c>
      <c r="C10679" t="s">
        <v>308</v>
      </c>
      <c r="D10679" s="230">
        <v>-5295.88</v>
      </c>
      <c r="E10679" t="s">
        <v>747</v>
      </c>
    </row>
    <row r="10680" spans="1:5" hidden="1" x14ac:dyDescent="0.3">
      <c r="A10680" t="s">
        <v>557</v>
      </c>
      <c r="B10680" t="s">
        <v>746</v>
      </c>
      <c r="C10680" t="s">
        <v>309</v>
      </c>
      <c r="D10680" s="230">
        <v>-2852.7</v>
      </c>
      <c r="E10680" t="s">
        <v>747</v>
      </c>
    </row>
    <row r="10681" spans="1:5" hidden="1" x14ac:dyDescent="0.3">
      <c r="A10681" t="s">
        <v>557</v>
      </c>
      <c r="B10681" t="s">
        <v>746</v>
      </c>
      <c r="C10681" t="s">
        <v>310</v>
      </c>
      <c r="D10681" s="230">
        <v>0</v>
      </c>
      <c r="E10681" t="s">
        <v>747</v>
      </c>
    </row>
    <row r="10682" spans="1:5" hidden="1" x14ac:dyDescent="0.3">
      <c r="A10682" t="s">
        <v>557</v>
      </c>
      <c r="B10682" t="s">
        <v>746</v>
      </c>
      <c r="C10682" t="s">
        <v>311</v>
      </c>
      <c r="D10682" s="230">
        <v>-1550</v>
      </c>
      <c r="E10682" t="s">
        <v>747</v>
      </c>
    </row>
    <row r="10683" spans="1:5" hidden="1" x14ac:dyDescent="0.3">
      <c r="A10683" t="s">
        <v>557</v>
      </c>
      <c r="B10683" t="s">
        <v>746</v>
      </c>
      <c r="C10683" t="s">
        <v>312</v>
      </c>
      <c r="D10683" s="230">
        <v>-185</v>
      </c>
      <c r="E10683" t="s">
        <v>747</v>
      </c>
    </row>
    <row r="10684" spans="1:5" hidden="1" x14ac:dyDescent="0.3">
      <c r="A10684" t="s">
        <v>557</v>
      </c>
      <c r="B10684" t="s">
        <v>746</v>
      </c>
      <c r="C10684" t="s">
        <v>313</v>
      </c>
      <c r="D10684" s="230">
        <v>0</v>
      </c>
      <c r="E10684" t="s">
        <v>747</v>
      </c>
    </row>
    <row r="10685" spans="1:5" hidden="1" x14ac:dyDescent="0.3">
      <c r="A10685" t="s">
        <v>557</v>
      </c>
      <c r="B10685" t="s">
        <v>746</v>
      </c>
      <c r="C10685" t="s">
        <v>314</v>
      </c>
      <c r="D10685" s="230">
        <v>-708.18</v>
      </c>
      <c r="E10685" t="s">
        <v>747</v>
      </c>
    </row>
    <row r="10686" spans="1:5" hidden="1" x14ac:dyDescent="0.3">
      <c r="A10686" t="s">
        <v>557</v>
      </c>
      <c r="B10686" t="s">
        <v>746</v>
      </c>
      <c r="C10686" t="s">
        <v>315</v>
      </c>
      <c r="D10686" s="230">
        <v>0</v>
      </c>
      <c r="E10686" t="s">
        <v>747</v>
      </c>
    </row>
    <row r="10687" spans="1:5" hidden="1" x14ac:dyDescent="0.3">
      <c r="A10687" t="s">
        <v>557</v>
      </c>
      <c r="B10687" t="s">
        <v>746</v>
      </c>
      <c r="C10687" t="s">
        <v>316</v>
      </c>
      <c r="D10687" s="230">
        <v>0</v>
      </c>
      <c r="E10687" t="s">
        <v>747</v>
      </c>
    </row>
    <row r="10688" spans="1:5" hidden="1" x14ac:dyDescent="0.3">
      <c r="A10688" t="s">
        <v>557</v>
      </c>
      <c r="B10688" t="s">
        <v>746</v>
      </c>
      <c r="C10688" t="s">
        <v>317</v>
      </c>
      <c r="D10688" s="230">
        <v>0</v>
      </c>
      <c r="E10688" t="s">
        <v>747</v>
      </c>
    </row>
    <row r="10689" spans="1:5" hidden="1" x14ac:dyDescent="0.3">
      <c r="A10689" t="s">
        <v>557</v>
      </c>
      <c r="B10689" t="s">
        <v>746</v>
      </c>
      <c r="C10689" t="s">
        <v>44</v>
      </c>
      <c r="D10689" s="230">
        <v>-0.01</v>
      </c>
      <c r="E10689" t="s">
        <v>747</v>
      </c>
    </row>
    <row r="10690" spans="1:5" hidden="1" x14ac:dyDescent="0.3">
      <c r="A10690" t="s">
        <v>557</v>
      </c>
      <c r="B10690" t="s">
        <v>746</v>
      </c>
      <c r="C10690" t="s">
        <v>318</v>
      </c>
      <c r="D10690" s="230">
        <v>-2920.15</v>
      </c>
      <c r="E10690" t="s">
        <v>747</v>
      </c>
    </row>
    <row r="10691" spans="1:5" hidden="1" x14ac:dyDescent="0.3">
      <c r="A10691" t="s">
        <v>557</v>
      </c>
      <c r="B10691" t="s">
        <v>746</v>
      </c>
      <c r="C10691" t="s">
        <v>319</v>
      </c>
      <c r="D10691" s="230">
        <v>-2586</v>
      </c>
      <c r="E10691" t="s">
        <v>747</v>
      </c>
    </row>
    <row r="10692" spans="1:5" hidden="1" x14ac:dyDescent="0.3">
      <c r="A10692" t="s">
        <v>557</v>
      </c>
      <c r="B10692" t="s">
        <v>746</v>
      </c>
      <c r="C10692" t="s">
        <v>320</v>
      </c>
      <c r="D10692" s="230">
        <v>-134.15</v>
      </c>
      <c r="E10692" t="s">
        <v>747</v>
      </c>
    </row>
    <row r="10693" spans="1:5" hidden="1" x14ac:dyDescent="0.3">
      <c r="A10693" t="s">
        <v>557</v>
      </c>
      <c r="B10693" t="s">
        <v>746</v>
      </c>
      <c r="C10693" t="s">
        <v>321</v>
      </c>
      <c r="D10693" s="230">
        <v>-200</v>
      </c>
      <c r="E10693" t="s">
        <v>747</v>
      </c>
    </row>
    <row r="10694" spans="1:5" hidden="1" x14ac:dyDescent="0.3">
      <c r="A10694" t="s">
        <v>557</v>
      </c>
      <c r="B10694" t="s">
        <v>746</v>
      </c>
      <c r="C10694" t="s">
        <v>322</v>
      </c>
      <c r="D10694" s="230">
        <v>0</v>
      </c>
      <c r="E10694" t="s">
        <v>747</v>
      </c>
    </row>
    <row r="10695" spans="1:5" hidden="1" x14ac:dyDescent="0.3">
      <c r="A10695" t="s">
        <v>557</v>
      </c>
      <c r="B10695" t="s">
        <v>746</v>
      </c>
      <c r="C10695" t="s">
        <v>44</v>
      </c>
      <c r="D10695" s="230">
        <v>-0.01</v>
      </c>
      <c r="E10695" t="s">
        <v>747</v>
      </c>
    </row>
    <row r="10696" spans="1:5" hidden="1" x14ac:dyDescent="0.3">
      <c r="A10696" t="s">
        <v>557</v>
      </c>
      <c r="B10696" t="s">
        <v>746</v>
      </c>
      <c r="C10696" t="s">
        <v>323</v>
      </c>
      <c r="D10696" s="230">
        <v>-23818.53</v>
      </c>
      <c r="E10696" t="s">
        <v>747</v>
      </c>
    </row>
    <row r="10697" spans="1:5" hidden="1" x14ac:dyDescent="0.3">
      <c r="A10697" t="s">
        <v>557</v>
      </c>
      <c r="B10697" t="s">
        <v>746</v>
      </c>
      <c r="C10697" t="s">
        <v>324</v>
      </c>
      <c r="D10697" s="230">
        <v>0</v>
      </c>
      <c r="E10697" t="s">
        <v>747</v>
      </c>
    </row>
    <row r="10698" spans="1:5" hidden="1" x14ac:dyDescent="0.3">
      <c r="A10698" t="s">
        <v>557</v>
      </c>
      <c r="B10698" t="s">
        <v>746</v>
      </c>
      <c r="C10698" t="s">
        <v>325</v>
      </c>
      <c r="D10698" s="230">
        <v>0</v>
      </c>
      <c r="E10698" t="s">
        <v>747</v>
      </c>
    </row>
    <row r="10699" spans="1:5" hidden="1" x14ac:dyDescent="0.3">
      <c r="A10699" t="s">
        <v>557</v>
      </c>
      <c r="B10699" t="s">
        <v>746</v>
      </c>
      <c r="C10699" t="s">
        <v>326</v>
      </c>
      <c r="D10699" s="230">
        <v>-23818.53</v>
      </c>
      <c r="E10699" t="s">
        <v>747</v>
      </c>
    </row>
    <row r="10700" spans="1:5" hidden="1" x14ac:dyDescent="0.3">
      <c r="A10700" t="s">
        <v>557</v>
      </c>
      <c r="B10700" t="s">
        <v>746</v>
      </c>
      <c r="C10700" t="s">
        <v>44</v>
      </c>
      <c r="D10700" s="230">
        <v>-0.05</v>
      </c>
      <c r="E10700" t="s">
        <v>747</v>
      </c>
    </row>
    <row r="10701" spans="1:5" hidden="1" x14ac:dyDescent="0.3">
      <c r="A10701" t="s">
        <v>557</v>
      </c>
      <c r="B10701" t="s">
        <v>746</v>
      </c>
      <c r="C10701" t="s">
        <v>328</v>
      </c>
      <c r="D10701" s="230">
        <v>-275257.12</v>
      </c>
      <c r="E10701" t="s">
        <v>747</v>
      </c>
    </row>
    <row r="10702" spans="1:5" hidden="1" x14ac:dyDescent="0.3">
      <c r="A10702" t="s">
        <v>557</v>
      </c>
      <c r="B10702" t="s">
        <v>746</v>
      </c>
      <c r="C10702" t="s">
        <v>44</v>
      </c>
      <c r="D10702" s="230">
        <v>-0.57999999999999996</v>
      </c>
      <c r="E10702" t="s">
        <v>747</v>
      </c>
    </row>
    <row r="10703" spans="1:5" hidden="1" x14ac:dyDescent="0.3">
      <c r="A10703" t="s">
        <v>557</v>
      </c>
      <c r="B10703" t="s">
        <v>746</v>
      </c>
      <c r="C10703" t="s">
        <v>329</v>
      </c>
      <c r="D10703" s="230">
        <v>-17966.22</v>
      </c>
      <c r="E10703" t="s">
        <v>747</v>
      </c>
    </row>
    <row r="10704" spans="1:5" hidden="1" x14ac:dyDescent="0.3">
      <c r="A10704" t="s">
        <v>557</v>
      </c>
      <c r="B10704" t="s">
        <v>746</v>
      </c>
      <c r="C10704" t="s">
        <v>44</v>
      </c>
      <c r="D10704" s="230">
        <v>-0.04</v>
      </c>
      <c r="E10704" t="s">
        <v>747</v>
      </c>
    </row>
    <row r="10705" spans="1:5" hidden="1" x14ac:dyDescent="0.3">
      <c r="A10705" t="s">
        <v>557</v>
      </c>
      <c r="B10705" t="s">
        <v>746</v>
      </c>
      <c r="C10705" t="s">
        <v>330</v>
      </c>
      <c r="D10705" s="230">
        <v>0</v>
      </c>
      <c r="E10705" t="s">
        <v>747</v>
      </c>
    </row>
    <row r="10706" spans="1:5" hidden="1" x14ac:dyDescent="0.3">
      <c r="A10706" t="s">
        <v>557</v>
      </c>
      <c r="B10706" t="s">
        <v>746</v>
      </c>
      <c r="C10706" t="s">
        <v>332</v>
      </c>
      <c r="D10706" s="230">
        <v>-17966.22</v>
      </c>
      <c r="E10706" t="s">
        <v>747</v>
      </c>
    </row>
    <row r="10707" spans="1:5" hidden="1" x14ac:dyDescent="0.3">
      <c r="A10707" t="s">
        <v>557</v>
      </c>
      <c r="B10707" t="s">
        <v>746</v>
      </c>
      <c r="C10707" t="s">
        <v>333</v>
      </c>
      <c r="D10707" s="230">
        <v>7040.65</v>
      </c>
      <c r="E10707" t="s">
        <v>747</v>
      </c>
    </row>
    <row r="10708" spans="1:5" hidden="1" x14ac:dyDescent="0.3">
      <c r="A10708" t="s">
        <v>557</v>
      </c>
      <c r="B10708" t="s">
        <v>746</v>
      </c>
      <c r="C10708" t="s">
        <v>334</v>
      </c>
      <c r="D10708" s="230">
        <v>0</v>
      </c>
      <c r="E10708" t="s">
        <v>747</v>
      </c>
    </row>
    <row r="10709" spans="1:5" hidden="1" x14ac:dyDescent="0.3">
      <c r="A10709" t="s">
        <v>557</v>
      </c>
      <c r="B10709" t="s">
        <v>746</v>
      </c>
      <c r="C10709" t="s">
        <v>336</v>
      </c>
      <c r="D10709" s="230">
        <v>0</v>
      </c>
      <c r="E10709" t="s">
        <v>747</v>
      </c>
    </row>
    <row r="10710" spans="1:5" hidden="1" x14ac:dyDescent="0.3">
      <c r="A10710" t="s">
        <v>557</v>
      </c>
      <c r="B10710" t="s">
        <v>746</v>
      </c>
      <c r="C10710" t="s">
        <v>338</v>
      </c>
      <c r="D10710" s="230">
        <v>-10925.57</v>
      </c>
      <c r="E10710" t="s">
        <v>747</v>
      </c>
    </row>
    <row r="10711" spans="1:5" hidden="1" x14ac:dyDescent="0.3">
      <c r="A10711" t="s">
        <v>557</v>
      </c>
      <c r="B10711" t="s">
        <v>746</v>
      </c>
      <c r="C10711" t="s">
        <v>339</v>
      </c>
      <c r="D10711" s="230">
        <v>-10261.49</v>
      </c>
      <c r="E10711" t="s">
        <v>747</v>
      </c>
    </row>
    <row r="10712" spans="1:5" hidden="1" x14ac:dyDescent="0.3">
      <c r="A10712" t="s">
        <v>557</v>
      </c>
      <c r="B10712" t="s">
        <v>746</v>
      </c>
      <c r="C10712" t="s">
        <v>342</v>
      </c>
      <c r="D10712" s="230">
        <v>0</v>
      </c>
      <c r="E10712" t="s">
        <v>747</v>
      </c>
    </row>
    <row r="10713" spans="1:5" hidden="1" x14ac:dyDescent="0.3">
      <c r="A10713" t="s">
        <v>557</v>
      </c>
      <c r="B10713" t="s">
        <v>746</v>
      </c>
      <c r="C10713" t="s">
        <v>344</v>
      </c>
      <c r="D10713" s="230">
        <v>-5471.6</v>
      </c>
      <c r="E10713" t="s">
        <v>747</v>
      </c>
    </row>
    <row r="10714" spans="1:5" hidden="1" x14ac:dyDescent="0.3">
      <c r="A10714" t="s">
        <v>557</v>
      </c>
      <c r="B10714" t="s">
        <v>746</v>
      </c>
      <c r="C10714" t="s">
        <v>345</v>
      </c>
      <c r="D10714" s="230">
        <v>0</v>
      </c>
      <c r="E10714" t="s">
        <v>747</v>
      </c>
    </row>
    <row r="10715" spans="1:5" hidden="1" x14ac:dyDescent="0.3">
      <c r="A10715" t="s">
        <v>557</v>
      </c>
      <c r="B10715" t="s">
        <v>746</v>
      </c>
      <c r="C10715" t="s">
        <v>346</v>
      </c>
      <c r="D10715" s="230">
        <v>-4789.8900000000003</v>
      </c>
      <c r="E10715" t="s">
        <v>747</v>
      </c>
    </row>
    <row r="10716" spans="1:5" hidden="1" x14ac:dyDescent="0.3">
      <c r="A10716" t="s">
        <v>557</v>
      </c>
      <c r="B10716" t="s">
        <v>746</v>
      </c>
      <c r="C10716" t="s">
        <v>347</v>
      </c>
      <c r="D10716" s="230">
        <v>-21187.06</v>
      </c>
      <c r="E10716" t="s">
        <v>747</v>
      </c>
    </row>
    <row r="10717" spans="1:5" hidden="1" x14ac:dyDescent="0.3">
      <c r="A10717" t="s">
        <v>557</v>
      </c>
      <c r="B10717" t="s">
        <v>746</v>
      </c>
      <c r="C10717" t="s">
        <v>44</v>
      </c>
      <c r="D10717" s="230">
        <v>-0.04</v>
      </c>
      <c r="E10717" t="s">
        <v>747</v>
      </c>
    </row>
    <row r="10718" spans="1:5" hidden="1" x14ac:dyDescent="0.3">
      <c r="A10718" t="s">
        <v>557</v>
      </c>
      <c r="B10718" t="s">
        <v>746</v>
      </c>
      <c r="C10718" t="s">
        <v>348</v>
      </c>
      <c r="D10718" s="230">
        <v>-615</v>
      </c>
      <c r="E10718" t="s">
        <v>747</v>
      </c>
    </row>
    <row r="10719" spans="1:5" hidden="1" x14ac:dyDescent="0.3">
      <c r="A10719" t="s">
        <v>557</v>
      </c>
      <c r="B10719" t="s">
        <v>746</v>
      </c>
      <c r="C10719" t="s">
        <v>707</v>
      </c>
      <c r="D10719" s="230">
        <v>0</v>
      </c>
      <c r="E10719" t="s">
        <v>747</v>
      </c>
    </row>
    <row r="10720" spans="1:5" hidden="1" x14ac:dyDescent="0.3">
      <c r="A10720" t="s">
        <v>557</v>
      </c>
      <c r="B10720" t="s">
        <v>746</v>
      </c>
      <c r="C10720" t="s">
        <v>350</v>
      </c>
      <c r="D10720" s="230">
        <v>-615</v>
      </c>
      <c r="E10720" t="s">
        <v>747</v>
      </c>
    </row>
    <row r="10721" spans="1:5" hidden="1" x14ac:dyDescent="0.3">
      <c r="A10721" t="s">
        <v>557</v>
      </c>
      <c r="B10721" t="s">
        <v>746</v>
      </c>
      <c r="C10721" t="s">
        <v>351</v>
      </c>
      <c r="D10721" s="230">
        <v>0</v>
      </c>
      <c r="E10721" t="s">
        <v>747</v>
      </c>
    </row>
    <row r="10722" spans="1:5" hidden="1" x14ac:dyDescent="0.3">
      <c r="A10722" t="s">
        <v>557</v>
      </c>
      <c r="B10722" t="s">
        <v>746</v>
      </c>
      <c r="C10722" t="s">
        <v>352</v>
      </c>
      <c r="D10722" s="230">
        <v>0</v>
      </c>
      <c r="E10722" t="s">
        <v>747</v>
      </c>
    </row>
    <row r="10723" spans="1:5" hidden="1" x14ac:dyDescent="0.3">
      <c r="A10723" t="s">
        <v>557</v>
      </c>
      <c r="B10723" t="s">
        <v>746</v>
      </c>
      <c r="C10723" t="s">
        <v>353</v>
      </c>
      <c r="D10723" s="230">
        <v>0</v>
      </c>
      <c r="E10723" t="s">
        <v>747</v>
      </c>
    </row>
    <row r="10724" spans="1:5" hidden="1" x14ac:dyDescent="0.3">
      <c r="A10724" t="s">
        <v>557</v>
      </c>
      <c r="B10724" t="s">
        <v>746</v>
      </c>
      <c r="C10724" t="s">
        <v>354</v>
      </c>
      <c r="D10724" s="230">
        <v>0</v>
      </c>
      <c r="E10724" t="s">
        <v>747</v>
      </c>
    </row>
    <row r="10725" spans="1:5" hidden="1" x14ac:dyDescent="0.3">
      <c r="A10725" t="s">
        <v>557</v>
      </c>
      <c r="B10725" t="s">
        <v>746</v>
      </c>
      <c r="C10725" t="s">
        <v>355</v>
      </c>
      <c r="D10725" s="230">
        <v>0</v>
      </c>
      <c r="E10725" t="s">
        <v>747</v>
      </c>
    </row>
    <row r="10726" spans="1:5" hidden="1" x14ac:dyDescent="0.3">
      <c r="A10726" t="s">
        <v>557</v>
      </c>
      <c r="B10726" t="s">
        <v>746</v>
      </c>
      <c r="C10726" t="s">
        <v>356</v>
      </c>
      <c r="D10726" s="230">
        <v>0</v>
      </c>
      <c r="E10726" t="s">
        <v>747</v>
      </c>
    </row>
    <row r="10727" spans="1:5" hidden="1" x14ac:dyDescent="0.3">
      <c r="A10727" t="s">
        <v>557</v>
      </c>
      <c r="B10727" t="s">
        <v>746</v>
      </c>
      <c r="C10727" t="s">
        <v>357</v>
      </c>
      <c r="D10727" s="230">
        <v>0</v>
      </c>
      <c r="E10727" t="s">
        <v>747</v>
      </c>
    </row>
    <row r="10728" spans="1:5" hidden="1" x14ac:dyDescent="0.3">
      <c r="A10728" t="s">
        <v>557</v>
      </c>
      <c r="B10728" t="s">
        <v>746</v>
      </c>
      <c r="C10728" t="s">
        <v>358</v>
      </c>
      <c r="D10728" s="230">
        <v>0</v>
      </c>
      <c r="E10728" t="s">
        <v>747</v>
      </c>
    </row>
    <row r="10729" spans="1:5" hidden="1" x14ac:dyDescent="0.3">
      <c r="A10729" t="s">
        <v>557</v>
      </c>
      <c r="B10729" t="s">
        <v>746</v>
      </c>
      <c r="C10729" t="s">
        <v>359</v>
      </c>
      <c r="D10729" s="230">
        <v>0</v>
      </c>
      <c r="E10729" t="s">
        <v>747</v>
      </c>
    </row>
    <row r="10730" spans="1:5" hidden="1" x14ac:dyDescent="0.3">
      <c r="A10730" t="s">
        <v>557</v>
      </c>
      <c r="B10730" t="s">
        <v>746</v>
      </c>
      <c r="C10730" t="s">
        <v>360</v>
      </c>
      <c r="D10730" s="230">
        <v>0</v>
      </c>
      <c r="E10730" t="s">
        <v>747</v>
      </c>
    </row>
    <row r="10731" spans="1:5" hidden="1" x14ac:dyDescent="0.3">
      <c r="A10731" t="s">
        <v>557</v>
      </c>
      <c r="B10731" t="s">
        <v>746</v>
      </c>
      <c r="C10731" t="s">
        <v>361</v>
      </c>
      <c r="D10731" s="230">
        <v>0</v>
      </c>
      <c r="E10731" t="s">
        <v>747</v>
      </c>
    </row>
    <row r="10732" spans="1:5" hidden="1" x14ac:dyDescent="0.3">
      <c r="A10732" t="s">
        <v>557</v>
      </c>
      <c r="B10732" t="s">
        <v>746</v>
      </c>
      <c r="C10732" t="s">
        <v>362</v>
      </c>
      <c r="D10732" s="230">
        <v>0</v>
      </c>
      <c r="E10732" t="s">
        <v>747</v>
      </c>
    </row>
    <row r="10733" spans="1:5" hidden="1" x14ac:dyDescent="0.3">
      <c r="A10733" t="s">
        <v>557</v>
      </c>
      <c r="B10733" t="s">
        <v>746</v>
      </c>
      <c r="C10733" t="s">
        <v>363</v>
      </c>
      <c r="D10733" s="230">
        <v>0</v>
      </c>
      <c r="E10733" t="s">
        <v>747</v>
      </c>
    </row>
    <row r="10734" spans="1:5" hidden="1" x14ac:dyDescent="0.3">
      <c r="A10734" t="s">
        <v>557</v>
      </c>
      <c r="B10734" t="s">
        <v>746</v>
      </c>
      <c r="C10734" t="s">
        <v>364</v>
      </c>
      <c r="D10734" s="230">
        <v>0</v>
      </c>
      <c r="E10734" t="s">
        <v>747</v>
      </c>
    </row>
    <row r="10735" spans="1:5" hidden="1" x14ac:dyDescent="0.3">
      <c r="A10735" t="s">
        <v>557</v>
      </c>
      <c r="B10735" t="s">
        <v>746</v>
      </c>
      <c r="C10735" t="s">
        <v>365</v>
      </c>
      <c r="D10735" s="230">
        <v>-13000</v>
      </c>
      <c r="E10735" t="s">
        <v>747</v>
      </c>
    </row>
    <row r="10736" spans="1:5" hidden="1" x14ac:dyDescent="0.3">
      <c r="A10736" t="s">
        <v>557</v>
      </c>
      <c r="B10736" t="s">
        <v>746</v>
      </c>
      <c r="C10736" t="s">
        <v>366</v>
      </c>
      <c r="D10736" s="230">
        <v>0</v>
      </c>
      <c r="E10736" t="s">
        <v>747</v>
      </c>
    </row>
    <row r="10737" spans="1:5" hidden="1" x14ac:dyDescent="0.3">
      <c r="A10737" t="s">
        <v>557</v>
      </c>
      <c r="B10737" t="s">
        <v>746</v>
      </c>
      <c r="C10737" t="s">
        <v>367</v>
      </c>
      <c r="D10737" s="230">
        <v>0</v>
      </c>
      <c r="E10737" t="s">
        <v>747</v>
      </c>
    </row>
    <row r="10738" spans="1:5" hidden="1" x14ac:dyDescent="0.3">
      <c r="A10738" t="s">
        <v>557</v>
      </c>
      <c r="B10738" t="s">
        <v>746</v>
      </c>
      <c r="C10738" t="s">
        <v>368</v>
      </c>
      <c r="D10738" s="230">
        <v>0</v>
      </c>
      <c r="E10738" t="s">
        <v>747</v>
      </c>
    </row>
    <row r="10739" spans="1:5" hidden="1" x14ac:dyDescent="0.3">
      <c r="A10739" t="s">
        <v>557</v>
      </c>
      <c r="B10739" t="s">
        <v>746</v>
      </c>
      <c r="C10739" t="s">
        <v>369</v>
      </c>
      <c r="D10739" s="230">
        <v>-13000</v>
      </c>
      <c r="E10739" t="s">
        <v>747</v>
      </c>
    </row>
    <row r="10740" spans="1:5" hidden="1" x14ac:dyDescent="0.3">
      <c r="A10740" t="s">
        <v>557</v>
      </c>
      <c r="B10740" t="s">
        <v>746</v>
      </c>
      <c r="C10740" t="s">
        <v>370</v>
      </c>
      <c r="D10740" s="230">
        <v>0</v>
      </c>
      <c r="E10740" t="s">
        <v>747</v>
      </c>
    </row>
    <row r="10741" spans="1:5" hidden="1" x14ac:dyDescent="0.3">
      <c r="A10741" t="s">
        <v>557</v>
      </c>
      <c r="B10741" t="s">
        <v>746</v>
      </c>
      <c r="C10741" t="s">
        <v>371</v>
      </c>
      <c r="D10741" s="230">
        <v>0</v>
      </c>
      <c r="E10741" t="s">
        <v>747</v>
      </c>
    </row>
    <row r="10742" spans="1:5" hidden="1" x14ac:dyDescent="0.3">
      <c r="A10742" t="s">
        <v>557</v>
      </c>
      <c r="B10742" t="s">
        <v>746</v>
      </c>
      <c r="C10742" t="s">
        <v>372</v>
      </c>
      <c r="D10742" s="230">
        <v>0</v>
      </c>
      <c r="E10742" t="s">
        <v>747</v>
      </c>
    </row>
    <row r="10743" spans="1:5" hidden="1" x14ac:dyDescent="0.3">
      <c r="A10743" t="s">
        <v>557</v>
      </c>
      <c r="B10743" t="s">
        <v>746</v>
      </c>
      <c r="C10743" t="s">
        <v>373</v>
      </c>
      <c r="D10743" s="230">
        <v>-13615</v>
      </c>
      <c r="E10743" t="s">
        <v>747</v>
      </c>
    </row>
    <row r="10744" spans="1:5" hidden="1" x14ac:dyDescent="0.3">
      <c r="A10744" t="s">
        <v>557</v>
      </c>
      <c r="B10744" t="s">
        <v>746</v>
      </c>
      <c r="C10744" t="s">
        <v>374</v>
      </c>
      <c r="D10744" s="230">
        <v>-34802.06</v>
      </c>
      <c r="E10744" t="s">
        <v>747</v>
      </c>
    </row>
    <row r="10745" spans="1:5" hidden="1" x14ac:dyDescent="0.3">
      <c r="A10745" t="s">
        <v>557</v>
      </c>
      <c r="B10745" t="s">
        <v>746</v>
      </c>
      <c r="C10745" t="s">
        <v>708</v>
      </c>
      <c r="D10745" s="230">
        <v>-34802.06</v>
      </c>
      <c r="E10745" t="s">
        <v>747</v>
      </c>
    </row>
    <row r="10746" spans="1:5" hidden="1" x14ac:dyDescent="0.3">
      <c r="A10746" t="s">
        <v>557</v>
      </c>
      <c r="B10746" t="s">
        <v>748</v>
      </c>
      <c r="C10746" t="s">
        <v>11</v>
      </c>
      <c r="D10746" s="230">
        <v>412679.31</v>
      </c>
      <c r="E10746" t="s">
        <v>749</v>
      </c>
    </row>
    <row r="10747" spans="1:5" hidden="1" x14ac:dyDescent="0.3">
      <c r="A10747" t="s">
        <v>557</v>
      </c>
      <c r="B10747" t="s">
        <v>748</v>
      </c>
      <c r="C10747" t="s">
        <v>13</v>
      </c>
      <c r="D10747" s="230">
        <v>223276.35</v>
      </c>
      <c r="E10747" t="s">
        <v>749</v>
      </c>
    </row>
    <row r="10748" spans="1:5" hidden="1" x14ac:dyDescent="0.3">
      <c r="A10748" t="s">
        <v>557</v>
      </c>
      <c r="B10748" t="s">
        <v>748</v>
      </c>
      <c r="C10748" t="s">
        <v>16</v>
      </c>
      <c r="D10748" s="230">
        <v>96204.76</v>
      </c>
      <c r="E10748" t="s">
        <v>749</v>
      </c>
    </row>
    <row r="10749" spans="1:5" hidden="1" x14ac:dyDescent="0.3">
      <c r="A10749" t="s">
        <v>557</v>
      </c>
      <c r="B10749" t="s">
        <v>748</v>
      </c>
      <c r="C10749" t="s">
        <v>17</v>
      </c>
      <c r="D10749" s="230">
        <v>5370</v>
      </c>
      <c r="E10749" t="s">
        <v>749</v>
      </c>
    </row>
    <row r="10750" spans="1:5" hidden="1" x14ac:dyDescent="0.3">
      <c r="A10750" t="s">
        <v>557</v>
      </c>
      <c r="B10750" t="s">
        <v>748</v>
      </c>
      <c r="C10750" t="s">
        <v>18</v>
      </c>
      <c r="D10750" s="230">
        <v>0</v>
      </c>
      <c r="E10750" t="s">
        <v>749</v>
      </c>
    </row>
    <row r="10751" spans="1:5" hidden="1" x14ac:dyDescent="0.3">
      <c r="A10751" t="s">
        <v>557</v>
      </c>
      <c r="B10751" t="s">
        <v>748</v>
      </c>
      <c r="C10751" t="s">
        <v>20</v>
      </c>
      <c r="D10751" s="230">
        <v>39860.120000000003</v>
      </c>
      <c r="E10751" t="s">
        <v>749</v>
      </c>
    </row>
    <row r="10752" spans="1:5" hidden="1" x14ac:dyDescent="0.3">
      <c r="A10752" t="s">
        <v>557</v>
      </c>
      <c r="B10752" t="s">
        <v>748</v>
      </c>
      <c r="C10752" t="s">
        <v>23</v>
      </c>
      <c r="D10752" s="230">
        <v>25219.9</v>
      </c>
      <c r="E10752" t="s">
        <v>749</v>
      </c>
    </row>
    <row r="10753" spans="1:5" hidden="1" x14ac:dyDescent="0.3">
      <c r="A10753" t="s">
        <v>557</v>
      </c>
      <c r="B10753" t="s">
        <v>748</v>
      </c>
      <c r="C10753" t="s">
        <v>25</v>
      </c>
      <c r="D10753" s="230">
        <v>0</v>
      </c>
      <c r="E10753" t="s">
        <v>749</v>
      </c>
    </row>
    <row r="10754" spans="1:5" hidden="1" x14ac:dyDescent="0.3">
      <c r="A10754" t="s">
        <v>557</v>
      </c>
      <c r="B10754" t="s">
        <v>748</v>
      </c>
      <c r="C10754" t="s">
        <v>26</v>
      </c>
      <c r="D10754" s="230">
        <v>10375</v>
      </c>
      <c r="E10754" t="s">
        <v>749</v>
      </c>
    </row>
    <row r="10755" spans="1:5" hidden="1" x14ac:dyDescent="0.3">
      <c r="A10755" t="s">
        <v>557</v>
      </c>
      <c r="B10755" t="s">
        <v>748</v>
      </c>
      <c r="C10755" t="s">
        <v>27</v>
      </c>
      <c r="D10755" s="230">
        <v>0</v>
      </c>
      <c r="E10755" t="s">
        <v>749</v>
      </c>
    </row>
    <row r="10756" spans="1:5" hidden="1" x14ac:dyDescent="0.3">
      <c r="A10756" t="s">
        <v>557</v>
      </c>
      <c r="B10756" t="s">
        <v>748</v>
      </c>
      <c r="C10756" t="s">
        <v>29</v>
      </c>
      <c r="D10756" s="230">
        <v>12103.19</v>
      </c>
      <c r="E10756" t="s">
        <v>749</v>
      </c>
    </row>
    <row r="10757" spans="1:5" hidden="1" x14ac:dyDescent="0.3">
      <c r="A10757" t="s">
        <v>557</v>
      </c>
      <c r="B10757" t="s">
        <v>748</v>
      </c>
      <c r="C10757" t="s">
        <v>31</v>
      </c>
      <c r="D10757" s="230">
        <v>270</v>
      </c>
      <c r="E10757" t="s">
        <v>749</v>
      </c>
    </row>
    <row r="10758" spans="1:5" hidden="1" x14ac:dyDescent="0.3">
      <c r="A10758" t="s">
        <v>557</v>
      </c>
      <c r="B10758" t="s">
        <v>748</v>
      </c>
      <c r="C10758" t="s">
        <v>34</v>
      </c>
      <c r="D10758" s="230">
        <v>-11972.86</v>
      </c>
      <c r="E10758" t="s">
        <v>749</v>
      </c>
    </row>
    <row r="10759" spans="1:5" hidden="1" x14ac:dyDescent="0.3">
      <c r="A10759" t="s">
        <v>557</v>
      </c>
      <c r="B10759" t="s">
        <v>748</v>
      </c>
      <c r="C10759" t="s">
        <v>38</v>
      </c>
      <c r="D10759" s="230">
        <v>-1949.96</v>
      </c>
      <c r="E10759" t="s">
        <v>749</v>
      </c>
    </row>
    <row r="10760" spans="1:5" hidden="1" x14ac:dyDescent="0.3">
      <c r="A10760" t="s">
        <v>557</v>
      </c>
      <c r="B10760" t="s">
        <v>748</v>
      </c>
      <c r="C10760" t="s">
        <v>40</v>
      </c>
      <c r="D10760" s="230">
        <v>-8612.6</v>
      </c>
      <c r="E10760" t="s">
        <v>749</v>
      </c>
    </row>
    <row r="10761" spans="1:5" hidden="1" x14ac:dyDescent="0.3">
      <c r="A10761" t="s">
        <v>557</v>
      </c>
      <c r="B10761" t="s">
        <v>748</v>
      </c>
      <c r="C10761" t="s">
        <v>42</v>
      </c>
      <c r="D10761" s="230">
        <v>-1410.29</v>
      </c>
      <c r="E10761" t="s">
        <v>749</v>
      </c>
    </row>
    <row r="10762" spans="1:5" hidden="1" x14ac:dyDescent="0.3">
      <c r="A10762" t="s">
        <v>557</v>
      </c>
      <c r="B10762" t="s">
        <v>748</v>
      </c>
      <c r="C10762" t="s">
        <v>44</v>
      </c>
      <c r="D10762" s="230">
        <v>-0.03</v>
      </c>
      <c r="E10762" t="s">
        <v>749</v>
      </c>
    </row>
    <row r="10763" spans="1:5" hidden="1" x14ac:dyDescent="0.3">
      <c r="A10763" t="s">
        <v>557</v>
      </c>
      <c r="B10763" t="s">
        <v>748</v>
      </c>
      <c r="C10763" t="s">
        <v>45</v>
      </c>
      <c r="D10763" s="230">
        <v>-28496.18</v>
      </c>
      <c r="E10763" t="s">
        <v>749</v>
      </c>
    </row>
    <row r="10764" spans="1:5" hidden="1" x14ac:dyDescent="0.3">
      <c r="A10764" t="s">
        <v>557</v>
      </c>
      <c r="B10764" t="s">
        <v>748</v>
      </c>
      <c r="C10764" t="s">
        <v>46</v>
      </c>
      <c r="D10764" s="230">
        <v>-13705.26</v>
      </c>
      <c r="E10764" t="s">
        <v>749</v>
      </c>
    </row>
    <row r="10765" spans="1:5" hidden="1" x14ac:dyDescent="0.3">
      <c r="A10765" t="s">
        <v>557</v>
      </c>
      <c r="B10765" t="s">
        <v>748</v>
      </c>
      <c r="C10765" t="s">
        <v>48</v>
      </c>
      <c r="D10765" s="230">
        <v>-14272.17</v>
      </c>
      <c r="E10765" t="s">
        <v>749</v>
      </c>
    </row>
    <row r="10766" spans="1:5" hidden="1" x14ac:dyDescent="0.3">
      <c r="A10766" t="s">
        <v>557</v>
      </c>
      <c r="B10766" t="s">
        <v>748</v>
      </c>
      <c r="C10766" t="s">
        <v>49</v>
      </c>
      <c r="D10766" s="230">
        <v>-518.75</v>
      </c>
      <c r="E10766" t="s">
        <v>749</v>
      </c>
    </row>
    <row r="10767" spans="1:5" hidden="1" x14ac:dyDescent="0.3">
      <c r="A10767" t="s">
        <v>557</v>
      </c>
      <c r="B10767" t="s">
        <v>748</v>
      </c>
      <c r="C10767" t="s">
        <v>50</v>
      </c>
      <c r="D10767" s="230">
        <v>372210.28</v>
      </c>
      <c r="E10767" t="s">
        <v>749</v>
      </c>
    </row>
    <row r="10768" spans="1:5" hidden="1" x14ac:dyDescent="0.3">
      <c r="A10768" t="s">
        <v>557</v>
      </c>
      <c r="B10768" t="s">
        <v>748</v>
      </c>
      <c r="C10768" t="s">
        <v>51</v>
      </c>
      <c r="D10768" s="230">
        <v>-108553.61</v>
      </c>
      <c r="E10768" t="s">
        <v>749</v>
      </c>
    </row>
    <row r="10769" spans="1:5" hidden="1" x14ac:dyDescent="0.3">
      <c r="A10769" t="s">
        <v>557</v>
      </c>
      <c r="B10769" t="s">
        <v>748</v>
      </c>
      <c r="C10769" t="s">
        <v>52</v>
      </c>
      <c r="D10769" s="230">
        <v>-87571.3</v>
      </c>
      <c r="E10769" t="s">
        <v>749</v>
      </c>
    </row>
    <row r="10770" spans="1:5" hidden="1" x14ac:dyDescent="0.3">
      <c r="A10770" t="s">
        <v>557</v>
      </c>
      <c r="B10770" t="s">
        <v>748</v>
      </c>
      <c r="C10770" t="s">
        <v>53</v>
      </c>
      <c r="D10770" s="230">
        <v>-20982.31</v>
      </c>
      <c r="E10770" t="s">
        <v>749</v>
      </c>
    </row>
    <row r="10771" spans="1:5" hidden="1" x14ac:dyDescent="0.3">
      <c r="A10771" t="s">
        <v>557</v>
      </c>
      <c r="B10771" t="s">
        <v>748</v>
      </c>
      <c r="C10771" t="s">
        <v>54</v>
      </c>
      <c r="D10771" s="230">
        <v>0</v>
      </c>
      <c r="E10771" t="s">
        <v>749</v>
      </c>
    </row>
    <row r="10772" spans="1:5" hidden="1" x14ac:dyDescent="0.3">
      <c r="A10772" t="s">
        <v>557</v>
      </c>
      <c r="B10772" t="s">
        <v>748</v>
      </c>
      <c r="C10772" t="s">
        <v>23</v>
      </c>
      <c r="D10772" s="230">
        <v>0</v>
      </c>
      <c r="E10772" t="s">
        <v>749</v>
      </c>
    </row>
    <row r="10773" spans="1:5" hidden="1" x14ac:dyDescent="0.3">
      <c r="A10773" t="s">
        <v>557</v>
      </c>
      <c r="B10773" t="s">
        <v>748</v>
      </c>
      <c r="C10773" t="s">
        <v>44</v>
      </c>
      <c r="D10773" s="230">
        <v>-0.3</v>
      </c>
      <c r="E10773" t="s">
        <v>749</v>
      </c>
    </row>
    <row r="10774" spans="1:5" hidden="1" x14ac:dyDescent="0.3">
      <c r="A10774" t="s">
        <v>557</v>
      </c>
      <c r="B10774" t="s">
        <v>748</v>
      </c>
      <c r="C10774" t="s">
        <v>55</v>
      </c>
      <c r="D10774" s="230">
        <v>-0.28999999999999998</v>
      </c>
      <c r="E10774" t="s">
        <v>749</v>
      </c>
    </row>
    <row r="10775" spans="1:5" hidden="1" x14ac:dyDescent="0.3">
      <c r="A10775" t="s">
        <v>557</v>
      </c>
      <c r="B10775" t="s">
        <v>748</v>
      </c>
      <c r="C10775" t="s">
        <v>56</v>
      </c>
      <c r="D10775" s="230">
        <v>-9297.65</v>
      </c>
      <c r="E10775" t="s">
        <v>749</v>
      </c>
    </row>
    <row r="10776" spans="1:5" hidden="1" x14ac:dyDescent="0.3">
      <c r="A10776" t="s">
        <v>557</v>
      </c>
      <c r="B10776" t="s">
        <v>748</v>
      </c>
      <c r="C10776" t="s">
        <v>57</v>
      </c>
      <c r="D10776" s="230">
        <v>-7464.33</v>
      </c>
      <c r="E10776" t="s">
        <v>749</v>
      </c>
    </row>
    <row r="10777" spans="1:5" hidden="1" x14ac:dyDescent="0.3">
      <c r="A10777" t="s">
        <v>557</v>
      </c>
      <c r="B10777" t="s">
        <v>748</v>
      </c>
      <c r="C10777" t="s">
        <v>58</v>
      </c>
      <c r="D10777" s="230">
        <v>-7200</v>
      </c>
      <c r="E10777" t="s">
        <v>749</v>
      </c>
    </row>
    <row r="10778" spans="1:5" hidden="1" x14ac:dyDescent="0.3">
      <c r="A10778" t="s">
        <v>557</v>
      </c>
      <c r="B10778" t="s">
        <v>748</v>
      </c>
      <c r="C10778" t="s">
        <v>59</v>
      </c>
      <c r="D10778" s="230">
        <v>-264.33</v>
      </c>
      <c r="E10778" t="s">
        <v>749</v>
      </c>
    </row>
    <row r="10779" spans="1:5" hidden="1" x14ac:dyDescent="0.3">
      <c r="A10779" t="s">
        <v>557</v>
      </c>
      <c r="B10779" t="s">
        <v>748</v>
      </c>
      <c r="C10779" t="s">
        <v>61</v>
      </c>
      <c r="D10779" s="230">
        <v>0</v>
      </c>
      <c r="E10779" t="s">
        <v>749</v>
      </c>
    </row>
    <row r="10780" spans="1:5" hidden="1" x14ac:dyDescent="0.3">
      <c r="A10780" t="s">
        <v>557</v>
      </c>
      <c r="B10780" t="s">
        <v>748</v>
      </c>
      <c r="C10780" t="s">
        <v>62</v>
      </c>
      <c r="D10780" s="230">
        <v>0</v>
      </c>
      <c r="E10780" t="s">
        <v>749</v>
      </c>
    </row>
    <row r="10781" spans="1:5" hidden="1" x14ac:dyDescent="0.3">
      <c r="A10781" t="s">
        <v>557</v>
      </c>
      <c r="B10781" t="s">
        <v>748</v>
      </c>
      <c r="C10781" t="s">
        <v>64</v>
      </c>
      <c r="D10781" s="230">
        <v>0</v>
      </c>
      <c r="E10781" t="s">
        <v>749</v>
      </c>
    </row>
    <row r="10782" spans="1:5" hidden="1" x14ac:dyDescent="0.3">
      <c r="A10782" t="s">
        <v>557</v>
      </c>
      <c r="B10782" t="s">
        <v>748</v>
      </c>
      <c r="C10782" t="s">
        <v>65</v>
      </c>
      <c r="D10782" s="230">
        <v>-1833.32</v>
      </c>
      <c r="E10782" t="s">
        <v>749</v>
      </c>
    </row>
    <row r="10783" spans="1:5" hidden="1" x14ac:dyDescent="0.3">
      <c r="A10783" t="s">
        <v>557</v>
      </c>
      <c r="B10783" t="s">
        <v>748</v>
      </c>
      <c r="C10783" t="s">
        <v>66</v>
      </c>
      <c r="D10783" s="230">
        <v>-1833.32</v>
      </c>
      <c r="E10783" t="s">
        <v>749</v>
      </c>
    </row>
    <row r="10784" spans="1:5" hidden="1" x14ac:dyDescent="0.3">
      <c r="A10784" t="s">
        <v>557</v>
      </c>
      <c r="B10784" t="s">
        <v>748</v>
      </c>
      <c r="C10784" t="s">
        <v>68</v>
      </c>
      <c r="D10784" s="230">
        <v>0</v>
      </c>
      <c r="E10784" t="s">
        <v>749</v>
      </c>
    </row>
    <row r="10785" spans="1:5" hidden="1" x14ac:dyDescent="0.3">
      <c r="A10785" t="s">
        <v>557</v>
      </c>
      <c r="B10785" t="s">
        <v>748</v>
      </c>
      <c r="C10785" t="s">
        <v>69</v>
      </c>
      <c r="D10785" s="230">
        <v>0</v>
      </c>
      <c r="E10785" t="s">
        <v>749</v>
      </c>
    </row>
    <row r="10786" spans="1:5" hidden="1" x14ac:dyDescent="0.3">
      <c r="A10786" t="s">
        <v>557</v>
      </c>
      <c r="B10786" t="s">
        <v>748</v>
      </c>
      <c r="C10786" t="s">
        <v>70</v>
      </c>
      <c r="D10786" s="230">
        <v>-1.73</v>
      </c>
      <c r="E10786" t="s">
        <v>749</v>
      </c>
    </row>
    <row r="10787" spans="1:5" hidden="1" x14ac:dyDescent="0.3">
      <c r="A10787" t="s">
        <v>557</v>
      </c>
      <c r="B10787" t="s">
        <v>748</v>
      </c>
      <c r="C10787" t="s">
        <v>44</v>
      </c>
      <c r="D10787" s="230">
        <v>-0.02</v>
      </c>
      <c r="E10787" t="s">
        <v>749</v>
      </c>
    </row>
    <row r="10788" spans="1:5" hidden="1" x14ac:dyDescent="0.3">
      <c r="A10788" t="s">
        <v>557</v>
      </c>
      <c r="B10788" t="s">
        <v>748</v>
      </c>
      <c r="C10788" t="s">
        <v>71</v>
      </c>
      <c r="D10788" s="230">
        <v>-2982.91</v>
      </c>
      <c r="E10788" t="s">
        <v>749</v>
      </c>
    </row>
    <row r="10789" spans="1:5" hidden="1" x14ac:dyDescent="0.3">
      <c r="A10789" t="s">
        <v>557</v>
      </c>
      <c r="B10789" t="s">
        <v>748</v>
      </c>
      <c r="C10789" t="s">
        <v>72</v>
      </c>
      <c r="D10789" s="230">
        <v>-2982.91</v>
      </c>
      <c r="E10789" t="s">
        <v>749</v>
      </c>
    </row>
    <row r="10790" spans="1:5" hidden="1" x14ac:dyDescent="0.3">
      <c r="A10790" t="s">
        <v>557</v>
      </c>
      <c r="B10790" t="s">
        <v>748</v>
      </c>
      <c r="C10790" t="s">
        <v>73</v>
      </c>
      <c r="D10790" s="230">
        <v>-2000</v>
      </c>
      <c r="E10790" t="s">
        <v>749</v>
      </c>
    </row>
    <row r="10791" spans="1:5" hidden="1" x14ac:dyDescent="0.3">
      <c r="A10791" t="s">
        <v>557</v>
      </c>
      <c r="B10791" t="s">
        <v>748</v>
      </c>
      <c r="C10791" t="s">
        <v>75</v>
      </c>
      <c r="D10791" s="230">
        <v>-982.91</v>
      </c>
      <c r="E10791" t="s">
        <v>749</v>
      </c>
    </row>
    <row r="10792" spans="1:5" hidden="1" x14ac:dyDescent="0.3">
      <c r="A10792" t="s">
        <v>557</v>
      </c>
      <c r="B10792" t="s">
        <v>748</v>
      </c>
      <c r="C10792" t="s">
        <v>77</v>
      </c>
      <c r="D10792" s="230">
        <v>0</v>
      </c>
      <c r="E10792" t="s">
        <v>749</v>
      </c>
    </row>
    <row r="10793" spans="1:5" hidden="1" x14ac:dyDescent="0.3">
      <c r="A10793" t="s">
        <v>557</v>
      </c>
      <c r="B10793" t="s">
        <v>748</v>
      </c>
      <c r="C10793" t="s">
        <v>78</v>
      </c>
      <c r="D10793" s="230">
        <v>0</v>
      </c>
      <c r="E10793" t="s">
        <v>749</v>
      </c>
    </row>
    <row r="10794" spans="1:5" hidden="1" x14ac:dyDescent="0.3">
      <c r="A10794" t="s">
        <v>557</v>
      </c>
      <c r="B10794" t="s">
        <v>748</v>
      </c>
      <c r="C10794" t="s">
        <v>80</v>
      </c>
      <c r="D10794" s="230">
        <v>0</v>
      </c>
      <c r="E10794" t="s">
        <v>749</v>
      </c>
    </row>
    <row r="10795" spans="1:5" hidden="1" x14ac:dyDescent="0.3">
      <c r="A10795" t="s">
        <v>557</v>
      </c>
      <c r="B10795" t="s">
        <v>748</v>
      </c>
      <c r="C10795" t="s">
        <v>82</v>
      </c>
      <c r="D10795" s="230">
        <v>0</v>
      </c>
      <c r="E10795" t="s">
        <v>749</v>
      </c>
    </row>
    <row r="10796" spans="1:5" hidden="1" x14ac:dyDescent="0.3">
      <c r="A10796" t="s">
        <v>557</v>
      </c>
      <c r="B10796" t="s">
        <v>748</v>
      </c>
      <c r="C10796" t="s">
        <v>84</v>
      </c>
      <c r="D10796" s="230">
        <v>0</v>
      </c>
      <c r="E10796" t="s">
        <v>749</v>
      </c>
    </row>
    <row r="10797" spans="1:5" hidden="1" x14ac:dyDescent="0.3">
      <c r="A10797" t="s">
        <v>557</v>
      </c>
      <c r="B10797" t="s">
        <v>748</v>
      </c>
      <c r="C10797" t="s">
        <v>85</v>
      </c>
      <c r="D10797" s="230">
        <v>0</v>
      </c>
      <c r="E10797" t="s">
        <v>749</v>
      </c>
    </row>
    <row r="10798" spans="1:5" hidden="1" x14ac:dyDescent="0.3">
      <c r="A10798" t="s">
        <v>557</v>
      </c>
      <c r="B10798" t="s">
        <v>748</v>
      </c>
      <c r="C10798" t="s">
        <v>86</v>
      </c>
      <c r="D10798" s="230">
        <v>0</v>
      </c>
      <c r="E10798" t="s">
        <v>749</v>
      </c>
    </row>
    <row r="10799" spans="1:5" hidden="1" x14ac:dyDescent="0.3">
      <c r="A10799" t="s">
        <v>557</v>
      </c>
      <c r="B10799" t="s">
        <v>748</v>
      </c>
      <c r="C10799" t="s">
        <v>87</v>
      </c>
      <c r="D10799" s="230">
        <v>0</v>
      </c>
      <c r="E10799" t="s">
        <v>749</v>
      </c>
    </row>
    <row r="10800" spans="1:5" hidden="1" x14ac:dyDescent="0.3">
      <c r="A10800" t="s">
        <v>557</v>
      </c>
      <c r="B10800" t="s">
        <v>748</v>
      </c>
      <c r="C10800" t="s">
        <v>88</v>
      </c>
      <c r="D10800" s="230">
        <v>0</v>
      </c>
      <c r="E10800" t="s">
        <v>749</v>
      </c>
    </row>
    <row r="10801" spans="1:5" hidden="1" x14ac:dyDescent="0.3">
      <c r="A10801" t="s">
        <v>557</v>
      </c>
      <c r="B10801" t="s">
        <v>748</v>
      </c>
      <c r="C10801" t="s">
        <v>89</v>
      </c>
      <c r="D10801" s="230">
        <v>0</v>
      </c>
      <c r="E10801" t="s">
        <v>749</v>
      </c>
    </row>
    <row r="10802" spans="1:5" hidden="1" x14ac:dyDescent="0.3">
      <c r="A10802" t="s">
        <v>557</v>
      </c>
      <c r="B10802" t="s">
        <v>748</v>
      </c>
      <c r="C10802" t="s">
        <v>90</v>
      </c>
      <c r="D10802" s="230">
        <v>0</v>
      </c>
      <c r="E10802" t="s">
        <v>749</v>
      </c>
    </row>
    <row r="10803" spans="1:5" hidden="1" x14ac:dyDescent="0.3">
      <c r="A10803" t="s">
        <v>557</v>
      </c>
      <c r="B10803" t="s">
        <v>748</v>
      </c>
      <c r="C10803" t="s">
        <v>91</v>
      </c>
      <c r="D10803" s="230">
        <v>0</v>
      </c>
      <c r="E10803" t="s">
        <v>749</v>
      </c>
    </row>
    <row r="10804" spans="1:5" hidden="1" x14ac:dyDescent="0.3">
      <c r="A10804" t="s">
        <v>557</v>
      </c>
      <c r="B10804" t="s">
        <v>748</v>
      </c>
      <c r="C10804" t="s">
        <v>93</v>
      </c>
      <c r="D10804" s="230">
        <v>0</v>
      </c>
      <c r="E10804" t="s">
        <v>749</v>
      </c>
    </row>
    <row r="10805" spans="1:5" hidden="1" x14ac:dyDescent="0.3">
      <c r="A10805" t="s">
        <v>557</v>
      </c>
      <c r="B10805" t="s">
        <v>748</v>
      </c>
      <c r="C10805" t="s">
        <v>95</v>
      </c>
      <c r="D10805" s="230">
        <v>0</v>
      </c>
      <c r="E10805" t="s">
        <v>749</v>
      </c>
    </row>
    <row r="10806" spans="1:5" hidden="1" x14ac:dyDescent="0.3">
      <c r="A10806" t="s">
        <v>557</v>
      </c>
      <c r="B10806" t="s">
        <v>748</v>
      </c>
      <c r="C10806" t="s">
        <v>96</v>
      </c>
      <c r="D10806" s="230">
        <v>0</v>
      </c>
      <c r="E10806" t="s">
        <v>749</v>
      </c>
    </row>
    <row r="10807" spans="1:5" hidden="1" x14ac:dyDescent="0.3">
      <c r="A10807" t="s">
        <v>557</v>
      </c>
      <c r="B10807" t="s">
        <v>748</v>
      </c>
      <c r="C10807" t="s">
        <v>98</v>
      </c>
      <c r="D10807" s="230">
        <v>0</v>
      </c>
      <c r="E10807" t="s">
        <v>749</v>
      </c>
    </row>
    <row r="10808" spans="1:5" hidden="1" x14ac:dyDescent="0.3">
      <c r="A10808" t="s">
        <v>557</v>
      </c>
      <c r="B10808" t="s">
        <v>748</v>
      </c>
      <c r="C10808" t="s">
        <v>100</v>
      </c>
      <c r="D10808" s="230">
        <v>0</v>
      </c>
      <c r="E10808" t="s">
        <v>749</v>
      </c>
    </row>
    <row r="10809" spans="1:5" hidden="1" x14ac:dyDescent="0.3">
      <c r="A10809" t="s">
        <v>557</v>
      </c>
      <c r="B10809" t="s">
        <v>748</v>
      </c>
      <c r="C10809" t="s">
        <v>101</v>
      </c>
      <c r="D10809" s="230">
        <v>0</v>
      </c>
      <c r="E10809" t="s">
        <v>749</v>
      </c>
    </row>
    <row r="10810" spans="1:5" hidden="1" x14ac:dyDescent="0.3">
      <c r="A10810" t="s">
        <v>557</v>
      </c>
      <c r="B10810" t="s">
        <v>748</v>
      </c>
      <c r="C10810" t="s">
        <v>102</v>
      </c>
      <c r="D10810" s="230">
        <v>0</v>
      </c>
      <c r="E10810" t="s">
        <v>749</v>
      </c>
    </row>
    <row r="10811" spans="1:5" hidden="1" x14ac:dyDescent="0.3">
      <c r="A10811" t="s">
        <v>557</v>
      </c>
      <c r="B10811" t="s">
        <v>748</v>
      </c>
      <c r="C10811" t="s">
        <v>103</v>
      </c>
      <c r="D10811" s="230">
        <v>0</v>
      </c>
      <c r="E10811" t="s">
        <v>749</v>
      </c>
    </row>
    <row r="10812" spans="1:5" hidden="1" x14ac:dyDescent="0.3">
      <c r="A10812" t="s">
        <v>557</v>
      </c>
      <c r="B10812" t="s">
        <v>748</v>
      </c>
      <c r="C10812" t="s">
        <v>104</v>
      </c>
      <c r="D10812" s="230">
        <v>0</v>
      </c>
      <c r="E10812" t="s">
        <v>749</v>
      </c>
    </row>
    <row r="10813" spans="1:5" hidden="1" x14ac:dyDescent="0.3">
      <c r="A10813" t="s">
        <v>557</v>
      </c>
      <c r="B10813" t="s">
        <v>748</v>
      </c>
      <c r="C10813" t="s">
        <v>105</v>
      </c>
      <c r="D10813" s="230">
        <v>0</v>
      </c>
      <c r="E10813" t="s">
        <v>749</v>
      </c>
    </row>
    <row r="10814" spans="1:5" hidden="1" x14ac:dyDescent="0.3">
      <c r="A10814" t="s">
        <v>557</v>
      </c>
      <c r="B10814" t="s">
        <v>748</v>
      </c>
      <c r="C10814" t="s">
        <v>107</v>
      </c>
      <c r="D10814" s="230">
        <v>0</v>
      </c>
      <c r="E10814" t="s">
        <v>749</v>
      </c>
    </row>
    <row r="10815" spans="1:5" hidden="1" x14ac:dyDescent="0.3">
      <c r="A10815" t="s">
        <v>557</v>
      </c>
      <c r="B10815" t="s">
        <v>748</v>
      </c>
      <c r="C10815" t="s">
        <v>108</v>
      </c>
      <c r="D10815" s="230">
        <v>0</v>
      </c>
      <c r="E10815" t="s">
        <v>749</v>
      </c>
    </row>
    <row r="10816" spans="1:5" hidden="1" x14ac:dyDescent="0.3">
      <c r="A10816" t="s">
        <v>557</v>
      </c>
      <c r="B10816" t="s">
        <v>748</v>
      </c>
      <c r="C10816" t="s">
        <v>109</v>
      </c>
      <c r="D10816" s="230">
        <v>0</v>
      </c>
      <c r="E10816" t="s">
        <v>749</v>
      </c>
    </row>
    <row r="10817" spans="1:5" hidden="1" x14ac:dyDescent="0.3">
      <c r="A10817" t="s">
        <v>557</v>
      </c>
      <c r="B10817" t="s">
        <v>748</v>
      </c>
      <c r="C10817" t="s">
        <v>110</v>
      </c>
      <c r="D10817" s="230">
        <v>-0.08</v>
      </c>
      <c r="E10817" t="s">
        <v>749</v>
      </c>
    </row>
    <row r="10818" spans="1:5" hidden="1" x14ac:dyDescent="0.3">
      <c r="A10818" t="s">
        <v>557</v>
      </c>
      <c r="B10818" t="s">
        <v>748</v>
      </c>
      <c r="C10818" t="s">
        <v>44</v>
      </c>
      <c r="D10818" s="230">
        <v>-0.01</v>
      </c>
      <c r="E10818" t="s">
        <v>749</v>
      </c>
    </row>
    <row r="10819" spans="1:5" hidden="1" x14ac:dyDescent="0.3">
      <c r="A10819" t="s">
        <v>557</v>
      </c>
      <c r="B10819" t="s">
        <v>748</v>
      </c>
      <c r="C10819" t="s">
        <v>111</v>
      </c>
      <c r="D10819" s="230">
        <v>-35108</v>
      </c>
      <c r="E10819" t="s">
        <v>749</v>
      </c>
    </row>
    <row r="10820" spans="1:5" hidden="1" x14ac:dyDescent="0.3">
      <c r="A10820" t="s">
        <v>557</v>
      </c>
      <c r="B10820" t="s">
        <v>748</v>
      </c>
      <c r="C10820" t="s">
        <v>608</v>
      </c>
      <c r="D10820" s="230">
        <v>-35108</v>
      </c>
      <c r="E10820" t="s">
        <v>749</v>
      </c>
    </row>
    <row r="10821" spans="1:5" hidden="1" x14ac:dyDescent="0.3">
      <c r="A10821" t="s">
        <v>557</v>
      </c>
      <c r="B10821" t="s">
        <v>748</v>
      </c>
      <c r="C10821" t="s">
        <v>44</v>
      </c>
      <c r="D10821" s="230">
        <v>-0.09</v>
      </c>
      <c r="E10821" t="s">
        <v>749</v>
      </c>
    </row>
    <row r="10822" spans="1:5" hidden="1" x14ac:dyDescent="0.3">
      <c r="A10822" t="s">
        <v>557</v>
      </c>
      <c r="B10822" t="s">
        <v>748</v>
      </c>
      <c r="C10822" t="s">
        <v>115</v>
      </c>
      <c r="D10822" s="230">
        <v>-10332.01</v>
      </c>
      <c r="E10822" t="s">
        <v>749</v>
      </c>
    </row>
    <row r="10823" spans="1:5" hidden="1" x14ac:dyDescent="0.3">
      <c r="A10823" t="s">
        <v>557</v>
      </c>
      <c r="B10823" t="s">
        <v>748</v>
      </c>
      <c r="C10823" t="s">
        <v>116</v>
      </c>
      <c r="D10823" s="230">
        <v>-6515.05</v>
      </c>
      <c r="E10823" t="s">
        <v>749</v>
      </c>
    </row>
    <row r="10824" spans="1:5" hidden="1" x14ac:dyDescent="0.3">
      <c r="A10824" t="s">
        <v>557</v>
      </c>
      <c r="B10824" t="s">
        <v>748</v>
      </c>
      <c r="C10824" t="s">
        <v>118</v>
      </c>
      <c r="D10824" s="230">
        <v>-3816.96</v>
      </c>
      <c r="E10824" t="s">
        <v>749</v>
      </c>
    </row>
    <row r="10825" spans="1:5" hidden="1" x14ac:dyDescent="0.3">
      <c r="A10825" t="s">
        <v>557</v>
      </c>
      <c r="B10825" t="s">
        <v>748</v>
      </c>
      <c r="C10825" t="s">
        <v>120</v>
      </c>
      <c r="D10825" s="230">
        <v>0</v>
      </c>
      <c r="E10825" t="s">
        <v>749</v>
      </c>
    </row>
    <row r="10826" spans="1:5" hidden="1" x14ac:dyDescent="0.3">
      <c r="A10826" t="s">
        <v>557</v>
      </c>
      <c r="B10826" t="s">
        <v>748</v>
      </c>
      <c r="C10826" t="s">
        <v>122</v>
      </c>
      <c r="D10826" s="230">
        <v>0</v>
      </c>
      <c r="E10826" t="s">
        <v>749</v>
      </c>
    </row>
    <row r="10827" spans="1:5" hidden="1" x14ac:dyDescent="0.3">
      <c r="A10827" t="s">
        <v>557</v>
      </c>
      <c r="B10827" t="s">
        <v>748</v>
      </c>
      <c r="C10827" t="s">
        <v>44</v>
      </c>
      <c r="D10827" s="230">
        <v>-0.03</v>
      </c>
      <c r="E10827" t="s">
        <v>749</v>
      </c>
    </row>
    <row r="10828" spans="1:5" hidden="1" x14ac:dyDescent="0.3">
      <c r="A10828" t="s">
        <v>557</v>
      </c>
      <c r="B10828" t="s">
        <v>748</v>
      </c>
      <c r="C10828" t="s">
        <v>126</v>
      </c>
      <c r="D10828" s="230">
        <v>205936.1</v>
      </c>
      <c r="E10828" t="s">
        <v>749</v>
      </c>
    </row>
    <row r="10829" spans="1:5" hidden="1" x14ac:dyDescent="0.3">
      <c r="A10829" t="s">
        <v>557</v>
      </c>
      <c r="B10829" t="s">
        <v>748</v>
      </c>
      <c r="C10829" t="s">
        <v>127</v>
      </c>
      <c r="D10829" s="230">
        <v>0.5</v>
      </c>
      <c r="E10829" t="s">
        <v>749</v>
      </c>
    </row>
    <row r="10830" spans="1:5" hidden="1" x14ac:dyDescent="0.3">
      <c r="A10830" t="s">
        <v>557</v>
      </c>
      <c r="B10830" t="s">
        <v>748</v>
      </c>
      <c r="C10830" t="s">
        <v>128</v>
      </c>
      <c r="D10830" s="230">
        <v>-138243.43</v>
      </c>
      <c r="E10830" t="s">
        <v>749</v>
      </c>
    </row>
    <row r="10831" spans="1:5" hidden="1" x14ac:dyDescent="0.3">
      <c r="A10831" t="s">
        <v>557</v>
      </c>
      <c r="B10831" t="s">
        <v>748</v>
      </c>
      <c r="C10831" t="s">
        <v>129</v>
      </c>
      <c r="D10831" s="230">
        <v>-34725</v>
      </c>
      <c r="E10831" t="s">
        <v>749</v>
      </c>
    </row>
    <row r="10832" spans="1:5" hidden="1" x14ac:dyDescent="0.3">
      <c r="A10832" t="s">
        <v>557</v>
      </c>
      <c r="B10832" t="s">
        <v>748</v>
      </c>
      <c r="C10832" t="s">
        <v>609</v>
      </c>
      <c r="D10832" s="230">
        <v>0</v>
      </c>
      <c r="E10832" t="s">
        <v>749</v>
      </c>
    </row>
    <row r="10833" spans="1:5" hidden="1" x14ac:dyDescent="0.3">
      <c r="A10833" t="s">
        <v>557</v>
      </c>
      <c r="B10833" t="s">
        <v>748</v>
      </c>
      <c r="C10833" t="s">
        <v>610</v>
      </c>
      <c r="D10833" s="230">
        <v>-17600</v>
      </c>
      <c r="E10833" t="s">
        <v>749</v>
      </c>
    </row>
    <row r="10834" spans="1:5" hidden="1" x14ac:dyDescent="0.3">
      <c r="A10834" t="s">
        <v>557</v>
      </c>
      <c r="B10834" t="s">
        <v>748</v>
      </c>
      <c r="C10834" t="s">
        <v>611</v>
      </c>
      <c r="D10834" s="230">
        <v>0</v>
      </c>
      <c r="E10834" t="s">
        <v>749</v>
      </c>
    </row>
    <row r="10835" spans="1:5" hidden="1" x14ac:dyDescent="0.3">
      <c r="A10835" t="s">
        <v>557</v>
      </c>
      <c r="B10835" t="s">
        <v>748</v>
      </c>
      <c r="C10835" t="s">
        <v>612</v>
      </c>
      <c r="D10835" s="230">
        <v>-4000</v>
      </c>
      <c r="E10835" t="s">
        <v>749</v>
      </c>
    </row>
    <row r="10836" spans="1:5" hidden="1" x14ac:dyDescent="0.3">
      <c r="A10836" t="s">
        <v>557</v>
      </c>
      <c r="B10836" t="s">
        <v>748</v>
      </c>
      <c r="C10836" t="s">
        <v>613</v>
      </c>
      <c r="D10836" s="230">
        <v>-2625</v>
      </c>
      <c r="E10836" t="s">
        <v>749</v>
      </c>
    </row>
    <row r="10837" spans="1:5" hidden="1" x14ac:dyDescent="0.3">
      <c r="A10837" t="s">
        <v>557</v>
      </c>
      <c r="B10837" t="s">
        <v>748</v>
      </c>
      <c r="C10837" t="s">
        <v>614</v>
      </c>
      <c r="D10837" s="230">
        <v>-6500</v>
      </c>
      <c r="E10837" t="s">
        <v>749</v>
      </c>
    </row>
    <row r="10838" spans="1:5" hidden="1" x14ac:dyDescent="0.3">
      <c r="A10838" t="s">
        <v>557</v>
      </c>
      <c r="B10838" t="s">
        <v>748</v>
      </c>
      <c r="C10838" t="s">
        <v>615</v>
      </c>
      <c r="D10838" s="230">
        <v>0</v>
      </c>
      <c r="E10838" t="s">
        <v>749</v>
      </c>
    </row>
    <row r="10839" spans="1:5" hidden="1" x14ac:dyDescent="0.3">
      <c r="A10839" t="s">
        <v>557</v>
      </c>
      <c r="B10839" t="s">
        <v>748</v>
      </c>
      <c r="C10839" t="s">
        <v>616</v>
      </c>
      <c r="D10839" s="230">
        <v>-4000</v>
      </c>
      <c r="E10839" t="s">
        <v>749</v>
      </c>
    </row>
    <row r="10840" spans="1:5" hidden="1" x14ac:dyDescent="0.3">
      <c r="A10840" t="s">
        <v>557</v>
      </c>
      <c r="B10840" t="s">
        <v>748</v>
      </c>
      <c r="C10840" t="s">
        <v>617</v>
      </c>
      <c r="D10840" s="230">
        <v>0</v>
      </c>
      <c r="E10840" t="s">
        <v>749</v>
      </c>
    </row>
    <row r="10841" spans="1:5" hidden="1" x14ac:dyDescent="0.3">
      <c r="A10841" t="s">
        <v>557</v>
      </c>
      <c r="B10841" t="s">
        <v>748</v>
      </c>
      <c r="C10841" t="s">
        <v>618</v>
      </c>
      <c r="D10841" s="230">
        <v>0</v>
      </c>
      <c r="E10841" t="s">
        <v>749</v>
      </c>
    </row>
    <row r="10842" spans="1:5" hidden="1" x14ac:dyDescent="0.3">
      <c r="A10842" t="s">
        <v>557</v>
      </c>
      <c r="B10842" t="s">
        <v>748</v>
      </c>
      <c r="C10842" t="s">
        <v>619</v>
      </c>
      <c r="D10842" s="230">
        <v>0</v>
      </c>
      <c r="E10842" t="s">
        <v>749</v>
      </c>
    </row>
    <row r="10843" spans="1:5" hidden="1" x14ac:dyDescent="0.3">
      <c r="A10843" t="s">
        <v>557</v>
      </c>
      <c r="B10843" t="s">
        <v>748</v>
      </c>
      <c r="C10843" t="s">
        <v>620</v>
      </c>
      <c r="D10843" s="230">
        <v>0</v>
      </c>
      <c r="E10843" t="s">
        <v>749</v>
      </c>
    </row>
    <row r="10844" spans="1:5" hidden="1" x14ac:dyDescent="0.3">
      <c r="A10844" t="s">
        <v>557</v>
      </c>
      <c r="B10844" t="s">
        <v>748</v>
      </c>
      <c r="C10844" t="s">
        <v>575</v>
      </c>
      <c r="D10844" s="230">
        <v>-28007.27</v>
      </c>
      <c r="E10844" t="s">
        <v>749</v>
      </c>
    </row>
    <row r="10845" spans="1:5" hidden="1" x14ac:dyDescent="0.3">
      <c r="A10845" t="s">
        <v>557</v>
      </c>
      <c r="B10845" t="s">
        <v>748</v>
      </c>
      <c r="C10845" t="s">
        <v>621</v>
      </c>
      <c r="D10845" s="230">
        <v>0</v>
      </c>
      <c r="E10845" t="s">
        <v>749</v>
      </c>
    </row>
    <row r="10846" spans="1:5" hidden="1" x14ac:dyDescent="0.3">
      <c r="A10846" t="s">
        <v>557</v>
      </c>
      <c r="B10846" t="s">
        <v>748</v>
      </c>
      <c r="C10846" t="s">
        <v>622</v>
      </c>
      <c r="D10846" s="230">
        <v>0</v>
      </c>
      <c r="E10846" t="s">
        <v>749</v>
      </c>
    </row>
    <row r="10847" spans="1:5" hidden="1" x14ac:dyDescent="0.3">
      <c r="A10847" t="s">
        <v>557</v>
      </c>
      <c r="B10847" t="s">
        <v>748</v>
      </c>
      <c r="C10847" t="s">
        <v>623</v>
      </c>
      <c r="D10847" s="230">
        <v>0</v>
      </c>
      <c r="E10847" t="s">
        <v>749</v>
      </c>
    </row>
    <row r="10848" spans="1:5" hidden="1" x14ac:dyDescent="0.3">
      <c r="A10848" t="s">
        <v>557</v>
      </c>
      <c r="B10848" t="s">
        <v>748</v>
      </c>
      <c r="C10848" t="s">
        <v>624</v>
      </c>
      <c r="D10848" s="230">
        <v>0</v>
      </c>
      <c r="E10848" t="s">
        <v>749</v>
      </c>
    </row>
    <row r="10849" spans="1:5" hidden="1" x14ac:dyDescent="0.3">
      <c r="A10849" t="s">
        <v>557</v>
      </c>
      <c r="B10849" t="s">
        <v>748</v>
      </c>
      <c r="C10849" t="s">
        <v>625</v>
      </c>
      <c r="D10849" s="230">
        <v>0</v>
      </c>
      <c r="E10849" t="s">
        <v>749</v>
      </c>
    </row>
    <row r="10850" spans="1:5" hidden="1" x14ac:dyDescent="0.3">
      <c r="A10850" t="s">
        <v>557</v>
      </c>
      <c r="B10850" t="s">
        <v>748</v>
      </c>
      <c r="C10850" t="s">
        <v>626</v>
      </c>
      <c r="D10850" s="230">
        <v>0</v>
      </c>
      <c r="E10850" t="s">
        <v>749</v>
      </c>
    </row>
    <row r="10851" spans="1:5" hidden="1" x14ac:dyDescent="0.3">
      <c r="A10851" t="s">
        <v>557</v>
      </c>
      <c r="B10851" t="s">
        <v>748</v>
      </c>
      <c r="C10851" t="s">
        <v>627</v>
      </c>
      <c r="D10851" s="230">
        <v>0</v>
      </c>
      <c r="E10851" t="s">
        <v>749</v>
      </c>
    </row>
    <row r="10852" spans="1:5" hidden="1" x14ac:dyDescent="0.3">
      <c r="A10852" t="s">
        <v>557</v>
      </c>
      <c r="B10852" t="s">
        <v>748</v>
      </c>
      <c r="C10852" t="s">
        <v>628</v>
      </c>
      <c r="D10852" s="230">
        <v>0</v>
      </c>
      <c r="E10852" t="s">
        <v>749</v>
      </c>
    </row>
    <row r="10853" spans="1:5" hidden="1" x14ac:dyDescent="0.3">
      <c r="A10853" t="s">
        <v>557</v>
      </c>
      <c r="B10853" t="s">
        <v>748</v>
      </c>
      <c r="C10853" t="s">
        <v>629</v>
      </c>
      <c r="D10853" s="230">
        <v>0</v>
      </c>
      <c r="E10853" t="s">
        <v>749</v>
      </c>
    </row>
    <row r="10854" spans="1:5" hidden="1" x14ac:dyDescent="0.3">
      <c r="A10854" t="s">
        <v>557</v>
      </c>
      <c r="B10854" t="s">
        <v>748</v>
      </c>
      <c r="C10854" t="s">
        <v>630</v>
      </c>
      <c r="D10854" s="230">
        <v>0</v>
      </c>
      <c r="E10854" t="s">
        <v>749</v>
      </c>
    </row>
    <row r="10855" spans="1:5" hidden="1" x14ac:dyDescent="0.3">
      <c r="A10855" t="s">
        <v>557</v>
      </c>
      <c r="B10855" t="s">
        <v>748</v>
      </c>
      <c r="C10855" t="s">
        <v>631</v>
      </c>
      <c r="D10855" s="230">
        <v>0</v>
      </c>
      <c r="E10855" t="s">
        <v>749</v>
      </c>
    </row>
    <row r="10856" spans="1:5" hidden="1" x14ac:dyDescent="0.3">
      <c r="A10856" t="s">
        <v>557</v>
      </c>
      <c r="B10856" t="s">
        <v>748</v>
      </c>
      <c r="C10856" t="s">
        <v>632</v>
      </c>
      <c r="D10856" s="230">
        <v>0</v>
      </c>
      <c r="E10856" t="s">
        <v>749</v>
      </c>
    </row>
    <row r="10857" spans="1:5" hidden="1" x14ac:dyDescent="0.3">
      <c r="A10857" t="s">
        <v>557</v>
      </c>
      <c r="B10857" t="s">
        <v>748</v>
      </c>
      <c r="C10857" t="s">
        <v>633</v>
      </c>
      <c r="D10857" s="230">
        <v>0</v>
      </c>
      <c r="E10857" t="s">
        <v>749</v>
      </c>
    </row>
    <row r="10858" spans="1:5" hidden="1" x14ac:dyDescent="0.3">
      <c r="A10858" t="s">
        <v>557</v>
      </c>
      <c r="B10858" t="s">
        <v>748</v>
      </c>
      <c r="C10858" t="s">
        <v>634</v>
      </c>
      <c r="D10858" s="230">
        <v>0</v>
      </c>
      <c r="E10858" t="s">
        <v>749</v>
      </c>
    </row>
    <row r="10859" spans="1:5" hidden="1" x14ac:dyDescent="0.3">
      <c r="A10859" t="s">
        <v>557</v>
      </c>
      <c r="B10859" t="s">
        <v>748</v>
      </c>
      <c r="C10859" t="s">
        <v>635</v>
      </c>
      <c r="D10859" s="230">
        <v>0</v>
      </c>
      <c r="E10859" t="s">
        <v>749</v>
      </c>
    </row>
    <row r="10860" spans="1:5" hidden="1" x14ac:dyDescent="0.3">
      <c r="A10860" t="s">
        <v>557</v>
      </c>
      <c r="B10860" t="s">
        <v>748</v>
      </c>
      <c r="C10860" t="s">
        <v>636</v>
      </c>
      <c r="D10860" s="230">
        <v>0</v>
      </c>
      <c r="E10860" t="s">
        <v>749</v>
      </c>
    </row>
    <row r="10861" spans="1:5" hidden="1" x14ac:dyDescent="0.3">
      <c r="A10861" t="s">
        <v>557</v>
      </c>
      <c r="B10861" t="s">
        <v>748</v>
      </c>
      <c r="C10861" t="s">
        <v>637</v>
      </c>
      <c r="D10861" s="230">
        <v>0</v>
      </c>
      <c r="E10861" t="s">
        <v>749</v>
      </c>
    </row>
    <row r="10862" spans="1:5" hidden="1" x14ac:dyDescent="0.3">
      <c r="A10862" t="s">
        <v>557</v>
      </c>
      <c r="B10862" t="s">
        <v>748</v>
      </c>
      <c r="C10862" t="s">
        <v>638</v>
      </c>
      <c r="D10862" s="230">
        <v>0</v>
      </c>
      <c r="E10862" t="s">
        <v>749</v>
      </c>
    </row>
    <row r="10863" spans="1:5" hidden="1" x14ac:dyDescent="0.3">
      <c r="A10863" t="s">
        <v>557</v>
      </c>
      <c r="B10863" t="s">
        <v>748</v>
      </c>
      <c r="C10863" t="s">
        <v>639</v>
      </c>
      <c r="D10863" s="230">
        <v>0</v>
      </c>
      <c r="E10863" t="s">
        <v>749</v>
      </c>
    </row>
    <row r="10864" spans="1:5" hidden="1" x14ac:dyDescent="0.3">
      <c r="A10864" t="s">
        <v>557</v>
      </c>
      <c r="B10864" t="s">
        <v>748</v>
      </c>
      <c r="C10864" t="s">
        <v>640</v>
      </c>
      <c r="D10864" s="230">
        <v>0</v>
      </c>
      <c r="E10864" t="s">
        <v>749</v>
      </c>
    </row>
    <row r="10865" spans="1:5" hidden="1" x14ac:dyDescent="0.3">
      <c r="A10865" t="s">
        <v>557</v>
      </c>
      <c r="B10865" t="s">
        <v>748</v>
      </c>
      <c r="C10865" t="s">
        <v>641</v>
      </c>
      <c r="D10865" s="230">
        <v>0</v>
      </c>
      <c r="E10865" t="s">
        <v>749</v>
      </c>
    </row>
    <row r="10866" spans="1:5" hidden="1" x14ac:dyDescent="0.3">
      <c r="A10866" t="s">
        <v>557</v>
      </c>
      <c r="B10866" t="s">
        <v>748</v>
      </c>
      <c r="C10866" t="s">
        <v>642</v>
      </c>
      <c r="D10866" s="230">
        <v>0</v>
      </c>
      <c r="E10866" t="s">
        <v>749</v>
      </c>
    </row>
    <row r="10867" spans="1:5" hidden="1" x14ac:dyDescent="0.3">
      <c r="A10867" t="s">
        <v>557</v>
      </c>
      <c r="B10867" t="s">
        <v>748</v>
      </c>
      <c r="C10867" t="s">
        <v>643</v>
      </c>
      <c r="D10867" s="230">
        <v>0</v>
      </c>
      <c r="E10867" t="s">
        <v>749</v>
      </c>
    </row>
    <row r="10868" spans="1:5" hidden="1" x14ac:dyDescent="0.3">
      <c r="A10868" t="s">
        <v>557</v>
      </c>
      <c r="B10868" t="s">
        <v>748</v>
      </c>
      <c r="C10868" t="s">
        <v>644</v>
      </c>
      <c r="D10868" s="230">
        <v>0</v>
      </c>
      <c r="E10868" t="s">
        <v>749</v>
      </c>
    </row>
    <row r="10869" spans="1:5" hidden="1" x14ac:dyDescent="0.3">
      <c r="A10869" t="s">
        <v>557</v>
      </c>
      <c r="B10869" t="s">
        <v>748</v>
      </c>
      <c r="C10869" t="s">
        <v>645</v>
      </c>
      <c r="D10869" s="230">
        <v>0</v>
      </c>
      <c r="E10869" t="s">
        <v>749</v>
      </c>
    </row>
    <row r="10870" spans="1:5" hidden="1" x14ac:dyDescent="0.3">
      <c r="A10870" t="s">
        <v>557</v>
      </c>
      <c r="B10870" t="s">
        <v>748</v>
      </c>
      <c r="C10870" t="s">
        <v>646</v>
      </c>
      <c r="D10870" s="230">
        <v>0</v>
      </c>
      <c r="E10870" t="s">
        <v>749</v>
      </c>
    </row>
    <row r="10871" spans="1:5" hidden="1" x14ac:dyDescent="0.3">
      <c r="A10871" t="s">
        <v>557</v>
      </c>
      <c r="B10871" t="s">
        <v>748</v>
      </c>
      <c r="C10871" t="s">
        <v>647</v>
      </c>
      <c r="D10871" s="230">
        <v>0</v>
      </c>
      <c r="E10871" t="s">
        <v>749</v>
      </c>
    </row>
    <row r="10872" spans="1:5" hidden="1" x14ac:dyDescent="0.3">
      <c r="A10872" t="s">
        <v>557</v>
      </c>
      <c r="B10872" t="s">
        <v>748</v>
      </c>
      <c r="C10872" t="s">
        <v>648</v>
      </c>
      <c r="D10872" s="230">
        <v>0</v>
      </c>
      <c r="E10872" t="s">
        <v>749</v>
      </c>
    </row>
    <row r="10873" spans="1:5" hidden="1" x14ac:dyDescent="0.3">
      <c r="A10873" t="s">
        <v>557</v>
      </c>
      <c r="B10873" t="s">
        <v>748</v>
      </c>
      <c r="C10873" t="s">
        <v>649</v>
      </c>
      <c r="D10873" s="230">
        <v>0</v>
      </c>
      <c r="E10873" t="s">
        <v>749</v>
      </c>
    </row>
    <row r="10874" spans="1:5" hidden="1" x14ac:dyDescent="0.3">
      <c r="A10874" t="s">
        <v>557</v>
      </c>
      <c r="B10874" t="s">
        <v>748</v>
      </c>
      <c r="C10874" t="s">
        <v>650</v>
      </c>
      <c r="D10874" s="230">
        <v>0</v>
      </c>
      <c r="E10874" t="s">
        <v>749</v>
      </c>
    </row>
    <row r="10875" spans="1:5" hidden="1" x14ac:dyDescent="0.3">
      <c r="A10875" t="s">
        <v>557</v>
      </c>
      <c r="B10875" t="s">
        <v>748</v>
      </c>
      <c r="C10875" t="s">
        <v>651</v>
      </c>
      <c r="D10875" s="230">
        <v>0</v>
      </c>
      <c r="E10875" t="s">
        <v>749</v>
      </c>
    </row>
    <row r="10876" spans="1:5" hidden="1" x14ac:dyDescent="0.3">
      <c r="A10876" t="s">
        <v>557</v>
      </c>
      <c r="B10876" t="s">
        <v>748</v>
      </c>
      <c r="C10876" t="s">
        <v>652</v>
      </c>
      <c r="D10876" s="230">
        <v>0</v>
      </c>
      <c r="E10876" t="s">
        <v>749</v>
      </c>
    </row>
    <row r="10877" spans="1:5" hidden="1" x14ac:dyDescent="0.3">
      <c r="A10877" t="s">
        <v>557</v>
      </c>
      <c r="B10877" t="s">
        <v>748</v>
      </c>
      <c r="C10877" t="s">
        <v>653</v>
      </c>
      <c r="D10877" s="230">
        <v>0</v>
      </c>
      <c r="E10877" t="s">
        <v>749</v>
      </c>
    </row>
    <row r="10878" spans="1:5" hidden="1" x14ac:dyDescent="0.3">
      <c r="A10878" t="s">
        <v>557</v>
      </c>
      <c r="B10878" t="s">
        <v>748</v>
      </c>
      <c r="C10878" t="s">
        <v>654</v>
      </c>
      <c r="D10878" s="230">
        <v>0</v>
      </c>
      <c r="E10878" t="s">
        <v>749</v>
      </c>
    </row>
    <row r="10879" spans="1:5" hidden="1" x14ac:dyDescent="0.3">
      <c r="A10879" t="s">
        <v>557</v>
      </c>
      <c r="B10879" t="s">
        <v>748</v>
      </c>
      <c r="C10879" t="s">
        <v>655</v>
      </c>
      <c r="D10879" s="230">
        <v>0</v>
      </c>
      <c r="E10879" t="s">
        <v>749</v>
      </c>
    </row>
    <row r="10880" spans="1:5" hidden="1" x14ac:dyDescent="0.3">
      <c r="A10880" t="s">
        <v>557</v>
      </c>
      <c r="B10880" t="s">
        <v>748</v>
      </c>
      <c r="C10880" t="s">
        <v>656</v>
      </c>
      <c r="D10880" s="230">
        <v>0</v>
      </c>
      <c r="E10880" t="s">
        <v>749</v>
      </c>
    </row>
    <row r="10881" spans="1:5" hidden="1" x14ac:dyDescent="0.3">
      <c r="A10881" t="s">
        <v>557</v>
      </c>
      <c r="B10881" t="s">
        <v>748</v>
      </c>
      <c r="C10881" t="s">
        <v>657</v>
      </c>
      <c r="D10881" s="230">
        <v>0</v>
      </c>
      <c r="E10881" t="s">
        <v>749</v>
      </c>
    </row>
    <row r="10882" spans="1:5" hidden="1" x14ac:dyDescent="0.3">
      <c r="A10882" t="s">
        <v>557</v>
      </c>
      <c r="B10882" t="s">
        <v>748</v>
      </c>
      <c r="C10882" t="s">
        <v>658</v>
      </c>
      <c r="D10882" s="230">
        <v>0</v>
      </c>
      <c r="E10882" t="s">
        <v>749</v>
      </c>
    </row>
    <row r="10883" spans="1:5" hidden="1" x14ac:dyDescent="0.3">
      <c r="A10883" t="s">
        <v>557</v>
      </c>
      <c r="B10883" t="s">
        <v>748</v>
      </c>
      <c r="C10883" t="s">
        <v>659</v>
      </c>
      <c r="D10883" s="230">
        <v>0</v>
      </c>
      <c r="E10883" t="s">
        <v>749</v>
      </c>
    </row>
    <row r="10884" spans="1:5" hidden="1" x14ac:dyDescent="0.3">
      <c r="A10884" t="s">
        <v>557</v>
      </c>
      <c r="B10884" t="s">
        <v>748</v>
      </c>
      <c r="C10884" t="s">
        <v>660</v>
      </c>
      <c r="D10884" s="230">
        <v>0</v>
      </c>
      <c r="E10884" t="s">
        <v>749</v>
      </c>
    </row>
    <row r="10885" spans="1:5" hidden="1" x14ac:dyDescent="0.3">
      <c r="A10885" t="s">
        <v>557</v>
      </c>
      <c r="B10885" t="s">
        <v>748</v>
      </c>
      <c r="C10885" t="s">
        <v>661</v>
      </c>
      <c r="D10885" s="230">
        <v>0</v>
      </c>
      <c r="E10885" t="s">
        <v>749</v>
      </c>
    </row>
    <row r="10886" spans="1:5" hidden="1" x14ac:dyDescent="0.3">
      <c r="A10886" t="s">
        <v>557</v>
      </c>
      <c r="B10886" t="s">
        <v>748</v>
      </c>
      <c r="C10886" t="s">
        <v>662</v>
      </c>
      <c r="D10886" s="230">
        <v>0</v>
      </c>
      <c r="E10886" t="s">
        <v>749</v>
      </c>
    </row>
    <row r="10887" spans="1:5" hidden="1" x14ac:dyDescent="0.3">
      <c r="A10887" t="s">
        <v>557</v>
      </c>
      <c r="B10887" t="s">
        <v>748</v>
      </c>
      <c r="C10887" t="s">
        <v>663</v>
      </c>
      <c r="D10887" s="230">
        <v>0</v>
      </c>
      <c r="E10887" t="s">
        <v>749</v>
      </c>
    </row>
    <row r="10888" spans="1:5" hidden="1" x14ac:dyDescent="0.3">
      <c r="A10888" t="s">
        <v>557</v>
      </c>
      <c r="B10888" t="s">
        <v>748</v>
      </c>
      <c r="C10888" t="s">
        <v>664</v>
      </c>
      <c r="D10888" s="230">
        <v>0</v>
      </c>
      <c r="E10888" t="s">
        <v>749</v>
      </c>
    </row>
    <row r="10889" spans="1:5" hidden="1" x14ac:dyDescent="0.3">
      <c r="A10889" t="s">
        <v>557</v>
      </c>
      <c r="B10889" t="s">
        <v>748</v>
      </c>
      <c r="C10889" t="s">
        <v>665</v>
      </c>
      <c r="D10889" s="230">
        <v>0</v>
      </c>
      <c r="E10889" t="s">
        <v>749</v>
      </c>
    </row>
    <row r="10890" spans="1:5" hidden="1" x14ac:dyDescent="0.3">
      <c r="A10890" t="s">
        <v>557</v>
      </c>
      <c r="B10890" t="s">
        <v>748</v>
      </c>
      <c r="C10890" t="s">
        <v>666</v>
      </c>
      <c r="D10890" s="230">
        <v>0</v>
      </c>
      <c r="E10890" t="s">
        <v>749</v>
      </c>
    </row>
    <row r="10891" spans="1:5" hidden="1" x14ac:dyDescent="0.3">
      <c r="A10891" t="s">
        <v>557</v>
      </c>
      <c r="B10891" t="s">
        <v>748</v>
      </c>
      <c r="C10891" t="s">
        <v>667</v>
      </c>
      <c r="D10891" s="230">
        <v>0</v>
      </c>
      <c r="E10891" t="s">
        <v>749</v>
      </c>
    </row>
    <row r="10892" spans="1:5" hidden="1" x14ac:dyDescent="0.3">
      <c r="A10892" t="s">
        <v>557</v>
      </c>
      <c r="B10892" t="s">
        <v>748</v>
      </c>
      <c r="C10892" t="s">
        <v>668</v>
      </c>
      <c r="D10892" s="230">
        <v>0</v>
      </c>
      <c r="E10892" t="s">
        <v>749</v>
      </c>
    </row>
    <row r="10893" spans="1:5" hidden="1" x14ac:dyDescent="0.3">
      <c r="A10893" t="s">
        <v>557</v>
      </c>
      <c r="B10893" t="s">
        <v>748</v>
      </c>
      <c r="C10893" t="s">
        <v>669</v>
      </c>
      <c r="D10893" s="230">
        <v>0</v>
      </c>
      <c r="E10893" t="s">
        <v>749</v>
      </c>
    </row>
    <row r="10894" spans="1:5" hidden="1" x14ac:dyDescent="0.3">
      <c r="A10894" t="s">
        <v>557</v>
      </c>
      <c r="B10894" t="s">
        <v>748</v>
      </c>
      <c r="C10894" t="s">
        <v>670</v>
      </c>
      <c r="D10894" s="230">
        <v>0</v>
      </c>
      <c r="E10894" t="s">
        <v>749</v>
      </c>
    </row>
    <row r="10895" spans="1:5" hidden="1" x14ac:dyDescent="0.3">
      <c r="A10895" t="s">
        <v>557</v>
      </c>
      <c r="B10895" t="s">
        <v>748</v>
      </c>
      <c r="C10895" t="s">
        <v>671</v>
      </c>
      <c r="D10895" s="230">
        <v>0</v>
      </c>
      <c r="E10895" t="s">
        <v>749</v>
      </c>
    </row>
    <row r="10896" spans="1:5" hidden="1" x14ac:dyDescent="0.3">
      <c r="A10896" t="s">
        <v>557</v>
      </c>
      <c r="B10896" t="s">
        <v>748</v>
      </c>
      <c r="C10896" t="s">
        <v>672</v>
      </c>
      <c r="D10896" s="230">
        <v>0</v>
      </c>
      <c r="E10896" t="s">
        <v>749</v>
      </c>
    </row>
    <row r="10897" spans="1:5" hidden="1" x14ac:dyDescent="0.3">
      <c r="A10897" t="s">
        <v>557</v>
      </c>
      <c r="B10897" t="s">
        <v>748</v>
      </c>
      <c r="C10897" t="s">
        <v>673</v>
      </c>
      <c r="D10897" s="230">
        <v>0</v>
      </c>
      <c r="E10897" t="s">
        <v>749</v>
      </c>
    </row>
    <row r="10898" spans="1:5" hidden="1" x14ac:dyDescent="0.3">
      <c r="A10898" t="s">
        <v>557</v>
      </c>
      <c r="B10898" t="s">
        <v>748</v>
      </c>
      <c r="C10898" t="s">
        <v>674</v>
      </c>
      <c r="D10898" s="230">
        <v>0</v>
      </c>
      <c r="E10898" t="s">
        <v>749</v>
      </c>
    </row>
    <row r="10899" spans="1:5" hidden="1" x14ac:dyDescent="0.3">
      <c r="A10899" t="s">
        <v>557</v>
      </c>
      <c r="B10899" t="s">
        <v>748</v>
      </c>
      <c r="C10899" t="s">
        <v>675</v>
      </c>
      <c r="D10899" s="230">
        <v>0</v>
      </c>
      <c r="E10899" t="s">
        <v>749</v>
      </c>
    </row>
    <row r="10900" spans="1:5" hidden="1" x14ac:dyDescent="0.3">
      <c r="A10900" t="s">
        <v>557</v>
      </c>
      <c r="B10900" t="s">
        <v>748</v>
      </c>
      <c r="C10900" t="s">
        <v>676</v>
      </c>
      <c r="D10900" s="230">
        <v>0</v>
      </c>
      <c r="E10900" t="s">
        <v>749</v>
      </c>
    </row>
    <row r="10901" spans="1:5" hidden="1" x14ac:dyDescent="0.3">
      <c r="A10901" t="s">
        <v>557</v>
      </c>
      <c r="B10901" t="s">
        <v>748</v>
      </c>
      <c r="C10901" t="s">
        <v>677</v>
      </c>
      <c r="D10901" s="230">
        <v>0</v>
      </c>
      <c r="E10901" t="s">
        <v>749</v>
      </c>
    </row>
    <row r="10902" spans="1:5" hidden="1" x14ac:dyDescent="0.3">
      <c r="A10902" t="s">
        <v>557</v>
      </c>
      <c r="B10902" t="s">
        <v>748</v>
      </c>
      <c r="C10902" t="s">
        <v>201</v>
      </c>
      <c r="D10902" s="230">
        <v>-12193.5</v>
      </c>
      <c r="E10902" t="s">
        <v>749</v>
      </c>
    </row>
    <row r="10903" spans="1:5" hidden="1" x14ac:dyDescent="0.3">
      <c r="A10903" t="s">
        <v>557</v>
      </c>
      <c r="B10903" t="s">
        <v>748</v>
      </c>
      <c r="C10903" t="s">
        <v>203</v>
      </c>
      <c r="D10903" s="230">
        <v>-12193.5</v>
      </c>
      <c r="E10903" t="s">
        <v>749</v>
      </c>
    </row>
    <row r="10904" spans="1:5" hidden="1" x14ac:dyDescent="0.3">
      <c r="A10904" t="s">
        <v>557</v>
      </c>
      <c r="B10904" t="s">
        <v>748</v>
      </c>
      <c r="C10904" t="s">
        <v>678</v>
      </c>
      <c r="D10904" s="230">
        <v>6096.75</v>
      </c>
      <c r="E10904" t="s">
        <v>749</v>
      </c>
    </row>
    <row r="10905" spans="1:5" hidden="1" x14ac:dyDescent="0.3">
      <c r="A10905" t="s">
        <v>557</v>
      </c>
      <c r="B10905" t="s">
        <v>748</v>
      </c>
      <c r="C10905" t="s">
        <v>205</v>
      </c>
      <c r="D10905" s="230">
        <v>-36773.06</v>
      </c>
      <c r="E10905" t="s">
        <v>749</v>
      </c>
    </row>
    <row r="10906" spans="1:5" hidden="1" x14ac:dyDescent="0.3">
      <c r="A10906" t="s">
        <v>557</v>
      </c>
      <c r="B10906" t="s">
        <v>748</v>
      </c>
      <c r="C10906" t="s">
        <v>679</v>
      </c>
      <c r="D10906" s="230">
        <v>-4854.09</v>
      </c>
      <c r="E10906" t="s">
        <v>749</v>
      </c>
    </row>
    <row r="10907" spans="1:5" hidden="1" x14ac:dyDescent="0.3">
      <c r="A10907" t="s">
        <v>557</v>
      </c>
      <c r="B10907" t="s">
        <v>748</v>
      </c>
      <c r="C10907" t="s">
        <v>680</v>
      </c>
      <c r="D10907" s="230">
        <v>0</v>
      </c>
      <c r="E10907" t="s">
        <v>749</v>
      </c>
    </row>
    <row r="10908" spans="1:5" hidden="1" x14ac:dyDescent="0.3">
      <c r="A10908" t="s">
        <v>557</v>
      </c>
      <c r="B10908" t="s">
        <v>748</v>
      </c>
      <c r="C10908" t="s">
        <v>681</v>
      </c>
      <c r="D10908" s="230">
        <v>-6517.91</v>
      </c>
      <c r="E10908" t="s">
        <v>749</v>
      </c>
    </row>
    <row r="10909" spans="1:5" hidden="1" x14ac:dyDescent="0.3">
      <c r="A10909" t="s">
        <v>557</v>
      </c>
      <c r="B10909" t="s">
        <v>748</v>
      </c>
      <c r="C10909" t="s">
        <v>682</v>
      </c>
      <c r="D10909" s="230">
        <v>-2474.63</v>
      </c>
      <c r="E10909" t="s">
        <v>749</v>
      </c>
    </row>
    <row r="10910" spans="1:5" hidden="1" x14ac:dyDescent="0.3">
      <c r="A10910" t="s">
        <v>557</v>
      </c>
      <c r="B10910" t="s">
        <v>748</v>
      </c>
      <c r="C10910" t="s">
        <v>683</v>
      </c>
      <c r="D10910" s="230">
        <v>0</v>
      </c>
      <c r="E10910" t="s">
        <v>749</v>
      </c>
    </row>
    <row r="10911" spans="1:5" hidden="1" x14ac:dyDescent="0.3">
      <c r="A10911" t="s">
        <v>557</v>
      </c>
      <c r="B10911" t="s">
        <v>748</v>
      </c>
      <c r="C10911" t="s">
        <v>684</v>
      </c>
      <c r="D10911" s="230">
        <v>0</v>
      </c>
      <c r="E10911" t="s">
        <v>749</v>
      </c>
    </row>
    <row r="10912" spans="1:5" hidden="1" x14ac:dyDescent="0.3">
      <c r="A10912" t="s">
        <v>557</v>
      </c>
      <c r="B10912" t="s">
        <v>748</v>
      </c>
      <c r="C10912" t="s">
        <v>685</v>
      </c>
      <c r="D10912" s="230">
        <v>0</v>
      </c>
      <c r="E10912" t="s">
        <v>749</v>
      </c>
    </row>
    <row r="10913" spans="1:5" hidden="1" x14ac:dyDescent="0.3">
      <c r="A10913" t="s">
        <v>557</v>
      </c>
      <c r="B10913" t="s">
        <v>748</v>
      </c>
      <c r="C10913" t="s">
        <v>686</v>
      </c>
      <c r="D10913" s="230">
        <v>-272.20999999999998</v>
      </c>
      <c r="E10913" t="s">
        <v>749</v>
      </c>
    </row>
    <row r="10914" spans="1:5" hidden="1" x14ac:dyDescent="0.3">
      <c r="A10914" t="s">
        <v>557</v>
      </c>
      <c r="B10914" t="s">
        <v>748</v>
      </c>
      <c r="C10914" t="s">
        <v>687</v>
      </c>
      <c r="D10914" s="230">
        <v>0</v>
      </c>
      <c r="E10914" t="s">
        <v>749</v>
      </c>
    </row>
    <row r="10915" spans="1:5" hidden="1" x14ac:dyDescent="0.3">
      <c r="A10915" t="s">
        <v>557</v>
      </c>
      <c r="B10915" t="s">
        <v>748</v>
      </c>
      <c r="C10915" t="s">
        <v>688</v>
      </c>
      <c r="D10915" s="230">
        <v>-16699.5</v>
      </c>
      <c r="E10915" t="s">
        <v>749</v>
      </c>
    </row>
    <row r="10916" spans="1:5" hidden="1" x14ac:dyDescent="0.3">
      <c r="A10916" t="s">
        <v>557</v>
      </c>
      <c r="B10916" t="s">
        <v>748</v>
      </c>
      <c r="C10916" t="s">
        <v>689</v>
      </c>
      <c r="D10916" s="230">
        <v>-4315.87</v>
      </c>
      <c r="E10916" t="s">
        <v>749</v>
      </c>
    </row>
    <row r="10917" spans="1:5" hidden="1" x14ac:dyDescent="0.3">
      <c r="A10917" t="s">
        <v>557</v>
      </c>
      <c r="B10917" t="s">
        <v>748</v>
      </c>
      <c r="C10917" t="s">
        <v>690</v>
      </c>
      <c r="D10917" s="230">
        <v>0</v>
      </c>
      <c r="E10917" t="s">
        <v>749</v>
      </c>
    </row>
    <row r="10918" spans="1:5" hidden="1" x14ac:dyDescent="0.3">
      <c r="A10918" t="s">
        <v>557</v>
      </c>
      <c r="B10918" t="s">
        <v>748</v>
      </c>
      <c r="C10918" t="s">
        <v>691</v>
      </c>
      <c r="D10918" s="230">
        <v>0</v>
      </c>
      <c r="E10918" t="s">
        <v>749</v>
      </c>
    </row>
    <row r="10919" spans="1:5" hidden="1" x14ac:dyDescent="0.3">
      <c r="A10919" t="s">
        <v>557</v>
      </c>
      <c r="B10919" t="s">
        <v>748</v>
      </c>
      <c r="C10919" t="s">
        <v>692</v>
      </c>
      <c r="D10919" s="230">
        <v>-1638.85</v>
      </c>
      <c r="E10919" t="s">
        <v>749</v>
      </c>
    </row>
    <row r="10920" spans="1:5" hidden="1" x14ac:dyDescent="0.3">
      <c r="A10920" t="s">
        <v>557</v>
      </c>
      <c r="B10920" t="s">
        <v>748</v>
      </c>
      <c r="C10920" t="s">
        <v>693</v>
      </c>
      <c r="D10920" s="230">
        <v>0</v>
      </c>
      <c r="E10920" t="s">
        <v>749</v>
      </c>
    </row>
    <row r="10921" spans="1:5" hidden="1" x14ac:dyDescent="0.3">
      <c r="A10921" t="s">
        <v>557</v>
      </c>
      <c r="B10921" t="s">
        <v>748</v>
      </c>
      <c r="C10921" t="s">
        <v>694</v>
      </c>
      <c r="D10921" s="230">
        <v>0</v>
      </c>
      <c r="E10921" t="s">
        <v>749</v>
      </c>
    </row>
    <row r="10922" spans="1:5" hidden="1" x14ac:dyDescent="0.3">
      <c r="A10922" t="s">
        <v>557</v>
      </c>
      <c r="B10922" t="s">
        <v>748</v>
      </c>
      <c r="C10922" t="s">
        <v>238</v>
      </c>
      <c r="D10922" s="230">
        <v>-8029.41</v>
      </c>
      <c r="E10922" t="s">
        <v>749</v>
      </c>
    </row>
    <row r="10923" spans="1:5" hidden="1" x14ac:dyDescent="0.3">
      <c r="A10923" t="s">
        <v>557</v>
      </c>
      <c r="B10923" t="s">
        <v>748</v>
      </c>
      <c r="C10923" t="s">
        <v>695</v>
      </c>
      <c r="D10923" s="230">
        <v>-6160.07</v>
      </c>
      <c r="E10923" t="s">
        <v>749</v>
      </c>
    </row>
    <row r="10924" spans="1:5" hidden="1" x14ac:dyDescent="0.3">
      <c r="A10924" t="s">
        <v>557</v>
      </c>
      <c r="B10924" t="s">
        <v>748</v>
      </c>
      <c r="C10924" t="s">
        <v>696</v>
      </c>
      <c r="D10924" s="230">
        <v>-1634</v>
      </c>
      <c r="E10924" t="s">
        <v>749</v>
      </c>
    </row>
    <row r="10925" spans="1:5" hidden="1" x14ac:dyDescent="0.3">
      <c r="A10925" t="s">
        <v>557</v>
      </c>
      <c r="B10925" t="s">
        <v>748</v>
      </c>
      <c r="C10925" t="s">
        <v>697</v>
      </c>
      <c r="D10925" s="230">
        <v>0</v>
      </c>
      <c r="E10925" t="s">
        <v>749</v>
      </c>
    </row>
    <row r="10926" spans="1:5" hidden="1" x14ac:dyDescent="0.3">
      <c r="A10926" t="s">
        <v>557</v>
      </c>
      <c r="B10926" t="s">
        <v>748</v>
      </c>
      <c r="C10926" t="s">
        <v>698</v>
      </c>
      <c r="D10926" s="230">
        <v>-235.34</v>
      </c>
      <c r="E10926" t="s">
        <v>749</v>
      </c>
    </row>
    <row r="10927" spans="1:5" hidden="1" x14ac:dyDescent="0.3">
      <c r="A10927" t="s">
        <v>557</v>
      </c>
      <c r="B10927" t="s">
        <v>748</v>
      </c>
      <c r="C10927" t="s">
        <v>699</v>
      </c>
      <c r="D10927" s="230">
        <v>0</v>
      </c>
      <c r="E10927" t="s">
        <v>749</v>
      </c>
    </row>
    <row r="10928" spans="1:5" hidden="1" x14ac:dyDescent="0.3">
      <c r="A10928" t="s">
        <v>557</v>
      </c>
      <c r="B10928" t="s">
        <v>748</v>
      </c>
      <c r="C10928" t="s">
        <v>245</v>
      </c>
      <c r="D10928" s="230">
        <v>-18515.189999999999</v>
      </c>
      <c r="E10928" t="s">
        <v>749</v>
      </c>
    </row>
    <row r="10929" spans="1:5" hidden="1" x14ac:dyDescent="0.3">
      <c r="A10929" t="s">
        <v>557</v>
      </c>
      <c r="B10929" t="s">
        <v>748</v>
      </c>
      <c r="C10929" t="s">
        <v>700</v>
      </c>
      <c r="D10929" s="230">
        <v>0</v>
      </c>
      <c r="E10929" t="s">
        <v>749</v>
      </c>
    </row>
    <row r="10930" spans="1:5" hidden="1" x14ac:dyDescent="0.3">
      <c r="A10930" t="s">
        <v>557</v>
      </c>
      <c r="B10930" t="s">
        <v>748</v>
      </c>
      <c r="C10930" t="s">
        <v>701</v>
      </c>
      <c r="D10930" s="230">
        <v>-384.86</v>
      </c>
      <c r="E10930" t="s">
        <v>749</v>
      </c>
    </row>
    <row r="10931" spans="1:5" hidden="1" x14ac:dyDescent="0.3">
      <c r="A10931" t="s">
        <v>557</v>
      </c>
      <c r="B10931" t="s">
        <v>748</v>
      </c>
      <c r="C10931" t="s">
        <v>702</v>
      </c>
      <c r="D10931" s="230">
        <v>0</v>
      </c>
      <c r="E10931" t="s">
        <v>749</v>
      </c>
    </row>
    <row r="10932" spans="1:5" hidden="1" x14ac:dyDescent="0.3">
      <c r="A10932" t="s">
        <v>557</v>
      </c>
      <c r="B10932" t="s">
        <v>748</v>
      </c>
      <c r="C10932" t="s">
        <v>703</v>
      </c>
      <c r="D10932" s="230">
        <v>-2700</v>
      </c>
      <c r="E10932" t="s">
        <v>749</v>
      </c>
    </row>
    <row r="10933" spans="1:5" hidden="1" x14ac:dyDescent="0.3">
      <c r="A10933" t="s">
        <v>557</v>
      </c>
      <c r="B10933" t="s">
        <v>748</v>
      </c>
      <c r="C10933" t="s">
        <v>704</v>
      </c>
      <c r="D10933" s="230">
        <v>0</v>
      </c>
      <c r="E10933" t="s">
        <v>749</v>
      </c>
    </row>
    <row r="10934" spans="1:5" hidden="1" x14ac:dyDescent="0.3">
      <c r="A10934" t="s">
        <v>557</v>
      </c>
      <c r="B10934" t="s">
        <v>748</v>
      </c>
      <c r="C10934" t="s">
        <v>705</v>
      </c>
      <c r="D10934" s="230">
        <v>-15430.33</v>
      </c>
      <c r="E10934" t="s">
        <v>749</v>
      </c>
    </row>
    <row r="10935" spans="1:5" hidden="1" x14ac:dyDescent="0.3">
      <c r="A10935" t="s">
        <v>557</v>
      </c>
      <c r="B10935" t="s">
        <v>748</v>
      </c>
      <c r="C10935" t="s">
        <v>706</v>
      </c>
      <c r="D10935" s="230">
        <v>0</v>
      </c>
      <c r="E10935" t="s">
        <v>749</v>
      </c>
    </row>
    <row r="10936" spans="1:5" hidden="1" x14ac:dyDescent="0.3">
      <c r="A10936" t="s">
        <v>557</v>
      </c>
      <c r="B10936" t="s">
        <v>748</v>
      </c>
      <c r="C10936" t="s">
        <v>254</v>
      </c>
      <c r="D10936" s="230">
        <v>-0.33</v>
      </c>
      <c r="E10936" t="s">
        <v>749</v>
      </c>
    </row>
    <row r="10937" spans="1:5" hidden="1" x14ac:dyDescent="0.3">
      <c r="A10937" t="s">
        <v>557</v>
      </c>
      <c r="B10937" t="s">
        <v>748</v>
      </c>
      <c r="C10937" t="s">
        <v>255</v>
      </c>
      <c r="D10937" s="230">
        <v>-0.25</v>
      </c>
      <c r="E10937" t="s">
        <v>749</v>
      </c>
    </row>
    <row r="10938" spans="1:5" hidden="1" x14ac:dyDescent="0.3">
      <c r="A10938" t="s">
        <v>557</v>
      </c>
      <c r="B10938" t="s">
        <v>748</v>
      </c>
      <c r="C10938" t="s">
        <v>256</v>
      </c>
      <c r="D10938" s="230">
        <v>-51719.519999999997</v>
      </c>
      <c r="E10938" t="s">
        <v>749</v>
      </c>
    </row>
    <row r="10939" spans="1:5" hidden="1" x14ac:dyDescent="0.3">
      <c r="A10939" t="s">
        <v>557</v>
      </c>
      <c r="B10939" t="s">
        <v>748</v>
      </c>
      <c r="C10939" t="s">
        <v>257</v>
      </c>
      <c r="D10939" s="230">
        <v>-49002</v>
      </c>
      <c r="E10939" t="s">
        <v>749</v>
      </c>
    </row>
    <row r="10940" spans="1:5" hidden="1" x14ac:dyDescent="0.3">
      <c r="A10940" t="s">
        <v>557</v>
      </c>
      <c r="B10940" t="s">
        <v>748</v>
      </c>
      <c r="C10940" t="s">
        <v>258</v>
      </c>
      <c r="D10940" s="230">
        <v>0</v>
      </c>
      <c r="E10940" t="s">
        <v>749</v>
      </c>
    </row>
    <row r="10941" spans="1:5" hidden="1" x14ac:dyDescent="0.3">
      <c r="A10941" t="s">
        <v>557</v>
      </c>
      <c r="B10941" t="s">
        <v>748</v>
      </c>
      <c r="C10941" t="s">
        <v>259</v>
      </c>
      <c r="D10941" s="230">
        <v>-2436.17</v>
      </c>
      <c r="E10941" t="s">
        <v>749</v>
      </c>
    </row>
    <row r="10942" spans="1:5" hidden="1" x14ac:dyDescent="0.3">
      <c r="A10942" t="s">
        <v>557</v>
      </c>
      <c r="B10942" t="s">
        <v>748</v>
      </c>
      <c r="C10942" t="s">
        <v>260</v>
      </c>
      <c r="D10942" s="230">
        <v>0</v>
      </c>
      <c r="E10942" t="s">
        <v>749</v>
      </c>
    </row>
    <row r="10943" spans="1:5" hidden="1" x14ac:dyDescent="0.3">
      <c r="A10943" t="s">
        <v>557</v>
      </c>
      <c r="B10943" t="s">
        <v>748</v>
      </c>
      <c r="C10943" t="s">
        <v>261</v>
      </c>
      <c r="D10943" s="230">
        <v>-281.35000000000002</v>
      </c>
      <c r="E10943" t="s">
        <v>749</v>
      </c>
    </row>
    <row r="10944" spans="1:5" hidden="1" x14ac:dyDescent="0.3">
      <c r="A10944" t="s">
        <v>557</v>
      </c>
      <c r="B10944" t="s">
        <v>748</v>
      </c>
      <c r="C10944" t="s">
        <v>262</v>
      </c>
      <c r="D10944" s="230">
        <v>0</v>
      </c>
      <c r="E10944" t="s">
        <v>749</v>
      </c>
    </row>
    <row r="10945" spans="1:5" hidden="1" x14ac:dyDescent="0.3">
      <c r="A10945" t="s">
        <v>557</v>
      </c>
      <c r="B10945" t="s">
        <v>748</v>
      </c>
      <c r="C10945" t="s">
        <v>263</v>
      </c>
      <c r="D10945" s="230">
        <v>0</v>
      </c>
      <c r="E10945" t="s">
        <v>749</v>
      </c>
    </row>
    <row r="10946" spans="1:5" hidden="1" x14ac:dyDescent="0.3">
      <c r="A10946" t="s">
        <v>557</v>
      </c>
      <c r="B10946" t="s">
        <v>748</v>
      </c>
      <c r="C10946" t="s">
        <v>44</v>
      </c>
      <c r="D10946" s="230">
        <v>-0.13</v>
      </c>
      <c r="E10946" t="s">
        <v>749</v>
      </c>
    </row>
    <row r="10947" spans="1:5" hidden="1" x14ac:dyDescent="0.3">
      <c r="A10947" t="s">
        <v>557</v>
      </c>
      <c r="B10947" t="s">
        <v>748</v>
      </c>
      <c r="C10947" t="s">
        <v>264</v>
      </c>
      <c r="D10947" s="230">
        <v>-38582.730000000003</v>
      </c>
      <c r="E10947" t="s">
        <v>749</v>
      </c>
    </row>
    <row r="10948" spans="1:5" hidden="1" x14ac:dyDescent="0.3">
      <c r="A10948" t="s">
        <v>557</v>
      </c>
      <c r="B10948" t="s">
        <v>748</v>
      </c>
      <c r="C10948" t="s">
        <v>265</v>
      </c>
      <c r="D10948" s="230">
        <v>-5465.75</v>
      </c>
      <c r="E10948" t="s">
        <v>749</v>
      </c>
    </row>
    <row r="10949" spans="1:5" hidden="1" x14ac:dyDescent="0.3">
      <c r="A10949" t="s">
        <v>557</v>
      </c>
      <c r="B10949" t="s">
        <v>748</v>
      </c>
      <c r="C10949" t="s">
        <v>266</v>
      </c>
      <c r="D10949" s="230">
        <v>-11640.44</v>
      </c>
      <c r="E10949" t="s">
        <v>749</v>
      </c>
    </row>
    <row r="10950" spans="1:5" hidden="1" x14ac:dyDescent="0.3">
      <c r="A10950" t="s">
        <v>557</v>
      </c>
      <c r="B10950" t="s">
        <v>748</v>
      </c>
      <c r="C10950" t="s">
        <v>267</v>
      </c>
      <c r="D10950" s="230">
        <v>-6452.75</v>
      </c>
      <c r="E10950" t="s">
        <v>749</v>
      </c>
    </row>
    <row r="10951" spans="1:5" hidden="1" x14ac:dyDescent="0.3">
      <c r="A10951" t="s">
        <v>557</v>
      </c>
      <c r="B10951" t="s">
        <v>748</v>
      </c>
      <c r="C10951" t="s">
        <v>268</v>
      </c>
      <c r="D10951" s="230">
        <v>-5438.03</v>
      </c>
      <c r="E10951" t="s">
        <v>749</v>
      </c>
    </row>
    <row r="10952" spans="1:5" hidden="1" x14ac:dyDescent="0.3">
      <c r="A10952" t="s">
        <v>557</v>
      </c>
      <c r="B10952" t="s">
        <v>748</v>
      </c>
      <c r="C10952" t="s">
        <v>269</v>
      </c>
      <c r="D10952" s="230">
        <v>0</v>
      </c>
      <c r="E10952" t="s">
        <v>749</v>
      </c>
    </row>
    <row r="10953" spans="1:5" hidden="1" x14ac:dyDescent="0.3">
      <c r="A10953" t="s">
        <v>557</v>
      </c>
      <c r="B10953" t="s">
        <v>748</v>
      </c>
      <c r="C10953" t="s">
        <v>270</v>
      </c>
      <c r="D10953" s="230">
        <v>-550</v>
      </c>
      <c r="E10953" t="s">
        <v>749</v>
      </c>
    </row>
    <row r="10954" spans="1:5" hidden="1" x14ac:dyDescent="0.3">
      <c r="A10954" t="s">
        <v>557</v>
      </c>
      <c r="B10954" t="s">
        <v>748</v>
      </c>
      <c r="C10954" t="s">
        <v>271</v>
      </c>
      <c r="D10954" s="230">
        <v>-1059.3399999999999</v>
      </c>
      <c r="E10954" t="s">
        <v>749</v>
      </c>
    </row>
    <row r="10955" spans="1:5" hidden="1" x14ac:dyDescent="0.3">
      <c r="A10955" t="s">
        <v>557</v>
      </c>
      <c r="B10955" t="s">
        <v>748</v>
      </c>
      <c r="C10955" t="s">
        <v>272</v>
      </c>
      <c r="D10955" s="230">
        <v>-1325.2</v>
      </c>
      <c r="E10955" t="s">
        <v>749</v>
      </c>
    </row>
    <row r="10956" spans="1:5" hidden="1" x14ac:dyDescent="0.3">
      <c r="A10956" t="s">
        <v>557</v>
      </c>
      <c r="B10956" t="s">
        <v>748</v>
      </c>
      <c r="C10956" t="s">
        <v>273</v>
      </c>
      <c r="D10956" s="230">
        <v>0</v>
      </c>
      <c r="E10956" t="s">
        <v>749</v>
      </c>
    </row>
    <row r="10957" spans="1:5" hidden="1" x14ac:dyDescent="0.3">
      <c r="A10957" t="s">
        <v>557</v>
      </c>
      <c r="B10957" t="s">
        <v>748</v>
      </c>
      <c r="C10957" t="s">
        <v>274</v>
      </c>
      <c r="D10957" s="230">
        <v>0</v>
      </c>
      <c r="E10957" t="s">
        <v>749</v>
      </c>
    </row>
    <row r="10958" spans="1:5" hidden="1" x14ac:dyDescent="0.3">
      <c r="A10958" t="s">
        <v>557</v>
      </c>
      <c r="B10958" t="s">
        <v>748</v>
      </c>
      <c r="C10958" t="s">
        <v>275</v>
      </c>
      <c r="D10958" s="230">
        <v>-2077.2199999999998</v>
      </c>
      <c r="E10958" t="s">
        <v>749</v>
      </c>
    </row>
    <row r="10959" spans="1:5" hidden="1" x14ac:dyDescent="0.3">
      <c r="A10959" t="s">
        <v>557</v>
      </c>
      <c r="B10959" t="s">
        <v>748</v>
      </c>
      <c r="C10959" t="s">
        <v>276</v>
      </c>
      <c r="D10959" s="230">
        <v>-1400</v>
      </c>
      <c r="E10959" t="s">
        <v>749</v>
      </c>
    </row>
    <row r="10960" spans="1:5" hidden="1" x14ac:dyDescent="0.3">
      <c r="A10960" t="s">
        <v>557</v>
      </c>
      <c r="B10960" t="s">
        <v>748</v>
      </c>
      <c r="C10960" t="s">
        <v>277</v>
      </c>
      <c r="D10960" s="230">
        <v>-678</v>
      </c>
      <c r="E10960" t="s">
        <v>749</v>
      </c>
    </row>
    <row r="10961" spans="1:5" hidden="1" x14ac:dyDescent="0.3">
      <c r="A10961" t="s">
        <v>557</v>
      </c>
      <c r="B10961" t="s">
        <v>748</v>
      </c>
      <c r="C10961" t="s">
        <v>278</v>
      </c>
      <c r="D10961" s="230">
        <v>-2496</v>
      </c>
      <c r="E10961" t="s">
        <v>749</v>
      </c>
    </row>
    <row r="10962" spans="1:5" hidden="1" x14ac:dyDescent="0.3">
      <c r="A10962" t="s">
        <v>557</v>
      </c>
      <c r="B10962" t="s">
        <v>748</v>
      </c>
      <c r="C10962" t="s">
        <v>44</v>
      </c>
      <c r="D10962" s="230">
        <v>-0.09</v>
      </c>
      <c r="E10962" t="s">
        <v>749</v>
      </c>
    </row>
    <row r="10963" spans="1:5" hidden="1" x14ac:dyDescent="0.3">
      <c r="A10963" t="s">
        <v>557</v>
      </c>
      <c r="B10963" t="s">
        <v>748</v>
      </c>
      <c r="C10963" t="s">
        <v>279</v>
      </c>
      <c r="D10963" s="230">
        <v>-5514.12</v>
      </c>
      <c r="E10963" t="s">
        <v>749</v>
      </c>
    </row>
    <row r="10964" spans="1:5" hidden="1" x14ac:dyDescent="0.3">
      <c r="A10964" t="s">
        <v>557</v>
      </c>
      <c r="B10964" t="s">
        <v>748</v>
      </c>
      <c r="C10964" t="s">
        <v>280</v>
      </c>
      <c r="D10964" s="230">
        <v>0</v>
      </c>
      <c r="E10964" t="s">
        <v>749</v>
      </c>
    </row>
    <row r="10965" spans="1:5" hidden="1" x14ac:dyDescent="0.3">
      <c r="A10965" t="s">
        <v>557</v>
      </c>
      <c r="B10965" t="s">
        <v>748</v>
      </c>
      <c r="C10965" t="s">
        <v>281</v>
      </c>
      <c r="D10965" s="230">
        <v>-582.75</v>
      </c>
      <c r="E10965" t="s">
        <v>749</v>
      </c>
    </row>
    <row r="10966" spans="1:5" hidden="1" x14ac:dyDescent="0.3">
      <c r="A10966" t="s">
        <v>557</v>
      </c>
      <c r="B10966" t="s">
        <v>748</v>
      </c>
      <c r="C10966" t="s">
        <v>282</v>
      </c>
      <c r="D10966" s="230">
        <v>-134.80000000000001</v>
      </c>
      <c r="E10966" t="s">
        <v>749</v>
      </c>
    </row>
    <row r="10967" spans="1:5" hidden="1" x14ac:dyDescent="0.3">
      <c r="A10967" t="s">
        <v>557</v>
      </c>
      <c r="B10967" t="s">
        <v>748</v>
      </c>
      <c r="C10967" t="s">
        <v>283</v>
      </c>
      <c r="D10967" s="230">
        <v>-300.22000000000003</v>
      </c>
      <c r="E10967" t="s">
        <v>749</v>
      </c>
    </row>
    <row r="10968" spans="1:5" hidden="1" x14ac:dyDescent="0.3">
      <c r="A10968" t="s">
        <v>557</v>
      </c>
      <c r="B10968" t="s">
        <v>748</v>
      </c>
      <c r="C10968" t="s">
        <v>284</v>
      </c>
      <c r="D10968" s="230">
        <v>-3214</v>
      </c>
      <c r="E10968" t="s">
        <v>749</v>
      </c>
    </row>
    <row r="10969" spans="1:5" hidden="1" x14ac:dyDescent="0.3">
      <c r="A10969" t="s">
        <v>557</v>
      </c>
      <c r="B10969" t="s">
        <v>748</v>
      </c>
      <c r="C10969" t="s">
        <v>285</v>
      </c>
      <c r="D10969" s="230">
        <v>-389</v>
      </c>
      <c r="E10969" t="s">
        <v>749</v>
      </c>
    </row>
    <row r="10970" spans="1:5" hidden="1" x14ac:dyDescent="0.3">
      <c r="A10970" t="s">
        <v>557</v>
      </c>
      <c r="B10970" t="s">
        <v>748</v>
      </c>
      <c r="C10970" t="s">
        <v>286</v>
      </c>
      <c r="D10970" s="230">
        <v>-893.35</v>
      </c>
      <c r="E10970" t="s">
        <v>749</v>
      </c>
    </row>
    <row r="10971" spans="1:5" hidden="1" x14ac:dyDescent="0.3">
      <c r="A10971" t="s">
        <v>557</v>
      </c>
      <c r="B10971" t="s">
        <v>748</v>
      </c>
      <c r="C10971" t="s">
        <v>44</v>
      </c>
      <c r="D10971" s="230">
        <v>-0.01</v>
      </c>
      <c r="E10971" t="s">
        <v>749</v>
      </c>
    </row>
    <row r="10972" spans="1:5" hidden="1" x14ac:dyDescent="0.3">
      <c r="A10972" t="s">
        <v>557</v>
      </c>
      <c r="B10972" t="s">
        <v>748</v>
      </c>
      <c r="C10972" t="s">
        <v>287</v>
      </c>
      <c r="D10972" s="230">
        <v>-8240.11</v>
      </c>
      <c r="E10972" t="s">
        <v>749</v>
      </c>
    </row>
    <row r="10973" spans="1:5" hidden="1" x14ac:dyDescent="0.3">
      <c r="A10973" t="s">
        <v>557</v>
      </c>
      <c r="B10973" t="s">
        <v>748</v>
      </c>
      <c r="C10973" t="s">
        <v>288</v>
      </c>
      <c r="D10973" s="230">
        <v>-4200</v>
      </c>
      <c r="E10973" t="s">
        <v>749</v>
      </c>
    </row>
    <row r="10974" spans="1:5" hidden="1" x14ac:dyDescent="0.3">
      <c r="A10974" t="s">
        <v>557</v>
      </c>
      <c r="B10974" t="s">
        <v>748</v>
      </c>
      <c r="C10974" t="s">
        <v>289</v>
      </c>
      <c r="D10974" s="230">
        <v>-2361</v>
      </c>
      <c r="E10974" t="s">
        <v>749</v>
      </c>
    </row>
    <row r="10975" spans="1:5" hidden="1" x14ac:dyDescent="0.3">
      <c r="A10975" t="s">
        <v>557</v>
      </c>
      <c r="B10975" t="s">
        <v>748</v>
      </c>
      <c r="C10975" t="s">
        <v>290</v>
      </c>
      <c r="D10975" s="230">
        <v>0</v>
      </c>
      <c r="E10975" t="s">
        <v>749</v>
      </c>
    </row>
    <row r="10976" spans="1:5" hidden="1" x14ac:dyDescent="0.3">
      <c r="A10976" t="s">
        <v>557</v>
      </c>
      <c r="B10976" t="s">
        <v>748</v>
      </c>
      <c r="C10976" t="s">
        <v>291</v>
      </c>
      <c r="D10976" s="230">
        <v>-1244.6500000000001</v>
      </c>
      <c r="E10976" t="s">
        <v>749</v>
      </c>
    </row>
    <row r="10977" spans="1:5" hidden="1" x14ac:dyDescent="0.3">
      <c r="A10977" t="s">
        <v>557</v>
      </c>
      <c r="B10977" t="s">
        <v>748</v>
      </c>
      <c r="C10977" t="s">
        <v>292</v>
      </c>
      <c r="D10977" s="230">
        <v>0</v>
      </c>
      <c r="E10977" t="s">
        <v>749</v>
      </c>
    </row>
    <row r="10978" spans="1:5" hidden="1" x14ac:dyDescent="0.3">
      <c r="A10978" t="s">
        <v>557</v>
      </c>
      <c r="B10978" t="s">
        <v>748</v>
      </c>
      <c r="C10978" t="s">
        <v>293</v>
      </c>
      <c r="D10978" s="230">
        <v>-319.36</v>
      </c>
      <c r="E10978" t="s">
        <v>749</v>
      </c>
    </row>
    <row r="10979" spans="1:5" hidden="1" x14ac:dyDescent="0.3">
      <c r="A10979" t="s">
        <v>557</v>
      </c>
      <c r="B10979" t="s">
        <v>748</v>
      </c>
      <c r="C10979" t="s">
        <v>294</v>
      </c>
      <c r="D10979" s="230">
        <v>-115.1</v>
      </c>
      <c r="E10979" t="s">
        <v>749</v>
      </c>
    </row>
    <row r="10980" spans="1:5" hidden="1" x14ac:dyDescent="0.3">
      <c r="A10980" t="s">
        <v>557</v>
      </c>
      <c r="B10980" t="s">
        <v>748</v>
      </c>
      <c r="C10980" t="s">
        <v>295</v>
      </c>
      <c r="D10980" s="230">
        <v>0</v>
      </c>
      <c r="E10980" t="s">
        <v>749</v>
      </c>
    </row>
    <row r="10981" spans="1:5" hidden="1" x14ac:dyDescent="0.3">
      <c r="A10981" t="s">
        <v>557</v>
      </c>
      <c r="B10981" t="s">
        <v>748</v>
      </c>
      <c r="C10981" t="s">
        <v>44</v>
      </c>
      <c r="D10981" s="230">
        <v>-0.02</v>
      </c>
      <c r="E10981" t="s">
        <v>749</v>
      </c>
    </row>
    <row r="10982" spans="1:5" hidden="1" x14ac:dyDescent="0.3">
      <c r="A10982" t="s">
        <v>557</v>
      </c>
      <c r="B10982" t="s">
        <v>748</v>
      </c>
      <c r="C10982" t="s">
        <v>296</v>
      </c>
      <c r="D10982" s="230">
        <v>-6638.84</v>
      </c>
      <c r="E10982" t="s">
        <v>749</v>
      </c>
    </row>
    <row r="10983" spans="1:5" hidden="1" x14ac:dyDescent="0.3">
      <c r="A10983" t="s">
        <v>557</v>
      </c>
      <c r="B10983" t="s">
        <v>748</v>
      </c>
      <c r="C10983" t="s">
        <v>297</v>
      </c>
      <c r="D10983" s="230">
        <v>-4000</v>
      </c>
      <c r="E10983" t="s">
        <v>749</v>
      </c>
    </row>
    <row r="10984" spans="1:5" hidden="1" x14ac:dyDescent="0.3">
      <c r="A10984" t="s">
        <v>557</v>
      </c>
      <c r="B10984" t="s">
        <v>748</v>
      </c>
      <c r="C10984" t="s">
        <v>298</v>
      </c>
      <c r="D10984" s="230">
        <v>-500</v>
      </c>
      <c r="E10984" t="s">
        <v>749</v>
      </c>
    </row>
    <row r="10985" spans="1:5" hidden="1" x14ac:dyDescent="0.3">
      <c r="A10985" t="s">
        <v>557</v>
      </c>
      <c r="B10985" t="s">
        <v>748</v>
      </c>
      <c r="C10985" t="s">
        <v>299</v>
      </c>
      <c r="D10985" s="230">
        <v>0</v>
      </c>
      <c r="E10985" t="s">
        <v>749</v>
      </c>
    </row>
    <row r="10986" spans="1:5" hidden="1" x14ac:dyDescent="0.3">
      <c r="A10986" t="s">
        <v>557</v>
      </c>
      <c r="B10986" t="s">
        <v>748</v>
      </c>
      <c r="C10986" t="s">
        <v>300</v>
      </c>
      <c r="D10986" s="230">
        <v>0</v>
      </c>
      <c r="E10986" t="s">
        <v>749</v>
      </c>
    </row>
    <row r="10987" spans="1:5" hidden="1" x14ac:dyDescent="0.3">
      <c r="A10987" t="s">
        <v>557</v>
      </c>
      <c r="B10987" t="s">
        <v>748</v>
      </c>
      <c r="C10987" t="s">
        <v>301</v>
      </c>
      <c r="D10987" s="230">
        <v>-1686.34</v>
      </c>
      <c r="E10987" t="s">
        <v>749</v>
      </c>
    </row>
    <row r="10988" spans="1:5" hidden="1" x14ac:dyDescent="0.3">
      <c r="A10988" t="s">
        <v>557</v>
      </c>
      <c r="B10988" t="s">
        <v>748</v>
      </c>
      <c r="C10988" t="s">
        <v>302</v>
      </c>
      <c r="D10988" s="230">
        <v>0</v>
      </c>
      <c r="E10988" t="s">
        <v>749</v>
      </c>
    </row>
    <row r="10989" spans="1:5" hidden="1" x14ac:dyDescent="0.3">
      <c r="A10989" t="s">
        <v>557</v>
      </c>
      <c r="B10989" t="s">
        <v>748</v>
      </c>
      <c r="C10989" t="s">
        <v>303</v>
      </c>
      <c r="D10989" s="230">
        <v>0</v>
      </c>
      <c r="E10989" t="s">
        <v>749</v>
      </c>
    </row>
    <row r="10990" spans="1:5" hidden="1" x14ac:dyDescent="0.3">
      <c r="A10990" t="s">
        <v>557</v>
      </c>
      <c r="B10990" t="s">
        <v>748</v>
      </c>
      <c r="C10990" t="s">
        <v>304</v>
      </c>
      <c r="D10990" s="230">
        <v>-302.5</v>
      </c>
      <c r="E10990" t="s">
        <v>749</v>
      </c>
    </row>
    <row r="10991" spans="1:5" hidden="1" x14ac:dyDescent="0.3">
      <c r="A10991" t="s">
        <v>557</v>
      </c>
      <c r="B10991" t="s">
        <v>748</v>
      </c>
      <c r="C10991" t="s">
        <v>305</v>
      </c>
      <c r="D10991" s="230">
        <v>0</v>
      </c>
      <c r="E10991" t="s">
        <v>749</v>
      </c>
    </row>
    <row r="10992" spans="1:5" hidden="1" x14ac:dyDescent="0.3">
      <c r="A10992" t="s">
        <v>557</v>
      </c>
      <c r="B10992" t="s">
        <v>748</v>
      </c>
      <c r="C10992" t="s">
        <v>306</v>
      </c>
      <c r="D10992" s="230">
        <v>0</v>
      </c>
      <c r="E10992" t="s">
        <v>749</v>
      </c>
    </row>
    <row r="10993" spans="1:5" hidden="1" x14ac:dyDescent="0.3">
      <c r="A10993" t="s">
        <v>557</v>
      </c>
      <c r="B10993" t="s">
        <v>748</v>
      </c>
      <c r="C10993" t="s">
        <v>307</v>
      </c>
      <c r="D10993" s="230">
        <v>-150</v>
      </c>
      <c r="E10993" t="s">
        <v>749</v>
      </c>
    </row>
    <row r="10994" spans="1:5" hidden="1" x14ac:dyDescent="0.3">
      <c r="A10994" t="s">
        <v>557</v>
      </c>
      <c r="B10994" t="s">
        <v>748</v>
      </c>
      <c r="C10994" t="s">
        <v>44</v>
      </c>
      <c r="D10994" s="230">
        <v>-0.02</v>
      </c>
      <c r="E10994" t="s">
        <v>749</v>
      </c>
    </row>
    <row r="10995" spans="1:5" hidden="1" x14ac:dyDescent="0.3">
      <c r="A10995" t="s">
        <v>557</v>
      </c>
      <c r="B10995" t="s">
        <v>748</v>
      </c>
      <c r="C10995" t="s">
        <v>308</v>
      </c>
      <c r="D10995" s="230">
        <v>-5457.83</v>
      </c>
      <c r="E10995" t="s">
        <v>749</v>
      </c>
    </row>
    <row r="10996" spans="1:5" hidden="1" x14ac:dyDescent="0.3">
      <c r="A10996" t="s">
        <v>557</v>
      </c>
      <c r="B10996" t="s">
        <v>748</v>
      </c>
      <c r="C10996" t="s">
        <v>309</v>
      </c>
      <c r="D10996" s="230">
        <v>-3014.65</v>
      </c>
      <c r="E10996" t="s">
        <v>749</v>
      </c>
    </row>
    <row r="10997" spans="1:5" hidden="1" x14ac:dyDescent="0.3">
      <c r="A10997" t="s">
        <v>557</v>
      </c>
      <c r="B10997" t="s">
        <v>748</v>
      </c>
      <c r="C10997" t="s">
        <v>310</v>
      </c>
      <c r="D10997" s="230">
        <v>0</v>
      </c>
      <c r="E10997" t="s">
        <v>749</v>
      </c>
    </row>
    <row r="10998" spans="1:5" hidden="1" x14ac:dyDescent="0.3">
      <c r="A10998" t="s">
        <v>557</v>
      </c>
      <c r="B10998" t="s">
        <v>748</v>
      </c>
      <c r="C10998" t="s">
        <v>311</v>
      </c>
      <c r="D10998" s="230">
        <v>-1550</v>
      </c>
      <c r="E10998" t="s">
        <v>749</v>
      </c>
    </row>
    <row r="10999" spans="1:5" hidden="1" x14ac:dyDescent="0.3">
      <c r="A10999" t="s">
        <v>557</v>
      </c>
      <c r="B10999" t="s">
        <v>748</v>
      </c>
      <c r="C10999" t="s">
        <v>312</v>
      </c>
      <c r="D10999" s="230">
        <v>-185</v>
      </c>
      <c r="E10999" t="s">
        <v>749</v>
      </c>
    </row>
    <row r="11000" spans="1:5" hidden="1" x14ac:dyDescent="0.3">
      <c r="A11000" t="s">
        <v>557</v>
      </c>
      <c r="B11000" t="s">
        <v>748</v>
      </c>
      <c r="C11000" t="s">
        <v>313</v>
      </c>
      <c r="D11000" s="230">
        <v>0</v>
      </c>
      <c r="E11000" t="s">
        <v>749</v>
      </c>
    </row>
    <row r="11001" spans="1:5" hidden="1" x14ac:dyDescent="0.3">
      <c r="A11001" t="s">
        <v>557</v>
      </c>
      <c r="B11001" t="s">
        <v>748</v>
      </c>
      <c r="C11001" t="s">
        <v>314</v>
      </c>
      <c r="D11001" s="230">
        <v>-708.18</v>
      </c>
      <c r="E11001" t="s">
        <v>749</v>
      </c>
    </row>
    <row r="11002" spans="1:5" hidden="1" x14ac:dyDescent="0.3">
      <c r="A11002" t="s">
        <v>557</v>
      </c>
      <c r="B11002" t="s">
        <v>748</v>
      </c>
      <c r="C11002" t="s">
        <v>315</v>
      </c>
      <c r="D11002" s="230">
        <v>0</v>
      </c>
      <c r="E11002" t="s">
        <v>749</v>
      </c>
    </row>
    <row r="11003" spans="1:5" hidden="1" x14ac:dyDescent="0.3">
      <c r="A11003" t="s">
        <v>557</v>
      </c>
      <c r="B11003" t="s">
        <v>748</v>
      </c>
      <c r="C11003" t="s">
        <v>316</v>
      </c>
      <c r="D11003" s="230">
        <v>0</v>
      </c>
      <c r="E11003" t="s">
        <v>749</v>
      </c>
    </row>
    <row r="11004" spans="1:5" hidden="1" x14ac:dyDescent="0.3">
      <c r="A11004" t="s">
        <v>557</v>
      </c>
      <c r="B11004" t="s">
        <v>748</v>
      </c>
      <c r="C11004" t="s">
        <v>317</v>
      </c>
      <c r="D11004" s="230">
        <v>0</v>
      </c>
      <c r="E11004" t="s">
        <v>749</v>
      </c>
    </row>
    <row r="11005" spans="1:5" hidden="1" x14ac:dyDescent="0.3">
      <c r="A11005" t="s">
        <v>557</v>
      </c>
      <c r="B11005" t="s">
        <v>748</v>
      </c>
      <c r="C11005" t="s">
        <v>44</v>
      </c>
      <c r="D11005" s="230">
        <v>-0.01</v>
      </c>
      <c r="E11005" t="s">
        <v>749</v>
      </c>
    </row>
    <row r="11006" spans="1:5" hidden="1" x14ac:dyDescent="0.3">
      <c r="A11006" t="s">
        <v>557</v>
      </c>
      <c r="B11006" t="s">
        <v>748</v>
      </c>
      <c r="C11006" t="s">
        <v>318</v>
      </c>
      <c r="D11006" s="230">
        <v>-2921.83</v>
      </c>
      <c r="E11006" t="s">
        <v>749</v>
      </c>
    </row>
    <row r="11007" spans="1:5" hidden="1" x14ac:dyDescent="0.3">
      <c r="A11007" t="s">
        <v>557</v>
      </c>
      <c r="B11007" t="s">
        <v>748</v>
      </c>
      <c r="C11007" t="s">
        <v>319</v>
      </c>
      <c r="D11007" s="230">
        <v>-2586</v>
      </c>
      <c r="E11007" t="s">
        <v>749</v>
      </c>
    </row>
    <row r="11008" spans="1:5" hidden="1" x14ac:dyDescent="0.3">
      <c r="A11008" t="s">
        <v>557</v>
      </c>
      <c r="B11008" t="s">
        <v>748</v>
      </c>
      <c r="C11008" t="s">
        <v>320</v>
      </c>
      <c r="D11008" s="230">
        <v>-135.83000000000001</v>
      </c>
      <c r="E11008" t="s">
        <v>749</v>
      </c>
    </row>
    <row r="11009" spans="1:5" hidden="1" x14ac:dyDescent="0.3">
      <c r="A11009" t="s">
        <v>557</v>
      </c>
      <c r="B11009" t="s">
        <v>748</v>
      </c>
      <c r="C11009" t="s">
        <v>321</v>
      </c>
      <c r="D11009" s="230">
        <v>-200</v>
      </c>
      <c r="E11009" t="s">
        <v>749</v>
      </c>
    </row>
    <row r="11010" spans="1:5" hidden="1" x14ac:dyDescent="0.3">
      <c r="A11010" t="s">
        <v>557</v>
      </c>
      <c r="B11010" t="s">
        <v>748</v>
      </c>
      <c r="C11010" t="s">
        <v>322</v>
      </c>
      <c r="D11010" s="230">
        <v>0</v>
      </c>
      <c r="E11010" t="s">
        <v>749</v>
      </c>
    </row>
    <row r="11011" spans="1:5" hidden="1" x14ac:dyDescent="0.3">
      <c r="A11011" t="s">
        <v>557</v>
      </c>
      <c r="B11011" t="s">
        <v>748</v>
      </c>
      <c r="C11011" t="s">
        <v>44</v>
      </c>
      <c r="D11011" s="230">
        <v>-0.01</v>
      </c>
      <c r="E11011" t="s">
        <v>749</v>
      </c>
    </row>
    <row r="11012" spans="1:5" hidden="1" x14ac:dyDescent="0.3">
      <c r="A11012" t="s">
        <v>557</v>
      </c>
      <c r="B11012" t="s">
        <v>748</v>
      </c>
      <c r="C11012" t="s">
        <v>323</v>
      </c>
      <c r="D11012" s="230">
        <v>-20633.97</v>
      </c>
      <c r="E11012" t="s">
        <v>749</v>
      </c>
    </row>
    <row r="11013" spans="1:5" hidden="1" x14ac:dyDescent="0.3">
      <c r="A11013" t="s">
        <v>557</v>
      </c>
      <c r="B11013" t="s">
        <v>748</v>
      </c>
      <c r="C11013" t="s">
        <v>324</v>
      </c>
      <c r="D11013" s="230">
        <v>0</v>
      </c>
      <c r="E11013" t="s">
        <v>749</v>
      </c>
    </row>
    <row r="11014" spans="1:5" hidden="1" x14ac:dyDescent="0.3">
      <c r="A11014" t="s">
        <v>557</v>
      </c>
      <c r="B11014" t="s">
        <v>748</v>
      </c>
      <c r="C11014" t="s">
        <v>325</v>
      </c>
      <c r="D11014" s="230">
        <v>0</v>
      </c>
      <c r="E11014" t="s">
        <v>749</v>
      </c>
    </row>
    <row r="11015" spans="1:5" hidden="1" x14ac:dyDescent="0.3">
      <c r="A11015" t="s">
        <v>557</v>
      </c>
      <c r="B11015" t="s">
        <v>748</v>
      </c>
      <c r="C11015" t="s">
        <v>326</v>
      </c>
      <c r="D11015" s="230">
        <v>-20633.97</v>
      </c>
      <c r="E11015" t="s">
        <v>749</v>
      </c>
    </row>
    <row r="11016" spans="1:5" hidden="1" x14ac:dyDescent="0.3">
      <c r="A11016" t="s">
        <v>557</v>
      </c>
      <c r="B11016" t="s">
        <v>748</v>
      </c>
      <c r="C11016" t="s">
        <v>44</v>
      </c>
      <c r="D11016" s="230">
        <v>-0.05</v>
      </c>
      <c r="E11016" t="s">
        <v>749</v>
      </c>
    </row>
    <row r="11017" spans="1:5" hidden="1" x14ac:dyDescent="0.3">
      <c r="A11017" t="s">
        <v>557</v>
      </c>
      <c r="B11017" t="s">
        <v>748</v>
      </c>
      <c r="C11017" t="s">
        <v>328</v>
      </c>
      <c r="D11017" s="230">
        <v>-277952.37</v>
      </c>
      <c r="E11017" t="s">
        <v>749</v>
      </c>
    </row>
    <row r="11018" spans="1:5" hidden="1" x14ac:dyDescent="0.3">
      <c r="A11018" t="s">
        <v>557</v>
      </c>
      <c r="B11018" t="s">
        <v>748</v>
      </c>
      <c r="C11018" t="s">
        <v>44</v>
      </c>
      <c r="D11018" s="230">
        <v>-0.67</v>
      </c>
      <c r="E11018" t="s">
        <v>749</v>
      </c>
    </row>
    <row r="11019" spans="1:5" hidden="1" x14ac:dyDescent="0.3">
      <c r="A11019" t="s">
        <v>557</v>
      </c>
      <c r="B11019" t="s">
        <v>748</v>
      </c>
      <c r="C11019" t="s">
        <v>329</v>
      </c>
      <c r="D11019" s="230">
        <v>-72016.27</v>
      </c>
      <c r="E11019" t="s">
        <v>749</v>
      </c>
    </row>
    <row r="11020" spans="1:5" hidden="1" x14ac:dyDescent="0.3">
      <c r="A11020" t="s">
        <v>557</v>
      </c>
      <c r="B11020" t="s">
        <v>748</v>
      </c>
      <c r="C11020" t="s">
        <v>44</v>
      </c>
      <c r="D11020" s="230">
        <v>-0.17</v>
      </c>
      <c r="E11020" t="s">
        <v>749</v>
      </c>
    </row>
    <row r="11021" spans="1:5" hidden="1" x14ac:dyDescent="0.3">
      <c r="A11021" t="s">
        <v>557</v>
      </c>
      <c r="B11021" t="s">
        <v>748</v>
      </c>
      <c r="C11021" t="s">
        <v>330</v>
      </c>
      <c r="D11021" s="230">
        <v>0</v>
      </c>
      <c r="E11021" t="s">
        <v>749</v>
      </c>
    </row>
    <row r="11022" spans="1:5" hidden="1" x14ac:dyDescent="0.3">
      <c r="A11022" t="s">
        <v>557</v>
      </c>
      <c r="B11022" t="s">
        <v>748</v>
      </c>
      <c r="C11022" t="s">
        <v>332</v>
      </c>
      <c r="D11022" s="230">
        <v>-72016.27</v>
      </c>
      <c r="E11022" t="s">
        <v>749</v>
      </c>
    </row>
    <row r="11023" spans="1:5" hidden="1" x14ac:dyDescent="0.3">
      <c r="A11023" t="s">
        <v>557</v>
      </c>
      <c r="B11023" t="s">
        <v>748</v>
      </c>
      <c r="C11023" t="s">
        <v>333</v>
      </c>
      <c r="D11023" s="230">
        <v>6831.28</v>
      </c>
      <c r="E11023" t="s">
        <v>749</v>
      </c>
    </row>
    <row r="11024" spans="1:5" hidden="1" x14ac:dyDescent="0.3">
      <c r="A11024" t="s">
        <v>557</v>
      </c>
      <c r="B11024" t="s">
        <v>748</v>
      </c>
      <c r="C11024" t="s">
        <v>334</v>
      </c>
      <c r="D11024" s="230">
        <v>3100</v>
      </c>
      <c r="E11024" t="s">
        <v>749</v>
      </c>
    </row>
    <row r="11025" spans="1:5" hidden="1" x14ac:dyDescent="0.3">
      <c r="A11025" t="s">
        <v>557</v>
      </c>
      <c r="B11025" t="s">
        <v>748</v>
      </c>
      <c r="C11025" t="s">
        <v>336</v>
      </c>
      <c r="D11025" s="230">
        <v>0</v>
      </c>
      <c r="E11025" t="s">
        <v>749</v>
      </c>
    </row>
    <row r="11026" spans="1:5" hidden="1" x14ac:dyDescent="0.3">
      <c r="A11026" t="s">
        <v>557</v>
      </c>
      <c r="B11026" t="s">
        <v>748</v>
      </c>
      <c r="C11026" t="s">
        <v>338</v>
      </c>
      <c r="D11026" s="230">
        <v>-62084.99</v>
      </c>
      <c r="E11026" t="s">
        <v>749</v>
      </c>
    </row>
    <row r="11027" spans="1:5" hidden="1" x14ac:dyDescent="0.3">
      <c r="A11027" t="s">
        <v>557</v>
      </c>
      <c r="B11027" t="s">
        <v>748</v>
      </c>
      <c r="C11027" t="s">
        <v>339</v>
      </c>
      <c r="D11027" s="230">
        <v>-13809.36</v>
      </c>
      <c r="E11027" t="s">
        <v>749</v>
      </c>
    </row>
    <row r="11028" spans="1:5" hidden="1" x14ac:dyDescent="0.3">
      <c r="A11028" t="s">
        <v>557</v>
      </c>
      <c r="B11028" t="s">
        <v>748</v>
      </c>
      <c r="C11028" t="s">
        <v>342</v>
      </c>
      <c r="D11028" s="230">
        <v>0</v>
      </c>
      <c r="E11028" t="s">
        <v>749</v>
      </c>
    </row>
    <row r="11029" spans="1:5" hidden="1" x14ac:dyDescent="0.3">
      <c r="A11029" t="s">
        <v>557</v>
      </c>
      <c r="B11029" t="s">
        <v>748</v>
      </c>
      <c r="C11029" t="s">
        <v>344</v>
      </c>
      <c r="D11029" s="230">
        <v>-9574.7800000000007</v>
      </c>
      <c r="E11029" t="s">
        <v>749</v>
      </c>
    </row>
    <row r="11030" spans="1:5" hidden="1" x14ac:dyDescent="0.3">
      <c r="A11030" t="s">
        <v>557</v>
      </c>
      <c r="B11030" t="s">
        <v>748</v>
      </c>
      <c r="C11030" t="s">
        <v>345</v>
      </c>
      <c r="D11030" s="230">
        <v>0</v>
      </c>
      <c r="E11030" t="s">
        <v>749</v>
      </c>
    </row>
    <row r="11031" spans="1:5" hidden="1" x14ac:dyDescent="0.3">
      <c r="A11031" t="s">
        <v>557</v>
      </c>
      <c r="B11031" t="s">
        <v>748</v>
      </c>
      <c r="C11031" t="s">
        <v>346</v>
      </c>
      <c r="D11031" s="230">
        <v>-4234.58</v>
      </c>
      <c r="E11031" t="s">
        <v>749</v>
      </c>
    </row>
    <row r="11032" spans="1:5" hidden="1" x14ac:dyDescent="0.3">
      <c r="A11032" t="s">
        <v>557</v>
      </c>
      <c r="B11032" t="s">
        <v>748</v>
      </c>
      <c r="C11032" t="s">
        <v>347</v>
      </c>
      <c r="D11032" s="230">
        <v>-75894.350000000006</v>
      </c>
      <c r="E11032" t="s">
        <v>749</v>
      </c>
    </row>
    <row r="11033" spans="1:5" hidden="1" x14ac:dyDescent="0.3">
      <c r="A11033" t="s">
        <v>557</v>
      </c>
      <c r="B11033" t="s">
        <v>748</v>
      </c>
      <c r="C11033" t="s">
        <v>44</v>
      </c>
      <c r="D11033" s="230">
        <v>-0.18</v>
      </c>
      <c r="E11033" t="s">
        <v>749</v>
      </c>
    </row>
    <row r="11034" spans="1:5" hidden="1" x14ac:dyDescent="0.3">
      <c r="A11034" t="s">
        <v>557</v>
      </c>
      <c r="B11034" t="s">
        <v>748</v>
      </c>
      <c r="C11034" t="s">
        <v>348</v>
      </c>
      <c r="D11034" s="230">
        <v>0</v>
      </c>
      <c r="E11034" t="s">
        <v>749</v>
      </c>
    </row>
    <row r="11035" spans="1:5" hidden="1" x14ac:dyDescent="0.3">
      <c r="A11035" t="s">
        <v>557</v>
      </c>
      <c r="B11035" t="s">
        <v>748</v>
      </c>
      <c r="C11035" t="s">
        <v>707</v>
      </c>
      <c r="D11035" s="230">
        <v>0</v>
      </c>
      <c r="E11035" t="s">
        <v>749</v>
      </c>
    </row>
    <row r="11036" spans="1:5" hidden="1" x14ac:dyDescent="0.3">
      <c r="A11036" t="s">
        <v>557</v>
      </c>
      <c r="B11036" t="s">
        <v>748</v>
      </c>
      <c r="C11036" t="s">
        <v>350</v>
      </c>
      <c r="D11036" s="230">
        <v>0</v>
      </c>
      <c r="E11036" t="s">
        <v>749</v>
      </c>
    </row>
    <row r="11037" spans="1:5" hidden="1" x14ac:dyDescent="0.3">
      <c r="A11037" t="s">
        <v>557</v>
      </c>
      <c r="B11037" t="s">
        <v>748</v>
      </c>
      <c r="C11037" t="s">
        <v>351</v>
      </c>
      <c r="D11037" s="230">
        <v>0</v>
      </c>
      <c r="E11037" t="s">
        <v>749</v>
      </c>
    </row>
    <row r="11038" spans="1:5" hidden="1" x14ac:dyDescent="0.3">
      <c r="A11038" t="s">
        <v>557</v>
      </c>
      <c r="B11038" t="s">
        <v>748</v>
      </c>
      <c r="C11038" t="s">
        <v>352</v>
      </c>
      <c r="D11038" s="230">
        <v>0</v>
      </c>
      <c r="E11038" t="s">
        <v>749</v>
      </c>
    </row>
    <row r="11039" spans="1:5" hidden="1" x14ac:dyDescent="0.3">
      <c r="A11039" t="s">
        <v>557</v>
      </c>
      <c r="B11039" t="s">
        <v>748</v>
      </c>
      <c r="C11039" t="s">
        <v>353</v>
      </c>
      <c r="D11039" s="230">
        <v>0</v>
      </c>
      <c r="E11039" t="s">
        <v>749</v>
      </c>
    </row>
    <row r="11040" spans="1:5" hidden="1" x14ac:dyDescent="0.3">
      <c r="A11040" t="s">
        <v>557</v>
      </c>
      <c r="B11040" t="s">
        <v>748</v>
      </c>
      <c r="C11040" t="s">
        <v>354</v>
      </c>
      <c r="D11040" s="230">
        <v>0</v>
      </c>
      <c r="E11040" t="s">
        <v>749</v>
      </c>
    </row>
    <row r="11041" spans="1:5" hidden="1" x14ac:dyDescent="0.3">
      <c r="A11041" t="s">
        <v>557</v>
      </c>
      <c r="B11041" t="s">
        <v>748</v>
      </c>
      <c r="C11041" t="s">
        <v>355</v>
      </c>
      <c r="D11041" s="230">
        <v>0</v>
      </c>
      <c r="E11041" t="s">
        <v>749</v>
      </c>
    </row>
    <row r="11042" spans="1:5" hidden="1" x14ac:dyDescent="0.3">
      <c r="A11042" t="s">
        <v>557</v>
      </c>
      <c r="B11042" t="s">
        <v>748</v>
      </c>
      <c r="C11042" t="s">
        <v>356</v>
      </c>
      <c r="D11042" s="230">
        <v>0</v>
      </c>
      <c r="E11042" t="s">
        <v>749</v>
      </c>
    </row>
    <row r="11043" spans="1:5" hidden="1" x14ac:dyDescent="0.3">
      <c r="A11043" t="s">
        <v>557</v>
      </c>
      <c r="B11043" t="s">
        <v>748</v>
      </c>
      <c r="C11043" t="s">
        <v>357</v>
      </c>
      <c r="D11043" s="230">
        <v>0</v>
      </c>
      <c r="E11043" t="s">
        <v>749</v>
      </c>
    </row>
    <row r="11044" spans="1:5" hidden="1" x14ac:dyDescent="0.3">
      <c r="A11044" t="s">
        <v>557</v>
      </c>
      <c r="B11044" t="s">
        <v>748</v>
      </c>
      <c r="C11044" t="s">
        <v>358</v>
      </c>
      <c r="D11044" s="230">
        <v>0</v>
      </c>
      <c r="E11044" t="s">
        <v>749</v>
      </c>
    </row>
    <row r="11045" spans="1:5" hidden="1" x14ac:dyDescent="0.3">
      <c r="A11045" t="s">
        <v>557</v>
      </c>
      <c r="B11045" t="s">
        <v>748</v>
      </c>
      <c r="C11045" t="s">
        <v>359</v>
      </c>
      <c r="D11045" s="230">
        <v>0</v>
      </c>
      <c r="E11045" t="s">
        <v>749</v>
      </c>
    </row>
    <row r="11046" spans="1:5" hidden="1" x14ac:dyDescent="0.3">
      <c r="A11046" t="s">
        <v>557</v>
      </c>
      <c r="B11046" t="s">
        <v>748</v>
      </c>
      <c r="C11046" t="s">
        <v>360</v>
      </c>
      <c r="D11046" s="230">
        <v>0</v>
      </c>
      <c r="E11046" t="s">
        <v>749</v>
      </c>
    </row>
    <row r="11047" spans="1:5" hidden="1" x14ac:dyDescent="0.3">
      <c r="A11047" t="s">
        <v>557</v>
      </c>
      <c r="B11047" t="s">
        <v>748</v>
      </c>
      <c r="C11047" t="s">
        <v>361</v>
      </c>
      <c r="D11047" s="230">
        <v>0</v>
      </c>
      <c r="E11047" t="s">
        <v>749</v>
      </c>
    </row>
    <row r="11048" spans="1:5" hidden="1" x14ac:dyDescent="0.3">
      <c r="A11048" t="s">
        <v>557</v>
      </c>
      <c r="B11048" t="s">
        <v>748</v>
      </c>
      <c r="C11048" t="s">
        <v>362</v>
      </c>
      <c r="D11048" s="230">
        <v>0</v>
      </c>
      <c r="E11048" t="s">
        <v>749</v>
      </c>
    </row>
    <row r="11049" spans="1:5" hidden="1" x14ac:dyDescent="0.3">
      <c r="A11049" t="s">
        <v>557</v>
      </c>
      <c r="B11049" t="s">
        <v>748</v>
      </c>
      <c r="C11049" t="s">
        <v>363</v>
      </c>
      <c r="D11049" s="230">
        <v>0</v>
      </c>
      <c r="E11049" t="s">
        <v>749</v>
      </c>
    </row>
    <row r="11050" spans="1:5" hidden="1" x14ac:dyDescent="0.3">
      <c r="A11050" t="s">
        <v>557</v>
      </c>
      <c r="B11050" t="s">
        <v>748</v>
      </c>
      <c r="C11050" t="s">
        <v>364</v>
      </c>
      <c r="D11050" s="230">
        <v>0</v>
      </c>
      <c r="E11050" t="s">
        <v>749</v>
      </c>
    </row>
    <row r="11051" spans="1:5" hidden="1" x14ac:dyDescent="0.3">
      <c r="A11051" t="s">
        <v>557</v>
      </c>
      <c r="B11051" t="s">
        <v>748</v>
      </c>
      <c r="C11051" t="s">
        <v>365</v>
      </c>
      <c r="D11051" s="230">
        <v>-14833.34</v>
      </c>
      <c r="E11051" t="s">
        <v>749</v>
      </c>
    </row>
    <row r="11052" spans="1:5" hidden="1" x14ac:dyDescent="0.3">
      <c r="A11052" t="s">
        <v>557</v>
      </c>
      <c r="B11052" t="s">
        <v>748</v>
      </c>
      <c r="C11052" t="s">
        <v>366</v>
      </c>
      <c r="D11052" s="230">
        <v>0</v>
      </c>
      <c r="E11052" t="s">
        <v>749</v>
      </c>
    </row>
    <row r="11053" spans="1:5" hidden="1" x14ac:dyDescent="0.3">
      <c r="A11053" t="s">
        <v>557</v>
      </c>
      <c r="B11053" t="s">
        <v>748</v>
      </c>
      <c r="C11053" t="s">
        <v>367</v>
      </c>
      <c r="D11053" s="230">
        <v>0</v>
      </c>
      <c r="E11053" t="s">
        <v>749</v>
      </c>
    </row>
    <row r="11054" spans="1:5" hidden="1" x14ac:dyDescent="0.3">
      <c r="A11054" t="s">
        <v>557</v>
      </c>
      <c r="B11054" t="s">
        <v>748</v>
      </c>
      <c r="C11054" t="s">
        <v>368</v>
      </c>
      <c r="D11054" s="230">
        <v>0</v>
      </c>
      <c r="E11054" t="s">
        <v>749</v>
      </c>
    </row>
    <row r="11055" spans="1:5" hidden="1" x14ac:dyDescent="0.3">
      <c r="A11055" t="s">
        <v>557</v>
      </c>
      <c r="B11055" t="s">
        <v>748</v>
      </c>
      <c r="C11055" t="s">
        <v>369</v>
      </c>
      <c r="D11055" s="230">
        <v>-14833.34</v>
      </c>
      <c r="E11055" t="s">
        <v>749</v>
      </c>
    </row>
    <row r="11056" spans="1:5" hidden="1" x14ac:dyDescent="0.3">
      <c r="A11056" t="s">
        <v>557</v>
      </c>
      <c r="B11056" t="s">
        <v>748</v>
      </c>
      <c r="C11056" t="s">
        <v>370</v>
      </c>
      <c r="D11056" s="230">
        <v>0</v>
      </c>
      <c r="E11056" t="s">
        <v>749</v>
      </c>
    </row>
    <row r="11057" spans="1:5" hidden="1" x14ac:dyDescent="0.3">
      <c r="A11057" t="s">
        <v>557</v>
      </c>
      <c r="B11057" t="s">
        <v>748</v>
      </c>
      <c r="C11057" t="s">
        <v>371</v>
      </c>
      <c r="D11057" s="230">
        <v>0</v>
      </c>
      <c r="E11057" t="s">
        <v>749</v>
      </c>
    </row>
    <row r="11058" spans="1:5" hidden="1" x14ac:dyDescent="0.3">
      <c r="A11058" t="s">
        <v>557</v>
      </c>
      <c r="B11058" t="s">
        <v>748</v>
      </c>
      <c r="C11058" t="s">
        <v>372</v>
      </c>
      <c r="D11058" s="230">
        <v>0</v>
      </c>
      <c r="E11058" t="s">
        <v>749</v>
      </c>
    </row>
    <row r="11059" spans="1:5" hidden="1" x14ac:dyDescent="0.3">
      <c r="A11059" t="s">
        <v>557</v>
      </c>
      <c r="B11059" t="s">
        <v>748</v>
      </c>
      <c r="C11059" t="s">
        <v>373</v>
      </c>
      <c r="D11059" s="230">
        <v>-14833.34</v>
      </c>
      <c r="E11059" t="s">
        <v>749</v>
      </c>
    </row>
    <row r="11060" spans="1:5" hidden="1" x14ac:dyDescent="0.3">
      <c r="A11060" t="s">
        <v>557</v>
      </c>
      <c r="B11060" t="s">
        <v>748</v>
      </c>
      <c r="C11060" t="s">
        <v>374</v>
      </c>
      <c r="D11060" s="230">
        <v>-90727.69</v>
      </c>
      <c r="E11060" t="s">
        <v>749</v>
      </c>
    </row>
    <row r="11061" spans="1:5" hidden="1" x14ac:dyDescent="0.3">
      <c r="A11061" t="s">
        <v>557</v>
      </c>
      <c r="B11061" t="s">
        <v>748</v>
      </c>
      <c r="C11061" t="s">
        <v>708</v>
      </c>
      <c r="D11061" s="230">
        <v>-90727.69</v>
      </c>
      <c r="E11061" t="s">
        <v>749</v>
      </c>
    </row>
    <row r="11062" spans="1:5" hidden="1" x14ac:dyDescent="0.3">
      <c r="A11062" t="s">
        <v>557</v>
      </c>
      <c r="B11062" t="s">
        <v>750</v>
      </c>
      <c r="C11062" t="s">
        <v>11</v>
      </c>
      <c r="D11062" s="230">
        <v>420160.77</v>
      </c>
      <c r="E11062" t="s">
        <v>751</v>
      </c>
    </row>
    <row r="11063" spans="1:5" hidden="1" x14ac:dyDescent="0.3">
      <c r="A11063" t="s">
        <v>557</v>
      </c>
      <c r="B11063" t="s">
        <v>750</v>
      </c>
      <c r="C11063" t="s">
        <v>13</v>
      </c>
      <c r="D11063" s="230">
        <v>213035.3</v>
      </c>
      <c r="E11063" t="s">
        <v>751</v>
      </c>
    </row>
    <row r="11064" spans="1:5" hidden="1" x14ac:dyDescent="0.3">
      <c r="A11064" t="s">
        <v>557</v>
      </c>
      <c r="B11064" t="s">
        <v>750</v>
      </c>
      <c r="C11064" t="s">
        <v>16</v>
      </c>
      <c r="D11064" s="230">
        <v>80053.5</v>
      </c>
      <c r="E11064" t="s">
        <v>751</v>
      </c>
    </row>
    <row r="11065" spans="1:5" hidden="1" x14ac:dyDescent="0.3">
      <c r="A11065" t="s">
        <v>557</v>
      </c>
      <c r="B11065" t="s">
        <v>750</v>
      </c>
      <c r="C11065" t="s">
        <v>17</v>
      </c>
      <c r="D11065" s="230">
        <v>6790</v>
      </c>
      <c r="E11065" t="s">
        <v>751</v>
      </c>
    </row>
    <row r="11066" spans="1:5" hidden="1" x14ac:dyDescent="0.3">
      <c r="A11066" t="s">
        <v>557</v>
      </c>
      <c r="B11066" t="s">
        <v>750</v>
      </c>
      <c r="C11066" t="s">
        <v>18</v>
      </c>
      <c r="D11066" s="230">
        <v>0</v>
      </c>
      <c r="E11066" t="s">
        <v>751</v>
      </c>
    </row>
    <row r="11067" spans="1:5" hidden="1" x14ac:dyDescent="0.3">
      <c r="A11067" t="s">
        <v>557</v>
      </c>
      <c r="B11067" t="s">
        <v>750</v>
      </c>
      <c r="C11067" t="s">
        <v>20</v>
      </c>
      <c r="D11067" s="230">
        <v>37645.9</v>
      </c>
      <c r="E11067" t="s">
        <v>751</v>
      </c>
    </row>
    <row r="11068" spans="1:5" hidden="1" x14ac:dyDescent="0.3">
      <c r="A11068" t="s">
        <v>557</v>
      </c>
      <c r="B11068" t="s">
        <v>750</v>
      </c>
      <c r="C11068" t="s">
        <v>23</v>
      </c>
      <c r="D11068" s="230">
        <v>55945.58</v>
      </c>
      <c r="E11068" t="s">
        <v>751</v>
      </c>
    </row>
    <row r="11069" spans="1:5" hidden="1" x14ac:dyDescent="0.3">
      <c r="A11069" t="s">
        <v>557</v>
      </c>
      <c r="B11069" t="s">
        <v>750</v>
      </c>
      <c r="C11069" t="s">
        <v>25</v>
      </c>
      <c r="D11069" s="230">
        <v>0</v>
      </c>
      <c r="E11069" t="s">
        <v>751</v>
      </c>
    </row>
    <row r="11070" spans="1:5" hidden="1" x14ac:dyDescent="0.3">
      <c r="A11070" t="s">
        <v>557</v>
      </c>
      <c r="B11070" t="s">
        <v>750</v>
      </c>
      <c r="C11070" t="s">
        <v>26</v>
      </c>
      <c r="D11070" s="230">
        <v>7440</v>
      </c>
      <c r="E11070" t="s">
        <v>751</v>
      </c>
    </row>
    <row r="11071" spans="1:5" hidden="1" x14ac:dyDescent="0.3">
      <c r="A11071" t="s">
        <v>557</v>
      </c>
      <c r="B11071" t="s">
        <v>750</v>
      </c>
      <c r="C11071" t="s">
        <v>27</v>
      </c>
      <c r="D11071" s="230">
        <v>0</v>
      </c>
      <c r="E11071" t="s">
        <v>751</v>
      </c>
    </row>
    <row r="11072" spans="1:5" hidden="1" x14ac:dyDescent="0.3">
      <c r="A11072" t="s">
        <v>557</v>
      </c>
      <c r="B11072" t="s">
        <v>750</v>
      </c>
      <c r="C11072" t="s">
        <v>29</v>
      </c>
      <c r="D11072" s="230">
        <v>19074.990000000002</v>
      </c>
      <c r="E11072" t="s">
        <v>751</v>
      </c>
    </row>
    <row r="11073" spans="1:5" hidden="1" x14ac:dyDescent="0.3">
      <c r="A11073" t="s">
        <v>557</v>
      </c>
      <c r="B11073" t="s">
        <v>750</v>
      </c>
      <c r="C11073" t="s">
        <v>31</v>
      </c>
      <c r="D11073" s="230">
        <v>175.5</v>
      </c>
      <c r="E11073" t="s">
        <v>751</v>
      </c>
    </row>
    <row r="11074" spans="1:5" hidden="1" x14ac:dyDescent="0.3">
      <c r="A11074" t="s">
        <v>557</v>
      </c>
      <c r="B11074" t="s">
        <v>750</v>
      </c>
      <c r="C11074" t="s">
        <v>34</v>
      </c>
      <c r="D11074" s="230">
        <v>-12997.43</v>
      </c>
      <c r="E11074" t="s">
        <v>751</v>
      </c>
    </row>
    <row r="11075" spans="1:5" hidden="1" x14ac:dyDescent="0.3">
      <c r="A11075" t="s">
        <v>557</v>
      </c>
      <c r="B11075" t="s">
        <v>750</v>
      </c>
      <c r="C11075" t="s">
        <v>38</v>
      </c>
      <c r="D11075" s="230">
        <v>-1807.59</v>
      </c>
      <c r="E11075" t="s">
        <v>751</v>
      </c>
    </row>
    <row r="11076" spans="1:5" hidden="1" x14ac:dyDescent="0.3">
      <c r="A11076" t="s">
        <v>557</v>
      </c>
      <c r="B11076" t="s">
        <v>750</v>
      </c>
      <c r="C11076" t="s">
        <v>40</v>
      </c>
      <c r="D11076" s="230">
        <v>-9485.4</v>
      </c>
      <c r="E11076" t="s">
        <v>751</v>
      </c>
    </row>
    <row r="11077" spans="1:5" hidden="1" x14ac:dyDescent="0.3">
      <c r="A11077" t="s">
        <v>557</v>
      </c>
      <c r="B11077" t="s">
        <v>750</v>
      </c>
      <c r="C11077" t="s">
        <v>42</v>
      </c>
      <c r="D11077" s="230">
        <v>-1704.44</v>
      </c>
      <c r="E11077" t="s">
        <v>751</v>
      </c>
    </row>
    <row r="11078" spans="1:5" hidden="1" x14ac:dyDescent="0.3">
      <c r="A11078" t="s">
        <v>557</v>
      </c>
      <c r="B11078" t="s">
        <v>750</v>
      </c>
      <c r="C11078" t="s">
        <v>44</v>
      </c>
      <c r="D11078" s="230">
        <v>-0.03</v>
      </c>
      <c r="E11078" t="s">
        <v>751</v>
      </c>
    </row>
    <row r="11079" spans="1:5" hidden="1" x14ac:dyDescent="0.3">
      <c r="A11079" t="s">
        <v>557</v>
      </c>
      <c r="B11079" t="s">
        <v>750</v>
      </c>
      <c r="C11079" t="s">
        <v>45</v>
      </c>
      <c r="D11079" s="230">
        <v>-27915.82</v>
      </c>
      <c r="E11079" t="s">
        <v>751</v>
      </c>
    </row>
    <row r="11080" spans="1:5" hidden="1" x14ac:dyDescent="0.3">
      <c r="A11080" t="s">
        <v>557</v>
      </c>
      <c r="B11080" t="s">
        <v>750</v>
      </c>
      <c r="C11080" t="s">
        <v>46</v>
      </c>
      <c r="D11080" s="230">
        <v>-12819.45</v>
      </c>
      <c r="E11080" t="s">
        <v>751</v>
      </c>
    </row>
    <row r="11081" spans="1:5" hidden="1" x14ac:dyDescent="0.3">
      <c r="A11081" t="s">
        <v>557</v>
      </c>
      <c r="B11081" t="s">
        <v>750</v>
      </c>
      <c r="C11081" t="s">
        <v>48</v>
      </c>
      <c r="D11081" s="230">
        <v>-14724.37</v>
      </c>
      <c r="E11081" t="s">
        <v>751</v>
      </c>
    </row>
    <row r="11082" spans="1:5" hidden="1" x14ac:dyDescent="0.3">
      <c r="A11082" t="s">
        <v>557</v>
      </c>
      <c r="B11082" t="s">
        <v>750</v>
      </c>
      <c r="C11082" t="s">
        <v>49</v>
      </c>
      <c r="D11082" s="230">
        <v>-372</v>
      </c>
      <c r="E11082" t="s">
        <v>751</v>
      </c>
    </row>
    <row r="11083" spans="1:5" hidden="1" x14ac:dyDescent="0.3">
      <c r="A11083" t="s">
        <v>557</v>
      </c>
      <c r="B11083" t="s">
        <v>750</v>
      </c>
      <c r="C11083" t="s">
        <v>50</v>
      </c>
      <c r="D11083" s="230">
        <v>379247.52</v>
      </c>
      <c r="E11083" t="s">
        <v>751</v>
      </c>
    </row>
    <row r="11084" spans="1:5" hidden="1" x14ac:dyDescent="0.3">
      <c r="A11084" t="s">
        <v>557</v>
      </c>
      <c r="B11084" t="s">
        <v>750</v>
      </c>
      <c r="C11084" t="s">
        <v>51</v>
      </c>
      <c r="D11084" s="230">
        <v>-99432.54</v>
      </c>
      <c r="E11084" t="s">
        <v>751</v>
      </c>
    </row>
    <row r="11085" spans="1:5" hidden="1" x14ac:dyDescent="0.3">
      <c r="A11085" t="s">
        <v>557</v>
      </c>
      <c r="B11085" t="s">
        <v>750</v>
      </c>
      <c r="C11085" t="s">
        <v>52</v>
      </c>
      <c r="D11085" s="230">
        <v>-69624.289999999994</v>
      </c>
      <c r="E11085" t="s">
        <v>751</v>
      </c>
    </row>
    <row r="11086" spans="1:5" hidden="1" x14ac:dyDescent="0.3">
      <c r="A11086" t="s">
        <v>557</v>
      </c>
      <c r="B11086" t="s">
        <v>750</v>
      </c>
      <c r="C11086" t="s">
        <v>53</v>
      </c>
      <c r="D11086" s="230">
        <v>-28738.37</v>
      </c>
      <c r="E11086" t="s">
        <v>751</v>
      </c>
    </row>
    <row r="11087" spans="1:5" hidden="1" x14ac:dyDescent="0.3">
      <c r="A11087" t="s">
        <v>557</v>
      </c>
      <c r="B11087" t="s">
        <v>750</v>
      </c>
      <c r="C11087" t="s">
        <v>54</v>
      </c>
      <c r="D11087" s="230">
        <v>-1069.8800000000001</v>
      </c>
      <c r="E11087" t="s">
        <v>751</v>
      </c>
    </row>
    <row r="11088" spans="1:5" hidden="1" x14ac:dyDescent="0.3">
      <c r="A11088" t="s">
        <v>557</v>
      </c>
      <c r="B11088" t="s">
        <v>750</v>
      </c>
      <c r="C11088" t="s">
        <v>23</v>
      </c>
      <c r="D11088" s="230">
        <v>0</v>
      </c>
      <c r="E11088" t="s">
        <v>751</v>
      </c>
    </row>
    <row r="11089" spans="1:5" hidden="1" x14ac:dyDescent="0.3">
      <c r="A11089" t="s">
        <v>557</v>
      </c>
      <c r="B11089" t="s">
        <v>750</v>
      </c>
      <c r="C11089" t="s">
        <v>44</v>
      </c>
      <c r="D11089" s="230">
        <v>-0.27</v>
      </c>
      <c r="E11089" t="s">
        <v>751</v>
      </c>
    </row>
    <row r="11090" spans="1:5" hidden="1" x14ac:dyDescent="0.3">
      <c r="A11090" t="s">
        <v>557</v>
      </c>
      <c r="B11090" t="s">
        <v>750</v>
      </c>
      <c r="C11090" t="s">
        <v>55</v>
      </c>
      <c r="D11090" s="230">
        <v>-0.26</v>
      </c>
      <c r="E11090" t="s">
        <v>751</v>
      </c>
    </row>
    <row r="11091" spans="1:5" hidden="1" x14ac:dyDescent="0.3">
      <c r="A11091" t="s">
        <v>557</v>
      </c>
      <c r="B11091" t="s">
        <v>750</v>
      </c>
      <c r="C11091" t="s">
        <v>56</v>
      </c>
      <c r="D11091" s="230">
        <v>-5385.37</v>
      </c>
      <c r="E11091" t="s">
        <v>751</v>
      </c>
    </row>
    <row r="11092" spans="1:5" hidden="1" x14ac:dyDescent="0.3">
      <c r="A11092" t="s">
        <v>557</v>
      </c>
      <c r="B11092" t="s">
        <v>750</v>
      </c>
      <c r="C11092" t="s">
        <v>57</v>
      </c>
      <c r="D11092" s="230">
        <v>-4385.38</v>
      </c>
      <c r="E11092" t="s">
        <v>751</v>
      </c>
    </row>
    <row r="11093" spans="1:5" hidden="1" x14ac:dyDescent="0.3">
      <c r="A11093" t="s">
        <v>557</v>
      </c>
      <c r="B11093" t="s">
        <v>750</v>
      </c>
      <c r="C11093" t="s">
        <v>58</v>
      </c>
      <c r="D11093" s="230">
        <v>-4200</v>
      </c>
      <c r="E11093" t="s">
        <v>751</v>
      </c>
    </row>
    <row r="11094" spans="1:5" hidden="1" x14ac:dyDescent="0.3">
      <c r="A11094" t="s">
        <v>557</v>
      </c>
      <c r="B11094" t="s">
        <v>750</v>
      </c>
      <c r="C11094" t="s">
        <v>59</v>
      </c>
      <c r="D11094" s="230">
        <v>-185.38</v>
      </c>
      <c r="E11094" t="s">
        <v>751</v>
      </c>
    </row>
    <row r="11095" spans="1:5" hidden="1" x14ac:dyDescent="0.3">
      <c r="A11095" t="s">
        <v>557</v>
      </c>
      <c r="B11095" t="s">
        <v>750</v>
      </c>
      <c r="C11095" t="s">
        <v>61</v>
      </c>
      <c r="D11095" s="230">
        <v>0</v>
      </c>
      <c r="E11095" t="s">
        <v>751</v>
      </c>
    </row>
    <row r="11096" spans="1:5" hidden="1" x14ac:dyDescent="0.3">
      <c r="A11096" t="s">
        <v>557</v>
      </c>
      <c r="B11096" t="s">
        <v>750</v>
      </c>
      <c r="C11096" t="s">
        <v>62</v>
      </c>
      <c r="D11096" s="230">
        <v>0</v>
      </c>
      <c r="E11096" t="s">
        <v>751</v>
      </c>
    </row>
    <row r="11097" spans="1:5" hidden="1" x14ac:dyDescent="0.3">
      <c r="A11097" t="s">
        <v>557</v>
      </c>
      <c r="B11097" t="s">
        <v>750</v>
      </c>
      <c r="C11097" t="s">
        <v>64</v>
      </c>
      <c r="D11097" s="230">
        <v>0</v>
      </c>
      <c r="E11097" t="s">
        <v>751</v>
      </c>
    </row>
    <row r="11098" spans="1:5" hidden="1" x14ac:dyDescent="0.3">
      <c r="A11098" t="s">
        <v>557</v>
      </c>
      <c r="B11098" t="s">
        <v>750</v>
      </c>
      <c r="C11098" t="s">
        <v>65</v>
      </c>
      <c r="D11098" s="230">
        <v>-999.99</v>
      </c>
      <c r="E11098" t="s">
        <v>751</v>
      </c>
    </row>
    <row r="11099" spans="1:5" hidden="1" x14ac:dyDescent="0.3">
      <c r="A11099" t="s">
        <v>557</v>
      </c>
      <c r="B11099" t="s">
        <v>750</v>
      </c>
      <c r="C11099" t="s">
        <v>66</v>
      </c>
      <c r="D11099" s="230">
        <v>-999.99</v>
      </c>
      <c r="E11099" t="s">
        <v>751</v>
      </c>
    </row>
    <row r="11100" spans="1:5" hidden="1" x14ac:dyDescent="0.3">
      <c r="A11100" t="s">
        <v>557</v>
      </c>
      <c r="B11100" t="s">
        <v>750</v>
      </c>
      <c r="C11100" t="s">
        <v>68</v>
      </c>
      <c r="D11100" s="230">
        <v>0</v>
      </c>
      <c r="E11100" t="s">
        <v>751</v>
      </c>
    </row>
    <row r="11101" spans="1:5" hidden="1" x14ac:dyDescent="0.3">
      <c r="A11101" t="s">
        <v>557</v>
      </c>
      <c r="B11101" t="s">
        <v>750</v>
      </c>
      <c r="C11101" t="s">
        <v>69</v>
      </c>
      <c r="D11101" s="230">
        <v>0</v>
      </c>
      <c r="E11101" t="s">
        <v>751</v>
      </c>
    </row>
    <row r="11102" spans="1:5" hidden="1" x14ac:dyDescent="0.3">
      <c r="A11102" t="s">
        <v>557</v>
      </c>
      <c r="B11102" t="s">
        <v>750</v>
      </c>
      <c r="C11102" t="s">
        <v>70</v>
      </c>
      <c r="D11102" s="230">
        <v>-0.79</v>
      </c>
      <c r="E11102" t="s">
        <v>751</v>
      </c>
    </row>
    <row r="11103" spans="1:5" hidden="1" x14ac:dyDescent="0.3">
      <c r="A11103" t="s">
        <v>557</v>
      </c>
      <c r="B11103" t="s">
        <v>750</v>
      </c>
      <c r="C11103" t="s">
        <v>44</v>
      </c>
      <c r="D11103" s="230">
        <v>-0.01</v>
      </c>
      <c r="E11103" t="s">
        <v>751</v>
      </c>
    </row>
    <row r="11104" spans="1:5" hidden="1" x14ac:dyDescent="0.3">
      <c r="A11104" t="s">
        <v>557</v>
      </c>
      <c r="B11104" t="s">
        <v>750</v>
      </c>
      <c r="C11104" t="s">
        <v>71</v>
      </c>
      <c r="D11104" s="230">
        <v>-3060.64</v>
      </c>
      <c r="E11104" t="s">
        <v>751</v>
      </c>
    </row>
    <row r="11105" spans="1:5" hidden="1" x14ac:dyDescent="0.3">
      <c r="A11105" t="s">
        <v>557</v>
      </c>
      <c r="B11105" t="s">
        <v>750</v>
      </c>
      <c r="C11105" t="s">
        <v>72</v>
      </c>
      <c r="D11105" s="230">
        <v>-3060.64</v>
      </c>
      <c r="E11105" t="s">
        <v>751</v>
      </c>
    </row>
    <row r="11106" spans="1:5" hidden="1" x14ac:dyDescent="0.3">
      <c r="A11106" t="s">
        <v>557</v>
      </c>
      <c r="B11106" t="s">
        <v>750</v>
      </c>
      <c r="C11106" t="s">
        <v>73</v>
      </c>
      <c r="D11106" s="230">
        <v>-2000</v>
      </c>
      <c r="E11106" t="s">
        <v>751</v>
      </c>
    </row>
    <row r="11107" spans="1:5" hidden="1" x14ac:dyDescent="0.3">
      <c r="A11107" t="s">
        <v>557</v>
      </c>
      <c r="B11107" t="s">
        <v>750</v>
      </c>
      <c r="C11107" t="s">
        <v>75</v>
      </c>
      <c r="D11107" s="230">
        <v>-1060.6400000000001</v>
      </c>
      <c r="E11107" t="s">
        <v>751</v>
      </c>
    </row>
    <row r="11108" spans="1:5" hidden="1" x14ac:dyDescent="0.3">
      <c r="A11108" t="s">
        <v>557</v>
      </c>
      <c r="B11108" t="s">
        <v>750</v>
      </c>
      <c r="C11108" t="s">
        <v>77</v>
      </c>
      <c r="D11108" s="230">
        <v>0</v>
      </c>
      <c r="E11108" t="s">
        <v>751</v>
      </c>
    </row>
    <row r="11109" spans="1:5" hidden="1" x14ac:dyDescent="0.3">
      <c r="A11109" t="s">
        <v>557</v>
      </c>
      <c r="B11109" t="s">
        <v>750</v>
      </c>
      <c r="C11109" t="s">
        <v>78</v>
      </c>
      <c r="D11109" s="230">
        <v>0</v>
      </c>
      <c r="E11109" t="s">
        <v>751</v>
      </c>
    </row>
    <row r="11110" spans="1:5" hidden="1" x14ac:dyDescent="0.3">
      <c r="A11110" t="s">
        <v>557</v>
      </c>
      <c r="B11110" t="s">
        <v>750</v>
      </c>
      <c r="C11110" t="s">
        <v>80</v>
      </c>
      <c r="D11110" s="230">
        <v>0</v>
      </c>
      <c r="E11110" t="s">
        <v>751</v>
      </c>
    </row>
    <row r="11111" spans="1:5" hidden="1" x14ac:dyDescent="0.3">
      <c r="A11111" t="s">
        <v>557</v>
      </c>
      <c r="B11111" t="s">
        <v>750</v>
      </c>
      <c r="C11111" t="s">
        <v>82</v>
      </c>
      <c r="D11111" s="230">
        <v>0</v>
      </c>
      <c r="E11111" t="s">
        <v>751</v>
      </c>
    </row>
    <row r="11112" spans="1:5" hidden="1" x14ac:dyDescent="0.3">
      <c r="A11112" t="s">
        <v>557</v>
      </c>
      <c r="B11112" t="s">
        <v>750</v>
      </c>
      <c r="C11112" t="s">
        <v>84</v>
      </c>
      <c r="D11112" s="230">
        <v>0</v>
      </c>
      <c r="E11112" t="s">
        <v>751</v>
      </c>
    </row>
    <row r="11113" spans="1:5" hidden="1" x14ac:dyDescent="0.3">
      <c r="A11113" t="s">
        <v>557</v>
      </c>
      <c r="B11113" t="s">
        <v>750</v>
      </c>
      <c r="C11113" t="s">
        <v>85</v>
      </c>
      <c r="D11113" s="230">
        <v>0</v>
      </c>
      <c r="E11113" t="s">
        <v>751</v>
      </c>
    </row>
    <row r="11114" spans="1:5" hidden="1" x14ac:dyDescent="0.3">
      <c r="A11114" t="s">
        <v>557</v>
      </c>
      <c r="B11114" t="s">
        <v>750</v>
      </c>
      <c r="C11114" t="s">
        <v>86</v>
      </c>
      <c r="D11114" s="230">
        <v>0</v>
      </c>
      <c r="E11114" t="s">
        <v>751</v>
      </c>
    </row>
    <row r="11115" spans="1:5" hidden="1" x14ac:dyDescent="0.3">
      <c r="A11115" t="s">
        <v>557</v>
      </c>
      <c r="B11115" t="s">
        <v>750</v>
      </c>
      <c r="C11115" t="s">
        <v>87</v>
      </c>
      <c r="D11115" s="230">
        <v>0</v>
      </c>
      <c r="E11115" t="s">
        <v>751</v>
      </c>
    </row>
    <row r="11116" spans="1:5" hidden="1" x14ac:dyDescent="0.3">
      <c r="A11116" t="s">
        <v>557</v>
      </c>
      <c r="B11116" t="s">
        <v>750</v>
      </c>
      <c r="C11116" t="s">
        <v>88</v>
      </c>
      <c r="D11116" s="230">
        <v>0</v>
      </c>
      <c r="E11116" t="s">
        <v>751</v>
      </c>
    </row>
    <row r="11117" spans="1:5" hidden="1" x14ac:dyDescent="0.3">
      <c r="A11117" t="s">
        <v>557</v>
      </c>
      <c r="B11117" t="s">
        <v>750</v>
      </c>
      <c r="C11117" t="s">
        <v>89</v>
      </c>
      <c r="D11117" s="230">
        <v>0</v>
      </c>
      <c r="E11117" t="s">
        <v>751</v>
      </c>
    </row>
    <row r="11118" spans="1:5" hidden="1" x14ac:dyDescent="0.3">
      <c r="A11118" t="s">
        <v>557</v>
      </c>
      <c r="B11118" t="s">
        <v>750</v>
      </c>
      <c r="C11118" t="s">
        <v>90</v>
      </c>
      <c r="D11118" s="230">
        <v>0</v>
      </c>
      <c r="E11118" t="s">
        <v>751</v>
      </c>
    </row>
    <row r="11119" spans="1:5" hidden="1" x14ac:dyDescent="0.3">
      <c r="A11119" t="s">
        <v>557</v>
      </c>
      <c r="B11119" t="s">
        <v>750</v>
      </c>
      <c r="C11119" t="s">
        <v>91</v>
      </c>
      <c r="D11119" s="230">
        <v>0</v>
      </c>
      <c r="E11119" t="s">
        <v>751</v>
      </c>
    </row>
    <row r="11120" spans="1:5" hidden="1" x14ac:dyDescent="0.3">
      <c r="A11120" t="s">
        <v>557</v>
      </c>
      <c r="B11120" t="s">
        <v>750</v>
      </c>
      <c r="C11120" t="s">
        <v>93</v>
      </c>
      <c r="D11120" s="230">
        <v>0</v>
      </c>
      <c r="E11120" t="s">
        <v>751</v>
      </c>
    </row>
    <row r="11121" spans="1:5" hidden="1" x14ac:dyDescent="0.3">
      <c r="A11121" t="s">
        <v>557</v>
      </c>
      <c r="B11121" t="s">
        <v>750</v>
      </c>
      <c r="C11121" t="s">
        <v>95</v>
      </c>
      <c r="D11121" s="230">
        <v>0</v>
      </c>
      <c r="E11121" t="s">
        <v>751</v>
      </c>
    </row>
    <row r="11122" spans="1:5" hidden="1" x14ac:dyDescent="0.3">
      <c r="A11122" t="s">
        <v>557</v>
      </c>
      <c r="B11122" t="s">
        <v>750</v>
      </c>
      <c r="C11122" t="s">
        <v>96</v>
      </c>
      <c r="D11122" s="230">
        <v>0</v>
      </c>
      <c r="E11122" t="s">
        <v>751</v>
      </c>
    </row>
    <row r="11123" spans="1:5" hidden="1" x14ac:dyDescent="0.3">
      <c r="A11123" t="s">
        <v>557</v>
      </c>
      <c r="B11123" t="s">
        <v>750</v>
      </c>
      <c r="C11123" t="s">
        <v>98</v>
      </c>
      <c r="D11123" s="230">
        <v>0</v>
      </c>
      <c r="E11123" t="s">
        <v>751</v>
      </c>
    </row>
    <row r="11124" spans="1:5" hidden="1" x14ac:dyDescent="0.3">
      <c r="A11124" t="s">
        <v>557</v>
      </c>
      <c r="B11124" t="s">
        <v>750</v>
      </c>
      <c r="C11124" t="s">
        <v>100</v>
      </c>
      <c r="D11124" s="230">
        <v>0</v>
      </c>
      <c r="E11124" t="s">
        <v>751</v>
      </c>
    </row>
    <row r="11125" spans="1:5" hidden="1" x14ac:dyDescent="0.3">
      <c r="A11125" t="s">
        <v>557</v>
      </c>
      <c r="B11125" t="s">
        <v>750</v>
      </c>
      <c r="C11125" t="s">
        <v>101</v>
      </c>
      <c r="D11125" s="230">
        <v>0</v>
      </c>
      <c r="E11125" t="s">
        <v>751</v>
      </c>
    </row>
    <row r="11126" spans="1:5" hidden="1" x14ac:dyDescent="0.3">
      <c r="A11126" t="s">
        <v>557</v>
      </c>
      <c r="B11126" t="s">
        <v>750</v>
      </c>
      <c r="C11126" t="s">
        <v>102</v>
      </c>
      <c r="D11126" s="230">
        <v>0</v>
      </c>
      <c r="E11126" t="s">
        <v>751</v>
      </c>
    </row>
    <row r="11127" spans="1:5" hidden="1" x14ac:dyDescent="0.3">
      <c r="A11127" t="s">
        <v>557</v>
      </c>
      <c r="B11127" t="s">
        <v>750</v>
      </c>
      <c r="C11127" t="s">
        <v>103</v>
      </c>
      <c r="D11127" s="230">
        <v>0</v>
      </c>
      <c r="E11127" t="s">
        <v>751</v>
      </c>
    </row>
    <row r="11128" spans="1:5" hidden="1" x14ac:dyDescent="0.3">
      <c r="A11128" t="s">
        <v>557</v>
      </c>
      <c r="B11128" t="s">
        <v>750</v>
      </c>
      <c r="C11128" t="s">
        <v>104</v>
      </c>
      <c r="D11128" s="230">
        <v>0</v>
      </c>
      <c r="E11128" t="s">
        <v>751</v>
      </c>
    </row>
    <row r="11129" spans="1:5" hidden="1" x14ac:dyDescent="0.3">
      <c r="A11129" t="s">
        <v>557</v>
      </c>
      <c r="B11129" t="s">
        <v>750</v>
      </c>
      <c r="C11129" t="s">
        <v>105</v>
      </c>
      <c r="D11129" s="230">
        <v>0</v>
      </c>
      <c r="E11129" t="s">
        <v>751</v>
      </c>
    </row>
    <row r="11130" spans="1:5" hidden="1" x14ac:dyDescent="0.3">
      <c r="A11130" t="s">
        <v>557</v>
      </c>
      <c r="B11130" t="s">
        <v>750</v>
      </c>
      <c r="C11130" t="s">
        <v>107</v>
      </c>
      <c r="D11130" s="230">
        <v>0</v>
      </c>
      <c r="E11130" t="s">
        <v>751</v>
      </c>
    </row>
    <row r="11131" spans="1:5" hidden="1" x14ac:dyDescent="0.3">
      <c r="A11131" t="s">
        <v>557</v>
      </c>
      <c r="B11131" t="s">
        <v>750</v>
      </c>
      <c r="C11131" t="s">
        <v>108</v>
      </c>
      <c r="D11131" s="230">
        <v>0</v>
      </c>
      <c r="E11131" t="s">
        <v>751</v>
      </c>
    </row>
    <row r="11132" spans="1:5" hidden="1" x14ac:dyDescent="0.3">
      <c r="A11132" t="s">
        <v>557</v>
      </c>
      <c r="B11132" t="s">
        <v>750</v>
      </c>
      <c r="C11132" t="s">
        <v>109</v>
      </c>
      <c r="D11132" s="230">
        <v>0</v>
      </c>
      <c r="E11132" t="s">
        <v>751</v>
      </c>
    </row>
    <row r="11133" spans="1:5" hidden="1" x14ac:dyDescent="0.3">
      <c r="A11133" t="s">
        <v>557</v>
      </c>
      <c r="B11133" t="s">
        <v>750</v>
      </c>
      <c r="C11133" t="s">
        <v>110</v>
      </c>
      <c r="D11133" s="230">
        <v>-0.05</v>
      </c>
      <c r="E11133" t="s">
        <v>751</v>
      </c>
    </row>
    <row r="11134" spans="1:5" hidden="1" x14ac:dyDescent="0.3">
      <c r="A11134" t="s">
        <v>557</v>
      </c>
      <c r="B11134" t="s">
        <v>750</v>
      </c>
      <c r="C11134" t="s">
        <v>44</v>
      </c>
      <c r="D11134" s="230">
        <v>-0.01</v>
      </c>
      <c r="E11134" t="s">
        <v>751</v>
      </c>
    </row>
    <row r="11135" spans="1:5" hidden="1" x14ac:dyDescent="0.3">
      <c r="A11135" t="s">
        <v>557</v>
      </c>
      <c r="B11135" t="s">
        <v>750</v>
      </c>
      <c r="C11135" t="s">
        <v>111</v>
      </c>
      <c r="D11135" s="230">
        <v>-31687.1</v>
      </c>
      <c r="E11135" t="s">
        <v>751</v>
      </c>
    </row>
    <row r="11136" spans="1:5" hidden="1" x14ac:dyDescent="0.3">
      <c r="A11136" t="s">
        <v>557</v>
      </c>
      <c r="B11136" t="s">
        <v>750</v>
      </c>
      <c r="C11136" t="s">
        <v>608</v>
      </c>
      <c r="D11136" s="230">
        <v>-31687.1</v>
      </c>
      <c r="E11136" t="s">
        <v>751</v>
      </c>
    </row>
    <row r="11137" spans="1:5" hidden="1" x14ac:dyDescent="0.3">
      <c r="A11137" t="s">
        <v>557</v>
      </c>
      <c r="B11137" t="s">
        <v>750</v>
      </c>
      <c r="C11137" t="s">
        <v>44</v>
      </c>
      <c r="D11137" s="230">
        <v>-0.08</v>
      </c>
      <c r="E11137" t="s">
        <v>751</v>
      </c>
    </row>
    <row r="11138" spans="1:5" hidden="1" x14ac:dyDescent="0.3">
      <c r="A11138" t="s">
        <v>557</v>
      </c>
      <c r="B11138" t="s">
        <v>750</v>
      </c>
      <c r="C11138" t="s">
        <v>115</v>
      </c>
      <c r="D11138" s="230">
        <v>-10969.84</v>
      </c>
      <c r="E11138" t="s">
        <v>751</v>
      </c>
    </row>
    <row r="11139" spans="1:5" hidden="1" x14ac:dyDescent="0.3">
      <c r="A11139" t="s">
        <v>557</v>
      </c>
      <c r="B11139" t="s">
        <v>750</v>
      </c>
      <c r="C11139" t="s">
        <v>116</v>
      </c>
      <c r="D11139" s="230">
        <v>-4738.22</v>
      </c>
      <c r="E11139" t="s">
        <v>751</v>
      </c>
    </row>
    <row r="11140" spans="1:5" hidden="1" x14ac:dyDescent="0.3">
      <c r="A11140" t="s">
        <v>557</v>
      </c>
      <c r="B11140" t="s">
        <v>750</v>
      </c>
      <c r="C11140" t="s">
        <v>118</v>
      </c>
      <c r="D11140" s="230">
        <v>-6231.62</v>
      </c>
      <c r="E11140" t="s">
        <v>751</v>
      </c>
    </row>
    <row r="11141" spans="1:5" hidden="1" x14ac:dyDescent="0.3">
      <c r="A11141" t="s">
        <v>557</v>
      </c>
      <c r="B11141" t="s">
        <v>750</v>
      </c>
      <c r="C11141" t="s">
        <v>120</v>
      </c>
      <c r="D11141" s="230">
        <v>0</v>
      </c>
      <c r="E11141" t="s">
        <v>751</v>
      </c>
    </row>
    <row r="11142" spans="1:5" hidden="1" x14ac:dyDescent="0.3">
      <c r="A11142" t="s">
        <v>557</v>
      </c>
      <c r="B11142" t="s">
        <v>750</v>
      </c>
      <c r="C11142" t="s">
        <v>122</v>
      </c>
      <c r="D11142" s="230">
        <v>0</v>
      </c>
      <c r="E11142" t="s">
        <v>751</v>
      </c>
    </row>
    <row r="11143" spans="1:5" hidden="1" x14ac:dyDescent="0.3">
      <c r="A11143" t="s">
        <v>557</v>
      </c>
      <c r="B11143" t="s">
        <v>750</v>
      </c>
      <c r="C11143" t="s">
        <v>44</v>
      </c>
      <c r="D11143" s="230">
        <v>-0.03</v>
      </c>
      <c r="E11143" t="s">
        <v>751</v>
      </c>
    </row>
    <row r="11144" spans="1:5" hidden="1" x14ac:dyDescent="0.3">
      <c r="A11144" t="s">
        <v>557</v>
      </c>
      <c r="B11144" t="s">
        <v>750</v>
      </c>
      <c r="C11144" t="s">
        <v>126</v>
      </c>
      <c r="D11144" s="230">
        <v>228712.03</v>
      </c>
      <c r="E11144" t="s">
        <v>751</v>
      </c>
    </row>
    <row r="11145" spans="1:5" hidden="1" x14ac:dyDescent="0.3">
      <c r="A11145" t="s">
        <v>557</v>
      </c>
      <c r="B11145" t="s">
        <v>750</v>
      </c>
      <c r="C11145" t="s">
        <v>127</v>
      </c>
      <c r="D11145" s="230">
        <v>0.54</v>
      </c>
      <c r="E11145" t="s">
        <v>751</v>
      </c>
    </row>
    <row r="11146" spans="1:5" hidden="1" x14ac:dyDescent="0.3">
      <c r="A11146" t="s">
        <v>557</v>
      </c>
      <c r="B11146" t="s">
        <v>750</v>
      </c>
      <c r="C11146" t="s">
        <v>128</v>
      </c>
      <c r="D11146" s="230">
        <v>-135566.57999999999</v>
      </c>
      <c r="E11146" t="s">
        <v>751</v>
      </c>
    </row>
    <row r="11147" spans="1:5" hidden="1" x14ac:dyDescent="0.3">
      <c r="A11147" t="s">
        <v>557</v>
      </c>
      <c r="B11147" t="s">
        <v>750</v>
      </c>
      <c r="C11147" t="s">
        <v>129</v>
      </c>
      <c r="D11147" s="230">
        <v>-36475</v>
      </c>
      <c r="E11147" t="s">
        <v>751</v>
      </c>
    </row>
    <row r="11148" spans="1:5" hidden="1" x14ac:dyDescent="0.3">
      <c r="A11148" t="s">
        <v>557</v>
      </c>
      <c r="B11148" t="s">
        <v>750</v>
      </c>
      <c r="C11148" t="s">
        <v>609</v>
      </c>
      <c r="D11148" s="230">
        <v>0</v>
      </c>
      <c r="E11148" t="s">
        <v>751</v>
      </c>
    </row>
    <row r="11149" spans="1:5" hidden="1" x14ac:dyDescent="0.3">
      <c r="A11149" t="s">
        <v>557</v>
      </c>
      <c r="B11149" t="s">
        <v>750</v>
      </c>
      <c r="C11149" t="s">
        <v>610</v>
      </c>
      <c r="D11149" s="230">
        <v>-17600</v>
      </c>
      <c r="E11149" t="s">
        <v>751</v>
      </c>
    </row>
    <row r="11150" spans="1:5" hidden="1" x14ac:dyDescent="0.3">
      <c r="A11150" t="s">
        <v>557</v>
      </c>
      <c r="B11150" t="s">
        <v>750</v>
      </c>
      <c r="C11150" t="s">
        <v>611</v>
      </c>
      <c r="D11150" s="230">
        <v>0</v>
      </c>
      <c r="E11150" t="s">
        <v>751</v>
      </c>
    </row>
    <row r="11151" spans="1:5" hidden="1" x14ac:dyDescent="0.3">
      <c r="A11151" t="s">
        <v>557</v>
      </c>
      <c r="B11151" t="s">
        <v>750</v>
      </c>
      <c r="C11151" t="s">
        <v>612</v>
      </c>
      <c r="D11151" s="230">
        <v>-4000</v>
      </c>
      <c r="E11151" t="s">
        <v>751</v>
      </c>
    </row>
    <row r="11152" spans="1:5" hidden="1" x14ac:dyDescent="0.3">
      <c r="A11152" t="s">
        <v>557</v>
      </c>
      <c r="B11152" t="s">
        <v>750</v>
      </c>
      <c r="C11152" t="s">
        <v>613</v>
      </c>
      <c r="D11152" s="230">
        <v>-4375</v>
      </c>
      <c r="E11152" t="s">
        <v>751</v>
      </c>
    </row>
    <row r="11153" spans="1:5" hidden="1" x14ac:dyDescent="0.3">
      <c r="A11153" t="s">
        <v>557</v>
      </c>
      <c r="B11153" t="s">
        <v>750</v>
      </c>
      <c r="C11153" t="s">
        <v>614</v>
      </c>
      <c r="D11153" s="230">
        <v>-6500</v>
      </c>
      <c r="E11153" t="s">
        <v>751</v>
      </c>
    </row>
    <row r="11154" spans="1:5" hidden="1" x14ac:dyDescent="0.3">
      <c r="A11154" t="s">
        <v>557</v>
      </c>
      <c r="B11154" t="s">
        <v>750</v>
      </c>
      <c r="C11154" t="s">
        <v>615</v>
      </c>
      <c r="D11154" s="230">
        <v>0</v>
      </c>
      <c r="E11154" t="s">
        <v>751</v>
      </c>
    </row>
    <row r="11155" spans="1:5" hidden="1" x14ac:dyDescent="0.3">
      <c r="A11155" t="s">
        <v>557</v>
      </c>
      <c r="B11155" t="s">
        <v>750</v>
      </c>
      <c r="C11155" t="s">
        <v>616</v>
      </c>
      <c r="D11155" s="230">
        <v>-4000</v>
      </c>
      <c r="E11155" t="s">
        <v>751</v>
      </c>
    </row>
    <row r="11156" spans="1:5" hidden="1" x14ac:dyDescent="0.3">
      <c r="A11156" t="s">
        <v>557</v>
      </c>
      <c r="B11156" t="s">
        <v>750</v>
      </c>
      <c r="C11156" t="s">
        <v>617</v>
      </c>
      <c r="D11156" s="230">
        <v>0</v>
      </c>
      <c r="E11156" t="s">
        <v>751</v>
      </c>
    </row>
    <row r="11157" spans="1:5" hidden="1" x14ac:dyDescent="0.3">
      <c r="A11157" t="s">
        <v>557</v>
      </c>
      <c r="B11157" t="s">
        <v>750</v>
      </c>
      <c r="C11157" t="s">
        <v>618</v>
      </c>
      <c r="D11157" s="230">
        <v>0</v>
      </c>
      <c r="E11157" t="s">
        <v>751</v>
      </c>
    </row>
    <row r="11158" spans="1:5" hidden="1" x14ac:dyDescent="0.3">
      <c r="A11158" t="s">
        <v>557</v>
      </c>
      <c r="B11158" t="s">
        <v>750</v>
      </c>
      <c r="C11158" t="s">
        <v>619</v>
      </c>
      <c r="D11158" s="230">
        <v>0</v>
      </c>
      <c r="E11158" t="s">
        <v>751</v>
      </c>
    </row>
    <row r="11159" spans="1:5" hidden="1" x14ac:dyDescent="0.3">
      <c r="A11159" t="s">
        <v>557</v>
      </c>
      <c r="B11159" t="s">
        <v>750</v>
      </c>
      <c r="C11159" t="s">
        <v>620</v>
      </c>
      <c r="D11159" s="230">
        <v>0</v>
      </c>
      <c r="E11159" t="s">
        <v>751</v>
      </c>
    </row>
    <row r="11160" spans="1:5" hidden="1" x14ac:dyDescent="0.3">
      <c r="A11160" t="s">
        <v>557</v>
      </c>
      <c r="B11160" t="s">
        <v>750</v>
      </c>
      <c r="C11160" t="s">
        <v>575</v>
      </c>
      <c r="D11160" s="230">
        <v>-30553.65</v>
      </c>
      <c r="E11160" t="s">
        <v>751</v>
      </c>
    </row>
    <row r="11161" spans="1:5" hidden="1" x14ac:dyDescent="0.3">
      <c r="A11161" t="s">
        <v>557</v>
      </c>
      <c r="B11161" t="s">
        <v>750</v>
      </c>
      <c r="C11161" t="s">
        <v>621</v>
      </c>
      <c r="D11161" s="230">
        <v>0</v>
      </c>
      <c r="E11161" t="s">
        <v>751</v>
      </c>
    </row>
    <row r="11162" spans="1:5" hidden="1" x14ac:dyDescent="0.3">
      <c r="A11162" t="s">
        <v>557</v>
      </c>
      <c r="B11162" t="s">
        <v>750</v>
      </c>
      <c r="C11162" t="s">
        <v>622</v>
      </c>
      <c r="D11162" s="230">
        <v>0</v>
      </c>
      <c r="E11162" t="s">
        <v>751</v>
      </c>
    </row>
    <row r="11163" spans="1:5" hidden="1" x14ac:dyDescent="0.3">
      <c r="A11163" t="s">
        <v>557</v>
      </c>
      <c r="B11163" t="s">
        <v>750</v>
      </c>
      <c r="C11163" t="s">
        <v>623</v>
      </c>
      <c r="D11163" s="230">
        <v>0</v>
      </c>
      <c r="E11163" t="s">
        <v>751</v>
      </c>
    </row>
    <row r="11164" spans="1:5" hidden="1" x14ac:dyDescent="0.3">
      <c r="A11164" t="s">
        <v>557</v>
      </c>
      <c r="B11164" t="s">
        <v>750</v>
      </c>
      <c r="C11164" t="s">
        <v>624</v>
      </c>
      <c r="D11164" s="230">
        <v>0</v>
      </c>
      <c r="E11164" t="s">
        <v>751</v>
      </c>
    </row>
    <row r="11165" spans="1:5" hidden="1" x14ac:dyDescent="0.3">
      <c r="A11165" t="s">
        <v>557</v>
      </c>
      <c r="B11165" t="s">
        <v>750</v>
      </c>
      <c r="C11165" t="s">
        <v>625</v>
      </c>
      <c r="D11165" s="230">
        <v>0</v>
      </c>
      <c r="E11165" t="s">
        <v>751</v>
      </c>
    </row>
    <row r="11166" spans="1:5" hidden="1" x14ac:dyDescent="0.3">
      <c r="A11166" t="s">
        <v>557</v>
      </c>
      <c r="B11166" t="s">
        <v>750</v>
      </c>
      <c r="C11166" t="s">
        <v>626</v>
      </c>
      <c r="D11166" s="230">
        <v>0</v>
      </c>
      <c r="E11166" t="s">
        <v>751</v>
      </c>
    </row>
    <row r="11167" spans="1:5" hidden="1" x14ac:dyDescent="0.3">
      <c r="A11167" t="s">
        <v>557</v>
      </c>
      <c r="B11167" t="s">
        <v>750</v>
      </c>
      <c r="C11167" t="s">
        <v>627</v>
      </c>
      <c r="D11167" s="230">
        <v>0</v>
      </c>
      <c r="E11167" t="s">
        <v>751</v>
      </c>
    </row>
    <row r="11168" spans="1:5" hidden="1" x14ac:dyDescent="0.3">
      <c r="A11168" t="s">
        <v>557</v>
      </c>
      <c r="B11168" t="s">
        <v>750</v>
      </c>
      <c r="C11168" t="s">
        <v>628</v>
      </c>
      <c r="D11168" s="230">
        <v>0</v>
      </c>
      <c r="E11168" t="s">
        <v>751</v>
      </c>
    </row>
    <row r="11169" spans="1:5" hidden="1" x14ac:dyDescent="0.3">
      <c r="A11169" t="s">
        <v>557</v>
      </c>
      <c r="B11169" t="s">
        <v>750</v>
      </c>
      <c r="C11169" t="s">
        <v>629</v>
      </c>
      <c r="D11169" s="230">
        <v>0</v>
      </c>
      <c r="E11169" t="s">
        <v>751</v>
      </c>
    </row>
    <row r="11170" spans="1:5" hidden="1" x14ac:dyDescent="0.3">
      <c r="A11170" t="s">
        <v>557</v>
      </c>
      <c r="B11170" t="s">
        <v>750</v>
      </c>
      <c r="C11170" t="s">
        <v>630</v>
      </c>
      <c r="D11170" s="230">
        <v>0</v>
      </c>
      <c r="E11170" t="s">
        <v>751</v>
      </c>
    </row>
    <row r="11171" spans="1:5" hidden="1" x14ac:dyDescent="0.3">
      <c r="A11171" t="s">
        <v>557</v>
      </c>
      <c r="B11171" t="s">
        <v>750</v>
      </c>
      <c r="C11171" t="s">
        <v>631</v>
      </c>
      <c r="D11171" s="230">
        <v>0</v>
      </c>
      <c r="E11171" t="s">
        <v>751</v>
      </c>
    </row>
    <row r="11172" spans="1:5" hidden="1" x14ac:dyDescent="0.3">
      <c r="A11172" t="s">
        <v>557</v>
      </c>
      <c r="B11172" t="s">
        <v>750</v>
      </c>
      <c r="C11172" t="s">
        <v>632</v>
      </c>
      <c r="D11172" s="230">
        <v>0</v>
      </c>
      <c r="E11172" t="s">
        <v>751</v>
      </c>
    </row>
    <row r="11173" spans="1:5" hidden="1" x14ac:dyDescent="0.3">
      <c r="A11173" t="s">
        <v>557</v>
      </c>
      <c r="B11173" t="s">
        <v>750</v>
      </c>
      <c r="C11173" t="s">
        <v>633</v>
      </c>
      <c r="D11173" s="230">
        <v>0</v>
      </c>
      <c r="E11173" t="s">
        <v>751</v>
      </c>
    </row>
    <row r="11174" spans="1:5" hidden="1" x14ac:dyDescent="0.3">
      <c r="A11174" t="s">
        <v>557</v>
      </c>
      <c r="B11174" t="s">
        <v>750</v>
      </c>
      <c r="C11174" t="s">
        <v>634</v>
      </c>
      <c r="D11174" s="230">
        <v>0</v>
      </c>
      <c r="E11174" t="s">
        <v>751</v>
      </c>
    </row>
    <row r="11175" spans="1:5" hidden="1" x14ac:dyDescent="0.3">
      <c r="A11175" t="s">
        <v>557</v>
      </c>
      <c r="B11175" t="s">
        <v>750</v>
      </c>
      <c r="C11175" t="s">
        <v>635</v>
      </c>
      <c r="D11175" s="230">
        <v>0</v>
      </c>
      <c r="E11175" t="s">
        <v>751</v>
      </c>
    </row>
    <row r="11176" spans="1:5" hidden="1" x14ac:dyDescent="0.3">
      <c r="A11176" t="s">
        <v>557</v>
      </c>
      <c r="B11176" t="s">
        <v>750</v>
      </c>
      <c r="C11176" t="s">
        <v>636</v>
      </c>
      <c r="D11176" s="230">
        <v>0</v>
      </c>
      <c r="E11176" t="s">
        <v>751</v>
      </c>
    </row>
    <row r="11177" spans="1:5" hidden="1" x14ac:dyDescent="0.3">
      <c r="A11177" t="s">
        <v>557</v>
      </c>
      <c r="B11177" t="s">
        <v>750</v>
      </c>
      <c r="C11177" t="s">
        <v>637</v>
      </c>
      <c r="D11177" s="230">
        <v>0</v>
      </c>
      <c r="E11177" t="s">
        <v>751</v>
      </c>
    </row>
    <row r="11178" spans="1:5" hidden="1" x14ac:dyDescent="0.3">
      <c r="A11178" t="s">
        <v>557</v>
      </c>
      <c r="B11178" t="s">
        <v>750</v>
      </c>
      <c r="C11178" t="s">
        <v>638</v>
      </c>
      <c r="D11178" s="230">
        <v>0</v>
      </c>
      <c r="E11178" t="s">
        <v>751</v>
      </c>
    </row>
    <row r="11179" spans="1:5" hidden="1" x14ac:dyDescent="0.3">
      <c r="A11179" t="s">
        <v>557</v>
      </c>
      <c r="B11179" t="s">
        <v>750</v>
      </c>
      <c r="C11179" t="s">
        <v>639</v>
      </c>
      <c r="D11179" s="230">
        <v>0</v>
      </c>
      <c r="E11179" t="s">
        <v>751</v>
      </c>
    </row>
    <row r="11180" spans="1:5" hidden="1" x14ac:dyDescent="0.3">
      <c r="A11180" t="s">
        <v>557</v>
      </c>
      <c r="B11180" t="s">
        <v>750</v>
      </c>
      <c r="C11180" t="s">
        <v>640</v>
      </c>
      <c r="D11180" s="230">
        <v>0</v>
      </c>
      <c r="E11180" t="s">
        <v>751</v>
      </c>
    </row>
    <row r="11181" spans="1:5" hidden="1" x14ac:dyDescent="0.3">
      <c r="A11181" t="s">
        <v>557</v>
      </c>
      <c r="B11181" t="s">
        <v>750</v>
      </c>
      <c r="C11181" t="s">
        <v>641</v>
      </c>
      <c r="D11181" s="230">
        <v>0</v>
      </c>
      <c r="E11181" t="s">
        <v>751</v>
      </c>
    </row>
    <row r="11182" spans="1:5" hidden="1" x14ac:dyDescent="0.3">
      <c r="A11182" t="s">
        <v>557</v>
      </c>
      <c r="B11182" t="s">
        <v>750</v>
      </c>
      <c r="C11182" t="s">
        <v>642</v>
      </c>
      <c r="D11182" s="230">
        <v>0</v>
      </c>
      <c r="E11182" t="s">
        <v>751</v>
      </c>
    </row>
    <row r="11183" spans="1:5" hidden="1" x14ac:dyDescent="0.3">
      <c r="A11183" t="s">
        <v>557</v>
      </c>
      <c r="B11183" t="s">
        <v>750</v>
      </c>
      <c r="C11183" t="s">
        <v>643</v>
      </c>
      <c r="D11183" s="230">
        <v>0</v>
      </c>
      <c r="E11183" t="s">
        <v>751</v>
      </c>
    </row>
    <row r="11184" spans="1:5" hidden="1" x14ac:dyDescent="0.3">
      <c r="A11184" t="s">
        <v>557</v>
      </c>
      <c r="B11184" t="s">
        <v>750</v>
      </c>
      <c r="C11184" t="s">
        <v>644</v>
      </c>
      <c r="D11184" s="230">
        <v>0</v>
      </c>
      <c r="E11184" t="s">
        <v>751</v>
      </c>
    </row>
    <row r="11185" spans="1:5" hidden="1" x14ac:dyDescent="0.3">
      <c r="A11185" t="s">
        <v>557</v>
      </c>
      <c r="B11185" t="s">
        <v>750</v>
      </c>
      <c r="C11185" t="s">
        <v>645</v>
      </c>
      <c r="D11185" s="230">
        <v>0</v>
      </c>
      <c r="E11185" t="s">
        <v>751</v>
      </c>
    </row>
    <row r="11186" spans="1:5" hidden="1" x14ac:dyDescent="0.3">
      <c r="A11186" t="s">
        <v>557</v>
      </c>
      <c r="B11186" t="s">
        <v>750</v>
      </c>
      <c r="C11186" t="s">
        <v>646</v>
      </c>
      <c r="D11186" s="230">
        <v>0</v>
      </c>
      <c r="E11186" t="s">
        <v>751</v>
      </c>
    </row>
    <row r="11187" spans="1:5" hidden="1" x14ac:dyDescent="0.3">
      <c r="A11187" t="s">
        <v>557</v>
      </c>
      <c r="B11187" t="s">
        <v>750</v>
      </c>
      <c r="C11187" t="s">
        <v>647</v>
      </c>
      <c r="D11187" s="230">
        <v>0</v>
      </c>
      <c r="E11187" t="s">
        <v>751</v>
      </c>
    </row>
    <row r="11188" spans="1:5" hidden="1" x14ac:dyDescent="0.3">
      <c r="A11188" t="s">
        <v>557</v>
      </c>
      <c r="B11188" t="s">
        <v>750</v>
      </c>
      <c r="C11188" t="s">
        <v>648</v>
      </c>
      <c r="D11188" s="230">
        <v>0</v>
      </c>
      <c r="E11188" t="s">
        <v>751</v>
      </c>
    </row>
    <row r="11189" spans="1:5" hidden="1" x14ac:dyDescent="0.3">
      <c r="A11189" t="s">
        <v>557</v>
      </c>
      <c r="B11189" t="s">
        <v>750</v>
      </c>
      <c r="C11189" t="s">
        <v>649</v>
      </c>
      <c r="D11189" s="230">
        <v>0</v>
      </c>
      <c r="E11189" t="s">
        <v>751</v>
      </c>
    </row>
    <row r="11190" spans="1:5" hidden="1" x14ac:dyDescent="0.3">
      <c r="A11190" t="s">
        <v>557</v>
      </c>
      <c r="B11190" t="s">
        <v>750</v>
      </c>
      <c r="C11190" t="s">
        <v>650</v>
      </c>
      <c r="D11190" s="230">
        <v>0</v>
      </c>
      <c r="E11190" t="s">
        <v>751</v>
      </c>
    </row>
    <row r="11191" spans="1:5" hidden="1" x14ac:dyDescent="0.3">
      <c r="A11191" t="s">
        <v>557</v>
      </c>
      <c r="B11191" t="s">
        <v>750</v>
      </c>
      <c r="C11191" t="s">
        <v>651</v>
      </c>
      <c r="D11191" s="230">
        <v>0</v>
      </c>
      <c r="E11191" t="s">
        <v>751</v>
      </c>
    </row>
    <row r="11192" spans="1:5" hidden="1" x14ac:dyDescent="0.3">
      <c r="A11192" t="s">
        <v>557</v>
      </c>
      <c r="B11192" t="s">
        <v>750</v>
      </c>
      <c r="C11192" t="s">
        <v>652</v>
      </c>
      <c r="D11192" s="230">
        <v>0</v>
      </c>
      <c r="E11192" t="s">
        <v>751</v>
      </c>
    </row>
    <row r="11193" spans="1:5" hidden="1" x14ac:dyDescent="0.3">
      <c r="A11193" t="s">
        <v>557</v>
      </c>
      <c r="B11193" t="s">
        <v>750</v>
      </c>
      <c r="C11193" t="s">
        <v>653</v>
      </c>
      <c r="D11193" s="230">
        <v>0</v>
      </c>
      <c r="E11193" t="s">
        <v>751</v>
      </c>
    </row>
    <row r="11194" spans="1:5" hidden="1" x14ac:dyDescent="0.3">
      <c r="A11194" t="s">
        <v>557</v>
      </c>
      <c r="B11194" t="s">
        <v>750</v>
      </c>
      <c r="C11194" t="s">
        <v>654</v>
      </c>
      <c r="D11194" s="230">
        <v>0</v>
      </c>
      <c r="E11194" t="s">
        <v>751</v>
      </c>
    </row>
    <row r="11195" spans="1:5" hidden="1" x14ac:dyDescent="0.3">
      <c r="A11195" t="s">
        <v>557</v>
      </c>
      <c r="B11195" t="s">
        <v>750</v>
      </c>
      <c r="C11195" t="s">
        <v>655</v>
      </c>
      <c r="D11195" s="230">
        <v>0</v>
      </c>
      <c r="E11195" t="s">
        <v>751</v>
      </c>
    </row>
    <row r="11196" spans="1:5" hidden="1" x14ac:dyDescent="0.3">
      <c r="A11196" t="s">
        <v>557</v>
      </c>
      <c r="B11196" t="s">
        <v>750</v>
      </c>
      <c r="C11196" t="s">
        <v>656</v>
      </c>
      <c r="D11196" s="230">
        <v>0</v>
      </c>
      <c r="E11196" t="s">
        <v>751</v>
      </c>
    </row>
    <row r="11197" spans="1:5" hidden="1" x14ac:dyDescent="0.3">
      <c r="A11197" t="s">
        <v>557</v>
      </c>
      <c r="B11197" t="s">
        <v>750</v>
      </c>
      <c r="C11197" t="s">
        <v>657</v>
      </c>
      <c r="D11197" s="230">
        <v>0</v>
      </c>
      <c r="E11197" t="s">
        <v>751</v>
      </c>
    </row>
    <row r="11198" spans="1:5" hidden="1" x14ac:dyDescent="0.3">
      <c r="A11198" t="s">
        <v>557</v>
      </c>
      <c r="B11198" t="s">
        <v>750</v>
      </c>
      <c r="C11198" t="s">
        <v>658</v>
      </c>
      <c r="D11198" s="230">
        <v>0</v>
      </c>
      <c r="E11198" t="s">
        <v>751</v>
      </c>
    </row>
    <row r="11199" spans="1:5" hidden="1" x14ac:dyDescent="0.3">
      <c r="A11199" t="s">
        <v>557</v>
      </c>
      <c r="B11199" t="s">
        <v>750</v>
      </c>
      <c r="C11199" t="s">
        <v>659</v>
      </c>
      <c r="D11199" s="230">
        <v>0</v>
      </c>
      <c r="E11199" t="s">
        <v>751</v>
      </c>
    </row>
    <row r="11200" spans="1:5" hidden="1" x14ac:dyDescent="0.3">
      <c r="A11200" t="s">
        <v>557</v>
      </c>
      <c r="B11200" t="s">
        <v>750</v>
      </c>
      <c r="C11200" t="s">
        <v>660</v>
      </c>
      <c r="D11200" s="230">
        <v>0</v>
      </c>
      <c r="E11200" t="s">
        <v>751</v>
      </c>
    </row>
    <row r="11201" spans="1:5" hidden="1" x14ac:dyDescent="0.3">
      <c r="A11201" t="s">
        <v>557</v>
      </c>
      <c r="B11201" t="s">
        <v>750</v>
      </c>
      <c r="C11201" t="s">
        <v>661</v>
      </c>
      <c r="D11201" s="230">
        <v>0</v>
      </c>
      <c r="E11201" t="s">
        <v>751</v>
      </c>
    </row>
    <row r="11202" spans="1:5" hidden="1" x14ac:dyDescent="0.3">
      <c r="A11202" t="s">
        <v>557</v>
      </c>
      <c r="B11202" t="s">
        <v>750</v>
      </c>
      <c r="C11202" t="s">
        <v>662</v>
      </c>
      <c r="D11202" s="230">
        <v>0</v>
      </c>
      <c r="E11202" t="s">
        <v>751</v>
      </c>
    </row>
    <row r="11203" spans="1:5" hidden="1" x14ac:dyDescent="0.3">
      <c r="A11203" t="s">
        <v>557</v>
      </c>
      <c r="B11203" t="s">
        <v>750</v>
      </c>
      <c r="C11203" t="s">
        <v>663</v>
      </c>
      <c r="D11203" s="230">
        <v>0</v>
      </c>
      <c r="E11203" t="s">
        <v>751</v>
      </c>
    </row>
    <row r="11204" spans="1:5" hidden="1" x14ac:dyDescent="0.3">
      <c r="A11204" t="s">
        <v>557</v>
      </c>
      <c r="B11204" t="s">
        <v>750</v>
      </c>
      <c r="C11204" t="s">
        <v>664</v>
      </c>
      <c r="D11204" s="230">
        <v>0</v>
      </c>
      <c r="E11204" t="s">
        <v>751</v>
      </c>
    </row>
    <row r="11205" spans="1:5" hidden="1" x14ac:dyDescent="0.3">
      <c r="A11205" t="s">
        <v>557</v>
      </c>
      <c r="B11205" t="s">
        <v>750</v>
      </c>
      <c r="C11205" t="s">
        <v>665</v>
      </c>
      <c r="D11205" s="230">
        <v>0</v>
      </c>
      <c r="E11205" t="s">
        <v>751</v>
      </c>
    </row>
    <row r="11206" spans="1:5" hidden="1" x14ac:dyDescent="0.3">
      <c r="A11206" t="s">
        <v>557</v>
      </c>
      <c r="B11206" t="s">
        <v>750</v>
      </c>
      <c r="C11206" t="s">
        <v>666</v>
      </c>
      <c r="D11206" s="230">
        <v>0</v>
      </c>
      <c r="E11206" t="s">
        <v>751</v>
      </c>
    </row>
    <row r="11207" spans="1:5" hidden="1" x14ac:dyDescent="0.3">
      <c r="A11207" t="s">
        <v>557</v>
      </c>
      <c r="B11207" t="s">
        <v>750</v>
      </c>
      <c r="C11207" t="s">
        <v>667</v>
      </c>
      <c r="D11207" s="230">
        <v>0</v>
      </c>
      <c r="E11207" t="s">
        <v>751</v>
      </c>
    </row>
    <row r="11208" spans="1:5" hidden="1" x14ac:dyDescent="0.3">
      <c r="A11208" t="s">
        <v>557</v>
      </c>
      <c r="B11208" t="s">
        <v>750</v>
      </c>
      <c r="C11208" t="s">
        <v>668</v>
      </c>
      <c r="D11208" s="230">
        <v>0</v>
      </c>
      <c r="E11208" t="s">
        <v>751</v>
      </c>
    </row>
    <row r="11209" spans="1:5" hidden="1" x14ac:dyDescent="0.3">
      <c r="A11209" t="s">
        <v>557</v>
      </c>
      <c r="B11209" t="s">
        <v>750</v>
      </c>
      <c r="C11209" t="s">
        <v>669</v>
      </c>
      <c r="D11209" s="230">
        <v>0</v>
      </c>
      <c r="E11209" t="s">
        <v>751</v>
      </c>
    </row>
    <row r="11210" spans="1:5" hidden="1" x14ac:dyDescent="0.3">
      <c r="A11210" t="s">
        <v>557</v>
      </c>
      <c r="B11210" t="s">
        <v>750</v>
      </c>
      <c r="C11210" t="s">
        <v>670</v>
      </c>
      <c r="D11210" s="230">
        <v>0</v>
      </c>
      <c r="E11210" t="s">
        <v>751</v>
      </c>
    </row>
    <row r="11211" spans="1:5" hidden="1" x14ac:dyDescent="0.3">
      <c r="A11211" t="s">
        <v>557</v>
      </c>
      <c r="B11211" t="s">
        <v>750</v>
      </c>
      <c r="C11211" t="s">
        <v>671</v>
      </c>
      <c r="D11211" s="230">
        <v>0</v>
      </c>
      <c r="E11211" t="s">
        <v>751</v>
      </c>
    </row>
    <row r="11212" spans="1:5" hidden="1" x14ac:dyDescent="0.3">
      <c r="A11212" t="s">
        <v>557</v>
      </c>
      <c r="B11212" t="s">
        <v>750</v>
      </c>
      <c r="C11212" t="s">
        <v>672</v>
      </c>
      <c r="D11212" s="230">
        <v>0</v>
      </c>
      <c r="E11212" t="s">
        <v>751</v>
      </c>
    </row>
    <row r="11213" spans="1:5" hidden="1" x14ac:dyDescent="0.3">
      <c r="A11213" t="s">
        <v>557</v>
      </c>
      <c r="B11213" t="s">
        <v>750</v>
      </c>
      <c r="C11213" t="s">
        <v>673</v>
      </c>
      <c r="D11213" s="230">
        <v>0</v>
      </c>
      <c r="E11213" t="s">
        <v>751</v>
      </c>
    </row>
    <row r="11214" spans="1:5" hidden="1" x14ac:dyDescent="0.3">
      <c r="A11214" t="s">
        <v>557</v>
      </c>
      <c r="B11214" t="s">
        <v>750</v>
      </c>
      <c r="C11214" t="s">
        <v>674</v>
      </c>
      <c r="D11214" s="230">
        <v>0</v>
      </c>
      <c r="E11214" t="s">
        <v>751</v>
      </c>
    </row>
    <row r="11215" spans="1:5" hidden="1" x14ac:dyDescent="0.3">
      <c r="A11215" t="s">
        <v>557</v>
      </c>
      <c r="B11215" t="s">
        <v>750</v>
      </c>
      <c r="C11215" t="s">
        <v>675</v>
      </c>
      <c r="D11215" s="230">
        <v>0</v>
      </c>
      <c r="E11215" t="s">
        <v>751</v>
      </c>
    </row>
    <row r="11216" spans="1:5" hidden="1" x14ac:dyDescent="0.3">
      <c r="A11216" t="s">
        <v>557</v>
      </c>
      <c r="B11216" t="s">
        <v>750</v>
      </c>
      <c r="C11216" t="s">
        <v>676</v>
      </c>
      <c r="D11216" s="230">
        <v>0</v>
      </c>
      <c r="E11216" t="s">
        <v>751</v>
      </c>
    </row>
    <row r="11217" spans="1:5" hidden="1" x14ac:dyDescent="0.3">
      <c r="A11217" t="s">
        <v>557</v>
      </c>
      <c r="B11217" t="s">
        <v>750</v>
      </c>
      <c r="C11217" t="s">
        <v>677</v>
      </c>
      <c r="D11217" s="230">
        <v>0</v>
      </c>
      <c r="E11217" t="s">
        <v>751</v>
      </c>
    </row>
    <row r="11218" spans="1:5" hidden="1" x14ac:dyDescent="0.3">
      <c r="A11218" t="s">
        <v>557</v>
      </c>
      <c r="B11218" t="s">
        <v>750</v>
      </c>
      <c r="C11218" t="s">
        <v>201</v>
      </c>
      <c r="D11218" s="230">
        <v>-9031</v>
      </c>
      <c r="E11218" t="s">
        <v>751</v>
      </c>
    </row>
    <row r="11219" spans="1:5" hidden="1" x14ac:dyDescent="0.3">
      <c r="A11219" t="s">
        <v>557</v>
      </c>
      <c r="B11219" t="s">
        <v>750</v>
      </c>
      <c r="C11219" t="s">
        <v>203</v>
      </c>
      <c r="D11219" s="230">
        <v>-9031</v>
      </c>
      <c r="E11219" t="s">
        <v>751</v>
      </c>
    </row>
    <row r="11220" spans="1:5" hidden="1" x14ac:dyDescent="0.3">
      <c r="A11220" t="s">
        <v>557</v>
      </c>
      <c r="B11220" t="s">
        <v>750</v>
      </c>
      <c r="C11220" t="s">
        <v>678</v>
      </c>
      <c r="D11220" s="230">
        <v>4515.5</v>
      </c>
      <c r="E11220" t="s">
        <v>751</v>
      </c>
    </row>
    <row r="11221" spans="1:5" hidden="1" x14ac:dyDescent="0.3">
      <c r="A11221" t="s">
        <v>557</v>
      </c>
      <c r="B11221" t="s">
        <v>750</v>
      </c>
      <c r="C11221" t="s">
        <v>205</v>
      </c>
      <c r="D11221" s="230">
        <v>-28593.94</v>
      </c>
      <c r="E11221" t="s">
        <v>751</v>
      </c>
    </row>
    <row r="11222" spans="1:5" hidden="1" x14ac:dyDescent="0.3">
      <c r="A11222" t="s">
        <v>557</v>
      </c>
      <c r="B11222" t="s">
        <v>750</v>
      </c>
      <c r="C11222" t="s">
        <v>679</v>
      </c>
      <c r="D11222" s="230">
        <v>-4919.68</v>
      </c>
      <c r="E11222" t="s">
        <v>751</v>
      </c>
    </row>
    <row r="11223" spans="1:5" hidden="1" x14ac:dyDescent="0.3">
      <c r="A11223" t="s">
        <v>557</v>
      </c>
      <c r="B11223" t="s">
        <v>750</v>
      </c>
      <c r="C11223" t="s">
        <v>680</v>
      </c>
      <c r="D11223" s="230">
        <v>0</v>
      </c>
      <c r="E11223" t="s">
        <v>751</v>
      </c>
    </row>
    <row r="11224" spans="1:5" hidden="1" x14ac:dyDescent="0.3">
      <c r="A11224" t="s">
        <v>557</v>
      </c>
      <c r="B11224" t="s">
        <v>750</v>
      </c>
      <c r="C11224" t="s">
        <v>681</v>
      </c>
      <c r="D11224" s="230">
        <v>-5738.46</v>
      </c>
      <c r="E11224" t="s">
        <v>751</v>
      </c>
    </row>
    <row r="11225" spans="1:5" hidden="1" x14ac:dyDescent="0.3">
      <c r="A11225" t="s">
        <v>557</v>
      </c>
      <c r="B11225" t="s">
        <v>750</v>
      </c>
      <c r="C11225" t="s">
        <v>682</v>
      </c>
      <c r="D11225" s="230">
        <v>-2655.54</v>
      </c>
      <c r="E11225" t="s">
        <v>751</v>
      </c>
    </row>
    <row r="11226" spans="1:5" hidden="1" x14ac:dyDescent="0.3">
      <c r="A11226" t="s">
        <v>557</v>
      </c>
      <c r="B11226" t="s">
        <v>750</v>
      </c>
      <c r="C11226" t="s">
        <v>683</v>
      </c>
      <c r="D11226" s="230">
        <v>-4751.24</v>
      </c>
      <c r="E11226" t="s">
        <v>751</v>
      </c>
    </row>
    <row r="11227" spans="1:5" hidden="1" x14ac:dyDescent="0.3">
      <c r="A11227" t="s">
        <v>557</v>
      </c>
      <c r="B11227" t="s">
        <v>750</v>
      </c>
      <c r="C11227" t="s">
        <v>684</v>
      </c>
      <c r="D11227" s="230">
        <v>0</v>
      </c>
      <c r="E11227" t="s">
        <v>751</v>
      </c>
    </row>
    <row r="11228" spans="1:5" hidden="1" x14ac:dyDescent="0.3">
      <c r="A11228" t="s">
        <v>557</v>
      </c>
      <c r="B11228" t="s">
        <v>750</v>
      </c>
      <c r="C11228" t="s">
        <v>685</v>
      </c>
      <c r="D11228" s="230">
        <v>0</v>
      </c>
      <c r="E11228" t="s">
        <v>751</v>
      </c>
    </row>
    <row r="11229" spans="1:5" hidden="1" x14ac:dyDescent="0.3">
      <c r="A11229" t="s">
        <v>557</v>
      </c>
      <c r="B11229" t="s">
        <v>750</v>
      </c>
      <c r="C11229" t="s">
        <v>686</v>
      </c>
      <c r="D11229" s="230">
        <v>-292.11</v>
      </c>
      <c r="E11229" t="s">
        <v>751</v>
      </c>
    </row>
    <row r="11230" spans="1:5" hidden="1" x14ac:dyDescent="0.3">
      <c r="A11230" t="s">
        <v>557</v>
      </c>
      <c r="B11230" t="s">
        <v>750</v>
      </c>
      <c r="C11230" t="s">
        <v>687</v>
      </c>
      <c r="D11230" s="230">
        <v>-522.64</v>
      </c>
      <c r="E11230" t="s">
        <v>751</v>
      </c>
    </row>
    <row r="11231" spans="1:5" hidden="1" x14ac:dyDescent="0.3">
      <c r="A11231" t="s">
        <v>557</v>
      </c>
      <c r="B11231" t="s">
        <v>750</v>
      </c>
      <c r="C11231" t="s">
        <v>688</v>
      </c>
      <c r="D11231" s="230">
        <v>0</v>
      </c>
      <c r="E11231" t="s">
        <v>751</v>
      </c>
    </row>
    <row r="11232" spans="1:5" hidden="1" x14ac:dyDescent="0.3">
      <c r="A11232" t="s">
        <v>557</v>
      </c>
      <c r="B11232" t="s">
        <v>750</v>
      </c>
      <c r="C11232" t="s">
        <v>689</v>
      </c>
      <c r="D11232" s="230">
        <v>0</v>
      </c>
      <c r="E11232" t="s">
        <v>751</v>
      </c>
    </row>
    <row r="11233" spans="1:5" hidden="1" x14ac:dyDescent="0.3">
      <c r="A11233" t="s">
        <v>557</v>
      </c>
      <c r="B11233" t="s">
        <v>750</v>
      </c>
      <c r="C11233" t="s">
        <v>690</v>
      </c>
      <c r="D11233" s="230">
        <v>0</v>
      </c>
      <c r="E11233" t="s">
        <v>751</v>
      </c>
    </row>
    <row r="11234" spans="1:5" hidden="1" x14ac:dyDescent="0.3">
      <c r="A11234" t="s">
        <v>557</v>
      </c>
      <c r="B11234" t="s">
        <v>750</v>
      </c>
      <c r="C11234" t="s">
        <v>691</v>
      </c>
      <c r="D11234" s="230">
        <v>0</v>
      </c>
      <c r="E11234" t="s">
        <v>751</v>
      </c>
    </row>
    <row r="11235" spans="1:5" hidden="1" x14ac:dyDescent="0.3">
      <c r="A11235" t="s">
        <v>557</v>
      </c>
      <c r="B11235" t="s">
        <v>750</v>
      </c>
      <c r="C11235" t="s">
        <v>692</v>
      </c>
      <c r="D11235" s="230">
        <v>-9714.27</v>
      </c>
      <c r="E11235" t="s">
        <v>751</v>
      </c>
    </row>
    <row r="11236" spans="1:5" hidden="1" x14ac:dyDescent="0.3">
      <c r="A11236" t="s">
        <v>557</v>
      </c>
      <c r="B11236" t="s">
        <v>750</v>
      </c>
      <c r="C11236" t="s">
        <v>693</v>
      </c>
      <c r="D11236" s="230">
        <v>0</v>
      </c>
      <c r="E11236" t="s">
        <v>751</v>
      </c>
    </row>
    <row r="11237" spans="1:5" hidden="1" x14ac:dyDescent="0.3">
      <c r="A11237" t="s">
        <v>557</v>
      </c>
      <c r="B11237" t="s">
        <v>750</v>
      </c>
      <c r="C11237" t="s">
        <v>694</v>
      </c>
      <c r="D11237" s="230">
        <v>0</v>
      </c>
      <c r="E11237" t="s">
        <v>751</v>
      </c>
    </row>
    <row r="11238" spans="1:5" hidden="1" x14ac:dyDescent="0.3">
      <c r="A11238" t="s">
        <v>557</v>
      </c>
      <c r="B11238" t="s">
        <v>750</v>
      </c>
      <c r="C11238" t="s">
        <v>238</v>
      </c>
      <c r="D11238" s="230">
        <v>-8038.7</v>
      </c>
      <c r="E11238" t="s">
        <v>751</v>
      </c>
    </row>
    <row r="11239" spans="1:5" hidden="1" x14ac:dyDescent="0.3">
      <c r="A11239" t="s">
        <v>557</v>
      </c>
      <c r="B11239" t="s">
        <v>750</v>
      </c>
      <c r="C11239" t="s">
        <v>695</v>
      </c>
      <c r="D11239" s="230">
        <v>-6197.05</v>
      </c>
      <c r="E11239" t="s">
        <v>751</v>
      </c>
    </row>
    <row r="11240" spans="1:5" hidden="1" x14ac:dyDescent="0.3">
      <c r="A11240" t="s">
        <v>557</v>
      </c>
      <c r="B11240" t="s">
        <v>750</v>
      </c>
      <c r="C11240" t="s">
        <v>696</v>
      </c>
      <c r="D11240" s="230">
        <v>-1634</v>
      </c>
      <c r="E11240" t="s">
        <v>751</v>
      </c>
    </row>
    <row r="11241" spans="1:5" hidden="1" x14ac:dyDescent="0.3">
      <c r="A11241" t="s">
        <v>557</v>
      </c>
      <c r="B11241" t="s">
        <v>750</v>
      </c>
      <c r="C11241" t="s">
        <v>697</v>
      </c>
      <c r="D11241" s="230">
        <v>0</v>
      </c>
      <c r="E11241" t="s">
        <v>751</v>
      </c>
    </row>
    <row r="11242" spans="1:5" hidden="1" x14ac:dyDescent="0.3">
      <c r="A11242" t="s">
        <v>557</v>
      </c>
      <c r="B11242" t="s">
        <v>750</v>
      </c>
      <c r="C11242" t="s">
        <v>698</v>
      </c>
      <c r="D11242" s="230">
        <v>-207.65</v>
      </c>
      <c r="E11242" t="s">
        <v>751</v>
      </c>
    </row>
    <row r="11243" spans="1:5" hidden="1" x14ac:dyDescent="0.3">
      <c r="A11243" t="s">
        <v>557</v>
      </c>
      <c r="B11243" t="s">
        <v>750</v>
      </c>
      <c r="C11243" t="s">
        <v>699</v>
      </c>
      <c r="D11243" s="230">
        <v>0</v>
      </c>
      <c r="E11243" t="s">
        <v>751</v>
      </c>
    </row>
    <row r="11244" spans="1:5" hidden="1" x14ac:dyDescent="0.3">
      <c r="A11244" t="s">
        <v>557</v>
      </c>
      <c r="B11244" t="s">
        <v>750</v>
      </c>
      <c r="C11244" t="s">
        <v>245</v>
      </c>
      <c r="D11244" s="230">
        <v>-22874.29</v>
      </c>
      <c r="E11244" t="s">
        <v>751</v>
      </c>
    </row>
    <row r="11245" spans="1:5" hidden="1" x14ac:dyDescent="0.3">
      <c r="A11245" t="s">
        <v>557</v>
      </c>
      <c r="B11245" t="s">
        <v>750</v>
      </c>
      <c r="C11245" t="s">
        <v>700</v>
      </c>
      <c r="D11245" s="230">
        <v>-2718.2</v>
      </c>
      <c r="E11245" t="s">
        <v>751</v>
      </c>
    </row>
    <row r="11246" spans="1:5" hidden="1" x14ac:dyDescent="0.3">
      <c r="A11246" t="s">
        <v>557</v>
      </c>
      <c r="B11246" t="s">
        <v>750</v>
      </c>
      <c r="C11246" t="s">
        <v>701</v>
      </c>
      <c r="D11246" s="230">
        <v>-332.55</v>
      </c>
      <c r="E11246" t="s">
        <v>751</v>
      </c>
    </row>
    <row r="11247" spans="1:5" hidden="1" x14ac:dyDescent="0.3">
      <c r="A11247" t="s">
        <v>557</v>
      </c>
      <c r="B11247" t="s">
        <v>750</v>
      </c>
      <c r="C11247" t="s">
        <v>702</v>
      </c>
      <c r="D11247" s="230">
        <v>0</v>
      </c>
      <c r="E11247" t="s">
        <v>751</v>
      </c>
    </row>
    <row r="11248" spans="1:5" hidden="1" x14ac:dyDescent="0.3">
      <c r="A11248" t="s">
        <v>557</v>
      </c>
      <c r="B11248" t="s">
        <v>750</v>
      </c>
      <c r="C11248" t="s">
        <v>703</v>
      </c>
      <c r="D11248" s="230">
        <v>-3000</v>
      </c>
      <c r="E11248" t="s">
        <v>751</v>
      </c>
    </row>
    <row r="11249" spans="1:5" hidden="1" x14ac:dyDescent="0.3">
      <c r="A11249" t="s">
        <v>557</v>
      </c>
      <c r="B11249" t="s">
        <v>750</v>
      </c>
      <c r="C11249" t="s">
        <v>704</v>
      </c>
      <c r="D11249" s="230">
        <v>0</v>
      </c>
      <c r="E11249" t="s">
        <v>751</v>
      </c>
    </row>
    <row r="11250" spans="1:5" hidden="1" x14ac:dyDescent="0.3">
      <c r="A11250" t="s">
        <v>557</v>
      </c>
      <c r="B11250" t="s">
        <v>750</v>
      </c>
      <c r="C11250" t="s">
        <v>705</v>
      </c>
      <c r="D11250" s="230">
        <v>-16823.54</v>
      </c>
      <c r="E11250" t="s">
        <v>751</v>
      </c>
    </row>
    <row r="11251" spans="1:5" hidden="1" x14ac:dyDescent="0.3">
      <c r="A11251" t="s">
        <v>557</v>
      </c>
      <c r="B11251" t="s">
        <v>750</v>
      </c>
      <c r="C11251" t="s">
        <v>706</v>
      </c>
      <c r="D11251" s="230">
        <v>0</v>
      </c>
      <c r="E11251" t="s">
        <v>751</v>
      </c>
    </row>
    <row r="11252" spans="1:5" hidden="1" x14ac:dyDescent="0.3">
      <c r="A11252" t="s">
        <v>557</v>
      </c>
      <c r="B11252" t="s">
        <v>750</v>
      </c>
      <c r="C11252" t="s">
        <v>254</v>
      </c>
      <c r="D11252" s="230">
        <v>-0.32</v>
      </c>
      <c r="E11252" t="s">
        <v>751</v>
      </c>
    </row>
    <row r="11253" spans="1:5" hidden="1" x14ac:dyDescent="0.3">
      <c r="A11253" t="s">
        <v>557</v>
      </c>
      <c r="B11253" t="s">
        <v>750</v>
      </c>
      <c r="C11253" t="s">
        <v>255</v>
      </c>
      <c r="D11253" s="230">
        <v>-0.24</v>
      </c>
      <c r="E11253" t="s">
        <v>751</v>
      </c>
    </row>
    <row r="11254" spans="1:5" hidden="1" x14ac:dyDescent="0.3">
      <c r="A11254" t="s">
        <v>557</v>
      </c>
      <c r="B11254" t="s">
        <v>750</v>
      </c>
      <c r="C11254" t="s">
        <v>256</v>
      </c>
      <c r="D11254" s="230">
        <v>-51719.519999999997</v>
      </c>
      <c r="E11254" t="s">
        <v>751</v>
      </c>
    </row>
    <row r="11255" spans="1:5" hidden="1" x14ac:dyDescent="0.3">
      <c r="A11255" t="s">
        <v>557</v>
      </c>
      <c r="B11255" t="s">
        <v>750</v>
      </c>
      <c r="C11255" t="s">
        <v>257</v>
      </c>
      <c r="D11255" s="230">
        <v>-49002</v>
      </c>
      <c r="E11255" t="s">
        <v>751</v>
      </c>
    </row>
    <row r="11256" spans="1:5" hidden="1" x14ac:dyDescent="0.3">
      <c r="A11256" t="s">
        <v>557</v>
      </c>
      <c r="B11256" t="s">
        <v>750</v>
      </c>
      <c r="C11256" t="s">
        <v>258</v>
      </c>
      <c r="D11256" s="230">
        <v>0</v>
      </c>
      <c r="E11256" t="s">
        <v>751</v>
      </c>
    </row>
    <row r="11257" spans="1:5" hidden="1" x14ac:dyDescent="0.3">
      <c r="A11257" t="s">
        <v>557</v>
      </c>
      <c r="B11257" t="s">
        <v>750</v>
      </c>
      <c r="C11257" t="s">
        <v>259</v>
      </c>
      <c r="D11257" s="230">
        <v>-2436.17</v>
      </c>
      <c r="E11257" t="s">
        <v>751</v>
      </c>
    </row>
    <row r="11258" spans="1:5" hidden="1" x14ac:dyDescent="0.3">
      <c r="A11258" t="s">
        <v>557</v>
      </c>
      <c r="B11258" t="s">
        <v>750</v>
      </c>
      <c r="C11258" t="s">
        <v>260</v>
      </c>
      <c r="D11258" s="230">
        <v>0</v>
      </c>
      <c r="E11258" t="s">
        <v>751</v>
      </c>
    </row>
    <row r="11259" spans="1:5" hidden="1" x14ac:dyDescent="0.3">
      <c r="A11259" t="s">
        <v>557</v>
      </c>
      <c r="B11259" t="s">
        <v>750</v>
      </c>
      <c r="C11259" t="s">
        <v>261</v>
      </c>
      <c r="D11259" s="230">
        <v>-281.35000000000002</v>
      </c>
      <c r="E11259" t="s">
        <v>751</v>
      </c>
    </row>
    <row r="11260" spans="1:5" hidden="1" x14ac:dyDescent="0.3">
      <c r="A11260" t="s">
        <v>557</v>
      </c>
      <c r="B11260" t="s">
        <v>750</v>
      </c>
      <c r="C11260" t="s">
        <v>262</v>
      </c>
      <c r="D11260" s="230">
        <v>0</v>
      </c>
      <c r="E11260" t="s">
        <v>751</v>
      </c>
    </row>
    <row r="11261" spans="1:5" hidden="1" x14ac:dyDescent="0.3">
      <c r="A11261" t="s">
        <v>557</v>
      </c>
      <c r="B11261" t="s">
        <v>750</v>
      </c>
      <c r="C11261" t="s">
        <v>263</v>
      </c>
      <c r="D11261" s="230">
        <v>0</v>
      </c>
      <c r="E11261" t="s">
        <v>751</v>
      </c>
    </row>
    <row r="11262" spans="1:5" hidden="1" x14ac:dyDescent="0.3">
      <c r="A11262" t="s">
        <v>557</v>
      </c>
      <c r="B11262" t="s">
        <v>750</v>
      </c>
      <c r="C11262" t="s">
        <v>44</v>
      </c>
      <c r="D11262" s="230">
        <v>-0.12</v>
      </c>
      <c r="E11262" t="s">
        <v>751</v>
      </c>
    </row>
    <row r="11263" spans="1:5" hidden="1" x14ac:dyDescent="0.3">
      <c r="A11263" t="s">
        <v>557</v>
      </c>
      <c r="B11263" t="s">
        <v>750</v>
      </c>
      <c r="C11263" t="s">
        <v>264</v>
      </c>
      <c r="D11263" s="230">
        <v>-33246.93</v>
      </c>
      <c r="E11263" t="s">
        <v>751</v>
      </c>
    </row>
    <row r="11264" spans="1:5" hidden="1" x14ac:dyDescent="0.3">
      <c r="A11264" t="s">
        <v>557</v>
      </c>
      <c r="B11264" t="s">
        <v>750</v>
      </c>
      <c r="C11264" t="s">
        <v>265</v>
      </c>
      <c r="D11264" s="230">
        <v>-4383.6000000000004</v>
      </c>
      <c r="E11264" t="s">
        <v>751</v>
      </c>
    </row>
    <row r="11265" spans="1:5" hidden="1" x14ac:dyDescent="0.3">
      <c r="A11265" t="s">
        <v>557</v>
      </c>
      <c r="B11265" t="s">
        <v>750</v>
      </c>
      <c r="C11265" t="s">
        <v>266</v>
      </c>
      <c r="D11265" s="230">
        <v>-11502.07</v>
      </c>
      <c r="E11265" t="s">
        <v>751</v>
      </c>
    </row>
    <row r="11266" spans="1:5" hidden="1" x14ac:dyDescent="0.3">
      <c r="A11266" t="s">
        <v>557</v>
      </c>
      <c r="B11266" t="s">
        <v>750</v>
      </c>
      <c r="C11266" t="s">
        <v>267</v>
      </c>
      <c r="D11266" s="230">
        <v>-6686.21</v>
      </c>
      <c r="E11266" t="s">
        <v>751</v>
      </c>
    </row>
    <row r="11267" spans="1:5" hidden="1" x14ac:dyDescent="0.3">
      <c r="A11267" t="s">
        <v>557</v>
      </c>
      <c r="B11267" t="s">
        <v>750</v>
      </c>
      <c r="C11267" t="s">
        <v>268</v>
      </c>
      <c r="D11267" s="230">
        <v>-4163.6899999999996</v>
      </c>
      <c r="E11267" t="s">
        <v>751</v>
      </c>
    </row>
    <row r="11268" spans="1:5" hidden="1" x14ac:dyDescent="0.3">
      <c r="A11268" t="s">
        <v>557</v>
      </c>
      <c r="B11268" t="s">
        <v>750</v>
      </c>
      <c r="C11268" t="s">
        <v>269</v>
      </c>
      <c r="D11268" s="230">
        <v>0</v>
      </c>
      <c r="E11268" t="s">
        <v>751</v>
      </c>
    </row>
    <row r="11269" spans="1:5" hidden="1" x14ac:dyDescent="0.3">
      <c r="A11269" t="s">
        <v>557</v>
      </c>
      <c r="B11269" t="s">
        <v>750</v>
      </c>
      <c r="C11269" t="s">
        <v>270</v>
      </c>
      <c r="D11269" s="230">
        <v>-550</v>
      </c>
      <c r="E11269" t="s">
        <v>751</v>
      </c>
    </row>
    <row r="11270" spans="1:5" hidden="1" x14ac:dyDescent="0.3">
      <c r="A11270" t="s">
        <v>557</v>
      </c>
      <c r="B11270" t="s">
        <v>750</v>
      </c>
      <c r="C11270" t="s">
        <v>271</v>
      </c>
      <c r="D11270" s="230">
        <v>-1098.58</v>
      </c>
      <c r="E11270" t="s">
        <v>751</v>
      </c>
    </row>
    <row r="11271" spans="1:5" hidden="1" x14ac:dyDescent="0.3">
      <c r="A11271" t="s">
        <v>557</v>
      </c>
      <c r="B11271" t="s">
        <v>750</v>
      </c>
      <c r="C11271" t="s">
        <v>272</v>
      </c>
      <c r="D11271" s="230">
        <v>1354.86</v>
      </c>
      <c r="E11271" t="s">
        <v>751</v>
      </c>
    </row>
    <row r="11272" spans="1:5" hidden="1" x14ac:dyDescent="0.3">
      <c r="A11272" t="s">
        <v>557</v>
      </c>
      <c r="B11272" t="s">
        <v>750</v>
      </c>
      <c r="C11272" t="s">
        <v>273</v>
      </c>
      <c r="D11272" s="230">
        <v>0</v>
      </c>
      <c r="E11272" t="s">
        <v>751</v>
      </c>
    </row>
    <row r="11273" spans="1:5" hidden="1" x14ac:dyDescent="0.3">
      <c r="A11273" t="s">
        <v>557</v>
      </c>
      <c r="B11273" t="s">
        <v>750</v>
      </c>
      <c r="C11273" t="s">
        <v>274</v>
      </c>
      <c r="D11273" s="230">
        <v>0</v>
      </c>
      <c r="E11273" t="s">
        <v>751</v>
      </c>
    </row>
    <row r="11274" spans="1:5" hidden="1" x14ac:dyDescent="0.3">
      <c r="A11274" t="s">
        <v>557</v>
      </c>
      <c r="B11274" t="s">
        <v>750</v>
      </c>
      <c r="C11274" t="s">
        <v>275</v>
      </c>
      <c r="D11274" s="230">
        <v>-1453.89</v>
      </c>
      <c r="E11274" t="s">
        <v>751</v>
      </c>
    </row>
    <row r="11275" spans="1:5" hidden="1" x14ac:dyDescent="0.3">
      <c r="A11275" t="s">
        <v>557</v>
      </c>
      <c r="B11275" t="s">
        <v>750</v>
      </c>
      <c r="C11275" t="s">
        <v>276</v>
      </c>
      <c r="D11275" s="230">
        <v>-1400</v>
      </c>
      <c r="E11275" t="s">
        <v>751</v>
      </c>
    </row>
    <row r="11276" spans="1:5" hidden="1" x14ac:dyDescent="0.3">
      <c r="A11276" t="s">
        <v>557</v>
      </c>
      <c r="B11276" t="s">
        <v>750</v>
      </c>
      <c r="C11276" t="s">
        <v>277</v>
      </c>
      <c r="D11276" s="230">
        <v>0</v>
      </c>
      <c r="E11276" t="s">
        <v>751</v>
      </c>
    </row>
    <row r="11277" spans="1:5" hidden="1" x14ac:dyDescent="0.3">
      <c r="A11277" t="s">
        <v>557</v>
      </c>
      <c r="B11277" t="s">
        <v>750</v>
      </c>
      <c r="C11277" t="s">
        <v>278</v>
      </c>
      <c r="D11277" s="230">
        <v>-3363.75</v>
      </c>
      <c r="E11277" t="s">
        <v>751</v>
      </c>
    </row>
    <row r="11278" spans="1:5" hidden="1" x14ac:dyDescent="0.3">
      <c r="A11278" t="s">
        <v>557</v>
      </c>
      <c r="B11278" t="s">
        <v>750</v>
      </c>
      <c r="C11278" t="s">
        <v>44</v>
      </c>
      <c r="D11278" s="230">
        <v>-0.08</v>
      </c>
      <c r="E11278" t="s">
        <v>751</v>
      </c>
    </row>
    <row r="11279" spans="1:5" hidden="1" x14ac:dyDescent="0.3">
      <c r="A11279" t="s">
        <v>557</v>
      </c>
      <c r="B11279" t="s">
        <v>750</v>
      </c>
      <c r="C11279" t="s">
        <v>279</v>
      </c>
      <c r="D11279" s="230">
        <v>-5879.34</v>
      </c>
      <c r="E11279" t="s">
        <v>751</v>
      </c>
    </row>
    <row r="11280" spans="1:5" hidden="1" x14ac:dyDescent="0.3">
      <c r="A11280" t="s">
        <v>557</v>
      </c>
      <c r="B11280" t="s">
        <v>750</v>
      </c>
      <c r="C11280" t="s">
        <v>280</v>
      </c>
      <c r="D11280" s="230">
        <v>0</v>
      </c>
      <c r="E11280" t="s">
        <v>751</v>
      </c>
    </row>
    <row r="11281" spans="1:5" hidden="1" x14ac:dyDescent="0.3">
      <c r="A11281" t="s">
        <v>557</v>
      </c>
      <c r="B11281" t="s">
        <v>750</v>
      </c>
      <c r="C11281" t="s">
        <v>281</v>
      </c>
      <c r="D11281" s="230">
        <v>-708.36</v>
      </c>
      <c r="E11281" t="s">
        <v>751</v>
      </c>
    </row>
    <row r="11282" spans="1:5" hidden="1" x14ac:dyDescent="0.3">
      <c r="A11282" t="s">
        <v>557</v>
      </c>
      <c r="B11282" t="s">
        <v>750</v>
      </c>
      <c r="C11282" t="s">
        <v>282</v>
      </c>
      <c r="D11282" s="230">
        <v>-414.74</v>
      </c>
      <c r="E11282" t="s">
        <v>751</v>
      </c>
    </row>
    <row r="11283" spans="1:5" hidden="1" x14ac:dyDescent="0.3">
      <c r="A11283" t="s">
        <v>557</v>
      </c>
      <c r="B11283" t="s">
        <v>750</v>
      </c>
      <c r="C11283" t="s">
        <v>283</v>
      </c>
      <c r="D11283" s="230">
        <v>-300.22000000000003</v>
      </c>
      <c r="E11283" t="s">
        <v>751</v>
      </c>
    </row>
    <row r="11284" spans="1:5" hidden="1" x14ac:dyDescent="0.3">
      <c r="A11284" t="s">
        <v>557</v>
      </c>
      <c r="B11284" t="s">
        <v>750</v>
      </c>
      <c r="C11284" t="s">
        <v>284</v>
      </c>
      <c r="D11284" s="230">
        <v>-3229</v>
      </c>
      <c r="E11284" t="s">
        <v>751</v>
      </c>
    </row>
    <row r="11285" spans="1:5" hidden="1" x14ac:dyDescent="0.3">
      <c r="A11285" t="s">
        <v>557</v>
      </c>
      <c r="B11285" t="s">
        <v>750</v>
      </c>
      <c r="C11285" t="s">
        <v>285</v>
      </c>
      <c r="D11285" s="230">
        <v>-389</v>
      </c>
      <c r="E11285" t="s">
        <v>751</v>
      </c>
    </row>
    <row r="11286" spans="1:5" hidden="1" x14ac:dyDescent="0.3">
      <c r="A11286" t="s">
        <v>557</v>
      </c>
      <c r="B11286" t="s">
        <v>750</v>
      </c>
      <c r="C11286" t="s">
        <v>286</v>
      </c>
      <c r="D11286" s="230">
        <v>-838.02</v>
      </c>
      <c r="E11286" t="s">
        <v>751</v>
      </c>
    </row>
    <row r="11287" spans="1:5" hidden="1" x14ac:dyDescent="0.3">
      <c r="A11287" t="s">
        <v>557</v>
      </c>
      <c r="B11287" t="s">
        <v>750</v>
      </c>
      <c r="C11287" t="s">
        <v>44</v>
      </c>
      <c r="D11287" s="230">
        <v>-0.01</v>
      </c>
      <c r="E11287" t="s">
        <v>751</v>
      </c>
    </row>
    <row r="11288" spans="1:5" hidden="1" x14ac:dyDescent="0.3">
      <c r="A11288" t="s">
        <v>557</v>
      </c>
      <c r="B11288" t="s">
        <v>750</v>
      </c>
      <c r="C11288" t="s">
        <v>287</v>
      </c>
      <c r="D11288" s="230">
        <v>-6441.21</v>
      </c>
      <c r="E11288" t="s">
        <v>751</v>
      </c>
    </row>
    <row r="11289" spans="1:5" hidden="1" x14ac:dyDescent="0.3">
      <c r="A11289" t="s">
        <v>557</v>
      </c>
      <c r="B11289" t="s">
        <v>750</v>
      </c>
      <c r="C11289" t="s">
        <v>288</v>
      </c>
      <c r="D11289" s="230">
        <v>-4000</v>
      </c>
      <c r="E11289" t="s">
        <v>751</v>
      </c>
    </row>
    <row r="11290" spans="1:5" hidden="1" x14ac:dyDescent="0.3">
      <c r="A11290" t="s">
        <v>557</v>
      </c>
      <c r="B11290" t="s">
        <v>750</v>
      </c>
      <c r="C11290" t="s">
        <v>289</v>
      </c>
      <c r="D11290" s="230">
        <v>-1250</v>
      </c>
      <c r="E11290" t="s">
        <v>751</v>
      </c>
    </row>
    <row r="11291" spans="1:5" hidden="1" x14ac:dyDescent="0.3">
      <c r="A11291" t="s">
        <v>557</v>
      </c>
      <c r="B11291" t="s">
        <v>750</v>
      </c>
      <c r="C11291" t="s">
        <v>290</v>
      </c>
      <c r="D11291" s="230">
        <v>0</v>
      </c>
      <c r="E11291" t="s">
        <v>751</v>
      </c>
    </row>
    <row r="11292" spans="1:5" hidden="1" x14ac:dyDescent="0.3">
      <c r="A11292" t="s">
        <v>557</v>
      </c>
      <c r="B11292" t="s">
        <v>750</v>
      </c>
      <c r="C11292" t="s">
        <v>291</v>
      </c>
      <c r="D11292" s="230">
        <v>-691.21</v>
      </c>
      <c r="E11292" t="s">
        <v>751</v>
      </c>
    </row>
    <row r="11293" spans="1:5" hidden="1" x14ac:dyDescent="0.3">
      <c r="A11293" t="s">
        <v>557</v>
      </c>
      <c r="B11293" t="s">
        <v>750</v>
      </c>
      <c r="C11293" t="s">
        <v>292</v>
      </c>
      <c r="D11293" s="230">
        <v>0</v>
      </c>
      <c r="E11293" t="s">
        <v>751</v>
      </c>
    </row>
    <row r="11294" spans="1:5" hidden="1" x14ac:dyDescent="0.3">
      <c r="A11294" t="s">
        <v>557</v>
      </c>
      <c r="B11294" t="s">
        <v>750</v>
      </c>
      <c r="C11294" t="s">
        <v>293</v>
      </c>
      <c r="D11294" s="230">
        <v>-500</v>
      </c>
      <c r="E11294" t="s">
        <v>751</v>
      </c>
    </row>
    <row r="11295" spans="1:5" hidden="1" x14ac:dyDescent="0.3">
      <c r="A11295" t="s">
        <v>557</v>
      </c>
      <c r="B11295" t="s">
        <v>750</v>
      </c>
      <c r="C11295" t="s">
        <v>294</v>
      </c>
      <c r="D11295" s="230">
        <v>0</v>
      </c>
      <c r="E11295" t="s">
        <v>751</v>
      </c>
    </row>
    <row r="11296" spans="1:5" hidden="1" x14ac:dyDescent="0.3">
      <c r="A11296" t="s">
        <v>557</v>
      </c>
      <c r="B11296" t="s">
        <v>750</v>
      </c>
      <c r="C11296" t="s">
        <v>295</v>
      </c>
      <c r="D11296" s="230">
        <v>0</v>
      </c>
      <c r="E11296" t="s">
        <v>751</v>
      </c>
    </row>
    <row r="11297" spans="1:5" hidden="1" x14ac:dyDescent="0.3">
      <c r="A11297" t="s">
        <v>557</v>
      </c>
      <c r="B11297" t="s">
        <v>750</v>
      </c>
      <c r="C11297" t="s">
        <v>44</v>
      </c>
      <c r="D11297" s="230">
        <v>-0.02</v>
      </c>
      <c r="E11297" t="s">
        <v>751</v>
      </c>
    </row>
    <row r="11298" spans="1:5" hidden="1" x14ac:dyDescent="0.3">
      <c r="A11298" t="s">
        <v>557</v>
      </c>
      <c r="B11298" t="s">
        <v>750</v>
      </c>
      <c r="C11298" t="s">
        <v>296</v>
      </c>
      <c r="D11298" s="230">
        <v>-11541.52</v>
      </c>
      <c r="E11298" t="s">
        <v>751</v>
      </c>
    </row>
    <row r="11299" spans="1:5" hidden="1" x14ac:dyDescent="0.3">
      <c r="A11299" t="s">
        <v>557</v>
      </c>
      <c r="B11299" t="s">
        <v>750</v>
      </c>
      <c r="C11299" t="s">
        <v>297</v>
      </c>
      <c r="D11299" s="230">
        <v>-4000</v>
      </c>
      <c r="E11299" t="s">
        <v>751</v>
      </c>
    </row>
    <row r="11300" spans="1:5" hidden="1" x14ac:dyDescent="0.3">
      <c r="A11300" t="s">
        <v>557</v>
      </c>
      <c r="B11300" t="s">
        <v>750</v>
      </c>
      <c r="C11300" t="s">
        <v>298</v>
      </c>
      <c r="D11300" s="230">
        <v>-500</v>
      </c>
      <c r="E11300" t="s">
        <v>751</v>
      </c>
    </row>
    <row r="11301" spans="1:5" hidden="1" x14ac:dyDescent="0.3">
      <c r="A11301" t="s">
        <v>557</v>
      </c>
      <c r="B11301" t="s">
        <v>750</v>
      </c>
      <c r="C11301" t="s">
        <v>299</v>
      </c>
      <c r="D11301" s="230">
        <v>0</v>
      </c>
      <c r="E11301" t="s">
        <v>751</v>
      </c>
    </row>
    <row r="11302" spans="1:5" hidden="1" x14ac:dyDescent="0.3">
      <c r="A11302" t="s">
        <v>557</v>
      </c>
      <c r="B11302" t="s">
        <v>750</v>
      </c>
      <c r="C11302" t="s">
        <v>300</v>
      </c>
      <c r="D11302" s="230">
        <v>-3990</v>
      </c>
      <c r="E11302" t="s">
        <v>751</v>
      </c>
    </row>
    <row r="11303" spans="1:5" hidden="1" x14ac:dyDescent="0.3">
      <c r="A11303" t="s">
        <v>557</v>
      </c>
      <c r="B11303" t="s">
        <v>750</v>
      </c>
      <c r="C11303" t="s">
        <v>301</v>
      </c>
      <c r="D11303" s="230">
        <v>-2674.41</v>
      </c>
      <c r="E11303" t="s">
        <v>751</v>
      </c>
    </row>
    <row r="11304" spans="1:5" hidden="1" x14ac:dyDescent="0.3">
      <c r="A11304" t="s">
        <v>557</v>
      </c>
      <c r="B11304" t="s">
        <v>750</v>
      </c>
      <c r="C11304" t="s">
        <v>302</v>
      </c>
      <c r="D11304" s="230">
        <v>0</v>
      </c>
      <c r="E11304" t="s">
        <v>751</v>
      </c>
    </row>
    <row r="11305" spans="1:5" hidden="1" x14ac:dyDescent="0.3">
      <c r="A11305" t="s">
        <v>557</v>
      </c>
      <c r="B11305" t="s">
        <v>750</v>
      </c>
      <c r="C11305" t="s">
        <v>303</v>
      </c>
      <c r="D11305" s="230">
        <v>0</v>
      </c>
      <c r="E11305" t="s">
        <v>751</v>
      </c>
    </row>
    <row r="11306" spans="1:5" hidden="1" x14ac:dyDescent="0.3">
      <c r="A11306" t="s">
        <v>557</v>
      </c>
      <c r="B11306" t="s">
        <v>750</v>
      </c>
      <c r="C11306" t="s">
        <v>304</v>
      </c>
      <c r="D11306" s="230">
        <v>0</v>
      </c>
      <c r="E11306" t="s">
        <v>751</v>
      </c>
    </row>
    <row r="11307" spans="1:5" hidden="1" x14ac:dyDescent="0.3">
      <c r="A11307" t="s">
        <v>557</v>
      </c>
      <c r="B11307" t="s">
        <v>750</v>
      </c>
      <c r="C11307" t="s">
        <v>305</v>
      </c>
      <c r="D11307" s="230">
        <v>-227.11</v>
      </c>
      <c r="E11307" t="s">
        <v>751</v>
      </c>
    </row>
    <row r="11308" spans="1:5" hidden="1" x14ac:dyDescent="0.3">
      <c r="A11308" t="s">
        <v>557</v>
      </c>
      <c r="B11308" t="s">
        <v>750</v>
      </c>
      <c r="C11308" t="s">
        <v>306</v>
      </c>
      <c r="D11308" s="230">
        <v>0</v>
      </c>
      <c r="E11308" t="s">
        <v>751</v>
      </c>
    </row>
    <row r="11309" spans="1:5" hidden="1" x14ac:dyDescent="0.3">
      <c r="A11309" t="s">
        <v>557</v>
      </c>
      <c r="B11309" t="s">
        <v>750</v>
      </c>
      <c r="C11309" t="s">
        <v>307</v>
      </c>
      <c r="D11309" s="230">
        <v>-150</v>
      </c>
      <c r="E11309" t="s">
        <v>751</v>
      </c>
    </row>
    <row r="11310" spans="1:5" hidden="1" x14ac:dyDescent="0.3">
      <c r="A11310" t="s">
        <v>557</v>
      </c>
      <c r="B11310" t="s">
        <v>750</v>
      </c>
      <c r="C11310" t="s">
        <v>44</v>
      </c>
      <c r="D11310" s="230">
        <v>-0.03</v>
      </c>
      <c r="E11310" t="s">
        <v>751</v>
      </c>
    </row>
    <row r="11311" spans="1:5" hidden="1" x14ac:dyDescent="0.3">
      <c r="A11311" t="s">
        <v>557</v>
      </c>
      <c r="B11311" t="s">
        <v>750</v>
      </c>
      <c r="C11311" t="s">
        <v>308</v>
      </c>
      <c r="D11311" s="230">
        <v>-5474.33</v>
      </c>
      <c r="E11311" t="s">
        <v>751</v>
      </c>
    </row>
    <row r="11312" spans="1:5" hidden="1" x14ac:dyDescent="0.3">
      <c r="A11312" t="s">
        <v>557</v>
      </c>
      <c r="B11312" t="s">
        <v>750</v>
      </c>
      <c r="C11312" t="s">
        <v>309</v>
      </c>
      <c r="D11312" s="230">
        <v>-3031.15</v>
      </c>
      <c r="E11312" t="s">
        <v>751</v>
      </c>
    </row>
    <row r="11313" spans="1:5" hidden="1" x14ac:dyDescent="0.3">
      <c r="A11313" t="s">
        <v>557</v>
      </c>
      <c r="B11313" t="s">
        <v>750</v>
      </c>
      <c r="C11313" t="s">
        <v>310</v>
      </c>
      <c r="D11313" s="230">
        <v>0</v>
      </c>
      <c r="E11313" t="s">
        <v>751</v>
      </c>
    </row>
    <row r="11314" spans="1:5" hidden="1" x14ac:dyDescent="0.3">
      <c r="A11314" t="s">
        <v>557</v>
      </c>
      <c r="B11314" t="s">
        <v>750</v>
      </c>
      <c r="C11314" t="s">
        <v>311</v>
      </c>
      <c r="D11314" s="230">
        <v>-1550</v>
      </c>
      <c r="E11314" t="s">
        <v>751</v>
      </c>
    </row>
    <row r="11315" spans="1:5" hidden="1" x14ac:dyDescent="0.3">
      <c r="A11315" t="s">
        <v>557</v>
      </c>
      <c r="B11315" t="s">
        <v>750</v>
      </c>
      <c r="C11315" t="s">
        <v>312</v>
      </c>
      <c r="D11315" s="230">
        <v>-185</v>
      </c>
      <c r="E11315" t="s">
        <v>751</v>
      </c>
    </row>
    <row r="11316" spans="1:5" hidden="1" x14ac:dyDescent="0.3">
      <c r="A11316" t="s">
        <v>557</v>
      </c>
      <c r="B11316" t="s">
        <v>750</v>
      </c>
      <c r="C11316" t="s">
        <v>313</v>
      </c>
      <c r="D11316" s="230">
        <v>0</v>
      </c>
      <c r="E11316" t="s">
        <v>751</v>
      </c>
    </row>
    <row r="11317" spans="1:5" hidden="1" x14ac:dyDescent="0.3">
      <c r="A11317" t="s">
        <v>557</v>
      </c>
      <c r="B11317" t="s">
        <v>750</v>
      </c>
      <c r="C11317" t="s">
        <v>314</v>
      </c>
      <c r="D11317" s="230">
        <v>-708.18</v>
      </c>
      <c r="E11317" t="s">
        <v>751</v>
      </c>
    </row>
    <row r="11318" spans="1:5" hidden="1" x14ac:dyDescent="0.3">
      <c r="A11318" t="s">
        <v>557</v>
      </c>
      <c r="B11318" t="s">
        <v>750</v>
      </c>
      <c r="C11318" t="s">
        <v>315</v>
      </c>
      <c r="D11318" s="230">
        <v>0</v>
      </c>
      <c r="E11318" t="s">
        <v>751</v>
      </c>
    </row>
    <row r="11319" spans="1:5" hidden="1" x14ac:dyDescent="0.3">
      <c r="A11319" t="s">
        <v>557</v>
      </c>
      <c r="B11319" t="s">
        <v>750</v>
      </c>
      <c r="C11319" t="s">
        <v>316</v>
      </c>
      <c r="D11319" s="230">
        <v>0</v>
      </c>
      <c r="E11319" t="s">
        <v>751</v>
      </c>
    </row>
    <row r="11320" spans="1:5" hidden="1" x14ac:dyDescent="0.3">
      <c r="A11320" t="s">
        <v>557</v>
      </c>
      <c r="B11320" t="s">
        <v>750</v>
      </c>
      <c r="C11320" t="s">
        <v>317</v>
      </c>
      <c r="D11320" s="230">
        <v>0</v>
      </c>
      <c r="E11320" t="s">
        <v>751</v>
      </c>
    </row>
    <row r="11321" spans="1:5" hidden="1" x14ac:dyDescent="0.3">
      <c r="A11321" t="s">
        <v>557</v>
      </c>
      <c r="B11321" t="s">
        <v>750</v>
      </c>
      <c r="C11321" t="s">
        <v>44</v>
      </c>
      <c r="D11321" s="230">
        <v>-0.01</v>
      </c>
      <c r="E11321" t="s">
        <v>751</v>
      </c>
    </row>
    <row r="11322" spans="1:5" hidden="1" x14ac:dyDescent="0.3">
      <c r="A11322" t="s">
        <v>557</v>
      </c>
      <c r="B11322" t="s">
        <v>750</v>
      </c>
      <c r="C11322" t="s">
        <v>318</v>
      </c>
      <c r="D11322" s="230">
        <v>-2922.19</v>
      </c>
      <c r="E11322" t="s">
        <v>751</v>
      </c>
    </row>
    <row r="11323" spans="1:5" hidden="1" x14ac:dyDescent="0.3">
      <c r="A11323" t="s">
        <v>557</v>
      </c>
      <c r="B11323" t="s">
        <v>750</v>
      </c>
      <c r="C11323" t="s">
        <v>319</v>
      </c>
      <c r="D11323" s="230">
        <v>-2586</v>
      </c>
      <c r="E11323" t="s">
        <v>751</v>
      </c>
    </row>
    <row r="11324" spans="1:5" hidden="1" x14ac:dyDescent="0.3">
      <c r="A11324" t="s">
        <v>557</v>
      </c>
      <c r="B11324" t="s">
        <v>750</v>
      </c>
      <c r="C11324" t="s">
        <v>320</v>
      </c>
      <c r="D11324" s="230">
        <v>-136.19</v>
      </c>
      <c r="E11324" t="s">
        <v>751</v>
      </c>
    </row>
    <row r="11325" spans="1:5" hidden="1" x14ac:dyDescent="0.3">
      <c r="A11325" t="s">
        <v>557</v>
      </c>
      <c r="B11325" t="s">
        <v>750</v>
      </c>
      <c r="C11325" t="s">
        <v>321</v>
      </c>
      <c r="D11325" s="230">
        <v>-200</v>
      </c>
      <c r="E11325" t="s">
        <v>751</v>
      </c>
    </row>
    <row r="11326" spans="1:5" hidden="1" x14ac:dyDescent="0.3">
      <c r="A11326" t="s">
        <v>557</v>
      </c>
      <c r="B11326" t="s">
        <v>750</v>
      </c>
      <c r="C11326" t="s">
        <v>322</v>
      </c>
      <c r="D11326" s="230">
        <v>0</v>
      </c>
      <c r="E11326" t="s">
        <v>751</v>
      </c>
    </row>
    <row r="11327" spans="1:5" hidden="1" x14ac:dyDescent="0.3">
      <c r="A11327" t="s">
        <v>557</v>
      </c>
      <c r="B11327" t="s">
        <v>750</v>
      </c>
      <c r="C11327" t="s">
        <v>44</v>
      </c>
      <c r="D11327" s="230">
        <v>-0.01</v>
      </c>
      <c r="E11327" t="s">
        <v>751</v>
      </c>
    </row>
    <row r="11328" spans="1:5" hidden="1" x14ac:dyDescent="0.3">
      <c r="A11328" t="s">
        <v>557</v>
      </c>
      <c r="B11328" t="s">
        <v>750</v>
      </c>
      <c r="C11328" t="s">
        <v>323</v>
      </c>
      <c r="D11328" s="230">
        <v>-21008.04</v>
      </c>
      <c r="E11328" t="s">
        <v>751</v>
      </c>
    </row>
    <row r="11329" spans="1:5" hidden="1" x14ac:dyDescent="0.3">
      <c r="A11329" t="s">
        <v>557</v>
      </c>
      <c r="B11329" t="s">
        <v>750</v>
      </c>
      <c r="C11329" t="s">
        <v>324</v>
      </c>
      <c r="D11329" s="230">
        <v>0</v>
      </c>
      <c r="E11329" t="s">
        <v>751</v>
      </c>
    </row>
    <row r="11330" spans="1:5" hidden="1" x14ac:dyDescent="0.3">
      <c r="A11330" t="s">
        <v>557</v>
      </c>
      <c r="B11330" t="s">
        <v>750</v>
      </c>
      <c r="C11330" t="s">
        <v>325</v>
      </c>
      <c r="D11330" s="230">
        <v>0</v>
      </c>
      <c r="E11330" t="s">
        <v>751</v>
      </c>
    </row>
    <row r="11331" spans="1:5" hidden="1" x14ac:dyDescent="0.3">
      <c r="A11331" t="s">
        <v>557</v>
      </c>
      <c r="B11331" t="s">
        <v>750</v>
      </c>
      <c r="C11331" t="s">
        <v>326</v>
      </c>
      <c r="D11331" s="230">
        <v>-21008.04</v>
      </c>
      <c r="E11331" t="s">
        <v>751</v>
      </c>
    </row>
    <row r="11332" spans="1:5" hidden="1" x14ac:dyDescent="0.3">
      <c r="A11332" t="s">
        <v>557</v>
      </c>
      <c r="B11332" t="s">
        <v>750</v>
      </c>
      <c r="C11332" t="s">
        <v>44</v>
      </c>
      <c r="D11332" s="230">
        <v>-0.05</v>
      </c>
      <c r="E11332" t="s">
        <v>751</v>
      </c>
    </row>
    <row r="11333" spans="1:5" hidden="1" x14ac:dyDescent="0.3">
      <c r="A11333" t="s">
        <v>557</v>
      </c>
      <c r="B11333" t="s">
        <v>750</v>
      </c>
      <c r="C11333" t="s">
        <v>328</v>
      </c>
      <c r="D11333" s="230">
        <v>-273799.65999999997</v>
      </c>
      <c r="E11333" t="s">
        <v>751</v>
      </c>
    </row>
    <row r="11334" spans="1:5" hidden="1" x14ac:dyDescent="0.3">
      <c r="A11334" t="s">
        <v>557</v>
      </c>
      <c r="B11334" t="s">
        <v>750</v>
      </c>
      <c r="C11334" t="s">
        <v>44</v>
      </c>
      <c r="D11334" s="230">
        <v>-0.65</v>
      </c>
      <c r="E11334" t="s">
        <v>751</v>
      </c>
    </row>
    <row r="11335" spans="1:5" hidden="1" x14ac:dyDescent="0.3">
      <c r="A11335" t="s">
        <v>557</v>
      </c>
      <c r="B11335" t="s">
        <v>750</v>
      </c>
      <c r="C11335" t="s">
        <v>329</v>
      </c>
      <c r="D11335" s="230">
        <v>-45087.62</v>
      </c>
      <c r="E11335" t="s">
        <v>751</v>
      </c>
    </row>
    <row r="11336" spans="1:5" hidden="1" x14ac:dyDescent="0.3">
      <c r="A11336" t="s">
        <v>557</v>
      </c>
      <c r="B11336" t="s">
        <v>750</v>
      </c>
      <c r="C11336" t="s">
        <v>44</v>
      </c>
      <c r="D11336" s="230">
        <v>-0.11</v>
      </c>
      <c r="E11336" t="s">
        <v>751</v>
      </c>
    </row>
    <row r="11337" spans="1:5" hidden="1" x14ac:dyDescent="0.3">
      <c r="A11337" t="s">
        <v>557</v>
      </c>
      <c r="B11337" t="s">
        <v>750</v>
      </c>
      <c r="C11337" t="s">
        <v>330</v>
      </c>
      <c r="D11337" s="230">
        <v>0</v>
      </c>
      <c r="E11337" t="s">
        <v>751</v>
      </c>
    </row>
    <row r="11338" spans="1:5" hidden="1" x14ac:dyDescent="0.3">
      <c r="A11338" t="s">
        <v>557</v>
      </c>
      <c r="B11338" t="s">
        <v>750</v>
      </c>
      <c r="C11338" t="s">
        <v>332</v>
      </c>
      <c r="D11338" s="230">
        <v>-45087.62</v>
      </c>
      <c r="E11338" t="s">
        <v>751</v>
      </c>
    </row>
    <row r="11339" spans="1:5" hidden="1" x14ac:dyDescent="0.3">
      <c r="A11339" t="s">
        <v>557</v>
      </c>
      <c r="B11339" t="s">
        <v>750</v>
      </c>
      <c r="C11339" t="s">
        <v>333</v>
      </c>
      <c r="D11339" s="230">
        <v>7141.21</v>
      </c>
      <c r="E11339" t="s">
        <v>751</v>
      </c>
    </row>
    <row r="11340" spans="1:5" hidden="1" x14ac:dyDescent="0.3">
      <c r="A11340" t="s">
        <v>557</v>
      </c>
      <c r="B11340" t="s">
        <v>750</v>
      </c>
      <c r="C11340" t="s">
        <v>334</v>
      </c>
      <c r="D11340" s="230">
        <v>37816</v>
      </c>
      <c r="E11340" t="s">
        <v>751</v>
      </c>
    </row>
    <row r="11341" spans="1:5" hidden="1" x14ac:dyDescent="0.3">
      <c r="A11341" t="s">
        <v>557</v>
      </c>
      <c r="B11341" t="s">
        <v>750</v>
      </c>
      <c r="C11341" t="s">
        <v>336</v>
      </c>
      <c r="D11341" s="230">
        <v>0</v>
      </c>
      <c r="E11341" t="s">
        <v>751</v>
      </c>
    </row>
    <row r="11342" spans="1:5" hidden="1" x14ac:dyDescent="0.3">
      <c r="A11342" t="s">
        <v>557</v>
      </c>
      <c r="B11342" t="s">
        <v>750</v>
      </c>
      <c r="C11342" t="s">
        <v>338</v>
      </c>
      <c r="D11342" s="230">
        <v>-130.41</v>
      </c>
      <c r="E11342" t="s">
        <v>751</v>
      </c>
    </row>
    <row r="11343" spans="1:5" hidden="1" x14ac:dyDescent="0.3">
      <c r="A11343" t="s">
        <v>557</v>
      </c>
      <c r="B11343" t="s">
        <v>750</v>
      </c>
      <c r="C11343" t="s">
        <v>339</v>
      </c>
      <c r="D11343" s="230">
        <v>-9161.2199999999993</v>
      </c>
      <c r="E11343" t="s">
        <v>751</v>
      </c>
    </row>
    <row r="11344" spans="1:5" hidden="1" x14ac:dyDescent="0.3">
      <c r="A11344" t="s">
        <v>557</v>
      </c>
      <c r="B11344" t="s">
        <v>750</v>
      </c>
      <c r="C11344" t="s">
        <v>342</v>
      </c>
      <c r="D11344" s="230">
        <v>0</v>
      </c>
      <c r="E11344" t="s">
        <v>751</v>
      </c>
    </row>
    <row r="11345" spans="1:5" hidden="1" x14ac:dyDescent="0.3">
      <c r="A11345" t="s">
        <v>557</v>
      </c>
      <c r="B11345" t="s">
        <v>750</v>
      </c>
      <c r="C11345" t="s">
        <v>344</v>
      </c>
      <c r="D11345" s="230">
        <v>-4882.24</v>
      </c>
      <c r="E11345" t="s">
        <v>751</v>
      </c>
    </row>
    <row r="11346" spans="1:5" hidden="1" x14ac:dyDescent="0.3">
      <c r="A11346" t="s">
        <v>557</v>
      </c>
      <c r="B11346" t="s">
        <v>750</v>
      </c>
      <c r="C11346" t="s">
        <v>345</v>
      </c>
      <c r="D11346" s="230">
        <v>0</v>
      </c>
      <c r="E11346" t="s">
        <v>751</v>
      </c>
    </row>
    <row r="11347" spans="1:5" hidden="1" x14ac:dyDescent="0.3">
      <c r="A11347" t="s">
        <v>557</v>
      </c>
      <c r="B11347" t="s">
        <v>750</v>
      </c>
      <c r="C11347" t="s">
        <v>346</v>
      </c>
      <c r="D11347" s="230">
        <v>-4278.9799999999996</v>
      </c>
      <c r="E11347" t="s">
        <v>751</v>
      </c>
    </row>
    <row r="11348" spans="1:5" hidden="1" x14ac:dyDescent="0.3">
      <c r="A11348" t="s">
        <v>557</v>
      </c>
      <c r="B11348" t="s">
        <v>750</v>
      </c>
      <c r="C11348" t="s">
        <v>347</v>
      </c>
      <c r="D11348" s="230">
        <v>-9291.6299999999992</v>
      </c>
      <c r="E11348" t="s">
        <v>751</v>
      </c>
    </row>
    <row r="11349" spans="1:5" hidden="1" x14ac:dyDescent="0.3">
      <c r="A11349" t="s">
        <v>557</v>
      </c>
      <c r="B11349" t="s">
        <v>750</v>
      </c>
      <c r="C11349" t="s">
        <v>44</v>
      </c>
      <c r="D11349" s="230">
        <v>-0.02</v>
      </c>
      <c r="E11349" t="s">
        <v>751</v>
      </c>
    </row>
    <row r="11350" spans="1:5" hidden="1" x14ac:dyDescent="0.3">
      <c r="A11350" t="s">
        <v>557</v>
      </c>
      <c r="B11350" t="s">
        <v>750</v>
      </c>
      <c r="C11350" t="s">
        <v>348</v>
      </c>
      <c r="D11350" s="230">
        <v>-1033.93</v>
      </c>
      <c r="E11350" t="s">
        <v>751</v>
      </c>
    </row>
    <row r="11351" spans="1:5" hidden="1" x14ac:dyDescent="0.3">
      <c r="A11351" t="s">
        <v>557</v>
      </c>
      <c r="B11351" t="s">
        <v>750</v>
      </c>
      <c r="C11351" t="s">
        <v>707</v>
      </c>
      <c r="D11351" s="230">
        <v>0</v>
      </c>
      <c r="E11351" t="s">
        <v>751</v>
      </c>
    </row>
    <row r="11352" spans="1:5" hidden="1" x14ac:dyDescent="0.3">
      <c r="A11352" t="s">
        <v>557</v>
      </c>
      <c r="B11352" t="s">
        <v>750</v>
      </c>
      <c r="C11352" t="s">
        <v>350</v>
      </c>
      <c r="D11352" s="230">
        <v>-1033.93</v>
      </c>
      <c r="E11352" t="s">
        <v>751</v>
      </c>
    </row>
    <row r="11353" spans="1:5" hidden="1" x14ac:dyDescent="0.3">
      <c r="A11353" t="s">
        <v>557</v>
      </c>
      <c r="B11353" t="s">
        <v>750</v>
      </c>
      <c r="C11353" t="s">
        <v>351</v>
      </c>
      <c r="D11353" s="230">
        <v>0</v>
      </c>
      <c r="E11353" t="s">
        <v>751</v>
      </c>
    </row>
    <row r="11354" spans="1:5" hidden="1" x14ac:dyDescent="0.3">
      <c r="A11354" t="s">
        <v>557</v>
      </c>
      <c r="B11354" t="s">
        <v>750</v>
      </c>
      <c r="C11354" t="s">
        <v>352</v>
      </c>
      <c r="D11354" s="230">
        <v>0</v>
      </c>
      <c r="E11354" t="s">
        <v>751</v>
      </c>
    </row>
    <row r="11355" spans="1:5" hidden="1" x14ac:dyDescent="0.3">
      <c r="A11355" t="s">
        <v>557</v>
      </c>
      <c r="B11355" t="s">
        <v>750</v>
      </c>
      <c r="C11355" t="s">
        <v>353</v>
      </c>
      <c r="D11355" s="230">
        <v>0</v>
      </c>
      <c r="E11355" t="s">
        <v>751</v>
      </c>
    </row>
    <row r="11356" spans="1:5" hidden="1" x14ac:dyDescent="0.3">
      <c r="A11356" t="s">
        <v>557</v>
      </c>
      <c r="B11356" t="s">
        <v>750</v>
      </c>
      <c r="C11356" t="s">
        <v>354</v>
      </c>
      <c r="D11356" s="230">
        <v>0</v>
      </c>
      <c r="E11356" t="s">
        <v>751</v>
      </c>
    </row>
    <row r="11357" spans="1:5" hidden="1" x14ac:dyDescent="0.3">
      <c r="A11357" t="s">
        <v>557</v>
      </c>
      <c r="B11357" t="s">
        <v>750</v>
      </c>
      <c r="C11357" t="s">
        <v>355</v>
      </c>
      <c r="D11357" s="230">
        <v>0</v>
      </c>
      <c r="E11357" t="s">
        <v>751</v>
      </c>
    </row>
    <row r="11358" spans="1:5" hidden="1" x14ac:dyDescent="0.3">
      <c r="A11358" t="s">
        <v>557</v>
      </c>
      <c r="B11358" t="s">
        <v>750</v>
      </c>
      <c r="C11358" t="s">
        <v>356</v>
      </c>
      <c r="D11358" s="230">
        <v>0</v>
      </c>
      <c r="E11358" t="s">
        <v>751</v>
      </c>
    </row>
    <row r="11359" spans="1:5" hidden="1" x14ac:dyDescent="0.3">
      <c r="A11359" t="s">
        <v>557</v>
      </c>
      <c r="B11359" t="s">
        <v>750</v>
      </c>
      <c r="C11359" t="s">
        <v>357</v>
      </c>
      <c r="D11359" s="230">
        <v>0</v>
      </c>
      <c r="E11359" t="s">
        <v>751</v>
      </c>
    </row>
    <row r="11360" spans="1:5" hidden="1" x14ac:dyDescent="0.3">
      <c r="A11360" t="s">
        <v>557</v>
      </c>
      <c r="B11360" t="s">
        <v>750</v>
      </c>
      <c r="C11360" t="s">
        <v>358</v>
      </c>
      <c r="D11360" s="230">
        <v>0</v>
      </c>
      <c r="E11360" t="s">
        <v>751</v>
      </c>
    </row>
    <row r="11361" spans="1:5" hidden="1" x14ac:dyDescent="0.3">
      <c r="A11361" t="s">
        <v>557</v>
      </c>
      <c r="B11361" t="s">
        <v>750</v>
      </c>
      <c r="C11361" t="s">
        <v>359</v>
      </c>
      <c r="D11361" s="230">
        <v>0</v>
      </c>
      <c r="E11361" t="s">
        <v>751</v>
      </c>
    </row>
    <row r="11362" spans="1:5" hidden="1" x14ac:dyDescent="0.3">
      <c r="A11362" t="s">
        <v>557</v>
      </c>
      <c r="B11362" t="s">
        <v>750</v>
      </c>
      <c r="C11362" t="s">
        <v>360</v>
      </c>
      <c r="D11362" s="230">
        <v>0</v>
      </c>
      <c r="E11362" t="s">
        <v>751</v>
      </c>
    </row>
    <row r="11363" spans="1:5" hidden="1" x14ac:dyDescent="0.3">
      <c r="A11363" t="s">
        <v>557</v>
      </c>
      <c r="B11363" t="s">
        <v>750</v>
      </c>
      <c r="C11363" t="s">
        <v>361</v>
      </c>
      <c r="D11363" s="230">
        <v>0</v>
      </c>
      <c r="E11363" t="s">
        <v>751</v>
      </c>
    </row>
    <row r="11364" spans="1:5" hidden="1" x14ac:dyDescent="0.3">
      <c r="A11364" t="s">
        <v>557</v>
      </c>
      <c r="B11364" t="s">
        <v>750</v>
      </c>
      <c r="C11364" t="s">
        <v>362</v>
      </c>
      <c r="D11364" s="230">
        <v>0</v>
      </c>
      <c r="E11364" t="s">
        <v>751</v>
      </c>
    </row>
    <row r="11365" spans="1:5" hidden="1" x14ac:dyDescent="0.3">
      <c r="A11365" t="s">
        <v>557</v>
      </c>
      <c r="B11365" t="s">
        <v>750</v>
      </c>
      <c r="C11365" t="s">
        <v>363</v>
      </c>
      <c r="D11365" s="230">
        <v>0</v>
      </c>
      <c r="E11365" t="s">
        <v>751</v>
      </c>
    </row>
    <row r="11366" spans="1:5" hidden="1" x14ac:dyDescent="0.3">
      <c r="A11366" t="s">
        <v>557</v>
      </c>
      <c r="B11366" t="s">
        <v>750</v>
      </c>
      <c r="C11366" t="s">
        <v>364</v>
      </c>
      <c r="D11366" s="230">
        <v>0</v>
      </c>
      <c r="E11366" t="s">
        <v>751</v>
      </c>
    </row>
    <row r="11367" spans="1:5" hidden="1" x14ac:dyDescent="0.3">
      <c r="A11367" t="s">
        <v>557</v>
      </c>
      <c r="B11367" t="s">
        <v>750</v>
      </c>
      <c r="C11367" t="s">
        <v>365</v>
      </c>
      <c r="D11367" s="230">
        <v>-5833.34</v>
      </c>
      <c r="E11367" t="s">
        <v>751</v>
      </c>
    </row>
    <row r="11368" spans="1:5" hidden="1" x14ac:dyDescent="0.3">
      <c r="A11368" t="s">
        <v>557</v>
      </c>
      <c r="B11368" t="s">
        <v>750</v>
      </c>
      <c r="C11368" t="s">
        <v>366</v>
      </c>
      <c r="D11368" s="230">
        <v>0</v>
      </c>
      <c r="E11368" t="s">
        <v>751</v>
      </c>
    </row>
    <row r="11369" spans="1:5" hidden="1" x14ac:dyDescent="0.3">
      <c r="A11369" t="s">
        <v>557</v>
      </c>
      <c r="B11369" t="s">
        <v>750</v>
      </c>
      <c r="C11369" t="s">
        <v>367</v>
      </c>
      <c r="D11369" s="230">
        <v>0</v>
      </c>
      <c r="E11369" t="s">
        <v>751</v>
      </c>
    </row>
    <row r="11370" spans="1:5" hidden="1" x14ac:dyDescent="0.3">
      <c r="A11370" t="s">
        <v>557</v>
      </c>
      <c r="B11370" t="s">
        <v>750</v>
      </c>
      <c r="C11370" t="s">
        <v>368</v>
      </c>
      <c r="D11370" s="230">
        <v>0</v>
      </c>
      <c r="E11370" t="s">
        <v>751</v>
      </c>
    </row>
    <row r="11371" spans="1:5" hidden="1" x14ac:dyDescent="0.3">
      <c r="A11371" t="s">
        <v>557</v>
      </c>
      <c r="B11371" t="s">
        <v>750</v>
      </c>
      <c r="C11371" t="s">
        <v>369</v>
      </c>
      <c r="D11371" s="230">
        <v>-5833.34</v>
      </c>
      <c r="E11371" t="s">
        <v>751</v>
      </c>
    </row>
    <row r="11372" spans="1:5" hidden="1" x14ac:dyDescent="0.3">
      <c r="A11372" t="s">
        <v>557</v>
      </c>
      <c r="B11372" t="s">
        <v>750</v>
      </c>
      <c r="C11372" t="s">
        <v>370</v>
      </c>
      <c r="D11372" s="230">
        <v>0</v>
      </c>
      <c r="E11372" t="s">
        <v>751</v>
      </c>
    </row>
    <row r="11373" spans="1:5" hidden="1" x14ac:dyDescent="0.3">
      <c r="A11373" t="s">
        <v>557</v>
      </c>
      <c r="B11373" t="s">
        <v>750</v>
      </c>
      <c r="C11373" t="s">
        <v>371</v>
      </c>
      <c r="D11373" s="230">
        <v>0</v>
      </c>
      <c r="E11373" t="s">
        <v>751</v>
      </c>
    </row>
    <row r="11374" spans="1:5" hidden="1" x14ac:dyDescent="0.3">
      <c r="A11374" t="s">
        <v>557</v>
      </c>
      <c r="B11374" t="s">
        <v>750</v>
      </c>
      <c r="C11374" t="s">
        <v>372</v>
      </c>
      <c r="D11374" s="230">
        <v>0</v>
      </c>
      <c r="E11374" t="s">
        <v>751</v>
      </c>
    </row>
    <row r="11375" spans="1:5" hidden="1" x14ac:dyDescent="0.3">
      <c r="A11375" t="s">
        <v>557</v>
      </c>
      <c r="B11375" t="s">
        <v>750</v>
      </c>
      <c r="C11375" t="s">
        <v>373</v>
      </c>
      <c r="D11375" s="230">
        <v>-6867.27</v>
      </c>
      <c r="E11375" t="s">
        <v>751</v>
      </c>
    </row>
    <row r="11376" spans="1:5" hidden="1" x14ac:dyDescent="0.3">
      <c r="A11376" t="s">
        <v>557</v>
      </c>
      <c r="B11376" t="s">
        <v>750</v>
      </c>
      <c r="C11376" t="s">
        <v>374</v>
      </c>
      <c r="D11376" s="230">
        <v>-16158.9</v>
      </c>
      <c r="E11376" t="s">
        <v>751</v>
      </c>
    </row>
    <row r="11377" spans="1:5" hidden="1" x14ac:dyDescent="0.3">
      <c r="A11377" t="s">
        <v>557</v>
      </c>
      <c r="B11377" t="s">
        <v>750</v>
      </c>
      <c r="C11377" t="s">
        <v>708</v>
      </c>
      <c r="D11377" s="230">
        <v>-16158.9</v>
      </c>
      <c r="E11377" t="s">
        <v>751</v>
      </c>
    </row>
    <row r="11378" spans="1:5" hidden="1" x14ac:dyDescent="0.3">
      <c r="A11378" t="s">
        <v>557</v>
      </c>
      <c r="B11378" t="s">
        <v>752</v>
      </c>
      <c r="C11378" t="s">
        <v>11</v>
      </c>
      <c r="D11378" s="230">
        <v>464791.1</v>
      </c>
      <c r="E11378" t="s">
        <v>753</v>
      </c>
    </row>
    <row r="11379" spans="1:5" hidden="1" x14ac:dyDescent="0.3">
      <c r="A11379" t="s">
        <v>557</v>
      </c>
      <c r="B11379" t="s">
        <v>752</v>
      </c>
      <c r="C11379" t="s">
        <v>13</v>
      </c>
      <c r="D11379" s="230">
        <v>246158.19</v>
      </c>
      <c r="E11379" t="s">
        <v>753</v>
      </c>
    </row>
    <row r="11380" spans="1:5" hidden="1" x14ac:dyDescent="0.3">
      <c r="A11380" t="s">
        <v>557</v>
      </c>
      <c r="B11380" t="s">
        <v>752</v>
      </c>
      <c r="C11380" t="s">
        <v>16</v>
      </c>
      <c r="D11380" s="230">
        <v>105810.49</v>
      </c>
      <c r="E11380" t="s">
        <v>753</v>
      </c>
    </row>
    <row r="11381" spans="1:5" hidden="1" x14ac:dyDescent="0.3">
      <c r="A11381" t="s">
        <v>557</v>
      </c>
      <c r="B11381" t="s">
        <v>752</v>
      </c>
      <c r="C11381" t="s">
        <v>17</v>
      </c>
      <c r="D11381" s="230">
        <v>10610</v>
      </c>
      <c r="E11381" t="s">
        <v>753</v>
      </c>
    </row>
    <row r="11382" spans="1:5" hidden="1" x14ac:dyDescent="0.3">
      <c r="A11382" t="s">
        <v>557</v>
      </c>
      <c r="B11382" t="s">
        <v>752</v>
      </c>
      <c r="C11382" t="s">
        <v>18</v>
      </c>
      <c r="D11382" s="230">
        <v>0</v>
      </c>
      <c r="E11382" t="s">
        <v>753</v>
      </c>
    </row>
    <row r="11383" spans="1:5" hidden="1" x14ac:dyDescent="0.3">
      <c r="A11383" t="s">
        <v>557</v>
      </c>
      <c r="B11383" t="s">
        <v>752</v>
      </c>
      <c r="C11383" t="s">
        <v>20</v>
      </c>
      <c r="D11383" s="230">
        <v>45404.88</v>
      </c>
      <c r="E11383" t="s">
        <v>753</v>
      </c>
    </row>
    <row r="11384" spans="1:5" hidden="1" x14ac:dyDescent="0.3">
      <c r="A11384" t="s">
        <v>557</v>
      </c>
      <c r="B11384" t="s">
        <v>752</v>
      </c>
      <c r="C11384" t="s">
        <v>23</v>
      </c>
      <c r="D11384" s="230">
        <v>23650.02</v>
      </c>
      <c r="E11384" t="s">
        <v>753</v>
      </c>
    </row>
    <row r="11385" spans="1:5" hidden="1" x14ac:dyDescent="0.3">
      <c r="A11385" t="s">
        <v>557</v>
      </c>
      <c r="B11385" t="s">
        <v>752</v>
      </c>
      <c r="C11385" t="s">
        <v>25</v>
      </c>
      <c r="D11385" s="230">
        <v>1570</v>
      </c>
      <c r="E11385" t="s">
        <v>753</v>
      </c>
    </row>
    <row r="11386" spans="1:5" hidden="1" x14ac:dyDescent="0.3">
      <c r="A11386" t="s">
        <v>557</v>
      </c>
      <c r="B11386" t="s">
        <v>752</v>
      </c>
      <c r="C11386" t="s">
        <v>26</v>
      </c>
      <c r="D11386" s="230">
        <v>5800</v>
      </c>
      <c r="E11386" t="s">
        <v>753</v>
      </c>
    </row>
    <row r="11387" spans="1:5" hidden="1" x14ac:dyDescent="0.3">
      <c r="A11387" t="s">
        <v>557</v>
      </c>
      <c r="B11387" t="s">
        <v>752</v>
      </c>
      <c r="C11387" t="s">
        <v>27</v>
      </c>
      <c r="D11387" s="230">
        <v>0</v>
      </c>
      <c r="E11387" t="s">
        <v>753</v>
      </c>
    </row>
    <row r="11388" spans="1:5" hidden="1" x14ac:dyDescent="0.3">
      <c r="A11388" t="s">
        <v>557</v>
      </c>
      <c r="B11388" t="s">
        <v>752</v>
      </c>
      <c r="C11388" t="s">
        <v>29</v>
      </c>
      <c r="D11388" s="230">
        <v>25463.52</v>
      </c>
      <c r="E11388" t="s">
        <v>753</v>
      </c>
    </row>
    <row r="11389" spans="1:5" hidden="1" x14ac:dyDescent="0.3">
      <c r="A11389" t="s">
        <v>557</v>
      </c>
      <c r="B11389" t="s">
        <v>752</v>
      </c>
      <c r="C11389" t="s">
        <v>31</v>
      </c>
      <c r="D11389" s="230">
        <v>324</v>
      </c>
      <c r="E11389" t="s">
        <v>753</v>
      </c>
    </row>
    <row r="11390" spans="1:5" hidden="1" x14ac:dyDescent="0.3">
      <c r="A11390" t="s">
        <v>557</v>
      </c>
      <c r="B11390" t="s">
        <v>752</v>
      </c>
      <c r="C11390" t="s">
        <v>34</v>
      </c>
      <c r="D11390" s="230">
        <v>-14199.98</v>
      </c>
      <c r="E11390" t="s">
        <v>753</v>
      </c>
    </row>
    <row r="11391" spans="1:5" hidden="1" x14ac:dyDescent="0.3">
      <c r="A11391" t="s">
        <v>557</v>
      </c>
      <c r="B11391" t="s">
        <v>752</v>
      </c>
      <c r="C11391" t="s">
        <v>38</v>
      </c>
      <c r="D11391" s="230">
        <v>-2140.12</v>
      </c>
      <c r="E11391" t="s">
        <v>753</v>
      </c>
    </row>
    <row r="11392" spans="1:5" hidden="1" x14ac:dyDescent="0.3">
      <c r="A11392" t="s">
        <v>557</v>
      </c>
      <c r="B11392" t="s">
        <v>752</v>
      </c>
      <c r="C11392" t="s">
        <v>40</v>
      </c>
      <c r="D11392" s="230">
        <v>-9968.18</v>
      </c>
      <c r="E11392" t="s">
        <v>753</v>
      </c>
    </row>
    <row r="11393" spans="1:5" hidden="1" x14ac:dyDescent="0.3">
      <c r="A11393" t="s">
        <v>557</v>
      </c>
      <c r="B11393" t="s">
        <v>752</v>
      </c>
      <c r="C11393" t="s">
        <v>42</v>
      </c>
      <c r="D11393" s="230">
        <v>-2091.69</v>
      </c>
      <c r="E11393" t="s">
        <v>753</v>
      </c>
    </row>
    <row r="11394" spans="1:5" hidden="1" x14ac:dyDescent="0.3">
      <c r="A11394" t="s">
        <v>557</v>
      </c>
      <c r="B11394" t="s">
        <v>752</v>
      </c>
      <c r="C11394" t="s">
        <v>44</v>
      </c>
      <c r="D11394" s="230">
        <v>-0.03</v>
      </c>
      <c r="E11394" t="s">
        <v>753</v>
      </c>
    </row>
    <row r="11395" spans="1:5" hidden="1" x14ac:dyDescent="0.3">
      <c r="A11395" t="s">
        <v>557</v>
      </c>
      <c r="B11395" t="s">
        <v>752</v>
      </c>
      <c r="C11395" t="s">
        <v>45</v>
      </c>
      <c r="D11395" s="230">
        <v>-31995.14</v>
      </c>
      <c r="E11395" t="s">
        <v>753</v>
      </c>
    </row>
    <row r="11396" spans="1:5" hidden="1" x14ac:dyDescent="0.3">
      <c r="A11396" t="s">
        <v>557</v>
      </c>
      <c r="B11396" t="s">
        <v>752</v>
      </c>
      <c r="C11396" t="s">
        <v>46</v>
      </c>
      <c r="D11396" s="230">
        <v>-15583.35</v>
      </c>
      <c r="E11396" t="s">
        <v>753</v>
      </c>
    </row>
    <row r="11397" spans="1:5" hidden="1" x14ac:dyDescent="0.3">
      <c r="A11397" t="s">
        <v>557</v>
      </c>
      <c r="B11397" t="s">
        <v>752</v>
      </c>
      <c r="C11397" t="s">
        <v>48</v>
      </c>
      <c r="D11397" s="230">
        <v>-16043.29</v>
      </c>
      <c r="E11397" t="s">
        <v>753</v>
      </c>
    </row>
    <row r="11398" spans="1:5" hidden="1" x14ac:dyDescent="0.3">
      <c r="A11398" t="s">
        <v>557</v>
      </c>
      <c r="B11398" t="s">
        <v>752</v>
      </c>
      <c r="C11398" t="s">
        <v>49</v>
      </c>
      <c r="D11398" s="230">
        <v>-368.5</v>
      </c>
      <c r="E11398" t="s">
        <v>753</v>
      </c>
    </row>
    <row r="11399" spans="1:5" hidden="1" x14ac:dyDescent="0.3">
      <c r="A11399" t="s">
        <v>557</v>
      </c>
      <c r="B11399" t="s">
        <v>752</v>
      </c>
      <c r="C11399" t="s">
        <v>50</v>
      </c>
      <c r="D11399" s="230">
        <v>418595.98</v>
      </c>
      <c r="E11399" t="s">
        <v>753</v>
      </c>
    </row>
    <row r="11400" spans="1:5" hidden="1" x14ac:dyDescent="0.3">
      <c r="A11400" t="s">
        <v>557</v>
      </c>
      <c r="B11400" t="s">
        <v>752</v>
      </c>
      <c r="C11400" t="s">
        <v>51</v>
      </c>
      <c r="D11400" s="230">
        <v>-123614.44</v>
      </c>
      <c r="E11400" t="s">
        <v>753</v>
      </c>
    </row>
    <row r="11401" spans="1:5" hidden="1" x14ac:dyDescent="0.3">
      <c r="A11401" t="s">
        <v>557</v>
      </c>
      <c r="B11401" t="s">
        <v>752</v>
      </c>
      <c r="C11401" t="s">
        <v>52</v>
      </c>
      <c r="D11401" s="230">
        <v>-99046.78</v>
      </c>
      <c r="E11401" t="s">
        <v>753</v>
      </c>
    </row>
    <row r="11402" spans="1:5" hidden="1" x14ac:dyDescent="0.3">
      <c r="A11402" t="s">
        <v>557</v>
      </c>
      <c r="B11402" t="s">
        <v>752</v>
      </c>
      <c r="C11402" t="s">
        <v>53</v>
      </c>
      <c r="D11402" s="230">
        <v>-24567.66</v>
      </c>
      <c r="E11402" t="s">
        <v>753</v>
      </c>
    </row>
    <row r="11403" spans="1:5" hidden="1" x14ac:dyDescent="0.3">
      <c r="A11403" t="s">
        <v>557</v>
      </c>
      <c r="B11403" t="s">
        <v>752</v>
      </c>
      <c r="C11403" t="s">
        <v>54</v>
      </c>
      <c r="D11403" s="230">
        <v>0</v>
      </c>
      <c r="E11403" t="s">
        <v>753</v>
      </c>
    </row>
    <row r="11404" spans="1:5" hidden="1" x14ac:dyDescent="0.3">
      <c r="A11404" t="s">
        <v>557</v>
      </c>
      <c r="B11404" t="s">
        <v>752</v>
      </c>
      <c r="C11404" t="s">
        <v>23</v>
      </c>
      <c r="D11404" s="230">
        <v>0</v>
      </c>
      <c r="E11404" t="s">
        <v>753</v>
      </c>
    </row>
    <row r="11405" spans="1:5" hidden="1" x14ac:dyDescent="0.3">
      <c r="A11405" t="s">
        <v>557</v>
      </c>
      <c r="B11405" t="s">
        <v>752</v>
      </c>
      <c r="C11405" t="s">
        <v>44</v>
      </c>
      <c r="D11405" s="230">
        <v>-0.31</v>
      </c>
      <c r="E11405" t="s">
        <v>753</v>
      </c>
    </row>
    <row r="11406" spans="1:5" hidden="1" x14ac:dyDescent="0.3">
      <c r="A11406" t="s">
        <v>557</v>
      </c>
      <c r="B11406" t="s">
        <v>752</v>
      </c>
      <c r="C11406" t="s">
        <v>55</v>
      </c>
      <c r="D11406" s="230">
        <v>-0.3</v>
      </c>
      <c r="E11406" t="s">
        <v>753</v>
      </c>
    </row>
    <row r="11407" spans="1:5" hidden="1" x14ac:dyDescent="0.3">
      <c r="A11407" t="s">
        <v>557</v>
      </c>
      <c r="B11407" t="s">
        <v>752</v>
      </c>
      <c r="C11407" t="s">
        <v>56</v>
      </c>
      <c r="D11407" s="230">
        <v>-11500.29</v>
      </c>
      <c r="E11407" t="s">
        <v>753</v>
      </c>
    </row>
    <row r="11408" spans="1:5" hidden="1" x14ac:dyDescent="0.3">
      <c r="A11408" t="s">
        <v>557</v>
      </c>
      <c r="B11408" t="s">
        <v>752</v>
      </c>
      <c r="C11408" t="s">
        <v>57</v>
      </c>
      <c r="D11408" s="230">
        <v>-8833.6299999999992</v>
      </c>
      <c r="E11408" t="s">
        <v>753</v>
      </c>
    </row>
    <row r="11409" spans="1:5" hidden="1" x14ac:dyDescent="0.3">
      <c r="A11409" t="s">
        <v>557</v>
      </c>
      <c r="B11409" t="s">
        <v>752</v>
      </c>
      <c r="C11409" t="s">
        <v>58</v>
      </c>
      <c r="D11409" s="230">
        <v>-8500</v>
      </c>
      <c r="E11409" t="s">
        <v>753</v>
      </c>
    </row>
    <row r="11410" spans="1:5" hidden="1" x14ac:dyDescent="0.3">
      <c r="A11410" t="s">
        <v>557</v>
      </c>
      <c r="B11410" t="s">
        <v>752</v>
      </c>
      <c r="C11410" t="s">
        <v>59</v>
      </c>
      <c r="D11410" s="230">
        <v>-333.63</v>
      </c>
      <c r="E11410" t="s">
        <v>753</v>
      </c>
    </row>
    <row r="11411" spans="1:5" hidden="1" x14ac:dyDescent="0.3">
      <c r="A11411" t="s">
        <v>557</v>
      </c>
      <c r="B11411" t="s">
        <v>752</v>
      </c>
      <c r="C11411" t="s">
        <v>61</v>
      </c>
      <c r="D11411" s="230">
        <v>0</v>
      </c>
      <c r="E11411" t="s">
        <v>753</v>
      </c>
    </row>
    <row r="11412" spans="1:5" hidden="1" x14ac:dyDescent="0.3">
      <c r="A11412" t="s">
        <v>557</v>
      </c>
      <c r="B11412" t="s">
        <v>752</v>
      </c>
      <c r="C11412" t="s">
        <v>62</v>
      </c>
      <c r="D11412" s="230">
        <v>0</v>
      </c>
      <c r="E11412" t="s">
        <v>753</v>
      </c>
    </row>
    <row r="11413" spans="1:5" hidden="1" x14ac:dyDescent="0.3">
      <c r="A11413" t="s">
        <v>557</v>
      </c>
      <c r="B11413" t="s">
        <v>752</v>
      </c>
      <c r="C11413" t="s">
        <v>64</v>
      </c>
      <c r="D11413" s="230">
        <v>0</v>
      </c>
      <c r="E11413" t="s">
        <v>753</v>
      </c>
    </row>
    <row r="11414" spans="1:5" hidden="1" x14ac:dyDescent="0.3">
      <c r="A11414" t="s">
        <v>557</v>
      </c>
      <c r="B11414" t="s">
        <v>752</v>
      </c>
      <c r="C11414" t="s">
        <v>65</v>
      </c>
      <c r="D11414" s="230">
        <v>-2666.66</v>
      </c>
      <c r="E11414" t="s">
        <v>753</v>
      </c>
    </row>
    <row r="11415" spans="1:5" hidden="1" x14ac:dyDescent="0.3">
      <c r="A11415" t="s">
        <v>557</v>
      </c>
      <c r="B11415" t="s">
        <v>752</v>
      </c>
      <c r="C11415" t="s">
        <v>66</v>
      </c>
      <c r="D11415" s="230">
        <v>-2666.66</v>
      </c>
      <c r="E11415" t="s">
        <v>753</v>
      </c>
    </row>
    <row r="11416" spans="1:5" hidden="1" x14ac:dyDescent="0.3">
      <c r="A11416" t="s">
        <v>557</v>
      </c>
      <c r="B11416" t="s">
        <v>752</v>
      </c>
      <c r="C11416" t="s">
        <v>68</v>
      </c>
      <c r="D11416" s="230">
        <v>0</v>
      </c>
      <c r="E11416" t="s">
        <v>753</v>
      </c>
    </row>
    <row r="11417" spans="1:5" hidden="1" x14ac:dyDescent="0.3">
      <c r="A11417" t="s">
        <v>557</v>
      </c>
      <c r="B11417" t="s">
        <v>752</v>
      </c>
      <c r="C11417" t="s">
        <v>69</v>
      </c>
      <c r="D11417" s="230">
        <v>0</v>
      </c>
      <c r="E11417" t="s">
        <v>753</v>
      </c>
    </row>
    <row r="11418" spans="1:5" hidden="1" x14ac:dyDescent="0.3">
      <c r="A11418" t="s">
        <v>557</v>
      </c>
      <c r="B11418" t="s">
        <v>752</v>
      </c>
      <c r="C11418" t="s">
        <v>70</v>
      </c>
      <c r="D11418" s="230">
        <v>-1.08</v>
      </c>
      <c r="E11418" t="s">
        <v>753</v>
      </c>
    </row>
    <row r="11419" spans="1:5" hidden="1" x14ac:dyDescent="0.3">
      <c r="A11419" t="s">
        <v>557</v>
      </c>
      <c r="B11419" t="s">
        <v>752</v>
      </c>
      <c r="C11419" t="s">
        <v>44</v>
      </c>
      <c r="D11419" s="230">
        <v>-0.02</v>
      </c>
      <c r="E11419" t="s">
        <v>753</v>
      </c>
    </row>
    <row r="11420" spans="1:5" hidden="1" x14ac:dyDescent="0.3">
      <c r="A11420" t="s">
        <v>557</v>
      </c>
      <c r="B11420" t="s">
        <v>752</v>
      </c>
      <c r="C11420" t="s">
        <v>71</v>
      </c>
      <c r="D11420" s="230">
        <v>-3930.22</v>
      </c>
      <c r="E11420" t="s">
        <v>753</v>
      </c>
    </row>
    <row r="11421" spans="1:5" hidden="1" x14ac:dyDescent="0.3">
      <c r="A11421" t="s">
        <v>557</v>
      </c>
      <c r="B11421" t="s">
        <v>752</v>
      </c>
      <c r="C11421" t="s">
        <v>72</v>
      </c>
      <c r="D11421" s="230">
        <v>-3930.22</v>
      </c>
      <c r="E11421" t="s">
        <v>753</v>
      </c>
    </row>
    <row r="11422" spans="1:5" hidden="1" x14ac:dyDescent="0.3">
      <c r="A11422" t="s">
        <v>557</v>
      </c>
      <c r="B11422" t="s">
        <v>752</v>
      </c>
      <c r="C11422" t="s">
        <v>73</v>
      </c>
      <c r="D11422" s="230">
        <v>-2000</v>
      </c>
      <c r="E11422" t="s">
        <v>753</v>
      </c>
    </row>
    <row r="11423" spans="1:5" hidden="1" x14ac:dyDescent="0.3">
      <c r="A11423" t="s">
        <v>557</v>
      </c>
      <c r="B11423" t="s">
        <v>752</v>
      </c>
      <c r="C11423" t="s">
        <v>75</v>
      </c>
      <c r="D11423" s="230">
        <v>-1930.22</v>
      </c>
      <c r="E11423" t="s">
        <v>753</v>
      </c>
    </row>
    <row r="11424" spans="1:5" hidden="1" x14ac:dyDescent="0.3">
      <c r="A11424" t="s">
        <v>557</v>
      </c>
      <c r="B11424" t="s">
        <v>752</v>
      </c>
      <c r="C11424" t="s">
        <v>77</v>
      </c>
      <c r="D11424" s="230">
        <v>0</v>
      </c>
      <c r="E11424" t="s">
        <v>753</v>
      </c>
    </row>
    <row r="11425" spans="1:5" hidden="1" x14ac:dyDescent="0.3">
      <c r="A11425" t="s">
        <v>557</v>
      </c>
      <c r="B11425" t="s">
        <v>752</v>
      </c>
      <c r="C11425" t="s">
        <v>78</v>
      </c>
      <c r="D11425" s="230">
        <v>0</v>
      </c>
      <c r="E11425" t="s">
        <v>753</v>
      </c>
    </row>
    <row r="11426" spans="1:5" hidden="1" x14ac:dyDescent="0.3">
      <c r="A11426" t="s">
        <v>557</v>
      </c>
      <c r="B11426" t="s">
        <v>752</v>
      </c>
      <c r="C11426" t="s">
        <v>80</v>
      </c>
      <c r="D11426" s="230">
        <v>0</v>
      </c>
      <c r="E11426" t="s">
        <v>753</v>
      </c>
    </row>
    <row r="11427" spans="1:5" hidden="1" x14ac:dyDescent="0.3">
      <c r="A11427" t="s">
        <v>557</v>
      </c>
      <c r="B11427" t="s">
        <v>752</v>
      </c>
      <c r="C11427" t="s">
        <v>82</v>
      </c>
      <c r="D11427" s="230">
        <v>0</v>
      </c>
      <c r="E11427" t="s">
        <v>753</v>
      </c>
    </row>
    <row r="11428" spans="1:5" hidden="1" x14ac:dyDescent="0.3">
      <c r="A11428" t="s">
        <v>557</v>
      </c>
      <c r="B11428" t="s">
        <v>752</v>
      </c>
      <c r="C11428" t="s">
        <v>84</v>
      </c>
      <c r="D11428" s="230">
        <v>0</v>
      </c>
      <c r="E11428" t="s">
        <v>753</v>
      </c>
    </row>
    <row r="11429" spans="1:5" hidden="1" x14ac:dyDescent="0.3">
      <c r="A11429" t="s">
        <v>557</v>
      </c>
      <c r="B11429" t="s">
        <v>752</v>
      </c>
      <c r="C11429" t="s">
        <v>85</v>
      </c>
      <c r="D11429" s="230">
        <v>0</v>
      </c>
      <c r="E11429" t="s">
        <v>753</v>
      </c>
    </row>
    <row r="11430" spans="1:5" hidden="1" x14ac:dyDescent="0.3">
      <c r="A11430" t="s">
        <v>557</v>
      </c>
      <c r="B11430" t="s">
        <v>752</v>
      </c>
      <c r="C11430" t="s">
        <v>86</v>
      </c>
      <c r="D11430" s="230">
        <v>0</v>
      </c>
      <c r="E11430" t="s">
        <v>753</v>
      </c>
    </row>
    <row r="11431" spans="1:5" hidden="1" x14ac:dyDescent="0.3">
      <c r="A11431" t="s">
        <v>557</v>
      </c>
      <c r="B11431" t="s">
        <v>752</v>
      </c>
      <c r="C11431" t="s">
        <v>87</v>
      </c>
      <c r="D11431" s="230">
        <v>0</v>
      </c>
      <c r="E11431" t="s">
        <v>753</v>
      </c>
    </row>
    <row r="11432" spans="1:5" hidden="1" x14ac:dyDescent="0.3">
      <c r="A11432" t="s">
        <v>557</v>
      </c>
      <c r="B11432" t="s">
        <v>752</v>
      </c>
      <c r="C11432" t="s">
        <v>88</v>
      </c>
      <c r="D11432" s="230">
        <v>0</v>
      </c>
      <c r="E11432" t="s">
        <v>753</v>
      </c>
    </row>
    <row r="11433" spans="1:5" hidden="1" x14ac:dyDescent="0.3">
      <c r="A11433" t="s">
        <v>557</v>
      </c>
      <c r="B11433" t="s">
        <v>752</v>
      </c>
      <c r="C11433" t="s">
        <v>89</v>
      </c>
      <c r="D11433" s="230">
        <v>0</v>
      </c>
      <c r="E11433" t="s">
        <v>753</v>
      </c>
    </row>
    <row r="11434" spans="1:5" hidden="1" x14ac:dyDescent="0.3">
      <c r="A11434" t="s">
        <v>557</v>
      </c>
      <c r="B11434" t="s">
        <v>752</v>
      </c>
      <c r="C11434" t="s">
        <v>90</v>
      </c>
      <c r="D11434" s="230">
        <v>0</v>
      </c>
      <c r="E11434" t="s">
        <v>753</v>
      </c>
    </row>
    <row r="11435" spans="1:5" hidden="1" x14ac:dyDescent="0.3">
      <c r="A11435" t="s">
        <v>557</v>
      </c>
      <c r="B11435" t="s">
        <v>752</v>
      </c>
      <c r="C11435" t="s">
        <v>91</v>
      </c>
      <c r="D11435" s="230">
        <v>0</v>
      </c>
      <c r="E11435" t="s">
        <v>753</v>
      </c>
    </row>
    <row r="11436" spans="1:5" hidden="1" x14ac:dyDescent="0.3">
      <c r="A11436" t="s">
        <v>557</v>
      </c>
      <c r="B11436" t="s">
        <v>752</v>
      </c>
      <c r="C11436" t="s">
        <v>93</v>
      </c>
      <c r="D11436" s="230">
        <v>0</v>
      </c>
      <c r="E11436" t="s">
        <v>753</v>
      </c>
    </row>
    <row r="11437" spans="1:5" hidden="1" x14ac:dyDescent="0.3">
      <c r="A11437" t="s">
        <v>557</v>
      </c>
      <c r="B11437" t="s">
        <v>752</v>
      </c>
      <c r="C11437" t="s">
        <v>95</v>
      </c>
      <c r="D11437" s="230">
        <v>0</v>
      </c>
      <c r="E11437" t="s">
        <v>753</v>
      </c>
    </row>
    <row r="11438" spans="1:5" hidden="1" x14ac:dyDescent="0.3">
      <c r="A11438" t="s">
        <v>557</v>
      </c>
      <c r="B11438" t="s">
        <v>752</v>
      </c>
      <c r="C11438" t="s">
        <v>96</v>
      </c>
      <c r="D11438" s="230">
        <v>0</v>
      </c>
      <c r="E11438" t="s">
        <v>753</v>
      </c>
    </row>
    <row r="11439" spans="1:5" hidden="1" x14ac:dyDescent="0.3">
      <c r="A11439" t="s">
        <v>557</v>
      </c>
      <c r="B11439" t="s">
        <v>752</v>
      </c>
      <c r="C11439" t="s">
        <v>98</v>
      </c>
      <c r="D11439" s="230">
        <v>0</v>
      </c>
      <c r="E11439" t="s">
        <v>753</v>
      </c>
    </row>
    <row r="11440" spans="1:5" hidden="1" x14ac:dyDescent="0.3">
      <c r="A11440" t="s">
        <v>557</v>
      </c>
      <c r="B11440" t="s">
        <v>752</v>
      </c>
      <c r="C11440" t="s">
        <v>100</v>
      </c>
      <c r="D11440" s="230">
        <v>0</v>
      </c>
      <c r="E11440" t="s">
        <v>753</v>
      </c>
    </row>
    <row r="11441" spans="1:5" hidden="1" x14ac:dyDescent="0.3">
      <c r="A11441" t="s">
        <v>557</v>
      </c>
      <c r="B11441" t="s">
        <v>752</v>
      </c>
      <c r="C11441" t="s">
        <v>101</v>
      </c>
      <c r="D11441" s="230">
        <v>0</v>
      </c>
      <c r="E11441" t="s">
        <v>753</v>
      </c>
    </row>
    <row r="11442" spans="1:5" hidden="1" x14ac:dyDescent="0.3">
      <c r="A11442" t="s">
        <v>557</v>
      </c>
      <c r="B11442" t="s">
        <v>752</v>
      </c>
      <c r="C11442" t="s">
        <v>102</v>
      </c>
      <c r="D11442" s="230">
        <v>0</v>
      </c>
      <c r="E11442" t="s">
        <v>753</v>
      </c>
    </row>
    <row r="11443" spans="1:5" hidden="1" x14ac:dyDescent="0.3">
      <c r="A11443" t="s">
        <v>557</v>
      </c>
      <c r="B11443" t="s">
        <v>752</v>
      </c>
      <c r="C11443" t="s">
        <v>103</v>
      </c>
      <c r="D11443" s="230">
        <v>0</v>
      </c>
      <c r="E11443" t="s">
        <v>753</v>
      </c>
    </row>
    <row r="11444" spans="1:5" hidden="1" x14ac:dyDescent="0.3">
      <c r="A11444" t="s">
        <v>557</v>
      </c>
      <c r="B11444" t="s">
        <v>752</v>
      </c>
      <c r="C11444" t="s">
        <v>104</v>
      </c>
      <c r="D11444" s="230">
        <v>0</v>
      </c>
      <c r="E11444" t="s">
        <v>753</v>
      </c>
    </row>
    <row r="11445" spans="1:5" hidden="1" x14ac:dyDescent="0.3">
      <c r="A11445" t="s">
        <v>557</v>
      </c>
      <c r="B11445" t="s">
        <v>752</v>
      </c>
      <c r="C11445" t="s">
        <v>105</v>
      </c>
      <c r="D11445" s="230">
        <v>0</v>
      </c>
      <c r="E11445" t="s">
        <v>753</v>
      </c>
    </row>
    <row r="11446" spans="1:5" hidden="1" x14ac:dyDescent="0.3">
      <c r="A11446" t="s">
        <v>557</v>
      </c>
      <c r="B11446" t="s">
        <v>752</v>
      </c>
      <c r="C11446" t="s">
        <v>107</v>
      </c>
      <c r="D11446" s="230">
        <v>0</v>
      </c>
      <c r="E11446" t="s">
        <v>753</v>
      </c>
    </row>
    <row r="11447" spans="1:5" hidden="1" x14ac:dyDescent="0.3">
      <c r="A11447" t="s">
        <v>557</v>
      </c>
      <c r="B11447" t="s">
        <v>752</v>
      </c>
      <c r="C11447" t="s">
        <v>108</v>
      </c>
      <c r="D11447" s="230">
        <v>0</v>
      </c>
      <c r="E11447" t="s">
        <v>753</v>
      </c>
    </row>
    <row r="11448" spans="1:5" hidden="1" x14ac:dyDescent="0.3">
      <c r="A11448" t="s">
        <v>557</v>
      </c>
      <c r="B11448" t="s">
        <v>752</v>
      </c>
      <c r="C11448" t="s">
        <v>109</v>
      </c>
      <c r="D11448" s="230">
        <v>0</v>
      </c>
      <c r="E11448" t="s">
        <v>753</v>
      </c>
    </row>
    <row r="11449" spans="1:5" hidden="1" x14ac:dyDescent="0.3">
      <c r="A11449" t="s">
        <v>557</v>
      </c>
      <c r="B11449" t="s">
        <v>752</v>
      </c>
      <c r="C11449" t="s">
        <v>110</v>
      </c>
      <c r="D11449" s="230">
        <v>-0.13</v>
      </c>
      <c r="E11449" t="s">
        <v>753</v>
      </c>
    </row>
    <row r="11450" spans="1:5" hidden="1" x14ac:dyDescent="0.3">
      <c r="A11450" t="s">
        <v>557</v>
      </c>
      <c r="B11450" t="s">
        <v>752</v>
      </c>
      <c r="C11450" t="s">
        <v>44</v>
      </c>
      <c r="D11450" s="230">
        <v>-0.01</v>
      </c>
      <c r="E11450" t="s">
        <v>753</v>
      </c>
    </row>
    <row r="11451" spans="1:5" hidden="1" x14ac:dyDescent="0.3">
      <c r="A11451" t="s">
        <v>557</v>
      </c>
      <c r="B11451" t="s">
        <v>752</v>
      </c>
      <c r="C11451" t="s">
        <v>111</v>
      </c>
      <c r="D11451" s="230">
        <v>-27474.78</v>
      </c>
      <c r="E11451" t="s">
        <v>753</v>
      </c>
    </row>
    <row r="11452" spans="1:5" hidden="1" x14ac:dyDescent="0.3">
      <c r="A11452" t="s">
        <v>557</v>
      </c>
      <c r="B11452" t="s">
        <v>752</v>
      </c>
      <c r="C11452" t="s">
        <v>608</v>
      </c>
      <c r="D11452" s="230">
        <v>-27474.78</v>
      </c>
      <c r="E11452" t="s">
        <v>753</v>
      </c>
    </row>
    <row r="11453" spans="1:5" hidden="1" x14ac:dyDescent="0.3">
      <c r="A11453" t="s">
        <v>557</v>
      </c>
      <c r="B11453" t="s">
        <v>752</v>
      </c>
      <c r="C11453" t="s">
        <v>44</v>
      </c>
      <c r="D11453" s="230">
        <v>-0.06</v>
      </c>
      <c r="E11453" t="s">
        <v>753</v>
      </c>
    </row>
    <row r="11454" spans="1:5" hidden="1" x14ac:dyDescent="0.3">
      <c r="A11454" t="s">
        <v>557</v>
      </c>
      <c r="B11454" t="s">
        <v>752</v>
      </c>
      <c r="C11454" t="s">
        <v>115</v>
      </c>
      <c r="D11454" s="230">
        <v>-14839.4</v>
      </c>
      <c r="E11454" t="s">
        <v>753</v>
      </c>
    </row>
    <row r="11455" spans="1:5" hidden="1" x14ac:dyDescent="0.3">
      <c r="A11455" t="s">
        <v>557</v>
      </c>
      <c r="B11455" t="s">
        <v>752</v>
      </c>
      <c r="C11455" t="s">
        <v>116</v>
      </c>
      <c r="D11455" s="230">
        <v>-6703.72</v>
      </c>
      <c r="E11455" t="s">
        <v>753</v>
      </c>
    </row>
    <row r="11456" spans="1:5" hidden="1" x14ac:dyDescent="0.3">
      <c r="A11456" t="s">
        <v>557</v>
      </c>
      <c r="B11456" t="s">
        <v>752</v>
      </c>
      <c r="C11456" t="s">
        <v>118</v>
      </c>
      <c r="D11456" s="230">
        <v>-8135.68</v>
      </c>
      <c r="E11456" t="s">
        <v>753</v>
      </c>
    </row>
    <row r="11457" spans="1:5" hidden="1" x14ac:dyDescent="0.3">
      <c r="A11457" t="s">
        <v>557</v>
      </c>
      <c r="B11457" t="s">
        <v>752</v>
      </c>
      <c r="C11457" t="s">
        <v>120</v>
      </c>
      <c r="D11457" s="230">
        <v>0</v>
      </c>
      <c r="E11457" t="s">
        <v>753</v>
      </c>
    </row>
    <row r="11458" spans="1:5" hidden="1" x14ac:dyDescent="0.3">
      <c r="A11458" t="s">
        <v>557</v>
      </c>
      <c r="B11458" t="s">
        <v>752</v>
      </c>
      <c r="C11458" t="s">
        <v>122</v>
      </c>
      <c r="D11458" s="230">
        <v>0</v>
      </c>
      <c r="E11458" t="s">
        <v>753</v>
      </c>
    </row>
    <row r="11459" spans="1:5" hidden="1" x14ac:dyDescent="0.3">
      <c r="A11459" t="s">
        <v>557</v>
      </c>
      <c r="B11459" t="s">
        <v>752</v>
      </c>
      <c r="C11459" t="s">
        <v>44</v>
      </c>
      <c r="D11459" s="230">
        <v>-0.03</v>
      </c>
      <c r="E11459" t="s">
        <v>753</v>
      </c>
    </row>
    <row r="11460" spans="1:5" hidden="1" x14ac:dyDescent="0.3">
      <c r="A11460" t="s">
        <v>557</v>
      </c>
      <c r="B11460" t="s">
        <v>752</v>
      </c>
      <c r="C11460" t="s">
        <v>126</v>
      </c>
      <c r="D11460" s="230">
        <v>237236.85</v>
      </c>
      <c r="E11460" t="s">
        <v>753</v>
      </c>
    </row>
    <row r="11461" spans="1:5" hidden="1" x14ac:dyDescent="0.3">
      <c r="A11461" t="s">
        <v>557</v>
      </c>
      <c r="B11461" t="s">
        <v>752</v>
      </c>
      <c r="C11461" t="s">
        <v>127</v>
      </c>
      <c r="D11461" s="230">
        <v>0.51</v>
      </c>
      <c r="E11461" t="s">
        <v>753</v>
      </c>
    </row>
    <row r="11462" spans="1:5" hidden="1" x14ac:dyDescent="0.3">
      <c r="A11462" t="s">
        <v>557</v>
      </c>
      <c r="B11462" t="s">
        <v>752</v>
      </c>
      <c r="C11462" t="s">
        <v>128</v>
      </c>
      <c r="D11462" s="230">
        <v>-135008.73000000001</v>
      </c>
      <c r="E11462" t="s">
        <v>753</v>
      </c>
    </row>
    <row r="11463" spans="1:5" hidden="1" x14ac:dyDescent="0.3">
      <c r="A11463" t="s">
        <v>557</v>
      </c>
      <c r="B11463" t="s">
        <v>752</v>
      </c>
      <c r="C11463" t="s">
        <v>129</v>
      </c>
      <c r="D11463" s="230">
        <v>-33850</v>
      </c>
      <c r="E11463" t="s">
        <v>753</v>
      </c>
    </row>
    <row r="11464" spans="1:5" hidden="1" x14ac:dyDescent="0.3">
      <c r="A11464" t="s">
        <v>557</v>
      </c>
      <c r="B11464" t="s">
        <v>752</v>
      </c>
      <c r="C11464" t="s">
        <v>609</v>
      </c>
      <c r="D11464" s="230">
        <v>0</v>
      </c>
      <c r="E11464" t="s">
        <v>753</v>
      </c>
    </row>
    <row r="11465" spans="1:5" hidden="1" x14ac:dyDescent="0.3">
      <c r="A11465" t="s">
        <v>557</v>
      </c>
      <c r="B11465" t="s">
        <v>752</v>
      </c>
      <c r="C11465" t="s">
        <v>610</v>
      </c>
      <c r="D11465" s="230">
        <v>-17600</v>
      </c>
      <c r="E11465" t="s">
        <v>753</v>
      </c>
    </row>
    <row r="11466" spans="1:5" hidden="1" x14ac:dyDescent="0.3">
      <c r="A11466" t="s">
        <v>557</v>
      </c>
      <c r="B11466" t="s">
        <v>752</v>
      </c>
      <c r="C11466" t="s">
        <v>611</v>
      </c>
      <c r="D11466" s="230">
        <v>0</v>
      </c>
      <c r="E11466" t="s">
        <v>753</v>
      </c>
    </row>
    <row r="11467" spans="1:5" hidden="1" x14ac:dyDescent="0.3">
      <c r="A11467" t="s">
        <v>557</v>
      </c>
      <c r="B11467" t="s">
        <v>752</v>
      </c>
      <c r="C11467" t="s">
        <v>612</v>
      </c>
      <c r="D11467" s="230">
        <v>-4000</v>
      </c>
      <c r="E11467" t="s">
        <v>753</v>
      </c>
    </row>
    <row r="11468" spans="1:5" hidden="1" x14ac:dyDescent="0.3">
      <c r="A11468" t="s">
        <v>557</v>
      </c>
      <c r="B11468" t="s">
        <v>752</v>
      </c>
      <c r="C11468" t="s">
        <v>613</v>
      </c>
      <c r="D11468" s="230">
        <v>-1750</v>
      </c>
      <c r="E11468" t="s">
        <v>753</v>
      </c>
    </row>
    <row r="11469" spans="1:5" hidden="1" x14ac:dyDescent="0.3">
      <c r="A11469" t="s">
        <v>557</v>
      </c>
      <c r="B11469" t="s">
        <v>752</v>
      </c>
      <c r="C11469" t="s">
        <v>614</v>
      </c>
      <c r="D11469" s="230">
        <v>-6500</v>
      </c>
      <c r="E11469" t="s">
        <v>753</v>
      </c>
    </row>
    <row r="11470" spans="1:5" hidden="1" x14ac:dyDescent="0.3">
      <c r="A11470" t="s">
        <v>557</v>
      </c>
      <c r="B11470" t="s">
        <v>752</v>
      </c>
      <c r="C11470" t="s">
        <v>615</v>
      </c>
      <c r="D11470" s="230">
        <v>0</v>
      </c>
      <c r="E11470" t="s">
        <v>753</v>
      </c>
    </row>
    <row r="11471" spans="1:5" hidden="1" x14ac:dyDescent="0.3">
      <c r="A11471" t="s">
        <v>557</v>
      </c>
      <c r="B11471" t="s">
        <v>752</v>
      </c>
      <c r="C11471" t="s">
        <v>616</v>
      </c>
      <c r="D11471" s="230">
        <v>-4000</v>
      </c>
      <c r="E11471" t="s">
        <v>753</v>
      </c>
    </row>
    <row r="11472" spans="1:5" hidden="1" x14ac:dyDescent="0.3">
      <c r="A11472" t="s">
        <v>557</v>
      </c>
      <c r="B11472" t="s">
        <v>752</v>
      </c>
      <c r="C11472" t="s">
        <v>617</v>
      </c>
      <c r="D11472" s="230">
        <v>0</v>
      </c>
      <c r="E11472" t="s">
        <v>753</v>
      </c>
    </row>
    <row r="11473" spans="1:5" hidden="1" x14ac:dyDescent="0.3">
      <c r="A11473" t="s">
        <v>557</v>
      </c>
      <c r="B11473" t="s">
        <v>752</v>
      </c>
      <c r="C11473" t="s">
        <v>618</v>
      </c>
      <c r="D11473" s="230">
        <v>0</v>
      </c>
      <c r="E11473" t="s">
        <v>753</v>
      </c>
    </row>
    <row r="11474" spans="1:5" hidden="1" x14ac:dyDescent="0.3">
      <c r="A11474" t="s">
        <v>557</v>
      </c>
      <c r="B11474" t="s">
        <v>752</v>
      </c>
      <c r="C11474" t="s">
        <v>619</v>
      </c>
      <c r="D11474" s="230">
        <v>0</v>
      </c>
      <c r="E11474" t="s">
        <v>753</v>
      </c>
    </row>
    <row r="11475" spans="1:5" hidden="1" x14ac:dyDescent="0.3">
      <c r="A11475" t="s">
        <v>557</v>
      </c>
      <c r="B11475" t="s">
        <v>752</v>
      </c>
      <c r="C11475" t="s">
        <v>620</v>
      </c>
      <c r="D11475" s="230">
        <v>0</v>
      </c>
      <c r="E11475" t="s">
        <v>753</v>
      </c>
    </row>
    <row r="11476" spans="1:5" hidden="1" x14ac:dyDescent="0.3">
      <c r="A11476" t="s">
        <v>557</v>
      </c>
      <c r="B11476" t="s">
        <v>752</v>
      </c>
      <c r="C11476" t="s">
        <v>575</v>
      </c>
      <c r="D11476" s="230">
        <v>-32723.83</v>
      </c>
      <c r="E11476" t="s">
        <v>753</v>
      </c>
    </row>
    <row r="11477" spans="1:5" hidden="1" x14ac:dyDescent="0.3">
      <c r="A11477" t="s">
        <v>557</v>
      </c>
      <c r="B11477" t="s">
        <v>752</v>
      </c>
      <c r="C11477" t="s">
        <v>621</v>
      </c>
      <c r="D11477" s="230">
        <v>0</v>
      </c>
      <c r="E11477" t="s">
        <v>753</v>
      </c>
    </row>
    <row r="11478" spans="1:5" hidden="1" x14ac:dyDescent="0.3">
      <c r="A11478" t="s">
        <v>557</v>
      </c>
      <c r="B11478" t="s">
        <v>752</v>
      </c>
      <c r="C11478" t="s">
        <v>622</v>
      </c>
      <c r="D11478" s="230">
        <v>0</v>
      </c>
      <c r="E11478" t="s">
        <v>753</v>
      </c>
    </row>
    <row r="11479" spans="1:5" hidden="1" x14ac:dyDescent="0.3">
      <c r="A11479" t="s">
        <v>557</v>
      </c>
      <c r="B11479" t="s">
        <v>752</v>
      </c>
      <c r="C11479" t="s">
        <v>623</v>
      </c>
      <c r="D11479" s="230">
        <v>0</v>
      </c>
      <c r="E11479" t="s">
        <v>753</v>
      </c>
    </row>
    <row r="11480" spans="1:5" hidden="1" x14ac:dyDescent="0.3">
      <c r="A11480" t="s">
        <v>557</v>
      </c>
      <c r="B11480" t="s">
        <v>752</v>
      </c>
      <c r="C11480" t="s">
        <v>624</v>
      </c>
      <c r="D11480" s="230">
        <v>0</v>
      </c>
      <c r="E11480" t="s">
        <v>753</v>
      </c>
    </row>
    <row r="11481" spans="1:5" hidden="1" x14ac:dyDescent="0.3">
      <c r="A11481" t="s">
        <v>557</v>
      </c>
      <c r="B11481" t="s">
        <v>752</v>
      </c>
      <c r="C11481" t="s">
        <v>625</v>
      </c>
      <c r="D11481" s="230">
        <v>0</v>
      </c>
      <c r="E11481" t="s">
        <v>753</v>
      </c>
    </row>
    <row r="11482" spans="1:5" hidden="1" x14ac:dyDescent="0.3">
      <c r="A11482" t="s">
        <v>557</v>
      </c>
      <c r="B11482" t="s">
        <v>752</v>
      </c>
      <c r="C11482" t="s">
        <v>626</v>
      </c>
      <c r="D11482" s="230">
        <v>0</v>
      </c>
      <c r="E11482" t="s">
        <v>753</v>
      </c>
    </row>
    <row r="11483" spans="1:5" hidden="1" x14ac:dyDescent="0.3">
      <c r="A11483" t="s">
        <v>557</v>
      </c>
      <c r="B11483" t="s">
        <v>752</v>
      </c>
      <c r="C11483" t="s">
        <v>627</v>
      </c>
      <c r="D11483" s="230">
        <v>0</v>
      </c>
      <c r="E11483" t="s">
        <v>753</v>
      </c>
    </row>
    <row r="11484" spans="1:5" hidden="1" x14ac:dyDescent="0.3">
      <c r="A11484" t="s">
        <v>557</v>
      </c>
      <c r="B11484" t="s">
        <v>752</v>
      </c>
      <c r="C11484" t="s">
        <v>628</v>
      </c>
      <c r="D11484" s="230">
        <v>0</v>
      </c>
      <c r="E11484" t="s">
        <v>753</v>
      </c>
    </row>
    <row r="11485" spans="1:5" hidden="1" x14ac:dyDescent="0.3">
      <c r="A11485" t="s">
        <v>557</v>
      </c>
      <c r="B11485" t="s">
        <v>752</v>
      </c>
      <c r="C11485" t="s">
        <v>629</v>
      </c>
      <c r="D11485" s="230">
        <v>0</v>
      </c>
      <c r="E11485" t="s">
        <v>753</v>
      </c>
    </row>
    <row r="11486" spans="1:5" hidden="1" x14ac:dyDescent="0.3">
      <c r="A11486" t="s">
        <v>557</v>
      </c>
      <c r="B11486" t="s">
        <v>752</v>
      </c>
      <c r="C11486" t="s">
        <v>630</v>
      </c>
      <c r="D11486" s="230">
        <v>0</v>
      </c>
      <c r="E11486" t="s">
        <v>753</v>
      </c>
    </row>
    <row r="11487" spans="1:5" hidden="1" x14ac:dyDescent="0.3">
      <c r="A11487" t="s">
        <v>557</v>
      </c>
      <c r="B11487" t="s">
        <v>752</v>
      </c>
      <c r="C11487" t="s">
        <v>631</v>
      </c>
      <c r="D11487" s="230">
        <v>0</v>
      </c>
      <c r="E11487" t="s">
        <v>753</v>
      </c>
    </row>
    <row r="11488" spans="1:5" hidden="1" x14ac:dyDescent="0.3">
      <c r="A11488" t="s">
        <v>557</v>
      </c>
      <c r="B11488" t="s">
        <v>752</v>
      </c>
      <c r="C11488" t="s">
        <v>632</v>
      </c>
      <c r="D11488" s="230">
        <v>0</v>
      </c>
      <c r="E11488" t="s">
        <v>753</v>
      </c>
    </row>
    <row r="11489" spans="1:5" hidden="1" x14ac:dyDescent="0.3">
      <c r="A11489" t="s">
        <v>557</v>
      </c>
      <c r="B11489" t="s">
        <v>752</v>
      </c>
      <c r="C11489" t="s">
        <v>633</v>
      </c>
      <c r="D11489" s="230">
        <v>0</v>
      </c>
      <c r="E11489" t="s">
        <v>753</v>
      </c>
    </row>
    <row r="11490" spans="1:5" hidden="1" x14ac:dyDescent="0.3">
      <c r="A11490" t="s">
        <v>557</v>
      </c>
      <c r="B11490" t="s">
        <v>752</v>
      </c>
      <c r="C11490" t="s">
        <v>634</v>
      </c>
      <c r="D11490" s="230">
        <v>0</v>
      </c>
      <c r="E11490" t="s">
        <v>753</v>
      </c>
    </row>
    <row r="11491" spans="1:5" hidden="1" x14ac:dyDescent="0.3">
      <c r="A11491" t="s">
        <v>557</v>
      </c>
      <c r="B11491" t="s">
        <v>752</v>
      </c>
      <c r="C11491" t="s">
        <v>635</v>
      </c>
      <c r="D11491" s="230">
        <v>0</v>
      </c>
      <c r="E11491" t="s">
        <v>753</v>
      </c>
    </row>
    <row r="11492" spans="1:5" hidden="1" x14ac:dyDescent="0.3">
      <c r="A11492" t="s">
        <v>557</v>
      </c>
      <c r="B11492" t="s">
        <v>752</v>
      </c>
      <c r="C11492" t="s">
        <v>636</v>
      </c>
      <c r="D11492" s="230">
        <v>0</v>
      </c>
      <c r="E11492" t="s">
        <v>753</v>
      </c>
    </row>
    <row r="11493" spans="1:5" hidden="1" x14ac:dyDescent="0.3">
      <c r="A11493" t="s">
        <v>557</v>
      </c>
      <c r="B11493" t="s">
        <v>752</v>
      </c>
      <c r="C11493" t="s">
        <v>637</v>
      </c>
      <c r="D11493" s="230">
        <v>0</v>
      </c>
      <c r="E11493" t="s">
        <v>753</v>
      </c>
    </row>
    <row r="11494" spans="1:5" hidden="1" x14ac:dyDescent="0.3">
      <c r="A11494" t="s">
        <v>557</v>
      </c>
      <c r="B11494" t="s">
        <v>752</v>
      </c>
      <c r="C11494" t="s">
        <v>638</v>
      </c>
      <c r="D11494" s="230">
        <v>0</v>
      </c>
      <c r="E11494" t="s">
        <v>753</v>
      </c>
    </row>
    <row r="11495" spans="1:5" hidden="1" x14ac:dyDescent="0.3">
      <c r="A11495" t="s">
        <v>557</v>
      </c>
      <c r="B11495" t="s">
        <v>752</v>
      </c>
      <c r="C11495" t="s">
        <v>639</v>
      </c>
      <c r="D11495" s="230">
        <v>0</v>
      </c>
      <c r="E11495" t="s">
        <v>753</v>
      </c>
    </row>
    <row r="11496" spans="1:5" hidden="1" x14ac:dyDescent="0.3">
      <c r="A11496" t="s">
        <v>557</v>
      </c>
      <c r="B11496" t="s">
        <v>752</v>
      </c>
      <c r="C11496" t="s">
        <v>640</v>
      </c>
      <c r="D11496" s="230">
        <v>0</v>
      </c>
      <c r="E11496" t="s">
        <v>753</v>
      </c>
    </row>
    <row r="11497" spans="1:5" hidden="1" x14ac:dyDescent="0.3">
      <c r="A11497" t="s">
        <v>557</v>
      </c>
      <c r="B11497" t="s">
        <v>752</v>
      </c>
      <c r="C11497" t="s">
        <v>641</v>
      </c>
      <c r="D11497" s="230">
        <v>0</v>
      </c>
      <c r="E11497" t="s">
        <v>753</v>
      </c>
    </row>
    <row r="11498" spans="1:5" hidden="1" x14ac:dyDescent="0.3">
      <c r="A11498" t="s">
        <v>557</v>
      </c>
      <c r="B11498" t="s">
        <v>752</v>
      </c>
      <c r="C11498" t="s">
        <v>642</v>
      </c>
      <c r="D11498" s="230">
        <v>0</v>
      </c>
      <c r="E11498" t="s">
        <v>753</v>
      </c>
    </row>
    <row r="11499" spans="1:5" hidden="1" x14ac:dyDescent="0.3">
      <c r="A11499" t="s">
        <v>557</v>
      </c>
      <c r="B11499" t="s">
        <v>752</v>
      </c>
      <c r="C11499" t="s">
        <v>643</v>
      </c>
      <c r="D11499" s="230">
        <v>0</v>
      </c>
      <c r="E11499" t="s">
        <v>753</v>
      </c>
    </row>
    <row r="11500" spans="1:5" hidden="1" x14ac:dyDescent="0.3">
      <c r="A11500" t="s">
        <v>557</v>
      </c>
      <c r="B11500" t="s">
        <v>752</v>
      </c>
      <c r="C11500" t="s">
        <v>644</v>
      </c>
      <c r="D11500" s="230">
        <v>0</v>
      </c>
      <c r="E11500" t="s">
        <v>753</v>
      </c>
    </row>
    <row r="11501" spans="1:5" hidden="1" x14ac:dyDescent="0.3">
      <c r="A11501" t="s">
        <v>557</v>
      </c>
      <c r="B11501" t="s">
        <v>752</v>
      </c>
      <c r="C11501" t="s">
        <v>645</v>
      </c>
      <c r="D11501" s="230">
        <v>0</v>
      </c>
      <c r="E11501" t="s">
        <v>753</v>
      </c>
    </row>
    <row r="11502" spans="1:5" hidden="1" x14ac:dyDescent="0.3">
      <c r="A11502" t="s">
        <v>557</v>
      </c>
      <c r="B11502" t="s">
        <v>752</v>
      </c>
      <c r="C11502" t="s">
        <v>646</v>
      </c>
      <c r="D11502" s="230">
        <v>0</v>
      </c>
      <c r="E11502" t="s">
        <v>753</v>
      </c>
    </row>
    <row r="11503" spans="1:5" hidden="1" x14ac:dyDescent="0.3">
      <c r="A11503" t="s">
        <v>557</v>
      </c>
      <c r="B11503" t="s">
        <v>752</v>
      </c>
      <c r="C11503" t="s">
        <v>647</v>
      </c>
      <c r="D11503" s="230">
        <v>0</v>
      </c>
      <c r="E11503" t="s">
        <v>753</v>
      </c>
    </row>
    <row r="11504" spans="1:5" hidden="1" x14ac:dyDescent="0.3">
      <c r="A11504" t="s">
        <v>557</v>
      </c>
      <c r="B11504" t="s">
        <v>752</v>
      </c>
      <c r="C11504" t="s">
        <v>648</v>
      </c>
      <c r="D11504" s="230">
        <v>0</v>
      </c>
      <c r="E11504" t="s">
        <v>753</v>
      </c>
    </row>
    <row r="11505" spans="1:5" hidden="1" x14ac:dyDescent="0.3">
      <c r="A11505" t="s">
        <v>557</v>
      </c>
      <c r="B11505" t="s">
        <v>752</v>
      </c>
      <c r="C11505" t="s">
        <v>649</v>
      </c>
      <c r="D11505" s="230">
        <v>0</v>
      </c>
      <c r="E11505" t="s">
        <v>753</v>
      </c>
    </row>
    <row r="11506" spans="1:5" hidden="1" x14ac:dyDescent="0.3">
      <c r="A11506" t="s">
        <v>557</v>
      </c>
      <c r="B11506" t="s">
        <v>752</v>
      </c>
      <c r="C11506" t="s">
        <v>650</v>
      </c>
      <c r="D11506" s="230">
        <v>0</v>
      </c>
      <c r="E11506" t="s">
        <v>753</v>
      </c>
    </row>
    <row r="11507" spans="1:5" hidden="1" x14ac:dyDescent="0.3">
      <c r="A11507" t="s">
        <v>557</v>
      </c>
      <c r="B11507" t="s">
        <v>752</v>
      </c>
      <c r="C11507" t="s">
        <v>651</v>
      </c>
      <c r="D11507" s="230">
        <v>0</v>
      </c>
      <c r="E11507" t="s">
        <v>753</v>
      </c>
    </row>
    <row r="11508" spans="1:5" hidden="1" x14ac:dyDescent="0.3">
      <c r="A11508" t="s">
        <v>557</v>
      </c>
      <c r="B11508" t="s">
        <v>752</v>
      </c>
      <c r="C11508" t="s">
        <v>652</v>
      </c>
      <c r="D11508" s="230">
        <v>0</v>
      </c>
      <c r="E11508" t="s">
        <v>753</v>
      </c>
    </row>
    <row r="11509" spans="1:5" hidden="1" x14ac:dyDescent="0.3">
      <c r="A11509" t="s">
        <v>557</v>
      </c>
      <c r="B11509" t="s">
        <v>752</v>
      </c>
      <c r="C11509" t="s">
        <v>653</v>
      </c>
      <c r="D11509" s="230">
        <v>0</v>
      </c>
      <c r="E11509" t="s">
        <v>753</v>
      </c>
    </row>
    <row r="11510" spans="1:5" hidden="1" x14ac:dyDescent="0.3">
      <c r="A11510" t="s">
        <v>557</v>
      </c>
      <c r="B11510" t="s">
        <v>752</v>
      </c>
      <c r="C11510" t="s">
        <v>654</v>
      </c>
      <c r="D11510" s="230">
        <v>0</v>
      </c>
      <c r="E11510" t="s">
        <v>753</v>
      </c>
    </row>
    <row r="11511" spans="1:5" hidden="1" x14ac:dyDescent="0.3">
      <c r="A11511" t="s">
        <v>557</v>
      </c>
      <c r="B11511" t="s">
        <v>752</v>
      </c>
      <c r="C11511" t="s">
        <v>655</v>
      </c>
      <c r="D11511" s="230">
        <v>0</v>
      </c>
      <c r="E11511" t="s">
        <v>753</v>
      </c>
    </row>
    <row r="11512" spans="1:5" hidden="1" x14ac:dyDescent="0.3">
      <c r="A11512" t="s">
        <v>557</v>
      </c>
      <c r="B11512" t="s">
        <v>752</v>
      </c>
      <c r="C11512" t="s">
        <v>656</v>
      </c>
      <c r="D11512" s="230">
        <v>0</v>
      </c>
      <c r="E11512" t="s">
        <v>753</v>
      </c>
    </row>
    <row r="11513" spans="1:5" hidden="1" x14ac:dyDescent="0.3">
      <c r="A11513" t="s">
        <v>557</v>
      </c>
      <c r="B11513" t="s">
        <v>752</v>
      </c>
      <c r="C11513" t="s">
        <v>657</v>
      </c>
      <c r="D11513" s="230">
        <v>0</v>
      </c>
      <c r="E11513" t="s">
        <v>753</v>
      </c>
    </row>
    <row r="11514" spans="1:5" hidden="1" x14ac:dyDescent="0.3">
      <c r="A11514" t="s">
        <v>557</v>
      </c>
      <c r="B11514" t="s">
        <v>752</v>
      </c>
      <c r="C11514" t="s">
        <v>658</v>
      </c>
      <c r="D11514" s="230">
        <v>0</v>
      </c>
      <c r="E11514" t="s">
        <v>753</v>
      </c>
    </row>
    <row r="11515" spans="1:5" hidden="1" x14ac:dyDescent="0.3">
      <c r="A11515" t="s">
        <v>557</v>
      </c>
      <c r="B11515" t="s">
        <v>752</v>
      </c>
      <c r="C11515" t="s">
        <v>659</v>
      </c>
      <c r="D11515" s="230">
        <v>0</v>
      </c>
      <c r="E11515" t="s">
        <v>753</v>
      </c>
    </row>
    <row r="11516" spans="1:5" hidden="1" x14ac:dyDescent="0.3">
      <c r="A11516" t="s">
        <v>557</v>
      </c>
      <c r="B11516" t="s">
        <v>752</v>
      </c>
      <c r="C11516" t="s">
        <v>660</v>
      </c>
      <c r="D11516" s="230">
        <v>0</v>
      </c>
      <c r="E11516" t="s">
        <v>753</v>
      </c>
    </row>
    <row r="11517" spans="1:5" hidden="1" x14ac:dyDescent="0.3">
      <c r="A11517" t="s">
        <v>557</v>
      </c>
      <c r="B11517" t="s">
        <v>752</v>
      </c>
      <c r="C11517" t="s">
        <v>661</v>
      </c>
      <c r="D11517" s="230">
        <v>0</v>
      </c>
      <c r="E11517" t="s">
        <v>753</v>
      </c>
    </row>
    <row r="11518" spans="1:5" hidden="1" x14ac:dyDescent="0.3">
      <c r="A11518" t="s">
        <v>557</v>
      </c>
      <c r="B11518" t="s">
        <v>752</v>
      </c>
      <c r="C11518" t="s">
        <v>662</v>
      </c>
      <c r="D11518" s="230">
        <v>0</v>
      </c>
      <c r="E11518" t="s">
        <v>753</v>
      </c>
    </row>
    <row r="11519" spans="1:5" hidden="1" x14ac:dyDescent="0.3">
      <c r="A11519" t="s">
        <v>557</v>
      </c>
      <c r="B11519" t="s">
        <v>752</v>
      </c>
      <c r="C11519" t="s">
        <v>663</v>
      </c>
      <c r="D11519" s="230">
        <v>0</v>
      </c>
      <c r="E11519" t="s">
        <v>753</v>
      </c>
    </row>
    <row r="11520" spans="1:5" hidden="1" x14ac:dyDescent="0.3">
      <c r="A11520" t="s">
        <v>557</v>
      </c>
      <c r="B11520" t="s">
        <v>752</v>
      </c>
      <c r="C11520" t="s">
        <v>664</v>
      </c>
      <c r="D11520" s="230">
        <v>0</v>
      </c>
      <c r="E11520" t="s">
        <v>753</v>
      </c>
    </row>
    <row r="11521" spans="1:5" hidden="1" x14ac:dyDescent="0.3">
      <c r="A11521" t="s">
        <v>557</v>
      </c>
      <c r="B11521" t="s">
        <v>752</v>
      </c>
      <c r="C11521" t="s">
        <v>665</v>
      </c>
      <c r="D11521" s="230">
        <v>0</v>
      </c>
      <c r="E11521" t="s">
        <v>753</v>
      </c>
    </row>
    <row r="11522" spans="1:5" hidden="1" x14ac:dyDescent="0.3">
      <c r="A11522" t="s">
        <v>557</v>
      </c>
      <c r="B11522" t="s">
        <v>752</v>
      </c>
      <c r="C11522" t="s">
        <v>666</v>
      </c>
      <c r="D11522" s="230">
        <v>0</v>
      </c>
      <c r="E11522" t="s">
        <v>753</v>
      </c>
    </row>
    <row r="11523" spans="1:5" hidden="1" x14ac:dyDescent="0.3">
      <c r="A11523" t="s">
        <v>557</v>
      </c>
      <c r="B11523" t="s">
        <v>752</v>
      </c>
      <c r="C11523" t="s">
        <v>667</v>
      </c>
      <c r="D11523" s="230">
        <v>0</v>
      </c>
      <c r="E11523" t="s">
        <v>753</v>
      </c>
    </row>
    <row r="11524" spans="1:5" hidden="1" x14ac:dyDescent="0.3">
      <c r="A11524" t="s">
        <v>557</v>
      </c>
      <c r="B11524" t="s">
        <v>752</v>
      </c>
      <c r="C11524" t="s">
        <v>668</v>
      </c>
      <c r="D11524" s="230">
        <v>0</v>
      </c>
      <c r="E11524" t="s">
        <v>753</v>
      </c>
    </row>
    <row r="11525" spans="1:5" hidden="1" x14ac:dyDescent="0.3">
      <c r="A11525" t="s">
        <v>557</v>
      </c>
      <c r="B11525" t="s">
        <v>752</v>
      </c>
      <c r="C11525" t="s">
        <v>669</v>
      </c>
      <c r="D11525" s="230">
        <v>0</v>
      </c>
      <c r="E11525" t="s">
        <v>753</v>
      </c>
    </row>
    <row r="11526" spans="1:5" hidden="1" x14ac:dyDescent="0.3">
      <c r="A11526" t="s">
        <v>557</v>
      </c>
      <c r="B11526" t="s">
        <v>752</v>
      </c>
      <c r="C11526" t="s">
        <v>670</v>
      </c>
      <c r="D11526" s="230">
        <v>0</v>
      </c>
      <c r="E11526" t="s">
        <v>753</v>
      </c>
    </row>
    <row r="11527" spans="1:5" hidden="1" x14ac:dyDescent="0.3">
      <c r="A11527" t="s">
        <v>557</v>
      </c>
      <c r="B11527" t="s">
        <v>752</v>
      </c>
      <c r="C11527" t="s">
        <v>671</v>
      </c>
      <c r="D11527" s="230">
        <v>0</v>
      </c>
      <c r="E11527" t="s">
        <v>753</v>
      </c>
    </row>
    <row r="11528" spans="1:5" hidden="1" x14ac:dyDescent="0.3">
      <c r="A11528" t="s">
        <v>557</v>
      </c>
      <c r="B11528" t="s">
        <v>752</v>
      </c>
      <c r="C11528" t="s">
        <v>672</v>
      </c>
      <c r="D11528" s="230">
        <v>0</v>
      </c>
      <c r="E11528" t="s">
        <v>753</v>
      </c>
    </row>
    <row r="11529" spans="1:5" hidden="1" x14ac:dyDescent="0.3">
      <c r="A11529" t="s">
        <v>557</v>
      </c>
      <c r="B11529" t="s">
        <v>752</v>
      </c>
      <c r="C11529" t="s">
        <v>673</v>
      </c>
      <c r="D11529" s="230">
        <v>0</v>
      </c>
      <c r="E11529" t="s">
        <v>753</v>
      </c>
    </row>
    <row r="11530" spans="1:5" hidden="1" x14ac:dyDescent="0.3">
      <c r="A11530" t="s">
        <v>557</v>
      </c>
      <c r="B11530" t="s">
        <v>752</v>
      </c>
      <c r="C11530" t="s">
        <v>674</v>
      </c>
      <c r="D11530" s="230">
        <v>0</v>
      </c>
      <c r="E11530" t="s">
        <v>753</v>
      </c>
    </row>
    <row r="11531" spans="1:5" hidden="1" x14ac:dyDescent="0.3">
      <c r="A11531" t="s">
        <v>557</v>
      </c>
      <c r="B11531" t="s">
        <v>752</v>
      </c>
      <c r="C11531" t="s">
        <v>675</v>
      </c>
      <c r="D11531" s="230">
        <v>0</v>
      </c>
      <c r="E11531" t="s">
        <v>753</v>
      </c>
    </row>
    <row r="11532" spans="1:5" hidden="1" x14ac:dyDescent="0.3">
      <c r="A11532" t="s">
        <v>557</v>
      </c>
      <c r="B11532" t="s">
        <v>752</v>
      </c>
      <c r="C11532" t="s">
        <v>676</v>
      </c>
      <c r="D11532" s="230">
        <v>0</v>
      </c>
      <c r="E11532" t="s">
        <v>753</v>
      </c>
    </row>
    <row r="11533" spans="1:5" hidden="1" x14ac:dyDescent="0.3">
      <c r="A11533" t="s">
        <v>557</v>
      </c>
      <c r="B11533" t="s">
        <v>752</v>
      </c>
      <c r="C11533" t="s">
        <v>677</v>
      </c>
      <c r="D11533" s="230">
        <v>0</v>
      </c>
      <c r="E11533" t="s">
        <v>753</v>
      </c>
    </row>
    <row r="11534" spans="1:5" hidden="1" x14ac:dyDescent="0.3">
      <c r="A11534" t="s">
        <v>557</v>
      </c>
      <c r="B11534" t="s">
        <v>752</v>
      </c>
      <c r="C11534" t="s">
        <v>201</v>
      </c>
      <c r="D11534" s="230">
        <v>-8880.66</v>
      </c>
      <c r="E11534" t="s">
        <v>753</v>
      </c>
    </row>
    <row r="11535" spans="1:5" hidden="1" x14ac:dyDescent="0.3">
      <c r="A11535" t="s">
        <v>557</v>
      </c>
      <c r="B11535" t="s">
        <v>752</v>
      </c>
      <c r="C11535" t="s">
        <v>203</v>
      </c>
      <c r="D11535" s="230">
        <v>-8880.66</v>
      </c>
      <c r="E11535" t="s">
        <v>753</v>
      </c>
    </row>
    <row r="11536" spans="1:5" hidden="1" x14ac:dyDescent="0.3">
      <c r="A11536" t="s">
        <v>557</v>
      </c>
      <c r="B11536" t="s">
        <v>752</v>
      </c>
      <c r="C11536" t="s">
        <v>678</v>
      </c>
      <c r="D11536" s="230">
        <v>4440.33</v>
      </c>
      <c r="E11536" t="s">
        <v>753</v>
      </c>
    </row>
    <row r="11537" spans="1:5" hidden="1" x14ac:dyDescent="0.3">
      <c r="A11537" t="s">
        <v>557</v>
      </c>
      <c r="B11537" t="s">
        <v>752</v>
      </c>
      <c r="C11537" t="s">
        <v>205</v>
      </c>
      <c r="D11537" s="230">
        <v>-35268.239999999998</v>
      </c>
      <c r="E11537" t="s">
        <v>753</v>
      </c>
    </row>
    <row r="11538" spans="1:5" hidden="1" x14ac:dyDescent="0.3">
      <c r="A11538" t="s">
        <v>557</v>
      </c>
      <c r="B11538" t="s">
        <v>752</v>
      </c>
      <c r="C11538" t="s">
        <v>679</v>
      </c>
      <c r="D11538" s="230">
        <v>-6487.33</v>
      </c>
      <c r="E11538" t="s">
        <v>753</v>
      </c>
    </row>
    <row r="11539" spans="1:5" hidden="1" x14ac:dyDescent="0.3">
      <c r="A11539" t="s">
        <v>557</v>
      </c>
      <c r="B11539" t="s">
        <v>752</v>
      </c>
      <c r="C11539" t="s">
        <v>680</v>
      </c>
      <c r="D11539" s="230">
        <v>0</v>
      </c>
      <c r="E11539" t="s">
        <v>753</v>
      </c>
    </row>
    <row r="11540" spans="1:5" hidden="1" x14ac:dyDescent="0.3">
      <c r="A11540" t="s">
        <v>557</v>
      </c>
      <c r="B11540" t="s">
        <v>752</v>
      </c>
      <c r="C11540" t="s">
        <v>681</v>
      </c>
      <c r="D11540" s="230">
        <v>-5625.5</v>
      </c>
      <c r="E11540" t="s">
        <v>753</v>
      </c>
    </row>
    <row r="11541" spans="1:5" hidden="1" x14ac:dyDescent="0.3">
      <c r="A11541" t="s">
        <v>557</v>
      </c>
      <c r="B11541" t="s">
        <v>752</v>
      </c>
      <c r="C11541" t="s">
        <v>682</v>
      </c>
      <c r="D11541" s="230">
        <v>-7846.77</v>
      </c>
      <c r="E11541" t="s">
        <v>753</v>
      </c>
    </row>
    <row r="11542" spans="1:5" hidden="1" x14ac:dyDescent="0.3">
      <c r="A11542" t="s">
        <v>557</v>
      </c>
      <c r="B11542" t="s">
        <v>752</v>
      </c>
      <c r="C11542" t="s">
        <v>683</v>
      </c>
      <c r="D11542" s="230">
        <v>0</v>
      </c>
      <c r="E11542" t="s">
        <v>753</v>
      </c>
    </row>
    <row r="11543" spans="1:5" hidden="1" x14ac:dyDescent="0.3">
      <c r="A11543" t="s">
        <v>557</v>
      </c>
      <c r="B11543" t="s">
        <v>752</v>
      </c>
      <c r="C11543" t="s">
        <v>684</v>
      </c>
      <c r="D11543" s="230">
        <v>0</v>
      </c>
      <c r="E11543" t="s">
        <v>753</v>
      </c>
    </row>
    <row r="11544" spans="1:5" hidden="1" x14ac:dyDescent="0.3">
      <c r="A11544" t="s">
        <v>557</v>
      </c>
      <c r="B11544" t="s">
        <v>752</v>
      </c>
      <c r="C11544" t="s">
        <v>685</v>
      </c>
      <c r="D11544" s="230">
        <v>0</v>
      </c>
      <c r="E11544" t="s">
        <v>753</v>
      </c>
    </row>
    <row r="11545" spans="1:5" hidden="1" x14ac:dyDescent="0.3">
      <c r="A11545" t="s">
        <v>557</v>
      </c>
      <c r="B11545" t="s">
        <v>752</v>
      </c>
      <c r="C11545" t="s">
        <v>686</v>
      </c>
      <c r="D11545" s="230">
        <v>-863.14</v>
      </c>
      <c r="E11545" t="s">
        <v>753</v>
      </c>
    </row>
    <row r="11546" spans="1:5" hidden="1" x14ac:dyDescent="0.3">
      <c r="A11546" t="s">
        <v>557</v>
      </c>
      <c r="B11546" t="s">
        <v>752</v>
      </c>
      <c r="C11546" t="s">
        <v>687</v>
      </c>
      <c r="D11546" s="230">
        <v>0</v>
      </c>
      <c r="E11546" t="s">
        <v>753</v>
      </c>
    </row>
    <row r="11547" spans="1:5" hidden="1" x14ac:dyDescent="0.3">
      <c r="A11547" t="s">
        <v>557</v>
      </c>
      <c r="B11547" t="s">
        <v>752</v>
      </c>
      <c r="C11547" t="s">
        <v>688</v>
      </c>
      <c r="D11547" s="230">
        <v>-7937.16</v>
      </c>
      <c r="E11547" t="s">
        <v>753</v>
      </c>
    </row>
    <row r="11548" spans="1:5" hidden="1" x14ac:dyDescent="0.3">
      <c r="A11548" t="s">
        <v>557</v>
      </c>
      <c r="B11548" t="s">
        <v>752</v>
      </c>
      <c r="C11548" t="s">
        <v>689</v>
      </c>
      <c r="D11548" s="230">
        <v>-1508.34</v>
      </c>
      <c r="E11548" t="s">
        <v>753</v>
      </c>
    </row>
    <row r="11549" spans="1:5" hidden="1" x14ac:dyDescent="0.3">
      <c r="A11549" t="s">
        <v>557</v>
      </c>
      <c r="B11549" t="s">
        <v>752</v>
      </c>
      <c r="C11549" t="s">
        <v>690</v>
      </c>
      <c r="D11549" s="230">
        <v>0</v>
      </c>
      <c r="E11549" t="s">
        <v>753</v>
      </c>
    </row>
    <row r="11550" spans="1:5" hidden="1" x14ac:dyDescent="0.3">
      <c r="A11550" t="s">
        <v>557</v>
      </c>
      <c r="B11550" t="s">
        <v>752</v>
      </c>
      <c r="C11550" t="s">
        <v>691</v>
      </c>
      <c r="D11550" s="230">
        <v>0</v>
      </c>
      <c r="E11550" t="s">
        <v>753</v>
      </c>
    </row>
    <row r="11551" spans="1:5" hidden="1" x14ac:dyDescent="0.3">
      <c r="A11551" t="s">
        <v>557</v>
      </c>
      <c r="B11551" t="s">
        <v>752</v>
      </c>
      <c r="C11551" t="s">
        <v>692</v>
      </c>
      <c r="D11551" s="230">
        <v>-5000</v>
      </c>
      <c r="E11551" t="s">
        <v>753</v>
      </c>
    </row>
    <row r="11552" spans="1:5" hidden="1" x14ac:dyDescent="0.3">
      <c r="A11552" t="s">
        <v>557</v>
      </c>
      <c r="B11552" t="s">
        <v>752</v>
      </c>
      <c r="C11552" t="s">
        <v>693</v>
      </c>
      <c r="D11552" s="230">
        <v>0</v>
      </c>
      <c r="E11552" t="s">
        <v>753</v>
      </c>
    </row>
    <row r="11553" spans="1:5" hidden="1" x14ac:dyDescent="0.3">
      <c r="A11553" t="s">
        <v>557</v>
      </c>
      <c r="B11553" t="s">
        <v>752</v>
      </c>
      <c r="C11553" t="s">
        <v>694</v>
      </c>
      <c r="D11553" s="230">
        <v>0</v>
      </c>
      <c r="E11553" t="s">
        <v>753</v>
      </c>
    </row>
    <row r="11554" spans="1:5" hidden="1" x14ac:dyDescent="0.3">
      <c r="A11554" t="s">
        <v>557</v>
      </c>
      <c r="B11554" t="s">
        <v>752</v>
      </c>
      <c r="C11554" t="s">
        <v>238</v>
      </c>
      <c r="D11554" s="230">
        <v>-8105.62</v>
      </c>
      <c r="E11554" t="s">
        <v>753</v>
      </c>
    </row>
    <row r="11555" spans="1:5" hidden="1" x14ac:dyDescent="0.3">
      <c r="A11555" t="s">
        <v>557</v>
      </c>
      <c r="B11555" t="s">
        <v>752</v>
      </c>
      <c r="C11555" t="s">
        <v>695</v>
      </c>
      <c r="D11555" s="230">
        <v>-6263.97</v>
      </c>
      <c r="E11555" t="s">
        <v>753</v>
      </c>
    </row>
    <row r="11556" spans="1:5" hidden="1" x14ac:dyDescent="0.3">
      <c r="A11556" t="s">
        <v>557</v>
      </c>
      <c r="B11556" t="s">
        <v>752</v>
      </c>
      <c r="C11556" t="s">
        <v>696</v>
      </c>
      <c r="D11556" s="230">
        <v>-1634</v>
      </c>
      <c r="E11556" t="s">
        <v>753</v>
      </c>
    </row>
    <row r="11557" spans="1:5" hidden="1" x14ac:dyDescent="0.3">
      <c r="A11557" t="s">
        <v>557</v>
      </c>
      <c r="B11557" t="s">
        <v>752</v>
      </c>
      <c r="C11557" t="s">
        <v>697</v>
      </c>
      <c r="D11557" s="230">
        <v>0</v>
      </c>
      <c r="E11557" t="s">
        <v>753</v>
      </c>
    </row>
    <row r="11558" spans="1:5" hidden="1" x14ac:dyDescent="0.3">
      <c r="A11558" t="s">
        <v>557</v>
      </c>
      <c r="B11558" t="s">
        <v>752</v>
      </c>
      <c r="C11558" t="s">
        <v>698</v>
      </c>
      <c r="D11558" s="230">
        <v>-207.65</v>
      </c>
      <c r="E11558" t="s">
        <v>753</v>
      </c>
    </row>
    <row r="11559" spans="1:5" hidden="1" x14ac:dyDescent="0.3">
      <c r="A11559" t="s">
        <v>557</v>
      </c>
      <c r="B11559" t="s">
        <v>752</v>
      </c>
      <c r="C11559" t="s">
        <v>699</v>
      </c>
      <c r="D11559" s="230">
        <v>0</v>
      </c>
      <c r="E11559" t="s">
        <v>753</v>
      </c>
    </row>
    <row r="11560" spans="1:5" hidden="1" x14ac:dyDescent="0.3">
      <c r="A11560" t="s">
        <v>557</v>
      </c>
      <c r="B11560" t="s">
        <v>752</v>
      </c>
      <c r="C11560" t="s">
        <v>245</v>
      </c>
      <c r="D11560" s="230">
        <v>-16180.37</v>
      </c>
      <c r="E11560" t="s">
        <v>753</v>
      </c>
    </row>
    <row r="11561" spans="1:5" hidden="1" x14ac:dyDescent="0.3">
      <c r="A11561" t="s">
        <v>557</v>
      </c>
      <c r="B11561" t="s">
        <v>752</v>
      </c>
      <c r="C11561" t="s">
        <v>700</v>
      </c>
      <c r="D11561" s="230">
        <v>0</v>
      </c>
      <c r="E11561" t="s">
        <v>753</v>
      </c>
    </row>
    <row r="11562" spans="1:5" hidden="1" x14ac:dyDescent="0.3">
      <c r="A11562" t="s">
        <v>557</v>
      </c>
      <c r="B11562" t="s">
        <v>752</v>
      </c>
      <c r="C11562" t="s">
        <v>701</v>
      </c>
      <c r="D11562" s="230">
        <v>-504.3</v>
      </c>
      <c r="E11562" t="s">
        <v>753</v>
      </c>
    </row>
    <row r="11563" spans="1:5" hidden="1" x14ac:dyDescent="0.3">
      <c r="A11563" t="s">
        <v>557</v>
      </c>
      <c r="B11563" t="s">
        <v>752</v>
      </c>
      <c r="C11563" t="s">
        <v>702</v>
      </c>
      <c r="D11563" s="230">
        <v>0</v>
      </c>
      <c r="E11563" t="s">
        <v>753</v>
      </c>
    </row>
    <row r="11564" spans="1:5" hidden="1" x14ac:dyDescent="0.3">
      <c r="A11564" t="s">
        <v>557</v>
      </c>
      <c r="B11564" t="s">
        <v>752</v>
      </c>
      <c r="C11564" t="s">
        <v>703</v>
      </c>
      <c r="D11564" s="230">
        <v>0</v>
      </c>
      <c r="E11564" t="s">
        <v>753</v>
      </c>
    </row>
    <row r="11565" spans="1:5" hidden="1" x14ac:dyDescent="0.3">
      <c r="A11565" t="s">
        <v>557</v>
      </c>
      <c r="B11565" t="s">
        <v>752</v>
      </c>
      <c r="C11565" t="s">
        <v>704</v>
      </c>
      <c r="D11565" s="230">
        <v>0</v>
      </c>
      <c r="E11565" t="s">
        <v>753</v>
      </c>
    </row>
    <row r="11566" spans="1:5" hidden="1" x14ac:dyDescent="0.3">
      <c r="A11566" t="s">
        <v>557</v>
      </c>
      <c r="B11566" t="s">
        <v>752</v>
      </c>
      <c r="C11566" t="s">
        <v>705</v>
      </c>
      <c r="D11566" s="230">
        <v>-15676.07</v>
      </c>
      <c r="E11566" t="s">
        <v>753</v>
      </c>
    </row>
    <row r="11567" spans="1:5" hidden="1" x14ac:dyDescent="0.3">
      <c r="A11567" t="s">
        <v>557</v>
      </c>
      <c r="B11567" t="s">
        <v>752</v>
      </c>
      <c r="C11567" t="s">
        <v>706</v>
      </c>
      <c r="D11567" s="230">
        <v>0</v>
      </c>
      <c r="E11567" t="s">
        <v>753</v>
      </c>
    </row>
    <row r="11568" spans="1:5" hidden="1" x14ac:dyDescent="0.3">
      <c r="A11568" t="s">
        <v>557</v>
      </c>
      <c r="B11568" t="s">
        <v>752</v>
      </c>
      <c r="C11568" t="s">
        <v>254</v>
      </c>
      <c r="D11568" s="230">
        <v>-0.28999999999999998</v>
      </c>
      <c r="E11568" t="s">
        <v>753</v>
      </c>
    </row>
    <row r="11569" spans="1:5" hidden="1" x14ac:dyDescent="0.3">
      <c r="A11569" t="s">
        <v>557</v>
      </c>
      <c r="B11569" t="s">
        <v>752</v>
      </c>
      <c r="C11569" t="s">
        <v>255</v>
      </c>
      <c r="D11569" s="230">
        <v>-0.22</v>
      </c>
      <c r="E11569" t="s">
        <v>753</v>
      </c>
    </row>
    <row r="11570" spans="1:5" hidden="1" x14ac:dyDescent="0.3">
      <c r="A11570" t="s">
        <v>557</v>
      </c>
      <c r="B11570" t="s">
        <v>752</v>
      </c>
      <c r="C11570" t="s">
        <v>256</v>
      </c>
      <c r="D11570" s="230">
        <v>-51719.519999999997</v>
      </c>
      <c r="E11570" t="s">
        <v>753</v>
      </c>
    </row>
    <row r="11571" spans="1:5" hidden="1" x14ac:dyDescent="0.3">
      <c r="A11571" t="s">
        <v>557</v>
      </c>
      <c r="B11571" t="s">
        <v>752</v>
      </c>
      <c r="C11571" t="s">
        <v>257</v>
      </c>
      <c r="D11571" s="230">
        <v>-49002</v>
      </c>
      <c r="E11571" t="s">
        <v>753</v>
      </c>
    </row>
    <row r="11572" spans="1:5" hidden="1" x14ac:dyDescent="0.3">
      <c r="A11572" t="s">
        <v>557</v>
      </c>
      <c r="B11572" t="s">
        <v>752</v>
      </c>
      <c r="C11572" t="s">
        <v>258</v>
      </c>
      <c r="D11572" s="230">
        <v>0</v>
      </c>
      <c r="E11572" t="s">
        <v>753</v>
      </c>
    </row>
    <row r="11573" spans="1:5" hidden="1" x14ac:dyDescent="0.3">
      <c r="A11573" t="s">
        <v>557</v>
      </c>
      <c r="B11573" t="s">
        <v>752</v>
      </c>
      <c r="C11573" t="s">
        <v>259</v>
      </c>
      <c r="D11573" s="230">
        <v>-2436.17</v>
      </c>
      <c r="E11573" t="s">
        <v>753</v>
      </c>
    </row>
    <row r="11574" spans="1:5" hidden="1" x14ac:dyDescent="0.3">
      <c r="A11574" t="s">
        <v>557</v>
      </c>
      <c r="B11574" t="s">
        <v>752</v>
      </c>
      <c r="C11574" t="s">
        <v>260</v>
      </c>
      <c r="D11574" s="230">
        <v>0</v>
      </c>
      <c r="E11574" t="s">
        <v>753</v>
      </c>
    </row>
    <row r="11575" spans="1:5" hidden="1" x14ac:dyDescent="0.3">
      <c r="A11575" t="s">
        <v>557</v>
      </c>
      <c r="B11575" t="s">
        <v>752</v>
      </c>
      <c r="C11575" t="s">
        <v>261</v>
      </c>
      <c r="D11575" s="230">
        <v>-281.35000000000002</v>
      </c>
      <c r="E11575" t="s">
        <v>753</v>
      </c>
    </row>
    <row r="11576" spans="1:5" hidden="1" x14ac:dyDescent="0.3">
      <c r="A11576" t="s">
        <v>557</v>
      </c>
      <c r="B11576" t="s">
        <v>752</v>
      </c>
      <c r="C11576" t="s">
        <v>262</v>
      </c>
      <c r="D11576" s="230">
        <v>0</v>
      </c>
      <c r="E11576" t="s">
        <v>753</v>
      </c>
    </row>
    <row r="11577" spans="1:5" hidden="1" x14ac:dyDescent="0.3">
      <c r="A11577" t="s">
        <v>557</v>
      </c>
      <c r="B11577" t="s">
        <v>752</v>
      </c>
      <c r="C11577" t="s">
        <v>263</v>
      </c>
      <c r="D11577" s="230">
        <v>0</v>
      </c>
      <c r="E11577" t="s">
        <v>753</v>
      </c>
    </row>
    <row r="11578" spans="1:5" hidden="1" x14ac:dyDescent="0.3">
      <c r="A11578" t="s">
        <v>557</v>
      </c>
      <c r="B11578" t="s">
        <v>752</v>
      </c>
      <c r="C11578" t="s">
        <v>44</v>
      </c>
      <c r="D11578" s="230">
        <v>-0.11</v>
      </c>
      <c r="E11578" t="s">
        <v>753</v>
      </c>
    </row>
    <row r="11579" spans="1:5" hidden="1" x14ac:dyDescent="0.3">
      <c r="A11579" t="s">
        <v>557</v>
      </c>
      <c r="B11579" t="s">
        <v>752</v>
      </c>
      <c r="C11579" t="s">
        <v>264</v>
      </c>
      <c r="D11579" s="230">
        <v>-39785.31</v>
      </c>
      <c r="E11579" t="s">
        <v>753</v>
      </c>
    </row>
    <row r="11580" spans="1:5" hidden="1" x14ac:dyDescent="0.3">
      <c r="A11580" t="s">
        <v>557</v>
      </c>
      <c r="B11580" t="s">
        <v>752</v>
      </c>
      <c r="C11580" t="s">
        <v>265</v>
      </c>
      <c r="D11580" s="230">
        <v>-4925.1000000000004</v>
      </c>
      <c r="E11580" t="s">
        <v>753</v>
      </c>
    </row>
    <row r="11581" spans="1:5" hidden="1" x14ac:dyDescent="0.3">
      <c r="A11581" t="s">
        <v>557</v>
      </c>
      <c r="B11581" t="s">
        <v>752</v>
      </c>
      <c r="C11581" t="s">
        <v>266</v>
      </c>
      <c r="D11581" s="230">
        <v>-11271.49</v>
      </c>
      <c r="E11581" t="s">
        <v>753</v>
      </c>
    </row>
    <row r="11582" spans="1:5" hidden="1" x14ac:dyDescent="0.3">
      <c r="A11582" t="s">
        <v>557</v>
      </c>
      <c r="B11582" t="s">
        <v>752</v>
      </c>
      <c r="C11582" t="s">
        <v>267</v>
      </c>
      <c r="D11582" s="230">
        <v>-6402.98</v>
      </c>
      <c r="E11582" t="s">
        <v>753</v>
      </c>
    </row>
    <row r="11583" spans="1:5" hidden="1" x14ac:dyDescent="0.3">
      <c r="A11583" t="s">
        <v>557</v>
      </c>
      <c r="B11583" t="s">
        <v>752</v>
      </c>
      <c r="C11583" t="s">
        <v>268</v>
      </c>
      <c r="D11583" s="230">
        <v>-7137.31</v>
      </c>
      <c r="E11583" t="s">
        <v>753</v>
      </c>
    </row>
    <row r="11584" spans="1:5" hidden="1" x14ac:dyDescent="0.3">
      <c r="A11584" t="s">
        <v>557</v>
      </c>
      <c r="B11584" t="s">
        <v>752</v>
      </c>
      <c r="C11584" t="s">
        <v>269</v>
      </c>
      <c r="D11584" s="230">
        <v>0</v>
      </c>
      <c r="E11584" t="s">
        <v>753</v>
      </c>
    </row>
    <row r="11585" spans="1:5" hidden="1" x14ac:dyDescent="0.3">
      <c r="A11585" t="s">
        <v>557</v>
      </c>
      <c r="B11585" t="s">
        <v>752</v>
      </c>
      <c r="C11585" t="s">
        <v>270</v>
      </c>
      <c r="D11585" s="230">
        <v>-550</v>
      </c>
      <c r="E11585" t="s">
        <v>753</v>
      </c>
    </row>
    <row r="11586" spans="1:5" hidden="1" x14ac:dyDescent="0.3">
      <c r="A11586" t="s">
        <v>557</v>
      </c>
      <c r="B11586" t="s">
        <v>752</v>
      </c>
      <c r="C11586" t="s">
        <v>271</v>
      </c>
      <c r="D11586" s="230">
        <v>-1064.95</v>
      </c>
      <c r="E11586" t="s">
        <v>753</v>
      </c>
    </row>
    <row r="11587" spans="1:5" hidden="1" x14ac:dyDescent="0.3">
      <c r="A11587" t="s">
        <v>557</v>
      </c>
      <c r="B11587" t="s">
        <v>752</v>
      </c>
      <c r="C11587" t="s">
        <v>272</v>
      </c>
      <c r="D11587" s="230">
        <v>-2365.21</v>
      </c>
      <c r="E11587" t="s">
        <v>753</v>
      </c>
    </row>
    <row r="11588" spans="1:5" hidden="1" x14ac:dyDescent="0.3">
      <c r="A11588" t="s">
        <v>557</v>
      </c>
      <c r="B11588" t="s">
        <v>752</v>
      </c>
      <c r="C11588" t="s">
        <v>273</v>
      </c>
      <c r="D11588" s="230">
        <v>0</v>
      </c>
      <c r="E11588" t="s">
        <v>753</v>
      </c>
    </row>
    <row r="11589" spans="1:5" hidden="1" x14ac:dyDescent="0.3">
      <c r="A11589" t="s">
        <v>557</v>
      </c>
      <c r="B11589" t="s">
        <v>752</v>
      </c>
      <c r="C11589" t="s">
        <v>274</v>
      </c>
      <c r="D11589" s="230">
        <v>0</v>
      </c>
      <c r="E11589" t="s">
        <v>753</v>
      </c>
    </row>
    <row r="11590" spans="1:5" hidden="1" x14ac:dyDescent="0.3">
      <c r="A11590" t="s">
        <v>557</v>
      </c>
      <c r="B11590" t="s">
        <v>752</v>
      </c>
      <c r="C11590" t="s">
        <v>275</v>
      </c>
      <c r="D11590" s="230">
        <v>-1206.51</v>
      </c>
      <c r="E11590" t="s">
        <v>753</v>
      </c>
    </row>
    <row r="11591" spans="1:5" hidden="1" x14ac:dyDescent="0.3">
      <c r="A11591" t="s">
        <v>557</v>
      </c>
      <c r="B11591" t="s">
        <v>752</v>
      </c>
      <c r="C11591" t="s">
        <v>276</v>
      </c>
      <c r="D11591" s="230">
        <v>-1400</v>
      </c>
      <c r="E11591" t="s">
        <v>753</v>
      </c>
    </row>
    <row r="11592" spans="1:5" hidden="1" x14ac:dyDescent="0.3">
      <c r="A11592" t="s">
        <v>557</v>
      </c>
      <c r="B11592" t="s">
        <v>752</v>
      </c>
      <c r="C11592" t="s">
        <v>277</v>
      </c>
      <c r="D11592" s="230">
        <v>0</v>
      </c>
      <c r="E11592" t="s">
        <v>753</v>
      </c>
    </row>
    <row r="11593" spans="1:5" hidden="1" x14ac:dyDescent="0.3">
      <c r="A11593" t="s">
        <v>557</v>
      </c>
      <c r="B11593" t="s">
        <v>752</v>
      </c>
      <c r="C11593" t="s">
        <v>278</v>
      </c>
      <c r="D11593" s="230">
        <v>-3461.76</v>
      </c>
      <c r="E11593" t="s">
        <v>753</v>
      </c>
    </row>
    <row r="11594" spans="1:5" hidden="1" x14ac:dyDescent="0.3">
      <c r="A11594" t="s">
        <v>557</v>
      </c>
      <c r="B11594" t="s">
        <v>752</v>
      </c>
      <c r="C11594" t="s">
        <v>44</v>
      </c>
      <c r="D11594" s="230">
        <v>-0.09</v>
      </c>
      <c r="E11594" t="s">
        <v>753</v>
      </c>
    </row>
    <row r="11595" spans="1:5" hidden="1" x14ac:dyDescent="0.3">
      <c r="A11595" t="s">
        <v>557</v>
      </c>
      <c r="B11595" t="s">
        <v>752</v>
      </c>
      <c r="C11595" t="s">
        <v>279</v>
      </c>
      <c r="D11595" s="230">
        <v>-5437.08</v>
      </c>
      <c r="E11595" t="s">
        <v>753</v>
      </c>
    </row>
    <row r="11596" spans="1:5" hidden="1" x14ac:dyDescent="0.3">
      <c r="A11596" t="s">
        <v>557</v>
      </c>
      <c r="B11596" t="s">
        <v>752</v>
      </c>
      <c r="C11596" t="s">
        <v>280</v>
      </c>
      <c r="D11596" s="230">
        <v>0</v>
      </c>
      <c r="E11596" t="s">
        <v>753</v>
      </c>
    </row>
    <row r="11597" spans="1:5" hidden="1" x14ac:dyDescent="0.3">
      <c r="A11597" t="s">
        <v>557</v>
      </c>
      <c r="B11597" t="s">
        <v>752</v>
      </c>
      <c r="C11597" t="s">
        <v>281</v>
      </c>
      <c r="D11597" s="230">
        <v>-584.29</v>
      </c>
      <c r="E11597" t="s">
        <v>753</v>
      </c>
    </row>
    <row r="11598" spans="1:5" hidden="1" x14ac:dyDescent="0.3">
      <c r="A11598" t="s">
        <v>557</v>
      </c>
      <c r="B11598" t="s">
        <v>752</v>
      </c>
      <c r="C11598" t="s">
        <v>282</v>
      </c>
      <c r="D11598" s="230">
        <v>-308.07</v>
      </c>
      <c r="E11598" t="s">
        <v>753</v>
      </c>
    </row>
    <row r="11599" spans="1:5" hidden="1" x14ac:dyDescent="0.3">
      <c r="A11599" t="s">
        <v>557</v>
      </c>
      <c r="B11599" t="s">
        <v>752</v>
      </c>
      <c r="C11599" t="s">
        <v>283</v>
      </c>
      <c r="D11599" s="230">
        <v>-300.22000000000003</v>
      </c>
      <c r="E11599" t="s">
        <v>753</v>
      </c>
    </row>
    <row r="11600" spans="1:5" hidden="1" x14ac:dyDescent="0.3">
      <c r="A11600" t="s">
        <v>557</v>
      </c>
      <c r="B11600" t="s">
        <v>752</v>
      </c>
      <c r="C11600" t="s">
        <v>284</v>
      </c>
      <c r="D11600" s="230">
        <v>-3010</v>
      </c>
      <c r="E11600" t="s">
        <v>753</v>
      </c>
    </row>
    <row r="11601" spans="1:5" hidden="1" x14ac:dyDescent="0.3">
      <c r="A11601" t="s">
        <v>557</v>
      </c>
      <c r="B11601" t="s">
        <v>752</v>
      </c>
      <c r="C11601" t="s">
        <v>285</v>
      </c>
      <c r="D11601" s="230">
        <v>-389</v>
      </c>
      <c r="E11601" t="s">
        <v>753</v>
      </c>
    </row>
    <row r="11602" spans="1:5" hidden="1" x14ac:dyDescent="0.3">
      <c r="A11602" t="s">
        <v>557</v>
      </c>
      <c r="B11602" t="s">
        <v>752</v>
      </c>
      <c r="C11602" t="s">
        <v>286</v>
      </c>
      <c r="D11602" s="230">
        <v>-845.5</v>
      </c>
      <c r="E11602" t="s">
        <v>753</v>
      </c>
    </row>
    <row r="11603" spans="1:5" hidden="1" x14ac:dyDescent="0.3">
      <c r="A11603" t="s">
        <v>557</v>
      </c>
      <c r="B11603" t="s">
        <v>752</v>
      </c>
      <c r="C11603" t="s">
        <v>44</v>
      </c>
      <c r="D11603" s="230">
        <v>-0.01</v>
      </c>
      <c r="E11603" t="s">
        <v>753</v>
      </c>
    </row>
    <row r="11604" spans="1:5" hidden="1" x14ac:dyDescent="0.3">
      <c r="A11604" t="s">
        <v>557</v>
      </c>
      <c r="B11604" t="s">
        <v>752</v>
      </c>
      <c r="C11604" t="s">
        <v>287</v>
      </c>
      <c r="D11604" s="230">
        <v>-5343.75</v>
      </c>
      <c r="E11604" t="s">
        <v>753</v>
      </c>
    </row>
    <row r="11605" spans="1:5" hidden="1" x14ac:dyDescent="0.3">
      <c r="A11605" t="s">
        <v>557</v>
      </c>
      <c r="B11605" t="s">
        <v>752</v>
      </c>
      <c r="C11605" t="s">
        <v>288</v>
      </c>
      <c r="D11605" s="230">
        <v>-2500</v>
      </c>
      <c r="E11605" t="s">
        <v>753</v>
      </c>
    </row>
    <row r="11606" spans="1:5" hidden="1" x14ac:dyDescent="0.3">
      <c r="A11606" t="s">
        <v>557</v>
      </c>
      <c r="B11606" t="s">
        <v>752</v>
      </c>
      <c r="C11606" t="s">
        <v>289</v>
      </c>
      <c r="D11606" s="230">
        <v>-1575</v>
      </c>
      <c r="E11606" t="s">
        <v>753</v>
      </c>
    </row>
    <row r="11607" spans="1:5" hidden="1" x14ac:dyDescent="0.3">
      <c r="A11607" t="s">
        <v>557</v>
      </c>
      <c r="B11607" t="s">
        <v>752</v>
      </c>
      <c r="C11607" t="s">
        <v>290</v>
      </c>
      <c r="D11607" s="230">
        <v>0</v>
      </c>
      <c r="E11607" t="s">
        <v>753</v>
      </c>
    </row>
    <row r="11608" spans="1:5" hidden="1" x14ac:dyDescent="0.3">
      <c r="A11608" t="s">
        <v>557</v>
      </c>
      <c r="B11608" t="s">
        <v>752</v>
      </c>
      <c r="C11608" t="s">
        <v>291</v>
      </c>
      <c r="D11608" s="230">
        <v>-30.26</v>
      </c>
      <c r="E11608" t="s">
        <v>753</v>
      </c>
    </row>
    <row r="11609" spans="1:5" hidden="1" x14ac:dyDescent="0.3">
      <c r="A11609" t="s">
        <v>557</v>
      </c>
      <c r="B11609" t="s">
        <v>752</v>
      </c>
      <c r="C11609" t="s">
        <v>292</v>
      </c>
      <c r="D11609" s="230">
        <v>-813.76</v>
      </c>
      <c r="E11609" t="s">
        <v>753</v>
      </c>
    </row>
    <row r="11610" spans="1:5" hidden="1" x14ac:dyDescent="0.3">
      <c r="A11610" t="s">
        <v>557</v>
      </c>
      <c r="B11610" t="s">
        <v>752</v>
      </c>
      <c r="C11610" t="s">
        <v>293</v>
      </c>
      <c r="D11610" s="230">
        <v>-276.43</v>
      </c>
      <c r="E11610" t="s">
        <v>753</v>
      </c>
    </row>
    <row r="11611" spans="1:5" hidden="1" x14ac:dyDescent="0.3">
      <c r="A11611" t="s">
        <v>557</v>
      </c>
      <c r="B11611" t="s">
        <v>752</v>
      </c>
      <c r="C11611" t="s">
        <v>294</v>
      </c>
      <c r="D11611" s="230">
        <v>-148.30000000000001</v>
      </c>
      <c r="E11611" t="s">
        <v>753</v>
      </c>
    </row>
    <row r="11612" spans="1:5" hidden="1" x14ac:dyDescent="0.3">
      <c r="A11612" t="s">
        <v>557</v>
      </c>
      <c r="B11612" t="s">
        <v>752</v>
      </c>
      <c r="C11612" t="s">
        <v>295</v>
      </c>
      <c r="D11612" s="230">
        <v>0</v>
      </c>
      <c r="E11612" t="s">
        <v>753</v>
      </c>
    </row>
    <row r="11613" spans="1:5" hidden="1" x14ac:dyDescent="0.3">
      <c r="A11613" t="s">
        <v>557</v>
      </c>
      <c r="B11613" t="s">
        <v>752</v>
      </c>
      <c r="C11613" t="s">
        <v>44</v>
      </c>
      <c r="D11613" s="230">
        <v>-0.01</v>
      </c>
      <c r="E11613" t="s">
        <v>753</v>
      </c>
    </row>
    <row r="11614" spans="1:5" hidden="1" x14ac:dyDescent="0.3">
      <c r="A11614" t="s">
        <v>557</v>
      </c>
      <c r="B11614" t="s">
        <v>752</v>
      </c>
      <c r="C11614" t="s">
        <v>296</v>
      </c>
      <c r="D11614" s="230">
        <v>-6556.32</v>
      </c>
      <c r="E11614" t="s">
        <v>753</v>
      </c>
    </row>
    <row r="11615" spans="1:5" hidden="1" x14ac:dyDescent="0.3">
      <c r="A11615" t="s">
        <v>557</v>
      </c>
      <c r="B11615" t="s">
        <v>752</v>
      </c>
      <c r="C11615" t="s">
        <v>297</v>
      </c>
      <c r="D11615" s="230">
        <v>-4000</v>
      </c>
      <c r="E11615" t="s">
        <v>753</v>
      </c>
    </row>
    <row r="11616" spans="1:5" hidden="1" x14ac:dyDescent="0.3">
      <c r="A11616" t="s">
        <v>557</v>
      </c>
      <c r="B11616" t="s">
        <v>752</v>
      </c>
      <c r="C11616" t="s">
        <v>298</v>
      </c>
      <c r="D11616" s="230">
        <v>-500</v>
      </c>
      <c r="E11616" t="s">
        <v>753</v>
      </c>
    </row>
    <row r="11617" spans="1:5" hidden="1" x14ac:dyDescent="0.3">
      <c r="A11617" t="s">
        <v>557</v>
      </c>
      <c r="B11617" t="s">
        <v>752</v>
      </c>
      <c r="C11617" t="s">
        <v>299</v>
      </c>
      <c r="D11617" s="230">
        <v>0</v>
      </c>
      <c r="E11617" t="s">
        <v>753</v>
      </c>
    </row>
    <row r="11618" spans="1:5" hidden="1" x14ac:dyDescent="0.3">
      <c r="A11618" t="s">
        <v>557</v>
      </c>
      <c r="B11618" t="s">
        <v>752</v>
      </c>
      <c r="C11618" t="s">
        <v>300</v>
      </c>
      <c r="D11618" s="230">
        <v>0</v>
      </c>
      <c r="E11618" t="s">
        <v>753</v>
      </c>
    </row>
    <row r="11619" spans="1:5" hidden="1" x14ac:dyDescent="0.3">
      <c r="A11619" t="s">
        <v>557</v>
      </c>
      <c r="B11619" t="s">
        <v>752</v>
      </c>
      <c r="C11619" t="s">
        <v>301</v>
      </c>
      <c r="D11619" s="230">
        <v>-1188.57</v>
      </c>
      <c r="E11619" t="s">
        <v>753</v>
      </c>
    </row>
    <row r="11620" spans="1:5" hidden="1" x14ac:dyDescent="0.3">
      <c r="A11620" t="s">
        <v>557</v>
      </c>
      <c r="B11620" t="s">
        <v>752</v>
      </c>
      <c r="C11620" t="s">
        <v>302</v>
      </c>
      <c r="D11620" s="230">
        <v>0</v>
      </c>
      <c r="E11620" t="s">
        <v>753</v>
      </c>
    </row>
    <row r="11621" spans="1:5" hidden="1" x14ac:dyDescent="0.3">
      <c r="A11621" t="s">
        <v>557</v>
      </c>
      <c r="B11621" t="s">
        <v>752</v>
      </c>
      <c r="C11621" t="s">
        <v>303</v>
      </c>
      <c r="D11621" s="230">
        <v>-54.21</v>
      </c>
      <c r="E11621" t="s">
        <v>753</v>
      </c>
    </row>
    <row r="11622" spans="1:5" hidden="1" x14ac:dyDescent="0.3">
      <c r="A11622" t="s">
        <v>557</v>
      </c>
      <c r="B11622" t="s">
        <v>752</v>
      </c>
      <c r="C11622" t="s">
        <v>304</v>
      </c>
      <c r="D11622" s="230">
        <v>0</v>
      </c>
      <c r="E11622" t="s">
        <v>753</v>
      </c>
    </row>
    <row r="11623" spans="1:5" hidden="1" x14ac:dyDescent="0.3">
      <c r="A11623" t="s">
        <v>557</v>
      </c>
      <c r="B11623" t="s">
        <v>752</v>
      </c>
      <c r="C11623" t="s">
        <v>305</v>
      </c>
      <c r="D11623" s="230">
        <v>0</v>
      </c>
      <c r="E11623" t="s">
        <v>753</v>
      </c>
    </row>
    <row r="11624" spans="1:5" hidden="1" x14ac:dyDescent="0.3">
      <c r="A11624" t="s">
        <v>557</v>
      </c>
      <c r="B11624" t="s">
        <v>752</v>
      </c>
      <c r="C11624" t="s">
        <v>306</v>
      </c>
      <c r="D11624" s="230">
        <v>0</v>
      </c>
      <c r="E11624" t="s">
        <v>753</v>
      </c>
    </row>
    <row r="11625" spans="1:5" hidden="1" x14ac:dyDescent="0.3">
      <c r="A11625" t="s">
        <v>557</v>
      </c>
      <c r="B11625" t="s">
        <v>752</v>
      </c>
      <c r="C11625" t="s">
        <v>307</v>
      </c>
      <c r="D11625" s="230">
        <v>-813.54</v>
      </c>
      <c r="E11625" t="s">
        <v>753</v>
      </c>
    </row>
    <row r="11626" spans="1:5" hidden="1" x14ac:dyDescent="0.3">
      <c r="A11626" t="s">
        <v>557</v>
      </c>
      <c r="B11626" t="s">
        <v>752</v>
      </c>
      <c r="C11626" t="s">
        <v>44</v>
      </c>
      <c r="D11626" s="230">
        <v>-0.01</v>
      </c>
      <c r="E11626" t="s">
        <v>753</v>
      </c>
    </row>
    <row r="11627" spans="1:5" hidden="1" x14ac:dyDescent="0.3">
      <c r="A11627" t="s">
        <v>557</v>
      </c>
      <c r="B11627" t="s">
        <v>752</v>
      </c>
      <c r="C11627" t="s">
        <v>308</v>
      </c>
      <c r="D11627" s="230">
        <v>-7205.39</v>
      </c>
      <c r="E11627" t="s">
        <v>753</v>
      </c>
    </row>
    <row r="11628" spans="1:5" hidden="1" x14ac:dyDescent="0.3">
      <c r="A11628" t="s">
        <v>557</v>
      </c>
      <c r="B11628" t="s">
        <v>752</v>
      </c>
      <c r="C11628" t="s">
        <v>309</v>
      </c>
      <c r="D11628" s="230">
        <v>-4563.21</v>
      </c>
      <c r="E11628" t="s">
        <v>753</v>
      </c>
    </row>
    <row r="11629" spans="1:5" hidden="1" x14ac:dyDescent="0.3">
      <c r="A11629" t="s">
        <v>557</v>
      </c>
      <c r="B11629" t="s">
        <v>752</v>
      </c>
      <c r="C11629" t="s">
        <v>310</v>
      </c>
      <c r="D11629" s="230">
        <v>-199</v>
      </c>
      <c r="E11629" t="s">
        <v>753</v>
      </c>
    </row>
    <row r="11630" spans="1:5" hidden="1" x14ac:dyDescent="0.3">
      <c r="A11630" t="s">
        <v>557</v>
      </c>
      <c r="B11630" t="s">
        <v>752</v>
      </c>
      <c r="C11630" t="s">
        <v>311</v>
      </c>
      <c r="D11630" s="230">
        <v>-1550</v>
      </c>
      <c r="E11630" t="s">
        <v>753</v>
      </c>
    </row>
    <row r="11631" spans="1:5" hidden="1" x14ac:dyDescent="0.3">
      <c r="A11631" t="s">
        <v>557</v>
      </c>
      <c r="B11631" t="s">
        <v>752</v>
      </c>
      <c r="C11631" t="s">
        <v>312</v>
      </c>
      <c r="D11631" s="230">
        <v>-185</v>
      </c>
      <c r="E11631" t="s">
        <v>753</v>
      </c>
    </row>
    <row r="11632" spans="1:5" hidden="1" x14ac:dyDescent="0.3">
      <c r="A11632" t="s">
        <v>557</v>
      </c>
      <c r="B11632" t="s">
        <v>752</v>
      </c>
      <c r="C11632" t="s">
        <v>313</v>
      </c>
      <c r="D11632" s="230">
        <v>0</v>
      </c>
      <c r="E11632" t="s">
        <v>753</v>
      </c>
    </row>
    <row r="11633" spans="1:5" hidden="1" x14ac:dyDescent="0.3">
      <c r="A11633" t="s">
        <v>557</v>
      </c>
      <c r="B11633" t="s">
        <v>752</v>
      </c>
      <c r="C11633" t="s">
        <v>314</v>
      </c>
      <c r="D11633" s="230">
        <v>-708.18</v>
      </c>
      <c r="E11633" t="s">
        <v>753</v>
      </c>
    </row>
    <row r="11634" spans="1:5" hidden="1" x14ac:dyDescent="0.3">
      <c r="A11634" t="s">
        <v>557</v>
      </c>
      <c r="B11634" t="s">
        <v>752</v>
      </c>
      <c r="C11634" t="s">
        <v>315</v>
      </c>
      <c r="D11634" s="230">
        <v>0</v>
      </c>
      <c r="E11634" t="s">
        <v>753</v>
      </c>
    </row>
    <row r="11635" spans="1:5" hidden="1" x14ac:dyDescent="0.3">
      <c r="A11635" t="s">
        <v>557</v>
      </c>
      <c r="B11635" t="s">
        <v>752</v>
      </c>
      <c r="C11635" t="s">
        <v>316</v>
      </c>
      <c r="D11635" s="230">
        <v>0</v>
      </c>
      <c r="E11635" t="s">
        <v>753</v>
      </c>
    </row>
    <row r="11636" spans="1:5" hidden="1" x14ac:dyDescent="0.3">
      <c r="A11636" t="s">
        <v>557</v>
      </c>
      <c r="B11636" t="s">
        <v>752</v>
      </c>
      <c r="C11636" t="s">
        <v>317</v>
      </c>
      <c r="D11636" s="230">
        <v>0</v>
      </c>
      <c r="E11636" t="s">
        <v>753</v>
      </c>
    </row>
    <row r="11637" spans="1:5" hidden="1" x14ac:dyDescent="0.3">
      <c r="A11637" t="s">
        <v>557</v>
      </c>
      <c r="B11637" t="s">
        <v>752</v>
      </c>
      <c r="C11637" t="s">
        <v>44</v>
      </c>
      <c r="D11637" s="230">
        <v>-0.02</v>
      </c>
      <c r="E11637" t="s">
        <v>753</v>
      </c>
    </row>
    <row r="11638" spans="1:5" hidden="1" x14ac:dyDescent="0.3">
      <c r="A11638" t="s">
        <v>557</v>
      </c>
      <c r="B11638" t="s">
        <v>752</v>
      </c>
      <c r="C11638" t="s">
        <v>318</v>
      </c>
      <c r="D11638" s="230">
        <v>-2723.57</v>
      </c>
      <c r="E11638" t="s">
        <v>753</v>
      </c>
    </row>
    <row r="11639" spans="1:5" hidden="1" x14ac:dyDescent="0.3">
      <c r="A11639" t="s">
        <v>557</v>
      </c>
      <c r="B11639" t="s">
        <v>752</v>
      </c>
      <c r="C11639" t="s">
        <v>319</v>
      </c>
      <c r="D11639" s="230">
        <v>-2386</v>
      </c>
      <c r="E11639" t="s">
        <v>753</v>
      </c>
    </row>
    <row r="11640" spans="1:5" hidden="1" x14ac:dyDescent="0.3">
      <c r="A11640" t="s">
        <v>557</v>
      </c>
      <c r="B11640" t="s">
        <v>752</v>
      </c>
      <c r="C11640" t="s">
        <v>320</v>
      </c>
      <c r="D11640" s="230">
        <v>-137.57</v>
      </c>
      <c r="E11640" t="s">
        <v>753</v>
      </c>
    </row>
    <row r="11641" spans="1:5" hidden="1" x14ac:dyDescent="0.3">
      <c r="A11641" t="s">
        <v>557</v>
      </c>
      <c r="B11641" t="s">
        <v>752</v>
      </c>
      <c r="C11641" t="s">
        <v>321</v>
      </c>
      <c r="D11641" s="230">
        <v>-200</v>
      </c>
      <c r="E11641" t="s">
        <v>753</v>
      </c>
    </row>
    <row r="11642" spans="1:5" hidden="1" x14ac:dyDescent="0.3">
      <c r="A11642" t="s">
        <v>557</v>
      </c>
      <c r="B11642" t="s">
        <v>752</v>
      </c>
      <c r="C11642" t="s">
        <v>322</v>
      </c>
      <c r="D11642" s="230">
        <v>0</v>
      </c>
      <c r="E11642" t="s">
        <v>753</v>
      </c>
    </row>
    <row r="11643" spans="1:5" hidden="1" x14ac:dyDescent="0.3">
      <c r="A11643" t="s">
        <v>557</v>
      </c>
      <c r="B11643" t="s">
        <v>752</v>
      </c>
      <c r="C11643" t="s">
        <v>44</v>
      </c>
      <c r="D11643" s="230">
        <v>-0.01</v>
      </c>
      <c r="E11643" t="s">
        <v>753</v>
      </c>
    </row>
    <row r="11644" spans="1:5" hidden="1" x14ac:dyDescent="0.3">
      <c r="A11644" t="s">
        <v>557</v>
      </c>
      <c r="B11644" t="s">
        <v>752</v>
      </c>
      <c r="C11644" t="s">
        <v>323</v>
      </c>
      <c r="D11644" s="230">
        <v>-23239.56</v>
      </c>
      <c r="E11644" t="s">
        <v>753</v>
      </c>
    </row>
    <row r="11645" spans="1:5" hidden="1" x14ac:dyDescent="0.3">
      <c r="A11645" t="s">
        <v>557</v>
      </c>
      <c r="B11645" t="s">
        <v>752</v>
      </c>
      <c r="C11645" t="s">
        <v>324</v>
      </c>
      <c r="D11645" s="230">
        <v>0</v>
      </c>
      <c r="E11645" t="s">
        <v>753</v>
      </c>
    </row>
    <row r="11646" spans="1:5" hidden="1" x14ac:dyDescent="0.3">
      <c r="A11646" t="s">
        <v>557</v>
      </c>
      <c r="B11646" t="s">
        <v>752</v>
      </c>
      <c r="C11646" t="s">
        <v>325</v>
      </c>
      <c r="D11646" s="230">
        <v>0</v>
      </c>
      <c r="E11646" t="s">
        <v>753</v>
      </c>
    </row>
    <row r="11647" spans="1:5" hidden="1" x14ac:dyDescent="0.3">
      <c r="A11647" t="s">
        <v>557</v>
      </c>
      <c r="B11647" t="s">
        <v>752</v>
      </c>
      <c r="C11647" t="s">
        <v>326</v>
      </c>
      <c r="D11647" s="230">
        <v>-23239.56</v>
      </c>
      <c r="E11647" t="s">
        <v>753</v>
      </c>
    </row>
    <row r="11648" spans="1:5" hidden="1" x14ac:dyDescent="0.3">
      <c r="A11648" t="s">
        <v>557</v>
      </c>
      <c r="B11648" t="s">
        <v>752</v>
      </c>
      <c r="C11648" t="s">
        <v>44</v>
      </c>
      <c r="D11648" s="230">
        <v>-0.05</v>
      </c>
      <c r="E11648" t="s">
        <v>753</v>
      </c>
    </row>
    <row r="11649" spans="1:5" hidden="1" x14ac:dyDescent="0.3">
      <c r="A11649" t="s">
        <v>557</v>
      </c>
      <c r="B11649" t="s">
        <v>752</v>
      </c>
      <c r="C11649" t="s">
        <v>328</v>
      </c>
      <c r="D11649" s="230">
        <v>-277019.21999999997</v>
      </c>
      <c r="E11649" t="s">
        <v>753</v>
      </c>
    </row>
    <row r="11650" spans="1:5" hidden="1" x14ac:dyDescent="0.3">
      <c r="A11650" t="s">
        <v>557</v>
      </c>
      <c r="B11650" t="s">
        <v>752</v>
      </c>
      <c r="C11650" t="s">
        <v>44</v>
      </c>
      <c r="D11650" s="230">
        <v>-0.6</v>
      </c>
      <c r="E11650" t="s">
        <v>753</v>
      </c>
    </row>
    <row r="11651" spans="1:5" hidden="1" x14ac:dyDescent="0.3">
      <c r="A11651" t="s">
        <v>557</v>
      </c>
      <c r="B11651" t="s">
        <v>752</v>
      </c>
      <c r="C11651" t="s">
        <v>329</v>
      </c>
      <c r="D11651" s="230">
        <v>-39782.379999999997</v>
      </c>
      <c r="E11651" t="s">
        <v>753</v>
      </c>
    </row>
    <row r="11652" spans="1:5" hidden="1" x14ac:dyDescent="0.3">
      <c r="A11652" t="s">
        <v>557</v>
      </c>
      <c r="B11652" t="s">
        <v>752</v>
      </c>
      <c r="C11652" t="s">
        <v>44</v>
      </c>
      <c r="D11652" s="230">
        <v>-0.09</v>
      </c>
      <c r="E11652" t="s">
        <v>753</v>
      </c>
    </row>
    <row r="11653" spans="1:5" hidden="1" x14ac:dyDescent="0.3">
      <c r="A11653" t="s">
        <v>557</v>
      </c>
      <c r="B11653" t="s">
        <v>752</v>
      </c>
      <c r="C11653" t="s">
        <v>330</v>
      </c>
      <c r="D11653" s="230">
        <v>0</v>
      </c>
      <c r="E11653" t="s">
        <v>753</v>
      </c>
    </row>
    <row r="11654" spans="1:5" hidden="1" x14ac:dyDescent="0.3">
      <c r="A11654" t="s">
        <v>557</v>
      </c>
      <c r="B11654" t="s">
        <v>752</v>
      </c>
      <c r="C11654" t="s">
        <v>332</v>
      </c>
      <c r="D11654" s="230">
        <v>-39782.379999999997</v>
      </c>
      <c r="E11654" t="s">
        <v>753</v>
      </c>
    </row>
    <row r="11655" spans="1:5" hidden="1" x14ac:dyDescent="0.3">
      <c r="A11655" t="s">
        <v>557</v>
      </c>
      <c r="B11655" t="s">
        <v>752</v>
      </c>
      <c r="C11655" t="s">
        <v>333</v>
      </c>
      <c r="D11655" s="230">
        <v>7025.4</v>
      </c>
      <c r="E11655" t="s">
        <v>753</v>
      </c>
    </row>
    <row r="11656" spans="1:5" hidden="1" x14ac:dyDescent="0.3">
      <c r="A11656" t="s">
        <v>557</v>
      </c>
      <c r="B11656" t="s">
        <v>752</v>
      </c>
      <c r="C11656" t="s">
        <v>334</v>
      </c>
      <c r="D11656" s="230">
        <v>0</v>
      </c>
      <c r="E11656" t="s">
        <v>753</v>
      </c>
    </row>
    <row r="11657" spans="1:5" hidden="1" x14ac:dyDescent="0.3">
      <c r="A11657" t="s">
        <v>557</v>
      </c>
      <c r="B11657" t="s">
        <v>752</v>
      </c>
      <c r="C11657" t="s">
        <v>336</v>
      </c>
      <c r="D11657" s="230">
        <v>0</v>
      </c>
      <c r="E11657" t="s">
        <v>753</v>
      </c>
    </row>
    <row r="11658" spans="1:5" hidden="1" x14ac:dyDescent="0.3">
      <c r="A11658" t="s">
        <v>557</v>
      </c>
      <c r="B11658" t="s">
        <v>752</v>
      </c>
      <c r="C11658" t="s">
        <v>338</v>
      </c>
      <c r="D11658" s="230">
        <v>-32756.98</v>
      </c>
      <c r="E11658" t="s">
        <v>753</v>
      </c>
    </row>
    <row r="11659" spans="1:5" hidden="1" x14ac:dyDescent="0.3">
      <c r="A11659" t="s">
        <v>557</v>
      </c>
      <c r="B11659" t="s">
        <v>752</v>
      </c>
      <c r="C11659" t="s">
        <v>339</v>
      </c>
      <c r="D11659" s="230">
        <v>-10030.36</v>
      </c>
      <c r="E11659" t="s">
        <v>753</v>
      </c>
    </row>
    <row r="11660" spans="1:5" hidden="1" x14ac:dyDescent="0.3">
      <c r="A11660" t="s">
        <v>557</v>
      </c>
      <c r="B11660" t="s">
        <v>752</v>
      </c>
      <c r="C11660" t="s">
        <v>342</v>
      </c>
      <c r="D11660" s="230">
        <v>0</v>
      </c>
      <c r="E11660" t="s">
        <v>753</v>
      </c>
    </row>
    <row r="11661" spans="1:5" hidden="1" x14ac:dyDescent="0.3">
      <c r="A11661" t="s">
        <v>557</v>
      </c>
      <c r="B11661" t="s">
        <v>752</v>
      </c>
      <c r="C11661" t="s">
        <v>344</v>
      </c>
      <c r="D11661" s="230">
        <v>-5342.67</v>
      </c>
      <c r="E11661" t="s">
        <v>753</v>
      </c>
    </row>
    <row r="11662" spans="1:5" hidden="1" x14ac:dyDescent="0.3">
      <c r="A11662" t="s">
        <v>557</v>
      </c>
      <c r="B11662" t="s">
        <v>752</v>
      </c>
      <c r="C11662" t="s">
        <v>345</v>
      </c>
      <c r="D11662" s="230">
        <v>0</v>
      </c>
      <c r="E11662" t="s">
        <v>753</v>
      </c>
    </row>
    <row r="11663" spans="1:5" hidden="1" x14ac:dyDescent="0.3">
      <c r="A11663" t="s">
        <v>557</v>
      </c>
      <c r="B11663" t="s">
        <v>752</v>
      </c>
      <c r="C11663" t="s">
        <v>346</v>
      </c>
      <c r="D11663" s="230">
        <v>-4687.6899999999996</v>
      </c>
      <c r="E11663" t="s">
        <v>753</v>
      </c>
    </row>
    <row r="11664" spans="1:5" hidden="1" x14ac:dyDescent="0.3">
      <c r="A11664" t="s">
        <v>557</v>
      </c>
      <c r="B11664" t="s">
        <v>752</v>
      </c>
      <c r="C11664" t="s">
        <v>347</v>
      </c>
      <c r="D11664" s="230">
        <v>-42787.33</v>
      </c>
      <c r="E11664" t="s">
        <v>753</v>
      </c>
    </row>
    <row r="11665" spans="1:5" hidden="1" x14ac:dyDescent="0.3">
      <c r="A11665" t="s">
        <v>557</v>
      </c>
      <c r="B11665" t="s">
        <v>752</v>
      </c>
      <c r="C11665" t="s">
        <v>44</v>
      </c>
      <c r="D11665" s="230">
        <v>-0.09</v>
      </c>
      <c r="E11665" t="s">
        <v>753</v>
      </c>
    </row>
    <row r="11666" spans="1:5" hidden="1" x14ac:dyDescent="0.3">
      <c r="A11666" t="s">
        <v>557</v>
      </c>
      <c r="B11666" t="s">
        <v>752</v>
      </c>
      <c r="C11666" t="s">
        <v>348</v>
      </c>
      <c r="D11666" s="230">
        <v>-5000</v>
      </c>
      <c r="E11666" t="s">
        <v>753</v>
      </c>
    </row>
    <row r="11667" spans="1:5" hidden="1" x14ac:dyDescent="0.3">
      <c r="A11667" t="s">
        <v>557</v>
      </c>
      <c r="B11667" t="s">
        <v>752</v>
      </c>
      <c r="C11667" t="s">
        <v>707</v>
      </c>
      <c r="D11667" s="230">
        <v>-5000</v>
      </c>
      <c r="E11667" t="s">
        <v>753</v>
      </c>
    </row>
    <row r="11668" spans="1:5" hidden="1" x14ac:dyDescent="0.3">
      <c r="A11668" t="s">
        <v>557</v>
      </c>
      <c r="B11668" t="s">
        <v>752</v>
      </c>
      <c r="C11668" t="s">
        <v>350</v>
      </c>
      <c r="D11668" s="230">
        <v>0</v>
      </c>
      <c r="E11668" t="s">
        <v>753</v>
      </c>
    </row>
    <row r="11669" spans="1:5" hidden="1" x14ac:dyDescent="0.3">
      <c r="A11669" t="s">
        <v>557</v>
      </c>
      <c r="B11669" t="s">
        <v>752</v>
      </c>
      <c r="C11669" t="s">
        <v>351</v>
      </c>
      <c r="D11669" s="230">
        <v>0</v>
      </c>
      <c r="E11669" t="s">
        <v>753</v>
      </c>
    </row>
    <row r="11670" spans="1:5" hidden="1" x14ac:dyDescent="0.3">
      <c r="A11670" t="s">
        <v>557</v>
      </c>
      <c r="B11670" t="s">
        <v>752</v>
      </c>
      <c r="C11670" t="s">
        <v>352</v>
      </c>
      <c r="D11670" s="230">
        <v>0</v>
      </c>
      <c r="E11670" t="s">
        <v>753</v>
      </c>
    </row>
    <row r="11671" spans="1:5" hidden="1" x14ac:dyDescent="0.3">
      <c r="A11671" t="s">
        <v>557</v>
      </c>
      <c r="B11671" t="s">
        <v>752</v>
      </c>
      <c r="C11671" t="s">
        <v>353</v>
      </c>
      <c r="D11671" s="230">
        <v>0</v>
      </c>
      <c r="E11671" t="s">
        <v>753</v>
      </c>
    </row>
    <row r="11672" spans="1:5" hidden="1" x14ac:dyDescent="0.3">
      <c r="A11672" t="s">
        <v>557</v>
      </c>
      <c r="B11672" t="s">
        <v>752</v>
      </c>
      <c r="C11672" t="s">
        <v>354</v>
      </c>
      <c r="D11672" s="230">
        <v>0</v>
      </c>
      <c r="E11672" t="s">
        <v>753</v>
      </c>
    </row>
    <row r="11673" spans="1:5" hidden="1" x14ac:dyDescent="0.3">
      <c r="A11673" t="s">
        <v>557</v>
      </c>
      <c r="B11673" t="s">
        <v>752</v>
      </c>
      <c r="C11673" t="s">
        <v>355</v>
      </c>
      <c r="D11673" s="230">
        <v>0</v>
      </c>
      <c r="E11673" t="s">
        <v>753</v>
      </c>
    </row>
    <row r="11674" spans="1:5" hidden="1" x14ac:dyDescent="0.3">
      <c r="A11674" t="s">
        <v>557</v>
      </c>
      <c r="B11674" t="s">
        <v>752</v>
      </c>
      <c r="C11674" t="s">
        <v>356</v>
      </c>
      <c r="D11674" s="230">
        <v>0</v>
      </c>
      <c r="E11674" t="s">
        <v>753</v>
      </c>
    </row>
    <row r="11675" spans="1:5" hidden="1" x14ac:dyDescent="0.3">
      <c r="A11675" t="s">
        <v>557</v>
      </c>
      <c r="B11675" t="s">
        <v>752</v>
      </c>
      <c r="C11675" t="s">
        <v>357</v>
      </c>
      <c r="D11675" s="230">
        <v>0</v>
      </c>
      <c r="E11675" t="s">
        <v>753</v>
      </c>
    </row>
    <row r="11676" spans="1:5" hidden="1" x14ac:dyDescent="0.3">
      <c r="A11676" t="s">
        <v>557</v>
      </c>
      <c r="B11676" t="s">
        <v>752</v>
      </c>
      <c r="C11676" t="s">
        <v>358</v>
      </c>
      <c r="D11676" s="230">
        <v>0</v>
      </c>
      <c r="E11676" t="s">
        <v>753</v>
      </c>
    </row>
    <row r="11677" spans="1:5" hidden="1" x14ac:dyDescent="0.3">
      <c r="A11677" t="s">
        <v>557</v>
      </c>
      <c r="B11677" t="s">
        <v>752</v>
      </c>
      <c r="C11677" t="s">
        <v>359</v>
      </c>
      <c r="D11677" s="230">
        <v>0</v>
      </c>
      <c r="E11677" t="s">
        <v>753</v>
      </c>
    </row>
    <row r="11678" spans="1:5" hidden="1" x14ac:dyDescent="0.3">
      <c r="A11678" t="s">
        <v>557</v>
      </c>
      <c r="B11678" t="s">
        <v>752</v>
      </c>
      <c r="C11678" t="s">
        <v>360</v>
      </c>
      <c r="D11678" s="230">
        <v>0</v>
      </c>
      <c r="E11678" t="s">
        <v>753</v>
      </c>
    </row>
    <row r="11679" spans="1:5" hidden="1" x14ac:dyDescent="0.3">
      <c r="A11679" t="s">
        <v>557</v>
      </c>
      <c r="B11679" t="s">
        <v>752</v>
      </c>
      <c r="C11679" t="s">
        <v>361</v>
      </c>
      <c r="D11679" s="230">
        <v>0</v>
      </c>
      <c r="E11679" t="s">
        <v>753</v>
      </c>
    </row>
    <row r="11680" spans="1:5" hidden="1" x14ac:dyDescent="0.3">
      <c r="A11680" t="s">
        <v>557</v>
      </c>
      <c r="B11680" t="s">
        <v>752</v>
      </c>
      <c r="C11680" t="s">
        <v>362</v>
      </c>
      <c r="D11680" s="230">
        <v>0</v>
      </c>
      <c r="E11680" t="s">
        <v>753</v>
      </c>
    </row>
    <row r="11681" spans="1:5" hidden="1" x14ac:dyDescent="0.3">
      <c r="A11681" t="s">
        <v>557</v>
      </c>
      <c r="B11681" t="s">
        <v>752</v>
      </c>
      <c r="C11681" t="s">
        <v>363</v>
      </c>
      <c r="D11681" s="230">
        <v>0</v>
      </c>
      <c r="E11681" t="s">
        <v>753</v>
      </c>
    </row>
    <row r="11682" spans="1:5" hidden="1" x14ac:dyDescent="0.3">
      <c r="A11682" t="s">
        <v>557</v>
      </c>
      <c r="B11682" t="s">
        <v>752</v>
      </c>
      <c r="C11682" t="s">
        <v>364</v>
      </c>
      <c r="D11682" s="230">
        <v>0</v>
      </c>
      <c r="E11682" t="s">
        <v>753</v>
      </c>
    </row>
    <row r="11683" spans="1:5" hidden="1" x14ac:dyDescent="0.3">
      <c r="A11683" t="s">
        <v>557</v>
      </c>
      <c r="B11683" t="s">
        <v>752</v>
      </c>
      <c r="C11683" t="s">
        <v>365</v>
      </c>
      <c r="D11683" s="230">
        <v>-9793.34</v>
      </c>
      <c r="E11683" t="s">
        <v>753</v>
      </c>
    </row>
    <row r="11684" spans="1:5" hidden="1" x14ac:dyDescent="0.3">
      <c r="A11684" t="s">
        <v>557</v>
      </c>
      <c r="B11684" t="s">
        <v>752</v>
      </c>
      <c r="C11684" t="s">
        <v>366</v>
      </c>
      <c r="D11684" s="230">
        <v>-3960</v>
      </c>
      <c r="E11684" t="s">
        <v>753</v>
      </c>
    </row>
    <row r="11685" spans="1:5" hidden="1" x14ac:dyDescent="0.3">
      <c r="A11685" t="s">
        <v>557</v>
      </c>
      <c r="B11685" t="s">
        <v>752</v>
      </c>
      <c r="C11685" t="s">
        <v>367</v>
      </c>
      <c r="D11685" s="230">
        <v>0</v>
      </c>
      <c r="E11685" t="s">
        <v>753</v>
      </c>
    </row>
    <row r="11686" spans="1:5" hidden="1" x14ac:dyDescent="0.3">
      <c r="A11686" t="s">
        <v>557</v>
      </c>
      <c r="B11686" t="s">
        <v>752</v>
      </c>
      <c r="C11686" t="s">
        <v>368</v>
      </c>
      <c r="D11686" s="230">
        <v>0</v>
      </c>
      <c r="E11686" t="s">
        <v>753</v>
      </c>
    </row>
    <row r="11687" spans="1:5" hidden="1" x14ac:dyDescent="0.3">
      <c r="A11687" t="s">
        <v>557</v>
      </c>
      <c r="B11687" t="s">
        <v>752</v>
      </c>
      <c r="C11687" t="s">
        <v>369</v>
      </c>
      <c r="D11687" s="230">
        <v>-5833.34</v>
      </c>
      <c r="E11687" t="s">
        <v>753</v>
      </c>
    </row>
    <row r="11688" spans="1:5" hidden="1" x14ac:dyDescent="0.3">
      <c r="A11688" t="s">
        <v>557</v>
      </c>
      <c r="B11688" t="s">
        <v>752</v>
      </c>
      <c r="C11688" t="s">
        <v>370</v>
      </c>
      <c r="D11688" s="230">
        <v>0</v>
      </c>
      <c r="E11688" t="s">
        <v>753</v>
      </c>
    </row>
    <row r="11689" spans="1:5" hidden="1" x14ac:dyDescent="0.3">
      <c r="A11689" t="s">
        <v>557</v>
      </c>
      <c r="B11689" t="s">
        <v>752</v>
      </c>
      <c r="C11689" t="s">
        <v>371</v>
      </c>
      <c r="D11689" s="230">
        <v>0</v>
      </c>
      <c r="E11689" t="s">
        <v>753</v>
      </c>
    </row>
    <row r="11690" spans="1:5" hidden="1" x14ac:dyDescent="0.3">
      <c r="A11690" t="s">
        <v>557</v>
      </c>
      <c r="B11690" t="s">
        <v>752</v>
      </c>
      <c r="C11690" t="s">
        <v>372</v>
      </c>
      <c r="D11690" s="230">
        <v>0</v>
      </c>
      <c r="E11690" t="s">
        <v>753</v>
      </c>
    </row>
    <row r="11691" spans="1:5" hidden="1" x14ac:dyDescent="0.3">
      <c r="A11691" t="s">
        <v>557</v>
      </c>
      <c r="B11691" t="s">
        <v>752</v>
      </c>
      <c r="C11691" t="s">
        <v>373</v>
      </c>
      <c r="D11691" s="230">
        <v>-14793.34</v>
      </c>
      <c r="E11691" t="s">
        <v>753</v>
      </c>
    </row>
    <row r="11692" spans="1:5" hidden="1" x14ac:dyDescent="0.3">
      <c r="A11692" t="s">
        <v>557</v>
      </c>
      <c r="B11692" t="s">
        <v>752</v>
      </c>
      <c r="C11692" t="s">
        <v>374</v>
      </c>
      <c r="D11692" s="230">
        <v>-57580.67</v>
      </c>
      <c r="E11692" t="s">
        <v>753</v>
      </c>
    </row>
    <row r="11693" spans="1:5" hidden="1" x14ac:dyDescent="0.3">
      <c r="A11693" t="s">
        <v>557</v>
      </c>
      <c r="B11693" t="s">
        <v>752</v>
      </c>
      <c r="C11693" t="s">
        <v>708</v>
      </c>
      <c r="D11693" s="230">
        <v>-57580.67</v>
      </c>
      <c r="E11693" t="s">
        <v>753</v>
      </c>
    </row>
    <row r="11694" spans="1:5" hidden="1" x14ac:dyDescent="0.3">
      <c r="A11694" t="s">
        <v>557</v>
      </c>
      <c r="B11694" t="s">
        <v>754</v>
      </c>
      <c r="C11694" t="s">
        <v>11</v>
      </c>
      <c r="D11694" s="230">
        <v>785449.09</v>
      </c>
      <c r="E11694" t="s">
        <v>458</v>
      </c>
    </row>
    <row r="11695" spans="1:5" hidden="1" x14ac:dyDescent="0.3">
      <c r="A11695" t="s">
        <v>557</v>
      </c>
      <c r="B11695" t="s">
        <v>754</v>
      </c>
      <c r="C11695" t="s">
        <v>13</v>
      </c>
      <c r="D11695" s="230">
        <v>233357.38</v>
      </c>
      <c r="E11695" t="s">
        <v>458</v>
      </c>
    </row>
    <row r="11696" spans="1:5" hidden="1" x14ac:dyDescent="0.3">
      <c r="A11696" t="s">
        <v>557</v>
      </c>
      <c r="B11696" t="s">
        <v>754</v>
      </c>
      <c r="C11696" t="s">
        <v>16</v>
      </c>
      <c r="D11696" s="230">
        <v>149120.82</v>
      </c>
      <c r="E11696" t="s">
        <v>458</v>
      </c>
    </row>
    <row r="11697" spans="1:5" hidden="1" x14ac:dyDescent="0.3">
      <c r="A11697" t="s">
        <v>557</v>
      </c>
      <c r="B11697" t="s">
        <v>754</v>
      </c>
      <c r="C11697" t="s">
        <v>17</v>
      </c>
      <c r="D11697" s="230">
        <v>10890</v>
      </c>
      <c r="E11697" t="s">
        <v>458</v>
      </c>
    </row>
    <row r="11698" spans="1:5" hidden="1" x14ac:dyDescent="0.3">
      <c r="A11698" t="s">
        <v>557</v>
      </c>
      <c r="B11698" t="s">
        <v>754</v>
      </c>
      <c r="C11698" t="s">
        <v>18</v>
      </c>
      <c r="D11698" s="230">
        <v>0</v>
      </c>
      <c r="E11698" t="s">
        <v>458</v>
      </c>
    </row>
    <row r="11699" spans="1:5" hidden="1" x14ac:dyDescent="0.3">
      <c r="A11699" t="s">
        <v>557</v>
      </c>
      <c r="B11699" t="s">
        <v>754</v>
      </c>
      <c r="C11699" t="s">
        <v>20</v>
      </c>
      <c r="D11699" s="230">
        <v>47289.49</v>
      </c>
      <c r="E11699" t="s">
        <v>458</v>
      </c>
    </row>
    <row r="11700" spans="1:5" hidden="1" x14ac:dyDescent="0.3">
      <c r="A11700" t="s">
        <v>557</v>
      </c>
      <c r="B11700" t="s">
        <v>754</v>
      </c>
      <c r="C11700" t="s">
        <v>23</v>
      </c>
      <c r="D11700" s="230">
        <v>294708.34000000003</v>
      </c>
      <c r="E11700" t="s">
        <v>458</v>
      </c>
    </row>
    <row r="11701" spans="1:5" hidden="1" x14ac:dyDescent="0.3">
      <c r="A11701" t="s">
        <v>557</v>
      </c>
      <c r="B11701" t="s">
        <v>754</v>
      </c>
      <c r="C11701" t="s">
        <v>25</v>
      </c>
      <c r="D11701" s="230">
        <v>0</v>
      </c>
      <c r="E11701" t="s">
        <v>458</v>
      </c>
    </row>
    <row r="11702" spans="1:5" hidden="1" x14ac:dyDescent="0.3">
      <c r="A11702" t="s">
        <v>557</v>
      </c>
      <c r="B11702" t="s">
        <v>754</v>
      </c>
      <c r="C11702" t="s">
        <v>26</v>
      </c>
      <c r="D11702" s="230">
        <v>22980.15</v>
      </c>
      <c r="E11702" t="s">
        <v>458</v>
      </c>
    </row>
    <row r="11703" spans="1:5" hidden="1" x14ac:dyDescent="0.3">
      <c r="A11703" t="s">
        <v>557</v>
      </c>
      <c r="B11703" t="s">
        <v>754</v>
      </c>
      <c r="C11703" t="s">
        <v>27</v>
      </c>
      <c r="D11703" s="230">
        <v>0</v>
      </c>
      <c r="E11703" t="s">
        <v>458</v>
      </c>
    </row>
    <row r="11704" spans="1:5" hidden="1" x14ac:dyDescent="0.3">
      <c r="A11704" t="s">
        <v>557</v>
      </c>
      <c r="B11704" t="s">
        <v>754</v>
      </c>
      <c r="C11704" t="s">
        <v>29</v>
      </c>
      <c r="D11704" s="230">
        <v>27035.41</v>
      </c>
      <c r="E11704" t="s">
        <v>458</v>
      </c>
    </row>
    <row r="11705" spans="1:5" hidden="1" x14ac:dyDescent="0.3">
      <c r="A11705" t="s">
        <v>557</v>
      </c>
      <c r="B11705" t="s">
        <v>754</v>
      </c>
      <c r="C11705" t="s">
        <v>31</v>
      </c>
      <c r="D11705" s="230">
        <v>67.5</v>
      </c>
      <c r="E11705" t="s">
        <v>458</v>
      </c>
    </row>
    <row r="11706" spans="1:5" hidden="1" x14ac:dyDescent="0.3">
      <c r="A11706" t="s">
        <v>557</v>
      </c>
      <c r="B11706" t="s">
        <v>754</v>
      </c>
      <c r="C11706" t="s">
        <v>34</v>
      </c>
      <c r="D11706" s="230">
        <v>-17637.23</v>
      </c>
      <c r="E11706" t="s">
        <v>458</v>
      </c>
    </row>
    <row r="11707" spans="1:5" hidden="1" x14ac:dyDescent="0.3">
      <c r="A11707" t="s">
        <v>557</v>
      </c>
      <c r="B11707" t="s">
        <v>754</v>
      </c>
      <c r="C11707" t="s">
        <v>38</v>
      </c>
      <c r="D11707" s="230">
        <v>-3297.94</v>
      </c>
      <c r="E11707" t="s">
        <v>458</v>
      </c>
    </row>
    <row r="11708" spans="1:5" hidden="1" x14ac:dyDescent="0.3">
      <c r="A11708" t="s">
        <v>557</v>
      </c>
      <c r="B11708" t="s">
        <v>754</v>
      </c>
      <c r="C11708" t="s">
        <v>40</v>
      </c>
      <c r="D11708" s="230">
        <v>-12260.31</v>
      </c>
      <c r="E11708" t="s">
        <v>458</v>
      </c>
    </row>
    <row r="11709" spans="1:5" hidden="1" x14ac:dyDescent="0.3">
      <c r="A11709" t="s">
        <v>557</v>
      </c>
      <c r="B11709" t="s">
        <v>754</v>
      </c>
      <c r="C11709" t="s">
        <v>42</v>
      </c>
      <c r="D11709" s="230">
        <v>-2078.98</v>
      </c>
      <c r="E11709" t="s">
        <v>458</v>
      </c>
    </row>
    <row r="11710" spans="1:5" hidden="1" x14ac:dyDescent="0.3">
      <c r="A11710" t="s">
        <v>557</v>
      </c>
      <c r="B11710" t="s">
        <v>754</v>
      </c>
      <c r="C11710" t="s">
        <v>44</v>
      </c>
      <c r="D11710" s="230">
        <v>-0.02</v>
      </c>
      <c r="E11710" t="s">
        <v>458</v>
      </c>
    </row>
    <row r="11711" spans="1:5" hidden="1" x14ac:dyDescent="0.3">
      <c r="A11711" t="s">
        <v>557</v>
      </c>
      <c r="B11711" t="s">
        <v>754</v>
      </c>
      <c r="C11711" t="s">
        <v>45</v>
      </c>
      <c r="D11711" s="230">
        <v>-46586.16</v>
      </c>
      <c r="E11711" t="s">
        <v>458</v>
      </c>
    </row>
    <row r="11712" spans="1:5" hidden="1" x14ac:dyDescent="0.3">
      <c r="A11712" t="s">
        <v>557</v>
      </c>
      <c r="B11712" t="s">
        <v>754</v>
      </c>
      <c r="C11712" t="s">
        <v>46</v>
      </c>
      <c r="D11712" s="230">
        <v>-17268.28</v>
      </c>
      <c r="E11712" t="s">
        <v>458</v>
      </c>
    </row>
    <row r="11713" spans="1:5" hidden="1" x14ac:dyDescent="0.3">
      <c r="A11713" t="s">
        <v>557</v>
      </c>
      <c r="B11713" t="s">
        <v>754</v>
      </c>
      <c r="C11713" t="s">
        <v>48</v>
      </c>
      <c r="D11713" s="230">
        <v>-28168.880000000001</v>
      </c>
      <c r="E11713" t="s">
        <v>458</v>
      </c>
    </row>
    <row r="11714" spans="1:5" hidden="1" x14ac:dyDescent="0.3">
      <c r="A11714" t="s">
        <v>557</v>
      </c>
      <c r="B11714" t="s">
        <v>754</v>
      </c>
      <c r="C11714" t="s">
        <v>49</v>
      </c>
      <c r="D11714" s="230">
        <v>-1149.01</v>
      </c>
      <c r="E11714" t="s">
        <v>458</v>
      </c>
    </row>
    <row r="11715" spans="1:5" hidden="1" x14ac:dyDescent="0.3">
      <c r="A11715" t="s">
        <v>557</v>
      </c>
      <c r="B11715" t="s">
        <v>754</v>
      </c>
      <c r="C11715" t="s">
        <v>50</v>
      </c>
      <c r="D11715" s="230">
        <v>721225.69</v>
      </c>
      <c r="E11715" t="s">
        <v>458</v>
      </c>
    </row>
    <row r="11716" spans="1:5" hidden="1" x14ac:dyDescent="0.3">
      <c r="A11716" t="s">
        <v>557</v>
      </c>
      <c r="B11716" t="s">
        <v>754</v>
      </c>
      <c r="C11716" t="s">
        <v>51</v>
      </c>
      <c r="D11716" s="230">
        <v>-127732</v>
      </c>
      <c r="E11716" t="s">
        <v>458</v>
      </c>
    </row>
    <row r="11717" spans="1:5" hidden="1" x14ac:dyDescent="0.3">
      <c r="A11717" t="s">
        <v>557</v>
      </c>
      <c r="B11717" t="s">
        <v>754</v>
      </c>
      <c r="C11717" t="s">
        <v>52</v>
      </c>
      <c r="D11717" s="230">
        <v>-79346.34</v>
      </c>
      <c r="E11717" t="s">
        <v>458</v>
      </c>
    </row>
    <row r="11718" spans="1:5" hidden="1" x14ac:dyDescent="0.3">
      <c r="A11718" t="s">
        <v>557</v>
      </c>
      <c r="B11718" t="s">
        <v>754</v>
      </c>
      <c r="C11718" t="s">
        <v>53</v>
      </c>
      <c r="D11718" s="230">
        <v>-46326.400000000001</v>
      </c>
      <c r="E11718" t="s">
        <v>458</v>
      </c>
    </row>
    <row r="11719" spans="1:5" hidden="1" x14ac:dyDescent="0.3">
      <c r="A11719" t="s">
        <v>557</v>
      </c>
      <c r="B11719" t="s">
        <v>754</v>
      </c>
      <c r="C11719" t="s">
        <v>54</v>
      </c>
      <c r="D11719" s="230">
        <v>-2059.2600000000002</v>
      </c>
      <c r="E11719" t="s">
        <v>458</v>
      </c>
    </row>
    <row r="11720" spans="1:5" hidden="1" x14ac:dyDescent="0.3">
      <c r="A11720" t="s">
        <v>557</v>
      </c>
      <c r="B11720" t="s">
        <v>754</v>
      </c>
      <c r="C11720" t="s">
        <v>23</v>
      </c>
      <c r="D11720" s="230">
        <v>0</v>
      </c>
      <c r="E11720" t="s">
        <v>458</v>
      </c>
    </row>
    <row r="11721" spans="1:5" hidden="1" x14ac:dyDescent="0.3">
      <c r="A11721" t="s">
        <v>557</v>
      </c>
      <c r="B11721" t="s">
        <v>754</v>
      </c>
      <c r="C11721" t="s">
        <v>44</v>
      </c>
      <c r="D11721" s="230">
        <v>-0.18</v>
      </c>
      <c r="E11721" t="s">
        <v>458</v>
      </c>
    </row>
    <row r="11722" spans="1:5" hidden="1" x14ac:dyDescent="0.3">
      <c r="A11722" t="s">
        <v>557</v>
      </c>
      <c r="B11722" t="s">
        <v>754</v>
      </c>
      <c r="C11722" t="s">
        <v>55</v>
      </c>
      <c r="D11722" s="230">
        <v>-0.18</v>
      </c>
      <c r="E11722" t="s">
        <v>458</v>
      </c>
    </row>
    <row r="11723" spans="1:5" hidden="1" x14ac:dyDescent="0.3">
      <c r="A11723" t="s">
        <v>557</v>
      </c>
      <c r="B11723" t="s">
        <v>754</v>
      </c>
      <c r="C11723" t="s">
        <v>56</v>
      </c>
      <c r="D11723" s="230">
        <v>-13430.96</v>
      </c>
      <c r="E11723" t="s">
        <v>458</v>
      </c>
    </row>
    <row r="11724" spans="1:5" hidden="1" x14ac:dyDescent="0.3">
      <c r="A11724" t="s">
        <v>557</v>
      </c>
      <c r="B11724" t="s">
        <v>754</v>
      </c>
      <c r="C11724" t="s">
        <v>57</v>
      </c>
      <c r="D11724" s="230">
        <v>-11430.32</v>
      </c>
      <c r="E11724" t="s">
        <v>458</v>
      </c>
    </row>
    <row r="11725" spans="1:5" hidden="1" x14ac:dyDescent="0.3">
      <c r="A11725" t="s">
        <v>557</v>
      </c>
      <c r="B11725" t="s">
        <v>754</v>
      </c>
      <c r="C11725" t="s">
        <v>58</v>
      </c>
      <c r="D11725" s="230">
        <v>-11150</v>
      </c>
      <c r="E11725" t="s">
        <v>458</v>
      </c>
    </row>
    <row r="11726" spans="1:5" hidden="1" x14ac:dyDescent="0.3">
      <c r="A11726" t="s">
        <v>557</v>
      </c>
      <c r="B11726" t="s">
        <v>754</v>
      </c>
      <c r="C11726" t="s">
        <v>59</v>
      </c>
      <c r="D11726" s="230">
        <v>-280.32</v>
      </c>
      <c r="E11726" t="s">
        <v>458</v>
      </c>
    </row>
    <row r="11727" spans="1:5" hidden="1" x14ac:dyDescent="0.3">
      <c r="A11727" t="s">
        <v>557</v>
      </c>
      <c r="B11727" t="s">
        <v>754</v>
      </c>
      <c r="C11727" t="s">
        <v>61</v>
      </c>
      <c r="D11727" s="230">
        <v>0</v>
      </c>
      <c r="E11727" t="s">
        <v>458</v>
      </c>
    </row>
    <row r="11728" spans="1:5" hidden="1" x14ac:dyDescent="0.3">
      <c r="A11728" t="s">
        <v>557</v>
      </c>
      <c r="B11728" t="s">
        <v>754</v>
      </c>
      <c r="C11728" t="s">
        <v>62</v>
      </c>
      <c r="D11728" s="230">
        <v>0</v>
      </c>
      <c r="E11728" t="s">
        <v>458</v>
      </c>
    </row>
    <row r="11729" spans="1:5" hidden="1" x14ac:dyDescent="0.3">
      <c r="A11729" t="s">
        <v>557</v>
      </c>
      <c r="B11729" t="s">
        <v>754</v>
      </c>
      <c r="C11729" t="s">
        <v>64</v>
      </c>
      <c r="D11729" s="230">
        <v>0</v>
      </c>
      <c r="E11729" t="s">
        <v>458</v>
      </c>
    </row>
    <row r="11730" spans="1:5" hidden="1" x14ac:dyDescent="0.3">
      <c r="A11730" t="s">
        <v>557</v>
      </c>
      <c r="B11730" t="s">
        <v>754</v>
      </c>
      <c r="C11730" t="s">
        <v>65</v>
      </c>
      <c r="D11730" s="230">
        <v>-2000.64</v>
      </c>
      <c r="E11730" t="s">
        <v>458</v>
      </c>
    </row>
    <row r="11731" spans="1:5" hidden="1" x14ac:dyDescent="0.3">
      <c r="A11731" t="s">
        <v>557</v>
      </c>
      <c r="B11731" t="s">
        <v>754</v>
      </c>
      <c r="C11731" t="s">
        <v>66</v>
      </c>
      <c r="D11731" s="230">
        <v>-2000.64</v>
      </c>
      <c r="E11731" t="s">
        <v>458</v>
      </c>
    </row>
    <row r="11732" spans="1:5" hidden="1" x14ac:dyDescent="0.3">
      <c r="A11732" t="s">
        <v>557</v>
      </c>
      <c r="B11732" t="s">
        <v>754</v>
      </c>
      <c r="C11732" t="s">
        <v>68</v>
      </c>
      <c r="D11732" s="230">
        <v>0</v>
      </c>
      <c r="E11732" t="s">
        <v>458</v>
      </c>
    </row>
    <row r="11733" spans="1:5" hidden="1" x14ac:dyDescent="0.3">
      <c r="A11733" t="s">
        <v>557</v>
      </c>
      <c r="B11733" t="s">
        <v>754</v>
      </c>
      <c r="C11733" t="s">
        <v>69</v>
      </c>
      <c r="D11733" s="230">
        <v>0</v>
      </c>
      <c r="E11733" t="s">
        <v>458</v>
      </c>
    </row>
    <row r="11734" spans="1:5" hidden="1" x14ac:dyDescent="0.3">
      <c r="A11734" t="s">
        <v>557</v>
      </c>
      <c r="B11734" t="s">
        <v>754</v>
      </c>
      <c r="C11734" t="s">
        <v>70</v>
      </c>
      <c r="D11734" s="230">
        <v>-1.23</v>
      </c>
      <c r="E11734" t="s">
        <v>458</v>
      </c>
    </row>
    <row r="11735" spans="1:5" hidden="1" x14ac:dyDescent="0.3">
      <c r="A11735" t="s">
        <v>557</v>
      </c>
      <c r="B11735" t="s">
        <v>754</v>
      </c>
      <c r="C11735" t="s">
        <v>44</v>
      </c>
      <c r="D11735" s="230">
        <v>-0.02</v>
      </c>
      <c r="E11735" t="s">
        <v>458</v>
      </c>
    </row>
    <row r="11736" spans="1:5" hidden="1" x14ac:dyDescent="0.3">
      <c r="A11736" t="s">
        <v>557</v>
      </c>
      <c r="B11736" t="s">
        <v>754</v>
      </c>
      <c r="C11736" t="s">
        <v>71</v>
      </c>
      <c r="D11736" s="230">
        <v>-4185.37</v>
      </c>
      <c r="E11736" t="s">
        <v>458</v>
      </c>
    </row>
    <row r="11737" spans="1:5" hidden="1" x14ac:dyDescent="0.3">
      <c r="A11737" t="s">
        <v>557</v>
      </c>
      <c r="B11737" t="s">
        <v>754</v>
      </c>
      <c r="C11737" t="s">
        <v>72</v>
      </c>
      <c r="D11737" s="230">
        <v>-4185.37</v>
      </c>
      <c r="E11737" t="s">
        <v>458</v>
      </c>
    </row>
    <row r="11738" spans="1:5" hidden="1" x14ac:dyDescent="0.3">
      <c r="A11738" t="s">
        <v>557</v>
      </c>
      <c r="B11738" t="s">
        <v>754</v>
      </c>
      <c r="C11738" t="s">
        <v>73</v>
      </c>
      <c r="D11738" s="230">
        <v>-2000</v>
      </c>
      <c r="E11738" t="s">
        <v>458</v>
      </c>
    </row>
    <row r="11739" spans="1:5" hidden="1" x14ac:dyDescent="0.3">
      <c r="A11739" t="s">
        <v>557</v>
      </c>
      <c r="B11739" t="s">
        <v>754</v>
      </c>
      <c r="C11739" t="s">
        <v>75</v>
      </c>
      <c r="D11739" s="230">
        <v>-2185.37</v>
      </c>
      <c r="E11739" t="s">
        <v>458</v>
      </c>
    </row>
    <row r="11740" spans="1:5" hidden="1" x14ac:dyDescent="0.3">
      <c r="A11740" t="s">
        <v>557</v>
      </c>
      <c r="B11740" t="s">
        <v>754</v>
      </c>
      <c r="C11740" t="s">
        <v>77</v>
      </c>
      <c r="D11740" s="230">
        <v>0</v>
      </c>
      <c r="E11740" t="s">
        <v>458</v>
      </c>
    </row>
    <row r="11741" spans="1:5" hidden="1" x14ac:dyDescent="0.3">
      <c r="A11741" t="s">
        <v>557</v>
      </c>
      <c r="B11741" t="s">
        <v>754</v>
      </c>
      <c r="C11741" t="s">
        <v>78</v>
      </c>
      <c r="D11741" s="230">
        <v>0</v>
      </c>
      <c r="E11741" t="s">
        <v>458</v>
      </c>
    </row>
    <row r="11742" spans="1:5" hidden="1" x14ac:dyDescent="0.3">
      <c r="A11742" t="s">
        <v>557</v>
      </c>
      <c r="B11742" t="s">
        <v>754</v>
      </c>
      <c r="C11742" t="s">
        <v>80</v>
      </c>
      <c r="D11742" s="230">
        <v>0</v>
      </c>
      <c r="E11742" t="s">
        <v>458</v>
      </c>
    </row>
    <row r="11743" spans="1:5" hidden="1" x14ac:dyDescent="0.3">
      <c r="A11743" t="s">
        <v>557</v>
      </c>
      <c r="B11743" t="s">
        <v>754</v>
      </c>
      <c r="C11743" t="s">
        <v>82</v>
      </c>
      <c r="D11743" s="230">
        <v>0</v>
      </c>
      <c r="E11743" t="s">
        <v>458</v>
      </c>
    </row>
    <row r="11744" spans="1:5" hidden="1" x14ac:dyDescent="0.3">
      <c r="A11744" t="s">
        <v>557</v>
      </c>
      <c r="B11744" t="s">
        <v>754</v>
      </c>
      <c r="C11744" t="s">
        <v>84</v>
      </c>
      <c r="D11744" s="230">
        <v>0</v>
      </c>
      <c r="E11744" t="s">
        <v>458</v>
      </c>
    </row>
    <row r="11745" spans="1:5" hidden="1" x14ac:dyDescent="0.3">
      <c r="A11745" t="s">
        <v>557</v>
      </c>
      <c r="B11745" t="s">
        <v>754</v>
      </c>
      <c r="C11745" t="s">
        <v>85</v>
      </c>
      <c r="D11745" s="230">
        <v>0</v>
      </c>
      <c r="E11745" t="s">
        <v>458</v>
      </c>
    </row>
    <row r="11746" spans="1:5" hidden="1" x14ac:dyDescent="0.3">
      <c r="A11746" t="s">
        <v>557</v>
      </c>
      <c r="B11746" t="s">
        <v>754</v>
      </c>
      <c r="C11746" t="s">
        <v>86</v>
      </c>
      <c r="D11746" s="230">
        <v>0</v>
      </c>
      <c r="E11746" t="s">
        <v>458</v>
      </c>
    </row>
    <row r="11747" spans="1:5" hidden="1" x14ac:dyDescent="0.3">
      <c r="A11747" t="s">
        <v>557</v>
      </c>
      <c r="B11747" t="s">
        <v>754</v>
      </c>
      <c r="C11747" t="s">
        <v>87</v>
      </c>
      <c r="D11747" s="230">
        <v>0</v>
      </c>
      <c r="E11747" t="s">
        <v>458</v>
      </c>
    </row>
    <row r="11748" spans="1:5" hidden="1" x14ac:dyDescent="0.3">
      <c r="A11748" t="s">
        <v>557</v>
      </c>
      <c r="B11748" t="s">
        <v>754</v>
      </c>
      <c r="C11748" t="s">
        <v>88</v>
      </c>
      <c r="D11748" s="230">
        <v>0</v>
      </c>
      <c r="E11748" t="s">
        <v>458</v>
      </c>
    </row>
    <row r="11749" spans="1:5" hidden="1" x14ac:dyDescent="0.3">
      <c r="A11749" t="s">
        <v>557</v>
      </c>
      <c r="B11749" t="s">
        <v>754</v>
      </c>
      <c r="C11749" t="s">
        <v>89</v>
      </c>
      <c r="D11749" s="230">
        <v>0</v>
      </c>
      <c r="E11749" t="s">
        <v>458</v>
      </c>
    </row>
    <row r="11750" spans="1:5" hidden="1" x14ac:dyDescent="0.3">
      <c r="A11750" t="s">
        <v>557</v>
      </c>
      <c r="B11750" t="s">
        <v>754</v>
      </c>
      <c r="C11750" t="s">
        <v>90</v>
      </c>
      <c r="D11750" s="230">
        <v>0</v>
      </c>
      <c r="E11750" t="s">
        <v>458</v>
      </c>
    </row>
    <row r="11751" spans="1:5" hidden="1" x14ac:dyDescent="0.3">
      <c r="A11751" t="s">
        <v>557</v>
      </c>
      <c r="B11751" t="s">
        <v>754</v>
      </c>
      <c r="C11751" t="s">
        <v>91</v>
      </c>
      <c r="D11751" s="230">
        <v>0</v>
      </c>
      <c r="E11751" t="s">
        <v>458</v>
      </c>
    </row>
    <row r="11752" spans="1:5" hidden="1" x14ac:dyDescent="0.3">
      <c r="A11752" t="s">
        <v>557</v>
      </c>
      <c r="B11752" t="s">
        <v>754</v>
      </c>
      <c r="C11752" t="s">
        <v>93</v>
      </c>
      <c r="D11752" s="230">
        <v>0</v>
      </c>
      <c r="E11752" t="s">
        <v>458</v>
      </c>
    </row>
    <row r="11753" spans="1:5" hidden="1" x14ac:dyDescent="0.3">
      <c r="A11753" t="s">
        <v>557</v>
      </c>
      <c r="B11753" t="s">
        <v>754</v>
      </c>
      <c r="C11753" t="s">
        <v>95</v>
      </c>
      <c r="D11753" s="230">
        <v>0</v>
      </c>
      <c r="E11753" t="s">
        <v>458</v>
      </c>
    </row>
    <row r="11754" spans="1:5" hidden="1" x14ac:dyDescent="0.3">
      <c r="A11754" t="s">
        <v>557</v>
      </c>
      <c r="B11754" t="s">
        <v>754</v>
      </c>
      <c r="C11754" t="s">
        <v>96</v>
      </c>
      <c r="D11754" s="230">
        <v>0</v>
      </c>
      <c r="E11754" t="s">
        <v>458</v>
      </c>
    </row>
    <row r="11755" spans="1:5" hidden="1" x14ac:dyDescent="0.3">
      <c r="A11755" t="s">
        <v>557</v>
      </c>
      <c r="B11755" t="s">
        <v>754</v>
      </c>
      <c r="C11755" t="s">
        <v>98</v>
      </c>
      <c r="D11755" s="230">
        <v>0</v>
      </c>
      <c r="E11755" t="s">
        <v>458</v>
      </c>
    </row>
    <row r="11756" spans="1:5" hidden="1" x14ac:dyDescent="0.3">
      <c r="A11756" t="s">
        <v>557</v>
      </c>
      <c r="B11756" t="s">
        <v>754</v>
      </c>
      <c r="C11756" t="s">
        <v>100</v>
      </c>
      <c r="D11756" s="230">
        <v>0</v>
      </c>
      <c r="E11756" t="s">
        <v>458</v>
      </c>
    </row>
    <row r="11757" spans="1:5" hidden="1" x14ac:dyDescent="0.3">
      <c r="A11757" t="s">
        <v>557</v>
      </c>
      <c r="B11757" t="s">
        <v>754</v>
      </c>
      <c r="C11757" t="s">
        <v>101</v>
      </c>
      <c r="D11757" s="230">
        <v>0</v>
      </c>
      <c r="E11757" t="s">
        <v>458</v>
      </c>
    </row>
    <row r="11758" spans="1:5" hidden="1" x14ac:dyDescent="0.3">
      <c r="A11758" t="s">
        <v>557</v>
      </c>
      <c r="B11758" t="s">
        <v>754</v>
      </c>
      <c r="C11758" t="s">
        <v>102</v>
      </c>
      <c r="D11758" s="230">
        <v>0</v>
      </c>
      <c r="E11758" t="s">
        <v>458</v>
      </c>
    </row>
    <row r="11759" spans="1:5" hidden="1" x14ac:dyDescent="0.3">
      <c r="A11759" t="s">
        <v>557</v>
      </c>
      <c r="B11759" t="s">
        <v>754</v>
      </c>
      <c r="C11759" t="s">
        <v>103</v>
      </c>
      <c r="D11759" s="230">
        <v>0</v>
      </c>
      <c r="E11759" t="s">
        <v>458</v>
      </c>
    </row>
    <row r="11760" spans="1:5" hidden="1" x14ac:dyDescent="0.3">
      <c r="A11760" t="s">
        <v>557</v>
      </c>
      <c r="B11760" t="s">
        <v>754</v>
      </c>
      <c r="C11760" t="s">
        <v>104</v>
      </c>
      <c r="D11760" s="230">
        <v>0</v>
      </c>
      <c r="E11760" t="s">
        <v>458</v>
      </c>
    </row>
    <row r="11761" spans="1:5" hidden="1" x14ac:dyDescent="0.3">
      <c r="A11761" t="s">
        <v>557</v>
      </c>
      <c r="B11761" t="s">
        <v>754</v>
      </c>
      <c r="C11761" t="s">
        <v>105</v>
      </c>
      <c r="D11761" s="230">
        <v>0</v>
      </c>
      <c r="E11761" t="s">
        <v>458</v>
      </c>
    </row>
    <row r="11762" spans="1:5" hidden="1" x14ac:dyDescent="0.3">
      <c r="A11762" t="s">
        <v>557</v>
      </c>
      <c r="B11762" t="s">
        <v>754</v>
      </c>
      <c r="C11762" t="s">
        <v>107</v>
      </c>
      <c r="D11762" s="230">
        <v>0</v>
      </c>
      <c r="E11762" t="s">
        <v>458</v>
      </c>
    </row>
    <row r="11763" spans="1:5" hidden="1" x14ac:dyDescent="0.3">
      <c r="A11763" t="s">
        <v>557</v>
      </c>
      <c r="B11763" t="s">
        <v>754</v>
      </c>
      <c r="C11763" t="s">
        <v>108</v>
      </c>
      <c r="D11763" s="230">
        <v>0</v>
      </c>
      <c r="E11763" t="s">
        <v>458</v>
      </c>
    </row>
    <row r="11764" spans="1:5" hidden="1" x14ac:dyDescent="0.3">
      <c r="A11764" t="s">
        <v>557</v>
      </c>
      <c r="B11764" t="s">
        <v>754</v>
      </c>
      <c r="C11764" t="s">
        <v>109</v>
      </c>
      <c r="D11764" s="230">
        <v>0</v>
      </c>
      <c r="E11764" t="s">
        <v>458</v>
      </c>
    </row>
    <row r="11765" spans="1:5" hidden="1" x14ac:dyDescent="0.3">
      <c r="A11765" t="s">
        <v>557</v>
      </c>
      <c r="B11765" t="s">
        <v>754</v>
      </c>
      <c r="C11765" t="s">
        <v>110</v>
      </c>
      <c r="D11765" s="230">
        <v>-0.01</v>
      </c>
      <c r="E11765" t="s">
        <v>458</v>
      </c>
    </row>
    <row r="11766" spans="1:5" hidden="1" x14ac:dyDescent="0.3">
      <c r="A11766" t="s">
        <v>557</v>
      </c>
      <c r="B11766" t="s">
        <v>754</v>
      </c>
      <c r="C11766" t="s">
        <v>44</v>
      </c>
      <c r="D11766" s="230">
        <v>-0.01</v>
      </c>
      <c r="E11766" t="s">
        <v>458</v>
      </c>
    </row>
    <row r="11767" spans="1:5" hidden="1" x14ac:dyDescent="0.3">
      <c r="A11767" t="s">
        <v>557</v>
      </c>
      <c r="B11767" t="s">
        <v>754</v>
      </c>
      <c r="C11767" t="s">
        <v>111</v>
      </c>
      <c r="D11767" s="230">
        <v>-73970</v>
      </c>
      <c r="E11767" t="s">
        <v>458</v>
      </c>
    </row>
    <row r="11768" spans="1:5" hidden="1" x14ac:dyDescent="0.3">
      <c r="A11768" t="s">
        <v>557</v>
      </c>
      <c r="B11768" t="s">
        <v>754</v>
      </c>
      <c r="C11768" t="s">
        <v>608</v>
      </c>
      <c r="D11768" s="230">
        <v>-73970</v>
      </c>
      <c r="E11768" t="s">
        <v>458</v>
      </c>
    </row>
    <row r="11769" spans="1:5" hidden="1" x14ac:dyDescent="0.3">
      <c r="A11769" t="s">
        <v>557</v>
      </c>
      <c r="B11769" t="s">
        <v>754</v>
      </c>
      <c r="C11769" t="s">
        <v>44</v>
      </c>
      <c r="D11769" s="230">
        <v>-0.09</v>
      </c>
      <c r="E11769" t="s">
        <v>458</v>
      </c>
    </row>
    <row r="11770" spans="1:5" hidden="1" x14ac:dyDescent="0.3">
      <c r="A11770" t="s">
        <v>557</v>
      </c>
      <c r="B11770" t="s">
        <v>754</v>
      </c>
      <c r="C11770" t="s">
        <v>115</v>
      </c>
      <c r="D11770" s="230">
        <v>-16383.87</v>
      </c>
      <c r="E11770" t="s">
        <v>458</v>
      </c>
    </row>
    <row r="11771" spans="1:5" hidden="1" x14ac:dyDescent="0.3">
      <c r="A11771" t="s">
        <v>557</v>
      </c>
      <c r="B11771" t="s">
        <v>754</v>
      </c>
      <c r="C11771" t="s">
        <v>116</v>
      </c>
      <c r="D11771" s="230">
        <v>-7637.46</v>
      </c>
      <c r="E11771" t="s">
        <v>458</v>
      </c>
    </row>
    <row r="11772" spans="1:5" hidden="1" x14ac:dyDescent="0.3">
      <c r="A11772" t="s">
        <v>557</v>
      </c>
      <c r="B11772" t="s">
        <v>754</v>
      </c>
      <c r="C11772" t="s">
        <v>118</v>
      </c>
      <c r="D11772" s="230">
        <v>-8746.41</v>
      </c>
      <c r="E11772" t="s">
        <v>458</v>
      </c>
    </row>
    <row r="11773" spans="1:5" hidden="1" x14ac:dyDescent="0.3">
      <c r="A11773" t="s">
        <v>557</v>
      </c>
      <c r="B11773" t="s">
        <v>754</v>
      </c>
      <c r="C11773" t="s">
        <v>120</v>
      </c>
      <c r="D11773" s="230">
        <v>0</v>
      </c>
      <c r="E11773" t="s">
        <v>458</v>
      </c>
    </row>
    <row r="11774" spans="1:5" hidden="1" x14ac:dyDescent="0.3">
      <c r="A11774" t="s">
        <v>557</v>
      </c>
      <c r="B11774" t="s">
        <v>754</v>
      </c>
      <c r="C11774" t="s">
        <v>122</v>
      </c>
      <c r="D11774" s="230">
        <v>0</v>
      </c>
      <c r="E11774" t="s">
        <v>458</v>
      </c>
    </row>
    <row r="11775" spans="1:5" hidden="1" x14ac:dyDescent="0.3">
      <c r="A11775" t="s">
        <v>557</v>
      </c>
      <c r="B11775" t="s">
        <v>754</v>
      </c>
      <c r="C11775" t="s">
        <v>44</v>
      </c>
      <c r="D11775" s="230">
        <v>-0.02</v>
      </c>
      <c r="E11775" t="s">
        <v>458</v>
      </c>
    </row>
    <row r="11776" spans="1:5" hidden="1" x14ac:dyDescent="0.3">
      <c r="A11776" t="s">
        <v>557</v>
      </c>
      <c r="B11776" t="s">
        <v>754</v>
      </c>
      <c r="C11776" t="s">
        <v>126</v>
      </c>
      <c r="D11776" s="230">
        <v>485523.49</v>
      </c>
      <c r="E11776" t="s">
        <v>458</v>
      </c>
    </row>
    <row r="11777" spans="1:5" hidden="1" x14ac:dyDescent="0.3">
      <c r="A11777" t="s">
        <v>557</v>
      </c>
      <c r="B11777" t="s">
        <v>754</v>
      </c>
      <c r="C11777" t="s">
        <v>127</v>
      </c>
      <c r="D11777" s="230">
        <v>0.62</v>
      </c>
      <c r="E11777" t="s">
        <v>458</v>
      </c>
    </row>
    <row r="11778" spans="1:5" hidden="1" x14ac:dyDescent="0.3">
      <c r="A11778" t="s">
        <v>557</v>
      </c>
      <c r="B11778" t="s">
        <v>754</v>
      </c>
      <c r="C11778" t="s">
        <v>128</v>
      </c>
      <c r="D11778" s="230">
        <v>-150774.44</v>
      </c>
      <c r="E11778" t="s">
        <v>458</v>
      </c>
    </row>
    <row r="11779" spans="1:5" hidden="1" x14ac:dyDescent="0.3">
      <c r="A11779" t="s">
        <v>557</v>
      </c>
      <c r="B11779" t="s">
        <v>754</v>
      </c>
      <c r="C11779" t="s">
        <v>129</v>
      </c>
      <c r="D11779" s="230">
        <v>-36791.620000000003</v>
      </c>
      <c r="E11779" t="s">
        <v>458</v>
      </c>
    </row>
    <row r="11780" spans="1:5" hidden="1" x14ac:dyDescent="0.3">
      <c r="A11780" t="s">
        <v>557</v>
      </c>
      <c r="B11780" t="s">
        <v>754</v>
      </c>
      <c r="C11780" t="s">
        <v>609</v>
      </c>
      <c r="D11780" s="230">
        <v>0</v>
      </c>
      <c r="E11780" t="s">
        <v>458</v>
      </c>
    </row>
    <row r="11781" spans="1:5" hidden="1" x14ac:dyDescent="0.3">
      <c r="A11781" t="s">
        <v>557</v>
      </c>
      <c r="B11781" t="s">
        <v>754</v>
      </c>
      <c r="C11781" t="s">
        <v>610</v>
      </c>
      <c r="D11781" s="230">
        <v>-17600</v>
      </c>
      <c r="E11781" t="s">
        <v>458</v>
      </c>
    </row>
    <row r="11782" spans="1:5" hidden="1" x14ac:dyDescent="0.3">
      <c r="A11782" t="s">
        <v>557</v>
      </c>
      <c r="B11782" t="s">
        <v>754</v>
      </c>
      <c r="C11782" t="s">
        <v>611</v>
      </c>
      <c r="D11782" s="230">
        <v>0</v>
      </c>
      <c r="E11782" t="s">
        <v>458</v>
      </c>
    </row>
    <row r="11783" spans="1:5" hidden="1" x14ac:dyDescent="0.3">
      <c r="A11783" t="s">
        <v>557</v>
      </c>
      <c r="B11783" t="s">
        <v>754</v>
      </c>
      <c r="C11783" t="s">
        <v>612</v>
      </c>
      <c r="D11783" s="230">
        <v>-4000</v>
      </c>
      <c r="E11783" t="s">
        <v>458</v>
      </c>
    </row>
    <row r="11784" spans="1:5" hidden="1" x14ac:dyDescent="0.3">
      <c r="A11784" t="s">
        <v>557</v>
      </c>
      <c r="B11784" t="s">
        <v>754</v>
      </c>
      <c r="C11784" t="s">
        <v>613</v>
      </c>
      <c r="D11784" s="230">
        <v>-4024.97</v>
      </c>
      <c r="E11784" t="s">
        <v>458</v>
      </c>
    </row>
    <row r="11785" spans="1:5" hidden="1" x14ac:dyDescent="0.3">
      <c r="A11785" t="s">
        <v>557</v>
      </c>
      <c r="B11785" t="s">
        <v>754</v>
      </c>
      <c r="C11785" t="s">
        <v>614</v>
      </c>
      <c r="D11785" s="230">
        <v>-6500</v>
      </c>
      <c r="E11785" t="s">
        <v>458</v>
      </c>
    </row>
    <row r="11786" spans="1:5" hidden="1" x14ac:dyDescent="0.3">
      <c r="A11786" t="s">
        <v>557</v>
      </c>
      <c r="B11786" t="s">
        <v>754</v>
      </c>
      <c r="C11786" t="s">
        <v>615</v>
      </c>
      <c r="D11786" s="230">
        <v>0</v>
      </c>
      <c r="E11786" t="s">
        <v>458</v>
      </c>
    </row>
    <row r="11787" spans="1:5" hidden="1" x14ac:dyDescent="0.3">
      <c r="A11787" t="s">
        <v>557</v>
      </c>
      <c r="B11787" t="s">
        <v>754</v>
      </c>
      <c r="C11787" t="s">
        <v>616</v>
      </c>
      <c r="D11787" s="230">
        <v>-4666.6499999999996</v>
      </c>
      <c r="E11787" t="s">
        <v>458</v>
      </c>
    </row>
    <row r="11788" spans="1:5" hidden="1" x14ac:dyDescent="0.3">
      <c r="A11788" t="s">
        <v>557</v>
      </c>
      <c r="B11788" t="s">
        <v>754</v>
      </c>
      <c r="C11788" t="s">
        <v>617</v>
      </c>
      <c r="D11788" s="230">
        <v>0</v>
      </c>
      <c r="E11788" t="s">
        <v>458</v>
      </c>
    </row>
    <row r="11789" spans="1:5" hidden="1" x14ac:dyDescent="0.3">
      <c r="A11789" t="s">
        <v>557</v>
      </c>
      <c r="B11789" t="s">
        <v>754</v>
      </c>
      <c r="C11789" t="s">
        <v>618</v>
      </c>
      <c r="D11789" s="230">
        <v>0</v>
      </c>
      <c r="E11789" t="s">
        <v>458</v>
      </c>
    </row>
    <row r="11790" spans="1:5" hidden="1" x14ac:dyDescent="0.3">
      <c r="A11790" t="s">
        <v>557</v>
      </c>
      <c r="B11790" t="s">
        <v>754</v>
      </c>
      <c r="C11790" t="s">
        <v>619</v>
      </c>
      <c r="D11790" s="230">
        <v>0</v>
      </c>
      <c r="E11790" t="s">
        <v>458</v>
      </c>
    </row>
    <row r="11791" spans="1:5" hidden="1" x14ac:dyDescent="0.3">
      <c r="A11791" t="s">
        <v>557</v>
      </c>
      <c r="B11791" t="s">
        <v>754</v>
      </c>
      <c r="C11791" t="s">
        <v>620</v>
      </c>
      <c r="D11791" s="230">
        <v>0</v>
      </c>
      <c r="E11791" t="s">
        <v>458</v>
      </c>
    </row>
    <row r="11792" spans="1:5" hidden="1" x14ac:dyDescent="0.3">
      <c r="A11792" t="s">
        <v>557</v>
      </c>
      <c r="B11792" t="s">
        <v>754</v>
      </c>
      <c r="C11792" t="s">
        <v>575</v>
      </c>
      <c r="D11792" s="230">
        <v>-30465</v>
      </c>
      <c r="E11792" t="s">
        <v>458</v>
      </c>
    </row>
    <row r="11793" spans="1:5" hidden="1" x14ac:dyDescent="0.3">
      <c r="A11793" t="s">
        <v>557</v>
      </c>
      <c r="B11793" t="s">
        <v>754</v>
      </c>
      <c r="C11793" t="s">
        <v>621</v>
      </c>
      <c r="D11793" s="230">
        <v>0</v>
      </c>
      <c r="E11793" t="s">
        <v>458</v>
      </c>
    </row>
    <row r="11794" spans="1:5" hidden="1" x14ac:dyDescent="0.3">
      <c r="A11794" t="s">
        <v>557</v>
      </c>
      <c r="B11794" t="s">
        <v>754</v>
      </c>
      <c r="C11794" t="s">
        <v>622</v>
      </c>
      <c r="D11794" s="230">
        <v>0</v>
      </c>
      <c r="E11794" t="s">
        <v>458</v>
      </c>
    </row>
    <row r="11795" spans="1:5" hidden="1" x14ac:dyDescent="0.3">
      <c r="A11795" t="s">
        <v>557</v>
      </c>
      <c r="B11795" t="s">
        <v>754</v>
      </c>
      <c r="C11795" t="s">
        <v>623</v>
      </c>
      <c r="D11795" s="230">
        <v>0</v>
      </c>
      <c r="E11795" t="s">
        <v>458</v>
      </c>
    </row>
    <row r="11796" spans="1:5" hidden="1" x14ac:dyDescent="0.3">
      <c r="A11796" t="s">
        <v>557</v>
      </c>
      <c r="B11796" t="s">
        <v>754</v>
      </c>
      <c r="C11796" t="s">
        <v>624</v>
      </c>
      <c r="D11796" s="230">
        <v>0</v>
      </c>
      <c r="E11796" t="s">
        <v>458</v>
      </c>
    </row>
    <row r="11797" spans="1:5" hidden="1" x14ac:dyDescent="0.3">
      <c r="A11797" t="s">
        <v>557</v>
      </c>
      <c r="B11797" t="s">
        <v>754</v>
      </c>
      <c r="C11797" t="s">
        <v>625</v>
      </c>
      <c r="D11797" s="230">
        <v>0</v>
      </c>
      <c r="E11797" t="s">
        <v>458</v>
      </c>
    </row>
    <row r="11798" spans="1:5" hidden="1" x14ac:dyDescent="0.3">
      <c r="A11798" t="s">
        <v>557</v>
      </c>
      <c r="B11798" t="s">
        <v>754</v>
      </c>
      <c r="C11798" t="s">
        <v>626</v>
      </c>
      <c r="D11798" s="230">
        <v>0</v>
      </c>
      <c r="E11798" t="s">
        <v>458</v>
      </c>
    </row>
    <row r="11799" spans="1:5" hidden="1" x14ac:dyDescent="0.3">
      <c r="A11799" t="s">
        <v>557</v>
      </c>
      <c r="B11799" t="s">
        <v>754</v>
      </c>
      <c r="C11799" t="s">
        <v>627</v>
      </c>
      <c r="D11799" s="230">
        <v>0</v>
      </c>
      <c r="E11799" t="s">
        <v>458</v>
      </c>
    </row>
    <row r="11800" spans="1:5" hidden="1" x14ac:dyDescent="0.3">
      <c r="A11800" t="s">
        <v>557</v>
      </c>
      <c r="B11800" t="s">
        <v>754</v>
      </c>
      <c r="C11800" t="s">
        <v>628</v>
      </c>
      <c r="D11800" s="230">
        <v>0</v>
      </c>
      <c r="E11800" t="s">
        <v>458</v>
      </c>
    </row>
    <row r="11801" spans="1:5" hidden="1" x14ac:dyDescent="0.3">
      <c r="A11801" t="s">
        <v>557</v>
      </c>
      <c r="B11801" t="s">
        <v>754</v>
      </c>
      <c r="C11801" t="s">
        <v>629</v>
      </c>
      <c r="D11801" s="230">
        <v>0</v>
      </c>
      <c r="E11801" t="s">
        <v>458</v>
      </c>
    </row>
    <row r="11802" spans="1:5" hidden="1" x14ac:dyDescent="0.3">
      <c r="A11802" t="s">
        <v>557</v>
      </c>
      <c r="B11802" t="s">
        <v>754</v>
      </c>
      <c r="C11802" t="s">
        <v>630</v>
      </c>
      <c r="D11802" s="230">
        <v>0</v>
      </c>
      <c r="E11802" t="s">
        <v>458</v>
      </c>
    </row>
    <row r="11803" spans="1:5" hidden="1" x14ac:dyDescent="0.3">
      <c r="A11803" t="s">
        <v>557</v>
      </c>
      <c r="B11803" t="s">
        <v>754</v>
      </c>
      <c r="C11803" t="s">
        <v>631</v>
      </c>
      <c r="D11803" s="230">
        <v>0</v>
      </c>
      <c r="E11803" t="s">
        <v>458</v>
      </c>
    </row>
    <row r="11804" spans="1:5" hidden="1" x14ac:dyDescent="0.3">
      <c r="A11804" t="s">
        <v>557</v>
      </c>
      <c r="B11804" t="s">
        <v>754</v>
      </c>
      <c r="C11804" t="s">
        <v>632</v>
      </c>
      <c r="D11804" s="230">
        <v>0</v>
      </c>
      <c r="E11804" t="s">
        <v>458</v>
      </c>
    </row>
    <row r="11805" spans="1:5" hidden="1" x14ac:dyDescent="0.3">
      <c r="A11805" t="s">
        <v>557</v>
      </c>
      <c r="B11805" t="s">
        <v>754</v>
      </c>
      <c r="C11805" t="s">
        <v>633</v>
      </c>
      <c r="D11805" s="230">
        <v>0</v>
      </c>
      <c r="E11805" t="s">
        <v>458</v>
      </c>
    </row>
    <row r="11806" spans="1:5" hidden="1" x14ac:dyDescent="0.3">
      <c r="A11806" t="s">
        <v>557</v>
      </c>
      <c r="B11806" t="s">
        <v>754</v>
      </c>
      <c r="C11806" t="s">
        <v>634</v>
      </c>
      <c r="D11806" s="230">
        <v>0</v>
      </c>
      <c r="E11806" t="s">
        <v>458</v>
      </c>
    </row>
    <row r="11807" spans="1:5" hidden="1" x14ac:dyDescent="0.3">
      <c r="A11807" t="s">
        <v>557</v>
      </c>
      <c r="B11807" t="s">
        <v>754</v>
      </c>
      <c r="C11807" t="s">
        <v>635</v>
      </c>
      <c r="D11807" s="230">
        <v>0</v>
      </c>
      <c r="E11807" t="s">
        <v>458</v>
      </c>
    </row>
    <row r="11808" spans="1:5" hidden="1" x14ac:dyDescent="0.3">
      <c r="A11808" t="s">
        <v>557</v>
      </c>
      <c r="B11808" t="s">
        <v>754</v>
      </c>
      <c r="C11808" t="s">
        <v>636</v>
      </c>
      <c r="D11808" s="230">
        <v>0</v>
      </c>
      <c r="E11808" t="s">
        <v>458</v>
      </c>
    </row>
    <row r="11809" spans="1:5" hidden="1" x14ac:dyDescent="0.3">
      <c r="A11809" t="s">
        <v>557</v>
      </c>
      <c r="B11809" t="s">
        <v>754</v>
      </c>
      <c r="C11809" t="s">
        <v>637</v>
      </c>
      <c r="D11809" s="230">
        <v>0</v>
      </c>
      <c r="E11809" t="s">
        <v>458</v>
      </c>
    </row>
    <row r="11810" spans="1:5" hidden="1" x14ac:dyDescent="0.3">
      <c r="A11810" t="s">
        <v>557</v>
      </c>
      <c r="B11810" t="s">
        <v>754</v>
      </c>
      <c r="C11810" t="s">
        <v>638</v>
      </c>
      <c r="D11810" s="230">
        <v>0</v>
      </c>
      <c r="E11810" t="s">
        <v>458</v>
      </c>
    </row>
    <row r="11811" spans="1:5" hidden="1" x14ac:dyDescent="0.3">
      <c r="A11811" t="s">
        <v>557</v>
      </c>
      <c r="B11811" t="s">
        <v>754</v>
      </c>
      <c r="C11811" t="s">
        <v>639</v>
      </c>
      <c r="D11811" s="230">
        <v>0</v>
      </c>
      <c r="E11811" t="s">
        <v>458</v>
      </c>
    </row>
    <row r="11812" spans="1:5" hidden="1" x14ac:dyDescent="0.3">
      <c r="A11812" t="s">
        <v>557</v>
      </c>
      <c r="B11812" t="s">
        <v>754</v>
      </c>
      <c r="C11812" t="s">
        <v>640</v>
      </c>
      <c r="D11812" s="230">
        <v>0</v>
      </c>
      <c r="E11812" t="s">
        <v>458</v>
      </c>
    </row>
    <row r="11813" spans="1:5" hidden="1" x14ac:dyDescent="0.3">
      <c r="A11813" t="s">
        <v>557</v>
      </c>
      <c r="B11813" t="s">
        <v>754</v>
      </c>
      <c r="C11813" t="s">
        <v>641</v>
      </c>
      <c r="D11813" s="230">
        <v>0</v>
      </c>
      <c r="E11813" t="s">
        <v>458</v>
      </c>
    </row>
    <row r="11814" spans="1:5" hidden="1" x14ac:dyDescent="0.3">
      <c r="A11814" t="s">
        <v>557</v>
      </c>
      <c r="B11814" t="s">
        <v>754</v>
      </c>
      <c r="C11814" t="s">
        <v>642</v>
      </c>
      <c r="D11814" s="230">
        <v>0</v>
      </c>
      <c r="E11814" t="s">
        <v>458</v>
      </c>
    </row>
    <row r="11815" spans="1:5" hidden="1" x14ac:dyDescent="0.3">
      <c r="A11815" t="s">
        <v>557</v>
      </c>
      <c r="B11815" t="s">
        <v>754</v>
      </c>
      <c r="C11815" t="s">
        <v>643</v>
      </c>
      <c r="D11815" s="230">
        <v>0</v>
      </c>
      <c r="E11815" t="s">
        <v>458</v>
      </c>
    </row>
    <row r="11816" spans="1:5" hidden="1" x14ac:dyDescent="0.3">
      <c r="A11816" t="s">
        <v>557</v>
      </c>
      <c r="B11816" t="s">
        <v>754</v>
      </c>
      <c r="C11816" t="s">
        <v>644</v>
      </c>
      <c r="D11816" s="230">
        <v>0</v>
      </c>
      <c r="E11816" t="s">
        <v>458</v>
      </c>
    </row>
    <row r="11817" spans="1:5" hidden="1" x14ac:dyDescent="0.3">
      <c r="A11817" t="s">
        <v>557</v>
      </c>
      <c r="B11817" t="s">
        <v>754</v>
      </c>
      <c r="C11817" t="s">
        <v>645</v>
      </c>
      <c r="D11817" s="230">
        <v>0</v>
      </c>
      <c r="E11817" t="s">
        <v>458</v>
      </c>
    </row>
    <row r="11818" spans="1:5" hidden="1" x14ac:dyDescent="0.3">
      <c r="A11818" t="s">
        <v>557</v>
      </c>
      <c r="B11818" t="s">
        <v>754</v>
      </c>
      <c r="C11818" t="s">
        <v>646</v>
      </c>
      <c r="D11818" s="230">
        <v>0</v>
      </c>
      <c r="E11818" t="s">
        <v>458</v>
      </c>
    </row>
    <row r="11819" spans="1:5" hidden="1" x14ac:dyDescent="0.3">
      <c r="A11819" t="s">
        <v>557</v>
      </c>
      <c r="B11819" t="s">
        <v>754</v>
      </c>
      <c r="C11819" t="s">
        <v>647</v>
      </c>
      <c r="D11819" s="230">
        <v>0</v>
      </c>
      <c r="E11819" t="s">
        <v>458</v>
      </c>
    </row>
    <row r="11820" spans="1:5" hidden="1" x14ac:dyDescent="0.3">
      <c r="A11820" t="s">
        <v>557</v>
      </c>
      <c r="B11820" t="s">
        <v>754</v>
      </c>
      <c r="C11820" t="s">
        <v>648</v>
      </c>
      <c r="D11820" s="230">
        <v>0</v>
      </c>
      <c r="E11820" t="s">
        <v>458</v>
      </c>
    </row>
    <row r="11821" spans="1:5" hidden="1" x14ac:dyDescent="0.3">
      <c r="A11821" t="s">
        <v>557</v>
      </c>
      <c r="B11821" t="s">
        <v>754</v>
      </c>
      <c r="C11821" t="s">
        <v>649</v>
      </c>
      <c r="D11821" s="230">
        <v>0</v>
      </c>
      <c r="E11821" t="s">
        <v>458</v>
      </c>
    </row>
    <row r="11822" spans="1:5" hidden="1" x14ac:dyDescent="0.3">
      <c r="A11822" t="s">
        <v>557</v>
      </c>
      <c r="B11822" t="s">
        <v>754</v>
      </c>
      <c r="C11822" t="s">
        <v>650</v>
      </c>
      <c r="D11822" s="230">
        <v>0</v>
      </c>
      <c r="E11822" t="s">
        <v>458</v>
      </c>
    </row>
    <row r="11823" spans="1:5" hidden="1" x14ac:dyDescent="0.3">
      <c r="A11823" t="s">
        <v>557</v>
      </c>
      <c r="B11823" t="s">
        <v>754</v>
      </c>
      <c r="C11823" t="s">
        <v>651</v>
      </c>
      <c r="D11823" s="230">
        <v>0</v>
      </c>
      <c r="E11823" t="s">
        <v>458</v>
      </c>
    </row>
    <row r="11824" spans="1:5" hidden="1" x14ac:dyDescent="0.3">
      <c r="A11824" t="s">
        <v>557</v>
      </c>
      <c r="B11824" t="s">
        <v>754</v>
      </c>
      <c r="C11824" t="s">
        <v>652</v>
      </c>
      <c r="D11824" s="230">
        <v>0</v>
      </c>
      <c r="E11824" t="s">
        <v>458</v>
      </c>
    </row>
    <row r="11825" spans="1:5" hidden="1" x14ac:dyDescent="0.3">
      <c r="A11825" t="s">
        <v>557</v>
      </c>
      <c r="B11825" t="s">
        <v>754</v>
      </c>
      <c r="C11825" t="s">
        <v>653</v>
      </c>
      <c r="D11825" s="230">
        <v>0</v>
      </c>
      <c r="E11825" t="s">
        <v>458</v>
      </c>
    </row>
    <row r="11826" spans="1:5" hidden="1" x14ac:dyDescent="0.3">
      <c r="A11826" t="s">
        <v>557</v>
      </c>
      <c r="B11826" t="s">
        <v>754</v>
      </c>
      <c r="C11826" t="s">
        <v>654</v>
      </c>
      <c r="D11826" s="230">
        <v>0</v>
      </c>
      <c r="E11826" t="s">
        <v>458</v>
      </c>
    </row>
    <row r="11827" spans="1:5" hidden="1" x14ac:dyDescent="0.3">
      <c r="A11827" t="s">
        <v>557</v>
      </c>
      <c r="B11827" t="s">
        <v>754</v>
      </c>
      <c r="C11827" t="s">
        <v>655</v>
      </c>
      <c r="D11827" s="230">
        <v>0</v>
      </c>
      <c r="E11827" t="s">
        <v>458</v>
      </c>
    </row>
    <row r="11828" spans="1:5" hidden="1" x14ac:dyDescent="0.3">
      <c r="A11828" t="s">
        <v>557</v>
      </c>
      <c r="B11828" t="s">
        <v>754</v>
      </c>
      <c r="C11828" t="s">
        <v>656</v>
      </c>
      <c r="D11828" s="230">
        <v>0</v>
      </c>
      <c r="E11828" t="s">
        <v>458</v>
      </c>
    </row>
    <row r="11829" spans="1:5" hidden="1" x14ac:dyDescent="0.3">
      <c r="A11829" t="s">
        <v>557</v>
      </c>
      <c r="B11829" t="s">
        <v>754</v>
      </c>
      <c r="C11829" t="s">
        <v>657</v>
      </c>
      <c r="D11829" s="230">
        <v>0</v>
      </c>
      <c r="E11829" t="s">
        <v>458</v>
      </c>
    </row>
    <row r="11830" spans="1:5" hidden="1" x14ac:dyDescent="0.3">
      <c r="A11830" t="s">
        <v>557</v>
      </c>
      <c r="B11830" t="s">
        <v>754</v>
      </c>
      <c r="C11830" t="s">
        <v>658</v>
      </c>
      <c r="D11830" s="230">
        <v>0</v>
      </c>
      <c r="E11830" t="s">
        <v>458</v>
      </c>
    </row>
    <row r="11831" spans="1:5" hidden="1" x14ac:dyDescent="0.3">
      <c r="A11831" t="s">
        <v>557</v>
      </c>
      <c r="B11831" t="s">
        <v>754</v>
      </c>
      <c r="C11831" t="s">
        <v>659</v>
      </c>
      <c r="D11831" s="230">
        <v>0</v>
      </c>
      <c r="E11831" t="s">
        <v>458</v>
      </c>
    </row>
    <row r="11832" spans="1:5" hidden="1" x14ac:dyDescent="0.3">
      <c r="A11832" t="s">
        <v>557</v>
      </c>
      <c r="B11832" t="s">
        <v>754</v>
      </c>
      <c r="C11832" t="s">
        <v>660</v>
      </c>
      <c r="D11832" s="230">
        <v>0</v>
      </c>
      <c r="E11832" t="s">
        <v>458</v>
      </c>
    </row>
    <row r="11833" spans="1:5" hidden="1" x14ac:dyDescent="0.3">
      <c r="A11833" t="s">
        <v>557</v>
      </c>
      <c r="B11833" t="s">
        <v>754</v>
      </c>
      <c r="C11833" t="s">
        <v>661</v>
      </c>
      <c r="D11833" s="230">
        <v>0</v>
      </c>
      <c r="E11833" t="s">
        <v>458</v>
      </c>
    </row>
    <row r="11834" spans="1:5" hidden="1" x14ac:dyDescent="0.3">
      <c r="A11834" t="s">
        <v>557</v>
      </c>
      <c r="B11834" t="s">
        <v>754</v>
      </c>
      <c r="C11834" t="s">
        <v>662</v>
      </c>
      <c r="D11834" s="230">
        <v>0</v>
      </c>
      <c r="E11834" t="s">
        <v>458</v>
      </c>
    </row>
    <row r="11835" spans="1:5" hidden="1" x14ac:dyDescent="0.3">
      <c r="A11835" t="s">
        <v>557</v>
      </c>
      <c r="B11835" t="s">
        <v>754</v>
      </c>
      <c r="C11835" t="s">
        <v>663</v>
      </c>
      <c r="D11835" s="230">
        <v>0</v>
      </c>
      <c r="E11835" t="s">
        <v>458</v>
      </c>
    </row>
    <row r="11836" spans="1:5" hidden="1" x14ac:dyDescent="0.3">
      <c r="A11836" t="s">
        <v>557</v>
      </c>
      <c r="B11836" t="s">
        <v>754</v>
      </c>
      <c r="C11836" t="s">
        <v>664</v>
      </c>
      <c r="D11836" s="230">
        <v>0</v>
      </c>
      <c r="E11836" t="s">
        <v>458</v>
      </c>
    </row>
    <row r="11837" spans="1:5" hidden="1" x14ac:dyDescent="0.3">
      <c r="A11837" t="s">
        <v>557</v>
      </c>
      <c r="B11837" t="s">
        <v>754</v>
      </c>
      <c r="C11837" t="s">
        <v>665</v>
      </c>
      <c r="D11837" s="230">
        <v>0</v>
      </c>
      <c r="E11837" t="s">
        <v>458</v>
      </c>
    </row>
    <row r="11838" spans="1:5" hidden="1" x14ac:dyDescent="0.3">
      <c r="A11838" t="s">
        <v>557</v>
      </c>
      <c r="B11838" t="s">
        <v>754</v>
      </c>
      <c r="C11838" t="s">
        <v>666</v>
      </c>
      <c r="D11838" s="230">
        <v>0</v>
      </c>
      <c r="E11838" t="s">
        <v>458</v>
      </c>
    </row>
    <row r="11839" spans="1:5" hidden="1" x14ac:dyDescent="0.3">
      <c r="A11839" t="s">
        <v>557</v>
      </c>
      <c r="B11839" t="s">
        <v>754</v>
      </c>
      <c r="C11839" t="s">
        <v>667</v>
      </c>
      <c r="D11839" s="230">
        <v>0</v>
      </c>
      <c r="E11839" t="s">
        <v>458</v>
      </c>
    </row>
    <row r="11840" spans="1:5" hidden="1" x14ac:dyDescent="0.3">
      <c r="A11840" t="s">
        <v>557</v>
      </c>
      <c r="B11840" t="s">
        <v>754</v>
      </c>
      <c r="C11840" t="s">
        <v>668</v>
      </c>
      <c r="D11840" s="230">
        <v>0</v>
      </c>
      <c r="E11840" t="s">
        <v>458</v>
      </c>
    </row>
    <row r="11841" spans="1:5" hidden="1" x14ac:dyDescent="0.3">
      <c r="A11841" t="s">
        <v>557</v>
      </c>
      <c r="B11841" t="s">
        <v>754</v>
      </c>
      <c r="C11841" t="s">
        <v>669</v>
      </c>
      <c r="D11841" s="230">
        <v>0</v>
      </c>
      <c r="E11841" t="s">
        <v>458</v>
      </c>
    </row>
    <row r="11842" spans="1:5" hidden="1" x14ac:dyDescent="0.3">
      <c r="A11842" t="s">
        <v>557</v>
      </c>
      <c r="B11842" t="s">
        <v>754</v>
      </c>
      <c r="C11842" t="s">
        <v>670</v>
      </c>
      <c r="D11842" s="230">
        <v>0</v>
      </c>
      <c r="E11842" t="s">
        <v>458</v>
      </c>
    </row>
    <row r="11843" spans="1:5" hidden="1" x14ac:dyDescent="0.3">
      <c r="A11843" t="s">
        <v>557</v>
      </c>
      <c r="B11843" t="s">
        <v>754</v>
      </c>
      <c r="C11843" t="s">
        <v>671</v>
      </c>
      <c r="D11843" s="230">
        <v>0</v>
      </c>
      <c r="E11843" t="s">
        <v>458</v>
      </c>
    </row>
    <row r="11844" spans="1:5" hidden="1" x14ac:dyDescent="0.3">
      <c r="A11844" t="s">
        <v>557</v>
      </c>
      <c r="B11844" t="s">
        <v>754</v>
      </c>
      <c r="C11844" t="s">
        <v>672</v>
      </c>
      <c r="D11844" s="230">
        <v>0</v>
      </c>
      <c r="E11844" t="s">
        <v>458</v>
      </c>
    </row>
    <row r="11845" spans="1:5" hidden="1" x14ac:dyDescent="0.3">
      <c r="A11845" t="s">
        <v>557</v>
      </c>
      <c r="B11845" t="s">
        <v>754</v>
      </c>
      <c r="C11845" t="s">
        <v>673</v>
      </c>
      <c r="D11845" s="230">
        <v>0</v>
      </c>
      <c r="E11845" t="s">
        <v>458</v>
      </c>
    </row>
    <row r="11846" spans="1:5" hidden="1" x14ac:dyDescent="0.3">
      <c r="A11846" t="s">
        <v>557</v>
      </c>
      <c r="B11846" t="s">
        <v>754</v>
      </c>
      <c r="C11846" t="s">
        <v>674</v>
      </c>
      <c r="D11846" s="230">
        <v>0</v>
      </c>
      <c r="E11846" t="s">
        <v>458</v>
      </c>
    </row>
    <row r="11847" spans="1:5" hidden="1" x14ac:dyDescent="0.3">
      <c r="A11847" t="s">
        <v>557</v>
      </c>
      <c r="B11847" t="s">
        <v>754</v>
      </c>
      <c r="C11847" t="s">
        <v>675</v>
      </c>
      <c r="D11847" s="230">
        <v>0</v>
      </c>
      <c r="E11847" t="s">
        <v>458</v>
      </c>
    </row>
    <row r="11848" spans="1:5" hidden="1" x14ac:dyDescent="0.3">
      <c r="A11848" t="s">
        <v>557</v>
      </c>
      <c r="B11848" t="s">
        <v>754</v>
      </c>
      <c r="C11848" t="s">
        <v>676</v>
      </c>
      <c r="D11848" s="230">
        <v>0</v>
      </c>
      <c r="E11848" t="s">
        <v>458</v>
      </c>
    </row>
    <row r="11849" spans="1:5" hidden="1" x14ac:dyDescent="0.3">
      <c r="A11849" t="s">
        <v>557</v>
      </c>
      <c r="B11849" t="s">
        <v>754</v>
      </c>
      <c r="C11849" t="s">
        <v>677</v>
      </c>
      <c r="D11849" s="230">
        <v>0</v>
      </c>
      <c r="E11849" t="s">
        <v>458</v>
      </c>
    </row>
    <row r="11850" spans="1:5" hidden="1" x14ac:dyDescent="0.3">
      <c r="A11850" t="s">
        <v>557</v>
      </c>
      <c r="B11850" t="s">
        <v>754</v>
      </c>
      <c r="C11850" t="s">
        <v>201</v>
      </c>
      <c r="D11850" s="230">
        <v>-17787.46</v>
      </c>
      <c r="E11850" t="s">
        <v>458</v>
      </c>
    </row>
    <row r="11851" spans="1:5" hidden="1" x14ac:dyDescent="0.3">
      <c r="A11851" t="s">
        <v>557</v>
      </c>
      <c r="B11851" t="s">
        <v>754</v>
      </c>
      <c r="C11851" t="s">
        <v>203</v>
      </c>
      <c r="D11851" s="230">
        <v>-17787.46</v>
      </c>
      <c r="E11851" t="s">
        <v>458</v>
      </c>
    </row>
    <row r="11852" spans="1:5" hidden="1" x14ac:dyDescent="0.3">
      <c r="A11852" t="s">
        <v>557</v>
      </c>
      <c r="B11852" t="s">
        <v>754</v>
      </c>
      <c r="C11852" t="s">
        <v>678</v>
      </c>
      <c r="D11852" s="230">
        <v>8893.73</v>
      </c>
      <c r="E11852" t="s">
        <v>458</v>
      </c>
    </row>
    <row r="11853" spans="1:5" hidden="1" x14ac:dyDescent="0.3">
      <c r="A11853" t="s">
        <v>557</v>
      </c>
      <c r="B11853" t="s">
        <v>754</v>
      </c>
      <c r="C11853" t="s">
        <v>205</v>
      </c>
      <c r="D11853" s="230">
        <v>-34227.42</v>
      </c>
      <c r="E11853" t="s">
        <v>458</v>
      </c>
    </row>
    <row r="11854" spans="1:5" hidden="1" x14ac:dyDescent="0.3">
      <c r="A11854" t="s">
        <v>557</v>
      </c>
      <c r="B11854" t="s">
        <v>754</v>
      </c>
      <c r="C11854" t="s">
        <v>679</v>
      </c>
      <c r="D11854" s="230">
        <v>-9870.93</v>
      </c>
      <c r="E11854" t="s">
        <v>458</v>
      </c>
    </row>
    <row r="11855" spans="1:5" hidden="1" x14ac:dyDescent="0.3">
      <c r="A11855" t="s">
        <v>557</v>
      </c>
      <c r="B11855" t="s">
        <v>754</v>
      </c>
      <c r="C11855" t="s">
        <v>680</v>
      </c>
      <c r="D11855" s="230">
        <v>0</v>
      </c>
      <c r="E11855" t="s">
        <v>458</v>
      </c>
    </row>
    <row r="11856" spans="1:5" hidden="1" x14ac:dyDescent="0.3">
      <c r="A11856" t="s">
        <v>557</v>
      </c>
      <c r="B11856" t="s">
        <v>754</v>
      </c>
      <c r="C11856" t="s">
        <v>681</v>
      </c>
      <c r="D11856" s="230">
        <v>-10646.58</v>
      </c>
      <c r="E11856" t="s">
        <v>458</v>
      </c>
    </row>
    <row r="11857" spans="1:5" hidden="1" x14ac:dyDescent="0.3">
      <c r="A11857" t="s">
        <v>557</v>
      </c>
      <c r="B11857" t="s">
        <v>754</v>
      </c>
      <c r="C11857" t="s">
        <v>682</v>
      </c>
      <c r="D11857" s="230">
        <v>-7846.77</v>
      </c>
      <c r="E11857" t="s">
        <v>458</v>
      </c>
    </row>
    <row r="11858" spans="1:5" hidden="1" x14ac:dyDescent="0.3">
      <c r="A11858" t="s">
        <v>557</v>
      </c>
      <c r="B11858" t="s">
        <v>754</v>
      </c>
      <c r="C11858" t="s">
        <v>683</v>
      </c>
      <c r="D11858" s="230">
        <v>0</v>
      </c>
      <c r="E11858" t="s">
        <v>458</v>
      </c>
    </row>
    <row r="11859" spans="1:5" hidden="1" x14ac:dyDescent="0.3">
      <c r="A11859" t="s">
        <v>557</v>
      </c>
      <c r="B11859" t="s">
        <v>754</v>
      </c>
      <c r="C11859" t="s">
        <v>684</v>
      </c>
      <c r="D11859" s="230">
        <v>0</v>
      </c>
      <c r="E11859" t="s">
        <v>458</v>
      </c>
    </row>
    <row r="11860" spans="1:5" hidden="1" x14ac:dyDescent="0.3">
      <c r="A11860" t="s">
        <v>557</v>
      </c>
      <c r="B11860" t="s">
        <v>754</v>
      </c>
      <c r="C11860" t="s">
        <v>685</v>
      </c>
      <c r="D11860" s="230">
        <v>0</v>
      </c>
      <c r="E11860" t="s">
        <v>458</v>
      </c>
    </row>
    <row r="11861" spans="1:5" hidden="1" x14ac:dyDescent="0.3">
      <c r="A11861" t="s">
        <v>557</v>
      </c>
      <c r="B11861" t="s">
        <v>754</v>
      </c>
      <c r="C11861" t="s">
        <v>686</v>
      </c>
      <c r="D11861" s="230">
        <v>-863.14</v>
      </c>
      <c r="E11861" t="s">
        <v>458</v>
      </c>
    </row>
    <row r="11862" spans="1:5" hidden="1" x14ac:dyDescent="0.3">
      <c r="A11862" t="s">
        <v>557</v>
      </c>
      <c r="B11862" t="s">
        <v>754</v>
      </c>
      <c r="C11862" t="s">
        <v>687</v>
      </c>
      <c r="D11862" s="230">
        <v>0</v>
      </c>
      <c r="E11862" t="s">
        <v>458</v>
      </c>
    </row>
    <row r="11863" spans="1:5" hidden="1" x14ac:dyDescent="0.3">
      <c r="A11863" t="s">
        <v>557</v>
      </c>
      <c r="B11863" t="s">
        <v>754</v>
      </c>
      <c r="C11863" t="s">
        <v>688</v>
      </c>
      <c r="D11863" s="230">
        <v>0</v>
      </c>
      <c r="E11863" t="s">
        <v>458</v>
      </c>
    </row>
    <row r="11864" spans="1:5" hidden="1" x14ac:dyDescent="0.3">
      <c r="A11864" t="s">
        <v>557</v>
      </c>
      <c r="B11864" t="s">
        <v>754</v>
      </c>
      <c r="C11864" t="s">
        <v>689</v>
      </c>
      <c r="D11864" s="230">
        <v>0</v>
      </c>
      <c r="E11864" t="s">
        <v>458</v>
      </c>
    </row>
    <row r="11865" spans="1:5" hidden="1" x14ac:dyDescent="0.3">
      <c r="A11865" t="s">
        <v>557</v>
      </c>
      <c r="B11865" t="s">
        <v>754</v>
      </c>
      <c r="C11865" t="s">
        <v>690</v>
      </c>
      <c r="D11865" s="230">
        <v>0</v>
      </c>
      <c r="E11865" t="s">
        <v>458</v>
      </c>
    </row>
    <row r="11866" spans="1:5" hidden="1" x14ac:dyDescent="0.3">
      <c r="A11866" t="s">
        <v>557</v>
      </c>
      <c r="B11866" t="s">
        <v>754</v>
      </c>
      <c r="C11866" t="s">
        <v>691</v>
      </c>
      <c r="D11866" s="230">
        <v>0</v>
      </c>
      <c r="E11866" t="s">
        <v>458</v>
      </c>
    </row>
    <row r="11867" spans="1:5" hidden="1" x14ac:dyDescent="0.3">
      <c r="A11867" t="s">
        <v>557</v>
      </c>
      <c r="B11867" t="s">
        <v>754</v>
      </c>
      <c r="C11867" t="s">
        <v>692</v>
      </c>
      <c r="D11867" s="230">
        <v>-5000</v>
      </c>
      <c r="E11867" t="s">
        <v>458</v>
      </c>
    </row>
    <row r="11868" spans="1:5" hidden="1" x14ac:dyDescent="0.3">
      <c r="A11868" t="s">
        <v>557</v>
      </c>
      <c r="B11868" t="s">
        <v>754</v>
      </c>
      <c r="C11868" t="s">
        <v>693</v>
      </c>
      <c r="D11868" s="230">
        <v>0</v>
      </c>
      <c r="E11868" t="s">
        <v>458</v>
      </c>
    </row>
    <row r="11869" spans="1:5" hidden="1" x14ac:dyDescent="0.3">
      <c r="A11869" t="s">
        <v>557</v>
      </c>
      <c r="B11869" t="s">
        <v>754</v>
      </c>
      <c r="C11869" t="s">
        <v>694</v>
      </c>
      <c r="D11869" s="230">
        <v>0</v>
      </c>
      <c r="E11869" t="s">
        <v>458</v>
      </c>
    </row>
    <row r="11870" spans="1:5" hidden="1" x14ac:dyDescent="0.3">
      <c r="A11870" t="s">
        <v>557</v>
      </c>
      <c r="B11870" t="s">
        <v>754</v>
      </c>
      <c r="C11870" t="s">
        <v>238</v>
      </c>
      <c r="D11870" s="230">
        <v>-7946.13</v>
      </c>
      <c r="E11870" t="s">
        <v>458</v>
      </c>
    </row>
    <row r="11871" spans="1:5" hidden="1" x14ac:dyDescent="0.3">
      <c r="A11871" t="s">
        <v>557</v>
      </c>
      <c r="B11871" t="s">
        <v>754</v>
      </c>
      <c r="C11871" t="s">
        <v>695</v>
      </c>
      <c r="D11871" s="230">
        <v>-6104.48</v>
      </c>
      <c r="E11871" t="s">
        <v>458</v>
      </c>
    </row>
    <row r="11872" spans="1:5" hidden="1" x14ac:dyDescent="0.3">
      <c r="A11872" t="s">
        <v>557</v>
      </c>
      <c r="B11872" t="s">
        <v>754</v>
      </c>
      <c r="C11872" t="s">
        <v>696</v>
      </c>
      <c r="D11872" s="230">
        <v>-1634</v>
      </c>
      <c r="E11872" t="s">
        <v>458</v>
      </c>
    </row>
    <row r="11873" spans="1:5" hidden="1" x14ac:dyDescent="0.3">
      <c r="A11873" t="s">
        <v>557</v>
      </c>
      <c r="B11873" t="s">
        <v>754</v>
      </c>
      <c r="C11873" t="s">
        <v>697</v>
      </c>
      <c r="D11873" s="230">
        <v>0</v>
      </c>
      <c r="E11873" t="s">
        <v>458</v>
      </c>
    </row>
    <row r="11874" spans="1:5" hidden="1" x14ac:dyDescent="0.3">
      <c r="A11874" t="s">
        <v>557</v>
      </c>
      <c r="B11874" t="s">
        <v>754</v>
      </c>
      <c r="C11874" t="s">
        <v>698</v>
      </c>
      <c r="D11874" s="230">
        <v>-207.65</v>
      </c>
      <c r="E11874" t="s">
        <v>458</v>
      </c>
    </row>
    <row r="11875" spans="1:5" hidden="1" x14ac:dyDescent="0.3">
      <c r="A11875" t="s">
        <v>557</v>
      </c>
      <c r="B11875" t="s">
        <v>754</v>
      </c>
      <c r="C11875" t="s">
        <v>699</v>
      </c>
      <c r="D11875" s="230">
        <v>0</v>
      </c>
      <c r="E11875" t="s">
        <v>458</v>
      </c>
    </row>
    <row r="11876" spans="1:5" hidden="1" x14ac:dyDescent="0.3">
      <c r="A11876" t="s">
        <v>557</v>
      </c>
      <c r="B11876" t="s">
        <v>754</v>
      </c>
      <c r="C11876" t="s">
        <v>245</v>
      </c>
      <c r="D11876" s="230">
        <v>-23556.81</v>
      </c>
      <c r="E11876" t="s">
        <v>458</v>
      </c>
    </row>
    <row r="11877" spans="1:5" hidden="1" x14ac:dyDescent="0.3">
      <c r="A11877" t="s">
        <v>557</v>
      </c>
      <c r="B11877" t="s">
        <v>754</v>
      </c>
      <c r="C11877" t="s">
        <v>700</v>
      </c>
      <c r="D11877" s="230">
        <v>0</v>
      </c>
      <c r="E11877" t="s">
        <v>458</v>
      </c>
    </row>
    <row r="11878" spans="1:5" hidden="1" x14ac:dyDescent="0.3">
      <c r="A11878" t="s">
        <v>557</v>
      </c>
      <c r="B11878" t="s">
        <v>754</v>
      </c>
      <c r="C11878" t="s">
        <v>701</v>
      </c>
      <c r="D11878" s="230">
        <v>-267.83</v>
      </c>
      <c r="E11878" t="s">
        <v>458</v>
      </c>
    </row>
    <row r="11879" spans="1:5" hidden="1" x14ac:dyDescent="0.3">
      <c r="A11879" t="s">
        <v>557</v>
      </c>
      <c r="B11879" t="s">
        <v>754</v>
      </c>
      <c r="C11879" t="s">
        <v>702</v>
      </c>
      <c r="D11879" s="230">
        <v>0</v>
      </c>
      <c r="E11879" t="s">
        <v>458</v>
      </c>
    </row>
    <row r="11880" spans="1:5" hidden="1" x14ac:dyDescent="0.3">
      <c r="A11880" t="s">
        <v>557</v>
      </c>
      <c r="B11880" t="s">
        <v>754</v>
      </c>
      <c r="C11880" t="s">
        <v>703</v>
      </c>
      <c r="D11880" s="230">
        <v>-3000</v>
      </c>
      <c r="E11880" t="s">
        <v>458</v>
      </c>
    </row>
    <row r="11881" spans="1:5" hidden="1" x14ac:dyDescent="0.3">
      <c r="A11881" t="s">
        <v>557</v>
      </c>
      <c r="B11881" t="s">
        <v>754</v>
      </c>
      <c r="C11881" t="s">
        <v>704</v>
      </c>
      <c r="D11881" s="230">
        <v>0</v>
      </c>
      <c r="E11881" t="s">
        <v>458</v>
      </c>
    </row>
    <row r="11882" spans="1:5" hidden="1" x14ac:dyDescent="0.3">
      <c r="A11882" t="s">
        <v>557</v>
      </c>
      <c r="B11882" t="s">
        <v>754</v>
      </c>
      <c r="C11882" t="s">
        <v>705</v>
      </c>
      <c r="D11882" s="230">
        <v>-20288.98</v>
      </c>
      <c r="E11882" t="s">
        <v>458</v>
      </c>
    </row>
    <row r="11883" spans="1:5" hidden="1" x14ac:dyDescent="0.3">
      <c r="A11883" t="s">
        <v>557</v>
      </c>
      <c r="B11883" t="s">
        <v>754</v>
      </c>
      <c r="C11883" t="s">
        <v>706</v>
      </c>
      <c r="D11883" s="230">
        <v>0</v>
      </c>
      <c r="E11883" t="s">
        <v>458</v>
      </c>
    </row>
    <row r="11884" spans="1:5" hidden="1" x14ac:dyDescent="0.3">
      <c r="A11884" t="s">
        <v>557</v>
      </c>
      <c r="B11884" t="s">
        <v>754</v>
      </c>
      <c r="C11884" t="s">
        <v>254</v>
      </c>
      <c r="D11884" s="230">
        <v>-0.19</v>
      </c>
      <c r="E11884" t="s">
        <v>458</v>
      </c>
    </row>
    <row r="11885" spans="1:5" hidden="1" x14ac:dyDescent="0.3">
      <c r="A11885" t="s">
        <v>557</v>
      </c>
      <c r="B11885" t="s">
        <v>754</v>
      </c>
      <c r="C11885" t="s">
        <v>255</v>
      </c>
      <c r="D11885" s="230">
        <v>-0.15</v>
      </c>
      <c r="E11885" t="s">
        <v>458</v>
      </c>
    </row>
    <row r="11886" spans="1:5" hidden="1" x14ac:dyDescent="0.3">
      <c r="A11886" t="s">
        <v>557</v>
      </c>
      <c r="B11886" t="s">
        <v>754</v>
      </c>
      <c r="C11886" t="s">
        <v>256</v>
      </c>
      <c r="D11886" s="230">
        <v>-51719.519999999997</v>
      </c>
      <c r="E11886" t="s">
        <v>458</v>
      </c>
    </row>
    <row r="11887" spans="1:5" hidden="1" x14ac:dyDescent="0.3">
      <c r="A11887" t="s">
        <v>557</v>
      </c>
      <c r="B11887" t="s">
        <v>754</v>
      </c>
      <c r="C11887" t="s">
        <v>257</v>
      </c>
      <c r="D11887" s="230">
        <v>-49002</v>
      </c>
      <c r="E11887" t="s">
        <v>458</v>
      </c>
    </row>
    <row r="11888" spans="1:5" hidden="1" x14ac:dyDescent="0.3">
      <c r="A11888" t="s">
        <v>557</v>
      </c>
      <c r="B11888" t="s">
        <v>754</v>
      </c>
      <c r="C11888" t="s">
        <v>258</v>
      </c>
      <c r="D11888" s="230">
        <v>0</v>
      </c>
      <c r="E11888" t="s">
        <v>458</v>
      </c>
    </row>
    <row r="11889" spans="1:5" hidden="1" x14ac:dyDescent="0.3">
      <c r="A11889" t="s">
        <v>557</v>
      </c>
      <c r="B11889" t="s">
        <v>754</v>
      </c>
      <c r="C11889" t="s">
        <v>259</v>
      </c>
      <c r="D11889" s="230">
        <v>-2436.17</v>
      </c>
      <c r="E11889" t="s">
        <v>458</v>
      </c>
    </row>
    <row r="11890" spans="1:5" hidden="1" x14ac:dyDescent="0.3">
      <c r="A11890" t="s">
        <v>557</v>
      </c>
      <c r="B11890" t="s">
        <v>754</v>
      </c>
      <c r="C11890" t="s">
        <v>260</v>
      </c>
      <c r="D11890" s="230">
        <v>0</v>
      </c>
      <c r="E11890" t="s">
        <v>458</v>
      </c>
    </row>
    <row r="11891" spans="1:5" hidden="1" x14ac:dyDescent="0.3">
      <c r="A11891" t="s">
        <v>557</v>
      </c>
      <c r="B11891" t="s">
        <v>754</v>
      </c>
      <c r="C11891" t="s">
        <v>261</v>
      </c>
      <c r="D11891" s="230">
        <v>-281.35000000000002</v>
      </c>
      <c r="E11891" t="s">
        <v>458</v>
      </c>
    </row>
    <row r="11892" spans="1:5" hidden="1" x14ac:dyDescent="0.3">
      <c r="A11892" t="s">
        <v>557</v>
      </c>
      <c r="B11892" t="s">
        <v>754</v>
      </c>
      <c r="C11892" t="s">
        <v>262</v>
      </c>
      <c r="D11892" s="230">
        <v>0</v>
      </c>
      <c r="E11892" t="s">
        <v>458</v>
      </c>
    </row>
    <row r="11893" spans="1:5" hidden="1" x14ac:dyDescent="0.3">
      <c r="A11893" t="s">
        <v>557</v>
      </c>
      <c r="B11893" t="s">
        <v>754</v>
      </c>
      <c r="C11893" t="s">
        <v>263</v>
      </c>
      <c r="D11893" s="230">
        <v>0</v>
      </c>
      <c r="E11893" t="s">
        <v>458</v>
      </c>
    </row>
    <row r="11894" spans="1:5" hidden="1" x14ac:dyDescent="0.3">
      <c r="A11894" t="s">
        <v>557</v>
      </c>
      <c r="B11894" t="s">
        <v>754</v>
      </c>
      <c r="C11894" t="s">
        <v>44</v>
      </c>
      <c r="D11894" s="230">
        <v>-7.0000000000000007E-2</v>
      </c>
      <c r="E11894" t="s">
        <v>458</v>
      </c>
    </row>
    <row r="11895" spans="1:5" hidden="1" x14ac:dyDescent="0.3">
      <c r="A11895" t="s">
        <v>557</v>
      </c>
      <c r="B11895" t="s">
        <v>754</v>
      </c>
      <c r="C11895" t="s">
        <v>264</v>
      </c>
      <c r="D11895" s="230">
        <v>-41906.81</v>
      </c>
      <c r="E11895" t="s">
        <v>458</v>
      </c>
    </row>
    <row r="11896" spans="1:5" hidden="1" x14ac:dyDescent="0.3">
      <c r="A11896" t="s">
        <v>557</v>
      </c>
      <c r="B11896" t="s">
        <v>754</v>
      </c>
      <c r="C11896" t="s">
        <v>265</v>
      </c>
      <c r="D11896" s="230">
        <v>-6846.18</v>
      </c>
      <c r="E11896" t="s">
        <v>458</v>
      </c>
    </row>
    <row r="11897" spans="1:5" hidden="1" x14ac:dyDescent="0.3">
      <c r="A11897" t="s">
        <v>557</v>
      </c>
      <c r="B11897" t="s">
        <v>754</v>
      </c>
      <c r="C11897" t="s">
        <v>266</v>
      </c>
      <c r="D11897" s="230">
        <v>-13457.95</v>
      </c>
      <c r="E11897" t="s">
        <v>458</v>
      </c>
    </row>
    <row r="11898" spans="1:5" hidden="1" x14ac:dyDescent="0.3">
      <c r="A11898" t="s">
        <v>557</v>
      </c>
      <c r="B11898" t="s">
        <v>754</v>
      </c>
      <c r="C11898" t="s">
        <v>267</v>
      </c>
      <c r="D11898" s="230">
        <v>-5907.45</v>
      </c>
      <c r="E11898" t="s">
        <v>458</v>
      </c>
    </row>
    <row r="11899" spans="1:5" hidden="1" x14ac:dyDescent="0.3">
      <c r="A11899" t="s">
        <v>557</v>
      </c>
      <c r="B11899" t="s">
        <v>754</v>
      </c>
      <c r="C11899" t="s">
        <v>268</v>
      </c>
      <c r="D11899" s="230">
        <v>-7595.03</v>
      </c>
      <c r="E11899" t="s">
        <v>458</v>
      </c>
    </row>
    <row r="11900" spans="1:5" hidden="1" x14ac:dyDescent="0.3">
      <c r="A11900" t="s">
        <v>557</v>
      </c>
      <c r="B11900" t="s">
        <v>754</v>
      </c>
      <c r="C11900" t="s">
        <v>269</v>
      </c>
      <c r="D11900" s="230">
        <v>-75.5</v>
      </c>
      <c r="E11900" t="s">
        <v>458</v>
      </c>
    </row>
    <row r="11901" spans="1:5" hidden="1" x14ac:dyDescent="0.3">
      <c r="A11901" t="s">
        <v>557</v>
      </c>
      <c r="B11901" t="s">
        <v>754</v>
      </c>
      <c r="C11901" t="s">
        <v>270</v>
      </c>
      <c r="D11901" s="230">
        <v>-550</v>
      </c>
      <c r="E11901" t="s">
        <v>458</v>
      </c>
    </row>
    <row r="11902" spans="1:5" hidden="1" x14ac:dyDescent="0.3">
      <c r="A11902" t="s">
        <v>557</v>
      </c>
      <c r="B11902" t="s">
        <v>754</v>
      </c>
      <c r="C11902" t="s">
        <v>271</v>
      </c>
      <c r="D11902" s="230">
        <v>-980.87</v>
      </c>
      <c r="E11902" t="s">
        <v>458</v>
      </c>
    </row>
    <row r="11903" spans="1:5" hidden="1" x14ac:dyDescent="0.3">
      <c r="A11903" t="s">
        <v>557</v>
      </c>
      <c r="B11903" t="s">
        <v>754</v>
      </c>
      <c r="C11903" t="s">
        <v>272</v>
      </c>
      <c r="D11903" s="230">
        <v>-646.21</v>
      </c>
      <c r="E11903" t="s">
        <v>458</v>
      </c>
    </row>
    <row r="11904" spans="1:5" hidden="1" x14ac:dyDescent="0.3">
      <c r="A11904" t="s">
        <v>557</v>
      </c>
      <c r="B11904" t="s">
        <v>754</v>
      </c>
      <c r="C11904" t="s">
        <v>273</v>
      </c>
      <c r="D11904" s="230">
        <v>0</v>
      </c>
      <c r="E11904" t="s">
        <v>458</v>
      </c>
    </row>
    <row r="11905" spans="1:5" hidden="1" x14ac:dyDescent="0.3">
      <c r="A11905" t="s">
        <v>557</v>
      </c>
      <c r="B11905" t="s">
        <v>754</v>
      </c>
      <c r="C11905" t="s">
        <v>274</v>
      </c>
      <c r="D11905" s="230">
        <v>0</v>
      </c>
      <c r="E11905" t="s">
        <v>458</v>
      </c>
    </row>
    <row r="11906" spans="1:5" hidden="1" x14ac:dyDescent="0.3">
      <c r="A11906" t="s">
        <v>557</v>
      </c>
      <c r="B11906" t="s">
        <v>754</v>
      </c>
      <c r="C11906" t="s">
        <v>275</v>
      </c>
      <c r="D11906" s="230">
        <v>-1906.52</v>
      </c>
      <c r="E11906" t="s">
        <v>458</v>
      </c>
    </row>
    <row r="11907" spans="1:5" hidden="1" x14ac:dyDescent="0.3">
      <c r="A11907" t="s">
        <v>557</v>
      </c>
      <c r="B11907" t="s">
        <v>754</v>
      </c>
      <c r="C11907" t="s">
        <v>276</v>
      </c>
      <c r="D11907" s="230">
        <v>-1519.1</v>
      </c>
      <c r="E11907" t="s">
        <v>458</v>
      </c>
    </row>
    <row r="11908" spans="1:5" hidden="1" x14ac:dyDescent="0.3">
      <c r="A11908" t="s">
        <v>557</v>
      </c>
      <c r="B11908" t="s">
        <v>754</v>
      </c>
      <c r="C11908" t="s">
        <v>277</v>
      </c>
      <c r="D11908" s="230">
        <v>0</v>
      </c>
      <c r="E11908" t="s">
        <v>458</v>
      </c>
    </row>
    <row r="11909" spans="1:5" hidden="1" x14ac:dyDescent="0.3">
      <c r="A11909" t="s">
        <v>557</v>
      </c>
      <c r="B11909" t="s">
        <v>754</v>
      </c>
      <c r="C11909" t="s">
        <v>278</v>
      </c>
      <c r="D11909" s="230">
        <v>-2422</v>
      </c>
      <c r="E11909" t="s">
        <v>458</v>
      </c>
    </row>
    <row r="11910" spans="1:5" hidden="1" x14ac:dyDescent="0.3">
      <c r="A11910" t="s">
        <v>557</v>
      </c>
      <c r="B11910" t="s">
        <v>754</v>
      </c>
      <c r="C11910" t="s">
        <v>44</v>
      </c>
      <c r="D11910" s="230">
        <v>-0.05</v>
      </c>
      <c r="E11910" t="s">
        <v>458</v>
      </c>
    </row>
    <row r="11911" spans="1:5" hidden="1" x14ac:dyDescent="0.3">
      <c r="A11911" t="s">
        <v>557</v>
      </c>
      <c r="B11911" t="s">
        <v>754</v>
      </c>
      <c r="C11911" t="s">
        <v>279</v>
      </c>
      <c r="D11911" s="230">
        <v>-5457.11</v>
      </c>
      <c r="E11911" t="s">
        <v>458</v>
      </c>
    </row>
    <row r="11912" spans="1:5" hidden="1" x14ac:dyDescent="0.3">
      <c r="A11912" t="s">
        <v>557</v>
      </c>
      <c r="B11912" t="s">
        <v>754</v>
      </c>
      <c r="C11912" t="s">
        <v>280</v>
      </c>
      <c r="D11912" s="230">
        <v>0</v>
      </c>
      <c r="E11912" t="s">
        <v>458</v>
      </c>
    </row>
    <row r="11913" spans="1:5" hidden="1" x14ac:dyDescent="0.3">
      <c r="A11913" t="s">
        <v>557</v>
      </c>
      <c r="B11913" t="s">
        <v>754</v>
      </c>
      <c r="C11913" t="s">
        <v>281</v>
      </c>
      <c r="D11913" s="230">
        <v>-600.94000000000005</v>
      </c>
      <c r="E11913" t="s">
        <v>458</v>
      </c>
    </row>
    <row r="11914" spans="1:5" hidden="1" x14ac:dyDescent="0.3">
      <c r="A11914" t="s">
        <v>557</v>
      </c>
      <c r="B11914" t="s">
        <v>754</v>
      </c>
      <c r="C11914" t="s">
        <v>282</v>
      </c>
      <c r="D11914" s="230">
        <v>-304.39999999999998</v>
      </c>
      <c r="E11914" t="s">
        <v>458</v>
      </c>
    </row>
    <row r="11915" spans="1:5" hidden="1" x14ac:dyDescent="0.3">
      <c r="A11915" t="s">
        <v>557</v>
      </c>
      <c r="B11915" t="s">
        <v>754</v>
      </c>
      <c r="C11915" t="s">
        <v>283</v>
      </c>
      <c r="D11915" s="230">
        <v>-293.93</v>
      </c>
      <c r="E11915" t="s">
        <v>458</v>
      </c>
    </row>
    <row r="11916" spans="1:5" hidden="1" x14ac:dyDescent="0.3">
      <c r="A11916" t="s">
        <v>557</v>
      </c>
      <c r="B11916" t="s">
        <v>754</v>
      </c>
      <c r="C11916" t="s">
        <v>284</v>
      </c>
      <c r="D11916" s="230">
        <v>-3010</v>
      </c>
      <c r="E11916" t="s">
        <v>458</v>
      </c>
    </row>
    <row r="11917" spans="1:5" hidden="1" x14ac:dyDescent="0.3">
      <c r="A11917" t="s">
        <v>557</v>
      </c>
      <c r="B11917" t="s">
        <v>754</v>
      </c>
      <c r="C11917" t="s">
        <v>285</v>
      </c>
      <c r="D11917" s="230">
        <v>-389</v>
      </c>
      <c r="E11917" t="s">
        <v>458</v>
      </c>
    </row>
    <row r="11918" spans="1:5" hidden="1" x14ac:dyDescent="0.3">
      <c r="A11918" t="s">
        <v>557</v>
      </c>
      <c r="B11918" t="s">
        <v>754</v>
      </c>
      <c r="C11918" t="s">
        <v>286</v>
      </c>
      <c r="D11918" s="230">
        <v>-858.84</v>
      </c>
      <c r="E11918" t="s">
        <v>458</v>
      </c>
    </row>
    <row r="11919" spans="1:5" hidden="1" x14ac:dyDescent="0.3">
      <c r="A11919" t="s">
        <v>557</v>
      </c>
      <c r="B11919" t="s">
        <v>754</v>
      </c>
      <c r="C11919" t="s">
        <v>44</v>
      </c>
      <c r="D11919" s="230">
        <v>-0.01</v>
      </c>
      <c r="E11919" t="s">
        <v>458</v>
      </c>
    </row>
    <row r="11920" spans="1:5" hidden="1" x14ac:dyDescent="0.3">
      <c r="A11920" t="s">
        <v>557</v>
      </c>
      <c r="B11920" t="s">
        <v>754</v>
      </c>
      <c r="C11920" t="s">
        <v>287</v>
      </c>
      <c r="D11920" s="230">
        <v>-2500</v>
      </c>
      <c r="E11920" t="s">
        <v>458</v>
      </c>
    </row>
    <row r="11921" spans="1:5" hidden="1" x14ac:dyDescent="0.3">
      <c r="A11921" t="s">
        <v>557</v>
      </c>
      <c r="B11921" t="s">
        <v>754</v>
      </c>
      <c r="C11921" t="s">
        <v>288</v>
      </c>
      <c r="D11921" s="230">
        <v>-2500</v>
      </c>
      <c r="E11921" t="s">
        <v>458</v>
      </c>
    </row>
    <row r="11922" spans="1:5" hidden="1" x14ac:dyDescent="0.3">
      <c r="A11922" t="s">
        <v>557</v>
      </c>
      <c r="B11922" t="s">
        <v>754</v>
      </c>
      <c r="C11922" t="s">
        <v>289</v>
      </c>
      <c r="D11922" s="230">
        <v>0</v>
      </c>
      <c r="E11922" t="s">
        <v>458</v>
      </c>
    </row>
    <row r="11923" spans="1:5" hidden="1" x14ac:dyDescent="0.3">
      <c r="A11923" t="s">
        <v>557</v>
      </c>
      <c r="B11923" t="s">
        <v>754</v>
      </c>
      <c r="C11923" t="s">
        <v>290</v>
      </c>
      <c r="D11923" s="230">
        <v>0</v>
      </c>
      <c r="E11923" t="s">
        <v>458</v>
      </c>
    </row>
    <row r="11924" spans="1:5" hidden="1" x14ac:dyDescent="0.3">
      <c r="A11924" t="s">
        <v>557</v>
      </c>
      <c r="B11924" t="s">
        <v>754</v>
      </c>
      <c r="C11924" t="s">
        <v>291</v>
      </c>
      <c r="D11924" s="230">
        <v>0</v>
      </c>
      <c r="E11924" t="s">
        <v>458</v>
      </c>
    </row>
    <row r="11925" spans="1:5" hidden="1" x14ac:dyDescent="0.3">
      <c r="A11925" t="s">
        <v>557</v>
      </c>
      <c r="B11925" t="s">
        <v>754</v>
      </c>
      <c r="C11925" t="s">
        <v>292</v>
      </c>
      <c r="D11925" s="230">
        <v>0</v>
      </c>
      <c r="E11925" t="s">
        <v>458</v>
      </c>
    </row>
    <row r="11926" spans="1:5" hidden="1" x14ac:dyDescent="0.3">
      <c r="A11926" t="s">
        <v>557</v>
      </c>
      <c r="B11926" t="s">
        <v>754</v>
      </c>
      <c r="C11926" t="s">
        <v>293</v>
      </c>
      <c r="D11926" s="230">
        <v>0</v>
      </c>
      <c r="E11926" t="s">
        <v>458</v>
      </c>
    </row>
    <row r="11927" spans="1:5" hidden="1" x14ac:dyDescent="0.3">
      <c r="A11927" t="s">
        <v>557</v>
      </c>
      <c r="B11927" t="s">
        <v>754</v>
      </c>
      <c r="C11927" t="s">
        <v>294</v>
      </c>
      <c r="D11927" s="230">
        <v>0</v>
      </c>
      <c r="E11927" t="s">
        <v>458</v>
      </c>
    </row>
    <row r="11928" spans="1:5" hidden="1" x14ac:dyDescent="0.3">
      <c r="A11928" t="s">
        <v>557</v>
      </c>
      <c r="B11928" t="s">
        <v>754</v>
      </c>
      <c r="C11928" t="s">
        <v>295</v>
      </c>
      <c r="D11928" s="230">
        <v>0</v>
      </c>
      <c r="E11928" t="s">
        <v>458</v>
      </c>
    </row>
    <row r="11929" spans="1:5" hidden="1" x14ac:dyDescent="0.3">
      <c r="A11929" t="s">
        <v>557</v>
      </c>
      <c r="B11929" t="s">
        <v>754</v>
      </c>
      <c r="C11929" t="s">
        <v>44</v>
      </c>
      <c r="D11929" s="230">
        <v>0</v>
      </c>
      <c r="E11929" t="s">
        <v>458</v>
      </c>
    </row>
    <row r="11930" spans="1:5" hidden="1" x14ac:dyDescent="0.3">
      <c r="A11930" t="s">
        <v>557</v>
      </c>
      <c r="B11930" t="s">
        <v>754</v>
      </c>
      <c r="C11930" t="s">
        <v>296</v>
      </c>
      <c r="D11930" s="230">
        <v>-6696.42</v>
      </c>
      <c r="E11930" t="s">
        <v>458</v>
      </c>
    </row>
    <row r="11931" spans="1:5" hidden="1" x14ac:dyDescent="0.3">
      <c r="A11931" t="s">
        <v>557</v>
      </c>
      <c r="B11931" t="s">
        <v>754</v>
      </c>
      <c r="C11931" t="s">
        <v>297</v>
      </c>
      <c r="D11931" s="230">
        <v>-4000</v>
      </c>
      <c r="E11931" t="s">
        <v>458</v>
      </c>
    </row>
    <row r="11932" spans="1:5" hidden="1" x14ac:dyDescent="0.3">
      <c r="A11932" t="s">
        <v>557</v>
      </c>
      <c r="B11932" t="s">
        <v>754</v>
      </c>
      <c r="C11932" t="s">
        <v>298</v>
      </c>
      <c r="D11932" s="230">
        <v>-500</v>
      </c>
      <c r="E11932" t="s">
        <v>458</v>
      </c>
    </row>
    <row r="11933" spans="1:5" hidden="1" x14ac:dyDescent="0.3">
      <c r="A11933" t="s">
        <v>557</v>
      </c>
      <c r="B11933" t="s">
        <v>754</v>
      </c>
      <c r="C11933" t="s">
        <v>299</v>
      </c>
      <c r="D11933" s="230">
        <v>0</v>
      </c>
      <c r="E11933" t="s">
        <v>458</v>
      </c>
    </row>
    <row r="11934" spans="1:5" hidden="1" x14ac:dyDescent="0.3">
      <c r="A11934" t="s">
        <v>557</v>
      </c>
      <c r="B11934" t="s">
        <v>754</v>
      </c>
      <c r="C11934" t="s">
        <v>300</v>
      </c>
      <c r="D11934" s="230">
        <v>0</v>
      </c>
      <c r="E11934" t="s">
        <v>458</v>
      </c>
    </row>
    <row r="11935" spans="1:5" hidden="1" x14ac:dyDescent="0.3">
      <c r="A11935" t="s">
        <v>557</v>
      </c>
      <c r="B11935" t="s">
        <v>754</v>
      </c>
      <c r="C11935" t="s">
        <v>301</v>
      </c>
      <c r="D11935" s="230">
        <v>-1984.65</v>
      </c>
      <c r="E11935" t="s">
        <v>458</v>
      </c>
    </row>
    <row r="11936" spans="1:5" hidden="1" x14ac:dyDescent="0.3">
      <c r="A11936" t="s">
        <v>557</v>
      </c>
      <c r="B11936" t="s">
        <v>754</v>
      </c>
      <c r="C11936" t="s">
        <v>302</v>
      </c>
      <c r="D11936" s="230">
        <v>0</v>
      </c>
      <c r="E11936" t="s">
        <v>458</v>
      </c>
    </row>
    <row r="11937" spans="1:5" hidden="1" x14ac:dyDescent="0.3">
      <c r="A11937" t="s">
        <v>557</v>
      </c>
      <c r="B11937" t="s">
        <v>754</v>
      </c>
      <c r="C11937" t="s">
        <v>303</v>
      </c>
      <c r="D11937" s="230">
        <v>0</v>
      </c>
      <c r="E11937" t="s">
        <v>458</v>
      </c>
    </row>
    <row r="11938" spans="1:5" hidden="1" x14ac:dyDescent="0.3">
      <c r="A11938" t="s">
        <v>557</v>
      </c>
      <c r="B11938" t="s">
        <v>754</v>
      </c>
      <c r="C11938" t="s">
        <v>304</v>
      </c>
      <c r="D11938" s="230">
        <v>0</v>
      </c>
      <c r="E11938" t="s">
        <v>458</v>
      </c>
    </row>
    <row r="11939" spans="1:5" hidden="1" x14ac:dyDescent="0.3">
      <c r="A11939" t="s">
        <v>557</v>
      </c>
      <c r="B11939" t="s">
        <v>754</v>
      </c>
      <c r="C11939" t="s">
        <v>305</v>
      </c>
      <c r="D11939" s="230">
        <v>-61.77</v>
      </c>
      <c r="E11939" t="s">
        <v>458</v>
      </c>
    </row>
    <row r="11940" spans="1:5" hidden="1" x14ac:dyDescent="0.3">
      <c r="A11940" t="s">
        <v>557</v>
      </c>
      <c r="B11940" t="s">
        <v>754</v>
      </c>
      <c r="C11940" t="s">
        <v>306</v>
      </c>
      <c r="D11940" s="230">
        <v>0</v>
      </c>
      <c r="E11940" t="s">
        <v>458</v>
      </c>
    </row>
    <row r="11941" spans="1:5" hidden="1" x14ac:dyDescent="0.3">
      <c r="A11941" t="s">
        <v>557</v>
      </c>
      <c r="B11941" t="s">
        <v>754</v>
      </c>
      <c r="C11941" t="s">
        <v>307</v>
      </c>
      <c r="D11941" s="230">
        <v>-150</v>
      </c>
      <c r="E11941" t="s">
        <v>458</v>
      </c>
    </row>
    <row r="11942" spans="1:5" hidden="1" x14ac:dyDescent="0.3">
      <c r="A11942" t="s">
        <v>557</v>
      </c>
      <c r="B11942" t="s">
        <v>754</v>
      </c>
      <c r="C11942" t="s">
        <v>44</v>
      </c>
      <c r="D11942" s="230">
        <v>-0.01</v>
      </c>
      <c r="E11942" t="s">
        <v>458</v>
      </c>
    </row>
    <row r="11943" spans="1:5" hidden="1" x14ac:dyDescent="0.3">
      <c r="A11943" t="s">
        <v>557</v>
      </c>
      <c r="B11943" t="s">
        <v>754</v>
      </c>
      <c r="C11943" t="s">
        <v>308</v>
      </c>
      <c r="D11943" s="230">
        <v>-7108.37</v>
      </c>
      <c r="E11943" t="s">
        <v>458</v>
      </c>
    </row>
    <row r="11944" spans="1:5" hidden="1" x14ac:dyDescent="0.3">
      <c r="A11944" t="s">
        <v>557</v>
      </c>
      <c r="B11944" t="s">
        <v>754</v>
      </c>
      <c r="C11944" t="s">
        <v>309</v>
      </c>
      <c r="D11944" s="230">
        <v>-4665.1899999999996</v>
      </c>
      <c r="E11944" t="s">
        <v>458</v>
      </c>
    </row>
    <row r="11945" spans="1:5" hidden="1" x14ac:dyDescent="0.3">
      <c r="A11945" t="s">
        <v>557</v>
      </c>
      <c r="B11945" t="s">
        <v>754</v>
      </c>
      <c r="C11945" t="s">
        <v>310</v>
      </c>
      <c r="D11945" s="230">
        <v>0</v>
      </c>
      <c r="E11945" t="s">
        <v>458</v>
      </c>
    </row>
    <row r="11946" spans="1:5" hidden="1" x14ac:dyDescent="0.3">
      <c r="A11946" t="s">
        <v>557</v>
      </c>
      <c r="B11946" t="s">
        <v>754</v>
      </c>
      <c r="C11946" t="s">
        <v>311</v>
      </c>
      <c r="D11946" s="230">
        <v>-1550</v>
      </c>
      <c r="E11946" t="s">
        <v>458</v>
      </c>
    </row>
    <row r="11947" spans="1:5" hidden="1" x14ac:dyDescent="0.3">
      <c r="A11947" t="s">
        <v>557</v>
      </c>
      <c r="B11947" t="s">
        <v>754</v>
      </c>
      <c r="C11947" t="s">
        <v>312</v>
      </c>
      <c r="D11947" s="230">
        <v>-185</v>
      </c>
      <c r="E11947" t="s">
        <v>458</v>
      </c>
    </row>
    <row r="11948" spans="1:5" hidden="1" x14ac:dyDescent="0.3">
      <c r="A11948" t="s">
        <v>557</v>
      </c>
      <c r="B11948" t="s">
        <v>754</v>
      </c>
      <c r="C11948" t="s">
        <v>313</v>
      </c>
      <c r="D11948" s="230">
        <v>0</v>
      </c>
      <c r="E11948" t="s">
        <v>458</v>
      </c>
    </row>
    <row r="11949" spans="1:5" hidden="1" x14ac:dyDescent="0.3">
      <c r="A11949" t="s">
        <v>557</v>
      </c>
      <c r="B11949" t="s">
        <v>754</v>
      </c>
      <c r="C11949" t="s">
        <v>314</v>
      </c>
      <c r="D11949" s="230">
        <v>-708.18</v>
      </c>
      <c r="E11949" t="s">
        <v>458</v>
      </c>
    </row>
    <row r="11950" spans="1:5" hidden="1" x14ac:dyDescent="0.3">
      <c r="A11950" t="s">
        <v>557</v>
      </c>
      <c r="B11950" t="s">
        <v>754</v>
      </c>
      <c r="C11950" t="s">
        <v>315</v>
      </c>
      <c r="D11950" s="230">
        <v>0</v>
      </c>
      <c r="E11950" t="s">
        <v>458</v>
      </c>
    </row>
    <row r="11951" spans="1:5" hidden="1" x14ac:dyDescent="0.3">
      <c r="A11951" t="s">
        <v>557</v>
      </c>
      <c r="B11951" t="s">
        <v>754</v>
      </c>
      <c r="C11951" t="s">
        <v>316</v>
      </c>
      <c r="D11951" s="230">
        <v>0</v>
      </c>
      <c r="E11951" t="s">
        <v>458</v>
      </c>
    </row>
    <row r="11952" spans="1:5" hidden="1" x14ac:dyDescent="0.3">
      <c r="A11952" t="s">
        <v>557</v>
      </c>
      <c r="B11952" t="s">
        <v>754</v>
      </c>
      <c r="C11952" t="s">
        <v>317</v>
      </c>
      <c r="D11952" s="230">
        <v>0</v>
      </c>
      <c r="E11952" t="s">
        <v>458</v>
      </c>
    </row>
    <row r="11953" spans="1:5" hidden="1" x14ac:dyDescent="0.3">
      <c r="A11953" t="s">
        <v>557</v>
      </c>
      <c r="B11953" t="s">
        <v>754</v>
      </c>
      <c r="C11953" t="s">
        <v>44</v>
      </c>
      <c r="D11953" s="230">
        <v>-0.01</v>
      </c>
      <c r="E11953" t="s">
        <v>458</v>
      </c>
    </row>
    <row r="11954" spans="1:5" hidden="1" x14ac:dyDescent="0.3">
      <c r="A11954" t="s">
        <v>557</v>
      </c>
      <c r="B11954" t="s">
        <v>754</v>
      </c>
      <c r="C11954" t="s">
        <v>318</v>
      </c>
      <c r="D11954" s="230">
        <v>-2095.15</v>
      </c>
      <c r="E11954" t="s">
        <v>458</v>
      </c>
    </row>
    <row r="11955" spans="1:5" hidden="1" x14ac:dyDescent="0.3">
      <c r="A11955" t="s">
        <v>557</v>
      </c>
      <c r="B11955" t="s">
        <v>754</v>
      </c>
      <c r="C11955" t="s">
        <v>319</v>
      </c>
      <c r="D11955" s="230">
        <v>-1764</v>
      </c>
      <c r="E11955" t="s">
        <v>458</v>
      </c>
    </row>
    <row r="11956" spans="1:5" hidden="1" x14ac:dyDescent="0.3">
      <c r="A11956" t="s">
        <v>557</v>
      </c>
      <c r="B11956" t="s">
        <v>754</v>
      </c>
      <c r="C11956" t="s">
        <v>320</v>
      </c>
      <c r="D11956" s="230">
        <v>-131.15</v>
      </c>
      <c r="E11956" t="s">
        <v>458</v>
      </c>
    </row>
    <row r="11957" spans="1:5" hidden="1" x14ac:dyDescent="0.3">
      <c r="A11957" t="s">
        <v>557</v>
      </c>
      <c r="B11957" t="s">
        <v>754</v>
      </c>
      <c r="C11957" t="s">
        <v>321</v>
      </c>
      <c r="D11957" s="230">
        <v>-200</v>
      </c>
      <c r="E11957" t="s">
        <v>458</v>
      </c>
    </row>
    <row r="11958" spans="1:5" hidden="1" x14ac:dyDescent="0.3">
      <c r="A11958" t="s">
        <v>557</v>
      </c>
      <c r="B11958" t="s">
        <v>754</v>
      </c>
      <c r="C11958" t="s">
        <v>322</v>
      </c>
      <c r="D11958" s="230">
        <v>0</v>
      </c>
      <c r="E11958" t="s">
        <v>458</v>
      </c>
    </row>
    <row r="11959" spans="1:5" hidden="1" x14ac:dyDescent="0.3">
      <c r="A11959" t="s">
        <v>557</v>
      </c>
      <c r="B11959" t="s">
        <v>754</v>
      </c>
      <c r="C11959" t="s">
        <v>44</v>
      </c>
      <c r="D11959" s="230">
        <v>0</v>
      </c>
      <c r="E11959" t="s">
        <v>458</v>
      </c>
    </row>
    <row r="11960" spans="1:5" hidden="1" x14ac:dyDescent="0.3">
      <c r="A11960" t="s">
        <v>557</v>
      </c>
      <c r="B11960" t="s">
        <v>754</v>
      </c>
      <c r="C11960" t="s">
        <v>323</v>
      </c>
      <c r="D11960" s="230">
        <v>-39272.449999999997</v>
      </c>
      <c r="E11960" t="s">
        <v>458</v>
      </c>
    </row>
    <row r="11961" spans="1:5" hidden="1" x14ac:dyDescent="0.3">
      <c r="A11961" t="s">
        <v>557</v>
      </c>
      <c r="B11961" t="s">
        <v>754</v>
      </c>
      <c r="C11961" t="s">
        <v>324</v>
      </c>
      <c r="D11961" s="230">
        <v>0</v>
      </c>
      <c r="E11961" t="s">
        <v>458</v>
      </c>
    </row>
    <row r="11962" spans="1:5" hidden="1" x14ac:dyDescent="0.3">
      <c r="A11962" t="s">
        <v>557</v>
      </c>
      <c r="B11962" t="s">
        <v>754</v>
      </c>
      <c r="C11962" t="s">
        <v>325</v>
      </c>
      <c r="D11962" s="230">
        <v>0</v>
      </c>
      <c r="E11962" t="s">
        <v>458</v>
      </c>
    </row>
    <row r="11963" spans="1:5" hidden="1" x14ac:dyDescent="0.3">
      <c r="A11963" t="s">
        <v>557</v>
      </c>
      <c r="B11963" t="s">
        <v>754</v>
      </c>
      <c r="C11963" t="s">
        <v>326</v>
      </c>
      <c r="D11963" s="230">
        <v>-39272.449999999997</v>
      </c>
      <c r="E11963" t="s">
        <v>458</v>
      </c>
    </row>
    <row r="11964" spans="1:5" hidden="1" x14ac:dyDescent="0.3">
      <c r="A11964" t="s">
        <v>557</v>
      </c>
      <c r="B11964" t="s">
        <v>754</v>
      </c>
      <c r="C11964" t="s">
        <v>44</v>
      </c>
      <c r="D11964" s="230">
        <v>-0.05</v>
      </c>
      <c r="E11964" t="s">
        <v>458</v>
      </c>
    </row>
    <row r="11965" spans="1:5" hidden="1" x14ac:dyDescent="0.3">
      <c r="A11965" t="s">
        <v>557</v>
      </c>
      <c r="B11965" t="s">
        <v>754</v>
      </c>
      <c r="C11965" t="s">
        <v>328</v>
      </c>
      <c r="D11965" s="230">
        <v>-307530.27</v>
      </c>
      <c r="E11965" t="s">
        <v>458</v>
      </c>
    </row>
    <row r="11966" spans="1:5" hidden="1" x14ac:dyDescent="0.3">
      <c r="A11966" t="s">
        <v>557</v>
      </c>
      <c r="B11966" t="s">
        <v>754</v>
      </c>
      <c r="C11966" t="s">
        <v>44</v>
      </c>
      <c r="D11966" s="230">
        <v>-0.39</v>
      </c>
      <c r="E11966" t="s">
        <v>458</v>
      </c>
    </row>
    <row r="11967" spans="1:5" hidden="1" x14ac:dyDescent="0.3">
      <c r="A11967" t="s">
        <v>557</v>
      </c>
      <c r="B11967" t="s">
        <v>754</v>
      </c>
      <c r="C11967" t="s">
        <v>329</v>
      </c>
      <c r="D11967" s="230">
        <v>177993.22</v>
      </c>
      <c r="E11967" t="s">
        <v>458</v>
      </c>
    </row>
    <row r="11968" spans="1:5" hidden="1" x14ac:dyDescent="0.3">
      <c r="A11968" t="s">
        <v>557</v>
      </c>
      <c r="B11968" t="s">
        <v>754</v>
      </c>
      <c r="C11968" t="s">
        <v>44</v>
      </c>
      <c r="D11968" s="230">
        <v>0.23</v>
      </c>
      <c r="E11968" t="s">
        <v>458</v>
      </c>
    </row>
    <row r="11969" spans="1:5" hidden="1" x14ac:dyDescent="0.3">
      <c r="A11969" t="s">
        <v>557</v>
      </c>
      <c r="B11969" t="s">
        <v>754</v>
      </c>
      <c r="C11969" t="s">
        <v>330</v>
      </c>
      <c r="D11969" s="230">
        <v>0</v>
      </c>
      <c r="E11969" t="s">
        <v>458</v>
      </c>
    </row>
    <row r="11970" spans="1:5" hidden="1" x14ac:dyDescent="0.3">
      <c r="A11970" t="s">
        <v>557</v>
      </c>
      <c r="B11970" t="s">
        <v>754</v>
      </c>
      <c r="C11970" t="s">
        <v>332</v>
      </c>
      <c r="D11970" s="230">
        <v>177993.22</v>
      </c>
      <c r="E11970" t="s">
        <v>458</v>
      </c>
    </row>
    <row r="11971" spans="1:5" hidden="1" x14ac:dyDescent="0.3">
      <c r="A11971" t="s">
        <v>557</v>
      </c>
      <c r="B11971" t="s">
        <v>754</v>
      </c>
      <c r="C11971" t="s">
        <v>333</v>
      </c>
      <c r="D11971" s="230">
        <v>7079.3</v>
      </c>
      <c r="E11971" t="s">
        <v>458</v>
      </c>
    </row>
    <row r="11972" spans="1:5" hidden="1" x14ac:dyDescent="0.3">
      <c r="A11972" t="s">
        <v>557</v>
      </c>
      <c r="B11972" t="s">
        <v>754</v>
      </c>
      <c r="C11972" t="s">
        <v>334</v>
      </c>
      <c r="D11972" s="230">
        <v>0</v>
      </c>
      <c r="E11972" t="s">
        <v>458</v>
      </c>
    </row>
    <row r="11973" spans="1:5" hidden="1" x14ac:dyDescent="0.3">
      <c r="A11973" t="s">
        <v>557</v>
      </c>
      <c r="B11973" t="s">
        <v>754</v>
      </c>
      <c r="C11973" t="s">
        <v>336</v>
      </c>
      <c r="D11973" s="230">
        <v>0</v>
      </c>
      <c r="E11973" t="s">
        <v>458</v>
      </c>
    </row>
    <row r="11974" spans="1:5" hidden="1" x14ac:dyDescent="0.3">
      <c r="A11974" t="s">
        <v>557</v>
      </c>
      <c r="B11974" t="s">
        <v>754</v>
      </c>
      <c r="C11974" t="s">
        <v>338</v>
      </c>
      <c r="D11974" s="230">
        <v>185072.52</v>
      </c>
      <c r="E11974" t="s">
        <v>458</v>
      </c>
    </row>
    <row r="11975" spans="1:5" hidden="1" x14ac:dyDescent="0.3">
      <c r="A11975" t="s">
        <v>557</v>
      </c>
      <c r="B11975" t="s">
        <v>754</v>
      </c>
      <c r="C11975" t="s">
        <v>339</v>
      </c>
      <c r="D11975" s="230">
        <v>-25365.24</v>
      </c>
      <c r="E11975" t="s">
        <v>458</v>
      </c>
    </row>
    <row r="11976" spans="1:5" hidden="1" x14ac:dyDescent="0.3">
      <c r="A11976" t="s">
        <v>557</v>
      </c>
      <c r="B11976" t="s">
        <v>754</v>
      </c>
      <c r="C11976" t="s">
        <v>342</v>
      </c>
      <c r="D11976" s="230">
        <v>0</v>
      </c>
      <c r="E11976" t="s">
        <v>458</v>
      </c>
    </row>
    <row r="11977" spans="1:5" hidden="1" x14ac:dyDescent="0.3">
      <c r="A11977" t="s">
        <v>557</v>
      </c>
      <c r="B11977" t="s">
        <v>754</v>
      </c>
      <c r="C11977" t="s">
        <v>344</v>
      </c>
      <c r="D11977" s="230">
        <v>-16974.13</v>
      </c>
      <c r="E11977" t="s">
        <v>458</v>
      </c>
    </row>
    <row r="11978" spans="1:5" hidden="1" x14ac:dyDescent="0.3">
      <c r="A11978" t="s">
        <v>557</v>
      </c>
      <c r="B11978" t="s">
        <v>754</v>
      </c>
      <c r="C11978" t="s">
        <v>345</v>
      </c>
      <c r="D11978" s="230">
        <v>0</v>
      </c>
      <c r="E11978" t="s">
        <v>458</v>
      </c>
    </row>
    <row r="11979" spans="1:5" hidden="1" x14ac:dyDescent="0.3">
      <c r="A11979" t="s">
        <v>557</v>
      </c>
      <c r="B11979" t="s">
        <v>754</v>
      </c>
      <c r="C11979" t="s">
        <v>346</v>
      </c>
      <c r="D11979" s="230">
        <v>-8391.11</v>
      </c>
      <c r="E11979" t="s">
        <v>458</v>
      </c>
    </row>
    <row r="11980" spans="1:5" hidden="1" x14ac:dyDescent="0.3">
      <c r="A11980" t="s">
        <v>557</v>
      </c>
      <c r="B11980" t="s">
        <v>754</v>
      </c>
      <c r="C11980" t="s">
        <v>347</v>
      </c>
      <c r="D11980" s="230">
        <v>159707.28</v>
      </c>
      <c r="E11980" t="s">
        <v>458</v>
      </c>
    </row>
    <row r="11981" spans="1:5" hidden="1" x14ac:dyDescent="0.3">
      <c r="A11981" t="s">
        <v>557</v>
      </c>
      <c r="B11981" t="s">
        <v>754</v>
      </c>
      <c r="C11981" t="s">
        <v>44</v>
      </c>
      <c r="D11981" s="230">
        <v>0.2</v>
      </c>
      <c r="E11981" t="s">
        <v>458</v>
      </c>
    </row>
    <row r="11982" spans="1:5" hidden="1" x14ac:dyDescent="0.3">
      <c r="A11982" t="s">
        <v>557</v>
      </c>
      <c r="B11982" t="s">
        <v>754</v>
      </c>
      <c r="C11982" t="s">
        <v>348</v>
      </c>
      <c r="D11982" s="230">
        <v>-420.5</v>
      </c>
      <c r="E11982" t="s">
        <v>458</v>
      </c>
    </row>
    <row r="11983" spans="1:5" hidden="1" x14ac:dyDescent="0.3">
      <c r="A11983" t="s">
        <v>557</v>
      </c>
      <c r="B11983" t="s">
        <v>754</v>
      </c>
      <c r="C11983" t="s">
        <v>707</v>
      </c>
      <c r="D11983" s="230">
        <v>0</v>
      </c>
      <c r="E11983" t="s">
        <v>458</v>
      </c>
    </row>
    <row r="11984" spans="1:5" hidden="1" x14ac:dyDescent="0.3">
      <c r="A11984" t="s">
        <v>557</v>
      </c>
      <c r="B11984" t="s">
        <v>754</v>
      </c>
      <c r="C11984" t="s">
        <v>350</v>
      </c>
      <c r="D11984" s="230">
        <v>0</v>
      </c>
      <c r="E11984" t="s">
        <v>458</v>
      </c>
    </row>
    <row r="11985" spans="1:5" hidden="1" x14ac:dyDescent="0.3">
      <c r="A11985" t="s">
        <v>557</v>
      </c>
      <c r="B11985" t="s">
        <v>754</v>
      </c>
      <c r="C11985" t="s">
        <v>351</v>
      </c>
      <c r="D11985" s="230">
        <v>0</v>
      </c>
      <c r="E11985" t="s">
        <v>458</v>
      </c>
    </row>
    <row r="11986" spans="1:5" hidden="1" x14ac:dyDescent="0.3">
      <c r="A11986" t="s">
        <v>557</v>
      </c>
      <c r="B11986" t="s">
        <v>754</v>
      </c>
      <c r="C11986" t="s">
        <v>352</v>
      </c>
      <c r="D11986" s="230">
        <v>0</v>
      </c>
      <c r="E11986" t="s">
        <v>458</v>
      </c>
    </row>
    <row r="11987" spans="1:5" hidden="1" x14ac:dyDescent="0.3">
      <c r="A11987" t="s">
        <v>557</v>
      </c>
      <c r="B11987" t="s">
        <v>754</v>
      </c>
      <c r="C11987" t="s">
        <v>353</v>
      </c>
      <c r="D11987" s="230">
        <v>0</v>
      </c>
      <c r="E11987" t="s">
        <v>458</v>
      </c>
    </row>
    <row r="11988" spans="1:5" hidden="1" x14ac:dyDescent="0.3">
      <c r="A11988" t="s">
        <v>557</v>
      </c>
      <c r="B11988" t="s">
        <v>754</v>
      </c>
      <c r="C11988" t="s">
        <v>354</v>
      </c>
      <c r="D11988" s="230">
        <v>0</v>
      </c>
      <c r="E11988" t="s">
        <v>458</v>
      </c>
    </row>
    <row r="11989" spans="1:5" hidden="1" x14ac:dyDescent="0.3">
      <c r="A11989" t="s">
        <v>557</v>
      </c>
      <c r="B11989" t="s">
        <v>754</v>
      </c>
      <c r="C11989" t="s">
        <v>355</v>
      </c>
      <c r="D11989" s="230">
        <v>0</v>
      </c>
      <c r="E11989" t="s">
        <v>458</v>
      </c>
    </row>
    <row r="11990" spans="1:5" hidden="1" x14ac:dyDescent="0.3">
      <c r="A11990" t="s">
        <v>557</v>
      </c>
      <c r="B11990" t="s">
        <v>754</v>
      </c>
      <c r="C11990" t="s">
        <v>356</v>
      </c>
      <c r="D11990" s="230">
        <v>0</v>
      </c>
      <c r="E11990" t="s">
        <v>458</v>
      </c>
    </row>
    <row r="11991" spans="1:5" hidden="1" x14ac:dyDescent="0.3">
      <c r="A11991" t="s">
        <v>557</v>
      </c>
      <c r="B11991" t="s">
        <v>754</v>
      </c>
      <c r="C11991" t="s">
        <v>357</v>
      </c>
      <c r="D11991" s="230">
        <v>-420.5</v>
      </c>
      <c r="E11991" t="s">
        <v>458</v>
      </c>
    </row>
    <row r="11992" spans="1:5" hidden="1" x14ac:dyDescent="0.3">
      <c r="A11992" t="s">
        <v>557</v>
      </c>
      <c r="B11992" t="s">
        <v>754</v>
      </c>
      <c r="C11992" t="s">
        <v>358</v>
      </c>
      <c r="D11992" s="230">
        <v>0</v>
      </c>
      <c r="E11992" t="s">
        <v>458</v>
      </c>
    </row>
    <row r="11993" spans="1:5" hidden="1" x14ac:dyDescent="0.3">
      <c r="A11993" t="s">
        <v>557</v>
      </c>
      <c r="B11993" t="s">
        <v>754</v>
      </c>
      <c r="C11993" t="s">
        <v>359</v>
      </c>
      <c r="D11993" s="230">
        <v>0</v>
      </c>
      <c r="E11993" t="s">
        <v>458</v>
      </c>
    </row>
    <row r="11994" spans="1:5" hidden="1" x14ac:dyDescent="0.3">
      <c r="A11994" t="s">
        <v>557</v>
      </c>
      <c r="B11994" t="s">
        <v>754</v>
      </c>
      <c r="C11994" t="s">
        <v>360</v>
      </c>
      <c r="D11994" s="230">
        <v>0</v>
      </c>
      <c r="E11994" t="s">
        <v>458</v>
      </c>
    </row>
    <row r="11995" spans="1:5" hidden="1" x14ac:dyDescent="0.3">
      <c r="A11995" t="s">
        <v>557</v>
      </c>
      <c r="B11995" t="s">
        <v>754</v>
      </c>
      <c r="C11995" t="s">
        <v>361</v>
      </c>
      <c r="D11995" s="230">
        <v>0</v>
      </c>
      <c r="E11995" t="s">
        <v>458</v>
      </c>
    </row>
    <row r="11996" spans="1:5" hidden="1" x14ac:dyDescent="0.3">
      <c r="A11996" t="s">
        <v>557</v>
      </c>
      <c r="B11996" t="s">
        <v>754</v>
      </c>
      <c r="C11996" t="s">
        <v>362</v>
      </c>
      <c r="D11996" s="230">
        <v>0</v>
      </c>
      <c r="E11996" t="s">
        <v>458</v>
      </c>
    </row>
    <row r="11997" spans="1:5" hidden="1" x14ac:dyDescent="0.3">
      <c r="A11997" t="s">
        <v>557</v>
      </c>
      <c r="B11997" t="s">
        <v>754</v>
      </c>
      <c r="C11997" t="s">
        <v>363</v>
      </c>
      <c r="D11997" s="230">
        <v>0</v>
      </c>
      <c r="E11997" t="s">
        <v>458</v>
      </c>
    </row>
    <row r="11998" spans="1:5" hidden="1" x14ac:dyDescent="0.3">
      <c r="A11998" t="s">
        <v>557</v>
      </c>
      <c r="B11998" t="s">
        <v>754</v>
      </c>
      <c r="C11998" t="s">
        <v>364</v>
      </c>
      <c r="D11998" s="230">
        <v>0</v>
      </c>
      <c r="E11998" t="s">
        <v>458</v>
      </c>
    </row>
    <row r="11999" spans="1:5" hidden="1" x14ac:dyDescent="0.3">
      <c r="A11999" t="s">
        <v>557</v>
      </c>
      <c r="B11999" t="s">
        <v>754</v>
      </c>
      <c r="C11999" t="s">
        <v>365</v>
      </c>
      <c r="D11999" s="230">
        <v>-1833.34</v>
      </c>
      <c r="E11999" t="s">
        <v>458</v>
      </c>
    </row>
    <row r="12000" spans="1:5" hidden="1" x14ac:dyDescent="0.3">
      <c r="A12000" t="s">
        <v>557</v>
      </c>
      <c r="B12000" t="s">
        <v>754</v>
      </c>
      <c r="C12000" t="s">
        <v>366</v>
      </c>
      <c r="D12000" s="230">
        <v>0</v>
      </c>
      <c r="E12000" t="s">
        <v>458</v>
      </c>
    </row>
    <row r="12001" spans="1:5" hidden="1" x14ac:dyDescent="0.3">
      <c r="A12001" t="s">
        <v>557</v>
      </c>
      <c r="B12001" t="s">
        <v>754</v>
      </c>
      <c r="C12001" t="s">
        <v>367</v>
      </c>
      <c r="D12001" s="230">
        <v>0</v>
      </c>
      <c r="E12001" t="s">
        <v>458</v>
      </c>
    </row>
    <row r="12002" spans="1:5" hidden="1" x14ac:dyDescent="0.3">
      <c r="A12002" t="s">
        <v>557</v>
      </c>
      <c r="B12002" t="s">
        <v>754</v>
      </c>
      <c r="C12002" t="s">
        <v>368</v>
      </c>
      <c r="D12002" s="230">
        <v>0</v>
      </c>
      <c r="E12002" t="s">
        <v>458</v>
      </c>
    </row>
    <row r="12003" spans="1:5" hidden="1" x14ac:dyDescent="0.3">
      <c r="A12003" t="s">
        <v>557</v>
      </c>
      <c r="B12003" t="s">
        <v>754</v>
      </c>
      <c r="C12003" t="s">
        <v>369</v>
      </c>
      <c r="D12003" s="230">
        <v>-1833.34</v>
      </c>
      <c r="E12003" t="s">
        <v>458</v>
      </c>
    </row>
    <row r="12004" spans="1:5" hidden="1" x14ac:dyDescent="0.3">
      <c r="A12004" t="s">
        <v>557</v>
      </c>
      <c r="B12004" t="s">
        <v>754</v>
      </c>
      <c r="C12004" t="s">
        <v>370</v>
      </c>
      <c r="D12004" s="230">
        <v>0</v>
      </c>
      <c r="E12004" t="s">
        <v>458</v>
      </c>
    </row>
    <row r="12005" spans="1:5" hidden="1" x14ac:dyDescent="0.3">
      <c r="A12005" t="s">
        <v>557</v>
      </c>
      <c r="B12005" t="s">
        <v>754</v>
      </c>
      <c r="C12005" t="s">
        <v>371</v>
      </c>
      <c r="D12005" s="230">
        <v>0</v>
      </c>
      <c r="E12005" t="s">
        <v>458</v>
      </c>
    </row>
    <row r="12006" spans="1:5" hidden="1" x14ac:dyDescent="0.3">
      <c r="A12006" t="s">
        <v>557</v>
      </c>
      <c r="B12006" t="s">
        <v>754</v>
      </c>
      <c r="C12006" t="s">
        <v>372</v>
      </c>
      <c r="D12006" s="230">
        <v>0</v>
      </c>
      <c r="E12006" t="s">
        <v>458</v>
      </c>
    </row>
    <row r="12007" spans="1:5" hidden="1" x14ac:dyDescent="0.3">
      <c r="A12007" t="s">
        <v>557</v>
      </c>
      <c r="B12007" t="s">
        <v>754</v>
      </c>
      <c r="C12007" t="s">
        <v>373</v>
      </c>
      <c r="D12007" s="230">
        <v>-2253.84</v>
      </c>
      <c r="E12007" t="s">
        <v>458</v>
      </c>
    </row>
    <row r="12008" spans="1:5" hidden="1" x14ac:dyDescent="0.3">
      <c r="A12008" t="s">
        <v>557</v>
      </c>
      <c r="B12008" t="s">
        <v>754</v>
      </c>
      <c r="C12008" t="s">
        <v>374</v>
      </c>
      <c r="D12008" s="230">
        <v>157453.44</v>
      </c>
      <c r="E12008" t="s">
        <v>458</v>
      </c>
    </row>
    <row r="12009" spans="1:5" hidden="1" x14ac:dyDescent="0.3">
      <c r="A12009" t="s">
        <v>557</v>
      </c>
      <c r="B12009" t="s">
        <v>754</v>
      </c>
      <c r="C12009" t="s">
        <v>708</v>
      </c>
      <c r="D12009" s="230">
        <v>157453.44</v>
      </c>
      <c r="E12009" t="s">
        <v>458</v>
      </c>
    </row>
    <row r="12010" spans="1:5" hidden="1" x14ac:dyDescent="0.3">
      <c r="A12010" t="s">
        <v>557</v>
      </c>
      <c r="B12010" t="s">
        <v>755</v>
      </c>
      <c r="C12010" t="s">
        <v>11</v>
      </c>
      <c r="D12010" s="230">
        <v>5363994.72</v>
      </c>
      <c r="E12010" t="s">
        <v>755</v>
      </c>
    </row>
    <row r="12011" spans="1:5" hidden="1" x14ac:dyDescent="0.3">
      <c r="A12011" t="s">
        <v>557</v>
      </c>
      <c r="B12011" t="s">
        <v>755</v>
      </c>
      <c r="C12011" t="s">
        <v>13</v>
      </c>
      <c r="D12011" s="230">
        <v>2650617.31</v>
      </c>
      <c r="E12011" t="s">
        <v>755</v>
      </c>
    </row>
    <row r="12012" spans="1:5" hidden="1" x14ac:dyDescent="0.3">
      <c r="A12012" t="s">
        <v>557</v>
      </c>
      <c r="B12012" t="s">
        <v>755</v>
      </c>
      <c r="C12012" t="s">
        <v>16</v>
      </c>
      <c r="D12012" s="230">
        <v>1296241.17</v>
      </c>
      <c r="E12012" t="s">
        <v>755</v>
      </c>
    </row>
    <row r="12013" spans="1:5" hidden="1" x14ac:dyDescent="0.3">
      <c r="A12013" t="s">
        <v>557</v>
      </c>
      <c r="B12013" t="s">
        <v>755</v>
      </c>
      <c r="C12013" t="s">
        <v>17</v>
      </c>
      <c r="D12013" s="230">
        <v>86285</v>
      </c>
      <c r="E12013" t="s">
        <v>755</v>
      </c>
    </row>
    <row r="12014" spans="1:5" hidden="1" x14ac:dyDescent="0.3">
      <c r="A12014" t="s">
        <v>557</v>
      </c>
      <c r="B12014" t="s">
        <v>755</v>
      </c>
      <c r="C12014" t="s">
        <v>18</v>
      </c>
      <c r="D12014" s="230">
        <v>0</v>
      </c>
      <c r="E12014" t="s">
        <v>755</v>
      </c>
    </row>
    <row r="12015" spans="1:5" hidden="1" x14ac:dyDescent="0.3">
      <c r="A12015" t="s">
        <v>557</v>
      </c>
      <c r="B12015" t="s">
        <v>755</v>
      </c>
      <c r="C12015" t="s">
        <v>20</v>
      </c>
      <c r="D12015" s="230">
        <v>493095.57</v>
      </c>
      <c r="E12015" t="s">
        <v>755</v>
      </c>
    </row>
    <row r="12016" spans="1:5" hidden="1" x14ac:dyDescent="0.3">
      <c r="A12016" t="s">
        <v>557</v>
      </c>
      <c r="B12016" t="s">
        <v>755</v>
      </c>
      <c r="C12016" t="s">
        <v>23</v>
      </c>
      <c r="D12016" s="230">
        <v>540724.42000000004</v>
      </c>
      <c r="E12016" t="s">
        <v>755</v>
      </c>
    </row>
    <row r="12017" spans="1:5" hidden="1" x14ac:dyDescent="0.3">
      <c r="A12017" t="s">
        <v>557</v>
      </c>
      <c r="B12017" t="s">
        <v>755</v>
      </c>
      <c r="C12017" t="s">
        <v>25</v>
      </c>
      <c r="D12017" s="230">
        <v>1570</v>
      </c>
      <c r="E12017" t="s">
        <v>755</v>
      </c>
    </row>
    <row r="12018" spans="1:5" hidden="1" x14ac:dyDescent="0.3">
      <c r="A12018" t="s">
        <v>557</v>
      </c>
      <c r="B12018" t="s">
        <v>755</v>
      </c>
      <c r="C12018" t="s">
        <v>26</v>
      </c>
      <c r="D12018" s="230">
        <v>111395.15</v>
      </c>
      <c r="E12018" t="s">
        <v>755</v>
      </c>
    </row>
    <row r="12019" spans="1:5" hidden="1" x14ac:dyDescent="0.3">
      <c r="A12019" t="s">
        <v>557</v>
      </c>
      <c r="B12019" t="s">
        <v>755</v>
      </c>
      <c r="C12019" t="s">
        <v>27</v>
      </c>
      <c r="D12019" s="230">
        <v>0</v>
      </c>
      <c r="E12019" t="s">
        <v>755</v>
      </c>
    </row>
    <row r="12020" spans="1:5" hidden="1" x14ac:dyDescent="0.3">
      <c r="A12020" t="s">
        <v>557</v>
      </c>
      <c r="B12020" t="s">
        <v>755</v>
      </c>
      <c r="C12020" t="s">
        <v>29</v>
      </c>
      <c r="D12020" s="230">
        <v>181109.6</v>
      </c>
      <c r="E12020" t="s">
        <v>755</v>
      </c>
    </row>
    <row r="12021" spans="1:5" hidden="1" x14ac:dyDescent="0.3">
      <c r="A12021" t="s">
        <v>557</v>
      </c>
      <c r="B12021" t="s">
        <v>755</v>
      </c>
      <c r="C12021" t="s">
        <v>31</v>
      </c>
      <c r="D12021" s="230">
        <v>2956.5</v>
      </c>
      <c r="E12021" t="s">
        <v>755</v>
      </c>
    </row>
    <row r="12022" spans="1:5" hidden="1" x14ac:dyDescent="0.3">
      <c r="A12022" t="s">
        <v>557</v>
      </c>
      <c r="B12022" t="s">
        <v>755</v>
      </c>
      <c r="C12022" t="s">
        <v>34</v>
      </c>
      <c r="D12022" s="230">
        <v>-151250.38</v>
      </c>
      <c r="E12022" t="s">
        <v>755</v>
      </c>
    </row>
    <row r="12023" spans="1:5" hidden="1" x14ac:dyDescent="0.3">
      <c r="A12023" t="s">
        <v>557</v>
      </c>
      <c r="B12023" t="s">
        <v>755</v>
      </c>
      <c r="C12023" t="s">
        <v>38</v>
      </c>
      <c r="D12023" s="230">
        <v>-33639.440000000002</v>
      </c>
      <c r="E12023" t="s">
        <v>755</v>
      </c>
    </row>
    <row r="12024" spans="1:5" hidden="1" x14ac:dyDescent="0.3">
      <c r="A12024" t="s">
        <v>557</v>
      </c>
      <c r="B12024" t="s">
        <v>755</v>
      </c>
      <c r="C12024" t="s">
        <v>40</v>
      </c>
      <c r="D12024" s="230">
        <v>-99357.73</v>
      </c>
      <c r="E12024" t="s">
        <v>755</v>
      </c>
    </row>
    <row r="12025" spans="1:5" hidden="1" x14ac:dyDescent="0.3">
      <c r="A12025" t="s">
        <v>557</v>
      </c>
      <c r="B12025" t="s">
        <v>755</v>
      </c>
      <c r="C12025" t="s">
        <v>42</v>
      </c>
      <c r="D12025" s="230">
        <v>-18253.21</v>
      </c>
      <c r="E12025" t="s">
        <v>755</v>
      </c>
    </row>
    <row r="12026" spans="1:5" hidden="1" x14ac:dyDescent="0.3">
      <c r="A12026" t="s">
        <v>557</v>
      </c>
      <c r="B12026" t="s">
        <v>755</v>
      </c>
      <c r="C12026" t="s">
        <v>44</v>
      </c>
      <c r="D12026" s="230">
        <v>-0.03</v>
      </c>
      <c r="E12026" t="s">
        <v>755</v>
      </c>
    </row>
    <row r="12027" spans="1:5" hidden="1" x14ac:dyDescent="0.3">
      <c r="A12027" t="s">
        <v>557</v>
      </c>
      <c r="B12027" t="s">
        <v>755</v>
      </c>
      <c r="C12027" t="s">
        <v>45</v>
      </c>
      <c r="D12027" s="230">
        <v>-362924.68</v>
      </c>
      <c r="E12027" t="s">
        <v>755</v>
      </c>
    </row>
    <row r="12028" spans="1:5" hidden="1" x14ac:dyDescent="0.3">
      <c r="A12028" t="s">
        <v>557</v>
      </c>
      <c r="B12028" t="s">
        <v>755</v>
      </c>
      <c r="C12028" t="s">
        <v>46</v>
      </c>
      <c r="D12028" s="230">
        <v>-170528.73</v>
      </c>
      <c r="E12028" t="s">
        <v>755</v>
      </c>
    </row>
    <row r="12029" spans="1:5" hidden="1" x14ac:dyDescent="0.3">
      <c r="A12029" t="s">
        <v>557</v>
      </c>
      <c r="B12029" t="s">
        <v>755</v>
      </c>
      <c r="C12029" t="s">
        <v>48</v>
      </c>
      <c r="D12029" s="230">
        <v>-186747.7</v>
      </c>
      <c r="E12029" t="s">
        <v>755</v>
      </c>
    </row>
    <row r="12030" spans="1:5" hidden="1" x14ac:dyDescent="0.3">
      <c r="A12030" t="s">
        <v>557</v>
      </c>
      <c r="B12030" t="s">
        <v>755</v>
      </c>
      <c r="C12030" t="s">
        <v>49</v>
      </c>
      <c r="D12030" s="230">
        <v>-5648.26</v>
      </c>
      <c r="E12030" t="s">
        <v>755</v>
      </c>
    </row>
    <row r="12031" spans="1:5" hidden="1" x14ac:dyDescent="0.3">
      <c r="A12031" t="s">
        <v>557</v>
      </c>
      <c r="B12031" t="s">
        <v>755</v>
      </c>
      <c r="C12031" t="s">
        <v>50</v>
      </c>
      <c r="D12031" s="230">
        <v>4849819.66</v>
      </c>
      <c r="E12031" t="s">
        <v>755</v>
      </c>
    </row>
    <row r="12032" spans="1:5" hidden="1" x14ac:dyDescent="0.3">
      <c r="A12032" t="s">
        <v>557</v>
      </c>
      <c r="B12032" t="s">
        <v>755</v>
      </c>
      <c r="C12032" t="s">
        <v>51</v>
      </c>
      <c r="D12032" s="230">
        <v>-1365315.1</v>
      </c>
      <c r="E12032" t="s">
        <v>755</v>
      </c>
    </row>
    <row r="12033" spans="1:5" hidden="1" x14ac:dyDescent="0.3">
      <c r="A12033" t="s">
        <v>557</v>
      </c>
      <c r="B12033" t="s">
        <v>755</v>
      </c>
      <c r="C12033" t="s">
        <v>52</v>
      </c>
      <c r="D12033" s="230">
        <v>-1019564.52</v>
      </c>
      <c r="E12033" t="s">
        <v>755</v>
      </c>
    </row>
    <row r="12034" spans="1:5" hidden="1" x14ac:dyDescent="0.3">
      <c r="A12034" t="s">
        <v>557</v>
      </c>
      <c r="B12034" t="s">
        <v>755</v>
      </c>
      <c r="C12034" t="s">
        <v>53</v>
      </c>
      <c r="D12034" s="230">
        <v>-333207.34999999998</v>
      </c>
      <c r="E12034" t="s">
        <v>755</v>
      </c>
    </row>
    <row r="12035" spans="1:5" hidden="1" x14ac:dyDescent="0.3">
      <c r="A12035" t="s">
        <v>557</v>
      </c>
      <c r="B12035" t="s">
        <v>755</v>
      </c>
      <c r="C12035" t="s">
        <v>54</v>
      </c>
      <c r="D12035" s="230">
        <v>-12543.23</v>
      </c>
      <c r="E12035" t="s">
        <v>755</v>
      </c>
    </row>
    <row r="12036" spans="1:5" hidden="1" x14ac:dyDescent="0.3">
      <c r="A12036" t="s">
        <v>557</v>
      </c>
      <c r="B12036" t="s">
        <v>755</v>
      </c>
      <c r="C12036" t="s">
        <v>23</v>
      </c>
      <c r="D12036" s="230">
        <v>0</v>
      </c>
      <c r="E12036" t="s">
        <v>755</v>
      </c>
    </row>
    <row r="12037" spans="1:5" hidden="1" x14ac:dyDescent="0.3">
      <c r="A12037" t="s">
        <v>557</v>
      </c>
      <c r="B12037" t="s">
        <v>755</v>
      </c>
      <c r="C12037" t="s">
        <v>44</v>
      </c>
      <c r="D12037" s="230">
        <v>-0.3</v>
      </c>
      <c r="E12037" t="s">
        <v>755</v>
      </c>
    </row>
    <row r="12038" spans="1:5" hidden="1" x14ac:dyDescent="0.3">
      <c r="A12038" t="s">
        <v>557</v>
      </c>
      <c r="B12038" t="s">
        <v>755</v>
      </c>
      <c r="C12038" t="s">
        <v>55</v>
      </c>
      <c r="D12038" s="230">
        <v>-0.28000000000000003</v>
      </c>
      <c r="E12038" t="s">
        <v>755</v>
      </c>
    </row>
    <row r="12039" spans="1:5" hidden="1" x14ac:dyDescent="0.3">
      <c r="A12039" t="s">
        <v>557</v>
      </c>
      <c r="B12039" t="s">
        <v>755</v>
      </c>
      <c r="C12039" t="s">
        <v>56</v>
      </c>
      <c r="D12039" s="230">
        <v>-134864.04</v>
      </c>
      <c r="E12039" t="s">
        <v>755</v>
      </c>
    </row>
    <row r="12040" spans="1:5" hidden="1" x14ac:dyDescent="0.3">
      <c r="A12040" t="s">
        <v>557</v>
      </c>
      <c r="B12040" t="s">
        <v>755</v>
      </c>
      <c r="C12040" t="s">
        <v>57</v>
      </c>
      <c r="D12040" s="230">
        <v>-111362.79</v>
      </c>
      <c r="E12040" t="s">
        <v>755</v>
      </c>
    </row>
    <row r="12041" spans="1:5" hidden="1" x14ac:dyDescent="0.3">
      <c r="A12041" t="s">
        <v>557</v>
      </c>
      <c r="B12041" t="s">
        <v>755</v>
      </c>
      <c r="C12041" t="s">
        <v>58</v>
      </c>
      <c r="D12041" s="230">
        <v>-106203.95</v>
      </c>
      <c r="E12041" t="s">
        <v>755</v>
      </c>
    </row>
    <row r="12042" spans="1:5" hidden="1" x14ac:dyDescent="0.3">
      <c r="A12042" t="s">
        <v>557</v>
      </c>
      <c r="B12042" t="s">
        <v>755</v>
      </c>
      <c r="C12042" t="s">
        <v>59</v>
      </c>
      <c r="D12042" s="230">
        <v>-5158.84</v>
      </c>
      <c r="E12042" t="s">
        <v>755</v>
      </c>
    </row>
    <row r="12043" spans="1:5" hidden="1" x14ac:dyDescent="0.3">
      <c r="A12043" t="s">
        <v>557</v>
      </c>
      <c r="B12043" t="s">
        <v>755</v>
      </c>
      <c r="C12043" t="s">
        <v>61</v>
      </c>
      <c r="D12043" s="230">
        <v>0</v>
      </c>
      <c r="E12043" t="s">
        <v>755</v>
      </c>
    </row>
    <row r="12044" spans="1:5" hidden="1" x14ac:dyDescent="0.3">
      <c r="A12044" t="s">
        <v>557</v>
      </c>
      <c r="B12044" t="s">
        <v>755</v>
      </c>
      <c r="C12044" t="s">
        <v>62</v>
      </c>
      <c r="D12044" s="230">
        <v>0</v>
      </c>
      <c r="E12044" t="s">
        <v>755</v>
      </c>
    </row>
    <row r="12045" spans="1:5" hidden="1" x14ac:dyDescent="0.3">
      <c r="A12045" t="s">
        <v>557</v>
      </c>
      <c r="B12045" t="s">
        <v>755</v>
      </c>
      <c r="C12045" t="s">
        <v>64</v>
      </c>
      <c r="D12045" s="230">
        <v>0</v>
      </c>
      <c r="E12045" t="s">
        <v>755</v>
      </c>
    </row>
    <row r="12046" spans="1:5" hidden="1" x14ac:dyDescent="0.3">
      <c r="A12046" t="s">
        <v>557</v>
      </c>
      <c r="B12046" t="s">
        <v>755</v>
      </c>
      <c r="C12046" t="s">
        <v>65</v>
      </c>
      <c r="D12046" s="230">
        <v>-23501.25</v>
      </c>
      <c r="E12046" t="s">
        <v>755</v>
      </c>
    </row>
    <row r="12047" spans="1:5" hidden="1" x14ac:dyDescent="0.3">
      <c r="A12047" t="s">
        <v>557</v>
      </c>
      <c r="B12047" t="s">
        <v>755</v>
      </c>
      <c r="C12047" t="s">
        <v>66</v>
      </c>
      <c r="D12047" s="230">
        <v>-23501.25</v>
      </c>
      <c r="E12047" t="s">
        <v>755</v>
      </c>
    </row>
    <row r="12048" spans="1:5" hidden="1" x14ac:dyDescent="0.3">
      <c r="A12048" t="s">
        <v>557</v>
      </c>
      <c r="B12048" t="s">
        <v>755</v>
      </c>
      <c r="C12048" t="s">
        <v>68</v>
      </c>
      <c r="D12048" s="230">
        <v>0</v>
      </c>
      <c r="E12048" t="s">
        <v>755</v>
      </c>
    </row>
    <row r="12049" spans="1:5" hidden="1" x14ac:dyDescent="0.3">
      <c r="A12049" t="s">
        <v>557</v>
      </c>
      <c r="B12049" t="s">
        <v>755</v>
      </c>
      <c r="C12049" t="s">
        <v>69</v>
      </c>
      <c r="D12049" s="230">
        <v>0</v>
      </c>
      <c r="E12049" t="s">
        <v>755</v>
      </c>
    </row>
    <row r="12050" spans="1:5" hidden="1" x14ac:dyDescent="0.3">
      <c r="A12050" t="s">
        <v>557</v>
      </c>
      <c r="B12050" t="s">
        <v>755</v>
      </c>
      <c r="C12050" t="s">
        <v>70</v>
      </c>
      <c r="D12050" s="230">
        <v>-1.56</v>
      </c>
      <c r="E12050" t="s">
        <v>755</v>
      </c>
    </row>
    <row r="12051" spans="1:5" hidden="1" x14ac:dyDescent="0.3">
      <c r="A12051" t="s">
        <v>557</v>
      </c>
      <c r="B12051" t="s">
        <v>755</v>
      </c>
      <c r="C12051" t="s">
        <v>44</v>
      </c>
      <c r="D12051" s="230">
        <v>-0.03</v>
      </c>
      <c r="E12051" t="s">
        <v>755</v>
      </c>
    </row>
    <row r="12052" spans="1:5" hidden="1" x14ac:dyDescent="0.3">
      <c r="A12052" t="s">
        <v>557</v>
      </c>
      <c r="B12052" t="s">
        <v>755</v>
      </c>
      <c r="C12052" t="s">
        <v>71</v>
      </c>
      <c r="D12052" s="230">
        <v>-48768.21</v>
      </c>
      <c r="E12052" t="s">
        <v>755</v>
      </c>
    </row>
    <row r="12053" spans="1:5" hidden="1" x14ac:dyDescent="0.3">
      <c r="A12053" t="s">
        <v>557</v>
      </c>
      <c r="B12053" t="s">
        <v>755</v>
      </c>
      <c r="C12053" t="s">
        <v>72</v>
      </c>
      <c r="D12053" s="230">
        <v>-47768.21</v>
      </c>
      <c r="E12053" t="s">
        <v>755</v>
      </c>
    </row>
    <row r="12054" spans="1:5" hidden="1" x14ac:dyDescent="0.3">
      <c r="A12054" t="s">
        <v>557</v>
      </c>
      <c r="B12054" t="s">
        <v>755</v>
      </c>
      <c r="C12054" t="s">
        <v>73</v>
      </c>
      <c r="D12054" s="230">
        <v>-35000</v>
      </c>
      <c r="E12054" t="s">
        <v>755</v>
      </c>
    </row>
    <row r="12055" spans="1:5" hidden="1" x14ac:dyDescent="0.3">
      <c r="A12055" t="s">
        <v>557</v>
      </c>
      <c r="B12055" t="s">
        <v>755</v>
      </c>
      <c r="C12055" t="s">
        <v>75</v>
      </c>
      <c r="D12055" s="230">
        <v>-12768.21</v>
      </c>
      <c r="E12055" t="s">
        <v>755</v>
      </c>
    </row>
    <row r="12056" spans="1:5" hidden="1" x14ac:dyDescent="0.3">
      <c r="A12056" t="s">
        <v>557</v>
      </c>
      <c r="B12056" t="s">
        <v>755</v>
      </c>
      <c r="C12056" t="s">
        <v>77</v>
      </c>
      <c r="D12056" s="230">
        <v>0</v>
      </c>
      <c r="E12056" t="s">
        <v>755</v>
      </c>
    </row>
    <row r="12057" spans="1:5" hidden="1" x14ac:dyDescent="0.3">
      <c r="A12057" t="s">
        <v>557</v>
      </c>
      <c r="B12057" t="s">
        <v>755</v>
      </c>
      <c r="C12057" t="s">
        <v>78</v>
      </c>
      <c r="D12057" s="230">
        <v>0</v>
      </c>
      <c r="E12057" t="s">
        <v>755</v>
      </c>
    </row>
    <row r="12058" spans="1:5" hidden="1" x14ac:dyDescent="0.3">
      <c r="A12058" t="s">
        <v>557</v>
      </c>
      <c r="B12058" t="s">
        <v>755</v>
      </c>
      <c r="C12058" t="s">
        <v>80</v>
      </c>
      <c r="D12058" s="230">
        <v>0</v>
      </c>
      <c r="E12058" t="s">
        <v>755</v>
      </c>
    </row>
    <row r="12059" spans="1:5" hidden="1" x14ac:dyDescent="0.3">
      <c r="A12059" t="s">
        <v>557</v>
      </c>
      <c r="B12059" t="s">
        <v>755</v>
      </c>
      <c r="C12059" t="s">
        <v>82</v>
      </c>
      <c r="D12059" s="230">
        <v>0</v>
      </c>
      <c r="E12059" t="s">
        <v>755</v>
      </c>
    </row>
    <row r="12060" spans="1:5" hidden="1" x14ac:dyDescent="0.3">
      <c r="A12060" t="s">
        <v>557</v>
      </c>
      <c r="B12060" t="s">
        <v>755</v>
      </c>
      <c r="C12060" t="s">
        <v>84</v>
      </c>
      <c r="D12060" s="230">
        <v>0</v>
      </c>
      <c r="E12060" t="s">
        <v>755</v>
      </c>
    </row>
    <row r="12061" spans="1:5" hidden="1" x14ac:dyDescent="0.3">
      <c r="A12061" t="s">
        <v>557</v>
      </c>
      <c r="B12061" t="s">
        <v>755</v>
      </c>
      <c r="C12061" t="s">
        <v>85</v>
      </c>
      <c r="D12061" s="230">
        <v>0</v>
      </c>
      <c r="E12061" t="s">
        <v>755</v>
      </c>
    </row>
    <row r="12062" spans="1:5" hidden="1" x14ac:dyDescent="0.3">
      <c r="A12062" t="s">
        <v>557</v>
      </c>
      <c r="B12062" t="s">
        <v>755</v>
      </c>
      <c r="C12062" t="s">
        <v>86</v>
      </c>
      <c r="D12062" s="230">
        <v>0</v>
      </c>
      <c r="E12062" t="s">
        <v>755</v>
      </c>
    </row>
    <row r="12063" spans="1:5" hidden="1" x14ac:dyDescent="0.3">
      <c r="A12063" t="s">
        <v>557</v>
      </c>
      <c r="B12063" t="s">
        <v>755</v>
      </c>
      <c r="C12063" t="s">
        <v>87</v>
      </c>
      <c r="D12063" s="230">
        <v>0</v>
      </c>
      <c r="E12063" t="s">
        <v>755</v>
      </c>
    </row>
    <row r="12064" spans="1:5" hidden="1" x14ac:dyDescent="0.3">
      <c r="A12064" t="s">
        <v>557</v>
      </c>
      <c r="B12064" t="s">
        <v>755</v>
      </c>
      <c r="C12064" t="s">
        <v>88</v>
      </c>
      <c r="D12064" s="230">
        <v>0</v>
      </c>
      <c r="E12064" t="s">
        <v>755</v>
      </c>
    </row>
    <row r="12065" spans="1:5" hidden="1" x14ac:dyDescent="0.3">
      <c r="A12065" t="s">
        <v>557</v>
      </c>
      <c r="B12065" t="s">
        <v>755</v>
      </c>
      <c r="C12065" t="s">
        <v>89</v>
      </c>
      <c r="D12065" s="230">
        <v>0</v>
      </c>
      <c r="E12065" t="s">
        <v>755</v>
      </c>
    </row>
    <row r="12066" spans="1:5" hidden="1" x14ac:dyDescent="0.3">
      <c r="A12066" t="s">
        <v>557</v>
      </c>
      <c r="B12066" t="s">
        <v>755</v>
      </c>
      <c r="C12066" t="s">
        <v>90</v>
      </c>
      <c r="D12066" s="230">
        <v>0</v>
      </c>
      <c r="E12066" t="s">
        <v>755</v>
      </c>
    </row>
    <row r="12067" spans="1:5" hidden="1" x14ac:dyDescent="0.3">
      <c r="A12067" t="s">
        <v>557</v>
      </c>
      <c r="B12067" t="s">
        <v>755</v>
      </c>
      <c r="C12067" t="s">
        <v>91</v>
      </c>
      <c r="D12067" s="230">
        <v>0</v>
      </c>
      <c r="E12067" t="s">
        <v>755</v>
      </c>
    </row>
    <row r="12068" spans="1:5" hidden="1" x14ac:dyDescent="0.3">
      <c r="A12068" t="s">
        <v>557</v>
      </c>
      <c r="B12068" t="s">
        <v>755</v>
      </c>
      <c r="C12068" t="s">
        <v>93</v>
      </c>
      <c r="D12068" s="230">
        <v>0</v>
      </c>
      <c r="E12068" t="s">
        <v>755</v>
      </c>
    </row>
    <row r="12069" spans="1:5" hidden="1" x14ac:dyDescent="0.3">
      <c r="A12069" t="s">
        <v>557</v>
      </c>
      <c r="B12069" t="s">
        <v>755</v>
      </c>
      <c r="C12069" t="s">
        <v>95</v>
      </c>
      <c r="D12069" s="230">
        <v>0</v>
      </c>
      <c r="E12069" t="s">
        <v>755</v>
      </c>
    </row>
    <row r="12070" spans="1:5" hidden="1" x14ac:dyDescent="0.3">
      <c r="A12070" t="s">
        <v>557</v>
      </c>
      <c r="B12070" t="s">
        <v>755</v>
      </c>
      <c r="C12070" t="s">
        <v>96</v>
      </c>
      <c r="D12070" s="230">
        <v>0</v>
      </c>
      <c r="E12070" t="s">
        <v>755</v>
      </c>
    </row>
    <row r="12071" spans="1:5" hidden="1" x14ac:dyDescent="0.3">
      <c r="A12071" t="s">
        <v>557</v>
      </c>
      <c r="B12071" t="s">
        <v>755</v>
      </c>
      <c r="C12071" t="s">
        <v>98</v>
      </c>
      <c r="D12071" s="230">
        <v>0</v>
      </c>
      <c r="E12071" t="s">
        <v>755</v>
      </c>
    </row>
    <row r="12072" spans="1:5" hidden="1" x14ac:dyDescent="0.3">
      <c r="A12072" t="s">
        <v>557</v>
      </c>
      <c r="B12072" t="s">
        <v>755</v>
      </c>
      <c r="C12072" t="s">
        <v>100</v>
      </c>
      <c r="D12072" s="230">
        <v>0</v>
      </c>
      <c r="E12072" t="s">
        <v>755</v>
      </c>
    </row>
    <row r="12073" spans="1:5" hidden="1" x14ac:dyDescent="0.3">
      <c r="A12073" t="s">
        <v>557</v>
      </c>
      <c r="B12073" t="s">
        <v>755</v>
      </c>
      <c r="C12073" t="s">
        <v>101</v>
      </c>
      <c r="D12073" s="230">
        <v>-1000</v>
      </c>
      <c r="E12073" t="s">
        <v>755</v>
      </c>
    </row>
    <row r="12074" spans="1:5" hidden="1" x14ac:dyDescent="0.3">
      <c r="A12074" t="s">
        <v>557</v>
      </c>
      <c r="B12074" t="s">
        <v>755</v>
      </c>
      <c r="C12074" t="s">
        <v>102</v>
      </c>
      <c r="D12074" s="230">
        <v>0</v>
      </c>
      <c r="E12074" t="s">
        <v>755</v>
      </c>
    </row>
    <row r="12075" spans="1:5" hidden="1" x14ac:dyDescent="0.3">
      <c r="A12075" t="s">
        <v>557</v>
      </c>
      <c r="B12075" t="s">
        <v>755</v>
      </c>
      <c r="C12075" t="s">
        <v>103</v>
      </c>
      <c r="D12075" s="230">
        <v>-1000</v>
      </c>
      <c r="E12075" t="s">
        <v>755</v>
      </c>
    </row>
    <row r="12076" spans="1:5" hidden="1" x14ac:dyDescent="0.3">
      <c r="A12076" t="s">
        <v>557</v>
      </c>
      <c r="B12076" t="s">
        <v>755</v>
      </c>
      <c r="C12076" t="s">
        <v>104</v>
      </c>
      <c r="D12076" s="230">
        <v>0</v>
      </c>
      <c r="E12076" t="s">
        <v>755</v>
      </c>
    </row>
    <row r="12077" spans="1:5" hidden="1" x14ac:dyDescent="0.3">
      <c r="A12077" t="s">
        <v>557</v>
      </c>
      <c r="B12077" t="s">
        <v>755</v>
      </c>
      <c r="C12077" t="s">
        <v>105</v>
      </c>
      <c r="D12077" s="230">
        <v>0</v>
      </c>
      <c r="E12077" t="s">
        <v>755</v>
      </c>
    </row>
    <row r="12078" spans="1:5" hidden="1" x14ac:dyDescent="0.3">
      <c r="A12078" t="s">
        <v>557</v>
      </c>
      <c r="B12078" t="s">
        <v>755</v>
      </c>
      <c r="C12078" t="s">
        <v>107</v>
      </c>
      <c r="D12078" s="230">
        <v>0</v>
      </c>
      <c r="E12078" t="s">
        <v>755</v>
      </c>
    </row>
    <row r="12079" spans="1:5" hidden="1" x14ac:dyDescent="0.3">
      <c r="A12079" t="s">
        <v>557</v>
      </c>
      <c r="B12079" t="s">
        <v>755</v>
      </c>
      <c r="C12079" t="s">
        <v>108</v>
      </c>
      <c r="D12079" s="230">
        <v>0</v>
      </c>
      <c r="E12079" t="s">
        <v>755</v>
      </c>
    </row>
    <row r="12080" spans="1:5" hidden="1" x14ac:dyDescent="0.3">
      <c r="A12080" t="s">
        <v>557</v>
      </c>
      <c r="B12080" t="s">
        <v>755</v>
      </c>
      <c r="C12080" t="s">
        <v>109</v>
      </c>
      <c r="D12080" s="230">
        <v>0</v>
      </c>
      <c r="E12080" t="s">
        <v>755</v>
      </c>
    </row>
    <row r="12081" spans="1:5" hidden="1" x14ac:dyDescent="0.3">
      <c r="A12081" t="s">
        <v>557</v>
      </c>
      <c r="B12081" t="s">
        <v>755</v>
      </c>
      <c r="C12081" t="s">
        <v>110</v>
      </c>
      <c r="D12081" s="230">
        <v>-7.0000000000000007E-2</v>
      </c>
      <c r="E12081" t="s">
        <v>755</v>
      </c>
    </row>
    <row r="12082" spans="1:5" hidden="1" x14ac:dyDescent="0.3">
      <c r="A12082" t="s">
        <v>557</v>
      </c>
      <c r="B12082" t="s">
        <v>755</v>
      </c>
      <c r="C12082" t="s">
        <v>44</v>
      </c>
      <c r="D12082" s="230">
        <v>-0.01</v>
      </c>
      <c r="E12082" t="s">
        <v>755</v>
      </c>
    </row>
    <row r="12083" spans="1:5" hidden="1" x14ac:dyDescent="0.3">
      <c r="A12083" t="s">
        <v>557</v>
      </c>
      <c r="B12083" t="s">
        <v>755</v>
      </c>
      <c r="C12083" t="s">
        <v>111</v>
      </c>
      <c r="D12083" s="230">
        <v>-395573.26</v>
      </c>
      <c r="E12083" t="s">
        <v>755</v>
      </c>
    </row>
    <row r="12084" spans="1:5" hidden="1" x14ac:dyDescent="0.3">
      <c r="A12084" t="s">
        <v>557</v>
      </c>
      <c r="B12084" t="s">
        <v>755</v>
      </c>
      <c r="C12084" t="s">
        <v>608</v>
      </c>
      <c r="D12084" s="230">
        <v>-395573.26</v>
      </c>
      <c r="E12084" t="s">
        <v>755</v>
      </c>
    </row>
    <row r="12085" spans="1:5" hidden="1" x14ac:dyDescent="0.3">
      <c r="A12085" t="s">
        <v>557</v>
      </c>
      <c r="B12085" t="s">
        <v>755</v>
      </c>
      <c r="C12085" t="s">
        <v>44</v>
      </c>
      <c r="D12085" s="230">
        <v>-7.0000000000000007E-2</v>
      </c>
      <c r="E12085" t="s">
        <v>755</v>
      </c>
    </row>
    <row r="12086" spans="1:5" hidden="1" x14ac:dyDescent="0.3">
      <c r="A12086" t="s">
        <v>557</v>
      </c>
      <c r="B12086" t="s">
        <v>755</v>
      </c>
      <c r="C12086" t="s">
        <v>115</v>
      </c>
      <c r="D12086" s="230">
        <v>-114834.56</v>
      </c>
      <c r="E12086" t="s">
        <v>755</v>
      </c>
    </row>
    <row r="12087" spans="1:5" hidden="1" x14ac:dyDescent="0.3">
      <c r="A12087" t="s">
        <v>557</v>
      </c>
      <c r="B12087" t="s">
        <v>755</v>
      </c>
      <c r="C12087" t="s">
        <v>116</v>
      </c>
      <c r="D12087" s="230">
        <v>-69243.710000000006</v>
      </c>
      <c r="E12087" t="s">
        <v>755</v>
      </c>
    </row>
    <row r="12088" spans="1:5" hidden="1" x14ac:dyDescent="0.3">
      <c r="A12088" t="s">
        <v>557</v>
      </c>
      <c r="B12088" t="s">
        <v>755</v>
      </c>
      <c r="C12088" t="s">
        <v>118</v>
      </c>
      <c r="D12088" s="230">
        <v>-44949.08</v>
      </c>
      <c r="E12088" t="s">
        <v>755</v>
      </c>
    </row>
    <row r="12089" spans="1:5" hidden="1" x14ac:dyDescent="0.3">
      <c r="A12089" t="s">
        <v>557</v>
      </c>
      <c r="B12089" t="s">
        <v>755</v>
      </c>
      <c r="C12089" t="s">
        <v>120</v>
      </c>
      <c r="D12089" s="230">
        <v>0</v>
      </c>
      <c r="E12089" t="s">
        <v>755</v>
      </c>
    </row>
    <row r="12090" spans="1:5" hidden="1" x14ac:dyDescent="0.3">
      <c r="A12090" t="s">
        <v>557</v>
      </c>
      <c r="B12090" t="s">
        <v>755</v>
      </c>
      <c r="C12090" t="s">
        <v>122</v>
      </c>
      <c r="D12090" s="230">
        <v>-641.77</v>
      </c>
      <c r="E12090" t="s">
        <v>755</v>
      </c>
    </row>
    <row r="12091" spans="1:5" hidden="1" x14ac:dyDescent="0.3">
      <c r="A12091" t="s">
        <v>557</v>
      </c>
      <c r="B12091" t="s">
        <v>755</v>
      </c>
      <c r="C12091" t="s">
        <v>44</v>
      </c>
      <c r="D12091" s="230">
        <v>-0.02</v>
      </c>
      <c r="E12091" t="s">
        <v>755</v>
      </c>
    </row>
    <row r="12092" spans="1:5" hidden="1" x14ac:dyDescent="0.3">
      <c r="A12092" t="s">
        <v>557</v>
      </c>
      <c r="B12092" t="s">
        <v>755</v>
      </c>
      <c r="C12092" t="s">
        <v>126</v>
      </c>
      <c r="D12092" s="230">
        <v>2790464.49</v>
      </c>
      <c r="E12092" t="s">
        <v>755</v>
      </c>
    </row>
    <row r="12093" spans="1:5" hidden="1" x14ac:dyDescent="0.3">
      <c r="A12093" t="s">
        <v>557</v>
      </c>
      <c r="B12093" t="s">
        <v>755</v>
      </c>
      <c r="C12093" t="s">
        <v>127</v>
      </c>
      <c r="D12093" s="230">
        <v>0.52</v>
      </c>
      <c r="E12093" t="s">
        <v>755</v>
      </c>
    </row>
    <row r="12094" spans="1:5" hidden="1" x14ac:dyDescent="0.3">
      <c r="A12094" t="s">
        <v>557</v>
      </c>
      <c r="B12094" t="s">
        <v>755</v>
      </c>
      <c r="C12094" t="s">
        <v>128</v>
      </c>
      <c r="D12094" s="230">
        <v>-1552274.88</v>
      </c>
      <c r="E12094" t="s">
        <v>755</v>
      </c>
    </row>
    <row r="12095" spans="1:5" hidden="1" x14ac:dyDescent="0.3">
      <c r="A12095" t="s">
        <v>557</v>
      </c>
      <c r="B12095" t="s">
        <v>755</v>
      </c>
      <c r="C12095" t="s">
        <v>129</v>
      </c>
      <c r="D12095" s="230">
        <v>-438322.94</v>
      </c>
      <c r="E12095" t="s">
        <v>755</v>
      </c>
    </row>
    <row r="12096" spans="1:5" hidden="1" x14ac:dyDescent="0.3">
      <c r="A12096" t="s">
        <v>557</v>
      </c>
      <c r="B12096" t="s">
        <v>755</v>
      </c>
      <c r="C12096" t="s">
        <v>609</v>
      </c>
      <c r="D12096" s="230">
        <v>-27283.34</v>
      </c>
      <c r="E12096" t="s">
        <v>755</v>
      </c>
    </row>
    <row r="12097" spans="1:5" hidden="1" x14ac:dyDescent="0.3">
      <c r="A12097" t="s">
        <v>557</v>
      </c>
      <c r="B12097" t="s">
        <v>755</v>
      </c>
      <c r="C12097" t="s">
        <v>610</v>
      </c>
      <c r="D12097" s="230">
        <v>-229800</v>
      </c>
      <c r="E12097" t="s">
        <v>755</v>
      </c>
    </row>
    <row r="12098" spans="1:5" hidden="1" x14ac:dyDescent="0.3">
      <c r="A12098" t="s">
        <v>557</v>
      </c>
      <c r="B12098" t="s">
        <v>755</v>
      </c>
      <c r="C12098" t="s">
        <v>611</v>
      </c>
      <c r="D12098" s="230">
        <v>0</v>
      </c>
      <c r="E12098" t="s">
        <v>755</v>
      </c>
    </row>
    <row r="12099" spans="1:5" hidden="1" x14ac:dyDescent="0.3">
      <c r="A12099" t="s">
        <v>557</v>
      </c>
      <c r="B12099" t="s">
        <v>755</v>
      </c>
      <c r="C12099" t="s">
        <v>612</v>
      </c>
      <c r="D12099" s="230">
        <v>-35148.400000000001</v>
      </c>
      <c r="E12099" t="s">
        <v>755</v>
      </c>
    </row>
    <row r="12100" spans="1:5" hidden="1" x14ac:dyDescent="0.3">
      <c r="A12100" t="s">
        <v>557</v>
      </c>
      <c r="B12100" t="s">
        <v>755</v>
      </c>
      <c r="C12100" t="s">
        <v>613</v>
      </c>
      <c r="D12100" s="230">
        <v>-28157.11</v>
      </c>
      <c r="E12100" t="s">
        <v>755</v>
      </c>
    </row>
    <row r="12101" spans="1:5" hidden="1" x14ac:dyDescent="0.3">
      <c r="A12101" t="s">
        <v>557</v>
      </c>
      <c r="B12101" t="s">
        <v>755</v>
      </c>
      <c r="C12101" t="s">
        <v>614</v>
      </c>
      <c r="D12101" s="230">
        <v>-77702.460000000006</v>
      </c>
      <c r="E12101" t="s">
        <v>755</v>
      </c>
    </row>
    <row r="12102" spans="1:5" hidden="1" x14ac:dyDescent="0.3">
      <c r="A12102" t="s">
        <v>557</v>
      </c>
      <c r="B12102" t="s">
        <v>755</v>
      </c>
      <c r="C12102" t="s">
        <v>615</v>
      </c>
      <c r="D12102" s="230">
        <v>0</v>
      </c>
      <c r="E12102" t="s">
        <v>755</v>
      </c>
    </row>
    <row r="12103" spans="1:5" hidden="1" x14ac:dyDescent="0.3">
      <c r="A12103" t="s">
        <v>557</v>
      </c>
      <c r="B12103" t="s">
        <v>755</v>
      </c>
      <c r="C12103" t="s">
        <v>616</v>
      </c>
      <c r="D12103" s="230">
        <v>-40231.629999999997</v>
      </c>
      <c r="E12103" t="s">
        <v>755</v>
      </c>
    </row>
    <row r="12104" spans="1:5" hidden="1" x14ac:dyDescent="0.3">
      <c r="A12104" t="s">
        <v>557</v>
      </c>
      <c r="B12104" t="s">
        <v>755</v>
      </c>
      <c r="C12104" t="s">
        <v>617</v>
      </c>
      <c r="D12104" s="230">
        <v>0</v>
      </c>
      <c r="E12104" t="s">
        <v>755</v>
      </c>
    </row>
    <row r="12105" spans="1:5" hidden="1" x14ac:dyDescent="0.3">
      <c r="A12105" t="s">
        <v>557</v>
      </c>
      <c r="B12105" t="s">
        <v>755</v>
      </c>
      <c r="C12105" t="s">
        <v>618</v>
      </c>
      <c r="D12105" s="230">
        <v>0</v>
      </c>
      <c r="E12105" t="s">
        <v>755</v>
      </c>
    </row>
    <row r="12106" spans="1:5" hidden="1" x14ac:dyDescent="0.3">
      <c r="A12106" t="s">
        <v>557</v>
      </c>
      <c r="B12106" t="s">
        <v>755</v>
      </c>
      <c r="C12106" t="s">
        <v>619</v>
      </c>
      <c r="D12106" s="230">
        <v>0</v>
      </c>
      <c r="E12106" t="s">
        <v>755</v>
      </c>
    </row>
    <row r="12107" spans="1:5" hidden="1" x14ac:dyDescent="0.3">
      <c r="A12107" t="s">
        <v>557</v>
      </c>
      <c r="B12107" t="s">
        <v>755</v>
      </c>
      <c r="C12107" t="s">
        <v>620</v>
      </c>
      <c r="D12107" s="230">
        <v>0</v>
      </c>
      <c r="E12107" t="s">
        <v>755</v>
      </c>
    </row>
    <row r="12108" spans="1:5" hidden="1" x14ac:dyDescent="0.3">
      <c r="A12108" t="s">
        <v>557</v>
      </c>
      <c r="B12108" t="s">
        <v>755</v>
      </c>
      <c r="C12108" t="s">
        <v>575</v>
      </c>
      <c r="D12108" s="230">
        <v>-367943.99</v>
      </c>
      <c r="E12108" t="s">
        <v>755</v>
      </c>
    </row>
    <row r="12109" spans="1:5" hidden="1" x14ac:dyDescent="0.3">
      <c r="A12109" t="s">
        <v>557</v>
      </c>
      <c r="B12109" t="s">
        <v>755</v>
      </c>
      <c r="C12109" t="s">
        <v>621</v>
      </c>
      <c r="D12109" s="230">
        <v>0</v>
      </c>
      <c r="E12109" t="s">
        <v>755</v>
      </c>
    </row>
    <row r="12110" spans="1:5" hidden="1" x14ac:dyDescent="0.3">
      <c r="A12110" t="s">
        <v>557</v>
      </c>
      <c r="B12110" t="s">
        <v>755</v>
      </c>
      <c r="C12110" t="s">
        <v>622</v>
      </c>
      <c r="D12110" s="230">
        <v>0</v>
      </c>
      <c r="E12110" t="s">
        <v>755</v>
      </c>
    </row>
    <row r="12111" spans="1:5" hidden="1" x14ac:dyDescent="0.3">
      <c r="A12111" t="s">
        <v>557</v>
      </c>
      <c r="B12111" t="s">
        <v>755</v>
      </c>
      <c r="C12111" t="s">
        <v>623</v>
      </c>
      <c r="D12111" s="230">
        <v>0</v>
      </c>
      <c r="E12111" t="s">
        <v>755</v>
      </c>
    </row>
    <row r="12112" spans="1:5" hidden="1" x14ac:dyDescent="0.3">
      <c r="A12112" t="s">
        <v>557</v>
      </c>
      <c r="B12112" t="s">
        <v>755</v>
      </c>
      <c r="C12112" t="s">
        <v>624</v>
      </c>
      <c r="D12112" s="230">
        <v>0</v>
      </c>
      <c r="E12112" t="s">
        <v>755</v>
      </c>
    </row>
    <row r="12113" spans="1:5" hidden="1" x14ac:dyDescent="0.3">
      <c r="A12113" t="s">
        <v>557</v>
      </c>
      <c r="B12113" t="s">
        <v>755</v>
      </c>
      <c r="C12113" t="s">
        <v>625</v>
      </c>
      <c r="D12113" s="230">
        <v>0</v>
      </c>
      <c r="E12113" t="s">
        <v>755</v>
      </c>
    </row>
    <row r="12114" spans="1:5" hidden="1" x14ac:dyDescent="0.3">
      <c r="A12114" t="s">
        <v>557</v>
      </c>
      <c r="B12114" t="s">
        <v>755</v>
      </c>
      <c r="C12114" t="s">
        <v>626</v>
      </c>
      <c r="D12114" s="230">
        <v>0</v>
      </c>
      <c r="E12114" t="s">
        <v>755</v>
      </c>
    </row>
    <row r="12115" spans="1:5" hidden="1" x14ac:dyDescent="0.3">
      <c r="A12115" t="s">
        <v>557</v>
      </c>
      <c r="B12115" t="s">
        <v>755</v>
      </c>
      <c r="C12115" t="s">
        <v>627</v>
      </c>
      <c r="D12115" s="230">
        <v>0</v>
      </c>
      <c r="E12115" t="s">
        <v>755</v>
      </c>
    </row>
    <row r="12116" spans="1:5" hidden="1" x14ac:dyDescent="0.3">
      <c r="A12116" t="s">
        <v>557</v>
      </c>
      <c r="B12116" t="s">
        <v>755</v>
      </c>
      <c r="C12116" t="s">
        <v>628</v>
      </c>
      <c r="D12116" s="230">
        <v>0</v>
      </c>
      <c r="E12116" t="s">
        <v>755</v>
      </c>
    </row>
    <row r="12117" spans="1:5" hidden="1" x14ac:dyDescent="0.3">
      <c r="A12117" t="s">
        <v>557</v>
      </c>
      <c r="B12117" t="s">
        <v>755</v>
      </c>
      <c r="C12117" t="s">
        <v>629</v>
      </c>
      <c r="D12117" s="230">
        <v>0</v>
      </c>
      <c r="E12117" t="s">
        <v>755</v>
      </c>
    </row>
    <row r="12118" spans="1:5" hidden="1" x14ac:dyDescent="0.3">
      <c r="A12118" t="s">
        <v>557</v>
      </c>
      <c r="B12118" t="s">
        <v>755</v>
      </c>
      <c r="C12118" t="s">
        <v>630</v>
      </c>
      <c r="D12118" s="230">
        <v>0</v>
      </c>
      <c r="E12118" t="s">
        <v>755</v>
      </c>
    </row>
    <row r="12119" spans="1:5" hidden="1" x14ac:dyDescent="0.3">
      <c r="A12119" t="s">
        <v>557</v>
      </c>
      <c r="B12119" t="s">
        <v>755</v>
      </c>
      <c r="C12119" t="s">
        <v>631</v>
      </c>
      <c r="D12119" s="230">
        <v>0</v>
      </c>
      <c r="E12119" t="s">
        <v>755</v>
      </c>
    </row>
    <row r="12120" spans="1:5" hidden="1" x14ac:dyDescent="0.3">
      <c r="A12120" t="s">
        <v>557</v>
      </c>
      <c r="B12120" t="s">
        <v>755</v>
      </c>
      <c r="C12120" t="s">
        <v>632</v>
      </c>
      <c r="D12120" s="230">
        <v>0</v>
      </c>
      <c r="E12120" t="s">
        <v>755</v>
      </c>
    </row>
    <row r="12121" spans="1:5" hidden="1" x14ac:dyDescent="0.3">
      <c r="A12121" t="s">
        <v>557</v>
      </c>
      <c r="B12121" t="s">
        <v>755</v>
      </c>
      <c r="C12121" t="s">
        <v>633</v>
      </c>
      <c r="D12121" s="230">
        <v>0</v>
      </c>
      <c r="E12121" t="s">
        <v>755</v>
      </c>
    </row>
    <row r="12122" spans="1:5" hidden="1" x14ac:dyDescent="0.3">
      <c r="A12122" t="s">
        <v>557</v>
      </c>
      <c r="B12122" t="s">
        <v>755</v>
      </c>
      <c r="C12122" t="s">
        <v>634</v>
      </c>
      <c r="D12122" s="230">
        <v>0</v>
      </c>
      <c r="E12122" t="s">
        <v>755</v>
      </c>
    </row>
    <row r="12123" spans="1:5" hidden="1" x14ac:dyDescent="0.3">
      <c r="A12123" t="s">
        <v>557</v>
      </c>
      <c r="B12123" t="s">
        <v>755</v>
      </c>
      <c r="C12123" t="s">
        <v>635</v>
      </c>
      <c r="D12123" s="230">
        <v>0</v>
      </c>
      <c r="E12123" t="s">
        <v>755</v>
      </c>
    </row>
    <row r="12124" spans="1:5" hidden="1" x14ac:dyDescent="0.3">
      <c r="A12124" t="s">
        <v>557</v>
      </c>
      <c r="B12124" t="s">
        <v>755</v>
      </c>
      <c r="C12124" t="s">
        <v>636</v>
      </c>
      <c r="D12124" s="230">
        <v>0</v>
      </c>
      <c r="E12124" t="s">
        <v>755</v>
      </c>
    </row>
    <row r="12125" spans="1:5" hidden="1" x14ac:dyDescent="0.3">
      <c r="A12125" t="s">
        <v>557</v>
      </c>
      <c r="B12125" t="s">
        <v>755</v>
      </c>
      <c r="C12125" t="s">
        <v>637</v>
      </c>
      <c r="D12125" s="230">
        <v>0</v>
      </c>
      <c r="E12125" t="s">
        <v>755</v>
      </c>
    </row>
    <row r="12126" spans="1:5" hidden="1" x14ac:dyDescent="0.3">
      <c r="A12126" t="s">
        <v>557</v>
      </c>
      <c r="B12126" t="s">
        <v>755</v>
      </c>
      <c r="C12126" t="s">
        <v>638</v>
      </c>
      <c r="D12126" s="230">
        <v>0</v>
      </c>
      <c r="E12126" t="s">
        <v>755</v>
      </c>
    </row>
    <row r="12127" spans="1:5" hidden="1" x14ac:dyDescent="0.3">
      <c r="A12127" t="s">
        <v>557</v>
      </c>
      <c r="B12127" t="s">
        <v>755</v>
      </c>
      <c r="C12127" t="s">
        <v>639</v>
      </c>
      <c r="D12127" s="230">
        <v>0</v>
      </c>
      <c r="E12127" t="s">
        <v>755</v>
      </c>
    </row>
    <row r="12128" spans="1:5" hidden="1" x14ac:dyDescent="0.3">
      <c r="A12128" t="s">
        <v>557</v>
      </c>
      <c r="B12128" t="s">
        <v>755</v>
      </c>
      <c r="C12128" t="s">
        <v>640</v>
      </c>
      <c r="D12128" s="230">
        <v>0</v>
      </c>
      <c r="E12128" t="s">
        <v>755</v>
      </c>
    </row>
    <row r="12129" spans="1:5" hidden="1" x14ac:dyDescent="0.3">
      <c r="A12129" t="s">
        <v>557</v>
      </c>
      <c r="B12129" t="s">
        <v>755</v>
      </c>
      <c r="C12129" t="s">
        <v>641</v>
      </c>
      <c r="D12129" s="230">
        <v>0</v>
      </c>
      <c r="E12129" t="s">
        <v>755</v>
      </c>
    </row>
    <row r="12130" spans="1:5" hidden="1" x14ac:dyDescent="0.3">
      <c r="A12130" t="s">
        <v>557</v>
      </c>
      <c r="B12130" t="s">
        <v>755</v>
      </c>
      <c r="C12130" t="s">
        <v>642</v>
      </c>
      <c r="D12130" s="230">
        <v>0</v>
      </c>
      <c r="E12130" t="s">
        <v>755</v>
      </c>
    </row>
    <row r="12131" spans="1:5" hidden="1" x14ac:dyDescent="0.3">
      <c r="A12131" t="s">
        <v>557</v>
      </c>
      <c r="B12131" t="s">
        <v>755</v>
      </c>
      <c r="C12131" t="s">
        <v>643</v>
      </c>
      <c r="D12131" s="230">
        <v>0</v>
      </c>
      <c r="E12131" t="s">
        <v>755</v>
      </c>
    </row>
    <row r="12132" spans="1:5" hidden="1" x14ac:dyDescent="0.3">
      <c r="A12132" t="s">
        <v>557</v>
      </c>
      <c r="B12132" t="s">
        <v>755</v>
      </c>
      <c r="C12132" t="s">
        <v>644</v>
      </c>
      <c r="D12132" s="230">
        <v>0</v>
      </c>
      <c r="E12132" t="s">
        <v>755</v>
      </c>
    </row>
    <row r="12133" spans="1:5" hidden="1" x14ac:dyDescent="0.3">
      <c r="A12133" t="s">
        <v>557</v>
      </c>
      <c r="B12133" t="s">
        <v>755</v>
      </c>
      <c r="C12133" t="s">
        <v>645</v>
      </c>
      <c r="D12133" s="230">
        <v>0</v>
      </c>
      <c r="E12133" t="s">
        <v>755</v>
      </c>
    </row>
    <row r="12134" spans="1:5" hidden="1" x14ac:dyDescent="0.3">
      <c r="A12134" t="s">
        <v>557</v>
      </c>
      <c r="B12134" t="s">
        <v>755</v>
      </c>
      <c r="C12134" t="s">
        <v>646</v>
      </c>
      <c r="D12134" s="230">
        <v>0</v>
      </c>
      <c r="E12134" t="s">
        <v>755</v>
      </c>
    </row>
    <row r="12135" spans="1:5" hidden="1" x14ac:dyDescent="0.3">
      <c r="A12135" t="s">
        <v>557</v>
      </c>
      <c r="B12135" t="s">
        <v>755</v>
      </c>
      <c r="C12135" t="s">
        <v>647</v>
      </c>
      <c r="D12135" s="230">
        <v>0</v>
      </c>
      <c r="E12135" t="s">
        <v>755</v>
      </c>
    </row>
    <row r="12136" spans="1:5" hidden="1" x14ac:dyDescent="0.3">
      <c r="A12136" t="s">
        <v>557</v>
      </c>
      <c r="B12136" t="s">
        <v>755</v>
      </c>
      <c r="C12136" t="s">
        <v>648</v>
      </c>
      <c r="D12136" s="230">
        <v>0</v>
      </c>
      <c r="E12136" t="s">
        <v>755</v>
      </c>
    </row>
    <row r="12137" spans="1:5" hidden="1" x14ac:dyDescent="0.3">
      <c r="A12137" t="s">
        <v>557</v>
      </c>
      <c r="B12137" t="s">
        <v>755</v>
      </c>
      <c r="C12137" t="s">
        <v>649</v>
      </c>
      <c r="D12137" s="230">
        <v>0</v>
      </c>
      <c r="E12137" t="s">
        <v>755</v>
      </c>
    </row>
    <row r="12138" spans="1:5" hidden="1" x14ac:dyDescent="0.3">
      <c r="A12138" t="s">
        <v>557</v>
      </c>
      <c r="B12138" t="s">
        <v>755</v>
      </c>
      <c r="C12138" t="s">
        <v>650</v>
      </c>
      <c r="D12138" s="230">
        <v>0</v>
      </c>
      <c r="E12138" t="s">
        <v>755</v>
      </c>
    </row>
    <row r="12139" spans="1:5" hidden="1" x14ac:dyDescent="0.3">
      <c r="A12139" t="s">
        <v>557</v>
      </c>
      <c r="B12139" t="s">
        <v>755</v>
      </c>
      <c r="C12139" t="s">
        <v>651</v>
      </c>
      <c r="D12139" s="230">
        <v>0</v>
      </c>
      <c r="E12139" t="s">
        <v>755</v>
      </c>
    </row>
    <row r="12140" spans="1:5" hidden="1" x14ac:dyDescent="0.3">
      <c r="A12140" t="s">
        <v>557</v>
      </c>
      <c r="B12140" t="s">
        <v>755</v>
      </c>
      <c r="C12140" t="s">
        <v>652</v>
      </c>
      <c r="D12140" s="230">
        <v>0</v>
      </c>
      <c r="E12140" t="s">
        <v>755</v>
      </c>
    </row>
    <row r="12141" spans="1:5" hidden="1" x14ac:dyDescent="0.3">
      <c r="A12141" t="s">
        <v>557</v>
      </c>
      <c r="B12141" t="s">
        <v>755</v>
      </c>
      <c r="C12141" t="s">
        <v>653</v>
      </c>
      <c r="D12141" s="230">
        <v>0</v>
      </c>
      <c r="E12141" t="s">
        <v>755</v>
      </c>
    </row>
    <row r="12142" spans="1:5" hidden="1" x14ac:dyDescent="0.3">
      <c r="A12142" t="s">
        <v>557</v>
      </c>
      <c r="B12142" t="s">
        <v>755</v>
      </c>
      <c r="C12142" t="s">
        <v>654</v>
      </c>
      <c r="D12142" s="230">
        <v>0</v>
      </c>
      <c r="E12142" t="s">
        <v>755</v>
      </c>
    </row>
    <row r="12143" spans="1:5" hidden="1" x14ac:dyDescent="0.3">
      <c r="A12143" t="s">
        <v>557</v>
      </c>
      <c r="B12143" t="s">
        <v>755</v>
      </c>
      <c r="C12143" t="s">
        <v>655</v>
      </c>
      <c r="D12143" s="230">
        <v>0</v>
      </c>
      <c r="E12143" t="s">
        <v>755</v>
      </c>
    </row>
    <row r="12144" spans="1:5" hidden="1" x14ac:dyDescent="0.3">
      <c r="A12144" t="s">
        <v>557</v>
      </c>
      <c r="B12144" t="s">
        <v>755</v>
      </c>
      <c r="C12144" t="s">
        <v>656</v>
      </c>
      <c r="D12144" s="230">
        <v>0</v>
      </c>
      <c r="E12144" t="s">
        <v>755</v>
      </c>
    </row>
    <row r="12145" spans="1:5" hidden="1" x14ac:dyDescent="0.3">
      <c r="A12145" t="s">
        <v>557</v>
      </c>
      <c r="B12145" t="s">
        <v>755</v>
      </c>
      <c r="C12145" t="s">
        <v>657</v>
      </c>
      <c r="D12145" s="230">
        <v>0</v>
      </c>
      <c r="E12145" t="s">
        <v>755</v>
      </c>
    </row>
    <row r="12146" spans="1:5" hidden="1" x14ac:dyDescent="0.3">
      <c r="A12146" t="s">
        <v>557</v>
      </c>
      <c r="B12146" t="s">
        <v>755</v>
      </c>
      <c r="C12146" t="s">
        <v>658</v>
      </c>
      <c r="D12146" s="230">
        <v>0</v>
      </c>
      <c r="E12146" t="s">
        <v>755</v>
      </c>
    </row>
    <row r="12147" spans="1:5" hidden="1" x14ac:dyDescent="0.3">
      <c r="A12147" t="s">
        <v>557</v>
      </c>
      <c r="B12147" t="s">
        <v>755</v>
      </c>
      <c r="C12147" t="s">
        <v>659</v>
      </c>
      <c r="D12147" s="230">
        <v>0</v>
      </c>
      <c r="E12147" t="s">
        <v>755</v>
      </c>
    </row>
    <row r="12148" spans="1:5" hidden="1" x14ac:dyDescent="0.3">
      <c r="A12148" t="s">
        <v>557</v>
      </c>
      <c r="B12148" t="s">
        <v>755</v>
      </c>
      <c r="C12148" t="s">
        <v>660</v>
      </c>
      <c r="D12148" s="230">
        <v>0</v>
      </c>
      <c r="E12148" t="s">
        <v>755</v>
      </c>
    </row>
    <row r="12149" spans="1:5" hidden="1" x14ac:dyDescent="0.3">
      <c r="A12149" t="s">
        <v>557</v>
      </c>
      <c r="B12149" t="s">
        <v>755</v>
      </c>
      <c r="C12149" t="s">
        <v>661</v>
      </c>
      <c r="D12149" s="230">
        <v>0</v>
      </c>
      <c r="E12149" t="s">
        <v>755</v>
      </c>
    </row>
    <row r="12150" spans="1:5" hidden="1" x14ac:dyDescent="0.3">
      <c r="A12150" t="s">
        <v>557</v>
      </c>
      <c r="B12150" t="s">
        <v>755</v>
      </c>
      <c r="C12150" t="s">
        <v>662</v>
      </c>
      <c r="D12150" s="230">
        <v>0</v>
      </c>
      <c r="E12150" t="s">
        <v>755</v>
      </c>
    </row>
    <row r="12151" spans="1:5" hidden="1" x14ac:dyDescent="0.3">
      <c r="A12151" t="s">
        <v>557</v>
      </c>
      <c r="B12151" t="s">
        <v>755</v>
      </c>
      <c r="C12151" t="s">
        <v>663</v>
      </c>
      <c r="D12151" s="230">
        <v>0</v>
      </c>
      <c r="E12151" t="s">
        <v>755</v>
      </c>
    </row>
    <row r="12152" spans="1:5" hidden="1" x14ac:dyDescent="0.3">
      <c r="A12152" t="s">
        <v>557</v>
      </c>
      <c r="B12152" t="s">
        <v>755</v>
      </c>
      <c r="C12152" t="s">
        <v>664</v>
      </c>
      <c r="D12152" s="230">
        <v>0</v>
      </c>
      <c r="E12152" t="s">
        <v>755</v>
      </c>
    </row>
    <row r="12153" spans="1:5" hidden="1" x14ac:dyDescent="0.3">
      <c r="A12153" t="s">
        <v>557</v>
      </c>
      <c r="B12153" t="s">
        <v>755</v>
      </c>
      <c r="C12153" t="s">
        <v>665</v>
      </c>
      <c r="D12153" s="230">
        <v>0</v>
      </c>
      <c r="E12153" t="s">
        <v>755</v>
      </c>
    </row>
    <row r="12154" spans="1:5" hidden="1" x14ac:dyDescent="0.3">
      <c r="A12154" t="s">
        <v>557</v>
      </c>
      <c r="B12154" t="s">
        <v>755</v>
      </c>
      <c r="C12154" t="s">
        <v>666</v>
      </c>
      <c r="D12154" s="230">
        <v>0</v>
      </c>
      <c r="E12154" t="s">
        <v>755</v>
      </c>
    </row>
    <row r="12155" spans="1:5" hidden="1" x14ac:dyDescent="0.3">
      <c r="A12155" t="s">
        <v>557</v>
      </c>
      <c r="B12155" t="s">
        <v>755</v>
      </c>
      <c r="C12155" t="s">
        <v>667</v>
      </c>
      <c r="D12155" s="230">
        <v>0</v>
      </c>
      <c r="E12155" t="s">
        <v>755</v>
      </c>
    </row>
    <row r="12156" spans="1:5" hidden="1" x14ac:dyDescent="0.3">
      <c r="A12156" t="s">
        <v>557</v>
      </c>
      <c r="B12156" t="s">
        <v>755</v>
      </c>
      <c r="C12156" t="s">
        <v>668</v>
      </c>
      <c r="D12156" s="230">
        <v>0</v>
      </c>
      <c r="E12156" t="s">
        <v>755</v>
      </c>
    </row>
    <row r="12157" spans="1:5" hidden="1" x14ac:dyDescent="0.3">
      <c r="A12157" t="s">
        <v>557</v>
      </c>
      <c r="B12157" t="s">
        <v>755</v>
      </c>
      <c r="C12157" t="s">
        <v>669</v>
      </c>
      <c r="D12157" s="230">
        <v>0</v>
      </c>
      <c r="E12157" t="s">
        <v>755</v>
      </c>
    </row>
    <row r="12158" spans="1:5" hidden="1" x14ac:dyDescent="0.3">
      <c r="A12158" t="s">
        <v>557</v>
      </c>
      <c r="B12158" t="s">
        <v>755</v>
      </c>
      <c r="C12158" t="s">
        <v>670</v>
      </c>
      <c r="D12158" s="230">
        <v>0</v>
      </c>
      <c r="E12158" t="s">
        <v>755</v>
      </c>
    </row>
    <row r="12159" spans="1:5" hidden="1" x14ac:dyDescent="0.3">
      <c r="A12159" t="s">
        <v>557</v>
      </c>
      <c r="B12159" t="s">
        <v>755</v>
      </c>
      <c r="C12159" t="s">
        <v>671</v>
      </c>
      <c r="D12159" s="230">
        <v>0</v>
      </c>
      <c r="E12159" t="s">
        <v>755</v>
      </c>
    </row>
    <row r="12160" spans="1:5" hidden="1" x14ac:dyDescent="0.3">
      <c r="A12160" t="s">
        <v>557</v>
      </c>
      <c r="B12160" t="s">
        <v>755</v>
      </c>
      <c r="C12160" t="s">
        <v>672</v>
      </c>
      <c r="D12160" s="230">
        <v>0</v>
      </c>
      <c r="E12160" t="s">
        <v>755</v>
      </c>
    </row>
    <row r="12161" spans="1:5" hidden="1" x14ac:dyDescent="0.3">
      <c r="A12161" t="s">
        <v>557</v>
      </c>
      <c r="B12161" t="s">
        <v>755</v>
      </c>
      <c r="C12161" t="s">
        <v>673</v>
      </c>
      <c r="D12161" s="230">
        <v>0</v>
      </c>
      <c r="E12161" t="s">
        <v>755</v>
      </c>
    </row>
    <row r="12162" spans="1:5" hidden="1" x14ac:dyDescent="0.3">
      <c r="A12162" t="s">
        <v>557</v>
      </c>
      <c r="B12162" t="s">
        <v>755</v>
      </c>
      <c r="C12162" t="s">
        <v>674</v>
      </c>
      <c r="D12162" s="230">
        <v>0</v>
      </c>
      <c r="E12162" t="s">
        <v>755</v>
      </c>
    </row>
    <row r="12163" spans="1:5" hidden="1" x14ac:dyDescent="0.3">
      <c r="A12163" t="s">
        <v>557</v>
      </c>
      <c r="B12163" t="s">
        <v>755</v>
      </c>
      <c r="C12163" t="s">
        <v>675</v>
      </c>
      <c r="D12163" s="230">
        <v>0</v>
      </c>
      <c r="E12163" t="s">
        <v>755</v>
      </c>
    </row>
    <row r="12164" spans="1:5" hidden="1" x14ac:dyDescent="0.3">
      <c r="A12164" t="s">
        <v>557</v>
      </c>
      <c r="B12164" t="s">
        <v>755</v>
      </c>
      <c r="C12164" t="s">
        <v>676</v>
      </c>
      <c r="D12164" s="230">
        <v>0</v>
      </c>
      <c r="E12164" t="s">
        <v>755</v>
      </c>
    </row>
    <row r="12165" spans="1:5" hidden="1" x14ac:dyDescent="0.3">
      <c r="A12165" t="s">
        <v>557</v>
      </c>
      <c r="B12165" t="s">
        <v>755</v>
      </c>
      <c r="C12165" t="s">
        <v>677</v>
      </c>
      <c r="D12165" s="230">
        <v>0</v>
      </c>
      <c r="E12165" t="s">
        <v>755</v>
      </c>
    </row>
    <row r="12166" spans="1:5" hidden="1" x14ac:dyDescent="0.3">
      <c r="A12166" t="s">
        <v>557</v>
      </c>
      <c r="B12166" t="s">
        <v>755</v>
      </c>
      <c r="C12166" t="s">
        <v>201</v>
      </c>
      <c r="D12166" s="230">
        <v>-141135.22</v>
      </c>
      <c r="E12166" t="s">
        <v>755</v>
      </c>
    </row>
    <row r="12167" spans="1:5" hidden="1" x14ac:dyDescent="0.3">
      <c r="A12167" t="s">
        <v>557</v>
      </c>
      <c r="B12167" t="s">
        <v>755</v>
      </c>
      <c r="C12167" t="s">
        <v>203</v>
      </c>
      <c r="D12167" s="230">
        <v>-141135.22</v>
      </c>
      <c r="E12167" t="s">
        <v>755</v>
      </c>
    </row>
    <row r="12168" spans="1:5" hidden="1" x14ac:dyDescent="0.3">
      <c r="A12168" t="s">
        <v>557</v>
      </c>
      <c r="B12168" t="s">
        <v>755</v>
      </c>
      <c r="C12168" t="s">
        <v>678</v>
      </c>
      <c r="D12168" s="230">
        <v>70567.61</v>
      </c>
      <c r="E12168" t="s">
        <v>755</v>
      </c>
    </row>
    <row r="12169" spans="1:5" hidden="1" x14ac:dyDescent="0.3">
      <c r="A12169" t="s">
        <v>557</v>
      </c>
      <c r="B12169" t="s">
        <v>755</v>
      </c>
      <c r="C12169" t="s">
        <v>205</v>
      </c>
      <c r="D12169" s="230">
        <v>-303407.67</v>
      </c>
      <c r="E12169" t="s">
        <v>755</v>
      </c>
    </row>
    <row r="12170" spans="1:5" hidden="1" x14ac:dyDescent="0.3">
      <c r="A12170" t="s">
        <v>557</v>
      </c>
      <c r="B12170" t="s">
        <v>755</v>
      </c>
      <c r="C12170" t="s">
        <v>679</v>
      </c>
      <c r="D12170" s="230">
        <v>-64419.08</v>
      </c>
      <c r="E12170" t="s">
        <v>755</v>
      </c>
    </row>
    <row r="12171" spans="1:5" hidden="1" x14ac:dyDescent="0.3">
      <c r="A12171" t="s">
        <v>557</v>
      </c>
      <c r="B12171" t="s">
        <v>755</v>
      </c>
      <c r="C12171" t="s">
        <v>680</v>
      </c>
      <c r="D12171" s="230">
        <v>0</v>
      </c>
      <c r="E12171" t="s">
        <v>755</v>
      </c>
    </row>
    <row r="12172" spans="1:5" hidden="1" x14ac:dyDescent="0.3">
      <c r="A12172" t="s">
        <v>557</v>
      </c>
      <c r="B12172" t="s">
        <v>755</v>
      </c>
      <c r="C12172" t="s">
        <v>681</v>
      </c>
      <c r="D12172" s="230">
        <v>-73503.87</v>
      </c>
      <c r="E12172" t="s">
        <v>755</v>
      </c>
    </row>
    <row r="12173" spans="1:5" hidden="1" x14ac:dyDescent="0.3">
      <c r="A12173" t="s">
        <v>557</v>
      </c>
      <c r="B12173" t="s">
        <v>755</v>
      </c>
      <c r="C12173" t="s">
        <v>682</v>
      </c>
      <c r="D12173" s="230">
        <v>-42034.81</v>
      </c>
      <c r="E12173" t="s">
        <v>755</v>
      </c>
    </row>
    <row r="12174" spans="1:5" hidden="1" x14ac:dyDescent="0.3">
      <c r="A12174" t="s">
        <v>557</v>
      </c>
      <c r="B12174" t="s">
        <v>755</v>
      </c>
      <c r="C12174" t="s">
        <v>683</v>
      </c>
      <c r="D12174" s="230">
        <v>-25282.09</v>
      </c>
      <c r="E12174" t="s">
        <v>755</v>
      </c>
    </row>
    <row r="12175" spans="1:5" hidden="1" x14ac:dyDescent="0.3">
      <c r="A12175" t="s">
        <v>557</v>
      </c>
      <c r="B12175" t="s">
        <v>755</v>
      </c>
      <c r="C12175" t="s">
        <v>684</v>
      </c>
      <c r="D12175" s="230">
        <v>0</v>
      </c>
      <c r="E12175" t="s">
        <v>755</v>
      </c>
    </row>
    <row r="12176" spans="1:5" hidden="1" x14ac:dyDescent="0.3">
      <c r="A12176" t="s">
        <v>557</v>
      </c>
      <c r="B12176" t="s">
        <v>755</v>
      </c>
      <c r="C12176" t="s">
        <v>685</v>
      </c>
      <c r="D12176" s="230">
        <v>0</v>
      </c>
      <c r="E12176" t="s">
        <v>755</v>
      </c>
    </row>
    <row r="12177" spans="1:5" hidden="1" x14ac:dyDescent="0.3">
      <c r="A12177" t="s">
        <v>557</v>
      </c>
      <c r="B12177" t="s">
        <v>755</v>
      </c>
      <c r="C12177" t="s">
        <v>686</v>
      </c>
      <c r="D12177" s="230">
        <v>-4623.83</v>
      </c>
      <c r="E12177" t="s">
        <v>755</v>
      </c>
    </row>
    <row r="12178" spans="1:5" hidden="1" x14ac:dyDescent="0.3">
      <c r="A12178" t="s">
        <v>557</v>
      </c>
      <c r="B12178" t="s">
        <v>755</v>
      </c>
      <c r="C12178" t="s">
        <v>687</v>
      </c>
      <c r="D12178" s="230">
        <v>-2781.03</v>
      </c>
      <c r="E12178" t="s">
        <v>755</v>
      </c>
    </row>
    <row r="12179" spans="1:5" hidden="1" x14ac:dyDescent="0.3">
      <c r="A12179" t="s">
        <v>557</v>
      </c>
      <c r="B12179" t="s">
        <v>755</v>
      </c>
      <c r="C12179" t="s">
        <v>688</v>
      </c>
      <c r="D12179" s="230">
        <v>-40656.5</v>
      </c>
      <c r="E12179" t="s">
        <v>755</v>
      </c>
    </row>
    <row r="12180" spans="1:5" hidden="1" x14ac:dyDescent="0.3">
      <c r="A12180" t="s">
        <v>557</v>
      </c>
      <c r="B12180" t="s">
        <v>755</v>
      </c>
      <c r="C12180" t="s">
        <v>689</v>
      </c>
      <c r="D12180" s="230">
        <v>-10915.13</v>
      </c>
      <c r="E12180" t="s">
        <v>755</v>
      </c>
    </row>
    <row r="12181" spans="1:5" hidden="1" x14ac:dyDescent="0.3">
      <c r="A12181" t="s">
        <v>557</v>
      </c>
      <c r="B12181" t="s">
        <v>755</v>
      </c>
      <c r="C12181" t="s">
        <v>690</v>
      </c>
      <c r="D12181" s="230">
        <v>0</v>
      </c>
      <c r="E12181" t="s">
        <v>755</v>
      </c>
    </row>
    <row r="12182" spans="1:5" hidden="1" x14ac:dyDescent="0.3">
      <c r="A12182" t="s">
        <v>557</v>
      </c>
      <c r="B12182" t="s">
        <v>755</v>
      </c>
      <c r="C12182" t="s">
        <v>691</v>
      </c>
      <c r="D12182" s="230">
        <v>0</v>
      </c>
      <c r="E12182" t="s">
        <v>755</v>
      </c>
    </row>
    <row r="12183" spans="1:5" hidden="1" x14ac:dyDescent="0.3">
      <c r="A12183" t="s">
        <v>557</v>
      </c>
      <c r="B12183" t="s">
        <v>755</v>
      </c>
      <c r="C12183" t="s">
        <v>692</v>
      </c>
      <c r="D12183" s="230">
        <v>-39191.33</v>
      </c>
      <c r="E12183" t="s">
        <v>755</v>
      </c>
    </row>
    <row r="12184" spans="1:5" hidden="1" x14ac:dyDescent="0.3">
      <c r="A12184" t="s">
        <v>557</v>
      </c>
      <c r="B12184" t="s">
        <v>755</v>
      </c>
      <c r="C12184" t="s">
        <v>693</v>
      </c>
      <c r="D12184" s="230">
        <v>0</v>
      </c>
      <c r="E12184" t="s">
        <v>755</v>
      </c>
    </row>
    <row r="12185" spans="1:5" hidden="1" x14ac:dyDescent="0.3">
      <c r="A12185" t="s">
        <v>557</v>
      </c>
      <c r="B12185" t="s">
        <v>755</v>
      </c>
      <c r="C12185" t="s">
        <v>694</v>
      </c>
      <c r="D12185" s="230">
        <v>0</v>
      </c>
      <c r="E12185" t="s">
        <v>755</v>
      </c>
    </row>
    <row r="12186" spans="1:5" hidden="1" x14ac:dyDescent="0.3">
      <c r="A12186" t="s">
        <v>557</v>
      </c>
      <c r="B12186" t="s">
        <v>755</v>
      </c>
      <c r="C12186" t="s">
        <v>238</v>
      </c>
      <c r="D12186" s="230">
        <v>-94745.46</v>
      </c>
      <c r="E12186" t="s">
        <v>755</v>
      </c>
    </row>
    <row r="12187" spans="1:5" hidden="1" x14ac:dyDescent="0.3">
      <c r="A12187" t="s">
        <v>557</v>
      </c>
      <c r="B12187" t="s">
        <v>755</v>
      </c>
      <c r="C12187" t="s">
        <v>695</v>
      </c>
      <c r="D12187" s="230">
        <v>-74243.350000000006</v>
      </c>
      <c r="E12187" t="s">
        <v>755</v>
      </c>
    </row>
    <row r="12188" spans="1:5" hidden="1" x14ac:dyDescent="0.3">
      <c r="A12188" t="s">
        <v>557</v>
      </c>
      <c r="B12188" t="s">
        <v>755</v>
      </c>
      <c r="C12188" t="s">
        <v>696</v>
      </c>
      <c r="D12188" s="230">
        <v>-18370.060000000001</v>
      </c>
      <c r="E12188" t="s">
        <v>755</v>
      </c>
    </row>
    <row r="12189" spans="1:5" hidden="1" x14ac:dyDescent="0.3">
      <c r="A12189" t="s">
        <v>557</v>
      </c>
      <c r="B12189" t="s">
        <v>755</v>
      </c>
      <c r="C12189" t="s">
        <v>697</v>
      </c>
      <c r="D12189" s="230">
        <v>0</v>
      </c>
      <c r="E12189" t="s">
        <v>755</v>
      </c>
    </row>
    <row r="12190" spans="1:5" hidden="1" x14ac:dyDescent="0.3">
      <c r="A12190" t="s">
        <v>557</v>
      </c>
      <c r="B12190" t="s">
        <v>755</v>
      </c>
      <c r="C12190" t="s">
        <v>698</v>
      </c>
      <c r="D12190" s="230">
        <v>-2132.0500000000002</v>
      </c>
      <c r="E12190" t="s">
        <v>755</v>
      </c>
    </row>
    <row r="12191" spans="1:5" hidden="1" x14ac:dyDescent="0.3">
      <c r="A12191" t="s">
        <v>557</v>
      </c>
      <c r="B12191" t="s">
        <v>755</v>
      </c>
      <c r="C12191" t="s">
        <v>699</v>
      </c>
      <c r="D12191" s="230">
        <v>0</v>
      </c>
      <c r="E12191" t="s">
        <v>755</v>
      </c>
    </row>
    <row r="12192" spans="1:5" hidden="1" x14ac:dyDescent="0.3">
      <c r="A12192" t="s">
        <v>557</v>
      </c>
      <c r="B12192" t="s">
        <v>755</v>
      </c>
      <c r="C12192" t="s">
        <v>245</v>
      </c>
      <c r="D12192" s="230">
        <v>-206719.6</v>
      </c>
      <c r="E12192" t="s">
        <v>755</v>
      </c>
    </row>
    <row r="12193" spans="1:5" hidden="1" x14ac:dyDescent="0.3">
      <c r="A12193" t="s">
        <v>557</v>
      </c>
      <c r="B12193" t="s">
        <v>755</v>
      </c>
      <c r="C12193" t="s">
        <v>700</v>
      </c>
      <c r="D12193" s="230">
        <v>-4389.07</v>
      </c>
      <c r="E12193" t="s">
        <v>755</v>
      </c>
    </row>
    <row r="12194" spans="1:5" hidden="1" x14ac:dyDescent="0.3">
      <c r="A12194" t="s">
        <v>557</v>
      </c>
      <c r="B12194" t="s">
        <v>755</v>
      </c>
      <c r="C12194" t="s">
        <v>701</v>
      </c>
      <c r="D12194" s="230">
        <v>-6397.07</v>
      </c>
      <c r="E12194" t="s">
        <v>755</v>
      </c>
    </row>
    <row r="12195" spans="1:5" hidden="1" x14ac:dyDescent="0.3">
      <c r="A12195" t="s">
        <v>557</v>
      </c>
      <c r="B12195" t="s">
        <v>755</v>
      </c>
      <c r="C12195" t="s">
        <v>702</v>
      </c>
      <c r="D12195" s="230">
        <v>0</v>
      </c>
      <c r="E12195" t="s">
        <v>755</v>
      </c>
    </row>
    <row r="12196" spans="1:5" hidden="1" x14ac:dyDescent="0.3">
      <c r="A12196" t="s">
        <v>557</v>
      </c>
      <c r="B12196" t="s">
        <v>755</v>
      </c>
      <c r="C12196" t="s">
        <v>703</v>
      </c>
      <c r="D12196" s="230">
        <v>-29700</v>
      </c>
      <c r="E12196" t="s">
        <v>755</v>
      </c>
    </row>
    <row r="12197" spans="1:5" hidden="1" x14ac:dyDescent="0.3">
      <c r="A12197" t="s">
        <v>557</v>
      </c>
      <c r="B12197" t="s">
        <v>755</v>
      </c>
      <c r="C12197" t="s">
        <v>704</v>
      </c>
      <c r="D12197" s="230">
        <v>0</v>
      </c>
      <c r="E12197" t="s">
        <v>755</v>
      </c>
    </row>
    <row r="12198" spans="1:5" hidden="1" x14ac:dyDescent="0.3">
      <c r="A12198" t="s">
        <v>557</v>
      </c>
      <c r="B12198" t="s">
        <v>755</v>
      </c>
      <c r="C12198" t="s">
        <v>705</v>
      </c>
      <c r="D12198" s="230">
        <v>-166233.46</v>
      </c>
      <c r="E12198" t="s">
        <v>755</v>
      </c>
    </row>
    <row r="12199" spans="1:5" hidden="1" x14ac:dyDescent="0.3">
      <c r="A12199" t="s">
        <v>557</v>
      </c>
      <c r="B12199" t="s">
        <v>755</v>
      </c>
      <c r="C12199" t="s">
        <v>706</v>
      </c>
      <c r="D12199" s="230">
        <v>0</v>
      </c>
      <c r="E12199" t="s">
        <v>755</v>
      </c>
    </row>
    <row r="12200" spans="1:5" hidden="1" x14ac:dyDescent="0.3">
      <c r="A12200" t="s">
        <v>557</v>
      </c>
      <c r="B12200" t="s">
        <v>755</v>
      </c>
      <c r="C12200" t="s">
        <v>254</v>
      </c>
      <c r="D12200" s="230">
        <v>-0.28999999999999998</v>
      </c>
      <c r="E12200" t="s">
        <v>755</v>
      </c>
    </row>
    <row r="12201" spans="1:5" hidden="1" x14ac:dyDescent="0.3">
      <c r="A12201" t="s">
        <v>557</v>
      </c>
      <c r="B12201" t="s">
        <v>755</v>
      </c>
      <c r="C12201" t="s">
        <v>255</v>
      </c>
      <c r="D12201" s="230">
        <v>-0.21</v>
      </c>
      <c r="E12201" t="s">
        <v>755</v>
      </c>
    </row>
    <row r="12202" spans="1:5" hidden="1" x14ac:dyDescent="0.3">
      <c r="A12202" t="s">
        <v>557</v>
      </c>
      <c r="B12202" t="s">
        <v>755</v>
      </c>
      <c r="C12202" t="s">
        <v>256</v>
      </c>
      <c r="D12202" s="230">
        <v>-623580.18000000005</v>
      </c>
      <c r="E12202" t="s">
        <v>755</v>
      </c>
    </row>
    <row r="12203" spans="1:5" hidden="1" x14ac:dyDescent="0.3">
      <c r="A12203" t="s">
        <v>557</v>
      </c>
      <c r="B12203" t="s">
        <v>755</v>
      </c>
      <c r="C12203" t="s">
        <v>257</v>
      </c>
      <c r="D12203" s="230">
        <v>-592712.75</v>
      </c>
      <c r="E12203" t="s">
        <v>755</v>
      </c>
    </row>
    <row r="12204" spans="1:5" hidden="1" x14ac:dyDescent="0.3">
      <c r="A12204" t="s">
        <v>557</v>
      </c>
      <c r="B12204" t="s">
        <v>755</v>
      </c>
      <c r="C12204" t="s">
        <v>258</v>
      </c>
      <c r="D12204" s="230">
        <v>0</v>
      </c>
      <c r="E12204" t="s">
        <v>755</v>
      </c>
    </row>
    <row r="12205" spans="1:5" hidden="1" x14ac:dyDescent="0.3">
      <c r="A12205" t="s">
        <v>557</v>
      </c>
      <c r="B12205" t="s">
        <v>755</v>
      </c>
      <c r="C12205" t="s">
        <v>259</v>
      </c>
      <c r="D12205" s="230">
        <v>-29234</v>
      </c>
      <c r="E12205" t="s">
        <v>755</v>
      </c>
    </row>
    <row r="12206" spans="1:5" hidden="1" x14ac:dyDescent="0.3">
      <c r="A12206" t="s">
        <v>557</v>
      </c>
      <c r="B12206" t="s">
        <v>755</v>
      </c>
      <c r="C12206" t="s">
        <v>260</v>
      </c>
      <c r="D12206" s="230">
        <v>0</v>
      </c>
      <c r="E12206" t="s">
        <v>755</v>
      </c>
    </row>
    <row r="12207" spans="1:5" hidden="1" x14ac:dyDescent="0.3">
      <c r="A12207" t="s">
        <v>557</v>
      </c>
      <c r="B12207" t="s">
        <v>755</v>
      </c>
      <c r="C12207" t="s">
        <v>261</v>
      </c>
      <c r="D12207" s="230">
        <v>-1406.75</v>
      </c>
      <c r="E12207" t="s">
        <v>755</v>
      </c>
    </row>
    <row r="12208" spans="1:5" hidden="1" x14ac:dyDescent="0.3">
      <c r="A12208" t="s">
        <v>557</v>
      </c>
      <c r="B12208" t="s">
        <v>755</v>
      </c>
      <c r="C12208" t="s">
        <v>262</v>
      </c>
      <c r="D12208" s="230">
        <v>0</v>
      </c>
      <c r="E12208" t="s">
        <v>755</v>
      </c>
    </row>
    <row r="12209" spans="1:5" hidden="1" x14ac:dyDescent="0.3">
      <c r="A12209" t="s">
        <v>557</v>
      </c>
      <c r="B12209" t="s">
        <v>755</v>
      </c>
      <c r="C12209" t="s">
        <v>263</v>
      </c>
      <c r="D12209" s="230">
        <v>-226.68</v>
      </c>
      <c r="E12209" t="s">
        <v>755</v>
      </c>
    </row>
    <row r="12210" spans="1:5" hidden="1" x14ac:dyDescent="0.3">
      <c r="A12210" t="s">
        <v>557</v>
      </c>
      <c r="B12210" t="s">
        <v>755</v>
      </c>
      <c r="C12210" t="s">
        <v>44</v>
      </c>
      <c r="D12210" s="230">
        <v>-0.12</v>
      </c>
      <c r="E12210" t="s">
        <v>755</v>
      </c>
    </row>
    <row r="12211" spans="1:5" hidden="1" x14ac:dyDescent="0.3">
      <c r="A12211" t="s">
        <v>557</v>
      </c>
      <c r="B12211" t="s">
        <v>755</v>
      </c>
      <c r="C12211" t="s">
        <v>264</v>
      </c>
      <c r="D12211" s="230">
        <v>-451344.77</v>
      </c>
      <c r="E12211" t="s">
        <v>755</v>
      </c>
    </row>
    <row r="12212" spans="1:5" hidden="1" x14ac:dyDescent="0.3">
      <c r="A12212" t="s">
        <v>557</v>
      </c>
      <c r="B12212" t="s">
        <v>755</v>
      </c>
      <c r="C12212" t="s">
        <v>265</v>
      </c>
      <c r="D12212" s="230">
        <v>-59811.87</v>
      </c>
      <c r="E12212" t="s">
        <v>755</v>
      </c>
    </row>
    <row r="12213" spans="1:5" hidden="1" x14ac:dyDescent="0.3">
      <c r="A12213" t="s">
        <v>557</v>
      </c>
      <c r="B12213" t="s">
        <v>755</v>
      </c>
      <c r="C12213" t="s">
        <v>266</v>
      </c>
      <c r="D12213" s="230">
        <v>-134994.84</v>
      </c>
      <c r="E12213" t="s">
        <v>755</v>
      </c>
    </row>
    <row r="12214" spans="1:5" hidden="1" x14ac:dyDescent="0.3">
      <c r="A12214" t="s">
        <v>557</v>
      </c>
      <c r="B12214" t="s">
        <v>755</v>
      </c>
      <c r="C12214" t="s">
        <v>267</v>
      </c>
      <c r="D12214" s="230">
        <v>-72536.97</v>
      </c>
      <c r="E12214" t="s">
        <v>755</v>
      </c>
    </row>
    <row r="12215" spans="1:5" hidden="1" x14ac:dyDescent="0.3">
      <c r="A12215" t="s">
        <v>557</v>
      </c>
      <c r="B12215" t="s">
        <v>755</v>
      </c>
      <c r="C12215" t="s">
        <v>268</v>
      </c>
      <c r="D12215" s="230">
        <v>-71483.97</v>
      </c>
      <c r="E12215" t="s">
        <v>755</v>
      </c>
    </row>
    <row r="12216" spans="1:5" hidden="1" x14ac:dyDescent="0.3">
      <c r="A12216" t="s">
        <v>557</v>
      </c>
      <c r="B12216" t="s">
        <v>755</v>
      </c>
      <c r="C12216" t="s">
        <v>269</v>
      </c>
      <c r="D12216" s="230">
        <v>-1347.6</v>
      </c>
      <c r="E12216" t="s">
        <v>755</v>
      </c>
    </row>
    <row r="12217" spans="1:5" hidden="1" x14ac:dyDescent="0.3">
      <c r="A12217" t="s">
        <v>557</v>
      </c>
      <c r="B12217" t="s">
        <v>755</v>
      </c>
      <c r="C12217" t="s">
        <v>270</v>
      </c>
      <c r="D12217" s="230">
        <v>-6600</v>
      </c>
      <c r="E12217" t="s">
        <v>755</v>
      </c>
    </row>
    <row r="12218" spans="1:5" hidden="1" x14ac:dyDescent="0.3">
      <c r="A12218" t="s">
        <v>557</v>
      </c>
      <c r="B12218" t="s">
        <v>755</v>
      </c>
      <c r="C12218" t="s">
        <v>271</v>
      </c>
      <c r="D12218" s="230">
        <v>-12304.27</v>
      </c>
      <c r="E12218" t="s">
        <v>755</v>
      </c>
    </row>
    <row r="12219" spans="1:5" hidden="1" x14ac:dyDescent="0.3">
      <c r="A12219" t="s">
        <v>557</v>
      </c>
      <c r="B12219" t="s">
        <v>755</v>
      </c>
      <c r="C12219" t="s">
        <v>272</v>
      </c>
      <c r="D12219" s="230">
        <v>-20304.37</v>
      </c>
      <c r="E12219" t="s">
        <v>755</v>
      </c>
    </row>
    <row r="12220" spans="1:5" hidden="1" x14ac:dyDescent="0.3">
      <c r="A12220" t="s">
        <v>557</v>
      </c>
      <c r="B12220" t="s">
        <v>755</v>
      </c>
      <c r="C12220" t="s">
        <v>273</v>
      </c>
      <c r="D12220" s="230">
        <v>-72</v>
      </c>
      <c r="E12220" t="s">
        <v>755</v>
      </c>
    </row>
    <row r="12221" spans="1:5" hidden="1" x14ac:dyDescent="0.3">
      <c r="A12221" t="s">
        <v>557</v>
      </c>
      <c r="B12221" t="s">
        <v>755</v>
      </c>
      <c r="C12221" t="s">
        <v>274</v>
      </c>
      <c r="D12221" s="230">
        <v>0</v>
      </c>
      <c r="E12221" t="s">
        <v>755</v>
      </c>
    </row>
    <row r="12222" spans="1:5" hidden="1" x14ac:dyDescent="0.3">
      <c r="A12222" t="s">
        <v>557</v>
      </c>
      <c r="B12222" t="s">
        <v>755</v>
      </c>
      <c r="C12222" t="s">
        <v>275</v>
      </c>
      <c r="D12222" s="230">
        <v>-11080.11</v>
      </c>
      <c r="E12222" t="s">
        <v>755</v>
      </c>
    </row>
    <row r="12223" spans="1:5" hidden="1" x14ac:dyDescent="0.3">
      <c r="A12223" t="s">
        <v>557</v>
      </c>
      <c r="B12223" t="s">
        <v>755</v>
      </c>
      <c r="C12223" t="s">
        <v>276</v>
      </c>
      <c r="D12223" s="230">
        <v>-14965.26</v>
      </c>
      <c r="E12223" t="s">
        <v>755</v>
      </c>
    </row>
    <row r="12224" spans="1:5" hidden="1" x14ac:dyDescent="0.3">
      <c r="A12224" t="s">
        <v>557</v>
      </c>
      <c r="B12224" t="s">
        <v>755</v>
      </c>
      <c r="C12224" t="s">
        <v>277</v>
      </c>
      <c r="D12224" s="230">
        <v>-3153</v>
      </c>
      <c r="E12224" t="s">
        <v>755</v>
      </c>
    </row>
    <row r="12225" spans="1:5" hidden="1" x14ac:dyDescent="0.3">
      <c r="A12225" t="s">
        <v>557</v>
      </c>
      <c r="B12225" t="s">
        <v>755</v>
      </c>
      <c r="C12225" t="s">
        <v>278</v>
      </c>
      <c r="D12225" s="230">
        <v>-42690.51</v>
      </c>
      <c r="E12225" t="s">
        <v>755</v>
      </c>
    </row>
    <row r="12226" spans="1:5" hidden="1" x14ac:dyDescent="0.3">
      <c r="A12226" t="s">
        <v>557</v>
      </c>
      <c r="B12226" t="s">
        <v>755</v>
      </c>
      <c r="C12226" t="s">
        <v>44</v>
      </c>
      <c r="D12226" s="230">
        <v>-0.08</v>
      </c>
      <c r="E12226" t="s">
        <v>755</v>
      </c>
    </row>
    <row r="12227" spans="1:5" hidden="1" x14ac:dyDescent="0.3">
      <c r="A12227" t="s">
        <v>557</v>
      </c>
      <c r="B12227" t="s">
        <v>755</v>
      </c>
      <c r="C12227" t="s">
        <v>279</v>
      </c>
      <c r="D12227" s="230">
        <v>-69111.89</v>
      </c>
      <c r="E12227" t="s">
        <v>755</v>
      </c>
    </row>
    <row r="12228" spans="1:5" hidden="1" x14ac:dyDescent="0.3">
      <c r="A12228" t="s">
        <v>557</v>
      </c>
      <c r="B12228" t="s">
        <v>755</v>
      </c>
      <c r="C12228" t="s">
        <v>280</v>
      </c>
      <c r="D12228" s="230">
        <v>0</v>
      </c>
      <c r="E12228" t="s">
        <v>755</v>
      </c>
    </row>
    <row r="12229" spans="1:5" hidden="1" x14ac:dyDescent="0.3">
      <c r="A12229" t="s">
        <v>557</v>
      </c>
      <c r="B12229" t="s">
        <v>755</v>
      </c>
      <c r="C12229" t="s">
        <v>281</v>
      </c>
      <c r="D12229" s="230">
        <v>-7790.2</v>
      </c>
      <c r="E12229" t="s">
        <v>755</v>
      </c>
    </row>
    <row r="12230" spans="1:5" hidden="1" x14ac:dyDescent="0.3">
      <c r="A12230" t="s">
        <v>557</v>
      </c>
      <c r="B12230" t="s">
        <v>755</v>
      </c>
      <c r="C12230" t="s">
        <v>282</v>
      </c>
      <c r="D12230" s="230">
        <v>-4527.87</v>
      </c>
      <c r="E12230" t="s">
        <v>755</v>
      </c>
    </row>
    <row r="12231" spans="1:5" hidden="1" x14ac:dyDescent="0.3">
      <c r="A12231" t="s">
        <v>557</v>
      </c>
      <c r="B12231" t="s">
        <v>755</v>
      </c>
      <c r="C12231" t="s">
        <v>283</v>
      </c>
      <c r="D12231" s="230">
        <v>-4272.4799999999996</v>
      </c>
      <c r="E12231" t="s">
        <v>755</v>
      </c>
    </row>
    <row r="12232" spans="1:5" hidden="1" x14ac:dyDescent="0.3">
      <c r="A12232" t="s">
        <v>557</v>
      </c>
      <c r="B12232" t="s">
        <v>755</v>
      </c>
      <c r="C12232" t="s">
        <v>284</v>
      </c>
      <c r="D12232" s="230">
        <v>-36917.33</v>
      </c>
      <c r="E12232" t="s">
        <v>755</v>
      </c>
    </row>
    <row r="12233" spans="1:5" hidden="1" x14ac:dyDescent="0.3">
      <c r="A12233" t="s">
        <v>557</v>
      </c>
      <c r="B12233" t="s">
        <v>755</v>
      </c>
      <c r="C12233" t="s">
        <v>285</v>
      </c>
      <c r="D12233" s="230">
        <v>-4630</v>
      </c>
      <c r="E12233" t="s">
        <v>755</v>
      </c>
    </row>
    <row r="12234" spans="1:5" hidden="1" x14ac:dyDescent="0.3">
      <c r="A12234" t="s">
        <v>557</v>
      </c>
      <c r="B12234" t="s">
        <v>755</v>
      </c>
      <c r="C12234" t="s">
        <v>286</v>
      </c>
      <c r="D12234" s="230">
        <v>-10974.01</v>
      </c>
      <c r="E12234" t="s">
        <v>755</v>
      </c>
    </row>
    <row r="12235" spans="1:5" hidden="1" x14ac:dyDescent="0.3">
      <c r="A12235" t="s">
        <v>557</v>
      </c>
      <c r="B12235" t="s">
        <v>755</v>
      </c>
      <c r="C12235" t="s">
        <v>44</v>
      </c>
      <c r="D12235" s="230">
        <v>-0.01</v>
      </c>
      <c r="E12235" t="s">
        <v>755</v>
      </c>
    </row>
    <row r="12236" spans="1:5" hidden="1" x14ac:dyDescent="0.3">
      <c r="A12236" t="s">
        <v>557</v>
      </c>
      <c r="B12236" t="s">
        <v>755</v>
      </c>
      <c r="C12236" t="s">
        <v>287</v>
      </c>
      <c r="D12236" s="230">
        <v>-75975.360000000001</v>
      </c>
      <c r="E12236" t="s">
        <v>755</v>
      </c>
    </row>
    <row r="12237" spans="1:5" hidden="1" x14ac:dyDescent="0.3">
      <c r="A12237" t="s">
        <v>557</v>
      </c>
      <c r="B12237" t="s">
        <v>755</v>
      </c>
      <c r="C12237" t="s">
        <v>288</v>
      </c>
      <c r="D12237" s="230">
        <v>-42717.34</v>
      </c>
      <c r="E12237" t="s">
        <v>755</v>
      </c>
    </row>
    <row r="12238" spans="1:5" hidden="1" x14ac:dyDescent="0.3">
      <c r="A12238" t="s">
        <v>557</v>
      </c>
      <c r="B12238" t="s">
        <v>755</v>
      </c>
      <c r="C12238" t="s">
        <v>289</v>
      </c>
      <c r="D12238" s="230">
        <v>-13171.04</v>
      </c>
      <c r="E12238" t="s">
        <v>755</v>
      </c>
    </row>
    <row r="12239" spans="1:5" hidden="1" x14ac:dyDescent="0.3">
      <c r="A12239" t="s">
        <v>557</v>
      </c>
      <c r="B12239" t="s">
        <v>755</v>
      </c>
      <c r="C12239" t="s">
        <v>290</v>
      </c>
      <c r="D12239" s="230">
        <v>0</v>
      </c>
      <c r="E12239" t="s">
        <v>755</v>
      </c>
    </row>
    <row r="12240" spans="1:5" hidden="1" x14ac:dyDescent="0.3">
      <c r="A12240" t="s">
        <v>557</v>
      </c>
      <c r="B12240" t="s">
        <v>755</v>
      </c>
      <c r="C12240" t="s">
        <v>291</v>
      </c>
      <c r="D12240" s="230">
        <v>-12490.83</v>
      </c>
      <c r="E12240" t="s">
        <v>755</v>
      </c>
    </row>
    <row r="12241" spans="1:5" hidden="1" x14ac:dyDescent="0.3">
      <c r="A12241" t="s">
        <v>557</v>
      </c>
      <c r="B12241" t="s">
        <v>755</v>
      </c>
      <c r="C12241" t="s">
        <v>292</v>
      </c>
      <c r="D12241" s="230">
        <v>-924.76</v>
      </c>
      <c r="E12241" t="s">
        <v>755</v>
      </c>
    </row>
    <row r="12242" spans="1:5" hidden="1" x14ac:dyDescent="0.3">
      <c r="A12242" t="s">
        <v>557</v>
      </c>
      <c r="B12242" t="s">
        <v>755</v>
      </c>
      <c r="C12242" t="s">
        <v>293</v>
      </c>
      <c r="D12242" s="230">
        <v>-5553.53</v>
      </c>
      <c r="E12242" t="s">
        <v>755</v>
      </c>
    </row>
    <row r="12243" spans="1:5" hidden="1" x14ac:dyDescent="0.3">
      <c r="A12243" t="s">
        <v>557</v>
      </c>
      <c r="B12243" t="s">
        <v>755</v>
      </c>
      <c r="C12243" t="s">
        <v>294</v>
      </c>
      <c r="D12243" s="230">
        <v>-1117.8599999999999</v>
      </c>
      <c r="E12243" t="s">
        <v>755</v>
      </c>
    </row>
    <row r="12244" spans="1:5" hidden="1" x14ac:dyDescent="0.3">
      <c r="A12244" t="s">
        <v>557</v>
      </c>
      <c r="B12244" t="s">
        <v>755</v>
      </c>
      <c r="C12244" t="s">
        <v>295</v>
      </c>
      <c r="D12244" s="230">
        <v>0</v>
      </c>
      <c r="E12244" t="s">
        <v>755</v>
      </c>
    </row>
    <row r="12245" spans="1:5" hidden="1" x14ac:dyDescent="0.3">
      <c r="A12245" t="s">
        <v>557</v>
      </c>
      <c r="B12245" t="s">
        <v>755</v>
      </c>
      <c r="C12245" t="s">
        <v>44</v>
      </c>
      <c r="D12245" s="230">
        <v>-0.01</v>
      </c>
      <c r="E12245" t="s">
        <v>755</v>
      </c>
    </row>
    <row r="12246" spans="1:5" hidden="1" x14ac:dyDescent="0.3">
      <c r="A12246" t="s">
        <v>557</v>
      </c>
      <c r="B12246" t="s">
        <v>755</v>
      </c>
      <c r="C12246" t="s">
        <v>296</v>
      </c>
      <c r="D12246" s="230">
        <v>-100868.03</v>
      </c>
      <c r="E12246" t="s">
        <v>755</v>
      </c>
    </row>
    <row r="12247" spans="1:5" hidden="1" x14ac:dyDescent="0.3">
      <c r="A12247" t="s">
        <v>557</v>
      </c>
      <c r="B12247" t="s">
        <v>755</v>
      </c>
      <c r="C12247" t="s">
        <v>297</v>
      </c>
      <c r="D12247" s="230">
        <v>-51500</v>
      </c>
      <c r="E12247" t="s">
        <v>755</v>
      </c>
    </row>
    <row r="12248" spans="1:5" hidden="1" x14ac:dyDescent="0.3">
      <c r="A12248" t="s">
        <v>557</v>
      </c>
      <c r="B12248" t="s">
        <v>755</v>
      </c>
      <c r="C12248" t="s">
        <v>298</v>
      </c>
      <c r="D12248" s="230">
        <v>-5880</v>
      </c>
      <c r="E12248" t="s">
        <v>755</v>
      </c>
    </row>
    <row r="12249" spans="1:5" hidden="1" x14ac:dyDescent="0.3">
      <c r="A12249" t="s">
        <v>557</v>
      </c>
      <c r="B12249" t="s">
        <v>755</v>
      </c>
      <c r="C12249" t="s">
        <v>299</v>
      </c>
      <c r="D12249" s="230">
        <v>0</v>
      </c>
      <c r="E12249" t="s">
        <v>755</v>
      </c>
    </row>
    <row r="12250" spans="1:5" hidden="1" x14ac:dyDescent="0.3">
      <c r="A12250" t="s">
        <v>557</v>
      </c>
      <c r="B12250" t="s">
        <v>755</v>
      </c>
      <c r="C12250" t="s">
        <v>300</v>
      </c>
      <c r="D12250" s="230">
        <v>-6419.99</v>
      </c>
      <c r="E12250" t="s">
        <v>755</v>
      </c>
    </row>
    <row r="12251" spans="1:5" hidden="1" x14ac:dyDescent="0.3">
      <c r="A12251" t="s">
        <v>557</v>
      </c>
      <c r="B12251" t="s">
        <v>755</v>
      </c>
      <c r="C12251" t="s">
        <v>301</v>
      </c>
      <c r="D12251" s="230">
        <v>-16747.27</v>
      </c>
      <c r="E12251" t="s">
        <v>755</v>
      </c>
    </row>
    <row r="12252" spans="1:5" hidden="1" x14ac:dyDescent="0.3">
      <c r="A12252" t="s">
        <v>557</v>
      </c>
      <c r="B12252" t="s">
        <v>755</v>
      </c>
      <c r="C12252" t="s">
        <v>302</v>
      </c>
      <c r="D12252" s="230">
        <v>-53.87</v>
      </c>
      <c r="E12252" t="s">
        <v>755</v>
      </c>
    </row>
    <row r="12253" spans="1:5" hidden="1" x14ac:dyDescent="0.3">
      <c r="A12253" t="s">
        <v>557</v>
      </c>
      <c r="B12253" t="s">
        <v>755</v>
      </c>
      <c r="C12253" t="s">
        <v>303</v>
      </c>
      <c r="D12253" s="230">
        <v>-5095.1000000000004</v>
      </c>
      <c r="E12253" t="s">
        <v>755</v>
      </c>
    </row>
    <row r="12254" spans="1:5" hidden="1" x14ac:dyDescent="0.3">
      <c r="A12254" t="s">
        <v>557</v>
      </c>
      <c r="B12254" t="s">
        <v>755</v>
      </c>
      <c r="C12254" t="s">
        <v>304</v>
      </c>
      <c r="D12254" s="230">
        <v>-10577.25</v>
      </c>
      <c r="E12254" t="s">
        <v>755</v>
      </c>
    </row>
    <row r="12255" spans="1:5" hidden="1" x14ac:dyDescent="0.3">
      <c r="A12255" t="s">
        <v>557</v>
      </c>
      <c r="B12255" t="s">
        <v>755</v>
      </c>
      <c r="C12255" t="s">
        <v>305</v>
      </c>
      <c r="D12255" s="230">
        <v>-1683.02</v>
      </c>
      <c r="E12255" t="s">
        <v>755</v>
      </c>
    </row>
    <row r="12256" spans="1:5" hidden="1" x14ac:dyDescent="0.3">
      <c r="A12256" t="s">
        <v>557</v>
      </c>
      <c r="B12256" t="s">
        <v>755</v>
      </c>
      <c r="C12256" t="s">
        <v>306</v>
      </c>
      <c r="D12256" s="230">
        <v>0</v>
      </c>
      <c r="E12256" t="s">
        <v>755</v>
      </c>
    </row>
    <row r="12257" spans="1:5" hidden="1" x14ac:dyDescent="0.3">
      <c r="A12257" t="s">
        <v>557</v>
      </c>
      <c r="B12257" t="s">
        <v>755</v>
      </c>
      <c r="C12257" t="s">
        <v>307</v>
      </c>
      <c r="D12257" s="230">
        <v>-2911.54</v>
      </c>
      <c r="E12257" t="s">
        <v>755</v>
      </c>
    </row>
    <row r="12258" spans="1:5" hidden="1" x14ac:dyDescent="0.3">
      <c r="A12258" t="s">
        <v>557</v>
      </c>
      <c r="B12258" t="s">
        <v>755</v>
      </c>
      <c r="C12258" t="s">
        <v>44</v>
      </c>
      <c r="D12258" s="230">
        <v>-0.02</v>
      </c>
      <c r="E12258" t="s">
        <v>755</v>
      </c>
    </row>
    <row r="12259" spans="1:5" hidden="1" x14ac:dyDescent="0.3">
      <c r="A12259" t="s">
        <v>557</v>
      </c>
      <c r="B12259" t="s">
        <v>755</v>
      </c>
      <c r="C12259" t="s">
        <v>308</v>
      </c>
      <c r="D12259" s="230">
        <v>-69041.960000000006</v>
      </c>
      <c r="E12259" t="s">
        <v>755</v>
      </c>
    </row>
    <row r="12260" spans="1:5" hidden="1" x14ac:dyDescent="0.3">
      <c r="A12260" t="s">
        <v>557</v>
      </c>
      <c r="B12260" t="s">
        <v>755</v>
      </c>
      <c r="C12260" t="s">
        <v>309</v>
      </c>
      <c r="D12260" s="230">
        <v>-39424.800000000003</v>
      </c>
      <c r="E12260" t="s">
        <v>755</v>
      </c>
    </row>
    <row r="12261" spans="1:5" hidden="1" x14ac:dyDescent="0.3">
      <c r="A12261" t="s">
        <v>557</v>
      </c>
      <c r="B12261" t="s">
        <v>755</v>
      </c>
      <c r="C12261" t="s">
        <v>310</v>
      </c>
      <c r="D12261" s="230">
        <v>-199</v>
      </c>
      <c r="E12261" t="s">
        <v>755</v>
      </c>
    </row>
    <row r="12262" spans="1:5" hidden="1" x14ac:dyDescent="0.3">
      <c r="A12262" t="s">
        <v>557</v>
      </c>
      <c r="B12262" t="s">
        <v>755</v>
      </c>
      <c r="C12262" t="s">
        <v>311</v>
      </c>
      <c r="D12262" s="230">
        <v>-12700</v>
      </c>
      <c r="E12262" t="s">
        <v>755</v>
      </c>
    </row>
    <row r="12263" spans="1:5" hidden="1" x14ac:dyDescent="0.3">
      <c r="A12263" t="s">
        <v>557</v>
      </c>
      <c r="B12263" t="s">
        <v>755</v>
      </c>
      <c r="C12263" t="s">
        <v>312</v>
      </c>
      <c r="D12263" s="230">
        <v>-2220</v>
      </c>
      <c r="E12263" t="s">
        <v>755</v>
      </c>
    </row>
    <row r="12264" spans="1:5" hidden="1" x14ac:dyDescent="0.3">
      <c r="A12264" t="s">
        <v>557</v>
      </c>
      <c r="B12264" t="s">
        <v>755</v>
      </c>
      <c r="C12264" t="s">
        <v>313</v>
      </c>
      <c r="D12264" s="230">
        <v>0</v>
      </c>
      <c r="E12264" t="s">
        <v>755</v>
      </c>
    </row>
    <row r="12265" spans="1:5" hidden="1" x14ac:dyDescent="0.3">
      <c r="A12265" t="s">
        <v>557</v>
      </c>
      <c r="B12265" t="s">
        <v>755</v>
      </c>
      <c r="C12265" t="s">
        <v>314</v>
      </c>
      <c r="D12265" s="230">
        <v>-14498.16</v>
      </c>
      <c r="E12265" t="s">
        <v>755</v>
      </c>
    </row>
    <row r="12266" spans="1:5" hidden="1" x14ac:dyDescent="0.3">
      <c r="A12266" t="s">
        <v>557</v>
      </c>
      <c r="B12266" t="s">
        <v>755</v>
      </c>
      <c r="C12266" t="s">
        <v>315</v>
      </c>
      <c r="D12266" s="230">
        <v>0</v>
      </c>
      <c r="E12266" t="s">
        <v>755</v>
      </c>
    </row>
    <row r="12267" spans="1:5" hidden="1" x14ac:dyDescent="0.3">
      <c r="A12267" t="s">
        <v>557</v>
      </c>
      <c r="B12267" t="s">
        <v>755</v>
      </c>
      <c r="C12267" t="s">
        <v>316</v>
      </c>
      <c r="D12267" s="230">
        <v>0</v>
      </c>
      <c r="E12267" t="s">
        <v>755</v>
      </c>
    </row>
    <row r="12268" spans="1:5" hidden="1" x14ac:dyDescent="0.3">
      <c r="A12268" t="s">
        <v>557</v>
      </c>
      <c r="B12268" t="s">
        <v>755</v>
      </c>
      <c r="C12268" t="s">
        <v>317</v>
      </c>
      <c r="D12268" s="230">
        <v>0</v>
      </c>
      <c r="E12268" t="s">
        <v>755</v>
      </c>
    </row>
    <row r="12269" spans="1:5" hidden="1" x14ac:dyDescent="0.3">
      <c r="A12269" t="s">
        <v>557</v>
      </c>
      <c r="B12269" t="s">
        <v>755</v>
      </c>
      <c r="C12269" t="s">
        <v>44</v>
      </c>
      <c r="D12269" s="230">
        <v>-0.01</v>
      </c>
      <c r="E12269" t="s">
        <v>755</v>
      </c>
    </row>
    <row r="12270" spans="1:5" hidden="1" x14ac:dyDescent="0.3">
      <c r="A12270" t="s">
        <v>557</v>
      </c>
      <c r="B12270" t="s">
        <v>755</v>
      </c>
      <c r="C12270" t="s">
        <v>318</v>
      </c>
      <c r="D12270" s="230">
        <v>-32178.61</v>
      </c>
      <c r="E12270" t="s">
        <v>755</v>
      </c>
    </row>
    <row r="12271" spans="1:5" hidden="1" x14ac:dyDescent="0.3">
      <c r="A12271" t="s">
        <v>557</v>
      </c>
      <c r="B12271" t="s">
        <v>755</v>
      </c>
      <c r="C12271" t="s">
        <v>319</v>
      </c>
      <c r="D12271" s="230">
        <v>-28010</v>
      </c>
      <c r="E12271" t="s">
        <v>755</v>
      </c>
    </row>
    <row r="12272" spans="1:5" hidden="1" x14ac:dyDescent="0.3">
      <c r="A12272" t="s">
        <v>557</v>
      </c>
      <c r="B12272" t="s">
        <v>755</v>
      </c>
      <c r="C12272" t="s">
        <v>320</v>
      </c>
      <c r="D12272" s="230">
        <v>-1768.61</v>
      </c>
      <c r="E12272" t="s">
        <v>755</v>
      </c>
    </row>
    <row r="12273" spans="1:5" hidden="1" x14ac:dyDescent="0.3">
      <c r="A12273" t="s">
        <v>557</v>
      </c>
      <c r="B12273" t="s">
        <v>755</v>
      </c>
      <c r="C12273" t="s">
        <v>321</v>
      </c>
      <c r="D12273" s="230">
        <v>-2400</v>
      </c>
      <c r="E12273" t="s">
        <v>755</v>
      </c>
    </row>
    <row r="12274" spans="1:5" hidden="1" x14ac:dyDescent="0.3">
      <c r="A12274" t="s">
        <v>557</v>
      </c>
      <c r="B12274" t="s">
        <v>755</v>
      </c>
      <c r="C12274" t="s">
        <v>322</v>
      </c>
      <c r="D12274" s="230">
        <v>0</v>
      </c>
      <c r="E12274" t="s">
        <v>755</v>
      </c>
    </row>
    <row r="12275" spans="1:5" hidden="1" x14ac:dyDescent="0.3">
      <c r="A12275" t="s">
        <v>557</v>
      </c>
      <c r="B12275" t="s">
        <v>755</v>
      </c>
      <c r="C12275" t="s">
        <v>44</v>
      </c>
      <c r="D12275" s="230">
        <v>-0.01</v>
      </c>
      <c r="E12275" t="s">
        <v>755</v>
      </c>
    </row>
    <row r="12276" spans="1:5" hidden="1" x14ac:dyDescent="0.3">
      <c r="A12276" t="s">
        <v>557</v>
      </c>
      <c r="B12276" t="s">
        <v>755</v>
      </c>
      <c r="C12276" t="s">
        <v>323</v>
      </c>
      <c r="D12276" s="230">
        <v>-268199.74</v>
      </c>
      <c r="E12276" t="s">
        <v>755</v>
      </c>
    </row>
    <row r="12277" spans="1:5" hidden="1" x14ac:dyDescent="0.3">
      <c r="A12277" t="s">
        <v>557</v>
      </c>
      <c r="B12277" t="s">
        <v>755</v>
      </c>
      <c r="C12277" t="s">
        <v>324</v>
      </c>
      <c r="D12277" s="230">
        <v>0</v>
      </c>
      <c r="E12277" t="s">
        <v>755</v>
      </c>
    </row>
    <row r="12278" spans="1:5" hidden="1" x14ac:dyDescent="0.3">
      <c r="A12278" t="s">
        <v>557</v>
      </c>
      <c r="B12278" t="s">
        <v>755</v>
      </c>
      <c r="C12278" t="s">
        <v>325</v>
      </c>
      <c r="D12278" s="230">
        <v>0</v>
      </c>
      <c r="E12278" t="s">
        <v>755</v>
      </c>
    </row>
    <row r="12279" spans="1:5" hidden="1" x14ac:dyDescent="0.3">
      <c r="A12279" t="s">
        <v>557</v>
      </c>
      <c r="B12279" t="s">
        <v>755</v>
      </c>
      <c r="C12279" t="s">
        <v>326</v>
      </c>
      <c r="D12279" s="230">
        <v>-268199.74</v>
      </c>
      <c r="E12279" t="s">
        <v>755</v>
      </c>
    </row>
    <row r="12280" spans="1:5" hidden="1" x14ac:dyDescent="0.3">
      <c r="A12280" t="s">
        <v>557</v>
      </c>
      <c r="B12280" t="s">
        <v>755</v>
      </c>
      <c r="C12280" t="s">
        <v>44</v>
      </c>
      <c r="D12280" s="230">
        <v>-0.05</v>
      </c>
      <c r="E12280" t="s">
        <v>755</v>
      </c>
    </row>
    <row r="12281" spans="1:5" hidden="1" x14ac:dyDescent="0.3">
      <c r="A12281" t="s">
        <v>557</v>
      </c>
      <c r="B12281" t="s">
        <v>755</v>
      </c>
      <c r="C12281" t="s">
        <v>328</v>
      </c>
      <c r="D12281" s="230">
        <v>-3242575.42</v>
      </c>
      <c r="E12281" t="s">
        <v>755</v>
      </c>
    </row>
    <row r="12282" spans="1:5" hidden="1" x14ac:dyDescent="0.3">
      <c r="A12282" t="s">
        <v>557</v>
      </c>
      <c r="B12282" t="s">
        <v>755</v>
      </c>
      <c r="C12282" t="s">
        <v>44</v>
      </c>
      <c r="D12282" s="230">
        <v>-0.6</v>
      </c>
      <c r="E12282" t="s">
        <v>755</v>
      </c>
    </row>
    <row r="12283" spans="1:5" hidden="1" x14ac:dyDescent="0.3">
      <c r="A12283" t="s">
        <v>557</v>
      </c>
      <c r="B12283" t="s">
        <v>755</v>
      </c>
      <c r="C12283" t="s">
        <v>329</v>
      </c>
      <c r="D12283" s="230">
        <v>-452110.93</v>
      </c>
      <c r="E12283" t="s">
        <v>755</v>
      </c>
    </row>
    <row r="12284" spans="1:5" hidden="1" x14ac:dyDescent="0.3">
      <c r="A12284" t="s">
        <v>557</v>
      </c>
      <c r="B12284" t="s">
        <v>755</v>
      </c>
      <c r="C12284" t="s">
        <v>44</v>
      </c>
      <c r="D12284" s="230">
        <v>-0.08</v>
      </c>
      <c r="E12284" t="s">
        <v>755</v>
      </c>
    </row>
    <row r="12285" spans="1:5" hidden="1" x14ac:dyDescent="0.3">
      <c r="A12285" t="s">
        <v>557</v>
      </c>
      <c r="B12285" t="s">
        <v>755</v>
      </c>
      <c r="C12285" t="s">
        <v>330</v>
      </c>
      <c r="D12285" s="230">
        <v>0</v>
      </c>
      <c r="E12285" t="s">
        <v>755</v>
      </c>
    </row>
    <row r="12286" spans="1:5" hidden="1" x14ac:dyDescent="0.3">
      <c r="A12286" t="s">
        <v>557</v>
      </c>
      <c r="B12286" t="s">
        <v>755</v>
      </c>
      <c r="C12286" t="s">
        <v>332</v>
      </c>
      <c r="D12286" s="230">
        <v>-452110.93</v>
      </c>
      <c r="E12286" t="s">
        <v>755</v>
      </c>
    </row>
    <row r="12287" spans="1:5" hidden="1" x14ac:dyDescent="0.3">
      <c r="A12287" t="s">
        <v>557</v>
      </c>
      <c r="B12287" t="s">
        <v>755</v>
      </c>
      <c r="C12287" t="s">
        <v>333</v>
      </c>
      <c r="D12287" s="230">
        <v>77509.42</v>
      </c>
      <c r="E12287" t="s">
        <v>755</v>
      </c>
    </row>
    <row r="12288" spans="1:5" hidden="1" x14ac:dyDescent="0.3">
      <c r="A12288" t="s">
        <v>557</v>
      </c>
      <c r="B12288" t="s">
        <v>755</v>
      </c>
      <c r="C12288" t="s">
        <v>334</v>
      </c>
      <c r="D12288" s="230">
        <v>96039</v>
      </c>
      <c r="E12288" t="s">
        <v>755</v>
      </c>
    </row>
    <row r="12289" spans="1:5" hidden="1" x14ac:dyDescent="0.3">
      <c r="A12289" t="s">
        <v>557</v>
      </c>
      <c r="B12289" t="s">
        <v>755</v>
      </c>
      <c r="C12289" t="s">
        <v>336</v>
      </c>
      <c r="D12289" s="230">
        <v>-7100.4</v>
      </c>
      <c r="E12289" t="s">
        <v>755</v>
      </c>
    </row>
    <row r="12290" spans="1:5" hidden="1" x14ac:dyDescent="0.3">
      <c r="A12290" t="s">
        <v>557</v>
      </c>
      <c r="B12290" t="s">
        <v>755</v>
      </c>
      <c r="C12290" t="s">
        <v>338</v>
      </c>
      <c r="D12290" s="230">
        <v>-285662.90999999997</v>
      </c>
      <c r="E12290" t="s">
        <v>755</v>
      </c>
    </row>
    <row r="12291" spans="1:5" hidden="1" x14ac:dyDescent="0.3">
      <c r="A12291" t="s">
        <v>557</v>
      </c>
      <c r="B12291" t="s">
        <v>755</v>
      </c>
      <c r="C12291" t="s">
        <v>339</v>
      </c>
      <c r="D12291" s="230">
        <v>-135749.13</v>
      </c>
      <c r="E12291" t="s">
        <v>755</v>
      </c>
    </row>
    <row r="12292" spans="1:5" hidden="1" x14ac:dyDescent="0.3">
      <c r="A12292" t="s">
        <v>557</v>
      </c>
      <c r="B12292" t="s">
        <v>755</v>
      </c>
      <c r="C12292" t="s">
        <v>342</v>
      </c>
      <c r="D12292" s="230">
        <v>0</v>
      </c>
      <c r="E12292" t="s">
        <v>755</v>
      </c>
    </row>
    <row r="12293" spans="1:5" hidden="1" x14ac:dyDescent="0.3">
      <c r="A12293" t="s">
        <v>557</v>
      </c>
      <c r="B12293" t="s">
        <v>755</v>
      </c>
      <c r="C12293" t="s">
        <v>344</v>
      </c>
      <c r="D12293" s="230">
        <v>-80875.89</v>
      </c>
      <c r="E12293" t="s">
        <v>755</v>
      </c>
    </row>
    <row r="12294" spans="1:5" hidden="1" x14ac:dyDescent="0.3">
      <c r="A12294" t="s">
        <v>557</v>
      </c>
      <c r="B12294" t="s">
        <v>755</v>
      </c>
      <c r="C12294" t="s">
        <v>345</v>
      </c>
      <c r="D12294" s="230">
        <v>0</v>
      </c>
      <c r="E12294" t="s">
        <v>755</v>
      </c>
    </row>
    <row r="12295" spans="1:5" hidden="1" x14ac:dyDescent="0.3">
      <c r="A12295" t="s">
        <v>557</v>
      </c>
      <c r="B12295" t="s">
        <v>755</v>
      </c>
      <c r="C12295" t="s">
        <v>346</v>
      </c>
      <c r="D12295" s="230">
        <v>-54873.24</v>
      </c>
      <c r="E12295" t="s">
        <v>755</v>
      </c>
    </row>
    <row r="12296" spans="1:5" hidden="1" x14ac:dyDescent="0.3">
      <c r="A12296" t="s">
        <v>557</v>
      </c>
      <c r="B12296" t="s">
        <v>755</v>
      </c>
      <c r="C12296" t="s">
        <v>347</v>
      </c>
      <c r="D12296" s="230">
        <v>-421412.04</v>
      </c>
      <c r="E12296" t="s">
        <v>755</v>
      </c>
    </row>
    <row r="12297" spans="1:5" hidden="1" x14ac:dyDescent="0.3">
      <c r="A12297" t="s">
        <v>557</v>
      </c>
      <c r="B12297" t="s">
        <v>755</v>
      </c>
      <c r="C12297" t="s">
        <v>44</v>
      </c>
      <c r="D12297" s="230">
        <v>-0.08</v>
      </c>
      <c r="E12297" t="s">
        <v>755</v>
      </c>
    </row>
    <row r="12298" spans="1:5" hidden="1" x14ac:dyDescent="0.3">
      <c r="A12298" t="s">
        <v>557</v>
      </c>
      <c r="B12298" t="s">
        <v>755</v>
      </c>
      <c r="C12298" t="s">
        <v>348</v>
      </c>
      <c r="D12298" s="230">
        <v>-54999.37</v>
      </c>
      <c r="E12298" t="s">
        <v>755</v>
      </c>
    </row>
    <row r="12299" spans="1:5" hidden="1" x14ac:dyDescent="0.3">
      <c r="A12299" t="s">
        <v>557</v>
      </c>
      <c r="B12299" t="s">
        <v>755</v>
      </c>
      <c r="C12299" t="s">
        <v>707</v>
      </c>
      <c r="D12299" s="230">
        <v>-9100</v>
      </c>
      <c r="E12299" t="s">
        <v>755</v>
      </c>
    </row>
    <row r="12300" spans="1:5" hidden="1" x14ac:dyDescent="0.3">
      <c r="A12300" t="s">
        <v>557</v>
      </c>
      <c r="B12300" t="s">
        <v>755</v>
      </c>
      <c r="C12300" t="s">
        <v>350</v>
      </c>
      <c r="D12300" s="230">
        <v>-40500.879999999997</v>
      </c>
      <c r="E12300" t="s">
        <v>755</v>
      </c>
    </row>
    <row r="12301" spans="1:5" hidden="1" x14ac:dyDescent="0.3">
      <c r="A12301" t="s">
        <v>557</v>
      </c>
      <c r="B12301" t="s">
        <v>755</v>
      </c>
      <c r="C12301" t="s">
        <v>351</v>
      </c>
      <c r="D12301" s="230">
        <v>-299.99</v>
      </c>
      <c r="E12301" t="s">
        <v>755</v>
      </c>
    </row>
    <row r="12302" spans="1:5" hidden="1" x14ac:dyDescent="0.3">
      <c r="A12302" t="s">
        <v>557</v>
      </c>
      <c r="B12302" t="s">
        <v>755</v>
      </c>
      <c r="C12302" t="s">
        <v>352</v>
      </c>
      <c r="D12302" s="230">
        <v>0</v>
      </c>
      <c r="E12302" t="s">
        <v>755</v>
      </c>
    </row>
    <row r="12303" spans="1:5" hidden="1" x14ac:dyDescent="0.3">
      <c r="A12303" t="s">
        <v>557</v>
      </c>
      <c r="B12303" t="s">
        <v>755</v>
      </c>
      <c r="C12303" t="s">
        <v>353</v>
      </c>
      <c r="D12303" s="230">
        <v>0</v>
      </c>
      <c r="E12303" t="s">
        <v>755</v>
      </c>
    </row>
    <row r="12304" spans="1:5" hidden="1" x14ac:dyDescent="0.3">
      <c r="A12304" t="s">
        <v>557</v>
      </c>
      <c r="B12304" t="s">
        <v>755</v>
      </c>
      <c r="C12304" t="s">
        <v>354</v>
      </c>
      <c r="D12304" s="230">
        <v>0</v>
      </c>
      <c r="E12304" t="s">
        <v>755</v>
      </c>
    </row>
    <row r="12305" spans="1:5" hidden="1" x14ac:dyDescent="0.3">
      <c r="A12305" t="s">
        <v>557</v>
      </c>
      <c r="B12305" t="s">
        <v>755</v>
      </c>
      <c r="C12305" t="s">
        <v>355</v>
      </c>
      <c r="D12305" s="230">
        <v>-2378</v>
      </c>
      <c r="E12305" t="s">
        <v>755</v>
      </c>
    </row>
    <row r="12306" spans="1:5" hidden="1" x14ac:dyDescent="0.3">
      <c r="A12306" t="s">
        <v>557</v>
      </c>
      <c r="B12306" t="s">
        <v>755</v>
      </c>
      <c r="C12306" t="s">
        <v>356</v>
      </c>
      <c r="D12306" s="230">
        <v>0</v>
      </c>
      <c r="E12306" t="s">
        <v>755</v>
      </c>
    </row>
    <row r="12307" spans="1:5" hidden="1" x14ac:dyDescent="0.3">
      <c r="A12307" t="s">
        <v>557</v>
      </c>
      <c r="B12307" t="s">
        <v>755</v>
      </c>
      <c r="C12307" t="s">
        <v>357</v>
      </c>
      <c r="D12307" s="230">
        <v>-420.5</v>
      </c>
      <c r="E12307" t="s">
        <v>755</v>
      </c>
    </row>
    <row r="12308" spans="1:5" hidden="1" x14ac:dyDescent="0.3">
      <c r="A12308" t="s">
        <v>557</v>
      </c>
      <c r="B12308" t="s">
        <v>755</v>
      </c>
      <c r="C12308" t="s">
        <v>358</v>
      </c>
      <c r="D12308" s="230">
        <v>0</v>
      </c>
      <c r="E12308" t="s">
        <v>755</v>
      </c>
    </row>
    <row r="12309" spans="1:5" hidden="1" x14ac:dyDescent="0.3">
      <c r="A12309" t="s">
        <v>557</v>
      </c>
      <c r="B12309" t="s">
        <v>755</v>
      </c>
      <c r="C12309" t="s">
        <v>359</v>
      </c>
      <c r="D12309" s="230">
        <v>-2300</v>
      </c>
      <c r="E12309" t="s">
        <v>755</v>
      </c>
    </row>
    <row r="12310" spans="1:5" hidden="1" x14ac:dyDescent="0.3">
      <c r="A12310" t="s">
        <v>557</v>
      </c>
      <c r="B12310" t="s">
        <v>755</v>
      </c>
      <c r="C12310" t="s">
        <v>360</v>
      </c>
      <c r="D12310" s="230">
        <v>0</v>
      </c>
      <c r="E12310" t="s">
        <v>755</v>
      </c>
    </row>
    <row r="12311" spans="1:5" hidden="1" x14ac:dyDescent="0.3">
      <c r="A12311" t="s">
        <v>557</v>
      </c>
      <c r="B12311" t="s">
        <v>755</v>
      </c>
      <c r="C12311" t="s">
        <v>361</v>
      </c>
      <c r="D12311" s="230">
        <v>0</v>
      </c>
      <c r="E12311" t="s">
        <v>755</v>
      </c>
    </row>
    <row r="12312" spans="1:5" hidden="1" x14ac:dyDescent="0.3">
      <c r="A12312" t="s">
        <v>557</v>
      </c>
      <c r="B12312" t="s">
        <v>755</v>
      </c>
      <c r="C12312" t="s">
        <v>362</v>
      </c>
      <c r="D12312" s="230">
        <v>0</v>
      </c>
      <c r="E12312" t="s">
        <v>755</v>
      </c>
    </row>
    <row r="12313" spans="1:5" hidden="1" x14ac:dyDescent="0.3">
      <c r="A12313" t="s">
        <v>557</v>
      </c>
      <c r="B12313" t="s">
        <v>755</v>
      </c>
      <c r="C12313" t="s">
        <v>363</v>
      </c>
      <c r="D12313" s="230">
        <v>0</v>
      </c>
      <c r="E12313" t="s">
        <v>755</v>
      </c>
    </row>
    <row r="12314" spans="1:5" hidden="1" x14ac:dyDescent="0.3">
      <c r="A12314" t="s">
        <v>557</v>
      </c>
      <c r="B12314" t="s">
        <v>755</v>
      </c>
      <c r="C12314" t="s">
        <v>364</v>
      </c>
      <c r="D12314" s="230">
        <v>0</v>
      </c>
      <c r="E12314" t="s">
        <v>755</v>
      </c>
    </row>
    <row r="12315" spans="1:5" hidden="1" x14ac:dyDescent="0.3">
      <c r="A12315" t="s">
        <v>557</v>
      </c>
      <c r="B12315" t="s">
        <v>755</v>
      </c>
      <c r="C12315" t="s">
        <v>365</v>
      </c>
      <c r="D12315" s="230">
        <v>-101639.27</v>
      </c>
      <c r="E12315" t="s">
        <v>755</v>
      </c>
    </row>
    <row r="12316" spans="1:5" hidden="1" x14ac:dyDescent="0.3">
      <c r="A12316" t="s">
        <v>557</v>
      </c>
      <c r="B12316" t="s">
        <v>755</v>
      </c>
      <c r="C12316" t="s">
        <v>366</v>
      </c>
      <c r="D12316" s="230">
        <v>-3960</v>
      </c>
      <c r="E12316" t="s">
        <v>755</v>
      </c>
    </row>
    <row r="12317" spans="1:5" hidden="1" x14ac:dyDescent="0.3">
      <c r="A12317" t="s">
        <v>557</v>
      </c>
      <c r="B12317" t="s">
        <v>755</v>
      </c>
      <c r="C12317" t="s">
        <v>367</v>
      </c>
      <c r="D12317" s="230">
        <v>0</v>
      </c>
      <c r="E12317" t="s">
        <v>755</v>
      </c>
    </row>
    <row r="12318" spans="1:5" hidden="1" x14ac:dyDescent="0.3">
      <c r="A12318" t="s">
        <v>557</v>
      </c>
      <c r="B12318" t="s">
        <v>755</v>
      </c>
      <c r="C12318" t="s">
        <v>368</v>
      </c>
      <c r="D12318" s="230">
        <v>-6545.91</v>
      </c>
      <c r="E12318" t="s">
        <v>755</v>
      </c>
    </row>
    <row r="12319" spans="1:5" hidden="1" x14ac:dyDescent="0.3">
      <c r="A12319" t="s">
        <v>557</v>
      </c>
      <c r="B12319" t="s">
        <v>755</v>
      </c>
      <c r="C12319" t="s">
        <v>369</v>
      </c>
      <c r="D12319" s="230">
        <v>-91133.36</v>
      </c>
      <c r="E12319" t="s">
        <v>755</v>
      </c>
    </row>
    <row r="12320" spans="1:5" hidden="1" x14ac:dyDescent="0.3">
      <c r="A12320" t="s">
        <v>557</v>
      </c>
      <c r="B12320" t="s">
        <v>755</v>
      </c>
      <c r="C12320" t="s">
        <v>370</v>
      </c>
      <c r="D12320" s="230">
        <v>0</v>
      </c>
      <c r="E12320" t="s">
        <v>755</v>
      </c>
    </row>
    <row r="12321" spans="1:5" hidden="1" x14ac:dyDescent="0.3">
      <c r="A12321" t="s">
        <v>557</v>
      </c>
      <c r="B12321" t="s">
        <v>755</v>
      </c>
      <c r="C12321" t="s">
        <v>371</v>
      </c>
      <c r="D12321" s="230">
        <v>0</v>
      </c>
      <c r="E12321" t="s">
        <v>755</v>
      </c>
    </row>
    <row r="12322" spans="1:5" hidden="1" x14ac:dyDescent="0.3">
      <c r="A12322" t="s">
        <v>557</v>
      </c>
      <c r="B12322" t="s">
        <v>755</v>
      </c>
      <c r="C12322" t="s">
        <v>372</v>
      </c>
      <c r="D12322" s="230">
        <v>0</v>
      </c>
      <c r="E12322" t="s">
        <v>755</v>
      </c>
    </row>
    <row r="12323" spans="1:5" hidden="1" x14ac:dyDescent="0.3">
      <c r="A12323" t="s">
        <v>557</v>
      </c>
      <c r="B12323" t="s">
        <v>755</v>
      </c>
      <c r="C12323" t="s">
        <v>373</v>
      </c>
      <c r="D12323" s="230">
        <v>-156638.64000000001</v>
      </c>
      <c r="E12323" t="s">
        <v>755</v>
      </c>
    </row>
    <row r="12324" spans="1:5" hidden="1" x14ac:dyDescent="0.3">
      <c r="A12324" t="s">
        <v>557</v>
      </c>
      <c r="B12324" t="s">
        <v>755</v>
      </c>
      <c r="C12324" t="s">
        <v>374</v>
      </c>
      <c r="D12324" s="230">
        <v>-578050.68000000005</v>
      </c>
      <c r="E12324" t="s">
        <v>755</v>
      </c>
    </row>
    <row r="12325" spans="1:5" hidden="1" x14ac:dyDescent="0.3">
      <c r="A12325" t="s">
        <v>557</v>
      </c>
      <c r="B12325" t="s">
        <v>755</v>
      </c>
      <c r="C12325" t="s">
        <v>708</v>
      </c>
      <c r="D12325" s="230">
        <v>0</v>
      </c>
      <c r="E12325" t="s">
        <v>755</v>
      </c>
    </row>
    <row r="12326" spans="1:5" hidden="1" x14ac:dyDescent="0.3">
      <c r="A12326" t="s">
        <v>557</v>
      </c>
      <c r="B12326" t="s">
        <v>756</v>
      </c>
      <c r="C12326" t="s">
        <v>11</v>
      </c>
      <c r="D12326" s="230">
        <v>403794.25</v>
      </c>
      <c r="E12326" t="s">
        <v>561</v>
      </c>
    </row>
    <row r="12327" spans="1:5" hidden="1" x14ac:dyDescent="0.3">
      <c r="A12327" t="s">
        <v>557</v>
      </c>
      <c r="B12327" t="s">
        <v>756</v>
      </c>
      <c r="C12327" t="s">
        <v>13</v>
      </c>
      <c r="D12327" s="230">
        <v>216675.3</v>
      </c>
      <c r="E12327" t="s">
        <v>561</v>
      </c>
    </row>
    <row r="12328" spans="1:5" hidden="1" x14ac:dyDescent="0.3">
      <c r="A12328" t="s">
        <v>557</v>
      </c>
      <c r="B12328" t="s">
        <v>756</v>
      </c>
      <c r="C12328" t="s">
        <v>16</v>
      </c>
      <c r="D12328" s="230">
        <v>88949.1</v>
      </c>
      <c r="E12328" t="s">
        <v>561</v>
      </c>
    </row>
    <row r="12329" spans="1:5" hidden="1" x14ac:dyDescent="0.3">
      <c r="A12329" t="s">
        <v>557</v>
      </c>
      <c r="B12329" t="s">
        <v>756</v>
      </c>
      <c r="C12329" t="s">
        <v>17</v>
      </c>
      <c r="D12329" s="230">
        <v>3410</v>
      </c>
      <c r="E12329" t="s">
        <v>561</v>
      </c>
    </row>
    <row r="12330" spans="1:5" hidden="1" x14ac:dyDescent="0.3">
      <c r="A12330" t="s">
        <v>557</v>
      </c>
      <c r="B12330" t="s">
        <v>756</v>
      </c>
      <c r="C12330" t="s">
        <v>18</v>
      </c>
      <c r="D12330" s="230">
        <v>0</v>
      </c>
      <c r="E12330" t="s">
        <v>561</v>
      </c>
    </row>
    <row r="12331" spans="1:5" hidden="1" x14ac:dyDescent="0.3">
      <c r="A12331" t="s">
        <v>557</v>
      </c>
      <c r="B12331" t="s">
        <v>756</v>
      </c>
      <c r="C12331" t="s">
        <v>20</v>
      </c>
      <c r="D12331" s="230">
        <v>38712.57</v>
      </c>
      <c r="E12331" t="s">
        <v>561</v>
      </c>
    </row>
    <row r="12332" spans="1:5" hidden="1" x14ac:dyDescent="0.3">
      <c r="A12332" t="s">
        <v>557</v>
      </c>
      <c r="B12332" t="s">
        <v>756</v>
      </c>
      <c r="C12332" t="s">
        <v>23</v>
      </c>
      <c r="D12332" s="230">
        <v>15000</v>
      </c>
      <c r="E12332" t="s">
        <v>561</v>
      </c>
    </row>
    <row r="12333" spans="1:5" hidden="1" x14ac:dyDescent="0.3">
      <c r="A12333" t="s">
        <v>557</v>
      </c>
      <c r="B12333" t="s">
        <v>756</v>
      </c>
      <c r="C12333" t="s">
        <v>25</v>
      </c>
      <c r="D12333" s="230">
        <v>0</v>
      </c>
      <c r="E12333" t="s">
        <v>561</v>
      </c>
    </row>
    <row r="12334" spans="1:5" hidden="1" x14ac:dyDescent="0.3">
      <c r="A12334" t="s">
        <v>557</v>
      </c>
      <c r="B12334" t="s">
        <v>756</v>
      </c>
      <c r="C12334" t="s">
        <v>26</v>
      </c>
      <c r="D12334" s="230">
        <v>3000</v>
      </c>
      <c r="E12334" t="s">
        <v>561</v>
      </c>
    </row>
    <row r="12335" spans="1:5" hidden="1" x14ac:dyDescent="0.3">
      <c r="A12335" t="s">
        <v>557</v>
      </c>
      <c r="B12335" t="s">
        <v>756</v>
      </c>
      <c r="C12335" t="s">
        <v>27</v>
      </c>
      <c r="D12335" s="230">
        <v>0</v>
      </c>
      <c r="E12335" t="s">
        <v>561</v>
      </c>
    </row>
    <row r="12336" spans="1:5" hidden="1" x14ac:dyDescent="0.3">
      <c r="A12336" t="s">
        <v>557</v>
      </c>
      <c r="B12336" t="s">
        <v>756</v>
      </c>
      <c r="C12336" t="s">
        <v>29</v>
      </c>
      <c r="D12336" s="230">
        <v>37858.28</v>
      </c>
      <c r="E12336" t="s">
        <v>561</v>
      </c>
    </row>
    <row r="12337" spans="1:5" hidden="1" x14ac:dyDescent="0.3">
      <c r="A12337" t="s">
        <v>557</v>
      </c>
      <c r="B12337" t="s">
        <v>756</v>
      </c>
      <c r="C12337" t="s">
        <v>31</v>
      </c>
      <c r="D12337" s="230">
        <v>189</v>
      </c>
      <c r="E12337" t="s">
        <v>561</v>
      </c>
    </row>
    <row r="12338" spans="1:5" hidden="1" x14ac:dyDescent="0.3">
      <c r="A12338" t="s">
        <v>557</v>
      </c>
      <c r="B12338" t="s">
        <v>756</v>
      </c>
      <c r="C12338" t="s">
        <v>33</v>
      </c>
      <c r="D12338" s="230">
        <v>18000</v>
      </c>
      <c r="E12338" t="s">
        <v>561</v>
      </c>
    </row>
    <row r="12339" spans="1:5" hidden="1" x14ac:dyDescent="0.3">
      <c r="A12339" t="s">
        <v>557</v>
      </c>
      <c r="B12339" t="s">
        <v>756</v>
      </c>
      <c r="C12339" t="s">
        <v>34</v>
      </c>
      <c r="D12339" s="230">
        <v>-13511.02</v>
      </c>
      <c r="E12339" t="s">
        <v>561</v>
      </c>
    </row>
    <row r="12340" spans="1:5" hidden="1" x14ac:dyDescent="0.3">
      <c r="A12340" t="s">
        <v>557</v>
      </c>
      <c r="B12340" t="s">
        <v>756</v>
      </c>
      <c r="C12340" t="s">
        <v>38</v>
      </c>
      <c r="D12340" s="230">
        <v>-489.52</v>
      </c>
      <c r="E12340" t="s">
        <v>561</v>
      </c>
    </row>
    <row r="12341" spans="1:5" hidden="1" x14ac:dyDescent="0.3">
      <c r="A12341" t="s">
        <v>557</v>
      </c>
      <c r="B12341" t="s">
        <v>756</v>
      </c>
      <c r="C12341" t="s">
        <v>40</v>
      </c>
      <c r="D12341" s="230">
        <v>-8133.22</v>
      </c>
      <c r="E12341" t="s">
        <v>561</v>
      </c>
    </row>
    <row r="12342" spans="1:5" hidden="1" x14ac:dyDescent="0.3">
      <c r="A12342" t="s">
        <v>557</v>
      </c>
      <c r="B12342" t="s">
        <v>756</v>
      </c>
      <c r="C12342" t="s">
        <v>42</v>
      </c>
      <c r="D12342" s="230">
        <v>-4888.28</v>
      </c>
      <c r="E12342" t="s">
        <v>561</v>
      </c>
    </row>
    <row r="12343" spans="1:5" hidden="1" x14ac:dyDescent="0.3">
      <c r="A12343" t="s">
        <v>557</v>
      </c>
      <c r="B12343" t="s">
        <v>756</v>
      </c>
      <c r="C12343" t="s">
        <v>44</v>
      </c>
      <c r="D12343" s="230">
        <v>-0.03</v>
      </c>
      <c r="E12343" t="s">
        <v>561</v>
      </c>
    </row>
    <row r="12344" spans="1:5" hidden="1" x14ac:dyDescent="0.3">
      <c r="A12344" t="s">
        <v>557</v>
      </c>
      <c r="B12344" t="s">
        <v>756</v>
      </c>
      <c r="C12344" t="s">
        <v>45</v>
      </c>
      <c r="D12344" s="230">
        <v>-27415.93</v>
      </c>
      <c r="E12344" t="s">
        <v>561</v>
      </c>
    </row>
    <row r="12345" spans="1:5" hidden="1" x14ac:dyDescent="0.3">
      <c r="A12345" t="s">
        <v>557</v>
      </c>
      <c r="B12345" t="s">
        <v>756</v>
      </c>
      <c r="C12345" t="s">
        <v>46</v>
      </c>
      <c r="D12345" s="230">
        <v>-12790.22</v>
      </c>
      <c r="E12345" t="s">
        <v>561</v>
      </c>
    </row>
    <row r="12346" spans="1:5" hidden="1" x14ac:dyDescent="0.3">
      <c r="A12346" t="s">
        <v>557</v>
      </c>
      <c r="B12346" t="s">
        <v>756</v>
      </c>
      <c r="C12346" t="s">
        <v>48</v>
      </c>
      <c r="D12346" s="230">
        <v>-14475.71</v>
      </c>
      <c r="E12346" t="s">
        <v>561</v>
      </c>
    </row>
    <row r="12347" spans="1:5" hidden="1" x14ac:dyDescent="0.3">
      <c r="A12347" t="s">
        <v>557</v>
      </c>
      <c r="B12347" t="s">
        <v>756</v>
      </c>
      <c r="C12347" t="s">
        <v>49</v>
      </c>
      <c r="D12347" s="230">
        <v>-150</v>
      </c>
      <c r="E12347" t="s">
        <v>561</v>
      </c>
    </row>
    <row r="12348" spans="1:5" hidden="1" x14ac:dyDescent="0.3">
      <c r="A12348" t="s">
        <v>557</v>
      </c>
      <c r="B12348" t="s">
        <v>756</v>
      </c>
      <c r="C12348" t="s">
        <v>50</v>
      </c>
      <c r="D12348" s="230">
        <v>362867.3</v>
      </c>
      <c r="E12348" t="s">
        <v>561</v>
      </c>
    </row>
    <row r="12349" spans="1:5" hidden="1" x14ac:dyDescent="0.3">
      <c r="A12349" t="s">
        <v>557</v>
      </c>
      <c r="B12349" t="s">
        <v>756</v>
      </c>
      <c r="C12349" t="s">
        <v>51</v>
      </c>
      <c r="D12349" s="230">
        <v>-113554.64</v>
      </c>
      <c r="E12349" t="s">
        <v>561</v>
      </c>
    </row>
    <row r="12350" spans="1:5" hidden="1" x14ac:dyDescent="0.3">
      <c r="A12350" t="s">
        <v>557</v>
      </c>
      <c r="B12350" t="s">
        <v>756</v>
      </c>
      <c r="C12350" t="s">
        <v>52</v>
      </c>
      <c r="D12350" s="230">
        <v>-88697.79</v>
      </c>
      <c r="E12350" t="s">
        <v>561</v>
      </c>
    </row>
    <row r="12351" spans="1:5" hidden="1" x14ac:dyDescent="0.3">
      <c r="A12351" t="s">
        <v>557</v>
      </c>
      <c r="B12351" t="s">
        <v>756</v>
      </c>
      <c r="C12351" t="s">
        <v>53</v>
      </c>
      <c r="D12351" s="230">
        <v>-23786.97</v>
      </c>
      <c r="E12351" t="s">
        <v>561</v>
      </c>
    </row>
    <row r="12352" spans="1:5" hidden="1" x14ac:dyDescent="0.3">
      <c r="A12352" t="s">
        <v>557</v>
      </c>
      <c r="B12352" t="s">
        <v>756</v>
      </c>
      <c r="C12352" t="s">
        <v>54</v>
      </c>
      <c r="D12352" s="230">
        <v>-1069.8800000000001</v>
      </c>
      <c r="E12352" t="s">
        <v>561</v>
      </c>
    </row>
    <row r="12353" spans="1:5" hidden="1" x14ac:dyDescent="0.3">
      <c r="A12353" t="s">
        <v>557</v>
      </c>
      <c r="B12353" t="s">
        <v>756</v>
      </c>
      <c r="C12353" t="s">
        <v>44</v>
      </c>
      <c r="D12353" s="230">
        <v>-0.32</v>
      </c>
      <c r="E12353" t="s">
        <v>561</v>
      </c>
    </row>
    <row r="12354" spans="1:5" hidden="1" x14ac:dyDescent="0.3">
      <c r="A12354" t="s">
        <v>557</v>
      </c>
      <c r="B12354" t="s">
        <v>756</v>
      </c>
      <c r="C12354" t="s">
        <v>55</v>
      </c>
      <c r="D12354" s="230">
        <v>-0.31</v>
      </c>
      <c r="E12354" t="s">
        <v>561</v>
      </c>
    </row>
    <row r="12355" spans="1:5" hidden="1" x14ac:dyDescent="0.3">
      <c r="A12355" t="s">
        <v>557</v>
      </c>
      <c r="B12355" t="s">
        <v>756</v>
      </c>
      <c r="C12355" t="s">
        <v>56</v>
      </c>
      <c r="D12355" s="230">
        <v>-3519.23</v>
      </c>
      <c r="E12355" t="s">
        <v>561</v>
      </c>
    </row>
    <row r="12356" spans="1:5" hidden="1" x14ac:dyDescent="0.3">
      <c r="A12356" t="s">
        <v>557</v>
      </c>
      <c r="B12356" t="s">
        <v>756</v>
      </c>
      <c r="C12356" t="s">
        <v>57</v>
      </c>
      <c r="D12356" s="230">
        <v>-3018.23</v>
      </c>
      <c r="E12356" t="s">
        <v>561</v>
      </c>
    </row>
    <row r="12357" spans="1:5" hidden="1" x14ac:dyDescent="0.3">
      <c r="A12357" t="s">
        <v>557</v>
      </c>
      <c r="B12357" t="s">
        <v>756</v>
      </c>
      <c r="C12357" t="s">
        <v>58</v>
      </c>
      <c r="D12357" s="230">
        <v>-2916</v>
      </c>
      <c r="E12357" t="s">
        <v>561</v>
      </c>
    </row>
    <row r="12358" spans="1:5" hidden="1" x14ac:dyDescent="0.3">
      <c r="A12358" t="s">
        <v>557</v>
      </c>
      <c r="B12358" t="s">
        <v>756</v>
      </c>
      <c r="C12358" t="s">
        <v>59</v>
      </c>
      <c r="D12358" s="230">
        <v>-102.23</v>
      </c>
      <c r="E12358" t="s">
        <v>561</v>
      </c>
    </row>
    <row r="12359" spans="1:5" hidden="1" x14ac:dyDescent="0.3">
      <c r="A12359" t="s">
        <v>557</v>
      </c>
      <c r="B12359" t="s">
        <v>756</v>
      </c>
      <c r="C12359" t="s">
        <v>61</v>
      </c>
      <c r="D12359" s="230">
        <v>0</v>
      </c>
      <c r="E12359" t="s">
        <v>561</v>
      </c>
    </row>
    <row r="12360" spans="1:5" hidden="1" x14ac:dyDescent="0.3">
      <c r="A12360" t="s">
        <v>557</v>
      </c>
      <c r="B12360" t="s">
        <v>756</v>
      </c>
      <c r="C12360" t="s">
        <v>62</v>
      </c>
      <c r="D12360" s="230">
        <v>0</v>
      </c>
      <c r="E12360" t="s">
        <v>561</v>
      </c>
    </row>
    <row r="12361" spans="1:5" hidden="1" x14ac:dyDescent="0.3">
      <c r="A12361" t="s">
        <v>557</v>
      </c>
      <c r="B12361" t="s">
        <v>756</v>
      </c>
      <c r="C12361" t="s">
        <v>64</v>
      </c>
      <c r="D12361" s="230">
        <v>0</v>
      </c>
      <c r="E12361" t="s">
        <v>561</v>
      </c>
    </row>
    <row r="12362" spans="1:5" hidden="1" x14ac:dyDescent="0.3">
      <c r="A12362" t="s">
        <v>557</v>
      </c>
      <c r="B12362" t="s">
        <v>756</v>
      </c>
      <c r="C12362" t="s">
        <v>65</v>
      </c>
      <c r="D12362" s="230">
        <v>-501</v>
      </c>
      <c r="E12362" t="s">
        <v>561</v>
      </c>
    </row>
    <row r="12363" spans="1:5" hidden="1" x14ac:dyDescent="0.3">
      <c r="A12363" t="s">
        <v>557</v>
      </c>
      <c r="B12363" t="s">
        <v>756</v>
      </c>
      <c r="C12363" t="s">
        <v>66</v>
      </c>
      <c r="D12363" s="230">
        <v>-501</v>
      </c>
      <c r="E12363" t="s">
        <v>561</v>
      </c>
    </row>
    <row r="12364" spans="1:5" hidden="1" x14ac:dyDescent="0.3">
      <c r="A12364" t="s">
        <v>557</v>
      </c>
      <c r="B12364" t="s">
        <v>756</v>
      </c>
      <c r="C12364" t="s">
        <v>68</v>
      </c>
      <c r="D12364" s="230">
        <v>0</v>
      </c>
      <c r="E12364" t="s">
        <v>561</v>
      </c>
    </row>
    <row r="12365" spans="1:5" hidden="1" x14ac:dyDescent="0.3">
      <c r="A12365" t="s">
        <v>557</v>
      </c>
      <c r="B12365" t="s">
        <v>756</v>
      </c>
      <c r="C12365" t="s">
        <v>69</v>
      </c>
      <c r="D12365" s="230">
        <v>0</v>
      </c>
      <c r="E12365" t="s">
        <v>561</v>
      </c>
    </row>
    <row r="12366" spans="1:5" hidden="1" x14ac:dyDescent="0.3">
      <c r="A12366" t="s">
        <v>557</v>
      </c>
      <c r="B12366" t="s">
        <v>756</v>
      </c>
      <c r="C12366" t="s">
        <v>70</v>
      </c>
      <c r="D12366" s="230">
        <v>-1.03</v>
      </c>
      <c r="E12366" t="s">
        <v>561</v>
      </c>
    </row>
    <row r="12367" spans="1:5" hidden="1" x14ac:dyDescent="0.3">
      <c r="A12367" t="s">
        <v>557</v>
      </c>
      <c r="B12367" t="s">
        <v>756</v>
      </c>
      <c r="C12367" t="s">
        <v>44</v>
      </c>
      <c r="D12367" s="230">
        <v>-0.01</v>
      </c>
      <c r="E12367" t="s">
        <v>561</v>
      </c>
    </row>
    <row r="12368" spans="1:5" hidden="1" x14ac:dyDescent="0.3">
      <c r="A12368" t="s">
        <v>557</v>
      </c>
      <c r="B12368" t="s">
        <v>756</v>
      </c>
      <c r="C12368" t="s">
        <v>71</v>
      </c>
      <c r="D12368" s="230">
        <v>-2451.65</v>
      </c>
      <c r="E12368" t="s">
        <v>561</v>
      </c>
    </row>
    <row r="12369" spans="1:5" hidden="1" x14ac:dyDescent="0.3">
      <c r="A12369" t="s">
        <v>557</v>
      </c>
      <c r="B12369" t="s">
        <v>756</v>
      </c>
      <c r="C12369" t="s">
        <v>72</v>
      </c>
      <c r="D12369" s="230">
        <v>-2451.65</v>
      </c>
      <c r="E12369" t="s">
        <v>561</v>
      </c>
    </row>
    <row r="12370" spans="1:5" hidden="1" x14ac:dyDescent="0.3">
      <c r="A12370" t="s">
        <v>557</v>
      </c>
      <c r="B12370" t="s">
        <v>756</v>
      </c>
      <c r="C12370" t="s">
        <v>73</v>
      </c>
      <c r="D12370" s="230">
        <v>-2000</v>
      </c>
      <c r="E12370" t="s">
        <v>561</v>
      </c>
    </row>
    <row r="12371" spans="1:5" hidden="1" x14ac:dyDescent="0.3">
      <c r="A12371" t="s">
        <v>557</v>
      </c>
      <c r="B12371" t="s">
        <v>756</v>
      </c>
      <c r="C12371" t="s">
        <v>75</v>
      </c>
      <c r="D12371" s="230">
        <v>-451.65</v>
      </c>
      <c r="E12371" t="s">
        <v>561</v>
      </c>
    </row>
    <row r="12372" spans="1:5" hidden="1" x14ac:dyDescent="0.3">
      <c r="A12372" t="s">
        <v>557</v>
      </c>
      <c r="B12372" t="s">
        <v>756</v>
      </c>
      <c r="C12372" t="s">
        <v>77</v>
      </c>
      <c r="D12372" s="230">
        <v>0</v>
      </c>
      <c r="E12372" t="s">
        <v>561</v>
      </c>
    </row>
    <row r="12373" spans="1:5" hidden="1" x14ac:dyDescent="0.3">
      <c r="A12373" t="s">
        <v>557</v>
      </c>
      <c r="B12373" t="s">
        <v>756</v>
      </c>
      <c r="C12373" t="s">
        <v>78</v>
      </c>
      <c r="D12373" s="230">
        <v>0</v>
      </c>
      <c r="E12373" t="s">
        <v>561</v>
      </c>
    </row>
    <row r="12374" spans="1:5" hidden="1" x14ac:dyDescent="0.3">
      <c r="A12374" t="s">
        <v>557</v>
      </c>
      <c r="B12374" t="s">
        <v>756</v>
      </c>
      <c r="C12374" t="s">
        <v>80</v>
      </c>
      <c r="D12374" s="230">
        <v>0</v>
      </c>
      <c r="E12374" t="s">
        <v>561</v>
      </c>
    </row>
    <row r="12375" spans="1:5" hidden="1" x14ac:dyDescent="0.3">
      <c r="A12375" t="s">
        <v>557</v>
      </c>
      <c r="B12375" t="s">
        <v>756</v>
      </c>
      <c r="C12375" t="s">
        <v>82</v>
      </c>
      <c r="D12375" s="230">
        <v>0</v>
      </c>
      <c r="E12375" t="s">
        <v>561</v>
      </c>
    </row>
    <row r="12376" spans="1:5" hidden="1" x14ac:dyDescent="0.3">
      <c r="A12376" t="s">
        <v>557</v>
      </c>
      <c r="B12376" t="s">
        <v>756</v>
      </c>
      <c r="C12376" t="s">
        <v>84</v>
      </c>
      <c r="D12376" s="230">
        <v>0</v>
      </c>
      <c r="E12376" t="s">
        <v>561</v>
      </c>
    </row>
    <row r="12377" spans="1:5" hidden="1" x14ac:dyDescent="0.3">
      <c r="A12377" t="s">
        <v>557</v>
      </c>
      <c r="B12377" t="s">
        <v>756</v>
      </c>
      <c r="C12377" t="s">
        <v>85</v>
      </c>
      <c r="D12377" s="230">
        <v>0</v>
      </c>
      <c r="E12377" t="s">
        <v>561</v>
      </c>
    </row>
    <row r="12378" spans="1:5" hidden="1" x14ac:dyDescent="0.3">
      <c r="A12378" t="s">
        <v>557</v>
      </c>
      <c r="B12378" t="s">
        <v>756</v>
      </c>
      <c r="C12378" t="s">
        <v>86</v>
      </c>
      <c r="D12378" s="230">
        <v>0</v>
      </c>
      <c r="E12378" t="s">
        <v>561</v>
      </c>
    </row>
    <row r="12379" spans="1:5" hidden="1" x14ac:dyDescent="0.3">
      <c r="A12379" t="s">
        <v>557</v>
      </c>
      <c r="B12379" t="s">
        <v>756</v>
      </c>
      <c r="C12379" t="s">
        <v>87</v>
      </c>
      <c r="D12379" s="230">
        <v>0</v>
      </c>
      <c r="E12379" t="s">
        <v>561</v>
      </c>
    </row>
    <row r="12380" spans="1:5" hidden="1" x14ac:dyDescent="0.3">
      <c r="A12380" t="s">
        <v>557</v>
      </c>
      <c r="B12380" t="s">
        <v>756</v>
      </c>
      <c r="C12380" t="s">
        <v>88</v>
      </c>
      <c r="D12380" s="230">
        <v>0</v>
      </c>
      <c r="E12380" t="s">
        <v>561</v>
      </c>
    </row>
    <row r="12381" spans="1:5" hidden="1" x14ac:dyDescent="0.3">
      <c r="A12381" t="s">
        <v>557</v>
      </c>
      <c r="B12381" t="s">
        <v>756</v>
      </c>
      <c r="C12381" t="s">
        <v>89</v>
      </c>
      <c r="D12381" s="230">
        <v>0</v>
      </c>
      <c r="E12381" t="s">
        <v>561</v>
      </c>
    </row>
    <row r="12382" spans="1:5" hidden="1" x14ac:dyDescent="0.3">
      <c r="A12382" t="s">
        <v>557</v>
      </c>
      <c r="B12382" t="s">
        <v>756</v>
      </c>
      <c r="C12382" t="s">
        <v>90</v>
      </c>
      <c r="D12382" s="230">
        <v>0</v>
      </c>
      <c r="E12382" t="s">
        <v>561</v>
      </c>
    </row>
    <row r="12383" spans="1:5" hidden="1" x14ac:dyDescent="0.3">
      <c r="A12383" t="s">
        <v>557</v>
      </c>
      <c r="B12383" t="s">
        <v>756</v>
      </c>
      <c r="C12383" t="s">
        <v>91</v>
      </c>
      <c r="D12383" s="230">
        <v>0</v>
      </c>
      <c r="E12383" t="s">
        <v>561</v>
      </c>
    </row>
    <row r="12384" spans="1:5" hidden="1" x14ac:dyDescent="0.3">
      <c r="A12384" t="s">
        <v>557</v>
      </c>
      <c r="B12384" t="s">
        <v>756</v>
      </c>
      <c r="C12384" t="s">
        <v>93</v>
      </c>
      <c r="D12384" s="230">
        <v>0</v>
      </c>
      <c r="E12384" t="s">
        <v>561</v>
      </c>
    </row>
    <row r="12385" spans="1:5" hidden="1" x14ac:dyDescent="0.3">
      <c r="A12385" t="s">
        <v>557</v>
      </c>
      <c r="B12385" t="s">
        <v>756</v>
      </c>
      <c r="C12385" t="s">
        <v>95</v>
      </c>
      <c r="D12385" s="230">
        <v>0</v>
      </c>
      <c r="E12385" t="s">
        <v>561</v>
      </c>
    </row>
    <row r="12386" spans="1:5" hidden="1" x14ac:dyDescent="0.3">
      <c r="A12386" t="s">
        <v>557</v>
      </c>
      <c r="B12386" t="s">
        <v>756</v>
      </c>
      <c r="C12386" t="s">
        <v>96</v>
      </c>
      <c r="D12386" s="230">
        <v>0</v>
      </c>
      <c r="E12386" t="s">
        <v>561</v>
      </c>
    </row>
    <row r="12387" spans="1:5" hidden="1" x14ac:dyDescent="0.3">
      <c r="A12387" t="s">
        <v>557</v>
      </c>
      <c r="B12387" t="s">
        <v>756</v>
      </c>
      <c r="C12387" t="s">
        <v>98</v>
      </c>
      <c r="D12387" s="230">
        <v>0</v>
      </c>
      <c r="E12387" t="s">
        <v>561</v>
      </c>
    </row>
    <row r="12388" spans="1:5" hidden="1" x14ac:dyDescent="0.3">
      <c r="A12388" t="s">
        <v>557</v>
      </c>
      <c r="B12388" t="s">
        <v>756</v>
      </c>
      <c r="C12388" t="s">
        <v>100</v>
      </c>
      <c r="D12388" s="230">
        <v>0</v>
      </c>
      <c r="E12388" t="s">
        <v>561</v>
      </c>
    </row>
    <row r="12389" spans="1:5" hidden="1" x14ac:dyDescent="0.3">
      <c r="A12389" t="s">
        <v>557</v>
      </c>
      <c r="B12389" t="s">
        <v>756</v>
      </c>
      <c r="C12389" t="s">
        <v>101</v>
      </c>
      <c r="D12389" s="230">
        <v>0</v>
      </c>
      <c r="E12389" t="s">
        <v>561</v>
      </c>
    </row>
    <row r="12390" spans="1:5" hidden="1" x14ac:dyDescent="0.3">
      <c r="A12390" t="s">
        <v>557</v>
      </c>
      <c r="B12390" t="s">
        <v>756</v>
      </c>
      <c r="C12390" t="s">
        <v>102</v>
      </c>
      <c r="D12390" s="230">
        <v>0</v>
      </c>
      <c r="E12390" t="s">
        <v>561</v>
      </c>
    </row>
    <row r="12391" spans="1:5" hidden="1" x14ac:dyDescent="0.3">
      <c r="A12391" t="s">
        <v>557</v>
      </c>
      <c r="B12391" t="s">
        <v>756</v>
      </c>
      <c r="C12391" t="s">
        <v>103</v>
      </c>
      <c r="D12391" s="230">
        <v>0</v>
      </c>
      <c r="E12391" t="s">
        <v>561</v>
      </c>
    </row>
    <row r="12392" spans="1:5" hidden="1" x14ac:dyDescent="0.3">
      <c r="A12392" t="s">
        <v>557</v>
      </c>
      <c r="B12392" t="s">
        <v>756</v>
      </c>
      <c r="C12392" t="s">
        <v>104</v>
      </c>
      <c r="D12392" s="230">
        <v>0</v>
      </c>
      <c r="E12392" t="s">
        <v>561</v>
      </c>
    </row>
    <row r="12393" spans="1:5" hidden="1" x14ac:dyDescent="0.3">
      <c r="A12393" t="s">
        <v>557</v>
      </c>
      <c r="B12393" t="s">
        <v>756</v>
      </c>
      <c r="C12393" t="s">
        <v>105</v>
      </c>
      <c r="D12393" s="230">
        <v>0</v>
      </c>
      <c r="E12393" t="s">
        <v>561</v>
      </c>
    </row>
    <row r="12394" spans="1:5" hidden="1" x14ac:dyDescent="0.3">
      <c r="A12394" t="s">
        <v>557</v>
      </c>
      <c r="B12394" t="s">
        <v>756</v>
      </c>
      <c r="C12394" t="s">
        <v>107</v>
      </c>
      <c r="D12394" s="230">
        <v>0</v>
      </c>
      <c r="E12394" t="s">
        <v>561</v>
      </c>
    </row>
    <row r="12395" spans="1:5" hidden="1" x14ac:dyDescent="0.3">
      <c r="A12395" t="s">
        <v>557</v>
      </c>
      <c r="B12395" t="s">
        <v>756</v>
      </c>
      <c r="C12395" t="s">
        <v>108</v>
      </c>
      <c r="D12395" s="230">
        <v>0</v>
      </c>
      <c r="E12395" t="s">
        <v>561</v>
      </c>
    </row>
    <row r="12396" spans="1:5" hidden="1" x14ac:dyDescent="0.3">
      <c r="A12396" t="s">
        <v>557</v>
      </c>
      <c r="B12396" t="s">
        <v>756</v>
      </c>
      <c r="C12396" t="s">
        <v>109</v>
      </c>
      <c r="D12396" s="230">
        <v>0</v>
      </c>
      <c r="E12396" t="s">
        <v>561</v>
      </c>
    </row>
    <row r="12397" spans="1:5" hidden="1" x14ac:dyDescent="0.3">
      <c r="A12397" t="s">
        <v>557</v>
      </c>
      <c r="B12397" t="s">
        <v>756</v>
      </c>
      <c r="C12397" t="s">
        <v>110</v>
      </c>
      <c r="D12397" s="230">
        <v>-0.14000000000000001</v>
      </c>
      <c r="E12397" t="s">
        <v>561</v>
      </c>
    </row>
    <row r="12398" spans="1:5" hidden="1" x14ac:dyDescent="0.3">
      <c r="A12398" t="s">
        <v>557</v>
      </c>
      <c r="B12398" t="s">
        <v>756</v>
      </c>
      <c r="C12398" t="s">
        <v>44</v>
      </c>
      <c r="D12398" s="230">
        <v>-0.01</v>
      </c>
      <c r="E12398" t="s">
        <v>561</v>
      </c>
    </row>
    <row r="12399" spans="1:5" hidden="1" x14ac:dyDescent="0.3">
      <c r="A12399" t="s">
        <v>557</v>
      </c>
      <c r="B12399" t="s">
        <v>756</v>
      </c>
      <c r="C12399" t="s">
        <v>111</v>
      </c>
      <c r="D12399" s="230">
        <v>-20840</v>
      </c>
      <c r="E12399" t="s">
        <v>561</v>
      </c>
    </row>
    <row r="12400" spans="1:5" hidden="1" x14ac:dyDescent="0.3">
      <c r="A12400" t="s">
        <v>557</v>
      </c>
      <c r="B12400" t="s">
        <v>756</v>
      </c>
      <c r="C12400" t="s">
        <v>608</v>
      </c>
      <c r="D12400" s="230">
        <v>-20840</v>
      </c>
      <c r="E12400" t="s">
        <v>561</v>
      </c>
    </row>
    <row r="12401" spans="1:5" hidden="1" x14ac:dyDescent="0.3">
      <c r="A12401" t="s">
        <v>557</v>
      </c>
      <c r="B12401" t="s">
        <v>756</v>
      </c>
      <c r="C12401" t="s">
        <v>44</v>
      </c>
      <c r="D12401" s="230">
        <v>-0.05</v>
      </c>
      <c r="E12401" t="s">
        <v>561</v>
      </c>
    </row>
    <row r="12402" spans="1:5" hidden="1" x14ac:dyDescent="0.3">
      <c r="A12402" t="s">
        <v>557</v>
      </c>
      <c r="B12402" t="s">
        <v>756</v>
      </c>
      <c r="C12402" t="s">
        <v>115</v>
      </c>
      <c r="D12402" s="230">
        <v>-18488.78</v>
      </c>
      <c r="E12402" t="s">
        <v>561</v>
      </c>
    </row>
    <row r="12403" spans="1:5" hidden="1" x14ac:dyDescent="0.3">
      <c r="A12403" t="s">
        <v>557</v>
      </c>
      <c r="B12403" t="s">
        <v>756</v>
      </c>
      <c r="C12403" t="s">
        <v>116</v>
      </c>
      <c r="D12403" s="230">
        <v>-5638.62</v>
      </c>
      <c r="E12403" t="s">
        <v>561</v>
      </c>
    </row>
    <row r="12404" spans="1:5" hidden="1" x14ac:dyDescent="0.3">
      <c r="A12404" t="s">
        <v>557</v>
      </c>
      <c r="B12404" t="s">
        <v>756</v>
      </c>
      <c r="C12404" t="s">
        <v>118</v>
      </c>
      <c r="D12404" s="230">
        <v>-12850.16</v>
      </c>
      <c r="E12404" t="s">
        <v>561</v>
      </c>
    </row>
    <row r="12405" spans="1:5" hidden="1" x14ac:dyDescent="0.3">
      <c r="A12405" t="s">
        <v>557</v>
      </c>
      <c r="B12405" t="s">
        <v>756</v>
      </c>
      <c r="C12405" t="s">
        <v>120</v>
      </c>
      <c r="D12405" s="230">
        <v>0</v>
      </c>
      <c r="E12405" t="s">
        <v>561</v>
      </c>
    </row>
    <row r="12406" spans="1:5" hidden="1" x14ac:dyDescent="0.3">
      <c r="A12406" t="s">
        <v>557</v>
      </c>
      <c r="B12406" t="s">
        <v>756</v>
      </c>
      <c r="C12406" t="s">
        <v>122</v>
      </c>
      <c r="D12406" s="230">
        <v>0</v>
      </c>
      <c r="E12406" t="s">
        <v>561</v>
      </c>
    </row>
    <row r="12407" spans="1:5" hidden="1" x14ac:dyDescent="0.3">
      <c r="A12407" t="s">
        <v>557</v>
      </c>
      <c r="B12407" t="s">
        <v>756</v>
      </c>
      <c r="C12407" t="s">
        <v>44</v>
      </c>
      <c r="D12407" s="230">
        <v>-0.05</v>
      </c>
      <c r="E12407" t="s">
        <v>561</v>
      </c>
    </row>
    <row r="12408" spans="1:5" hidden="1" x14ac:dyDescent="0.3">
      <c r="A12408" t="s">
        <v>557</v>
      </c>
      <c r="B12408" t="s">
        <v>756</v>
      </c>
      <c r="C12408" t="s">
        <v>126</v>
      </c>
      <c r="D12408" s="230">
        <v>204013</v>
      </c>
      <c r="E12408" t="s">
        <v>561</v>
      </c>
    </row>
    <row r="12409" spans="1:5" hidden="1" x14ac:dyDescent="0.3">
      <c r="A12409" t="s">
        <v>557</v>
      </c>
      <c r="B12409" t="s">
        <v>756</v>
      </c>
      <c r="C12409" t="s">
        <v>127</v>
      </c>
      <c r="D12409" s="230">
        <v>0.51</v>
      </c>
      <c r="E12409" t="s">
        <v>561</v>
      </c>
    </row>
    <row r="12410" spans="1:5" hidden="1" x14ac:dyDescent="0.3">
      <c r="A12410" t="s">
        <v>557</v>
      </c>
      <c r="B12410" t="s">
        <v>756</v>
      </c>
      <c r="C12410" t="s">
        <v>128</v>
      </c>
      <c r="D12410" s="230">
        <v>-119161.57</v>
      </c>
      <c r="E12410" t="s">
        <v>561</v>
      </c>
    </row>
    <row r="12411" spans="1:5" hidden="1" x14ac:dyDescent="0.3">
      <c r="A12411" t="s">
        <v>557</v>
      </c>
      <c r="B12411" t="s">
        <v>756</v>
      </c>
      <c r="C12411" t="s">
        <v>129</v>
      </c>
      <c r="D12411" s="230">
        <v>-30810</v>
      </c>
      <c r="E12411" t="s">
        <v>561</v>
      </c>
    </row>
    <row r="12412" spans="1:5" hidden="1" x14ac:dyDescent="0.3">
      <c r="A12412" t="s">
        <v>557</v>
      </c>
      <c r="B12412" t="s">
        <v>756</v>
      </c>
      <c r="C12412" t="s">
        <v>609</v>
      </c>
      <c r="D12412" s="230">
        <v>0</v>
      </c>
      <c r="E12412" t="s">
        <v>561</v>
      </c>
    </row>
    <row r="12413" spans="1:5" hidden="1" x14ac:dyDescent="0.3">
      <c r="A12413" t="s">
        <v>557</v>
      </c>
      <c r="B12413" t="s">
        <v>756</v>
      </c>
      <c r="C12413" t="s">
        <v>610</v>
      </c>
      <c r="D12413" s="230">
        <v>-17600</v>
      </c>
      <c r="E12413" t="s">
        <v>561</v>
      </c>
    </row>
    <row r="12414" spans="1:5" hidden="1" x14ac:dyDescent="0.3">
      <c r="A12414" t="s">
        <v>557</v>
      </c>
      <c r="B12414" t="s">
        <v>756</v>
      </c>
      <c r="C12414" t="s">
        <v>611</v>
      </c>
      <c r="D12414" s="230">
        <v>0</v>
      </c>
      <c r="E12414" t="s">
        <v>561</v>
      </c>
    </row>
    <row r="12415" spans="1:5" hidden="1" x14ac:dyDescent="0.3">
      <c r="A12415" t="s">
        <v>557</v>
      </c>
      <c r="B12415" t="s">
        <v>756</v>
      </c>
      <c r="C12415" t="s">
        <v>612</v>
      </c>
      <c r="D12415" s="230">
        <v>-4000</v>
      </c>
      <c r="E12415" t="s">
        <v>561</v>
      </c>
    </row>
    <row r="12416" spans="1:5" hidden="1" x14ac:dyDescent="0.3">
      <c r="A12416" t="s">
        <v>557</v>
      </c>
      <c r="B12416" t="s">
        <v>756</v>
      </c>
      <c r="C12416" t="s">
        <v>613</v>
      </c>
      <c r="D12416" s="230">
        <v>-1750</v>
      </c>
      <c r="E12416" t="s">
        <v>561</v>
      </c>
    </row>
    <row r="12417" spans="1:5" hidden="1" x14ac:dyDescent="0.3">
      <c r="A12417" t="s">
        <v>557</v>
      </c>
      <c r="B12417" t="s">
        <v>756</v>
      </c>
      <c r="C12417" t="s">
        <v>614</v>
      </c>
      <c r="D12417" s="230">
        <v>-6500</v>
      </c>
      <c r="E12417" t="s">
        <v>561</v>
      </c>
    </row>
    <row r="12418" spans="1:5" hidden="1" x14ac:dyDescent="0.3">
      <c r="A12418" t="s">
        <v>557</v>
      </c>
      <c r="B12418" t="s">
        <v>756</v>
      </c>
      <c r="C12418" t="s">
        <v>615</v>
      </c>
      <c r="D12418" s="230">
        <v>0</v>
      </c>
      <c r="E12418" t="s">
        <v>561</v>
      </c>
    </row>
    <row r="12419" spans="1:5" hidden="1" x14ac:dyDescent="0.3">
      <c r="A12419" t="s">
        <v>557</v>
      </c>
      <c r="B12419" t="s">
        <v>756</v>
      </c>
      <c r="C12419" t="s">
        <v>616</v>
      </c>
      <c r="D12419" s="230">
        <v>-960</v>
      </c>
      <c r="E12419" t="s">
        <v>561</v>
      </c>
    </row>
    <row r="12420" spans="1:5" hidden="1" x14ac:dyDescent="0.3">
      <c r="A12420" t="s">
        <v>557</v>
      </c>
      <c r="B12420" t="s">
        <v>756</v>
      </c>
      <c r="C12420" t="s">
        <v>617</v>
      </c>
      <c r="D12420" s="230">
        <v>0</v>
      </c>
      <c r="E12420" t="s">
        <v>561</v>
      </c>
    </row>
    <row r="12421" spans="1:5" hidden="1" x14ac:dyDescent="0.3">
      <c r="A12421" t="s">
        <v>557</v>
      </c>
      <c r="B12421" t="s">
        <v>756</v>
      </c>
      <c r="C12421" t="s">
        <v>618</v>
      </c>
      <c r="D12421" s="230">
        <v>0</v>
      </c>
      <c r="E12421" t="s">
        <v>561</v>
      </c>
    </row>
    <row r="12422" spans="1:5" hidden="1" x14ac:dyDescent="0.3">
      <c r="A12422" t="s">
        <v>557</v>
      </c>
      <c r="B12422" t="s">
        <v>756</v>
      </c>
      <c r="C12422" t="s">
        <v>619</v>
      </c>
      <c r="D12422" s="230">
        <v>0</v>
      </c>
      <c r="E12422" t="s">
        <v>561</v>
      </c>
    </row>
    <row r="12423" spans="1:5" hidden="1" x14ac:dyDescent="0.3">
      <c r="A12423" t="s">
        <v>557</v>
      </c>
      <c r="B12423" t="s">
        <v>756</v>
      </c>
      <c r="C12423" t="s">
        <v>620</v>
      </c>
      <c r="D12423" s="230">
        <v>0</v>
      </c>
      <c r="E12423" t="s">
        <v>561</v>
      </c>
    </row>
    <row r="12424" spans="1:5" hidden="1" x14ac:dyDescent="0.3">
      <c r="A12424" t="s">
        <v>557</v>
      </c>
      <c r="B12424" t="s">
        <v>756</v>
      </c>
      <c r="C12424" t="s">
        <v>142</v>
      </c>
      <c r="D12424" s="230">
        <v>-33226.17</v>
      </c>
      <c r="E12424" t="s">
        <v>561</v>
      </c>
    </row>
    <row r="12425" spans="1:5" hidden="1" x14ac:dyDescent="0.3">
      <c r="A12425" t="s">
        <v>557</v>
      </c>
      <c r="B12425" t="s">
        <v>756</v>
      </c>
      <c r="C12425" t="s">
        <v>621</v>
      </c>
      <c r="D12425" s="230">
        <v>0</v>
      </c>
      <c r="E12425" t="s">
        <v>561</v>
      </c>
    </row>
    <row r="12426" spans="1:5" hidden="1" x14ac:dyDescent="0.3">
      <c r="A12426" t="s">
        <v>557</v>
      </c>
      <c r="B12426" t="s">
        <v>756</v>
      </c>
      <c r="C12426" t="s">
        <v>622</v>
      </c>
      <c r="D12426" s="230">
        <v>0</v>
      </c>
      <c r="E12426" t="s">
        <v>561</v>
      </c>
    </row>
    <row r="12427" spans="1:5" hidden="1" x14ac:dyDescent="0.3">
      <c r="A12427" t="s">
        <v>557</v>
      </c>
      <c r="B12427" t="s">
        <v>756</v>
      </c>
      <c r="C12427" t="s">
        <v>623</v>
      </c>
      <c r="D12427" s="230">
        <v>0</v>
      </c>
      <c r="E12427" t="s">
        <v>561</v>
      </c>
    </row>
    <row r="12428" spans="1:5" hidden="1" x14ac:dyDescent="0.3">
      <c r="A12428" t="s">
        <v>557</v>
      </c>
      <c r="B12428" t="s">
        <v>756</v>
      </c>
      <c r="C12428" t="s">
        <v>624</v>
      </c>
      <c r="D12428" s="230">
        <v>0</v>
      </c>
      <c r="E12428" t="s">
        <v>561</v>
      </c>
    </row>
    <row r="12429" spans="1:5" hidden="1" x14ac:dyDescent="0.3">
      <c r="A12429" t="s">
        <v>557</v>
      </c>
      <c r="B12429" t="s">
        <v>756</v>
      </c>
      <c r="C12429" t="s">
        <v>625</v>
      </c>
      <c r="D12429" s="230">
        <v>0</v>
      </c>
      <c r="E12429" t="s">
        <v>561</v>
      </c>
    </row>
    <row r="12430" spans="1:5" hidden="1" x14ac:dyDescent="0.3">
      <c r="A12430" t="s">
        <v>557</v>
      </c>
      <c r="B12430" t="s">
        <v>756</v>
      </c>
      <c r="C12430" t="s">
        <v>626</v>
      </c>
      <c r="D12430" s="230">
        <v>0</v>
      </c>
      <c r="E12430" t="s">
        <v>561</v>
      </c>
    </row>
    <row r="12431" spans="1:5" hidden="1" x14ac:dyDescent="0.3">
      <c r="A12431" t="s">
        <v>557</v>
      </c>
      <c r="B12431" t="s">
        <v>756</v>
      </c>
      <c r="C12431" t="s">
        <v>627</v>
      </c>
      <c r="D12431" s="230">
        <v>0</v>
      </c>
      <c r="E12431" t="s">
        <v>561</v>
      </c>
    </row>
    <row r="12432" spans="1:5" hidden="1" x14ac:dyDescent="0.3">
      <c r="A12432" t="s">
        <v>557</v>
      </c>
      <c r="B12432" t="s">
        <v>756</v>
      </c>
      <c r="C12432" t="s">
        <v>628</v>
      </c>
      <c r="D12432" s="230">
        <v>0</v>
      </c>
      <c r="E12432" t="s">
        <v>561</v>
      </c>
    </row>
    <row r="12433" spans="1:5" hidden="1" x14ac:dyDescent="0.3">
      <c r="A12433" t="s">
        <v>557</v>
      </c>
      <c r="B12433" t="s">
        <v>756</v>
      </c>
      <c r="C12433" t="s">
        <v>629</v>
      </c>
      <c r="D12433" s="230">
        <v>0</v>
      </c>
      <c r="E12433" t="s">
        <v>561</v>
      </c>
    </row>
    <row r="12434" spans="1:5" hidden="1" x14ac:dyDescent="0.3">
      <c r="A12434" t="s">
        <v>557</v>
      </c>
      <c r="B12434" t="s">
        <v>756</v>
      </c>
      <c r="C12434" t="s">
        <v>630</v>
      </c>
      <c r="D12434" s="230">
        <v>0</v>
      </c>
      <c r="E12434" t="s">
        <v>561</v>
      </c>
    </row>
    <row r="12435" spans="1:5" hidden="1" x14ac:dyDescent="0.3">
      <c r="A12435" t="s">
        <v>557</v>
      </c>
      <c r="B12435" t="s">
        <v>756</v>
      </c>
      <c r="C12435" t="s">
        <v>631</v>
      </c>
      <c r="D12435" s="230">
        <v>0</v>
      </c>
      <c r="E12435" t="s">
        <v>561</v>
      </c>
    </row>
    <row r="12436" spans="1:5" hidden="1" x14ac:dyDescent="0.3">
      <c r="A12436" t="s">
        <v>557</v>
      </c>
      <c r="B12436" t="s">
        <v>756</v>
      </c>
      <c r="C12436" t="s">
        <v>632</v>
      </c>
      <c r="D12436" s="230">
        <v>0</v>
      </c>
      <c r="E12436" t="s">
        <v>561</v>
      </c>
    </row>
    <row r="12437" spans="1:5" hidden="1" x14ac:dyDescent="0.3">
      <c r="A12437" t="s">
        <v>557</v>
      </c>
      <c r="B12437" t="s">
        <v>756</v>
      </c>
      <c r="C12437" t="s">
        <v>633</v>
      </c>
      <c r="D12437" s="230">
        <v>0</v>
      </c>
      <c r="E12437" t="s">
        <v>561</v>
      </c>
    </row>
    <row r="12438" spans="1:5" hidden="1" x14ac:dyDescent="0.3">
      <c r="A12438" t="s">
        <v>557</v>
      </c>
      <c r="B12438" t="s">
        <v>756</v>
      </c>
      <c r="C12438" t="s">
        <v>634</v>
      </c>
      <c r="D12438" s="230">
        <v>0</v>
      </c>
      <c r="E12438" t="s">
        <v>561</v>
      </c>
    </row>
    <row r="12439" spans="1:5" hidden="1" x14ac:dyDescent="0.3">
      <c r="A12439" t="s">
        <v>557</v>
      </c>
      <c r="B12439" t="s">
        <v>756</v>
      </c>
      <c r="C12439" t="s">
        <v>635</v>
      </c>
      <c r="D12439" s="230">
        <v>0</v>
      </c>
      <c r="E12439" t="s">
        <v>561</v>
      </c>
    </row>
    <row r="12440" spans="1:5" hidden="1" x14ac:dyDescent="0.3">
      <c r="A12440" t="s">
        <v>557</v>
      </c>
      <c r="B12440" t="s">
        <v>756</v>
      </c>
      <c r="C12440" t="s">
        <v>636</v>
      </c>
      <c r="D12440" s="230">
        <v>0</v>
      </c>
      <c r="E12440" t="s">
        <v>561</v>
      </c>
    </row>
    <row r="12441" spans="1:5" hidden="1" x14ac:dyDescent="0.3">
      <c r="A12441" t="s">
        <v>557</v>
      </c>
      <c r="B12441" t="s">
        <v>756</v>
      </c>
      <c r="C12441" t="s">
        <v>637</v>
      </c>
      <c r="D12441" s="230">
        <v>0</v>
      </c>
      <c r="E12441" t="s">
        <v>561</v>
      </c>
    </row>
    <row r="12442" spans="1:5" hidden="1" x14ac:dyDescent="0.3">
      <c r="A12442" t="s">
        <v>557</v>
      </c>
      <c r="B12442" t="s">
        <v>756</v>
      </c>
      <c r="C12442" t="s">
        <v>638</v>
      </c>
      <c r="D12442" s="230">
        <v>0</v>
      </c>
      <c r="E12442" t="s">
        <v>561</v>
      </c>
    </row>
    <row r="12443" spans="1:5" hidden="1" x14ac:dyDescent="0.3">
      <c r="A12443" t="s">
        <v>557</v>
      </c>
      <c r="B12443" t="s">
        <v>756</v>
      </c>
      <c r="C12443" t="s">
        <v>639</v>
      </c>
      <c r="D12443" s="230">
        <v>0</v>
      </c>
      <c r="E12443" t="s">
        <v>561</v>
      </c>
    </row>
    <row r="12444" spans="1:5" hidden="1" x14ac:dyDescent="0.3">
      <c r="A12444" t="s">
        <v>557</v>
      </c>
      <c r="B12444" t="s">
        <v>756</v>
      </c>
      <c r="C12444" t="s">
        <v>640</v>
      </c>
      <c r="D12444" s="230">
        <v>0</v>
      </c>
      <c r="E12444" t="s">
        <v>561</v>
      </c>
    </row>
    <row r="12445" spans="1:5" hidden="1" x14ac:dyDescent="0.3">
      <c r="A12445" t="s">
        <v>557</v>
      </c>
      <c r="B12445" t="s">
        <v>756</v>
      </c>
      <c r="C12445" t="s">
        <v>641</v>
      </c>
      <c r="D12445" s="230">
        <v>0</v>
      </c>
      <c r="E12445" t="s">
        <v>561</v>
      </c>
    </row>
    <row r="12446" spans="1:5" hidden="1" x14ac:dyDescent="0.3">
      <c r="A12446" t="s">
        <v>557</v>
      </c>
      <c r="B12446" t="s">
        <v>756</v>
      </c>
      <c r="C12446" t="s">
        <v>642</v>
      </c>
      <c r="D12446" s="230">
        <v>0</v>
      </c>
      <c r="E12446" t="s">
        <v>561</v>
      </c>
    </row>
    <row r="12447" spans="1:5" hidden="1" x14ac:dyDescent="0.3">
      <c r="A12447" t="s">
        <v>557</v>
      </c>
      <c r="B12447" t="s">
        <v>756</v>
      </c>
      <c r="C12447" t="s">
        <v>643</v>
      </c>
      <c r="D12447" s="230">
        <v>0</v>
      </c>
      <c r="E12447" t="s">
        <v>561</v>
      </c>
    </row>
    <row r="12448" spans="1:5" hidden="1" x14ac:dyDescent="0.3">
      <c r="A12448" t="s">
        <v>557</v>
      </c>
      <c r="B12448" t="s">
        <v>756</v>
      </c>
      <c r="C12448" t="s">
        <v>644</v>
      </c>
      <c r="D12448" s="230">
        <v>0</v>
      </c>
      <c r="E12448" t="s">
        <v>561</v>
      </c>
    </row>
    <row r="12449" spans="1:5" hidden="1" x14ac:dyDescent="0.3">
      <c r="A12449" t="s">
        <v>557</v>
      </c>
      <c r="B12449" t="s">
        <v>756</v>
      </c>
      <c r="C12449" t="s">
        <v>645</v>
      </c>
      <c r="D12449" s="230">
        <v>0</v>
      </c>
      <c r="E12449" t="s">
        <v>561</v>
      </c>
    </row>
    <row r="12450" spans="1:5" hidden="1" x14ac:dyDescent="0.3">
      <c r="A12450" t="s">
        <v>557</v>
      </c>
      <c r="B12450" t="s">
        <v>756</v>
      </c>
      <c r="C12450" t="s">
        <v>646</v>
      </c>
      <c r="D12450" s="230">
        <v>0</v>
      </c>
      <c r="E12450" t="s">
        <v>561</v>
      </c>
    </row>
    <row r="12451" spans="1:5" hidden="1" x14ac:dyDescent="0.3">
      <c r="A12451" t="s">
        <v>557</v>
      </c>
      <c r="B12451" t="s">
        <v>756</v>
      </c>
      <c r="C12451" t="s">
        <v>647</v>
      </c>
      <c r="D12451" s="230">
        <v>0</v>
      </c>
      <c r="E12451" t="s">
        <v>561</v>
      </c>
    </row>
    <row r="12452" spans="1:5" hidden="1" x14ac:dyDescent="0.3">
      <c r="A12452" t="s">
        <v>557</v>
      </c>
      <c r="B12452" t="s">
        <v>756</v>
      </c>
      <c r="C12452" t="s">
        <v>648</v>
      </c>
      <c r="D12452" s="230">
        <v>0</v>
      </c>
      <c r="E12452" t="s">
        <v>561</v>
      </c>
    </row>
    <row r="12453" spans="1:5" hidden="1" x14ac:dyDescent="0.3">
      <c r="A12453" t="s">
        <v>557</v>
      </c>
      <c r="B12453" t="s">
        <v>756</v>
      </c>
      <c r="C12453" t="s">
        <v>649</v>
      </c>
      <c r="D12453" s="230">
        <v>0</v>
      </c>
      <c r="E12453" t="s">
        <v>561</v>
      </c>
    </row>
    <row r="12454" spans="1:5" hidden="1" x14ac:dyDescent="0.3">
      <c r="A12454" t="s">
        <v>557</v>
      </c>
      <c r="B12454" t="s">
        <v>756</v>
      </c>
      <c r="C12454" t="s">
        <v>650</v>
      </c>
      <c r="D12454" s="230">
        <v>0</v>
      </c>
      <c r="E12454" t="s">
        <v>561</v>
      </c>
    </row>
    <row r="12455" spans="1:5" hidden="1" x14ac:dyDescent="0.3">
      <c r="A12455" t="s">
        <v>557</v>
      </c>
      <c r="B12455" t="s">
        <v>756</v>
      </c>
      <c r="C12455" t="s">
        <v>651</v>
      </c>
      <c r="D12455" s="230">
        <v>0</v>
      </c>
      <c r="E12455" t="s">
        <v>561</v>
      </c>
    </row>
    <row r="12456" spans="1:5" hidden="1" x14ac:dyDescent="0.3">
      <c r="A12456" t="s">
        <v>557</v>
      </c>
      <c r="B12456" t="s">
        <v>756</v>
      </c>
      <c r="C12456" t="s">
        <v>652</v>
      </c>
      <c r="D12456" s="230">
        <v>0</v>
      </c>
      <c r="E12456" t="s">
        <v>561</v>
      </c>
    </row>
    <row r="12457" spans="1:5" hidden="1" x14ac:dyDescent="0.3">
      <c r="A12457" t="s">
        <v>557</v>
      </c>
      <c r="B12457" t="s">
        <v>756</v>
      </c>
      <c r="C12457" t="s">
        <v>653</v>
      </c>
      <c r="D12457" s="230">
        <v>0</v>
      </c>
      <c r="E12457" t="s">
        <v>561</v>
      </c>
    </row>
    <row r="12458" spans="1:5" hidden="1" x14ac:dyDescent="0.3">
      <c r="A12458" t="s">
        <v>557</v>
      </c>
      <c r="B12458" t="s">
        <v>756</v>
      </c>
      <c r="C12458" t="s">
        <v>654</v>
      </c>
      <c r="D12458" s="230">
        <v>0</v>
      </c>
      <c r="E12458" t="s">
        <v>561</v>
      </c>
    </row>
    <row r="12459" spans="1:5" hidden="1" x14ac:dyDescent="0.3">
      <c r="A12459" t="s">
        <v>557</v>
      </c>
      <c r="B12459" t="s">
        <v>756</v>
      </c>
      <c r="C12459" t="s">
        <v>655</v>
      </c>
      <c r="D12459" s="230">
        <v>0</v>
      </c>
      <c r="E12459" t="s">
        <v>561</v>
      </c>
    </row>
    <row r="12460" spans="1:5" hidden="1" x14ac:dyDescent="0.3">
      <c r="A12460" t="s">
        <v>557</v>
      </c>
      <c r="B12460" t="s">
        <v>756</v>
      </c>
      <c r="C12460" t="s">
        <v>656</v>
      </c>
      <c r="D12460" s="230">
        <v>0</v>
      </c>
      <c r="E12460" t="s">
        <v>561</v>
      </c>
    </row>
    <row r="12461" spans="1:5" hidden="1" x14ac:dyDescent="0.3">
      <c r="A12461" t="s">
        <v>557</v>
      </c>
      <c r="B12461" t="s">
        <v>756</v>
      </c>
      <c r="C12461" t="s">
        <v>657</v>
      </c>
      <c r="D12461" s="230">
        <v>0</v>
      </c>
      <c r="E12461" t="s">
        <v>561</v>
      </c>
    </row>
    <row r="12462" spans="1:5" hidden="1" x14ac:dyDescent="0.3">
      <c r="A12462" t="s">
        <v>557</v>
      </c>
      <c r="B12462" t="s">
        <v>756</v>
      </c>
      <c r="C12462" t="s">
        <v>658</v>
      </c>
      <c r="D12462" s="230">
        <v>0</v>
      </c>
      <c r="E12462" t="s">
        <v>561</v>
      </c>
    </row>
    <row r="12463" spans="1:5" hidden="1" x14ac:dyDescent="0.3">
      <c r="A12463" t="s">
        <v>557</v>
      </c>
      <c r="B12463" t="s">
        <v>756</v>
      </c>
      <c r="C12463" t="s">
        <v>659</v>
      </c>
      <c r="D12463" s="230">
        <v>0</v>
      </c>
      <c r="E12463" t="s">
        <v>561</v>
      </c>
    </row>
    <row r="12464" spans="1:5" hidden="1" x14ac:dyDescent="0.3">
      <c r="A12464" t="s">
        <v>557</v>
      </c>
      <c r="B12464" t="s">
        <v>756</v>
      </c>
      <c r="C12464" t="s">
        <v>660</v>
      </c>
      <c r="D12464" s="230">
        <v>0</v>
      </c>
      <c r="E12464" t="s">
        <v>561</v>
      </c>
    </row>
    <row r="12465" spans="1:5" hidden="1" x14ac:dyDescent="0.3">
      <c r="A12465" t="s">
        <v>557</v>
      </c>
      <c r="B12465" t="s">
        <v>756</v>
      </c>
      <c r="C12465" t="s">
        <v>661</v>
      </c>
      <c r="D12465" s="230">
        <v>0</v>
      </c>
      <c r="E12465" t="s">
        <v>561</v>
      </c>
    </row>
    <row r="12466" spans="1:5" hidden="1" x14ac:dyDescent="0.3">
      <c r="A12466" t="s">
        <v>557</v>
      </c>
      <c r="B12466" t="s">
        <v>756</v>
      </c>
      <c r="C12466" t="s">
        <v>662</v>
      </c>
      <c r="D12466" s="230">
        <v>0</v>
      </c>
      <c r="E12466" t="s">
        <v>561</v>
      </c>
    </row>
    <row r="12467" spans="1:5" hidden="1" x14ac:dyDescent="0.3">
      <c r="A12467" t="s">
        <v>557</v>
      </c>
      <c r="B12467" t="s">
        <v>756</v>
      </c>
      <c r="C12467" t="s">
        <v>663</v>
      </c>
      <c r="D12467" s="230">
        <v>0</v>
      </c>
      <c r="E12467" t="s">
        <v>561</v>
      </c>
    </row>
    <row r="12468" spans="1:5" hidden="1" x14ac:dyDescent="0.3">
      <c r="A12468" t="s">
        <v>557</v>
      </c>
      <c r="B12468" t="s">
        <v>756</v>
      </c>
      <c r="C12468" t="s">
        <v>664</v>
      </c>
      <c r="D12468" s="230">
        <v>0</v>
      </c>
      <c r="E12468" t="s">
        <v>561</v>
      </c>
    </row>
    <row r="12469" spans="1:5" hidden="1" x14ac:dyDescent="0.3">
      <c r="A12469" t="s">
        <v>557</v>
      </c>
      <c r="B12469" t="s">
        <v>756</v>
      </c>
      <c r="C12469" t="s">
        <v>665</v>
      </c>
      <c r="D12469" s="230">
        <v>0</v>
      </c>
      <c r="E12469" t="s">
        <v>561</v>
      </c>
    </row>
    <row r="12470" spans="1:5" hidden="1" x14ac:dyDescent="0.3">
      <c r="A12470" t="s">
        <v>557</v>
      </c>
      <c r="B12470" t="s">
        <v>756</v>
      </c>
      <c r="C12470" t="s">
        <v>666</v>
      </c>
      <c r="D12470" s="230">
        <v>0</v>
      </c>
      <c r="E12470" t="s">
        <v>561</v>
      </c>
    </row>
    <row r="12471" spans="1:5" hidden="1" x14ac:dyDescent="0.3">
      <c r="A12471" t="s">
        <v>557</v>
      </c>
      <c r="B12471" t="s">
        <v>756</v>
      </c>
      <c r="C12471" t="s">
        <v>667</v>
      </c>
      <c r="D12471" s="230">
        <v>0</v>
      </c>
      <c r="E12471" t="s">
        <v>561</v>
      </c>
    </row>
    <row r="12472" spans="1:5" hidden="1" x14ac:dyDescent="0.3">
      <c r="A12472" t="s">
        <v>557</v>
      </c>
      <c r="B12472" t="s">
        <v>756</v>
      </c>
      <c r="C12472" t="s">
        <v>668</v>
      </c>
      <c r="D12472" s="230">
        <v>0</v>
      </c>
      <c r="E12472" t="s">
        <v>561</v>
      </c>
    </row>
    <row r="12473" spans="1:5" hidden="1" x14ac:dyDescent="0.3">
      <c r="A12473" t="s">
        <v>557</v>
      </c>
      <c r="B12473" t="s">
        <v>756</v>
      </c>
      <c r="C12473" t="s">
        <v>669</v>
      </c>
      <c r="D12473" s="230">
        <v>0</v>
      </c>
      <c r="E12473" t="s">
        <v>561</v>
      </c>
    </row>
    <row r="12474" spans="1:5" hidden="1" x14ac:dyDescent="0.3">
      <c r="A12474" t="s">
        <v>557</v>
      </c>
      <c r="B12474" t="s">
        <v>756</v>
      </c>
      <c r="C12474" t="s">
        <v>670</v>
      </c>
      <c r="D12474" s="230">
        <v>0</v>
      </c>
      <c r="E12474" t="s">
        <v>561</v>
      </c>
    </row>
    <row r="12475" spans="1:5" hidden="1" x14ac:dyDescent="0.3">
      <c r="A12475" t="s">
        <v>557</v>
      </c>
      <c r="B12475" t="s">
        <v>756</v>
      </c>
      <c r="C12475" t="s">
        <v>671</v>
      </c>
      <c r="D12475" s="230">
        <v>0</v>
      </c>
      <c r="E12475" t="s">
        <v>561</v>
      </c>
    </row>
    <row r="12476" spans="1:5" hidden="1" x14ac:dyDescent="0.3">
      <c r="A12476" t="s">
        <v>557</v>
      </c>
      <c r="B12476" t="s">
        <v>756</v>
      </c>
      <c r="C12476" t="s">
        <v>672</v>
      </c>
      <c r="D12476" s="230">
        <v>0</v>
      </c>
      <c r="E12476" t="s">
        <v>561</v>
      </c>
    </row>
    <row r="12477" spans="1:5" hidden="1" x14ac:dyDescent="0.3">
      <c r="A12477" t="s">
        <v>557</v>
      </c>
      <c r="B12477" t="s">
        <v>756</v>
      </c>
      <c r="C12477" t="s">
        <v>673</v>
      </c>
      <c r="D12477" s="230">
        <v>0</v>
      </c>
      <c r="E12477" t="s">
        <v>561</v>
      </c>
    </row>
    <row r="12478" spans="1:5" hidden="1" x14ac:dyDescent="0.3">
      <c r="A12478" t="s">
        <v>557</v>
      </c>
      <c r="B12478" t="s">
        <v>756</v>
      </c>
      <c r="C12478" t="s">
        <v>674</v>
      </c>
      <c r="D12478" s="230">
        <v>0</v>
      </c>
      <c r="E12478" t="s">
        <v>561</v>
      </c>
    </row>
    <row r="12479" spans="1:5" hidden="1" x14ac:dyDescent="0.3">
      <c r="A12479" t="s">
        <v>557</v>
      </c>
      <c r="B12479" t="s">
        <v>756</v>
      </c>
      <c r="C12479" t="s">
        <v>675</v>
      </c>
      <c r="D12479" s="230">
        <v>0</v>
      </c>
      <c r="E12479" t="s">
        <v>561</v>
      </c>
    </row>
    <row r="12480" spans="1:5" hidden="1" x14ac:dyDescent="0.3">
      <c r="A12480" t="s">
        <v>557</v>
      </c>
      <c r="B12480" t="s">
        <v>756</v>
      </c>
      <c r="C12480" t="s">
        <v>676</v>
      </c>
      <c r="D12480" s="230">
        <v>0</v>
      </c>
      <c r="E12480" t="s">
        <v>561</v>
      </c>
    </row>
    <row r="12481" spans="1:5" hidden="1" x14ac:dyDescent="0.3">
      <c r="A12481" t="s">
        <v>557</v>
      </c>
      <c r="B12481" t="s">
        <v>756</v>
      </c>
      <c r="C12481" t="s">
        <v>677</v>
      </c>
      <c r="D12481" s="230">
        <v>0</v>
      </c>
      <c r="E12481" t="s">
        <v>561</v>
      </c>
    </row>
    <row r="12482" spans="1:5" hidden="1" x14ac:dyDescent="0.3">
      <c r="A12482" t="s">
        <v>557</v>
      </c>
      <c r="B12482" t="s">
        <v>756</v>
      </c>
      <c r="C12482" t="s">
        <v>201</v>
      </c>
      <c r="D12482" s="230">
        <v>-7715.88</v>
      </c>
      <c r="E12482" t="s">
        <v>561</v>
      </c>
    </row>
    <row r="12483" spans="1:5" hidden="1" x14ac:dyDescent="0.3">
      <c r="A12483" t="s">
        <v>557</v>
      </c>
      <c r="B12483" t="s">
        <v>756</v>
      </c>
      <c r="C12483" t="s">
        <v>203</v>
      </c>
      <c r="D12483" s="230">
        <v>-7715.88</v>
      </c>
      <c r="E12483" t="s">
        <v>561</v>
      </c>
    </row>
    <row r="12484" spans="1:5" hidden="1" x14ac:dyDescent="0.3">
      <c r="A12484" t="s">
        <v>557</v>
      </c>
      <c r="B12484" t="s">
        <v>756</v>
      </c>
      <c r="C12484" t="s">
        <v>678</v>
      </c>
      <c r="D12484" s="230">
        <v>3857.94</v>
      </c>
      <c r="E12484" t="s">
        <v>561</v>
      </c>
    </row>
    <row r="12485" spans="1:5" hidden="1" x14ac:dyDescent="0.3">
      <c r="A12485" t="s">
        <v>557</v>
      </c>
      <c r="B12485" t="s">
        <v>756</v>
      </c>
      <c r="C12485" t="s">
        <v>205</v>
      </c>
      <c r="D12485" s="230">
        <v>-23221.47</v>
      </c>
      <c r="E12485" t="s">
        <v>561</v>
      </c>
    </row>
    <row r="12486" spans="1:5" hidden="1" x14ac:dyDescent="0.3">
      <c r="A12486" t="s">
        <v>557</v>
      </c>
      <c r="B12486" t="s">
        <v>756</v>
      </c>
      <c r="C12486" t="s">
        <v>679</v>
      </c>
      <c r="D12486" s="230">
        <v>-4537.4399999999996</v>
      </c>
      <c r="E12486" t="s">
        <v>561</v>
      </c>
    </row>
    <row r="12487" spans="1:5" hidden="1" x14ac:dyDescent="0.3">
      <c r="A12487" t="s">
        <v>557</v>
      </c>
      <c r="B12487" t="s">
        <v>756</v>
      </c>
      <c r="C12487" t="s">
        <v>680</v>
      </c>
      <c r="D12487" s="230">
        <v>0</v>
      </c>
      <c r="E12487" t="s">
        <v>561</v>
      </c>
    </row>
    <row r="12488" spans="1:5" hidden="1" x14ac:dyDescent="0.3">
      <c r="A12488" t="s">
        <v>557</v>
      </c>
      <c r="B12488" t="s">
        <v>756</v>
      </c>
      <c r="C12488" t="s">
        <v>681</v>
      </c>
      <c r="D12488" s="230">
        <v>0</v>
      </c>
      <c r="E12488" t="s">
        <v>561</v>
      </c>
    </row>
    <row r="12489" spans="1:5" hidden="1" x14ac:dyDescent="0.3">
      <c r="A12489" t="s">
        <v>557</v>
      </c>
      <c r="B12489" t="s">
        <v>756</v>
      </c>
      <c r="C12489" t="s">
        <v>682</v>
      </c>
      <c r="D12489" s="230">
        <v>-4503.71</v>
      </c>
      <c r="E12489" t="s">
        <v>561</v>
      </c>
    </row>
    <row r="12490" spans="1:5" hidden="1" x14ac:dyDescent="0.3">
      <c r="A12490" t="s">
        <v>557</v>
      </c>
      <c r="B12490" t="s">
        <v>756</v>
      </c>
      <c r="C12490" t="s">
        <v>683</v>
      </c>
      <c r="D12490" s="230">
        <v>-4765.37</v>
      </c>
      <c r="E12490" t="s">
        <v>561</v>
      </c>
    </row>
    <row r="12491" spans="1:5" hidden="1" x14ac:dyDescent="0.3">
      <c r="A12491" t="s">
        <v>557</v>
      </c>
      <c r="B12491" t="s">
        <v>756</v>
      </c>
      <c r="C12491" t="s">
        <v>684</v>
      </c>
      <c r="D12491" s="230">
        <v>-40.08</v>
      </c>
      <c r="E12491" t="s">
        <v>561</v>
      </c>
    </row>
    <row r="12492" spans="1:5" hidden="1" x14ac:dyDescent="0.3">
      <c r="A12492" t="s">
        <v>557</v>
      </c>
      <c r="B12492" t="s">
        <v>756</v>
      </c>
      <c r="C12492" t="s">
        <v>685</v>
      </c>
      <c r="D12492" s="230">
        <v>0</v>
      </c>
      <c r="E12492" t="s">
        <v>561</v>
      </c>
    </row>
    <row r="12493" spans="1:5" hidden="1" x14ac:dyDescent="0.3">
      <c r="A12493" t="s">
        <v>557</v>
      </c>
      <c r="B12493" t="s">
        <v>756</v>
      </c>
      <c r="C12493" t="s">
        <v>686</v>
      </c>
      <c r="D12493" s="230">
        <v>-75.209999999999994</v>
      </c>
      <c r="E12493" t="s">
        <v>561</v>
      </c>
    </row>
    <row r="12494" spans="1:5" hidden="1" x14ac:dyDescent="0.3">
      <c r="A12494" t="s">
        <v>557</v>
      </c>
      <c r="B12494" t="s">
        <v>756</v>
      </c>
      <c r="C12494" t="s">
        <v>687</v>
      </c>
      <c r="D12494" s="230">
        <v>0</v>
      </c>
      <c r="E12494" t="s">
        <v>561</v>
      </c>
    </row>
    <row r="12495" spans="1:5" hidden="1" x14ac:dyDescent="0.3">
      <c r="A12495" t="s">
        <v>557</v>
      </c>
      <c r="B12495" t="s">
        <v>756</v>
      </c>
      <c r="C12495" t="s">
        <v>688</v>
      </c>
      <c r="D12495" s="230">
        <v>-9075.64</v>
      </c>
      <c r="E12495" t="s">
        <v>561</v>
      </c>
    </row>
    <row r="12496" spans="1:5" hidden="1" x14ac:dyDescent="0.3">
      <c r="A12496" t="s">
        <v>557</v>
      </c>
      <c r="B12496" t="s">
        <v>756</v>
      </c>
      <c r="C12496" t="s">
        <v>689</v>
      </c>
      <c r="D12496" s="230">
        <v>-224.01</v>
      </c>
      <c r="E12496" t="s">
        <v>561</v>
      </c>
    </row>
    <row r="12497" spans="1:5" hidden="1" x14ac:dyDescent="0.3">
      <c r="A12497" t="s">
        <v>557</v>
      </c>
      <c r="B12497" t="s">
        <v>756</v>
      </c>
      <c r="C12497" t="s">
        <v>690</v>
      </c>
      <c r="D12497" s="230">
        <v>0</v>
      </c>
      <c r="E12497" t="s">
        <v>561</v>
      </c>
    </row>
    <row r="12498" spans="1:5" hidden="1" x14ac:dyDescent="0.3">
      <c r="A12498" t="s">
        <v>557</v>
      </c>
      <c r="B12498" t="s">
        <v>756</v>
      </c>
      <c r="C12498" t="s">
        <v>691</v>
      </c>
      <c r="D12498" s="230">
        <v>0</v>
      </c>
      <c r="E12498" t="s">
        <v>561</v>
      </c>
    </row>
    <row r="12499" spans="1:5" hidden="1" x14ac:dyDescent="0.3">
      <c r="A12499" t="s">
        <v>557</v>
      </c>
      <c r="B12499" t="s">
        <v>756</v>
      </c>
      <c r="C12499" t="s">
        <v>692</v>
      </c>
      <c r="D12499" s="230">
        <v>0</v>
      </c>
      <c r="E12499" t="s">
        <v>561</v>
      </c>
    </row>
    <row r="12500" spans="1:5" hidden="1" x14ac:dyDescent="0.3">
      <c r="A12500" t="s">
        <v>557</v>
      </c>
      <c r="B12500" t="s">
        <v>756</v>
      </c>
      <c r="C12500" t="s">
        <v>693</v>
      </c>
      <c r="D12500" s="230">
        <v>0</v>
      </c>
      <c r="E12500" t="s">
        <v>561</v>
      </c>
    </row>
    <row r="12501" spans="1:5" hidden="1" x14ac:dyDescent="0.3">
      <c r="A12501" t="s">
        <v>557</v>
      </c>
      <c r="B12501" t="s">
        <v>756</v>
      </c>
      <c r="C12501" t="s">
        <v>694</v>
      </c>
      <c r="D12501" s="230">
        <v>0</v>
      </c>
      <c r="E12501" t="s">
        <v>561</v>
      </c>
    </row>
    <row r="12502" spans="1:5" hidden="1" x14ac:dyDescent="0.3">
      <c r="A12502" t="s">
        <v>557</v>
      </c>
      <c r="B12502" t="s">
        <v>756</v>
      </c>
      <c r="C12502" t="s">
        <v>238</v>
      </c>
      <c r="D12502" s="230">
        <v>-8384.26</v>
      </c>
      <c r="E12502" t="s">
        <v>561</v>
      </c>
    </row>
    <row r="12503" spans="1:5" hidden="1" x14ac:dyDescent="0.3">
      <c r="A12503" t="s">
        <v>557</v>
      </c>
      <c r="B12503" t="s">
        <v>756</v>
      </c>
      <c r="C12503" t="s">
        <v>695</v>
      </c>
      <c r="D12503" s="230">
        <v>-6631.12</v>
      </c>
      <c r="E12503" t="s">
        <v>561</v>
      </c>
    </row>
    <row r="12504" spans="1:5" hidden="1" x14ac:dyDescent="0.3">
      <c r="A12504" t="s">
        <v>557</v>
      </c>
      <c r="B12504" t="s">
        <v>756</v>
      </c>
      <c r="C12504" t="s">
        <v>696</v>
      </c>
      <c r="D12504" s="230">
        <v>-1545.49</v>
      </c>
      <c r="E12504" t="s">
        <v>561</v>
      </c>
    </row>
    <row r="12505" spans="1:5" hidden="1" x14ac:dyDescent="0.3">
      <c r="A12505" t="s">
        <v>557</v>
      </c>
      <c r="B12505" t="s">
        <v>756</v>
      </c>
      <c r="C12505" t="s">
        <v>697</v>
      </c>
      <c r="D12505" s="230">
        <v>0</v>
      </c>
      <c r="E12505" t="s">
        <v>561</v>
      </c>
    </row>
    <row r="12506" spans="1:5" hidden="1" x14ac:dyDescent="0.3">
      <c r="A12506" t="s">
        <v>557</v>
      </c>
      <c r="B12506" t="s">
        <v>756</v>
      </c>
      <c r="C12506" t="s">
        <v>698</v>
      </c>
      <c r="D12506" s="230">
        <v>-207.65</v>
      </c>
      <c r="E12506" t="s">
        <v>561</v>
      </c>
    </row>
    <row r="12507" spans="1:5" hidden="1" x14ac:dyDescent="0.3">
      <c r="A12507" t="s">
        <v>557</v>
      </c>
      <c r="B12507" t="s">
        <v>756</v>
      </c>
      <c r="C12507" t="s">
        <v>699</v>
      </c>
      <c r="D12507" s="230">
        <v>0</v>
      </c>
      <c r="E12507" t="s">
        <v>561</v>
      </c>
    </row>
    <row r="12508" spans="1:5" hidden="1" x14ac:dyDescent="0.3">
      <c r="A12508" t="s">
        <v>557</v>
      </c>
      <c r="B12508" t="s">
        <v>756</v>
      </c>
      <c r="C12508" t="s">
        <v>245</v>
      </c>
      <c r="D12508" s="230">
        <v>-15803.79</v>
      </c>
      <c r="E12508" t="s">
        <v>561</v>
      </c>
    </row>
    <row r="12509" spans="1:5" hidden="1" x14ac:dyDescent="0.3">
      <c r="A12509" t="s">
        <v>557</v>
      </c>
      <c r="B12509" t="s">
        <v>756</v>
      </c>
      <c r="C12509" t="s">
        <v>700</v>
      </c>
      <c r="D12509" s="230">
        <v>0</v>
      </c>
      <c r="E12509" t="s">
        <v>561</v>
      </c>
    </row>
    <row r="12510" spans="1:5" hidden="1" x14ac:dyDescent="0.3">
      <c r="A12510" t="s">
        <v>557</v>
      </c>
      <c r="B12510" t="s">
        <v>756</v>
      </c>
      <c r="C12510" t="s">
        <v>701</v>
      </c>
      <c r="D12510" s="230">
        <v>-463.74</v>
      </c>
      <c r="E12510" t="s">
        <v>561</v>
      </c>
    </row>
    <row r="12511" spans="1:5" hidden="1" x14ac:dyDescent="0.3">
      <c r="A12511" t="s">
        <v>557</v>
      </c>
      <c r="B12511" t="s">
        <v>756</v>
      </c>
      <c r="C12511" t="s">
        <v>702</v>
      </c>
      <c r="D12511" s="230">
        <v>0</v>
      </c>
      <c r="E12511" t="s">
        <v>561</v>
      </c>
    </row>
    <row r="12512" spans="1:5" hidden="1" x14ac:dyDescent="0.3">
      <c r="A12512" t="s">
        <v>557</v>
      </c>
      <c r="B12512" t="s">
        <v>756</v>
      </c>
      <c r="C12512" t="s">
        <v>703</v>
      </c>
      <c r="D12512" s="230">
        <v>0</v>
      </c>
      <c r="E12512" t="s">
        <v>561</v>
      </c>
    </row>
    <row r="12513" spans="1:5" hidden="1" x14ac:dyDescent="0.3">
      <c r="A12513" t="s">
        <v>557</v>
      </c>
      <c r="B12513" t="s">
        <v>756</v>
      </c>
      <c r="C12513" t="s">
        <v>704</v>
      </c>
      <c r="D12513" s="230">
        <v>0</v>
      </c>
      <c r="E12513" t="s">
        <v>561</v>
      </c>
    </row>
    <row r="12514" spans="1:5" hidden="1" x14ac:dyDescent="0.3">
      <c r="A12514" t="s">
        <v>557</v>
      </c>
      <c r="B12514" t="s">
        <v>756</v>
      </c>
      <c r="C12514" t="s">
        <v>705</v>
      </c>
      <c r="D12514" s="230">
        <v>-15340.05</v>
      </c>
      <c r="E12514" t="s">
        <v>561</v>
      </c>
    </row>
    <row r="12515" spans="1:5" hidden="1" x14ac:dyDescent="0.3">
      <c r="A12515" t="s">
        <v>557</v>
      </c>
      <c r="B12515" t="s">
        <v>756</v>
      </c>
      <c r="C12515" t="s">
        <v>706</v>
      </c>
      <c r="D12515" s="230">
        <v>0</v>
      </c>
      <c r="E12515" t="s">
        <v>561</v>
      </c>
    </row>
    <row r="12516" spans="1:5" hidden="1" x14ac:dyDescent="0.3">
      <c r="A12516" t="s">
        <v>557</v>
      </c>
      <c r="B12516" t="s">
        <v>756</v>
      </c>
      <c r="C12516" t="s">
        <v>254</v>
      </c>
      <c r="D12516" s="230">
        <v>-0.3</v>
      </c>
      <c r="E12516" t="s">
        <v>561</v>
      </c>
    </row>
    <row r="12517" spans="1:5" hidden="1" x14ac:dyDescent="0.3">
      <c r="A12517" t="s">
        <v>557</v>
      </c>
      <c r="B12517" t="s">
        <v>756</v>
      </c>
      <c r="C12517" t="s">
        <v>255</v>
      </c>
      <c r="D12517" s="230">
        <v>-0.3</v>
      </c>
      <c r="E12517" t="s">
        <v>561</v>
      </c>
    </row>
    <row r="12518" spans="1:5" hidden="1" x14ac:dyDescent="0.3">
      <c r="A12518" t="s">
        <v>557</v>
      </c>
      <c r="B12518" t="s">
        <v>756</v>
      </c>
      <c r="C12518" t="s">
        <v>256</v>
      </c>
      <c r="D12518" s="230">
        <v>-53525.23</v>
      </c>
      <c r="E12518" t="s">
        <v>561</v>
      </c>
    </row>
    <row r="12519" spans="1:5" hidden="1" x14ac:dyDescent="0.3">
      <c r="A12519" t="s">
        <v>557</v>
      </c>
      <c r="B12519" t="s">
        <v>756</v>
      </c>
      <c r="C12519" t="s">
        <v>257</v>
      </c>
      <c r="D12519" s="230">
        <v>-50395.55</v>
      </c>
      <c r="E12519" t="s">
        <v>561</v>
      </c>
    </row>
    <row r="12520" spans="1:5" hidden="1" x14ac:dyDescent="0.3">
      <c r="A12520" t="s">
        <v>557</v>
      </c>
      <c r="B12520" t="s">
        <v>756</v>
      </c>
      <c r="C12520" t="s">
        <v>258</v>
      </c>
      <c r="D12520" s="230">
        <v>0</v>
      </c>
      <c r="E12520" t="s">
        <v>561</v>
      </c>
    </row>
    <row r="12521" spans="1:5" hidden="1" x14ac:dyDescent="0.3">
      <c r="A12521" t="s">
        <v>557</v>
      </c>
      <c r="B12521" t="s">
        <v>756</v>
      </c>
      <c r="C12521" t="s">
        <v>259</v>
      </c>
      <c r="D12521" s="230">
        <v>-2848.33</v>
      </c>
      <c r="E12521" t="s">
        <v>561</v>
      </c>
    </row>
    <row r="12522" spans="1:5" hidden="1" x14ac:dyDescent="0.3">
      <c r="A12522" t="s">
        <v>557</v>
      </c>
      <c r="B12522" t="s">
        <v>756</v>
      </c>
      <c r="C12522" t="s">
        <v>260</v>
      </c>
      <c r="D12522" s="230">
        <v>0</v>
      </c>
      <c r="E12522" t="s">
        <v>561</v>
      </c>
    </row>
    <row r="12523" spans="1:5" hidden="1" x14ac:dyDescent="0.3">
      <c r="A12523" t="s">
        <v>557</v>
      </c>
      <c r="B12523" t="s">
        <v>756</v>
      </c>
      <c r="C12523" t="s">
        <v>261</v>
      </c>
      <c r="D12523" s="230">
        <v>-281.35000000000002</v>
      </c>
      <c r="E12523" t="s">
        <v>561</v>
      </c>
    </row>
    <row r="12524" spans="1:5" hidden="1" x14ac:dyDescent="0.3">
      <c r="A12524" t="s">
        <v>557</v>
      </c>
      <c r="B12524" t="s">
        <v>756</v>
      </c>
      <c r="C12524" t="s">
        <v>262</v>
      </c>
      <c r="D12524" s="230">
        <v>0</v>
      </c>
      <c r="E12524" t="s">
        <v>561</v>
      </c>
    </row>
    <row r="12525" spans="1:5" hidden="1" x14ac:dyDescent="0.3">
      <c r="A12525" t="s">
        <v>557</v>
      </c>
      <c r="B12525" t="s">
        <v>756</v>
      </c>
      <c r="C12525" t="s">
        <v>263</v>
      </c>
      <c r="D12525" s="230">
        <v>0</v>
      </c>
      <c r="E12525" t="s">
        <v>561</v>
      </c>
    </row>
    <row r="12526" spans="1:5" hidden="1" x14ac:dyDescent="0.3">
      <c r="A12526" t="s">
        <v>557</v>
      </c>
      <c r="B12526" t="s">
        <v>756</v>
      </c>
      <c r="C12526" t="s">
        <v>44</v>
      </c>
      <c r="D12526" s="230">
        <v>-0.13</v>
      </c>
      <c r="E12526" t="s">
        <v>561</v>
      </c>
    </row>
    <row r="12527" spans="1:5" hidden="1" x14ac:dyDescent="0.3">
      <c r="A12527" t="s">
        <v>557</v>
      </c>
      <c r="B12527" t="s">
        <v>756</v>
      </c>
      <c r="C12527" t="s">
        <v>264</v>
      </c>
      <c r="D12527" s="230">
        <v>-39667.18</v>
      </c>
      <c r="E12527" t="s">
        <v>561</v>
      </c>
    </row>
    <row r="12528" spans="1:5" hidden="1" x14ac:dyDescent="0.3">
      <c r="A12528" t="s">
        <v>557</v>
      </c>
      <c r="B12528" t="s">
        <v>756</v>
      </c>
      <c r="C12528" t="s">
        <v>265</v>
      </c>
      <c r="D12528" s="230">
        <v>-4055.66</v>
      </c>
      <c r="E12528" t="s">
        <v>561</v>
      </c>
    </row>
    <row r="12529" spans="1:5" hidden="1" x14ac:dyDescent="0.3">
      <c r="A12529" t="s">
        <v>557</v>
      </c>
      <c r="B12529" t="s">
        <v>756</v>
      </c>
      <c r="C12529" t="s">
        <v>266</v>
      </c>
      <c r="D12529" s="230">
        <v>-13009.5</v>
      </c>
      <c r="E12529" t="s">
        <v>561</v>
      </c>
    </row>
    <row r="12530" spans="1:5" hidden="1" x14ac:dyDescent="0.3">
      <c r="A12530" t="s">
        <v>557</v>
      </c>
      <c r="B12530" t="s">
        <v>756</v>
      </c>
      <c r="C12530" t="s">
        <v>267</v>
      </c>
      <c r="D12530" s="230">
        <v>-5642.05</v>
      </c>
      <c r="E12530" t="s">
        <v>561</v>
      </c>
    </row>
    <row r="12531" spans="1:5" hidden="1" x14ac:dyDescent="0.3">
      <c r="A12531" t="s">
        <v>557</v>
      </c>
      <c r="B12531" t="s">
        <v>756</v>
      </c>
      <c r="C12531" t="s">
        <v>268</v>
      </c>
      <c r="D12531" s="230">
        <v>-7408.19</v>
      </c>
      <c r="E12531" t="s">
        <v>561</v>
      </c>
    </row>
    <row r="12532" spans="1:5" hidden="1" x14ac:dyDescent="0.3">
      <c r="A12532" t="s">
        <v>557</v>
      </c>
      <c r="B12532" t="s">
        <v>756</v>
      </c>
      <c r="C12532" t="s">
        <v>269</v>
      </c>
      <c r="D12532" s="230">
        <v>0</v>
      </c>
      <c r="E12532" t="s">
        <v>561</v>
      </c>
    </row>
    <row r="12533" spans="1:5" hidden="1" x14ac:dyDescent="0.3">
      <c r="A12533" t="s">
        <v>557</v>
      </c>
      <c r="B12533" t="s">
        <v>756</v>
      </c>
      <c r="C12533" t="s">
        <v>270</v>
      </c>
      <c r="D12533" s="230">
        <v>-550</v>
      </c>
      <c r="E12533" t="s">
        <v>561</v>
      </c>
    </row>
    <row r="12534" spans="1:5" hidden="1" x14ac:dyDescent="0.3">
      <c r="A12534" t="s">
        <v>557</v>
      </c>
      <c r="B12534" t="s">
        <v>756</v>
      </c>
      <c r="C12534" t="s">
        <v>271</v>
      </c>
      <c r="D12534" s="230">
        <v>-1249.9100000000001</v>
      </c>
      <c r="E12534" t="s">
        <v>561</v>
      </c>
    </row>
    <row r="12535" spans="1:5" hidden="1" x14ac:dyDescent="0.3">
      <c r="A12535" t="s">
        <v>557</v>
      </c>
      <c r="B12535" t="s">
        <v>756</v>
      </c>
      <c r="C12535" t="s">
        <v>272</v>
      </c>
      <c r="D12535" s="230">
        <v>-1143.68</v>
      </c>
      <c r="E12535" t="s">
        <v>561</v>
      </c>
    </row>
    <row r="12536" spans="1:5" hidden="1" x14ac:dyDescent="0.3">
      <c r="A12536" t="s">
        <v>557</v>
      </c>
      <c r="B12536" t="s">
        <v>756</v>
      </c>
      <c r="C12536" t="s">
        <v>273</v>
      </c>
      <c r="D12536" s="230">
        <v>0</v>
      </c>
      <c r="E12536" t="s">
        <v>561</v>
      </c>
    </row>
    <row r="12537" spans="1:5" hidden="1" x14ac:dyDescent="0.3">
      <c r="A12537" t="s">
        <v>557</v>
      </c>
      <c r="B12537" t="s">
        <v>756</v>
      </c>
      <c r="C12537" t="s">
        <v>274</v>
      </c>
      <c r="D12537" s="230">
        <v>0</v>
      </c>
      <c r="E12537" t="s">
        <v>561</v>
      </c>
    </row>
    <row r="12538" spans="1:5" hidden="1" x14ac:dyDescent="0.3">
      <c r="A12538" t="s">
        <v>557</v>
      </c>
      <c r="B12538" t="s">
        <v>756</v>
      </c>
      <c r="C12538" t="s">
        <v>275</v>
      </c>
      <c r="D12538" s="230">
        <v>-1567.99</v>
      </c>
      <c r="E12538" t="s">
        <v>561</v>
      </c>
    </row>
    <row r="12539" spans="1:5" hidden="1" x14ac:dyDescent="0.3">
      <c r="A12539" t="s">
        <v>557</v>
      </c>
      <c r="B12539" t="s">
        <v>756</v>
      </c>
      <c r="C12539" t="s">
        <v>276</v>
      </c>
      <c r="D12539" s="230">
        <v>-1512</v>
      </c>
      <c r="E12539" t="s">
        <v>561</v>
      </c>
    </row>
    <row r="12540" spans="1:5" hidden="1" x14ac:dyDescent="0.3">
      <c r="A12540" t="s">
        <v>557</v>
      </c>
      <c r="B12540" t="s">
        <v>756</v>
      </c>
      <c r="C12540" t="s">
        <v>277</v>
      </c>
      <c r="D12540" s="230">
        <v>-614</v>
      </c>
      <c r="E12540" t="s">
        <v>561</v>
      </c>
    </row>
    <row r="12541" spans="1:5" hidden="1" x14ac:dyDescent="0.3">
      <c r="A12541" t="s">
        <v>557</v>
      </c>
      <c r="B12541" t="s">
        <v>756</v>
      </c>
      <c r="C12541" t="s">
        <v>278</v>
      </c>
      <c r="D12541" s="230">
        <v>-2914.2</v>
      </c>
      <c r="E12541" t="s">
        <v>561</v>
      </c>
    </row>
    <row r="12542" spans="1:5" hidden="1" x14ac:dyDescent="0.3">
      <c r="A12542" t="s">
        <v>557</v>
      </c>
      <c r="B12542" t="s">
        <v>756</v>
      </c>
      <c r="C12542" t="s">
        <v>44</v>
      </c>
      <c r="D12542" s="230">
        <v>-0.1</v>
      </c>
      <c r="E12542" t="s">
        <v>561</v>
      </c>
    </row>
    <row r="12543" spans="1:5" hidden="1" x14ac:dyDescent="0.3">
      <c r="A12543" t="s">
        <v>557</v>
      </c>
      <c r="B12543" t="s">
        <v>756</v>
      </c>
      <c r="C12543" t="s">
        <v>279</v>
      </c>
      <c r="D12543" s="230">
        <v>-5526.31</v>
      </c>
      <c r="E12543" t="s">
        <v>561</v>
      </c>
    </row>
    <row r="12544" spans="1:5" hidden="1" x14ac:dyDescent="0.3">
      <c r="A12544" t="s">
        <v>557</v>
      </c>
      <c r="B12544" t="s">
        <v>756</v>
      </c>
      <c r="C12544" t="s">
        <v>280</v>
      </c>
      <c r="D12544" s="230">
        <v>0</v>
      </c>
      <c r="E12544" t="s">
        <v>561</v>
      </c>
    </row>
    <row r="12545" spans="1:5" hidden="1" x14ac:dyDescent="0.3">
      <c r="A12545" t="s">
        <v>557</v>
      </c>
      <c r="B12545" t="s">
        <v>756</v>
      </c>
      <c r="C12545" t="s">
        <v>281</v>
      </c>
      <c r="D12545" s="230">
        <v>-597.04999999999995</v>
      </c>
      <c r="E12545" t="s">
        <v>561</v>
      </c>
    </row>
    <row r="12546" spans="1:5" hidden="1" x14ac:dyDescent="0.3">
      <c r="A12546" t="s">
        <v>557</v>
      </c>
      <c r="B12546" t="s">
        <v>756</v>
      </c>
      <c r="C12546" t="s">
        <v>282</v>
      </c>
      <c r="D12546" s="230">
        <v>-373.87</v>
      </c>
      <c r="E12546" t="s">
        <v>561</v>
      </c>
    </row>
    <row r="12547" spans="1:5" hidden="1" x14ac:dyDescent="0.3">
      <c r="A12547" t="s">
        <v>557</v>
      </c>
      <c r="B12547" t="s">
        <v>756</v>
      </c>
      <c r="C12547" t="s">
        <v>283</v>
      </c>
      <c r="D12547" s="230">
        <v>-314.87</v>
      </c>
      <c r="E12547" t="s">
        <v>561</v>
      </c>
    </row>
    <row r="12548" spans="1:5" hidden="1" x14ac:dyDescent="0.3">
      <c r="A12548" t="s">
        <v>557</v>
      </c>
      <c r="B12548" t="s">
        <v>756</v>
      </c>
      <c r="C12548" t="s">
        <v>284</v>
      </c>
      <c r="D12548" s="230">
        <v>-3000</v>
      </c>
      <c r="E12548" t="s">
        <v>561</v>
      </c>
    </row>
    <row r="12549" spans="1:5" hidden="1" x14ac:dyDescent="0.3">
      <c r="A12549" t="s">
        <v>557</v>
      </c>
      <c r="B12549" t="s">
        <v>756</v>
      </c>
      <c r="C12549" t="s">
        <v>285</v>
      </c>
      <c r="D12549" s="230">
        <v>-389</v>
      </c>
      <c r="E12549" t="s">
        <v>561</v>
      </c>
    </row>
    <row r="12550" spans="1:5" hidden="1" x14ac:dyDescent="0.3">
      <c r="A12550" t="s">
        <v>557</v>
      </c>
      <c r="B12550" t="s">
        <v>756</v>
      </c>
      <c r="C12550" t="s">
        <v>286</v>
      </c>
      <c r="D12550" s="230">
        <v>-851.52</v>
      </c>
      <c r="E12550" t="s">
        <v>561</v>
      </c>
    </row>
    <row r="12551" spans="1:5" hidden="1" x14ac:dyDescent="0.3">
      <c r="A12551" t="s">
        <v>557</v>
      </c>
      <c r="B12551" t="s">
        <v>756</v>
      </c>
      <c r="C12551" t="s">
        <v>44</v>
      </c>
      <c r="D12551" s="230">
        <v>-0.01</v>
      </c>
      <c r="E12551" t="s">
        <v>561</v>
      </c>
    </row>
    <row r="12552" spans="1:5" hidden="1" x14ac:dyDescent="0.3">
      <c r="A12552" t="s">
        <v>557</v>
      </c>
      <c r="B12552" t="s">
        <v>756</v>
      </c>
      <c r="C12552" t="s">
        <v>287</v>
      </c>
      <c r="D12552" s="230">
        <v>-4945.3500000000004</v>
      </c>
      <c r="E12552" t="s">
        <v>561</v>
      </c>
    </row>
    <row r="12553" spans="1:5" hidden="1" x14ac:dyDescent="0.3">
      <c r="A12553" t="s">
        <v>557</v>
      </c>
      <c r="B12553" t="s">
        <v>756</v>
      </c>
      <c r="C12553" t="s">
        <v>288</v>
      </c>
      <c r="D12553" s="230">
        <v>-3500</v>
      </c>
      <c r="E12553" t="s">
        <v>561</v>
      </c>
    </row>
    <row r="12554" spans="1:5" hidden="1" x14ac:dyDescent="0.3">
      <c r="A12554" t="s">
        <v>557</v>
      </c>
      <c r="B12554" t="s">
        <v>756</v>
      </c>
      <c r="C12554" t="s">
        <v>289</v>
      </c>
      <c r="D12554" s="230">
        <v>-688.4</v>
      </c>
      <c r="E12554" t="s">
        <v>561</v>
      </c>
    </row>
    <row r="12555" spans="1:5" hidden="1" x14ac:dyDescent="0.3">
      <c r="A12555" t="s">
        <v>557</v>
      </c>
      <c r="B12555" t="s">
        <v>756</v>
      </c>
      <c r="C12555" t="s">
        <v>290</v>
      </c>
      <c r="D12555" s="230">
        <v>0</v>
      </c>
      <c r="E12555" t="s">
        <v>561</v>
      </c>
    </row>
    <row r="12556" spans="1:5" hidden="1" x14ac:dyDescent="0.3">
      <c r="A12556" t="s">
        <v>557</v>
      </c>
      <c r="B12556" t="s">
        <v>756</v>
      </c>
      <c r="C12556" t="s">
        <v>291</v>
      </c>
      <c r="D12556" s="230">
        <v>-683.52</v>
      </c>
      <c r="E12556" t="s">
        <v>561</v>
      </c>
    </row>
    <row r="12557" spans="1:5" hidden="1" x14ac:dyDescent="0.3">
      <c r="A12557" t="s">
        <v>557</v>
      </c>
      <c r="B12557" t="s">
        <v>756</v>
      </c>
      <c r="C12557" t="s">
        <v>292</v>
      </c>
      <c r="D12557" s="230">
        <v>0</v>
      </c>
      <c r="E12557" t="s">
        <v>561</v>
      </c>
    </row>
    <row r="12558" spans="1:5" hidden="1" x14ac:dyDescent="0.3">
      <c r="A12558" t="s">
        <v>557</v>
      </c>
      <c r="B12558" t="s">
        <v>756</v>
      </c>
      <c r="C12558" t="s">
        <v>293</v>
      </c>
      <c r="D12558" s="230">
        <v>-51.73</v>
      </c>
      <c r="E12558" t="s">
        <v>561</v>
      </c>
    </row>
    <row r="12559" spans="1:5" hidden="1" x14ac:dyDescent="0.3">
      <c r="A12559" t="s">
        <v>557</v>
      </c>
      <c r="B12559" t="s">
        <v>756</v>
      </c>
      <c r="C12559" t="s">
        <v>294</v>
      </c>
      <c r="D12559" s="230">
        <v>-21.7</v>
      </c>
      <c r="E12559" t="s">
        <v>561</v>
      </c>
    </row>
    <row r="12560" spans="1:5" hidden="1" x14ac:dyDescent="0.3">
      <c r="A12560" t="s">
        <v>557</v>
      </c>
      <c r="B12560" t="s">
        <v>756</v>
      </c>
      <c r="C12560" t="s">
        <v>295</v>
      </c>
      <c r="D12560" s="230">
        <v>0</v>
      </c>
      <c r="E12560" t="s">
        <v>561</v>
      </c>
    </row>
    <row r="12561" spans="1:5" hidden="1" x14ac:dyDescent="0.3">
      <c r="A12561" t="s">
        <v>557</v>
      </c>
      <c r="B12561" t="s">
        <v>756</v>
      </c>
      <c r="C12561" t="s">
        <v>44</v>
      </c>
      <c r="D12561" s="230">
        <v>-0.01</v>
      </c>
      <c r="E12561" t="s">
        <v>561</v>
      </c>
    </row>
    <row r="12562" spans="1:5" hidden="1" x14ac:dyDescent="0.3">
      <c r="A12562" t="s">
        <v>557</v>
      </c>
      <c r="B12562" t="s">
        <v>756</v>
      </c>
      <c r="C12562" t="s">
        <v>296</v>
      </c>
      <c r="D12562" s="230">
        <v>-5148.2</v>
      </c>
      <c r="E12562" t="s">
        <v>561</v>
      </c>
    </row>
    <row r="12563" spans="1:5" hidden="1" x14ac:dyDescent="0.3">
      <c r="A12563" t="s">
        <v>557</v>
      </c>
      <c r="B12563" t="s">
        <v>756</v>
      </c>
      <c r="C12563" t="s">
        <v>297</v>
      </c>
      <c r="D12563" s="230">
        <v>-4000</v>
      </c>
      <c r="E12563" t="s">
        <v>561</v>
      </c>
    </row>
    <row r="12564" spans="1:5" hidden="1" x14ac:dyDescent="0.3">
      <c r="A12564" t="s">
        <v>557</v>
      </c>
      <c r="B12564" t="s">
        <v>756</v>
      </c>
      <c r="C12564" t="s">
        <v>298</v>
      </c>
      <c r="D12564" s="230">
        <v>-500</v>
      </c>
      <c r="E12564" t="s">
        <v>561</v>
      </c>
    </row>
    <row r="12565" spans="1:5" hidden="1" x14ac:dyDescent="0.3">
      <c r="A12565" t="s">
        <v>557</v>
      </c>
      <c r="B12565" t="s">
        <v>756</v>
      </c>
      <c r="C12565" t="s">
        <v>299</v>
      </c>
      <c r="D12565" s="230">
        <v>0</v>
      </c>
      <c r="E12565" t="s">
        <v>561</v>
      </c>
    </row>
    <row r="12566" spans="1:5" hidden="1" x14ac:dyDescent="0.3">
      <c r="A12566" t="s">
        <v>557</v>
      </c>
      <c r="B12566" t="s">
        <v>756</v>
      </c>
      <c r="C12566" t="s">
        <v>300</v>
      </c>
      <c r="D12566" s="230">
        <v>0</v>
      </c>
      <c r="E12566" t="s">
        <v>561</v>
      </c>
    </row>
    <row r="12567" spans="1:5" hidden="1" x14ac:dyDescent="0.3">
      <c r="A12567" t="s">
        <v>557</v>
      </c>
      <c r="B12567" t="s">
        <v>756</v>
      </c>
      <c r="C12567" t="s">
        <v>301</v>
      </c>
      <c r="D12567" s="230">
        <v>-623.64</v>
      </c>
      <c r="E12567" t="s">
        <v>561</v>
      </c>
    </row>
    <row r="12568" spans="1:5" hidden="1" x14ac:dyDescent="0.3">
      <c r="A12568" t="s">
        <v>557</v>
      </c>
      <c r="B12568" t="s">
        <v>756</v>
      </c>
      <c r="C12568" t="s">
        <v>302</v>
      </c>
      <c r="D12568" s="230">
        <v>0</v>
      </c>
      <c r="E12568" t="s">
        <v>561</v>
      </c>
    </row>
    <row r="12569" spans="1:5" hidden="1" x14ac:dyDescent="0.3">
      <c r="A12569" t="s">
        <v>557</v>
      </c>
      <c r="B12569" t="s">
        <v>756</v>
      </c>
      <c r="C12569" t="s">
        <v>303</v>
      </c>
      <c r="D12569" s="230">
        <v>0</v>
      </c>
      <c r="E12569" t="s">
        <v>561</v>
      </c>
    </row>
    <row r="12570" spans="1:5" hidden="1" x14ac:dyDescent="0.3">
      <c r="A12570" t="s">
        <v>557</v>
      </c>
      <c r="B12570" t="s">
        <v>756</v>
      </c>
      <c r="C12570" t="s">
        <v>304</v>
      </c>
      <c r="D12570" s="230">
        <v>0</v>
      </c>
      <c r="E12570" t="s">
        <v>561</v>
      </c>
    </row>
    <row r="12571" spans="1:5" hidden="1" x14ac:dyDescent="0.3">
      <c r="A12571" t="s">
        <v>557</v>
      </c>
      <c r="B12571" t="s">
        <v>756</v>
      </c>
      <c r="C12571" t="s">
        <v>305</v>
      </c>
      <c r="D12571" s="230">
        <v>0</v>
      </c>
      <c r="E12571" t="s">
        <v>561</v>
      </c>
    </row>
    <row r="12572" spans="1:5" hidden="1" x14ac:dyDescent="0.3">
      <c r="A12572" t="s">
        <v>557</v>
      </c>
      <c r="B12572" t="s">
        <v>756</v>
      </c>
      <c r="C12572" t="s">
        <v>306</v>
      </c>
      <c r="D12572" s="230">
        <v>0</v>
      </c>
      <c r="E12572" t="s">
        <v>561</v>
      </c>
    </row>
    <row r="12573" spans="1:5" hidden="1" x14ac:dyDescent="0.3">
      <c r="A12573" t="s">
        <v>557</v>
      </c>
      <c r="B12573" t="s">
        <v>756</v>
      </c>
      <c r="C12573" t="s">
        <v>307</v>
      </c>
      <c r="D12573" s="230">
        <v>-24.56</v>
      </c>
      <c r="E12573" t="s">
        <v>561</v>
      </c>
    </row>
    <row r="12574" spans="1:5" hidden="1" x14ac:dyDescent="0.3">
      <c r="A12574" t="s">
        <v>557</v>
      </c>
      <c r="B12574" t="s">
        <v>756</v>
      </c>
      <c r="C12574" t="s">
        <v>44</v>
      </c>
      <c r="D12574" s="230">
        <v>-0.01</v>
      </c>
      <c r="E12574" t="s">
        <v>561</v>
      </c>
    </row>
    <row r="12575" spans="1:5" hidden="1" x14ac:dyDescent="0.3">
      <c r="A12575" t="s">
        <v>557</v>
      </c>
      <c r="B12575" t="s">
        <v>756</v>
      </c>
      <c r="C12575" t="s">
        <v>308</v>
      </c>
      <c r="D12575" s="230">
        <v>-5637.33</v>
      </c>
      <c r="E12575" t="s">
        <v>561</v>
      </c>
    </row>
    <row r="12576" spans="1:5" hidden="1" x14ac:dyDescent="0.3">
      <c r="A12576" t="s">
        <v>557</v>
      </c>
      <c r="B12576" t="s">
        <v>756</v>
      </c>
      <c r="C12576" t="s">
        <v>309</v>
      </c>
      <c r="D12576" s="230">
        <v>-3194.15</v>
      </c>
      <c r="E12576" t="s">
        <v>561</v>
      </c>
    </row>
    <row r="12577" spans="1:5" hidden="1" x14ac:dyDescent="0.3">
      <c r="A12577" t="s">
        <v>557</v>
      </c>
      <c r="B12577" t="s">
        <v>756</v>
      </c>
      <c r="C12577" t="s">
        <v>310</v>
      </c>
      <c r="D12577" s="230">
        <v>0</v>
      </c>
      <c r="E12577" t="s">
        <v>561</v>
      </c>
    </row>
    <row r="12578" spans="1:5" hidden="1" x14ac:dyDescent="0.3">
      <c r="A12578" t="s">
        <v>557</v>
      </c>
      <c r="B12578" t="s">
        <v>756</v>
      </c>
      <c r="C12578" t="s">
        <v>311</v>
      </c>
      <c r="D12578" s="230">
        <v>-1550</v>
      </c>
      <c r="E12578" t="s">
        <v>561</v>
      </c>
    </row>
    <row r="12579" spans="1:5" hidden="1" x14ac:dyDescent="0.3">
      <c r="A12579" t="s">
        <v>557</v>
      </c>
      <c r="B12579" t="s">
        <v>756</v>
      </c>
      <c r="C12579" t="s">
        <v>312</v>
      </c>
      <c r="D12579" s="230">
        <v>-185</v>
      </c>
      <c r="E12579" t="s">
        <v>561</v>
      </c>
    </row>
    <row r="12580" spans="1:5" hidden="1" x14ac:dyDescent="0.3">
      <c r="A12580" t="s">
        <v>557</v>
      </c>
      <c r="B12580" t="s">
        <v>756</v>
      </c>
      <c r="C12580" t="s">
        <v>313</v>
      </c>
      <c r="D12580" s="230">
        <v>0</v>
      </c>
      <c r="E12580" t="s">
        <v>561</v>
      </c>
    </row>
    <row r="12581" spans="1:5" hidden="1" x14ac:dyDescent="0.3">
      <c r="A12581" t="s">
        <v>557</v>
      </c>
      <c r="B12581" t="s">
        <v>756</v>
      </c>
      <c r="C12581" t="s">
        <v>314</v>
      </c>
      <c r="D12581" s="230">
        <v>-708.18</v>
      </c>
      <c r="E12581" t="s">
        <v>561</v>
      </c>
    </row>
    <row r="12582" spans="1:5" hidden="1" x14ac:dyDescent="0.3">
      <c r="A12582" t="s">
        <v>557</v>
      </c>
      <c r="B12582" t="s">
        <v>756</v>
      </c>
      <c r="C12582" t="s">
        <v>315</v>
      </c>
      <c r="D12582" s="230">
        <v>0</v>
      </c>
      <c r="E12582" t="s">
        <v>561</v>
      </c>
    </row>
    <row r="12583" spans="1:5" hidden="1" x14ac:dyDescent="0.3">
      <c r="A12583" t="s">
        <v>557</v>
      </c>
      <c r="B12583" t="s">
        <v>756</v>
      </c>
      <c r="C12583" t="s">
        <v>316</v>
      </c>
      <c r="D12583" s="230">
        <v>0</v>
      </c>
      <c r="E12583" t="s">
        <v>561</v>
      </c>
    </row>
    <row r="12584" spans="1:5" hidden="1" x14ac:dyDescent="0.3">
      <c r="A12584" t="s">
        <v>557</v>
      </c>
      <c r="B12584" t="s">
        <v>756</v>
      </c>
      <c r="C12584" t="s">
        <v>317</v>
      </c>
      <c r="D12584" s="230">
        <v>0</v>
      </c>
      <c r="E12584" t="s">
        <v>561</v>
      </c>
    </row>
    <row r="12585" spans="1:5" hidden="1" x14ac:dyDescent="0.3">
      <c r="A12585" t="s">
        <v>557</v>
      </c>
      <c r="B12585" t="s">
        <v>756</v>
      </c>
      <c r="C12585" t="s">
        <v>44</v>
      </c>
      <c r="D12585" s="230">
        <v>-0.01</v>
      </c>
      <c r="E12585" t="s">
        <v>561</v>
      </c>
    </row>
    <row r="12586" spans="1:5" hidden="1" x14ac:dyDescent="0.3">
      <c r="A12586" t="s">
        <v>557</v>
      </c>
      <c r="B12586" t="s">
        <v>756</v>
      </c>
      <c r="C12586" t="s">
        <v>318</v>
      </c>
      <c r="D12586" s="230">
        <v>-2107.81</v>
      </c>
      <c r="E12586" t="s">
        <v>561</v>
      </c>
    </row>
    <row r="12587" spans="1:5" hidden="1" x14ac:dyDescent="0.3">
      <c r="A12587" t="s">
        <v>557</v>
      </c>
      <c r="B12587" t="s">
        <v>756</v>
      </c>
      <c r="C12587" t="s">
        <v>319</v>
      </c>
      <c r="D12587" s="230">
        <v>-1764</v>
      </c>
      <c r="E12587" t="s">
        <v>561</v>
      </c>
    </row>
    <row r="12588" spans="1:5" hidden="1" x14ac:dyDescent="0.3">
      <c r="A12588" t="s">
        <v>557</v>
      </c>
      <c r="B12588" t="s">
        <v>756</v>
      </c>
      <c r="C12588" t="s">
        <v>320</v>
      </c>
      <c r="D12588" s="230">
        <v>-143.81</v>
      </c>
      <c r="E12588" t="s">
        <v>561</v>
      </c>
    </row>
    <row r="12589" spans="1:5" hidden="1" x14ac:dyDescent="0.3">
      <c r="A12589" t="s">
        <v>557</v>
      </c>
      <c r="B12589" t="s">
        <v>756</v>
      </c>
      <c r="C12589" t="s">
        <v>321</v>
      </c>
      <c r="D12589" s="230">
        <v>-200</v>
      </c>
      <c r="E12589" t="s">
        <v>561</v>
      </c>
    </row>
    <row r="12590" spans="1:5" hidden="1" x14ac:dyDescent="0.3">
      <c r="A12590" t="s">
        <v>557</v>
      </c>
      <c r="B12590" t="s">
        <v>756</v>
      </c>
      <c r="C12590" t="s">
        <v>322</v>
      </c>
      <c r="D12590" s="230">
        <v>0</v>
      </c>
      <c r="E12590" t="s">
        <v>561</v>
      </c>
    </row>
    <row r="12591" spans="1:5" hidden="1" x14ac:dyDescent="0.3">
      <c r="A12591" t="s">
        <v>557</v>
      </c>
      <c r="B12591" t="s">
        <v>756</v>
      </c>
      <c r="C12591" t="s">
        <v>44</v>
      </c>
      <c r="D12591" s="230">
        <v>-0.01</v>
      </c>
      <c r="E12591" t="s">
        <v>561</v>
      </c>
    </row>
    <row r="12592" spans="1:5" hidden="1" x14ac:dyDescent="0.3">
      <c r="A12592" t="s">
        <v>557</v>
      </c>
      <c r="B12592" t="s">
        <v>756</v>
      </c>
      <c r="C12592" t="s">
        <v>323</v>
      </c>
      <c r="D12592" s="230">
        <v>-20189.71</v>
      </c>
      <c r="E12592" t="s">
        <v>561</v>
      </c>
    </row>
    <row r="12593" spans="1:5" hidden="1" x14ac:dyDescent="0.3">
      <c r="A12593" t="s">
        <v>557</v>
      </c>
      <c r="B12593" t="s">
        <v>756</v>
      </c>
      <c r="C12593" t="s">
        <v>324</v>
      </c>
      <c r="D12593" s="230">
        <v>0</v>
      </c>
      <c r="E12593" t="s">
        <v>561</v>
      </c>
    </row>
    <row r="12594" spans="1:5" hidden="1" x14ac:dyDescent="0.3">
      <c r="A12594" t="s">
        <v>557</v>
      </c>
      <c r="B12594" t="s">
        <v>756</v>
      </c>
      <c r="C12594" t="s">
        <v>325</v>
      </c>
      <c r="D12594" s="230">
        <v>0</v>
      </c>
      <c r="E12594" t="s">
        <v>561</v>
      </c>
    </row>
    <row r="12595" spans="1:5" hidden="1" x14ac:dyDescent="0.3">
      <c r="A12595" t="s">
        <v>557</v>
      </c>
      <c r="B12595" t="s">
        <v>756</v>
      </c>
      <c r="C12595" t="s">
        <v>326</v>
      </c>
      <c r="D12595" s="230">
        <v>-20189.71</v>
      </c>
      <c r="E12595" t="s">
        <v>561</v>
      </c>
    </row>
    <row r="12596" spans="1:5" hidden="1" x14ac:dyDescent="0.3">
      <c r="A12596" t="s">
        <v>557</v>
      </c>
      <c r="B12596" t="s">
        <v>756</v>
      </c>
      <c r="C12596" t="s">
        <v>44</v>
      </c>
      <c r="D12596" s="230">
        <v>-0.05</v>
      </c>
      <c r="E12596" t="s">
        <v>561</v>
      </c>
    </row>
    <row r="12597" spans="1:5" hidden="1" x14ac:dyDescent="0.3">
      <c r="A12597" t="s">
        <v>557</v>
      </c>
      <c r="B12597" t="s">
        <v>756</v>
      </c>
      <c r="C12597" t="s">
        <v>328</v>
      </c>
      <c r="D12597" s="230">
        <v>-255908.69</v>
      </c>
      <c r="E12597" t="s">
        <v>561</v>
      </c>
    </row>
    <row r="12598" spans="1:5" hidden="1" x14ac:dyDescent="0.3">
      <c r="A12598" t="s">
        <v>557</v>
      </c>
      <c r="B12598" t="s">
        <v>756</v>
      </c>
      <c r="C12598" t="s">
        <v>44</v>
      </c>
      <c r="D12598" s="230">
        <v>-0.63</v>
      </c>
      <c r="E12598" t="s">
        <v>561</v>
      </c>
    </row>
    <row r="12599" spans="1:5" hidden="1" x14ac:dyDescent="0.3">
      <c r="A12599" t="s">
        <v>557</v>
      </c>
      <c r="B12599" t="s">
        <v>756</v>
      </c>
      <c r="C12599" t="s">
        <v>329</v>
      </c>
      <c r="D12599" s="230">
        <v>-51895.69</v>
      </c>
      <c r="E12599" t="s">
        <v>561</v>
      </c>
    </row>
    <row r="12600" spans="1:5" hidden="1" x14ac:dyDescent="0.3">
      <c r="A12600" t="s">
        <v>557</v>
      </c>
      <c r="B12600" t="s">
        <v>756</v>
      </c>
      <c r="C12600" t="s">
        <v>44</v>
      </c>
      <c r="D12600" s="230">
        <v>-0.13</v>
      </c>
      <c r="E12600" t="s">
        <v>561</v>
      </c>
    </row>
    <row r="12601" spans="1:5" hidden="1" x14ac:dyDescent="0.3">
      <c r="A12601" t="s">
        <v>557</v>
      </c>
      <c r="B12601" t="s">
        <v>756</v>
      </c>
      <c r="C12601" t="s">
        <v>330</v>
      </c>
      <c r="D12601" s="230">
        <v>0</v>
      </c>
      <c r="E12601" t="s">
        <v>561</v>
      </c>
    </row>
    <row r="12602" spans="1:5" hidden="1" x14ac:dyDescent="0.3">
      <c r="A12602" t="s">
        <v>557</v>
      </c>
      <c r="B12602" t="s">
        <v>756</v>
      </c>
      <c r="C12602" t="s">
        <v>332</v>
      </c>
      <c r="D12602" s="230">
        <v>-51895.69</v>
      </c>
      <c r="E12602" t="s">
        <v>561</v>
      </c>
    </row>
    <row r="12603" spans="1:5" hidden="1" x14ac:dyDescent="0.3">
      <c r="A12603" t="s">
        <v>557</v>
      </c>
      <c r="B12603" t="s">
        <v>756</v>
      </c>
      <c r="C12603" t="s">
        <v>333</v>
      </c>
      <c r="D12603" s="230">
        <v>-904.08</v>
      </c>
      <c r="E12603" t="s">
        <v>561</v>
      </c>
    </row>
    <row r="12604" spans="1:5" hidden="1" x14ac:dyDescent="0.3">
      <c r="A12604" t="s">
        <v>557</v>
      </c>
      <c r="B12604" t="s">
        <v>756</v>
      </c>
      <c r="C12604" t="s">
        <v>334</v>
      </c>
      <c r="D12604" s="230">
        <v>0</v>
      </c>
      <c r="E12604" t="s">
        <v>561</v>
      </c>
    </row>
    <row r="12605" spans="1:5" hidden="1" x14ac:dyDescent="0.3">
      <c r="A12605" t="s">
        <v>557</v>
      </c>
      <c r="B12605" t="s">
        <v>756</v>
      </c>
      <c r="C12605" t="s">
        <v>336</v>
      </c>
      <c r="D12605" s="230">
        <v>0</v>
      </c>
      <c r="E12605" t="s">
        <v>561</v>
      </c>
    </row>
    <row r="12606" spans="1:5" hidden="1" x14ac:dyDescent="0.3">
      <c r="A12606" t="s">
        <v>557</v>
      </c>
      <c r="B12606" t="s">
        <v>756</v>
      </c>
      <c r="C12606" t="s">
        <v>338</v>
      </c>
      <c r="D12606" s="230">
        <v>-52799.77</v>
      </c>
      <c r="E12606" t="s">
        <v>561</v>
      </c>
    </row>
    <row r="12607" spans="1:5" hidden="1" x14ac:dyDescent="0.3">
      <c r="A12607" t="s">
        <v>557</v>
      </c>
      <c r="B12607" t="s">
        <v>756</v>
      </c>
      <c r="C12607" t="s">
        <v>339</v>
      </c>
      <c r="D12607" s="230">
        <v>-13749.56</v>
      </c>
      <c r="E12607" t="s">
        <v>561</v>
      </c>
    </row>
    <row r="12608" spans="1:5" hidden="1" x14ac:dyDescent="0.3">
      <c r="A12608" t="s">
        <v>557</v>
      </c>
      <c r="B12608" t="s">
        <v>756</v>
      </c>
      <c r="C12608" t="s">
        <v>342</v>
      </c>
      <c r="D12608" s="230">
        <v>-5230.74</v>
      </c>
      <c r="E12608" t="s">
        <v>561</v>
      </c>
    </row>
    <row r="12609" spans="1:5" hidden="1" x14ac:dyDescent="0.3">
      <c r="A12609" t="s">
        <v>557</v>
      </c>
      <c r="B12609" t="s">
        <v>756</v>
      </c>
      <c r="C12609" t="s">
        <v>344</v>
      </c>
      <c r="D12609" s="230">
        <v>-4506.96</v>
      </c>
      <c r="E12609" t="s">
        <v>561</v>
      </c>
    </row>
    <row r="12610" spans="1:5" hidden="1" x14ac:dyDescent="0.3">
      <c r="A12610" t="s">
        <v>557</v>
      </c>
      <c r="B12610" t="s">
        <v>756</v>
      </c>
      <c r="C12610" t="s">
        <v>345</v>
      </c>
      <c r="D12610" s="230">
        <v>0</v>
      </c>
      <c r="E12610" t="s">
        <v>561</v>
      </c>
    </row>
    <row r="12611" spans="1:5" hidden="1" x14ac:dyDescent="0.3">
      <c r="A12611" t="s">
        <v>557</v>
      </c>
      <c r="B12611" t="s">
        <v>756</v>
      </c>
      <c r="C12611" t="s">
        <v>346</v>
      </c>
      <c r="D12611" s="230">
        <v>-4011.85</v>
      </c>
      <c r="E12611" t="s">
        <v>561</v>
      </c>
    </row>
    <row r="12612" spans="1:5" hidden="1" x14ac:dyDescent="0.3">
      <c r="A12612" t="s">
        <v>557</v>
      </c>
      <c r="B12612" t="s">
        <v>756</v>
      </c>
      <c r="C12612" t="s">
        <v>347</v>
      </c>
      <c r="D12612" s="230">
        <v>-66549.320000000007</v>
      </c>
      <c r="E12612" t="s">
        <v>561</v>
      </c>
    </row>
    <row r="12613" spans="1:5" hidden="1" x14ac:dyDescent="0.3">
      <c r="A12613" t="s">
        <v>557</v>
      </c>
      <c r="B12613" t="s">
        <v>756</v>
      </c>
      <c r="C12613" t="s">
        <v>44</v>
      </c>
      <c r="D12613" s="230">
        <v>-0.16</v>
      </c>
      <c r="E12613" t="s">
        <v>561</v>
      </c>
    </row>
    <row r="12614" spans="1:5" hidden="1" x14ac:dyDescent="0.3">
      <c r="A12614" t="s">
        <v>557</v>
      </c>
      <c r="B12614" t="s">
        <v>756</v>
      </c>
      <c r="C12614" t="s">
        <v>348</v>
      </c>
      <c r="D12614" s="230">
        <v>-5240</v>
      </c>
      <c r="E12614" t="s">
        <v>561</v>
      </c>
    </row>
    <row r="12615" spans="1:5" hidden="1" x14ac:dyDescent="0.3">
      <c r="A12615" t="s">
        <v>557</v>
      </c>
      <c r="B12615" t="s">
        <v>756</v>
      </c>
      <c r="C12615" t="s">
        <v>707</v>
      </c>
      <c r="D12615" s="230">
        <v>-5000</v>
      </c>
      <c r="E12615" t="s">
        <v>561</v>
      </c>
    </row>
    <row r="12616" spans="1:5" hidden="1" x14ac:dyDescent="0.3">
      <c r="A12616" t="s">
        <v>557</v>
      </c>
      <c r="B12616" t="s">
        <v>756</v>
      </c>
      <c r="C12616" t="s">
        <v>350</v>
      </c>
      <c r="D12616" s="230">
        <v>-240</v>
      </c>
      <c r="E12616" t="s">
        <v>561</v>
      </c>
    </row>
    <row r="12617" spans="1:5" hidden="1" x14ac:dyDescent="0.3">
      <c r="A12617" t="s">
        <v>557</v>
      </c>
      <c r="B12617" t="s">
        <v>756</v>
      </c>
      <c r="C12617" t="s">
        <v>351</v>
      </c>
      <c r="D12617" s="230">
        <v>0</v>
      </c>
      <c r="E12617" t="s">
        <v>561</v>
      </c>
    </row>
    <row r="12618" spans="1:5" hidden="1" x14ac:dyDescent="0.3">
      <c r="A12618" t="s">
        <v>557</v>
      </c>
      <c r="B12618" t="s">
        <v>756</v>
      </c>
      <c r="C12618" t="s">
        <v>352</v>
      </c>
      <c r="D12618" s="230">
        <v>0</v>
      </c>
      <c r="E12618" t="s">
        <v>561</v>
      </c>
    </row>
    <row r="12619" spans="1:5" hidden="1" x14ac:dyDescent="0.3">
      <c r="A12619" t="s">
        <v>557</v>
      </c>
      <c r="B12619" t="s">
        <v>756</v>
      </c>
      <c r="C12619" t="s">
        <v>353</v>
      </c>
      <c r="D12619" s="230">
        <v>0</v>
      </c>
      <c r="E12619" t="s">
        <v>561</v>
      </c>
    </row>
    <row r="12620" spans="1:5" hidden="1" x14ac:dyDescent="0.3">
      <c r="A12620" t="s">
        <v>557</v>
      </c>
      <c r="B12620" t="s">
        <v>756</v>
      </c>
      <c r="C12620" t="s">
        <v>354</v>
      </c>
      <c r="D12620" s="230">
        <v>0</v>
      </c>
      <c r="E12620" t="s">
        <v>561</v>
      </c>
    </row>
    <row r="12621" spans="1:5" hidden="1" x14ac:dyDescent="0.3">
      <c r="A12621" t="s">
        <v>557</v>
      </c>
      <c r="B12621" t="s">
        <v>756</v>
      </c>
      <c r="C12621" t="s">
        <v>355</v>
      </c>
      <c r="D12621" s="230">
        <v>0</v>
      </c>
      <c r="E12621" t="s">
        <v>561</v>
      </c>
    </row>
    <row r="12622" spans="1:5" hidden="1" x14ac:dyDescent="0.3">
      <c r="A12622" t="s">
        <v>557</v>
      </c>
      <c r="B12622" t="s">
        <v>756</v>
      </c>
      <c r="C12622" t="s">
        <v>356</v>
      </c>
      <c r="D12622" s="230">
        <v>0</v>
      </c>
      <c r="E12622" t="s">
        <v>561</v>
      </c>
    </row>
    <row r="12623" spans="1:5" hidden="1" x14ac:dyDescent="0.3">
      <c r="A12623" t="s">
        <v>557</v>
      </c>
      <c r="B12623" t="s">
        <v>756</v>
      </c>
      <c r="C12623" t="s">
        <v>357</v>
      </c>
      <c r="D12623" s="230">
        <v>0</v>
      </c>
      <c r="E12623" t="s">
        <v>561</v>
      </c>
    </row>
    <row r="12624" spans="1:5" hidden="1" x14ac:dyDescent="0.3">
      <c r="A12624" t="s">
        <v>557</v>
      </c>
      <c r="B12624" t="s">
        <v>756</v>
      </c>
      <c r="C12624" t="s">
        <v>358</v>
      </c>
      <c r="D12624" s="230">
        <v>0</v>
      </c>
      <c r="E12624" t="s">
        <v>561</v>
      </c>
    </row>
    <row r="12625" spans="1:5" hidden="1" x14ac:dyDescent="0.3">
      <c r="A12625" t="s">
        <v>557</v>
      </c>
      <c r="B12625" t="s">
        <v>756</v>
      </c>
      <c r="C12625" t="s">
        <v>359</v>
      </c>
      <c r="D12625" s="230">
        <v>0</v>
      </c>
      <c r="E12625" t="s">
        <v>561</v>
      </c>
    </row>
    <row r="12626" spans="1:5" hidden="1" x14ac:dyDescent="0.3">
      <c r="A12626" t="s">
        <v>557</v>
      </c>
      <c r="B12626" t="s">
        <v>756</v>
      </c>
      <c r="C12626" t="s">
        <v>360</v>
      </c>
      <c r="D12626" s="230">
        <v>0</v>
      </c>
      <c r="E12626" t="s">
        <v>561</v>
      </c>
    </row>
    <row r="12627" spans="1:5" hidden="1" x14ac:dyDescent="0.3">
      <c r="A12627" t="s">
        <v>557</v>
      </c>
      <c r="B12627" t="s">
        <v>756</v>
      </c>
      <c r="C12627" t="s">
        <v>361</v>
      </c>
      <c r="D12627" s="230">
        <v>0</v>
      </c>
      <c r="E12627" t="s">
        <v>561</v>
      </c>
    </row>
    <row r="12628" spans="1:5" hidden="1" x14ac:dyDescent="0.3">
      <c r="A12628" t="s">
        <v>557</v>
      </c>
      <c r="B12628" t="s">
        <v>756</v>
      </c>
      <c r="C12628" t="s">
        <v>362</v>
      </c>
      <c r="D12628" s="230">
        <v>0</v>
      </c>
      <c r="E12628" t="s">
        <v>561</v>
      </c>
    </row>
    <row r="12629" spans="1:5" hidden="1" x14ac:dyDescent="0.3">
      <c r="A12629" t="s">
        <v>557</v>
      </c>
      <c r="B12629" t="s">
        <v>756</v>
      </c>
      <c r="C12629" t="s">
        <v>363</v>
      </c>
      <c r="D12629" s="230">
        <v>0</v>
      </c>
      <c r="E12629" t="s">
        <v>561</v>
      </c>
    </row>
    <row r="12630" spans="1:5" hidden="1" x14ac:dyDescent="0.3">
      <c r="A12630" t="s">
        <v>557</v>
      </c>
      <c r="B12630" t="s">
        <v>756</v>
      </c>
      <c r="C12630" t="s">
        <v>364</v>
      </c>
      <c r="D12630" s="230">
        <v>0</v>
      </c>
      <c r="E12630" t="s">
        <v>561</v>
      </c>
    </row>
    <row r="12631" spans="1:5" hidden="1" x14ac:dyDescent="0.3">
      <c r="A12631" t="s">
        <v>557</v>
      </c>
      <c r="B12631" t="s">
        <v>756</v>
      </c>
      <c r="C12631" t="s">
        <v>365</v>
      </c>
      <c r="D12631" s="230">
        <v>-1833.34</v>
      </c>
      <c r="E12631" t="s">
        <v>561</v>
      </c>
    </row>
    <row r="12632" spans="1:5" hidden="1" x14ac:dyDescent="0.3">
      <c r="A12632" t="s">
        <v>557</v>
      </c>
      <c r="B12632" t="s">
        <v>756</v>
      </c>
      <c r="C12632" t="s">
        <v>366</v>
      </c>
      <c r="D12632" s="230">
        <v>0</v>
      </c>
      <c r="E12632" t="s">
        <v>561</v>
      </c>
    </row>
    <row r="12633" spans="1:5" hidden="1" x14ac:dyDescent="0.3">
      <c r="A12633" t="s">
        <v>557</v>
      </c>
      <c r="B12633" t="s">
        <v>756</v>
      </c>
      <c r="C12633" t="s">
        <v>367</v>
      </c>
      <c r="D12633" s="230">
        <v>0</v>
      </c>
      <c r="E12633" t="s">
        <v>561</v>
      </c>
    </row>
    <row r="12634" spans="1:5" hidden="1" x14ac:dyDescent="0.3">
      <c r="A12634" t="s">
        <v>557</v>
      </c>
      <c r="B12634" t="s">
        <v>756</v>
      </c>
      <c r="C12634" t="s">
        <v>368</v>
      </c>
      <c r="D12634" s="230">
        <v>0</v>
      </c>
      <c r="E12634" t="s">
        <v>561</v>
      </c>
    </row>
    <row r="12635" spans="1:5" hidden="1" x14ac:dyDescent="0.3">
      <c r="A12635" t="s">
        <v>557</v>
      </c>
      <c r="B12635" t="s">
        <v>756</v>
      </c>
      <c r="C12635" t="s">
        <v>369</v>
      </c>
      <c r="D12635" s="230">
        <v>-1833.34</v>
      </c>
      <c r="E12635" t="s">
        <v>561</v>
      </c>
    </row>
    <row r="12636" spans="1:5" hidden="1" x14ac:dyDescent="0.3">
      <c r="A12636" t="s">
        <v>557</v>
      </c>
      <c r="B12636" t="s">
        <v>756</v>
      </c>
      <c r="C12636" t="s">
        <v>370</v>
      </c>
      <c r="D12636" s="230">
        <v>0</v>
      </c>
      <c r="E12636" t="s">
        <v>561</v>
      </c>
    </row>
    <row r="12637" spans="1:5" hidden="1" x14ac:dyDescent="0.3">
      <c r="A12637" t="s">
        <v>557</v>
      </c>
      <c r="B12637" t="s">
        <v>756</v>
      </c>
      <c r="C12637" t="s">
        <v>371</v>
      </c>
      <c r="D12637" s="230">
        <v>0</v>
      </c>
      <c r="E12637" t="s">
        <v>561</v>
      </c>
    </row>
    <row r="12638" spans="1:5" hidden="1" x14ac:dyDescent="0.3">
      <c r="A12638" t="s">
        <v>557</v>
      </c>
      <c r="B12638" t="s">
        <v>756</v>
      </c>
      <c r="C12638" t="s">
        <v>372</v>
      </c>
      <c r="D12638" s="230">
        <v>0</v>
      </c>
      <c r="E12638" t="s">
        <v>561</v>
      </c>
    </row>
    <row r="12639" spans="1:5" hidden="1" x14ac:dyDescent="0.3">
      <c r="A12639" t="s">
        <v>557</v>
      </c>
      <c r="B12639" t="s">
        <v>756</v>
      </c>
      <c r="C12639" t="s">
        <v>373</v>
      </c>
      <c r="D12639" s="230">
        <v>-7073.34</v>
      </c>
      <c r="E12639" t="s">
        <v>561</v>
      </c>
    </row>
    <row r="12640" spans="1:5" hidden="1" x14ac:dyDescent="0.3">
      <c r="A12640" t="s">
        <v>557</v>
      </c>
      <c r="B12640" t="s">
        <v>756</v>
      </c>
      <c r="C12640" t="s">
        <v>374</v>
      </c>
      <c r="D12640" s="230">
        <v>-73622.66</v>
      </c>
      <c r="E12640" t="s">
        <v>561</v>
      </c>
    </row>
    <row r="12641" spans="1:5" hidden="1" x14ac:dyDescent="0.3">
      <c r="A12641" t="s">
        <v>557</v>
      </c>
      <c r="B12641" t="s">
        <v>757</v>
      </c>
      <c r="C12641" t="s">
        <v>11</v>
      </c>
      <c r="D12641" s="230">
        <v>423798.03</v>
      </c>
      <c r="E12641" t="s">
        <v>586</v>
      </c>
    </row>
    <row r="12642" spans="1:5" hidden="1" x14ac:dyDescent="0.3">
      <c r="A12642" t="s">
        <v>557</v>
      </c>
      <c r="B12642" t="s">
        <v>757</v>
      </c>
      <c r="C12642" t="s">
        <v>13</v>
      </c>
      <c r="D12642" s="230">
        <v>214752.3</v>
      </c>
      <c r="E12642" t="s">
        <v>586</v>
      </c>
    </row>
    <row r="12643" spans="1:5" hidden="1" x14ac:dyDescent="0.3">
      <c r="A12643" t="s">
        <v>557</v>
      </c>
      <c r="B12643" t="s">
        <v>757</v>
      </c>
      <c r="C12643" t="s">
        <v>16</v>
      </c>
      <c r="D12643" s="230">
        <v>110922.1</v>
      </c>
      <c r="E12643" t="s">
        <v>586</v>
      </c>
    </row>
    <row r="12644" spans="1:5" hidden="1" x14ac:dyDescent="0.3">
      <c r="A12644" t="s">
        <v>557</v>
      </c>
      <c r="B12644" t="s">
        <v>757</v>
      </c>
      <c r="C12644" t="s">
        <v>17</v>
      </c>
      <c r="D12644" s="230">
        <v>10805</v>
      </c>
      <c r="E12644" t="s">
        <v>586</v>
      </c>
    </row>
    <row r="12645" spans="1:5" hidden="1" x14ac:dyDescent="0.3">
      <c r="A12645" t="s">
        <v>557</v>
      </c>
      <c r="B12645" t="s">
        <v>757</v>
      </c>
      <c r="C12645" t="s">
        <v>18</v>
      </c>
      <c r="D12645" s="230">
        <v>0</v>
      </c>
      <c r="E12645" t="s">
        <v>586</v>
      </c>
    </row>
    <row r="12646" spans="1:5" hidden="1" x14ac:dyDescent="0.3">
      <c r="A12646" t="s">
        <v>557</v>
      </c>
      <c r="B12646" t="s">
        <v>757</v>
      </c>
      <c r="C12646" t="s">
        <v>20</v>
      </c>
      <c r="D12646" s="230">
        <v>41506.120000000003</v>
      </c>
      <c r="E12646" t="s">
        <v>586</v>
      </c>
    </row>
    <row r="12647" spans="1:5" hidden="1" x14ac:dyDescent="0.3">
      <c r="A12647" t="s">
        <v>557</v>
      </c>
      <c r="B12647" t="s">
        <v>757</v>
      </c>
      <c r="C12647" t="s">
        <v>23</v>
      </c>
      <c r="D12647" s="230">
        <v>1000</v>
      </c>
      <c r="E12647" t="s">
        <v>586</v>
      </c>
    </row>
    <row r="12648" spans="1:5" hidden="1" x14ac:dyDescent="0.3">
      <c r="A12648" t="s">
        <v>557</v>
      </c>
      <c r="B12648" t="s">
        <v>757</v>
      </c>
      <c r="C12648" t="s">
        <v>25</v>
      </c>
      <c r="D12648" s="230">
        <v>0</v>
      </c>
      <c r="E12648" t="s">
        <v>586</v>
      </c>
    </row>
    <row r="12649" spans="1:5" hidden="1" x14ac:dyDescent="0.3">
      <c r="A12649" t="s">
        <v>557</v>
      </c>
      <c r="B12649" t="s">
        <v>757</v>
      </c>
      <c r="C12649" t="s">
        <v>26</v>
      </c>
      <c r="D12649" s="230">
        <v>2600</v>
      </c>
      <c r="E12649" t="s">
        <v>586</v>
      </c>
    </row>
    <row r="12650" spans="1:5" hidden="1" x14ac:dyDescent="0.3">
      <c r="A12650" t="s">
        <v>557</v>
      </c>
      <c r="B12650" t="s">
        <v>757</v>
      </c>
      <c r="C12650" t="s">
        <v>27</v>
      </c>
      <c r="D12650" s="230">
        <v>0</v>
      </c>
      <c r="E12650" t="s">
        <v>586</v>
      </c>
    </row>
    <row r="12651" spans="1:5" hidden="1" x14ac:dyDescent="0.3">
      <c r="A12651" t="s">
        <v>557</v>
      </c>
      <c r="B12651" t="s">
        <v>757</v>
      </c>
      <c r="C12651" t="s">
        <v>29</v>
      </c>
      <c r="D12651" s="230">
        <v>41942.51</v>
      </c>
      <c r="E12651" t="s">
        <v>586</v>
      </c>
    </row>
    <row r="12652" spans="1:5" hidden="1" x14ac:dyDescent="0.3">
      <c r="A12652" t="s">
        <v>557</v>
      </c>
      <c r="B12652" t="s">
        <v>757</v>
      </c>
      <c r="C12652" t="s">
        <v>31</v>
      </c>
      <c r="D12652" s="230">
        <v>270</v>
      </c>
      <c r="E12652" t="s">
        <v>586</v>
      </c>
    </row>
    <row r="12653" spans="1:5" hidden="1" x14ac:dyDescent="0.3">
      <c r="A12653" t="s">
        <v>557</v>
      </c>
      <c r="B12653" t="s">
        <v>757</v>
      </c>
      <c r="C12653" t="s">
        <v>33</v>
      </c>
      <c r="D12653" s="230">
        <v>3600</v>
      </c>
      <c r="E12653" t="s">
        <v>586</v>
      </c>
    </row>
    <row r="12654" spans="1:5" hidden="1" x14ac:dyDescent="0.3">
      <c r="A12654" t="s">
        <v>557</v>
      </c>
      <c r="B12654" t="s">
        <v>757</v>
      </c>
      <c r="C12654" t="s">
        <v>34</v>
      </c>
      <c r="D12654" s="230">
        <v>-13045.93</v>
      </c>
      <c r="E12654" t="s">
        <v>586</v>
      </c>
    </row>
    <row r="12655" spans="1:5" hidden="1" x14ac:dyDescent="0.3">
      <c r="A12655" t="s">
        <v>557</v>
      </c>
      <c r="B12655" t="s">
        <v>757</v>
      </c>
      <c r="C12655" t="s">
        <v>38</v>
      </c>
      <c r="D12655" s="230">
        <v>-2235.7199999999998</v>
      </c>
      <c r="E12655" t="s">
        <v>586</v>
      </c>
    </row>
    <row r="12656" spans="1:5" hidden="1" x14ac:dyDescent="0.3">
      <c r="A12656" t="s">
        <v>557</v>
      </c>
      <c r="B12656" t="s">
        <v>757</v>
      </c>
      <c r="C12656" t="s">
        <v>40</v>
      </c>
      <c r="D12656" s="230">
        <v>-7360.25</v>
      </c>
      <c r="E12656" t="s">
        <v>586</v>
      </c>
    </row>
    <row r="12657" spans="1:5" hidden="1" x14ac:dyDescent="0.3">
      <c r="A12657" t="s">
        <v>557</v>
      </c>
      <c r="B12657" t="s">
        <v>757</v>
      </c>
      <c r="C12657" t="s">
        <v>42</v>
      </c>
      <c r="D12657" s="230">
        <v>-3449.96</v>
      </c>
      <c r="E12657" t="s">
        <v>586</v>
      </c>
    </row>
    <row r="12658" spans="1:5" hidden="1" x14ac:dyDescent="0.3">
      <c r="A12658" t="s">
        <v>557</v>
      </c>
      <c r="B12658" t="s">
        <v>757</v>
      </c>
      <c r="C12658" t="s">
        <v>44</v>
      </c>
      <c r="D12658" s="230">
        <v>-0.03</v>
      </c>
      <c r="E12658" t="s">
        <v>586</v>
      </c>
    </row>
    <row r="12659" spans="1:5" hidden="1" x14ac:dyDescent="0.3">
      <c r="A12659" t="s">
        <v>557</v>
      </c>
      <c r="B12659" t="s">
        <v>757</v>
      </c>
      <c r="C12659" t="s">
        <v>45</v>
      </c>
      <c r="D12659" s="230">
        <v>-21654.75</v>
      </c>
      <c r="E12659" t="s">
        <v>586</v>
      </c>
    </row>
    <row r="12660" spans="1:5" hidden="1" x14ac:dyDescent="0.3">
      <c r="A12660" t="s">
        <v>557</v>
      </c>
      <c r="B12660" t="s">
        <v>757</v>
      </c>
      <c r="C12660" t="s">
        <v>46</v>
      </c>
      <c r="D12660" s="230">
        <v>-10086.799999999999</v>
      </c>
      <c r="E12660" t="s">
        <v>586</v>
      </c>
    </row>
    <row r="12661" spans="1:5" hidden="1" x14ac:dyDescent="0.3">
      <c r="A12661" t="s">
        <v>557</v>
      </c>
      <c r="B12661" t="s">
        <v>757</v>
      </c>
      <c r="C12661" t="s">
        <v>48</v>
      </c>
      <c r="D12661" s="230">
        <v>-11247.95</v>
      </c>
      <c r="E12661" t="s">
        <v>586</v>
      </c>
    </row>
    <row r="12662" spans="1:5" hidden="1" x14ac:dyDescent="0.3">
      <c r="A12662" t="s">
        <v>557</v>
      </c>
      <c r="B12662" t="s">
        <v>757</v>
      </c>
      <c r="C12662" t="s">
        <v>49</v>
      </c>
      <c r="D12662" s="230">
        <v>-320</v>
      </c>
      <c r="E12662" t="s">
        <v>586</v>
      </c>
    </row>
    <row r="12663" spans="1:5" hidden="1" x14ac:dyDescent="0.3">
      <c r="A12663" t="s">
        <v>557</v>
      </c>
      <c r="B12663" t="s">
        <v>757</v>
      </c>
      <c r="C12663" t="s">
        <v>50</v>
      </c>
      <c r="D12663" s="230">
        <v>389097.35</v>
      </c>
      <c r="E12663" t="s">
        <v>586</v>
      </c>
    </row>
    <row r="12664" spans="1:5" hidden="1" x14ac:dyDescent="0.3">
      <c r="A12664" t="s">
        <v>557</v>
      </c>
      <c r="B12664" t="s">
        <v>757</v>
      </c>
      <c r="C12664" t="s">
        <v>51</v>
      </c>
      <c r="D12664" s="230">
        <v>-102011.83</v>
      </c>
      <c r="E12664" t="s">
        <v>586</v>
      </c>
    </row>
    <row r="12665" spans="1:5" hidden="1" x14ac:dyDescent="0.3">
      <c r="A12665" t="s">
        <v>557</v>
      </c>
      <c r="B12665" t="s">
        <v>757</v>
      </c>
      <c r="C12665" t="s">
        <v>52</v>
      </c>
      <c r="D12665" s="230">
        <v>-76379.289999999994</v>
      </c>
      <c r="E12665" t="s">
        <v>586</v>
      </c>
    </row>
    <row r="12666" spans="1:5" hidden="1" x14ac:dyDescent="0.3">
      <c r="A12666" t="s">
        <v>557</v>
      </c>
      <c r="B12666" t="s">
        <v>757</v>
      </c>
      <c r="C12666" t="s">
        <v>53</v>
      </c>
      <c r="D12666" s="230">
        <v>-22583.91</v>
      </c>
      <c r="E12666" t="s">
        <v>586</v>
      </c>
    </row>
    <row r="12667" spans="1:5" hidden="1" x14ac:dyDescent="0.3">
      <c r="A12667" t="s">
        <v>557</v>
      </c>
      <c r="B12667" t="s">
        <v>757</v>
      </c>
      <c r="C12667" t="s">
        <v>54</v>
      </c>
      <c r="D12667" s="230">
        <v>-3048.63</v>
      </c>
      <c r="E12667" t="s">
        <v>586</v>
      </c>
    </row>
    <row r="12668" spans="1:5" hidden="1" x14ac:dyDescent="0.3">
      <c r="A12668" t="s">
        <v>557</v>
      </c>
      <c r="B12668" t="s">
        <v>757</v>
      </c>
      <c r="C12668" t="s">
        <v>44</v>
      </c>
      <c r="D12668" s="230">
        <v>-0.28000000000000003</v>
      </c>
      <c r="E12668" t="s">
        <v>586</v>
      </c>
    </row>
    <row r="12669" spans="1:5" hidden="1" x14ac:dyDescent="0.3">
      <c r="A12669" t="s">
        <v>557</v>
      </c>
      <c r="B12669" t="s">
        <v>757</v>
      </c>
      <c r="C12669" t="s">
        <v>55</v>
      </c>
      <c r="D12669" s="230">
        <v>-0.26</v>
      </c>
      <c r="E12669" t="s">
        <v>586</v>
      </c>
    </row>
    <row r="12670" spans="1:5" hidden="1" x14ac:dyDescent="0.3">
      <c r="A12670" t="s">
        <v>557</v>
      </c>
      <c r="B12670" t="s">
        <v>757</v>
      </c>
      <c r="C12670" t="s">
        <v>56</v>
      </c>
      <c r="D12670" s="230">
        <v>-9393.67</v>
      </c>
      <c r="E12670" t="s">
        <v>586</v>
      </c>
    </row>
    <row r="12671" spans="1:5" hidden="1" x14ac:dyDescent="0.3">
      <c r="A12671" t="s">
        <v>557</v>
      </c>
      <c r="B12671" t="s">
        <v>757</v>
      </c>
      <c r="C12671" t="s">
        <v>57</v>
      </c>
      <c r="D12671" s="230">
        <v>-8391.67</v>
      </c>
      <c r="E12671" t="s">
        <v>586</v>
      </c>
    </row>
    <row r="12672" spans="1:5" hidden="1" x14ac:dyDescent="0.3">
      <c r="A12672" t="s">
        <v>557</v>
      </c>
      <c r="B12672" t="s">
        <v>757</v>
      </c>
      <c r="C12672" t="s">
        <v>58</v>
      </c>
      <c r="D12672" s="230">
        <v>-7975</v>
      </c>
      <c r="E12672" t="s">
        <v>586</v>
      </c>
    </row>
    <row r="12673" spans="1:5" hidden="1" x14ac:dyDescent="0.3">
      <c r="A12673" t="s">
        <v>557</v>
      </c>
      <c r="B12673" t="s">
        <v>757</v>
      </c>
      <c r="C12673" t="s">
        <v>59</v>
      </c>
      <c r="D12673" s="230">
        <v>-416.67</v>
      </c>
      <c r="E12673" t="s">
        <v>586</v>
      </c>
    </row>
    <row r="12674" spans="1:5" hidden="1" x14ac:dyDescent="0.3">
      <c r="A12674" t="s">
        <v>557</v>
      </c>
      <c r="B12674" t="s">
        <v>757</v>
      </c>
      <c r="C12674" t="s">
        <v>61</v>
      </c>
      <c r="D12674" s="230">
        <v>0</v>
      </c>
      <c r="E12674" t="s">
        <v>586</v>
      </c>
    </row>
    <row r="12675" spans="1:5" hidden="1" x14ac:dyDescent="0.3">
      <c r="A12675" t="s">
        <v>557</v>
      </c>
      <c r="B12675" t="s">
        <v>757</v>
      </c>
      <c r="C12675" t="s">
        <v>62</v>
      </c>
      <c r="D12675" s="230">
        <v>0</v>
      </c>
      <c r="E12675" t="s">
        <v>586</v>
      </c>
    </row>
    <row r="12676" spans="1:5" hidden="1" x14ac:dyDescent="0.3">
      <c r="A12676" t="s">
        <v>557</v>
      </c>
      <c r="B12676" t="s">
        <v>757</v>
      </c>
      <c r="C12676" t="s">
        <v>64</v>
      </c>
      <c r="D12676" s="230">
        <v>0</v>
      </c>
      <c r="E12676" t="s">
        <v>586</v>
      </c>
    </row>
    <row r="12677" spans="1:5" hidden="1" x14ac:dyDescent="0.3">
      <c r="A12677" t="s">
        <v>557</v>
      </c>
      <c r="B12677" t="s">
        <v>757</v>
      </c>
      <c r="C12677" t="s">
        <v>65</v>
      </c>
      <c r="D12677" s="230">
        <v>-1002</v>
      </c>
      <c r="E12677" t="s">
        <v>586</v>
      </c>
    </row>
    <row r="12678" spans="1:5" hidden="1" x14ac:dyDescent="0.3">
      <c r="A12678" t="s">
        <v>557</v>
      </c>
      <c r="B12678" t="s">
        <v>757</v>
      </c>
      <c r="C12678" t="s">
        <v>66</v>
      </c>
      <c r="D12678" s="230">
        <v>-1002</v>
      </c>
      <c r="E12678" t="s">
        <v>586</v>
      </c>
    </row>
    <row r="12679" spans="1:5" hidden="1" x14ac:dyDescent="0.3">
      <c r="A12679" t="s">
        <v>557</v>
      </c>
      <c r="B12679" t="s">
        <v>757</v>
      </c>
      <c r="C12679" t="s">
        <v>68</v>
      </c>
      <c r="D12679" s="230">
        <v>0</v>
      </c>
      <c r="E12679" t="s">
        <v>586</v>
      </c>
    </row>
    <row r="12680" spans="1:5" hidden="1" x14ac:dyDescent="0.3">
      <c r="A12680" t="s">
        <v>557</v>
      </c>
      <c r="B12680" t="s">
        <v>757</v>
      </c>
      <c r="C12680" t="s">
        <v>69</v>
      </c>
      <c r="D12680" s="230">
        <v>0</v>
      </c>
      <c r="E12680" t="s">
        <v>586</v>
      </c>
    </row>
    <row r="12681" spans="1:5" hidden="1" x14ac:dyDescent="0.3">
      <c r="A12681" t="s">
        <v>557</v>
      </c>
      <c r="B12681" t="s">
        <v>757</v>
      </c>
      <c r="C12681" t="s">
        <v>70</v>
      </c>
      <c r="D12681" s="230">
        <v>-0.87</v>
      </c>
      <c r="E12681" t="s">
        <v>586</v>
      </c>
    </row>
    <row r="12682" spans="1:5" hidden="1" x14ac:dyDescent="0.3">
      <c r="A12682" t="s">
        <v>557</v>
      </c>
      <c r="B12682" t="s">
        <v>757</v>
      </c>
      <c r="C12682" t="s">
        <v>44</v>
      </c>
      <c r="D12682" s="230">
        <v>-0.02</v>
      </c>
      <c r="E12682" t="s">
        <v>586</v>
      </c>
    </row>
    <row r="12683" spans="1:5" hidden="1" x14ac:dyDescent="0.3">
      <c r="A12683" t="s">
        <v>557</v>
      </c>
      <c r="B12683" t="s">
        <v>757</v>
      </c>
      <c r="C12683" t="s">
        <v>71</v>
      </c>
      <c r="D12683" s="230">
        <v>-2134.7399999999998</v>
      </c>
      <c r="E12683" t="s">
        <v>586</v>
      </c>
    </row>
    <row r="12684" spans="1:5" hidden="1" x14ac:dyDescent="0.3">
      <c r="A12684" t="s">
        <v>557</v>
      </c>
      <c r="B12684" t="s">
        <v>757</v>
      </c>
      <c r="C12684" t="s">
        <v>72</v>
      </c>
      <c r="D12684" s="230">
        <v>-2134.7399999999998</v>
      </c>
      <c r="E12684" t="s">
        <v>586</v>
      </c>
    </row>
    <row r="12685" spans="1:5" hidden="1" x14ac:dyDescent="0.3">
      <c r="A12685" t="s">
        <v>557</v>
      </c>
      <c r="B12685" t="s">
        <v>757</v>
      </c>
      <c r="C12685" t="s">
        <v>73</v>
      </c>
      <c r="D12685" s="230">
        <v>-2000</v>
      </c>
      <c r="E12685" t="s">
        <v>586</v>
      </c>
    </row>
    <row r="12686" spans="1:5" hidden="1" x14ac:dyDescent="0.3">
      <c r="A12686" t="s">
        <v>557</v>
      </c>
      <c r="B12686" t="s">
        <v>757</v>
      </c>
      <c r="C12686" t="s">
        <v>75</v>
      </c>
      <c r="D12686" s="230">
        <v>-134.74</v>
      </c>
      <c r="E12686" t="s">
        <v>586</v>
      </c>
    </row>
    <row r="12687" spans="1:5" hidden="1" x14ac:dyDescent="0.3">
      <c r="A12687" t="s">
        <v>557</v>
      </c>
      <c r="B12687" t="s">
        <v>757</v>
      </c>
      <c r="C12687" t="s">
        <v>77</v>
      </c>
      <c r="D12687" s="230">
        <v>0</v>
      </c>
      <c r="E12687" t="s">
        <v>586</v>
      </c>
    </row>
    <row r="12688" spans="1:5" hidden="1" x14ac:dyDescent="0.3">
      <c r="A12688" t="s">
        <v>557</v>
      </c>
      <c r="B12688" t="s">
        <v>757</v>
      </c>
      <c r="C12688" t="s">
        <v>78</v>
      </c>
      <c r="D12688" s="230">
        <v>0</v>
      </c>
      <c r="E12688" t="s">
        <v>586</v>
      </c>
    </row>
    <row r="12689" spans="1:5" hidden="1" x14ac:dyDescent="0.3">
      <c r="A12689" t="s">
        <v>557</v>
      </c>
      <c r="B12689" t="s">
        <v>757</v>
      </c>
      <c r="C12689" t="s">
        <v>80</v>
      </c>
      <c r="D12689" s="230">
        <v>0</v>
      </c>
      <c r="E12689" t="s">
        <v>586</v>
      </c>
    </row>
    <row r="12690" spans="1:5" hidden="1" x14ac:dyDescent="0.3">
      <c r="A12690" t="s">
        <v>557</v>
      </c>
      <c r="B12690" t="s">
        <v>757</v>
      </c>
      <c r="C12690" t="s">
        <v>82</v>
      </c>
      <c r="D12690" s="230">
        <v>0</v>
      </c>
      <c r="E12690" t="s">
        <v>586</v>
      </c>
    </row>
    <row r="12691" spans="1:5" hidden="1" x14ac:dyDescent="0.3">
      <c r="A12691" t="s">
        <v>557</v>
      </c>
      <c r="B12691" t="s">
        <v>757</v>
      </c>
      <c r="C12691" t="s">
        <v>84</v>
      </c>
      <c r="D12691" s="230">
        <v>0</v>
      </c>
      <c r="E12691" t="s">
        <v>586</v>
      </c>
    </row>
    <row r="12692" spans="1:5" hidden="1" x14ac:dyDescent="0.3">
      <c r="A12692" t="s">
        <v>557</v>
      </c>
      <c r="B12692" t="s">
        <v>757</v>
      </c>
      <c r="C12692" t="s">
        <v>85</v>
      </c>
      <c r="D12692" s="230">
        <v>0</v>
      </c>
      <c r="E12692" t="s">
        <v>586</v>
      </c>
    </row>
    <row r="12693" spans="1:5" hidden="1" x14ac:dyDescent="0.3">
      <c r="A12693" t="s">
        <v>557</v>
      </c>
      <c r="B12693" t="s">
        <v>757</v>
      </c>
      <c r="C12693" t="s">
        <v>86</v>
      </c>
      <c r="D12693" s="230">
        <v>0</v>
      </c>
      <c r="E12693" t="s">
        <v>586</v>
      </c>
    </row>
    <row r="12694" spans="1:5" hidden="1" x14ac:dyDescent="0.3">
      <c r="A12694" t="s">
        <v>557</v>
      </c>
      <c r="B12694" t="s">
        <v>757</v>
      </c>
      <c r="C12694" t="s">
        <v>87</v>
      </c>
      <c r="D12694" s="230">
        <v>0</v>
      </c>
      <c r="E12694" t="s">
        <v>586</v>
      </c>
    </row>
    <row r="12695" spans="1:5" hidden="1" x14ac:dyDescent="0.3">
      <c r="A12695" t="s">
        <v>557</v>
      </c>
      <c r="B12695" t="s">
        <v>757</v>
      </c>
      <c r="C12695" t="s">
        <v>88</v>
      </c>
      <c r="D12695" s="230">
        <v>0</v>
      </c>
      <c r="E12695" t="s">
        <v>586</v>
      </c>
    </row>
    <row r="12696" spans="1:5" hidden="1" x14ac:dyDescent="0.3">
      <c r="A12696" t="s">
        <v>557</v>
      </c>
      <c r="B12696" t="s">
        <v>757</v>
      </c>
      <c r="C12696" t="s">
        <v>89</v>
      </c>
      <c r="D12696" s="230">
        <v>0</v>
      </c>
      <c r="E12696" t="s">
        <v>586</v>
      </c>
    </row>
    <row r="12697" spans="1:5" hidden="1" x14ac:dyDescent="0.3">
      <c r="A12697" t="s">
        <v>557</v>
      </c>
      <c r="B12697" t="s">
        <v>757</v>
      </c>
      <c r="C12697" t="s">
        <v>90</v>
      </c>
      <c r="D12697" s="230">
        <v>0</v>
      </c>
      <c r="E12697" t="s">
        <v>586</v>
      </c>
    </row>
    <row r="12698" spans="1:5" hidden="1" x14ac:dyDescent="0.3">
      <c r="A12698" t="s">
        <v>557</v>
      </c>
      <c r="B12698" t="s">
        <v>757</v>
      </c>
      <c r="C12698" t="s">
        <v>91</v>
      </c>
      <c r="D12698" s="230">
        <v>0</v>
      </c>
      <c r="E12698" t="s">
        <v>586</v>
      </c>
    </row>
    <row r="12699" spans="1:5" hidden="1" x14ac:dyDescent="0.3">
      <c r="A12699" t="s">
        <v>557</v>
      </c>
      <c r="B12699" t="s">
        <v>757</v>
      </c>
      <c r="C12699" t="s">
        <v>93</v>
      </c>
      <c r="D12699" s="230">
        <v>0</v>
      </c>
      <c r="E12699" t="s">
        <v>586</v>
      </c>
    </row>
    <row r="12700" spans="1:5" hidden="1" x14ac:dyDescent="0.3">
      <c r="A12700" t="s">
        <v>557</v>
      </c>
      <c r="B12700" t="s">
        <v>757</v>
      </c>
      <c r="C12700" t="s">
        <v>95</v>
      </c>
      <c r="D12700" s="230">
        <v>0</v>
      </c>
      <c r="E12700" t="s">
        <v>586</v>
      </c>
    </row>
    <row r="12701" spans="1:5" hidden="1" x14ac:dyDescent="0.3">
      <c r="A12701" t="s">
        <v>557</v>
      </c>
      <c r="B12701" t="s">
        <v>757</v>
      </c>
      <c r="C12701" t="s">
        <v>96</v>
      </c>
      <c r="D12701" s="230">
        <v>0</v>
      </c>
      <c r="E12701" t="s">
        <v>586</v>
      </c>
    </row>
    <row r="12702" spans="1:5" hidden="1" x14ac:dyDescent="0.3">
      <c r="A12702" t="s">
        <v>557</v>
      </c>
      <c r="B12702" t="s">
        <v>757</v>
      </c>
      <c r="C12702" t="s">
        <v>98</v>
      </c>
      <c r="D12702" s="230">
        <v>0</v>
      </c>
      <c r="E12702" t="s">
        <v>586</v>
      </c>
    </row>
    <row r="12703" spans="1:5" hidden="1" x14ac:dyDescent="0.3">
      <c r="A12703" t="s">
        <v>557</v>
      </c>
      <c r="B12703" t="s">
        <v>757</v>
      </c>
      <c r="C12703" t="s">
        <v>100</v>
      </c>
      <c r="D12703" s="230">
        <v>0</v>
      </c>
      <c r="E12703" t="s">
        <v>586</v>
      </c>
    </row>
    <row r="12704" spans="1:5" hidden="1" x14ac:dyDescent="0.3">
      <c r="A12704" t="s">
        <v>557</v>
      </c>
      <c r="B12704" t="s">
        <v>757</v>
      </c>
      <c r="C12704" t="s">
        <v>101</v>
      </c>
      <c r="D12704" s="230">
        <v>0</v>
      </c>
      <c r="E12704" t="s">
        <v>586</v>
      </c>
    </row>
    <row r="12705" spans="1:5" hidden="1" x14ac:dyDescent="0.3">
      <c r="A12705" t="s">
        <v>557</v>
      </c>
      <c r="B12705" t="s">
        <v>757</v>
      </c>
      <c r="C12705" t="s">
        <v>102</v>
      </c>
      <c r="D12705" s="230">
        <v>0</v>
      </c>
      <c r="E12705" t="s">
        <v>586</v>
      </c>
    </row>
    <row r="12706" spans="1:5" hidden="1" x14ac:dyDescent="0.3">
      <c r="A12706" t="s">
        <v>557</v>
      </c>
      <c r="B12706" t="s">
        <v>757</v>
      </c>
      <c r="C12706" t="s">
        <v>103</v>
      </c>
      <c r="D12706" s="230">
        <v>0</v>
      </c>
      <c r="E12706" t="s">
        <v>586</v>
      </c>
    </row>
    <row r="12707" spans="1:5" hidden="1" x14ac:dyDescent="0.3">
      <c r="A12707" t="s">
        <v>557</v>
      </c>
      <c r="B12707" t="s">
        <v>757</v>
      </c>
      <c r="C12707" t="s">
        <v>104</v>
      </c>
      <c r="D12707" s="230">
        <v>0</v>
      </c>
      <c r="E12707" t="s">
        <v>586</v>
      </c>
    </row>
    <row r="12708" spans="1:5" hidden="1" x14ac:dyDescent="0.3">
      <c r="A12708" t="s">
        <v>557</v>
      </c>
      <c r="B12708" t="s">
        <v>757</v>
      </c>
      <c r="C12708" t="s">
        <v>105</v>
      </c>
      <c r="D12708" s="230">
        <v>0</v>
      </c>
      <c r="E12708" t="s">
        <v>586</v>
      </c>
    </row>
    <row r="12709" spans="1:5" hidden="1" x14ac:dyDescent="0.3">
      <c r="A12709" t="s">
        <v>557</v>
      </c>
      <c r="B12709" t="s">
        <v>757</v>
      </c>
      <c r="C12709" t="s">
        <v>107</v>
      </c>
      <c r="D12709" s="230">
        <v>0</v>
      </c>
      <c r="E12709" t="s">
        <v>586</v>
      </c>
    </row>
    <row r="12710" spans="1:5" hidden="1" x14ac:dyDescent="0.3">
      <c r="A12710" t="s">
        <v>557</v>
      </c>
      <c r="B12710" t="s">
        <v>757</v>
      </c>
      <c r="C12710" t="s">
        <v>108</v>
      </c>
      <c r="D12710" s="230">
        <v>0</v>
      </c>
      <c r="E12710" t="s">
        <v>586</v>
      </c>
    </row>
    <row r="12711" spans="1:5" hidden="1" x14ac:dyDescent="0.3">
      <c r="A12711" t="s">
        <v>557</v>
      </c>
      <c r="B12711" t="s">
        <v>757</v>
      </c>
      <c r="C12711" t="s">
        <v>109</v>
      </c>
      <c r="D12711" s="230">
        <v>0</v>
      </c>
      <c r="E12711" t="s">
        <v>586</v>
      </c>
    </row>
    <row r="12712" spans="1:5" hidden="1" x14ac:dyDescent="0.3">
      <c r="A12712" t="s">
        <v>557</v>
      </c>
      <c r="B12712" t="s">
        <v>757</v>
      </c>
      <c r="C12712" t="s">
        <v>110</v>
      </c>
      <c r="D12712" s="230">
        <v>-0.59</v>
      </c>
      <c r="E12712" t="s">
        <v>586</v>
      </c>
    </row>
    <row r="12713" spans="1:5" hidden="1" x14ac:dyDescent="0.3">
      <c r="A12713" t="s">
        <v>557</v>
      </c>
      <c r="B12713" t="s">
        <v>757</v>
      </c>
      <c r="C12713" t="s">
        <v>44</v>
      </c>
      <c r="D12713" s="230">
        <v>-0.01</v>
      </c>
      <c r="E12713" t="s">
        <v>586</v>
      </c>
    </row>
    <row r="12714" spans="1:5" hidden="1" x14ac:dyDescent="0.3">
      <c r="A12714" t="s">
        <v>557</v>
      </c>
      <c r="B12714" t="s">
        <v>757</v>
      </c>
      <c r="C12714" t="s">
        <v>111</v>
      </c>
      <c r="D12714" s="230">
        <v>-27390</v>
      </c>
      <c r="E12714" t="s">
        <v>586</v>
      </c>
    </row>
    <row r="12715" spans="1:5" hidden="1" x14ac:dyDescent="0.3">
      <c r="A12715" t="s">
        <v>557</v>
      </c>
      <c r="B12715" t="s">
        <v>757</v>
      </c>
      <c r="C12715" t="s">
        <v>608</v>
      </c>
      <c r="D12715" s="230">
        <v>-27390</v>
      </c>
      <c r="E12715" t="s">
        <v>586</v>
      </c>
    </row>
    <row r="12716" spans="1:5" hidden="1" x14ac:dyDescent="0.3">
      <c r="A12716" t="s">
        <v>557</v>
      </c>
      <c r="B12716" t="s">
        <v>757</v>
      </c>
      <c r="C12716" t="s">
        <v>44</v>
      </c>
      <c r="D12716" s="230">
        <v>-0.06</v>
      </c>
      <c r="E12716" t="s">
        <v>586</v>
      </c>
    </row>
    <row r="12717" spans="1:5" hidden="1" x14ac:dyDescent="0.3">
      <c r="A12717" t="s">
        <v>557</v>
      </c>
      <c r="B12717" t="s">
        <v>757</v>
      </c>
      <c r="C12717" t="s">
        <v>115</v>
      </c>
      <c r="D12717" s="230">
        <v>-23760.92</v>
      </c>
      <c r="E12717" t="s">
        <v>586</v>
      </c>
    </row>
    <row r="12718" spans="1:5" hidden="1" x14ac:dyDescent="0.3">
      <c r="A12718" t="s">
        <v>557</v>
      </c>
      <c r="B12718" t="s">
        <v>757</v>
      </c>
      <c r="C12718" t="s">
        <v>116</v>
      </c>
      <c r="D12718" s="230">
        <v>-9496.4599999999991</v>
      </c>
      <c r="E12718" t="s">
        <v>586</v>
      </c>
    </row>
    <row r="12719" spans="1:5" hidden="1" x14ac:dyDescent="0.3">
      <c r="A12719" t="s">
        <v>557</v>
      </c>
      <c r="B12719" t="s">
        <v>757</v>
      </c>
      <c r="C12719" t="s">
        <v>118</v>
      </c>
      <c r="D12719" s="230">
        <v>-14173.46</v>
      </c>
      <c r="E12719" t="s">
        <v>586</v>
      </c>
    </row>
    <row r="12720" spans="1:5" hidden="1" x14ac:dyDescent="0.3">
      <c r="A12720" t="s">
        <v>557</v>
      </c>
      <c r="B12720" t="s">
        <v>757</v>
      </c>
      <c r="C12720" t="s">
        <v>120</v>
      </c>
      <c r="D12720" s="230">
        <v>0</v>
      </c>
      <c r="E12720" t="s">
        <v>586</v>
      </c>
    </row>
    <row r="12721" spans="1:5" hidden="1" x14ac:dyDescent="0.3">
      <c r="A12721" t="s">
        <v>557</v>
      </c>
      <c r="B12721" t="s">
        <v>757</v>
      </c>
      <c r="C12721" t="s">
        <v>122</v>
      </c>
      <c r="D12721" s="230">
        <v>-91</v>
      </c>
      <c r="E12721" t="s">
        <v>586</v>
      </c>
    </row>
    <row r="12722" spans="1:5" hidden="1" x14ac:dyDescent="0.3">
      <c r="A12722" t="s">
        <v>557</v>
      </c>
      <c r="B12722" t="s">
        <v>757</v>
      </c>
      <c r="C12722" t="s">
        <v>44</v>
      </c>
      <c r="D12722" s="230">
        <v>-0.06</v>
      </c>
      <c r="E12722" t="s">
        <v>586</v>
      </c>
    </row>
    <row r="12723" spans="1:5" hidden="1" x14ac:dyDescent="0.3">
      <c r="A12723" t="s">
        <v>557</v>
      </c>
      <c r="B12723" t="s">
        <v>757</v>
      </c>
      <c r="C12723" t="s">
        <v>126</v>
      </c>
      <c r="D12723" s="230">
        <v>224406.19</v>
      </c>
      <c r="E12723" t="s">
        <v>586</v>
      </c>
    </row>
    <row r="12724" spans="1:5" hidden="1" x14ac:dyDescent="0.3">
      <c r="A12724" t="s">
        <v>557</v>
      </c>
      <c r="B12724" t="s">
        <v>757</v>
      </c>
      <c r="C12724" t="s">
        <v>127</v>
      </c>
      <c r="D12724" s="230">
        <v>0.53</v>
      </c>
      <c r="E12724" t="s">
        <v>586</v>
      </c>
    </row>
    <row r="12725" spans="1:5" hidden="1" x14ac:dyDescent="0.3">
      <c r="A12725" t="s">
        <v>557</v>
      </c>
      <c r="B12725" t="s">
        <v>757</v>
      </c>
      <c r="C12725" t="s">
        <v>128</v>
      </c>
      <c r="D12725" s="230">
        <v>-108632.64</v>
      </c>
      <c r="E12725" t="s">
        <v>586</v>
      </c>
    </row>
    <row r="12726" spans="1:5" hidden="1" x14ac:dyDescent="0.3">
      <c r="A12726" t="s">
        <v>557</v>
      </c>
      <c r="B12726" t="s">
        <v>757</v>
      </c>
      <c r="C12726" t="s">
        <v>129</v>
      </c>
      <c r="D12726" s="230">
        <v>-27716.67</v>
      </c>
      <c r="E12726" t="s">
        <v>586</v>
      </c>
    </row>
    <row r="12727" spans="1:5" hidden="1" x14ac:dyDescent="0.3">
      <c r="A12727" t="s">
        <v>557</v>
      </c>
      <c r="B12727" t="s">
        <v>757</v>
      </c>
      <c r="C12727" t="s">
        <v>609</v>
      </c>
      <c r="D12727" s="230">
        <v>0</v>
      </c>
      <c r="E12727" t="s">
        <v>586</v>
      </c>
    </row>
    <row r="12728" spans="1:5" hidden="1" x14ac:dyDescent="0.3">
      <c r="A12728" t="s">
        <v>557</v>
      </c>
      <c r="B12728" t="s">
        <v>757</v>
      </c>
      <c r="C12728" t="s">
        <v>610</v>
      </c>
      <c r="D12728" s="230">
        <v>-17600</v>
      </c>
      <c r="E12728" t="s">
        <v>586</v>
      </c>
    </row>
    <row r="12729" spans="1:5" hidden="1" x14ac:dyDescent="0.3">
      <c r="A12729" t="s">
        <v>557</v>
      </c>
      <c r="B12729" t="s">
        <v>757</v>
      </c>
      <c r="C12729" t="s">
        <v>611</v>
      </c>
      <c r="D12729" s="230">
        <v>0</v>
      </c>
      <c r="E12729" t="s">
        <v>586</v>
      </c>
    </row>
    <row r="12730" spans="1:5" hidden="1" x14ac:dyDescent="0.3">
      <c r="A12730" t="s">
        <v>557</v>
      </c>
      <c r="B12730" t="s">
        <v>757</v>
      </c>
      <c r="C12730" t="s">
        <v>612</v>
      </c>
      <c r="D12730" s="230">
        <v>-1866.67</v>
      </c>
      <c r="E12730" t="s">
        <v>586</v>
      </c>
    </row>
    <row r="12731" spans="1:5" hidden="1" x14ac:dyDescent="0.3">
      <c r="A12731" t="s">
        <v>557</v>
      </c>
      <c r="B12731" t="s">
        <v>757</v>
      </c>
      <c r="C12731" t="s">
        <v>613</v>
      </c>
      <c r="D12731" s="230">
        <v>-1750</v>
      </c>
      <c r="E12731" t="s">
        <v>586</v>
      </c>
    </row>
    <row r="12732" spans="1:5" hidden="1" x14ac:dyDescent="0.3">
      <c r="A12732" t="s">
        <v>557</v>
      </c>
      <c r="B12732" t="s">
        <v>757</v>
      </c>
      <c r="C12732" t="s">
        <v>614</v>
      </c>
      <c r="D12732" s="230">
        <v>-6500</v>
      </c>
      <c r="E12732" t="s">
        <v>586</v>
      </c>
    </row>
    <row r="12733" spans="1:5" hidden="1" x14ac:dyDescent="0.3">
      <c r="A12733" t="s">
        <v>557</v>
      </c>
      <c r="B12733" t="s">
        <v>757</v>
      </c>
      <c r="C12733" t="s">
        <v>615</v>
      </c>
      <c r="D12733" s="230">
        <v>0</v>
      </c>
      <c r="E12733" t="s">
        <v>586</v>
      </c>
    </row>
    <row r="12734" spans="1:5" hidden="1" x14ac:dyDescent="0.3">
      <c r="A12734" t="s">
        <v>557</v>
      </c>
      <c r="B12734" t="s">
        <v>757</v>
      </c>
      <c r="C12734" t="s">
        <v>616</v>
      </c>
      <c r="D12734" s="230">
        <v>0</v>
      </c>
      <c r="E12734" t="s">
        <v>586</v>
      </c>
    </row>
    <row r="12735" spans="1:5" hidden="1" x14ac:dyDescent="0.3">
      <c r="A12735" t="s">
        <v>557</v>
      </c>
      <c r="B12735" t="s">
        <v>757</v>
      </c>
      <c r="C12735" t="s">
        <v>617</v>
      </c>
      <c r="D12735" s="230">
        <v>0</v>
      </c>
      <c r="E12735" t="s">
        <v>586</v>
      </c>
    </row>
    <row r="12736" spans="1:5" hidden="1" x14ac:dyDescent="0.3">
      <c r="A12736" t="s">
        <v>557</v>
      </c>
      <c r="B12736" t="s">
        <v>757</v>
      </c>
      <c r="C12736" t="s">
        <v>618</v>
      </c>
      <c r="D12736" s="230">
        <v>0</v>
      </c>
      <c r="E12736" t="s">
        <v>586</v>
      </c>
    </row>
    <row r="12737" spans="1:5" hidden="1" x14ac:dyDescent="0.3">
      <c r="A12737" t="s">
        <v>557</v>
      </c>
      <c r="B12737" t="s">
        <v>757</v>
      </c>
      <c r="C12737" t="s">
        <v>619</v>
      </c>
      <c r="D12737" s="230">
        <v>0</v>
      </c>
      <c r="E12737" t="s">
        <v>586</v>
      </c>
    </row>
    <row r="12738" spans="1:5" hidden="1" x14ac:dyDescent="0.3">
      <c r="A12738" t="s">
        <v>557</v>
      </c>
      <c r="B12738" t="s">
        <v>757</v>
      </c>
      <c r="C12738" t="s">
        <v>620</v>
      </c>
      <c r="D12738" s="230">
        <v>0</v>
      </c>
      <c r="E12738" t="s">
        <v>586</v>
      </c>
    </row>
    <row r="12739" spans="1:5" hidden="1" x14ac:dyDescent="0.3">
      <c r="A12739" t="s">
        <v>557</v>
      </c>
      <c r="B12739" t="s">
        <v>757</v>
      </c>
      <c r="C12739" t="s">
        <v>142</v>
      </c>
      <c r="D12739" s="230">
        <v>-35558.550000000003</v>
      </c>
      <c r="E12739" t="s">
        <v>586</v>
      </c>
    </row>
    <row r="12740" spans="1:5" hidden="1" x14ac:dyDescent="0.3">
      <c r="A12740" t="s">
        <v>557</v>
      </c>
      <c r="B12740" t="s">
        <v>757</v>
      </c>
      <c r="C12740" t="s">
        <v>621</v>
      </c>
      <c r="D12740" s="230">
        <v>0</v>
      </c>
      <c r="E12740" t="s">
        <v>586</v>
      </c>
    </row>
    <row r="12741" spans="1:5" hidden="1" x14ac:dyDescent="0.3">
      <c r="A12741" t="s">
        <v>557</v>
      </c>
      <c r="B12741" t="s">
        <v>757</v>
      </c>
      <c r="C12741" t="s">
        <v>622</v>
      </c>
      <c r="D12741" s="230">
        <v>0</v>
      </c>
      <c r="E12741" t="s">
        <v>586</v>
      </c>
    </row>
    <row r="12742" spans="1:5" hidden="1" x14ac:dyDescent="0.3">
      <c r="A12742" t="s">
        <v>557</v>
      </c>
      <c r="B12742" t="s">
        <v>757</v>
      </c>
      <c r="C12742" t="s">
        <v>623</v>
      </c>
      <c r="D12742" s="230">
        <v>0</v>
      </c>
      <c r="E12742" t="s">
        <v>586</v>
      </c>
    </row>
    <row r="12743" spans="1:5" hidden="1" x14ac:dyDescent="0.3">
      <c r="A12743" t="s">
        <v>557</v>
      </c>
      <c r="B12743" t="s">
        <v>757</v>
      </c>
      <c r="C12743" t="s">
        <v>624</v>
      </c>
      <c r="D12743" s="230">
        <v>0</v>
      </c>
      <c r="E12743" t="s">
        <v>586</v>
      </c>
    </row>
    <row r="12744" spans="1:5" hidden="1" x14ac:dyDescent="0.3">
      <c r="A12744" t="s">
        <v>557</v>
      </c>
      <c r="B12744" t="s">
        <v>757</v>
      </c>
      <c r="C12744" t="s">
        <v>625</v>
      </c>
      <c r="D12744" s="230">
        <v>0</v>
      </c>
      <c r="E12744" t="s">
        <v>586</v>
      </c>
    </row>
    <row r="12745" spans="1:5" hidden="1" x14ac:dyDescent="0.3">
      <c r="A12745" t="s">
        <v>557</v>
      </c>
      <c r="B12745" t="s">
        <v>757</v>
      </c>
      <c r="C12745" t="s">
        <v>626</v>
      </c>
      <c r="D12745" s="230">
        <v>0</v>
      </c>
      <c r="E12745" t="s">
        <v>586</v>
      </c>
    </row>
    <row r="12746" spans="1:5" hidden="1" x14ac:dyDescent="0.3">
      <c r="A12746" t="s">
        <v>557</v>
      </c>
      <c r="B12746" t="s">
        <v>757</v>
      </c>
      <c r="C12746" t="s">
        <v>627</v>
      </c>
      <c r="D12746" s="230">
        <v>0</v>
      </c>
      <c r="E12746" t="s">
        <v>586</v>
      </c>
    </row>
    <row r="12747" spans="1:5" hidden="1" x14ac:dyDescent="0.3">
      <c r="A12747" t="s">
        <v>557</v>
      </c>
      <c r="B12747" t="s">
        <v>757</v>
      </c>
      <c r="C12747" t="s">
        <v>628</v>
      </c>
      <c r="D12747" s="230">
        <v>0</v>
      </c>
      <c r="E12747" t="s">
        <v>586</v>
      </c>
    </row>
    <row r="12748" spans="1:5" hidden="1" x14ac:dyDescent="0.3">
      <c r="A12748" t="s">
        <v>557</v>
      </c>
      <c r="B12748" t="s">
        <v>757</v>
      </c>
      <c r="C12748" t="s">
        <v>629</v>
      </c>
      <c r="D12748" s="230">
        <v>0</v>
      </c>
      <c r="E12748" t="s">
        <v>586</v>
      </c>
    </row>
    <row r="12749" spans="1:5" hidden="1" x14ac:dyDescent="0.3">
      <c r="A12749" t="s">
        <v>557</v>
      </c>
      <c r="B12749" t="s">
        <v>757</v>
      </c>
      <c r="C12749" t="s">
        <v>630</v>
      </c>
      <c r="D12749" s="230">
        <v>0</v>
      </c>
      <c r="E12749" t="s">
        <v>586</v>
      </c>
    </row>
    <row r="12750" spans="1:5" hidden="1" x14ac:dyDescent="0.3">
      <c r="A12750" t="s">
        <v>557</v>
      </c>
      <c r="B12750" t="s">
        <v>757</v>
      </c>
      <c r="C12750" t="s">
        <v>631</v>
      </c>
      <c r="D12750" s="230">
        <v>0</v>
      </c>
      <c r="E12750" t="s">
        <v>586</v>
      </c>
    </row>
    <row r="12751" spans="1:5" hidden="1" x14ac:dyDescent="0.3">
      <c r="A12751" t="s">
        <v>557</v>
      </c>
      <c r="B12751" t="s">
        <v>757</v>
      </c>
      <c r="C12751" t="s">
        <v>632</v>
      </c>
      <c r="D12751" s="230">
        <v>0</v>
      </c>
      <c r="E12751" t="s">
        <v>586</v>
      </c>
    </row>
    <row r="12752" spans="1:5" hidden="1" x14ac:dyDescent="0.3">
      <c r="A12752" t="s">
        <v>557</v>
      </c>
      <c r="B12752" t="s">
        <v>757</v>
      </c>
      <c r="C12752" t="s">
        <v>633</v>
      </c>
      <c r="D12752" s="230">
        <v>0</v>
      </c>
      <c r="E12752" t="s">
        <v>586</v>
      </c>
    </row>
    <row r="12753" spans="1:5" hidden="1" x14ac:dyDescent="0.3">
      <c r="A12753" t="s">
        <v>557</v>
      </c>
      <c r="B12753" t="s">
        <v>757</v>
      </c>
      <c r="C12753" t="s">
        <v>634</v>
      </c>
      <c r="D12753" s="230">
        <v>0</v>
      </c>
      <c r="E12753" t="s">
        <v>586</v>
      </c>
    </row>
    <row r="12754" spans="1:5" hidden="1" x14ac:dyDescent="0.3">
      <c r="A12754" t="s">
        <v>557</v>
      </c>
      <c r="B12754" t="s">
        <v>757</v>
      </c>
      <c r="C12754" t="s">
        <v>635</v>
      </c>
      <c r="D12754" s="230">
        <v>0</v>
      </c>
      <c r="E12754" t="s">
        <v>586</v>
      </c>
    </row>
    <row r="12755" spans="1:5" hidden="1" x14ac:dyDescent="0.3">
      <c r="A12755" t="s">
        <v>557</v>
      </c>
      <c r="B12755" t="s">
        <v>757</v>
      </c>
      <c r="C12755" t="s">
        <v>636</v>
      </c>
      <c r="D12755" s="230">
        <v>0</v>
      </c>
      <c r="E12755" t="s">
        <v>586</v>
      </c>
    </row>
    <row r="12756" spans="1:5" hidden="1" x14ac:dyDescent="0.3">
      <c r="A12756" t="s">
        <v>557</v>
      </c>
      <c r="B12756" t="s">
        <v>757</v>
      </c>
      <c r="C12756" t="s">
        <v>637</v>
      </c>
      <c r="D12756" s="230">
        <v>0</v>
      </c>
      <c r="E12756" t="s">
        <v>586</v>
      </c>
    </row>
    <row r="12757" spans="1:5" hidden="1" x14ac:dyDescent="0.3">
      <c r="A12757" t="s">
        <v>557</v>
      </c>
      <c r="B12757" t="s">
        <v>757</v>
      </c>
      <c r="C12757" t="s">
        <v>638</v>
      </c>
      <c r="D12757" s="230">
        <v>0</v>
      </c>
      <c r="E12757" t="s">
        <v>586</v>
      </c>
    </row>
    <row r="12758" spans="1:5" hidden="1" x14ac:dyDescent="0.3">
      <c r="A12758" t="s">
        <v>557</v>
      </c>
      <c r="B12758" t="s">
        <v>757</v>
      </c>
      <c r="C12758" t="s">
        <v>639</v>
      </c>
      <c r="D12758" s="230">
        <v>0</v>
      </c>
      <c r="E12758" t="s">
        <v>586</v>
      </c>
    </row>
    <row r="12759" spans="1:5" hidden="1" x14ac:dyDescent="0.3">
      <c r="A12759" t="s">
        <v>557</v>
      </c>
      <c r="B12759" t="s">
        <v>757</v>
      </c>
      <c r="C12759" t="s">
        <v>640</v>
      </c>
      <c r="D12759" s="230">
        <v>0</v>
      </c>
      <c r="E12759" t="s">
        <v>586</v>
      </c>
    </row>
    <row r="12760" spans="1:5" hidden="1" x14ac:dyDescent="0.3">
      <c r="A12760" t="s">
        <v>557</v>
      </c>
      <c r="B12760" t="s">
        <v>757</v>
      </c>
      <c r="C12760" t="s">
        <v>641</v>
      </c>
      <c r="D12760" s="230">
        <v>0</v>
      </c>
      <c r="E12760" t="s">
        <v>586</v>
      </c>
    </row>
    <row r="12761" spans="1:5" hidden="1" x14ac:dyDescent="0.3">
      <c r="A12761" t="s">
        <v>557</v>
      </c>
      <c r="B12761" t="s">
        <v>757</v>
      </c>
      <c r="C12761" t="s">
        <v>642</v>
      </c>
      <c r="D12761" s="230">
        <v>0</v>
      </c>
      <c r="E12761" t="s">
        <v>586</v>
      </c>
    </row>
    <row r="12762" spans="1:5" hidden="1" x14ac:dyDescent="0.3">
      <c r="A12762" t="s">
        <v>557</v>
      </c>
      <c r="B12762" t="s">
        <v>757</v>
      </c>
      <c r="C12762" t="s">
        <v>643</v>
      </c>
      <c r="D12762" s="230">
        <v>0</v>
      </c>
      <c r="E12762" t="s">
        <v>586</v>
      </c>
    </row>
    <row r="12763" spans="1:5" hidden="1" x14ac:dyDescent="0.3">
      <c r="A12763" t="s">
        <v>557</v>
      </c>
      <c r="B12763" t="s">
        <v>757</v>
      </c>
      <c r="C12763" t="s">
        <v>644</v>
      </c>
      <c r="D12763" s="230">
        <v>0</v>
      </c>
      <c r="E12763" t="s">
        <v>586</v>
      </c>
    </row>
    <row r="12764" spans="1:5" hidden="1" x14ac:dyDescent="0.3">
      <c r="A12764" t="s">
        <v>557</v>
      </c>
      <c r="B12764" t="s">
        <v>757</v>
      </c>
      <c r="C12764" t="s">
        <v>645</v>
      </c>
      <c r="D12764" s="230">
        <v>0</v>
      </c>
      <c r="E12764" t="s">
        <v>586</v>
      </c>
    </row>
    <row r="12765" spans="1:5" hidden="1" x14ac:dyDescent="0.3">
      <c r="A12765" t="s">
        <v>557</v>
      </c>
      <c r="B12765" t="s">
        <v>757</v>
      </c>
      <c r="C12765" t="s">
        <v>646</v>
      </c>
      <c r="D12765" s="230">
        <v>0</v>
      </c>
      <c r="E12765" t="s">
        <v>586</v>
      </c>
    </row>
    <row r="12766" spans="1:5" hidden="1" x14ac:dyDescent="0.3">
      <c r="A12766" t="s">
        <v>557</v>
      </c>
      <c r="B12766" t="s">
        <v>757</v>
      </c>
      <c r="C12766" t="s">
        <v>647</v>
      </c>
      <c r="D12766" s="230">
        <v>0</v>
      </c>
      <c r="E12766" t="s">
        <v>586</v>
      </c>
    </row>
    <row r="12767" spans="1:5" hidden="1" x14ac:dyDescent="0.3">
      <c r="A12767" t="s">
        <v>557</v>
      </c>
      <c r="B12767" t="s">
        <v>757</v>
      </c>
      <c r="C12767" t="s">
        <v>648</v>
      </c>
      <c r="D12767" s="230">
        <v>0</v>
      </c>
      <c r="E12767" t="s">
        <v>586</v>
      </c>
    </row>
    <row r="12768" spans="1:5" hidden="1" x14ac:dyDescent="0.3">
      <c r="A12768" t="s">
        <v>557</v>
      </c>
      <c r="B12768" t="s">
        <v>757</v>
      </c>
      <c r="C12768" t="s">
        <v>649</v>
      </c>
      <c r="D12768" s="230">
        <v>0</v>
      </c>
      <c r="E12768" t="s">
        <v>586</v>
      </c>
    </row>
    <row r="12769" spans="1:5" hidden="1" x14ac:dyDescent="0.3">
      <c r="A12769" t="s">
        <v>557</v>
      </c>
      <c r="B12769" t="s">
        <v>757</v>
      </c>
      <c r="C12769" t="s">
        <v>650</v>
      </c>
      <c r="D12769" s="230">
        <v>0</v>
      </c>
      <c r="E12769" t="s">
        <v>586</v>
      </c>
    </row>
    <row r="12770" spans="1:5" hidden="1" x14ac:dyDescent="0.3">
      <c r="A12770" t="s">
        <v>557</v>
      </c>
      <c r="B12770" t="s">
        <v>757</v>
      </c>
      <c r="C12770" t="s">
        <v>651</v>
      </c>
      <c r="D12770" s="230">
        <v>0</v>
      </c>
      <c r="E12770" t="s">
        <v>586</v>
      </c>
    </row>
    <row r="12771" spans="1:5" hidden="1" x14ac:dyDescent="0.3">
      <c r="A12771" t="s">
        <v>557</v>
      </c>
      <c r="B12771" t="s">
        <v>757</v>
      </c>
      <c r="C12771" t="s">
        <v>652</v>
      </c>
      <c r="D12771" s="230">
        <v>0</v>
      </c>
      <c r="E12771" t="s">
        <v>586</v>
      </c>
    </row>
    <row r="12772" spans="1:5" hidden="1" x14ac:dyDescent="0.3">
      <c r="A12772" t="s">
        <v>557</v>
      </c>
      <c r="B12772" t="s">
        <v>757</v>
      </c>
      <c r="C12772" t="s">
        <v>653</v>
      </c>
      <c r="D12772" s="230">
        <v>0</v>
      </c>
      <c r="E12772" t="s">
        <v>586</v>
      </c>
    </row>
    <row r="12773" spans="1:5" hidden="1" x14ac:dyDescent="0.3">
      <c r="A12773" t="s">
        <v>557</v>
      </c>
      <c r="B12773" t="s">
        <v>757</v>
      </c>
      <c r="C12773" t="s">
        <v>654</v>
      </c>
      <c r="D12773" s="230">
        <v>0</v>
      </c>
      <c r="E12773" t="s">
        <v>586</v>
      </c>
    </row>
    <row r="12774" spans="1:5" hidden="1" x14ac:dyDescent="0.3">
      <c r="A12774" t="s">
        <v>557</v>
      </c>
      <c r="B12774" t="s">
        <v>757</v>
      </c>
      <c r="C12774" t="s">
        <v>655</v>
      </c>
      <c r="D12774" s="230">
        <v>0</v>
      </c>
      <c r="E12774" t="s">
        <v>586</v>
      </c>
    </row>
    <row r="12775" spans="1:5" hidden="1" x14ac:dyDescent="0.3">
      <c r="A12775" t="s">
        <v>557</v>
      </c>
      <c r="B12775" t="s">
        <v>757</v>
      </c>
      <c r="C12775" t="s">
        <v>656</v>
      </c>
      <c r="D12775" s="230">
        <v>0</v>
      </c>
      <c r="E12775" t="s">
        <v>586</v>
      </c>
    </row>
    <row r="12776" spans="1:5" hidden="1" x14ac:dyDescent="0.3">
      <c r="A12776" t="s">
        <v>557</v>
      </c>
      <c r="B12776" t="s">
        <v>757</v>
      </c>
      <c r="C12776" t="s">
        <v>657</v>
      </c>
      <c r="D12776" s="230">
        <v>0</v>
      </c>
      <c r="E12776" t="s">
        <v>586</v>
      </c>
    </row>
    <row r="12777" spans="1:5" hidden="1" x14ac:dyDescent="0.3">
      <c r="A12777" t="s">
        <v>557</v>
      </c>
      <c r="B12777" t="s">
        <v>757</v>
      </c>
      <c r="C12777" t="s">
        <v>658</v>
      </c>
      <c r="D12777" s="230">
        <v>0</v>
      </c>
      <c r="E12777" t="s">
        <v>586</v>
      </c>
    </row>
    <row r="12778" spans="1:5" hidden="1" x14ac:dyDescent="0.3">
      <c r="A12778" t="s">
        <v>557</v>
      </c>
      <c r="B12778" t="s">
        <v>757</v>
      </c>
      <c r="C12778" t="s">
        <v>659</v>
      </c>
      <c r="D12778" s="230">
        <v>0</v>
      </c>
      <c r="E12778" t="s">
        <v>586</v>
      </c>
    </row>
    <row r="12779" spans="1:5" hidden="1" x14ac:dyDescent="0.3">
      <c r="A12779" t="s">
        <v>557</v>
      </c>
      <c r="B12779" t="s">
        <v>757</v>
      </c>
      <c r="C12779" t="s">
        <v>660</v>
      </c>
      <c r="D12779" s="230">
        <v>0</v>
      </c>
      <c r="E12779" t="s">
        <v>586</v>
      </c>
    </row>
    <row r="12780" spans="1:5" hidden="1" x14ac:dyDescent="0.3">
      <c r="A12780" t="s">
        <v>557</v>
      </c>
      <c r="B12780" t="s">
        <v>757</v>
      </c>
      <c r="C12780" t="s">
        <v>661</v>
      </c>
      <c r="D12780" s="230">
        <v>0</v>
      </c>
      <c r="E12780" t="s">
        <v>586</v>
      </c>
    </row>
    <row r="12781" spans="1:5" hidden="1" x14ac:dyDescent="0.3">
      <c r="A12781" t="s">
        <v>557</v>
      </c>
      <c r="B12781" t="s">
        <v>757</v>
      </c>
      <c r="C12781" t="s">
        <v>662</v>
      </c>
      <c r="D12781" s="230">
        <v>0</v>
      </c>
      <c r="E12781" t="s">
        <v>586</v>
      </c>
    </row>
    <row r="12782" spans="1:5" hidden="1" x14ac:dyDescent="0.3">
      <c r="A12782" t="s">
        <v>557</v>
      </c>
      <c r="B12782" t="s">
        <v>757</v>
      </c>
      <c r="C12782" t="s">
        <v>663</v>
      </c>
      <c r="D12782" s="230">
        <v>0</v>
      </c>
      <c r="E12782" t="s">
        <v>586</v>
      </c>
    </row>
    <row r="12783" spans="1:5" hidden="1" x14ac:dyDescent="0.3">
      <c r="A12783" t="s">
        <v>557</v>
      </c>
      <c r="B12783" t="s">
        <v>757</v>
      </c>
      <c r="C12783" t="s">
        <v>664</v>
      </c>
      <c r="D12783" s="230">
        <v>0</v>
      </c>
      <c r="E12783" t="s">
        <v>586</v>
      </c>
    </row>
    <row r="12784" spans="1:5" hidden="1" x14ac:dyDescent="0.3">
      <c r="A12784" t="s">
        <v>557</v>
      </c>
      <c r="B12784" t="s">
        <v>757</v>
      </c>
      <c r="C12784" t="s">
        <v>665</v>
      </c>
      <c r="D12784" s="230">
        <v>0</v>
      </c>
      <c r="E12784" t="s">
        <v>586</v>
      </c>
    </row>
    <row r="12785" spans="1:5" hidden="1" x14ac:dyDescent="0.3">
      <c r="A12785" t="s">
        <v>557</v>
      </c>
      <c r="B12785" t="s">
        <v>757</v>
      </c>
      <c r="C12785" t="s">
        <v>666</v>
      </c>
      <c r="D12785" s="230">
        <v>0</v>
      </c>
      <c r="E12785" t="s">
        <v>586</v>
      </c>
    </row>
    <row r="12786" spans="1:5" hidden="1" x14ac:dyDescent="0.3">
      <c r="A12786" t="s">
        <v>557</v>
      </c>
      <c r="B12786" t="s">
        <v>757</v>
      </c>
      <c r="C12786" t="s">
        <v>667</v>
      </c>
      <c r="D12786" s="230">
        <v>0</v>
      </c>
      <c r="E12786" t="s">
        <v>586</v>
      </c>
    </row>
    <row r="12787" spans="1:5" hidden="1" x14ac:dyDescent="0.3">
      <c r="A12787" t="s">
        <v>557</v>
      </c>
      <c r="B12787" t="s">
        <v>757</v>
      </c>
      <c r="C12787" t="s">
        <v>668</v>
      </c>
      <c r="D12787" s="230">
        <v>0</v>
      </c>
      <c r="E12787" t="s">
        <v>586</v>
      </c>
    </row>
    <row r="12788" spans="1:5" hidden="1" x14ac:dyDescent="0.3">
      <c r="A12788" t="s">
        <v>557</v>
      </c>
      <c r="B12788" t="s">
        <v>757</v>
      </c>
      <c r="C12788" t="s">
        <v>669</v>
      </c>
      <c r="D12788" s="230">
        <v>0</v>
      </c>
      <c r="E12788" t="s">
        <v>586</v>
      </c>
    </row>
    <row r="12789" spans="1:5" hidden="1" x14ac:dyDescent="0.3">
      <c r="A12789" t="s">
        <v>557</v>
      </c>
      <c r="B12789" t="s">
        <v>757</v>
      </c>
      <c r="C12789" t="s">
        <v>670</v>
      </c>
      <c r="D12789" s="230">
        <v>0</v>
      </c>
      <c r="E12789" t="s">
        <v>586</v>
      </c>
    </row>
    <row r="12790" spans="1:5" hidden="1" x14ac:dyDescent="0.3">
      <c r="A12790" t="s">
        <v>557</v>
      </c>
      <c r="B12790" t="s">
        <v>757</v>
      </c>
      <c r="C12790" t="s">
        <v>671</v>
      </c>
      <c r="D12790" s="230">
        <v>0</v>
      </c>
      <c r="E12790" t="s">
        <v>586</v>
      </c>
    </row>
    <row r="12791" spans="1:5" hidden="1" x14ac:dyDescent="0.3">
      <c r="A12791" t="s">
        <v>557</v>
      </c>
      <c r="B12791" t="s">
        <v>757</v>
      </c>
      <c r="C12791" t="s">
        <v>672</v>
      </c>
      <c r="D12791" s="230">
        <v>0</v>
      </c>
      <c r="E12791" t="s">
        <v>586</v>
      </c>
    </row>
    <row r="12792" spans="1:5" hidden="1" x14ac:dyDescent="0.3">
      <c r="A12792" t="s">
        <v>557</v>
      </c>
      <c r="B12792" t="s">
        <v>757</v>
      </c>
      <c r="C12792" t="s">
        <v>673</v>
      </c>
      <c r="D12792" s="230">
        <v>0</v>
      </c>
      <c r="E12792" t="s">
        <v>586</v>
      </c>
    </row>
    <row r="12793" spans="1:5" hidden="1" x14ac:dyDescent="0.3">
      <c r="A12793" t="s">
        <v>557</v>
      </c>
      <c r="B12793" t="s">
        <v>757</v>
      </c>
      <c r="C12793" t="s">
        <v>674</v>
      </c>
      <c r="D12793" s="230">
        <v>0</v>
      </c>
      <c r="E12793" t="s">
        <v>586</v>
      </c>
    </row>
    <row r="12794" spans="1:5" hidden="1" x14ac:dyDescent="0.3">
      <c r="A12794" t="s">
        <v>557</v>
      </c>
      <c r="B12794" t="s">
        <v>757</v>
      </c>
      <c r="C12794" t="s">
        <v>675</v>
      </c>
      <c r="D12794" s="230">
        <v>0</v>
      </c>
      <c r="E12794" t="s">
        <v>586</v>
      </c>
    </row>
    <row r="12795" spans="1:5" hidden="1" x14ac:dyDescent="0.3">
      <c r="A12795" t="s">
        <v>557</v>
      </c>
      <c r="B12795" t="s">
        <v>757</v>
      </c>
      <c r="C12795" t="s">
        <v>676</v>
      </c>
      <c r="D12795" s="230">
        <v>0</v>
      </c>
      <c r="E12795" t="s">
        <v>586</v>
      </c>
    </row>
    <row r="12796" spans="1:5" hidden="1" x14ac:dyDescent="0.3">
      <c r="A12796" t="s">
        <v>557</v>
      </c>
      <c r="B12796" t="s">
        <v>757</v>
      </c>
      <c r="C12796" t="s">
        <v>677</v>
      </c>
      <c r="D12796" s="230">
        <v>0</v>
      </c>
      <c r="E12796" t="s">
        <v>586</v>
      </c>
    </row>
    <row r="12797" spans="1:5" hidden="1" x14ac:dyDescent="0.3">
      <c r="A12797" t="s">
        <v>557</v>
      </c>
      <c r="B12797" t="s">
        <v>757</v>
      </c>
      <c r="C12797" t="s">
        <v>201</v>
      </c>
      <c r="D12797" s="230">
        <v>-13003.88</v>
      </c>
      <c r="E12797" t="s">
        <v>586</v>
      </c>
    </row>
    <row r="12798" spans="1:5" hidden="1" x14ac:dyDescent="0.3">
      <c r="A12798" t="s">
        <v>557</v>
      </c>
      <c r="B12798" t="s">
        <v>757</v>
      </c>
      <c r="C12798" t="s">
        <v>203</v>
      </c>
      <c r="D12798" s="230">
        <v>-13003.88</v>
      </c>
      <c r="E12798" t="s">
        <v>586</v>
      </c>
    </row>
    <row r="12799" spans="1:5" hidden="1" x14ac:dyDescent="0.3">
      <c r="A12799" t="s">
        <v>557</v>
      </c>
      <c r="B12799" t="s">
        <v>757</v>
      </c>
      <c r="C12799" t="s">
        <v>678</v>
      </c>
      <c r="D12799" s="230">
        <v>6501.94</v>
      </c>
      <c r="E12799" t="s">
        <v>586</v>
      </c>
    </row>
    <row r="12800" spans="1:5" hidden="1" x14ac:dyDescent="0.3">
      <c r="A12800" t="s">
        <v>557</v>
      </c>
      <c r="B12800" t="s">
        <v>757</v>
      </c>
      <c r="C12800" t="s">
        <v>205</v>
      </c>
      <c r="D12800" s="230">
        <v>-10602.63</v>
      </c>
      <c r="E12800" t="s">
        <v>586</v>
      </c>
    </row>
    <row r="12801" spans="1:5" hidden="1" x14ac:dyDescent="0.3">
      <c r="A12801" t="s">
        <v>557</v>
      </c>
      <c r="B12801" t="s">
        <v>757</v>
      </c>
      <c r="C12801" t="s">
        <v>679</v>
      </c>
      <c r="D12801" s="230">
        <v>-5224.78</v>
      </c>
      <c r="E12801" t="s">
        <v>586</v>
      </c>
    </row>
    <row r="12802" spans="1:5" hidden="1" x14ac:dyDescent="0.3">
      <c r="A12802" t="s">
        <v>557</v>
      </c>
      <c r="B12802" t="s">
        <v>757</v>
      </c>
      <c r="C12802" t="s">
        <v>680</v>
      </c>
      <c r="D12802" s="230">
        <v>0</v>
      </c>
      <c r="E12802" t="s">
        <v>586</v>
      </c>
    </row>
    <row r="12803" spans="1:5" hidden="1" x14ac:dyDescent="0.3">
      <c r="A12803" t="s">
        <v>557</v>
      </c>
      <c r="B12803" t="s">
        <v>757</v>
      </c>
      <c r="C12803" t="s">
        <v>681</v>
      </c>
      <c r="D12803" s="230">
        <v>0</v>
      </c>
      <c r="E12803" t="s">
        <v>586</v>
      </c>
    </row>
    <row r="12804" spans="1:5" hidden="1" x14ac:dyDescent="0.3">
      <c r="A12804" t="s">
        <v>557</v>
      </c>
      <c r="B12804" t="s">
        <v>757</v>
      </c>
      <c r="C12804" t="s">
        <v>682</v>
      </c>
      <c r="D12804" s="230">
        <v>-5243.61</v>
      </c>
      <c r="E12804" t="s">
        <v>586</v>
      </c>
    </row>
    <row r="12805" spans="1:5" hidden="1" x14ac:dyDescent="0.3">
      <c r="A12805" t="s">
        <v>557</v>
      </c>
      <c r="B12805" t="s">
        <v>757</v>
      </c>
      <c r="C12805" t="s">
        <v>683</v>
      </c>
      <c r="D12805" s="230">
        <v>0</v>
      </c>
      <c r="E12805" t="s">
        <v>586</v>
      </c>
    </row>
    <row r="12806" spans="1:5" hidden="1" x14ac:dyDescent="0.3">
      <c r="A12806" t="s">
        <v>557</v>
      </c>
      <c r="B12806" t="s">
        <v>757</v>
      </c>
      <c r="C12806" t="s">
        <v>684</v>
      </c>
      <c r="D12806" s="230">
        <v>-46.67</v>
      </c>
      <c r="E12806" t="s">
        <v>586</v>
      </c>
    </row>
    <row r="12807" spans="1:5" hidden="1" x14ac:dyDescent="0.3">
      <c r="A12807" t="s">
        <v>557</v>
      </c>
      <c r="B12807" t="s">
        <v>757</v>
      </c>
      <c r="C12807" t="s">
        <v>685</v>
      </c>
      <c r="D12807" s="230">
        <v>0</v>
      </c>
      <c r="E12807" t="s">
        <v>586</v>
      </c>
    </row>
    <row r="12808" spans="1:5" hidden="1" x14ac:dyDescent="0.3">
      <c r="A12808" t="s">
        <v>557</v>
      </c>
      <c r="B12808" t="s">
        <v>757</v>
      </c>
      <c r="C12808" t="s">
        <v>686</v>
      </c>
      <c r="D12808" s="230">
        <v>-87.57</v>
      </c>
      <c r="E12808" t="s">
        <v>586</v>
      </c>
    </row>
    <row r="12809" spans="1:5" hidden="1" x14ac:dyDescent="0.3">
      <c r="A12809" t="s">
        <v>557</v>
      </c>
      <c r="B12809" t="s">
        <v>757</v>
      </c>
      <c r="C12809" t="s">
        <v>687</v>
      </c>
      <c r="D12809" s="230">
        <v>0</v>
      </c>
      <c r="E12809" t="s">
        <v>586</v>
      </c>
    </row>
    <row r="12810" spans="1:5" hidden="1" x14ac:dyDescent="0.3">
      <c r="A12810" t="s">
        <v>557</v>
      </c>
      <c r="B12810" t="s">
        <v>757</v>
      </c>
      <c r="C12810" t="s">
        <v>688</v>
      </c>
      <c r="D12810" s="230">
        <v>0</v>
      </c>
      <c r="E12810" t="s">
        <v>586</v>
      </c>
    </row>
    <row r="12811" spans="1:5" hidden="1" x14ac:dyDescent="0.3">
      <c r="A12811" t="s">
        <v>557</v>
      </c>
      <c r="B12811" t="s">
        <v>757</v>
      </c>
      <c r="C12811" t="s">
        <v>689</v>
      </c>
      <c r="D12811" s="230">
        <v>0</v>
      </c>
      <c r="E12811" t="s">
        <v>586</v>
      </c>
    </row>
    <row r="12812" spans="1:5" hidden="1" x14ac:dyDescent="0.3">
      <c r="A12812" t="s">
        <v>557</v>
      </c>
      <c r="B12812" t="s">
        <v>757</v>
      </c>
      <c r="C12812" t="s">
        <v>690</v>
      </c>
      <c r="D12812" s="230">
        <v>0</v>
      </c>
      <c r="E12812" t="s">
        <v>586</v>
      </c>
    </row>
    <row r="12813" spans="1:5" hidden="1" x14ac:dyDescent="0.3">
      <c r="A12813" t="s">
        <v>557</v>
      </c>
      <c r="B12813" t="s">
        <v>757</v>
      </c>
      <c r="C12813" t="s">
        <v>691</v>
      </c>
      <c r="D12813" s="230">
        <v>0</v>
      </c>
      <c r="E12813" t="s">
        <v>586</v>
      </c>
    </row>
    <row r="12814" spans="1:5" hidden="1" x14ac:dyDescent="0.3">
      <c r="A12814" t="s">
        <v>557</v>
      </c>
      <c r="B12814" t="s">
        <v>757</v>
      </c>
      <c r="C12814" t="s">
        <v>692</v>
      </c>
      <c r="D12814" s="230">
        <v>0</v>
      </c>
      <c r="E12814" t="s">
        <v>586</v>
      </c>
    </row>
    <row r="12815" spans="1:5" hidden="1" x14ac:dyDescent="0.3">
      <c r="A12815" t="s">
        <v>557</v>
      </c>
      <c r="B12815" t="s">
        <v>757</v>
      </c>
      <c r="C12815" t="s">
        <v>693</v>
      </c>
      <c r="D12815" s="230">
        <v>0</v>
      </c>
      <c r="E12815" t="s">
        <v>586</v>
      </c>
    </row>
    <row r="12816" spans="1:5" hidden="1" x14ac:dyDescent="0.3">
      <c r="A12816" t="s">
        <v>557</v>
      </c>
      <c r="B12816" t="s">
        <v>757</v>
      </c>
      <c r="C12816" t="s">
        <v>694</v>
      </c>
      <c r="D12816" s="230">
        <v>0</v>
      </c>
      <c r="E12816" t="s">
        <v>586</v>
      </c>
    </row>
    <row r="12817" spans="1:5" hidden="1" x14ac:dyDescent="0.3">
      <c r="A12817" t="s">
        <v>557</v>
      </c>
      <c r="B12817" t="s">
        <v>757</v>
      </c>
      <c r="C12817" t="s">
        <v>238</v>
      </c>
      <c r="D12817" s="230">
        <v>-6822.98</v>
      </c>
      <c r="E12817" t="s">
        <v>586</v>
      </c>
    </row>
    <row r="12818" spans="1:5" hidden="1" x14ac:dyDescent="0.3">
      <c r="A12818" t="s">
        <v>557</v>
      </c>
      <c r="B12818" t="s">
        <v>757</v>
      </c>
      <c r="C12818" t="s">
        <v>695</v>
      </c>
      <c r="D12818" s="230">
        <v>-5069.84</v>
      </c>
      <c r="E12818" t="s">
        <v>586</v>
      </c>
    </row>
    <row r="12819" spans="1:5" hidden="1" x14ac:dyDescent="0.3">
      <c r="A12819" t="s">
        <v>557</v>
      </c>
      <c r="B12819" t="s">
        <v>757</v>
      </c>
      <c r="C12819" t="s">
        <v>696</v>
      </c>
      <c r="D12819" s="230">
        <v>-1545.49</v>
      </c>
      <c r="E12819" t="s">
        <v>586</v>
      </c>
    </row>
    <row r="12820" spans="1:5" hidden="1" x14ac:dyDescent="0.3">
      <c r="A12820" t="s">
        <v>557</v>
      </c>
      <c r="B12820" t="s">
        <v>757</v>
      </c>
      <c r="C12820" t="s">
        <v>697</v>
      </c>
      <c r="D12820" s="230">
        <v>0</v>
      </c>
      <c r="E12820" t="s">
        <v>586</v>
      </c>
    </row>
    <row r="12821" spans="1:5" hidden="1" x14ac:dyDescent="0.3">
      <c r="A12821" t="s">
        <v>557</v>
      </c>
      <c r="B12821" t="s">
        <v>757</v>
      </c>
      <c r="C12821" t="s">
        <v>698</v>
      </c>
      <c r="D12821" s="230">
        <v>-207.65</v>
      </c>
      <c r="E12821" t="s">
        <v>586</v>
      </c>
    </row>
    <row r="12822" spans="1:5" hidden="1" x14ac:dyDescent="0.3">
      <c r="A12822" t="s">
        <v>557</v>
      </c>
      <c r="B12822" t="s">
        <v>757</v>
      </c>
      <c r="C12822" t="s">
        <v>699</v>
      </c>
      <c r="D12822" s="230">
        <v>0</v>
      </c>
      <c r="E12822" t="s">
        <v>586</v>
      </c>
    </row>
    <row r="12823" spans="1:5" hidden="1" x14ac:dyDescent="0.3">
      <c r="A12823" t="s">
        <v>557</v>
      </c>
      <c r="B12823" t="s">
        <v>757</v>
      </c>
      <c r="C12823" t="s">
        <v>245</v>
      </c>
      <c r="D12823" s="230">
        <v>-14927.93</v>
      </c>
      <c r="E12823" t="s">
        <v>586</v>
      </c>
    </row>
    <row r="12824" spans="1:5" hidden="1" x14ac:dyDescent="0.3">
      <c r="A12824" t="s">
        <v>557</v>
      </c>
      <c r="B12824" t="s">
        <v>757</v>
      </c>
      <c r="C12824" t="s">
        <v>700</v>
      </c>
      <c r="D12824" s="230">
        <v>0</v>
      </c>
      <c r="E12824" t="s">
        <v>586</v>
      </c>
    </row>
    <row r="12825" spans="1:5" hidden="1" x14ac:dyDescent="0.3">
      <c r="A12825" t="s">
        <v>557</v>
      </c>
      <c r="B12825" t="s">
        <v>757</v>
      </c>
      <c r="C12825" t="s">
        <v>701</v>
      </c>
      <c r="D12825" s="230">
        <v>-993.13</v>
      </c>
      <c r="E12825" t="s">
        <v>586</v>
      </c>
    </row>
    <row r="12826" spans="1:5" hidden="1" x14ac:dyDescent="0.3">
      <c r="A12826" t="s">
        <v>557</v>
      </c>
      <c r="B12826" t="s">
        <v>757</v>
      </c>
      <c r="C12826" t="s">
        <v>702</v>
      </c>
      <c r="D12826" s="230">
        <v>0</v>
      </c>
      <c r="E12826" t="s">
        <v>586</v>
      </c>
    </row>
    <row r="12827" spans="1:5" hidden="1" x14ac:dyDescent="0.3">
      <c r="A12827" t="s">
        <v>557</v>
      </c>
      <c r="B12827" t="s">
        <v>757</v>
      </c>
      <c r="C12827" t="s">
        <v>703</v>
      </c>
      <c r="D12827" s="230">
        <v>0</v>
      </c>
      <c r="E12827" t="s">
        <v>586</v>
      </c>
    </row>
    <row r="12828" spans="1:5" hidden="1" x14ac:dyDescent="0.3">
      <c r="A12828" t="s">
        <v>557</v>
      </c>
      <c r="B12828" t="s">
        <v>757</v>
      </c>
      <c r="C12828" t="s">
        <v>704</v>
      </c>
      <c r="D12828" s="230">
        <v>0</v>
      </c>
      <c r="E12828" t="s">
        <v>586</v>
      </c>
    </row>
    <row r="12829" spans="1:5" hidden="1" x14ac:dyDescent="0.3">
      <c r="A12829" t="s">
        <v>557</v>
      </c>
      <c r="B12829" t="s">
        <v>757</v>
      </c>
      <c r="C12829" t="s">
        <v>705</v>
      </c>
      <c r="D12829" s="230">
        <v>-13934.8</v>
      </c>
      <c r="E12829" t="s">
        <v>586</v>
      </c>
    </row>
    <row r="12830" spans="1:5" hidden="1" x14ac:dyDescent="0.3">
      <c r="A12830" t="s">
        <v>557</v>
      </c>
      <c r="B12830" t="s">
        <v>757</v>
      </c>
      <c r="C12830" t="s">
        <v>706</v>
      </c>
      <c r="D12830" s="230">
        <v>0</v>
      </c>
      <c r="E12830" t="s">
        <v>586</v>
      </c>
    </row>
    <row r="12831" spans="1:5" hidden="1" x14ac:dyDescent="0.3">
      <c r="A12831" t="s">
        <v>557</v>
      </c>
      <c r="B12831" t="s">
        <v>757</v>
      </c>
      <c r="C12831" t="s">
        <v>254</v>
      </c>
      <c r="D12831" s="230">
        <v>-0.26</v>
      </c>
      <c r="E12831" t="s">
        <v>586</v>
      </c>
    </row>
    <row r="12832" spans="1:5" hidden="1" x14ac:dyDescent="0.3">
      <c r="A12832" t="s">
        <v>557</v>
      </c>
      <c r="B12832" t="s">
        <v>757</v>
      </c>
      <c r="C12832" t="s">
        <v>255</v>
      </c>
      <c r="D12832" s="230">
        <v>-0.26</v>
      </c>
      <c r="E12832" t="s">
        <v>586</v>
      </c>
    </row>
    <row r="12833" spans="1:5" hidden="1" x14ac:dyDescent="0.3">
      <c r="A12833" t="s">
        <v>557</v>
      </c>
      <c r="B12833" t="s">
        <v>757</v>
      </c>
      <c r="C12833" t="s">
        <v>256</v>
      </c>
      <c r="D12833" s="230">
        <v>-54857.88</v>
      </c>
      <c r="E12833" t="s">
        <v>586</v>
      </c>
    </row>
    <row r="12834" spans="1:5" hidden="1" x14ac:dyDescent="0.3">
      <c r="A12834" t="s">
        <v>557</v>
      </c>
      <c r="B12834" t="s">
        <v>757</v>
      </c>
      <c r="C12834" t="s">
        <v>257</v>
      </c>
      <c r="D12834" s="230">
        <v>-52009.55</v>
      </c>
      <c r="E12834" t="s">
        <v>586</v>
      </c>
    </row>
    <row r="12835" spans="1:5" hidden="1" x14ac:dyDescent="0.3">
      <c r="A12835" t="s">
        <v>557</v>
      </c>
      <c r="B12835" t="s">
        <v>757</v>
      </c>
      <c r="C12835" t="s">
        <v>258</v>
      </c>
      <c r="D12835" s="230">
        <v>0</v>
      </c>
      <c r="E12835" t="s">
        <v>586</v>
      </c>
    </row>
    <row r="12836" spans="1:5" hidden="1" x14ac:dyDescent="0.3">
      <c r="A12836" t="s">
        <v>557</v>
      </c>
      <c r="B12836" t="s">
        <v>757</v>
      </c>
      <c r="C12836" t="s">
        <v>259</v>
      </c>
      <c r="D12836" s="230">
        <v>-2848.33</v>
      </c>
      <c r="E12836" t="s">
        <v>586</v>
      </c>
    </row>
    <row r="12837" spans="1:5" hidden="1" x14ac:dyDescent="0.3">
      <c r="A12837" t="s">
        <v>557</v>
      </c>
      <c r="B12837" t="s">
        <v>757</v>
      </c>
      <c r="C12837" t="s">
        <v>260</v>
      </c>
      <c r="D12837" s="230">
        <v>0</v>
      </c>
      <c r="E12837" t="s">
        <v>586</v>
      </c>
    </row>
    <row r="12838" spans="1:5" hidden="1" x14ac:dyDescent="0.3">
      <c r="A12838" t="s">
        <v>557</v>
      </c>
      <c r="B12838" t="s">
        <v>757</v>
      </c>
      <c r="C12838" t="s">
        <v>261</v>
      </c>
      <c r="D12838" s="230">
        <v>0</v>
      </c>
      <c r="E12838" t="s">
        <v>586</v>
      </c>
    </row>
    <row r="12839" spans="1:5" hidden="1" x14ac:dyDescent="0.3">
      <c r="A12839" t="s">
        <v>557</v>
      </c>
      <c r="B12839" t="s">
        <v>757</v>
      </c>
      <c r="C12839" t="s">
        <v>262</v>
      </c>
      <c r="D12839" s="230">
        <v>0</v>
      </c>
      <c r="E12839" t="s">
        <v>586</v>
      </c>
    </row>
    <row r="12840" spans="1:5" hidden="1" x14ac:dyDescent="0.3">
      <c r="A12840" t="s">
        <v>557</v>
      </c>
      <c r="B12840" t="s">
        <v>757</v>
      </c>
      <c r="C12840" t="s">
        <v>263</v>
      </c>
      <c r="D12840" s="230">
        <v>0</v>
      </c>
      <c r="E12840" t="s">
        <v>586</v>
      </c>
    </row>
    <row r="12841" spans="1:5" hidden="1" x14ac:dyDescent="0.3">
      <c r="A12841" t="s">
        <v>557</v>
      </c>
      <c r="B12841" t="s">
        <v>757</v>
      </c>
      <c r="C12841" t="s">
        <v>44</v>
      </c>
      <c r="D12841" s="230">
        <v>-0.13</v>
      </c>
      <c r="E12841" t="s">
        <v>586</v>
      </c>
    </row>
    <row r="12842" spans="1:5" hidden="1" x14ac:dyDescent="0.3">
      <c r="A12842" t="s">
        <v>557</v>
      </c>
      <c r="B12842" t="s">
        <v>757</v>
      </c>
      <c r="C12842" t="s">
        <v>264</v>
      </c>
      <c r="D12842" s="230">
        <v>-40249.24</v>
      </c>
      <c r="E12842" t="s">
        <v>586</v>
      </c>
    </row>
    <row r="12843" spans="1:5" hidden="1" x14ac:dyDescent="0.3">
      <c r="A12843" t="s">
        <v>557</v>
      </c>
      <c r="B12843" t="s">
        <v>757</v>
      </c>
      <c r="C12843" t="s">
        <v>265</v>
      </c>
      <c r="D12843" s="230">
        <v>-5595.23</v>
      </c>
      <c r="E12843" t="s">
        <v>586</v>
      </c>
    </row>
    <row r="12844" spans="1:5" hidden="1" x14ac:dyDescent="0.3">
      <c r="A12844" t="s">
        <v>557</v>
      </c>
      <c r="B12844" t="s">
        <v>757</v>
      </c>
      <c r="C12844" t="s">
        <v>266</v>
      </c>
      <c r="D12844" s="230">
        <v>-12084.36</v>
      </c>
      <c r="E12844" t="s">
        <v>586</v>
      </c>
    </row>
    <row r="12845" spans="1:5" hidden="1" x14ac:dyDescent="0.3">
      <c r="A12845" t="s">
        <v>557</v>
      </c>
      <c r="B12845" t="s">
        <v>757</v>
      </c>
      <c r="C12845" t="s">
        <v>267</v>
      </c>
      <c r="D12845" s="230">
        <v>-5086.5200000000004</v>
      </c>
      <c r="E12845" t="s">
        <v>586</v>
      </c>
    </row>
    <row r="12846" spans="1:5" hidden="1" x14ac:dyDescent="0.3">
      <c r="A12846" t="s">
        <v>557</v>
      </c>
      <c r="B12846" t="s">
        <v>757</v>
      </c>
      <c r="C12846" t="s">
        <v>268</v>
      </c>
      <c r="D12846" s="230">
        <v>-5823.75</v>
      </c>
      <c r="E12846" t="s">
        <v>586</v>
      </c>
    </row>
    <row r="12847" spans="1:5" hidden="1" x14ac:dyDescent="0.3">
      <c r="A12847" t="s">
        <v>557</v>
      </c>
      <c r="B12847" t="s">
        <v>757</v>
      </c>
      <c r="C12847" t="s">
        <v>269</v>
      </c>
      <c r="D12847" s="230">
        <v>0</v>
      </c>
      <c r="E12847" t="s">
        <v>586</v>
      </c>
    </row>
    <row r="12848" spans="1:5" hidden="1" x14ac:dyDescent="0.3">
      <c r="A12848" t="s">
        <v>557</v>
      </c>
      <c r="B12848" t="s">
        <v>757</v>
      </c>
      <c r="C12848" t="s">
        <v>270</v>
      </c>
      <c r="D12848" s="230">
        <v>-550</v>
      </c>
      <c r="E12848" t="s">
        <v>586</v>
      </c>
    </row>
    <row r="12849" spans="1:5" hidden="1" x14ac:dyDescent="0.3">
      <c r="A12849" t="s">
        <v>557</v>
      </c>
      <c r="B12849" t="s">
        <v>757</v>
      </c>
      <c r="C12849" t="s">
        <v>271</v>
      </c>
      <c r="D12849" s="230">
        <v>-784.7</v>
      </c>
      <c r="E12849" t="s">
        <v>586</v>
      </c>
    </row>
    <row r="12850" spans="1:5" hidden="1" x14ac:dyDescent="0.3">
      <c r="A12850" t="s">
        <v>557</v>
      </c>
      <c r="B12850" t="s">
        <v>757</v>
      </c>
      <c r="C12850" t="s">
        <v>272</v>
      </c>
      <c r="D12850" s="230">
        <v>-2379.36</v>
      </c>
      <c r="E12850" t="s">
        <v>586</v>
      </c>
    </row>
    <row r="12851" spans="1:5" hidden="1" x14ac:dyDescent="0.3">
      <c r="A12851" t="s">
        <v>557</v>
      </c>
      <c r="B12851" t="s">
        <v>757</v>
      </c>
      <c r="C12851" t="s">
        <v>273</v>
      </c>
      <c r="D12851" s="230">
        <v>-25</v>
      </c>
      <c r="E12851" t="s">
        <v>586</v>
      </c>
    </row>
    <row r="12852" spans="1:5" hidden="1" x14ac:dyDescent="0.3">
      <c r="A12852" t="s">
        <v>557</v>
      </c>
      <c r="B12852" t="s">
        <v>757</v>
      </c>
      <c r="C12852" t="s">
        <v>274</v>
      </c>
      <c r="D12852" s="230">
        <v>0</v>
      </c>
      <c r="E12852" t="s">
        <v>586</v>
      </c>
    </row>
    <row r="12853" spans="1:5" hidden="1" x14ac:dyDescent="0.3">
      <c r="A12853" t="s">
        <v>557</v>
      </c>
      <c r="B12853" t="s">
        <v>757</v>
      </c>
      <c r="C12853" t="s">
        <v>275</v>
      </c>
      <c r="D12853" s="230">
        <v>-2634.62</v>
      </c>
      <c r="E12853" t="s">
        <v>586</v>
      </c>
    </row>
    <row r="12854" spans="1:5" hidden="1" x14ac:dyDescent="0.3">
      <c r="A12854" t="s">
        <v>557</v>
      </c>
      <c r="B12854" t="s">
        <v>757</v>
      </c>
      <c r="C12854" t="s">
        <v>276</v>
      </c>
      <c r="D12854" s="230">
        <v>-1637</v>
      </c>
      <c r="E12854" t="s">
        <v>586</v>
      </c>
    </row>
    <row r="12855" spans="1:5" hidden="1" x14ac:dyDescent="0.3">
      <c r="A12855" t="s">
        <v>557</v>
      </c>
      <c r="B12855" t="s">
        <v>757</v>
      </c>
      <c r="C12855" t="s">
        <v>277</v>
      </c>
      <c r="D12855" s="230">
        <v>-782</v>
      </c>
      <c r="E12855" t="s">
        <v>586</v>
      </c>
    </row>
    <row r="12856" spans="1:5" hidden="1" x14ac:dyDescent="0.3">
      <c r="A12856" t="s">
        <v>557</v>
      </c>
      <c r="B12856" t="s">
        <v>757</v>
      </c>
      <c r="C12856" t="s">
        <v>278</v>
      </c>
      <c r="D12856" s="230">
        <v>-2866.7</v>
      </c>
      <c r="E12856" t="s">
        <v>586</v>
      </c>
    </row>
    <row r="12857" spans="1:5" hidden="1" x14ac:dyDescent="0.3">
      <c r="A12857" t="s">
        <v>557</v>
      </c>
      <c r="B12857" t="s">
        <v>757</v>
      </c>
      <c r="C12857" t="s">
        <v>44</v>
      </c>
      <c r="D12857" s="230">
        <v>-0.09</v>
      </c>
      <c r="E12857" t="s">
        <v>586</v>
      </c>
    </row>
    <row r="12858" spans="1:5" hidden="1" x14ac:dyDescent="0.3">
      <c r="A12858" t="s">
        <v>557</v>
      </c>
      <c r="B12858" t="s">
        <v>757</v>
      </c>
      <c r="C12858" t="s">
        <v>279</v>
      </c>
      <c r="D12858" s="230">
        <v>-5728.18</v>
      </c>
      <c r="E12858" t="s">
        <v>586</v>
      </c>
    </row>
    <row r="12859" spans="1:5" hidden="1" x14ac:dyDescent="0.3">
      <c r="A12859" t="s">
        <v>557</v>
      </c>
      <c r="B12859" t="s">
        <v>757</v>
      </c>
      <c r="C12859" t="s">
        <v>280</v>
      </c>
      <c r="D12859" s="230">
        <v>-199.95</v>
      </c>
      <c r="E12859" t="s">
        <v>586</v>
      </c>
    </row>
    <row r="12860" spans="1:5" hidden="1" x14ac:dyDescent="0.3">
      <c r="A12860" t="s">
        <v>557</v>
      </c>
      <c r="B12860" t="s">
        <v>757</v>
      </c>
      <c r="C12860" t="s">
        <v>281</v>
      </c>
      <c r="D12860" s="230">
        <v>-597.09</v>
      </c>
      <c r="E12860" t="s">
        <v>586</v>
      </c>
    </row>
    <row r="12861" spans="1:5" hidden="1" x14ac:dyDescent="0.3">
      <c r="A12861" t="s">
        <v>557</v>
      </c>
      <c r="B12861" t="s">
        <v>757</v>
      </c>
      <c r="C12861" t="s">
        <v>282</v>
      </c>
      <c r="D12861" s="230">
        <v>-348.97</v>
      </c>
      <c r="E12861" t="s">
        <v>586</v>
      </c>
    </row>
    <row r="12862" spans="1:5" hidden="1" x14ac:dyDescent="0.3">
      <c r="A12862" t="s">
        <v>557</v>
      </c>
      <c r="B12862" t="s">
        <v>757</v>
      </c>
      <c r="C12862" t="s">
        <v>283</v>
      </c>
      <c r="D12862" s="230">
        <v>-362.46</v>
      </c>
      <c r="E12862" t="s">
        <v>586</v>
      </c>
    </row>
    <row r="12863" spans="1:5" hidden="1" x14ac:dyDescent="0.3">
      <c r="A12863" t="s">
        <v>557</v>
      </c>
      <c r="B12863" t="s">
        <v>757</v>
      </c>
      <c r="C12863" t="s">
        <v>284</v>
      </c>
      <c r="D12863" s="230">
        <v>-3000</v>
      </c>
      <c r="E12863" t="s">
        <v>586</v>
      </c>
    </row>
    <row r="12864" spans="1:5" hidden="1" x14ac:dyDescent="0.3">
      <c r="A12864" t="s">
        <v>557</v>
      </c>
      <c r="B12864" t="s">
        <v>757</v>
      </c>
      <c r="C12864" t="s">
        <v>285</v>
      </c>
      <c r="D12864" s="230">
        <v>-389</v>
      </c>
      <c r="E12864" t="s">
        <v>586</v>
      </c>
    </row>
    <row r="12865" spans="1:5" hidden="1" x14ac:dyDescent="0.3">
      <c r="A12865" t="s">
        <v>557</v>
      </c>
      <c r="B12865" t="s">
        <v>757</v>
      </c>
      <c r="C12865" t="s">
        <v>286</v>
      </c>
      <c r="D12865" s="230">
        <v>-830.71</v>
      </c>
      <c r="E12865" t="s">
        <v>586</v>
      </c>
    </row>
    <row r="12866" spans="1:5" hidden="1" x14ac:dyDescent="0.3">
      <c r="A12866" t="s">
        <v>557</v>
      </c>
      <c r="B12866" t="s">
        <v>757</v>
      </c>
      <c r="C12866" t="s">
        <v>44</v>
      </c>
      <c r="D12866" s="230">
        <v>-0.01</v>
      </c>
      <c r="E12866" t="s">
        <v>586</v>
      </c>
    </row>
    <row r="12867" spans="1:5" hidden="1" x14ac:dyDescent="0.3">
      <c r="A12867" t="s">
        <v>557</v>
      </c>
      <c r="B12867" t="s">
        <v>757</v>
      </c>
      <c r="C12867" t="s">
        <v>287</v>
      </c>
      <c r="D12867" s="230">
        <v>-4414.28</v>
      </c>
      <c r="E12867" t="s">
        <v>586</v>
      </c>
    </row>
    <row r="12868" spans="1:5" hidden="1" x14ac:dyDescent="0.3">
      <c r="A12868" t="s">
        <v>557</v>
      </c>
      <c r="B12868" t="s">
        <v>757</v>
      </c>
      <c r="C12868" t="s">
        <v>288</v>
      </c>
      <c r="D12868" s="230">
        <v>-3900</v>
      </c>
      <c r="E12868" t="s">
        <v>586</v>
      </c>
    </row>
    <row r="12869" spans="1:5" hidden="1" x14ac:dyDescent="0.3">
      <c r="A12869" t="s">
        <v>557</v>
      </c>
      <c r="B12869" t="s">
        <v>757</v>
      </c>
      <c r="C12869" t="s">
        <v>289</v>
      </c>
      <c r="D12869" s="230">
        <v>-108.4</v>
      </c>
      <c r="E12869" t="s">
        <v>586</v>
      </c>
    </row>
    <row r="12870" spans="1:5" hidden="1" x14ac:dyDescent="0.3">
      <c r="A12870" t="s">
        <v>557</v>
      </c>
      <c r="B12870" t="s">
        <v>757</v>
      </c>
      <c r="C12870" t="s">
        <v>290</v>
      </c>
      <c r="D12870" s="230">
        <v>0</v>
      </c>
      <c r="E12870" t="s">
        <v>586</v>
      </c>
    </row>
    <row r="12871" spans="1:5" hidden="1" x14ac:dyDescent="0.3">
      <c r="A12871" t="s">
        <v>557</v>
      </c>
      <c r="B12871" t="s">
        <v>757</v>
      </c>
      <c r="C12871" t="s">
        <v>291</v>
      </c>
      <c r="D12871" s="230">
        <v>-232.43</v>
      </c>
      <c r="E12871" t="s">
        <v>586</v>
      </c>
    </row>
    <row r="12872" spans="1:5" hidden="1" x14ac:dyDescent="0.3">
      <c r="A12872" t="s">
        <v>557</v>
      </c>
      <c r="B12872" t="s">
        <v>757</v>
      </c>
      <c r="C12872" t="s">
        <v>292</v>
      </c>
      <c r="D12872" s="230">
        <v>0</v>
      </c>
      <c r="E12872" t="s">
        <v>586</v>
      </c>
    </row>
    <row r="12873" spans="1:5" hidden="1" x14ac:dyDescent="0.3">
      <c r="A12873" t="s">
        <v>557</v>
      </c>
      <c r="B12873" t="s">
        <v>757</v>
      </c>
      <c r="C12873" t="s">
        <v>293</v>
      </c>
      <c r="D12873" s="230">
        <v>-135.44999999999999</v>
      </c>
      <c r="E12873" t="s">
        <v>586</v>
      </c>
    </row>
    <row r="12874" spans="1:5" hidden="1" x14ac:dyDescent="0.3">
      <c r="A12874" t="s">
        <v>557</v>
      </c>
      <c r="B12874" t="s">
        <v>757</v>
      </c>
      <c r="C12874" t="s">
        <v>294</v>
      </c>
      <c r="D12874" s="230">
        <v>-38</v>
      </c>
      <c r="E12874" t="s">
        <v>586</v>
      </c>
    </row>
    <row r="12875" spans="1:5" hidden="1" x14ac:dyDescent="0.3">
      <c r="A12875" t="s">
        <v>557</v>
      </c>
      <c r="B12875" t="s">
        <v>757</v>
      </c>
      <c r="C12875" t="s">
        <v>295</v>
      </c>
      <c r="D12875" s="230">
        <v>0</v>
      </c>
      <c r="E12875" t="s">
        <v>586</v>
      </c>
    </row>
    <row r="12876" spans="1:5" hidden="1" x14ac:dyDescent="0.3">
      <c r="A12876" t="s">
        <v>557</v>
      </c>
      <c r="B12876" t="s">
        <v>757</v>
      </c>
      <c r="C12876" t="s">
        <v>44</v>
      </c>
      <c r="D12876" s="230">
        <v>-0.01</v>
      </c>
      <c r="E12876" t="s">
        <v>586</v>
      </c>
    </row>
    <row r="12877" spans="1:5" hidden="1" x14ac:dyDescent="0.3">
      <c r="A12877" t="s">
        <v>557</v>
      </c>
      <c r="B12877" t="s">
        <v>757</v>
      </c>
      <c r="C12877" t="s">
        <v>296</v>
      </c>
      <c r="D12877" s="230">
        <v>-8597.56</v>
      </c>
      <c r="E12877" t="s">
        <v>586</v>
      </c>
    </row>
    <row r="12878" spans="1:5" hidden="1" x14ac:dyDescent="0.3">
      <c r="A12878" t="s">
        <v>557</v>
      </c>
      <c r="B12878" t="s">
        <v>757</v>
      </c>
      <c r="C12878" t="s">
        <v>297</v>
      </c>
      <c r="D12878" s="230">
        <v>-4000</v>
      </c>
      <c r="E12878" t="s">
        <v>586</v>
      </c>
    </row>
    <row r="12879" spans="1:5" hidden="1" x14ac:dyDescent="0.3">
      <c r="A12879" t="s">
        <v>557</v>
      </c>
      <c r="B12879" t="s">
        <v>757</v>
      </c>
      <c r="C12879" t="s">
        <v>298</v>
      </c>
      <c r="D12879" s="230">
        <v>-500</v>
      </c>
      <c r="E12879" t="s">
        <v>586</v>
      </c>
    </row>
    <row r="12880" spans="1:5" hidden="1" x14ac:dyDescent="0.3">
      <c r="A12880" t="s">
        <v>557</v>
      </c>
      <c r="B12880" t="s">
        <v>757</v>
      </c>
      <c r="C12880" t="s">
        <v>299</v>
      </c>
      <c r="D12880" s="230">
        <v>0</v>
      </c>
      <c r="E12880" t="s">
        <v>586</v>
      </c>
    </row>
    <row r="12881" spans="1:5" hidden="1" x14ac:dyDescent="0.3">
      <c r="A12881" t="s">
        <v>557</v>
      </c>
      <c r="B12881" t="s">
        <v>757</v>
      </c>
      <c r="C12881" t="s">
        <v>300</v>
      </c>
      <c r="D12881" s="230">
        <v>0</v>
      </c>
      <c r="E12881" t="s">
        <v>586</v>
      </c>
    </row>
    <row r="12882" spans="1:5" hidden="1" x14ac:dyDescent="0.3">
      <c r="A12882" t="s">
        <v>557</v>
      </c>
      <c r="B12882" t="s">
        <v>757</v>
      </c>
      <c r="C12882" t="s">
        <v>301</v>
      </c>
      <c r="D12882" s="230">
        <v>-1846.58</v>
      </c>
      <c r="E12882" t="s">
        <v>586</v>
      </c>
    </row>
    <row r="12883" spans="1:5" hidden="1" x14ac:dyDescent="0.3">
      <c r="A12883" t="s">
        <v>557</v>
      </c>
      <c r="B12883" t="s">
        <v>757</v>
      </c>
      <c r="C12883" t="s">
        <v>302</v>
      </c>
      <c r="D12883" s="230">
        <v>0</v>
      </c>
      <c r="E12883" t="s">
        <v>586</v>
      </c>
    </row>
    <row r="12884" spans="1:5" hidden="1" x14ac:dyDescent="0.3">
      <c r="A12884" t="s">
        <v>557</v>
      </c>
      <c r="B12884" t="s">
        <v>757</v>
      </c>
      <c r="C12884" t="s">
        <v>303</v>
      </c>
      <c r="D12884" s="230">
        <v>-700</v>
      </c>
      <c r="E12884" t="s">
        <v>586</v>
      </c>
    </row>
    <row r="12885" spans="1:5" hidden="1" x14ac:dyDescent="0.3">
      <c r="A12885" t="s">
        <v>557</v>
      </c>
      <c r="B12885" t="s">
        <v>757</v>
      </c>
      <c r="C12885" t="s">
        <v>304</v>
      </c>
      <c r="D12885" s="230">
        <v>-773.1</v>
      </c>
      <c r="E12885" t="s">
        <v>586</v>
      </c>
    </row>
    <row r="12886" spans="1:5" hidden="1" x14ac:dyDescent="0.3">
      <c r="A12886" t="s">
        <v>557</v>
      </c>
      <c r="B12886" t="s">
        <v>757</v>
      </c>
      <c r="C12886" t="s">
        <v>305</v>
      </c>
      <c r="D12886" s="230">
        <v>0</v>
      </c>
      <c r="E12886" t="s">
        <v>586</v>
      </c>
    </row>
    <row r="12887" spans="1:5" hidden="1" x14ac:dyDescent="0.3">
      <c r="A12887" t="s">
        <v>557</v>
      </c>
      <c r="B12887" t="s">
        <v>757</v>
      </c>
      <c r="C12887" t="s">
        <v>306</v>
      </c>
      <c r="D12887" s="230">
        <v>0</v>
      </c>
      <c r="E12887" t="s">
        <v>586</v>
      </c>
    </row>
    <row r="12888" spans="1:5" hidden="1" x14ac:dyDescent="0.3">
      <c r="A12888" t="s">
        <v>557</v>
      </c>
      <c r="B12888" t="s">
        <v>757</v>
      </c>
      <c r="C12888" t="s">
        <v>307</v>
      </c>
      <c r="D12888" s="230">
        <v>-777.88</v>
      </c>
      <c r="E12888" t="s">
        <v>586</v>
      </c>
    </row>
    <row r="12889" spans="1:5" hidden="1" x14ac:dyDescent="0.3">
      <c r="A12889" t="s">
        <v>557</v>
      </c>
      <c r="B12889" t="s">
        <v>757</v>
      </c>
      <c r="C12889" t="s">
        <v>44</v>
      </c>
      <c r="D12889" s="230">
        <v>-0.02</v>
      </c>
      <c r="E12889" t="s">
        <v>586</v>
      </c>
    </row>
    <row r="12890" spans="1:5" hidden="1" x14ac:dyDescent="0.3">
      <c r="A12890" t="s">
        <v>557</v>
      </c>
      <c r="B12890" t="s">
        <v>757</v>
      </c>
      <c r="C12890" t="s">
        <v>308</v>
      </c>
      <c r="D12890" s="230">
        <v>-5648.76</v>
      </c>
      <c r="E12890" t="s">
        <v>586</v>
      </c>
    </row>
    <row r="12891" spans="1:5" hidden="1" x14ac:dyDescent="0.3">
      <c r="A12891" t="s">
        <v>557</v>
      </c>
      <c r="B12891" t="s">
        <v>757</v>
      </c>
      <c r="C12891" t="s">
        <v>309</v>
      </c>
      <c r="D12891" s="230">
        <v>-3252.28</v>
      </c>
      <c r="E12891" t="s">
        <v>586</v>
      </c>
    </row>
    <row r="12892" spans="1:5" hidden="1" x14ac:dyDescent="0.3">
      <c r="A12892" t="s">
        <v>557</v>
      </c>
      <c r="B12892" t="s">
        <v>757</v>
      </c>
      <c r="C12892" t="s">
        <v>310</v>
      </c>
      <c r="D12892" s="230">
        <v>0</v>
      </c>
      <c r="E12892" t="s">
        <v>586</v>
      </c>
    </row>
    <row r="12893" spans="1:5" hidden="1" x14ac:dyDescent="0.3">
      <c r="A12893" t="s">
        <v>557</v>
      </c>
      <c r="B12893" t="s">
        <v>757</v>
      </c>
      <c r="C12893" t="s">
        <v>311</v>
      </c>
      <c r="D12893" s="230">
        <v>-1473.13</v>
      </c>
      <c r="E12893" t="s">
        <v>586</v>
      </c>
    </row>
    <row r="12894" spans="1:5" hidden="1" x14ac:dyDescent="0.3">
      <c r="A12894" t="s">
        <v>557</v>
      </c>
      <c r="B12894" t="s">
        <v>757</v>
      </c>
      <c r="C12894" t="s">
        <v>312</v>
      </c>
      <c r="D12894" s="230">
        <v>-185</v>
      </c>
      <c r="E12894" t="s">
        <v>586</v>
      </c>
    </row>
    <row r="12895" spans="1:5" hidden="1" x14ac:dyDescent="0.3">
      <c r="A12895" t="s">
        <v>557</v>
      </c>
      <c r="B12895" t="s">
        <v>757</v>
      </c>
      <c r="C12895" t="s">
        <v>313</v>
      </c>
      <c r="D12895" s="230">
        <v>0</v>
      </c>
      <c r="E12895" t="s">
        <v>586</v>
      </c>
    </row>
    <row r="12896" spans="1:5" hidden="1" x14ac:dyDescent="0.3">
      <c r="A12896" t="s">
        <v>557</v>
      </c>
      <c r="B12896" t="s">
        <v>757</v>
      </c>
      <c r="C12896" t="s">
        <v>314</v>
      </c>
      <c r="D12896" s="230">
        <v>-738.35</v>
      </c>
      <c r="E12896" t="s">
        <v>586</v>
      </c>
    </row>
    <row r="12897" spans="1:5" hidden="1" x14ac:dyDescent="0.3">
      <c r="A12897" t="s">
        <v>557</v>
      </c>
      <c r="B12897" t="s">
        <v>757</v>
      </c>
      <c r="C12897" t="s">
        <v>315</v>
      </c>
      <c r="D12897" s="230">
        <v>0</v>
      </c>
      <c r="E12897" t="s">
        <v>586</v>
      </c>
    </row>
    <row r="12898" spans="1:5" hidden="1" x14ac:dyDescent="0.3">
      <c r="A12898" t="s">
        <v>557</v>
      </c>
      <c r="B12898" t="s">
        <v>757</v>
      </c>
      <c r="C12898" t="s">
        <v>316</v>
      </c>
      <c r="D12898" s="230">
        <v>0</v>
      </c>
      <c r="E12898" t="s">
        <v>586</v>
      </c>
    </row>
    <row r="12899" spans="1:5" hidden="1" x14ac:dyDescent="0.3">
      <c r="A12899" t="s">
        <v>557</v>
      </c>
      <c r="B12899" t="s">
        <v>757</v>
      </c>
      <c r="C12899" t="s">
        <v>317</v>
      </c>
      <c r="D12899" s="230">
        <v>0</v>
      </c>
      <c r="E12899" t="s">
        <v>586</v>
      </c>
    </row>
    <row r="12900" spans="1:5" hidden="1" x14ac:dyDescent="0.3">
      <c r="A12900" t="s">
        <v>557</v>
      </c>
      <c r="B12900" t="s">
        <v>757</v>
      </c>
      <c r="C12900" t="s">
        <v>44</v>
      </c>
      <c r="D12900" s="230">
        <v>-0.01</v>
      </c>
      <c r="E12900" t="s">
        <v>586</v>
      </c>
    </row>
    <row r="12901" spans="1:5" hidden="1" x14ac:dyDescent="0.3">
      <c r="A12901" t="s">
        <v>557</v>
      </c>
      <c r="B12901" t="s">
        <v>757</v>
      </c>
      <c r="C12901" t="s">
        <v>318</v>
      </c>
      <c r="D12901" s="230">
        <v>-2236.1799999999998</v>
      </c>
      <c r="E12901" t="s">
        <v>586</v>
      </c>
    </row>
    <row r="12902" spans="1:5" hidden="1" x14ac:dyDescent="0.3">
      <c r="A12902" t="s">
        <v>557</v>
      </c>
      <c r="B12902" t="s">
        <v>757</v>
      </c>
      <c r="C12902" t="s">
        <v>319</v>
      </c>
      <c r="D12902" s="230">
        <v>-1764</v>
      </c>
      <c r="E12902" t="s">
        <v>586</v>
      </c>
    </row>
    <row r="12903" spans="1:5" hidden="1" x14ac:dyDescent="0.3">
      <c r="A12903" t="s">
        <v>557</v>
      </c>
      <c r="B12903" t="s">
        <v>757</v>
      </c>
      <c r="C12903" t="s">
        <v>320</v>
      </c>
      <c r="D12903" s="230">
        <v>-272.18</v>
      </c>
      <c r="E12903" t="s">
        <v>586</v>
      </c>
    </row>
    <row r="12904" spans="1:5" hidden="1" x14ac:dyDescent="0.3">
      <c r="A12904" t="s">
        <v>557</v>
      </c>
      <c r="B12904" t="s">
        <v>757</v>
      </c>
      <c r="C12904" t="s">
        <v>321</v>
      </c>
      <c r="D12904" s="230">
        <v>-200</v>
      </c>
      <c r="E12904" t="s">
        <v>586</v>
      </c>
    </row>
    <row r="12905" spans="1:5" hidden="1" x14ac:dyDescent="0.3">
      <c r="A12905" t="s">
        <v>557</v>
      </c>
      <c r="B12905" t="s">
        <v>757</v>
      </c>
      <c r="C12905" t="s">
        <v>322</v>
      </c>
      <c r="D12905" s="230">
        <v>0</v>
      </c>
      <c r="E12905" t="s">
        <v>586</v>
      </c>
    </row>
    <row r="12906" spans="1:5" hidden="1" x14ac:dyDescent="0.3">
      <c r="A12906" t="s">
        <v>557</v>
      </c>
      <c r="B12906" t="s">
        <v>757</v>
      </c>
      <c r="C12906" t="s">
        <v>44</v>
      </c>
      <c r="D12906" s="230">
        <v>-0.01</v>
      </c>
      <c r="E12906" t="s">
        <v>586</v>
      </c>
    </row>
    <row r="12907" spans="1:5" hidden="1" x14ac:dyDescent="0.3">
      <c r="A12907" t="s">
        <v>557</v>
      </c>
      <c r="B12907" t="s">
        <v>757</v>
      </c>
      <c r="C12907" t="s">
        <v>323</v>
      </c>
      <c r="D12907" s="230">
        <v>-21189.9</v>
      </c>
      <c r="E12907" t="s">
        <v>586</v>
      </c>
    </row>
    <row r="12908" spans="1:5" hidden="1" x14ac:dyDescent="0.3">
      <c r="A12908" t="s">
        <v>557</v>
      </c>
      <c r="B12908" t="s">
        <v>757</v>
      </c>
      <c r="C12908" t="s">
        <v>324</v>
      </c>
      <c r="D12908" s="230">
        <v>0</v>
      </c>
      <c r="E12908" t="s">
        <v>586</v>
      </c>
    </row>
    <row r="12909" spans="1:5" hidden="1" x14ac:dyDescent="0.3">
      <c r="A12909" t="s">
        <v>557</v>
      </c>
      <c r="B12909" t="s">
        <v>757</v>
      </c>
      <c r="C12909" t="s">
        <v>325</v>
      </c>
      <c r="D12909" s="230">
        <v>0</v>
      </c>
      <c r="E12909" t="s">
        <v>586</v>
      </c>
    </row>
    <row r="12910" spans="1:5" hidden="1" x14ac:dyDescent="0.3">
      <c r="A12910" t="s">
        <v>557</v>
      </c>
      <c r="B12910" t="s">
        <v>757</v>
      </c>
      <c r="C12910" t="s">
        <v>326</v>
      </c>
      <c r="D12910" s="230">
        <v>-21189.9</v>
      </c>
      <c r="E12910" t="s">
        <v>586</v>
      </c>
    </row>
    <row r="12911" spans="1:5" hidden="1" x14ac:dyDescent="0.3">
      <c r="A12911" t="s">
        <v>557</v>
      </c>
      <c r="B12911" t="s">
        <v>757</v>
      </c>
      <c r="C12911" t="s">
        <v>44</v>
      </c>
      <c r="D12911" s="230">
        <v>-0.05</v>
      </c>
      <c r="E12911" t="s">
        <v>586</v>
      </c>
    </row>
    <row r="12912" spans="1:5" hidden="1" x14ac:dyDescent="0.3">
      <c r="A12912" t="s">
        <v>557</v>
      </c>
      <c r="B12912" t="s">
        <v>757</v>
      </c>
      <c r="C12912" t="s">
        <v>328</v>
      </c>
      <c r="D12912" s="230">
        <v>-251554.62</v>
      </c>
      <c r="E12912" t="s">
        <v>586</v>
      </c>
    </row>
    <row r="12913" spans="1:5" hidden="1" x14ac:dyDescent="0.3">
      <c r="A12913" t="s">
        <v>557</v>
      </c>
      <c r="B12913" t="s">
        <v>757</v>
      </c>
      <c r="C12913" t="s">
        <v>44</v>
      </c>
      <c r="D12913" s="230">
        <v>-0.59</v>
      </c>
      <c r="E12913" t="s">
        <v>586</v>
      </c>
    </row>
    <row r="12914" spans="1:5" hidden="1" x14ac:dyDescent="0.3">
      <c r="A12914" t="s">
        <v>557</v>
      </c>
      <c r="B12914" t="s">
        <v>757</v>
      </c>
      <c r="C12914" t="s">
        <v>329</v>
      </c>
      <c r="D12914" s="230">
        <v>-27148.43</v>
      </c>
      <c r="E12914" t="s">
        <v>586</v>
      </c>
    </row>
    <row r="12915" spans="1:5" hidden="1" x14ac:dyDescent="0.3">
      <c r="A12915" t="s">
        <v>557</v>
      </c>
      <c r="B12915" t="s">
        <v>757</v>
      </c>
      <c r="C12915" t="s">
        <v>44</v>
      </c>
      <c r="D12915" s="230">
        <v>-0.06</v>
      </c>
      <c r="E12915" t="s">
        <v>586</v>
      </c>
    </row>
    <row r="12916" spans="1:5" hidden="1" x14ac:dyDescent="0.3">
      <c r="A12916" t="s">
        <v>557</v>
      </c>
      <c r="B12916" t="s">
        <v>757</v>
      </c>
      <c r="C12916" t="s">
        <v>330</v>
      </c>
      <c r="D12916" s="230">
        <v>0</v>
      </c>
      <c r="E12916" t="s">
        <v>586</v>
      </c>
    </row>
    <row r="12917" spans="1:5" hidden="1" x14ac:dyDescent="0.3">
      <c r="A12917" t="s">
        <v>557</v>
      </c>
      <c r="B12917" t="s">
        <v>757</v>
      </c>
      <c r="C12917" t="s">
        <v>332</v>
      </c>
      <c r="D12917" s="230">
        <v>-27148.43</v>
      </c>
      <c r="E12917" t="s">
        <v>586</v>
      </c>
    </row>
    <row r="12918" spans="1:5" hidden="1" x14ac:dyDescent="0.3">
      <c r="A12918" t="s">
        <v>557</v>
      </c>
      <c r="B12918" t="s">
        <v>757</v>
      </c>
      <c r="C12918" t="s">
        <v>333</v>
      </c>
      <c r="D12918" s="230">
        <v>-950.45</v>
      </c>
      <c r="E12918" t="s">
        <v>586</v>
      </c>
    </row>
    <row r="12919" spans="1:5" hidden="1" x14ac:dyDescent="0.3">
      <c r="A12919" t="s">
        <v>557</v>
      </c>
      <c r="B12919" t="s">
        <v>757</v>
      </c>
      <c r="C12919" t="s">
        <v>334</v>
      </c>
      <c r="D12919" s="230">
        <v>0</v>
      </c>
      <c r="E12919" t="s">
        <v>586</v>
      </c>
    </row>
    <row r="12920" spans="1:5" hidden="1" x14ac:dyDescent="0.3">
      <c r="A12920" t="s">
        <v>557</v>
      </c>
      <c r="B12920" t="s">
        <v>757</v>
      </c>
      <c r="C12920" t="s">
        <v>336</v>
      </c>
      <c r="D12920" s="230">
        <v>0</v>
      </c>
      <c r="E12920" t="s">
        <v>586</v>
      </c>
    </row>
    <row r="12921" spans="1:5" hidden="1" x14ac:dyDescent="0.3">
      <c r="A12921" t="s">
        <v>557</v>
      </c>
      <c r="B12921" t="s">
        <v>757</v>
      </c>
      <c r="C12921" t="s">
        <v>338</v>
      </c>
      <c r="D12921" s="230">
        <v>-28098.880000000001</v>
      </c>
      <c r="E12921" t="s">
        <v>586</v>
      </c>
    </row>
    <row r="12922" spans="1:5" hidden="1" x14ac:dyDescent="0.3">
      <c r="A12922" t="s">
        <v>557</v>
      </c>
      <c r="B12922" t="s">
        <v>757</v>
      </c>
      <c r="C12922" t="s">
        <v>339</v>
      </c>
      <c r="D12922" s="230">
        <v>-12836.65</v>
      </c>
      <c r="E12922" t="s">
        <v>586</v>
      </c>
    </row>
    <row r="12923" spans="1:5" hidden="1" x14ac:dyDescent="0.3">
      <c r="A12923" t="s">
        <v>557</v>
      </c>
      <c r="B12923" t="s">
        <v>757</v>
      </c>
      <c r="C12923" t="s">
        <v>342</v>
      </c>
      <c r="D12923" s="230">
        <v>-5921.65</v>
      </c>
      <c r="E12923" t="s">
        <v>586</v>
      </c>
    </row>
    <row r="12924" spans="1:5" hidden="1" x14ac:dyDescent="0.3">
      <c r="A12924" t="s">
        <v>557</v>
      </c>
      <c r="B12924" t="s">
        <v>757</v>
      </c>
      <c r="C12924" t="s">
        <v>344</v>
      </c>
      <c r="D12924" s="230">
        <v>-3681.58</v>
      </c>
      <c r="E12924" t="s">
        <v>586</v>
      </c>
    </row>
    <row r="12925" spans="1:5" hidden="1" x14ac:dyDescent="0.3">
      <c r="A12925" t="s">
        <v>557</v>
      </c>
      <c r="B12925" t="s">
        <v>757</v>
      </c>
      <c r="C12925" t="s">
        <v>345</v>
      </c>
      <c r="D12925" s="230">
        <v>0</v>
      </c>
      <c r="E12925" t="s">
        <v>586</v>
      </c>
    </row>
    <row r="12926" spans="1:5" hidden="1" x14ac:dyDescent="0.3">
      <c r="A12926" t="s">
        <v>557</v>
      </c>
      <c r="B12926" t="s">
        <v>757</v>
      </c>
      <c r="C12926" t="s">
        <v>346</v>
      </c>
      <c r="D12926" s="230">
        <v>-3233.42</v>
      </c>
      <c r="E12926" t="s">
        <v>586</v>
      </c>
    </row>
    <row r="12927" spans="1:5" hidden="1" x14ac:dyDescent="0.3">
      <c r="A12927" t="s">
        <v>557</v>
      </c>
      <c r="B12927" t="s">
        <v>757</v>
      </c>
      <c r="C12927" t="s">
        <v>347</v>
      </c>
      <c r="D12927" s="230">
        <v>-40935.53</v>
      </c>
      <c r="E12927" t="s">
        <v>586</v>
      </c>
    </row>
    <row r="12928" spans="1:5" hidden="1" x14ac:dyDescent="0.3">
      <c r="A12928" t="s">
        <v>557</v>
      </c>
      <c r="B12928" t="s">
        <v>757</v>
      </c>
      <c r="C12928" t="s">
        <v>44</v>
      </c>
      <c r="D12928" s="230">
        <v>-0.1</v>
      </c>
      <c r="E12928" t="s">
        <v>586</v>
      </c>
    </row>
    <row r="12929" spans="1:5" hidden="1" x14ac:dyDescent="0.3">
      <c r="A12929" t="s">
        <v>557</v>
      </c>
      <c r="B12929" t="s">
        <v>757</v>
      </c>
      <c r="C12929" t="s">
        <v>348</v>
      </c>
      <c r="D12929" s="230">
        <v>0</v>
      </c>
      <c r="E12929" t="s">
        <v>586</v>
      </c>
    </row>
    <row r="12930" spans="1:5" hidden="1" x14ac:dyDescent="0.3">
      <c r="A12930" t="s">
        <v>557</v>
      </c>
      <c r="B12930" t="s">
        <v>757</v>
      </c>
      <c r="C12930" t="s">
        <v>707</v>
      </c>
      <c r="D12930" s="230">
        <v>0</v>
      </c>
      <c r="E12930" t="s">
        <v>586</v>
      </c>
    </row>
    <row r="12931" spans="1:5" hidden="1" x14ac:dyDescent="0.3">
      <c r="A12931" t="s">
        <v>557</v>
      </c>
      <c r="B12931" t="s">
        <v>757</v>
      </c>
      <c r="C12931" t="s">
        <v>350</v>
      </c>
      <c r="D12931" s="230">
        <v>0</v>
      </c>
      <c r="E12931" t="s">
        <v>586</v>
      </c>
    </row>
    <row r="12932" spans="1:5" hidden="1" x14ac:dyDescent="0.3">
      <c r="A12932" t="s">
        <v>557</v>
      </c>
      <c r="B12932" t="s">
        <v>757</v>
      </c>
      <c r="C12932" t="s">
        <v>351</v>
      </c>
      <c r="D12932" s="230">
        <v>0</v>
      </c>
      <c r="E12932" t="s">
        <v>586</v>
      </c>
    </row>
    <row r="12933" spans="1:5" hidden="1" x14ac:dyDescent="0.3">
      <c r="A12933" t="s">
        <v>557</v>
      </c>
      <c r="B12933" t="s">
        <v>757</v>
      </c>
      <c r="C12933" t="s">
        <v>352</v>
      </c>
      <c r="D12933" s="230">
        <v>0</v>
      </c>
      <c r="E12933" t="s">
        <v>586</v>
      </c>
    </row>
    <row r="12934" spans="1:5" hidden="1" x14ac:dyDescent="0.3">
      <c r="A12934" t="s">
        <v>557</v>
      </c>
      <c r="B12934" t="s">
        <v>757</v>
      </c>
      <c r="C12934" t="s">
        <v>353</v>
      </c>
      <c r="D12934" s="230">
        <v>0</v>
      </c>
      <c r="E12934" t="s">
        <v>586</v>
      </c>
    </row>
    <row r="12935" spans="1:5" hidden="1" x14ac:dyDescent="0.3">
      <c r="A12935" t="s">
        <v>557</v>
      </c>
      <c r="B12935" t="s">
        <v>757</v>
      </c>
      <c r="C12935" t="s">
        <v>354</v>
      </c>
      <c r="D12935" s="230">
        <v>0</v>
      </c>
      <c r="E12935" t="s">
        <v>586</v>
      </c>
    </row>
    <row r="12936" spans="1:5" hidden="1" x14ac:dyDescent="0.3">
      <c r="A12936" t="s">
        <v>557</v>
      </c>
      <c r="B12936" t="s">
        <v>757</v>
      </c>
      <c r="C12936" t="s">
        <v>355</v>
      </c>
      <c r="D12936" s="230">
        <v>0</v>
      </c>
      <c r="E12936" t="s">
        <v>586</v>
      </c>
    </row>
    <row r="12937" spans="1:5" hidden="1" x14ac:dyDescent="0.3">
      <c r="A12937" t="s">
        <v>557</v>
      </c>
      <c r="B12937" t="s">
        <v>757</v>
      </c>
      <c r="C12937" t="s">
        <v>356</v>
      </c>
      <c r="D12937" s="230">
        <v>0</v>
      </c>
      <c r="E12937" t="s">
        <v>586</v>
      </c>
    </row>
    <row r="12938" spans="1:5" hidden="1" x14ac:dyDescent="0.3">
      <c r="A12938" t="s">
        <v>557</v>
      </c>
      <c r="B12938" t="s">
        <v>757</v>
      </c>
      <c r="C12938" t="s">
        <v>357</v>
      </c>
      <c r="D12938" s="230">
        <v>0</v>
      </c>
      <c r="E12938" t="s">
        <v>586</v>
      </c>
    </row>
    <row r="12939" spans="1:5" hidden="1" x14ac:dyDescent="0.3">
      <c r="A12939" t="s">
        <v>557</v>
      </c>
      <c r="B12939" t="s">
        <v>757</v>
      </c>
      <c r="C12939" t="s">
        <v>358</v>
      </c>
      <c r="D12939" s="230">
        <v>0</v>
      </c>
      <c r="E12939" t="s">
        <v>586</v>
      </c>
    </row>
    <row r="12940" spans="1:5" hidden="1" x14ac:dyDescent="0.3">
      <c r="A12940" t="s">
        <v>557</v>
      </c>
      <c r="B12940" t="s">
        <v>757</v>
      </c>
      <c r="C12940" t="s">
        <v>359</v>
      </c>
      <c r="D12940" s="230">
        <v>0</v>
      </c>
      <c r="E12940" t="s">
        <v>586</v>
      </c>
    </row>
    <row r="12941" spans="1:5" hidden="1" x14ac:dyDescent="0.3">
      <c r="A12941" t="s">
        <v>557</v>
      </c>
      <c r="B12941" t="s">
        <v>757</v>
      </c>
      <c r="C12941" t="s">
        <v>360</v>
      </c>
      <c r="D12941" s="230">
        <v>0</v>
      </c>
      <c r="E12941" t="s">
        <v>586</v>
      </c>
    </row>
    <row r="12942" spans="1:5" hidden="1" x14ac:dyDescent="0.3">
      <c r="A12942" t="s">
        <v>557</v>
      </c>
      <c r="B12942" t="s">
        <v>757</v>
      </c>
      <c r="C12942" t="s">
        <v>361</v>
      </c>
      <c r="D12942" s="230">
        <v>0</v>
      </c>
      <c r="E12942" t="s">
        <v>586</v>
      </c>
    </row>
    <row r="12943" spans="1:5" hidden="1" x14ac:dyDescent="0.3">
      <c r="A12943" t="s">
        <v>557</v>
      </c>
      <c r="B12943" t="s">
        <v>757</v>
      </c>
      <c r="C12943" t="s">
        <v>362</v>
      </c>
      <c r="D12943" s="230">
        <v>0</v>
      </c>
      <c r="E12943" t="s">
        <v>586</v>
      </c>
    </row>
    <row r="12944" spans="1:5" hidden="1" x14ac:dyDescent="0.3">
      <c r="A12944" t="s">
        <v>557</v>
      </c>
      <c r="B12944" t="s">
        <v>757</v>
      </c>
      <c r="C12944" t="s">
        <v>363</v>
      </c>
      <c r="D12944" s="230">
        <v>0</v>
      </c>
      <c r="E12944" t="s">
        <v>586</v>
      </c>
    </row>
    <row r="12945" spans="1:5" hidden="1" x14ac:dyDescent="0.3">
      <c r="A12945" t="s">
        <v>557</v>
      </c>
      <c r="B12945" t="s">
        <v>757</v>
      </c>
      <c r="C12945" t="s">
        <v>364</v>
      </c>
      <c r="D12945" s="230">
        <v>0</v>
      </c>
      <c r="E12945" t="s">
        <v>586</v>
      </c>
    </row>
    <row r="12946" spans="1:5" hidden="1" x14ac:dyDescent="0.3">
      <c r="A12946" t="s">
        <v>557</v>
      </c>
      <c r="B12946" t="s">
        <v>757</v>
      </c>
      <c r="C12946" t="s">
        <v>365</v>
      </c>
      <c r="D12946" s="230">
        <v>-1833.34</v>
      </c>
      <c r="E12946" t="s">
        <v>586</v>
      </c>
    </row>
    <row r="12947" spans="1:5" hidden="1" x14ac:dyDescent="0.3">
      <c r="A12947" t="s">
        <v>557</v>
      </c>
      <c r="B12947" t="s">
        <v>757</v>
      </c>
      <c r="C12947" t="s">
        <v>366</v>
      </c>
      <c r="D12947" s="230">
        <v>0</v>
      </c>
      <c r="E12947" t="s">
        <v>586</v>
      </c>
    </row>
    <row r="12948" spans="1:5" hidden="1" x14ac:dyDescent="0.3">
      <c r="A12948" t="s">
        <v>557</v>
      </c>
      <c r="B12948" t="s">
        <v>757</v>
      </c>
      <c r="C12948" t="s">
        <v>367</v>
      </c>
      <c r="D12948" s="230">
        <v>0</v>
      </c>
      <c r="E12948" t="s">
        <v>586</v>
      </c>
    </row>
    <row r="12949" spans="1:5" hidden="1" x14ac:dyDescent="0.3">
      <c r="A12949" t="s">
        <v>557</v>
      </c>
      <c r="B12949" t="s">
        <v>757</v>
      </c>
      <c r="C12949" t="s">
        <v>368</v>
      </c>
      <c r="D12949" s="230">
        <v>0</v>
      </c>
      <c r="E12949" t="s">
        <v>586</v>
      </c>
    </row>
    <row r="12950" spans="1:5" hidden="1" x14ac:dyDescent="0.3">
      <c r="A12950" t="s">
        <v>557</v>
      </c>
      <c r="B12950" t="s">
        <v>757</v>
      </c>
      <c r="C12950" t="s">
        <v>369</v>
      </c>
      <c r="D12950" s="230">
        <v>-1833.34</v>
      </c>
      <c r="E12950" t="s">
        <v>586</v>
      </c>
    </row>
    <row r="12951" spans="1:5" hidden="1" x14ac:dyDescent="0.3">
      <c r="A12951" t="s">
        <v>557</v>
      </c>
      <c r="B12951" t="s">
        <v>757</v>
      </c>
      <c r="C12951" t="s">
        <v>370</v>
      </c>
      <c r="D12951" s="230">
        <v>0</v>
      </c>
      <c r="E12951" t="s">
        <v>586</v>
      </c>
    </row>
    <row r="12952" spans="1:5" hidden="1" x14ac:dyDescent="0.3">
      <c r="A12952" t="s">
        <v>557</v>
      </c>
      <c r="B12952" t="s">
        <v>757</v>
      </c>
      <c r="C12952" t="s">
        <v>371</v>
      </c>
      <c r="D12952" s="230">
        <v>0</v>
      </c>
      <c r="E12952" t="s">
        <v>586</v>
      </c>
    </row>
    <row r="12953" spans="1:5" hidden="1" x14ac:dyDescent="0.3">
      <c r="A12953" t="s">
        <v>557</v>
      </c>
      <c r="B12953" t="s">
        <v>757</v>
      </c>
      <c r="C12953" t="s">
        <v>372</v>
      </c>
      <c r="D12953" s="230">
        <v>0</v>
      </c>
      <c r="E12953" t="s">
        <v>586</v>
      </c>
    </row>
    <row r="12954" spans="1:5" hidden="1" x14ac:dyDescent="0.3">
      <c r="A12954" t="s">
        <v>557</v>
      </c>
      <c r="B12954" t="s">
        <v>757</v>
      </c>
      <c r="C12954" t="s">
        <v>373</v>
      </c>
      <c r="D12954" s="230">
        <v>-1833.34</v>
      </c>
      <c r="E12954" t="s">
        <v>586</v>
      </c>
    </row>
    <row r="12955" spans="1:5" hidden="1" x14ac:dyDescent="0.3">
      <c r="A12955" t="s">
        <v>557</v>
      </c>
      <c r="B12955" t="s">
        <v>757</v>
      </c>
      <c r="C12955" t="s">
        <v>374</v>
      </c>
      <c r="D12955" s="230">
        <v>-42768.87</v>
      </c>
      <c r="E12955" t="s">
        <v>586</v>
      </c>
    </row>
    <row r="12956" spans="1:5" hidden="1" x14ac:dyDescent="0.3">
      <c r="A12956" t="s">
        <v>557</v>
      </c>
      <c r="B12956" t="s">
        <v>758</v>
      </c>
      <c r="C12956" t="s">
        <v>11</v>
      </c>
      <c r="D12956" s="230">
        <v>563715.04</v>
      </c>
      <c r="E12956" t="s">
        <v>588</v>
      </c>
    </row>
    <row r="12957" spans="1:5" hidden="1" x14ac:dyDescent="0.3">
      <c r="A12957" t="s">
        <v>557</v>
      </c>
      <c r="B12957" t="s">
        <v>758</v>
      </c>
      <c r="C12957" t="s">
        <v>13</v>
      </c>
      <c r="D12957" s="230">
        <v>261771.6</v>
      </c>
      <c r="E12957" t="s">
        <v>588</v>
      </c>
    </row>
    <row r="12958" spans="1:5" hidden="1" x14ac:dyDescent="0.3">
      <c r="A12958" t="s">
        <v>557</v>
      </c>
      <c r="B12958" t="s">
        <v>758</v>
      </c>
      <c r="C12958" t="s">
        <v>16</v>
      </c>
      <c r="D12958" s="230">
        <v>117801.81</v>
      </c>
      <c r="E12958" t="s">
        <v>588</v>
      </c>
    </row>
    <row r="12959" spans="1:5" hidden="1" x14ac:dyDescent="0.3">
      <c r="A12959" t="s">
        <v>557</v>
      </c>
      <c r="B12959" t="s">
        <v>758</v>
      </c>
      <c r="C12959" t="s">
        <v>17</v>
      </c>
      <c r="D12959" s="230">
        <v>4240</v>
      </c>
      <c r="E12959" t="s">
        <v>588</v>
      </c>
    </row>
    <row r="12960" spans="1:5" hidden="1" x14ac:dyDescent="0.3">
      <c r="A12960" t="s">
        <v>557</v>
      </c>
      <c r="B12960" t="s">
        <v>758</v>
      </c>
      <c r="C12960" t="s">
        <v>18</v>
      </c>
      <c r="D12960" s="230">
        <v>0</v>
      </c>
      <c r="E12960" t="s">
        <v>588</v>
      </c>
    </row>
    <row r="12961" spans="1:5" hidden="1" x14ac:dyDescent="0.3">
      <c r="A12961" t="s">
        <v>557</v>
      </c>
      <c r="B12961" t="s">
        <v>758</v>
      </c>
      <c r="C12961" t="s">
        <v>20</v>
      </c>
      <c r="D12961" s="230">
        <v>49431.54</v>
      </c>
      <c r="E12961" t="s">
        <v>588</v>
      </c>
    </row>
    <row r="12962" spans="1:5" hidden="1" x14ac:dyDescent="0.3">
      <c r="A12962" t="s">
        <v>557</v>
      </c>
      <c r="B12962" t="s">
        <v>758</v>
      </c>
      <c r="C12962" t="s">
        <v>23</v>
      </c>
      <c r="D12962" s="230">
        <v>45868.32</v>
      </c>
      <c r="E12962" t="s">
        <v>588</v>
      </c>
    </row>
    <row r="12963" spans="1:5" hidden="1" x14ac:dyDescent="0.3">
      <c r="A12963" t="s">
        <v>557</v>
      </c>
      <c r="B12963" t="s">
        <v>758</v>
      </c>
      <c r="C12963" t="s">
        <v>25</v>
      </c>
      <c r="D12963" s="230">
        <v>0</v>
      </c>
      <c r="E12963" t="s">
        <v>588</v>
      </c>
    </row>
    <row r="12964" spans="1:5" hidden="1" x14ac:dyDescent="0.3">
      <c r="A12964" t="s">
        <v>557</v>
      </c>
      <c r="B12964" t="s">
        <v>758</v>
      </c>
      <c r="C12964" t="s">
        <v>26</v>
      </c>
      <c r="D12964" s="230">
        <v>9800</v>
      </c>
      <c r="E12964" t="s">
        <v>588</v>
      </c>
    </row>
    <row r="12965" spans="1:5" hidden="1" x14ac:dyDescent="0.3">
      <c r="A12965" t="s">
        <v>557</v>
      </c>
      <c r="B12965" t="s">
        <v>758</v>
      </c>
      <c r="C12965" t="s">
        <v>27</v>
      </c>
      <c r="D12965" s="230">
        <v>0</v>
      </c>
      <c r="E12965" t="s">
        <v>588</v>
      </c>
    </row>
    <row r="12966" spans="1:5" hidden="1" x14ac:dyDescent="0.3">
      <c r="A12966" t="s">
        <v>557</v>
      </c>
      <c r="B12966" t="s">
        <v>758</v>
      </c>
      <c r="C12966" t="s">
        <v>29</v>
      </c>
      <c r="D12966" s="230">
        <v>74734.27</v>
      </c>
      <c r="E12966" t="s">
        <v>588</v>
      </c>
    </row>
    <row r="12967" spans="1:5" hidden="1" x14ac:dyDescent="0.3">
      <c r="A12967" t="s">
        <v>557</v>
      </c>
      <c r="B12967" t="s">
        <v>758</v>
      </c>
      <c r="C12967" t="s">
        <v>31</v>
      </c>
      <c r="D12967" s="230">
        <v>67.5</v>
      </c>
      <c r="E12967" t="s">
        <v>588</v>
      </c>
    </row>
    <row r="12968" spans="1:5" hidden="1" x14ac:dyDescent="0.3">
      <c r="A12968" t="s">
        <v>557</v>
      </c>
      <c r="B12968" t="s">
        <v>758</v>
      </c>
      <c r="C12968" t="s">
        <v>33</v>
      </c>
      <c r="D12968" s="230">
        <v>55668.32</v>
      </c>
      <c r="E12968" t="s">
        <v>588</v>
      </c>
    </row>
    <row r="12969" spans="1:5" hidden="1" x14ac:dyDescent="0.3">
      <c r="A12969" t="s">
        <v>557</v>
      </c>
      <c r="B12969" t="s">
        <v>758</v>
      </c>
      <c r="C12969" t="s">
        <v>34</v>
      </c>
      <c r="D12969" s="230">
        <v>-17024.73</v>
      </c>
      <c r="E12969" t="s">
        <v>588</v>
      </c>
    </row>
    <row r="12970" spans="1:5" hidden="1" x14ac:dyDescent="0.3">
      <c r="A12970" t="s">
        <v>557</v>
      </c>
      <c r="B12970" t="s">
        <v>758</v>
      </c>
      <c r="C12970" t="s">
        <v>38</v>
      </c>
      <c r="D12970" s="230">
        <v>-2962.09</v>
      </c>
      <c r="E12970" t="s">
        <v>588</v>
      </c>
    </row>
    <row r="12971" spans="1:5" hidden="1" x14ac:dyDescent="0.3">
      <c r="A12971" t="s">
        <v>557</v>
      </c>
      <c r="B12971" t="s">
        <v>758</v>
      </c>
      <c r="C12971" t="s">
        <v>40</v>
      </c>
      <c r="D12971" s="230">
        <v>-9847.09</v>
      </c>
      <c r="E12971" t="s">
        <v>588</v>
      </c>
    </row>
    <row r="12972" spans="1:5" hidden="1" x14ac:dyDescent="0.3">
      <c r="A12972" t="s">
        <v>557</v>
      </c>
      <c r="B12972" t="s">
        <v>758</v>
      </c>
      <c r="C12972" t="s">
        <v>42</v>
      </c>
      <c r="D12972" s="230">
        <v>-4215.55</v>
      </c>
      <c r="E12972" t="s">
        <v>588</v>
      </c>
    </row>
    <row r="12973" spans="1:5" hidden="1" x14ac:dyDescent="0.3">
      <c r="A12973" t="s">
        <v>557</v>
      </c>
      <c r="B12973" t="s">
        <v>758</v>
      </c>
      <c r="C12973" t="s">
        <v>44</v>
      </c>
      <c r="D12973" s="230">
        <v>-0.03</v>
      </c>
      <c r="E12973" t="s">
        <v>588</v>
      </c>
    </row>
    <row r="12974" spans="1:5" hidden="1" x14ac:dyDescent="0.3">
      <c r="A12974" t="s">
        <v>557</v>
      </c>
      <c r="B12974" t="s">
        <v>758</v>
      </c>
      <c r="C12974" t="s">
        <v>45</v>
      </c>
      <c r="D12974" s="230">
        <v>-26173.16</v>
      </c>
      <c r="E12974" t="s">
        <v>588</v>
      </c>
    </row>
    <row r="12975" spans="1:5" hidden="1" x14ac:dyDescent="0.3">
      <c r="A12975" t="s">
        <v>557</v>
      </c>
      <c r="B12975" t="s">
        <v>758</v>
      </c>
      <c r="C12975" t="s">
        <v>46</v>
      </c>
      <c r="D12975" s="230">
        <v>-12178.77</v>
      </c>
      <c r="E12975" t="s">
        <v>588</v>
      </c>
    </row>
    <row r="12976" spans="1:5" hidden="1" x14ac:dyDescent="0.3">
      <c r="A12976" t="s">
        <v>557</v>
      </c>
      <c r="B12976" t="s">
        <v>758</v>
      </c>
      <c r="C12976" t="s">
        <v>48</v>
      </c>
      <c r="D12976" s="230">
        <v>-13444.3</v>
      </c>
      <c r="E12976" t="s">
        <v>588</v>
      </c>
    </row>
    <row r="12977" spans="1:5" hidden="1" x14ac:dyDescent="0.3">
      <c r="A12977" t="s">
        <v>557</v>
      </c>
      <c r="B12977" t="s">
        <v>758</v>
      </c>
      <c r="C12977" t="s">
        <v>49</v>
      </c>
      <c r="D12977" s="230">
        <v>-550.09</v>
      </c>
      <c r="E12977" t="s">
        <v>588</v>
      </c>
    </row>
    <row r="12978" spans="1:5" hidden="1" x14ac:dyDescent="0.3">
      <c r="A12978" t="s">
        <v>557</v>
      </c>
      <c r="B12978" t="s">
        <v>758</v>
      </c>
      <c r="C12978" t="s">
        <v>50</v>
      </c>
      <c r="D12978" s="230">
        <v>520517.15</v>
      </c>
      <c r="E12978" t="s">
        <v>588</v>
      </c>
    </row>
    <row r="12979" spans="1:5" hidden="1" x14ac:dyDescent="0.3">
      <c r="A12979" t="s">
        <v>557</v>
      </c>
      <c r="B12979" t="s">
        <v>758</v>
      </c>
      <c r="C12979" t="s">
        <v>51</v>
      </c>
      <c r="D12979" s="230">
        <v>-144499.51</v>
      </c>
      <c r="E12979" t="s">
        <v>588</v>
      </c>
    </row>
    <row r="12980" spans="1:5" hidden="1" x14ac:dyDescent="0.3">
      <c r="A12980" t="s">
        <v>557</v>
      </c>
      <c r="B12980" t="s">
        <v>758</v>
      </c>
      <c r="C12980" t="s">
        <v>52</v>
      </c>
      <c r="D12980" s="230">
        <v>-108420.72</v>
      </c>
      <c r="E12980" t="s">
        <v>588</v>
      </c>
    </row>
    <row r="12981" spans="1:5" hidden="1" x14ac:dyDescent="0.3">
      <c r="A12981" t="s">
        <v>557</v>
      </c>
      <c r="B12981" t="s">
        <v>758</v>
      </c>
      <c r="C12981" t="s">
        <v>53</v>
      </c>
      <c r="D12981" s="230">
        <v>-33349.050000000003</v>
      </c>
      <c r="E12981" t="s">
        <v>588</v>
      </c>
    </row>
    <row r="12982" spans="1:5" hidden="1" x14ac:dyDescent="0.3">
      <c r="A12982" t="s">
        <v>557</v>
      </c>
      <c r="B12982" t="s">
        <v>758</v>
      </c>
      <c r="C12982" t="s">
        <v>54</v>
      </c>
      <c r="D12982" s="230">
        <v>-2729.74</v>
      </c>
      <c r="E12982" t="s">
        <v>588</v>
      </c>
    </row>
    <row r="12983" spans="1:5" hidden="1" x14ac:dyDescent="0.3">
      <c r="A12983" t="s">
        <v>557</v>
      </c>
      <c r="B12983" t="s">
        <v>758</v>
      </c>
      <c r="C12983" t="s">
        <v>44</v>
      </c>
      <c r="D12983" s="230">
        <v>-0.28999999999999998</v>
      </c>
      <c r="E12983" t="s">
        <v>588</v>
      </c>
    </row>
    <row r="12984" spans="1:5" hidden="1" x14ac:dyDescent="0.3">
      <c r="A12984" t="s">
        <v>557</v>
      </c>
      <c r="B12984" t="s">
        <v>758</v>
      </c>
      <c r="C12984" t="s">
        <v>55</v>
      </c>
      <c r="D12984" s="230">
        <v>-0.28000000000000003</v>
      </c>
      <c r="E12984" t="s">
        <v>588</v>
      </c>
    </row>
    <row r="12985" spans="1:5" hidden="1" x14ac:dyDescent="0.3">
      <c r="A12985" t="s">
        <v>557</v>
      </c>
      <c r="B12985" t="s">
        <v>758</v>
      </c>
      <c r="C12985" t="s">
        <v>56</v>
      </c>
      <c r="D12985" s="230">
        <v>-6430.98</v>
      </c>
      <c r="E12985" t="s">
        <v>588</v>
      </c>
    </row>
    <row r="12986" spans="1:5" hidden="1" x14ac:dyDescent="0.3">
      <c r="A12986" t="s">
        <v>557</v>
      </c>
      <c r="B12986" t="s">
        <v>758</v>
      </c>
      <c r="C12986" t="s">
        <v>57</v>
      </c>
      <c r="D12986" s="230">
        <v>-5762.98</v>
      </c>
      <c r="E12986" t="s">
        <v>588</v>
      </c>
    </row>
    <row r="12987" spans="1:5" hidden="1" x14ac:dyDescent="0.3">
      <c r="A12987" t="s">
        <v>557</v>
      </c>
      <c r="B12987" t="s">
        <v>758</v>
      </c>
      <c r="C12987" t="s">
        <v>58</v>
      </c>
      <c r="D12987" s="230">
        <v>-5600</v>
      </c>
      <c r="E12987" t="s">
        <v>588</v>
      </c>
    </row>
    <row r="12988" spans="1:5" hidden="1" x14ac:dyDescent="0.3">
      <c r="A12988" t="s">
        <v>557</v>
      </c>
      <c r="B12988" t="s">
        <v>758</v>
      </c>
      <c r="C12988" t="s">
        <v>59</v>
      </c>
      <c r="D12988" s="230">
        <v>-162.97999999999999</v>
      </c>
      <c r="E12988" t="s">
        <v>588</v>
      </c>
    </row>
    <row r="12989" spans="1:5" hidden="1" x14ac:dyDescent="0.3">
      <c r="A12989" t="s">
        <v>557</v>
      </c>
      <c r="B12989" t="s">
        <v>758</v>
      </c>
      <c r="C12989" t="s">
        <v>61</v>
      </c>
      <c r="D12989" s="230">
        <v>0</v>
      </c>
      <c r="E12989" t="s">
        <v>588</v>
      </c>
    </row>
    <row r="12990" spans="1:5" hidden="1" x14ac:dyDescent="0.3">
      <c r="A12990" t="s">
        <v>557</v>
      </c>
      <c r="B12990" t="s">
        <v>758</v>
      </c>
      <c r="C12990" t="s">
        <v>62</v>
      </c>
      <c r="D12990" s="230">
        <v>0</v>
      </c>
      <c r="E12990" t="s">
        <v>588</v>
      </c>
    </row>
    <row r="12991" spans="1:5" hidden="1" x14ac:dyDescent="0.3">
      <c r="A12991" t="s">
        <v>557</v>
      </c>
      <c r="B12991" t="s">
        <v>758</v>
      </c>
      <c r="C12991" t="s">
        <v>64</v>
      </c>
      <c r="D12991" s="230">
        <v>0</v>
      </c>
      <c r="E12991" t="s">
        <v>588</v>
      </c>
    </row>
    <row r="12992" spans="1:5" hidden="1" x14ac:dyDescent="0.3">
      <c r="A12992" t="s">
        <v>557</v>
      </c>
      <c r="B12992" t="s">
        <v>758</v>
      </c>
      <c r="C12992" t="s">
        <v>65</v>
      </c>
      <c r="D12992" s="230">
        <v>-668</v>
      </c>
      <c r="E12992" t="s">
        <v>588</v>
      </c>
    </row>
    <row r="12993" spans="1:5" hidden="1" x14ac:dyDescent="0.3">
      <c r="A12993" t="s">
        <v>557</v>
      </c>
      <c r="B12993" t="s">
        <v>758</v>
      </c>
      <c r="C12993" t="s">
        <v>66</v>
      </c>
      <c r="D12993" s="230">
        <v>-668</v>
      </c>
      <c r="E12993" t="s">
        <v>588</v>
      </c>
    </row>
    <row r="12994" spans="1:5" hidden="1" x14ac:dyDescent="0.3">
      <c r="A12994" t="s">
        <v>557</v>
      </c>
      <c r="B12994" t="s">
        <v>758</v>
      </c>
      <c r="C12994" t="s">
        <v>68</v>
      </c>
      <c r="D12994" s="230">
        <v>0</v>
      </c>
      <c r="E12994" t="s">
        <v>588</v>
      </c>
    </row>
    <row r="12995" spans="1:5" hidden="1" x14ac:dyDescent="0.3">
      <c r="A12995" t="s">
        <v>557</v>
      </c>
      <c r="B12995" t="s">
        <v>758</v>
      </c>
      <c r="C12995" t="s">
        <v>69</v>
      </c>
      <c r="D12995" s="230">
        <v>0</v>
      </c>
      <c r="E12995" t="s">
        <v>588</v>
      </c>
    </row>
    <row r="12996" spans="1:5" hidden="1" x14ac:dyDescent="0.3">
      <c r="A12996" t="s">
        <v>557</v>
      </c>
      <c r="B12996" t="s">
        <v>758</v>
      </c>
      <c r="C12996" t="s">
        <v>70</v>
      </c>
      <c r="D12996" s="230">
        <v>-1.52</v>
      </c>
      <c r="E12996" t="s">
        <v>588</v>
      </c>
    </row>
    <row r="12997" spans="1:5" hidden="1" x14ac:dyDescent="0.3">
      <c r="A12997" t="s">
        <v>557</v>
      </c>
      <c r="B12997" t="s">
        <v>758</v>
      </c>
      <c r="C12997" t="s">
        <v>44</v>
      </c>
      <c r="D12997" s="230">
        <v>-0.01</v>
      </c>
      <c r="E12997" t="s">
        <v>588</v>
      </c>
    </row>
    <row r="12998" spans="1:5" hidden="1" x14ac:dyDescent="0.3">
      <c r="A12998" t="s">
        <v>557</v>
      </c>
      <c r="B12998" t="s">
        <v>758</v>
      </c>
      <c r="C12998" t="s">
        <v>71</v>
      </c>
      <c r="D12998" s="230">
        <v>-2609.66</v>
      </c>
      <c r="E12998" t="s">
        <v>588</v>
      </c>
    </row>
    <row r="12999" spans="1:5" hidden="1" x14ac:dyDescent="0.3">
      <c r="A12999" t="s">
        <v>557</v>
      </c>
      <c r="B12999" t="s">
        <v>758</v>
      </c>
      <c r="C12999" t="s">
        <v>72</v>
      </c>
      <c r="D12999" s="230">
        <v>-2609.66</v>
      </c>
      <c r="E12999" t="s">
        <v>588</v>
      </c>
    </row>
    <row r="13000" spans="1:5" hidden="1" x14ac:dyDescent="0.3">
      <c r="A13000" t="s">
        <v>557</v>
      </c>
      <c r="B13000" t="s">
        <v>758</v>
      </c>
      <c r="C13000" t="s">
        <v>73</v>
      </c>
      <c r="D13000" s="230">
        <v>-2000</v>
      </c>
      <c r="E13000" t="s">
        <v>588</v>
      </c>
    </row>
    <row r="13001" spans="1:5" hidden="1" x14ac:dyDescent="0.3">
      <c r="A13001" t="s">
        <v>557</v>
      </c>
      <c r="B13001" t="s">
        <v>758</v>
      </c>
      <c r="C13001" t="s">
        <v>75</v>
      </c>
      <c r="D13001" s="230">
        <v>-609.66</v>
      </c>
      <c r="E13001" t="s">
        <v>588</v>
      </c>
    </row>
    <row r="13002" spans="1:5" hidden="1" x14ac:dyDescent="0.3">
      <c r="A13002" t="s">
        <v>557</v>
      </c>
      <c r="B13002" t="s">
        <v>758</v>
      </c>
      <c r="C13002" t="s">
        <v>77</v>
      </c>
      <c r="D13002" s="230">
        <v>0</v>
      </c>
      <c r="E13002" t="s">
        <v>588</v>
      </c>
    </row>
    <row r="13003" spans="1:5" hidden="1" x14ac:dyDescent="0.3">
      <c r="A13003" t="s">
        <v>557</v>
      </c>
      <c r="B13003" t="s">
        <v>758</v>
      </c>
      <c r="C13003" t="s">
        <v>78</v>
      </c>
      <c r="D13003" s="230">
        <v>0</v>
      </c>
      <c r="E13003" t="s">
        <v>588</v>
      </c>
    </row>
    <row r="13004" spans="1:5" hidden="1" x14ac:dyDescent="0.3">
      <c r="A13004" t="s">
        <v>557</v>
      </c>
      <c r="B13004" t="s">
        <v>758</v>
      </c>
      <c r="C13004" t="s">
        <v>80</v>
      </c>
      <c r="D13004" s="230">
        <v>0</v>
      </c>
      <c r="E13004" t="s">
        <v>588</v>
      </c>
    </row>
    <row r="13005" spans="1:5" hidden="1" x14ac:dyDescent="0.3">
      <c r="A13005" t="s">
        <v>557</v>
      </c>
      <c r="B13005" t="s">
        <v>758</v>
      </c>
      <c r="C13005" t="s">
        <v>82</v>
      </c>
      <c r="D13005" s="230">
        <v>0</v>
      </c>
      <c r="E13005" t="s">
        <v>588</v>
      </c>
    </row>
    <row r="13006" spans="1:5" hidden="1" x14ac:dyDescent="0.3">
      <c r="A13006" t="s">
        <v>557</v>
      </c>
      <c r="B13006" t="s">
        <v>758</v>
      </c>
      <c r="C13006" t="s">
        <v>84</v>
      </c>
      <c r="D13006" s="230">
        <v>0</v>
      </c>
      <c r="E13006" t="s">
        <v>588</v>
      </c>
    </row>
    <row r="13007" spans="1:5" hidden="1" x14ac:dyDescent="0.3">
      <c r="A13007" t="s">
        <v>557</v>
      </c>
      <c r="B13007" t="s">
        <v>758</v>
      </c>
      <c r="C13007" t="s">
        <v>85</v>
      </c>
      <c r="D13007" s="230">
        <v>0</v>
      </c>
      <c r="E13007" t="s">
        <v>588</v>
      </c>
    </row>
    <row r="13008" spans="1:5" hidden="1" x14ac:dyDescent="0.3">
      <c r="A13008" t="s">
        <v>557</v>
      </c>
      <c r="B13008" t="s">
        <v>758</v>
      </c>
      <c r="C13008" t="s">
        <v>86</v>
      </c>
      <c r="D13008" s="230">
        <v>0</v>
      </c>
      <c r="E13008" t="s">
        <v>588</v>
      </c>
    </row>
    <row r="13009" spans="1:5" hidden="1" x14ac:dyDescent="0.3">
      <c r="A13009" t="s">
        <v>557</v>
      </c>
      <c r="B13009" t="s">
        <v>758</v>
      </c>
      <c r="C13009" t="s">
        <v>87</v>
      </c>
      <c r="D13009" s="230">
        <v>0</v>
      </c>
      <c r="E13009" t="s">
        <v>588</v>
      </c>
    </row>
    <row r="13010" spans="1:5" hidden="1" x14ac:dyDescent="0.3">
      <c r="A13010" t="s">
        <v>557</v>
      </c>
      <c r="B13010" t="s">
        <v>758</v>
      </c>
      <c r="C13010" t="s">
        <v>88</v>
      </c>
      <c r="D13010" s="230">
        <v>0</v>
      </c>
      <c r="E13010" t="s">
        <v>588</v>
      </c>
    </row>
    <row r="13011" spans="1:5" hidden="1" x14ac:dyDescent="0.3">
      <c r="A13011" t="s">
        <v>557</v>
      </c>
      <c r="B13011" t="s">
        <v>758</v>
      </c>
      <c r="C13011" t="s">
        <v>89</v>
      </c>
      <c r="D13011" s="230">
        <v>0</v>
      </c>
      <c r="E13011" t="s">
        <v>588</v>
      </c>
    </row>
    <row r="13012" spans="1:5" hidden="1" x14ac:dyDescent="0.3">
      <c r="A13012" t="s">
        <v>557</v>
      </c>
      <c r="B13012" t="s">
        <v>758</v>
      </c>
      <c r="C13012" t="s">
        <v>90</v>
      </c>
      <c r="D13012" s="230">
        <v>0</v>
      </c>
      <c r="E13012" t="s">
        <v>588</v>
      </c>
    </row>
    <row r="13013" spans="1:5" hidden="1" x14ac:dyDescent="0.3">
      <c r="A13013" t="s">
        <v>557</v>
      </c>
      <c r="B13013" t="s">
        <v>758</v>
      </c>
      <c r="C13013" t="s">
        <v>91</v>
      </c>
      <c r="D13013" s="230">
        <v>0</v>
      </c>
      <c r="E13013" t="s">
        <v>588</v>
      </c>
    </row>
    <row r="13014" spans="1:5" hidden="1" x14ac:dyDescent="0.3">
      <c r="A13014" t="s">
        <v>557</v>
      </c>
      <c r="B13014" t="s">
        <v>758</v>
      </c>
      <c r="C13014" t="s">
        <v>93</v>
      </c>
      <c r="D13014" s="230">
        <v>0</v>
      </c>
      <c r="E13014" t="s">
        <v>588</v>
      </c>
    </row>
    <row r="13015" spans="1:5" hidden="1" x14ac:dyDescent="0.3">
      <c r="A13015" t="s">
        <v>557</v>
      </c>
      <c r="B13015" t="s">
        <v>758</v>
      </c>
      <c r="C13015" t="s">
        <v>95</v>
      </c>
      <c r="D13015" s="230">
        <v>0</v>
      </c>
      <c r="E13015" t="s">
        <v>588</v>
      </c>
    </row>
    <row r="13016" spans="1:5" hidden="1" x14ac:dyDescent="0.3">
      <c r="A13016" t="s">
        <v>557</v>
      </c>
      <c r="B13016" t="s">
        <v>758</v>
      </c>
      <c r="C13016" t="s">
        <v>96</v>
      </c>
      <c r="D13016" s="230">
        <v>0</v>
      </c>
      <c r="E13016" t="s">
        <v>588</v>
      </c>
    </row>
    <row r="13017" spans="1:5" hidden="1" x14ac:dyDescent="0.3">
      <c r="A13017" t="s">
        <v>557</v>
      </c>
      <c r="B13017" t="s">
        <v>758</v>
      </c>
      <c r="C13017" t="s">
        <v>98</v>
      </c>
      <c r="D13017" s="230">
        <v>0</v>
      </c>
      <c r="E13017" t="s">
        <v>588</v>
      </c>
    </row>
    <row r="13018" spans="1:5" hidden="1" x14ac:dyDescent="0.3">
      <c r="A13018" t="s">
        <v>557</v>
      </c>
      <c r="B13018" t="s">
        <v>758</v>
      </c>
      <c r="C13018" t="s">
        <v>100</v>
      </c>
      <c r="D13018" s="230">
        <v>0</v>
      </c>
      <c r="E13018" t="s">
        <v>588</v>
      </c>
    </row>
    <row r="13019" spans="1:5" hidden="1" x14ac:dyDescent="0.3">
      <c r="A13019" t="s">
        <v>557</v>
      </c>
      <c r="B13019" t="s">
        <v>758</v>
      </c>
      <c r="C13019" t="s">
        <v>101</v>
      </c>
      <c r="D13019" s="230">
        <v>0</v>
      </c>
      <c r="E13019" t="s">
        <v>588</v>
      </c>
    </row>
    <row r="13020" spans="1:5" hidden="1" x14ac:dyDescent="0.3">
      <c r="A13020" t="s">
        <v>557</v>
      </c>
      <c r="B13020" t="s">
        <v>758</v>
      </c>
      <c r="C13020" t="s">
        <v>102</v>
      </c>
      <c r="D13020" s="230">
        <v>0</v>
      </c>
      <c r="E13020" t="s">
        <v>588</v>
      </c>
    </row>
    <row r="13021" spans="1:5" hidden="1" x14ac:dyDescent="0.3">
      <c r="A13021" t="s">
        <v>557</v>
      </c>
      <c r="B13021" t="s">
        <v>758</v>
      </c>
      <c r="C13021" t="s">
        <v>103</v>
      </c>
      <c r="D13021" s="230">
        <v>0</v>
      </c>
      <c r="E13021" t="s">
        <v>588</v>
      </c>
    </row>
    <row r="13022" spans="1:5" hidden="1" x14ac:dyDescent="0.3">
      <c r="A13022" t="s">
        <v>557</v>
      </c>
      <c r="B13022" t="s">
        <v>758</v>
      </c>
      <c r="C13022" t="s">
        <v>104</v>
      </c>
      <c r="D13022" s="230">
        <v>0</v>
      </c>
      <c r="E13022" t="s">
        <v>588</v>
      </c>
    </row>
    <row r="13023" spans="1:5" hidden="1" x14ac:dyDescent="0.3">
      <c r="A13023" t="s">
        <v>557</v>
      </c>
      <c r="B13023" t="s">
        <v>758</v>
      </c>
      <c r="C13023" t="s">
        <v>105</v>
      </c>
      <c r="D13023" s="230">
        <v>0</v>
      </c>
      <c r="E13023" t="s">
        <v>588</v>
      </c>
    </row>
    <row r="13024" spans="1:5" hidden="1" x14ac:dyDescent="0.3">
      <c r="A13024" t="s">
        <v>557</v>
      </c>
      <c r="B13024" t="s">
        <v>758</v>
      </c>
      <c r="C13024" t="s">
        <v>107</v>
      </c>
      <c r="D13024" s="230">
        <v>0</v>
      </c>
      <c r="E13024" t="s">
        <v>588</v>
      </c>
    </row>
    <row r="13025" spans="1:5" hidden="1" x14ac:dyDescent="0.3">
      <c r="A13025" t="s">
        <v>557</v>
      </c>
      <c r="B13025" t="s">
        <v>758</v>
      </c>
      <c r="C13025" t="s">
        <v>108</v>
      </c>
      <c r="D13025" s="230">
        <v>0</v>
      </c>
      <c r="E13025" t="s">
        <v>588</v>
      </c>
    </row>
    <row r="13026" spans="1:5" hidden="1" x14ac:dyDescent="0.3">
      <c r="A13026" t="s">
        <v>557</v>
      </c>
      <c r="B13026" t="s">
        <v>758</v>
      </c>
      <c r="C13026" t="s">
        <v>109</v>
      </c>
      <c r="D13026" s="230">
        <v>0</v>
      </c>
      <c r="E13026" t="s">
        <v>588</v>
      </c>
    </row>
    <row r="13027" spans="1:5" hidden="1" x14ac:dyDescent="0.3">
      <c r="A13027" t="s">
        <v>557</v>
      </c>
      <c r="B13027" t="s">
        <v>758</v>
      </c>
      <c r="C13027" t="s">
        <v>110</v>
      </c>
      <c r="D13027" s="230">
        <v>-0.05</v>
      </c>
      <c r="E13027" t="s">
        <v>588</v>
      </c>
    </row>
    <row r="13028" spans="1:5" hidden="1" x14ac:dyDescent="0.3">
      <c r="A13028" t="s">
        <v>557</v>
      </c>
      <c r="B13028" t="s">
        <v>758</v>
      </c>
      <c r="C13028" t="s">
        <v>44</v>
      </c>
      <c r="D13028" s="230">
        <v>0</v>
      </c>
      <c r="E13028" t="s">
        <v>588</v>
      </c>
    </row>
    <row r="13029" spans="1:5" hidden="1" x14ac:dyDescent="0.3">
      <c r="A13029" t="s">
        <v>557</v>
      </c>
      <c r="B13029" t="s">
        <v>758</v>
      </c>
      <c r="C13029" t="s">
        <v>111</v>
      </c>
      <c r="D13029" s="230">
        <v>-32810</v>
      </c>
      <c r="E13029" t="s">
        <v>588</v>
      </c>
    </row>
    <row r="13030" spans="1:5" hidden="1" x14ac:dyDescent="0.3">
      <c r="A13030" t="s">
        <v>557</v>
      </c>
      <c r="B13030" t="s">
        <v>758</v>
      </c>
      <c r="C13030" t="s">
        <v>608</v>
      </c>
      <c r="D13030" s="230">
        <v>-32810</v>
      </c>
      <c r="E13030" t="s">
        <v>588</v>
      </c>
    </row>
    <row r="13031" spans="1:5" hidden="1" x14ac:dyDescent="0.3">
      <c r="A13031" t="s">
        <v>557</v>
      </c>
      <c r="B13031" t="s">
        <v>758</v>
      </c>
      <c r="C13031" t="s">
        <v>44</v>
      </c>
      <c r="D13031" s="230">
        <v>-0.06</v>
      </c>
      <c r="E13031" t="s">
        <v>588</v>
      </c>
    </row>
    <row r="13032" spans="1:5" hidden="1" x14ac:dyDescent="0.3">
      <c r="A13032" t="s">
        <v>557</v>
      </c>
      <c r="B13032" t="s">
        <v>758</v>
      </c>
      <c r="C13032" t="s">
        <v>115</v>
      </c>
      <c r="D13032" s="230">
        <v>-32252.97</v>
      </c>
      <c r="E13032" t="s">
        <v>588</v>
      </c>
    </row>
    <row r="13033" spans="1:5" hidden="1" x14ac:dyDescent="0.3">
      <c r="A13033" t="s">
        <v>557</v>
      </c>
      <c r="B13033" t="s">
        <v>758</v>
      </c>
      <c r="C13033" t="s">
        <v>116</v>
      </c>
      <c r="D13033" s="230">
        <v>-7610.23</v>
      </c>
      <c r="E13033" t="s">
        <v>588</v>
      </c>
    </row>
    <row r="13034" spans="1:5" hidden="1" x14ac:dyDescent="0.3">
      <c r="A13034" t="s">
        <v>557</v>
      </c>
      <c r="B13034" t="s">
        <v>758</v>
      </c>
      <c r="C13034" t="s">
        <v>118</v>
      </c>
      <c r="D13034" s="230">
        <v>-24642.74</v>
      </c>
      <c r="E13034" t="s">
        <v>588</v>
      </c>
    </row>
    <row r="13035" spans="1:5" hidden="1" x14ac:dyDescent="0.3">
      <c r="A13035" t="s">
        <v>557</v>
      </c>
      <c r="B13035" t="s">
        <v>758</v>
      </c>
      <c r="C13035" t="s">
        <v>120</v>
      </c>
      <c r="D13035" s="230">
        <v>0</v>
      </c>
      <c r="E13035" t="s">
        <v>588</v>
      </c>
    </row>
    <row r="13036" spans="1:5" hidden="1" x14ac:dyDescent="0.3">
      <c r="A13036" t="s">
        <v>557</v>
      </c>
      <c r="B13036" t="s">
        <v>758</v>
      </c>
      <c r="C13036" t="s">
        <v>122</v>
      </c>
      <c r="D13036" s="230">
        <v>0</v>
      </c>
      <c r="E13036" t="s">
        <v>588</v>
      </c>
    </row>
    <row r="13037" spans="1:5" hidden="1" x14ac:dyDescent="0.3">
      <c r="A13037" t="s">
        <v>557</v>
      </c>
      <c r="B13037" t="s">
        <v>758</v>
      </c>
      <c r="C13037" t="s">
        <v>44</v>
      </c>
      <c r="D13037" s="230">
        <v>-0.06</v>
      </c>
      <c r="E13037" t="s">
        <v>588</v>
      </c>
    </row>
    <row r="13038" spans="1:5" hidden="1" x14ac:dyDescent="0.3">
      <c r="A13038" t="s">
        <v>557</v>
      </c>
      <c r="B13038" t="s">
        <v>758</v>
      </c>
      <c r="C13038" t="s">
        <v>126</v>
      </c>
      <c r="D13038" s="230">
        <v>301914.03000000003</v>
      </c>
      <c r="E13038" t="s">
        <v>588</v>
      </c>
    </row>
    <row r="13039" spans="1:5" hidden="1" x14ac:dyDescent="0.3">
      <c r="A13039" t="s">
        <v>557</v>
      </c>
      <c r="B13039" t="s">
        <v>758</v>
      </c>
      <c r="C13039" t="s">
        <v>127</v>
      </c>
      <c r="D13039" s="230">
        <v>0.54</v>
      </c>
      <c r="E13039" t="s">
        <v>588</v>
      </c>
    </row>
    <row r="13040" spans="1:5" hidden="1" x14ac:dyDescent="0.3">
      <c r="A13040" t="s">
        <v>557</v>
      </c>
      <c r="B13040" t="s">
        <v>758</v>
      </c>
      <c r="C13040" t="s">
        <v>128</v>
      </c>
      <c r="D13040" s="230">
        <v>-118290.72</v>
      </c>
      <c r="E13040" t="s">
        <v>588</v>
      </c>
    </row>
    <row r="13041" spans="1:5" hidden="1" x14ac:dyDescent="0.3">
      <c r="A13041" t="s">
        <v>557</v>
      </c>
      <c r="B13041" t="s">
        <v>758</v>
      </c>
      <c r="C13041" t="s">
        <v>129</v>
      </c>
      <c r="D13041" s="230">
        <v>-36250</v>
      </c>
      <c r="E13041" t="s">
        <v>588</v>
      </c>
    </row>
    <row r="13042" spans="1:5" hidden="1" x14ac:dyDescent="0.3">
      <c r="A13042" t="s">
        <v>557</v>
      </c>
      <c r="B13042" t="s">
        <v>758</v>
      </c>
      <c r="C13042" t="s">
        <v>609</v>
      </c>
      <c r="D13042" s="230">
        <v>0</v>
      </c>
      <c r="E13042" t="s">
        <v>588</v>
      </c>
    </row>
    <row r="13043" spans="1:5" hidden="1" x14ac:dyDescent="0.3">
      <c r="A13043" t="s">
        <v>557</v>
      </c>
      <c r="B13043" t="s">
        <v>758</v>
      </c>
      <c r="C13043" t="s">
        <v>610</v>
      </c>
      <c r="D13043" s="230">
        <v>-17600</v>
      </c>
      <c r="E13043" t="s">
        <v>588</v>
      </c>
    </row>
    <row r="13044" spans="1:5" hidden="1" x14ac:dyDescent="0.3">
      <c r="A13044" t="s">
        <v>557</v>
      </c>
      <c r="B13044" t="s">
        <v>758</v>
      </c>
      <c r="C13044" t="s">
        <v>611</v>
      </c>
      <c r="D13044" s="230">
        <v>0</v>
      </c>
      <c r="E13044" t="s">
        <v>588</v>
      </c>
    </row>
    <row r="13045" spans="1:5" hidden="1" x14ac:dyDescent="0.3">
      <c r="A13045" t="s">
        <v>557</v>
      </c>
      <c r="B13045" t="s">
        <v>758</v>
      </c>
      <c r="C13045" t="s">
        <v>612</v>
      </c>
      <c r="D13045" s="230">
        <v>-10400</v>
      </c>
      <c r="E13045" t="s">
        <v>588</v>
      </c>
    </row>
    <row r="13046" spans="1:5" hidden="1" x14ac:dyDescent="0.3">
      <c r="A13046" t="s">
        <v>557</v>
      </c>
      <c r="B13046" t="s">
        <v>758</v>
      </c>
      <c r="C13046" t="s">
        <v>613</v>
      </c>
      <c r="D13046" s="230">
        <v>-1750</v>
      </c>
      <c r="E13046" t="s">
        <v>588</v>
      </c>
    </row>
    <row r="13047" spans="1:5" hidden="1" x14ac:dyDescent="0.3">
      <c r="A13047" t="s">
        <v>557</v>
      </c>
      <c r="B13047" t="s">
        <v>758</v>
      </c>
      <c r="C13047" t="s">
        <v>614</v>
      </c>
      <c r="D13047" s="230">
        <v>-6500</v>
      </c>
      <c r="E13047" t="s">
        <v>588</v>
      </c>
    </row>
    <row r="13048" spans="1:5" hidden="1" x14ac:dyDescent="0.3">
      <c r="A13048" t="s">
        <v>557</v>
      </c>
      <c r="B13048" t="s">
        <v>758</v>
      </c>
      <c r="C13048" t="s">
        <v>615</v>
      </c>
      <c r="D13048" s="230">
        <v>0</v>
      </c>
      <c r="E13048" t="s">
        <v>588</v>
      </c>
    </row>
    <row r="13049" spans="1:5" hidden="1" x14ac:dyDescent="0.3">
      <c r="A13049" t="s">
        <v>557</v>
      </c>
      <c r="B13049" t="s">
        <v>758</v>
      </c>
      <c r="C13049" t="s">
        <v>616</v>
      </c>
      <c r="D13049" s="230">
        <v>0</v>
      </c>
      <c r="E13049" t="s">
        <v>588</v>
      </c>
    </row>
    <row r="13050" spans="1:5" hidden="1" x14ac:dyDescent="0.3">
      <c r="A13050" t="s">
        <v>557</v>
      </c>
      <c r="B13050" t="s">
        <v>758</v>
      </c>
      <c r="C13050" t="s">
        <v>617</v>
      </c>
      <c r="D13050" s="230">
        <v>0</v>
      </c>
      <c r="E13050" t="s">
        <v>588</v>
      </c>
    </row>
    <row r="13051" spans="1:5" hidden="1" x14ac:dyDescent="0.3">
      <c r="A13051" t="s">
        <v>557</v>
      </c>
      <c r="B13051" t="s">
        <v>758</v>
      </c>
      <c r="C13051" t="s">
        <v>618</v>
      </c>
      <c r="D13051" s="230">
        <v>0</v>
      </c>
      <c r="E13051" t="s">
        <v>588</v>
      </c>
    </row>
    <row r="13052" spans="1:5" hidden="1" x14ac:dyDescent="0.3">
      <c r="A13052" t="s">
        <v>557</v>
      </c>
      <c r="B13052" t="s">
        <v>758</v>
      </c>
      <c r="C13052" t="s">
        <v>619</v>
      </c>
      <c r="D13052" s="230">
        <v>0</v>
      </c>
      <c r="E13052" t="s">
        <v>588</v>
      </c>
    </row>
    <row r="13053" spans="1:5" hidden="1" x14ac:dyDescent="0.3">
      <c r="A13053" t="s">
        <v>557</v>
      </c>
      <c r="B13053" t="s">
        <v>758</v>
      </c>
      <c r="C13053" t="s">
        <v>620</v>
      </c>
      <c r="D13053" s="230">
        <v>0</v>
      </c>
      <c r="E13053" t="s">
        <v>588</v>
      </c>
    </row>
    <row r="13054" spans="1:5" hidden="1" x14ac:dyDescent="0.3">
      <c r="A13054" t="s">
        <v>557</v>
      </c>
      <c r="B13054" t="s">
        <v>758</v>
      </c>
      <c r="C13054" t="s">
        <v>142</v>
      </c>
      <c r="D13054" s="230">
        <v>-30354.77</v>
      </c>
      <c r="E13054" t="s">
        <v>588</v>
      </c>
    </row>
    <row r="13055" spans="1:5" hidden="1" x14ac:dyDescent="0.3">
      <c r="A13055" t="s">
        <v>557</v>
      </c>
      <c r="B13055" t="s">
        <v>758</v>
      </c>
      <c r="C13055" t="s">
        <v>621</v>
      </c>
      <c r="D13055" s="230">
        <v>0</v>
      </c>
      <c r="E13055" t="s">
        <v>588</v>
      </c>
    </row>
    <row r="13056" spans="1:5" hidden="1" x14ac:dyDescent="0.3">
      <c r="A13056" t="s">
        <v>557</v>
      </c>
      <c r="B13056" t="s">
        <v>758</v>
      </c>
      <c r="C13056" t="s">
        <v>622</v>
      </c>
      <c r="D13056" s="230">
        <v>0</v>
      </c>
      <c r="E13056" t="s">
        <v>588</v>
      </c>
    </row>
    <row r="13057" spans="1:5" hidden="1" x14ac:dyDescent="0.3">
      <c r="A13057" t="s">
        <v>557</v>
      </c>
      <c r="B13057" t="s">
        <v>758</v>
      </c>
      <c r="C13057" t="s">
        <v>623</v>
      </c>
      <c r="D13057" s="230">
        <v>0</v>
      </c>
      <c r="E13057" t="s">
        <v>588</v>
      </c>
    </row>
    <row r="13058" spans="1:5" hidden="1" x14ac:dyDescent="0.3">
      <c r="A13058" t="s">
        <v>557</v>
      </c>
      <c r="B13058" t="s">
        <v>758</v>
      </c>
      <c r="C13058" t="s">
        <v>624</v>
      </c>
      <c r="D13058" s="230">
        <v>0</v>
      </c>
      <c r="E13058" t="s">
        <v>588</v>
      </c>
    </row>
    <row r="13059" spans="1:5" hidden="1" x14ac:dyDescent="0.3">
      <c r="A13059" t="s">
        <v>557</v>
      </c>
      <c r="B13059" t="s">
        <v>758</v>
      </c>
      <c r="C13059" t="s">
        <v>625</v>
      </c>
      <c r="D13059" s="230">
        <v>0</v>
      </c>
      <c r="E13059" t="s">
        <v>588</v>
      </c>
    </row>
    <row r="13060" spans="1:5" hidden="1" x14ac:dyDescent="0.3">
      <c r="A13060" t="s">
        <v>557</v>
      </c>
      <c r="B13060" t="s">
        <v>758</v>
      </c>
      <c r="C13060" t="s">
        <v>626</v>
      </c>
      <c r="D13060" s="230">
        <v>0</v>
      </c>
      <c r="E13060" t="s">
        <v>588</v>
      </c>
    </row>
    <row r="13061" spans="1:5" hidden="1" x14ac:dyDescent="0.3">
      <c r="A13061" t="s">
        <v>557</v>
      </c>
      <c r="B13061" t="s">
        <v>758</v>
      </c>
      <c r="C13061" t="s">
        <v>627</v>
      </c>
      <c r="D13061" s="230">
        <v>0</v>
      </c>
      <c r="E13061" t="s">
        <v>588</v>
      </c>
    </row>
    <row r="13062" spans="1:5" hidden="1" x14ac:dyDescent="0.3">
      <c r="A13062" t="s">
        <v>557</v>
      </c>
      <c r="B13062" t="s">
        <v>758</v>
      </c>
      <c r="C13062" t="s">
        <v>628</v>
      </c>
      <c r="D13062" s="230">
        <v>0</v>
      </c>
      <c r="E13062" t="s">
        <v>588</v>
      </c>
    </row>
    <row r="13063" spans="1:5" hidden="1" x14ac:dyDescent="0.3">
      <c r="A13063" t="s">
        <v>557</v>
      </c>
      <c r="B13063" t="s">
        <v>758</v>
      </c>
      <c r="C13063" t="s">
        <v>629</v>
      </c>
      <c r="D13063" s="230">
        <v>0</v>
      </c>
      <c r="E13063" t="s">
        <v>588</v>
      </c>
    </row>
    <row r="13064" spans="1:5" hidden="1" x14ac:dyDescent="0.3">
      <c r="A13064" t="s">
        <v>557</v>
      </c>
      <c r="B13064" t="s">
        <v>758</v>
      </c>
      <c r="C13064" t="s">
        <v>630</v>
      </c>
      <c r="D13064" s="230">
        <v>0</v>
      </c>
      <c r="E13064" t="s">
        <v>588</v>
      </c>
    </row>
    <row r="13065" spans="1:5" hidden="1" x14ac:dyDescent="0.3">
      <c r="A13065" t="s">
        <v>557</v>
      </c>
      <c r="B13065" t="s">
        <v>758</v>
      </c>
      <c r="C13065" t="s">
        <v>631</v>
      </c>
      <c r="D13065" s="230">
        <v>0</v>
      </c>
      <c r="E13065" t="s">
        <v>588</v>
      </c>
    </row>
    <row r="13066" spans="1:5" hidden="1" x14ac:dyDescent="0.3">
      <c r="A13066" t="s">
        <v>557</v>
      </c>
      <c r="B13066" t="s">
        <v>758</v>
      </c>
      <c r="C13066" t="s">
        <v>632</v>
      </c>
      <c r="D13066" s="230">
        <v>0</v>
      </c>
      <c r="E13066" t="s">
        <v>588</v>
      </c>
    </row>
    <row r="13067" spans="1:5" hidden="1" x14ac:dyDescent="0.3">
      <c r="A13067" t="s">
        <v>557</v>
      </c>
      <c r="B13067" t="s">
        <v>758</v>
      </c>
      <c r="C13067" t="s">
        <v>633</v>
      </c>
      <c r="D13067" s="230">
        <v>0</v>
      </c>
      <c r="E13067" t="s">
        <v>588</v>
      </c>
    </row>
    <row r="13068" spans="1:5" hidden="1" x14ac:dyDescent="0.3">
      <c r="A13068" t="s">
        <v>557</v>
      </c>
      <c r="B13068" t="s">
        <v>758</v>
      </c>
      <c r="C13068" t="s">
        <v>634</v>
      </c>
      <c r="D13068" s="230">
        <v>0</v>
      </c>
      <c r="E13068" t="s">
        <v>588</v>
      </c>
    </row>
    <row r="13069" spans="1:5" hidden="1" x14ac:dyDescent="0.3">
      <c r="A13069" t="s">
        <v>557</v>
      </c>
      <c r="B13069" t="s">
        <v>758</v>
      </c>
      <c r="C13069" t="s">
        <v>635</v>
      </c>
      <c r="D13069" s="230">
        <v>0</v>
      </c>
      <c r="E13069" t="s">
        <v>588</v>
      </c>
    </row>
    <row r="13070" spans="1:5" hidden="1" x14ac:dyDescent="0.3">
      <c r="A13070" t="s">
        <v>557</v>
      </c>
      <c r="B13070" t="s">
        <v>758</v>
      </c>
      <c r="C13070" t="s">
        <v>636</v>
      </c>
      <c r="D13070" s="230">
        <v>0</v>
      </c>
      <c r="E13070" t="s">
        <v>588</v>
      </c>
    </row>
    <row r="13071" spans="1:5" hidden="1" x14ac:dyDescent="0.3">
      <c r="A13071" t="s">
        <v>557</v>
      </c>
      <c r="B13071" t="s">
        <v>758</v>
      </c>
      <c r="C13071" t="s">
        <v>637</v>
      </c>
      <c r="D13071" s="230">
        <v>0</v>
      </c>
      <c r="E13071" t="s">
        <v>588</v>
      </c>
    </row>
    <row r="13072" spans="1:5" hidden="1" x14ac:dyDescent="0.3">
      <c r="A13072" t="s">
        <v>557</v>
      </c>
      <c r="B13072" t="s">
        <v>758</v>
      </c>
      <c r="C13072" t="s">
        <v>638</v>
      </c>
      <c r="D13072" s="230">
        <v>0</v>
      </c>
      <c r="E13072" t="s">
        <v>588</v>
      </c>
    </row>
    <row r="13073" spans="1:5" hidden="1" x14ac:dyDescent="0.3">
      <c r="A13073" t="s">
        <v>557</v>
      </c>
      <c r="B13073" t="s">
        <v>758</v>
      </c>
      <c r="C13073" t="s">
        <v>639</v>
      </c>
      <c r="D13073" s="230">
        <v>0</v>
      </c>
      <c r="E13073" t="s">
        <v>588</v>
      </c>
    </row>
    <row r="13074" spans="1:5" hidden="1" x14ac:dyDescent="0.3">
      <c r="A13074" t="s">
        <v>557</v>
      </c>
      <c r="B13074" t="s">
        <v>758</v>
      </c>
      <c r="C13074" t="s">
        <v>640</v>
      </c>
      <c r="D13074" s="230">
        <v>0</v>
      </c>
      <c r="E13074" t="s">
        <v>588</v>
      </c>
    </row>
    <row r="13075" spans="1:5" hidden="1" x14ac:dyDescent="0.3">
      <c r="A13075" t="s">
        <v>557</v>
      </c>
      <c r="B13075" t="s">
        <v>758</v>
      </c>
      <c r="C13075" t="s">
        <v>641</v>
      </c>
      <c r="D13075" s="230">
        <v>0</v>
      </c>
      <c r="E13075" t="s">
        <v>588</v>
      </c>
    </row>
    <row r="13076" spans="1:5" hidden="1" x14ac:dyDescent="0.3">
      <c r="A13076" t="s">
        <v>557</v>
      </c>
      <c r="B13076" t="s">
        <v>758</v>
      </c>
      <c r="C13076" t="s">
        <v>642</v>
      </c>
      <c r="D13076" s="230">
        <v>0</v>
      </c>
      <c r="E13076" t="s">
        <v>588</v>
      </c>
    </row>
    <row r="13077" spans="1:5" hidden="1" x14ac:dyDescent="0.3">
      <c r="A13077" t="s">
        <v>557</v>
      </c>
      <c r="B13077" t="s">
        <v>758</v>
      </c>
      <c r="C13077" t="s">
        <v>643</v>
      </c>
      <c r="D13077" s="230">
        <v>0</v>
      </c>
      <c r="E13077" t="s">
        <v>588</v>
      </c>
    </row>
    <row r="13078" spans="1:5" hidden="1" x14ac:dyDescent="0.3">
      <c r="A13078" t="s">
        <v>557</v>
      </c>
      <c r="B13078" t="s">
        <v>758</v>
      </c>
      <c r="C13078" t="s">
        <v>644</v>
      </c>
      <c r="D13078" s="230">
        <v>0</v>
      </c>
      <c r="E13078" t="s">
        <v>588</v>
      </c>
    </row>
    <row r="13079" spans="1:5" hidden="1" x14ac:dyDescent="0.3">
      <c r="A13079" t="s">
        <v>557</v>
      </c>
      <c r="B13079" t="s">
        <v>758</v>
      </c>
      <c r="C13079" t="s">
        <v>645</v>
      </c>
      <c r="D13079" s="230">
        <v>0</v>
      </c>
      <c r="E13079" t="s">
        <v>588</v>
      </c>
    </row>
    <row r="13080" spans="1:5" hidden="1" x14ac:dyDescent="0.3">
      <c r="A13080" t="s">
        <v>557</v>
      </c>
      <c r="B13080" t="s">
        <v>758</v>
      </c>
      <c r="C13080" t="s">
        <v>646</v>
      </c>
      <c r="D13080" s="230">
        <v>0</v>
      </c>
      <c r="E13080" t="s">
        <v>588</v>
      </c>
    </row>
    <row r="13081" spans="1:5" hidden="1" x14ac:dyDescent="0.3">
      <c r="A13081" t="s">
        <v>557</v>
      </c>
      <c r="B13081" t="s">
        <v>758</v>
      </c>
      <c r="C13081" t="s">
        <v>647</v>
      </c>
      <c r="D13081" s="230">
        <v>0</v>
      </c>
      <c r="E13081" t="s">
        <v>588</v>
      </c>
    </row>
    <row r="13082" spans="1:5" hidden="1" x14ac:dyDescent="0.3">
      <c r="A13082" t="s">
        <v>557</v>
      </c>
      <c r="B13082" t="s">
        <v>758</v>
      </c>
      <c r="C13082" t="s">
        <v>648</v>
      </c>
      <c r="D13082" s="230">
        <v>0</v>
      </c>
      <c r="E13082" t="s">
        <v>588</v>
      </c>
    </row>
    <row r="13083" spans="1:5" hidden="1" x14ac:dyDescent="0.3">
      <c r="A13083" t="s">
        <v>557</v>
      </c>
      <c r="B13083" t="s">
        <v>758</v>
      </c>
      <c r="C13083" t="s">
        <v>649</v>
      </c>
      <c r="D13083" s="230">
        <v>0</v>
      </c>
      <c r="E13083" t="s">
        <v>588</v>
      </c>
    </row>
    <row r="13084" spans="1:5" hidden="1" x14ac:dyDescent="0.3">
      <c r="A13084" t="s">
        <v>557</v>
      </c>
      <c r="B13084" t="s">
        <v>758</v>
      </c>
      <c r="C13084" t="s">
        <v>650</v>
      </c>
      <c r="D13084" s="230">
        <v>0</v>
      </c>
      <c r="E13084" t="s">
        <v>588</v>
      </c>
    </row>
    <row r="13085" spans="1:5" hidden="1" x14ac:dyDescent="0.3">
      <c r="A13085" t="s">
        <v>557</v>
      </c>
      <c r="B13085" t="s">
        <v>758</v>
      </c>
      <c r="C13085" t="s">
        <v>651</v>
      </c>
      <c r="D13085" s="230">
        <v>0</v>
      </c>
      <c r="E13085" t="s">
        <v>588</v>
      </c>
    </row>
    <row r="13086" spans="1:5" hidden="1" x14ac:dyDescent="0.3">
      <c r="A13086" t="s">
        <v>557</v>
      </c>
      <c r="B13086" t="s">
        <v>758</v>
      </c>
      <c r="C13086" t="s">
        <v>652</v>
      </c>
      <c r="D13086" s="230">
        <v>0</v>
      </c>
      <c r="E13086" t="s">
        <v>588</v>
      </c>
    </row>
    <row r="13087" spans="1:5" hidden="1" x14ac:dyDescent="0.3">
      <c r="A13087" t="s">
        <v>557</v>
      </c>
      <c r="B13087" t="s">
        <v>758</v>
      </c>
      <c r="C13087" t="s">
        <v>653</v>
      </c>
      <c r="D13087" s="230">
        <v>0</v>
      </c>
      <c r="E13087" t="s">
        <v>588</v>
      </c>
    </row>
    <row r="13088" spans="1:5" hidden="1" x14ac:dyDescent="0.3">
      <c r="A13088" t="s">
        <v>557</v>
      </c>
      <c r="B13088" t="s">
        <v>758</v>
      </c>
      <c r="C13088" t="s">
        <v>654</v>
      </c>
      <c r="D13088" s="230">
        <v>0</v>
      </c>
      <c r="E13088" t="s">
        <v>588</v>
      </c>
    </row>
    <row r="13089" spans="1:5" hidden="1" x14ac:dyDescent="0.3">
      <c r="A13089" t="s">
        <v>557</v>
      </c>
      <c r="B13089" t="s">
        <v>758</v>
      </c>
      <c r="C13089" t="s">
        <v>655</v>
      </c>
      <c r="D13089" s="230">
        <v>0</v>
      </c>
      <c r="E13089" t="s">
        <v>588</v>
      </c>
    </row>
    <row r="13090" spans="1:5" hidden="1" x14ac:dyDescent="0.3">
      <c r="A13090" t="s">
        <v>557</v>
      </c>
      <c r="B13090" t="s">
        <v>758</v>
      </c>
      <c r="C13090" t="s">
        <v>656</v>
      </c>
      <c r="D13090" s="230">
        <v>0</v>
      </c>
      <c r="E13090" t="s">
        <v>588</v>
      </c>
    </row>
    <row r="13091" spans="1:5" hidden="1" x14ac:dyDescent="0.3">
      <c r="A13091" t="s">
        <v>557</v>
      </c>
      <c r="B13091" t="s">
        <v>758</v>
      </c>
      <c r="C13091" t="s">
        <v>657</v>
      </c>
      <c r="D13091" s="230">
        <v>0</v>
      </c>
      <c r="E13091" t="s">
        <v>588</v>
      </c>
    </row>
    <row r="13092" spans="1:5" hidden="1" x14ac:dyDescent="0.3">
      <c r="A13092" t="s">
        <v>557</v>
      </c>
      <c r="B13092" t="s">
        <v>758</v>
      </c>
      <c r="C13092" t="s">
        <v>658</v>
      </c>
      <c r="D13092" s="230">
        <v>0</v>
      </c>
      <c r="E13092" t="s">
        <v>588</v>
      </c>
    </row>
    <row r="13093" spans="1:5" hidden="1" x14ac:dyDescent="0.3">
      <c r="A13093" t="s">
        <v>557</v>
      </c>
      <c r="B13093" t="s">
        <v>758</v>
      </c>
      <c r="C13093" t="s">
        <v>659</v>
      </c>
      <c r="D13093" s="230">
        <v>0</v>
      </c>
      <c r="E13093" t="s">
        <v>588</v>
      </c>
    </row>
    <row r="13094" spans="1:5" hidden="1" x14ac:dyDescent="0.3">
      <c r="A13094" t="s">
        <v>557</v>
      </c>
      <c r="B13094" t="s">
        <v>758</v>
      </c>
      <c r="C13094" t="s">
        <v>660</v>
      </c>
      <c r="D13094" s="230">
        <v>0</v>
      </c>
      <c r="E13094" t="s">
        <v>588</v>
      </c>
    </row>
    <row r="13095" spans="1:5" hidden="1" x14ac:dyDescent="0.3">
      <c r="A13095" t="s">
        <v>557</v>
      </c>
      <c r="B13095" t="s">
        <v>758</v>
      </c>
      <c r="C13095" t="s">
        <v>661</v>
      </c>
      <c r="D13095" s="230">
        <v>0</v>
      </c>
      <c r="E13095" t="s">
        <v>588</v>
      </c>
    </row>
    <row r="13096" spans="1:5" hidden="1" x14ac:dyDescent="0.3">
      <c r="A13096" t="s">
        <v>557</v>
      </c>
      <c r="B13096" t="s">
        <v>758</v>
      </c>
      <c r="C13096" t="s">
        <v>662</v>
      </c>
      <c r="D13096" s="230">
        <v>0</v>
      </c>
      <c r="E13096" t="s">
        <v>588</v>
      </c>
    </row>
    <row r="13097" spans="1:5" hidden="1" x14ac:dyDescent="0.3">
      <c r="A13097" t="s">
        <v>557</v>
      </c>
      <c r="B13097" t="s">
        <v>758</v>
      </c>
      <c r="C13097" t="s">
        <v>663</v>
      </c>
      <c r="D13097" s="230">
        <v>0</v>
      </c>
      <c r="E13097" t="s">
        <v>588</v>
      </c>
    </row>
    <row r="13098" spans="1:5" hidden="1" x14ac:dyDescent="0.3">
      <c r="A13098" t="s">
        <v>557</v>
      </c>
      <c r="B13098" t="s">
        <v>758</v>
      </c>
      <c r="C13098" t="s">
        <v>664</v>
      </c>
      <c r="D13098" s="230">
        <v>0</v>
      </c>
      <c r="E13098" t="s">
        <v>588</v>
      </c>
    </row>
    <row r="13099" spans="1:5" hidden="1" x14ac:dyDescent="0.3">
      <c r="A13099" t="s">
        <v>557</v>
      </c>
      <c r="B13099" t="s">
        <v>758</v>
      </c>
      <c r="C13099" t="s">
        <v>665</v>
      </c>
      <c r="D13099" s="230">
        <v>0</v>
      </c>
      <c r="E13099" t="s">
        <v>588</v>
      </c>
    </row>
    <row r="13100" spans="1:5" hidden="1" x14ac:dyDescent="0.3">
      <c r="A13100" t="s">
        <v>557</v>
      </c>
      <c r="B13100" t="s">
        <v>758</v>
      </c>
      <c r="C13100" t="s">
        <v>666</v>
      </c>
      <c r="D13100" s="230">
        <v>0</v>
      </c>
      <c r="E13100" t="s">
        <v>588</v>
      </c>
    </row>
    <row r="13101" spans="1:5" hidden="1" x14ac:dyDescent="0.3">
      <c r="A13101" t="s">
        <v>557</v>
      </c>
      <c r="B13101" t="s">
        <v>758</v>
      </c>
      <c r="C13101" t="s">
        <v>667</v>
      </c>
      <c r="D13101" s="230">
        <v>0</v>
      </c>
      <c r="E13101" t="s">
        <v>588</v>
      </c>
    </row>
    <row r="13102" spans="1:5" hidden="1" x14ac:dyDescent="0.3">
      <c r="A13102" t="s">
        <v>557</v>
      </c>
      <c r="B13102" t="s">
        <v>758</v>
      </c>
      <c r="C13102" t="s">
        <v>668</v>
      </c>
      <c r="D13102" s="230">
        <v>0</v>
      </c>
      <c r="E13102" t="s">
        <v>588</v>
      </c>
    </row>
    <row r="13103" spans="1:5" hidden="1" x14ac:dyDescent="0.3">
      <c r="A13103" t="s">
        <v>557</v>
      </c>
      <c r="B13103" t="s">
        <v>758</v>
      </c>
      <c r="C13103" t="s">
        <v>669</v>
      </c>
      <c r="D13103" s="230">
        <v>0</v>
      </c>
      <c r="E13103" t="s">
        <v>588</v>
      </c>
    </row>
    <row r="13104" spans="1:5" hidden="1" x14ac:dyDescent="0.3">
      <c r="A13104" t="s">
        <v>557</v>
      </c>
      <c r="B13104" t="s">
        <v>758</v>
      </c>
      <c r="C13104" t="s">
        <v>670</v>
      </c>
      <c r="D13104" s="230">
        <v>0</v>
      </c>
      <c r="E13104" t="s">
        <v>588</v>
      </c>
    </row>
    <row r="13105" spans="1:5" hidden="1" x14ac:dyDescent="0.3">
      <c r="A13105" t="s">
        <v>557</v>
      </c>
      <c r="B13105" t="s">
        <v>758</v>
      </c>
      <c r="C13105" t="s">
        <v>671</v>
      </c>
      <c r="D13105" s="230">
        <v>0</v>
      </c>
      <c r="E13105" t="s">
        <v>588</v>
      </c>
    </row>
    <row r="13106" spans="1:5" hidden="1" x14ac:dyDescent="0.3">
      <c r="A13106" t="s">
        <v>557</v>
      </c>
      <c r="B13106" t="s">
        <v>758</v>
      </c>
      <c r="C13106" t="s">
        <v>672</v>
      </c>
      <c r="D13106" s="230">
        <v>0</v>
      </c>
      <c r="E13106" t="s">
        <v>588</v>
      </c>
    </row>
    <row r="13107" spans="1:5" hidden="1" x14ac:dyDescent="0.3">
      <c r="A13107" t="s">
        <v>557</v>
      </c>
      <c r="B13107" t="s">
        <v>758</v>
      </c>
      <c r="C13107" t="s">
        <v>673</v>
      </c>
      <c r="D13107" s="230">
        <v>0</v>
      </c>
      <c r="E13107" t="s">
        <v>588</v>
      </c>
    </row>
    <row r="13108" spans="1:5" hidden="1" x14ac:dyDescent="0.3">
      <c r="A13108" t="s">
        <v>557</v>
      </c>
      <c r="B13108" t="s">
        <v>758</v>
      </c>
      <c r="C13108" t="s">
        <v>674</v>
      </c>
      <c r="D13108" s="230">
        <v>0</v>
      </c>
      <c r="E13108" t="s">
        <v>588</v>
      </c>
    </row>
    <row r="13109" spans="1:5" hidden="1" x14ac:dyDescent="0.3">
      <c r="A13109" t="s">
        <v>557</v>
      </c>
      <c r="B13109" t="s">
        <v>758</v>
      </c>
      <c r="C13109" t="s">
        <v>675</v>
      </c>
      <c r="D13109" s="230">
        <v>0</v>
      </c>
      <c r="E13109" t="s">
        <v>588</v>
      </c>
    </row>
    <row r="13110" spans="1:5" hidden="1" x14ac:dyDescent="0.3">
      <c r="A13110" t="s">
        <v>557</v>
      </c>
      <c r="B13110" t="s">
        <v>758</v>
      </c>
      <c r="C13110" t="s">
        <v>676</v>
      </c>
      <c r="D13110" s="230">
        <v>0</v>
      </c>
      <c r="E13110" t="s">
        <v>588</v>
      </c>
    </row>
    <row r="13111" spans="1:5" hidden="1" x14ac:dyDescent="0.3">
      <c r="A13111" t="s">
        <v>557</v>
      </c>
      <c r="B13111" t="s">
        <v>758</v>
      </c>
      <c r="C13111" t="s">
        <v>677</v>
      </c>
      <c r="D13111" s="230">
        <v>0</v>
      </c>
      <c r="E13111" t="s">
        <v>588</v>
      </c>
    </row>
    <row r="13112" spans="1:5" hidden="1" x14ac:dyDescent="0.3">
      <c r="A13112" t="s">
        <v>557</v>
      </c>
      <c r="B13112" t="s">
        <v>758</v>
      </c>
      <c r="C13112" t="s">
        <v>201</v>
      </c>
      <c r="D13112" s="230">
        <v>-9960.77</v>
      </c>
      <c r="E13112" t="s">
        <v>588</v>
      </c>
    </row>
    <row r="13113" spans="1:5" hidden="1" x14ac:dyDescent="0.3">
      <c r="A13113" t="s">
        <v>557</v>
      </c>
      <c r="B13113" t="s">
        <v>758</v>
      </c>
      <c r="C13113" t="s">
        <v>203</v>
      </c>
      <c r="D13113" s="230">
        <v>-9960.77</v>
      </c>
      <c r="E13113" t="s">
        <v>588</v>
      </c>
    </row>
    <row r="13114" spans="1:5" hidden="1" x14ac:dyDescent="0.3">
      <c r="A13114" t="s">
        <v>557</v>
      </c>
      <c r="B13114" t="s">
        <v>758</v>
      </c>
      <c r="C13114" t="s">
        <v>678</v>
      </c>
      <c r="D13114" s="230">
        <v>4980.3900000000003</v>
      </c>
      <c r="E13114" t="s">
        <v>588</v>
      </c>
    </row>
    <row r="13115" spans="1:5" hidden="1" x14ac:dyDescent="0.3">
      <c r="A13115" t="s">
        <v>557</v>
      </c>
      <c r="B13115" t="s">
        <v>758</v>
      </c>
      <c r="C13115" t="s">
        <v>205</v>
      </c>
      <c r="D13115" s="230">
        <v>-19897.689999999999</v>
      </c>
      <c r="E13115" t="s">
        <v>588</v>
      </c>
    </row>
    <row r="13116" spans="1:5" hidden="1" x14ac:dyDescent="0.3">
      <c r="A13116" t="s">
        <v>557</v>
      </c>
      <c r="B13116" t="s">
        <v>758</v>
      </c>
      <c r="C13116" t="s">
        <v>679</v>
      </c>
      <c r="D13116" s="230">
        <v>-5206.8900000000003</v>
      </c>
      <c r="E13116" t="s">
        <v>588</v>
      </c>
    </row>
    <row r="13117" spans="1:5" hidden="1" x14ac:dyDescent="0.3">
      <c r="A13117" t="s">
        <v>557</v>
      </c>
      <c r="B13117" t="s">
        <v>758</v>
      </c>
      <c r="C13117" t="s">
        <v>680</v>
      </c>
      <c r="D13117" s="230">
        <v>0</v>
      </c>
      <c r="E13117" t="s">
        <v>588</v>
      </c>
    </row>
    <row r="13118" spans="1:5" hidden="1" x14ac:dyDescent="0.3">
      <c r="A13118" t="s">
        <v>557</v>
      </c>
      <c r="B13118" t="s">
        <v>758</v>
      </c>
      <c r="C13118" t="s">
        <v>681</v>
      </c>
      <c r="D13118" s="230">
        <v>0</v>
      </c>
      <c r="E13118" t="s">
        <v>588</v>
      </c>
    </row>
    <row r="13119" spans="1:5" hidden="1" x14ac:dyDescent="0.3">
      <c r="A13119" t="s">
        <v>557</v>
      </c>
      <c r="B13119" t="s">
        <v>758</v>
      </c>
      <c r="C13119" t="s">
        <v>682</v>
      </c>
      <c r="D13119" s="230">
        <v>-5261.63</v>
      </c>
      <c r="E13119" t="s">
        <v>588</v>
      </c>
    </row>
    <row r="13120" spans="1:5" hidden="1" x14ac:dyDescent="0.3">
      <c r="A13120" t="s">
        <v>557</v>
      </c>
      <c r="B13120" t="s">
        <v>758</v>
      </c>
      <c r="C13120" t="s">
        <v>683</v>
      </c>
      <c r="D13120" s="230">
        <v>-5229.26</v>
      </c>
      <c r="E13120" t="s">
        <v>588</v>
      </c>
    </row>
    <row r="13121" spans="1:5" hidden="1" x14ac:dyDescent="0.3">
      <c r="A13121" t="s">
        <v>557</v>
      </c>
      <c r="B13121" t="s">
        <v>758</v>
      </c>
      <c r="C13121" t="s">
        <v>684</v>
      </c>
      <c r="D13121" s="230">
        <v>-46.83</v>
      </c>
      <c r="E13121" t="s">
        <v>588</v>
      </c>
    </row>
    <row r="13122" spans="1:5" hidden="1" x14ac:dyDescent="0.3">
      <c r="A13122" t="s">
        <v>557</v>
      </c>
      <c r="B13122" t="s">
        <v>758</v>
      </c>
      <c r="C13122" t="s">
        <v>685</v>
      </c>
      <c r="D13122" s="230">
        <v>0</v>
      </c>
      <c r="E13122" t="s">
        <v>588</v>
      </c>
    </row>
    <row r="13123" spans="1:5" hidden="1" x14ac:dyDescent="0.3">
      <c r="A13123" t="s">
        <v>557</v>
      </c>
      <c r="B13123" t="s">
        <v>758</v>
      </c>
      <c r="C13123" t="s">
        <v>686</v>
      </c>
      <c r="D13123" s="230">
        <v>-87.87</v>
      </c>
      <c r="E13123" t="s">
        <v>588</v>
      </c>
    </row>
    <row r="13124" spans="1:5" hidden="1" x14ac:dyDescent="0.3">
      <c r="A13124" t="s">
        <v>557</v>
      </c>
      <c r="B13124" t="s">
        <v>758</v>
      </c>
      <c r="C13124" t="s">
        <v>687</v>
      </c>
      <c r="D13124" s="230">
        <v>0</v>
      </c>
      <c r="E13124" t="s">
        <v>588</v>
      </c>
    </row>
    <row r="13125" spans="1:5" hidden="1" x14ac:dyDescent="0.3">
      <c r="A13125" t="s">
        <v>557</v>
      </c>
      <c r="B13125" t="s">
        <v>758</v>
      </c>
      <c r="C13125" t="s">
        <v>688</v>
      </c>
      <c r="D13125" s="230">
        <v>-4065.22</v>
      </c>
      <c r="E13125" t="s">
        <v>588</v>
      </c>
    </row>
    <row r="13126" spans="1:5" hidden="1" x14ac:dyDescent="0.3">
      <c r="A13126" t="s">
        <v>557</v>
      </c>
      <c r="B13126" t="s">
        <v>758</v>
      </c>
      <c r="C13126" t="s">
        <v>689</v>
      </c>
      <c r="D13126" s="230">
        <v>0</v>
      </c>
      <c r="E13126" t="s">
        <v>588</v>
      </c>
    </row>
    <row r="13127" spans="1:5" hidden="1" x14ac:dyDescent="0.3">
      <c r="A13127" t="s">
        <v>557</v>
      </c>
      <c r="B13127" t="s">
        <v>758</v>
      </c>
      <c r="C13127" t="s">
        <v>690</v>
      </c>
      <c r="D13127" s="230">
        <v>0</v>
      </c>
      <c r="E13127" t="s">
        <v>588</v>
      </c>
    </row>
    <row r="13128" spans="1:5" hidden="1" x14ac:dyDescent="0.3">
      <c r="A13128" t="s">
        <v>557</v>
      </c>
      <c r="B13128" t="s">
        <v>758</v>
      </c>
      <c r="C13128" t="s">
        <v>691</v>
      </c>
      <c r="D13128" s="230">
        <v>0</v>
      </c>
      <c r="E13128" t="s">
        <v>588</v>
      </c>
    </row>
    <row r="13129" spans="1:5" hidden="1" x14ac:dyDescent="0.3">
      <c r="A13129" t="s">
        <v>557</v>
      </c>
      <c r="B13129" t="s">
        <v>758</v>
      </c>
      <c r="C13129" t="s">
        <v>692</v>
      </c>
      <c r="D13129" s="230">
        <v>0</v>
      </c>
      <c r="E13129" t="s">
        <v>588</v>
      </c>
    </row>
    <row r="13130" spans="1:5" hidden="1" x14ac:dyDescent="0.3">
      <c r="A13130" t="s">
        <v>557</v>
      </c>
      <c r="B13130" t="s">
        <v>758</v>
      </c>
      <c r="C13130" t="s">
        <v>693</v>
      </c>
      <c r="D13130" s="230">
        <v>0</v>
      </c>
      <c r="E13130" t="s">
        <v>588</v>
      </c>
    </row>
    <row r="13131" spans="1:5" hidden="1" x14ac:dyDescent="0.3">
      <c r="A13131" t="s">
        <v>557</v>
      </c>
      <c r="B13131" t="s">
        <v>758</v>
      </c>
      <c r="C13131" t="s">
        <v>694</v>
      </c>
      <c r="D13131" s="230">
        <v>0</v>
      </c>
      <c r="E13131" t="s">
        <v>588</v>
      </c>
    </row>
    <row r="13132" spans="1:5" hidden="1" x14ac:dyDescent="0.3">
      <c r="A13132" t="s">
        <v>557</v>
      </c>
      <c r="B13132" t="s">
        <v>758</v>
      </c>
      <c r="C13132" t="s">
        <v>238</v>
      </c>
      <c r="D13132" s="230">
        <v>-3385.7</v>
      </c>
      <c r="E13132" t="s">
        <v>588</v>
      </c>
    </row>
    <row r="13133" spans="1:5" hidden="1" x14ac:dyDescent="0.3">
      <c r="A13133" t="s">
        <v>557</v>
      </c>
      <c r="B13133" t="s">
        <v>758</v>
      </c>
      <c r="C13133" t="s">
        <v>695</v>
      </c>
      <c r="D13133" s="230">
        <v>-1632.56</v>
      </c>
      <c r="E13133" t="s">
        <v>588</v>
      </c>
    </row>
    <row r="13134" spans="1:5" hidden="1" x14ac:dyDescent="0.3">
      <c r="A13134" t="s">
        <v>557</v>
      </c>
      <c r="B13134" t="s">
        <v>758</v>
      </c>
      <c r="C13134" t="s">
        <v>696</v>
      </c>
      <c r="D13134" s="230">
        <v>-1545.49</v>
      </c>
      <c r="E13134" t="s">
        <v>588</v>
      </c>
    </row>
    <row r="13135" spans="1:5" hidden="1" x14ac:dyDescent="0.3">
      <c r="A13135" t="s">
        <v>557</v>
      </c>
      <c r="B13135" t="s">
        <v>758</v>
      </c>
      <c r="C13135" t="s">
        <v>697</v>
      </c>
      <c r="D13135" s="230">
        <v>0</v>
      </c>
      <c r="E13135" t="s">
        <v>588</v>
      </c>
    </row>
    <row r="13136" spans="1:5" hidden="1" x14ac:dyDescent="0.3">
      <c r="A13136" t="s">
        <v>557</v>
      </c>
      <c r="B13136" t="s">
        <v>758</v>
      </c>
      <c r="C13136" t="s">
        <v>698</v>
      </c>
      <c r="D13136" s="230">
        <v>-207.65</v>
      </c>
      <c r="E13136" t="s">
        <v>588</v>
      </c>
    </row>
    <row r="13137" spans="1:5" hidden="1" x14ac:dyDescent="0.3">
      <c r="A13137" t="s">
        <v>557</v>
      </c>
      <c r="B13137" t="s">
        <v>758</v>
      </c>
      <c r="C13137" t="s">
        <v>699</v>
      </c>
      <c r="D13137" s="230">
        <v>0</v>
      </c>
      <c r="E13137" t="s">
        <v>588</v>
      </c>
    </row>
    <row r="13138" spans="1:5" hidden="1" x14ac:dyDescent="0.3">
      <c r="A13138" t="s">
        <v>557</v>
      </c>
      <c r="B13138" t="s">
        <v>758</v>
      </c>
      <c r="C13138" t="s">
        <v>245</v>
      </c>
      <c r="D13138" s="230">
        <v>-18441.79</v>
      </c>
      <c r="E13138" t="s">
        <v>588</v>
      </c>
    </row>
    <row r="13139" spans="1:5" hidden="1" x14ac:dyDescent="0.3">
      <c r="A13139" t="s">
        <v>557</v>
      </c>
      <c r="B13139" t="s">
        <v>758</v>
      </c>
      <c r="C13139" t="s">
        <v>700</v>
      </c>
      <c r="D13139" s="230">
        <v>0</v>
      </c>
      <c r="E13139" t="s">
        <v>588</v>
      </c>
    </row>
    <row r="13140" spans="1:5" hidden="1" x14ac:dyDescent="0.3">
      <c r="A13140" t="s">
        <v>557</v>
      </c>
      <c r="B13140" t="s">
        <v>758</v>
      </c>
      <c r="C13140" t="s">
        <v>701</v>
      </c>
      <c r="D13140" s="230">
        <v>-537.78</v>
      </c>
      <c r="E13140" t="s">
        <v>588</v>
      </c>
    </row>
    <row r="13141" spans="1:5" hidden="1" x14ac:dyDescent="0.3">
      <c r="A13141" t="s">
        <v>557</v>
      </c>
      <c r="B13141" t="s">
        <v>758</v>
      </c>
      <c r="C13141" t="s">
        <v>702</v>
      </c>
      <c r="D13141" s="230">
        <v>0</v>
      </c>
      <c r="E13141" t="s">
        <v>588</v>
      </c>
    </row>
    <row r="13142" spans="1:5" hidden="1" x14ac:dyDescent="0.3">
      <c r="A13142" t="s">
        <v>557</v>
      </c>
      <c r="B13142" t="s">
        <v>758</v>
      </c>
      <c r="C13142" t="s">
        <v>703</v>
      </c>
      <c r="D13142" s="230">
        <v>0</v>
      </c>
      <c r="E13142" t="s">
        <v>588</v>
      </c>
    </row>
    <row r="13143" spans="1:5" hidden="1" x14ac:dyDescent="0.3">
      <c r="A13143" t="s">
        <v>557</v>
      </c>
      <c r="B13143" t="s">
        <v>758</v>
      </c>
      <c r="C13143" t="s">
        <v>704</v>
      </c>
      <c r="D13143" s="230">
        <v>0</v>
      </c>
      <c r="E13143" t="s">
        <v>588</v>
      </c>
    </row>
    <row r="13144" spans="1:5" hidden="1" x14ac:dyDescent="0.3">
      <c r="A13144" t="s">
        <v>557</v>
      </c>
      <c r="B13144" t="s">
        <v>758</v>
      </c>
      <c r="C13144" t="s">
        <v>705</v>
      </c>
      <c r="D13144" s="230">
        <v>-17904.009999999998</v>
      </c>
      <c r="E13144" t="s">
        <v>588</v>
      </c>
    </row>
    <row r="13145" spans="1:5" hidden="1" x14ac:dyDescent="0.3">
      <c r="A13145" t="s">
        <v>557</v>
      </c>
      <c r="B13145" t="s">
        <v>758</v>
      </c>
      <c r="C13145" t="s">
        <v>706</v>
      </c>
      <c r="D13145" s="230">
        <v>0</v>
      </c>
      <c r="E13145" t="s">
        <v>588</v>
      </c>
    </row>
    <row r="13146" spans="1:5" hidden="1" x14ac:dyDescent="0.3">
      <c r="A13146" t="s">
        <v>557</v>
      </c>
      <c r="B13146" t="s">
        <v>758</v>
      </c>
      <c r="C13146" t="s">
        <v>254</v>
      </c>
      <c r="D13146" s="230">
        <v>-0.21</v>
      </c>
      <c r="E13146" t="s">
        <v>588</v>
      </c>
    </row>
    <row r="13147" spans="1:5" hidden="1" x14ac:dyDescent="0.3">
      <c r="A13147" t="s">
        <v>557</v>
      </c>
      <c r="B13147" t="s">
        <v>758</v>
      </c>
      <c r="C13147" t="s">
        <v>255</v>
      </c>
      <c r="D13147" s="230">
        <v>-0.21</v>
      </c>
      <c r="E13147" t="s">
        <v>588</v>
      </c>
    </row>
    <row r="13148" spans="1:5" hidden="1" x14ac:dyDescent="0.3">
      <c r="A13148" t="s">
        <v>557</v>
      </c>
      <c r="B13148" t="s">
        <v>758</v>
      </c>
      <c r="C13148" t="s">
        <v>256</v>
      </c>
      <c r="D13148" s="230">
        <v>-54787.88</v>
      </c>
      <c r="E13148" t="s">
        <v>588</v>
      </c>
    </row>
    <row r="13149" spans="1:5" hidden="1" x14ac:dyDescent="0.3">
      <c r="A13149" t="s">
        <v>557</v>
      </c>
      <c r="B13149" t="s">
        <v>758</v>
      </c>
      <c r="C13149" t="s">
        <v>257</v>
      </c>
      <c r="D13149" s="230">
        <v>-51939.55</v>
      </c>
      <c r="E13149" t="s">
        <v>588</v>
      </c>
    </row>
    <row r="13150" spans="1:5" hidden="1" x14ac:dyDescent="0.3">
      <c r="A13150" t="s">
        <v>557</v>
      </c>
      <c r="B13150" t="s">
        <v>758</v>
      </c>
      <c r="C13150" t="s">
        <v>258</v>
      </c>
      <c r="D13150" s="230">
        <v>0</v>
      </c>
      <c r="E13150" t="s">
        <v>588</v>
      </c>
    </row>
    <row r="13151" spans="1:5" hidden="1" x14ac:dyDescent="0.3">
      <c r="A13151" t="s">
        <v>557</v>
      </c>
      <c r="B13151" t="s">
        <v>758</v>
      </c>
      <c r="C13151" t="s">
        <v>259</v>
      </c>
      <c r="D13151" s="230">
        <v>-2848.33</v>
      </c>
      <c r="E13151" t="s">
        <v>588</v>
      </c>
    </row>
    <row r="13152" spans="1:5" hidden="1" x14ac:dyDescent="0.3">
      <c r="A13152" t="s">
        <v>557</v>
      </c>
      <c r="B13152" t="s">
        <v>758</v>
      </c>
      <c r="C13152" t="s">
        <v>260</v>
      </c>
      <c r="D13152" s="230">
        <v>0</v>
      </c>
      <c r="E13152" t="s">
        <v>588</v>
      </c>
    </row>
    <row r="13153" spans="1:5" hidden="1" x14ac:dyDescent="0.3">
      <c r="A13153" t="s">
        <v>557</v>
      </c>
      <c r="B13153" t="s">
        <v>758</v>
      </c>
      <c r="C13153" t="s">
        <v>261</v>
      </c>
      <c r="D13153" s="230">
        <v>0</v>
      </c>
      <c r="E13153" t="s">
        <v>588</v>
      </c>
    </row>
    <row r="13154" spans="1:5" hidden="1" x14ac:dyDescent="0.3">
      <c r="A13154" t="s">
        <v>557</v>
      </c>
      <c r="B13154" t="s">
        <v>758</v>
      </c>
      <c r="C13154" t="s">
        <v>262</v>
      </c>
      <c r="D13154" s="230">
        <v>0</v>
      </c>
      <c r="E13154" t="s">
        <v>588</v>
      </c>
    </row>
    <row r="13155" spans="1:5" hidden="1" x14ac:dyDescent="0.3">
      <c r="A13155" t="s">
        <v>557</v>
      </c>
      <c r="B13155" t="s">
        <v>758</v>
      </c>
      <c r="C13155" t="s">
        <v>263</v>
      </c>
      <c r="D13155" s="230">
        <v>0</v>
      </c>
      <c r="E13155" t="s">
        <v>588</v>
      </c>
    </row>
    <row r="13156" spans="1:5" hidden="1" x14ac:dyDescent="0.3">
      <c r="A13156" t="s">
        <v>557</v>
      </c>
      <c r="B13156" t="s">
        <v>758</v>
      </c>
      <c r="C13156" t="s">
        <v>44</v>
      </c>
      <c r="D13156" s="230">
        <v>-0.1</v>
      </c>
      <c r="E13156" t="s">
        <v>588</v>
      </c>
    </row>
    <row r="13157" spans="1:5" hidden="1" x14ac:dyDescent="0.3">
      <c r="A13157" t="s">
        <v>557</v>
      </c>
      <c r="B13157" t="s">
        <v>758</v>
      </c>
      <c r="C13157" t="s">
        <v>264</v>
      </c>
      <c r="D13157" s="230">
        <v>-39667.699999999997</v>
      </c>
      <c r="E13157" t="s">
        <v>588</v>
      </c>
    </row>
    <row r="13158" spans="1:5" hidden="1" x14ac:dyDescent="0.3">
      <c r="A13158" t="s">
        <v>557</v>
      </c>
      <c r="B13158" t="s">
        <v>758</v>
      </c>
      <c r="C13158" t="s">
        <v>265</v>
      </c>
      <c r="D13158" s="230">
        <v>-5423.64</v>
      </c>
      <c r="E13158" t="s">
        <v>588</v>
      </c>
    </row>
    <row r="13159" spans="1:5" hidden="1" x14ac:dyDescent="0.3">
      <c r="A13159" t="s">
        <v>557</v>
      </c>
      <c r="B13159" t="s">
        <v>758</v>
      </c>
      <c r="C13159" t="s">
        <v>266</v>
      </c>
      <c r="D13159" s="230">
        <v>-13034.09</v>
      </c>
      <c r="E13159" t="s">
        <v>588</v>
      </c>
    </row>
    <row r="13160" spans="1:5" hidden="1" x14ac:dyDescent="0.3">
      <c r="A13160" t="s">
        <v>557</v>
      </c>
      <c r="B13160" t="s">
        <v>758</v>
      </c>
      <c r="C13160" t="s">
        <v>267</v>
      </c>
      <c r="D13160" s="230">
        <v>-6033.99</v>
      </c>
      <c r="E13160" t="s">
        <v>588</v>
      </c>
    </row>
    <row r="13161" spans="1:5" hidden="1" x14ac:dyDescent="0.3">
      <c r="A13161" t="s">
        <v>557</v>
      </c>
      <c r="B13161" t="s">
        <v>758</v>
      </c>
      <c r="C13161" t="s">
        <v>268</v>
      </c>
      <c r="D13161" s="230">
        <v>-5745.25</v>
      </c>
      <c r="E13161" t="s">
        <v>588</v>
      </c>
    </row>
    <row r="13162" spans="1:5" hidden="1" x14ac:dyDescent="0.3">
      <c r="A13162" t="s">
        <v>557</v>
      </c>
      <c r="B13162" t="s">
        <v>758</v>
      </c>
      <c r="C13162" t="s">
        <v>269</v>
      </c>
      <c r="D13162" s="230">
        <v>0</v>
      </c>
      <c r="E13162" t="s">
        <v>588</v>
      </c>
    </row>
    <row r="13163" spans="1:5" hidden="1" x14ac:dyDescent="0.3">
      <c r="A13163" t="s">
        <v>557</v>
      </c>
      <c r="B13163" t="s">
        <v>758</v>
      </c>
      <c r="C13163" t="s">
        <v>270</v>
      </c>
      <c r="D13163" s="230">
        <v>-550</v>
      </c>
      <c r="E13163" t="s">
        <v>588</v>
      </c>
    </row>
    <row r="13164" spans="1:5" hidden="1" x14ac:dyDescent="0.3">
      <c r="A13164" t="s">
        <v>557</v>
      </c>
      <c r="B13164" t="s">
        <v>758</v>
      </c>
      <c r="C13164" t="s">
        <v>271</v>
      </c>
      <c r="D13164" s="230">
        <v>-1020.11</v>
      </c>
      <c r="E13164" t="s">
        <v>588</v>
      </c>
    </row>
    <row r="13165" spans="1:5" hidden="1" x14ac:dyDescent="0.3">
      <c r="A13165" t="s">
        <v>557</v>
      </c>
      <c r="B13165" t="s">
        <v>758</v>
      </c>
      <c r="C13165" t="s">
        <v>272</v>
      </c>
      <c r="D13165" s="230">
        <v>-1605.01</v>
      </c>
      <c r="E13165" t="s">
        <v>588</v>
      </c>
    </row>
    <row r="13166" spans="1:5" hidden="1" x14ac:dyDescent="0.3">
      <c r="A13166" t="s">
        <v>557</v>
      </c>
      <c r="B13166" t="s">
        <v>758</v>
      </c>
      <c r="C13166" t="s">
        <v>273</v>
      </c>
      <c r="D13166" s="230">
        <v>0</v>
      </c>
      <c r="E13166" t="s">
        <v>588</v>
      </c>
    </row>
    <row r="13167" spans="1:5" hidden="1" x14ac:dyDescent="0.3">
      <c r="A13167" t="s">
        <v>557</v>
      </c>
      <c r="B13167" t="s">
        <v>758</v>
      </c>
      <c r="C13167" t="s">
        <v>274</v>
      </c>
      <c r="D13167" s="230">
        <v>0</v>
      </c>
      <c r="E13167" t="s">
        <v>588</v>
      </c>
    </row>
    <row r="13168" spans="1:5" hidden="1" x14ac:dyDescent="0.3">
      <c r="A13168" t="s">
        <v>557</v>
      </c>
      <c r="B13168" t="s">
        <v>758</v>
      </c>
      <c r="C13168" t="s">
        <v>275</v>
      </c>
      <c r="D13168" s="230">
        <v>-720.07</v>
      </c>
      <c r="E13168" t="s">
        <v>588</v>
      </c>
    </row>
    <row r="13169" spans="1:5" hidden="1" x14ac:dyDescent="0.3">
      <c r="A13169" t="s">
        <v>557</v>
      </c>
      <c r="B13169" t="s">
        <v>758</v>
      </c>
      <c r="C13169" t="s">
        <v>276</v>
      </c>
      <c r="D13169" s="230">
        <v>-2112</v>
      </c>
      <c r="E13169" t="s">
        <v>588</v>
      </c>
    </row>
    <row r="13170" spans="1:5" hidden="1" x14ac:dyDescent="0.3">
      <c r="A13170" t="s">
        <v>557</v>
      </c>
      <c r="B13170" t="s">
        <v>758</v>
      </c>
      <c r="C13170" t="s">
        <v>277</v>
      </c>
      <c r="D13170" s="230">
        <v>0</v>
      </c>
      <c r="E13170" t="s">
        <v>588</v>
      </c>
    </row>
    <row r="13171" spans="1:5" hidden="1" x14ac:dyDescent="0.3">
      <c r="A13171" t="s">
        <v>557</v>
      </c>
      <c r="B13171" t="s">
        <v>758</v>
      </c>
      <c r="C13171" t="s">
        <v>278</v>
      </c>
      <c r="D13171" s="230">
        <v>-3423.54</v>
      </c>
      <c r="E13171" t="s">
        <v>588</v>
      </c>
    </row>
    <row r="13172" spans="1:5" hidden="1" x14ac:dyDescent="0.3">
      <c r="A13172" t="s">
        <v>557</v>
      </c>
      <c r="B13172" t="s">
        <v>758</v>
      </c>
      <c r="C13172" t="s">
        <v>44</v>
      </c>
      <c r="D13172" s="230">
        <v>-7.0000000000000007E-2</v>
      </c>
      <c r="E13172" t="s">
        <v>588</v>
      </c>
    </row>
    <row r="13173" spans="1:5" hidden="1" x14ac:dyDescent="0.3">
      <c r="A13173" t="s">
        <v>557</v>
      </c>
      <c r="B13173" t="s">
        <v>758</v>
      </c>
      <c r="C13173" t="s">
        <v>279</v>
      </c>
      <c r="D13173" s="230">
        <v>-5738.84</v>
      </c>
      <c r="E13173" t="s">
        <v>588</v>
      </c>
    </row>
    <row r="13174" spans="1:5" hidden="1" x14ac:dyDescent="0.3">
      <c r="A13174" t="s">
        <v>557</v>
      </c>
      <c r="B13174" t="s">
        <v>758</v>
      </c>
      <c r="C13174" t="s">
        <v>280</v>
      </c>
      <c r="D13174" s="230">
        <v>-199.95</v>
      </c>
      <c r="E13174" t="s">
        <v>588</v>
      </c>
    </row>
    <row r="13175" spans="1:5" hidden="1" x14ac:dyDescent="0.3">
      <c r="A13175" t="s">
        <v>557</v>
      </c>
      <c r="B13175" t="s">
        <v>758</v>
      </c>
      <c r="C13175" t="s">
        <v>281</v>
      </c>
      <c r="D13175" s="230">
        <v>-596.91</v>
      </c>
      <c r="E13175" t="s">
        <v>588</v>
      </c>
    </row>
    <row r="13176" spans="1:5" hidden="1" x14ac:dyDescent="0.3">
      <c r="A13176" t="s">
        <v>557</v>
      </c>
      <c r="B13176" t="s">
        <v>758</v>
      </c>
      <c r="C13176" t="s">
        <v>282</v>
      </c>
      <c r="D13176" s="230">
        <v>-348.97</v>
      </c>
      <c r="E13176" t="s">
        <v>588</v>
      </c>
    </row>
    <row r="13177" spans="1:5" hidden="1" x14ac:dyDescent="0.3">
      <c r="A13177" t="s">
        <v>557</v>
      </c>
      <c r="B13177" t="s">
        <v>758</v>
      </c>
      <c r="C13177" t="s">
        <v>283</v>
      </c>
      <c r="D13177" s="230">
        <v>-374.85</v>
      </c>
      <c r="E13177" t="s">
        <v>588</v>
      </c>
    </row>
    <row r="13178" spans="1:5" hidden="1" x14ac:dyDescent="0.3">
      <c r="A13178" t="s">
        <v>557</v>
      </c>
      <c r="B13178" t="s">
        <v>758</v>
      </c>
      <c r="C13178" t="s">
        <v>284</v>
      </c>
      <c r="D13178" s="230">
        <v>-3000</v>
      </c>
      <c r="E13178" t="s">
        <v>588</v>
      </c>
    </row>
    <row r="13179" spans="1:5" hidden="1" x14ac:dyDescent="0.3">
      <c r="A13179" t="s">
        <v>557</v>
      </c>
      <c r="B13179" t="s">
        <v>758</v>
      </c>
      <c r="C13179" t="s">
        <v>285</v>
      </c>
      <c r="D13179" s="230">
        <v>-389</v>
      </c>
      <c r="E13179" t="s">
        <v>588</v>
      </c>
    </row>
    <row r="13180" spans="1:5" hidden="1" x14ac:dyDescent="0.3">
      <c r="A13180" t="s">
        <v>557</v>
      </c>
      <c r="B13180" t="s">
        <v>758</v>
      </c>
      <c r="C13180" t="s">
        <v>286</v>
      </c>
      <c r="D13180" s="230">
        <v>-829.16</v>
      </c>
      <c r="E13180" t="s">
        <v>588</v>
      </c>
    </row>
    <row r="13181" spans="1:5" hidden="1" x14ac:dyDescent="0.3">
      <c r="A13181" t="s">
        <v>557</v>
      </c>
      <c r="B13181" t="s">
        <v>758</v>
      </c>
      <c r="C13181" t="s">
        <v>44</v>
      </c>
      <c r="D13181" s="230">
        <v>-0.01</v>
      </c>
      <c r="E13181" t="s">
        <v>588</v>
      </c>
    </row>
    <row r="13182" spans="1:5" hidden="1" x14ac:dyDescent="0.3">
      <c r="A13182" t="s">
        <v>557</v>
      </c>
      <c r="B13182" t="s">
        <v>758</v>
      </c>
      <c r="C13182" t="s">
        <v>287</v>
      </c>
      <c r="D13182" s="230">
        <v>-5647.31</v>
      </c>
      <c r="E13182" t="s">
        <v>588</v>
      </c>
    </row>
    <row r="13183" spans="1:5" hidden="1" x14ac:dyDescent="0.3">
      <c r="A13183" t="s">
        <v>557</v>
      </c>
      <c r="B13183" t="s">
        <v>758</v>
      </c>
      <c r="C13183" t="s">
        <v>288</v>
      </c>
      <c r="D13183" s="230">
        <v>-3500</v>
      </c>
      <c r="E13183" t="s">
        <v>588</v>
      </c>
    </row>
    <row r="13184" spans="1:5" hidden="1" x14ac:dyDescent="0.3">
      <c r="A13184" t="s">
        <v>557</v>
      </c>
      <c r="B13184" t="s">
        <v>758</v>
      </c>
      <c r="C13184" t="s">
        <v>289</v>
      </c>
      <c r="D13184" s="230">
        <v>-945</v>
      </c>
      <c r="E13184" t="s">
        <v>588</v>
      </c>
    </row>
    <row r="13185" spans="1:5" hidden="1" x14ac:dyDescent="0.3">
      <c r="A13185" t="s">
        <v>557</v>
      </c>
      <c r="B13185" t="s">
        <v>758</v>
      </c>
      <c r="C13185" t="s">
        <v>290</v>
      </c>
      <c r="D13185" s="230">
        <v>0</v>
      </c>
      <c r="E13185" t="s">
        <v>588</v>
      </c>
    </row>
    <row r="13186" spans="1:5" hidden="1" x14ac:dyDescent="0.3">
      <c r="A13186" t="s">
        <v>557</v>
      </c>
      <c r="B13186" t="s">
        <v>758</v>
      </c>
      <c r="C13186" t="s">
        <v>291</v>
      </c>
      <c r="D13186" s="230">
        <v>-853.32</v>
      </c>
      <c r="E13186" t="s">
        <v>588</v>
      </c>
    </row>
    <row r="13187" spans="1:5" hidden="1" x14ac:dyDescent="0.3">
      <c r="A13187" t="s">
        <v>557</v>
      </c>
      <c r="B13187" t="s">
        <v>758</v>
      </c>
      <c r="C13187" t="s">
        <v>292</v>
      </c>
      <c r="D13187" s="230">
        <v>0</v>
      </c>
      <c r="E13187" t="s">
        <v>588</v>
      </c>
    </row>
    <row r="13188" spans="1:5" hidden="1" x14ac:dyDescent="0.3">
      <c r="A13188" t="s">
        <v>557</v>
      </c>
      <c r="B13188" t="s">
        <v>758</v>
      </c>
      <c r="C13188" t="s">
        <v>293</v>
      </c>
      <c r="D13188" s="230">
        <v>-348.99</v>
      </c>
      <c r="E13188" t="s">
        <v>588</v>
      </c>
    </row>
    <row r="13189" spans="1:5" hidden="1" x14ac:dyDescent="0.3">
      <c r="A13189" t="s">
        <v>557</v>
      </c>
      <c r="B13189" t="s">
        <v>758</v>
      </c>
      <c r="C13189" t="s">
        <v>294</v>
      </c>
      <c r="D13189" s="230">
        <v>0</v>
      </c>
      <c r="E13189" t="s">
        <v>588</v>
      </c>
    </row>
    <row r="13190" spans="1:5" hidden="1" x14ac:dyDescent="0.3">
      <c r="A13190" t="s">
        <v>557</v>
      </c>
      <c r="B13190" t="s">
        <v>758</v>
      </c>
      <c r="C13190" t="s">
        <v>295</v>
      </c>
      <c r="D13190" s="230">
        <v>0</v>
      </c>
      <c r="E13190" t="s">
        <v>588</v>
      </c>
    </row>
    <row r="13191" spans="1:5" hidden="1" x14ac:dyDescent="0.3">
      <c r="A13191" t="s">
        <v>557</v>
      </c>
      <c r="B13191" t="s">
        <v>758</v>
      </c>
      <c r="C13191" t="s">
        <v>44</v>
      </c>
      <c r="D13191" s="230">
        <v>-0.01</v>
      </c>
      <c r="E13191" t="s">
        <v>588</v>
      </c>
    </row>
    <row r="13192" spans="1:5" hidden="1" x14ac:dyDescent="0.3">
      <c r="A13192" t="s">
        <v>557</v>
      </c>
      <c r="B13192" t="s">
        <v>758</v>
      </c>
      <c r="C13192" t="s">
        <v>296</v>
      </c>
      <c r="D13192" s="230">
        <v>-5392.82</v>
      </c>
      <c r="E13192" t="s">
        <v>588</v>
      </c>
    </row>
    <row r="13193" spans="1:5" hidden="1" x14ac:dyDescent="0.3">
      <c r="A13193" t="s">
        <v>557</v>
      </c>
      <c r="B13193" t="s">
        <v>758</v>
      </c>
      <c r="C13193" t="s">
        <v>297</v>
      </c>
      <c r="D13193" s="230">
        <v>-4000</v>
      </c>
      <c r="E13193" t="s">
        <v>588</v>
      </c>
    </row>
    <row r="13194" spans="1:5" hidden="1" x14ac:dyDescent="0.3">
      <c r="A13194" t="s">
        <v>557</v>
      </c>
      <c r="B13194" t="s">
        <v>758</v>
      </c>
      <c r="C13194" t="s">
        <v>298</v>
      </c>
      <c r="D13194" s="230">
        <v>-500</v>
      </c>
      <c r="E13194" t="s">
        <v>588</v>
      </c>
    </row>
    <row r="13195" spans="1:5" hidden="1" x14ac:dyDescent="0.3">
      <c r="A13195" t="s">
        <v>557</v>
      </c>
      <c r="B13195" t="s">
        <v>758</v>
      </c>
      <c r="C13195" t="s">
        <v>299</v>
      </c>
      <c r="D13195" s="230">
        <v>0</v>
      </c>
      <c r="E13195" t="s">
        <v>588</v>
      </c>
    </row>
    <row r="13196" spans="1:5" hidden="1" x14ac:dyDescent="0.3">
      <c r="A13196" t="s">
        <v>557</v>
      </c>
      <c r="B13196" t="s">
        <v>758</v>
      </c>
      <c r="C13196" t="s">
        <v>300</v>
      </c>
      <c r="D13196" s="230">
        <v>0</v>
      </c>
      <c r="E13196" t="s">
        <v>588</v>
      </c>
    </row>
    <row r="13197" spans="1:5" hidden="1" x14ac:dyDescent="0.3">
      <c r="A13197" t="s">
        <v>557</v>
      </c>
      <c r="B13197" t="s">
        <v>758</v>
      </c>
      <c r="C13197" t="s">
        <v>301</v>
      </c>
      <c r="D13197" s="230">
        <v>-404.18</v>
      </c>
      <c r="E13197" t="s">
        <v>588</v>
      </c>
    </row>
    <row r="13198" spans="1:5" hidden="1" x14ac:dyDescent="0.3">
      <c r="A13198" t="s">
        <v>557</v>
      </c>
      <c r="B13198" t="s">
        <v>758</v>
      </c>
      <c r="C13198" t="s">
        <v>302</v>
      </c>
      <c r="D13198" s="230">
        <v>0</v>
      </c>
      <c r="E13198" t="s">
        <v>588</v>
      </c>
    </row>
    <row r="13199" spans="1:5" hidden="1" x14ac:dyDescent="0.3">
      <c r="A13199" t="s">
        <v>557</v>
      </c>
      <c r="B13199" t="s">
        <v>758</v>
      </c>
      <c r="C13199" t="s">
        <v>303</v>
      </c>
      <c r="D13199" s="230">
        <v>0</v>
      </c>
      <c r="E13199" t="s">
        <v>588</v>
      </c>
    </row>
    <row r="13200" spans="1:5" hidden="1" x14ac:dyDescent="0.3">
      <c r="A13200" t="s">
        <v>557</v>
      </c>
      <c r="B13200" t="s">
        <v>758</v>
      </c>
      <c r="C13200" t="s">
        <v>304</v>
      </c>
      <c r="D13200" s="230">
        <v>-25</v>
      </c>
      <c r="E13200" t="s">
        <v>588</v>
      </c>
    </row>
    <row r="13201" spans="1:5" hidden="1" x14ac:dyDescent="0.3">
      <c r="A13201" t="s">
        <v>557</v>
      </c>
      <c r="B13201" t="s">
        <v>758</v>
      </c>
      <c r="C13201" t="s">
        <v>305</v>
      </c>
      <c r="D13201" s="230">
        <v>0</v>
      </c>
      <c r="E13201" t="s">
        <v>588</v>
      </c>
    </row>
    <row r="13202" spans="1:5" hidden="1" x14ac:dyDescent="0.3">
      <c r="A13202" t="s">
        <v>557</v>
      </c>
      <c r="B13202" t="s">
        <v>758</v>
      </c>
      <c r="C13202" t="s">
        <v>306</v>
      </c>
      <c r="D13202" s="230">
        <v>0</v>
      </c>
      <c r="E13202" t="s">
        <v>588</v>
      </c>
    </row>
    <row r="13203" spans="1:5" hidden="1" x14ac:dyDescent="0.3">
      <c r="A13203" t="s">
        <v>557</v>
      </c>
      <c r="B13203" t="s">
        <v>758</v>
      </c>
      <c r="C13203" t="s">
        <v>307</v>
      </c>
      <c r="D13203" s="230">
        <v>-463.64</v>
      </c>
      <c r="E13203" t="s">
        <v>588</v>
      </c>
    </row>
    <row r="13204" spans="1:5" hidden="1" x14ac:dyDescent="0.3">
      <c r="A13204" t="s">
        <v>557</v>
      </c>
      <c r="B13204" t="s">
        <v>758</v>
      </c>
      <c r="C13204" t="s">
        <v>44</v>
      </c>
      <c r="D13204" s="230">
        <v>-0.01</v>
      </c>
      <c r="E13204" t="s">
        <v>588</v>
      </c>
    </row>
    <row r="13205" spans="1:5" hidden="1" x14ac:dyDescent="0.3">
      <c r="A13205" t="s">
        <v>557</v>
      </c>
      <c r="B13205" t="s">
        <v>758</v>
      </c>
      <c r="C13205" t="s">
        <v>308</v>
      </c>
      <c r="D13205" s="230">
        <v>-5722.01</v>
      </c>
      <c r="E13205" t="s">
        <v>588</v>
      </c>
    </row>
    <row r="13206" spans="1:5" hidden="1" x14ac:dyDescent="0.3">
      <c r="A13206" t="s">
        <v>557</v>
      </c>
      <c r="B13206" t="s">
        <v>758</v>
      </c>
      <c r="C13206" t="s">
        <v>309</v>
      </c>
      <c r="D13206" s="230">
        <v>-3325.53</v>
      </c>
      <c r="E13206" t="s">
        <v>588</v>
      </c>
    </row>
    <row r="13207" spans="1:5" hidden="1" x14ac:dyDescent="0.3">
      <c r="A13207" t="s">
        <v>557</v>
      </c>
      <c r="B13207" t="s">
        <v>758</v>
      </c>
      <c r="C13207" t="s">
        <v>310</v>
      </c>
      <c r="D13207" s="230">
        <v>0</v>
      </c>
      <c r="E13207" t="s">
        <v>588</v>
      </c>
    </row>
    <row r="13208" spans="1:5" hidden="1" x14ac:dyDescent="0.3">
      <c r="A13208" t="s">
        <v>557</v>
      </c>
      <c r="B13208" t="s">
        <v>758</v>
      </c>
      <c r="C13208" t="s">
        <v>311</v>
      </c>
      <c r="D13208" s="230">
        <v>-1473.13</v>
      </c>
      <c r="E13208" t="s">
        <v>588</v>
      </c>
    </row>
    <row r="13209" spans="1:5" hidden="1" x14ac:dyDescent="0.3">
      <c r="A13209" t="s">
        <v>557</v>
      </c>
      <c r="B13209" t="s">
        <v>758</v>
      </c>
      <c r="C13209" t="s">
        <v>312</v>
      </c>
      <c r="D13209" s="230">
        <v>-185</v>
      </c>
      <c r="E13209" t="s">
        <v>588</v>
      </c>
    </row>
    <row r="13210" spans="1:5" hidden="1" x14ac:dyDescent="0.3">
      <c r="A13210" t="s">
        <v>557</v>
      </c>
      <c r="B13210" t="s">
        <v>758</v>
      </c>
      <c r="C13210" t="s">
        <v>313</v>
      </c>
      <c r="D13210" s="230">
        <v>0</v>
      </c>
      <c r="E13210" t="s">
        <v>588</v>
      </c>
    </row>
    <row r="13211" spans="1:5" hidden="1" x14ac:dyDescent="0.3">
      <c r="A13211" t="s">
        <v>557</v>
      </c>
      <c r="B13211" t="s">
        <v>758</v>
      </c>
      <c r="C13211" t="s">
        <v>314</v>
      </c>
      <c r="D13211" s="230">
        <v>-738.35</v>
      </c>
      <c r="E13211" t="s">
        <v>588</v>
      </c>
    </row>
    <row r="13212" spans="1:5" hidden="1" x14ac:dyDescent="0.3">
      <c r="A13212" t="s">
        <v>557</v>
      </c>
      <c r="B13212" t="s">
        <v>758</v>
      </c>
      <c r="C13212" t="s">
        <v>315</v>
      </c>
      <c r="D13212" s="230">
        <v>0</v>
      </c>
      <c r="E13212" t="s">
        <v>588</v>
      </c>
    </row>
    <row r="13213" spans="1:5" hidden="1" x14ac:dyDescent="0.3">
      <c r="A13213" t="s">
        <v>557</v>
      </c>
      <c r="B13213" t="s">
        <v>758</v>
      </c>
      <c r="C13213" t="s">
        <v>316</v>
      </c>
      <c r="D13213" s="230">
        <v>0</v>
      </c>
      <c r="E13213" t="s">
        <v>588</v>
      </c>
    </row>
    <row r="13214" spans="1:5" hidden="1" x14ac:dyDescent="0.3">
      <c r="A13214" t="s">
        <v>557</v>
      </c>
      <c r="B13214" t="s">
        <v>758</v>
      </c>
      <c r="C13214" t="s">
        <v>317</v>
      </c>
      <c r="D13214" s="230">
        <v>0</v>
      </c>
      <c r="E13214" t="s">
        <v>588</v>
      </c>
    </row>
    <row r="13215" spans="1:5" hidden="1" x14ac:dyDescent="0.3">
      <c r="A13215" t="s">
        <v>557</v>
      </c>
      <c r="B13215" t="s">
        <v>758</v>
      </c>
      <c r="C13215" t="s">
        <v>44</v>
      </c>
      <c r="D13215" s="230">
        <v>-0.01</v>
      </c>
      <c r="E13215" t="s">
        <v>588</v>
      </c>
    </row>
    <row r="13216" spans="1:5" hidden="1" x14ac:dyDescent="0.3">
      <c r="A13216" t="s">
        <v>557</v>
      </c>
      <c r="B13216" t="s">
        <v>758</v>
      </c>
      <c r="C13216" t="s">
        <v>318</v>
      </c>
      <c r="D13216" s="230">
        <v>-2107.08</v>
      </c>
      <c r="E13216" t="s">
        <v>588</v>
      </c>
    </row>
    <row r="13217" spans="1:5" hidden="1" x14ac:dyDescent="0.3">
      <c r="A13217" t="s">
        <v>557</v>
      </c>
      <c r="B13217" t="s">
        <v>758</v>
      </c>
      <c r="C13217" t="s">
        <v>319</v>
      </c>
      <c r="D13217" s="230">
        <v>-1764</v>
      </c>
      <c r="E13217" t="s">
        <v>588</v>
      </c>
    </row>
    <row r="13218" spans="1:5" hidden="1" x14ac:dyDescent="0.3">
      <c r="A13218" t="s">
        <v>557</v>
      </c>
      <c r="B13218" t="s">
        <v>758</v>
      </c>
      <c r="C13218" t="s">
        <v>320</v>
      </c>
      <c r="D13218" s="230">
        <v>-143.08000000000001</v>
      </c>
      <c r="E13218" t="s">
        <v>588</v>
      </c>
    </row>
    <row r="13219" spans="1:5" hidden="1" x14ac:dyDescent="0.3">
      <c r="A13219" t="s">
        <v>557</v>
      </c>
      <c r="B13219" t="s">
        <v>758</v>
      </c>
      <c r="C13219" t="s">
        <v>321</v>
      </c>
      <c r="D13219" s="230">
        <v>-200</v>
      </c>
      <c r="E13219" t="s">
        <v>588</v>
      </c>
    </row>
    <row r="13220" spans="1:5" hidden="1" x14ac:dyDescent="0.3">
      <c r="A13220" t="s">
        <v>557</v>
      </c>
      <c r="B13220" t="s">
        <v>758</v>
      </c>
      <c r="C13220" t="s">
        <v>322</v>
      </c>
      <c r="D13220" s="230">
        <v>0</v>
      </c>
      <c r="E13220" t="s">
        <v>588</v>
      </c>
    </row>
    <row r="13221" spans="1:5" hidden="1" x14ac:dyDescent="0.3">
      <c r="A13221" t="s">
        <v>557</v>
      </c>
      <c r="B13221" t="s">
        <v>758</v>
      </c>
      <c r="C13221" t="s">
        <v>44</v>
      </c>
      <c r="D13221" s="230">
        <v>0</v>
      </c>
      <c r="E13221" t="s">
        <v>588</v>
      </c>
    </row>
    <row r="13222" spans="1:5" hidden="1" x14ac:dyDescent="0.3">
      <c r="A13222" t="s">
        <v>557</v>
      </c>
      <c r="B13222" t="s">
        <v>758</v>
      </c>
      <c r="C13222" t="s">
        <v>323</v>
      </c>
      <c r="D13222" s="230">
        <v>-28185.75</v>
      </c>
      <c r="E13222" t="s">
        <v>588</v>
      </c>
    </row>
    <row r="13223" spans="1:5" hidden="1" x14ac:dyDescent="0.3">
      <c r="A13223" t="s">
        <v>557</v>
      </c>
      <c r="B13223" t="s">
        <v>758</v>
      </c>
      <c r="C13223" t="s">
        <v>324</v>
      </c>
      <c r="D13223" s="230">
        <v>0</v>
      </c>
      <c r="E13223" t="s">
        <v>588</v>
      </c>
    </row>
    <row r="13224" spans="1:5" hidden="1" x14ac:dyDescent="0.3">
      <c r="A13224" t="s">
        <v>557</v>
      </c>
      <c r="B13224" t="s">
        <v>758</v>
      </c>
      <c r="C13224" t="s">
        <v>325</v>
      </c>
      <c r="D13224" s="230">
        <v>0</v>
      </c>
      <c r="E13224" t="s">
        <v>588</v>
      </c>
    </row>
    <row r="13225" spans="1:5" hidden="1" x14ac:dyDescent="0.3">
      <c r="A13225" t="s">
        <v>557</v>
      </c>
      <c r="B13225" t="s">
        <v>758</v>
      </c>
      <c r="C13225" t="s">
        <v>326</v>
      </c>
      <c r="D13225" s="230">
        <v>-28185.75</v>
      </c>
      <c r="E13225" t="s">
        <v>588</v>
      </c>
    </row>
    <row r="13226" spans="1:5" hidden="1" x14ac:dyDescent="0.3">
      <c r="A13226" t="s">
        <v>557</v>
      </c>
      <c r="B13226" t="s">
        <v>758</v>
      </c>
      <c r="C13226" t="s">
        <v>44</v>
      </c>
      <c r="D13226" s="230">
        <v>-0.05</v>
      </c>
      <c r="E13226" t="s">
        <v>588</v>
      </c>
    </row>
    <row r="13227" spans="1:5" hidden="1" x14ac:dyDescent="0.3">
      <c r="A13227" t="s">
        <v>557</v>
      </c>
      <c r="B13227" t="s">
        <v>758</v>
      </c>
      <c r="C13227" t="s">
        <v>328</v>
      </c>
      <c r="D13227" s="230">
        <v>-265540.11</v>
      </c>
      <c r="E13227" t="s">
        <v>588</v>
      </c>
    </row>
    <row r="13228" spans="1:5" hidden="1" x14ac:dyDescent="0.3">
      <c r="A13228" t="s">
        <v>557</v>
      </c>
      <c r="B13228" t="s">
        <v>758</v>
      </c>
      <c r="C13228" t="s">
        <v>44</v>
      </c>
      <c r="D13228" s="230">
        <v>-0.47</v>
      </c>
      <c r="E13228" t="s">
        <v>588</v>
      </c>
    </row>
    <row r="13229" spans="1:5" hidden="1" x14ac:dyDescent="0.3">
      <c r="A13229" t="s">
        <v>557</v>
      </c>
      <c r="B13229" t="s">
        <v>758</v>
      </c>
      <c r="C13229" t="s">
        <v>329</v>
      </c>
      <c r="D13229" s="230">
        <v>36373.910000000003</v>
      </c>
      <c r="E13229" t="s">
        <v>588</v>
      </c>
    </row>
    <row r="13230" spans="1:5" hidden="1" x14ac:dyDescent="0.3">
      <c r="A13230" t="s">
        <v>557</v>
      </c>
      <c r="B13230" t="s">
        <v>758</v>
      </c>
      <c r="C13230" t="s">
        <v>44</v>
      </c>
      <c r="D13230" s="230">
        <v>0.06</v>
      </c>
      <c r="E13230" t="s">
        <v>588</v>
      </c>
    </row>
    <row r="13231" spans="1:5" hidden="1" x14ac:dyDescent="0.3">
      <c r="A13231" t="s">
        <v>557</v>
      </c>
      <c r="B13231" t="s">
        <v>758</v>
      </c>
      <c r="C13231" t="s">
        <v>330</v>
      </c>
      <c r="D13231" s="230">
        <v>0</v>
      </c>
      <c r="E13231" t="s">
        <v>588</v>
      </c>
    </row>
    <row r="13232" spans="1:5" hidden="1" x14ac:dyDescent="0.3">
      <c r="A13232" t="s">
        <v>557</v>
      </c>
      <c r="B13232" t="s">
        <v>758</v>
      </c>
      <c r="C13232" t="s">
        <v>332</v>
      </c>
      <c r="D13232" s="230">
        <v>36373.910000000003</v>
      </c>
      <c r="E13232" t="s">
        <v>588</v>
      </c>
    </row>
    <row r="13233" spans="1:5" hidden="1" x14ac:dyDescent="0.3">
      <c r="A13233" t="s">
        <v>557</v>
      </c>
      <c r="B13233" t="s">
        <v>758</v>
      </c>
      <c r="C13233" t="s">
        <v>333</v>
      </c>
      <c r="D13233" s="230">
        <v>266.54000000000002</v>
      </c>
      <c r="E13233" t="s">
        <v>588</v>
      </c>
    </row>
    <row r="13234" spans="1:5" hidden="1" x14ac:dyDescent="0.3">
      <c r="A13234" t="s">
        <v>557</v>
      </c>
      <c r="B13234" t="s">
        <v>758</v>
      </c>
      <c r="C13234" t="s">
        <v>334</v>
      </c>
      <c r="D13234" s="230">
        <v>0</v>
      </c>
      <c r="E13234" t="s">
        <v>588</v>
      </c>
    </row>
    <row r="13235" spans="1:5" hidden="1" x14ac:dyDescent="0.3">
      <c r="A13235" t="s">
        <v>557</v>
      </c>
      <c r="B13235" t="s">
        <v>758</v>
      </c>
      <c r="C13235" t="s">
        <v>336</v>
      </c>
      <c r="D13235" s="230">
        <v>0</v>
      </c>
      <c r="E13235" t="s">
        <v>588</v>
      </c>
    </row>
    <row r="13236" spans="1:5" hidden="1" x14ac:dyDescent="0.3">
      <c r="A13236" t="s">
        <v>557</v>
      </c>
      <c r="B13236" t="s">
        <v>758</v>
      </c>
      <c r="C13236" t="s">
        <v>338</v>
      </c>
      <c r="D13236" s="230">
        <v>36640.449999999997</v>
      </c>
      <c r="E13236" t="s">
        <v>588</v>
      </c>
    </row>
    <row r="13237" spans="1:5" hidden="1" x14ac:dyDescent="0.3">
      <c r="A13237" t="s">
        <v>557</v>
      </c>
      <c r="B13237" t="s">
        <v>758</v>
      </c>
      <c r="C13237" t="s">
        <v>339</v>
      </c>
      <c r="D13237" s="230">
        <v>-16845.099999999999</v>
      </c>
      <c r="E13237" t="s">
        <v>588</v>
      </c>
    </row>
    <row r="13238" spans="1:5" hidden="1" x14ac:dyDescent="0.3">
      <c r="A13238" t="s">
        <v>557</v>
      </c>
      <c r="B13238" t="s">
        <v>758</v>
      </c>
      <c r="C13238" t="s">
        <v>342</v>
      </c>
      <c r="D13238" s="230">
        <v>-5769.46</v>
      </c>
      <c r="E13238" t="s">
        <v>588</v>
      </c>
    </row>
    <row r="13239" spans="1:5" hidden="1" x14ac:dyDescent="0.3">
      <c r="A13239" t="s">
        <v>557</v>
      </c>
      <c r="B13239" t="s">
        <v>758</v>
      </c>
      <c r="C13239" t="s">
        <v>344</v>
      </c>
      <c r="D13239" s="230">
        <v>-4609.9799999999996</v>
      </c>
      <c r="E13239" t="s">
        <v>588</v>
      </c>
    </row>
    <row r="13240" spans="1:5" hidden="1" x14ac:dyDescent="0.3">
      <c r="A13240" t="s">
        <v>557</v>
      </c>
      <c r="B13240" t="s">
        <v>758</v>
      </c>
      <c r="C13240" t="s">
        <v>345</v>
      </c>
      <c r="D13240" s="230">
        <v>-2518.85</v>
      </c>
      <c r="E13240" t="s">
        <v>588</v>
      </c>
    </row>
    <row r="13241" spans="1:5" hidden="1" x14ac:dyDescent="0.3">
      <c r="A13241" t="s">
        <v>557</v>
      </c>
      <c r="B13241" t="s">
        <v>758</v>
      </c>
      <c r="C13241" t="s">
        <v>346</v>
      </c>
      <c r="D13241" s="230">
        <v>-3946.81</v>
      </c>
      <c r="E13241" t="s">
        <v>588</v>
      </c>
    </row>
    <row r="13242" spans="1:5" hidden="1" x14ac:dyDescent="0.3">
      <c r="A13242" t="s">
        <v>557</v>
      </c>
      <c r="B13242" t="s">
        <v>758</v>
      </c>
      <c r="C13242" t="s">
        <v>347</v>
      </c>
      <c r="D13242" s="230">
        <v>19795.36</v>
      </c>
      <c r="E13242" t="s">
        <v>588</v>
      </c>
    </row>
    <row r="13243" spans="1:5" hidden="1" x14ac:dyDescent="0.3">
      <c r="A13243" t="s">
        <v>557</v>
      </c>
      <c r="B13243" t="s">
        <v>758</v>
      </c>
      <c r="C13243" t="s">
        <v>44</v>
      </c>
      <c r="D13243" s="230">
        <v>0.04</v>
      </c>
      <c r="E13243" t="s">
        <v>588</v>
      </c>
    </row>
    <row r="13244" spans="1:5" hidden="1" x14ac:dyDescent="0.3">
      <c r="A13244" t="s">
        <v>557</v>
      </c>
      <c r="B13244" t="s">
        <v>758</v>
      </c>
      <c r="C13244" t="s">
        <v>348</v>
      </c>
      <c r="D13244" s="230">
        <v>-492.98</v>
      </c>
      <c r="E13244" t="s">
        <v>588</v>
      </c>
    </row>
    <row r="13245" spans="1:5" hidden="1" x14ac:dyDescent="0.3">
      <c r="A13245" t="s">
        <v>557</v>
      </c>
      <c r="B13245" t="s">
        <v>758</v>
      </c>
      <c r="C13245" t="s">
        <v>707</v>
      </c>
      <c r="D13245" s="230">
        <v>0</v>
      </c>
      <c r="E13245" t="s">
        <v>588</v>
      </c>
    </row>
    <row r="13246" spans="1:5" hidden="1" x14ac:dyDescent="0.3">
      <c r="A13246" t="s">
        <v>557</v>
      </c>
      <c r="B13246" t="s">
        <v>758</v>
      </c>
      <c r="C13246" t="s">
        <v>350</v>
      </c>
      <c r="D13246" s="230">
        <v>-360</v>
      </c>
      <c r="E13246" t="s">
        <v>588</v>
      </c>
    </row>
    <row r="13247" spans="1:5" hidden="1" x14ac:dyDescent="0.3">
      <c r="A13247" t="s">
        <v>557</v>
      </c>
      <c r="B13247" t="s">
        <v>758</v>
      </c>
      <c r="C13247" t="s">
        <v>351</v>
      </c>
      <c r="D13247" s="230">
        <v>0</v>
      </c>
      <c r="E13247" t="s">
        <v>588</v>
      </c>
    </row>
    <row r="13248" spans="1:5" hidden="1" x14ac:dyDescent="0.3">
      <c r="A13248" t="s">
        <v>557</v>
      </c>
      <c r="B13248" t="s">
        <v>758</v>
      </c>
      <c r="C13248" t="s">
        <v>352</v>
      </c>
      <c r="D13248" s="230">
        <v>0</v>
      </c>
      <c r="E13248" t="s">
        <v>588</v>
      </c>
    </row>
    <row r="13249" spans="1:5" hidden="1" x14ac:dyDescent="0.3">
      <c r="A13249" t="s">
        <v>557</v>
      </c>
      <c r="B13249" t="s">
        <v>758</v>
      </c>
      <c r="C13249" t="s">
        <v>353</v>
      </c>
      <c r="D13249" s="230">
        <v>0</v>
      </c>
      <c r="E13249" t="s">
        <v>588</v>
      </c>
    </row>
    <row r="13250" spans="1:5" hidden="1" x14ac:dyDescent="0.3">
      <c r="A13250" t="s">
        <v>557</v>
      </c>
      <c r="B13250" t="s">
        <v>758</v>
      </c>
      <c r="C13250" t="s">
        <v>354</v>
      </c>
      <c r="D13250" s="230">
        <v>0</v>
      </c>
      <c r="E13250" t="s">
        <v>588</v>
      </c>
    </row>
    <row r="13251" spans="1:5" hidden="1" x14ac:dyDescent="0.3">
      <c r="A13251" t="s">
        <v>557</v>
      </c>
      <c r="B13251" t="s">
        <v>758</v>
      </c>
      <c r="C13251" t="s">
        <v>355</v>
      </c>
      <c r="D13251" s="230">
        <v>0</v>
      </c>
      <c r="E13251" t="s">
        <v>588</v>
      </c>
    </row>
    <row r="13252" spans="1:5" hidden="1" x14ac:dyDescent="0.3">
      <c r="A13252" t="s">
        <v>557</v>
      </c>
      <c r="B13252" t="s">
        <v>758</v>
      </c>
      <c r="C13252" t="s">
        <v>356</v>
      </c>
      <c r="D13252" s="230">
        <v>0</v>
      </c>
      <c r="E13252" t="s">
        <v>588</v>
      </c>
    </row>
    <row r="13253" spans="1:5" hidden="1" x14ac:dyDescent="0.3">
      <c r="A13253" t="s">
        <v>557</v>
      </c>
      <c r="B13253" t="s">
        <v>758</v>
      </c>
      <c r="C13253" t="s">
        <v>357</v>
      </c>
      <c r="D13253" s="230">
        <v>-132.97999999999999</v>
      </c>
      <c r="E13253" t="s">
        <v>588</v>
      </c>
    </row>
    <row r="13254" spans="1:5" hidden="1" x14ac:dyDescent="0.3">
      <c r="A13254" t="s">
        <v>557</v>
      </c>
      <c r="B13254" t="s">
        <v>758</v>
      </c>
      <c r="C13254" t="s">
        <v>358</v>
      </c>
      <c r="D13254" s="230">
        <v>0</v>
      </c>
      <c r="E13254" t="s">
        <v>588</v>
      </c>
    </row>
    <row r="13255" spans="1:5" hidden="1" x14ac:dyDescent="0.3">
      <c r="A13255" t="s">
        <v>557</v>
      </c>
      <c r="B13255" t="s">
        <v>758</v>
      </c>
      <c r="C13255" t="s">
        <v>359</v>
      </c>
      <c r="D13255" s="230">
        <v>0</v>
      </c>
      <c r="E13255" t="s">
        <v>588</v>
      </c>
    </row>
    <row r="13256" spans="1:5" hidden="1" x14ac:dyDescent="0.3">
      <c r="A13256" t="s">
        <v>557</v>
      </c>
      <c r="B13256" t="s">
        <v>758</v>
      </c>
      <c r="C13256" t="s">
        <v>360</v>
      </c>
      <c r="D13256" s="230">
        <v>0</v>
      </c>
      <c r="E13256" t="s">
        <v>588</v>
      </c>
    </row>
    <row r="13257" spans="1:5" hidden="1" x14ac:dyDescent="0.3">
      <c r="A13257" t="s">
        <v>557</v>
      </c>
      <c r="B13257" t="s">
        <v>758</v>
      </c>
      <c r="C13257" t="s">
        <v>361</v>
      </c>
      <c r="D13257" s="230">
        <v>0</v>
      </c>
      <c r="E13257" t="s">
        <v>588</v>
      </c>
    </row>
    <row r="13258" spans="1:5" hidden="1" x14ac:dyDescent="0.3">
      <c r="A13258" t="s">
        <v>557</v>
      </c>
      <c r="B13258" t="s">
        <v>758</v>
      </c>
      <c r="C13258" t="s">
        <v>362</v>
      </c>
      <c r="D13258" s="230">
        <v>0</v>
      </c>
      <c r="E13258" t="s">
        <v>588</v>
      </c>
    </row>
    <row r="13259" spans="1:5" hidden="1" x14ac:dyDescent="0.3">
      <c r="A13259" t="s">
        <v>557</v>
      </c>
      <c r="B13259" t="s">
        <v>758</v>
      </c>
      <c r="C13259" t="s">
        <v>363</v>
      </c>
      <c r="D13259" s="230">
        <v>0</v>
      </c>
      <c r="E13259" t="s">
        <v>588</v>
      </c>
    </row>
    <row r="13260" spans="1:5" hidden="1" x14ac:dyDescent="0.3">
      <c r="A13260" t="s">
        <v>557</v>
      </c>
      <c r="B13260" t="s">
        <v>758</v>
      </c>
      <c r="C13260" t="s">
        <v>364</v>
      </c>
      <c r="D13260" s="230">
        <v>0</v>
      </c>
      <c r="E13260" t="s">
        <v>588</v>
      </c>
    </row>
    <row r="13261" spans="1:5" hidden="1" x14ac:dyDescent="0.3">
      <c r="A13261" t="s">
        <v>557</v>
      </c>
      <c r="B13261" t="s">
        <v>758</v>
      </c>
      <c r="C13261" t="s">
        <v>365</v>
      </c>
      <c r="D13261" s="230">
        <v>-1833.34</v>
      </c>
      <c r="E13261" t="s">
        <v>588</v>
      </c>
    </row>
    <row r="13262" spans="1:5" hidden="1" x14ac:dyDescent="0.3">
      <c r="A13262" t="s">
        <v>557</v>
      </c>
      <c r="B13262" t="s">
        <v>758</v>
      </c>
      <c r="C13262" t="s">
        <v>366</v>
      </c>
      <c r="D13262" s="230">
        <v>0</v>
      </c>
      <c r="E13262" t="s">
        <v>588</v>
      </c>
    </row>
    <row r="13263" spans="1:5" hidden="1" x14ac:dyDescent="0.3">
      <c r="A13263" t="s">
        <v>557</v>
      </c>
      <c r="B13263" t="s">
        <v>758</v>
      </c>
      <c r="C13263" t="s">
        <v>367</v>
      </c>
      <c r="D13263" s="230">
        <v>0</v>
      </c>
      <c r="E13263" t="s">
        <v>588</v>
      </c>
    </row>
    <row r="13264" spans="1:5" hidden="1" x14ac:dyDescent="0.3">
      <c r="A13264" t="s">
        <v>557</v>
      </c>
      <c r="B13264" t="s">
        <v>758</v>
      </c>
      <c r="C13264" t="s">
        <v>368</v>
      </c>
      <c r="D13264" s="230">
        <v>0</v>
      </c>
      <c r="E13264" t="s">
        <v>588</v>
      </c>
    </row>
    <row r="13265" spans="1:5" hidden="1" x14ac:dyDescent="0.3">
      <c r="A13265" t="s">
        <v>557</v>
      </c>
      <c r="B13265" t="s">
        <v>758</v>
      </c>
      <c r="C13265" t="s">
        <v>369</v>
      </c>
      <c r="D13265" s="230">
        <v>-1833.34</v>
      </c>
      <c r="E13265" t="s">
        <v>588</v>
      </c>
    </row>
    <row r="13266" spans="1:5" hidden="1" x14ac:dyDescent="0.3">
      <c r="A13266" t="s">
        <v>557</v>
      </c>
      <c r="B13266" t="s">
        <v>758</v>
      </c>
      <c r="C13266" t="s">
        <v>370</v>
      </c>
      <c r="D13266" s="230">
        <v>0</v>
      </c>
      <c r="E13266" t="s">
        <v>588</v>
      </c>
    </row>
    <row r="13267" spans="1:5" hidden="1" x14ac:dyDescent="0.3">
      <c r="A13267" t="s">
        <v>557</v>
      </c>
      <c r="B13267" t="s">
        <v>758</v>
      </c>
      <c r="C13267" t="s">
        <v>371</v>
      </c>
      <c r="D13267" s="230">
        <v>0</v>
      </c>
      <c r="E13267" t="s">
        <v>588</v>
      </c>
    </row>
    <row r="13268" spans="1:5" hidden="1" x14ac:dyDescent="0.3">
      <c r="A13268" t="s">
        <v>557</v>
      </c>
      <c r="B13268" t="s">
        <v>758</v>
      </c>
      <c r="C13268" t="s">
        <v>372</v>
      </c>
      <c r="D13268" s="230">
        <v>0</v>
      </c>
      <c r="E13268" t="s">
        <v>588</v>
      </c>
    </row>
    <row r="13269" spans="1:5" hidden="1" x14ac:dyDescent="0.3">
      <c r="A13269" t="s">
        <v>557</v>
      </c>
      <c r="B13269" t="s">
        <v>758</v>
      </c>
      <c r="C13269" t="s">
        <v>373</v>
      </c>
      <c r="D13269" s="230">
        <v>-2326.3200000000002</v>
      </c>
      <c r="E13269" t="s">
        <v>588</v>
      </c>
    </row>
    <row r="13270" spans="1:5" hidden="1" x14ac:dyDescent="0.3">
      <c r="A13270" t="s">
        <v>557</v>
      </c>
      <c r="B13270" t="s">
        <v>758</v>
      </c>
      <c r="C13270" t="s">
        <v>374</v>
      </c>
      <c r="D13270" s="230">
        <v>17469.04</v>
      </c>
      <c r="E13270" t="s">
        <v>588</v>
      </c>
    </row>
    <row r="13271" spans="1:5" hidden="1" x14ac:dyDescent="0.3">
      <c r="A13271" t="s">
        <v>557</v>
      </c>
      <c r="B13271" t="s">
        <v>756</v>
      </c>
      <c r="C13271" t="s">
        <v>44</v>
      </c>
      <c r="D13271" s="230">
        <v>-0.03</v>
      </c>
      <c r="E13271" t="s">
        <v>561</v>
      </c>
    </row>
    <row r="13272" spans="1:5" hidden="1" x14ac:dyDescent="0.3">
      <c r="A13272" t="s">
        <v>557</v>
      </c>
      <c r="B13272" t="s">
        <v>756</v>
      </c>
      <c r="C13272" t="s">
        <v>51</v>
      </c>
      <c r="D13272" s="230">
        <v>-113525.24</v>
      </c>
      <c r="E13272" t="s">
        <v>561</v>
      </c>
    </row>
    <row r="13273" spans="1:5" hidden="1" x14ac:dyDescent="0.3">
      <c r="A13273" t="s">
        <v>557</v>
      </c>
      <c r="B13273" t="s">
        <v>756</v>
      </c>
      <c r="C13273" t="s">
        <v>52</v>
      </c>
      <c r="D13273" s="230">
        <v>-88668.39</v>
      </c>
      <c r="E13273" t="s">
        <v>561</v>
      </c>
    </row>
    <row r="13274" spans="1:5" hidden="1" x14ac:dyDescent="0.3">
      <c r="A13274" t="s">
        <v>557</v>
      </c>
      <c r="B13274" t="s">
        <v>756</v>
      </c>
      <c r="C13274" t="s">
        <v>44</v>
      </c>
      <c r="D13274" s="230">
        <v>-0.32</v>
      </c>
      <c r="E13274" t="s">
        <v>561</v>
      </c>
    </row>
    <row r="13275" spans="1:5" hidden="1" x14ac:dyDescent="0.3">
      <c r="A13275" t="s">
        <v>557</v>
      </c>
      <c r="B13275" t="s">
        <v>756</v>
      </c>
      <c r="C13275" t="s">
        <v>44</v>
      </c>
      <c r="D13275" s="230">
        <v>-0.01</v>
      </c>
      <c r="E13275" t="s">
        <v>561</v>
      </c>
    </row>
    <row r="13276" spans="1:5" hidden="1" x14ac:dyDescent="0.3">
      <c r="A13276" t="s">
        <v>557</v>
      </c>
      <c r="B13276" t="s">
        <v>756</v>
      </c>
      <c r="C13276" t="s">
        <v>44</v>
      </c>
      <c r="D13276" s="230">
        <v>-0.01</v>
      </c>
      <c r="E13276" t="s">
        <v>561</v>
      </c>
    </row>
    <row r="13277" spans="1:5" hidden="1" x14ac:dyDescent="0.3">
      <c r="A13277" t="s">
        <v>557</v>
      </c>
      <c r="B13277" t="s">
        <v>756</v>
      </c>
      <c r="C13277" t="s">
        <v>44</v>
      </c>
      <c r="D13277" s="230">
        <v>-0.05</v>
      </c>
      <c r="E13277" t="s">
        <v>561</v>
      </c>
    </row>
    <row r="13278" spans="1:5" hidden="1" x14ac:dyDescent="0.3">
      <c r="A13278" t="s">
        <v>557</v>
      </c>
      <c r="B13278" t="s">
        <v>756</v>
      </c>
      <c r="C13278" t="s">
        <v>44</v>
      </c>
      <c r="D13278" s="230">
        <v>-0.05</v>
      </c>
      <c r="E13278" t="s">
        <v>561</v>
      </c>
    </row>
    <row r="13279" spans="1:5" hidden="1" x14ac:dyDescent="0.3">
      <c r="A13279" t="s">
        <v>557</v>
      </c>
      <c r="B13279" t="s">
        <v>756</v>
      </c>
      <c r="C13279" t="s">
        <v>126</v>
      </c>
      <c r="D13279" s="230">
        <v>204042.4</v>
      </c>
      <c r="E13279" t="s">
        <v>561</v>
      </c>
    </row>
    <row r="13280" spans="1:5" hidden="1" x14ac:dyDescent="0.3">
      <c r="A13280" t="s">
        <v>557</v>
      </c>
      <c r="B13280" t="s">
        <v>756</v>
      </c>
      <c r="C13280" t="s">
        <v>44</v>
      </c>
      <c r="D13280" s="230">
        <v>-0.13</v>
      </c>
      <c r="E13280" t="s">
        <v>561</v>
      </c>
    </row>
    <row r="13281" spans="1:5" hidden="1" x14ac:dyDescent="0.3">
      <c r="A13281" t="s">
        <v>557</v>
      </c>
      <c r="B13281" t="s">
        <v>756</v>
      </c>
      <c r="C13281" t="s">
        <v>264</v>
      </c>
      <c r="D13281" s="230">
        <v>-39696.58</v>
      </c>
      <c r="E13281" t="s">
        <v>561</v>
      </c>
    </row>
    <row r="13282" spans="1:5" hidden="1" x14ac:dyDescent="0.3">
      <c r="A13282" t="s">
        <v>557</v>
      </c>
      <c r="B13282" t="s">
        <v>756</v>
      </c>
      <c r="C13282" t="s">
        <v>268</v>
      </c>
      <c r="D13282" s="230">
        <v>-7437.59</v>
      </c>
      <c r="E13282" t="s">
        <v>561</v>
      </c>
    </row>
    <row r="13283" spans="1:5" hidden="1" x14ac:dyDescent="0.3">
      <c r="A13283" t="s">
        <v>557</v>
      </c>
      <c r="B13283" t="s">
        <v>756</v>
      </c>
      <c r="C13283" t="s">
        <v>44</v>
      </c>
      <c r="D13283" s="230">
        <v>-0.1</v>
      </c>
      <c r="E13283" t="s">
        <v>561</v>
      </c>
    </row>
    <row r="13284" spans="1:5" hidden="1" x14ac:dyDescent="0.3">
      <c r="A13284" t="s">
        <v>557</v>
      </c>
      <c r="B13284" t="s">
        <v>756</v>
      </c>
      <c r="C13284" t="s">
        <v>44</v>
      </c>
      <c r="D13284" s="230">
        <v>-0.01</v>
      </c>
      <c r="E13284" t="s">
        <v>561</v>
      </c>
    </row>
    <row r="13285" spans="1:5" hidden="1" x14ac:dyDescent="0.3">
      <c r="A13285" t="s">
        <v>557</v>
      </c>
      <c r="B13285" t="s">
        <v>756</v>
      </c>
      <c r="C13285" t="s">
        <v>44</v>
      </c>
      <c r="D13285" s="230">
        <v>-0.01</v>
      </c>
      <c r="E13285" t="s">
        <v>561</v>
      </c>
    </row>
    <row r="13286" spans="1:5" hidden="1" x14ac:dyDescent="0.3">
      <c r="A13286" t="s">
        <v>557</v>
      </c>
      <c r="B13286" t="s">
        <v>756</v>
      </c>
      <c r="C13286" t="s">
        <v>44</v>
      </c>
      <c r="D13286" s="230">
        <v>-0.01</v>
      </c>
      <c r="E13286" t="s">
        <v>561</v>
      </c>
    </row>
    <row r="13287" spans="1:5" hidden="1" x14ac:dyDescent="0.3">
      <c r="A13287" t="s">
        <v>557</v>
      </c>
      <c r="B13287" t="s">
        <v>756</v>
      </c>
      <c r="C13287" t="s">
        <v>44</v>
      </c>
      <c r="D13287" s="230">
        <v>-0.01</v>
      </c>
      <c r="E13287" t="s">
        <v>561</v>
      </c>
    </row>
    <row r="13288" spans="1:5" hidden="1" x14ac:dyDescent="0.3">
      <c r="A13288" t="s">
        <v>557</v>
      </c>
      <c r="B13288" t="s">
        <v>756</v>
      </c>
      <c r="C13288" t="s">
        <v>44</v>
      </c>
      <c r="D13288" s="230">
        <v>-0.01</v>
      </c>
      <c r="E13288" t="s">
        <v>561</v>
      </c>
    </row>
    <row r="13289" spans="1:5" hidden="1" x14ac:dyDescent="0.3">
      <c r="A13289" t="s">
        <v>557</v>
      </c>
      <c r="B13289" t="s">
        <v>756</v>
      </c>
      <c r="C13289" t="s">
        <v>44</v>
      </c>
      <c r="D13289" s="230">
        <v>-0.05</v>
      </c>
      <c r="E13289" t="s">
        <v>561</v>
      </c>
    </row>
    <row r="13290" spans="1:5" hidden="1" x14ac:dyDescent="0.3">
      <c r="A13290" t="s">
        <v>557</v>
      </c>
      <c r="B13290" t="s">
        <v>756</v>
      </c>
      <c r="C13290" t="s">
        <v>328</v>
      </c>
      <c r="D13290" s="230">
        <v>-255938.09</v>
      </c>
      <c r="E13290" t="s">
        <v>561</v>
      </c>
    </row>
    <row r="13291" spans="1:5" hidden="1" x14ac:dyDescent="0.3">
      <c r="A13291" t="s">
        <v>557</v>
      </c>
      <c r="B13291" t="s">
        <v>756</v>
      </c>
      <c r="C13291" t="s">
        <v>44</v>
      </c>
      <c r="D13291" s="230">
        <v>-0.63</v>
      </c>
      <c r="E13291" t="s">
        <v>561</v>
      </c>
    </row>
    <row r="13292" spans="1:5" hidden="1" x14ac:dyDescent="0.3">
      <c r="A13292" t="s">
        <v>557</v>
      </c>
      <c r="B13292" t="s">
        <v>756</v>
      </c>
      <c r="C13292" t="s">
        <v>44</v>
      </c>
      <c r="D13292" s="230">
        <v>-0.13</v>
      </c>
      <c r="E13292" t="s">
        <v>561</v>
      </c>
    </row>
    <row r="13293" spans="1:5" hidden="1" x14ac:dyDescent="0.3">
      <c r="A13293" t="s">
        <v>557</v>
      </c>
      <c r="B13293" t="s">
        <v>756</v>
      </c>
      <c r="C13293" t="s">
        <v>333</v>
      </c>
      <c r="D13293" s="230">
        <v>-1081.1300000000001</v>
      </c>
      <c r="E13293" t="s">
        <v>561</v>
      </c>
    </row>
    <row r="13294" spans="1:5" hidden="1" x14ac:dyDescent="0.3">
      <c r="A13294" t="s">
        <v>557</v>
      </c>
      <c r="B13294" t="s">
        <v>756</v>
      </c>
      <c r="C13294" t="s">
        <v>338</v>
      </c>
      <c r="D13294" s="230">
        <v>-52976.82</v>
      </c>
      <c r="E13294" t="s">
        <v>561</v>
      </c>
    </row>
    <row r="13295" spans="1:5" hidden="1" x14ac:dyDescent="0.3">
      <c r="A13295" t="s">
        <v>557</v>
      </c>
      <c r="B13295" t="s">
        <v>756</v>
      </c>
      <c r="C13295" t="s">
        <v>339</v>
      </c>
      <c r="D13295" s="230">
        <v>-13757.66</v>
      </c>
      <c r="E13295" t="s">
        <v>561</v>
      </c>
    </row>
    <row r="13296" spans="1:5" hidden="1" x14ac:dyDescent="0.3">
      <c r="A13296" t="s">
        <v>557</v>
      </c>
      <c r="B13296" t="s">
        <v>756</v>
      </c>
      <c r="C13296" t="s">
        <v>344</v>
      </c>
      <c r="D13296" s="230">
        <v>-4515.0600000000004</v>
      </c>
      <c r="E13296" t="s">
        <v>561</v>
      </c>
    </row>
    <row r="13297" spans="1:5" hidden="1" x14ac:dyDescent="0.3">
      <c r="A13297" t="s">
        <v>557</v>
      </c>
      <c r="B13297" t="s">
        <v>756</v>
      </c>
      <c r="C13297" t="s">
        <v>347</v>
      </c>
      <c r="D13297" s="230">
        <v>-66734.47</v>
      </c>
      <c r="E13297" t="s">
        <v>561</v>
      </c>
    </row>
    <row r="13298" spans="1:5" hidden="1" x14ac:dyDescent="0.3">
      <c r="A13298" t="s">
        <v>557</v>
      </c>
      <c r="B13298" t="s">
        <v>756</v>
      </c>
      <c r="C13298" t="s">
        <v>44</v>
      </c>
      <c r="D13298" s="230">
        <v>-0.17</v>
      </c>
      <c r="E13298" t="s">
        <v>561</v>
      </c>
    </row>
    <row r="13299" spans="1:5" hidden="1" x14ac:dyDescent="0.3">
      <c r="A13299" t="s">
        <v>557</v>
      </c>
      <c r="B13299" t="s">
        <v>756</v>
      </c>
      <c r="C13299" t="s">
        <v>374</v>
      </c>
      <c r="D13299" s="230">
        <v>-73807.81</v>
      </c>
      <c r="E13299" t="s">
        <v>561</v>
      </c>
    </row>
    <row r="13300" spans="1:5" hidden="1" x14ac:dyDescent="0.3">
      <c r="A13300" t="s">
        <v>557</v>
      </c>
      <c r="B13300" t="s">
        <v>757</v>
      </c>
      <c r="C13300" t="s">
        <v>44</v>
      </c>
      <c r="D13300" s="230">
        <v>-0.03</v>
      </c>
      <c r="E13300" t="s">
        <v>586</v>
      </c>
    </row>
    <row r="13301" spans="1:5" hidden="1" x14ac:dyDescent="0.3">
      <c r="A13301" t="s">
        <v>557</v>
      </c>
      <c r="B13301" t="s">
        <v>757</v>
      </c>
      <c r="C13301" t="s">
        <v>51</v>
      </c>
      <c r="D13301" s="230">
        <v>-101958.34</v>
      </c>
      <c r="E13301" t="s">
        <v>586</v>
      </c>
    </row>
    <row r="13302" spans="1:5" hidden="1" x14ac:dyDescent="0.3">
      <c r="A13302" t="s">
        <v>557</v>
      </c>
      <c r="B13302" t="s">
        <v>757</v>
      </c>
      <c r="C13302" t="s">
        <v>52</v>
      </c>
      <c r="D13302" s="230">
        <v>-76325.8</v>
      </c>
      <c r="E13302" t="s">
        <v>586</v>
      </c>
    </row>
    <row r="13303" spans="1:5" hidden="1" x14ac:dyDescent="0.3">
      <c r="A13303" t="s">
        <v>557</v>
      </c>
      <c r="B13303" t="s">
        <v>757</v>
      </c>
      <c r="C13303" t="s">
        <v>44</v>
      </c>
      <c r="D13303" s="230">
        <v>-0.28000000000000003</v>
      </c>
      <c r="E13303" t="s">
        <v>586</v>
      </c>
    </row>
    <row r="13304" spans="1:5" hidden="1" x14ac:dyDescent="0.3">
      <c r="A13304" t="s">
        <v>557</v>
      </c>
      <c r="B13304" t="s">
        <v>757</v>
      </c>
      <c r="C13304" t="s">
        <v>44</v>
      </c>
      <c r="D13304" s="230">
        <v>-0.02</v>
      </c>
      <c r="E13304" t="s">
        <v>586</v>
      </c>
    </row>
    <row r="13305" spans="1:5" hidden="1" x14ac:dyDescent="0.3">
      <c r="A13305" t="s">
        <v>557</v>
      </c>
      <c r="B13305" t="s">
        <v>757</v>
      </c>
      <c r="C13305" t="s">
        <v>44</v>
      </c>
      <c r="D13305" s="230">
        <v>-0.01</v>
      </c>
      <c r="E13305" t="s">
        <v>586</v>
      </c>
    </row>
    <row r="13306" spans="1:5" hidden="1" x14ac:dyDescent="0.3">
      <c r="A13306" t="s">
        <v>557</v>
      </c>
      <c r="B13306" t="s">
        <v>757</v>
      </c>
      <c r="C13306" t="s">
        <v>44</v>
      </c>
      <c r="D13306" s="230">
        <v>-0.06</v>
      </c>
      <c r="E13306" t="s">
        <v>586</v>
      </c>
    </row>
    <row r="13307" spans="1:5" hidden="1" x14ac:dyDescent="0.3">
      <c r="A13307" t="s">
        <v>557</v>
      </c>
      <c r="B13307" t="s">
        <v>757</v>
      </c>
      <c r="C13307" t="s">
        <v>44</v>
      </c>
      <c r="D13307" s="230">
        <v>-0.06</v>
      </c>
      <c r="E13307" t="s">
        <v>586</v>
      </c>
    </row>
    <row r="13308" spans="1:5" hidden="1" x14ac:dyDescent="0.3">
      <c r="A13308" t="s">
        <v>557</v>
      </c>
      <c r="B13308" t="s">
        <v>757</v>
      </c>
      <c r="C13308" t="s">
        <v>126</v>
      </c>
      <c r="D13308" s="230">
        <v>224459.68</v>
      </c>
      <c r="E13308" t="s">
        <v>586</v>
      </c>
    </row>
    <row r="13309" spans="1:5" hidden="1" x14ac:dyDescent="0.3">
      <c r="A13309" t="s">
        <v>557</v>
      </c>
      <c r="B13309" t="s">
        <v>757</v>
      </c>
      <c r="C13309" t="s">
        <v>44</v>
      </c>
      <c r="D13309" s="230">
        <v>-0.13</v>
      </c>
      <c r="E13309" t="s">
        <v>586</v>
      </c>
    </row>
    <row r="13310" spans="1:5" hidden="1" x14ac:dyDescent="0.3">
      <c r="A13310" t="s">
        <v>557</v>
      </c>
      <c r="B13310" t="s">
        <v>757</v>
      </c>
      <c r="C13310" t="s">
        <v>264</v>
      </c>
      <c r="D13310" s="230">
        <v>-40302.720000000001</v>
      </c>
      <c r="E13310" t="s">
        <v>586</v>
      </c>
    </row>
    <row r="13311" spans="1:5" hidden="1" x14ac:dyDescent="0.3">
      <c r="A13311" t="s">
        <v>557</v>
      </c>
      <c r="B13311" t="s">
        <v>757</v>
      </c>
      <c r="C13311" t="s">
        <v>268</v>
      </c>
      <c r="D13311" s="230">
        <v>-5877.23</v>
      </c>
      <c r="E13311" t="s">
        <v>586</v>
      </c>
    </row>
    <row r="13312" spans="1:5" hidden="1" x14ac:dyDescent="0.3">
      <c r="A13312" t="s">
        <v>557</v>
      </c>
      <c r="B13312" t="s">
        <v>757</v>
      </c>
      <c r="C13312" t="s">
        <v>44</v>
      </c>
      <c r="D13312" s="230">
        <v>-0.01</v>
      </c>
      <c r="E13312" t="s">
        <v>586</v>
      </c>
    </row>
    <row r="13313" spans="1:5" hidden="1" x14ac:dyDescent="0.3">
      <c r="A13313" t="s">
        <v>557</v>
      </c>
      <c r="B13313" t="s">
        <v>757</v>
      </c>
      <c r="C13313" t="s">
        <v>44</v>
      </c>
      <c r="D13313" s="230">
        <v>-0.01</v>
      </c>
      <c r="E13313" t="s">
        <v>586</v>
      </c>
    </row>
    <row r="13314" spans="1:5" hidden="1" x14ac:dyDescent="0.3">
      <c r="A13314" t="s">
        <v>557</v>
      </c>
      <c r="B13314" t="s">
        <v>757</v>
      </c>
      <c r="C13314" t="s">
        <v>44</v>
      </c>
      <c r="D13314" s="230">
        <v>-0.02</v>
      </c>
      <c r="E13314" t="s">
        <v>586</v>
      </c>
    </row>
    <row r="13315" spans="1:5" hidden="1" x14ac:dyDescent="0.3">
      <c r="A13315" t="s">
        <v>557</v>
      </c>
      <c r="B13315" t="s">
        <v>757</v>
      </c>
      <c r="C13315" t="s">
        <v>44</v>
      </c>
      <c r="D13315" s="230">
        <v>-0.01</v>
      </c>
      <c r="E13315" t="s">
        <v>586</v>
      </c>
    </row>
    <row r="13316" spans="1:5" hidden="1" x14ac:dyDescent="0.3">
      <c r="A13316" t="s">
        <v>557</v>
      </c>
      <c r="B13316" t="s">
        <v>757</v>
      </c>
      <c r="C13316" t="s">
        <v>44</v>
      </c>
      <c r="D13316" s="230">
        <v>-0.01</v>
      </c>
      <c r="E13316" t="s">
        <v>586</v>
      </c>
    </row>
    <row r="13317" spans="1:5" hidden="1" x14ac:dyDescent="0.3">
      <c r="A13317" t="s">
        <v>557</v>
      </c>
      <c r="B13317" t="s">
        <v>757</v>
      </c>
      <c r="C13317" t="s">
        <v>44</v>
      </c>
      <c r="D13317" s="230">
        <v>-0.05</v>
      </c>
      <c r="E13317" t="s">
        <v>586</v>
      </c>
    </row>
    <row r="13318" spans="1:5" hidden="1" x14ac:dyDescent="0.3">
      <c r="A13318" t="s">
        <v>557</v>
      </c>
      <c r="B13318" t="s">
        <v>757</v>
      </c>
      <c r="C13318" t="s">
        <v>328</v>
      </c>
      <c r="D13318" s="230">
        <v>-251608.1</v>
      </c>
      <c r="E13318" t="s">
        <v>586</v>
      </c>
    </row>
    <row r="13319" spans="1:5" hidden="1" x14ac:dyDescent="0.3">
      <c r="A13319" t="s">
        <v>557</v>
      </c>
      <c r="B13319" t="s">
        <v>757</v>
      </c>
      <c r="C13319" t="s">
        <v>44</v>
      </c>
      <c r="D13319" s="230">
        <v>-0.59</v>
      </c>
      <c r="E13319" t="s">
        <v>586</v>
      </c>
    </row>
    <row r="13320" spans="1:5" hidden="1" x14ac:dyDescent="0.3">
      <c r="A13320" t="s">
        <v>557</v>
      </c>
      <c r="B13320" t="s">
        <v>757</v>
      </c>
      <c r="C13320" t="s">
        <v>329</v>
      </c>
      <c r="D13320" s="230">
        <v>-27148.42</v>
      </c>
      <c r="E13320" t="s">
        <v>586</v>
      </c>
    </row>
    <row r="13321" spans="1:5" hidden="1" x14ac:dyDescent="0.3">
      <c r="A13321" t="s">
        <v>557</v>
      </c>
      <c r="B13321" t="s">
        <v>757</v>
      </c>
      <c r="C13321" t="s">
        <v>44</v>
      </c>
      <c r="D13321" s="230">
        <v>-0.06</v>
      </c>
      <c r="E13321" t="s">
        <v>586</v>
      </c>
    </row>
    <row r="13322" spans="1:5" hidden="1" x14ac:dyDescent="0.3">
      <c r="A13322" t="s">
        <v>557</v>
      </c>
      <c r="B13322" t="s">
        <v>757</v>
      </c>
      <c r="C13322" t="s">
        <v>332</v>
      </c>
      <c r="D13322" s="230">
        <v>-27148.42</v>
      </c>
      <c r="E13322" t="s">
        <v>586</v>
      </c>
    </row>
    <row r="13323" spans="1:5" hidden="1" x14ac:dyDescent="0.3">
      <c r="A13323" t="s">
        <v>557</v>
      </c>
      <c r="B13323" t="s">
        <v>757</v>
      </c>
      <c r="C13323" t="s">
        <v>338</v>
      </c>
      <c r="D13323" s="230">
        <v>-28098.87</v>
      </c>
      <c r="E13323" t="s">
        <v>586</v>
      </c>
    </row>
    <row r="13324" spans="1:5" hidden="1" x14ac:dyDescent="0.3">
      <c r="A13324" t="s">
        <v>557</v>
      </c>
      <c r="B13324" t="s">
        <v>757</v>
      </c>
      <c r="C13324" t="s">
        <v>339</v>
      </c>
      <c r="D13324" s="230">
        <v>-12856.9</v>
      </c>
      <c r="E13324" t="s">
        <v>586</v>
      </c>
    </row>
    <row r="13325" spans="1:5" hidden="1" x14ac:dyDescent="0.3">
      <c r="A13325" t="s">
        <v>557</v>
      </c>
      <c r="B13325" t="s">
        <v>757</v>
      </c>
      <c r="C13325" t="s">
        <v>344</v>
      </c>
      <c r="D13325" s="230">
        <v>-3701.83</v>
      </c>
      <c r="E13325" t="s">
        <v>586</v>
      </c>
    </row>
    <row r="13326" spans="1:5" hidden="1" x14ac:dyDescent="0.3">
      <c r="A13326" t="s">
        <v>557</v>
      </c>
      <c r="B13326" t="s">
        <v>757</v>
      </c>
      <c r="C13326" t="s">
        <v>347</v>
      </c>
      <c r="D13326" s="230">
        <v>-40955.769999999997</v>
      </c>
      <c r="E13326" t="s">
        <v>586</v>
      </c>
    </row>
    <row r="13327" spans="1:5" hidden="1" x14ac:dyDescent="0.3">
      <c r="A13327" t="s">
        <v>557</v>
      </c>
      <c r="B13327" t="s">
        <v>757</v>
      </c>
      <c r="C13327" t="s">
        <v>374</v>
      </c>
      <c r="D13327" s="230">
        <v>-42789.11</v>
      </c>
      <c r="E13327" t="s">
        <v>586</v>
      </c>
    </row>
    <row r="13328" spans="1:5" hidden="1" x14ac:dyDescent="0.3">
      <c r="A13328" t="s">
        <v>557</v>
      </c>
      <c r="B13328" t="s">
        <v>758</v>
      </c>
      <c r="C13328" t="s">
        <v>44</v>
      </c>
      <c r="D13328" s="230">
        <v>-0.03</v>
      </c>
      <c r="E13328" t="s">
        <v>588</v>
      </c>
    </row>
    <row r="13329" spans="1:5" hidden="1" x14ac:dyDescent="0.3">
      <c r="A13329" t="s">
        <v>557</v>
      </c>
      <c r="B13329" t="s">
        <v>758</v>
      </c>
      <c r="C13329" t="s">
        <v>44</v>
      </c>
      <c r="D13329" s="230">
        <v>-0.28999999999999998</v>
      </c>
      <c r="E13329" t="s">
        <v>588</v>
      </c>
    </row>
    <row r="13330" spans="1:5" hidden="1" x14ac:dyDescent="0.3">
      <c r="A13330" t="s">
        <v>557</v>
      </c>
      <c r="B13330" t="s">
        <v>758</v>
      </c>
      <c r="C13330" t="s">
        <v>44</v>
      </c>
      <c r="D13330" s="230">
        <v>-0.01</v>
      </c>
      <c r="E13330" t="s">
        <v>588</v>
      </c>
    </row>
    <row r="13331" spans="1:5" hidden="1" x14ac:dyDescent="0.3">
      <c r="A13331" t="s">
        <v>557</v>
      </c>
      <c r="B13331" t="s">
        <v>758</v>
      </c>
      <c r="C13331" t="s">
        <v>44</v>
      </c>
      <c r="D13331" s="230">
        <v>0</v>
      </c>
      <c r="E13331" t="s">
        <v>588</v>
      </c>
    </row>
    <row r="13332" spans="1:5" hidden="1" x14ac:dyDescent="0.3">
      <c r="A13332" t="s">
        <v>557</v>
      </c>
      <c r="B13332" t="s">
        <v>758</v>
      </c>
      <c r="C13332" t="s">
        <v>44</v>
      </c>
      <c r="D13332" s="230">
        <v>-0.06</v>
      </c>
      <c r="E13332" t="s">
        <v>588</v>
      </c>
    </row>
    <row r="13333" spans="1:5" hidden="1" x14ac:dyDescent="0.3">
      <c r="A13333" t="s">
        <v>557</v>
      </c>
      <c r="B13333" t="s">
        <v>758</v>
      </c>
      <c r="C13333" t="s">
        <v>115</v>
      </c>
      <c r="D13333" s="230">
        <v>-32570.45</v>
      </c>
      <c r="E13333" t="s">
        <v>588</v>
      </c>
    </row>
    <row r="13334" spans="1:5" hidden="1" x14ac:dyDescent="0.3">
      <c r="A13334" t="s">
        <v>557</v>
      </c>
      <c r="B13334" t="s">
        <v>758</v>
      </c>
      <c r="C13334" t="s">
        <v>116</v>
      </c>
      <c r="D13334" s="230">
        <v>-7927.71</v>
      </c>
      <c r="E13334" t="s">
        <v>588</v>
      </c>
    </row>
    <row r="13335" spans="1:5" hidden="1" x14ac:dyDescent="0.3">
      <c r="A13335" t="s">
        <v>557</v>
      </c>
      <c r="B13335" t="s">
        <v>758</v>
      </c>
      <c r="C13335" t="s">
        <v>44</v>
      </c>
      <c r="D13335" s="230">
        <v>-0.06</v>
      </c>
      <c r="E13335" t="s">
        <v>588</v>
      </c>
    </row>
    <row r="13336" spans="1:5" hidden="1" x14ac:dyDescent="0.3">
      <c r="A13336" t="s">
        <v>557</v>
      </c>
      <c r="B13336" t="s">
        <v>758</v>
      </c>
      <c r="C13336" t="s">
        <v>126</v>
      </c>
      <c r="D13336" s="230">
        <v>301596.55</v>
      </c>
      <c r="E13336" t="s">
        <v>588</v>
      </c>
    </row>
    <row r="13337" spans="1:5" hidden="1" x14ac:dyDescent="0.3">
      <c r="A13337" t="s">
        <v>557</v>
      </c>
      <c r="B13337" t="s">
        <v>758</v>
      </c>
      <c r="C13337" t="s">
        <v>44</v>
      </c>
      <c r="D13337" s="230">
        <v>-0.1</v>
      </c>
      <c r="E13337" t="s">
        <v>588</v>
      </c>
    </row>
    <row r="13338" spans="1:5" hidden="1" x14ac:dyDescent="0.3">
      <c r="A13338" t="s">
        <v>557</v>
      </c>
      <c r="B13338" t="s">
        <v>758</v>
      </c>
      <c r="C13338" t="s">
        <v>44</v>
      </c>
      <c r="D13338" s="230">
        <v>-7.0000000000000007E-2</v>
      </c>
      <c r="E13338" t="s">
        <v>588</v>
      </c>
    </row>
    <row r="13339" spans="1:5" hidden="1" x14ac:dyDescent="0.3">
      <c r="A13339" t="s">
        <v>557</v>
      </c>
      <c r="B13339" t="s">
        <v>758</v>
      </c>
      <c r="C13339" t="s">
        <v>44</v>
      </c>
      <c r="D13339" s="230">
        <v>-0.01</v>
      </c>
      <c r="E13339" t="s">
        <v>588</v>
      </c>
    </row>
    <row r="13340" spans="1:5" hidden="1" x14ac:dyDescent="0.3">
      <c r="A13340" t="s">
        <v>557</v>
      </c>
      <c r="B13340" t="s">
        <v>758</v>
      </c>
      <c r="C13340" t="s">
        <v>44</v>
      </c>
      <c r="D13340" s="230">
        <v>-0.01</v>
      </c>
      <c r="E13340" t="s">
        <v>588</v>
      </c>
    </row>
    <row r="13341" spans="1:5" hidden="1" x14ac:dyDescent="0.3">
      <c r="A13341" t="s">
        <v>557</v>
      </c>
      <c r="B13341" t="s">
        <v>758</v>
      </c>
      <c r="C13341" t="s">
        <v>44</v>
      </c>
      <c r="D13341" s="230">
        <v>-0.01</v>
      </c>
      <c r="E13341" t="s">
        <v>588</v>
      </c>
    </row>
    <row r="13342" spans="1:5" hidden="1" x14ac:dyDescent="0.3">
      <c r="A13342" t="s">
        <v>557</v>
      </c>
      <c r="B13342" t="s">
        <v>758</v>
      </c>
      <c r="C13342" t="s">
        <v>44</v>
      </c>
      <c r="D13342" s="230">
        <v>-0.01</v>
      </c>
      <c r="E13342" t="s">
        <v>588</v>
      </c>
    </row>
    <row r="13343" spans="1:5" hidden="1" x14ac:dyDescent="0.3">
      <c r="A13343" t="s">
        <v>557</v>
      </c>
      <c r="B13343" t="s">
        <v>758</v>
      </c>
      <c r="C13343" t="s">
        <v>44</v>
      </c>
      <c r="D13343" s="230">
        <v>0</v>
      </c>
      <c r="E13343" t="s">
        <v>588</v>
      </c>
    </row>
    <row r="13344" spans="1:5" hidden="1" x14ac:dyDescent="0.3">
      <c r="A13344" t="s">
        <v>557</v>
      </c>
      <c r="B13344" t="s">
        <v>758</v>
      </c>
      <c r="C13344" t="s">
        <v>44</v>
      </c>
      <c r="D13344" s="230">
        <v>-0.05</v>
      </c>
      <c r="E13344" t="s">
        <v>588</v>
      </c>
    </row>
    <row r="13345" spans="1:5" hidden="1" x14ac:dyDescent="0.3">
      <c r="A13345" t="s">
        <v>557</v>
      </c>
      <c r="B13345" t="s">
        <v>758</v>
      </c>
      <c r="C13345" t="s">
        <v>44</v>
      </c>
      <c r="D13345" s="230">
        <v>-0.47</v>
      </c>
      <c r="E13345" t="s">
        <v>588</v>
      </c>
    </row>
    <row r="13346" spans="1:5" hidden="1" x14ac:dyDescent="0.3">
      <c r="A13346" t="s">
        <v>557</v>
      </c>
      <c r="B13346" t="s">
        <v>758</v>
      </c>
      <c r="C13346" t="s">
        <v>329</v>
      </c>
      <c r="D13346" s="230">
        <v>36056.43</v>
      </c>
      <c r="E13346" t="s">
        <v>588</v>
      </c>
    </row>
    <row r="13347" spans="1:5" hidden="1" x14ac:dyDescent="0.3">
      <c r="A13347" t="s">
        <v>557</v>
      </c>
      <c r="B13347" t="s">
        <v>758</v>
      </c>
      <c r="C13347" t="s">
        <v>44</v>
      </c>
      <c r="D13347" s="230">
        <v>0.06</v>
      </c>
      <c r="E13347" t="s">
        <v>588</v>
      </c>
    </row>
    <row r="13348" spans="1:5" hidden="1" x14ac:dyDescent="0.3">
      <c r="A13348" t="s">
        <v>557</v>
      </c>
      <c r="B13348" t="s">
        <v>758</v>
      </c>
      <c r="C13348" t="s">
        <v>332</v>
      </c>
      <c r="D13348" s="230">
        <v>36056.43</v>
      </c>
      <c r="E13348" t="s">
        <v>588</v>
      </c>
    </row>
    <row r="13349" spans="1:5" hidden="1" x14ac:dyDescent="0.3">
      <c r="A13349" t="s">
        <v>557</v>
      </c>
      <c r="B13349" t="s">
        <v>758</v>
      </c>
      <c r="C13349" t="s">
        <v>338</v>
      </c>
      <c r="D13349" s="230">
        <v>36322.97</v>
      </c>
      <c r="E13349" t="s">
        <v>588</v>
      </c>
    </row>
    <row r="13350" spans="1:5" hidden="1" x14ac:dyDescent="0.3">
      <c r="A13350" t="s">
        <v>557</v>
      </c>
      <c r="B13350" t="s">
        <v>758</v>
      </c>
      <c r="C13350" t="s">
        <v>339</v>
      </c>
      <c r="D13350" s="230">
        <v>-16796.5</v>
      </c>
      <c r="E13350" t="s">
        <v>588</v>
      </c>
    </row>
    <row r="13351" spans="1:5" hidden="1" x14ac:dyDescent="0.3">
      <c r="A13351" t="s">
        <v>557</v>
      </c>
      <c r="B13351" t="s">
        <v>758</v>
      </c>
      <c r="C13351" t="s">
        <v>344</v>
      </c>
      <c r="D13351" s="230">
        <v>-4561.38</v>
      </c>
      <c r="E13351" t="s">
        <v>588</v>
      </c>
    </row>
    <row r="13352" spans="1:5" hidden="1" x14ac:dyDescent="0.3">
      <c r="A13352" t="s">
        <v>557</v>
      </c>
      <c r="B13352" t="s">
        <v>758</v>
      </c>
      <c r="C13352" t="s">
        <v>347</v>
      </c>
      <c r="D13352" s="230">
        <v>19526.48</v>
      </c>
      <c r="E13352" t="s">
        <v>588</v>
      </c>
    </row>
    <row r="13353" spans="1:5" hidden="1" x14ac:dyDescent="0.3">
      <c r="A13353" t="s">
        <v>557</v>
      </c>
      <c r="B13353" t="s">
        <v>758</v>
      </c>
      <c r="C13353" t="s">
        <v>44</v>
      </c>
      <c r="D13353" s="230">
        <v>0.03</v>
      </c>
      <c r="E13353" t="s">
        <v>588</v>
      </c>
    </row>
    <row r="13354" spans="1:5" hidden="1" x14ac:dyDescent="0.3">
      <c r="A13354" t="s">
        <v>557</v>
      </c>
      <c r="B13354" t="s">
        <v>758</v>
      </c>
      <c r="C13354" t="s">
        <v>374</v>
      </c>
      <c r="D13354" s="230">
        <v>17200.16</v>
      </c>
      <c r="E13354" t="s">
        <v>588</v>
      </c>
    </row>
    <row r="13355" spans="1:5" hidden="1" x14ac:dyDescent="0.3">
      <c r="A13355" t="s">
        <v>557</v>
      </c>
      <c r="B13355" t="s">
        <v>759</v>
      </c>
      <c r="C13355" t="s">
        <v>11</v>
      </c>
      <c r="D13355" s="230">
        <v>447388.81</v>
      </c>
      <c r="E13355" t="s">
        <v>590</v>
      </c>
    </row>
    <row r="13356" spans="1:5" hidden="1" x14ac:dyDescent="0.3">
      <c r="A13356" t="s">
        <v>557</v>
      </c>
      <c r="B13356" t="s">
        <v>759</v>
      </c>
      <c r="C13356" t="s">
        <v>13</v>
      </c>
      <c r="D13356" s="230">
        <v>213867.5</v>
      </c>
      <c r="E13356" t="s">
        <v>590</v>
      </c>
    </row>
    <row r="13357" spans="1:5" hidden="1" x14ac:dyDescent="0.3">
      <c r="A13357" t="s">
        <v>557</v>
      </c>
      <c r="B13357" t="s">
        <v>759</v>
      </c>
      <c r="C13357" t="s">
        <v>16</v>
      </c>
      <c r="D13357" s="230">
        <v>108698.2</v>
      </c>
      <c r="E13357" t="s">
        <v>590</v>
      </c>
    </row>
    <row r="13358" spans="1:5" hidden="1" x14ac:dyDescent="0.3">
      <c r="A13358" t="s">
        <v>557</v>
      </c>
      <c r="B13358" t="s">
        <v>759</v>
      </c>
      <c r="C13358" t="s">
        <v>17</v>
      </c>
      <c r="D13358" s="230">
        <v>6515</v>
      </c>
      <c r="E13358" t="s">
        <v>590</v>
      </c>
    </row>
    <row r="13359" spans="1:5" hidden="1" x14ac:dyDescent="0.3">
      <c r="A13359" t="s">
        <v>557</v>
      </c>
      <c r="B13359" t="s">
        <v>759</v>
      </c>
      <c r="C13359" t="s">
        <v>18</v>
      </c>
      <c r="D13359" s="230">
        <v>0</v>
      </c>
      <c r="E13359" t="s">
        <v>590</v>
      </c>
    </row>
    <row r="13360" spans="1:5" hidden="1" x14ac:dyDescent="0.3">
      <c r="A13360" t="s">
        <v>557</v>
      </c>
      <c r="B13360" t="s">
        <v>759</v>
      </c>
      <c r="C13360" t="s">
        <v>20</v>
      </c>
      <c r="D13360" s="230">
        <v>40835.89</v>
      </c>
      <c r="E13360" t="s">
        <v>590</v>
      </c>
    </row>
    <row r="13361" spans="1:5" hidden="1" x14ac:dyDescent="0.3">
      <c r="A13361" t="s">
        <v>557</v>
      </c>
      <c r="B13361" t="s">
        <v>759</v>
      </c>
      <c r="C13361" t="s">
        <v>23</v>
      </c>
      <c r="D13361" s="230">
        <v>0</v>
      </c>
      <c r="E13361" t="s">
        <v>590</v>
      </c>
    </row>
    <row r="13362" spans="1:5" hidden="1" x14ac:dyDescent="0.3">
      <c r="A13362" t="s">
        <v>557</v>
      </c>
      <c r="B13362" t="s">
        <v>759</v>
      </c>
      <c r="C13362" t="s">
        <v>25</v>
      </c>
      <c r="D13362" s="230">
        <v>0</v>
      </c>
      <c r="E13362" t="s">
        <v>590</v>
      </c>
    </row>
    <row r="13363" spans="1:5" hidden="1" x14ac:dyDescent="0.3">
      <c r="A13363" t="s">
        <v>557</v>
      </c>
      <c r="B13363" t="s">
        <v>759</v>
      </c>
      <c r="C13363" t="s">
        <v>26</v>
      </c>
      <c r="D13363" s="230">
        <v>2520</v>
      </c>
      <c r="E13363" t="s">
        <v>590</v>
      </c>
    </row>
    <row r="13364" spans="1:5" hidden="1" x14ac:dyDescent="0.3">
      <c r="A13364" t="s">
        <v>557</v>
      </c>
      <c r="B13364" t="s">
        <v>759</v>
      </c>
      <c r="C13364" t="s">
        <v>27</v>
      </c>
      <c r="D13364" s="230">
        <v>0</v>
      </c>
      <c r="E13364" t="s">
        <v>590</v>
      </c>
    </row>
    <row r="13365" spans="1:5" hidden="1" x14ac:dyDescent="0.3">
      <c r="A13365" t="s">
        <v>557</v>
      </c>
      <c r="B13365" t="s">
        <v>759</v>
      </c>
      <c r="C13365" t="s">
        <v>29</v>
      </c>
      <c r="D13365" s="230">
        <v>74587.72</v>
      </c>
      <c r="E13365" t="s">
        <v>590</v>
      </c>
    </row>
    <row r="13366" spans="1:5" hidden="1" x14ac:dyDescent="0.3">
      <c r="A13366" t="s">
        <v>557</v>
      </c>
      <c r="B13366" t="s">
        <v>759</v>
      </c>
      <c r="C13366" t="s">
        <v>31</v>
      </c>
      <c r="D13366" s="230">
        <v>364.5</v>
      </c>
      <c r="E13366" t="s">
        <v>590</v>
      </c>
    </row>
    <row r="13367" spans="1:5" hidden="1" x14ac:dyDescent="0.3">
      <c r="A13367" t="s">
        <v>557</v>
      </c>
      <c r="B13367" t="s">
        <v>759</v>
      </c>
      <c r="C13367" t="s">
        <v>33</v>
      </c>
      <c r="D13367" s="230">
        <v>2520</v>
      </c>
      <c r="E13367" t="s">
        <v>590</v>
      </c>
    </row>
    <row r="13368" spans="1:5" hidden="1" x14ac:dyDescent="0.3">
      <c r="A13368" t="s">
        <v>557</v>
      </c>
      <c r="B13368" t="s">
        <v>759</v>
      </c>
      <c r="C13368" t="s">
        <v>34</v>
      </c>
      <c r="D13368" s="230">
        <v>-14054.33</v>
      </c>
      <c r="E13368" t="s">
        <v>590</v>
      </c>
    </row>
    <row r="13369" spans="1:5" hidden="1" x14ac:dyDescent="0.3">
      <c r="A13369" t="s">
        <v>557</v>
      </c>
      <c r="B13369" t="s">
        <v>759</v>
      </c>
      <c r="C13369" t="s">
        <v>38</v>
      </c>
      <c r="D13369" s="230">
        <v>-3026.3</v>
      </c>
      <c r="E13369" t="s">
        <v>590</v>
      </c>
    </row>
    <row r="13370" spans="1:5" hidden="1" x14ac:dyDescent="0.3">
      <c r="A13370" t="s">
        <v>557</v>
      </c>
      <c r="B13370" t="s">
        <v>759</v>
      </c>
      <c r="C13370" t="s">
        <v>40</v>
      </c>
      <c r="D13370" s="230">
        <v>-6989.19</v>
      </c>
      <c r="E13370" t="s">
        <v>590</v>
      </c>
    </row>
    <row r="13371" spans="1:5" hidden="1" x14ac:dyDescent="0.3">
      <c r="A13371" t="s">
        <v>557</v>
      </c>
      <c r="B13371" t="s">
        <v>759</v>
      </c>
      <c r="C13371" t="s">
        <v>42</v>
      </c>
      <c r="D13371" s="230">
        <v>-4038.84</v>
      </c>
      <c r="E13371" t="s">
        <v>590</v>
      </c>
    </row>
    <row r="13372" spans="1:5" hidden="1" x14ac:dyDescent="0.3">
      <c r="A13372" t="s">
        <v>557</v>
      </c>
      <c r="B13372" t="s">
        <v>759</v>
      </c>
      <c r="C13372" t="s">
        <v>44</v>
      </c>
      <c r="D13372" s="230">
        <v>-0.03</v>
      </c>
      <c r="E13372" t="s">
        <v>590</v>
      </c>
    </row>
    <row r="13373" spans="1:5" hidden="1" x14ac:dyDescent="0.3">
      <c r="A13373" t="s">
        <v>557</v>
      </c>
      <c r="B13373" t="s">
        <v>759</v>
      </c>
      <c r="C13373" t="s">
        <v>45</v>
      </c>
      <c r="D13373" s="230">
        <v>-27973.99</v>
      </c>
      <c r="E13373" t="s">
        <v>590</v>
      </c>
    </row>
    <row r="13374" spans="1:5" hidden="1" x14ac:dyDescent="0.3">
      <c r="A13374" t="s">
        <v>557</v>
      </c>
      <c r="B13374" t="s">
        <v>759</v>
      </c>
      <c r="C13374" t="s">
        <v>46</v>
      </c>
      <c r="D13374" s="230">
        <v>-11701.25</v>
      </c>
      <c r="E13374" t="s">
        <v>590</v>
      </c>
    </row>
    <row r="13375" spans="1:5" hidden="1" x14ac:dyDescent="0.3">
      <c r="A13375" t="s">
        <v>557</v>
      </c>
      <c r="B13375" t="s">
        <v>759</v>
      </c>
      <c r="C13375" t="s">
        <v>48</v>
      </c>
      <c r="D13375" s="230">
        <v>-16146.74</v>
      </c>
      <c r="E13375" t="s">
        <v>590</v>
      </c>
    </row>
    <row r="13376" spans="1:5" hidden="1" x14ac:dyDescent="0.3">
      <c r="A13376" t="s">
        <v>557</v>
      </c>
      <c r="B13376" t="s">
        <v>759</v>
      </c>
      <c r="C13376" t="s">
        <v>49</v>
      </c>
      <c r="D13376" s="230">
        <v>-126</v>
      </c>
      <c r="E13376" t="s">
        <v>590</v>
      </c>
    </row>
    <row r="13377" spans="1:5" hidden="1" x14ac:dyDescent="0.3">
      <c r="A13377" t="s">
        <v>557</v>
      </c>
      <c r="B13377" t="s">
        <v>759</v>
      </c>
      <c r="C13377" t="s">
        <v>50</v>
      </c>
      <c r="D13377" s="230">
        <v>405360.49</v>
      </c>
      <c r="E13377" t="s">
        <v>590</v>
      </c>
    </row>
    <row r="13378" spans="1:5" hidden="1" x14ac:dyDescent="0.3">
      <c r="A13378" t="s">
        <v>557</v>
      </c>
      <c r="B13378" t="s">
        <v>759</v>
      </c>
      <c r="C13378" t="s">
        <v>51</v>
      </c>
      <c r="D13378" s="230">
        <v>-112493.95</v>
      </c>
      <c r="E13378" t="s">
        <v>590</v>
      </c>
    </row>
    <row r="13379" spans="1:5" hidden="1" x14ac:dyDescent="0.3">
      <c r="A13379" t="s">
        <v>557</v>
      </c>
      <c r="B13379" t="s">
        <v>759</v>
      </c>
      <c r="C13379" t="s">
        <v>52</v>
      </c>
      <c r="D13379" s="230">
        <v>-83099.149999999994</v>
      </c>
      <c r="E13379" t="s">
        <v>590</v>
      </c>
    </row>
    <row r="13380" spans="1:5" hidden="1" x14ac:dyDescent="0.3">
      <c r="A13380" t="s">
        <v>557</v>
      </c>
      <c r="B13380" t="s">
        <v>759</v>
      </c>
      <c r="C13380" t="s">
        <v>53</v>
      </c>
      <c r="D13380" s="230">
        <v>-25828.66</v>
      </c>
      <c r="E13380" t="s">
        <v>590</v>
      </c>
    </row>
    <row r="13381" spans="1:5" hidden="1" x14ac:dyDescent="0.3">
      <c r="A13381" t="s">
        <v>557</v>
      </c>
      <c r="B13381" t="s">
        <v>759</v>
      </c>
      <c r="C13381" t="s">
        <v>54</v>
      </c>
      <c r="D13381" s="230">
        <v>-3566.14</v>
      </c>
      <c r="E13381" t="s">
        <v>590</v>
      </c>
    </row>
    <row r="13382" spans="1:5" hidden="1" x14ac:dyDescent="0.3">
      <c r="A13382" t="s">
        <v>557</v>
      </c>
      <c r="B13382" t="s">
        <v>759</v>
      </c>
      <c r="C13382" t="s">
        <v>44</v>
      </c>
      <c r="D13382" s="230">
        <v>-0.28000000000000003</v>
      </c>
      <c r="E13382" t="s">
        <v>590</v>
      </c>
    </row>
    <row r="13383" spans="1:5" hidden="1" x14ac:dyDescent="0.3">
      <c r="A13383" t="s">
        <v>557</v>
      </c>
      <c r="B13383" t="s">
        <v>759</v>
      </c>
      <c r="C13383" t="s">
        <v>55</v>
      </c>
      <c r="D13383" s="230">
        <v>-0.28000000000000003</v>
      </c>
      <c r="E13383" t="s">
        <v>590</v>
      </c>
    </row>
    <row r="13384" spans="1:5" hidden="1" x14ac:dyDescent="0.3">
      <c r="A13384" t="s">
        <v>557</v>
      </c>
      <c r="B13384" t="s">
        <v>759</v>
      </c>
      <c r="C13384" t="s">
        <v>56</v>
      </c>
      <c r="D13384" s="230">
        <v>-7275.27</v>
      </c>
      <c r="E13384" t="s">
        <v>590</v>
      </c>
    </row>
    <row r="13385" spans="1:5" hidden="1" x14ac:dyDescent="0.3">
      <c r="A13385" t="s">
        <v>557</v>
      </c>
      <c r="B13385" t="s">
        <v>759</v>
      </c>
      <c r="C13385" t="s">
        <v>57</v>
      </c>
      <c r="D13385" s="230">
        <v>-6607.27</v>
      </c>
      <c r="E13385" t="s">
        <v>590</v>
      </c>
    </row>
    <row r="13386" spans="1:5" hidden="1" x14ac:dyDescent="0.3">
      <c r="A13386" t="s">
        <v>557</v>
      </c>
      <c r="B13386" t="s">
        <v>759</v>
      </c>
      <c r="C13386" t="s">
        <v>58</v>
      </c>
      <c r="D13386" s="230">
        <v>-6280</v>
      </c>
      <c r="E13386" t="s">
        <v>590</v>
      </c>
    </row>
    <row r="13387" spans="1:5" hidden="1" x14ac:dyDescent="0.3">
      <c r="A13387" t="s">
        <v>557</v>
      </c>
      <c r="B13387" t="s">
        <v>759</v>
      </c>
      <c r="C13387" t="s">
        <v>59</v>
      </c>
      <c r="D13387" s="230">
        <v>-327.27</v>
      </c>
      <c r="E13387" t="s">
        <v>590</v>
      </c>
    </row>
    <row r="13388" spans="1:5" hidden="1" x14ac:dyDescent="0.3">
      <c r="A13388" t="s">
        <v>557</v>
      </c>
      <c r="B13388" t="s">
        <v>759</v>
      </c>
      <c r="C13388" t="s">
        <v>61</v>
      </c>
      <c r="D13388" s="230">
        <v>0</v>
      </c>
      <c r="E13388" t="s">
        <v>590</v>
      </c>
    </row>
    <row r="13389" spans="1:5" hidden="1" x14ac:dyDescent="0.3">
      <c r="A13389" t="s">
        <v>557</v>
      </c>
      <c r="B13389" t="s">
        <v>759</v>
      </c>
      <c r="C13389" t="s">
        <v>62</v>
      </c>
      <c r="D13389" s="230">
        <v>0</v>
      </c>
      <c r="E13389" t="s">
        <v>590</v>
      </c>
    </row>
    <row r="13390" spans="1:5" hidden="1" x14ac:dyDescent="0.3">
      <c r="A13390" t="s">
        <v>557</v>
      </c>
      <c r="B13390" t="s">
        <v>759</v>
      </c>
      <c r="C13390" t="s">
        <v>64</v>
      </c>
      <c r="D13390" s="230">
        <v>0</v>
      </c>
      <c r="E13390" t="s">
        <v>590</v>
      </c>
    </row>
    <row r="13391" spans="1:5" hidden="1" x14ac:dyDescent="0.3">
      <c r="A13391" t="s">
        <v>557</v>
      </c>
      <c r="B13391" t="s">
        <v>759</v>
      </c>
      <c r="C13391" t="s">
        <v>65</v>
      </c>
      <c r="D13391" s="230">
        <v>-668</v>
      </c>
      <c r="E13391" t="s">
        <v>590</v>
      </c>
    </row>
    <row r="13392" spans="1:5" hidden="1" x14ac:dyDescent="0.3">
      <c r="A13392" t="s">
        <v>557</v>
      </c>
      <c r="B13392" t="s">
        <v>759</v>
      </c>
      <c r="C13392" t="s">
        <v>66</v>
      </c>
      <c r="D13392" s="230">
        <v>-668</v>
      </c>
      <c r="E13392" t="s">
        <v>590</v>
      </c>
    </row>
    <row r="13393" spans="1:5" hidden="1" x14ac:dyDescent="0.3">
      <c r="A13393" t="s">
        <v>557</v>
      </c>
      <c r="B13393" t="s">
        <v>759</v>
      </c>
      <c r="C13393" t="s">
        <v>68</v>
      </c>
      <c r="D13393" s="230">
        <v>0</v>
      </c>
      <c r="E13393" t="s">
        <v>590</v>
      </c>
    </row>
    <row r="13394" spans="1:5" hidden="1" x14ac:dyDescent="0.3">
      <c r="A13394" t="s">
        <v>557</v>
      </c>
      <c r="B13394" t="s">
        <v>759</v>
      </c>
      <c r="C13394" t="s">
        <v>69</v>
      </c>
      <c r="D13394" s="230">
        <v>0</v>
      </c>
      <c r="E13394" t="s">
        <v>590</v>
      </c>
    </row>
    <row r="13395" spans="1:5" hidden="1" x14ac:dyDescent="0.3">
      <c r="A13395" t="s">
        <v>557</v>
      </c>
      <c r="B13395" t="s">
        <v>759</v>
      </c>
      <c r="C13395" t="s">
        <v>70</v>
      </c>
      <c r="D13395" s="230">
        <v>-1.1200000000000001</v>
      </c>
      <c r="E13395" t="s">
        <v>590</v>
      </c>
    </row>
    <row r="13396" spans="1:5" hidden="1" x14ac:dyDescent="0.3">
      <c r="A13396" t="s">
        <v>557</v>
      </c>
      <c r="B13396" t="s">
        <v>759</v>
      </c>
      <c r="C13396" t="s">
        <v>44</v>
      </c>
      <c r="D13396" s="230">
        <v>-0.02</v>
      </c>
      <c r="E13396" t="s">
        <v>590</v>
      </c>
    </row>
    <row r="13397" spans="1:5" hidden="1" x14ac:dyDescent="0.3">
      <c r="A13397" t="s">
        <v>557</v>
      </c>
      <c r="B13397" t="s">
        <v>759</v>
      </c>
      <c r="C13397" t="s">
        <v>71</v>
      </c>
      <c r="D13397" s="230">
        <v>-5000</v>
      </c>
      <c r="E13397" t="s">
        <v>590</v>
      </c>
    </row>
    <row r="13398" spans="1:5" hidden="1" x14ac:dyDescent="0.3">
      <c r="A13398" t="s">
        <v>557</v>
      </c>
      <c r="B13398" t="s">
        <v>759</v>
      </c>
      <c r="C13398" t="s">
        <v>72</v>
      </c>
      <c r="D13398" s="230">
        <v>-5000</v>
      </c>
      <c r="E13398" t="s">
        <v>590</v>
      </c>
    </row>
    <row r="13399" spans="1:5" hidden="1" x14ac:dyDescent="0.3">
      <c r="A13399" t="s">
        <v>557</v>
      </c>
      <c r="B13399" t="s">
        <v>759</v>
      </c>
      <c r="C13399" t="s">
        <v>73</v>
      </c>
      <c r="D13399" s="230">
        <v>-2000</v>
      </c>
      <c r="E13399" t="s">
        <v>590</v>
      </c>
    </row>
    <row r="13400" spans="1:5" hidden="1" x14ac:dyDescent="0.3">
      <c r="A13400" t="s">
        <v>557</v>
      </c>
      <c r="B13400" t="s">
        <v>759</v>
      </c>
      <c r="C13400" t="s">
        <v>75</v>
      </c>
      <c r="D13400" s="230">
        <v>-3000</v>
      </c>
      <c r="E13400" t="s">
        <v>590</v>
      </c>
    </row>
    <row r="13401" spans="1:5" hidden="1" x14ac:dyDescent="0.3">
      <c r="A13401" t="s">
        <v>557</v>
      </c>
      <c r="B13401" t="s">
        <v>759</v>
      </c>
      <c r="C13401" t="s">
        <v>77</v>
      </c>
      <c r="D13401" s="230">
        <v>0</v>
      </c>
      <c r="E13401" t="s">
        <v>590</v>
      </c>
    </row>
    <row r="13402" spans="1:5" hidden="1" x14ac:dyDescent="0.3">
      <c r="A13402" t="s">
        <v>557</v>
      </c>
      <c r="B13402" t="s">
        <v>759</v>
      </c>
      <c r="C13402" t="s">
        <v>78</v>
      </c>
      <c r="D13402" s="230">
        <v>0</v>
      </c>
      <c r="E13402" t="s">
        <v>590</v>
      </c>
    </row>
    <row r="13403" spans="1:5" hidden="1" x14ac:dyDescent="0.3">
      <c r="A13403" t="s">
        <v>557</v>
      </c>
      <c r="B13403" t="s">
        <v>759</v>
      </c>
      <c r="C13403" t="s">
        <v>80</v>
      </c>
      <c r="D13403" s="230">
        <v>0</v>
      </c>
      <c r="E13403" t="s">
        <v>590</v>
      </c>
    </row>
    <row r="13404" spans="1:5" hidden="1" x14ac:dyDescent="0.3">
      <c r="A13404" t="s">
        <v>557</v>
      </c>
      <c r="B13404" t="s">
        <v>759</v>
      </c>
      <c r="C13404" t="s">
        <v>82</v>
      </c>
      <c r="D13404" s="230">
        <v>0</v>
      </c>
      <c r="E13404" t="s">
        <v>590</v>
      </c>
    </row>
    <row r="13405" spans="1:5" hidden="1" x14ac:dyDescent="0.3">
      <c r="A13405" t="s">
        <v>557</v>
      </c>
      <c r="B13405" t="s">
        <v>759</v>
      </c>
      <c r="C13405" t="s">
        <v>84</v>
      </c>
      <c r="D13405" s="230">
        <v>0</v>
      </c>
      <c r="E13405" t="s">
        <v>590</v>
      </c>
    </row>
    <row r="13406" spans="1:5" hidden="1" x14ac:dyDescent="0.3">
      <c r="A13406" t="s">
        <v>557</v>
      </c>
      <c r="B13406" t="s">
        <v>759</v>
      </c>
      <c r="C13406" t="s">
        <v>85</v>
      </c>
      <c r="D13406" s="230">
        <v>0</v>
      </c>
      <c r="E13406" t="s">
        <v>590</v>
      </c>
    </row>
    <row r="13407" spans="1:5" hidden="1" x14ac:dyDescent="0.3">
      <c r="A13407" t="s">
        <v>557</v>
      </c>
      <c r="B13407" t="s">
        <v>759</v>
      </c>
      <c r="C13407" t="s">
        <v>86</v>
      </c>
      <c r="D13407" s="230">
        <v>0</v>
      </c>
      <c r="E13407" t="s">
        <v>590</v>
      </c>
    </row>
    <row r="13408" spans="1:5" hidden="1" x14ac:dyDescent="0.3">
      <c r="A13408" t="s">
        <v>557</v>
      </c>
      <c r="B13408" t="s">
        <v>759</v>
      </c>
      <c r="C13408" t="s">
        <v>87</v>
      </c>
      <c r="D13408" s="230">
        <v>0</v>
      </c>
      <c r="E13408" t="s">
        <v>590</v>
      </c>
    </row>
    <row r="13409" spans="1:5" hidden="1" x14ac:dyDescent="0.3">
      <c r="A13409" t="s">
        <v>557</v>
      </c>
      <c r="B13409" t="s">
        <v>759</v>
      </c>
      <c r="C13409" t="s">
        <v>88</v>
      </c>
      <c r="D13409" s="230">
        <v>0</v>
      </c>
      <c r="E13409" t="s">
        <v>590</v>
      </c>
    </row>
    <row r="13410" spans="1:5" hidden="1" x14ac:dyDescent="0.3">
      <c r="A13410" t="s">
        <v>557</v>
      </c>
      <c r="B13410" t="s">
        <v>759</v>
      </c>
      <c r="C13410" t="s">
        <v>89</v>
      </c>
      <c r="D13410" s="230">
        <v>0</v>
      </c>
      <c r="E13410" t="s">
        <v>590</v>
      </c>
    </row>
    <row r="13411" spans="1:5" hidden="1" x14ac:dyDescent="0.3">
      <c r="A13411" t="s">
        <v>557</v>
      </c>
      <c r="B13411" t="s">
        <v>759</v>
      </c>
      <c r="C13411" t="s">
        <v>90</v>
      </c>
      <c r="D13411" s="230">
        <v>0</v>
      </c>
      <c r="E13411" t="s">
        <v>590</v>
      </c>
    </row>
    <row r="13412" spans="1:5" hidden="1" x14ac:dyDescent="0.3">
      <c r="A13412" t="s">
        <v>557</v>
      </c>
      <c r="B13412" t="s">
        <v>759</v>
      </c>
      <c r="C13412" t="s">
        <v>91</v>
      </c>
      <c r="D13412" s="230">
        <v>0</v>
      </c>
      <c r="E13412" t="s">
        <v>590</v>
      </c>
    </row>
    <row r="13413" spans="1:5" hidden="1" x14ac:dyDescent="0.3">
      <c r="A13413" t="s">
        <v>557</v>
      </c>
      <c r="B13413" t="s">
        <v>759</v>
      </c>
      <c r="C13413" t="s">
        <v>93</v>
      </c>
      <c r="D13413" s="230">
        <v>0</v>
      </c>
      <c r="E13413" t="s">
        <v>590</v>
      </c>
    </row>
    <row r="13414" spans="1:5" hidden="1" x14ac:dyDescent="0.3">
      <c r="A13414" t="s">
        <v>557</v>
      </c>
      <c r="B13414" t="s">
        <v>759</v>
      </c>
      <c r="C13414" t="s">
        <v>95</v>
      </c>
      <c r="D13414" s="230">
        <v>0</v>
      </c>
      <c r="E13414" t="s">
        <v>590</v>
      </c>
    </row>
    <row r="13415" spans="1:5" hidden="1" x14ac:dyDescent="0.3">
      <c r="A13415" t="s">
        <v>557</v>
      </c>
      <c r="B13415" t="s">
        <v>759</v>
      </c>
      <c r="C13415" t="s">
        <v>96</v>
      </c>
      <c r="D13415" s="230">
        <v>0</v>
      </c>
      <c r="E13415" t="s">
        <v>590</v>
      </c>
    </row>
    <row r="13416" spans="1:5" hidden="1" x14ac:dyDescent="0.3">
      <c r="A13416" t="s">
        <v>557</v>
      </c>
      <c r="B13416" t="s">
        <v>759</v>
      </c>
      <c r="C13416" t="s">
        <v>98</v>
      </c>
      <c r="D13416" s="230">
        <v>0</v>
      </c>
      <c r="E13416" t="s">
        <v>590</v>
      </c>
    </row>
    <row r="13417" spans="1:5" hidden="1" x14ac:dyDescent="0.3">
      <c r="A13417" t="s">
        <v>557</v>
      </c>
      <c r="B13417" t="s">
        <v>759</v>
      </c>
      <c r="C13417" t="s">
        <v>100</v>
      </c>
      <c r="D13417" s="230">
        <v>0</v>
      </c>
      <c r="E13417" t="s">
        <v>590</v>
      </c>
    </row>
    <row r="13418" spans="1:5" hidden="1" x14ac:dyDescent="0.3">
      <c r="A13418" t="s">
        <v>557</v>
      </c>
      <c r="B13418" t="s">
        <v>759</v>
      </c>
      <c r="C13418" t="s">
        <v>101</v>
      </c>
      <c r="D13418" s="230">
        <v>0</v>
      </c>
      <c r="E13418" t="s">
        <v>590</v>
      </c>
    </row>
    <row r="13419" spans="1:5" hidden="1" x14ac:dyDescent="0.3">
      <c r="A13419" t="s">
        <v>557</v>
      </c>
      <c r="B13419" t="s">
        <v>759</v>
      </c>
      <c r="C13419" t="s">
        <v>102</v>
      </c>
      <c r="D13419" s="230">
        <v>0</v>
      </c>
      <c r="E13419" t="s">
        <v>590</v>
      </c>
    </row>
    <row r="13420" spans="1:5" hidden="1" x14ac:dyDescent="0.3">
      <c r="A13420" t="s">
        <v>557</v>
      </c>
      <c r="B13420" t="s">
        <v>759</v>
      </c>
      <c r="C13420" t="s">
        <v>103</v>
      </c>
      <c r="D13420" s="230">
        <v>0</v>
      </c>
      <c r="E13420" t="s">
        <v>590</v>
      </c>
    </row>
    <row r="13421" spans="1:5" hidden="1" x14ac:dyDescent="0.3">
      <c r="A13421" t="s">
        <v>557</v>
      </c>
      <c r="B13421" t="s">
        <v>759</v>
      </c>
      <c r="C13421" t="s">
        <v>104</v>
      </c>
      <c r="D13421" s="230">
        <v>0</v>
      </c>
      <c r="E13421" t="s">
        <v>590</v>
      </c>
    </row>
    <row r="13422" spans="1:5" hidden="1" x14ac:dyDescent="0.3">
      <c r="A13422" t="s">
        <v>557</v>
      </c>
      <c r="B13422" t="s">
        <v>759</v>
      </c>
      <c r="C13422" t="s">
        <v>105</v>
      </c>
      <c r="D13422" s="230">
        <v>0</v>
      </c>
      <c r="E13422" t="s">
        <v>590</v>
      </c>
    </row>
    <row r="13423" spans="1:5" hidden="1" x14ac:dyDescent="0.3">
      <c r="A13423" t="s">
        <v>557</v>
      </c>
      <c r="B13423" t="s">
        <v>759</v>
      </c>
      <c r="C13423" t="s">
        <v>107</v>
      </c>
      <c r="D13423" s="230">
        <v>0</v>
      </c>
      <c r="E13423" t="s">
        <v>590</v>
      </c>
    </row>
    <row r="13424" spans="1:5" hidden="1" x14ac:dyDescent="0.3">
      <c r="A13424" t="s">
        <v>557</v>
      </c>
      <c r="B13424" t="s">
        <v>759</v>
      </c>
      <c r="C13424" t="s">
        <v>108</v>
      </c>
      <c r="D13424" s="230">
        <v>0</v>
      </c>
      <c r="E13424" t="s">
        <v>590</v>
      </c>
    </row>
    <row r="13425" spans="1:5" hidden="1" x14ac:dyDescent="0.3">
      <c r="A13425" t="s">
        <v>557</v>
      </c>
      <c r="B13425" t="s">
        <v>759</v>
      </c>
      <c r="C13425" t="s">
        <v>109</v>
      </c>
      <c r="D13425" s="230">
        <v>0</v>
      </c>
      <c r="E13425" t="s">
        <v>590</v>
      </c>
    </row>
    <row r="13426" spans="1:5" hidden="1" x14ac:dyDescent="0.3">
      <c r="A13426" t="s">
        <v>557</v>
      </c>
      <c r="B13426" t="s">
        <v>759</v>
      </c>
      <c r="C13426" t="s">
        <v>110</v>
      </c>
      <c r="D13426" s="230">
        <v>-1.98</v>
      </c>
      <c r="E13426" t="s">
        <v>590</v>
      </c>
    </row>
    <row r="13427" spans="1:5" hidden="1" x14ac:dyDescent="0.3">
      <c r="A13427" t="s">
        <v>557</v>
      </c>
      <c r="B13427" t="s">
        <v>759</v>
      </c>
      <c r="C13427" t="s">
        <v>44</v>
      </c>
      <c r="D13427" s="230">
        <v>-0.01</v>
      </c>
      <c r="E13427" t="s">
        <v>590</v>
      </c>
    </row>
    <row r="13428" spans="1:5" hidden="1" x14ac:dyDescent="0.3">
      <c r="A13428" t="s">
        <v>557</v>
      </c>
      <c r="B13428" t="s">
        <v>759</v>
      </c>
      <c r="C13428" t="s">
        <v>111</v>
      </c>
      <c r="D13428" s="230">
        <v>-38160</v>
      </c>
      <c r="E13428" t="s">
        <v>590</v>
      </c>
    </row>
    <row r="13429" spans="1:5" hidden="1" x14ac:dyDescent="0.3">
      <c r="A13429" t="s">
        <v>557</v>
      </c>
      <c r="B13429" t="s">
        <v>759</v>
      </c>
      <c r="C13429" t="s">
        <v>608</v>
      </c>
      <c r="D13429" s="230">
        <v>-38160</v>
      </c>
      <c r="E13429" t="s">
        <v>590</v>
      </c>
    </row>
    <row r="13430" spans="1:5" hidden="1" x14ac:dyDescent="0.3">
      <c r="A13430" t="s">
        <v>557</v>
      </c>
      <c r="B13430" t="s">
        <v>759</v>
      </c>
      <c r="C13430" t="s">
        <v>44</v>
      </c>
      <c r="D13430" s="230">
        <v>-0.09</v>
      </c>
      <c r="E13430" t="s">
        <v>590</v>
      </c>
    </row>
    <row r="13431" spans="1:5" hidden="1" x14ac:dyDescent="0.3">
      <c r="A13431" t="s">
        <v>557</v>
      </c>
      <c r="B13431" t="s">
        <v>759</v>
      </c>
      <c r="C13431" t="s">
        <v>115</v>
      </c>
      <c r="D13431" s="230">
        <v>-27704</v>
      </c>
      <c r="E13431" t="s">
        <v>590</v>
      </c>
    </row>
    <row r="13432" spans="1:5" hidden="1" x14ac:dyDescent="0.3">
      <c r="A13432" t="s">
        <v>557</v>
      </c>
      <c r="B13432" t="s">
        <v>759</v>
      </c>
      <c r="C13432" t="s">
        <v>116</v>
      </c>
      <c r="D13432" s="230">
        <v>-5969.74</v>
      </c>
      <c r="E13432" t="s">
        <v>590</v>
      </c>
    </row>
    <row r="13433" spans="1:5" hidden="1" x14ac:dyDescent="0.3">
      <c r="A13433" t="s">
        <v>557</v>
      </c>
      <c r="B13433" t="s">
        <v>759</v>
      </c>
      <c r="C13433" t="s">
        <v>118</v>
      </c>
      <c r="D13433" s="230">
        <v>-21734.26</v>
      </c>
      <c r="E13433" t="s">
        <v>590</v>
      </c>
    </row>
    <row r="13434" spans="1:5" hidden="1" x14ac:dyDescent="0.3">
      <c r="A13434" t="s">
        <v>557</v>
      </c>
      <c r="B13434" t="s">
        <v>759</v>
      </c>
      <c r="C13434" t="s">
        <v>120</v>
      </c>
      <c r="D13434" s="230">
        <v>0</v>
      </c>
      <c r="E13434" t="s">
        <v>590</v>
      </c>
    </row>
    <row r="13435" spans="1:5" hidden="1" x14ac:dyDescent="0.3">
      <c r="A13435" t="s">
        <v>557</v>
      </c>
      <c r="B13435" t="s">
        <v>759</v>
      </c>
      <c r="C13435" t="s">
        <v>122</v>
      </c>
      <c r="D13435" s="230">
        <v>0</v>
      </c>
      <c r="E13435" t="s">
        <v>590</v>
      </c>
    </row>
    <row r="13436" spans="1:5" hidden="1" x14ac:dyDescent="0.3">
      <c r="A13436" t="s">
        <v>557</v>
      </c>
      <c r="B13436" t="s">
        <v>759</v>
      </c>
      <c r="C13436" t="s">
        <v>44</v>
      </c>
      <c r="D13436" s="230">
        <v>-0.06</v>
      </c>
      <c r="E13436" t="s">
        <v>590</v>
      </c>
    </row>
    <row r="13437" spans="1:5" hidden="1" x14ac:dyDescent="0.3">
      <c r="A13437" t="s">
        <v>557</v>
      </c>
      <c r="B13437" t="s">
        <v>759</v>
      </c>
      <c r="C13437" t="s">
        <v>126</v>
      </c>
      <c r="D13437" s="230">
        <v>214727.27</v>
      </c>
      <c r="E13437" t="s">
        <v>590</v>
      </c>
    </row>
    <row r="13438" spans="1:5" hidden="1" x14ac:dyDescent="0.3">
      <c r="A13438" t="s">
        <v>557</v>
      </c>
      <c r="B13438" t="s">
        <v>759</v>
      </c>
      <c r="C13438" t="s">
        <v>127</v>
      </c>
      <c r="D13438" s="230">
        <v>0.48</v>
      </c>
      <c r="E13438" t="s">
        <v>590</v>
      </c>
    </row>
    <row r="13439" spans="1:5" hidden="1" x14ac:dyDescent="0.3">
      <c r="A13439" t="s">
        <v>557</v>
      </c>
      <c r="B13439" t="s">
        <v>759</v>
      </c>
      <c r="C13439" t="s">
        <v>128</v>
      </c>
      <c r="D13439" s="230">
        <v>-120167.75</v>
      </c>
      <c r="E13439" t="s">
        <v>590</v>
      </c>
    </row>
    <row r="13440" spans="1:5" hidden="1" x14ac:dyDescent="0.3">
      <c r="A13440" t="s">
        <v>557</v>
      </c>
      <c r="B13440" t="s">
        <v>759</v>
      </c>
      <c r="C13440" t="s">
        <v>129</v>
      </c>
      <c r="D13440" s="230">
        <v>-29850</v>
      </c>
      <c r="E13440" t="s">
        <v>590</v>
      </c>
    </row>
    <row r="13441" spans="1:5" hidden="1" x14ac:dyDescent="0.3">
      <c r="A13441" t="s">
        <v>557</v>
      </c>
      <c r="B13441" t="s">
        <v>759</v>
      </c>
      <c r="C13441" t="s">
        <v>609</v>
      </c>
      <c r="D13441" s="230">
        <v>0</v>
      </c>
      <c r="E13441" t="s">
        <v>590</v>
      </c>
    </row>
    <row r="13442" spans="1:5" hidden="1" x14ac:dyDescent="0.3">
      <c r="A13442" t="s">
        <v>557</v>
      </c>
      <c r="B13442" t="s">
        <v>759</v>
      </c>
      <c r="C13442" t="s">
        <v>610</v>
      </c>
      <c r="D13442" s="230">
        <v>-17600</v>
      </c>
      <c r="E13442" t="s">
        <v>590</v>
      </c>
    </row>
    <row r="13443" spans="1:5" hidden="1" x14ac:dyDescent="0.3">
      <c r="A13443" t="s">
        <v>557</v>
      </c>
      <c r="B13443" t="s">
        <v>759</v>
      </c>
      <c r="C13443" t="s">
        <v>611</v>
      </c>
      <c r="D13443" s="230">
        <v>0</v>
      </c>
      <c r="E13443" t="s">
        <v>590</v>
      </c>
    </row>
    <row r="13444" spans="1:5" hidden="1" x14ac:dyDescent="0.3">
      <c r="A13444" t="s">
        <v>557</v>
      </c>
      <c r="B13444" t="s">
        <v>759</v>
      </c>
      <c r="C13444" t="s">
        <v>612</v>
      </c>
      <c r="D13444" s="230">
        <v>-4000</v>
      </c>
      <c r="E13444" t="s">
        <v>590</v>
      </c>
    </row>
    <row r="13445" spans="1:5" hidden="1" x14ac:dyDescent="0.3">
      <c r="A13445" t="s">
        <v>557</v>
      </c>
      <c r="B13445" t="s">
        <v>759</v>
      </c>
      <c r="C13445" t="s">
        <v>613</v>
      </c>
      <c r="D13445" s="230">
        <v>-1750</v>
      </c>
      <c r="E13445" t="s">
        <v>590</v>
      </c>
    </row>
    <row r="13446" spans="1:5" hidden="1" x14ac:dyDescent="0.3">
      <c r="A13446" t="s">
        <v>557</v>
      </c>
      <c r="B13446" t="s">
        <v>759</v>
      </c>
      <c r="C13446" t="s">
        <v>614</v>
      </c>
      <c r="D13446" s="230">
        <v>-6500</v>
      </c>
      <c r="E13446" t="s">
        <v>590</v>
      </c>
    </row>
    <row r="13447" spans="1:5" hidden="1" x14ac:dyDescent="0.3">
      <c r="A13447" t="s">
        <v>557</v>
      </c>
      <c r="B13447" t="s">
        <v>759</v>
      </c>
      <c r="C13447" t="s">
        <v>615</v>
      </c>
      <c r="D13447" s="230">
        <v>0</v>
      </c>
      <c r="E13447" t="s">
        <v>590</v>
      </c>
    </row>
    <row r="13448" spans="1:5" hidden="1" x14ac:dyDescent="0.3">
      <c r="A13448" t="s">
        <v>557</v>
      </c>
      <c r="B13448" t="s">
        <v>759</v>
      </c>
      <c r="C13448" t="s">
        <v>616</v>
      </c>
      <c r="D13448" s="230">
        <v>0</v>
      </c>
      <c r="E13448" t="s">
        <v>590</v>
      </c>
    </row>
    <row r="13449" spans="1:5" hidden="1" x14ac:dyDescent="0.3">
      <c r="A13449" t="s">
        <v>557</v>
      </c>
      <c r="B13449" t="s">
        <v>759</v>
      </c>
      <c r="C13449" t="s">
        <v>617</v>
      </c>
      <c r="D13449" s="230">
        <v>0</v>
      </c>
      <c r="E13449" t="s">
        <v>590</v>
      </c>
    </row>
    <row r="13450" spans="1:5" hidden="1" x14ac:dyDescent="0.3">
      <c r="A13450" t="s">
        <v>557</v>
      </c>
      <c r="B13450" t="s">
        <v>759</v>
      </c>
      <c r="C13450" t="s">
        <v>618</v>
      </c>
      <c r="D13450" s="230">
        <v>0</v>
      </c>
      <c r="E13450" t="s">
        <v>590</v>
      </c>
    </row>
    <row r="13451" spans="1:5" hidden="1" x14ac:dyDescent="0.3">
      <c r="A13451" t="s">
        <v>557</v>
      </c>
      <c r="B13451" t="s">
        <v>759</v>
      </c>
      <c r="C13451" t="s">
        <v>619</v>
      </c>
      <c r="D13451" s="230">
        <v>0</v>
      </c>
      <c r="E13451" t="s">
        <v>590</v>
      </c>
    </row>
    <row r="13452" spans="1:5" hidden="1" x14ac:dyDescent="0.3">
      <c r="A13452" t="s">
        <v>557</v>
      </c>
      <c r="B13452" t="s">
        <v>759</v>
      </c>
      <c r="C13452" t="s">
        <v>620</v>
      </c>
      <c r="D13452" s="230">
        <v>0</v>
      </c>
      <c r="E13452" t="s">
        <v>590</v>
      </c>
    </row>
    <row r="13453" spans="1:5" hidden="1" x14ac:dyDescent="0.3">
      <c r="A13453" t="s">
        <v>557</v>
      </c>
      <c r="B13453" t="s">
        <v>759</v>
      </c>
      <c r="C13453" t="s">
        <v>142</v>
      </c>
      <c r="D13453" s="230">
        <v>-32573.91</v>
      </c>
      <c r="E13453" t="s">
        <v>590</v>
      </c>
    </row>
    <row r="13454" spans="1:5" hidden="1" x14ac:dyDescent="0.3">
      <c r="A13454" t="s">
        <v>557</v>
      </c>
      <c r="B13454" t="s">
        <v>759</v>
      </c>
      <c r="C13454" t="s">
        <v>621</v>
      </c>
      <c r="D13454" s="230">
        <v>0</v>
      </c>
      <c r="E13454" t="s">
        <v>590</v>
      </c>
    </row>
    <row r="13455" spans="1:5" hidden="1" x14ac:dyDescent="0.3">
      <c r="A13455" t="s">
        <v>557</v>
      </c>
      <c r="B13455" t="s">
        <v>759</v>
      </c>
      <c r="C13455" t="s">
        <v>622</v>
      </c>
      <c r="D13455" s="230">
        <v>0</v>
      </c>
      <c r="E13455" t="s">
        <v>590</v>
      </c>
    </row>
    <row r="13456" spans="1:5" hidden="1" x14ac:dyDescent="0.3">
      <c r="A13456" t="s">
        <v>557</v>
      </c>
      <c r="B13456" t="s">
        <v>759</v>
      </c>
      <c r="C13456" t="s">
        <v>623</v>
      </c>
      <c r="D13456" s="230">
        <v>0</v>
      </c>
      <c r="E13456" t="s">
        <v>590</v>
      </c>
    </row>
    <row r="13457" spans="1:5" hidden="1" x14ac:dyDescent="0.3">
      <c r="A13457" t="s">
        <v>557</v>
      </c>
      <c r="B13457" t="s">
        <v>759</v>
      </c>
      <c r="C13457" t="s">
        <v>624</v>
      </c>
      <c r="D13457" s="230">
        <v>0</v>
      </c>
      <c r="E13457" t="s">
        <v>590</v>
      </c>
    </row>
    <row r="13458" spans="1:5" hidden="1" x14ac:dyDescent="0.3">
      <c r="A13458" t="s">
        <v>557</v>
      </c>
      <c r="B13458" t="s">
        <v>759</v>
      </c>
      <c r="C13458" t="s">
        <v>625</v>
      </c>
      <c r="D13458" s="230">
        <v>0</v>
      </c>
      <c r="E13458" t="s">
        <v>590</v>
      </c>
    </row>
    <row r="13459" spans="1:5" hidden="1" x14ac:dyDescent="0.3">
      <c r="A13459" t="s">
        <v>557</v>
      </c>
      <c r="B13459" t="s">
        <v>759</v>
      </c>
      <c r="C13459" t="s">
        <v>626</v>
      </c>
      <c r="D13459" s="230">
        <v>0</v>
      </c>
      <c r="E13459" t="s">
        <v>590</v>
      </c>
    </row>
    <row r="13460" spans="1:5" hidden="1" x14ac:dyDescent="0.3">
      <c r="A13460" t="s">
        <v>557</v>
      </c>
      <c r="B13460" t="s">
        <v>759</v>
      </c>
      <c r="C13460" t="s">
        <v>627</v>
      </c>
      <c r="D13460" s="230">
        <v>0</v>
      </c>
      <c r="E13460" t="s">
        <v>590</v>
      </c>
    </row>
    <row r="13461" spans="1:5" hidden="1" x14ac:dyDescent="0.3">
      <c r="A13461" t="s">
        <v>557</v>
      </c>
      <c r="B13461" t="s">
        <v>759</v>
      </c>
      <c r="C13461" t="s">
        <v>628</v>
      </c>
      <c r="D13461" s="230">
        <v>0</v>
      </c>
      <c r="E13461" t="s">
        <v>590</v>
      </c>
    </row>
    <row r="13462" spans="1:5" hidden="1" x14ac:dyDescent="0.3">
      <c r="A13462" t="s">
        <v>557</v>
      </c>
      <c r="B13462" t="s">
        <v>759</v>
      </c>
      <c r="C13462" t="s">
        <v>629</v>
      </c>
      <c r="D13462" s="230">
        <v>0</v>
      </c>
      <c r="E13462" t="s">
        <v>590</v>
      </c>
    </row>
    <row r="13463" spans="1:5" hidden="1" x14ac:dyDescent="0.3">
      <c r="A13463" t="s">
        <v>557</v>
      </c>
      <c r="B13463" t="s">
        <v>759</v>
      </c>
      <c r="C13463" t="s">
        <v>630</v>
      </c>
      <c r="D13463" s="230">
        <v>0</v>
      </c>
      <c r="E13463" t="s">
        <v>590</v>
      </c>
    </row>
    <row r="13464" spans="1:5" hidden="1" x14ac:dyDescent="0.3">
      <c r="A13464" t="s">
        <v>557</v>
      </c>
      <c r="B13464" t="s">
        <v>759</v>
      </c>
      <c r="C13464" t="s">
        <v>631</v>
      </c>
      <c r="D13464" s="230">
        <v>0</v>
      </c>
      <c r="E13464" t="s">
        <v>590</v>
      </c>
    </row>
    <row r="13465" spans="1:5" hidden="1" x14ac:dyDescent="0.3">
      <c r="A13465" t="s">
        <v>557</v>
      </c>
      <c r="B13465" t="s">
        <v>759</v>
      </c>
      <c r="C13465" t="s">
        <v>632</v>
      </c>
      <c r="D13465" s="230">
        <v>0</v>
      </c>
      <c r="E13465" t="s">
        <v>590</v>
      </c>
    </row>
    <row r="13466" spans="1:5" hidden="1" x14ac:dyDescent="0.3">
      <c r="A13466" t="s">
        <v>557</v>
      </c>
      <c r="B13466" t="s">
        <v>759</v>
      </c>
      <c r="C13466" t="s">
        <v>633</v>
      </c>
      <c r="D13466" s="230">
        <v>0</v>
      </c>
      <c r="E13466" t="s">
        <v>590</v>
      </c>
    </row>
    <row r="13467" spans="1:5" hidden="1" x14ac:dyDescent="0.3">
      <c r="A13467" t="s">
        <v>557</v>
      </c>
      <c r="B13467" t="s">
        <v>759</v>
      </c>
      <c r="C13467" t="s">
        <v>634</v>
      </c>
      <c r="D13467" s="230">
        <v>0</v>
      </c>
      <c r="E13467" t="s">
        <v>590</v>
      </c>
    </row>
    <row r="13468" spans="1:5" hidden="1" x14ac:dyDescent="0.3">
      <c r="A13468" t="s">
        <v>557</v>
      </c>
      <c r="B13468" t="s">
        <v>759</v>
      </c>
      <c r="C13468" t="s">
        <v>635</v>
      </c>
      <c r="D13468" s="230">
        <v>0</v>
      </c>
      <c r="E13468" t="s">
        <v>590</v>
      </c>
    </row>
    <row r="13469" spans="1:5" hidden="1" x14ac:dyDescent="0.3">
      <c r="A13469" t="s">
        <v>557</v>
      </c>
      <c r="B13469" t="s">
        <v>759</v>
      </c>
      <c r="C13469" t="s">
        <v>636</v>
      </c>
      <c r="D13469" s="230">
        <v>0</v>
      </c>
      <c r="E13469" t="s">
        <v>590</v>
      </c>
    </row>
    <row r="13470" spans="1:5" hidden="1" x14ac:dyDescent="0.3">
      <c r="A13470" t="s">
        <v>557</v>
      </c>
      <c r="B13470" t="s">
        <v>759</v>
      </c>
      <c r="C13470" t="s">
        <v>637</v>
      </c>
      <c r="D13470" s="230">
        <v>0</v>
      </c>
      <c r="E13470" t="s">
        <v>590</v>
      </c>
    </row>
    <row r="13471" spans="1:5" hidden="1" x14ac:dyDescent="0.3">
      <c r="A13471" t="s">
        <v>557</v>
      </c>
      <c r="B13471" t="s">
        <v>759</v>
      </c>
      <c r="C13471" t="s">
        <v>638</v>
      </c>
      <c r="D13471" s="230">
        <v>0</v>
      </c>
      <c r="E13471" t="s">
        <v>590</v>
      </c>
    </row>
    <row r="13472" spans="1:5" hidden="1" x14ac:dyDescent="0.3">
      <c r="A13472" t="s">
        <v>557</v>
      </c>
      <c r="B13472" t="s">
        <v>759</v>
      </c>
      <c r="C13472" t="s">
        <v>639</v>
      </c>
      <c r="D13472" s="230">
        <v>0</v>
      </c>
      <c r="E13472" t="s">
        <v>590</v>
      </c>
    </row>
    <row r="13473" spans="1:5" hidden="1" x14ac:dyDescent="0.3">
      <c r="A13473" t="s">
        <v>557</v>
      </c>
      <c r="B13473" t="s">
        <v>759</v>
      </c>
      <c r="C13473" t="s">
        <v>640</v>
      </c>
      <c r="D13473" s="230">
        <v>0</v>
      </c>
      <c r="E13473" t="s">
        <v>590</v>
      </c>
    </row>
    <row r="13474" spans="1:5" hidden="1" x14ac:dyDescent="0.3">
      <c r="A13474" t="s">
        <v>557</v>
      </c>
      <c r="B13474" t="s">
        <v>759</v>
      </c>
      <c r="C13474" t="s">
        <v>641</v>
      </c>
      <c r="D13474" s="230">
        <v>0</v>
      </c>
      <c r="E13474" t="s">
        <v>590</v>
      </c>
    </row>
    <row r="13475" spans="1:5" hidden="1" x14ac:dyDescent="0.3">
      <c r="A13475" t="s">
        <v>557</v>
      </c>
      <c r="B13475" t="s">
        <v>759</v>
      </c>
      <c r="C13475" t="s">
        <v>642</v>
      </c>
      <c r="D13475" s="230">
        <v>0</v>
      </c>
      <c r="E13475" t="s">
        <v>590</v>
      </c>
    </row>
    <row r="13476" spans="1:5" hidden="1" x14ac:dyDescent="0.3">
      <c r="A13476" t="s">
        <v>557</v>
      </c>
      <c r="B13476" t="s">
        <v>759</v>
      </c>
      <c r="C13476" t="s">
        <v>643</v>
      </c>
      <c r="D13476" s="230">
        <v>0</v>
      </c>
      <c r="E13476" t="s">
        <v>590</v>
      </c>
    </row>
    <row r="13477" spans="1:5" hidden="1" x14ac:dyDescent="0.3">
      <c r="A13477" t="s">
        <v>557</v>
      </c>
      <c r="B13477" t="s">
        <v>759</v>
      </c>
      <c r="C13477" t="s">
        <v>644</v>
      </c>
      <c r="D13477" s="230">
        <v>0</v>
      </c>
      <c r="E13477" t="s">
        <v>590</v>
      </c>
    </row>
    <row r="13478" spans="1:5" hidden="1" x14ac:dyDescent="0.3">
      <c r="A13478" t="s">
        <v>557</v>
      </c>
      <c r="B13478" t="s">
        <v>759</v>
      </c>
      <c r="C13478" t="s">
        <v>645</v>
      </c>
      <c r="D13478" s="230">
        <v>0</v>
      </c>
      <c r="E13478" t="s">
        <v>590</v>
      </c>
    </row>
    <row r="13479" spans="1:5" hidden="1" x14ac:dyDescent="0.3">
      <c r="A13479" t="s">
        <v>557</v>
      </c>
      <c r="B13479" t="s">
        <v>759</v>
      </c>
      <c r="C13479" t="s">
        <v>646</v>
      </c>
      <c r="D13479" s="230">
        <v>0</v>
      </c>
      <c r="E13479" t="s">
        <v>590</v>
      </c>
    </row>
    <row r="13480" spans="1:5" hidden="1" x14ac:dyDescent="0.3">
      <c r="A13480" t="s">
        <v>557</v>
      </c>
      <c r="B13480" t="s">
        <v>759</v>
      </c>
      <c r="C13480" t="s">
        <v>647</v>
      </c>
      <c r="D13480" s="230">
        <v>0</v>
      </c>
      <c r="E13480" t="s">
        <v>590</v>
      </c>
    </row>
    <row r="13481" spans="1:5" hidden="1" x14ac:dyDescent="0.3">
      <c r="A13481" t="s">
        <v>557</v>
      </c>
      <c r="B13481" t="s">
        <v>759</v>
      </c>
      <c r="C13481" t="s">
        <v>648</v>
      </c>
      <c r="D13481" s="230">
        <v>0</v>
      </c>
      <c r="E13481" t="s">
        <v>590</v>
      </c>
    </row>
    <row r="13482" spans="1:5" hidden="1" x14ac:dyDescent="0.3">
      <c r="A13482" t="s">
        <v>557</v>
      </c>
      <c r="B13482" t="s">
        <v>759</v>
      </c>
      <c r="C13482" t="s">
        <v>649</v>
      </c>
      <c r="D13482" s="230">
        <v>0</v>
      </c>
      <c r="E13482" t="s">
        <v>590</v>
      </c>
    </row>
    <row r="13483" spans="1:5" hidden="1" x14ac:dyDescent="0.3">
      <c r="A13483" t="s">
        <v>557</v>
      </c>
      <c r="B13483" t="s">
        <v>759</v>
      </c>
      <c r="C13483" t="s">
        <v>650</v>
      </c>
      <c r="D13483" s="230">
        <v>0</v>
      </c>
      <c r="E13483" t="s">
        <v>590</v>
      </c>
    </row>
    <row r="13484" spans="1:5" hidden="1" x14ac:dyDescent="0.3">
      <c r="A13484" t="s">
        <v>557</v>
      </c>
      <c r="B13484" t="s">
        <v>759</v>
      </c>
      <c r="C13484" t="s">
        <v>651</v>
      </c>
      <c r="D13484" s="230">
        <v>0</v>
      </c>
      <c r="E13484" t="s">
        <v>590</v>
      </c>
    </row>
    <row r="13485" spans="1:5" hidden="1" x14ac:dyDescent="0.3">
      <c r="A13485" t="s">
        <v>557</v>
      </c>
      <c r="B13485" t="s">
        <v>759</v>
      </c>
      <c r="C13485" t="s">
        <v>652</v>
      </c>
      <c r="D13485" s="230">
        <v>0</v>
      </c>
      <c r="E13485" t="s">
        <v>590</v>
      </c>
    </row>
    <row r="13486" spans="1:5" hidden="1" x14ac:dyDescent="0.3">
      <c r="A13486" t="s">
        <v>557</v>
      </c>
      <c r="B13486" t="s">
        <v>759</v>
      </c>
      <c r="C13486" t="s">
        <v>653</v>
      </c>
      <c r="D13486" s="230">
        <v>0</v>
      </c>
      <c r="E13486" t="s">
        <v>590</v>
      </c>
    </row>
    <row r="13487" spans="1:5" hidden="1" x14ac:dyDescent="0.3">
      <c r="A13487" t="s">
        <v>557</v>
      </c>
      <c r="B13487" t="s">
        <v>759</v>
      </c>
      <c r="C13487" t="s">
        <v>654</v>
      </c>
      <c r="D13487" s="230">
        <v>0</v>
      </c>
      <c r="E13487" t="s">
        <v>590</v>
      </c>
    </row>
    <row r="13488" spans="1:5" hidden="1" x14ac:dyDescent="0.3">
      <c r="A13488" t="s">
        <v>557</v>
      </c>
      <c r="B13488" t="s">
        <v>759</v>
      </c>
      <c r="C13488" t="s">
        <v>655</v>
      </c>
      <c r="D13488" s="230">
        <v>0</v>
      </c>
      <c r="E13488" t="s">
        <v>590</v>
      </c>
    </row>
    <row r="13489" spans="1:5" hidden="1" x14ac:dyDescent="0.3">
      <c r="A13489" t="s">
        <v>557</v>
      </c>
      <c r="B13489" t="s">
        <v>759</v>
      </c>
      <c r="C13489" t="s">
        <v>656</v>
      </c>
      <c r="D13489" s="230">
        <v>0</v>
      </c>
      <c r="E13489" t="s">
        <v>590</v>
      </c>
    </row>
    <row r="13490" spans="1:5" hidden="1" x14ac:dyDescent="0.3">
      <c r="A13490" t="s">
        <v>557</v>
      </c>
      <c r="B13490" t="s">
        <v>759</v>
      </c>
      <c r="C13490" t="s">
        <v>657</v>
      </c>
      <c r="D13490" s="230">
        <v>0</v>
      </c>
      <c r="E13490" t="s">
        <v>590</v>
      </c>
    </row>
    <row r="13491" spans="1:5" hidden="1" x14ac:dyDescent="0.3">
      <c r="A13491" t="s">
        <v>557</v>
      </c>
      <c r="B13491" t="s">
        <v>759</v>
      </c>
      <c r="C13491" t="s">
        <v>658</v>
      </c>
      <c r="D13491" s="230">
        <v>0</v>
      </c>
      <c r="E13491" t="s">
        <v>590</v>
      </c>
    </row>
    <row r="13492" spans="1:5" hidden="1" x14ac:dyDescent="0.3">
      <c r="A13492" t="s">
        <v>557</v>
      </c>
      <c r="B13492" t="s">
        <v>759</v>
      </c>
      <c r="C13492" t="s">
        <v>659</v>
      </c>
      <c r="D13492" s="230">
        <v>0</v>
      </c>
      <c r="E13492" t="s">
        <v>590</v>
      </c>
    </row>
    <row r="13493" spans="1:5" hidden="1" x14ac:dyDescent="0.3">
      <c r="A13493" t="s">
        <v>557</v>
      </c>
      <c r="B13493" t="s">
        <v>759</v>
      </c>
      <c r="C13493" t="s">
        <v>660</v>
      </c>
      <c r="D13493" s="230">
        <v>0</v>
      </c>
      <c r="E13493" t="s">
        <v>590</v>
      </c>
    </row>
    <row r="13494" spans="1:5" hidden="1" x14ac:dyDescent="0.3">
      <c r="A13494" t="s">
        <v>557</v>
      </c>
      <c r="B13494" t="s">
        <v>759</v>
      </c>
      <c r="C13494" t="s">
        <v>661</v>
      </c>
      <c r="D13494" s="230">
        <v>0</v>
      </c>
      <c r="E13494" t="s">
        <v>590</v>
      </c>
    </row>
    <row r="13495" spans="1:5" hidden="1" x14ac:dyDescent="0.3">
      <c r="A13495" t="s">
        <v>557</v>
      </c>
      <c r="B13495" t="s">
        <v>759</v>
      </c>
      <c r="C13495" t="s">
        <v>662</v>
      </c>
      <c r="D13495" s="230">
        <v>0</v>
      </c>
      <c r="E13495" t="s">
        <v>590</v>
      </c>
    </row>
    <row r="13496" spans="1:5" hidden="1" x14ac:dyDescent="0.3">
      <c r="A13496" t="s">
        <v>557</v>
      </c>
      <c r="B13496" t="s">
        <v>759</v>
      </c>
      <c r="C13496" t="s">
        <v>663</v>
      </c>
      <c r="D13496" s="230">
        <v>0</v>
      </c>
      <c r="E13496" t="s">
        <v>590</v>
      </c>
    </row>
    <row r="13497" spans="1:5" hidden="1" x14ac:dyDescent="0.3">
      <c r="A13497" t="s">
        <v>557</v>
      </c>
      <c r="B13497" t="s">
        <v>759</v>
      </c>
      <c r="C13497" t="s">
        <v>664</v>
      </c>
      <c r="D13497" s="230">
        <v>0</v>
      </c>
      <c r="E13497" t="s">
        <v>590</v>
      </c>
    </row>
    <row r="13498" spans="1:5" hidden="1" x14ac:dyDescent="0.3">
      <c r="A13498" t="s">
        <v>557</v>
      </c>
      <c r="B13498" t="s">
        <v>759</v>
      </c>
      <c r="C13498" t="s">
        <v>665</v>
      </c>
      <c r="D13498" s="230">
        <v>0</v>
      </c>
      <c r="E13498" t="s">
        <v>590</v>
      </c>
    </row>
    <row r="13499" spans="1:5" hidden="1" x14ac:dyDescent="0.3">
      <c r="A13499" t="s">
        <v>557</v>
      </c>
      <c r="B13499" t="s">
        <v>759</v>
      </c>
      <c r="C13499" t="s">
        <v>666</v>
      </c>
      <c r="D13499" s="230">
        <v>0</v>
      </c>
      <c r="E13499" t="s">
        <v>590</v>
      </c>
    </row>
    <row r="13500" spans="1:5" hidden="1" x14ac:dyDescent="0.3">
      <c r="A13500" t="s">
        <v>557</v>
      </c>
      <c r="B13500" t="s">
        <v>759</v>
      </c>
      <c r="C13500" t="s">
        <v>667</v>
      </c>
      <c r="D13500" s="230">
        <v>0</v>
      </c>
      <c r="E13500" t="s">
        <v>590</v>
      </c>
    </row>
    <row r="13501" spans="1:5" hidden="1" x14ac:dyDescent="0.3">
      <c r="A13501" t="s">
        <v>557</v>
      </c>
      <c r="B13501" t="s">
        <v>759</v>
      </c>
      <c r="C13501" t="s">
        <v>668</v>
      </c>
      <c r="D13501" s="230">
        <v>0</v>
      </c>
      <c r="E13501" t="s">
        <v>590</v>
      </c>
    </row>
    <row r="13502" spans="1:5" hidden="1" x14ac:dyDescent="0.3">
      <c r="A13502" t="s">
        <v>557</v>
      </c>
      <c r="B13502" t="s">
        <v>759</v>
      </c>
      <c r="C13502" t="s">
        <v>669</v>
      </c>
      <c r="D13502" s="230">
        <v>0</v>
      </c>
      <c r="E13502" t="s">
        <v>590</v>
      </c>
    </row>
    <row r="13503" spans="1:5" hidden="1" x14ac:dyDescent="0.3">
      <c r="A13503" t="s">
        <v>557</v>
      </c>
      <c r="B13503" t="s">
        <v>759</v>
      </c>
      <c r="C13503" t="s">
        <v>670</v>
      </c>
      <c r="D13503" s="230">
        <v>0</v>
      </c>
      <c r="E13503" t="s">
        <v>590</v>
      </c>
    </row>
    <row r="13504" spans="1:5" hidden="1" x14ac:dyDescent="0.3">
      <c r="A13504" t="s">
        <v>557</v>
      </c>
      <c r="B13504" t="s">
        <v>759</v>
      </c>
      <c r="C13504" t="s">
        <v>671</v>
      </c>
      <c r="D13504" s="230">
        <v>0</v>
      </c>
      <c r="E13504" t="s">
        <v>590</v>
      </c>
    </row>
    <row r="13505" spans="1:5" hidden="1" x14ac:dyDescent="0.3">
      <c r="A13505" t="s">
        <v>557</v>
      </c>
      <c r="B13505" t="s">
        <v>759</v>
      </c>
      <c r="C13505" t="s">
        <v>672</v>
      </c>
      <c r="D13505" s="230">
        <v>0</v>
      </c>
      <c r="E13505" t="s">
        <v>590</v>
      </c>
    </row>
    <row r="13506" spans="1:5" hidden="1" x14ac:dyDescent="0.3">
      <c r="A13506" t="s">
        <v>557</v>
      </c>
      <c r="B13506" t="s">
        <v>759</v>
      </c>
      <c r="C13506" t="s">
        <v>673</v>
      </c>
      <c r="D13506" s="230">
        <v>0</v>
      </c>
      <c r="E13506" t="s">
        <v>590</v>
      </c>
    </row>
    <row r="13507" spans="1:5" hidden="1" x14ac:dyDescent="0.3">
      <c r="A13507" t="s">
        <v>557</v>
      </c>
      <c r="B13507" t="s">
        <v>759</v>
      </c>
      <c r="C13507" t="s">
        <v>674</v>
      </c>
      <c r="D13507" s="230">
        <v>0</v>
      </c>
      <c r="E13507" t="s">
        <v>590</v>
      </c>
    </row>
    <row r="13508" spans="1:5" hidden="1" x14ac:dyDescent="0.3">
      <c r="A13508" t="s">
        <v>557</v>
      </c>
      <c r="B13508" t="s">
        <v>759</v>
      </c>
      <c r="C13508" t="s">
        <v>675</v>
      </c>
      <c r="D13508" s="230">
        <v>0</v>
      </c>
      <c r="E13508" t="s">
        <v>590</v>
      </c>
    </row>
    <row r="13509" spans="1:5" hidden="1" x14ac:dyDescent="0.3">
      <c r="A13509" t="s">
        <v>557</v>
      </c>
      <c r="B13509" t="s">
        <v>759</v>
      </c>
      <c r="C13509" t="s">
        <v>676</v>
      </c>
      <c r="D13509" s="230">
        <v>0</v>
      </c>
      <c r="E13509" t="s">
        <v>590</v>
      </c>
    </row>
    <row r="13510" spans="1:5" hidden="1" x14ac:dyDescent="0.3">
      <c r="A13510" t="s">
        <v>557</v>
      </c>
      <c r="B13510" t="s">
        <v>759</v>
      </c>
      <c r="C13510" t="s">
        <v>677</v>
      </c>
      <c r="D13510" s="230">
        <v>0</v>
      </c>
      <c r="E13510" t="s">
        <v>590</v>
      </c>
    </row>
    <row r="13511" spans="1:5" hidden="1" x14ac:dyDescent="0.3">
      <c r="A13511" t="s">
        <v>557</v>
      </c>
      <c r="B13511" t="s">
        <v>759</v>
      </c>
      <c r="C13511" t="s">
        <v>201</v>
      </c>
      <c r="D13511" s="230">
        <v>-12347.12</v>
      </c>
      <c r="E13511" t="s">
        <v>590</v>
      </c>
    </row>
    <row r="13512" spans="1:5" hidden="1" x14ac:dyDescent="0.3">
      <c r="A13512" t="s">
        <v>557</v>
      </c>
      <c r="B13512" t="s">
        <v>759</v>
      </c>
      <c r="C13512" t="s">
        <v>203</v>
      </c>
      <c r="D13512" s="230">
        <v>-12347.12</v>
      </c>
      <c r="E13512" t="s">
        <v>590</v>
      </c>
    </row>
    <row r="13513" spans="1:5" hidden="1" x14ac:dyDescent="0.3">
      <c r="A13513" t="s">
        <v>557</v>
      </c>
      <c r="B13513" t="s">
        <v>759</v>
      </c>
      <c r="C13513" t="s">
        <v>678</v>
      </c>
      <c r="D13513" s="230">
        <v>6173.56</v>
      </c>
      <c r="E13513" t="s">
        <v>590</v>
      </c>
    </row>
    <row r="13514" spans="1:5" hidden="1" x14ac:dyDescent="0.3">
      <c r="A13514" t="s">
        <v>557</v>
      </c>
      <c r="B13514" t="s">
        <v>759</v>
      </c>
      <c r="C13514" t="s">
        <v>205</v>
      </c>
      <c r="D13514" s="230">
        <v>-21142.22</v>
      </c>
      <c r="E13514" t="s">
        <v>590</v>
      </c>
    </row>
    <row r="13515" spans="1:5" hidden="1" x14ac:dyDescent="0.3">
      <c r="A13515" t="s">
        <v>557</v>
      </c>
      <c r="B13515" t="s">
        <v>759</v>
      </c>
      <c r="C13515" t="s">
        <v>679</v>
      </c>
      <c r="D13515" s="230">
        <v>-5523.77</v>
      </c>
      <c r="E13515" t="s">
        <v>590</v>
      </c>
    </row>
    <row r="13516" spans="1:5" hidden="1" x14ac:dyDescent="0.3">
      <c r="A13516" t="s">
        <v>557</v>
      </c>
      <c r="B13516" t="s">
        <v>759</v>
      </c>
      <c r="C13516" t="s">
        <v>680</v>
      </c>
      <c r="D13516" s="230">
        <v>0</v>
      </c>
      <c r="E13516" t="s">
        <v>590</v>
      </c>
    </row>
    <row r="13517" spans="1:5" hidden="1" x14ac:dyDescent="0.3">
      <c r="A13517" t="s">
        <v>557</v>
      </c>
      <c r="B13517" t="s">
        <v>759</v>
      </c>
      <c r="C13517" t="s">
        <v>681</v>
      </c>
      <c r="D13517" s="230">
        <v>0</v>
      </c>
      <c r="E13517" t="s">
        <v>590</v>
      </c>
    </row>
    <row r="13518" spans="1:5" hidden="1" x14ac:dyDescent="0.3">
      <c r="A13518" t="s">
        <v>557</v>
      </c>
      <c r="B13518" t="s">
        <v>759</v>
      </c>
      <c r="C13518" t="s">
        <v>682</v>
      </c>
      <c r="D13518" s="230">
        <v>-5892.13</v>
      </c>
      <c r="E13518" t="s">
        <v>590</v>
      </c>
    </row>
    <row r="13519" spans="1:5" hidden="1" x14ac:dyDescent="0.3">
      <c r="A13519" t="s">
        <v>557</v>
      </c>
      <c r="B13519" t="s">
        <v>759</v>
      </c>
      <c r="C13519" t="s">
        <v>683</v>
      </c>
      <c r="D13519" s="230">
        <v>-9575.48</v>
      </c>
      <c r="E13519" t="s">
        <v>590</v>
      </c>
    </row>
    <row r="13520" spans="1:5" hidden="1" x14ac:dyDescent="0.3">
      <c r="A13520" t="s">
        <v>557</v>
      </c>
      <c r="B13520" t="s">
        <v>759</v>
      </c>
      <c r="C13520" t="s">
        <v>684</v>
      </c>
      <c r="D13520" s="230">
        <v>-52.44</v>
      </c>
      <c r="E13520" t="s">
        <v>590</v>
      </c>
    </row>
    <row r="13521" spans="1:5" hidden="1" x14ac:dyDescent="0.3">
      <c r="A13521" t="s">
        <v>557</v>
      </c>
      <c r="B13521" t="s">
        <v>759</v>
      </c>
      <c r="C13521" t="s">
        <v>685</v>
      </c>
      <c r="D13521" s="230">
        <v>0</v>
      </c>
      <c r="E13521" t="s">
        <v>590</v>
      </c>
    </row>
    <row r="13522" spans="1:5" hidden="1" x14ac:dyDescent="0.3">
      <c r="A13522" t="s">
        <v>557</v>
      </c>
      <c r="B13522" t="s">
        <v>759</v>
      </c>
      <c r="C13522" t="s">
        <v>686</v>
      </c>
      <c r="D13522" s="230">
        <v>-98.4</v>
      </c>
      <c r="E13522" t="s">
        <v>590</v>
      </c>
    </row>
    <row r="13523" spans="1:5" hidden="1" x14ac:dyDescent="0.3">
      <c r="A13523" t="s">
        <v>557</v>
      </c>
      <c r="B13523" t="s">
        <v>759</v>
      </c>
      <c r="C13523" t="s">
        <v>687</v>
      </c>
      <c r="D13523" s="230">
        <v>0</v>
      </c>
      <c r="E13523" t="s">
        <v>590</v>
      </c>
    </row>
    <row r="13524" spans="1:5" hidden="1" x14ac:dyDescent="0.3">
      <c r="A13524" t="s">
        <v>557</v>
      </c>
      <c r="B13524" t="s">
        <v>759</v>
      </c>
      <c r="C13524" t="s">
        <v>688</v>
      </c>
      <c r="D13524" s="230">
        <v>0</v>
      </c>
      <c r="E13524" t="s">
        <v>590</v>
      </c>
    </row>
    <row r="13525" spans="1:5" hidden="1" x14ac:dyDescent="0.3">
      <c r="A13525" t="s">
        <v>557</v>
      </c>
      <c r="B13525" t="s">
        <v>759</v>
      </c>
      <c r="C13525" t="s">
        <v>689</v>
      </c>
      <c r="D13525" s="230">
        <v>0</v>
      </c>
      <c r="E13525" t="s">
        <v>590</v>
      </c>
    </row>
    <row r="13526" spans="1:5" hidden="1" x14ac:dyDescent="0.3">
      <c r="A13526" t="s">
        <v>557</v>
      </c>
      <c r="B13526" t="s">
        <v>759</v>
      </c>
      <c r="C13526" t="s">
        <v>690</v>
      </c>
      <c r="D13526" s="230">
        <v>0</v>
      </c>
      <c r="E13526" t="s">
        <v>590</v>
      </c>
    </row>
    <row r="13527" spans="1:5" hidden="1" x14ac:dyDescent="0.3">
      <c r="A13527" t="s">
        <v>557</v>
      </c>
      <c r="B13527" t="s">
        <v>759</v>
      </c>
      <c r="C13527" t="s">
        <v>691</v>
      </c>
      <c r="D13527" s="230">
        <v>0</v>
      </c>
      <c r="E13527" t="s">
        <v>590</v>
      </c>
    </row>
    <row r="13528" spans="1:5" hidden="1" x14ac:dyDescent="0.3">
      <c r="A13528" t="s">
        <v>557</v>
      </c>
      <c r="B13528" t="s">
        <v>759</v>
      </c>
      <c r="C13528" t="s">
        <v>692</v>
      </c>
      <c r="D13528" s="230">
        <v>0</v>
      </c>
      <c r="E13528" t="s">
        <v>590</v>
      </c>
    </row>
    <row r="13529" spans="1:5" hidden="1" x14ac:dyDescent="0.3">
      <c r="A13529" t="s">
        <v>557</v>
      </c>
      <c r="B13529" t="s">
        <v>759</v>
      </c>
      <c r="C13529" t="s">
        <v>693</v>
      </c>
      <c r="D13529" s="230">
        <v>0</v>
      </c>
      <c r="E13529" t="s">
        <v>590</v>
      </c>
    </row>
    <row r="13530" spans="1:5" hidden="1" x14ac:dyDescent="0.3">
      <c r="A13530" t="s">
        <v>557</v>
      </c>
      <c r="B13530" t="s">
        <v>759</v>
      </c>
      <c r="C13530" t="s">
        <v>694</v>
      </c>
      <c r="D13530" s="230">
        <v>0</v>
      </c>
      <c r="E13530" t="s">
        <v>590</v>
      </c>
    </row>
    <row r="13531" spans="1:5" hidden="1" x14ac:dyDescent="0.3">
      <c r="A13531" t="s">
        <v>557</v>
      </c>
      <c r="B13531" t="s">
        <v>759</v>
      </c>
      <c r="C13531" t="s">
        <v>238</v>
      </c>
      <c r="D13531" s="230">
        <v>-7710.71</v>
      </c>
      <c r="E13531" t="s">
        <v>590</v>
      </c>
    </row>
    <row r="13532" spans="1:5" hidden="1" x14ac:dyDescent="0.3">
      <c r="A13532" t="s">
        <v>557</v>
      </c>
      <c r="B13532" t="s">
        <v>759</v>
      </c>
      <c r="C13532" t="s">
        <v>695</v>
      </c>
      <c r="D13532" s="230">
        <v>-5957.57</v>
      </c>
      <c r="E13532" t="s">
        <v>590</v>
      </c>
    </row>
    <row r="13533" spans="1:5" hidden="1" x14ac:dyDescent="0.3">
      <c r="A13533" t="s">
        <v>557</v>
      </c>
      <c r="B13533" t="s">
        <v>759</v>
      </c>
      <c r="C13533" t="s">
        <v>696</v>
      </c>
      <c r="D13533" s="230">
        <v>-1545.49</v>
      </c>
      <c r="E13533" t="s">
        <v>590</v>
      </c>
    </row>
    <row r="13534" spans="1:5" hidden="1" x14ac:dyDescent="0.3">
      <c r="A13534" t="s">
        <v>557</v>
      </c>
      <c r="B13534" t="s">
        <v>759</v>
      </c>
      <c r="C13534" t="s">
        <v>697</v>
      </c>
      <c r="D13534" s="230">
        <v>0</v>
      </c>
      <c r="E13534" t="s">
        <v>590</v>
      </c>
    </row>
    <row r="13535" spans="1:5" hidden="1" x14ac:dyDescent="0.3">
      <c r="A13535" t="s">
        <v>557</v>
      </c>
      <c r="B13535" t="s">
        <v>759</v>
      </c>
      <c r="C13535" t="s">
        <v>698</v>
      </c>
      <c r="D13535" s="230">
        <v>-207.65</v>
      </c>
      <c r="E13535" t="s">
        <v>590</v>
      </c>
    </row>
    <row r="13536" spans="1:5" hidden="1" x14ac:dyDescent="0.3">
      <c r="A13536" t="s">
        <v>557</v>
      </c>
      <c r="B13536" t="s">
        <v>759</v>
      </c>
      <c r="C13536" t="s">
        <v>699</v>
      </c>
      <c r="D13536" s="230">
        <v>0</v>
      </c>
      <c r="E13536" t="s">
        <v>590</v>
      </c>
    </row>
    <row r="13537" spans="1:5" hidden="1" x14ac:dyDescent="0.3">
      <c r="A13537" t="s">
        <v>557</v>
      </c>
      <c r="B13537" t="s">
        <v>759</v>
      </c>
      <c r="C13537" t="s">
        <v>245</v>
      </c>
      <c r="D13537" s="230">
        <v>-16543.79</v>
      </c>
      <c r="E13537" t="s">
        <v>590</v>
      </c>
    </row>
    <row r="13538" spans="1:5" hidden="1" x14ac:dyDescent="0.3">
      <c r="A13538" t="s">
        <v>557</v>
      </c>
      <c r="B13538" t="s">
        <v>759</v>
      </c>
      <c r="C13538" t="s">
        <v>700</v>
      </c>
      <c r="D13538" s="230">
        <v>-479.4</v>
      </c>
      <c r="E13538" t="s">
        <v>590</v>
      </c>
    </row>
    <row r="13539" spans="1:5" hidden="1" x14ac:dyDescent="0.3">
      <c r="A13539" t="s">
        <v>557</v>
      </c>
      <c r="B13539" t="s">
        <v>759</v>
      </c>
      <c r="C13539" t="s">
        <v>701</v>
      </c>
      <c r="D13539" s="230">
        <v>-461.45</v>
      </c>
      <c r="E13539" t="s">
        <v>590</v>
      </c>
    </row>
    <row r="13540" spans="1:5" hidden="1" x14ac:dyDescent="0.3">
      <c r="A13540" t="s">
        <v>557</v>
      </c>
      <c r="B13540" t="s">
        <v>759</v>
      </c>
      <c r="C13540" t="s">
        <v>702</v>
      </c>
      <c r="D13540" s="230">
        <v>0</v>
      </c>
      <c r="E13540" t="s">
        <v>590</v>
      </c>
    </row>
    <row r="13541" spans="1:5" hidden="1" x14ac:dyDescent="0.3">
      <c r="A13541" t="s">
        <v>557</v>
      </c>
      <c r="B13541" t="s">
        <v>759</v>
      </c>
      <c r="C13541" t="s">
        <v>703</v>
      </c>
      <c r="D13541" s="230">
        <v>0</v>
      </c>
      <c r="E13541" t="s">
        <v>590</v>
      </c>
    </row>
    <row r="13542" spans="1:5" hidden="1" x14ac:dyDescent="0.3">
      <c r="A13542" t="s">
        <v>557</v>
      </c>
      <c r="B13542" t="s">
        <v>759</v>
      </c>
      <c r="C13542" t="s">
        <v>704</v>
      </c>
      <c r="D13542" s="230">
        <v>0</v>
      </c>
      <c r="E13542" t="s">
        <v>590</v>
      </c>
    </row>
    <row r="13543" spans="1:5" hidden="1" x14ac:dyDescent="0.3">
      <c r="A13543" t="s">
        <v>557</v>
      </c>
      <c r="B13543" t="s">
        <v>759</v>
      </c>
      <c r="C13543" t="s">
        <v>705</v>
      </c>
      <c r="D13543" s="230">
        <v>-15602.94</v>
      </c>
      <c r="E13543" t="s">
        <v>590</v>
      </c>
    </row>
    <row r="13544" spans="1:5" hidden="1" x14ac:dyDescent="0.3">
      <c r="A13544" t="s">
        <v>557</v>
      </c>
      <c r="B13544" t="s">
        <v>759</v>
      </c>
      <c r="C13544" t="s">
        <v>706</v>
      </c>
      <c r="D13544" s="230">
        <v>0</v>
      </c>
      <c r="E13544" t="s">
        <v>590</v>
      </c>
    </row>
    <row r="13545" spans="1:5" hidden="1" x14ac:dyDescent="0.3">
      <c r="A13545" t="s">
        <v>557</v>
      </c>
      <c r="B13545" t="s">
        <v>759</v>
      </c>
      <c r="C13545" t="s">
        <v>254</v>
      </c>
      <c r="D13545" s="230">
        <v>-0.27</v>
      </c>
      <c r="E13545" t="s">
        <v>590</v>
      </c>
    </row>
    <row r="13546" spans="1:5" hidden="1" x14ac:dyDescent="0.3">
      <c r="A13546" t="s">
        <v>557</v>
      </c>
      <c r="B13546" t="s">
        <v>759</v>
      </c>
      <c r="C13546" t="s">
        <v>255</v>
      </c>
      <c r="D13546" s="230">
        <v>-0.27</v>
      </c>
      <c r="E13546" t="s">
        <v>590</v>
      </c>
    </row>
    <row r="13547" spans="1:5" hidden="1" x14ac:dyDescent="0.3">
      <c r="A13547" t="s">
        <v>557</v>
      </c>
      <c r="B13547" t="s">
        <v>759</v>
      </c>
      <c r="C13547" t="s">
        <v>256</v>
      </c>
      <c r="D13547" s="230">
        <v>-54787.88</v>
      </c>
      <c r="E13547" t="s">
        <v>590</v>
      </c>
    </row>
    <row r="13548" spans="1:5" hidden="1" x14ac:dyDescent="0.3">
      <c r="A13548" t="s">
        <v>557</v>
      </c>
      <c r="B13548" t="s">
        <v>759</v>
      </c>
      <c r="C13548" t="s">
        <v>257</v>
      </c>
      <c r="D13548" s="230">
        <v>-51939.55</v>
      </c>
      <c r="E13548" t="s">
        <v>590</v>
      </c>
    </row>
    <row r="13549" spans="1:5" hidden="1" x14ac:dyDescent="0.3">
      <c r="A13549" t="s">
        <v>557</v>
      </c>
      <c r="B13549" t="s">
        <v>759</v>
      </c>
      <c r="C13549" t="s">
        <v>258</v>
      </c>
      <c r="D13549" s="230">
        <v>0</v>
      </c>
      <c r="E13549" t="s">
        <v>590</v>
      </c>
    </row>
    <row r="13550" spans="1:5" hidden="1" x14ac:dyDescent="0.3">
      <c r="A13550" t="s">
        <v>557</v>
      </c>
      <c r="B13550" t="s">
        <v>759</v>
      </c>
      <c r="C13550" t="s">
        <v>259</v>
      </c>
      <c r="D13550" s="230">
        <v>-2848.33</v>
      </c>
      <c r="E13550" t="s">
        <v>590</v>
      </c>
    </row>
    <row r="13551" spans="1:5" hidden="1" x14ac:dyDescent="0.3">
      <c r="A13551" t="s">
        <v>557</v>
      </c>
      <c r="B13551" t="s">
        <v>759</v>
      </c>
      <c r="C13551" t="s">
        <v>260</v>
      </c>
      <c r="D13551" s="230">
        <v>0</v>
      </c>
      <c r="E13551" t="s">
        <v>590</v>
      </c>
    </row>
    <row r="13552" spans="1:5" hidden="1" x14ac:dyDescent="0.3">
      <c r="A13552" t="s">
        <v>557</v>
      </c>
      <c r="B13552" t="s">
        <v>759</v>
      </c>
      <c r="C13552" t="s">
        <v>261</v>
      </c>
      <c r="D13552" s="230">
        <v>0</v>
      </c>
      <c r="E13552" t="s">
        <v>590</v>
      </c>
    </row>
    <row r="13553" spans="1:5" hidden="1" x14ac:dyDescent="0.3">
      <c r="A13553" t="s">
        <v>557</v>
      </c>
      <c r="B13553" t="s">
        <v>759</v>
      </c>
      <c r="C13553" t="s">
        <v>262</v>
      </c>
      <c r="D13553" s="230">
        <v>0</v>
      </c>
      <c r="E13553" t="s">
        <v>590</v>
      </c>
    </row>
    <row r="13554" spans="1:5" hidden="1" x14ac:dyDescent="0.3">
      <c r="A13554" t="s">
        <v>557</v>
      </c>
      <c r="B13554" t="s">
        <v>759</v>
      </c>
      <c r="C13554" t="s">
        <v>263</v>
      </c>
      <c r="D13554" s="230">
        <v>0</v>
      </c>
      <c r="E13554" t="s">
        <v>590</v>
      </c>
    </row>
    <row r="13555" spans="1:5" hidden="1" x14ac:dyDescent="0.3">
      <c r="A13555" t="s">
        <v>557</v>
      </c>
      <c r="B13555" t="s">
        <v>759</v>
      </c>
      <c r="C13555" t="s">
        <v>44</v>
      </c>
      <c r="D13555" s="230">
        <v>-0.12</v>
      </c>
      <c r="E13555" t="s">
        <v>590</v>
      </c>
    </row>
    <row r="13556" spans="1:5" hidden="1" x14ac:dyDescent="0.3">
      <c r="A13556" t="s">
        <v>557</v>
      </c>
      <c r="B13556" t="s">
        <v>759</v>
      </c>
      <c r="C13556" t="s">
        <v>264</v>
      </c>
      <c r="D13556" s="230">
        <v>-38518.769999999997</v>
      </c>
      <c r="E13556" t="s">
        <v>590</v>
      </c>
    </row>
    <row r="13557" spans="1:5" hidden="1" x14ac:dyDescent="0.3">
      <c r="A13557" t="s">
        <v>557</v>
      </c>
      <c r="B13557" t="s">
        <v>759</v>
      </c>
      <c r="C13557" t="s">
        <v>265</v>
      </c>
      <c r="D13557" s="230">
        <v>-5817.84</v>
      </c>
      <c r="E13557" t="s">
        <v>590</v>
      </c>
    </row>
    <row r="13558" spans="1:5" hidden="1" x14ac:dyDescent="0.3">
      <c r="A13558" t="s">
        <v>557</v>
      </c>
      <c r="B13558" t="s">
        <v>759</v>
      </c>
      <c r="C13558" t="s">
        <v>266</v>
      </c>
      <c r="D13558" s="230">
        <v>-12787.67</v>
      </c>
      <c r="E13558" t="s">
        <v>590</v>
      </c>
    </row>
    <row r="13559" spans="1:5" hidden="1" x14ac:dyDescent="0.3">
      <c r="A13559" t="s">
        <v>557</v>
      </c>
      <c r="B13559" t="s">
        <v>759</v>
      </c>
      <c r="C13559" t="s">
        <v>267</v>
      </c>
      <c r="D13559" s="230">
        <v>-6385.65</v>
      </c>
      <c r="E13559" t="s">
        <v>590</v>
      </c>
    </row>
    <row r="13560" spans="1:5" hidden="1" x14ac:dyDescent="0.3">
      <c r="A13560" t="s">
        <v>557</v>
      </c>
      <c r="B13560" t="s">
        <v>759</v>
      </c>
      <c r="C13560" t="s">
        <v>268</v>
      </c>
      <c r="D13560" s="230">
        <v>-5862.85</v>
      </c>
      <c r="E13560" t="s">
        <v>590</v>
      </c>
    </row>
    <row r="13561" spans="1:5" hidden="1" x14ac:dyDescent="0.3">
      <c r="A13561" t="s">
        <v>557</v>
      </c>
      <c r="B13561" t="s">
        <v>759</v>
      </c>
      <c r="C13561" t="s">
        <v>269</v>
      </c>
      <c r="D13561" s="230">
        <v>0</v>
      </c>
      <c r="E13561" t="s">
        <v>590</v>
      </c>
    </row>
    <row r="13562" spans="1:5" hidden="1" x14ac:dyDescent="0.3">
      <c r="A13562" t="s">
        <v>557</v>
      </c>
      <c r="B13562" t="s">
        <v>759</v>
      </c>
      <c r="C13562" t="s">
        <v>270</v>
      </c>
      <c r="D13562" s="230">
        <v>-550</v>
      </c>
      <c r="E13562" t="s">
        <v>590</v>
      </c>
    </row>
    <row r="13563" spans="1:5" hidden="1" x14ac:dyDescent="0.3">
      <c r="A13563" t="s">
        <v>557</v>
      </c>
      <c r="B13563" t="s">
        <v>759</v>
      </c>
      <c r="C13563" t="s">
        <v>271</v>
      </c>
      <c r="D13563" s="230">
        <v>-1003</v>
      </c>
      <c r="E13563" t="s">
        <v>590</v>
      </c>
    </row>
    <row r="13564" spans="1:5" hidden="1" x14ac:dyDescent="0.3">
      <c r="A13564" t="s">
        <v>557</v>
      </c>
      <c r="B13564" t="s">
        <v>759</v>
      </c>
      <c r="C13564" t="s">
        <v>272</v>
      </c>
      <c r="D13564" s="230">
        <v>-644.97</v>
      </c>
      <c r="E13564" t="s">
        <v>590</v>
      </c>
    </row>
    <row r="13565" spans="1:5" hidden="1" x14ac:dyDescent="0.3">
      <c r="A13565" t="s">
        <v>557</v>
      </c>
      <c r="B13565" t="s">
        <v>759</v>
      </c>
      <c r="C13565" t="s">
        <v>273</v>
      </c>
      <c r="D13565" s="230">
        <v>0</v>
      </c>
      <c r="E13565" t="s">
        <v>590</v>
      </c>
    </row>
    <row r="13566" spans="1:5" hidden="1" x14ac:dyDescent="0.3">
      <c r="A13566" t="s">
        <v>557</v>
      </c>
      <c r="B13566" t="s">
        <v>759</v>
      </c>
      <c r="C13566" t="s">
        <v>274</v>
      </c>
      <c r="D13566" s="230">
        <v>0</v>
      </c>
      <c r="E13566" t="s">
        <v>590</v>
      </c>
    </row>
    <row r="13567" spans="1:5" hidden="1" x14ac:dyDescent="0.3">
      <c r="A13567" t="s">
        <v>557</v>
      </c>
      <c r="B13567" t="s">
        <v>759</v>
      </c>
      <c r="C13567" t="s">
        <v>275</v>
      </c>
      <c r="D13567" s="230">
        <v>-1718.79</v>
      </c>
      <c r="E13567" t="s">
        <v>590</v>
      </c>
    </row>
    <row r="13568" spans="1:5" hidden="1" x14ac:dyDescent="0.3">
      <c r="A13568" t="s">
        <v>557</v>
      </c>
      <c r="B13568" t="s">
        <v>759</v>
      </c>
      <c r="C13568" t="s">
        <v>276</v>
      </c>
      <c r="D13568" s="230">
        <v>-1512</v>
      </c>
      <c r="E13568" t="s">
        <v>590</v>
      </c>
    </row>
    <row r="13569" spans="1:5" hidden="1" x14ac:dyDescent="0.3">
      <c r="A13569" t="s">
        <v>557</v>
      </c>
      <c r="B13569" t="s">
        <v>759</v>
      </c>
      <c r="C13569" t="s">
        <v>277</v>
      </c>
      <c r="D13569" s="230">
        <v>-377</v>
      </c>
      <c r="E13569" t="s">
        <v>590</v>
      </c>
    </row>
    <row r="13570" spans="1:5" hidden="1" x14ac:dyDescent="0.3">
      <c r="A13570" t="s">
        <v>557</v>
      </c>
      <c r="B13570" t="s">
        <v>759</v>
      </c>
      <c r="C13570" t="s">
        <v>278</v>
      </c>
      <c r="D13570" s="230">
        <v>-1859</v>
      </c>
      <c r="E13570" t="s">
        <v>590</v>
      </c>
    </row>
    <row r="13571" spans="1:5" hidden="1" x14ac:dyDescent="0.3">
      <c r="A13571" t="s">
        <v>557</v>
      </c>
      <c r="B13571" t="s">
        <v>759</v>
      </c>
      <c r="C13571" t="s">
        <v>44</v>
      </c>
      <c r="D13571" s="230">
        <v>-0.09</v>
      </c>
      <c r="E13571" t="s">
        <v>590</v>
      </c>
    </row>
    <row r="13572" spans="1:5" hidden="1" x14ac:dyDescent="0.3">
      <c r="A13572" t="s">
        <v>557</v>
      </c>
      <c r="B13572" t="s">
        <v>759</v>
      </c>
      <c r="C13572" t="s">
        <v>279</v>
      </c>
      <c r="D13572" s="230">
        <v>-5502.48</v>
      </c>
      <c r="E13572" t="s">
        <v>590</v>
      </c>
    </row>
    <row r="13573" spans="1:5" hidden="1" x14ac:dyDescent="0.3">
      <c r="A13573" t="s">
        <v>557</v>
      </c>
      <c r="B13573" t="s">
        <v>759</v>
      </c>
      <c r="C13573" t="s">
        <v>280</v>
      </c>
      <c r="D13573" s="230">
        <v>-199.95</v>
      </c>
      <c r="E13573" t="s">
        <v>590</v>
      </c>
    </row>
    <row r="13574" spans="1:5" hidden="1" x14ac:dyDescent="0.3">
      <c r="A13574" t="s">
        <v>557</v>
      </c>
      <c r="B13574" t="s">
        <v>759</v>
      </c>
      <c r="C13574" t="s">
        <v>281</v>
      </c>
      <c r="D13574" s="230">
        <v>-594.19000000000005</v>
      </c>
      <c r="E13574" t="s">
        <v>590</v>
      </c>
    </row>
    <row r="13575" spans="1:5" hidden="1" x14ac:dyDescent="0.3">
      <c r="A13575" t="s">
        <v>557</v>
      </c>
      <c r="B13575" t="s">
        <v>759</v>
      </c>
      <c r="C13575" t="s">
        <v>282</v>
      </c>
      <c r="D13575" s="230">
        <v>-348.97</v>
      </c>
      <c r="E13575" t="s">
        <v>590</v>
      </c>
    </row>
    <row r="13576" spans="1:5" hidden="1" x14ac:dyDescent="0.3">
      <c r="A13576" t="s">
        <v>557</v>
      </c>
      <c r="B13576" t="s">
        <v>759</v>
      </c>
      <c r="C13576" t="s">
        <v>283</v>
      </c>
      <c r="D13576" s="230">
        <v>-314.87</v>
      </c>
      <c r="E13576" t="s">
        <v>590</v>
      </c>
    </row>
    <row r="13577" spans="1:5" hidden="1" x14ac:dyDescent="0.3">
      <c r="A13577" t="s">
        <v>557</v>
      </c>
      <c r="B13577" t="s">
        <v>759</v>
      </c>
      <c r="C13577" t="s">
        <v>284</v>
      </c>
      <c r="D13577" s="230">
        <v>-3000</v>
      </c>
      <c r="E13577" t="s">
        <v>590</v>
      </c>
    </row>
    <row r="13578" spans="1:5" hidden="1" x14ac:dyDescent="0.3">
      <c r="A13578" t="s">
        <v>557</v>
      </c>
      <c r="B13578" t="s">
        <v>759</v>
      </c>
      <c r="C13578" t="s">
        <v>285</v>
      </c>
      <c r="D13578" s="230">
        <v>-389</v>
      </c>
      <c r="E13578" t="s">
        <v>590</v>
      </c>
    </row>
    <row r="13579" spans="1:5" hidden="1" x14ac:dyDescent="0.3">
      <c r="A13579" t="s">
        <v>557</v>
      </c>
      <c r="B13579" t="s">
        <v>759</v>
      </c>
      <c r="C13579" t="s">
        <v>286</v>
      </c>
      <c r="D13579" s="230">
        <v>-655.5</v>
      </c>
      <c r="E13579" t="s">
        <v>590</v>
      </c>
    </row>
    <row r="13580" spans="1:5" hidden="1" x14ac:dyDescent="0.3">
      <c r="A13580" t="s">
        <v>557</v>
      </c>
      <c r="B13580" t="s">
        <v>759</v>
      </c>
      <c r="C13580" t="s">
        <v>44</v>
      </c>
      <c r="D13580" s="230">
        <v>-0.01</v>
      </c>
      <c r="E13580" t="s">
        <v>590</v>
      </c>
    </row>
    <row r="13581" spans="1:5" hidden="1" x14ac:dyDescent="0.3">
      <c r="A13581" t="s">
        <v>557</v>
      </c>
      <c r="B13581" t="s">
        <v>759</v>
      </c>
      <c r="C13581" t="s">
        <v>287</v>
      </c>
      <c r="D13581" s="230">
        <v>-5017.87</v>
      </c>
      <c r="E13581" t="s">
        <v>590</v>
      </c>
    </row>
    <row r="13582" spans="1:5" hidden="1" x14ac:dyDescent="0.3">
      <c r="A13582" t="s">
        <v>557</v>
      </c>
      <c r="B13582" t="s">
        <v>759</v>
      </c>
      <c r="C13582" t="s">
        <v>288</v>
      </c>
      <c r="D13582" s="230">
        <v>-3500</v>
      </c>
      <c r="E13582" t="s">
        <v>590</v>
      </c>
    </row>
    <row r="13583" spans="1:5" hidden="1" x14ac:dyDescent="0.3">
      <c r="A13583" t="s">
        <v>557</v>
      </c>
      <c r="B13583" t="s">
        <v>759</v>
      </c>
      <c r="C13583" t="s">
        <v>289</v>
      </c>
      <c r="D13583" s="230">
        <v>-70</v>
      </c>
      <c r="E13583" t="s">
        <v>590</v>
      </c>
    </row>
    <row r="13584" spans="1:5" hidden="1" x14ac:dyDescent="0.3">
      <c r="A13584" t="s">
        <v>557</v>
      </c>
      <c r="B13584" t="s">
        <v>759</v>
      </c>
      <c r="C13584" t="s">
        <v>290</v>
      </c>
      <c r="D13584" s="230">
        <v>0</v>
      </c>
      <c r="E13584" t="s">
        <v>590</v>
      </c>
    </row>
    <row r="13585" spans="1:5" hidden="1" x14ac:dyDescent="0.3">
      <c r="A13585" t="s">
        <v>557</v>
      </c>
      <c r="B13585" t="s">
        <v>759</v>
      </c>
      <c r="C13585" t="s">
        <v>291</v>
      </c>
      <c r="D13585" s="230">
        <v>-1060.7</v>
      </c>
      <c r="E13585" t="s">
        <v>590</v>
      </c>
    </row>
    <row r="13586" spans="1:5" hidden="1" x14ac:dyDescent="0.3">
      <c r="A13586" t="s">
        <v>557</v>
      </c>
      <c r="B13586" t="s">
        <v>759</v>
      </c>
      <c r="C13586" t="s">
        <v>292</v>
      </c>
      <c r="D13586" s="230">
        <v>0</v>
      </c>
      <c r="E13586" t="s">
        <v>590</v>
      </c>
    </row>
    <row r="13587" spans="1:5" hidden="1" x14ac:dyDescent="0.3">
      <c r="A13587" t="s">
        <v>557</v>
      </c>
      <c r="B13587" t="s">
        <v>759</v>
      </c>
      <c r="C13587" t="s">
        <v>293</v>
      </c>
      <c r="D13587" s="230">
        <v>-387.17</v>
      </c>
      <c r="E13587" t="s">
        <v>590</v>
      </c>
    </row>
    <row r="13588" spans="1:5" hidden="1" x14ac:dyDescent="0.3">
      <c r="A13588" t="s">
        <v>557</v>
      </c>
      <c r="B13588" t="s">
        <v>759</v>
      </c>
      <c r="C13588" t="s">
        <v>294</v>
      </c>
      <c r="D13588" s="230">
        <v>0</v>
      </c>
      <c r="E13588" t="s">
        <v>590</v>
      </c>
    </row>
    <row r="13589" spans="1:5" hidden="1" x14ac:dyDescent="0.3">
      <c r="A13589" t="s">
        <v>557</v>
      </c>
      <c r="B13589" t="s">
        <v>759</v>
      </c>
      <c r="C13589" t="s">
        <v>295</v>
      </c>
      <c r="D13589" s="230">
        <v>0</v>
      </c>
      <c r="E13589" t="s">
        <v>590</v>
      </c>
    </row>
    <row r="13590" spans="1:5" hidden="1" x14ac:dyDescent="0.3">
      <c r="A13590" t="s">
        <v>557</v>
      </c>
      <c r="B13590" t="s">
        <v>759</v>
      </c>
      <c r="C13590" t="s">
        <v>44</v>
      </c>
      <c r="D13590" s="230">
        <v>-0.01</v>
      </c>
      <c r="E13590" t="s">
        <v>590</v>
      </c>
    </row>
    <row r="13591" spans="1:5" hidden="1" x14ac:dyDescent="0.3">
      <c r="A13591" t="s">
        <v>557</v>
      </c>
      <c r="B13591" t="s">
        <v>759</v>
      </c>
      <c r="C13591" t="s">
        <v>296</v>
      </c>
      <c r="D13591" s="230">
        <v>-6983.12</v>
      </c>
      <c r="E13591" t="s">
        <v>590</v>
      </c>
    </row>
    <row r="13592" spans="1:5" hidden="1" x14ac:dyDescent="0.3">
      <c r="A13592" t="s">
        <v>557</v>
      </c>
      <c r="B13592" t="s">
        <v>759</v>
      </c>
      <c r="C13592" t="s">
        <v>297</v>
      </c>
      <c r="D13592" s="230">
        <v>-4000</v>
      </c>
      <c r="E13592" t="s">
        <v>590</v>
      </c>
    </row>
    <row r="13593" spans="1:5" hidden="1" x14ac:dyDescent="0.3">
      <c r="A13593" t="s">
        <v>557</v>
      </c>
      <c r="B13593" t="s">
        <v>759</v>
      </c>
      <c r="C13593" t="s">
        <v>298</v>
      </c>
      <c r="D13593" s="230">
        <v>-500</v>
      </c>
      <c r="E13593" t="s">
        <v>590</v>
      </c>
    </row>
    <row r="13594" spans="1:5" hidden="1" x14ac:dyDescent="0.3">
      <c r="A13594" t="s">
        <v>557</v>
      </c>
      <c r="B13594" t="s">
        <v>759</v>
      </c>
      <c r="C13594" t="s">
        <v>299</v>
      </c>
      <c r="D13594" s="230">
        <v>0</v>
      </c>
      <c r="E13594" t="s">
        <v>590</v>
      </c>
    </row>
    <row r="13595" spans="1:5" hidden="1" x14ac:dyDescent="0.3">
      <c r="A13595" t="s">
        <v>557</v>
      </c>
      <c r="B13595" t="s">
        <v>759</v>
      </c>
      <c r="C13595" t="s">
        <v>300</v>
      </c>
      <c r="D13595" s="230">
        <v>0</v>
      </c>
      <c r="E13595" t="s">
        <v>590</v>
      </c>
    </row>
    <row r="13596" spans="1:5" hidden="1" x14ac:dyDescent="0.3">
      <c r="A13596" t="s">
        <v>557</v>
      </c>
      <c r="B13596" t="s">
        <v>759</v>
      </c>
      <c r="C13596" t="s">
        <v>301</v>
      </c>
      <c r="D13596" s="230">
        <v>-1770.73</v>
      </c>
      <c r="E13596" t="s">
        <v>590</v>
      </c>
    </row>
    <row r="13597" spans="1:5" hidden="1" x14ac:dyDescent="0.3">
      <c r="A13597" t="s">
        <v>557</v>
      </c>
      <c r="B13597" t="s">
        <v>759</v>
      </c>
      <c r="C13597" t="s">
        <v>302</v>
      </c>
      <c r="D13597" s="230">
        <v>0</v>
      </c>
      <c r="E13597" t="s">
        <v>590</v>
      </c>
    </row>
    <row r="13598" spans="1:5" hidden="1" x14ac:dyDescent="0.3">
      <c r="A13598" t="s">
        <v>557</v>
      </c>
      <c r="B13598" t="s">
        <v>759</v>
      </c>
      <c r="C13598" t="s">
        <v>303</v>
      </c>
      <c r="D13598" s="230">
        <v>0</v>
      </c>
      <c r="E13598" t="s">
        <v>590</v>
      </c>
    </row>
    <row r="13599" spans="1:5" hidden="1" x14ac:dyDescent="0.3">
      <c r="A13599" t="s">
        <v>557</v>
      </c>
      <c r="B13599" t="s">
        <v>759</v>
      </c>
      <c r="C13599" t="s">
        <v>304</v>
      </c>
      <c r="D13599" s="230">
        <v>0</v>
      </c>
      <c r="E13599" t="s">
        <v>590</v>
      </c>
    </row>
    <row r="13600" spans="1:5" hidden="1" x14ac:dyDescent="0.3">
      <c r="A13600" t="s">
        <v>557</v>
      </c>
      <c r="B13600" t="s">
        <v>759</v>
      </c>
      <c r="C13600" t="s">
        <v>305</v>
      </c>
      <c r="D13600" s="230">
        <v>-257.3</v>
      </c>
      <c r="E13600" t="s">
        <v>590</v>
      </c>
    </row>
    <row r="13601" spans="1:5" hidden="1" x14ac:dyDescent="0.3">
      <c r="A13601" t="s">
        <v>557</v>
      </c>
      <c r="B13601" t="s">
        <v>759</v>
      </c>
      <c r="C13601" t="s">
        <v>306</v>
      </c>
      <c r="D13601" s="230">
        <v>0</v>
      </c>
      <c r="E13601" t="s">
        <v>590</v>
      </c>
    </row>
    <row r="13602" spans="1:5" hidden="1" x14ac:dyDescent="0.3">
      <c r="A13602" t="s">
        <v>557</v>
      </c>
      <c r="B13602" t="s">
        <v>759</v>
      </c>
      <c r="C13602" t="s">
        <v>307</v>
      </c>
      <c r="D13602" s="230">
        <v>-455.09</v>
      </c>
      <c r="E13602" t="s">
        <v>590</v>
      </c>
    </row>
    <row r="13603" spans="1:5" hidden="1" x14ac:dyDescent="0.3">
      <c r="A13603" t="s">
        <v>557</v>
      </c>
      <c r="B13603" t="s">
        <v>759</v>
      </c>
      <c r="C13603" t="s">
        <v>44</v>
      </c>
      <c r="D13603" s="230">
        <v>-0.02</v>
      </c>
      <c r="E13603" t="s">
        <v>590</v>
      </c>
    </row>
    <row r="13604" spans="1:5" hidden="1" x14ac:dyDescent="0.3">
      <c r="A13604" t="s">
        <v>557</v>
      </c>
      <c r="B13604" t="s">
        <v>759</v>
      </c>
      <c r="C13604" t="s">
        <v>308</v>
      </c>
      <c r="D13604" s="230">
        <v>-5645.76</v>
      </c>
      <c r="E13604" t="s">
        <v>590</v>
      </c>
    </row>
    <row r="13605" spans="1:5" hidden="1" x14ac:dyDescent="0.3">
      <c r="A13605" t="s">
        <v>557</v>
      </c>
      <c r="B13605" t="s">
        <v>759</v>
      </c>
      <c r="C13605" t="s">
        <v>309</v>
      </c>
      <c r="D13605" s="230">
        <v>-3252.28</v>
      </c>
      <c r="E13605" t="s">
        <v>590</v>
      </c>
    </row>
    <row r="13606" spans="1:5" hidden="1" x14ac:dyDescent="0.3">
      <c r="A13606" t="s">
        <v>557</v>
      </c>
      <c r="B13606" t="s">
        <v>759</v>
      </c>
      <c r="C13606" t="s">
        <v>310</v>
      </c>
      <c r="D13606" s="230">
        <v>0</v>
      </c>
      <c r="E13606" t="s">
        <v>590</v>
      </c>
    </row>
    <row r="13607" spans="1:5" hidden="1" x14ac:dyDescent="0.3">
      <c r="A13607" t="s">
        <v>557</v>
      </c>
      <c r="B13607" t="s">
        <v>759</v>
      </c>
      <c r="C13607" t="s">
        <v>311</v>
      </c>
      <c r="D13607" s="230">
        <v>-1470.13</v>
      </c>
      <c r="E13607" t="s">
        <v>590</v>
      </c>
    </row>
    <row r="13608" spans="1:5" hidden="1" x14ac:dyDescent="0.3">
      <c r="A13608" t="s">
        <v>557</v>
      </c>
      <c r="B13608" t="s">
        <v>759</v>
      </c>
      <c r="C13608" t="s">
        <v>312</v>
      </c>
      <c r="D13608" s="230">
        <v>-185</v>
      </c>
      <c r="E13608" t="s">
        <v>590</v>
      </c>
    </row>
    <row r="13609" spans="1:5" hidden="1" x14ac:dyDescent="0.3">
      <c r="A13609" t="s">
        <v>557</v>
      </c>
      <c r="B13609" t="s">
        <v>759</v>
      </c>
      <c r="C13609" t="s">
        <v>313</v>
      </c>
      <c r="D13609" s="230">
        <v>0</v>
      </c>
      <c r="E13609" t="s">
        <v>590</v>
      </c>
    </row>
    <row r="13610" spans="1:5" hidden="1" x14ac:dyDescent="0.3">
      <c r="A13610" t="s">
        <v>557</v>
      </c>
      <c r="B13610" t="s">
        <v>759</v>
      </c>
      <c r="C13610" t="s">
        <v>314</v>
      </c>
      <c r="D13610" s="230">
        <v>-738.35</v>
      </c>
      <c r="E13610" t="s">
        <v>590</v>
      </c>
    </row>
    <row r="13611" spans="1:5" hidden="1" x14ac:dyDescent="0.3">
      <c r="A13611" t="s">
        <v>557</v>
      </c>
      <c r="B13611" t="s">
        <v>759</v>
      </c>
      <c r="C13611" t="s">
        <v>315</v>
      </c>
      <c r="D13611" s="230">
        <v>0</v>
      </c>
      <c r="E13611" t="s">
        <v>590</v>
      </c>
    </row>
    <row r="13612" spans="1:5" hidden="1" x14ac:dyDescent="0.3">
      <c r="A13612" t="s">
        <v>557</v>
      </c>
      <c r="B13612" t="s">
        <v>759</v>
      </c>
      <c r="C13612" t="s">
        <v>316</v>
      </c>
      <c r="D13612" s="230">
        <v>0</v>
      </c>
      <c r="E13612" t="s">
        <v>590</v>
      </c>
    </row>
    <row r="13613" spans="1:5" hidden="1" x14ac:dyDescent="0.3">
      <c r="A13613" t="s">
        <v>557</v>
      </c>
      <c r="B13613" t="s">
        <v>759</v>
      </c>
      <c r="C13613" t="s">
        <v>317</v>
      </c>
      <c r="D13613" s="230">
        <v>0</v>
      </c>
      <c r="E13613" t="s">
        <v>590</v>
      </c>
    </row>
    <row r="13614" spans="1:5" hidden="1" x14ac:dyDescent="0.3">
      <c r="A13614" t="s">
        <v>557</v>
      </c>
      <c r="B13614" t="s">
        <v>759</v>
      </c>
      <c r="C13614" t="s">
        <v>44</v>
      </c>
      <c r="D13614" s="230">
        <v>-0.01</v>
      </c>
      <c r="E13614" t="s">
        <v>590</v>
      </c>
    </row>
    <row r="13615" spans="1:5" hidden="1" x14ac:dyDescent="0.3">
      <c r="A13615" t="s">
        <v>557</v>
      </c>
      <c r="B13615" t="s">
        <v>759</v>
      </c>
      <c r="C13615" t="s">
        <v>318</v>
      </c>
      <c r="D13615" s="230">
        <v>-2115.7800000000002</v>
      </c>
      <c r="E13615" t="s">
        <v>590</v>
      </c>
    </row>
    <row r="13616" spans="1:5" hidden="1" x14ac:dyDescent="0.3">
      <c r="A13616" t="s">
        <v>557</v>
      </c>
      <c r="B13616" t="s">
        <v>759</v>
      </c>
      <c r="C13616" t="s">
        <v>319</v>
      </c>
      <c r="D13616" s="230">
        <v>-1764</v>
      </c>
      <c r="E13616" t="s">
        <v>590</v>
      </c>
    </row>
    <row r="13617" spans="1:5" hidden="1" x14ac:dyDescent="0.3">
      <c r="A13617" t="s">
        <v>557</v>
      </c>
      <c r="B13617" t="s">
        <v>759</v>
      </c>
      <c r="C13617" t="s">
        <v>320</v>
      </c>
      <c r="D13617" s="230">
        <v>-151.78</v>
      </c>
      <c r="E13617" t="s">
        <v>590</v>
      </c>
    </row>
    <row r="13618" spans="1:5" hidden="1" x14ac:dyDescent="0.3">
      <c r="A13618" t="s">
        <v>557</v>
      </c>
      <c r="B13618" t="s">
        <v>759</v>
      </c>
      <c r="C13618" t="s">
        <v>321</v>
      </c>
      <c r="D13618" s="230">
        <v>-200</v>
      </c>
      <c r="E13618" t="s">
        <v>590</v>
      </c>
    </row>
    <row r="13619" spans="1:5" hidden="1" x14ac:dyDescent="0.3">
      <c r="A13619" t="s">
        <v>557</v>
      </c>
      <c r="B13619" t="s">
        <v>759</v>
      </c>
      <c r="C13619" t="s">
        <v>322</v>
      </c>
      <c r="D13619" s="230">
        <v>0</v>
      </c>
      <c r="E13619" t="s">
        <v>590</v>
      </c>
    </row>
    <row r="13620" spans="1:5" hidden="1" x14ac:dyDescent="0.3">
      <c r="A13620" t="s">
        <v>557</v>
      </c>
      <c r="B13620" t="s">
        <v>759</v>
      </c>
      <c r="C13620" t="s">
        <v>44</v>
      </c>
      <c r="D13620" s="230">
        <v>0</v>
      </c>
      <c r="E13620" t="s">
        <v>590</v>
      </c>
    </row>
    <row r="13621" spans="1:5" hidden="1" x14ac:dyDescent="0.3">
      <c r="A13621" t="s">
        <v>557</v>
      </c>
      <c r="B13621" t="s">
        <v>759</v>
      </c>
      <c r="C13621" t="s">
        <v>323</v>
      </c>
      <c r="D13621" s="230">
        <v>-22369.439999999999</v>
      </c>
      <c r="E13621" t="s">
        <v>590</v>
      </c>
    </row>
    <row r="13622" spans="1:5" hidden="1" x14ac:dyDescent="0.3">
      <c r="A13622" t="s">
        <v>557</v>
      </c>
      <c r="B13622" t="s">
        <v>759</v>
      </c>
      <c r="C13622" t="s">
        <v>324</v>
      </c>
      <c r="D13622" s="230">
        <v>0</v>
      </c>
      <c r="E13622" t="s">
        <v>590</v>
      </c>
    </row>
    <row r="13623" spans="1:5" hidden="1" x14ac:dyDescent="0.3">
      <c r="A13623" t="s">
        <v>557</v>
      </c>
      <c r="B13623" t="s">
        <v>759</v>
      </c>
      <c r="C13623" t="s">
        <v>325</v>
      </c>
      <c r="D13623" s="230">
        <v>0</v>
      </c>
      <c r="E13623" t="s">
        <v>590</v>
      </c>
    </row>
    <row r="13624" spans="1:5" hidden="1" x14ac:dyDescent="0.3">
      <c r="A13624" t="s">
        <v>557</v>
      </c>
      <c r="B13624" t="s">
        <v>759</v>
      </c>
      <c r="C13624" t="s">
        <v>326</v>
      </c>
      <c r="D13624" s="230">
        <v>-22369.439999999999</v>
      </c>
      <c r="E13624" t="s">
        <v>590</v>
      </c>
    </row>
    <row r="13625" spans="1:5" hidden="1" x14ac:dyDescent="0.3">
      <c r="A13625" t="s">
        <v>557</v>
      </c>
      <c r="B13625" t="s">
        <v>759</v>
      </c>
      <c r="C13625" t="s">
        <v>44</v>
      </c>
      <c r="D13625" s="230">
        <v>-0.05</v>
      </c>
      <c r="E13625" t="s">
        <v>590</v>
      </c>
    </row>
    <row r="13626" spans="1:5" hidden="1" x14ac:dyDescent="0.3">
      <c r="A13626" t="s">
        <v>557</v>
      </c>
      <c r="B13626" t="s">
        <v>759</v>
      </c>
      <c r="C13626" t="s">
        <v>328</v>
      </c>
      <c r="D13626" s="230">
        <v>-261108.85</v>
      </c>
      <c r="E13626" t="s">
        <v>590</v>
      </c>
    </row>
    <row r="13627" spans="1:5" hidden="1" x14ac:dyDescent="0.3">
      <c r="A13627" t="s">
        <v>557</v>
      </c>
      <c r="B13627" t="s">
        <v>759</v>
      </c>
      <c r="C13627" t="s">
        <v>44</v>
      </c>
      <c r="D13627" s="230">
        <v>-0.57999999999999996</v>
      </c>
      <c r="E13627" t="s">
        <v>590</v>
      </c>
    </row>
    <row r="13628" spans="1:5" hidden="1" x14ac:dyDescent="0.3">
      <c r="A13628" t="s">
        <v>557</v>
      </c>
      <c r="B13628" t="s">
        <v>759</v>
      </c>
      <c r="C13628" t="s">
        <v>329</v>
      </c>
      <c r="D13628" s="230">
        <v>-46381.58</v>
      </c>
      <c r="E13628" t="s">
        <v>590</v>
      </c>
    </row>
    <row r="13629" spans="1:5" hidden="1" x14ac:dyDescent="0.3">
      <c r="A13629" t="s">
        <v>557</v>
      </c>
      <c r="B13629" t="s">
        <v>759</v>
      </c>
      <c r="C13629" t="s">
        <v>44</v>
      </c>
      <c r="D13629" s="230">
        <v>-0.1</v>
      </c>
      <c r="E13629" t="s">
        <v>590</v>
      </c>
    </row>
    <row r="13630" spans="1:5" hidden="1" x14ac:dyDescent="0.3">
      <c r="A13630" t="s">
        <v>557</v>
      </c>
      <c r="B13630" t="s">
        <v>759</v>
      </c>
      <c r="C13630" t="s">
        <v>330</v>
      </c>
      <c r="D13630" s="230">
        <v>0</v>
      </c>
      <c r="E13630" t="s">
        <v>590</v>
      </c>
    </row>
    <row r="13631" spans="1:5" hidden="1" x14ac:dyDescent="0.3">
      <c r="A13631" t="s">
        <v>557</v>
      </c>
      <c r="B13631" t="s">
        <v>759</v>
      </c>
      <c r="C13631" t="s">
        <v>332</v>
      </c>
      <c r="D13631" s="230">
        <v>-46381.58</v>
      </c>
      <c r="E13631" t="s">
        <v>590</v>
      </c>
    </row>
    <row r="13632" spans="1:5" hidden="1" x14ac:dyDescent="0.3">
      <c r="A13632" t="s">
        <v>557</v>
      </c>
      <c r="B13632" t="s">
        <v>759</v>
      </c>
      <c r="C13632" t="s">
        <v>333</v>
      </c>
      <c r="D13632" s="230">
        <v>-915.65</v>
      </c>
      <c r="E13632" t="s">
        <v>590</v>
      </c>
    </row>
    <row r="13633" spans="1:5" hidden="1" x14ac:dyDescent="0.3">
      <c r="A13633" t="s">
        <v>557</v>
      </c>
      <c r="B13633" t="s">
        <v>759</v>
      </c>
      <c r="C13633" t="s">
        <v>334</v>
      </c>
      <c r="D13633" s="230">
        <v>0</v>
      </c>
      <c r="E13633" t="s">
        <v>590</v>
      </c>
    </row>
    <row r="13634" spans="1:5" hidden="1" x14ac:dyDescent="0.3">
      <c r="A13634" t="s">
        <v>557</v>
      </c>
      <c r="B13634" t="s">
        <v>759</v>
      </c>
      <c r="C13634" t="s">
        <v>336</v>
      </c>
      <c r="D13634" s="230">
        <v>0</v>
      </c>
      <c r="E13634" t="s">
        <v>590</v>
      </c>
    </row>
    <row r="13635" spans="1:5" hidden="1" x14ac:dyDescent="0.3">
      <c r="A13635" t="s">
        <v>557</v>
      </c>
      <c r="B13635" t="s">
        <v>759</v>
      </c>
      <c r="C13635" t="s">
        <v>338</v>
      </c>
      <c r="D13635" s="230">
        <v>-47297.23</v>
      </c>
      <c r="E13635" t="s">
        <v>590</v>
      </c>
    </row>
    <row r="13636" spans="1:5" hidden="1" x14ac:dyDescent="0.3">
      <c r="A13636" t="s">
        <v>557</v>
      </c>
      <c r="B13636" t="s">
        <v>759</v>
      </c>
      <c r="C13636" t="s">
        <v>339</v>
      </c>
      <c r="D13636" s="230">
        <v>-15729.95</v>
      </c>
      <c r="E13636" t="s">
        <v>590</v>
      </c>
    </row>
    <row r="13637" spans="1:5" hidden="1" x14ac:dyDescent="0.3">
      <c r="A13637" t="s">
        <v>557</v>
      </c>
      <c r="B13637" t="s">
        <v>759</v>
      </c>
      <c r="C13637" t="s">
        <v>342</v>
      </c>
      <c r="D13637" s="230">
        <v>-6245.29</v>
      </c>
      <c r="E13637" t="s">
        <v>590</v>
      </c>
    </row>
    <row r="13638" spans="1:5" hidden="1" x14ac:dyDescent="0.3">
      <c r="A13638" t="s">
        <v>557</v>
      </c>
      <c r="B13638" t="s">
        <v>759</v>
      </c>
      <c r="C13638" t="s">
        <v>344</v>
      </c>
      <c r="D13638" s="230">
        <v>-5019.66</v>
      </c>
      <c r="E13638" t="s">
        <v>590</v>
      </c>
    </row>
    <row r="13639" spans="1:5" hidden="1" x14ac:dyDescent="0.3">
      <c r="A13639" t="s">
        <v>557</v>
      </c>
      <c r="B13639" t="s">
        <v>759</v>
      </c>
      <c r="C13639" t="s">
        <v>345</v>
      </c>
      <c r="D13639" s="230">
        <v>0</v>
      </c>
      <c r="E13639" t="s">
        <v>590</v>
      </c>
    </row>
    <row r="13640" spans="1:5" hidden="1" x14ac:dyDescent="0.3">
      <c r="A13640" t="s">
        <v>557</v>
      </c>
      <c r="B13640" t="s">
        <v>759</v>
      </c>
      <c r="C13640" t="s">
        <v>346</v>
      </c>
      <c r="D13640" s="230">
        <v>-4465</v>
      </c>
      <c r="E13640" t="s">
        <v>590</v>
      </c>
    </row>
    <row r="13641" spans="1:5" hidden="1" x14ac:dyDescent="0.3">
      <c r="A13641" t="s">
        <v>557</v>
      </c>
      <c r="B13641" t="s">
        <v>759</v>
      </c>
      <c r="C13641" t="s">
        <v>347</v>
      </c>
      <c r="D13641" s="230">
        <v>-63027.18</v>
      </c>
      <c r="E13641" t="s">
        <v>590</v>
      </c>
    </row>
    <row r="13642" spans="1:5" hidden="1" x14ac:dyDescent="0.3">
      <c r="A13642" t="s">
        <v>557</v>
      </c>
      <c r="B13642" t="s">
        <v>759</v>
      </c>
      <c r="C13642" t="s">
        <v>44</v>
      </c>
      <c r="D13642" s="230">
        <v>-0.14000000000000001</v>
      </c>
      <c r="E13642" t="s">
        <v>590</v>
      </c>
    </row>
    <row r="13643" spans="1:5" hidden="1" x14ac:dyDescent="0.3">
      <c r="A13643" t="s">
        <v>557</v>
      </c>
      <c r="B13643" t="s">
        <v>759</v>
      </c>
      <c r="C13643" t="s">
        <v>348</v>
      </c>
      <c r="D13643" s="230">
        <v>0</v>
      </c>
      <c r="E13643" t="s">
        <v>590</v>
      </c>
    </row>
    <row r="13644" spans="1:5" hidden="1" x14ac:dyDescent="0.3">
      <c r="A13644" t="s">
        <v>557</v>
      </c>
      <c r="B13644" t="s">
        <v>759</v>
      </c>
      <c r="C13644" t="s">
        <v>707</v>
      </c>
      <c r="D13644" s="230">
        <v>0</v>
      </c>
      <c r="E13644" t="s">
        <v>590</v>
      </c>
    </row>
    <row r="13645" spans="1:5" hidden="1" x14ac:dyDescent="0.3">
      <c r="A13645" t="s">
        <v>557</v>
      </c>
      <c r="B13645" t="s">
        <v>759</v>
      </c>
      <c r="C13645" t="s">
        <v>350</v>
      </c>
      <c r="D13645" s="230">
        <v>0</v>
      </c>
      <c r="E13645" t="s">
        <v>590</v>
      </c>
    </row>
    <row r="13646" spans="1:5" hidden="1" x14ac:dyDescent="0.3">
      <c r="A13646" t="s">
        <v>557</v>
      </c>
      <c r="B13646" t="s">
        <v>759</v>
      </c>
      <c r="C13646" t="s">
        <v>351</v>
      </c>
      <c r="D13646" s="230">
        <v>0</v>
      </c>
      <c r="E13646" t="s">
        <v>590</v>
      </c>
    </row>
    <row r="13647" spans="1:5" hidden="1" x14ac:dyDescent="0.3">
      <c r="A13647" t="s">
        <v>557</v>
      </c>
      <c r="B13647" t="s">
        <v>759</v>
      </c>
      <c r="C13647" t="s">
        <v>352</v>
      </c>
      <c r="D13647" s="230">
        <v>0</v>
      </c>
      <c r="E13647" t="s">
        <v>590</v>
      </c>
    </row>
    <row r="13648" spans="1:5" hidden="1" x14ac:dyDescent="0.3">
      <c r="A13648" t="s">
        <v>557</v>
      </c>
      <c r="B13648" t="s">
        <v>759</v>
      </c>
      <c r="C13648" t="s">
        <v>353</v>
      </c>
      <c r="D13648" s="230">
        <v>0</v>
      </c>
      <c r="E13648" t="s">
        <v>590</v>
      </c>
    </row>
    <row r="13649" spans="1:5" hidden="1" x14ac:dyDescent="0.3">
      <c r="A13649" t="s">
        <v>557</v>
      </c>
      <c r="B13649" t="s">
        <v>759</v>
      </c>
      <c r="C13649" t="s">
        <v>354</v>
      </c>
      <c r="D13649" s="230">
        <v>0</v>
      </c>
      <c r="E13649" t="s">
        <v>590</v>
      </c>
    </row>
    <row r="13650" spans="1:5" hidden="1" x14ac:dyDescent="0.3">
      <c r="A13650" t="s">
        <v>557</v>
      </c>
      <c r="B13650" t="s">
        <v>759</v>
      </c>
      <c r="C13650" t="s">
        <v>355</v>
      </c>
      <c r="D13650" s="230">
        <v>0</v>
      </c>
      <c r="E13650" t="s">
        <v>590</v>
      </c>
    </row>
    <row r="13651" spans="1:5" hidden="1" x14ac:dyDescent="0.3">
      <c r="A13651" t="s">
        <v>557</v>
      </c>
      <c r="B13651" t="s">
        <v>759</v>
      </c>
      <c r="C13651" t="s">
        <v>356</v>
      </c>
      <c r="D13651" s="230">
        <v>0</v>
      </c>
      <c r="E13651" t="s">
        <v>590</v>
      </c>
    </row>
    <row r="13652" spans="1:5" hidden="1" x14ac:dyDescent="0.3">
      <c r="A13652" t="s">
        <v>557</v>
      </c>
      <c r="B13652" t="s">
        <v>759</v>
      </c>
      <c r="C13652" t="s">
        <v>357</v>
      </c>
      <c r="D13652" s="230">
        <v>0</v>
      </c>
      <c r="E13652" t="s">
        <v>590</v>
      </c>
    </row>
    <row r="13653" spans="1:5" hidden="1" x14ac:dyDescent="0.3">
      <c r="A13653" t="s">
        <v>557</v>
      </c>
      <c r="B13653" t="s">
        <v>759</v>
      </c>
      <c r="C13653" t="s">
        <v>358</v>
      </c>
      <c r="D13653" s="230">
        <v>0</v>
      </c>
      <c r="E13653" t="s">
        <v>590</v>
      </c>
    </row>
    <row r="13654" spans="1:5" hidden="1" x14ac:dyDescent="0.3">
      <c r="A13654" t="s">
        <v>557</v>
      </c>
      <c r="B13654" t="s">
        <v>759</v>
      </c>
      <c r="C13654" t="s">
        <v>359</v>
      </c>
      <c r="D13654" s="230">
        <v>0</v>
      </c>
      <c r="E13654" t="s">
        <v>590</v>
      </c>
    </row>
    <row r="13655" spans="1:5" hidden="1" x14ac:dyDescent="0.3">
      <c r="A13655" t="s">
        <v>557</v>
      </c>
      <c r="B13655" t="s">
        <v>759</v>
      </c>
      <c r="C13655" t="s">
        <v>360</v>
      </c>
      <c r="D13655" s="230">
        <v>0</v>
      </c>
      <c r="E13655" t="s">
        <v>590</v>
      </c>
    </row>
    <row r="13656" spans="1:5" hidden="1" x14ac:dyDescent="0.3">
      <c r="A13656" t="s">
        <v>557</v>
      </c>
      <c r="B13656" t="s">
        <v>759</v>
      </c>
      <c r="C13656" t="s">
        <v>361</v>
      </c>
      <c r="D13656" s="230">
        <v>0</v>
      </c>
      <c r="E13656" t="s">
        <v>590</v>
      </c>
    </row>
    <row r="13657" spans="1:5" hidden="1" x14ac:dyDescent="0.3">
      <c r="A13657" t="s">
        <v>557</v>
      </c>
      <c r="B13657" t="s">
        <v>759</v>
      </c>
      <c r="C13657" t="s">
        <v>362</v>
      </c>
      <c r="D13657" s="230">
        <v>0</v>
      </c>
      <c r="E13657" t="s">
        <v>590</v>
      </c>
    </row>
    <row r="13658" spans="1:5" hidden="1" x14ac:dyDescent="0.3">
      <c r="A13658" t="s">
        <v>557</v>
      </c>
      <c r="B13658" t="s">
        <v>759</v>
      </c>
      <c r="C13658" t="s">
        <v>363</v>
      </c>
      <c r="D13658" s="230">
        <v>0</v>
      </c>
      <c r="E13658" t="s">
        <v>590</v>
      </c>
    </row>
    <row r="13659" spans="1:5" hidden="1" x14ac:dyDescent="0.3">
      <c r="A13659" t="s">
        <v>557</v>
      </c>
      <c r="B13659" t="s">
        <v>759</v>
      </c>
      <c r="C13659" t="s">
        <v>364</v>
      </c>
      <c r="D13659" s="230">
        <v>0</v>
      </c>
      <c r="E13659" t="s">
        <v>590</v>
      </c>
    </row>
    <row r="13660" spans="1:5" hidden="1" x14ac:dyDescent="0.3">
      <c r="A13660" t="s">
        <v>557</v>
      </c>
      <c r="B13660" t="s">
        <v>759</v>
      </c>
      <c r="C13660" t="s">
        <v>365</v>
      </c>
      <c r="D13660" s="230">
        <v>-1833.34</v>
      </c>
      <c r="E13660" t="s">
        <v>590</v>
      </c>
    </row>
    <row r="13661" spans="1:5" hidden="1" x14ac:dyDescent="0.3">
      <c r="A13661" t="s">
        <v>557</v>
      </c>
      <c r="B13661" t="s">
        <v>759</v>
      </c>
      <c r="C13661" t="s">
        <v>366</v>
      </c>
      <c r="D13661" s="230">
        <v>0</v>
      </c>
      <c r="E13661" t="s">
        <v>590</v>
      </c>
    </row>
    <row r="13662" spans="1:5" hidden="1" x14ac:dyDescent="0.3">
      <c r="A13662" t="s">
        <v>557</v>
      </c>
      <c r="B13662" t="s">
        <v>759</v>
      </c>
      <c r="C13662" t="s">
        <v>367</v>
      </c>
      <c r="D13662" s="230">
        <v>0</v>
      </c>
      <c r="E13662" t="s">
        <v>590</v>
      </c>
    </row>
    <row r="13663" spans="1:5" hidden="1" x14ac:dyDescent="0.3">
      <c r="A13663" t="s">
        <v>557</v>
      </c>
      <c r="B13663" t="s">
        <v>759</v>
      </c>
      <c r="C13663" t="s">
        <v>368</v>
      </c>
      <c r="D13663" s="230">
        <v>0</v>
      </c>
      <c r="E13663" t="s">
        <v>590</v>
      </c>
    </row>
    <row r="13664" spans="1:5" hidden="1" x14ac:dyDescent="0.3">
      <c r="A13664" t="s">
        <v>557</v>
      </c>
      <c r="B13664" t="s">
        <v>759</v>
      </c>
      <c r="C13664" t="s">
        <v>369</v>
      </c>
      <c r="D13664" s="230">
        <v>-1833.34</v>
      </c>
      <c r="E13664" t="s">
        <v>590</v>
      </c>
    </row>
    <row r="13665" spans="1:5" hidden="1" x14ac:dyDescent="0.3">
      <c r="A13665" t="s">
        <v>557</v>
      </c>
      <c r="B13665" t="s">
        <v>759</v>
      </c>
      <c r="C13665" t="s">
        <v>370</v>
      </c>
      <c r="D13665" s="230">
        <v>0</v>
      </c>
      <c r="E13665" t="s">
        <v>590</v>
      </c>
    </row>
    <row r="13666" spans="1:5" hidden="1" x14ac:dyDescent="0.3">
      <c r="A13666" t="s">
        <v>557</v>
      </c>
      <c r="B13666" t="s">
        <v>759</v>
      </c>
      <c r="C13666" t="s">
        <v>371</v>
      </c>
      <c r="D13666" s="230">
        <v>0</v>
      </c>
      <c r="E13666" t="s">
        <v>590</v>
      </c>
    </row>
    <row r="13667" spans="1:5" hidden="1" x14ac:dyDescent="0.3">
      <c r="A13667" t="s">
        <v>557</v>
      </c>
      <c r="B13667" t="s">
        <v>759</v>
      </c>
      <c r="C13667" t="s">
        <v>372</v>
      </c>
      <c r="D13667" s="230">
        <v>0</v>
      </c>
      <c r="E13667" t="s">
        <v>590</v>
      </c>
    </row>
    <row r="13668" spans="1:5" hidden="1" x14ac:dyDescent="0.3">
      <c r="A13668" t="s">
        <v>557</v>
      </c>
      <c r="B13668" t="s">
        <v>759</v>
      </c>
      <c r="C13668" t="s">
        <v>373</v>
      </c>
      <c r="D13668" s="230">
        <v>-1833.34</v>
      </c>
      <c r="E13668" t="s">
        <v>590</v>
      </c>
    </row>
    <row r="13669" spans="1:5" hidden="1" x14ac:dyDescent="0.3">
      <c r="A13669" t="s">
        <v>557</v>
      </c>
      <c r="B13669" t="s">
        <v>759</v>
      </c>
      <c r="C13669" t="s">
        <v>374</v>
      </c>
      <c r="D13669" s="230">
        <v>-64860.52</v>
      </c>
      <c r="E13669" t="s">
        <v>590</v>
      </c>
    </row>
    <row r="13670" spans="1:5" hidden="1" x14ac:dyDescent="0.3">
      <c r="A13670" t="s">
        <v>557</v>
      </c>
      <c r="B13670" t="s">
        <v>756</v>
      </c>
      <c r="C13670" t="s">
        <v>44</v>
      </c>
      <c r="D13670" s="230">
        <v>-0.03</v>
      </c>
      <c r="E13670" t="s">
        <v>561</v>
      </c>
    </row>
    <row r="13671" spans="1:5" hidden="1" x14ac:dyDescent="0.3">
      <c r="A13671" t="s">
        <v>557</v>
      </c>
      <c r="B13671" t="s">
        <v>756</v>
      </c>
      <c r="C13671" t="s">
        <v>44</v>
      </c>
      <c r="D13671" s="230">
        <v>-0.32</v>
      </c>
      <c r="E13671" t="s">
        <v>561</v>
      </c>
    </row>
    <row r="13672" spans="1:5" hidden="1" x14ac:dyDescent="0.3">
      <c r="A13672" t="s">
        <v>557</v>
      </c>
      <c r="B13672" t="s">
        <v>756</v>
      </c>
      <c r="C13672" t="s">
        <v>44</v>
      </c>
      <c r="D13672" s="230">
        <v>-0.01</v>
      </c>
      <c r="E13672" t="s">
        <v>561</v>
      </c>
    </row>
    <row r="13673" spans="1:5" hidden="1" x14ac:dyDescent="0.3">
      <c r="A13673" t="s">
        <v>557</v>
      </c>
      <c r="B13673" t="s">
        <v>756</v>
      </c>
      <c r="C13673" t="s">
        <v>44</v>
      </c>
      <c r="D13673" s="230">
        <v>-0.01</v>
      </c>
      <c r="E13673" t="s">
        <v>561</v>
      </c>
    </row>
    <row r="13674" spans="1:5" hidden="1" x14ac:dyDescent="0.3">
      <c r="A13674" t="s">
        <v>557</v>
      </c>
      <c r="B13674" t="s">
        <v>756</v>
      </c>
      <c r="C13674" t="s">
        <v>44</v>
      </c>
      <c r="D13674" s="230">
        <v>-0.05</v>
      </c>
      <c r="E13674" t="s">
        <v>561</v>
      </c>
    </row>
    <row r="13675" spans="1:5" hidden="1" x14ac:dyDescent="0.3">
      <c r="A13675" t="s">
        <v>557</v>
      </c>
      <c r="B13675" t="s">
        <v>756</v>
      </c>
      <c r="C13675" t="s">
        <v>44</v>
      </c>
      <c r="D13675" s="230">
        <v>-0.05</v>
      </c>
      <c r="E13675" t="s">
        <v>561</v>
      </c>
    </row>
    <row r="13676" spans="1:5" hidden="1" x14ac:dyDescent="0.3">
      <c r="A13676" t="s">
        <v>557</v>
      </c>
      <c r="B13676" t="s">
        <v>756</v>
      </c>
      <c r="C13676" t="s">
        <v>44</v>
      </c>
      <c r="D13676" s="230">
        <v>-0.13</v>
      </c>
      <c r="E13676" t="s">
        <v>561</v>
      </c>
    </row>
    <row r="13677" spans="1:5" hidden="1" x14ac:dyDescent="0.3">
      <c r="A13677" t="s">
        <v>557</v>
      </c>
      <c r="B13677" t="s">
        <v>756</v>
      </c>
      <c r="C13677" t="s">
        <v>44</v>
      </c>
      <c r="D13677" s="230">
        <v>-0.1</v>
      </c>
      <c r="E13677" t="s">
        <v>561</v>
      </c>
    </row>
    <row r="13678" spans="1:5" hidden="1" x14ac:dyDescent="0.3">
      <c r="A13678" t="s">
        <v>557</v>
      </c>
      <c r="B13678" t="s">
        <v>756</v>
      </c>
      <c r="C13678" t="s">
        <v>44</v>
      </c>
      <c r="D13678" s="230">
        <v>-0.01</v>
      </c>
      <c r="E13678" t="s">
        <v>561</v>
      </c>
    </row>
    <row r="13679" spans="1:5" hidden="1" x14ac:dyDescent="0.3">
      <c r="A13679" t="s">
        <v>557</v>
      </c>
      <c r="B13679" t="s">
        <v>756</v>
      </c>
      <c r="C13679" t="s">
        <v>44</v>
      </c>
      <c r="D13679" s="230">
        <v>-0.01</v>
      </c>
      <c r="E13679" t="s">
        <v>561</v>
      </c>
    </row>
    <row r="13680" spans="1:5" hidden="1" x14ac:dyDescent="0.3">
      <c r="A13680" t="s">
        <v>557</v>
      </c>
      <c r="B13680" t="s">
        <v>756</v>
      </c>
      <c r="C13680" t="s">
        <v>296</v>
      </c>
      <c r="D13680" s="230">
        <v>-7144.82</v>
      </c>
      <c r="E13680" t="s">
        <v>561</v>
      </c>
    </row>
    <row r="13681" spans="1:5" hidden="1" x14ac:dyDescent="0.3">
      <c r="A13681" t="s">
        <v>557</v>
      </c>
      <c r="B13681" t="s">
        <v>756</v>
      </c>
      <c r="C13681" t="s">
        <v>307</v>
      </c>
      <c r="D13681" s="230">
        <v>-2021.18</v>
      </c>
      <c r="E13681" t="s">
        <v>561</v>
      </c>
    </row>
    <row r="13682" spans="1:5" hidden="1" x14ac:dyDescent="0.3">
      <c r="A13682" t="s">
        <v>557</v>
      </c>
      <c r="B13682" t="s">
        <v>756</v>
      </c>
      <c r="C13682" t="s">
        <v>44</v>
      </c>
      <c r="D13682" s="230">
        <v>-0.02</v>
      </c>
      <c r="E13682" t="s">
        <v>561</v>
      </c>
    </row>
    <row r="13683" spans="1:5" hidden="1" x14ac:dyDescent="0.3">
      <c r="A13683" t="s">
        <v>557</v>
      </c>
      <c r="B13683" t="s">
        <v>756</v>
      </c>
      <c r="C13683" t="s">
        <v>44</v>
      </c>
      <c r="D13683" s="230">
        <v>-0.01</v>
      </c>
      <c r="E13683" t="s">
        <v>561</v>
      </c>
    </row>
    <row r="13684" spans="1:5" hidden="1" x14ac:dyDescent="0.3">
      <c r="A13684" t="s">
        <v>557</v>
      </c>
      <c r="B13684" t="s">
        <v>756</v>
      </c>
      <c r="C13684" t="s">
        <v>44</v>
      </c>
      <c r="D13684" s="230">
        <v>-0.01</v>
      </c>
      <c r="E13684" t="s">
        <v>561</v>
      </c>
    </row>
    <row r="13685" spans="1:5" hidden="1" x14ac:dyDescent="0.3">
      <c r="A13685" t="s">
        <v>557</v>
      </c>
      <c r="B13685" t="s">
        <v>756</v>
      </c>
      <c r="C13685" t="s">
        <v>44</v>
      </c>
      <c r="D13685" s="230">
        <v>-0.05</v>
      </c>
      <c r="E13685" t="s">
        <v>561</v>
      </c>
    </row>
    <row r="13686" spans="1:5" hidden="1" x14ac:dyDescent="0.3">
      <c r="A13686" t="s">
        <v>557</v>
      </c>
      <c r="B13686" t="s">
        <v>756</v>
      </c>
      <c r="C13686" t="s">
        <v>328</v>
      </c>
      <c r="D13686" s="230">
        <v>-257934.71</v>
      </c>
      <c r="E13686" t="s">
        <v>561</v>
      </c>
    </row>
    <row r="13687" spans="1:5" hidden="1" x14ac:dyDescent="0.3">
      <c r="A13687" t="s">
        <v>557</v>
      </c>
      <c r="B13687" t="s">
        <v>756</v>
      </c>
      <c r="C13687" t="s">
        <v>44</v>
      </c>
      <c r="D13687" s="230">
        <v>-0.64</v>
      </c>
      <c r="E13687" t="s">
        <v>561</v>
      </c>
    </row>
    <row r="13688" spans="1:5" hidden="1" x14ac:dyDescent="0.3">
      <c r="A13688" t="s">
        <v>557</v>
      </c>
      <c r="B13688" t="s">
        <v>756</v>
      </c>
      <c r="C13688" t="s">
        <v>329</v>
      </c>
      <c r="D13688" s="230">
        <v>-53892.31</v>
      </c>
      <c r="E13688" t="s">
        <v>561</v>
      </c>
    </row>
    <row r="13689" spans="1:5" hidden="1" x14ac:dyDescent="0.3">
      <c r="A13689" t="s">
        <v>557</v>
      </c>
      <c r="B13689" t="s">
        <v>756</v>
      </c>
      <c r="C13689" t="s">
        <v>44</v>
      </c>
      <c r="D13689" s="230">
        <v>-0.13</v>
      </c>
      <c r="E13689" t="s">
        <v>561</v>
      </c>
    </row>
    <row r="13690" spans="1:5" hidden="1" x14ac:dyDescent="0.3">
      <c r="A13690" t="s">
        <v>557</v>
      </c>
      <c r="B13690" t="s">
        <v>756</v>
      </c>
      <c r="C13690" t="s">
        <v>332</v>
      </c>
      <c r="D13690" s="230">
        <v>-53892.31</v>
      </c>
      <c r="E13690" t="s">
        <v>561</v>
      </c>
    </row>
    <row r="13691" spans="1:5" hidden="1" x14ac:dyDescent="0.3">
      <c r="A13691" t="s">
        <v>557</v>
      </c>
      <c r="B13691" t="s">
        <v>756</v>
      </c>
      <c r="C13691" t="s">
        <v>338</v>
      </c>
      <c r="D13691" s="230">
        <v>-54973.440000000002</v>
      </c>
      <c r="E13691" t="s">
        <v>561</v>
      </c>
    </row>
    <row r="13692" spans="1:5" hidden="1" x14ac:dyDescent="0.3">
      <c r="A13692" t="s">
        <v>557</v>
      </c>
      <c r="B13692" t="s">
        <v>756</v>
      </c>
      <c r="C13692" t="s">
        <v>347</v>
      </c>
      <c r="D13692" s="230">
        <v>-68731.09</v>
      </c>
      <c r="E13692" t="s">
        <v>561</v>
      </c>
    </row>
    <row r="13693" spans="1:5" hidden="1" x14ac:dyDescent="0.3">
      <c r="A13693" t="s">
        <v>557</v>
      </c>
      <c r="B13693" t="s">
        <v>756</v>
      </c>
      <c r="C13693" t="s">
        <v>374</v>
      </c>
      <c r="D13693" s="230">
        <v>-75804.429999999993</v>
      </c>
      <c r="E13693" t="s">
        <v>561</v>
      </c>
    </row>
    <row r="13694" spans="1:5" hidden="1" x14ac:dyDescent="0.3">
      <c r="A13694" t="s">
        <v>557</v>
      </c>
      <c r="B13694" t="s">
        <v>757</v>
      </c>
      <c r="C13694" t="s">
        <v>44</v>
      </c>
      <c r="D13694" s="230">
        <v>-0.03</v>
      </c>
      <c r="E13694" t="s">
        <v>586</v>
      </c>
    </row>
    <row r="13695" spans="1:5" hidden="1" x14ac:dyDescent="0.3">
      <c r="A13695" t="s">
        <v>557</v>
      </c>
      <c r="B13695" t="s">
        <v>757</v>
      </c>
      <c r="C13695" t="s">
        <v>44</v>
      </c>
      <c r="D13695" s="230">
        <v>-0.28000000000000003</v>
      </c>
      <c r="E13695" t="s">
        <v>586</v>
      </c>
    </row>
    <row r="13696" spans="1:5" hidden="1" x14ac:dyDescent="0.3">
      <c r="A13696" t="s">
        <v>557</v>
      </c>
      <c r="B13696" t="s">
        <v>757</v>
      </c>
      <c r="C13696" t="s">
        <v>44</v>
      </c>
      <c r="D13696" s="230">
        <v>-0.02</v>
      </c>
      <c r="E13696" t="s">
        <v>586</v>
      </c>
    </row>
    <row r="13697" spans="1:5" hidden="1" x14ac:dyDescent="0.3">
      <c r="A13697" t="s">
        <v>557</v>
      </c>
      <c r="B13697" t="s">
        <v>757</v>
      </c>
      <c r="C13697" t="s">
        <v>44</v>
      </c>
      <c r="D13697" s="230">
        <v>-0.01</v>
      </c>
      <c r="E13697" t="s">
        <v>586</v>
      </c>
    </row>
    <row r="13698" spans="1:5" hidden="1" x14ac:dyDescent="0.3">
      <c r="A13698" t="s">
        <v>557</v>
      </c>
      <c r="B13698" t="s">
        <v>757</v>
      </c>
      <c r="C13698" t="s">
        <v>44</v>
      </c>
      <c r="D13698" s="230">
        <v>-0.13</v>
      </c>
      <c r="E13698" t="s">
        <v>586</v>
      </c>
    </row>
    <row r="13699" spans="1:5" hidden="1" x14ac:dyDescent="0.3">
      <c r="A13699" t="s">
        <v>557</v>
      </c>
      <c r="B13699" t="s">
        <v>757</v>
      </c>
      <c r="C13699" t="s">
        <v>44</v>
      </c>
      <c r="D13699" s="230">
        <v>-0.1</v>
      </c>
      <c r="E13699" t="s">
        <v>586</v>
      </c>
    </row>
    <row r="13700" spans="1:5" hidden="1" x14ac:dyDescent="0.3">
      <c r="A13700" t="s">
        <v>557</v>
      </c>
      <c r="B13700" t="s">
        <v>757</v>
      </c>
      <c r="C13700" t="s">
        <v>44</v>
      </c>
      <c r="D13700" s="230">
        <v>-0.01</v>
      </c>
      <c r="E13700" t="s">
        <v>586</v>
      </c>
    </row>
    <row r="13701" spans="1:5" hidden="1" x14ac:dyDescent="0.3">
      <c r="A13701" t="s">
        <v>557</v>
      </c>
      <c r="B13701" t="s">
        <v>757</v>
      </c>
      <c r="C13701" t="s">
        <v>44</v>
      </c>
      <c r="D13701" s="230">
        <v>-0.01</v>
      </c>
      <c r="E13701" t="s">
        <v>586</v>
      </c>
    </row>
    <row r="13702" spans="1:5" hidden="1" x14ac:dyDescent="0.3">
      <c r="A13702" t="s">
        <v>557</v>
      </c>
      <c r="B13702" t="s">
        <v>757</v>
      </c>
      <c r="C13702" t="s">
        <v>296</v>
      </c>
      <c r="D13702" s="230">
        <v>-9925.1200000000008</v>
      </c>
      <c r="E13702" t="s">
        <v>586</v>
      </c>
    </row>
    <row r="13703" spans="1:5" hidden="1" x14ac:dyDescent="0.3">
      <c r="A13703" t="s">
        <v>557</v>
      </c>
      <c r="B13703" t="s">
        <v>757</v>
      </c>
      <c r="C13703" t="s">
        <v>307</v>
      </c>
      <c r="D13703" s="230">
        <v>-2105.44</v>
      </c>
      <c r="E13703" t="s">
        <v>586</v>
      </c>
    </row>
    <row r="13704" spans="1:5" hidden="1" x14ac:dyDescent="0.3">
      <c r="A13704" t="s">
        <v>557</v>
      </c>
      <c r="B13704" t="s">
        <v>757</v>
      </c>
      <c r="C13704" t="s">
        <v>44</v>
      </c>
      <c r="D13704" s="230">
        <v>-0.02</v>
      </c>
      <c r="E13704" t="s">
        <v>586</v>
      </c>
    </row>
    <row r="13705" spans="1:5" hidden="1" x14ac:dyDescent="0.3">
      <c r="A13705" t="s">
        <v>557</v>
      </c>
      <c r="B13705" t="s">
        <v>757</v>
      </c>
      <c r="C13705" t="s">
        <v>44</v>
      </c>
      <c r="D13705" s="230">
        <v>-0.01</v>
      </c>
      <c r="E13705" t="s">
        <v>586</v>
      </c>
    </row>
    <row r="13706" spans="1:5" hidden="1" x14ac:dyDescent="0.3">
      <c r="A13706" t="s">
        <v>557</v>
      </c>
      <c r="B13706" t="s">
        <v>757</v>
      </c>
      <c r="C13706" t="s">
        <v>44</v>
      </c>
      <c r="D13706" s="230">
        <v>-0.01</v>
      </c>
      <c r="E13706" t="s">
        <v>586</v>
      </c>
    </row>
    <row r="13707" spans="1:5" hidden="1" x14ac:dyDescent="0.3">
      <c r="A13707" t="s">
        <v>557</v>
      </c>
      <c r="B13707" t="s">
        <v>757</v>
      </c>
      <c r="C13707" t="s">
        <v>44</v>
      </c>
      <c r="D13707" s="230">
        <v>-0.05</v>
      </c>
      <c r="E13707" t="s">
        <v>586</v>
      </c>
    </row>
    <row r="13708" spans="1:5" hidden="1" x14ac:dyDescent="0.3">
      <c r="A13708" t="s">
        <v>557</v>
      </c>
      <c r="B13708" t="s">
        <v>757</v>
      </c>
      <c r="C13708" t="s">
        <v>328</v>
      </c>
      <c r="D13708" s="230">
        <v>-252935.66</v>
      </c>
      <c r="E13708" t="s">
        <v>586</v>
      </c>
    </row>
    <row r="13709" spans="1:5" hidden="1" x14ac:dyDescent="0.3">
      <c r="A13709" t="s">
        <v>557</v>
      </c>
      <c r="B13709" t="s">
        <v>757</v>
      </c>
      <c r="C13709" t="s">
        <v>44</v>
      </c>
      <c r="D13709" s="230">
        <v>-0.6</v>
      </c>
      <c r="E13709" t="s">
        <v>586</v>
      </c>
    </row>
    <row r="13710" spans="1:5" hidden="1" x14ac:dyDescent="0.3">
      <c r="A13710" t="s">
        <v>557</v>
      </c>
      <c r="B13710" t="s">
        <v>757</v>
      </c>
      <c r="C13710" t="s">
        <v>329</v>
      </c>
      <c r="D13710" s="230">
        <v>-28475.98</v>
      </c>
      <c r="E13710" t="s">
        <v>586</v>
      </c>
    </row>
    <row r="13711" spans="1:5" hidden="1" x14ac:dyDescent="0.3">
      <c r="A13711" t="s">
        <v>557</v>
      </c>
      <c r="B13711" t="s">
        <v>757</v>
      </c>
      <c r="C13711" t="s">
        <v>44</v>
      </c>
      <c r="D13711" s="230">
        <v>-7.0000000000000007E-2</v>
      </c>
      <c r="E13711" t="s">
        <v>586</v>
      </c>
    </row>
    <row r="13712" spans="1:5" hidden="1" x14ac:dyDescent="0.3">
      <c r="A13712" t="s">
        <v>557</v>
      </c>
      <c r="B13712" t="s">
        <v>757</v>
      </c>
      <c r="C13712" t="s">
        <v>332</v>
      </c>
      <c r="D13712" s="230">
        <v>-28475.98</v>
      </c>
      <c r="E13712" t="s">
        <v>586</v>
      </c>
    </row>
    <row r="13713" spans="1:5" hidden="1" x14ac:dyDescent="0.3">
      <c r="A13713" t="s">
        <v>557</v>
      </c>
      <c r="B13713" t="s">
        <v>757</v>
      </c>
      <c r="C13713" t="s">
        <v>338</v>
      </c>
      <c r="D13713" s="230">
        <v>-29426.43</v>
      </c>
      <c r="E13713" t="s">
        <v>586</v>
      </c>
    </row>
    <row r="13714" spans="1:5" hidden="1" x14ac:dyDescent="0.3">
      <c r="A13714" t="s">
        <v>557</v>
      </c>
      <c r="B13714" t="s">
        <v>757</v>
      </c>
      <c r="C13714" t="s">
        <v>347</v>
      </c>
      <c r="D13714" s="230">
        <v>-42283.33</v>
      </c>
      <c r="E13714" t="s">
        <v>586</v>
      </c>
    </row>
    <row r="13715" spans="1:5" hidden="1" x14ac:dyDescent="0.3">
      <c r="A13715" t="s">
        <v>557</v>
      </c>
      <c r="B13715" t="s">
        <v>757</v>
      </c>
      <c r="C13715" t="s">
        <v>44</v>
      </c>
      <c r="D13715" s="230">
        <v>-0.1</v>
      </c>
      <c r="E13715" t="s">
        <v>586</v>
      </c>
    </row>
    <row r="13716" spans="1:5" hidden="1" x14ac:dyDescent="0.3">
      <c r="A13716" t="s">
        <v>557</v>
      </c>
      <c r="B13716" t="s">
        <v>757</v>
      </c>
      <c r="C13716" t="s">
        <v>374</v>
      </c>
      <c r="D13716" s="230">
        <v>-44116.67</v>
      </c>
      <c r="E13716" t="s">
        <v>586</v>
      </c>
    </row>
    <row r="13717" spans="1:5" hidden="1" x14ac:dyDescent="0.3">
      <c r="A13717" t="s">
        <v>557</v>
      </c>
      <c r="B13717" t="s">
        <v>758</v>
      </c>
      <c r="C13717" t="s">
        <v>44</v>
      </c>
      <c r="D13717" s="230">
        <v>-0.03</v>
      </c>
      <c r="E13717" t="s">
        <v>588</v>
      </c>
    </row>
    <row r="13718" spans="1:5" hidden="1" x14ac:dyDescent="0.3">
      <c r="A13718" t="s">
        <v>557</v>
      </c>
      <c r="B13718" t="s">
        <v>758</v>
      </c>
      <c r="C13718" t="s">
        <v>44</v>
      </c>
      <c r="D13718" s="230">
        <v>-0.28999999999999998</v>
      </c>
      <c r="E13718" t="s">
        <v>588</v>
      </c>
    </row>
    <row r="13719" spans="1:5" hidden="1" x14ac:dyDescent="0.3">
      <c r="A13719" t="s">
        <v>557</v>
      </c>
      <c r="B13719" t="s">
        <v>758</v>
      </c>
      <c r="C13719" t="s">
        <v>44</v>
      </c>
      <c r="D13719" s="230">
        <v>-0.01</v>
      </c>
      <c r="E13719" t="s">
        <v>588</v>
      </c>
    </row>
    <row r="13720" spans="1:5" hidden="1" x14ac:dyDescent="0.3">
      <c r="A13720" t="s">
        <v>557</v>
      </c>
      <c r="B13720" t="s">
        <v>758</v>
      </c>
      <c r="C13720" t="s">
        <v>44</v>
      </c>
      <c r="D13720" s="230">
        <v>0</v>
      </c>
      <c r="E13720" t="s">
        <v>588</v>
      </c>
    </row>
    <row r="13721" spans="1:5" hidden="1" x14ac:dyDescent="0.3">
      <c r="A13721" t="s">
        <v>557</v>
      </c>
      <c r="B13721" t="s">
        <v>758</v>
      </c>
      <c r="C13721" t="s">
        <v>44</v>
      </c>
      <c r="D13721" s="230">
        <v>-0.06</v>
      </c>
      <c r="E13721" t="s">
        <v>588</v>
      </c>
    </row>
    <row r="13722" spans="1:5" hidden="1" x14ac:dyDescent="0.3">
      <c r="A13722" t="s">
        <v>557</v>
      </c>
      <c r="B13722" t="s">
        <v>758</v>
      </c>
      <c r="C13722" t="s">
        <v>44</v>
      </c>
      <c r="D13722" s="230">
        <v>-0.06</v>
      </c>
      <c r="E13722" t="s">
        <v>588</v>
      </c>
    </row>
    <row r="13723" spans="1:5" hidden="1" x14ac:dyDescent="0.3">
      <c r="A13723" t="s">
        <v>557</v>
      </c>
      <c r="B13723" t="s">
        <v>758</v>
      </c>
      <c r="C13723" t="s">
        <v>44</v>
      </c>
      <c r="D13723" s="230">
        <v>-0.1</v>
      </c>
      <c r="E13723" t="s">
        <v>588</v>
      </c>
    </row>
    <row r="13724" spans="1:5" hidden="1" x14ac:dyDescent="0.3">
      <c r="A13724" t="s">
        <v>557</v>
      </c>
      <c r="B13724" t="s">
        <v>758</v>
      </c>
      <c r="C13724" t="s">
        <v>44</v>
      </c>
      <c r="D13724" s="230">
        <v>-7.0000000000000007E-2</v>
      </c>
      <c r="E13724" t="s">
        <v>588</v>
      </c>
    </row>
    <row r="13725" spans="1:5" hidden="1" x14ac:dyDescent="0.3">
      <c r="A13725" t="s">
        <v>557</v>
      </c>
      <c r="B13725" t="s">
        <v>758</v>
      </c>
      <c r="C13725" t="s">
        <v>44</v>
      </c>
      <c r="D13725" s="230">
        <v>-0.01</v>
      </c>
      <c r="E13725" t="s">
        <v>588</v>
      </c>
    </row>
    <row r="13726" spans="1:5" hidden="1" x14ac:dyDescent="0.3">
      <c r="A13726" t="s">
        <v>557</v>
      </c>
      <c r="B13726" t="s">
        <v>758</v>
      </c>
      <c r="C13726" t="s">
        <v>44</v>
      </c>
      <c r="D13726" s="230">
        <v>-0.01</v>
      </c>
      <c r="E13726" t="s">
        <v>588</v>
      </c>
    </row>
    <row r="13727" spans="1:5" hidden="1" x14ac:dyDescent="0.3">
      <c r="A13727" t="s">
        <v>557</v>
      </c>
      <c r="B13727" t="s">
        <v>758</v>
      </c>
      <c r="C13727" t="s">
        <v>296</v>
      </c>
      <c r="D13727" s="230">
        <v>-7114.67</v>
      </c>
      <c r="E13727" t="s">
        <v>588</v>
      </c>
    </row>
    <row r="13728" spans="1:5" hidden="1" x14ac:dyDescent="0.3">
      <c r="A13728" t="s">
        <v>557</v>
      </c>
      <c r="B13728" t="s">
        <v>758</v>
      </c>
      <c r="C13728" t="s">
        <v>307</v>
      </c>
      <c r="D13728" s="230">
        <v>-2185.4899999999998</v>
      </c>
      <c r="E13728" t="s">
        <v>588</v>
      </c>
    </row>
    <row r="13729" spans="1:5" hidden="1" x14ac:dyDescent="0.3">
      <c r="A13729" t="s">
        <v>557</v>
      </c>
      <c r="B13729" t="s">
        <v>758</v>
      </c>
      <c r="C13729" t="s">
        <v>44</v>
      </c>
      <c r="D13729" s="230">
        <v>-0.01</v>
      </c>
      <c r="E13729" t="s">
        <v>588</v>
      </c>
    </row>
    <row r="13730" spans="1:5" hidden="1" x14ac:dyDescent="0.3">
      <c r="A13730" t="s">
        <v>557</v>
      </c>
      <c r="B13730" t="s">
        <v>758</v>
      </c>
      <c r="C13730" t="s">
        <v>44</v>
      </c>
      <c r="D13730" s="230">
        <v>-0.01</v>
      </c>
      <c r="E13730" t="s">
        <v>588</v>
      </c>
    </row>
    <row r="13731" spans="1:5" hidden="1" x14ac:dyDescent="0.3">
      <c r="A13731" t="s">
        <v>557</v>
      </c>
      <c r="B13731" t="s">
        <v>758</v>
      </c>
      <c r="C13731" t="s">
        <v>44</v>
      </c>
      <c r="D13731" s="230">
        <v>0</v>
      </c>
      <c r="E13731" t="s">
        <v>588</v>
      </c>
    </row>
    <row r="13732" spans="1:5" hidden="1" x14ac:dyDescent="0.3">
      <c r="A13732" t="s">
        <v>557</v>
      </c>
      <c r="B13732" t="s">
        <v>758</v>
      </c>
      <c r="C13732" t="s">
        <v>44</v>
      </c>
      <c r="D13732" s="230">
        <v>-0.05</v>
      </c>
      <c r="E13732" t="s">
        <v>588</v>
      </c>
    </row>
    <row r="13733" spans="1:5" hidden="1" x14ac:dyDescent="0.3">
      <c r="A13733" t="s">
        <v>557</v>
      </c>
      <c r="B13733" t="s">
        <v>758</v>
      </c>
      <c r="C13733" t="s">
        <v>328</v>
      </c>
      <c r="D13733" s="230">
        <v>-267261.96000000002</v>
      </c>
      <c r="E13733" t="s">
        <v>588</v>
      </c>
    </row>
    <row r="13734" spans="1:5" hidden="1" x14ac:dyDescent="0.3">
      <c r="A13734" t="s">
        <v>557</v>
      </c>
      <c r="B13734" t="s">
        <v>758</v>
      </c>
      <c r="C13734" t="s">
        <v>44</v>
      </c>
      <c r="D13734" s="230">
        <v>-0.47</v>
      </c>
      <c r="E13734" t="s">
        <v>588</v>
      </c>
    </row>
    <row r="13735" spans="1:5" hidden="1" x14ac:dyDescent="0.3">
      <c r="A13735" t="s">
        <v>557</v>
      </c>
      <c r="B13735" t="s">
        <v>758</v>
      </c>
      <c r="C13735" t="s">
        <v>329</v>
      </c>
      <c r="D13735" s="230">
        <v>34334.58</v>
      </c>
      <c r="E13735" t="s">
        <v>588</v>
      </c>
    </row>
    <row r="13736" spans="1:5" hidden="1" x14ac:dyDescent="0.3">
      <c r="A13736" t="s">
        <v>557</v>
      </c>
      <c r="B13736" t="s">
        <v>758</v>
      </c>
      <c r="C13736" t="s">
        <v>44</v>
      </c>
      <c r="D13736" s="230">
        <v>0.06</v>
      </c>
      <c r="E13736" t="s">
        <v>588</v>
      </c>
    </row>
    <row r="13737" spans="1:5" hidden="1" x14ac:dyDescent="0.3">
      <c r="A13737" t="s">
        <v>557</v>
      </c>
      <c r="B13737" t="s">
        <v>758</v>
      </c>
      <c r="C13737" t="s">
        <v>332</v>
      </c>
      <c r="D13737" s="230">
        <v>34334.58</v>
      </c>
      <c r="E13737" t="s">
        <v>588</v>
      </c>
    </row>
    <row r="13738" spans="1:5" hidden="1" x14ac:dyDescent="0.3">
      <c r="A13738" t="s">
        <v>557</v>
      </c>
      <c r="B13738" t="s">
        <v>758</v>
      </c>
      <c r="C13738" t="s">
        <v>338</v>
      </c>
      <c r="D13738" s="230">
        <v>34601.120000000003</v>
      </c>
      <c r="E13738" t="s">
        <v>588</v>
      </c>
    </row>
    <row r="13739" spans="1:5" hidden="1" x14ac:dyDescent="0.3">
      <c r="A13739" t="s">
        <v>557</v>
      </c>
      <c r="B13739" t="s">
        <v>758</v>
      </c>
      <c r="C13739" t="s">
        <v>347</v>
      </c>
      <c r="D13739" s="230">
        <v>17804.63</v>
      </c>
      <c r="E13739" t="s">
        <v>588</v>
      </c>
    </row>
    <row r="13740" spans="1:5" hidden="1" x14ac:dyDescent="0.3">
      <c r="A13740" t="s">
        <v>557</v>
      </c>
      <c r="B13740" t="s">
        <v>758</v>
      </c>
      <c r="C13740" t="s">
        <v>374</v>
      </c>
      <c r="D13740" s="230">
        <v>15478.31</v>
      </c>
      <c r="E13740" t="s">
        <v>588</v>
      </c>
    </row>
    <row r="13741" spans="1:5" hidden="1" x14ac:dyDescent="0.3">
      <c r="A13741" t="s">
        <v>557</v>
      </c>
      <c r="B13741" t="s">
        <v>759</v>
      </c>
      <c r="C13741" t="s">
        <v>44</v>
      </c>
      <c r="D13741" s="230">
        <v>-0.03</v>
      </c>
      <c r="E13741" t="s">
        <v>590</v>
      </c>
    </row>
    <row r="13742" spans="1:5" hidden="1" x14ac:dyDescent="0.3">
      <c r="A13742" t="s">
        <v>557</v>
      </c>
      <c r="B13742" t="s">
        <v>759</v>
      </c>
      <c r="C13742" t="s">
        <v>44</v>
      </c>
      <c r="D13742" s="230">
        <v>-0.28000000000000003</v>
      </c>
      <c r="E13742" t="s">
        <v>590</v>
      </c>
    </row>
    <row r="13743" spans="1:5" hidden="1" x14ac:dyDescent="0.3">
      <c r="A13743" t="s">
        <v>557</v>
      </c>
      <c r="B13743" t="s">
        <v>759</v>
      </c>
      <c r="C13743" t="s">
        <v>44</v>
      </c>
      <c r="D13743" s="230">
        <v>-0.02</v>
      </c>
      <c r="E13743" t="s">
        <v>590</v>
      </c>
    </row>
    <row r="13744" spans="1:5" hidden="1" x14ac:dyDescent="0.3">
      <c r="A13744" t="s">
        <v>557</v>
      </c>
      <c r="B13744" t="s">
        <v>759</v>
      </c>
      <c r="C13744" t="s">
        <v>44</v>
      </c>
      <c r="D13744" s="230">
        <v>-0.01</v>
      </c>
      <c r="E13744" t="s">
        <v>590</v>
      </c>
    </row>
    <row r="13745" spans="1:5" hidden="1" x14ac:dyDescent="0.3">
      <c r="A13745" t="s">
        <v>557</v>
      </c>
      <c r="B13745" t="s">
        <v>759</v>
      </c>
      <c r="C13745" t="s">
        <v>44</v>
      </c>
      <c r="D13745" s="230">
        <v>-0.09</v>
      </c>
      <c r="E13745" t="s">
        <v>590</v>
      </c>
    </row>
    <row r="13746" spans="1:5" hidden="1" x14ac:dyDescent="0.3">
      <c r="A13746" t="s">
        <v>557</v>
      </c>
      <c r="B13746" t="s">
        <v>759</v>
      </c>
      <c r="C13746" t="s">
        <v>44</v>
      </c>
      <c r="D13746" s="230">
        <v>-0.06</v>
      </c>
      <c r="E13746" t="s">
        <v>590</v>
      </c>
    </row>
    <row r="13747" spans="1:5" hidden="1" x14ac:dyDescent="0.3">
      <c r="A13747" t="s">
        <v>557</v>
      </c>
      <c r="B13747" t="s">
        <v>759</v>
      </c>
      <c r="C13747" t="s">
        <v>44</v>
      </c>
      <c r="D13747" s="230">
        <v>-0.12</v>
      </c>
      <c r="E13747" t="s">
        <v>590</v>
      </c>
    </row>
    <row r="13748" spans="1:5" hidden="1" x14ac:dyDescent="0.3">
      <c r="A13748" t="s">
        <v>557</v>
      </c>
      <c r="B13748" t="s">
        <v>759</v>
      </c>
      <c r="C13748" t="s">
        <v>44</v>
      </c>
      <c r="D13748" s="230">
        <v>-0.09</v>
      </c>
      <c r="E13748" t="s">
        <v>590</v>
      </c>
    </row>
    <row r="13749" spans="1:5" hidden="1" x14ac:dyDescent="0.3">
      <c r="A13749" t="s">
        <v>557</v>
      </c>
      <c r="B13749" t="s">
        <v>759</v>
      </c>
      <c r="C13749" t="s">
        <v>44</v>
      </c>
      <c r="D13749" s="230">
        <v>-0.01</v>
      </c>
      <c r="E13749" t="s">
        <v>590</v>
      </c>
    </row>
    <row r="13750" spans="1:5" hidden="1" x14ac:dyDescent="0.3">
      <c r="A13750" t="s">
        <v>557</v>
      </c>
      <c r="B13750" t="s">
        <v>759</v>
      </c>
      <c r="C13750" t="s">
        <v>44</v>
      </c>
      <c r="D13750" s="230">
        <v>-0.01</v>
      </c>
      <c r="E13750" t="s">
        <v>590</v>
      </c>
    </row>
    <row r="13751" spans="1:5" hidden="1" x14ac:dyDescent="0.3">
      <c r="A13751" t="s">
        <v>557</v>
      </c>
      <c r="B13751" t="s">
        <v>759</v>
      </c>
      <c r="C13751" t="s">
        <v>296</v>
      </c>
      <c r="D13751" s="230">
        <v>-8302.2099999999991</v>
      </c>
      <c r="E13751" t="s">
        <v>590</v>
      </c>
    </row>
    <row r="13752" spans="1:5" hidden="1" x14ac:dyDescent="0.3">
      <c r="A13752" t="s">
        <v>557</v>
      </c>
      <c r="B13752" t="s">
        <v>759</v>
      </c>
      <c r="C13752" t="s">
        <v>307</v>
      </c>
      <c r="D13752" s="230">
        <v>-1774.18</v>
      </c>
      <c r="E13752" t="s">
        <v>590</v>
      </c>
    </row>
    <row r="13753" spans="1:5" hidden="1" x14ac:dyDescent="0.3">
      <c r="A13753" t="s">
        <v>557</v>
      </c>
      <c r="B13753" t="s">
        <v>759</v>
      </c>
      <c r="C13753" t="s">
        <v>44</v>
      </c>
      <c r="D13753" s="230">
        <v>-0.02</v>
      </c>
      <c r="E13753" t="s">
        <v>590</v>
      </c>
    </row>
    <row r="13754" spans="1:5" hidden="1" x14ac:dyDescent="0.3">
      <c r="A13754" t="s">
        <v>557</v>
      </c>
      <c r="B13754" t="s">
        <v>759</v>
      </c>
      <c r="C13754" t="s">
        <v>44</v>
      </c>
      <c r="D13754" s="230">
        <v>-0.01</v>
      </c>
      <c r="E13754" t="s">
        <v>590</v>
      </c>
    </row>
    <row r="13755" spans="1:5" hidden="1" x14ac:dyDescent="0.3">
      <c r="A13755" t="s">
        <v>557</v>
      </c>
      <c r="B13755" t="s">
        <v>759</v>
      </c>
      <c r="C13755" t="s">
        <v>44</v>
      </c>
      <c r="D13755" s="230">
        <v>0</v>
      </c>
      <c r="E13755" t="s">
        <v>590</v>
      </c>
    </row>
    <row r="13756" spans="1:5" hidden="1" x14ac:dyDescent="0.3">
      <c r="A13756" t="s">
        <v>557</v>
      </c>
      <c r="B13756" t="s">
        <v>759</v>
      </c>
      <c r="C13756" t="s">
        <v>44</v>
      </c>
      <c r="D13756" s="230">
        <v>-0.05</v>
      </c>
      <c r="E13756" t="s">
        <v>590</v>
      </c>
    </row>
    <row r="13757" spans="1:5" hidden="1" x14ac:dyDescent="0.3">
      <c r="A13757" t="s">
        <v>557</v>
      </c>
      <c r="B13757" t="s">
        <v>759</v>
      </c>
      <c r="C13757" t="s">
        <v>328</v>
      </c>
      <c r="D13757" s="230">
        <v>-262427.94</v>
      </c>
      <c r="E13757" t="s">
        <v>590</v>
      </c>
    </row>
    <row r="13758" spans="1:5" hidden="1" x14ac:dyDescent="0.3">
      <c r="A13758" t="s">
        <v>557</v>
      </c>
      <c r="B13758" t="s">
        <v>759</v>
      </c>
      <c r="C13758" t="s">
        <v>44</v>
      </c>
      <c r="D13758" s="230">
        <v>-0.59</v>
      </c>
      <c r="E13758" t="s">
        <v>590</v>
      </c>
    </row>
    <row r="13759" spans="1:5" hidden="1" x14ac:dyDescent="0.3">
      <c r="A13759" t="s">
        <v>557</v>
      </c>
      <c r="B13759" t="s">
        <v>759</v>
      </c>
      <c r="C13759" t="s">
        <v>329</v>
      </c>
      <c r="D13759" s="230">
        <v>-47700.67</v>
      </c>
      <c r="E13759" t="s">
        <v>590</v>
      </c>
    </row>
    <row r="13760" spans="1:5" hidden="1" x14ac:dyDescent="0.3">
      <c r="A13760" t="s">
        <v>557</v>
      </c>
      <c r="B13760" t="s">
        <v>759</v>
      </c>
      <c r="C13760" t="s">
        <v>44</v>
      </c>
      <c r="D13760" s="230">
        <v>-0.11</v>
      </c>
      <c r="E13760" t="s">
        <v>590</v>
      </c>
    </row>
    <row r="13761" spans="1:5" hidden="1" x14ac:dyDescent="0.3">
      <c r="A13761" t="s">
        <v>557</v>
      </c>
      <c r="B13761" t="s">
        <v>759</v>
      </c>
      <c r="C13761" t="s">
        <v>332</v>
      </c>
      <c r="D13761" s="230">
        <v>-47700.67</v>
      </c>
      <c r="E13761" t="s">
        <v>590</v>
      </c>
    </row>
    <row r="13762" spans="1:5" hidden="1" x14ac:dyDescent="0.3">
      <c r="A13762" t="s">
        <v>557</v>
      </c>
      <c r="B13762" t="s">
        <v>759</v>
      </c>
      <c r="C13762" t="s">
        <v>338</v>
      </c>
      <c r="D13762" s="230">
        <v>-48616.32</v>
      </c>
      <c r="E13762" t="s">
        <v>590</v>
      </c>
    </row>
    <row r="13763" spans="1:5" hidden="1" x14ac:dyDescent="0.3">
      <c r="A13763" t="s">
        <v>557</v>
      </c>
      <c r="B13763" t="s">
        <v>759</v>
      </c>
      <c r="C13763" t="s">
        <v>347</v>
      </c>
      <c r="D13763" s="230">
        <v>-64346.27</v>
      </c>
      <c r="E13763" t="s">
        <v>590</v>
      </c>
    </row>
    <row r="13764" spans="1:5" hidden="1" x14ac:dyDescent="0.3">
      <c r="A13764" t="s">
        <v>557</v>
      </c>
      <c r="B13764" t="s">
        <v>759</v>
      </c>
      <c r="C13764" t="s">
        <v>374</v>
      </c>
      <c r="D13764" s="230">
        <v>-66179.61</v>
      </c>
      <c r="E13764" t="s">
        <v>590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77"/>
  <sheetViews>
    <sheetView workbookViewId="0"/>
  </sheetViews>
  <sheetFormatPr defaultRowHeight="14.4" x14ac:dyDescent="0.3"/>
  <sheetData>
    <row r="1" spans="1:18" x14ac:dyDescent="0.3">
      <c r="A1" t="s">
        <v>760</v>
      </c>
      <c r="B1" t="s">
        <v>549</v>
      </c>
      <c r="C1" t="s">
        <v>761</v>
      </c>
      <c r="D1" t="s">
        <v>762</v>
      </c>
      <c r="E1" t="s">
        <v>763</v>
      </c>
      <c r="F1" t="s">
        <v>764</v>
      </c>
      <c r="G1" t="s">
        <v>765</v>
      </c>
      <c r="H1" t="s">
        <v>766</v>
      </c>
      <c r="I1" t="s">
        <v>767</v>
      </c>
      <c r="J1" t="s">
        <v>768</v>
      </c>
      <c r="K1" t="s">
        <v>769</v>
      </c>
      <c r="L1" t="s">
        <v>770</v>
      </c>
      <c r="M1" t="s">
        <v>771</v>
      </c>
      <c r="N1" t="s">
        <v>772</v>
      </c>
      <c r="O1" t="s">
        <v>773</v>
      </c>
      <c r="P1" t="s">
        <v>774</v>
      </c>
      <c r="Q1" t="s">
        <v>556</v>
      </c>
      <c r="R1" t="s">
        <v>775</v>
      </c>
    </row>
    <row r="2" spans="1:18" x14ac:dyDescent="0.3">
      <c r="A2">
        <v>121346</v>
      </c>
      <c r="B2" t="s">
        <v>557</v>
      </c>
      <c r="C2" t="s">
        <v>259</v>
      </c>
      <c r="D2" t="s">
        <v>776</v>
      </c>
      <c r="E2" s="451">
        <v>46840</v>
      </c>
      <c r="F2" s="451">
        <v>46840</v>
      </c>
      <c r="G2" t="s">
        <v>777</v>
      </c>
      <c r="H2" t="s">
        <v>368</v>
      </c>
      <c r="I2" t="s">
        <v>778</v>
      </c>
      <c r="J2">
        <v>-1520.61</v>
      </c>
      <c r="K2">
        <v>-1520.61</v>
      </c>
      <c r="O2" t="s">
        <v>779</v>
      </c>
      <c r="Q2" t="s">
        <v>780</v>
      </c>
      <c r="R2">
        <v>0</v>
      </c>
    </row>
    <row r="3" spans="1:18" x14ac:dyDescent="0.3">
      <c r="A3">
        <v>119347</v>
      </c>
      <c r="B3" t="s">
        <v>557</v>
      </c>
      <c r="C3" t="s">
        <v>259</v>
      </c>
      <c r="D3" t="s">
        <v>781</v>
      </c>
      <c r="E3" s="451">
        <v>46812</v>
      </c>
      <c r="F3" s="451">
        <v>46812</v>
      </c>
      <c r="G3" t="s">
        <v>777</v>
      </c>
      <c r="H3" t="s">
        <v>368</v>
      </c>
      <c r="I3" t="s">
        <v>782</v>
      </c>
      <c r="J3">
        <v>-416.33</v>
      </c>
      <c r="K3">
        <v>-416.33</v>
      </c>
      <c r="O3" t="s">
        <v>779</v>
      </c>
      <c r="Q3" t="s">
        <v>783</v>
      </c>
      <c r="R3">
        <v>0</v>
      </c>
    </row>
    <row r="4" spans="1:18" x14ac:dyDescent="0.3">
      <c r="A4">
        <v>121345</v>
      </c>
      <c r="B4" t="s">
        <v>557</v>
      </c>
      <c r="C4" t="s">
        <v>259</v>
      </c>
      <c r="D4" t="s">
        <v>776</v>
      </c>
      <c r="E4" s="451">
        <v>46811</v>
      </c>
      <c r="F4" s="451">
        <v>46811</v>
      </c>
      <c r="G4" t="s">
        <v>777</v>
      </c>
      <c r="H4" t="s">
        <v>368</v>
      </c>
      <c r="I4" t="s">
        <v>778</v>
      </c>
      <c r="J4">
        <v>-1520.61</v>
      </c>
      <c r="K4">
        <v>-1520.61</v>
      </c>
      <c r="O4" t="s">
        <v>779</v>
      </c>
      <c r="Q4" t="s">
        <v>783</v>
      </c>
      <c r="R4">
        <v>0</v>
      </c>
    </row>
    <row r="5" spans="1:18" x14ac:dyDescent="0.3">
      <c r="A5">
        <v>119346</v>
      </c>
      <c r="B5" t="s">
        <v>557</v>
      </c>
      <c r="C5" t="s">
        <v>259</v>
      </c>
      <c r="D5" t="s">
        <v>784</v>
      </c>
      <c r="E5" s="451">
        <v>46783</v>
      </c>
      <c r="F5" s="451">
        <v>46783</v>
      </c>
      <c r="G5" t="s">
        <v>777</v>
      </c>
      <c r="H5" t="s">
        <v>368</v>
      </c>
      <c r="I5" t="s">
        <v>782</v>
      </c>
      <c r="J5">
        <v>-416.33</v>
      </c>
      <c r="K5">
        <v>-416.33</v>
      </c>
      <c r="O5" t="s">
        <v>779</v>
      </c>
      <c r="Q5" t="s">
        <v>785</v>
      </c>
      <c r="R5">
        <v>0</v>
      </c>
    </row>
    <row r="6" spans="1:18" x14ac:dyDescent="0.3">
      <c r="A6">
        <v>121344</v>
      </c>
      <c r="B6" t="s">
        <v>557</v>
      </c>
      <c r="C6" t="s">
        <v>259</v>
      </c>
      <c r="D6" t="s">
        <v>776</v>
      </c>
      <c r="E6" s="451">
        <v>46780</v>
      </c>
      <c r="F6" s="451">
        <v>46780</v>
      </c>
      <c r="G6" t="s">
        <v>777</v>
      </c>
      <c r="H6" t="s">
        <v>368</v>
      </c>
      <c r="I6" t="s">
        <v>778</v>
      </c>
      <c r="J6">
        <v>-1520.61</v>
      </c>
      <c r="K6">
        <v>-1520.61</v>
      </c>
      <c r="O6" t="s">
        <v>779</v>
      </c>
      <c r="Q6" t="s">
        <v>785</v>
      </c>
      <c r="R6">
        <v>0</v>
      </c>
    </row>
    <row r="7" spans="1:18" x14ac:dyDescent="0.3">
      <c r="A7">
        <v>32267</v>
      </c>
      <c r="B7" t="s">
        <v>557</v>
      </c>
      <c r="C7" t="s">
        <v>259</v>
      </c>
      <c r="D7" t="s">
        <v>786</v>
      </c>
      <c r="E7" s="451">
        <v>46747</v>
      </c>
      <c r="F7" s="451">
        <v>46747</v>
      </c>
      <c r="G7" t="s">
        <v>256</v>
      </c>
      <c r="H7" t="s">
        <v>259</v>
      </c>
      <c r="I7" t="s">
        <v>782</v>
      </c>
      <c r="J7">
        <v>-416.33</v>
      </c>
      <c r="K7">
        <v>-416.33</v>
      </c>
      <c r="O7" t="s">
        <v>787</v>
      </c>
      <c r="P7" t="s">
        <v>788</v>
      </c>
      <c r="Q7" t="s">
        <v>789</v>
      </c>
      <c r="R7">
        <v>0</v>
      </c>
    </row>
    <row r="8" spans="1:18" x14ac:dyDescent="0.3">
      <c r="A8">
        <v>32209</v>
      </c>
      <c r="B8" t="s">
        <v>557</v>
      </c>
      <c r="C8" t="s">
        <v>259</v>
      </c>
      <c r="D8" t="s">
        <v>776</v>
      </c>
      <c r="E8" s="451">
        <v>46747</v>
      </c>
      <c r="F8" s="451">
        <v>46747</v>
      </c>
      <c r="G8" t="s">
        <v>777</v>
      </c>
      <c r="H8" t="s">
        <v>368</v>
      </c>
      <c r="I8" t="s">
        <v>778</v>
      </c>
      <c r="J8">
        <v>-1520.61</v>
      </c>
      <c r="K8">
        <v>-1520.61</v>
      </c>
      <c r="O8" t="s">
        <v>787</v>
      </c>
      <c r="P8" t="s">
        <v>788</v>
      </c>
      <c r="Q8" t="s">
        <v>789</v>
      </c>
      <c r="R8">
        <v>0</v>
      </c>
    </row>
    <row r="9" spans="1:18" x14ac:dyDescent="0.3">
      <c r="A9">
        <v>32309</v>
      </c>
      <c r="B9" t="s">
        <v>557</v>
      </c>
      <c r="C9" t="s">
        <v>259</v>
      </c>
      <c r="D9" t="s">
        <v>776</v>
      </c>
      <c r="E9" s="451">
        <v>46717</v>
      </c>
      <c r="F9" s="451">
        <v>46717</v>
      </c>
      <c r="G9" t="s">
        <v>777</v>
      </c>
      <c r="H9" t="s">
        <v>368</v>
      </c>
      <c r="I9" t="s">
        <v>778</v>
      </c>
      <c r="J9">
        <v>-1520.61</v>
      </c>
      <c r="K9">
        <v>-1520.61</v>
      </c>
      <c r="O9" t="s">
        <v>787</v>
      </c>
      <c r="P9" t="s">
        <v>788</v>
      </c>
      <c r="Q9" t="s">
        <v>790</v>
      </c>
      <c r="R9">
        <v>0</v>
      </c>
    </row>
    <row r="10" spans="1:18" x14ac:dyDescent="0.3">
      <c r="A10">
        <v>32210</v>
      </c>
      <c r="B10" t="s">
        <v>557</v>
      </c>
      <c r="C10" t="s">
        <v>259</v>
      </c>
      <c r="D10" t="s">
        <v>791</v>
      </c>
      <c r="E10" s="451">
        <v>46717</v>
      </c>
      <c r="F10" s="451">
        <v>46717</v>
      </c>
      <c r="G10" t="s">
        <v>256</v>
      </c>
      <c r="H10" t="s">
        <v>259</v>
      </c>
      <c r="I10" t="s">
        <v>782</v>
      </c>
      <c r="J10">
        <v>-416.33</v>
      </c>
      <c r="K10">
        <v>-416.33</v>
      </c>
      <c r="O10" t="s">
        <v>787</v>
      </c>
      <c r="P10" t="s">
        <v>788</v>
      </c>
      <c r="Q10" t="s">
        <v>790</v>
      </c>
      <c r="R10">
        <v>0</v>
      </c>
    </row>
    <row r="11" spans="1:18" x14ac:dyDescent="0.3">
      <c r="A11">
        <v>32174</v>
      </c>
      <c r="B11" t="s">
        <v>557</v>
      </c>
      <c r="C11" t="s">
        <v>259</v>
      </c>
      <c r="D11" t="s">
        <v>792</v>
      </c>
      <c r="E11" s="451">
        <v>46686</v>
      </c>
      <c r="F11" s="451">
        <v>46686</v>
      </c>
      <c r="G11" t="s">
        <v>256</v>
      </c>
      <c r="H11" t="s">
        <v>259</v>
      </c>
      <c r="I11" t="s">
        <v>782</v>
      </c>
      <c r="J11">
        <v>-416.33</v>
      </c>
      <c r="K11">
        <v>-416.33</v>
      </c>
      <c r="O11" t="s">
        <v>787</v>
      </c>
      <c r="P11" t="s">
        <v>788</v>
      </c>
      <c r="Q11" t="s">
        <v>793</v>
      </c>
      <c r="R11">
        <v>0</v>
      </c>
    </row>
    <row r="12" spans="1:18" x14ac:dyDescent="0.3">
      <c r="A12">
        <v>32239</v>
      </c>
      <c r="B12" t="s">
        <v>557</v>
      </c>
      <c r="C12" t="s">
        <v>259</v>
      </c>
      <c r="D12" t="s">
        <v>776</v>
      </c>
      <c r="E12" s="451">
        <v>46686</v>
      </c>
      <c r="F12" s="451">
        <v>46686</v>
      </c>
      <c r="G12" t="s">
        <v>777</v>
      </c>
      <c r="H12" t="s">
        <v>368</v>
      </c>
      <c r="I12" t="s">
        <v>778</v>
      </c>
      <c r="J12">
        <v>-1520.61</v>
      </c>
      <c r="K12">
        <v>-1520.61</v>
      </c>
      <c r="O12" t="s">
        <v>787</v>
      </c>
      <c r="P12" t="s">
        <v>788</v>
      </c>
      <c r="Q12" t="s">
        <v>793</v>
      </c>
      <c r="R12">
        <v>0</v>
      </c>
    </row>
    <row r="13" spans="1:18" x14ac:dyDescent="0.3">
      <c r="A13">
        <v>32240</v>
      </c>
      <c r="B13" t="s">
        <v>557</v>
      </c>
      <c r="C13" t="s">
        <v>259</v>
      </c>
      <c r="D13" t="s">
        <v>776</v>
      </c>
      <c r="E13" s="451">
        <v>46656</v>
      </c>
      <c r="F13" s="451">
        <v>46656</v>
      </c>
      <c r="G13" t="s">
        <v>777</v>
      </c>
      <c r="H13" t="s">
        <v>368</v>
      </c>
      <c r="I13" t="s">
        <v>778</v>
      </c>
      <c r="J13">
        <v>-1520.61</v>
      </c>
      <c r="K13">
        <v>-1520.61</v>
      </c>
      <c r="O13" t="s">
        <v>787</v>
      </c>
      <c r="P13" t="s">
        <v>788</v>
      </c>
      <c r="Q13" t="s">
        <v>794</v>
      </c>
      <c r="R13">
        <v>0</v>
      </c>
    </row>
    <row r="14" spans="1:18" x14ac:dyDescent="0.3">
      <c r="A14">
        <v>32211</v>
      </c>
      <c r="B14" t="s">
        <v>557</v>
      </c>
      <c r="C14" t="s">
        <v>259</v>
      </c>
      <c r="D14" t="s">
        <v>795</v>
      </c>
      <c r="E14" s="451">
        <v>46656</v>
      </c>
      <c r="F14" s="451">
        <v>46656</v>
      </c>
      <c r="G14" t="s">
        <v>256</v>
      </c>
      <c r="H14" t="s">
        <v>259</v>
      </c>
      <c r="I14" t="s">
        <v>782</v>
      </c>
      <c r="J14">
        <v>-416.33</v>
      </c>
      <c r="K14">
        <v>-416.33</v>
      </c>
      <c r="O14" t="s">
        <v>787</v>
      </c>
      <c r="P14" t="s">
        <v>788</v>
      </c>
      <c r="Q14" t="s">
        <v>794</v>
      </c>
      <c r="R14">
        <v>0</v>
      </c>
    </row>
    <row r="15" spans="1:18" x14ac:dyDescent="0.3">
      <c r="A15">
        <v>32285</v>
      </c>
      <c r="B15" t="s">
        <v>557</v>
      </c>
      <c r="C15" t="s">
        <v>259</v>
      </c>
      <c r="D15" t="s">
        <v>796</v>
      </c>
      <c r="E15" s="451">
        <v>46625</v>
      </c>
      <c r="F15" s="451">
        <v>46625</v>
      </c>
      <c r="G15" t="s">
        <v>256</v>
      </c>
      <c r="H15" t="s">
        <v>259</v>
      </c>
      <c r="I15" t="s">
        <v>782</v>
      </c>
      <c r="J15">
        <v>-416.33</v>
      </c>
      <c r="K15">
        <v>-416.33</v>
      </c>
      <c r="O15" t="s">
        <v>787</v>
      </c>
      <c r="P15" t="s">
        <v>788</v>
      </c>
      <c r="Q15" t="s">
        <v>797</v>
      </c>
      <c r="R15">
        <v>0</v>
      </c>
    </row>
    <row r="16" spans="1:18" x14ac:dyDescent="0.3">
      <c r="A16">
        <v>32268</v>
      </c>
      <c r="B16" t="s">
        <v>557</v>
      </c>
      <c r="C16" t="s">
        <v>259</v>
      </c>
      <c r="D16" t="s">
        <v>776</v>
      </c>
      <c r="E16" s="451">
        <v>46625</v>
      </c>
      <c r="F16" s="451">
        <v>46625</v>
      </c>
      <c r="G16" t="s">
        <v>777</v>
      </c>
      <c r="H16" t="s">
        <v>368</v>
      </c>
      <c r="I16" t="s">
        <v>778</v>
      </c>
      <c r="J16">
        <v>-1520.61</v>
      </c>
      <c r="K16">
        <v>-1520.61</v>
      </c>
      <c r="O16" t="s">
        <v>787</v>
      </c>
      <c r="P16" t="s">
        <v>788</v>
      </c>
      <c r="Q16" t="s">
        <v>797</v>
      </c>
      <c r="R16">
        <v>0</v>
      </c>
    </row>
    <row r="17" spans="1:18" x14ac:dyDescent="0.3">
      <c r="A17">
        <v>32175</v>
      </c>
      <c r="B17" t="s">
        <v>557</v>
      </c>
      <c r="C17" t="s">
        <v>259</v>
      </c>
      <c r="D17" t="s">
        <v>798</v>
      </c>
      <c r="E17" s="451">
        <v>46594</v>
      </c>
      <c r="F17" s="451">
        <v>46594</v>
      </c>
      <c r="G17" t="s">
        <v>256</v>
      </c>
      <c r="H17" t="s">
        <v>259</v>
      </c>
      <c r="I17" t="s">
        <v>782</v>
      </c>
      <c r="J17">
        <v>-416.33</v>
      </c>
      <c r="K17">
        <v>-416.33</v>
      </c>
      <c r="O17" t="s">
        <v>787</v>
      </c>
      <c r="P17" t="s">
        <v>788</v>
      </c>
      <c r="Q17" t="s">
        <v>799</v>
      </c>
      <c r="R17">
        <v>0</v>
      </c>
    </row>
    <row r="18" spans="1:18" x14ac:dyDescent="0.3">
      <c r="A18">
        <v>32286</v>
      </c>
      <c r="B18" t="s">
        <v>557</v>
      </c>
      <c r="C18" t="s">
        <v>259</v>
      </c>
      <c r="D18" t="s">
        <v>776</v>
      </c>
      <c r="E18" s="451">
        <v>46594</v>
      </c>
      <c r="F18" s="451">
        <v>46594</v>
      </c>
      <c r="G18" t="s">
        <v>777</v>
      </c>
      <c r="H18" t="s">
        <v>368</v>
      </c>
      <c r="I18" t="s">
        <v>778</v>
      </c>
      <c r="J18">
        <v>-1520.61</v>
      </c>
      <c r="K18">
        <v>-1520.61</v>
      </c>
      <c r="O18" t="s">
        <v>787</v>
      </c>
      <c r="P18" t="s">
        <v>788</v>
      </c>
      <c r="Q18" t="s">
        <v>799</v>
      </c>
      <c r="R18">
        <v>0</v>
      </c>
    </row>
    <row r="19" spans="1:18" x14ac:dyDescent="0.3">
      <c r="A19">
        <v>32310</v>
      </c>
      <c r="B19" t="s">
        <v>557</v>
      </c>
      <c r="C19" t="s">
        <v>259</v>
      </c>
      <c r="D19" t="s">
        <v>800</v>
      </c>
      <c r="E19" s="451">
        <v>46564</v>
      </c>
      <c r="F19" s="451">
        <v>46564</v>
      </c>
      <c r="G19" t="s">
        <v>256</v>
      </c>
      <c r="H19" t="s">
        <v>259</v>
      </c>
      <c r="I19" t="s">
        <v>782</v>
      </c>
      <c r="J19">
        <v>-416.33</v>
      </c>
      <c r="K19">
        <v>-416.33</v>
      </c>
      <c r="O19" t="s">
        <v>787</v>
      </c>
      <c r="P19" t="s">
        <v>788</v>
      </c>
      <c r="Q19" t="s">
        <v>801</v>
      </c>
      <c r="R19">
        <v>0</v>
      </c>
    </row>
    <row r="20" spans="1:18" x14ac:dyDescent="0.3">
      <c r="A20">
        <v>32241</v>
      </c>
      <c r="B20" t="s">
        <v>557</v>
      </c>
      <c r="C20" t="s">
        <v>259</v>
      </c>
      <c r="D20" t="s">
        <v>776</v>
      </c>
      <c r="E20" s="451">
        <v>46564</v>
      </c>
      <c r="F20" s="451">
        <v>46564</v>
      </c>
      <c r="G20" t="s">
        <v>777</v>
      </c>
      <c r="H20" t="s">
        <v>368</v>
      </c>
      <c r="I20" t="s">
        <v>778</v>
      </c>
      <c r="J20">
        <v>-1520.61</v>
      </c>
      <c r="K20">
        <v>-1520.61</v>
      </c>
      <c r="O20" t="s">
        <v>787</v>
      </c>
      <c r="P20" t="s">
        <v>788</v>
      </c>
      <c r="Q20" t="s">
        <v>801</v>
      </c>
      <c r="R20">
        <v>0</v>
      </c>
    </row>
    <row r="21" spans="1:18" x14ac:dyDescent="0.3">
      <c r="A21">
        <v>32176</v>
      </c>
      <c r="B21" t="s">
        <v>557</v>
      </c>
      <c r="C21" t="s">
        <v>259</v>
      </c>
      <c r="D21" t="s">
        <v>802</v>
      </c>
      <c r="E21" s="451">
        <v>46533</v>
      </c>
      <c r="F21" s="451">
        <v>46533</v>
      </c>
      <c r="G21" t="s">
        <v>256</v>
      </c>
      <c r="H21" t="s">
        <v>259</v>
      </c>
      <c r="I21" t="s">
        <v>782</v>
      </c>
      <c r="J21">
        <v>-416.33</v>
      </c>
      <c r="K21">
        <v>-416.33</v>
      </c>
      <c r="O21" t="s">
        <v>787</v>
      </c>
      <c r="P21" t="s">
        <v>788</v>
      </c>
      <c r="Q21" t="s">
        <v>803</v>
      </c>
      <c r="R21">
        <v>0</v>
      </c>
    </row>
    <row r="22" spans="1:18" x14ac:dyDescent="0.3">
      <c r="A22">
        <v>32342</v>
      </c>
      <c r="B22" t="s">
        <v>557</v>
      </c>
      <c r="C22" t="s">
        <v>259</v>
      </c>
      <c r="D22" t="s">
        <v>776</v>
      </c>
      <c r="E22" s="451">
        <v>46533</v>
      </c>
      <c r="F22" s="451">
        <v>46533</v>
      </c>
      <c r="G22" t="s">
        <v>777</v>
      </c>
      <c r="H22" t="s">
        <v>368</v>
      </c>
      <c r="I22" t="s">
        <v>778</v>
      </c>
      <c r="J22">
        <v>-1520.61</v>
      </c>
      <c r="K22">
        <v>-1520.61</v>
      </c>
      <c r="O22" t="s">
        <v>787</v>
      </c>
      <c r="P22" t="s">
        <v>788</v>
      </c>
      <c r="Q22" t="s">
        <v>803</v>
      </c>
      <c r="R22">
        <v>0</v>
      </c>
    </row>
    <row r="23" spans="1:18" x14ac:dyDescent="0.3">
      <c r="A23">
        <v>237291</v>
      </c>
      <c r="B23" t="s">
        <v>557</v>
      </c>
      <c r="C23" t="s">
        <v>259</v>
      </c>
      <c r="D23" t="s">
        <v>804</v>
      </c>
      <c r="E23" s="451">
        <v>46515</v>
      </c>
      <c r="F23" s="451">
        <v>46537</v>
      </c>
      <c r="G23" t="s">
        <v>777</v>
      </c>
      <c r="H23" t="s">
        <v>368</v>
      </c>
      <c r="I23" t="s">
        <v>805</v>
      </c>
      <c r="J23">
        <v>-4322.5600000000004</v>
      </c>
      <c r="K23">
        <v>-4322.5600000000004</v>
      </c>
      <c r="O23" t="s">
        <v>779</v>
      </c>
      <c r="Q23" t="s">
        <v>803</v>
      </c>
      <c r="R23">
        <v>0</v>
      </c>
    </row>
    <row r="24" spans="1:18" x14ac:dyDescent="0.3">
      <c r="A24">
        <v>237279</v>
      </c>
      <c r="B24" t="s">
        <v>557</v>
      </c>
      <c r="C24" t="s">
        <v>259</v>
      </c>
      <c r="D24" t="s">
        <v>804</v>
      </c>
      <c r="E24" s="451">
        <v>46515</v>
      </c>
      <c r="F24" s="451">
        <v>46537</v>
      </c>
      <c r="G24" t="s">
        <v>777</v>
      </c>
      <c r="H24" t="s">
        <v>368</v>
      </c>
      <c r="I24" t="s">
        <v>806</v>
      </c>
      <c r="J24">
        <v>-1356.39</v>
      </c>
      <c r="K24">
        <v>-1356.39</v>
      </c>
      <c r="O24" t="s">
        <v>779</v>
      </c>
      <c r="Q24" t="s">
        <v>803</v>
      </c>
      <c r="R24">
        <v>0</v>
      </c>
    </row>
    <row r="25" spans="1:18" x14ac:dyDescent="0.3">
      <c r="A25">
        <v>32343</v>
      </c>
      <c r="B25" t="s">
        <v>557</v>
      </c>
      <c r="C25" t="s">
        <v>259</v>
      </c>
      <c r="D25" t="s">
        <v>807</v>
      </c>
      <c r="E25" s="451">
        <v>46503</v>
      </c>
      <c r="F25" s="451">
        <v>46503</v>
      </c>
      <c r="G25" t="s">
        <v>256</v>
      </c>
      <c r="H25" t="s">
        <v>259</v>
      </c>
      <c r="I25" t="s">
        <v>782</v>
      </c>
      <c r="J25">
        <v>-416.33</v>
      </c>
      <c r="K25">
        <v>-416.33</v>
      </c>
      <c r="O25" t="s">
        <v>787</v>
      </c>
      <c r="P25" t="s">
        <v>788</v>
      </c>
      <c r="Q25" t="s">
        <v>808</v>
      </c>
      <c r="R25">
        <v>0</v>
      </c>
    </row>
    <row r="26" spans="1:18" x14ac:dyDescent="0.3">
      <c r="A26">
        <v>32269</v>
      </c>
      <c r="B26" t="s">
        <v>557</v>
      </c>
      <c r="C26" t="s">
        <v>259</v>
      </c>
      <c r="D26" t="s">
        <v>776</v>
      </c>
      <c r="E26" s="451">
        <v>46503</v>
      </c>
      <c r="F26" s="451">
        <v>46503</v>
      </c>
      <c r="G26" t="s">
        <v>777</v>
      </c>
      <c r="H26" t="s">
        <v>368</v>
      </c>
      <c r="I26" t="s">
        <v>778</v>
      </c>
      <c r="J26">
        <v>-1520.61</v>
      </c>
      <c r="K26">
        <v>-1520.61</v>
      </c>
      <c r="O26" t="s">
        <v>787</v>
      </c>
      <c r="P26" t="s">
        <v>788</v>
      </c>
      <c r="Q26" t="s">
        <v>808</v>
      </c>
      <c r="R26">
        <v>0</v>
      </c>
    </row>
    <row r="27" spans="1:18" x14ac:dyDescent="0.3">
      <c r="A27">
        <v>237278</v>
      </c>
      <c r="B27" t="s">
        <v>557</v>
      </c>
      <c r="C27" t="s">
        <v>259</v>
      </c>
      <c r="D27" t="s">
        <v>809</v>
      </c>
      <c r="E27" s="451">
        <v>46485</v>
      </c>
      <c r="F27" s="451">
        <v>46507</v>
      </c>
      <c r="G27" t="s">
        <v>777</v>
      </c>
      <c r="H27" t="s">
        <v>368</v>
      </c>
      <c r="I27" t="s">
        <v>806</v>
      </c>
      <c r="J27">
        <v>-1356.39</v>
      </c>
      <c r="K27">
        <v>-1356.39</v>
      </c>
      <c r="O27" t="s">
        <v>779</v>
      </c>
      <c r="Q27" t="s">
        <v>808</v>
      </c>
      <c r="R27">
        <v>0</v>
      </c>
    </row>
    <row r="28" spans="1:18" x14ac:dyDescent="0.3">
      <c r="A28">
        <v>237290</v>
      </c>
      <c r="B28" t="s">
        <v>557</v>
      </c>
      <c r="C28" t="s">
        <v>259</v>
      </c>
      <c r="D28" t="s">
        <v>809</v>
      </c>
      <c r="E28" s="451">
        <v>46485</v>
      </c>
      <c r="F28" s="451">
        <v>46507</v>
      </c>
      <c r="G28" t="s">
        <v>777</v>
      </c>
      <c r="H28" t="s">
        <v>368</v>
      </c>
      <c r="I28" t="s">
        <v>805</v>
      </c>
      <c r="J28">
        <v>-4322.5600000000004</v>
      </c>
      <c r="K28">
        <v>-4322.5600000000004</v>
      </c>
      <c r="O28" t="s">
        <v>779</v>
      </c>
      <c r="Q28" t="s">
        <v>808</v>
      </c>
      <c r="R28">
        <v>0</v>
      </c>
    </row>
    <row r="29" spans="1:18" x14ac:dyDescent="0.3">
      <c r="A29">
        <v>32242</v>
      </c>
      <c r="B29" t="s">
        <v>557</v>
      </c>
      <c r="C29" t="s">
        <v>259</v>
      </c>
      <c r="D29" t="s">
        <v>810</v>
      </c>
      <c r="E29" s="451">
        <v>46472</v>
      </c>
      <c r="F29" s="451">
        <v>46472</v>
      </c>
      <c r="G29" t="s">
        <v>256</v>
      </c>
      <c r="H29" t="s">
        <v>259</v>
      </c>
      <c r="I29" t="s">
        <v>782</v>
      </c>
      <c r="J29">
        <v>-416.33</v>
      </c>
      <c r="K29">
        <v>-416.33</v>
      </c>
      <c r="O29" t="s">
        <v>787</v>
      </c>
      <c r="P29" t="s">
        <v>788</v>
      </c>
      <c r="Q29" t="s">
        <v>811</v>
      </c>
      <c r="R29">
        <v>0</v>
      </c>
    </row>
    <row r="30" spans="1:18" x14ac:dyDescent="0.3">
      <c r="A30">
        <v>32287</v>
      </c>
      <c r="B30" t="s">
        <v>557</v>
      </c>
      <c r="C30" t="s">
        <v>259</v>
      </c>
      <c r="D30" t="s">
        <v>776</v>
      </c>
      <c r="E30" s="451">
        <v>46472</v>
      </c>
      <c r="F30" s="451">
        <v>46472</v>
      </c>
      <c r="G30" t="s">
        <v>777</v>
      </c>
      <c r="H30" t="s">
        <v>368</v>
      </c>
      <c r="I30" t="s">
        <v>778</v>
      </c>
      <c r="J30">
        <v>-1520.61</v>
      </c>
      <c r="K30">
        <v>-1520.61</v>
      </c>
      <c r="O30" t="s">
        <v>787</v>
      </c>
      <c r="P30" t="s">
        <v>788</v>
      </c>
      <c r="Q30" t="s">
        <v>811</v>
      </c>
      <c r="R30">
        <v>0</v>
      </c>
    </row>
    <row r="31" spans="1:18" x14ac:dyDescent="0.3">
      <c r="A31">
        <v>237289</v>
      </c>
      <c r="B31" t="s">
        <v>557</v>
      </c>
      <c r="C31" t="s">
        <v>259</v>
      </c>
      <c r="D31" t="s">
        <v>812</v>
      </c>
      <c r="E31" s="451">
        <v>46454</v>
      </c>
      <c r="F31" s="451">
        <v>46476</v>
      </c>
      <c r="G31" t="s">
        <v>777</v>
      </c>
      <c r="H31" t="s">
        <v>368</v>
      </c>
      <c r="I31" t="s">
        <v>805</v>
      </c>
      <c r="J31">
        <v>-4322.5600000000004</v>
      </c>
      <c r="K31">
        <v>-4322.5600000000004</v>
      </c>
      <c r="O31" t="s">
        <v>779</v>
      </c>
      <c r="Q31" t="s">
        <v>811</v>
      </c>
      <c r="R31">
        <v>0</v>
      </c>
    </row>
    <row r="32" spans="1:18" x14ac:dyDescent="0.3">
      <c r="A32">
        <v>237277</v>
      </c>
      <c r="B32" t="s">
        <v>557</v>
      </c>
      <c r="C32" t="s">
        <v>259</v>
      </c>
      <c r="D32" t="s">
        <v>812</v>
      </c>
      <c r="E32" s="451">
        <v>46454</v>
      </c>
      <c r="F32" s="451">
        <v>46476</v>
      </c>
      <c r="G32" t="s">
        <v>777</v>
      </c>
      <c r="H32" t="s">
        <v>368</v>
      </c>
      <c r="I32" t="s">
        <v>813</v>
      </c>
      <c r="J32">
        <v>-1356.39</v>
      </c>
      <c r="K32">
        <v>-1356.39</v>
      </c>
      <c r="O32" t="s">
        <v>779</v>
      </c>
      <c r="Q32" t="s">
        <v>811</v>
      </c>
      <c r="R32">
        <v>0</v>
      </c>
    </row>
    <row r="33" spans="1:18" x14ac:dyDescent="0.3">
      <c r="A33">
        <v>32243</v>
      </c>
      <c r="B33" t="s">
        <v>557</v>
      </c>
      <c r="C33" t="s">
        <v>259</v>
      </c>
      <c r="D33" t="s">
        <v>814</v>
      </c>
      <c r="E33" s="451">
        <v>46444</v>
      </c>
      <c r="F33" s="451">
        <v>46444</v>
      </c>
      <c r="G33" t="s">
        <v>256</v>
      </c>
      <c r="H33" t="s">
        <v>259</v>
      </c>
      <c r="I33" t="s">
        <v>782</v>
      </c>
      <c r="J33">
        <v>-416.33</v>
      </c>
      <c r="K33">
        <v>-416.33</v>
      </c>
      <c r="O33" t="s">
        <v>787</v>
      </c>
      <c r="P33" t="s">
        <v>788</v>
      </c>
      <c r="Q33" t="s">
        <v>815</v>
      </c>
      <c r="R33">
        <v>0</v>
      </c>
    </row>
    <row r="34" spans="1:18" x14ac:dyDescent="0.3">
      <c r="A34">
        <v>32344</v>
      </c>
      <c r="B34" t="s">
        <v>557</v>
      </c>
      <c r="C34" t="s">
        <v>259</v>
      </c>
      <c r="D34" t="s">
        <v>776</v>
      </c>
      <c r="E34" s="451">
        <v>46444</v>
      </c>
      <c r="F34" s="451">
        <v>46444</v>
      </c>
      <c r="G34" t="s">
        <v>777</v>
      </c>
      <c r="H34" t="s">
        <v>368</v>
      </c>
      <c r="I34" t="s">
        <v>816</v>
      </c>
      <c r="J34">
        <v>-1520.61</v>
      </c>
      <c r="K34">
        <v>-1520.61</v>
      </c>
      <c r="O34" t="s">
        <v>787</v>
      </c>
      <c r="P34" t="s">
        <v>788</v>
      </c>
      <c r="Q34" t="s">
        <v>815</v>
      </c>
      <c r="R34">
        <v>0</v>
      </c>
    </row>
    <row r="35" spans="1:18" x14ac:dyDescent="0.3">
      <c r="A35">
        <v>237288</v>
      </c>
      <c r="B35" t="s">
        <v>557</v>
      </c>
      <c r="C35" t="s">
        <v>259</v>
      </c>
      <c r="D35" t="s">
        <v>817</v>
      </c>
      <c r="E35" s="451">
        <v>46426</v>
      </c>
      <c r="F35" s="451">
        <v>46446</v>
      </c>
      <c r="G35" t="s">
        <v>777</v>
      </c>
      <c r="H35" t="s">
        <v>368</v>
      </c>
      <c r="I35" t="s">
        <v>805</v>
      </c>
      <c r="J35">
        <v>-4322.5600000000004</v>
      </c>
      <c r="K35">
        <v>-4322.5600000000004</v>
      </c>
      <c r="O35" t="s">
        <v>779</v>
      </c>
      <c r="Q35" t="s">
        <v>815</v>
      </c>
      <c r="R35">
        <v>0</v>
      </c>
    </row>
    <row r="36" spans="1:18" x14ac:dyDescent="0.3">
      <c r="A36">
        <v>237276</v>
      </c>
      <c r="B36" t="s">
        <v>557</v>
      </c>
      <c r="C36" t="s">
        <v>259</v>
      </c>
      <c r="D36" t="s">
        <v>817</v>
      </c>
      <c r="E36" s="451">
        <v>46426</v>
      </c>
      <c r="F36" s="451">
        <v>46446</v>
      </c>
      <c r="G36" t="s">
        <v>777</v>
      </c>
      <c r="H36" t="s">
        <v>368</v>
      </c>
      <c r="I36" t="s">
        <v>806</v>
      </c>
      <c r="J36">
        <v>-1356.39</v>
      </c>
      <c r="K36">
        <v>-1356.39</v>
      </c>
      <c r="O36" t="s">
        <v>779</v>
      </c>
      <c r="Q36" t="s">
        <v>815</v>
      </c>
      <c r="R36">
        <v>0</v>
      </c>
    </row>
    <row r="37" spans="1:18" x14ac:dyDescent="0.3">
      <c r="A37">
        <v>212762</v>
      </c>
      <c r="B37" t="s">
        <v>557</v>
      </c>
      <c r="C37" t="s">
        <v>818</v>
      </c>
      <c r="D37" t="s">
        <v>819</v>
      </c>
      <c r="E37" s="451">
        <v>46419</v>
      </c>
      <c r="F37" s="451">
        <v>46461</v>
      </c>
      <c r="G37" t="s">
        <v>570</v>
      </c>
      <c r="H37" t="s">
        <v>573</v>
      </c>
      <c r="I37" t="s">
        <v>820</v>
      </c>
      <c r="J37">
        <v>-2000</v>
      </c>
      <c r="K37">
        <v>-2000</v>
      </c>
      <c r="M37" t="s">
        <v>821</v>
      </c>
      <c r="N37" t="s">
        <v>133</v>
      </c>
      <c r="O37" t="s">
        <v>779</v>
      </c>
      <c r="Q37" t="s">
        <v>815</v>
      </c>
      <c r="R37">
        <v>0</v>
      </c>
    </row>
    <row r="38" spans="1:18" x14ac:dyDescent="0.3">
      <c r="A38">
        <v>212750</v>
      </c>
      <c r="B38" t="s">
        <v>557</v>
      </c>
      <c r="C38" t="s">
        <v>818</v>
      </c>
      <c r="D38" t="s">
        <v>819</v>
      </c>
      <c r="E38" s="451">
        <v>46419</v>
      </c>
      <c r="F38" s="451">
        <v>46447</v>
      </c>
      <c r="G38" t="s">
        <v>570</v>
      </c>
      <c r="H38" t="s">
        <v>573</v>
      </c>
      <c r="I38" t="s">
        <v>822</v>
      </c>
      <c r="J38">
        <v>-2000</v>
      </c>
      <c r="K38">
        <v>-2000</v>
      </c>
      <c r="M38" t="s">
        <v>821</v>
      </c>
      <c r="N38" t="s">
        <v>133</v>
      </c>
      <c r="O38" t="s">
        <v>779</v>
      </c>
      <c r="Q38" t="s">
        <v>815</v>
      </c>
      <c r="R38">
        <v>0</v>
      </c>
    </row>
    <row r="39" spans="1:18" x14ac:dyDescent="0.3">
      <c r="A39">
        <v>192407</v>
      </c>
      <c r="B39" t="s">
        <v>557</v>
      </c>
      <c r="C39" t="s">
        <v>823</v>
      </c>
      <c r="D39" t="s">
        <v>819</v>
      </c>
      <c r="E39" s="451">
        <v>46419</v>
      </c>
      <c r="F39" s="451">
        <v>46433</v>
      </c>
      <c r="G39" t="s">
        <v>279</v>
      </c>
      <c r="H39" t="s">
        <v>286</v>
      </c>
      <c r="I39" t="s">
        <v>824</v>
      </c>
      <c r="J39">
        <v>-219</v>
      </c>
      <c r="K39">
        <v>-219</v>
      </c>
      <c r="O39" t="s">
        <v>779</v>
      </c>
      <c r="Q39" t="s">
        <v>815</v>
      </c>
      <c r="R39">
        <v>0</v>
      </c>
    </row>
    <row r="40" spans="1:18" x14ac:dyDescent="0.3">
      <c r="A40">
        <v>196421</v>
      </c>
      <c r="B40" t="s">
        <v>557</v>
      </c>
      <c r="C40" t="s">
        <v>825</v>
      </c>
      <c r="D40" t="s">
        <v>819</v>
      </c>
      <c r="E40" s="451">
        <v>46419</v>
      </c>
      <c r="F40" s="451">
        <v>46452</v>
      </c>
      <c r="G40" t="s">
        <v>574</v>
      </c>
      <c r="H40" t="s">
        <v>575</v>
      </c>
      <c r="I40" t="s">
        <v>826</v>
      </c>
      <c r="J40">
        <v>-47000</v>
      </c>
      <c r="K40">
        <v>-47000</v>
      </c>
      <c r="O40" t="s">
        <v>779</v>
      </c>
      <c r="Q40" t="s">
        <v>815</v>
      </c>
      <c r="R40">
        <v>0</v>
      </c>
    </row>
    <row r="41" spans="1:18" x14ac:dyDescent="0.3">
      <c r="A41">
        <v>32288</v>
      </c>
      <c r="B41" t="s">
        <v>557</v>
      </c>
      <c r="C41" t="s">
        <v>259</v>
      </c>
      <c r="D41" t="s">
        <v>827</v>
      </c>
      <c r="E41" s="451">
        <v>46413</v>
      </c>
      <c r="F41" s="451">
        <v>46413</v>
      </c>
      <c r="G41" t="s">
        <v>256</v>
      </c>
      <c r="H41" t="s">
        <v>259</v>
      </c>
      <c r="I41" t="s">
        <v>782</v>
      </c>
      <c r="J41">
        <v>-416.33</v>
      </c>
      <c r="K41">
        <v>-416.33</v>
      </c>
      <c r="O41" t="s">
        <v>787</v>
      </c>
      <c r="P41" t="s">
        <v>788</v>
      </c>
      <c r="Q41" t="s">
        <v>828</v>
      </c>
      <c r="R41">
        <v>0</v>
      </c>
    </row>
    <row r="42" spans="1:18" x14ac:dyDescent="0.3">
      <c r="A42">
        <v>32177</v>
      </c>
      <c r="B42" t="s">
        <v>557</v>
      </c>
      <c r="C42" t="s">
        <v>259</v>
      </c>
      <c r="D42" t="s">
        <v>776</v>
      </c>
      <c r="E42" s="451">
        <v>46413</v>
      </c>
      <c r="F42" s="451">
        <v>46413</v>
      </c>
      <c r="G42" t="s">
        <v>777</v>
      </c>
      <c r="H42" t="s">
        <v>368</v>
      </c>
      <c r="I42" t="s">
        <v>778</v>
      </c>
      <c r="J42">
        <v>-1520.61</v>
      </c>
      <c r="K42">
        <v>-1520.61</v>
      </c>
      <c r="O42" t="s">
        <v>787</v>
      </c>
      <c r="P42" t="s">
        <v>788</v>
      </c>
      <c r="Q42" t="s">
        <v>828</v>
      </c>
      <c r="R42">
        <v>0</v>
      </c>
    </row>
    <row r="43" spans="1:18" x14ac:dyDescent="0.3">
      <c r="A43">
        <v>237287</v>
      </c>
      <c r="B43" t="s">
        <v>557</v>
      </c>
      <c r="C43" t="s">
        <v>259</v>
      </c>
      <c r="D43" t="s">
        <v>829</v>
      </c>
      <c r="E43" s="451">
        <v>46395</v>
      </c>
      <c r="F43" s="451">
        <v>46417</v>
      </c>
      <c r="G43" t="s">
        <v>777</v>
      </c>
      <c r="H43" t="s">
        <v>368</v>
      </c>
      <c r="I43" t="s">
        <v>805</v>
      </c>
      <c r="J43">
        <v>-4322.5600000000004</v>
      </c>
      <c r="K43">
        <v>-4322.5600000000004</v>
      </c>
      <c r="O43" t="s">
        <v>779</v>
      </c>
      <c r="Q43" t="s">
        <v>828</v>
      </c>
      <c r="R43">
        <v>0</v>
      </c>
    </row>
    <row r="44" spans="1:18" x14ac:dyDescent="0.3">
      <c r="A44">
        <v>237275</v>
      </c>
      <c r="B44" t="s">
        <v>557</v>
      </c>
      <c r="C44" t="s">
        <v>259</v>
      </c>
      <c r="D44" t="s">
        <v>829</v>
      </c>
      <c r="E44" s="451">
        <v>46395</v>
      </c>
      <c r="F44" s="451">
        <v>46417</v>
      </c>
      <c r="G44" t="s">
        <v>777</v>
      </c>
      <c r="H44" t="s">
        <v>368</v>
      </c>
      <c r="I44" t="s">
        <v>813</v>
      </c>
      <c r="J44">
        <v>-1356.39</v>
      </c>
      <c r="K44">
        <v>-1356.39</v>
      </c>
      <c r="O44" t="s">
        <v>779</v>
      </c>
      <c r="Q44" t="s">
        <v>828</v>
      </c>
      <c r="R44">
        <v>0</v>
      </c>
    </row>
    <row r="45" spans="1:18" x14ac:dyDescent="0.3">
      <c r="A45">
        <v>212749</v>
      </c>
      <c r="B45" t="s">
        <v>557</v>
      </c>
      <c r="C45" t="s">
        <v>818</v>
      </c>
      <c r="D45" t="s">
        <v>819</v>
      </c>
      <c r="E45" s="451">
        <v>46388</v>
      </c>
      <c r="F45" s="451">
        <v>46419</v>
      </c>
      <c r="G45" t="s">
        <v>570</v>
      </c>
      <c r="H45" t="s">
        <v>573</v>
      </c>
      <c r="I45" t="s">
        <v>822</v>
      </c>
      <c r="J45">
        <v>-2000</v>
      </c>
      <c r="K45">
        <v>-2000</v>
      </c>
      <c r="M45" t="s">
        <v>821</v>
      </c>
      <c r="N45" t="s">
        <v>133</v>
      </c>
      <c r="O45" t="s">
        <v>779</v>
      </c>
      <c r="Q45" t="s">
        <v>828</v>
      </c>
      <c r="R45">
        <v>0</v>
      </c>
    </row>
    <row r="46" spans="1:18" x14ac:dyDescent="0.3">
      <c r="A46">
        <v>212761</v>
      </c>
      <c r="B46" t="s">
        <v>557</v>
      </c>
      <c r="C46" t="s">
        <v>818</v>
      </c>
      <c r="D46" t="s">
        <v>819</v>
      </c>
      <c r="E46" s="451">
        <v>46388</v>
      </c>
      <c r="F46" s="451">
        <v>46433</v>
      </c>
      <c r="G46" t="s">
        <v>570</v>
      </c>
      <c r="H46" t="s">
        <v>573</v>
      </c>
      <c r="I46" t="s">
        <v>820</v>
      </c>
      <c r="J46">
        <v>-2000</v>
      </c>
      <c r="K46">
        <v>-2000</v>
      </c>
      <c r="M46" t="s">
        <v>821</v>
      </c>
      <c r="N46" t="s">
        <v>133</v>
      </c>
      <c r="O46" t="s">
        <v>779</v>
      </c>
      <c r="Q46" t="s">
        <v>828</v>
      </c>
      <c r="R46">
        <v>0</v>
      </c>
    </row>
    <row r="47" spans="1:18" x14ac:dyDescent="0.3">
      <c r="A47">
        <v>192579</v>
      </c>
      <c r="B47" t="s">
        <v>557</v>
      </c>
      <c r="C47" t="s">
        <v>830</v>
      </c>
      <c r="D47" t="s">
        <v>819</v>
      </c>
      <c r="E47" s="451">
        <v>46388</v>
      </c>
      <c r="F47" s="451">
        <v>46407</v>
      </c>
      <c r="G47" t="s">
        <v>264</v>
      </c>
      <c r="H47" t="s">
        <v>276</v>
      </c>
      <c r="I47" t="s">
        <v>831</v>
      </c>
      <c r="J47">
        <v>-1600</v>
      </c>
      <c r="K47">
        <v>-1600</v>
      </c>
      <c r="O47" t="s">
        <v>779</v>
      </c>
      <c r="Q47" t="s">
        <v>828</v>
      </c>
      <c r="R47">
        <v>0</v>
      </c>
    </row>
    <row r="48" spans="1:18" x14ac:dyDescent="0.3">
      <c r="A48">
        <v>191988</v>
      </c>
      <c r="B48" t="s">
        <v>557</v>
      </c>
      <c r="C48" t="s">
        <v>832</v>
      </c>
      <c r="D48" t="s">
        <v>819</v>
      </c>
      <c r="E48" s="451">
        <v>46388</v>
      </c>
      <c r="F48" s="451">
        <v>46407</v>
      </c>
      <c r="G48" t="s">
        <v>264</v>
      </c>
      <c r="H48" t="s">
        <v>271</v>
      </c>
      <c r="I48" t="s">
        <v>833</v>
      </c>
      <c r="J48">
        <v>-1500</v>
      </c>
      <c r="K48">
        <v>-1500</v>
      </c>
      <c r="O48" t="s">
        <v>779</v>
      </c>
      <c r="Q48" t="s">
        <v>828</v>
      </c>
      <c r="R48">
        <v>0</v>
      </c>
    </row>
    <row r="49" spans="1:18" x14ac:dyDescent="0.3">
      <c r="A49">
        <v>196308</v>
      </c>
      <c r="B49" t="s">
        <v>557</v>
      </c>
      <c r="C49" t="s">
        <v>834</v>
      </c>
      <c r="D49" t="s">
        <v>819</v>
      </c>
      <c r="E49" s="451">
        <v>46388</v>
      </c>
      <c r="F49" s="451">
        <v>46384</v>
      </c>
      <c r="G49" t="s">
        <v>578</v>
      </c>
      <c r="H49" t="s">
        <v>239</v>
      </c>
      <c r="I49" t="s">
        <v>835</v>
      </c>
      <c r="J49">
        <v>-8000</v>
      </c>
      <c r="K49">
        <v>-8000</v>
      </c>
      <c r="O49" t="s">
        <v>779</v>
      </c>
      <c r="Q49" t="s">
        <v>828</v>
      </c>
      <c r="R49">
        <v>0</v>
      </c>
    </row>
    <row r="50" spans="1:18" x14ac:dyDescent="0.3">
      <c r="A50">
        <v>192406</v>
      </c>
      <c r="B50" t="s">
        <v>557</v>
      </c>
      <c r="C50" t="s">
        <v>823</v>
      </c>
      <c r="D50" t="s">
        <v>819</v>
      </c>
      <c r="E50" s="451">
        <v>46388</v>
      </c>
      <c r="F50" s="451">
        <v>46402</v>
      </c>
      <c r="G50" t="s">
        <v>279</v>
      </c>
      <c r="H50" t="s">
        <v>286</v>
      </c>
      <c r="I50" t="s">
        <v>824</v>
      </c>
      <c r="J50">
        <v>-219</v>
      </c>
      <c r="K50">
        <v>-219</v>
      </c>
      <c r="O50" t="s">
        <v>779</v>
      </c>
      <c r="Q50" t="s">
        <v>828</v>
      </c>
      <c r="R50">
        <v>0</v>
      </c>
    </row>
    <row r="51" spans="1:18" x14ac:dyDescent="0.3">
      <c r="A51">
        <v>192521</v>
      </c>
      <c r="B51" t="s">
        <v>557</v>
      </c>
      <c r="C51" t="s">
        <v>836</v>
      </c>
      <c r="D51" t="s">
        <v>819</v>
      </c>
      <c r="E51" s="451">
        <v>46388</v>
      </c>
      <c r="F51" s="451">
        <v>46408</v>
      </c>
      <c r="G51" t="s">
        <v>318</v>
      </c>
      <c r="H51" t="s">
        <v>319</v>
      </c>
      <c r="I51" t="s">
        <v>837</v>
      </c>
      <c r="J51">
        <v>-500</v>
      </c>
      <c r="K51">
        <v>-500</v>
      </c>
      <c r="O51" t="s">
        <v>779</v>
      </c>
      <c r="Q51" t="s">
        <v>828</v>
      </c>
      <c r="R51">
        <v>0</v>
      </c>
    </row>
    <row r="52" spans="1:18" x14ac:dyDescent="0.3">
      <c r="A52">
        <v>191844</v>
      </c>
      <c r="B52" t="s">
        <v>557</v>
      </c>
      <c r="C52" t="s">
        <v>838</v>
      </c>
      <c r="D52" t="s">
        <v>819</v>
      </c>
      <c r="E52" s="451">
        <v>46388</v>
      </c>
      <c r="F52" s="451">
        <v>46397</v>
      </c>
      <c r="G52" t="s">
        <v>264</v>
      </c>
      <c r="H52" t="s">
        <v>267</v>
      </c>
      <c r="I52" t="s">
        <v>839</v>
      </c>
      <c r="J52">
        <v>-8000</v>
      </c>
      <c r="K52">
        <v>-8000</v>
      </c>
      <c r="O52" t="s">
        <v>779</v>
      </c>
      <c r="Q52" t="s">
        <v>828</v>
      </c>
      <c r="R52">
        <v>0</v>
      </c>
    </row>
    <row r="53" spans="1:18" x14ac:dyDescent="0.3">
      <c r="A53">
        <v>192604</v>
      </c>
      <c r="B53" t="s">
        <v>557</v>
      </c>
      <c r="C53" t="s">
        <v>840</v>
      </c>
      <c r="D53" t="s">
        <v>819</v>
      </c>
      <c r="E53" s="451">
        <v>46388</v>
      </c>
      <c r="F53" s="451">
        <v>46415</v>
      </c>
      <c r="G53" t="s">
        <v>581</v>
      </c>
      <c r="H53" t="s">
        <v>288</v>
      </c>
      <c r="I53" t="s">
        <v>841</v>
      </c>
      <c r="J53">
        <v>-2500</v>
      </c>
      <c r="K53">
        <v>-2500</v>
      </c>
      <c r="O53" t="s">
        <v>779</v>
      </c>
      <c r="Q53" t="s">
        <v>828</v>
      </c>
      <c r="R53">
        <v>0</v>
      </c>
    </row>
    <row r="54" spans="1:18" x14ac:dyDescent="0.3">
      <c r="A54">
        <v>204929</v>
      </c>
      <c r="B54" t="s">
        <v>557</v>
      </c>
      <c r="C54" t="s">
        <v>842</v>
      </c>
      <c r="D54" t="s">
        <v>819</v>
      </c>
      <c r="E54" s="451">
        <v>46388</v>
      </c>
      <c r="F54" s="451">
        <v>46415</v>
      </c>
      <c r="G54" t="s">
        <v>578</v>
      </c>
      <c r="H54" t="s">
        <v>242</v>
      </c>
      <c r="I54" t="s">
        <v>843</v>
      </c>
      <c r="J54">
        <v>-300</v>
      </c>
      <c r="K54">
        <v>-300</v>
      </c>
      <c r="O54" t="s">
        <v>779</v>
      </c>
      <c r="Q54" t="s">
        <v>828</v>
      </c>
      <c r="R54">
        <v>0</v>
      </c>
    </row>
    <row r="55" spans="1:18" x14ac:dyDescent="0.3">
      <c r="A55">
        <v>196420</v>
      </c>
      <c r="B55" t="s">
        <v>557</v>
      </c>
      <c r="C55" t="s">
        <v>825</v>
      </c>
      <c r="D55" t="s">
        <v>819</v>
      </c>
      <c r="E55" s="451">
        <v>46388</v>
      </c>
      <c r="F55" s="451">
        <v>46424</v>
      </c>
      <c r="G55" t="s">
        <v>574</v>
      </c>
      <c r="H55" t="s">
        <v>575</v>
      </c>
      <c r="I55" t="s">
        <v>826</v>
      </c>
      <c r="J55">
        <v>-47000</v>
      </c>
      <c r="K55">
        <v>-47000</v>
      </c>
      <c r="O55" t="s">
        <v>779</v>
      </c>
      <c r="Q55" t="s">
        <v>828</v>
      </c>
      <c r="R55">
        <v>0</v>
      </c>
    </row>
    <row r="56" spans="1:18" x14ac:dyDescent="0.3">
      <c r="A56">
        <v>196332</v>
      </c>
      <c r="B56" t="s">
        <v>557</v>
      </c>
      <c r="C56" t="s">
        <v>834</v>
      </c>
      <c r="D56" t="s">
        <v>819</v>
      </c>
      <c r="E56" s="451">
        <v>46388</v>
      </c>
      <c r="F56" s="451">
        <v>46382</v>
      </c>
      <c r="G56" t="s">
        <v>578</v>
      </c>
      <c r="H56" t="s">
        <v>239</v>
      </c>
      <c r="I56" t="s">
        <v>844</v>
      </c>
      <c r="J56">
        <v>-1500</v>
      </c>
      <c r="K56">
        <v>-1500</v>
      </c>
      <c r="O56" t="s">
        <v>779</v>
      </c>
      <c r="Q56" t="s">
        <v>828</v>
      </c>
      <c r="R56">
        <v>0</v>
      </c>
    </row>
    <row r="57" spans="1:18" x14ac:dyDescent="0.3">
      <c r="A57">
        <v>210572</v>
      </c>
      <c r="B57" t="s">
        <v>557</v>
      </c>
      <c r="C57" t="s">
        <v>517</v>
      </c>
      <c r="D57" t="s">
        <v>819</v>
      </c>
      <c r="E57" s="451">
        <v>46386</v>
      </c>
      <c r="F57" s="451">
        <v>46412</v>
      </c>
      <c r="G57" t="s">
        <v>563</v>
      </c>
      <c r="H57" t="s">
        <v>46</v>
      </c>
      <c r="J57">
        <v>-2600</v>
      </c>
      <c r="K57">
        <v>-2600</v>
      </c>
      <c r="O57" t="s">
        <v>779</v>
      </c>
      <c r="Q57" t="s">
        <v>470</v>
      </c>
      <c r="R57">
        <v>0</v>
      </c>
    </row>
    <row r="58" spans="1:18" x14ac:dyDescent="0.3">
      <c r="A58">
        <v>208535</v>
      </c>
      <c r="B58" t="s">
        <v>557</v>
      </c>
      <c r="C58" t="s">
        <v>845</v>
      </c>
      <c r="D58" t="s">
        <v>819</v>
      </c>
      <c r="E58" s="451">
        <v>46386</v>
      </c>
      <c r="F58" s="451">
        <v>46407</v>
      </c>
      <c r="G58" t="s">
        <v>577</v>
      </c>
      <c r="H58" t="s">
        <v>846</v>
      </c>
      <c r="J58">
        <v>-1700</v>
      </c>
      <c r="K58">
        <v>-1700</v>
      </c>
      <c r="O58" t="s">
        <v>779</v>
      </c>
      <c r="Q58" t="s">
        <v>470</v>
      </c>
      <c r="R58">
        <v>0</v>
      </c>
    </row>
    <row r="59" spans="1:18" x14ac:dyDescent="0.3">
      <c r="A59">
        <v>202394</v>
      </c>
      <c r="B59" t="s">
        <v>557</v>
      </c>
      <c r="C59" t="s">
        <v>847</v>
      </c>
      <c r="D59" t="s">
        <v>819</v>
      </c>
      <c r="E59" s="451">
        <v>46386</v>
      </c>
      <c r="F59" s="451">
        <v>46396</v>
      </c>
      <c r="G59" t="s">
        <v>578</v>
      </c>
      <c r="H59" t="s">
        <v>247</v>
      </c>
      <c r="J59">
        <v>-267.83</v>
      </c>
      <c r="K59">
        <v>-267.83</v>
      </c>
      <c r="O59" t="s">
        <v>779</v>
      </c>
      <c r="Q59" t="s">
        <v>470</v>
      </c>
      <c r="R59">
        <v>0</v>
      </c>
    </row>
    <row r="60" spans="1:18" x14ac:dyDescent="0.3">
      <c r="A60">
        <v>207161</v>
      </c>
      <c r="B60" t="s">
        <v>557</v>
      </c>
      <c r="C60" t="s">
        <v>429</v>
      </c>
      <c r="D60" t="s">
        <v>819</v>
      </c>
      <c r="E60" s="451">
        <v>46386</v>
      </c>
      <c r="F60" s="451">
        <v>46407</v>
      </c>
      <c r="G60" t="s">
        <v>577</v>
      </c>
      <c r="H60" t="s">
        <v>211</v>
      </c>
      <c r="I60" t="s">
        <v>848</v>
      </c>
      <c r="J60">
        <v>-10500</v>
      </c>
      <c r="K60">
        <v>-10500</v>
      </c>
      <c r="O60" t="s">
        <v>779</v>
      </c>
      <c r="Q60" t="s">
        <v>470</v>
      </c>
      <c r="R60">
        <v>0</v>
      </c>
    </row>
    <row r="61" spans="1:18" x14ac:dyDescent="0.3">
      <c r="A61">
        <v>197132</v>
      </c>
      <c r="B61" t="s">
        <v>557</v>
      </c>
      <c r="C61" t="s">
        <v>48</v>
      </c>
      <c r="D61" t="s">
        <v>819</v>
      </c>
      <c r="E61" s="451">
        <v>46386</v>
      </c>
      <c r="F61" s="451">
        <v>46407</v>
      </c>
      <c r="G61" t="s">
        <v>563</v>
      </c>
      <c r="H61" t="s">
        <v>48</v>
      </c>
      <c r="J61">
        <v>-17000</v>
      </c>
      <c r="K61">
        <v>-17000</v>
      </c>
      <c r="O61" t="s">
        <v>779</v>
      </c>
      <c r="Q61" t="s">
        <v>470</v>
      </c>
      <c r="R61">
        <v>0</v>
      </c>
    </row>
    <row r="62" spans="1:18" x14ac:dyDescent="0.3">
      <c r="A62">
        <v>208291</v>
      </c>
      <c r="B62" t="s">
        <v>557</v>
      </c>
      <c r="C62" t="s">
        <v>428</v>
      </c>
      <c r="D62" t="s">
        <v>819</v>
      </c>
      <c r="E62" s="451">
        <v>46386</v>
      </c>
      <c r="F62" s="451">
        <v>46407</v>
      </c>
      <c r="G62" t="s">
        <v>577</v>
      </c>
      <c r="H62" t="s">
        <v>206</v>
      </c>
      <c r="J62">
        <v>-4800</v>
      </c>
      <c r="K62">
        <v>-4800</v>
      </c>
      <c r="O62" t="s">
        <v>779</v>
      </c>
      <c r="Q62" t="s">
        <v>470</v>
      </c>
      <c r="R62">
        <v>0</v>
      </c>
    </row>
    <row r="63" spans="1:18" x14ac:dyDescent="0.3">
      <c r="A63">
        <v>197660</v>
      </c>
      <c r="B63" t="s">
        <v>557</v>
      </c>
      <c r="C63" t="s">
        <v>849</v>
      </c>
      <c r="D63" t="s">
        <v>819</v>
      </c>
      <c r="E63" s="451">
        <v>46386</v>
      </c>
      <c r="F63" s="451">
        <v>46407</v>
      </c>
      <c r="G63" t="s">
        <v>308</v>
      </c>
      <c r="H63" t="s">
        <v>309</v>
      </c>
      <c r="I63" t="s">
        <v>850</v>
      </c>
      <c r="J63">
        <v>-200</v>
      </c>
      <c r="K63">
        <v>-200</v>
      </c>
      <c r="O63" t="s">
        <v>779</v>
      </c>
      <c r="Q63" t="s">
        <v>470</v>
      </c>
      <c r="R63">
        <v>0</v>
      </c>
    </row>
    <row r="64" spans="1:18" x14ac:dyDescent="0.3">
      <c r="A64">
        <v>210560</v>
      </c>
      <c r="B64" t="s">
        <v>557</v>
      </c>
      <c r="C64" t="s">
        <v>518</v>
      </c>
      <c r="D64" t="s">
        <v>819</v>
      </c>
      <c r="E64" s="451">
        <v>46386</v>
      </c>
      <c r="F64" s="451">
        <v>46412</v>
      </c>
      <c r="G64" t="s">
        <v>563</v>
      </c>
      <c r="H64" t="s">
        <v>46</v>
      </c>
      <c r="J64">
        <v>-12000</v>
      </c>
      <c r="K64">
        <v>-12000</v>
      </c>
      <c r="O64" t="s">
        <v>779</v>
      </c>
      <c r="Q64" t="s">
        <v>470</v>
      </c>
      <c r="R64">
        <v>0</v>
      </c>
    </row>
    <row r="65" spans="1:18" x14ac:dyDescent="0.3">
      <c r="A65">
        <v>192071</v>
      </c>
      <c r="B65" t="s">
        <v>557</v>
      </c>
      <c r="C65" t="s">
        <v>851</v>
      </c>
      <c r="D65" t="s">
        <v>819</v>
      </c>
      <c r="E65" s="451">
        <v>46386</v>
      </c>
      <c r="F65" s="451">
        <v>46407</v>
      </c>
      <c r="G65" t="s">
        <v>318</v>
      </c>
      <c r="H65" t="s">
        <v>320</v>
      </c>
      <c r="I65" t="s">
        <v>852</v>
      </c>
      <c r="J65">
        <v>-200</v>
      </c>
      <c r="K65">
        <v>-200</v>
      </c>
      <c r="O65" t="s">
        <v>779</v>
      </c>
      <c r="Q65" t="s">
        <v>470</v>
      </c>
      <c r="R65">
        <v>0</v>
      </c>
    </row>
    <row r="66" spans="1:18" x14ac:dyDescent="0.3">
      <c r="A66">
        <v>197478</v>
      </c>
      <c r="B66" t="s">
        <v>557</v>
      </c>
      <c r="C66" t="s">
        <v>845</v>
      </c>
      <c r="D66" t="s">
        <v>819</v>
      </c>
      <c r="E66" s="451">
        <v>46386</v>
      </c>
      <c r="F66" s="451">
        <v>46407</v>
      </c>
      <c r="G66" t="s">
        <v>308</v>
      </c>
      <c r="H66" t="s">
        <v>309</v>
      </c>
      <c r="I66" t="s">
        <v>853</v>
      </c>
      <c r="J66">
        <v>-20</v>
      </c>
      <c r="K66">
        <v>-20</v>
      </c>
      <c r="O66" t="s">
        <v>779</v>
      </c>
      <c r="Q66" t="s">
        <v>470</v>
      </c>
      <c r="R66">
        <v>0</v>
      </c>
    </row>
    <row r="67" spans="1:18" x14ac:dyDescent="0.3">
      <c r="A67">
        <v>226454</v>
      </c>
      <c r="B67" t="s">
        <v>557</v>
      </c>
      <c r="C67" t="s">
        <v>854</v>
      </c>
      <c r="D67" t="s">
        <v>819</v>
      </c>
      <c r="E67" s="451">
        <v>46386</v>
      </c>
      <c r="F67" s="451">
        <v>46416</v>
      </c>
      <c r="G67" t="s">
        <v>604</v>
      </c>
      <c r="H67" t="s">
        <v>344</v>
      </c>
      <c r="I67" t="s">
        <v>6</v>
      </c>
      <c r="J67">
        <v>-24489.119999999999</v>
      </c>
      <c r="K67">
        <v>-24489.119999999999</v>
      </c>
      <c r="O67" t="s">
        <v>779</v>
      </c>
      <c r="Q67" t="s">
        <v>470</v>
      </c>
      <c r="R67">
        <v>0</v>
      </c>
    </row>
    <row r="68" spans="1:18" x14ac:dyDescent="0.3">
      <c r="A68">
        <v>226458</v>
      </c>
      <c r="B68" t="s">
        <v>557</v>
      </c>
      <c r="C68" t="s">
        <v>346</v>
      </c>
      <c r="D68" t="s">
        <v>819</v>
      </c>
      <c r="E68" s="451">
        <v>46386</v>
      </c>
      <c r="F68" s="451">
        <v>46416</v>
      </c>
      <c r="G68" t="s">
        <v>604</v>
      </c>
      <c r="H68" t="s">
        <v>346</v>
      </c>
      <c r="I68" t="s">
        <v>6</v>
      </c>
      <c r="J68">
        <v>-45348.03</v>
      </c>
      <c r="K68">
        <v>-45348.03</v>
      </c>
      <c r="O68" t="s">
        <v>779</v>
      </c>
      <c r="Q68" t="s">
        <v>470</v>
      </c>
      <c r="R68">
        <v>0</v>
      </c>
    </row>
    <row r="69" spans="1:18" x14ac:dyDescent="0.3">
      <c r="A69">
        <v>197258</v>
      </c>
      <c r="B69" t="s">
        <v>557</v>
      </c>
      <c r="C69" t="s">
        <v>49</v>
      </c>
      <c r="D69" t="s">
        <v>819</v>
      </c>
      <c r="E69" s="451">
        <v>46384</v>
      </c>
      <c r="F69" s="451">
        <v>46397</v>
      </c>
      <c r="G69" t="s">
        <v>279</v>
      </c>
      <c r="H69" t="s">
        <v>283</v>
      </c>
      <c r="J69">
        <v>-100</v>
      </c>
      <c r="K69">
        <v>-100</v>
      </c>
      <c r="O69" t="s">
        <v>779</v>
      </c>
      <c r="Q69" t="s">
        <v>470</v>
      </c>
      <c r="R69">
        <v>0</v>
      </c>
    </row>
    <row r="70" spans="1:18" x14ac:dyDescent="0.3">
      <c r="A70">
        <v>197466</v>
      </c>
      <c r="B70" t="s">
        <v>557</v>
      </c>
      <c r="C70" t="s">
        <v>845</v>
      </c>
      <c r="D70" t="s">
        <v>819</v>
      </c>
      <c r="E70" s="451">
        <v>46384</v>
      </c>
      <c r="F70" s="451">
        <v>46407</v>
      </c>
      <c r="G70" t="s">
        <v>308</v>
      </c>
      <c r="H70" t="s">
        <v>309</v>
      </c>
      <c r="J70">
        <v>-50</v>
      </c>
      <c r="K70">
        <v>-50</v>
      </c>
      <c r="O70" t="s">
        <v>779</v>
      </c>
      <c r="Q70" t="s">
        <v>470</v>
      </c>
      <c r="R70">
        <v>0</v>
      </c>
    </row>
    <row r="71" spans="1:18" x14ac:dyDescent="0.3">
      <c r="A71">
        <v>32244</v>
      </c>
      <c r="B71" t="s">
        <v>557</v>
      </c>
      <c r="C71" t="s">
        <v>259</v>
      </c>
      <c r="D71" t="s">
        <v>855</v>
      </c>
      <c r="E71" s="451">
        <v>46382</v>
      </c>
      <c r="F71" s="451">
        <v>46382</v>
      </c>
      <c r="G71" t="s">
        <v>256</v>
      </c>
      <c r="H71" t="s">
        <v>259</v>
      </c>
      <c r="I71" t="s">
        <v>782</v>
      </c>
      <c r="J71">
        <v>-416.33</v>
      </c>
      <c r="K71">
        <v>-416.33</v>
      </c>
      <c r="O71" t="s">
        <v>787</v>
      </c>
      <c r="P71" t="s">
        <v>788</v>
      </c>
      <c r="Q71" t="s">
        <v>470</v>
      </c>
      <c r="R71">
        <v>0</v>
      </c>
    </row>
    <row r="72" spans="1:18" x14ac:dyDescent="0.3">
      <c r="A72">
        <v>32178</v>
      </c>
      <c r="B72" t="s">
        <v>557</v>
      </c>
      <c r="C72" t="s">
        <v>259</v>
      </c>
      <c r="D72" t="s">
        <v>776</v>
      </c>
      <c r="E72" s="451">
        <v>46382</v>
      </c>
      <c r="F72" s="451">
        <v>46382</v>
      </c>
      <c r="G72" t="s">
        <v>777</v>
      </c>
      <c r="H72" t="s">
        <v>368</v>
      </c>
      <c r="I72" t="s">
        <v>778</v>
      </c>
      <c r="J72">
        <v>-1520.61</v>
      </c>
      <c r="K72">
        <v>-1520.61</v>
      </c>
      <c r="O72" t="s">
        <v>787</v>
      </c>
      <c r="P72" t="s">
        <v>788</v>
      </c>
      <c r="Q72" t="s">
        <v>470</v>
      </c>
      <c r="R72">
        <v>0</v>
      </c>
    </row>
    <row r="73" spans="1:18" x14ac:dyDescent="0.3">
      <c r="A73">
        <v>191796</v>
      </c>
      <c r="B73" t="s">
        <v>557</v>
      </c>
      <c r="C73" t="s">
        <v>856</v>
      </c>
      <c r="D73" t="s">
        <v>819</v>
      </c>
      <c r="E73" s="451">
        <v>46371</v>
      </c>
      <c r="F73" s="451">
        <v>46402</v>
      </c>
      <c r="G73" t="s">
        <v>264</v>
      </c>
      <c r="H73" t="s">
        <v>265</v>
      </c>
      <c r="I73" t="s">
        <v>857</v>
      </c>
      <c r="J73">
        <v>-5000</v>
      </c>
      <c r="K73">
        <v>-5000</v>
      </c>
      <c r="O73" t="s">
        <v>779</v>
      </c>
      <c r="Q73" t="s">
        <v>470</v>
      </c>
      <c r="R73">
        <v>0</v>
      </c>
    </row>
    <row r="74" spans="1:18" x14ac:dyDescent="0.3">
      <c r="A74">
        <v>192160</v>
      </c>
      <c r="B74" t="s">
        <v>557</v>
      </c>
      <c r="C74" t="s">
        <v>858</v>
      </c>
      <c r="D74" t="s">
        <v>819</v>
      </c>
      <c r="E74" s="451">
        <v>46371</v>
      </c>
      <c r="F74" s="451">
        <v>46402</v>
      </c>
      <c r="G74" t="s">
        <v>279</v>
      </c>
      <c r="H74" t="s">
        <v>285</v>
      </c>
      <c r="I74" t="s">
        <v>859</v>
      </c>
      <c r="J74">
        <v>-389</v>
      </c>
      <c r="K74">
        <v>-389</v>
      </c>
      <c r="O74" t="s">
        <v>779</v>
      </c>
      <c r="Q74" t="s">
        <v>470</v>
      </c>
      <c r="R74">
        <v>0</v>
      </c>
    </row>
    <row r="75" spans="1:18" x14ac:dyDescent="0.3">
      <c r="A75">
        <v>191808</v>
      </c>
      <c r="B75" t="s">
        <v>557</v>
      </c>
      <c r="C75" t="s">
        <v>856</v>
      </c>
      <c r="D75" t="s">
        <v>819</v>
      </c>
      <c r="E75" s="451">
        <v>46371</v>
      </c>
      <c r="F75" s="451">
        <v>46402</v>
      </c>
      <c r="G75" t="s">
        <v>264</v>
      </c>
      <c r="H75" t="s">
        <v>265</v>
      </c>
      <c r="I75" t="s">
        <v>860</v>
      </c>
      <c r="J75">
        <v>-2000</v>
      </c>
      <c r="K75">
        <v>-2000</v>
      </c>
      <c r="O75" t="s">
        <v>779</v>
      </c>
      <c r="Q75" t="s">
        <v>470</v>
      </c>
      <c r="R75">
        <v>0</v>
      </c>
    </row>
    <row r="76" spans="1:18" x14ac:dyDescent="0.3">
      <c r="A76">
        <v>192001</v>
      </c>
      <c r="B76" t="s">
        <v>557</v>
      </c>
      <c r="C76" t="s">
        <v>861</v>
      </c>
      <c r="D76" t="s">
        <v>819</v>
      </c>
      <c r="E76" s="451">
        <v>46367</v>
      </c>
      <c r="F76" s="451">
        <v>46397</v>
      </c>
      <c r="G76" t="s">
        <v>256</v>
      </c>
      <c r="H76" t="s">
        <v>257</v>
      </c>
      <c r="I76" t="s">
        <v>862</v>
      </c>
      <c r="J76">
        <v>-17308</v>
      </c>
      <c r="K76">
        <v>-17308</v>
      </c>
      <c r="O76" t="s">
        <v>779</v>
      </c>
      <c r="Q76" t="s">
        <v>470</v>
      </c>
      <c r="R76">
        <v>0</v>
      </c>
    </row>
    <row r="77" spans="1:18" x14ac:dyDescent="0.3">
      <c r="A77">
        <v>192014</v>
      </c>
      <c r="B77" t="s">
        <v>557</v>
      </c>
      <c r="C77" t="s">
        <v>863</v>
      </c>
      <c r="D77" t="s">
        <v>819</v>
      </c>
      <c r="E77" s="451">
        <v>46366</v>
      </c>
      <c r="F77" s="451">
        <v>46386</v>
      </c>
      <c r="G77" t="s">
        <v>256</v>
      </c>
      <c r="H77" t="s">
        <v>257</v>
      </c>
      <c r="I77" t="s">
        <v>864</v>
      </c>
      <c r="J77">
        <v>-27694</v>
      </c>
      <c r="K77">
        <v>-27694</v>
      </c>
      <c r="O77" t="s">
        <v>779</v>
      </c>
      <c r="Q77" t="s">
        <v>470</v>
      </c>
      <c r="R77">
        <v>0</v>
      </c>
    </row>
    <row r="78" spans="1:18" x14ac:dyDescent="0.3">
      <c r="A78">
        <v>237274</v>
      </c>
      <c r="B78" t="s">
        <v>557</v>
      </c>
      <c r="C78" t="s">
        <v>259</v>
      </c>
      <c r="D78" t="s">
        <v>865</v>
      </c>
      <c r="E78" s="451">
        <v>46364</v>
      </c>
      <c r="F78" s="451">
        <v>46386</v>
      </c>
      <c r="G78" t="s">
        <v>777</v>
      </c>
      <c r="H78" t="s">
        <v>368</v>
      </c>
      <c r="I78" t="s">
        <v>806</v>
      </c>
      <c r="J78">
        <v>-1356.39</v>
      </c>
      <c r="K78">
        <v>-1356.39</v>
      </c>
      <c r="O78" t="s">
        <v>779</v>
      </c>
      <c r="Q78" t="s">
        <v>470</v>
      </c>
      <c r="R78">
        <v>0</v>
      </c>
    </row>
    <row r="79" spans="1:18" x14ac:dyDescent="0.3">
      <c r="A79">
        <v>237286</v>
      </c>
      <c r="B79" t="s">
        <v>557</v>
      </c>
      <c r="C79" t="s">
        <v>259</v>
      </c>
      <c r="D79" t="s">
        <v>865</v>
      </c>
      <c r="E79" s="451">
        <v>46364</v>
      </c>
      <c r="F79" s="451">
        <v>46386</v>
      </c>
      <c r="G79" t="s">
        <v>777</v>
      </c>
      <c r="H79" t="s">
        <v>368</v>
      </c>
      <c r="I79" t="s">
        <v>805</v>
      </c>
      <c r="J79">
        <v>-4322.5600000000004</v>
      </c>
      <c r="K79">
        <v>-4322.5600000000004</v>
      </c>
      <c r="O79" t="s">
        <v>779</v>
      </c>
      <c r="Q79" t="s">
        <v>470</v>
      </c>
      <c r="R79">
        <v>0</v>
      </c>
    </row>
    <row r="80" spans="1:18" x14ac:dyDescent="0.3">
      <c r="A80">
        <v>212748</v>
      </c>
      <c r="B80" t="s">
        <v>557</v>
      </c>
      <c r="C80" t="s">
        <v>818</v>
      </c>
      <c r="D80" t="s">
        <v>819</v>
      </c>
      <c r="E80" s="451">
        <v>46357</v>
      </c>
      <c r="F80" s="451">
        <v>46388</v>
      </c>
      <c r="G80" t="s">
        <v>570</v>
      </c>
      <c r="H80" t="s">
        <v>573</v>
      </c>
      <c r="I80" t="s">
        <v>822</v>
      </c>
      <c r="J80">
        <v>-2000</v>
      </c>
      <c r="K80">
        <v>-2000</v>
      </c>
      <c r="M80" t="s">
        <v>821</v>
      </c>
      <c r="N80" t="s">
        <v>133</v>
      </c>
      <c r="O80" t="s">
        <v>779</v>
      </c>
      <c r="Q80" t="s">
        <v>470</v>
      </c>
      <c r="R80">
        <v>0</v>
      </c>
    </row>
    <row r="81" spans="1:18" x14ac:dyDescent="0.3">
      <c r="A81">
        <v>220629</v>
      </c>
      <c r="B81" t="s">
        <v>557</v>
      </c>
      <c r="C81" t="s">
        <v>866</v>
      </c>
      <c r="D81" t="s">
        <v>819</v>
      </c>
      <c r="E81" s="451">
        <v>46357</v>
      </c>
      <c r="F81" s="451">
        <v>46366</v>
      </c>
      <c r="G81" t="s">
        <v>578</v>
      </c>
      <c r="H81" t="s">
        <v>240</v>
      </c>
      <c r="I81" t="s">
        <v>867</v>
      </c>
      <c r="J81">
        <v>-1545.49</v>
      </c>
      <c r="K81">
        <v>0</v>
      </c>
      <c r="O81" t="s">
        <v>787</v>
      </c>
      <c r="Q81" t="s">
        <v>470</v>
      </c>
      <c r="R81">
        <v>0</v>
      </c>
    </row>
    <row r="82" spans="1:18" x14ac:dyDescent="0.3">
      <c r="A82">
        <v>227735</v>
      </c>
      <c r="B82" t="s">
        <v>557</v>
      </c>
      <c r="C82" t="s">
        <v>868</v>
      </c>
      <c r="D82" t="s">
        <v>819</v>
      </c>
      <c r="E82" s="451">
        <v>46357</v>
      </c>
      <c r="F82" s="451">
        <v>46392</v>
      </c>
      <c r="G82" t="s">
        <v>279</v>
      </c>
      <c r="H82" t="s">
        <v>286</v>
      </c>
      <c r="I82" t="s">
        <v>869</v>
      </c>
      <c r="J82">
        <v>-436.5</v>
      </c>
      <c r="K82">
        <v>-436.5</v>
      </c>
      <c r="O82" t="s">
        <v>779</v>
      </c>
      <c r="Q82" t="s">
        <v>470</v>
      </c>
      <c r="R82">
        <v>0</v>
      </c>
    </row>
    <row r="83" spans="1:18" x14ac:dyDescent="0.3">
      <c r="A83">
        <v>212760</v>
      </c>
      <c r="B83" t="s">
        <v>557</v>
      </c>
      <c r="C83" t="s">
        <v>818</v>
      </c>
      <c r="D83" t="s">
        <v>819</v>
      </c>
      <c r="E83" s="451">
        <v>46357</v>
      </c>
      <c r="F83" s="451">
        <v>46402</v>
      </c>
      <c r="G83" t="s">
        <v>570</v>
      </c>
      <c r="H83" t="s">
        <v>573</v>
      </c>
      <c r="I83" t="s">
        <v>820</v>
      </c>
      <c r="J83">
        <v>-2000</v>
      </c>
      <c r="K83">
        <v>-2000</v>
      </c>
      <c r="M83" t="s">
        <v>821</v>
      </c>
      <c r="N83" t="s">
        <v>133</v>
      </c>
      <c r="O83" t="s">
        <v>779</v>
      </c>
      <c r="Q83" t="s">
        <v>470</v>
      </c>
      <c r="R83">
        <v>0</v>
      </c>
    </row>
    <row r="84" spans="1:18" x14ac:dyDescent="0.3">
      <c r="A84">
        <v>192034</v>
      </c>
      <c r="B84" t="s">
        <v>557</v>
      </c>
      <c r="C84" t="s">
        <v>870</v>
      </c>
      <c r="D84" t="s">
        <v>819</v>
      </c>
      <c r="E84" s="451">
        <v>46357</v>
      </c>
      <c r="F84" s="451">
        <v>46376</v>
      </c>
      <c r="G84" t="s">
        <v>308</v>
      </c>
      <c r="H84" t="s">
        <v>311</v>
      </c>
      <c r="I84" t="s">
        <v>871</v>
      </c>
      <c r="J84">
        <v>-1250</v>
      </c>
      <c r="K84">
        <v>-1250</v>
      </c>
      <c r="O84" t="s">
        <v>779</v>
      </c>
      <c r="Q84" t="s">
        <v>470</v>
      </c>
      <c r="R84">
        <v>0</v>
      </c>
    </row>
    <row r="85" spans="1:18" x14ac:dyDescent="0.3">
      <c r="A85">
        <v>191987</v>
      </c>
      <c r="B85" t="s">
        <v>557</v>
      </c>
      <c r="C85" t="s">
        <v>832</v>
      </c>
      <c r="D85" t="s">
        <v>819</v>
      </c>
      <c r="E85" s="451">
        <v>46357</v>
      </c>
      <c r="F85" s="451">
        <v>46376</v>
      </c>
      <c r="G85" t="s">
        <v>264</v>
      </c>
      <c r="H85" t="s">
        <v>271</v>
      </c>
      <c r="I85" t="s">
        <v>833</v>
      </c>
      <c r="J85">
        <v>-1500</v>
      </c>
      <c r="K85">
        <v>-1500</v>
      </c>
      <c r="O85" t="s">
        <v>779</v>
      </c>
      <c r="Q85" t="s">
        <v>470</v>
      </c>
      <c r="R85">
        <v>0</v>
      </c>
    </row>
    <row r="86" spans="1:18" x14ac:dyDescent="0.3">
      <c r="A86">
        <v>196670</v>
      </c>
      <c r="B86" t="s">
        <v>557</v>
      </c>
      <c r="C86" t="s">
        <v>825</v>
      </c>
      <c r="D86" t="s">
        <v>819</v>
      </c>
      <c r="E86" s="451">
        <v>46357</v>
      </c>
      <c r="F86" s="451">
        <v>46376</v>
      </c>
      <c r="G86" t="s">
        <v>574</v>
      </c>
      <c r="H86" t="s">
        <v>575</v>
      </c>
      <c r="I86" t="s">
        <v>872</v>
      </c>
      <c r="J86">
        <v>-20000</v>
      </c>
      <c r="K86">
        <v>-20000</v>
      </c>
      <c r="O86" t="s">
        <v>779</v>
      </c>
      <c r="Q86" t="s">
        <v>470</v>
      </c>
      <c r="R86">
        <v>0</v>
      </c>
    </row>
    <row r="87" spans="1:18" x14ac:dyDescent="0.3">
      <c r="A87">
        <v>193435</v>
      </c>
      <c r="B87" t="s">
        <v>557</v>
      </c>
      <c r="C87" t="s">
        <v>873</v>
      </c>
      <c r="D87" t="s">
        <v>819</v>
      </c>
      <c r="E87" s="451">
        <v>46357</v>
      </c>
      <c r="F87" s="451">
        <v>46374</v>
      </c>
      <c r="G87" t="s">
        <v>874</v>
      </c>
      <c r="H87" t="s">
        <v>875</v>
      </c>
      <c r="I87" t="s">
        <v>876</v>
      </c>
      <c r="J87">
        <v>-400</v>
      </c>
      <c r="K87">
        <v>-400</v>
      </c>
      <c r="O87" t="s">
        <v>779</v>
      </c>
      <c r="Q87" t="s">
        <v>470</v>
      </c>
      <c r="R87">
        <v>0</v>
      </c>
    </row>
    <row r="88" spans="1:18" x14ac:dyDescent="0.3">
      <c r="A88">
        <v>192098</v>
      </c>
      <c r="B88" t="s">
        <v>557</v>
      </c>
      <c r="C88" t="s">
        <v>877</v>
      </c>
      <c r="D88" t="s">
        <v>819</v>
      </c>
      <c r="E88" s="451">
        <v>46357</v>
      </c>
      <c r="F88" s="451">
        <v>46405</v>
      </c>
      <c r="G88" t="s">
        <v>308</v>
      </c>
      <c r="H88" t="s">
        <v>314</v>
      </c>
      <c r="I88" t="s">
        <v>878</v>
      </c>
      <c r="J88">
        <v>-708.18</v>
      </c>
      <c r="K88">
        <v>-708.18</v>
      </c>
      <c r="O88" t="s">
        <v>779</v>
      </c>
      <c r="Q88" t="s">
        <v>470</v>
      </c>
      <c r="R88">
        <v>0</v>
      </c>
    </row>
    <row r="89" spans="1:18" x14ac:dyDescent="0.3">
      <c r="A89">
        <v>200459</v>
      </c>
      <c r="B89" t="s">
        <v>557</v>
      </c>
      <c r="C89" t="s">
        <v>879</v>
      </c>
      <c r="D89" t="s">
        <v>819</v>
      </c>
      <c r="E89" s="451">
        <v>46357</v>
      </c>
      <c r="F89" s="451">
        <v>46402</v>
      </c>
      <c r="G89" t="s">
        <v>570</v>
      </c>
      <c r="H89" t="s">
        <v>573</v>
      </c>
      <c r="I89" t="s">
        <v>880</v>
      </c>
      <c r="J89">
        <v>-2000</v>
      </c>
      <c r="K89">
        <v>-2000</v>
      </c>
      <c r="M89" t="s">
        <v>881</v>
      </c>
      <c r="N89" t="s">
        <v>73</v>
      </c>
      <c r="O89" t="s">
        <v>779</v>
      </c>
      <c r="Q89" t="s">
        <v>470</v>
      </c>
      <c r="R89">
        <v>0</v>
      </c>
    </row>
    <row r="90" spans="1:18" x14ac:dyDescent="0.3">
      <c r="A90">
        <v>200574</v>
      </c>
      <c r="B90" t="s">
        <v>557</v>
      </c>
      <c r="C90" t="s">
        <v>882</v>
      </c>
      <c r="D90" t="s">
        <v>819</v>
      </c>
      <c r="E90" s="451">
        <v>46357</v>
      </c>
      <c r="F90" s="451">
        <v>46388</v>
      </c>
      <c r="G90" t="s">
        <v>570</v>
      </c>
      <c r="H90" t="s">
        <v>573</v>
      </c>
      <c r="I90" t="s">
        <v>880</v>
      </c>
      <c r="J90">
        <v>-3250</v>
      </c>
      <c r="K90">
        <v>-3250</v>
      </c>
      <c r="M90" t="s">
        <v>883</v>
      </c>
      <c r="N90" t="s">
        <v>135</v>
      </c>
      <c r="O90" t="s">
        <v>779</v>
      </c>
      <c r="Q90" t="s">
        <v>470</v>
      </c>
      <c r="R90">
        <v>0</v>
      </c>
    </row>
    <row r="91" spans="1:18" x14ac:dyDescent="0.3">
      <c r="A91">
        <v>200562</v>
      </c>
      <c r="B91" t="s">
        <v>557</v>
      </c>
      <c r="C91" t="s">
        <v>884</v>
      </c>
      <c r="D91" t="s">
        <v>819</v>
      </c>
      <c r="E91" s="451">
        <v>46357</v>
      </c>
      <c r="F91" s="451">
        <v>46388</v>
      </c>
      <c r="G91" t="s">
        <v>570</v>
      </c>
      <c r="H91" t="s">
        <v>573</v>
      </c>
      <c r="I91" t="s">
        <v>880</v>
      </c>
      <c r="J91">
        <v>-1750</v>
      </c>
      <c r="K91">
        <v>-1750</v>
      </c>
      <c r="M91" t="s">
        <v>885</v>
      </c>
      <c r="N91" t="s">
        <v>134</v>
      </c>
      <c r="O91" t="s">
        <v>779</v>
      </c>
      <c r="Q91" t="s">
        <v>470</v>
      </c>
      <c r="R91">
        <v>0</v>
      </c>
    </row>
    <row r="92" spans="1:18" x14ac:dyDescent="0.3">
      <c r="A92">
        <v>200586</v>
      </c>
      <c r="B92" t="s">
        <v>557</v>
      </c>
      <c r="C92" t="s">
        <v>882</v>
      </c>
      <c r="D92" t="s">
        <v>819</v>
      </c>
      <c r="E92" s="451">
        <v>46357</v>
      </c>
      <c r="F92" s="451">
        <v>46402</v>
      </c>
      <c r="G92" t="s">
        <v>570</v>
      </c>
      <c r="H92" t="s">
        <v>573</v>
      </c>
      <c r="I92" t="s">
        <v>880</v>
      </c>
      <c r="J92">
        <v>-3250</v>
      </c>
      <c r="K92">
        <v>-3250</v>
      </c>
      <c r="M92" t="s">
        <v>883</v>
      </c>
      <c r="N92" t="s">
        <v>135</v>
      </c>
      <c r="O92" t="s">
        <v>779</v>
      </c>
      <c r="Q92" t="s">
        <v>470</v>
      </c>
      <c r="R92">
        <v>0</v>
      </c>
    </row>
    <row r="93" spans="1:18" x14ac:dyDescent="0.3">
      <c r="A93">
        <v>200550</v>
      </c>
      <c r="B93" t="s">
        <v>557</v>
      </c>
      <c r="C93" t="s">
        <v>886</v>
      </c>
      <c r="D93" t="s">
        <v>819</v>
      </c>
      <c r="E93" s="451">
        <v>46357</v>
      </c>
      <c r="F93" s="451">
        <v>46402</v>
      </c>
      <c r="G93" t="s">
        <v>570</v>
      </c>
      <c r="H93" t="s">
        <v>573</v>
      </c>
      <c r="I93" t="s">
        <v>880</v>
      </c>
      <c r="J93">
        <v>-3300</v>
      </c>
      <c r="K93">
        <v>-3300</v>
      </c>
      <c r="M93" t="s">
        <v>887</v>
      </c>
      <c r="N93" t="s">
        <v>131</v>
      </c>
      <c r="O93" t="s">
        <v>779</v>
      </c>
      <c r="Q93" t="s">
        <v>470</v>
      </c>
      <c r="R93">
        <v>0</v>
      </c>
    </row>
    <row r="94" spans="1:18" x14ac:dyDescent="0.3">
      <c r="A94">
        <v>200537</v>
      </c>
      <c r="B94" t="s">
        <v>557</v>
      </c>
      <c r="C94" t="s">
        <v>886</v>
      </c>
      <c r="D94" t="s">
        <v>819</v>
      </c>
      <c r="E94" s="451">
        <v>46357</v>
      </c>
      <c r="F94" s="451">
        <v>46388</v>
      </c>
      <c r="G94" t="s">
        <v>570</v>
      </c>
      <c r="H94" t="s">
        <v>573</v>
      </c>
      <c r="I94" t="s">
        <v>880</v>
      </c>
      <c r="J94">
        <v>-3300</v>
      </c>
      <c r="K94">
        <v>-3300</v>
      </c>
      <c r="M94" t="s">
        <v>887</v>
      </c>
      <c r="N94" t="s">
        <v>131</v>
      </c>
      <c r="O94" t="s">
        <v>779</v>
      </c>
      <c r="Q94" t="s">
        <v>470</v>
      </c>
      <c r="R94">
        <v>0</v>
      </c>
    </row>
    <row r="95" spans="1:18" x14ac:dyDescent="0.3">
      <c r="A95">
        <v>200498</v>
      </c>
      <c r="B95" t="s">
        <v>557</v>
      </c>
      <c r="C95" t="s">
        <v>888</v>
      </c>
      <c r="D95" t="s">
        <v>819</v>
      </c>
      <c r="E95" s="451">
        <v>46357</v>
      </c>
      <c r="F95" s="451">
        <v>46412</v>
      </c>
      <c r="G95" t="s">
        <v>570</v>
      </c>
      <c r="H95" t="s">
        <v>573</v>
      </c>
      <c r="I95" t="s">
        <v>880</v>
      </c>
      <c r="J95">
        <v>-4400</v>
      </c>
      <c r="K95">
        <v>-4400</v>
      </c>
      <c r="M95" t="s">
        <v>887</v>
      </c>
      <c r="N95" t="s">
        <v>131</v>
      </c>
      <c r="O95" t="s">
        <v>779</v>
      </c>
      <c r="Q95" t="s">
        <v>470</v>
      </c>
      <c r="R95">
        <v>0</v>
      </c>
    </row>
    <row r="96" spans="1:18" x14ac:dyDescent="0.3">
      <c r="A96">
        <v>200485</v>
      </c>
      <c r="B96" t="s">
        <v>557</v>
      </c>
      <c r="C96" t="s">
        <v>888</v>
      </c>
      <c r="D96" t="s">
        <v>819</v>
      </c>
      <c r="E96" s="451">
        <v>46357</v>
      </c>
      <c r="F96" s="451">
        <v>46402</v>
      </c>
      <c r="G96" t="s">
        <v>570</v>
      </c>
      <c r="H96" t="s">
        <v>573</v>
      </c>
      <c r="I96" t="s">
        <v>880</v>
      </c>
      <c r="J96">
        <v>-3300</v>
      </c>
      <c r="K96">
        <v>-3300</v>
      </c>
      <c r="M96" t="s">
        <v>887</v>
      </c>
      <c r="N96" t="s">
        <v>131</v>
      </c>
      <c r="O96" t="s">
        <v>779</v>
      </c>
      <c r="Q96" t="s">
        <v>470</v>
      </c>
      <c r="R96">
        <v>0</v>
      </c>
    </row>
    <row r="97" spans="1:18" x14ac:dyDescent="0.3">
      <c r="A97">
        <v>200472</v>
      </c>
      <c r="B97" t="s">
        <v>557</v>
      </c>
      <c r="C97" t="s">
        <v>888</v>
      </c>
      <c r="D97" t="s">
        <v>819</v>
      </c>
      <c r="E97" s="451">
        <v>46357</v>
      </c>
      <c r="F97" s="451">
        <v>46388</v>
      </c>
      <c r="G97" t="s">
        <v>570</v>
      </c>
      <c r="H97" t="s">
        <v>573</v>
      </c>
      <c r="I97" t="s">
        <v>880</v>
      </c>
      <c r="J97">
        <v>-3300</v>
      </c>
      <c r="K97">
        <v>-3300</v>
      </c>
      <c r="M97" t="s">
        <v>887</v>
      </c>
      <c r="N97" t="s">
        <v>131</v>
      </c>
      <c r="O97" t="s">
        <v>779</v>
      </c>
      <c r="Q97" t="s">
        <v>470</v>
      </c>
      <c r="R97">
        <v>0</v>
      </c>
    </row>
    <row r="98" spans="1:18" x14ac:dyDescent="0.3">
      <c r="A98">
        <v>191940</v>
      </c>
      <c r="B98" t="s">
        <v>557</v>
      </c>
      <c r="C98" t="s">
        <v>889</v>
      </c>
      <c r="D98" t="s">
        <v>819</v>
      </c>
      <c r="E98" s="451">
        <v>46357</v>
      </c>
      <c r="F98" s="451">
        <v>46388</v>
      </c>
      <c r="G98" t="s">
        <v>279</v>
      </c>
      <c r="H98" t="s">
        <v>281</v>
      </c>
      <c r="I98" t="s">
        <v>890</v>
      </c>
      <c r="J98">
        <v>-200</v>
      </c>
      <c r="K98">
        <v>-200</v>
      </c>
      <c r="O98" t="s">
        <v>779</v>
      </c>
      <c r="Q98" t="s">
        <v>470</v>
      </c>
      <c r="R98">
        <v>0</v>
      </c>
    </row>
    <row r="99" spans="1:18" x14ac:dyDescent="0.3">
      <c r="A99">
        <v>204928</v>
      </c>
      <c r="B99" t="s">
        <v>557</v>
      </c>
      <c r="C99" t="s">
        <v>842</v>
      </c>
      <c r="D99" t="s">
        <v>819</v>
      </c>
      <c r="E99" s="451">
        <v>46357</v>
      </c>
      <c r="F99" s="451">
        <v>46384</v>
      </c>
      <c r="G99" t="s">
        <v>578</v>
      </c>
      <c r="H99" t="s">
        <v>242</v>
      </c>
      <c r="I99" t="s">
        <v>843</v>
      </c>
      <c r="J99">
        <v>-300</v>
      </c>
      <c r="K99">
        <v>-300</v>
      </c>
      <c r="O99" t="s">
        <v>779</v>
      </c>
      <c r="Q99" t="s">
        <v>470</v>
      </c>
      <c r="R99">
        <v>0</v>
      </c>
    </row>
    <row r="100" spans="1:18" x14ac:dyDescent="0.3">
      <c r="A100">
        <v>189890</v>
      </c>
      <c r="B100" t="s">
        <v>557</v>
      </c>
      <c r="C100" t="s">
        <v>891</v>
      </c>
      <c r="D100" t="s">
        <v>892</v>
      </c>
      <c r="E100" s="451">
        <v>46357</v>
      </c>
      <c r="F100" s="451">
        <v>46030</v>
      </c>
      <c r="G100" t="s">
        <v>577</v>
      </c>
      <c r="H100" t="s">
        <v>215</v>
      </c>
      <c r="I100" t="s">
        <v>893</v>
      </c>
      <c r="J100">
        <v>-5149.03</v>
      </c>
      <c r="K100">
        <v>-5419.03</v>
      </c>
      <c r="O100" t="s">
        <v>787</v>
      </c>
      <c r="P100" t="s">
        <v>894</v>
      </c>
      <c r="Q100" t="s">
        <v>470</v>
      </c>
      <c r="R100">
        <v>0</v>
      </c>
    </row>
    <row r="101" spans="1:18" x14ac:dyDescent="0.3">
      <c r="A101">
        <v>191732</v>
      </c>
      <c r="B101" t="s">
        <v>557</v>
      </c>
      <c r="C101" t="s">
        <v>895</v>
      </c>
      <c r="D101" t="s">
        <v>819</v>
      </c>
      <c r="E101" s="451">
        <v>46357</v>
      </c>
      <c r="F101" s="451">
        <v>46371</v>
      </c>
      <c r="G101" t="s">
        <v>308</v>
      </c>
      <c r="H101" t="s">
        <v>309</v>
      </c>
      <c r="I101" t="s">
        <v>896</v>
      </c>
      <c r="J101">
        <v>-2500</v>
      </c>
      <c r="K101">
        <v>-2500</v>
      </c>
      <c r="O101" t="s">
        <v>779</v>
      </c>
      <c r="Q101" t="s">
        <v>470</v>
      </c>
      <c r="R101">
        <v>0</v>
      </c>
    </row>
    <row r="102" spans="1:18" x14ac:dyDescent="0.3">
      <c r="A102">
        <v>191759</v>
      </c>
      <c r="B102" t="s">
        <v>557</v>
      </c>
      <c r="C102" t="s">
        <v>895</v>
      </c>
      <c r="D102" t="s">
        <v>819</v>
      </c>
      <c r="E102" s="451">
        <v>46357</v>
      </c>
      <c r="F102" s="451">
        <v>46371</v>
      </c>
      <c r="G102" t="s">
        <v>308</v>
      </c>
      <c r="H102" t="s">
        <v>309</v>
      </c>
      <c r="I102" t="s">
        <v>897</v>
      </c>
      <c r="J102">
        <v>-2200</v>
      </c>
      <c r="K102">
        <v>-2200</v>
      </c>
      <c r="O102" t="s">
        <v>779</v>
      </c>
      <c r="Q102" t="s">
        <v>470</v>
      </c>
      <c r="R102">
        <v>0</v>
      </c>
    </row>
    <row r="103" spans="1:18" x14ac:dyDescent="0.3">
      <c r="A103">
        <v>191843</v>
      </c>
      <c r="B103" t="s">
        <v>557</v>
      </c>
      <c r="C103" t="s">
        <v>838</v>
      </c>
      <c r="D103" t="s">
        <v>819</v>
      </c>
      <c r="E103" s="451">
        <v>46357</v>
      </c>
      <c r="F103" s="451">
        <v>46366</v>
      </c>
      <c r="G103" t="s">
        <v>264</v>
      </c>
      <c r="H103" t="s">
        <v>267</v>
      </c>
      <c r="I103" t="s">
        <v>839</v>
      </c>
      <c r="J103">
        <v>-8000</v>
      </c>
      <c r="K103">
        <v>-8000</v>
      </c>
      <c r="O103" t="s">
        <v>779</v>
      </c>
      <c r="Q103" t="s">
        <v>470</v>
      </c>
      <c r="R103">
        <v>0</v>
      </c>
    </row>
    <row r="104" spans="1:18" x14ac:dyDescent="0.3">
      <c r="A104">
        <v>191856</v>
      </c>
      <c r="B104" t="s">
        <v>557</v>
      </c>
      <c r="C104" t="s">
        <v>898</v>
      </c>
      <c r="D104" t="s">
        <v>819</v>
      </c>
      <c r="E104" s="451">
        <v>46357</v>
      </c>
      <c r="F104" s="451">
        <v>46389</v>
      </c>
      <c r="G104" t="s">
        <v>279</v>
      </c>
      <c r="H104" t="s">
        <v>281</v>
      </c>
      <c r="I104" t="s">
        <v>899</v>
      </c>
      <c r="J104">
        <v>-400</v>
      </c>
      <c r="K104">
        <v>-400</v>
      </c>
      <c r="O104" t="s">
        <v>779</v>
      </c>
      <c r="Q104" t="s">
        <v>470</v>
      </c>
      <c r="R104">
        <v>0</v>
      </c>
    </row>
    <row r="105" spans="1:18" x14ac:dyDescent="0.3">
      <c r="A105">
        <v>191892</v>
      </c>
      <c r="B105" t="s">
        <v>557</v>
      </c>
      <c r="C105" t="s">
        <v>900</v>
      </c>
      <c r="D105" t="s">
        <v>819</v>
      </c>
      <c r="E105" s="451">
        <v>46357</v>
      </c>
      <c r="F105" s="451">
        <v>46392</v>
      </c>
      <c r="G105" t="s">
        <v>264</v>
      </c>
      <c r="H105" t="s">
        <v>266</v>
      </c>
      <c r="I105" t="s">
        <v>901</v>
      </c>
      <c r="J105">
        <v>-15000</v>
      </c>
      <c r="K105">
        <v>-15000</v>
      </c>
      <c r="O105" t="s">
        <v>779</v>
      </c>
      <c r="Q105" t="s">
        <v>470</v>
      </c>
      <c r="R105">
        <v>0</v>
      </c>
    </row>
    <row r="106" spans="1:18" x14ac:dyDescent="0.3">
      <c r="A106">
        <v>191928</v>
      </c>
      <c r="B106" t="s">
        <v>557</v>
      </c>
      <c r="C106" t="s">
        <v>889</v>
      </c>
      <c r="D106" t="s">
        <v>819</v>
      </c>
      <c r="E106" s="451">
        <v>46357</v>
      </c>
      <c r="F106" s="451">
        <v>46376</v>
      </c>
      <c r="G106" t="s">
        <v>279</v>
      </c>
      <c r="H106" t="s">
        <v>282</v>
      </c>
      <c r="I106" t="s">
        <v>902</v>
      </c>
      <c r="J106">
        <v>-350</v>
      </c>
      <c r="K106">
        <v>-350</v>
      </c>
      <c r="O106" t="s">
        <v>779</v>
      </c>
      <c r="Q106" t="s">
        <v>470</v>
      </c>
      <c r="R106">
        <v>0</v>
      </c>
    </row>
    <row r="107" spans="1:18" x14ac:dyDescent="0.3">
      <c r="A107">
        <v>196307</v>
      </c>
      <c r="B107" t="s">
        <v>557</v>
      </c>
      <c r="C107" t="s">
        <v>834</v>
      </c>
      <c r="D107" t="s">
        <v>819</v>
      </c>
      <c r="E107" s="451">
        <v>46357</v>
      </c>
      <c r="F107" s="451">
        <v>46354</v>
      </c>
      <c r="G107" t="s">
        <v>578</v>
      </c>
      <c r="H107" t="s">
        <v>239</v>
      </c>
      <c r="I107" t="s">
        <v>835</v>
      </c>
      <c r="J107">
        <v>-8000</v>
      </c>
      <c r="K107">
        <v>-8000</v>
      </c>
      <c r="O107" t="s">
        <v>779</v>
      </c>
      <c r="Q107" t="s">
        <v>470</v>
      </c>
      <c r="R107">
        <v>0</v>
      </c>
    </row>
    <row r="108" spans="1:18" x14ac:dyDescent="0.3">
      <c r="A108">
        <v>192964</v>
      </c>
      <c r="B108" t="s">
        <v>557</v>
      </c>
      <c r="C108" t="s">
        <v>903</v>
      </c>
      <c r="D108" t="s">
        <v>819</v>
      </c>
      <c r="E108" s="451">
        <v>46357</v>
      </c>
      <c r="F108" s="451">
        <v>46392</v>
      </c>
      <c r="G108" t="s">
        <v>279</v>
      </c>
      <c r="H108" t="s">
        <v>283</v>
      </c>
      <c r="I108" t="s">
        <v>904</v>
      </c>
      <c r="J108">
        <v>-293.93</v>
      </c>
      <c r="K108">
        <v>-293.93</v>
      </c>
      <c r="O108" t="s">
        <v>779</v>
      </c>
      <c r="Q108" t="s">
        <v>470</v>
      </c>
      <c r="R108">
        <v>0</v>
      </c>
    </row>
    <row r="109" spans="1:18" x14ac:dyDescent="0.3">
      <c r="A109">
        <v>192395</v>
      </c>
      <c r="B109" t="s">
        <v>557</v>
      </c>
      <c r="C109" t="s">
        <v>905</v>
      </c>
      <c r="D109" t="s">
        <v>819</v>
      </c>
      <c r="E109" s="451">
        <v>46357</v>
      </c>
      <c r="F109" s="451">
        <v>46399</v>
      </c>
      <c r="G109" t="s">
        <v>296</v>
      </c>
      <c r="H109" t="s">
        <v>298</v>
      </c>
      <c r="I109" t="s">
        <v>906</v>
      </c>
      <c r="J109">
        <v>-500</v>
      </c>
      <c r="K109">
        <v>-500</v>
      </c>
      <c r="O109" t="s">
        <v>779</v>
      </c>
      <c r="Q109" t="s">
        <v>470</v>
      </c>
      <c r="R109">
        <v>0</v>
      </c>
    </row>
    <row r="110" spans="1:18" x14ac:dyDescent="0.3">
      <c r="A110">
        <v>196175</v>
      </c>
      <c r="B110" t="s">
        <v>557</v>
      </c>
      <c r="C110" t="s">
        <v>907</v>
      </c>
      <c r="D110" t="s">
        <v>819</v>
      </c>
      <c r="E110" s="451">
        <v>46357</v>
      </c>
      <c r="F110" s="451">
        <v>46396</v>
      </c>
      <c r="G110" t="s">
        <v>578</v>
      </c>
      <c r="H110" t="s">
        <v>252</v>
      </c>
      <c r="I110" t="s">
        <v>908</v>
      </c>
      <c r="J110">
        <v>-4000</v>
      </c>
      <c r="K110">
        <v>-4000</v>
      </c>
      <c r="O110" t="s">
        <v>779</v>
      </c>
      <c r="Q110" t="s">
        <v>470</v>
      </c>
      <c r="R110">
        <v>0</v>
      </c>
    </row>
    <row r="111" spans="1:18" x14ac:dyDescent="0.3">
      <c r="A111">
        <v>192405</v>
      </c>
      <c r="B111" t="s">
        <v>557</v>
      </c>
      <c r="C111" t="s">
        <v>823</v>
      </c>
      <c r="D111" t="s">
        <v>819</v>
      </c>
      <c r="E111" s="451">
        <v>46357</v>
      </c>
      <c r="F111" s="451">
        <v>46371</v>
      </c>
      <c r="G111" t="s">
        <v>279</v>
      </c>
      <c r="H111" t="s">
        <v>286</v>
      </c>
      <c r="I111" t="s">
        <v>824</v>
      </c>
      <c r="J111">
        <v>-219</v>
      </c>
      <c r="K111">
        <v>-219</v>
      </c>
      <c r="O111" t="s">
        <v>779</v>
      </c>
      <c r="Q111" t="s">
        <v>470</v>
      </c>
      <c r="R111">
        <v>0</v>
      </c>
    </row>
    <row r="112" spans="1:18" x14ac:dyDescent="0.3">
      <c r="A112">
        <v>196331</v>
      </c>
      <c r="B112" t="s">
        <v>557</v>
      </c>
      <c r="C112" t="s">
        <v>834</v>
      </c>
      <c r="D112" t="s">
        <v>819</v>
      </c>
      <c r="E112" s="451">
        <v>46357</v>
      </c>
      <c r="F112" s="451">
        <v>46352</v>
      </c>
      <c r="G112" t="s">
        <v>578</v>
      </c>
      <c r="H112" t="s">
        <v>239</v>
      </c>
      <c r="I112" t="s">
        <v>844</v>
      </c>
      <c r="J112">
        <v>-1500</v>
      </c>
      <c r="K112">
        <v>-1500</v>
      </c>
      <c r="O112" t="s">
        <v>779</v>
      </c>
      <c r="Q112" t="s">
        <v>470</v>
      </c>
      <c r="R112">
        <v>0</v>
      </c>
    </row>
    <row r="113" spans="1:18" x14ac:dyDescent="0.3">
      <c r="A113">
        <v>192136</v>
      </c>
      <c r="B113" t="s">
        <v>557</v>
      </c>
      <c r="C113" t="s">
        <v>909</v>
      </c>
      <c r="D113" t="s">
        <v>819</v>
      </c>
      <c r="E113" s="451">
        <v>46357</v>
      </c>
      <c r="F113" s="451">
        <v>46376</v>
      </c>
      <c r="G113" t="s">
        <v>308</v>
      </c>
      <c r="H113" t="s">
        <v>311</v>
      </c>
      <c r="I113" t="s">
        <v>910</v>
      </c>
      <c r="J113">
        <v>-300</v>
      </c>
      <c r="K113">
        <v>-300</v>
      </c>
      <c r="O113" t="s">
        <v>779</v>
      </c>
      <c r="Q113" t="s">
        <v>470</v>
      </c>
      <c r="R113">
        <v>0</v>
      </c>
    </row>
    <row r="114" spans="1:18" x14ac:dyDescent="0.3">
      <c r="A114">
        <v>192358</v>
      </c>
      <c r="B114" t="s">
        <v>557</v>
      </c>
      <c r="C114" t="s">
        <v>911</v>
      </c>
      <c r="D114" t="s">
        <v>819</v>
      </c>
      <c r="E114" s="451">
        <v>46357</v>
      </c>
      <c r="F114" s="451">
        <v>46366</v>
      </c>
      <c r="G114" t="s">
        <v>279</v>
      </c>
      <c r="H114" t="s">
        <v>281</v>
      </c>
      <c r="I114" t="s">
        <v>912</v>
      </c>
      <c r="J114">
        <v>-299.99</v>
      </c>
      <c r="K114">
        <v>-299.99</v>
      </c>
      <c r="O114" t="s">
        <v>779</v>
      </c>
      <c r="Q114" t="s">
        <v>470</v>
      </c>
      <c r="R114">
        <v>0</v>
      </c>
    </row>
    <row r="115" spans="1:18" x14ac:dyDescent="0.3">
      <c r="A115">
        <v>192520</v>
      </c>
      <c r="B115" t="s">
        <v>557</v>
      </c>
      <c r="C115" t="s">
        <v>836</v>
      </c>
      <c r="D115" t="s">
        <v>819</v>
      </c>
      <c r="E115" s="451">
        <v>46357</v>
      </c>
      <c r="F115" s="451">
        <v>46377</v>
      </c>
      <c r="G115" t="s">
        <v>318</v>
      </c>
      <c r="H115" t="s">
        <v>319</v>
      </c>
      <c r="I115" t="s">
        <v>837</v>
      </c>
      <c r="J115">
        <v>-500</v>
      </c>
      <c r="K115">
        <v>-500</v>
      </c>
      <c r="O115" t="s">
        <v>779</v>
      </c>
      <c r="Q115" t="s">
        <v>470</v>
      </c>
      <c r="R115">
        <v>0</v>
      </c>
    </row>
    <row r="116" spans="1:18" x14ac:dyDescent="0.3">
      <c r="A116">
        <v>192603</v>
      </c>
      <c r="B116" t="s">
        <v>557</v>
      </c>
      <c r="C116" t="s">
        <v>840</v>
      </c>
      <c r="D116" t="s">
        <v>819</v>
      </c>
      <c r="E116" s="451">
        <v>46357</v>
      </c>
      <c r="F116" s="451">
        <v>46384</v>
      </c>
      <c r="G116" t="s">
        <v>581</v>
      </c>
      <c r="H116" t="s">
        <v>288</v>
      </c>
      <c r="I116" t="s">
        <v>841</v>
      </c>
      <c r="J116">
        <v>-2500</v>
      </c>
      <c r="K116">
        <v>-2500</v>
      </c>
      <c r="O116" t="s">
        <v>779</v>
      </c>
      <c r="Q116" t="s">
        <v>470</v>
      </c>
      <c r="R116">
        <v>0</v>
      </c>
    </row>
    <row r="117" spans="1:18" x14ac:dyDescent="0.3">
      <c r="A117">
        <v>192337</v>
      </c>
      <c r="B117" t="s">
        <v>557</v>
      </c>
      <c r="C117" t="s">
        <v>913</v>
      </c>
      <c r="D117" t="s">
        <v>819</v>
      </c>
      <c r="E117" s="451">
        <v>46357</v>
      </c>
      <c r="F117" s="451">
        <v>46390</v>
      </c>
      <c r="G117" t="s">
        <v>296</v>
      </c>
      <c r="H117" t="s">
        <v>297</v>
      </c>
      <c r="I117" t="s">
        <v>914</v>
      </c>
      <c r="J117">
        <v>-4000</v>
      </c>
      <c r="K117">
        <v>-4000</v>
      </c>
      <c r="M117" t="s">
        <v>915</v>
      </c>
      <c r="N117" t="s">
        <v>916</v>
      </c>
      <c r="O117" t="s">
        <v>779</v>
      </c>
      <c r="Q117" t="s">
        <v>470</v>
      </c>
      <c r="R117">
        <v>0</v>
      </c>
    </row>
    <row r="118" spans="1:18" x14ac:dyDescent="0.3">
      <c r="A118">
        <v>192567</v>
      </c>
      <c r="B118" t="s">
        <v>557</v>
      </c>
      <c r="C118" t="s">
        <v>917</v>
      </c>
      <c r="D118" t="s">
        <v>819</v>
      </c>
      <c r="E118" s="451">
        <v>46357</v>
      </c>
      <c r="F118" s="451">
        <v>46409</v>
      </c>
      <c r="G118" t="s">
        <v>318</v>
      </c>
      <c r="H118" t="s">
        <v>321</v>
      </c>
      <c r="I118" t="s">
        <v>918</v>
      </c>
      <c r="J118">
        <v>-200</v>
      </c>
      <c r="K118">
        <v>-200</v>
      </c>
      <c r="O118" t="s">
        <v>779</v>
      </c>
      <c r="Q118" t="s">
        <v>470</v>
      </c>
      <c r="R118">
        <v>0</v>
      </c>
    </row>
    <row r="119" spans="1:18" x14ac:dyDescent="0.3">
      <c r="A119">
        <v>192197</v>
      </c>
      <c r="B119" t="s">
        <v>557</v>
      </c>
      <c r="C119" t="s">
        <v>919</v>
      </c>
      <c r="D119" t="s">
        <v>819</v>
      </c>
      <c r="E119" s="451">
        <v>46357</v>
      </c>
      <c r="F119" s="451">
        <v>46392</v>
      </c>
      <c r="G119" t="s">
        <v>279</v>
      </c>
      <c r="H119" t="s">
        <v>284</v>
      </c>
      <c r="I119" t="s">
        <v>920</v>
      </c>
      <c r="J119">
        <v>-530</v>
      </c>
      <c r="K119">
        <v>-530</v>
      </c>
      <c r="O119" t="s">
        <v>779</v>
      </c>
      <c r="Q119" t="s">
        <v>470</v>
      </c>
      <c r="R119">
        <v>0</v>
      </c>
    </row>
    <row r="120" spans="1:18" x14ac:dyDescent="0.3">
      <c r="A120">
        <v>192951</v>
      </c>
      <c r="B120" t="s">
        <v>557</v>
      </c>
      <c r="C120" t="s">
        <v>921</v>
      </c>
      <c r="D120" t="s">
        <v>819</v>
      </c>
      <c r="E120" s="451">
        <v>46357</v>
      </c>
      <c r="F120" s="451">
        <v>46392</v>
      </c>
      <c r="G120" t="s">
        <v>296</v>
      </c>
      <c r="H120" t="s">
        <v>301</v>
      </c>
      <c r="I120" t="s">
        <v>922</v>
      </c>
      <c r="J120">
        <v>-1500</v>
      </c>
      <c r="K120">
        <v>-1500</v>
      </c>
      <c r="O120" t="s">
        <v>779</v>
      </c>
      <c r="Q120" t="s">
        <v>470</v>
      </c>
      <c r="R120">
        <v>0</v>
      </c>
    </row>
    <row r="121" spans="1:18" x14ac:dyDescent="0.3">
      <c r="A121">
        <v>192421</v>
      </c>
      <c r="B121" t="s">
        <v>557</v>
      </c>
      <c r="C121" t="s">
        <v>923</v>
      </c>
      <c r="D121" t="s">
        <v>819</v>
      </c>
      <c r="E121" s="451">
        <v>46357</v>
      </c>
      <c r="F121" s="451">
        <v>46381</v>
      </c>
      <c r="G121" t="s">
        <v>264</v>
      </c>
      <c r="H121" t="s">
        <v>277</v>
      </c>
      <c r="I121" t="s">
        <v>924</v>
      </c>
      <c r="J121">
        <v>-500</v>
      </c>
      <c r="K121">
        <v>-500</v>
      </c>
      <c r="O121" t="s">
        <v>779</v>
      </c>
      <c r="Q121" t="s">
        <v>470</v>
      </c>
      <c r="R121">
        <v>0</v>
      </c>
    </row>
    <row r="122" spans="1:18" x14ac:dyDescent="0.3">
      <c r="A122">
        <v>193010</v>
      </c>
      <c r="B122" t="s">
        <v>557</v>
      </c>
      <c r="C122" t="s">
        <v>925</v>
      </c>
      <c r="D122" t="s">
        <v>819</v>
      </c>
      <c r="E122" s="451">
        <v>46357</v>
      </c>
      <c r="F122" s="451">
        <v>46392</v>
      </c>
      <c r="G122" t="s">
        <v>279</v>
      </c>
      <c r="H122" t="s">
        <v>282</v>
      </c>
      <c r="I122" t="s">
        <v>926</v>
      </c>
      <c r="J122">
        <v>-40.9</v>
      </c>
      <c r="K122">
        <v>-40.9</v>
      </c>
      <c r="O122" t="s">
        <v>779</v>
      </c>
      <c r="Q122" t="s">
        <v>470</v>
      </c>
      <c r="R122">
        <v>0</v>
      </c>
    </row>
    <row r="123" spans="1:18" x14ac:dyDescent="0.3">
      <c r="A123">
        <v>192578</v>
      </c>
      <c r="B123" t="s">
        <v>557</v>
      </c>
      <c r="C123" t="s">
        <v>830</v>
      </c>
      <c r="D123" t="s">
        <v>819</v>
      </c>
      <c r="E123" s="451">
        <v>46357</v>
      </c>
      <c r="F123" s="451">
        <v>46376</v>
      </c>
      <c r="G123" t="s">
        <v>264</v>
      </c>
      <c r="H123" t="s">
        <v>276</v>
      </c>
      <c r="I123" t="s">
        <v>831</v>
      </c>
      <c r="J123">
        <v>-1600</v>
      </c>
      <c r="K123">
        <v>-1600</v>
      </c>
      <c r="O123" t="s">
        <v>779</v>
      </c>
      <c r="Q123" t="s">
        <v>470</v>
      </c>
      <c r="R123">
        <v>0</v>
      </c>
    </row>
    <row r="124" spans="1:18" x14ac:dyDescent="0.3">
      <c r="A124">
        <v>196419</v>
      </c>
      <c r="B124" t="s">
        <v>557</v>
      </c>
      <c r="C124" t="s">
        <v>825</v>
      </c>
      <c r="D124" t="s">
        <v>819</v>
      </c>
      <c r="E124" s="451">
        <v>46357</v>
      </c>
      <c r="F124" s="451">
        <v>46393</v>
      </c>
      <c r="G124" t="s">
        <v>574</v>
      </c>
      <c r="H124" t="s">
        <v>575</v>
      </c>
      <c r="I124" t="s">
        <v>826</v>
      </c>
      <c r="J124">
        <v>-47000</v>
      </c>
      <c r="K124">
        <v>-47000</v>
      </c>
      <c r="O124" t="s">
        <v>779</v>
      </c>
      <c r="Q124" t="s">
        <v>470</v>
      </c>
      <c r="R124">
        <v>0</v>
      </c>
    </row>
    <row r="125" spans="1:18" x14ac:dyDescent="0.3">
      <c r="A125">
        <v>210559</v>
      </c>
      <c r="B125" t="s">
        <v>557</v>
      </c>
      <c r="C125" t="s">
        <v>518</v>
      </c>
      <c r="D125" t="s">
        <v>819</v>
      </c>
      <c r="E125" s="451">
        <v>46356</v>
      </c>
      <c r="F125" s="451">
        <v>46381</v>
      </c>
      <c r="G125" t="s">
        <v>563</v>
      </c>
      <c r="H125" t="s">
        <v>46</v>
      </c>
      <c r="J125">
        <v>-12000</v>
      </c>
      <c r="K125">
        <v>-12000</v>
      </c>
      <c r="O125" t="s">
        <v>779</v>
      </c>
      <c r="Q125" t="s">
        <v>469</v>
      </c>
      <c r="R125">
        <v>0</v>
      </c>
    </row>
    <row r="126" spans="1:18" x14ac:dyDescent="0.3">
      <c r="A126">
        <v>208290</v>
      </c>
      <c r="B126" t="s">
        <v>557</v>
      </c>
      <c r="C126" t="s">
        <v>428</v>
      </c>
      <c r="D126" t="s">
        <v>819</v>
      </c>
      <c r="E126" s="451">
        <v>46356</v>
      </c>
      <c r="F126" s="451">
        <v>46376</v>
      </c>
      <c r="G126" t="s">
        <v>577</v>
      </c>
      <c r="H126" t="s">
        <v>206</v>
      </c>
      <c r="J126">
        <v>-4800</v>
      </c>
      <c r="K126">
        <v>-4800</v>
      </c>
      <c r="O126" t="s">
        <v>779</v>
      </c>
      <c r="Q126" t="s">
        <v>469</v>
      </c>
      <c r="R126">
        <v>0</v>
      </c>
    </row>
    <row r="127" spans="1:18" x14ac:dyDescent="0.3">
      <c r="A127">
        <v>197477</v>
      </c>
      <c r="B127" t="s">
        <v>557</v>
      </c>
      <c r="C127" t="s">
        <v>845</v>
      </c>
      <c r="D127" t="s">
        <v>819</v>
      </c>
      <c r="E127" s="451">
        <v>46356</v>
      </c>
      <c r="F127" s="451">
        <v>46376</v>
      </c>
      <c r="G127" t="s">
        <v>308</v>
      </c>
      <c r="H127" t="s">
        <v>309</v>
      </c>
      <c r="I127" t="s">
        <v>853</v>
      </c>
      <c r="J127">
        <v>-20</v>
      </c>
      <c r="K127">
        <v>-20</v>
      </c>
      <c r="O127" t="s">
        <v>779</v>
      </c>
      <c r="Q127" t="s">
        <v>469</v>
      </c>
      <c r="R127">
        <v>0</v>
      </c>
    </row>
    <row r="128" spans="1:18" x14ac:dyDescent="0.3">
      <c r="A128">
        <v>210571</v>
      </c>
      <c r="B128" t="s">
        <v>557</v>
      </c>
      <c r="C128" t="s">
        <v>517</v>
      </c>
      <c r="D128" t="s">
        <v>819</v>
      </c>
      <c r="E128" s="451">
        <v>46356</v>
      </c>
      <c r="F128" s="451">
        <v>46381</v>
      </c>
      <c r="G128" t="s">
        <v>563</v>
      </c>
      <c r="H128" t="s">
        <v>46</v>
      </c>
      <c r="J128">
        <v>-2600</v>
      </c>
      <c r="K128">
        <v>-2600</v>
      </c>
      <c r="O128" t="s">
        <v>779</v>
      </c>
      <c r="Q128" t="s">
        <v>469</v>
      </c>
      <c r="R128">
        <v>0</v>
      </c>
    </row>
    <row r="129" spans="1:18" x14ac:dyDescent="0.3">
      <c r="A129">
        <v>207160</v>
      </c>
      <c r="B129" t="s">
        <v>557</v>
      </c>
      <c r="C129" t="s">
        <v>429</v>
      </c>
      <c r="D129" t="s">
        <v>819</v>
      </c>
      <c r="E129" s="451">
        <v>46356</v>
      </c>
      <c r="F129" s="451">
        <v>46376</v>
      </c>
      <c r="G129" t="s">
        <v>577</v>
      </c>
      <c r="H129" t="s">
        <v>211</v>
      </c>
      <c r="I129" t="s">
        <v>848</v>
      </c>
      <c r="J129">
        <v>-10500</v>
      </c>
      <c r="K129">
        <v>-10500</v>
      </c>
      <c r="O129" t="s">
        <v>779</v>
      </c>
      <c r="Q129" t="s">
        <v>469</v>
      </c>
      <c r="R129">
        <v>0</v>
      </c>
    </row>
    <row r="130" spans="1:18" x14ac:dyDescent="0.3">
      <c r="A130">
        <v>197659</v>
      </c>
      <c r="B130" t="s">
        <v>557</v>
      </c>
      <c r="C130" t="s">
        <v>849</v>
      </c>
      <c r="D130" t="s">
        <v>819</v>
      </c>
      <c r="E130" s="451">
        <v>46356</v>
      </c>
      <c r="F130" s="451">
        <v>46376</v>
      </c>
      <c r="G130" t="s">
        <v>308</v>
      </c>
      <c r="H130" t="s">
        <v>309</v>
      </c>
      <c r="I130" t="s">
        <v>850</v>
      </c>
      <c r="J130">
        <v>-200</v>
      </c>
      <c r="K130">
        <v>-200</v>
      </c>
      <c r="O130" t="s">
        <v>779</v>
      </c>
      <c r="Q130" t="s">
        <v>469</v>
      </c>
      <c r="R130">
        <v>0</v>
      </c>
    </row>
    <row r="131" spans="1:18" x14ac:dyDescent="0.3">
      <c r="A131">
        <v>202393</v>
      </c>
      <c r="B131" t="s">
        <v>557</v>
      </c>
      <c r="C131" t="s">
        <v>847</v>
      </c>
      <c r="D131" t="s">
        <v>819</v>
      </c>
      <c r="E131" s="451">
        <v>46356</v>
      </c>
      <c r="F131" s="451">
        <v>46365</v>
      </c>
      <c r="G131" t="s">
        <v>578</v>
      </c>
      <c r="H131" t="s">
        <v>247</v>
      </c>
      <c r="J131">
        <v>-267.83</v>
      </c>
      <c r="K131">
        <v>-267.83</v>
      </c>
      <c r="O131" t="s">
        <v>779</v>
      </c>
      <c r="Q131" t="s">
        <v>469</v>
      </c>
      <c r="R131">
        <v>0</v>
      </c>
    </row>
    <row r="132" spans="1:18" x14ac:dyDescent="0.3">
      <c r="A132">
        <v>197131</v>
      </c>
      <c r="B132" t="s">
        <v>557</v>
      </c>
      <c r="C132" t="s">
        <v>48</v>
      </c>
      <c r="D132" t="s">
        <v>819</v>
      </c>
      <c r="E132" s="451">
        <v>46356</v>
      </c>
      <c r="F132" s="451">
        <v>46376</v>
      </c>
      <c r="G132" t="s">
        <v>563</v>
      </c>
      <c r="H132" t="s">
        <v>48</v>
      </c>
      <c r="J132">
        <v>-17000</v>
      </c>
      <c r="K132">
        <v>-17000</v>
      </c>
      <c r="O132" t="s">
        <v>779</v>
      </c>
      <c r="Q132" t="s">
        <v>469</v>
      </c>
      <c r="R132">
        <v>0</v>
      </c>
    </row>
    <row r="133" spans="1:18" x14ac:dyDescent="0.3">
      <c r="A133">
        <v>192070</v>
      </c>
      <c r="B133" t="s">
        <v>557</v>
      </c>
      <c r="C133" t="s">
        <v>851</v>
      </c>
      <c r="D133" t="s">
        <v>819</v>
      </c>
      <c r="E133" s="451">
        <v>46356</v>
      </c>
      <c r="F133" s="451">
        <v>46376</v>
      </c>
      <c r="G133" t="s">
        <v>318</v>
      </c>
      <c r="H133" t="s">
        <v>320</v>
      </c>
      <c r="I133" t="s">
        <v>852</v>
      </c>
      <c r="J133">
        <v>-200</v>
      </c>
      <c r="K133">
        <v>-200</v>
      </c>
      <c r="O133" t="s">
        <v>779</v>
      </c>
      <c r="Q133" t="s">
        <v>469</v>
      </c>
      <c r="R133">
        <v>0</v>
      </c>
    </row>
    <row r="134" spans="1:18" x14ac:dyDescent="0.3">
      <c r="A134">
        <v>208534</v>
      </c>
      <c r="B134" t="s">
        <v>557</v>
      </c>
      <c r="C134" t="s">
        <v>845</v>
      </c>
      <c r="D134" t="s">
        <v>819</v>
      </c>
      <c r="E134" s="451">
        <v>46356</v>
      </c>
      <c r="F134" s="451">
        <v>46376</v>
      </c>
      <c r="G134" t="s">
        <v>577</v>
      </c>
      <c r="H134" t="s">
        <v>846</v>
      </c>
      <c r="J134">
        <v>-1700</v>
      </c>
      <c r="K134">
        <v>-1700</v>
      </c>
      <c r="O134" t="s">
        <v>779</v>
      </c>
      <c r="Q134" t="s">
        <v>469</v>
      </c>
      <c r="R134">
        <v>0</v>
      </c>
    </row>
    <row r="135" spans="1:18" x14ac:dyDescent="0.3">
      <c r="A135">
        <v>197465</v>
      </c>
      <c r="B135" t="s">
        <v>557</v>
      </c>
      <c r="C135" t="s">
        <v>845</v>
      </c>
      <c r="D135" t="s">
        <v>819</v>
      </c>
      <c r="E135" s="451">
        <v>46354</v>
      </c>
      <c r="F135" s="451">
        <v>46376</v>
      </c>
      <c r="G135" t="s">
        <v>308</v>
      </c>
      <c r="H135" t="s">
        <v>309</v>
      </c>
      <c r="J135">
        <v>-50</v>
      </c>
      <c r="K135">
        <v>-50</v>
      </c>
      <c r="O135" t="s">
        <v>779</v>
      </c>
      <c r="Q135" t="s">
        <v>469</v>
      </c>
      <c r="R135">
        <v>0</v>
      </c>
    </row>
    <row r="136" spans="1:18" x14ac:dyDescent="0.3">
      <c r="A136">
        <v>197257</v>
      </c>
      <c r="B136" t="s">
        <v>557</v>
      </c>
      <c r="C136" t="s">
        <v>49</v>
      </c>
      <c r="D136" t="s">
        <v>819</v>
      </c>
      <c r="E136" s="451">
        <v>46354</v>
      </c>
      <c r="F136" s="451">
        <v>46366</v>
      </c>
      <c r="G136" t="s">
        <v>279</v>
      </c>
      <c r="H136" t="s">
        <v>283</v>
      </c>
      <c r="J136">
        <v>-100</v>
      </c>
      <c r="K136">
        <v>-100</v>
      </c>
      <c r="O136" t="s">
        <v>779</v>
      </c>
      <c r="Q136" t="s">
        <v>469</v>
      </c>
      <c r="R136">
        <v>0</v>
      </c>
    </row>
    <row r="137" spans="1:18" x14ac:dyDescent="0.3">
      <c r="A137">
        <v>32289</v>
      </c>
      <c r="B137" t="s">
        <v>557</v>
      </c>
      <c r="C137" t="s">
        <v>259</v>
      </c>
      <c r="D137" t="s">
        <v>927</v>
      </c>
      <c r="E137" s="451">
        <v>46352</v>
      </c>
      <c r="F137" s="451">
        <v>46352</v>
      </c>
      <c r="G137" t="s">
        <v>256</v>
      </c>
      <c r="H137" t="s">
        <v>259</v>
      </c>
      <c r="I137" t="s">
        <v>782</v>
      </c>
      <c r="J137">
        <v>-416.33</v>
      </c>
      <c r="K137">
        <v>-416.33</v>
      </c>
      <c r="O137" t="s">
        <v>787</v>
      </c>
      <c r="P137" t="s">
        <v>788</v>
      </c>
      <c r="Q137" t="s">
        <v>469</v>
      </c>
      <c r="R137">
        <v>0</v>
      </c>
    </row>
    <row r="138" spans="1:18" x14ac:dyDescent="0.3">
      <c r="A138">
        <v>32153</v>
      </c>
      <c r="B138" t="s">
        <v>557</v>
      </c>
      <c r="C138" t="s">
        <v>259</v>
      </c>
      <c r="D138" t="s">
        <v>776</v>
      </c>
      <c r="E138" s="451">
        <v>46352</v>
      </c>
      <c r="F138" s="451">
        <v>46352</v>
      </c>
      <c r="G138" t="s">
        <v>777</v>
      </c>
      <c r="H138" t="s">
        <v>368</v>
      </c>
      <c r="I138" t="s">
        <v>778</v>
      </c>
      <c r="J138">
        <v>-1520.61</v>
      </c>
      <c r="K138">
        <v>-1520.61</v>
      </c>
      <c r="O138" t="s">
        <v>787</v>
      </c>
      <c r="P138" t="s">
        <v>788</v>
      </c>
      <c r="Q138" t="s">
        <v>469</v>
      </c>
      <c r="R138">
        <v>0</v>
      </c>
    </row>
    <row r="139" spans="1:18" x14ac:dyDescent="0.3">
      <c r="A139">
        <v>191807</v>
      </c>
      <c r="B139" t="s">
        <v>557</v>
      </c>
      <c r="C139" t="s">
        <v>856</v>
      </c>
      <c r="D139" t="s">
        <v>819</v>
      </c>
      <c r="E139" s="451">
        <v>46341</v>
      </c>
      <c r="F139" s="451">
        <v>46371</v>
      </c>
      <c r="G139" t="s">
        <v>264</v>
      </c>
      <c r="H139" t="s">
        <v>265</v>
      </c>
      <c r="I139" t="s">
        <v>860</v>
      </c>
      <c r="J139">
        <v>-2000</v>
      </c>
      <c r="K139">
        <v>-2000</v>
      </c>
      <c r="O139" t="s">
        <v>779</v>
      </c>
      <c r="Q139" t="s">
        <v>469</v>
      </c>
      <c r="R139">
        <v>0</v>
      </c>
    </row>
    <row r="140" spans="1:18" x14ac:dyDescent="0.3">
      <c r="A140">
        <v>191795</v>
      </c>
      <c r="B140" t="s">
        <v>557</v>
      </c>
      <c r="C140" t="s">
        <v>856</v>
      </c>
      <c r="D140" t="s">
        <v>819</v>
      </c>
      <c r="E140" s="451">
        <v>46341</v>
      </c>
      <c r="F140" s="451">
        <v>46371</v>
      </c>
      <c r="G140" t="s">
        <v>264</v>
      </c>
      <c r="H140" t="s">
        <v>265</v>
      </c>
      <c r="I140" t="s">
        <v>857</v>
      </c>
      <c r="J140">
        <v>-5000</v>
      </c>
      <c r="K140">
        <v>-5000</v>
      </c>
      <c r="O140" t="s">
        <v>779</v>
      </c>
      <c r="Q140" t="s">
        <v>469</v>
      </c>
      <c r="R140">
        <v>0</v>
      </c>
    </row>
    <row r="141" spans="1:18" x14ac:dyDescent="0.3">
      <c r="A141">
        <v>192159</v>
      </c>
      <c r="B141" t="s">
        <v>557</v>
      </c>
      <c r="C141" t="s">
        <v>858</v>
      </c>
      <c r="D141" t="s">
        <v>819</v>
      </c>
      <c r="E141" s="451">
        <v>46341</v>
      </c>
      <c r="F141" s="451">
        <v>46371</v>
      </c>
      <c r="G141" t="s">
        <v>279</v>
      </c>
      <c r="H141" t="s">
        <v>285</v>
      </c>
      <c r="I141" t="s">
        <v>859</v>
      </c>
      <c r="J141">
        <v>-389</v>
      </c>
      <c r="K141">
        <v>-389</v>
      </c>
      <c r="O141" t="s">
        <v>779</v>
      </c>
      <c r="Q141" t="s">
        <v>469</v>
      </c>
      <c r="R141">
        <v>0</v>
      </c>
    </row>
    <row r="142" spans="1:18" x14ac:dyDescent="0.3">
      <c r="A142">
        <v>192000</v>
      </c>
      <c r="B142" t="s">
        <v>557</v>
      </c>
      <c r="C142" t="s">
        <v>861</v>
      </c>
      <c r="D142" t="s">
        <v>819</v>
      </c>
      <c r="E142" s="451">
        <v>46337</v>
      </c>
      <c r="F142" s="451">
        <v>46366</v>
      </c>
      <c r="G142" t="s">
        <v>256</v>
      </c>
      <c r="H142" t="s">
        <v>257</v>
      </c>
      <c r="I142" t="s">
        <v>862</v>
      </c>
      <c r="J142">
        <v>-17308</v>
      </c>
      <c r="K142">
        <v>-17308</v>
      </c>
      <c r="O142" t="s">
        <v>779</v>
      </c>
      <c r="Q142" t="s">
        <v>469</v>
      </c>
      <c r="R142">
        <v>0</v>
      </c>
    </row>
    <row r="143" spans="1:18" x14ac:dyDescent="0.3">
      <c r="A143">
        <v>192013</v>
      </c>
      <c r="B143" t="s">
        <v>557</v>
      </c>
      <c r="C143" t="s">
        <v>863</v>
      </c>
      <c r="D143" t="s">
        <v>819</v>
      </c>
      <c r="E143" s="451">
        <v>46336</v>
      </c>
      <c r="F143" s="451">
        <v>46356</v>
      </c>
      <c r="G143" t="s">
        <v>256</v>
      </c>
      <c r="H143" t="s">
        <v>257</v>
      </c>
      <c r="I143" t="s">
        <v>864</v>
      </c>
      <c r="J143">
        <v>-27694</v>
      </c>
      <c r="K143">
        <v>-27694</v>
      </c>
      <c r="O143" t="s">
        <v>779</v>
      </c>
      <c r="Q143" t="s">
        <v>469</v>
      </c>
      <c r="R143">
        <v>0</v>
      </c>
    </row>
    <row r="144" spans="1:18" x14ac:dyDescent="0.3">
      <c r="A144">
        <v>237285</v>
      </c>
      <c r="B144" t="s">
        <v>557</v>
      </c>
      <c r="C144" t="s">
        <v>259</v>
      </c>
      <c r="D144" t="s">
        <v>928</v>
      </c>
      <c r="E144" s="451">
        <v>46334</v>
      </c>
      <c r="F144" s="451">
        <v>46356</v>
      </c>
      <c r="G144" t="s">
        <v>777</v>
      </c>
      <c r="H144" t="s">
        <v>368</v>
      </c>
      <c r="I144" t="s">
        <v>805</v>
      </c>
      <c r="J144">
        <v>-4322.5600000000004</v>
      </c>
      <c r="K144">
        <v>-4322.5600000000004</v>
      </c>
      <c r="O144" t="s">
        <v>779</v>
      </c>
      <c r="Q144" t="s">
        <v>469</v>
      </c>
      <c r="R144">
        <v>0</v>
      </c>
    </row>
    <row r="145" spans="1:18" x14ac:dyDescent="0.3">
      <c r="A145">
        <v>237273</v>
      </c>
      <c r="B145" t="s">
        <v>557</v>
      </c>
      <c r="C145" t="s">
        <v>259</v>
      </c>
      <c r="D145" t="s">
        <v>928</v>
      </c>
      <c r="E145" s="451">
        <v>46334</v>
      </c>
      <c r="F145" s="451">
        <v>46356</v>
      </c>
      <c r="G145" t="s">
        <v>777</v>
      </c>
      <c r="H145" t="s">
        <v>368</v>
      </c>
      <c r="I145" t="s">
        <v>813</v>
      </c>
      <c r="J145">
        <v>-1356.39</v>
      </c>
      <c r="K145">
        <v>-1356.39</v>
      </c>
      <c r="O145" t="s">
        <v>779</v>
      </c>
      <c r="Q145" t="s">
        <v>469</v>
      </c>
      <c r="R145">
        <v>0</v>
      </c>
    </row>
    <row r="146" spans="1:18" x14ac:dyDescent="0.3">
      <c r="A146">
        <v>220630</v>
      </c>
      <c r="B146" t="s">
        <v>557</v>
      </c>
      <c r="C146" t="s">
        <v>866</v>
      </c>
      <c r="D146" t="s">
        <v>819</v>
      </c>
      <c r="E146" s="451">
        <v>46327</v>
      </c>
      <c r="F146" s="451">
        <v>46336</v>
      </c>
      <c r="G146" t="s">
        <v>578</v>
      </c>
      <c r="H146" t="s">
        <v>240</v>
      </c>
      <c r="I146" t="s">
        <v>867</v>
      </c>
      <c r="J146">
        <v>-1545.49</v>
      </c>
      <c r="K146">
        <v>0</v>
      </c>
      <c r="O146" t="s">
        <v>787</v>
      </c>
      <c r="Q146" t="s">
        <v>469</v>
      </c>
      <c r="R146">
        <v>0</v>
      </c>
    </row>
    <row r="147" spans="1:18" x14ac:dyDescent="0.3">
      <c r="A147">
        <v>219499</v>
      </c>
      <c r="B147" t="s">
        <v>557</v>
      </c>
      <c r="C147" t="s">
        <v>259</v>
      </c>
      <c r="D147" t="s">
        <v>929</v>
      </c>
      <c r="E147" s="451">
        <v>46327</v>
      </c>
      <c r="F147" s="451">
        <v>46352</v>
      </c>
      <c r="G147" t="s">
        <v>256</v>
      </c>
      <c r="H147" t="s">
        <v>259</v>
      </c>
      <c r="I147" t="s">
        <v>930</v>
      </c>
      <c r="J147">
        <v>-1611.52</v>
      </c>
      <c r="K147">
        <v>-1611.52</v>
      </c>
      <c r="O147" t="s">
        <v>779</v>
      </c>
      <c r="Q147" t="s">
        <v>469</v>
      </c>
      <c r="R147">
        <v>0</v>
      </c>
    </row>
    <row r="148" spans="1:18" x14ac:dyDescent="0.3">
      <c r="A148">
        <v>227734</v>
      </c>
      <c r="B148" t="s">
        <v>557</v>
      </c>
      <c r="C148" t="s">
        <v>868</v>
      </c>
      <c r="D148" t="s">
        <v>819</v>
      </c>
      <c r="E148" s="451">
        <v>46327</v>
      </c>
      <c r="F148" s="451">
        <v>46361</v>
      </c>
      <c r="G148" t="s">
        <v>279</v>
      </c>
      <c r="H148" t="s">
        <v>286</v>
      </c>
      <c r="I148" t="s">
        <v>869</v>
      </c>
      <c r="J148">
        <v>-436.5</v>
      </c>
      <c r="K148">
        <v>-436.5</v>
      </c>
      <c r="O148" t="s">
        <v>779</v>
      </c>
      <c r="Q148" t="s">
        <v>469</v>
      </c>
      <c r="R148">
        <v>0</v>
      </c>
    </row>
    <row r="149" spans="1:18" x14ac:dyDescent="0.3">
      <c r="A149">
        <v>212759</v>
      </c>
      <c r="B149" t="s">
        <v>557</v>
      </c>
      <c r="C149" t="s">
        <v>818</v>
      </c>
      <c r="D149" t="s">
        <v>819</v>
      </c>
      <c r="E149" s="451">
        <v>46327</v>
      </c>
      <c r="F149" s="451">
        <v>46371</v>
      </c>
      <c r="G149" t="s">
        <v>570</v>
      </c>
      <c r="H149" t="s">
        <v>573</v>
      </c>
      <c r="I149" t="s">
        <v>820</v>
      </c>
      <c r="J149">
        <v>-2000</v>
      </c>
      <c r="K149">
        <v>-2000</v>
      </c>
      <c r="M149" t="s">
        <v>821</v>
      </c>
      <c r="N149" t="s">
        <v>133</v>
      </c>
      <c r="O149" t="s">
        <v>779</v>
      </c>
      <c r="Q149" t="s">
        <v>469</v>
      </c>
      <c r="R149">
        <v>0</v>
      </c>
    </row>
    <row r="150" spans="1:18" x14ac:dyDescent="0.3">
      <c r="A150">
        <v>219492</v>
      </c>
      <c r="B150" t="s">
        <v>557</v>
      </c>
      <c r="C150" t="s">
        <v>259</v>
      </c>
      <c r="D150" t="s">
        <v>929</v>
      </c>
      <c r="E150" s="451">
        <v>46327</v>
      </c>
      <c r="F150" s="451">
        <v>46341</v>
      </c>
      <c r="G150" t="s">
        <v>256</v>
      </c>
      <c r="H150" t="s">
        <v>259</v>
      </c>
      <c r="I150" t="s">
        <v>931</v>
      </c>
      <c r="J150">
        <v>-2086.58</v>
      </c>
      <c r="K150">
        <v>-2086.58</v>
      </c>
      <c r="O150" t="s">
        <v>779</v>
      </c>
      <c r="Q150" t="s">
        <v>469</v>
      </c>
      <c r="R150">
        <v>0</v>
      </c>
    </row>
    <row r="151" spans="1:18" x14ac:dyDescent="0.3">
      <c r="A151">
        <v>212747</v>
      </c>
      <c r="B151" t="s">
        <v>557</v>
      </c>
      <c r="C151" t="s">
        <v>818</v>
      </c>
      <c r="D151" t="s">
        <v>819</v>
      </c>
      <c r="E151" s="451">
        <v>46327</v>
      </c>
      <c r="F151" s="451">
        <v>46357</v>
      </c>
      <c r="G151" t="s">
        <v>570</v>
      </c>
      <c r="H151" t="s">
        <v>573</v>
      </c>
      <c r="I151" t="s">
        <v>822</v>
      </c>
      <c r="J151">
        <v>-2000</v>
      </c>
      <c r="K151">
        <v>-2000</v>
      </c>
      <c r="M151" t="s">
        <v>821</v>
      </c>
      <c r="N151" t="s">
        <v>133</v>
      </c>
      <c r="O151" t="s">
        <v>779</v>
      </c>
      <c r="Q151" t="s">
        <v>469</v>
      </c>
      <c r="R151">
        <v>0</v>
      </c>
    </row>
    <row r="152" spans="1:18" x14ac:dyDescent="0.3">
      <c r="A152">
        <v>192577</v>
      </c>
      <c r="B152" t="s">
        <v>557</v>
      </c>
      <c r="C152" t="s">
        <v>830</v>
      </c>
      <c r="D152" t="s">
        <v>819</v>
      </c>
      <c r="E152" s="451">
        <v>46327</v>
      </c>
      <c r="F152" s="451">
        <v>46346</v>
      </c>
      <c r="G152" t="s">
        <v>264</v>
      </c>
      <c r="H152" t="s">
        <v>276</v>
      </c>
      <c r="I152" t="s">
        <v>831</v>
      </c>
      <c r="J152">
        <v>-1600</v>
      </c>
      <c r="K152">
        <v>-1600</v>
      </c>
      <c r="O152" t="s">
        <v>779</v>
      </c>
      <c r="Q152" t="s">
        <v>469</v>
      </c>
      <c r="R152">
        <v>0</v>
      </c>
    </row>
    <row r="153" spans="1:18" x14ac:dyDescent="0.3">
      <c r="A153">
        <v>191731</v>
      </c>
      <c r="B153" t="s">
        <v>557</v>
      </c>
      <c r="C153" t="s">
        <v>895</v>
      </c>
      <c r="D153" t="s">
        <v>819</v>
      </c>
      <c r="E153" s="451">
        <v>46327</v>
      </c>
      <c r="F153" s="451">
        <v>46341</v>
      </c>
      <c r="G153" t="s">
        <v>308</v>
      </c>
      <c r="H153" t="s">
        <v>309</v>
      </c>
      <c r="I153" t="s">
        <v>896</v>
      </c>
      <c r="J153">
        <v>-2500</v>
      </c>
      <c r="K153">
        <v>-2500</v>
      </c>
      <c r="O153" t="s">
        <v>779</v>
      </c>
      <c r="Q153" t="s">
        <v>469</v>
      </c>
      <c r="R153">
        <v>0</v>
      </c>
    </row>
    <row r="154" spans="1:18" x14ac:dyDescent="0.3">
      <c r="A154">
        <v>200536</v>
      </c>
      <c r="B154" t="s">
        <v>557</v>
      </c>
      <c r="C154" t="s">
        <v>886</v>
      </c>
      <c r="D154" t="s">
        <v>819</v>
      </c>
      <c r="E154" s="451">
        <v>46327</v>
      </c>
      <c r="F154" s="451">
        <v>46357</v>
      </c>
      <c r="G154" t="s">
        <v>570</v>
      </c>
      <c r="H154" t="s">
        <v>573</v>
      </c>
      <c r="I154" t="s">
        <v>880</v>
      </c>
      <c r="J154">
        <v>-3300</v>
      </c>
      <c r="K154">
        <v>-3300</v>
      </c>
      <c r="M154" t="s">
        <v>887</v>
      </c>
      <c r="N154" t="s">
        <v>131</v>
      </c>
      <c r="O154" t="s">
        <v>779</v>
      </c>
      <c r="Q154" t="s">
        <v>469</v>
      </c>
      <c r="R154">
        <v>0</v>
      </c>
    </row>
    <row r="155" spans="1:18" x14ac:dyDescent="0.3">
      <c r="A155">
        <v>200549</v>
      </c>
      <c r="B155" t="s">
        <v>557</v>
      </c>
      <c r="C155" t="s">
        <v>886</v>
      </c>
      <c r="D155" t="s">
        <v>819</v>
      </c>
      <c r="E155" s="451">
        <v>46327</v>
      </c>
      <c r="F155" s="451">
        <v>46371</v>
      </c>
      <c r="G155" t="s">
        <v>570</v>
      </c>
      <c r="H155" t="s">
        <v>573</v>
      </c>
      <c r="I155" t="s">
        <v>880</v>
      </c>
      <c r="J155">
        <v>-3300</v>
      </c>
      <c r="K155">
        <v>-3300</v>
      </c>
      <c r="M155" t="s">
        <v>887</v>
      </c>
      <c r="N155" t="s">
        <v>131</v>
      </c>
      <c r="O155" t="s">
        <v>779</v>
      </c>
      <c r="Q155" t="s">
        <v>469</v>
      </c>
      <c r="R155">
        <v>0</v>
      </c>
    </row>
    <row r="156" spans="1:18" x14ac:dyDescent="0.3">
      <c r="A156">
        <v>193009</v>
      </c>
      <c r="B156" t="s">
        <v>557</v>
      </c>
      <c r="C156" t="s">
        <v>925</v>
      </c>
      <c r="D156" t="s">
        <v>819</v>
      </c>
      <c r="E156" s="451">
        <v>46327</v>
      </c>
      <c r="F156" s="451">
        <v>46361</v>
      </c>
      <c r="G156" t="s">
        <v>279</v>
      </c>
      <c r="H156" t="s">
        <v>282</v>
      </c>
      <c r="I156" t="s">
        <v>926</v>
      </c>
      <c r="J156">
        <v>-40.9</v>
      </c>
      <c r="K156">
        <v>-40.9</v>
      </c>
      <c r="O156" t="s">
        <v>779</v>
      </c>
      <c r="Q156" t="s">
        <v>469</v>
      </c>
      <c r="R156">
        <v>0</v>
      </c>
    </row>
    <row r="157" spans="1:18" x14ac:dyDescent="0.3">
      <c r="A157">
        <v>192602</v>
      </c>
      <c r="B157" t="s">
        <v>557</v>
      </c>
      <c r="C157" t="s">
        <v>840</v>
      </c>
      <c r="D157" t="s">
        <v>819</v>
      </c>
      <c r="E157" s="451">
        <v>46327</v>
      </c>
      <c r="F157" s="451">
        <v>46354</v>
      </c>
      <c r="G157" t="s">
        <v>581</v>
      </c>
      <c r="H157" t="s">
        <v>288</v>
      </c>
      <c r="I157" t="s">
        <v>841</v>
      </c>
      <c r="J157">
        <v>-2500</v>
      </c>
      <c r="K157">
        <v>-2500</v>
      </c>
      <c r="O157" t="s">
        <v>779</v>
      </c>
      <c r="Q157" t="s">
        <v>469</v>
      </c>
      <c r="R157">
        <v>0</v>
      </c>
    </row>
    <row r="158" spans="1:18" x14ac:dyDescent="0.3">
      <c r="A158">
        <v>204927</v>
      </c>
      <c r="B158" t="s">
        <v>557</v>
      </c>
      <c r="C158" t="s">
        <v>842</v>
      </c>
      <c r="D158" t="s">
        <v>819</v>
      </c>
      <c r="E158" s="451">
        <v>46327</v>
      </c>
      <c r="F158" s="451">
        <v>46354</v>
      </c>
      <c r="G158" t="s">
        <v>578</v>
      </c>
      <c r="H158" t="s">
        <v>242</v>
      </c>
      <c r="I158" t="s">
        <v>843</v>
      </c>
      <c r="J158">
        <v>-300</v>
      </c>
      <c r="K158">
        <v>-300</v>
      </c>
      <c r="O158" t="s">
        <v>779</v>
      </c>
      <c r="Q158" t="s">
        <v>469</v>
      </c>
      <c r="R158">
        <v>0</v>
      </c>
    </row>
    <row r="159" spans="1:18" x14ac:dyDescent="0.3">
      <c r="A159">
        <v>192519</v>
      </c>
      <c r="B159" t="s">
        <v>557</v>
      </c>
      <c r="C159" t="s">
        <v>836</v>
      </c>
      <c r="D159" t="s">
        <v>819</v>
      </c>
      <c r="E159" s="451">
        <v>46327</v>
      </c>
      <c r="F159" s="451">
        <v>46347</v>
      </c>
      <c r="G159" t="s">
        <v>318</v>
      </c>
      <c r="H159" t="s">
        <v>319</v>
      </c>
      <c r="I159" t="s">
        <v>837</v>
      </c>
      <c r="J159">
        <v>-500</v>
      </c>
      <c r="K159">
        <v>-500</v>
      </c>
      <c r="O159" t="s">
        <v>779</v>
      </c>
      <c r="Q159" t="s">
        <v>469</v>
      </c>
      <c r="R159">
        <v>0</v>
      </c>
    </row>
    <row r="160" spans="1:18" x14ac:dyDescent="0.3">
      <c r="A160">
        <v>196306</v>
      </c>
      <c r="B160" t="s">
        <v>557</v>
      </c>
      <c r="C160" t="s">
        <v>834</v>
      </c>
      <c r="D160" t="s">
        <v>819</v>
      </c>
      <c r="E160" s="451">
        <v>46327</v>
      </c>
      <c r="F160" s="451">
        <v>46323</v>
      </c>
      <c r="G160" t="s">
        <v>578</v>
      </c>
      <c r="H160" t="s">
        <v>239</v>
      </c>
      <c r="I160" t="s">
        <v>835</v>
      </c>
      <c r="J160">
        <v>-8000</v>
      </c>
      <c r="K160">
        <v>-8000</v>
      </c>
      <c r="O160" t="s">
        <v>779</v>
      </c>
      <c r="Q160" t="s">
        <v>469</v>
      </c>
      <c r="R160">
        <v>0</v>
      </c>
    </row>
    <row r="161" spans="1:18" x14ac:dyDescent="0.3">
      <c r="A161">
        <v>200458</v>
      </c>
      <c r="B161" t="s">
        <v>557</v>
      </c>
      <c r="C161" t="s">
        <v>879</v>
      </c>
      <c r="D161" t="s">
        <v>819</v>
      </c>
      <c r="E161" s="451">
        <v>46327</v>
      </c>
      <c r="F161" s="451">
        <v>46371</v>
      </c>
      <c r="G161" t="s">
        <v>570</v>
      </c>
      <c r="H161" t="s">
        <v>573</v>
      </c>
      <c r="I161" t="s">
        <v>880</v>
      </c>
      <c r="J161">
        <v>-2000</v>
      </c>
      <c r="K161">
        <v>-2000</v>
      </c>
      <c r="M161" t="s">
        <v>881</v>
      </c>
      <c r="N161" t="s">
        <v>73</v>
      </c>
      <c r="O161" t="s">
        <v>779</v>
      </c>
      <c r="Q161" t="s">
        <v>469</v>
      </c>
      <c r="R161">
        <v>0</v>
      </c>
    </row>
    <row r="162" spans="1:18" x14ac:dyDescent="0.3">
      <c r="A162">
        <v>196174</v>
      </c>
      <c r="B162" t="s">
        <v>557</v>
      </c>
      <c r="C162" t="s">
        <v>907</v>
      </c>
      <c r="D162" t="s">
        <v>819</v>
      </c>
      <c r="E162" s="451">
        <v>46327</v>
      </c>
      <c r="F162" s="451">
        <v>46365</v>
      </c>
      <c r="G162" t="s">
        <v>578</v>
      </c>
      <c r="H162" t="s">
        <v>252</v>
      </c>
      <c r="I162" t="s">
        <v>908</v>
      </c>
      <c r="J162">
        <v>-4000</v>
      </c>
      <c r="K162">
        <v>-4000</v>
      </c>
      <c r="O162" t="s">
        <v>779</v>
      </c>
      <c r="Q162" t="s">
        <v>469</v>
      </c>
      <c r="R162">
        <v>0</v>
      </c>
    </row>
    <row r="163" spans="1:18" x14ac:dyDescent="0.3">
      <c r="A163">
        <v>200471</v>
      </c>
      <c r="B163" t="s">
        <v>557</v>
      </c>
      <c r="C163" t="s">
        <v>888</v>
      </c>
      <c r="D163" t="s">
        <v>819</v>
      </c>
      <c r="E163" s="451">
        <v>46327</v>
      </c>
      <c r="F163" s="451">
        <v>46357</v>
      </c>
      <c r="G163" t="s">
        <v>570</v>
      </c>
      <c r="H163" t="s">
        <v>573</v>
      </c>
      <c r="I163" t="s">
        <v>880</v>
      </c>
      <c r="J163">
        <v>-3300</v>
      </c>
      <c r="K163">
        <v>-3300</v>
      </c>
      <c r="M163" t="s">
        <v>887</v>
      </c>
      <c r="N163" t="s">
        <v>131</v>
      </c>
      <c r="O163" t="s">
        <v>779</v>
      </c>
      <c r="Q163" t="s">
        <v>469</v>
      </c>
      <c r="R163">
        <v>0</v>
      </c>
    </row>
    <row r="164" spans="1:18" x14ac:dyDescent="0.3">
      <c r="A164">
        <v>192950</v>
      </c>
      <c r="B164" t="s">
        <v>557</v>
      </c>
      <c r="C164" t="s">
        <v>921</v>
      </c>
      <c r="D164" t="s">
        <v>819</v>
      </c>
      <c r="E164" s="451">
        <v>46327</v>
      </c>
      <c r="F164" s="451">
        <v>46361</v>
      </c>
      <c r="G164" t="s">
        <v>296</v>
      </c>
      <c r="H164" t="s">
        <v>301</v>
      </c>
      <c r="I164" t="s">
        <v>922</v>
      </c>
      <c r="J164">
        <v>-1500</v>
      </c>
      <c r="K164">
        <v>-1500</v>
      </c>
      <c r="O164" t="s">
        <v>779</v>
      </c>
      <c r="Q164" t="s">
        <v>469</v>
      </c>
      <c r="R164">
        <v>0</v>
      </c>
    </row>
    <row r="165" spans="1:18" x14ac:dyDescent="0.3">
      <c r="A165">
        <v>200484</v>
      </c>
      <c r="B165" t="s">
        <v>557</v>
      </c>
      <c r="C165" t="s">
        <v>888</v>
      </c>
      <c r="D165" t="s">
        <v>819</v>
      </c>
      <c r="E165" s="451">
        <v>46327</v>
      </c>
      <c r="F165" s="451">
        <v>46371</v>
      </c>
      <c r="G165" t="s">
        <v>570</v>
      </c>
      <c r="H165" t="s">
        <v>573</v>
      </c>
      <c r="I165" t="s">
        <v>880</v>
      </c>
      <c r="J165">
        <v>-3300</v>
      </c>
      <c r="K165">
        <v>-3300</v>
      </c>
      <c r="M165" t="s">
        <v>887</v>
      </c>
      <c r="N165" t="s">
        <v>131</v>
      </c>
      <c r="O165" t="s">
        <v>779</v>
      </c>
      <c r="Q165" t="s">
        <v>469</v>
      </c>
      <c r="R165">
        <v>0</v>
      </c>
    </row>
    <row r="166" spans="1:18" x14ac:dyDescent="0.3">
      <c r="A166">
        <v>200497</v>
      </c>
      <c r="B166" t="s">
        <v>557</v>
      </c>
      <c r="C166" t="s">
        <v>888</v>
      </c>
      <c r="D166" t="s">
        <v>819</v>
      </c>
      <c r="E166" s="451">
        <v>46327</v>
      </c>
      <c r="F166" s="451">
        <v>46381</v>
      </c>
      <c r="G166" t="s">
        <v>570</v>
      </c>
      <c r="H166" t="s">
        <v>573</v>
      </c>
      <c r="I166" t="s">
        <v>880</v>
      </c>
      <c r="J166">
        <v>-4400</v>
      </c>
      <c r="K166">
        <v>-4400</v>
      </c>
      <c r="M166" t="s">
        <v>887</v>
      </c>
      <c r="N166" t="s">
        <v>131</v>
      </c>
      <c r="O166" t="s">
        <v>779</v>
      </c>
      <c r="Q166" t="s">
        <v>469</v>
      </c>
      <c r="R166">
        <v>0</v>
      </c>
    </row>
    <row r="167" spans="1:18" x14ac:dyDescent="0.3">
      <c r="A167">
        <v>192963</v>
      </c>
      <c r="B167" t="s">
        <v>557</v>
      </c>
      <c r="C167" t="s">
        <v>903</v>
      </c>
      <c r="D167" t="s">
        <v>819</v>
      </c>
      <c r="E167" s="451">
        <v>46327</v>
      </c>
      <c r="F167" s="451">
        <v>46361</v>
      </c>
      <c r="G167" t="s">
        <v>279</v>
      </c>
      <c r="H167" t="s">
        <v>283</v>
      </c>
      <c r="I167" t="s">
        <v>904</v>
      </c>
      <c r="J167">
        <v>-293.93</v>
      </c>
      <c r="K167">
        <v>-293.93</v>
      </c>
      <c r="O167" t="s">
        <v>779</v>
      </c>
      <c r="Q167" t="s">
        <v>469</v>
      </c>
      <c r="R167">
        <v>0</v>
      </c>
    </row>
    <row r="168" spans="1:18" x14ac:dyDescent="0.3">
      <c r="A168">
        <v>192404</v>
      </c>
      <c r="B168" t="s">
        <v>557</v>
      </c>
      <c r="C168" t="s">
        <v>823</v>
      </c>
      <c r="D168" t="s">
        <v>819</v>
      </c>
      <c r="E168" s="451">
        <v>46327</v>
      </c>
      <c r="F168" s="451">
        <v>46341</v>
      </c>
      <c r="G168" t="s">
        <v>279</v>
      </c>
      <c r="H168" t="s">
        <v>286</v>
      </c>
      <c r="I168" t="s">
        <v>824</v>
      </c>
      <c r="J168">
        <v>-219</v>
      </c>
      <c r="K168">
        <v>-219</v>
      </c>
      <c r="O168" t="s">
        <v>779</v>
      </c>
      <c r="Q168" t="s">
        <v>469</v>
      </c>
      <c r="R168">
        <v>0</v>
      </c>
    </row>
    <row r="169" spans="1:18" x14ac:dyDescent="0.3">
      <c r="A169">
        <v>192135</v>
      </c>
      <c r="B169" t="s">
        <v>557</v>
      </c>
      <c r="C169" t="s">
        <v>909</v>
      </c>
      <c r="D169" t="s">
        <v>819</v>
      </c>
      <c r="E169" s="451">
        <v>46327</v>
      </c>
      <c r="F169" s="451">
        <v>46346</v>
      </c>
      <c r="G169" t="s">
        <v>308</v>
      </c>
      <c r="H169" t="s">
        <v>311</v>
      </c>
      <c r="I169" t="s">
        <v>910</v>
      </c>
      <c r="J169">
        <v>-300</v>
      </c>
      <c r="K169">
        <v>-300</v>
      </c>
      <c r="O169" t="s">
        <v>779</v>
      </c>
      <c r="Q169" t="s">
        <v>469</v>
      </c>
      <c r="R169">
        <v>0</v>
      </c>
    </row>
    <row r="170" spans="1:18" x14ac:dyDescent="0.3">
      <c r="A170">
        <v>196417</v>
      </c>
      <c r="B170" t="s">
        <v>557</v>
      </c>
      <c r="C170" t="s">
        <v>825</v>
      </c>
      <c r="D170" t="s">
        <v>819</v>
      </c>
      <c r="E170" s="451">
        <v>46327</v>
      </c>
      <c r="F170" s="451">
        <v>46362</v>
      </c>
      <c r="G170" t="s">
        <v>574</v>
      </c>
      <c r="H170" t="s">
        <v>575</v>
      </c>
      <c r="I170" t="s">
        <v>826</v>
      </c>
      <c r="J170">
        <v>-47000</v>
      </c>
      <c r="K170">
        <v>-47000</v>
      </c>
      <c r="O170" t="s">
        <v>779</v>
      </c>
      <c r="Q170" t="s">
        <v>469</v>
      </c>
      <c r="R170">
        <v>0</v>
      </c>
    </row>
    <row r="171" spans="1:18" x14ac:dyDescent="0.3">
      <c r="A171">
        <v>192097</v>
      </c>
      <c r="B171" t="s">
        <v>557</v>
      </c>
      <c r="C171" t="s">
        <v>877</v>
      </c>
      <c r="D171" t="s">
        <v>819</v>
      </c>
      <c r="E171" s="451">
        <v>46327</v>
      </c>
      <c r="F171" s="451">
        <v>46374</v>
      </c>
      <c r="G171" t="s">
        <v>308</v>
      </c>
      <c r="H171" t="s">
        <v>314</v>
      </c>
      <c r="I171" t="s">
        <v>878</v>
      </c>
      <c r="J171">
        <v>-708.18</v>
      </c>
      <c r="K171">
        <v>-708.18</v>
      </c>
      <c r="O171" t="s">
        <v>779</v>
      </c>
      <c r="Q171" t="s">
        <v>469</v>
      </c>
      <c r="R171">
        <v>0</v>
      </c>
    </row>
    <row r="172" spans="1:18" x14ac:dyDescent="0.3">
      <c r="A172">
        <v>192170</v>
      </c>
      <c r="B172" t="s">
        <v>557</v>
      </c>
      <c r="C172" t="s">
        <v>932</v>
      </c>
      <c r="D172" t="s">
        <v>819</v>
      </c>
      <c r="E172" s="451">
        <v>46327</v>
      </c>
      <c r="F172" s="451">
        <v>46341</v>
      </c>
      <c r="G172" t="s">
        <v>264</v>
      </c>
      <c r="H172" t="s">
        <v>270</v>
      </c>
      <c r="I172" t="s">
        <v>933</v>
      </c>
      <c r="J172">
        <v>-550</v>
      </c>
      <c r="K172">
        <v>-550</v>
      </c>
      <c r="O172" t="s">
        <v>779</v>
      </c>
      <c r="Q172" t="s">
        <v>469</v>
      </c>
      <c r="R172">
        <v>0</v>
      </c>
    </row>
    <row r="173" spans="1:18" x14ac:dyDescent="0.3">
      <c r="A173">
        <v>192196</v>
      </c>
      <c r="B173" t="s">
        <v>557</v>
      </c>
      <c r="C173" t="s">
        <v>919</v>
      </c>
      <c r="D173" t="s">
        <v>819</v>
      </c>
      <c r="E173" s="451">
        <v>46327</v>
      </c>
      <c r="F173" s="451">
        <v>46361</v>
      </c>
      <c r="G173" t="s">
        <v>279</v>
      </c>
      <c r="H173" t="s">
        <v>284</v>
      </c>
      <c r="I173" t="s">
        <v>920</v>
      </c>
      <c r="J173">
        <v>-530</v>
      </c>
      <c r="K173">
        <v>-530</v>
      </c>
      <c r="O173" t="s">
        <v>779</v>
      </c>
      <c r="Q173" t="s">
        <v>469</v>
      </c>
      <c r="R173">
        <v>0</v>
      </c>
    </row>
    <row r="174" spans="1:18" x14ac:dyDescent="0.3">
      <c r="A174">
        <v>192336</v>
      </c>
      <c r="B174" t="s">
        <v>557</v>
      </c>
      <c r="C174" t="s">
        <v>913</v>
      </c>
      <c r="D174" t="s">
        <v>819</v>
      </c>
      <c r="E174" s="451">
        <v>46327</v>
      </c>
      <c r="F174" s="451">
        <v>46359</v>
      </c>
      <c r="G174" t="s">
        <v>296</v>
      </c>
      <c r="H174" t="s">
        <v>297</v>
      </c>
      <c r="I174" t="s">
        <v>914</v>
      </c>
      <c r="J174">
        <v>-4000</v>
      </c>
      <c r="K174">
        <v>-4000</v>
      </c>
      <c r="M174" t="s">
        <v>915</v>
      </c>
      <c r="N174" t="s">
        <v>916</v>
      </c>
      <c r="O174" t="s">
        <v>779</v>
      </c>
      <c r="Q174" t="s">
        <v>469</v>
      </c>
      <c r="R174">
        <v>0</v>
      </c>
    </row>
    <row r="175" spans="1:18" x14ac:dyDescent="0.3">
      <c r="A175">
        <v>192357</v>
      </c>
      <c r="B175" t="s">
        <v>557</v>
      </c>
      <c r="C175" t="s">
        <v>911</v>
      </c>
      <c r="D175" t="s">
        <v>819</v>
      </c>
      <c r="E175" s="451">
        <v>46327</v>
      </c>
      <c r="F175" s="451">
        <v>46336</v>
      </c>
      <c r="G175" t="s">
        <v>279</v>
      </c>
      <c r="H175" t="s">
        <v>281</v>
      </c>
      <c r="I175" t="s">
        <v>912</v>
      </c>
      <c r="J175">
        <v>-299.99</v>
      </c>
      <c r="K175">
        <v>-299.99</v>
      </c>
      <c r="O175" t="s">
        <v>779</v>
      </c>
      <c r="Q175" t="s">
        <v>469</v>
      </c>
      <c r="R175">
        <v>0</v>
      </c>
    </row>
    <row r="176" spans="1:18" x14ac:dyDescent="0.3">
      <c r="A176">
        <v>200573</v>
      </c>
      <c r="B176" t="s">
        <v>557</v>
      </c>
      <c r="C176" t="s">
        <v>882</v>
      </c>
      <c r="D176" t="s">
        <v>819</v>
      </c>
      <c r="E176" s="451">
        <v>46327</v>
      </c>
      <c r="F176" s="451">
        <v>46357</v>
      </c>
      <c r="G176" t="s">
        <v>570</v>
      </c>
      <c r="H176" t="s">
        <v>573</v>
      </c>
      <c r="I176" t="s">
        <v>880</v>
      </c>
      <c r="J176">
        <v>-3250</v>
      </c>
      <c r="K176">
        <v>-3250</v>
      </c>
      <c r="M176" t="s">
        <v>883</v>
      </c>
      <c r="N176" t="s">
        <v>135</v>
      </c>
      <c r="O176" t="s">
        <v>779</v>
      </c>
      <c r="Q176" t="s">
        <v>469</v>
      </c>
      <c r="R176">
        <v>0</v>
      </c>
    </row>
    <row r="177" spans="1:18" x14ac:dyDescent="0.3">
      <c r="A177">
        <v>192033</v>
      </c>
      <c r="B177" t="s">
        <v>557</v>
      </c>
      <c r="C177" t="s">
        <v>870</v>
      </c>
      <c r="D177" t="s">
        <v>819</v>
      </c>
      <c r="E177" s="451">
        <v>46327</v>
      </c>
      <c r="F177" s="451">
        <v>46346</v>
      </c>
      <c r="G177" t="s">
        <v>308</v>
      </c>
      <c r="H177" t="s">
        <v>311</v>
      </c>
      <c r="I177" t="s">
        <v>871</v>
      </c>
      <c r="J177">
        <v>-1250</v>
      </c>
      <c r="K177">
        <v>-1250</v>
      </c>
      <c r="O177" t="s">
        <v>779</v>
      </c>
      <c r="Q177" t="s">
        <v>469</v>
      </c>
      <c r="R177">
        <v>0</v>
      </c>
    </row>
    <row r="178" spans="1:18" x14ac:dyDescent="0.3">
      <c r="A178">
        <v>196330</v>
      </c>
      <c r="B178" t="s">
        <v>557</v>
      </c>
      <c r="C178" t="s">
        <v>834</v>
      </c>
      <c r="D178" t="s">
        <v>819</v>
      </c>
      <c r="E178" s="451">
        <v>46327</v>
      </c>
      <c r="F178" s="451">
        <v>46321</v>
      </c>
      <c r="G178" t="s">
        <v>578</v>
      </c>
      <c r="H178" t="s">
        <v>239</v>
      </c>
      <c r="I178" t="s">
        <v>844</v>
      </c>
      <c r="J178">
        <v>-1500</v>
      </c>
      <c r="K178">
        <v>-1500</v>
      </c>
      <c r="O178" t="s">
        <v>779</v>
      </c>
      <c r="Q178" t="s">
        <v>469</v>
      </c>
      <c r="R178">
        <v>0</v>
      </c>
    </row>
    <row r="179" spans="1:18" x14ac:dyDescent="0.3">
      <c r="A179">
        <v>196669</v>
      </c>
      <c r="B179" t="s">
        <v>557</v>
      </c>
      <c r="C179" t="s">
        <v>825</v>
      </c>
      <c r="D179" t="s">
        <v>819</v>
      </c>
      <c r="E179" s="451">
        <v>46327</v>
      </c>
      <c r="F179" s="451">
        <v>46346</v>
      </c>
      <c r="G179" t="s">
        <v>574</v>
      </c>
      <c r="H179" t="s">
        <v>575</v>
      </c>
      <c r="I179" t="s">
        <v>872</v>
      </c>
      <c r="J179">
        <v>-20000</v>
      </c>
      <c r="K179">
        <v>-20000</v>
      </c>
      <c r="O179" t="s">
        <v>779</v>
      </c>
      <c r="Q179" t="s">
        <v>469</v>
      </c>
      <c r="R179">
        <v>0</v>
      </c>
    </row>
    <row r="180" spans="1:18" x14ac:dyDescent="0.3">
      <c r="A180">
        <v>192394</v>
      </c>
      <c r="B180" t="s">
        <v>557</v>
      </c>
      <c r="C180" t="s">
        <v>905</v>
      </c>
      <c r="D180" t="s">
        <v>819</v>
      </c>
      <c r="E180" s="451">
        <v>46327</v>
      </c>
      <c r="F180" s="451">
        <v>46368</v>
      </c>
      <c r="G180" t="s">
        <v>296</v>
      </c>
      <c r="H180" t="s">
        <v>298</v>
      </c>
      <c r="I180" t="s">
        <v>906</v>
      </c>
      <c r="J180">
        <v>-500</v>
      </c>
      <c r="K180">
        <v>-500</v>
      </c>
      <c r="O180" t="s">
        <v>779</v>
      </c>
      <c r="Q180" t="s">
        <v>469</v>
      </c>
      <c r="R180">
        <v>0</v>
      </c>
    </row>
    <row r="181" spans="1:18" x14ac:dyDescent="0.3">
      <c r="A181">
        <v>193434</v>
      </c>
      <c r="B181" t="s">
        <v>557</v>
      </c>
      <c r="C181" t="s">
        <v>873</v>
      </c>
      <c r="D181" t="s">
        <v>819</v>
      </c>
      <c r="E181" s="451">
        <v>46327</v>
      </c>
      <c r="F181" s="451">
        <v>46344</v>
      </c>
      <c r="G181" t="s">
        <v>874</v>
      </c>
      <c r="H181" t="s">
        <v>875</v>
      </c>
      <c r="I181" t="s">
        <v>876</v>
      </c>
      <c r="J181">
        <v>-400</v>
      </c>
      <c r="K181">
        <v>-400</v>
      </c>
      <c r="O181" t="s">
        <v>779</v>
      </c>
      <c r="Q181" t="s">
        <v>469</v>
      </c>
      <c r="R181">
        <v>0</v>
      </c>
    </row>
    <row r="182" spans="1:18" x14ac:dyDescent="0.3">
      <c r="A182">
        <v>191758</v>
      </c>
      <c r="B182" t="s">
        <v>557</v>
      </c>
      <c r="C182" t="s">
        <v>895</v>
      </c>
      <c r="D182" t="s">
        <v>819</v>
      </c>
      <c r="E182" s="451">
        <v>46327</v>
      </c>
      <c r="F182" s="451">
        <v>46341</v>
      </c>
      <c r="G182" t="s">
        <v>308</v>
      </c>
      <c r="H182" t="s">
        <v>309</v>
      </c>
      <c r="I182" t="s">
        <v>897</v>
      </c>
      <c r="J182">
        <v>-2200</v>
      </c>
      <c r="K182">
        <v>-2200</v>
      </c>
      <c r="O182" t="s">
        <v>779</v>
      </c>
      <c r="Q182" t="s">
        <v>469</v>
      </c>
      <c r="R182">
        <v>0</v>
      </c>
    </row>
    <row r="183" spans="1:18" x14ac:dyDescent="0.3">
      <c r="A183">
        <v>191986</v>
      </c>
      <c r="B183" t="s">
        <v>557</v>
      </c>
      <c r="C183" t="s">
        <v>832</v>
      </c>
      <c r="D183" t="s">
        <v>819</v>
      </c>
      <c r="E183" s="451">
        <v>46327</v>
      </c>
      <c r="F183" s="451">
        <v>46346</v>
      </c>
      <c r="G183" t="s">
        <v>264</v>
      </c>
      <c r="H183" t="s">
        <v>271</v>
      </c>
      <c r="I183" t="s">
        <v>833</v>
      </c>
      <c r="J183">
        <v>-1500</v>
      </c>
      <c r="K183">
        <v>-1500</v>
      </c>
      <c r="O183" t="s">
        <v>779</v>
      </c>
      <c r="Q183" t="s">
        <v>469</v>
      </c>
      <c r="R183">
        <v>0</v>
      </c>
    </row>
    <row r="184" spans="1:18" x14ac:dyDescent="0.3">
      <c r="A184">
        <v>200585</v>
      </c>
      <c r="B184" t="s">
        <v>557</v>
      </c>
      <c r="C184" t="s">
        <v>882</v>
      </c>
      <c r="D184" t="s">
        <v>819</v>
      </c>
      <c r="E184" s="451">
        <v>46327</v>
      </c>
      <c r="F184" s="451">
        <v>46371</v>
      </c>
      <c r="G184" t="s">
        <v>570</v>
      </c>
      <c r="H184" t="s">
        <v>573</v>
      </c>
      <c r="I184" t="s">
        <v>880</v>
      </c>
      <c r="J184">
        <v>-3250</v>
      </c>
      <c r="K184">
        <v>-3250</v>
      </c>
      <c r="M184" t="s">
        <v>883</v>
      </c>
      <c r="N184" t="s">
        <v>135</v>
      </c>
      <c r="O184" t="s">
        <v>779</v>
      </c>
      <c r="Q184" t="s">
        <v>469</v>
      </c>
      <c r="R184">
        <v>0</v>
      </c>
    </row>
    <row r="185" spans="1:18" x14ac:dyDescent="0.3">
      <c r="A185">
        <v>191939</v>
      </c>
      <c r="B185" t="s">
        <v>557</v>
      </c>
      <c r="C185" t="s">
        <v>889</v>
      </c>
      <c r="D185" t="s">
        <v>819</v>
      </c>
      <c r="E185" s="451">
        <v>46327</v>
      </c>
      <c r="F185" s="451">
        <v>46357</v>
      </c>
      <c r="G185" t="s">
        <v>279</v>
      </c>
      <c r="H185" t="s">
        <v>281</v>
      </c>
      <c r="I185" t="s">
        <v>890</v>
      </c>
      <c r="J185">
        <v>-200</v>
      </c>
      <c r="K185">
        <v>-200</v>
      </c>
      <c r="O185" t="s">
        <v>779</v>
      </c>
      <c r="Q185" t="s">
        <v>469</v>
      </c>
      <c r="R185">
        <v>0</v>
      </c>
    </row>
    <row r="186" spans="1:18" x14ac:dyDescent="0.3">
      <c r="A186">
        <v>191927</v>
      </c>
      <c r="B186" t="s">
        <v>557</v>
      </c>
      <c r="C186" t="s">
        <v>889</v>
      </c>
      <c r="D186" t="s">
        <v>819</v>
      </c>
      <c r="E186" s="451">
        <v>46327</v>
      </c>
      <c r="F186" s="451">
        <v>46346</v>
      </c>
      <c r="G186" t="s">
        <v>279</v>
      </c>
      <c r="H186" t="s">
        <v>282</v>
      </c>
      <c r="I186" t="s">
        <v>902</v>
      </c>
      <c r="J186">
        <v>-350</v>
      </c>
      <c r="K186">
        <v>-350</v>
      </c>
      <c r="O186" t="s">
        <v>779</v>
      </c>
      <c r="Q186" t="s">
        <v>469</v>
      </c>
      <c r="R186">
        <v>0</v>
      </c>
    </row>
    <row r="187" spans="1:18" x14ac:dyDescent="0.3">
      <c r="A187">
        <v>192420</v>
      </c>
      <c r="B187" t="s">
        <v>557</v>
      </c>
      <c r="C187" t="s">
        <v>923</v>
      </c>
      <c r="D187" t="s">
        <v>819</v>
      </c>
      <c r="E187" s="451">
        <v>46327</v>
      </c>
      <c r="F187" s="451">
        <v>46351</v>
      </c>
      <c r="G187" t="s">
        <v>264</v>
      </c>
      <c r="H187" t="s">
        <v>277</v>
      </c>
      <c r="I187" t="s">
        <v>924</v>
      </c>
      <c r="J187">
        <v>-500</v>
      </c>
      <c r="K187">
        <v>-500</v>
      </c>
      <c r="O187" t="s">
        <v>779</v>
      </c>
      <c r="Q187" t="s">
        <v>469</v>
      </c>
      <c r="R187">
        <v>0</v>
      </c>
    </row>
    <row r="188" spans="1:18" x14ac:dyDescent="0.3">
      <c r="A188">
        <v>191891</v>
      </c>
      <c r="B188" t="s">
        <v>557</v>
      </c>
      <c r="C188" t="s">
        <v>900</v>
      </c>
      <c r="D188" t="s">
        <v>819</v>
      </c>
      <c r="E188" s="451">
        <v>46327</v>
      </c>
      <c r="F188" s="451">
        <v>46361</v>
      </c>
      <c r="G188" t="s">
        <v>264</v>
      </c>
      <c r="H188" t="s">
        <v>266</v>
      </c>
      <c r="I188" t="s">
        <v>901</v>
      </c>
      <c r="J188">
        <v>-15000</v>
      </c>
      <c r="K188">
        <v>-15000</v>
      </c>
      <c r="O188" t="s">
        <v>779</v>
      </c>
      <c r="Q188" t="s">
        <v>469</v>
      </c>
      <c r="R188">
        <v>0</v>
      </c>
    </row>
    <row r="189" spans="1:18" x14ac:dyDescent="0.3">
      <c r="A189">
        <v>192488</v>
      </c>
      <c r="B189" t="s">
        <v>557</v>
      </c>
      <c r="C189" t="s">
        <v>934</v>
      </c>
      <c r="D189" t="s">
        <v>819</v>
      </c>
      <c r="E189" s="451">
        <v>46327</v>
      </c>
      <c r="F189" s="451">
        <v>46346</v>
      </c>
      <c r="G189" t="s">
        <v>308</v>
      </c>
      <c r="H189" t="s">
        <v>312</v>
      </c>
      <c r="I189" t="s">
        <v>935</v>
      </c>
      <c r="J189">
        <v>-185</v>
      </c>
      <c r="K189">
        <v>-185</v>
      </c>
      <c r="O189" t="s">
        <v>779</v>
      </c>
      <c r="Q189" t="s">
        <v>469</v>
      </c>
      <c r="R189">
        <v>0</v>
      </c>
    </row>
    <row r="190" spans="1:18" x14ac:dyDescent="0.3">
      <c r="A190">
        <v>191855</v>
      </c>
      <c r="B190" t="s">
        <v>557</v>
      </c>
      <c r="C190" t="s">
        <v>898</v>
      </c>
      <c r="D190" t="s">
        <v>819</v>
      </c>
      <c r="E190" s="451">
        <v>46327</v>
      </c>
      <c r="F190" s="451">
        <v>46358</v>
      </c>
      <c r="G190" t="s">
        <v>279</v>
      </c>
      <c r="H190" t="s">
        <v>281</v>
      </c>
      <c r="I190" t="s">
        <v>899</v>
      </c>
      <c r="J190">
        <v>-400</v>
      </c>
      <c r="K190">
        <v>-400</v>
      </c>
      <c r="O190" t="s">
        <v>779</v>
      </c>
      <c r="Q190" t="s">
        <v>469</v>
      </c>
      <c r="R190">
        <v>0</v>
      </c>
    </row>
    <row r="191" spans="1:18" x14ac:dyDescent="0.3">
      <c r="A191">
        <v>192507</v>
      </c>
      <c r="B191" t="s">
        <v>557</v>
      </c>
      <c r="C191" t="s">
        <v>936</v>
      </c>
      <c r="D191" t="s">
        <v>819</v>
      </c>
      <c r="E191" s="451">
        <v>46327</v>
      </c>
      <c r="F191" s="451">
        <v>46346</v>
      </c>
      <c r="G191" t="s">
        <v>318</v>
      </c>
      <c r="H191" t="s">
        <v>319</v>
      </c>
      <c r="I191" t="s">
        <v>937</v>
      </c>
      <c r="J191">
        <v>-1295</v>
      </c>
      <c r="K191">
        <v>-1295</v>
      </c>
      <c r="O191" t="s">
        <v>779</v>
      </c>
      <c r="Q191" t="s">
        <v>469</v>
      </c>
      <c r="R191">
        <v>0</v>
      </c>
    </row>
    <row r="192" spans="1:18" x14ac:dyDescent="0.3">
      <c r="A192">
        <v>191842</v>
      </c>
      <c r="B192" t="s">
        <v>557</v>
      </c>
      <c r="C192" t="s">
        <v>838</v>
      </c>
      <c r="D192" t="s">
        <v>819</v>
      </c>
      <c r="E192" s="451">
        <v>46327</v>
      </c>
      <c r="F192" s="451">
        <v>46336</v>
      </c>
      <c r="G192" t="s">
        <v>264</v>
      </c>
      <c r="H192" t="s">
        <v>267</v>
      </c>
      <c r="I192" t="s">
        <v>839</v>
      </c>
      <c r="J192">
        <v>-8000</v>
      </c>
      <c r="K192">
        <v>-8000</v>
      </c>
      <c r="O192" t="s">
        <v>779</v>
      </c>
      <c r="Q192" t="s">
        <v>469</v>
      </c>
      <c r="R192">
        <v>0</v>
      </c>
    </row>
    <row r="193" spans="1:18" x14ac:dyDescent="0.3">
      <c r="A193">
        <v>200561</v>
      </c>
      <c r="B193" t="s">
        <v>557</v>
      </c>
      <c r="C193" t="s">
        <v>884</v>
      </c>
      <c r="D193" t="s">
        <v>819</v>
      </c>
      <c r="E193" s="451">
        <v>46327</v>
      </c>
      <c r="F193" s="451">
        <v>46357</v>
      </c>
      <c r="G193" t="s">
        <v>570</v>
      </c>
      <c r="H193" t="s">
        <v>573</v>
      </c>
      <c r="I193" t="s">
        <v>880</v>
      </c>
      <c r="J193">
        <v>-1750</v>
      </c>
      <c r="K193">
        <v>-1750</v>
      </c>
      <c r="M193" t="s">
        <v>885</v>
      </c>
      <c r="N193" t="s">
        <v>134</v>
      </c>
      <c r="O193" t="s">
        <v>779</v>
      </c>
      <c r="Q193" t="s">
        <v>469</v>
      </c>
      <c r="R193">
        <v>0</v>
      </c>
    </row>
    <row r="194" spans="1:18" x14ac:dyDescent="0.3">
      <c r="A194">
        <v>192566</v>
      </c>
      <c r="B194" t="s">
        <v>557</v>
      </c>
      <c r="C194" t="s">
        <v>917</v>
      </c>
      <c r="D194" t="s">
        <v>819</v>
      </c>
      <c r="E194" s="451">
        <v>46327</v>
      </c>
      <c r="F194" s="451">
        <v>46378</v>
      </c>
      <c r="G194" t="s">
        <v>318</v>
      </c>
      <c r="H194" t="s">
        <v>321</v>
      </c>
      <c r="I194" t="s">
        <v>918</v>
      </c>
      <c r="J194">
        <v>-200</v>
      </c>
      <c r="K194">
        <v>-200</v>
      </c>
      <c r="O194" t="s">
        <v>779</v>
      </c>
      <c r="Q194" t="s">
        <v>469</v>
      </c>
      <c r="R194">
        <v>0</v>
      </c>
    </row>
    <row r="195" spans="1:18" x14ac:dyDescent="0.3">
      <c r="A195">
        <v>207159</v>
      </c>
      <c r="B195" t="s">
        <v>557</v>
      </c>
      <c r="C195" t="s">
        <v>429</v>
      </c>
      <c r="D195" t="s">
        <v>819</v>
      </c>
      <c r="E195" s="451">
        <v>46325</v>
      </c>
      <c r="F195" s="451">
        <v>46346</v>
      </c>
      <c r="G195" t="s">
        <v>577</v>
      </c>
      <c r="H195" t="s">
        <v>211</v>
      </c>
      <c r="I195" t="s">
        <v>848</v>
      </c>
      <c r="J195">
        <v>-10500</v>
      </c>
      <c r="K195">
        <v>-10500</v>
      </c>
      <c r="O195" t="s">
        <v>779</v>
      </c>
      <c r="Q195" t="s">
        <v>468</v>
      </c>
      <c r="R195">
        <v>0</v>
      </c>
    </row>
    <row r="196" spans="1:18" x14ac:dyDescent="0.3">
      <c r="A196">
        <v>202392</v>
      </c>
      <c r="B196" t="s">
        <v>557</v>
      </c>
      <c r="C196" t="s">
        <v>847</v>
      </c>
      <c r="D196" t="s">
        <v>819</v>
      </c>
      <c r="E196" s="451">
        <v>46325</v>
      </c>
      <c r="F196" s="451">
        <v>46335</v>
      </c>
      <c r="G196" t="s">
        <v>578</v>
      </c>
      <c r="H196" t="s">
        <v>247</v>
      </c>
      <c r="J196">
        <v>-267.83</v>
      </c>
      <c r="K196">
        <v>-267.83</v>
      </c>
      <c r="O196" t="s">
        <v>779</v>
      </c>
      <c r="Q196" t="s">
        <v>468</v>
      </c>
      <c r="R196">
        <v>0</v>
      </c>
    </row>
    <row r="197" spans="1:18" x14ac:dyDescent="0.3">
      <c r="A197">
        <v>197658</v>
      </c>
      <c r="B197" t="s">
        <v>557</v>
      </c>
      <c r="C197" t="s">
        <v>849</v>
      </c>
      <c r="D197" t="s">
        <v>819</v>
      </c>
      <c r="E197" s="451">
        <v>46325</v>
      </c>
      <c r="F197" s="451">
        <v>46346</v>
      </c>
      <c r="G197" t="s">
        <v>308</v>
      </c>
      <c r="H197" t="s">
        <v>309</v>
      </c>
      <c r="I197" t="s">
        <v>850</v>
      </c>
      <c r="J197">
        <v>-200</v>
      </c>
      <c r="K197">
        <v>-200</v>
      </c>
      <c r="O197" t="s">
        <v>779</v>
      </c>
      <c r="Q197" t="s">
        <v>468</v>
      </c>
      <c r="R197">
        <v>0</v>
      </c>
    </row>
    <row r="198" spans="1:18" x14ac:dyDescent="0.3">
      <c r="A198">
        <v>197476</v>
      </c>
      <c r="B198" t="s">
        <v>557</v>
      </c>
      <c r="C198" t="s">
        <v>845</v>
      </c>
      <c r="D198" t="s">
        <v>819</v>
      </c>
      <c r="E198" s="451">
        <v>46325</v>
      </c>
      <c r="F198" s="451">
        <v>46346</v>
      </c>
      <c r="G198" t="s">
        <v>308</v>
      </c>
      <c r="H198" t="s">
        <v>309</v>
      </c>
      <c r="I198" t="s">
        <v>853</v>
      </c>
      <c r="J198">
        <v>-20</v>
      </c>
      <c r="K198">
        <v>-20</v>
      </c>
      <c r="O198" t="s">
        <v>779</v>
      </c>
      <c r="Q198" t="s">
        <v>468</v>
      </c>
      <c r="R198">
        <v>0</v>
      </c>
    </row>
    <row r="199" spans="1:18" x14ac:dyDescent="0.3">
      <c r="A199">
        <v>210570</v>
      </c>
      <c r="B199" t="s">
        <v>557</v>
      </c>
      <c r="C199" t="s">
        <v>517</v>
      </c>
      <c r="D199" t="s">
        <v>819</v>
      </c>
      <c r="E199" s="451">
        <v>46325</v>
      </c>
      <c r="F199" s="451">
        <v>46351</v>
      </c>
      <c r="G199" t="s">
        <v>563</v>
      </c>
      <c r="H199" t="s">
        <v>46</v>
      </c>
      <c r="J199">
        <v>-2600</v>
      </c>
      <c r="K199">
        <v>-2600</v>
      </c>
      <c r="O199" t="s">
        <v>779</v>
      </c>
      <c r="Q199" t="s">
        <v>468</v>
      </c>
      <c r="R199">
        <v>0</v>
      </c>
    </row>
    <row r="200" spans="1:18" x14ac:dyDescent="0.3">
      <c r="A200">
        <v>197130</v>
      </c>
      <c r="B200" t="s">
        <v>557</v>
      </c>
      <c r="C200" t="s">
        <v>48</v>
      </c>
      <c r="D200" t="s">
        <v>819</v>
      </c>
      <c r="E200" s="451">
        <v>46325</v>
      </c>
      <c r="F200" s="451">
        <v>46346</v>
      </c>
      <c r="G200" t="s">
        <v>563</v>
      </c>
      <c r="H200" t="s">
        <v>48</v>
      </c>
      <c r="J200">
        <v>-17000</v>
      </c>
      <c r="K200">
        <v>-17000</v>
      </c>
      <c r="O200" t="s">
        <v>779</v>
      </c>
      <c r="Q200" t="s">
        <v>468</v>
      </c>
      <c r="R200">
        <v>0</v>
      </c>
    </row>
    <row r="201" spans="1:18" x14ac:dyDescent="0.3">
      <c r="A201">
        <v>208289</v>
      </c>
      <c r="B201" t="s">
        <v>557</v>
      </c>
      <c r="C201" t="s">
        <v>428</v>
      </c>
      <c r="D201" t="s">
        <v>819</v>
      </c>
      <c r="E201" s="451">
        <v>46325</v>
      </c>
      <c r="F201" s="451">
        <v>46346</v>
      </c>
      <c r="G201" t="s">
        <v>577</v>
      </c>
      <c r="H201" t="s">
        <v>206</v>
      </c>
      <c r="J201">
        <v>-4800</v>
      </c>
      <c r="K201">
        <v>-4800</v>
      </c>
      <c r="O201" t="s">
        <v>779</v>
      </c>
      <c r="Q201" t="s">
        <v>468</v>
      </c>
      <c r="R201">
        <v>0</v>
      </c>
    </row>
    <row r="202" spans="1:18" x14ac:dyDescent="0.3">
      <c r="A202">
        <v>210558</v>
      </c>
      <c r="B202" t="s">
        <v>557</v>
      </c>
      <c r="C202" t="s">
        <v>518</v>
      </c>
      <c r="D202" t="s">
        <v>819</v>
      </c>
      <c r="E202" s="451">
        <v>46325</v>
      </c>
      <c r="F202" s="451">
        <v>46351</v>
      </c>
      <c r="G202" t="s">
        <v>563</v>
      </c>
      <c r="H202" t="s">
        <v>46</v>
      </c>
      <c r="J202">
        <v>-12000</v>
      </c>
      <c r="K202">
        <v>-12000</v>
      </c>
      <c r="O202" t="s">
        <v>779</v>
      </c>
      <c r="Q202" t="s">
        <v>468</v>
      </c>
      <c r="R202">
        <v>0</v>
      </c>
    </row>
    <row r="203" spans="1:18" x14ac:dyDescent="0.3">
      <c r="A203">
        <v>208533</v>
      </c>
      <c r="B203" t="s">
        <v>557</v>
      </c>
      <c r="C203" t="s">
        <v>845</v>
      </c>
      <c r="D203" t="s">
        <v>819</v>
      </c>
      <c r="E203" s="451">
        <v>46325</v>
      </c>
      <c r="F203" s="451">
        <v>46346</v>
      </c>
      <c r="G203" t="s">
        <v>577</v>
      </c>
      <c r="H203" t="s">
        <v>846</v>
      </c>
      <c r="J203">
        <v>-1700</v>
      </c>
      <c r="K203">
        <v>-1700</v>
      </c>
      <c r="O203" t="s">
        <v>779</v>
      </c>
      <c r="Q203" t="s">
        <v>468</v>
      </c>
      <c r="R203">
        <v>0</v>
      </c>
    </row>
    <row r="204" spans="1:18" x14ac:dyDescent="0.3">
      <c r="A204">
        <v>192069</v>
      </c>
      <c r="B204" t="s">
        <v>557</v>
      </c>
      <c r="C204" t="s">
        <v>851</v>
      </c>
      <c r="D204" t="s">
        <v>819</v>
      </c>
      <c r="E204" s="451">
        <v>46325</v>
      </c>
      <c r="F204" s="451">
        <v>46346</v>
      </c>
      <c r="G204" t="s">
        <v>318</v>
      </c>
      <c r="H204" t="s">
        <v>320</v>
      </c>
      <c r="I204" t="s">
        <v>852</v>
      </c>
      <c r="J204">
        <v>-200</v>
      </c>
      <c r="K204">
        <v>-200</v>
      </c>
      <c r="O204" t="s">
        <v>779</v>
      </c>
      <c r="Q204" t="s">
        <v>468</v>
      </c>
      <c r="R204">
        <v>0</v>
      </c>
    </row>
    <row r="205" spans="1:18" x14ac:dyDescent="0.3">
      <c r="A205">
        <v>197464</v>
      </c>
      <c r="B205" t="s">
        <v>557</v>
      </c>
      <c r="C205" t="s">
        <v>845</v>
      </c>
      <c r="D205" t="s">
        <v>819</v>
      </c>
      <c r="E205" s="451">
        <v>46323</v>
      </c>
      <c r="F205" s="451">
        <v>46346</v>
      </c>
      <c r="G205" t="s">
        <v>308</v>
      </c>
      <c r="H205" t="s">
        <v>309</v>
      </c>
      <c r="J205">
        <v>-50</v>
      </c>
      <c r="K205">
        <v>-50</v>
      </c>
      <c r="O205" t="s">
        <v>779</v>
      </c>
      <c r="Q205" t="s">
        <v>468</v>
      </c>
      <c r="R205">
        <v>0</v>
      </c>
    </row>
    <row r="206" spans="1:18" x14ac:dyDescent="0.3">
      <c r="A206">
        <v>197256</v>
      </c>
      <c r="B206" t="s">
        <v>557</v>
      </c>
      <c r="C206" t="s">
        <v>49</v>
      </c>
      <c r="D206" t="s">
        <v>819</v>
      </c>
      <c r="E206" s="451">
        <v>46323</v>
      </c>
      <c r="F206" s="451">
        <v>46336</v>
      </c>
      <c r="G206" t="s">
        <v>279</v>
      </c>
      <c r="H206" t="s">
        <v>283</v>
      </c>
      <c r="J206">
        <v>-100</v>
      </c>
      <c r="K206">
        <v>-100</v>
      </c>
      <c r="O206" t="s">
        <v>779</v>
      </c>
      <c r="Q206" t="s">
        <v>468</v>
      </c>
      <c r="R206">
        <v>0</v>
      </c>
    </row>
    <row r="207" spans="1:18" x14ac:dyDescent="0.3">
      <c r="A207">
        <v>32154</v>
      </c>
      <c r="B207" t="s">
        <v>557</v>
      </c>
      <c r="C207" t="s">
        <v>259</v>
      </c>
      <c r="D207" t="s">
        <v>776</v>
      </c>
      <c r="E207" s="451">
        <v>46321</v>
      </c>
      <c r="F207" s="451">
        <v>46321</v>
      </c>
      <c r="G207" t="s">
        <v>777</v>
      </c>
      <c r="H207" t="s">
        <v>368</v>
      </c>
      <c r="I207" t="s">
        <v>778</v>
      </c>
      <c r="J207">
        <v>-1520.61</v>
      </c>
      <c r="K207">
        <v>-1520.61</v>
      </c>
      <c r="O207" t="s">
        <v>787</v>
      </c>
      <c r="P207" t="s">
        <v>788</v>
      </c>
      <c r="Q207" t="s">
        <v>468</v>
      </c>
      <c r="R207">
        <v>0</v>
      </c>
    </row>
    <row r="208" spans="1:18" x14ac:dyDescent="0.3">
      <c r="A208">
        <v>32311</v>
      </c>
      <c r="B208" t="s">
        <v>557</v>
      </c>
      <c r="C208" t="s">
        <v>259</v>
      </c>
      <c r="D208" t="s">
        <v>938</v>
      </c>
      <c r="E208" s="451">
        <v>46321</v>
      </c>
      <c r="F208" s="451">
        <v>46321</v>
      </c>
      <c r="G208" t="s">
        <v>256</v>
      </c>
      <c r="H208" t="s">
        <v>259</v>
      </c>
      <c r="I208" t="s">
        <v>782</v>
      </c>
      <c r="J208">
        <v>-416.33</v>
      </c>
      <c r="K208">
        <v>-416.33</v>
      </c>
      <c r="O208" t="s">
        <v>787</v>
      </c>
      <c r="P208" t="s">
        <v>788</v>
      </c>
      <c r="Q208" t="s">
        <v>468</v>
      </c>
      <c r="R208">
        <v>0</v>
      </c>
    </row>
    <row r="209" spans="1:18" x14ac:dyDescent="0.3">
      <c r="A209">
        <v>191794</v>
      </c>
      <c r="B209" t="s">
        <v>557</v>
      </c>
      <c r="C209" t="s">
        <v>856</v>
      </c>
      <c r="D209" t="s">
        <v>819</v>
      </c>
      <c r="E209" s="451">
        <v>46310</v>
      </c>
      <c r="F209" s="451">
        <v>46341</v>
      </c>
      <c r="G209" t="s">
        <v>264</v>
      </c>
      <c r="H209" t="s">
        <v>265</v>
      </c>
      <c r="I209" t="s">
        <v>857</v>
      </c>
      <c r="J209">
        <v>-5000</v>
      </c>
      <c r="K209">
        <v>-5000</v>
      </c>
      <c r="O209" t="s">
        <v>779</v>
      </c>
      <c r="Q209" t="s">
        <v>468</v>
      </c>
      <c r="R209">
        <v>0</v>
      </c>
    </row>
    <row r="210" spans="1:18" x14ac:dyDescent="0.3">
      <c r="A210">
        <v>191806</v>
      </c>
      <c r="B210" t="s">
        <v>557</v>
      </c>
      <c r="C210" t="s">
        <v>856</v>
      </c>
      <c r="D210" t="s">
        <v>819</v>
      </c>
      <c r="E210" s="451">
        <v>46310</v>
      </c>
      <c r="F210" s="451">
        <v>46341</v>
      </c>
      <c r="G210" t="s">
        <v>264</v>
      </c>
      <c r="H210" t="s">
        <v>265</v>
      </c>
      <c r="I210" t="s">
        <v>860</v>
      </c>
      <c r="J210">
        <v>-2000</v>
      </c>
      <c r="K210">
        <v>-2000</v>
      </c>
      <c r="O210" t="s">
        <v>779</v>
      </c>
      <c r="Q210" t="s">
        <v>468</v>
      </c>
      <c r="R210">
        <v>0</v>
      </c>
    </row>
    <row r="211" spans="1:18" x14ac:dyDescent="0.3">
      <c r="A211">
        <v>192158</v>
      </c>
      <c r="B211" t="s">
        <v>557</v>
      </c>
      <c r="C211" t="s">
        <v>858</v>
      </c>
      <c r="D211" t="s">
        <v>819</v>
      </c>
      <c r="E211" s="451">
        <v>46310</v>
      </c>
      <c r="F211" s="451">
        <v>46341</v>
      </c>
      <c r="G211" t="s">
        <v>279</v>
      </c>
      <c r="H211" t="s">
        <v>285</v>
      </c>
      <c r="I211" t="s">
        <v>859</v>
      </c>
      <c r="J211">
        <v>-389</v>
      </c>
      <c r="K211">
        <v>-389</v>
      </c>
      <c r="O211" t="s">
        <v>779</v>
      </c>
      <c r="Q211" t="s">
        <v>468</v>
      </c>
      <c r="R211">
        <v>0</v>
      </c>
    </row>
    <row r="212" spans="1:18" x14ac:dyDescent="0.3">
      <c r="A212">
        <v>191999</v>
      </c>
      <c r="B212" t="s">
        <v>557</v>
      </c>
      <c r="C212" t="s">
        <v>861</v>
      </c>
      <c r="D212" t="s">
        <v>819</v>
      </c>
      <c r="E212" s="451">
        <v>46306</v>
      </c>
      <c r="F212" s="451">
        <v>46336</v>
      </c>
      <c r="G212" t="s">
        <v>256</v>
      </c>
      <c r="H212" t="s">
        <v>257</v>
      </c>
      <c r="I212" t="s">
        <v>862</v>
      </c>
      <c r="J212">
        <v>-17308</v>
      </c>
      <c r="K212">
        <v>-17308</v>
      </c>
      <c r="O212" t="s">
        <v>779</v>
      </c>
      <c r="Q212" t="s">
        <v>468</v>
      </c>
      <c r="R212">
        <v>0</v>
      </c>
    </row>
    <row r="213" spans="1:18" x14ac:dyDescent="0.3">
      <c r="A213">
        <v>192012</v>
      </c>
      <c r="B213" t="s">
        <v>557</v>
      </c>
      <c r="C213" t="s">
        <v>863</v>
      </c>
      <c r="D213" t="s">
        <v>819</v>
      </c>
      <c r="E213" s="451">
        <v>46305</v>
      </c>
      <c r="F213" s="451">
        <v>46325</v>
      </c>
      <c r="G213" t="s">
        <v>256</v>
      </c>
      <c r="H213" t="s">
        <v>257</v>
      </c>
      <c r="I213" t="s">
        <v>864</v>
      </c>
      <c r="J213">
        <v>-27694</v>
      </c>
      <c r="K213">
        <v>-27694</v>
      </c>
      <c r="O213" t="s">
        <v>779</v>
      </c>
      <c r="Q213" t="s">
        <v>468</v>
      </c>
      <c r="R213">
        <v>0</v>
      </c>
    </row>
    <row r="214" spans="1:18" x14ac:dyDescent="0.3">
      <c r="A214">
        <v>237272</v>
      </c>
      <c r="B214" t="s">
        <v>557</v>
      </c>
      <c r="C214" t="s">
        <v>259</v>
      </c>
      <c r="D214" t="s">
        <v>939</v>
      </c>
      <c r="E214" s="451">
        <v>46303</v>
      </c>
      <c r="F214" s="451">
        <v>46325</v>
      </c>
      <c r="G214" t="s">
        <v>777</v>
      </c>
      <c r="H214" t="s">
        <v>368</v>
      </c>
      <c r="I214" t="s">
        <v>806</v>
      </c>
      <c r="J214">
        <v>-1356.39</v>
      </c>
      <c r="K214">
        <v>-1356.39</v>
      </c>
      <c r="O214" t="s">
        <v>779</v>
      </c>
      <c r="Q214" t="s">
        <v>468</v>
      </c>
      <c r="R214">
        <v>0</v>
      </c>
    </row>
    <row r="215" spans="1:18" x14ac:dyDescent="0.3">
      <c r="A215">
        <v>237284</v>
      </c>
      <c r="B215" t="s">
        <v>557</v>
      </c>
      <c r="C215" t="s">
        <v>259</v>
      </c>
      <c r="D215" t="s">
        <v>939</v>
      </c>
      <c r="E215" s="451">
        <v>46303</v>
      </c>
      <c r="F215" s="451">
        <v>46325</v>
      </c>
      <c r="G215" t="s">
        <v>777</v>
      </c>
      <c r="H215" t="s">
        <v>368</v>
      </c>
      <c r="I215" t="s">
        <v>805</v>
      </c>
      <c r="J215">
        <v>-4322.5600000000004</v>
      </c>
      <c r="K215">
        <v>-4322.5600000000004</v>
      </c>
      <c r="O215" t="s">
        <v>779</v>
      </c>
      <c r="Q215" t="s">
        <v>468</v>
      </c>
      <c r="R215">
        <v>0</v>
      </c>
    </row>
    <row r="216" spans="1:18" x14ac:dyDescent="0.3">
      <c r="A216">
        <v>227733</v>
      </c>
      <c r="B216" t="s">
        <v>557</v>
      </c>
      <c r="C216" t="s">
        <v>868</v>
      </c>
      <c r="D216" t="s">
        <v>819</v>
      </c>
      <c r="E216" s="451">
        <v>46296</v>
      </c>
      <c r="F216" s="451">
        <v>46331</v>
      </c>
      <c r="G216" t="s">
        <v>279</v>
      </c>
      <c r="H216" t="s">
        <v>286</v>
      </c>
      <c r="I216" t="s">
        <v>869</v>
      </c>
      <c r="J216">
        <v>-436.5</v>
      </c>
      <c r="K216">
        <v>-436.5</v>
      </c>
      <c r="O216" t="s">
        <v>779</v>
      </c>
      <c r="Q216" t="s">
        <v>468</v>
      </c>
      <c r="R216">
        <v>0</v>
      </c>
    </row>
    <row r="217" spans="1:18" x14ac:dyDescent="0.3">
      <c r="A217">
        <v>219498</v>
      </c>
      <c r="B217" t="s">
        <v>557</v>
      </c>
      <c r="C217" t="s">
        <v>259</v>
      </c>
      <c r="D217" t="s">
        <v>940</v>
      </c>
      <c r="E217" s="451">
        <v>46296</v>
      </c>
      <c r="F217" s="451">
        <v>46321</v>
      </c>
      <c r="G217" t="s">
        <v>256</v>
      </c>
      <c r="H217" t="s">
        <v>259</v>
      </c>
      <c r="I217" t="s">
        <v>930</v>
      </c>
      <c r="J217">
        <v>-1611.52</v>
      </c>
      <c r="K217">
        <v>-1611.52</v>
      </c>
      <c r="O217" t="s">
        <v>779</v>
      </c>
      <c r="Q217" t="s">
        <v>468</v>
      </c>
      <c r="R217">
        <v>0</v>
      </c>
    </row>
    <row r="218" spans="1:18" x14ac:dyDescent="0.3">
      <c r="A218">
        <v>212746</v>
      </c>
      <c r="B218" t="s">
        <v>557</v>
      </c>
      <c r="C218" t="s">
        <v>818</v>
      </c>
      <c r="D218" t="s">
        <v>819</v>
      </c>
      <c r="E218" s="451">
        <v>46296</v>
      </c>
      <c r="F218" s="451">
        <v>46327</v>
      </c>
      <c r="G218" t="s">
        <v>570</v>
      </c>
      <c r="H218" t="s">
        <v>573</v>
      </c>
      <c r="I218" t="s">
        <v>822</v>
      </c>
      <c r="J218">
        <v>-2000</v>
      </c>
      <c r="K218">
        <v>-2000</v>
      </c>
      <c r="M218" t="s">
        <v>821</v>
      </c>
      <c r="N218" t="s">
        <v>133</v>
      </c>
      <c r="O218" t="s">
        <v>779</v>
      </c>
      <c r="Q218" t="s">
        <v>468</v>
      </c>
      <c r="R218">
        <v>0</v>
      </c>
    </row>
    <row r="219" spans="1:18" x14ac:dyDescent="0.3">
      <c r="A219">
        <v>212758</v>
      </c>
      <c r="B219" t="s">
        <v>557</v>
      </c>
      <c r="C219" t="s">
        <v>818</v>
      </c>
      <c r="D219" t="s">
        <v>819</v>
      </c>
      <c r="E219" s="451">
        <v>46296</v>
      </c>
      <c r="F219" s="451">
        <v>46341</v>
      </c>
      <c r="G219" t="s">
        <v>570</v>
      </c>
      <c r="H219" t="s">
        <v>573</v>
      </c>
      <c r="I219" t="s">
        <v>820</v>
      </c>
      <c r="J219">
        <v>-2000</v>
      </c>
      <c r="K219">
        <v>-2000</v>
      </c>
      <c r="M219" t="s">
        <v>821</v>
      </c>
      <c r="N219" t="s">
        <v>133</v>
      </c>
      <c r="O219" t="s">
        <v>779</v>
      </c>
      <c r="Q219" t="s">
        <v>468</v>
      </c>
      <c r="R219">
        <v>0</v>
      </c>
    </row>
    <row r="220" spans="1:18" x14ac:dyDescent="0.3">
      <c r="A220">
        <v>220631</v>
      </c>
      <c r="B220" t="s">
        <v>557</v>
      </c>
      <c r="C220" t="s">
        <v>866</v>
      </c>
      <c r="D220" t="s">
        <v>819</v>
      </c>
      <c r="E220" s="451">
        <v>46296</v>
      </c>
      <c r="F220" s="451">
        <v>46305</v>
      </c>
      <c r="G220" t="s">
        <v>578</v>
      </c>
      <c r="H220" t="s">
        <v>240</v>
      </c>
      <c r="I220" t="s">
        <v>867</v>
      </c>
      <c r="J220">
        <v>-1545.49</v>
      </c>
      <c r="K220">
        <v>0</v>
      </c>
      <c r="O220" t="s">
        <v>787</v>
      </c>
      <c r="Q220" t="s">
        <v>468</v>
      </c>
      <c r="R220">
        <v>0</v>
      </c>
    </row>
    <row r="221" spans="1:18" x14ac:dyDescent="0.3">
      <c r="A221">
        <v>219491</v>
      </c>
      <c r="B221" t="s">
        <v>557</v>
      </c>
      <c r="C221" t="s">
        <v>259</v>
      </c>
      <c r="D221" t="s">
        <v>940</v>
      </c>
      <c r="E221" s="451">
        <v>46296</v>
      </c>
      <c r="F221" s="451">
        <v>46310</v>
      </c>
      <c r="G221" t="s">
        <v>256</v>
      </c>
      <c r="H221" t="s">
        <v>259</v>
      </c>
      <c r="I221" t="s">
        <v>931</v>
      </c>
      <c r="J221">
        <v>-2086.58</v>
      </c>
      <c r="K221">
        <v>-2086.58</v>
      </c>
      <c r="O221" t="s">
        <v>779</v>
      </c>
      <c r="Q221" t="s">
        <v>468</v>
      </c>
      <c r="R221">
        <v>0</v>
      </c>
    </row>
    <row r="222" spans="1:18" x14ac:dyDescent="0.3">
      <c r="A222">
        <v>204926</v>
      </c>
      <c r="B222" t="s">
        <v>557</v>
      </c>
      <c r="C222" t="s">
        <v>842</v>
      </c>
      <c r="D222" t="s">
        <v>819</v>
      </c>
      <c r="E222" s="451">
        <v>46296</v>
      </c>
      <c r="F222" s="451">
        <v>46323</v>
      </c>
      <c r="G222" t="s">
        <v>578</v>
      </c>
      <c r="H222" t="s">
        <v>242</v>
      </c>
      <c r="I222" t="s">
        <v>843</v>
      </c>
      <c r="J222">
        <v>-300</v>
      </c>
      <c r="K222">
        <v>-300</v>
      </c>
      <c r="O222" t="s">
        <v>779</v>
      </c>
      <c r="Q222" t="s">
        <v>468</v>
      </c>
      <c r="R222">
        <v>0</v>
      </c>
    </row>
    <row r="223" spans="1:18" x14ac:dyDescent="0.3">
      <c r="A223">
        <v>192356</v>
      </c>
      <c r="B223" t="s">
        <v>557</v>
      </c>
      <c r="C223" t="s">
        <v>911</v>
      </c>
      <c r="D223" t="s">
        <v>819</v>
      </c>
      <c r="E223" s="451">
        <v>46296</v>
      </c>
      <c r="F223" s="451">
        <v>46305</v>
      </c>
      <c r="G223" t="s">
        <v>279</v>
      </c>
      <c r="H223" t="s">
        <v>281</v>
      </c>
      <c r="I223" t="s">
        <v>912</v>
      </c>
      <c r="J223">
        <v>-299.99</v>
      </c>
      <c r="K223">
        <v>-299.99</v>
      </c>
      <c r="O223" t="s">
        <v>779</v>
      </c>
      <c r="Q223" t="s">
        <v>468</v>
      </c>
      <c r="R223">
        <v>0</v>
      </c>
    </row>
    <row r="224" spans="1:18" x14ac:dyDescent="0.3">
      <c r="A224">
        <v>192601</v>
      </c>
      <c r="B224" t="s">
        <v>557</v>
      </c>
      <c r="C224" t="s">
        <v>840</v>
      </c>
      <c r="D224" t="s">
        <v>819</v>
      </c>
      <c r="E224" s="451">
        <v>46296</v>
      </c>
      <c r="F224" s="451">
        <v>46323</v>
      </c>
      <c r="G224" t="s">
        <v>581</v>
      </c>
      <c r="H224" t="s">
        <v>288</v>
      </c>
      <c r="I224" t="s">
        <v>841</v>
      </c>
      <c r="J224">
        <v>-2500</v>
      </c>
      <c r="K224">
        <v>-2500</v>
      </c>
      <c r="O224" t="s">
        <v>779</v>
      </c>
      <c r="Q224" t="s">
        <v>468</v>
      </c>
      <c r="R224">
        <v>0</v>
      </c>
    </row>
    <row r="225" spans="1:18" x14ac:dyDescent="0.3">
      <c r="A225">
        <v>200535</v>
      </c>
      <c r="B225" t="s">
        <v>557</v>
      </c>
      <c r="C225" t="s">
        <v>886</v>
      </c>
      <c r="D225" t="s">
        <v>819</v>
      </c>
      <c r="E225" s="451">
        <v>46296</v>
      </c>
      <c r="F225" s="451">
        <v>46327</v>
      </c>
      <c r="G225" t="s">
        <v>570</v>
      </c>
      <c r="H225" t="s">
        <v>573</v>
      </c>
      <c r="I225" t="s">
        <v>880</v>
      </c>
      <c r="J225">
        <v>-3300</v>
      </c>
      <c r="K225">
        <v>-3300</v>
      </c>
      <c r="M225" t="s">
        <v>887</v>
      </c>
      <c r="N225" t="s">
        <v>131</v>
      </c>
      <c r="O225" t="s">
        <v>779</v>
      </c>
      <c r="Q225" t="s">
        <v>468</v>
      </c>
      <c r="R225">
        <v>0</v>
      </c>
    </row>
    <row r="226" spans="1:18" x14ac:dyDescent="0.3">
      <c r="A226">
        <v>191985</v>
      </c>
      <c r="B226" t="s">
        <v>557</v>
      </c>
      <c r="C226" t="s">
        <v>832</v>
      </c>
      <c r="D226" t="s">
        <v>819</v>
      </c>
      <c r="E226" s="451">
        <v>46296</v>
      </c>
      <c r="F226" s="451">
        <v>46315</v>
      </c>
      <c r="G226" t="s">
        <v>264</v>
      </c>
      <c r="H226" t="s">
        <v>271</v>
      </c>
      <c r="I226" t="s">
        <v>833</v>
      </c>
      <c r="J226">
        <v>-1500</v>
      </c>
      <c r="K226">
        <v>-1500</v>
      </c>
      <c r="O226" t="s">
        <v>779</v>
      </c>
      <c r="Q226" t="s">
        <v>468</v>
      </c>
      <c r="R226">
        <v>0</v>
      </c>
    </row>
    <row r="227" spans="1:18" x14ac:dyDescent="0.3">
      <c r="A227">
        <v>200457</v>
      </c>
      <c r="B227" t="s">
        <v>557</v>
      </c>
      <c r="C227" t="s">
        <v>879</v>
      </c>
      <c r="D227" t="s">
        <v>819</v>
      </c>
      <c r="E227" s="451">
        <v>46296</v>
      </c>
      <c r="F227" s="451">
        <v>46341</v>
      </c>
      <c r="G227" t="s">
        <v>570</v>
      </c>
      <c r="H227" t="s">
        <v>573</v>
      </c>
      <c r="I227" t="s">
        <v>880</v>
      </c>
      <c r="J227">
        <v>-2000</v>
      </c>
      <c r="K227">
        <v>-2000</v>
      </c>
      <c r="M227" t="s">
        <v>881</v>
      </c>
      <c r="N227" t="s">
        <v>73</v>
      </c>
      <c r="O227" t="s">
        <v>779</v>
      </c>
      <c r="Q227" t="s">
        <v>468</v>
      </c>
      <c r="R227">
        <v>0</v>
      </c>
    </row>
    <row r="228" spans="1:18" x14ac:dyDescent="0.3">
      <c r="A228">
        <v>191926</v>
      </c>
      <c r="B228" t="s">
        <v>557</v>
      </c>
      <c r="C228" t="s">
        <v>889</v>
      </c>
      <c r="D228" t="s">
        <v>819</v>
      </c>
      <c r="E228" s="451">
        <v>46296</v>
      </c>
      <c r="F228" s="451">
        <v>46315</v>
      </c>
      <c r="G228" t="s">
        <v>279</v>
      </c>
      <c r="H228" t="s">
        <v>282</v>
      </c>
      <c r="I228" t="s">
        <v>902</v>
      </c>
      <c r="J228">
        <v>-350</v>
      </c>
      <c r="K228">
        <v>-350</v>
      </c>
      <c r="O228" t="s">
        <v>779</v>
      </c>
      <c r="Q228" t="s">
        <v>468</v>
      </c>
      <c r="R228">
        <v>0</v>
      </c>
    </row>
    <row r="229" spans="1:18" x14ac:dyDescent="0.3">
      <c r="A229">
        <v>192335</v>
      </c>
      <c r="B229" t="s">
        <v>557</v>
      </c>
      <c r="C229" t="s">
        <v>913</v>
      </c>
      <c r="D229" t="s">
        <v>819</v>
      </c>
      <c r="E229" s="451">
        <v>46296</v>
      </c>
      <c r="F229" s="451">
        <v>46329</v>
      </c>
      <c r="G229" t="s">
        <v>296</v>
      </c>
      <c r="H229" t="s">
        <v>297</v>
      </c>
      <c r="I229" t="s">
        <v>914</v>
      </c>
      <c r="J229">
        <v>-4000</v>
      </c>
      <c r="K229">
        <v>-4000</v>
      </c>
      <c r="M229" t="s">
        <v>915</v>
      </c>
      <c r="N229" t="s">
        <v>916</v>
      </c>
      <c r="O229" t="s">
        <v>779</v>
      </c>
      <c r="Q229" t="s">
        <v>468</v>
      </c>
      <c r="R229">
        <v>0</v>
      </c>
    </row>
    <row r="230" spans="1:18" x14ac:dyDescent="0.3">
      <c r="A230">
        <v>192487</v>
      </c>
      <c r="B230" t="s">
        <v>557</v>
      </c>
      <c r="C230" t="s">
        <v>934</v>
      </c>
      <c r="D230" t="s">
        <v>819</v>
      </c>
      <c r="E230" s="451">
        <v>46296</v>
      </c>
      <c r="F230" s="451">
        <v>46315</v>
      </c>
      <c r="G230" t="s">
        <v>308</v>
      </c>
      <c r="H230" t="s">
        <v>312</v>
      </c>
      <c r="I230" t="s">
        <v>935</v>
      </c>
      <c r="J230">
        <v>-185</v>
      </c>
      <c r="K230">
        <v>-185</v>
      </c>
      <c r="O230" t="s">
        <v>779</v>
      </c>
      <c r="Q230" t="s">
        <v>468</v>
      </c>
      <c r="R230">
        <v>0</v>
      </c>
    </row>
    <row r="231" spans="1:18" x14ac:dyDescent="0.3">
      <c r="A231">
        <v>192962</v>
      </c>
      <c r="B231" t="s">
        <v>557</v>
      </c>
      <c r="C231" t="s">
        <v>903</v>
      </c>
      <c r="D231" t="s">
        <v>819</v>
      </c>
      <c r="E231" s="451">
        <v>46296</v>
      </c>
      <c r="F231" s="451">
        <v>46331</v>
      </c>
      <c r="G231" t="s">
        <v>279</v>
      </c>
      <c r="H231" t="s">
        <v>283</v>
      </c>
      <c r="I231" t="s">
        <v>904</v>
      </c>
      <c r="J231">
        <v>-293.93</v>
      </c>
      <c r="K231">
        <v>-293.93</v>
      </c>
      <c r="O231" t="s">
        <v>779</v>
      </c>
      <c r="Q231" t="s">
        <v>468</v>
      </c>
      <c r="R231">
        <v>0</v>
      </c>
    </row>
    <row r="232" spans="1:18" x14ac:dyDescent="0.3">
      <c r="A232">
        <v>200548</v>
      </c>
      <c r="B232" t="s">
        <v>557</v>
      </c>
      <c r="C232" t="s">
        <v>886</v>
      </c>
      <c r="D232" t="s">
        <v>819</v>
      </c>
      <c r="E232" s="451">
        <v>46296</v>
      </c>
      <c r="F232" s="451">
        <v>46341</v>
      </c>
      <c r="G232" t="s">
        <v>570</v>
      </c>
      <c r="H232" t="s">
        <v>573</v>
      </c>
      <c r="I232" t="s">
        <v>880</v>
      </c>
      <c r="J232">
        <v>-3300</v>
      </c>
      <c r="K232">
        <v>-3300</v>
      </c>
      <c r="M232" t="s">
        <v>887</v>
      </c>
      <c r="N232" t="s">
        <v>131</v>
      </c>
      <c r="O232" t="s">
        <v>779</v>
      </c>
      <c r="Q232" t="s">
        <v>468</v>
      </c>
      <c r="R232">
        <v>0</v>
      </c>
    </row>
    <row r="233" spans="1:18" x14ac:dyDescent="0.3">
      <c r="A233">
        <v>192565</v>
      </c>
      <c r="B233" t="s">
        <v>557</v>
      </c>
      <c r="C233" t="s">
        <v>917</v>
      </c>
      <c r="D233" t="s">
        <v>819</v>
      </c>
      <c r="E233" s="451">
        <v>46296</v>
      </c>
      <c r="F233" s="451">
        <v>46348</v>
      </c>
      <c r="G233" t="s">
        <v>318</v>
      </c>
      <c r="H233" t="s">
        <v>321</v>
      </c>
      <c r="I233" t="s">
        <v>918</v>
      </c>
      <c r="J233">
        <v>-200</v>
      </c>
      <c r="K233">
        <v>-200</v>
      </c>
      <c r="O233" t="s">
        <v>779</v>
      </c>
      <c r="Q233" t="s">
        <v>468</v>
      </c>
      <c r="R233">
        <v>0</v>
      </c>
    </row>
    <row r="234" spans="1:18" x14ac:dyDescent="0.3">
      <c r="A234">
        <v>192419</v>
      </c>
      <c r="B234" t="s">
        <v>557</v>
      </c>
      <c r="C234" t="s">
        <v>923</v>
      </c>
      <c r="D234" t="s">
        <v>819</v>
      </c>
      <c r="E234" s="451">
        <v>46296</v>
      </c>
      <c r="F234" s="451">
        <v>46320</v>
      </c>
      <c r="G234" t="s">
        <v>264</v>
      </c>
      <c r="H234" t="s">
        <v>277</v>
      </c>
      <c r="I234" t="s">
        <v>924</v>
      </c>
      <c r="J234">
        <v>-500</v>
      </c>
      <c r="K234">
        <v>-500</v>
      </c>
      <c r="O234" t="s">
        <v>779</v>
      </c>
      <c r="Q234" t="s">
        <v>468</v>
      </c>
      <c r="R234">
        <v>0</v>
      </c>
    </row>
    <row r="235" spans="1:18" x14ac:dyDescent="0.3">
      <c r="A235">
        <v>192134</v>
      </c>
      <c r="B235" t="s">
        <v>557</v>
      </c>
      <c r="C235" t="s">
        <v>909</v>
      </c>
      <c r="D235" t="s">
        <v>819</v>
      </c>
      <c r="E235" s="451">
        <v>46296</v>
      </c>
      <c r="F235" s="451">
        <v>46315</v>
      </c>
      <c r="G235" t="s">
        <v>308</v>
      </c>
      <c r="H235" t="s">
        <v>311</v>
      </c>
      <c r="I235" t="s">
        <v>910</v>
      </c>
      <c r="J235">
        <v>-300</v>
      </c>
      <c r="K235">
        <v>-300</v>
      </c>
      <c r="O235" t="s">
        <v>779</v>
      </c>
      <c r="Q235" t="s">
        <v>468</v>
      </c>
      <c r="R235">
        <v>0</v>
      </c>
    </row>
    <row r="236" spans="1:18" x14ac:dyDescent="0.3">
      <c r="A236">
        <v>192393</v>
      </c>
      <c r="B236" t="s">
        <v>557</v>
      </c>
      <c r="C236" t="s">
        <v>905</v>
      </c>
      <c r="D236" t="s">
        <v>819</v>
      </c>
      <c r="E236" s="451">
        <v>46296</v>
      </c>
      <c r="F236" s="451">
        <v>46338</v>
      </c>
      <c r="G236" t="s">
        <v>296</v>
      </c>
      <c r="H236" t="s">
        <v>298</v>
      </c>
      <c r="I236" t="s">
        <v>906</v>
      </c>
      <c r="J236">
        <v>-500</v>
      </c>
      <c r="K236">
        <v>-500</v>
      </c>
      <c r="O236" t="s">
        <v>779</v>
      </c>
      <c r="Q236" t="s">
        <v>468</v>
      </c>
      <c r="R236">
        <v>0</v>
      </c>
    </row>
    <row r="237" spans="1:18" x14ac:dyDescent="0.3">
      <c r="A237">
        <v>191938</v>
      </c>
      <c r="B237" t="s">
        <v>557</v>
      </c>
      <c r="C237" t="s">
        <v>889</v>
      </c>
      <c r="D237" t="s">
        <v>819</v>
      </c>
      <c r="E237" s="451">
        <v>46296</v>
      </c>
      <c r="F237" s="451">
        <v>46327</v>
      </c>
      <c r="G237" t="s">
        <v>279</v>
      </c>
      <c r="H237" t="s">
        <v>281</v>
      </c>
      <c r="I237" t="s">
        <v>890</v>
      </c>
      <c r="J237">
        <v>-200</v>
      </c>
      <c r="K237">
        <v>-200</v>
      </c>
      <c r="O237" t="s">
        <v>779</v>
      </c>
      <c r="Q237" t="s">
        <v>468</v>
      </c>
      <c r="R237">
        <v>0</v>
      </c>
    </row>
    <row r="238" spans="1:18" x14ac:dyDescent="0.3">
      <c r="A238">
        <v>200496</v>
      </c>
      <c r="B238" t="s">
        <v>557</v>
      </c>
      <c r="C238" t="s">
        <v>888</v>
      </c>
      <c r="D238" t="s">
        <v>819</v>
      </c>
      <c r="E238" s="451">
        <v>46296</v>
      </c>
      <c r="F238" s="451">
        <v>46351</v>
      </c>
      <c r="G238" t="s">
        <v>570</v>
      </c>
      <c r="H238" t="s">
        <v>573</v>
      </c>
      <c r="I238" t="s">
        <v>880</v>
      </c>
      <c r="J238">
        <v>-4400</v>
      </c>
      <c r="K238">
        <v>-4400</v>
      </c>
      <c r="M238" t="s">
        <v>887</v>
      </c>
      <c r="N238" t="s">
        <v>131</v>
      </c>
      <c r="O238" t="s">
        <v>779</v>
      </c>
      <c r="Q238" t="s">
        <v>468</v>
      </c>
      <c r="R238">
        <v>0</v>
      </c>
    </row>
    <row r="239" spans="1:18" x14ac:dyDescent="0.3">
      <c r="A239">
        <v>200470</v>
      </c>
      <c r="B239" t="s">
        <v>557</v>
      </c>
      <c r="C239" t="s">
        <v>888</v>
      </c>
      <c r="D239" t="s">
        <v>819</v>
      </c>
      <c r="E239" s="451">
        <v>46296</v>
      </c>
      <c r="F239" s="451">
        <v>46327</v>
      </c>
      <c r="G239" t="s">
        <v>570</v>
      </c>
      <c r="H239" t="s">
        <v>573</v>
      </c>
      <c r="I239" t="s">
        <v>880</v>
      </c>
      <c r="J239">
        <v>-3300</v>
      </c>
      <c r="K239">
        <v>-3300</v>
      </c>
      <c r="M239" t="s">
        <v>887</v>
      </c>
      <c r="N239" t="s">
        <v>131</v>
      </c>
      <c r="O239" t="s">
        <v>779</v>
      </c>
      <c r="Q239" t="s">
        <v>468</v>
      </c>
      <c r="R239">
        <v>0</v>
      </c>
    </row>
    <row r="240" spans="1:18" x14ac:dyDescent="0.3">
      <c r="A240">
        <v>193008</v>
      </c>
      <c r="B240" t="s">
        <v>557</v>
      </c>
      <c r="C240" t="s">
        <v>925</v>
      </c>
      <c r="D240" t="s">
        <v>819</v>
      </c>
      <c r="E240" s="451">
        <v>46296</v>
      </c>
      <c r="F240" s="451">
        <v>46331</v>
      </c>
      <c r="G240" t="s">
        <v>279</v>
      </c>
      <c r="H240" t="s">
        <v>282</v>
      </c>
      <c r="I240" t="s">
        <v>926</v>
      </c>
      <c r="J240">
        <v>-40.9</v>
      </c>
      <c r="K240">
        <v>-40.9</v>
      </c>
      <c r="O240" t="s">
        <v>779</v>
      </c>
      <c r="Q240" t="s">
        <v>468</v>
      </c>
      <c r="R240">
        <v>0</v>
      </c>
    </row>
    <row r="241" spans="1:18" x14ac:dyDescent="0.3">
      <c r="A241">
        <v>192403</v>
      </c>
      <c r="B241" t="s">
        <v>557</v>
      </c>
      <c r="C241" t="s">
        <v>823</v>
      </c>
      <c r="D241" t="s">
        <v>819</v>
      </c>
      <c r="E241" s="451">
        <v>46296</v>
      </c>
      <c r="F241" s="451">
        <v>46310</v>
      </c>
      <c r="G241" t="s">
        <v>279</v>
      </c>
      <c r="H241" t="s">
        <v>286</v>
      </c>
      <c r="I241" t="s">
        <v>824</v>
      </c>
      <c r="J241">
        <v>-219</v>
      </c>
      <c r="K241">
        <v>-219</v>
      </c>
      <c r="O241" t="s">
        <v>779</v>
      </c>
      <c r="Q241" t="s">
        <v>468</v>
      </c>
      <c r="R241">
        <v>0</v>
      </c>
    </row>
    <row r="242" spans="1:18" x14ac:dyDescent="0.3">
      <c r="A242">
        <v>192032</v>
      </c>
      <c r="B242" t="s">
        <v>557</v>
      </c>
      <c r="C242" t="s">
        <v>870</v>
      </c>
      <c r="D242" t="s">
        <v>819</v>
      </c>
      <c r="E242" s="451">
        <v>46296</v>
      </c>
      <c r="F242" s="451">
        <v>46315</v>
      </c>
      <c r="G242" t="s">
        <v>308</v>
      </c>
      <c r="H242" t="s">
        <v>311</v>
      </c>
      <c r="I242" t="s">
        <v>871</v>
      </c>
      <c r="J242">
        <v>-1250</v>
      </c>
      <c r="K242">
        <v>-1250</v>
      </c>
      <c r="O242" t="s">
        <v>779</v>
      </c>
      <c r="Q242" t="s">
        <v>468</v>
      </c>
      <c r="R242">
        <v>0</v>
      </c>
    </row>
    <row r="243" spans="1:18" x14ac:dyDescent="0.3">
      <c r="A243">
        <v>196329</v>
      </c>
      <c r="B243" t="s">
        <v>557</v>
      </c>
      <c r="C243" t="s">
        <v>834</v>
      </c>
      <c r="D243" t="s">
        <v>819</v>
      </c>
      <c r="E243" s="451">
        <v>46296</v>
      </c>
      <c r="F243" s="451">
        <v>46291</v>
      </c>
      <c r="G243" t="s">
        <v>578</v>
      </c>
      <c r="H243" t="s">
        <v>239</v>
      </c>
      <c r="I243" t="s">
        <v>844</v>
      </c>
      <c r="J243">
        <v>-1500</v>
      </c>
      <c r="K243">
        <v>-1500</v>
      </c>
      <c r="O243" t="s">
        <v>779</v>
      </c>
      <c r="Q243" t="s">
        <v>468</v>
      </c>
      <c r="R243">
        <v>0</v>
      </c>
    </row>
    <row r="244" spans="1:18" x14ac:dyDescent="0.3">
      <c r="A244">
        <v>196305</v>
      </c>
      <c r="B244" t="s">
        <v>557</v>
      </c>
      <c r="C244" t="s">
        <v>834</v>
      </c>
      <c r="D244" t="s">
        <v>819</v>
      </c>
      <c r="E244" s="451">
        <v>46296</v>
      </c>
      <c r="F244" s="451">
        <v>46293</v>
      </c>
      <c r="G244" t="s">
        <v>578</v>
      </c>
      <c r="H244" t="s">
        <v>239</v>
      </c>
      <c r="I244" t="s">
        <v>835</v>
      </c>
      <c r="J244">
        <v>-8000</v>
      </c>
      <c r="K244">
        <v>-8000</v>
      </c>
      <c r="O244" t="s">
        <v>779</v>
      </c>
      <c r="Q244" t="s">
        <v>468</v>
      </c>
      <c r="R244">
        <v>0</v>
      </c>
    </row>
    <row r="245" spans="1:18" x14ac:dyDescent="0.3">
      <c r="A245">
        <v>200483</v>
      </c>
      <c r="B245" t="s">
        <v>557</v>
      </c>
      <c r="C245" t="s">
        <v>888</v>
      </c>
      <c r="D245" t="s">
        <v>819</v>
      </c>
      <c r="E245" s="451">
        <v>46296</v>
      </c>
      <c r="F245" s="451">
        <v>46341</v>
      </c>
      <c r="G245" t="s">
        <v>570</v>
      </c>
      <c r="H245" t="s">
        <v>573</v>
      </c>
      <c r="I245" t="s">
        <v>880</v>
      </c>
      <c r="J245">
        <v>-3300</v>
      </c>
      <c r="K245">
        <v>-3300</v>
      </c>
      <c r="M245" t="s">
        <v>887</v>
      </c>
      <c r="N245" t="s">
        <v>131</v>
      </c>
      <c r="O245" t="s">
        <v>779</v>
      </c>
      <c r="Q245" t="s">
        <v>468</v>
      </c>
      <c r="R245">
        <v>0</v>
      </c>
    </row>
    <row r="246" spans="1:18" x14ac:dyDescent="0.3">
      <c r="A246">
        <v>192169</v>
      </c>
      <c r="B246" t="s">
        <v>557</v>
      </c>
      <c r="C246" t="s">
        <v>932</v>
      </c>
      <c r="D246" t="s">
        <v>819</v>
      </c>
      <c r="E246" s="451">
        <v>46296</v>
      </c>
      <c r="F246" s="451">
        <v>46310</v>
      </c>
      <c r="G246" t="s">
        <v>264</v>
      </c>
      <c r="H246" t="s">
        <v>270</v>
      </c>
      <c r="I246" t="s">
        <v>933</v>
      </c>
      <c r="J246">
        <v>-550</v>
      </c>
      <c r="K246">
        <v>-550</v>
      </c>
      <c r="O246" t="s">
        <v>779</v>
      </c>
      <c r="Q246" t="s">
        <v>468</v>
      </c>
      <c r="R246">
        <v>0</v>
      </c>
    </row>
    <row r="247" spans="1:18" x14ac:dyDescent="0.3">
      <c r="A247">
        <v>200572</v>
      </c>
      <c r="B247" t="s">
        <v>557</v>
      </c>
      <c r="C247" t="s">
        <v>882</v>
      </c>
      <c r="D247" t="s">
        <v>819</v>
      </c>
      <c r="E247" s="451">
        <v>46296</v>
      </c>
      <c r="F247" s="451">
        <v>46327</v>
      </c>
      <c r="G247" t="s">
        <v>570</v>
      </c>
      <c r="H247" t="s">
        <v>573</v>
      </c>
      <c r="I247" t="s">
        <v>880</v>
      </c>
      <c r="J247">
        <v>-3250</v>
      </c>
      <c r="K247">
        <v>-3250</v>
      </c>
      <c r="M247" t="s">
        <v>883</v>
      </c>
      <c r="N247" t="s">
        <v>135</v>
      </c>
      <c r="O247" t="s">
        <v>779</v>
      </c>
      <c r="Q247" t="s">
        <v>468</v>
      </c>
      <c r="R247">
        <v>0</v>
      </c>
    </row>
    <row r="248" spans="1:18" x14ac:dyDescent="0.3">
      <c r="A248">
        <v>192576</v>
      </c>
      <c r="B248" t="s">
        <v>557</v>
      </c>
      <c r="C248" t="s">
        <v>830</v>
      </c>
      <c r="D248" t="s">
        <v>819</v>
      </c>
      <c r="E248" s="451">
        <v>46296</v>
      </c>
      <c r="F248" s="451">
        <v>46315</v>
      </c>
      <c r="G248" t="s">
        <v>264</v>
      </c>
      <c r="H248" t="s">
        <v>276</v>
      </c>
      <c r="I248" t="s">
        <v>831</v>
      </c>
      <c r="J248">
        <v>-1600</v>
      </c>
      <c r="K248">
        <v>-1600</v>
      </c>
      <c r="O248" t="s">
        <v>779</v>
      </c>
      <c r="Q248" t="s">
        <v>468</v>
      </c>
      <c r="R248">
        <v>0</v>
      </c>
    </row>
    <row r="249" spans="1:18" x14ac:dyDescent="0.3">
      <c r="A249">
        <v>196668</v>
      </c>
      <c r="B249" t="s">
        <v>557</v>
      </c>
      <c r="C249" t="s">
        <v>825</v>
      </c>
      <c r="D249" t="s">
        <v>819</v>
      </c>
      <c r="E249" s="451">
        <v>46296</v>
      </c>
      <c r="F249" s="451">
        <v>46315</v>
      </c>
      <c r="G249" t="s">
        <v>574</v>
      </c>
      <c r="H249" t="s">
        <v>575</v>
      </c>
      <c r="I249" t="s">
        <v>872</v>
      </c>
      <c r="J249">
        <v>-20000</v>
      </c>
      <c r="K249">
        <v>-20000</v>
      </c>
      <c r="O249" t="s">
        <v>779</v>
      </c>
      <c r="Q249" t="s">
        <v>468</v>
      </c>
      <c r="R249">
        <v>0</v>
      </c>
    </row>
    <row r="250" spans="1:18" x14ac:dyDescent="0.3">
      <c r="A250">
        <v>192506</v>
      </c>
      <c r="B250" t="s">
        <v>557</v>
      </c>
      <c r="C250" t="s">
        <v>936</v>
      </c>
      <c r="D250" t="s">
        <v>819</v>
      </c>
      <c r="E250" s="451">
        <v>46296</v>
      </c>
      <c r="F250" s="451">
        <v>46315</v>
      </c>
      <c r="G250" t="s">
        <v>318</v>
      </c>
      <c r="H250" t="s">
        <v>319</v>
      </c>
      <c r="I250" t="s">
        <v>937</v>
      </c>
      <c r="J250">
        <v>-1295</v>
      </c>
      <c r="K250">
        <v>-1295</v>
      </c>
      <c r="O250" t="s">
        <v>779</v>
      </c>
      <c r="Q250" t="s">
        <v>468</v>
      </c>
      <c r="R250">
        <v>0</v>
      </c>
    </row>
    <row r="251" spans="1:18" x14ac:dyDescent="0.3">
      <c r="A251">
        <v>196173</v>
      </c>
      <c r="B251" t="s">
        <v>557</v>
      </c>
      <c r="C251" t="s">
        <v>907</v>
      </c>
      <c r="D251" t="s">
        <v>819</v>
      </c>
      <c r="E251" s="451">
        <v>46296</v>
      </c>
      <c r="F251" s="451">
        <v>46335</v>
      </c>
      <c r="G251" t="s">
        <v>578</v>
      </c>
      <c r="H251" t="s">
        <v>252</v>
      </c>
      <c r="I251" t="s">
        <v>908</v>
      </c>
      <c r="J251">
        <v>-4000</v>
      </c>
      <c r="K251">
        <v>-4000</v>
      </c>
      <c r="O251" t="s">
        <v>779</v>
      </c>
      <c r="Q251" t="s">
        <v>468</v>
      </c>
      <c r="R251">
        <v>0</v>
      </c>
    </row>
    <row r="252" spans="1:18" x14ac:dyDescent="0.3">
      <c r="A252">
        <v>193433</v>
      </c>
      <c r="B252" t="s">
        <v>557</v>
      </c>
      <c r="C252" t="s">
        <v>873</v>
      </c>
      <c r="D252" t="s">
        <v>819</v>
      </c>
      <c r="E252" s="451">
        <v>46296</v>
      </c>
      <c r="F252" s="451">
        <v>46313</v>
      </c>
      <c r="G252" t="s">
        <v>874</v>
      </c>
      <c r="H252" t="s">
        <v>875</v>
      </c>
      <c r="I252" t="s">
        <v>876</v>
      </c>
      <c r="J252">
        <v>-400</v>
      </c>
      <c r="K252">
        <v>-400</v>
      </c>
      <c r="O252" t="s">
        <v>779</v>
      </c>
      <c r="Q252" t="s">
        <v>468</v>
      </c>
      <c r="R252">
        <v>0</v>
      </c>
    </row>
    <row r="253" spans="1:18" x14ac:dyDescent="0.3">
      <c r="A253">
        <v>200584</v>
      </c>
      <c r="B253" t="s">
        <v>557</v>
      </c>
      <c r="C253" t="s">
        <v>882</v>
      </c>
      <c r="D253" t="s">
        <v>819</v>
      </c>
      <c r="E253" s="451">
        <v>46296</v>
      </c>
      <c r="F253" s="451">
        <v>46341</v>
      </c>
      <c r="G253" t="s">
        <v>570</v>
      </c>
      <c r="H253" t="s">
        <v>573</v>
      </c>
      <c r="I253" t="s">
        <v>880</v>
      </c>
      <c r="J253">
        <v>-3250</v>
      </c>
      <c r="K253">
        <v>-3250</v>
      </c>
      <c r="M253" t="s">
        <v>883</v>
      </c>
      <c r="N253" t="s">
        <v>135</v>
      </c>
      <c r="O253" t="s">
        <v>779</v>
      </c>
      <c r="Q253" t="s">
        <v>468</v>
      </c>
      <c r="R253">
        <v>0</v>
      </c>
    </row>
    <row r="254" spans="1:18" x14ac:dyDescent="0.3">
      <c r="A254">
        <v>191854</v>
      </c>
      <c r="B254" t="s">
        <v>557</v>
      </c>
      <c r="C254" t="s">
        <v>898</v>
      </c>
      <c r="D254" t="s">
        <v>819</v>
      </c>
      <c r="E254" s="451">
        <v>46296</v>
      </c>
      <c r="F254" s="451">
        <v>46328</v>
      </c>
      <c r="G254" t="s">
        <v>279</v>
      </c>
      <c r="H254" t="s">
        <v>281</v>
      </c>
      <c r="I254" t="s">
        <v>899</v>
      </c>
      <c r="J254">
        <v>-400</v>
      </c>
      <c r="K254">
        <v>-400</v>
      </c>
      <c r="O254" t="s">
        <v>779</v>
      </c>
      <c r="Q254" t="s">
        <v>468</v>
      </c>
      <c r="R254">
        <v>0</v>
      </c>
    </row>
    <row r="255" spans="1:18" x14ac:dyDescent="0.3">
      <c r="A255">
        <v>200560</v>
      </c>
      <c r="B255" t="s">
        <v>557</v>
      </c>
      <c r="C255" t="s">
        <v>884</v>
      </c>
      <c r="D255" t="s">
        <v>819</v>
      </c>
      <c r="E255" s="451">
        <v>46296</v>
      </c>
      <c r="F255" s="451">
        <v>46327</v>
      </c>
      <c r="G255" t="s">
        <v>570</v>
      </c>
      <c r="H255" t="s">
        <v>573</v>
      </c>
      <c r="I255" t="s">
        <v>880</v>
      </c>
      <c r="J255">
        <v>-1750</v>
      </c>
      <c r="K255">
        <v>-1750</v>
      </c>
      <c r="M255" t="s">
        <v>885</v>
      </c>
      <c r="N255" t="s">
        <v>134</v>
      </c>
      <c r="O255" t="s">
        <v>779</v>
      </c>
      <c r="Q255" t="s">
        <v>468</v>
      </c>
      <c r="R255">
        <v>0</v>
      </c>
    </row>
    <row r="256" spans="1:18" x14ac:dyDescent="0.3">
      <c r="A256">
        <v>192949</v>
      </c>
      <c r="B256" t="s">
        <v>557</v>
      </c>
      <c r="C256" t="s">
        <v>921</v>
      </c>
      <c r="D256" t="s">
        <v>819</v>
      </c>
      <c r="E256" s="451">
        <v>46296</v>
      </c>
      <c r="F256" s="451">
        <v>46331</v>
      </c>
      <c r="G256" t="s">
        <v>296</v>
      </c>
      <c r="H256" t="s">
        <v>301</v>
      </c>
      <c r="I256" t="s">
        <v>922</v>
      </c>
      <c r="J256">
        <v>-1500</v>
      </c>
      <c r="K256">
        <v>-1500</v>
      </c>
      <c r="O256" t="s">
        <v>779</v>
      </c>
      <c r="Q256" t="s">
        <v>468</v>
      </c>
      <c r="R256">
        <v>0</v>
      </c>
    </row>
    <row r="257" spans="1:18" x14ac:dyDescent="0.3">
      <c r="A257">
        <v>191757</v>
      </c>
      <c r="B257" t="s">
        <v>557</v>
      </c>
      <c r="C257" t="s">
        <v>895</v>
      </c>
      <c r="D257" t="s">
        <v>819</v>
      </c>
      <c r="E257" s="451">
        <v>46296</v>
      </c>
      <c r="F257" s="451">
        <v>46310</v>
      </c>
      <c r="G257" t="s">
        <v>308</v>
      </c>
      <c r="H257" t="s">
        <v>309</v>
      </c>
      <c r="I257" t="s">
        <v>897</v>
      </c>
      <c r="J257">
        <v>-2200</v>
      </c>
      <c r="K257">
        <v>-2200</v>
      </c>
      <c r="O257" t="s">
        <v>779</v>
      </c>
      <c r="Q257" t="s">
        <v>468</v>
      </c>
      <c r="R257">
        <v>0</v>
      </c>
    </row>
    <row r="258" spans="1:18" x14ac:dyDescent="0.3">
      <c r="A258">
        <v>196415</v>
      </c>
      <c r="B258" t="s">
        <v>557</v>
      </c>
      <c r="C258" t="s">
        <v>825</v>
      </c>
      <c r="D258" t="s">
        <v>819</v>
      </c>
      <c r="E258" s="451">
        <v>46296</v>
      </c>
      <c r="F258" s="451">
        <v>46332</v>
      </c>
      <c r="G258" t="s">
        <v>574</v>
      </c>
      <c r="H258" t="s">
        <v>575</v>
      </c>
      <c r="I258" t="s">
        <v>826</v>
      </c>
      <c r="J258">
        <v>-47000</v>
      </c>
      <c r="K258">
        <v>-47000</v>
      </c>
      <c r="O258" t="s">
        <v>779</v>
      </c>
      <c r="Q258" t="s">
        <v>468</v>
      </c>
      <c r="R258">
        <v>0</v>
      </c>
    </row>
    <row r="259" spans="1:18" x14ac:dyDescent="0.3">
      <c r="A259">
        <v>192096</v>
      </c>
      <c r="B259" t="s">
        <v>557</v>
      </c>
      <c r="C259" t="s">
        <v>877</v>
      </c>
      <c r="D259" t="s">
        <v>819</v>
      </c>
      <c r="E259" s="451">
        <v>46296</v>
      </c>
      <c r="F259" s="451">
        <v>46344</v>
      </c>
      <c r="G259" t="s">
        <v>308</v>
      </c>
      <c r="H259" t="s">
        <v>314</v>
      </c>
      <c r="I259" t="s">
        <v>878</v>
      </c>
      <c r="J259">
        <v>-708.18</v>
      </c>
      <c r="K259">
        <v>-708.18</v>
      </c>
      <c r="O259" t="s">
        <v>779</v>
      </c>
      <c r="Q259" t="s">
        <v>468</v>
      </c>
      <c r="R259">
        <v>0</v>
      </c>
    </row>
    <row r="260" spans="1:18" x14ac:dyDescent="0.3">
      <c r="A260">
        <v>191730</v>
      </c>
      <c r="B260" t="s">
        <v>557</v>
      </c>
      <c r="C260" t="s">
        <v>895</v>
      </c>
      <c r="D260" t="s">
        <v>819</v>
      </c>
      <c r="E260" s="451">
        <v>46296</v>
      </c>
      <c r="F260" s="451">
        <v>46310</v>
      </c>
      <c r="G260" t="s">
        <v>308</v>
      </c>
      <c r="H260" t="s">
        <v>309</v>
      </c>
      <c r="I260" t="s">
        <v>896</v>
      </c>
      <c r="J260">
        <v>-2500</v>
      </c>
      <c r="K260">
        <v>-2500</v>
      </c>
      <c r="O260" t="s">
        <v>779</v>
      </c>
      <c r="Q260" t="s">
        <v>468</v>
      </c>
      <c r="R260">
        <v>0</v>
      </c>
    </row>
    <row r="261" spans="1:18" x14ac:dyDescent="0.3">
      <c r="A261">
        <v>192195</v>
      </c>
      <c r="B261" t="s">
        <v>557</v>
      </c>
      <c r="C261" t="s">
        <v>919</v>
      </c>
      <c r="D261" t="s">
        <v>819</v>
      </c>
      <c r="E261" s="451">
        <v>46296</v>
      </c>
      <c r="F261" s="451">
        <v>46331</v>
      </c>
      <c r="G261" t="s">
        <v>279</v>
      </c>
      <c r="H261" t="s">
        <v>284</v>
      </c>
      <c r="I261" t="s">
        <v>920</v>
      </c>
      <c r="J261">
        <v>-530</v>
      </c>
      <c r="K261">
        <v>-530</v>
      </c>
      <c r="O261" t="s">
        <v>779</v>
      </c>
      <c r="Q261" t="s">
        <v>468</v>
      </c>
      <c r="R261">
        <v>0</v>
      </c>
    </row>
    <row r="262" spans="1:18" x14ac:dyDescent="0.3">
      <c r="A262">
        <v>191841</v>
      </c>
      <c r="B262" t="s">
        <v>557</v>
      </c>
      <c r="C262" t="s">
        <v>838</v>
      </c>
      <c r="D262" t="s">
        <v>819</v>
      </c>
      <c r="E262" s="451">
        <v>46296</v>
      </c>
      <c r="F262" s="451">
        <v>46305</v>
      </c>
      <c r="G262" t="s">
        <v>264</v>
      </c>
      <c r="H262" t="s">
        <v>267</v>
      </c>
      <c r="I262" t="s">
        <v>839</v>
      </c>
      <c r="J262">
        <v>-8000</v>
      </c>
      <c r="K262">
        <v>-8000</v>
      </c>
      <c r="O262" t="s">
        <v>779</v>
      </c>
      <c r="Q262" t="s">
        <v>468</v>
      </c>
      <c r="R262">
        <v>0</v>
      </c>
    </row>
    <row r="263" spans="1:18" x14ac:dyDescent="0.3">
      <c r="A263">
        <v>191890</v>
      </c>
      <c r="B263" t="s">
        <v>557</v>
      </c>
      <c r="C263" t="s">
        <v>900</v>
      </c>
      <c r="D263" t="s">
        <v>819</v>
      </c>
      <c r="E263" s="451">
        <v>46296</v>
      </c>
      <c r="F263" s="451">
        <v>46331</v>
      </c>
      <c r="G263" t="s">
        <v>264</v>
      </c>
      <c r="H263" t="s">
        <v>266</v>
      </c>
      <c r="I263" t="s">
        <v>901</v>
      </c>
      <c r="J263">
        <v>-15000</v>
      </c>
      <c r="K263">
        <v>-15000</v>
      </c>
      <c r="O263" t="s">
        <v>779</v>
      </c>
      <c r="Q263" t="s">
        <v>468</v>
      </c>
      <c r="R263">
        <v>0</v>
      </c>
    </row>
    <row r="264" spans="1:18" x14ac:dyDescent="0.3">
      <c r="A264">
        <v>192518</v>
      </c>
      <c r="B264" t="s">
        <v>557</v>
      </c>
      <c r="C264" t="s">
        <v>836</v>
      </c>
      <c r="D264" t="s">
        <v>819</v>
      </c>
      <c r="E264" s="451">
        <v>46296</v>
      </c>
      <c r="F264" s="451">
        <v>46316</v>
      </c>
      <c r="G264" t="s">
        <v>318</v>
      </c>
      <c r="H264" t="s">
        <v>319</v>
      </c>
      <c r="I264" t="s">
        <v>837</v>
      </c>
      <c r="J264">
        <v>-500</v>
      </c>
      <c r="K264">
        <v>-500</v>
      </c>
      <c r="O264" t="s">
        <v>779</v>
      </c>
      <c r="Q264" t="s">
        <v>468</v>
      </c>
      <c r="R264">
        <v>0</v>
      </c>
    </row>
    <row r="265" spans="1:18" x14ac:dyDescent="0.3">
      <c r="A265">
        <v>208288</v>
      </c>
      <c r="B265" t="s">
        <v>557</v>
      </c>
      <c r="C265" t="s">
        <v>428</v>
      </c>
      <c r="D265" t="s">
        <v>819</v>
      </c>
      <c r="E265" s="451">
        <v>46295</v>
      </c>
      <c r="F265" s="451">
        <v>46315</v>
      </c>
      <c r="G265" t="s">
        <v>577</v>
      </c>
      <c r="H265" t="s">
        <v>206</v>
      </c>
      <c r="J265">
        <v>-4800</v>
      </c>
      <c r="K265">
        <v>-4800</v>
      </c>
      <c r="O265" t="s">
        <v>779</v>
      </c>
      <c r="Q265" t="s">
        <v>467</v>
      </c>
      <c r="R265">
        <v>0</v>
      </c>
    </row>
    <row r="266" spans="1:18" x14ac:dyDescent="0.3">
      <c r="A266">
        <v>197129</v>
      </c>
      <c r="B266" t="s">
        <v>557</v>
      </c>
      <c r="C266" t="s">
        <v>48</v>
      </c>
      <c r="D266" t="s">
        <v>819</v>
      </c>
      <c r="E266" s="451">
        <v>46295</v>
      </c>
      <c r="F266" s="451">
        <v>46315</v>
      </c>
      <c r="G266" t="s">
        <v>563</v>
      </c>
      <c r="H266" t="s">
        <v>48</v>
      </c>
      <c r="J266">
        <v>-17000</v>
      </c>
      <c r="K266">
        <v>-17000</v>
      </c>
      <c r="O266" t="s">
        <v>779</v>
      </c>
      <c r="Q266" t="s">
        <v>467</v>
      </c>
      <c r="R266">
        <v>0</v>
      </c>
    </row>
    <row r="267" spans="1:18" x14ac:dyDescent="0.3">
      <c r="A267">
        <v>207158</v>
      </c>
      <c r="B267" t="s">
        <v>557</v>
      </c>
      <c r="C267" t="s">
        <v>429</v>
      </c>
      <c r="D267" t="s">
        <v>819</v>
      </c>
      <c r="E267" s="451">
        <v>46295</v>
      </c>
      <c r="F267" s="451">
        <v>46315</v>
      </c>
      <c r="G267" t="s">
        <v>577</v>
      </c>
      <c r="H267" t="s">
        <v>211</v>
      </c>
      <c r="I267" t="s">
        <v>848</v>
      </c>
      <c r="J267">
        <v>-10500</v>
      </c>
      <c r="K267">
        <v>-10500</v>
      </c>
      <c r="O267" t="s">
        <v>779</v>
      </c>
      <c r="Q267" t="s">
        <v>467</v>
      </c>
      <c r="R267">
        <v>0</v>
      </c>
    </row>
    <row r="268" spans="1:18" x14ac:dyDescent="0.3">
      <c r="A268">
        <v>210557</v>
      </c>
      <c r="B268" t="s">
        <v>557</v>
      </c>
      <c r="C268" t="s">
        <v>518</v>
      </c>
      <c r="D268" t="s">
        <v>819</v>
      </c>
      <c r="E268" s="451">
        <v>46295</v>
      </c>
      <c r="F268" s="451">
        <v>46320</v>
      </c>
      <c r="G268" t="s">
        <v>563</v>
      </c>
      <c r="H268" t="s">
        <v>46</v>
      </c>
      <c r="J268">
        <v>-12000</v>
      </c>
      <c r="K268">
        <v>-12000</v>
      </c>
      <c r="O268" t="s">
        <v>779</v>
      </c>
      <c r="Q268" t="s">
        <v>467</v>
      </c>
      <c r="R268">
        <v>0</v>
      </c>
    </row>
    <row r="269" spans="1:18" x14ac:dyDescent="0.3">
      <c r="A269">
        <v>202391</v>
      </c>
      <c r="B269" t="s">
        <v>557</v>
      </c>
      <c r="C269" t="s">
        <v>847</v>
      </c>
      <c r="D269" t="s">
        <v>819</v>
      </c>
      <c r="E269" s="451">
        <v>46295</v>
      </c>
      <c r="F269" s="451">
        <v>46304</v>
      </c>
      <c r="G269" t="s">
        <v>578</v>
      </c>
      <c r="H269" t="s">
        <v>247</v>
      </c>
      <c r="J269">
        <v>-267.83</v>
      </c>
      <c r="K269">
        <v>-267.83</v>
      </c>
      <c r="O269" t="s">
        <v>779</v>
      </c>
      <c r="Q269" t="s">
        <v>467</v>
      </c>
      <c r="R269">
        <v>0</v>
      </c>
    </row>
    <row r="270" spans="1:18" x14ac:dyDescent="0.3">
      <c r="A270">
        <v>192068</v>
      </c>
      <c r="B270" t="s">
        <v>557</v>
      </c>
      <c r="C270" t="s">
        <v>851</v>
      </c>
      <c r="D270" t="s">
        <v>819</v>
      </c>
      <c r="E270" s="451">
        <v>46295</v>
      </c>
      <c r="F270" s="451">
        <v>46315</v>
      </c>
      <c r="G270" t="s">
        <v>318</v>
      </c>
      <c r="H270" t="s">
        <v>320</v>
      </c>
      <c r="I270" t="s">
        <v>852</v>
      </c>
      <c r="J270">
        <v>-200</v>
      </c>
      <c r="K270">
        <v>-200</v>
      </c>
      <c r="O270" t="s">
        <v>779</v>
      </c>
      <c r="Q270" t="s">
        <v>467</v>
      </c>
      <c r="R270">
        <v>0</v>
      </c>
    </row>
    <row r="271" spans="1:18" x14ac:dyDescent="0.3">
      <c r="A271">
        <v>197657</v>
      </c>
      <c r="B271" t="s">
        <v>557</v>
      </c>
      <c r="C271" t="s">
        <v>849</v>
      </c>
      <c r="D271" t="s">
        <v>819</v>
      </c>
      <c r="E271" s="451">
        <v>46295</v>
      </c>
      <c r="F271" s="451">
        <v>46315</v>
      </c>
      <c r="G271" t="s">
        <v>308</v>
      </c>
      <c r="H271" t="s">
        <v>309</v>
      </c>
      <c r="I271" t="s">
        <v>850</v>
      </c>
      <c r="J271">
        <v>-200</v>
      </c>
      <c r="K271">
        <v>-200</v>
      </c>
      <c r="O271" t="s">
        <v>779</v>
      </c>
      <c r="Q271" t="s">
        <v>467</v>
      </c>
      <c r="R271">
        <v>0</v>
      </c>
    </row>
    <row r="272" spans="1:18" x14ac:dyDescent="0.3">
      <c r="A272">
        <v>197475</v>
      </c>
      <c r="B272" t="s">
        <v>557</v>
      </c>
      <c r="C272" t="s">
        <v>845</v>
      </c>
      <c r="D272" t="s">
        <v>819</v>
      </c>
      <c r="E272" s="451">
        <v>46295</v>
      </c>
      <c r="F272" s="451">
        <v>46315</v>
      </c>
      <c r="G272" t="s">
        <v>308</v>
      </c>
      <c r="H272" t="s">
        <v>309</v>
      </c>
      <c r="I272" t="s">
        <v>853</v>
      </c>
      <c r="J272">
        <v>-20</v>
      </c>
      <c r="K272">
        <v>-20</v>
      </c>
      <c r="O272" t="s">
        <v>779</v>
      </c>
      <c r="Q272" t="s">
        <v>467</v>
      </c>
      <c r="R272">
        <v>0</v>
      </c>
    </row>
    <row r="273" spans="1:18" x14ac:dyDescent="0.3">
      <c r="A273">
        <v>208532</v>
      </c>
      <c r="B273" t="s">
        <v>557</v>
      </c>
      <c r="C273" t="s">
        <v>845</v>
      </c>
      <c r="D273" t="s">
        <v>819</v>
      </c>
      <c r="E273" s="451">
        <v>46295</v>
      </c>
      <c r="F273" s="451">
        <v>46315</v>
      </c>
      <c r="G273" t="s">
        <v>577</v>
      </c>
      <c r="H273" t="s">
        <v>846</v>
      </c>
      <c r="J273">
        <v>-1700</v>
      </c>
      <c r="K273">
        <v>-1700</v>
      </c>
      <c r="O273" t="s">
        <v>779</v>
      </c>
      <c r="Q273" t="s">
        <v>467</v>
      </c>
      <c r="R273">
        <v>0</v>
      </c>
    </row>
    <row r="274" spans="1:18" x14ac:dyDescent="0.3">
      <c r="A274">
        <v>210569</v>
      </c>
      <c r="B274" t="s">
        <v>557</v>
      </c>
      <c r="C274" t="s">
        <v>517</v>
      </c>
      <c r="D274" t="s">
        <v>819</v>
      </c>
      <c r="E274" s="451">
        <v>46295</v>
      </c>
      <c r="F274" s="451">
        <v>46320</v>
      </c>
      <c r="G274" t="s">
        <v>563</v>
      </c>
      <c r="H274" t="s">
        <v>46</v>
      </c>
      <c r="J274">
        <v>-2600</v>
      </c>
      <c r="K274">
        <v>-2600</v>
      </c>
      <c r="O274" t="s">
        <v>779</v>
      </c>
      <c r="Q274" t="s">
        <v>467</v>
      </c>
      <c r="R274">
        <v>0</v>
      </c>
    </row>
    <row r="275" spans="1:18" x14ac:dyDescent="0.3">
      <c r="A275">
        <v>226453</v>
      </c>
      <c r="B275" t="s">
        <v>557</v>
      </c>
      <c r="C275" t="s">
        <v>854</v>
      </c>
      <c r="D275" t="s">
        <v>819</v>
      </c>
      <c r="E275" s="451">
        <v>46295</v>
      </c>
      <c r="F275" s="451">
        <v>46325</v>
      </c>
      <c r="G275" t="s">
        <v>604</v>
      </c>
      <c r="H275" t="s">
        <v>344</v>
      </c>
      <c r="I275" t="s">
        <v>5</v>
      </c>
      <c r="J275">
        <v>-20302.419999999998</v>
      </c>
      <c r="K275">
        <v>-20302.419999999998</v>
      </c>
      <c r="O275" t="s">
        <v>779</v>
      </c>
      <c r="Q275" t="s">
        <v>467</v>
      </c>
      <c r="R275">
        <v>0</v>
      </c>
    </row>
    <row r="276" spans="1:18" x14ac:dyDescent="0.3">
      <c r="A276">
        <v>226457</v>
      </c>
      <c r="B276" t="s">
        <v>557</v>
      </c>
      <c r="C276" t="s">
        <v>346</v>
      </c>
      <c r="D276" t="s">
        <v>819</v>
      </c>
      <c r="E276" s="451">
        <v>46295</v>
      </c>
      <c r="F276" s="451">
        <v>46325</v>
      </c>
      <c r="G276" t="s">
        <v>604</v>
      </c>
      <c r="H276" t="s">
        <v>346</v>
      </c>
      <c r="I276" t="s">
        <v>5</v>
      </c>
      <c r="J276">
        <v>-43982.12</v>
      </c>
      <c r="K276">
        <v>-43982.12</v>
      </c>
      <c r="O276" t="s">
        <v>779</v>
      </c>
      <c r="Q276" t="s">
        <v>467</v>
      </c>
      <c r="R276">
        <v>0</v>
      </c>
    </row>
    <row r="277" spans="1:18" x14ac:dyDescent="0.3">
      <c r="A277">
        <v>197463</v>
      </c>
      <c r="B277" t="s">
        <v>557</v>
      </c>
      <c r="C277" t="s">
        <v>845</v>
      </c>
      <c r="D277" t="s">
        <v>819</v>
      </c>
      <c r="E277" s="451">
        <v>46293</v>
      </c>
      <c r="F277" s="451">
        <v>46315</v>
      </c>
      <c r="G277" t="s">
        <v>308</v>
      </c>
      <c r="H277" t="s">
        <v>309</v>
      </c>
      <c r="J277">
        <v>-50</v>
      </c>
      <c r="K277">
        <v>-50</v>
      </c>
      <c r="O277" t="s">
        <v>779</v>
      </c>
      <c r="Q277" t="s">
        <v>467</v>
      </c>
      <c r="R277">
        <v>0</v>
      </c>
    </row>
    <row r="278" spans="1:18" x14ac:dyDescent="0.3">
      <c r="A278">
        <v>197255</v>
      </c>
      <c r="B278" t="s">
        <v>557</v>
      </c>
      <c r="C278" t="s">
        <v>49</v>
      </c>
      <c r="D278" t="s">
        <v>819</v>
      </c>
      <c r="E278" s="451">
        <v>46293</v>
      </c>
      <c r="F278" s="451">
        <v>46305</v>
      </c>
      <c r="G278" t="s">
        <v>279</v>
      </c>
      <c r="H278" t="s">
        <v>283</v>
      </c>
      <c r="J278">
        <v>-100</v>
      </c>
      <c r="K278">
        <v>-100</v>
      </c>
      <c r="O278" t="s">
        <v>779</v>
      </c>
      <c r="Q278" t="s">
        <v>467</v>
      </c>
      <c r="R278">
        <v>0</v>
      </c>
    </row>
    <row r="279" spans="1:18" x14ac:dyDescent="0.3">
      <c r="A279">
        <v>32179</v>
      </c>
      <c r="B279" t="s">
        <v>557</v>
      </c>
      <c r="C279" t="s">
        <v>259</v>
      </c>
      <c r="D279" t="s">
        <v>776</v>
      </c>
      <c r="E279" s="451">
        <v>46291</v>
      </c>
      <c r="F279" s="451">
        <v>46291</v>
      </c>
      <c r="G279" t="s">
        <v>777</v>
      </c>
      <c r="H279" t="s">
        <v>368</v>
      </c>
      <c r="I279" t="s">
        <v>778</v>
      </c>
      <c r="J279">
        <v>-1520.61</v>
      </c>
      <c r="K279">
        <v>-1520.61</v>
      </c>
      <c r="O279" t="s">
        <v>787</v>
      </c>
      <c r="P279" t="s">
        <v>788</v>
      </c>
      <c r="Q279" t="s">
        <v>467</v>
      </c>
      <c r="R279">
        <v>0</v>
      </c>
    </row>
    <row r="280" spans="1:18" x14ac:dyDescent="0.3">
      <c r="A280">
        <v>32312</v>
      </c>
      <c r="B280" t="s">
        <v>557</v>
      </c>
      <c r="C280" t="s">
        <v>259</v>
      </c>
      <c r="D280" t="s">
        <v>941</v>
      </c>
      <c r="E280" s="451">
        <v>46291</v>
      </c>
      <c r="F280" s="451">
        <v>46291</v>
      </c>
      <c r="G280" t="s">
        <v>256</v>
      </c>
      <c r="H280" t="s">
        <v>259</v>
      </c>
      <c r="I280" t="s">
        <v>782</v>
      </c>
      <c r="J280">
        <v>-416.33</v>
      </c>
      <c r="K280">
        <v>-416.33</v>
      </c>
      <c r="O280" t="s">
        <v>787</v>
      </c>
      <c r="P280" t="s">
        <v>788</v>
      </c>
      <c r="Q280" t="s">
        <v>467</v>
      </c>
      <c r="R280">
        <v>0</v>
      </c>
    </row>
    <row r="281" spans="1:18" x14ac:dyDescent="0.3">
      <c r="A281">
        <v>192157</v>
      </c>
      <c r="B281" t="s">
        <v>557</v>
      </c>
      <c r="C281" t="s">
        <v>858</v>
      </c>
      <c r="D281" t="s">
        <v>819</v>
      </c>
      <c r="E281" s="451">
        <v>46280</v>
      </c>
      <c r="F281" s="451">
        <v>46310</v>
      </c>
      <c r="G281" t="s">
        <v>279</v>
      </c>
      <c r="H281" t="s">
        <v>285</v>
      </c>
      <c r="I281" t="s">
        <v>859</v>
      </c>
      <c r="J281">
        <v>-389</v>
      </c>
      <c r="K281">
        <v>-389</v>
      </c>
      <c r="O281" t="s">
        <v>779</v>
      </c>
      <c r="Q281" t="s">
        <v>467</v>
      </c>
      <c r="R281">
        <v>0</v>
      </c>
    </row>
    <row r="282" spans="1:18" x14ac:dyDescent="0.3">
      <c r="A282">
        <v>191793</v>
      </c>
      <c r="B282" t="s">
        <v>557</v>
      </c>
      <c r="C282" t="s">
        <v>856</v>
      </c>
      <c r="D282" t="s">
        <v>819</v>
      </c>
      <c r="E282" s="451">
        <v>46280</v>
      </c>
      <c r="F282" s="451">
        <v>46310</v>
      </c>
      <c r="G282" t="s">
        <v>264</v>
      </c>
      <c r="H282" t="s">
        <v>265</v>
      </c>
      <c r="I282" t="s">
        <v>857</v>
      </c>
      <c r="J282">
        <v>-5000</v>
      </c>
      <c r="K282">
        <v>-5000</v>
      </c>
      <c r="O282" t="s">
        <v>779</v>
      </c>
      <c r="Q282" t="s">
        <v>467</v>
      </c>
      <c r="R282">
        <v>0</v>
      </c>
    </row>
    <row r="283" spans="1:18" x14ac:dyDescent="0.3">
      <c r="A283">
        <v>191805</v>
      </c>
      <c r="B283" t="s">
        <v>557</v>
      </c>
      <c r="C283" t="s">
        <v>856</v>
      </c>
      <c r="D283" t="s">
        <v>819</v>
      </c>
      <c r="E283" s="451">
        <v>46280</v>
      </c>
      <c r="F283" s="451">
        <v>46310</v>
      </c>
      <c r="G283" t="s">
        <v>264</v>
      </c>
      <c r="H283" t="s">
        <v>265</v>
      </c>
      <c r="I283" t="s">
        <v>860</v>
      </c>
      <c r="J283">
        <v>-2000</v>
      </c>
      <c r="K283">
        <v>-2000</v>
      </c>
      <c r="O283" t="s">
        <v>779</v>
      </c>
      <c r="Q283" t="s">
        <v>467</v>
      </c>
      <c r="R283">
        <v>0</v>
      </c>
    </row>
    <row r="284" spans="1:18" x14ac:dyDescent="0.3">
      <c r="A284">
        <v>191998</v>
      </c>
      <c r="B284" t="s">
        <v>557</v>
      </c>
      <c r="C284" t="s">
        <v>861</v>
      </c>
      <c r="D284" t="s">
        <v>819</v>
      </c>
      <c r="E284" s="451">
        <v>46276</v>
      </c>
      <c r="F284" s="451">
        <v>46305</v>
      </c>
      <c r="G284" t="s">
        <v>256</v>
      </c>
      <c r="H284" t="s">
        <v>257</v>
      </c>
      <c r="I284" t="s">
        <v>862</v>
      </c>
      <c r="J284">
        <v>-17308</v>
      </c>
      <c r="K284">
        <v>-17308</v>
      </c>
      <c r="O284" t="s">
        <v>779</v>
      </c>
      <c r="Q284" t="s">
        <v>467</v>
      </c>
      <c r="R284">
        <v>0</v>
      </c>
    </row>
    <row r="285" spans="1:18" x14ac:dyDescent="0.3">
      <c r="A285">
        <v>192011</v>
      </c>
      <c r="B285" t="s">
        <v>557</v>
      </c>
      <c r="C285" t="s">
        <v>863</v>
      </c>
      <c r="D285" t="s">
        <v>819</v>
      </c>
      <c r="E285" s="451">
        <v>46275</v>
      </c>
      <c r="F285" s="451">
        <v>46295</v>
      </c>
      <c r="G285" t="s">
        <v>256</v>
      </c>
      <c r="H285" t="s">
        <v>257</v>
      </c>
      <c r="I285" t="s">
        <v>864</v>
      </c>
      <c r="J285">
        <v>-27694</v>
      </c>
      <c r="K285">
        <v>-27694</v>
      </c>
      <c r="O285" t="s">
        <v>779</v>
      </c>
      <c r="Q285" t="s">
        <v>467</v>
      </c>
      <c r="R285">
        <v>0</v>
      </c>
    </row>
    <row r="286" spans="1:18" x14ac:dyDescent="0.3">
      <c r="A286">
        <v>237283</v>
      </c>
      <c r="B286" t="s">
        <v>557</v>
      </c>
      <c r="C286" t="s">
        <v>259</v>
      </c>
      <c r="D286" t="s">
        <v>942</v>
      </c>
      <c r="E286" s="451">
        <v>46273</v>
      </c>
      <c r="F286" s="451">
        <v>46295</v>
      </c>
      <c r="G286" t="s">
        <v>777</v>
      </c>
      <c r="H286" t="s">
        <v>368</v>
      </c>
      <c r="I286" t="s">
        <v>805</v>
      </c>
      <c r="J286">
        <v>-4322.5600000000004</v>
      </c>
      <c r="K286">
        <v>-4322.5600000000004</v>
      </c>
      <c r="O286" t="s">
        <v>779</v>
      </c>
      <c r="Q286" t="s">
        <v>467</v>
      </c>
      <c r="R286">
        <v>0</v>
      </c>
    </row>
    <row r="287" spans="1:18" x14ac:dyDescent="0.3">
      <c r="A287">
        <v>237271</v>
      </c>
      <c r="B287" t="s">
        <v>557</v>
      </c>
      <c r="C287" t="s">
        <v>259</v>
      </c>
      <c r="D287" t="s">
        <v>942</v>
      </c>
      <c r="E287" s="451">
        <v>46273</v>
      </c>
      <c r="F287" s="451">
        <v>46295</v>
      </c>
      <c r="G287" t="s">
        <v>777</v>
      </c>
      <c r="H287" t="s">
        <v>368</v>
      </c>
      <c r="I287" t="s">
        <v>813</v>
      </c>
      <c r="J287">
        <v>-1356.39</v>
      </c>
      <c r="K287">
        <v>-1356.39</v>
      </c>
      <c r="O287" t="s">
        <v>779</v>
      </c>
      <c r="Q287" t="s">
        <v>467</v>
      </c>
      <c r="R287">
        <v>0</v>
      </c>
    </row>
    <row r="288" spans="1:18" x14ac:dyDescent="0.3">
      <c r="A288">
        <v>242093</v>
      </c>
      <c r="B288" t="s">
        <v>557</v>
      </c>
      <c r="C288" t="s">
        <v>943</v>
      </c>
      <c r="D288" t="s">
        <v>819</v>
      </c>
      <c r="E288" s="451">
        <v>46272</v>
      </c>
      <c r="F288" s="451">
        <v>46282</v>
      </c>
      <c r="G288" t="s">
        <v>576</v>
      </c>
      <c r="H288" t="s">
        <v>203</v>
      </c>
      <c r="I288" t="s">
        <v>944</v>
      </c>
      <c r="J288">
        <v>-5000</v>
      </c>
      <c r="K288">
        <v>-5000</v>
      </c>
      <c r="O288" t="s">
        <v>779</v>
      </c>
      <c r="Q288" t="s">
        <v>467</v>
      </c>
      <c r="R288">
        <v>0</v>
      </c>
    </row>
    <row r="289" spans="1:18" x14ac:dyDescent="0.3">
      <c r="A289">
        <v>242083</v>
      </c>
      <c r="B289" t="s">
        <v>557</v>
      </c>
      <c r="C289" t="s">
        <v>943</v>
      </c>
      <c r="D289" t="s">
        <v>819</v>
      </c>
      <c r="E289" s="451">
        <v>46272</v>
      </c>
      <c r="F289" s="451">
        <v>46282</v>
      </c>
      <c r="G289" t="s">
        <v>576</v>
      </c>
      <c r="H289" t="s">
        <v>203</v>
      </c>
      <c r="I289" t="s">
        <v>945</v>
      </c>
      <c r="J289">
        <v>-4000</v>
      </c>
      <c r="K289">
        <v>-4000</v>
      </c>
      <c r="O289" t="s">
        <v>779</v>
      </c>
      <c r="Q289" t="s">
        <v>467</v>
      </c>
      <c r="R289">
        <v>0</v>
      </c>
    </row>
    <row r="290" spans="1:18" x14ac:dyDescent="0.3">
      <c r="A290">
        <v>212745</v>
      </c>
      <c r="B290" t="s">
        <v>557</v>
      </c>
      <c r="C290" t="s">
        <v>818</v>
      </c>
      <c r="D290" t="s">
        <v>819</v>
      </c>
      <c r="E290" s="451">
        <v>46266</v>
      </c>
      <c r="F290" s="451">
        <v>46296</v>
      </c>
      <c r="G290" t="s">
        <v>570</v>
      </c>
      <c r="H290" t="s">
        <v>573</v>
      </c>
      <c r="I290" t="s">
        <v>822</v>
      </c>
      <c r="J290">
        <v>-2000</v>
      </c>
      <c r="K290">
        <v>-2000</v>
      </c>
      <c r="M290" t="s">
        <v>821</v>
      </c>
      <c r="N290" t="s">
        <v>133</v>
      </c>
      <c r="O290" t="s">
        <v>779</v>
      </c>
      <c r="Q290" t="s">
        <v>467</v>
      </c>
      <c r="R290">
        <v>0</v>
      </c>
    </row>
    <row r="291" spans="1:18" x14ac:dyDescent="0.3">
      <c r="A291">
        <v>227732</v>
      </c>
      <c r="B291" t="s">
        <v>557</v>
      </c>
      <c r="C291" t="s">
        <v>868</v>
      </c>
      <c r="D291" t="s">
        <v>819</v>
      </c>
      <c r="E291" s="451">
        <v>46266</v>
      </c>
      <c r="F291" s="451">
        <v>46300</v>
      </c>
      <c r="G291" t="s">
        <v>279</v>
      </c>
      <c r="H291" t="s">
        <v>286</v>
      </c>
      <c r="I291" t="s">
        <v>869</v>
      </c>
      <c r="J291">
        <v>-436.5</v>
      </c>
      <c r="K291">
        <v>-436.5</v>
      </c>
      <c r="O291" t="s">
        <v>779</v>
      </c>
      <c r="Q291" t="s">
        <v>467</v>
      </c>
      <c r="R291">
        <v>0</v>
      </c>
    </row>
    <row r="292" spans="1:18" x14ac:dyDescent="0.3">
      <c r="A292">
        <v>212757</v>
      </c>
      <c r="B292" t="s">
        <v>557</v>
      </c>
      <c r="C292" t="s">
        <v>818</v>
      </c>
      <c r="D292" t="s">
        <v>819</v>
      </c>
      <c r="E292" s="451">
        <v>46266</v>
      </c>
      <c r="F292" s="451">
        <v>46310</v>
      </c>
      <c r="G292" t="s">
        <v>570</v>
      </c>
      <c r="H292" t="s">
        <v>573</v>
      </c>
      <c r="I292" t="s">
        <v>820</v>
      </c>
      <c r="J292">
        <v>-2000</v>
      </c>
      <c r="K292">
        <v>-2000</v>
      </c>
      <c r="M292" t="s">
        <v>821</v>
      </c>
      <c r="N292" t="s">
        <v>133</v>
      </c>
      <c r="O292" t="s">
        <v>779</v>
      </c>
      <c r="Q292" t="s">
        <v>467</v>
      </c>
      <c r="R292">
        <v>0</v>
      </c>
    </row>
    <row r="293" spans="1:18" x14ac:dyDescent="0.3">
      <c r="A293">
        <v>219497</v>
      </c>
      <c r="B293" t="s">
        <v>557</v>
      </c>
      <c r="C293" t="s">
        <v>259</v>
      </c>
      <c r="D293" t="s">
        <v>946</v>
      </c>
      <c r="E293" s="451">
        <v>46266</v>
      </c>
      <c r="F293" s="451">
        <v>46291</v>
      </c>
      <c r="G293" t="s">
        <v>256</v>
      </c>
      <c r="H293" t="s">
        <v>259</v>
      </c>
      <c r="I293" t="s">
        <v>930</v>
      </c>
      <c r="J293">
        <v>-1611.52</v>
      </c>
      <c r="K293">
        <v>-1611.52</v>
      </c>
      <c r="O293" t="s">
        <v>779</v>
      </c>
      <c r="Q293" t="s">
        <v>467</v>
      </c>
      <c r="R293">
        <v>0</v>
      </c>
    </row>
    <row r="294" spans="1:18" x14ac:dyDescent="0.3">
      <c r="A294">
        <v>220633</v>
      </c>
      <c r="B294" t="s">
        <v>557</v>
      </c>
      <c r="C294" t="s">
        <v>866</v>
      </c>
      <c r="D294" t="s">
        <v>819</v>
      </c>
      <c r="E294" s="451">
        <v>46266</v>
      </c>
      <c r="F294" s="451">
        <v>46275</v>
      </c>
      <c r="G294" t="s">
        <v>578</v>
      </c>
      <c r="H294" t="s">
        <v>240</v>
      </c>
      <c r="I294" t="s">
        <v>867</v>
      </c>
      <c r="J294">
        <v>-1545.49</v>
      </c>
      <c r="K294">
        <v>0</v>
      </c>
      <c r="O294" t="s">
        <v>787</v>
      </c>
      <c r="Q294" t="s">
        <v>467</v>
      </c>
      <c r="R294">
        <v>0</v>
      </c>
    </row>
    <row r="295" spans="1:18" x14ac:dyDescent="0.3">
      <c r="A295">
        <v>219490</v>
      </c>
      <c r="B295" t="s">
        <v>557</v>
      </c>
      <c r="C295" t="s">
        <v>259</v>
      </c>
      <c r="D295" t="s">
        <v>946</v>
      </c>
      <c r="E295" s="451">
        <v>46266</v>
      </c>
      <c r="F295" s="451">
        <v>46280</v>
      </c>
      <c r="G295" t="s">
        <v>256</v>
      </c>
      <c r="H295" t="s">
        <v>259</v>
      </c>
      <c r="I295" t="s">
        <v>931</v>
      </c>
      <c r="J295">
        <v>-2086.58</v>
      </c>
      <c r="K295">
        <v>-2086.58</v>
      </c>
      <c r="O295" t="s">
        <v>779</v>
      </c>
      <c r="Q295" t="s">
        <v>467</v>
      </c>
      <c r="R295">
        <v>0</v>
      </c>
    </row>
    <row r="296" spans="1:18" x14ac:dyDescent="0.3">
      <c r="A296">
        <v>227693</v>
      </c>
      <c r="B296" t="s">
        <v>557</v>
      </c>
      <c r="C296" t="s">
        <v>947</v>
      </c>
      <c r="D296" t="s">
        <v>948</v>
      </c>
      <c r="E296" s="451">
        <v>46266</v>
      </c>
      <c r="F296" s="451">
        <v>46273</v>
      </c>
      <c r="G296" t="s">
        <v>279</v>
      </c>
      <c r="H296" t="s">
        <v>283</v>
      </c>
      <c r="I296" t="s">
        <v>949</v>
      </c>
      <c r="J296">
        <v>-536.73</v>
      </c>
      <c r="K296">
        <v>-536.73</v>
      </c>
      <c r="O296" t="s">
        <v>787</v>
      </c>
      <c r="Q296" t="s">
        <v>467</v>
      </c>
      <c r="R296">
        <v>0</v>
      </c>
    </row>
    <row r="297" spans="1:18" x14ac:dyDescent="0.3">
      <c r="A297">
        <v>192575</v>
      </c>
      <c r="B297" t="s">
        <v>557</v>
      </c>
      <c r="C297" t="s">
        <v>830</v>
      </c>
      <c r="D297" t="s">
        <v>819</v>
      </c>
      <c r="E297" s="451">
        <v>46266</v>
      </c>
      <c r="F297" s="451">
        <v>46285</v>
      </c>
      <c r="G297" t="s">
        <v>264</v>
      </c>
      <c r="H297" t="s">
        <v>276</v>
      </c>
      <c r="I297" t="s">
        <v>831</v>
      </c>
      <c r="J297">
        <v>-1600</v>
      </c>
      <c r="K297">
        <v>-1600</v>
      </c>
      <c r="O297" t="s">
        <v>779</v>
      </c>
      <c r="Q297" t="s">
        <v>467</v>
      </c>
      <c r="R297">
        <v>0</v>
      </c>
    </row>
    <row r="298" spans="1:18" x14ac:dyDescent="0.3">
      <c r="A298">
        <v>191889</v>
      </c>
      <c r="B298" t="s">
        <v>557</v>
      </c>
      <c r="C298" t="s">
        <v>900</v>
      </c>
      <c r="D298" t="s">
        <v>819</v>
      </c>
      <c r="E298" s="451">
        <v>46266</v>
      </c>
      <c r="F298" s="451">
        <v>46300</v>
      </c>
      <c r="G298" t="s">
        <v>264</v>
      </c>
      <c r="H298" t="s">
        <v>266</v>
      </c>
      <c r="I298" t="s">
        <v>901</v>
      </c>
      <c r="J298">
        <v>-15000</v>
      </c>
      <c r="K298">
        <v>-15000</v>
      </c>
      <c r="O298" t="s">
        <v>779</v>
      </c>
      <c r="Q298" t="s">
        <v>467</v>
      </c>
      <c r="R298">
        <v>0</v>
      </c>
    </row>
    <row r="299" spans="1:18" x14ac:dyDescent="0.3">
      <c r="A299">
        <v>192133</v>
      </c>
      <c r="B299" t="s">
        <v>557</v>
      </c>
      <c r="C299" t="s">
        <v>909</v>
      </c>
      <c r="D299" t="s">
        <v>819</v>
      </c>
      <c r="E299" s="451">
        <v>46266</v>
      </c>
      <c r="F299" s="451">
        <v>46285</v>
      </c>
      <c r="G299" t="s">
        <v>308</v>
      </c>
      <c r="H299" t="s">
        <v>311</v>
      </c>
      <c r="I299" t="s">
        <v>910</v>
      </c>
      <c r="J299">
        <v>-300</v>
      </c>
      <c r="K299">
        <v>-300</v>
      </c>
      <c r="O299" t="s">
        <v>779</v>
      </c>
      <c r="Q299" t="s">
        <v>467</v>
      </c>
      <c r="R299">
        <v>0</v>
      </c>
    </row>
    <row r="300" spans="1:18" x14ac:dyDescent="0.3">
      <c r="A300">
        <v>204925</v>
      </c>
      <c r="B300" t="s">
        <v>557</v>
      </c>
      <c r="C300" t="s">
        <v>842</v>
      </c>
      <c r="D300" t="s">
        <v>819</v>
      </c>
      <c r="E300" s="451">
        <v>46266</v>
      </c>
      <c r="F300" s="451">
        <v>46293</v>
      </c>
      <c r="G300" t="s">
        <v>578</v>
      </c>
      <c r="H300" t="s">
        <v>242</v>
      </c>
      <c r="I300" t="s">
        <v>843</v>
      </c>
      <c r="J300">
        <v>-300</v>
      </c>
      <c r="K300">
        <v>-300</v>
      </c>
      <c r="O300" t="s">
        <v>779</v>
      </c>
      <c r="Q300" t="s">
        <v>467</v>
      </c>
      <c r="R300">
        <v>0</v>
      </c>
    </row>
    <row r="301" spans="1:18" x14ac:dyDescent="0.3">
      <c r="A301">
        <v>196172</v>
      </c>
      <c r="B301" t="s">
        <v>557</v>
      </c>
      <c r="C301" t="s">
        <v>907</v>
      </c>
      <c r="D301" t="s">
        <v>819</v>
      </c>
      <c r="E301" s="451">
        <v>46266</v>
      </c>
      <c r="F301" s="451">
        <v>46304</v>
      </c>
      <c r="G301" t="s">
        <v>578</v>
      </c>
      <c r="H301" t="s">
        <v>252</v>
      </c>
      <c r="I301" t="s">
        <v>908</v>
      </c>
      <c r="J301">
        <v>-4000</v>
      </c>
      <c r="K301">
        <v>-4000</v>
      </c>
      <c r="O301" t="s">
        <v>779</v>
      </c>
      <c r="Q301" t="s">
        <v>467</v>
      </c>
      <c r="R301">
        <v>0</v>
      </c>
    </row>
    <row r="302" spans="1:18" x14ac:dyDescent="0.3">
      <c r="A302">
        <v>192600</v>
      </c>
      <c r="B302" t="s">
        <v>557</v>
      </c>
      <c r="C302" t="s">
        <v>840</v>
      </c>
      <c r="D302" t="s">
        <v>819</v>
      </c>
      <c r="E302" s="451">
        <v>46266</v>
      </c>
      <c r="F302" s="451">
        <v>46293</v>
      </c>
      <c r="G302" t="s">
        <v>581</v>
      </c>
      <c r="H302" t="s">
        <v>288</v>
      </c>
      <c r="I302" t="s">
        <v>841</v>
      </c>
      <c r="J302">
        <v>-2500</v>
      </c>
      <c r="K302">
        <v>-2500</v>
      </c>
      <c r="O302" t="s">
        <v>779</v>
      </c>
      <c r="Q302" t="s">
        <v>467</v>
      </c>
      <c r="R302">
        <v>0</v>
      </c>
    </row>
    <row r="303" spans="1:18" x14ac:dyDescent="0.3">
      <c r="A303">
        <v>192355</v>
      </c>
      <c r="B303" t="s">
        <v>557</v>
      </c>
      <c r="C303" t="s">
        <v>911</v>
      </c>
      <c r="D303" t="s">
        <v>819</v>
      </c>
      <c r="E303" s="451">
        <v>46266</v>
      </c>
      <c r="F303" s="451">
        <v>46275</v>
      </c>
      <c r="G303" t="s">
        <v>279</v>
      </c>
      <c r="H303" t="s">
        <v>281</v>
      </c>
      <c r="I303" t="s">
        <v>912</v>
      </c>
      <c r="J303">
        <v>-299.99</v>
      </c>
      <c r="K303">
        <v>-299.99</v>
      </c>
      <c r="O303" t="s">
        <v>779</v>
      </c>
      <c r="Q303" t="s">
        <v>467</v>
      </c>
      <c r="R303">
        <v>0</v>
      </c>
    </row>
    <row r="304" spans="1:18" x14ac:dyDescent="0.3">
      <c r="A304">
        <v>200534</v>
      </c>
      <c r="B304" t="s">
        <v>557</v>
      </c>
      <c r="C304" t="s">
        <v>886</v>
      </c>
      <c r="D304" t="s">
        <v>819</v>
      </c>
      <c r="E304" s="451">
        <v>46266</v>
      </c>
      <c r="F304" s="451">
        <v>46296</v>
      </c>
      <c r="G304" t="s">
        <v>570</v>
      </c>
      <c r="H304" t="s">
        <v>573</v>
      </c>
      <c r="I304" t="s">
        <v>880</v>
      </c>
      <c r="J304">
        <v>-3300</v>
      </c>
      <c r="K304">
        <v>-3300</v>
      </c>
      <c r="M304" t="s">
        <v>887</v>
      </c>
      <c r="N304" t="s">
        <v>131</v>
      </c>
      <c r="O304" t="s">
        <v>779</v>
      </c>
      <c r="Q304" t="s">
        <v>467</v>
      </c>
      <c r="R304">
        <v>0</v>
      </c>
    </row>
    <row r="305" spans="1:18" x14ac:dyDescent="0.3">
      <c r="A305">
        <v>191729</v>
      </c>
      <c r="B305" t="s">
        <v>557</v>
      </c>
      <c r="C305" t="s">
        <v>895</v>
      </c>
      <c r="D305" t="s">
        <v>819</v>
      </c>
      <c r="E305" s="451">
        <v>46266</v>
      </c>
      <c r="F305" s="451">
        <v>46280</v>
      </c>
      <c r="G305" t="s">
        <v>308</v>
      </c>
      <c r="H305" t="s">
        <v>309</v>
      </c>
      <c r="I305" t="s">
        <v>950</v>
      </c>
      <c r="J305">
        <v>-842.56</v>
      </c>
      <c r="K305">
        <v>-842.56</v>
      </c>
      <c r="O305" t="s">
        <v>779</v>
      </c>
      <c r="Q305" t="s">
        <v>467</v>
      </c>
      <c r="R305">
        <v>0</v>
      </c>
    </row>
    <row r="306" spans="1:18" x14ac:dyDescent="0.3">
      <c r="A306">
        <v>200571</v>
      </c>
      <c r="B306" t="s">
        <v>557</v>
      </c>
      <c r="C306" t="s">
        <v>882</v>
      </c>
      <c r="D306" t="s">
        <v>819</v>
      </c>
      <c r="E306" s="451">
        <v>46266</v>
      </c>
      <c r="F306" s="451">
        <v>46296</v>
      </c>
      <c r="G306" t="s">
        <v>570</v>
      </c>
      <c r="H306" t="s">
        <v>573</v>
      </c>
      <c r="I306" t="s">
        <v>880</v>
      </c>
      <c r="J306">
        <v>-3250</v>
      </c>
      <c r="K306">
        <v>-3250</v>
      </c>
      <c r="M306" t="s">
        <v>883</v>
      </c>
      <c r="N306" t="s">
        <v>135</v>
      </c>
      <c r="O306" t="s">
        <v>779</v>
      </c>
      <c r="Q306" t="s">
        <v>467</v>
      </c>
      <c r="R306">
        <v>0</v>
      </c>
    </row>
    <row r="307" spans="1:18" x14ac:dyDescent="0.3">
      <c r="A307">
        <v>191984</v>
      </c>
      <c r="B307" t="s">
        <v>557</v>
      </c>
      <c r="C307" t="s">
        <v>832</v>
      </c>
      <c r="D307" t="s">
        <v>819</v>
      </c>
      <c r="E307" s="451">
        <v>46266</v>
      </c>
      <c r="F307" s="451">
        <v>46285</v>
      </c>
      <c r="G307" t="s">
        <v>264</v>
      </c>
      <c r="H307" t="s">
        <v>271</v>
      </c>
      <c r="I307" t="s">
        <v>833</v>
      </c>
      <c r="J307">
        <v>-1500</v>
      </c>
      <c r="K307">
        <v>-1500</v>
      </c>
      <c r="O307" t="s">
        <v>779</v>
      </c>
      <c r="Q307" t="s">
        <v>467</v>
      </c>
      <c r="R307">
        <v>0</v>
      </c>
    </row>
    <row r="308" spans="1:18" x14ac:dyDescent="0.3">
      <c r="A308">
        <v>196328</v>
      </c>
      <c r="B308" t="s">
        <v>557</v>
      </c>
      <c r="C308" t="s">
        <v>834</v>
      </c>
      <c r="D308" t="s">
        <v>819</v>
      </c>
      <c r="E308" s="451">
        <v>46266</v>
      </c>
      <c r="F308" s="451">
        <v>46260</v>
      </c>
      <c r="G308" t="s">
        <v>578</v>
      </c>
      <c r="H308" t="s">
        <v>239</v>
      </c>
      <c r="I308" t="s">
        <v>844</v>
      </c>
      <c r="J308">
        <v>-1500</v>
      </c>
      <c r="K308">
        <v>-1500</v>
      </c>
      <c r="O308" t="s">
        <v>779</v>
      </c>
      <c r="Q308" t="s">
        <v>467</v>
      </c>
      <c r="R308">
        <v>0</v>
      </c>
    </row>
    <row r="309" spans="1:18" x14ac:dyDescent="0.3">
      <c r="A309">
        <v>200482</v>
      </c>
      <c r="B309" t="s">
        <v>557</v>
      </c>
      <c r="C309" t="s">
        <v>888</v>
      </c>
      <c r="D309" t="s">
        <v>819</v>
      </c>
      <c r="E309" s="451">
        <v>46266</v>
      </c>
      <c r="F309" s="451">
        <v>46310</v>
      </c>
      <c r="G309" t="s">
        <v>570</v>
      </c>
      <c r="H309" t="s">
        <v>573</v>
      </c>
      <c r="I309" t="s">
        <v>880</v>
      </c>
      <c r="J309">
        <v>-3300</v>
      </c>
      <c r="K309">
        <v>-3300</v>
      </c>
      <c r="M309" t="s">
        <v>887</v>
      </c>
      <c r="N309" t="s">
        <v>131</v>
      </c>
      <c r="O309" t="s">
        <v>779</v>
      </c>
      <c r="Q309" t="s">
        <v>467</v>
      </c>
      <c r="R309">
        <v>0</v>
      </c>
    </row>
    <row r="310" spans="1:18" x14ac:dyDescent="0.3">
      <c r="A310">
        <v>191925</v>
      </c>
      <c r="B310" t="s">
        <v>557</v>
      </c>
      <c r="C310" t="s">
        <v>889</v>
      </c>
      <c r="D310" t="s">
        <v>819</v>
      </c>
      <c r="E310" s="451">
        <v>46266</v>
      </c>
      <c r="F310" s="451">
        <v>46285</v>
      </c>
      <c r="G310" t="s">
        <v>279</v>
      </c>
      <c r="H310" t="s">
        <v>282</v>
      </c>
      <c r="I310" t="s">
        <v>902</v>
      </c>
      <c r="J310">
        <v>-350</v>
      </c>
      <c r="K310">
        <v>-350</v>
      </c>
      <c r="O310" t="s">
        <v>779</v>
      </c>
      <c r="Q310" t="s">
        <v>467</v>
      </c>
      <c r="R310">
        <v>0</v>
      </c>
    </row>
    <row r="311" spans="1:18" x14ac:dyDescent="0.3">
      <c r="A311">
        <v>196413</v>
      </c>
      <c r="B311" t="s">
        <v>557</v>
      </c>
      <c r="C311" t="s">
        <v>825</v>
      </c>
      <c r="D311" t="s">
        <v>819</v>
      </c>
      <c r="E311" s="451">
        <v>46266</v>
      </c>
      <c r="F311" s="451">
        <v>46301</v>
      </c>
      <c r="G311" t="s">
        <v>574</v>
      </c>
      <c r="H311" t="s">
        <v>575</v>
      </c>
      <c r="I311" t="s">
        <v>826</v>
      </c>
      <c r="J311">
        <v>-47000</v>
      </c>
      <c r="K311">
        <v>-47000</v>
      </c>
      <c r="O311" t="s">
        <v>779</v>
      </c>
      <c r="Q311" t="s">
        <v>467</v>
      </c>
      <c r="R311">
        <v>0</v>
      </c>
    </row>
    <row r="312" spans="1:18" x14ac:dyDescent="0.3">
      <c r="A312">
        <v>196667</v>
      </c>
      <c r="B312" t="s">
        <v>557</v>
      </c>
      <c r="C312" t="s">
        <v>825</v>
      </c>
      <c r="D312" t="s">
        <v>819</v>
      </c>
      <c r="E312" s="451">
        <v>46266</v>
      </c>
      <c r="F312" s="451">
        <v>46285</v>
      </c>
      <c r="G312" t="s">
        <v>574</v>
      </c>
      <c r="H312" t="s">
        <v>575</v>
      </c>
      <c r="I312" t="s">
        <v>872</v>
      </c>
      <c r="J312">
        <v>-20000</v>
      </c>
      <c r="K312">
        <v>-20000</v>
      </c>
      <c r="O312" t="s">
        <v>779</v>
      </c>
      <c r="Q312" t="s">
        <v>467</v>
      </c>
      <c r="R312">
        <v>0</v>
      </c>
    </row>
    <row r="313" spans="1:18" x14ac:dyDescent="0.3">
      <c r="A313">
        <v>192334</v>
      </c>
      <c r="B313" t="s">
        <v>557</v>
      </c>
      <c r="C313" t="s">
        <v>913</v>
      </c>
      <c r="D313" t="s">
        <v>819</v>
      </c>
      <c r="E313" s="451">
        <v>46266</v>
      </c>
      <c r="F313" s="451">
        <v>46298</v>
      </c>
      <c r="G313" t="s">
        <v>296</v>
      </c>
      <c r="H313" t="s">
        <v>297</v>
      </c>
      <c r="I313" t="s">
        <v>914</v>
      </c>
      <c r="J313">
        <v>-4000</v>
      </c>
      <c r="K313">
        <v>-4000</v>
      </c>
      <c r="M313" t="s">
        <v>915</v>
      </c>
      <c r="N313" t="s">
        <v>916</v>
      </c>
      <c r="O313" t="s">
        <v>779</v>
      </c>
      <c r="Q313" t="s">
        <v>467</v>
      </c>
      <c r="R313">
        <v>0</v>
      </c>
    </row>
    <row r="314" spans="1:18" x14ac:dyDescent="0.3">
      <c r="A314">
        <v>192486</v>
      </c>
      <c r="B314" t="s">
        <v>557</v>
      </c>
      <c r="C314" t="s">
        <v>934</v>
      </c>
      <c r="D314" t="s">
        <v>819</v>
      </c>
      <c r="E314" s="451">
        <v>46266</v>
      </c>
      <c r="F314" s="451">
        <v>46285</v>
      </c>
      <c r="G314" t="s">
        <v>308</v>
      </c>
      <c r="H314" t="s">
        <v>312</v>
      </c>
      <c r="I314" t="s">
        <v>935</v>
      </c>
      <c r="J314">
        <v>-185</v>
      </c>
      <c r="K314">
        <v>-185</v>
      </c>
      <c r="O314" t="s">
        <v>779</v>
      </c>
      <c r="Q314" t="s">
        <v>467</v>
      </c>
      <c r="R314">
        <v>0</v>
      </c>
    </row>
    <row r="315" spans="1:18" x14ac:dyDescent="0.3">
      <c r="A315">
        <v>191853</v>
      </c>
      <c r="B315" t="s">
        <v>557</v>
      </c>
      <c r="C315" t="s">
        <v>898</v>
      </c>
      <c r="D315" t="s">
        <v>819</v>
      </c>
      <c r="E315" s="451">
        <v>46266</v>
      </c>
      <c r="F315" s="451">
        <v>46297</v>
      </c>
      <c r="G315" t="s">
        <v>279</v>
      </c>
      <c r="H315" t="s">
        <v>281</v>
      </c>
      <c r="I315" t="s">
        <v>899</v>
      </c>
      <c r="J315">
        <v>-400</v>
      </c>
      <c r="K315">
        <v>-400</v>
      </c>
      <c r="O315" t="s">
        <v>779</v>
      </c>
      <c r="Q315" t="s">
        <v>467</v>
      </c>
      <c r="R315">
        <v>0</v>
      </c>
    </row>
    <row r="316" spans="1:18" x14ac:dyDescent="0.3">
      <c r="A316">
        <v>192505</v>
      </c>
      <c r="B316" t="s">
        <v>557</v>
      </c>
      <c r="C316" t="s">
        <v>936</v>
      </c>
      <c r="D316" t="s">
        <v>819</v>
      </c>
      <c r="E316" s="451">
        <v>46266</v>
      </c>
      <c r="F316" s="451">
        <v>46285</v>
      </c>
      <c r="G316" t="s">
        <v>318</v>
      </c>
      <c r="H316" t="s">
        <v>319</v>
      </c>
      <c r="I316" t="s">
        <v>937</v>
      </c>
      <c r="J316">
        <v>-1295</v>
      </c>
      <c r="K316">
        <v>-1295</v>
      </c>
      <c r="O316" t="s">
        <v>779</v>
      </c>
      <c r="Q316" t="s">
        <v>467</v>
      </c>
      <c r="R316">
        <v>0</v>
      </c>
    </row>
    <row r="317" spans="1:18" x14ac:dyDescent="0.3">
      <c r="A317">
        <v>193432</v>
      </c>
      <c r="B317" t="s">
        <v>557</v>
      </c>
      <c r="C317" t="s">
        <v>873</v>
      </c>
      <c r="D317" t="s">
        <v>819</v>
      </c>
      <c r="E317" s="451">
        <v>46266</v>
      </c>
      <c r="F317" s="451">
        <v>46283</v>
      </c>
      <c r="G317" t="s">
        <v>874</v>
      </c>
      <c r="H317" t="s">
        <v>875</v>
      </c>
      <c r="I317" t="s">
        <v>876</v>
      </c>
      <c r="J317">
        <v>-400</v>
      </c>
      <c r="K317">
        <v>-400</v>
      </c>
      <c r="O317" t="s">
        <v>779</v>
      </c>
      <c r="Q317" t="s">
        <v>467</v>
      </c>
      <c r="R317">
        <v>0</v>
      </c>
    </row>
    <row r="318" spans="1:18" x14ac:dyDescent="0.3">
      <c r="A318">
        <v>192095</v>
      </c>
      <c r="B318" t="s">
        <v>557</v>
      </c>
      <c r="C318" t="s">
        <v>877</v>
      </c>
      <c r="D318" t="s">
        <v>819</v>
      </c>
      <c r="E318" s="451">
        <v>46266</v>
      </c>
      <c r="F318" s="451">
        <v>46313</v>
      </c>
      <c r="G318" t="s">
        <v>308</v>
      </c>
      <c r="H318" t="s">
        <v>314</v>
      </c>
      <c r="I318" t="s">
        <v>878</v>
      </c>
      <c r="J318">
        <v>-708.18</v>
      </c>
      <c r="K318">
        <v>-708.18</v>
      </c>
      <c r="O318" t="s">
        <v>779</v>
      </c>
      <c r="Q318" t="s">
        <v>467</v>
      </c>
      <c r="R318">
        <v>0</v>
      </c>
    </row>
    <row r="319" spans="1:18" x14ac:dyDescent="0.3">
      <c r="A319">
        <v>192168</v>
      </c>
      <c r="B319" t="s">
        <v>557</v>
      </c>
      <c r="C319" t="s">
        <v>932</v>
      </c>
      <c r="D319" t="s">
        <v>819</v>
      </c>
      <c r="E319" s="451">
        <v>46266</v>
      </c>
      <c r="F319" s="451">
        <v>46280</v>
      </c>
      <c r="G319" t="s">
        <v>264</v>
      </c>
      <c r="H319" t="s">
        <v>270</v>
      </c>
      <c r="I319" t="s">
        <v>933</v>
      </c>
      <c r="J319">
        <v>-550</v>
      </c>
      <c r="K319">
        <v>-550</v>
      </c>
      <c r="O319" t="s">
        <v>779</v>
      </c>
      <c r="Q319" t="s">
        <v>467</v>
      </c>
      <c r="R319">
        <v>0</v>
      </c>
    </row>
    <row r="320" spans="1:18" x14ac:dyDescent="0.3">
      <c r="A320">
        <v>192961</v>
      </c>
      <c r="B320" t="s">
        <v>557</v>
      </c>
      <c r="C320" t="s">
        <v>903</v>
      </c>
      <c r="D320" t="s">
        <v>819</v>
      </c>
      <c r="E320" s="451">
        <v>46266</v>
      </c>
      <c r="F320" s="451">
        <v>46300</v>
      </c>
      <c r="G320" t="s">
        <v>279</v>
      </c>
      <c r="H320" t="s">
        <v>283</v>
      </c>
      <c r="I320" t="s">
        <v>904</v>
      </c>
      <c r="J320">
        <v>-293.93</v>
      </c>
      <c r="K320">
        <v>-293.93</v>
      </c>
      <c r="O320" t="s">
        <v>779</v>
      </c>
      <c r="Q320" t="s">
        <v>467</v>
      </c>
      <c r="R320">
        <v>0</v>
      </c>
    </row>
    <row r="321" spans="1:18" x14ac:dyDescent="0.3">
      <c r="A321">
        <v>200559</v>
      </c>
      <c r="B321" t="s">
        <v>557</v>
      </c>
      <c r="C321" t="s">
        <v>884</v>
      </c>
      <c r="D321" t="s">
        <v>819</v>
      </c>
      <c r="E321" s="451">
        <v>46266</v>
      </c>
      <c r="F321" s="451">
        <v>46296</v>
      </c>
      <c r="G321" t="s">
        <v>570</v>
      </c>
      <c r="H321" t="s">
        <v>573</v>
      </c>
      <c r="I321" t="s">
        <v>880</v>
      </c>
      <c r="J321">
        <v>-1750</v>
      </c>
      <c r="K321">
        <v>-1750</v>
      </c>
      <c r="M321" t="s">
        <v>885</v>
      </c>
      <c r="N321" t="s">
        <v>134</v>
      </c>
      <c r="O321" t="s">
        <v>779</v>
      </c>
      <c r="Q321" t="s">
        <v>467</v>
      </c>
      <c r="R321">
        <v>0</v>
      </c>
    </row>
    <row r="322" spans="1:18" x14ac:dyDescent="0.3">
      <c r="A322">
        <v>200547</v>
      </c>
      <c r="B322" t="s">
        <v>557</v>
      </c>
      <c r="C322" t="s">
        <v>886</v>
      </c>
      <c r="D322" t="s">
        <v>819</v>
      </c>
      <c r="E322" s="451">
        <v>46266</v>
      </c>
      <c r="F322" s="451">
        <v>46310</v>
      </c>
      <c r="G322" t="s">
        <v>570</v>
      </c>
      <c r="H322" t="s">
        <v>573</v>
      </c>
      <c r="I322" t="s">
        <v>880</v>
      </c>
      <c r="J322">
        <v>-3300</v>
      </c>
      <c r="K322">
        <v>-3300</v>
      </c>
      <c r="M322" t="s">
        <v>887</v>
      </c>
      <c r="N322" t="s">
        <v>131</v>
      </c>
      <c r="O322" t="s">
        <v>779</v>
      </c>
      <c r="Q322" t="s">
        <v>467</v>
      </c>
      <c r="R322">
        <v>0</v>
      </c>
    </row>
    <row r="323" spans="1:18" x14ac:dyDescent="0.3">
      <c r="A323">
        <v>191756</v>
      </c>
      <c r="B323" t="s">
        <v>557</v>
      </c>
      <c r="C323" t="s">
        <v>895</v>
      </c>
      <c r="D323" t="s">
        <v>819</v>
      </c>
      <c r="E323" s="451">
        <v>46266</v>
      </c>
      <c r="F323" s="451">
        <v>46280</v>
      </c>
      <c r="G323" t="s">
        <v>308</v>
      </c>
      <c r="H323" t="s">
        <v>309</v>
      </c>
      <c r="I323" t="s">
        <v>897</v>
      </c>
      <c r="J323">
        <v>-2200</v>
      </c>
      <c r="K323">
        <v>-2200</v>
      </c>
      <c r="O323" t="s">
        <v>779</v>
      </c>
      <c r="Q323" t="s">
        <v>467</v>
      </c>
      <c r="R323">
        <v>0</v>
      </c>
    </row>
    <row r="324" spans="1:18" x14ac:dyDescent="0.3">
      <c r="A324">
        <v>192564</v>
      </c>
      <c r="B324" t="s">
        <v>557</v>
      </c>
      <c r="C324" t="s">
        <v>917</v>
      </c>
      <c r="D324" t="s">
        <v>819</v>
      </c>
      <c r="E324" s="451">
        <v>46266</v>
      </c>
      <c r="F324" s="451">
        <v>46317</v>
      </c>
      <c r="G324" t="s">
        <v>318</v>
      </c>
      <c r="H324" t="s">
        <v>321</v>
      </c>
      <c r="I324" t="s">
        <v>918</v>
      </c>
      <c r="J324">
        <v>-200</v>
      </c>
      <c r="K324">
        <v>-200</v>
      </c>
      <c r="O324" t="s">
        <v>779</v>
      </c>
      <c r="Q324" t="s">
        <v>467</v>
      </c>
      <c r="R324">
        <v>0</v>
      </c>
    </row>
    <row r="325" spans="1:18" x14ac:dyDescent="0.3">
      <c r="A325">
        <v>196304</v>
      </c>
      <c r="B325" t="s">
        <v>557</v>
      </c>
      <c r="C325" t="s">
        <v>834</v>
      </c>
      <c r="D325" t="s">
        <v>819</v>
      </c>
      <c r="E325" s="451">
        <v>46266</v>
      </c>
      <c r="F325" s="451">
        <v>46262</v>
      </c>
      <c r="G325" t="s">
        <v>578</v>
      </c>
      <c r="H325" t="s">
        <v>239</v>
      </c>
      <c r="I325" t="s">
        <v>835</v>
      </c>
      <c r="J325">
        <v>-8000</v>
      </c>
      <c r="K325">
        <v>-8000</v>
      </c>
      <c r="O325" t="s">
        <v>779</v>
      </c>
      <c r="Q325" t="s">
        <v>467</v>
      </c>
      <c r="R325">
        <v>0</v>
      </c>
    </row>
    <row r="326" spans="1:18" x14ac:dyDescent="0.3">
      <c r="A326">
        <v>192031</v>
      </c>
      <c r="B326" t="s">
        <v>557</v>
      </c>
      <c r="C326" t="s">
        <v>870</v>
      </c>
      <c r="D326" t="s">
        <v>819</v>
      </c>
      <c r="E326" s="451">
        <v>46266</v>
      </c>
      <c r="F326" s="451">
        <v>46285</v>
      </c>
      <c r="G326" t="s">
        <v>308</v>
      </c>
      <c r="H326" t="s">
        <v>311</v>
      </c>
      <c r="I326" t="s">
        <v>871</v>
      </c>
      <c r="J326">
        <v>-1250</v>
      </c>
      <c r="K326">
        <v>-1250</v>
      </c>
      <c r="O326" t="s">
        <v>779</v>
      </c>
      <c r="Q326" t="s">
        <v>467</v>
      </c>
      <c r="R326">
        <v>0</v>
      </c>
    </row>
    <row r="327" spans="1:18" x14ac:dyDescent="0.3">
      <c r="A327">
        <v>192402</v>
      </c>
      <c r="B327" t="s">
        <v>557</v>
      </c>
      <c r="C327" t="s">
        <v>823</v>
      </c>
      <c r="D327" t="s">
        <v>819</v>
      </c>
      <c r="E327" s="451">
        <v>46266</v>
      </c>
      <c r="F327" s="451">
        <v>46280</v>
      </c>
      <c r="G327" t="s">
        <v>279</v>
      </c>
      <c r="H327" t="s">
        <v>286</v>
      </c>
      <c r="I327" t="s">
        <v>824</v>
      </c>
      <c r="J327">
        <v>-219</v>
      </c>
      <c r="K327">
        <v>-219</v>
      </c>
      <c r="O327" t="s">
        <v>779</v>
      </c>
      <c r="Q327" t="s">
        <v>467</v>
      </c>
      <c r="R327">
        <v>0</v>
      </c>
    </row>
    <row r="328" spans="1:18" x14ac:dyDescent="0.3">
      <c r="A328">
        <v>192517</v>
      </c>
      <c r="B328" t="s">
        <v>557</v>
      </c>
      <c r="C328" t="s">
        <v>836</v>
      </c>
      <c r="D328" t="s">
        <v>819</v>
      </c>
      <c r="E328" s="451">
        <v>46266</v>
      </c>
      <c r="F328" s="451">
        <v>46286</v>
      </c>
      <c r="G328" t="s">
        <v>318</v>
      </c>
      <c r="H328" t="s">
        <v>319</v>
      </c>
      <c r="I328" t="s">
        <v>837</v>
      </c>
      <c r="J328">
        <v>-500</v>
      </c>
      <c r="K328">
        <v>-500</v>
      </c>
      <c r="O328" t="s">
        <v>779</v>
      </c>
      <c r="Q328" t="s">
        <v>467</v>
      </c>
      <c r="R328">
        <v>0</v>
      </c>
    </row>
    <row r="329" spans="1:18" x14ac:dyDescent="0.3">
      <c r="A329">
        <v>191840</v>
      </c>
      <c r="B329" t="s">
        <v>557</v>
      </c>
      <c r="C329" t="s">
        <v>838</v>
      </c>
      <c r="D329" t="s">
        <v>819</v>
      </c>
      <c r="E329" s="451">
        <v>46266</v>
      </c>
      <c r="F329" s="451">
        <v>46275</v>
      </c>
      <c r="G329" t="s">
        <v>264</v>
      </c>
      <c r="H329" t="s">
        <v>267</v>
      </c>
      <c r="I329" t="s">
        <v>839</v>
      </c>
      <c r="J329">
        <v>-8000</v>
      </c>
      <c r="K329">
        <v>-8000</v>
      </c>
      <c r="O329" t="s">
        <v>779</v>
      </c>
      <c r="Q329" t="s">
        <v>467</v>
      </c>
      <c r="R329">
        <v>0</v>
      </c>
    </row>
    <row r="330" spans="1:18" x14ac:dyDescent="0.3">
      <c r="A330">
        <v>193007</v>
      </c>
      <c r="B330" t="s">
        <v>557</v>
      </c>
      <c r="C330" t="s">
        <v>925</v>
      </c>
      <c r="D330" t="s">
        <v>819</v>
      </c>
      <c r="E330" s="451">
        <v>46266</v>
      </c>
      <c r="F330" s="451">
        <v>46300</v>
      </c>
      <c r="G330" t="s">
        <v>279</v>
      </c>
      <c r="H330" t="s">
        <v>282</v>
      </c>
      <c r="I330" t="s">
        <v>926</v>
      </c>
      <c r="J330">
        <v>-40.9</v>
      </c>
      <c r="K330">
        <v>-40.9</v>
      </c>
      <c r="O330" t="s">
        <v>779</v>
      </c>
      <c r="Q330" t="s">
        <v>467</v>
      </c>
      <c r="R330">
        <v>0</v>
      </c>
    </row>
    <row r="331" spans="1:18" x14ac:dyDescent="0.3">
      <c r="A331">
        <v>200495</v>
      </c>
      <c r="B331" t="s">
        <v>557</v>
      </c>
      <c r="C331" t="s">
        <v>888</v>
      </c>
      <c r="D331" t="s">
        <v>819</v>
      </c>
      <c r="E331" s="451">
        <v>46266</v>
      </c>
      <c r="F331" s="451">
        <v>46320</v>
      </c>
      <c r="G331" t="s">
        <v>570</v>
      </c>
      <c r="H331" t="s">
        <v>573</v>
      </c>
      <c r="I331" t="s">
        <v>880</v>
      </c>
      <c r="J331">
        <v>-4400</v>
      </c>
      <c r="K331">
        <v>-4400</v>
      </c>
      <c r="M331" t="s">
        <v>887</v>
      </c>
      <c r="N331" t="s">
        <v>131</v>
      </c>
      <c r="O331" t="s">
        <v>779</v>
      </c>
      <c r="Q331" t="s">
        <v>467</v>
      </c>
      <c r="R331">
        <v>0</v>
      </c>
    </row>
    <row r="332" spans="1:18" x14ac:dyDescent="0.3">
      <c r="A332">
        <v>200469</v>
      </c>
      <c r="B332" t="s">
        <v>557</v>
      </c>
      <c r="C332" t="s">
        <v>888</v>
      </c>
      <c r="D332" t="s">
        <v>819</v>
      </c>
      <c r="E332" s="451">
        <v>46266</v>
      </c>
      <c r="F332" s="451">
        <v>46296</v>
      </c>
      <c r="G332" t="s">
        <v>570</v>
      </c>
      <c r="H332" t="s">
        <v>573</v>
      </c>
      <c r="I332" t="s">
        <v>880</v>
      </c>
      <c r="J332">
        <v>-3300</v>
      </c>
      <c r="K332">
        <v>-3300</v>
      </c>
      <c r="M332" t="s">
        <v>887</v>
      </c>
      <c r="N332" t="s">
        <v>131</v>
      </c>
      <c r="O332" t="s">
        <v>779</v>
      </c>
      <c r="Q332" t="s">
        <v>467</v>
      </c>
      <c r="R332">
        <v>0</v>
      </c>
    </row>
    <row r="333" spans="1:18" x14ac:dyDescent="0.3">
      <c r="A333">
        <v>192194</v>
      </c>
      <c r="B333" t="s">
        <v>557</v>
      </c>
      <c r="C333" t="s">
        <v>919</v>
      </c>
      <c r="D333" t="s">
        <v>819</v>
      </c>
      <c r="E333" s="451">
        <v>46266</v>
      </c>
      <c r="F333" s="451">
        <v>46300</v>
      </c>
      <c r="G333" t="s">
        <v>279</v>
      </c>
      <c r="H333" t="s">
        <v>284</v>
      </c>
      <c r="I333" t="s">
        <v>920</v>
      </c>
      <c r="J333">
        <v>-530</v>
      </c>
      <c r="K333">
        <v>-530</v>
      </c>
      <c r="O333" t="s">
        <v>779</v>
      </c>
      <c r="Q333" t="s">
        <v>467</v>
      </c>
      <c r="R333">
        <v>0</v>
      </c>
    </row>
    <row r="334" spans="1:18" x14ac:dyDescent="0.3">
      <c r="A334">
        <v>191937</v>
      </c>
      <c r="B334" t="s">
        <v>557</v>
      </c>
      <c r="C334" t="s">
        <v>889</v>
      </c>
      <c r="D334" t="s">
        <v>819</v>
      </c>
      <c r="E334" s="451">
        <v>46266</v>
      </c>
      <c r="F334" s="451">
        <v>46296</v>
      </c>
      <c r="G334" t="s">
        <v>279</v>
      </c>
      <c r="H334" t="s">
        <v>281</v>
      </c>
      <c r="I334" t="s">
        <v>890</v>
      </c>
      <c r="J334">
        <v>-200</v>
      </c>
      <c r="K334">
        <v>-200</v>
      </c>
      <c r="O334" t="s">
        <v>779</v>
      </c>
      <c r="Q334" t="s">
        <v>467</v>
      </c>
      <c r="R334">
        <v>0</v>
      </c>
    </row>
    <row r="335" spans="1:18" x14ac:dyDescent="0.3">
      <c r="A335">
        <v>192948</v>
      </c>
      <c r="B335" t="s">
        <v>557</v>
      </c>
      <c r="C335" t="s">
        <v>921</v>
      </c>
      <c r="D335" t="s">
        <v>819</v>
      </c>
      <c r="E335" s="451">
        <v>46266</v>
      </c>
      <c r="F335" s="451">
        <v>46300</v>
      </c>
      <c r="G335" t="s">
        <v>296</v>
      </c>
      <c r="H335" t="s">
        <v>301</v>
      </c>
      <c r="I335" t="s">
        <v>922</v>
      </c>
      <c r="J335">
        <v>-1500</v>
      </c>
      <c r="K335">
        <v>-1500</v>
      </c>
      <c r="O335" t="s">
        <v>779</v>
      </c>
      <c r="Q335" t="s">
        <v>467</v>
      </c>
      <c r="R335">
        <v>0</v>
      </c>
    </row>
    <row r="336" spans="1:18" x14ac:dyDescent="0.3">
      <c r="A336">
        <v>192418</v>
      </c>
      <c r="B336" t="s">
        <v>557</v>
      </c>
      <c r="C336" t="s">
        <v>923</v>
      </c>
      <c r="D336" t="s">
        <v>819</v>
      </c>
      <c r="E336" s="451">
        <v>46266</v>
      </c>
      <c r="F336" s="451">
        <v>46290</v>
      </c>
      <c r="G336" t="s">
        <v>264</v>
      </c>
      <c r="H336" t="s">
        <v>277</v>
      </c>
      <c r="I336" t="s">
        <v>924</v>
      </c>
      <c r="J336">
        <v>-500</v>
      </c>
      <c r="K336">
        <v>-500</v>
      </c>
      <c r="O336" t="s">
        <v>779</v>
      </c>
      <c r="Q336" t="s">
        <v>467</v>
      </c>
      <c r="R336">
        <v>0</v>
      </c>
    </row>
    <row r="337" spans="1:18" x14ac:dyDescent="0.3">
      <c r="A337">
        <v>192392</v>
      </c>
      <c r="B337" t="s">
        <v>557</v>
      </c>
      <c r="C337" t="s">
        <v>905</v>
      </c>
      <c r="D337" t="s">
        <v>819</v>
      </c>
      <c r="E337" s="451">
        <v>46266</v>
      </c>
      <c r="F337" s="451">
        <v>46307</v>
      </c>
      <c r="G337" t="s">
        <v>296</v>
      </c>
      <c r="H337" t="s">
        <v>298</v>
      </c>
      <c r="I337" t="s">
        <v>906</v>
      </c>
      <c r="J337">
        <v>-500</v>
      </c>
      <c r="K337">
        <v>-500</v>
      </c>
      <c r="O337" t="s">
        <v>779</v>
      </c>
      <c r="Q337" t="s">
        <v>467</v>
      </c>
      <c r="R337">
        <v>0</v>
      </c>
    </row>
    <row r="338" spans="1:18" x14ac:dyDescent="0.3">
      <c r="A338">
        <v>200583</v>
      </c>
      <c r="B338" t="s">
        <v>557</v>
      </c>
      <c r="C338" t="s">
        <v>882</v>
      </c>
      <c r="D338" t="s">
        <v>819</v>
      </c>
      <c r="E338" s="451">
        <v>46266</v>
      </c>
      <c r="F338" s="451">
        <v>46310</v>
      </c>
      <c r="G338" t="s">
        <v>570</v>
      </c>
      <c r="H338" t="s">
        <v>573</v>
      </c>
      <c r="I338" t="s">
        <v>880</v>
      </c>
      <c r="J338">
        <v>-3250</v>
      </c>
      <c r="K338">
        <v>-3250</v>
      </c>
      <c r="M338" t="s">
        <v>883</v>
      </c>
      <c r="N338" t="s">
        <v>135</v>
      </c>
      <c r="O338" t="s">
        <v>779</v>
      </c>
      <c r="Q338" t="s">
        <v>467</v>
      </c>
      <c r="R338">
        <v>0</v>
      </c>
    </row>
    <row r="339" spans="1:18" x14ac:dyDescent="0.3">
      <c r="A339">
        <v>200456</v>
      </c>
      <c r="B339" t="s">
        <v>557</v>
      </c>
      <c r="C339" t="s">
        <v>879</v>
      </c>
      <c r="D339" t="s">
        <v>819</v>
      </c>
      <c r="E339" s="451">
        <v>46266</v>
      </c>
      <c r="F339" s="451">
        <v>46310</v>
      </c>
      <c r="G339" t="s">
        <v>570</v>
      </c>
      <c r="H339" t="s">
        <v>573</v>
      </c>
      <c r="I339" t="s">
        <v>880</v>
      </c>
      <c r="J339">
        <v>-2000</v>
      </c>
      <c r="K339">
        <v>-2000</v>
      </c>
      <c r="M339" t="s">
        <v>881</v>
      </c>
      <c r="N339" t="s">
        <v>73</v>
      </c>
      <c r="O339" t="s">
        <v>779</v>
      </c>
      <c r="Q339" t="s">
        <v>467</v>
      </c>
      <c r="R339">
        <v>0</v>
      </c>
    </row>
    <row r="340" spans="1:18" x14ac:dyDescent="0.3">
      <c r="A340">
        <v>242092</v>
      </c>
      <c r="B340" t="s">
        <v>557</v>
      </c>
      <c r="C340" t="s">
        <v>943</v>
      </c>
      <c r="D340" t="s">
        <v>819</v>
      </c>
      <c r="E340" s="451">
        <v>46265</v>
      </c>
      <c r="F340" s="451">
        <v>46275</v>
      </c>
      <c r="G340" t="s">
        <v>576</v>
      </c>
      <c r="H340" t="s">
        <v>203</v>
      </c>
      <c r="I340" t="s">
        <v>944</v>
      </c>
      <c r="J340">
        <v>-5000</v>
      </c>
      <c r="K340">
        <v>-5000</v>
      </c>
      <c r="O340" t="s">
        <v>779</v>
      </c>
      <c r="Q340" t="s">
        <v>466</v>
      </c>
      <c r="R340">
        <v>0</v>
      </c>
    </row>
    <row r="341" spans="1:18" x14ac:dyDescent="0.3">
      <c r="A341">
        <v>242082</v>
      </c>
      <c r="B341" t="s">
        <v>557</v>
      </c>
      <c r="C341" t="s">
        <v>943</v>
      </c>
      <c r="D341" t="s">
        <v>819</v>
      </c>
      <c r="E341" s="451">
        <v>46265</v>
      </c>
      <c r="F341" s="451">
        <v>46275</v>
      </c>
      <c r="G341" t="s">
        <v>576</v>
      </c>
      <c r="H341" t="s">
        <v>203</v>
      </c>
      <c r="I341" t="s">
        <v>945</v>
      </c>
      <c r="J341">
        <v>-4000</v>
      </c>
      <c r="K341">
        <v>-4000</v>
      </c>
      <c r="O341" t="s">
        <v>779</v>
      </c>
      <c r="Q341" t="s">
        <v>466</v>
      </c>
      <c r="R341">
        <v>0</v>
      </c>
    </row>
    <row r="342" spans="1:18" x14ac:dyDescent="0.3">
      <c r="A342">
        <v>197656</v>
      </c>
      <c r="B342" t="s">
        <v>557</v>
      </c>
      <c r="C342" t="s">
        <v>849</v>
      </c>
      <c r="D342" t="s">
        <v>819</v>
      </c>
      <c r="E342" s="451">
        <v>46264</v>
      </c>
      <c r="F342" s="451">
        <v>46285</v>
      </c>
      <c r="G342" t="s">
        <v>308</v>
      </c>
      <c r="H342" t="s">
        <v>309</v>
      </c>
      <c r="I342" t="s">
        <v>850</v>
      </c>
      <c r="J342">
        <v>-200</v>
      </c>
      <c r="K342">
        <v>-200</v>
      </c>
      <c r="O342" t="s">
        <v>779</v>
      </c>
      <c r="Q342" t="s">
        <v>466</v>
      </c>
      <c r="R342">
        <v>0</v>
      </c>
    </row>
    <row r="343" spans="1:18" x14ac:dyDescent="0.3">
      <c r="A343">
        <v>192067</v>
      </c>
      <c r="B343" t="s">
        <v>557</v>
      </c>
      <c r="C343" t="s">
        <v>851</v>
      </c>
      <c r="D343" t="s">
        <v>819</v>
      </c>
      <c r="E343" s="451">
        <v>46264</v>
      </c>
      <c r="F343" s="451">
        <v>46285</v>
      </c>
      <c r="G343" t="s">
        <v>318</v>
      </c>
      <c r="H343" t="s">
        <v>320</v>
      </c>
      <c r="I343" t="s">
        <v>852</v>
      </c>
      <c r="J343">
        <v>-200</v>
      </c>
      <c r="K343">
        <v>-200</v>
      </c>
      <c r="O343" t="s">
        <v>779</v>
      </c>
      <c r="Q343" t="s">
        <v>466</v>
      </c>
      <c r="R343">
        <v>0</v>
      </c>
    </row>
    <row r="344" spans="1:18" x14ac:dyDescent="0.3">
      <c r="A344">
        <v>197474</v>
      </c>
      <c r="B344" t="s">
        <v>557</v>
      </c>
      <c r="C344" t="s">
        <v>845</v>
      </c>
      <c r="D344" t="s">
        <v>819</v>
      </c>
      <c r="E344" s="451">
        <v>46264</v>
      </c>
      <c r="F344" s="451">
        <v>46285</v>
      </c>
      <c r="G344" t="s">
        <v>308</v>
      </c>
      <c r="H344" t="s">
        <v>309</v>
      </c>
      <c r="I344" t="s">
        <v>853</v>
      </c>
      <c r="J344">
        <v>-20</v>
      </c>
      <c r="K344">
        <v>-20</v>
      </c>
      <c r="O344" t="s">
        <v>779</v>
      </c>
      <c r="Q344" t="s">
        <v>466</v>
      </c>
      <c r="R344">
        <v>0</v>
      </c>
    </row>
    <row r="345" spans="1:18" x14ac:dyDescent="0.3">
      <c r="A345">
        <v>210556</v>
      </c>
      <c r="B345" t="s">
        <v>557</v>
      </c>
      <c r="C345" t="s">
        <v>518</v>
      </c>
      <c r="D345" t="s">
        <v>819</v>
      </c>
      <c r="E345" s="451">
        <v>46264</v>
      </c>
      <c r="F345" s="451">
        <v>46290</v>
      </c>
      <c r="G345" t="s">
        <v>563</v>
      </c>
      <c r="H345" t="s">
        <v>46</v>
      </c>
      <c r="J345">
        <v>-12000</v>
      </c>
      <c r="K345">
        <v>-12000</v>
      </c>
      <c r="O345" t="s">
        <v>779</v>
      </c>
      <c r="Q345" t="s">
        <v>466</v>
      </c>
      <c r="R345">
        <v>0</v>
      </c>
    </row>
    <row r="346" spans="1:18" x14ac:dyDescent="0.3">
      <c r="A346">
        <v>197128</v>
      </c>
      <c r="B346" t="s">
        <v>557</v>
      </c>
      <c r="C346" t="s">
        <v>48</v>
      </c>
      <c r="D346" t="s">
        <v>819</v>
      </c>
      <c r="E346" s="451">
        <v>46264</v>
      </c>
      <c r="F346" s="451">
        <v>46285</v>
      </c>
      <c r="G346" t="s">
        <v>563</v>
      </c>
      <c r="H346" t="s">
        <v>48</v>
      </c>
      <c r="J346">
        <v>-17000</v>
      </c>
      <c r="K346">
        <v>-17000</v>
      </c>
      <c r="O346" t="s">
        <v>779</v>
      </c>
      <c r="Q346" t="s">
        <v>466</v>
      </c>
      <c r="R346">
        <v>0</v>
      </c>
    </row>
    <row r="347" spans="1:18" x14ac:dyDescent="0.3">
      <c r="A347">
        <v>202390</v>
      </c>
      <c r="B347" t="s">
        <v>557</v>
      </c>
      <c r="C347" t="s">
        <v>847</v>
      </c>
      <c r="D347" t="s">
        <v>819</v>
      </c>
      <c r="E347" s="451">
        <v>46264</v>
      </c>
      <c r="F347" s="451">
        <v>46274</v>
      </c>
      <c r="G347" t="s">
        <v>578</v>
      </c>
      <c r="H347" t="s">
        <v>247</v>
      </c>
      <c r="J347">
        <v>-267.83</v>
      </c>
      <c r="K347">
        <v>-267.83</v>
      </c>
      <c r="O347" t="s">
        <v>779</v>
      </c>
      <c r="Q347" t="s">
        <v>466</v>
      </c>
      <c r="R347">
        <v>0</v>
      </c>
    </row>
    <row r="348" spans="1:18" x14ac:dyDescent="0.3">
      <c r="A348">
        <v>208287</v>
      </c>
      <c r="B348" t="s">
        <v>557</v>
      </c>
      <c r="C348" t="s">
        <v>428</v>
      </c>
      <c r="D348" t="s">
        <v>819</v>
      </c>
      <c r="E348" s="451">
        <v>46264</v>
      </c>
      <c r="F348" s="451">
        <v>46285</v>
      </c>
      <c r="G348" t="s">
        <v>577</v>
      </c>
      <c r="H348" t="s">
        <v>206</v>
      </c>
      <c r="J348">
        <v>-4800</v>
      </c>
      <c r="K348">
        <v>-4800</v>
      </c>
      <c r="O348" t="s">
        <v>779</v>
      </c>
      <c r="Q348" t="s">
        <v>466</v>
      </c>
      <c r="R348">
        <v>0</v>
      </c>
    </row>
    <row r="349" spans="1:18" x14ac:dyDescent="0.3">
      <c r="A349">
        <v>208531</v>
      </c>
      <c r="B349" t="s">
        <v>557</v>
      </c>
      <c r="C349" t="s">
        <v>845</v>
      </c>
      <c r="D349" t="s">
        <v>819</v>
      </c>
      <c r="E349" s="451">
        <v>46264</v>
      </c>
      <c r="F349" s="451">
        <v>46285</v>
      </c>
      <c r="G349" t="s">
        <v>577</v>
      </c>
      <c r="H349" t="s">
        <v>846</v>
      </c>
      <c r="J349">
        <v>-1700</v>
      </c>
      <c r="K349">
        <v>-1700</v>
      </c>
      <c r="O349" t="s">
        <v>779</v>
      </c>
      <c r="Q349" t="s">
        <v>466</v>
      </c>
      <c r="R349">
        <v>0</v>
      </c>
    </row>
    <row r="350" spans="1:18" x14ac:dyDescent="0.3">
      <c r="A350">
        <v>207157</v>
      </c>
      <c r="B350" t="s">
        <v>557</v>
      </c>
      <c r="C350" t="s">
        <v>429</v>
      </c>
      <c r="D350" t="s">
        <v>819</v>
      </c>
      <c r="E350" s="451">
        <v>46264</v>
      </c>
      <c r="F350" s="451">
        <v>46285</v>
      </c>
      <c r="G350" t="s">
        <v>577</v>
      </c>
      <c r="H350" t="s">
        <v>211</v>
      </c>
      <c r="I350" t="s">
        <v>848</v>
      </c>
      <c r="J350">
        <v>-10500</v>
      </c>
      <c r="K350">
        <v>-10500</v>
      </c>
      <c r="O350" t="s">
        <v>779</v>
      </c>
      <c r="Q350" t="s">
        <v>466</v>
      </c>
      <c r="R350">
        <v>0</v>
      </c>
    </row>
    <row r="351" spans="1:18" x14ac:dyDescent="0.3">
      <c r="A351">
        <v>210568</v>
      </c>
      <c r="B351" t="s">
        <v>557</v>
      </c>
      <c r="C351" t="s">
        <v>517</v>
      </c>
      <c r="D351" t="s">
        <v>819</v>
      </c>
      <c r="E351" s="451">
        <v>46264</v>
      </c>
      <c r="F351" s="451">
        <v>46290</v>
      </c>
      <c r="G351" t="s">
        <v>563</v>
      </c>
      <c r="H351" t="s">
        <v>46</v>
      </c>
      <c r="J351">
        <v>-2600</v>
      </c>
      <c r="K351">
        <v>-2600</v>
      </c>
      <c r="O351" t="s">
        <v>779</v>
      </c>
      <c r="Q351" t="s">
        <v>466</v>
      </c>
      <c r="R351">
        <v>0</v>
      </c>
    </row>
    <row r="352" spans="1:18" x14ac:dyDescent="0.3">
      <c r="A352">
        <v>197462</v>
      </c>
      <c r="B352" t="s">
        <v>557</v>
      </c>
      <c r="C352" t="s">
        <v>845</v>
      </c>
      <c r="D352" t="s">
        <v>819</v>
      </c>
      <c r="E352" s="451">
        <v>46262</v>
      </c>
      <c r="F352" s="451">
        <v>46285</v>
      </c>
      <c r="G352" t="s">
        <v>308</v>
      </c>
      <c r="H352" t="s">
        <v>309</v>
      </c>
      <c r="J352">
        <v>-50</v>
      </c>
      <c r="K352">
        <v>-50</v>
      </c>
      <c r="O352" t="s">
        <v>779</v>
      </c>
      <c r="Q352" t="s">
        <v>466</v>
      </c>
      <c r="R352">
        <v>0</v>
      </c>
    </row>
    <row r="353" spans="1:18" x14ac:dyDescent="0.3">
      <c r="A353">
        <v>197254</v>
      </c>
      <c r="B353" t="s">
        <v>557</v>
      </c>
      <c r="C353" t="s">
        <v>49</v>
      </c>
      <c r="D353" t="s">
        <v>819</v>
      </c>
      <c r="E353" s="451">
        <v>46262</v>
      </c>
      <c r="F353" s="451">
        <v>46275</v>
      </c>
      <c r="G353" t="s">
        <v>279</v>
      </c>
      <c r="H353" t="s">
        <v>283</v>
      </c>
      <c r="J353">
        <v>-100</v>
      </c>
      <c r="K353">
        <v>-100</v>
      </c>
      <c r="O353" t="s">
        <v>779</v>
      </c>
      <c r="Q353" t="s">
        <v>466</v>
      </c>
      <c r="R353">
        <v>0</v>
      </c>
    </row>
    <row r="354" spans="1:18" x14ac:dyDescent="0.3">
      <c r="A354">
        <v>32290</v>
      </c>
      <c r="B354" t="s">
        <v>557</v>
      </c>
      <c r="C354" t="s">
        <v>259</v>
      </c>
      <c r="D354" t="s">
        <v>776</v>
      </c>
      <c r="E354" s="451">
        <v>46260</v>
      </c>
      <c r="F354" s="451">
        <v>46260</v>
      </c>
      <c r="G354" t="s">
        <v>777</v>
      </c>
      <c r="H354" t="s">
        <v>368</v>
      </c>
      <c r="I354" t="s">
        <v>778</v>
      </c>
      <c r="J354">
        <v>-1520.61</v>
      </c>
      <c r="K354">
        <v>-1520.61</v>
      </c>
      <c r="O354" t="s">
        <v>787</v>
      </c>
      <c r="P354" t="s">
        <v>788</v>
      </c>
      <c r="Q354" t="s">
        <v>466</v>
      </c>
      <c r="R354">
        <v>0</v>
      </c>
    </row>
    <row r="355" spans="1:18" x14ac:dyDescent="0.3">
      <c r="A355">
        <v>32245</v>
      </c>
      <c r="B355" t="s">
        <v>557</v>
      </c>
      <c r="C355" t="s">
        <v>259</v>
      </c>
      <c r="D355" t="s">
        <v>951</v>
      </c>
      <c r="E355" s="451">
        <v>46260</v>
      </c>
      <c r="F355" s="451">
        <v>46260</v>
      </c>
      <c r="G355" t="s">
        <v>256</v>
      </c>
      <c r="H355" t="s">
        <v>259</v>
      </c>
      <c r="I355" t="s">
        <v>782</v>
      </c>
      <c r="J355">
        <v>-416.33</v>
      </c>
      <c r="K355">
        <v>-416.33</v>
      </c>
      <c r="O355" t="s">
        <v>787</v>
      </c>
      <c r="P355" t="s">
        <v>788</v>
      </c>
      <c r="Q355" t="s">
        <v>466</v>
      </c>
      <c r="R355">
        <v>0</v>
      </c>
    </row>
    <row r="356" spans="1:18" x14ac:dyDescent="0.3">
      <c r="A356">
        <v>242091</v>
      </c>
      <c r="B356" t="s">
        <v>557</v>
      </c>
      <c r="C356" t="s">
        <v>943</v>
      </c>
      <c r="D356" t="s">
        <v>819</v>
      </c>
      <c r="E356" s="451">
        <v>46258</v>
      </c>
      <c r="F356" s="451">
        <v>46268</v>
      </c>
      <c r="G356" t="s">
        <v>576</v>
      </c>
      <c r="H356" t="s">
        <v>203</v>
      </c>
      <c r="I356" t="s">
        <v>944</v>
      </c>
      <c r="J356">
        <v>-5000</v>
      </c>
      <c r="K356">
        <v>-5000</v>
      </c>
      <c r="O356" t="s">
        <v>779</v>
      </c>
      <c r="Q356" t="s">
        <v>466</v>
      </c>
      <c r="R356">
        <v>0</v>
      </c>
    </row>
    <row r="357" spans="1:18" x14ac:dyDescent="0.3">
      <c r="A357">
        <v>242081</v>
      </c>
      <c r="B357" t="s">
        <v>557</v>
      </c>
      <c r="C357" t="s">
        <v>943</v>
      </c>
      <c r="D357" t="s">
        <v>819</v>
      </c>
      <c r="E357" s="451">
        <v>46258</v>
      </c>
      <c r="F357" s="451">
        <v>46268</v>
      </c>
      <c r="G357" t="s">
        <v>576</v>
      </c>
      <c r="H357" t="s">
        <v>203</v>
      </c>
      <c r="I357" t="s">
        <v>945</v>
      </c>
      <c r="J357">
        <v>-4000</v>
      </c>
      <c r="K357">
        <v>-4000</v>
      </c>
      <c r="O357" t="s">
        <v>779</v>
      </c>
      <c r="Q357" t="s">
        <v>466</v>
      </c>
      <c r="R357">
        <v>0</v>
      </c>
    </row>
    <row r="358" spans="1:18" x14ac:dyDescent="0.3">
      <c r="A358">
        <v>242090</v>
      </c>
      <c r="B358" t="s">
        <v>557</v>
      </c>
      <c r="C358" t="s">
        <v>943</v>
      </c>
      <c r="D358" t="s">
        <v>819</v>
      </c>
      <c r="E358" s="451">
        <v>46251</v>
      </c>
      <c r="F358" s="451">
        <v>46261</v>
      </c>
      <c r="G358" t="s">
        <v>576</v>
      </c>
      <c r="H358" t="s">
        <v>203</v>
      </c>
      <c r="I358" t="s">
        <v>944</v>
      </c>
      <c r="J358">
        <v>-5000</v>
      </c>
      <c r="K358">
        <v>-5000</v>
      </c>
      <c r="O358" t="s">
        <v>779</v>
      </c>
      <c r="Q358" t="s">
        <v>466</v>
      </c>
      <c r="R358">
        <v>0</v>
      </c>
    </row>
    <row r="359" spans="1:18" x14ac:dyDescent="0.3">
      <c r="A359">
        <v>242080</v>
      </c>
      <c r="B359" t="s">
        <v>557</v>
      </c>
      <c r="C359" t="s">
        <v>943</v>
      </c>
      <c r="D359" t="s">
        <v>819</v>
      </c>
      <c r="E359" s="451">
        <v>46251</v>
      </c>
      <c r="F359" s="451">
        <v>46261</v>
      </c>
      <c r="G359" t="s">
        <v>576</v>
      </c>
      <c r="H359" t="s">
        <v>203</v>
      </c>
      <c r="I359" t="s">
        <v>945</v>
      </c>
      <c r="J359">
        <v>-4000</v>
      </c>
      <c r="K359">
        <v>-4000</v>
      </c>
      <c r="O359" t="s">
        <v>779</v>
      </c>
      <c r="Q359" t="s">
        <v>466</v>
      </c>
      <c r="R359">
        <v>0</v>
      </c>
    </row>
    <row r="360" spans="1:18" x14ac:dyDescent="0.3">
      <c r="A360">
        <v>239644</v>
      </c>
      <c r="B360" t="s">
        <v>557</v>
      </c>
      <c r="C360" t="s">
        <v>952</v>
      </c>
      <c r="D360" t="s">
        <v>819</v>
      </c>
      <c r="E360" s="451">
        <v>46251</v>
      </c>
      <c r="F360" s="451">
        <v>46272</v>
      </c>
      <c r="G360" t="s">
        <v>569</v>
      </c>
      <c r="H360" t="s">
        <v>58</v>
      </c>
      <c r="I360" t="s">
        <v>953</v>
      </c>
      <c r="J360">
        <v>-4000</v>
      </c>
      <c r="K360">
        <v>-4000</v>
      </c>
      <c r="O360" t="s">
        <v>779</v>
      </c>
      <c r="Q360" t="s">
        <v>466</v>
      </c>
      <c r="R360">
        <v>0</v>
      </c>
    </row>
    <row r="361" spans="1:18" x14ac:dyDescent="0.3">
      <c r="A361">
        <v>191804</v>
      </c>
      <c r="B361" t="s">
        <v>557</v>
      </c>
      <c r="C361" t="s">
        <v>856</v>
      </c>
      <c r="D361" t="s">
        <v>819</v>
      </c>
      <c r="E361" s="451">
        <v>46249</v>
      </c>
      <c r="F361" s="451">
        <v>46280</v>
      </c>
      <c r="G361" t="s">
        <v>264</v>
      </c>
      <c r="H361" t="s">
        <v>265</v>
      </c>
      <c r="I361" t="s">
        <v>860</v>
      </c>
      <c r="J361">
        <v>-2000</v>
      </c>
      <c r="K361">
        <v>-2000</v>
      </c>
      <c r="O361" t="s">
        <v>779</v>
      </c>
      <c r="Q361" t="s">
        <v>466</v>
      </c>
      <c r="R361">
        <v>0</v>
      </c>
    </row>
    <row r="362" spans="1:18" x14ac:dyDescent="0.3">
      <c r="A362">
        <v>191792</v>
      </c>
      <c r="B362" t="s">
        <v>557</v>
      </c>
      <c r="C362" t="s">
        <v>856</v>
      </c>
      <c r="D362" t="s">
        <v>819</v>
      </c>
      <c r="E362" s="451">
        <v>46249</v>
      </c>
      <c r="F362" s="451">
        <v>46280</v>
      </c>
      <c r="G362" t="s">
        <v>264</v>
      </c>
      <c r="H362" t="s">
        <v>265</v>
      </c>
      <c r="I362" t="s">
        <v>857</v>
      </c>
      <c r="J362">
        <v>-5000</v>
      </c>
      <c r="K362">
        <v>-5000</v>
      </c>
      <c r="O362" t="s">
        <v>779</v>
      </c>
      <c r="Q362" t="s">
        <v>466</v>
      </c>
      <c r="R362">
        <v>0</v>
      </c>
    </row>
    <row r="363" spans="1:18" x14ac:dyDescent="0.3">
      <c r="A363">
        <v>192156</v>
      </c>
      <c r="B363" t="s">
        <v>557</v>
      </c>
      <c r="C363" t="s">
        <v>858</v>
      </c>
      <c r="D363" t="s">
        <v>819</v>
      </c>
      <c r="E363" s="451">
        <v>46249</v>
      </c>
      <c r="F363" s="451">
        <v>46280</v>
      </c>
      <c r="G363" t="s">
        <v>279</v>
      </c>
      <c r="H363" t="s">
        <v>285</v>
      </c>
      <c r="I363" t="s">
        <v>859</v>
      </c>
      <c r="J363">
        <v>-389</v>
      </c>
      <c r="K363">
        <v>-389</v>
      </c>
      <c r="O363" t="s">
        <v>779</v>
      </c>
      <c r="Q363" t="s">
        <v>466</v>
      </c>
      <c r="R363">
        <v>0</v>
      </c>
    </row>
    <row r="364" spans="1:18" x14ac:dyDescent="0.3">
      <c r="A364">
        <v>191997</v>
      </c>
      <c r="B364" t="s">
        <v>557</v>
      </c>
      <c r="C364" t="s">
        <v>861</v>
      </c>
      <c r="D364" t="s">
        <v>819</v>
      </c>
      <c r="E364" s="451">
        <v>46245</v>
      </c>
      <c r="F364" s="451">
        <v>46275</v>
      </c>
      <c r="G364" t="s">
        <v>256</v>
      </c>
      <c r="H364" t="s">
        <v>257</v>
      </c>
      <c r="I364" t="s">
        <v>862</v>
      </c>
      <c r="J364">
        <v>-17308</v>
      </c>
      <c r="K364">
        <v>-17308</v>
      </c>
      <c r="O364" t="s">
        <v>779</v>
      </c>
      <c r="Q364" t="s">
        <v>466</v>
      </c>
      <c r="R364">
        <v>0</v>
      </c>
    </row>
    <row r="365" spans="1:18" x14ac:dyDescent="0.3">
      <c r="A365">
        <v>192010</v>
      </c>
      <c r="B365" t="s">
        <v>557</v>
      </c>
      <c r="C365" t="s">
        <v>863</v>
      </c>
      <c r="D365" t="s">
        <v>819</v>
      </c>
      <c r="E365" s="451">
        <v>46244</v>
      </c>
      <c r="F365" s="451">
        <v>46264</v>
      </c>
      <c r="G365" t="s">
        <v>256</v>
      </c>
      <c r="H365" t="s">
        <v>257</v>
      </c>
      <c r="I365" t="s">
        <v>864</v>
      </c>
      <c r="J365">
        <v>-27694</v>
      </c>
      <c r="K365">
        <v>-27694</v>
      </c>
      <c r="O365" t="s">
        <v>779</v>
      </c>
      <c r="Q365" t="s">
        <v>466</v>
      </c>
      <c r="R365">
        <v>0</v>
      </c>
    </row>
    <row r="366" spans="1:18" x14ac:dyDescent="0.3">
      <c r="A366">
        <v>242079</v>
      </c>
      <c r="B366" t="s">
        <v>557</v>
      </c>
      <c r="C366" t="s">
        <v>943</v>
      </c>
      <c r="D366" t="s">
        <v>819</v>
      </c>
      <c r="E366" s="451">
        <v>46244</v>
      </c>
      <c r="F366" s="451">
        <v>46254</v>
      </c>
      <c r="G366" t="s">
        <v>576</v>
      </c>
      <c r="H366" t="s">
        <v>203</v>
      </c>
      <c r="I366" t="s">
        <v>945</v>
      </c>
      <c r="J366">
        <v>-4000</v>
      </c>
      <c r="K366">
        <v>-4000</v>
      </c>
      <c r="O366" t="s">
        <v>779</v>
      </c>
      <c r="Q366" t="s">
        <v>466</v>
      </c>
      <c r="R366">
        <v>0</v>
      </c>
    </row>
    <row r="367" spans="1:18" x14ac:dyDescent="0.3">
      <c r="A367">
        <v>239643</v>
      </c>
      <c r="B367" t="s">
        <v>557</v>
      </c>
      <c r="C367" t="s">
        <v>952</v>
      </c>
      <c r="D367" t="s">
        <v>819</v>
      </c>
      <c r="E367" s="451">
        <v>46244</v>
      </c>
      <c r="F367" s="451">
        <v>46265</v>
      </c>
      <c r="G367" t="s">
        <v>569</v>
      </c>
      <c r="H367" t="s">
        <v>58</v>
      </c>
      <c r="I367" t="s">
        <v>953</v>
      </c>
      <c r="J367">
        <v>-4000</v>
      </c>
      <c r="K367">
        <v>-4000</v>
      </c>
      <c r="O367" t="s">
        <v>779</v>
      </c>
      <c r="Q367" t="s">
        <v>466</v>
      </c>
      <c r="R367">
        <v>0</v>
      </c>
    </row>
    <row r="368" spans="1:18" x14ac:dyDescent="0.3">
      <c r="A368">
        <v>242089</v>
      </c>
      <c r="B368" t="s">
        <v>557</v>
      </c>
      <c r="C368" t="s">
        <v>943</v>
      </c>
      <c r="D368" t="s">
        <v>819</v>
      </c>
      <c r="E368" s="451">
        <v>46244</v>
      </c>
      <c r="F368" s="451">
        <v>46254</v>
      </c>
      <c r="G368" t="s">
        <v>576</v>
      </c>
      <c r="H368" t="s">
        <v>203</v>
      </c>
      <c r="I368" t="s">
        <v>944</v>
      </c>
      <c r="J368">
        <v>-5000</v>
      </c>
      <c r="K368">
        <v>-5000</v>
      </c>
      <c r="O368" t="s">
        <v>779</v>
      </c>
      <c r="Q368" t="s">
        <v>466</v>
      </c>
      <c r="R368">
        <v>0</v>
      </c>
    </row>
    <row r="369" spans="1:18" x14ac:dyDescent="0.3">
      <c r="A369">
        <v>237270</v>
      </c>
      <c r="B369" t="s">
        <v>557</v>
      </c>
      <c r="C369" t="s">
        <v>259</v>
      </c>
      <c r="D369" t="s">
        <v>954</v>
      </c>
      <c r="E369" s="451">
        <v>46242</v>
      </c>
      <c r="F369" s="451">
        <v>46264</v>
      </c>
      <c r="G369" t="s">
        <v>777</v>
      </c>
      <c r="H369" t="s">
        <v>368</v>
      </c>
      <c r="I369" t="s">
        <v>813</v>
      </c>
      <c r="J369">
        <v>-1356.39</v>
      </c>
      <c r="K369">
        <v>-1356.39</v>
      </c>
      <c r="O369" t="s">
        <v>779</v>
      </c>
      <c r="Q369" t="s">
        <v>466</v>
      </c>
      <c r="R369">
        <v>0</v>
      </c>
    </row>
    <row r="370" spans="1:18" x14ac:dyDescent="0.3">
      <c r="A370">
        <v>237282</v>
      </c>
      <c r="B370" t="s">
        <v>557</v>
      </c>
      <c r="C370" t="s">
        <v>259</v>
      </c>
      <c r="D370" t="s">
        <v>954</v>
      </c>
      <c r="E370" s="451">
        <v>46242</v>
      </c>
      <c r="F370" s="451">
        <v>46264</v>
      </c>
      <c r="G370" t="s">
        <v>777</v>
      </c>
      <c r="H370" t="s">
        <v>368</v>
      </c>
      <c r="I370" t="s">
        <v>805</v>
      </c>
      <c r="J370">
        <v>-4322.5600000000004</v>
      </c>
      <c r="K370">
        <v>-4322.5600000000004</v>
      </c>
      <c r="O370" t="s">
        <v>779</v>
      </c>
      <c r="Q370" t="s">
        <v>466</v>
      </c>
      <c r="R370">
        <v>0</v>
      </c>
    </row>
    <row r="371" spans="1:18" x14ac:dyDescent="0.3">
      <c r="A371">
        <v>242078</v>
      </c>
      <c r="B371" t="s">
        <v>557</v>
      </c>
      <c r="C371" t="s">
        <v>943</v>
      </c>
      <c r="D371" t="s">
        <v>819</v>
      </c>
      <c r="E371" s="451">
        <v>46237</v>
      </c>
      <c r="F371" s="451">
        <v>46247</v>
      </c>
      <c r="G371" t="s">
        <v>576</v>
      </c>
      <c r="H371" t="s">
        <v>203</v>
      </c>
      <c r="I371" t="s">
        <v>945</v>
      </c>
      <c r="J371">
        <v>-4000</v>
      </c>
      <c r="K371">
        <v>-4000</v>
      </c>
      <c r="O371" t="s">
        <v>779</v>
      </c>
      <c r="Q371" t="s">
        <v>466</v>
      </c>
      <c r="R371">
        <v>0</v>
      </c>
    </row>
    <row r="372" spans="1:18" x14ac:dyDescent="0.3">
      <c r="A372">
        <v>239642</v>
      </c>
      <c r="B372" t="s">
        <v>557</v>
      </c>
      <c r="C372" t="s">
        <v>952</v>
      </c>
      <c r="D372" t="s">
        <v>819</v>
      </c>
      <c r="E372" s="451">
        <v>46237</v>
      </c>
      <c r="F372" s="451">
        <v>46258</v>
      </c>
      <c r="G372" t="s">
        <v>569</v>
      </c>
      <c r="H372" t="s">
        <v>58</v>
      </c>
      <c r="I372" t="s">
        <v>953</v>
      </c>
      <c r="J372">
        <v>-4000</v>
      </c>
      <c r="K372">
        <v>-4000</v>
      </c>
      <c r="O372" t="s">
        <v>779</v>
      </c>
      <c r="Q372" t="s">
        <v>466</v>
      </c>
      <c r="R372">
        <v>0</v>
      </c>
    </row>
    <row r="373" spans="1:18" x14ac:dyDescent="0.3">
      <c r="A373">
        <v>242088</v>
      </c>
      <c r="B373" t="s">
        <v>557</v>
      </c>
      <c r="C373" t="s">
        <v>943</v>
      </c>
      <c r="D373" t="s">
        <v>819</v>
      </c>
      <c r="E373" s="451">
        <v>46237</v>
      </c>
      <c r="F373" s="451">
        <v>46247</v>
      </c>
      <c r="G373" t="s">
        <v>576</v>
      </c>
      <c r="H373" t="s">
        <v>203</v>
      </c>
      <c r="I373" t="s">
        <v>944</v>
      </c>
      <c r="J373">
        <v>-5000</v>
      </c>
      <c r="K373">
        <v>-5000</v>
      </c>
      <c r="O373" t="s">
        <v>779</v>
      </c>
      <c r="Q373" t="s">
        <v>466</v>
      </c>
      <c r="R373">
        <v>0</v>
      </c>
    </row>
    <row r="374" spans="1:18" x14ac:dyDescent="0.3">
      <c r="A374">
        <v>227692</v>
      </c>
      <c r="B374" t="s">
        <v>557</v>
      </c>
      <c r="C374" t="s">
        <v>947</v>
      </c>
      <c r="D374" t="s">
        <v>948</v>
      </c>
      <c r="E374" s="451">
        <v>46235</v>
      </c>
      <c r="F374" s="451">
        <v>46242</v>
      </c>
      <c r="G374" t="s">
        <v>279</v>
      </c>
      <c r="H374" t="s">
        <v>283</v>
      </c>
      <c r="I374" t="s">
        <v>955</v>
      </c>
      <c r="J374">
        <v>-536.73</v>
      </c>
      <c r="K374">
        <v>-536.73</v>
      </c>
      <c r="O374" t="s">
        <v>787</v>
      </c>
      <c r="Q374" t="s">
        <v>466</v>
      </c>
      <c r="R374">
        <v>0</v>
      </c>
    </row>
    <row r="375" spans="1:18" x14ac:dyDescent="0.3">
      <c r="A375">
        <v>227731</v>
      </c>
      <c r="B375" t="s">
        <v>557</v>
      </c>
      <c r="C375" t="s">
        <v>868</v>
      </c>
      <c r="D375" t="s">
        <v>819</v>
      </c>
      <c r="E375" s="451">
        <v>46235</v>
      </c>
      <c r="F375" s="451">
        <v>46270</v>
      </c>
      <c r="G375" t="s">
        <v>279</v>
      </c>
      <c r="H375" t="s">
        <v>286</v>
      </c>
      <c r="I375" t="s">
        <v>869</v>
      </c>
      <c r="J375">
        <v>-436.5</v>
      </c>
      <c r="K375">
        <v>-436.5</v>
      </c>
      <c r="O375" t="s">
        <v>779</v>
      </c>
      <c r="Q375" t="s">
        <v>466</v>
      </c>
      <c r="R375">
        <v>0</v>
      </c>
    </row>
    <row r="376" spans="1:18" x14ac:dyDescent="0.3">
      <c r="A376">
        <v>220634</v>
      </c>
      <c r="B376" t="s">
        <v>557</v>
      </c>
      <c r="C376" t="s">
        <v>866</v>
      </c>
      <c r="D376" t="s">
        <v>819</v>
      </c>
      <c r="E376" s="451">
        <v>46235</v>
      </c>
      <c r="F376" s="451">
        <v>46244</v>
      </c>
      <c r="G376" t="s">
        <v>578</v>
      </c>
      <c r="H376" t="s">
        <v>240</v>
      </c>
      <c r="I376" t="s">
        <v>867</v>
      </c>
      <c r="J376">
        <v>-1545.49</v>
      </c>
      <c r="K376">
        <v>0</v>
      </c>
      <c r="O376" t="s">
        <v>787</v>
      </c>
      <c r="Q376" t="s">
        <v>466</v>
      </c>
      <c r="R376">
        <v>0</v>
      </c>
    </row>
    <row r="377" spans="1:18" x14ac:dyDescent="0.3">
      <c r="A377">
        <v>219489</v>
      </c>
      <c r="B377" t="s">
        <v>557</v>
      </c>
      <c r="C377" t="s">
        <v>259</v>
      </c>
      <c r="D377" t="s">
        <v>956</v>
      </c>
      <c r="E377" s="451">
        <v>46235</v>
      </c>
      <c r="F377" s="451">
        <v>46249</v>
      </c>
      <c r="G377" t="s">
        <v>256</v>
      </c>
      <c r="H377" t="s">
        <v>259</v>
      </c>
      <c r="I377" t="s">
        <v>931</v>
      </c>
      <c r="J377">
        <v>-2086.58</v>
      </c>
      <c r="K377">
        <v>-2086.58</v>
      </c>
      <c r="O377" t="s">
        <v>779</v>
      </c>
      <c r="Q377" t="s">
        <v>466</v>
      </c>
      <c r="R377">
        <v>0</v>
      </c>
    </row>
    <row r="378" spans="1:18" x14ac:dyDescent="0.3">
      <c r="A378">
        <v>212756</v>
      </c>
      <c r="B378" t="s">
        <v>557</v>
      </c>
      <c r="C378" t="s">
        <v>818</v>
      </c>
      <c r="D378" t="s">
        <v>819</v>
      </c>
      <c r="E378" s="451">
        <v>46235</v>
      </c>
      <c r="F378" s="451">
        <v>46280</v>
      </c>
      <c r="G378" t="s">
        <v>570</v>
      </c>
      <c r="H378" t="s">
        <v>573</v>
      </c>
      <c r="I378" t="s">
        <v>820</v>
      </c>
      <c r="J378">
        <v>-2000</v>
      </c>
      <c r="K378">
        <v>-2000</v>
      </c>
      <c r="M378" t="s">
        <v>821</v>
      </c>
      <c r="N378" t="s">
        <v>133</v>
      </c>
      <c r="O378" t="s">
        <v>779</v>
      </c>
      <c r="Q378" t="s">
        <v>466</v>
      </c>
      <c r="R378">
        <v>0</v>
      </c>
    </row>
    <row r="379" spans="1:18" x14ac:dyDescent="0.3">
      <c r="A379">
        <v>219496</v>
      </c>
      <c r="B379" t="s">
        <v>557</v>
      </c>
      <c r="C379" t="s">
        <v>259</v>
      </c>
      <c r="D379" t="s">
        <v>956</v>
      </c>
      <c r="E379" s="451">
        <v>46235</v>
      </c>
      <c r="F379" s="451">
        <v>46260</v>
      </c>
      <c r="G379" t="s">
        <v>256</v>
      </c>
      <c r="H379" t="s">
        <v>259</v>
      </c>
      <c r="I379" t="s">
        <v>930</v>
      </c>
      <c r="J379">
        <v>-1611.52</v>
      </c>
      <c r="K379">
        <v>-1611.52</v>
      </c>
      <c r="O379" t="s">
        <v>779</v>
      </c>
      <c r="Q379" t="s">
        <v>466</v>
      </c>
      <c r="R379">
        <v>0</v>
      </c>
    </row>
    <row r="380" spans="1:18" x14ac:dyDescent="0.3">
      <c r="A380">
        <v>212744</v>
      </c>
      <c r="B380" t="s">
        <v>557</v>
      </c>
      <c r="C380" t="s">
        <v>818</v>
      </c>
      <c r="D380" t="s">
        <v>819</v>
      </c>
      <c r="E380" s="451">
        <v>46235</v>
      </c>
      <c r="F380" s="451">
        <v>46266</v>
      </c>
      <c r="G380" t="s">
        <v>570</v>
      </c>
      <c r="H380" t="s">
        <v>573</v>
      </c>
      <c r="I380" t="s">
        <v>822</v>
      </c>
      <c r="J380">
        <v>-2000</v>
      </c>
      <c r="K380">
        <v>-2000</v>
      </c>
      <c r="M380" t="s">
        <v>821</v>
      </c>
      <c r="N380" t="s">
        <v>133</v>
      </c>
      <c r="O380" t="s">
        <v>779</v>
      </c>
      <c r="Q380" t="s">
        <v>466</v>
      </c>
      <c r="R380">
        <v>0</v>
      </c>
    </row>
    <row r="381" spans="1:18" x14ac:dyDescent="0.3">
      <c r="A381">
        <v>192504</v>
      </c>
      <c r="B381" t="s">
        <v>557</v>
      </c>
      <c r="C381" t="s">
        <v>936</v>
      </c>
      <c r="D381" t="s">
        <v>819</v>
      </c>
      <c r="E381" s="451">
        <v>46235</v>
      </c>
      <c r="F381" s="451">
        <v>46254</v>
      </c>
      <c r="G381" t="s">
        <v>318</v>
      </c>
      <c r="H381" t="s">
        <v>319</v>
      </c>
      <c r="I381" t="s">
        <v>937</v>
      </c>
      <c r="J381">
        <v>-1295</v>
      </c>
      <c r="K381">
        <v>-1295</v>
      </c>
      <c r="O381" t="s">
        <v>779</v>
      </c>
      <c r="Q381" t="s">
        <v>466</v>
      </c>
      <c r="R381">
        <v>0</v>
      </c>
    </row>
    <row r="382" spans="1:18" x14ac:dyDescent="0.3">
      <c r="A382">
        <v>191755</v>
      </c>
      <c r="B382" t="s">
        <v>557</v>
      </c>
      <c r="C382" t="s">
        <v>895</v>
      </c>
      <c r="D382" t="s">
        <v>819</v>
      </c>
      <c r="E382" s="451">
        <v>46235</v>
      </c>
      <c r="F382" s="451">
        <v>46249</v>
      </c>
      <c r="G382" t="s">
        <v>308</v>
      </c>
      <c r="H382" t="s">
        <v>309</v>
      </c>
      <c r="I382" t="s">
        <v>897</v>
      </c>
      <c r="J382">
        <v>-2200</v>
      </c>
      <c r="K382">
        <v>-2200</v>
      </c>
      <c r="O382" t="s">
        <v>779</v>
      </c>
      <c r="Q382" t="s">
        <v>466</v>
      </c>
      <c r="R382">
        <v>0</v>
      </c>
    </row>
    <row r="383" spans="1:18" x14ac:dyDescent="0.3">
      <c r="A383">
        <v>192960</v>
      </c>
      <c r="B383" t="s">
        <v>557</v>
      </c>
      <c r="C383" t="s">
        <v>903</v>
      </c>
      <c r="D383" t="s">
        <v>819</v>
      </c>
      <c r="E383" s="451">
        <v>46235</v>
      </c>
      <c r="F383" s="451">
        <v>46270</v>
      </c>
      <c r="G383" t="s">
        <v>279</v>
      </c>
      <c r="H383" t="s">
        <v>283</v>
      </c>
      <c r="I383" t="s">
        <v>904</v>
      </c>
      <c r="J383">
        <v>-293.93</v>
      </c>
      <c r="K383">
        <v>-293.93</v>
      </c>
      <c r="O383" t="s">
        <v>779</v>
      </c>
      <c r="Q383" t="s">
        <v>466</v>
      </c>
      <c r="R383">
        <v>0</v>
      </c>
    </row>
    <row r="384" spans="1:18" x14ac:dyDescent="0.3">
      <c r="A384">
        <v>200558</v>
      </c>
      <c r="B384" t="s">
        <v>557</v>
      </c>
      <c r="C384" t="s">
        <v>884</v>
      </c>
      <c r="D384" t="s">
        <v>819</v>
      </c>
      <c r="E384" s="451">
        <v>46235</v>
      </c>
      <c r="F384" s="451">
        <v>46266</v>
      </c>
      <c r="G384" t="s">
        <v>570</v>
      </c>
      <c r="H384" t="s">
        <v>573</v>
      </c>
      <c r="I384" t="s">
        <v>880</v>
      </c>
      <c r="J384">
        <v>-1750</v>
      </c>
      <c r="K384">
        <v>-1750</v>
      </c>
      <c r="M384" t="s">
        <v>885</v>
      </c>
      <c r="N384" t="s">
        <v>134</v>
      </c>
      <c r="O384" t="s">
        <v>779</v>
      </c>
      <c r="Q384" t="s">
        <v>466</v>
      </c>
      <c r="R384">
        <v>0</v>
      </c>
    </row>
    <row r="385" spans="1:18" x14ac:dyDescent="0.3">
      <c r="A385">
        <v>192167</v>
      </c>
      <c r="B385" t="s">
        <v>557</v>
      </c>
      <c r="C385" t="s">
        <v>932</v>
      </c>
      <c r="D385" t="s">
        <v>819</v>
      </c>
      <c r="E385" s="451">
        <v>46235</v>
      </c>
      <c r="F385" s="451">
        <v>46249</v>
      </c>
      <c r="G385" t="s">
        <v>264</v>
      </c>
      <c r="H385" t="s">
        <v>270</v>
      </c>
      <c r="I385" t="s">
        <v>933</v>
      </c>
      <c r="J385">
        <v>-550</v>
      </c>
      <c r="K385">
        <v>-550</v>
      </c>
      <c r="O385" t="s">
        <v>779</v>
      </c>
      <c r="Q385" t="s">
        <v>466</v>
      </c>
      <c r="R385">
        <v>0</v>
      </c>
    </row>
    <row r="386" spans="1:18" x14ac:dyDescent="0.3">
      <c r="A386">
        <v>191852</v>
      </c>
      <c r="B386" t="s">
        <v>557</v>
      </c>
      <c r="C386" t="s">
        <v>898</v>
      </c>
      <c r="D386" t="s">
        <v>819</v>
      </c>
      <c r="E386" s="451">
        <v>46235</v>
      </c>
      <c r="F386" s="451">
        <v>46267</v>
      </c>
      <c r="G386" t="s">
        <v>279</v>
      </c>
      <c r="H386" t="s">
        <v>281</v>
      </c>
      <c r="I386" t="s">
        <v>899</v>
      </c>
      <c r="J386">
        <v>-400</v>
      </c>
      <c r="K386">
        <v>-400</v>
      </c>
      <c r="O386" t="s">
        <v>779</v>
      </c>
      <c r="Q386" t="s">
        <v>466</v>
      </c>
      <c r="R386">
        <v>0</v>
      </c>
    </row>
    <row r="387" spans="1:18" x14ac:dyDescent="0.3">
      <c r="A387">
        <v>192574</v>
      </c>
      <c r="B387" t="s">
        <v>557</v>
      </c>
      <c r="C387" t="s">
        <v>830</v>
      </c>
      <c r="D387" t="s">
        <v>819</v>
      </c>
      <c r="E387" s="451">
        <v>46235</v>
      </c>
      <c r="F387" s="451">
        <v>46254</v>
      </c>
      <c r="G387" t="s">
        <v>264</v>
      </c>
      <c r="H387" t="s">
        <v>276</v>
      </c>
      <c r="I387" t="s">
        <v>831</v>
      </c>
      <c r="J387">
        <v>-1600</v>
      </c>
      <c r="K387">
        <v>-1600</v>
      </c>
      <c r="O387" t="s">
        <v>779</v>
      </c>
      <c r="Q387" t="s">
        <v>466</v>
      </c>
      <c r="R387">
        <v>0</v>
      </c>
    </row>
    <row r="388" spans="1:18" x14ac:dyDescent="0.3">
      <c r="A388">
        <v>192132</v>
      </c>
      <c r="B388" t="s">
        <v>557</v>
      </c>
      <c r="C388" t="s">
        <v>909</v>
      </c>
      <c r="D388" t="s">
        <v>819</v>
      </c>
      <c r="E388" s="451">
        <v>46235</v>
      </c>
      <c r="F388" s="451">
        <v>46254</v>
      </c>
      <c r="G388" t="s">
        <v>308</v>
      </c>
      <c r="H388" t="s">
        <v>311</v>
      </c>
      <c r="I388" t="s">
        <v>910</v>
      </c>
      <c r="J388">
        <v>-300</v>
      </c>
      <c r="K388">
        <v>-300</v>
      </c>
      <c r="O388" t="s">
        <v>779</v>
      </c>
      <c r="Q388" t="s">
        <v>466</v>
      </c>
      <c r="R388">
        <v>0</v>
      </c>
    </row>
    <row r="389" spans="1:18" x14ac:dyDescent="0.3">
      <c r="A389">
        <v>196303</v>
      </c>
      <c r="B389" t="s">
        <v>557</v>
      </c>
      <c r="C389" t="s">
        <v>834</v>
      </c>
      <c r="D389" t="s">
        <v>819</v>
      </c>
      <c r="E389" s="451">
        <v>46235</v>
      </c>
      <c r="F389" s="451">
        <v>46231</v>
      </c>
      <c r="G389" t="s">
        <v>578</v>
      </c>
      <c r="H389" t="s">
        <v>239</v>
      </c>
      <c r="I389" t="s">
        <v>835</v>
      </c>
      <c r="J389">
        <v>-8000</v>
      </c>
      <c r="K389">
        <v>-8000</v>
      </c>
      <c r="O389" t="s">
        <v>779</v>
      </c>
      <c r="Q389" t="s">
        <v>466</v>
      </c>
      <c r="R389">
        <v>0</v>
      </c>
    </row>
    <row r="390" spans="1:18" x14ac:dyDescent="0.3">
      <c r="A390">
        <v>192947</v>
      </c>
      <c r="B390" t="s">
        <v>557</v>
      </c>
      <c r="C390" t="s">
        <v>921</v>
      </c>
      <c r="D390" t="s">
        <v>819</v>
      </c>
      <c r="E390" s="451">
        <v>46235</v>
      </c>
      <c r="F390" s="451">
        <v>46270</v>
      </c>
      <c r="G390" t="s">
        <v>296</v>
      </c>
      <c r="H390" t="s">
        <v>301</v>
      </c>
      <c r="I390" t="s">
        <v>922</v>
      </c>
      <c r="J390">
        <v>-1500</v>
      </c>
      <c r="K390">
        <v>-1500</v>
      </c>
      <c r="O390" t="s">
        <v>779</v>
      </c>
      <c r="Q390" t="s">
        <v>466</v>
      </c>
      <c r="R390">
        <v>0</v>
      </c>
    </row>
    <row r="391" spans="1:18" x14ac:dyDescent="0.3">
      <c r="A391">
        <v>200570</v>
      </c>
      <c r="B391" t="s">
        <v>557</v>
      </c>
      <c r="C391" t="s">
        <v>882</v>
      </c>
      <c r="D391" t="s">
        <v>819</v>
      </c>
      <c r="E391" s="451">
        <v>46235</v>
      </c>
      <c r="F391" s="451">
        <v>46266</v>
      </c>
      <c r="G391" t="s">
        <v>570</v>
      </c>
      <c r="H391" t="s">
        <v>573</v>
      </c>
      <c r="I391" t="s">
        <v>880</v>
      </c>
      <c r="J391">
        <v>-3250</v>
      </c>
      <c r="K391">
        <v>-3250</v>
      </c>
      <c r="M391" t="s">
        <v>883</v>
      </c>
      <c r="N391" t="s">
        <v>135</v>
      </c>
      <c r="O391" t="s">
        <v>779</v>
      </c>
      <c r="Q391" t="s">
        <v>466</v>
      </c>
      <c r="R391">
        <v>0</v>
      </c>
    </row>
    <row r="392" spans="1:18" x14ac:dyDescent="0.3">
      <c r="A392">
        <v>200582</v>
      </c>
      <c r="B392" t="s">
        <v>557</v>
      </c>
      <c r="C392" t="s">
        <v>882</v>
      </c>
      <c r="D392" t="s">
        <v>819</v>
      </c>
      <c r="E392" s="451">
        <v>46235</v>
      </c>
      <c r="F392" s="451">
        <v>46280</v>
      </c>
      <c r="G392" t="s">
        <v>570</v>
      </c>
      <c r="H392" t="s">
        <v>573</v>
      </c>
      <c r="I392" t="s">
        <v>880</v>
      </c>
      <c r="J392">
        <v>-3250</v>
      </c>
      <c r="K392">
        <v>-3250</v>
      </c>
      <c r="M392" t="s">
        <v>883</v>
      </c>
      <c r="N392" t="s">
        <v>135</v>
      </c>
      <c r="O392" t="s">
        <v>779</v>
      </c>
      <c r="Q392" t="s">
        <v>466</v>
      </c>
      <c r="R392">
        <v>0</v>
      </c>
    </row>
    <row r="393" spans="1:18" x14ac:dyDescent="0.3">
      <c r="A393">
        <v>192516</v>
      </c>
      <c r="B393" t="s">
        <v>557</v>
      </c>
      <c r="C393" t="s">
        <v>836</v>
      </c>
      <c r="D393" t="s">
        <v>819</v>
      </c>
      <c r="E393" s="451">
        <v>46235</v>
      </c>
      <c r="F393" s="451">
        <v>46255</v>
      </c>
      <c r="G393" t="s">
        <v>318</v>
      </c>
      <c r="H393" t="s">
        <v>319</v>
      </c>
      <c r="I393" t="s">
        <v>837</v>
      </c>
      <c r="J393">
        <v>-500</v>
      </c>
      <c r="K393">
        <v>-500</v>
      </c>
      <c r="O393" t="s">
        <v>779</v>
      </c>
      <c r="Q393" t="s">
        <v>466</v>
      </c>
      <c r="R393">
        <v>0</v>
      </c>
    </row>
    <row r="394" spans="1:18" x14ac:dyDescent="0.3">
      <c r="A394">
        <v>191839</v>
      </c>
      <c r="B394" t="s">
        <v>557</v>
      </c>
      <c r="C394" t="s">
        <v>838</v>
      </c>
      <c r="D394" t="s">
        <v>819</v>
      </c>
      <c r="E394" s="451">
        <v>46235</v>
      </c>
      <c r="F394" s="451">
        <v>46244</v>
      </c>
      <c r="G394" t="s">
        <v>264</v>
      </c>
      <c r="H394" t="s">
        <v>267</v>
      </c>
      <c r="I394" t="s">
        <v>839</v>
      </c>
      <c r="J394">
        <v>-8000</v>
      </c>
      <c r="K394">
        <v>-8000</v>
      </c>
      <c r="O394" t="s">
        <v>779</v>
      </c>
      <c r="Q394" t="s">
        <v>466</v>
      </c>
      <c r="R394">
        <v>0</v>
      </c>
    </row>
    <row r="395" spans="1:18" x14ac:dyDescent="0.3">
      <c r="A395">
        <v>193006</v>
      </c>
      <c r="B395" t="s">
        <v>557</v>
      </c>
      <c r="C395" t="s">
        <v>925</v>
      </c>
      <c r="D395" t="s">
        <v>819</v>
      </c>
      <c r="E395" s="451">
        <v>46235</v>
      </c>
      <c r="F395" s="451">
        <v>46270</v>
      </c>
      <c r="G395" t="s">
        <v>279</v>
      </c>
      <c r="H395" t="s">
        <v>282</v>
      </c>
      <c r="I395" t="s">
        <v>926</v>
      </c>
      <c r="J395">
        <v>-40.9</v>
      </c>
      <c r="K395">
        <v>-40.9</v>
      </c>
      <c r="O395" t="s">
        <v>779</v>
      </c>
      <c r="Q395" t="s">
        <v>466</v>
      </c>
      <c r="R395">
        <v>0</v>
      </c>
    </row>
    <row r="396" spans="1:18" x14ac:dyDescent="0.3">
      <c r="A396">
        <v>192391</v>
      </c>
      <c r="B396" t="s">
        <v>557</v>
      </c>
      <c r="C396" t="s">
        <v>905</v>
      </c>
      <c r="D396" t="s">
        <v>819</v>
      </c>
      <c r="E396" s="451">
        <v>46235</v>
      </c>
      <c r="F396" s="451">
        <v>46277</v>
      </c>
      <c r="G396" t="s">
        <v>296</v>
      </c>
      <c r="H396" t="s">
        <v>298</v>
      </c>
      <c r="I396" t="s">
        <v>906</v>
      </c>
      <c r="J396">
        <v>-500</v>
      </c>
      <c r="K396">
        <v>-500</v>
      </c>
      <c r="O396" t="s">
        <v>779</v>
      </c>
      <c r="Q396" t="s">
        <v>466</v>
      </c>
      <c r="R396">
        <v>0</v>
      </c>
    </row>
    <row r="397" spans="1:18" x14ac:dyDescent="0.3">
      <c r="A397">
        <v>191983</v>
      </c>
      <c r="B397" t="s">
        <v>557</v>
      </c>
      <c r="C397" t="s">
        <v>832</v>
      </c>
      <c r="D397" t="s">
        <v>819</v>
      </c>
      <c r="E397" s="451">
        <v>46235</v>
      </c>
      <c r="F397" s="451">
        <v>46254</v>
      </c>
      <c r="G397" t="s">
        <v>264</v>
      </c>
      <c r="H397" t="s">
        <v>271</v>
      </c>
      <c r="I397" t="s">
        <v>833</v>
      </c>
      <c r="J397">
        <v>-1500</v>
      </c>
      <c r="K397">
        <v>-1500</v>
      </c>
      <c r="O397" t="s">
        <v>779</v>
      </c>
      <c r="Q397" t="s">
        <v>466</v>
      </c>
      <c r="R397">
        <v>0</v>
      </c>
    </row>
    <row r="398" spans="1:18" x14ac:dyDescent="0.3">
      <c r="A398">
        <v>200533</v>
      </c>
      <c r="B398" t="s">
        <v>557</v>
      </c>
      <c r="C398" t="s">
        <v>886</v>
      </c>
      <c r="D398" t="s">
        <v>819</v>
      </c>
      <c r="E398" s="451">
        <v>46235</v>
      </c>
      <c r="F398" s="451">
        <v>46266</v>
      </c>
      <c r="G398" t="s">
        <v>570</v>
      </c>
      <c r="H398" t="s">
        <v>573</v>
      </c>
      <c r="I398" t="s">
        <v>880</v>
      </c>
      <c r="J398">
        <v>-3300</v>
      </c>
      <c r="K398">
        <v>-3300</v>
      </c>
      <c r="M398" t="s">
        <v>887</v>
      </c>
      <c r="N398" t="s">
        <v>131</v>
      </c>
      <c r="O398" t="s">
        <v>779</v>
      </c>
      <c r="Q398" t="s">
        <v>466</v>
      </c>
      <c r="R398">
        <v>0</v>
      </c>
    </row>
    <row r="399" spans="1:18" x14ac:dyDescent="0.3">
      <c r="A399">
        <v>192354</v>
      </c>
      <c r="B399" t="s">
        <v>557</v>
      </c>
      <c r="C399" t="s">
        <v>911</v>
      </c>
      <c r="D399" t="s">
        <v>819</v>
      </c>
      <c r="E399" s="451">
        <v>46235</v>
      </c>
      <c r="F399" s="451">
        <v>46244</v>
      </c>
      <c r="G399" t="s">
        <v>279</v>
      </c>
      <c r="H399" t="s">
        <v>281</v>
      </c>
      <c r="I399" t="s">
        <v>912</v>
      </c>
      <c r="J399">
        <v>-299.99</v>
      </c>
      <c r="K399">
        <v>-299.99</v>
      </c>
      <c r="O399" t="s">
        <v>779</v>
      </c>
      <c r="Q399" t="s">
        <v>466</v>
      </c>
      <c r="R399">
        <v>0</v>
      </c>
    </row>
    <row r="400" spans="1:18" x14ac:dyDescent="0.3">
      <c r="A400">
        <v>204924</v>
      </c>
      <c r="B400" t="s">
        <v>557</v>
      </c>
      <c r="C400" t="s">
        <v>842</v>
      </c>
      <c r="D400" t="s">
        <v>819</v>
      </c>
      <c r="E400" s="451">
        <v>46235</v>
      </c>
      <c r="F400" s="451">
        <v>46262</v>
      </c>
      <c r="G400" t="s">
        <v>578</v>
      </c>
      <c r="H400" t="s">
        <v>242</v>
      </c>
      <c r="I400" t="s">
        <v>843</v>
      </c>
      <c r="J400">
        <v>-300</v>
      </c>
      <c r="K400">
        <v>-300</v>
      </c>
      <c r="O400" t="s">
        <v>779</v>
      </c>
      <c r="Q400" t="s">
        <v>466</v>
      </c>
      <c r="R400">
        <v>0</v>
      </c>
    </row>
    <row r="401" spans="1:18" x14ac:dyDescent="0.3">
      <c r="A401">
        <v>196327</v>
      </c>
      <c r="B401" t="s">
        <v>557</v>
      </c>
      <c r="C401" t="s">
        <v>834</v>
      </c>
      <c r="D401" t="s">
        <v>819</v>
      </c>
      <c r="E401" s="451">
        <v>46235</v>
      </c>
      <c r="F401" s="451">
        <v>46229</v>
      </c>
      <c r="G401" t="s">
        <v>578</v>
      </c>
      <c r="H401" t="s">
        <v>239</v>
      </c>
      <c r="I401" t="s">
        <v>844</v>
      </c>
      <c r="J401">
        <v>-1500</v>
      </c>
      <c r="K401">
        <v>-1500</v>
      </c>
      <c r="O401" t="s">
        <v>779</v>
      </c>
      <c r="Q401" t="s">
        <v>466</v>
      </c>
      <c r="R401">
        <v>0</v>
      </c>
    </row>
    <row r="402" spans="1:18" x14ac:dyDescent="0.3">
      <c r="A402">
        <v>191888</v>
      </c>
      <c r="B402" t="s">
        <v>557</v>
      </c>
      <c r="C402" t="s">
        <v>900</v>
      </c>
      <c r="D402" t="s">
        <v>819</v>
      </c>
      <c r="E402" s="451">
        <v>46235</v>
      </c>
      <c r="F402" s="451">
        <v>46270</v>
      </c>
      <c r="G402" t="s">
        <v>264</v>
      </c>
      <c r="H402" t="s">
        <v>266</v>
      </c>
      <c r="I402" t="s">
        <v>901</v>
      </c>
      <c r="J402">
        <v>-15000</v>
      </c>
      <c r="K402">
        <v>-15000</v>
      </c>
      <c r="O402" t="s">
        <v>779</v>
      </c>
      <c r="Q402" t="s">
        <v>466</v>
      </c>
      <c r="R402">
        <v>0</v>
      </c>
    </row>
    <row r="403" spans="1:18" x14ac:dyDescent="0.3">
      <c r="A403">
        <v>200455</v>
      </c>
      <c r="B403" t="s">
        <v>557</v>
      </c>
      <c r="C403" t="s">
        <v>879</v>
      </c>
      <c r="D403" t="s">
        <v>819</v>
      </c>
      <c r="E403" s="451">
        <v>46235</v>
      </c>
      <c r="F403" s="451">
        <v>46280</v>
      </c>
      <c r="G403" t="s">
        <v>570</v>
      </c>
      <c r="H403" t="s">
        <v>573</v>
      </c>
      <c r="I403" t="s">
        <v>880</v>
      </c>
      <c r="J403">
        <v>-2000</v>
      </c>
      <c r="K403">
        <v>-2000</v>
      </c>
      <c r="M403" t="s">
        <v>881</v>
      </c>
      <c r="N403" t="s">
        <v>73</v>
      </c>
      <c r="O403" t="s">
        <v>779</v>
      </c>
      <c r="Q403" t="s">
        <v>466</v>
      </c>
      <c r="R403">
        <v>0</v>
      </c>
    </row>
    <row r="404" spans="1:18" x14ac:dyDescent="0.3">
      <c r="A404">
        <v>192417</v>
      </c>
      <c r="B404" t="s">
        <v>557</v>
      </c>
      <c r="C404" t="s">
        <v>923</v>
      </c>
      <c r="D404" t="s">
        <v>819</v>
      </c>
      <c r="E404" s="451">
        <v>46235</v>
      </c>
      <c r="F404" s="451">
        <v>46259</v>
      </c>
      <c r="G404" t="s">
        <v>264</v>
      </c>
      <c r="H404" t="s">
        <v>277</v>
      </c>
      <c r="I404" t="s">
        <v>924</v>
      </c>
      <c r="J404">
        <v>-500</v>
      </c>
      <c r="K404">
        <v>-500</v>
      </c>
      <c r="O404" t="s">
        <v>779</v>
      </c>
      <c r="Q404" t="s">
        <v>466</v>
      </c>
      <c r="R404">
        <v>0</v>
      </c>
    </row>
    <row r="405" spans="1:18" x14ac:dyDescent="0.3">
      <c r="A405">
        <v>192485</v>
      </c>
      <c r="B405" t="s">
        <v>557</v>
      </c>
      <c r="C405" t="s">
        <v>934</v>
      </c>
      <c r="D405" t="s">
        <v>819</v>
      </c>
      <c r="E405" s="451">
        <v>46235</v>
      </c>
      <c r="F405" s="451">
        <v>46254</v>
      </c>
      <c r="G405" t="s">
        <v>308</v>
      </c>
      <c r="H405" t="s">
        <v>312</v>
      </c>
      <c r="I405" t="s">
        <v>935</v>
      </c>
      <c r="J405">
        <v>-185</v>
      </c>
      <c r="K405">
        <v>-185</v>
      </c>
      <c r="O405" t="s">
        <v>779</v>
      </c>
      <c r="Q405" t="s">
        <v>466</v>
      </c>
      <c r="R405">
        <v>0</v>
      </c>
    </row>
    <row r="406" spans="1:18" x14ac:dyDescent="0.3">
      <c r="A406">
        <v>192563</v>
      </c>
      <c r="B406" t="s">
        <v>557</v>
      </c>
      <c r="C406" t="s">
        <v>917</v>
      </c>
      <c r="D406" t="s">
        <v>819</v>
      </c>
      <c r="E406" s="451">
        <v>46235</v>
      </c>
      <c r="F406" s="451">
        <v>46287</v>
      </c>
      <c r="G406" t="s">
        <v>318</v>
      </c>
      <c r="H406" t="s">
        <v>321</v>
      </c>
      <c r="I406" t="s">
        <v>918</v>
      </c>
      <c r="J406">
        <v>-200</v>
      </c>
      <c r="K406">
        <v>-200</v>
      </c>
      <c r="O406" t="s">
        <v>779</v>
      </c>
      <c r="Q406" t="s">
        <v>466</v>
      </c>
      <c r="R406">
        <v>0</v>
      </c>
    </row>
    <row r="407" spans="1:18" x14ac:dyDescent="0.3">
      <c r="A407">
        <v>191924</v>
      </c>
      <c r="B407" t="s">
        <v>557</v>
      </c>
      <c r="C407" t="s">
        <v>889</v>
      </c>
      <c r="D407" t="s">
        <v>819</v>
      </c>
      <c r="E407" s="451">
        <v>46235</v>
      </c>
      <c r="F407" s="451">
        <v>46254</v>
      </c>
      <c r="G407" t="s">
        <v>279</v>
      </c>
      <c r="H407" t="s">
        <v>282</v>
      </c>
      <c r="I407" t="s">
        <v>902</v>
      </c>
      <c r="J407">
        <v>-350</v>
      </c>
      <c r="K407">
        <v>-350</v>
      </c>
      <c r="O407" t="s">
        <v>779</v>
      </c>
      <c r="Q407" t="s">
        <v>466</v>
      </c>
      <c r="R407">
        <v>0</v>
      </c>
    </row>
    <row r="408" spans="1:18" x14ac:dyDescent="0.3">
      <c r="A408">
        <v>196171</v>
      </c>
      <c r="B408" t="s">
        <v>557</v>
      </c>
      <c r="C408" t="s">
        <v>907</v>
      </c>
      <c r="D408" t="s">
        <v>819</v>
      </c>
      <c r="E408" s="451">
        <v>46235</v>
      </c>
      <c r="F408" s="451">
        <v>46274</v>
      </c>
      <c r="G408" t="s">
        <v>578</v>
      </c>
      <c r="H408" t="s">
        <v>252</v>
      </c>
      <c r="I408" t="s">
        <v>908</v>
      </c>
      <c r="J408">
        <v>-4000</v>
      </c>
      <c r="K408">
        <v>-4000</v>
      </c>
      <c r="O408" t="s">
        <v>779</v>
      </c>
      <c r="Q408" t="s">
        <v>466</v>
      </c>
      <c r="R408">
        <v>0</v>
      </c>
    </row>
    <row r="409" spans="1:18" x14ac:dyDescent="0.3">
      <c r="A409">
        <v>192599</v>
      </c>
      <c r="B409" t="s">
        <v>557</v>
      </c>
      <c r="C409" t="s">
        <v>840</v>
      </c>
      <c r="D409" t="s">
        <v>819</v>
      </c>
      <c r="E409" s="451">
        <v>46235</v>
      </c>
      <c r="F409" s="451">
        <v>46262</v>
      </c>
      <c r="G409" t="s">
        <v>581</v>
      </c>
      <c r="H409" t="s">
        <v>288</v>
      </c>
      <c r="I409" t="s">
        <v>841</v>
      </c>
      <c r="J409">
        <v>-2500</v>
      </c>
      <c r="K409">
        <v>-2500</v>
      </c>
      <c r="O409" t="s">
        <v>779</v>
      </c>
      <c r="Q409" t="s">
        <v>466</v>
      </c>
      <c r="R409">
        <v>0</v>
      </c>
    </row>
    <row r="410" spans="1:18" x14ac:dyDescent="0.3">
      <c r="A410">
        <v>200468</v>
      </c>
      <c r="B410" t="s">
        <v>557</v>
      </c>
      <c r="C410" t="s">
        <v>888</v>
      </c>
      <c r="D410" t="s">
        <v>819</v>
      </c>
      <c r="E410" s="451">
        <v>46235</v>
      </c>
      <c r="F410" s="451">
        <v>46266</v>
      </c>
      <c r="G410" t="s">
        <v>570</v>
      </c>
      <c r="H410" t="s">
        <v>573</v>
      </c>
      <c r="I410" t="s">
        <v>880</v>
      </c>
      <c r="J410">
        <v>-3300</v>
      </c>
      <c r="K410">
        <v>-3300</v>
      </c>
      <c r="M410" t="s">
        <v>887</v>
      </c>
      <c r="N410" t="s">
        <v>131</v>
      </c>
      <c r="O410" t="s">
        <v>779</v>
      </c>
      <c r="Q410" t="s">
        <v>466</v>
      </c>
      <c r="R410">
        <v>0</v>
      </c>
    </row>
    <row r="411" spans="1:18" x14ac:dyDescent="0.3">
      <c r="A411">
        <v>192193</v>
      </c>
      <c r="B411" t="s">
        <v>557</v>
      </c>
      <c r="C411" t="s">
        <v>919</v>
      </c>
      <c r="D411" t="s">
        <v>819</v>
      </c>
      <c r="E411" s="451">
        <v>46235</v>
      </c>
      <c r="F411" s="451">
        <v>46270</v>
      </c>
      <c r="G411" t="s">
        <v>279</v>
      </c>
      <c r="H411" t="s">
        <v>284</v>
      </c>
      <c r="I411" t="s">
        <v>920</v>
      </c>
      <c r="J411">
        <v>-530</v>
      </c>
      <c r="K411">
        <v>-530</v>
      </c>
      <c r="O411" t="s">
        <v>779</v>
      </c>
      <c r="Q411" t="s">
        <v>466</v>
      </c>
      <c r="R411">
        <v>0</v>
      </c>
    </row>
    <row r="412" spans="1:18" x14ac:dyDescent="0.3">
      <c r="A412">
        <v>191728</v>
      </c>
      <c r="B412" t="s">
        <v>557</v>
      </c>
      <c r="C412" t="s">
        <v>895</v>
      </c>
      <c r="D412" t="s">
        <v>819</v>
      </c>
      <c r="E412" s="451">
        <v>46235</v>
      </c>
      <c r="F412" s="451">
        <v>46249</v>
      </c>
      <c r="G412" t="s">
        <v>308</v>
      </c>
      <c r="H412" t="s">
        <v>309</v>
      </c>
      <c r="I412" t="s">
        <v>950</v>
      </c>
      <c r="J412">
        <v>-842.56</v>
      </c>
      <c r="K412">
        <v>-842.56</v>
      </c>
      <c r="O412" t="s">
        <v>779</v>
      </c>
      <c r="Q412" t="s">
        <v>466</v>
      </c>
      <c r="R412">
        <v>0</v>
      </c>
    </row>
    <row r="413" spans="1:18" x14ac:dyDescent="0.3">
      <c r="A413">
        <v>193431</v>
      </c>
      <c r="B413" t="s">
        <v>557</v>
      </c>
      <c r="C413" t="s">
        <v>873</v>
      </c>
      <c r="D413" t="s">
        <v>819</v>
      </c>
      <c r="E413" s="451">
        <v>46235</v>
      </c>
      <c r="F413" s="451">
        <v>46252</v>
      </c>
      <c r="G413" t="s">
        <v>874</v>
      </c>
      <c r="H413" t="s">
        <v>875</v>
      </c>
      <c r="I413" t="s">
        <v>876</v>
      </c>
      <c r="J413">
        <v>-400</v>
      </c>
      <c r="K413">
        <v>-400</v>
      </c>
      <c r="O413" t="s">
        <v>779</v>
      </c>
      <c r="Q413" t="s">
        <v>466</v>
      </c>
      <c r="R413">
        <v>0</v>
      </c>
    </row>
    <row r="414" spans="1:18" x14ac:dyDescent="0.3">
      <c r="A414">
        <v>196411</v>
      </c>
      <c r="B414" t="s">
        <v>557</v>
      </c>
      <c r="C414" t="s">
        <v>825</v>
      </c>
      <c r="D414" t="s">
        <v>819</v>
      </c>
      <c r="E414" s="451">
        <v>46235</v>
      </c>
      <c r="F414" s="451">
        <v>46271</v>
      </c>
      <c r="G414" t="s">
        <v>574</v>
      </c>
      <c r="H414" t="s">
        <v>575</v>
      </c>
      <c r="I414" t="s">
        <v>826</v>
      </c>
      <c r="J414">
        <v>-47000</v>
      </c>
      <c r="K414">
        <v>-47000</v>
      </c>
      <c r="O414" t="s">
        <v>779</v>
      </c>
      <c r="Q414" t="s">
        <v>466</v>
      </c>
      <c r="R414">
        <v>0</v>
      </c>
    </row>
    <row r="415" spans="1:18" x14ac:dyDescent="0.3">
      <c r="A415">
        <v>200481</v>
      </c>
      <c r="B415" t="s">
        <v>557</v>
      </c>
      <c r="C415" t="s">
        <v>888</v>
      </c>
      <c r="D415" t="s">
        <v>819</v>
      </c>
      <c r="E415" s="451">
        <v>46235</v>
      </c>
      <c r="F415" s="451">
        <v>46280</v>
      </c>
      <c r="G415" t="s">
        <v>570</v>
      </c>
      <c r="H415" t="s">
        <v>573</v>
      </c>
      <c r="I415" t="s">
        <v>880</v>
      </c>
      <c r="J415">
        <v>-3300</v>
      </c>
      <c r="K415">
        <v>-3300</v>
      </c>
      <c r="M415" t="s">
        <v>887</v>
      </c>
      <c r="N415" t="s">
        <v>131</v>
      </c>
      <c r="O415" t="s">
        <v>779</v>
      </c>
      <c r="Q415" t="s">
        <v>466</v>
      </c>
      <c r="R415">
        <v>0</v>
      </c>
    </row>
    <row r="416" spans="1:18" x14ac:dyDescent="0.3">
      <c r="A416">
        <v>192030</v>
      </c>
      <c r="B416" t="s">
        <v>557</v>
      </c>
      <c r="C416" t="s">
        <v>870</v>
      </c>
      <c r="D416" t="s">
        <v>819</v>
      </c>
      <c r="E416" s="451">
        <v>46235</v>
      </c>
      <c r="F416" s="451">
        <v>46254</v>
      </c>
      <c r="G416" t="s">
        <v>308</v>
      </c>
      <c r="H416" t="s">
        <v>311</v>
      </c>
      <c r="I416" t="s">
        <v>871</v>
      </c>
      <c r="J416">
        <v>-1250</v>
      </c>
      <c r="K416">
        <v>-1250</v>
      </c>
      <c r="O416" t="s">
        <v>779</v>
      </c>
      <c r="Q416" t="s">
        <v>466</v>
      </c>
      <c r="R416">
        <v>0</v>
      </c>
    </row>
    <row r="417" spans="1:18" x14ac:dyDescent="0.3">
      <c r="A417">
        <v>200494</v>
      </c>
      <c r="B417" t="s">
        <v>557</v>
      </c>
      <c r="C417" t="s">
        <v>888</v>
      </c>
      <c r="D417" t="s">
        <v>819</v>
      </c>
      <c r="E417" s="451">
        <v>46235</v>
      </c>
      <c r="F417" s="451">
        <v>46290</v>
      </c>
      <c r="G417" t="s">
        <v>570</v>
      </c>
      <c r="H417" t="s">
        <v>573</v>
      </c>
      <c r="I417" t="s">
        <v>880</v>
      </c>
      <c r="J417">
        <v>-4400</v>
      </c>
      <c r="K417">
        <v>-4400</v>
      </c>
      <c r="M417" t="s">
        <v>887</v>
      </c>
      <c r="N417" t="s">
        <v>131</v>
      </c>
      <c r="O417" t="s">
        <v>779</v>
      </c>
      <c r="Q417" t="s">
        <v>466</v>
      </c>
      <c r="R417">
        <v>0</v>
      </c>
    </row>
    <row r="418" spans="1:18" x14ac:dyDescent="0.3">
      <c r="A418">
        <v>192333</v>
      </c>
      <c r="B418" t="s">
        <v>557</v>
      </c>
      <c r="C418" t="s">
        <v>913</v>
      </c>
      <c r="D418" t="s">
        <v>819</v>
      </c>
      <c r="E418" s="451">
        <v>46235</v>
      </c>
      <c r="F418" s="451">
        <v>46268</v>
      </c>
      <c r="G418" t="s">
        <v>296</v>
      </c>
      <c r="H418" t="s">
        <v>297</v>
      </c>
      <c r="I418" t="s">
        <v>914</v>
      </c>
      <c r="J418">
        <v>-4000</v>
      </c>
      <c r="K418">
        <v>-4000</v>
      </c>
      <c r="M418" t="s">
        <v>915</v>
      </c>
      <c r="N418" t="s">
        <v>916</v>
      </c>
      <c r="O418" t="s">
        <v>779</v>
      </c>
      <c r="Q418" t="s">
        <v>466</v>
      </c>
      <c r="R418">
        <v>0</v>
      </c>
    </row>
    <row r="419" spans="1:18" x14ac:dyDescent="0.3">
      <c r="A419">
        <v>196666</v>
      </c>
      <c r="B419" t="s">
        <v>557</v>
      </c>
      <c r="C419" t="s">
        <v>825</v>
      </c>
      <c r="D419" t="s">
        <v>819</v>
      </c>
      <c r="E419" s="451">
        <v>46235</v>
      </c>
      <c r="F419" s="451">
        <v>46254</v>
      </c>
      <c r="G419" t="s">
        <v>574</v>
      </c>
      <c r="H419" t="s">
        <v>575</v>
      </c>
      <c r="I419" t="s">
        <v>872</v>
      </c>
      <c r="J419">
        <v>-20000</v>
      </c>
      <c r="K419">
        <v>-20000</v>
      </c>
      <c r="O419" t="s">
        <v>779</v>
      </c>
      <c r="Q419" t="s">
        <v>466</v>
      </c>
      <c r="R419">
        <v>0</v>
      </c>
    </row>
    <row r="420" spans="1:18" x14ac:dyDescent="0.3">
      <c r="A420">
        <v>192401</v>
      </c>
      <c r="B420" t="s">
        <v>557</v>
      </c>
      <c r="C420" t="s">
        <v>823</v>
      </c>
      <c r="D420" t="s">
        <v>819</v>
      </c>
      <c r="E420" s="451">
        <v>46235</v>
      </c>
      <c r="F420" s="451">
        <v>46249</v>
      </c>
      <c r="G420" t="s">
        <v>279</v>
      </c>
      <c r="H420" t="s">
        <v>286</v>
      </c>
      <c r="I420" t="s">
        <v>824</v>
      </c>
      <c r="J420">
        <v>-219</v>
      </c>
      <c r="K420">
        <v>-219</v>
      </c>
      <c r="O420" t="s">
        <v>779</v>
      </c>
      <c r="Q420" t="s">
        <v>466</v>
      </c>
      <c r="R420">
        <v>0</v>
      </c>
    </row>
    <row r="421" spans="1:18" x14ac:dyDescent="0.3">
      <c r="A421">
        <v>200546</v>
      </c>
      <c r="B421" t="s">
        <v>557</v>
      </c>
      <c r="C421" t="s">
        <v>886</v>
      </c>
      <c r="D421" t="s">
        <v>819</v>
      </c>
      <c r="E421" s="451">
        <v>46235</v>
      </c>
      <c r="F421" s="451">
        <v>46280</v>
      </c>
      <c r="G421" t="s">
        <v>570</v>
      </c>
      <c r="H421" t="s">
        <v>573</v>
      </c>
      <c r="I421" t="s">
        <v>880</v>
      </c>
      <c r="J421">
        <v>-3300</v>
      </c>
      <c r="K421">
        <v>-3300</v>
      </c>
      <c r="M421" t="s">
        <v>887</v>
      </c>
      <c r="N421" t="s">
        <v>131</v>
      </c>
      <c r="O421" t="s">
        <v>779</v>
      </c>
      <c r="Q421" t="s">
        <v>466</v>
      </c>
      <c r="R421">
        <v>0</v>
      </c>
    </row>
    <row r="422" spans="1:18" x14ac:dyDescent="0.3">
      <c r="A422">
        <v>191936</v>
      </c>
      <c r="B422" t="s">
        <v>557</v>
      </c>
      <c r="C422" t="s">
        <v>889</v>
      </c>
      <c r="D422" t="s">
        <v>819</v>
      </c>
      <c r="E422" s="451">
        <v>46235</v>
      </c>
      <c r="F422" s="451">
        <v>46266</v>
      </c>
      <c r="G422" t="s">
        <v>279</v>
      </c>
      <c r="H422" t="s">
        <v>281</v>
      </c>
      <c r="I422" t="s">
        <v>890</v>
      </c>
      <c r="J422">
        <v>-200</v>
      </c>
      <c r="K422">
        <v>-200</v>
      </c>
      <c r="O422" t="s">
        <v>779</v>
      </c>
      <c r="Q422" t="s">
        <v>466</v>
      </c>
      <c r="R422">
        <v>0</v>
      </c>
    </row>
    <row r="423" spans="1:18" x14ac:dyDescent="0.3">
      <c r="A423">
        <v>192094</v>
      </c>
      <c r="B423" t="s">
        <v>557</v>
      </c>
      <c r="C423" t="s">
        <v>877</v>
      </c>
      <c r="D423" t="s">
        <v>819</v>
      </c>
      <c r="E423" s="451">
        <v>46235</v>
      </c>
      <c r="F423" s="451">
        <v>46283</v>
      </c>
      <c r="G423" t="s">
        <v>308</v>
      </c>
      <c r="H423" t="s">
        <v>314</v>
      </c>
      <c r="I423" t="s">
        <v>878</v>
      </c>
      <c r="J423">
        <v>-708.18</v>
      </c>
      <c r="K423">
        <v>-708.18</v>
      </c>
      <c r="O423" t="s">
        <v>779</v>
      </c>
      <c r="Q423" t="s">
        <v>466</v>
      </c>
      <c r="R423">
        <v>0</v>
      </c>
    </row>
    <row r="424" spans="1:18" x14ac:dyDescent="0.3">
      <c r="A424">
        <v>202389</v>
      </c>
      <c r="B424" t="s">
        <v>557</v>
      </c>
      <c r="C424" t="s">
        <v>847</v>
      </c>
      <c r="D424" t="s">
        <v>819</v>
      </c>
      <c r="E424" s="451">
        <v>46233</v>
      </c>
      <c r="F424" s="451">
        <v>46243</v>
      </c>
      <c r="G424" t="s">
        <v>578</v>
      </c>
      <c r="H424" t="s">
        <v>247</v>
      </c>
      <c r="J424">
        <v>-267.83</v>
      </c>
      <c r="K424">
        <v>-267.83</v>
      </c>
      <c r="O424" t="s">
        <v>779</v>
      </c>
      <c r="Q424" t="s">
        <v>465</v>
      </c>
      <c r="R424">
        <v>0</v>
      </c>
    </row>
    <row r="425" spans="1:18" x14ac:dyDescent="0.3">
      <c r="A425">
        <v>192066</v>
      </c>
      <c r="B425" t="s">
        <v>557</v>
      </c>
      <c r="C425" t="s">
        <v>851</v>
      </c>
      <c r="D425" t="s">
        <v>819</v>
      </c>
      <c r="E425" s="451">
        <v>46233</v>
      </c>
      <c r="F425" s="451">
        <v>46254</v>
      </c>
      <c r="G425" t="s">
        <v>318</v>
      </c>
      <c r="H425" t="s">
        <v>320</v>
      </c>
      <c r="I425" t="s">
        <v>852</v>
      </c>
      <c r="J425">
        <v>-200</v>
      </c>
      <c r="K425">
        <v>-200</v>
      </c>
      <c r="O425" t="s">
        <v>779</v>
      </c>
      <c r="Q425" t="s">
        <v>465</v>
      </c>
      <c r="R425">
        <v>0</v>
      </c>
    </row>
    <row r="426" spans="1:18" x14ac:dyDescent="0.3">
      <c r="A426">
        <v>207156</v>
      </c>
      <c r="B426" t="s">
        <v>557</v>
      </c>
      <c r="C426" t="s">
        <v>429</v>
      </c>
      <c r="D426" t="s">
        <v>819</v>
      </c>
      <c r="E426" s="451">
        <v>46233</v>
      </c>
      <c r="F426" s="451">
        <v>46254</v>
      </c>
      <c r="G426" t="s">
        <v>577</v>
      </c>
      <c r="H426" t="s">
        <v>211</v>
      </c>
      <c r="I426" t="s">
        <v>848</v>
      </c>
      <c r="J426">
        <v>-10500</v>
      </c>
      <c r="K426">
        <v>-10500</v>
      </c>
      <c r="O426" t="s">
        <v>779</v>
      </c>
      <c r="Q426" t="s">
        <v>465</v>
      </c>
      <c r="R426">
        <v>0</v>
      </c>
    </row>
    <row r="427" spans="1:18" x14ac:dyDescent="0.3">
      <c r="A427">
        <v>197655</v>
      </c>
      <c r="B427" t="s">
        <v>557</v>
      </c>
      <c r="C427" t="s">
        <v>849</v>
      </c>
      <c r="D427" t="s">
        <v>819</v>
      </c>
      <c r="E427" s="451">
        <v>46233</v>
      </c>
      <c r="F427" s="451">
        <v>46254</v>
      </c>
      <c r="G427" t="s">
        <v>308</v>
      </c>
      <c r="H427" t="s">
        <v>309</v>
      </c>
      <c r="I427" t="s">
        <v>850</v>
      </c>
      <c r="J427">
        <v>-200</v>
      </c>
      <c r="K427">
        <v>-200</v>
      </c>
      <c r="O427" t="s">
        <v>779</v>
      </c>
      <c r="Q427" t="s">
        <v>465</v>
      </c>
      <c r="R427">
        <v>0</v>
      </c>
    </row>
    <row r="428" spans="1:18" x14ac:dyDescent="0.3">
      <c r="A428">
        <v>208530</v>
      </c>
      <c r="B428" t="s">
        <v>557</v>
      </c>
      <c r="C428" t="s">
        <v>845</v>
      </c>
      <c r="D428" t="s">
        <v>819</v>
      </c>
      <c r="E428" s="451">
        <v>46233</v>
      </c>
      <c r="F428" s="451">
        <v>46254</v>
      </c>
      <c r="G428" t="s">
        <v>577</v>
      </c>
      <c r="H428" t="s">
        <v>846</v>
      </c>
      <c r="J428">
        <v>-1700</v>
      </c>
      <c r="K428">
        <v>-1700</v>
      </c>
      <c r="O428" t="s">
        <v>779</v>
      </c>
      <c r="Q428" t="s">
        <v>465</v>
      </c>
      <c r="R428">
        <v>0</v>
      </c>
    </row>
    <row r="429" spans="1:18" x14ac:dyDescent="0.3">
      <c r="A429">
        <v>197473</v>
      </c>
      <c r="B429" t="s">
        <v>557</v>
      </c>
      <c r="C429" t="s">
        <v>845</v>
      </c>
      <c r="D429" t="s">
        <v>819</v>
      </c>
      <c r="E429" s="451">
        <v>46233</v>
      </c>
      <c r="F429" s="451">
        <v>46254</v>
      </c>
      <c r="G429" t="s">
        <v>308</v>
      </c>
      <c r="H429" t="s">
        <v>309</v>
      </c>
      <c r="I429" t="s">
        <v>853</v>
      </c>
      <c r="J429">
        <v>-20</v>
      </c>
      <c r="K429">
        <v>-20</v>
      </c>
      <c r="O429" t="s">
        <v>779</v>
      </c>
      <c r="Q429" t="s">
        <v>465</v>
      </c>
      <c r="R429">
        <v>0</v>
      </c>
    </row>
    <row r="430" spans="1:18" x14ac:dyDescent="0.3">
      <c r="A430">
        <v>210567</v>
      </c>
      <c r="B430" t="s">
        <v>557</v>
      </c>
      <c r="C430" t="s">
        <v>517</v>
      </c>
      <c r="D430" t="s">
        <v>819</v>
      </c>
      <c r="E430" s="451">
        <v>46233</v>
      </c>
      <c r="F430" s="451">
        <v>46259</v>
      </c>
      <c r="G430" t="s">
        <v>563</v>
      </c>
      <c r="H430" t="s">
        <v>46</v>
      </c>
      <c r="J430">
        <v>-2600</v>
      </c>
      <c r="K430">
        <v>-2600</v>
      </c>
      <c r="O430" t="s">
        <v>779</v>
      </c>
      <c r="Q430" t="s">
        <v>465</v>
      </c>
      <c r="R430">
        <v>0</v>
      </c>
    </row>
    <row r="431" spans="1:18" x14ac:dyDescent="0.3">
      <c r="A431">
        <v>210555</v>
      </c>
      <c r="B431" t="s">
        <v>557</v>
      </c>
      <c r="C431" t="s">
        <v>518</v>
      </c>
      <c r="D431" t="s">
        <v>819</v>
      </c>
      <c r="E431" s="451">
        <v>46233</v>
      </c>
      <c r="F431" s="451">
        <v>46259</v>
      </c>
      <c r="G431" t="s">
        <v>563</v>
      </c>
      <c r="H431" t="s">
        <v>46</v>
      </c>
      <c r="J431">
        <v>-12000</v>
      </c>
      <c r="K431">
        <v>-12000</v>
      </c>
      <c r="O431" t="s">
        <v>779</v>
      </c>
      <c r="Q431" t="s">
        <v>465</v>
      </c>
      <c r="R431">
        <v>0</v>
      </c>
    </row>
    <row r="432" spans="1:18" x14ac:dyDescent="0.3">
      <c r="A432">
        <v>208286</v>
      </c>
      <c r="B432" t="s">
        <v>557</v>
      </c>
      <c r="C432" t="s">
        <v>428</v>
      </c>
      <c r="D432" t="s">
        <v>819</v>
      </c>
      <c r="E432" s="451">
        <v>46233</v>
      </c>
      <c r="F432" s="451">
        <v>46254</v>
      </c>
      <c r="G432" t="s">
        <v>577</v>
      </c>
      <c r="H432" t="s">
        <v>206</v>
      </c>
      <c r="J432">
        <v>-4800</v>
      </c>
      <c r="K432">
        <v>-4800</v>
      </c>
      <c r="O432" t="s">
        <v>779</v>
      </c>
      <c r="Q432" t="s">
        <v>465</v>
      </c>
      <c r="R432">
        <v>0</v>
      </c>
    </row>
    <row r="433" spans="1:18" x14ac:dyDescent="0.3">
      <c r="A433">
        <v>197127</v>
      </c>
      <c r="B433" t="s">
        <v>557</v>
      </c>
      <c r="C433" t="s">
        <v>48</v>
      </c>
      <c r="D433" t="s">
        <v>819</v>
      </c>
      <c r="E433" s="451">
        <v>46233</v>
      </c>
      <c r="F433" s="451">
        <v>46254</v>
      </c>
      <c r="G433" t="s">
        <v>563</v>
      </c>
      <c r="H433" t="s">
        <v>48</v>
      </c>
      <c r="J433">
        <v>-17000</v>
      </c>
      <c r="K433">
        <v>-17000</v>
      </c>
      <c r="O433" t="s">
        <v>779</v>
      </c>
      <c r="Q433" t="s">
        <v>465</v>
      </c>
      <c r="R433">
        <v>0</v>
      </c>
    </row>
    <row r="434" spans="1:18" x14ac:dyDescent="0.3">
      <c r="A434">
        <v>197461</v>
      </c>
      <c r="B434" t="s">
        <v>557</v>
      </c>
      <c r="C434" t="s">
        <v>845</v>
      </c>
      <c r="D434" t="s">
        <v>819</v>
      </c>
      <c r="E434" s="451">
        <v>46231</v>
      </c>
      <c r="F434" s="451">
        <v>46254</v>
      </c>
      <c r="G434" t="s">
        <v>308</v>
      </c>
      <c r="H434" t="s">
        <v>309</v>
      </c>
      <c r="J434">
        <v>-50</v>
      </c>
      <c r="K434">
        <v>-50</v>
      </c>
      <c r="O434" t="s">
        <v>779</v>
      </c>
      <c r="Q434" t="s">
        <v>465</v>
      </c>
      <c r="R434">
        <v>0</v>
      </c>
    </row>
    <row r="435" spans="1:18" x14ac:dyDescent="0.3">
      <c r="A435">
        <v>197253</v>
      </c>
      <c r="B435" t="s">
        <v>557</v>
      </c>
      <c r="C435" t="s">
        <v>49</v>
      </c>
      <c r="D435" t="s">
        <v>819</v>
      </c>
      <c r="E435" s="451">
        <v>46231</v>
      </c>
      <c r="F435" s="451">
        <v>46244</v>
      </c>
      <c r="G435" t="s">
        <v>279</v>
      </c>
      <c r="H435" t="s">
        <v>283</v>
      </c>
      <c r="J435">
        <v>-100</v>
      </c>
      <c r="K435">
        <v>-100</v>
      </c>
      <c r="O435" t="s">
        <v>779</v>
      </c>
      <c r="Q435" t="s">
        <v>465</v>
      </c>
      <c r="R435">
        <v>0</v>
      </c>
    </row>
    <row r="436" spans="1:18" x14ac:dyDescent="0.3">
      <c r="A436">
        <v>242077</v>
      </c>
      <c r="B436" t="s">
        <v>557</v>
      </c>
      <c r="C436" t="s">
        <v>943</v>
      </c>
      <c r="D436" t="s">
        <v>819</v>
      </c>
      <c r="E436" s="451">
        <v>46230</v>
      </c>
      <c r="F436" s="451">
        <v>46240</v>
      </c>
      <c r="G436" t="s">
        <v>576</v>
      </c>
      <c r="H436" t="s">
        <v>203</v>
      </c>
      <c r="I436" t="s">
        <v>945</v>
      </c>
      <c r="J436">
        <v>-4000</v>
      </c>
      <c r="K436">
        <v>-4000</v>
      </c>
      <c r="O436" t="s">
        <v>779</v>
      </c>
      <c r="Q436" t="s">
        <v>465</v>
      </c>
      <c r="R436">
        <v>0</v>
      </c>
    </row>
    <row r="437" spans="1:18" x14ac:dyDescent="0.3">
      <c r="A437">
        <v>242087</v>
      </c>
      <c r="B437" t="s">
        <v>557</v>
      </c>
      <c r="C437" t="s">
        <v>943</v>
      </c>
      <c r="D437" t="s">
        <v>819</v>
      </c>
      <c r="E437" s="451">
        <v>46230</v>
      </c>
      <c r="F437" s="451">
        <v>46240</v>
      </c>
      <c r="G437" t="s">
        <v>576</v>
      </c>
      <c r="H437" t="s">
        <v>203</v>
      </c>
      <c r="I437" t="s">
        <v>944</v>
      </c>
      <c r="J437">
        <v>-5000</v>
      </c>
      <c r="K437">
        <v>-5000</v>
      </c>
      <c r="O437" t="s">
        <v>779</v>
      </c>
      <c r="Q437" t="s">
        <v>465</v>
      </c>
      <c r="R437">
        <v>0</v>
      </c>
    </row>
    <row r="438" spans="1:18" x14ac:dyDescent="0.3">
      <c r="A438">
        <v>239641</v>
      </c>
      <c r="B438" t="s">
        <v>557</v>
      </c>
      <c r="C438" t="s">
        <v>952</v>
      </c>
      <c r="D438" t="s">
        <v>819</v>
      </c>
      <c r="E438" s="451">
        <v>46230</v>
      </c>
      <c r="F438" s="451">
        <v>46251</v>
      </c>
      <c r="G438" t="s">
        <v>569</v>
      </c>
      <c r="H438" t="s">
        <v>58</v>
      </c>
      <c r="I438" t="s">
        <v>953</v>
      </c>
      <c r="J438">
        <v>-4000</v>
      </c>
      <c r="K438">
        <v>-4000</v>
      </c>
      <c r="O438" t="s">
        <v>779</v>
      </c>
      <c r="Q438" t="s">
        <v>465</v>
      </c>
      <c r="R438">
        <v>0</v>
      </c>
    </row>
    <row r="439" spans="1:18" x14ac:dyDescent="0.3">
      <c r="A439">
        <v>32212</v>
      </c>
      <c r="B439" t="s">
        <v>557</v>
      </c>
      <c r="C439" t="s">
        <v>259</v>
      </c>
      <c r="D439" t="s">
        <v>957</v>
      </c>
      <c r="E439" s="451">
        <v>46229</v>
      </c>
      <c r="F439" s="451">
        <v>46229</v>
      </c>
      <c r="G439" t="s">
        <v>256</v>
      </c>
      <c r="H439" t="s">
        <v>259</v>
      </c>
      <c r="I439" t="s">
        <v>782</v>
      </c>
      <c r="J439">
        <v>-416.33</v>
      </c>
      <c r="K439">
        <v>-416.33</v>
      </c>
      <c r="O439" t="s">
        <v>787</v>
      </c>
      <c r="P439" t="s">
        <v>788</v>
      </c>
      <c r="Q439" t="s">
        <v>465</v>
      </c>
      <c r="R439">
        <v>0</v>
      </c>
    </row>
    <row r="440" spans="1:18" x14ac:dyDescent="0.3">
      <c r="A440">
        <v>32180</v>
      </c>
      <c r="B440" t="s">
        <v>557</v>
      </c>
      <c r="C440" t="s">
        <v>259</v>
      </c>
      <c r="D440" t="s">
        <v>776</v>
      </c>
      <c r="E440" s="451">
        <v>46229</v>
      </c>
      <c r="F440" s="451">
        <v>46229</v>
      </c>
      <c r="G440" t="s">
        <v>777</v>
      </c>
      <c r="H440" t="s">
        <v>368</v>
      </c>
      <c r="I440" t="s">
        <v>778</v>
      </c>
      <c r="J440">
        <v>-1520.61</v>
      </c>
      <c r="K440">
        <v>-1520.61</v>
      </c>
      <c r="O440" t="s">
        <v>787</v>
      </c>
      <c r="P440" t="s">
        <v>788</v>
      </c>
      <c r="Q440" t="s">
        <v>465</v>
      </c>
      <c r="R440">
        <v>0</v>
      </c>
    </row>
    <row r="441" spans="1:18" x14ac:dyDescent="0.3">
      <c r="A441">
        <v>242086</v>
      </c>
      <c r="B441" t="s">
        <v>557</v>
      </c>
      <c r="C441" t="s">
        <v>943</v>
      </c>
      <c r="D441" t="s">
        <v>819</v>
      </c>
      <c r="E441" s="451">
        <v>46223</v>
      </c>
      <c r="F441" s="451">
        <v>46233</v>
      </c>
      <c r="G441" t="s">
        <v>576</v>
      </c>
      <c r="H441" t="s">
        <v>203</v>
      </c>
      <c r="I441" t="s">
        <v>944</v>
      </c>
      <c r="J441">
        <v>-5000</v>
      </c>
      <c r="K441">
        <v>-5000</v>
      </c>
      <c r="O441" t="s">
        <v>779</v>
      </c>
      <c r="Q441" t="s">
        <v>465</v>
      </c>
      <c r="R441">
        <v>0</v>
      </c>
    </row>
    <row r="442" spans="1:18" x14ac:dyDescent="0.3">
      <c r="A442">
        <v>242076</v>
      </c>
      <c r="B442" t="s">
        <v>557</v>
      </c>
      <c r="C442" t="s">
        <v>943</v>
      </c>
      <c r="D442" t="s">
        <v>819</v>
      </c>
      <c r="E442" s="451">
        <v>46223</v>
      </c>
      <c r="F442" s="451">
        <v>46233</v>
      </c>
      <c r="G442" t="s">
        <v>576</v>
      </c>
      <c r="H442" t="s">
        <v>203</v>
      </c>
      <c r="I442" t="s">
        <v>945</v>
      </c>
      <c r="J442">
        <v>-4000</v>
      </c>
      <c r="K442">
        <v>-4000</v>
      </c>
      <c r="O442" t="s">
        <v>779</v>
      </c>
      <c r="Q442" t="s">
        <v>465</v>
      </c>
      <c r="R442">
        <v>0</v>
      </c>
    </row>
    <row r="443" spans="1:18" x14ac:dyDescent="0.3">
      <c r="A443">
        <v>239640</v>
      </c>
      <c r="B443" t="s">
        <v>557</v>
      </c>
      <c r="C443" t="s">
        <v>952</v>
      </c>
      <c r="D443" t="s">
        <v>819</v>
      </c>
      <c r="E443" s="451">
        <v>46223</v>
      </c>
      <c r="F443" s="451">
        <v>46244</v>
      </c>
      <c r="G443" t="s">
        <v>569</v>
      </c>
      <c r="H443" t="s">
        <v>58</v>
      </c>
      <c r="I443" t="s">
        <v>953</v>
      </c>
      <c r="J443">
        <v>-4000</v>
      </c>
      <c r="K443">
        <v>-4000</v>
      </c>
      <c r="O443" t="s">
        <v>779</v>
      </c>
      <c r="Q443" t="s">
        <v>465</v>
      </c>
      <c r="R443">
        <v>0</v>
      </c>
    </row>
    <row r="444" spans="1:18" x14ac:dyDescent="0.3">
      <c r="A444">
        <v>191803</v>
      </c>
      <c r="B444" t="s">
        <v>557</v>
      </c>
      <c r="C444" t="s">
        <v>856</v>
      </c>
      <c r="D444" t="s">
        <v>819</v>
      </c>
      <c r="E444" s="451">
        <v>46218</v>
      </c>
      <c r="F444" s="451">
        <v>46249</v>
      </c>
      <c r="G444" t="s">
        <v>264</v>
      </c>
      <c r="H444" t="s">
        <v>265</v>
      </c>
      <c r="I444" t="s">
        <v>860</v>
      </c>
      <c r="J444">
        <v>-2000</v>
      </c>
      <c r="K444">
        <v>-2000</v>
      </c>
      <c r="O444" t="s">
        <v>779</v>
      </c>
      <c r="Q444" t="s">
        <v>465</v>
      </c>
      <c r="R444">
        <v>0</v>
      </c>
    </row>
    <row r="445" spans="1:18" x14ac:dyDescent="0.3">
      <c r="A445">
        <v>191791</v>
      </c>
      <c r="B445" t="s">
        <v>557</v>
      </c>
      <c r="C445" t="s">
        <v>856</v>
      </c>
      <c r="D445" t="s">
        <v>819</v>
      </c>
      <c r="E445" s="451">
        <v>46218</v>
      </c>
      <c r="F445" s="451">
        <v>46249</v>
      </c>
      <c r="G445" t="s">
        <v>264</v>
      </c>
      <c r="H445" t="s">
        <v>265</v>
      </c>
      <c r="I445" t="s">
        <v>857</v>
      </c>
      <c r="J445">
        <v>-5000</v>
      </c>
      <c r="K445">
        <v>-5000</v>
      </c>
      <c r="O445" t="s">
        <v>779</v>
      </c>
      <c r="Q445" t="s">
        <v>465</v>
      </c>
      <c r="R445">
        <v>0</v>
      </c>
    </row>
    <row r="446" spans="1:18" x14ac:dyDescent="0.3">
      <c r="A446">
        <v>192155</v>
      </c>
      <c r="B446" t="s">
        <v>557</v>
      </c>
      <c r="C446" t="s">
        <v>858</v>
      </c>
      <c r="D446" t="s">
        <v>819</v>
      </c>
      <c r="E446" s="451">
        <v>46218</v>
      </c>
      <c r="F446" s="451">
        <v>46249</v>
      </c>
      <c r="G446" t="s">
        <v>279</v>
      </c>
      <c r="H446" t="s">
        <v>285</v>
      </c>
      <c r="I446" t="s">
        <v>859</v>
      </c>
      <c r="J446">
        <v>-389</v>
      </c>
      <c r="K446">
        <v>-389</v>
      </c>
      <c r="O446" t="s">
        <v>779</v>
      </c>
      <c r="Q446" t="s">
        <v>465</v>
      </c>
      <c r="R446">
        <v>0</v>
      </c>
    </row>
    <row r="447" spans="1:18" x14ac:dyDescent="0.3">
      <c r="A447">
        <v>242085</v>
      </c>
      <c r="B447" t="s">
        <v>557</v>
      </c>
      <c r="C447" t="s">
        <v>943</v>
      </c>
      <c r="D447" t="s">
        <v>819</v>
      </c>
      <c r="E447" s="451">
        <v>46216</v>
      </c>
      <c r="F447" s="451">
        <v>46226</v>
      </c>
      <c r="G447" t="s">
        <v>576</v>
      </c>
      <c r="H447" t="s">
        <v>203</v>
      </c>
      <c r="I447" t="s">
        <v>944</v>
      </c>
      <c r="J447">
        <v>-5000</v>
      </c>
      <c r="K447">
        <v>-5000</v>
      </c>
      <c r="O447" t="s">
        <v>779</v>
      </c>
      <c r="Q447" t="s">
        <v>465</v>
      </c>
      <c r="R447">
        <v>0</v>
      </c>
    </row>
    <row r="448" spans="1:18" x14ac:dyDescent="0.3">
      <c r="A448">
        <v>239639</v>
      </c>
      <c r="B448" t="s">
        <v>557</v>
      </c>
      <c r="C448" t="s">
        <v>952</v>
      </c>
      <c r="D448" t="s">
        <v>819</v>
      </c>
      <c r="E448" s="451">
        <v>46216</v>
      </c>
      <c r="F448" s="451">
        <v>46237</v>
      </c>
      <c r="G448" t="s">
        <v>569</v>
      </c>
      <c r="H448" t="s">
        <v>58</v>
      </c>
      <c r="I448" t="s">
        <v>953</v>
      </c>
      <c r="J448">
        <v>-4000</v>
      </c>
      <c r="K448">
        <v>-4000</v>
      </c>
      <c r="O448" t="s">
        <v>779</v>
      </c>
      <c r="Q448" t="s">
        <v>465</v>
      </c>
      <c r="R448">
        <v>0</v>
      </c>
    </row>
    <row r="449" spans="1:18" x14ac:dyDescent="0.3">
      <c r="A449">
        <v>242075</v>
      </c>
      <c r="B449" t="s">
        <v>557</v>
      </c>
      <c r="C449" t="s">
        <v>943</v>
      </c>
      <c r="D449" t="s">
        <v>819</v>
      </c>
      <c r="E449" s="451">
        <v>46216</v>
      </c>
      <c r="F449" s="451">
        <v>46226</v>
      </c>
      <c r="G449" t="s">
        <v>576</v>
      </c>
      <c r="H449" t="s">
        <v>203</v>
      </c>
      <c r="I449" t="s">
        <v>945</v>
      </c>
      <c r="J449">
        <v>-4000</v>
      </c>
      <c r="K449">
        <v>-4000</v>
      </c>
      <c r="O449" t="s">
        <v>779</v>
      </c>
      <c r="Q449" t="s">
        <v>465</v>
      </c>
      <c r="R449">
        <v>0</v>
      </c>
    </row>
    <row r="450" spans="1:18" x14ac:dyDescent="0.3">
      <c r="A450">
        <v>191996</v>
      </c>
      <c r="B450" t="s">
        <v>557</v>
      </c>
      <c r="C450" t="s">
        <v>861</v>
      </c>
      <c r="D450" t="s">
        <v>819</v>
      </c>
      <c r="E450" s="451">
        <v>46214</v>
      </c>
      <c r="F450" s="451">
        <v>46244</v>
      </c>
      <c r="G450" t="s">
        <v>256</v>
      </c>
      <c r="H450" t="s">
        <v>257</v>
      </c>
      <c r="I450" t="s">
        <v>862</v>
      </c>
      <c r="J450">
        <v>-17308</v>
      </c>
      <c r="K450">
        <v>-17308</v>
      </c>
      <c r="O450" t="s">
        <v>779</v>
      </c>
      <c r="Q450" t="s">
        <v>465</v>
      </c>
      <c r="R450">
        <v>0</v>
      </c>
    </row>
    <row r="451" spans="1:18" x14ac:dyDescent="0.3">
      <c r="A451">
        <v>192009</v>
      </c>
      <c r="B451" t="s">
        <v>557</v>
      </c>
      <c r="C451" t="s">
        <v>863</v>
      </c>
      <c r="D451" t="s">
        <v>819</v>
      </c>
      <c r="E451" s="451">
        <v>46213</v>
      </c>
      <c r="F451" s="451">
        <v>46233</v>
      </c>
      <c r="G451" t="s">
        <v>256</v>
      </c>
      <c r="H451" t="s">
        <v>257</v>
      </c>
      <c r="I451" t="s">
        <v>864</v>
      </c>
      <c r="J451">
        <v>-27694</v>
      </c>
      <c r="K451">
        <v>-27694</v>
      </c>
      <c r="O451" t="s">
        <v>779</v>
      </c>
      <c r="Q451" t="s">
        <v>465</v>
      </c>
      <c r="R451">
        <v>0</v>
      </c>
    </row>
    <row r="452" spans="1:18" x14ac:dyDescent="0.3">
      <c r="A452">
        <v>237269</v>
      </c>
      <c r="B452" t="s">
        <v>557</v>
      </c>
      <c r="C452" t="s">
        <v>259</v>
      </c>
      <c r="D452" t="s">
        <v>958</v>
      </c>
      <c r="E452" s="451">
        <v>46211</v>
      </c>
      <c r="F452" s="451">
        <v>46233</v>
      </c>
      <c r="G452" t="s">
        <v>777</v>
      </c>
      <c r="H452" t="s">
        <v>368</v>
      </c>
      <c r="I452" t="s">
        <v>813</v>
      </c>
      <c r="J452">
        <v>-1356.39</v>
      </c>
      <c r="K452">
        <v>-1356.39</v>
      </c>
      <c r="O452" t="s">
        <v>779</v>
      </c>
      <c r="Q452" t="s">
        <v>465</v>
      </c>
      <c r="R452">
        <v>0</v>
      </c>
    </row>
    <row r="453" spans="1:18" x14ac:dyDescent="0.3">
      <c r="A453">
        <v>237281</v>
      </c>
      <c r="B453" t="s">
        <v>557</v>
      </c>
      <c r="C453" t="s">
        <v>259</v>
      </c>
      <c r="D453" t="s">
        <v>958</v>
      </c>
      <c r="E453" s="451">
        <v>46211</v>
      </c>
      <c r="F453" s="451">
        <v>46233</v>
      </c>
      <c r="G453" t="s">
        <v>777</v>
      </c>
      <c r="H453" t="s">
        <v>368</v>
      </c>
      <c r="I453" t="s">
        <v>805</v>
      </c>
      <c r="J453">
        <v>-4322.5600000000004</v>
      </c>
      <c r="K453">
        <v>-4322.5600000000004</v>
      </c>
      <c r="O453" t="s">
        <v>779</v>
      </c>
      <c r="Q453" t="s">
        <v>465</v>
      </c>
      <c r="R453">
        <v>0</v>
      </c>
    </row>
    <row r="454" spans="1:18" x14ac:dyDescent="0.3">
      <c r="A454">
        <v>242074</v>
      </c>
      <c r="B454" t="s">
        <v>557</v>
      </c>
      <c r="C454" t="s">
        <v>943</v>
      </c>
      <c r="D454" t="s">
        <v>819</v>
      </c>
      <c r="E454" s="451">
        <v>46209</v>
      </c>
      <c r="F454" s="451">
        <v>46219</v>
      </c>
      <c r="G454" t="s">
        <v>576</v>
      </c>
      <c r="H454" t="s">
        <v>203</v>
      </c>
      <c r="I454" t="s">
        <v>945</v>
      </c>
      <c r="J454">
        <v>-4000</v>
      </c>
      <c r="K454">
        <v>-4000</v>
      </c>
      <c r="O454" t="s">
        <v>779</v>
      </c>
      <c r="Q454" t="s">
        <v>465</v>
      </c>
      <c r="R454">
        <v>0</v>
      </c>
    </row>
    <row r="455" spans="1:18" x14ac:dyDescent="0.3">
      <c r="A455">
        <v>242084</v>
      </c>
      <c r="B455" t="s">
        <v>557</v>
      </c>
      <c r="C455" t="s">
        <v>943</v>
      </c>
      <c r="D455" t="s">
        <v>819</v>
      </c>
      <c r="E455" s="451">
        <v>46209</v>
      </c>
      <c r="F455" s="451">
        <v>46219</v>
      </c>
      <c r="G455" t="s">
        <v>576</v>
      </c>
      <c r="H455" t="s">
        <v>203</v>
      </c>
      <c r="I455" t="s">
        <v>944</v>
      </c>
      <c r="J455">
        <v>-5000</v>
      </c>
      <c r="K455">
        <v>-5000</v>
      </c>
      <c r="O455" t="s">
        <v>779</v>
      </c>
      <c r="Q455" t="s">
        <v>465</v>
      </c>
      <c r="R455">
        <v>0</v>
      </c>
    </row>
    <row r="456" spans="1:18" x14ac:dyDescent="0.3">
      <c r="A456">
        <v>239638</v>
      </c>
      <c r="B456" t="s">
        <v>557</v>
      </c>
      <c r="C456" t="s">
        <v>952</v>
      </c>
      <c r="D456" t="s">
        <v>959</v>
      </c>
      <c r="E456" s="451">
        <v>46209</v>
      </c>
      <c r="F456" s="451">
        <v>46230</v>
      </c>
      <c r="G456" t="s">
        <v>569</v>
      </c>
      <c r="H456" t="s">
        <v>58</v>
      </c>
      <c r="I456" t="s">
        <v>953</v>
      </c>
      <c r="J456">
        <v>-1748</v>
      </c>
      <c r="K456">
        <v>-1748</v>
      </c>
      <c r="O456" t="s">
        <v>787</v>
      </c>
      <c r="Q456" t="s">
        <v>465</v>
      </c>
      <c r="R456">
        <v>0</v>
      </c>
    </row>
    <row r="457" spans="1:18" x14ac:dyDescent="0.3">
      <c r="A457">
        <v>242882</v>
      </c>
      <c r="B457" t="s">
        <v>557</v>
      </c>
      <c r="C457" t="s">
        <v>960</v>
      </c>
      <c r="D457" t="s">
        <v>961</v>
      </c>
      <c r="E457" s="451">
        <v>46206</v>
      </c>
      <c r="F457" s="451">
        <v>46223</v>
      </c>
      <c r="G457" t="s">
        <v>962</v>
      </c>
      <c r="H457" t="s">
        <v>353</v>
      </c>
      <c r="I457" t="s">
        <v>963</v>
      </c>
      <c r="J457">
        <v>-1300</v>
      </c>
      <c r="K457">
        <v>-1300</v>
      </c>
      <c r="O457" t="s">
        <v>787</v>
      </c>
      <c r="Q457" t="s">
        <v>465</v>
      </c>
      <c r="R457">
        <v>0</v>
      </c>
    </row>
    <row r="458" spans="1:18" x14ac:dyDescent="0.3">
      <c r="A458">
        <v>242945</v>
      </c>
      <c r="B458" t="s">
        <v>557</v>
      </c>
      <c r="C458" t="s">
        <v>964</v>
      </c>
      <c r="D458" t="s">
        <v>961</v>
      </c>
      <c r="E458" s="451">
        <v>46206</v>
      </c>
      <c r="F458" s="451">
        <v>46203</v>
      </c>
      <c r="G458" t="s">
        <v>874</v>
      </c>
      <c r="H458" t="s">
        <v>875</v>
      </c>
      <c r="J458">
        <v>-30</v>
      </c>
      <c r="K458">
        <v>-30</v>
      </c>
      <c r="O458" t="s">
        <v>787</v>
      </c>
      <c r="P458" t="s">
        <v>894</v>
      </c>
      <c r="Q458" t="s">
        <v>465</v>
      </c>
      <c r="R458">
        <v>0</v>
      </c>
    </row>
    <row r="459" spans="1:18" x14ac:dyDescent="0.3">
      <c r="A459">
        <v>242405</v>
      </c>
      <c r="B459" t="s">
        <v>557</v>
      </c>
      <c r="C459" t="s">
        <v>965</v>
      </c>
      <c r="D459" t="s">
        <v>966</v>
      </c>
      <c r="E459" s="451">
        <v>46205</v>
      </c>
      <c r="F459" s="451">
        <v>46208</v>
      </c>
      <c r="G459" t="s">
        <v>296</v>
      </c>
      <c r="H459" t="s">
        <v>307</v>
      </c>
      <c r="I459" t="s">
        <v>967</v>
      </c>
      <c r="J459">
        <v>-22.35</v>
      </c>
      <c r="K459">
        <v>0</v>
      </c>
      <c r="O459" t="s">
        <v>787</v>
      </c>
      <c r="Q459" t="s">
        <v>465</v>
      </c>
      <c r="R459">
        <v>0</v>
      </c>
    </row>
    <row r="460" spans="1:18" x14ac:dyDescent="0.3">
      <c r="A460">
        <v>240268</v>
      </c>
      <c r="B460" t="s">
        <v>557</v>
      </c>
      <c r="C460" t="s">
        <v>968</v>
      </c>
      <c r="D460" t="s">
        <v>969</v>
      </c>
      <c r="E460" s="451">
        <v>46204</v>
      </c>
      <c r="F460" s="451">
        <v>46202</v>
      </c>
      <c r="G460" t="s">
        <v>577</v>
      </c>
      <c r="H460" t="s">
        <v>215</v>
      </c>
      <c r="J460">
        <v>-5355.72</v>
      </c>
      <c r="K460">
        <v>-5355.72</v>
      </c>
      <c r="O460" t="s">
        <v>787</v>
      </c>
      <c r="P460" t="s">
        <v>894</v>
      </c>
      <c r="Q460" t="s">
        <v>465</v>
      </c>
      <c r="R460">
        <v>0</v>
      </c>
    </row>
    <row r="461" spans="1:18" x14ac:dyDescent="0.3">
      <c r="A461">
        <v>212755</v>
      </c>
      <c r="B461" t="s">
        <v>557</v>
      </c>
      <c r="C461" t="s">
        <v>818</v>
      </c>
      <c r="D461" t="s">
        <v>819</v>
      </c>
      <c r="E461" s="451">
        <v>46204</v>
      </c>
      <c r="F461" s="451">
        <v>46249</v>
      </c>
      <c r="G461" t="s">
        <v>570</v>
      </c>
      <c r="H461" t="s">
        <v>573</v>
      </c>
      <c r="I461" t="s">
        <v>820</v>
      </c>
      <c r="J461">
        <v>-2000</v>
      </c>
      <c r="K461">
        <v>-2000</v>
      </c>
      <c r="M461" t="s">
        <v>821</v>
      </c>
      <c r="N461" t="s">
        <v>133</v>
      </c>
      <c r="O461" t="s">
        <v>779</v>
      </c>
      <c r="Q461" t="s">
        <v>465</v>
      </c>
      <c r="R461">
        <v>0</v>
      </c>
    </row>
    <row r="462" spans="1:18" x14ac:dyDescent="0.3">
      <c r="A462">
        <v>238740</v>
      </c>
      <c r="B462" t="s">
        <v>557</v>
      </c>
      <c r="C462" t="s">
        <v>970</v>
      </c>
      <c r="D462" t="s">
        <v>971</v>
      </c>
      <c r="E462" s="451">
        <v>46204</v>
      </c>
      <c r="F462" s="451">
        <v>46202</v>
      </c>
      <c r="G462" t="s">
        <v>577</v>
      </c>
      <c r="H462" t="s">
        <v>215</v>
      </c>
      <c r="I462" t="s">
        <v>972</v>
      </c>
      <c r="J462">
        <v>-5240.6000000000004</v>
      </c>
      <c r="K462">
        <v>-5240.6000000000004</v>
      </c>
      <c r="O462" t="s">
        <v>787</v>
      </c>
      <c r="P462" t="s">
        <v>894</v>
      </c>
      <c r="Q462" t="s">
        <v>465</v>
      </c>
      <c r="R462">
        <v>0</v>
      </c>
    </row>
    <row r="463" spans="1:18" x14ac:dyDescent="0.3">
      <c r="A463">
        <v>219488</v>
      </c>
      <c r="B463" t="s">
        <v>557</v>
      </c>
      <c r="C463" t="s">
        <v>259</v>
      </c>
      <c r="D463" t="s">
        <v>973</v>
      </c>
      <c r="E463" s="451">
        <v>46204</v>
      </c>
      <c r="F463" s="451">
        <v>46218</v>
      </c>
      <c r="G463" t="s">
        <v>256</v>
      </c>
      <c r="H463" t="s">
        <v>259</v>
      </c>
      <c r="I463" t="s">
        <v>931</v>
      </c>
      <c r="J463">
        <v>-2086.58</v>
      </c>
      <c r="K463">
        <v>-2086.58</v>
      </c>
      <c r="O463" t="s">
        <v>787</v>
      </c>
      <c r="Q463" t="s">
        <v>465</v>
      </c>
      <c r="R463">
        <v>0</v>
      </c>
    </row>
    <row r="464" spans="1:18" x14ac:dyDescent="0.3">
      <c r="A464">
        <v>242275</v>
      </c>
      <c r="B464" t="s">
        <v>557</v>
      </c>
      <c r="C464" t="s">
        <v>974</v>
      </c>
      <c r="D464" t="s">
        <v>975</v>
      </c>
      <c r="E464" s="451">
        <v>46204</v>
      </c>
      <c r="F464" s="451">
        <v>46209</v>
      </c>
      <c r="G464" t="s">
        <v>578</v>
      </c>
      <c r="H464" t="s">
        <v>239</v>
      </c>
      <c r="I464" t="s">
        <v>976</v>
      </c>
      <c r="J464">
        <v>-487.76</v>
      </c>
      <c r="K464">
        <v>-487.76</v>
      </c>
      <c r="O464" t="s">
        <v>787</v>
      </c>
      <c r="P464" t="s">
        <v>977</v>
      </c>
      <c r="Q464" t="s">
        <v>465</v>
      </c>
      <c r="R464">
        <v>0</v>
      </c>
    </row>
    <row r="465" spans="1:18" x14ac:dyDescent="0.3">
      <c r="A465">
        <v>227730</v>
      </c>
      <c r="B465" t="s">
        <v>557</v>
      </c>
      <c r="C465" t="s">
        <v>868</v>
      </c>
      <c r="D465" t="s">
        <v>819</v>
      </c>
      <c r="E465" s="451">
        <v>46204</v>
      </c>
      <c r="F465" s="451">
        <v>46239</v>
      </c>
      <c r="G465" t="s">
        <v>279</v>
      </c>
      <c r="H465" t="s">
        <v>286</v>
      </c>
      <c r="I465" t="s">
        <v>869</v>
      </c>
      <c r="J465">
        <v>-436.5</v>
      </c>
      <c r="K465">
        <v>-436.5</v>
      </c>
      <c r="O465" t="s">
        <v>779</v>
      </c>
      <c r="Q465" t="s">
        <v>465</v>
      </c>
      <c r="R465">
        <v>0</v>
      </c>
    </row>
    <row r="466" spans="1:18" x14ac:dyDescent="0.3">
      <c r="A466">
        <v>219495</v>
      </c>
      <c r="B466" t="s">
        <v>557</v>
      </c>
      <c r="C466" t="s">
        <v>259</v>
      </c>
      <c r="D466" t="s">
        <v>973</v>
      </c>
      <c r="E466" s="451">
        <v>46204</v>
      </c>
      <c r="F466" s="451">
        <v>46230</v>
      </c>
      <c r="G466" t="s">
        <v>256</v>
      </c>
      <c r="H466" t="s">
        <v>259</v>
      </c>
      <c r="I466" t="s">
        <v>930</v>
      </c>
      <c r="J466">
        <v>-1611.52</v>
      </c>
      <c r="K466">
        <v>-1611.52</v>
      </c>
      <c r="O466" t="s">
        <v>787</v>
      </c>
      <c r="Q466" t="s">
        <v>465</v>
      </c>
      <c r="R466">
        <v>0</v>
      </c>
    </row>
    <row r="467" spans="1:18" x14ac:dyDescent="0.3">
      <c r="A467">
        <v>212743</v>
      </c>
      <c r="B467" t="s">
        <v>557</v>
      </c>
      <c r="C467" t="s">
        <v>818</v>
      </c>
      <c r="D467" t="s">
        <v>819</v>
      </c>
      <c r="E467" s="451">
        <v>46204</v>
      </c>
      <c r="F467" s="451">
        <v>46235</v>
      </c>
      <c r="G467" t="s">
        <v>570</v>
      </c>
      <c r="H467" t="s">
        <v>573</v>
      </c>
      <c r="I467" t="s">
        <v>822</v>
      </c>
      <c r="J467">
        <v>-2000</v>
      </c>
      <c r="K467">
        <v>-2000</v>
      </c>
      <c r="M467" t="s">
        <v>821</v>
      </c>
      <c r="N467" t="s">
        <v>133</v>
      </c>
      <c r="O467" t="s">
        <v>779</v>
      </c>
      <c r="Q467" t="s">
        <v>465</v>
      </c>
      <c r="R467">
        <v>0</v>
      </c>
    </row>
    <row r="468" spans="1:18" x14ac:dyDescent="0.3">
      <c r="A468">
        <v>227691</v>
      </c>
      <c r="B468" t="s">
        <v>557</v>
      </c>
      <c r="C468" t="s">
        <v>947</v>
      </c>
      <c r="D468" t="s">
        <v>948</v>
      </c>
      <c r="E468" s="451">
        <v>46204</v>
      </c>
      <c r="F468" s="451">
        <v>46211</v>
      </c>
      <c r="G468" t="s">
        <v>279</v>
      </c>
      <c r="H468" t="s">
        <v>283</v>
      </c>
      <c r="I468" t="s">
        <v>978</v>
      </c>
      <c r="J468">
        <v>-536.73</v>
      </c>
      <c r="K468">
        <v>-536.73</v>
      </c>
      <c r="O468" t="s">
        <v>787</v>
      </c>
      <c r="Q468" t="s">
        <v>465</v>
      </c>
      <c r="R468">
        <v>0</v>
      </c>
    </row>
    <row r="469" spans="1:18" x14ac:dyDescent="0.3">
      <c r="A469">
        <v>241706</v>
      </c>
      <c r="B469" t="s">
        <v>557</v>
      </c>
      <c r="C469" t="s">
        <v>979</v>
      </c>
      <c r="D469" t="s">
        <v>980</v>
      </c>
      <c r="E469" s="451">
        <v>46204</v>
      </c>
      <c r="F469" s="451">
        <v>46217</v>
      </c>
      <c r="G469" t="s">
        <v>577</v>
      </c>
      <c r="H469" t="s">
        <v>225</v>
      </c>
      <c r="I469" t="s">
        <v>981</v>
      </c>
      <c r="J469">
        <v>-3500</v>
      </c>
      <c r="K469">
        <v>-3500</v>
      </c>
      <c r="O469" t="s">
        <v>779</v>
      </c>
      <c r="Q469" t="s">
        <v>465</v>
      </c>
      <c r="R469">
        <v>0</v>
      </c>
    </row>
    <row r="470" spans="1:18" x14ac:dyDescent="0.3">
      <c r="A470">
        <v>241709</v>
      </c>
      <c r="B470" t="s">
        <v>557</v>
      </c>
      <c r="C470" t="s">
        <v>979</v>
      </c>
      <c r="D470" t="s">
        <v>980</v>
      </c>
      <c r="E470" s="451">
        <v>46204</v>
      </c>
      <c r="F470" s="451">
        <v>46217</v>
      </c>
      <c r="G470" t="s">
        <v>577</v>
      </c>
      <c r="H470" t="s">
        <v>227</v>
      </c>
      <c r="I470" t="s">
        <v>982</v>
      </c>
      <c r="J470">
        <v>-500</v>
      </c>
      <c r="K470">
        <v>-500</v>
      </c>
      <c r="O470" t="s">
        <v>779</v>
      </c>
      <c r="Q470" t="s">
        <v>465</v>
      </c>
      <c r="R470">
        <v>0</v>
      </c>
    </row>
    <row r="471" spans="1:18" x14ac:dyDescent="0.3">
      <c r="A471">
        <v>241910</v>
      </c>
      <c r="B471" t="s">
        <v>557</v>
      </c>
      <c r="C471" t="s">
        <v>964</v>
      </c>
      <c r="D471" t="s">
        <v>961</v>
      </c>
      <c r="E471" s="451">
        <v>46204</v>
      </c>
      <c r="F471" s="451">
        <v>46198</v>
      </c>
      <c r="G471" t="s">
        <v>874</v>
      </c>
      <c r="H471" t="s">
        <v>875</v>
      </c>
      <c r="J471">
        <v>-34.659999999999997</v>
      </c>
      <c r="K471">
        <v>-34.659999999999997</v>
      </c>
      <c r="O471" t="s">
        <v>787</v>
      </c>
      <c r="P471" t="s">
        <v>894</v>
      </c>
      <c r="Q471" t="s">
        <v>465</v>
      </c>
      <c r="R471">
        <v>0</v>
      </c>
    </row>
    <row r="472" spans="1:18" x14ac:dyDescent="0.3">
      <c r="A472">
        <v>241914</v>
      </c>
      <c r="B472" t="s">
        <v>557</v>
      </c>
      <c r="C472" t="s">
        <v>964</v>
      </c>
      <c r="D472" t="s">
        <v>961</v>
      </c>
      <c r="E472" s="451">
        <v>46204</v>
      </c>
      <c r="F472" s="451">
        <v>46203</v>
      </c>
      <c r="G472" t="s">
        <v>874</v>
      </c>
      <c r="H472" t="s">
        <v>875</v>
      </c>
      <c r="J472">
        <v>-20</v>
      </c>
      <c r="K472">
        <v>-20</v>
      </c>
      <c r="O472" t="s">
        <v>787</v>
      </c>
      <c r="P472" t="s">
        <v>894</v>
      </c>
      <c r="Q472" t="s">
        <v>465</v>
      </c>
      <c r="R472">
        <v>0</v>
      </c>
    </row>
    <row r="473" spans="1:18" x14ac:dyDescent="0.3">
      <c r="A473">
        <v>220636</v>
      </c>
      <c r="B473" t="s">
        <v>557</v>
      </c>
      <c r="C473" t="s">
        <v>866</v>
      </c>
      <c r="D473" t="s">
        <v>983</v>
      </c>
      <c r="E473" s="451">
        <v>46204</v>
      </c>
      <c r="F473" s="451">
        <v>46213</v>
      </c>
      <c r="G473" t="s">
        <v>578</v>
      </c>
      <c r="H473" t="s">
        <v>240</v>
      </c>
      <c r="I473" t="s">
        <v>867</v>
      </c>
      <c r="J473">
        <v>-1703.43</v>
      </c>
      <c r="K473">
        <v>-1703.43</v>
      </c>
      <c r="O473" t="s">
        <v>787</v>
      </c>
      <c r="Q473" t="s">
        <v>465</v>
      </c>
      <c r="R473">
        <v>0</v>
      </c>
    </row>
    <row r="474" spans="1:18" x14ac:dyDescent="0.3">
      <c r="A474">
        <v>191982</v>
      </c>
      <c r="B474" t="s">
        <v>557</v>
      </c>
      <c r="C474" t="s">
        <v>832</v>
      </c>
      <c r="D474" t="s">
        <v>819</v>
      </c>
      <c r="E474" s="451">
        <v>46204</v>
      </c>
      <c r="F474" s="451">
        <v>46223</v>
      </c>
      <c r="G474" t="s">
        <v>264</v>
      </c>
      <c r="H474" t="s">
        <v>271</v>
      </c>
      <c r="I474" t="s">
        <v>833</v>
      </c>
      <c r="J474">
        <v>-1500</v>
      </c>
      <c r="K474">
        <v>-1500</v>
      </c>
      <c r="O474" t="s">
        <v>779</v>
      </c>
      <c r="Q474" t="s">
        <v>465</v>
      </c>
      <c r="R474">
        <v>0</v>
      </c>
    </row>
    <row r="475" spans="1:18" x14ac:dyDescent="0.3">
      <c r="A475">
        <v>191923</v>
      </c>
      <c r="B475" t="s">
        <v>557</v>
      </c>
      <c r="C475" t="s">
        <v>889</v>
      </c>
      <c r="D475" t="s">
        <v>819</v>
      </c>
      <c r="E475" s="451">
        <v>46204</v>
      </c>
      <c r="F475" s="451">
        <v>46223</v>
      </c>
      <c r="G475" t="s">
        <v>279</v>
      </c>
      <c r="H475" t="s">
        <v>282</v>
      </c>
      <c r="I475" t="s">
        <v>902</v>
      </c>
      <c r="J475">
        <v>-350</v>
      </c>
      <c r="K475">
        <v>-350</v>
      </c>
      <c r="O475" t="s">
        <v>779</v>
      </c>
      <c r="Q475" t="s">
        <v>465</v>
      </c>
      <c r="R475">
        <v>0</v>
      </c>
    </row>
    <row r="476" spans="1:18" x14ac:dyDescent="0.3">
      <c r="A476">
        <v>196170</v>
      </c>
      <c r="B476" t="s">
        <v>557</v>
      </c>
      <c r="C476" t="s">
        <v>907</v>
      </c>
      <c r="D476" t="s">
        <v>819</v>
      </c>
      <c r="E476" s="451">
        <v>46204</v>
      </c>
      <c r="F476" s="451">
        <v>46243</v>
      </c>
      <c r="G476" t="s">
        <v>578</v>
      </c>
      <c r="H476" t="s">
        <v>252</v>
      </c>
      <c r="I476" t="s">
        <v>908</v>
      </c>
      <c r="J476">
        <v>-4000</v>
      </c>
      <c r="K476">
        <v>-4000</v>
      </c>
      <c r="O476" t="s">
        <v>779</v>
      </c>
      <c r="Q476" t="s">
        <v>465</v>
      </c>
      <c r="R476">
        <v>0</v>
      </c>
    </row>
    <row r="477" spans="1:18" x14ac:dyDescent="0.3">
      <c r="A477">
        <v>192353</v>
      </c>
      <c r="B477" t="s">
        <v>557</v>
      </c>
      <c r="C477" t="s">
        <v>911</v>
      </c>
      <c r="D477" t="s">
        <v>984</v>
      </c>
      <c r="E477" s="451">
        <v>46204</v>
      </c>
      <c r="F477" s="451">
        <v>46213</v>
      </c>
      <c r="G477" t="s">
        <v>279</v>
      </c>
      <c r="H477" t="s">
        <v>281</v>
      </c>
      <c r="I477" t="s">
        <v>985</v>
      </c>
      <c r="J477">
        <v>-299.99</v>
      </c>
      <c r="K477">
        <v>-299.99</v>
      </c>
      <c r="O477" t="s">
        <v>787</v>
      </c>
      <c r="Q477" t="s">
        <v>465</v>
      </c>
      <c r="R477">
        <v>0</v>
      </c>
    </row>
    <row r="478" spans="1:18" x14ac:dyDescent="0.3">
      <c r="A478">
        <v>204923</v>
      </c>
      <c r="B478" t="s">
        <v>557</v>
      </c>
      <c r="C478" t="s">
        <v>842</v>
      </c>
      <c r="D478" t="s">
        <v>819</v>
      </c>
      <c r="E478" s="451">
        <v>46204</v>
      </c>
      <c r="F478" s="451">
        <v>46231</v>
      </c>
      <c r="G478" t="s">
        <v>578</v>
      </c>
      <c r="H478" t="s">
        <v>242</v>
      </c>
      <c r="I478" t="s">
        <v>843</v>
      </c>
      <c r="J478">
        <v>-300</v>
      </c>
      <c r="K478">
        <v>-300</v>
      </c>
      <c r="O478" t="s">
        <v>779</v>
      </c>
      <c r="Q478" t="s">
        <v>465</v>
      </c>
      <c r="R478">
        <v>0</v>
      </c>
    </row>
    <row r="479" spans="1:18" x14ac:dyDescent="0.3">
      <c r="A479">
        <v>192390</v>
      </c>
      <c r="B479" t="s">
        <v>557</v>
      </c>
      <c r="C479" t="s">
        <v>905</v>
      </c>
      <c r="D479" t="s">
        <v>819</v>
      </c>
      <c r="E479" s="451">
        <v>46204</v>
      </c>
      <c r="F479" s="451">
        <v>46246</v>
      </c>
      <c r="G479" t="s">
        <v>296</v>
      </c>
      <c r="H479" t="s">
        <v>298</v>
      </c>
      <c r="I479" t="s">
        <v>906</v>
      </c>
      <c r="J479">
        <v>-500</v>
      </c>
      <c r="K479">
        <v>-500</v>
      </c>
      <c r="O479" t="s">
        <v>779</v>
      </c>
      <c r="Q479" t="s">
        <v>465</v>
      </c>
      <c r="R479">
        <v>0</v>
      </c>
    </row>
    <row r="480" spans="1:18" x14ac:dyDescent="0.3">
      <c r="A480">
        <v>200454</v>
      </c>
      <c r="B480" t="s">
        <v>557</v>
      </c>
      <c r="C480" t="s">
        <v>879</v>
      </c>
      <c r="D480" t="s">
        <v>819</v>
      </c>
      <c r="E480" s="451">
        <v>46204</v>
      </c>
      <c r="F480" s="451">
        <v>46249</v>
      </c>
      <c r="G480" t="s">
        <v>570</v>
      </c>
      <c r="H480" t="s">
        <v>573</v>
      </c>
      <c r="I480" t="s">
        <v>880</v>
      </c>
      <c r="J480">
        <v>-2000</v>
      </c>
      <c r="K480">
        <v>-2000</v>
      </c>
      <c r="M480" t="s">
        <v>881</v>
      </c>
      <c r="N480" t="s">
        <v>73</v>
      </c>
      <c r="O480" t="s">
        <v>779</v>
      </c>
      <c r="Q480" t="s">
        <v>465</v>
      </c>
      <c r="R480">
        <v>0</v>
      </c>
    </row>
    <row r="481" spans="1:18" x14ac:dyDescent="0.3">
      <c r="A481">
        <v>193005</v>
      </c>
      <c r="B481" t="s">
        <v>557</v>
      </c>
      <c r="C481" t="s">
        <v>925</v>
      </c>
      <c r="D481" t="s">
        <v>819</v>
      </c>
      <c r="E481" s="451">
        <v>46204</v>
      </c>
      <c r="F481" s="451">
        <v>46239</v>
      </c>
      <c r="G481" t="s">
        <v>279</v>
      </c>
      <c r="H481" t="s">
        <v>282</v>
      </c>
      <c r="I481" t="s">
        <v>926</v>
      </c>
      <c r="J481">
        <v>-40.9</v>
      </c>
      <c r="K481">
        <v>-40.9</v>
      </c>
      <c r="O481" t="s">
        <v>779</v>
      </c>
      <c r="Q481" t="s">
        <v>465</v>
      </c>
      <c r="R481">
        <v>0</v>
      </c>
    </row>
    <row r="482" spans="1:18" x14ac:dyDescent="0.3">
      <c r="A482">
        <v>191935</v>
      </c>
      <c r="B482" t="s">
        <v>557</v>
      </c>
      <c r="C482" t="s">
        <v>889</v>
      </c>
      <c r="D482" t="s">
        <v>819</v>
      </c>
      <c r="E482" s="451">
        <v>46204</v>
      </c>
      <c r="F482" s="451">
        <v>46235</v>
      </c>
      <c r="G482" t="s">
        <v>279</v>
      </c>
      <c r="H482" t="s">
        <v>281</v>
      </c>
      <c r="I482" t="s">
        <v>890</v>
      </c>
      <c r="J482">
        <v>-200</v>
      </c>
      <c r="K482">
        <v>-200</v>
      </c>
      <c r="O482" t="s">
        <v>779</v>
      </c>
      <c r="Q482" t="s">
        <v>465</v>
      </c>
      <c r="R482">
        <v>0</v>
      </c>
    </row>
    <row r="483" spans="1:18" x14ac:dyDescent="0.3">
      <c r="A483">
        <v>192400</v>
      </c>
      <c r="B483" t="s">
        <v>557</v>
      </c>
      <c r="C483" t="s">
        <v>823</v>
      </c>
      <c r="D483" t="s">
        <v>986</v>
      </c>
      <c r="E483" s="451">
        <v>46204</v>
      </c>
      <c r="F483" s="451">
        <v>46218</v>
      </c>
      <c r="G483" t="s">
        <v>279</v>
      </c>
      <c r="H483" t="s">
        <v>286</v>
      </c>
      <c r="I483" t="s">
        <v>987</v>
      </c>
      <c r="J483">
        <v>-219</v>
      </c>
      <c r="K483">
        <v>-219</v>
      </c>
      <c r="O483" t="s">
        <v>787</v>
      </c>
      <c r="Q483" t="s">
        <v>465</v>
      </c>
      <c r="R483">
        <v>0</v>
      </c>
    </row>
    <row r="484" spans="1:18" x14ac:dyDescent="0.3">
      <c r="A484">
        <v>200467</v>
      </c>
      <c r="B484" t="s">
        <v>557</v>
      </c>
      <c r="C484" t="s">
        <v>888</v>
      </c>
      <c r="D484" t="s">
        <v>819</v>
      </c>
      <c r="E484" s="451">
        <v>46204</v>
      </c>
      <c r="F484" s="451">
        <v>46235</v>
      </c>
      <c r="G484" t="s">
        <v>570</v>
      </c>
      <c r="H484" t="s">
        <v>573</v>
      </c>
      <c r="I484" t="s">
        <v>880</v>
      </c>
      <c r="J484">
        <v>-3300</v>
      </c>
      <c r="K484">
        <v>-3300</v>
      </c>
      <c r="M484" t="s">
        <v>887</v>
      </c>
      <c r="N484" t="s">
        <v>131</v>
      </c>
      <c r="O484" t="s">
        <v>779</v>
      </c>
      <c r="Q484" t="s">
        <v>465</v>
      </c>
      <c r="R484">
        <v>0</v>
      </c>
    </row>
    <row r="485" spans="1:18" x14ac:dyDescent="0.3">
      <c r="A485">
        <v>196665</v>
      </c>
      <c r="B485" t="s">
        <v>557</v>
      </c>
      <c r="C485" t="s">
        <v>825</v>
      </c>
      <c r="D485" t="s">
        <v>819</v>
      </c>
      <c r="E485" s="451">
        <v>46204</v>
      </c>
      <c r="F485" s="451">
        <v>46223</v>
      </c>
      <c r="G485" t="s">
        <v>574</v>
      </c>
      <c r="H485" t="s">
        <v>575</v>
      </c>
      <c r="I485" t="s">
        <v>872</v>
      </c>
      <c r="J485">
        <v>-20000</v>
      </c>
      <c r="K485">
        <v>-20000</v>
      </c>
      <c r="O485" t="s">
        <v>779</v>
      </c>
      <c r="Q485" t="s">
        <v>465</v>
      </c>
      <c r="R485">
        <v>0</v>
      </c>
    </row>
    <row r="486" spans="1:18" x14ac:dyDescent="0.3">
      <c r="A486">
        <v>200480</v>
      </c>
      <c r="B486" t="s">
        <v>557</v>
      </c>
      <c r="C486" t="s">
        <v>888</v>
      </c>
      <c r="D486" t="s">
        <v>819</v>
      </c>
      <c r="E486" s="451">
        <v>46204</v>
      </c>
      <c r="F486" s="451">
        <v>46249</v>
      </c>
      <c r="G486" t="s">
        <v>570</v>
      </c>
      <c r="H486" t="s">
        <v>573</v>
      </c>
      <c r="I486" t="s">
        <v>880</v>
      </c>
      <c r="J486">
        <v>-3300</v>
      </c>
      <c r="K486">
        <v>-3300</v>
      </c>
      <c r="M486" t="s">
        <v>887</v>
      </c>
      <c r="N486" t="s">
        <v>131</v>
      </c>
      <c r="O486" t="s">
        <v>779</v>
      </c>
      <c r="Q486" t="s">
        <v>465</v>
      </c>
      <c r="R486">
        <v>0</v>
      </c>
    </row>
    <row r="487" spans="1:18" x14ac:dyDescent="0.3">
      <c r="A487">
        <v>192416</v>
      </c>
      <c r="B487" t="s">
        <v>557</v>
      </c>
      <c r="C487" t="s">
        <v>923</v>
      </c>
      <c r="D487" t="s">
        <v>819</v>
      </c>
      <c r="E487" s="451">
        <v>46204</v>
      </c>
      <c r="F487" s="451">
        <v>46228</v>
      </c>
      <c r="G487" t="s">
        <v>264</v>
      </c>
      <c r="H487" t="s">
        <v>277</v>
      </c>
      <c r="I487" t="s">
        <v>924</v>
      </c>
      <c r="J487">
        <v>-500</v>
      </c>
      <c r="K487">
        <v>-500</v>
      </c>
      <c r="O487" t="s">
        <v>779</v>
      </c>
      <c r="Q487" t="s">
        <v>465</v>
      </c>
      <c r="R487">
        <v>0</v>
      </c>
    </row>
    <row r="488" spans="1:18" x14ac:dyDescent="0.3">
      <c r="A488">
        <v>200493</v>
      </c>
      <c r="B488" t="s">
        <v>557</v>
      </c>
      <c r="C488" t="s">
        <v>888</v>
      </c>
      <c r="D488" t="s">
        <v>819</v>
      </c>
      <c r="E488" s="451">
        <v>46204</v>
      </c>
      <c r="F488" s="451">
        <v>46259</v>
      </c>
      <c r="G488" t="s">
        <v>570</v>
      </c>
      <c r="H488" t="s">
        <v>573</v>
      </c>
      <c r="I488" t="s">
        <v>880</v>
      </c>
      <c r="J488">
        <v>-4400</v>
      </c>
      <c r="K488">
        <v>-4400</v>
      </c>
      <c r="M488" t="s">
        <v>887</v>
      </c>
      <c r="N488" t="s">
        <v>131</v>
      </c>
      <c r="O488" t="s">
        <v>779</v>
      </c>
      <c r="Q488" t="s">
        <v>465</v>
      </c>
      <c r="R488">
        <v>0</v>
      </c>
    </row>
    <row r="489" spans="1:18" x14ac:dyDescent="0.3">
      <c r="A489">
        <v>191838</v>
      </c>
      <c r="B489" t="s">
        <v>557</v>
      </c>
      <c r="C489" t="s">
        <v>838</v>
      </c>
      <c r="D489" t="s">
        <v>988</v>
      </c>
      <c r="E489" s="451">
        <v>46204</v>
      </c>
      <c r="F489" s="451">
        <v>46216</v>
      </c>
      <c r="G489" t="s">
        <v>264</v>
      </c>
      <c r="H489" t="s">
        <v>267</v>
      </c>
      <c r="I489" t="s">
        <v>989</v>
      </c>
      <c r="J489">
        <v>-6335.77</v>
      </c>
      <c r="K489">
        <v>-6335.77</v>
      </c>
      <c r="O489" t="s">
        <v>787</v>
      </c>
      <c r="Q489" t="s">
        <v>465</v>
      </c>
      <c r="R489">
        <v>0</v>
      </c>
    </row>
    <row r="490" spans="1:18" x14ac:dyDescent="0.3">
      <c r="A490">
        <v>192562</v>
      </c>
      <c r="B490" t="s">
        <v>557</v>
      </c>
      <c r="C490" t="s">
        <v>917</v>
      </c>
      <c r="D490" t="s">
        <v>819</v>
      </c>
      <c r="E490" s="451">
        <v>46204</v>
      </c>
      <c r="F490" s="451">
        <v>46256</v>
      </c>
      <c r="G490" t="s">
        <v>318</v>
      </c>
      <c r="H490" t="s">
        <v>321</v>
      </c>
      <c r="I490" t="s">
        <v>918</v>
      </c>
      <c r="J490">
        <v>-200</v>
      </c>
      <c r="K490">
        <v>-200</v>
      </c>
      <c r="O490" t="s">
        <v>779</v>
      </c>
      <c r="Q490" t="s">
        <v>465</v>
      </c>
      <c r="R490">
        <v>0</v>
      </c>
    </row>
    <row r="491" spans="1:18" x14ac:dyDescent="0.3">
      <c r="A491">
        <v>200532</v>
      </c>
      <c r="B491" t="s">
        <v>557</v>
      </c>
      <c r="C491" t="s">
        <v>886</v>
      </c>
      <c r="D491" t="s">
        <v>819</v>
      </c>
      <c r="E491" s="451">
        <v>46204</v>
      </c>
      <c r="F491" s="451">
        <v>46235</v>
      </c>
      <c r="G491" t="s">
        <v>570</v>
      </c>
      <c r="H491" t="s">
        <v>573</v>
      </c>
      <c r="I491" t="s">
        <v>880</v>
      </c>
      <c r="J491">
        <v>-3300</v>
      </c>
      <c r="K491">
        <v>-3300</v>
      </c>
      <c r="M491" t="s">
        <v>887</v>
      </c>
      <c r="N491" t="s">
        <v>131</v>
      </c>
      <c r="O491" t="s">
        <v>779</v>
      </c>
      <c r="Q491" t="s">
        <v>465</v>
      </c>
      <c r="R491">
        <v>0</v>
      </c>
    </row>
    <row r="492" spans="1:18" x14ac:dyDescent="0.3">
      <c r="A492">
        <v>192484</v>
      </c>
      <c r="B492" t="s">
        <v>557</v>
      </c>
      <c r="C492" t="s">
        <v>934</v>
      </c>
      <c r="D492" t="s">
        <v>819</v>
      </c>
      <c r="E492" s="451">
        <v>46204</v>
      </c>
      <c r="F492" s="451">
        <v>46223</v>
      </c>
      <c r="G492" t="s">
        <v>308</v>
      </c>
      <c r="H492" t="s">
        <v>312</v>
      </c>
      <c r="I492" t="s">
        <v>935</v>
      </c>
      <c r="J492">
        <v>-185</v>
      </c>
      <c r="K492">
        <v>-185</v>
      </c>
      <c r="O492" t="s">
        <v>779</v>
      </c>
      <c r="Q492" t="s">
        <v>465</v>
      </c>
      <c r="R492">
        <v>0</v>
      </c>
    </row>
    <row r="493" spans="1:18" x14ac:dyDescent="0.3">
      <c r="A493">
        <v>200545</v>
      </c>
      <c r="B493" t="s">
        <v>557</v>
      </c>
      <c r="C493" t="s">
        <v>886</v>
      </c>
      <c r="D493" t="s">
        <v>819</v>
      </c>
      <c r="E493" s="451">
        <v>46204</v>
      </c>
      <c r="F493" s="451">
        <v>46249</v>
      </c>
      <c r="G493" t="s">
        <v>570</v>
      </c>
      <c r="H493" t="s">
        <v>573</v>
      </c>
      <c r="I493" t="s">
        <v>880</v>
      </c>
      <c r="J493">
        <v>-3300</v>
      </c>
      <c r="K493">
        <v>-3300</v>
      </c>
      <c r="M493" t="s">
        <v>887</v>
      </c>
      <c r="N493" t="s">
        <v>131</v>
      </c>
      <c r="O493" t="s">
        <v>779</v>
      </c>
      <c r="Q493" t="s">
        <v>465</v>
      </c>
      <c r="R493">
        <v>0</v>
      </c>
    </row>
    <row r="494" spans="1:18" x14ac:dyDescent="0.3">
      <c r="A494">
        <v>192029</v>
      </c>
      <c r="B494" t="s">
        <v>557</v>
      </c>
      <c r="C494" t="s">
        <v>870</v>
      </c>
      <c r="D494" t="s">
        <v>819</v>
      </c>
      <c r="E494" s="451">
        <v>46204</v>
      </c>
      <c r="F494" s="451">
        <v>46223</v>
      </c>
      <c r="G494" t="s">
        <v>308</v>
      </c>
      <c r="H494" t="s">
        <v>311</v>
      </c>
      <c r="I494" t="s">
        <v>871</v>
      </c>
      <c r="J494">
        <v>-1250</v>
      </c>
      <c r="K494">
        <v>-1250</v>
      </c>
      <c r="O494" t="s">
        <v>779</v>
      </c>
      <c r="Q494" t="s">
        <v>465</v>
      </c>
      <c r="R494">
        <v>0</v>
      </c>
    </row>
    <row r="495" spans="1:18" x14ac:dyDescent="0.3">
      <c r="A495">
        <v>200581</v>
      </c>
      <c r="B495" t="s">
        <v>557</v>
      </c>
      <c r="C495" t="s">
        <v>882</v>
      </c>
      <c r="D495" t="s">
        <v>819</v>
      </c>
      <c r="E495" s="451">
        <v>46204</v>
      </c>
      <c r="F495" s="451">
        <v>46249</v>
      </c>
      <c r="G495" t="s">
        <v>570</v>
      </c>
      <c r="H495" t="s">
        <v>573</v>
      </c>
      <c r="I495" t="s">
        <v>880</v>
      </c>
      <c r="J495">
        <v>-3250</v>
      </c>
      <c r="K495">
        <v>-3250</v>
      </c>
      <c r="M495" t="s">
        <v>883</v>
      </c>
      <c r="N495" t="s">
        <v>135</v>
      </c>
      <c r="O495" t="s">
        <v>779</v>
      </c>
      <c r="Q495" t="s">
        <v>465</v>
      </c>
      <c r="R495">
        <v>0</v>
      </c>
    </row>
    <row r="496" spans="1:18" x14ac:dyDescent="0.3">
      <c r="A496">
        <v>196326</v>
      </c>
      <c r="B496" t="s">
        <v>557</v>
      </c>
      <c r="C496" t="s">
        <v>834</v>
      </c>
      <c r="D496" t="s">
        <v>990</v>
      </c>
      <c r="E496" s="451">
        <v>46204</v>
      </c>
      <c r="F496" s="451">
        <v>46198</v>
      </c>
      <c r="G496" t="s">
        <v>578</v>
      </c>
      <c r="H496" t="s">
        <v>239</v>
      </c>
      <c r="I496" t="s">
        <v>844</v>
      </c>
      <c r="J496">
        <v>-1037.28</v>
      </c>
      <c r="K496">
        <v>-1037.28</v>
      </c>
      <c r="O496" t="s">
        <v>787</v>
      </c>
      <c r="P496" t="s">
        <v>894</v>
      </c>
      <c r="Q496" t="s">
        <v>465</v>
      </c>
      <c r="R496">
        <v>0</v>
      </c>
    </row>
    <row r="497" spans="1:18" x14ac:dyDescent="0.3">
      <c r="A497">
        <v>193430</v>
      </c>
      <c r="B497" t="s">
        <v>557</v>
      </c>
      <c r="C497" t="s">
        <v>873</v>
      </c>
      <c r="D497" t="s">
        <v>819</v>
      </c>
      <c r="E497" s="451">
        <v>46204</v>
      </c>
      <c r="F497" s="451">
        <v>46221</v>
      </c>
      <c r="G497" t="s">
        <v>874</v>
      </c>
      <c r="H497" t="s">
        <v>875</v>
      </c>
      <c r="I497" t="s">
        <v>876</v>
      </c>
      <c r="J497">
        <v>-400</v>
      </c>
      <c r="K497">
        <v>-400</v>
      </c>
      <c r="O497" t="s">
        <v>779</v>
      </c>
      <c r="Q497" t="s">
        <v>465</v>
      </c>
      <c r="R497">
        <v>0</v>
      </c>
    </row>
    <row r="498" spans="1:18" x14ac:dyDescent="0.3">
      <c r="A498">
        <v>192503</v>
      </c>
      <c r="B498" t="s">
        <v>557</v>
      </c>
      <c r="C498" t="s">
        <v>936</v>
      </c>
      <c r="D498" t="s">
        <v>991</v>
      </c>
      <c r="E498" s="451">
        <v>46204</v>
      </c>
      <c r="F498" s="451">
        <v>46223</v>
      </c>
      <c r="G498" t="s">
        <v>318</v>
      </c>
      <c r="H498" t="s">
        <v>319</v>
      </c>
      <c r="I498" t="s">
        <v>992</v>
      </c>
      <c r="J498">
        <v>-1264</v>
      </c>
      <c r="K498">
        <v>-1264</v>
      </c>
      <c r="O498" t="s">
        <v>787</v>
      </c>
      <c r="Q498" t="s">
        <v>465</v>
      </c>
      <c r="R498">
        <v>0</v>
      </c>
    </row>
    <row r="499" spans="1:18" x14ac:dyDescent="0.3">
      <c r="A499">
        <v>200557</v>
      </c>
      <c r="B499" t="s">
        <v>557</v>
      </c>
      <c r="C499" t="s">
        <v>884</v>
      </c>
      <c r="D499" t="s">
        <v>819</v>
      </c>
      <c r="E499" s="451">
        <v>46204</v>
      </c>
      <c r="F499" s="451">
        <v>46235</v>
      </c>
      <c r="G499" t="s">
        <v>570</v>
      </c>
      <c r="H499" t="s">
        <v>573</v>
      </c>
      <c r="I499" t="s">
        <v>880</v>
      </c>
      <c r="J499">
        <v>-1750</v>
      </c>
      <c r="K499">
        <v>-1750</v>
      </c>
      <c r="M499" t="s">
        <v>885</v>
      </c>
      <c r="N499" t="s">
        <v>134</v>
      </c>
      <c r="O499" t="s">
        <v>779</v>
      </c>
      <c r="Q499" t="s">
        <v>465</v>
      </c>
      <c r="R499">
        <v>0</v>
      </c>
    </row>
    <row r="500" spans="1:18" x14ac:dyDescent="0.3">
      <c r="A500">
        <v>196302</v>
      </c>
      <c r="B500" t="s">
        <v>557</v>
      </c>
      <c r="C500" t="s">
        <v>834</v>
      </c>
      <c r="D500" t="s">
        <v>993</v>
      </c>
      <c r="E500" s="451">
        <v>46204</v>
      </c>
      <c r="F500" s="451">
        <v>46202</v>
      </c>
      <c r="G500" t="s">
        <v>578</v>
      </c>
      <c r="H500" t="s">
        <v>239</v>
      </c>
      <c r="I500" t="s">
        <v>835</v>
      </c>
      <c r="J500">
        <v>-5440.66</v>
      </c>
      <c r="K500">
        <v>-5440.66</v>
      </c>
      <c r="O500" t="s">
        <v>787</v>
      </c>
      <c r="P500" t="s">
        <v>894</v>
      </c>
      <c r="Q500" t="s">
        <v>465</v>
      </c>
      <c r="R500">
        <v>0</v>
      </c>
    </row>
    <row r="501" spans="1:18" x14ac:dyDescent="0.3">
      <c r="A501">
        <v>200569</v>
      </c>
      <c r="B501" t="s">
        <v>557</v>
      </c>
      <c r="C501" t="s">
        <v>882</v>
      </c>
      <c r="D501" t="s">
        <v>819</v>
      </c>
      <c r="E501" s="451">
        <v>46204</v>
      </c>
      <c r="F501" s="451">
        <v>46235</v>
      </c>
      <c r="G501" t="s">
        <v>570</v>
      </c>
      <c r="H501" t="s">
        <v>573</v>
      </c>
      <c r="I501" t="s">
        <v>880</v>
      </c>
      <c r="J501">
        <v>-3250</v>
      </c>
      <c r="K501">
        <v>-3250</v>
      </c>
      <c r="M501" t="s">
        <v>883</v>
      </c>
      <c r="N501" t="s">
        <v>135</v>
      </c>
      <c r="O501" t="s">
        <v>779</v>
      </c>
      <c r="Q501" t="s">
        <v>465</v>
      </c>
      <c r="R501">
        <v>0</v>
      </c>
    </row>
    <row r="502" spans="1:18" x14ac:dyDescent="0.3">
      <c r="A502">
        <v>192515</v>
      </c>
      <c r="B502" t="s">
        <v>557</v>
      </c>
      <c r="C502" t="s">
        <v>836</v>
      </c>
      <c r="D502" t="s">
        <v>819</v>
      </c>
      <c r="E502" s="451">
        <v>46204</v>
      </c>
      <c r="F502" s="451">
        <v>46224</v>
      </c>
      <c r="G502" t="s">
        <v>318</v>
      </c>
      <c r="H502" t="s">
        <v>319</v>
      </c>
      <c r="I502" t="s">
        <v>837</v>
      </c>
      <c r="J502">
        <v>-500</v>
      </c>
      <c r="K502">
        <v>-500</v>
      </c>
      <c r="O502" t="s">
        <v>779</v>
      </c>
      <c r="Q502" t="s">
        <v>465</v>
      </c>
      <c r="R502">
        <v>0</v>
      </c>
    </row>
    <row r="503" spans="1:18" x14ac:dyDescent="0.3">
      <c r="A503">
        <v>192598</v>
      </c>
      <c r="B503" t="s">
        <v>557</v>
      </c>
      <c r="C503" t="s">
        <v>840</v>
      </c>
      <c r="D503" t="s">
        <v>994</v>
      </c>
      <c r="E503" s="451">
        <v>46204</v>
      </c>
      <c r="F503" s="451">
        <v>46231</v>
      </c>
      <c r="G503" t="s">
        <v>581</v>
      </c>
      <c r="H503" t="s">
        <v>288</v>
      </c>
      <c r="I503" t="s">
        <v>841</v>
      </c>
      <c r="J503">
        <v>-2500</v>
      </c>
      <c r="K503">
        <v>-2500</v>
      </c>
      <c r="O503" t="s">
        <v>787</v>
      </c>
      <c r="Q503" t="s">
        <v>465</v>
      </c>
      <c r="R503">
        <v>0</v>
      </c>
    </row>
    <row r="504" spans="1:18" x14ac:dyDescent="0.3">
      <c r="A504">
        <v>192946</v>
      </c>
      <c r="B504" t="s">
        <v>557</v>
      </c>
      <c r="C504" t="s">
        <v>921</v>
      </c>
      <c r="D504" t="s">
        <v>819</v>
      </c>
      <c r="E504" s="451">
        <v>46204</v>
      </c>
      <c r="F504" s="451">
        <v>46239</v>
      </c>
      <c r="G504" t="s">
        <v>296</v>
      </c>
      <c r="H504" t="s">
        <v>301</v>
      </c>
      <c r="I504" t="s">
        <v>922</v>
      </c>
      <c r="J504">
        <v>-1500</v>
      </c>
      <c r="K504">
        <v>-1500</v>
      </c>
      <c r="O504" t="s">
        <v>779</v>
      </c>
      <c r="Q504" t="s">
        <v>465</v>
      </c>
      <c r="R504">
        <v>0</v>
      </c>
    </row>
    <row r="505" spans="1:18" x14ac:dyDescent="0.3">
      <c r="A505">
        <v>191754</v>
      </c>
      <c r="B505" t="s">
        <v>557</v>
      </c>
      <c r="C505" t="s">
        <v>895</v>
      </c>
      <c r="D505" t="s">
        <v>995</v>
      </c>
      <c r="E505" s="451">
        <v>46204</v>
      </c>
      <c r="F505" s="451">
        <v>46218</v>
      </c>
      <c r="G505" t="s">
        <v>308</v>
      </c>
      <c r="H505" t="s">
        <v>309</v>
      </c>
      <c r="I505" t="s">
        <v>996</v>
      </c>
      <c r="J505">
        <v>-2318.19</v>
      </c>
      <c r="K505">
        <v>-2175.62</v>
      </c>
      <c r="O505" t="s">
        <v>787</v>
      </c>
      <c r="Q505" t="s">
        <v>465</v>
      </c>
      <c r="R505">
        <v>0</v>
      </c>
    </row>
    <row r="506" spans="1:18" x14ac:dyDescent="0.3">
      <c r="A506">
        <v>191887</v>
      </c>
      <c r="B506" t="s">
        <v>557</v>
      </c>
      <c r="C506" t="s">
        <v>900</v>
      </c>
      <c r="D506" t="s">
        <v>819</v>
      </c>
      <c r="E506" s="451">
        <v>46204</v>
      </c>
      <c r="F506" s="451">
        <v>46239</v>
      </c>
      <c r="G506" t="s">
        <v>264</v>
      </c>
      <c r="H506" t="s">
        <v>266</v>
      </c>
      <c r="I506" t="s">
        <v>901</v>
      </c>
      <c r="J506">
        <v>-15000</v>
      </c>
      <c r="K506">
        <v>-15000</v>
      </c>
      <c r="O506" t="s">
        <v>779</v>
      </c>
      <c r="Q506" t="s">
        <v>465</v>
      </c>
      <c r="R506">
        <v>0</v>
      </c>
    </row>
    <row r="507" spans="1:18" x14ac:dyDescent="0.3">
      <c r="A507">
        <v>192192</v>
      </c>
      <c r="B507" t="s">
        <v>557</v>
      </c>
      <c r="C507" t="s">
        <v>919</v>
      </c>
      <c r="D507" t="s">
        <v>819</v>
      </c>
      <c r="E507" s="451">
        <v>46204</v>
      </c>
      <c r="F507" s="451">
        <v>46239</v>
      </c>
      <c r="G507" t="s">
        <v>279</v>
      </c>
      <c r="H507" t="s">
        <v>284</v>
      </c>
      <c r="I507" t="s">
        <v>920</v>
      </c>
      <c r="J507">
        <v>-530</v>
      </c>
      <c r="K507">
        <v>-530</v>
      </c>
      <c r="O507" t="s">
        <v>779</v>
      </c>
      <c r="Q507" t="s">
        <v>465</v>
      </c>
      <c r="R507">
        <v>0</v>
      </c>
    </row>
    <row r="508" spans="1:18" x14ac:dyDescent="0.3">
      <c r="A508">
        <v>192166</v>
      </c>
      <c r="B508" t="s">
        <v>557</v>
      </c>
      <c r="C508" t="s">
        <v>932</v>
      </c>
      <c r="D508" t="s">
        <v>997</v>
      </c>
      <c r="E508" s="451">
        <v>46204</v>
      </c>
      <c r="F508" s="451">
        <v>46218</v>
      </c>
      <c r="G508" t="s">
        <v>264</v>
      </c>
      <c r="H508" t="s">
        <v>270</v>
      </c>
      <c r="I508" t="s">
        <v>998</v>
      </c>
      <c r="J508">
        <v>-550</v>
      </c>
      <c r="K508">
        <v>-550</v>
      </c>
      <c r="O508" t="s">
        <v>787</v>
      </c>
      <c r="Q508" t="s">
        <v>465</v>
      </c>
      <c r="R508">
        <v>0</v>
      </c>
    </row>
    <row r="509" spans="1:18" x14ac:dyDescent="0.3">
      <c r="A509">
        <v>191727</v>
      </c>
      <c r="B509" t="s">
        <v>557</v>
      </c>
      <c r="C509" t="s">
        <v>895</v>
      </c>
      <c r="D509" t="s">
        <v>999</v>
      </c>
      <c r="E509" s="451">
        <v>46204</v>
      </c>
      <c r="F509" s="451">
        <v>46218</v>
      </c>
      <c r="G509" t="s">
        <v>308</v>
      </c>
      <c r="H509" t="s">
        <v>309</v>
      </c>
      <c r="I509" t="s">
        <v>950</v>
      </c>
      <c r="J509">
        <v>-842.56</v>
      </c>
      <c r="K509">
        <v>-829.92</v>
      </c>
      <c r="O509" t="s">
        <v>787</v>
      </c>
      <c r="Q509" t="s">
        <v>465</v>
      </c>
      <c r="R509">
        <v>0</v>
      </c>
    </row>
    <row r="510" spans="1:18" x14ac:dyDescent="0.3">
      <c r="A510">
        <v>196409</v>
      </c>
      <c r="B510" t="s">
        <v>557</v>
      </c>
      <c r="C510" t="s">
        <v>825</v>
      </c>
      <c r="D510" t="s">
        <v>819</v>
      </c>
      <c r="E510" s="451">
        <v>46204</v>
      </c>
      <c r="F510" s="451">
        <v>46240</v>
      </c>
      <c r="G510" t="s">
        <v>574</v>
      </c>
      <c r="H510" t="s">
        <v>575</v>
      </c>
      <c r="I510" t="s">
        <v>826</v>
      </c>
      <c r="J510">
        <v>-47000</v>
      </c>
      <c r="K510">
        <v>-47000</v>
      </c>
      <c r="O510" t="s">
        <v>779</v>
      </c>
      <c r="Q510" t="s">
        <v>465</v>
      </c>
      <c r="R510">
        <v>0</v>
      </c>
    </row>
    <row r="511" spans="1:18" x14ac:dyDescent="0.3">
      <c r="A511">
        <v>192573</v>
      </c>
      <c r="B511" t="s">
        <v>557</v>
      </c>
      <c r="C511" t="s">
        <v>830</v>
      </c>
      <c r="D511" t="s">
        <v>1000</v>
      </c>
      <c r="E511" s="451">
        <v>46204</v>
      </c>
      <c r="F511" s="451">
        <v>46223</v>
      </c>
      <c r="G511" t="s">
        <v>264</v>
      </c>
      <c r="H511" t="s">
        <v>276</v>
      </c>
      <c r="I511" t="s">
        <v>1001</v>
      </c>
      <c r="J511">
        <v>-1512</v>
      </c>
      <c r="K511">
        <v>-1512</v>
      </c>
      <c r="O511" t="s">
        <v>787</v>
      </c>
      <c r="Q511" t="s">
        <v>465</v>
      </c>
      <c r="R511">
        <v>0</v>
      </c>
    </row>
    <row r="512" spans="1:18" x14ac:dyDescent="0.3">
      <c r="A512">
        <v>192959</v>
      </c>
      <c r="B512" t="s">
        <v>557</v>
      </c>
      <c r="C512" t="s">
        <v>903</v>
      </c>
      <c r="D512" t="s">
        <v>819</v>
      </c>
      <c r="E512" s="451">
        <v>46204</v>
      </c>
      <c r="F512" s="451">
        <v>46239</v>
      </c>
      <c r="G512" t="s">
        <v>279</v>
      </c>
      <c r="H512" t="s">
        <v>283</v>
      </c>
      <c r="I512" t="s">
        <v>904</v>
      </c>
      <c r="J512">
        <v>-293.93</v>
      </c>
      <c r="K512">
        <v>-293.93</v>
      </c>
      <c r="O512" t="s">
        <v>779</v>
      </c>
      <c r="Q512" t="s">
        <v>465</v>
      </c>
      <c r="R512">
        <v>0</v>
      </c>
    </row>
    <row r="513" spans="1:18" x14ac:dyDescent="0.3">
      <c r="A513">
        <v>191851</v>
      </c>
      <c r="B513" t="s">
        <v>557</v>
      </c>
      <c r="C513" t="s">
        <v>898</v>
      </c>
      <c r="D513" t="s">
        <v>819</v>
      </c>
      <c r="E513" s="451">
        <v>46204</v>
      </c>
      <c r="F513" s="451">
        <v>46236</v>
      </c>
      <c r="G513" t="s">
        <v>279</v>
      </c>
      <c r="H513" t="s">
        <v>281</v>
      </c>
      <c r="I513" t="s">
        <v>899</v>
      </c>
      <c r="J513">
        <v>-400</v>
      </c>
      <c r="K513">
        <v>-400</v>
      </c>
      <c r="O513" t="s">
        <v>779</v>
      </c>
      <c r="Q513" t="s">
        <v>465</v>
      </c>
      <c r="R513">
        <v>0</v>
      </c>
    </row>
    <row r="514" spans="1:18" x14ac:dyDescent="0.3">
      <c r="A514">
        <v>192131</v>
      </c>
      <c r="B514" t="s">
        <v>557</v>
      </c>
      <c r="C514" t="s">
        <v>909</v>
      </c>
      <c r="D514" t="s">
        <v>819</v>
      </c>
      <c r="E514" s="451">
        <v>46204</v>
      </c>
      <c r="F514" s="451">
        <v>46223</v>
      </c>
      <c r="G514" t="s">
        <v>308</v>
      </c>
      <c r="H514" t="s">
        <v>311</v>
      </c>
      <c r="I514" t="s">
        <v>910</v>
      </c>
      <c r="J514">
        <v>-300</v>
      </c>
      <c r="K514">
        <v>-300</v>
      </c>
      <c r="O514" t="s">
        <v>779</v>
      </c>
      <c r="Q514" t="s">
        <v>465</v>
      </c>
      <c r="R514">
        <v>0</v>
      </c>
    </row>
    <row r="515" spans="1:18" x14ac:dyDescent="0.3">
      <c r="A515">
        <v>192332</v>
      </c>
      <c r="B515" t="s">
        <v>557</v>
      </c>
      <c r="C515" t="s">
        <v>913</v>
      </c>
      <c r="D515" t="s">
        <v>819</v>
      </c>
      <c r="E515" s="451">
        <v>46204</v>
      </c>
      <c r="F515" s="451">
        <v>46237</v>
      </c>
      <c r="G515" t="s">
        <v>296</v>
      </c>
      <c r="H515" t="s">
        <v>297</v>
      </c>
      <c r="I515" t="s">
        <v>914</v>
      </c>
      <c r="J515">
        <v>-4000</v>
      </c>
      <c r="K515">
        <v>-4000</v>
      </c>
      <c r="M515" t="s">
        <v>915</v>
      </c>
      <c r="N515" t="s">
        <v>916</v>
      </c>
      <c r="O515" t="s">
        <v>779</v>
      </c>
      <c r="Q515" t="s">
        <v>465</v>
      </c>
      <c r="R515">
        <v>0</v>
      </c>
    </row>
    <row r="516" spans="1:18" x14ac:dyDescent="0.3">
      <c r="A516">
        <v>192093</v>
      </c>
      <c r="B516" t="s">
        <v>557</v>
      </c>
      <c r="C516" t="s">
        <v>877</v>
      </c>
      <c r="D516" t="s">
        <v>819</v>
      </c>
      <c r="E516" s="451">
        <v>46204</v>
      </c>
      <c r="F516" s="451">
        <v>46252</v>
      </c>
      <c r="G516" t="s">
        <v>308</v>
      </c>
      <c r="H516" t="s">
        <v>314</v>
      </c>
      <c r="I516" t="s">
        <v>878</v>
      </c>
      <c r="J516">
        <v>-708.18</v>
      </c>
      <c r="K516">
        <v>-708.18</v>
      </c>
      <c r="O516" t="s">
        <v>779</v>
      </c>
      <c r="Q516" t="s">
        <v>465</v>
      </c>
      <c r="R516">
        <v>0</v>
      </c>
    </row>
    <row r="517" spans="1:18" x14ac:dyDescent="0.3">
      <c r="A517">
        <v>192065</v>
      </c>
      <c r="B517" t="s">
        <v>557</v>
      </c>
      <c r="C517" t="s">
        <v>851</v>
      </c>
      <c r="D517" t="s">
        <v>819</v>
      </c>
      <c r="E517" s="451">
        <v>46203</v>
      </c>
      <c r="F517" s="451">
        <v>46223</v>
      </c>
      <c r="G517" t="s">
        <v>318</v>
      </c>
      <c r="H517" t="s">
        <v>320</v>
      </c>
      <c r="I517" t="s">
        <v>852</v>
      </c>
      <c r="J517">
        <v>-200</v>
      </c>
      <c r="K517">
        <v>-200</v>
      </c>
      <c r="O517" t="s">
        <v>779</v>
      </c>
      <c r="Q517" t="s">
        <v>464</v>
      </c>
      <c r="R517">
        <v>0</v>
      </c>
    </row>
    <row r="518" spans="1:18" x14ac:dyDescent="0.3">
      <c r="A518">
        <v>197654</v>
      </c>
      <c r="B518" t="s">
        <v>557</v>
      </c>
      <c r="C518" t="s">
        <v>849</v>
      </c>
      <c r="D518" t="s">
        <v>819</v>
      </c>
      <c r="E518" s="451">
        <v>46203</v>
      </c>
      <c r="F518" s="451">
        <v>46223</v>
      </c>
      <c r="G518" t="s">
        <v>308</v>
      </c>
      <c r="H518" t="s">
        <v>309</v>
      </c>
      <c r="I518" t="s">
        <v>850</v>
      </c>
      <c r="J518">
        <v>-200</v>
      </c>
      <c r="K518">
        <v>-200</v>
      </c>
      <c r="O518" t="s">
        <v>779</v>
      </c>
      <c r="Q518" t="s">
        <v>464</v>
      </c>
      <c r="R518">
        <v>0</v>
      </c>
    </row>
    <row r="519" spans="1:18" x14ac:dyDescent="0.3">
      <c r="A519">
        <v>197472</v>
      </c>
      <c r="B519" t="s">
        <v>557</v>
      </c>
      <c r="C519" t="s">
        <v>845</v>
      </c>
      <c r="D519" t="s">
        <v>819</v>
      </c>
      <c r="E519" s="451">
        <v>46203</v>
      </c>
      <c r="F519" s="451">
        <v>46223</v>
      </c>
      <c r="G519" t="s">
        <v>308</v>
      </c>
      <c r="H519" t="s">
        <v>309</v>
      </c>
      <c r="I519" t="s">
        <v>853</v>
      </c>
      <c r="J519">
        <v>-20</v>
      </c>
      <c r="K519">
        <v>-20</v>
      </c>
      <c r="O519" t="s">
        <v>779</v>
      </c>
      <c r="Q519" t="s">
        <v>464</v>
      </c>
      <c r="R519">
        <v>0</v>
      </c>
    </row>
    <row r="520" spans="1:18" x14ac:dyDescent="0.3">
      <c r="A520">
        <v>207155</v>
      </c>
      <c r="B520" t="s">
        <v>557</v>
      </c>
      <c r="C520" t="s">
        <v>429</v>
      </c>
      <c r="D520" t="s">
        <v>819</v>
      </c>
      <c r="E520" s="451">
        <v>46203</v>
      </c>
      <c r="F520" s="451">
        <v>46223</v>
      </c>
      <c r="G520" t="s">
        <v>577</v>
      </c>
      <c r="H520" t="s">
        <v>211</v>
      </c>
      <c r="I520" t="s">
        <v>848</v>
      </c>
      <c r="J520">
        <v>-10500</v>
      </c>
      <c r="K520">
        <v>-10500</v>
      </c>
      <c r="O520" t="s">
        <v>779</v>
      </c>
      <c r="Q520" t="s">
        <v>464</v>
      </c>
      <c r="R520">
        <v>0</v>
      </c>
    </row>
    <row r="521" spans="1:18" x14ac:dyDescent="0.3">
      <c r="A521">
        <v>210554</v>
      </c>
      <c r="B521" t="s">
        <v>557</v>
      </c>
      <c r="C521" t="s">
        <v>518</v>
      </c>
      <c r="D521" t="s">
        <v>819</v>
      </c>
      <c r="E521" s="451">
        <v>46203</v>
      </c>
      <c r="F521" s="451">
        <v>46228</v>
      </c>
      <c r="G521" t="s">
        <v>563</v>
      </c>
      <c r="H521" t="s">
        <v>46</v>
      </c>
      <c r="J521">
        <v>-12000</v>
      </c>
      <c r="K521">
        <v>-12000</v>
      </c>
      <c r="O521" t="s">
        <v>779</v>
      </c>
      <c r="Q521" t="s">
        <v>464</v>
      </c>
      <c r="R521">
        <v>0</v>
      </c>
    </row>
    <row r="522" spans="1:18" x14ac:dyDescent="0.3">
      <c r="A522">
        <v>208285</v>
      </c>
      <c r="B522" t="s">
        <v>557</v>
      </c>
      <c r="C522" t="s">
        <v>428</v>
      </c>
      <c r="D522" t="s">
        <v>819</v>
      </c>
      <c r="E522" s="451">
        <v>46203</v>
      </c>
      <c r="F522" s="451">
        <v>46223</v>
      </c>
      <c r="G522" t="s">
        <v>577</v>
      </c>
      <c r="H522" t="s">
        <v>206</v>
      </c>
      <c r="J522">
        <v>-4800</v>
      </c>
      <c r="K522">
        <v>-4800</v>
      </c>
      <c r="O522" t="s">
        <v>779</v>
      </c>
      <c r="Q522" t="s">
        <v>464</v>
      </c>
      <c r="R522">
        <v>0</v>
      </c>
    </row>
    <row r="523" spans="1:18" x14ac:dyDescent="0.3">
      <c r="A523">
        <v>208529</v>
      </c>
      <c r="B523" t="s">
        <v>557</v>
      </c>
      <c r="C523" t="s">
        <v>845</v>
      </c>
      <c r="D523" t="s">
        <v>819</v>
      </c>
      <c r="E523" s="451">
        <v>46203</v>
      </c>
      <c r="F523" s="451">
        <v>46223</v>
      </c>
      <c r="G523" t="s">
        <v>577</v>
      </c>
      <c r="H523" t="s">
        <v>846</v>
      </c>
      <c r="J523">
        <v>-1700</v>
      </c>
      <c r="K523">
        <v>-1700</v>
      </c>
      <c r="O523" t="s">
        <v>779</v>
      </c>
      <c r="Q523" t="s">
        <v>464</v>
      </c>
      <c r="R523">
        <v>0</v>
      </c>
    </row>
    <row r="524" spans="1:18" x14ac:dyDescent="0.3">
      <c r="A524">
        <v>202388</v>
      </c>
      <c r="B524" t="s">
        <v>557</v>
      </c>
      <c r="C524" t="s">
        <v>847</v>
      </c>
      <c r="D524" t="s">
        <v>1002</v>
      </c>
      <c r="E524" s="451">
        <v>46203</v>
      </c>
      <c r="F524" s="451">
        <v>46225</v>
      </c>
      <c r="G524" t="s">
        <v>578</v>
      </c>
      <c r="H524" t="s">
        <v>247</v>
      </c>
      <c r="J524">
        <v>-391.22</v>
      </c>
      <c r="K524">
        <v>-391.22</v>
      </c>
      <c r="O524" t="s">
        <v>787</v>
      </c>
      <c r="Q524" t="s">
        <v>464</v>
      </c>
      <c r="R524">
        <v>0</v>
      </c>
    </row>
    <row r="525" spans="1:18" x14ac:dyDescent="0.3">
      <c r="A525">
        <v>210566</v>
      </c>
      <c r="B525" t="s">
        <v>557</v>
      </c>
      <c r="C525" t="s">
        <v>517</v>
      </c>
      <c r="D525" t="s">
        <v>819</v>
      </c>
      <c r="E525" s="451">
        <v>46203</v>
      </c>
      <c r="F525" s="451">
        <v>46228</v>
      </c>
      <c r="G525" t="s">
        <v>563</v>
      </c>
      <c r="H525" t="s">
        <v>46</v>
      </c>
      <c r="J525">
        <v>-2600</v>
      </c>
      <c r="K525">
        <v>-2600</v>
      </c>
      <c r="O525" t="s">
        <v>779</v>
      </c>
      <c r="Q525" t="s">
        <v>464</v>
      </c>
      <c r="R525">
        <v>0</v>
      </c>
    </row>
    <row r="526" spans="1:18" x14ac:dyDescent="0.3">
      <c r="A526">
        <v>197126</v>
      </c>
      <c r="B526" t="s">
        <v>557</v>
      </c>
      <c r="C526" t="s">
        <v>48</v>
      </c>
      <c r="D526" t="s">
        <v>819</v>
      </c>
      <c r="E526" s="451">
        <v>46203</v>
      </c>
      <c r="F526" s="451">
        <v>46223</v>
      </c>
      <c r="G526" t="s">
        <v>563</v>
      </c>
      <c r="H526" t="s">
        <v>48</v>
      </c>
      <c r="J526">
        <v>-17000</v>
      </c>
      <c r="K526">
        <v>-17000</v>
      </c>
      <c r="O526" t="s">
        <v>779</v>
      </c>
      <c r="Q526" t="s">
        <v>464</v>
      </c>
      <c r="R526">
        <v>0</v>
      </c>
    </row>
    <row r="527" spans="1:18" x14ac:dyDescent="0.3">
      <c r="A527">
        <v>242043</v>
      </c>
      <c r="B527" t="s">
        <v>557</v>
      </c>
      <c r="C527" t="s">
        <v>1003</v>
      </c>
      <c r="D527" t="s">
        <v>464</v>
      </c>
      <c r="E527" s="451">
        <v>46203</v>
      </c>
      <c r="F527" s="451">
        <v>46213</v>
      </c>
      <c r="G527" t="s">
        <v>256</v>
      </c>
      <c r="H527" t="s">
        <v>263</v>
      </c>
      <c r="I527" t="s">
        <v>1004</v>
      </c>
      <c r="J527">
        <v>-236.35</v>
      </c>
      <c r="K527">
        <v>-236.35</v>
      </c>
      <c r="O527" t="s">
        <v>787</v>
      </c>
      <c r="Q527" t="s">
        <v>464</v>
      </c>
      <c r="R527">
        <v>0</v>
      </c>
    </row>
    <row r="528" spans="1:18" x14ac:dyDescent="0.3">
      <c r="A528">
        <v>242439</v>
      </c>
      <c r="B528" t="s">
        <v>557</v>
      </c>
      <c r="C528" t="s">
        <v>1005</v>
      </c>
      <c r="D528" t="s">
        <v>961</v>
      </c>
      <c r="E528" s="451">
        <v>46203</v>
      </c>
      <c r="F528" s="451">
        <v>46203</v>
      </c>
      <c r="G528" t="s">
        <v>562</v>
      </c>
      <c r="H528" t="s">
        <v>116</v>
      </c>
      <c r="J528">
        <v>-115.84</v>
      </c>
      <c r="K528">
        <v>-115.84</v>
      </c>
      <c r="O528" t="s">
        <v>787</v>
      </c>
      <c r="P528" t="s">
        <v>894</v>
      </c>
      <c r="Q528" t="s">
        <v>464</v>
      </c>
      <c r="R528">
        <v>0</v>
      </c>
    </row>
    <row r="529" spans="1:18" x14ac:dyDescent="0.3">
      <c r="A529">
        <v>226456</v>
      </c>
      <c r="B529" t="s">
        <v>557</v>
      </c>
      <c r="C529" t="s">
        <v>346</v>
      </c>
      <c r="D529" t="s">
        <v>819</v>
      </c>
      <c r="E529" s="451">
        <v>46203</v>
      </c>
      <c r="F529" s="451">
        <v>46233</v>
      </c>
      <c r="G529" t="s">
        <v>604</v>
      </c>
      <c r="H529" t="s">
        <v>346</v>
      </c>
      <c r="I529" t="s">
        <v>4</v>
      </c>
      <c r="J529">
        <v>-38236.5</v>
      </c>
      <c r="K529">
        <v>-38236.5</v>
      </c>
      <c r="O529" t="s">
        <v>779</v>
      </c>
      <c r="Q529" t="s">
        <v>464</v>
      </c>
      <c r="R529">
        <v>0</v>
      </c>
    </row>
    <row r="530" spans="1:18" x14ac:dyDescent="0.3">
      <c r="A530">
        <v>242445</v>
      </c>
      <c r="B530" t="s">
        <v>557</v>
      </c>
      <c r="C530" t="s">
        <v>1006</v>
      </c>
      <c r="D530" t="s">
        <v>961</v>
      </c>
      <c r="E530" s="451">
        <v>46203</v>
      </c>
      <c r="F530" s="451">
        <v>46203</v>
      </c>
      <c r="G530" t="s">
        <v>562</v>
      </c>
      <c r="H530" t="s">
        <v>116</v>
      </c>
      <c r="J530">
        <v>-265.92</v>
      </c>
      <c r="K530">
        <v>-265.92</v>
      </c>
      <c r="O530" t="s">
        <v>787</v>
      </c>
      <c r="P530" t="s">
        <v>894</v>
      </c>
      <c r="Q530" t="s">
        <v>464</v>
      </c>
      <c r="R530">
        <v>0</v>
      </c>
    </row>
    <row r="531" spans="1:18" x14ac:dyDescent="0.3">
      <c r="A531">
        <v>242443</v>
      </c>
      <c r="B531" t="s">
        <v>557</v>
      </c>
      <c r="C531" t="s">
        <v>1007</v>
      </c>
      <c r="D531" t="s">
        <v>961</v>
      </c>
      <c r="E531" s="451">
        <v>46203</v>
      </c>
      <c r="F531" s="451">
        <v>46203</v>
      </c>
      <c r="G531" t="s">
        <v>562</v>
      </c>
      <c r="H531" t="s">
        <v>116</v>
      </c>
      <c r="J531">
        <v>-30.91</v>
      </c>
      <c r="K531">
        <v>-30.91</v>
      </c>
      <c r="O531" t="s">
        <v>787</v>
      </c>
      <c r="P531" t="s">
        <v>894</v>
      </c>
      <c r="Q531" t="s">
        <v>464</v>
      </c>
      <c r="R531">
        <v>0</v>
      </c>
    </row>
    <row r="532" spans="1:18" x14ac:dyDescent="0.3">
      <c r="A532">
        <v>242441</v>
      </c>
      <c r="B532" t="s">
        <v>557</v>
      </c>
      <c r="C532" t="s">
        <v>1008</v>
      </c>
      <c r="D532" t="s">
        <v>961</v>
      </c>
      <c r="E532" s="451">
        <v>46203</v>
      </c>
      <c r="F532" s="451">
        <v>46203</v>
      </c>
      <c r="G532" t="s">
        <v>562</v>
      </c>
      <c r="H532" t="s">
        <v>116</v>
      </c>
      <c r="J532">
        <v>-616.72</v>
      </c>
      <c r="K532">
        <v>-616.72</v>
      </c>
      <c r="O532" t="s">
        <v>787</v>
      </c>
      <c r="P532" t="s">
        <v>894</v>
      </c>
      <c r="Q532" t="s">
        <v>464</v>
      </c>
      <c r="R532">
        <v>0</v>
      </c>
    </row>
    <row r="533" spans="1:18" x14ac:dyDescent="0.3">
      <c r="A533">
        <v>226452</v>
      </c>
      <c r="B533" t="s">
        <v>557</v>
      </c>
      <c r="C533" t="s">
        <v>854</v>
      </c>
      <c r="D533" t="s">
        <v>819</v>
      </c>
      <c r="E533" s="451">
        <v>46203</v>
      </c>
      <c r="F533" s="451">
        <v>46233</v>
      </c>
      <c r="G533" t="s">
        <v>604</v>
      </c>
      <c r="H533" t="s">
        <v>344</v>
      </c>
      <c r="I533" t="s">
        <v>4</v>
      </c>
      <c r="J533">
        <v>-17409.66</v>
      </c>
      <c r="K533">
        <v>-17409.66</v>
      </c>
      <c r="O533" t="s">
        <v>779</v>
      </c>
      <c r="Q533" t="s">
        <v>464</v>
      </c>
      <c r="R533">
        <v>0</v>
      </c>
    </row>
    <row r="534" spans="1:18" x14ac:dyDescent="0.3">
      <c r="A534">
        <v>242033</v>
      </c>
      <c r="B534" t="s">
        <v>557</v>
      </c>
      <c r="C534" t="s">
        <v>1003</v>
      </c>
      <c r="D534" t="s">
        <v>464</v>
      </c>
      <c r="E534" s="451">
        <v>46203</v>
      </c>
      <c r="F534" s="451">
        <v>46213</v>
      </c>
      <c r="G534" t="s">
        <v>256</v>
      </c>
      <c r="H534" t="s">
        <v>263</v>
      </c>
      <c r="I534" t="s">
        <v>1009</v>
      </c>
      <c r="J534">
        <v>-236.35</v>
      </c>
      <c r="K534">
        <v>-236.35</v>
      </c>
      <c r="O534" t="s">
        <v>779</v>
      </c>
      <c r="Q534" t="s">
        <v>464</v>
      </c>
      <c r="R534">
        <v>0</v>
      </c>
    </row>
    <row r="535" spans="1:18" x14ac:dyDescent="0.3">
      <c r="A535">
        <v>242266</v>
      </c>
      <c r="B535" t="s">
        <v>557</v>
      </c>
      <c r="C535" t="s">
        <v>943</v>
      </c>
      <c r="D535" t="s">
        <v>1010</v>
      </c>
      <c r="E535" s="451">
        <v>46202</v>
      </c>
      <c r="F535" s="451">
        <v>46212</v>
      </c>
      <c r="G535" t="s">
        <v>576</v>
      </c>
      <c r="H535" t="s">
        <v>203</v>
      </c>
      <c r="I535" t="s">
        <v>1011</v>
      </c>
      <c r="J535">
        <v>-2574</v>
      </c>
      <c r="K535">
        <v>-2574</v>
      </c>
      <c r="O535" t="s">
        <v>787</v>
      </c>
      <c r="Q535" t="s">
        <v>464</v>
      </c>
      <c r="R535">
        <v>0</v>
      </c>
    </row>
    <row r="536" spans="1:18" x14ac:dyDescent="0.3">
      <c r="A536">
        <v>242268</v>
      </c>
      <c r="B536" t="s">
        <v>557</v>
      </c>
      <c r="C536" t="s">
        <v>943</v>
      </c>
      <c r="D536" t="s">
        <v>1012</v>
      </c>
      <c r="E536" s="451">
        <v>46202</v>
      </c>
      <c r="F536" s="451">
        <v>46212</v>
      </c>
      <c r="G536" t="s">
        <v>576</v>
      </c>
      <c r="H536" t="s">
        <v>203</v>
      </c>
      <c r="I536" t="s">
        <v>1013</v>
      </c>
      <c r="J536">
        <v>-825</v>
      </c>
      <c r="K536">
        <v>-825</v>
      </c>
      <c r="O536" t="s">
        <v>787</v>
      </c>
      <c r="Q536" t="s">
        <v>464</v>
      </c>
      <c r="R536">
        <v>0</v>
      </c>
    </row>
    <row r="537" spans="1:18" x14ac:dyDescent="0.3">
      <c r="A537">
        <v>197460</v>
      </c>
      <c r="B537" t="s">
        <v>557</v>
      </c>
      <c r="C537" t="s">
        <v>845</v>
      </c>
      <c r="D537" t="s">
        <v>819</v>
      </c>
      <c r="E537" s="451">
        <v>46201</v>
      </c>
      <c r="F537" s="451">
        <v>46223</v>
      </c>
      <c r="G537" t="s">
        <v>308</v>
      </c>
      <c r="H537" t="s">
        <v>309</v>
      </c>
      <c r="J537">
        <v>-50</v>
      </c>
      <c r="K537">
        <v>-50</v>
      </c>
      <c r="O537" t="s">
        <v>779</v>
      </c>
      <c r="Q537" t="s">
        <v>464</v>
      </c>
      <c r="R537">
        <v>0</v>
      </c>
    </row>
    <row r="538" spans="1:18" x14ac:dyDescent="0.3">
      <c r="A538">
        <v>197252</v>
      </c>
      <c r="B538" t="s">
        <v>557</v>
      </c>
      <c r="C538" t="s">
        <v>49</v>
      </c>
      <c r="D538" t="s">
        <v>819</v>
      </c>
      <c r="E538" s="451">
        <v>46201</v>
      </c>
      <c r="F538" s="451">
        <v>46213</v>
      </c>
      <c r="G538" t="s">
        <v>279</v>
      </c>
      <c r="H538" t="s">
        <v>283</v>
      </c>
      <c r="J538">
        <v>-100</v>
      </c>
      <c r="K538">
        <v>-100</v>
      </c>
      <c r="O538" t="s">
        <v>779</v>
      </c>
      <c r="Q538" t="s">
        <v>464</v>
      </c>
      <c r="R538">
        <v>0</v>
      </c>
    </row>
    <row r="539" spans="1:18" x14ac:dyDescent="0.3">
      <c r="A539">
        <v>32213</v>
      </c>
      <c r="B539" t="s">
        <v>557</v>
      </c>
      <c r="C539" t="s">
        <v>259</v>
      </c>
      <c r="D539" t="s">
        <v>1014</v>
      </c>
      <c r="E539" s="451">
        <v>46199</v>
      </c>
      <c r="F539" s="451">
        <v>46199</v>
      </c>
      <c r="G539" t="s">
        <v>256</v>
      </c>
      <c r="H539" t="s">
        <v>259</v>
      </c>
      <c r="I539" t="s">
        <v>782</v>
      </c>
      <c r="J539">
        <v>-416.33</v>
      </c>
      <c r="K539">
        <v>-416.33</v>
      </c>
      <c r="O539" t="s">
        <v>787</v>
      </c>
      <c r="P539" t="s">
        <v>788</v>
      </c>
      <c r="Q539" t="s">
        <v>464</v>
      </c>
      <c r="R539">
        <v>0</v>
      </c>
    </row>
    <row r="540" spans="1:18" x14ac:dyDescent="0.3">
      <c r="A540">
        <v>32270</v>
      </c>
      <c r="B540" t="s">
        <v>557</v>
      </c>
      <c r="C540" t="s">
        <v>259</v>
      </c>
      <c r="D540" t="s">
        <v>776</v>
      </c>
      <c r="E540" s="451">
        <v>46199</v>
      </c>
      <c r="F540" s="451">
        <v>46199</v>
      </c>
      <c r="G540" t="s">
        <v>777</v>
      </c>
      <c r="H540" t="s">
        <v>368</v>
      </c>
      <c r="I540" t="s">
        <v>778</v>
      </c>
      <c r="J540">
        <v>-1520.61</v>
      </c>
      <c r="K540">
        <v>-1520.61</v>
      </c>
      <c r="O540" t="s">
        <v>787</v>
      </c>
      <c r="P540" t="s">
        <v>788</v>
      </c>
      <c r="Q540" t="s">
        <v>464</v>
      </c>
      <c r="R540">
        <v>0</v>
      </c>
    </row>
    <row r="541" spans="1:18" x14ac:dyDescent="0.3">
      <c r="A541">
        <v>241044</v>
      </c>
      <c r="B541" t="s">
        <v>557</v>
      </c>
      <c r="C541" t="s">
        <v>964</v>
      </c>
      <c r="D541" t="s">
        <v>961</v>
      </c>
      <c r="E541" s="451">
        <v>46199</v>
      </c>
      <c r="F541" s="451">
        <v>46195</v>
      </c>
      <c r="G541" t="s">
        <v>874</v>
      </c>
      <c r="H541" t="s">
        <v>875</v>
      </c>
      <c r="J541">
        <v>-3.52</v>
      </c>
      <c r="K541">
        <v>-3.52</v>
      </c>
      <c r="O541" t="s">
        <v>787</v>
      </c>
      <c r="P541" t="s">
        <v>894</v>
      </c>
      <c r="Q541" t="s">
        <v>464</v>
      </c>
      <c r="R541">
        <v>0</v>
      </c>
    </row>
    <row r="542" spans="1:18" x14ac:dyDescent="0.3">
      <c r="A542">
        <v>240583</v>
      </c>
      <c r="B542" t="s">
        <v>557</v>
      </c>
      <c r="C542" t="s">
        <v>964</v>
      </c>
      <c r="D542" t="s">
        <v>961</v>
      </c>
      <c r="E542" s="451">
        <v>46197</v>
      </c>
      <c r="F542" s="451">
        <v>46191</v>
      </c>
      <c r="G542" t="s">
        <v>874</v>
      </c>
      <c r="H542" t="s">
        <v>875</v>
      </c>
      <c r="J542">
        <v>-124.22</v>
      </c>
      <c r="K542">
        <v>-124.22</v>
      </c>
      <c r="O542" t="s">
        <v>787</v>
      </c>
      <c r="P542" t="s">
        <v>894</v>
      </c>
      <c r="Q542" t="s">
        <v>464</v>
      </c>
      <c r="R542">
        <v>0</v>
      </c>
    </row>
    <row r="543" spans="1:18" x14ac:dyDescent="0.3">
      <c r="A543">
        <v>240584</v>
      </c>
      <c r="B543" t="s">
        <v>557</v>
      </c>
      <c r="C543" t="s">
        <v>964</v>
      </c>
      <c r="D543" t="s">
        <v>961</v>
      </c>
      <c r="E543" s="451">
        <v>46197</v>
      </c>
      <c r="F543" s="451">
        <v>46192</v>
      </c>
      <c r="G543" t="s">
        <v>874</v>
      </c>
      <c r="H543" t="s">
        <v>875</v>
      </c>
      <c r="J543">
        <v>-20.37</v>
      </c>
      <c r="K543">
        <v>-20.37</v>
      </c>
      <c r="O543" t="s">
        <v>787</v>
      </c>
      <c r="P543" t="s">
        <v>894</v>
      </c>
      <c r="Q543" t="s">
        <v>464</v>
      </c>
      <c r="R543">
        <v>0</v>
      </c>
    </row>
    <row r="544" spans="1:18" x14ac:dyDescent="0.3">
      <c r="A544">
        <v>240393</v>
      </c>
      <c r="B544" t="s">
        <v>557</v>
      </c>
      <c r="C544" t="s">
        <v>964</v>
      </c>
      <c r="D544" t="s">
        <v>961</v>
      </c>
      <c r="E544" s="451">
        <v>46196</v>
      </c>
      <c r="F544" s="451">
        <v>46170</v>
      </c>
      <c r="G544" t="s">
        <v>874</v>
      </c>
      <c r="H544" t="s">
        <v>875</v>
      </c>
      <c r="J544">
        <v>-11.67</v>
      </c>
      <c r="K544">
        <v>-11.67</v>
      </c>
      <c r="O544" t="s">
        <v>787</v>
      </c>
      <c r="P544" t="s">
        <v>894</v>
      </c>
      <c r="Q544" t="s">
        <v>464</v>
      </c>
      <c r="R544">
        <v>0</v>
      </c>
    </row>
    <row r="545" spans="1:18" x14ac:dyDescent="0.3">
      <c r="A545">
        <v>240376</v>
      </c>
      <c r="B545" t="s">
        <v>557</v>
      </c>
      <c r="C545" t="s">
        <v>873</v>
      </c>
      <c r="D545" t="s">
        <v>961</v>
      </c>
      <c r="E545" s="451">
        <v>46196</v>
      </c>
      <c r="F545" s="451">
        <v>46156</v>
      </c>
      <c r="G545" t="s">
        <v>874</v>
      </c>
      <c r="H545" t="s">
        <v>875</v>
      </c>
      <c r="J545">
        <v>-2</v>
      </c>
      <c r="K545">
        <v>-2</v>
      </c>
      <c r="O545" t="s">
        <v>787</v>
      </c>
      <c r="P545" t="s">
        <v>894</v>
      </c>
      <c r="Q545" t="s">
        <v>464</v>
      </c>
      <c r="R545">
        <v>0</v>
      </c>
    </row>
    <row r="546" spans="1:18" x14ac:dyDescent="0.3">
      <c r="A546">
        <v>240212</v>
      </c>
      <c r="B546" t="s">
        <v>557</v>
      </c>
      <c r="C546" t="s">
        <v>1015</v>
      </c>
      <c r="D546" t="s">
        <v>1016</v>
      </c>
      <c r="E546" s="451">
        <v>46195</v>
      </c>
      <c r="F546" s="451">
        <v>46209</v>
      </c>
      <c r="G546" t="s">
        <v>296</v>
      </c>
      <c r="H546" t="s">
        <v>307</v>
      </c>
      <c r="I546" t="s">
        <v>1017</v>
      </c>
      <c r="J546">
        <v>-358.15</v>
      </c>
      <c r="K546">
        <v>0</v>
      </c>
      <c r="O546" t="s">
        <v>787</v>
      </c>
      <c r="P546" t="s">
        <v>977</v>
      </c>
      <c r="Q546" t="s">
        <v>464</v>
      </c>
      <c r="R546">
        <v>0</v>
      </c>
    </row>
    <row r="547" spans="1:18" x14ac:dyDescent="0.3">
      <c r="A547">
        <v>240154</v>
      </c>
      <c r="B547" t="s">
        <v>557</v>
      </c>
      <c r="C547" t="s">
        <v>1018</v>
      </c>
      <c r="D547" t="s">
        <v>1019</v>
      </c>
      <c r="E547" s="451">
        <v>46195</v>
      </c>
      <c r="F547" s="451">
        <v>46204</v>
      </c>
      <c r="G547" t="s">
        <v>279</v>
      </c>
      <c r="H547" t="s">
        <v>286</v>
      </c>
      <c r="I547" t="s">
        <v>1020</v>
      </c>
      <c r="J547">
        <v>-6000</v>
      </c>
      <c r="K547">
        <v>0</v>
      </c>
      <c r="O547" t="s">
        <v>787</v>
      </c>
      <c r="P547" t="s">
        <v>977</v>
      </c>
      <c r="Q547" t="s">
        <v>464</v>
      </c>
      <c r="R547">
        <v>0</v>
      </c>
    </row>
    <row r="548" spans="1:18" x14ac:dyDescent="0.3">
      <c r="A548">
        <v>239636</v>
      </c>
      <c r="B548" t="s">
        <v>557</v>
      </c>
      <c r="C548" t="s">
        <v>952</v>
      </c>
      <c r="D548" t="s">
        <v>1021</v>
      </c>
      <c r="E548" s="451">
        <v>46195</v>
      </c>
      <c r="F548" s="451">
        <v>46216</v>
      </c>
      <c r="G548" t="s">
        <v>569</v>
      </c>
      <c r="H548" t="s">
        <v>58</v>
      </c>
      <c r="I548" t="s">
        <v>1022</v>
      </c>
      <c r="J548">
        <v>-3848</v>
      </c>
      <c r="K548">
        <v>-3848</v>
      </c>
      <c r="O548" t="s">
        <v>787</v>
      </c>
      <c r="Q548" t="s">
        <v>464</v>
      </c>
      <c r="R548">
        <v>0</v>
      </c>
    </row>
    <row r="549" spans="1:18" x14ac:dyDescent="0.3">
      <c r="A549">
        <v>226158</v>
      </c>
      <c r="B549" t="s">
        <v>557</v>
      </c>
      <c r="C549" t="s">
        <v>943</v>
      </c>
      <c r="D549" t="s">
        <v>1023</v>
      </c>
      <c r="E549" s="451">
        <v>46195</v>
      </c>
      <c r="F549" s="451">
        <v>46205</v>
      </c>
      <c r="G549" t="s">
        <v>576</v>
      </c>
      <c r="H549" t="s">
        <v>203</v>
      </c>
      <c r="I549" t="s">
        <v>1024</v>
      </c>
      <c r="J549">
        <v>-1144</v>
      </c>
      <c r="K549">
        <v>-1144</v>
      </c>
      <c r="O549" t="s">
        <v>787</v>
      </c>
      <c r="P549" t="s">
        <v>977</v>
      </c>
      <c r="Q549" t="s">
        <v>464</v>
      </c>
      <c r="R549">
        <v>0</v>
      </c>
    </row>
    <row r="550" spans="1:18" x14ac:dyDescent="0.3">
      <c r="A550">
        <v>226148</v>
      </c>
      <c r="B550" t="s">
        <v>557</v>
      </c>
      <c r="C550" t="s">
        <v>943</v>
      </c>
      <c r="D550" t="s">
        <v>1025</v>
      </c>
      <c r="E550" s="451">
        <v>46195</v>
      </c>
      <c r="F550" s="451">
        <v>46205</v>
      </c>
      <c r="G550" t="s">
        <v>576</v>
      </c>
      <c r="H550" t="s">
        <v>203</v>
      </c>
      <c r="I550" t="s">
        <v>1026</v>
      </c>
      <c r="J550">
        <v>-1659.9</v>
      </c>
      <c r="K550">
        <v>-1659.9</v>
      </c>
      <c r="O550" t="s">
        <v>787</v>
      </c>
      <c r="P550" t="s">
        <v>977</v>
      </c>
      <c r="Q550" t="s">
        <v>464</v>
      </c>
      <c r="R550">
        <v>0</v>
      </c>
    </row>
    <row r="551" spans="1:18" x14ac:dyDescent="0.3">
      <c r="A551">
        <v>240282</v>
      </c>
      <c r="B551" t="s">
        <v>557</v>
      </c>
      <c r="C551" t="s">
        <v>898</v>
      </c>
      <c r="D551" t="s">
        <v>1027</v>
      </c>
      <c r="E551" s="451">
        <v>46193</v>
      </c>
      <c r="F551" s="451">
        <v>46198</v>
      </c>
      <c r="G551" t="s">
        <v>279</v>
      </c>
      <c r="H551" t="s">
        <v>280</v>
      </c>
      <c r="I551" t="s">
        <v>1028</v>
      </c>
      <c r="J551">
        <v>-159.96</v>
      </c>
      <c r="K551">
        <v>0</v>
      </c>
      <c r="O551" t="s">
        <v>787</v>
      </c>
      <c r="P551" t="s">
        <v>977</v>
      </c>
      <c r="Q551" t="s">
        <v>464</v>
      </c>
      <c r="R551">
        <v>0</v>
      </c>
    </row>
    <row r="552" spans="1:18" x14ac:dyDescent="0.3">
      <c r="A552">
        <v>239875</v>
      </c>
      <c r="B552" t="s">
        <v>557</v>
      </c>
      <c r="C552" t="s">
        <v>873</v>
      </c>
      <c r="D552" t="s">
        <v>961</v>
      </c>
      <c r="E552" s="451">
        <v>46192</v>
      </c>
      <c r="F552" s="451">
        <v>46188</v>
      </c>
      <c r="G552" t="s">
        <v>874</v>
      </c>
      <c r="H552" t="s">
        <v>875</v>
      </c>
      <c r="J552">
        <v>-2</v>
      </c>
      <c r="K552">
        <v>-2</v>
      </c>
      <c r="O552" t="s">
        <v>787</v>
      </c>
      <c r="P552" t="s">
        <v>894</v>
      </c>
      <c r="Q552" t="s">
        <v>464</v>
      </c>
      <c r="R552">
        <v>0</v>
      </c>
    </row>
    <row r="553" spans="1:18" x14ac:dyDescent="0.3">
      <c r="A553">
        <v>240052</v>
      </c>
      <c r="B553" t="s">
        <v>557</v>
      </c>
      <c r="C553" t="s">
        <v>964</v>
      </c>
      <c r="D553" t="s">
        <v>961</v>
      </c>
      <c r="E553" s="451">
        <v>46192</v>
      </c>
      <c r="F553" s="451">
        <v>46188</v>
      </c>
      <c r="G553" t="s">
        <v>874</v>
      </c>
      <c r="H553" t="s">
        <v>875</v>
      </c>
      <c r="J553">
        <v>-50</v>
      </c>
      <c r="K553">
        <v>-50</v>
      </c>
      <c r="O553" t="s">
        <v>787</v>
      </c>
      <c r="P553" t="s">
        <v>894</v>
      </c>
      <c r="Q553" t="s">
        <v>464</v>
      </c>
      <c r="R553">
        <v>0</v>
      </c>
    </row>
    <row r="554" spans="1:18" x14ac:dyDescent="0.3">
      <c r="A554">
        <v>239776</v>
      </c>
      <c r="B554" t="s">
        <v>557</v>
      </c>
      <c r="C554" t="s">
        <v>964</v>
      </c>
      <c r="D554" t="s">
        <v>961</v>
      </c>
      <c r="E554" s="451">
        <v>46191</v>
      </c>
      <c r="F554" s="451">
        <v>46153</v>
      </c>
      <c r="G554" t="s">
        <v>874</v>
      </c>
      <c r="H554" t="s">
        <v>875</v>
      </c>
      <c r="J554">
        <v>-67.5</v>
      </c>
      <c r="K554">
        <v>-67.5</v>
      </c>
      <c r="O554" t="s">
        <v>787</v>
      </c>
      <c r="P554" t="s">
        <v>894</v>
      </c>
      <c r="Q554" t="s">
        <v>464</v>
      </c>
      <c r="R554">
        <v>0</v>
      </c>
    </row>
    <row r="555" spans="1:18" x14ac:dyDescent="0.3">
      <c r="A555">
        <v>239788</v>
      </c>
      <c r="B555" t="s">
        <v>557</v>
      </c>
      <c r="C555" t="s">
        <v>964</v>
      </c>
      <c r="D555" t="s">
        <v>961</v>
      </c>
      <c r="E555" s="451">
        <v>46191</v>
      </c>
      <c r="F555" s="451">
        <v>46154</v>
      </c>
      <c r="G555" t="s">
        <v>874</v>
      </c>
      <c r="H555" t="s">
        <v>875</v>
      </c>
      <c r="J555">
        <v>-10</v>
      </c>
      <c r="K555">
        <v>-10</v>
      </c>
      <c r="O555" t="s">
        <v>787</v>
      </c>
      <c r="P555" t="s">
        <v>894</v>
      </c>
      <c r="Q555" t="s">
        <v>464</v>
      </c>
      <c r="R555">
        <v>0</v>
      </c>
    </row>
    <row r="556" spans="1:18" x14ac:dyDescent="0.3">
      <c r="A556">
        <v>239767</v>
      </c>
      <c r="B556" t="s">
        <v>557</v>
      </c>
      <c r="C556" t="s">
        <v>964</v>
      </c>
      <c r="D556" t="s">
        <v>961</v>
      </c>
      <c r="E556" s="451">
        <v>46191</v>
      </c>
      <c r="F556" s="451">
        <v>46150</v>
      </c>
      <c r="G556" t="s">
        <v>874</v>
      </c>
      <c r="H556" t="s">
        <v>875</v>
      </c>
      <c r="J556">
        <v>-100</v>
      </c>
      <c r="K556">
        <v>-100</v>
      </c>
      <c r="O556" t="s">
        <v>787</v>
      </c>
      <c r="P556" t="s">
        <v>894</v>
      </c>
      <c r="Q556" t="s">
        <v>464</v>
      </c>
      <c r="R556">
        <v>0</v>
      </c>
    </row>
    <row r="557" spans="1:18" x14ac:dyDescent="0.3">
      <c r="A557">
        <v>240650</v>
      </c>
      <c r="B557" t="s">
        <v>557</v>
      </c>
      <c r="C557" t="s">
        <v>1029</v>
      </c>
      <c r="D557" t="s">
        <v>1030</v>
      </c>
      <c r="E557" s="451">
        <v>46191</v>
      </c>
      <c r="F557" s="451">
        <v>46205</v>
      </c>
      <c r="G557" t="s">
        <v>296</v>
      </c>
      <c r="H557" t="s">
        <v>304</v>
      </c>
      <c r="I557" t="s">
        <v>1031</v>
      </c>
      <c r="J557">
        <v>-250</v>
      </c>
      <c r="K557">
        <v>-250</v>
      </c>
      <c r="O557" t="s">
        <v>787</v>
      </c>
      <c r="P557" t="s">
        <v>977</v>
      </c>
      <c r="Q557" t="s">
        <v>464</v>
      </c>
      <c r="R557">
        <v>0</v>
      </c>
    </row>
    <row r="558" spans="1:18" x14ac:dyDescent="0.3">
      <c r="A558">
        <v>226147</v>
      </c>
      <c r="B558" t="s">
        <v>557</v>
      </c>
      <c r="C558" t="s">
        <v>943</v>
      </c>
      <c r="D558" t="s">
        <v>1032</v>
      </c>
      <c r="E558" s="451">
        <v>46188</v>
      </c>
      <c r="F558" s="451">
        <v>46198</v>
      </c>
      <c r="G558" t="s">
        <v>576</v>
      </c>
      <c r="H558" t="s">
        <v>203</v>
      </c>
      <c r="I558" t="s">
        <v>1033</v>
      </c>
      <c r="J558">
        <v>-1785.3</v>
      </c>
      <c r="K558">
        <v>-1785.3</v>
      </c>
      <c r="O558" t="s">
        <v>787</v>
      </c>
      <c r="P558" t="s">
        <v>894</v>
      </c>
      <c r="Q558" t="s">
        <v>464</v>
      </c>
      <c r="R558">
        <v>0</v>
      </c>
    </row>
    <row r="559" spans="1:18" x14ac:dyDescent="0.3">
      <c r="A559">
        <v>226157</v>
      </c>
      <c r="B559" t="s">
        <v>557</v>
      </c>
      <c r="C559" t="s">
        <v>943</v>
      </c>
      <c r="D559" t="s">
        <v>1034</v>
      </c>
      <c r="E559" s="451">
        <v>46188</v>
      </c>
      <c r="F559" s="451">
        <v>46198</v>
      </c>
      <c r="G559" t="s">
        <v>576</v>
      </c>
      <c r="H559" t="s">
        <v>203</v>
      </c>
      <c r="I559" t="s">
        <v>1035</v>
      </c>
      <c r="J559">
        <v>-1034</v>
      </c>
      <c r="K559">
        <v>-1034</v>
      </c>
      <c r="O559" t="s">
        <v>787</v>
      </c>
      <c r="P559" t="s">
        <v>894</v>
      </c>
      <c r="Q559" t="s">
        <v>464</v>
      </c>
      <c r="R559">
        <v>0</v>
      </c>
    </row>
    <row r="560" spans="1:18" x14ac:dyDescent="0.3">
      <c r="A560">
        <v>239304</v>
      </c>
      <c r="B560" t="s">
        <v>557</v>
      </c>
      <c r="C560" t="s">
        <v>1036</v>
      </c>
      <c r="D560" t="s">
        <v>961</v>
      </c>
      <c r="E560" s="451">
        <v>46188</v>
      </c>
      <c r="F560" s="451">
        <v>46188</v>
      </c>
      <c r="G560" t="s">
        <v>874</v>
      </c>
      <c r="H560" t="s">
        <v>875</v>
      </c>
      <c r="J560">
        <v>-183.6</v>
      </c>
      <c r="K560">
        <v>-183.6</v>
      </c>
      <c r="O560" t="s">
        <v>787</v>
      </c>
      <c r="P560" t="s">
        <v>894</v>
      </c>
      <c r="Q560" t="s">
        <v>464</v>
      </c>
      <c r="R560">
        <v>0</v>
      </c>
    </row>
    <row r="561" spans="1:18" x14ac:dyDescent="0.3">
      <c r="A561">
        <v>239635</v>
      </c>
      <c r="B561" t="s">
        <v>557</v>
      </c>
      <c r="C561" t="s">
        <v>952</v>
      </c>
      <c r="D561" t="s">
        <v>1037</v>
      </c>
      <c r="E561" s="451">
        <v>46188</v>
      </c>
      <c r="F561" s="451">
        <v>46209</v>
      </c>
      <c r="G561" t="s">
        <v>569</v>
      </c>
      <c r="H561" t="s">
        <v>58</v>
      </c>
      <c r="I561" t="s">
        <v>1038</v>
      </c>
      <c r="J561">
        <v>-3136</v>
      </c>
      <c r="K561">
        <v>-3136</v>
      </c>
      <c r="O561" t="s">
        <v>787</v>
      </c>
      <c r="Q561" t="s">
        <v>464</v>
      </c>
      <c r="R561">
        <v>0</v>
      </c>
    </row>
    <row r="562" spans="1:18" x14ac:dyDescent="0.3">
      <c r="A562">
        <v>192154</v>
      </c>
      <c r="B562" t="s">
        <v>557</v>
      </c>
      <c r="C562" t="s">
        <v>858</v>
      </c>
      <c r="D562" t="s">
        <v>1039</v>
      </c>
      <c r="E562" s="451">
        <v>46188</v>
      </c>
      <c r="F562" s="451">
        <v>46213</v>
      </c>
      <c r="G562" t="s">
        <v>279</v>
      </c>
      <c r="H562" t="s">
        <v>285</v>
      </c>
      <c r="I562" t="s">
        <v>1040</v>
      </c>
      <c r="J562">
        <v>-389</v>
      </c>
      <c r="K562">
        <v>-389</v>
      </c>
      <c r="O562" t="s">
        <v>787</v>
      </c>
      <c r="Q562" t="s">
        <v>464</v>
      </c>
      <c r="R562">
        <v>0</v>
      </c>
    </row>
    <row r="563" spans="1:18" x14ac:dyDescent="0.3">
      <c r="A563">
        <v>191802</v>
      </c>
      <c r="B563" t="s">
        <v>557</v>
      </c>
      <c r="C563" t="s">
        <v>856</v>
      </c>
      <c r="D563" t="s">
        <v>1041</v>
      </c>
      <c r="E563" s="451">
        <v>46188</v>
      </c>
      <c r="F563" s="451">
        <v>46218</v>
      </c>
      <c r="G563" t="s">
        <v>264</v>
      </c>
      <c r="H563" t="s">
        <v>265</v>
      </c>
      <c r="I563" t="s">
        <v>1042</v>
      </c>
      <c r="J563">
        <v>-324.26</v>
      </c>
      <c r="K563">
        <v>-324.26</v>
      </c>
      <c r="O563" t="s">
        <v>787</v>
      </c>
      <c r="Q563" t="s">
        <v>464</v>
      </c>
      <c r="R563">
        <v>0</v>
      </c>
    </row>
    <row r="564" spans="1:18" x14ac:dyDescent="0.3">
      <c r="A564">
        <v>191790</v>
      </c>
      <c r="B564" t="s">
        <v>557</v>
      </c>
      <c r="C564" t="s">
        <v>856</v>
      </c>
      <c r="D564" t="s">
        <v>1043</v>
      </c>
      <c r="E564" s="451">
        <v>46188</v>
      </c>
      <c r="F564" s="451">
        <v>46218</v>
      </c>
      <c r="G564" t="s">
        <v>264</v>
      </c>
      <c r="H564" t="s">
        <v>265</v>
      </c>
      <c r="I564" t="s">
        <v>1044</v>
      </c>
      <c r="J564">
        <v>-4759.8599999999997</v>
      </c>
      <c r="K564">
        <v>-4759.8599999999997</v>
      </c>
      <c r="O564" t="s">
        <v>787</v>
      </c>
      <c r="Q564" t="s">
        <v>464</v>
      </c>
      <c r="R564">
        <v>0</v>
      </c>
    </row>
    <row r="565" spans="1:18" x14ac:dyDescent="0.3">
      <c r="A565">
        <v>242254</v>
      </c>
      <c r="B565" t="s">
        <v>557</v>
      </c>
      <c r="C565" t="s">
        <v>1045</v>
      </c>
      <c r="D565" t="s">
        <v>1046</v>
      </c>
      <c r="E565" s="451">
        <v>46185</v>
      </c>
      <c r="F565" s="451">
        <v>46208</v>
      </c>
      <c r="G565" t="s">
        <v>296</v>
      </c>
      <c r="H565" t="s">
        <v>307</v>
      </c>
      <c r="I565" t="s">
        <v>1047</v>
      </c>
      <c r="J565">
        <v>-249.8</v>
      </c>
      <c r="K565">
        <v>-249.8</v>
      </c>
      <c r="O565" t="s">
        <v>787</v>
      </c>
      <c r="Q565" t="s">
        <v>464</v>
      </c>
      <c r="R565">
        <v>0</v>
      </c>
    </row>
    <row r="566" spans="1:18" x14ac:dyDescent="0.3">
      <c r="A566">
        <v>237901</v>
      </c>
      <c r="B566" t="s">
        <v>557</v>
      </c>
      <c r="C566" t="s">
        <v>1048</v>
      </c>
      <c r="D566" t="s">
        <v>1049</v>
      </c>
      <c r="E566" s="451">
        <v>46184</v>
      </c>
      <c r="F566" s="451">
        <v>46185</v>
      </c>
      <c r="G566" t="s">
        <v>582</v>
      </c>
      <c r="H566" t="s">
        <v>293</v>
      </c>
      <c r="I566" t="s">
        <v>1050</v>
      </c>
      <c r="J566">
        <v>-165.28</v>
      </c>
      <c r="K566">
        <v>0</v>
      </c>
      <c r="O566" t="s">
        <v>787</v>
      </c>
      <c r="P566" t="s">
        <v>894</v>
      </c>
      <c r="Q566" t="s">
        <v>464</v>
      </c>
      <c r="R566">
        <v>0</v>
      </c>
    </row>
    <row r="567" spans="1:18" x14ac:dyDescent="0.3">
      <c r="A567">
        <v>238105</v>
      </c>
      <c r="B567" t="s">
        <v>557</v>
      </c>
      <c r="C567" t="s">
        <v>1051</v>
      </c>
      <c r="D567" t="s">
        <v>1052</v>
      </c>
      <c r="E567" s="451">
        <v>46184</v>
      </c>
      <c r="F567" s="451">
        <v>46188</v>
      </c>
      <c r="G567" t="s">
        <v>296</v>
      </c>
      <c r="H567" t="s">
        <v>307</v>
      </c>
      <c r="I567" t="s">
        <v>1017</v>
      </c>
      <c r="J567">
        <v>-378.1</v>
      </c>
      <c r="K567">
        <v>0</v>
      </c>
      <c r="O567" t="s">
        <v>787</v>
      </c>
      <c r="P567" t="s">
        <v>894</v>
      </c>
      <c r="Q567" t="s">
        <v>464</v>
      </c>
      <c r="R567">
        <v>0</v>
      </c>
    </row>
    <row r="568" spans="1:18" x14ac:dyDescent="0.3">
      <c r="A568">
        <v>191995</v>
      </c>
      <c r="B568" t="s">
        <v>557</v>
      </c>
      <c r="C568" t="s">
        <v>861</v>
      </c>
      <c r="D568" t="s">
        <v>1046</v>
      </c>
      <c r="E568" s="451">
        <v>46184</v>
      </c>
      <c r="F568" s="451">
        <v>46213</v>
      </c>
      <c r="G568" t="s">
        <v>256</v>
      </c>
      <c r="H568" t="s">
        <v>257</v>
      </c>
      <c r="I568" t="s">
        <v>1053</v>
      </c>
      <c r="J568">
        <v>-22701.55</v>
      </c>
      <c r="K568">
        <v>-18701.55</v>
      </c>
      <c r="O568" t="s">
        <v>787</v>
      </c>
      <c r="Q568" t="s">
        <v>464</v>
      </c>
      <c r="R568">
        <v>0</v>
      </c>
    </row>
    <row r="569" spans="1:18" x14ac:dyDescent="0.3">
      <c r="A569">
        <v>192008</v>
      </c>
      <c r="B569" t="s">
        <v>557</v>
      </c>
      <c r="C569" t="s">
        <v>863</v>
      </c>
      <c r="D569" t="s">
        <v>1046</v>
      </c>
      <c r="E569" s="451">
        <v>46183</v>
      </c>
      <c r="F569" s="451">
        <v>46203</v>
      </c>
      <c r="G569" t="s">
        <v>256</v>
      </c>
      <c r="H569" t="s">
        <v>257</v>
      </c>
      <c r="I569" t="s">
        <v>1054</v>
      </c>
      <c r="J569">
        <v>-29238</v>
      </c>
      <c r="K569">
        <v>-29238</v>
      </c>
      <c r="O569" t="s">
        <v>787</v>
      </c>
      <c r="P569" t="s">
        <v>894</v>
      </c>
      <c r="Q569" t="s">
        <v>464</v>
      </c>
      <c r="R569">
        <v>0</v>
      </c>
    </row>
    <row r="570" spans="1:18" x14ac:dyDescent="0.3">
      <c r="A570">
        <v>238512</v>
      </c>
      <c r="B570" t="s">
        <v>557</v>
      </c>
      <c r="C570" t="s">
        <v>964</v>
      </c>
      <c r="D570" t="s">
        <v>961</v>
      </c>
      <c r="E570" s="451">
        <v>46183</v>
      </c>
      <c r="F570" s="451">
        <v>46183</v>
      </c>
      <c r="G570" t="s">
        <v>874</v>
      </c>
      <c r="H570" t="s">
        <v>875</v>
      </c>
      <c r="J570">
        <v>-10</v>
      </c>
      <c r="K570">
        <v>-10</v>
      </c>
      <c r="O570" t="s">
        <v>787</v>
      </c>
      <c r="P570" t="s">
        <v>894</v>
      </c>
      <c r="Q570" t="s">
        <v>464</v>
      </c>
      <c r="R570">
        <v>0</v>
      </c>
    </row>
    <row r="571" spans="1:18" x14ac:dyDescent="0.3">
      <c r="A571">
        <v>237532</v>
      </c>
      <c r="B571" t="s">
        <v>557</v>
      </c>
      <c r="C571" t="s">
        <v>1051</v>
      </c>
      <c r="D571" t="s">
        <v>1055</v>
      </c>
      <c r="E571" s="451">
        <v>46182</v>
      </c>
      <c r="F571" s="451">
        <v>46188</v>
      </c>
      <c r="G571" t="s">
        <v>296</v>
      </c>
      <c r="H571" t="s">
        <v>307</v>
      </c>
      <c r="I571" t="s">
        <v>1017</v>
      </c>
      <c r="J571">
        <v>-89.63</v>
      </c>
      <c r="K571">
        <v>0</v>
      </c>
      <c r="O571" t="s">
        <v>787</v>
      </c>
      <c r="P571" t="s">
        <v>894</v>
      </c>
      <c r="Q571" t="s">
        <v>464</v>
      </c>
      <c r="R571">
        <v>0</v>
      </c>
    </row>
    <row r="572" spans="1:18" x14ac:dyDescent="0.3">
      <c r="A572">
        <v>237829</v>
      </c>
      <c r="B572" t="s">
        <v>557</v>
      </c>
      <c r="C572" t="s">
        <v>1056</v>
      </c>
      <c r="D572" t="s">
        <v>1057</v>
      </c>
      <c r="E572" s="451">
        <v>46182</v>
      </c>
      <c r="F572" s="451">
        <v>46188</v>
      </c>
      <c r="G572" t="s">
        <v>562</v>
      </c>
      <c r="H572" t="s">
        <v>122</v>
      </c>
      <c r="I572" t="s">
        <v>1058</v>
      </c>
      <c r="J572">
        <v>-99.15</v>
      </c>
      <c r="K572">
        <v>-99.15</v>
      </c>
      <c r="O572" t="s">
        <v>787</v>
      </c>
      <c r="P572" t="s">
        <v>894</v>
      </c>
      <c r="Q572" t="s">
        <v>464</v>
      </c>
      <c r="R572">
        <v>0</v>
      </c>
    </row>
    <row r="573" spans="1:18" x14ac:dyDescent="0.3">
      <c r="A573">
        <v>237280</v>
      </c>
      <c r="B573" t="s">
        <v>557</v>
      </c>
      <c r="C573" t="s">
        <v>259</v>
      </c>
      <c r="D573" t="s">
        <v>1059</v>
      </c>
      <c r="E573" s="451">
        <v>46181</v>
      </c>
      <c r="F573" s="451">
        <v>46203</v>
      </c>
      <c r="G573" t="s">
        <v>777</v>
      </c>
      <c r="H573" t="s">
        <v>368</v>
      </c>
      <c r="I573" t="s">
        <v>805</v>
      </c>
      <c r="J573">
        <v>-4322.5600000000004</v>
      </c>
      <c r="K573">
        <v>-4322.5600000000004</v>
      </c>
      <c r="O573" t="s">
        <v>787</v>
      </c>
      <c r="P573" t="s">
        <v>894</v>
      </c>
      <c r="Q573" t="s">
        <v>464</v>
      </c>
      <c r="R573">
        <v>0</v>
      </c>
    </row>
    <row r="574" spans="1:18" x14ac:dyDescent="0.3">
      <c r="A574">
        <v>226146</v>
      </c>
      <c r="B574" t="s">
        <v>557</v>
      </c>
      <c r="C574" t="s">
        <v>943</v>
      </c>
      <c r="D574" t="s">
        <v>1060</v>
      </c>
      <c r="E574" s="451">
        <v>46181</v>
      </c>
      <c r="F574" s="451">
        <v>46191</v>
      </c>
      <c r="G574" t="s">
        <v>576</v>
      </c>
      <c r="H574" t="s">
        <v>203</v>
      </c>
      <c r="I574" t="s">
        <v>1061</v>
      </c>
      <c r="J574">
        <v>-1923.04</v>
      </c>
      <c r="K574">
        <v>-1923.04</v>
      </c>
      <c r="O574" t="s">
        <v>787</v>
      </c>
      <c r="P574" t="s">
        <v>894</v>
      </c>
      <c r="Q574" t="s">
        <v>464</v>
      </c>
      <c r="R574">
        <v>0</v>
      </c>
    </row>
    <row r="575" spans="1:18" x14ac:dyDescent="0.3">
      <c r="A575">
        <v>237268</v>
      </c>
      <c r="B575" t="s">
        <v>557</v>
      </c>
      <c r="C575" t="s">
        <v>259</v>
      </c>
      <c r="D575" t="s">
        <v>1062</v>
      </c>
      <c r="E575" s="451">
        <v>46181</v>
      </c>
      <c r="F575" s="451">
        <v>46203</v>
      </c>
      <c r="G575" t="s">
        <v>777</v>
      </c>
      <c r="H575" t="s">
        <v>368</v>
      </c>
      <c r="I575" t="s">
        <v>813</v>
      </c>
      <c r="J575">
        <v>-1356.39</v>
      </c>
      <c r="K575">
        <v>-1356.39</v>
      </c>
      <c r="O575" t="s">
        <v>787</v>
      </c>
      <c r="P575" t="s">
        <v>894</v>
      </c>
      <c r="Q575" t="s">
        <v>464</v>
      </c>
      <c r="R575">
        <v>0</v>
      </c>
    </row>
    <row r="576" spans="1:18" x14ac:dyDescent="0.3">
      <c r="A576">
        <v>238089</v>
      </c>
      <c r="B576" t="s">
        <v>557</v>
      </c>
      <c r="C576" t="s">
        <v>964</v>
      </c>
      <c r="D576" t="s">
        <v>961</v>
      </c>
      <c r="E576" s="451">
        <v>46178</v>
      </c>
      <c r="F576" s="451">
        <v>46178</v>
      </c>
      <c r="G576" t="s">
        <v>874</v>
      </c>
      <c r="H576" t="s">
        <v>875</v>
      </c>
      <c r="J576">
        <v>-89.24</v>
      </c>
      <c r="K576">
        <v>-89.24</v>
      </c>
      <c r="O576" t="s">
        <v>787</v>
      </c>
      <c r="P576" t="s">
        <v>894</v>
      </c>
      <c r="Q576" t="s">
        <v>464</v>
      </c>
      <c r="R576">
        <v>0</v>
      </c>
    </row>
    <row r="577" spans="1:18" x14ac:dyDescent="0.3">
      <c r="A577">
        <v>237830</v>
      </c>
      <c r="B577" t="s">
        <v>557</v>
      </c>
      <c r="C577" t="s">
        <v>1063</v>
      </c>
      <c r="D577" t="s">
        <v>1064</v>
      </c>
      <c r="E577" s="451">
        <v>46178</v>
      </c>
      <c r="F577" s="451">
        <v>46192</v>
      </c>
      <c r="G577" t="s">
        <v>296</v>
      </c>
      <c r="H577" t="s">
        <v>303</v>
      </c>
      <c r="I577" t="s">
        <v>1065</v>
      </c>
      <c r="J577">
        <v>-2000</v>
      </c>
      <c r="K577">
        <v>-2000</v>
      </c>
      <c r="O577" t="s">
        <v>787</v>
      </c>
      <c r="P577" t="s">
        <v>894</v>
      </c>
      <c r="Q577" t="s">
        <v>464</v>
      </c>
      <c r="R577">
        <v>0</v>
      </c>
    </row>
    <row r="578" spans="1:18" x14ac:dyDescent="0.3">
      <c r="A578">
        <v>241523</v>
      </c>
      <c r="B578" t="s">
        <v>557</v>
      </c>
      <c r="C578" t="s">
        <v>1066</v>
      </c>
      <c r="D578" t="s">
        <v>1067</v>
      </c>
      <c r="E578" s="451">
        <v>46174</v>
      </c>
      <c r="F578" s="451">
        <v>46208</v>
      </c>
      <c r="G578" t="s">
        <v>264</v>
      </c>
      <c r="H578" t="s">
        <v>272</v>
      </c>
      <c r="I578" t="s">
        <v>1068</v>
      </c>
      <c r="J578">
        <v>-70</v>
      </c>
      <c r="K578">
        <v>-70</v>
      </c>
      <c r="O578" t="s">
        <v>787</v>
      </c>
      <c r="Q578" t="s">
        <v>464</v>
      </c>
      <c r="R578">
        <v>0</v>
      </c>
    </row>
    <row r="579" spans="1:18" x14ac:dyDescent="0.3">
      <c r="A579">
        <v>227690</v>
      </c>
      <c r="B579" t="s">
        <v>557</v>
      </c>
      <c r="C579" t="s">
        <v>947</v>
      </c>
      <c r="D579" t="s">
        <v>948</v>
      </c>
      <c r="E579" s="451">
        <v>46174</v>
      </c>
      <c r="F579" s="451">
        <v>46181</v>
      </c>
      <c r="G579" t="s">
        <v>279</v>
      </c>
      <c r="H579" t="s">
        <v>283</v>
      </c>
      <c r="I579" t="s">
        <v>1069</v>
      </c>
      <c r="J579">
        <v>-536.73</v>
      </c>
      <c r="K579">
        <v>-536.73</v>
      </c>
      <c r="O579" t="s">
        <v>787</v>
      </c>
      <c r="P579" t="s">
        <v>894</v>
      </c>
      <c r="Q579" t="s">
        <v>464</v>
      </c>
      <c r="R579">
        <v>0</v>
      </c>
    </row>
    <row r="580" spans="1:18" x14ac:dyDescent="0.3">
      <c r="A580">
        <v>241521</v>
      </c>
      <c r="B580" t="s">
        <v>557</v>
      </c>
      <c r="C580" t="s">
        <v>1066</v>
      </c>
      <c r="D580" t="s">
        <v>1070</v>
      </c>
      <c r="E580" s="451">
        <v>46174</v>
      </c>
      <c r="F580" s="451">
        <v>46208</v>
      </c>
      <c r="G580" t="s">
        <v>564</v>
      </c>
      <c r="H580" t="s">
        <v>567</v>
      </c>
      <c r="I580" t="s">
        <v>1071</v>
      </c>
      <c r="J580">
        <v>-44.89</v>
      </c>
      <c r="K580">
        <v>-44.89</v>
      </c>
      <c r="O580" t="s">
        <v>787</v>
      </c>
      <c r="Q580" t="s">
        <v>464</v>
      </c>
      <c r="R580">
        <v>0</v>
      </c>
    </row>
    <row r="581" spans="1:18" x14ac:dyDescent="0.3">
      <c r="A581">
        <v>241520</v>
      </c>
      <c r="B581" t="s">
        <v>557</v>
      </c>
      <c r="C581" t="s">
        <v>1066</v>
      </c>
      <c r="D581" t="s">
        <v>1072</v>
      </c>
      <c r="E581" s="451">
        <v>46174</v>
      </c>
      <c r="F581" s="451">
        <v>46208</v>
      </c>
      <c r="G581" t="s">
        <v>264</v>
      </c>
      <c r="H581" t="s">
        <v>278</v>
      </c>
      <c r="I581" t="s">
        <v>1073</v>
      </c>
      <c r="J581">
        <v>-375</v>
      </c>
      <c r="K581">
        <v>-375</v>
      </c>
      <c r="O581" t="s">
        <v>787</v>
      </c>
      <c r="Q581" t="s">
        <v>464</v>
      </c>
      <c r="R581">
        <v>0</v>
      </c>
    </row>
    <row r="582" spans="1:18" x14ac:dyDescent="0.3">
      <c r="A582">
        <v>241519</v>
      </c>
      <c r="B582" t="s">
        <v>557</v>
      </c>
      <c r="C582" t="s">
        <v>1066</v>
      </c>
      <c r="D582" t="s">
        <v>1074</v>
      </c>
      <c r="E582" s="451">
        <v>46174</v>
      </c>
      <c r="F582" s="451">
        <v>46208</v>
      </c>
      <c r="G582" t="s">
        <v>264</v>
      </c>
      <c r="H582" t="s">
        <v>268</v>
      </c>
      <c r="I582" t="s">
        <v>1075</v>
      </c>
      <c r="J582">
        <v>-14</v>
      </c>
      <c r="K582">
        <v>-14</v>
      </c>
      <c r="O582" t="s">
        <v>787</v>
      </c>
      <c r="Q582" t="s">
        <v>464</v>
      </c>
      <c r="R582">
        <v>0</v>
      </c>
    </row>
    <row r="583" spans="1:18" x14ac:dyDescent="0.3">
      <c r="A583">
        <v>241517</v>
      </c>
      <c r="B583" t="s">
        <v>557</v>
      </c>
      <c r="C583" t="s">
        <v>1066</v>
      </c>
      <c r="D583" t="s">
        <v>1076</v>
      </c>
      <c r="E583" s="451">
        <v>46174</v>
      </c>
      <c r="F583" s="451">
        <v>46208</v>
      </c>
      <c r="G583" t="s">
        <v>581</v>
      </c>
      <c r="H583" t="s">
        <v>291</v>
      </c>
      <c r="I583" t="s">
        <v>1077</v>
      </c>
      <c r="J583">
        <v>-10.48</v>
      </c>
      <c r="K583">
        <v>-10.48</v>
      </c>
      <c r="O583" t="s">
        <v>787</v>
      </c>
      <c r="Q583" t="s">
        <v>464</v>
      </c>
      <c r="R583">
        <v>0</v>
      </c>
    </row>
    <row r="584" spans="1:18" x14ac:dyDescent="0.3">
      <c r="A584">
        <v>241516</v>
      </c>
      <c r="B584" t="s">
        <v>557</v>
      </c>
      <c r="C584" t="s">
        <v>1066</v>
      </c>
      <c r="D584" t="s">
        <v>1078</v>
      </c>
      <c r="E584" s="451">
        <v>46174</v>
      </c>
      <c r="F584" s="451">
        <v>46208</v>
      </c>
      <c r="G584" t="s">
        <v>264</v>
      </c>
      <c r="H584" t="s">
        <v>278</v>
      </c>
      <c r="I584" t="s">
        <v>1079</v>
      </c>
      <c r="J584">
        <v>-99.98</v>
      </c>
      <c r="K584">
        <v>-99.98</v>
      </c>
      <c r="O584" t="s">
        <v>787</v>
      </c>
      <c r="Q584" t="s">
        <v>464</v>
      </c>
      <c r="R584">
        <v>0</v>
      </c>
    </row>
    <row r="585" spans="1:18" x14ac:dyDescent="0.3">
      <c r="A585">
        <v>241513</v>
      </c>
      <c r="B585" t="s">
        <v>557</v>
      </c>
      <c r="C585" t="s">
        <v>1066</v>
      </c>
      <c r="D585" t="s">
        <v>1080</v>
      </c>
      <c r="E585" s="451">
        <v>46174</v>
      </c>
      <c r="F585" s="451">
        <v>46208</v>
      </c>
      <c r="G585" t="s">
        <v>564</v>
      </c>
      <c r="H585" t="s">
        <v>565</v>
      </c>
      <c r="I585" t="s">
        <v>1081</v>
      </c>
      <c r="J585">
        <v>-39.979999999999997</v>
      </c>
      <c r="K585">
        <v>-39.979999999999997</v>
      </c>
      <c r="O585" t="s">
        <v>787</v>
      </c>
      <c r="Q585" t="s">
        <v>464</v>
      </c>
      <c r="R585">
        <v>0</v>
      </c>
    </row>
    <row r="586" spans="1:18" x14ac:dyDescent="0.3">
      <c r="A586">
        <v>227729</v>
      </c>
      <c r="B586" t="s">
        <v>557</v>
      </c>
      <c r="C586" t="s">
        <v>868</v>
      </c>
      <c r="D586" t="s">
        <v>1082</v>
      </c>
      <c r="E586" s="451">
        <v>46174</v>
      </c>
      <c r="F586" s="451">
        <v>46208</v>
      </c>
      <c r="G586" t="s">
        <v>279</v>
      </c>
      <c r="H586" t="s">
        <v>286</v>
      </c>
      <c r="I586" t="s">
        <v>1083</v>
      </c>
      <c r="J586">
        <v>-604.77</v>
      </c>
      <c r="K586">
        <v>-604.77</v>
      </c>
      <c r="O586" t="s">
        <v>787</v>
      </c>
      <c r="Q586" t="s">
        <v>464</v>
      </c>
      <c r="R586">
        <v>0</v>
      </c>
    </row>
    <row r="587" spans="1:18" x14ac:dyDescent="0.3">
      <c r="A587">
        <v>241512</v>
      </c>
      <c r="B587" t="s">
        <v>557</v>
      </c>
      <c r="C587" t="s">
        <v>1066</v>
      </c>
      <c r="D587" t="s">
        <v>1084</v>
      </c>
      <c r="E587" s="451">
        <v>46174</v>
      </c>
      <c r="F587" s="451">
        <v>46208</v>
      </c>
      <c r="G587" t="s">
        <v>564</v>
      </c>
      <c r="H587" t="s">
        <v>565</v>
      </c>
      <c r="I587" t="s">
        <v>1085</v>
      </c>
      <c r="J587">
        <v>-45.08</v>
      </c>
      <c r="K587">
        <v>-45.08</v>
      </c>
      <c r="O587" t="s">
        <v>787</v>
      </c>
      <c r="Q587" t="s">
        <v>464</v>
      </c>
      <c r="R587">
        <v>0</v>
      </c>
    </row>
    <row r="588" spans="1:18" x14ac:dyDescent="0.3">
      <c r="A588">
        <v>241511</v>
      </c>
      <c r="B588" t="s">
        <v>557</v>
      </c>
      <c r="C588" t="s">
        <v>1066</v>
      </c>
      <c r="D588" t="s">
        <v>1086</v>
      </c>
      <c r="E588" s="451">
        <v>46174</v>
      </c>
      <c r="F588" s="451">
        <v>46208</v>
      </c>
      <c r="G588" t="s">
        <v>264</v>
      </c>
      <c r="H588" t="s">
        <v>268</v>
      </c>
      <c r="I588" t="s">
        <v>1087</v>
      </c>
      <c r="J588">
        <v>-76.38</v>
      </c>
      <c r="K588">
        <v>-76.38</v>
      </c>
      <c r="O588" t="s">
        <v>787</v>
      </c>
      <c r="Q588" t="s">
        <v>464</v>
      </c>
      <c r="R588">
        <v>0</v>
      </c>
    </row>
    <row r="589" spans="1:18" x14ac:dyDescent="0.3">
      <c r="A589">
        <v>241510</v>
      </c>
      <c r="B589" t="s">
        <v>557</v>
      </c>
      <c r="C589" t="s">
        <v>1066</v>
      </c>
      <c r="D589" t="s">
        <v>1088</v>
      </c>
      <c r="E589" s="451">
        <v>46174</v>
      </c>
      <c r="F589" s="451">
        <v>46208</v>
      </c>
      <c r="G589" t="s">
        <v>564</v>
      </c>
      <c r="H589" t="s">
        <v>565</v>
      </c>
      <c r="I589" t="s">
        <v>1081</v>
      </c>
      <c r="J589">
        <v>-40.090000000000003</v>
      </c>
      <c r="K589">
        <v>-40.090000000000003</v>
      </c>
      <c r="O589" t="s">
        <v>787</v>
      </c>
      <c r="Q589" t="s">
        <v>464</v>
      </c>
      <c r="R589">
        <v>0</v>
      </c>
    </row>
    <row r="590" spans="1:18" x14ac:dyDescent="0.3">
      <c r="A590">
        <v>241509</v>
      </c>
      <c r="B590" t="s">
        <v>557</v>
      </c>
      <c r="C590" t="s">
        <v>1066</v>
      </c>
      <c r="D590" t="s">
        <v>1089</v>
      </c>
      <c r="E590" s="451">
        <v>46174</v>
      </c>
      <c r="F590" s="451">
        <v>46208</v>
      </c>
      <c r="G590" t="s">
        <v>582</v>
      </c>
      <c r="H590" t="s">
        <v>293</v>
      </c>
      <c r="I590" t="s">
        <v>1090</v>
      </c>
      <c r="J590">
        <v>-100</v>
      </c>
      <c r="K590">
        <v>-100</v>
      </c>
      <c r="O590" t="s">
        <v>787</v>
      </c>
      <c r="Q590" t="s">
        <v>464</v>
      </c>
      <c r="R590">
        <v>0</v>
      </c>
    </row>
    <row r="591" spans="1:18" x14ac:dyDescent="0.3">
      <c r="A591">
        <v>241507</v>
      </c>
      <c r="B591" t="s">
        <v>557</v>
      </c>
      <c r="C591" t="s">
        <v>1066</v>
      </c>
      <c r="D591" t="s">
        <v>1091</v>
      </c>
      <c r="E591" s="451">
        <v>46174</v>
      </c>
      <c r="F591" s="451">
        <v>46208</v>
      </c>
      <c r="G591" t="s">
        <v>264</v>
      </c>
      <c r="H591" t="s">
        <v>272</v>
      </c>
      <c r="I591" t="s">
        <v>1068</v>
      </c>
      <c r="J591">
        <v>-70</v>
      </c>
      <c r="K591">
        <v>-70</v>
      </c>
      <c r="O591" t="s">
        <v>787</v>
      </c>
      <c r="Q591" t="s">
        <v>464</v>
      </c>
      <c r="R591">
        <v>0</v>
      </c>
    </row>
    <row r="592" spans="1:18" x14ac:dyDescent="0.3">
      <c r="A592">
        <v>241506</v>
      </c>
      <c r="B592" t="s">
        <v>557</v>
      </c>
      <c r="C592" t="s">
        <v>1066</v>
      </c>
      <c r="D592" t="s">
        <v>1092</v>
      </c>
      <c r="E592" s="451">
        <v>46174</v>
      </c>
      <c r="F592" s="451">
        <v>46208</v>
      </c>
      <c r="G592" t="s">
        <v>564</v>
      </c>
      <c r="H592" t="s">
        <v>565</v>
      </c>
      <c r="I592" t="s">
        <v>1093</v>
      </c>
      <c r="J592">
        <v>-13.53</v>
      </c>
      <c r="K592">
        <v>-13.53</v>
      </c>
      <c r="O592" t="s">
        <v>787</v>
      </c>
      <c r="Q592" t="s">
        <v>464</v>
      </c>
      <c r="R592">
        <v>0</v>
      </c>
    </row>
    <row r="593" spans="1:18" x14ac:dyDescent="0.3">
      <c r="A593">
        <v>241504</v>
      </c>
      <c r="B593" t="s">
        <v>557</v>
      </c>
      <c r="C593" t="s">
        <v>1066</v>
      </c>
      <c r="D593" t="s">
        <v>1094</v>
      </c>
      <c r="E593" s="451">
        <v>46174</v>
      </c>
      <c r="F593" s="451">
        <v>46208</v>
      </c>
      <c r="G593" t="s">
        <v>564</v>
      </c>
      <c r="H593" t="s">
        <v>567</v>
      </c>
      <c r="I593" t="s">
        <v>1095</v>
      </c>
      <c r="J593">
        <v>-22.69</v>
      </c>
      <c r="K593">
        <v>-22.69</v>
      </c>
      <c r="O593" t="s">
        <v>787</v>
      </c>
      <c r="Q593" t="s">
        <v>464</v>
      </c>
      <c r="R593">
        <v>0</v>
      </c>
    </row>
    <row r="594" spans="1:18" x14ac:dyDescent="0.3">
      <c r="A594">
        <v>241503</v>
      </c>
      <c r="B594" t="s">
        <v>557</v>
      </c>
      <c r="C594" t="s">
        <v>1066</v>
      </c>
      <c r="D594" t="s">
        <v>1096</v>
      </c>
      <c r="E594" s="451">
        <v>46174</v>
      </c>
      <c r="F594" s="451">
        <v>46208</v>
      </c>
      <c r="G594" t="s">
        <v>564</v>
      </c>
      <c r="H594" t="s">
        <v>565</v>
      </c>
      <c r="I594" t="s">
        <v>1097</v>
      </c>
      <c r="J594">
        <v>-64.94</v>
      </c>
      <c r="K594">
        <v>-64.94</v>
      </c>
      <c r="O594" t="s">
        <v>787</v>
      </c>
      <c r="Q594" t="s">
        <v>464</v>
      </c>
      <c r="R594">
        <v>0</v>
      </c>
    </row>
    <row r="595" spans="1:18" x14ac:dyDescent="0.3">
      <c r="A595">
        <v>241502</v>
      </c>
      <c r="B595" t="s">
        <v>557</v>
      </c>
      <c r="C595" t="s">
        <v>1066</v>
      </c>
      <c r="D595" t="s">
        <v>1098</v>
      </c>
      <c r="E595" s="451">
        <v>46174</v>
      </c>
      <c r="F595" s="451">
        <v>46208</v>
      </c>
      <c r="G595" t="s">
        <v>581</v>
      </c>
      <c r="H595" t="s">
        <v>291</v>
      </c>
      <c r="I595" t="s">
        <v>1099</v>
      </c>
      <c r="J595">
        <v>-100</v>
      </c>
      <c r="K595">
        <v>-100</v>
      </c>
      <c r="O595" t="s">
        <v>787</v>
      </c>
      <c r="Q595" t="s">
        <v>464</v>
      </c>
      <c r="R595">
        <v>0</v>
      </c>
    </row>
    <row r="596" spans="1:18" x14ac:dyDescent="0.3">
      <c r="A596">
        <v>241500</v>
      </c>
      <c r="B596" t="s">
        <v>557</v>
      </c>
      <c r="C596" t="s">
        <v>1066</v>
      </c>
      <c r="D596" t="s">
        <v>1100</v>
      </c>
      <c r="E596" s="451">
        <v>46174</v>
      </c>
      <c r="F596" s="451">
        <v>46208</v>
      </c>
      <c r="G596" t="s">
        <v>581</v>
      </c>
      <c r="H596" t="s">
        <v>291</v>
      </c>
      <c r="I596" t="s">
        <v>1101</v>
      </c>
      <c r="J596">
        <v>-137</v>
      </c>
      <c r="K596">
        <v>-137</v>
      </c>
      <c r="O596" t="s">
        <v>787</v>
      </c>
      <c r="Q596" t="s">
        <v>464</v>
      </c>
      <c r="R596">
        <v>0</v>
      </c>
    </row>
    <row r="597" spans="1:18" x14ac:dyDescent="0.3">
      <c r="A597">
        <v>243012</v>
      </c>
      <c r="B597" t="s">
        <v>557</v>
      </c>
      <c r="C597" t="s">
        <v>1102</v>
      </c>
      <c r="E597" s="451">
        <v>46174</v>
      </c>
      <c r="F597" s="451">
        <v>46179</v>
      </c>
      <c r="G597" t="s">
        <v>574</v>
      </c>
      <c r="H597" t="s">
        <v>575</v>
      </c>
      <c r="J597">
        <v>-3119.27</v>
      </c>
      <c r="K597">
        <v>-3119.27</v>
      </c>
      <c r="O597" t="s">
        <v>787</v>
      </c>
      <c r="P597" t="s">
        <v>977</v>
      </c>
      <c r="Q597" t="s">
        <v>464</v>
      </c>
      <c r="R597">
        <v>0</v>
      </c>
    </row>
    <row r="598" spans="1:18" x14ac:dyDescent="0.3">
      <c r="A598">
        <v>243021</v>
      </c>
      <c r="B598" t="s">
        <v>557</v>
      </c>
      <c r="C598" t="s">
        <v>1103</v>
      </c>
      <c r="E598" s="451">
        <v>46174</v>
      </c>
      <c r="F598" s="451">
        <v>46179</v>
      </c>
      <c r="G598" t="s">
        <v>574</v>
      </c>
      <c r="H598" t="s">
        <v>575</v>
      </c>
      <c r="J598">
        <v>-1987.29</v>
      </c>
      <c r="K598">
        <v>-1987.29</v>
      </c>
      <c r="O598" t="s">
        <v>787</v>
      </c>
      <c r="P598" t="s">
        <v>977</v>
      </c>
      <c r="Q598" t="s">
        <v>464</v>
      </c>
      <c r="R598">
        <v>0</v>
      </c>
    </row>
    <row r="599" spans="1:18" x14ac:dyDescent="0.3">
      <c r="A599">
        <v>243020</v>
      </c>
      <c r="B599" t="s">
        <v>557</v>
      </c>
      <c r="C599" t="s">
        <v>1104</v>
      </c>
      <c r="E599" s="451">
        <v>46174</v>
      </c>
      <c r="F599" s="451">
        <v>46179</v>
      </c>
      <c r="G599" t="s">
        <v>574</v>
      </c>
      <c r="H599" t="s">
        <v>575</v>
      </c>
      <c r="J599">
        <v>-2732.58</v>
      </c>
      <c r="K599">
        <v>-2732.58</v>
      </c>
      <c r="O599" t="s">
        <v>787</v>
      </c>
      <c r="P599" t="s">
        <v>977</v>
      </c>
      <c r="Q599" t="s">
        <v>464</v>
      </c>
      <c r="R599">
        <v>0</v>
      </c>
    </row>
    <row r="600" spans="1:18" x14ac:dyDescent="0.3">
      <c r="A600">
        <v>243019</v>
      </c>
      <c r="B600" t="s">
        <v>557</v>
      </c>
      <c r="C600" t="s">
        <v>1105</v>
      </c>
      <c r="E600" s="451">
        <v>46174</v>
      </c>
      <c r="F600" s="451">
        <v>46179</v>
      </c>
      <c r="G600" t="s">
        <v>574</v>
      </c>
      <c r="H600" t="s">
        <v>575</v>
      </c>
      <c r="J600">
        <v>-2585.21</v>
      </c>
      <c r="K600">
        <v>-2585.21</v>
      </c>
      <c r="O600" t="s">
        <v>787</v>
      </c>
      <c r="P600" t="s">
        <v>977</v>
      </c>
      <c r="Q600" t="s">
        <v>464</v>
      </c>
      <c r="R600">
        <v>0</v>
      </c>
    </row>
    <row r="601" spans="1:18" x14ac:dyDescent="0.3">
      <c r="A601">
        <v>243018</v>
      </c>
      <c r="B601" t="s">
        <v>557</v>
      </c>
      <c r="C601" t="s">
        <v>1106</v>
      </c>
      <c r="E601" s="451">
        <v>46174</v>
      </c>
      <c r="F601" s="451">
        <v>46179</v>
      </c>
      <c r="G601" t="s">
        <v>574</v>
      </c>
      <c r="H601" t="s">
        <v>575</v>
      </c>
      <c r="J601">
        <v>-1278.92</v>
      </c>
      <c r="K601">
        <v>-1278.92</v>
      </c>
      <c r="O601" t="s">
        <v>787</v>
      </c>
      <c r="P601" t="s">
        <v>977</v>
      </c>
      <c r="Q601" t="s">
        <v>464</v>
      </c>
      <c r="R601">
        <v>0</v>
      </c>
    </row>
    <row r="602" spans="1:18" x14ac:dyDescent="0.3">
      <c r="A602">
        <v>243017</v>
      </c>
      <c r="B602" t="s">
        <v>557</v>
      </c>
      <c r="C602" t="s">
        <v>1107</v>
      </c>
      <c r="E602" s="451">
        <v>46174</v>
      </c>
      <c r="F602" s="451">
        <v>46179</v>
      </c>
      <c r="G602" t="s">
        <v>574</v>
      </c>
      <c r="H602" t="s">
        <v>575</v>
      </c>
      <c r="J602">
        <v>-2607.0700000000002</v>
      </c>
      <c r="K602">
        <v>-2607.0700000000002</v>
      </c>
      <c r="O602" t="s">
        <v>787</v>
      </c>
      <c r="P602" t="s">
        <v>977</v>
      </c>
      <c r="Q602" t="s">
        <v>464</v>
      </c>
      <c r="R602">
        <v>0</v>
      </c>
    </row>
    <row r="603" spans="1:18" x14ac:dyDescent="0.3">
      <c r="A603">
        <v>243016</v>
      </c>
      <c r="B603" t="s">
        <v>557</v>
      </c>
      <c r="C603" t="s">
        <v>1108</v>
      </c>
      <c r="E603" s="451">
        <v>46174</v>
      </c>
      <c r="F603" s="451">
        <v>46179</v>
      </c>
      <c r="G603" t="s">
        <v>574</v>
      </c>
      <c r="H603" t="s">
        <v>575</v>
      </c>
      <c r="J603">
        <v>-3329.18</v>
      </c>
      <c r="K603">
        <v>-3329.18</v>
      </c>
      <c r="O603" t="s">
        <v>787</v>
      </c>
      <c r="P603" t="s">
        <v>977</v>
      </c>
      <c r="Q603" t="s">
        <v>464</v>
      </c>
      <c r="R603">
        <v>0</v>
      </c>
    </row>
    <row r="604" spans="1:18" x14ac:dyDescent="0.3">
      <c r="A604">
        <v>243015</v>
      </c>
      <c r="B604" t="s">
        <v>557</v>
      </c>
      <c r="C604" t="s">
        <v>1109</v>
      </c>
      <c r="E604" s="451">
        <v>46174</v>
      </c>
      <c r="F604" s="451">
        <v>46179</v>
      </c>
      <c r="G604" t="s">
        <v>574</v>
      </c>
      <c r="H604" t="s">
        <v>575</v>
      </c>
      <c r="J604">
        <v>-2959.09</v>
      </c>
      <c r="K604">
        <v>-2959.09</v>
      </c>
      <c r="O604" t="s">
        <v>787</v>
      </c>
      <c r="P604" t="s">
        <v>977</v>
      </c>
      <c r="Q604" t="s">
        <v>464</v>
      </c>
      <c r="R604">
        <v>0</v>
      </c>
    </row>
    <row r="605" spans="1:18" x14ac:dyDescent="0.3">
      <c r="A605">
        <v>243014</v>
      </c>
      <c r="B605" t="s">
        <v>557</v>
      </c>
      <c r="C605" t="s">
        <v>1110</v>
      </c>
      <c r="E605" s="451">
        <v>46174</v>
      </c>
      <c r="F605" s="451">
        <v>46179</v>
      </c>
      <c r="G605" t="s">
        <v>574</v>
      </c>
      <c r="H605" t="s">
        <v>575</v>
      </c>
      <c r="J605">
        <v>-2377.96</v>
      </c>
      <c r="K605">
        <v>-2377.96</v>
      </c>
      <c r="O605" t="s">
        <v>787</v>
      </c>
      <c r="P605" t="s">
        <v>977</v>
      </c>
      <c r="Q605" t="s">
        <v>464</v>
      </c>
      <c r="R605">
        <v>0</v>
      </c>
    </row>
    <row r="606" spans="1:18" x14ac:dyDescent="0.3">
      <c r="A606">
        <v>243013</v>
      </c>
      <c r="B606" t="s">
        <v>557</v>
      </c>
      <c r="C606" t="s">
        <v>974</v>
      </c>
      <c r="E606" s="451">
        <v>46174</v>
      </c>
      <c r="F606" s="451">
        <v>46179</v>
      </c>
      <c r="G606" t="s">
        <v>574</v>
      </c>
      <c r="H606" t="s">
        <v>575</v>
      </c>
      <c r="J606">
        <v>-1626.46</v>
      </c>
      <c r="K606">
        <v>-1626.46</v>
      </c>
      <c r="O606" t="s">
        <v>787</v>
      </c>
      <c r="P606" t="s">
        <v>977</v>
      </c>
      <c r="Q606" t="s">
        <v>464</v>
      </c>
      <c r="R606">
        <v>0</v>
      </c>
    </row>
    <row r="607" spans="1:18" x14ac:dyDescent="0.3">
      <c r="A607">
        <v>241524</v>
      </c>
      <c r="B607" t="s">
        <v>557</v>
      </c>
      <c r="C607" t="s">
        <v>1066</v>
      </c>
      <c r="D607" t="s">
        <v>1111</v>
      </c>
      <c r="E607" s="451">
        <v>46174</v>
      </c>
      <c r="F607" s="451">
        <v>46208</v>
      </c>
      <c r="G607" t="s">
        <v>264</v>
      </c>
      <c r="H607" t="s">
        <v>275</v>
      </c>
      <c r="I607" t="s">
        <v>1112</v>
      </c>
      <c r="J607">
        <v>-129</v>
      </c>
      <c r="K607">
        <v>-129</v>
      </c>
      <c r="O607" t="s">
        <v>787</v>
      </c>
      <c r="Q607" t="s">
        <v>464</v>
      </c>
      <c r="R607">
        <v>0</v>
      </c>
    </row>
    <row r="608" spans="1:18" x14ac:dyDescent="0.3">
      <c r="A608">
        <v>243011</v>
      </c>
      <c r="B608" t="s">
        <v>557</v>
      </c>
      <c r="C608" t="s">
        <v>970</v>
      </c>
      <c r="E608" s="451">
        <v>46174</v>
      </c>
      <c r="F608" s="451">
        <v>46179</v>
      </c>
      <c r="G608" t="s">
        <v>574</v>
      </c>
      <c r="H608" t="s">
        <v>575</v>
      </c>
      <c r="J608">
        <v>-2989.12</v>
      </c>
      <c r="K608">
        <v>-2989.12</v>
      </c>
      <c r="O608" t="s">
        <v>787</v>
      </c>
      <c r="Q608" t="s">
        <v>464</v>
      </c>
      <c r="R608">
        <v>0</v>
      </c>
    </row>
    <row r="609" spans="1:18" x14ac:dyDescent="0.3">
      <c r="A609">
        <v>243010</v>
      </c>
      <c r="B609" t="s">
        <v>557</v>
      </c>
      <c r="C609" t="s">
        <v>1113</v>
      </c>
      <c r="E609" s="451">
        <v>46174</v>
      </c>
      <c r="F609" s="451">
        <v>46179</v>
      </c>
      <c r="G609" t="s">
        <v>574</v>
      </c>
      <c r="H609" t="s">
        <v>575</v>
      </c>
      <c r="J609">
        <v>-2111.3000000000002</v>
      </c>
      <c r="K609">
        <v>-2111.3000000000002</v>
      </c>
      <c r="O609" t="s">
        <v>787</v>
      </c>
      <c r="P609" t="s">
        <v>977</v>
      </c>
      <c r="Q609" t="s">
        <v>464</v>
      </c>
      <c r="R609">
        <v>0</v>
      </c>
    </row>
    <row r="610" spans="1:18" x14ac:dyDescent="0.3">
      <c r="A610">
        <v>243009</v>
      </c>
      <c r="B610" t="s">
        <v>557</v>
      </c>
      <c r="C610" t="s">
        <v>1114</v>
      </c>
      <c r="E610" s="451">
        <v>46174</v>
      </c>
      <c r="F610" s="451">
        <v>46179</v>
      </c>
      <c r="G610" t="s">
        <v>574</v>
      </c>
      <c r="H610" t="s">
        <v>575</v>
      </c>
      <c r="J610">
        <v>-3017.58</v>
      </c>
      <c r="K610">
        <v>-3017.58</v>
      </c>
      <c r="O610" t="s">
        <v>787</v>
      </c>
      <c r="P610" t="s">
        <v>977</v>
      </c>
      <c r="Q610" t="s">
        <v>464</v>
      </c>
      <c r="R610">
        <v>0</v>
      </c>
    </row>
    <row r="611" spans="1:18" x14ac:dyDescent="0.3">
      <c r="A611">
        <v>243008</v>
      </c>
      <c r="B611" t="s">
        <v>557</v>
      </c>
      <c r="C611" t="s">
        <v>1115</v>
      </c>
      <c r="E611" s="451">
        <v>46174</v>
      </c>
      <c r="F611" s="451">
        <v>46179</v>
      </c>
      <c r="G611" t="s">
        <v>574</v>
      </c>
      <c r="H611" t="s">
        <v>575</v>
      </c>
      <c r="J611">
        <v>-1575.77</v>
      </c>
      <c r="K611">
        <v>-1575.77</v>
      </c>
      <c r="O611" t="s">
        <v>787</v>
      </c>
      <c r="P611" t="s">
        <v>977</v>
      </c>
      <c r="Q611" t="s">
        <v>464</v>
      </c>
      <c r="R611">
        <v>0</v>
      </c>
    </row>
    <row r="612" spans="1:18" x14ac:dyDescent="0.3">
      <c r="A612">
        <v>243007</v>
      </c>
      <c r="B612" t="s">
        <v>557</v>
      </c>
      <c r="C612" t="s">
        <v>1116</v>
      </c>
      <c r="E612" s="451">
        <v>46174</v>
      </c>
      <c r="F612" s="451">
        <v>46179</v>
      </c>
      <c r="G612" t="s">
        <v>574</v>
      </c>
      <c r="H612" t="s">
        <v>575</v>
      </c>
      <c r="J612">
        <v>-708.76</v>
      </c>
      <c r="K612">
        <v>-708.76</v>
      </c>
      <c r="O612" t="s">
        <v>787</v>
      </c>
      <c r="P612" t="s">
        <v>977</v>
      </c>
      <c r="Q612" t="s">
        <v>464</v>
      </c>
      <c r="R612">
        <v>0</v>
      </c>
    </row>
    <row r="613" spans="1:18" x14ac:dyDescent="0.3">
      <c r="A613">
        <v>243006</v>
      </c>
      <c r="B613" t="s">
        <v>557</v>
      </c>
      <c r="C613" t="s">
        <v>1117</v>
      </c>
      <c r="E613" s="451">
        <v>46174</v>
      </c>
      <c r="F613" s="451">
        <v>46179</v>
      </c>
      <c r="G613" t="s">
        <v>574</v>
      </c>
      <c r="H613" t="s">
        <v>575</v>
      </c>
      <c r="J613">
        <v>-2162</v>
      </c>
      <c r="K613">
        <v>-2162</v>
      </c>
      <c r="O613" t="s">
        <v>787</v>
      </c>
      <c r="P613" t="s">
        <v>977</v>
      </c>
      <c r="Q613" t="s">
        <v>464</v>
      </c>
      <c r="R613">
        <v>0</v>
      </c>
    </row>
    <row r="614" spans="1:18" x14ac:dyDescent="0.3">
      <c r="A614">
        <v>241672</v>
      </c>
      <c r="B614" t="s">
        <v>557</v>
      </c>
      <c r="C614" t="s">
        <v>888</v>
      </c>
      <c r="D614" t="s">
        <v>1118</v>
      </c>
      <c r="E614" s="451">
        <v>46174</v>
      </c>
      <c r="F614" s="451">
        <v>46209</v>
      </c>
      <c r="G614" t="s">
        <v>1119</v>
      </c>
      <c r="H614" t="s">
        <v>366</v>
      </c>
      <c r="I614" t="s">
        <v>1120</v>
      </c>
      <c r="J614">
        <v>-9936.1200000000008</v>
      </c>
      <c r="K614">
        <v>-9936.1200000000008</v>
      </c>
      <c r="M614" t="s">
        <v>887</v>
      </c>
      <c r="N614" t="s">
        <v>131</v>
      </c>
      <c r="O614" t="s">
        <v>787</v>
      </c>
      <c r="Q614" t="s">
        <v>464</v>
      </c>
      <c r="R614">
        <v>0</v>
      </c>
    </row>
    <row r="615" spans="1:18" x14ac:dyDescent="0.3">
      <c r="A615">
        <v>234040</v>
      </c>
      <c r="B615" t="s">
        <v>557</v>
      </c>
      <c r="C615" t="s">
        <v>1116</v>
      </c>
      <c r="D615" t="s">
        <v>1121</v>
      </c>
      <c r="E615" s="451">
        <v>46174</v>
      </c>
      <c r="F615" s="451">
        <v>46170</v>
      </c>
      <c r="G615" t="s">
        <v>577</v>
      </c>
      <c r="H615" t="s">
        <v>215</v>
      </c>
      <c r="I615" t="s">
        <v>1122</v>
      </c>
      <c r="J615">
        <v>-3520.12</v>
      </c>
      <c r="K615">
        <v>-3520.12</v>
      </c>
      <c r="O615" t="s">
        <v>787</v>
      </c>
      <c r="P615" t="s">
        <v>894</v>
      </c>
      <c r="Q615" t="s">
        <v>464</v>
      </c>
      <c r="R615">
        <v>0</v>
      </c>
    </row>
    <row r="616" spans="1:18" x14ac:dyDescent="0.3">
      <c r="A616">
        <v>239097</v>
      </c>
      <c r="B616" t="s">
        <v>557</v>
      </c>
      <c r="C616" t="s">
        <v>1109</v>
      </c>
      <c r="E616" s="451">
        <v>46174</v>
      </c>
      <c r="F616" s="451">
        <v>46192</v>
      </c>
      <c r="G616" t="s">
        <v>574</v>
      </c>
      <c r="H616" t="s">
        <v>575</v>
      </c>
      <c r="J616">
        <v>-1454.75</v>
      </c>
      <c r="K616">
        <v>-1454.75</v>
      </c>
      <c r="O616" t="s">
        <v>787</v>
      </c>
      <c r="P616" t="s">
        <v>894</v>
      </c>
      <c r="Q616" t="s">
        <v>464</v>
      </c>
      <c r="R616">
        <v>0</v>
      </c>
    </row>
    <row r="617" spans="1:18" x14ac:dyDescent="0.3">
      <c r="A617">
        <v>240188</v>
      </c>
      <c r="B617" t="s">
        <v>557</v>
      </c>
      <c r="C617" t="s">
        <v>974</v>
      </c>
      <c r="D617" t="s">
        <v>1123</v>
      </c>
      <c r="E617" s="451">
        <v>46174</v>
      </c>
      <c r="F617" s="451">
        <v>46195</v>
      </c>
      <c r="G617" t="s">
        <v>578</v>
      </c>
      <c r="H617" t="s">
        <v>239</v>
      </c>
      <c r="I617" t="s">
        <v>1124</v>
      </c>
      <c r="J617">
        <v>-356.4</v>
      </c>
      <c r="K617">
        <v>-356.4</v>
      </c>
      <c r="O617" t="s">
        <v>787</v>
      </c>
      <c r="P617" t="s">
        <v>894</v>
      </c>
      <c r="Q617" t="s">
        <v>464</v>
      </c>
      <c r="R617">
        <v>0</v>
      </c>
    </row>
    <row r="618" spans="1:18" x14ac:dyDescent="0.3">
      <c r="A618">
        <v>239282</v>
      </c>
      <c r="B618" t="s">
        <v>557</v>
      </c>
      <c r="C618" t="s">
        <v>1125</v>
      </c>
      <c r="D618" t="s">
        <v>1126</v>
      </c>
      <c r="E618" s="451">
        <v>46174</v>
      </c>
      <c r="F618" s="451">
        <v>46197</v>
      </c>
      <c r="G618" t="s">
        <v>577</v>
      </c>
      <c r="H618" t="s">
        <v>225</v>
      </c>
      <c r="I618" t="s">
        <v>1127</v>
      </c>
      <c r="J618">
        <v>0</v>
      </c>
      <c r="K618">
        <v>0</v>
      </c>
      <c r="O618" t="s">
        <v>787</v>
      </c>
      <c r="P618" t="s">
        <v>894</v>
      </c>
      <c r="Q618" t="s">
        <v>464</v>
      </c>
      <c r="R618">
        <v>0</v>
      </c>
    </row>
    <row r="619" spans="1:18" x14ac:dyDescent="0.3">
      <c r="A619">
        <v>239103</v>
      </c>
      <c r="B619" t="s">
        <v>557</v>
      </c>
      <c r="C619" t="s">
        <v>970</v>
      </c>
      <c r="E619" s="451">
        <v>46174</v>
      </c>
      <c r="F619" s="451">
        <v>46192</v>
      </c>
      <c r="G619" t="s">
        <v>574</v>
      </c>
      <c r="H619" t="s">
        <v>575</v>
      </c>
      <c r="J619">
        <v>-782.85</v>
      </c>
      <c r="K619">
        <v>-782.85</v>
      </c>
      <c r="O619" t="s">
        <v>787</v>
      </c>
      <c r="P619" t="s">
        <v>894</v>
      </c>
      <c r="Q619" t="s">
        <v>464</v>
      </c>
      <c r="R619">
        <v>0</v>
      </c>
    </row>
    <row r="620" spans="1:18" x14ac:dyDescent="0.3">
      <c r="A620">
        <v>239102</v>
      </c>
      <c r="B620" t="s">
        <v>557</v>
      </c>
      <c r="C620" t="s">
        <v>1113</v>
      </c>
      <c r="E620" s="451">
        <v>46174</v>
      </c>
      <c r="F620" s="451">
        <v>46192</v>
      </c>
      <c r="G620" t="s">
        <v>574</v>
      </c>
      <c r="H620" t="s">
        <v>575</v>
      </c>
      <c r="J620">
        <v>-967.66</v>
      </c>
      <c r="K620">
        <v>-967.66</v>
      </c>
      <c r="O620" t="s">
        <v>787</v>
      </c>
      <c r="P620" t="s">
        <v>894</v>
      </c>
      <c r="Q620" t="s">
        <v>464</v>
      </c>
      <c r="R620">
        <v>0</v>
      </c>
    </row>
    <row r="621" spans="1:18" x14ac:dyDescent="0.3">
      <c r="A621">
        <v>239101</v>
      </c>
      <c r="B621" t="s">
        <v>557</v>
      </c>
      <c r="C621" t="s">
        <v>1114</v>
      </c>
      <c r="E621" s="451">
        <v>46174</v>
      </c>
      <c r="F621" s="451">
        <v>46192</v>
      </c>
      <c r="G621" t="s">
        <v>574</v>
      </c>
      <c r="H621" t="s">
        <v>575</v>
      </c>
      <c r="J621">
        <v>-841.44</v>
      </c>
      <c r="K621">
        <v>-841.44</v>
      </c>
      <c r="O621" t="s">
        <v>787</v>
      </c>
      <c r="P621" t="s">
        <v>894</v>
      </c>
      <c r="Q621" t="s">
        <v>464</v>
      </c>
      <c r="R621">
        <v>0</v>
      </c>
    </row>
    <row r="622" spans="1:18" x14ac:dyDescent="0.3">
      <c r="A622">
        <v>239100</v>
      </c>
      <c r="B622" t="s">
        <v>557</v>
      </c>
      <c r="C622" t="s">
        <v>1108</v>
      </c>
      <c r="E622" s="451">
        <v>46174</v>
      </c>
      <c r="F622" s="451">
        <v>46192</v>
      </c>
      <c r="G622" t="s">
        <v>574</v>
      </c>
      <c r="H622" t="s">
        <v>575</v>
      </c>
      <c r="J622">
        <v>-1112.8</v>
      </c>
      <c r="K622">
        <v>-1112.8</v>
      </c>
      <c r="O622" t="s">
        <v>787</v>
      </c>
      <c r="P622" t="s">
        <v>894</v>
      </c>
      <c r="Q622" t="s">
        <v>464</v>
      </c>
      <c r="R622">
        <v>0</v>
      </c>
    </row>
    <row r="623" spans="1:18" x14ac:dyDescent="0.3">
      <c r="A623">
        <v>239099</v>
      </c>
      <c r="B623" t="s">
        <v>557</v>
      </c>
      <c r="C623" t="s">
        <v>1106</v>
      </c>
      <c r="E623" s="451">
        <v>46174</v>
      </c>
      <c r="F623" s="451">
        <v>46192</v>
      </c>
      <c r="G623" t="s">
        <v>574</v>
      </c>
      <c r="H623" t="s">
        <v>575</v>
      </c>
      <c r="J623">
        <v>-701.2</v>
      </c>
      <c r="K623">
        <v>-701.2</v>
      </c>
      <c r="O623" t="s">
        <v>787</v>
      </c>
      <c r="P623" t="s">
        <v>894</v>
      </c>
      <c r="Q623" t="s">
        <v>464</v>
      </c>
      <c r="R623">
        <v>0</v>
      </c>
    </row>
    <row r="624" spans="1:18" x14ac:dyDescent="0.3">
      <c r="A624">
        <v>239098</v>
      </c>
      <c r="B624" t="s">
        <v>557</v>
      </c>
      <c r="C624" t="s">
        <v>1104</v>
      </c>
      <c r="E624" s="451">
        <v>46174</v>
      </c>
      <c r="F624" s="451">
        <v>46192</v>
      </c>
      <c r="G624" t="s">
        <v>574</v>
      </c>
      <c r="H624" t="s">
        <v>575</v>
      </c>
      <c r="J624">
        <v>-841.44</v>
      </c>
      <c r="K624">
        <v>-841.44</v>
      </c>
      <c r="O624" t="s">
        <v>787</v>
      </c>
      <c r="P624" t="s">
        <v>894</v>
      </c>
      <c r="Q624" t="s">
        <v>464</v>
      </c>
      <c r="R624">
        <v>0</v>
      </c>
    </row>
    <row r="625" spans="1:18" x14ac:dyDescent="0.3">
      <c r="A625">
        <v>237828</v>
      </c>
      <c r="B625" t="s">
        <v>557</v>
      </c>
      <c r="C625" t="s">
        <v>1128</v>
      </c>
      <c r="D625" t="s">
        <v>1129</v>
      </c>
      <c r="E625" s="451">
        <v>46174</v>
      </c>
      <c r="F625" s="451">
        <v>46202</v>
      </c>
      <c r="G625" t="s">
        <v>569</v>
      </c>
      <c r="H625" t="s">
        <v>66</v>
      </c>
      <c r="I625" t="s">
        <v>1130</v>
      </c>
      <c r="J625">
        <v>-668</v>
      </c>
      <c r="K625">
        <v>-668</v>
      </c>
      <c r="O625" t="s">
        <v>787</v>
      </c>
      <c r="P625" t="s">
        <v>894</v>
      </c>
      <c r="Q625" t="s">
        <v>464</v>
      </c>
      <c r="R625">
        <v>0</v>
      </c>
    </row>
    <row r="626" spans="1:18" x14ac:dyDescent="0.3">
      <c r="A626">
        <v>240893</v>
      </c>
      <c r="B626" t="s">
        <v>557</v>
      </c>
      <c r="C626" t="s">
        <v>1131</v>
      </c>
      <c r="D626" t="s">
        <v>1046</v>
      </c>
      <c r="E626" s="451">
        <v>46174</v>
      </c>
      <c r="F626" s="451">
        <v>46204</v>
      </c>
      <c r="G626" t="s">
        <v>581</v>
      </c>
      <c r="H626" t="s">
        <v>288</v>
      </c>
      <c r="I626" t="s">
        <v>1132</v>
      </c>
      <c r="J626">
        <v>-1150</v>
      </c>
      <c r="K626">
        <v>-1150</v>
      </c>
      <c r="O626" t="s">
        <v>787</v>
      </c>
      <c r="P626" t="s">
        <v>894</v>
      </c>
      <c r="Q626" t="s">
        <v>464</v>
      </c>
      <c r="R626">
        <v>0</v>
      </c>
    </row>
    <row r="627" spans="1:18" x14ac:dyDescent="0.3">
      <c r="A627">
        <v>237881</v>
      </c>
      <c r="B627" t="s">
        <v>557</v>
      </c>
      <c r="C627" t="s">
        <v>1029</v>
      </c>
      <c r="D627" t="s">
        <v>1133</v>
      </c>
      <c r="E627" s="451">
        <v>46174</v>
      </c>
      <c r="F627" s="451">
        <v>46195</v>
      </c>
      <c r="G627" t="s">
        <v>296</v>
      </c>
      <c r="H627" t="s">
        <v>304</v>
      </c>
      <c r="I627" t="s">
        <v>1134</v>
      </c>
      <c r="J627">
        <v>-205</v>
      </c>
      <c r="K627">
        <v>-205</v>
      </c>
      <c r="O627" t="s">
        <v>787</v>
      </c>
      <c r="P627" t="s">
        <v>894</v>
      </c>
      <c r="Q627" t="s">
        <v>464</v>
      </c>
      <c r="R627">
        <v>0</v>
      </c>
    </row>
    <row r="628" spans="1:18" x14ac:dyDescent="0.3">
      <c r="A628">
        <v>239096</v>
      </c>
      <c r="B628" t="s">
        <v>557</v>
      </c>
      <c r="C628" t="s">
        <v>1117</v>
      </c>
      <c r="E628" s="451">
        <v>46174</v>
      </c>
      <c r="F628" s="451">
        <v>46192</v>
      </c>
      <c r="G628" t="s">
        <v>574</v>
      </c>
      <c r="H628" t="s">
        <v>575</v>
      </c>
      <c r="J628">
        <v>-1027.57</v>
      </c>
      <c r="K628">
        <v>-1027.57</v>
      </c>
      <c r="O628" t="s">
        <v>787</v>
      </c>
      <c r="P628" t="s">
        <v>894</v>
      </c>
      <c r="Q628" t="s">
        <v>464</v>
      </c>
      <c r="R628">
        <v>0</v>
      </c>
    </row>
    <row r="629" spans="1:18" x14ac:dyDescent="0.3">
      <c r="A629">
        <v>239095</v>
      </c>
      <c r="B629" t="s">
        <v>557</v>
      </c>
      <c r="C629" t="s">
        <v>1110</v>
      </c>
      <c r="E629" s="451">
        <v>46174</v>
      </c>
      <c r="F629" s="451">
        <v>46192</v>
      </c>
      <c r="G629" t="s">
        <v>574</v>
      </c>
      <c r="H629" t="s">
        <v>575</v>
      </c>
      <c r="J629">
        <v>-944.02</v>
      </c>
      <c r="K629">
        <v>-944.02</v>
      </c>
      <c r="O629" t="s">
        <v>787</v>
      </c>
      <c r="P629" t="s">
        <v>894</v>
      </c>
      <c r="Q629" t="s">
        <v>464</v>
      </c>
      <c r="R629">
        <v>0</v>
      </c>
    </row>
    <row r="630" spans="1:18" x14ac:dyDescent="0.3">
      <c r="A630">
        <v>239094</v>
      </c>
      <c r="B630" t="s">
        <v>557</v>
      </c>
      <c r="C630" t="s">
        <v>1107</v>
      </c>
      <c r="E630" s="451">
        <v>46174</v>
      </c>
      <c r="F630" s="451">
        <v>46192</v>
      </c>
      <c r="G630" t="s">
        <v>574</v>
      </c>
      <c r="H630" t="s">
        <v>575</v>
      </c>
      <c r="J630">
        <v>-1051.8</v>
      </c>
      <c r="K630">
        <v>-1051.8</v>
      </c>
      <c r="O630" t="s">
        <v>787</v>
      </c>
      <c r="P630" t="s">
        <v>894</v>
      </c>
      <c r="Q630" t="s">
        <v>464</v>
      </c>
      <c r="R630">
        <v>0</v>
      </c>
    </row>
    <row r="631" spans="1:18" x14ac:dyDescent="0.3">
      <c r="A631">
        <v>239093</v>
      </c>
      <c r="B631" t="s">
        <v>557</v>
      </c>
      <c r="C631" t="s">
        <v>1115</v>
      </c>
      <c r="E631" s="451">
        <v>46174</v>
      </c>
      <c r="F631" s="451">
        <v>46192</v>
      </c>
      <c r="G631" t="s">
        <v>574</v>
      </c>
      <c r="H631" t="s">
        <v>575</v>
      </c>
      <c r="J631">
        <v>-944.02</v>
      </c>
      <c r="K631">
        <v>-944.02</v>
      </c>
      <c r="O631" t="s">
        <v>787</v>
      </c>
      <c r="P631" t="s">
        <v>894</v>
      </c>
      <c r="Q631" t="s">
        <v>464</v>
      </c>
      <c r="R631">
        <v>0</v>
      </c>
    </row>
    <row r="632" spans="1:18" x14ac:dyDescent="0.3">
      <c r="A632">
        <v>239089</v>
      </c>
      <c r="B632" t="s">
        <v>557</v>
      </c>
      <c r="C632" t="s">
        <v>1105</v>
      </c>
      <c r="E632" s="451">
        <v>46174</v>
      </c>
      <c r="F632" s="451">
        <v>46192</v>
      </c>
      <c r="G632" t="s">
        <v>574</v>
      </c>
      <c r="H632" t="s">
        <v>575</v>
      </c>
      <c r="J632">
        <v>-1051.8</v>
      </c>
      <c r="K632">
        <v>-1051.8</v>
      </c>
      <c r="O632" t="s">
        <v>787</v>
      </c>
      <c r="P632" t="s">
        <v>894</v>
      </c>
      <c r="Q632" t="s">
        <v>464</v>
      </c>
      <c r="R632">
        <v>0</v>
      </c>
    </row>
    <row r="633" spans="1:18" x14ac:dyDescent="0.3">
      <c r="A633">
        <v>239090</v>
      </c>
      <c r="B633" t="s">
        <v>557</v>
      </c>
      <c r="C633" t="s">
        <v>1103</v>
      </c>
      <c r="E633" s="451">
        <v>46174</v>
      </c>
      <c r="F633" s="451">
        <v>46192</v>
      </c>
      <c r="G633" t="s">
        <v>574</v>
      </c>
      <c r="H633" t="s">
        <v>575</v>
      </c>
      <c r="J633">
        <v>-841.44</v>
      </c>
      <c r="K633">
        <v>-841.44</v>
      </c>
      <c r="O633" t="s">
        <v>787</v>
      </c>
      <c r="P633" t="s">
        <v>894</v>
      </c>
      <c r="Q633" t="s">
        <v>464</v>
      </c>
      <c r="R633">
        <v>0</v>
      </c>
    </row>
    <row r="634" spans="1:18" x14ac:dyDescent="0.3">
      <c r="A634">
        <v>239091</v>
      </c>
      <c r="B634" t="s">
        <v>557</v>
      </c>
      <c r="C634" t="s">
        <v>1125</v>
      </c>
      <c r="E634" s="451">
        <v>46174</v>
      </c>
      <c r="F634" s="451">
        <v>46192</v>
      </c>
      <c r="G634" t="s">
        <v>574</v>
      </c>
      <c r="H634" t="s">
        <v>575</v>
      </c>
      <c r="J634">
        <v>-841.44</v>
      </c>
      <c r="K634">
        <v>-841.44</v>
      </c>
      <c r="O634" t="s">
        <v>787</v>
      </c>
      <c r="P634" t="s">
        <v>894</v>
      </c>
      <c r="Q634" t="s">
        <v>464</v>
      </c>
      <c r="R634">
        <v>0</v>
      </c>
    </row>
    <row r="635" spans="1:18" x14ac:dyDescent="0.3">
      <c r="A635">
        <v>241486</v>
      </c>
      <c r="B635" t="s">
        <v>557</v>
      </c>
      <c r="C635" t="s">
        <v>1066</v>
      </c>
      <c r="D635" t="s">
        <v>1135</v>
      </c>
      <c r="E635" s="451">
        <v>46174</v>
      </c>
      <c r="F635" s="451">
        <v>46208</v>
      </c>
      <c r="G635" t="s">
        <v>564</v>
      </c>
      <c r="H635" t="s">
        <v>565</v>
      </c>
      <c r="I635" t="s">
        <v>1136</v>
      </c>
      <c r="J635">
        <v>-31.47</v>
      </c>
      <c r="K635">
        <v>-31.47</v>
      </c>
      <c r="O635" t="s">
        <v>787</v>
      </c>
      <c r="Q635" t="s">
        <v>464</v>
      </c>
      <c r="R635">
        <v>0</v>
      </c>
    </row>
    <row r="636" spans="1:18" x14ac:dyDescent="0.3">
      <c r="A636">
        <v>239092</v>
      </c>
      <c r="B636" t="s">
        <v>557</v>
      </c>
      <c r="C636" t="s">
        <v>1102</v>
      </c>
      <c r="E636" s="451">
        <v>46174</v>
      </c>
      <c r="F636" s="451">
        <v>46192</v>
      </c>
      <c r="G636" t="s">
        <v>574</v>
      </c>
      <c r="H636" t="s">
        <v>575</v>
      </c>
      <c r="J636">
        <v>-841.44</v>
      </c>
      <c r="K636">
        <v>-841.44</v>
      </c>
      <c r="O636" t="s">
        <v>787</v>
      </c>
      <c r="P636" t="s">
        <v>894</v>
      </c>
      <c r="Q636" t="s">
        <v>464</v>
      </c>
      <c r="R636">
        <v>0</v>
      </c>
    </row>
    <row r="637" spans="1:18" x14ac:dyDescent="0.3">
      <c r="A637">
        <v>236706</v>
      </c>
      <c r="B637" t="s">
        <v>557</v>
      </c>
      <c r="C637" t="s">
        <v>1137</v>
      </c>
      <c r="D637" t="s">
        <v>1138</v>
      </c>
      <c r="E637" s="451">
        <v>46174</v>
      </c>
      <c r="F637" s="451">
        <v>46189</v>
      </c>
      <c r="G637" t="s">
        <v>581</v>
      </c>
      <c r="H637" t="s">
        <v>288</v>
      </c>
      <c r="I637" t="s">
        <v>1139</v>
      </c>
      <c r="J637">
        <v>-1500</v>
      </c>
      <c r="K637">
        <v>-1500</v>
      </c>
      <c r="O637" t="s">
        <v>787</v>
      </c>
      <c r="P637" t="s">
        <v>894</v>
      </c>
      <c r="Q637" t="s">
        <v>464</v>
      </c>
      <c r="R637">
        <v>0</v>
      </c>
    </row>
    <row r="638" spans="1:18" x14ac:dyDescent="0.3">
      <c r="A638">
        <v>241497</v>
      </c>
      <c r="B638" t="s">
        <v>557</v>
      </c>
      <c r="C638" t="s">
        <v>1066</v>
      </c>
      <c r="D638" t="s">
        <v>1140</v>
      </c>
      <c r="E638" s="451">
        <v>46174</v>
      </c>
      <c r="F638" s="451">
        <v>46208</v>
      </c>
      <c r="G638" t="s">
        <v>564</v>
      </c>
      <c r="H638" t="s">
        <v>565</v>
      </c>
      <c r="I638" t="s">
        <v>1141</v>
      </c>
      <c r="J638">
        <v>-50.76</v>
      </c>
      <c r="K638">
        <v>-50.76</v>
      </c>
      <c r="O638" t="s">
        <v>787</v>
      </c>
      <c r="Q638" t="s">
        <v>464</v>
      </c>
      <c r="R638">
        <v>0</v>
      </c>
    </row>
    <row r="639" spans="1:18" x14ac:dyDescent="0.3">
      <c r="A639">
        <v>241495</v>
      </c>
      <c r="B639" t="s">
        <v>557</v>
      </c>
      <c r="C639" t="s">
        <v>1066</v>
      </c>
      <c r="D639" t="s">
        <v>1142</v>
      </c>
      <c r="E639" s="451">
        <v>46174</v>
      </c>
      <c r="F639" s="451">
        <v>46208</v>
      </c>
      <c r="G639" t="s">
        <v>581</v>
      </c>
      <c r="H639" t="s">
        <v>291</v>
      </c>
      <c r="I639" t="s">
        <v>1143</v>
      </c>
      <c r="J639">
        <v>-18.3</v>
      </c>
      <c r="K639">
        <v>-18.3</v>
      </c>
      <c r="O639" t="s">
        <v>787</v>
      </c>
      <c r="Q639" t="s">
        <v>464</v>
      </c>
      <c r="R639">
        <v>0</v>
      </c>
    </row>
    <row r="640" spans="1:18" x14ac:dyDescent="0.3">
      <c r="A640">
        <v>241494</v>
      </c>
      <c r="B640" t="s">
        <v>557</v>
      </c>
      <c r="C640" t="s">
        <v>1066</v>
      </c>
      <c r="D640" t="s">
        <v>1144</v>
      </c>
      <c r="E640" s="451">
        <v>46174</v>
      </c>
      <c r="F640" s="451">
        <v>46208</v>
      </c>
      <c r="G640" t="s">
        <v>264</v>
      </c>
      <c r="H640" t="s">
        <v>272</v>
      </c>
      <c r="I640" t="s">
        <v>1068</v>
      </c>
      <c r="J640">
        <v>-70</v>
      </c>
      <c r="K640">
        <v>-70</v>
      </c>
      <c r="O640" t="s">
        <v>787</v>
      </c>
      <c r="Q640" t="s">
        <v>464</v>
      </c>
      <c r="R640">
        <v>0</v>
      </c>
    </row>
    <row r="641" spans="1:18" x14ac:dyDescent="0.3">
      <c r="A641">
        <v>241491</v>
      </c>
      <c r="B641" t="s">
        <v>557</v>
      </c>
      <c r="C641" t="s">
        <v>1066</v>
      </c>
      <c r="D641" t="s">
        <v>1145</v>
      </c>
      <c r="E641" s="451">
        <v>46174</v>
      </c>
      <c r="F641" s="451">
        <v>46208</v>
      </c>
      <c r="G641" t="s">
        <v>581</v>
      </c>
      <c r="H641" t="s">
        <v>291</v>
      </c>
      <c r="I641" t="s">
        <v>1146</v>
      </c>
      <c r="J641">
        <v>-98</v>
      </c>
      <c r="K641">
        <v>-98</v>
      </c>
      <c r="O641" t="s">
        <v>787</v>
      </c>
      <c r="Q641" t="s">
        <v>464</v>
      </c>
      <c r="R641">
        <v>0</v>
      </c>
    </row>
    <row r="642" spans="1:18" x14ac:dyDescent="0.3">
      <c r="A642">
        <v>241489</v>
      </c>
      <c r="B642" t="s">
        <v>557</v>
      </c>
      <c r="C642" t="s">
        <v>1066</v>
      </c>
      <c r="D642" t="s">
        <v>1147</v>
      </c>
      <c r="E642" s="451">
        <v>46174</v>
      </c>
      <c r="F642" s="451">
        <v>46208</v>
      </c>
      <c r="G642" t="s">
        <v>581</v>
      </c>
      <c r="H642" t="s">
        <v>291</v>
      </c>
      <c r="I642" t="s">
        <v>1148</v>
      </c>
      <c r="J642">
        <v>-170</v>
      </c>
      <c r="K642">
        <v>-170</v>
      </c>
      <c r="O642" t="s">
        <v>787</v>
      </c>
      <c r="Q642" t="s">
        <v>464</v>
      </c>
      <c r="R642">
        <v>0</v>
      </c>
    </row>
    <row r="643" spans="1:18" x14ac:dyDescent="0.3">
      <c r="A643">
        <v>241488</v>
      </c>
      <c r="B643" t="s">
        <v>557</v>
      </c>
      <c r="C643" t="s">
        <v>1066</v>
      </c>
      <c r="D643" t="s">
        <v>1149</v>
      </c>
      <c r="E643" s="451">
        <v>46174</v>
      </c>
      <c r="F643" s="451">
        <v>46208</v>
      </c>
      <c r="G643" t="s">
        <v>581</v>
      </c>
      <c r="H643" t="s">
        <v>291</v>
      </c>
      <c r="I643" t="s">
        <v>1150</v>
      </c>
      <c r="J643">
        <v>-35</v>
      </c>
      <c r="K643">
        <v>-35</v>
      </c>
      <c r="O643" t="s">
        <v>787</v>
      </c>
      <c r="Q643" t="s">
        <v>464</v>
      </c>
      <c r="R643">
        <v>0</v>
      </c>
    </row>
    <row r="644" spans="1:18" x14ac:dyDescent="0.3">
      <c r="A644">
        <v>241487</v>
      </c>
      <c r="B644" t="s">
        <v>557</v>
      </c>
      <c r="C644" t="s">
        <v>1066</v>
      </c>
      <c r="D644" t="s">
        <v>1151</v>
      </c>
      <c r="E644" s="451">
        <v>46174</v>
      </c>
      <c r="F644" s="451">
        <v>46208</v>
      </c>
      <c r="G644" t="s">
        <v>564</v>
      </c>
      <c r="H644" t="s">
        <v>565</v>
      </c>
      <c r="I644" t="s">
        <v>1081</v>
      </c>
      <c r="J644">
        <v>-81.540000000000006</v>
      </c>
      <c r="K644">
        <v>-81.540000000000006</v>
      </c>
      <c r="O644" t="s">
        <v>787</v>
      </c>
      <c r="Q644" t="s">
        <v>464</v>
      </c>
      <c r="R644">
        <v>0</v>
      </c>
    </row>
    <row r="645" spans="1:18" x14ac:dyDescent="0.3">
      <c r="A645">
        <v>241498</v>
      </c>
      <c r="B645" t="s">
        <v>557</v>
      </c>
      <c r="C645" t="s">
        <v>1066</v>
      </c>
      <c r="D645" t="s">
        <v>1152</v>
      </c>
      <c r="E645" s="451">
        <v>46174</v>
      </c>
      <c r="F645" s="451">
        <v>46208</v>
      </c>
      <c r="G645" t="s">
        <v>264</v>
      </c>
      <c r="H645" t="s">
        <v>268</v>
      </c>
      <c r="I645" t="s">
        <v>1153</v>
      </c>
      <c r="J645">
        <v>-30</v>
      </c>
      <c r="K645">
        <v>-30</v>
      </c>
      <c r="O645" t="s">
        <v>787</v>
      </c>
      <c r="Q645" t="s">
        <v>464</v>
      </c>
      <c r="R645">
        <v>0</v>
      </c>
    </row>
    <row r="646" spans="1:18" x14ac:dyDescent="0.3">
      <c r="A646">
        <v>241485</v>
      </c>
      <c r="B646" t="s">
        <v>557</v>
      </c>
      <c r="C646" t="s">
        <v>1066</v>
      </c>
      <c r="D646" t="s">
        <v>1154</v>
      </c>
      <c r="E646" s="451">
        <v>46174</v>
      </c>
      <c r="F646" s="451">
        <v>46208</v>
      </c>
      <c r="G646" t="s">
        <v>581</v>
      </c>
      <c r="H646" t="s">
        <v>291</v>
      </c>
      <c r="I646" t="s">
        <v>1155</v>
      </c>
      <c r="J646">
        <v>-103.11</v>
      </c>
      <c r="K646">
        <v>-103.11</v>
      </c>
      <c r="O646" t="s">
        <v>787</v>
      </c>
      <c r="Q646" t="s">
        <v>464</v>
      </c>
      <c r="R646">
        <v>0</v>
      </c>
    </row>
    <row r="647" spans="1:18" x14ac:dyDescent="0.3">
      <c r="A647">
        <v>241483</v>
      </c>
      <c r="B647" t="s">
        <v>557</v>
      </c>
      <c r="C647" t="s">
        <v>1066</v>
      </c>
      <c r="D647" t="s">
        <v>1156</v>
      </c>
      <c r="E647" s="451">
        <v>46174</v>
      </c>
      <c r="F647" s="451">
        <v>46208</v>
      </c>
      <c r="G647" t="s">
        <v>264</v>
      </c>
      <c r="H647" t="s">
        <v>278</v>
      </c>
      <c r="I647" t="s">
        <v>1079</v>
      </c>
      <c r="J647">
        <v>-67.959999999999994</v>
      </c>
      <c r="K647">
        <v>-67.959999999999994</v>
      </c>
      <c r="O647" t="s">
        <v>787</v>
      </c>
      <c r="Q647" t="s">
        <v>464</v>
      </c>
      <c r="R647">
        <v>0</v>
      </c>
    </row>
    <row r="648" spans="1:18" x14ac:dyDescent="0.3">
      <c r="A648">
        <v>241481</v>
      </c>
      <c r="B648" t="s">
        <v>557</v>
      </c>
      <c r="C648" t="s">
        <v>1066</v>
      </c>
      <c r="D648" t="s">
        <v>1157</v>
      </c>
      <c r="E648" s="451">
        <v>46174</v>
      </c>
      <c r="F648" s="451">
        <v>46208</v>
      </c>
      <c r="G648" t="s">
        <v>264</v>
      </c>
      <c r="H648" t="s">
        <v>268</v>
      </c>
      <c r="I648" t="s">
        <v>1158</v>
      </c>
      <c r="J648">
        <v>-77.98</v>
      </c>
      <c r="K648">
        <v>-77.98</v>
      </c>
      <c r="O648" t="s">
        <v>787</v>
      </c>
      <c r="Q648" t="s">
        <v>464</v>
      </c>
      <c r="R648">
        <v>0</v>
      </c>
    </row>
    <row r="649" spans="1:18" x14ac:dyDescent="0.3">
      <c r="A649">
        <v>241477</v>
      </c>
      <c r="B649" t="s">
        <v>557</v>
      </c>
      <c r="C649" t="s">
        <v>1066</v>
      </c>
      <c r="D649" t="s">
        <v>1159</v>
      </c>
      <c r="E649" s="451">
        <v>46174</v>
      </c>
      <c r="F649" s="451">
        <v>46208</v>
      </c>
      <c r="G649" t="s">
        <v>264</v>
      </c>
      <c r="H649" t="s">
        <v>278</v>
      </c>
      <c r="I649" t="s">
        <v>1079</v>
      </c>
      <c r="J649">
        <v>-50.97</v>
      </c>
      <c r="K649">
        <v>-50.97</v>
      </c>
      <c r="O649" t="s">
        <v>787</v>
      </c>
      <c r="Q649" t="s">
        <v>464</v>
      </c>
      <c r="R649">
        <v>0</v>
      </c>
    </row>
    <row r="650" spans="1:18" x14ac:dyDescent="0.3">
      <c r="A650">
        <v>241473</v>
      </c>
      <c r="B650" t="s">
        <v>557</v>
      </c>
      <c r="C650" t="s">
        <v>1066</v>
      </c>
      <c r="D650" t="s">
        <v>1160</v>
      </c>
      <c r="E650" s="451">
        <v>46174</v>
      </c>
      <c r="F650" s="451">
        <v>46208</v>
      </c>
      <c r="G650" t="s">
        <v>581</v>
      </c>
      <c r="H650" t="s">
        <v>291</v>
      </c>
      <c r="I650" t="s">
        <v>1161</v>
      </c>
      <c r="J650">
        <v>-144.69999999999999</v>
      </c>
      <c r="K650">
        <v>-144.69999999999999</v>
      </c>
      <c r="O650" t="s">
        <v>787</v>
      </c>
      <c r="Q650" t="s">
        <v>464</v>
      </c>
      <c r="R650">
        <v>0</v>
      </c>
    </row>
    <row r="651" spans="1:18" x14ac:dyDescent="0.3">
      <c r="A651">
        <v>241471</v>
      </c>
      <c r="B651" t="s">
        <v>557</v>
      </c>
      <c r="C651" t="s">
        <v>1066</v>
      </c>
      <c r="D651" t="s">
        <v>1162</v>
      </c>
      <c r="E651" s="451">
        <v>46174</v>
      </c>
      <c r="F651" s="451">
        <v>46208</v>
      </c>
      <c r="G651" t="s">
        <v>564</v>
      </c>
      <c r="H651" t="s">
        <v>565</v>
      </c>
      <c r="I651" t="s">
        <v>1163</v>
      </c>
      <c r="J651">
        <v>-142.46</v>
      </c>
      <c r="K651">
        <v>-142.46</v>
      </c>
      <c r="O651" t="s">
        <v>787</v>
      </c>
      <c r="Q651" t="s">
        <v>464</v>
      </c>
      <c r="R651">
        <v>0</v>
      </c>
    </row>
    <row r="652" spans="1:18" x14ac:dyDescent="0.3">
      <c r="A652">
        <v>241469</v>
      </c>
      <c r="B652" t="s">
        <v>557</v>
      </c>
      <c r="C652" t="s">
        <v>1066</v>
      </c>
      <c r="D652" t="s">
        <v>1164</v>
      </c>
      <c r="E652" s="451">
        <v>46174</v>
      </c>
      <c r="F652" s="451">
        <v>46208</v>
      </c>
      <c r="G652" t="s">
        <v>581</v>
      </c>
      <c r="H652" t="s">
        <v>291</v>
      </c>
      <c r="I652" t="s">
        <v>1165</v>
      </c>
      <c r="J652">
        <v>-210</v>
      </c>
      <c r="K652">
        <v>-210</v>
      </c>
      <c r="O652" t="s">
        <v>787</v>
      </c>
      <c r="Q652" t="s">
        <v>464</v>
      </c>
      <c r="R652">
        <v>0</v>
      </c>
    </row>
    <row r="653" spans="1:18" x14ac:dyDescent="0.3">
      <c r="A653">
        <v>241467</v>
      </c>
      <c r="B653" t="s">
        <v>557</v>
      </c>
      <c r="C653" t="s">
        <v>1066</v>
      </c>
      <c r="D653" t="s">
        <v>1166</v>
      </c>
      <c r="E653" s="451">
        <v>46174</v>
      </c>
      <c r="F653" s="451">
        <v>46208</v>
      </c>
      <c r="G653" t="s">
        <v>581</v>
      </c>
      <c r="H653" t="s">
        <v>291</v>
      </c>
      <c r="I653" t="s">
        <v>1148</v>
      </c>
      <c r="J653">
        <v>-140</v>
      </c>
      <c r="K653">
        <v>-140</v>
      </c>
      <c r="O653" t="s">
        <v>787</v>
      </c>
      <c r="Q653" t="s">
        <v>464</v>
      </c>
      <c r="R653">
        <v>0</v>
      </c>
    </row>
    <row r="654" spans="1:18" x14ac:dyDescent="0.3">
      <c r="A654">
        <v>220637</v>
      </c>
      <c r="B654" t="s">
        <v>557</v>
      </c>
      <c r="C654" t="s">
        <v>866</v>
      </c>
      <c r="D654" t="s">
        <v>1167</v>
      </c>
      <c r="E654" s="451">
        <v>46174</v>
      </c>
      <c r="F654" s="451">
        <v>46183</v>
      </c>
      <c r="G654" t="s">
        <v>578</v>
      </c>
      <c r="H654" t="s">
        <v>240</v>
      </c>
      <c r="I654" t="s">
        <v>867</v>
      </c>
      <c r="J654">
        <v>-1545.49</v>
      </c>
      <c r="K654">
        <v>0</v>
      </c>
      <c r="O654" t="s">
        <v>787</v>
      </c>
      <c r="P654" t="s">
        <v>894</v>
      </c>
      <c r="Q654" t="s">
        <v>464</v>
      </c>
      <c r="R654">
        <v>0</v>
      </c>
    </row>
    <row r="655" spans="1:18" x14ac:dyDescent="0.3">
      <c r="A655">
        <v>219494</v>
      </c>
      <c r="B655" t="s">
        <v>557</v>
      </c>
      <c r="C655" t="s">
        <v>259</v>
      </c>
      <c r="D655" t="s">
        <v>1168</v>
      </c>
      <c r="E655" s="451">
        <v>46174</v>
      </c>
      <c r="F655" s="451">
        <v>46199</v>
      </c>
      <c r="G655" t="s">
        <v>256</v>
      </c>
      <c r="H655" t="s">
        <v>259</v>
      </c>
      <c r="I655" t="s">
        <v>930</v>
      </c>
      <c r="J655">
        <v>-1611.52</v>
      </c>
      <c r="K655">
        <v>-1611.52</v>
      </c>
      <c r="O655" t="s">
        <v>787</v>
      </c>
      <c r="P655" t="s">
        <v>894</v>
      </c>
      <c r="Q655" t="s">
        <v>464</v>
      </c>
      <c r="R655">
        <v>0</v>
      </c>
    </row>
    <row r="656" spans="1:18" x14ac:dyDescent="0.3">
      <c r="A656">
        <v>219487</v>
      </c>
      <c r="B656" t="s">
        <v>557</v>
      </c>
      <c r="C656" t="s">
        <v>259</v>
      </c>
      <c r="D656" t="s">
        <v>1168</v>
      </c>
      <c r="E656" s="451">
        <v>46174</v>
      </c>
      <c r="F656" s="451">
        <v>46188</v>
      </c>
      <c r="G656" t="s">
        <v>256</v>
      </c>
      <c r="H656" t="s">
        <v>259</v>
      </c>
      <c r="I656" t="s">
        <v>931</v>
      </c>
      <c r="J656">
        <v>-2086.58</v>
      </c>
      <c r="K656">
        <v>-2086.58</v>
      </c>
      <c r="O656" t="s">
        <v>787</v>
      </c>
      <c r="P656" t="s">
        <v>894</v>
      </c>
      <c r="Q656" t="s">
        <v>464</v>
      </c>
      <c r="R656">
        <v>0</v>
      </c>
    </row>
    <row r="657" spans="1:18" x14ac:dyDescent="0.3">
      <c r="A657">
        <v>212754</v>
      </c>
      <c r="B657" t="s">
        <v>557</v>
      </c>
      <c r="C657" t="s">
        <v>818</v>
      </c>
      <c r="D657" t="s">
        <v>1169</v>
      </c>
      <c r="E657" s="451">
        <v>46174</v>
      </c>
      <c r="F657" s="451">
        <v>46218</v>
      </c>
      <c r="G657" t="s">
        <v>570</v>
      </c>
      <c r="H657" t="s">
        <v>573</v>
      </c>
      <c r="I657" t="s">
        <v>820</v>
      </c>
      <c r="J657">
        <v>-2000</v>
      </c>
      <c r="K657">
        <v>-2000</v>
      </c>
      <c r="M657" t="s">
        <v>821</v>
      </c>
      <c r="N657" t="s">
        <v>133</v>
      </c>
      <c r="O657" t="s">
        <v>787</v>
      </c>
      <c r="Q657" t="s">
        <v>464</v>
      </c>
      <c r="R657">
        <v>0</v>
      </c>
    </row>
    <row r="658" spans="1:18" x14ac:dyDescent="0.3">
      <c r="A658">
        <v>212742</v>
      </c>
      <c r="B658" t="s">
        <v>557</v>
      </c>
      <c r="C658" t="s">
        <v>818</v>
      </c>
      <c r="D658" t="s">
        <v>1169</v>
      </c>
      <c r="E658" s="451">
        <v>46174</v>
      </c>
      <c r="F658" s="451">
        <v>46204</v>
      </c>
      <c r="G658" t="s">
        <v>570</v>
      </c>
      <c r="H658" t="s">
        <v>573</v>
      </c>
      <c r="I658" t="s">
        <v>822</v>
      </c>
      <c r="J658">
        <v>-2000</v>
      </c>
      <c r="K658">
        <v>-2000</v>
      </c>
      <c r="M658" t="s">
        <v>821</v>
      </c>
      <c r="N658" t="s">
        <v>133</v>
      </c>
      <c r="O658" t="s">
        <v>787</v>
      </c>
      <c r="P658" t="s">
        <v>894</v>
      </c>
      <c r="Q658" t="s">
        <v>464</v>
      </c>
      <c r="R658">
        <v>0</v>
      </c>
    </row>
    <row r="659" spans="1:18" x14ac:dyDescent="0.3">
      <c r="A659">
        <v>192561</v>
      </c>
      <c r="B659" t="s">
        <v>557</v>
      </c>
      <c r="C659" t="s">
        <v>917</v>
      </c>
      <c r="D659" t="s">
        <v>819</v>
      </c>
      <c r="E659" s="451">
        <v>46174</v>
      </c>
      <c r="F659" s="451">
        <v>46225</v>
      </c>
      <c r="G659" t="s">
        <v>318</v>
      </c>
      <c r="H659" t="s">
        <v>321</v>
      </c>
      <c r="I659" t="s">
        <v>918</v>
      </c>
      <c r="J659">
        <v>-200</v>
      </c>
      <c r="K659">
        <v>-200</v>
      </c>
      <c r="O659" t="s">
        <v>779</v>
      </c>
      <c r="Q659" t="s">
        <v>464</v>
      </c>
      <c r="R659">
        <v>0</v>
      </c>
    </row>
    <row r="660" spans="1:18" x14ac:dyDescent="0.3">
      <c r="A660">
        <v>200580</v>
      </c>
      <c r="B660" t="s">
        <v>557</v>
      </c>
      <c r="C660" t="s">
        <v>882</v>
      </c>
      <c r="D660" t="s">
        <v>1170</v>
      </c>
      <c r="E660" s="451">
        <v>46174</v>
      </c>
      <c r="F660" s="451">
        <v>46218</v>
      </c>
      <c r="G660" t="s">
        <v>570</v>
      </c>
      <c r="H660" t="s">
        <v>573</v>
      </c>
      <c r="I660" t="s">
        <v>880</v>
      </c>
      <c r="J660">
        <v>-3250</v>
      </c>
      <c r="K660">
        <v>-3250</v>
      </c>
      <c r="M660" t="s">
        <v>883</v>
      </c>
      <c r="N660" t="s">
        <v>135</v>
      </c>
      <c r="O660" t="s">
        <v>787</v>
      </c>
      <c r="Q660" t="s">
        <v>464</v>
      </c>
      <c r="R660">
        <v>0</v>
      </c>
    </row>
    <row r="661" spans="1:18" x14ac:dyDescent="0.3">
      <c r="A661">
        <v>192092</v>
      </c>
      <c r="B661" t="s">
        <v>557</v>
      </c>
      <c r="C661" t="s">
        <v>877</v>
      </c>
      <c r="D661" t="s">
        <v>1171</v>
      </c>
      <c r="E661" s="451">
        <v>46174</v>
      </c>
      <c r="F661" s="451">
        <v>46221</v>
      </c>
      <c r="G661" t="s">
        <v>308</v>
      </c>
      <c r="H661" t="s">
        <v>314</v>
      </c>
      <c r="I661" t="s">
        <v>1172</v>
      </c>
      <c r="J661">
        <v>-738.35</v>
      </c>
      <c r="K661">
        <v>-738.35</v>
      </c>
      <c r="O661" t="s">
        <v>787</v>
      </c>
      <c r="Q661" t="s">
        <v>464</v>
      </c>
      <c r="R661">
        <v>0</v>
      </c>
    </row>
    <row r="662" spans="1:18" x14ac:dyDescent="0.3">
      <c r="A662">
        <v>192514</v>
      </c>
      <c r="B662" t="s">
        <v>557</v>
      </c>
      <c r="C662" t="s">
        <v>836</v>
      </c>
      <c r="D662" t="s">
        <v>1173</v>
      </c>
      <c r="E662" s="451">
        <v>46174</v>
      </c>
      <c r="F662" s="451">
        <v>46195</v>
      </c>
      <c r="G662" t="s">
        <v>318</v>
      </c>
      <c r="H662" t="s">
        <v>319</v>
      </c>
      <c r="I662" t="s">
        <v>1174</v>
      </c>
      <c r="J662">
        <v>-500</v>
      </c>
      <c r="K662">
        <v>-500</v>
      </c>
      <c r="O662" t="s">
        <v>787</v>
      </c>
      <c r="P662" t="s">
        <v>894</v>
      </c>
      <c r="Q662" t="s">
        <v>464</v>
      </c>
      <c r="R662">
        <v>0</v>
      </c>
    </row>
    <row r="663" spans="1:18" x14ac:dyDescent="0.3">
      <c r="A663">
        <v>196325</v>
      </c>
      <c r="B663" t="s">
        <v>557</v>
      </c>
      <c r="C663" t="s">
        <v>834</v>
      </c>
      <c r="D663" t="s">
        <v>1175</v>
      </c>
      <c r="E663" s="451">
        <v>46174</v>
      </c>
      <c r="F663" s="451">
        <v>46168</v>
      </c>
      <c r="G663" t="s">
        <v>578</v>
      </c>
      <c r="H663" t="s">
        <v>239</v>
      </c>
      <c r="I663" t="s">
        <v>844</v>
      </c>
      <c r="J663">
        <v>-997.38</v>
      </c>
      <c r="K663">
        <v>-997.38</v>
      </c>
      <c r="O663" t="s">
        <v>787</v>
      </c>
      <c r="P663" t="s">
        <v>894</v>
      </c>
      <c r="Q663" t="s">
        <v>464</v>
      </c>
      <c r="R663">
        <v>0</v>
      </c>
    </row>
    <row r="664" spans="1:18" x14ac:dyDescent="0.3">
      <c r="A664">
        <v>192352</v>
      </c>
      <c r="B664" t="s">
        <v>557</v>
      </c>
      <c r="C664" t="s">
        <v>911</v>
      </c>
      <c r="D664" t="s">
        <v>1176</v>
      </c>
      <c r="E664" s="451">
        <v>46174</v>
      </c>
      <c r="F664" s="451">
        <v>46183</v>
      </c>
      <c r="G664" t="s">
        <v>279</v>
      </c>
      <c r="H664" t="s">
        <v>281</v>
      </c>
      <c r="I664" t="s">
        <v>1177</v>
      </c>
      <c r="J664">
        <v>-299.99</v>
      </c>
      <c r="K664">
        <v>-299.99</v>
      </c>
      <c r="O664" t="s">
        <v>787</v>
      </c>
      <c r="P664" t="s">
        <v>894</v>
      </c>
      <c r="Q664" t="s">
        <v>464</v>
      </c>
      <c r="R664">
        <v>0</v>
      </c>
    </row>
    <row r="665" spans="1:18" x14ac:dyDescent="0.3">
      <c r="A665">
        <v>192502</v>
      </c>
      <c r="B665" t="s">
        <v>557</v>
      </c>
      <c r="C665" t="s">
        <v>936</v>
      </c>
      <c r="D665" t="s">
        <v>1178</v>
      </c>
      <c r="E665" s="451">
        <v>46174</v>
      </c>
      <c r="F665" s="451">
        <v>46193</v>
      </c>
      <c r="G665" t="s">
        <v>318</v>
      </c>
      <c r="H665" t="s">
        <v>319</v>
      </c>
      <c r="I665" t="s">
        <v>1179</v>
      </c>
      <c r="J665">
        <v>-1264</v>
      </c>
      <c r="K665">
        <v>-1264</v>
      </c>
      <c r="O665" t="s">
        <v>787</v>
      </c>
      <c r="P665" t="s">
        <v>894</v>
      </c>
      <c r="Q665" t="s">
        <v>464</v>
      </c>
      <c r="R665">
        <v>0</v>
      </c>
    </row>
    <row r="666" spans="1:18" x14ac:dyDescent="0.3">
      <c r="A666">
        <v>192331</v>
      </c>
      <c r="B666" t="s">
        <v>557</v>
      </c>
      <c r="C666" t="s">
        <v>913</v>
      </c>
      <c r="D666" t="s">
        <v>1180</v>
      </c>
      <c r="E666" s="451">
        <v>46174</v>
      </c>
      <c r="F666" s="451">
        <v>46207</v>
      </c>
      <c r="G666" t="s">
        <v>296</v>
      </c>
      <c r="H666" t="s">
        <v>297</v>
      </c>
      <c r="I666" t="s">
        <v>1181</v>
      </c>
      <c r="J666">
        <v>-4000</v>
      </c>
      <c r="K666">
        <v>-4000</v>
      </c>
      <c r="M666" t="s">
        <v>915</v>
      </c>
      <c r="N666" t="s">
        <v>916</v>
      </c>
      <c r="O666" t="s">
        <v>787</v>
      </c>
      <c r="Q666" t="s">
        <v>464</v>
      </c>
      <c r="R666">
        <v>0</v>
      </c>
    </row>
    <row r="667" spans="1:18" x14ac:dyDescent="0.3">
      <c r="A667">
        <v>192130</v>
      </c>
      <c r="B667" t="s">
        <v>557</v>
      </c>
      <c r="C667" t="s">
        <v>909</v>
      </c>
      <c r="D667" t="s">
        <v>1182</v>
      </c>
      <c r="E667" s="451">
        <v>46174</v>
      </c>
      <c r="F667" s="451">
        <v>46193</v>
      </c>
      <c r="G667" t="s">
        <v>308</v>
      </c>
      <c r="H667" t="s">
        <v>311</v>
      </c>
      <c r="I667" t="s">
        <v>1183</v>
      </c>
      <c r="J667">
        <v>-286.05</v>
      </c>
      <c r="K667">
        <v>-286.05</v>
      </c>
      <c r="O667" t="s">
        <v>787</v>
      </c>
      <c r="P667" t="s">
        <v>894</v>
      </c>
      <c r="Q667" t="s">
        <v>464</v>
      </c>
      <c r="R667">
        <v>0</v>
      </c>
    </row>
    <row r="668" spans="1:18" x14ac:dyDescent="0.3">
      <c r="A668">
        <v>192387</v>
      </c>
      <c r="B668" t="s">
        <v>557</v>
      </c>
      <c r="C668" t="s">
        <v>905</v>
      </c>
      <c r="D668" t="s">
        <v>1184</v>
      </c>
      <c r="E668" s="451">
        <v>46174</v>
      </c>
      <c r="F668" s="451">
        <v>46215</v>
      </c>
      <c r="G668" t="s">
        <v>296</v>
      </c>
      <c r="H668" t="s">
        <v>298</v>
      </c>
      <c r="I668" t="s">
        <v>1185</v>
      </c>
      <c r="J668">
        <v>-500</v>
      </c>
      <c r="K668">
        <v>-500</v>
      </c>
      <c r="O668" t="s">
        <v>787</v>
      </c>
      <c r="Q668" t="s">
        <v>464</v>
      </c>
      <c r="R668">
        <v>0</v>
      </c>
    </row>
    <row r="669" spans="1:18" x14ac:dyDescent="0.3">
      <c r="A669">
        <v>192028</v>
      </c>
      <c r="B669" t="s">
        <v>557</v>
      </c>
      <c r="C669" t="s">
        <v>870</v>
      </c>
      <c r="D669" t="s">
        <v>1186</v>
      </c>
      <c r="E669" s="451">
        <v>46174</v>
      </c>
      <c r="F669" s="451">
        <v>46198</v>
      </c>
      <c r="G669" t="s">
        <v>308</v>
      </c>
      <c r="H669" t="s">
        <v>311</v>
      </c>
      <c r="I669" t="s">
        <v>1187</v>
      </c>
      <c r="J669">
        <v>-1220.05</v>
      </c>
      <c r="K669">
        <v>-1220.05</v>
      </c>
      <c r="O669" t="s">
        <v>787</v>
      </c>
      <c r="P669" t="s">
        <v>894</v>
      </c>
      <c r="Q669" t="s">
        <v>464</v>
      </c>
      <c r="R669">
        <v>0</v>
      </c>
    </row>
    <row r="670" spans="1:18" x14ac:dyDescent="0.3">
      <c r="A670">
        <v>192165</v>
      </c>
      <c r="B670" t="s">
        <v>557</v>
      </c>
      <c r="C670" t="s">
        <v>932</v>
      </c>
      <c r="D670" t="s">
        <v>1188</v>
      </c>
      <c r="E670" s="451">
        <v>46174</v>
      </c>
      <c r="F670" s="451">
        <v>46188</v>
      </c>
      <c r="G670" t="s">
        <v>264</v>
      </c>
      <c r="H670" t="s">
        <v>270</v>
      </c>
      <c r="I670" t="s">
        <v>998</v>
      </c>
      <c r="J670">
        <v>-550</v>
      </c>
      <c r="K670">
        <v>-550</v>
      </c>
      <c r="O670" t="s">
        <v>787</v>
      </c>
      <c r="P670" t="s">
        <v>894</v>
      </c>
      <c r="Q670" t="s">
        <v>464</v>
      </c>
      <c r="R670">
        <v>0</v>
      </c>
    </row>
    <row r="671" spans="1:18" x14ac:dyDescent="0.3">
      <c r="A671">
        <v>192399</v>
      </c>
      <c r="B671" t="s">
        <v>557</v>
      </c>
      <c r="C671" t="s">
        <v>823</v>
      </c>
      <c r="D671" t="s">
        <v>1189</v>
      </c>
      <c r="E671" s="451">
        <v>46174</v>
      </c>
      <c r="F671" s="451">
        <v>46188</v>
      </c>
      <c r="G671" t="s">
        <v>279</v>
      </c>
      <c r="H671" t="s">
        <v>286</v>
      </c>
      <c r="I671" t="s">
        <v>1190</v>
      </c>
      <c r="J671">
        <v>-219</v>
      </c>
      <c r="K671">
        <v>-219</v>
      </c>
      <c r="O671" t="s">
        <v>787</v>
      </c>
      <c r="P671" t="s">
        <v>894</v>
      </c>
      <c r="Q671" t="s">
        <v>464</v>
      </c>
      <c r="R671">
        <v>0</v>
      </c>
    </row>
    <row r="672" spans="1:18" x14ac:dyDescent="0.3">
      <c r="A672">
        <v>192191</v>
      </c>
      <c r="B672" t="s">
        <v>557</v>
      </c>
      <c r="C672" t="s">
        <v>919</v>
      </c>
      <c r="D672" t="s">
        <v>1191</v>
      </c>
      <c r="E672" s="451">
        <v>46174</v>
      </c>
      <c r="F672" s="451">
        <v>46213</v>
      </c>
      <c r="G672" t="s">
        <v>279</v>
      </c>
      <c r="H672" t="s">
        <v>284</v>
      </c>
      <c r="I672" t="s">
        <v>1192</v>
      </c>
      <c r="J672">
        <v>-520</v>
      </c>
      <c r="K672">
        <v>-520</v>
      </c>
      <c r="O672" t="s">
        <v>787</v>
      </c>
      <c r="Q672" t="s">
        <v>464</v>
      </c>
      <c r="R672">
        <v>0</v>
      </c>
    </row>
    <row r="673" spans="1:18" x14ac:dyDescent="0.3">
      <c r="A673">
        <v>192483</v>
      </c>
      <c r="B673" t="s">
        <v>557</v>
      </c>
      <c r="C673" t="s">
        <v>934</v>
      </c>
      <c r="D673" t="s">
        <v>1193</v>
      </c>
      <c r="E673" s="451">
        <v>46174</v>
      </c>
      <c r="F673" s="451">
        <v>46193</v>
      </c>
      <c r="G673" t="s">
        <v>308</v>
      </c>
      <c r="H673" t="s">
        <v>312</v>
      </c>
      <c r="I673" t="s">
        <v>1194</v>
      </c>
      <c r="J673">
        <v>-185</v>
      </c>
      <c r="K673">
        <v>-185</v>
      </c>
      <c r="O673" t="s">
        <v>787</v>
      </c>
      <c r="P673" t="s">
        <v>894</v>
      </c>
      <c r="Q673" t="s">
        <v>464</v>
      </c>
      <c r="R673">
        <v>0</v>
      </c>
    </row>
    <row r="674" spans="1:18" x14ac:dyDescent="0.3">
      <c r="A674">
        <v>192597</v>
      </c>
      <c r="B674" t="s">
        <v>557</v>
      </c>
      <c r="C674" t="s">
        <v>840</v>
      </c>
      <c r="D674" t="s">
        <v>1195</v>
      </c>
      <c r="E674" s="451">
        <v>46174</v>
      </c>
      <c r="F674" s="451">
        <v>46203</v>
      </c>
      <c r="G674" t="s">
        <v>581</v>
      </c>
      <c r="H674" t="s">
        <v>288</v>
      </c>
      <c r="I674" t="s">
        <v>1196</v>
      </c>
      <c r="J674">
        <v>-2500</v>
      </c>
      <c r="K674">
        <v>-2500</v>
      </c>
      <c r="O674" t="s">
        <v>787</v>
      </c>
      <c r="P674" t="s">
        <v>894</v>
      </c>
      <c r="Q674" t="s">
        <v>464</v>
      </c>
      <c r="R674">
        <v>0</v>
      </c>
    </row>
    <row r="675" spans="1:18" x14ac:dyDescent="0.3">
      <c r="A675">
        <v>192415</v>
      </c>
      <c r="B675" t="s">
        <v>557</v>
      </c>
      <c r="C675" t="s">
        <v>923</v>
      </c>
      <c r="D675" t="s">
        <v>1197</v>
      </c>
      <c r="E675" s="451">
        <v>46174</v>
      </c>
      <c r="F675" s="451">
        <v>46198</v>
      </c>
      <c r="G675" t="s">
        <v>264</v>
      </c>
      <c r="H675" t="s">
        <v>277</v>
      </c>
      <c r="I675" t="s">
        <v>1198</v>
      </c>
      <c r="J675">
        <v>-898</v>
      </c>
      <c r="K675">
        <v>-898</v>
      </c>
      <c r="O675" t="s">
        <v>787</v>
      </c>
      <c r="P675" t="s">
        <v>894</v>
      </c>
      <c r="Q675" t="s">
        <v>464</v>
      </c>
      <c r="R675">
        <v>0</v>
      </c>
    </row>
    <row r="676" spans="1:18" x14ac:dyDescent="0.3">
      <c r="A676">
        <v>192572</v>
      </c>
      <c r="B676" t="s">
        <v>557</v>
      </c>
      <c r="C676" t="s">
        <v>830</v>
      </c>
      <c r="D676" t="s">
        <v>1199</v>
      </c>
      <c r="E676" s="451">
        <v>46174</v>
      </c>
      <c r="F676" s="451">
        <v>46193</v>
      </c>
      <c r="G676" t="s">
        <v>264</v>
      </c>
      <c r="H676" t="s">
        <v>276</v>
      </c>
      <c r="I676" t="s">
        <v>1200</v>
      </c>
      <c r="J676">
        <v>-1512</v>
      </c>
      <c r="K676">
        <v>-1512</v>
      </c>
      <c r="O676" t="s">
        <v>787</v>
      </c>
      <c r="P676" t="s">
        <v>894</v>
      </c>
      <c r="Q676" t="s">
        <v>464</v>
      </c>
      <c r="R676">
        <v>0</v>
      </c>
    </row>
    <row r="677" spans="1:18" x14ac:dyDescent="0.3">
      <c r="A677">
        <v>192945</v>
      </c>
      <c r="B677" t="s">
        <v>557</v>
      </c>
      <c r="C677" t="s">
        <v>921</v>
      </c>
      <c r="D677" t="s">
        <v>1046</v>
      </c>
      <c r="E677" s="451">
        <v>46174</v>
      </c>
      <c r="F677" s="451">
        <v>46208</v>
      </c>
      <c r="G677" t="s">
        <v>296</v>
      </c>
      <c r="H677" t="s">
        <v>301</v>
      </c>
      <c r="I677" t="s">
        <v>1201</v>
      </c>
      <c r="J677">
        <v>-1008.33</v>
      </c>
      <c r="K677">
        <v>-1008.33</v>
      </c>
      <c r="O677" t="s">
        <v>787</v>
      </c>
      <c r="Q677" t="s">
        <v>464</v>
      </c>
      <c r="R677">
        <v>0</v>
      </c>
    </row>
    <row r="678" spans="1:18" x14ac:dyDescent="0.3">
      <c r="A678">
        <v>191726</v>
      </c>
      <c r="B678" t="s">
        <v>557</v>
      </c>
      <c r="C678" t="s">
        <v>895</v>
      </c>
      <c r="D678" t="s">
        <v>1202</v>
      </c>
      <c r="E678" s="451">
        <v>46174</v>
      </c>
      <c r="F678" s="451">
        <v>46188</v>
      </c>
      <c r="G678" t="s">
        <v>308</v>
      </c>
      <c r="H678" t="s">
        <v>309</v>
      </c>
      <c r="I678" t="s">
        <v>1203</v>
      </c>
      <c r="J678">
        <v>-2175.62</v>
      </c>
      <c r="K678">
        <v>-2175.62</v>
      </c>
      <c r="O678" t="s">
        <v>787</v>
      </c>
      <c r="P678" t="s">
        <v>894</v>
      </c>
      <c r="Q678" t="s">
        <v>464</v>
      </c>
      <c r="R678">
        <v>0</v>
      </c>
    </row>
    <row r="679" spans="1:18" x14ac:dyDescent="0.3">
      <c r="A679">
        <v>200453</v>
      </c>
      <c r="B679" t="s">
        <v>557</v>
      </c>
      <c r="C679" t="s">
        <v>879</v>
      </c>
      <c r="D679" t="s">
        <v>1204</v>
      </c>
      <c r="E679" s="451">
        <v>46174</v>
      </c>
      <c r="F679" s="451">
        <v>46218</v>
      </c>
      <c r="G679" t="s">
        <v>570</v>
      </c>
      <c r="H679" t="s">
        <v>573</v>
      </c>
      <c r="I679" t="s">
        <v>880</v>
      </c>
      <c r="J679">
        <v>-2000</v>
      </c>
      <c r="K679">
        <v>-2000</v>
      </c>
      <c r="M679" t="s">
        <v>881</v>
      </c>
      <c r="N679" t="s">
        <v>73</v>
      </c>
      <c r="O679" t="s">
        <v>787</v>
      </c>
      <c r="Q679" t="s">
        <v>464</v>
      </c>
      <c r="R679">
        <v>0</v>
      </c>
    </row>
    <row r="680" spans="1:18" x14ac:dyDescent="0.3">
      <c r="A680">
        <v>200556</v>
      </c>
      <c r="B680" t="s">
        <v>557</v>
      </c>
      <c r="C680" t="s">
        <v>884</v>
      </c>
      <c r="D680" t="s">
        <v>1205</v>
      </c>
      <c r="E680" s="451">
        <v>46174</v>
      </c>
      <c r="F680" s="451">
        <v>46213</v>
      </c>
      <c r="G680" t="s">
        <v>570</v>
      </c>
      <c r="H680" t="s">
        <v>573</v>
      </c>
      <c r="I680" t="s">
        <v>880</v>
      </c>
      <c r="J680">
        <v>-1750</v>
      </c>
      <c r="K680">
        <v>-1750</v>
      </c>
      <c r="M680" t="s">
        <v>885</v>
      </c>
      <c r="N680" t="s">
        <v>134</v>
      </c>
      <c r="O680" t="s">
        <v>787</v>
      </c>
      <c r="Q680" t="s">
        <v>464</v>
      </c>
      <c r="R680">
        <v>0</v>
      </c>
    </row>
    <row r="681" spans="1:18" x14ac:dyDescent="0.3">
      <c r="A681">
        <v>191934</v>
      </c>
      <c r="B681" t="s">
        <v>557</v>
      </c>
      <c r="C681" t="s">
        <v>889</v>
      </c>
      <c r="D681" t="s">
        <v>1206</v>
      </c>
      <c r="E681" s="451">
        <v>46174</v>
      </c>
      <c r="F681" s="451">
        <v>46205</v>
      </c>
      <c r="G681" t="s">
        <v>279</v>
      </c>
      <c r="H681" t="s">
        <v>281</v>
      </c>
      <c r="I681" t="s">
        <v>1207</v>
      </c>
      <c r="J681">
        <v>-159.80000000000001</v>
      </c>
      <c r="K681">
        <v>-162.99</v>
      </c>
      <c r="O681" t="s">
        <v>787</v>
      </c>
      <c r="P681" t="s">
        <v>977</v>
      </c>
      <c r="Q681" t="s">
        <v>464</v>
      </c>
      <c r="R681">
        <v>0</v>
      </c>
    </row>
    <row r="682" spans="1:18" x14ac:dyDescent="0.3">
      <c r="A682">
        <v>200544</v>
      </c>
      <c r="B682" t="s">
        <v>557</v>
      </c>
      <c r="C682" t="s">
        <v>886</v>
      </c>
      <c r="D682" t="s">
        <v>1208</v>
      </c>
      <c r="E682" s="451">
        <v>46174</v>
      </c>
      <c r="F682" s="451">
        <v>46218</v>
      </c>
      <c r="G682" t="s">
        <v>570</v>
      </c>
      <c r="H682" t="s">
        <v>573</v>
      </c>
      <c r="I682" t="s">
        <v>880</v>
      </c>
      <c r="J682">
        <v>-3300</v>
      </c>
      <c r="K682">
        <v>-3300</v>
      </c>
      <c r="M682" t="s">
        <v>887</v>
      </c>
      <c r="N682" t="s">
        <v>131</v>
      </c>
      <c r="O682" t="s">
        <v>787</v>
      </c>
      <c r="Q682" t="s">
        <v>464</v>
      </c>
      <c r="R682">
        <v>0</v>
      </c>
    </row>
    <row r="683" spans="1:18" x14ac:dyDescent="0.3">
      <c r="A683">
        <v>191922</v>
      </c>
      <c r="B683" t="s">
        <v>557</v>
      </c>
      <c r="C683" t="s">
        <v>889</v>
      </c>
      <c r="D683" t="s">
        <v>1209</v>
      </c>
      <c r="E683" s="451">
        <v>46174</v>
      </c>
      <c r="F683" s="451">
        <v>46196</v>
      </c>
      <c r="G683" t="s">
        <v>279</v>
      </c>
      <c r="H683" t="s">
        <v>282</v>
      </c>
      <c r="I683" t="s">
        <v>1210</v>
      </c>
      <c r="J683">
        <v>-308.07</v>
      </c>
      <c r="K683">
        <v>-308.07</v>
      </c>
      <c r="O683" t="s">
        <v>787</v>
      </c>
      <c r="P683" t="s">
        <v>894</v>
      </c>
      <c r="Q683" t="s">
        <v>464</v>
      </c>
      <c r="R683">
        <v>0</v>
      </c>
    </row>
    <row r="684" spans="1:18" x14ac:dyDescent="0.3">
      <c r="A684">
        <v>193004</v>
      </c>
      <c r="B684" t="s">
        <v>557</v>
      </c>
      <c r="C684" t="s">
        <v>925</v>
      </c>
      <c r="D684" t="s">
        <v>1046</v>
      </c>
      <c r="E684" s="451">
        <v>46174</v>
      </c>
      <c r="F684" s="451">
        <v>46208</v>
      </c>
      <c r="G684" t="s">
        <v>279</v>
      </c>
      <c r="H684" t="s">
        <v>282</v>
      </c>
      <c r="I684" t="s">
        <v>1211</v>
      </c>
      <c r="J684">
        <v>-40.9</v>
      </c>
      <c r="K684">
        <v>-40.9</v>
      </c>
      <c r="O684" t="s">
        <v>787</v>
      </c>
      <c r="Q684" t="s">
        <v>464</v>
      </c>
      <c r="R684">
        <v>0</v>
      </c>
    </row>
    <row r="685" spans="1:18" x14ac:dyDescent="0.3">
      <c r="A685">
        <v>191753</v>
      </c>
      <c r="B685" t="s">
        <v>557</v>
      </c>
      <c r="C685" t="s">
        <v>895</v>
      </c>
      <c r="D685" t="s">
        <v>1212</v>
      </c>
      <c r="E685" s="451">
        <v>46174</v>
      </c>
      <c r="F685" s="451">
        <v>46188</v>
      </c>
      <c r="G685" t="s">
        <v>308</v>
      </c>
      <c r="H685" t="s">
        <v>309</v>
      </c>
      <c r="I685" t="s">
        <v>1213</v>
      </c>
      <c r="J685">
        <v>-829.92</v>
      </c>
      <c r="K685">
        <v>-829.92</v>
      </c>
      <c r="O685" t="s">
        <v>787</v>
      </c>
      <c r="P685" t="s">
        <v>894</v>
      </c>
      <c r="Q685" t="s">
        <v>464</v>
      </c>
      <c r="R685">
        <v>0</v>
      </c>
    </row>
    <row r="686" spans="1:18" x14ac:dyDescent="0.3">
      <c r="A686">
        <v>193429</v>
      </c>
      <c r="B686" t="s">
        <v>557</v>
      </c>
      <c r="C686" t="s">
        <v>873</v>
      </c>
      <c r="D686" t="s">
        <v>1214</v>
      </c>
      <c r="E686" s="451">
        <v>46174</v>
      </c>
      <c r="F686" s="451">
        <v>46191</v>
      </c>
      <c r="G686" t="s">
        <v>874</v>
      </c>
      <c r="H686" t="s">
        <v>875</v>
      </c>
      <c r="I686" t="s">
        <v>1215</v>
      </c>
      <c r="J686">
        <v>-700</v>
      </c>
      <c r="K686">
        <v>-700</v>
      </c>
      <c r="O686" t="s">
        <v>787</v>
      </c>
      <c r="P686" t="s">
        <v>894</v>
      </c>
      <c r="Q686" t="s">
        <v>464</v>
      </c>
      <c r="R686">
        <v>0</v>
      </c>
    </row>
    <row r="687" spans="1:18" x14ac:dyDescent="0.3">
      <c r="A687">
        <v>192958</v>
      </c>
      <c r="B687" t="s">
        <v>557</v>
      </c>
      <c r="C687" t="s">
        <v>903</v>
      </c>
      <c r="D687" t="s">
        <v>1216</v>
      </c>
      <c r="E687" s="451">
        <v>46174</v>
      </c>
      <c r="F687" s="451">
        <v>46208</v>
      </c>
      <c r="G687" t="s">
        <v>279</v>
      </c>
      <c r="H687" t="s">
        <v>283</v>
      </c>
      <c r="I687" t="s">
        <v>1217</v>
      </c>
      <c r="J687">
        <v>-293.93</v>
      </c>
      <c r="K687">
        <v>-293.93</v>
      </c>
      <c r="O687" t="s">
        <v>787</v>
      </c>
      <c r="Q687" t="s">
        <v>464</v>
      </c>
      <c r="R687">
        <v>0</v>
      </c>
    </row>
    <row r="688" spans="1:18" x14ac:dyDescent="0.3">
      <c r="A688">
        <v>191981</v>
      </c>
      <c r="B688" t="s">
        <v>557</v>
      </c>
      <c r="C688" t="s">
        <v>832</v>
      </c>
      <c r="D688" t="s">
        <v>1218</v>
      </c>
      <c r="E688" s="451">
        <v>46174</v>
      </c>
      <c r="F688" s="451">
        <v>46200</v>
      </c>
      <c r="G688" t="s">
        <v>264</v>
      </c>
      <c r="H688" t="s">
        <v>271</v>
      </c>
      <c r="I688" t="s">
        <v>1219</v>
      </c>
      <c r="J688">
        <v>-874.38</v>
      </c>
      <c r="K688">
        <v>-874.38</v>
      </c>
      <c r="O688" t="s">
        <v>787</v>
      </c>
      <c r="P688" t="s">
        <v>894</v>
      </c>
      <c r="Q688" t="s">
        <v>464</v>
      </c>
      <c r="R688">
        <v>0</v>
      </c>
    </row>
    <row r="689" spans="1:18" x14ac:dyDescent="0.3">
      <c r="A689">
        <v>200568</v>
      </c>
      <c r="B689" t="s">
        <v>557</v>
      </c>
      <c r="C689" t="s">
        <v>882</v>
      </c>
      <c r="D689" t="s">
        <v>1170</v>
      </c>
      <c r="E689" s="451">
        <v>46174</v>
      </c>
      <c r="F689" s="451">
        <v>46204</v>
      </c>
      <c r="G689" t="s">
        <v>570</v>
      </c>
      <c r="H689" t="s">
        <v>573</v>
      </c>
      <c r="I689" t="s">
        <v>880</v>
      </c>
      <c r="J689">
        <v>-3250</v>
      </c>
      <c r="K689">
        <v>-3250</v>
      </c>
      <c r="M689" t="s">
        <v>883</v>
      </c>
      <c r="N689" t="s">
        <v>135</v>
      </c>
      <c r="O689" t="s">
        <v>787</v>
      </c>
      <c r="P689" t="s">
        <v>894</v>
      </c>
      <c r="Q689" t="s">
        <v>464</v>
      </c>
      <c r="R689">
        <v>0</v>
      </c>
    </row>
    <row r="690" spans="1:18" x14ac:dyDescent="0.3">
      <c r="A690">
        <v>191886</v>
      </c>
      <c r="B690" t="s">
        <v>557</v>
      </c>
      <c r="C690" t="s">
        <v>900</v>
      </c>
      <c r="D690" t="s">
        <v>1220</v>
      </c>
      <c r="E690" s="451">
        <v>46174</v>
      </c>
      <c r="F690" s="451">
        <v>46209</v>
      </c>
      <c r="G690" t="s">
        <v>264</v>
      </c>
      <c r="H690" t="s">
        <v>266</v>
      </c>
      <c r="I690" t="s">
        <v>1221</v>
      </c>
      <c r="J690">
        <v>-9957.5300000000007</v>
      </c>
      <c r="K690">
        <v>-9957.5300000000007</v>
      </c>
      <c r="O690" t="s">
        <v>787</v>
      </c>
      <c r="Q690" t="s">
        <v>464</v>
      </c>
      <c r="R690">
        <v>0</v>
      </c>
    </row>
    <row r="691" spans="1:18" x14ac:dyDescent="0.3">
      <c r="A691">
        <v>204922</v>
      </c>
      <c r="B691" t="s">
        <v>557</v>
      </c>
      <c r="C691" t="s">
        <v>842</v>
      </c>
      <c r="D691" t="s">
        <v>1222</v>
      </c>
      <c r="E691" s="451">
        <v>46174</v>
      </c>
      <c r="F691" s="451">
        <v>46203</v>
      </c>
      <c r="G691" t="s">
        <v>578</v>
      </c>
      <c r="H691" t="s">
        <v>242</v>
      </c>
      <c r="I691" t="s">
        <v>843</v>
      </c>
      <c r="J691">
        <v>-207.65</v>
      </c>
      <c r="K691">
        <v>-207.65</v>
      </c>
      <c r="O691" t="s">
        <v>787</v>
      </c>
      <c r="P691" t="s">
        <v>894</v>
      </c>
      <c r="Q691" t="s">
        <v>464</v>
      </c>
      <c r="R691">
        <v>0</v>
      </c>
    </row>
    <row r="692" spans="1:18" x14ac:dyDescent="0.3">
      <c r="A692">
        <v>200466</v>
      </c>
      <c r="B692" t="s">
        <v>557</v>
      </c>
      <c r="C692" t="s">
        <v>888</v>
      </c>
      <c r="D692" t="s">
        <v>1223</v>
      </c>
      <c r="E692" s="451">
        <v>46174</v>
      </c>
      <c r="F692" s="451">
        <v>46204</v>
      </c>
      <c r="G692" t="s">
        <v>570</v>
      </c>
      <c r="H692" t="s">
        <v>573</v>
      </c>
      <c r="I692" t="s">
        <v>880</v>
      </c>
      <c r="J692">
        <v>-3300</v>
      </c>
      <c r="K692">
        <v>-3300</v>
      </c>
      <c r="M692" t="s">
        <v>887</v>
      </c>
      <c r="N692" t="s">
        <v>131</v>
      </c>
      <c r="O692" t="s">
        <v>787</v>
      </c>
      <c r="P692" t="s">
        <v>894</v>
      </c>
      <c r="Q692" t="s">
        <v>464</v>
      </c>
      <c r="R692">
        <v>0</v>
      </c>
    </row>
    <row r="693" spans="1:18" x14ac:dyDescent="0.3">
      <c r="A693">
        <v>191850</v>
      </c>
      <c r="B693" t="s">
        <v>557</v>
      </c>
      <c r="C693" t="s">
        <v>898</v>
      </c>
      <c r="D693" t="s">
        <v>1224</v>
      </c>
      <c r="E693" s="451">
        <v>46174</v>
      </c>
      <c r="F693" s="451">
        <v>46205</v>
      </c>
      <c r="G693" t="s">
        <v>279</v>
      </c>
      <c r="H693" t="s">
        <v>281</v>
      </c>
      <c r="I693" t="s">
        <v>1225</v>
      </c>
      <c r="J693">
        <v>-134.4</v>
      </c>
      <c r="K693">
        <v>-134.4</v>
      </c>
      <c r="O693" t="s">
        <v>787</v>
      </c>
      <c r="P693" t="s">
        <v>977</v>
      </c>
      <c r="Q693" t="s">
        <v>464</v>
      </c>
      <c r="R693">
        <v>0</v>
      </c>
    </row>
    <row r="694" spans="1:18" x14ac:dyDescent="0.3">
      <c r="A694">
        <v>200531</v>
      </c>
      <c r="B694" t="s">
        <v>557</v>
      </c>
      <c r="C694" t="s">
        <v>886</v>
      </c>
      <c r="D694" t="s">
        <v>1208</v>
      </c>
      <c r="E694" s="451">
        <v>46174</v>
      </c>
      <c r="F694" s="451">
        <v>46204</v>
      </c>
      <c r="G694" t="s">
        <v>570</v>
      </c>
      <c r="H694" t="s">
        <v>573</v>
      </c>
      <c r="I694" t="s">
        <v>880</v>
      </c>
      <c r="J694">
        <v>-3300</v>
      </c>
      <c r="K694">
        <v>-3300</v>
      </c>
      <c r="M694" t="s">
        <v>887</v>
      </c>
      <c r="N694" t="s">
        <v>131</v>
      </c>
      <c r="O694" t="s">
        <v>787</v>
      </c>
      <c r="P694" t="s">
        <v>894</v>
      </c>
      <c r="Q694" t="s">
        <v>464</v>
      </c>
      <c r="R694">
        <v>0</v>
      </c>
    </row>
    <row r="695" spans="1:18" x14ac:dyDescent="0.3">
      <c r="A695">
        <v>200479</v>
      </c>
      <c r="B695" t="s">
        <v>557</v>
      </c>
      <c r="C695" t="s">
        <v>888</v>
      </c>
      <c r="D695" t="s">
        <v>1223</v>
      </c>
      <c r="E695" s="451">
        <v>46174</v>
      </c>
      <c r="F695" s="451">
        <v>46218</v>
      </c>
      <c r="G695" t="s">
        <v>570</v>
      </c>
      <c r="H695" t="s">
        <v>573</v>
      </c>
      <c r="I695" t="s">
        <v>880</v>
      </c>
      <c r="J695">
        <v>-3300</v>
      </c>
      <c r="K695">
        <v>-3300</v>
      </c>
      <c r="M695" t="s">
        <v>887</v>
      </c>
      <c r="N695" t="s">
        <v>131</v>
      </c>
      <c r="O695" t="s">
        <v>787</v>
      </c>
      <c r="Q695" t="s">
        <v>464</v>
      </c>
      <c r="R695">
        <v>0</v>
      </c>
    </row>
    <row r="696" spans="1:18" x14ac:dyDescent="0.3">
      <c r="A696">
        <v>196301</v>
      </c>
      <c r="B696" t="s">
        <v>557</v>
      </c>
      <c r="C696" t="s">
        <v>834</v>
      </c>
      <c r="D696" t="s">
        <v>1226</v>
      </c>
      <c r="E696" s="451">
        <v>46174</v>
      </c>
      <c r="F696" s="451">
        <v>46170</v>
      </c>
      <c r="G696" t="s">
        <v>578</v>
      </c>
      <c r="H696" t="s">
        <v>239</v>
      </c>
      <c r="I696" t="s">
        <v>835</v>
      </c>
      <c r="J696">
        <v>-5219.01</v>
      </c>
      <c r="K696">
        <v>-5219.01</v>
      </c>
      <c r="O696" t="s">
        <v>787</v>
      </c>
      <c r="P696" t="s">
        <v>894</v>
      </c>
      <c r="Q696" t="s">
        <v>464</v>
      </c>
      <c r="R696">
        <v>0</v>
      </c>
    </row>
    <row r="697" spans="1:18" x14ac:dyDescent="0.3">
      <c r="A697">
        <v>200492</v>
      </c>
      <c r="B697" t="s">
        <v>557</v>
      </c>
      <c r="C697" t="s">
        <v>888</v>
      </c>
      <c r="D697" t="s">
        <v>1223</v>
      </c>
      <c r="E697" s="451">
        <v>46174</v>
      </c>
      <c r="F697" s="451">
        <v>46228</v>
      </c>
      <c r="G697" t="s">
        <v>570</v>
      </c>
      <c r="H697" t="s">
        <v>573</v>
      </c>
      <c r="I697" t="s">
        <v>880</v>
      </c>
      <c r="J697">
        <v>-4400</v>
      </c>
      <c r="K697">
        <v>-4400</v>
      </c>
      <c r="M697" t="s">
        <v>887</v>
      </c>
      <c r="N697" t="s">
        <v>131</v>
      </c>
      <c r="O697" t="s">
        <v>787</v>
      </c>
      <c r="Q697" t="s">
        <v>464</v>
      </c>
      <c r="R697">
        <v>0</v>
      </c>
    </row>
    <row r="698" spans="1:18" x14ac:dyDescent="0.3">
      <c r="A698">
        <v>196169</v>
      </c>
      <c r="B698" t="s">
        <v>557</v>
      </c>
      <c r="C698" t="s">
        <v>907</v>
      </c>
      <c r="D698" t="s">
        <v>819</v>
      </c>
      <c r="E698" s="451">
        <v>46174</v>
      </c>
      <c r="F698" s="451">
        <v>46212</v>
      </c>
      <c r="G698" t="s">
        <v>578</v>
      </c>
      <c r="H698" t="s">
        <v>252</v>
      </c>
      <c r="I698" t="s">
        <v>908</v>
      </c>
      <c r="J698">
        <v>-4000</v>
      </c>
      <c r="K698">
        <v>-4000</v>
      </c>
      <c r="O698" t="s">
        <v>779</v>
      </c>
      <c r="Q698" t="s">
        <v>464</v>
      </c>
      <c r="R698">
        <v>0</v>
      </c>
    </row>
    <row r="699" spans="1:18" x14ac:dyDescent="0.3">
      <c r="A699">
        <v>191837</v>
      </c>
      <c r="B699" t="s">
        <v>557</v>
      </c>
      <c r="C699" t="s">
        <v>838</v>
      </c>
      <c r="D699" t="s">
        <v>1227</v>
      </c>
      <c r="E699" s="451">
        <v>46173</v>
      </c>
      <c r="F699" s="451">
        <v>46186</v>
      </c>
      <c r="G699" t="s">
        <v>264</v>
      </c>
      <c r="H699" t="s">
        <v>267</v>
      </c>
      <c r="I699" t="s">
        <v>1228</v>
      </c>
      <c r="J699">
        <v>-6335.45</v>
      </c>
      <c r="K699">
        <v>-6335.45</v>
      </c>
      <c r="O699" t="s">
        <v>787</v>
      </c>
      <c r="P699" t="s">
        <v>894</v>
      </c>
      <c r="Q699" t="s">
        <v>463</v>
      </c>
      <c r="R699">
        <v>0</v>
      </c>
    </row>
    <row r="700" spans="1:18" x14ac:dyDescent="0.3">
      <c r="A700">
        <v>237436</v>
      </c>
      <c r="B700" t="s">
        <v>557</v>
      </c>
      <c r="C700" t="s">
        <v>1229</v>
      </c>
      <c r="D700" t="s">
        <v>1230</v>
      </c>
      <c r="E700" s="451">
        <v>46173</v>
      </c>
      <c r="F700" s="451">
        <v>46188</v>
      </c>
      <c r="G700" t="s">
        <v>576</v>
      </c>
      <c r="H700" t="s">
        <v>203</v>
      </c>
      <c r="I700" t="s">
        <v>1231</v>
      </c>
      <c r="J700">
        <v>-2200</v>
      </c>
      <c r="K700">
        <v>-2200</v>
      </c>
      <c r="O700" t="s">
        <v>787</v>
      </c>
      <c r="P700" t="s">
        <v>894</v>
      </c>
      <c r="Q700" t="s">
        <v>463</v>
      </c>
      <c r="R700">
        <v>0</v>
      </c>
    </row>
    <row r="701" spans="1:18" x14ac:dyDescent="0.3">
      <c r="A701">
        <v>236236</v>
      </c>
      <c r="B701" t="s">
        <v>557</v>
      </c>
      <c r="C701" t="s">
        <v>1232</v>
      </c>
      <c r="E701" s="451">
        <v>46173</v>
      </c>
      <c r="F701" s="451">
        <v>46173</v>
      </c>
      <c r="G701" t="s">
        <v>562</v>
      </c>
      <c r="H701" t="s">
        <v>118</v>
      </c>
      <c r="I701" t="s">
        <v>1233</v>
      </c>
      <c r="J701">
        <v>-25179.54</v>
      </c>
      <c r="K701">
        <v>-25179.54</v>
      </c>
      <c r="O701" t="s">
        <v>787</v>
      </c>
      <c r="P701" t="s">
        <v>894</v>
      </c>
      <c r="Q701" t="s">
        <v>463</v>
      </c>
      <c r="R701">
        <v>0</v>
      </c>
    </row>
    <row r="702" spans="1:18" x14ac:dyDescent="0.3">
      <c r="A702">
        <v>236500</v>
      </c>
      <c r="B702" t="s">
        <v>557</v>
      </c>
      <c r="C702" t="s">
        <v>1234</v>
      </c>
      <c r="D702" t="s">
        <v>1235</v>
      </c>
      <c r="E702" s="451">
        <v>46173</v>
      </c>
      <c r="F702" s="451">
        <v>46183</v>
      </c>
      <c r="G702" t="s">
        <v>564</v>
      </c>
      <c r="H702" t="s">
        <v>565</v>
      </c>
      <c r="I702" t="s">
        <v>1236</v>
      </c>
      <c r="J702">
        <v>-1830.68</v>
      </c>
      <c r="K702">
        <v>-1830.68</v>
      </c>
      <c r="O702" t="s">
        <v>787</v>
      </c>
      <c r="P702" t="s">
        <v>894</v>
      </c>
      <c r="Q702" t="s">
        <v>463</v>
      </c>
      <c r="R702">
        <v>0</v>
      </c>
    </row>
    <row r="703" spans="1:18" x14ac:dyDescent="0.3">
      <c r="A703">
        <v>236216</v>
      </c>
      <c r="B703" t="s">
        <v>557</v>
      </c>
      <c r="C703" t="s">
        <v>1237</v>
      </c>
      <c r="E703" s="451">
        <v>46173</v>
      </c>
      <c r="F703" s="451">
        <v>46173</v>
      </c>
      <c r="G703" t="s">
        <v>562</v>
      </c>
      <c r="H703" t="s">
        <v>116</v>
      </c>
      <c r="I703" t="s">
        <v>1238</v>
      </c>
      <c r="J703">
        <v>-4281.95</v>
      </c>
      <c r="K703">
        <v>-4281.95</v>
      </c>
      <c r="O703" t="s">
        <v>787</v>
      </c>
      <c r="P703" t="s">
        <v>894</v>
      </c>
      <c r="Q703" t="s">
        <v>463</v>
      </c>
      <c r="R703">
        <v>0</v>
      </c>
    </row>
    <row r="704" spans="1:18" x14ac:dyDescent="0.3">
      <c r="A704">
        <v>236708</v>
      </c>
      <c r="B704" t="s">
        <v>557</v>
      </c>
      <c r="C704" t="s">
        <v>1007</v>
      </c>
      <c r="E704" s="451">
        <v>46173</v>
      </c>
      <c r="F704" s="451">
        <v>46173</v>
      </c>
      <c r="G704" t="s">
        <v>562</v>
      </c>
      <c r="H704" t="s">
        <v>116</v>
      </c>
      <c r="J704">
        <v>-72.17</v>
      </c>
      <c r="K704">
        <v>-72.17</v>
      </c>
      <c r="O704" t="s">
        <v>787</v>
      </c>
      <c r="P704" t="s">
        <v>894</v>
      </c>
      <c r="Q704" t="s">
        <v>463</v>
      </c>
      <c r="R704">
        <v>0</v>
      </c>
    </row>
    <row r="705" spans="1:18" x14ac:dyDescent="0.3">
      <c r="A705">
        <v>226145</v>
      </c>
      <c r="B705" t="s">
        <v>557</v>
      </c>
      <c r="C705" t="s">
        <v>943</v>
      </c>
      <c r="D705" t="s">
        <v>1239</v>
      </c>
      <c r="E705" s="451">
        <v>46173</v>
      </c>
      <c r="F705" s="451">
        <v>46184</v>
      </c>
      <c r="G705" t="s">
        <v>576</v>
      </c>
      <c r="H705" t="s">
        <v>203</v>
      </c>
      <c r="I705" t="s">
        <v>1240</v>
      </c>
      <c r="J705">
        <v>-878.9</v>
      </c>
      <c r="K705">
        <v>-878.9</v>
      </c>
      <c r="O705" t="s">
        <v>787</v>
      </c>
      <c r="P705" t="s">
        <v>894</v>
      </c>
      <c r="Q705" t="s">
        <v>463</v>
      </c>
      <c r="R705">
        <v>0</v>
      </c>
    </row>
    <row r="706" spans="1:18" x14ac:dyDescent="0.3">
      <c r="A706">
        <v>237034</v>
      </c>
      <c r="B706" t="s">
        <v>557</v>
      </c>
      <c r="C706" t="s">
        <v>1005</v>
      </c>
      <c r="E706" s="451">
        <v>46173</v>
      </c>
      <c r="F706" s="451">
        <v>46173</v>
      </c>
      <c r="G706" t="s">
        <v>562</v>
      </c>
      <c r="H706" t="s">
        <v>118</v>
      </c>
      <c r="J706">
        <v>-109.51</v>
      </c>
      <c r="K706">
        <v>-109.51</v>
      </c>
      <c r="O706" t="s">
        <v>787</v>
      </c>
      <c r="P706" t="s">
        <v>894</v>
      </c>
      <c r="Q706" t="s">
        <v>463</v>
      </c>
      <c r="R706">
        <v>0</v>
      </c>
    </row>
    <row r="707" spans="1:18" x14ac:dyDescent="0.3">
      <c r="A707">
        <v>237036</v>
      </c>
      <c r="B707" t="s">
        <v>557</v>
      </c>
      <c r="C707" t="s">
        <v>1006</v>
      </c>
      <c r="E707" s="451">
        <v>46173</v>
      </c>
      <c r="F707" s="451">
        <v>46173</v>
      </c>
      <c r="G707" t="s">
        <v>562</v>
      </c>
      <c r="H707" t="s">
        <v>116</v>
      </c>
      <c r="J707">
        <v>-150.37</v>
      </c>
      <c r="K707">
        <v>-150.37</v>
      </c>
      <c r="O707" t="s">
        <v>787</v>
      </c>
      <c r="P707" t="s">
        <v>894</v>
      </c>
      <c r="Q707" t="s">
        <v>463</v>
      </c>
      <c r="R707">
        <v>0</v>
      </c>
    </row>
    <row r="708" spans="1:18" x14ac:dyDescent="0.3">
      <c r="A708">
        <v>237048</v>
      </c>
      <c r="B708" t="s">
        <v>557</v>
      </c>
      <c r="C708" t="s">
        <v>1008</v>
      </c>
      <c r="E708" s="451">
        <v>46173</v>
      </c>
      <c r="F708" s="451">
        <v>46173</v>
      </c>
      <c r="G708" t="s">
        <v>562</v>
      </c>
      <c r="H708" t="s">
        <v>116</v>
      </c>
      <c r="J708">
        <v>-753.48</v>
      </c>
      <c r="K708">
        <v>-753.48</v>
      </c>
      <c r="O708" t="s">
        <v>787</v>
      </c>
      <c r="P708" t="s">
        <v>894</v>
      </c>
      <c r="Q708" t="s">
        <v>463</v>
      </c>
      <c r="R708">
        <v>0</v>
      </c>
    </row>
    <row r="709" spans="1:18" x14ac:dyDescent="0.3">
      <c r="A709">
        <v>222947</v>
      </c>
      <c r="B709" t="s">
        <v>557</v>
      </c>
      <c r="C709" t="s">
        <v>952</v>
      </c>
      <c r="D709" t="s">
        <v>1241</v>
      </c>
      <c r="E709" s="451">
        <v>46173</v>
      </c>
      <c r="F709" s="451">
        <v>46195</v>
      </c>
      <c r="G709" t="s">
        <v>569</v>
      </c>
      <c r="H709" t="s">
        <v>58</v>
      </c>
      <c r="I709" t="s">
        <v>1242</v>
      </c>
      <c r="J709">
        <v>-2248</v>
      </c>
      <c r="K709">
        <v>-2248</v>
      </c>
      <c r="O709" t="s">
        <v>787</v>
      </c>
      <c r="P709" t="s">
        <v>894</v>
      </c>
      <c r="Q709" t="s">
        <v>463</v>
      </c>
      <c r="R709">
        <v>0</v>
      </c>
    </row>
    <row r="710" spans="1:18" x14ac:dyDescent="0.3">
      <c r="A710">
        <v>226155</v>
      </c>
      <c r="B710" t="s">
        <v>557</v>
      </c>
      <c r="C710" t="s">
        <v>943</v>
      </c>
      <c r="D710" t="s">
        <v>1243</v>
      </c>
      <c r="E710" s="451">
        <v>46173</v>
      </c>
      <c r="F710" s="451">
        <v>46184</v>
      </c>
      <c r="G710" t="s">
        <v>576</v>
      </c>
      <c r="H710" t="s">
        <v>203</v>
      </c>
      <c r="I710" t="s">
        <v>1244</v>
      </c>
      <c r="J710">
        <v>-2453</v>
      </c>
      <c r="K710">
        <v>-2453</v>
      </c>
      <c r="O710" t="s">
        <v>787</v>
      </c>
      <c r="P710" t="s">
        <v>894</v>
      </c>
      <c r="Q710" t="s">
        <v>463</v>
      </c>
      <c r="R710">
        <v>0</v>
      </c>
    </row>
    <row r="711" spans="1:18" x14ac:dyDescent="0.3">
      <c r="A711">
        <v>236702</v>
      </c>
      <c r="B711" t="s">
        <v>557</v>
      </c>
      <c r="C711" t="s">
        <v>1245</v>
      </c>
      <c r="D711" t="s">
        <v>1246</v>
      </c>
      <c r="E711" s="451">
        <v>46172</v>
      </c>
      <c r="F711" s="451">
        <v>46187</v>
      </c>
      <c r="G711" t="s">
        <v>582</v>
      </c>
      <c r="H711" t="s">
        <v>293</v>
      </c>
      <c r="I711" t="s">
        <v>1247</v>
      </c>
      <c r="J711">
        <v>-35</v>
      </c>
      <c r="K711">
        <v>-35</v>
      </c>
      <c r="O711" t="s">
        <v>787</v>
      </c>
      <c r="P711" t="s">
        <v>894</v>
      </c>
      <c r="Q711" t="s">
        <v>463</v>
      </c>
      <c r="R711">
        <v>0</v>
      </c>
    </row>
    <row r="712" spans="1:18" x14ac:dyDescent="0.3">
      <c r="A712">
        <v>236703</v>
      </c>
      <c r="B712" t="s">
        <v>557</v>
      </c>
      <c r="C712" t="s">
        <v>1245</v>
      </c>
      <c r="D712" t="s">
        <v>1248</v>
      </c>
      <c r="E712" s="451">
        <v>46172</v>
      </c>
      <c r="F712" s="451">
        <v>46187</v>
      </c>
      <c r="G712" t="s">
        <v>564</v>
      </c>
      <c r="H712" t="s">
        <v>565</v>
      </c>
      <c r="I712" t="s">
        <v>1249</v>
      </c>
      <c r="J712">
        <v>-590.42999999999995</v>
      </c>
      <c r="K712">
        <v>-590.42999999999995</v>
      </c>
      <c r="O712" t="s">
        <v>787</v>
      </c>
      <c r="P712" t="s">
        <v>894</v>
      </c>
      <c r="Q712" t="s">
        <v>463</v>
      </c>
      <c r="R712">
        <v>0</v>
      </c>
    </row>
    <row r="713" spans="1:18" x14ac:dyDescent="0.3">
      <c r="A713">
        <v>236704</v>
      </c>
      <c r="B713" t="s">
        <v>557</v>
      </c>
      <c r="C713" t="s">
        <v>888</v>
      </c>
      <c r="D713" t="s">
        <v>1248</v>
      </c>
      <c r="E713" s="451">
        <v>46172</v>
      </c>
      <c r="F713" s="451">
        <v>46187</v>
      </c>
      <c r="G713" t="s">
        <v>581</v>
      </c>
      <c r="H713" t="s">
        <v>291</v>
      </c>
      <c r="I713" t="s">
        <v>1250</v>
      </c>
      <c r="J713">
        <v>-86.52</v>
      </c>
      <c r="K713">
        <v>-86.52</v>
      </c>
      <c r="M713" t="s">
        <v>887</v>
      </c>
      <c r="N713" t="s">
        <v>131</v>
      </c>
      <c r="O713" t="s">
        <v>787</v>
      </c>
      <c r="P713" t="s">
        <v>894</v>
      </c>
      <c r="Q713" t="s">
        <v>463</v>
      </c>
      <c r="R713">
        <v>0</v>
      </c>
    </row>
    <row r="714" spans="1:18" x14ac:dyDescent="0.3">
      <c r="A714">
        <v>192064</v>
      </c>
      <c r="B714" t="s">
        <v>557</v>
      </c>
      <c r="C714" t="s">
        <v>851</v>
      </c>
      <c r="D714" t="s">
        <v>1251</v>
      </c>
      <c r="E714" s="451">
        <v>46172</v>
      </c>
      <c r="F714" s="451">
        <v>46188</v>
      </c>
      <c r="G714" t="s">
        <v>318</v>
      </c>
      <c r="H714" t="s">
        <v>320</v>
      </c>
      <c r="I714" t="s">
        <v>1252</v>
      </c>
      <c r="J714">
        <v>-132.28</v>
      </c>
      <c r="K714">
        <v>-132.28</v>
      </c>
      <c r="O714" t="s">
        <v>787</v>
      </c>
      <c r="P714" t="s">
        <v>894</v>
      </c>
      <c r="Q714" t="s">
        <v>463</v>
      </c>
      <c r="R714">
        <v>0</v>
      </c>
    </row>
    <row r="715" spans="1:18" x14ac:dyDescent="0.3">
      <c r="A715">
        <v>202387</v>
      </c>
      <c r="B715" t="s">
        <v>557</v>
      </c>
      <c r="C715" t="s">
        <v>847</v>
      </c>
      <c r="D715" t="s">
        <v>1253</v>
      </c>
      <c r="E715" s="451">
        <v>46172</v>
      </c>
      <c r="F715" s="451">
        <v>46182</v>
      </c>
      <c r="G715" t="s">
        <v>578</v>
      </c>
      <c r="H715" t="s">
        <v>247</v>
      </c>
      <c r="J715">
        <v>-302.27</v>
      </c>
      <c r="K715">
        <v>-302.27</v>
      </c>
      <c r="O715" t="s">
        <v>787</v>
      </c>
      <c r="P715" t="s">
        <v>894</v>
      </c>
      <c r="Q715" t="s">
        <v>463</v>
      </c>
      <c r="R715">
        <v>0</v>
      </c>
    </row>
    <row r="716" spans="1:18" x14ac:dyDescent="0.3">
      <c r="A716">
        <v>207154</v>
      </c>
      <c r="B716" t="s">
        <v>557</v>
      </c>
      <c r="C716" t="s">
        <v>429</v>
      </c>
      <c r="D716" t="s">
        <v>1254</v>
      </c>
      <c r="E716" s="451">
        <v>46172</v>
      </c>
      <c r="F716" s="451">
        <v>46192</v>
      </c>
      <c r="G716" t="s">
        <v>577</v>
      </c>
      <c r="H716" t="s">
        <v>211</v>
      </c>
      <c r="I716" t="s">
        <v>1255</v>
      </c>
      <c r="J716">
        <v>-5761.64</v>
      </c>
      <c r="K716">
        <v>-5761.64</v>
      </c>
      <c r="O716" t="s">
        <v>787</v>
      </c>
      <c r="P716" t="s">
        <v>894</v>
      </c>
      <c r="Q716" t="s">
        <v>463</v>
      </c>
      <c r="R716">
        <v>0</v>
      </c>
    </row>
    <row r="717" spans="1:18" x14ac:dyDescent="0.3">
      <c r="A717">
        <v>210565</v>
      </c>
      <c r="B717" t="s">
        <v>557</v>
      </c>
      <c r="C717" t="s">
        <v>517</v>
      </c>
      <c r="D717" t="s">
        <v>1256</v>
      </c>
      <c r="E717" s="451">
        <v>46172</v>
      </c>
      <c r="F717" s="451">
        <v>46198</v>
      </c>
      <c r="G717" t="s">
        <v>563</v>
      </c>
      <c r="H717" t="s">
        <v>46</v>
      </c>
      <c r="I717" t="s">
        <v>1257</v>
      </c>
      <c r="J717">
        <v>-2101.17</v>
      </c>
      <c r="K717">
        <v>-2101.17</v>
      </c>
      <c r="O717" t="s">
        <v>787</v>
      </c>
      <c r="Q717" t="s">
        <v>463</v>
      </c>
      <c r="R717">
        <v>0</v>
      </c>
    </row>
    <row r="718" spans="1:18" x14ac:dyDescent="0.3">
      <c r="A718">
        <v>197125</v>
      </c>
      <c r="B718" t="s">
        <v>557</v>
      </c>
      <c r="C718" t="s">
        <v>48</v>
      </c>
      <c r="D718" t="s">
        <v>1256</v>
      </c>
      <c r="E718" s="451">
        <v>46172</v>
      </c>
      <c r="F718" s="451">
        <v>46195</v>
      </c>
      <c r="G718" t="s">
        <v>563</v>
      </c>
      <c r="H718" t="s">
        <v>48</v>
      </c>
      <c r="J718">
        <v>-13390.25</v>
      </c>
      <c r="K718">
        <v>-13390.25</v>
      </c>
      <c r="O718" t="s">
        <v>787</v>
      </c>
      <c r="P718" t="s">
        <v>894</v>
      </c>
      <c r="Q718" t="s">
        <v>463</v>
      </c>
      <c r="R718">
        <v>0</v>
      </c>
    </row>
    <row r="719" spans="1:18" x14ac:dyDescent="0.3">
      <c r="A719">
        <v>208284</v>
      </c>
      <c r="B719" t="s">
        <v>557</v>
      </c>
      <c r="C719" t="s">
        <v>428</v>
      </c>
      <c r="D719" t="s">
        <v>1258</v>
      </c>
      <c r="E719" s="451">
        <v>46172</v>
      </c>
      <c r="F719" s="451">
        <v>46192</v>
      </c>
      <c r="G719" t="s">
        <v>577</v>
      </c>
      <c r="H719" t="s">
        <v>206</v>
      </c>
      <c r="I719" t="s">
        <v>1259</v>
      </c>
      <c r="J719">
        <v>-4939.0200000000004</v>
      </c>
      <c r="K719">
        <v>-4939.0200000000004</v>
      </c>
      <c r="O719" t="s">
        <v>787</v>
      </c>
      <c r="P719" t="s">
        <v>894</v>
      </c>
      <c r="Q719" t="s">
        <v>463</v>
      </c>
      <c r="R719">
        <v>0</v>
      </c>
    </row>
    <row r="720" spans="1:18" x14ac:dyDescent="0.3">
      <c r="A720">
        <v>197653</v>
      </c>
      <c r="B720" t="s">
        <v>557</v>
      </c>
      <c r="C720" t="s">
        <v>849</v>
      </c>
      <c r="D720" t="s">
        <v>1256</v>
      </c>
      <c r="E720" s="451">
        <v>46172</v>
      </c>
      <c r="F720" s="451">
        <v>46192</v>
      </c>
      <c r="G720" t="s">
        <v>308</v>
      </c>
      <c r="H720" t="s">
        <v>309</v>
      </c>
      <c r="I720" t="s">
        <v>850</v>
      </c>
      <c r="J720">
        <v>-196.85</v>
      </c>
      <c r="K720">
        <v>-196.85</v>
      </c>
      <c r="O720" t="s">
        <v>787</v>
      </c>
      <c r="P720" t="s">
        <v>894</v>
      </c>
      <c r="Q720" t="s">
        <v>463</v>
      </c>
      <c r="R720">
        <v>0</v>
      </c>
    </row>
    <row r="721" spans="1:18" x14ac:dyDescent="0.3">
      <c r="A721">
        <v>197471</v>
      </c>
      <c r="B721" t="s">
        <v>557</v>
      </c>
      <c r="C721" t="s">
        <v>845</v>
      </c>
      <c r="D721" t="s">
        <v>1256</v>
      </c>
      <c r="E721" s="451">
        <v>46172</v>
      </c>
      <c r="F721" s="451">
        <v>46192</v>
      </c>
      <c r="G721" t="s">
        <v>308</v>
      </c>
      <c r="H721" t="s">
        <v>309</v>
      </c>
      <c r="I721" t="s">
        <v>853</v>
      </c>
      <c r="J721">
        <v>-12.64</v>
      </c>
      <c r="K721">
        <v>-12.64</v>
      </c>
      <c r="O721" t="s">
        <v>787</v>
      </c>
      <c r="P721" t="s">
        <v>894</v>
      </c>
      <c r="Q721" t="s">
        <v>463</v>
      </c>
      <c r="R721">
        <v>0</v>
      </c>
    </row>
    <row r="722" spans="1:18" x14ac:dyDescent="0.3">
      <c r="A722">
        <v>208528</v>
      </c>
      <c r="B722" t="s">
        <v>557</v>
      </c>
      <c r="C722" t="s">
        <v>845</v>
      </c>
      <c r="D722" t="s">
        <v>1260</v>
      </c>
      <c r="E722" s="451">
        <v>46172</v>
      </c>
      <c r="F722" s="451">
        <v>46192</v>
      </c>
      <c r="G722" t="s">
        <v>577</v>
      </c>
      <c r="H722" t="s">
        <v>846</v>
      </c>
      <c r="I722" t="s">
        <v>1261</v>
      </c>
      <c r="J722">
        <v>-800.72</v>
      </c>
      <c r="K722">
        <v>-800.72</v>
      </c>
      <c r="O722" t="s">
        <v>787</v>
      </c>
      <c r="P722" t="s">
        <v>894</v>
      </c>
      <c r="Q722" t="s">
        <v>463</v>
      </c>
      <c r="R722">
        <v>0</v>
      </c>
    </row>
    <row r="723" spans="1:18" x14ac:dyDescent="0.3">
      <c r="A723">
        <v>210553</v>
      </c>
      <c r="B723" t="s">
        <v>557</v>
      </c>
      <c r="C723" t="s">
        <v>518</v>
      </c>
      <c r="D723" t="s">
        <v>1256</v>
      </c>
      <c r="E723" s="451">
        <v>46172</v>
      </c>
      <c r="F723" s="451">
        <v>46198</v>
      </c>
      <c r="G723" t="s">
        <v>563</v>
      </c>
      <c r="H723" t="s">
        <v>46</v>
      </c>
      <c r="I723" t="s">
        <v>1257</v>
      </c>
      <c r="J723">
        <v>-9692.76</v>
      </c>
      <c r="K723">
        <v>-9692.76</v>
      </c>
      <c r="O723" t="s">
        <v>787</v>
      </c>
      <c r="Q723" t="s">
        <v>463</v>
      </c>
      <c r="R723">
        <v>0</v>
      </c>
    </row>
    <row r="724" spans="1:18" x14ac:dyDescent="0.3">
      <c r="A724">
        <v>235268</v>
      </c>
      <c r="B724" t="s">
        <v>557</v>
      </c>
      <c r="C724" t="s">
        <v>1262</v>
      </c>
      <c r="D724" t="s">
        <v>1263</v>
      </c>
      <c r="E724" s="451">
        <v>46171</v>
      </c>
      <c r="F724" s="451">
        <v>46181</v>
      </c>
      <c r="G724" t="s">
        <v>581</v>
      </c>
      <c r="H724" t="s">
        <v>288</v>
      </c>
      <c r="I724" t="s">
        <v>1264</v>
      </c>
      <c r="J724">
        <v>-350</v>
      </c>
      <c r="K724">
        <v>-350</v>
      </c>
      <c r="O724" t="s">
        <v>787</v>
      </c>
      <c r="P724" t="s">
        <v>894</v>
      </c>
      <c r="Q724" t="s">
        <v>463</v>
      </c>
      <c r="R724">
        <v>0</v>
      </c>
    </row>
    <row r="725" spans="1:18" x14ac:dyDescent="0.3">
      <c r="A725">
        <v>218783</v>
      </c>
      <c r="B725" t="s">
        <v>557</v>
      </c>
      <c r="C725" t="s">
        <v>1128</v>
      </c>
      <c r="D725" t="s">
        <v>1265</v>
      </c>
      <c r="E725" s="451">
        <v>46171</v>
      </c>
      <c r="F725" s="451">
        <v>46181</v>
      </c>
      <c r="G725" t="s">
        <v>569</v>
      </c>
      <c r="H725" t="s">
        <v>66</v>
      </c>
      <c r="I725" t="s">
        <v>1266</v>
      </c>
      <c r="J725">
        <v>-167</v>
      </c>
      <c r="K725">
        <v>-167</v>
      </c>
      <c r="O725" t="s">
        <v>787</v>
      </c>
      <c r="P725" t="s">
        <v>894</v>
      </c>
      <c r="Q725" t="s">
        <v>463</v>
      </c>
      <c r="R725">
        <v>0</v>
      </c>
    </row>
    <row r="726" spans="1:18" x14ac:dyDescent="0.3">
      <c r="A726">
        <v>235055</v>
      </c>
      <c r="B726" t="s">
        <v>557</v>
      </c>
      <c r="C726" t="s">
        <v>965</v>
      </c>
      <c r="D726" t="s">
        <v>1267</v>
      </c>
      <c r="E726" s="451">
        <v>46170</v>
      </c>
      <c r="F726" s="451">
        <v>46178</v>
      </c>
      <c r="G726" t="s">
        <v>296</v>
      </c>
      <c r="H726" t="s">
        <v>307</v>
      </c>
      <c r="I726" t="s">
        <v>967</v>
      </c>
      <c r="J726">
        <v>-22.31</v>
      </c>
      <c r="K726">
        <v>0</v>
      </c>
      <c r="O726" t="s">
        <v>787</v>
      </c>
      <c r="P726" t="s">
        <v>894</v>
      </c>
      <c r="Q726" t="s">
        <v>463</v>
      </c>
      <c r="R726">
        <v>0</v>
      </c>
    </row>
    <row r="727" spans="1:18" x14ac:dyDescent="0.3">
      <c r="A727">
        <v>197251</v>
      </c>
      <c r="B727" t="s">
        <v>557</v>
      </c>
      <c r="C727" t="s">
        <v>49</v>
      </c>
      <c r="D727" t="s">
        <v>1256</v>
      </c>
      <c r="E727" s="451">
        <v>46170</v>
      </c>
      <c r="F727" s="451">
        <v>46183</v>
      </c>
      <c r="G727" t="s">
        <v>264</v>
      </c>
      <c r="H727" t="s">
        <v>271</v>
      </c>
      <c r="I727" t="s">
        <v>1268</v>
      </c>
      <c r="J727">
        <v>-71.989999999999995</v>
      </c>
      <c r="K727">
        <v>-71.989999999999995</v>
      </c>
      <c r="O727" t="s">
        <v>787</v>
      </c>
      <c r="P727" t="s">
        <v>894</v>
      </c>
      <c r="Q727" t="s">
        <v>463</v>
      </c>
      <c r="R727">
        <v>0</v>
      </c>
    </row>
    <row r="728" spans="1:18" x14ac:dyDescent="0.3">
      <c r="A728">
        <v>197459</v>
      </c>
      <c r="B728" t="s">
        <v>557</v>
      </c>
      <c r="C728" t="s">
        <v>845</v>
      </c>
      <c r="D728" t="s">
        <v>1256</v>
      </c>
      <c r="E728" s="451">
        <v>46170</v>
      </c>
      <c r="F728" s="451">
        <v>46192</v>
      </c>
      <c r="G728" t="s">
        <v>308</v>
      </c>
      <c r="H728" t="s">
        <v>309</v>
      </c>
      <c r="J728">
        <v>-54.27</v>
      </c>
      <c r="K728">
        <v>-54.27</v>
      </c>
      <c r="O728" t="s">
        <v>787</v>
      </c>
      <c r="P728" t="s">
        <v>894</v>
      </c>
      <c r="Q728" t="s">
        <v>463</v>
      </c>
      <c r="R728">
        <v>0</v>
      </c>
    </row>
    <row r="729" spans="1:18" x14ac:dyDescent="0.3">
      <c r="A729">
        <v>234726</v>
      </c>
      <c r="B729" t="s">
        <v>557</v>
      </c>
      <c r="C729" t="s">
        <v>1269</v>
      </c>
      <c r="D729" t="s">
        <v>1270</v>
      </c>
      <c r="E729" s="451">
        <v>46169</v>
      </c>
      <c r="F729" s="451">
        <v>46182</v>
      </c>
      <c r="G729" t="s">
        <v>578</v>
      </c>
      <c r="H729" t="s">
        <v>246</v>
      </c>
      <c r="I729" t="s">
        <v>1271</v>
      </c>
      <c r="J729">
        <v>-944.8</v>
      </c>
      <c r="K729">
        <v>-944.8</v>
      </c>
      <c r="O729" t="s">
        <v>787</v>
      </c>
      <c r="P729" t="s">
        <v>894</v>
      </c>
      <c r="Q729" t="s">
        <v>463</v>
      </c>
      <c r="R729">
        <v>0</v>
      </c>
    </row>
    <row r="730" spans="1:18" x14ac:dyDescent="0.3">
      <c r="A730">
        <v>235953</v>
      </c>
      <c r="B730" t="s">
        <v>557</v>
      </c>
      <c r="C730" t="s">
        <v>1237</v>
      </c>
      <c r="E730" s="451">
        <v>46168</v>
      </c>
      <c r="F730" s="451">
        <v>46169</v>
      </c>
      <c r="G730" t="s">
        <v>279</v>
      </c>
      <c r="H730" t="s">
        <v>284</v>
      </c>
      <c r="I730" t="s">
        <v>1272</v>
      </c>
      <c r="J730">
        <v>-19.989999999999998</v>
      </c>
      <c r="K730">
        <v>-19.989999999999998</v>
      </c>
      <c r="O730" t="s">
        <v>787</v>
      </c>
      <c r="P730" t="s">
        <v>894</v>
      </c>
      <c r="Q730" t="s">
        <v>463</v>
      </c>
      <c r="R730">
        <v>0</v>
      </c>
    </row>
    <row r="731" spans="1:18" x14ac:dyDescent="0.3">
      <c r="A731">
        <v>32155</v>
      </c>
      <c r="B731" t="s">
        <v>557</v>
      </c>
      <c r="C731" t="s">
        <v>259</v>
      </c>
      <c r="D731" t="s">
        <v>1273</v>
      </c>
      <c r="E731" s="451">
        <v>46168</v>
      </c>
      <c r="F731" s="451">
        <v>46168</v>
      </c>
      <c r="G731" t="s">
        <v>256</v>
      </c>
      <c r="H731" t="s">
        <v>259</v>
      </c>
      <c r="I731" t="s">
        <v>782</v>
      </c>
      <c r="J731">
        <v>-416.33</v>
      </c>
      <c r="K731">
        <v>-416.33</v>
      </c>
      <c r="O731" t="s">
        <v>787</v>
      </c>
      <c r="P731" t="s">
        <v>788</v>
      </c>
      <c r="Q731" t="s">
        <v>463</v>
      </c>
      <c r="R731">
        <v>0</v>
      </c>
    </row>
    <row r="732" spans="1:18" x14ac:dyDescent="0.3">
      <c r="A732">
        <v>32313</v>
      </c>
      <c r="B732" t="s">
        <v>557</v>
      </c>
      <c r="C732" t="s">
        <v>259</v>
      </c>
      <c r="D732" t="s">
        <v>776</v>
      </c>
      <c r="E732" s="451">
        <v>46168</v>
      </c>
      <c r="F732" s="451">
        <v>46168</v>
      </c>
      <c r="G732" t="s">
        <v>777</v>
      </c>
      <c r="H732" t="s">
        <v>368</v>
      </c>
      <c r="I732" t="s">
        <v>778</v>
      </c>
      <c r="J732">
        <v>-1520.61</v>
      </c>
      <c r="K732">
        <v>-1520.61</v>
      </c>
      <c r="O732" t="s">
        <v>787</v>
      </c>
      <c r="P732" t="s">
        <v>788</v>
      </c>
      <c r="Q732" t="s">
        <v>463</v>
      </c>
      <c r="R732">
        <v>0</v>
      </c>
    </row>
    <row r="733" spans="1:18" x14ac:dyDescent="0.3">
      <c r="A733">
        <v>226154</v>
      </c>
      <c r="B733" t="s">
        <v>557</v>
      </c>
      <c r="C733" t="s">
        <v>943</v>
      </c>
      <c r="D733" t="s">
        <v>1274</v>
      </c>
      <c r="E733" s="451">
        <v>46167</v>
      </c>
      <c r="F733" s="451">
        <v>46177</v>
      </c>
      <c r="G733" t="s">
        <v>576</v>
      </c>
      <c r="H733" t="s">
        <v>203</v>
      </c>
      <c r="I733" t="s">
        <v>1275</v>
      </c>
      <c r="J733">
        <v>-1331</v>
      </c>
      <c r="K733">
        <v>-1331</v>
      </c>
      <c r="O733" t="s">
        <v>787</v>
      </c>
      <c r="P733" t="s">
        <v>894</v>
      </c>
      <c r="Q733" t="s">
        <v>463</v>
      </c>
      <c r="R733">
        <v>0</v>
      </c>
    </row>
    <row r="734" spans="1:18" x14ac:dyDescent="0.3">
      <c r="A734">
        <v>234188</v>
      </c>
      <c r="B734" t="s">
        <v>557</v>
      </c>
      <c r="C734" t="s">
        <v>964</v>
      </c>
      <c r="E734" s="451">
        <v>46167</v>
      </c>
      <c r="F734" s="451">
        <v>46167</v>
      </c>
      <c r="G734" t="s">
        <v>874</v>
      </c>
      <c r="H734" t="s">
        <v>875</v>
      </c>
      <c r="J734">
        <v>-32.78</v>
      </c>
      <c r="K734">
        <v>-32.78</v>
      </c>
      <c r="O734" t="s">
        <v>787</v>
      </c>
      <c r="P734" t="s">
        <v>894</v>
      </c>
      <c r="Q734" t="s">
        <v>463</v>
      </c>
      <c r="R734">
        <v>0</v>
      </c>
    </row>
    <row r="735" spans="1:18" x14ac:dyDescent="0.3">
      <c r="A735">
        <v>235952</v>
      </c>
      <c r="B735" t="s">
        <v>557</v>
      </c>
      <c r="C735" t="s">
        <v>1237</v>
      </c>
      <c r="E735" s="451">
        <v>46167</v>
      </c>
      <c r="F735" s="451">
        <v>46168</v>
      </c>
      <c r="G735" t="s">
        <v>279</v>
      </c>
      <c r="H735" t="s">
        <v>284</v>
      </c>
      <c r="I735" t="s">
        <v>1272</v>
      </c>
      <c r="J735">
        <v>-38.81</v>
      </c>
      <c r="K735">
        <v>-38.81</v>
      </c>
      <c r="O735" t="s">
        <v>787</v>
      </c>
      <c r="P735" t="s">
        <v>894</v>
      </c>
      <c r="Q735" t="s">
        <v>463</v>
      </c>
      <c r="R735">
        <v>0</v>
      </c>
    </row>
    <row r="736" spans="1:18" x14ac:dyDescent="0.3">
      <c r="A736">
        <v>226144</v>
      </c>
      <c r="B736" t="s">
        <v>557</v>
      </c>
      <c r="C736" t="s">
        <v>943</v>
      </c>
      <c r="D736" t="s">
        <v>1276</v>
      </c>
      <c r="E736" s="451">
        <v>46167</v>
      </c>
      <c r="F736" s="451">
        <v>46177</v>
      </c>
      <c r="G736" t="s">
        <v>576</v>
      </c>
      <c r="H736" t="s">
        <v>203</v>
      </c>
      <c r="I736" t="s">
        <v>1277</v>
      </c>
      <c r="J736">
        <v>-1032.9000000000001</v>
      </c>
      <c r="K736">
        <v>-1032.9000000000001</v>
      </c>
      <c r="O736" t="s">
        <v>787</v>
      </c>
      <c r="P736" t="s">
        <v>894</v>
      </c>
      <c r="Q736" t="s">
        <v>463</v>
      </c>
      <c r="R736">
        <v>0</v>
      </c>
    </row>
    <row r="737" spans="1:18" x14ac:dyDescent="0.3">
      <c r="A737">
        <v>222946</v>
      </c>
      <c r="B737" t="s">
        <v>557</v>
      </c>
      <c r="C737" t="s">
        <v>952</v>
      </c>
      <c r="D737" t="s">
        <v>1278</v>
      </c>
      <c r="E737" s="451">
        <v>46167</v>
      </c>
      <c r="F737" s="451">
        <v>46188</v>
      </c>
      <c r="G737" t="s">
        <v>569</v>
      </c>
      <c r="H737" t="s">
        <v>58</v>
      </c>
      <c r="I737" t="s">
        <v>1279</v>
      </c>
      <c r="J737">
        <v>-875</v>
      </c>
      <c r="K737">
        <v>-875</v>
      </c>
      <c r="O737" t="s">
        <v>787</v>
      </c>
      <c r="P737" t="s">
        <v>894</v>
      </c>
      <c r="Q737" t="s">
        <v>463</v>
      </c>
      <c r="R737">
        <v>0</v>
      </c>
    </row>
    <row r="738" spans="1:18" x14ac:dyDescent="0.3">
      <c r="A738">
        <v>235951</v>
      </c>
      <c r="B738" t="s">
        <v>557</v>
      </c>
      <c r="C738" t="s">
        <v>1237</v>
      </c>
      <c r="E738" s="451">
        <v>46166</v>
      </c>
      <c r="F738" s="451">
        <v>46167</v>
      </c>
      <c r="G738" t="s">
        <v>279</v>
      </c>
      <c r="H738" t="s">
        <v>284</v>
      </c>
      <c r="I738" t="s">
        <v>1272</v>
      </c>
      <c r="J738">
        <v>-63.99</v>
      </c>
      <c r="K738">
        <v>-63.99</v>
      </c>
      <c r="O738" t="s">
        <v>787</v>
      </c>
      <c r="P738" t="s">
        <v>894</v>
      </c>
      <c r="Q738" t="s">
        <v>463</v>
      </c>
      <c r="R738">
        <v>0</v>
      </c>
    </row>
    <row r="739" spans="1:18" x14ac:dyDescent="0.3">
      <c r="A739">
        <v>233787</v>
      </c>
      <c r="B739" t="s">
        <v>557</v>
      </c>
      <c r="C739" t="s">
        <v>1280</v>
      </c>
      <c r="D739" t="s">
        <v>1281</v>
      </c>
      <c r="E739" s="451">
        <v>46166</v>
      </c>
      <c r="F739" s="451">
        <v>46166</v>
      </c>
      <c r="G739" t="s">
        <v>264</v>
      </c>
      <c r="H739" t="s">
        <v>272</v>
      </c>
      <c r="I739" t="s">
        <v>1282</v>
      </c>
      <c r="J739">
        <v>-610.22</v>
      </c>
      <c r="K739">
        <v>-610.22</v>
      </c>
      <c r="O739" t="s">
        <v>787</v>
      </c>
      <c r="P739" t="s">
        <v>894</v>
      </c>
      <c r="Q739" t="s">
        <v>463</v>
      </c>
      <c r="R739">
        <v>0</v>
      </c>
    </row>
    <row r="740" spans="1:18" x14ac:dyDescent="0.3">
      <c r="A740">
        <v>235950</v>
      </c>
      <c r="B740" t="s">
        <v>557</v>
      </c>
      <c r="C740" t="s">
        <v>1237</v>
      </c>
      <c r="E740" s="451">
        <v>46165</v>
      </c>
      <c r="F740" s="451">
        <v>46166</v>
      </c>
      <c r="G740" t="s">
        <v>279</v>
      </c>
      <c r="H740" t="s">
        <v>284</v>
      </c>
      <c r="I740" t="s">
        <v>1272</v>
      </c>
      <c r="J740">
        <v>-169.38</v>
      </c>
      <c r="K740">
        <v>-169.38</v>
      </c>
      <c r="O740" t="s">
        <v>787</v>
      </c>
      <c r="P740" t="s">
        <v>894</v>
      </c>
      <c r="Q740" t="s">
        <v>463</v>
      </c>
      <c r="R740">
        <v>0</v>
      </c>
    </row>
    <row r="741" spans="1:18" x14ac:dyDescent="0.3">
      <c r="A741">
        <v>218782</v>
      </c>
      <c r="B741" t="s">
        <v>557</v>
      </c>
      <c r="C741" t="s">
        <v>1128</v>
      </c>
      <c r="D741" t="s">
        <v>1265</v>
      </c>
      <c r="E741" s="451">
        <v>46164</v>
      </c>
      <c r="F741" s="451">
        <v>46174</v>
      </c>
      <c r="G741" t="s">
        <v>569</v>
      </c>
      <c r="H741" t="s">
        <v>66</v>
      </c>
      <c r="I741" t="s">
        <v>1283</v>
      </c>
      <c r="J741">
        <v>-167</v>
      </c>
      <c r="K741">
        <v>-167</v>
      </c>
      <c r="O741" t="s">
        <v>787</v>
      </c>
      <c r="P741" t="s">
        <v>894</v>
      </c>
      <c r="Q741" t="s">
        <v>463</v>
      </c>
      <c r="R741">
        <v>0</v>
      </c>
    </row>
    <row r="742" spans="1:18" x14ac:dyDescent="0.3">
      <c r="A742">
        <v>235949</v>
      </c>
      <c r="B742" t="s">
        <v>557</v>
      </c>
      <c r="C742" t="s">
        <v>1237</v>
      </c>
      <c r="E742" s="451">
        <v>46164</v>
      </c>
      <c r="F742" s="451">
        <v>46165</v>
      </c>
      <c r="G742" t="s">
        <v>279</v>
      </c>
      <c r="H742" t="s">
        <v>284</v>
      </c>
      <c r="I742" t="s">
        <v>1272</v>
      </c>
      <c r="J742">
        <v>-25.74</v>
      </c>
      <c r="K742">
        <v>-25.74</v>
      </c>
      <c r="O742" t="s">
        <v>787</v>
      </c>
      <c r="P742" t="s">
        <v>894</v>
      </c>
      <c r="Q742" t="s">
        <v>463</v>
      </c>
      <c r="R742">
        <v>0</v>
      </c>
    </row>
    <row r="743" spans="1:18" x14ac:dyDescent="0.3">
      <c r="A743">
        <v>234860</v>
      </c>
      <c r="B743" t="s">
        <v>557</v>
      </c>
      <c r="C743" t="s">
        <v>1284</v>
      </c>
      <c r="D743" t="s">
        <v>1285</v>
      </c>
      <c r="E743" s="451">
        <v>46163</v>
      </c>
      <c r="F743" s="451">
        <v>46192</v>
      </c>
      <c r="G743" t="s">
        <v>264</v>
      </c>
      <c r="H743" t="s">
        <v>276</v>
      </c>
      <c r="I743" t="s">
        <v>1286</v>
      </c>
      <c r="J743">
        <v>-131.28</v>
      </c>
      <c r="K743">
        <v>-131.28</v>
      </c>
      <c r="O743" t="s">
        <v>787</v>
      </c>
      <c r="P743" t="s">
        <v>894</v>
      </c>
      <c r="Q743" t="s">
        <v>463</v>
      </c>
      <c r="R743">
        <v>0</v>
      </c>
    </row>
    <row r="744" spans="1:18" x14ac:dyDescent="0.3">
      <c r="A744">
        <v>235948</v>
      </c>
      <c r="B744" t="s">
        <v>557</v>
      </c>
      <c r="C744" t="s">
        <v>1237</v>
      </c>
      <c r="E744" s="451">
        <v>46163</v>
      </c>
      <c r="F744" s="451">
        <v>46164</v>
      </c>
      <c r="G744" t="s">
        <v>279</v>
      </c>
      <c r="H744" t="s">
        <v>284</v>
      </c>
      <c r="I744" t="s">
        <v>1272</v>
      </c>
      <c r="J744">
        <v>-53.22</v>
      </c>
      <c r="K744">
        <v>-53.22</v>
      </c>
      <c r="O744" t="s">
        <v>787</v>
      </c>
      <c r="P744" t="s">
        <v>894</v>
      </c>
      <c r="Q744" t="s">
        <v>463</v>
      </c>
      <c r="R744">
        <v>0</v>
      </c>
    </row>
    <row r="745" spans="1:18" x14ac:dyDescent="0.3">
      <c r="A745">
        <v>233337</v>
      </c>
      <c r="B745" t="s">
        <v>557</v>
      </c>
      <c r="C745" t="s">
        <v>964</v>
      </c>
      <c r="E745" s="451">
        <v>46162</v>
      </c>
      <c r="F745" s="451">
        <v>46162</v>
      </c>
      <c r="G745" t="s">
        <v>874</v>
      </c>
      <c r="H745" t="s">
        <v>875</v>
      </c>
      <c r="J745">
        <v>-111.45</v>
      </c>
      <c r="K745">
        <v>-111.45</v>
      </c>
      <c r="O745" t="s">
        <v>787</v>
      </c>
      <c r="P745" t="s">
        <v>894</v>
      </c>
      <c r="Q745" t="s">
        <v>463</v>
      </c>
      <c r="R745">
        <v>0</v>
      </c>
    </row>
    <row r="746" spans="1:18" x14ac:dyDescent="0.3">
      <c r="A746">
        <v>235947</v>
      </c>
      <c r="B746" t="s">
        <v>557</v>
      </c>
      <c r="C746" t="s">
        <v>1237</v>
      </c>
      <c r="E746" s="451">
        <v>46162</v>
      </c>
      <c r="F746" s="451">
        <v>46163</v>
      </c>
      <c r="G746" t="s">
        <v>279</v>
      </c>
      <c r="H746" t="s">
        <v>284</v>
      </c>
      <c r="I746" t="s">
        <v>1272</v>
      </c>
      <c r="J746">
        <v>-43.52</v>
      </c>
      <c r="K746">
        <v>-43.52</v>
      </c>
      <c r="O746" t="s">
        <v>787</v>
      </c>
      <c r="P746" t="s">
        <v>894</v>
      </c>
      <c r="Q746" t="s">
        <v>463</v>
      </c>
      <c r="R746">
        <v>0</v>
      </c>
    </row>
    <row r="747" spans="1:18" x14ac:dyDescent="0.3">
      <c r="A747">
        <v>235945</v>
      </c>
      <c r="B747" t="s">
        <v>557</v>
      </c>
      <c r="C747" t="s">
        <v>1237</v>
      </c>
      <c r="E747" s="451">
        <v>46161</v>
      </c>
      <c r="F747" s="451">
        <v>46162</v>
      </c>
      <c r="G747" t="s">
        <v>279</v>
      </c>
      <c r="H747" t="s">
        <v>284</v>
      </c>
      <c r="I747" t="s">
        <v>1272</v>
      </c>
      <c r="J747">
        <v>-17.89</v>
      </c>
      <c r="K747">
        <v>-17.89</v>
      </c>
      <c r="O747" t="s">
        <v>787</v>
      </c>
      <c r="P747" t="s">
        <v>894</v>
      </c>
      <c r="Q747" t="s">
        <v>463</v>
      </c>
      <c r="R747">
        <v>0</v>
      </c>
    </row>
    <row r="748" spans="1:18" x14ac:dyDescent="0.3">
      <c r="A748">
        <v>235946</v>
      </c>
      <c r="B748" t="s">
        <v>557</v>
      </c>
      <c r="C748" t="s">
        <v>1237</v>
      </c>
      <c r="E748" s="451">
        <v>46161</v>
      </c>
      <c r="F748" s="451">
        <v>46162</v>
      </c>
      <c r="G748" t="s">
        <v>279</v>
      </c>
      <c r="H748" t="s">
        <v>284</v>
      </c>
      <c r="I748" t="s">
        <v>1272</v>
      </c>
      <c r="J748">
        <v>-1.97</v>
      </c>
      <c r="K748">
        <v>-1.97</v>
      </c>
      <c r="O748" t="s">
        <v>787</v>
      </c>
      <c r="P748" t="s">
        <v>894</v>
      </c>
      <c r="Q748" t="s">
        <v>463</v>
      </c>
      <c r="R748">
        <v>0</v>
      </c>
    </row>
    <row r="749" spans="1:18" x14ac:dyDescent="0.3">
      <c r="A749">
        <v>235944</v>
      </c>
      <c r="B749" t="s">
        <v>557</v>
      </c>
      <c r="C749" t="s">
        <v>1237</v>
      </c>
      <c r="E749" s="451">
        <v>46160</v>
      </c>
      <c r="F749" s="451">
        <v>46161</v>
      </c>
      <c r="G749" t="s">
        <v>279</v>
      </c>
      <c r="H749" t="s">
        <v>284</v>
      </c>
      <c r="I749" t="s">
        <v>1272</v>
      </c>
      <c r="J749">
        <v>-8.1300000000000008</v>
      </c>
      <c r="K749">
        <v>-8.1300000000000008</v>
      </c>
      <c r="O749" t="s">
        <v>787</v>
      </c>
      <c r="P749" t="s">
        <v>894</v>
      </c>
      <c r="Q749" t="s">
        <v>463</v>
      </c>
      <c r="R749">
        <v>0</v>
      </c>
    </row>
    <row r="750" spans="1:18" x14ac:dyDescent="0.3">
      <c r="A750">
        <v>226153</v>
      </c>
      <c r="B750" t="s">
        <v>557</v>
      </c>
      <c r="C750" t="s">
        <v>943</v>
      </c>
      <c r="D750" t="s">
        <v>1287</v>
      </c>
      <c r="E750" s="451">
        <v>46160</v>
      </c>
      <c r="F750" s="451">
        <v>46170</v>
      </c>
      <c r="G750" t="s">
        <v>576</v>
      </c>
      <c r="H750" t="s">
        <v>203</v>
      </c>
      <c r="I750" t="s">
        <v>1288</v>
      </c>
      <c r="J750">
        <v>-924</v>
      </c>
      <c r="K750">
        <v>-924</v>
      </c>
      <c r="O750" t="s">
        <v>787</v>
      </c>
      <c r="P750" t="s">
        <v>894</v>
      </c>
      <c r="Q750" t="s">
        <v>463</v>
      </c>
      <c r="R750">
        <v>0</v>
      </c>
    </row>
    <row r="751" spans="1:18" x14ac:dyDescent="0.3">
      <c r="A751">
        <v>226143</v>
      </c>
      <c r="B751" t="s">
        <v>557</v>
      </c>
      <c r="C751" t="s">
        <v>943</v>
      </c>
      <c r="D751" t="s">
        <v>1289</v>
      </c>
      <c r="E751" s="451">
        <v>46160</v>
      </c>
      <c r="F751" s="451">
        <v>46170</v>
      </c>
      <c r="G751" t="s">
        <v>576</v>
      </c>
      <c r="H751" t="s">
        <v>203</v>
      </c>
      <c r="I751" t="s">
        <v>1290</v>
      </c>
      <c r="J751">
        <v>-2403.5</v>
      </c>
      <c r="K751">
        <v>-2403.5</v>
      </c>
      <c r="O751" t="s">
        <v>787</v>
      </c>
      <c r="P751" t="s">
        <v>894</v>
      </c>
      <c r="Q751" t="s">
        <v>463</v>
      </c>
      <c r="R751">
        <v>0</v>
      </c>
    </row>
    <row r="752" spans="1:18" x14ac:dyDescent="0.3">
      <c r="A752">
        <v>222945</v>
      </c>
      <c r="B752" t="s">
        <v>557</v>
      </c>
      <c r="C752" t="s">
        <v>952</v>
      </c>
      <c r="D752" t="s">
        <v>1291</v>
      </c>
      <c r="E752" s="451">
        <v>46160</v>
      </c>
      <c r="F752" s="451">
        <v>46181</v>
      </c>
      <c r="G752" t="s">
        <v>569</v>
      </c>
      <c r="H752" t="s">
        <v>58</v>
      </c>
      <c r="I752" t="s">
        <v>1292</v>
      </c>
      <c r="J752">
        <v>-2948</v>
      </c>
      <c r="K752">
        <v>-2948</v>
      </c>
      <c r="O752" t="s">
        <v>787</v>
      </c>
      <c r="P752" t="s">
        <v>894</v>
      </c>
      <c r="Q752" t="s">
        <v>463</v>
      </c>
      <c r="R752">
        <v>0</v>
      </c>
    </row>
    <row r="753" spans="1:18" x14ac:dyDescent="0.3">
      <c r="A753">
        <v>233737</v>
      </c>
      <c r="B753" t="s">
        <v>557</v>
      </c>
      <c r="C753" t="s">
        <v>1293</v>
      </c>
      <c r="D753" t="s">
        <v>1294</v>
      </c>
      <c r="E753" s="451">
        <v>46159</v>
      </c>
      <c r="F753" s="451">
        <v>46167</v>
      </c>
      <c r="G753" t="s">
        <v>264</v>
      </c>
      <c r="H753" t="s">
        <v>272</v>
      </c>
      <c r="I753" t="s">
        <v>1295</v>
      </c>
      <c r="J753">
        <v>-321.07</v>
      </c>
      <c r="K753">
        <v>0</v>
      </c>
      <c r="O753" t="s">
        <v>787</v>
      </c>
      <c r="P753" t="s">
        <v>894</v>
      </c>
      <c r="Q753" t="s">
        <v>463</v>
      </c>
      <c r="R753">
        <v>0</v>
      </c>
    </row>
    <row r="754" spans="1:18" x14ac:dyDescent="0.3">
      <c r="A754">
        <v>234816</v>
      </c>
      <c r="B754" t="s">
        <v>557</v>
      </c>
      <c r="C754" t="s">
        <v>1293</v>
      </c>
      <c r="D754" t="s">
        <v>1294</v>
      </c>
      <c r="E754" s="451">
        <v>46159</v>
      </c>
      <c r="F754" s="451">
        <v>46170</v>
      </c>
      <c r="G754" t="s">
        <v>264</v>
      </c>
      <c r="H754" t="s">
        <v>272</v>
      </c>
      <c r="I754" t="s">
        <v>1296</v>
      </c>
      <c r="J754">
        <v>-321.02</v>
      </c>
      <c r="K754">
        <v>0</v>
      </c>
      <c r="O754" t="s">
        <v>787</v>
      </c>
      <c r="P754" t="s">
        <v>894</v>
      </c>
      <c r="Q754" t="s">
        <v>463</v>
      </c>
      <c r="R754">
        <v>0</v>
      </c>
    </row>
    <row r="755" spans="1:18" x14ac:dyDescent="0.3">
      <c r="A755">
        <v>235943</v>
      </c>
      <c r="B755" t="s">
        <v>557</v>
      </c>
      <c r="C755" t="s">
        <v>1237</v>
      </c>
      <c r="E755" s="451">
        <v>46159</v>
      </c>
      <c r="F755" s="451">
        <v>46160</v>
      </c>
      <c r="G755" t="s">
        <v>279</v>
      </c>
      <c r="H755" t="s">
        <v>284</v>
      </c>
      <c r="I755" t="s">
        <v>1272</v>
      </c>
      <c r="J755">
        <v>-57.89</v>
      </c>
      <c r="K755">
        <v>-57.89</v>
      </c>
      <c r="O755" t="s">
        <v>787</v>
      </c>
      <c r="P755" t="s">
        <v>894</v>
      </c>
      <c r="Q755" t="s">
        <v>463</v>
      </c>
      <c r="R755">
        <v>0</v>
      </c>
    </row>
    <row r="756" spans="1:18" x14ac:dyDescent="0.3">
      <c r="A756">
        <v>235942</v>
      </c>
      <c r="B756" t="s">
        <v>557</v>
      </c>
      <c r="C756" t="s">
        <v>1237</v>
      </c>
      <c r="E756" s="451">
        <v>46158</v>
      </c>
      <c r="F756" s="451">
        <v>46159</v>
      </c>
      <c r="G756" t="s">
        <v>279</v>
      </c>
      <c r="H756" t="s">
        <v>284</v>
      </c>
      <c r="I756" t="s">
        <v>1272</v>
      </c>
      <c r="J756">
        <v>-323.7</v>
      </c>
      <c r="K756">
        <v>-323.7</v>
      </c>
      <c r="O756" t="s">
        <v>787</v>
      </c>
      <c r="P756" t="s">
        <v>894</v>
      </c>
      <c r="Q756" t="s">
        <v>463</v>
      </c>
      <c r="R756">
        <v>0</v>
      </c>
    </row>
    <row r="757" spans="1:18" x14ac:dyDescent="0.3">
      <c r="A757">
        <v>218781</v>
      </c>
      <c r="B757" t="s">
        <v>557</v>
      </c>
      <c r="C757" t="s">
        <v>1128</v>
      </c>
      <c r="D757" t="s">
        <v>1265</v>
      </c>
      <c r="E757" s="451">
        <v>46157</v>
      </c>
      <c r="F757" s="451">
        <v>46167</v>
      </c>
      <c r="G757" t="s">
        <v>569</v>
      </c>
      <c r="H757" t="s">
        <v>66</v>
      </c>
      <c r="I757" t="s">
        <v>1297</v>
      </c>
      <c r="J757">
        <v>-167</v>
      </c>
      <c r="K757">
        <v>-167</v>
      </c>
      <c r="O757" t="s">
        <v>787</v>
      </c>
      <c r="P757" t="s">
        <v>894</v>
      </c>
      <c r="Q757" t="s">
        <v>463</v>
      </c>
      <c r="R757">
        <v>0</v>
      </c>
    </row>
    <row r="758" spans="1:18" x14ac:dyDescent="0.3">
      <c r="A758">
        <v>235941</v>
      </c>
      <c r="B758" t="s">
        <v>557</v>
      </c>
      <c r="C758" t="s">
        <v>1237</v>
      </c>
      <c r="E758" s="451">
        <v>46157</v>
      </c>
      <c r="F758" s="451">
        <v>46158</v>
      </c>
      <c r="G758" t="s">
        <v>279</v>
      </c>
      <c r="H758" t="s">
        <v>284</v>
      </c>
      <c r="I758" t="s">
        <v>1272</v>
      </c>
      <c r="J758">
        <v>-47.44</v>
      </c>
      <c r="K758">
        <v>-47.44</v>
      </c>
      <c r="O758" t="s">
        <v>787</v>
      </c>
      <c r="P758" t="s">
        <v>894</v>
      </c>
      <c r="Q758" t="s">
        <v>463</v>
      </c>
      <c r="R758">
        <v>0</v>
      </c>
    </row>
    <row r="759" spans="1:18" x14ac:dyDescent="0.3">
      <c r="A759">
        <v>191801</v>
      </c>
      <c r="B759" t="s">
        <v>557</v>
      </c>
      <c r="C759" t="s">
        <v>856</v>
      </c>
      <c r="D759" t="s">
        <v>1298</v>
      </c>
      <c r="E759" s="451">
        <v>46157</v>
      </c>
      <c r="F759" s="451">
        <v>46188</v>
      </c>
      <c r="G759" t="s">
        <v>264</v>
      </c>
      <c r="H759" t="s">
        <v>265</v>
      </c>
      <c r="I759" t="s">
        <v>1299</v>
      </c>
      <c r="J759">
        <v>-388.38</v>
      </c>
      <c r="K759">
        <v>-388.38</v>
      </c>
      <c r="O759" t="s">
        <v>787</v>
      </c>
      <c r="P759" t="s">
        <v>894</v>
      </c>
      <c r="Q759" t="s">
        <v>463</v>
      </c>
      <c r="R759">
        <v>0</v>
      </c>
    </row>
    <row r="760" spans="1:18" x14ac:dyDescent="0.3">
      <c r="A760">
        <v>192153</v>
      </c>
      <c r="B760" t="s">
        <v>557</v>
      </c>
      <c r="C760" t="s">
        <v>858</v>
      </c>
      <c r="D760" t="s">
        <v>1300</v>
      </c>
      <c r="E760" s="451">
        <v>46157</v>
      </c>
      <c r="F760" s="451">
        <v>46185</v>
      </c>
      <c r="G760" t="s">
        <v>279</v>
      </c>
      <c r="H760" t="s">
        <v>285</v>
      </c>
      <c r="I760" t="s">
        <v>1301</v>
      </c>
      <c r="J760">
        <v>-389</v>
      </c>
      <c r="K760">
        <v>-389</v>
      </c>
      <c r="O760" t="s">
        <v>787</v>
      </c>
      <c r="P760" t="s">
        <v>894</v>
      </c>
      <c r="Q760" t="s">
        <v>463</v>
      </c>
      <c r="R760">
        <v>0</v>
      </c>
    </row>
    <row r="761" spans="1:18" x14ac:dyDescent="0.3">
      <c r="A761">
        <v>191789</v>
      </c>
      <c r="B761" t="s">
        <v>557</v>
      </c>
      <c r="C761" t="s">
        <v>856</v>
      </c>
      <c r="D761" t="s">
        <v>1302</v>
      </c>
      <c r="E761" s="451">
        <v>46157</v>
      </c>
      <c r="F761" s="451">
        <v>46188</v>
      </c>
      <c r="G761" t="s">
        <v>264</v>
      </c>
      <c r="H761" t="s">
        <v>265</v>
      </c>
      <c r="I761" t="s">
        <v>1303</v>
      </c>
      <c r="J761">
        <v>-5079.8599999999997</v>
      </c>
      <c r="K761">
        <v>-5079.8599999999997</v>
      </c>
      <c r="O761" t="s">
        <v>787</v>
      </c>
      <c r="P761" t="s">
        <v>894</v>
      </c>
      <c r="Q761" t="s">
        <v>463</v>
      </c>
      <c r="R761">
        <v>0</v>
      </c>
    </row>
    <row r="762" spans="1:18" x14ac:dyDescent="0.3">
      <c r="A762">
        <v>231831</v>
      </c>
      <c r="B762" t="s">
        <v>557</v>
      </c>
      <c r="C762" t="s">
        <v>964</v>
      </c>
      <c r="E762" s="451">
        <v>46156</v>
      </c>
      <c r="F762" s="451">
        <v>46156</v>
      </c>
      <c r="G762" t="s">
        <v>874</v>
      </c>
      <c r="H762" t="s">
        <v>875</v>
      </c>
      <c r="J762">
        <v>-40</v>
      </c>
      <c r="K762">
        <v>-40</v>
      </c>
      <c r="O762" t="s">
        <v>787</v>
      </c>
      <c r="P762" t="s">
        <v>894</v>
      </c>
      <c r="Q762" t="s">
        <v>463</v>
      </c>
      <c r="R762">
        <v>0</v>
      </c>
    </row>
    <row r="763" spans="1:18" x14ac:dyDescent="0.3">
      <c r="A763">
        <v>233613</v>
      </c>
      <c r="B763" t="s">
        <v>557</v>
      </c>
      <c r="C763" t="s">
        <v>1304</v>
      </c>
      <c r="D763" t="s">
        <v>1305</v>
      </c>
      <c r="E763" s="451">
        <v>46156</v>
      </c>
      <c r="F763" s="451">
        <v>46172</v>
      </c>
      <c r="G763" t="s">
        <v>578</v>
      </c>
      <c r="H763" t="s">
        <v>246</v>
      </c>
      <c r="I763" t="s">
        <v>1306</v>
      </c>
      <c r="J763">
        <v>-565</v>
      </c>
      <c r="K763">
        <v>-565</v>
      </c>
      <c r="O763" t="s">
        <v>787</v>
      </c>
      <c r="P763" t="s">
        <v>894</v>
      </c>
      <c r="Q763" t="s">
        <v>463</v>
      </c>
      <c r="R763">
        <v>0</v>
      </c>
    </row>
    <row r="764" spans="1:18" x14ac:dyDescent="0.3">
      <c r="A764">
        <v>235940</v>
      </c>
      <c r="B764" t="s">
        <v>557</v>
      </c>
      <c r="C764" t="s">
        <v>1237</v>
      </c>
      <c r="E764" s="451">
        <v>46156</v>
      </c>
      <c r="F764" s="451">
        <v>46157</v>
      </c>
      <c r="G764" t="s">
        <v>279</v>
      </c>
      <c r="H764" t="s">
        <v>284</v>
      </c>
      <c r="I764" t="s">
        <v>1272</v>
      </c>
      <c r="J764">
        <v>-108.61</v>
      </c>
      <c r="K764">
        <v>-108.61</v>
      </c>
      <c r="O764" t="s">
        <v>787</v>
      </c>
      <c r="P764" t="s">
        <v>894</v>
      </c>
      <c r="Q764" t="s">
        <v>463</v>
      </c>
      <c r="R764">
        <v>0</v>
      </c>
    </row>
    <row r="765" spans="1:18" x14ac:dyDescent="0.3">
      <c r="A765">
        <v>235939</v>
      </c>
      <c r="B765" t="s">
        <v>557</v>
      </c>
      <c r="C765" t="s">
        <v>1237</v>
      </c>
      <c r="E765" s="451">
        <v>46155</v>
      </c>
      <c r="F765" s="451">
        <v>46156</v>
      </c>
      <c r="G765" t="s">
        <v>279</v>
      </c>
      <c r="H765" t="s">
        <v>284</v>
      </c>
      <c r="I765" t="s">
        <v>1272</v>
      </c>
      <c r="J765">
        <v>-95.13</v>
      </c>
      <c r="K765">
        <v>-95.13</v>
      </c>
      <c r="O765" t="s">
        <v>787</v>
      </c>
      <c r="P765" t="s">
        <v>894</v>
      </c>
      <c r="Q765" t="s">
        <v>463</v>
      </c>
      <c r="R765">
        <v>0</v>
      </c>
    </row>
    <row r="766" spans="1:18" x14ac:dyDescent="0.3">
      <c r="A766">
        <v>231059</v>
      </c>
      <c r="B766" t="s">
        <v>557</v>
      </c>
      <c r="C766" t="s">
        <v>898</v>
      </c>
      <c r="D766" t="s">
        <v>961</v>
      </c>
      <c r="E766" s="451">
        <v>46154</v>
      </c>
      <c r="F766" s="451">
        <v>46167</v>
      </c>
      <c r="G766" t="s">
        <v>279</v>
      </c>
      <c r="H766" t="s">
        <v>280</v>
      </c>
      <c r="I766" t="s">
        <v>1307</v>
      </c>
      <c r="J766">
        <v>-159.96</v>
      </c>
      <c r="K766">
        <v>0</v>
      </c>
      <c r="O766" t="s">
        <v>787</v>
      </c>
      <c r="P766" t="s">
        <v>894</v>
      </c>
      <c r="Q766" t="s">
        <v>463</v>
      </c>
      <c r="R766">
        <v>0</v>
      </c>
    </row>
    <row r="767" spans="1:18" x14ac:dyDescent="0.3">
      <c r="A767">
        <v>235938</v>
      </c>
      <c r="B767" t="s">
        <v>557</v>
      </c>
      <c r="C767" t="s">
        <v>1237</v>
      </c>
      <c r="E767" s="451">
        <v>46154</v>
      </c>
      <c r="F767" s="451">
        <v>46155</v>
      </c>
      <c r="G767" t="s">
        <v>279</v>
      </c>
      <c r="H767" t="s">
        <v>284</v>
      </c>
      <c r="I767" t="s">
        <v>1272</v>
      </c>
      <c r="J767">
        <v>-31.49</v>
      </c>
      <c r="K767">
        <v>-31.49</v>
      </c>
      <c r="O767" t="s">
        <v>787</v>
      </c>
      <c r="P767" t="s">
        <v>894</v>
      </c>
      <c r="Q767" t="s">
        <v>463</v>
      </c>
      <c r="R767">
        <v>0</v>
      </c>
    </row>
    <row r="768" spans="1:18" x14ac:dyDescent="0.3">
      <c r="A768">
        <v>231005</v>
      </c>
      <c r="B768" t="s">
        <v>557</v>
      </c>
      <c r="C768" t="s">
        <v>1051</v>
      </c>
      <c r="D768" t="s">
        <v>1308</v>
      </c>
      <c r="E768" s="451">
        <v>46154</v>
      </c>
      <c r="F768" s="451">
        <v>46157</v>
      </c>
      <c r="G768" t="s">
        <v>296</v>
      </c>
      <c r="H768" t="s">
        <v>307</v>
      </c>
      <c r="I768" t="s">
        <v>1017</v>
      </c>
      <c r="J768">
        <v>-378.1</v>
      </c>
      <c r="K768">
        <v>0</v>
      </c>
      <c r="O768" t="s">
        <v>787</v>
      </c>
      <c r="P768" t="s">
        <v>894</v>
      </c>
      <c r="Q768" t="s">
        <v>463</v>
      </c>
      <c r="R768">
        <v>0</v>
      </c>
    </row>
    <row r="769" spans="1:18" x14ac:dyDescent="0.3">
      <c r="A769">
        <v>231030</v>
      </c>
      <c r="B769" t="s">
        <v>557</v>
      </c>
      <c r="C769" t="s">
        <v>1051</v>
      </c>
      <c r="D769" t="s">
        <v>1309</v>
      </c>
      <c r="E769" s="451">
        <v>46154</v>
      </c>
      <c r="F769" s="451">
        <v>46157</v>
      </c>
      <c r="G769" t="s">
        <v>296</v>
      </c>
      <c r="H769" t="s">
        <v>307</v>
      </c>
      <c r="I769" t="s">
        <v>1017</v>
      </c>
      <c r="J769">
        <v>-89.63</v>
      </c>
      <c r="K769">
        <v>0</v>
      </c>
      <c r="O769" t="s">
        <v>787</v>
      </c>
      <c r="P769" t="s">
        <v>894</v>
      </c>
      <c r="Q769" t="s">
        <v>463</v>
      </c>
      <c r="R769">
        <v>0</v>
      </c>
    </row>
    <row r="770" spans="1:18" x14ac:dyDescent="0.3">
      <c r="A770">
        <v>222944</v>
      </c>
      <c r="B770" t="s">
        <v>557</v>
      </c>
      <c r="C770" t="s">
        <v>952</v>
      </c>
      <c r="D770" t="s">
        <v>1310</v>
      </c>
      <c r="E770" s="451">
        <v>46153</v>
      </c>
      <c r="F770" s="451">
        <v>46174</v>
      </c>
      <c r="G770" t="s">
        <v>569</v>
      </c>
      <c r="H770" t="s">
        <v>58</v>
      </c>
      <c r="I770" t="s">
        <v>1311</v>
      </c>
      <c r="J770">
        <v>-350</v>
      </c>
      <c r="K770">
        <v>-350</v>
      </c>
      <c r="O770" t="s">
        <v>787</v>
      </c>
      <c r="P770" t="s">
        <v>894</v>
      </c>
      <c r="Q770" t="s">
        <v>463</v>
      </c>
      <c r="R770">
        <v>0</v>
      </c>
    </row>
    <row r="771" spans="1:18" x14ac:dyDescent="0.3">
      <c r="A771">
        <v>226152</v>
      </c>
      <c r="B771" t="s">
        <v>557</v>
      </c>
      <c r="C771" t="s">
        <v>943</v>
      </c>
      <c r="D771" t="s">
        <v>1312</v>
      </c>
      <c r="E771" s="451">
        <v>46153</v>
      </c>
      <c r="F771" s="451">
        <v>46163</v>
      </c>
      <c r="G771" t="s">
        <v>576</v>
      </c>
      <c r="H771" t="s">
        <v>203</v>
      </c>
      <c r="I771" t="s">
        <v>1313</v>
      </c>
      <c r="J771">
        <v>-638</v>
      </c>
      <c r="K771">
        <v>-638</v>
      </c>
      <c r="O771" t="s">
        <v>787</v>
      </c>
      <c r="P771" t="s">
        <v>894</v>
      </c>
      <c r="Q771" t="s">
        <v>463</v>
      </c>
      <c r="R771">
        <v>0</v>
      </c>
    </row>
    <row r="772" spans="1:18" x14ac:dyDescent="0.3">
      <c r="A772">
        <v>231703</v>
      </c>
      <c r="B772" t="s">
        <v>557</v>
      </c>
      <c r="C772" t="s">
        <v>964</v>
      </c>
      <c r="E772" s="451">
        <v>46153</v>
      </c>
      <c r="F772" s="451">
        <v>46153</v>
      </c>
      <c r="G772" t="s">
        <v>874</v>
      </c>
      <c r="H772" t="s">
        <v>875</v>
      </c>
      <c r="J772">
        <v>-10</v>
      </c>
      <c r="K772">
        <v>-10</v>
      </c>
      <c r="O772" t="s">
        <v>787</v>
      </c>
      <c r="P772" t="s">
        <v>894</v>
      </c>
      <c r="Q772" t="s">
        <v>463</v>
      </c>
      <c r="R772">
        <v>0</v>
      </c>
    </row>
    <row r="773" spans="1:18" x14ac:dyDescent="0.3">
      <c r="A773">
        <v>226142</v>
      </c>
      <c r="B773" t="s">
        <v>557</v>
      </c>
      <c r="C773" t="s">
        <v>943</v>
      </c>
      <c r="D773" t="s">
        <v>1314</v>
      </c>
      <c r="E773" s="451">
        <v>46153</v>
      </c>
      <c r="F773" s="451">
        <v>46163</v>
      </c>
      <c r="G773" t="s">
        <v>576</v>
      </c>
      <c r="H773" t="s">
        <v>203</v>
      </c>
      <c r="I773" t="s">
        <v>1315</v>
      </c>
      <c r="J773">
        <v>-1813.9</v>
      </c>
      <c r="K773">
        <v>-1813.9</v>
      </c>
      <c r="O773" t="s">
        <v>787</v>
      </c>
      <c r="P773" t="s">
        <v>894</v>
      </c>
      <c r="Q773" t="s">
        <v>463</v>
      </c>
      <c r="R773">
        <v>0</v>
      </c>
    </row>
    <row r="774" spans="1:18" x14ac:dyDescent="0.3">
      <c r="A774">
        <v>235937</v>
      </c>
      <c r="B774" t="s">
        <v>557</v>
      </c>
      <c r="C774" t="s">
        <v>1237</v>
      </c>
      <c r="E774" s="451">
        <v>46153</v>
      </c>
      <c r="F774" s="451">
        <v>46154</v>
      </c>
      <c r="G774" t="s">
        <v>279</v>
      </c>
      <c r="H774" t="s">
        <v>284</v>
      </c>
      <c r="I774" t="s">
        <v>1272</v>
      </c>
      <c r="J774">
        <v>-33.22</v>
      </c>
      <c r="K774">
        <v>-33.22</v>
      </c>
      <c r="O774" t="s">
        <v>787</v>
      </c>
      <c r="P774" t="s">
        <v>894</v>
      </c>
      <c r="Q774" t="s">
        <v>463</v>
      </c>
      <c r="R774">
        <v>0</v>
      </c>
    </row>
    <row r="775" spans="1:18" x14ac:dyDescent="0.3">
      <c r="A775">
        <v>191994</v>
      </c>
      <c r="B775" t="s">
        <v>557</v>
      </c>
      <c r="C775" t="s">
        <v>861</v>
      </c>
      <c r="D775" t="s">
        <v>1316</v>
      </c>
      <c r="E775" s="451">
        <v>46153</v>
      </c>
      <c r="F775" s="451">
        <v>46183</v>
      </c>
      <c r="G775" t="s">
        <v>256</v>
      </c>
      <c r="H775" t="s">
        <v>257</v>
      </c>
      <c r="I775" t="s">
        <v>1317</v>
      </c>
      <c r="J775">
        <v>-22701.55</v>
      </c>
      <c r="K775">
        <v>-18701.55</v>
      </c>
      <c r="O775" t="s">
        <v>787</v>
      </c>
      <c r="P775" t="s">
        <v>894</v>
      </c>
      <c r="Q775" t="s">
        <v>463</v>
      </c>
      <c r="R775">
        <v>0</v>
      </c>
    </row>
    <row r="776" spans="1:18" x14ac:dyDescent="0.3">
      <c r="A776">
        <v>192007</v>
      </c>
      <c r="B776" t="s">
        <v>557</v>
      </c>
      <c r="C776" t="s">
        <v>863</v>
      </c>
      <c r="D776" t="s">
        <v>1316</v>
      </c>
      <c r="E776" s="451">
        <v>46152</v>
      </c>
      <c r="F776" s="451">
        <v>46172</v>
      </c>
      <c r="G776" t="s">
        <v>256</v>
      </c>
      <c r="H776" t="s">
        <v>257</v>
      </c>
      <c r="I776" t="s">
        <v>1318</v>
      </c>
      <c r="J776">
        <v>-29238</v>
      </c>
      <c r="K776">
        <v>-29238</v>
      </c>
      <c r="O776" t="s">
        <v>787</v>
      </c>
      <c r="P776" t="s">
        <v>894</v>
      </c>
      <c r="Q776" t="s">
        <v>463</v>
      </c>
      <c r="R776">
        <v>0</v>
      </c>
    </row>
    <row r="777" spans="1:18" x14ac:dyDescent="0.3">
      <c r="A777">
        <v>235936</v>
      </c>
      <c r="B777" t="s">
        <v>557</v>
      </c>
      <c r="C777" t="s">
        <v>1237</v>
      </c>
      <c r="E777" s="451">
        <v>46152</v>
      </c>
      <c r="F777" s="451">
        <v>46153</v>
      </c>
      <c r="G777" t="s">
        <v>279</v>
      </c>
      <c r="H777" t="s">
        <v>284</v>
      </c>
      <c r="I777" t="s">
        <v>1272</v>
      </c>
      <c r="J777">
        <v>-12.84</v>
      </c>
      <c r="K777">
        <v>-12.84</v>
      </c>
      <c r="O777" t="s">
        <v>787</v>
      </c>
      <c r="P777" t="s">
        <v>894</v>
      </c>
      <c r="Q777" t="s">
        <v>463</v>
      </c>
      <c r="R777">
        <v>0</v>
      </c>
    </row>
    <row r="778" spans="1:18" x14ac:dyDescent="0.3">
      <c r="A778">
        <v>235934</v>
      </c>
      <c r="B778" t="s">
        <v>557</v>
      </c>
      <c r="C778" t="s">
        <v>1237</v>
      </c>
      <c r="E778" s="451">
        <v>46151</v>
      </c>
      <c r="F778" s="451">
        <v>46152</v>
      </c>
      <c r="G778" t="s">
        <v>279</v>
      </c>
      <c r="H778" t="s">
        <v>284</v>
      </c>
      <c r="I778" t="s">
        <v>1272</v>
      </c>
      <c r="J778">
        <v>-1.35</v>
      </c>
      <c r="K778">
        <v>-1.35</v>
      </c>
      <c r="O778" t="s">
        <v>787</v>
      </c>
      <c r="P778" t="s">
        <v>894</v>
      </c>
      <c r="Q778" t="s">
        <v>463</v>
      </c>
      <c r="R778">
        <v>0</v>
      </c>
    </row>
    <row r="779" spans="1:18" x14ac:dyDescent="0.3">
      <c r="A779">
        <v>235935</v>
      </c>
      <c r="B779" t="s">
        <v>557</v>
      </c>
      <c r="C779" t="s">
        <v>1237</v>
      </c>
      <c r="E779" s="451">
        <v>46151</v>
      </c>
      <c r="F779" s="451">
        <v>46152</v>
      </c>
      <c r="G779" t="s">
        <v>279</v>
      </c>
      <c r="H779" t="s">
        <v>284</v>
      </c>
      <c r="I779" t="s">
        <v>1272</v>
      </c>
      <c r="J779">
        <v>-228.78</v>
      </c>
      <c r="K779">
        <v>-228.78</v>
      </c>
      <c r="O779" t="s">
        <v>787</v>
      </c>
      <c r="P779" t="s">
        <v>894</v>
      </c>
      <c r="Q779" t="s">
        <v>463</v>
      </c>
      <c r="R779">
        <v>0</v>
      </c>
    </row>
    <row r="780" spans="1:18" x14ac:dyDescent="0.3">
      <c r="A780">
        <v>235933</v>
      </c>
      <c r="B780" t="s">
        <v>557</v>
      </c>
      <c r="C780" t="s">
        <v>1237</v>
      </c>
      <c r="E780" s="451">
        <v>46150</v>
      </c>
      <c r="F780" s="451">
        <v>46151</v>
      </c>
      <c r="G780" t="s">
        <v>279</v>
      </c>
      <c r="H780" t="s">
        <v>284</v>
      </c>
      <c r="I780" t="s">
        <v>1272</v>
      </c>
      <c r="J780">
        <v>-58.92</v>
      </c>
      <c r="K780">
        <v>-58.92</v>
      </c>
      <c r="O780" t="s">
        <v>787</v>
      </c>
      <c r="P780" t="s">
        <v>894</v>
      </c>
      <c r="Q780" t="s">
        <v>463</v>
      </c>
      <c r="R780">
        <v>0</v>
      </c>
    </row>
    <row r="781" spans="1:18" x14ac:dyDescent="0.3">
      <c r="A781">
        <v>218780</v>
      </c>
      <c r="B781" t="s">
        <v>557</v>
      </c>
      <c r="C781" t="s">
        <v>1128</v>
      </c>
      <c r="D781" t="s">
        <v>1265</v>
      </c>
      <c r="E781" s="451">
        <v>46150</v>
      </c>
      <c r="F781" s="451">
        <v>46160</v>
      </c>
      <c r="G781" t="s">
        <v>569</v>
      </c>
      <c r="H781" t="s">
        <v>66</v>
      </c>
      <c r="I781" t="s">
        <v>1319</v>
      </c>
      <c r="J781">
        <v>-167</v>
      </c>
      <c r="K781">
        <v>-167</v>
      </c>
      <c r="O781" t="s">
        <v>787</v>
      </c>
      <c r="P781" t="s">
        <v>894</v>
      </c>
      <c r="Q781" t="s">
        <v>463</v>
      </c>
      <c r="R781">
        <v>0</v>
      </c>
    </row>
    <row r="782" spans="1:18" x14ac:dyDescent="0.3">
      <c r="A782">
        <v>235932</v>
      </c>
      <c r="B782" t="s">
        <v>557</v>
      </c>
      <c r="C782" t="s">
        <v>1237</v>
      </c>
      <c r="E782" s="451">
        <v>46149</v>
      </c>
      <c r="F782" s="451">
        <v>46150</v>
      </c>
      <c r="G782" t="s">
        <v>279</v>
      </c>
      <c r="H782" t="s">
        <v>284</v>
      </c>
      <c r="I782" t="s">
        <v>1272</v>
      </c>
      <c r="J782">
        <v>-72.599999999999994</v>
      </c>
      <c r="K782">
        <v>-72.599999999999994</v>
      </c>
      <c r="O782" t="s">
        <v>787</v>
      </c>
      <c r="P782" t="s">
        <v>894</v>
      </c>
      <c r="Q782" t="s">
        <v>463</v>
      </c>
      <c r="R782">
        <v>0</v>
      </c>
    </row>
    <row r="783" spans="1:18" x14ac:dyDescent="0.3">
      <c r="A783">
        <v>235931</v>
      </c>
      <c r="B783" t="s">
        <v>557</v>
      </c>
      <c r="C783" t="s">
        <v>1237</v>
      </c>
      <c r="E783" s="451">
        <v>46148</v>
      </c>
      <c r="F783" s="451">
        <v>46149</v>
      </c>
      <c r="G783" t="s">
        <v>279</v>
      </c>
      <c r="H783" t="s">
        <v>284</v>
      </c>
      <c r="I783" t="s">
        <v>1272</v>
      </c>
      <c r="J783">
        <v>-64.11</v>
      </c>
      <c r="K783">
        <v>-64.11</v>
      </c>
      <c r="O783" t="s">
        <v>787</v>
      </c>
      <c r="P783" t="s">
        <v>894</v>
      </c>
      <c r="Q783" t="s">
        <v>463</v>
      </c>
      <c r="R783">
        <v>0</v>
      </c>
    </row>
    <row r="784" spans="1:18" x14ac:dyDescent="0.3">
      <c r="A784">
        <v>231484</v>
      </c>
      <c r="B784" t="s">
        <v>557</v>
      </c>
      <c r="C784" t="s">
        <v>1320</v>
      </c>
      <c r="D784" t="s">
        <v>1321</v>
      </c>
      <c r="E784" s="451">
        <v>46148</v>
      </c>
      <c r="F784" s="451">
        <v>46163</v>
      </c>
      <c r="G784" t="s">
        <v>296</v>
      </c>
      <c r="H784" t="s">
        <v>304</v>
      </c>
      <c r="I784" t="s">
        <v>1322</v>
      </c>
      <c r="J784">
        <v>-63</v>
      </c>
      <c r="K784">
        <v>-63</v>
      </c>
      <c r="O784" t="s">
        <v>787</v>
      </c>
      <c r="P784" t="s">
        <v>894</v>
      </c>
      <c r="Q784" t="s">
        <v>463</v>
      </c>
      <c r="R784">
        <v>0</v>
      </c>
    </row>
    <row r="785" spans="1:18" x14ac:dyDescent="0.3">
      <c r="A785">
        <v>231487</v>
      </c>
      <c r="B785" t="s">
        <v>557</v>
      </c>
      <c r="C785" t="s">
        <v>1320</v>
      </c>
      <c r="D785" t="s">
        <v>1323</v>
      </c>
      <c r="E785" s="451">
        <v>46147</v>
      </c>
      <c r="F785" s="451">
        <v>46162</v>
      </c>
      <c r="G785" t="s">
        <v>296</v>
      </c>
      <c r="H785" t="s">
        <v>304</v>
      </c>
      <c r="I785" t="s">
        <v>1324</v>
      </c>
      <c r="J785">
        <v>-92</v>
      </c>
      <c r="K785">
        <v>-92</v>
      </c>
      <c r="O785" t="s">
        <v>787</v>
      </c>
      <c r="P785" t="s">
        <v>894</v>
      </c>
      <c r="Q785" t="s">
        <v>463</v>
      </c>
      <c r="R785">
        <v>0</v>
      </c>
    </row>
    <row r="786" spans="1:18" x14ac:dyDescent="0.3">
      <c r="A786">
        <v>235928</v>
      </c>
      <c r="B786" t="s">
        <v>557</v>
      </c>
      <c r="C786" t="s">
        <v>1237</v>
      </c>
      <c r="E786" s="451">
        <v>46147</v>
      </c>
      <c r="F786" s="451">
        <v>46148</v>
      </c>
      <c r="G786" t="s">
        <v>279</v>
      </c>
      <c r="H786" t="s">
        <v>284</v>
      </c>
      <c r="I786" t="s">
        <v>1272</v>
      </c>
      <c r="J786">
        <v>-44.18</v>
      </c>
      <c r="K786">
        <v>-44.18</v>
      </c>
      <c r="O786" t="s">
        <v>787</v>
      </c>
      <c r="P786" t="s">
        <v>894</v>
      </c>
      <c r="Q786" t="s">
        <v>463</v>
      </c>
      <c r="R786">
        <v>0</v>
      </c>
    </row>
    <row r="787" spans="1:18" x14ac:dyDescent="0.3">
      <c r="A787">
        <v>235929</v>
      </c>
      <c r="B787" t="s">
        <v>557</v>
      </c>
      <c r="C787" t="s">
        <v>1237</v>
      </c>
      <c r="E787" s="451">
        <v>46147</v>
      </c>
      <c r="F787" s="451">
        <v>46148</v>
      </c>
      <c r="G787" t="s">
        <v>279</v>
      </c>
      <c r="H787" t="s">
        <v>284</v>
      </c>
      <c r="I787" t="s">
        <v>1272</v>
      </c>
      <c r="J787">
        <v>-4.26</v>
      </c>
      <c r="K787">
        <v>-4.26</v>
      </c>
      <c r="O787" t="s">
        <v>787</v>
      </c>
      <c r="P787" t="s">
        <v>894</v>
      </c>
      <c r="Q787" t="s">
        <v>463</v>
      </c>
      <c r="R787">
        <v>0</v>
      </c>
    </row>
    <row r="788" spans="1:18" x14ac:dyDescent="0.3">
      <c r="A788">
        <v>235930</v>
      </c>
      <c r="B788" t="s">
        <v>557</v>
      </c>
      <c r="C788" t="s">
        <v>1237</v>
      </c>
      <c r="E788" s="451">
        <v>46147</v>
      </c>
      <c r="F788" s="451">
        <v>46148</v>
      </c>
      <c r="G788" t="s">
        <v>279</v>
      </c>
      <c r="H788" t="s">
        <v>284</v>
      </c>
      <c r="I788" t="s">
        <v>1272</v>
      </c>
      <c r="J788">
        <v>-0.78</v>
      </c>
      <c r="K788">
        <v>-0.78</v>
      </c>
      <c r="O788" t="s">
        <v>787</v>
      </c>
      <c r="P788" t="s">
        <v>894</v>
      </c>
      <c r="Q788" t="s">
        <v>463</v>
      </c>
      <c r="R788">
        <v>0</v>
      </c>
    </row>
    <row r="789" spans="1:18" x14ac:dyDescent="0.3">
      <c r="A789">
        <v>235927</v>
      </c>
      <c r="B789" t="s">
        <v>557</v>
      </c>
      <c r="C789" t="s">
        <v>1237</v>
      </c>
      <c r="E789" s="451">
        <v>46146</v>
      </c>
      <c r="F789" s="451">
        <v>46147</v>
      </c>
      <c r="G789" t="s">
        <v>279</v>
      </c>
      <c r="H789" t="s">
        <v>284</v>
      </c>
      <c r="I789" t="s">
        <v>1272</v>
      </c>
      <c r="J789">
        <v>-0.03</v>
      </c>
      <c r="K789">
        <v>-0.03</v>
      </c>
      <c r="O789" t="s">
        <v>787</v>
      </c>
      <c r="P789" t="s">
        <v>894</v>
      </c>
      <c r="Q789" t="s">
        <v>463</v>
      </c>
      <c r="R789">
        <v>0</v>
      </c>
    </row>
    <row r="790" spans="1:18" x14ac:dyDescent="0.3">
      <c r="A790">
        <v>231486</v>
      </c>
      <c r="B790" t="s">
        <v>557</v>
      </c>
      <c r="C790" t="s">
        <v>1320</v>
      </c>
      <c r="D790" t="s">
        <v>1325</v>
      </c>
      <c r="E790" s="451">
        <v>46146</v>
      </c>
      <c r="F790" s="451">
        <v>46161</v>
      </c>
      <c r="G790" t="s">
        <v>296</v>
      </c>
      <c r="H790" t="s">
        <v>304</v>
      </c>
      <c r="I790" t="s">
        <v>1326</v>
      </c>
      <c r="J790">
        <v>-400</v>
      </c>
      <c r="K790">
        <v>-400</v>
      </c>
      <c r="O790" t="s">
        <v>787</v>
      </c>
      <c r="P790" t="s">
        <v>894</v>
      </c>
      <c r="Q790" t="s">
        <v>463</v>
      </c>
      <c r="R790">
        <v>0</v>
      </c>
    </row>
    <row r="791" spans="1:18" x14ac:dyDescent="0.3">
      <c r="A791">
        <v>235926</v>
      </c>
      <c r="B791" t="s">
        <v>557</v>
      </c>
      <c r="C791" t="s">
        <v>1237</v>
      </c>
      <c r="E791" s="451">
        <v>46146</v>
      </c>
      <c r="F791" s="451">
        <v>46147</v>
      </c>
      <c r="G791" t="s">
        <v>279</v>
      </c>
      <c r="H791" t="s">
        <v>284</v>
      </c>
      <c r="I791" t="s">
        <v>1272</v>
      </c>
      <c r="J791">
        <v>-22.61</v>
      </c>
      <c r="K791">
        <v>-22.61</v>
      </c>
      <c r="O791" t="s">
        <v>787</v>
      </c>
      <c r="P791" t="s">
        <v>894</v>
      </c>
      <c r="Q791" t="s">
        <v>463</v>
      </c>
      <c r="R791">
        <v>0</v>
      </c>
    </row>
    <row r="792" spans="1:18" x14ac:dyDescent="0.3">
      <c r="A792">
        <v>222943</v>
      </c>
      <c r="B792" t="s">
        <v>557</v>
      </c>
      <c r="C792" t="s">
        <v>952</v>
      </c>
      <c r="D792" t="s">
        <v>1327</v>
      </c>
      <c r="E792" s="451">
        <v>46146</v>
      </c>
      <c r="F792" s="451">
        <v>46167</v>
      </c>
      <c r="G792" t="s">
        <v>569</v>
      </c>
      <c r="H792" t="s">
        <v>58</v>
      </c>
      <c r="I792" t="s">
        <v>1328</v>
      </c>
      <c r="J792">
        <v>-700</v>
      </c>
      <c r="K792">
        <v>-700</v>
      </c>
      <c r="O792" t="s">
        <v>787</v>
      </c>
      <c r="P792" t="s">
        <v>894</v>
      </c>
      <c r="Q792" t="s">
        <v>463</v>
      </c>
      <c r="R792">
        <v>0</v>
      </c>
    </row>
    <row r="793" spans="1:18" x14ac:dyDescent="0.3">
      <c r="A793">
        <v>235925</v>
      </c>
      <c r="B793" t="s">
        <v>557</v>
      </c>
      <c r="C793" t="s">
        <v>1237</v>
      </c>
      <c r="E793" s="451">
        <v>46145</v>
      </c>
      <c r="F793" s="451">
        <v>46146</v>
      </c>
      <c r="G793" t="s">
        <v>279</v>
      </c>
      <c r="H793" t="s">
        <v>284</v>
      </c>
      <c r="I793" t="s">
        <v>1272</v>
      </c>
      <c r="J793">
        <v>-33.590000000000003</v>
      </c>
      <c r="K793">
        <v>-33.590000000000003</v>
      </c>
      <c r="O793" t="s">
        <v>787</v>
      </c>
      <c r="P793" t="s">
        <v>894</v>
      </c>
      <c r="Q793" t="s">
        <v>463</v>
      </c>
      <c r="R793">
        <v>0</v>
      </c>
    </row>
    <row r="794" spans="1:18" x14ac:dyDescent="0.3">
      <c r="A794">
        <v>235924</v>
      </c>
      <c r="B794" t="s">
        <v>557</v>
      </c>
      <c r="C794" t="s">
        <v>1237</v>
      </c>
      <c r="E794" s="451">
        <v>46144</v>
      </c>
      <c r="F794" s="451">
        <v>46145</v>
      </c>
      <c r="G794" t="s">
        <v>279</v>
      </c>
      <c r="H794" t="s">
        <v>284</v>
      </c>
      <c r="I794" t="s">
        <v>1272</v>
      </c>
      <c r="J794">
        <v>-153.86000000000001</v>
      </c>
      <c r="K794">
        <v>-153.86000000000001</v>
      </c>
      <c r="O794" t="s">
        <v>787</v>
      </c>
      <c r="P794" t="s">
        <v>894</v>
      </c>
      <c r="Q794" t="s">
        <v>463</v>
      </c>
      <c r="R794">
        <v>0</v>
      </c>
    </row>
    <row r="795" spans="1:18" x14ac:dyDescent="0.3">
      <c r="A795">
        <v>229929</v>
      </c>
      <c r="B795" t="s">
        <v>557</v>
      </c>
      <c r="C795" t="s">
        <v>1234</v>
      </c>
      <c r="D795" t="s">
        <v>1329</v>
      </c>
      <c r="E795" s="451">
        <v>46144</v>
      </c>
      <c r="F795" s="451">
        <v>46152</v>
      </c>
      <c r="G795" t="s">
        <v>564</v>
      </c>
      <c r="H795" t="s">
        <v>565</v>
      </c>
      <c r="I795" t="s">
        <v>1330</v>
      </c>
      <c r="J795">
        <v>-1436.72</v>
      </c>
      <c r="K795">
        <v>-1436.72</v>
      </c>
      <c r="O795" t="s">
        <v>787</v>
      </c>
      <c r="P795" t="s">
        <v>894</v>
      </c>
      <c r="Q795" t="s">
        <v>463</v>
      </c>
      <c r="R795">
        <v>0</v>
      </c>
    </row>
    <row r="796" spans="1:18" x14ac:dyDescent="0.3">
      <c r="A796">
        <v>230646</v>
      </c>
      <c r="B796" t="s">
        <v>557</v>
      </c>
      <c r="C796" t="s">
        <v>49</v>
      </c>
      <c r="D796" t="s">
        <v>1331</v>
      </c>
      <c r="E796" s="451">
        <v>46143</v>
      </c>
      <c r="F796" s="451">
        <v>46153</v>
      </c>
      <c r="G796" t="s">
        <v>563</v>
      </c>
      <c r="H796" t="s">
        <v>49</v>
      </c>
      <c r="I796" t="s">
        <v>1332</v>
      </c>
      <c r="J796">
        <v>-6.29</v>
      </c>
      <c r="K796">
        <v>-6.29</v>
      </c>
      <c r="O796" t="s">
        <v>787</v>
      </c>
      <c r="P796" t="s">
        <v>894</v>
      </c>
      <c r="Q796" t="s">
        <v>463</v>
      </c>
      <c r="R796">
        <v>0</v>
      </c>
    </row>
    <row r="797" spans="1:18" x14ac:dyDescent="0.3">
      <c r="A797">
        <v>235090</v>
      </c>
      <c r="B797" t="s">
        <v>557</v>
      </c>
      <c r="C797" t="s">
        <v>1066</v>
      </c>
      <c r="D797" t="s">
        <v>1333</v>
      </c>
      <c r="E797" s="451">
        <v>46143</v>
      </c>
      <c r="F797" s="451">
        <v>46178</v>
      </c>
      <c r="G797" t="s">
        <v>264</v>
      </c>
      <c r="H797" t="s">
        <v>272</v>
      </c>
      <c r="I797" t="s">
        <v>1334</v>
      </c>
      <c r="J797">
        <v>-195</v>
      </c>
      <c r="K797">
        <v>-195</v>
      </c>
      <c r="O797" t="s">
        <v>787</v>
      </c>
      <c r="P797" t="s">
        <v>894</v>
      </c>
      <c r="Q797" t="s">
        <v>463</v>
      </c>
      <c r="R797">
        <v>0</v>
      </c>
    </row>
    <row r="798" spans="1:18" x14ac:dyDescent="0.3">
      <c r="A798">
        <v>234503</v>
      </c>
      <c r="B798" t="s">
        <v>557</v>
      </c>
      <c r="C798" t="s">
        <v>1066</v>
      </c>
      <c r="D798" t="s">
        <v>1335</v>
      </c>
      <c r="E798" s="451">
        <v>46143</v>
      </c>
      <c r="F798" s="451">
        <v>46178</v>
      </c>
      <c r="G798" t="s">
        <v>264</v>
      </c>
      <c r="H798" t="s">
        <v>268</v>
      </c>
      <c r="I798" t="s">
        <v>1336</v>
      </c>
      <c r="J798">
        <v>-16.899999999999999</v>
      </c>
      <c r="K798">
        <v>-16.899999999999999</v>
      </c>
      <c r="O798" t="s">
        <v>787</v>
      </c>
      <c r="P798" t="s">
        <v>894</v>
      </c>
      <c r="Q798" t="s">
        <v>463</v>
      </c>
      <c r="R798">
        <v>0</v>
      </c>
    </row>
    <row r="799" spans="1:18" x14ac:dyDescent="0.3">
      <c r="A799">
        <v>231480</v>
      </c>
      <c r="B799" t="s">
        <v>557</v>
      </c>
      <c r="C799" t="s">
        <v>943</v>
      </c>
      <c r="D799" t="s">
        <v>1337</v>
      </c>
      <c r="E799" s="451">
        <v>46143</v>
      </c>
      <c r="F799" s="451">
        <v>46160</v>
      </c>
      <c r="G799" t="s">
        <v>576</v>
      </c>
      <c r="H799" t="s">
        <v>203</v>
      </c>
      <c r="I799" t="s">
        <v>1338</v>
      </c>
      <c r="J799">
        <v>-451</v>
      </c>
      <c r="K799">
        <v>-451</v>
      </c>
      <c r="O799" t="s">
        <v>787</v>
      </c>
      <c r="P799" t="s">
        <v>894</v>
      </c>
      <c r="Q799" t="s">
        <v>463</v>
      </c>
      <c r="R799">
        <v>0</v>
      </c>
    </row>
    <row r="800" spans="1:18" x14ac:dyDescent="0.3">
      <c r="A800">
        <v>231481</v>
      </c>
      <c r="B800" t="s">
        <v>557</v>
      </c>
      <c r="C800" t="s">
        <v>888</v>
      </c>
      <c r="D800" t="s">
        <v>1339</v>
      </c>
      <c r="E800" s="451">
        <v>46143</v>
      </c>
      <c r="F800" s="451">
        <v>46160</v>
      </c>
      <c r="G800" t="s">
        <v>581</v>
      </c>
      <c r="H800" t="s">
        <v>291</v>
      </c>
      <c r="I800" t="s">
        <v>1340</v>
      </c>
      <c r="J800">
        <v>-73.599999999999994</v>
      </c>
      <c r="K800">
        <v>-73.599999999999994</v>
      </c>
      <c r="M800" t="s">
        <v>887</v>
      </c>
      <c r="N800" t="s">
        <v>131</v>
      </c>
      <c r="O800" t="s">
        <v>787</v>
      </c>
      <c r="P800" t="s">
        <v>894</v>
      </c>
      <c r="Q800" t="s">
        <v>463</v>
      </c>
      <c r="R800">
        <v>0</v>
      </c>
    </row>
    <row r="801" spans="1:18" x14ac:dyDescent="0.3">
      <c r="A801">
        <v>231482</v>
      </c>
      <c r="B801" t="s">
        <v>557</v>
      </c>
      <c r="C801" t="s">
        <v>888</v>
      </c>
      <c r="D801" t="s">
        <v>1339</v>
      </c>
      <c r="E801" s="451">
        <v>46143</v>
      </c>
      <c r="F801" s="451">
        <v>46160</v>
      </c>
      <c r="G801" t="s">
        <v>564</v>
      </c>
      <c r="H801" t="s">
        <v>565</v>
      </c>
      <c r="I801" t="s">
        <v>1341</v>
      </c>
      <c r="J801">
        <v>-153.84</v>
      </c>
      <c r="K801">
        <v>-153.84</v>
      </c>
      <c r="M801" t="s">
        <v>887</v>
      </c>
      <c r="N801" t="s">
        <v>131</v>
      </c>
      <c r="O801" t="s">
        <v>787</v>
      </c>
      <c r="P801" t="s">
        <v>894</v>
      </c>
      <c r="Q801" t="s">
        <v>463</v>
      </c>
      <c r="R801">
        <v>0</v>
      </c>
    </row>
    <row r="802" spans="1:18" x14ac:dyDescent="0.3">
      <c r="A802">
        <v>231483</v>
      </c>
      <c r="B802" t="s">
        <v>557</v>
      </c>
      <c r="C802" t="s">
        <v>818</v>
      </c>
      <c r="D802" t="s">
        <v>1342</v>
      </c>
      <c r="E802" s="451">
        <v>46143</v>
      </c>
      <c r="F802" s="451">
        <v>46160</v>
      </c>
      <c r="G802" t="s">
        <v>581</v>
      </c>
      <c r="H802" t="s">
        <v>288</v>
      </c>
      <c r="I802" t="s">
        <v>1343</v>
      </c>
      <c r="J802">
        <v>-350</v>
      </c>
      <c r="K802">
        <v>-350</v>
      </c>
      <c r="M802" t="s">
        <v>821</v>
      </c>
      <c r="N802" t="s">
        <v>133</v>
      </c>
      <c r="O802" t="s">
        <v>787</v>
      </c>
      <c r="P802" t="s">
        <v>894</v>
      </c>
      <c r="Q802" t="s">
        <v>463</v>
      </c>
      <c r="R802">
        <v>0</v>
      </c>
    </row>
    <row r="803" spans="1:18" x14ac:dyDescent="0.3">
      <c r="A803">
        <v>234506</v>
      </c>
      <c r="B803" t="s">
        <v>557</v>
      </c>
      <c r="C803" t="s">
        <v>1066</v>
      </c>
      <c r="D803" t="s">
        <v>1344</v>
      </c>
      <c r="E803" s="451">
        <v>46143</v>
      </c>
      <c r="F803" s="451">
        <v>46178</v>
      </c>
      <c r="G803" t="s">
        <v>264</v>
      </c>
      <c r="H803" t="s">
        <v>268</v>
      </c>
      <c r="I803" t="s">
        <v>1345</v>
      </c>
      <c r="J803">
        <v>-19.7</v>
      </c>
      <c r="K803">
        <v>-19.7</v>
      </c>
      <c r="O803" t="s">
        <v>787</v>
      </c>
      <c r="P803" t="s">
        <v>894</v>
      </c>
      <c r="Q803" t="s">
        <v>463</v>
      </c>
      <c r="R803">
        <v>0</v>
      </c>
    </row>
    <row r="804" spans="1:18" x14ac:dyDescent="0.3">
      <c r="A804">
        <v>234505</v>
      </c>
      <c r="B804" t="s">
        <v>557</v>
      </c>
      <c r="C804" t="s">
        <v>1066</v>
      </c>
      <c r="D804" t="s">
        <v>1346</v>
      </c>
      <c r="E804" s="451">
        <v>46143</v>
      </c>
      <c r="F804" s="451">
        <v>46178</v>
      </c>
      <c r="G804" t="s">
        <v>264</v>
      </c>
      <c r="H804" t="s">
        <v>272</v>
      </c>
      <c r="I804" t="s">
        <v>1347</v>
      </c>
      <c r="J804">
        <v>-175</v>
      </c>
      <c r="K804">
        <v>-175</v>
      </c>
      <c r="O804" t="s">
        <v>787</v>
      </c>
      <c r="P804" t="s">
        <v>894</v>
      </c>
      <c r="Q804" t="s">
        <v>463</v>
      </c>
      <c r="R804">
        <v>0</v>
      </c>
    </row>
    <row r="805" spans="1:18" x14ac:dyDescent="0.3">
      <c r="A805">
        <v>234504</v>
      </c>
      <c r="B805" t="s">
        <v>557</v>
      </c>
      <c r="C805" t="s">
        <v>1066</v>
      </c>
      <c r="D805" t="s">
        <v>1348</v>
      </c>
      <c r="E805" s="451">
        <v>46143</v>
      </c>
      <c r="F805" s="451">
        <v>46178</v>
      </c>
      <c r="G805" t="s">
        <v>264</v>
      </c>
      <c r="H805" t="s">
        <v>269</v>
      </c>
      <c r="I805" t="s">
        <v>1349</v>
      </c>
      <c r="J805">
        <v>-105</v>
      </c>
      <c r="K805">
        <v>-105</v>
      </c>
      <c r="O805" t="s">
        <v>787</v>
      </c>
      <c r="P805" t="s">
        <v>894</v>
      </c>
      <c r="Q805" t="s">
        <v>463</v>
      </c>
      <c r="R805">
        <v>0</v>
      </c>
    </row>
    <row r="806" spans="1:18" x14ac:dyDescent="0.3">
      <c r="A806">
        <v>231485</v>
      </c>
      <c r="B806" t="s">
        <v>557</v>
      </c>
      <c r="C806" t="s">
        <v>1320</v>
      </c>
      <c r="D806" t="s">
        <v>1350</v>
      </c>
      <c r="E806" s="451">
        <v>46143</v>
      </c>
      <c r="F806" s="451">
        <v>46160</v>
      </c>
      <c r="G806" t="s">
        <v>296</v>
      </c>
      <c r="H806" t="s">
        <v>304</v>
      </c>
      <c r="I806" t="s">
        <v>1351</v>
      </c>
      <c r="J806">
        <v>-260</v>
      </c>
      <c r="K806">
        <v>-260</v>
      </c>
      <c r="O806" t="s">
        <v>787</v>
      </c>
      <c r="P806" t="s">
        <v>894</v>
      </c>
      <c r="Q806" t="s">
        <v>463</v>
      </c>
      <c r="R806">
        <v>0</v>
      </c>
    </row>
    <row r="807" spans="1:18" x14ac:dyDescent="0.3">
      <c r="A807">
        <v>219486</v>
      </c>
      <c r="B807" t="s">
        <v>557</v>
      </c>
      <c r="C807" t="s">
        <v>259</v>
      </c>
      <c r="D807" t="s">
        <v>1352</v>
      </c>
      <c r="E807" s="451">
        <v>46143</v>
      </c>
      <c r="F807" s="451">
        <v>46157</v>
      </c>
      <c r="G807" t="s">
        <v>256</v>
      </c>
      <c r="H807" t="s">
        <v>259</v>
      </c>
      <c r="I807" t="s">
        <v>931</v>
      </c>
      <c r="J807">
        <v>-2086.58</v>
      </c>
      <c r="K807">
        <v>-2086.58</v>
      </c>
      <c r="O807" t="s">
        <v>787</v>
      </c>
      <c r="P807" t="s">
        <v>894</v>
      </c>
      <c r="Q807" t="s">
        <v>463</v>
      </c>
      <c r="R807">
        <v>0</v>
      </c>
    </row>
    <row r="808" spans="1:18" x14ac:dyDescent="0.3">
      <c r="A808">
        <v>232727</v>
      </c>
      <c r="B808" t="s">
        <v>557</v>
      </c>
      <c r="C808" t="s">
        <v>1105</v>
      </c>
      <c r="E808" s="451">
        <v>46143</v>
      </c>
      <c r="F808" s="451">
        <v>46162</v>
      </c>
      <c r="G808" t="s">
        <v>574</v>
      </c>
      <c r="H808" t="s">
        <v>575</v>
      </c>
      <c r="J808">
        <v>-1051.8</v>
      </c>
      <c r="K808">
        <v>-1051.8</v>
      </c>
      <c r="O808" t="s">
        <v>787</v>
      </c>
      <c r="P808" t="s">
        <v>894</v>
      </c>
      <c r="Q808" t="s">
        <v>463</v>
      </c>
      <c r="R808">
        <v>0</v>
      </c>
    </row>
    <row r="809" spans="1:18" x14ac:dyDescent="0.3">
      <c r="A809">
        <v>232728</v>
      </c>
      <c r="B809" t="s">
        <v>557</v>
      </c>
      <c r="C809" t="s">
        <v>1103</v>
      </c>
      <c r="E809" s="451">
        <v>46143</v>
      </c>
      <c r="F809" s="451">
        <v>46162</v>
      </c>
      <c r="G809" t="s">
        <v>574</v>
      </c>
      <c r="H809" t="s">
        <v>575</v>
      </c>
      <c r="J809">
        <v>-841.44</v>
      </c>
      <c r="K809">
        <v>-841.44</v>
      </c>
      <c r="O809" t="s">
        <v>787</v>
      </c>
      <c r="P809" t="s">
        <v>894</v>
      </c>
      <c r="Q809" t="s">
        <v>463</v>
      </c>
      <c r="R809">
        <v>0</v>
      </c>
    </row>
    <row r="810" spans="1:18" x14ac:dyDescent="0.3">
      <c r="A810">
        <v>232729</v>
      </c>
      <c r="B810" t="s">
        <v>557</v>
      </c>
      <c r="C810" t="s">
        <v>1125</v>
      </c>
      <c r="E810" s="451">
        <v>46143</v>
      </c>
      <c r="F810" s="451">
        <v>46162</v>
      </c>
      <c r="G810" t="s">
        <v>574</v>
      </c>
      <c r="H810" t="s">
        <v>575</v>
      </c>
      <c r="J810">
        <v>-841.44</v>
      </c>
      <c r="K810">
        <v>-841.44</v>
      </c>
      <c r="O810" t="s">
        <v>787</v>
      </c>
      <c r="P810" t="s">
        <v>894</v>
      </c>
      <c r="Q810" t="s">
        <v>463</v>
      </c>
      <c r="R810">
        <v>0</v>
      </c>
    </row>
    <row r="811" spans="1:18" x14ac:dyDescent="0.3">
      <c r="A811">
        <v>232730</v>
      </c>
      <c r="B811" t="s">
        <v>557</v>
      </c>
      <c r="C811" t="s">
        <v>1102</v>
      </c>
      <c r="E811" s="451">
        <v>46143</v>
      </c>
      <c r="F811" s="451">
        <v>46162</v>
      </c>
      <c r="G811" t="s">
        <v>574</v>
      </c>
      <c r="H811" t="s">
        <v>575</v>
      </c>
      <c r="J811">
        <v>-702.09</v>
      </c>
      <c r="K811">
        <v>-702.09</v>
      </c>
      <c r="O811" t="s">
        <v>787</v>
      </c>
      <c r="P811" t="s">
        <v>894</v>
      </c>
      <c r="Q811" t="s">
        <v>463</v>
      </c>
      <c r="R811">
        <v>0</v>
      </c>
    </row>
    <row r="812" spans="1:18" x14ac:dyDescent="0.3">
      <c r="A812">
        <v>232731</v>
      </c>
      <c r="B812" t="s">
        <v>557</v>
      </c>
      <c r="C812" t="s">
        <v>1115</v>
      </c>
      <c r="E812" s="451">
        <v>46143</v>
      </c>
      <c r="F812" s="451">
        <v>46162</v>
      </c>
      <c r="G812" t="s">
        <v>574</v>
      </c>
      <c r="H812" t="s">
        <v>575</v>
      </c>
      <c r="J812">
        <v>-944.02</v>
      </c>
      <c r="K812">
        <v>-944.02</v>
      </c>
      <c r="O812" t="s">
        <v>787</v>
      </c>
      <c r="P812" t="s">
        <v>894</v>
      </c>
      <c r="Q812" t="s">
        <v>463</v>
      </c>
      <c r="R812">
        <v>0</v>
      </c>
    </row>
    <row r="813" spans="1:18" x14ac:dyDescent="0.3">
      <c r="A813">
        <v>232732</v>
      </c>
      <c r="B813" t="s">
        <v>557</v>
      </c>
      <c r="C813" t="s">
        <v>1110</v>
      </c>
      <c r="E813" s="451">
        <v>46143</v>
      </c>
      <c r="F813" s="451">
        <v>46162</v>
      </c>
      <c r="G813" t="s">
        <v>574</v>
      </c>
      <c r="H813" t="s">
        <v>575</v>
      </c>
      <c r="J813">
        <v>-944.02</v>
      </c>
      <c r="K813">
        <v>-944.02</v>
      </c>
      <c r="O813" t="s">
        <v>787</v>
      </c>
      <c r="P813" t="s">
        <v>894</v>
      </c>
      <c r="Q813" t="s">
        <v>463</v>
      </c>
      <c r="R813">
        <v>0</v>
      </c>
    </row>
    <row r="814" spans="1:18" x14ac:dyDescent="0.3">
      <c r="A814">
        <v>232733</v>
      </c>
      <c r="B814" t="s">
        <v>557</v>
      </c>
      <c r="C814" t="s">
        <v>1116</v>
      </c>
      <c r="E814" s="451">
        <v>46143</v>
      </c>
      <c r="F814" s="451">
        <v>46162</v>
      </c>
      <c r="G814" t="s">
        <v>574</v>
      </c>
      <c r="H814" t="s">
        <v>575</v>
      </c>
      <c r="J814">
        <v>-944.02</v>
      </c>
      <c r="K814">
        <v>-944.02</v>
      </c>
      <c r="O814" t="s">
        <v>787</v>
      </c>
      <c r="P814" t="s">
        <v>894</v>
      </c>
      <c r="Q814" t="s">
        <v>463</v>
      </c>
      <c r="R814">
        <v>0</v>
      </c>
    </row>
    <row r="815" spans="1:18" x14ac:dyDescent="0.3">
      <c r="A815">
        <v>232734</v>
      </c>
      <c r="B815" t="s">
        <v>557</v>
      </c>
      <c r="C815" t="s">
        <v>1109</v>
      </c>
      <c r="E815" s="451">
        <v>46143</v>
      </c>
      <c r="F815" s="451">
        <v>46162</v>
      </c>
      <c r="G815" t="s">
        <v>574</v>
      </c>
      <c r="H815" t="s">
        <v>575</v>
      </c>
      <c r="J815">
        <v>-1485.88</v>
      </c>
      <c r="K815">
        <v>-1485.88</v>
      </c>
      <c r="O815" t="s">
        <v>787</v>
      </c>
      <c r="P815" t="s">
        <v>894</v>
      </c>
      <c r="Q815" t="s">
        <v>463</v>
      </c>
      <c r="R815">
        <v>0</v>
      </c>
    </row>
    <row r="816" spans="1:18" x14ac:dyDescent="0.3">
      <c r="A816">
        <v>232735</v>
      </c>
      <c r="B816" t="s">
        <v>557</v>
      </c>
      <c r="C816" t="s">
        <v>1104</v>
      </c>
      <c r="E816" s="451">
        <v>46143</v>
      </c>
      <c r="F816" s="451">
        <v>46162</v>
      </c>
      <c r="G816" t="s">
        <v>574</v>
      </c>
      <c r="H816" t="s">
        <v>575</v>
      </c>
      <c r="J816">
        <v>-701.2</v>
      </c>
      <c r="K816">
        <v>-701.2</v>
      </c>
      <c r="O816" t="s">
        <v>787</v>
      </c>
      <c r="P816" t="s">
        <v>894</v>
      </c>
      <c r="Q816" t="s">
        <v>463</v>
      </c>
      <c r="R816">
        <v>0</v>
      </c>
    </row>
    <row r="817" spans="1:18" x14ac:dyDescent="0.3">
      <c r="A817">
        <v>232736</v>
      </c>
      <c r="B817" t="s">
        <v>557</v>
      </c>
      <c r="C817" t="s">
        <v>1108</v>
      </c>
      <c r="E817" s="451">
        <v>46143</v>
      </c>
      <c r="F817" s="451">
        <v>46162</v>
      </c>
      <c r="G817" t="s">
        <v>574</v>
      </c>
      <c r="H817" t="s">
        <v>575</v>
      </c>
      <c r="J817">
        <v>-1082.29</v>
      </c>
      <c r="K817">
        <v>-1082.29</v>
      </c>
      <c r="O817" t="s">
        <v>787</v>
      </c>
      <c r="P817" t="s">
        <v>894</v>
      </c>
      <c r="Q817" t="s">
        <v>463</v>
      </c>
      <c r="R817">
        <v>0</v>
      </c>
    </row>
    <row r="818" spans="1:18" x14ac:dyDescent="0.3">
      <c r="A818">
        <v>232737</v>
      </c>
      <c r="B818" t="s">
        <v>557</v>
      </c>
      <c r="C818" t="s">
        <v>1114</v>
      </c>
      <c r="E818" s="451">
        <v>46143</v>
      </c>
      <c r="F818" s="451">
        <v>46162</v>
      </c>
      <c r="G818" t="s">
        <v>574</v>
      </c>
      <c r="H818" t="s">
        <v>575</v>
      </c>
      <c r="J818">
        <v>-841.44</v>
      </c>
      <c r="K818">
        <v>-841.44</v>
      </c>
      <c r="O818" t="s">
        <v>787</v>
      </c>
      <c r="P818" t="s">
        <v>894</v>
      </c>
      <c r="Q818" t="s">
        <v>463</v>
      </c>
      <c r="R818">
        <v>0</v>
      </c>
    </row>
    <row r="819" spans="1:18" x14ac:dyDescent="0.3">
      <c r="A819">
        <v>232738</v>
      </c>
      <c r="B819" t="s">
        <v>557</v>
      </c>
      <c r="C819" t="s">
        <v>1113</v>
      </c>
      <c r="E819" s="451">
        <v>46143</v>
      </c>
      <c r="F819" s="451">
        <v>46162</v>
      </c>
      <c r="G819" t="s">
        <v>574</v>
      </c>
      <c r="H819" t="s">
        <v>575</v>
      </c>
      <c r="J819">
        <v>-967.66</v>
      </c>
      <c r="K819">
        <v>-967.66</v>
      </c>
      <c r="O819" t="s">
        <v>787</v>
      </c>
      <c r="P819" t="s">
        <v>894</v>
      </c>
      <c r="Q819" t="s">
        <v>463</v>
      </c>
      <c r="R819">
        <v>0</v>
      </c>
    </row>
    <row r="820" spans="1:18" x14ac:dyDescent="0.3">
      <c r="A820">
        <v>232739</v>
      </c>
      <c r="B820" t="s">
        <v>557</v>
      </c>
      <c r="C820" t="s">
        <v>970</v>
      </c>
      <c r="E820" s="451">
        <v>46143</v>
      </c>
      <c r="F820" s="451">
        <v>46162</v>
      </c>
      <c r="G820" t="s">
        <v>574</v>
      </c>
      <c r="H820" t="s">
        <v>575</v>
      </c>
      <c r="J820">
        <v>-503.72</v>
      </c>
      <c r="K820">
        <v>-503.72</v>
      </c>
      <c r="O820" t="s">
        <v>787</v>
      </c>
      <c r="P820" t="s">
        <v>894</v>
      </c>
      <c r="Q820" t="s">
        <v>463</v>
      </c>
      <c r="R820">
        <v>0</v>
      </c>
    </row>
    <row r="821" spans="1:18" x14ac:dyDescent="0.3">
      <c r="A821">
        <v>233412</v>
      </c>
      <c r="B821" t="s">
        <v>557</v>
      </c>
      <c r="C821" t="s">
        <v>1353</v>
      </c>
      <c r="D821" t="s">
        <v>1354</v>
      </c>
      <c r="E821" s="451">
        <v>46143</v>
      </c>
      <c r="F821" s="451">
        <v>46170</v>
      </c>
      <c r="G821" t="s">
        <v>578</v>
      </c>
      <c r="H821" t="s">
        <v>239</v>
      </c>
      <c r="I821" t="s">
        <v>1355</v>
      </c>
      <c r="J821">
        <v>-168.84</v>
      </c>
      <c r="K821">
        <v>-168.84</v>
      </c>
      <c r="O821" t="s">
        <v>787</v>
      </c>
      <c r="P821" t="s">
        <v>894</v>
      </c>
      <c r="Q821" t="s">
        <v>463</v>
      </c>
      <c r="R821">
        <v>0</v>
      </c>
    </row>
    <row r="822" spans="1:18" x14ac:dyDescent="0.3">
      <c r="A822">
        <v>234502</v>
      </c>
      <c r="B822" t="s">
        <v>557</v>
      </c>
      <c r="C822" t="s">
        <v>1066</v>
      </c>
      <c r="D822" t="s">
        <v>1356</v>
      </c>
      <c r="E822" s="451">
        <v>46143</v>
      </c>
      <c r="F822" s="451">
        <v>46178</v>
      </c>
      <c r="G822" t="s">
        <v>564</v>
      </c>
      <c r="H822" t="s">
        <v>565</v>
      </c>
      <c r="I822" t="s">
        <v>1357</v>
      </c>
      <c r="J822">
        <v>-227.97</v>
      </c>
      <c r="K822">
        <v>-227.97</v>
      </c>
      <c r="O822" t="s">
        <v>787</v>
      </c>
      <c r="P822" t="s">
        <v>894</v>
      </c>
      <c r="Q822" t="s">
        <v>463</v>
      </c>
      <c r="R822">
        <v>0</v>
      </c>
    </row>
    <row r="823" spans="1:18" x14ac:dyDescent="0.3">
      <c r="A823">
        <v>219493</v>
      </c>
      <c r="B823" t="s">
        <v>557</v>
      </c>
      <c r="C823" t="s">
        <v>259</v>
      </c>
      <c r="D823" t="s">
        <v>1352</v>
      </c>
      <c r="E823" s="451">
        <v>46143</v>
      </c>
      <c r="F823" s="451">
        <v>46168</v>
      </c>
      <c r="G823" t="s">
        <v>256</v>
      </c>
      <c r="H823" t="s">
        <v>259</v>
      </c>
      <c r="I823" t="s">
        <v>930</v>
      </c>
      <c r="J823">
        <v>-1611.52</v>
      </c>
      <c r="K823">
        <v>-1611.52</v>
      </c>
      <c r="O823" t="s">
        <v>787</v>
      </c>
      <c r="P823" t="s">
        <v>894</v>
      </c>
      <c r="Q823" t="s">
        <v>463</v>
      </c>
      <c r="R823">
        <v>0</v>
      </c>
    </row>
    <row r="824" spans="1:18" x14ac:dyDescent="0.3">
      <c r="A824">
        <v>227728</v>
      </c>
      <c r="B824" t="s">
        <v>557</v>
      </c>
      <c r="C824" t="s">
        <v>868</v>
      </c>
      <c r="D824" t="s">
        <v>1358</v>
      </c>
      <c r="E824" s="451">
        <v>46143</v>
      </c>
      <c r="F824" s="451">
        <v>46178</v>
      </c>
      <c r="G824" t="s">
        <v>279</v>
      </c>
      <c r="H824" t="s">
        <v>286</v>
      </c>
      <c r="I824" t="s">
        <v>1359</v>
      </c>
      <c r="J824">
        <v>-436</v>
      </c>
      <c r="K824">
        <v>-436</v>
      </c>
      <c r="O824" t="s">
        <v>787</v>
      </c>
      <c r="P824" t="s">
        <v>894</v>
      </c>
      <c r="Q824" t="s">
        <v>463</v>
      </c>
      <c r="R824">
        <v>0</v>
      </c>
    </row>
    <row r="825" spans="1:18" x14ac:dyDescent="0.3">
      <c r="A825">
        <v>233676</v>
      </c>
      <c r="B825" t="s">
        <v>557</v>
      </c>
      <c r="C825" t="s">
        <v>886</v>
      </c>
      <c r="D825" t="s">
        <v>1360</v>
      </c>
      <c r="E825" s="451">
        <v>46143</v>
      </c>
      <c r="F825" s="451">
        <v>46191</v>
      </c>
      <c r="G825" t="s">
        <v>1119</v>
      </c>
      <c r="H825" t="s">
        <v>366</v>
      </c>
      <c r="I825" t="s">
        <v>1361</v>
      </c>
      <c r="J825">
        <v>-9936.1200000000008</v>
      </c>
      <c r="K825">
        <v>-9936.1200000000008</v>
      </c>
      <c r="M825" t="s">
        <v>887</v>
      </c>
      <c r="N825" t="s">
        <v>131</v>
      </c>
      <c r="O825" t="s">
        <v>787</v>
      </c>
      <c r="P825" t="s">
        <v>894</v>
      </c>
      <c r="Q825" t="s">
        <v>463</v>
      </c>
      <c r="R825">
        <v>0</v>
      </c>
    </row>
    <row r="826" spans="1:18" x14ac:dyDescent="0.3">
      <c r="A826">
        <v>233960</v>
      </c>
      <c r="B826" t="s">
        <v>557</v>
      </c>
      <c r="C826" t="s">
        <v>886</v>
      </c>
      <c r="D826" t="s">
        <v>1362</v>
      </c>
      <c r="E826" s="451">
        <v>46143</v>
      </c>
      <c r="F826" s="451">
        <v>46198</v>
      </c>
      <c r="G826" t="s">
        <v>572</v>
      </c>
      <c r="H826" t="s">
        <v>112</v>
      </c>
      <c r="I826" t="s">
        <v>1363</v>
      </c>
      <c r="J826">
        <v>-2240</v>
      </c>
      <c r="K826">
        <v>-2240</v>
      </c>
      <c r="M826" t="s">
        <v>887</v>
      </c>
      <c r="N826" t="s">
        <v>131</v>
      </c>
      <c r="O826" t="s">
        <v>787</v>
      </c>
      <c r="P826" t="s">
        <v>894</v>
      </c>
      <c r="Q826" t="s">
        <v>463</v>
      </c>
      <c r="R826">
        <v>0</v>
      </c>
    </row>
    <row r="827" spans="1:18" x14ac:dyDescent="0.3">
      <c r="A827">
        <v>227689</v>
      </c>
      <c r="B827" t="s">
        <v>557</v>
      </c>
      <c r="C827" t="s">
        <v>947</v>
      </c>
      <c r="D827" t="s">
        <v>948</v>
      </c>
      <c r="E827" s="451">
        <v>46143</v>
      </c>
      <c r="F827" s="451">
        <v>46150</v>
      </c>
      <c r="G827" t="s">
        <v>279</v>
      </c>
      <c r="H827" t="s">
        <v>283</v>
      </c>
      <c r="I827" t="s">
        <v>1364</v>
      </c>
      <c r="J827">
        <v>-536.73</v>
      </c>
      <c r="K827">
        <v>-536.73</v>
      </c>
      <c r="O827" t="s">
        <v>787</v>
      </c>
      <c r="P827" t="s">
        <v>894</v>
      </c>
      <c r="Q827" t="s">
        <v>463</v>
      </c>
      <c r="R827">
        <v>0</v>
      </c>
    </row>
    <row r="828" spans="1:18" x14ac:dyDescent="0.3">
      <c r="A828">
        <v>233961</v>
      </c>
      <c r="B828" t="s">
        <v>557</v>
      </c>
      <c r="C828" t="s">
        <v>882</v>
      </c>
      <c r="D828" t="s">
        <v>1365</v>
      </c>
      <c r="E828" s="451">
        <v>46143</v>
      </c>
      <c r="F828" s="451">
        <v>46198</v>
      </c>
      <c r="G828" t="s">
        <v>572</v>
      </c>
      <c r="H828" t="s">
        <v>112</v>
      </c>
      <c r="I828" t="s">
        <v>1363</v>
      </c>
      <c r="J828">
        <v>-2160</v>
      </c>
      <c r="K828">
        <v>-2160</v>
      </c>
      <c r="M828" t="s">
        <v>883</v>
      </c>
      <c r="N828" t="s">
        <v>135</v>
      </c>
      <c r="O828" t="s">
        <v>787</v>
      </c>
      <c r="P828" t="s">
        <v>894</v>
      </c>
      <c r="Q828" t="s">
        <v>463</v>
      </c>
      <c r="R828">
        <v>0</v>
      </c>
    </row>
    <row r="829" spans="1:18" x14ac:dyDescent="0.3">
      <c r="A829">
        <v>233962</v>
      </c>
      <c r="B829" t="s">
        <v>557</v>
      </c>
      <c r="C829" t="s">
        <v>818</v>
      </c>
      <c r="D829" t="s">
        <v>1366</v>
      </c>
      <c r="E829" s="451">
        <v>46143</v>
      </c>
      <c r="F829" s="451">
        <v>46198</v>
      </c>
      <c r="G829" t="s">
        <v>572</v>
      </c>
      <c r="H829" t="s">
        <v>112</v>
      </c>
      <c r="I829" t="s">
        <v>1363</v>
      </c>
      <c r="J829">
        <v>-1810</v>
      </c>
      <c r="K829">
        <v>-1810</v>
      </c>
      <c r="M829" t="s">
        <v>821</v>
      </c>
      <c r="N829" t="s">
        <v>133</v>
      </c>
      <c r="O829" t="s">
        <v>787</v>
      </c>
      <c r="P829" t="s">
        <v>894</v>
      </c>
      <c r="Q829" t="s">
        <v>463</v>
      </c>
      <c r="R829">
        <v>0</v>
      </c>
    </row>
    <row r="830" spans="1:18" x14ac:dyDescent="0.3">
      <c r="A830">
        <v>233963</v>
      </c>
      <c r="B830" t="s">
        <v>557</v>
      </c>
      <c r="C830" t="s">
        <v>879</v>
      </c>
      <c r="D830" t="s">
        <v>1367</v>
      </c>
      <c r="E830" s="451">
        <v>46143</v>
      </c>
      <c r="F830" s="451">
        <v>46198</v>
      </c>
      <c r="G830" t="s">
        <v>571</v>
      </c>
      <c r="H830" t="s">
        <v>75</v>
      </c>
      <c r="I830" t="s">
        <v>1368</v>
      </c>
      <c r="J830">
        <v>-471.25</v>
      </c>
      <c r="K830">
        <v>-471.25</v>
      </c>
      <c r="M830" t="s">
        <v>881</v>
      </c>
      <c r="N830" t="s">
        <v>73</v>
      </c>
      <c r="O830" t="s">
        <v>787</v>
      </c>
      <c r="P830" t="s">
        <v>894</v>
      </c>
      <c r="Q830" t="s">
        <v>463</v>
      </c>
      <c r="R830">
        <v>0</v>
      </c>
    </row>
    <row r="831" spans="1:18" x14ac:dyDescent="0.3">
      <c r="A831">
        <v>234498</v>
      </c>
      <c r="B831" t="s">
        <v>557</v>
      </c>
      <c r="C831" t="s">
        <v>1066</v>
      </c>
      <c r="D831" t="s">
        <v>1369</v>
      </c>
      <c r="E831" s="451">
        <v>46143</v>
      </c>
      <c r="F831" s="451">
        <v>46178</v>
      </c>
      <c r="G831" t="s">
        <v>264</v>
      </c>
      <c r="H831" t="s">
        <v>269</v>
      </c>
      <c r="I831" t="s">
        <v>1349</v>
      </c>
      <c r="J831">
        <v>-66.69</v>
      </c>
      <c r="K831">
        <v>-66.69</v>
      </c>
      <c r="O831" t="s">
        <v>787</v>
      </c>
      <c r="P831" t="s">
        <v>894</v>
      </c>
      <c r="Q831" t="s">
        <v>463</v>
      </c>
      <c r="R831">
        <v>0</v>
      </c>
    </row>
    <row r="832" spans="1:18" x14ac:dyDescent="0.3">
      <c r="A832">
        <v>220638</v>
      </c>
      <c r="B832" t="s">
        <v>557</v>
      </c>
      <c r="C832" t="s">
        <v>866</v>
      </c>
      <c r="D832" t="s">
        <v>1370</v>
      </c>
      <c r="E832" s="451">
        <v>46143</v>
      </c>
      <c r="F832" s="451">
        <v>46152</v>
      </c>
      <c r="G832" t="s">
        <v>578</v>
      </c>
      <c r="H832" t="s">
        <v>240</v>
      </c>
      <c r="I832" t="s">
        <v>867</v>
      </c>
      <c r="J832">
        <v>-1545.49</v>
      </c>
      <c r="K832">
        <v>0</v>
      </c>
      <c r="O832" t="s">
        <v>787</v>
      </c>
      <c r="P832" t="s">
        <v>894</v>
      </c>
      <c r="Q832" t="s">
        <v>463</v>
      </c>
      <c r="R832">
        <v>0</v>
      </c>
    </row>
    <row r="833" spans="1:18" x14ac:dyDescent="0.3">
      <c r="A833">
        <v>234499</v>
      </c>
      <c r="B833" t="s">
        <v>557</v>
      </c>
      <c r="C833" t="s">
        <v>1066</v>
      </c>
      <c r="D833" t="s">
        <v>1371</v>
      </c>
      <c r="E833" s="451">
        <v>46143</v>
      </c>
      <c r="F833" s="451">
        <v>46178</v>
      </c>
      <c r="G833" t="s">
        <v>564</v>
      </c>
      <c r="H833" t="s">
        <v>565</v>
      </c>
      <c r="I833" t="s">
        <v>1372</v>
      </c>
      <c r="J833">
        <v>-59.74</v>
      </c>
      <c r="K833">
        <v>-59.74</v>
      </c>
      <c r="O833" t="s">
        <v>787</v>
      </c>
      <c r="P833" t="s">
        <v>894</v>
      </c>
      <c r="Q833" t="s">
        <v>463</v>
      </c>
      <c r="R833">
        <v>0</v>
      </c>
    </row>
    <row r="834" spans="1:18" x14ac:dyDescent="0.3">
      <c r="A834">
        <v>234500</v>
      </c>
      <c r="B834" t="s">
        <v>557</v>
      </c>
      <c r="C834" t="s">
        <v>1066</v>
      </c>
      <c r="D834" t="s">
        <v>1373</v>
      </c>
      <c r="E834" s="451">
        <v>46143</v>
      </c>
      <c r="F834" s="451">
        <v>46178</v>
      </c>
      <c r="G834" t="s">
        <v>264</v>
      </c>
      <c r="H834" t="s">
        <v>272</v>
      </c>
      <c r="I834" t="s">
        <v>1374</v>
      </c>
      <c r="J834">
        <v>-70</v>
      </c>
      <c r="K834">
        <v>-70</v>
      </c>
      <c r="O834" t="s">
        <v>787</v>
      </c>
      <c r="P834" t="s">
        <v>894</v>
      </c>
      <c r="Q834" t="s">
        <v>463</v>
      </c>
      <c r="R834">
        <v>0</v>
      </c>
    </row>
    <row r="835" spans="1:18" x14ac:dyDescent="0.3">
      <c r="A835">
        <v>234501</v>
      </c>
      <c r="B835" t="s">
        <v>557</v>
      </c>
      <c r="C835" t="s">
        <v>1066</v>
      </c>
      <c r="D835" t="s">
        <v>1375</v>
      </c>
      <c r="E835" s="451">
        <v>46143</v>
      </c>
      <c r="F835" s="451">
        <v>46178</v>
      </c>
      <c r="G835" t="s">
        <v>264</v>
      </c>
      <c r="H835" t="s">
        <v>272</v>
      </c>
      <c r="I835" t="s">
        <v>1376</v>
      </c>
      <c r="J835">
        <v>-138.85</v>
      </c>
      <c r="K835">
        <v>-138.85</v>
      </c>
      <c r="O835" t="s">
        <v>787</v>
      </c>
      <c r="P835" t="s">
        <v>894</v>
      </c>
      <c r="Q835" t="s">
        <v>463</v>
      </c>
      <c r="R835">
        <v>0</v>
      </c>
    </row>
    <row r="836" spans="1:18" x14ac:dyDescent="0.3">
      <c r="A836">
        <v>236738</v>
      </c>
      <c r="B836" t="s">
        <v>557</v>
      </c>
      <c r="C836" t="s">
        <v>1113</v>
      </c>
      <c r="E836" s="451">
        <v>46143</v>
      </c>
      <c r="F836" s="451">
        <v>46178</v>
      </c>
      <c r="G836" t="s">
        <v>574</v>
      </c>
      <c r="H836" t="s">
        <v>575</v>
      </c>
      <c r="J836">
        <v>-1896.18</v>
      </c>
      <c r="K836">
        <v>-1896.18</v>
      </c>
      <c r="O836" t="s">
        <v>787</v>
      </c>
      <c r="P836" t="s">
        <v>894</v>
      </c>
      <c r="Q836" t="s">
        <v>463</v>
      </c>
      <c r="R836">
        <v>0</v>
      </c>
    </row>
    <row r="837" spans="1:18" x14ac:dyDescent="0.3">
      <c r="A837">
        <v>235096</v>
      </c>
      <c r="B837" t="s">
        <v>557</v>
      </c>
      <c r="C837" t="s">
        <v>1066</v>
      </c>
      <c r="D837" t="s">
        <v>1377</v>
      </c>
      <c r="E837" s="451">
        <v>46143</v>
      </c>
      <c r="F837" s="451">
        <v>46178</v>
      </c>
      <c r="G837" t="s">
        <v>578</v>
      </c>
      <c r="H837" t="s">
        <v>246</v>
      </c>
      <c r="I837" t="s">
        <v>1378</v>
      </c>
      <c r="J837">
        <v>-43.8</v>
      </c>
      <c r="K837">
        <v>-43.8</v>
      </c>
      <c r="O837" t="s">
        <v>787</v>
      </c>
      <c r="P837" t="s">
        <v>894</v>
      </c>
      <c r="Q837" t="s">
        <v>463</v>
      </c>
      <c r="R837">
        <v>0</v>
      </c>
    </row>
    <row r="838" spans="1:18" x14ac:dyDescent="0.3">
      <c r="A838">
        <v>235097</v>
      </c>
      <c r="B838" t="s">
        <v>557</v>
      </c>
      <c r="C838" t="s">
        <v>1066</v>
      </c>
      <c r="D838" t="s">
        <v>1379</v>
      </c>
      <c r="E838" s="451">
        <v>46143</v>
      </c>
      <c r="F838" s="451">
        <v>46178</v>
      </c>
      <c r="G838" t="s">
        <v>578</v>
      </c>
      <c r="H838" t="s">
        <v>246</v>
      </c>
      <c r="I838" t="s">
        <v>1380</v>
      </c>
      <c r="J838">
        <v>-124</v>
      </c>
      <c r="K838">
        <v>-124</v>
      </c>
      <c r="O838" t="s">
        <v>787</v>
      </c>
      <c r="P838" t="s">
        <v>894</v>
      </c>
      <c r="Q838" t="s">
        <v>463</v>
      </c>
      <c r="R838">
        <v>0</v>
      </c>
    </row>
    <row r="839" spans="1:18" x14ac:dyDescent="0.3">
      <c r="A839">
        <v>229611</v>
      </c>
      <c r="B839" t="s">
        <v>557</v>
      </c>
      <c r="C839" t="s">
        <v>1381</v>
      </c>
      <c r="D839" t="s">
        <v>1382</v>
      </c>
      <c r="E839" s="451">
        <v>46143</v>
      </c>
      <c r="F839" s="451">
        <v>46148</v>
      </c>
      <c r="G839" t="s">
        <v>577</v>
      </c>
      <c r="H839" t="s">
        <v>215</v>
      </c>
      <c r="I839" t="s">
        <v>1383</v>
      </c>
      <c r="J839">
        <v>-4934.97</v>
      </c>
      <c r="K839">
        <v>-4934.97</v>
      </c>
      <c r="O839" t="s">
        <v>787</v>
      </c>
      <c r="P839" t="s">
        <v>894</v>
      </c>
      <c r="Q839" t="s">
        <v>463</v>
      </c>
      <c r="R839">
        <v>0</v>
      </c>
    </row>
    <row r="840" spans="1:18" x14ac:dyDescent="0.3">
      <c r="A840">
        <v>235099</v>
      </c>
      <c r="B840" t="s">
        <v>557</v>
      </c>
      <c r="C840" t="s">
        <v>1066</v>
      </c>
      <c r="D840" t="s">
        <v>1384</v>
      </c>
      <c r="E840" s="451">
        <v>46143</v>
      </c>
      <c r="F840" s="451">
        <v>46178</v>
      </c>
      <c r="G840" t="s">
        <v>581</v>
      </c>
      <c r="H840" t="s">
        <v>291</v>
      </c>
      <c r="I840" t="s">
        <v>1385</v>
      </c>
      <c r="J840">
        <v>-68.739999999999995</v>
      </c>
      <c r="K840">
        <v>-68.739999999999995</v>
      </c>
      <c r="O840" t="s">
        <v>787</v>
      </c>
      <c r="P840" t="s">
        <v>894</v>
      </c>
      <c r="Q840" t="s">
        <v>463</v>
      </c>
      <c r="R840">
        <v>0</v>
      </c>
    </row>
    <row r="841" spans="1:18" x14ac:dyDescent="0.3">
      <c r="A841">
        <v>235920</v>
      </c>
      <c r="B841" t="s">
        <v>557</v>
      </c>
      <c r="C841" t="s">
        <v>1237</v>
      </c>
      <c r="E841" s="451">
        <v>46143</v>
      </c>
      <c r="F841" s="451">
        <v>46143</v>
      </c>
      <c r="G841" t="s">
        <v>279</v>
      </c>
      <c r="H841" t="s">
        <v>284</v>
      </c>
      <c r="I841" t="s">
        <v>1386</v>
      </c>
      <c r="J841">
        <v>-20</v>
      </c>
      <c r="K841">
        <v>-20</v>
      </c>
      <c r="O841" t="s">
        <v>787</v>
      </c>
      <c r="P841" t="s">
        <v>894</v>
      </c>
      <c r="Q841" t="s">
        <v>463</v>
      </c>
      <c r="R841">
        <v>0</v>
      </c>
    </row>
    <row r="842" spans="1:18" x14ac:dyDescent="0.3">
      <c r="A842">
        <v>235921</v>
      </c>
      <c r="B842" t="s">
        <v>557</v>
      </c>
      <c r="C842" t="s">
        <v>1237</v>
      </c>
      <c r="E842" s="451">
        <v>46143</v>
      </c>
      <c r="F842" s="451">
        <v>46143</v>
      </c>
      <c r="G842" t="s">
        <v>279</v>
      </c>
      <c r="H842" t="s">
        <v>284</v>
      </c>
      <c r="I842" t="s">
        <v>1387</v>
      </c>
      <c r="J842">
        <v>-200</v>
      </c>
      <c r="K842">
        <v>-200</v>
      </c>
      <c r="O842" t="s">
        <v>787</v>
      </c>
      <c r="P842" t="s">
        <v>894</v>
      </c>
      <c r="Q842" t="s">
        <v>463</v>
      </c>
      <c r="R842">
        <v>0</v>
      </c>
    </row>
    <row r="843" spans="1:18" x14ac:dyDescent="0.3">
      <c r="A843">
        <v>235922</v>
      </c>
      <c r="B843" t="s">
        <v>557</v>
      </c>
      <c r="C843" t="s">
        <v>1237</v>
      </c>
      <c r="E843" s="451">
        <v>46143</v>
      </c>
      <c r="F843" s="451">
        <v>46143</v>
      </c>
      <c r="G843" t="s">
        <v>279</v>
      </c>
      <c r="H843" t="s">
        <v>284</v>
      </c>
      <c r="I843" t="s">
        <v>1388</v>
      </c>
      <c r="J843">
        <v>-260</v>
      </c>
      <c r="K843">
        <v>-260</v>
      </c>
      <c r="O843" t="s">
        <v>787</v>
      </c>
      <c r="P843" t="s">
        <v>894</v>
      </c>
      <c r="Q843" t="s">
        <v>463</v>
      </c>
      <c r="R843">
        <v>0</v>
      </c>
    </row>
    <row r="844" spans="1:18" x14ac:dyDescent="0.3">
      <c r="A844">
        <v>235923</v>
      </c>
      <c r="B844" t="s">
        <v>557</v>
      </c>
      <c r="C844" t="s">
        <v>1237</v>
      </c>
      <c r="E844" s="451">
        <v>46143</v>
      </c>
      <c r="F844" s="451">
        <v>46144</v>
      </c>
      <c r="G844" t="s">
        <v>279</v>
      </c>
      <c r="H844" t="s">
        <v>284</v>
      </c>
      <c r="I844" t="s">
        <v>1272</v>
      </c>
      <c r="J844">
        <v>-161.97</v>
      </c>
      <c r="K844">
        <v>-161.97</v>
      </c>
      <c r="O844" t="s">
        <v>787</v>
      </c>
      <c r="P844" t="s">
        <v>894</v>
      </c>
      <c r="Q844" t="s">
        <v>463</v>
      </c>
      <c r="R844">
        <v>0</v>
      </c>
    </row>
    <row r="845" spans="1:18" x14ac:dyDescent="0.3">
      <c r="A845">
        <v>229931</v>
      </c>
      <c r="B845" t="s">
        <v>557</v>
      </c>
      <c r="C845" t="s">
        <v>1063</v>
      </c>
      <c r="D845" t="s">
        <v>1389</v>
      </c>
      <c r="E845" s="451">
        <v>46143</v>
      </c>
      <c r="F845" s="451">
        <v>46157</v>
      </c>
      <c r="G845" t="s">
        <v>296</v>
      </c>
      <c r="H845" t="s">
        <v>303</v>
      </c>
      <c r="I845" t="s">
        <v>1390</v>
      </c>
      <c r="J845">
        <v>-2000</v>
      </c>
      <c r="K845">
        <v>-2000</v>
      </c>
      <c r="O845" t="s">
        <v>787</v>
      </c>
      <c r="P845" t="s">
        <v>894</v>
      </c>
      <c r="Q845" t="s">
        <v>463</v>
      </c>
      <c r="R845">
        <v>0</v>
      </c>
    </row>
    <row r="846" spans="1:18" x14ac:dyDescent="0.3">
      <c r="A846">
        <v>229958</v>
      </c>
      <c r="B846" t="s">
        <v>557</v>
      </c>
      <c r="C846" t="s">
        <v>1391</v>
      </c>
      <c r="D846" t="s">
        <v>1208</v>
      </c>
      <c r="E846" s="451">
        <v>46143</v>
      </c>
      <c r="F846" s="451">
        <v>46157</v>
      </c>
      <c r="G846" t="s">
        <v>581</v>
      </c>
      <c r="H846" t="s">
        <v>289</v>
      </c>
      <c r="I846" t="s">
        <v>1392</v>
      </c>
      <c r="J846">
        <v>-955.8</v>
      </c>
      <c r="K846">
        <v>-955.8</v>
      </c>
      <c r="O846" t="s">
        <v>787</v>
      </c>
      <c r="P846" t="s">
        <v>894</v>
      </c>
      <c r="Q846" t="s">
        <v>463</v>
      </c>
      <c r="R846">
        <v>0</v>
      </c>
    </row>
    <row r="847" spans="1:18" x14ac:dyDescent="0.3">
      <c r="A847">
        <v>236734</v>
      </c>
      <c r="B847" t="s">
        <v>557</v>
      </c>
      <c r="C847" t="s">
        <v>1117</v>
      </c>
      <c r="E847" s="451">
        <v>46143</v>
      </c>
      <c r="F847" s="451">
        <v>46178</v>
      </c>
      <c r="G847" t="s">
        <v>574</v>
      </c>
      <c r="H847" t="s">
        <v>575</v>
      </c>
      <c r="J847">
        <v>-1121.17</v>
      </c>
      <c r="K847">
        <v>-1121.17</v>
      </c>
      <c r="O847" t="s">
        <v>787</v>
      </c>
      <c r="P847" t="s">
        <v>894</v>
      </c>
      <c r="Q847" t="s">
        <v>463</v>
      </c>
      <c r="R847">
        <v>0</v>
      </c>
    </row>
    <row r="848" spans="1:18" x14ac:dyDescent="0.3">
      <c r="A848">
        <v>236735</v>
      </c>
      <c r="B848" t="s">
        <v>557</v>
      </c>
      <c r="C848" t="s">
        <v>1116</v>
      </c>
      <c r="E848" s="451">
        <v>46143</v>
      </c>
      <c r="F848" s="451">
        <v>46178</v>
      </c>
      <c r="G848" t="s">
        <v>574</v>
      </c>
      <c r="H848" t="s">
        <v>575</v>
      </c>
      <c r="J848">
        <v>-2380.98</v>
      </c>
      <c r="K848">
        <v>-2380.98</v>
      </c>
      <c r="O848" t="s">
        <v>787</v>
      </c>
      <c r="P848" t="s">
        <v>894</v>
      </c>
      <c r="Q848" t="s">
        <v>463</v>
      </c>
      <c r="R848">
        <v>0</v>
      </c>
    </row>
    <row r="849" spans="1:18" x14ac:dyDescent="0.3">
      <c r="A849">
        <v>236736</v>
      </c>
      <c r="B849" t="s">
        <v>557</v>
      </c>
      <c r="C849" t="s">
        <v>1115</v>
      </c>
      <c r="E849" s="451">
        <v>46143</v>
      </c>
      <c r="F849" s="451">
        <v>46178</v>
      </c>
      <c r="G849" t="s">
        <v>574</v>
      </c>
      <c r="H849" t="s">
        <v>575</v>
      </c>
      <c r="J849">
        <v>-2338.12</v>
      </c>
      <c r="K849">
        <v>-2338.12</v>
      </c>
      <c r="O849" t="s">
        <v>787</v>
      </c>
      <c r="P849" t="s">
        <v>894</v>
      </c>
      <c r="Q849" t="s">
        <v>463</v>
      </c>
      <c r="R849">
        <v>0</v>
      </c>
    </row>
    <row r="850" spans="1:18" x14ac:dyDescent="0.3">
      <c r="A850">
        <v>236737</v>
      </c>
      <c r="B850" t="s">
        <v>557</v>
      </c>
      <c r="C850" t="s">
        <v>1114</v>
      </c>
      <c r="E850" s="451">
        <v>46143</v>
      </c>
      <c r="F850" s="451">
        <v>46178</v>
      </c>
      <c r="G850" t="s">
        <v>574</v>
      </c>
      <c r="H850" t="s">
        <v>575</v>
      </c>
      <c r="J850">
        <v>-3098.71</v>
      </c>
      <c r="K850">
        <v>-3098.71</v>
      </c>
      <c r="O850" t="s">
        <v>787</v>
      </c>
      <c r="P850" t="s">
        <v>894</v>
      </c>
      <c r="Q850" t="s">
        <v>463</v>
      </c>
      <c r="R850">
        <v>0</v>
      </c>
    </row>
    <row r="851" spans="1:18" x14ac:dyDescent="0.3">
      <c r="A851">
        <v>229607</v>
      </c>
      <c r="B851" t="s">
        <v>557</v>
      </c>
      <c r="C851" t="s">
        <v>1106</v>
      </c>
      <c r="D851" t="s">
        <v>1393</v>
      </c>
      <c r="E851" s="451">
        <v>46143</v>
      </c>
      <c r="F851" s="451">
        <v>46148</v>
      </c>
      <c r="G851" t="s">
        <v>577</v>
      </c>
      <c r="H851" t="s">
        <v>215</v>
      </c>
      <c r="I851" t="s">
        <v>1394</v>
      </c>
      <c r="J851">
        <v>-4292.09</v>
      </c>
      <c r="K851">
        <v>-4292.09</v>
      </c>
      <c r="O851" t="s">
        <v>787</v>
      </c>
      <c r="P851" t="s">
        <v>894</v>
      </c>
      <c r="Q851" t="s">
        <v>463</v>
      </c>
      <c r="R851">
        <v>0</v>
      </c>
    </row>
    <row r="852" spans="1:18" x14ac:dyDescent="0.3">
      <c r="A852">
        <v>236739</v>
      </c>
      <c r="B852" t="s">
        <v>557</v>
      </c>
      <c r="C852" t="s">
        <v>970</v>
      </c>
      <c r="E852" s="451">
        <v>46143</v>
      </c>
      <c r="F852" s="451">
        <v>46178</v>
      </c>
      <c r="G852" t="s">
        <v>574</v>
      </c>
      <c r="H852" t="s">
        <v>575</v>
      </c>
      <c r="J852">
        <v>-3757.79</v>
      </c>
      <c r="K852">
        <v>-3757.79</v>
      </c>
      <c r="O852" t="s">
        <v>787</v>
      </c>
      <c r="P852" t="s">
        <v>894</v>
      </c>
      <c r="Q852" t="s">
        <v>463</v>
      </c>
      <c r="R852">
        <v>0</v>
      </c>
    </row>
    <row r="853" spans="1:18" x14ac:dyDescent="0.3">
      <c r="A853">
        <v>236740</v>
      </c>
      <c r="B853" t="s">
        <v>557</v>
      </c>
      <c r="C853" t="s">
        <v>1102</v>
      </c>
      <c r="E853" s="451">
        <v>46143</v>
      </c>
      <c r="F853" s="451">
        <v>46178</v>
      </c>
      <c r="G853" t="s">
        <v>574</v>
      </c>
      <c r="H853" t="s">
        <v>575</v>
      </c>
      <c r="J853">
        <v>-2945.09</v>
      </c>
      <c r="K853">
        <v>-2945.09</v>
      </c>
      <c r="O853" t="s">
        <v>787</v>
      </c>
      <c r="P853" t="s">
        <v>894</v>
      </c>
      <c r="Q853" t="s">
        <v>463</v>
      </c>
      <c r="R853">
        <v>0</v>
      </c>
    </row>
    <row r="854" spans="1:18" x14ac:dyDescent="0.3">
      <c r="A854">
        <v>236741</v>
      </c>
      <c r="B854" t="s">
        <v>557</v>
      </c>
      <c r="C854" t="s">
        <v>1110</v>
      </c>
      <c r="E854" s="451">
        <v>46143</v>
      </c>
      <c r="F854" s="451">
        <v>46178</v>
      </c>
      <c r="G854" t="s">
        <v>574</v>
      </c>
      <c r="H854" t="s">
        <v>575</v>
      </c>
      <c r="J854">
        <v>-2273.39</v>
      </c>
      <c r="K854">
        <v>-2273.39</v>
      </c>
      <c r="O854" t="s">
        <v>787</v>
      </c>
      <c r="P854" t="s">
        <v>894</v>
      </c>
      <c r="Q854" t="s">
        <v>463</v>
      </c>
      <c r="R854">
        <v>0</v>
      </c>
    </row>
    <row r="855" spans="1:18" x14ac:dyDescent="0.3">
      <c r="A855">
        <v>236742</v>
      </c>
      <c r="B855" t="s">
        <v>557</v>
      </c>
      <c r="C855" t="s">
        <v>1109</v>
      </c>
      <c r="E855" s="451">
        <v>46143</v>
      </c>
      <c r="F855" s="451">
        <v>46178</v>
      </c>
      <c r="G855" t="s">
        <v>574</v>
      </c>
      <c r="H855" t="s">
        <v>575</v>
      </c>
      <c r="J855">
        <v>-2986.81</v>
      </c>
      <c r="K855">
        <v>-2986.81</v>
      </c>
      <c r="O855" t="s">
        <v>787</v>
      </c>
      <c r="P855" t="s">
        <v>894</v>
      </c>
      <c r="Q855" t="s">
        <v>463</v>
      </c>
      <c r="R855">
        <v>0</v>
      </c>
    </row>
    <row r="856" spans="1:18" x14ac:dyDescent="0.3">
      <c r="A856">
        <v>236743</v>
      </c>
      <c r="B856" t="s">
        <v>557</v>
      </c>
      <c r="C856" t="s">
        <v>1108</v>
      </c>
      <c r="E856" s="451">
        <v>46143</v>
      </c>
      <c r="F856" s="451">
        <v>46178</v>
      </c>
      <c r="G856" t="s">
        <v>574</v>
      </c>
      <c r="H856" t="s">
        <v>575</v>
      </c>
      <c r="J856">
        <v>-3256.4</v>
      </c>
      <c r="K856">
        <v>-3256.4</v>
      </c>
      <c r="O856" t="s">
        <v>787</v>
      </c>
      <c r="P856" t="s">
        <v>894</v>
      </c>
      <c r="Q856" t="s">
        <v>463</v>
      </c>
      <c r="R856">
        <v>0</v>
      </c>
    </row>
    <row r="857" spans="1:18" x14ac:dyDescent="0.3">
      <c r="A857">
        <v>236744</v>
      </c>
      <c r="B857" t="s">
        <v>557</v>
      </c>
      <c r="C857" t="s">
        <v>1107</v>
      </c>
      <c r="E857" s="451">
        <v>46143</v>
      </c>
      <c r="F857" s="451">
        <v>46178</v>
      </c>
      <c r="G857" t="s">
        <v>574</v>
      </c>
      <c r="H857" t="s">
        <v>575</v>
      </c>
      <c r="J857">
        <v>-1155.6600000000001</v>
      </c>
      <c r="K857">
        <v>-1155.6600000000001</v>
      </c>
      <c r="O857" t="s">
        <v>787</v>
      </c>
      <c r="P857" t="s">
        <v>894</v>
      </c>
      <c r="Q857" t="s">
        <v>463</v>
      </c>
      <c r="R857">
        <v>0</v>
      </c>
    </row>
    <row r="858" spans="1:18" x14ac:dyDescent="0.3">
      <c r="A858">
        <v>236745</v>
      </c>
      <c r="B858" t="s">
        <v>557</v>
      </c>
      <c r="C858" t="s">
        <v>1103</v>
      </c>
      <c r="E858" s="451">
        <v>46143</v>
      </c>
      <c r="F858" s="451">
        <v>46178</v>
      </c>
      <c r="G858" t="s">
        <v>574</v>
      </c>
      <c r="H858" t="s">
        <v>575</v>
      </c>
      <c r="J858">
        <v>-1969.36</v>
      </c>
      <c r="K858">
        <v>-1969.36</v>
      </c>
      <c r="O858" t="s">
        <v>787</v>
      </c>
      <c r="P858" t="s">
        <v>894</v>
      </c>
      <c r="Q858" t="s">
        <v>463</v>
      </c>
      <c r="R858">
        <v>0</v>
      </c>
    </row>
    <row r="859" spans="1:18" x14ac:dyDescent="0.3">
      <c r="A859">
        <v>236746</v>
      </c>
      <c r="B859" t="s">
        <v>557</v>
      </c>
      <c r="C859" t="s">
        <v>1106</v>
      </c>
      <c r="E859" s="451">
        <v>46143</v>
      </c>
      <c r="F859" s="451">
        <v>46178</v>
      </c>
      <c r="G859" t="s">
        <v>574</v>
      </c>
      <c r="H859" t="s">
        <v>575</v>
      </c>
      <c r="J859">
        <v>-933.78</v>
      </c>
      <c r="K859">
        <v>-933.78</v>
      </c>
      <c r="O859" t="s">
        <v>787</v>
      </c>
      <c r="P859" t="s">
        <v>894</v>
      </c>
      <c r="Q859" t="s">
        <v>463</v>
      </c>
      <c r="R859">
        <v>0</v>
      </c>
    </row>
    <row r="860" spans="1:18" x14ac:dyDescent="0.3">
      <c r="A860">
        <v>236747</v>
      </c>
      <c r="B860" t="s">
        <v>557</v>
      </c>
      <c r="C860" t="s">
        <v>1105</v>
      </c>
      <c r="E860" s="451">
        <v>46143</v>
      </c>
      <c r="F860" s="451">
        <v>46178</v>
      </c>
      <c r="G860" t="s">
        <v>574</v>
      </c>
      <c r="H860" t="s">
        <v>575</v>
      </c>
      <c r="J860">
        <v>-2564.8000000000002</v>
      </c>
      <c r="K860">
        <v>-2564.8000000000002</v>
      </c>
      <c r="O860" t="s">
        <v>787</v>
      </c>
      <c r="P860" t="s">
        <v>894</v>
      </c>
      <c r="Q860" t="s">
        <v>463</v>
      </c>
      <c r="R860">
        <v>0</v>
      </c>
    </row>
    <row r="861" spans="1:18" x14ac:dyDescent="0.3">
      <c r="A861">
        <v>212753</v>
      </c>
      <c r="B861" t="s">
        <v>557</v>
      </c>
      <c r="C861" t="s">
        <v>818</v>
      </c>
      <c r="D861" t="s">
        <v>1395</v>
      </c>
      <c r="E861" s="451">
        <v>46143</v>
      </c>
      <c r="F861" s="451">
        <v>46188</v>
      </c>
      <c r="G861" t="s">
        <v>570</v>
      </c>
      <c r="H861" t="s">
        <v>573</v>
      </c>
      <c r="I861" t="s">
        <v>820</v>
      </c>
      <c r="J861">
        <v>-2000</v>
      </c>
      <c r="K861">
        <v>-2000</v>
      </c>
      <c r="M861" t="s">
        <v>821</v>
      </c>
      <c r="N861" t="s">
        <v>133</v>
      </c>
      <c r="O861" t="s">
        <v>787</v>
      </c>
      <c r="P861" t="s">
        <v>894</v>
      </c>
      <c r="Q861" t="s">
        <v>463</v>
      </c>
      <c r="R861">
        <v>0</v>
      </c>
    </row>
    <row r="862" spans="1:18" x14ac:dyDescent="0.3">
      <c r="A862">
        <v>236748</v>
      </c>
      <c r="B862" t="s">
        <v>557</v>
      </c>
      <c r="C862" t="s">
        <v>1125</v>
      </c>
      <c r="E862" s="451">
        <v>46143</v>
      </c>
      <c r="F862" s="451">
        <v>46178</v>
      </c>
      <c r="G862" t="s">
        <v>574</v>
      </c>
      <c r="H862" t="s">
        <v>575</v>
      </c>
      <c r="J862">
        <v>-1279.82</v>
      </c>
      <c r="K862">
        <v>-1279.82</v>
      </c>
      <c r="O862" t="s">
        <v>787</v>
      </c>
      <c r="P862" t="s">
        <v>894</v>
      </c>
      <c r="Q862" t="s">
        <v>463</v>
      </c>
      <c r="R862">
        <v>0</v>
      </c>
    </row>
    <row r="863" spans="1:18" x14ac:dyDescent="0.3">
      <c r="A863">
        <v>236749</v>
      </c>
      <c r="B863" t="s">
        <v>557</v>
      </c>
      <c r="C863" t="s">
        <v>1104</v>
      </c>
      <c r="E863" s="451">
        <v>46143</v>
      </c>
      <c r="F863" s="451">
        <v>46178</v>
      </c>
      <c r="G863" t="s">
        <v>574</v>
      </c>
      <c r="H863" t="s">
        <v>575</v>
      </c>
      <c r="J863">
        <v>-1576.56</v>
      </c>
      <c r="K863">
        <v>-1576.56</v>
      </c>
      <c r="O863" t="s">
        <v>787</v>
      </c>
      <c r="P863" t="s">
        <v>894</v>
      </c>
      <c r="Q863" t="s">
        <v>463</v>
      </c>
      <c r="R863">
        <v>0</v>
      </c>
    </row>
    <row r="864" spans="1:18" x14ac:dyDescent="0.3">
      <c r="A864">
        <v>212741</v>
      </c>
      <c r="B864" t="s">
        <v>557</v>
      </c>
      <c r="C864" t="s">
        <v>818</v>
      </c>
      <c r="D864" t="s">
        <v>1395</v>
      </c>
      <c r="E864" s="451">
        <v>46143</v>
      </c>
      <c r="F864" s="451">
        <v>46174</v>
      </c>
      <c r="G864" t="s">
        <v>570</v>
      </c>
      <c r="H864" t="s">
        <v>573</v>
      </c>
      <c r="I864" t="s">
        <v>822</v>
      </c>
      <c r="J864">
        <v>-2000</v>
      </c>
      <c r="K864">
        <v>-2000</v>
      </c>
      <c r="M864" t="s">
        <v>821</v>
      </c>
      <c r="N864" t="s">
        <v>133</v>
      </c>
      <c r="O864" t="s">
        <v>787</v>
      </c>
      <c r="P864" t="s">
        <v>894</v>
      </c>
      <c r="Q864" t="s">
        <v>463</v>
      </c>
      <c r="R864">
        <v>0</v>
      </c>
    </row>
    <row r="865" spans="1:18" x14ac:dyDescent="0.3">
      <c r="A865">
        <v>218779</v>
      </c>
      <c r="B865" t="s">
        <v>557</v>
      </c>
      <c r="C865" t="s">
        <v>1128</v>
      </c>
      <c r="D865" t="s">
        <v>1265</v>
      </c>
      <c r="E865" s="451">
        <v>46143</v>
      </c>
      <c r="F865" s="451">
        <v>46153</v>
      </c>
      <c r="G865" t="s">
        <v>569</v>
      </c>
      <c r="H865" t="s">
        <v>66</v>
      </c>
      <c r="I865" t="s">
        <v>1396</v>
      </c>
      <c r="J865">
        <v>-167</v>
      </c>
      <c r="K865">
        <v>-167</v>
      </c>
      <c r="O865" t="s">
        <v>787</v>
      </c>
      <c r="P865" t="s">
        <v>894</v>
      </c>
      <c r="Q865" t="s">
        <v>463</v>
      </c>
      <c r="R865">
        <v>0</v>
      </c>
    </row>
    <row r="866" spans="1:18" x14ac:dyDescent="0.3">
      <c r="A866">
        <v>235092</v>
      </c>
      <c r="B866" t="s">
        <v>557</v>
      </c>
      <c r="C866" t="s">
        <v>1066</v>
      </c>
      <c r="D866" t="s">
        <v>1397</v>
      </c>
      <c r="E866" s="451">
        <v>46143</v>
      </c>
      <c r="F866" s="451">
        <v>46178</v>
      </c>
      <c r="G866" t="s">
        <v>264</v>
      </c>
      <c r="H866" t="s">
        <v>272</v>
      </c>
      <c r="I866" t="s">
        <v>1398</v>
      </c>
      <c r="J866">
        <v>-322</v>
      </c>
      <c r="K866">
        <v>-322</v>
      </c>
      <c r="O866" t="s">
        <v>787</v>
      </c>
      <c r="P866" t="s">
        <v>894</v>
      </c>
      <c r="Q866" t="s">
        <v>463</v>
      </c>
      <c r="R866">
        <v>0</v>
      </c>
    </row>
    <row r="867" spans="1:18" x14ac:dyDescent="0.3">
      <c r="A867">
        <v>229039</v>
      </c>
      <c r="B867" t="s">
        <v>557</v>
      </c>
      <c r="C867" t="s">
        <v>943</v>
      </c>
      <c r="D867" t="s">
        <v>1399</v>
      </c>
      <c r="E867" s="451">
        <v>46143</v>
      </c>
      <c r="F867" s="451">
        <v>46156</v>
      </c>
      <c r="G867" t="s">
        <v>576</v>
      </c>
      <c r="H867" t="s">
        <v>203</v>
      </c>
      <c r="I867" t="s">
        <v>1400</v>
      </c>
      <c r="J867">
        <v>-1251.45</v>
      </c>
      <c r="K867">
        <v>-1251.45</v>
      </c>
      <c r="O867" t="s">
        <v>787</v>
      </c>
      <c r="P867" t="s">
        <v>894</v>
      </c>
      <c r="Q867" t="s">
        <v>463</v>
      </c>
      <c r="R867">
        <v>0</v>
      </c>
    </row>
    <row r="868" spans="1:18" x14ac:dyDescent="0.3">
      <c r="A868">
        <v>234507</v>
      </c>
      <c r="B868" t="s">
        <v>557</v>
      </c>
      <c r="C868" t="s">
        <v>1066</v>
      </c>
      <c r="D868" t="s">
        <v>1401</v>
      </c>
      <c r="E868" s="451">
        <v>46143</v>
      </c>
      <c r="F868" s="451">
        <v>46178</v>
      </c>
      <c r="G868" t="s">
        <v>564</v>
      </c>
      <c r="H868" t="s">
        <v>565</v>
      </c>
      <c r="I868" t="s">
        <v>1402</v>
      </c>
      <c r="J868">
        <v>-35.950000000000003</v>
      </c>
      <c r="K868">
        <v>-35.950000000000003</v>
      </c>
      <c r="O868" t="s">
        <v>787</v>
      </c>
      <c r="P868" t="s">
        <v>894</v>
      </c>
      <c r="Q868" t="s">
        <v>463</v>
      </c>
      <c r="R868">
        <v>0</v>
      </c>
    </row>
    <row r="869" spans="1:18" x14ac:dyDescent="0.3">
      <c r="A869">
        <v>234508</v>
      </c>
      <c r="B869" t="s">
        <v>557</v>
      </c>
      <c r="C869" t="s">
        <v>1066</v>
      </c>
      <c r="D869" t="s">
        <v>1403</v>
      </c>
      <c r="E869" s="451">
        <v>46143</v>
      </c>
      <c r="F869" s="451">
        <v>46178</v>
      </c>
      <c r="G869" t="s">
        <v>264</v>
      </c>
      <c r="H869" t="s">
        <v>272</v>
      </c>
      <c r="I869" t="s">
        <v>1374</v>
      </c>
      <c r="J869">
        <v>-70</v>
      </c>
      <c r="K869">
        <v>-70</v>
      </c>
      <c r="O869" t="s">
        <v>787</v>
      </c>
      <c r="P869" t="s">
        <v>894</v>
      </c>
      <c r="Q869" t="s">
        <v>463</v>
      </c>
      <c r="R869">
        <v>0</v>
      </c>
    </row>
    <row r="870" spans="1:18" x14ac:dyDescent="0.3">
      <c r="A870">
        <v>234509</v>
      </c>
      <c r="B870" t="s">
        <v>557</v>
      </c>
      <c r="C870" t="s">
        <v>1066</v>
      </c>
      <c r="D870" t="s">
        <v>1404</v>
      </c>
      <c r="E870" s="451">
        <v>46143</v>
      </c>
      <c r="F870" s="451">
        <v>46178</v>
      </c>
      <c r="G870" t="s">
        <v>564</v>
      </c>
      <c r="H870" t="s">
        <v>565</v>
      </c>
      <c r="I870" t="s">
        <v>1405</v>
      </c>
      <c r="J870">
        <v>-47.56</v>
      </c>
      <c r="K870">
        <v>-47.56</v>
      </c>
      <c r="O870" t="s">
        <v>787</v>
      </c>
      <c r="P870" t="s">
        <v>894</v>
      </c>
      <c r="Q870" t="s">
        <v>463</v>
      </c>
      <c r="R870">
        <v>0</v>
      </c>
    </row>
    <row r="871" spans="1:18" x14ac:dyDescent="0.3">
      <c r="A871">
        <v>234510</v>
      </c>
      <c r="B871" t="s">
        <v>557</v>
      </c>
      <c r="C871" t="s">
        <v>1066</v>
      </c>
      <c r="D871" t="s">
        <v>1406</v>
      </c>
      <c r="E871" s="451">
        <v>46143</v>
      </c>
      <c r="F871" s="451">
        <v>46178</v>
      </c>
      <c r="G871" t="s">
        <v>582</v>
      </c>
      <c r="H871" t="s">
        <v>293</v>
      </c>
      <c r="I871" t="s">
        <v>1407</v>
      </c>
      <c r="J871">
        <v>-100</v>
      </c>
      <c r="K871">
        <v>-100</v>
      </c>
      <c r="O871" t="s">
        <v>787</v>
      </c>
      <c r="P871" t="s">
        <v>894</v>
      </c>
      <c r="Q871" t="s">
        <v>463</v>
      </c>
      <c r="R871">
        <v>0</v>
      </c>
    </row>
    <row r="872" spans="1:18" x14ac:dyDescent="0.3">
      <c r="A872">
        <v>234511</v>
      </c>
      <c r="B872" t="s">
        <v>557</v>
      </c>
      <c r="C872" t="s">
        <v>1066</v>
      </c>
      <c r="D872" t="s">
        <v>1408</v>
      </c>
      <c r="E872" s="451">
        <v>46143</v>
      </c>
      <c r="F872" s="451">
        <v>46178</v>
      </c>
      <c r="G872" t="s">
        <v>564</v>
      </c>
      <c r="H872" t="s">
        <v>566</v>
      </c>
      <c r="I872" t="s">
        <v>1409</v>
      </c>
      <c r="J872">
        <v>-162.69999999999999</v>
      </c>
      <c r="K872">
        <v>-162.69999999999999</v>
      </c>
      <c r="O872" t="s">
        <v>787</v>
      </c>
      <c r="P872" t="s">
        <v>894</v>
      </c>
      <c r="Q872" t="s">
        <v>463</v>
      </c>
      <c r="R872">
        <v>0</v>
      </c>
    </row>
    <row r="873" spans="1:18" x14ac:dyDescent="0.3">
      <c r="A873">
        <v>234512</v>
      </c>
      <c r="B873" t="s">
        <v>557</v>
      </c>
      <c r="C873" t="s">
        <v>1066</v>
      </c>
      <c r="D873" t="s">
        <v>1410</v>
      </c>
      <c r="E873" s="451">
        <v>46143</v>
      </c>
      <c r="F873" s="451">
        <v>46178</v>
      </c>
      <c r="G873" t="s">
        <v>264</v>
      </c>
      <c r="H873" t="s">
        <v>272</v>
      </c>
      <c r="I873" t="s">
        <v>1374</v>
      </c>
      <c r="J873">
        <v>-70</v>
      </c>
      <c r="K873">
        <v>-70</v>
      </c>
      <c r="O873" t="s">
        <v>787</v>
      </c>
      <c r="P873" t="s">
        <v>894</v>
      </c>
      <c r="Q873" t="s">
        <v>463</v>
      </c>
      <c r="R873">
        <v>0</v>
      </c>
    </row>
    <row r="874" spans="1:18" x14ac:dyDescent="0.3">
      <c r="A874">
        <v>234513</v>
      </c>
      <c r="B874" t="s">
        <v>557</v>
      </c>
      <c r="C874" t="s">
        <v>1066</v>
      </c>
      <c r="D874" t="s">
        <v>1411</v>
      </c>
      <c r="E874" s="451">
        <v>46143</v>
      </c>
      <c r="F874" s="451">
        <v>46178</v>
      </c>
      <c r="G874" t="s">
        <v>564</v>
      </c>
      <c r="H874" t="s">
        <v>565</v>
      </c>
      <c r="I874" t="s">
        <v>1357</v>
      </c>
      <c r="J874">
        <v>-86.31</v>
      </c>
      <c r="K874">
        <v>-86.31</v>
      </c>
      <c r="O874" t="s">
        <v>787</v>
      </c>
      <c r="P874" t="s">
        <v>894</v>
      </c>
      <c r="Q874" t="s">
        <v>463</v>
      </c>
      <c r="R874">
        <v>0</v>
      </c>
    </row>
    <row r="875" spans="1:18" x14ac:dyDescent="0.3">
      <c r="A875">
        <v>234514</v>
      </c>
      <c r="B875" t="s">
        <v>557</v>
      </c>
      <c r="C875" t="s">
        <v>1066</v>
      </c>
      <c r="D875" t="s">
        <v>1412</v>
      </c>
      <c r="E875" s="451">
        <v>46143</v>
      </c>
      <c r="F875" s="451">
        <v>46178</v>
      </c>
      <c r="G875" t="s">
        <v>581</v>
      </c>
      <c r="H875" t="s">
        <v>291</v>
      </c>
      <c r="I875" t="s">
        <v>1413</v>
      </c>
      <c r="J875">
        <v>-103</v>
      </c>
      <c r="K875">
        <v>-103</v>
      </c>
      <c r="O875" t="s">
        <v>787</v>
      </c>
      <c r="P875" t="s">
        <v>894</v>
      </c>
      <c r="Q875" t="s">
        <v>463</v>
      </c>
      <c r="R875">
        <v>0</v>
      </c>
    </row>
    <row r="876" spans="1:18" x14ac:dyDescent="0.3">
      <c r="A876">
        <v>234515</v>
      </c>
      <c r="B876" t="s">
        <v>557</v>
      </c>
      <c r="C876" t="s">
        <v>1066</v>
      </c>
      <c r="D876" t="s">
        <v>1414</v>
      </c>
      <c r="E876" s="451">
        <v>46143</v>
      </c>
      <c r="F876" s="451">
        <v>46178</v>
      </c>
      <c r="G876" t="s">
        <v>564</v>
      </c>
      <c r="H876" t="s">
        <v>565</v>
      </c>
      <c r="I876" t="s">
        <v>1405</v>
      </c>
      <c r="J876">
        <v>-294.02</v>
      </c>
      <c r="K876">
        <v>-294.02</v>
      </c>
      <c r="O876" t="s">
        <v>787</v>
      </c>
      <c r="P876" t="s">
        <v>894</v>
      </c>
      <c r="Q876" t="s">
        <v>463</v>
      </c>
      <c r="R876">
        <v>0</v>
      </c>
    </row>
    <row r="877" spans="1:18" x14ac:dyDescent="0.3">
      <c r="A877">
        <v>235093</v>
      </c>
      <c r="B877" t="s">
        <v>557</v>
      </c>
      <c r="C877" t="s">
        <v>1066</v>
      </c>
      <c r="D877" t="s">
        <v>1415</v>
      </c>
      <c r="E877" s="451">
        <v>46143</v>
      </c>
      <c r="F877" s="451">
        <v>46178</v>
      </c>
      <c r="G877" t="s">
        <v>264</v>
      </c>
      <c r="H877" t="s">
        <v>272</v>
      </c>
      <c r="I877" t="s">
        <v>1416</v>
      </c>
      <c r="J877">
        <v>-145</v>
      </c>
      <c r="K877">
        <v>-145</v>
      </c>
      <c r="O877" t="s">
        <v>787</v>
      </c>
      <c r="P877" t="s">
        <v>894</v>
      </c>
      <c r="Q877" t="s">
        <v>463</v>
      </c>
      <c r="R877">
        <v>0</v>
      </c>
    </row>
    <row r="878" spans="1:18" x14ac:dyDescent="0.3">
      <c r="A878">
        <v>234518</v>
      </c>
      <c r="B878" t="s">
        <v>557</v>
      </c>
      <c r="C878" t="s">
        <v>1066</v>
      </c>
      <c r="D878" t="s">
        <v>1417</v>
      </c>
      <c r="E878" s="451">
        <v>46143</v>
      </c>
      <c r="F878" s="451">
        <v>46178</v>
      </c>
      <c r="G878" t="s">
        <v>264</v>
      </c>
      <c r="H878" t="s">
        <v>272</v>
      </c>
      <c r="I878" t="s">
        <v>1334</v>
      </c>
      <c r="J878">
        <v>-122.62</v>
      </c>
      <c r="K878">
        <v>-122.62</v>
      </c>
      <c r="O878" t="s">
        <v>787</v>
      </c>
      <c r="P878" t="s">
        <v>894</v>
      </c>
      <c r="Q878" t="s">
        <v>463</v>
      </c>
      <c r="R878">
        <v>0</v>
      </c>
    </row>
    <row r="879" spans="1:18" x14ac:dyDescent="0.3">
      <c r="A879">
        <v>234517</v>
      </c>
      <c r="B879" t="s">
        <v>557</v>
      </c>
      <c r="C879" t="s">
        <v>1066</v>
      </c>
      <c r="D879" t="s">
        <v>1418</v>
      </c>
      <c r="E879" s="451">
        <v>46143</v>
      </c>
      <c r="F879" s="451">
        <v>46178</v>
      </c>
      <c r="G879" t="s">
        <v>564</v>
      </c>
      <c r="H879" t="s">
        <v>565</v>
      </c>
      <c r="I879" t="s">
        <v>1419</v>
      </c>
      <c r="J879">
        <v>-95.96</v>
      </c>
      <c r="K879">
        <v>-95.96</v>
      </c>
      <c r="O879" t="s">
        <v>787</v>
      </c>
      <c r="P879" t="s">
        <v>894</v>
      </c>
      <c r="Q879" t="s">
        <v>463</v>
      </c>
      <c r="R879">
        <v>0</v>
      </c>
    </row>
    <row r="880" spans="1:18" x14ac:dyDescent="0.3">
      <c r="A880">
        <v>234516</v>
      </c>
      <c r="B880" t="s">
        <v>557</v>
      </c>
      <c r="C880" t="s">
        <v>1066</v>
      </c>
      <c r="D880" t="s">
        <v>1420</v>
      </c>
      <c r="E880" s="451">
        <v>46143</v>
      </c>
      <c r="F880" s="451">
        <v>46178</v>
      </c>
      <c r="G880" t="s">
        <v>264</v>
      </c>
      <c r="H880" t="s">
        <v>272</v>
      </c>
      <c r="I880" t="s">
        <v>1374</v>
      </c>
      <c r="J880">
        <v>-70</v>
      </c>
      <c r="K880">
        <v>-70</v>
      </c>
      <c r="O880" t="s">
        <v>787</v>
      </c>
      <c r="P880" t="s">
        <v>894</v>
      </c>
      <c r="Q880" t="s">
        <v>463</v>
      </c>
      <c r="R880">
        <v>0</v>
      </c>
    </row>
    <row r="881" spans="1:18" x14ac:dyDescent="0.3">
      <c r="A881">
        <v>191836</v>
      </c>
      <c r="B881" t="s">
        <v>557</v>
      </c>
      <c r="C881" t="s">
        <v>838</v>
      </c>
      <c r="D881" t="s">
        <v>1421</v>
      </c>
      <c r="E881" s="451">
        <v>46143</v>
      </c>
      <c r="F881" s="451">
        <v>46155</v>
      </c>
      <c r="G881" t="s">
        <v>264</v>
      </c>
      <c r="H881" t="s">
        <v>267</v>
      </c>
      <c r="I881" t="s">
        <v>1422</v>
      </c>
      <c r="J881">
        <v>-6757.59</v>
      </c>
      <c r="K881">
        <v>-6757.59</v>
      </c>
      <c r="O881" t="s">
        <v>787</v>
      </c>
      <c r="P881" t="s">
        <v>894</v>
      </c>
      <c r="Q881" t="s">
        <v>463</v>
      </c>
      <c r="R881">
        <v>0</v>
      </c>
    </row>
    <row r="882" spans="1:18" x14ac:dyDescent="0.3">
      <c r="A882">
        <v>200452</v>
      </c>
      <c r="B882" t="s">
        <v>557</v>
      </c>
      <c r="C882" t="s">
        <v>879</v>
      </c>
      <c r="D882" t="s">
        <v>1423</v>
      </c>
      <c r="E882" s="451">
        <v>46143</v>
      </c>
      <c r="F882" s="451">
        <v>46188</v>
      </c>
      <c r="G882" t="s">
        <v>570</v>
      </c>
      <c r="H882" t="s">
        <v>573</v>
      </c>
      <c r="I882" t="s">
        <v>880</v>
      </c>
      <c r="J882">
        <v>-2000</v>
      </c>
      <c r="K882">
        <v>-2000</v>
      </c>
      <c r="M882" t="s">
        <v>881</v>
      </c>
      <c r="N882" t="s">
        <v>73</v>
      </c>
      <c r="O882" t="s">
        <v>787</v>
      </c>
      <c r="P882" t="s">
        <v>894</v>
      </c>
      <c r="Q882" t="s">
        <v>463</v>
      </c>
      <c r="R882">
        <v>0</v>
      </c>
    </row>
    <row r="883" spans="1:18" x14ac:dyDescent="0.3">
      <c r="A883">
        <v>192351</v>
      </c>
      <c r="B883" t="s">
        <v>557</v>
      </c>
      <c r="C883" t="s">
        <v>911</v>
      </c>
      <c r="D883" t="s">
        <v>1424</v>
      </c>
      <c r="E883" s="451">
        <v>46143</v>
      </c>
      <c r="F883" s="451">
        <v>46155</v>
      </c>
      <c r="G883" t="s">
        <v>279</v>
      </c>
      <c r="H883" t="s">
        <v>281</v>
      </c>
      <c r="I883" t="s">
        <v>1425</v>
      </c>
      <c r="J883">
        <v>-299.99</v>
      </c>
      <c r="K883">
        <v>-299.99</v>
      </c>
      <c r="O883" t="s">
        <v>787</v>
      </c>
      <c r="P883" t="s">
        <v>894</v>
      </c>
      <c r="Q883" t="s">
        <v>463</v>
      </c>
      <c r="R883">
        <v>0</v>
      </c>
    </row>
    <row r="884" spans="1:18" x14ac:dyDescent="0.3">
      <c r="A884">
        <v>200478</v>
      </c>
      <c r="B884" t="s">
        <v>557</v>
      </c>
      <c r="C884" t="s">
        <v>888</v>
      </c>
      <c r="D884" t="s">
        <v>1426</v>
      </c>
      <c r="E884" s="451">
        <v>46143</v>
      </c>
      <c r="F884" s="451">
        <v>46188</v>
      </c>
      <c r="G884" t="s">
        <v>570</v>
      </c>
      <c r="H884" t="s">
        <v>573</v>
      </c>
      <c r="I884" t="s">
        <v>880</v>
      </c>
      <c r="J884">
        <v>-3300</v>
      </c>
      <c r="K884">
        <v>-3300</v>
      </c>
      <c r="M884" t="s">
        <v>887</v>
      </c>
      <c r="N884" t="s">
        <v>131</v>
      </c>
      <c r="O884" t="s">
        <v>787</v>
      </c>
      <c r="P884" t="s">
        <v>894</v>
      </c>
      <c r="Q884" t="s">
        <v>463</v>
      </c>
      <c r="R884">
        <v>0</v>
      </c>
    </row>
    <row r="885" spans="1:18" x14ac:dyDescent="0.3">
      <c r="A885">
        <v>192164</v>
      </c>
      <c r="B885" t="s">
        <v>557</v>
      </c>
      <c r="C885" t="s">
        <v>932</v>
      </c>
      <c r="D885" t="s">
        <v>1427</v>
      </c>
      <c r="E885" s="451">
        <v>46143</v>
      </c>
      <c r="F885" s="451">
        <v>46157</v>
      </c>
      <c r="G885" t="s">
        <v>264</v>
      </c>
      <c r="H885" t="s">
        <v>270</v>
      </c>
      <c r="I885" t="s">
        <v>1428</v>
      </c>
      <c r="J885">
        <v>-550</v>
      </c>
      <c r="K885">
        <v>-550</v>
      </c>
      <c r="O885" t="s">
        <v>787</v>
      </c>
      <c r="P885" t="s">
        <v>894</v>
      </c>
      <c r="Q885" t="s">
        <v>463</v>
      </c>
      <c r="R885">
        <v>0</v>
      </c>
    </row>
    <row r="886" spans="1:18" x14ac:dyDescent="0.3">
      <c r="A886">
        <v>200465</v>
      </c>
      <c r="B886" t="s">
        <v>557</v>
      </c>
      <c r="C886" t="s">
        <v>888</v>
      </c>
      <c r="D886" t="s">
        <v>1426</v>
      </c>
      <c r="E886" s="451">
        <v>46143</v>
      </c>
      <c r="F886" s="451">
        <v>46174</v>
      </c>
      <c r="G886" t="s">
        <v>570</v>
      </c>
      <c r="H886" t="s">
        <v>573</v>
      </c>
      <c r="I886" t="s">
        <v>880</v>
      </c>
      <c r="J886">
        <v>-3300</v>
      </c>
      <c r="K886">
        <v>-3300</v>
      </c>
      <c r="M886" t="s">
        <v>887</v>
      </c>
      <c r="N886" t="s">
        <v>131</v>
      </c>
      <c r="O886" t="s">
        <v>787</v>
      </c>
      <c r="P886" t="s">
        <v>894</v>
      </c>
      <c r="Q886" t="s">
        <v>463</v>
      </c>
      <c r="R886">
        <v>0</v>
      </c>
    </row>
    <row r="887" spans="1:18" x14ac:dyDescent="0.3">
      <c r="A887">
        <v>192330</v>
      </c>
      <c r="B887" t="s">
        <v>557</v>
      </c>
      <c r="C887" t="s">
        <v>913</v>
      </c>
      <c r="D887" t="s">
        <v>1429</v>
      </c>
      <c r="E887" s="451">
        <v>46143</v>
      </c>
      <c r="F887" s="451">
        <v>46177</v>
      </c>
      <c r="G887" t="s">
        <v>296</v>
      </c>
      <c r="H887" t="s">
        <v>297</v>
      </c>
      <c r="I887" t="s">
        <v>1430</v>
      </c>
      <c r="J887">
        <v>-4000</v>
      </c>
      <c r="K887">
        <v>-4000</v>
      </c>
      <c r="M887" t="s">
        <v>915</v>
      </c>
      <c r="N887" t="s">
        <v>916</v>
      </c>
      <c r="O887" t="s">
        <v>787</v>
      </c>
      <c r="Q887" t="s">
        <v>463</v>
      </c>
      <c r="R887">
        <v>0</v>
      </c>
    </row>
    <row r="888" spans="1:18" x14ac:dyDescent="0.3">
      <c r="A888">
        <v>192398</v>
      </c>
      <c r="B888" t="s">
        <v>557</v>
      </c>
      <c r="C888" t="s">
        <v>823</v>
      </c>
      <c r="D888" t="s">
        <v>1431</v>
      </c>
      <c r="E888" s="451">
        <v>46143</v>
      </c>
      <c r="F888" s="451">
        <v>46157</v>
      </c>
      <c r="G888" t="s">
        <v>279</v>
      </c>
      <c r="H888" t="s">
        <v>286</v>
      </c>
      <c r="I888" t="s">
        <v>1432</v>
      </c>
      <c r="J888">
        <v>-219</v>
      </c>
      <c r="K888">
        <v>-219</v>
      </c>
      <c r="O888" t="s">
        <v>787</v>
      </c>
      <c r="P888" t="s">
        <v>894</v>
      </c>
      <c r="Q888" t="s">
        <v>463</v>
      </c>
      <c r="R888">
        <v>0</v>
      </c>
    </row>
    <row r="889" spans="1:18" x14ac:dyDescent="0.3">
      <c r="A889">
        <v>204921</v>
      </c>
      <c r="B889" t="s">
        <v>557</v>
      </c>
      <c r="C889" t="s">
        <v>842</v>
      </c>
      <c r="D889" t="s">
        <v>1433</v>
      </c>
      <c r="E889" s="451">
        <v>46143</v>
      </c>
      <c r="F889" s="451">
        <v>46172</v>
      </c>
      <c r="G889" t="s">
        <v>578</v>
      </c>
      <c r="H889" t="s">
        <v>242</v>
      </c>
      <c r="I889" t="s">
        <v>843</v>
      </c>
      <c r="J889">
        <v>-207.65</v>
      </c>
      <c r="K889">
        <v>-207.65</v>
      </c>
      <c r="O889" t="s">
        <v>787</v>
      </c>
      <c r="P889" t="s">
        <v>894</v>
      </c>
      <c r="Q889" t="s">
        <v>463</v>
      </c>
      <c r="R889">
        <v>0</v>
      </c>
    </row>
    <row r="890" spans="1:18" x14ac:dyDescent="0.3">
      <c r="A890">
        <v>192957</v>
      </c>
      <c r="B890" t="s">
        <v>557</v>
      </c>
      <c r="C890" t="s">
        <v>903</v>
      </c>
      <c r="D890" t="s">
        <v>1434</v>
      </c>
      <c r="E890" s="451">
        <v>46143</v>
      </c>
      <c r="F890" s="451">
        <v>46178</v>
      </c>
      <c r="G890" t="s">
        <v>279</v>
      </c>
      <c r="H890" t="s">
        <v>283</v>
      </c>
      <c r="I890" t="s">
        <v>1435</v>
      </c>
      <c r="J890">
        <v>-293.93</v>
      </c>
      <c r="K890">
        <v>-293.93</v>
      </c>
      <c r="O890" t="s">
        <v>787</v>
      </c>
      <c r="P890" t="s">
        <v>894</v>
      </c>
      <c r="Q890" t="s">
        <v>463</v>
      </c>
      <c r="R890">
        <v>0</v>
      </c>
    </row>
    <row r="891" spans="1:18" x14ac:dyDescent="0.3">
      <c r="A891">
        <v>192386</v>
      </c>
      <c r="B891" t="s">
        <v>557</v>
      </c>
      <c r="C891" t="s">
        <v>905</v>
      </c>
      <c r="D891" t="s">
        <v>1436</v>
      </c>
      <c r="E891" s="451">
        <v>46143</v>
      </c>
      <c r="F891" s="451">
        <v>46185</v>
      </c>
      <c r="G891" t="s">
        <v>296</v>
      </c>
      <c r="H891" t="s">
        <v>298</v>
      </c>
      <c r="I891" t="s">
        <v>1437</v>
      </c>
      <c r="J891">
        <v>-500</v>
      </c>
      <c r="K891">
        <v>-500</v>
      </c>
      <c r="O891" t="s">
        <v>787</v>
      </c>
      <c r="P891" t="s">
        <v>894</v>
      </c>
      <c r="Q891" t="s">
        <v>463</v>
      </c>
      <c r="R891">
        <v>0</v>
      </c>
    </row>
    <row r="892" spans="1:18" x14ac:dyDescent="0.3">
      <c r="A892">
        <v>191752</v>
      </c>
      <c r="B892" t="s">
        <v>557</v>
      </c>
      <c r="C892" t="s">
        <v>895</v>
      </c>
      <c r="D892" t="s">
        <v>1438</v>
      </c>
      <c r="E892" s="451">
        <v>46143</v>
      </c>
      <c r="F892" s="451">
        <v>46157</v>
      </c>
      <c r="G892" t="s">
        <v>308</v>
      </c>
      <c r="H892" t="s">
        <v>309</v>
      </c>
      <c r="I892" t="s">
        <v>1439</v>
      </c>
      <c r="J892">
        <v>-829.92</v>
      </c>
      <c r="K892">
        <v>-829.92</v>
      </c>
      <c r="O892" t="s">
        <v>787</v>
      </c>
      <c r="P892" t="s">
        <v>894</v>
      </c>
      <c r="Q892" t="s">
        <v>463</v>
      </c>
      <c r="R892">
        <v>0</v>
      </c>
    </row>
    <row r="893" spans="1:18" x14ac:dyDescent="0.3">
      <c r="A893">
        <v>192571</v>
      </c>
      <c r="B893" t="s">
        <v>557</v>
      </c>
      <c r="C893" t="s">
        <v>830</v>
      </c>
      <c r="D893" t="s">
        <v>1440</v>
      </c>
      <c r="E893" s="451">
        <v>46143</v>
      </c>
      <c r="F893" s="451">
        <v>46162</v>
      </c>
      <c r="G893" t="s">
        <v>264</v>
      </c>
      <c r="H893" t="s">
        <v>276</v>
      </c>
      <c r="I893" t="s">
        <v>1441</v>
      </c>
      <c r="J893">
        <v>-1512</v>
      </c>
      <c r="K893">
        <v>-1512</v>
      </c>
      <c r="O893" t="s">
        <v>787</v>
      </c>
      <c r="P893" t="s">
        <v>894</v>
      </c>
      <c r="Q893" t="s">
        <v>463</v>
      </c>
      <c r="R893">
        <v>0</v>
      </c>
    </row>
    <row r="894" spans="1:18" x14ac:dyDescent="0.3">
      <c r="A894">
        <v>191725</v>
      </c>
      <c r="B894" t="s">
        <v>557</v>
      </c>
      <c r="C894" t="s">
        <v>895</v>
      </c>
      <c r="D894" t="s">
        <v>1442</v>
      </c>
      <c r="E894" s="451">
        <v>46143</v>
      </c>
      <c r="F894" s="451">
        <v>46157</v>
      </c>
      <c r="G894" t="s">
        <v>308</v>
      </c>
      <c r="H894" t="s">
        <v>309</v>
      </c>
      <c r="I894" t="s">
        <v>1443</v>
      </c>
      <c r="J894">
        <v>-2175.62</v>
      </c>
      <c r="K894">
        <v>-2175.62</v>
      </c>
      <c r="O894" t="s">
        <v>787</v>
      </c>
      <c r="P894" t="s">
        <v>894</v>
      </c>
      <c r="Q894" t="s">
        <v>463</v>
      </c>
      <c r="R894">
        <v>0</v>
      </c>
    </row>
    <row r="895" spans="1:18" x14ac:dyDescent="0.3">
      <c r="A895">
        <v>192190</v>
      </c>
      <c r="B895" t="s">
        <v>557</v>
      </c>
      <c r="C895" t="s">
        <v>919</v>
      </c>
      <c r="D895" t="s">
        <v>1191</v>
      </c>
      <c r="E895" s="451">
        <v>46143</v>
      </c>
      <c r="F895" s="451">
        <v>46178</v>
      </c>
      <c r="G895" t="s">
        <v>279</v>
      </c>
      <c r="H895" t="s">
        <v>284</v>
      </c>
      <c r="I895" t="s">
        <v>1444</v>
      </c>
      <c r="J895">
        <v>-520</v>
      </c>
      <c r="K895">
        <v>-520</v>
      </c>
      <c r="O895" t="s">
        <v>787</v>
      </c>
      <c r="P895" t="s">
        <v>894</v>
      </c>
      <c r="Q895" t="s">
        <v>463</v>
      </c>
      <c r="R895">
        <v>0</v>
      </c>
    </row>
    <row r="896" spans="1:18" x14ac:dyDescent="0.3">
      <c r="A896">
        <v>193003</v>
      </c>
      <c r="B896" t="s">
        <v>557</v>
      </c>
      <c r="C896" t="s">
        <v>925</v>
      </c>
      <c r="D896" t="s">
        <v>1316</v>
      </c>
      <c r="E896" s="451">
        <v>46143</v>
      </c>
      <c r="F896" s="451">
        <v>46178</v>
      </c>
      <c r="G896" t="s">
        <v>279</v>
      </c>
      <c r="H896" t="s">
        <v>282</v>
      </c>
      <c r="I896" t="s">
        <v>1445</v>
      </c>
      <c r="J896">
        <v>-40.9</v>
      </c>
      <c r="K896">
        <v>-40.9</v>
      </c>
      <c r="O896" t="s">
        <v>787</v>
      </c>
      <c r="P896" t="s">
        <v>894</v>
      </c>
      <c r="Q896" t="s">
        <v>463</v>
      </c>
      <c r="R896">
        <v>0</v>
      </c>
    </row>
    <row r="897" spans="1:18" x14ac:dyDescent="0.3">
      <c r="A897">
        <v>196168</v>
      </c>
      <c r="B897" t="s">
        <v>557</v>
      </c>
      <c r="C897" t="s">
        <v>907</v>
      </c>
      <c r="D897" t="s">
        <v>1446</v>
      </c>
      <c r="E897" s="451">
        <v>46143</v>
      </c>
      <c r="F897" s="451">
        <v>46182</v>
      </c>
      <c r="G897" t="s">
        <v>578</v>
      </c>
      <c r="H897" t="s">
        <v>252</v>
      </c>
      <c r="I897" t="s">
        <v>1447</v>
      </c>
      <c r="J897">
        <v>-2700</v>
      </c>
      <c r="K897">
        <v>-2700</v>
      </c>
      <c r="O897" t="s">
        <v>787</v>
      </c>
      <c r="P897" t="s">
        <v>894</v>
      </c>
      <c r="Q897" t="s">
        <v>463</v>
      </c>
      <c r="R897">
        <v>0</v>
      </c>
    </row>
    <row r="898" spans="1:18" x14ac:dyDescent="0.3">
      <c r="A898">
        <v>196300</v>
      </c>
      <c r="B898" t="s">
        <v>557</v>
      </c>
      <c r="C898" t="s">
        <v>834</v>
      </c>
      <c r="D898" t="s">
        <v>1448</v>
      </c>
      <c r="E898" s="451">
        <v>46143</v>
      </c>
      <c r="F898" s="451">
        <v>46140</v>
      </c>
      <c r="G898" t="s">
        <v>578</v>
      </c>
      <c r="H898" t="s">
        <v>239</v>
      </c>
      <c r="I898" t="s">
        <v>835</v>
      </c>
      <c r="J898">
        <v>-4013.9</v>
      </c>
      <c r="K898">
        <v>-4013.9</v>
      </c>
      <c r="O898" t="s">
        <v>787</v>
      </c>
      <c r="P898" t="s">
        <v>894</v>
      </c>
      <c r="Q898" t="s">
        <v>463</v>
      </c>
      <c r="R898">
        <v>0</v>
      </c>
    </row>
    <row r="899" spans="1:18" x14ac:dyDescent="0.3">
      <c r="A899">
        <v>200579</v>
      </c>
      <c r="B899" t="s">
        <v>557</v>
      </c>
      <c r="C899" t="s">
        <v>882</v>
      </c>
      <c r="D899" t="s">
        <v>1362</v>
      </c>
      <c r="E899" s="451">
        <v>46143</v>
      </c>
      <c r="F899" s="451">
        <v>46188</v>
      </c>
      <c r="G899" t="s">
        <v>570</v>
      </c>
      <c r="H899" t="s">
        <v>573</v>
      </c>
      <c r="I899" t="s">
        <v>880</v>
      </c>
      <c r="J899">
        <v>-3250</v>
      </c>
      <c r="K899">
        <v>-3250</v>
      </c>
      <c r="M899" t="s">
        <v>883</v>
      </c>
      <c r="N899" t="s">
        <v>135</v>
      </c>
      <c r="O899" t="s">
        <v>787</v>
      </c>
      <c r="P899" t="s">
        <v>894</v>
      </c>
      <c r="Q899" t="s">
        <v>463</v>
      </c>
      <c r="R899">
        <v>0</v>
      </c>
    </row>
    <row r="900" spans="1:18" x14ac:dyDescent="0.3">
      <c r="A900">
        <v>192027</v>
      </c>
      <c r="B900" t="s">
        <v>557</v>
      </c>
      <c r="C900" t="s">
        <v>870</v>
      </c>
      <c r="D900" t="s">
        <v>1449</v>
      </c>
      <c r="E900" s="451">
        <v>46143</v>
      </c>
      <c r="F900" s="451">
        <v>46167</v>
      </c>
      <c r="G900" t="s">
        <v>308</v>
      </c>
      <c r="H900" t="s">
        <v>311</v>
      </c>
      <c r="I900" t="s">
        <v>1450</v>
      </c>
      <c r="J900">
        <v>-1220.05</v>
      </c>
      <c r="K900">
        <v>-1220.05</v>
      </c>
      <c r="O900" t="s">
        <v>787</v>
      </c>
      <c r="P900" t="s">
        <v>894</v>
      </c>
      <c r="Q900" t="s">
        <v>463</v>
      </c>
      <c r="R900">
        <v>0</v>
      </c>
    </row>
    <row r="901" spans="1:18" x14ac:dyDescent="0.3">
      <c r="A901">
        <v>192513</v>
      </c>
      <c r="B901" t="s">
        <v>557</v>
      </c>
      <c r="C901" t="s">
        <v>836</v>
      </c>
      <c r="D901" t="s">
        <v>1451</v>
      </c>
      <c r="E901" s="451">
        <v>46143</v>
      </c>
      <c r="F901" s="451">
        <v>46163</v>
      </c>
      <c r="G901" t="s">
        <v>318</v>
      </c>
      <c r="H901" t="s">
        <v>319</v>
      </c>
      <c r="I901" t="s">
        <v>1452</v>
      </c>
      <c r="J901">
        <v>-500</v>
      </c>
      <c r="K901">
        <v>-500</v>
      </c>
      <c r="O901" t="s">
        <v>787</v>
      </c>
      <c r="P901" t="s">
        <v>894</v>
      </c>
      <c r="Q901" t="s">
        <v>463</v>
      </c>
      <c r="R901">
        <v>0</v>
      </c>
    </row>
    <row r="902" spans="1:18" x14ac:dyDescent="0.3">
      <c r="A902">
        <v>191980</v>
      </c>
      <c r="B902" t="s">
        <v>557</v>
      </c>
      <c r="C902" t="s">
        <v>832</v>
      </c>
      <c r="D902" t="s">
        <v>1453</v>
      </c>
      <c r="E902" s="451">
        <v>46143</v>
      </c>
      <c r="F902" s="451">
        <v>46195</v>
      </c>
      <c r="G902" t="s">
        <v>264</v>
      </c>
      <c r="H902" t="s">
        <v>271</v>
      </c>
      <c r="I902" t="s">
        <v>1454</v>
      </c>
      <c r="J902">
        <v>-1115.3900000000001</v>
      </c>
      <c r="K902">
        <v>-1115.3900000000001</v>
      </c>
      <c r="O902" t="s">
        <v>787</v>
      </c>
      <c r="P902" t="s">
        <v>894</v>
      </c>
      <c r="Q902" t="s">
        <v>463</v>
      </c>
      <c r="R902">
        <v>0</v>
      </c>
    </row>
    <row r="903" spans="1:18" x14ac:dyDescent="0.3">
      <c r="A903">
        <v>192560</v>
      </c>
      <c r="B903" t="s">
        <v>557</v>
      </c>
      <c r="C903" t="s">
        <v>917</v>
      </c>
      <c r="D903" t="s">
        <v>1455</v>
      </c>
      <c r="E903" s="451">
        <v>46143</v>
      </c>
      <c r="F903" s="451">
        <v>46195</v>
      </c>
      <c r="G903" t="s">
        <v>318</v>
      </c>
      <c r="H903" t="s">
        <v>321</v>
      </c>
      <c r="I903" t="s">
        <v>1456</v>
      </c>
      <c r="J903">
        <v>-200</v>
      </c>
      <c r="K903">
        <v>-200</v>
      </c>
      <c r="O903" t="s">
        <v>787</v>
      </c>
      <c r="P903" t="s">
        <v>894</v>
      </c>
      <c r="Q903" t="s">
        <v>463</v>
      </c>
      <c r="R903">
        <v>0</v>
      </c>
    </row>
    <row r="904" spans="1:18" x14ac:dyDescent="0.3">
      <c r="A904">
        <v>200567</v>
      </c>
      <c r="B904" t="s">
        <v>557</v>
      </c>
      <c r="C904" t="s">
        <v>882</v>
      </c>
      <c r="D904" t="s">
        <v>1362</v>
      </c>
      <c r="E904" s="451">
        <v>46143</v>
      </c>
      <c r="F904" s="451">
        <v>46174</v>
      </c>
      <c r="G904" t="s">
        <v>570</v>
      </c>
      <c r="H904" t="s">
        <v>573</v>
      </c>
      <c r="I904" t="s">
        <v>880</v>
      </c>
      <c r="J904">
        <v>-3250</v>
      </c>
      <c r="K904">
        <v>-3250</v>
      </c>
      <c r="M904" t="s">
        <v>883</v>
      </c>
      <c r="N904" t="s">
        <v>135</v>
      </c>
      <c r="O904" t="s">
        <v>787</v>
      </c>
      <c r="P904" t="s">
        <v>894</v>
      </c>
      <c r="Q904" t="s">
        <v>463</v>
      </c>
      <c r="R904">
        <v>0</v>
      </c>
    </row>
    <row r="905" spans="1:18" x14ac:dyDescent="0.3">
      <c r="A905">
        <v>191933</v>
      </c>
      <c r="B905" t="s">
        <v>557</v>
      </c>
      <c r="C905" t="s">
        <v>889</v>
      </c>
      <c r="D905" t="s">
        <v>1457</v>
      </c>
      <c r="E905" s="451">
        <v>46143</v>
      </c>
      <c r="F905" s="451">
        <v>46175</v>
      </c>
      <c r="G905" t="s">
        <v>279</v>
      </c>
      <c r="H905" t="s">
        <v>281</v>
      </c>
      <c r="I905" t="s">
        <v>1458</v>
      </c>
      <c r="J905">
        <v>-159.80000000000001</v>
      </c>
      <c r="K905">
        <v>-159.80000000000001</v>
      </c>
      <c r="O905" t="s">
        <v>787</v>
      </c>
      <c r="P905" t="s">
        <v>894</v>
      </c>
      <c r="Q905" t="s">
        <v>463</v>
      </c>
      <c r="R905">
        <v>0</v>
      </c>
    </row>
    <row r="906" spans="1:18" x14ac:dyDescent="0.3">
      <c r="A906">
        <v>200555</v>
      </c>
      <c r="B906" t="s">
        <v>557</v>
      </c>
      <c r="C906" t="s">
        <v>884</v>
      </c>
      <c r="D906" t="s">
        <v>1459</v>
      </c>
      <c r="E906" s="451">
        <v>46143</v>
      </c>
      <c r="F906" s="451">
        <v>46183</v>
      </c>
      <c r="G906" t="s">
        <v>570</v>
      </c>
      <c r="H906" t="s">
        <v>573</v>
      </c>
      <c r="I906" t="s">
        <v>880</v>
      </c>
      <c r="J906">
        <v>-1750</v>
      </c>
      <c r="K906">
        <v>-1750</v>
      </c>
      <c r="M906" t="s">
        <v>885</v>
      </c>
      <c r="N906" t="s">
        <v>134</v>
      </c>
      <c r="O906" t="s">
        <v>787</v>
      </c>
      <c r="P906" t="s">
        <v>894</v>
      </c>
      <c r="Q906" t="s">
        <v>463</v>
      </c>
      <c r="R906">
        <v>0</v>
      </c>
    </row>
    <row r="907" spans="1:18" x14ac:dyDescent="0.3">
      <c r="A907">
        <v>192501</v>
      </c>
      <c r="B907" t="s">
        <v>557</v>
      </c>
      <c r="C907" t="s">
        <v>936</v>
      </c>
      <c r="D907" t="s">
        <v>1460</v>
      </c>
      <c r="E907" s="451">
        <v>46143</v>
      </c>
      <c r="F907" s="451">
        <v>46162</v>
      </c>
      <c r="G907" t="s">
        <v>318</v>
      </c>
      <c r="H907" t="s">
        <v>319</v>
      </c>
      <c r="I907" t="s">
        <v>1461</v>
      </c>
      <c r="J907">
        <v>-1264</v>
      </c>
      <c r="K907">
        <v>-1264</v>
      </c>
      <c r="O907" t="s">
        <v>787</v>
      </c>
      <c r="P907" t="s">
        <v>894</v>
      </c>
      <c r="Q907" t="s">
        <v>463</v>
      </c>
      <c r="R907">
        <v>0</v>
      </c>
    </row>
    <row r="908" spans="1:18" x14ac:dyDescent="0.3">
      <c r="A908">
        <v>192944</v>
      </c>
      <c r="B908" t="s">
        <v>557</v>
      </c>
      <c r="C908" t="s">
        <v>921</v>
      </c>
      <c r="D908" t="s">
        <v>1316</v>
      </c>
      <c r="E908" s="451">
        <v>46143</v>
      </c>
      <c r="F908" s="451">
        <v>46178</v>
      </c>
      <c r="G908" t="s">
        <v>296</v>
      </c>
      <c r="H908" t="s">
        <v>301</v>
      </c>
      <c r="I908" t="s">
        <v>1462</v>
      </c>
      <c r="J908">
        <v>-1638.01</v>
      </c>
      <c r="K908">
        <v>-1638.01</v>
      </c>
      <c r="O908" t="s">
        <v>787</v>
      </c>
      <c r="P908" t="s">
        <v>894</v>
      </c>
      <c r="Q908" t="s">
        <v>463</v>
      </c>
      <c r="R908">
        <v>0</v>
      </c>
    </row>
    <row r="909" spans="1:18" x14ac:dyDescent="0.3">
      <c r="A909">
        <v>191921</v>
      </c>
      <c r="B909" t="s">
        <v>557</v>
      </c>
      <c r="C909" t="s">
        <v>889</v>
      </c>
      <c r="D909" t="s">
        <v>1463</v>
      </c>
      <c r="E909" s="451">
        <v>46143</v>
      </c>
      <c r="F909" s="451">
        <v>46165</v>
      </c>
      <c r="G909" t="s">
        <v>279</v>
      </c>
      <c r="H909" t="s">
        <v>282</v>
      </c>
      <c r="I909" t="s">
        <v>1464</v>
      </c>
      <c r="J909">
        <v>-308.07</v>
      </c>
      <c r="K909">
        <v>-308.07</v>
      </c>
      <c r="O909" t="s">
        <v>787</v>
      </c>
      <c r="P909" t="s">
        <v>894</v>
      </c>
      <c r="Q909" t="s">
        <v>463</v>
      </c>
      <c r="R909">
        <v>0</v>
      </c>
    </row>
    <row r="910" spans="1:18" x14ac:dyDescent="0.3">
      <c r="A910">
        <v>200543</v>
      </c>
      <c r="B910" t="s">
        <v>557</v>
      </c>
      <c r="C910" t="s">
        <v>886</v>
      </c>
      <c r="D910" t="s">
        <v>1465</v>
      </c>
      <c r="E910" s="451">
        <v>46143</v>
      </c>
      <c r="F910" s="451">
        <v>46188</v>
      </c>
      <c r="G910" t="s">
        <v>570</v>
      </c>
      <c r="H910" t="s">
        <v>573</v>
      </c>
      <c r="I910" t="s">
        <v>880</v>
      </c>
      <c r="J910">
        <v>-3300</v>
      </c>
      <c r="K910">
        <v>-3300</v>
      </c>
      <c r="M910" t="s">
        <v>887</v>
      </c>
      <c r="N910" t="s">
        <v>131</v>
      </c>
      <c r="O910" t="s">
        <v>787</v>
      </c>
      <c r="P910" t="s">
        <v>894</v>
      </c>
      <c r="Q910" t="s">
        <v>463</v>
      </c>
      <c r="R910">
        <v>0</v>
      </c>
    </row>
    <row r="911" spans="1:18" x14ac:dyDescent="0.3">
      <c r="A911">
        <v>192091</v>
      </c>
      <c r="B911" t="s">
        <v>557</v>
      </c>
      <c r="C911" t="s">
        <v>877</v>
      </c>
      <c r="D911" t="s">
        <v>1466</v>
      </c>
      <c r="E911" s="451">
        <v>46143</v>
      </c>
      <c r="F911" s="451">
        <v>46191</v>
      </c>
      <c r="G911" t="s">
        <v>308</v>
      </c>
      <c r="H911" t="s">
        <v>314</v>
      </c>
      <c r="I911" t="s">
        <v>1467</v>
      </c>
      <c r="J911">
        <v>-738.35</v>
      </c>
      <c r="K911">
        <v>-738.35</v>
      </c>
      <c r="O911" t="s">
        <v>787</v>
      </c>
      <c r="P911" t="s">
        <v>894</v>
      </c>
      <c r="Q911" t="s">
        <v>463</v>
      </c>
      <c r="R911">
        <v>0</v>
      </c>
    </row>
    <row r="912" spans="1:18" x14ac:dyDescent="0.3">
      <c r="A912">
        <v>191885</v>
      </c>
      <c r="B912" t="s">
        <v>557</v>
      </c>
      <c r="C912" t="s">
        <v>900</v>
      </c>
      <c r="D912" t="s">
        <v>1468</v>
      </c>
      <c r="E912" s="451">
        <v>46143</v>
      </c>
      <c r="F912" s="451">
        <v>46178</v>
      </c>
      <c r="G912" t="s">
        <v>264</v>
      </c>
      <c r="H912" t="s">
        <v>266</v>
      </c>
      <c r="I912" t="s">
        <v>1469</v>
      </c>
      <c r="J912">
        <v>-11348.7</v>
      </c>
      <c r="K912">
        <v>-11348.7</v>
      </c>
      <c r="O912" t="s">
        <v>787</v>
      </c>
      <c r="P912" t="s">
        <v>894</v>
      </c>
      <c r="Q912" t="s">
        <v>463</v>
      </c>
      <c r="R912">
        <v>0</v>
      </c>
    </row>
    <row r="913" spans="1:18" x14ac:dyDescent="0.3">
      <c r="A913">
        <v>192596</v>
      </c>
      <c r="B913" t="s">
        <v>557</v>
      </c>
      <c r="C913" t="s">
        <v>840</v>
      </c>
      <c r="D913" t="s">
        <v>1470</v>
      </c>
      <c r="E913" s="451">
        <v>46143</v>
      </c>
      <c r="F913" s="451">
        <v>46172</v>
      </c>
      <c r="G913" t="s">
        <v>581</v>
      </c>
      <c r="H913" t="s">
        <v>288</v>
      </c>
      <c r="I913" t="s">
        <v>1471</v>
      </c>
      <c r="J913">
        <v>-2500</v>
      </c>
      <c r="K913">
        <v>-2500</v>
      </c>
      <c r="O913" t="s">
        <v>787</v>
      </c>
      <c r="P913" t="s">
        <v>894</v>
      </c>
      <c r="Q913" t="s">
        <v>463</v>
      </c>
      <c r="R913">
        <v>0</v>
      </c>
    </row>
    <row r="914" spans="1:18" x14ac:dyDescent="0.3">
      <c r="A914">
        <v>200491</v>
      </c>
      <c r="B914" t="s">
        <v>557</v>
      </c>
      <c r="C914" t="s">
        <v>888</v>
      </c>
      <c r="D914" t="s">
        <v>1426</v>
      </c>
      <c r="E914" s="451">
        <v>46143</v>
      </c>
      <c r="F914" s="451">
        <v>46198</v>
      </c>
      <c r="G914" t="s">
        <v>570</v>
      </c>
      <c r="H914" t="s">
        <v>573</v>
      </c>
      <c r="I914" t="s">
        <v>880</v>
      </c>
      <c r="J914">
        <v>-4400</v>
      </c>
      <c r="K914">
        <v>-4400</v>
      </c>
      <c r="M914" t="s">
        <v>887</v>
      </c>
      <c r="N914" t="s">
        <v>131</v>
      </c>
      <c r="O914" t="s">
        <v>787</v>
      </c>
      <c r="P914" t="s">
        <v>894</v>
      </c>
      <c r="Q914" t="s">
        <v>463</v>
      </c>
      <c r="R914">
        <v>0</v>
      </c>
    </row>
    <row r="915" spans="1:18" x14ac:dyDescent="0.3">
      <c r="A915">
        <v>200530</v>
      </c>
      <c r="B915" t="s">
        <v>557</v>
      </c>
      <c r="C915" t="s">
        <v>886</v>
      </c>
      <c r="D915" t="s">
        <v>1465</v>
      </c>
      <c r="E915" s="451">
        <v>46143</v>
      </c>
      <c r="F915" s="451">
        <v>46174</v>
      </c>
      <c r="G915" t="s">
        <v>570</v>
      </c>
      <c r="H915" t="s">
        <v>573</v>
      </c>
      <c r="I915" t="s">
        <v>880</v>
      </c>
      <c r="J915">
        <v>-3300</v>
      </c>
      <c r="K915">
        <v>-3300</v>
      </c>
      <c r="M915" t="s">
        <v>887</v>
      </c>
      <c r="N915" t="s">
        <v>131</v>
      </c>
      <c r="O915" t="s">
        <v>787</v>
      </c>
      <c r="P915" t="s">
        <v>894</v>
      </c>
      <c r="Q915" t="s">
        <v>463</v>
      </c>
      <c r="R915">
        <v>0</v>
      </c>
    </row>
    <row r="916" spans="1:18" x14ac:dyDescent="0.3">
      <c r="A916">
        <v>191849</v>
      </c>
      <c r="B916" t="s">
        <v>557</v>
      </c>
      <c r="C916" t="s">
        <v>898</v>
      </c>
      <c r="D916" t="s">
        <v>1316</v>
      </c>
      <c r="E916" s="451">
        <v>46143</v>
      </c>
      <c r="F916" s="451">
        <v>46175</v>
      </c>
      <c r="G916" t="s">
        <v>279</v>
      </c>
      <c r="H916" t="s">
        <v>281</v>
      </c>
      <c r="I916" t="s">
        <v>1472</v>
      </c>
      <c r="J916">
        <v>-137.16</v>
      </c>
      <c r="K916">
        <v>-137.16</v>
      </c>
      <c r="O916" t="s">
        <v>787</v>
      </c>
      <c r="P916" t="s">
        <v>894</v>
      </c>
      <c r="Q916" t="s">
        <v>463</v>
      </c>
      <c r="R916">
        <v>0</v>
      </c>
    </row>
    <row r="917" spans="1:18" x14ac:dyDescent="0.3">
      <c r="A917">
        <v>193428</v>
      </c>
      <c r="B917" t="s">
        <v>557</v>
      </c>
      <c r="C917" t="s">
        <v>873</v>
      </c>
      <c r="D917" t="s">
        <v>1473</v>
      </c>
      <c r="E917" s="451">
        <v>46143</v>
      </c>
      <c r="F917" s="451">
        <v>46160</v>
      </c>
      <c r="G917" t="s">
        <v>874</v>
      </c>
      <c r="H917" t="s">
        <v>875</v>
      </c>
      <c r="I917" t="s">
        <v>1474</v>
      </c>
      <c r="J917">
        <v>-400</v>
      </c>
      <c r="K917">
        <v>-400</v>
      </c>
      <c r="O917" t="s">
        <v>787</v>
      </c>
      <c r="P917" t="s">
        <v>894</v>
      </c>
      <c r="Q917" t="s">
        <v>463</v>
      </c>
      <c r="R917">
        <v>0</v>
      </c>
    </row>
    <row r="918" spans="1:18" x14ac:dyDescent="0.3">
      <c r="A918">
        <v>192482</v>
      </c>
      <c r="B918" t="s">
        <v>557</v>
      </c>
      <c r="C918" t="s">
        <v>934</v>
      </c>
      <c r="D918" t="s">
        <v>1475</v>
      </c>
      <c r="E918" s="451">
        <v>46143</v>
      </c>
      <c r="F918" s="451">
        <v>46162</v>
      </c>
      <c r="G918" t="s">
        <v>308</v>
      </c>
      <c r="H918" t="s">
        <v>312</v>
      </c>
      <c r="I918" t="s">
        <v>1476</v>
      </c>
      <c r="J918">
        <v>-185</v>
      </c>
      <c r="K918">
        <v>-185</v>
      </c>
      <c r="O918" t="s">
        <v>787</v>
      </c>
      <c r="P918" t="s">
        <v>894</v>
      </c>
      <c r="Q918" t="s">
        <v>463</v>
      </c>
      <c r="R918">
        <v>0</v>
      </c>
    </row>
    <row r="919" spans="1:18" x14ac:dyDescent="0.3">
      <c r="A919">
        <v>192129</v>
      </c>
      <c r="B919" t="s">
        <v>557</v>
      </c>
      <c r="C919" t="s">
        <v>909</v>
      </c>
      <c r="D919" t="s">
        <v>1477</v>
      </c>
      <c r="E919" s="451">
        <v>46143</v>
      </c>
      <c r="F919" s="451">
        <v>46162</v>
      </c>
      <c r="G919" t="s">
        <v>308</v>
      </c>
      <c r="H919" t="s">
        <v>311</v>
      </c>
      <c r="I919" t="s">
        <v>1478</v>
      </c>
      <c r="J919">
        <v>-286.05</v>
      </c>
      <c r="K919">
        <v>-286.05</v>
      </c>
      <c r="O919" t="s">
        <v>787</v>
      </c>
      <c r="P919" t="s">
        <v>894</v>
      </c>
      <c r="Q919" t="s">
        <v>463</v>
      </c>
      <c r="R919">
        <v>0</v>
      </c>
    </row>
    <row r="920" spans="1:18" x14ac:dyDescent="0.3">
      <c r="A920">
        <v>196324</v>
      </c>
      <c r="B920" t="s">
        <v>557</v>
      </c>
      <c r="C920" t="s">
        <v>834</v>
      </c>
      <c r="D920" t="s">
        <v>1479</v>
      </c>
      <c r="E920" s="451">
        <v>46143</v>
      </c>
      <c r="F920" s="451">
        <v>46140</v>
      </c>
      <c r="G920" t="s">
        <v>578</v>
      </c>
      <c r="H920" t="s">
        <v>239</v>
      </c>
      <c r="I920" t="s">
        <v>844</v>
      </c>
      <c r="J920">
        <v>-1077.92</v>
      </c>
      <c r="K920">
        <v>-1077.92</v>
      </c>
      <c r="O920" t="s">
        <v>787</v>
      </c>
      <c r="P920" t="s">
        <v>894</v>
      </c>
      <c r="Q920" t="s">
        <v>463</v>
      </c>
      <c r="R920">
        <v>0</v>
      </c>
    </row>
    <row r="921" spans="1:18" x14ac:dyDescent="0.3">
      <c r="A921">
        <v>207153</v>
      </c>
      <c r="B921" t="s">
        <v>557</v>
      </c>
      <c r="C921" t="s">
        <v>429</v>
      </c>
      <c r="D921" t="s">
        <v>1480</v>
      </c>
      <c r="E921" s="451">
        <v>46142</v>
      </c>
      <c r="F921" s="451">
        <v>46162</v>
      </c>
      <c r="G921" t="s">
        <v>577</v>
      </c>
      <c r="H921" t="s">
        <v>211</v>
      </c>
      <c r="I921" t="s">
        <v>1481</v>
      </c>
      <c r="J921">
        <v>-6771.81</v>
      </c>
      <c r="K921">
        <v>-6771.81</v>
      </c>
      <c r="O921" t="s">
        <v>787</v>
      </c>
      <c r="P921" t="s">
        <v>894</v>
      </c>
      <c r="Q921" t="s">
        <v>462</v>
      </c>
      <c r="R921">
        <v>0</v>
      </c>
    </row>
    <row r="922" spans="1:18" x14ac:dyDescent="0.3">
      <c r="A922">
        <v>197652</v>
      </c>
      <c r="B922" t="s">
        <v>557</v>
      </c>
      <c r="C922" t="s">
        <v>849</v>
      </c>
      <c r="D922" t="s">
        <v>1331</v>
      </c>
      <c r="E922" s="451">
        <v>46142</v>
      </c>
      <c r="F922" s="451">
        <v>46162</v>
      </c>
      <c r="G922" t="s">
        <v>308</v>
      </c>
      <c r="H922" t="s">
        <v>309</v>
      </c>
      <c r="I922" t="s">
        <v>850</v>
      </c>
      <c r="J922">
        <v>-180.58</v>
      </c>
      <c r="K922">
        <v>-180.58</v>
      </c>
      <c r="O922" t="s">
        <v>787</v>
      </c>
      <c r="P922" t="s">
        <v>894</v>
      </c>
      <c r="Q922" t="s">
        <v>462</v>
      </c>
      <c r="R922">
        <v>0</v>
      </c>
    </row>
    <row r="923" spans="1:18" x14ac:dyDescent="0.3">
      <c r="A923">
        <v>208283</v>
      </c>
      <c r="B923" t="s">
        <v>557</v>
      </c>
      <c r="C923" t="s">
        <v>428</v>
      </c>
      <c r="D923" t="s">
        <v>1482</v>
      </c>
      <c r="E923" s="451">
        <v>46142</v>
      </c>
      <c r="F923" s="451">
        <v>46162</v>
      </c>
      <c r="G923" t="s">
        <v>577</v>
      </c>
      <c r="H923" t="s">
        <v>206</v>
      </c>
      <c r="I923" t="s">
        <v>1483</v>
      </c>
      <c r="J923">
        <v>-5523.77</v>
      </c>
      <c r="K923">
        <v>-5523.77</v>
      </c>
      <c r="O923" t="s">
        <v>787</v>
      </c>
      <c r="P923" t="s">
        <v>894</v>
      </c>
      <c r="Q923" t="s">
        <v>462</v>
      </c>
      <c r="R923">
        <v>0</v>
      </c>
    </row>
    <row r="924" spans="1:18" x14ac:dyDescent="0.3">
      <c r="A924">
        <v>197470</v>
      </c>
      <c r="B924" t="s">
        <v>557</v>
      </c>
      <c r="C924" t="s">
        <v>845</v>
      </c>
      <c r="D924" t="s">
        <v>1331</v>
      </c>
      <c r="E924" s="451">
        <v>46142</v>
      </c>
      <c r="F924" s="451">
        <v>46162</v>
      </c>
      <c r="G924" t="s">
        <v>308</v>
      </c>
      <c r="H924" t="s">
        <v>309</v>
      </c>
      <c r="I924" t="s">
        <v>853</v>
      </c>
      <c r="J924">
        <v>-53.52</v>
      </c>
      <c r="K924">
        <v>-53.52</v>
      </c>
      <c r="O924" t="s">
        <v>787</v>
      </c>
      <c r="P924" t="s">
        <v>894</v>
      </c>
      <c r="Q924" t="s">
        <v>462</v>
      </c>
      <c r="R924">
        <v>0</v>
      </c>
    </row>
    <row r="925" spans="1:18" x14ac:dyDescent="0.3">
      <c r="A925">
        <v>208527</v>
      </c>
      <c r="B925" t="s">
        <v>557</v>
      </c>
      <c r="C925" t="s">
        <v>845</v>
      </c>
      <c r="D925" t="s">
        <v>1484</v>
      </c>
      <c r="E925" s="451">
        <v>46142</v>
      </c>
      <c r="F925" s="451">
        <v>46162</v>
      </c>
      <c r="G925" t="s">
        <v>577</v>
      </c>
      <c r="H925" t="s">
        <v>846</v>
      </c>
      <c r="I925" t="s">
        <v>1485</v>
      </c>
      <c r="J925">
        <v>-850.31</v>
      </c>
      <c r="K925">
        <v>-850.31</v>
      </c>
      <c r="O925" t="s">
        <v>787</v>
      </c>
      <c r="P925" t="s">
        <v>894</v>
      </c>
      <c r="Q925" t="s">
        <v>462</v>
      </c>
      <c r="R925">
        <v>0</v>
      </c>
    </row>
    <row r="926" spans="1:18" x14ac:dyDescent="0.3">
      <c r="A926">
        <v>192063</v>
      </c>
      <c r="B926" t="s">
        <v>557</v>
      </c>
      <c r="C926" t="s">
        <v>851</v>
      </c>
      <c r="D926" t="s">
        <v>1486</v>
      </c>
      <c r="E926" s="451">
        <v>46142</v>
      </c>
      <c r="F926" s="451">
        <v>46157</v>
      </c>
      <c r="G926" t="s">
        <v>318</v>
      </c>
      <c r="H926" t="s">
        <v>320</v>
      </c>
      <c r="I926" t="s">
        <v>1487</v>
      </c>
      <c r="J926">
        <v>-151.78</v>
      </c>
      <c r="K926">
        <v>-151.78</v>
      </c>
      <c r="O926" t="s">
        <v>787</v>
      </c>
      <c r="P926" t="s">
        <v>894</v>
      </c>
      <c r="Q926" t="s">
        <v>462</v>
      </c>
      <c r="R926">
        <v>0</v>
      </c>
    </row>
    <row r="927" spans="1:18" x14ac:dyDescent="0.3">
      <c r="A927">
        <v>210552</v>
      </c>
      <c r="B927" t="s">
        <v>557</v>
      </c>
      <c r="C927" t="s">
        <v>518</v>
      </c>
      <c r="D927" t="s">
        <v>1331</v>
      </c>
      <c r="E927" s="451">
        <v>46142</v>
      </c>
      <c r="F927" s="451">
        <v>46167</v>
      </c>
      <c r="G927" t="s">
        <v>563</v>
      </c>
      <c r="H927" t="s">
        <v>46</v>
      </c>
      <c r="I927" t="s">
        <v>1257</v>
      </c>
      <c r="J927">
        <v>-10306.31</v>
      </c>
      <c r="K927">
        <v>-10306.31</v>
      </c>
      <c r="O927" t="s">
        <v>787</v>
      </c>
      <c r="P927" t="s">
        <v>894</v>
      </c>
      <c r="Q927" t="s">
        <v>462</v>
      </c>
      <c r="R927">
        <v>0</v>
      </c>
    </row>
    <row r="928" spans="1:18" x14ac:dyDescent="0.3">
      <c r="A928">
        <v>202386</v>
      </c>
      <c r="B928" t="s">
        <v>557</v>
      </c>
      <c r="C928" t="s">
        <v>847</v>
      </c>
      <c r="D928" t="s">
        <v>1488</v>
      </c>
      <c r="E928" s="451">
        <v>46142</v>
      </c>
      <c r="F928" s="451">
        <v>46153</v>
      </c>
      <c r="G928" t="s">
        <v>578</v>
      </c>
      <c r="H928" t="s">
        <v>247</v>
      </c>
      <c r="J928">
        <v>-461.45</v>
      </c>
      <c r="K928">
        <v>-461.45</v>
      </c>
      <c r="O928" t="s">
        <v>787</v>
      </c>
      <c r="P928" t="s">
        <v>894</v>
      </c>
      <c r="Q928" t="s">
        <v>462</v>
      </c>
      <c r="R928">
        <v>0</v>
      </c>
    </row>
    <row r="929" spans="1:18" x14ac:dyDescent="0.3">
      <c r="A929">
        <v>210564</v>
      </c>
      <c r="B929" t="s">
        <v>557</v>
      </c>
      <c r="C929" t="s">
        <v>517</v>
      </c>
      <c r="D929" t="s">
        <v>1331</v>
      </c>
      <c r="E929" s="451">
        <v>46142</v>
      </c>
      <c r="F929" s="451">
        <v>46167</v>
      </c>
      <c r="G929" t="s">
        <v>563</v>
      </c>
      <c r="H929" t="s">
        <v>46</v>
      </c>
      <c r="I929" t="s">
        <v>1257</v>
      </c>
      <c r="J929">
        <v>-2233.0300000000002</v>
      </c>
      <c r="K929">
        <v>-2233.0300000000002</v>
      </c>
      <c r="O929" t="s">
        <v>787</v>
      </c>
      <c r="P929" t="s">
        <v>894</v>
      </c>
      <c r="Q929" t="s">
        <v>462</v>
      </c>
      <c r="R929">
        <v>0</v>
      </c>
    </row>
    <row r="930" spans="1:18" x14ac:dyDescent="0.3">
      <c r="A930">
        <v>197124</v>
      </c>
      <c r="B930" t="s">
        <v>557</v>
      </c>
      <c r="C930" t="s">
        <v>48</v>
      </c>
      <c r="D930" t="s">
        <v>1331</v>
      </c>
      <c r="E930" s="451">
        <v>46142</v>
      </c>
      <c r="F930" s="451">
        <v>46162</v>
      </c>
      <c r="G930" t="s">
        <v>563</v>
      </c>
      <c r="H930" t="s">
        <v>48</v>
      </c>
      <c r="J930">
        <v>-14318.05</v>
      </c>
      <c r="K930">
        <v>-14318.05</v>
      </c>
      <c r="O930" t="s">
        <v>787</v>
      </c>
      <c r="P930" t="s">
        <v>894</v>
      </c>
      <c r="Q930" t="s">
        <v>462</v>
      </c>
      <c r="R930">
        <v>0</v>
      </c>
    </row>
    <row r="931" spans="1:18" x14ac:dyDescent="0.3">
      <c r="A931">
        <v>230026</v>
      </c>
      <c r="B931" t="s">
        <v>557</v>
      </c>
      <c r="C931" t="s">
        <v>1381</v>
      </c>
      <c r="E931" s="451">
        <v>46142</v>
      </c>
      <c r="F931" s="451">
        <v>46149</v>
      </c>
      <c r="G931" t="s">
        <v>574</v>
      </c>
      <c r="H931" t="s">
        <v>575</v>
      </c>
      <c r="J931">
        <v>-3117.8</v>
      </c>
      <c r="K931">
        <v>-3117.8</v>
      </c>
      <c r="O931" t="s">
        <v>787</v>
      </c>
      <c r="P931" t="s">
        <v>894</v>
      </c>
      <c r="Q931" t="s">
        <v>462</v>
      </c>
      <c r="R931">
        <v>0</v>
      </c>
    </row>
    <row r="932" spans="1:18" x14ac:dyDescent="0.3">
      <c r="A932">
        <v>230027</v>
      </c>
      <c r="B932" t="s">
        <v>557</v>
      </c>
      <c r="C932" t="s">
        <v>1116</v>
      </c>
      <c r="E932" s="451">
        <v>46142</v>
      </c>
      <c r="F932" s="451">
        <v>46149</v>
      </c>
      <c r="G932" t="s">
        <v>574</v>
      </c>
      <c r="H932" t="s">
        <v>575</v>
      </c>
      <c r="J932">
        <v>-2834.07</v>
      </c>
      <c r="K932">
        <v>-2834.07</v>
      </c>
      <c r="O932" t="s">
        <v>787</v>
      </c>
      <c r="P932" t="s">
        <v>894</v>
      </c>
      <c r="Q932" t="s">
        <v>462</v>
      </c>
      <c r="R932">
        <v>0</v>
      </c>
    </row>
    <row r="933" spans="1:18" x14ac:dyDescent="0.3">
      <c r="A933">
        <v>230025</v>
      </c>
      <c r="B933" t="s">
        <v>557</v>
      </c>
      <c r="C933" t="s">
        <v>1110</v>
      </c>
      <c r="E933" s="451">
        <v>46142</v>
      </c>
      <c r="F933" s="451">
        <v>46149</v>
      </c>
      <c r="G933" t="s">
        <v>574</v>
      </c>
      <c r="H933" t="s">
        <v>575</v>
      </c>
      <c r="J933">
        <v>-2698.96</v>
      </c>
      <c r="K933">
        <v>-2698.96</v>
      </c>
      <c r="O933" t="s">
        <v>787</v>
      </c>
      <c r="P933" t="s">
        <v>894</v>
      </c>
      <c r="Q933" t="s">
        <v>462</v>
      </c>
      <c r="R933">
        <v>0</v>
      </c>
    </row>
    <row r="934" spans="1:18" x14ac:dyDescent="0.3">
      <c r="A934">
        <v>230028</v>
      </c>
      <c r="B934" t="s">
        <v>557</v>
      </c>
      <c r="C934" t="s">
        <v>968</v>
      </c>
      <c r="E934" s="451">
        <v>46142</v>
      </c>
      <c r="F934" s="451">
        <v>46149</v>
      </c>
      <c r="G934" t="s">
        <v>574</v>
      </c>
      <c r="H934" t="s">
        <v>575</v>
      </c>
      <c r="J934">
        <v>-2956.69</v>
      </c>
      <c r="K934">
        <v>-2956.69</v>
      </c>
      <c r="O934" t="s">
        <v>787</v>
      </c>
      <c r="P934" t="s">
        <v>894</v>
      </c>
      <c r="Q934" t="s">
        <v>462</v>
      </c>
      <c r="R934">
        <v>0</v>
      </c>
    </row>
    <row r="935" spans="1:18" x14ac:dyDescent="0.3">
      <c r="A935">
        <v>229548</v>
      </c>
      <c r="B935" t="s">
        <v>557</v>
      </c>
      <c r="C935" t="s">
        <v>818</v>
      </c>
      <c r="D935" t="s">
        <v>1489</v>
      </c>
      <c r="E935" s="451">
        <v>46142</v>
      </c>
      <c r="F935" s="451">
        <v>46167</v>
      </c>
      <c r="G935" t="s">
        <v>572</v>
      </c>
      <c r="H935" t="s">
        <v>112</v>
      </c>
      <c r="I935" t="s">
        <v>1490</v>
      </c>
      <c r="J935">
        <v>-2550</v>
      </c>
      <c r="K935">
        <v>-2550</v>
      </c>
      <c r="M935" t="s">
        <v>821</v>
      </c>
      <c r="N935" t="s">
        <v>133</v>
      </c>
      <c r="O935" t="s">
        <v>787</v>
      </c>
      <c r="P935" t="s">
        <v>894</v>
      </c>
      <c r="Q935" t="s">
        <v>462</v>
      </c>
      <c r="R935">
        <v>0</v>
      </c>
    </row>
    <row r="936" spans="1:18" x14ac:dyDescent="0.3">
      <c r="A936">
        <v>230024</v>
      </c>
      <c r="B936" t="s">
        <v>557</v>
      </c>
      <c r="C936" t="s">
        <v>970</v>
      </c>
      <c r="E936" s="451">
        <v>46142</v>
      </c>
      <c r="F936" s="451">
        <v>46149</v>
      </c>
      <c r="G936" t="s">
        <v>574</v>
      </c>
      <c r="H936" t="s">
        <v>575</v>
      </c>
      <c r="J936">
        <v>-4448.88</v>
      </c>
      <c r="K936">
        <v>-4448.88</v>
      </c>
      <c r="O936" t="s">
        <v>787</v>
      </c>
      <c r="P936" t="s">
        <v>894</v>
      </c>
      <c r="Q936" t="s">
        <v>462</v>
      </c>
      <c r="R936">
        <v>0</v>
      </c>
    </row>
    <row r="937" spans="1:18" x14ac:dyDescent="0.3">
      <c r="A937">
        <v>230023</v>
      </c>
      <c r="B937" t="s">
        <v>557</v>
      </c>
      <c r="C937" t="s">
        <v>1113</v>
      </c>
      <c r="E937" s="451">
        <v>46142</v>
      </c>
      <c r="F937" s="451">
        <v>46149</v>
      </c>
      <c r="G937" t="s">
        <v>574</v>
      </c>
      <c r="H937" t="s">
        <v>575</v>
      </c>
      <c r="J937">
        <v>-1420.45</v>
      </c>
      <c r="K937">
        <v>-1420.45</v>
      </c>
      <c r="O937" t="s">
        <v>787</v>
      </c>
      <c r="P937" t="s">
        <v>894</v>
      </c>
      <c r="Q937" t="s">
        <v>462</v>
      </c>
      <c r="R937">
        <v>0</v>
      </c>
    </row>
    <row r="938" spans="1:18" x14ac:dyDescent="0.3">
      <c r="A938">
        <v>228568</v>
      </c>
      <c r="B938" t="s">
        <v>557</v>
      </c>
      <c r="C938" t="s">
        <v>1005</v>
      </c>
      <c r="E938" s="451">
        <v>46142</v>
      </c>
      <c r="F938" s="451">
        <v>46142</v>
      </c>
      <c r="G938" t="s">
        <v>562</v>
      </c>
      <c r="H938" t="s">
        <v>116</v>
      </c>
      <c r="J938">
        <v>-173.5</v>
      </c>
      <c r="K938">
        <v>-173.5</v>
      </c>
      <c r="O938" t="s">
        <v>787</v>
      </c>
      <c r="P938" t="s">
        <v>894</v>
      </c>
      <c r="Q938" t="s">
        <v>462</v>
      </c>
      <c r="R938">
        <v>0</v>
      </c>
    </row>
    <row r="939" spans="1:18" x14ac:dyDescent="0.3">
      <c r="A939">
        <v>230035</v>
      </c>
      <c r="B939" t="s">
        <v>557</v>
      </c>
      <c r="C939" t="s">
        <v>1125</v>
      </c>
      <c r="E939" s="451">
        <v>46142</v>
      </c>
      <c r="F939" s="451">
        <v>46149</v>
      </c>
      <c r="G939" t="s">
        <v>574</v>
      </c>
      <c r="H939" t="s">
        <v>575</v>
      </c>
      <c r="J939">
        <v>-2231.1</v>
      </c>
      <c r="K939">
        <v>-2231.1</v>
      </c>
      <c r="O939" t="s">
        <v>787</v>
      </c>
      <c r="P939" t="s">
        <v>894</v>
      </c>
      <c r="Q939" t="s">
        <v>462</v>
      </c>
      <c r="R939">
        <v>0</v>
      </c>
    </row>
    <row r="940" spans="1:18" x14ac:dyDescent="0.3">
      <c r="A940">
        <v>230036</v>
      </c>
      <c r="B940" t="s">
        <v>557</v>
      </c>
      <c r="C940" t="s">
        <v>1104</v>
      </c>
      <c r="E940" s="451">
        <v>46142</v>
      </c>
      <c r="F940" s="451">
        <v>46149</v>
      </c>
      <c r="G940" t="s">
        <v>574</v>
      </c>
      <c r="H940" t="s">
        <v>575</v>
      </c>
      <c r="J940">
        <v>-1961.68</v>
      </c>
      <c r="K940">
        <v>-1961.68</v>
      </c>
      <c r="O940" t="s">
        <v>787</v>
      </c>
      <c r="P940" t="s">
        <v>894</v>
      </c>
      <c r="Q940" t="s">
        <v>462</v>
      </c>
      <c r="R940">
        <v>0</v>
      </c>
    </row>
    <row r="941" spans="1:18" x14ac:dyDescent="0.3">
      <c r="A941">
        <v>228570</v>
      </c>
      <c r="B941" t="s">
        <v>557</v>
      </c>
      <c r="C941" t="s">
        <v>1007</v>
      </c>
      <c r="E941" s="451">
        <v>46142</v>
      </c>
      <c r="F941" s="451">
        <v>46142</v>
      </c>
      <c r="G941" t="s">
        <v>562</v>
      </c>
      <c r="H941" t="s">
        <v>116</v>
      </c>
      <c r="J941">
        <v>-20.48</v>
      </c>
      <c r="K941">
        <v>-20.48</v>
      </c>
      <c r="O941" t="s">
        <v>787</v>
      </c>
      <c r="P941" t="s">
        <v>894</v>
      </c>
      <c r="Q941" t="s">
        <v>462</v>
      </c>
      <c r="R941">
        <v>0</v>
      </c>
    </row>
    <row r="942" spans="1:18" x14ac:dyDescent="0.3">
      <c r="A942">
        <v>228573</v>
      </c>
      <c r="B942" t="s">
        <v>557</v>
      </c>
      <c r="C942" t="s">
        <v>1008</v>
      </c>
      <c r="E942" s="451">
        <v>46142</v>
      </c>
      <c r="F942" s="451">
        <v>46142</v>
      </c>
      <c r="G942" t="s">
        <v>562</v>
      </c>
      <c r="H942" t="s">
        <v>116</v>
      </c>
      <c r="J942">
        <v>-265.69</v>
      </c>
      <c r="K942">
        <v>-265.69</v>
      </c>
      <c r="O942" t="s">
        <v>787</v>
      </c>
      <c r="P942" t="s">
        <v>894</v>
      </c>
      <c r="Q942" t="s">
        <v>462</v>
      </c>
      <c r="R942">
        <v>0</v>
      </c>
    </row>
    <row r="943" spans="1:18" x14ac:dyDescent="0.3">
      <c r="A943">
        <v>230839</v>
      </c>
      <c r="B943" t="s">
        <v>557</v>
      </c>
      <c r="C943" t="s">
        <v>1491</v>
      </c>
      <c r="E943" s="451">
        <v>46142</v>
      </c>
      <c r="F943" s="451">
        <v>46142</v>
      </c>
      <c r="G943" t="s">
        <v>562</v>
      </c>
      <c r="H943" t="s">
        <v>118</v>
      </c>
      <c r="I943" t="s">
        <v>1233</v>
      </c>
      <c r="J943">
        <v>-21734.26</v>
      </c>
      <c r="K943">
        <v>-21734.26</v>
      </c>
      <c r="O943" t="s">
        <v>787</v>
      </c>
      <c r="P943" t="s">
        <v>894</v>
      </c>
      <c r="Q943" t="s">
        <v>462</v>
      </c>
      <c r="R943">
        <v>0</v>
      </c>
    </row>
    <row r="944" spans="1:18" x14ac:dyDescent="0.3">
      <c r="A944">
        <v>228594</v>
      </c>
      <c r="B944" t="s">
        <v>557</v>
      </c>
      <c r="C944" t="s">
        <v>1237</v>
      </c>
      <c r="E944" s="451">
        <v>46142</v>
      </c>
      <c r="F944" s="451">
        <v>46142</v>
      </c>
      <c r="G944" t="s">
        <v>562</v>
      </c>
      <c r="H944" t="s">
        <v>116</v>
      </c>
      <c r="I944" t="s">
        <v>1238</v>
      </c>
      <c r="J944">
        <v>-4613.3</v>
      </c>
      <c r="K944">
        <v>-4613.3</v>
      </c>
      <c r="O944" t="s">
        <v>787</v>
      </c>
      <c r="P944" t="s">
        <v>894</v>
      </c>
      <c r="Q944" t="s">
        <v>462</v>
      </c>
      <c r="R944">
        <v>0</v>
      </c>
    </row>
    <row r="945" spans="1:18" x14ac:dyDescent="0.3">
      <c r="A945">
        <v>230034</v>
      </c>
      <c r="B945" t="s">
        <v>557</v>
      </c>
      <c r="C945" t="s">
        <v>1105</v>
      </c>
      <c r="E945" s="451">
        <v>46142</v>
      </c>
      <c r="F945" s="451">
        <v>46149</v>
      </c>
      <c r="G945" t="s">
        <v>574</v>
      </c>
      <c r="H945" t="s">
        <v>575</v>
      </c>
      <c r="J945">
        <v>-3052.03</v>
      </c>
      <c r="K945">
        <v>-3052.03</v>
      </c>
      <c r="O945" t="s">
        <v>787</v>
      </c>
      <c r="P945" t="s">
        <v>894</v>
      </c>
      <c r="Q945" t="s">
        <v>462</v>
      </c>
      <c r="R945">
        <v>0</v>
      </c>
    </row>
    <row r="946" spans="1:18" x14ac:dyDescent="0.3">
      <c r="A946">
        <v>230029</v>
      </c>
      <c r="B946" t="s">
        <v>557</v>
      </c>
      <c r="C946" t="s">
        <v>891</v>
      </c>
      <c r="E946" s="451">
        <v>46142</v>
      </c>
      <c r="F946" s="451">
        <v>46149</v>
      </c>
      <c r="G946" t="s">
        <v>574</v>
      </c>
      <c r="H946" t="s">
        <v>575</v>
      </c>
      <c r="J946">
        <v>-3378.3</v>
      </c>
      <c r="K946">
        <v>-3378.3</v>
      </c>
      <c r="O946" t="s">
        <v>787</v>
      </c>
      <c r="P946" t="s">
        <v>894</v>
      </c>
      <c r="Q946" t="s">
        <v>462</v>
      </c>
      <c r="R946">
        <v>0</v>
      </c>
    </row>
    <row r="947" spans="1:18" x14ac:dyDescent="0.3">
      <c r="A947">
        <v>230030</v>
      </c>
      <c r="B947" t="s">
        <v>557</v>
      </c>
      <c r="C947" t="s">
        <v>1492</v>
      </c>
      <c r="E947" s="451">
        <v>46142</v>
      </c>
      <c r="F947" s="451">
        <v>46149</v>
      </c>
      <c r="G947" t="s">
        <v>574</v>
      </c>
      <c r="H947" t="s">
        <v>575</v>
      </c>
      <c r="J947">
        <v>-2522.38</v>
      </c>
      <c r="K947">
        <v>-2522.38</v>
      </c>
      <c r="O947" t="s">
        <v>787</v>
      </c>
      <c r="P947" t="s">
        <v>894</v>
      </c>
      <c r="Q947" t="s">
        <v>462</v>
      </c>
      <c r="R947">
        <v>0</v>
      </c>
    </row>
    <row r="948" spans="1:18" x14ac:dyDescent="0.3">
      <c r="A948">
        <v>228572</v>
      </c>
      <c r="B948" t="s">
        <v>557</v>
      </c>
      <c r="C948" t="s">
        <v>1006</v>
      </c>
      <c r="E948" s="451">
        <v>46142</v>
      </c>
      <c r="F948" s="451">
        <v>46142</v>
      </c>
      <c r="G948" t="s">
        <v>562</v>
      </c>
      <c r="H948" t="s">
        <v>116</v>
      </c>
      <c r="J948">
        <v>-896.77</v>
      </c>
      <c r="K948">
        <v>-896.77</v>
      </c>
      <c r="O948" t="s">
        <v>787</v>
      </c>
      <c r="P948" t="s">
        <v>894</v>
      </c>
      <c r="Q948" t="s">
        <v>462</v>
      </c>
      <c r="R948">
        <v>0</v>
      </c>
    </row>
    <row r="949" spans="1:18" x14ac:dyDescent="0.3">
      <c r="A949">
        <v>230033</v>
      </c>
      <c r="B949" t="s">
        <v>557</v>
      </c>
      <c r="C949" t="s">
        <v>1102</v>
      </c>
      <c r="E949" s="451">
        <v>46142</v>
      </c>
      <c r="F949" s="451">
        <v>46149</v>
      </c>
      <c r="G949" t="s">
        <v>574</v>
      </c>
      <c r="H949" t="s">
        <v>575</v>
      </c>
      <c r="J949">
        <v>-4031.55</v>
      </c>
      <c r="K949">
        <v>-4031.55</v>
      </c>
      <c r="O949" t="s">
        <v>787</v>
      </c>
      <c r="P949" t="s">
        <v>894</v>
      </c>
      <c r="Q949" t="s">
        <v>462</v>
      </c>
      <c r="R949">
        <v>0</v>
      </c>
    </row>
    <row r="950" spans="1:18" x14ac:dyDescent="0.3">
      <c r="A950">
        <v>230032</v>
      </c>
      <c r="B950" t="s">
        <v>557</v>
      </c>
      <c r="C950" t="s">
        <v>1106</v>
      </c>
      <c r="E950" s="451">
        <v>46142</v>
      </c>
      <c r="F950" s="451">
        <v>46149</v>
      </c>
      <c r="G950" t="s">
        <v>574</v>
      </c>
      <c r="H950" t="s">
        <v>575</v>
      </c>
      <c r="J950">
        <v>-3221.81</v>
      </c>
      <c r="K950">
        <v>-3221.81</v>
      </c>
      <c r="O950" t="s">
        <v>787</v>
      </c>
      <c r="P950" t="s">
        <v>894</v>
      </c>
      <c r="Q950" t="s">
        <v>462</v>
      </c>
      <c r="R950">
        <v>0</v>
      </c>
    </row>
    <row r="951" spans="1:18" x14ac:dyDescent="0.3">
      <c r="A951">
        <v>230031</v>
      </c>
      <c r="B951" t="s">
        <v>557</v>
      </c>
      <c r="C951" t="s">
        <v>979</v>
      </c>
      <c r="E951" s="451">
        <v>46142</v>
      </c>
      <c r="F951" s="451">
        <v>46149</v>
      </c>
      <c r="G951" t="s">
        <v>574</v>
      </c>
      <c r="H951" t="s">
        <v>575</v>
      </c>
      <c r="J951">
        <v>-2418.56</v>
      </c>
      <c r="K951">
        <v>-2418.56</v>
      </c>
      <c r="O951" t="s">
        <v>787</v>
      </c>
      <c r="P951" t="s">
        <v>894</v>
      </c>
      <c r="Q951" t="s">
        <v>462</v>
      </c>
      <c r="R951">
        <v>0</v>
      </c>
    </row>
    <row r="952" spans="1:18" x14ac:dyDescent="0.3">
      <c r="A952">
        <v>229546</v>
      </c>
      <c r="B952" t="s">
        <v>557</v>
      </c>
      <c r="C952" t="s">
        <v>886</v>
      </c>
      <c r="D952" t="s">
        <v>1493</v>
      </c>
      <c r="E952" s="451">
        <v>46142</v>
      </c>
      <c r="F952" s="451">
        <v>46167</v>
      </c>
      <c r="G952" t="s">
        <v>572</v>
      </c>
      <c r="H952" t="s">
        <v>112</v>
      </c>
      <c r="I952" t="s">
        <v>1490</v>
      </c>
      <c r="J952">
        <v>-3230</v>
      </c>
      <c r="K952">
        <v>-3230</v>
      </c>
      <c r="M952" t="s">
        <v>887</v>
      </c>
      <c r="N952" t="s">
        <v>131</v>
      </c>
      <c r="O952" t="s">
        <v>787</v>
      </c>
      <c r="P952" t="s">
        <v>894</v>
      </c>
      <c r="Q952" t="s">
        <v>462</v>
      </c>
      <c r="R952">
        <v>0</v>
      </c>
    </row>
    <row r="953" spans="1:18" x14ac:dyDescent="0.3">
      <c r="A953">
        <v>230022</v>
      </c>
      <c r="B953" t="s">
        <v>557</v>
      </c>
      <c r="C953" t="s">
        <v>1114</v>
      </c>
      <c r="E953" s="451">
        <v>46142</v>
      </c>
      <c r="F953" s="451">
        <v>46149</v>
      </c>
      <c r="G953" t="s">
        <v>574</v>
      </c>
      <c r="H953" t="s">
        <v>575</v>
      </c>
      <c r="J953">
        <v>-3103.2</v>
      </c>
      <c r="K953">
        <v>-3103.2</v>
      </c>
      <c r="O953" t="s">
        <v>787</v>
      </c>
      <c r="P953" t="s">
        <v>894</v>
      </c>
      <c r="Q953" t="s">
        <v>462</v>
      </c>
      <c r="R953">
        <v>0</v>
      </c>
    </row>
    <row r="954" spans="1:18" x14ac:dyDescent="0.3">
      <c r="A954">
        <v>229547</v>
      </c>
      <c r="B954" t="s">
        <v>557</v>
      </c>
      <c r="C954" t="s">
        <v>882</v>
      </c>
      <c r="D954" t="s">
        <v>1208</v>
      </c>
      <c r="E954" s="451">
        <v>46142</v>
      </c>
      <c r="F954" s="451">
        <v>46167</v>
      </c>
      <c r="G954" t="s">
        <v>572</v>
      </c>
      <c r="H954" t="s">
        <v>112</v>
      </c>
      <c r="I954" t="s">
        <v>1490</v>
      </c>
      <c r="J954">
        <v>-3110</v>
      </c>
      <c r="K954">
        <v>-3110</v>
      </c>
      <c r="M954" t="s">
        <v>883</v>
      </c>
      <c r="N954" t="s">
        <v>135</v>
      </c>
      <c r="O954" t="s">
        <v>787</v>
      </c>
      <c r="P954" t="s">
        <v>894</v>
      </c>
      <c r="Q954" t="s">
        <v>462</v>
      </c>
      <c r="R954">
        <v>0</v>
      </c>
    </row>
    <row r="955" spans="1:18" x14ac:dyDescent="0.3">
      <c r="A955">
        <v>226141</v>
      </c>
      <c r="B955" t="s">
        <v>557</v>
      </c>
      <c r="C955" t="s">
        <v>943</v>
      </c>
      <c r="D955" t="s">
        <v>1399</v>
      </c>
      <c r="E955" s="451">
        <v>46142</v>
      </c>
      <c r="F955" s="451">
        <v>46156</v>
      </c>
      <c r="G955" t="s">
        <v>576</v>
      </c>
      <c r="H955" t="s">
        <v>203</v>
      </c>
      <c r="I955" t="s">
        <v>1494</v>
      </c>
      <c r="J955">
        <v>-1200.45</v>
      </c>
      <c r="K955">
        <v>-1200.45</v>
      </c>
      <c r="O955" t="s">
        <v>787</v>
      </c>
      <c r="P955" t="s">
        <v>894</v>
      </c>
      <c r="Q955" t="s">
        <v>462</v>
      </c>
      <c r="R955">
        <v>0</v>
      </c>
    </row>
    <row r="956" spans="1:18" x14ac:dyDescent="0.3">
      <c r="A956">
        <v>197250</v>
      </c>
      <c r="B956" t="s">
        <v>557</v>
      </c>
      <c r="C956" t="s">
        <v>49</v>
      </c>
      <c r="D956" t="s">
        <v>1331</v>
      </c>
      <c r="E956" s="451">
        <v>46140</v>
      </c>
      <c r="F956" s="451">
        <v>46153</v>
      </c>
      <c r="G956" t="s">
        <v>264</v>
      </c>
      <c r="H956" t="s">
        <v>271</v>
      </c>
      <c r="I956" t="s">
        <v>1495</v>
      </c>
      <c r="J956">
        <v>-50.15</v>
      </c>
      <c r="K956">
        <v>-50.15</v>
      </c>
      <c r="O956" t="s">
        <v>787</v>
      </c>
      <c r="P956" t="s">
        <v>894</v>
      </c>
      <c r="Q956" t="s">
        <v>462</v>
      </c>
      <c r="R956">
        <v>0</v>
      </c>
    </row>
    <row r="957" spans="1:18" x14ac:dyDescent="0.3">
      <c r="A957">
        <v>197458</v>
      </c>
      <c r="B957" t="s">
        <v>557</v>
      </c>
      <c r="C957" t="s">
        <v>845</v>
      </c>
      <c r="D957" t="s">
        <v>1331</v>
      </c>
      <c r="E957" s="451">
        <v>46140</v>
      </c>
      <c r="F957" s="451">
        <v>46162</v>
      </c>
      <c r="G957" t="s">
        <v>308</v>
      </c>
      <c r="H957" t="s">
        <v>309</v>
      </c>
      <c r="J957">
        <v>-12.64</v>
      </c>
      <c r="K957">
        <v>-12.64</v>
      </c>
      <c r="O957" t="s">
        <v>787</v>
      </c>
      <c r="P957" t="s">
        <v>894</v>
      </c>
      <c r="Q957" t="s">
        <v>462</v>
      </c>
      <c r="R957">
        <v>0</v>
      </c>
    </row>
    <row r="958" spans="1:18" x14ac:dyDescent="0.3">
      <c r="A958">
        <v>222942</v>
      </c>
      <c r="B958" t="s">
        <v>557</v>
      </c>
      <c r="C958" t="s">
        <v>952</v>
      </c>
      <c r="D958" t="s">
        <v>1496</v>
      </c>
      <c r="E958" s="451">
        <v>46139</v>
      </c>
      <c r="F958" s="451">
        <v>46160</v>
      </c>
      <c r="G958" t="s">
        <v>569</v>
      </c>
      <c r="H958" t="s">
        <v>58</v>
      </c>
      <c r="I958" t="s">
        <v>1497</v>
      </c>
      <c r="J958">
        <v>-1940</v>
      </c>
      <c r="K958">
        <v>-1940</v>
      </c>
      <c r="O958" t="s">
        <v>787</v>
      </c>
      <c r="P958" t="s">
        <v>894</v>
      </c>
      <c r="Q958" t="s">
        <v>462</v>
      </c>
      <c r="R958">
        <v>0</v>
      </c>
    </row>
    <row r="959" spans="1:18" x14ac:dyDescent="0.3">
      <c r="A959">
        <v>226150</v>
      </c>
      <c r="B959" t="s">
        <v>557</v>
      </c>
      <c r="C959" t="s">
        <v>943</v>
      </c>
      <c r="D959" t="s">
        <v>1498</v>
      </c>
      <c r="E959" s="451">
        <v>46139</v>
      </c>
      <c r="F959" s="451">
        <v>46149</v>
      </c>
      <c r="G959" t="s">
        <v>576</v>
      </c>
      <c r="H959" t="s">
        <v>203</v>
      </c>
      <c r="I959" t="s">
        <v>1499</v>
      </c>
      <c r="J959">
        <v>-957</v>
      </c>
      <c r="K959">
        <v>-957</v>
      </c>
      <c r="O959" t="s">
        <v>787</v>
      </c>
      <c r="P959" t="s">
        <v>894</v>
      </c>
      <c r="Q959" t="s">
        <v>462</v>
      </c>
      <c r="R959">
        <v>0</v>
      </c>
    </row>
    <row r="960" spans="1:18" x14ac:dyDescent="0.3">
      <c r="A960">
        <v>227039</v>
      </c>
      <c r="B960" t="s">
        <v>557</v>
      </c>
      <c r="C960" t="s">
        <v>964</v>
      </c>
      <c r="E960" s="451">
        <v>46139</v>
      </c>
      <c r="F960" s="451">
        <v>46139</v>
      </c>
      <c r="G960" t="s">
        <v>874</v>
      </c>
      <c r="H960" t="s">
        <v>875</v>
      </c>
      <c r="J960">
        <v>-36.03</v>
      </c>
      <c r="K960">
        <v>-36.03</v>
      </c>
      <c r="O960" t="s">
        <v>787</v>
      </c>
      <c r="P960" t="s">
        <v>894</v>
      </c>
      <c r="Q960" t="s">
        <v>462</v>
      </c>
      <c r="R960">
        <v>0</v>
      </c>
    </row>
    <row r="961" spans="1:18" x14ac:dyDescent="0.3">
      <c r="A961">
        <v>226140</v>
      </c>
      <c r="B961" t="s">
        <v>557</v>
      </c>
      <c r="C961" t="s">
        <v>943</v>
      </c>
      <c r="D961" t="s">
        <v>1500</v>
      </c>
      <c r="E961" s="451">
        <v>46139</v>
      </c>
      <c r="F961" s="451">
        <v>46149</v>
      </c>
      <c r="G961" t="s">
        <v>576</v>
      </c>
      <c r="H961" t="s">
        <v>203</v>
      </c>
      <c r="I961" t="s">
        <v>1501</v>
      </c>
      <c r="J961">
        <v>-1672</v>
      </c>
      <c r="K961">
        <v>-1672</v>
      </c>
      <c r="O961" t="s">
        <v>787</v>
      </c>
      <c r="P961" t="s">
        <v>894</v>
      </c>
      <c r="Q961" t="s">
        <v>462</v>
      </c>
      <c r="R961">
        <v>0</v>
      </c>
    </row>
    <row r="962" spans="1:18" x14ac:dyDescent="0.3">
      <c r="A962">
        <v>32291</v>
      </c>
      <c r="B962" t="s">
        <v>557</v>
      </c>
      <c r="C962" t="s">
        <v>259</v>
      </c>
      <c r="D962" t="s">
        <v>776</v>
      </c>
      <c r="E962" s="451">
        <v>46138</v>
      </c>
      <c r="F962" s="451">
        <v>46138</v>
      </c>
      <c r="G962" t="s">
        <v>777</v>
      </c>
      <c r="H962" t="s">
        <v>368</v>
      </c>
      <c r="I962" t="s">
        <v>778</v>
      </c>
      <c r="J962">
        <v>-1520.61</v>
      </c>
      <c r="K962">
        <v>-1520.61</v>
      </c>
      <c r="O962" t="s">
        <v>787</v>
      </c>
      <c r="P962" t="s">
        <v>788</v>
      </c>
      <c r="Q962" t="s">
        <v>462</v>
      </c>
      <c r="R962">
        <v>0</v>
      </c>
    </row>
    <row r="963" spans="1:18" x14ac:dyDescent="0.3">
      <c r="A963">
        <v>32181</v>
      </c>
      <c r="B963" t="s">
        <v>557</v>
      </c>
      <c r="C963" t="s">
        <v>259</v>
      </c>
      <c r="D963" t="s">
        <v>1502</v>
      </c>
      <c r="E963" s="451">
        <v>46138</v>
      </c>
      <c r="F963" s="451">
        <v>46138</v>
      </c>
      <c r="G963" t="s">
        <v>256</v>
      </c>
      <c r="H963" t="s">
        <v>259</v>
      </c>
      <c r="I963" t="s">
        <v>782</v>
      </c>
      <c r="J963">
        <v>-416.33</v>
      </c>
      <c r="K963">
        <v>-416.33</v>
      </c>
      <c r="O963" t="s">
        <v>787</v>
      </c>
      <c r="P963" t="s">
        <v>788</v>
      </c>
      <c r="Q963" t="s">
        <v>462</v>
      </c>
      <c r="R963">
        <v>0</v>
      </c>
    </row>
    <row r="964" spans="1:18" x14ac:dyDescent="0.3">
      <c r="A964">
        <v>218778</v>
      </c>
      <c r="B964" t="s">
        <v>557</v>
      </c>
      <c r="C964" t="s">
        <v>1128</v>
      </c>
      <c r="D964" t="s">
        <v>1503</v>
      </c>
      <c r="E964" s="451">
        <v>46136</v>
      </c>
      <c r="F964" s="451">
        <v>46146</v>
      </c>
      <c r="G964" t="s">
        <v>569</v>
      </c>
      <c r="H964" t="s">
        <v>66</v>
      </c>
      <c r="I964" t="s">
        <v>1504</v>
      </c>
      <c r="J964">
        <v>-167</v>
      </c>
      <c r="K964">
        <v>-167</v>
      </c>
      <c r="O964" t="s">
        <v>787</v>
      </c>
      <c r="P964" t="s">
        <v>894</v>
      </c>
      <c r="Q964" t="s">
        <v>462</v>
      </c>
      <c r="R964">
        <v>0</v>
      </c>
    </row>
    <row r="965" spans="1:18" x14ac:dyDescent="0.3">
      <c r="A965">
        <v>229144</v>
      </c>
      <c r="B965" t="s">
        <v>557</v>
      </c>
      <c r="C965" t="s">
        <v>1237</v>
      </c>
      <c r="E965" s="451">
        <v>46133</v>
      </c>
      <c r="F965" s="451">
        <v>46134</v>
      </c>
      <c r="G965" t="s">
        <v>279</v>
      </c>
      <c r="H965" t="s">
        <v>284</v>
      </c>
      <c r="I965" t="s">
        <v>1272</v>
      </c>
      <c r="J965">
        <v>-83.72</v>
      </c>
      <c r="K965">
        <v>-83.72</v>
      </c>
      <c r="O965" t="s">
        <v>787</v>
      </c>
      <c r="P965" t="s">
        <v>894</v>
      </c>
      <c r="Q965" t="s">
        <v>462</v>
      </c>
      <c r="R965">
        <v>0</v>
      </c>
    </row>
    <row r="966" spans="1:18" x14ac:dyDescent="0.3">
      <c r="A966">
        <v>229143</v>
      </c>
      <c r="B966" t="s">
        <v>557</v>
      </c>
      <c r="C966" t="s">
        <v>1237</v>
      </c>
      <c r="E966" s="451">
        <v>46132</v>
      </c>
      <c r="F966" s="451">
        <v>46133</v>
      </c>
      <c r="G966" t="s">
        <v>279</v>
      </c>
      <c r="H966" t="s">
        <v>284</v>
      </c>
      <c r="I966" t="s">
        <v>1272</v>
      </c>
      <c r="J966">
        <v>-38.020000000000003</v>
      </c>
      <c r="K966">
        <v>-38.020000000000003</v>
      </c>
      <c r="O966" t="s">
        <v>787</v>
      </c>
      <c r="P966" t="s">
        <v>894</v>
      </c>
      <c r="Q966" t="s">
        <v>462</v>
      </c>
      <c r="R966">
        <v>0</v>
      </c>
    </row>
    <row r="967" spans="1:18" x14ac:dyDescent="0.3">
      <c r="A967">
        <v>222941</v>
      </c>
      <c r="B967" t="s">
        <v>557</v>
      </c>
      <c r="C967" t="s">
        <v>952</v>
      </c>
      <c r="D967" t="s">
        <v>1505</v>
      </c>
      <c r="E967" s="451">
        <v>46132</v>
      </c>
      <c r="F967" s="451">
        <v>46153</v>
      </c>
      <c r="G967" t="s">
        <v>569</v>
      </c>
      <c r="H967" t="s">
        <v>58</v>
      </c>
      <c r="I967" t="s">
        <v>1506</v>
      </c>
      <c r="J967">
        <v>-1300</v>
      </c>
      <c r="K967">
        <v>-1300</v>
      </c>
      <c r="O967" t="s">
        <v>787</v>
      </c>
      <c r="P967" t="s">
        <v>894</v>
      </c>
      <c r="Q967" t="s">
        <v>462</v>
      </c>
      <c r="R967">
        <v>0</v>
      </c>
    </row>
    <row r="968" spans="1:18" x14ac:dyDescent="0.3">
      <c r="A968">
        <v>226139</v>
      </c>
      <c r="B968" t="s">
        <v>557</v>
      </c>
      <c r="C968" t="s">
        <v>943</v>
      </c>
      <c r="D968" t="s">
        <v>1507</v>
      </c>
      <c r="E968" s="451">
        <v>46132</v>
      </c>
      <c r="F968" s="451">
        <v>46142</v>
      </c>
      <c r="G968" t="s">
        <v>576</v>
      </c>
      <c r="H968" t="s">
        <v>203</v>
      </c>
      <c r="I968" t="s">
        <v>1508</v>
      </c>
      <c r="J968">
        <v>-1815</v>
      </c>
      <c r="K968">
        <v>-1815</v>
      </c>
      <c r="O968" t="s">
        <v>787</v>
      </c>
      <c r="P968" t="s">
        <v>894</v>
      </c>
      <c r="Q968" t="s">
        <v>462</v>
      </c>
      <c r="R968">
        <v>0</v>
      </c>
    </row>
    <row r="969" spans="1:18" x14ac:dyDescent="0.3">
      <c r="A969">
        <v>226149</v>
      </c>
      <c r="B969" t="s">
        <v>557</v>
      </c>
      <c r="C969" t="s">
        <v>943</v>
      </c>
      <c r="D969" t="s">
        <v>1509</v>
      </c>
      <c r="E969" s="451">
        <v>46132</v>
      </c>
      <c r="F969" s="451">
        <v>46142</v>
      </c>
      <c r="G969" t="s">
        <v>576</v>
      </c>
      <c r="H969" t="s">
        <v>203</v>
      </c>
      <c r="I969" t="s">
        <v>1510</v>
      </c>
      <c r="J969">
        <v>-297</v>
      </c>
      <c r="K969">
        <v>-297</v>
      </c>
      <c r="O969" t="s">
        <v>787</v>
      </c>
      <c r="P969" t="s">
        <v>894</v>
      </c>
      <c r="Q969" t="s">
        <v>462</v>
      </c>
      <c r="R969">
        <v>0</v>
      </c>
    </row>
    <row r="970" spans="1:18" x14ac:dyDescent="0.3">
      <c r="A970">
        <v>226526</v>
      </c>
      <c r="B970" t="s">
        <v>557</v>
      </c>
      <c r="C970" t="s">
        <v>964</v>
      </c>
      <c r="E970" s="451">
        <v>46132</v>
      </c>
      <c r="F970" s="451">
        <v>46132</v>
      </c>
      <c r="G970" t="s">
        <v>874</v>
      </c>
      <c r="H970" t="s">
        <v>875</v>
      </c>
      <c r="J970">
        <v>-105.37</v>
      </c>
      <c r="K970">
        <v>-105.37</v>
      </c>
      <c r="O970" t="s">
        <v>787</v>
      </c>
      <c r="P970" t="s">
        <v>894</v>
      </c>
      <c r="Q970" t="s">
        <v>462</v>
      </c>
      <c r="R970">
        <v>0</v>
      </c>
    </row>
    <row r="971" spans="1:18" x14ac:dyDescent="0.3">
      <c r="A971">
        <v>229142</v>
      </c>
      <c r="B971" t="s">
        <v>557</v>
      </c>
      <c r="C971" t="s">
        <v>1237</v>
      </c>
      <c r="E971" s="451">
        <v>46131</v>
      </c>
      <c r="F971" s="451">
        <v>46132</v>
      </c>
      <c r="G971" t="s">
        <v>279</v>
      </c>
      <c r="H971" t="s">
        <v>284</v>
      </c>
      <c r="I971" t="s">
        <v>1272</v>
      </c>
      <c r="J971">
        <v>-129.63999999999999</v>
      </c>
      <c r="K971">
        <v>-129.63999999999999</v>
      </c>
      <c r="O971" t="s">
        <v>787</v>
      </c>
      <c r="P971" t="s">
        <v>894</v>
      </c>
      <c r="Q971" t="s">
        <v>462</v>
      </c>
      <c r="R971">
        <v>0</v>
      </c>
    </row>
    <row r="972" spans="1:18" x14ac:dyDescent="0.3">
      <c r="A972">
        <v>229141</v>
      </c>
      <c r="B972" t="s">
        <v>557</v>
      </c>
      <c r="C972" t="s">
        <v>1237</v>
      </c>
      <c r="E972" s="451">
        <v>46130</v>
      </c>
      <c r="F972" s="451">
        <v>46131</v>
      </c>
      <c r="G972" t="s">
        <v>279</v>
      </c>
      <c r="H972" t="s">
        <v>284</v>
      </c>
      <c r="I972" t="s">
        <v>1272</v>
      </c>
      <c r="J972">
        <v>-152.66</v>
      </c>
      <c r="K972">
        <v>-152.66</v>
      </c>
      <c r="O972" t="s">
        <v>787</v>
      </c>
      <c r="P972" t="s">
        <v>894</v>
      </c>
      <c r="Q972" t="s">
        <v>462</v>
      </c>
      <c r="R972">
        <v>0</v>
      </c>
    </row>
    <row r="973" spans="1:18" x14ac:dyDescent="0.3">
      <c r="A973">
        <v>229140</v>
      </c>
      <c r="B973" t="s">
        <v>557</v>
      </c>
      <c r="C973" t="s">
        <v>1237</v>
      </c>
      <c r="E973" s="451">
        <v>46129</v>
      </c>
      <c r="F973" s="451">
        <v>46130</v>
      </c>
      <c r="G973" t="s">
        <v>279</v>
      </c>
      <c r="H973" t="s">
        <v>284</v>
      </c>
      <c r="I973" t="s">
        <v>1272</v>
      </c>
      <c r="J973">
        <v>-43.23</v>
      </c>
      <c r="K973">
        <v>-43.23</v>
      </c>
      <c r="O973" t="s">
        <v>787</v>
      </c>
      <c r="P973" t="s">
        <v>894</v>
      </c>
      <c r="Q973" t="s">
        <v>462</v>
      </c>
      <c r="R973">
        <v>0</v>
      </c>
    </row>
    <row r="974" spans="1:18" x14ac:dyDescent="0.3">
      <c r="A974">
        <v>218777</v>
      </c>
      <c r="B974" t="s">
        <v>557</v>
      </c>
      <c r="C974" t="s">
        <v>1128</v>
      </c>
      <c r="D974" t="s">
        <v>1503</v>
      </c>
      <c r="E974" s="451">
        <v>46129</v>
      </c>
      <c r="F974" s="451">
        <v>46139</v>
      </c>
      <c r="G974" t="s">
        <v>569</v>
      </c>
      <c r="H974" t="s">
        <v>66</v>
      </c>
      <c r="I974" t="s">
        <v>1511</v>
      </c>
      <c r="J974">
        <v>-167</v>
      </c>
      <c r="K974">
        <v>-167</v>
      </c>
      <c r="O974" t="s">
        <v>787</v>
      </c>
      <c r="P974" t="s">
        <v>894</v>
      </c>
      <c r="Q974" t="s">
        <v>462</v>
      </c>
      <c r="R974">
        <v>0</v>
      </c>
    </row>
    <row r="975" spans="1:18" x14ac:dyDescent="0.3">
      <c r="A975">
        <v>224637</v>
      </c>
      <c r="B975" t="s">
        <v>557</v>
      </c>
      <c r="C975" t="s">
        <v>1036</v>
      </c>
      <c r="E975" s="451">
        <v>46128</v>
      </c>
      <c r="F975" s="451">
        <v>46128</v>
      </c>
      <c r="G975" t="s">
        <v>874</v>
      </c>
      <c r="H975" t="s">
        <v>875</v>
      </c>
      <c r="J975">
        <v>-183.6</v>
      </c>
      <c r="K975">
        <v>-183.6</v>
      </c>
      <c r="O975" t="s">
        <v>787</v>
      </c>
      <c r="P975" t="s">
        <v>894</v>
      </c>
      <c r="Q975" t="s">
        <v>462</v>
      </c>
      <c r="R975">
        <v>0</v>
      </c>
    </row>
    <row r="976" spans="1:18" x14ac:dyDescent="0.3">
      <c r="A976">
        <v>229139</v>
      </c>
      <c r="B976" t="s">
        <v>557</v>
      </c>
      <c r="C976" t="s">
        <v>1237</v>
      </c>
      <c r="E976" s="451">
        <v>46128</v>
      </c>
      <c r="F976" s="451">
        <v>46129</v>
      </c>
      <c r="G976" t="s">
        <v>279</v>
      </c>
      <c r="H976" t="s">
        <v>284</v>
      </c>
      <c r="I976" t="s">
        <v>1272</v>
      </c>
      <c r="J976">
        <v>-103.58</v>
      </c>
      <c r="K976">
        <v>-103.58</v>
      </c>
      <c r="O976" t="s">
        <v>787</v>
      </c>
      <c r="P976" t="s">
        <v>894</v>
      </c>
      <c r="Q976" t="s">
        <v>462</v>
      </c>
      <c r="R976">
        <v>0</v>
      </c>
    </row>
    <row r="977" spans="1:18" x14ac:dyDescent="0.3">
      <c r="A977">
        <v>225352</v>
      </c>
      <c r="B977" t="s">
        <v>557</v>
      </c>
      <c r="C977" t="s">
        <v>1116</v>
      </c>
      <c r="E977" s="451">
        <v>46127</v>
      </c>
      <c r="F977" s="451">
        <v>46132</v>
      </c>
      <c r="G977" t="s">
        <v>574</v>
      </c>
      <c r="H977" t="s">
        <v>575</v>
      </c>
      <c r="J977">
        <v>-944.02</v>
      </c>
      <c r="K977">
        <v>-944.02</v>
      </c>
      <c r="O977" t="s">
        <v>787</v>
      </c>
      <c r="P977" t="s">
        <v>894</v>
      </c>
      <c r="Q977" t="s">
        <v>462</v>
      </c>
      <c r="R977">
        <v>0</v>
      </c>
    </row>
    <row r="978" spans="1:18" x14ac:dyDescent="0.3">
      <c r="A978">
        <v>225356</v>
      </c>
      <c r="B978" t="s">
        <v>557</v>
      </c>
      <c r="C978" t="s">
        <v>1114</v>
      </c>
      <c r="E978" s="451">
        <v>46127</v>
      </c>
      <c r="F978" s="451">
        <v>46132</v>
      </c>
      <c r="G978" t="s">
        <v>574</v>
      </c>
      <c r="H978" t="s">
        <v>575</v>
      </c>
      <c r="J978">
        <v>-841.44</v>
      </c>
      <c r="K978">
        <v>-841.44</v>
      </c>
      <c r="O978" t="s">
        <v>787</v>
      </c>
      <c r="P978" t="s">
        <v>894</v>
      </c>
      <c r="Q978" t="s">
        <v>462</v>
      </c>
      <c r="R978">
        <v>0</v>
      </c>
    </row>
    <row r="979" spans="1:18" x14ac:dyDescent="0.3">
      <c r="A979">
        <v>225355</v>
      </c>
      <c r="B979" t="s">
        <v>557</v>
      </c>
      <c r="C979" t="s">
        <v>891</v>
      </c>
      <c r="E979" s="451">
        <v>46127</v>
      </c>
      <c r="F979" s="451">
        <v>46132</v>
      </c>
      <c r="G979" t="s">
        <v>574</v>
      </c>
      <c r="H979" t="s">
        <v>575</v>
      </c>
      <c r="J979">
        <v>-1112.8</v>
      </c>
      <c r="K979">
        <v>-1112.8</v>
      </c>
      <c r="O979" t="s">
        <v>787</v>
      </c>
      <c r="P979" t="s">
        <v>894</v>
      </c>
      <c r="Q979" t="s">
        <v>462</v>
      </c>
      <c r="R979">
        <v>0</v>
      </c>
    </row>
    <row r="980" spans="1:18" x14ac:dyDescent="0.3">
      <c r="A980">
        <v>225354</v>
      </c>
      <c r="B980" t="s">
        <v>557</v>
      </c>
      <c r="C980" t="s">
        <v>1106</v>
      </c>
      <c r="E980" s="451">
        <v>46127</v>
      </c>
      <c r="F980" s="451">
        <v>46132</v>
      </c>
      <c r="G980" t="s">
        <v>574</v>
      </c>
      <c r="H980" t="s">
        <v>575</v>
      </c>
      <c r="J980">
        <v>-841.44</v>
      </c>
      <c r="K980">
        <v>-841.44</v>
      </c>
      <c r="O980" t="s">
        <v>787</v>
      </c>
      <c r="P980" t="s">
        <v>894</v>
      </c>
      <c r="Q980" t="s">
        <v>462</v>
      </c>
      <c r="R980">
        <v>0</v>
      </c>
    </row>
    <row r="981" spans="1:18" x14ac:dyDescent="0.3">
      <c r="A981">
        <v>229138</v>
      </c>
      <c r="B981" t="s">
        <v>557</v>
      </c>
      <c r="C981" t="s">
        <v>1237</v>
      </c>
      <c r="E981" s="451">
        <v>46127</v>
      </c>
      <c r="F981" s="451">
        <v>46128</v>
      </c>
      <c r="G981" t="s">
        <v>279</v>
      </c>
      <c r="H981" t="s">
        <v>284</v>
      </c>
      <c r="I981" t="s">
        <v>1272</v>
      </c>
      <c r="J981">
        <v>-56.91</v>
      </c>
      <c r="K981">
        <v>-56.91</v>
      </c>
      <c r="O981" t="s">
        <v>787</v>
      </c>
      <c r="P981" t="s">
        <v>894</v>
      </c>
      <c r="Q981" t="s">
        <v>462</v>
      </c>
      <c r="R981">
        <v>0</v>
      </c>
    </row>
    <row r="982" spans="1:18" x14ac:dyDescent="0.3">
      <c r="A982">
        <v>225357</v>
      </c>
      <c r="B982" t="s">
        <v>557</v>
      </c>
      <c r="C982" t="s">
        <v>970</v>
      </c>
      <c r="E982" s="451">
        <v>46127</v>
      </c>
      <c r="F982" s="451">
        <v>46132</v>
      </c>
      <c r="G982" t="s">
        <v>574</v>
      </c>
      <c r="H982" t="s">
        <v>575</v>
      </c>
      <c r="J982">
        <v>-509.35</v>
      </c>
      <c r="K982">
        <v>-509.35</v>
      </c>
      <c r="O982" t="s">
        <v>787</v>
      </c>
      <c r="P982" t="s">
        <v>894</v>
      </c>
      <c r="Q982" t="s">
        <v>462</v>
      </c>
      <c r="R982">
        <v>0</v>
      </c>
    </row>
    <row r="983" spans="1:18" x14ac:dyDescent="0.3">
      <c r="A983">
        <v>225353</v>
      </c>
      <c r="B983" t="s">
        <v>557</v>
      </c>
      <c r="C983" t="s">
        <v>968</v>
      </c>
      <c r="E983" s="451">
        <v>46127</v>
      </c>
      <c r="F983" s="451">
        <v>46132</v>
      </c>
      <c r="G983" t="s">
        <v>574</v>
      </c>
      <c r="H983" t="s">
        <v>575</v>
      </c>
      <c r="J983">
        <v>-1027.57</v>
      </c>
      <c r="K983">
        <v>-1027.57</v>
      </c>
      <c r="O983" t="s">
        <v>787</v>
      </c>
      <c r="P983" t="s">
        <v>894</v>
      </c>
      <c r="Q983" t="s">
        <v>462</v>
      </c>
      <c r="R983">
        <v>0</v>
      </c>
    </row>
    <row r="984" spans="1:18" x14ac:dyDescent="0.3">
      <c r="A984">
        <v>225351</v>
      </c>
      <c r="B984" t="s">
        <v>557</v>
      </c>
      <c r="C984" t="s">
        <v>1381</v>
      </c>
      <c r="E984" s="451">
        <v>46127</v>
      </c>
      <c r="F984" s="451">
        <v>46132</v>
      </c>
      <c r="G984" t="s">
        <v>574</v>
      </c>
      <c r="H984" t="s">
        <v>575</v>
      </c>
      <c r="J984">
        <v>-1027.57</v>
      </c>
      <c r="K984">
        <v>-1027.57</v>
      </c>
      <c r="O984" t="s">
        <v>787</v>
      </c>
      <c r="P984" t="s">
        <v>894</v>
      </c>
      <c r="Q984" t="s">
        <v>462</v>
      </c>
      <c r="R984">
        <v>0</v>
      </c>
    </row>
    <row r="985" spans="1:18" x14ac:dyDescent="0.3">
      <c r="A985">
        <v>225040</v>
      </c>
      <c r="B985" t="s">
        <v>557</v>
      </c>
      <c r="C985" t="s">
        <v>964</v>
      </c>
      <c r="E985" s="451">
        <v>46127</v>
      </c>
      <c r="F985" s="451">
        <v>46127</v>
      </c>
      <c r="G985" t="s">
        <v>874</v>
      </c>
      <c r="H985" t="s">
        <v>875</v>
      </c>
      <c r="J985">
        <v>-3.43</v>
      </c>
      <c r="K985">
        <v>-3.43</v>
      </c>
      <c r="O985" t="s">
        <v>787</v>
      </c>
      <c r="P985" t="s">
        <v>894</v>
      </c>
      <c r="Q985" t="s">
        <v>462</v>
      </c>
      <c r="R985">
        <v>0</v>
      </c>
    </row>
    <row r="986" spans="1:18" x14ac:dyDescent="0.3">
      <c r="A986">
        <v>225349</v>
      </c>
      <c r="B986" t="s">
        <v>557</v>
      </c>
      <c r="C986" t="s">
        <v>1102</v>
      </c>
      <c r="E986" s="451">
        <v>46127</v>
      </c>
      <c r="F986" s="451">
        <v>46132</v>
      </c>
      <c r="G986" t="s">
        <v>574</v>
      </c>
      <c r="H986" t="s">
        <v>575</v>
      </c>
      <c r="J986">
        <v>-841.44</v>
      </c>
      <c r="K986">
        <v>-841.44</v>
      </c>
      <c r="O986" t="s">
        <v>787</v>
      </c>
      <c r="P986" t="s">
        <v>894</v>
      </c>
      <c r="Q986" t="s">
        <v>462</v>
      </c>
      <c r="R986">
        <v>0</v>
      </c>
    </row>
    <row r="987" spans="1:18" x14ac:dyDescent="0.3">
      <c r="A987">
        <v>225348</v>
      </c>
      <c r="B987" t="s">
        <v>557</v>
      </c>
      <c r="C987" t="s">
        <v>1125</v>
      </c>
      <c r="E987" s="451">
        <v>46127</v>
      </c>
      <c r="F987" s="451">
        <v>46132</v>
      </c>
      <c r="G987" t="s">
        <v>574</v>
      </c>
      <c r="H987" t="s">
        <v>575</v>
      </c>
      <c r="J987">
        <v>-841.44</v>
      </c>
      <c r="K987">
        <v>-841.44</v>
      </c>
      <c r="O987" t="s">
        <v>787</v>
      </c>
      <c r="P987" t="s">
        <v>894</v>
      </c>
      <c r="Q987" t="s">
        <v>462</v>
      </c>
      <c r="R987">
        <v>0</v>
      </c>
    </row>
    <row r="988" spans="1:18" x14ac:dyDescent="0.3">
      <c r="A988">
        <v>225347</v>
      </c>
      <c r="B988" t="s">
        <v>557</v>
      </c>
      <c r="C988" t="s">
        <v>1492</v>
      </c>
      <c r="E988" s="451">
        <v>46127</v>
      </c>
      <c r="F988" s="451">
        <v>46132</v>
      </c>
      <c r="G988" t="s">
        <v>574</v>
      </c>
      <c r="H988" t="s">
        <v>575</v>
      </c>
      <c r="J988">
        <v>-841.44</v>
      </c>
      <c r="K988">
        <v>-841.44</v>
      </c>
      <c r="O988" t="s">
        <v>787</v>
      </c>
      <c r="P988" t="s">
        <v>894</v>
      </c>
      <c r="Q988" t="s">
        <v>462</v>
      </c>
      <c r="R988">
        <v>0</v>
      </c>
    </row>
    <row r="989" spans="1:18" x14ac:dyDescent="0.3">
      <c r="A989">
        <v>225346</v>
      </c>
      <c r="B989" t="s">
        <v>557</v>
      </c>
      <c r="C989" t="s">
        <v>1105</v>
      </c>
      <c r="E989" s="451">
        <v>46127</v>
      </c>
      <c r="F989" s="451">
        <v>46132</v>
      </c>
      <c r="G989" t="s">
        <v>574</v>
      </c>
      <c r="H989" t="s">
        <v>575</v>
      </c>
      <c r="J989">
        <v>-1051.8</v>
      </c>
      <c r="K989">
        <v>-1051.8</v>
      </c>
      <c r="O989" t="s">
        <v>787</v>
      </c>
      <c r="P989" t="s">
        <v>894</v>
      </c>
      <c r="Q989" t="s">
        <v>462</v>
      </c>
      <c r="R989">
        <v>0</v>
      </c>
    </row>
    <row r="990" spans="1:18" x14ac:dyDescent="0.3">
      <c r="A990">
        <v>225350</v>
      </c>
      <c r="B990" t="s">
        <v>557</v>
      </c>
      <c r="C990" t="s">
        <v>1110</v>
      </c>
      <c r="E990" s="451">
        <v>46127</v>
      </c>
      <c r="F990" s="451">
        <v>46132</v>
      </c>
      <c r="G990" t="s">
        <v>574</v>
      </c>
      <c r="H990" t="s">
        <v>575</v>
      </c>
      <c r="J990">
        <v>-944.02</v>
      </c>
      <c r="K990">
        <v>-944.02</v>
      </c>
      <c r="O990" t="s">
        <v>787</v>
      </c>
      <c r="P990" t="s">
        <v>894</v>
      </c>
      <c r="Q990" t="s">
        <v>462</v>
      </c>
      <c r="R990">
        <v>0</v>
      </c>
    </row>
    <row r="991" spans="1:18" x14ac:dyDescent="0.3">
      <c r="A991">
        <v>192152</v>
      </c>
      <c r="B991" t="s">
        <v>557</v>
      </c>
      <c r="C991" t="s">
        <v>858</v>
      </c>
      <c r="D991" t="s">
        <v>1512</v>
      </c>
      <c r="E991" s="451">
        <v>46127</v>
      </c>
      <c r="F991" s="451">
        <v>46157</v>
      </c>
      <c r="G991" t="s">
        <v>279</v>
      </c>
      <c r="H991" t="s">
        <v>285</v>
      </c>
      <c r="I991" t="s">
        <v>1513</v>
      </c>
      <c r="J991">
        <v>-389</v>
      </c>
      <c r="K991">
        <v>-389</v>
      </c>
      <c r="O991" t="s">
        <v>787</v>
      </c>
      <c r="P991" t="s">
        <v>894</v>
      </c>
      <c r="Q991" t="s">
        <v>462</v>
      </c>
      <c r="R991">
        <v>0</v>
      </c>
    </row>
    <row r="992" spans="1:18" x14ac:dyDescent="0.3">
      <c r="A992">
        <v>191788</v>
      </c>
      <c r="B992" t="s">
        <v>557</v>
      </c>
      <c r="C992" t="s">
        <v>856</v>
      </c>
      <c r="D992" t="s">
        <v>1514</v>
      </c>
      <c r="E992" s="451">
        <v>46127</v>
      </c>
      <c r="F992" s="451">
        <v>46157</v>
      </c>
      <c r="G992" t="s">
        <v>264</v>
      </c>
      <c r="H992" t="s">
        <v>265</v>
      </c>
      <c r="I992" t="s">
        <v>1515</v>
      </c>
      <c r="J992">
        <v>-5271.84</v>
      </c>
      <c r="K992">
        <v>-5271.84</v>
      </c>
      <c r="O992" t="s">
        <v>787</v>
      </c>
      <c r="P992" t="s">
        <v>894</v>
      </c>
      <c r="Q992" t="s">
        <v>462</v>
      </c>
      <c r="R992">
        <v>0</v>
      </c>
    </row>
    <row r="993" spans="1:18" x14ac:dyDescent="0.3">
      <c r="A993">
        <v>191800</v>
      </c>
      <c r="B993" t="s">
        <v>557</v>
      </c>
      <c r="C993" t="s">
        <v>856</v>
      </c>
      <c r="D993" t="s">
        <v>1516</v>
      </c>
      <c r="E993" s="451">
        <v>46127</v>
      </c>
      <c r="F993" s="451">
        <v>46157</v>
      </c>
      <c r="G993" t="s">
        <v>264</v>
      </c>
      <c r="H993" t="s">
        <v>265</v>
      </c>
      <c r="I993" t="s">
        <v>1517</v>
      </c>
      <c r="J993">
        <v>-546</v>
      </c>
      <c r="K993">
        <v>-546</v>
      </c>
      <c r="O993" t="s">
        <v>787</v>
      </c>
      <c r="P993" t="s">
        <v>894</v>
      </c>
      <c r="Q993" t="s">
        <v>462</v>
      </c>
      <c r="R993">
        <v>0</v>
      </c>
    </row>
    <row r="994" spans="1:18" x14ac:dyDescent="0.3">
      <c r="A994">
        <v>225038</v>
      </c>
      <c r="B994" t="s">
        <v>557</v>
      </c>
      <c r="C994" t="s">
        <v>964</v>
      </c>
      <c r="E994" s="451">
        <v>46126</v>
      </c>
      <c r="F994" s="451">
        <v>46126</v>
      </c>
      <c r="G994" t="s">
        <v>874</v>
      </c>
      <c r="H994" t="s">
        <v>875</v>
      </c>
      <c r="J994">
        <v>-50</v>
      </c>
      <c r="K994">
        <v>-50</v>
      </c>
      <c r="O994" t="s">
        <v>787</v>
      </c>
      <c r="P994" t="s">
        <v>894</v>
      </c>
      <c r="Q994" t="s">
        <v>462</v>
      </c>
      <c r="R994">
        <v>0</v>
      </c>
    </row>
    <row r="995" spans="1:18" x14ac:dyDescent="0.3">
      <c r="A995">
        <v>226030</v>
      </c>
      <c r="B995" t="s">
        <v>557</v>
      </c>
      <c r="C995" t="s">
        <v>873</v>
      </c>
      <c r="E995" s="451">
        <v>46126</v>
      </c>
      <c r="F995" s="451">
        <v>46126</v>
      </c>
      <c r="G995" t="s">
        <v>874</v>
      </c>
      <c r="H995" t="s">
        <v>875</v>
      </c>
      <c r="J995">
        <v>-2</v>
      </c>
      <c r="K995">
        <v>-2</v>
      </c>
      <c r="O995" t="s">
        <v>787</v>
      </c>
      <c r="P995" t="s">
        <v>894</v>
      </c>
      <c r="Q995" t="s">
        <v>462</v>
      </c>
      <c r="R995">
        <v>0</v>
      </c>
    </row>
    <row r="996" spans="1:18" x14ac:dyDescent="0.3">
      <c r="A996">
        <v>229137</v>
      </c>
      <c r="B996" t="s">
        <v>557</v>
      </c>
      <c r="C996" t="s">
        <v>1237</v>
      </c>
      <c r="E996" s="451">
        <v>46126</v>
      </c>
      <c r="F996" s="451">
        <v>46127</v>
      </c>
      <c r="G996" t="s">
        <v>279</v>
      </c>
      <c r="H996" t="s">
        <v>284</v>
      </c>
      <c r="I996" t="s">
        <v>1272</v>
      </c>
      <c r="J996">
        <v>-28.88</v>
      </c>
      <c r="K996">
        <v>-28.88</v>
      </c>
      <c r="O996" t="s">
        <v>787</v>
      </c>
      <c r="P996" t="s">
        <v>894</v>
      </c>
      <c r="Q996" t="s">
        <v>462</v>
      </c>
      <c r="R996">
        <v>0</v>
      </c>
    </row>
    <row r="997" spans="1:18" x14ac:dyDescent="0.3">
      <c r="A997">
        <v>224240</v>
      </c>
      <c r="B997" t="s">
        <v>557</v>
      </c>
      <c r="C997" t="s">
        <v>898</v>
      </c>
      <c r="D997" t="s">
        <v>1027</v>
      </c>
      <c r="E997" s="451">
        <v>46126</v>
      </c>
      <c r="F997" s="451">
        <v>46137</v>
      </c>
      <c r="G997" t="s">
        <v>279</v>
      </c>
      <c r="H997" t="s">
        <v>280</v>
      </c>
      <c r="I997" t="s">
        <v>1518</v>
      </c>
      <c r="J997">
        <v>-199.95</v>
      </c>
      <c r="K997">
        <v>0</v>
      </c>
      <c r="O997" t="s">
        <v>787</v>
      </c>
      <c r="P997" t="s">
        <v>894</v>
      </c>
      <c r="Q997" t="s">
        <v>462</v>
      </c>
      <c r="R997">
        <v>0</v>
      </c>
    </row>
    <row r="998" spans="1:18" x14ac:dyDescent="0.3">
      <c r="A998">
        <v>229136</v>
      </c>
      <c r="B998" t="s">
        <v>557</v>
      </c>
      <c r="C998" t="s">
        <v>1237</v>
      </c>
      <c r="E998" s="451">
        <v>46125</v>
      </c>
      <c r="F998" s="451">
        <v>46126</v>
      </c>
      <c r="G998" t="s">
        <v>279</v>
      </c>
      <c r="H998" t="s">
        <v>284</v>
      </c>
      <c r="I998" t="s">
        <v>1272</v>
      </c>
      <c r="J998">
        <v>-76.010000000000005</v>
      </c>
      <c r="K998">
        <v>-76.010000000000005</v>
      </c>
      <c r="O998" t="s">
        <v>787</v>
      </c>
      <c r="P998" t="s">
        <v>894</v>
      </c>
      <c r="Q998" t="s">
        <v>462</v>
      </c>
      <c r="R998">
        <v>0</v>
      </c>
    </row>
    <row r="999" spans="1:18" x14ac:dyDescent="0.3">
      <c r="A999">
        <v>211307</v>
      </c>
      <c r="B999" t="s">
        <v>557</v>
      </c>
      <c r="C999" t="s">
        <v>943</v>
      </c>
      <c r="D999" t="s">
        <v>1519</v>
      </c>
      <c r="E999" s="451">
        <v>46125</v>
      </c>
      <c r="F999" s="451">
        <v>46135</v>
      </c>
      <c r="G999" t="s">
        <v>576</v>
      </c>
      <c r="H999" t="s">
        <v>203</v>
      </c>
      <c r="I999" t="s">
        <v>1520</v>
      </c>
      <c r="J999">
        <v>-1807.67</v>
      </c>
      <c r="K999">
        <v>-1807.67</v>
      </c>
      <c r="O999" t="s">
        <v>787</v>
      </c>
      <c r="P999" t="s">
        <v>894</v>
      </c>
      <c r="Q999" t="s">
        <v>462</v>
      </c>
      <c r="R999">
        <v>0</v>
      </c>
    </row>
    <row r="1000" spans="1:18" x14ac:dyDescent="0.3">
      <c r="A1000">
        <v>222940</v>
      </c>
      <c r="B1000" t="s">
        <v>557</v>
      </c>
      <c r="C1000" t="s">
        <v>952</v>
      </c>
      <c r="D1000" t="s">
        <v>1521</v>
      </c>
      <c r="E1000" s="451">
        <v>46125</v>
      </c>
      <c r="F1000" s="451">
        <v>46146</v>
      </c>
      <c r="G1000" t="s">
        <v>569</v>
      </c>
      <c r="H1000" t="s">
        <v>58</v>
      </c>
      <c r="I1000" t="s">
        <v>1522</v>
      </c>
      <c r="J1000">
        <v>-1940</v>
      </c>
      <c r="K1000">
        <v>-1940</v>
      </c>
      <c r="O1000" t="s">
        <v>787</v>
      </c>
      <c r="P1000" t="s">
        <v>894</v>
      </c>
      <c r="Q1000" t="s">
        <v>462</v>
      </c>
      <c r="R1000">
        <v>0</v>
      </c>
    </row>
    <row r="1001" spans="1:18" x14ac:dyDescent="0.3">
      <c r="A1001">
        <v>211314</v>
      </c>
      <c r="B1001" t="s">
        <v>557</v>
      </c>
      <c r="C1001" t="s">
        <v>943</v>
      </c>
      <c r="D1001" t="s">
        <v>1523</v>
      </c>
      <c r="E1001" s="451">
        <v>46125</v>
      </c>
      <c r="F1001" s="451">
        <v>46135</v>
      </c>
      <c r="G1001" t="s">
        <v>576</v>
      </c>
      <c r="H1001" t="s">
        <v>203</v>
      </c>
      <c r="I1001" t="s">
        <v>1524</v>
      </c>
      <c r="J1001">
        <v>-1760</v>
      </c>
      <c r="K1001">
        <v>-1760</v>
      </c>
      <c r="O1001" t="s">
        <v>787</v>
      </c>
      <c r="P1001" t="s">
        <v>894</v>
      </c>
      <c r="Q1001" t="s">
        <v>462</v>
      </c>
      <c r="R1001">
        <v>0</v>
      </c>
    </row>
    <row r="1002" spans="1:18" x14ac:dyDescent="0.3">
      <c r="A1002">
        <v>226251</v>
      </c>
      <c r="B1002" t="s">
        <v>557</v>
      </c>
      <c r="C1002" t="s">
        <v>888</v>
      </c>
      <c r="D1002" t="s">
        <v>1525</v>
      </c>
      <c r="E1002" s="451">
        <v>46124</v>
      </c>
      <c r="F1002" s="451">
        <v>46138</v>
      </c>
      <c r="G1002" t="s">
        <v>564</v>
      </c>
      <c r="H1002" t="s">
        <v>565</v>
      </c>
      <c r="I1002" t="s">
        <v>1526</v>
      </c>
      <c r="J1002">
        <v>-367.77</v>
      </c>
      <c r="K1002">
        <v>-364.77</v>
      </c>
      <c r="M1002" t="s">
        <v>887</v>
      </c>
      <c r="N1002" t="s">
        <v>131</v>
      </c>
      <c r="O1002" t="s">
        <v>787</v>
      </c>
      <c r="P1002" t="s">
        <v>894</v>
      </c>
      <c r="Q1002" t="s">
        <v>462</v>
      </c>
      <c r="R1002">
        <v>0</v>
      </c>
    </row>
    <row r="1003" spans="1:18" x14ac:dyDescent="0.3">
      <c r="A1003">
        <v>229135</v>
      </c>
      <c r="B1003" t="s">
        <v>557</v>
      </c>
      <c r="C1003" t="s">
        <v>1237</v>
      </c>
      <c r="E1003" s="451">
        <v>46124</v>
      </c>
      <c r="F1003" s="451">
        <v>46125</v>
      </c>
      <c r="G1003" t="s">
        <v>279</v>
      </c>
      <c r="H1003" t="s">
        <v>284</v>
      </c>
      <c r="I1003" t="s">
        <v>1272</v>
      </c>
      <c r="J1003">
        <v>-140.71</v>
      </c>
      <c r="K1003">
        <v>-140.71</v>
      </c>
      <c r="O1003" t="s">
        <v>787</v>
      </c>
      <c r="P1003" t="s">
        <v>894</v>
      </c>
      <c r="Q1003" t="s">
        <v>462</v>
      </c>
      <c r="R1003">
        <v>0</v>
      </c>
    </row>
    <row r="1004" spans="1:18" x14ac:dyDescent="0.3">
      <c r="A1004">
        <v>229134</v>
      </c>
      <c r="B1004" t="s">
        <v>557</v>
      </c>
      <c r="C1004" t="s">
        <v>1237</v>
      </c>
      <c r="E1004" s="451">
        <v>46123</v>
      </c>
      <c r="F1004" s="451">
        <v>46124</v>
      </c>
      <c r="G1004" t="s">
        <v>279</v>
      </c>
      <c r="H1004" t="s">
        <v>284</v>
      </c>
      <c r="I1004" t="s">
        <v>1272</v>
      </c>
      <c r="J1004">
        <v>-332.31</v>
      </c>
      <c r="K1004">
        <v>-332.31</v>
      </c>
      <c r="O1004" t="s">
        <v>787</v>
      </c>
      <c r="P1004" t="s">
        <v>894</v>
      </c>
      <c r="Q1004" t="s">
        <v>462</v>
      </c>
      <c r="R1004">
        <v>0</v>
      </c>
    </row>
    <row r="1005" spans="1:18" x14ac:dyDescent="0.3">
      <c r="A1005">
        <v>191993</v>
      </c>
      <c r="B1005" t="s">
        <v>557</v>
      </c>
      <c r="C1005" t="s">
        <v>861</v>
      </c>
      <c r="D1005" t="s">
        <v>1527</v>
      </c>
      <c r="E1005" s="451">
        <v>46123</v>
      </c>
      <c r="F1005" s="451">
        <v>46152</v>
      </c>
      <c r="G1005" t="s">
        <v>256</v>
      </c>
      <c r="H1005" t="s">
        <v>257</v>
      </c>
      <c r="I1005" t="s">
        <v>1528</v>
      </c>
      <c r="J1005">
        <v>-22701.55</v>
      </c>
      <c r="K1005">
        <v>-18701.55</v>
      </c>
      <c r="O1005" t="s">
        <v>787</v>
      </c>
      <c r="P1005" t="s">
        <v>894</v>
      </c>
      <c r="Q1005" t="s">
        <v>462</v>
      </c>
      <c r="R1005">
        <v>0</v>
      </c>
    </row>
    <row r="1006" spans="1:18" x14ac:dyDescent="0.3">
      <c r="A1006">
        <v>192006</v>
      </c>
      <c r="B1006" t="s">
        <v>557</v>
      </c>
      <c r="C1006" t="s">
        <v>863</v>
      </c>
      <c r="D1006" t="s">
        <v>1527</v>
      </c>
      <c r="E1006" s="451">
        <v>46122</v>
      </c>
      <c r="F1006" s="451">
        <v>46142</v>
      </c>
      <c r="G1006" t="s">
        <v>256</v>
      </c>
      <c r="H1006" t="s">
        <v>257</v>
      </c>
      <c r="I1006" t="s">
        <v>1529</v>
      </c>
      <c r="J1006">
        <v>-29238</v>
      </c>
      <c r="K1006">
        <v>-29238</v>
      </c>
      <c r="O1006" t="s">
        <v>787</v>
      </c>
      <c r="P1006" t="s">
        <v>894</v>
      </c>
      <c r="Q1006" t="s">
        <v>462</v>
      </c>
      <c r="R1006">
        <v>0</v>
      </c>
    </row>
    <row r="1007" spans="1:18" x14ac:dyDescent="0.3">
      <c r="A1007">
        <v>218776</v>
      </c>
      <c r="B1007" t="s">
        <v>557</v>
      </c>
      <c r="C1007" t="s">
        <v>1128</v>
      </c>
      <c r="D1007" t="s">
        <v>1503</v>
      </c>
      <c r="E1007" s="451">
        <v>46122</v>
      </c>
      <c r="F1007" s="451">
        <v>46132</v>
      </c>
      <c r="G1007" t="s">
        <v>569</v>
      </c>
      <c r="H1007" t="s">
        <v>66</v>
      </c>
      <c r="I1007" t="s">
        <v>1530</v>
      </c>
      <c r="J1007">
        <v>-167</v>
      </c>
      <c r="K1007">
        <v>-167</v>
      </c>
      <c r="O1007" t="s">
        <v>787</v>
      </c>
      <c r="P1007" t="s">
        <v>894</v>
      </c>
      <c r="Q1007" t="s">
        <v>462</v>
      </c>
      <c r="R1007">
        <v>0</v>
      </c>
    </row>
    <row r="1008" spans="1:18" x14ac:dyDescent="0.3">
      <c r="A1008">
        <v>229133</v>
      </c>
      <c r="B1008" t="s">
        <v>557</v>
      </c>
      <c r="C1008" t="s">
        <v>1237</v>
      </c>
      <c r="E1008" s="451">
        <v>46122</v>
      </c>
      <c r="F1008" s="451">
        <v>46123</v>
      </c>
      <c r="G1008" t="s">
        <v>279</v>
      </c>
      <c r="H1008" t="s">
        <v>284</v>
      </c>
      <c r="I1008" t="s">
        <v>1272</v>
      </c>
      <c r="J1008">
        <v>-103.87</v>
      </c>
      <c r="K1008">
        <v>-103.87</v>
      </c>
      <c r="O1008" t="s">
        <v>787</v>
      </c>
      <c r="P1008" t="s">
        <v>894</v>
      </c>
      <c r="Q1008" t="s">
        <v>462</v>
      </c>
      <c r="R1008">
        <v>0</v>
      </c>
    </row>
    <row r="1009" spans="1:18" x14ac:dyDescent="0.3">
      <c r="A1009">
        <v>230994</v>
      </c>
      <c r="B1009" t="s">
        <v>557</v>
      </c>
      <c r="C1009" t="s">
        <v>964</v>
      </c>
      <c r="E1009" s="451">
        <v>46122</v>
      </c>
      <c r="F1009" s="451">
        <v>46122</v>
      </c>
      <c r="G1009" t="s">
        <v>874</v>
      </c>
      <c r="H1009" t="s">
        <v>875</v>
      </c>
      <c r="J1009">
        <v>-62.45</v>
      </c>
      <c r="K1009">
        <v>-62.45</v>
      </c>
      <c r="O1009" t="s">
        <v>787</v>
      </c>
      <c r="P1009" t="s">
        <v>894</v>
      </c>
      <c r="Q1009" t="s">
        <v>462</v>
      </c>
      <c r="R1009">
        <v>0</v>
      </c>
    </row>
    <row r="1010" spans="1:18" x14ac:dyDescent="0.3">
      <c r="A1010">
        <v>223781</v>
      </c>
      <c r="B1010" t="s">
        <v>557</v>
      </c>
      <c r="C1010" t="s">
        <v>1531</v>
      </c>
      <c r="D1010" t="s">
        <v>1532</v>
      </c>
      <c r="E1010" s="451">
        <v>46121</v>
      </c>
      <c r="F1010" s="451">
        <v>46122</v>
      </c>
      <c r="G1010" t="s">
        <v>296</v>
      </c>
      <c r="H1010" t="s">
        <v>305</v>
      </c>
      <c r="I1010" t="s">
        <v>1533</v>
      </c>
      <c r="J1010">
        <v>-257.3</v>
      </c>
      <c r="K1010">
        <v>0</v>
      </c>
      <c r="O1010" t="s">
        <v>787</v>
      </c>
      <c r="P1010" t="s">
        <v>894</v>
      </c>
      <c r="Q1010" t="s">
        <v>462</v>
      </c>
      <c r="R1010">
        <v>0</v>
      </c>
    </row>
    <row r="1011" spans="1:18" x14ac:dyDescent="0.3">
      <c r="A1011">
        <v>229132</v>
      </c>
      <c r="B1011" t="s">
        <v>557</v>
      </c>
      <c r="C1011" t="s">
        <v>1237</v>
      </c>
      <c r="E1011" s="451">
        <v>46121</v>
      </c>
      <c r="F1011" s="451">
        <v>46122</v>
      </c>
      <c r="G1011" t="s">
        <v>279</v>
      </c>
      <c r="H1011" t="s">
        <v>284</v>
      </c>
      <c r="I1011" t="s">
        <v>1272</v>
      </c>
      <c r="J1011">
        <v>-95.36</v>
      </c>
      <c r="K1011">
        <v>-95.36</v>
      </c>
      <c r="O1011" t="s">
        <v>787</v>
      </c>
      <c r="P1011" t="s">
        <v>894</v>
      </c>
      <c r="Q1011" t="s">
        <v>462</v>
      </c>
      <c r="R1011">
        <v>0</v>
      </c>
    </row>
    <row r="1012" spans="1:18" x14ac:dyDescent="0.3">
      <c r="A1012">
        <v>224960</v>
      </c>
      <c r="B1012" t="s">
        <v>557</v>
      </c>
      <c r="C1012" t="s">
        <v>964</v>
      </c>
      <c r="E1012" s="451">
        <v>46121</v>
      </c>
      <c r="F1012" s="451">
        <v>46121</v>
      </c>
      <c r="G1012" t="s">
        <v>874</v>
      </c>
      <c r="H1012" t="s">
        <v>875</v>
      </c>
      <c r="J1012">
        <v>-20</v>
      </c>
      <c r="K1012">
        <v>-20</v>
      </c>
      <c r="O1012" t="s">
        <v>787</v>
      </c>
      <c r="P1012" t="s">
        <v>894</v>
      </c>
      <c r="Q1012" t="s">
        <v>462</v>
      </c>
      <c r="R1012">
        <v>0</v>
      </c>
    </row>
    <row r="1013" spans="1:18" x14ac:dyDescent="0.3">
      <c r="A1013">
        <v>229131</v>
      </c>
      <c r="B1013" t="s">
        <v>557</v>
      </c>
      <c r="C1013" t="s">
        <v>1237</v>
      </c>
      <c r="E1013" s="451">
        <v>46120</v>
      </c>
      <c r="F1013" s="451">
        <v>46121</v>
      </c>
      <c r="G1013" t="s">
        <v>279</v>
      </c>
      <c r="H1013" t="s">
        <v>284</v>
      </c>
      <c r="I1013" t="s">
        <v>1272</v>
      </c>
      <c r="J1013">
        <v>-75.510000000000005</v>
      </c>
      <c r="K1013">
        <v>-75.510000000000005</v>
      </c>
      <c r="O1013" t="s">
        <v>787</v>
      </c>
      <c r="P1013" t="s">
        <v>894</v>
      </c>
      <c r="Q1013" t="s">
        <v>462</v>
      </c>
      <c r="R1013">
        <v>0</v>
      </c>
    </row>
    <row r="1014" spans="1:18" x14ac:dyDescent="0.3">
      <c r="A1014">
        <v>230990</v>
      </c>
      <c r="B1014" t="s">
        <v>557</v>
      </c>
      <c r="C1014" t="s">
        <v>964</v>
      </c>
      <c r="E1014" s="451">
        <v>46120</v>
      </c>
      <c r="F1014" s="451">
        <v>46120</v>
      </c>
      <c r="G1014" t="s">
        <v>874</v>
      </c>
      <c r="H1014" t="s">
        <v>875</v>
      </c>
      <c r="J1014">
        <v>-2.77</v>
      </c>
      <c r="K1014">
        <v>-2.77</v>
      </c>
      <c r="O1014" t="s">
        <v>787</v>
      </c>
      <c r="P1014" t="s">
        <v>894</v>
      </c>
      <c r="Q1014" t="s">
        <v>462</v>
      </c>
      <c r="R1014">
        <v>0</v>
      </c>
    </row>
    <row r="1015" spans="1:18" x14ac:dyDescent="0.3">
      <c r="A1015">
        <v>223848</v>
      </c>
      <c r="B1015" t="s">
        <v>557</v>
      </c>
      <c r="C1015" t="s">
        <v>964</v>
      </c>
      <c r="E1015" s="451">
        <v>46119</v>
      </c>
      <c r="F1015" s="451">
        <v>46119</v>
      </c>
      <c r="G1015" t="s">
        <v>874</v>
      </c>
      <c r="H1015" t="s">
        <v>875</v>
      </c>
      <c r="J1015">
        <v>0</v>
      </c>
      <c r="K1015">
        <v>0</v>
      </c>
      <c r="O1015" t="s">
        <v>787</v>
      </c>
      <c r="P1015" t="s">
        <v>894</v>
      </c>
      <c r="Q1015" t="s">
        <v>462</v>
      </c>
      <c r="R1015">
        <v>0</v>
      </c>
    </row>
    <row r="1016" spans="1:18" x14ac:dyDescent="0.3">
      <c r="A1016">
        <v>223847</v>
      </c>
      <c r="B1016" t="s">
        <v>557</v>
      </c>
      <c r="C1016" t="s">
        <v>964</v>
      </c>
      <c r="E1016" s="451">
        <v>46119</v>
      </c>
      <c r="F1016" s="451">
        <v>46119</v>
      </c>
      <c r="G1016" t="s">
        <v>874</v>
      </c>
      <c r="H1016" t="s">
        <v>875</v>
      </c>
      <c r="J1016">
        <v>-10</v>
      </c>
      <c r="K1016">
        <v>-10</v>
      </c>
      <c r="O1016" t="s">
        <v>787</v>
      </c>
      <c r="P1016" t="s">
        <v>894</v>
      </c>
      <c r="Q1016" t="s">
        <v>462</v>
      </c>
      <c r="R1016">
        <v>0</v>
      </c>
    </row>
    <row r="1017" spans="1:18" x14ac:dyDescent="0.3">
      <c r="A1017">
        <v>229130</v>
      </c>
      <c r="B1017" t="s">
        <v>557</v>
      </c>
      <c r="C1017" t="s">
        <v>1237</v>
      </c>
      <c r="E1017" s="451">
        <v>46119</v>
      </c>
      <c r="F1017" s="451">
        <v>46120</v>
      </c>
      <c r="G1017" t="s">
        <v>279</v>
      </c>
      <c r="H1017" t="s">
        <v>284</v>
      </c>
      <c r="I1017" t="s">
        <v>1272</v>
      </c>
      <c r="J1017">
        <v>-51.77</v>
      </c>
      <c r="K1017">
        <v>-51.77</v>
      </c>
      <c r="O1017" t="s">
        <v>787</v>
      </c>
      <c r="P1017" t="s">
        <v>894</v>
      </c>
      <c r="Q1017" t="s">
        <v>462</v>
      </c>
      <c r="R1017">
        <v>0</v>
      </c>
    </row>
    <row r="1018" spans="1:18" x14ac:dyDescent="0.3">
      <c r="A1018">
        <v>211306</v>
      </c>
      <c r="B1018" t="s">
        <v>557</v>
      </c>
      <c r="C1018" t="s">
        <v>943</v>
      </c>
      <c r="D1018" t="s">
        <v>1534</v>
      </c>
      <c r="E1018" s="451">
        <v>46118</v>
      </c>
      <c r="F1018" s="451">
        <v>46128</v>
      </c>
      <c r="G1018" t="s">
        <v>576</v>
      </c>
      <c r="H1018" t="s">
        <v>203</v>
      </c>
      <c r="I1018" t="s">
        <v>1535</v>
      </c>
      <c r="J1018">
        <v>-2369</v>
      </c>
      <c r="K1018">
        <v>-2369</v>
      </c>
      <c r="O1018" t="s">
        <v>787</v>
      </c>
      <c r="P1018" t="s">
        <v>894</v>
      </c>
      <c r="Q1018" t="s">
        <v>462</v>
      </c>
      <c r="R1018">
        <v>0</v>
      </c>
    </row>
    <row r="1019" spans="1:18" x14ac:dyDescent="0.3">
      <c r="A1019">
        <v>229129</v>
      </c>
      <c r="B1019" t="s">
        <v>557</v>
      </c>
      <c r="C1019" t="s">
        <v>1237</v>
      </c>
      <c r="E1019" s="451">
        <v>46118</v>
      </c>
      <c r="F1019" s="451">
        <v>46119</v>
      </c>
      <c r="G1019" t="s">
        <v>279</v>
      </c>
      <c r="H1019" t="s">
        <v>284</v>
      </c>
      <c r="I1019" t="s">
        <v>1272</v>
      </c>
      <c r="J1019">
        <v>-49.94</v>
      </c>
      <c r="K1019">
        <v>-49.94</v>
      </c>
      <c r="O1019" t="s">
        <v>787</v>
      </c>
      <c r="P1019" t="s">
        <v>894</v>
      </c>
      <c r="Q1019" t="s">
        <v>462</v>
      </c>
      <c r="R1019">
        <v>0</v>
      </c>
    </row>
    <row r="1020" spans="1:18" x14ac:dyDescent="0.3">
      <c r="A1020">
        <v>222404</v>
      </c>
      <c r="B1020" t="s">
        <v>557</v>
      </c>
      <c r="C1020" t="s">
        <v>1051</v>
      </c>
      <c r="D1020" t="s">
        <v>1536</v>
      </c>
      <c r="E1020" s="451">
        <v>46118</v>
      </c>
      <c r="F1020" s="451">
        <v>46127</v>
      </c>
      <c r="G1020" t="s">
        <v>296</v>
      </c>
      <c r="H1020" t="s">
        <v>307</v>
      </c>
      <c r="I1020" t="s">
        <v>1537</v>
      </c>
      <c r="J1020">
        <v>-82.74</v>
      </c>
      <c r="K1020">
        <v>0</v>
      </c>
      <c r="O1020" t="s">
        <v>787</v>
      </c>
      <c r="P1020" t="s">
        <v>894</v>
      </c>
      <c r="Q1020" t="s">
        <v>462</v>
      </c>
      <c r="R1020">
        <v>0</v>
      </c>
    </row>
    <row r="1021" spans="1:18" x14ac:dyDescent="0.3">
      <c r="A1021">
        <v>222424</v>
      </c>
      <c r="B1021" t="s">
        <v>557</v>
      </c>
      <c r="C1021" t="s">
        <v>1051</v>
      </c>
      <c r="D1021" t="s">
        <v>1538</v>
      </c>
      <c r="E1021" s="451">
        <v>46118</v>
      </c>
      <c r="F1021" s="451">
        <v>46127</v>
      </c>
      <c r="G1021" t="s">
        <v>296</v>
      </c>
      <c r="H1021" t="s">
        <v>307</v>
      </c>
      <c r="I1021" t="s">
        <v>1537</v>
      </c>
      <c r="J1021">
        <v>-349.05</v>
      </c>
      <c r="K1021">
        <v>0</v>
      </c>
      <c r="O1021" t="s">
        <v>787</v>
      </c>
      <c r="P1021" t="s">
        <v>894</v>
      </c>
      <c r="Q1021" t="s">
        <v>462</v>
      </c>
      <c r="R1021">
        <v>0</v>
      </c>
    </row>
    <row r="1022" spans="1:18" x14ac:dyDescent="0.3">
      <c r="A1022">
        <v>222939</v>
      </c>
      <c r="B1022" t="s">
        <v>557</v>
      </c>
      <c r="C1022" t="s">
        <v>952</v>
      </c>
      <c r="D1022" t="s">
        <v>1539</v>
      </c>
      <c r="E1022" s="451">
        <v>46118</v>
      </c>
      <c r="F1022" s="451">
        <v>46139</v>
      </c>
      <c r="G1022" t="s">
        <v>569</v>
      </c>
      <c r="H1022" t="s">
        <v>58</v>
      </c>
      <c r="I1022" t="s">
        <v>1540</v>
      </c>
      <c r="J1022">
        <v>-1100</v>
      </c>
      <c r="K1022">
        <v>-1100</v>
      </c>
      <c r="O1022" t="s">
        <v>787</v>
      </c>
      <c r="P1022" t="s">
        <v>894</v>
      </c>
      <c r="Q1022" t="s">
        <v>462</v>
      </c>
      <c r="R1022">
        <v>0</v>
      </c>
    </row>
    <row r="1023" spans="1:18" x14ac:dyDescent="0.3">
      <c r="A1023">
        <v>223845</v>
      </c>
      <c r="B1023" t="s">
        <v>557</v>
      </c>
      <c r="C1023" t="s">
        <v>964</v>
      </c>
      <c r="E1023" s="451">
        <v>46118</v>
      </c>
      <c r="F1023" s="451">
        <v>46118</v>
      </c>
      <c r="G1023" t="s">
        <v>874</v>
      </c>
      <c r="H1023" t="s">
        <v>875</v>
      </c>
      <c r="J1023">
        <v>-40</v>
      </c>
      <c r="K1023">
        <v>-40</v>
      </c>
      <c r="O1023" t="s">
        <v>787</v>
      </c>
      <c r="P1023" t="s">
        <v>894</v>
      </c>
      <c r="Q1023" t="s">
        <v>462</v>
      </c>
      <c r="R1023">
        <v>0</v>
      </c>
    </row>
    <row r="1024" spans="1:18" x14ac:dyDescent="0.3">
      <c r="A1024">
        <v>229128</v>
      </c>
      <c r="B1024" t="s">
        <v>557</v>
      </c>
      <c r="C1024" t="s">
        <v>1237</v>
      </c>
      <c r="E1024" s="451">
        <v>46117</v>
      </c>
      <c r="F1024" s="451">
        <v>46118</v>
      </c>
      <c r="G1024" t="s">
        <v>279</v>
      </c>
      <c r="H1024" t="s">
        <v>284</v>
      </c>
      <c r="I1024" t="s">
        <v>1272</v>
      </c>
      <c r="J1024">
        <v>-56.85</v>
      </c>
      <c r="K1024">
        <v>-56.85</v>
      </c>
      <c r="O1024" t="s">
        <v>787</v>
      </c>
      <c r="P1024" t="s">
        <v>894</v>
      </c>
      <c r="Q1024" t="s">
        <v>462</v>
      </c>
      <c r="R1024">
        <v>0</v>
      </c>
    </row>
    <row r="1025" spans="1:18" x14ac:dyDescent="0.3">
      <c r="A1025">
        <v>229127</v>
      </c>
      <c r="B1025" t="s">
        <v>557</v>
      </c>
      <c r="C1025" t="s">
        <v>1237</v>
      </c>
      <c r="E1025" s="451">
        <v>46116</v>
      </c>
      <c r="F1025" s="451">
        <v>46117</v>
      </c>
      <c r="G1025" t="s">
        <v>279</v>
      </c>
      <c r="H1025" t="s">
        <v>284</v>
      </c>
      <c r="I1025" t="s">
        <v>1272</v>
      </c>
      <c r="J1025">
        <v>-103.94</v>
      </c>
      <c r="K1025">
        <v>-103.94</v>
      </c>
      <c r="O1025" t="s">
        <v>787</v>
      </c>
      <c r="P1025" t="s">
        <v>894</v>
      </c>
      <c r="Q1025" t="s">
        <v>462</v>
      </c>
      <c r="R1025">
        <v>0</v>
      </c>
    </row>
    <row r="1026" spans="1:18" x14ac:dyDescent="0.3">
      <c r="A1026">
        <v>218775</v>
      </c>
      <c r="B1026" t="s">
        <v>557</v>
      </c>
      <c r="C1026" t="s">
        <v>1128</v>
      </c>
      <c r="D1026" t="s">
        <v>1503</v>
      </c>
      <c r="E1026" s="451">
        <v>46115</v>
      </c>
      <c r="F1026" s="451">
        <v>46125</v>
      </c>
      <c r="G1026" t="s">
        <v>569</v>
      </c>
      <c r="H1026" t="s">
        <v>66</v>
      </c>
      <c r="I1026" t="s">
        <v>1541</v>
      </c>
      <c r="J1026">
        <v>-167</v>
      </c>
      <c r="K1026">
        <v>-167</v>
      </c>
      <c r="O1026" t="s">
        <v>787</v>
      </c>
      <c r="P1026" t="s">
        <v>894</v>
      </c>
      <c r="Q1026" t="s">
        <v>462</v>
      </c>
      <c r="R1026">
        <v>0</v>
      </c>
    </row>
    <row r="1027" spans="1:18" x14ac:dyDescent="0.3">
      <c r="A1027">
        <v>229126</v>
      </c>
      <c r="B1027" t="s">
        <v>557</v>
      </c>
      <c r="C1027" t="s">
        <v>1237</v>
      </c>
      <c r="E1027" s="451">
        <v>46115</v>
      </c>
      <c r="F1027" s="451">
        <v>46116</v>
      </c>
      <c r="G1027" t="s">
        <v>279</v>
      </c>
      <c r="H1027" t="s">
        <v>284</v>
      </c>
      <c r="I1027" t="s">
        <v>1272</v>
      </c>
      <c r="J1027">
        <v>-72.28</v>
      </c>
      <c r="K1027">
        <v>-72.28</v>
      </c>
      <c r="O1027" t="s">
        <v>787</v>
      </c>
      <c r="P1027" t="s">
        <v>894</v>
      </c>
      <c r="Q1027" t="s">
        <v>462</v>
      </c>
      <c r="R1027">
        <v>0</v>
      </c>
    </row>
    <row r="1028" spans="1:18" x14ac:dyDescent="0.3">
      <c r="A1028">
        <v>229125</v>
      </c>
      <c r="B1028" t="s">
        <v>557</v>
      </c>
      <c r="C1028" t="s">
        <v>1237</v>
      </c>
      <c r="E1028" s="451">
        <v>46114</v>
      </c>
      <c r="F1028" s="451">
        <v>46115</v>
      </c>
      <c r="G1028" t="s">
        <v>279</v>
      </c>
      <c r="H1028" t="s">
        <v>284</v>
      </c>
      <c r="I1028" t="s">
        <v>1272</v>
      </c>
      <c r="J1028">
        <v>-88.78</v>
      </c>
      <c r="K1028">
        <v>-88.78</v>
      </c>
      <c r="O1028" t="s">
        <v>787</v>
      </c>
      <c r="P1028" t="s">
        <v>894</v>
      </c>
      <c r="Q1028" t="s">
        <v>462</v>
      </c>
      <c r="R1028">
        <v>0</v>
      </c>
    </row>
    <row r="1029" spans="1:18" x14ac:dyDescent="0.3">
      <c r="A1029">
        <v>228084</v>
      </c>
      <c r="B1029" t="s">
        <v>557</v>
      </c>
      <c r="C1029" t="s">
        <v>1066</v>
      </c>
      <c r="D1029" t="s">
        <v>1542</v>
      </c>
      <c r="E1029" s="451">
        <v>46113</v>
      </c>
      <c r="F1029" s="451">
        <v>46147</v>
      </c>
      <c r="G1029" t="s">
        <v>564</v>
      </c>
      <c r="H1029" t="s">
        <v>565</v>
      </c>
      <c r="I1029" t="s">
        <v>1543</v>
      </c>
      <c r="J1029">
        <v>-44.17</v>
      </c>
      <c r="K1029">
        <v>-44.17</v>
      </c>
      <c r="O1029" t="s">
        <v>787</v>
      </c>
      <c r="P1029" t="s">
        <v>894</v>
      </c>
      <c r="Q1029" t="s">
        <v>462</v>
      </c>
      <c r="R1029">
        <v>0</v>
      </c>
    </row>
    <row r="1030" spans="1:18" x14ac:dyDescent="0.3">
      <c r="A1030">
        <v>219481</v>
      </c>
      <c r="B1030" t="s">
        <v>557</v>
      </c>
      <c r="C1030" t="s">
        <v>259</v>
      </c>
      <c r="D1030" t="s">
        <v>1544</v>
      </c>
      <c r="E1030" s="451">
        <v>46113</v>
      </c>
      <c r="F1030" s="451">
        <v>46139</v>
      </c>
      <c r="G1030" t="s">
        <v>256</v>
      </c>
      <c r="H1030" t="s">
        <v>259</v>
      </c>
      <c r="I1030" t="s">
        <v>1545</v>
      </c>
      <c r="J1030">
        <v>-1611.52</v>
      </c>
      <c r="K1030">
        <v>-1611.52</v>
      </c>
      <c r="O1030" t="s">
        <v>787</v>
      </c>
      <c r="P1030" t="s">
        <v>894</v>
      </c>
      <c r="Q1030" t="s">
        <v>462</v>
      </c>
      <c r="R1030">
        <v>0</v>
      </c>
    </row>
    <row r="1031" spans="1:18" x14ac:dyDescent="0.3">
      <c r="A1031">
        <v>228010</v>
      </c>
      <c r="B1031" t="s">
        <v>557</v>
      </c>
      <c r="C1031" t="s">
        <v>1066</v>
      </c>
      <c r="D1031" t="s">
        <v>1546</v>
      </c>
      <c r="E1031" s="451">
        <v>46113</v>
      </c>
      <c r="F1031" s="451">
        <v>46147</v>
      </c>
      <c r="G1031" t="s">
        <v>264</v>
      </c>
      <c r="H1031" t="s">
        <v>275</v>
      </c>
      <c r="I1031" t="s">
        <v>1547</v>
      </c>
      <c r="J1031">
        <v>-49.5</v>
      </c>
      <c r="K1031">
        <v>-49.5</v>
      </c>
      <c r="O1031" t="s">
        <v>787</v>
      </c>
      <c r="P1031" t="s">
        <v>894</v>
      </c>
      <c r="Q1031" t="s">
        <v>462</v>
      </c>
      <c r="R1031">
        <v>0</v>
      </c>
    </row>
    <row r="1032" spans="1:18" x14ac:dyDescent="0.3">
      <c r="A1032">
        <v>228009</v>
      </c>
      <c r="B1032" t="s">
        <v>557</v>
      </c>
      <c r="C1032" t="s">
        <v>1066</v>
      </c>
      <c r="D1032" t="s">
        <v>1548</v>
      </c>
      <c r="E1032" s="451">
        <v>46113</v>
      </c>
      <c r="F1032" s="451">
        <v>46147</v>
      </c>
      <c r="G1032" t="s">
        <v>581</v>
      </c>
      <c r="H1032" t="s">
        <v>291</v>
      </c>
      <c r="I1032" t="s">
        <v>1549</v>
      </c>
      <c r="J1032">
        <v>-450</v>
      </c>
      <c r="K1032">
        <v>-450</v>
      </c>
      <c r="O1032" t="s">
        <v>787</v>
      </c>
      <c r="P1032" t="s">
        <v>894</v>
      </c>
      <c r="Q1032" t="s">
        <v>462</v>
      </c>
      <c r="R1032">
        <v>0</v>
      </c>
    </row>
    <row r="1033" spans="1:18" x14ac:dyDescent="0.3">
      <c r="A1033">
        <v>228008</v>
      </c>
      <c r="B1033" t="s">
        <v>557</v>
      </c>
      <c r="C1033" t="s">
        <v>1066</v>
      </c>
      <c r="D1033" t="s">
        <v>1550</v>
      </c>
      <c r="E1033" s="451">
        <v>46113</v>
      </c>
      <c r="F1033" s="451">
        <v>46147</v>
      </c>
      <c r="G1033" t="s">
        <v>564</v>
      </c>
      <c r="H1033" t="s">
        <v>565</v>
      </c>
      <c r="I1033" t="s">
        <v>1551</v>
      </c>
      <c r="J1033">
        <v>-22.58</v>
      </c>
      <c r="K1033">
        <v>-22.58</v>
      </c>
      <c r="O1033" t="s">
        <v>787</v>
      </c>
      <c r="P1033" t="s">
        <v>894</v>
      </c>
      <c r="Q1033" t="s">
        <v>462</v>
      </c>
      <c r="R1033">
        <v>0</v>
      </c>
    </row>
    <row r="1034" spans="1:18" x14ac:dyDescent="0.3">
      <c r="A1034">
        <v>228005</v>
      </c>
      <c r="B1034" t="s">
        <v>557</v>
      </c>
      <c r="C1034" t="s">
        <v>1066</v>
      </c>
      <c r="D1034" t="s">
        <v>1552</v>
      </c>
      <c r="E1034" s="451">
        <v>46113</v>
      </c>
      <c r="F1034" s="451">
        <v>46147</v>
      </c>
      <c r="G1034" t="s">
        <v>581</v>
      </c>
      <c r="H1034" t="s">
        <v>291</v>
      </c>
      <c r="I1034" t="s">
        <v>1553</v>
      </c>
      <c r="J1034">
        <v>-65.48</v>
      </c>
      <c r="K1034">
        <v>-65.48</v>
      </c>
      <c r="O1034" t="s">
        <v>787</v>
      </c>
      <c r="P1034" t="s">
        <v>894</v>
      </c>
      <c r="Q1034" t="s">
        <v>462</v>
      </c>
      <c r="R1034">
        <v>0</v>
      </c>
    </row>
    <row r="1035" spans="1:18" x14ac:dyDescent="0.3">
      <c r="A1035">
        <v>228004</v>
      </c>
      <c r="B1035" t="s">
        <v>557</v>
      </c>
      <c r="C1035" t="s">
        <v>1066</v>
      </c>
      <c r="D1035" t="s">
        <v>1554</v>
      </c>
      <c r="E1035" s="451">
        <v>46113</v>
      </c>
      <c r="F1035" s="451">
        <v>46147</v>
      </c>
      <c r="G1035" t="s">
        <v>264</v>
      </c>
      <c r="H1035" t="s">
        <v>272</v>
      </c>
      <c r="I1035" t="s">
        <v>1555</v>
      </c>
      <c r="J1035">
        <v>-70</v>
      </c>
      <c r="K1035">
        <v>-70</v>
      </c>
      <c r="O1035" t="s">
        <v>787</v>
      </c>
      <c r="P1035" t="s">
        <v>894</v>
      </c>
      <c r="Q1035" t="s">
        <v>462</v>
      </c>
      <c r="R1035">
        <v>0</v>
      </c>
    </row>
    <row r="1036" spans="1:18" x14ac:dyDescent="0.3">
      <c r="A1036">
        <v>228002</v>
      </c>
      <c r="B1036" t="s">
        <v>557</v>
      </c>
      <c r="C1036" t="s">
        <v>1066</v>
      </c>
      <c r="D1036" t="s">
        <v>1556</v>
      </c>
      <c r="E1036" s="451">
        <v>46113</v>
      </c>
      <c r="F1036" s="451">
        <v>46147</v>
      </c>
      <c r="G1036" t="s">
        <v>564</v>
      </c>
      <c r="H1036" t="s">
        <v>565</v>
      </c>
      <c r="I1036" t="s">
        <v>1557</v>
      </c>
      <c r="J1036">
        <v>-27.08</v>
      </c>
      <c r="K1036">
        <v>-27.08</v>
      </c>
      <c r="O1036" t="s">
        <v>787</v>
      </c>
      <c r="P1036" t="s">
        <v>894</v>
      </c>
      <c r="Q1036" t="s">
        <v>462</v>
      </c>
      <c r="R1036">
        <v>0</v>
      </c>
    </row>
    <row r="1037" spans="1:18" x14ac:dyDescent="0.3">
      <c r="A1037">
        <v>228001</v>
      </c>
      <c r="B1037" t="s">
        <v>557</v>
      </c>
      <c r="C1037" t="s">
        <v>1066</v>
      </c>
      <c r="D1037" t="s">
        <v>1558</v>
      </c>
      <c r="E1037" s="451">
        <v>46113</v>
      </c>
      <c r="F1037" s="451">
        <v>46147</v>
      </c>
      <c r="G1037" t="s">
        <v>564</v>
      </c>
      <c r="H1037" t="s">
        <v>565</v>
      </c>
      <c r="I1037" t="s">
        <v>1551</v>
      </c>
      <c r="J1037">
        <v>-11.29</v>
      </c>
      <c r="K1037">
        <v>-11.29</v>
      </c>
      <c r="O1037" t="s">
        <v>787</v>
      </c>
      <c r="P1037" t="s">
        <v>894</v>
      </c>
      <c r="Q1037" t="s">
        <v>462</v>
      </c>
      <c r="R1037">
        <v>0</v>
      </c>
    </row>
    <row r="1038" spans="1:18" x14ac:dyDescent="0.3">
      <c r="A1038">
        <v>227999</v>
      </c>
      <c r="B1038" t="s">
        <v>557</v>
      </c>
      <c r="C1038" t="s">
        <v>1066</v>
      </c>
      <c r="D1038" t="s">
        <v>1559</v>
      </c>
      <c r="E1038" s="451">
        <v>46113</v>
      </c>
      <c r="F1038" s="451">
        <v>46147</v>
      </c>
      <c r="G1038" t="s">
        <v>264</v>
      </c>
      <c r="H1038" t="s">
        <v>268</v>
      </c>
      <c r="I1038" t="s">
        <v>1560</v>
      </c>
      <c r="J1038">
        <v>-15.99</v>
      </c>
      <c r="K1038">
        <v>-15.99</v>
      </c>
      <c r="O1038" t="s">
        <v>787</v>
      </c>
      <c r="P1038" t="s">
        <v>894</v>
      </c>
      <c r="Q1038" t="s">
        <v>462</v>
      </c>
      <c r="R1038">
        <v>0</v>
      </c>
    </row>
    <row r="1039" spans="1:18" x14ac:dyDescent="0.3">
      <c r="A1039">
        <v>227998</v>
      </c>
      <c r="B1039" t="s">
        <v>557</v>
      </c>
      <c r="C1039" t="s">
        <v>1066</v>
      </c>
      <c r="D1039" t="s">
        <v>1561</v>
      </c>
      <c r="E1039" s="451">
        <v>46113</v>
      </c>
      <c r="F1039" s="451">
        <v>46147</v>
      </c>
      <c r="G1039" t="s">
        <v>564</v>
      </c>
      <c r="H1039" t="s">
        <v>565</v>
      </c>
      <c r="I1039" t="s">
        <v>1551</v>
      </c>
      <c r="J1039">
        <v>-16.89</v>
      </c>
      <c r="K1039">
        <v>-16.89</v>
      </c>
      <c r="O1039" t="s">
        <v>787</v>
      </c>
      <c r="P1039" t="s">
        <v>894</v>
      </c>
      <c r="Q1039" t="s">
        <v>462</v>
      </c>
      <c r="R1039">
        <v>0</v>
      </c>
    </row>
    <row r="1040" spans="1:18" x14ac:dyDescent="0.3">
      <c r="A1040">
        <v>212752</v>
      </c>
      <c r="B1040" t="s">
        <v>557</v>
      </c>
      <c r="C1040" t="s">
        <v>818</v>
      </c>
      <c r="D1040" t="s">
        <v>1562</v>
      </c>
      <c r="E1040" s="451">
        <v>46113</v>
      </c>
      <c r="F1040" s="451">
        <v>46157</v>
      </c>
      <c r="G1040" t="s">
        <v>570</v>
      </c>
      <c r="H1040" t="s">
        <v>573</v>
      </c>
      <c r="I1040" t="s">
        <v>820</v>
      </c>
      <c r="J1040">
        <v>-2000</v>
      </c>
      <c r="K1040">
        <v>-2000</v>
      </c>
      <c r="M1040" t="s">
        <v>821</v>
      </c>
      <c r="N1040" t="s">
        <v>133</v>
      </c>
      <c r="O1040" t="s">
        <v>787</v>
      </c>
      <c r="P1040" t="s">
        <v>894</v>
      </c>
      <c r="Q1040" t="s">
        <v>462</v>
      </c>
      <c r="R1040">
        <v>0</v>
      </c>
    </row>
    <row r="1041" spans="1:18" x14ac:dyDescent="0.3">
      <c r="A1041">
        <v>219479</v>
      </c>
      <c r="B1041" t="s">
        <v>557</v>
      </c>
      <c r="C1041" t="s">
        <v>259</v>
      </c>
      <c r="D1041" t="s">
        <v>1544</v>
      </c>
      <c r="E1041" s="451">
        <v>46113</v>
      </c>
      <c r="F1041" s="451">
        <v>46127</v>
      </c>
      <c r="G1041" t="s">
        <v>256</v>
      </c>
      <c r="H1041" t="s">
        <v>259</v>
      </c>
      <c r="I1041" t="s">
        <v>1545</v>
      </c>
      <c r="J1041">
        <v>-2086.58</v>
      </c>
      <c r="K1041">
        <v>-2086.58</v>
      </c>
      <c r="O1041" t="s">
        <v>787</v>
      </c>
      <c r="P1041" t="s">
        <v>894</v>
      </c>
      <c r="Q1041" t="s">
        <v>462</v>
      </c>
      <c r="R1041">
        <v>0</v>
      </c>
    </row>
    <row r="1042" spans="1:18" x14ac:dyDescent="0.3">
      <c r="A1042">
        <v>216069</v>
      </c>
      <c r="B1042" t="s">
        <v>557</v>
      </c>
      <c r="C1042" t="s">
        <v>1104</v>
      </c>
      <c r="D1042" t="s">
        <v>1563</v>
      </c>
      <c r="E1042" s="451">
        <v>46113</v>
      </c>
      <c r="F1042" s="451">
        <v>46113</v>
      </c>
      <c r="G1042" t="s">
        <v>577</v>
      </c>
      <c r="H1042" t="s">
        <v>215</v>
      </c>
      <c r="I1042" t="s">
        <v>1564</v>
      </c>
      <c r="J1042">
        <v>-5124.68</v>
      </c>
      <c r="K1042">
        <v>-5124.68</v>
      </c>
      <c r="O1042" t="s">
        <v>787</v>
      </c>
      <c r="P1042" t="s">
        <v>894</v>
      </c>
      <c r="Q1042" t="s">
        <v>462</v>
      </c>
      <c r="R1042">
        <v>0</v>
      </c>
    </row>
    <row r="1043" spans="1:18" x14ac:dyDescent="0.3">
      <c r="A1043">
        <v>217243</v>
      </c>
      <c r="B1043" t="s">
        <v>557</v>
      </c>
      <c r="C1043" t="s">
        <v>1113</v>
      </c>
      <c r="D1043" t="s">
        <v>1565</v>
      </c>
      <c r="E1043" s="451">
        <v>46113</v>
      </c>
      <c r="F1043" s="451">
        <v>46113</v>
      </c>
      <c r="G1043" t="s">
        <v>577</v>
      </c>
      <c r="H1043" t="s">
        <v>215</v>
      </c>
      <c r="I1043" t="s">
        <v>1566</v>
      </c>
      <c r="J1043">
        <v>-4450.8</v>
      </c>
      <c r="K1043">
        <v>-4450.8</v>
      </c>
      <c r="O1043" t="s">
        <v>787</v>
      </c>
      <c r="P1043" t="s">
        <v>894</v>
      </c>
      <c r="Q1043" t="s">
        <v>462</v>
      </c>
      <c r="R1043">
        <v>0</v>
      </c>
    </row>
    <row r="1044" spans="1:18" x14ac:dyDescent="0.3">
      <c r="A1044">
        <v>212740</v>
      </c>
      <c r="B1044" t="s">
        <v>557</v>
      </c>
      <c r="C1044" t="s">
        <v>818</v>
      </c>
      <c r="D1044" t="s">
        <v>1562</v>
      </c>
      <c r="E1044" s="451">
        <v>46113</v>
      </c>
      <c r="F1044" s="451">
        <v>46143</v>
      </c>
      <c r="G1044" t="s">
        <v>570</v>
      </c>
      <c r="H1044" t="s">
        <v>573</v>
      </c>
      <c r="I1044" t="s">
        <v>822</v>
      </c>
      <c r="J1044">
        <v>-2000</v>
      </c>
      <c r="K1044">
        <v>-2000</v>
      </c>
      <c r="M1044" t="s">
        <v>821</v>
      </c>
      <c r="N1044" t="s">
        <v>133</v>
      </c>
      <c r="O1044" t="s">
        <v>787</v>
      </c>
      <c r="P1044" t="s">
        <v>894</v>
      </c>
      <c r="Q1044" t="s">
        <v>462</v>
      </c>
      <c r="R1044">
        <v>0</v>
      </c>
    </row>
    <row r="1045" spans="1:18" x14ac:dyDescent="0.3">
      <c r="A1045">
        <v>221926</v>
      </c>
      <c r="B1045" t="s">
        <v>557</v>
      </c>
      <c r="C1045" t="s">
        <v>834</v>
      </c>
      <c r="D1045" t="s">
        <v>1567</v>
      </c>
      <c r="E1045" s="451">
        <v>46113</v>
      </c>
      <c r="F1045" s="451">
        <v>46118</v>
      </c>
      <c r="G1045" t="s">
        <v>578</v>
      </c>
      <c r="H1045" t="s">
        <v>239</v>
      </c>
      <c r="I1045" t="s">
        <v>1568</v>
      </c>
      <c r="J1045">
        <v>-315.54000000000002</v>
      </c>
      <c r="K1045">
        <v>-315.54000000000002</v>
      </c>
      <c r="O1045" t="s">
        <v>787</v>
      </c>
      <c r="P1045" t="s">
        <v>894</v>
      </c>
      <c r="Q1045" t="s">
        <v>462</v>
      </c>
      <c r="R1045">
        <v>0</v>
      </c>
    </row>
    <row r="1046" spans="1:18" x14ac:dyDescent="0.3">
      <c r="A1046">
        <v>227522</v>
      </c>
      <c r="B1046" t="s">
        <v>557</v>
      </c>
      <c r="C1046" t="s">
        <v>965</v>
      </c>
      <c r="D1046" t="s">
        <v>1569</v>
      </c>
      <c r="E1046" s="451">
        <v>46113</v>
      </c>
      <c r="F1046" s="451">
        <v>46147</v>
      </c>
      <c r="G1046" t="s">
        <v>296</v>
      </c>
      <c r="H1046" t="s">
        <v>307</v>
      </c>
      <c r="I1046" t="s">
        <v>967</v>
      </c>
      <c r="J1046">
        <v>-23.3</v>
      </c>
      <c r="K1046">
        <v>0</v>
      </c>
      <c r="O1046" t="s">
        <v>787</v>
      </c>
      <c r="P1046" t="s">
        <v>894</v>
      </c>
      <c r="Q1046" t="s">
        <v>462</v>
      </c>
      <c r="R1046">
        <v>0</v>
      </c>
    </row>
    <row r="1047" spans="1:18" x14ac:dyDescent="0.3">
      <c r="A1047">
        <v>220284</v>
      </c>
      <c r="B1047" t="s">
        <v>557</v>
      </c>
      <c r="C1047" t="s">
        <v>834</v>
      </c>
      <c r="D1047" t="s">
        <v>1570</v>
      </c>
      <c r="E1047" s="451">
        <v>46113</v>
      </c>
      <c r="F1047" s="451">
        <v>46120</v>
      </c>
      <c r="G1047" t="s">
        <v>578</v>
      </c>
      <c r="H1047" t="s">
        <v>239</v>
      </c>
      <c r="I1047" t="s">
        <v>1568</v>
      </c>
      <c r="J1047">
        <v>-280.8</v>
      </c>
      <c r="K1047">
        <v>-280.8</v>
      </c>
      <c r="O1047" t="s">
        <v>787</v>
      </c>
      <c r="P1047" t="s">
        <v>894</v>
      </c>
      <c r="Q1047" t="s">
        <v>462</v>
      </c>
      <c r="R1047">
        <v>0</v>
      </c>
    </row>
    <row r="1048" spans="1:18" x14ac:dyDescent="0.3">
      <c r="A1048">
        <v>220639</v>
      </c>
      <c r="B1048" t="s">
        <v>557</v>
      </c>
      <c r="C1048" t="s">
        <v>866</v>
      </c>
      <c r="D1048" t="s">
        <v>1571</v>
      </c>
      <c r="E1048" s="451">
        <v>46113</v>
      </c>
      <c r="F1048" s="451">
        <v>46122</v>
      </c>
      <c r="G1048" t="s">
        <v>578</v>
      </c>
      <c r="H1048" t="s">
        <v>240</v>
      </c>
      <c r="I1048" t="s">
        <v>867</v>
      </c>
      <c r="J1048">
        <v>-1545.49</v>
      </c>
      <c r="K1048">
        <v>0</v>
      </c>
      <c r="O1048" t="s">
        <v>787</v>
      </c>
      <c r="P1048" t="s">
        <v>894</v>
      </c>
      <c r="Q1048" t="s">
        <v>462</v>
      </c>
      <c r="R1048">
        <v>0</v>
      </c>
    </row>
    <row r="1049" spans="1:18" x14ac:dyDescent="0.3">
      <c r="A1049">
        <v>224653</v>
      </c>
      <c r="B1049" t="s">
        <v>557</v>
      </c>
      <c r="C1049" t="s">
        <v>1048</v>
      </c>
      <c r="D1049" t="s">
        <v>1572</v>
      </c>
      <c r="E1049" s="451">
        <v>46113</v>
      </c>
      <c r="F1049" s="451">
        <v>46155</v>
      </c>
      <c r="G1049" t="s">
        <v>582</v>
      </c>
      <c r="H1049" t="s">
        <v>293</v>
      </c>
      <c r="I1049" t="s">
        <v>1573</v>
      </c>
      <c r="J1049">
        <v>-287.17</v>
      </c>
      <c r="K1049">
        <v>0</v>
      </c>
      <c r="O1049" t="s">
        <v>787</v>
      </c>
      <c r="P1049" t="s">
        <v>894</v>
      </c>
      <c r="Q1049" t="s">
        <v>462</v>
      </c>
      <c r="R1049">
        <v>0</v>
      </c>
    </row>
    <row r="1050" spans="1:18" x14ac:dyDescent="0.3">
      <c r="A1050">
        <v>222972</v>
      </c>
      <c r="B1050" t="s">
        <v>557</v>
      </c>
      <c r="C1050" t="s">
        <v>1269</v>
      </c>
      <c r="D1050" t="s">
        <v>1574</v>
      </c>
      <c r="E1050" s="451">
        <v>46113</v>
      </c>
      <c r="F1050" s="451">
        <v>46127</v>
      </c>
      <c r="G1050" t="s">
        <v>578</v>
      </c>
      <c r="H1050" t="s">
        <v>246</v>
      </c>
      <c r="I1050" t="s">
        <v>1575</v>
      </c>
      <c r="J1050">
        <v>-479.4</v>
      </c>
      <c r="K1050">
        <v>-479.4</v>
      </c>
      <c r="O1050" t="s">
        <v>787</v>
      </c>
      <c r="P1050" t="s">
        <v>894</v>
      </c>
      <c r="Q1050" t="s">
        <v>462</v>
      </c>
      <c r="R1050">
        <v>0</v>
      </c>
    </row>
    <row r="1051" spans="1:18" x14ac:dyDescent="0.3">
      <c r="A1051">
        <v>222975</v>
      </c>
      <c r="B1051" t="s">
        <v>557</v>
      </c>
      <c r="C1051" t="s">
        <v>1245</v>
      </c>
      <c r="D1051" t="s">
        <v>1576</v>
      </c>
      <c r="E1051" s="451">
        <v>46113</v>
      </c>
      <c r="F1051" s="451">
        <v>46127</v>
      </c>
      <c r="G1051" t="s">
        <v>564</v>
      </c>
      <c r="H1051" t="s">
        <v>565</v>
      </c>
      <c r="I1051" t="s">
        <v>1577</v>
      </c>
      <c r="J1051">
        <v>-65.900000000000006</v>
      </c>
      <c r="K1051">
        <v>-65.900000000000006</v>
      </c>
      <c r="O1051" t="s">
        <v>787</v>
      </c>
      <c r="P1051" t="s">
        <v>894</v>
      </c>
      <c r="Q1051" t="s">
        <v>462</v>
      </c>
      <c r="R1051">
        <v>0</v>
      </c>
    </row>
    <row r="1052" spans="1:18" x14ac:dyDescent="0.3">
      <c r="A1052">
        <v>224197</v>
      </c>
      <c r="B1052" t="s">
        <v>557</v>
      </c>
      <c r="C1052" t="s">
        <v>943</v>
      </c>
      <c r="D1052" t="s">
        <v>1578</v>
      </c>
      <c r="E1052" s="451">
        <v>46113</v>
      </c>
      <c r="F1052" s="451">
        <v>46128</v>
      </c>
      <c r="G1052" t="s">
        <v>576</v>
      </c>
      <c r="H1052" t="s">
        <v>203</v>
      </c>
      <c r="I1052" t="s">
        <v>1579</v>
      </c>
      <c r="J1052">
        <v>-469</v>
      </c>
      <c r="K1052">
        <v>-469</v>
      </c>
      <c r="O1052" t="s">
        <v>787</v>
      </c>
      <c r="P1052" t="s">
        <v>894</v>
      </c>
      <c r="Q1052" t="s">
        <v>462</v>
      </c>
      <c r="R1052">
        <v>0</v>
      </c>
    </row>
    <row r="1053" spans="1:18" x14ac:dyDescent="0.3">
      <c r="A1053">
        <v>223831</v>
      </c>
      <c r="B1053" t="s">
        <v>557</v>
      </c>
      <c r="C1053" t="s">
        <v>1580</v>
      </c>
      <c r="D1053" t="s">
        <v>1581</v>
      </c>
      <c r="E1053" s="451">
        <v>46113</v>
      </c>
      <c r="F1053" s="451">
        <v>46125</v>
      </c>
      <c r="G1053" t="s">
        <v>564</v>
      </c>
      <c r="H1053" t="s">
        <v>565</v>
      </c>
      <c r="I1053" t="s">
        <v>1582</v>
      </c>
      <c r="J1053">
        <v>-709.51</v>
      </c>
      <c r="K1053">
        <v>-709.51</v>
      </c>
      <c r="O1053" t="s">
        <v>787</v>
      </c>
      <c r="P1053" t="s">
        <v>788</v>
      </c>
      <c r="Q1053" t="s">
        <v>462</v>
      </c>
      <c r="R1053">
        <v>0</v>
      </c>
    </row>
    <row r="1054" spans="1:18" x14ac:dyDescent="0.3">
      <c r="A1054">
        <v>223012</v>
      </c>
      <c r="B1054" t="s">
        <v>557</v>
      </c>
      <c r="C1054" t="s">
        <v>888</v>
      </c>
      <c r="D1054" t="s">
        <v>1583</v>
      </c>
      <c r="E1054" s="451">
        <v>46113</v>
      </c>
      <c r="F1054" s="451">
        <v>46127</v>
      </c>
      <c r="G1054" t="s">
        <v>564</v>
      </c>
      <c r="H1054" t="s">
        <v>565</v>
      </c>
      <c r="I1054" t="s">
        <v>1577</v>
      </c>
      <c r="J1054">
        <v>-86.94</v>
      </c>
      <c r="K1054">
        <v>-86.94</v>
      </c>
      <c r="M1054" t="s">
        <v>887</v>
      </c>
      <c r="N1054" t="s">
        <v>131</v>
      </c>
      <c r="O1054" t="s">
        <v>787</v>
      </c>
      <c r="P1054" t="s">
        <v>894</v>
      </c>
      <c r="Q1054" t="s">
        <v>462</v>
      </c>
      <c r="R1054">
        <v>0</v>
      </c>
    </row>
    <row r="1055" spans="1:18" x14ac:dyDescent="0.3">
      <c r="A1055">
        <v>223664</v>
      </c>
      <c r="B1055" t="s">
        <v>557</v>
      </c>
      <c r="C1055" t="s">
        <v>979</v>
      </c>
      <c r="D1055" t="s">
        <v>1584</v>
      </c>
      <c r="E1055" s="451">
        <v>46113</v>
      </c>
      <c r="F1055" s="451">
        <v>46126</v>
      </c>
      <c r="G1055" t="s">
        <v>578</v>
      </c>
      <c r="H1055" t="s">
        <v>239</v>
      </c>
      <c r="I1055" t="s">
        <v>1585</v>
      </c>
      <c r="J1055">
        <v>-347.36</v>
      </c>
      <c r="K1055">
        <v>-347.36</v>
      </c>
      <c r="O1055" t="s">
        <v>787</v>
      </c>
      <c r="P1055" t="s">
        <v>894</v>
      </c>
      <c r="Q1055" t="s">
        <v>462</v>
      </c>
      <c r="R1055">
        <v>0</v>
      </c>
    </row>
    <row r="1056" spans="1:18" x14ac:dyDescent="0.3">
      <c r="A1056">
        <v>223013</v>
      </c>
      <c r="B1056" t="s">
        <v>557</v>
      </c>
      <c r="C1056" t="s">
        <v>888</v>
      </c>
      <c r="D1056" t="s">
        <v>1583</v>
      </c>
      <c r="E1056" s="451">
        <v>46113</v>
      </c>
      <c r="F1056" s="451">
        <v>46127</v>
      </c>
      <c r="G1056" t="s">
        <v>264</v>
      </c>
      <c r="H1056" t="s">
        <v>272</v>
      </c>
      <c r="I1056" t="s">
        <v>1586</v>
      </c>
      <c r="J1056">
        <v>-70</v>
      </c>
      <c r="K1056">
        <v>-70</v>
      </c>
      <c r="M1056" t="s">
        <v>887</v>
      </c>
      <c r="N1056" t="s">
        <v>131</v>
      </c>
      <c r="O1056" t="s">
        <v>787</v>
      </c>
      <c r="P1056" t="s">
        <v>894</v>
      </c>
      <c r="Q1056" t="s">
        <v>462</v>
      </c>
      <c r="R1056">
        <v>0</v>
      </c>
    </row>
    <row r="1057" spans="1:18" x14ac:dyDescent="0.3">
      <c r="A1057">
        <v>228013</v>
      </c>
      <c r="B1057" t="s">
        <v>557</v>
      </c>
      <c r="C1057" t="s">
        <v>1066</v>
      </c>
      <c r="D1057" t="s">
        <v>1587</v>
      </c>
      <c r="E1057" s="451">
        <v>46113</v>
      </c>
      <c r="F1057" s="451">
        <v>46147</v>
      </c>
      <c r="G1057" t="s">
        <v>564</v>
      </c>
      <c r="H1057" t="s">
        <v>565</v>
      </c>
      <c r="I1057" t="s">
        <v>1588</v>
      </c>
      <c r="J1057">
        <v>-41.93</v>
      </c>
      <c r="K1057">
        <v>-41.93</v>
      </c>
      <c r="O1057" t="s">
        <v>787</v>
      </c>
      <c r="P1057" t="s">
        <v>894</v>
      </c>
      <c r="Q1057" t="s">
        <v>462</v>
      </c>
      <c r="R1057">
        <v>0</v>
      </c>
    </row>
    <row r="1058" spans="1:18" x14ac:dyDescent="0.3">
      <c r="A1058">
        <v>229124</v>
      </c>
      <c r="B1058" t="s">
        <v>557</v>
      </c>
      <c r="C1058" t="s">
        <v>1237</v>
      </c>
      <c r="E1058" s="451">
        <v>46113</v>
      </c>
      <c r="F1058" s="451">
        <v>46114</v>
      </c>
      <c r="G1058" t="s">
        <v>279</v>
      </c>
      <c r="H1058" t="s">
        <v>284</v>
      </c>
      <c r="I1058" t="s">
        <v>1272</v>
      </c>
      <c r="J1058">
        <v>-116.03</v>
      </c>
      <c r="K1058">
        <v>-116.03</v>
      </c>
      <c r="O1058" t="s">
        <v>787</v>
      </c>
      <c r="P1058" t="s">
        <v>894</v>
      </c>
      <c r="Q1058" t="s">
        <v>462</v>
      </c>
      <c r="R1058">
        <v>0</v>
      </c>
    </row>
    <row r="1059" spans="1:18" x14ac:dyDescent="0.3">
      <c r="A1059">
        <v>229123</v>
      </c>
      <c r="B1059" t="s">
        <v>557</v>
      </c>
      <c r="C1059" t="s">
        <v>1237</v>
      </c>
      <c r="E1059" s="451">
        <v>46113</v>
      </c>
      <c r="F1059" s="451">
        <v>46113</v>
      </c>
      <c r="G1059" t="s">
        <v>279</v>
      </c>
      <c r="H1059" t="s">
        <v>284</v>
      </c>
      <c r="I1059" t="s">
        <v>1386</v>
      </c>
      <c r="J1059">
        <v>-20</v>
      </c>
      <c r="K1059">
        <v>-20</v>
      </c>
      <c r="O1059" t="s">
        <v>787</v>
      </c>
      <c r="P1059" t="s">
        <v>894</v>
      </c>
      <c r="Q1059" t="s">
        <v>462</v>
      </c>
      <c r="R1059">
        <v>0</v>
      </c>
    </row>
    <row r="1060" spans="1:18" x14ac:dyDescent="0.3">
      <c r="A1060">
        <v>229122</v>
      </c>
      <c r="B1060" t="s">
        <v>557</v>
      </c>
      <c r="C1060" t="s">
        <v>1237</v>
      </c>
      <c r="E1060" s="451">
        <v>46113</v>
      </c>
      <c r="F1060" s="451">
        <v>46113</v>
      </c>
      <c r="G1060" t="s">
        <v>279</v>
      </c>
      <c r="H1060" t="s">
        <v>284</v>
      </c>
      <c r="I1060" t="s">
        <v>1388</v>
      </c>
      <c r="J1060">
        <v>-260</v>
      </c>
      <c r="K1060">
        <v>-260</v>
      </c>
      <c r="O1060" t="s">
        <v>787</v>
      </c>
      <c r="P1060" t="s">
        <v>894</v>
      </c>
      <c r="Q1060" t="s">
        <v>462</v>
      </c>
      <c r="R1060">
        <v>0</v>
      </c>
    </row>
    <row r="1061" spans="1:18" x14ac:dyDescent="0.3">
      <c r="A1061">
        <v>229121</v>
      </c>
      <c r="B1061" t="s">
        <v>557</v>
      </c>
      <c r="C1061" t="s">
        <v>1237</v>
      </c>
      <c r="E1061" s="451">
        <v>46113</v>
      </c>
      <c r="F1061" s="451">
        <v>46113</v>
      </c>
      <c r="G1061" t="s">
        <v>279</v>
      </c>
      <c r="H1061" t="s">
        <v>284</v>
      </c>
      <c r="I1061" t="s">
        <v>1387</v>
      </c>
      <c r="J1061">
        <v>-200</v>
      </c>
      <c r="K1061">
        <v>-200</v>
      </c>
      <c r="O1061" t="s">
        <v>787</v>
      </c>
      <c r="P1061" t="s">
        <v>894</v>
      </c>
      <c r="Q1061" t="s">
        <v>462</v>
      </c>
      <c r="R1061">
        <v>0</v>
      </c>
    </row>
    <row r="1062" spans="1:18" x14ac:dyDescent="0.3">
      <c r="A1062">
        <v>228524</v>
      </c>
      <c r="B1062" t="s">
        <v>557</v>
      </c>
      <c r="C1062" t="s">
        <v>1066</v>
      </c>
      <c r="D1062" t="s">
        <v>1589</v>
      </c>
      <c r="E1062" s="451">
        <v>46113</v>
      </c>
      <c r="F1062" s="451">
        <v>46147</v>
      </c>
      <c r="G1062" t="s">
        <v>564</v>
      </c>
      <c r="H1062" t="s">
        <v>567</v>
      </c>
      <c r="I1062" t="s">
        <v>1590</v>
      </c>
      <c r="J1062">
        <v>-51.12</v>
      </c>
      <c r="K1062">
        <v>-51.12</v>
      </c>
      <c r="O1062" t="s">
        <v>787</v>
      </c>
      <c r="P1062" t="s">
        <v>894</v>
      </c>
      <c r="Q1062" t="s">
        <v>462</v>
      </c>
      <c r="R1062">
        <v>0</v>
      </c>
    </row>
    <row r="1063" spans="1:18" x14ac:dyDescent="0.3">
      <c r="A1063">
        <v>228086</v>
      </c>
      <c r="B1063" t="s">
        <v>557</v>
      </c>
      <c r="C1063" t="s">
        <v>1066</v>
      </c>
      <c r="D1063" t="s">
        <v>1591</v>
      </c>
      <c r="E1063" s="451">
        <v>46113</v>
      </c>
      <c r="F1063" s="451">
        <v>46147</v>
      </c>
      <c r="G1063" t="s">
        <v>564</v>
      </c>
      <c r="H1063" t="s">
        <v>565</v>
      </c>
      <c r="I1063" t="s">
        <v>1592</v>
      </c>
      <c r="J1063">
        <v>-32.96</v>
      </c>
      <c r="K1063">
        <v>-32.96</v>
      </c>
      <c r="O1063" t="s">
        <v>787</v>
      </c>
      <c r="P1063" t="s">
        <v>894</v>
      </c>
      <c r="Q1063" t="s">
        <v>462</v>
      </c>
      <c r="R1063">
        <v>0</v>
      </c>
    </row>
    <row r="1064" spans="1:18" x14ac:dyDescent="0.3">
      <c r="A1064">
        <v>228085</v>
      </c>
      <c r="B1064" t="s">
        <v>557</v>
      </c>
      <c r="C1064" t="s">
        <v>1066</v>
      </c>
      <c r="D1064" t="s">
        <v>1593</v>
      </c>
      <c r="E1064" s="451">
        <v>46113</v>
      </c>
      <c r="F1064" s="451">
        <v>46147</v>
      </c>
      <c r="G1064" t="s">
        <v>564</v>
      </c>
      <c r="H1064" t="s">
        <v>566</v>
      </c>
      <c r="I1064" t="s">
        <v>1594</v>
      </c>
      <c r="J1064">
        <v>-52.45</v>
      </c>
      <c r="K1064">
        <v>-52.45</v>
      </c>
      <c r="O1064" t="s">
        <v>787</v>
      </c>
      <c r="P1064" t="s">
        <v>894</v>
      </c>
      <c r="Q1064" t="s">
        <v>462</v>
      </c>
      <c r="R1064">
        <v>0</v>
      </c>
    </row>
    <row r="1065" spans="1:18" x14ac:dyDescent="0.3">
      <c r="A1065">
        <v>229549</v>
      </c>
      <c r="B1065" t="s">
        <v>557</v>
      </c>
      <c r="C1065" t="s">
        <v>879</v>
      </c>
      <c r="D1065" t="s">
        <v>1595</v>
      </c>
      <c r="E1065" s="451">
        <v>46113</v>
      </c>
      <c r="F1065" s="451">
        <v>46167</v>
      </c>
      <c r="G1065" t="s">
        <v>571</v>
      </c>
      <c r="H1065" t="s">
        <v>75</v>
      </c>
      <c r="I1065" t="s">
        <v>1596</v>
      </c>
      <c r="J1065">
        <v>-281.37</v>
      </c>
      <c r="K1065">
        <v>-281.37</v>
      </c>
      <c r="M1065" t="s">
        <v>881</v>
      </c>
      <c r="N1065" t="s">
        <v>73</v>
      </c>
      <c r="O1065" t="s">
        <v>787</v>
      </c>
      <c r="P1065" t="s">
        <v>894</v>
      </c>
      <c r="Q1065" t="s">
        <v>462</v>
      </c>
      <c r="R1065">
        <v>0</v>
      </c>
    </row>
    <row r="1066" spans="1:18" x14ac:dyDescent="0.3">
      <c r="A1066">
        <v>228083</v>
      </c>
      <c r="B1066" t="s">
        <v>557</v>
      </c>
      <c r="C1066" t="s">
        <v>1066</v>
      </c>
      <c r="D1066" t="s">
        <v>1597</v>
      </c>
      <c r="E1066" s="451">
        <v>46113</v>
      </c>
      <c r="F1066" s="451">
        <v>46147</v>
      </c>
      <c r="G1066" t="s">
        <v>264</v>
      </c>
      <c r="H1066" t="s">
        <v>272</v>
      </c>
      <c r="I1066" t="s">
        <v>1555</v>
      </c>
      <c r="J1066">
        <v>-70</v>
      </c>
      <c r="K1066">
        <v>-70</v>
      </c>
      <c r="O1066" t="s">
        <v>787</v>
      </c>
      <c r="P1066" t="s">
        <v>894</v>
      </c>
      <c r="Q1066" t="s">
        <v>462</v>
      </c>
      <c r="R1066">
        <v>0</v>
      </c>
    </row>
    <row r="1067" spans="1:18" x14ac:dyDescent="0.3">
      <c r="A1067">
        <v>228082</v>
      </c>
      <c r="B1067" t="s">
        <v>557</v>
      </c>
      <c r="C1067" t="s">
        <v>1066</v>
      </c>
      <c r="D1067" t="s">
        <v>1598</v>
      </c>
      <c r="E1067" s="451">
        <v>46113</v>
      </c>
      <c r="F1067" s="451">
        <v>46147</v>
      </c>
      <c r="G1067" t="s">
        <v>264</v>
      </c>
      <c r="H1067" t="s">
        <v>268</v>
      </c>
      <c r="I1067" t="s">
        <v>1599</v>
      </c>
      <c r="J1067">
        <v>-23.99</v>
      </c>
      <c r="K1067">
        <v>-23.99</v>
      </c>
      <c r="O1067" t="s">
        <v>787</v>
      </c>
      <c r="P1067" t="s">
        <v>894</v>
      </c>
      <c r="Q1067" t="s">
        <v>462</v>
      </c>
      <c r="R1067">
        <v>0</v>
      </c>
    </row>
    <row r="1068" spans="1:18" x14ac:dyDescent="0.3">
      <c r="A1068">
        <v>228081</v>
      </c>
      <c r="B1068" t="s">
        <v>557</v>
      </c>
      <c r="C1068" t="s">
        <v>1066</v>
      </c>
      <c r="D1068" t="s">
        <v>1600</v>
      </c>
      <c r="E1068" s="451">
        <v>46113</v>
      </c>
      <c r="F1068" s="451">
        <v>46147</v>
      </c>
      <c r="G1068" t="s">
        <v>264</v>
      </c>
      <c r="H1068" t="s">
        <v>268</v>
      </c>
      <c r="I1068" t="s">
        <v>1601</v>
      </c>
      <c r="J1068">
        <v>-17.489999999999998</v>
      </c>
      <c r="K1068">
        <v>-17.489999999999998</v>
      </c>
      <c r="O1068" t="s">
        <v>787</v>
      </c>
      <c r="P1068" t="s">
        <v>894</v>
      </c>
      <c r="Q1068" t="s">
        <v>462</v>
      </c>
      <c r="R1068">
        <v>0</v>
      </c>
    </row>
    <row r="1069" spans="1:18" x14ac:dyDescent="0.3">
      <c r="A1069">
        <v>228080</v>
      </c>
      <c r="B1069" t="s">
        <v>557</v>
      </c>
      <c r="C1069" t="s">
        <v>1066</v>
      </c>
      <c r="D1069" t="s">
        <v>1602</v>
      </c>
      <c r="E1069" s="451">
        <v>46113</v>
      </c>
      <c r="F1069" s="451">
        <v>46147</v>
      </c>
      <c r="G1069" t="s">
        <v>264</v>
      </c>
      <c r="H1069" t="s">
        <v>268</v>
      </c>
      <c r="I1069" t="s">
        <v>1603</v>
      </c>
      <c r="J1069">
        <v>-23.99</v>
      </c>
      <c r="K1069">
        <v>-23.99</v>
      </c>
      <c r="O1069" t="s">
        <v>787</v>
      </c>
      <c r="P1069" t="s">
        <v>894</v>
      </c>
      <c r="Q1069" t="s">
        <v>462</v>
      </c>
      <c r="R1069">
        <v>0</v>
      </c>
    </row>
    <row r="1070" spans="1:18" x14ac:dyDescent="0.3">
      <c r="A1070">
        <v>228077</v>
      </c>
      <c r="B1070" t="s">
        <v>557</v>
      </c>
      <c r="C1070" t="s">
        <v>1066</v>
      </c>
      <c r="D1070" t="s">
        <v>1604</v>
      </c>
      <c r="E1070" s="451">
        <v>46113</v>
      </c>
      <c r="F1070" s="451">
        <v>46147</v>
      </c>
      <c r="G1070" t="s">
        <v>564</v>
      </c>
      <c r="H1070" t="s">
        <v>565</v>
      </c>
      <c r="I1070" t="s">
        <v>1605</v>
      </c>
      <c r="J1070">
        <v>-94.31</v>
      </c>
      <c r="K1070">
        <v>-94.31</v>
      </c>
      <c r="O1070" t="s">
        <v>787</v>
      </c>
      <c r="P1070" t="s">
        <v>894</v>
      </c>
      <c r="Q1070" t="s">
        <v>462</v>
      </c>
      <c r="R1070">
        <v>0</v>
      </c>
    </row>
    <row r="1071" spans="1:18" x14ac:dyDescent="0.3">
      <c r="A1071">
        <v>228075</v>
      </c>
      <c r="B1071" t="s">
        <v>557</v>
      </c>
      <c r="C1071" t="s">
        <v>1066</v>
      </c>
      <c r="D1071" t="s">
        <v>1606</v>
      </c>
      <c r="E1071" s="451">
        <v>46113</v>
      </c>
      <c r="F1071" s="451">
        <v>46147</v>
      </c>
      <c r="G1071" t="s">
        <v>564</v>
      </c>
      <c r="H1071" t="s">
        <v>565</v>
      </c>
      <c r="I1071" t="s">
        <v>1607</v>
      </c>
      <c r="J1071">
        <v>-32.06</v>
      </c>
      <c r="K1071">
        <v>-32.06</v>
      </c>
      <c r="O1071" t="s">
        <v>787</v>
      </c>
      <c r="P1071" t="s">
        <v>894</v>
      </c>
      <c r="Q1071" t="s">
        <v>462</v>
      </c>
      <c r="R1071">
        <v>0</v>
      </c>
    </row>
    <row r="1072" spans="1:18" x14ac:dyDescent="0.3">
      <c r="A1072">
        <v>228050</v>
      </c>
      <c r="B1072" t="s">
        <v>557</v>
      </c>
      <c r="C1072" t="s">
        <v>1066</v>
      </c>
      <c r="D1072" t="s">
        <v>1608</v>
      </c>
      <c r="E1072" s="451">
        <v>46113</v>
      </c>
      <c r="F1072" s="451">
        <v>46147</v>
      </c>
      <c r="G1072" t="s">
        <v>264</v>
      </c>
      <c r="H1072" t="s">
        <v>272</v>
      </c>
      <c r="I1072" t="s">
        <v>1609</v>
      </c>
      <c r="J1072">
        <v>-59.97</v>
      </c>
      <c r="K1072">
        <v>-59.97</v>
      </c>
      <c r="O1072" t="s">
        <v>787</v>
      </c>
      <c r="P1072" t="s">
        <v>894</v>
      </c>
      <c r="Q1072" t="s">
        <v>462</v>
      </c>
      <c r="R1072">
        <v>0</v>
      </c>
    </row>
    <row r="1073" spans="1:18" x14ac:dyDescent="0.3">
      <c r="A1073">
        <v>228011</v>
      </c>
      <c r="B1073" t="s">
        <v>557</v>
      </c>
      <c r="C1073" t="s">
        <v>1066</v>
      </c>
      <c r="D1073" t="s">
        <v>1610</v>
      </c>
      <c r="E1073" s="451">
        <v>46113</v>
      </c>
      <c r="F1073" s="451">
        <v>46147</v>
      </c>
      <c r="G1073" t="s">
        <v>264</v>
      </c>
      <c r="H1073" t="s">
        <v>272</v>
      </c>
      <c r="I1073" t="s">
        <v>1555</v>
      </c>
      <c r="J1073">
        <v>-70</v>
      </c>
      <c r="K1073">
        <v>-70</v>
      </c>
      <c r="O1073" t="s">
        <v>787</v>
      </c>
      <c r="P1073" t="s">
        <v>894</v>
      </c>
      <c r="Q1073" t="s">
        <v>462</v>
      </c>
      <c r="R1073">
        <v>0</v>
      </c>
    </row>
    <row r="1074" spans="1:18" x14ac:dyDescent="0.3">
      <c r="A1074">
        <v>228014</v>
      </c>
      <c r="B1074" t="s">
        <v>557</v>
      </c>
      <c r="C1074" t="s">
        <v>1066</v>
      </c>
      <c r="D1074" t="s">
        <v>1611</v>
      </c>
      <c r="E1074" s="451">
        <v>46113</v>
      </c>
      <c r="F1074" s="451">
        <v>46147</v>
      </c>
      <c r="G1074" t="s">
        <v>581</v>
      </c>
      <c r="H1074" t="s">
        <v>289</v>
      </c>
      <c r="I1074" t="s">
        <v>1612</v>
      </c>
      <c r="J1074">
        <v>-70</v>
      </c>
      <c r="K1074">
        <v>-70</v>
      </c>
      <c r="O1074" t="s">
        <v>787</v>
      </c>
      <c r="P1074" t="s">
        <v>894</v>
      </c>
      <c r="Q1074" t="s">
        <v>462</v>
      </c>
      <c r="R1074">
        <v>0</v>
      </c>
    </row>
    <row r="1075" spans="1:18" x14ac:dyDescent="0.3">
      <c r="A1075">
        <v>228016</v>
      </c>
      <c r="B1075" t="s">
        <v>557</v>
      </c>
      <c r="C1075" t="s">
        <v>1066</v>
      </c>
      <c r="D1075" t="s">
        <v>1613</v>
      </c>
      <c r="E1075" s="451">
        <v>46113</v>
      </c>
      <c r="F1075" s="451">
        <v>46147</v>
      </c>
      <c r="G1075" t="s">
        <v>564</v>
      </c>
      <c r="H1075" t="s">
        <v>565</v>
      </c>
      <c r="I1075" t="s">
        <v>1588</v>
      </c>
      <c r="J1075">
        <v>-73.599999999999994</v>
      </c>
      <c r="K1075">
        <v>-73.599999999999994</v>
      </c>
      <c r="O1075" t="s">
        <v>787</v>
      </c>
      <c r="P1075" t="s">
        <v>894</v>
      </c>
      <c r="Q1075" t="s">
        <v>462</v>
      </c>
      <c r="R1075">
        <v>0</v>
      </c>
    </row>
    <row r="1076" spans="1:18" x14ac:dyDescent="0.3">
      <c r="A1076">
        <v>228017</v>
      </c>
      <c r="B1076" t="s">
        <v>557</v>
      </c>
      <c r="C1076" t="s">
        <v>1066</v>
      </c>
      <c r="D1076" t="s">
        <v>1614</v>
      </c>
      <c r="E1076" s="451">
        <v>46113</v>
      </c>
      <c r="F1076" s="451">
        <v>46147</v>
      </c>
      <c r="G1076" t="s">
        <v>581</v>
      </c>
      <c r="H1076" t="s">
        <v>291</v>
      </c>
      <c r="I1076" t="s">
        <v>1615</v>
      </c>
      <c r="J1076">
        <v>-413.22</v>
      </c>
      <c r="K1076">
        <v>-413.22</v>
      </c>
      <c r="O1076" t="s">
        <v>787</v>
      </c>
      <c r="P1076" t="s">
        <v>894</v>
      </c>
      <c r="Q1076" t="s">
        <v>462</v>
      </c>
      <c r="R1076">
        <v>0</v>
      </c>
    </row>
    <row r="1077" spans="1:18" x14ac:dyDescent="0.3">
      <c r="A1077">
        <v>228020</v>
      </c>
      <c r="B1077" t="s">
        <v>557</v>
      </c>
      <c r="C1077" t="s">
        <v>1066</v>
      </c>
      <c r="D1077" t="s">
        <v>1616</v>
      </c>
      <c r="E1077" s="451">
        <v>46113</v>
      </c>
      <c r="F1077" s="451">
        <v>46147</v>
      </c>
      <c r="G1077" t="s">
        <v>582</v>
      </c>
      <c r="H1077" t="s">
        <v>293</v>
      </c>
      <c r="I1077" t="s">
        <v>1617</v>
      </c>
      <c r="J1077">
        <v>-100</v>
      </c>
      <c r="K1077">
        <v>-100</v>
      </c>
      <c r="O1077" t="s">
        <v>787</v>
      </c>
      <c r="P1077" t="s">
        <v>894</v>
      </c>
      <c r="Q1077" t="s">
        <v>462</v>
      </c>
      <c r="R1077">
        <v>0</v>
      </c>
    </row>
    <row r="1078" spans="1:18" x14ac:dyDescent="0.3">
      <c r="A1078">
        <v>228022</v>
      </c>
      <c r="B1078" t="s">
        <v>557</v>
      </c>
      <c r="C1078" t="s">
        <v>1066</v>
      </c>
      <c r="D1078" t="s">
        <v>1618</v>
      </c>
      <c r="E1078" s="451">
        <v>46113</v>
      </c>
      <c r="F1078" s="451">
        <v>46147</v>
      </c>
      <c r="G1078" t="s">
        <v>564</v>
      </c>
      <c r="H1078" t="s">
        <v>565</v>
      </c>
      <c r="I1078" t="s">
        <v>1619</v>
      </c>
      <c r="J1078">
        <v>-125.55</v>
      </c>
      <c r="K1078">
        <v>-125.55</v>
      </c>
      <c r="O1078" t="s">
        <v>787</v>
      </c>
      <c r="P1078" t="s">
        <v>894</v>
      </c>
      <c r="Q1078" t="s">
        <v>462</v>
      </c>
      <c r="R1078">
        <v>0</v>
      </c>
    </row>
    <row r="1079" spans="1:18" x14ac:dyDescent="0.3">
      <c r="A1079">
        <v>228023</v>
      </c>
      <c r="B1079" t="s">
        <v>557</v>
      </c>
      <c r="C1079" t="s">
        <v>1066</v>
      </c>
      <c r="D1079" t="s">
        <v>1620</v>
      </c>
      <c r="E1079" s="451">
        <v>46113</v>
      </c>
      <c r="F1079" s="451">
        <v>46147</v>
      </c>
      <c r="G1079" t="s">
        <v>264</v>
      </c>
      <c r="H1079" t="s">
        <v>272</v>
      </c>
      <c r="I1079" t="s">
        <v>1555</v>
      </c>
      <c r="J1079">
        <v>-70</v>
      </c>
      <c r="K1079">
        <v>-70</v>
      </c>
      <c r="O1079" t="s">
        <v>787</v>
      </c>
      <c r="P1079" t="s">
        <v>894</v>
      </c>
      <c r="Q1079" t="s">
        <v>462</v>
      </c>
      <c r="R1079">
        <v>0</v>
      </c>
    </row>
    <row r="1080" spans="1:18" x14ac:dyDescent="0.3">
      <c r="A1080">
        <v>228024</v>
      </c>
      <c r="B1080" t="s">
        <v>557</v>
      </c>
      <c r="C1080" t="s">
        <v>1066</v>
      </c>
      <c r="D1080" t="s">
        <v>1621</v>
      </c>
      <c r="E1080" s="451">
        <v>46113</v>
      </c>
      <c r="F1080" s="451">
        <v>46147</v>
      </c>
      <c r="G1080" t="s">
        <v>564</v>
      </c>
      <c r="H1080" t="s">
        <v>565</v>
      </c>
      <c r="I1080" t="s">
        <v>1622</v>
      </c>
      <c r="J1080">
        <v>-40.22</v>
      </c>
      <c r="K1080">
        <v>-40.22</v>
      </c>
      <c r="O1080" t="s">
        <v>787</v>
      </c>
      <c r="P1080" t="s">
        <v>894</v>
      </c>
      <c r="Q1080" t="s">
        <v>462</v>
      </c>
      <c r="R1080">
        <v>0</v>
      </c>
    </row>
    <row r="1081" spans="1:18" x14ac:dyDescent="0.3">
      <c r="A1081">
        <v>228026</v>
      </c>
      <c r="B1081" t="s">
        <v>557</v>
      </c>
      <c r="C1081" t="s">
        <v>1066</v>
      </c>
      <c r="D1081" t="s">
        <v>1623</v>
      </c>
      <c r="E1081" s="451">
        <v>46113</v>
      </c>
      <c r="F1081" s="451">
        <v>46147</v>
      </c>
      <c r="G1081" t="s">
        <v>564</v>
      </c>
      <c r="H1081" t="s">
        <v>565</v>
      </c>
      <c r="I1081" t="s">
        <v>1622</v>
      </c>
      <c r="J1081">
        <v>-17.420000000000002</v>
      </c>
      <c r="K1081">
        <v>-17.420000000000002</v>
      </c>
      <c r="O1081" t="s">
        <v>787</v>
      </c>
      <c r="P1081" t="s">
        <v>894</v>
      </c>
      <c r="Q1081" t="s">
        <v>462</v>
      </c>
      <c r="R1081">
        <v>0</v>
      </c>
    </row>
    <row r="1082" spans="1:18" x14ac:dyDescent="0.3">
      <c r="A1082">
        <v>228074</v>
      </c>
      <c r="B1082" t="s">
        <v>557</v>
      </c>
      <c r="C1082" t="s">
        <v>1066</v>
      </c>
      <c r="D1082" t="s">
        <v>1624</v>
      </c>
      <c r="E1082" s="451">
        <v>46113</v>
      </c>
      <c r="F1082" s="451">
        <v>46147</v>
      </c>
      <c r="G1082" t="s">
        <v>564</v>
      </c>
      <c r="H1082" t="s">
        <v>565</v>
      </c>
      <c r="I1082" t="s">
        <v>1625</v>
      </c>
      <c r="J1082">
        <v>-9.99</v>
      </c>
      <c r="K1082">
        <v>-9.99</v>
      </c>
      <c r="O1082" t="s">
        <v>787</v>
      </c>
      <c r="P1082" t="s">
        <v>894</v>
      </c>
      <c r="Q1082" t="s">
        <v>462</v>
      </c>
      <c r="R1082">
        <v>0</v>
      </c>
    </row>
    <row r="1083" spans="1:18" x14ac:dyDescent="0.3">
      <c r="A1083">
        <v>228049</v>
      </c>
      <c r="B1083" t="s">
        <v>557</v>
      </c>
      <c r="C1083" t="s">
        <v>1066</v>
      </c>
      <c r="D1083" t="s">
        <v>1626</v>
      </c>
      <c r="E1083" s="451">
        <v>46113</v>
      </c>
      <c r="F1083" s="451">
        <v>46147</v>
      </c>
      <c r="G1083" t="s">
        <v>581</v>
      </c>
      <c r="H1083" t="s">
        <v>291</v>
      </c>
      <c r="I1083" t="s">
        <v>1553</v>
      </c>
      <c r="J1083">
        <v>-132</v>
      </c>
      <c r="K1083">
        <v>-132</v>
      </c>
      <c r="O1083" t="s">
        <v>787</v>
      </c>
      <c r="P1083" t="s">
        <v>894</v>
      </c>
      <c r="Q1083" t="s">
        <v>462</v>
      </c>
      <c r="R1083">
        <v>0</v>
      </c>
    </row>
    <row r="1084" spans="1:18" x14ac:dyDescent="0.3">
      <c r="A1084">
        <v>192090</v>
      </c>
      <c r="B1084" t="s">
        <v>557</v>
      </c>
      <c r="C1084" t="s">
        <v>877</v>
      </c>
      <c r="D1084" t="s">
        <v>1627</v>
      </c>
      <c r="E1084" s="451">
        <v>46113</v>
      </c>
      <c r="F1084" s="451">
        <v>46160</v>
      </c>
      <c r="G1084" t="s">
        <v>308</v>
      </c>
      <c r="H1084" t="s">
        <v>314</v>
      </c>
      <c r="I1084" t="s">
        <v>1628</v>
      </c>
      <c r="J1084">
        <v>-738.35</v>
      </c>
      <c r="K1084">
        <v>-738.35</v>
      </c>
      <c r="O1084" t="s">
        <v>787</v>
      </c>
      <c r="P1084" t="s">
        <v>894</v>
      </c>
      <c r="Q1084" t="s">
        <v>462</v>
      </c>
      <c r="R1084">
        <v>0</v>
      </c>
    </row>
    <row r="1085" spans="1:18" x14ac:dyDescent="0.3">
      <c r="A1085">
        <v>191835</v>
      </c>
      <c r="B1085" t="s">
        <v>557</v>
      </c>
      <c r="C1085" t="s">
        <v>838</v>
      </c>
      <c r="D1085" t="s">
        <v>1629</v>
      </c>
      <c r="E1085" s="451">
        <v>46113</v>
      </c>
      <c r="F1085" s="451">
        <v>46155</v>
      </c>
      <c r="G1085" t="s">
        <v>264</v>
      </c>
      <c r="H1085" t="s">
        <v>267</v>
      </c>
      <c r="I1085" t="s">
        <v>1630</v>
      </c>
      <c r="J1085">
        <v>-6385.65</v>
      </c>
      <c r="K1085">
        <v>-6385.65</v>
      </c>
      <c r="O1085" t="s">
        <v>787</v>
      </c>
      <c r="P1085" t="s">
        <v>894</v>
      </c>
      <c r="Q1085" t="s">
        <v>462</v>
      </c>
      <c r="R1085">
        <v>0</v>
      </c>
    </row>
    <row r="1086" spans="1:18" x14ac:dyDescent="0.3">
      <c r="A1086">
        <v>196167</v>
      </c>
      <c r="B1086" t="s">
        <v>557</v>
      </c>
      <c r="C1086" t="s">
        <v>907</v>
      </c>
      <c r="D1086" t="s">
        <v>1631</v>
      </c>
      <c r="E1086" s="451">
        <v>46113</v>
      </c>
      <c r="F1086" s="451">
        <v>46150</v>
      </c>
      <c r="G1086" t="s">
        <v>578</v>
      </c>
      <c r="H1086" t="s">
        <v>252</v>
      </c>
      <c r="I1086" t="s">
        <v>1632</v>
      </c>
      <c r="J1086">
        <v>-2700</v>
      </c>
      <c r="K1086">
        <v>-2700</v>
      </c>
      <c r="O1086" t="s">
        <v>787</v>
      </c>
      <c r="P1086" t="s">
        <v>894</v>
      </c>
      <c r="Q1086" t="s">
        <v>462</v>
      </c>
      <c r="R1086">
        <v>0</v>
      </c>
    </row>
    <row r="1087" spans="1:18" x14ac:dyDescent="0.3">
      <c r="A1087">
        <v>200490</v>
      </c>
      <c r="B1087" t="s">
        <v>557</v>
      </c>
      <c r="C1087" t="s">
        <v>888</v>
      </c>
      <c r="D1087" t="s">
        <v>1633</v>
      </c>
      <c r="E1087" s="451">
        <v>46113</v>
      </c>
      <c r="F1087" s="451">
        <v>46167</v>
      </c>
      <c r="G1087" t="s">
        <v>570</v>
      </c>
      <c r="H1087" t="s">
        <v>573</v>
      </c>
      <c r="I1087" t="s">
        <v>880</v>
      </c>
      <c r="J1087">
        <v>-4400</v>
      </c>
      <c r="K1087">
        <v>-4400</v>
      </c>
      <c r="M1087" t="s">
        <v>887</v>
      </c>
      <c r="N1087" t="s">
        <v>131</v>
      </c>
      <c r="O1087" t="s">
        <v>787</v>
      </c>
      <c r="P1087" t="s">
        <v>894</v>
      </c>
      <c r="Q1087" t="s">
        <v>462</v>
      </c>
      <c r="R1087">
        <v>0</v>
      </c>
    </row>
    <row r="1088" spans="1:18" x14ac:dyDescent="0.3">
      <c r="A1088">
        <v>192413</v>
      </c>
      <c r="B1088" t="s">
        <v>557</v>
      </c>
      <c r="C1088" t="s">
        <v>923</v>
      </c>
      <c r="D1088" t="s">
        <v>1634</v>
      </c>
      <c r="E1088" s="451">
        <v>46113</v>
      </c>
      <c r="F1088" s="451">
        <v>46136</v>
      </c>
      <c r="G1088" t="s">
        <v>264</v>
      </c>
      <c r="H1088" t="s">
        <v>277</v>
      </c>
      <c r="I1088" t="s">
        <v>1635</v>
      </c>
      <c r="J1088">
        <v>-377</v>
      </c>
      <c r="K1088">
        <v>-377</v>
      </c>
      <c r="O1088" t="s">
        <v>787</v>
      </c>
      <c r="P1088" t="s">
        <v>894</v>
      </c>
      <c r="Q1088" t="s">
        <v>462</v>
      </c>
      <c r="R1088">
        <v>0</v>
      </c>
    </row>
    <row r="1089" spans="1:18" x14ac:dyDescent="0.3">
      <c r="A1089">
        <v>193427</v>
      </c>
      <c r="B1089" t="s">
        <v>557</v>
      </c>
      <c r="C1089" t="s">
        <v>873</v>
      </c>
      <c r="D1089" t="s">
        <v>1636</v>
      </c>
      <c r="E1089" s="451">
        <v>46113</v>
      </c>
      <c r="F1089" s="451">
        <v>46130</v>
      </c>
      <c r="G1089" t="s">
        <v>874</v>
      </c>
      <c r="H1089" t="s">
        <v>875</v>
      </c>
      <c r="I1089" t="s">
        <v>1637</v>
      </c>
      <c r="J1089">
        <v>-400</v>
      </c>
      <c r="K1089">
        <v>-400</v>
      </c>
      <c r="O1089" t="s">
        <v>787</v>
      </c>
      <c r="P1089" t="s">
        <v>894</v>
      </c>
      <c r="Q1089" t="s">
        <v>462</v>
      </c>
      <c r="R1089">
        <v>0</v>
      </c>
    </row>
    <row r="1090" spans="1:18" x14ac:dyDescent="0.3">
      <c r="A1090">
        <v>192350</v>
      </c>
      <c r="B1090" t="s">
        <v>557</v>
      </c>
      <c r="C1090" t="s">
        <v>911</v>
      </c>
      <c r="D1090" t="s">
        <v>1638</v>
      </c>
      <c r="E1090" s="451">
        <v>46113</v>
      </c>
      <c r="F1090" s="451">
        <v>46122</v>
      </c>
      <c r="G1090" t="s">
        <v>279</v>
      </c>
      <c r="H1090" t="s">
        <v>281</v>
      </c>
      <c r="I1090" t="s">
        <v>1639</v>
      </c>
      <c r="J1090">
        <v>-299.99</v>
      </c>
      <c r="K1090">
        <v>-299.99</v>
      </c>
      <c r="O1090" t="s">
        <v>787</v>
      </c>
      <c r="P1090" t="s">
        <v>894</v>
      </c>
      <c r="Q1090" t="s">
        <v>462</v>
      </c>
      <c r="R1090">
        <v>0</v>
      </c>
    </row>
    <row r="1091" spans="1:18" x14ac:dyDescent="0.3">
      <c r="A1091">
        <v>191848</v>
      </c>
      <c r="B1091" t="s">
        <v>557</v>
      </c>
      <c r="C1091" t="s">
        <v>898</v>
      </c>
      <c r="D1091" t="s">
        <v>1640</v>
      </c>
      <c r="E1091" s="451">
        <v>46113</v>
      </c>
      <c r="F1091" s="451">
        <v>46144</v>
      </c>
      <c r="G1091" t="s">
        <v>279</v>
      </c>
      <c r="H1091" t="s">
        <v>281</v>
      </c>
      <c r="I1091" t="s">
        <v>1641</v>
      </c>
      <c r="J1091">
        <v>-134.4</v>
      </c>
      <c r="K1091">
        <v>-134.4</v>
      </c>
      <c r="O1091" t="s">
        <v>787</v>
      </c>
      <c r="P1091" t="s">
        <v>894</v>
      </c>
      <c r="Q1091" t="s">
        <v>462</v>
      </c>
      <c r="R1091">
        <v>0</v>
      </c>
    </row>
    <row r="1092" spans="1:18" x14ac:dyDescent="0.3">
      <c r="A1092">
        <v>191884</v>
      </c>
      <c r="B1092" t="s">
        <v>557</v>
      </c>
      <c r="C1092" t="s">
        <v>900</v>
      </c>
      <c r="D1092" t="s">
        <v>1642</v>
      </c>
      <c r="E1092" s="451">
        <v>46113</v>
      </c>
      <c r="F1092" s="451">
        <v>46146</v>
      </c>
      <c r="G1092" t="s">
        <v>264</v>
      </c>
      <c r="H1092" t="s">
        <v>266</v>
      </c>
      <c r="I1092" t="s">
        <v>1643</v>
      </c>
      <c r="J1092">
        <v>-12787.67</v>
      </c>
      <c r="K1092">
        <v>-12787.67</v>
      </c>
      <c r="O1092" t="s">
        <v>787</v>
      </c>
      <c r="P1092" t="s">
        <v>894</v>
      </c>
      <c r="Q1092" t="s">
        <v>462</v>
      </c>
      <c r="R1092">
        <v>0</v>
      </c>
    </row>
    <row r="1093" spans="1:18" x14ac:dyDescent="0.3">
      <c r="A1093">
        <v>192481</v>
      </c>
      <c r="B1093" t="s">
        <v>557</v>
      </c>
      <c r="C1093" t="s">
        <v>934</v>
      </c>
      <c r="D1093" t="s">
        <v>1644</v>
      </c>
      <c r="E1093" s="451">
        <v>46113</v>
      </c>
      <c r="F1093" s="451">
        <v>46132</v>
      </c>
      <c r="G1093" t="s">
        <v>308</v>
      </c>
      <c r="H1093" t="s">
        <v>312</v>
      </c>
      <c r="I1093" t="s">
        <v>1645</v>
      </c>
      <c r="J1093">
        <v>-185</v>
      </c>
      <c r="K1093">
        <v>-185</v>
      </c>
      <c r="O1093" t="s">
        <v>787</v>
      </c>
      <c r="P1093" t="s">
        <v>894</v>
      </c>
      <c r="Q1093" t="s">
        <v>462</v>
      </c>
      <c r="R1093">
        <v>0</v>
      </c>
    </row>
    <row r="1094" spans="1:18" x14ac:dyDescent="0.3">
      <c r="A1094">
        <v>192128</v>
      </c>
      <c r="B1094" t="s">
        <v>557</v>
      </c>
      <c r="C1094" t="s">
        <v>909</v>
      </c>
      <c r="D1094" t="s">
        <v>1646</v>
      </c>
      <c r="E1094" s="451">
        <v>46113</v>
      </c>
      <c r="F1094" s="451">
        <v>46132</v>
      </c>
      <c r="G1094" t="s">
        <v>308</v>
      </c>
      <c r="H1094" t="s">
        <v>311</v>
      </c>
      <c r="I1094" t="s">
        <v>1647</v>
      </c>
      <c r="J1094">
        <v>-297</v>
      </c>
      <c r="K1094">
        <v>-297</v>
      </c>
      <c r="O1094" t="s">
        <v>787</v>
      </c>
      <c r="P1094" t="s">
        <v>894</v>
      </c>
      <c r="Q1094" t="s">
        <v>462</v>
      </c>
      <c r="R1094">
        <v>0</v>
      </c>
    </row>
    <row r="1095" spans="1:18" x14ac:dyDescent="0.3">
      <c r="A1095">
        <v>192595</v>
      </c>
      <c r="B1095" t="s">
        <v>557</v>
      </c>
      <c r="C1095" t="s">
        <v>840</v>
      </c>
      <c r="D1095" t="s">
        <v>1648</v>
      </c>
      <c r="E1095" s="451">
        <v>46113</v>
      </c>
      <c r="F1095" s="451">
        <v>46142</v>
      </c>
      <c r="G1095" t="s">
        <v>581</v>
      </c>
      <c r="H1095" t="s">
        <v>288</v>
      </c>
      <c r="I1095" t="s">
        <v>1649</v>
      </c>
      <c r="J1095">
        <v>-2500</v>
      </c>
      <c r="K1095">
        <v>-2500</v>
      </c>
      <c r="O1095" t="s">
        <v>787</v>
      </c>
      <c r="P1095" t="s">
        <v>894</v>
      </c>
      <c r="Q1095" t="s">
        <v>462</v>
      </c>
      <c r="R1095">
        <v>0</v>
      </c>
    </row>
    <row r="1096" spans="1:18" x14ac:dyDescent="0.3">
      <c r="A1096">
        <v>191920</v>
      </c>
      <c r="B1096" t="s">
        <v>557</v>
      </c>
      <c r="C1096" t="s">
        <v>889</v>
      </c>
      <c r="D1096" t="s">
        <v>1650</v>
      </c>
      <c r="E1096" s="451">
        <v>46113</v>
      </c>
      <c r="F1096" s="451">
        <v>46135</v>
      </c>
      <c r="G1096" t="s">
        <v>279</v>
      </c>
      <c r="H1096" t="s">
        <v>282</v>
      </c>
      <c r="I1096" t="s">
        <v>902</v>
      </c>
      <c r="J1096">
        <v>-308.07</v>
      </c>
      <c r="K1096">
        <v>-308.07</v>
      </c>
      <c r="O1096" t="s">
        <v>787</v>
      </c>
      <c r="P1096" t="s">
        <v>894</v>
      </c>
      <c r="Q1096" t="s">
        <v>462</v>
      </c>
      <c r="R1096">
        <v>0</v>
      </c>
    </row>
    <row r="1097" spans="1:18" x14ac:dyDescent="0.3">
      <c r="A1097">
        <v>200542</v>
      </c>
      <c r="B1097" t="s">
        <v>557</v>
      </c>
      <c r="C1097" t="s">
        <v>886</v>
      </c>
      <c r="D1097" t="s">
        <v>1263</v>
      </c>
      <c r="E1097" s="451">
        <v>46113</v>
      </c>
      <c r="F1097" s="451">
        <v>46157</v>
      </c>
      <c r="G1097" t="s">
        <v>570</v>
      </c>
      <c r="H1097" t="s">
        <v>573</v>
      </c>
      <c r="I1097" t="s">
        <v>880</v>
      </c>
      <c r="J1097">
        <v>-3300</v>
      </c>
      <c r="K1097">
        <v>-3300</v>
      </c>
      <c r="M1097" t="s">
        <v>887</v>
      </c>
      <c r="N1097" t="s">
        <v>131</v>
      </c>
      <c r="O1097" t="s">
        <v>787</v>
      </c>
      <c r="P1097" t="s">
        <v>894</v>
      </c>
      <c r="Q1097" t="s">
        <v>462</v>
      </c>
      <c r="R1097">
        <v>0</v>
      </c>
    </row>
    <row r="1098" spans="1:18" x14ac:dyDescent="0.3">
      <c r="A1098">
        <v>200529</v>
      </c>
      <c r="B1098" t="s">
        <v>557</v>
      </c>
      <c r="C1098" t="s">
        <v>886</v>
      </c>
      <c r="D1098" t="s">
        <v>1263</v>
      </c>
      <c r="E1098" s="451">
        <v>46113</v>
      </c>
      <c r="F1098" s="451">
        <v>46143</v>
      </c>
      <c r="G1098" t="s">
        <v>570</v>
      </c>
      <c r="H1098" t="s">
        <v>573</v>
      </c>
      <c r="I1098" t="s">
        <v>880</v>
      </c>
      <c r="J1098">
        <v>-3300</v>
      </c>
      <c r="K1098">
        <v>-3300</v>
      </c>
      <c r="M1098" t="s">
        <v>887</v>
      </c>
      <c r="N1098" t="s">
        <v>131</v>
      </c>
      <c r="O1098" t="s">
        <v>787</v>
      </c>
      <c r="P1098" t="s">
        <v>894</v>
      </c>
      <c r="Q1098" t="s">
        <v>462</v>
      </c>
      <c r="R1098">
        <v>0</v>
      </c>
    </row>
    <row r="1099" spans="1:18" x14ac:dyDescent="0.3">
      <c r="A1099">
        <v>192943</v>
      </c>
      <c r="B1099" t="s">
        <v>557</v>
      </c>
      <c r="C1099" t="s">
        <v>921</v>
      </c>
      <c r="D1099" t="s">
        <v>1527</v>
      </c>
      <c r="E1099" s="451">
        <v>46113</v>
      </c>
      <c r="F1099" s="451">
        <v>46147</v>
      </c>
      <c r="G1099" t="s">
        <v>296</v>
      </c>
      <c r="H1099" t="s">
        <v>301</v>
      </c>
      <c r="I1099" t="s">
        <v>1651</v>
      </c>
      <c r="J1099">
        <v>-1770.73</v>
      </c>
      <c r="K1099">
        <v>-1770.73</v>
      </c>
      <c r="O1099" t="s">
        <v>787</v>
      </c>
      <c r="P1099" t="s">
        <v>894</v>
      </c>
      <c r="Q1099" t="s">
        <v>462</v>
      </c>
      <c r="R1099">
        <v>0</v>
      </c>
    </row>
    <row r="1100" spans="1:18" x14ac:dyDescent="0.3">
      <c r="A1100">
        <v>192500</v>
      </c>
      <c r="B1100" t="s">
        <v>557</v>
      </c>
      <c r="C1100" t="s">
        <v>936</v>
      </c>
      <c r="D1100" t="s">
        <v>1652</v>
      </c>
      <c r="E1100" s="451">
        <v>46113</v>
      </c>
      <c r="F1100" s="451">
        <v>46132</v>
      </c>
      <c r="G1100" t="s">
        <v>318</v>
      </c>
      <c r="H1100" t="s">
        <v>319</v>
      </c>
      <c r="I1100" t="s">
        <v>1653</v>
      </c>
      <c r="J1100">
        <v>-1264</v>
      </c>
      <c r="K1100">
        <v>-1264</v>
      </c>
      <c r="O1100" t="s">
        <v>787</v>
      </c>
      <c r="P1100" t="s">
        <v>894</v>
      </c>
      <c r="Q1100" t="s">
        <v>462</v>
      </c>
      <c r="R1100">
        <v>0</v>
      </c>
    </row>
    <row r="1101" spans="1:18" x14ac:dyDescent="0.3">
      <c r="A1101">
        <v>200554</v>
      </c>
      <c r="B1101" t="s">
        <v>557</v>
      </c>
      <c r="C1101" t="s">
        <v>884</v>
      </c>
      <c r="D1101" t="s">
        <v>1654</v>
      </c>
      <c r="E1101" s="451">
        <v>46113</v>
      </c>
      <c r="F1101" s="451">
        <v>46152</v>
      </c>
      <c r="G1101" t="s">
        <v>570</v>
      </c>
      <c r="H1101" t="s">
        <v>573</v>
      </c>
      <c r="I1101" t="s">
        <v>880</v>
      </c>
      <c r="J1101">
        <v>-1750</v>
      </c>
      <c r="K1101">
        <v>-1750</v>
      </c>
      <c r="M1101" t="s">
        <v>885</v>
      </c>
      <c r="N1101" t="s">
        <v>134</v>
      </c>
      <c r="O1101" t="s">
        <v>787</v>
      </c>
      <c r="P1101" t="s">
        <v>894</v>
      </c>
      <c r="Q1101" t="s">
        <v>462</v>
      </c>
      <c r="R1101">
        <v>0</v>
      </c>
    </row>
    <row r="1102" spans="1:18" x14ac:dyDescent="0.3">
      <c r="A1102">
        <v>191932</v>
      </c>
      <c r="B1102" t="s">
        <v>557</v>
      </c>
      <c r="C1102" t="s">
        <v>889</v>
      </c>
      <c r="D1102" t="s">
        <v>1655</v>
      </c>
      <c r="E1102" s="451">
        <v>46113</v>
      </c>
      <c r="F1102" s="451">
        <v>46144</v>
      </c>
      <c r="G1102" t="s">
        <v>279</v>
      </c>
      <c r="H1102" t="s">
        <v>281</v>
      </c>
      <c r="I1102" t="s">
        <v>1656</v>
      </c>
      <c r="J1102">
        <v>-159.80000000000001</v>
      </c>
      <c r="K1102">
        <v>-162.99</v>
      </c>
      <c r="O1102" t="s">
        <v>787</v>
      </c>
      <c r="P1102" t="s">
        <v>894</v>
      </c>
      <c r="Q1102" t="s">
        <v>462</v>
      </c>
      <c r="R1102">
        <v>0</v>
      </c>
    </row>
    <row r="1103" spans="1:18" x14ac:dyDescent="0.3">
      <c r="A1103">
        <v>200566</v>
      </c>
      <c r="B1103" t="s">
        <v>557</v>
      </c>
      <c r="C1103" t="s">
        <v>882</v>
      </c>
      <c r="D1103" t="s">
        <v>1465</v>
      </c>
      <c r="E1103" s="451">
        <v>46113</v>
      </c>
      <c r="F1103" s="451">
        <v>46143</v>
      </c>
      <c r="G1103" t="s">
        <v>570</v>
      </c>
      <c r="H1103" t="s">
        <v>573</v>
      </c>
      <c r="I1103" t="s">
        <v>880</v>
      </c>
      <c r="J1103">
        <v>-3250</v>
      </c>
      <c r="K1103">
        <v>-3250</v>
      </c>
      <c r="M1103" t="s">
        <v>883</v>
      </c>
      <c r="N1103" t="s">
        <v>135</v>
      </c>
      <c r="O1103" t="s">
        <v>787</v>
      </c>
      <c r="P1103" t="s">
        <v>894</v>
      </c>
      <c r="Q1103" t="s">
        <v>462</v>
      </c>
      <c r="R1103">
        <v>0</v>
      </c>
    </row>
    <row r="1104" spans="1:18" x14ac:dyDescent="0.3">
      <c r="A1104">
        <v>191979</v>
      </c>
      <c r="B1104" t="s">
        <v>557</v>
      </c>
      <c r="C1104" t="s">
        <v>832</v>
      </c>
      <c r="D1104" t="s">
        <v>1657</v>
      </c>
      <c r="E1104" s="451">
        <v>46113</v>
      </c>
      <c r="F1104" s="451">
        <v>46149</v>
      </c>
      <c r="G1104" t="s">
        <v>264</v>
      </c>
      <c r="H1104" t="s">
        <v>271</v>
      </c>
      <c r="I1104" t="s">
        <v>1658</v>
      </c>
      <c r="J1104">
        <v>-952.85</v>
      </c>
      <c r="K1104">
        <v>-952.85</v>
      </c>
      <c r="O1104" t="s">
        <v>787</v>
      </c>
      <c r="P1104" t="s">
        <v>894</v>
      </c>
      <c r="Q1104" t="s">
        <v>462</v>
      </c>
      <c r="R1104">
        <v>0</v>
      </c>
    </row>
    <row r="1105" spans="1:18" x14ac:dyDescent="0.3">
      <c r="A1105">
        <v>192512</v>
      </c>
      <c r="B1105" t="s">
        <v>557</v>
      </c>
      <c r="C1105" t="s">
        <v>836</v>
      </c>
      <c r="D1105" t="s">
        <v>1659</v>
      </c>
      <c r="E1105" s="451">
        <v>46113</v>
      </c>
      <c r="F1105" s="451">
        <v>46134</v>
      </c>
      <c r="G1105" t="s">
        <v>318</v>
      </c>
      <c r="H1105" t="s">
        <v>319</v>
      </c>
      <c r="I1105" t="s">
        <v>1660</v>
      </c>
      <c r="J1105">
        <v>-500</v>
      </c>
      <c r="K1105">
        <v>-500</v>
      </c>
      <c r="O1105" t="s">
        <v>787</v>
      </c>
      <c r="P1105" t="s">
        <v>894</v>
      </c>
      <c r="Q1105" t="s">
        <v>462</v>
      </c>
      <c r="R1105">
        <v>0</v>
      </c>
    </row>
    <row r="1106" spans="1:18" x14ac:dyDescent="0.3">
      <c r="A1106">
        <v>200578</v>
      </c>
      <c r="B1106" t="s">
        <v>557</v>
      </c>
      <c r="C1106" t="s">
        <v>882</v>
      </c>
      <c r="D1106" t="s">
        <v>1465</v>
      </c>
      <c r="E1106" s="451">
        <v>46113</v>
      </c>
      <c r="F1106" s="451">
        <v>46157</v>
      </c>
      <c r="G1106" t="s">
        <v>570</v>
      </c>
      <c r="H1106" t="s">
        <v>573</v>
      </c>
      <c r="I1106" t="s">
        <v>880</v>
      </c>
      <c r="J1106">
        <v>-3250</v>
      </c>
      <c r="K1106">
        <v>-3250</v>
      </c>
      <c r="M1106" t="s">
        <v>883</v>
      </c>
      <c r="N1106" t="s">
        <v>135</v>
      </c>
      <c r="O1106" t="s">
        <v>787</v>
      </c>
      <c r="P1106" t="s">
        <v>894</v>
      </c>
      <c r="Q1106" t="s">
        <v>462</v>
      </c>
      <c r="R1106">
        <v>0</v>
      </c>
    </row>
    <row r="1107" spans="1:18" x14ac:dyDescent="0.3">
      <c r="A1107">
        <v>192026</v>
      </c>
      <c r="B1107" t="s">
        <v>557</v>
      </c>
      <c r="C1107" t="s">
        <v>870</v>
      </c>
      <c r="D1107" t="s">
        <v>1661</v>
      </c>
      <c r="E1107" s="451">
        <v>46113</v>
      </c>
      <c r="F1107" s="451">
        <v>46136</v>
      </c>
      <c r="G1107" t="s">
        <v>308</v>
      </c>
      <c r="H1107" t="s">
        <v>311</v>
      </c>
      <c r="I1107" t="s">
        <v>1662</v>
      </c>
      <c r="J1107">
        <v>-1173.1300000000001</v>
      </c>
      <c r="K1107">
        <v>-1173.1300000000001</v>
      </c>
      <c r="O1107" t="s">
        <v>787</v>
      </c>
      <c r="P1107" t="s">
        <v>894</v>
      </c>
      <c r="Q1107" t="s">
        <v>462</v>
      </c>
      <c r="R1107">
        <v>0</v>
      </c>
    </row>
    <row r="1108" spans="1:18" x14ac:dyDescent="0.3">
      <c r="A1108">
        <v>192559</v>
      </c>
      <c r="B1108" t="s">
        <v>557</v>
      </c>
      <c r="C1108" t="s">
        <v>917</v>
      </c>
      <c r="D1108" t="s">
        <v>1663</v>
      </c>
      <c r="E1108" s="451">
        <v>46113</v>
      </c>
      <c r="F1108" s="451">
        <v>46164</v>
      </c>
      <c r="G1108" t="s">
        <v>318</v>
      </c>
      <c r="H1108" t="s">
        <v>321</v>
      </c>
      <c r="I1108" t="s">
        <v>1664</v>
      </c>
      <c r="J1108">
        <v>-200</v>
      </c>
      <c r="K1108">
        <v>-200</v>
      </c>
      <c r="O1108" t="s">
        <v>787</v>
      </c>
      <c r="P1108" t="s">
        <v>894</v>
      </c>
      <c r="Q1108" t="s">
        <v>462</v>
      </c>
      <c r="R1108">
        <v>0</v>
      </c>
    </row>
    <row r="1109" spans="1:18" x14ac:dyDescent="0.3">
      <c r="A1109">
        <v>196299</v>
      </c>
      <c r="B1109" t="s">
        <v>557</v>
      </c>
      <c r="C1109" t="s">
        <v>834</v>
      </c>
      <c r="D1109" t="s">
        <v>1665</v>
      </c>
      <c r="E1109" s="451">
        <v>46113</v>
      </c>
      <c r="F1109" s="451">
        <v>46111</v>
      </c>
      <c r="G1109" t="s">
        <v>578</v>
      </c>
      <c r="H1109" t="s">
        <v>239</v>
      </c>
      <c r="I1109" t="s">
        <v>1666</v>
      </c>
      <c r="J1109">
        <v>-3976.59</v>
      </c>
      <c r="K1109">
        <v>-3976.59</v>
      </c>
      <c r="O1109" t="s">
        <v>787</v>
      </c>
      <c r="P1109" t="s">
        <v>894</v>
      </c>
      <c r="Q1109" t="s">
        <v>462</v>
      </c>
      <c r="R1109">
        <v>0</v>
      </c>
    </row>
    <row r="1110" spans="1:18" x14ac:dyDescent="0.3">
      <c r="A1110">
        <v>196323</v>
      </c>
      <c r="B1110" t="s">
        <v>557</v>
      </c>
      <c r="C1110" t="s">
        <v>834</v>
      </c>
      <c r="D1110" t="s">
        <v>1667</v>
      </c>
      <c r="E1110" s="451">
        <v>46113</v>
      </c>
      <c r="F1110" s="451">
        <v>46107</v>
      </c>
      <c r="G1110" t="s">
        <v>578</v>
      </c>
      <c r="H1110" t="s">
        <v>239</v>
      </c>
      <c r="I1110" t="s">
        <v>844</v>
      </c>
      <c r="J1110">
        <v>-1037.28</v>
      </c>
      <c r="K1110">
        <v>-1037.28</v>
      </c>
      <c r="O1110" t="s">
        <v>787</v>
      </c>
      <c r="P1110" t="s">
        <v>894</v>
      </c>
      <c r="Q1110" t="s">
        <v>462</v>
      </c>
      <c r="R1110">
        <v>0</v>
      </c>
    </row>
    <row r="1111" spans="1:18" x14ac:dyDescent="0.3">
      <c r="A1111">
        <v>192545</v>
      </c>
      <c r="B1111" t="s">
        <v>557</v>
      </c>
      <c r="C1111" t="s">
        <v>1668</v>
      </c>
      <c r="D1111" t="s">
        <v>1669</v>
      </c>
      <c r="E1111" s="451">
        <v>46113</v>
      </c>
      <c r="F1111" s="451">
        <v>46157</v>
      </c>
      <c r="G1111" t="s">
        <v>581</v>
      </c>
      <c r="H1111" t="s">
        <v>288</v>
      </c>
      <c r="I1111" t="s">
        <v>1670</v>
      </c>
      <c r="J1111">
        <v>-1000</v>
      </c>
      <c r="K1111">
        <v>-1000</v>
      </c>
      <c r="O1111" t="s">
        <v>787</v>
      </c>
      <c r="P1111" t="s">
        <v>894</v>
      </c>
      <c r="Q1111" t="s">
        <v>462</v>
      </c>
      <c r="R1111">
        <v>0</v>
      </c>
    </row>
    <row r="1112" spans="1:18" x14ac:dyDescent="0.3">
      <c r="A1112">
        <v>192385</v>
      </c>
      <c r="B1112" t="s">
        <v>557</v>
      </c>
      <c r="C1112" t="s">
        <v>905</v>
      </c>
      <c r="D1112" t="s">
        <v>1671</v>
      </c>
      <c r="E1112" s="451">
        <v>46113</v>
      </c>
      <c r="F1112" s="451">
        <v>46154</v>
      </c>
      <c r="G1112" t="s">
        <v>296</v>
      </c>
      <c r="H1112" t="s">
        <v>298</v>
      </c>
      <c r="I1112" t="s">
        <v>1672</v>
      </c>
      <c r="J1112">
        <v>-500</v>
      </c>
      <c r="K1112">
        <v>-500</v>
      </c>
      <c r="O1112" t="s">
        <v>787</v>
      </c>
      <c r="P1112" t="s">
        <v>894</v>
      </c>
      <c r="Q1112" t="s">
        <v>462</v>
      </c>
      <c r="R1112">
        <v>0</v>
      </c>
    </row>
    <row r="1113" spans="1:18" x14ac:dyDescent="0.3">
      <c r="A1113">
        <v>200451</v>
      </c>
      <c r="B1113" t="s">
        <v>557</v>
      </c>
      <c r="C1113" t="s">
        <v>879</v>
      </c>
      <c r="D1113" t="s">
        <v>1673</v>
      </c>
      <c r="E1113" s="451">
        <v>46113</v>
      </c>
      <c r="F1113" s="451">
        <v>46157</v>
      </c>
      <c r="G1113" t="s">
        <v>570</v>
      </c>
      <c r="H1113" t="s">
        <v>573</v>
      </c>
      <c r="I1113" t="s">
        <v>880</v>
      </c>
      <c r="J1113">
        <v>-2000</v>
      </c>
      <c r="K1113">
        <v>-2000</v>
      </c>
      <c r="M1113" t="s">
        <v>881</v>
      </c>
      <c r="N1113" t="s">
        <v>73</v>
      </c>
      <c r="O1113" t="s">
        <v>787</v>
      </c>
      <c r="P1113" t="s">
        <v>894</v>
      </c>
      <c r="Q1113" t="s">
        <v>462</v>
      </c>
      <c r="R1113">
        <v>0</v>
      </c>
    </row>
    <row r="1114" spans="1:18" x14ac:dyDescent="0.3">
      <c r="A1114">
        <v>192570</v>
      </c>
      <c r="B1114" t="s">
        <v>557</v>
      </c>
      <c r="C1114" t="s">
        <v>830</v>
      </c>
      <c r="D1114" t="s">
        <v>1674</v>
      </c>
      <c r="E1114" s="451">
        <v>46113</v>
      </c>
      <c r="F1114" s="451">
        <v>46132</v>
      </c>
      <c r="G1114" t="s">
        <v>264</v>
      </c>
      <c r="H1114" t="s">
        <v>276</v>
      </c>
      <c r="I1114" t="s">
        <v>1675</v>
      </c>
      <c r="J1114">
        <v>-1512</v>
      </c>
      <c r="K1114">
        <v>-1512</v>
      </c>
      <c r="O1114" t="s">
        <v>787</v>
      </c>
      <c r="P1114" t="s">
        <v>894</v>
      </c>
      <c r="Q1114" t="s">
        <v>462</v>
      </c>
      <c r="R1114">
        <v>0</v>
      </c>
    </row>
    <row r="1115" spans="1:18" x14ac:dyDescent="0.3">
      <c r="A1115">
        <v>192956</v>
      </c>
      <c r="B1115" t="s">
        <v>557</v>
      </c>
      <c r="C1115" t="s">
        <v>903</v>
      </c>
      <c r="D1115" t="s">
        <v>1676</v>
      </c>
      <c r="E1115" s="451">
        <v>46113</v>
      </c>
      <c r="F1115" s="451">
        <v>46147</v>
      </c>
      <c r="G1115" t="s">
        <v>279</v>
      </c>
      <c r="H1115" t="s">
        <v>283</v>
      </c>
      <c r="I1115" t="s">
        <v>1677</v>
      </c>
      <c r="J1115">
        <v>-314.87</v>
      </c>
      <c r="K1115">
        <v>-293.93</v>
      </c>
      <c r="O1115" t="s">
        <v>787</v>
      </c>
      <c r="P1115" t="s">
        <v>894</v>
      </c>
      <c r="Q1115" t="s">
        <v>462</v>
      </c>
      <c r="R1115">
        <v>0</v>
      </c>
    </row>
    <row r="1116" spans="1:18" x14ac:dyDescent="0.3">
      <c r="A1116">
        <v>204920</v>
      </c>
      <c r="B1116" t="s">
        <v>557</v>
      </c>
      <c r="C1116" t="s">
        <v>842</v>
      </c>
      <c r="D1116" t="s">
        <v>1678</v>
      </c>
      <c r="E1116" s="451">
        <v>46113</v>
      </c>
      <c r="F1116" s="451">
        <v>46142</v>
      </c>
      <c r="G1116" t="s">
        <v>578</v>
      </c>
      <c r="H1116" t="s">
        <v>242</v>
      </c>
      <c r="I1116" t="s">
        <v>843</v>
      </c>
      <c r="J1116">
        <v>-207.65</v>
      </c>
      <c r="K1116">
        <v>-207.65</v>
      </c>
      <c r="O1116" t="s">
        <v>787</v>
      </c>
      <c r="P1116" t="s">
        <v>894</v>
      </c>
      <c r="Q1116" t="s">
        <v>462</v>
      </c>
      <c r="R1116">
        <v>0</v>
      </c>
    </row>
    <row r="1117" spans="1:18" x14ac:dyDescent="0.3">
      <c r="A1117">
        <v>192189</v>
      </c>
      <c r="B1117" t="s">
        <v>557</v>
      </c>
      <c r="C1117" t="s">
        <v>919</v>
      </c>
      <c r="D1117" t="s">
        <v>1679</v>
      </c>
      <c r="E1117" s="451">
        <v>46113</v>
      </c>
      <c r="F1117" s="451">
        <v>46148</v>
      </c>
      <c r="G1117" t="s">
        <v>279</v>
      </c>
      <c r="H1117" t="s">
        <v>284</v>
      </c>
      <c r="I1117" t="s">
        <v>1680</v>
      </c>
      <c r="J1117">
        <v>-520</v>
      </c>
      <c r="K1117">
        <v>-541.48</v>
      </c>
      <c r="O1117" t="s">
        <v>787</v>
      </c>
      <c r="P1117" t="s">
        <v>894</v>
      </c>
      <c r="Q1117" t="s">
        <v>462</v>
      </c>
      <c r="R1117">
        <v>0</v>
      </c>
    </row>
    <row r="1118" spans="1:18" x14ac:dyDescent="0.3">
      <c r="A1118">
        <v>191751</v>
      </c>
      <c r="B1118" t="s">
        <v>557</v>
      </c>
      <c r="C1118" t="s">
        <v>895</v>
      </c>
      <c r="D1118" t="s">
        <v>1681</v>
      </c>
      <c r="E1118" s="451">
        <v>46113</v>
      </c>
      <c r="F1118" s="451">
        <v>46127</v>
      </c>
      <c r="G1118" t="s">
        <v>308</v>
      </c>
      <c r="H1118" t="s">
        <v>309</v>
      </c>
      <c r="I1118" t="s">
        <v>1682</v>
      </c>
      <c r="J1118">
        <v>-829.92</v>
      </c>
      <c r="K1118">
        <v>-829.92</v>
      </c>
      <c r="O1118" t="s">
        <v>787</v>
      </c>
      <c r="P1118" t="s">
        <v>894</v>
      </c>
      <c r="Q1118" t="s">
        <v>462</v>
      </c>
      <c r="R1118">
        <v>0</v>
      </c>
    </row>
    <row r="1119" spans="1:18" x14ac:dyDescent="0.3">
      <c r="A1119">
        <v>192397</v>
      </c>
      <c r="B1119" t="s">
        <v>557</v>
      </c>
      <c r="C1119" t="s">
        <v>823</v>
      </c>
      <c r="D1119" t="s">
        <v>1683</v>
      </c>
      <c r="E1119" s="451">
        <v>46113</v>
      </c>
      <c r="F1119" s="451">
        <v>46127</v>
      </c>
      <c r="G1119" t="s">
        <v>279</v>
      </c>
      <c r="H1119" t="s">
        <v>286</v>
      </c>
      <c r="I1119" t="s">
        <v>1684</v>
      </c>
      <c r="J1119">
        <v>-219</v>
      </c>
      <c r="K1119">
        <v>-219</v>
      </c>
      <c r="O1119" t="s">
        <v>787</v>
      </c>
      <c r="P1119" t="s">
        <v>894</v>
      </c>
      <c r="Q1119" t="s">
        <v>462</v>
      </c>
      <c r="R1119">
        <v>0</v>
      </c>
    </row>
    <row r="1120" spans="1:18" x14ac:dyDescent="0.3">
      <c r="A1120">
        <v>191724</v>
      </c>
      <c r="B1120" t="s">
        <v>557</v>
      </c>
      <c r="C1120" t="s">
        <v>895</v>
      </c>
      <c r="D1120" t="s">
        <v>1685</v>
      </c>
      <c r="E1120" s="451">
        <v>46113</v>
      </c>
      <c r="F1120" s="451">
        <v>46127</v>
      </c>
      <c r="G1120" t="s">
        <v>308</v>
      </c>
      <c r="H1120" t="s">
        <v>309</v>
      </c>
      <c r="I1120" t="s">
        <v>1686</v>
      </c>
      <c r="J1120">
        <v>-2175.62</v>
      </c>
      <c r="K1120">
        <v>-2175.62</v>
      </c>
      <c r="O1120" t="s">
        <v>787</v>
      </c>
      <c r="P1120" t="s">
        <v>894</v>
      </c>
      <c r="Q1120" t="s">
        <v>462</v>
      </c>
      <c r="R1120">
        <v>0</v>
      </c>
    </row>
    <row r="1121" spans="1:18" x14ac:dyDescent="0.3">
      <c r="A1121">
        <v>200464</v>
      </c>
      <c r="B1121" t="s">
        <v>557</v>
      </c>
      <c r="C1121" t="s">
        <v>888</v>
      </c>
      <c r="D1121" t="s">
        <v>1633</v>
      </c>
      <c r="E1121" s="451">
        <v>46113</v>
      </c>
      <c r="F1121" s="451">
        <v>46143</v>
      </c>
      <c r="G1121" t="s">
        <v>570</v>
      </c>
      <c r="H1121" t="s">
        <v>573</v>
      </c>
      <c r="I1121" t="s">
        <v>880</v>
      </c>
      <c r="J1121">
        <v>-3300</v>
      </c>
      <c r="K1121">
        <v>-3300</v>
      </c>
      <c r="M1121" t="s">
        <v>887</v>
      </c>
      <c r="N1121" t="s">
        <v>131</v>
      </c>
      <c r="O1121" t="s">
        <v>787</v>
      </c>
      <c r="P1121" t="s">
        <v>894</v>
      </c>
      <c r="Q1121" t="s">
        <v>462</v>
      </c>
      <c r="R1121">
        <v>0</v>
      </c>
    </row>
    <row r="1122" spans="1:18" x14ac:dyDescent="0.3">
      <c r="A1122">
        <v>193002</v>
      </c>
      <c r="B1122" t="s">
        <v>557</v>
      </c>
      <c r="C1122" t="s">
        <v>925</v>
      </c>
      <c r="D1122" t="s">
        <v>1527</v>
      </c>
      <c r="E1122" s="451">
        <v>46113</v>
      </c>
      <c r="F1122" s="451">
        <v>46147</v>
      </c>
      <c r="G1122" t="s">
        <v>279</v>
      </c>
      <c r="H1122" t="s">
        <v>282</v>
      </c>
      <c r="I1122" t="s">
        <v>1687</v>
      </c>
      <c r="J1122">
        <v>-40.9</v>
      </c>
      <c r="K1122">
        <v>-40.9</v>
      </c>
      <c r="O1122" t="s">
        <v>787</v>
      </c>
      <c r="P1122" t="s">
        <v>894</v>
      </c>
      <c r="Q1122" t="s">
        <v>462</v>
      </c>
      <c r="R1122">
        <v>0</v>
      </c>
    </row>
    <row r="1123" spans="1:18" x14ac:dyDescent="0.3">
      <c r="A1123">
        <v>192329</v>
      </c>
      <c r="B1123" t="s">
        <v>557</v>
      </c>
      <c r="C1123" t="s">
        <v>913</v>
      </c>
      <c r="D1123" t="s">
        <v>1688</v>
      </c>
      <c r="E1123" s="451">
        <v>46113</v>
      </c>
      <c r="F1123" s="451">
        <v>46149</v>
      </c>
      <c r="G1123" t="s">
        <v>296</v>
      </c>
      <c r="H1123" t="s">
        <v>297</v>
      </c>
      <c r="I1123" t="s">
        <v>1689</v>
      </c>
      <c r="J1123">
        <v>-4000</v>
      </c>
      <c r="K1123">
        <v>-4000</v>
      </c>
      <c r="M1123" t="s">
        <v>915</v>
      </c>
      <c r="N1123" t="s">
        <v>916</v>
      </c>
      <c r="O1123" t="s">
        <v>787</v>
      </c>
      <c r="Q1123" t="s">
        <v>462</v>
      </c>
      <c r="R1123">
        <v>0</v>
      </c>
    </row>
    <row r="1124" spans="1:18" x14ac:dyDescent="0.3">
      <c r="A1124">
        <v>200477</v>
      </c>
      <c r="B1124" t="s">
        <v>557</v>
      </c>
      <c r="C1124" t="s">
        <v>888</v>
      </c>
      <c r="D1124" t="s">
        <v>1633</v>
      </c>
      <c r="E1124" s="451">
        <v>46113</v>
      </c>
      <c r="F1124" s="451">
        <v>46157</v>
      </c>
      <c r="G1124" t="s">
        <v>570</v>
      </c>
      <c r="H1124" t="s">
        <v>573</v>
      </c>
      <c r="I1124" t="s">
        <v>880</v>
      </c>
      <c r="J1124">
        <v>-3300</v>
      </c>
      <c r="K1124">
        <v>-3300</v>
      </c>
      <c r="M1124" t="s">
        <v>887</v>
      </c>
      <c r="N1124" t="s">
        <v>131</v>
      </c>
      <c r="O1124" t="s">
        <v>787</v>
      </c>
      <c r="P1124" t="s">
        <v>894</v>
      </c>
      <c r="Q1124" t="s">
        <v>462</v>
      </c>
      <c r="R1124">
        <v>0</v>
      </c>
    </row>
    <row r="1125" spans="1:18" x14ac:dyDescent="0.3">
      <c r="A1125">
        <v>192163</v>
      </c>
      <c r="B1125" t="s">
        <v>557</v>
      </c>
      <c r="C1125" t="s">
        <v>932</v>
      </c>
      <c r="D1125" t="s">
        <v>1690</v>
      </c>
      <c r="E1125" s="451">
        <v>46113</v>
      </c>
      <c r="F1125" s="451">
        <v>46127</v>
      </c>
      <c r="G1125" t="s">
        <v>264</v>
      </c>
      <c r="H1125" t="s">
        <v>270</v>
      </c>
      <c r="I1125" t="s">
        <v>1691</v>
      </c>
      <c r="J1125">
        <v>-550</v>
      </c>
      <c r="K1125">
        <v>-550</v>
      </c>
      <c r="O1125" t="s">
        <v>787</v>
      </c>
      <c r="P1125" t="s">
        <v>894</v>
      </c>
      <c r="Q1125" t="s">
        <v>462</v>
      </c>
      <c r="R1125">
        <v>0</v>
      </c>
    </row>
    <row r="1126" spans="1:18" x14ac:dyDescent="0.3">
      <c r="A1126">
        <v>222632</v>
      </c>
      <c r="B1126" t="s">
        <v>557</v>
      </c>
      <c r="C1126" t="s">
        <v>1113</v>
      </c>
      <c r="E1126" s="451">
        <v>46112</v>
      </c>
      <c r="F1126" s="451">
        <v>46119</v>
      </c>
      <c r="G1126" t="s">
        <v>574</v>
      </c>
      <c r="H1126" t="s">
        <v>575</v>
      </c>
      <c r="J1126">
        <v>-2033.38</v>
      </c>
      <c r="K1126">
        <v>-2033.38</v>
      </c>
      <c r="O1126" t="s">
        <v>787</v>
      </c>
      <c r="P1126" t="s">
        <v>894</v>
      </c>
      <c r="Q1126" t="s">
        <v>461</v>
      </c>
      <c r="R1126">
        <v>0</v>
      </c>
    </row>
    <row r="1127" spans="1:18" x14ac:dyDescent="0.3">
      <c r="A1127">
        <v>223115</v>
      </c>
      <c r="B1127" t="s">
        <v>557</v>
      </c>
      <c r="C1127" t="s">
        <v>1234</v>
      </c>
      <c r="D1127" t="s">
        <v>1692</v>
      </c>
      <c r="E1127" s="451">
        <v>46112</v>
      </c>
      <c r="F1127" s="451">
        <v>46123</v>
      </c>
      <c r="G1127" t="s">
        <v>564</v>
      </c>
      <c r="H1127" t="s">
        <v>565</v>
      </c>
      <c r="I1127" t="s">
        <v>1693</v>
      </c>
      <c r="J1127">
        <v>-2069.6</v>
      </c>
      <c r="K1127">
        <v>-2069.6</v>
      </c>
      <c r="O1127" t="s">
        <v>787</v>
      </c>
      <c r="P1127" t="s">
        <v>894</v>
      </c>
      <c r="Q1127" t="s">
        <v>461</v>
      </c>
      <c r="R1127">
        <v>0</v>
      </c>
    </row>
    <row r="1128" spans="1:18" x14ac:dyDescent="0.3">
      <c r="A1128">
        <v>223219</v>
      </c>
      <c r="B1128" t="s">
        <v>557</v>
      </c>
      <c r="C1128" t="s">
        <v>1005</v>
      </c>
      <c r="E1128" s="451">
        <v>46112</v>
      </c>
      <c r="F1128" s="451">
        <v>46112</v>
      </c>
      <c r="G1128" t="s">
        <v>562</v>
      </c>
      <c r="H1128" t="s">
        <v>116</v>
      </c>
      <c r="J1128">
        <v>-183.65</v>
      </c>
      <c r="K1128">
        <v>-183.65</v>
      </c>
      <c r="O1128" t="s">
        <v>787</v>
      </c>
      <c r="P1128" t="s">
        <v>894</v>
      </c>
      <c r="Q1128" t="s">
        <v>461</v>
      </c>
      <c r="R1128">
        <v>0</v>
      </c>
    </row>
    <row r="1129" spans="1:18" x14ac:dyDescent="0.3">
      <c r="A1129">
        <v>223220</v>
      </c>
      <c r="B1129" t="s">
        <v>557</v>
      </c>
      <c r="C1129" t="s">
        <v>1006</v>
      </c>
      <c r="E1129" s="451">
        <v>46112</v>
      </c>
      <c r="F1129" s="451">
        <v>46112</v>
      </c>
      <c r="G1129" t="s">
        <v>562</v>
      </c>
      <c r="H1129" t="s">
        <v>116</v>
      </c>
      <c r="J1129">
        <v>-739.22</v>
      </c>
      <c r="K1129">
        <v>-739.22</v>
      </c>
      <c r="O1129" t="s">
        <v>787</v>
      </c>
      <c r="P1129" t="s">
        <v>894</v>
      </c>
      <c r="Q1129" t="s">
        <v>461</v>
      </c>
      <c r="R1129">
        <v>0</v>
      </c>
    </row>
    <row r="1130" spans="1:18" x14ac:dyDescent="0.3">
      <c r="A1130">
        <v>223224</v>
      </c>
      <c r="B1130" t="s">
        <v>557</v>
      </c>
      <c r="C1130" t="s">
        <v>1007</v>
      </c>
      <c r="E1130" s="451">
        <v>46112</v>
      </c>
      <c r="F1130" s="451">
        <v>46112</v>
      </c>
      <c r="G1130" t="s">
        <v>562</v>
      </c>
      <c r="H1130" t="s">
        <v>116</v>
      </c>
      <c r="J1130">
        <v>-147.82</v>
      </c>
      <c r="K1130">
        <v>-147.82</v>
      </c>
      <c r="O1130" t="s">
        <v>787</v>
      </c>
      <c r="P1130" t="s">
        <v>894</v>
      </c>
      <c r="Q1130" t="s">
        <v>461</v>
      </c>
      <c r="R1130">
        <v>0</v>
      </c>
    </row>
    <row r="1131" spans="1:18" x14ac:dyDescent="0.3">
      <c r="A1131">
        <v>223787</v>
      </c>
      <c r="B1131" t="s">
        <v>557</v>
      </c>
      <c r="C1131" t="s">
        <v>964</v>
      </c>
      <c r="E1131" s="451">
        <v>46112</v>
      </c>
      <c r="F1131" s="451">
        <v>46112</v>
      </c>
      <c r="G1131" t="s">
        <v>874</v>
      </c>
      <c r="H1131" t="s">
        <v>875</v>
      </c>
      <c r="J1131">
        <v>-60</v>
      </c>
      <c r="K1131">
        <v>-60</v>
      </c>
      <c r="O1131" t="s">
        <v>787</v>
      </c>
      <c r="P1131" t="s">
        <v>894</v>
      </c>
      <c r="Q1131" t="s">
        <v>461</v>
      </c>
      <c r="R1131">
        <v>0</v>
      </c>
    </row>
    <row r="1132" spans="1:18" x14ac:dyDescent="0.3">
      <c r="A1132">
        <v>222629</v>
      </c>
      <c r="B1132" t="s">
        <v>557</v>
      </c>
      <c r="C1132" t="s">
        <v>1104</v>
      </c>
      <c r="E1132" s="451">
        <v>46112</v>
      </c>
      <c r="F1132" s="451">
        <v>46119</v>
      </c>
      <c r="G1132" t="s">
        <v>574</v>
      </c>
      <c r="H1132" t="s">
        <v>575</v>
      </c>
      <c r="J1132">
        <v>-3782.29</v>
      </c>
      <c r="K1132">
        <v>-3782.29</v>
      </c>
      <c r="O1132" t="s">
        <v>787</v>
      </c>
      <c r="P1132" t="s">
        <v>894</v>
      </c>
      <c r="Q1132" t="s">
        <v>461</v>
      </c>
      <c r="R1132">
        <v>0</v>
      </c>
    </row>
    <row r="1133" spans="1:18" x14ac:dyDescent="0.3">
      <c r="A1133">
        <v>222630</v>
      </c>
      <c r="B1133" t="s">
        <v>557</v>
      </c>
      <c r="C1133" t="s">
        <v>1106</v>
      </c>
      <c r="E1133" s="451">
        <v>46112</v>
      </c>
      <c r="F1133" s="451">
        <v>46119</v>
      </c>
      <c r="G1133" t="s">
        <v>574</v>
      </c>
      <c r="H1133" t="s">
        <v>575</v>
      </c>
      <c r="J1133">
        <v>-3134.59</v>
      </c>
      <c r="K1133">
        <v>-3134.59</v>
      </c>
      <c r="O1133" t="s">
        <v>787</v>
      </c>
      <c r="P1133" t="s">
        <v>894</v>
      </c>
      <c r="Q1133" t="s">
        <v>461</v>
      </c>
      <c r="R1133">
        <v>0</v>
      </c>
    </row>
    <row r="1134" spans="1:18" x14ac:dyDescent="0.3">
      <c r="A1134">
        <v>224337</v>
      </c>
      <c r="B1134" t="s">
        <v>557</v>
      </c>
      <c r="C1134" t="s">
        <v>1008</v>
      </c>
      <c r="E1134" s="451">
        <v>46112</v>
      </c>
      <c r="F1134" s="451">
        <v>46112</v>
      </c>
      <c r="G1134" t="s">
        <v>562</v>
      </c>
      <c r="H1134" t="s">
        <v>116</v>
      </c>
      <c r="J1134">
        <v>-687.65</v>
      </c>
      <c r="K1134">
        <v>-687.65</v>
      </c>
      <c r="O1134" t="s">
        <v>787</v>
      </c>
      <c r="P1134" t="s">
        <v>894</v>
      </c>
      <c r="Q1134" t="s">
        <v>461</v>
      </c>
      <c r="R1134">
        <v>0</v>
      </c>
    </row>
    <row r="1135" spans="1:18" x14ac:dyDescent="0.3">
      <c r="A1135">
        <v>222631</v>
      </c>
      <c r="B1135" t="s">
        <v>557</v>
      </c>
      <c r="C1135" t="s">
        <v>1114</v>
      </c>
      <c r="E1135" s="451">
        <v>46112</v>
      </c>
      <c r="F1135" s="451">
        <v>46119</v>
      </c>
      <c r="G1135" t="s">
        <v>574</v>
      </c>
      <c r="H1135" t="s">
        <v>575</v>
      </c>
      <c r="J1135">
        <v>-1154.71</v>
      </c>
      <c r="K1135">
        <v>-1154.71</v>
      </c>
      <c r="O1135" t="s">
        <v>787</v>
      </c>
      <c r="P1135" t="s">
        <v>894</v>
      </c>
      <c r="Q1135" t="s">
        <v>461</v>
      </c>
      <c r="R1135">
        <v>0</v>
      </c>
    </row>
    <row r="1136" spans="1:18" x14ac:dyDescent="0.3">
      <c r="A1136">
        <v>222633</v>
      </c>
      <c r="B1136" t="s">
        <v>557</v>
      </c>
      <c r="C1136" t="s">
        <v>970</v>
      </c>
      <c r="E1136" s="451">
        <v>46112</v>
      </c>
      <c r="F1136" s="451">
        <v>46119</v>
      </c>
      <c r="G1136" t="s">
        <v>574</v>
      </c>
      <c r="H1136" t="s">
        <v>575</v>
      </c>
      <c r="J1136">
        <v>-4379.03</v>
      </c>
      <c r="K1136">
        <v>-4379.03</v>
      </c>
      <c r="O1136" t="s">
        <v>787</v>
      </c>
      <c r="P1136" t="s">
        <v>894</v>
      </c>
      <c r="Q1136" t="s">
        <v>461</v>
      </c>
      <c r="R1136">
        <v>0</v>
      </c>
    </row>
    <row r="1137" spans="1:18" x14ac:dyDescent="0.3">
      <c r="A1137">
        <v>222642</v>
      </c>
      <c r="B1137" t="s">
        <v>557</v>
      </c>
      <c r="C1137" t="s">
        <v>1125</v>
      </c>
      <c r="E1137" s="451">
        <v>46112</v>
      </c>
      <c r="F1137" s="451">
        <v>46119</v>
      </c>
      <c r="G1137" t="s">
        <v>574</v>
      </c>
      <c r="H1137" t="s">
        <v>575</v>
      </c>
      <c r="J1137">
        <v>-2016.99</v>
      </c>
      <c r="K1137">
        <v>-2016.99</v>
      </c>
      <c r="O1137" t="s">
        <v>787</v>
      </c>
      <c r="P1137" t="s">
        <v>894</v>
      </c>
      <c r="Q1137" t="s">
        <v>461</v>
      </c>
      <c r="R1137">
        <v>0</v>
      </c>
    </row>
    <row r="1138" spans="1:18" x14ac:dyDescent="0.3">
      <c r="A1138">
        <v>222641</v>
      </c>
      <c r="B1138" t="s">
        <v>557</v>
      </c>
      <c r="C1138" t="s">
        <v>1105</v>
      </c>
      <c r="E1138" s="451">
        <v>46112</v>
      </c>
      <c r="F1138" s="451">
        <v>46119</v>
      </c>
      <c r="G1138" t="s">
        <v>574</v>
      </c>
      <c r="H1138" t="s">
        <v>575</v>
      </c>
      <c r="J1138">
        <v>-2753.2</v>
      </c>
      <c r="K1138">
        <v>-2753.2</v>
      </c>
      <c r="O1138" t="s">
        <v>787</v>
      </c>
      <c r="P1138" t="s">
        <v>894</v>
      </c>
      <c r="Q1138" t="s">
        <v>461</v>
      </c>
      <c r="R1138">
        <v>0</v>
      </c>
    </row>
    <row r="1139" spans="1:18" x14ac:dyDescent="0.3">
      <c r="A1139">
        <v>222640</v>
      </c>
      <c r="B1139" t="s">
        <v>557</v>
      </c>
      <c r="C1139" t="s">
        <v>1102</v>
      </c>
      <c r="E1139" s="451">
        <v>46112</v>
      </c>
      <c r="F1139" s="451">
        <v>46119</v>
      </c>
      <c r="G1139" t="s">
        <v>574</v>
      </c>
      <c r="H1139" t="s">
        <v>575</v>
      </c>
      <c r="J1139">
        <v>-3273.15</v>
      </c>
      <c r="K1139">
        <v>-3273.15</v>
      </c>
      <c r="O1139" t="s">
        <v>787</v>
      </c>
      <c r="P1139" t="s">
        <v>894</v>
      </c>
      <c r="Q1139" t="s">
        <v>461</v>
      </c>
      <c r="R1139">
        <v>0</v>
      </c>
    </row>
    <row r="1140" spans="1:18" x14ac:dyDescent="0.3">
      <c r="A1140">
        <v>221032</v>
      </c>
      <c r="B1140" t="s">
        <v>557</v>
      </c>
      <c r="C1140" t="s">
        <v>1237</v>
      </c>
      <c r="E1140" s="451">
        <v>46112</v>
      </c>
      <c r="F1140" s="451">
        <v>46112</v>
      </c>
      <c r="G1140" t="s">
        <v>562</v>
      </c>
      <c r="H1140" t="s">
        <v>116</v>
      </c>
      <c r="I1140" t="s">
        <v>1238</v>
      </c>
      <c r="J1140">
        <v>-5851.89</v>
      </c>
      <c r="K1140">
        <v>-5851.89</v>
      </c>
      <c r="O1140" t="s">
        <v>787</v>
      </c>
      <c r="P1140" t="s">
        <v>894</v>
      </c>
      <c r="Q1140" t="s">
        <v>461</v>
      </c>
      <c r="R1140">
        <v>0</v>
      </c>
    </row>
    <row r="1141" spans="1:18" x14ac:dyDescent="0.3">
      <c r="A1141">
        <v>222639</v>
      </c>
      <c r="B1141" t="s">
        <v>557</v>
      </c>
      <c r="C1141" t="s">
        <v>1492</v>
      </c>
      <c r="E1141" s="451">
        <v>46112</v>
      </c>
      <c r="F1141" s="451">
        <v>46119</v>
      </c>
      <c r="G1141" t="s">
        <v>574</v>
      </c>
      <c r="H1141" t="s">
        <v>575</v>
      </c>
      <c r="J1141">
        <v>-1902.01</v>
      </c>
      <c r="K1141">
        <v>-1902.01</v>
      </c>
      <c r="O1141" t="s">
        <v>787</v>
      </c>
      <c r="P1141" t="s">
        <v>894</v>
      </c>
      <c r="Q1141" t="s">
        <v>461</v>
      </c>
      <c r="R1141">
        <v>0</v>
      </c>
    </row>
    <row r="1142" spans="1:18" x14ac:dyDescent="0.3">
      <c r="A1142">
        <v>222638</v>
      </c>
      <c r="B1142" t="s">
        <v>557</v>
      </c>
      <c r="C1142" t="s">
        <v>891</v>
      </c>
      <c r="E1142" s="451">
        <v>46112</v>
      </c>
      <c r="F1142" s="451">
        <v>46119</v>
      </c>
      <c r="G1142" t="s">
        <v>574</v>
      </c>
      <c r="H1142" t="s">
        <v>575</v>
      </c>
      <c r="J1142">
        <v>-3286.61</v>
      </c>
      <c r="K1142">
        <v>-3286.61</v>
      </c>
      <c r="O1142" t="s">
        <v>787</v>
      </c>
      <c r="P1142" t="s">
        <v>894</v>
      </c>
      <c r="Q1142" t="s">
        <v>461</v>
      </c>
      <c r="R1142">
        <v>0</v>
      </c>
    </row>
    <row r="1143" spans="1:18" x14ac:dyDescent="0.3">
      <c r="A1143">
        <v>222637</v>
      </c>
      <c r="B1143" t="s">
        <v>557</v>
      </c>
      <c r="C1143" t="s">
        <v>968</v>
      </c>
      <c r="E1143" s="451">
        <v>46112</v>
      </c>
      <c r="F1143" s="451">
        <v>46119</v>
      </c>
      <c r="G1143" t="s">
        <v>574</v>
      </c>
      <c r="H1143" t="s">
        <v>575</v>
      </c>
      <c r="J1143">
        <v>-2667.86</v>
      </c>
      <c r="K1143">
        <v>-2667.86</v>
      </c>
      <c r="O1143" t="s">
        <v>787</v>
      </c>
      <c r="P1143" t="s">
        <v>894</v>
      </c>
      <c r="Q1143" t="s">
        <v>461</v>
      </c>
      <c r="R1143">
        <v>0</v>
      </c>
    </row>
    <row r="1144" spans="1:18" x14ac:dyDescent="0.3">
      <c r="A1144">
        <v>222636</v>
      </c>
      <c r="B1144" t="s">
        <v>557</v>
      </c>
      <c r="C1144" t="s">
        <v>1116</v>
      </c>
      <c r="E1144" s="451">
        <v>46112</v>
      </c>
      <c r="F1144" s="451">
        <v>46119</v>
      </c>
      <c r="G1144" t="s">
        <v>574</v>
      </c>
      <c r="H1144" t="s">
        <v>575</v>
      </c>
      <c r="J1144">
        <v>-2552.63</v>
      </c>
      <c r="K1144">
        <v>-2552.63</v>
      </c>
      <c r="O1144" t="s">
        <v>787</v>
      </c>
      <c r="P1144" t="s">
        <v>894</v>
      </c>
      <c r="Q1144" t="s">
        <v>461</v>
      </c>
      <c r="R1144">
        <v>0</v>
      </c>
    </row>
    <row r="1145" spans="1:18" x14ac:dyDescent="0.3">
      <c r="A1145">
        <v>222635</v>
      </c>
      <c r="B1145" t="s">
        <v>557</v>
      </c>
      <c r="C1145" t="s">
        <v>1381</v>
      </c>
      <c r="E1145" s="451">
        <v>46112</v>
      </c>
      <c r="F1145" s="451">
        <v>46119</v>
      </c>
      <c r="G1145" t="s">
        <v>574</v>
      </c>
      <c r="H1145" t="s">
        <v>575</v>
      </c>
      <c r="J1145">
        <v>-2671.29</v>
      </c>
      <c r="K1145">
        <v>-2671.29</v>
      </c>
      <c r="O1145" t="s">
        <v>787</v>
      </c>
      <c r="P1145" t="s">
        <v>894</v>
      </c>
      <c r="Q1145" t="s">
        <v>461</v>
      </c>
      <c r="R1145">
        <v>0</v>
      </c>
    </row>
    <row r="1146" spans="1:18" x14ac:dyDescent="0.3">
      <c r="A1146">
        <v>222634</v>
      </c>
      <c r="B1146" t="s">
        <v>557</v>
      </c>
      <c r="C1146" t="s">
        <v>1110</v>
      </c>
      <c r="E1146" s="451">
        <v>46112</v>
      </c>
      <c r="F1146" s="451">
        <v>46119</v>
      </c>
      <c r="G1146" t="s">
        <v>574</v>
      </c>
      <c r="H1146" t="s">
        <v>575</v>
      </c>
      <c r="J1146">
        <v>-2477.16</v>
      </c>
      <c r="K1146">
        <v>-2477.16</v>
      </c>
      <c r="O1146" t="s">
        <v>787</v>
      </c>
      <c r="P1146" t="s">
        <v>894</v>
      </c>
      <c r="Q1146" t="s">
        <v>461</v>
      </c>
      <c r="R1146">
        <v>0</v>
      </c>
    </row>
    <row r="1147" spans="1:18" x14ac:dyDescent="0.3">
      <c r="A1147">
        <v>211312</v>
      </c>
      <c r="B1147" t="s">
        <v>557</v>
      </c>
      <c r="C1147" t="s">
        <v>943</v>
      </c>
      <c r="D1147" t="s">
        <v>1694</v>
      </c>
      <c r="E1147" s="451">
        <v>46111</v>
      </c>
      <c r="F1147" s="451">
        <v>46121</v>
      </c>
      <c r="G1147" t="s">
        <v>576</v>
      </c>
      <c r="H1147" t="s">
        <v>203</v>
      </c>
      <c r="I1147" t="s">
        <v>1695</v>
      </c>
      <c r="J1147">
        <v>-1413.77</v>
      </c>
      <c r="K1147">
        <v>-1413.77</v>
      </c>
      <c r="O1147" t="s">
        <v>787</v>
      </c>
      <c r="P1147" t="s">
        <v>894</v>
      </c>
      <c r="Q1147" t="s">
        <v>461</v>
      </c>
      <c r="R1147">
        <v>0</v>
      </c>
    </row>
    <row r="1148" spans="1:18" x14ac:dyDescent="0.3">
      <c r="A1148">
        <v>221301</v>
      </c>
      <c r="B1148" t="s">
        <v>557</v>
      </c>
      <c r="C1148" t="s">
        <v>1696</v>
      </c>
      <c r="D1148" t="s">
        <v>1697</v>
      </c>
      <c r="E1148" s="451">
        <v>46111</v>
      </c>
      <c r="F1148" s="451">
        <v>46117</v>
      </c>
      <c r="G1148" t="s">
        <v>279</v>
      </c>
      <c r="H1148" t="s">
        <v>286</v>
      </c>
      <c r="I1148" t="s">
        <v>1698</v>
      </c>
      <c r="J1148">
        <v>-610.16</v>
      </c>
      <c r="K1148">
        <v>0</v>
      </c>
      <c r="O1148" t="s">
        <v>787</v>
      </c>
      <c r="P1148" t="s">
        <v>894</v>
      </c>
      <c r="Q1148" t="s">
        <v>461</v>
      </c>
      <c r="R1148">
        <v>0</v>
      </c>
    </row>
    <row r="1149" spans="1:18" x14ac:dyDescent="0.3">
      <c r="A1149">
        <v>211305</v>
      </c>
      <c r="B1149" t="s">
        <v>557</v>
      </c>
      <c r="C1149" t="s">
        <v>943</v>
      </c>
      <c r="D1149" t="s">
        <v>1699</v>
      </c>
      <c r="E1149" s="451">
        <v>46111</v>
      </c>
      <c r="F1149" s="451">
        <v>46121</v>
      </c>
      <c r="G1149" t="s">
        <v>576</v>
      </c>
      <c r="H1149" t="s">
        <v>203</v>
      </c>
      <c r="I1149" t="s">
        <v>1700</v>
      </c>
      <c r="J1149">
        <v>-1771</v>
      </c>
      <c r="K1149">
        <v>-1771</v>
      </c>
      <c r="O1149" t="s">
        <v>787</v>
      </c>
      <c r="P1149" t="s">
        <v>894</v>
      </c>
      <c r="Q1149" t="s">
        <v>461</v>
      </c>
      <c r="R1149">
        <v>0</v>
      </c>
    </row>
    <row r="1150" spans="1:18" x14ac:dyDescent="0.3">
      <c r="A1150">
        <v>233421</v>
      </c>
      <c r="B1150" t="s">
        <v>557</v>
      </c>
      <c r="C1150" t="s">
        <v>346</v>
      </c>
      <c r="D1150" t="s">
        <v>1701</v>
      </c>
      <c r="E1150" s="451">
        <v>46111</v>
      </c>
      <c r="F1150" s="451">
        <v>46203</v>
      </c>
      <c r="G1150" t="s">
        <v>604</v>
      </c>
      <c r="H1150" t="s">
        <v>346</v>
      </c>
      <c r="I1150" t="s">
        <v>1702</v>
      </c>
      <c r="J1150">
        <v>-4525.6400000000003</v>
      </c>
      <c r="K1150">
        <v>-4525.6400000000003</v>
      </c>
      <c r="O1150" t="s">
        <v>787</v>
      </c>
      <c r="Q1150" t="s">
        <v>461</v>
      </c>
      <c r="R1150">
        <v>0</v>
      </c>
    </row>
    <row r="1151" spans="1:18" x14ac:dyDescent="0.3">
      <c r="A1151">
        <v>233409</v>
      </c>
      <c r="B1151" t="s">
        <v>557</v>
      </c>
      <c r="C1151" t="s">
        <v>854</v>
      </c>
      <c r="D1151" t="s">
        <v>3</v>
      </c>
      <c r="E1151" s="451">
        <v>46111</v>
      </c>
      <c r="F1151" s="451">
        <v>46171</v>
      </c>
      <c r="G1151" t="s">
        <v>604</v>
      </c>
      <c r="H1151" t="s">
        <v>344</v>
      </c>
      <c r="I1151" t="s">
        <v>1703</v>
      </c>
      <c r="J1151">
        <v>-6885.47</v>
      </c>
      <c r="K1151">
        <v>-6885.47</v>
      </c>
      <c r="O1151" t="s">
        <v>787</v>
      </c>
      <c r="Q1151" t="s">
        <v>461</v>
      </c>
      <c r="R1151">
        <v>0</v>
      </c>
    </row>
    <row r="1152" spans="1:18" x14ac:dyDescent="0.3">
      <c r="A1152">
        <v>223776</v>
      </c>
      <c r="B1152" t="s">
        <v>557</v>
      </c>
      <c r="C1152" t="s">
        <v>1232</v>
      </c>
      <c r="E1152" s="451">
        <v>46111</v>
      </c>
      <c r="F1152" s="451">
        <v>46111</v>
      </c>
      <c r="G1152" t="s">
        <v>562</v>
      </c>
      <c r="H1152" t="s">
        <v>118</v>
      </c>
      <c r="I1152" t="s">
        <v>1233</v>
      </c>
      <c r="J1152">
        <v>-24642.74</v>
      </c>
      <c r="K1152">
        <v>-24642.74</v>
      </c>
      <c r="O1152" t="s">
        <v>787</v>
      </c>
      <c r="P1152" t="s">
        <v>894</v>
      </c>
      <c r="Q1152" t="s">
        <v>461</v>
      </c>
      <c r="R1152">
        <v>0</v>
      </c>
    </row>
    <row r="1153" spans="1:18" x14ac:dyDescent="0.3">
      <c r="A1153">
        <v>233410</v>
      </c>
      <c r="B1153" t="s">
        <v>557</v>
      </c>
      <c r="C1153" t="s">
        <v>854</v>
      </c>
      <c r="D1153" t="s">
        <v>1704</v>
      </c>
      <c r="E1153" s="451">
        <v>46111</v>
      </c>
      <c r="F1153" s="451">
        <v>46203</v>
      </c>
      <c r="G1153" t="s">
        <v>604</v>
      </c>
      <c r="H1153" t="s">
        <v>344</v>
      </c>
      <c r="I1153" t="s">
        <v>1705</v>
      </c>
      <c r="J1153">
        <v>-6885.47</v>
      </c>
      <c r="K1153">
        <v>-6885.47</v>
      </c>
      <c r="O1153" t="s">
        <v>787</v>
      </c>
      <c r="Q1153" t="s">
        <v>461</v>
      </c>
      <c r="R1153">
        <v>0</v>
      </c>
    </row>
    <row r="1154" spans="1:18" x14ac:dyDescent="0.3">
      <c r="A1154">
        <v>221292</v>
      </c>
      <c r="B1154" t="s">
        <v>557</v>
      </c>
      <c r="C1154" t="s">
        <v>965</v>
      </c>
      <c r="D1154" t="s">
        <v>1706</v>
      </c>
      <c r="E1154" s="451">
        <v>46111</v>
      </c>
      <c r="F1154" s="451">
        <v>46117</v>
      </c>
      <c r="G1154" t="s">
        <v>296</v>
      </c>
      <c r="H1154" t="s">
        <v>307</v>
      </c>
      <c r="I1154" t="s">
        <v>967</v>
      </c>
      <c r="J1154">
        <v>-22.93</v>
      </c>
      <c r="K1154">
        <v>0</v>
      </c>
      <c r="O1154" t="s">
        <v>787</v>
      </c>
      <c r="P1154" t="s">
        <v>894</v>
      </c>
      <c r="Q1154" t="s">
        <v>461</v>
      </c>
      <c r="R1154">
        <v>0</v>
      </c>
    </row>
    <row r="1155" spans="1:18" x14ac:dyDescent="0.3">
      <c r="A1155">
        <v>226455</v>
      </c>
      <c r="B1155" t="s">
        <v>557</v>
      </c>
      <c r="C1155" t="s">
        <v>346</v>
      </c>
      <c r="D1155" t="s">
        <v>1707</v>
      </c>
      <c r="E1155" s="451">
        <v>46111</v>
      </c>
      <c r="F1155" s="451">
        <v>46142</v>
      </c>
      <c r="G1155" t="s">
        <v>604</v>
      </c>
      <c r="H1155" t="s">
        <v>346</v>
      </c>
      <c r="I1155" t="s">
        <v>1708</v>
      </c>
      <c r="J1155">
        <v>-4525.6400000000003</v>
      </c>
      <c r="K1155">
        <v>-4525.6400000000003</v>
      </c>
      <c r="O1155" t="s">
        <v>787</v>
      </c>
      <c r="P1155" t="s">
        <v>894</v>
      </c>
      <c r="Q1155" t="s">
        <v>461</v>
      </c>
      <c r="R1155">
        <v>0</v>
      </c>
    </row>
    <row r="1156" spans="1:18" x14ac:dyDescent="0.3">
      <c r="A1156">
        <v>233420</v>
      </c>
      <c r="B1156" t="s">
        <v>557</v>
      </c>
      <c r="C1156" t="s">
        <v>346</v>
      </c>
      <c r="D1156" t="s">
        <v>3</v>
      </c>
      <c r="E1156" s="451">
        <v>46111</v>
      </c>
      <c r="F1156" s="451">
        <v>46171</v>
      </c>
      <c r="G1156" t="s">
        <v>604</v>
      </c>
      <c r="H1156" t="s">
        <v>346</v>
      </c>
      <c r="I1156" t="s">
        <v>1709</v>
      </c>
      <c r="J1156">
        <v>-4525.6400000000003</v>
      </c>
      <c r="K1156">
        <v>-4525.6400000000003</v>
      </c>
      <c r="O1156" t="s">
        <v>787</v>
      </c>
      <c r="Q1156" t="s">
        <v>461</v>
      </c>
      <c r="R1156">
        <v>0</v>
      </c>
    </row>
    <row r="1157" spans="1:18" x14ac:dyDescent="0.3">
      <c r="A1157">
        <v>226451</v>
      </c>
      <c r="B1157" t="s">
        <v>557</v>
      </c>
      <c r="C1157" t="s">
        <v>854</v>
      </c>
      <c r="D1157" t="s">
        <v>1707</v>
      </c>
      <c r="E1157" s="451">
        <v>46111</v>
      </c>
      <c r="F1157" s="451">
        <v>46142</v>
      </c>
      <c r="G1157" t="s">
        <v>604</v>
      </c>
      <c r="H1157" t="s">
        <v>344</v>
      </c>
      <c r="I1157" t="s">
        <v>1710</v>
      </c>
      <c r="J1157">
        <v>-6885.47</v>
      </c>
      <c r="K1157">
        <v>-7051.61</v>
      </c>
      <c r="O1157" t="s">
        <v>787</v>
      </c>
      <c r="P1157" t="s">
        <v>894</v>
      </c>
      <c r="Q1157" t="s">
        <v>461</v>
      </c>
      <c r="R1157">
        <v>0</v>
      </c>
    </row>
    <row r="1158" spans="1:18" x14ac:dyDescent="0.3">
      <c r="A1158">
        <v>197469</v>
      </c>
      <c r="B1158" t="s">
        <v>557</v>
      </c>
      <c r="C1158" t="s">
        <v>845</v>
      </c>
      <c r="D1158" t="s">
        <v>1711</v>
      </c>
      <c r="E1158" s="451">
        <v>46111</v>
      </c>
      <c r="F1158" s="451">
        <v>46132</v>
      </c>
      <c r="G1158" t="s">
        <v>308</v>
      </c>
      <c r="H1158" t="s">
        <v>309</v>
      </c>
      <c r="I1158" t="s">
        <v>853</v>
      </c>
      <c r="J1158">
        <v>-27.76</v>
      </c>
      <c r="K1158">
        <v>-27.76</v>
      </c>
      <c r="O1158" t="s">
        <v>787</v>
      </c>
      <c r="P1158" t="s">
        <v>894</v>
      </c>
      <c r="Q1158" t="s">
        <v>461</v>
      </c>
      <c r="R1158">
        <v>0</v>
      </c>
    </row>
    <row r="1159" spans="1:18" x14ac:dyDescent="0.3">
      <c r="A1159">
        <v>202385</v>
      </c>
      <c r="B1159" t="s">
        <v>557</v>
      </c>
      <c r="C1159" t="s">
        <v>847</v>
      </c>
      <c r="D1159" t="s">
        <v>1712</v>
      </c>
      <c r="E1159" s="451">
        <v>46111</v>
      </c>
      <c r="F1159" s="451">
        <v>46127</v>
      </c>
      <c r="G1159" t="s">
        <v>578</v>
      </c>
      <c r="H1159" t="s">
        <v>247</v>
      </c>
      <c r="I1159" t="s">
        <v>1713</v>
      </c>
      <c r="J1159">
        <v>-537.78</v>
      </c>
      <c r="K1159">
        <v>-537.78</v>
      </c>
      <c r="O1159" t="s">
        <v>787</v>
      </c>
      <c r="P1159" t="s">
        <v>894</v>
      </c>
      <c r="Q1159" t="s">
        <v>461</v>
      </c>
      <c r="R1159">
        <v>0</v>
      </c>
    </row>
    <row r="1160" spans="1:18" x14ac:dyDescent="0.3">
      <c r="A1160">
        <v>192062</v>
      </c>
      <c r="B1160" t="s">
        <v>557</v>
      </c>
      <c r="C1160" t="s">
        <v>851</v>
      </c>
      <c r="D1160" t="s">
        <v>1714</v>
      </c>
      <c r="E1160" s="451">
        <v>46111</v>
      </c>
      <c r="F1160" s="451">
        <v>46127</v>
      </c>
      <c r="G1160" t="s">
        <v>318</v>
      </c>
      <c r="H1160" t="s">
        <v>320</v>
      </c>
      <c r="I1160" t="s">
        <v>1715</v>
      </c>
      <c r="J1160">
        <v>-143.08000000000001</v>
      </c>
      <c r="K1160">
        <v>-143.08000000000001</v>
      </c>
      <c r="O1160" t="s">
        <v>787</v>
      </c>
      <c r="P1160" t="s">
        <v>894</v>
      </c>
      <c r="Q1160" t="s">
        <v>461</v>
      </c>
      <c r="R1160">
        <v>0</v>
      </c>
    </row>
    <row r="1161" spans="1:18" x14ac:dyDescent="0.3">
      <c r="A1161">
        <v>210551</v>
      </c>
      <c r="B1161" t="s">
        <v>557</v>
      </c>
      <c r="C1161" t="s">
        <v>518</v>
      </c>
      <c r="D1161" t="s">
        <v>1711</v>
      </c>
      <c r="E1161" s="451">
        <v>46111</v>
      </c>
      <c r="F1161" s="451">
        <v>46136</v>
      </c>
      <c r="G1161" t="s">
        <v>563</v>
      </c>
      <c r="H1161" t="s">
        <v>46</v>
      </c>
      <c r="J1161">
        <v>-13457.41</v>
      </c>
      <c r="K1161">
        <v>-13457.41</v>
      </c>
      <c r="O1161" t="s">
        <v>787</v>
      </c>
      <c r="P1161" t="s">
        <v>894</v>
      </c>
      <c r="Q1161" t="s">
        <v>461</v>
      </c>
      <c r="R1161">
        <v>0</v>
      </c>
    </row>
    <row r="1162" spans="1:18" x14ac:dyDescent="0.3">
      <c r="A1162">
        <v>110522</v>
      </c>
      <c r="B1162" t="s">
        <v>557</v>
      </c>
      <c r="C1162" t="s">
        <v>849</v>
      </c>
      <c r="D1162" t="s">
        <v>1711</v>
      </c>
      <c r="E1162" s="451">
        <v>46111</v>
      </c>
      <c r="F1162" s="451">
        <v>46132</v>
      </c>
      <c r="G1162" t="s">
        <v>308</v>
      </c>
      <c r="H1162" t="s">
        <v>309</v>
      </c>
      <c r="I1162" t="s">
        <v>850</v>
      </c>
      <c r="J1162">
        <v>-238.71</v>
      </c>
      <c r="K1162">
        <v>-238.71</v>
      </c>
      <c r="O1162" t="s">
        <v>787</v>
      </c>
      <c r="Q1162" t="s">
        <v>461</v>
      </c>
      <c r="R1162">
        <v>0</v>
      </c>
    </row>
    <row r="1163" spans="1:18" x14ac:dyDescent="0.3">
      <c r="A1163">
        <v>197123</v>
      </c>
      <c r="B1163" t="s">
        <v>557</v>
      </c>
      <c r="C1163" t="s">
        <v>48</v>
      </c>
      <c r="D1163" t="s">
        <v>1711</v>
      </c>
      <c r="E1163" s="451">
        <v>46111</v>
      </c>
      <c r="F1163" s="451">
        <v>46132</v>
      </c>
      <c r="G1163" t="s">
        <v>563</v>
      </c>
      <c r="H1163" t="s">
        <v>48</v>
      </c>
      <c r="I1163" t="s">
        <v>1716</v>
      </c>
      <c r="J1163">
        <v>-18713.150000000001</v>
      </c>
      <c r="K1163">
        <v>-18713.150000000001</v>
      </c>
      <c r="O1163" t="s">
        <v>787</v>
      </c>
      <c r="P1163" t="s">
        <v>894</v>
      </c>
      <c r="Q1163" t="s">
        <v>461</v>
      </c>
      <c r="R1163">
        <v>0</v>
      </c>
    </row>
    <row r="1164" spans="1:18" x14ac:dyDescent="0.3">
      <c r="A1164">
        <v>209687</v>
      </c>
      <c r="B1164" t="s">
        <v>557</v>
      </c>
      <c r="C1164" t="s">
        <v>952</v>
      </c>
      <c r="D1164" t="s">
        <v>1717</v>
      </c>
      <c r="E1164" s="451">
        <v>46111</v>
      </c>
      <c r="F1164" s="451">
        <v>46132</v>
      </c>
      <c r="G1164" t="s">
        <v>569</v>
      </c>
      <c r="H1164" t="s">
        <v>58</v>
      </c>
      <c r="I1164" t="s">
        <v>1718</v>
      </c>
      <c r="J1164">
        <v>-2850</v>
      </c>
      <c r="K1164">
        <v>-2850</v>
      </c>
      <c r="O1164" t="s">
        <v>787</v>
      </c>
      <c r="P1164" t="s">
        <v>894</v>
      </c>
      <c r="Q1164" t="s">
        <v>461</v>
      </c>
      <c r="R1164">
        <v>0</v>
      </c>
    </row>
    <row r="1165" spans="1:18" x14ac:dyDescent="0.3">
      <c r="A1165">
        <v>208526</v>
      </c>
      <c r="B1165" t="s">
        <v>557</v>
      </c>
      <c r="C1165" t="s">
        <v>845</v>
      </c>
      <c r="D1165" t="s">
        <v>1719</v>
      </c>
      <c r="E1165" s="451">
        <v>46111</v>
      </c>
      <c r="F1165" s="451">
        <v>46132</v>
      </c>
      <c r="G1165" t="s">
        <v>577</v>
      </c>
      <c r="H1165" t="s">
        <v>846</v>
      </c>
      <c r="I1165" t="s">
        <v>1720</v>
      </c>
      <c r="J1165">
        <v>-128.4</v>
      </c>
      <c r="K1165">
        <v>-128.4</v>
      </c>
      <c r="O1165" t="s">
        <v>787</v>
      </c>
      <c r="P1165" t="s">
        <v>894</v>
      </c>
      <c r="Q1165" t="s">
        <v>461</v>
      </c>
      <c r="R1165">
        <v>0</v>
      </c>
    </row>
    <row r="1166" spans="1:18" x14ac:dyDescent="0.3">
      <c r="A1166">
        <v>210563</v>
      </c>
      <c r="B1166" t="s">
        <v>557</v>
      </c>
      <c r="C1166" t="s">
        <v>517</v>
      </c>
      <c r="D1166" t="s">
        <v>1711</v>
      </c>
      <c r="E1166" s="451">
        <v>46111</v>
      </c>
      <c r="F1166" s="451">
        <v>46136</v>
      </c>
      <c r="G1166" t="s">
        <v>563</v>
      </c>
      <c r="H1166" t="s">
        <v>46</v>
      </c>
      <c r="I1166" t="s">
        <v>1721</v>
      </c>
      <c r="J1166">
        <v>-2915.77</v>
      </c>
      <c r="K1166">
        <v>-2915.77</v>
      </c>
      <c r="O1166" t="s">
        <v>787</v>
      </c>
      <c r="P1166" t="s">
        <v>894</v>
      </c>
      <c r="Q1166" t="s">
        <v>461</v>
      </c>
      <c r="R1166">
        <v>0</v>
      </c>
    </row>
    <row r="1167" spans="1:18" x14ac:dyDescent="0.3">
      <c r="A1167">
        <v>207152</v>
      </c>
      <c r="B1167" t="s">
        <v>557</v>
      </c>
      <c r="C1167" t="s">
        <v>429</v>
      </c>
      <c r="D1167" t="s">
        <v>1722</v>
      </c>
      <c r="E1167" s="451">
        <v>46111</v>
      </c>
      <c r="F1167" s="451">
        <v>46132</v>
      </c>
      <c r="G1167" t="s">
        <v>577</v>
      </c>
      <c r="H1167" t="s">
        <v>211</v>
      </c>
      <c r="I1167" t="s">
        <v>1723</v>
      </c>
      <c r="J1167">
        <v>-6197.23</v>
      </c>
      <c r="K1167">
        <v>-6197.23</v>
      </c>
      <c r="O1167" t="s">
        <v>787</v>
      </c>
      <c r="P1167" t="s">
        <v>894</v>
      </c>
      <c r="Q1167" t="s">
        <v>461</v>
      </c>
      <c r="R1167">
        <v>0</v>
      </c>
    </row>
    <row r="1168" spans="1:18" x14ac:dyDescent="0.3">
      <c r="A1168">
        <v>208282</v>
      </c>
      <c r="B1168" t="s">
        <v>557</v>
      </c>
      <c r="C1168" t="s">
        <v>428</v>
      </c>
      <c r="D1168" t="s">
        <v>1724</v>
      </c>
      <c r="E1168" s="451">
        <v>46111</v>
      </c>
      <c r="F1168" s="451">
        <v>46132</v>
      </c>
      <c r="G1168" t="s">
        <v>577</v>
      </c>
      <c r="H1168" t="s">
        <v>206</v>
      </c>
      <c r="I1168" t="s">
        <v>1725</v>
      </c>
      <c r="J1168">
        <v>-5206.8900000000003</v>
      </c>
      <c r="K1168">
        <v>-5206.8900000000003</v>
      </c>
      <c r="O1168" t="s">
        <v>787</v>
      </c>
      <c r="P1168" t="s">
        <v>894</v>
      </c>
      <c r="Q1168" t="s">
        <v>461</v>
      </c>
      <c r="R1168">
        <v>0</v>
      </c>
    </row>
    <row r="1169" spans="1:18" x14ac:dyDescent="0.3">
      <c r="A1169">
        <v>197457</v>
      </c>
      <c r="B1169" t="s">
        <v>557</v>
      </c>
      <c r="C1169" t="s">
        <v>845</v>
      </c>
      <c r="D1169" t="s">
        <v>1711</v>
      </c>
      <c r="E1169" s="451">
        <v>46109</v>
      </c>
      <c r="F1169" s="451">
        <v>46132</v>
      </c>
      <c r="G1169" t="s">
        <v>308</v>
      </c>
      <c r="H1169" t="s">
        <v>309</v>
      </c>
      <c r="J1169">
        <v>-53.52</v>
      </c>
      <c r="K1169">
        <v>-53.52</v>
      </c>
      <c r="O1169" t="s">
        <v>787</v>
      </c>
      <c r="P1169" t="s">
        <v>894</v>
      </c>
      <c r="Q1169" t="s">
        <v>461</v>
      </c>
      <c r="R1169">
        <v>0</v>
      </c>
    </row>
    <row r="1170" spans="1:18" x14ac:dyDescent="0.3">
      <c r="A1170">
        <v>197249</v>
      </c>
      <c r="B1170" t="s">
        <v>557</v>
      </c>
      <c r="C1170" t="s">
        <v>49</v>
      </c>
      <c r="D1170" t="s">
        <v>1711</v>
      </c>
      <c r="E1170" s="451">
        <v>46109</v>
      </c>
      <c r="F1170" s="451">
        <v>46122</v>
      </c>
      <c r="G1170" t="s">
        <v>279</v>
      </c>
      <c r="H1170" t="s">
        <v>283</v>
      </c>
      <c r="I1170" t="s">
        <v>1726</v>
      </c>
      <c r="J1170">
        <v>-59.98</v>
      </c>
      <c r="K1170">
        <v>-59.98</v>
      </c>
      <c r="O1170" t="s">
        <v>787</v>
      </c>
      <c r="P1170" t="s">
        <v>894</v>
      </c>
      <c r="Q1170" t="s">
        <v>461</v>
      </c>
      <c r="R1170">
        <v>0</v>
      </c>
    </row>
    <row r="1171" spans="1:18" x14ac:dyDescent="0.3">
      <c r="A1171">
        <v>218774</v>
      </c>
      <c r="B1171" t="s">
        <v>557</v>
      </c>
      <c r="C1171" t="s">
        <v>1128</v>
      </c>
      <c r="D1171" t="s">
        <v>1727</v>
      </c>
      <c r="E1171" s="451">
        <v>46108</v>
      </c>
      <c r="F1171" s="451">
        <v>46119</v>
      </c>
      <c r="G1171" t="s">
        <v>569</v>
      </c>
      <c r="H1171" t="s">
        <v>66</v>
      </c>
      <c r="I1171" t="s">
        <v>1728</v>
      </c>
      <c r="J1171">
        <v>-167</v>
      </c>
      <c r="K1171">
        <v>-167</v>
      </c>
      <c r="O1171" t="s">
        <v>787</v>
      </c>
      <c r="P1171" t="s">
        <v>894</v>
      </c>
      <c r="Q1171" t="s">
        <v>461</v>
      </c>
      <c r="R1171">
        <v>0</v>
      </c>
    </row>
    <row r="1172" spans="1:18" x14ac:dyDescent="0.3">
      <c r="A1172">
        <v>219468</v>
      </c>
      <c r="B1172" t="s">
        <v>557</v>
      </c>
      <c r="C1172" t="s">
        <v>259</v>
      </c>
      <c r="D1172" t="s">
        <v>1729</v>
      </c>
      <c r="E1172" s="451">
        <v>46107</v>
      </c>
      <c r="F1172" s="451">
        <v>46107</v>
      </c>
      <c r="G1172" t="s">
        <v>256</v>
      </c>
      <c r="H1172" t="s">
        <v>259</v>
      </c>
      <c r="I1172" t="s">
        <v>931</v>
      </c>
      <c r="J1172">
        <v>-1611.52</v>
      </c>
      <c r="K1172">
        <v>-1611.52</v>
      </c>
      <c r="O1172" t="s">
        <v>787</v>
      </c>
      <c r="P1172" t="s">
        <v>894</v>
      </c>
      <c r="Q1172" t="s">
        <v>461</v>
      </c>
      <c r="R1172">
        <v>0</v>
      </c>
    </row>
    <row r="1173" spans="1:18" x14ac:dyDescent="0.3">
      <c r="A1173">
        <v>32314</v>
      </c>
      <c r="B1173" t="s">
        <v>557</v>
      </c>
      <c r="C1173" t="s">
        <v>259</v>
      </c>
      <c r="D1173" t="s">
        <v>1730</v>
      </c>
      <c r="E1173" s="451">
        <v>46107</v>
      </c>
      <c r="F1173" s="451">
        <v>46107</v>
      </c>
      <c r="G1173" t="s">
        <v>256</v>
      </c>
      <c r="H1173" t="s">
        <v>259</v>
      </c>
      <c r="I1173" t="s">
        <v>782</v>
      </c>
      <c r="J1173">
        <v>-416.33</v>
      </c>
      <c r="K1173">
        <v>-416.33</v>
      </c>
      <c r="O1173" t="s">
        <v>787</v>
      </c>
      <c r="P1173" t="s">
        <v>788</v>
      </c>
      <c r="Q1173" t="s">
        <v>461</v>
      </c>
      <c r="R1173">
        <v>0</v>
      </c>
    </row>
    <row r="1174" spans="1:18" x14ac:dyDescent="0.3">
      <c r="A1174">
        <v>32246</v>
      </c>
      <c r="B1174" t="s">
        <v>557</v>
      </c>
      <c r="C1174" t="s">
        <v>259</v>
      </c>
      <c r="D1174" t="s">
        <v>776</v>
      </c>
      <c r="E1174" s="451">
        <v>46107</v>
      </c>
      <c r="F1174" s="451">
        <v>46107</v>
      </c>
      <c r="G1174" t="s">
        <v>777</v>
      </c>
      <c r="H1174" t="s">
        <v>368</v>
      </c>
      <c r="I1174" t="s">
        <v>778</v>
      </c>
      <c r="J1174">
        <v>-1520.61</v>
      </c>
      <c r="K1174">
        <v>-1520.61</v>
      </c>
      <c r="O1174" t="s">
        <v>787</v>
      </c>
      <c r="P1174" t="s">
        <v>788</v>
      </c>
      <c r="Q1174" t="s">
        <v>461</v>
      </c>
      <c r="R1174">
        <v>0</v>
      </c>
    </row>
    <row r="1175" spans="1:18" x14ac:dyDescent="0.3">
      <c r="A1175">
        <v>219842</v>
      </c>
      <c r="B1175" t="s">
        <v>557</v>
      </c>
      <c r="C1175" t="s">
        <v>964</v>
      </c>
      <c r="E1175" s="451">
        <v>46105</v>
      </c>
      <c r="F1175" s="451">
        <v>46105</v>
      </c>
      <c r="G1175" t="s">
        <v>874</v>
      </c>
      <c r="H1175" t="s">
        <v>875</v>
      </c>
      <c r="J1175">
        <v>-31.33</v>
      </c>
      <c r="K1175">
        <v>-31.33</v>
      </c>
      <c r="O1175" t="s">
        <v>787</v>
      </c>
      <c r="P1175" t="s">
        <v>894</v>
      </c>
      <c r="Q1175" t="s">
        <v>461</v>
      </c>
      <c r="R1175">
        <v>0</v>
      </c>
    </row>
    <row r="1176" spans="1:18" x14ac:dyDescent="0.3">
      <c r="A1176">
        <v>211304</v>
      </c>
      <c r="B1176" t="s">
        <v>557</v>
      </c>
      <c r="C1176" t="s">
        <v>943</v>
      </c>
      <c r="D1176" t="s">
        <v>1731</v>
      </c>
      <c r="E1176" s="451">
        <v>46104</v>
      </c>
      <c r="F1176" s="451">
        <v>46114</v>
      </c>
      <c r="G1176" t="s">
        <v>576</v>
      </c>
      <c r="H1176" t="s">
        <v>203</v>
      </c>
      <c r="I1176" t="s">
        <v>1732</v>
      </c>
      <c r="J1176">
        <v>-1540</v>
      </c>
      <c r="K1176">
        <v>-1540</v>
      </c>
      <c r="O1176" t="s">
        <v>787</v>
      </c>
      <c r="P1176" t="s">
        <v>894</v>
      </c>
      <c r="Q1176" t="s">
        <v>461</v>
      </c>
      <c r="R1176">
        <v>0</v>
      </c>
    </row>
    <row r="1177" spans="1:18" x14ac:dyDescent="0.3">
      <c r="A1177">
        <v>211311</v>
      </c>
      <c r="B1177" t="s">
        <v>557</v>
      </c>
      <c r="C1177" t="s">
        <v>943</v>
      </c>
      <c r="D1177" t="s">
        <v>1733</v>
      </c>
      <c r="E1177" s="451">
        <v>46104</v>
      </c>
      <c r="F1177" s="451">
        <v>46114</v>
      </c>
      <c r="G1177" t="s">
        <v>576</v>
      </c>
      <c r="H1177" t="s">
        <v>203</v>
      </c>
      <c r="I1177" t="s">
        <v>1734</v>
      </c>
      <c r="J1177">
        <v>-946</v>
      </c>
      <c r="K1177">
        <v>-946</v>
      </c>
      <c r="O1177" t="s">
        <v>787</v>
      </c>
      <c r="P1177" t="s">
        <v>894</v>
      </c>
      <c r="Q1177" t="s">
        <v>461</v>
      </c>
      <c r="R1177">
        <v>0</v>
      </c>
    </row>
    <row r="1178" spans="1:18" x14ac:dyDescent="0.3">
      <c r="A1178">
        <v>209686</v>
      </c>
      <c r="B1178" t="s">
        <v>557</v>
      </c>
      <c r="C1178" t="s">
        <v>952</v>
      </c>
      <c r="D1178" t="s">
        <v>1735</v>
      </c>
      <c r="E1178" s="451">
        <v>46104</v>
      </c>
      <c r="F1178" s="451">
        <v>46125</v>
      </c>
      <c r="G1178" t="s">
        <v>569</v>
      </c>
      <c r="H1178" t="s">
        <v>58</v>
      </c>
      <c r="I1178" t="s">
        <v>1736</v>
      </c>
      <c r="J1178">
        <v>-1350</v>
      </c>
      <c r="K1178">
        <v>-1350</v>
      </c>
      <c r="O1178" t="s">
        <v>787</v>
      </c>
      <c r="P1178" t="s">
        <v>894</v>
      </c>
      <c r="Q1178" t="s">
        <v>461</v>
      </c>
      <c r="R1178">
        <v>0</v>
      </c>
    </row>
    <row r="1179" spans="1:18" x14ac:dyDescent="0.3">
      <c r="A1179">
        <v>221975</v>
      </c>
      <c r="B1179" t="s">
        <v>557</v>
      </c>
      <c r="C1179" t="s">
        <v>1237</v>
      </c>
      <c r="E1179" s="451">
        <v>46102</v>
      </c>
      <c r="F1179" s="451">
        <v>46103</v>
      </c>
      <c r="G1179" t="s">
        <v>279</v>
      </c>
      <c r="H1179" t="s">
        <v>284</v>
      </c>
      <c r="I1179" t="s">
        <v>1272</v>
      </c>
      <c r="J1179">
        <v>-84.93</v>
      </c>
      <c r="K1179">
        <v>-84.93</v>
      </c>
      <c r="O1179" t="s">
        <v>787</v>
      </c>
      <c r="P1179" t="s">
        <v>894</v>
      </c>
      <c r="Q1179" t="s">
        <v>461</v>
      </c>
      <c r="R1179">
        <v>0</v>
      </c>
    </row>
    <row r="1180" spans="1:18" x14ac:dyDescent="0.3">
      <c r="A1180">
        <v>221974</v>
      </c>
      <c r="B1180" t="s">
        <v>557</v>
      </c>
      <c r="C1180" t="s">
        <v>1237</v>
      </c>
      <c r="E1180" s="451">
        <v>46101</v>
      </c>
      <c r="F1180" s="451">
        <v>46102</v>
      </c>
      <c r="G1180" t="s">
        <v>279</v>
      </c>
      <c r="H1180" t="s">
        <v>284</v>
      </c>
      <c r="I1180" t="s">
        <v>1272</v>
      </c>
      <c r="J1180">
        <v>-80.760000000000005</v>
      </c>
      <c r="K1180">
        <v>-80.760000000000005</v>
      </c>
      <c r="O1180" t="s">
        <v>787</v>
      </c>
      <c r="P1180" t="s">
        <v>894</v>
      </c>
      <c r="Q1180" t="s">
        <v>461</v>
      </c>
      <c r="R1180">
        <v>0</v>
      </c>
    </row>
    <row r="1181" spans="1:18" x14ac:dyDescent="0.3">
      <c r="A1181">
        <v>219737</v>
      </c>
      <c r="B1181" t="s">
        <v>557</v>
      </c>
      <c r="C1181" t="s">
        <v>1245</v>
      </c>
      <c r="D1181" t="s">
        <v>1737</v>
      </c>
      <c r="E1181" s="451">
        <v>46101</v>
      </c>
      <c r="F1181" s="451">
        <v>46116</v>
      </c>
      <c r="G1181" t="s">
        <v>564</v>
      </c>
      <c r="H1181" t="s">
        <v>565</v>
      </c>
      <c r="I1181" t="s">
        <v>1738</v>
      </c>
      <c r="J1181">
        <v>-51.6</v>
      </c>
      <c r="K1181">
        <v>-51.6</v>
      </c>
      <c r="O1181" t="s">
        <v>787</v>
      </c>
      <c r="P1181" t="s">
        <v>894</v>
      </c>
      <c r="Q1181" t="s">
        <v>461</v>
      </c>
      <c r="R1181">
        <v>0</v>
      </c>
    </row>
    <row r="1182" spans="1:18" x14ac:dyDescent="0.3">
      <c r="A1182">
        <v>218773</v>
      </c>
      <c r="B1182" t="s">
        <v>557</v>
      </c>
      <c r="C1182" t="s">
        <v>1128</v>
      </c>
      <c r="D1182" t="s">
        <v>1739</v>
      </c>
      <c r="E1182" s="451">
        <v>46101</v>
      </c>
      <c r="F1182" s="451">
        <v>46111</v>
      </c>
      <c r="G1182" t="s">
        <v>569</v>
      </c>
      <c r="H1182" t="s">
        <v>66</v>
      </c>
      <c r="I1182" t="s">
        <v>1740</v>
      </c>
      <c r="J1182">
        <v>-167</v>
      </c>
      <c r="K1182">
        <v>-167</v>
      </c>
      <c r="O1182" t="s">
        <v>787</v>
      </c>
      <c r="P1182" t="s">
        <v>894</v>
      </c>
      <c r="Q1182" t="s">
        <v>461</v>
      </c>
      <c r="R1182">
        <v>0</v>
      </c>
    </row>
    <row r="1183" spans="1:18" x14ac:dyDescent="0.3">
      <c r="A1183">
        <v>218895</v>
      </c>
      <c r="B1183" t="s">
        <v>557</v>
      </c>
      <c r="C1183" t="s">
        <v>964</v>
      </c>
      <c r="E1183" s="451">
        <v>46101</v>
      </c>
      <c r="F1183" s="451">
        <v>46101</v>
      </c>
      <c r="G1183" t="s">
        <v>874</v>
      </c>
      <c r="H1183" t="s">
        <v>875</v>
      </c>
      <c r="J1183">
        <v>-8.33</v>
      </c>
      <c r="K1183">
        <v>-8.33</v>
      </c>
      <c r="O1183" t="s">
        <v>787</v>
      </c>
      <c r="P1183" t="s">
        <v>894</v>
      </c>
      <c r="Q1183" t="s">
        <v>461</v>
      </c>
      <c r="R1183">
        <v>0</v>
      </c>
    </row>
    <row r="1184" spans="1:18" x14ac:dyDescent="0.3">
      <c r="A1184">
        <v>224636</v>
      </c>
      <c r="B1184" t="s">
        <v>557</v>
      </c>
      <c r="C1184" t="s">
        <v>1036</v>
      </c>
      <c r="E1184" s="451">
        <v>46101</v>
      </c>
      <c r="F1184" s="451">
        <v>46101</v>
      </c>
      <c r="G1184" t="s">
        <v>874</v>
      </c>
      <c r="H1184" t="s">
        <v>875</v>
      </c>
      <c r="J1184">
        <v>-177.05</v>
      </c>
      <c r="K1184">
        <v>-177.05</v>
      </c>
      <c r="O1184" t="s">
        <v>787</v>
      </c>
      <c r="P1184" t="s">
        <v>894</v>
      </c>
      <c r="Q1184" t="s">
        <v>461</v>
      </c>
      <c r="R1184">
        <v>0</v>
      </c>
    </row>
    <row r="1185" spans="1:18" x14ac:dyDescent="0.3">
      <c r="A1185">
        <v>218644</v>
      </c>
      <c r="B1185" t="s">
        <v>557</v>
      </c>
      <c r="C1185" t="s">
        <v>964</v>
      </c>
      <c r="E1185" s="451">
        <v>46100</v>
      </c>
      <c r="F1185" s="451">
        <v>46100</v>
      </c>
      <c r="G1185" t="s">
        <v>874</v>
      </c>
      <c r="H1185" t="s">
        <v>875</v>
      </c>
      <c r="J1185">
        <v>-100.29</v>
      </c>
      <c r="K1185">
        <v>-100.29</v>
      </c>
      <c r="O1185" t="s">
        <v>787</v>
      </c>
      <c r="P1185" t="s">
        <v>894</v>
      </c>
      <c r="Q1185" t="s">
        <v>461</v>
      </c>
      <c r="R1185">
        <v>0</v>
      </c>
    </row>
    <row r="1186" spans="1:18" x14ac:dyDescent="0.3">
      <c r="A1186">
        <v>221973</v>
      </c>
      <c r="B1186" t="s">
        <v>557</v>
      </c>
      <c r="C1186" t="s">
        <v>1237</v>
      </c>
      <c r="E1186" s="451">
        <v>46100</v>
      </c>
      <c r="F1186" s="451">
        <v>46101</v>
      </c>
      <c r="G1186" t="s">
        <v>279</v>
      </c>
      <c r="H1186" t="s">
        <v>284</v>
      </c>
      <c r="I1186" t="s">
        <v>1272</v>
      </c>
      <c r="J1186">
        <v>-71.709999999999994</v>
      </c>
      <c r="K1186">
        <v>-71.709999999999994</v>
      </c>
      <c r="O1186" t="s">
        <v>787</v>
      </c>
      <c r="P1186" t="s">
        <v>894</v>
      </c>
      <c r="Q1186" t="s">
        <v>461</v>
      </c>
      <c r="R1186">
        <v>0</v>
      </c>
    </row>
    <row r="1187" spans="1:18" x14ac:dyDescent="0.3">
      <c r="A1187">
        <v>219716</v>
      </c>
      <c r="B1187" t="s">
        <v>557</v>
      </c>
      <c r="C1187" t="s">
        <v>1741</v>
      </c>
      <c r="D1187" t="s">
        <v>1742</v>
      </c>
      <c r="E1187" s="451">
        <v>46099</v>
      </c>
      <c r="F1187" s="451">
        <v>46115</v>
      </c>
      <c r="G1187" t="s">
        <v>264</v>
      </c>
      <c r="H1187" t="s">
        <v>276</v>
      </c>
      <c r="I1187" t="s">
        <v>1743</v>
      </c>
      <c r="J1187">
        <v>-600</v>
      </c>
      <c r="K1187">
        <v>-600</v>
      </c>
      <c r="O1187" t="s">
        <v>787</v>
      </c>
      <c r="P1187" t="s">
        <v>894</v>
      </c>
      <c r="Q1187" t="s">
        <v>461</v>
      </c>
      <c r="R1187">
        <v>0</v>
      </c>
    </row>
    <row r="1188" spans="1:18" x14ac:dyDescent="0.3">
      <c r="A1188">
        <v>218626</v>
      </c>
      <c r="B1188" t="s">
        <v>557</v>
      </c>
      <c r="C1188" t="s">
        <v>964</v>
      </c>
      <c r="E1188" s="451">
        <v>46099</v>
      </c>
      <c r="F1188" s="451">
        <v>46099</v>
      </c>
      <c r="G1188" t="s">
        <v>874</v>
      </c>
      <c r="H1188" t="s">
        <v>875</v>
      </c>
      <c r="J1188">
        <v>-10</v>
      </c>
      <c r="K1188">
        <v>-10</v>
      </c>
      <c r="O1188" t="s">
        <v>787</v>
      </c>
      <c r="P1188" t="s">
        <v>894</v>
      </c>
      <c r="Q1188" t="s">
        <v>461</v>
      </c>
      <c r="R1188">
        <v>0</v>
      </c>
    </row>
    <row r="1189" spans="1:18" x14ac:dyDescent="0.3">
      <c r="A1189">
        <v>221972</v>
      </c>
      <c r="B1189" t="s">
        <v>557</v>
      </c>
      <c r="C1189" t="s">
        <v>1237</v>
      </c>
      <c r="E1189" s="451">
        <v>46099</v>
      </c>
      <c r="F1189" s="451">
        <v>46100</v>
      </c>
      <c r="G1189" t="s">
        <v>279</v>
      </c>
      <c r="H1189" t="s">
        <v>284</v>
      </c>
      <c r="I1189" t="s">
        <v>1272</v>
      </c>
      <c r="J1189">
        <v>-105.99</v>
      </c>
      <c r="K1189">
        <v>-105.99</v>
      </c>
      <c r="O1189" t="s">
        <v>787</v>
      </c>
      <c r="P1189" t="s">
        <v>894</v>
      </c>
      <c r="Q1189" t="s">
        <v>461</v>
      </c>
      <c r="R1189">
        <v>0</v>
      </c>
    </row>
    <row r="1190" spans="1:18" x14ac:dyDescent="0.3">
      <c r="A1190">
        <v>221971</v>
      </c>
      <c r="B1190" t="s">
        <v>557</v>
      </c>
      <c r="C1190" t="s">
        <v>1237</v>
      </c>
      <c r="E1190" s="451">
        <v>46098</v>
      </c>
      <c r="F1190" s="451">
        <v>46099</v>
      </c>
      <c r="G1190" t="s">
        <v>279</v>
      </c>
      <c r="H1190" t="s">
        <v>284</v>
      </c>
      <c r="I1190" t="s">
        <v>1272</v>
      </c>
      <c r="J1190">
        <v>-74.23</v>
      </c>
      <c r="K1190">
        <v>-74.23</v>
      </c>
      <c r="O1190" t="s">
        <v>787</v>
      </c>
      <c r="P1190" t="s">
        <v>894</v>
      </c>
      <c r="Q1190" t="s">
        <v>461</v>
      </c>
      <c r="R1190">
        <v>0</v>
      </c>
    </row>
    <row r="1191" spans="1:18" x14ac:dyDescent="0.3">
      <c r="A1191">
        <v>217636</v>
      </c>
      <c r="B1191" t="s">
        <v>557</v>
      </c>
      <c r="C1191" t="s">
        <v>1051</v>
      </c>
      <c r="D1191" t="s">
        <v>1744</v>
      </c>
      <c r="E1191" s="451">
        <v>46098</v>
      </c>
      <c r="F1191" s="451">
        <v>46099</v>
      </c>
      <c r="G1191" t="s">
        <v>296</v>
      </c>
      <c r="H1191" t="s">
        <v>307</v>
      </c>
      <c r="I1191" t="s">
        <v>1537</v>
      </c>
      <c r="J1191">
        <v>-356.26</v>
      </c>
      <c r="K1191">
        <v>0</v>
      </c>
      <c r="O1191" t="s">
        <v>787</v>
      </c>
      <c r="P1191" t="s">
        <v>894</v>
      </c>
      <c r="Q1191" t="s">
        <v>461</v>
      </c>
      <c r="R1191">
        <v>0</v>
      </c>
    </row>
    <row r="1192" spans="1:18" x14ac:dyDescent="0.3">
      <c r="A1192">
        <v>217605</v>
      </c>
      <c r="B1192" t="s">
        <v>557</v>
      </c>
      <c r="C1192" t="s">
        <v>1051</v>
      </c>
      <c r="D1192" t="s">
        <v>1745</v>
      </c>
      <c r="E1192" s="451">
        <v>46098</v>
      </c>
      <c r="F1192" s="451">
        <v>46099</v>
      </c>
      <c r="G1192" t="s">
        <v>296</v>
      </c>
      <c r="H1192" t="s">
        <v>307</v>
      </c>
      <c r="I1192" t="s">
        <v>1537</v>
      </c>
      <c r="J1192">
        <v>-84.45</v>
      </c>
      <c r="K1192">
        <v>0</v>
      </c>
      <c r="O1192" t="s">
        <v>787</v>
      </c>
      <c r="P1192" t="s">
        <v>894</v>
      </c>
      <c r="Q1192" t="s">
        <v>461</v>
      </c>
      <c r="R1192">
        <v>0</v>
      </c>
    </row>
    <row r="1193" spans="1:18" x14ac:dyDescent="0.3">
      <c r="A1193">
        <v>218245</v>
      </c>
      <c r="B1193" t="s">
        <v>557</v>
      </c>
      <c r="C1193" t="s">
        <v>873</v>
      </c>
      <c r="E1193" s="451">
        <v>46097</v>
      </c>
      <c r="F1193" s="451">
        <v>46097</v>
      </c>
      <c r="G1193" t="s">
        <v>874</v>
      </c>
      <c r="H1193" t="s">
        <v>875</v>
      </c>
      <c r="J1193">
        <v>-2</v>
      </c>
      <c r="K1193">
        <v>-2</v>
      </c>
      <c r="O1193" t="s">
        <v>787</v>
      </c>
      <c r="P1193" t="s">
        <v>894</v>
      </c>
      <c r="Q1193" t="s">
        <v>461</v>
      </c>
      <c r="R1193">
        <v>0</v>
      </c>
    </row>
    <row r="1194" spans="1:18" x14ac:dyDescent="0.3">
      <c r="A1194">
        <v>218248</v>
      </c>
      <c r="B1194" t="s">
        <v>557</v>
      </c>
      <c r="C1194" t="s">
        <v>964</v>
      </c>
      <c r="E1194" s="451">
        <v>46097</v>
      </c>
      <c r="F1194" s="451">
        <v>46097</v>
      </c>
      <c r="G1194" t="s">
        <v>874</v>
      </c>
      <c r="H1194" t="s">
        <v>875</v>
      </c>
      <c r="J1194">
        <v>-43.96</v>
      </c>
      <c r="K1194">
        <v>-43.96</v>
      </c>
      <c r="O1194" t="s">
        <v>787</v>
      </c>
      <c r="P1194" t="s">
        <v>894</v>
      </c>
      <c r="Q1194" t="s">
        <v>461</v>
      </c>
      <c r="R1194">
        <v>0</v>
      </c>
    </row>
    <row r="1195" spans="1:18" x14ac:dyDescent="0.3">
      <c r="A1195">
        <v>211303</v>
      </c>
      <c r="B1195" t="s">
        <v>557</v>
      </c>
      <c r="C1195" t="s">
        <v>943</v>
      </c>
      <c r="D1195" t="s">
        <v>1746</v>
      </c>
      <c r="E1195" s="451">
        <v>46097</v>
      </c>
      <c r="F1195" s="451">
        <v>46107</v>
      </c>
      <c r="G1195" t="s">
        <v>576</v>
      </c>
      <c r="H1195" t="s">
        <v>203</v>
      </c>
      <c r="I1195" t="s">
        <v>1747</v>
      </c>
      <c r="J1195">
        <v>-2013</v>
      </c>
      <c r="K1195">
        <v>-2013</v>
      </c>
      <c r="O1195" t="s">
        <v>787</v>
      </c>
      <c r="P1195" t="s">
        <v>894</v>
      </c>
      <c r="Q1195" t="s">
        <v>461</v>
      </c>
      <c r="R1195">
        <v>0</v>
      </c>
    </row>
    <row r="1196" spans="1:18" x14ac:dyDescent="0.3">
      <c r="A1196">
        <v>217181</v>
      </c>
      <c r="B1196" t="s">
        <v>557</v>
      </c>
      <c r="C1196" t="s">
        <v>1280</v>
      </c>
      <c r="D1196" t="s">
        <v>961</v>
      </c>
      <c r="E1196" s="451">
        <v>46097</v>
      </c>
      <c r="F1196" s="451">
        <v>46098</v>
      </c>
      <c r="G1196" t="s">
        <v>962</v>
      </c>
      <c r="H1196" t="s">
        <v>350</v>
      </c>
      <c r="I1196" t="s">
        <v>1748</v>
      </c>
      <c r="J1196">
        <v>-360</v>
      </c>
      <c r="K1196">
        <v>-359</v>
      </c>
      <c r="O1196" t="s">
        <v>787</v>
      </c>
      <c r="P1196" t="s">
        <v>894</v>
      </c>
      <c r="Q1196" t="s">
        <v>461</v>
      </c>
      <c r="R1196">
        <v>0</v>
      </c>
    </row>
    <row r="1197" spans="1:18" x14ac:dyDescent="0.3">
      <c r="A1197">
        <v>221970</v>
      </c>
      <c r="B1197" t="s">
        <v>557</v>
      </c>
      <c r="C1197" t="s">
        <v>1237</v>
      </c>
      <c r="E1197" s="451">
        <v>46097</v>
      </c>
      <c r="F1197" s="451">
        <v>46098</v>
      </c>
      <c r="G1197" t="s">
        <v>279</v>
      </c>
      <c r="H1197" t="s">
        <v>284</v>
      </c>
      <c r="I1197" t="s">
        <v>1272</v>
      </c>
      <c r="J1197">
        <v>-33.450000000000003</v>
      </c>
      <c r="K1197">
        <v>-33.450000000000003</v>
      </c>
      <c r="O1197" t="s">
        <v>787</v>
      </c>
      <c r="P1197" t="s">
        <v>894</v>
      </c>
      <c r="Q1197" t="s">
        <v>461</v>
      </c>
      <c r="R1197">
        <v>0</v>
      </c>
    </row>
    <row r="1198" spans="1:18" x14ac:dyDescent="0.3">
      <c r="A1198">
        <v>227608</v>
      </c>
      <c r="B1198" t="s">
        <v>557</v>
      </c>
      <c r="C1198" t="s">
        <v>1749</v>
      </c>
      <c r="E1198" s="451">
        <v>46097</v>
      </c>
      <c r="F1198" s="451">
        <v>46097</v>
      </c>
      <c r="G1198" t="s">
        <v>562</v>
      </c>
      <c r="H1198" t="s">
        <v>116</v>
      </c>
      <c r="J1198">
        <v>-317.48</v>
      </c>
      <c r="K1198">
        <v>-317.48</v>
      </c>
      <c r="O1198" t="s">
        <v>787</v>
      </c>
      <c r="P1198" t="s">
        <v>894</v>
      </c>
      <c r="Q1198" t="s">
        <v>461</v>
      </c>
      <c r="R1198">
        <v>0</v>
      </c>
    </row>
    <row r="1199" spans="1:18" x14ac:dyDescent="0.3">
      <c r="A1199">
        <v>211310</v>
      </c>
      <c r="B1199" t="s">
        <v>557</v>
      </c>
      <c r="C1199" t="s">
        <v>943</v>
      </c>
      <c r="D1199" t="s">
        <v>1750</v>
      </c>
      <c r="E1199" s="451">
        <v>46097</v>
      </c>
      <c r="F1199" s="451">
        <v>46107</v>
      </c>
      <c r="G1199" t="s">
        <v>576</v>
      </c>
      <c r="H1199" t="s">
        <v>203</v>
      </c>
      <c r="I1199" t="s">
        <v>1751</v>
      </c>
      <c r="J1199">
        <v>-473</v>
      </c>
      <c r="K1199">
        <v>-473</v>
      </c>
      <c r="O1199" t="s">
        <v>787</v>
      </c>
      <c r="P1199" t="s">
        <v>894</v>
      </c>
      <c r="Q1199" t="s">
        <v>461</v>
      </c>
      <c r="R1199">
        <v>0</v>
      </c>
    </row>
    <row r="1200" spans="1:18" x14ac:dyDescent="0.3">
      <c r="A1200">
        <v>209685</v>
      </c>
      <c r="B1200" t="s">
        <v>557</v>
      </c>
      <c r="C1200" t="s">
        <v>952</v>
      </c>
      <c r="D1200" t="s">
        <v>1752</v>
      </c>
      <c r="E1200" s="451">
        <v>46097</v>
      </c>
      <c r="F1200" s="451">
        <v>46118</v>
      </c>
      <c r="G1200" t="s">
        <v>569</v>
      </c>
      <c r="H1200" t="s">
        <v>58</v>
      </c>
      <c r="I1200" t="s">
        <v>1753</v>
      </c>
      <c r="J1200">
        <v>-700</v>
      </c>
      <c r="K1200">
        <v>-700</v>
      </c>
      <c r="O1200" t="s">
        <v>787</v>
      </c>
      <c r="P1200" t="s">
        <v>894</v>
      </c>
      <c r="Q1200" t="s">
        <v>461</v>
      </c>
      <c r="R1200">
        <v>0</v>
      </c>
    </row>
    <row r="1201" spans="1:18" x14ac:dyDescent="0.3">
      <c r="A1201">
        <v>191799</v>
      </c>
      <c r="B1201" t="s">
        <v>557</v>
      </c>
      <c r="C1201" t="s">
        <v>856</v>
      </c>
      <c r="D1201" t="s">
        <v>1754</v>
      </c>
      <c r="E1201" s="451">
        <v>46096</v>
      </c>
      <c r="F1201" s="451">
        <v>46127</v>
      </c>
      <c r="G1201" t="s">
        <v>264</v>
      </c>
      <c r="H1201" t="s">
        <v>265</v>
      </c>
      <c r="I1201" t="s">
        <v>1755</v>
      </c>
      <c r="J1201">
        <v>-791.78</v>
      </c>
      <c r="K1201">
        <v>-791.78</v>
      </c>
      <c r="O1201" t="s">
        <v>787</v>
      </c>
      <c r="P1201" t="s">
        <v>894</v>
      </c>
      <c r="Q1201" t="s">
        <v>461</v>
      </c>
      <c r="R1201">
        <v>0</v>
      </c>
    </row>
    <row r="1202" spans="1:18" x14ac:dyDescent="0.3">
      <c r="A1202">
        <v>191787</v>
      </c>
      <c r="B1202" t="s">
        <v>557</v>
      </c>
      <c r="C1202" t="s">
        <v>856</v>
      </c>
      <c r="D1202" t="s">
        <v>1756</v>
      </c>
      <c r="E1202" s="451">
        <v>46096</v>
      </c>
      <c r="F1202" s="451">
        <v>46127</v>
      </c>
      <c r="G1202" t="s">
        <v>264</v>
      </c>
      <c r="H1202" t="s">
        <v>265</v>
      </c>
      <c r="I1202" t="s">
        <v>1757</v>
      </c>
      <c r="J1202">
        <v>-4631.8599999999997</v>
      </c>
      <c r="K1202">
        <v>-4631.8599999999997</v>
      </c>
      <c r="O1202" t="s">
        <v>787</v>
      </c>
      <c r="P1202" t="s">
        <v>894</v>
      </c>
      <c r="Q1202" t="s">
        <v>461</v>
      </c>
      <c r="R1202">
        <v>0</v>
      </c>
    </row>
    <row r="1203" spans="1:18" x14ac:dyDescent="0.3">
      <c r="A1203">
        <v>192151</v>
      </c>
      <c r="B1203" t="s">
        <v>557</v>
      </c>
      <c r="C1203" t="s">
        <v>858</v>
      </c>
      <c r="D1203" t="s">
        <v>1758</v>
      </c>
      <c r="E1203" s="451">
        <v>46096</v>
      </c>
      <c r="F1203" s="451">
        <v>46127</v>
      </c>
      <c r="G1203" t="s">
        <v>279</v>
      </c>
      <c r="H1203" t="s">
        <v>285</v>
      </c>
      <c r="I1203" t="s">
        <v>1759</v>
      </c>
      <c r="J1203">
        <v>-389</v>
      </c>
      <c r="K1203">
        <v>-389</v>
      </c>
      <c r="O1203" t="s">
        <v>787</v>
      </c>
      <c r="P1203" t="s">
        <v>894</v>
      </c>
      <c r="Q1203" t="s">
        <v>461</v>
      </c>
      <c r="R1203">
        <v>0</v>
      </c>
    </row>
    <row r="1204" spans="1:18" x14ac:dyDescent="0.3">
      <c r="A1204">
        <v>218358</v>
      </c>
      <c r="B1204" t="s">
        <v>557</v>
      </c>
      <c r="C1204" t="s">
        <v>1105</v>
      </c>
      <c r="E1204" s="451">
        <v>46096</v>
      </c>
      <c r="F1204" s="451">
        <v>46101</v>
      </c>
      <c r="G1204" t="s">
        <v>574</v>
      </c>
      <c r="H1204" t="s">
        <v>575</v>
      </c>
      <c r="J1204">
        <v>-1051.8</v>
      </c>
      <c r="K1204">
        <v>-1051.8</v>
      </c>
      <c r="O1204" t="s">
        <v>787</v>
      </c>
      <c r="P1204" t="s">
        <v>894</v>
      </c>
      <c r="Q1204" t="s">
        <v>461</v>
      </c>
      <c r="R1204">
        <v>0</v>
      </c>
    </row>
    <row r="1205" spans="1:18" x14ac:dyDescent="0.3">
      <c r="A1205">
        <v>218359</v>
      </c>
      <c r="B1205" t="s">
        <v>557</v>
      </c>
      <c r="C1205" t="s">
        <v>1492</v>
      </c>
      <c r="E1205" s="451">
        <v>46096</v>
      </c>
      <c r="F1205" s="451">
        <v>46101</v>
      </c>
      <c r="G1205" t="s">
        <v>574</v>
      </c>
      <c r="H1205" t="s">
        <v>575</v>
      </c>
      <c r="J1205">
        <v>-841.44</v>
      </c>
      <c r="K1205">
        <v>-841.44</v>
      </c>
      <c r="O1205" t="s">
        <v>787</v>
      </c>
      <c r="P1205" t="s">
        <v>894</v>
      </c>
      <c r="Q1205" t="s">
        <v>461</v>
      </c>
      <c r="R1205">
        <v>0</v>
      </c>
    </row>
    <row r="1206" spans="1:18" x14ac:dyDescent="0.3">
      <c r="A1206">
        <v>219478</v>
      </c>
      <c r="B1206" t="s">
        <v>557</v>
      </c>
      <c r="C1206" t="s">
        <v>259</v>
      </c>
      <c r="D1206" t="s">
        <v>1729</v>
      </c>
      <c r="E1206" s="451">
        <v>46096</v>
      </c>
      <c r="F1206" s="451">
        <v>46106</v>
      </c>
      <c r="G1206" t="s">
        <v>256</v>
      </c>
      <c r="H1206" t="s">
        <v>259</v>
      </c>
      <c r="I1206" t="s">
        <v>1545</v>
      </c>
      <c r="J1206">
        <v>-2155.4299999999998</v>
      </c>
      <c r="K1206">
        <v>-2155.4299999999998</v>
      </c>
      <c r="O1206" t="s">
        <v>787</v>
      </c>
      <c r="P1206" t="s">
        <v>894</v>
      </c>
      <c r="Q1206" t="s">
        <v>461</v>
      </c>
      <c r="R1206">
        <v>0</v>
      </c>
    </row>
    <row r="1207" spans="1:18" x14ac:dyDescent="0.3">
      <c r="A1207">
        <v>218360</v>
      </c>
      <c r="B1207" t="s">
        <v>557</v>
      </c>
      <c r="C1207" t="s">
        <v>1125</v>
      </c>
      <c r="E1207" s="451">
        <v>46096</v>
      </c>
      <c r="F1207" s="451">
        <v>46101</v>
      </c>
      <c r="G1207" t="s">
        <v>574</v>
      </c>
      <c r="H1207" t="s">
        <v>575</v>
      </c>
      <c r="J1207">
        <v>-841.44</v>
      </c>
      <c r="K1207">
        <v>-841.44</v>
      </c>
      <c r="O1207" t="s">
        <v>787</v>
      </c>
      <c r="P1207" t="s">
        <v>894</v>
      </c>
      <c r="Q1207" t="s">
        <v>461</v>
      </c>
      <c r="R1207">
        <v>0</v>
      </c>
    </row>
    <row r="1208" spans="1:18" x14ac:dyDescent="0.3">
      <c r="A1208">
        <v>218361</v>
      </c>
      <c r="B1208" t="s">
        <v>557</v>
      </c>
      <c r="C1208" t="s">
        <v>1110</v>
      </c>
      <c r="E1208" s="451">
        <v>46096</v>
      </c>
      <c r="F1208" s="451">
        <v>46101</v>
      </c>
      <c r="G1208" t="s">
        <v>574</v>
      </c>
      <c r="H1208" t="s">
        <v>575</v>
      </c>
      <c r="J1208">
        <v>-944.02</v>
      </c>
      <c r="K1208">
        <v>-944.02</v>
      </c>
      <c r="O1208" t="s">
        <v>787</v>
      </c>
      <c r="P1208" t="s">
        <v>894</v>
      </c>
      <c r="Q1208" t="s">
        <v>461</v>
      </c>
      <c r="R1208">
        <v>0</v>
      </c>
    </row>
    <row r="1209" spans="1:18" x14ac:dyDescent="0.3">
      <c r="A1209">
        <v>218362</v>
      </c>
      <c r="B1209" t="s">
        <v>557</v>
      </c>
      <c r="C1209" t="s">
        <v>1381</v>
      </c>
      <c r="E1209" s="451">
        <v>46096</v>
      </c>
      <c r="F1209" s="451">
        <v>46101</v>
      </c>
      <c r="G1209" t="s">
        <v>574</v>
      </c>
      <c r="H1209" t="s">
        <v>575</v>
      </c>
      <c r="J1209">
        <v>-1027.57</v>
      </c>
      <c r="K1209">
        <v>-1027.57</v>
      </c>
      <c r="O1209" t="s">
        <v>787</v>
      </c>
      <c r="P1209" t="s">
        <v>894</v>
      </c>
      <c r="Q1209" t="s">
        <v>461</v>
      </c>
      <c r="R1209">
        <v>0</v>
      </c>
    </row>
    <row r="1210" spans="1:18" x14ac:dyDescent="0.3">
      <c r="A1210">
        <v>218364</v>
      </c>
      <c r="B1210" t="s">
        <v>557</v>
      </c>
      <c r="C1210" t="s">
        <v>968</v>
      </c>
      <c r="E1210" s="451">
        <v>46096</v>
      </c>
      <c r="F1210" s="451">
        <v>46101</v>
      </c>
      <c r="G1210" t="s">
        <v>574</v>
      </c>
      <c r="H1210" t="s">
        <v>575</v>
      </c>
      <c r="J1210">
        <v>-1027.57</v>
      </c>
      <c r="K1210">
        <v>-1027.57</v>
      </c>
      <c r="O1210" t="s">
        <v>787</v>
      </c>
      <c r="P1210" t="s">
        <v>894</v>
      </c>
      <c r="Q1210" t="s">
        <v>461</v>
      </c>
      <c r="R1210">
        <v>0</v>
      </c>
    </row>
    <row r="1211" spans="1:18" x14ac:dyDescent="0.3">
      <c r="A1211">
        <v>218365</v>
      </c>
      <c r="B1211" t="s">
        <v>557</v>
      </c>
      <c r="C1211" t="s">
        <v>1104</v>
      </c>
      <c r="E1211" s="451">
        <v>46096</v>
      </c>
      <c r="F1211" s="451">
        <v>46101</v>
      </c>
      <c r="G1211" t="s">
        <v>574</v>
      </c>
      <c r="H1211" t="s">
        <v>575</v>
      </c>
      <c r="J1211">
        <v>-829.13</v>
      </c>
      <c r="K1211">
        <v>-829.13</v>
      </c>
      <c r="O1211" t="s">
        <v>787</v>
      </c>
      <c r="P1211" t="s">
        <v>894</v>
      </c>
      <c r="Q1211" t="s">
        <v>461</v>
      </c>
      <c r="R1211">
        <v>0</v>
      </c>
    </row>
    <row r="1212" spans="1:18" x14ac:dyDescent="0.3">
      <c r="A1212">
        <v>218366</v>
      </c>
      <c r="B1212" t="s">
        <v>557</v>
      </c>
      <c r="C1212" t="s">
        <v>1106</v>
      </c>
      <c r="E1212" s="451">
        <v>46096</v>
      </c>
      <c r="F1212" s="451">
        <v>46101</v>
      </c>
      <c r="G1212" t="s">
        <v>574</v>
      </c>
      <c r="H1212" t="s">
        <v>575</v>
      </c>
      <c r="J1212">
        <v>-841.44</v>
      </c>
      <c r="K1212">
        <v>-841.44</v>
      </c>
      <c r="O1212" t="s">
        <v>787</v>
      </c>
      <c r="P1212" t="s">
        <v>894</v>
      </c>
      <c r="Q1212" t="s">
        <v>461</v>
      </c>
      <c r="R1212">
        <v>0</v>
      </c>
    </row>
    <row r="1213" spans="1:18" x14ac:dyDescent="0.3">
      <c r="A1213">
        <v>218367</v>
      </c>
      <c r="B1213" t="s">
        <v>557</v>
      </c>
      <c r="C1213" t="s">
        <v>891</v>
      </c>
      <c r="E1213" s="451">
        <v>46096</v>
      </c>
      <c r="F1213" s="451">
        <v>46101</v>
      </c>
      <c r="G1213" t="s">
        <v>574</v>
      </c>
      <c r="H1213" t="s">
        <v>575</v>
      </c>
      <c r="J1213">
        <v>-1112.8</v>
      </c>
      <c r="K1213">
        <v>-1112.8</v>
      </c>
      <c r="O1213" t="s">
        <v>787</v>
      </c>
      <c r="P1213" t="s">
        <v>894</v>
      </c>
      <c r="Q1213" t="s">
        <v>461</v>
      </c>
      <c r="R1213">
        <v>0</v>
      </c>
    </row>
    <row r="1214" spans="1:18" x14ac:dyDescent="0.3">
      <c r="A1214">
        <v>218368</v>
      </c>
      <c r="B1214" t="s">
        <v>557</v>
      </c>
      <c r="C1214" t="s">
        <v>1113</v>
      </c>
      <c r="E1214" s="451">
        <v>46096</v>
      </c>
      <c r="F1214" s="451">
        <v>46101</v>
      </c>
      <c r="G1214" t="s">
        <v>574</v>
      </c>
      <c r="H1214" t="s">
        <v>575</v>
      </c>
      <c r="J1214">
        <v>-967.66</v>
      </c>
      <c r="K1214">
        <v>-967.66</v>
      </c>
      <c r="O1214" t="s">
        <v>787</v>
      </c>
      <c r="P1214" t="s">
        <v>894</v>
      </c>
      <c r="Q1214" t="s">
        <v>461</v>
      </c>
      <c r="R1214">
        <v>0</v>
      </c>
    </row>
    <row r="1215" spans="1:18" x14ac:dyDescent="0.3">
      <c r="A1215">
        <v>218369</v>
      </c>
      <c r="B1215" t="s">
        <v>557</v>
      </c>
      <c r="C1215" t="s">
        <v>970</v>
      </c>
      <c r="E1215" s="451">
        <v>46096</v>
      </c>
      <c r="F1215" s="451">
        <v>46101</v>
      </c>
      <c r="G1215" t="s">
        <v>574</v>
      </c>
      <c r="H1215" t="s">
        <v>575</v>
      </c>
      <c r="J1215">
        <v>-725.35</v>
      </c>
      <c r="K1215">
        <v>-725.35</v>
      </c>
      <c r="O1215" t="s">
        <v>787</v>
      </c>
      <c r="P1215" t="s">
        <v>894</v>
      </c>
      <c r="Q1215" t="s">
        <v>461</v>
      </c>
      <c r="R1215">
        <v>0</v>
      </c>
    </row>
    <row r="1216" spans="1:18" x14ac:dyDescent="0.3">
      <c r="A1216">
        <v>221969</v>
      </c>
      <c r="B1216" t="s">
        <v>557</v>
      </c>
      <c r="C1216" t="s">
        <v>1237</v>
      </c>
      <c r="E1216" s="451">
        <v>46096</v>
      </c>
      <c r="F1216" s="451">
        <v>46097</v>
      </c>
      <c r="G1216" t="s">
        <v>279</v>
      </c>
      <c r="H1216" t="s">
        <v>284</v>
      </c>
      <c r="I1216" t="s">
        <v>1272</v>
      </c>
      <c r="J1216">
        <v>-177.93</v>
      </c>
      <c r="K1216">
        <v>-177.93</v>
      </c>
      <c r="O1216" t="s">
        <v>787</v>
      </c>
      <c r="P1216" t="s">
        <v>894</v>
      </c>
      <c r="Q1216" t="s">
        <v>461</v>
      </c>
      <c r="R1216">
        <v>0</v>
      </c>
    </row>
    <row r="1217" spans="1:18" x14ac:dyDescent="0.3">
      <c r="A1217">
        <v>218363</v>
      </c>
      <c r="B1217" t="s">
        <v>557</v>
      </c>
      <c r="C1217" t="s">
        <v>1116</v>
      </c>
      <c r="E1217" s="451">
        <v>46096</v>
      </c>
      <c r="F1217" s="451">
        <v>46101</v>
      </c>
      <c r="G1217" t="s">
        <v>574</v>
      </c>
      <c r="H1217" t="s">
        <v>575</v>
      </c>
      <c r="J1217">
        <v>-944.02</v>
      </c>
      <c r="K1217">
        <v>-944.02</v>
      </c>
      <c r="O1217" t="s">
        <v>787</v>
      </c>
      <c r="P1217" t="s">
        <v>894</v>
      </c>
      <c r="Q1217" t="s">
        <v>461</v>
      </c>
      <c r="R1217">
        <v>0</v>
      </c>
    </row>
    <row r="1218" spans="1:18" x14ac:dyDescent="0.3">
      <c r="A1218">
        <v>221968</v>
      </c>
      <c r="B1218" t="s">
        <v>557</v>
      </c>
      <c r="C1218" t="s">
        <v>1237</v>
      </c>
      <c r="E1218" s="451">
        <v>46095</v>
      </c>
      <c r="F1218" s="451">
        <v>46096</v>
      </c>
      <c r="G1218" t="s">
        <v>279</v>
      </c>
      <c r="H1218" t="s">
        <v>284</v>
      </c>
      <c r="I1218" t="s">
        <v>1272</v>
      </c>
      <c r="J1218">
        <v>-250.97</v>
      </c>
      <c r="K1218">
        <v>-250.97</v>
      </c>
      <c r="O1218" t="s">
        <v>787</v>
      </c>
      <c r="P1218" t="s">
        <v>894</v>
      </c>
      <c r="Q1218" t="s">
        <v>461</v>
      </c>
      <c r="R1218">
        <v>0</v>
      </c>
    </row>
    <row r="1219" spans="1:18" x14ac:dyDescent="0.3">
      <c r="A1219">
        <v>221967</v>
      </c>
      <c r="B1219" t="s">
        <v>557</v>
      </c>
      <c r="C1219" t="s">
        <v>1237</v>
      </c>
      <c r="E1219" s="451">
        <v>46094</v>
      </c>
      <c r="F1219" s="451">
        <v>46095</v>
      </c>
      <c r="G1219" t="s">
        <v>279</v>
      </c>
      <c r="H1219" t="s">
        <v>284</v>
      </c>
      <c r="I1219" t="s">
        <v>1272</v>
      </c>
      <c r="J1219">
        <v>-58.24</v>
      </c>
      <c r="K1219">
        <v>-58.24</v>
      </c>
      <c r="O1219" t="s">
        <v>787</v>
      </c>
      <c r="P1219" t="s">
        <v>894</v>
      </c>
      <c r="Q1219" t="s">
        <v>461</v>
      </c>
      <c r="R1219">
        <v>0</v>
      </c>
    </row>
    <row r="1220" spans="1:18" x14ac:dyDescent="0.3">
      <c r="A1220">
        <v>218247</v>
      </c>
      <c r="B1220" t="s">
        <v>557</v>
      </c>
      <c r="C1220" t="s">
        <v>964</v>
      </c>
      <c r="E1220" s="451">
        <v>46094</v>
      </c>
      <c r="F1220" s="451">
        <v>46094</v>
      </c>
      <c r="G1220" t="s">
        <v>874</v>
      </c>
      <c r="H1220" t="s">
        <v>875</v>
      </c>
      <c r="J1220">
        <v>-9.82</v>
      </c>
      <c r="K1220">
        <v>-9.82</v>
      </c>
      <c r="O1220" t="s">
        <v>787</v>
      </c>
      <c r="P1220" t="s">
        <v>894</v>
      </c>
      <c r="Q1220" t="s">
        <v>461</v>
      </c>
      <c r="R1220">
        <v>0</v>
      </c>
    </row>
    <row r="1221" spans="1:18" x14ac:dyDescent="0.3">
      <c r="A1221">
        <v>221966</v>
      </c>
      <c r="B1221" t="s">
        <v>557</v>
      </c>
      <c r="C1221" t="s">
        <v>1237</v>
      </c>
      <c r="E1221" s="451">
        <v>46093</v>
      </c>
      <c r="F1221" s="451">
        <v>46094</v>
      </c>
      <c r="G1221" t="s">
        <v>279</v>
      </c>
      <c r="H1221" t="s">
        <v>284</v>
      </c>
      <c r="I1221" t="s">
        <v>1272</v>
      </c>
      <c r="J1221">
        <v>-59.89</v>
      </c>
      <c r="K1221">
        <v>-59.89</v>
      </c>
      <c r="O1221" t="s">
        <v>787</v>
      </c>
      <c r="P1221" t="s">
        <v>894</v>
      </c>
      <c r="Q1221" t="s">
        <v>461</v>
      </c>
      <c r="R1221">
        <v>0</v>
      </c>
    </row>
    <row r="1222" spans="1:18" x14ac:dyDescent="0.3">
      <c r="A1222">
        <v>216141</v>
      </c>
      <c r="B1222" t="s">
        <v>557</v>
      </c>
      <c r="C1222" t="s">
        <v>898</v>
      </c>
      <c r="D1222" t="s">
        <v>1027</v>
      </c>
      <c r="E1222" s="451">
        <v>46093</v>
      </c>
      <c r="F1222" s="451">
        <v>46106</v>
      </c>
      <c r="G1222" t="s">
        <v>279</v>
      </c>
      <c r="H1222" t="s">
        <v>280</v>
      </c>
      <c r="I1222" t="s">
        <v>1760</v>
      </c>
      <c r="J1222">
        <v>-199.95</v>
      </c>
      <c r="K1222">
        <v>0</v>
      </c>
      <c r="O1222" t="s">
        <v>787</v>
      </c>
      <c r="P1222" t="s">
        <v>894</v>
      </c>
      <c r="Q1222" t="s">
        <v>461</v>
      </c>
      <c r="R1222">
        <v>0</v>
      </c>
    </row>
    <row r="1223" spans="1:18" x14ac:dyDescent="0.3">
      <c r="A1223">
        <v>221965</v>
      </c>
      <c r="B1223" t="s">
        <v>557</v>
      </c>
      <c r="C1223" t="s">
        <v>1237</v>
      </c>
      <c r="E1223" s="451">
        <v>46092</v>
      </c>
      <c r="F1223" s="451">
        <v>46093</v>
      </c>
      <c r="G1223" t="s">
        <v>279</v>
      </c>
      <c r="H1223" t="s">
        <v>284</v>
      </c>
      <c r="I1223" t="s">
        <v>1272</v>
      </c>
      <c r="J1223">
        <v>-37.090000000000003</v>
      </c>
      <c r="K1223">
        <v>-37.090000000000003</v>
      </c>
      <c r="O1223" t="s">
        <v>787</v>
      </c>
      <c r="P1223" t="s">
        <v>894</v>
      </c>
      <c r="Q1223" t="s">
        <v>461</v>
      </c>
      <c r="R1223">
        <v>0</v>
      </c>
    </row>
    <row r="1224" spans="1:18" x14ac:dyDescent="0.3">
      <c r="A1224">
        <v>191992</v>
      </c>
      <c r="B1224" t="s">
        <v>557</v>
      </c>
      <c r="C1224" t="s">
        <v>861</v>
      </c>
      <c r="D1224" t="s">
        <v>1761</v>
      </c>
      <c r="E1224" s="451">
        <v>46092</v>
      </c>
      <c r="F1224" s="451">
        <v>46122</v>
      </c>
      <c r="G1224" t="s">
        <v>256</v>
      </c>
      <c r="H1224" t="s">
        <v>257</v>
      </c>
      <c r="I1224" t="s">
        <v>1762</v>
      </c>
      <c r="J1224">
        <v>-22701.55</v>
      </c>
      <c r="K1224">
        <v>-18701.55</v>
      </c>
      <c r="O1224" t="s">
        <v>787</v>
      </c>
      <c r="P1224" t="s">
        <v>894</v>
      </c>
      <c r="Q1224" t="s">
        <v>461</v>
      </c>
      <c r="R1224">
        <v>0</v>
      </c>
    </row>
    <row r="1225" spans="1:18" x14ac:dyDescent="0.3">
      <c r="A1225">
        <v>192005</v>
      </c>
      <c r="B1225" t="s">
        <v>557</v>
      </c>
      <c r="C1225" t="s">
        <v>863</v>
      </c>
      <c r="D1225" t="s">
        <v>1761</v>
      </c>
      <c r="E1225" s="451">
        <v>46091</v>
      </c>
      <c r="F1225" s="451">
        <v>46111</v>
      </c>
      <c r="G1225" t="s">
        <v>256</v>
      </c>
      <c r="H1225" t="s">
        <v>257</v>
      </c>
      <c r="I1225" t="s">
        <v>1763</v>
      </c>
      <c r="J1225">
        <v>-29238</v>
      </c>
      <c r="K1225">
        <v>-29238</v>
      </c>
      <c r="O1225" t="s">
        <v>787</v>
      </c>
      <c r="P1225" t="s">
        <v>894</v>
      </c>
      <c r="Q1225" t="s">
        <v>461</v>
      </c>
      <c r="R1225">
        <v>0</v>
      </c>
    </row>
    <row r="1226" spans="1:18" x14ac:dyDescent="0.3">
      <c r="A1226">
        <v>221964</v>
      </c>
      <c r="B1226" t="s">
        <v>557</v>
      </c>
      <c r="C1226" t="s">
        <v>1237</v>
      </c>
      <c r="E1226" s="451">
        <v>46091</v>
      </c>
      <c r="F1226" s="451">
        <v>46092</v>
      </c>
      <c r="G1226" t="s">
        <v>279</v>
      </c>
      <c r="H1226" t="s">
        <v>284</v>
      </c>
      <c r="I1226" t="s">
        <v>1272</v>
      </c>
      <c r="J1226">
        <v>-31.7</v>
      </c>
      <c r="K1226">
        <v>-31.7</v>
      </c>
      <c r="O1226" t="s">
        <v>787</v>
      </c>
      <c r="P1226" t="s">
        <v>894</v>
      </c>
      <c r="Q1226" t="s">
        <v>461</v>
      </c>
      <c r="R1226">
        <v>0</v>
      </c>
    </row>
    <row r="1227" spans="1:18" x14ac:dyDescent="0.3">
      <c r="A1227">
        <v>215814</v>
      </c>
      <c r="B1227" t="s">
        <v>557</v>
      </c>
      <c r="C1227" t="s">
        <v>964</v>
      </c>
      <c r="E1227" s="451">
        <v>46091</v>
      </c>
      <c r="F1227" s="451">
        <v>46091</v>
      </c>
      <c r="G1227" t="s">
        <v>874</v>
      </c>
      <c r="H1227" t="s">
        <v>875</v>
      </c>
      <c r="J1227">
        <v>-62.45</v>
      </c>
      <c r="K1227">
        <v>-62.45</v>
      </c>
      <c r="O1227" t="s">
        <v>787</v>
      </c>
      <c r="P1227" t="s">
        <v>894</v>
      </c>
      <c r="Q1227" t="s">
        <v>461</v>
      </c>
      <c r="R1227">
        <v>0</v>
      </c>
    </row>
    <row r="1228" spans="1:18" x14ac:dyDescent="0.3">
      <c r="A1228">
        <v>211302</v>
      </c>
      <c r="B1228" t="s">
        <v>557</v>
      </c>
      <c r="C1228" t="s">
        <v>943</v>
      </c>
      <c r="D1228" t="s">
        <v>1764</v>
      </c>
      <c r="E1228" s="451">
        <v>46090</v>
      </c>
      <c r="F1228" s="451">
        <v>46100</v>
      </c>
      <c r="G1228" t="s">
        <v>576</v>
      </c>
      <c r="H1228" t="s">
        <v>203</v>
      </c>
      <c r="I1228" t="s">
        <v>1765</v>
      </c>
      <c r="J1228">
        <v>-968</v>
      </c>
      <c r="K1228">
        <v>-968</v>
      </c>
      <c r="O1228" t="s">
        <v>787</v>
      </c>
      <c r="P1228" t="s">
        <v>894</v>
      </c>
      <c r="Q1228" t="s">
        <v>461</v>
      </c>
      <c r="R1228">
        <v>0</v>
      </c>
    </row>
    <row r="1229" spans="1:18" x14ac:dyDescent="0.3">
      <c r="A1229">
        <v>221963</v>
      </c>
      <c r="B1229" t="s">
        <v>557</v>
      </c>
      <c r="C1229" t="s">
        <v>1237</v>
      </c>
      <c r="E1229" s="451">
        <v>46090</v>
      </c>
      <c r="F1229" s="451">
        <v>46091</v>
      </c>
      <c r="G1229" t="s">
        <v>279</v>
      </c>
      <c r="H1229" t="s">
        <v>284</v>
      </c>
      <c r="I1229" t="s">
        <v>1272</v>
      </c>
      <c r="J1229">
        <v>-39.58</v>
      </c>
      <c r="K1229">
        <v>-39.58</v>
      </c>
      <c r="O1229" t="s">
        <v>787</v>
      </c>
      <c r="P1229" t="s">
        <v>894</v>
      </c>
      <c r="Q1229" t="s">
        <v>461</v>
      </c>
      <c r="R1229">
        <v>0</v>
      </c>
    </row>
    <row r="1230" spans="1:18" x14ac:dyDescent="0.3">
      <c r="A1230">
        <v>211309</v>
      </c>
      <c r="B1230" t="s">
        <v>557</v>
      </c>
      <c r="C1230" t="s">
        <v>943</v>
      </c>
      <c r="D1230" t="s">
        <v>1766</v>
      </c>
      <c r="E1230" s="451">
        <v>46090</v>
      </c>
      <c r="F1230" s="451">
        <v>46100</v>
      </c>
      <c r="G1230" t="s">
        <v>576</v>
      </c>
      <c r="H1230" t="s">
        <v>203</v>
      </c>
      <c r="I1230" t="s">
        <v>1767</v>
      </c>
      <c r="J1230">
        <v>-836</v>
      </c>
      <c r="K1230">
        <v>-836</v>
      </c>
      <c r="O1230" t="s">
        <v>787</v>
      </c>
      <c r="P1230" t="s">
        <v>894</v>
      </c>
      <c r="Q1230" t="s">
        <v>461</v>
      </c>
      <c r="R1230">
        <v>0</v>
      </c>
    </row>
    <row r="1231" spans="1:18" x14ac:dyDescent="0.3">
      <c r="A1231">
        <v>209684</v>
      </c>
      <c r="B1231" t="s">
        <v>557</v>
      </c>
      <c r="C1231" t="s">
        <v>952</v>
      </c>
      <c r="D1231" t="s">
        <v>1768</v>
      </c>
      <c r="E1231" s="451">
        <v>46090</v>
      </c>
      <c r="F1231" s="451">
        <v>46111</v>
      </c>
      <c r="G1231" t="s">
        <v>569</v>
      </c>
      <c r="H1231" t="s">
        <v>58</v>
      </c>
      <c r="I1231" t="s">
        <v>1769</v>
      </c>
      <c r="J1231">
        <v>-700</v>
      </c>
      <c r="K1231">
        <v>-700</v>
      </c>
      <c r="O1231" t="s">
        <v>787</v>
      </c>
      <c r="P1231" t="s">
        <v>894</v>
      </c>
      <c r="Q1231" t="s">
        <v>461</v>
      </c>
      <c r="R1231">
        <v>0</v>
      </c>
    </row>
    <row r="1232" spans="1:18" x14ac:dyDescent="0.3">
      <c r="A1232">
        <v>221962</v>
      </c>
      <c r="B1232" t="s">
        <v>557</v>
      </c>
      <c r="C1232" t="s">
        <v>1237</v>
      </c>
      <c r="E1232" s="451">
        <v>46089</v>
      </c>
      <c r="F1232" s="451">
        <v>46090</v>
      </c>
      <c r="G1232" t="s">
        <v>279</v>
      </c>
      <c r="H1232" t="s">
        <v>284</v>
      </c>
      <c r="I1232" t="s">
        <v>1272</v>
      </c>
      <c r="J1232">
        <v>-92.12</v>
      </c>
      <c r="K1232">
        <v>-92.12</v>
      </c>
      <c r="O1232" t="s">
        <v>787</v>
      </c>
      <c r="P1232" t="s">
        <v>894</v>
      </c>
      <c r="Q1232" t="s">
        <v>461</v>
      </c>
      <c r="R1232">
        <v>0</v>
      </c>
    </row>
    <row r="1233" spans="1:18" x14ac:dyDescent="0.3">
      <c r="A1233">
        <v>221961</v>
      </c>
      <c r="B1233" t="s">
        <v>557</v>
      </c>
      <c r="C1233" t="s">
        <v>1237</v>
      </c>
      <c r="E1233" s="451">
        <v>46088</v>
      </c>
      <c r="F1233" s="451">
        <v>46089</v>
      </c>
      <c r="G1233" t="s">
        <v>279</v>
      </c>
      <c r="H1233" t="s">
        <v>284</v>
      </c>
      <c r="I1233" t="s">
        <v>1272</v>
      </c>
      <c r="J1233">
        <v>-238.83</v>
      </c>
      <c r="K1233">
        <v>-238.83</v>
      </c>
      <c r="O1233" t="s">
        <v>787</v>
      </c>
      <c r="P1233" t="s">
        <v>894</v>
      </c>
      <c r="Q1233" t="s">
        <v>461</v>
      </c>
      <c r="R1233">
        <v>0</v>
      </c>
    </row>
    <row r="1234" spans="1:18" x14ac:dyDescent="0.3">
      <c r="A1234">
        <v>221960</v>
      </c>
      <c r="B1234" t="s">
        <v>557</v>
      </c>
      <c r="C1234" t="s">
        <v>1237</v>
      </c>
      <c r="E1234" s="451">
        <v>46087</v>
      </c>
      <c r="F1234" s="451">
        <v>46088</v>
      </c>
      <c r="G1234" t="s">
        <v>279</v>
      </c>
      <c r="H1234" t="s">
        <v>284</v>
      </c>
      <c r="I1234" t="s">
        <v>1272</v>
      </c>
      <c r="J1234">
        <v>-49.01</v>
      </c>
      <c r="K1234">
        <v>-49.01</v>
      </c>
      <c r="O1234" t="s">
        <v>787</v>
      </c>
      <c r="P1234" t="s">
        <v>894</v>
      </c>
      <c r="Q1234" t="s">
        <v>461</v>
      </c>
      <c r="R1234">
        <v>0</v>
      </c>
    </row>
    <row r="1235" spans="1:18" x14ac:dyDescent="0.3">
      <c r="A1235">
        <v>215319</v>
      </c>
      <c r="B1235" t="s">
        <v>557</v>
      </c>
      <c r="C1235" t="s">
        <v>964</v>
      </c>
      <c r="E1235" s="451">
        <v>46087</v>
      </c>
      <c r="F1235" s="451">
        <v>46087</v>
      </c>
      <c r="G1235" t="s">
        <v>874</v>
      </c>
      <c r="H1235" t="s">
        <v>875</v>
      </c>
      <c r="J1235">
        <v>-20</v>
      </c>
      <c r="K1235">
        <v>-20</v>
      </c>
      <c r="O1235" t="s">
        <v>787</v>
      </c>
      <c r="P1235" t="s">
        <v>894</v>
      </c>
      <c r="Q1235" t="s">
        <v>461</v>
      </c>
      <c r="R1235">
        <v>0</v>
      </c>
    </row>
    <row r="1236" spans="1:18" x14ac:dyDescent="0.3">
      <c r="A1236">
        <v>221184</v>
      </c>
      <c r="B1236" t="s">
        <v>557</v>
      </c>
      <c r="C1236" t="s">
        <v>964</v>
      </c>
      <c r="E1236" s="451">
        <v>46086</v>
      </c>
      <c r="F1236" s="451">
        <v>46086</v>
      </c>
      <c r="G1236" t="s">
        <v>874</v>
      </c>
      <c r="H1236" t="s">
        <v>875</v>
      </c>
      <c r="J1236">
        <v>-60</v>
      </c>
      <c r="K1236">
        <v>-60</v>
      </c>
      <c r="O1236" t="s">
        <v>787</v>
      </c>
      <c r="P1236" t="s">
        <v>894</v>
      </c>
      <c r="Q1236" t="s">
        <v>461</v>
      </c>
      <c r="R1236">
        <v>0</v>
      </c>
    </row>
    <row r="1237" spans="1:18" x14ac:dyDescent="0.3">
      <c r="A1237">
        <v>221959</v>
      </c>
      <c r="B1237" t="s">
        <v>557</v>
      </c>
      <c r="C1237" t="s">
        <v>1237</v>
      </c>
      <c r="E1237" s="451">
        <v>46086</v>
      </c>
      <c r="F1237" s="451">
        <v>46087</v>
      </c>
      <c r="G1237" t="s">
        <v>279</v>
      </c>
      <c r="H1237" t="s">
        <v>284</v>
      </c>
      <c r="I1237" t="s">
        <v>1272</v>
      </c>
      <c r="J1237">
        <v>-83.14</v>
      </c>
      <c r="K1237">
        <v>-83.14</v>
      </c>
      <c r="O1237" t="s">
        <v>787</v>
      </c>
      <c r="P1237" t="s">
        <v>894</v>
      </c>
      <c r="Q1237" t="s">
        <v>461</v>
      </c>
      <c r="R1237">
        <v>0</v>
      </c>
    </row>
    <row r="1238" spans="1:18" x14ac:dyDescent="0.3">
      <c r="A1238">
        <v>192627</v>
      </c>
      <c r="B1238" t="s">
        <v>557</v>
      </c>
      <c r="C1238" t="s">
        <v>1128</v>
      </c>
      <c r="D1238" t="s">
        <v>1770</v>
      </c>
      <c r="E1238" s="451">
        <v>46086</v>
      </c>
      <c r="F1238" s="451">
        <v>46104</v>
      </c>
      <c r="G1238" t="s">
        <v>569</v>
      </c>
      <c r="H1238" t="s">
        <v>66</v>
      </c>
      <c r="I1238" t="s">
        <v>1771</v>
      </c>
      <c r="J1238">
        <v>-167</v>
      </c>
      <c r="K1238">
        <v>-167</v>
      </c>
      <c r="O1238" t="s">
        <v>787</v>
      </c>
      <c r="P1238" t="s">
        <v>894</v>
      </c>
      <c r="Q1238" t="s">
        <v>461</v>
      </c>
      <c r="R1238">
        <v>0</v>
      </c>
    </row>
    <row r="1239" spans="1:18" x14ac:dyDescent="0.3">
      <c r="A1239">
        <v>221958</v>
      </c>
      <c r="B1239" t="s">
        <v>557</v>
      </c>
      <c r="C1239" t="s">
        <v>1237</v>
      </c>
      <c r="E1239" s="451">
        <v>46085</v>
      </c>
      <c r="F1239" s="451">
        <v>46086</v>
      </c>
      <c r="G1239" t="s">
        <v>279</v>
      </c>
      <c r="H1239" t="s">
        <v>284</v>
      </c>
      <c r="I1239" t="s">
        <v>1272</v>
      </c>
      <c r="J1239">
        <v>-63.08</v>
      </c>
      <c r="K1239">
        <v>-63.08</v>
      </c>
      <c r="O1239" t="s">
        <v>787</v>
      </c>
      <c r="P1239" t="s">
        <v>894</v>
      </c>
      <c r="Q1239" t="s">
        <v>461</v>
      </c>
      <c r="R1239">
        <v>0</v>
      </c>
    </row>
    <row r="1240" spans="1:18" x14ac:dyDescent="0.3">
      <c r="A1240">
        <v>221957</v>
      </c>
      <c r="B1240" t="s">
        <v>557</v>
      </c>
      <c r="C1240" t="s">
        <v>1237</v>
      </c>
      <c r="E1240" s="451">
        <v>46084</v>
      </c>
      <c r="F1240" s="451">
        <v>46085</v>
      </c>
      <c r="G1240" t="s">
        <v>279</v>
      </c>
      <c r="H1240" t="s">
        <v>284</v>
      </c>
      <c r="I1240" t="s">
        <v>1272</v>
      </c>
      <c r="J1240">
        <v>-70.03</v>
      </c>
      <c r="K1240">
        <v>-70.03</v>
      </c>
      <c r="O1240" t="s">
        <v>787</v>
      </c>
      <c r="P1240" t="s">
        <v>894</v>
      </c>
      <c r="Q1240" t="s">
        <v>461</v>
      </c>
      <c r="R1240">
        <v>0</v>
      </c>
    </row>
    <row r="1241" spans="1:18" x14ac:dyDescent="0.3">
      <c r="A1241">
        <v>221956</v>
      </c>
      <c r="B1241" t="s">
        <v>557</v>
      </c>
      <c r="C1241" t="s">
        <v>1237</v>
      </c>
      <c r="E1241" s="451">
        <v>46083</v>
      </c>
      <c r="F1241" s="451">
        <v>46084</v>
      </c>
      <c r="G1241" t="s">
        <v>279</v>
      </c>
      <c r="H1241" t="s">
        <v>284</v>
      </c>
      <c r="I1241" t="s">
        <v>1272</v>
      </c>
      <c r="J1241">
        <v>-0.7</v>
      </c>
      <c r="K1241">
        <v>-0.7</v>
      </c>
      <c r="O1241" t="s">
        <v>787</v>
      </c>
      <c r="P1241" t="s">
        <v>894</v>
      </c>
      <c r="Q1241" t="s">
        <v>461</v>
      </c>
      <c r="R1241">
        <v>0</v>
      </c>
    </row>
    <row r="1242" spans="1:18" x14ac:dyDescent="0.3">
      <c r="A1242">
        <v>221955</v>
      </c>
      <c r="B1242" t="s">
        <v>557</v>
      </c>
      <c r="C1242" t="s">
        <v>1237</v>
      </c>
      <c r="E1242" s="451">
        <v>46083</v>
      </c>
      <c r="F1242" s="451">
        <v>46084</v>
      </c>
      <c r="G1242" t="s">
        <v>279</v>
      </c>
      <c r="H1242" t="s">
        <v>284</v>
      </c>
      <c r="I1242" t="s">
        <v>1272</v>
      </c>
      <c r="J1242">
        <v>-50.95</v>
      </c>
      <c r="K1242">
        <v>-50.95</v>
      </c>
      <c r="O1242" t="s">
        <v>787</v>
      </c>
      <c r="P1242" t="s">
        <v>894</v>
      </c>
      <c r="Q1242" t="s">
        <v>461</v>
      </c>
      <c r="R1242">
        <v>0</v>
      </c>
    </row>
    <row r="1243" spans="1:18" x14ac:dyDescent="0.3">
      <c r="A1243">
        <v>212739</v>
      </c>
      <c r="B1243" t="s">
        <v>557</v>
      </c>
      <c r="C1243" t="s">
        <v>818</v>
      </c>
      <c r="D1243" t="s">
        <v>1772</v>
      </c>
      <c r="E1243" s="451">
        <v>46082</v>
      </c>
      <c r="F1243" s="451">
        <v>46113</v>
      </c>
      <c r="G1243" t="s">
        <v>570</v>
      </c>
      <c r="H1243" t="s">
        <v>573</v>
      </c>
      <c r="I1243" t="s">
        <v>822</v>
      </c>
      <c r="J1243">
        <v>-2000</v>
      </c>
      <c r="K1243">
        <v>-2000</v>
      </c>
      <c r="M1243" t="s">
        <v>821</v>
      </c>
      <c r="N1243" t="s">
        <v>133</v>
      </c>
      <c r="O1243" t="s">
        <v>787</v>
      </c>
      <c r="P1243" t="s">
        <v>894</v>
      </c>
      <c r="Q1243" t="s">
        <v>461</v>
      </c>
      <c r="R1243">
        <v>0</v>
      </c>
    </row>
    <row r="1244" spans="1:18" x14ac:dyDescent="0.3">
      <c r="A1244">
        <v>212751</v>
      </c>
      <c r="B1244" t="s">
        <v>557</v>
      </c>
      <c r="C1244" t="s">
        <v>818</v>
      </c>
      <c r="D1244" t="s">
        <v>1772</v>
      </c>
      <c r="E1244" s="451">
        <v>46082</v>
      </c>
      <c r="F1244" s="451">
        <v>46127</v>
      </c>
      <c r="G1244" t="s">
        <v>570</v>
      </c>
      <c r="H1244" t="s">
        <v>573</v>
      </c>
      <c r="I1244" t="s">
        <v>820</v>
      </c>
      <c r="J1244">
        <v>-2000</v>
      </c>
      <c r="K1244">
        <v>-2000</v>
      </c>
      <c r="M1244" t="s">
        <v>821</v>
      </c>
      <c r="N1244" t="s">
        <v>133</v>
      </c>
      <c r="O1244" t="s">
        <v>787</v>
      </c>
      <c r="P1244" t="s">
        <v>894</v>
      </c>
      <c r="Q1244" t="s">
        <v>461</v>
      </c>
      <c r="R1244">
        <v>0</v>
      </c>
    </row>
    <row r="1245" spans="1:18" x14ac:dyDescent="0.3">
      <c r="A1245">
        <v>215395</v>
      </c>
      <c r="B1245" t="s">
        <v>557</v>
      </c>
      <c r="C1245" t="s">
        <v>1773</v>
      </c>
      <c r="D1245" t="s">
        <v>1774</v>
      </c>
      <c r="E1245" s="451">
        <v>46082</v>
      </c>
      <c r="F1245" s="451">
        <v>46097</v>
      </c>
      <c r="G1245" t="s">
        <v>581</v>
      </c>
      <c r="H1245" t="s">
        <v>289</v>
      </c>
      <c r="I1245" t="s">
        <v>1775</v>
      </c>
      <c r="J1245">
        <v>-945</v>
      </c>
      <c r="K1245">
        <v>-945</v>
      </c>
      <c r="O1245" t="s">
        <v>787</v>
      </c>
      <c r="P1245" t="s">
        <v>894</v>
      </c>
      <c r="Q1245" t="s">
        <v>461</v>
      </c>
      <c r="R1245">
        <v>0</v>
      </c>
    </row>
    <row r="1246" spans="1:18" x14ac:dyDescent="0.3">
      <c r="A1246">
        <v>215957</v>
      </c>
      <c r="B1246" t="s">
        <v>557</v>
      </c>
      <c r="C1246" t="s">
        <v>1776</v>
      </c>
      <c r="D1246" t="s">
        <v>1777</v>
      </c>
      <c r="E1246" s="451">
        <v>46082</v>
      </c>
      <c r="F1246" s="451">
        <v>46094</v>
      </c>
      <c r="G1246" t="s">
        <v>577</v>
      </c>
      <c r="H1246" t="s">
        <v>225</v>
      </c>
      <c r="I1246" t="s">
        <v>1778</v>
      </c>
      <c r="J1246">
        <v>-992.35</v>
      </c>
      <c r="K1246">
        <v>-992.35</v>
      </c>
      <c r="O1246" t="s">
        <v>787</v>
      </c>
      <c r="P1246" t="s">
        <v>894</v>
      </c>
      <c r="Q1246" t="s">
        <v>461</v>
      </c>
      <c r="R1246">
        <v>0</v>
      </c>
    </row>
    <row r="1247" spans="1:18" x14ac:dyDescent="0.3">
      <c r="A1247">
        <v>216130</v>
      </c>
      <c r="B1247" t="s">
        <v>557</v>
      </c>
      <c r="C1247" t="s">
        <v>1128</v>
      </c>
      <c r="D1247" t="s">
        <v>1779</v>
      </c>
      <c r="E1247" s="451">
        <v>46082</v>
      </c>
      <c r="F1247" s="451">
        <v>46098</v>
      </c>
      <c r="G1247" t="s">
        <v>569</v>
      </c>
      <c r="H1247" t="s">
        <v>66</v>
      </c>
      <c r="I1247" t="s">
        <v>1780</v>
      </c>
      <c r="J1247">
        <v>-167</v>
      </c>
      <c r="K1247">
        <v>-167</v>
      </c>
      <c r="O1247" t="s">
        <v>787</v>
      </c>
      <c r="P1247" t="s">
        <v>894</v>
      </c>
      <c r="Q1247" t="s">
        <v>461</v>
      </c>
      <c r="R1247">
        <v>0</v>
      </c>
    </row>
    <row r="1248" spans="1:18" x14ac:dyDescent="0.3">
      <c r="A1248">
        <v>216158</v>
      </c>
      <c r="B1248" t="s">
        <v>557</v>
      </c>
      <c r="C1248" t="s">
        <v>1781</v>
      </c>
      <c r="D1248" t="s">
        <v>1782</v>
      </c>
      <c r="E1248" s="451">
        <v>46082</v>
      </c>
      <c r="F1248" s="451">
        <v>46099</v>
      </c>
      <c r="G1248" t="s">
        <v>577</v>
      </c>
      <c r="H1248" t="s">
        <v>225</v>
      </c>
      <c r="I1248" t="s">
        <v>1783</v>
      </c>
      <c r="J1248">
        <v>-3072.87</v>
      </c>
      <c r="K1248">
        <v>-3072.87</v>
      </c>
      <c r="O1248" t="s">
        <v>787</v>
      </c>
      <c r="P1248" t="s">
        <v>894</v>
      </c>
      <c r="Q1248" t="s">
        <v>461</v>
      </c>
      <c r="R1248">
        <v>0</v>
      </c>
    </row>
    <row r="1249" spans="1:18" x14ac:dyDescent="0.3">
      <c r="A1249">
        <v>217753</v>
      </c>
      <c r="B1249" t="s">
        <v>557</v>
      </c>
      <c r="C1249" t="s">
        <v>1234</v>
      </c>
      <c r="D1249" t="s">
        <v>1784</v>
      </c>
      <c r="E1249" s="451">
        <v>46082</v>
      </c>
      <c r="F1249" s="451">
        <v>46104</v>
      </c>
      <c r="G1249" t="s">
        <v>564</v>
      </c>
      <c r="H1249" t="s">
        <v>565</v>
      </c>
      <c r="I1249" t="s">
        <v>1785</v>
      </c>
      <c r="J1249">
        <v>-1294.6199999999999</v>
      </c>
      <c r="K1249">
        <v>-1364.94</v>
      </c>
      <c r="O1249" t="s">
        <v>787</v>
      </c>
      <c r="P1249" t="s">
        <v>894</v>
      </c>
      <c r="Q1249" t="s">
        <v>461</v>
      </c>
      <c r="R1249">
        <v>0</v>
      </c>
    </row>
    <row r="1250" spans="1:18" x14ac:dyDescent="0.3">
      <c r="A1250">
        <v>218601</v>
      </c>
      <c r="B1250" t="s">
        <v>557</v>
      </c>
      <c r="C1250" t="s">
        <v>1786</v>
      </c>
      <c r="D1250" t="s">
        <v>1787</v>
      </c>
      <c r="E1250" s="451">
        <v>46082</v>
      </c>
      <c r="F1250" s="451">
        <v>46104</v>
      </c>
      <c r="G1250" t="s">
        <v>564</v>
      </c>
      <c r="H1250" t="s">
        <v>565</v>
      </c>
      <c r="I1250" t="s">
        <v>1788</v>
      </c>
      <c r="J1250">
        <v>-72.650000000000006</v>
      </c>
      <c r="K1250">
        <v>-72.650000000000006</v>
      </c>
      <c r="O1250" t="s">
        <v>787</v>
      </c>
      <c r="P1250" t="s">
        <v>894</v>
      </c>
      <c r="Q1250" t="s">
        <v>461</v>
      </c>
      <c r="R1250">
        <v>0</v>
      </c>
    </row>
    <row r="1251" spans="1:18" x14ac:dyDescent="0.3">
      <c r="A1251">
        <v>221309</v>
      </c>
      <c r="B1251" t="s">
        <v>557</v>
      </c>
      <c r="C1251" t="s">
        <v>1066</v>
      </c>
      <c r="D1251" t="s">
        <v>1789</v>
      </c>
      <c r="E1251" s="451">
        <v>46082</v>
      </c>
      <c r="F1251" s="451">
        <v>46117</v>
      </c>
      <c r="G1251" t="s">
        <v>564</v>
      </c>
      <c r="H1251" t="s">
        <v>566</v>
      </c>
      <c r="I1251" t="s">
        <v>1790</v>
      </c>
      <c r="J1251">
        <v>-17.079999999999998</v>
      </c>
      <c r="K1251">
        <v>-17.079999999999998</v>
      </c>
      <c r="O1251" t="s">
        <v>787</v>
      </c>
      <c r="P1251" t="s">
        <v>894</v>
      </c>
      <c r="Q1251" t="s">
        <v>461</v>
      </c>
      <c r="R1251">
        <v>0</v>
      </c>
    </row>
    <row r="1252" spans="1:18" x14ac:dyDescent="0.3">
      <c r="A1252">
        <v>221318</v>
      </c>
      <c r="B1252" t="s">
        <v>557</v>
      </c>
      <c r="C1252" t="s">
        <v>1066</v>
      </c>
      <c r="D1252" t="s">
        <v>1791</v>
      </c>
      <c r="E1252" s="451">
        <v>46082</v>
      </c>
      <c r="F1252" s="451">
        <v>46117</v>
      </c>
      <c r="G1252" t="s">
        <v>264</v>
      </c>
      <c r="H1252" t="s">
        <v>272</v>
      </c>
      <c r="I1252" t="s">
        <v>1792</v>
      </c>
      <c r="J1252">
        <v>-16.5</v>
      </c>
      <c r="K1252">
        <v>-16.5</v>
      </c>
      <c r="O1252" t="s">
        <v>787</v>
      </c>
      <c r="P1252" t="s">
        <v>894</v>
      </c>
      <c r="Q1252" t="s">
        <v>461</v>
      </c>
      <c r="R1252">
        <v>0</v>
      </c>
    </row>
    <row r="1253" spans="1:18" x14ac:dyDescent="0.3">
      <c r="A1253">
        <v>221407</v>
      </c>
      <c r="B1253" t="s">
        <v>557</v>
      </c>
      <c r="C1253" t="s">
        <v>1066</v>
      </c>
      <c r="D1253" t="s">
        <v>1793</v>
      </c>
      <c r="E1253" s="451">
        <v>46082</v>
      </c>
      <c r="F1253" s="451">
        <v>46117</v>
      </c>
      <c r="G1253" t="s">
        <v>264</v>
      </c>
      <c r="H1253" t="s">
        <v>272</v>
      </c>
      <c r="I1253" t="s">
        <v>1794</v>
      </c>
      <c r="J1253">
        <v>-243.76</v>
      </c>
      <c r="K1253">
        <v>-243.76</v>
      </c>
      <c r="O1253" t="s">
        <v>787</v>
      </c>
      <c r="P1253" t="s">
        <v>894</v>
      </c>
      <c r="Q1253" t="s">
        <v>461</v>
      </c>
      <c r="R1253">
        <v>0</v>
      </c>
    </row>
    <row r="1254" spans="1:18" x14ac:dyDescent="0.3">
      <c r="A1254">
        <v>221394</v>
      </c>
      <c r="B1254" t="s">
        <v>557</v>
      </c>
      <c r="C1254" t="s">
        <v>1066</v>
      </c>
      <c r="D1254" t="s">
        <v>1795</v>
      </c>
      <c r="E1254" s="451">
        <v>46082</v>
      </c>
      <c r="F1254" s="451">
        <v>46117</v>
      </c>
      <c r="G1254" t="s">
        <v>581</v>
      </c>
      <c r="H1254" t="s">
        <v>291</v>
      </c>
      <c r="I1254" t="s">
        <v>1796</v>
      </c>
      <c r="J1254">
        <v>-284.89999999999998</v>
      </c>
      <c r="K1254">
        <v>-284.89999999999998</v>
      </c>
      <c r="O1254" t="s">
        <v>787</v>
      </c>
      <c r="P1254" t="s">
        <v>894</v>
      </c>
      <c r="Q1254" t="s">
        <v>461</v>
      </c>
      <c r="R1254">
        <v>0</v>
      </c>
    </row>
    <row r="1255" spans="1:18" x14ac:dyDescent="0.3">
      <c r="A1255">
        <v>221393</v>
      </c>
      <c r="B1255" t="s">
        <v>557</v>
      </c>
      <c r="C1255" t="s">
        <v>1066</v>
      </c>
      <c r="D1255" t="s">
        <v>1797</v>
      </c>
      <c r="E1255" s="451">
        <v>46082</v>
      </c>
      <c r="F1255" s="451">
        <v>46117</v>
      </c>
      <c r="G1255" t="s">
        <v>264</v>
      </c>
      <c r="H1255" t="s">
        <v>272</v>
      </c>
      <c r="I1255" t="s">
        <v>1798</v>
      </c>
      <c r="J1255">
        <v>-83.91</v>
      </c>
      <c r="K1255">
        <v>-83.91</v>
      </c>
      <c r="O1255" t="s">
        <v>787</v>
      </c>
      <c r="P1255" t="s">
        <v>894</v>
      </c>
      <c r="Q1255" t="s">
        <v>461</v>
      </c>
      <c r="R1255">
        <v>0</v>
      </c>
    </row>
    <row r="1256" spans="1:18" x14ac:dyDescent="0.3">
      <c r="A1256">
        <v>221392</v>
      </c>
      <c r="B1256" t="s">
        <v>557</v>
      </c>
      <c r="C1256" t="s">
        <v>1066</v>
      </c>
      <c r="D1256" t="s">
        <v>1799</v>
      </c>
      <c r="E1256" s="451">
        <v>46082</v>
      </c>
      <c r="F1256" s="451">
        <v>46117</v>
      </c>
      <c r="G1256" t="s">
        <v>581</v>
      </c>
      <c r="H1256" t="s">
        <v>291</v>
      </c>
      <c r="I1256" t="s">
        <v>1796</v>
      </c>
      <c r="J1256">
        <v>-496.2</v>
      </c>
      <c r="K1256">
        <v>-496.2</v>
      </c>
      <c r="O1256" t="s">
        <v>787</v>
      </c>
      <c r="P1256" t="s">
        <v>894</v>
      </c>
      <c r="Q1256" t="s">
        <v>461</v>
      </c>
      <c r="R1256">
        <v>0</v>
      </c>
    </row>
    <row r="1257" spans="1:18" x14ac:dyDescent="0.3">
      <c r="A1257">
        <v>221391</v>
      </c>
      <c r="B1257" t="s">
        <v>557</v>
      </c>
      <c r="C1257" t="s">
        <v>1066</v>
      </c>
      <c r="D1257" t="s">
        <v>1800</v>
      </c>
      <c r="E1257" s="451">
        <v>46082</v>
      </c>
      <c r="F1257" s="451">
        <v>46117</v>
      </c>
      <c r="G1257" t="s">
        <v>564</v>
      </c>
      <c r="H1257" t="s">
        <v>565</v>
      </c>
      <c r="I1257" t="s">
        <v>1801</v>
      </c>
      <c r="J1257">
        <v>-45.18</v>
      </c>
      <c r="K1257">
        <v>-45.18</v>
      </c>
      <c r="O1257" t="s">
        <v>787</v>
      </c>
      <c r="P1257" t="s">
        <v>894</v>
      </c>
      <c r="Q1257" t="s">
        <v>461</v>
      </c>
      <c r="R1257">
        <v>0</v>
      </c>
    </row>
    <row r="1258" spans="1:18" x14ac:dyDescent="0.3">
      <c r="A1258">
        <v>221378</v>
      </c>
      <c r="B1258" t="s">
        <v>557</v>
      </c>
      <c r="C1258" t="s">
        <v>1066</v>
      </c>
      <c r="D1258" t="s">
        <v>1802</v>
      </c>
      <c r="E1258" s="451">
        <v>46082</v>
      </c>
      <c r="F1258" s="451">
        <v>46117</v>
      </c>
      <c r="G1258" t="s">
        <v>564</v>
      </c>
      <c r="H1258" t="s">
        <v>565</v>
      </c>
      <c r="I1258" t="s">
        <v>1803</v>
      </c>
      <c r="J1258">
        <v>-68.14</v>
      </c>
      <c r="K1258">
        <v>-68.14</v>
      </c>
      <c r="O1258" t="s">
        <v>787</v>
      </c>
      <c r="P1258" t="s">
        <v>894</v>
      </c>
      <c r="Q1258" t="s">
        <v>461</v>
      </c>
      <c r="R1258">
        <v>0</v>
      </c>
    </row>
    <row r="1259" spans="1:18" x14ac:dyDescent="0.3">
      <c r="A1259">
        <v>221377</v>
      </c>
      <c r="B1259" t="s">
        <v>557</v>
      </c>
      <c r="C1259" t="s">
        <v>1066</v>
      </c>
      <c r="D1259" t="s">
        <v>1802</v>
      </c>
      <c r="E1259" s="451">
        <v>46082</v>
      </c>
      <c r="F1259" s="451">
        <v>46117</v>
      </c>
      <c r="G1259" t="s">
        <v>564</v>
      </c>
      <c r="H1259" t="s">
        <v>565</v>
      </c>
      <c r="I1259" t="s">
        <v>1803</v>
      </c>
      <c r="J1259">
        <v>-18</v>
      </c>
      <c r="K1259">
        <v>-18</v>
      </c>
      <c r="O1259" t="s">
        <v>787</v>
      </c>
      <c r="P1259" t="s">
        <v>894</v>
      </c>
      <c r="Q1259" t="s">
        <v>461</v>
      </c>
      <c r="R1259">
        <v>0</v>
      </c>
    </row>
    <row r="1260" spans="1:18" x14ac:dyDescent="0.3">
      <c r="A1260">
        <v>221364</v>
      </c>
      <c r="B1260" t="s">
        <v>557</v>
      </c>
      <c r="C1260" t="s">
        <v>1066</v>
      </c>
      <c r="D1260" t="s">
        <v>1804</v>
      </c>
      <c r="E1260" s="451">
        <v>46082</v>
      </c>
      <c r="F1260" s="451">
        <v>46117</v>
      </c>
      <c r="G1260" t="s">
        <v>564</v>
      </c>
      <c r="H1260" t="s">
        <v>565</v>
      </c>
      <c r="I1260" t="s">
        <v>1801</v>
      </c>
      <c r="J1260">
        <v>-46.07</v>
      </c>
      <c r="K1260">
        <v>-46.07</v>
      </c>
      <c r="O1260" t="s">
        <v>787</v>
      </c>
      <c r="P1260" t="s">
        <v>894</v>
      </c>
      <c r="Q1260" t="s">
        <v>461</v>
      </c>
      <c r="R1260">
        <v>0</v>
      </c>
    </row>
    <row r="1261" spans="1:18" x14ac:dyDescent="0.3">
      <c r="A1261">
        <v>221363</v>
      </c>
      <c r="B1261" t="s">
        <v>557</v>
      </c>
      <c r="C1261" t="s">
        <v>1066</v>
      </c>
      <c r="D1261" t="s">
        <v>1805</v>
      </c>
      <c r="E1261" s="451">
        <v>46082</v>
      </c>
      <c r="F1261" s="451">
        <v>46117</v>
      </c>
      <c r="G1261" t="s">
        <v>564</v>
      </c>
      <c r="H1261" t="s">
        <v>565</v>
      </c>
      <c r="I1261" t="s">
        <v>1801</v>
      </c>
      <c r="J1261">
        <v>-20.59</v>
      </c>
      <c r="K1261">
        <v>-20.59</v>
      </c>
      <c r="O1261" t="s">
        <v>787</v>
      </c>
      <c r="P1261" t="s">
        <v>894</v>
      </c>
      <c r="Q1261" t="s">
        <v>461</v>
      </c>
      <c r="R1261">
        <v>0</v>
      </c>
    </row>
    <row r="1262" spans="1:18" x14ac:dyDescent="0.3">
      <c r="A1262">
        <v>221314</v>
      </c>
      <c r="B1262" t="s">
        <v>557</v>
      </c>
      <c r="C1262" t="s">
        <v>1066</v>
      </c>
      <c r="D1262" t="s">
        <v>1806</v>
      </c>
      <c r="E1262" s="451">
        <v>46082</v>
      </c>
      <c r="F1262" s="451">
        <v>46117</v>
      </c>
      <c r="G1262" t="s">
        <v>581</v>
      </c>
      <c r="H1262" t="s">
        <v>291</v>
      </c>
      <c r="I1262" t="s">
        <v>1796</v>
      </c>
      <c r="J1262">
        <v>-72.22</v>
      </c>
      <c r="K1262">
        <v>-72.22</v>
      </c>
      <c r="O1262" t="s">
        <v>787</v>
      </c>
      <c r="P1262" t="s">
        <v>894</v>
      </c>
      <c r="Q1262" t="s">
        <v>461</v>
      </c>
      <c r="R1262">
        <v>0</v>
      </c>
    </row>
    <row r="1263" spans="1:18" x14ac:dyDescent="0.3">
      <c r="A1263">
        <v>221359</v>
      </c>
      <c r="B1263" t="s">
        <v>557</v>
      </c>
      <c r="C1263" t="s">
        <v>1066</v>
      </c>
      <c r="D1263" t="s">
        <v>1807</v>
      </c>
      <c r="E1263" s="451">
        <v>46082</v>
      </c>
      <c r="F1263" s="451">
        <v>46117</v>
      </c>
      <c r="G1263" t="s">
        <v>264</v>
      </c>
      <c r="H1263" t="s">
        <v>272</v>
      </c>
      <c r="I1263" t="s">
        <v>1808</v>
      </c>
      <c r="J1263">
        <v>-70</v>
      </c>
      <c r="K1263">
        <v>-70</v>
      </c>
      <c r="O1263" t="s">
        <v>787</v>
      </c>
      <c r="P1263" t="s">
        <v>894</v>
      </c>
      <c r="Q1263" t="s">
        <v>461</v>
      </c>
      <c r="R1263">
        <v>0</v>
      </c>
    </row>
    <row r="1264" spans="1:18" x14ac:dyDescent="0.3">
      <c r="A1264">
        <v>221316</v>
      </c>
      <c r="B1264" t="s">
        <v>557</v>
      </c>
      <c r="C1264" t="s">
        <v>1066</v>
      </c>
      <c r="D1264" t="s">
        <v>1809</v>
      </c>
      <c r="E1264" s="451">
        <v>46082</v>
      </c>
      <c r="F1264" s="451">
        <v>46117</v>
      </c>
      <c r="G1264" t="s">
        <v>564</v>
      </c>
      <c r="H1264" t="s">
        <v>565</v>
      </c>
      <c r="I1264" t="s">
        <v>1810</v>
      </c>
      <c r="J1264">
        <v>-39.96</v>
      </c>
      <c r="K1264">
        <v>-39.96</v>
      </c>
      <c r="O1264" t="s">
        <v>787</v>
      </c>
      <c r="P1264" t="s">
        <v>894</v>
      </c>
      <c r="Q1264" t="s">
        <v>461</v>
      </c>
      <c r="R1264">
        <v>0</v>
      </c>
    </row>
    <row r="1265" spans="1:18" x14ac:dyDescent="0.3">
      <c r="A1265">
        <v>221317</v>
      </c>
      <c r="B1265" t="s">
        <v>557</v>
      </c>
      <c r="C1265" t="s">
        <v>1066</v>
      </c>
      <c r="D1265" t="s">
        <v>1811</v>
      </c>
      <c r="E1265" s="451">
        <v>46082</v>
      </c>
      <c r="F1265" s="451">
        <v>46117</v>
      </c>
      <c r="G1265" t="s">
        <v>264</v>
      </c>
      <c r="H1265" t="s">
        <v>268</v>
      </c>
      <c r="I1265" t="s">
        <v>1812</v>
      </c>
      <c r="J1265">
        <v>-22.69</v>
      </c>
      <c r="K1265">
        <v>-22.69</v>
      </c>
      <c r="O1265" t="s">
        <v>787</v>
      </c>
      <c r="P1265" t="s">
        <v>894</v>
      </c>
      <c r="Q1265" t="s">
        <v>461</v>
      </c>
      <c r="R1265">
        <v>0</v>
      </c>
    </row>
    <row r="1266" spans="1:18" x14ac:dyDescent="0.3">
      <c r="A1266">
        <v>219307</v>
      </c>
      <c r="B1266" t="s">
        <v>557</v>
      </c>
      <c r="C1266" t="s">
        <v>1813</v>
      </c>
      <c r="D1266" t="s">
        <v>961</v>
      </c>
      <c r="E1266" s="451">
        <v>46082</v>
      </c>
      <c r="F1266" s="451">
        <v>46127</v>
      </c>
      <c r="G1266" t="s">
        <v>570</v>
      </c>
      <c r="H1266" t="s">
        <v>573</v>
      </c>
      <c r="I1266" t="s">
        <v>1814</v>
      </c>
      <c r="J1266">
        <v>-1200</v>
      </c>
      <c r="K1266">
        <v>-1200</v>
      </c>
      <c r="M1266" t="s">
        <v>821</v>
      </c>
      <c r="N1266" t="s">
        <v>133</v>
      </c>
      <c r="O1266" t="s">
        <v>787</v>
      </c>
      <c r="P1266" t="s">
        <v>894</v>
      </c>
      <c r="Q1266" t="s">
        <v>461</v>
      </c>
      <c r="R1266">
        <v>0</v>
      </c>
    </row>
    <row r="1267" spans="1:18" x14ac:dyDescent="0.3">
      <c r="A1267">
        <v>221320</v>
      </c>
      <c r="B1267" t="s">
        <v>557</v>
      </c>
      <c r="C1267" t="s">
        <v>1066</v>
      </c>
      <c r="D1267" t="s">
        <v>1815</v>
      </c>
      <c r="E1267" s="451">
        <v>46082</v>
      </c>
      <c r="F1267" s="451">
        <v>46117</v>
      </c>
      <c r="G1267" t="s">
        <v>578</v>
      </c>
      <c r="H1267" t="s">
        <v>246</v>
      </c>
      <c r="I1267" t="s">
        <v>1816</v>
      </c>
      <c r="J1267">
        <v>-132.97999999999999</v>
      </c>
      <c r="K1267">
        <v>-132.97999999999999</v>
      </c>
      <c r="O1267" t="s">
        <v>787</v>
      </c>
      <c r="P1267" t="s">
        <v>894</v>
      </c>
      <c r="Q1267" t="s">
        <v>461</v>
      </c>
      <c r="R1267">
        <v>0</v>
      </c>
    </row>
    <row r="1268" spans="1:18" x14ac:dyDescent="0.3">
      <c r="A1268">
        <v>221321</v>
      </c>
      <c r="B1268" t="s">
        <v>557</v>
      </c>
      <c r="C1268" t="s">
        <v>1066</v>
      </c>
      <c r="D1268" t="s">
        <v>1817</v>
      </c>
      <c r="E1268" s="451">
        <v>46082</v>
      </c>
      <c r="F1268" s="451">
        <v>46117</v>
      </c>
      <c r="G1268" t="s">
        <v>264</v>
      </c>
      <c r="H1268" t="s">
        <v>268</v>
      </c>
      <c r="I1268" t="s">
        <v>1818</v>
      </c>
      <c r="J1268">
        <v>-56.85</v>
      </c>
      <c r="K1268">
        <v>-56.85</v>
      </c>
      <c r="O1268" t="s">
        <v>787</v>
      </c>
      <c r="P1268" t="s">
        <v>894</v>
      </c>
      <c r="Q1268" t="s">
        <v>461</v>
      </c>
      <c r="R1268">
        <v>0</v>
      </c>
    </row>
    <row r="1269" spans="1:18" x14ac:dyDescent="0.3">
      <c r="A1269">
        <v>221322</v>
      </c>
      <c r="B1269" t="s">
        <v>557</v>
      </c>
      <c r="C1269" t="s">
        <v>1066</v>
      </c>
      <c r="D1269" t="s">
        <v>1819</v>
      </c>
      <c r="E1269" s="451">
        <v>46082</v>
      </c>
      <c r="F1269" s="451">
        <v>46117</v>
      </c>
      <c r="G1269" t="s">
        <v>564</v>
      </c>
      <c r="H1269" t="s">
        <v>565</v>
      </c>
      <c r="I1269" t="s">
        <v>1820</v>
      </c>
      <c r="J1269">
        <v>-12.08</v>
      </c>
      <c r="K1269">
        <v>-12.08</v>
      </c>
      <c r="O1269" t="s">
        <v>787</v>
      </c>
      <c r="P1269" t="s">
        <v>894</v>
      </c>
      <c r="Q1269" t="s">
        <v>461</v>
      </c>
      <c r="R1269">
        <v>0</v>
      </c>
    </row>
    <row r="1270" spans="1:18" x14ac:dyDescent="0.3">
      <c r="A1270">
        <v>221323</v>
      </c>
      <c r="B1270" t="s">
        <v>557</v>
      </c>
      <c r="C1270" t="s">
        <v>1066</v>
      </c>
      <c r="D1270" t="s">
        <v>1821</v>
      </c>
      <c r="E1270" s="451">
        <v>46082</v>
      </c>
      <c r="F1270" s="451">
        <v>46117</v>
      </c>
      <c r="G1270" t="s">
        <v>264</v>
      </c>
      <c r="H1270" t="s">
        <v>272</v>
      </c>
      <c r="I1270" t="s">
        <v>1808</v>
      </c>
      <c r="J1270">
        <v>-70</v>
      </c>
      <c r="K1270">
        <v>-70</v>
      </c>
      <c r="O1270" t="s">
        <v>787</v>
      </c>
      <c r="P1270" t="s">
        <v>894</v>
      </c>
      <c r="Q1270" t="s">
        <v>461</v>
      </c>
      <c r="R1270">
        <v>0</v>
      </c>
    </row>
    <row r="1271" spans="1:18" x14ac:dyDescent="0.3">
      <c r="A1271">
        <v>221324</v>
      </c>
      <c r="B1271" t="s">
        <v>557</v>
      </c>
      <c r="C1271" t="s">
        <v>1066</v>
      </c>
      <c r="D1271" t="s">
        <v>1822</v>
      </c>
      <c r="E1271" s="451">
        <v>46082</v>
      </c>
      <c r="F1271" s="451">
        <v>46117</v>
      </c>
      <c r="G1271" t="s">
        <v>564</v>
      </c>
      <c r="H1271" t="s">
        <v>565</v>
      </c>
      <c r="I1271" t="s">
        <v>1823</v>
      </c>
      <c r="J1271">
        <v>-74.97</v>
      </c>
      <c r="K1271">
        <v>-74.97</v>
      </c>
      <c r="O1271" t="s">
        <v>787</v>
      </c>
      <c r="P1271" t="s">
        <v>894</v>
      </c>
      <c r="Q1271" t="s">
        <v>461</v>
      </c>
      <c r="R1271">
        <v>0</v>
      </c>
    </row>
    <row r="1272" spans="1:18" x14ac:dyDescent="0.3">
      <c r="A1272">
        <v>221325</v>
      </c>
      <c r="B1272" t="s">
        <v>557</v>
      </c>
      <c r="C1272" t="s">
        <v>1066</v>
      </c>
      <c r="D1272" t="s">
        <v>1824</v>
      </c>
      <c r="E1272" s="451">
        <v>46082</v>
      </c>
      <c r="F1272" s="451">
        <v>46117</v>
      </c>
      <c r="G1272" t="s">
        <v>564</v>
      </c>
      <c r="H1272" t="s">
        <v>566</v>
      </c>
      <c r="I1272" t="s">
        <v>1825</v>
      </c>
      <c r="J1272">
        <v>-101.85</v>
      </c>
      <c r="K1272">
        <v>-101.85</v>
      </c>
      <c r="O1272" t="s">
        <v>787</v>
      </c>
      <c r="P1272" t="s">
        <v>894</v>
      </c>
      <c r="Q1272" t="s">
        <v>461</v>
      </c>
      <c r="R1272">
        <v>0</v>
      </c>
    </row>
    <row r="1273" spans="1:18" x14ac:dyDescent="0.3">
      <c r="A1273">
        <v>221326</v>
      </c>
      <c r="B1273" t="s">
        <v>557</v>
      </c>
      <c r="C1273" t="s">
        <v>1066</v>
      </c>
      <c r="D1273" t="s">
        <v>1826</v>
      </c>
      <c r="E1273" s="451">
        <v>46082</v>
      </c>
      <c r="F1273" s="451">
        <v>46117</v>
      </c>
      <c r="G1273" t="s">
        <v>564</v>
      </c>
      <c r="H1273" t="s">
        <v>565</v>
      </c>
      <c r="I1273" t="s">
        <v>1827</v>
      </c>
      <c r="J1273">
        <v>-139.44999999999999</v>
      </c>
      <c r="K1273">
        <v>-139.44999999999999</v>
      </c>
      <c r="O1273" t="s">
        <v>787</v>
      </c>
      <c r="P1273" t="s">
        <v>894</v>
      </c>
      <c r="Q1273" t="s">
        <v>461</v>
      </c>
      <c r="R1273">
        <v>0</v>
      </c>
    </row>
    <row r="1274" spans="1:18" x14ac:dyDescent="0.3">
      <c r="A1274">
        <v>221327</v>
      </c>
      <c r="B1274" t="s">
        <v>557</v>
      </c>
      <c r="C1274" t="s">
        <v>1066</v>
      </c>
      <c r="D1274" t="s">
        <v>1828</v>
      </c>
      <c r="E1274" s="451">
        <v>46082</v>
      </c>
      <c r="F1274" s="451">
        <v>46117</v>
      </c>
      <c r="G1274" t="s">
        <v>564</v>
      </c>
      <c r="H1274" t="s">
        <v>565</v>
      </c>
      <c r="I1274" t="s">
        <v>1823</v>
      </c>
      <c r="J1274">
        <v>-82.47</v>
      </c>
      <c r="K1274">
        <v>-82.47</v>
      </c>
      <c r="O1274" t="s">
        <v>787</v>
      </c>
      <c r="P1274" t="s">
        <v>894</v>
      </c>
      <c r="Q1274" t="s">
        <v>461</v>
      </c>
      <c r="R1274">
        <v>0</v>
      </c>
    </row>
    <row r="1275" spans="1:18" x14ac:dyDescent="0.3">
      <c r="A1275">
        <v>221329</v>
      </c>
      <c r="B1275" t="s">
        <v>557</v>
      </c>
      <c r="C1275" t="s">
        <v>1066</v>
      </c>
      <c r="D1275" t="s">
        <v>1829</v>
      </c>
      <c r="E1275" s="451">
        <v>46082</v>
      </c>
      <c r="F1275" s="451">
        <v>46117</v>
      </c>
      <c r="G1275" t="s">
        <v>564</v>
      </c>
      <c r="H1275" t="s">
        <v>566</v>
      </c>
      <c r="I1275" t="s">
        <v>1790</v>
      </c>
      <c r="J1275">
        <v>-79.75</v>
      </c>
      <c r="K1275">
        <v>-79.75</v>
      </c>
      <c r="O1275" t="s">
        <v>787</v>
      </c>
      <c r="P1275" t="s">
        <v>894</v>
      </c>
      <c r="Q1275" t="s">
        <v>461</v>
      </c>
      <c r="R1275">
        <v>0</v>
      </c>
    </row>
    <row r="1276" spans="1:18" x14ac:dyDescent="0.3">
      <c r="A1276">
        <v>221330</v>
      </c>
      <c r="B1276" t="s">
        <v>557</v>
      </c>
      <c r="C1276" t="s">
        <v>1066</v>
      </c>
      <c r="D1276" t="s">
        <v>1830</v>
      </c>
      <c r="E1276" s="451">
        <v>46082</v>
      </c>
      <c r="F1276" s="451">
        <v>46117</v>
      </c>
      <c r="G1276" t="s">
        <v>264</v>
      </c>
      <c r="H1276" t="s">
        <v>268</v>
      </c>
      <c r="I1276" t="s">
        <v>1831</v>
      </c>
      <c r="J1276">
        <v>-33.17</v>
      </c>
      <c r="K1276">
        <v>-33.17</v>
      </c>
      <c r="O1276" t="s">
        <v>787</v>
      </c>
      <c r="P1276" t="s">
        <v>894</v>
      </c>
      <c r="Q1276" t="s">
        <v>461</v>
      </c>
      <c r="R1276">
        <v>0</v>
      </c>
    </row>
    <row r="1277" spans="1:18" x14ac:dyDescent="0.3">
      <c r="A1277">
        <v>221331</v>
      </c>
      <c r="B1277" t="s">
        <v>557</v>
      </c>
      <c r="C1277" t="s">
        <v>1066</v>
      </c>
      <c r="D1277" t="s">
        <v>1832</v>
      </c>
      <c r="E1277" s="451">
        <v>46082</v>
      </c>
      <c r="F1277" s="451">
        <v>46117</v>
      </c>
      <c r="G1277" t="s">
        <v>264</v>
      </c>
      <c r="H1277" t="s">
        <v>268</v>
      </c>
      <c r="I1277" t="s">
        <v>1818</v>
      </c>
      <c r="J1277">
        <v>-80</v>
      </c>
      <c r="K1277">
        <v>-80</v>
      </c>
      <c r="O1277" t="s">
        <v>787</v>
      </c>
      <c r="P1277" t="s">
        <v>894</v>
      </c>
      <c r="Q1277" t="s">
        <v>461</v>
      </c>
      <c r="R1277">
        <v>0</v>
      </c>
    </row>
    <row r="1278" spans="1:18" x14ac:dyDescent="0.3">
      <c r="A1278">
        <v>221346</v>
      </c>
      <c r="B1278" t="s">
        <v>557</v>
      </c>
      <c r="C1278" t="s">
        <v>1066</v>
      </c>
      <c r="D1278" t="s">
        <v>1833</v>
      </c>
      <c r="E1278" s="451">
        <v>46082</v>
      </c>
      <c r="F1278" s="451">
        <v>46117</v>
      </c>
      <c r="G1278" t="s">
        <v>264</v>
      </c>
      <c r="H1278" t="s">
        <v>272</v>
      </c>
      <c r="I1278" t="s">
        <v>1834</v>
      </c>
      <c r="J1278">
        <v>-138.31</v>
      </c>
      <c r="K1278">
        <v>-138.31</v>
      </c>
      <c r="O1278" t="s">
        <v>787</v>
      </c>
      <c r="P1278" t="s">
        <v>894</v>
      </c>
      <c r="Q1278" t="s">
        <v>461</v>
      </c>
      <c r="R1278">
        <v>0</v>
      </c>
    </row>
    <row r="1279" spans="1:18" x14ac:dyDescent="0.3">
      <c r="A1279">
        <v>221422</v>
      </c>
      <c r="B1279" t="s">
        <v>557</v>
      </c>
      <c r="C1279" t="s">
        <v>1066</v>
      </c>
      <c r="D1279" t="s">
        <v>1835</v>
      </c>
      <c r="E1279" s="451">
        <v>46082</v>
      </c>
      <c r="F1279" s="451">
        <v>46117</v>
      </c>
      <c r="G1279" t="s">
        <v>564</v>
      </c>
      <c r="H1279" t="s">
        <v>565</v>
      </c>
      <c r="I1279" t="s">
        <v>1836</v>
      </c>
      <c r="J1279">
        <v>-79.72</v>
      </c>
      <c r="K1279">
        <v>-79.72</v>
      </c>
      <c r="O1279" t="s">
        <v>787</v>
      </c>
      <c r="P1279" t="s">
        <v>894</v>
      </c>
      <c r="Q1279" t="s">
        <v>461</v>
      </c>
      <c r="R1279">
        <v>0</v>
      </c>
    </row>
    <row r="1280" spans="1:18" x14ac:dyDescent="0.3">
      <c r="A1280">
        <v>221313</v>
      </c>
      <c r="B1280" t="s">
        <v>557</v>
      </c>
      <c r="C1280" t="s">
        <v>1066</v>
      </c>
      <c r="D1280" t="s">
        <v>1837</v>
      </c>
      <c r="E1280" s="451">
        <v>46082</v>
      </c>
      <c r="F1280" s="451">
        <v>46117</v>
      </c>
      <c r="G1280" t="s">
        <v>564</v>
      </c>
      <c r="H1280" t="s">
        <v>565</v>
      </c>
      <c r="I1280" t="s">
        <v>1810</v>
      </c>
      <c r="J1280">
        <v>-25.47</v>
      </c>
      <c r="K1280">
        <v>-25.47</v>
      </c>
      <c r="O1280" t="s">
        <v>787</v>
      </c>
      <c r="P1280" t="s">
        <v>894</v>
      </c>
      <c r="Q1280" t="s">
        <v>461</v>
      </c>
      <c r="R1280">
        <v>0</v>
      </c>
    </row>
    <row r="1281" spans="1:18" x14ac:dyDescent="0.3">
      <c r="A1281">
        <v>221409</v>
      </c>
      <c r="B1281" t="s">
        <v>557</v>
      </c>
      <c r="C1281" t="s">
        <v>1066</v>
      </c>
      <c r="D1281" t="s">
        <v>1838</v>
      </c>
      <c r="E1281" s="451">
        <v>46082</v>
      </c>
      <c r="F1281" s="451">
        <v>46117</v>
      </c>
      <c r="G1281" t="s">
        <v>582</v>
      </c>
      <c r="H1281" t="s">
        <v>293</v>
      </c>
      <c r="I1281" t="s">
        <v>1839</v>
      </c>
      <c r="J1281">
        <v>-100</v>
      </c>
      <c r="K1281">
        <v>-100</v>
      </c>
      <c r="O1281" t="s">
        <v>787</v>
      </c>
      <c r="P1281" t="s">
        <v>894</v>
      </c>
      <c r="Q1281" t="s">
        <v>461</v>
      </c>
      <c r="R1281">
        <v>0</v>
      </c>
    </row>
    <row r="1282" spans="1:18" x14ac:dyDescent="0.3">
      <c r="A1282">
        <v>224652</v>
      </c>
      <c r="B1282" t="s">
        <v>557</v>
      </c>
      <c r="C1282" t="s">
        <v>1048</v>
      </c>
      <c r="D1282" t="s">
        <v>1840</v>
      </c>
      <c r="E1282" s="451">
        <v>46082</v>
      </c>
      <c r="F1282" s="451">
        <v>46127</v>
      </c>
      <c r="G1282" t="s">
        <v>582</v>
      </c>
      <c r="H1282" t="s">
        <v>293</v>
      </c>
      <c r="I1282" t="s">
        <v>1841</v>
      </c>
      <c r="J1282">
        <v>-248.99</v>
      </c>
      <c r="K1282">
        <v>0</v>
      </c>
      <c r="O1282" t="s">
        <v>787</v>
      </c>
      <c r="P1282" t="s">
        <v>894</v>
      </c>
      <c r="Q1282" t="s">
        <v>461</v>
      </c>
      <c r="R1282">
        <v>0</v>
      </c>
    </row>
    <row r="1283" spans="1:18" x14ac:dyDescent="0.3">
      <c r="A1283">
        <v>221312</v>
      </c>
      <c r="B1283" t="s">
        <v>557</v>
      </c>
      <c r="C1283" t="s">
        <v>1066</v>
      </c>
      <c r="D1283" t="s">
        <v>1842</v>
      </c>
      <c r="E1283" s="451">
        <v>46082</v>
      </c>
      <c r="F1283" s="451">
        <v>46117</v>
      </c>
      <c r="G1283" t="s">
        <v>264</v>
      </c>
      <c r="H1283" t="s">
        <v>272</v>
      </c>
      <c r="I1283" t="s">
        <v>1843</v>
      </c>
      <c r="J1283">
        <v>-70</v>
      </c>
      <c r="K1283">
        <v>-70</v>
      </c>
      <c r="O1283" t="s">
        <v>787</v>
      </c>
      <c r="P1283" t="s">
        <v>894</v>
      </c>
      <c r="Q1283" t="s">
        <v>461</v>
      </c>
      <c r="R1283">
        <v>0</v>
      </c>
    </row>
    <row r="1284" spans="1:18" x14ac:dyDescent="0.3">
      <c r="A1284">
        <v>221310</v>
      </c>
      <c r="B1284" t="s">
        <v>557</v>
      </c>
      <c r="C1284" t="s">
        <v>1066</v>
      </c>
      <c r="D1284" t="s">
        <v>1844</v>
      </c>
      <c r="E1284" s="451">
        <v>46082</v>
      </c>
      <c r="F1284" s="451">
        <v>46117</v>
      </c>
      <c r="G1284" t="s">
        <v>564</v>
      </c>
      <c r="H1284" t="s">
        <v>565</v>
      </c>
      <c r="I1284" t="s">
        <v>1845</v>
      </c>
      <c r="J1284">
        <v>-39.799999999999997</v>
      </c>
      <c r="K1284">
        <v>-39.799999999999997</v>
      </c>
      <c r="O1284" t="s">
        <v>787</v>
      </c>
      <c r="P1284" t="s">
        <v>894</v>
      </c>
      <c r="Q1284" t="s">
        <v>461</v>
      </c>
      <c r="R1284">
        <v>0</v>
      </c>
    </row>
    <row r="1285" spans="1:18" x14ac:dyDescent="0.3">
      <c r="A1285">
        <v>220640</v>
      </c>
      <c r="B1285" t="s">
        <v>557</v>
      </c>
      <c r="C1285" t="s">
        <v>866</v>
      </c>
      <c r="D1285" t="s">
        <v>1846</v>
      </c>
      <c r="E1285" s="451">
        <v>46082</v>
      </c>
      <c r="F1285" s="451">
        <v>46091</v>
      </c>
      <c r="G1285" t="s">
        <v>578</v>
      </c>
      <c r="H1285" t="s">
        <v>240</v>
      </c>
      <c r="I1285" t="s">
        <v>867</v>
      </c>
      <c r="J1285">
        <v>-1545.49</v>
      </c>
      <c r="K1285">
        <v>0</v>
      </c>
      <c r="O1285" t="s">
        <v>787</v>
      </c>
      <c r="P1285" t="s">
        <v>894</v>
      </c>
      <c r="Q1285" t="s">
        <v>461</v>
      </c>
      <c r="R1285">
        <v>0</v>
      </c>
    </row>
    <row r="1286" spans="1:18" x14ac:dyDescent="0.3">
      <c r="A1286">
        <v>220519</v>
      </c>
      <c r="B1286" t="s">
        <v>557</v>
      </c>
      <c r="C1286" t="s">
        <v>1813</v>
      </c>
      <c r="D1286" t="s">
        <v>1173</v>
      </c>
      <c r="E1286" s="451">
        <v>46082</v>
      </c>
      <c r="F1286" s="451">
        <v>46122</v>
      </c>
      <c r="G1286" t="s">
        <v>570</v>
      </c>
      <c r="H1286" t="s">
        <v>573</v>
      </c>
      <c r="I1286" t="s">
        <v>1847</v>
      </c>
      <c r="J1286">
        <v>-5200</v>
      </c>
      <c r="K1286">
        <v>-5200</v>
      </c>
      <c r="M1286" t="s">
        <v>821</v>
      </c>
      <c r="N1286" t="s">
        <v>133</v>
      </c>
      <c r="O1286" t="s">
        <v>787</v>
      </c>
      <c r="P1286" t="s">
        <v>894</v>
      </c>
      <c r="Q1286" t="s">
        <v>461</v>
      </c>
      <c r="R1286">
        <v>0</v>
      </c>
    </row>
    <row r="1287" spans="1:18" x14ac:dyDescent="0.3">
      <c r="A1287">
        <v>219715</v>
      </c>
      <c r="B1287" t="s">
        <v>557</v>
      </c>
      <c r="C1287" t="s">
        <v>1320</v>
      </c>
      <c r="D1287" t="s">
        <v>1848</v>
      </c>
      <c r="E1287" s="451">
        <v>46082</v>
      </c>
      <c r="F1287" s="451">
        <v>46111</v>
      </c>
      <c r="G1287" t="s">
        <v>296</v>
      </c>
      <c r="H1287" t="s">
        <v>304</v>
      </c>
      <c r="I1287" t="s">
        <v>1849</v>
      </c>
      <c r="J1287">
        <v>-25</v>
      </c>
      <c r="K1287">
        <v>-25</v>
      </c>
      <c r="O1287" t="s">
        <v>787</v>
      </c>
      <c r="P1287" t="s">
        <v>894</v>
      </c>
      <c r="Q1287" t="s">
        <v>461</v>
      </c>
      <c r="R1287">
        <v>0</v>
      </c>
    </row>
    <row r="1288" spans="1:18" x14ac:dyDescent="0.3">
      <c r="A1288">
        <v>219292</v>
      </c>
      <c r="B1288" t="s">
        <v>557</v>
      </c>
      <c r="C1288" t="s">
        <v>1813</v>
      </c>
      <c r="D1288" t="s">
        <v>961</v>
      </c>
      <c r="E1288" s="451">
        <v>46082</v>
      </c>
      <c r="F1288" s="451">
        <v>46113</v>
      </c>
      <c r="G1288" t="s">
        <v>570</v>
      </c>
      <c r="H1288" t="s">
        <v>573</v>
      </c>
      <c r="I1288" t="s">
        <v>1814</v>
      </c>
      <c r="J1288">
        <v>-1200</v>
      </c>
      <c r="K1288">
        <v>-1200</v>
      </c>
      <c r="M1288" t="s">
        <v>821</v>
      </c>
      <c r="N1288" t="s">
        <v>133</v>
      </c>
      <c r="O1288" t="s">
        <v>787</v>
      </c>
      <c r="P1288" t="s">
        <v>894</v>
      </c>
      <c r="Q1288" t="s">
        <v>461</v>
      </c>
      <c r="R1288">
        <v>0</v>
      </c>
    </row>
    <row r="1289" spans="1:18" x14ac:dyDescent="0.3">
      <c r="A1289">
        <v>219456</v>
      </c>
      <c r="B1289" t="s">
        <v>557</v>
      </c>
      <c r="C1289" t="s">
        <v>259</v>
      </c>
      <c r="D1289" t="s">
        <v>1850</v>
      </c>
      <c r="E1289" s="451">
        <v>46082</v>
      </c>
      <c r="F1289" s="451">
        <v>46106</v>
      </c>
      <c r="G1289" t="s">
        <v>256</v>
      </c>
      <c r="H1289" t="s">
        <v>259</v>
      </c>
      <c r="I1289" t="s">
        <v>1851</v>
      </c>
      <c r="J1289">
        <v>-2369.1</v>
      </c>
      <c r="K1289">
        <v>-2369.1</v>
      </c>
      <c r="O1289" t="s">
        <v>787</v>
      </c>
      <c r="P1289" t="s">
        <v>894</v>
      </c>
      <c r="Q1289" t="s">
        <v>461</v>
      </c>
      <c r="R1289">
        <v>0</v>
      </c>
    </row>
    <row r="1290" spans="1:18" x14ac:dyDescent="0.3">
      <c r="A1290">
        <v>223092</v>
      </c>
      <c r="B1290" t="s">
        <v>557</v>
      </c>
      <c r="C1290" t="s">
        <v>818</v>
      </c>
      <c r="D1290" t="s">
        <v>1173</v>
      </c>
      <c r="E1290" s="451">
        <v>46082</v>
      </c>
      <c r="F1290" s="451">
        <v>46137</v>
      </c>
      <c r="G1290" t="s">
        <v>572</v>
      </c>
      <c r="H1290" t="s">
        <v>112</v>
      </c>
      <c r="I1290" t="s">
        <v>1852</v>
      </c>
      <c r="J1290">
        <v>-1840</v>
      </c>
      <c r="K1290">
        <v>-1840</v>
      </c>
      <c r="M1290" t="s">
        <v>821</v>
      </c>
      <c r="N1290" t="s">
        <v>133</v>
      </c>
      <c r="O1290" t="s">
        <v>787</v>
      </c>
      <c r="P1290" t="s">
        <v>894</v>
      </c>
      <c r="Q1290" t="s">
        <v>461</v>
      </c>
      <c r="R1290">
        <v>0</v>
      </c>
    </row>
    <row r="1291" spans="1:18" x14ac:dyDescent="0.3">
      <c r="A1291">
        <v>223083</v>
      </c>
      <c r="B1291" t="s">
        <v>557</v>
      </c>
      <c r="C1291" t="s">
        <v>882</v>
      </c>
      <c r="D1291" t="s">
        <v>1360</v>
      </c>
      <c r="E1291" s="451">
        <v>46082</v>
      </c>
      <c r="F1291" s="451">
        <v>46137</v>
      </c>
      <c r="G1291" t="s">
        <v>572</v>
      </c>
      <c r="H1291" t="s">
        <v>112</v>
      </c>
      <c r="I1291" t="s">
        <v>1852</v>
      </c>
      <c r="J1291">
        <v>-3000</v>
      </c>
      <c r="K1291">
        <v>-3000</v>
      </c>
      <c r="M1291" t="s">
        <v>883</v>
      </c>
      <c r="N1291" t="s">
        <v>135</v>
      </c>
      <c r="O1291" t="s">
        <v>787</v>
      </c>
      <c r="P1291" t="s">
        <v>894</v>
      </c>
      <c r="Q1291" t="s">
        <v>461</v>
      </c>
      <c r="R1291">
        <v>0</v>
      </c>
    </row>
    <row r="1292" spans="1:18" x14ac:dyDescent="0.3">
      <c r="A1292">
        <v>223082</v>
      </c>
      <c r="B1292" t="s">
        <v>557</v>
      </c>
      <c r="C1292" t="s">
        <v>886</v>
      </c>
      <c r="D1292" t="s">
        <v>1853</v>
      </c>
      <c r="E1292" s="451">
        <v>46082</v>
      </c>
      <c r="F1292" s="451">
        <v>46137</v>
      </c>
      <c r="G1292" t="s">
        <v>572</v>
      </c>
      <c r="H1292" t="s">
        <v>112</v>
      </c>
      <c r="I1292" t="s">
        <v>1852</v>
      </c>
      <c r="J1292">
        <v>-2760</v>
      </c>
      <c r="K1292">
        <v>-2760</v>
      </c>
      <c r="M1292" t="s">
        <v>887</v>
      </c>
      <c r="N1292" t="s">
        <v>131</v>
      </c>
      <c r="O1292" t="s">
        <v>787</v>
      </c>
      <c r="P1292" t="s">
        <v>894</v>
      </c>
      <c r="Q1292" t="s">
        <v>461</v>
      </c>
      <c r="R1292">
        <v>0</v>
      </c>
    </row>
    <row r="1293" spans="1:18" x14ac:dyDescent="0.3">
      <c r="A1293">
        <v>221954</v>
      </c>
      <c r="B1293" t="s">
        <v>557</v>
      </c>
      <c r="C1293" t="s">
        <v>1237</v>
      </c>
      <c r="E1293" s="451">
        <v>46082</v>
      </c>
      <c r="F1293" s="451">
        <v>46083</v>
      </c>
      <c r="G1293" t="s">
        <v>279</v>
      </c>
      <c r="H1293" t="s">
        <v>284</v>
      </c>
      <c r="I1293" t="s">
        <v>1272</v>
      </c>
      <c r="J1293">
        <v>-245.67</v>
      </c>
      <c r="K1293">
        <v>-245.67</v>
      </c>
      <c r="O1293" t="s">
        <v>787</v>
      </c>
      <c r="P1293" t="s">
        <v>894</v>
      </c>
      <c r="Q1293" t="s">
        <v>461</v>
      </c>
      <c r="R1293">
        <v>0</v>
      </c>
    </row>
    <row r="1294" spans="1:18" x14ac:dyDescent="0.3">
      <c r="A1294">
        <v>221953</v>
      </c>
      <c r="B1294" t="s">
        <v>557</v>
      </c>
      <c r="C1294" t="s">
        <v>1237</v>
      </c>
      <c r="E1294" s="451">
        <v>46082</v>
      </c>
      <c r="F1294" s="451">
        <v>46082</v>
      </c>
      <c r="G1294" t="s">
        <v>279</v>
      </c>
      <c r="H1294" t="s">
        <v>284</v>
      </c>
      <c r="I1294" t="s">
        <v>1386</v>
      </c>
      <c r="J1294">
        <v>-20</v>
      </c>
      <c r="K1294">
        <v>-20</v>
      </c>
      <c r="O1294" t="s">
        <v>787</v>
      </c>
      <c r="P1294" t="s">
        <v>894</v>
      </c>
      <c r="Q1294" t="s">
        <v>461</v>
      </c>
      <c r="R1294">
        <v>0</v>
      </c>
    </row>
    <row r="1295" spans="1:18" x14ac:dyDescent="0.3">
      <c r="A1295">
        <v>221952</v>
      </c>
      <c r="B1295" t="s">
        <v>557</v>
      </c>
      <c r="C1295" t="s">
        <v>1237</v>
      </c>
      <c r="E1295" s="451">
        <v>46082</v>
      </c>
      <c r="F1295" s="451">
        <v>46082</v>
      </c>
      <c r="G1295" t="s">
        <v>279</v>
      </c>
      <c r="H1295" t="s">
        <v>284</v>
      </c>
      <c r="I1295" t="s">
        <v>1387</v>
      </c>
      <c r="J1295">
        <v>-200</v>
      </c>
      <c r="K1295">
        <v>-200</v>
      </c>
      <c r="O1295" t="s">
        <v>787</v>
      </c>
      <c r="P1295" t="s">
        <v>894</v>
      </c>
      <c r="Q1295" t="s">
        <v>461</v>
      </c>
      <c r="R1295">
        <v>0</v>
      </c>
    </row>
    <row r="1296" spans="1:18" x14ac:dyDescent="0.3">
      <c r="A1296">
        <v>219416</v>
      </c>
      <c r="B1296" t="s">
        <v>557</v>
      </c>
      <c r="C1296" t="s">
        <v>259</v>
      </c>
      <c r="D1296" t="s">
        <v>1850</v>
      </c>
      <c r="E1296" s="451">
        <v>46082</v>
      </c>
      <c r="F1296" s="451">
        <v>46106</v>
      </c>
      <c r="G1296" t="s">
        <v>256</v>
      </c>
      <c r="H1296" t="s">
        <v>259</v>
      </c>
      <c r="I1296" t="s">
        <v>1854</v>
      </c>
      <c r="J1296">
        <v>-1771.22</v>
      </c>
      <c r="K1296">
        <v>-1771.22</v>
      </c>
      <c r="O1296" t="s">
        <v>787</v>
      </c>
      <c r="P1296" t="s">
        <v>894</v>
      </c>
      <c r="Q1296" t="s">
        <v>461</v>
      </c>
      <c r="R1296">
        <v>0</v>
      </c>
    </row>
    <row r="1297" spans="1:18" x14ac:dyDescent="0.3">
      <c r="A1297">
        <v>221951</v>
      </c>
      <c r="B1297" t="s">
        <v>557</v>
      </c>
      <c r="C1297" t="s">
        <v>1237</v>
      </c>
      <c r="E1297" s="451">
        <v>46082</v>
      </c>
      <c r="F1297" s="451">
        <v>46082</v>
      </c>
      <c r="G1297" t="s">
        <v>279</v>
      </c>
      <c r="H1297" t="s">
        <v>284</v>
      </c>
      <c r="I1297" t="s">
        <v>1388</v>
      </c>
      <c r="J1297">
        <v>-260</v>
      </c>
      <c r="K1297">
        <v>-260</v>
      </c>
      <c r="O1297" t="s">
        <v>787</v>
      </c>
      <c r="P1297" t="s">
        <v>894</v>
      </c>
      <c r="Q1297" t="s">
        <v>461</v>
      </c>
      <c r="R1297">
        <v>0</v>
      </c>
    </row>
    <row r="1298" spans="1:18" x14ac:dyDescent="0.3">
      <c r="A1298">
        <v>221460</v>
      </c>
      <c r="B1298" t="s">
        <v>557</v>
      </c>
      <c r="C1298" t="s">
        <v>1066</v>
      </c>
      <c r="D1298" t="s">
        <v>1855</v>
      </c>
      <c r="E1298" s="451">
        <v>46082</v>
      </c>
      <c r="F1298" s="451">
        <v>46117</v>
      </c>
      <c r="G1298" t="s">
        <v>564</v>
      </c>
      <c r="H1298" t="s">
        <v>565</v>
      </c>
      <c r="I1298" t="s">
        <v>1856</v>
      </c>
      <c r="J1298">
        <v>-35.96</v>
      </c>
      <c r="K1298">
        <v>-35.96</v>
      </c>
      <c r="O1298" t="s">
        <v>787</v>
      </c>
      <c r="P1298" t="s">
        <v>894</v>
      </c>
      <c r="Q1298" t="s">
        <v>461</v>
      </c>
      <c r="R1298">
        <v>0</v>
      </c>
    </row>
    <row r="1299" spans="1:18" x14ac:dyDescent="0.3">
      <c r="A1299">
        <v>221458</v>
      </c>
      <c r="B1299" t="s">
        <v>557</v>
      </c>
      <c r="C1299" t="s">
        <v>1066</v>
      </c>
      <c r="D1299" t="s">
        <v>1857</v>
      </c>
      <c r="E1299" s="451">
        <v>46082</v>
      </c>
      <c r="F1299" s="451">
        <v>46117</v>
      </c>
      <c r="G1299" t="s">
        <v>564</v>
      </c>
      <c r="H1299" t="s">
        <v>565</v>
      </c>
      <c r="I1299" t="s">
        <v>1810</v>
      </c>
      <c r="J1299">
        <v>-25.47</v>
      </c>
      <c r="K1299">
        <v>-25.47</v>
      </c>
      <c r="O1299" t="s">
        <v>787</v>
      </c>
      <c r="P1299" t="s">
        <v>894</v>
      </c>
      <c r="Q1299" t="s">
        <v>461</v>
      </c>
      <c r="R1299">
        <v>0</v>
      </c>
    </row>
    <row r="1300" spans="1:18" x14ac:dyDescent="0.3">
      <c r="A1300">
        <v>221457</v>
      </c>
      <c r="B1300" t="s">
        <v>557</v>
      </c>
      <c r="C1300" t="s">
        <v>1066</v>
      </c>
      <c r="D1300" t="s">
        <v>1858</v>
      </c>
      <c r="E1300" s="451">
        <v>46082</v>
      </c>
      <c r="F1300" s="451">
        <v>46117</v>
      </c>
      <c r="G1300" t="s">
        <v>564</v>
      </c>
      <c r="H1300" t="s">
        <v>565</v>
      </c>
      <c r="I1300" t="s">
        <v>1810</v>
      </c>
      <c r="J1300">
        <v>-33.96</v>
      </c>
      <c r="K1300">
        <v>-33.96</v>
      </c>
      <c r="O1300" t="s">
        <v>787</v>
      </c>
      <c r="P1300" t="s">
        <v>894</v>
      </c>
      <c r="Q1300" t="s">
        <v>461</v>
      </c>
      <c r="R1300">
        <v>0</v>
      </c>
    </row>
    <row r="1301" spans="1:18" x14ac:dyDescent="0.3">
      <c r="A1301">
        <v>223080</v>
      </c>
      <c r="B1301" t="s">
        <v>557</v>
      </c>
      <c r="C1301" t="s">
        <v>879</v>
      </c>
      <c r="D1301" t="s">
        <v>1859</v>
      </c>
      <c r="E1301" s="451">
        <v>46082</v>
      </c>
      <c r="F1301" s="451">
        <v>46137</v>
      </c>
      <c r="G1301" t="s">
        <v>571</v>
      </c>
      <c r="H1301" t="s">
        <v>75</v>
      </c>
      <c r="I1301" t="s">
        <v>1852</v>
      </c>
      <c r="J1301">
        <v>-609.66</v>
      </c>
      <c r="K1301">
        <v>-609.66</v>
      </c>
      <c r="M1301" t="s">
        <v>881</v>
      </c>
      <c r="N1301" t="s">
        <v>73</v>
      </c>
      <c r="O1301" t="s">
        <v>787</v>
      </c>
      <c r="P1301" t="s">
        <v>894</v>
      </c>
      <c r="Q1301" t="s">
        <v>461</v>
      </c>
      <c r="R1301">
        <v>0</v>
      </c>
    </row>
    <row r="1302" spans="1:18" x14ac:dyDescent="0.3">
      <c r="A1302">
        <v>221451</v>
      </c>
      <c r="B1302" t="s">
        <v>557</v>
      </c>
      <c r="C1302" t="s">
        <v>1066</v>
      </c>
      <c r="D1302" t="s">
        <v>1860</v>
      </c>
      <c r="E1302" s="451">
        <v>46082</v>
      </c>
      <c r="F1302" s="451">
        <v>46117</v>
      </c>
      <c r="G1302" t="s">
        <v>264</v>
      </c>
      <c r="H1302" t="s">
        <v>272</v>
      </c>
      <c r="I1302" t="s">
        <v>1808</v>
      </c>
      <c r="J1302">
        <v>-70</v>
      </c>
      <c r="K1302">
        <v>-70</v>
      </c>
      <c r="O1302" t="s">
        <v>787</v>
      </c>
      <c r="P1302" t="s">
        <v>894</v>
      </c>
      <c r="Q1302" t="s">
        <v>461</v>
      </c>
      <c r="R1302">
        <v>0</v>
      </c>
    </row>
    <row r="1303" spans="1:18" x14ac:dyDescent="0.3">
      <c r="A1303">
        <v>221449</v>
      </c>
      <c r="B1303" t="s">
        <v>557</v>
      </c>
      <c r="C1303" t="s">
        <v>1066</v>
      </c>
      <c r="D1303" t="s">
        <v>1861</v>
      </c>
      <c r="E1303" s="451">
        <v>46082</v>
      </c>
      <c r="F1303" s="451">
        <v>46117</v>
      </c>
      <c r="G1303" t="s">
        <v>264</v>
      </c>
      <c r="H1303" t="s">
        <v>268</v>
      </c>
      <c r="I1303" t="s">
        <v>1862</v>
      </c>
      <c r="J1303">
        <v>-26.1</v>
      </c>
      <c r="K1303">
        <v>-26.1</v>
      </c>
      <c r="O1303" t="s">
        <v>787</v>
      </c>
      <c r="P1303" t="s">
        <v>894</v>
      </c>
      <c r="Q1303" t="s">
        <v>461</v>
      </c>
      <c r="R1303">
        <v>0</v>
      </c>
    </row>
    <row r="1304" spans="1:18" x14ac:dyDescent="0.3">
      <c r="A1304">
        <v>221432</v>
      </c>
      <c r="B1304" t="s">
        <v>557</v>
      </c>
      <c r="C1304" t="s">
        <v>1066</v>
      </c>
      <c r="D1304" t="s">
        <v>1863</v>
      </c>
      <c r="E1304" s="451">
        <v>46082</v>
      </c>
      <c r="F1304" s="451">
        <v>46117</v>
      </c>
      <c r="G1304" t="s">
        <v>564</v>
      </c>
      <c r="H1304" t="s">
        <v>565</v>
      </c>
      <c r="I1304" t="s">
        <v>1845</v>
      </c>
      <c r="J1304">
        <v>-47.97</v>
      </c>
      <c r="K1304">
        <v>-47.97</v>
      </c>
      <c r="O1304" t="s">
        <v>787</v>
      </c>
      <c r="P1304" t="s">
        <v>894</v>
      </c>
      <c r="Q1304" t="s">
        <v>461</v>
      </c>
      <c r="R1304">
        <v>0</v>
      </c>
    </row>
    <row r="1305" spans="1:18" x14ac:dyDescent="0.3">
      <c r="A1305">
        <v>193426</v>
      </c>
      <c r="B1305" t="s">
        <v>557</v>
      </c>
      <c r="C1305" t="s">
        <v>873</v>
      </c>
      <c r="D1305" t="s">
        <v>1864</v>
      </c>
      <c r="E1305" s="451">
        <v>46082</v>
      </c>
      <c r="F1305" s="451">
        <v>46099</v>
      </c>
      <c r="G1305" t="s">
        <v>874</v>
      </c>
      <c r="H1305" t="s">
        <v>875</v>
      </c>
      <c r="I1305" t="s">
        <v>1865</v>
      </c>
      <c r="J1305">
        <v>-400</v>
      </c>
      <c r="K1305">
        <v>-400</v>
      </c>
      <c r="O1305" t="s">
        <v>787</v>
      </c>
      <c r="P1305" t="s">
        <v>894</v>
      </c>
      <c r="Q1305" t="s">
        <v>461</v>
      </c>
      <c r="R1305">
        <v>0</v>
      </c>
    </row>
    <row r="1306" spans="1:18" x14ac:dyDescent="0.3">
      <c r="A1306">
        <v>196298</v>
      </c>
      <c r="B1306" t="s">
        <v>557</v>
      </c>
      <c r="C1306" t="s">
        <v>834</v>
      </c>
      <c r="D1306" t="s">
        <v>1866</v>
      </c>
      <c r="E1306" s="451">
        <v>46082</v>
      </c>
      <c r="F1306" s="451">
        <v>46081</v>
      </c>
      <c r="G1306" t="s">
        <v>578</v>
      </c>
      <c r="H1306" t="s">
        <v>239</v>
      </c>
      <c r="I1306" t="s">
        <v>835</v>
      </c>
      <c r="J1306">
        <v>-595.28</v>
      </c>
      <c r="K1306">
        <v>-595.28</v>
      </c>
      <c r="O1306" t="s">
        <v>787</v>
      </c>
      <c r="P1306" t="s">
        <v>894</v>
      </c>
      <c r="Q1306" t="s">
        <v>461</v>
      </c>
      <c r="R1306">
        <v>0</v>
      </c>
    </row>
    <row r="1307" spans="1:18" x14ac:dyDescent="0.3">
      <c r="A1307">
        <v>193479</v>
      </c>
      <c r="B1307" t="s">
        <v>557</v>
      </c>
      <c r="C1307" t="s">
        <v>1114</v>
      </c>
      <c r="D1307" t="s">
        <v>1867</v>
      </c>
      <c r="E1307" s="451">
        <v>46082</v>
      </c>
      <c r="F1307" s="451">
        <v>46079</v>
      </c>
      <c r="G1307" t="s">
        <v>577</v>
      </c>
      <c r="H1307" t="s">
        <v>215</v>
      </c>
      <c r="I1307" t="s">
        <v>1868</v>
      </c>
      <c r="J1307">
        <v>-5229.26</v>
      </c>
      <c r="K1307">
        <v>-5229.26</v>
      </c>
      <c r="O1307" t="s">
        <v>787</v>
      </c>
      <c r="P1307" t="s">
        <v>894</v>
      </c>
      <c r="Q1307" t="s">
        <v>461</v>
      </c>
      <c r="R1307">
        <v>0</v>
      </c>
    </row>
    <row r="1308" spans="1:18" x14ac:dyDescent="0.3">
      <c r="A1308">
        <v>196166</v>
      </c>
      <c r="B1308" t="s">
        <v>557</v>
      </c>
      <c r="C1308" t="s">
        <v>907</v>
      </c>
      <c r="D1308" t="s">
        <v>1869</v>
      </c>
      <c r="E1308" s="451">
        <v>46082</v>
      </c>
      <c r="F1308" s="451">
        <v>46121</v>
      </c>
      <c r="G1308" t="s">
        <v>578</v>
      </c>
      <c r="H1308" t="s">
        <v>252</v>
      </c>
      <c r="I1308" t="s">
        <v>1870</v>
      </c>
      <c r="J1308">
        <v>-2700</v>
      </c>
      <c r="K1308">
        <v>-2700</v>
      </c>
      <c r="O1308" t="s">
        <v>787</v>
      </c>
      <c r="P1308" t="s">
        <v>894</v>
      </c>
      <c r="Q1308" t="s">
        <v>461</v>
      </c>
      <c r="R1308">
        <v>0</v>
      </c>
    </row>
    <row r="1309" spans="1:18" x14ac:dyDescent="0.3">
      <c r="A1309">
        <v>192942</v>
      </c>
      <c r="B1309" t="s">
        <v>557</v>
      </c>
      <c r="C1309" t="s">
        <v>921</v>
      </c>
      <c r="D1309" t="s">
        <v>1761</v>
      </c>
      <c r="E1309" s="451">
        <v>46082</v>
      </c>
      <c r="F1309" s="451">
        <v>46117</v>
      </c>
      <c r="G1309" t="s">
        <v>296</v>
      </c>
      <c r="H1309" t="s">
        <v>301</v>
      </c>
      <c r="I1309" t="s">
        <v>1871</v>
      </c>
      <c r="J1309">
        <v>-404.18</v>
      </c>
      <c r="K1309">
        <v>-1924.75</v>
      </c>
      <c r="O1309" t="s">
        <v>787</v>
      </c>
      <c r="P1309" t="s">
        <v>894</v>
      </c>
      <c r="Q1309" t="s">
        <v>461</v>
      </c>
      <c r="R1309">
        <v>0</v>
      </c>
    </row>
    <row r="1310" spans="1:18" x14ac:dyDescent="0.3">
      <c r="A1310">
        <v>192594</v>
      </c>
      <c r="B1310" t="s">
        <v>557</v>
      </c>
      <c r="C1310" t="s">
        <v>840</v>
      </c>
      <c r="D1310" t="s">
        <v>1872</v>
      </c>
      <c r="E1310" s="451">
        <v>46082</v>
      </c>
      <c r="F1310" s="451">
        <v>46112</v>
      </c>
      <c r="G1310" t="s">
        <v>581</v>
      </c>
      <c r="H1310" t="s">
        <v>288</v>
      </c>
      <c r="I1310" t="s">
        <v>1873</v>
      </c>
      <c r="J1310">
        <v>-2500</v>
      </c>
      <c r="K1310">
        <v>-2500</v>
      </c>
      <c r="O1310" t="s">
        <v>787</v>
      </c>
      <c r="P1310" t="s">
        <v>894</v>
      </c>
      <c r="Q1310" t="s">
        <v>461</v>
      </c>
      <c r="R1310">
        <v>0</v>
      </c>
    </row>
    <row r="1311" spans="1:18" x14ac:dyDescent="0.3">
      <c r="A1311">
        <v>193001</v>
      </c>
      <c r="B1311" t="s">
        <v>557</v>
      </c>
      <c r="C1311" t="s">
        <v>925</v>
      </c>
      <c r="D1311" t="s">
        <v>1761</v>
      </c>
      <c r="E1311" s="451">
        <v>46082</v>
      </c>
      <c r="F1311" s="451">
        <v>46117</v>
      </c>
      <c r="G1311" t="s">
        <v>279</v>
      </c>
      <c r="H1311" t="s">
        <v>282</v>
      </c>
      <c r="I1311" t="s">
        <v>1874</v>
      </c>
      <c r="J1311">
        <v>-40.9</v>
      </c>
      <c r="K1311">
        <v>-40.9</v>
      </c>
      <c r="O1311" t="s">
        <v>787</v>
      </c>
      <c r="P1311" t="s">
        <v>894</v>
      </c>
      <c r="Q1311" t="s">
        <v>461</v>
      </c>
      <c r="R1311">
        <v>0</v>
      </c>
    </row>
    <row r="1312" spans="1:18" x14ac:dyDescent="0.3">
      <c r="A1312">
        <v>192025</v>
      </c>
      <c r="B1312" t="s">
        <v>557</v>
      </c>
      <c r="C1312" t="s">
        <v>870</v>
      </c>
      <c r="D1312" t="s">
        <v>1875</v>
      </c>
      <c r="E1312" s="451">
        <v>46082</v>
      </c>
      <c r="F1312" s="451">
        <v>46106</v>
      </c>
      <c r="G1312" t="s">
        <v>308</v>
      </c>
      <c r="H1312" t="s">
        <v>311</v>
      </c>
      <c r="I1312" t="s">
        <v>1876</v>
      </c>
      <c r="J1312">
        <v>-1173.1300000000001</v>
      </c>
      <c r="K1312">
        <v>-1173.1300000000001</v>
      </c>
      <c r="O1312" t="s">
        <v>787</v>
      </c>
      <c r="P1312" t="s">
        <v>894</v>
      </c>
      <c r="Q1312" t="s">
        <v>461</v>
      </c>
      <c r="R1312">
        <v>0</v>
      </c>
    </row>
    <row r="1313" spans="1:18" x14ac:dyDescent="0.3">
      <c r="A1313">
        <v>192569</v>
      </c>
      <c r="B1313" t="s">
        <v>557</v>
      </c>
      <c r="C1313" t="s">
        <v>830</v>
      </c>
      <c r="D1313" t="s">
        <v>1877</v>
      </c>
      <c r="E1313" s="451">
        <v>46082</v>
      </c>
      <c r="F1313" s="451">
        <v>46112</v>
      </c>
      <c r="G1313" t="s">
        <v>264</v>
      </c>
      <c r="H1313" t="s">
        <v>276</v>
      </c>
      <c r="I1313" t="s">
        <v>1878</v>
      </c>
      <c r="J1313">
        <v>-1512</v>
      </c>
      <c r="K1313">
        <v>-1512</v>
      </c>
      <c r="O1313" t="s">
        <v>787</v>
      </c>
      <c r="P1313" t="s">
        <v>894</v>
      </c>
      <c r="Q1313" t="s">
        <v>461</v>
      </c>
      <c r="R1313">
        <v>0</v>
      </c>
    </row>
    <row r="1314" spans="1:18" x14ac:dyDescent="0.3">
      <c r="A1314">
        <v>192558</v>
      </c>
      <c r="B1314" t="s">
        <v>557</v>
      </c>
      <c r="C1314" t="s">
        <v>917</v>
      </c>
      <c r="D1314" t="s">
        <v>1879</v>
      </c>
      <c r="E1314" s="451">
        <v>46082</v>
      </c>
      <c r="F1314" s="451">
        <v>46134</v>
      </c>
      <c r="G1314" t="s">
        <v>318</v>
      </c>
      <c r="H1314" t="s">
        <v>321</v>
      </c>
      <c r="I1314" t="s">
        <v>1880</v>
      </c>
      <c r="J1314">
        <v>-200</v>
      </c>
      <c r="K1314">
        <v>-200</v>
      </c>
      <c r="O1314" t="s">
        <v>787</v>
      </c>
      <c r="P1314" t="s">
        <v>894</v>
      </c>
      <c r="Q1314" t="s">
        <v>461</v>
      </c>
      <c r="R1314">
        <v>0</v>
      </c>
    </row>
    <row r="1315" spans="1:18" x14ac:dyDescent="0.3">
      <c r="A1315">
        <v>192955</v>
      </c>
      <c r="B1315" t="s">
        <v>557</v>
      </c>
      <c r="C1315" t="s">
        <v>903</v>
      </c>
      <c r="D1315" t="s">
        <v>1881</v>
      </c>
      <c r="E1315" s="451">
        <v>46082</v>
      </c>
      <c r="F1315" s="451">
        <v>46117</v>
      </c>
      <c r="G1315" t="s">
        <v>279</v>
      </c>
      <c r="H1315" t="s">
        <v>283</v>
      </c>
      <c r="I1315" t="s">
        <v>1882</v>
      </c>
      <c r="J1315">
        <v>-314.87</v>
      </c>
      <c r="K1315">
        <v>-293.93</v>
      </c>
      <c r="O1315" t="s">
        <v>787</v>
      </c>
      <c r="P1315" t="s">
        <v>894</v>
      </c>
      <c r="Q1315" t="s">
        <v>461</v>
      </c>
      <c r="R1315">
        <v>0</v>
      </c>
    </row>
    <row r="1316" spans="1:18" x14ac:dyDescent="0.3">
      <c r="A1316">
        <v>191834</v>
      </c>
      <c r="B1316" t="s">
        <v>557</v>
      </c>
      <c r="C1316" t="s">
        <v>838</v>
      </c>
      <c r="D1316" t="s">
        <v>1883</v>
      </c>
      <c r="E1316" s="451">
        <v>46082</v>
      </c>
      <c r="F1316" s="451">
        <v>46097</v>
      </c>
      <c r="G1316" t="s">
        <v>264</v>
      </c>
      <c r="H1316" t="s">
        <v>267</v>
      </c>
      <c r="I1316" t="s">
        <v>1884</v>
      </c>
      <c r="J1316">
        <v>-6033.99</v>
      </c>
      <c r="K1316">
        <v>-6033.99</v>
      </c>
      <c r="O1316" t="s">
        <v>787</v>
      </c>
      <c r="P1316" t="s">
        <v>894</v>
      </c>
      <c r="Q1316" t="s">
        <v>461</v>
      </c>
      <c r="R1316">
        <v>0</v>
      </c>
    </row>
    <row r="1317" spans="1:18" x14ac:dyDescent="0.3">
      <c r="A1317">
        <v>200489</v>
      </c>
      <c r="B1317" t="s">
        <v>557</v>
      </c>
      <c r="C1317" t="s">
        <v>888</v>
      </c>
      <c r="D1317" t="s">
        <v>1885</v>
      </c>
      <c r="E1317" s="451">
        <v>46082</v>
      </c>
      <c r="F1317" s="451">
        <v>46137</v>
      </c>
      <c r="G1317" t="s">
        <v>570</v>
      </c>
      <c r="H1317" t="s">
        <v>573</v>
      </c>
      <c r="I1317" t="s">
        <v>880</v>
      </c>
      <c r="J1317">
        <v>-4400</v>
      </c>
      <c r="K1317">
        <v>-4400</v>
      </c>
      <c r="M1317" t="s">
        <v>887</v>
      </c>
      <c r="N1317" t="s">
        <v>131</v>
      </c>
      <c r="O1317" t="s">
        <v>787</v>
      </c>
      <c r="P1317" t="s">
        <v>894</v>
      </c>
      <c r="Q1317" t="s">
        <v>461</v>
      </c>
      <c r="R1317">
        <v>0</v>
      </c>
    </row>
    <row r="1318" spans="1:18" x14ac:dyDescent="0.3">
      <c r="A1318">
        <v>200528</v>
      </c>
      <c r="B1318" t="s">
        <v>557</v>
      </c>
      <c r="C1318" t="s">
        <v>886</v>
      </c>
      <c r="D1318" t="s">
        <v>1886</v>
      </c>
      <c r="E1318" s="451">
        <v>46082</v>
      </c>
      <c r="F1318" s="451">
        <v>46113</v>
      </c>
      <c r="G1318" t="s">
        <v>570</v>
      </c>
      <c r="H1318" t="s">
        <v>573</v>
      </c>
      <c r="I1318" t="s">
        <v>880</v>
      </c>
      <c r="J1318">
        <v>-3300</v>
      </c>
      <c r="K1318">
        <v>-3300</v>
      </c>
      <c r="M1318" t="s">
        <v>887</v>
      </c>
      <c r="N1318" t="s">
        <v>131</v>
      </c>
      <c r="O1318" t="s">
        <v>787</v>
      </c>
      <c r="P1318" t="s">
        <v>894</v>
      </c>
      <c r="Q1318" t="s">
        <v>461</v>
      </c>
      <c r="R1318">
        <v>0</v>
      </c>
    </row>
    <row r="1319" spans="1:18" x14ac:dyDescent="0.3">
      <c r="A1319">
        <v>189770</v>
      </c>
      <c r="B1319" t="s">
        <v>557</v>
      </c>
      <c r="C1319" t="s">
        <v>934</v>
      </c>
      <c r="D1319" t="s">
        <v>1887</v>
      </c>
      <c r="E1319" s="451">
        <v>46082</v>
      </c>
      <c r="F1319" s="451">
        <v>46101</v>
      </c>
      <c r="G1319" t="s">
        <v>308</v>
      </c>
      <c r="H1319" t="s">
        <v>312</v>
      </c>
      <c r="I1319" t="s">
        <v>1888</v>
      </c>
      <c r="J1319">
        <v>-185</v>
      </c>
      <c r="K1319">
        <v>-185</v>
      </c>
      <c r="O1319" t="s">
        <v>787</v>
      </c>
      <c r="P1319" t="s">
        <v>894</v>
      </c>
      <c r="Q1319" t="s">
        <v>461</v>
      </c>
      <c r="R1319">
        <v>0</v>
      </c>
    </row>
    <row r="1320" spans="1:18" x14ac:dyDescent="0.3">
      <c r="A1320">
        <v>200577</v>
      </c>
      <c r="B1320" t="s">
        <v>557</v>
      </c>
      <c r="C1320" t="s">
        <v>882</v>
      </c>
      <c r="D1320" t="s">
        <v>1493</v>
      </c>
      <c r="E1320" s="451">
        <v>46082</v>
      </c>
      <c r="F1320" s="451">
        <v>46127</v>
      </c>
      <c r="G1320" t="s">
        <v>570</v>
      </c>
      <c r="H1320" t="s">
        <v>573</v>
      </c>
      <c r="I1320" t="s">
        <v>880</v>
      </c>
      <c r="J1320">
        <v>-3250</v>
      </c>
      <c r="K1320">
        <v>-3250</v>
      </c>
      <c r="M1320" t="s">
        <v>883</v>
      </c>
      <c r="N1320" t="s">
        <v>135</v>
      </c>
      <c r="O1320" t="s">
        <v>787</v>
      </c>
      <c r="P1320" t="s">
        <v>894</v>
      </c>
      <c r="Q1320" t="s">
        <v>461</v>
      </c>
      <c r="R1320">
        <v>0</v>
      </c>
    </row>
    <row r="1321" spans="1:18" x14ac:dyDescent="0.3">
      <c r="A1321">
        <v>192127</v>
      </c>
      <c r="B1321" t="s">
        <v>557</v>
      </c>
      <c r="C1321" t="s">
        <v>909</v>
      </c>
      <c r="D1321" t="s">
        <v>1889</v>
      </c>
      <c r="E1321" s="451">
        <v>46082</v>
      </c>
      <c r="F1321" s="451">
        <v>46101</v>
      </c>
      <c r="G1321" t="s">
        <v>308</v>
      </c>
      <c r="H1321" t="s">
        <v>311</v>
      </c>
      <c r="I1321" t="s">
        <v>1890</v>
      </c>
      <c r="J1321">
        <v>-300</v>
      </c>
      <c r="K1321">
        <v>-300</v>
      </c>
      <c r="O1321" t="s">
        <v>787</v>
      </c>
      <c r="P1321" t="s">
        <v>894</v>
      </c>
      <c r="Q1321" t="s">
        <v>461</v>
      </c>
      <c r="R1321">
        <v>0</v>
      </c>
    </row>
    <row r="1322" spans="1:18" x14ac:dyDescent="0.3">
      <c r="A1322">
        <v>191723</v>
      </c>
      <c r="B1322" t="s">
        <v>557</v>
      </c>
      <c r="C1322" t="s">
        <v>895</v>
      </c>
      <c r="D1322" t="s">
        <v>1891</v>
      </c>
      <c r="E1322" s="451">
        <v>46082</v>
      </c>
      <c r="F1322" s="451">
        <v>46096</v>
      </c>
      <c r="G1322" t="s">
        <v>308</v>
      </c>
      <c r="H1322" t="s">
        <v>309</v>
      </c>
      <c r="I1322" t="s">
        <v>1892</v>
      </c>
      <c r="J1322">
        <v>-2175.62</v>
      </c>
      <c r="K1322">
        <v>-2175.62</v>
      </c>
      <c r="O1322" t="s">
        <v>787</v>
      </c>
      <c r="P1322" t="s">
        <v>894</v>
      </c>
      <c r="Q1322" t="s">
        <v>461</v>
      </c>
      <c r="R1322">
        <v>0</v>
      </c>
    </row>
    <row r="1323" spans="1:18" x14ac:dyDescent="0.3">
      <c r="A1323">
        <v>200541</v>
      </c>
      <c r="B1323" t="s">
        <v>557</v>
      </c>
      <c r="C1323" t="s">
        <v>886</v>
      </c>
      <c r="D1323" t="s">
        <v>1886</v>
      </c>
      <c r="E1323" s="451">
        <v>46082</v>
      </c>
      <c r="F1323" s="451">
        <v>46127</v>
      </c>
      <c r="G1323" t="s">
        <v>570</v>
      </c>
      <c r="H1323" t="s">
        <v>573</v>
      </c>
      <c r="I1323" t="s">
        <v>880</v>
      </c>
      <c r="J1323">
        <v>-3300</v>
      </c>
      <c r="K1323">
        <v>-3300</v>
      </c>
      <c r="M1323" t="s">
        <v>887</v>
      </c>
      <c r="N1323" t="s">
        <v>131</v>
      </c>
      <c r="O1323" t="s">
        <v>787</v>
      </c>
      <c r="P1323" t="s">
        <v>894</v>
      </c>
      <c r="Q1323" t="s">
        <v>461</v>
      </c>
      <c r="R1323">
        <v>0</v>
      </c>
    </row>
    <row r="1324" spans="1:18" x14ac:dyDescent="0.3">
      <c r="A1324">
        <v>192089</v>
      </c>
      <c r="B1324" t="s">
        <v>557</v>
      </c>
      <c r="C1324" t="s">
        <v>877</v>
      </c>
      <c r="D1324" t="s">
        <v>1893</v>
      </c>
      <c r="E1324" s="451">
        <v>46082</v>
      </c>
      <c r="F1324" s="451">
        <v>46130</v>
      </c>
      <c r="G1324" t="s">
        <v>308</v>
      </c>
      <c r="H1324" t="s">
        <v>314</v>
      </c>
      <c r="I1324" t="s">
        <v>1894</v>
      </c>
      <c r="J1324">
        <v>-738.35</v>
      </c>
      <c r="K1324">
        <v>-738.35</v>
      </c>
      <c r="O1324" t="s">
        <v>787</v>
      </c>
      <c r="P1324" t="s">
        <v>894</v>
      </c>
      <c r="Q1324" t="s">
        <v>461</v>
      </c>
      <c r="R1324">
        <v>0</v>
      </c>
    </row>
    <row r="1325" spans="1:18" x14ac:dyDescent="0.3">
      <c r="A1325">
        <v>191750</v>
      </c>
      <c r="B1325" t="s">
        <v>557</v>
      </c>
      <c r="C1325" t="s">
        <v>895</v>
      </c>
      <c r="D1325" t="s">
        <v>1895</v>
      </c>
      <c r="E1325" s="451">
        <v>46082</v>
      </c>
      <c r="F1325" s="451">
        <v>46096</v>
      </c>
      <c r="G1325" t="s">
        <v>308</v>
      </c>
      <c r="H1325" t="s">
        <v>309</v>
      </c>
      <c r="I1325" t="s">
        <v>1896</v>
      </c>
      <c r="J1325">
        <v>-829.92</v>
      </c>
      <c r="K1325">
        <v>-829.92</v>
      </c>
      <c r="O1325" t="s">
        <v>787</v>
      </c>
      <c r="P1325" t="s">
        <v>894</v>
      </c>
      <c r="Q1325" t="s">
        <v>461</v>
      </c>
      <c r="R1325">
        <v>0</v>
      </c>
    </row>
    <row r="1326" spans="1:18" x14ac:dyDescent="0.3">
      <c r="A1326">
        <v>200463</v>
      </c>
      <c r="B1326" t="s">
        <v>557</v>
      </c>
      <c r="C1326" t="s">
        <v>888</v>
      </c>
      <c r="D1326" t="s">
        <v>1885</v>
      </c>
      <c r="E1326" s="451">
        <v>46082</v>
      </c>
      <c r="F1326" s="451">
        <v>46113</v>
      </c>
      <c r="G1326" t="s">
        <v>570</v>
      </c>
      <c r="H1326" t="s">
        <v>573</v>
      </c>
      <c r="I1326" t="s">
        <v>880</v>
      </c>
      <c r="J1326">
        <v>-3300</v>
      </c>
      <c r="K1326">
        <v>-3300</v>
      </c>
      <c r="M1326" t="s">
        <v>887</v>
      </c>
      <c r="N1326" t="s">
        <v>131</v>
      </c>
      <c r="O1326" t="s">
        <v>787</v>
      </c>
      <c r="P1326" t="s">
        <v>894</v>
      </c>
      <c r="Q1326" t="s">
        <v>461</v>
      </c>
      <c r="R1326">
        <v>0</v>
      </c>
    </row>
    <row r="1327" spans="1:18" x14ac:dyDescent="0.3">
      <c r="A1327">
        <v>191847</v>
      </c>
      <c r="B1327" t="s">
        <v>557</v>
      </c>
      <c r="C1327" t="s">
        <v>898</v>
      </c>
      <c r="D1327" t="s">
        <v>1224</v>
      </c>
      <c r="E1327" s="451">
        <v>46082</v>
      </c>
      <c r="F1327" s="451">
        <v>46114</v>
      </c>
      <c r="G1327" t="s">
        <v>279</v>
      </c>
      <c r="H1327" t="s">
        <v>281</v>
      </c>
      <c r="I1327" t="s">
        <v>1897</v>
      </c>
      <c r="J1327">
        <v>-137.12</v>
      </c>
      <c r="K1327">
        <v>-137.12</v>
      </c>
      <c r="O1327" t="s">
        <v>787</v>
      </c>
      <c r="P1327" t="s">
        <v>894</v>
      </c>
      <c r="Q1327" t="s">
        <v>461</v>
      </c>
      <c r="R1327">
        <v>0</v>
      </c>
    </row>
    <row r="1328" spans="1:18" x14ac:dyDescent="0.3">
      <c r="A1328">
        <v>191883</v>
      </c>
      <c r="B1328" t="s">
        <v>557</v>
      </c>
      <c r="C1328" t="s">
        <v>900</v>
      </c>
      <c r="D1328" t="s">
        <v>1898</v>
      </c>
      <c r="E1328" s="451">
        <v>46082</v>
      </c>
      <c r="F1328" s="451">
        <v>46118</v>
      </c>
      <c r="G1328" t="s">
        <v>264</v>
      </c>
      <c r="H1328" t="s">
        <v>266</v>
      </c>
      <c r="I1328" t="s">
        <v>1899</v>
      </c>
      <c r="J1328">
        <v>-13034.09</v>
      </c>
      <c r="K1328">
        <v>-13034.09</v>
      </c>
      <c r="O1328" t="s">
        <v>787</v>
      </c>
      <c r="P1328" t="s">
        <v>894</v>
      </c>
      <c r="Q1328" t="s">
        <v>461</v>
      </c>
      <c r="R1328">
        <v>0</v>
      </c>
    </row>
    <row r="1329" spans="1:18" x14ac:dyDescent="0.3">
      <c r="A1329">
        <v>200565</v>
      </c>
      <c r="B1329" t="s">
        <v>557</v>
      </c>
      <c r="C1329" t="s">
        <v>882</v>
      </c>
      <c r="D1329" t="s">
        <v>1493</v>
      </c>
      <c r="E1329" s="451">
        <v>46082</v>
      </c>
      <c r="F1329" s="451">
        <v>46113</v>
      </c>
      <c r="G1329" t="s">
        <v>570</v>
      </c>
      <c r="H1329" t="s">
        <v>573</v>
      </c>
      <c r="I1329" t="s">
        <v>880</v>
      </c>
      <c r="J1329">
        <v>-3250</v>
      </c>
      <c r="K1329">
        <v>-3250</v>
      </c>
      <c r="M1329" t="s">
        <v>883</v>
      </c>
      <c r="N1329" t="s">
        <v>135</v>
      </c>
      <c r="O1329" t="s">
        <v>787</v>
      </c>
      <c r="P1329" t="s">
        <v>894</v>
      </c>
      <c r="Q1329" t="s">
        <v>461</v>
      </c>
      <c r="R1329">
        <v>0</v>
      </c>
    </row>
    <row r="1330" spans="1:18" x14ac:dyDescent="0.3">
      <c r="A1330">
        <v>191919</v>
      </c>
      <c r="B1330" t="s">
        <v>557</v>
      </c>
      <c r="C1330" t="s">
        <v>889</v>
      </c>
      <c r="D1330" t="s">
        <v>1900</v>
      </c>
      <c r="E1330" s="451">
        <v>46082</v>
      </c>
      <c r="F1330" s="451">
        <v>46104</v>
      </c>
      <c r="G1330" t="s">
        <v>279</v>
      </c>
      <c r="H1330" t="s">
        <v>282</v>
      </c>
      <c r="I1330" t="s">
        <v>1901</v>
      </c>
      <c r="J1330">
        <v>-308.07</v>
      </c>
      <c r="K1330">
        <v>-308.07</v>
      </c>
      <c r="O1330" t="s">
        <v>787</v>
      </c>
      <c r="P1330" t="s">
        <v>894</v>
      </c>
      <c r="Q1330" t="s">
        <v>461</v>
      </c>
      <c r="R1330">
        <v>0</v>
      </c>
    </row>
    <row r="1331" spans="1:18" x14ac:dyDescent="0.3">
      <c r="A1331">
        <v>191931</v>
      </c>
      <c r="B1331" t="s">
        <v>557</v>
      </c>
      <c r="C1331" t="s">
        <v>889</v>
      </c>
      <c r="D1331" t="s">
        <v>1902</v>
      </c>
      <c r="E1331" s="451">
        <v>46082</v>
      </c>
      <c r="F1331" s="451">
        <v>46114</v>
      </c>
      <c r="G1331" t="s">
        <v>279</v>
      </c>
      <c r="H1331" t="s">
        <v>281</v>
      </c>
      <c r="I1331" t="s">
        <v>1903</v>
      </c>
      <c r="J1331">
        <v>-159.80000000000001</v>
      </c>
      <c r="K1331">
        <v>-159.80000000000001</v>
      </c>
      <c r="O1331" t="s">
        <v>787</v>
      </c>
      <c r="P1331" t="s">
        <v>894</v>
      </c>
      <c r="Q1331" t="s">
        <v>461</v>
      </c>
      <c r="R1331">
        <v>0</v>
      </c>
    </row>
    <row r="1332" spans="1:18" x14ac:dyDescent="0.3">
      <c r="A1332">
        <v>191978</v>
      </c>
      <c r="B1332" t="s">
        <v>557</v>
      </c>
      <c r="C1332" t="s">
        <v>832</v>
      </c>
      <c r="D1332" t="s">
        <v>1904</v>
      </c>
      <c r="E1332" s="451">
        <v>46082</v>
      </c>
      <c r="F1332" s="451">
        <v>46109</v>
      </c>
      <c r="G1332" t="s">
        <v>264</v>
      </c>
      <c r="H1332" t="s">
        <v>271</v>
      </c>
      <c r="I1332" t="s">
        <v>1905</v>
      </c>
      <c r="J1332">
        <v>-1020.11</v>
      </c>
      <c r="K1332">
        <v>-1020.11</v>
      </c>
      <c r="O1332" t="s">
        <v>787</v>
      </c>
      <c r="P1332" t="s">
        <v>894</v>
      </c>
      <c r="Q1332" t="s">
        <v>461</v>
      </c>
      <c r="R1332">
        <v>0</v>
      </c>
    </row>
    <row r="1333" spans="1:18" x14ac:dyDescent="0.3">
      <c r="A1333">
        <v>196322</v>
      </c>
      <c r="B1333" t="s">
        <v>557</v>
      </c>
      <c r="C1333" t="s">
        <v>834</v>
      </c>
      <c r="D1333" t="s">
        <v>1906</v>
      </c>
      <c r="E1333" s="451">
        <v>46082</v>
      </c>
      <c r="F1333" s="451">
        <v>46079</v>
      </c>
      <c r="G1333" t="s">
        <v>578</v>
      </c>
      <c r="H1333" t="s">
        <v>239</v>
      </c>
      <c r="I1333" t="s">
        <v>844</v>
      </c>
      <c r="J1333">
        <v>-1037.28</v>
      </c>
      <c r="K1333">
        <v>-1037.28</v>
      </c>
      <c r="O1333" t="s">
        <v>787</v>
      </c>
      <c r="P1333" t="s">
        <v>894</v>
      </c>
      <c r="Q1333" t="s">
        <v>461</v>
      </c>
      <c r="R1333">
        <v>0</v>
      </c>
    </row>
    <row r="1334" spans="1:18" x14ac:dyDescent="0.3">
      <c r="A1334">
        <v>200553</v>
      </c>
      <c r="B1334" t="s">
        <v>557</v>
      </c>
      <c r="C1334" t="s">
        <v>884</v>
      </c>
      <c r="D1334" t="s">
        <v>1907</v>
      </c>
      <c r="E1334" s="451">
        <v>46082</v>
      </c>
      <c r="F1334" s="451">
        <v>46122</v>
      </c>
      <c r="G1334" t="s">
        <v>570</v>
      </c>
      <c r="H1334" t="s">
        <v>573</v>
      </c>
      <c r="I1334" t="s">
        <v>1908</v>
      </c>
      <c r="J1334">
        <v>-1750</v>
      </c>
      <c r="K1334">
        <v>-1750</v>
      </c>
      <c r="M1334" t="s">
        <v>885</v>
      </c>
      <c r="N1334" t="s">
        <v>134</v>
      </c>
      <c r="O1334" t="s">
        <v>787</v>
      </c>
      <c r="P1334" t="s">
        <v>894</v>
      </c>
      <c r="Q1334" t="s">
        <v>461</v>
      </c>
      <c r="R1334">
        <v>0</v>
      </c>
    </row>
    <row r="1335" spans="1:18" x14ac:dyDescent="0.3">
      <c r="A1335">
        <v>200476</v>
      </c>
      <c r="B1335" t="s">
        <v>557</v>
      </c>
      <c r="C1335" t="s">
        <v>888</v>
      </c>
      <c r="D1335" t="s">
        <v>1885</v>
      </c>
      <c r="E1335" s="451">
        <v>46082</v>
      </c>
      <c r="F1335" s="451">
        <v>46127</v>
      </c>
      <c r="G1335" t="s">
        <v>570</v>
      </c>
      <c r="H1335" t="s">
        <v>573</v>
      </c>
      <c r="I1335" t="s">
        <v>880</v>
      </c>
      <c r="J1335">
        <v>-3300</v>
      </c>
      <c r="K1335">
        <v>-3300</v>
      </c>
      <c r="M1335" t="s">
        <v>887</v>
      </c>
      <c r="N1335" t="s">
        <v>131</v>
      </c>
      <c r="O1335" t="s">
        <v>787</v>
      </c>
      <c r="P1335" t="s">
        <v>894</v>
      </c>
      <c r="Q1335" t="s">
        <v>461</v>
      </c>
      <c r="R1335">
        <v>0</v>
      </c>
    </row>
    <row r="1336" spans="1:18" x14ac:dyDescent="0.3">
      <c r="A1336">
        <v>192544</v>
      </c>
      <c r="B1336" t="s">
        <v>557</v>
      </c>
      <c r="C1336" t="s">
        <v>1668</v>
      </c>
      <c r="D1336" t="s">
        <v>1366</v>
      </c>
      <c r="E1336" s="451">
        <v>46082</v>
      </c>
      <c r="F1336" s="451">
        <v>46127</v>
      </c>
      <c r="G1336" t="s">
        <v>581</v>
      </c>
      <c r="H1336" t="s">
        <v>288</v>
      </c>
      <c r="I1336" t="s">
        <v>1670</v>
      </c>
      <c r="J1336">
        <v>-1000</v>
      </c>
      <c r="K1336">
        <v>-1000</v>
      </c>
      <c r="O1336" t="s">
        <v>787</v>
      </c>
      <c r="P1336" t="s">
        <v>894</v>
      </c>
      <c r="Q1336" t="s">
        <v>461</v>
      </c>
      <c r="R1336">
        <v>0</v>
      </c>
    </row>
    <row r="1337" spans="1:18" x14ac:dyDescent="0.3">
      <c r="A1337">
        <v>192511</v>
      </c>
      <c r="B1337" t="s">
        <v>557</v>
      </c>
      <c r="C1337" t="s">
        <v>836</v>
      </c>
      <c r="D1337" t="s">
        <v>1909</v>
      </c>
      <c r="E1337" s="451">
        <v>46082</v>
      </c>
      <c r="F1337" s="451">
        <v>46104</v>
      </c>
      <c r="G1337" t="s">
        <v>318</v>
      </c>
      <c r="H1337" t="s">
        <v>319</v>
      </c>
      <c r="I1337" t="s">
        <v>1910</v>
      </c>
      <c r="J1337">
        <v>-500</v>
      </c>
      <c r="K1337">
        <v>-500</v>
      </c>
      <c r="O1337" t="s">
        <v>787</v>
      </c>
      <c r="P1337" t="s">
        <v>894</v>
      </c>
      <c r="Q1337" t="s">
        <v>461</v>
      </c>
      <c r="R1337">
        <v>0</v>
      </c>
    </row>
    <row r="1338" spans="1:18" x14ac:dyDescent="0.3">
      <c r="A1338">
        <v>192499</v>
      </c>
      <c r="B1338" t="s">
        <v>557</v>
      </c>
      <c r="C1338" t="s">
        <v>936</v>
      </c>
      <c r="D1338" t="s">
        <v>1911</v>
      </c>
      <c r="E1338" s="451">
        <v>46082</v>
      </c>
      <c r="F1338" s="451">
        <v>46101</v>
      </c>
      <c r="G1338" t="s">
        <v>318</v>
      </c>
      <c r="H1338" t="s">
        <v>319</v>
      </c>
      <c r="I1338" t="s">
        <v>1912</v>
      </c>
      <c r="J1338">
        <v>-1264</v>
      </c>
      <c r="K1338">
        <v>-1264</v>
      </c>
      <c r="O1338" t="s">
        <v>787</v>
      </c>
      <c r="P1338" t="s">
        <v>894</v>
      </c>
      <c r="Q1338" t="s">
        <v>461</v>
      </c>
      <c r="R1338">
        <v>0</v>
      </c>
    </row>
    <row r="1339" spans="1:18" x14ac:dyDescent="0.3">
      <c r="A1339">
        <v>192396</v>
      </c>
      <c r="B1339" t="s">
        <v>557</v>
      </c>
      <c r="C1339" t="s">
        <v>823</v>
      </c>
      <c r="D1339" t="s">
        <v>1913</v>
      </c>
      <c r="E1339" s="451">
        <v>46082</v>
      </c>
      <c r="F1339" s="451">
        <v>46096</v>
      </c>
      <c r="G1339" t="s">
        <v>279</v>
      </c>
      <c r="H1339" t="s">
        <v>286</v>
      </c>
      <c r="I1339" t="s">
        <v>1914</v>
      </c>
      <c r="J1339">
        <v>-219</v>
      </c>
      <c r="K1339">
        <v>-219</v>
      </c>
      <c r="O1339" t="s">
        <v>787</v>
      </c>
      <c r="P1339" t="s">
        <v>894</v>
      </c>
      <c r="Q1339" t="s">
        <v>461</v>
      </c>
      <c r="R1339">
        <v>0</v>
      </c>
    </row>
    <row r="1340" spans="1:18" x14ac:dyDescent="0.3">
      <c r="A1340">
        <v>192384</v>
      </c>
      <c r="B1340" t="s">
        <v>557</v>
      </c>
      <c r="C1340" t="s">
        <v>905</v>
      </c>
      <c r="D1340" t="s">
        <v>1915</v>
      </c>
      <c r="E1340" s="451">
        <v>46082</v>
      </c>
      <c r="F1340" s="451">
        <v>46124</v>
      </c>
      <c r="G1340" t="s">
        <v>296</v>
      </c>
      <c r="H1340" t="s">
        <v>298</v>
      </c>
      <c r="I1340" t="s">
        <v>1916</v>
      </c>
      <c r="J1340">
        <v>-500</v>
      </c>
      <c r="K1340">
        <v>-500</v>
      </c>
      <c r="O1340" t="s">
        <v>787</v>
      </c>
      <c r="P1340" t="s">
        <v>894</v>
      </c>
      <c r="Q1340" t="s">
        <v>461</v>
      </c>
      <c r="R1340">
        <v>0</v>
      </c>
    </row>
    <row r="1341" spans="1:18" x14ac:dyDescent="0.3">
      <c r="A1341">
        <v>192349</v>
      </c>
      <c r="B1341" t="s">
        <v>557</v>
      </c>
      <c r="C1341" t="s">
        <v>911</v>
      </c>
      <c r="D1341" t="s">
        <v>1917</v>
      </c>
      <c r="E1341" s="451">
        <v>46082</v>
      </c>
      <c r="F1341" s="451">
        <v>46091</v>
      </c>
      <c r="G1341" t="s">
        <v>279</v>
      </c>
      <c r="H1341" t="s">
        <v>281</v>
      </c>
      <c r="I1341" t="s">
        <v>1918</v>
      </c>
      <c r="J1341">
        <v>-299.99</v>
      </c>
      <c r="K1341">
        <v>-299.99</v>
      </c>
      <c r="O1341" t="s">
        <v>787</v>
      </c>
      <c r="P1341" t="s">
        <v>894</v>
      </c>
      <c r="Q1341" t="s">
        <v>461</v>
      </c>
      <c r="R1341">
        <v>0</v>
      </c>
    </row>
    <row r="1342" spans="1:18" x14ac:dyDescent="0.3">
      <c r="A1342">
        <v>192328</v>
      </c>
      <c r="B1342" t="s">
        <v>557</v>
      </c>
      <c r="C1342" t="s">
        <v>913</v>
      </c>
      <c r="D1342" t="s">
        <v>1919</v>
      </c>
      <c r="E1342" s="451">
        <v>46082</v>
      </c>
      <c r="F1342" s="451">
        <v>46185</v>
      </c>
      <c r="G1342" t="s">
        <v>296</v>
      </c>
      <c r="H1342" t="s">
        <v>297</v>
      </c>
      <c r="I1342" t="s">
        <v>1920</v>
      </c>
      <c r="J1342">
        <v>-4000</v>
      </c>
      <c r="K1342">
        <v>-4000</v>
      </c>
      <c r="M1342" t="s">
        <v>915</v>
      </c>
      <c r="N1342" t="s">
        <v>916</v>
      </c>
      <c r="O1342" t="s">
        <v>787</v>
      </c>
      <c r="P1342" t="s">
        <v>894</v>
      </c>
      <c r="Q1342" t="s">
        <v>461</v>
      </c>
      <c r="R1342">
        <v>0</v>
      </c>
    </row>
    <row r="1343" spans="1:18" x14ac:dyDescent="0.3">
      <c r="A1343">
        <v>204919</v>
      </c>
      <c r="B1343" t="s">
        <v>557</v>
      </c>
      <c r="C1343" t="s">
        <v>842</v>
      </c>
      <c r="D1343" t="s">
        <v>1921</v>
      </c>
      <c r="E1343" s="451">
        <v>46082</v>
      </c>
      <c r="F1343" s="451">
        <v>46111</v>
      </c>
      <c r="G1343" t="s">
        <v>578</v>
      </c>
      <c r="H1343" t="s">
        <v>242</v>
      </c>
      <c r="I1343" t="s">
        <v>843</v>
      </c>
      <c r="J1343">
        <v>-207.65</v>
      </c>
      <c r="K1343">
        <v>-207.65</v>
      </c>
      <c r="O1343" t="s">
        <v>787</v>
      </c>
      <c r="P1343" t="s">
        <v>894</v>
      </c>
      <c r="Q1343" t="s">
        <v>461</v>
      </c>
      <c r="R1343">
        <v>0</v>
      </c>
    </row>
    <row r="1344" spans="1:18" x14ac:dyDescent="0.3">
      <c r="A1344">
        <v>192162</v>
      </c>
      <c r="B1344" t="s">
        <v>557</v>
      </c>
      <c r="C1344" t="s">
        <v>932</v>
      </c>
      <c r="D1344" t="s">
        <v>1922</v>
      </c>
      <c r="E1344" s="451">
        <v>46082</v>
      </c>
      <c r="F1344" s="451">
        <v>46097</v>
      </c>
      <c r="G1344" t="s">
        <v>264</v>
      </c>
      <c r="H1344" t="s">
        <v>270</v>
      </c>
      <c r="I1344" t="s">
        <v>1923</v>
      </c>
      <c r="J1344">
        <v>-550</v>
      </c>
      <c r="K1344">
        <v>-550</v>
      </c>
      <c r="O1344" t="s">
        <v>787</v>
      </c>
      <c r="P1344" t="s">
        <v>894</v>
      </c>
      <c r="Q1344" t="s">
        <v>461</v>
      </c>
      <c r="R1344">
        <v>0</v>
      </c>
    </row>
    <row r="1345" spans="1:18" x14ac:dyDescent="0.3">
      <c r="A1345">
        <v>192188</v>
      </c>
      <c r="B1345" t="s">
        <v>557</v>
      </c>
      <c r="C1345" t="s">
        <v>919</v>
      </c>
      <c r="D1345" t="s">
        <v>1924</v>
      </c>
      <c r="E1345" s="451">
        <v>46082</v>
      </c>
      <c r="F1345" s="451">
        <v>46117</v>
      </c>
      <c r="G1345" t="s">
        <v>279</v>
      </c>
      <c r="H1345" t="s">
        <v>284</v>
      </c>
      <c r="I1345" t="s">
        <v>1925</v>
      </c>
      <c r="J1345">
        <v>-520</v>
      </c>
      <c r="K1345">
        <v>-520</v>
      </c>
      <c r="O1345" t="s">
        <v>787</v>
      </c>
      <c r="P1345" t="s">
        <v>894</v>
      </c>
      <c r="Q1345" t="s">
        <v>461</v>
      </c>
      <c r="R1345">
        <v>0</v>
      </c>
    </row>
    <row r="1346" spans="1:18" x14ac:dyDescent="0.3">
      <c r="A1346">
        <v>200450</v>
      </c>
      <c r="B1346" t="s">
        <v>557</v>
      </c>
      <c r="C1346" t="s">
        <v>879</v>
      </c>
      <c r="D1346" t="s">
        <v>1118</v>
      </c>
      <c r="E1346" s="451">
        <v>46082</v>
      </c>
      <c r="F1346" s="451">
        <v>46127</v>
      </c>
      <c r="G1346" t="s">
        <v>570</v>
      </c>
      <c r="H1346" t="s">
        <v>573</v>
      </c>
      <c r="I1346" t="s">
        <v>880</v>
      </c>
      <c r="J1346">
        <v>-2000</v>
      </c>
      <c r="K1346">
        <v>-2000</v>
      </c>
      <c r="M1346" t="s">
        <v>881</v>
      </c>
      <c r="N1346" t="s">
        <v>73</v>
      </c>
      <c r="O1346" t="s">
        <v>787</v>
      </c>
      <c r="P1346" t="s">
        <v>894</v>
      </c>
      <c r="Q1346" t="s">
        <v>461</v>
      </c>
      <c r="R1346">
        <v>0</v>
      </c>
    </row>
    <row r="1347" spans="1:18" x14ac:dyDescent="0.3">
      <c r="A1347">
        <v>202384</v>
      </c>
      <c r="B1347" t="s">
        <v>557</v>
      </c>
      <c r="C1347" t="s">
        <v>847</v>
      </c>
      <c r="D1347" t="s">
        <v>1926</v>
      </c>
      <c r="E1347" s="451">
        <v>46081</v>
      </c>
      <c r="F1347" s="451">
        <v>46094</v>
      </c>
      <c r="G1347" t="s">
        <v>578</v>
      </c>
      <c r="H1347" t="s">
        <v>247</v>
      </c>
      <c r="I1347" t="s">
        <v>1927</v>
      </c>
      <c r="J1347">
        <v>-993.13</v>
      </c>
      <c r="K1347">
        <v>-993.13</v>
      </c>
      <c r="O1347" t="s">
        <v>787</v>
      </c>
      <c r="P1347" t="s">
        <v>894</v>
      </c>
      <c r="Q1347" t="s">
        <v>460</v>
      </c>
      <c r="R1347">
        <v>0</v>
      </c>
    </row>
    <row r="1348" spans="1:18" x14ac:dyDescent="0.3">
      <c r="A1348">
        <v>197468</v>
      </c>
      <c r="B1348" t="s">
        <v>557</v>
      </c>
      <c r="C1348" t="s">
        <v>845</v>
      </c>
      <c r="D1348" t="s">
        <v>1928</v>
      </c>
      <c r="E1348" s="451">
        <v>46081</v>
      </c>
      <c r="F1348" s="451">
        <v>46101</v>
      </c>
      <c r="G1348" t="s">
        <v>308</v>
      </c>
      <c r="H1348" t="s">
        <v>309</v>
      </c>
      <c r="I1348" t="s">
        <v>853</v>
      </c>
      <c r="J1348">
        <v>-53.52</v>
      </c>
      <c r="K1348">
        <v>-53.52</v>
      </c>
      <c r="O1348" t="s">
        <v>787</v>
      </c>
      <c r="P1348" t="s">
        <v>894</v>
      </c>
      <c r="Q1348" t="s">
        <v>460</v>
      </c>
      <c r="R1348">
        <v>0</v>
      </c>
    </row>
    <row r="1349" spans="1:18" x14ac:dyDescent="0.3">
      <c r="A1349">
        <v>110521</v>
      </c>
      <c r="B1349" t="s">
        <v>557</v>
      </c>
      <c r="C1349" t="s">
        <v>849</v>
      </c>
      <c r="E1349" s="451">
        <v>46081</v>
      </c>
      <c r="F1349" s="451">
        <v>46101</v>
      </c>
      <c r="G1349" t="s">
        <v>308</v>
      </c>
      <c r="H1349" t="s">
        <v>309</v>
      </c>
      <c r="I1349" t="s">
        <v>1929</v>
      </c>
      <c r="J1349">
        <v>-180.58</v>
      </c>
      <c r="K1349">
        <v>-180.58</v>
      </c>
      <c r="O1349" t="s">
        <v>787</v>
      </c>
      <c r="P1349" t="s">
        <v>894</v>
      </c>
      <c r="Q1349" t="s">
        <v>460</v>
      </c>
      <c r="R1349">
        <v>0</v>
      </c>
    </row>
    <row r="1350" spans="1:18" x14ac:dyDescent="0.3">
      <c r="A1350">
        <v>197122</v>
      </c>
      <c r="B1350" t="s">
        <v>557</v>
      </c>
      <c r="C1350" t="s">
        <v>48</v>
      </c>
      <c r="D1350" t="s">
        <v>1928</v>
      </c>
      <c r="E1350" s="451">
        <v>46081</v>
      </c>
      <c r="F1350" s="451">
        <v>46101</v>
      </c>
      <c r="G1350" t="s">
        <v>563</v>
      </c>
      <c r="H1350" t="s">
        <v>48</v>
      </c>
      <c r="J1350">
        <v>-13608.07</v>
      </c>
      <c r="K1350">
        <v>-13608.07</v>
      </c>
      <c r="O1350" t="s">
        <v>787</v>
      </c>
      <c r="Q1350" t="s">
        <v>460</v>
      </c>
      <c r="R1350">
        <v>0</v>
      </c>
    </row>
    <row r="1351" spans="1:18" x14ac:dyDescent="0.3">
      <c r="A1351">
        <v>208525</v>
      </c>
      <c r="B1351" t="s">
        <v>557</v>
      </c>
      <c r="C1351" t="s">
        <v>845</v>
      </c>
      <c r="D1351" t="s">
        <v>1930</v>
      </c>
      <c r="E1351" s="451">
        <v>46081</v>
      </c>
      <c r="F1351" s="451">
        <v>46101</v>
      </c>
      <c r="G1351" t="s">
        <v>577</v>
      </c>
      <c r="H1351" t="s">
        <v>846</v>
      </c>
      <c r="I1351" t="s">
        <v>1931</v>
      </c>
      <c r="J1351">
        <v>-577.98</v>
      </c>
      <c r="K1351">
        <v>-577.98</v>
      </c>
      <c r="O1351" t="s">
        <v>787</v>
      </c>
      <c r="P1351" t="s">
        <v>894</v>
      </c>
      <c r="Q1351" t="s">
        <v>460</v>
      </c>
      <c r="R1351">
        <v>0</v>
      </c>
    </row>
    <row r="1352" spans="1:18" x14ac:dyDescent="0.3">
      <c r="A1352">
        <v>210562</v>
      </c>
      <c r="B1352" t="s">
        <v>557</v>
      </c>
      <c r="C1352" t="s">
        <v>517</v>
      </c>
      <c r="D1352" t="s">
        <v>1928</v>
      </c>
      <c r="E1352" s="451">
        <v>46081</v>
      </c>
      <c r="F1352" s="451">
        <v>46106</v>
      </c>
      <c r="G1352" t="s">
        <v>563</v>
      </c>
      <c r="H1352" t="s">
        <v>46</v>
      </c>
      <c r="I1352" t="s">
        <v>1932</v>
      </c>
      <c r="J1352">
        <v>-2120.5</v>
      </c>
      <c r="K1352">
        <v>-2120.5</v>
      </c>
      <c r="O1352" t="s">
        <v>787</v>
      </c>
      <c r="P1352" t="s">
        <v>894</v>
      </c>
      <c r="Q1352" t="s">
        <v>460</v>
      </c>
      <c r="R1352">
        <v>0</v>
      </c>
    </row>
    <row r="1353" spans="1:18" x14ac:dyDescent="0.3">
      <c r="A1353">
        <v>192622</v>
      </c>
      <c r="B1353" t="s">
        <v>557</v>
      </c>
      <c r="C1353" t="s">
        <v>1128</v>
      </c>
      <c r="D1353" t="s">
        <v>1933</v>
      </c>
      <c r="E1353" s="451">
        <v>46081</v>
      </c>
      <c r="F1353" s="451">
        <v>46069</v>
      </c>
      <c r="G1353" t="s">
        <v>569</v>
      </c>
      <c r="H1353" t="s">
        <v>66</v>
      </c>
      <c r="I1353" t="s">
        <v>1934</v>
      </c>
      <c r="J1353">
        <v>-334</v>
      </c>
      <c r="K1353">
        <v>-334</v>
      </c>
      <c r="O1353" t="s">
        <v>787</v>
      </c>
      <c r="P1353" t="s">
        <v>894</v>
      </c>
      <c r="Q1353" t="s">
        <v>460</v>
      </c>
      <c r="R1353">
        <v>0</v>
      </c>
    </row>
    <row r="1354" spans="1:18" x14ac:dyDescent="0.3">
      <c r="A1354">
        <v>192060</v>
      </c>
      <c r="B1354" t="s">
        <v>557</v>
      </c>
      <c r="C1354" t="s">
        <v>851</v>
      </c>
      <c r="D1354" t="s">
        <v>1935</v>
      </c>
      <c r="E1354" s="451">
        <v>46081</v>
      </c>
      <c r="F1354" s="451">
        <v>46069</v>
      </c>
      <c r="G1354" t="s">
        <v>318</v>
      </c>
      <c r="H1354" t="s">
        <v>320</v>
      </c>
      <c r="I1354" t="s">
        <v>1936</v>
      </c>
      <c r="J1354">
        <v>-139.9</v>
      </c>
      <c r="K1354">
        <v>-139.9</v>
      </c>
      <c r="O1354" t="s">
        <v>787</v>
      </c>
      <c r="P1354" t="s">
        <v>894</v>
      </c>
      <c r="Q1354" t="s">
        <v>460</v>
      </c>
      <c r="R1354">
        <v>0</v>
      </c>
    </row>
    <row r="1355" spans="1:18" x14ac:dyDescent="0.3">
      <c r="A1355">
        <v>192061</v>
      </c>
      <c r="B1355" t="s">
        <v>557</v>
      </c>
      <c r="C1355" t="s">
        <v>851</v>
      </c>
      <c r="D1355" t="s">
        <v>1937</v>
      </c>
      <c r="E1355" s="451">
        <v>46081</v>
      </c>
      <c r="F1355" s="451">
        <v>46097</v>
      </c>
      <c r="G1355" t="s">
        <v>318</v>
      </c>
      <c r="H1355" t="s">
        <v>320</v>
      </c>
      <c r="I1355" t="s">
        <v>1938</v>
      </c>
      <c r="J1355">
        <v>-132.28</v>
      </c>
      <c r="K1355">
        <v>-132.28</v>
      </c>
      <c r="O1355" t="s">
        <v>787</v>
      </c>
      <c r="P1355" t="s">
        <v>894</v>
      </c>
      <c r="Q1355" t="s">
        <v>460</v>
      </c>
      <c r="R1355">
        <v>0</v>
      </c>
    </row>
    <row r="1356" spans="1:18" x14ac:dyDescent="0.3">
      <c r="A1356">
        <v>210550</v>
      </c>
      <c r="B1356" t="s">
        <v>557</v>
      </c>
      <c r="C1356" t="s">
        <v>518</v>
      </c>
      <c r="D1356" t="s">
        <v>1928</v>
      </c>
      <c r="E1356" s="451">
        <v>46081</v>
      </c>
      <c r="F1356" s="451">
        <v>46106</v>
      </c>
      <c r="G1356" t="s">
        <v>563</v>
      </c>
      <c r="H1356" t="s">
        <v>46</v>
      </c>
      <c r="I1356" t="s">
        <v>1932</v>
      </c>
      <c r="J1356">
        <v>-9786.93</v>
      </c>
      <c r="K1356">
        <v>-9786.93</v>
      </c>
      <c r="O1356" t="s">
        <v>787</v>
      </c>
      <c r="P1356" t="s">
        <v>894</v>
      </c>
      <c r="Q1356" t="s">
        <v>460</v>
      </c>
      <c r="R1356">
        <v>0</v>
      </c>
    </row>
    <row r="1357" spans="1:18" x14ac:dyDescent="0.3">
      <c r="A1357">
        <v>208281</v>
      </c>
      <c r="B1357" t="s">
        <v>557</v>
      </c>
      <c r="C1357" t="s">
        <v>428</v>
      </c>
      <c r="D1357" t="s">
        <v>1939</v>
      </c>
      <c r="E1357" s="451">
        <v>46081</v>
      </c>
      <c r="F1357" s="451">
        <v>46101</v>
      </c>
      <c r="G1357" t="s">
        <v>577</v>
      </c>
      <c r="H1357" t="s">
        <v>206</v>
      </c>
      <c r="I1357" t="s">
        <v>1940</v>
      </c>
      <c r="J1357">
        <v>-5224.78</v>
      </c>
      <c r="K1357">
        <v>-4537.33</v>
      </c>
      <c r="O1357" t="s">
        <v>787</v>
      </c>
      <c r="P1357" t="s">
        <v>894</v>
      </c>
      <c r="Q1357" t="s">
        <v>460</v>
      </c>
      <c r="R1357">
        <v>0</v>
      </c>
    </row>
    <row r="1358" spans="1:18" x14ac:dyDescent="0.3">
      <c r="A1358">
        <v>197456</v>
      </c>
      <c r="B1358" t="s">
        <v>557</v>
      </c>
      <c r="C1358" t="s">
        <v>845</v>
      </c>
      <c r="D1358" t="s">
        <v>1928</v>
      </c>
      <c r="E1358" s="451">
        <v>46081</v>
      </c>
      <c r="F1358" s="451">
        <v>46101</v>
      </c>
      <c r="G1358" t="s">
        <v>308</v>
      </c>
      <c r="H1358" t="s">
        <v>309</v>
      </c>
      <c r="I1358" t="s">
        <v>1941</v>
      </c>
      <c r="J1358">
        <v>-12.64</v>
      </c>
      <c r="K1358">
        <v>-12.64</v>
      </c>
      <c r="O1358" t="s">
        <v>787</v>
      </c>
      <c r="P1358" t="s">
        <v>894</v>
      </c>
      <c r="Q1358" t="s">
        <v>460</v>
      </c>
      <c r="R1358">
        <v>0</v>
      </c>
    </row>
    <row r="1359" spans="1:18" x14ac:dyDescent="0.3">
      <c r="A1359">
        <v>207151</v>
      </c>
      <c r="B1359" t="s">
        <v>557</v>
      </c>
      <c r="C1359" t="s">
        <v>429</v>
      </c>
      <c r="D1359" t="s">
        <v>1939</v>
      </c>
      <c r="E1359" s="451">
        <v>46081</v>
      </c>
      <c r="F1359" s="451">
        <v>46101</v>
      </c>
      <c r="G1359" t="s">
        <v>577</v>
      </c>
      <c r="H1359" t="s">
        <v>211</v>
      </c>
      <c r="I1359" t="s">
        <v>848</v>
      </c>
      <c r="J1359">
        <v>-5224.78</v>
      </c>
      <c r="K1359">
        <v>-5224.78</v>
      </c>
      <c r="O1359" t="s">
        <v>787</v>
      </c>
      <c r="P1359" t="s">
        <v>894</v>
      </c>
      <c r="Q1359" t="s">
        <v>460</v>
      </c>
      <c r="R1359">
        <v>0</v>
      </c>
    </row>
    <row r="1360" spans="1:18" x14ac:dyDescent="0.3">
      <c r="A1360">
        <v>214388</v>
      </c>
      <c r="B1360" t="s">
        <v>557</v>
      </c>
      <c r="C1360" t="s">
        <v>1113</v>
      </c>
      <c r="E1360" s="451">
        <v>46081</v>
      </c>
      <c r="F1360" s="451">
        <v>46087</v>
      </c>
      <c r="G1360" t="s">
        <v>574</v>
      </c>
      <c r="H1360" t="s">
        <v>575</v>
      </c>
      <c r="J1360">
        <v>-2285.42</v>
      </c>
      <c r="K1360">
        <v>-2285.42</v>
      </c>
      <c r="O1360" t="s">
        <v>787</v>
      </c>
      <c r="P1360" t="s">
        <v>894</v>
      </c>
      <c r="Q1360" t="s">
        <v>460</v>
      </c>
      <c r="R1360">
        <v>0</v>
      </c>
    </row>
    <row r="1361" spans="1:18" x14ac:dyDescent="0.3">
      <c r="A1361">
        <v>214387</v>
      </c>
      <c r="B1361" t="s">
        <v>557</v>
      </c>
      <c r="C1361" t="s">
        <v>1114</v>
      </c>
      <c r="E1361" s="451">
        <v>46081</v>
      </c>
      <c r="F1361" s="451">
        <v>46087</v>
      </c>
      <c r="G1361" t="s">
        <v>574</v>
      </c>
      <c r="H1361" t="s">
        <v>575</v>
      </c>
      <c r="J1361">
        <v>-3682.54</v>
      </c>
      <c r="K1361">
        <v>-3682.54</v>
      </c>
      <c r="O1361" t="s">
        <v>787</v>
      </c>
      <c r="P1361" t="s">
        <v>894</v>
      </c>
      <c r="Q1361" t="s">
        <v>460</v>
      </c>
      <c r="R1361">
        <v>0</v>
      </c>
    </row>
    <row r="1362" spans="1:18" x14ac:dyDescent="0.3">
      <c r="A1362">
        <v>214386</v>
      </c>
      <c r="B1362" t="s">
        <v>557</v>
      </c>
      <c r="C1362" t="s">
        <v>1106</v>
      </c>
      <c r="E1362" s="451">
        <v>46081</v>
      </c>
      <c r="F1362" s="451">
        <v>46087</v>
      </c>
      <c r="G1362" t="s">
        <v>574</v>
      </c>
      <c r="H1362" t="s">
        <v>575</v>
      </c>
      <c r="J1362">
        <v>-3270.47</v>
      </c>
      <c r="K1362">
        <v>-3270.47</v>
      </c>
      <c r="O1362" t="s">
        <v>787</v>
      </c>
      <c r="P1362" t="s">
        <v>894</v>
      </c>
      <c r="Q1362" t="s">
        <v>460</v>
      </c>
      <c r="R1362">
        <v>0</v>
      </c>
    </row>
    <row r="1363" spans="1:18" x14ac:dyDescent="0.3">
      <c r="A1363">
        <v>214385</v>
      </c>
      <c r="B1363" t="s">
        <v>557</v>
      </c>
      <c r="C1363" t="s">
        <v>1104</v>
      </c>
      <c r="E1363" s="451">
        <v>46081</v>
      </c>
      <c r="F1363" s="451">
        <v>46087</v>
      </c>
      <c r="G1363" t="s">
        <v>574</v>
      </c>
      <c r="H1363" t="s">
        <v>575</v>
      </c>
      <c r="J1363">
        <v>-3646.66</v>
      </c>
      <c r="K1363">
        <v>-3646.66</v>
      </c>
      <c r="O1363" t="s">
        <v>787</v>
      </c>
      <c r="P1363" t="s">
        <v>894</v>
      </c>
      <c r="Q1363" t="s">
        <v>460</v>
      </c>
      <c r="R1363">
        <v>0</v>
      </c>
    </row>
    <row r="1364" spans="1:18" x14ac:dyDescent="0.3">
      <c r="A1364">
        <v>214395</v>
      </c>
      <c r="B1364" t="s">
        <v>557</v>
      </c>
      <c r="C1364" t="s">
        <v>968</v>
      </c>
      <c r="E1364" s="451">
        <v>46081</v>
      </c>
      <c r="F1364" s="451">
        <v>46087</v>
      </c>
      <c r="G1364" t="s">
        <v>574</v>
      </c>
      <c r="H1364" t="s">
        <v>575</v>
      </c>
      <c r="J1364">
        <v>-2430.2600000000002</v>
      </c>
      <c r="K1364">
        <v>-2430.2600000000002</v>
      </c>
      <c r="O1364" t="s">
        <v>787</v>
      </c>
      <c r="P1364" t="s">
        <v>894</v>
      </c>
      <c r="Q1364" t="s">
        <v>460</v>
      </c>
      <c r="R1364">
        <v>0</v>
      </c>
    </row>
    <row r="1365" spans="1:18" x14ac:dyDescent="0.3">
      <c r="A1365">
        <v>211752</v>
      </c>
      <c r="B1365" t="s">
        <v>557</v>
      </c>
      <c r="C1365" t="s">
        <v>1696</v>
      </c>
      <c r="D1365" t="s">
        <v>1942</v>
      </c>
      <c r="E1365" s="451">
        <v>46081</v>
      </c>
      <c r="F1365" s="451">
        <v>46086</v>
      </c>
      <c r="G1365" t="s">
        <v>279</v>
      </c>
      <c r="H1365" t="s">
        <v>286</v>
      </c>
      <c r="I1365" t="s">
        <v>1698</v>
      </c>
      <c r="J1365">
        <v>-611.71</v>
      </c>
      <c r="K1365">
        <v>0</v>
      </c>
      <c r="O1365" t="s">
        <v>787</v>
      </c>
      <c r="P1365" t="s">
        <v>894</v>
      </c>
      <c r="Q1365" t="s">
        <v>460</v>
      </c>
      <c r="R1365">
        <v>0</v>
      </c>
    </row>
    <row r="1366" spans="1:18" x14ac:dyDescent="0.3">
      <c r="A1366">
        <v>211768</v>
      </c>
      <c r="B1366" t="s">
        <v>557</v>
      </c>
      <c r="C1366" t="s">
        <v>965</v>
      </c>
      <c r="D1366" t="s">
        <v>1943</v>
      </c>
      <c r="E1366" s="451">
        <v>46081</v>
      </c>
      <c r="F1366" s="451">
        <v>46086</v>
      </c>
      <c r="G1366" t="s">
        <v>296</v>
      </c>
      <c r="H1366" t="s">
        <v>307</v>
      </c>
      <c r="I1366" t="s">
        <v>967</v>
      </c>
      <c r="J1366">
        <v>-23.19</v>
      </c>
      <c r="K1366">
        <v>0</v>
      </c>
      <c r="O1366" t="s">
        <v>787</v>
      </c>
      <c r="P1366" t="s">
        <v>894</v>
      </c>
      <c r="Q1366" t="s">
        <v>460</v>
      </c>
      <c r="R1366">
        <v>0</v>
      </c>
    </row>
    <row r="1367" spans="1:18" x14ac:dyDescent="0.3">
      <c r="A1367">
        <v>214390</v>
      </c>
      <c r="B1367" t="s">
        <v>557</v>
      </c>
      <c r="C1367" t="s">
        <v>1110</v>
      </c>
      <c r="E1367" s="451">
        <v>46081</v>
      </c>
      <c r="F1367" s="451">
        <v>46087</v>
      </c>
      <c r="G1367" t="s">
        <v>574</v>
      </c>
      <c r="H1367" t="s">
        <v>575</v>
      </c>
      <c r="J1367">
        <v>-2251.7199999999998</v>
      </c>
      <c r="K1367">
        <v>-2251.7199999999998</v>
      </c>
      <c r="O1367" t="s">
        <v>787</v>
      </c>
      <c r="P1367" t="s">
        <v>894</v>
      </c>
      <c r="Q1367" t="s">
        <v>460</v>
      </c>
      <c r="R1367">
        <v>0</v>
      </c>
    </row>
    <row r="1368" spans="1:18" x14ac:dyDescent="0.3">
      <c r="A1368">
        <v>215741</v>
      </c>
      <c r="B1368" t="s">
        <v>557</v>
      </c>
      <c r="C1368" t="s">
        <v>1237</v>
      </c>
      <c r="E1368" s="451">
        <v>46081</v>
      </c>
      <c r="F1368" s="451">
        <v>46081</v>
      </c>
      <c r="G1368" t="s">
        <v>562</v>
      </c>
      <c r="H1368" t="s">
        <v>116</v>
      </c>
      <c r="I1368" t="s">
        <v>1238</v>
      </c>
      <c r="J1368">
        <v>-4561.82</v>
      </c>
      <c r="K1368">
        <v>-4561.82</v>
      </c>
      <c r="O1368" t="s">
        <v>787</v>
      </c>
      <c r="P1368" t="s">
        <v>894</v>
      </c>
      <c r="Q1368" t="s">
        <v>460</v>
      </c>
      <c r="R1368">
        <v>0</v>
      </c>
    </row>
    <row r="1369" spans="1:18" x14ac:dyDescent="0.3">
      <c r="A1369">
        <v>214523</v>
      </c>
      <c r="B1369" t="s">
        <v>557</v>
      </c>
      <c r="C1369" t="s">
        <v>1237</v>
      </c>
      <c r="E1369" s="451">
        <v>46081</v>
      </c>
      <c r="F1369" s="451">
        <v>46081</v>
      </c>
      <c r="G1369" t="s">
        <v>562</v>
      </c>
      <c r="H1369" t="s">
        <v>116</v>
      </c>
      <c r="I1369" t="s">
        <v>1238</v>
      </c>
      <c r="J1369">
        <v>-4561.82</v>
      </c>
      <c r="K1369">
        <v>-4561.82</v>
      </c>
      <c r="O1369" t="s">
        <v>787</v>
      </c>
      <c r="P1369" t="s">
        <v>894</v>
      </c>
      <c r="Q1369" t="s">
        <v>460</v>
      </c>
      <c r="R1369">
        <v>0</v>
      </c>
    </row>
    <row r="1370" spans="1:18" x14ac:dyDescent="0.3">
      <c r="A1370">
        <v>214521</v>
      </c>
      <c r="B1370" t="s">
        <v>557</v>
      </c>
      <c r="C1370" t="s">
        <v>1008</v>
      </c>
      <c r="E1370" s="451">
        <v>46081</v>
      </c>
      <c r="F1370" s="451">
        <v>46081</v>
      </c>
      <c r="G1370" t="s">
        <v>562</v>
      </c>
      <c r="H1370" t="s">
        <v>116</v>
      </c>
      <c r="J1370">
        <v>-49.74</v>
      </c>
      <c r="K1370">
        <v>-49.74</v>
      </c>
      <c r="O1370" t="s">
        <v>787</v>
      </c>
      <c r="P1370" t="s">
        <v>894</v>
      </c>
      <c r="Q1370" t="s">
        <v>460</v>
      </c>
      <c r="R1370">
        <v>0</v>
      </c>
    </row>
    <row r="1371" spans="1:18" x14ac:dyDescent="0.3">
      <c r="A1371">
        <v>214519</v>
      </c>
      <c r="B1371" t="s">
        <v>557</v>
      </c>
      <c r="C1371" t="s">
        <v>1232</v>
      </c>
      <c r="E1371" s="451">
        <v>46081</v>
      </c>
      <c r="F1371" s="451">
        <v>46081</v>
      </c>
      <c r="G1371" t="s">
        <v>562</v>
      </c>
      <c r="H1371" t="s">
        <v>118</v>
      </c>
      <c r="I1371" t="s">
        <v>1944</v>
      </c>
      <c r="J1371">
        <v>-14173.46</v>
      </c>
      <c r="K1371">
        <v>-14173.46</v>
      </c>
      <c r="O1371" t="s">
        <v>787</v>
      </c>
      <c r="P1371" t="s">
        <v>894</v>
      </c>
      <c r="Q1371" t="s">
        <v>460</v>
      </c>
      <c r="R1371">
        <v>0</v>
      </c>
    </row>
    <row r="1372" spans="1:18" x14ac:dyDescent="0.3">
      <c r="A1372">
        <v>214518</v>
      </c>
      <c r="B1372" t="s">
        <v>557</v>
      </c>
      <c r="C1372" t="s">
        <v>1006</v>
      </c>
      <c r="E1372" s="451">
        <v>46081</v>
      </c>
      <c r="F1372" s="451">
        <v>46081</v>
      </c>
      <c r="G1372" t="s">
        <v>562</v>
      </c>
      <c r="H1372" t="s">
        <v>116</v>
      </c>
      <c r="J1372">
        <v>-41.48</v>
      </c>
      <c r="K1372">
        <v>-41.48</v>
      </c>
      <c r="O1372" t="s">
        <v>787</v>
      </c>
      <c r="P1372" t="s">
        <v>894</v>
      </c>
      <c r="Q1372" t="s">
        <v>460</v>
      </c>
      <c r="R1372">
        <v>0</v>
      </c>
    </row>
    <row r="1373" spans="1:18" x14ac:dyDescent="0.3">
      <c r="A1373">
        <v>214517</v>
      </c>
      <c r="B1373" t="s">
        <v>557</v>
      </c>
      <c r="C1373" t="s">
        <v>1007</v>
      </c>
      <c r="E1373" s="451">
        <v>46081</v>
      </c>
      <c r="F1373" s="451">
        <v>46081</v>
      </c>
      <c r="G1373" t="s">
        <v>562</v>
      </c>
      <c r="H1373" t="s">
        <v>116</v>
      </c>
      <c r="J1373">
        <v>-75.849999999999994</v>
      </c>
      <c r="K1373">
        <v>-75.849999999999994</v>
      </c>
      <c r="O1373" t="s">
        <v>787</v>
      </c>
      <c r="P1373" t="s">
        <v>894</v>
      </c>
      <c r="Q1373" t="s">
        <v>460</v>
      </c>
      <c r="R1373">
        <v>0</v>
      </c>
    </row>
    <row r="1374" spans="1:18" x14ac:dyDescent="0.3">
      <c r="A1374">
        <v>214516</v>
      </c>
      <c r="B1374" t="s">
        <v>557</v>
      </c>
      <c r="C1374" t="s">
        <v>1005</v>
      </c>
      <c r="E1374" s="451">
        <v>46081</v>
      </c>
      <c r="F1374" s="451">
        <v>46081</v>
      </c>
      <c r="G1374" t="s">
        <v>562</v>
      </c>
      <c r="H1374" t="s">
        <v>116</v>
      </c>
      <c r="J1374">
        <v>-205.75</v>
      </c>
      <c r="K1374">
        <v>-205.75</v>
      </c>
      <c r="O1374" t="s">
        <v>787</v>
      </c>
      <c r="P1374" t="s">
        <v>894</v>
      </c>
      <c r="Q1374" t="s">
        <v>460</v>
      </c>
      <c r="R1374">
        <v>0</v>
      </c>
    </row>
    <row r="1375" spans="1:18" x14ac:dyDescent="0.3">
      <c r="A1375">
        <v>214399</v>
      </c>
      <c r="B1375" t="s">
        <v>557</v>
      </c>
      <c r="C1375" t="s">
        <v>1776</v>
      </c>
      <c r="E1375" s="451">
        <v>46081</v>
      </c>
      <c r="F1375" s="451">
        <v>46087</v>
      </c>
      <c r="G1375" t="s">
        <v>574</v>
      </c>
      <c r="H1375" t="s">
        <v>575</v>
      </c>
      <c r="J1375">
        <v>-2428.9699999999998</v>
      </c>
      <c r="K1375">
        <v>-2428.9699999999998</v>
      </c>
      <c r="O1375" t="s">
        <v>787</v>
      </c>
      <c r="P1375" t="s">
        <v>894</v>
      </c>
      <c r="Q1375" t="s">
        <v>460</v>
      </c>
      <c r="R1375">
        <v>0</v>
      </c>
    </row>
    <row r="1376" spans="1:18" x14ac:dyDescent="0.3">
      <c r="A1376">
        <v>214398</v>
      </c>
      <c r="B1376" t="s">
        <v>557</v>
      </c>
      <c r="C1376" t="s">
        <v>1492</v>
      </c>
      <c r="E1376" s="451">
        <v>46081</v>
      </c>
      <c r="F1376" s="451">
        <v>46087</v>
      </c>
      <c r="G1376" t="s">
        <v>574</v>
      </c>
      <c r="H1376" t="s">
        <v>575</v>
      </c>
      <c r="J1376">
        <v>-2273.7199999999998</v>
      </c>
      <c r="K1376">
        <v>-2273.7199999999998</v>
      </c>
      <c r="O1376" t="s">
        <v>787</v>
      </c>
      <c r="P1376" t="s">
        <v>894</v>
      </c>
      <c r="Q1376" t="s">
        <v>460</v>
      </c>
      <c r="R1376">
        <v>0</v>
      </c>
    </row>
    <row r="1377" spans="1:18" x14ac:dyDescent="0.3">
      <c r="A1377">
        <v>214397</v>
      </c>
      <c r="B1377" t="s">
        <v>557</v>
      </c>
      <c r="C1377" t="s">
        <v>1125</v>
      </c>
      <c r="E1377" s="451">
        <v>46081</v>
      </c>
      <c r="F1377" s="451">
        <v>46087</v>
      </c>
      <c r="G1377" t="s">
        <v>574</v>
      </c>
      <c r="H1377" t="s">
        <v>575</v>
      </c>
      <c r="J1377">
        <v>-1916.74</v>
      </c>
      <c r="K1377">
        <v>-1916.74</v>
      </c>
      <c r="O1377" t="s">
        <v>787</v>
      </c>
      <c r="P1377" t="s">
        <v>894</v>
      </c>
      <c r="Q1377" t="s">
        <v>460</v>
      </c>
      <c r="R1377">
        <v>0</v>
      </c>
    </row>
    <row r="1378" spans="1:18" x14ac:dyDescent="0.3">
      <c r="A1378">
        <v>214396</v>
      </c>
      <c r="B1378" t="s">
        <v>557</v>
      </c>
      <c r="C1378" t="s">
        <v>891</v>
      </c>
      <c r="E1378" s="451">
        <v>46081</v>
      </c>
      <c r="F1378" s="451">
        <v>46087</v>
      </c>
      <c r="G1378" t="s">
        <v>574</v>
      </c>
      <c r="H1378" t="s">
        <v>575</v>
      </c>
      <c r="J1378">
        <v>-2335.59</v>
      </c>
      <c r="K1378">
        <v>-2335.59</v>
      </c>
      <c r="O1378" t="s">
        <v>787</v>
      </c>
      <c r="P1378" t="s">
        <v>894</v>
      </c>
      <c r="Q1378" t="s">
        <v>460</v>
      </c>
      <c r="R1378">
        <v>0</v>
      </c>
    </row>
    <row r="1379" spans="1:18" x14ac:dyDescent="0.3">
      <c r="A1379">
        <v>214394</v>
      </c>
      <c r="B1379" t="s">
        <v>557</v>
      </c>
      <c r="C1379" t="s">
        <v>1105</v>
      </c>
      <c r="E1379" s="451">
        <v>46081</v>
      </c>
      <c r="F1379" s="451">
        <v>46087</v>
      </c>
      <c r="G1379" t="s">
        <v>574</v>
      </c>
      <c r="H1379" t="s">
        <v>575</v>
      </c>
      <c r="J1379">
        <v>-2517.6799999999998</v>
      </c>
      <c r="K1379">
        <v>-2517.6799999999998</v>
      </c>
      <c r="O1379" t="s">
        <v>787</v>
      </c>
      <c r="P1379" t="s">
        <v>894</v>
      </c>
      <c r="Q1379" t="s">
        <v>460</v>
      </c>
      <c r="R1379">
        <v>0</v>
      </c>
    </row>
    <row r="1380" spans="1:18" x14ac:dyDescent="0.3">
      <c r="A1380">
        <v>214393</v>
      </c>
      <c r="B1380" t="s">
        <v>557</v>
      </c>
      <c r="C1380" t="s">
        <v>1116</v>
      </c>
      <c r="E1380" s="451">
        <v>46081</v>
      </c>
      <c r="F1380" s="451">
        <v>46087</v>
      </c>
      <c r="G1380" t="s">
        <v>574</v>
      </c>
      <c r="H1380" t="s">
        <v>575</v>
      </c>
      <c r="J1380">
        <v>-1636.44</v>
      </c>
      <c r="K1380">
        <v>-1636.44</v>
      </c>
      <c r="O1380" t="s">
        <v>787</v>
      </c>
      <c r="P1380" t="s">
        <v>894</v>
      </c>
      <c r="Q1380" t="s">
        <v>460</v>
      </c>
      <c r="R1380">
        <v>0</v>
      </c>
    </row>
    <row r="1381" spans="1:18" x14ac:dyDescent="0.3">
      <c r="A1381">
        <v>214392</v>
      </c>
      <c r="B1381" t="s">
        <v>557</v>
      </c>
      <c r="C1381" t="s">
        <v>1381</v>
      </c>
      <c r="E1381" s="451">
        <v>46081</v>
      </c>
      <c r="F1381" s="451">
        <v>46087</v>
      </c>
      <c r="G1381" t="s">
        <v>574</v>
      </c>
      <c r="H1381" t="s">
        <v>575</v>
      </c>
      <c r="J1381">
        <v>-2611.37</v>
      </c>
      <c r="K1381">
        <v>-2611.37</v>
      </c>
      <c r="O1381" t="s">
        <v>787</v>
      </c>
      <c r="P1381" t="s">
        <v>894</v>
      </c>
      <c r="Q1381" t="s">
        <v>460</v>
      </c>
      <c r="R1381">
        <v>0</v>
      </c>
    </row>
    <row r="1382" spans="1:18" x14ac:dyDescent="0.3">
      <c r="A1382">
        <v>214391</v>
      </c>
      <c r="B1382" t="s">
        <v>557</v>
      </c>
      <c r="C1382" t="s">
        <v>1781</v>
      </c>
      <c r="E1382" s="451">
        <v>46081</v>
      </c>
      <c r="F1382" s="451">
        <v>46087</v>
      </c>
      <c r="G1382" t="s">
        <v>574</v>
      </c>
      <c r="H1382" t="s">
        <v>575</v>
      </c>
      <c r="J1382">
        <v>-1933.4</v>
      </c>
      <c r="K1382">
        <v>-1933.4</v>
      </c>
      <c r="O1382" t="s">
        <v>787</v>
      </c>
      <c r="P1382" t="s">
        <v>894</v>
      </c>
      <c r="Q1382" t="s">
        <v>460</v>
      </c>
      <c r="R1382">
        <v>0</v>
      </c>
    </row>
    <row r="1383" spans="1:18" x14ac:dyDescent="0.3">
      <c r="A1383">
        <v>214389</v>
      </c>
      <c r="B1383" t="s">
        <v>557</v>
      </c>
      <c r="C1383" t="s">
        <v>970</v>
      </c>
      <c r="E1383" s="451">
        <v>46081</v>
      </c>
      <c r="F1383" s="451">
        <v>46087</v>
      </c>
      <c r="G1383" t="s">
        <v>574</v>
      </c>
      <c r="H1383" t="s">
        <v>575</v>
      </c>
      <c r="J1383">
        <v>-3890.37</v>
      </c>
      <c r="K1383">
        <v>-3890.37</v>
      </c>
      <c r="O1383" t="s">
        <v>787</v>
      </c>
      <c r="P1383" t="s">
        <v>894</v>
      </c>
      <c r="Q1383" t="s">
        <v>460</v>
      </c>
      <c r="R1383">
        <v>0</v>
      </c>
    </row>
    <row r="1384" spans="1:18" x14ac:dyDescent="0.3">
      <c r="A1384">
        <v>213380</v>
      </c>
      <c r="B1384" t="s">
        <v>557</v>
      </c>
      <c r="C1384" t="s">
        <v>964</v>
      </c>
      <c r="E1384" s="451">
        <v>46079</v>
      </c>
      <c r="F1384" s="451">
        <v>46079</v>
      </c>
      <c r="G1384" t="s">
        <v>874</v>
      </c>
      <c r="H1384" t="s">
        <v>875</v>
      </c>
      <c r="J1384">
        <v>-10</v>
      </c>
      <c r="K1384">
        <v>-10</v>
      </c>
      <c r="O1384" t="s">
        <v>787</v>
      </c>
      <c r="P1384" t="s">
        <v>894</v>
      </c>
      <c r="Q1384" t="s">
        <v>460</v>
      </c>
      <c r="R1384">
        <v>0</v>
      </c>
    </row>
    <row r="1385" spans="1:18" x14ac:dyDescent="0.3">
      <c r="A1385">
        <v>32271</v>
      </c>
      <c r="B1385" t="s">
        <v>557</v>
      </c>
      <c r="C1385" t="s">
        <v>259</v>
      </c>
      <c r="D1385" t="s">
        <v>1945</v>
      </c>
      <c r="E1385" s="451">
        <v>46079</v>
      </c>
      <c r="F1385" s="451">
        <v>46079</v>
      </c>
      <c r="G1385" t="s">
        <v>256</v>
      </c>
      <c r="H1385" t="s">
        <v>259</v>
      </c>
      <c r="I1385" t="s">
        <v>782</v>
      </c>
      <c r="J1385">
        <v>-416.33</v>
      </c>
      <c r="K1385">
        <v>-416.33</v>
      </c>
      <c r="O1385" t="s">
        <v>787</v>
      </c>
      <c r="P1385" t="s">
        <v>788</v>
      </c>
      <c r="Q1385" t="s">
        <v>460</v>
      </c>
      <c r="R1385">
        <v>0</v>
      </c>
    </row>
    <row r="1386" spans="1:18" x14ac:dyDescent="0.3">
      <c r="A1386">
        <v>32315</v>
      </c>
      <c r="B1386" t="s">
        <v>557</v>
      </c>
      <c r="C1386" t="s">
        <v>259</v>
      </c>
      <c r="D1386" t="s">
        <v>776</v>
      </c>
      <c r="E1386" s="451">
        <v>46079</v>
      </c>
      <c r="F1386" s="451">
        <v>46079</v>
      </c>
      <c r="G1386" t="s">
        <v>777</v>
      </c>
      <c r="H1386" t="s">
        <v>368</v>
      </c>
      <c r="I1386" t="s">
        <v>778</v>
      </c>
      <c r="J1386">
        <v>-1520.61</v>
      </c>
      <c r="K1386">
        <v>-1520.61</v>
      </c>
      <c r="O1386" t="s">
        <v>779</v>
      </c>
      <c r="P1386" t="s">
        <v>788</v>
      </c>
      <c r="Q1386" t="s">
        <v>460</v>
      </c>
      <c r="R1386">
        <v>0</v>
      </c>
    </row>
    <row r="1387" spans="1:18" x14ac:dyDescent="0.3">
      <c r="A1387">
        <v>211640</v>
      </c>
      <c r="B1387" t="s">
        <v>557</v>
      </c>
      <c r="C1387" t="s">
        <v>964</v>
      </c>
      <c r="E1387" s="451">
        <v>46077</v>
      </c>
      <c r="F1387" s="451">
        <v>46077</v>
      </c>
      <c r="G1387" t="s">
        <v>874</v>
      </c>
      <c r="H1387" t="s">
        <v>875</v>
      </c>
      <c r="J1387">
        <v>-34.47</v>
      </c>
      <c r="K1387">
        <v>-34.47</v>
      </c>
      <c r="O1387" t="s">
        <v>787</v>
      </c>
      <c r="P1387" t="s">
        <v>894</v>
      </c>
      <c r="Q1387" t="s">
        <v>460</v>
      </c>
      <c r="R1387">
        <v>0</v>
      </c>
    </row>
    <row r="1388" spans="1:18" x14ac:dyDescent="0.3">
      <c r="A1388">
        <v>214018</v>
      </c>
      <c r="B1388" t="s">
        <v>557</v>
      </c>
      <c r="C1388" t="s">
        <v>1284</v>
      </c>
      <c r="D1388" t="s">
        <v>1946</v>
      </c>
      <c r="E1388" s="451">
        <v>46077</v>
      </c>
      <c r="F1388" s="451">
        <v>46105</v>
      </c>
      <c r="G1388" t="s">
        <v>264</v>
      </c>
      <c r="H1388" t="s">
        <v>276</v>
      </c>
      <c r="I1388" t="s">
        <v>1947</v>
      </c>
      <c r="J1388">
        <v>-125</v>
      </c>
      <c r="K1388">
        <v>-125</v>
      </c>
      <c r="O1388" t="s">
        <v>787</v>
      </c>
      <c r="P1388" t="s">
        <v>894</v>
      </c>
      <c r="Q1388" t="s">
        <v>460</v>
      </c>
      <c r="R1388">
        <v>0</v>
      </c>
    </row>
    <row r="1389" spans="1:18" x14ac:dyDescent="0.3">
      <c r="A1389">
        <v>211300</v>
      </c>
      <c r="B1389" t="s">
        <v>557</v>
      </c>
      <c r="C1389" t="s">
        <v>943</v>
      </c>
      <c r="D1389" t="s">
        <v>1948</v>
      </c>
      <c r="E1389" s="451">
        <v>46076</v>
      </c>
      <c r="F1389" s="451">
        <v>46085</v>
      </c>
      <c r="G1389" t="s">
        <v>576</v>
      </c>
      <c r="H1389" t="s">
        <v>203</v>
      </c>
      <c r="I1389" t="s">
        <v>1949</v>
      </c>
      <c r="J1389">
        <v>-451</v>
      </c>
      <c r="K1389">
        <v>-451</v>
      </c>
      <c r="O1389" t="s">
        <v>787</v>
      </c>
      <c r="P1389" t="s">
        <v>894</v>
      </c>
      <c r="Q1389" t="s">
        <v>460</v>
      </c>
      <c r="R1389">
        <v>0</v>
      </c>
    </row>
    <row r="1390" spans="1:18" x14ac:dyDescent="0.3">
      <c r="A1390">
        <v>194758</v>
      </c>
      <c r="B1390" t="s">
        <v>557</v>
      </c>
      <c r="C1390" t="s">
        <v>943</v>
      </c>
      <c r="D1390" t="s">
        <v>1950</v>
      </c>
      <c r="E1390" s="451">
        <v>46076</v>
      </c>
      <c r="F1390" s="451">
        <v>46085</v>
      </c>
      <c r="G1390" t="s">
        <v>576</v>
      </c>
      <c r="H1390" t="s">
        <v>203</v>
      </c>
      <c r="I1390" t="s">
        <v>1951</v>
      </c>
      <c r="J1390">
        <v>-1870</v>
      </c>
      <c r="K1390">
        <v>-1870</v>
      </c>
      <c r="O1390" t="s">
        <v>787</v>
      </c>
      <c r="P1390" t="s">
        <v>894</v>
      </c>
      <c r="Q1390" t="s">
        <v>460</v>
      </c>
      <c r="R1390">
        <v>0</v>
      </c>
    </row>
    <row r="1391" spans="1:18" x14ac:dyDescent="0.3">
      <c r="A1391">
        <v>209682</v>
      </c>
      <c r="B1391" t="s">
        <v>557</v>
      </c>
      <c r="C1391" t="s">
        <v>952</v>
      </c>
      <c r="D1391" t="s">
        <v>1952</v>
      </c>
      <c r="E1391" s="451">
        <v>46076</v>
      </c>
      <c r="F1391" s="451">
        <v>46097</v>
      </c>
      <c r="G1391" t="s">
        <v>569</v>
      </c>
      <c r="H1391" t="s">
        <v>58</v>
      </c>
      <c r="I1391" t="s">
        <v>1953</v>
      </c>
      <c r="J1391">
        <v>-1850</v>
      </c>
      <c r="K1391">
        <v>-1850</v>
      </c>
      <c r="O1391" t="s">
        <v>787</v>
      </c>
      <c r="P1391" t="s">
        <v>894</v>
      </c>
      <c r="Q1391" t="s">
        <v>460</v>
      </c>
      <c r="R1391">
        <v>0</v>
      </c>
    </row>
    <row r="1392" spans="1:18" x14ac:dyDescent="0.3">
      <c r="A1392">
        <v>213629</v>
      </c>
      <c r="B1392" t="s">
        <v>557</v>
      </c>
      <c r="C1392" t="s">
        <v>1237</v>
      </c>
      <c r="E1392" s="451">
        <v>46075</v>
      </c>
      <c r="F1392" s="451">
        <v>46076</v>
      </c>
      <c r="G1392" t="s">
        <v>279</v>
      </c>
      <c r="H1392" t="s">
        <v>284</v>
      </c>
      <c r="I1392" t="s">
        <v>1272</v>
      </c>
      <c r="J1392">
        <v>-39.56</v>
      </c>
      <c r="K1392">
        <v>-39.56</v>
      </c>
      <c r="O1392" t="s">
        <v>787</v>
      </c>
      <c r="P1392" t="s">
        <v>894</v>
      </c>
      <c r="Q1392" t="s">
        <v>460</v>
      </c>
      <c r="R1392">
        <v>0</v>
      </c>
    </row>
    <row r="1393" spans="1:18" x14ac:dyDescent="0.3">
      <c r="A1393">
        <v>213628</v>
      </c>
      <c r="B1393" t="s">
        <v>557</v>
      </c>
      <c r="C1393" t="s">
        <v>1237</v>
      </c>
      <c r="E1393" s="451">
        <v>46074</v>
      </c>
      <c r="F1393" s="451">
        <v>46075</v>
      </c>
      <c r="G1393" t="s">
        <v>279</v>
      </c>
      <c r="H1393" t="s">
        <v>284</v>
      </c>
      <c r="I1393" t="s">
        <v>1272</v>
      </c>
      <c r="J1393">
        <v>-253.7</v>
      </c>
      <c r="K1393">
        <v>-253.7</v>
      </c>
      <c r="O1393" t="s">
        <v>787</v>
      </c>
      <c r="P1393" t="s">
        <v>894</v>
      </c>
      <c r="Q1393" t="s">
        <v>460</v>
      </c>
      <c r="R1393">
        <v>0</v>
      </c>
    </row>
    <row r="1394" spans="1:18" x14ac:dyDescent="0.3">
      <c r="A1394">
        <v>211416</v>
      </c>
      <c r="B1394" t="s">
        <v>557</v>
      </c>
      <c r="C1394" t="s">
        <v>1245</v>
      </c>
      <c r="D1394" t="s">
        <v>1954</v>
      </c>
      <c r="E1394" s="451">
        <v>46073</v>
      </c>
      <c r="F1394" s="451">
        <v>46088</v>
      </c>
      <c r="G1394" t="s">
        <v>562</v>
      </c>
      <c r="H1394" t="s">
        <v>122</v>
      </c>
      <c r="I1394" t="s">
        <v>1955</v>
      </c>
      <c r="J1394">
        <v>-91</v>
      </c>
      <c r="K1394">
        <v>-91</v>
      </c>
      <c r="O1394" t="s">
        <v>787</v>
      </c>
      <c r="Q1394" t="s">
        <v>460</v>
      </c>
      <c r="R1394">
        <v>0</v>
      </c>
    </row>
    <row r="1395" spans="1:18" x14ac:dyDescent="0.3">
      <c r="A1395">
        <v>211415</v>
      </c>
      <c r="B1395" t="s">
        <v>557</v>
      </c>
      <c r="C1395" t="s">
        <v>1245</v>
      </c>
      <c r="D1395" t="s">
        <v>1954</v>
      </c>
      <c r="E1395" s="451">
        <v>46073</v>
      </c>
      <c r="F1395" s="451">
        <v>46088</v>
      </c>
      <c r="G1395" t="s">
        <v>578</v>
      </c>
      <c r="H1395" t="s">
        <v>239</v>
      </c>
      <c r="I1395" t="s">
        <v>1956</v>
      </c>
      <c r="J1395">
        <v>-40</v>
      </c>
      <c r="K1395">
        <v>-40</v>
      </c>
      <c r="O1395" t="s">
        <v>787</v>
      </c>
      <c r="P1395" t="s">
        <v>894</v>
      </c>
      <c r="Q1395" t="s">
        <v>460</v>
      </c>
      <c r="R1395">
        <v>0</v>
      </c>
    </row>
    <row r="1396" spans="1:18" x14ac:dyDescent="0.3">
      <c r="A1396">
        <v>211414</v>
      </c>
      <c r="B1396" t="s">
        <v>557</v>
      </c>
      <c r="C1396" t="s">
        <v>1957</v>
      </c>
      <c r="D1396" t="s">
        <v>1954</v>
      </c>
      <c r="E1396" s="451">
        <v>46073</v>
      </c>
      <c r="F1396" s="451">
        <v>46088</v>
      </c>
      <c r="G1396" t="s">
        <v>264</v>
      </c>
      <c r="H1396" t="s">
        <v>273</v>
      </c>
      <c r="I1396" t="s">
        <v>1958</v>
      </c>
      <c r="J1396">
        <v>-25</v>
      </c>
      <c r="K1396">
        <v>-25</v>
      </c>
      <c r="O1396" t="s">
        <v>787</v>
      </c>
      <c r="P1396" t="s">
        <v>894</v>
      </c>
      <c r="Q1396" t="s">
        <v>460</v>
      </c>
      <c r="R1396">
        <v>0</v>
      </c>
    </row>
    <row r="1397" spans="1:18" x14ac:dyDescent="0.3">
      <c r="A1397">
        <v>213627</v>
      </c>
      <c r="B1397" t="s">
        <v>557</v>
      </c>
      <c r="C1397" t="s">
        <v>1237</v>
      </c>
      <c r="E1397" s="451">
        <v>46073</v>
      </c>
      <c r="F1397" s="451">
        <v>46074</v>
      </c>
      <c r="G1397" t="s">
        <v>279</v>
      </c>
      <c r="H1397" t="s">
        <v>284</v>
      </c>
      <c r="I1397" t="s">
        <v>1272</v>
      </c>
      <c r="J1397">
        <v>-91.74</v>
      </c>
      <c r="K1397">
        <v>-91.74</v>
      </c>
      <c r="O1397" t="s">
        <v>787</v>
      </c>
      <c r="P1397" t="s">
        <v>894</v>
      </c>
      <c r="Q1397" t="s">
        <v>460</v>
      </c>
      <c r="R1397">
        <v>0</v>
      </c>
    </row>
    <row r="1398" spans="1:18" x14ac:dyDescent="0.3">
      <c r="A1398">
        <v>213626</v>
      </c>
      <c r="B1398" t="s">
        <v>557</v>
      </c>
      <c r="C1398" t="s">
        <v>1237</v>
      </c>
      <c r="E1398" s="451">
        <v>46072</v>
      </c>
      <c r="F1398" s="451">
        <v>46073</v>
      </c>
      <c r="G1398" t="s">
        <v>279</v>
      </c>
      <c r="H1398" t="s">
        <v>284</v>
      </c>
      <c r="I1398" t="s">
        <v>1272</v>
      </c>
      <c r="J1398">
        <v>-36.49</v>
      </c>
      <c r="K1398">
        <v>-36.49</v>
      </c>
      <c r="O1398" t="s">
        <v>787</v>
      </c>
      <c r="P1398" t="s">
        <v>894</v>
      </c>
      <c r="Q1398" t="s">
        <v>460</v>
      </c>
      <c r="R1398">
        <v>0</v>
      </c>
    </row>
    <row r="1399" spans="1:18" x14ac:dyDescent="0.3">
      <c r="A1399">
        <v>192625</v>
      </c>
      <c r="B1399" t="s">
        <v>557</v>
      </c>
      <c r="C1399" t="s">
        <v>1128</v>
      </c>
      <c r="D1399" t="s">
        <v>1959</v>
      </c>
      <c r="E1399" s="451">
        <v>46072</v>
      </c>
      <c r="F1399" s="451">
        <v>46096</v>
      </c>
      <c r="G1399" t="s">
        <v>569</v>
      </c>
      <c r="H1399" t="s">
        <v>66</v>
      </c>
      <c r="I1399" t="s">
        <v>1960</v>
      </c>
      <c r="J1399">
        <v>-167</v>
      </c>
      <c r="K1399">
        <v>-167</v>
      </c>
      <c r="O1399" t="s">
        <v>787</v>
      </c>
      <c r="P1399" t="s">
        <v>894</v>
      </c>
      <c r="Q1399" t="s">
        <v>460</v>
      </c>
      <c r="R1399">
        <v>0</v>
      </c>
    </row>
    <row r="1400" spans="1:18" x14ac:dyDescent="0.3">
      <c r="A1400">
        <v>209650</v>
      </c>
      <c r="B1400" t="s">
        <v>557</v>
      </c>
      <c r="C1400" t="s">
        <v>1320</v>
      </c>
      <c r="D1400" t="s">
        <v>1961</v>
      </c>
      <c r="E1400" s="451">
        <v>46072</v>
      </c>
      <c r="F1400" s="451">
        <v>46087</v>
      </c>
      <c r="G1400" t="s">
        <v>296</v>
      </c>
      <c r="H1400" t="s">
        <v>304</v>
      </c>
      <c r="I1400" t="s">
        <v>1962</v>
      </c>
      <c r="J1400">
        <v>-87</v>
      </c>
      <c r="K1400">
        <v>-87</v>
      </c>
      <c r="O1400" t="s">
        <v>787</v>
      </c>
      <c r="P1400" t="s">
        <v>894</v>
      </c>
      <c r="Q1400" t="s">
        <v>460</v>
      </c>
      <c r="R1400">
        <v>0</v>
      </c>
    </row>
    <row r="1401" spans="1:18" x14ac:dyDescent="0.3">
      <c r="A1401">
        <v>209648</v>
      </c>
      <c r="B1401" t="s">
        <v>557</v>
      </c>
      <c r="C1401" t="s">
        <v>1320</v>
      </c>
      <c r="D1401" t="s">
        <v>1963</v>
      </c>
      <c r="E1401" s="451">
        <v>46072</v>
      </c>
      <c r="F1401" s="451">
        <v>46087</v>
      </c>
      <c r="G1401" t="s">
        <v>296</v>
      </c>
      <c r="H1401" t="s">
        <v>304</v>
      </c>
      <c r="I1401" t="s">
        <v>1962</v>
      </c>
      <c r="J1401">
        <v>-97</v>
      </c>
      <c r="K1401">
        <v>-97</v>
      </c>
      <c r="O1401" t="s">
        <v>787</v>
      </c>
      <c r="P1401" t="s">
        <v>894</v>
      </c>
      <c r="Q1401" t="s">
        <v>460</v>
      </c>
      <c r="R1401">
        <v>0</v>
      </c>
    </row>
    <row r="1402" spans="1:18" x14ac:dyDescent="0.3">
      <c r="A1402">
        <v>209630</v>
      </c>
      <c r="B1402" t="s">
        <v>557</v>
      </c>
      <c r="C1402" t="s">
        <v>964</v>
      </c>
      <c r="E1402" s="451">
        <v>46072</v>
      </c>
      <c r="F1402" s="451">
        <v>46072</v>
      </c>
      <c r="G1402" t="s">
        <v>874</v>
      </c>
      <c r="H1402" t="s">
        <v>875</v>
      </c>
      <c r="J1402">
        <v>-119.9</v>
      </c>
      <c r="K1402">
        <v>-119.9</v>
      </c>
      <c r="O1402" t="s">
        <v>787</v>
      </c>
      <c r="P1402" t="s">
        <v>894</v>
      </c>
      <c r="Q1402" t="s">
        <v>460</v>
      </c>
      <c r="R1402">
        <v>0</v>
      </c>
    </row>
    <row r="1403" spans="1:18" x14ac:dyDescent="0.3">
      <c r="A1403">
        <v>209396</v>
      </c>
      <c r="B1403" t="s">
        <v>557</v>
      </c>
      <c r="C1403" t="s">
        <v>1964</v>
      </c>
      <c r="D1403" t="s">
        <v>1965</v>
      </c>
      <c r="E1403" s="451">
        <v>46072</v>
      </c>
      <c r="F1403" s="451">
        <v>46076</v>
      </c>
      <c r="G1403" t="s">
        <v>581</v>
      </c>
      <c r="H1403" t="s">
        <v>289</v>
      </c>
      <c r="I1403" t="s">
        <v>1966</v>
      </c>
      <c r="J1403">
        <v>-108.4</v>
      </c>
      <c r="K1403">
        <v>-108.4</v>
      </c>
      <c r="O1403" t="s">
        <v>787</v>
      </c>
      <c r="P1403" t="s">
        <v>894</v>
      </c>
      <c r="Q1403" t="s">
        <v>460</v>
      </c>
      <c r="R1403">
        <v>0</v>
      </c>
    </row>
    <row r="1404" spans="1:18" x14ac:dyDescent="0.3">
      <c r="A1404">
        <v>209472</v>
      </c>
      <c r="B1404" t="s">
        <v>557</v>
      </c>
      <c r="C1404" t="s">
        <v>1036</v>
      </c>
      <c r="E1404" s="451">
        <v>46071</v>
      </c>
      <c r="F1404" s="451">
        <v>46071</v>
      </c>
      <c r="G1404" t="s">
        <v>874</v>
      </c>
      <c r="H1404" t="s">
        <v>875</v>
      </c>
      <c r="J1404">
        <v>-177.05</v>
      </c>
      <c r="K1404">
        <v>-177.05</v>
      </c>
      <c r="O1404" t="s">
        <v>787</v>
      </c>
      <c r="P1404" t="s">
        <v>894</v>
      </c>
      <c r="Q1404" t="s">
        <v>460</v>
      </c>
      <c r="R1404">
        <v>0</v>
      </c>
    </row>
    <row r="1405" spans="1:18" x14ac:dyDescent="0.3">
      <c r="A1405">
        <v>209461</v>
      </c>
      <c r="B1405" t="s">
        <v>557</v>
      </c>
      <c r="C1405" t="s">
        <v>964</v>
      </c>
      <c r="E1405" s="451">
        <v>46071</v>
      </c>
      <c r="F1405" s="451">
        <v>46071</v>
      </c>
      <c r="G1405" t="s">
        <v>874</v>
      </c>
      <c r="H1405" t="s">
        <v>875</v>
      </c>
      <c r="J1405">
        <v>-52.13</v>
      </c>
      <c r="K1405">
        <v>-52.13</v>
      </c>
      <c r="O1405" t="s">
        <v>787</v>
      </c>
      <c r="P1405" t="s">
        <v>894</v>
      </c>
      <c r="Q1405" t="s">
        <v>460</v>
      </c>
      <c r="R1405">
        <v>0</v>
      </c>
    </row>
    <row r="1406" spans="1:18" x14ac:dyDescent="0.3">
      <c r="A1406">
        <v>213625</v>
      </c>
      <c r="B1406" t="s">
        <v>557</v>
      </c>
      <c r="C1406" t="s">
        <v>1237</v>
      </c>
      <c r="E1406" s="451">
        <v>46071</v>
      </c>
      <c r="F1406" s="451">
        <v>46072</v>
      </c>
      <c r="G1406" t="s">
        <v>279</v>
      </c>
      <c r="H1406" t="s">
        <v>284</v>
      </c>
      <c r="I1406" t="s">
        <v>1272</v>
      </c>
      <c r="J1406">
        <v>-59.42</v>
      </c>
      <c r="K1406">
        <v>-59.42</v>
      </c>
      <c r="O1406" t="s">
        <v>787</v>
      </c>
      <c r="P1406" t="s">
        <v>894</v>
      </c>
      <c r="Q1406" t="s">
        <v>460</v>
      </c>
      <c r="R1406">
        <v>0</v>
      </c>
    </row>
    <row r="1407" spans="1:18" x14ac:dyDescent="0.3">
      <c r="A1407">
        <v>212439</v>
      </c>
      <c r="B1407" t="s">
        <v>557</v>
      </c>
      <c r="C1407" t="s">
        <v>873</v>
      </c>
      <c r="E1407" s="451">
        <v>46070</v>
      </c>
      <c r="F1407" s="451">
        <v>46070</v>
      </c>
      <c r="G1407" t="s">
        <v>874</v>
      </c>
      <c r="H1407" t="s">
        <v>875</v>
      </c>
      <c r="J1407">
        <v>-2</v>
      </c>
      <c r="K1407">
        <v>-2</v>
      </c>
      <c r="O1407" t="s">
        <v>787</v>
      </c>
      <c r="P1407" t="s">
        <v>894</v>
      </c>
      <c r="Q1407" t="s">
        <v>460</v>
      </c>
      <c r="R1407">
        <v>0</v>
      </c>
    </row>
    <row r="1408" spans="1:18" x14ac:dyDescent="0.3">
      <c r="A1408">
        <v>213624</v>
      </c>
      <c r="B1408" t="s">
        <v>557</v>
      </c>
      <c r="C1408" t="s">
        <v>1237</v>
      </c>
      <c r="E1408" s="451">
        <v>46070</v>
      </c>
      <c r="F1408" s="451">
        <v>46071</v>
      </c>
      <c r="G1408" t="s">
        <v>279</v>
      </c>
      <c r="H1408" t="s">
        <v>284</v>
      </c>
      <c r="I1408" t="s">
        <v>1272</v>
      </c>
      <c r="J1408">
        <v>-68.83</v>
      </c>
      <c r="K1408">
        <v>-68.83</v>
      </c>
      <c r="O1408" t="s">
        <v>787</v>
      </c>
      <c r="P1408" t="s">
        <v>894</v>
      </c>
      <c r="Q1408" t="s">
        <v>460</v>
      </c>
      <c r="R1408">
        <v>0</v>
      </c>
    </row>
    <row r="1409" spans="1:18" x14ac:dyDescent="0.3">
      <c r="A1409">
        <v>213623</v>
      </c>
      <c r="B1409" t="s">
        <v>557</v>
      </c>
      <c r="C1409" t="s">
        <v>1237</v>
      </c>
      <c r="E1409" s="451">
        <v>46069</v>
      </c>
      <c r="F1409" s="451">
        <v>46070</v>
      </c>
      <c r="G1409" t="s">
        <v>279</v>
      </c>
      <c r="H1409" t="s">
        <v>284</v>
      </c>
      <c r="I1409" t="s">
        <v>1272</v>
      </c>
      <c r="J1409">
        <v>-50.71</v>
      </c>
      <c r="K1409">
        <v>-50.71</v>
      </c>
      <c r="O1409" t="s">
        <v>787</v>
      </c>
      <c r="P1409" t="s">
        <v>894</v>
      </c>
      <c r="Q1409" t="s">
        <v>460</v>
      </c>
      <c r="R1409">
        <v>0</v>
      </c>
    </row>
    <row r="1410" spans="1:18" x14ac:dyDescent="0.3">
      <c r="A1410">
        <v>194757</v>
      </c>
      <c r="B1410" t="s">
        <v>557</v>
      </c>
      <c r="C1410" t="s">
        <v>943</v>
      </c>
      <c r="D1410" t="s">
        <v>1967</v>
      </c>
      <c r="E1410" s="451">
        <v>46069</v>
      </c>
      <c r="F1410" s="451">
        <v>46079</v>
      </c>
      <c r="G1410" t="s">
        <v>576</v>
      </c>
      <c r="H1410" t="s">
        <v>203</v>
      </c>
      <c r="I1410" t="s">
        <v>1968</v>
      </c>
      <c r="J1410">
        <v>-2442</v>
      </c>
      <c r="K1410">
        <v>-2442</v>
      </c>
      <c r="O1410" t="s">
        <v>787</v>
      </c>
      <c r="P1410" t="s">
        <v>894</v>
      </c>
      <c r="Q1410" t="s">
        <v>460</v>
      </c>
      <c r="R1410">
        <v>0</v>
      </c>
    </row>
    <row r="1411" spans="1:18" x14ac:dyDescent="0.3">
      <c r="A1411">
        <v>209681</v>
      </c>
      <c r="B1411" t="s">
        <v>557</v>
      </c>
      <c r="C1411" t="s">
        <v>952</v>
      </c>
      <c r="D1411" t="s">
        <v>1969</v>
      </c>
      <c r="E1411" s="451">
        <v>46069</v>
      </c>
      <c r="F1411" s="451">
        <v>46090</v>
      </c>
      <c r="G1411" t="s">
        <v>569</v>
      </c>
      <c r="H1411" t="s">
        <v>58</v>
      </c>
      <c r="I1411" t="s">
        <v>1970</v>
      </c>
      <c r="J1411">
        <v>-3350</v>
      </c>
      <c r="K1411">
        <v>-3350</v>
      </c>
      <c r="O1411" t="s">
        <v>787</v>
      </c>
      <c r="P1411" t="s">
        <v>894</v>
      </c>
      <c r="Q1411" t="s">
        <v>460</v>
      </c>
      <c r="R1411">
        <v>0</v>
      </c>
    </row>
    <row r="1412" spans="1:18" x14ac:dyDescent="0.3">
      <c r="A1412">
        <v>208099</v>
      </c>
      <c r="B1412" t="s">
        <v>557</v>
      </c>
      <c r="C1412" t="s">
        <v>898</v>
      </c>
      <c r="D1412" t="s">
        <v>961</v>
      </c>
      <c r="E1412" s="451">
        <v>46069</v>
      </c>
      <c r="F1412" s="451">
        <v>46083</v>
      </c>
      <c r="G1412" t="s">
        <v>279</v>
      </c>
      <c r="H1412" t="s">
        <v>280</v>
      </c>
      <c r="I1412" t="s">
        <v>1971</v>
      </c>
      <c r="J1412">
        <v>-199.95</v>
      </c>
      <c r="K1412">
        <v>0</v>
      </c>
      <c r="O1412" t="s">
        <v>787</v>
      </c>
      <c r="P1412" t="s">
        <v>894</v>
      </c>
      <c r="Q1412" t="s">
        <v>460</v>
      </c>
      <c r="R1412">
        <v>0</v>
      </c>
    </row>
    <row r="1413" spans="1:18" x14ac:dyDescent="0.3">
      <c r="A1413">
        <v>209197</v>
      </c>
      <c r="B1413" t="s">
        <v>557</v>
      </c>
      <c r="C1413" t="s">
        <v>891</v>
      </c>
      <c r="E1413" s="451">
        <v>46068</v>
      </c>
      <c r="F1413" s="451">
        <v>46073</v>
      </c>
      <c r="G1413" t="s">
        <v>574</v>
      </c>
      <c r="H1413" t="s">
        <v>575</v>
      </c>
      <c r="J1413">
        <v>-1112.8</v>
      </c>
      <c r="K1413">
        <v>-1112.8</v>
      </c>
      <c r="O1413" t="s">
        <v>787</v>
      </c>
      <c r="P1413" t="s">
        <v>894</v>
      </c>
      <c r="Q1413" t="s">
        <v>460</v>
      </c>
      <c r="R1413">
        <v>0</v>
      </c>
    </row>
    <row r="1414" spans="1:18" x14ac:dyDescent="0.3">
      <c r="A1414">
        <v>192150</v>
      </c>
      <c r="B1414" t="s">
        <v>557</v>
      </c>
      <c r="C1414" t="s">
        <v>858</v>
      </c>
      <c r="D1414" t="s">
        <v>1972</v>
      </c>
      <c r="E1414" s="451">
        <v>46068</v>
      </c>
      <c r="F1414" s="451">
        <v>46094</v>
      </c>
      <c r="G1414" t="s">
        <v>279</v>
      </c>
      <c r="H1414" t="s">
        <v>285</v>
      </c>
      <c r="I1414" t="s">
        <v>1973</v>
      </c>
      <c r="J1414">
        <v>-389</v>
      </c>
      <c r="K1414">
        <v>-389</v>
      </c>
      <c r="O1414" t="s">
        <v>787</v>
      </c>
      <c r="P1414" t="s">
        <v>894</v>
      </c>
      <c r="Q1414" t="s">
        <v>460</v>
      </c>
      <c r="R1414">
        <v>0</v>
      </c>
    </row>
    <row r="1415" spans="1:18" x14ac:dyDescent="0.3">
      <c r="A1415">
        <v>209200</v>
      </c>
      <c r="B1415" t="s">
        <v>557</v>
      </c>
      <c r="C1415" t="s">
        <v>970</v>
      </c>
      <c r="E1415" s="451">
        <v>46068</v>
      </c>
      <c r="F1415" s="451">
        <v>46073</v>
      </c>
      <c r="G1415" t="s">
        <v>574</v>
      </c>
      <c r="H1415" t="s">
        <v>575</v>
      </c>
      <c r="J1415">
        <v>-841.44</v>
      </c>
      <c r="K1415">
        <v>-841.44</v>
      </c>
      <c r="O1415" t="s">
        <v>787</v>
      </c>
      <c r="P1415" t="s">
        <v>894</v>
      </c>
      <c r="Q1415" t="s">
        <v>460</v>
      </c>
      <c r="R1415">
        <v>0</v>
      </c>
    </row>
    <row r="1416" spans="1:18" x14ac:dyDescent="0.3">
      <c r="A1416">
        <v>209199</v>
      </c>
      <c r="B1416" t="s">
        <v>557</v>
      </c>
      <c r="C1416" t="s">
        <v>1113</v>
      </c>
      <c r="E1416" s="451">
        <v>46068</v>
      </c>
      <c r="F1416" s="451">
        <v>46073</v>
      </c>
      <c r="G1416" t="s">
        <v>574</v>
      </c>
      <c r="H1416" t="s">
        <v>575</v>
      </c>
      <c r="J1416">
        <v>-967.66</v>
      </c>
      <c r="K1416">
        <v>-967.66</v>
      </c>
      <c r="O1416" t="s">
        <v>787</v>
      </c>
      <c r="P1416" t="s">
        <v>894</v>
      </c>
      <c r="Q1416" t="s">
        <v>460</v>
      </c>
      <c r="R1416">
        <v>0</v>
      </c>
    </row>
    <row r="1417" spans="1:18" x14ac:dyDescent="0.3">
      <c r="A1417">
        <v>209198</v>
      </c>
      <c r="B1417" t="s">
        <v>557</v>
      </c>
      <c r="C1417" t="s">
        <v>1114</v>
      </c>
      <c r="E1417" s="451">
        <v>46068</v>
      </c>
      <c r="F1417" s="451">
        <v>46073</v>
      </c>
      <c r="G1417" t="s">
        <v>574</v>
      </c>
      <c r="H1417" t="s">
        <v>575</v>
      </c>
      <c r="J1417">
        <v>-841.44</v>
      </c>
      <c r="K1417">
        <v>-841.44</v>
      </c>
      <c r="O1417" t="s">
        <v>787</v>
      </c>
      <c r="P1417" t="s">
        <v>894</v>
      </c>
      <c r="Q1417" t="s">
        <v>460</v>
      </c>
      <c r="R1417">
        <v>0</v>
      </c>
    </row>
    <row r="1418" spans="1:18" x14ac:dyDescent="0.3">
      <c r="A1418">
        <v>209188</v>
      </c>
      <c r="B1418" t="s">
        <v>557</v>
      </c>
      <c r="C1418" t="s">
        <v>1105</v>
      </c>
      <c r="E1418" s="451">
        <v>46068</v>
      </c>
      <c r="F1418" s="451">
        <v>46073</v>
      </c>
      <c r="G1418" t="s">
        <v>574</v>
      </c>
      <c r="H1418" t="s">
        <v>575</v>
      </c>
      <c r="J1418">
        <v>-1051.8</v>
      </c>
      <c r="K1418">
        <v>-1051.8</v>
      </c>
      <c r="O1418" t="s">
        <v>787</v>
      </c>
      <c r="P1418" t="s">
        <v>894</v>
      </c>
      <c r="Q1418" t="s">
        <v>460</v>
      </c>
      <c r="R1418">
        <v>0</v>
      </c>
    </row>
    <row r="1419" spans="1:18" x14ac:dyDescent="0.3">
      <c r="A1419">
        <v>191786</v>
      </c>
      <c r="B1419" t="s">
        <v>557</v>
      </c>
      <c r="C1419" t="s">
        <v>856</v>
      </c>
      <c r="D1419" t="s">
        <v>1974</v>
      </c>
      <c r="E1419" s="451">
        <v>46068</v>
      </c>
      <c r="F1419" s="451">
        <v>46096</v>
      </c>
      <c r="G1419" t="s">
        <v>264</v>
      </c>
      <c r="H1419" t="s">
        <v>265</v>
      </c>
      <c r="I1419" t="s">
        <v>1975</v>
      </c>
      <c r="J1419">
        <v>-4311.88</v>
      </c>
      <c r="K1419">
        <v>-4311.88</v>
      </c>
      <c r="O1419" t="s">
        <v>787</v>
      </c>
      <c r="P1419" t="s">
        <v>894</v>
      </c>
      <c r="Q1419" t="s">
        <v>460</v>
      </c>
      <c r="R1419">
        <v>0</v>
      </c>
    </row>
    <row r="1420" spans="1:18" x14ac:dyDescent="0.3">
      <c r="A1420">
        <v>209196</v>
      </c>
      <c r="B1420" t="s">
        <v>557</v>
      </c>
      <c r="C1420" t="s">
        <v>1106</v>
      </c>
      <c r="E1420" s="451">
        <v>46068</v>
      </c>
      <c r="F1420" s="451">
        <v>46073</v>
      </c>
      <c r="G1420" t="s">
        <v>574</v>
      </c>
      <c r="H1420" t="s">
        <v>575</v>
      </c>
      <c r="J1420">
        <v>-841.44</v>
      </c>
      <c r="K1420">
        <v>-841.44</v>
      </c>
      <c r="O1420" t="s">
        <v>787</v>
      </c>
      <c r="P1420" t="s">
        <v>894</v>
      </c>
      <c r="Q1420" t="s">
        <v>460</v>
      </c>
      <c r="R1420">
        <v>0</v>
      </c>
    </row>
    <row r="1421" spans="1:18" x14ac:dyDescent="0.3">
      <c r="A1421">
        <v>209195</v>
      </c>
      <c r="B1421" t="s">
        <v>557</v>
      </c>
      <c r="C1421" t="s">
        <v>1104</v>
      </c>
      <c r="E1421" s="451">
        <v>46068</v>
      </c>
      <c r="F1421" s="451">
        <v>46073</v>
      </c>
      <c r="G1421" t="s">
        <v>574</v>
      </c>
      <c r="H1421" t="s">
        <v>575</v>
      </c>
      <c r="J1421">
        <v>-841.44</v>
      </c>
      <c r="K1421">
        <v>-841.44</v>
      </c>
      <c r="O1421" t="s">
        <v>787</v>
      </c>
      <c r="P1421" t="s">
        <v>894</v>
      </c>
      <c r="Q1421" t="s">
        <v>460</v>
      </c>
      <c r="R1421">
        <v>0</v>
      </c>
    </row>
    <row r="1422" spans="1:18" x14ac:dyDescent="0.3">
      <c r="A1422">
        <v>209194</v>
      </c>
      <c r="B1422" t="s">
        <v>557</v>
      </c>
      <c r="C1422" t="s">
        <v>968</v>
      </c>
      <c r="E1422" s="451">
        <v>46068</v>
      </c>
      <c r="F1422" s="451">
        <v>46073</v>
      </c>
      <c r="G1422" t="s">
        <v>574</v>
      </c>
      <c r="H1422" t="s">
        <v>575</v>
      </c>
      <c r="J1422">
        <v>-1027.57</v>
      </c>
      <c r="K1422">
        <v>-1027.57</v>
      </c>
      <c r="O1422" t="s">
        <v>787</v>
      </c>
      <c r="P1422" t="s">
        <v>894</v>
      </c>
      <c r="Q1422" t="s">
        <v>460</v>
      </c>
      <c r="R1422">
        <v>0</v>
      </c>
    </row>
    <row r="1423" spans="1:18" x14ac:dyDescent="0.3">
      <c r="A1423">
        <v>209193</v>
      </c>
      <c r="B1423" t="s">
        <v>557</v>
      </c>
      <c r="C1423" t="s">
        <v>1116</v>
      </c>
      <c r="E1423" s="451">
        <v>46068</v>
      </c>
      <c r="F1423" s="451">
        <v>46073</v>
      </c>
      <c r="G1423" t="s">
        <v>574</v>
      </c>
      <c r="H1423" t="s">
        <v>575</v>
      </c>
      <c r="J1423">
        <v>-944.02</v>
      </c>
      <c r="K1423">
        <v>-944.02</v>
      </c>
      <c r="O1423" t="s">
        <v>787</v>
      </c>
      <c r="P1423" t="s">
        <v>894</v>
      </c>
      <c r="Q1423" t="s">
        <v>460</v>
      </c>
      <c r="R1423">
        <v>0</v>
      </c>
    </row>
    <row r="1424" spans="1:18" x14ac:dyDescent="0.3">
      <c r="A1424">
        <v>191798</v>
      </c>
      <c r="B1424" t="s">
        <v>557</v>
      </c>
      <c r="C1424" t="s">
        <v>856</v>
      </c>
      <c r="D1424" t="s">
        <v>1976</v>
      </c>
      <c r="E1424" s="451">
        <v>46068</v>
      </c>
      <c r="F1424" s="451">
        <v>46096</v>
      </c>
      <c r="G1424" t="s">
        <v>264</v>
      </c>
      <c r="H1424" t="s">
        <v>265</v>
      </c>
      <c r="I1424" t="s">
        <v>1977</v>
      </c>
      <c r="J1424">
        <v>-1283.3499999999999</v>
      </c>
      <c r="K1424">
        <v>-1283.3499999999999</v>
      </c>
      <c r="O1424" t="s">
        <v>787</v>
      </c>
      <c r="P1424" t="s">
        <v>894</v>
      </c>
      <c r="Q1424" t="s">
        <v>460</v>
      </c>
      <c r="R1424">
        <v>0</v>
      </c>
    </row>
    <row r="1425" spans="1:18" x14ac:dyDescent="0.3">
      <c r="A1425">
        <v>209189</v>
      </c>
      <c r="B1425" t="s">
        <v>557</v>
      </c>
      <c r="C1425" t="s">
        <v>1492</v>
      </c>
      <c r="E1425" s="451">
        <v>46068</v>
      </c>
      <c r="F1425" s="451">
        <v>46073</v>
      </c>
      <c r="G1425" t="s">
        <v>574</v>
      </c>
      <c r="H1425" t="s">
        <v>575</v>
      </c>
      <c r="J1425">
        <v>-841.44</v>
      </c>
      <c r="K1425">
        <v>-841.44</v>
      </c>
      <c r="O1425" t="s">
        <v>787</v>
      </c>
      <c r="P1425" t="s">
        <v>894</v>
      </c>
      <c r="Q1425" t="s">
        <v>460</v>
      </c>
      <c r="R1425">
        <v>0</v>
      </c>
    </row>
    <row r="1426" spans="1:18" x14ac:dyDescent="0.3">
      <c r="A1426">
        <v>209190</v>
      </c>
      <c r="B1426" t="s">
        <v>557</v>
      </c>
      <c r="C1426" t="s">
        <v>1110</v>
      </c>
      <c r="E1426" s="451">
        <v>46068</v>
      </c>
      <c r="F1426" s="451">
        <v>46073</v>
      </c>
      <c r="G1426" t="s">
        <v>574</v>
      </c>
      <c r="H1426" t="s">
        <v>575</v>
      </c>
      <c r="J1426">
        <v>-944.02</v>
      </c>
      <c r="K1426">
        <v>-944.02</v>
      </c>
      <c r="O1426" t="s">
        <v>787</v>
      </c>
      <c r="P1426" t="s">
        <v>894</v>
      </c>
      <c r="Q1426" t="s">
        <v>460</v>
      </c>
      <c r="R1426">
        <v>0</v>
      </c>
    </row>
    <row r="1427" spans="1:18" x14ac:dyDescent="0.3">
      <c r="A1427">
        <v>209191</v>
      </c>
      <c r="B1427" t="s">
        <v>557</v>
      </c>
      <c r="C1427" t="s">
        <v>1781</v>
      </c>
      <c r="E1427" s="451">
        <v>46068</v>
      </c>
      <c r="F1427" s="451">
        <v>46073</v>
      </c>
      <c r="G1427" t="s">
        <v>574</v>
      </c>
      <c r="H1427" t="s">
        <v>575</v>
      </c>
      <c r="J1427">
        <v>-1051.8</v>
      </c>
      <c r="K1427">
        <v>-1051.8</v>
      </c>
      <c r="O1427" t="s">
        <v>787</v>
      </c>
      <c r="P1427" t="s">
        <v>894</v>
      </c>
      <c r="Q1427" t="s">
        <v>460</v>
      </c>
      <c r="R1427">
        <v>0</v>
      </c>
    </row>
    <row r="1428" spans="1:18" x14ac:dyDescent="0.3">
      <c r="A1428">
        <v>209192</v>
      </c>
      <c r="B1428" t="s">
        <v>557</v>
      </c>
      <c r="C1428" t="s">
        <v>1381</v>
      </c>
      <c r="E1428" s="451">
        <v>46068</v>
      </c>
      <c r="F1428" s="451">
        <v>46073</v>
      </c>
      <c r="G1428" t="s">
        <v>574</v>
      </c>
      <c r="H1428" t="s">
        <v>575</v>
      </c>
      <c r="J1428">
        <v>-1027.57</v>
      </c>
      <c r="K1428">
        <v>-1027.57</v>
      </c>
      <c r="O1428" t="s">
        <v>787</v>
      </c>
      <c r="P1428" t="s">
        <v>894</v>
      </c>
      <c r="Q1428" t="s">
        <v>460</v>
      </c>
      <c r="R1428">
        <v>0</v>
      </c>
    </row>
    <row r="1429" spans="1:18" x14ac:dyDescent="0.3">
      <c r="A1429">
        <v>213622</v>
      </c>
      <c r="B1429" t="s">
        <v>557</v>
      </c>
      <c r="C1429" t="s">
        <v>1237</v>
      </c>
      <c r="E1429" s="451">
        <v>46068</v>
      </c>
      <c r="F1429" s="451">
        <v>46069</v>
      </c>
      <c r="G1429" t="s">
        <v>279</v>
      </c>
      <c r="H1429" t="s">
        <v>284</v>
      </c>
      <c r="I1429" t="s">
        <v>1272</v>
      </c>
      <c r="J1429">
        <v>-242.36</v>
      </c>
      <c r="K1429">
        <v>-242.36</v>
      </c>
      <c r="O1429" t="s">
        <v>787</v>
      </c>
      <c r="P1429" t="s">
        <v>894</v>
      </c>
      <c r="Q1429" t="s">
        <v>460</v>
      </c>
      <c r="R1429">
        <v>0</v>
      </c>
    </row>
    <row r="1430" spans="1:18" x14ac:dyDescent="0.3">
      <c r="A1430">
        <v>213621</v>
      </c>
      <c r="B1430" t="s">
        <v>557</v>
      </c>
      <c r="C1430" t="s">
        <v>1237</v>
      </c>
      <c r="E1430" s="451">
        <v>46067</v>
      </c>
      <c r="F1430" s="451">
        <v>46068</v>
      </c>
      <c r="G1430" t="s">
        <v>279</v>
      </c>
      <c r="H1430" t="s">
        <v>284</v>
      </c>
      <c r="I1430" t="s">
        <v>1272</v>
      </c>
      <c r="J1430">
        <v>-183.76</v>
      </c>
      <c r="K1430">
        <v>-183.76</v>
      </c>
      <c r="O1430" t="s">
        <v>787</v>
      </c>
      <c r="P1430" t="s">
        <v>894</v>
      </c>
      <c r="Q1430" t="s">
        <v>460</v>
      </c>
      <c r="R1430">
        <v>0</v>
      </c>
    </row>
    <row r="1431" spans="1:18" x14ac:dyDescent="0.3">
      <c r="A1431">
        <v>213620</v>
      </c>
      <c r="B1431" t="s">
        <v>557</v>
      </c>
      <c r="C1431" t="s">
        <v>1237</v>
      </c>
      <c r="E1431" s="451">
        <v>46066</v>
      </c>
      <c r="F1431" s="451">
        <v>46067</v>
      </c>
      <c r="G1431" t="s">
        <v>279</v>
      </c>
      <c r="H1431" t="s">
        <v>284</v>
      </c>
      <c r="I1431" t="s">
        <v>1272</v>
      </c>
      <c r="J1431">
        <v>-77.739999999999995</v>
      </c>
      <c r="K1431">
        <v>-77.739999999999995</v>
      </c>
      <c r="O1431" t="s">
        <v>787</v>
      </c>
      <c r="P1431" t="s">
        <v>894</v>
      </c>
      <c r="Q1431" t="s">
        <v>460</v>
      </c>
      <c r="R1431">
        <v>0</v>
      </c>
    </row>
    <row r="1432" spans="1:18" x14ac:dyDescent="0.3">
      <c r="A1432">
        <v>213619</v>
      </c>
      <c r="B1432" t="s">
        <v>557</v>
      </c>
      <c r="C1432" t="s">
        <v>1237</v>
      </c>
      <c r="E1432" s="451">
        <v>46065</v>
      </c>
      <c r="F1432" s="451">
        <v>46066</v>
      </c>
      <c r="G1432" t="s">
        <v>279</v>
      </c>
      <c r="H1432" t="s">
        <v>284</v>
      </c>
      <c r="I1432" t="s">
        <v>1272</v>
      </c>
      <c r="J1432">
        <v>-63.51</v>
      </c>
      <c r="K1432">
        <v>-63.51</v>
      </c>
      <c r="O1432" t="s">
        <v>787</v>
      </c>
      <c r="P1432" t="s">
        <v>894</v>
      </c>
      <c r="Q1432" t="s">
        <v>460</v>
      </c>
      <c r="R1432">
        <v>0</v>
      </c>
    </row>
    <row r="1433" spans="1:18" x14ac:dyDescent="0.3">
      <c r="A1433">
        <v>192624</v>
      </c>
      <c r="B1433" t="s">
        <v>557</v>
      </c>
      <c r="C1433" t="s">
        <v>1128</v>
      </c>
      <c r="D1433" t="s">
        <v>1978</v>
      </c>
      <c r="E1433" s="451">
        <v>46065</v>
      </c>
      <c r="F1433" s="451">
        <v>46088</v>
      </c>
      <c r="G1433" t="s">
        <v>569</v>
      </c>
      <c r="H1433" t="s">
        <v>66</v>
      </c>
      <c r="I1433" t="s">
        <v>1979</v>
      </c>
      <c r="J1433">
        <v>-167</v>
      </c>
      <c r="K1433">
        <v>-167</v>
      </c>
      <c r="O1433" t="s">
        <v>787</v>
      </c>
      <c r="P1433" t="s">
        <v>894</v>
      </c>
      <c r="Q1433" t="s">
        <v>460</v>
      </c>
      <c r="R1433">
        <v>0</v>
      </c>
    </row>
    <row r="1434" spans="1:18" x14ac:dyDescent="0.3">
      <c r="A1434">
        <v>206563</v>
      </c>
      <c r="B1434" t="s">
        <v>557</v>
      </c>
      <c r="C1434" t="s">
        <v>1137</v>
      </c>
      <c r="D1434" t="s">
        <v>1980</v>
      </c>
      <c r="E1434" s="451">
        <v>46065</v>
      </c>
      <c r="F1434" s="451">
        <v>46079</v>
      </c>
      <c r="G1434" t="s">
        <v>581</v>
      </c>
      <c r="H1434" t="s">
        <v>288</v>
      </c>
      <c r="I1434" t="s">
        <v>1981</v>
      </c>
      <c r="J1434">
        <v>-400</v>
      </c>
      <c r="K1434">
        <v>-400</v>
      </c>
      <c r="O1434" t="s">
        <v>787</v>
      </c>
      <c r="P1434" t="s">
        <v>894</v>
      </c>
      <c r="Q1434" t="s">
        <v>460</v>
      </c>
      <c r="R1434">
        <v>0</v>
      </c>
    </row>
    <row r="1435" spans="1:18" x14ac:dyDescent="0.3">
      <c r="A1435">
        <v>191991</v>
      </c>
      <c r="B1435" t="s">
        <v>557</v>
      </c>
      <c r="C1435" t="s">
        <v>861</v>
      </c>
      <c r="D1435" t="s">
        <v>1982</v>
      </c>
      <c r="E1435" s="451">
        <v>46064</v>
      </c>
      <c r="F1435" s="451">
        <v>46091</v>
      </c>
      <c r="G1435" t="s">
        <v>256</v>
      </c>
      <c r="H1435" t="s">
        <v>257</v>
      </c>
      <c r="I1435" t="s">
        <v>1983</v>
      </c>
      <c r="J1435">
        <v>-22701.55</v>
      </c>
      <c r="K1435">
        <v>-18701.55</v>
      </c>
      <c r="O1435" t="s">
        <v>787</v>
      </c>
      <c r="P1435" t="s">
        <v>894</v>
      </c>
      <c r="Q1435" t="s">
        <v>460</v>
      </c>
      <c r="R1435">
        <v>0</v>
      </c>
    </row>
    <row r="1436" spans="1:18" x14ac:dyDescent="0.3">
      <c r="A1436">
        <v>213618</v>
      </c>
      <c r="B1436" t="s">
        <v>557</v>
      </c>
      <c r="C1436" t="s">
        <v>1237</v>
      </c>
      <c r="E1436" s="451">
        <v>46064</v>
      </c>
      <c r="F1436" s="451">
        <v>46065</v>
      </c>
      <c r="G1436" t="s">
        <v>279</v>
      </c>
      <c r="H1436" t="s">
        <v>284</v>
      </c>
      <c r="I1436" t="s">
        <v>1272</v>
      </c>
      <c r="J1436">
        <v>-105.57</v>
      </c>
      <c r="K1436">
        <v>-105.57</v>
      </c>
      <c r="O1436" t="s">
        <v>787</v>
      </c>
      <c r="P1436" t="s">
        <v>894</v>
      </c>
      <c r="Q1436" t="s">
        <v>460</v>
      </c>
      <c r="R1436">
        <v>0</v>
      </c>
    </row>
    <row r="1437" spans="1:18" x14ac:dyDescent="0.3">
      <c r="A1437">
        <v>211673</v>
      </c>
      <c r="B1437" t="s">
        <v>557</v>
      </c>
      <c r="C1437" t="s">
        <v>1066</v>
      </c>
      <c r="D1437" t="s">
        <v>1984</v>
      </c>
      <c r="E1437" s="451">
        <v>46063</v>
      </c>
      <c r="F1437" s="451">
        <v>46086</v>
      </c>
      <c r="G1437" t="s">
        <v>264</v>
      </c>
      <c r="H1437" t="s">
        <v>272</v>
      </c>
      <c r="I1437" t="s">
        <v>1985</v>
      </c>
      <c r="J1437">
        <v>-70</v>
      </c>
      <c r="K1437">
        <v>-70</v>
      </c>
      <c r="O1437" t="s">
        <v>787</v>
      </c>
      <c r="P1437" t="s">
        <v>894</v>
      </c>
      <c r="Q1437" t="s">
        <v>460</v>
      </c>
      <c r="R1437">
        <v>0</v>
      </c>
    </row>
    <row r="1438" spans="1:18" x14ac:dyDescent="0.3">
      <c r="A1438">
        <v>213617</v>
      </c>
      <c r="B1438" t="s">
        <v>557</v>
      </c>
      <c r="C1438" t="s">
        <v>1237</v>
      </c>
      <c r="E1438" s="451">
        <v>46063</v>
      </c>
      <c r="F1438" s="451">
        <v>46064</v>
      </c>
      <c r="G1438" t="s">
        <v>279</v>
      </c>
      <c r="H1438" t="s">
        <v>284</v>
      </c>
      <c r="I1438" t="s">
        <v>1272</v>
      </c>
      <c r="J1438">
        <v>-50.68</v>
      </c>
      <c r="K1438">
        <v>-50.68</v>
      </c>
      <c r="O1438" t="s">
        <v>787</v>
      </c>
      <c r="P1438" t="s">
        <v>894</v>
      </c>
      <c r="Q1438" t="s">
        <v>460</v>
      </c>
      <c r="R1438">
        <v>0</v>
      </c>
    </row>
    <row r="1439" spans="1:18" x14ac:dyDescent="0.3">
      <c r="A1439">
        <v>192004</v>
      </c>
      <c r="B1439" t="s">
        <v>557</v>
      </c>
      <c r="C1439" t="s">
        <v>863</v>
      </c>
      <c r="D1439" t="s">
        <v>1982</v>
      </c>
      <c r="E1439" s="451">
        <v>46063</v>
      </c>
      <c r="F1439" s="451">
        <v>46081</v>
      </c>
      <c r="G1439" t="s">
        <v>256</v>
      </c>
      <c r="H1439" t="s">
        <v>257</v>
      </c>
      <c r="I1439" t="s">
        <v>1986</v>
      </c>
      <c r="J1439">
        <v>-29308</v>
      </c>
      <c r="K1439">
        <v>-29238</v>
      </c>
      <c r="O1439" t="s">
        <v>787</v>
      </c>
      <c r="P1439" t="s">
        <v>894</v>
      </c>
      <c r="Q1439" t="s">
        <v>460</v>
      </c>
      <c r="R1439">
        <v>0</v>
      </c>
    </row>
    <row r="1440" spans="1:18" x14ac:dyDescent="0.3">
      <c r="A1440">
        <v>206572</v>
      </c>
      <c r="B1440" t="s">
        <v>557</v>
      </c>
      <c r="C1440" t="s">
        <v>964</v>
      </c>
      <c r="E1440" s="451">
        <v>46063</v>
      </c>
      <c r="F1440" s="451">
        <v>46063</v>
      </c>
      <c r="G1440" t="s">
        <v>874</v>
      </c>
      <c r="H1440" t="s">
        <v>875</v>
      </c>
      <c r="J1440">
        <v>-62.45</v>
      </c>
      <c r="K1440">
        <v>-62.45</v>
      </c>
      <c r="O1440" t="s">
        <v>787</v>
      </c>
      <c r="P1440" t="s">
        <v>894</v>
      </c>
      <c r="Q1440" t="s">
        <v>460</v>
      </c>
      <c r="R1440">
        <v>0</v>
      </c>
    </row>
    <row r="1441" spans="1:18" x14ac:dyDescent="0.3">
      <c r="A1441">
        <v>206574</v>
      </c>
      <c r="B1441" t="s">
        <v>557</v>
      </c>
      <c r="C1441" t="s">
        <v>964</v>
      </c>
      <c r="E1441" s="451">
        <v>46063</v>
      </c>
      <c r="F1441" s="451">
        <v>46063</v>
      </c>
      <c r="G1441" t="s">
        <v>874</v>
      </c>
      <c r="H1441" t="s">
        <v>875</v>
      </c>
      <c r="J1441">
        <v>-2.4500000000000002</v>
      </c>
      <c r="K1441">
        <v>-2.4500000000000002</v>
      </c>
      <c r="O1441" t="s">
        <v>787</v>
      </c>
      <c r="P1441" t="s">
        <v>894</v>
      </c>
      <c r="Q1441" t="s">
        <v>460</v>
      </c>
      <c r="R1441">
        <v>0</v>
      </c>
    </row>
    <row r="1442" spans="1:18" x14ac:dyDescent="0.3">
      <c r="A1442">
        <v>192798</v>
      </c>
      <c r="B1442" t="s">
        <v>557</v>
      </c>
      <c r="C1442" t="s">
        <v>943</v>
      </c>
      <c r="D1442" t="s">
        <v>1987</v>
      </c>
      <c r="E1442" s="451">
        <v>46062</v>
      </c>
      <c r="F1442" s="451">
        <v>46072</v>
      </c>
      <c r="G1442" t="s">
        <v>576</v>
      </c>
      <c r="H1442" t="s">
        <v>203</v>
      </c>
      <c r="I1442" t="s">
        <v>1988</v>
      </c>
      <c r="J1442">
        <v>-2772</v>
      </c>
      <c r="K1442">
        <v>-2772</v>
      </c>
      <c r="O1442" t="s">
        <v>787</v>
      </c>
      <c r="P1442" t="s">
        <v>894</v>
      </c>
      <c r="Q1442" t="s">
        <v>460</v>
      </c>
      <c r="R1442">
        <v>0</v>
      </c>
    </row>
    <row r="1443" spans="1:18" x14ac:dyDescent="0.3">
      <c r="A1443">
        <v>192739</v>
      </c>
      <c r="B1443" t="s">
        <v>557</v>
      </c>
      <c r="C1443" t="s">
        <v>952</v>
      </c>
      <c r="D1443" t="s">
        <v>1989</v>
      </c>
      <c r="E1443" s="451">
        <v>46062</v>
      </c>
      <c r="F1443" s="451">
        <v>46083</v>
      </c>
      <c r="G1443" t="s">
        <v>569</v>
      </c>
      <c r="H1443" t="s">
        <v>58</v>
      </c>
      <c r="I1443" t="s">
        <v>1990</v>
      </c>
      <c r="J1443">
        <v>-850</v>
      </c>
      <c r="K1443">
        <v>-850</v>
      </c>
      <c r="O1443" t="s">
        <v>787</v>
      </c>
      <c r="P1443" t="s">
        <v>894</v>
      </c>
      <c r="Q1443" t="s">
        <v>460</v>
      </c>
      <c r="R1443">
        <v>0</v>
      </c>
    </row>
    <row r="1444" spans="1:18" x14ac:dyDescent="0.3">
      <c r="A1444">
        <v>213616</v>
      </c>
      <c r="B1444" t="s">
        <v>557</v>
      </c>
      <c r="C1444" t="s">
        <v>1237</v>
      </c>
      <c r="E1444" s="451">
        <v>46062</v>
      </c>
      <c r="F1444" s="451">
        <v>46063</v>
      </c>
      <c r="G1444" t="s">
        <v>279</v>
      </c>
      <c r="H1444" t="s">
        <v>284</v>
      </c>
      <c r="I1444" t="s">
        <v>1272</v>
      </c>
      <c r="J1444">
        <v>-33.28</v>
      </c>
      <c r="K1444">
        <v>-33.28</v>
      </c>
      <c r="O1444" t="s">
        <v>787</v>
      </c>
      <c r="P1444" t="s">
        <v>894</v>
      </c>
      <c r="Q1444" t="s">
        <v>460</v>
      </c>
      <c r="R1444">
        <v>0</v>
      </c>
    </row>
    <row r="1445" spans="1:18" x14ac:dyDescent="0.3">
      <c r="A1445">
        <v>213615</v>
      </c>
      <c r="B1445" t="s">
        <v>557</v>
      </c>
      <c r="C1445" t="s">
        <v>1237</v>
      </c>
      <c r="E1445" s="451">
        <v>46061</v>
      </c>
      <c r="F1445" s="451">
        <v>46062</v>
      </c>
      <c r="G1445" t="s">
        <v>279</v>
      </c>
      <c r="H1445" t="s">
        <v>284</v>
      </c>
      <c r="I1445" t="s">
        <v>1272</v>
      </c>
      <c r="J1445">
        <v>-118.79</v>
      </c>
      <c r="K1445">
        <v>-118.79</v>
      </c>
      <c r="O1445" t="s">
        <v>787</v>
      </c>
      <c r="P1445" t="s">
        <v>894</v>
      </c>
      <c r="Q1445" t="s">
        <v>460</v>
      </c>
      <c r="R1445">
        <v>0</v>
      </c>
    </row>
    <row r="1446" spans="1:18" x14ac:dyDescent="0.3">
      <c r="A1446">
        <v>213614</v>
      </c>
      <c r="B1446" t="s">
        <v>557</v>
      </c>
      <c r="C1446" t="s">
        <v>1237</v>
      </c>
      <c r="E1446" s="451">
        <v>46060</v>
      </c>
      <c r="F1446" s="451">
        <v>46061</v>
      </c>
      <c r="G1446" t="s">
        <v>279</v>
      </c>
      <c r="H1446" t="s">
        <v>284</v>
      </c>
      <c r="I1446" t="s">
        <v>1272</v>
      </c>
      <c r="J1446">
        <v>-176.94</v>
      </c>
      <c r="K1446">
        <v>-176.94</v>
      </c>
      <c r="O1446" t="s">
        <v>787</v>
      </c>
      <c r="P1446" t="s">
        <v>894</v>
      </c>
      <c r="Q1446" t="s">
        <v>460</v>
      </c>
      <c r="R1446">
        <v>0</v>
      </c>
    </row>
    <row r="1447" spans="1:18" x14ac:dyDescent="0.3">
      <c r="A1447">
        <v>213613</v>
      </c>
      <c r="B1447" t="s">
        <v>557</v>
      </c>
      <c r="C1447" t="s">
        <v>1237</v>
      </c>
      <c r="E1447" s="451">
        <v>46059</v>
      </c>
      <c r="F1447" s="451">
        <v>46060</v>
      </c>
      <c r="G1447" t="s">
        <v>279</v>
      </c>
      <c r="H1447" t="s">
        <v>284</v>
      </c>
      <c r="I1447" t="s">
        <v>1272</v>
      </c>
      <c r="J1447">
        <v>-95.74</v>
      </c>
      <c r="K1447">
        <v>-95.74</v>
      </c>
      <c r="O1447" t="s">
        <v>787</v>
      </c>
      <c r="P1447" t="s">
        <v>894</v>
      </c>
      <c r="Q1447" t="s">
        <v>460</v>
      </c>
      <c r="R1447">
        <v>0</v>
      </c>
    </row>
    <row r="1448" spans="1:18" x14ac:dyDescent="0.3">
      <c r="A1448">
        <v>206564</v>
      </c>
      <c r="B1448" t="s">
        <v>557</v>
      </c>
      <c r="C1448" t="s">
        <v>1245</v>
      </c>
      <c r="D1448" t="s">
        <v>1991</v>
      </c>
      <c r="E1448" s="451">
        <v>46059</v>
      </c>
      <c r="F1448" s="451">
        <v>46074</v>
      </c>
      <c r="G1448" t="s">
        <v>582</v>
      </c>
      <c r="H1448" t="s">
        <v>294</v>
      </c>
      <c r="I1448" t="s">
        <v>1992</v>
      </c>
      <c r="J1448">
        <v>-38</v>
      </c>
      <c r="K1448">
        <v>-38</v>
      </c>
      <c r="O1448" t="s">
        <v>787</v>
      </c>
      <c r="P1448" t="s">
        <v>894</v>
      </c>
      <c r="Q1448" t="s">
        <v>460</v>
      </c>
      <c r="R1448">
        <v>0</v>
      </c>
    </row>
    <row r="1449" spans="1:18" x14ac:dyDescent="0.3">
      <c r="A1449">
        <v>206571</v>
      </c>
      <c r="B1449" t="s">
        <v>557</v>
      </c>
      <c r="C1449" t="s">
        <v>964</v>
      </c>
      <c r="E1449" s="451">
        <v>46059</v>
      </c>
      <c r="F1449" s="451">
        <v>46059</v>
      </c>
      <c r="G1449" t="s">
        <v>874</v>
      </c>
      <c r="H1449" t="s">
        <v>875</v>
      </c>
      <c r="J1449">
        <v>-90</v>
      </c>
      <c r="K1449">
        <v>-90</v>
      </c>
      <c r="O1449" t="s">
        <v>787</v>
      </c>
      <c r="P1449" t="s">
        <v>894</v>
      </c>
      <c r="Q1449" t="s">
        <v>460</v>
      </c>
      <c r="R1449">
        <v>0</v>
      </c>
    </row>
    <row r="1450" spans="1:18" x14ac:dyDescent="0.3">
      <c r="A1450">
        <v>208941</v>
      </c>
      <c r="B1450" t="s">
        <v>557</v>
      </c>
      <c r="C1450" t="s">
        <v>1993</v>
      </c>
      <c r="D1450" t="s">
        <v>1994</v>
      </c>
      <c r="E1450" s="451">
        <v>46058</v>
      </c>
      <c r="F1450" s="451">
        <v>46078</v>
      </c>
      <c r="G1450" t="s">
        <v>264</v>
      </c>
      <c r="H1450" t="s">
        <v>272</v>
      </c>
      <c r="I1450" t="s">
        <v>1995</v>
      </c>
      <c r="J1450">
        <v>-813</v>
      </c>
      <c r="K1450">
        <v>-813</v>
      </c>
      <c r="O1450" t="s">
        <v>787</v>
      </c>
      <c r="P1450" t="s">
        <v>894</v>
      </c>
      <c r="Q1450" t="s">
        <v>460</v>
      </c>
      <c r="R1450">
        <v>0</v>
      </c>
    </row>
    <row r="1451" spans="1:18" x14ac:dyDescent="0.3">
      <c r="A1451">
        <v>205216</v>
      </c>
      <c r="B1451" t="s">
        <v>557</v>
      </c>
      <c r="C1451" t="s">
        <v>1957</v>
      </c>
      <c r="D1451" t="s">
        <v>1996</v>
      </c>
      <c r="E1451" s="451">
        <v>46058</v>
      </c>
      <c r="F1451" s="451">
        <v>46073</v>
      </c>
      <c r="G1451" t="s">
        <v>264</v>
      </c>
      <c r="H1451" t="s">
        <v>272</v>
      </c>
      <c r="I1451" t="s">
        <v>1997</v>
      </c>
      <c r="J1451">
        <v>-70</v>
      </c>
      <c r="K1451">
        <v>-70</v>
      </c>
      <c r="O1451" t="s">
        <v>787</v>
      </c>
      <c r="P1451" t="s">
        <v>894</v>
      </c>
      <c r="Q1451" t="s">
        <v>460</v>
      </c>
      <c r="R1451">
        <v>0</v>
      </c>
    </row>
    <row r="1452" spans="1:18" x14ac:dyDescent="0.3">
      <c r="A1452">
        <v>192623</v>
      </c>
      <c r="B1452" t="s">
        <v>557</v>
      </c>
      <c r="C1452" t="s">
        <v>1128</v>
      </c>
      <c r="D1452" t="s">
        <v>1998</v>
      </c>
      <c r="E1452" s="451">
        <v>46058</v>
      </c>
      <c r="F1452" s="451">
        <v>46076</v>
      </c>
      <c r="G1452" t="s">
        <v>569</v>
      </c>
      <c r="H1452" t="s">
        <v>66</v>
      </c>
      <c r="I1452" t="s">
        <v>1999</v>
      </c>
      <c r="J1452">
        <v>-334</v>
      </c>
      <c r="K1452">
        <v>-334</v>
      </c>
      <c r="O1452" t="s">
        <v>787</v>
      </c>
      <c r="P1452" t="s">
        <v>894</v>
      </c>
      <c r="Q1452" t="s">
        <v>460</v>
      </c>
      <c r="R1452">
        <v>0</v>
      </c>
    </row>
    <row r="1453" spans="1:18" x14ac:dyDescent="0.3">
      <c r="A1453">
        <v>213612</v>
      </c>
      <c r="B1453" t="s">
        <v>557</v>
      </c>
      <c r="C1453" t="s">
        <v>1237</v>
      </c>
      <c r="E1453" s="451">
        <v>46058</v>
      </c>
      <c r="F1453" s="451">
        <v>46059</v>
      </c>
      <c r="G1453" t="s">
        <v>279</v>
      </c>
      <c r="H1453" t="s">
        <v>284</v>
      </c>
      <c r="I1453" t="s">
        <v>1272</v>
      </c>
      <c r="J1453">
        <v>-63.67</v>
      </c>
      <c r="K1453">
        <v>-63.67</v>
      </c>
      <c r="O1453" t="s">
        <v>787</v>
      </c>
      <c r="P1453" t="s">
        <v>894</v>
      </c>
      <c r="Q1453" t="s">
        <v>460</v>
      </c>
      <c r="R1453">
        <v>0</v>
      </c>
    </row>
    <row r="1454" spans="1:18" x14ac:dyDescent="0.3">
      <c r="A1454">
        <v>213611</v>
      </c>
      <c r="B1454" t="s">
        <v>557</v>
      </c>
      <c r="C1454" t="s">
        <v>1237</v>
      </c>
      <c r="E1454" s="451">
        <v>46057</v>
      </c>
      <c r="F1454" s="451">
        <v>46058</v>
      </c>
      <c r="G1454" t="s">
        <v>279</v>
      </c>
      <c r="H1454" t="s">
        <v>284</v>
      </c>
      <c r="I1454" t="s">
        <v>1272</v>
      </c>
      <c r="J1454">
        <v>-72.83</v>
      </c>
      <c r="K1454">
        <v>-72.83</v>
      </c>
      <c r="O1454" t="s">
        <v>787</v>
      </c>
      <c r="P1454" t="s">
        <v>894</v>
      </c>
      <c r="Q1454" t="s">
        <v>460</v>
      </c>
      <c r="R1454">
        <v>0</v>
      </c>
    </row>
    <row r="1455" spans="1:18" x14ac:dyDescent="0.3">
      <c r="A1455">
        <v>213610</v>
      </c>
      <c r="B1455" t="s">
        <v>557</v>
      </c>
      <c r="C1455" t="s">
        <v>1237</v>
      </c>
      <c r="E1455" s="451">
        <v>46056</v>
      </c>
      <c r="F1455" s="451">
        <v>46057</v>
      </c>
      <c r="G1455" t="s">
        <v>279</v>
      </c>
      <c r="H1455" t="s">
        <v>284</v>
      </c>
      <c r="I1455" t="s">
        <v>1272</v>
      </c>
      <c r="J1455">
        <v>-0.77</v>
      </c>
      <c r="K1455">
        <v>-0.77</v>
      </c>
      <c r="O1455" t="s">
        <v>787</v>
      </c>
      <c r="P1455" t="s">
        <v>894</v>
      </c>
      <c r="Q1455" t="s">
        <v>460</v>
      </c>
      <c r="R1455">
        <v>0</v>
      </c>
    </row>
    <row r="1456" spans="1:18" x14ac:dyDescent="0.3">
      <c r="A1456">
        <v>213609</v>
      </c>
      <c r="B1456" t="s">
        <v>557</v>
      </c>
      <c r="C1456" t="s">
        <v>1237</v>
      </c>
      <c r="E1456" s="451">
        <v>46056</v>
      </c>
      <c r="F1456" s="451">
        <v>46057</v>
      </c>
      <c r="G1456" t="s">
        <v>279</v>
      </c>
      <c r="H1456" t="s">
        <v>284</v>
      </c>
      <c r="I1456" t="s">
        <v>1272</v>
      </c>
      <c r="J1456">
        <v>-43.06</v>
      </c>
      <c r="K1456">
        <v>-43.06</v>
      </c>
      <c r="O1456" t="s">
        <v>787</v>
      </c>
      <c r="P1456" t="s">
        <v>894</v>
      </c>
      <c r="Q1456" t="s">
        <v>460</v>
      </c>
      <c r="R1456">
        <v>0</v>
      </c>
    </row>
    <row r="1457" spans="1:18" x14ac:dyDescent="0.3">
      <c r="A1457">
        <v>224651</v>
      </c>
      <c r="B1457" t="s">
        <v>557</v>
      </c>
      <c r="C1457" t="s">
        <v>1048</v>
      </c>
      <c r="D1457" t="s">
        <v>2000</v>
      </c>
      <c r="E1457" s="451">
        <v>46055</v>
      </c>
      <c r="F1457" s="451">
        <v>46127</v>
      </c>
      <c r="G1457" t="s">
        <v>582</v>
      </c>
      <c r="H1457" t="s">
        <v>293</v>
      </c>
      <c r="I1457" t="s">
        <v>2001</v>
      </c>
      <c r="J1457">
        <v>-135.44999999999999</v>
      </c>
      <c r="K1457">
        <v>0</v>
      </c>
      <c r="O1457" t="s">
        <v>787</v>
      </c>
      <c r="P1457" t="s">
        <v>894</v>
      </c>
      <c r="Q1457" t="s">
        <v>460</v>
      </c>
      <c r="R1457">
        <v>0</v>
      </c>
    </row>
    <row r="1458" spans="1:18" x14ac:dyDescent="0.3">
      <c r="A1458">
        <v>211308</v>
      </c>
      <c r="B1458" t="s">
        <v>557</v>
      </c>
      <c r="C1458" t="s">
        <v>943</v>
      </c>
      <c r="D1458" t="s">
        <v>2002</v>
      </c>
      <c r="E1458" s="451">
        <v>46055</v>
      </c>
      <c r="F1458" s="451">
        <v>46093</v>
      </c>
      <c r="G1458" t="s">
        <v>576</v>
      </c>
      <c r="H1458" t="s">
        <v>203</v>
      </c>
      <c r="I1458" t="s">
        <v>2003</v>
      </c>
      <c r="J1458">
        <v>-1544.88</v>
      </c>
      <c r="K1458">
        <v>-1544.88</v>
      </c>
      <c r="O1458" t="s">
        <v>787</v>
      </c>
      <c r="P1458" t="s">
        <v>894</v>
      </c>
      <c r="Q1458" t="s">
        <v>460</v>
      </c>
      <c r="R1458">
        <v>0</v>
      </c>
    </row>
    <row r="1459" spans="1:18" x14ac:dyDescent="0.3">
      <c r="A1459">
        <v>211301</v>
      </c>
      <c r="B1459" t="s">
        <v>557</v>
      </c>
      <c r="C1459" t="s">
        <v>943</v>
      </c>
      <c r="D1459" t="s">
        <v>2002</v>
      </c>
      <c r="E1459" s="451">
        <v>46055</v>
      </c>
      <c r="F1459" s="451">
        <v>46094</v>
      </c>
      <c r="G1459" t="s">
        <v>576</v>
      </c>
      <c r="H1459" t="s">
        <v>203</v>
      </c>
      <c r="I1459" t="s">
        <v>2004</v>
      </c>
      <c r="J1459">
        <v>-1100</v>
      </c>
      <c r="K1459">
        <v>-1100</v>
      </c>
      <c r="O1459" t="s">
        <v>787</v>
      </c>
      <c r="P1459" t="s">
        <v>894</v>
      </c>
      <c r="Q1459" t="s">
        <v>460</v>
      </c>
      <c r="R1459">
        <v>0</v>
      </c>
    </row>
    <row r="1460" spans="1:18" x14ac:dyDescent="0.3">
      <c r="A1460">
        <v>213607</v>
      </c>
      <c r="B1460" t="s">
        <v>557</v>
      </c>
      <c r="C1460" t="s">
        <v>1237</v>
      </c>
      <c r="E1460" s="451">
        <v>46055</v>
      </c>
      <c r="F1460" s="451">
        <v>46056</v>
      </c>
      <c r="G1460" t="s">
        <v>279</v>
      </c>
      <c r="H1460" t="s">
        <v>284</v>
      </c>
      <c r="I1460" t="s">
        <v>1272</v>
      </c>
      <c r="J1460">
        <v>-26.74</v>
      </c>
      <c r="K1460">
        <v>-26.74</v>
      </c>
      <c r="O1460" t="s">
        <v>787</v>
      </c>
      <c r="P1460" t="s">
        <v>894</v>
      </c>
      <c r="Q1460" t="s">
        <v>460</v>
      </c>
      <c r="R1460">
        <v>0</v>
      </c>
    </row>
    <row r="1461" spans="1:18" x14ac:dyDescent="0.3">
      <c r="A1461">
        <v>213608</v>
      </c>
      <c r="B1461" t="s">
        <v>557</v>
      </c>
      <c r="C1461" t="s">
        <v>1237</v>
      </c>
      <c r="E1461" s="451">
        <v>46055</v>
      </c>
      <c r="F1461" s="451">
        <v>46056</v>
      </c>
      <c r="G1461" t="s">
        <v>279</v>
      </c>
      <c r="H1461" t="s">
        <v>284</v>
      </c>
      <c r="I1461" t="s">
        <v>1272</v>
      </c>
      <c r="J1461">
        <v>-0.85</v>
      </c>
      <c r="K1461">
        <v>-0.85</v>
      </c>
      <c r="O1461" t="s">
        <v>787</v>
      </c>
      <c r="P1461" t="s">
        <v>894</v>
      </c>
      <c r="Q1461" t="s">
        <v>460</v>
      </c>
      <c r="R1461">
        <v>0</v>
      </c>
    </row>
    <row r="1462" spans="1:18" x14ac:dyDescent="0.3">
      <c r="A1462">
        <v>204883</v>
      </c>
      <c r="B1462" t="s">
        <v>557</v>
      </c>
      <c r="C1462" t="s">
        <v>1234</v>
      </c>
      <c r="D1462" t="s">
        <v>2005</v>
      </c>
      <c r="E1462" s="451">
        <v>46055</v>
      </c>
      <c r="F1462" s="451">
        <v>46063</v>
      </c>
      <c r="G1462" t="s">
        <v>564</v>
      </c>
      <c r="H1462" t="s">
        <v>565</v>
      </c>
      <c r="I1462" t="s">
        <v>2006</v>
      </c>
      <c r="J1462">
        <v>-1340.02</v>
      </c>
      <c r="K1462">
        <v>-1340.02</v>
      </c>
      <c r="O1462" t="s">
        <v>787</v>
      </c>
      <c r="P1462" t="s">
        <v>894</v>
      </c>
      <c r="Q1462" t="s">
        <v>460</v>
      </c>
      <c r="R1462">
        <v>0</v>
      </c>
    </row>
    <row r="1463" spans="1:18" x14ac:dyDescent="0.3">
      <c r="A1463">
        <v>209683</v>
      </c>
      <c r="B1463" t="s">
        <v>557</v>
      </c>
      <c r="C1463" t="s">
        <v>952</v>
      </c>
      <c r="D1463" t="s">
        <v>2007</v>
      </c>
      <c r="E1463" s="451">
        <v>46055</v>
      </c>
      <c r="F1463" s="451">
        <v>46104</v>
      </c>
      <c r="G1463" t="s">
        <v>569</v>
      </c>
      <c r="H1463" t="s">
        <v>58</v>
      </c>
      <c r="I1463" t="s">
        <v>2008</v>
      </c>
      <c r="J1463">
        <v>-1925</v>
      </c>
      <c r="K1463">
        <v>-1925</v>
      </c>
      <c r="O1463" t="s">
        <v>787</v>
      </c>
      <c r="P1463" t="s">
        <v>894</v>
      </c>
      <c r="Q1463" t="s">
        <v>460</v>
      </c>
      <c r="R1463">
        <v>0</v>
      </c>
    </row>
    <row r="1464" spans="1:18" x14ac:dyDescent="0.3">
      <c r="A1464">
        <v>192797</v>
      </c>
      <c r="B1464" t="s">
        <v>557</v>
      </c>
      <c r="C1464" t="s">
        <v>943</v>
      </c>
      <c r="D1464" t="s">
        <v>2009</v>
      </c>
      <c r="E1464" s="451">
        <v>46055</v>
      </c>
      <c r="F1464" s="451">
        <v>46065</v>
      </c>
      <c r="G1464" t="s">
        <v>576</v>
      </c>
      <c r="H1464" t="s">
        <v>203</v>
      </c>
      <c r="I1464" t="s">
        <v>2010</v>
      </c>
      <c r="J1464">
        <v>-2574</v>
      </c>
      <c r="K1464">
        <v>-2574</v>
      </c>
      <c r="O1464" t="s">
        <v>787</v>
      </c>
      <c r="P1464" t="s">
        <v>894</v>
      </c>
      <c r="Q1464" t="s">
        <v>460</v>
      </c>
      <c r="R1464">
        <v>0</v>
      </c>
    </row>
    <row r="1465" spans="1:18" x14ac:dyDescent="0.3">
      <c r="A1465">
        <v>206628</v>
      </c>
      <c r="B1465" t="s">
        <v>557</v>
      </c>
      <c r="C1465" t="s">
        <v>1125</v>
      </c>
      <c r="D1465" t="s">
        <v>2011</v>
      </c>
      <c r="E1465" s="451">
        <v>46054</v>
      </c>
      <c r="F1465" s="451">
        <v>46066</v>
      </c>
      <c r="G1465" t="s">
        <v>578</v>
      </c>
      <c r="H1465" t="s">
        <v>239</v>
      </c>
      <c r="I1465" t="s">
        <v>2012</v>
      </c>
      <c r="J1465">
        <v>-216</v>
      </c>
      <c r="K1465">
        <v>-216</v>
      </c>
      <c r="O1465" t="s">
        <v>787</v>
      </c>
      <c r="P1465" t="s">
        <v>894</v>
      </c>
      <c r="Q1465" t="s">
        <v>460</v>
      </c>
      <c r="R1465">
        <v>0</v>
      </c>
    </row>
    <row r="1466" spans="1:18" x14ac:dyDescent="0.3">
      <c r="A1466">
        <v>196321</v>
      </c>
      <c r="B1466" t="s">
        <v>557</v>
      </c>
      <c r="C1466" t="s">
        <v>834</v>
      </c>
      <c r="D1466" t="s">
        <v>2013</v>
      </c>
      <c r="E1466" s="451">
        <v>46054</v>
      </c>
      <c r="F1466" s="451">
        <v>46049</v>
      </c>
      <c r="G1466" t="s">
        <v>578</v>
      </c>
      <c r="H1466" t="s">
        <v>239</v>
      </c>
      <c r="I1466" t="s">
        <v>844</v>
      </c>
      <c r="J1466">
        <v>-957.48</v>
      </c>
      <c r="K1466">
        <v>-957.48</v>
      </c>
      <c r="O1466" t="s">
        <v>787</v>
      </c>
      <c r="P1466" t="s">
        <v>894</v>
      </c>
      <c r="Q1466" t="s">
        <v>460</v>
      </c>
      <c r="R1466">
        <v>0</v>
      </c>
    </row>
    <row r="1467" spans="1:18" x14ac:dyDescent="0.3">
      <c r="A1467">
        <v>196165</v>
      </c>
      <c r="B1467" t="s">
        <v>557</v>
      </c>
      <c r="C1467" t="s">
        <v>907</v>
      </c>
      <c r="D1467" t="s">
        <v>2014</v>
      </c>
      <c r="E1467" s="451">
        <v>46054</v>
      </c>
      <c r="F1467" s="451">
        <v>46091</v>
      </c>
      <c r="G1467" t="s">
        <v>578</v>
      </c>
      <c r="H1467" t="s">
        <v>252</v>
      </c>
      <c r="I1467" t="s">
        <v>2015</v>
      </c>
      <c r="J1467">
        <v>-2400</v>
      </c>
      <c r="K1467">
        <v>-2400</v>
      </c>
      <c r="O1467" t="s">
        <v>787</v>
      </c>
      <c r="P1467" t="s">
        <v>894</v>
      </c>
      <c r="Q1467" t="s">
        <v>460</v>
      </c>
      <c r="R1467">
        <v>0</v>
      </c>
    </row>
    <row r="1468" spans="1:18" x14ac:dyDescent="0.3">
      <c r="A1468">
        <v>209414</v>
      </c>
      <c r="B1468" t="s">
        <v>557</v>
      </c>
      <c r="C1468" t="s">
        <v>2016</v>
      </c>
      <c r="D1468" t="s">
        <v>2017</v>
      </c>
      <c r="E1468" s="451">
        <v>46054</v>
      </c>
      <c r="F1468" s="451">
        <v>46081</v>
      </c>
      <c r="G1468" t="s">
        <v>570</v>
      </c>
      <c r="H1468" t="s">
        <v>573</v>
      </c>
      <c r="I1468" t="s">
        <v>2018</v>
      </c>
      <c r="J1468">
        <v>-1466.67</v>
      </c>
      <c r="K1468">
        <v>-1466.67</v>
      </c>
      <c r="M1468" t="s">
        <v>821</v>
      </c>
      <c r="N1468" t="s">
        <v>133</v>
      </c>
      <c r="O1468" t="s">
        <v>787</v>
      </c>
      <c r="P1468" t="s">
        <v>894</v>
      </c>
      <c r="Q1468" t="s">
        <v>460</v>
      </c>
      <c r="R1468">
        <v>0</v>
      </c>
    </row>
    <row r="1469" spans="1:18" x14ac:dyDescent="0.3">
      <c r="A1469">
        <v>200576</v>
      </c>
      <c r="B1469" t="s">
        <v>557</v>
      </c>
      <c r="C1469" t="s">
        <v>882</v>
      </c>
      <c r="D1469" t="s">
        <v>1886</v>
      </c>
      <c r="E1469" s="451">
        <v>46054</v>
      </c>
      <c r="F1469" s="451">
        <v>46096</v>
      </c>
      <c r="G1469" t="s">
        <v>570</v>
      </c>
      <c r="H1469" t="s">
        <v>573</v>
      </c>
      <c r="I1469" t="s">
        <v>880</v>
      </c>
      <c r="J1469">
        <v>-3250</v>
      </c>
      <c r="K1469">
        <v>-3250</v>
      </c>
      <c r="M1469" t="s">
        <v>883</v>
      </c>
      <c r="N1469" t="s">
        <v>135</v>
      </c>
      <c r="O1469" t="s">
        <v>787</v>
      </c>
      <c r="P1469" t="s">
        <v>894</v>
      </c>
      <c r="Q1469" t="s">
        <v>460</v>
      </c>
      <c r="R1469">
        <v>0</v>
      </c>
    </row>
    <row r="1470" spans="1:18" x14ac:dyDescent="0.3">
      <c r="A1470">
        <v>211293</v>
      </c>
      <c r="B1470" t="s">
        <v>557</v>
      </c>
      <c r="C1470" t="s">
        <v>1051</v>
      </c>
      <c r="D1470" t="s">
        <v>2019</v>
      </c>
      <c r="E1470" s="451">
        <v>46054</v>
      </c>
      <c r="F1470" s="451">
        <v>46093</v>
      </c>
      <c r="G1470" t="s">
        <v>296</v>
      </c>
      <c r="H1470" t="s">
        <v>307</v>
      </c>
      <c r="I1470" t="s">
        <v>2020</v>
      </c>
      <c r="J1470">
        <v>-82.74</v>
      </c>
      <c r="K1470">
        <v>0</v>
      </c>
      <c r="O1470" t="s">
        <v>787</v>
      </c>
      <c r="P1470" t="s">
        <v>894</v>
      </c>
      <c r="Q1470" t="s">
        <v>460</v>
      </c>
      <c r="R1470">
        <v>0</v>
      </c>
    </row>
    <row r="1471" spans="1:18" x14ac:dyDescent="0.3">
      <c r="A1471">
        <v>200564</v>
      </c>
      <c r="B1471" t="s">
        <v>557</v>
      </c>
      <c r="C1471" t="s">
        <v>882</v>
      </c>
      <c r="D1471" t="s">
        <v>1886</v>
      </c>
      <c r="E1471" s="451">
        <v>46054</v>
      </c>
      <c r="F1471" s="451">
        <v>46082</v>
      </c>
      <c r="G1471" t="s">
        <v>570</v>
      </c>
      <c r="H1471" t="s">
        <v>573</v>
      </c>
      <c r="I1471" t="s">
        <v>880</v>
      </c>
      <c r="J1471">
        <v>-3250</v>
      </c>
      <c r="K1471">
        <v>-3250</v>
      </c>
      <c r="M1471" t="s">
        <v>883</v>
      </c>
      <c r="N1471" t="s">
        <v>135</v>
      </c>
      <c r="O1471" t="s">
        <v>787</v>
      </c>
      <c r="P1471" t="s">
        <v>894</v>
      </c>
      <c r="Q1471" t="s">
        <v>460</v>
      </c>
      <c r="R1471">
        <v>0</v>
      </c>
    </row>
    <row r="1472" spans="1:18" x14ac:dyDescent="0.3">
      <c r="A1472">
        <v>196297</v>
      </c>
      <c r="B1472" t="s">
        <v>557</v>
      </c>
      <c r="C1472" t="s">
        <v>834</v>
      </c>
      <c r="D1472" t="s">
        <v>2021</v>
      </c>
      <c r="E1472" s="451">
        <v>46054</v>
      </c>
      <c r="F1472" s="451">
        <v>46051</v>
      </c>
      <c r="G1472" t="s">
        <v>578</v>
      </c>
      <c r="H1472" t="s">
        <v>239</v>
      </c>
      <c r="I1472" t="s">
        <v>835</v>
      </c>
      <c r="J1472">
        <v>-3607.96</v>
      </c>
      <c r="K1472">
        <v>-3607.96</v>
      </c>
      <c r="O1472" t="s">
        <v>787</v>
      </c>
      <c r="P1472" t="s">
        <v>894</v>
      </c>
      <c r="Q1472" t="s">
        <v>460</v>
      </c>
      <c r="R1472">
        <v>0</v>
      </c>
    </row>
    <row r="1473" spans="1:18" x14ac:dyDescent="0.3">
      <c r="A1473">
        <v>200552</v>
      </c>
      <c r="B1473" t="s">
        <v>557</v>
      </c>
      <c r="C1473" t="s">
        <v>884</v>
      </c>
      <c r="D1473" t="s">
        <v>1595</v>
      </c>
      <c r="E1473" s="451">
        <v>46054</v>
      </c>
      <c r="F1473" s="451">
        <v>46096</v>
      </c>
      <c r="G1473" t="s">
        <v>570</v>
      </c>
      <c r="H1473" t="s">
        <v>573</v>
      </c>
      <c r="I1473" t="s">
        <v>880</v>
      </c>
      <c r="J1473">
        <v>-1750</v>
      </c>
      <c r="K1473">
        <v>-1750</v>
      </c>
      <c r="M1473" t="s">
        <v>885</v>
      </c>
      <c r="N1473" t="s">
        <v>134</v>
      </c>
      <c r="O1473" t="s">
        <v>787</v>
      </c>
      <c r="P1473" t="s">
        <v>894</v>
      </c>
      <c r="Q1473" t="s">
        <v>460</v>
      </c>
      <c r="R1473">
        <v>0</v>
      </c>
    </row>
    <row r="1474" spans="1:18" x14ac:dyDescent="0.3">
      <c r="A1474">
        <v>200462</v>
      </c>
      <c r="B1474" t="s">
        <v>557</v>
      </c>
      <c r="C1474" t="s">
        <v>888</v>
      </c>
      <c r="D1474" t="s">
        <v>2017</v>
      </c>
      <c r="E1474" s="451">
        <v>46054</v>
      </c>
      <c r="F1474" s="451">
        <v>46082</v>
      </c>
      <c r="G1474" t="s">
        <v>570</v>
      </c>
      <c r="H1474" t="s">
        <v>573</v>
      </c>
      <c r="I1474" t="s">
        <v>880</v>
      </c>
      <c r="J1474">
        <v>-3300</v>
      </c>
      <c r="K1474">
        <v>-3300</v>
      </c>
      <c r="M1474" t="s">
        <v>887</v>
      </c>
      <c r="N1474" t="s">
        <v>131</v>
      </c>
      <c r="O1474" t="s">
        <v>787</v>
      </c>
      <c r="P1474" t="s">
        <v>894</v>
      </c>
      <c r="Q1474" t="s">
        <v>460</v>
      </c>
      <c r="R1474">
        <v>0</v>
      </c>
    </row>
    <row r="1475" spans="1:18" x14ac:dyDescent="0.3">
      <c r="A1475">
        <v>200540</v>
      </c>
      <c r="B1475" t="s">
        <v>557</v>
      </c>
      <c r="C1475" t="s">
        <v>886</v>
      </c>
      <c r="D1475" t="s">
        <v>1669</v>
      </c>
      <c r="E1475" s="451">
        <v>46054</v>
      </c>
      <c r="F1475" s="451">
        <v>46096</v>
      </c>
      <c r="G1475" t="s">
        <v>570</v>
      </c>
      <c r="H1475" t="s">
        <v>573</v>
      </c>
      <c r="I1475" t="s">
        <v>880</v>
      </c>
      <c r="J1475">
        <v>-3300</v>
      </c>
      <c r="K1475">
        <v>-3300</v>
      </c>
      <c r="M1475" t="s">
        <v>887</v>
      </c>
      <c r="N1475" t="s">
        <v>131</v>
      </c>
      <c r="O1475" t="s">
        <v>787</v>
      </c>
      <c r="P1475" t="s">
        <v>894</v>
      </c>
      <c r="Q1475" t="s">
        <v>460</v>
      </c>
      <c r="R1475">
        <v>0</v>
      </c>
    </row>
    <row r="1476" spans="1:18" x14ac:dyDescent="0.3">
      <c r="A1476">
        <v>206561</v>
      </c>
      <c r="B1476" t="s">
        <v>557</v>
      </c>
      <c r="C1476" t="s">
        <v>1320</v>
      </c>
      <c r="D1476" t="s">
        <v>2022</v>
      </c>
      <c r="E1476" s="451">
        <v>46054</v>
      </c>
      <c r="F1476" s="451">
        <v>46078</v>
      </c>
      <c r="G1476" t="s">
        <v>296</v>
      </c>
      <c r="H1476" t="s">
        <v>304</v>
      </c>
      <c r="I1476" t="s">
        <v>2023</v>
      </c>
      <c r="J1476">
        <v>-72</v>
      </c>
      <c r="K1476">
        <v>-72</v>
      </c>
      <c r="O1476" t="s">
        <v>787</v>
      </c>
      <c r="P1476" t="s">
        <v>894</v>
      </c>
      <c r="Q1476" t="s">
        <v>460</v>
      </c>
      <c r="R1476">
        <v>0</v>
      </c>
    </row>
    <row r="1477" spans="1:18" x14ac:dyDescent="0.3">
      <c r="A1477">
        <v>200527</v>
      </c>
      <c r="B1477" t="s">
        <v>557</v>
      </c>
      <c r="C1477" t="s">
        <v>886</v>
      </c>
      <c r="D1477" t="s">
        <v>1669</v>
      </c>
      <c r="E1477" s="451">
        <v>46054</v>
      </c>
      <c r="F1477" s="451">
        <v>46082</v>
      </c>
      <c r="G1477" t="s">
        <v>570</v>
      </c>
      <c r="H1477" t="s">
        <v>573</v>
      </c>
      <c r="I1477" t="s">
        <v>880</v>
      </c>
      <c r="J1477">
        <v>-3300</v>
      </c>
      <c r="K1477">
        <v>-3300</v>
      </c>
      <c r="M1477" t="s">
        <v>887</v>
      </c>
      <c r="N1477" t="s">
        <v>131</v>
      </c>
      <c r="O1477" t="s">
        <v>787</v>
      </c>
      <c r="P1477" t="s">
        <v>894</v>
      </c>
      <c r="Q1477" t="s">
        <v>460</v>
      </c>
      <c r="R1477">
        <v>0</v>
      </c>
    </row>
    <row r="1478" spans="1:18" x14ac:dyDescent="0.3">
      <c r="A1478">
        <v>200488</v>
      </c>
      <c r="B1478" t="s">
        <v>557</v>
      </c>
      <c r="C1478" t="s">
        <v>888</v>
      </c>
      <c r="D1478" t="s">
        <v>2017</v>
      </c>
      <c r="E1478" s="451">
        <v>46054</v>
      </c>
      <c r="F1478" s="451">
        <v>46106</v>
      </c>
      <c r="G1478" t="s">
        <v>570</v>
      </c>
      <c r="H1478" t="s">
        <v>573</v>
      </c>
      <c r="I1478" t="s">
        <v>880</v>
      </c>
      <c r="J1478">
        <v>-4400</v>
      </c>
      <c r="K1478">
        <v>-4400</v>
      </c>
      <c r="M1478" t="s">
        <v>887</v>
      </c>
      <c r="N1478" t="s">
        <v>131</v>
      </c>
      <c r="O1478" t="s">
        <v>787</v>
      </c>
      <c r="P1478" t="s">
        <v>894</v>
      </c>
      <c r="Q1478" t="s">
        <v>460</v>
      </c>
      <c r="R1478">
        <v>0</v>
      </c>
    </row>
    <row r="1479" spans="1:18" x14ac:dyDescent="0.3">
      <c r="A1479">
        <v>203409</v>
      </c>
      <c r="B1479" t="s">
        <v>557</v>
      </c>
      <c r="C1479" t="s">
        <v>1776</v>
      </c>
      <c r="D1479" t="s">
        <v>2024</v>
      </c>
      <c r="E1479" s="451">
        <v>46054</v>
      </c>
      <c r="F1479" s="451">
        <v>46063</v>
      </c>
      <c r="G1479" t="s">
        <v>578</v>
      </c>
      <c r="H1479" t="s">
        <v>239</v>
      </c>
      <c r="I1479" t="s">
        <v>2025</v>
      </c>
      <c r="J1479">
        <v>-248.4</v>
      </c>
      <c r="K1479">
        <v>-248.4</v>
      </c>
      <c r="O1479" t="s">
        <v>787</v>
      </c>
      <c r="P1479" t="s">
        <v>894</v>
      </c>
      <c r="Q1479" t="s">
        <v>460</v>
      </c>
      <c r="R1479">
        <v>0</v>
      </c>
    </row>
    <row r="1480" spans="1:18" x14ac:dyDescent="0.3">
      <c r="A1480">
        <v>200449</v>
      </c>
      <c r="B1480" t="s">
        <v>557</v>
      </c>
      <c r="C1480" t="s">
        <v>879</v>
      </c>
      <c r="D1480" t="s">
        <v>1885</v>
      </c>
      <c r="E1480" s="451">
        <v>46054</v>
      </c>
      <c r="F1480" s="451">
        <v>46096</v>
      </c>
      <c r="G1480" t="s">
        <v>570</v>
      </c>
      <c r="H1480" t="s">
        <v>573</v>
      </c>
      <c r="I1480" t="s">
        <v>880</v>
      </c>
      <c r="J1480">
        <v>-2000</v>
      </c>
      <c r="K1480">
        <v>-2000</v>
      </c>
      <c r="M1480" t="s">
        <v>881</v>
      </c>
      <c r="N1480" t="s">
        <v>73</v>
      </c>
      <c r="O1480" t="s">
        <v>787</v>
      </c>
      <c r="P1480" t="s">
        <v>894</v>
      </c>
      <c r="Q1480" t="s">
        <v>460</v>
      </c>
      <c r="R1480">
        <v>0</v>
      </c>
    </row>
    <row r="1481" spans="1:18" x14ac:dyDescent="0.3">
      <c r="A1481">
        <v>200475</v>
      </c>
      <c r="B1481" t="s">
        <v>557</v>
      </c>
      <c r="C1481" t="s">
        <v>888</v>
      </c>
      <c r="D1481" t="s">
        <v>2017</v>
      </c>
      <c r="E1481" s="451">
        <v>46054</v>
      </c>
      <c r="F1481" s="451">
        <v>46096</v>
      </c>
      <c r="G1481" t="s">
        <v>570</v>
      </c>
      <c r="H1481" t="s">
        <v>573</v>
      </c>
      <c r="I1481" t="s">
        <v>880</v>
      </c>
      <c r="J1481">
        <v>-3300</v>
      </c>
      <c r="K1481">
        <v>-3300</v>
      </c>
      <c r="M1481" t="s">
        <v>887</v>
      </c>
      <c r="N1481" t="s">
        <v>131</v>
      </c>
      <c r="O1481" t="s">
        <v>787</v>
      </c>
      <c r="P1481" t="s">
        <v>894</v>
      </c>
      <c r="Q1481" t="s">
        <v>460</v>
      </c>
      <c r="R1481">
        <v>0</v>
      </c>
    </row>
    <row r="1482" spans="1:18" x14ac:dyDescent="0.3">
      <c r="A1482">
        <v>204918</v>
      </c>
      <c r="B1482" t="s">
        <v>557</v>
      </c>
      <c r="C1482" t="s">
        <v>842</v>
      </c>
      <c r="D1482" t="s">
        <v>2026</v>
      </c>
      <c r="E1482" s="451">
        <v>46054</v>
      </c>
      <c r="F1482" s="451">
        <v>46114</v>
      </c>
      <c r="G1482" t="s">
        <v>578</v>
      </c>
      <c r="H1482" t="s">
        <v>242</v>
      </c>
      <c r="I1482" t="s">
        <v>843</v>
      </c>
      <c r="J1482">
        <v>-207.65</v>
      </c>
      <c r="K1482">
        <v>-207.65</v>
      </c>
      <c r="O1482" t="s">
        <v>787</v>
      </c>
      <c r="P1482" t="s">
        <v>894</v>
      </c>
      <c r="Q1482" t="s">
        <v>460</v>
      </c>
      <c r="R1482">
        <v>0</v>
      </c>
    </row>
    <row r="1483" spans="1:18" x14ac:dyDescent="0.3">
      <c r="A1483">
        <v>192088</v>
      </c>
      <c r="B1483" t="s">
        <v>557</v>
      </c>
      <c r="C1483" t="s">
        <v>877</v>
      </c>
      <c r="D1483" t="s">
        <v>2027</v>
      </c>
      <c r="E1483" s="451">
        <v>46054</v>
      </c>
      <c r="F1483" s="451">
        <v>46099</v>
      </c>
      <c r="G1483" t="s">
        <v>308</v>
      </c>
      <c r="H1483" t="s">
        <v>314</v>
      </c>
      <c r="I1483" t="s">
        <v>2028</v>
      </c>
      <c r="J1483">
        <v>-738.35</v>
      </c>
      <c r="K1483">
        <v>-738.35</v>
      </c>
      <c r="O1483" t="s">
        <v>787</v>
      </c>
      <c r="P1483" t="s">
        <v>894</v>
      </c>
      <c r="Q1483" t="s">
        <v>460</v>
      </c>
      <c r="R1483">
        <v>0</v>
      </c>
    </row>
    <row r="1484" spans="1:18" x14ac:dyDescent="0.3">
      <c r="A1484">
        <v>193000</v>
      </c>
      <c r="B1484" t="s">
        <v>557</v>
      </c>
      <c r="C1484" t="s">
        <v>925</v>
      </c>
      <c r="D1484" t="s">
        <v>1982</v>
      </c>
      <c r="E1484" s="451">
        <v>46054</v>
      </c>
      <c r="F1484" s="451">
        <v>46086</v>
      </c>
      <c r="G1484" t="s">
        <v>279</v>
      </c>
      <c r="H1484" t="s">
        <v>282</v>
      </c>
      <c r="I1484" t="s">
        <v>2029</v>
      </c>
      <c r="J1484">
        <v>-40.9</v>
      </c>
      <c r="K1484">
        <v>-40.9</v>
      </c>
      <c r="O1484" t="s">
        <v>787</v>
      </c>
      <c r="P1484" t="s">
        <v>894</v>
      </c>
      <c r="Q1484" t="s">
        <v>460</v>
      </c>
      <c r="R1484">
        <v>0</v>
      </c>
    </row>
    <row r="1485" spans="1:18" x14ac:dyDescent="0.3">
      <c r="A1485">
        <v>192954</v>
      </c>
      <c r="B1485" t="s">
        <v>557</v>
      </c>
      <c r="C1485" t="s">
        <v>903</v>
      </c>
      <c r="D1485" t="s">
        <v>2030</v>
      </c>
      <c r="E1485" s="451">
        <v>46054</v>
      </c>
      <c r="F1485" s="451">
        <v>46086</v>
      </c>
      <c r="G1485" t="s">
        <v>279</v>
      </c>
      <c r="H1485" t="s">
        <v>283</v>
      </c>
      <c r="I1485" t="s">
        <v>2031</v>
      </c>
      <c r="J1485">
        <v>-314.87</v>
      </c>
      <c r="K1485">
        <v>-293.93</v>
      </c>
      <c r="O1485" t="s">
        <v>787</v>
      </c>
      <c r="P1485" t="s">
        <v>894</v>
      </c>
      <c r="Q1485" t="s">
        <v>460</v>
      </c>
      <c r="R1485">
        <v>0</v>
      </c>
    </row>
    <row r="1486" spans="1:18" x14ac:dyDescent="0.3">
      <c r="A1486">
        <v>192941</v>
      </c>
      <c r="B1486" t="s">
        <v>557</v>
      </c>
      <c r="C1486" t="s">
        <v>921</v>
      </c>
      <c r="D1486" t="s">
        <v>1982</v>
      </c>
      <c r="E1486" s="451">
        <v>46054</v>
      </c>
      <c r="F1486" s="451">
        <v>46086</v>
      </c>
      <c r="G1486" t="s">
        <v>296</v>
      </c>
      <c r="H1486" t="s">
        <v>301</v>
      </c>
      <c r="I1486" t="s">
        <v>2032</v>
      </c>
      <c r="J1486">
        <v>-1846.58</v>
      </c>
      <c r="K1486">
        <v>-1846.58</v>
      </c>
      <c r="O1486" t="s">
        <v>787</v>
      </c>
      <c r="P1486" t="s">
        <v>894</v>
      </c>
      <c r="Q1486" t="s">
        <v>460</v>
      </c>
      <c r="R1486">
        <v>0</v>
      </c>
    </row>
    <row r="1487" spans="1:18" x14ac:dyDescent="0.3">
      <c r="A1487">
        <v>192568</v>
      </c>
      <c r="B1487" t="s">
        <v>557</v>
      </c>
      <c r="C1487" t="s">
        <v>830</v>
      </c>
      <c r="D1487" t="s">
        <v>2033</v>
      </c>
      <c r="E1487" s="451">
        <v>46054</v>
      </c>
      <c r="F1487" s="451">
        <v>46072</v>
      </c>
      <c r="G1487" t="s">
        <v>264</v>
      </c>
      <c r="H1487" t="s">
        <v>276</v>
      </c>
      <c r="I1487" t="s">
        <v>2034</v>
      </c>
      <c r="J1487">
        <v>-1512</v>
      </c>
      <c r="K1487">
        <v>-1512</v>
      </c>
      <c r="O1487" t="s">
        <v>787</v>
      </c>
      <c r="P1487" t="s">
        <v>894</v>
      </c>
      <c r="Q1487" t="s">
        <v>460</v>
      </c>
      <c r="R1487">
        <v>0</v>
      </c>
    </row>
    <row r="1488" spans="1:18" x14ac:dyDescent="0.3">
      <c r="A1488">
        <v>192557</v>
      </c>
      <c r="B1488" t="s">
        <v>557</v>
      </c>
      <c r="C1488" t="s">
        <v>917</v>
      </c>
      <c r="D1488" t="s">
        <v>2035</v>
      </c>
      <c r="E1488" s="451">
        <v>46054</v>
      </c>
      <c r="F1488" s="451">
        <v>46103</v>
      </c>
      <c r="G1488" t="s">
        <v>318</v>
      </c>
      <c r="H1488" t="s">
        <v>321</v>
      </c>
      <c r="I1488" t="s">
        <v>2036</v>
      </c>
      <c r="J1488">
        <v>-200</v>
      </c>
      <c r="K1488">
        <v>-200</v>
      </c>
      <c r="O1488" t="s">
        <v>787</v>
      </c>
      <c r="P1488" t="s">
        <v>894</v>
      </c>
      <c r="Q1488" t="s">
        <v>460</v>
      </c>
      <c r="R1488">
        <v>0</v>
      </c>
    </row>
    <row r="1489" spans="1:18" x14ac:dyDescent="0.3">
      <c r="A1489">
        <v>192543</v>
      </c>
      <c r="B1489" t="s">
        <v>557</v>
      </c>
      <c r="C1489" t="s">
        <v>1668</v>
      </c>
      <c r="D1489" t="s">
        <v>1489</v>
      </c>
      <c r="E1489" s="451">
        <v>46054</v>
      </c>
      <c r="F1489" s="451">
        <v>46096</v>
      </c>
      <c r="G1489" t="s">
        <v>581</v>
      </c>
      <c r="H1489" t="s">
        <v>288</v>
      </c>
      <c r="I1489" t="s">
        <v>2037</v>
      </c>
      <c r="J1489">
        <v>-1000</v>
      </c>
      <c r="K1489">
        <v>-1000</v>
      </c>
      <c r="O1489" t="s">
        <v>787</v>
      </c>
      <c r="P1489" t="s">
        <v>894</v>
      </c>
      <c r="Q1489" t="s">
        <v>460</v>
      </c>
      <c r="R1489">
        <v>0</v>
      </c>
    </row>
    <row r="1490" spans="1:18" x14ac:dyDescent="0.3">
      <c r="A1490">
        <v>192510</v>
      </c>
      <c r="B1490" t="s">
        <v>557</v>
      </c>
      <c r="C1490" t="s">
        <v>836</v>
      </c>
      <c r="D1490" t="s">
        <v>1982</v>
      </c>
      <c r="E1490" s="451">
        <v>46054</v>
      </c>
      <c r="F1490" s="451">
        <v>46076</v>
      </c>
      <c r="G1490" t="s">
        <v>318</v>
      </c>
      <c r="H1490" t="s">
        <v>319</v>
      </c>
      <c r="I1490" t="s">
        <v>2038</v>
      </c>
      <c r="J1490">
        <v>-500</v>
      </c>
      <c r="K1490">
        <v>-500</v>
      </c>
      <c r="O1490" t="s">
        <v>787</v>
      </c>
      <c r="P1490" t="s">
        <v>894</v>
      </c>
      <c r="Q1490" t="s">
        <v>460</v>
      </c>
      <c r="R1490">
        <v>0</v>
      </c>
    </row>
    <row r="1491" spans="1:18" x14ac:dyDescent="0.3">
      <c r="A1491">
        <v>192498</v>
      </c>
      <c r="B1491" t="s">
        <v>557</v>
      </c>
      <c r="C1491" t="s">
        <v>936</v>
      </c>
      <c r="D1491" t="s">
        <v>2039</v>
      </c>
      <c r="E1491" s="451">
        <v>46054</v>
      </c>
      <c r="F1491" s="451">
        <v>46073</v>
      </c>
      <c r="G1491" t="s">
        <v>318</v>
      </c>
      <c r="H1491" t="s">
        <v>319</v>
      </c>
      <c r="I1491" t="s">
        <v>2040</v>
      </c>
      <c r="J1491">
        <v>-1264</v>
      </c>
      <c r="K1491">
        <v>-1264</v>
      </c>
      <c r="O1491" t="s">
        <v>787</v>
      </c>
      <c r="P1491" t="s">
        <v>894</v>
      </c>
      <c r="Q1491" t="s">
        <v>460</v>
      </c>
      <c r="R1491">
        <v>0</v>
      </c>
    </row>
    <row r="1492" spans="1:18" x14ac:dyDescent="0.3">
      <c r="A1492">
        <v>192411</v>
      </c>
      <c r="B1492" t="s">
        <v>557</v>
      </c>
      <c r="C1492" t="s">
        <v>923</v>
      </c>
      <c r="D1492" t="s">
        <v>2041</v>
      </c>
      <c r="E1492" s="451">
        <v>46054</v>
      </c>
      <c r="F1492" s="451">
        <v>46078</v>
      </c>
      <c r="G1492" t="s">
        <v>264</v>
      </c>
      <c r="H1492" t="s">
        <v>277</v>
      </c>
      <c r="I1492" t="s">
        <v>2042</v>
      </c>
      <c r="J1492">
        <v>-782</v>
      </c>
      <c r="K1492">
        <v>-782</v>
      </c>
      <c r="O1492" t="s">
        <v>787</v>
      </c>
      <c r="P1492" t="s">
        <v>894</v>
      </c>
      <c r="Q1492" t="s">
        <v>460</v>
      </c>
      <c r="R1492">
        <v>0</v>
      </c>
    </row>
    <row r="1493" spans="1:18" x14ac:dyDescent="0.3">
      <c r="A1493">
        <v>192383</v>
      </c>
      <c r="B1493" t="s">
        <v>557</v>
      </c>
      <c r="C1493" t="s">
        <v>905</v>
      </c>
      <c r="D1493" t="s">
        <v>2043</v>
      </c>
      <c r="E1493" s="451">
        <v>46054</v>
      </c>
      <c r="F1493" s="451">
        <v>46093</v>
      </c>
      <c r="G1493" t="s">
        <v>296</v>
      </c>
      <c r="H1493" t="s">
        <v>298</v>
      </c>
      <c r="I1493" t="s">
        <v>2044</v>
      </c>
      <c r="J1493">
        <v>-500</v>
      </c>
      <c r="K1493">
        <v>-500</v>
      </c>
      <c r="O1493" t="s">
        <v>787</v>
      </c>
      <c r="P1493" t="s">
        <v>894</v>
      </c>
      <c r="Q1493" t="s">
        <v>460</v>
      </c>
      <c r="R1493">
        <v>0</v>
      </c>
    </row>
    <row r="1494" spans="1:18" x14ac:dyDescent="0.3">
      <c r="A1494">
        <v>192327</v>
      </c>
      <c r="B1494" t="s">
        <v>557</v>
      </c>
      <c r="C1494" t="s">
        <v>913</v>
      </c>
      <c r="D1494" t="s">
        <v>2045</v>
      </c>
      <c r="E1494" s="451">
        <v>46054</v>
      </c>
      <c r="F1494" s="451">
        <v>46082</v>
      </c>
      <c r="G1494" t="s">
        <v>296</v>
      </c>
      <c r="H1494" t="s">
        <v>297</v>
      </c>
      <c r="I1494" t="s">
        <v>2046</v>
      </c>
      <c r="J1494">
        <v>-4000</v>
      </c>
      <c r="K1494">
        <v>-4000</v>
      </c>
      <c r="M1494" t="s">
        <v>915</v>
      </c>
      <c r="N1494" t="s">
        <v>916</v>
      </c>
      <c r="O1494" t="s">
        <v>787</v>
      </c>
      <c r="P1494" t="s">
        <v>894</v>
      </c>
      <c r="Q1494" t="s">
        <v>460</v>
      </c>
      <c r="R1494">
        <v>0</v>
      </c>
    </row>
    <row r="1495" spans="1:18" x14ac:dyDescent="0.3">
      <c r="A1495">
        <v>192187</v>
      </c>
      <c r="B1495" t="s">
        <v>557</v>
      </c>
      <c r="C1495" t="s">
        <v>919</v>
      </c>
      <c r="D1495" t="s">
        <v>2047</v>
      </c>
      <c r="E1495" s="451">
        <v>46054</v>
      </c>
      <c r="F1495" s="451">
        <v>46086</v>
      </c>
      <c r="G1495" t="s">
        <v>279</v>
      </c>
      <c r="H1495" t="s">
        <v>284</v>
      </c>
      <c r="I1495" t="s">
        <v>2048</v>
      </c>
      <c r="J1495">
        <v>-520</v>
      </c>
      <c r="K1495">
        <v>-520</v>
      </c>
      <c r="O1495" t="s">
        <v>787</v>
      </c>
      <c r="P1495" t="s">
        <v>894</v>
      </c>
      <c r="Q1495" t="s">
        <v>460</v>
      </c>
      <c r="R1495">
        <v>0</v>
      </c>
    </row>
    <row r="1496" spans="1:18" x14ac:dyDescent="0.3">
      <c r="A1496">
        <v>192161</v>
      </c>
      <c r="B1496" t="s">
        <v>557</v>
      </c>
      <c r="C1496" t="s">
        <v>932</v>
      </c>
      <c r="D1496" t="s">
        <v>2049</v>
      </c>
      <c r="E1496" s="451">
        <v>46054</v>
      </c>
      <c r="F1496" s="451">
        <v>46069</v>
      </c>
      <c r="G1496" t="s">
        <v>264</v>
      </c>
      <c r="H1496" t="s">
        <v>270</v>
      </c>
      <c r="I1496" t="s">
        <v>2050</v>
      </c>
      <c r="J1496">
        <v>-550</v>
      </c>
      <c r="K1496">
        <v>-550</v>
      </c>
      <c r="O1496" t="s">
        <v>787</v>
      </c>
      <c r="P1496" t="s">
        <v>894</v>
      </c>
      <c r="Q1496" t="s">
        <v>460</v>
      </c>
      <c r="R1496">
        <v>0</v>
      </c>
    </row>
    <row r="1497" spans="1:18" x14ac:dyDescent="0.3">
      <c r="A1497">
        <v>192593</v>
      </c>
      <c r="B1497" t="s">
        <v>557</v>
      </c>
      <c r="C1497" t="s">
        <v>840</v>
      </c>
      <c r="D1497" t="s">
        <v>2051</v>
      </c>
      <c r="E1497" s="451">
        <v>46054</v>
      </c>
      <c r="F1497" s="451">
        <v>46081</v>
      </c>
      <c r="G1497" t="s">
        <v>581</v>
      </c>
      <c r="H1497" t="s">
        <v>288</v>
      </c>
      <c r="I1497" t="s">
        <v>2052</v>
      </c>
      <c r="J1497">
        <v>-2500</v>
      </c>
      <c r="K1497">
        <v>-2500</v>
      </c>
      <c r="O1497" t="s">
        <v>787</v>
      </c>
      <c r="P1497" t="s">
        <v>894</v>
      </c>
      <c r="Q1497" t="s">
        <v>460</v>
      </c>
      <c r="R1497">
        <v>0</v>
      </c>
    </row>
    <row r="1498" spans="1:18" x14ac:dyDescent="0.3">
      <c r="A1498">
        <v>192024</v>
      </c>
      <c r="B1498" t="s">
        <v>557</v>
      </c>
      <c r="C1498" t="s">
        <v>870</v>
      </c>
      <c r="D1498" t="s">
        <v>2053</v>
      </c>
      <c r="E1498" s="451">
        <v>46054</v>
      </c>
      <c r="F1498" s="451">
        <v>46078</v>
      </c>
      <c r="G1498" t="s">
        <v>308</v>
      </c>
      <c r="H1498" t="s">
        <v>311</v>
      </c>
      <c r="I1498" t="s">
        <v>2054</v>
      </c>
      <c r="J1498">
        <v>-1173.1300000000001</v>
      </c>
      <c r="K1498">
        <v>-1173.1300000000001</v>
      </c>
      <c r="O1498" t="s">
        <v>787</v>
      </c>
      <c r="P1498" t="s">
        <v>894</v>
      </c>
      <c r="Q1498" t="s">
        <v>460</v>
      </c>
      <c r="R1498">
        <v>0</v>
      </c>
    </row>
    <row r="1499" spans="1:18" x14ac:dyDescent="0.3">
      <c r="A1499">
        <v>191977</v>
      </c>
      <c r="B1499" t="s">
        <v>557</v>
      </c>
      <c r="C1499" t="s">
        <v>832</v>
      </c>
      <c r="D1499" t="s">
        <v>2055</v>
      </c>
      <c r="E1499" s="451">
        <v>46054</v>
      </c>
      <c r="F1499" s="451">
        <v>46081</v>
      </c>
      <c r="G1499" t="s">
        <v>264</v>
      </c>
      <c r="H1499" t="s">
        <v>271</v>
      </c>
      <c r="I1499" t="s">
        <v>2056</v>
      </c>
      <c r="J1499">
        <v>-784.7</v>
      </c>
      <c r="K1499">
        <v>-784.7</v>
      </c>
      <c r="O1499" t="s">
        <v>787</v>
      </c>
      <c r="P1499" t="s">
        <v>894</v>
      </c>
      <c r="Q1499" t="s">
        <v>460</v>
      </c>
      <c r="R1499">
        <v>0</v>
      </c>
    </row>
    <row r="1500" spans="1:18" x14ac:dyDescent="0.3">
      <c r="A1500">
        <v>191930</v>
      </c>
      <c r="B1500" t="s">
        <v>557</v>
      </c>
      <c r="C1500" t="s">
        <v>889</v>
      </c>
      <c r="D1500" t="s">
        <v>2057</v>
      </c>
      <c r="E1500" s="451">
        <v>46054</v>
      </c>
      <c r="F1500" s="451">
        <v>46083</v>
      </c>
      <c r="G1500" t="s">
        <v>279</v>
      </c>
      <c r="H1500" t="s">
        <v>281</v>
      </c>
      <c r="I1500" t="s">
        <v>2058</v>
      </c>
      <c r="J1500">
        <v>-159.81</v>
      </c>
      <c r="K1500">
        <v>-163</v>
      </c>
      <c r="O1500" t="s">
        <v>787</v>
      </c>
      <c r="P1500" t="s">
        <v>894</v>
      </c>
      <c r="Q1500" t="s">
        <v>460</v>
      </c>
      <c r="R1500">
        <v>0</v>
      </c>
    </row>
    <row r="1501" spans="1:18" x14ac:dyDescent="0.3">
      <c r="A1501">
        <v>191918</v>
      </c>
      <c r="B1501" t="s">
        <v>557</v>
      </c>
      <c r="C1501" t="s">
        <v>889</v>
      </c>
      <c r="D1501" t="s">
        <v>2059</v>
      </c>
      <c r="E1501" s="451">
        <v>46054</v>
      </c>
      <c r="F1501" s="451">
        <v>46079</v>
      </c>
      <c r="G1501" t="s">
        <v>279</v>
      </c>
      <c r="H1501" t="s">
        <v>282</v>
      </c>
      <c r="I1501" t="s">
        <v>2060</v>
      </c>
      <c r="J1501">
        <v>-308.07</v>
      </c>
      <c r="K1501">
        <v>-308.07</v>
      </c>
      <c r="O1501" t="s">
        <v>787</v>
      </c>
      <c r="P1501" t="s">
        <v>894</v>
      </c>
      <c r="Q1501" t="s">
        <v>460</v>
      </c>
      <c r="R1501">
        <v>0</v>
      </c>
    </row>
    <row r="1502" spans="1:18" x14ac:dyDescent="0.3">
      <c r="A1502">
        <v>191882</v>
      </c>
      <c r="B1502" t="s">
        <v>557</v>
      </c>
      <c r="C1502" t="s">
        <v>900</v>
      </c>
      <c r="D1502" t="s">
        <v>2061</v>
      </c>
      <c r="E1502" s="451">
        <v>46054</v>
      </c>
      <c r="F1502" s="451">
        <v>46085</v>
      </c>
      <c r="G1502" t="s">
        <v>264</v>
      </c>
      <c r="H1502" t="s">
        <v>266</v>
      </c>
      <c r="I1502" t="s">
        <v>2062</v>
      </c>
      <c r="J1502">
        <v>-12084.36</v>
      </c>
      <c r="K1502">
        <v>-12084.36</v>
      </c>
      <c r="O1502" t="s">
        <v>787</v>
      </c>
      <c r="P1502" t="s">
        <v>894</v>
      </c>
      <c r="Q1502" t="s">
        <v>460</v>
      </c>
      <c r="R1502">
        <v>0</v>
      </c>
    </row>
    <row r="1503" spans="1:18" x14ac:dyDescent="0.3">
      <c r="A1503">
        <v>189764</v>
      </c>
      <c r="B1503" t="s">
        <v>557</v>
      </c>
      <c r="C1503" t="s">
        <v>911</v>
      </c>
      <c r="D1503" t="s">
        <v>2063</v>
      </c>
      <c r="E1503" s="451">
        <v>46054</v>
      </c>
      <c r="F1503" s="451">
        <v>46063</v>
      </c>
      <c r="G1503" t="s">
        <v>279</v>
      </c>
      <c r="H1503" t="s">
        <v>281</v>
      </c>
      <c r="I1503" t="s">
        <v>2064</v>
      </c>
      <c r="J1503">
        <v>-299.89999999999998</v>
      </c>
      <c r="K1503">
        <v>-306.08</v>
      </c>
      <c r="O1503" t="s">
        <v>787</v>
      </c>
      <c r="P1503" t="s">
        <v>894</v>
      </c>
      <c r="Q1503" t="s">
        <v>460</v>
      </c>
      <c r="R1503">
        <v>0</v>
      </c>
    </row>
    <row r="1504" spans="1:18" x14ac:dyDescent="0.3">
      <c r="A1504">
        <v>191846</v>
      </c>
      <c r="B1504" t="s">
        <v>557</v>
      </c>
      <c r="C1504" t="s">
        <v>898</v>
      </c>
      <c r="D1504" t="s">
        <v>1640</v>
      </c>
      <c r="E1504" s="451">
        <v>46054</v>
      </c>
      <c r="F1504" s="451">
        <v>46083</v>
      </c>
      <c r="G1504" t="s">
        <v>279</v>
      </c>
      <c r="H1504" t="s">
        <v>281</v>
      </c>
      <c r="I1504" t="s">
        <v>2065</v>
      </c>
      <c r="J1504">
        <v>-137.38</v>
      </c>
      <c r="K1504">
        <v>-137.38</v>
      </c>
      <c r="O1504" t="s">
        <v>787</v>
      </c>
      <c r="P1504" t="s">
        <v>894</v>
      </c>
      <c r="Q1504" t="s">
        <v>460</v>
      </c>
      <c r="R1504">
        <v>0</v>
      </c>
    </row>
    <row r="1505" spans="1:18" x14ac:dyDescent="0.3">
      <c r="A1505">
        <v>189769</v>
      </c>
      <c r="B1505" t="s">
        <v>557</v>
      </c>
      <c r="C1505" t="s">
        <v>934</v>
      </c>
      <c r="D1505" t="s">
        <v>1982</v>
      </c>
      <c r="E1505" s="451">
        <v>46054</v>
      </c>
      <c r="F1505" s="451">
        <v>46073</v>
      </c>
      <c r="G1505" t="s">
        <v>308</v>
      </c>
      <c r="H1505" t="s">
        <v>312</v>
      </c>
      <c r="I1505" t="s">
        <v>2066</v>
      </c>
      <c r="J1505">
        <v>-185</v>
      </c>
      <c r="K1505">
        <v>-185</v>
      </c>
      <c r="O1505" t="s">
        <v>787</v>
      </c>
      <c r="P1505" t="s">
        <v>894</v>
      </c>
      <c r="Q1505" t="s">
        <v>460</v>
      </c>
      <c r="R1505">
        <v>0</v>
      </c>
    </row>
    <row r="1506" spans="1:18" x14ac:dyDescent="0.3">
      <c r="A1506">
        <v>191833</v>
      </c>
      <c r="B1506" t="s">
        <v>557</v>
      </c>
      <c r="C1506" t="s">
        <v>838</v>
      </c>
      <c r="D1506" t="s">
        <v>2067</v>
      </c>
      <c r="E1506" s="451">
        <v>46054</v>
      </c>
      <c r="F1506" s="451">
        <v>46066</v>
      </c>
      <c r="G1506" t="s">
        <v>264</v>
      </c>
      <c r="H1506" t="s">
        <v>267</v>
      </c>
      <c r="I1506" t="s">
        <v>2068</v>
      </c>
      <c r="J1506">
        <v>-5086.5200000000004</v>
      </c>
      <c r="K1506">
        <v>-5086.5200000000004</v>
      </c>
      <c r="O1506" t="s">
        <v>787</v>
      </c>
      <c r="P1506" t="s">
        <v>894</v>
      </c>
      <c r="Q1506" t="s">
        <v>460</v>
      </c>
      <c r="R1506">
        <v>0</v>
      </c>
    </row>
    <row r="1507" spans="1:18" x14ac:dyDescent="0.3">
      <c r="A1507">
        <v>189819</v>
      </c>
      <c r="B1507" t="s">
        <v>557</v>
      </c>
      <c r="C1507" t="s">
        <v>909</v>
      </c>
      <c r="D1507" t="s">
        <v>1982</v>
      </c>
      <c r="E1507" s="451">
        <v>46054</v>
      </c>
      <c r="F1507" s="451">
        <v>46073</v>
      </c>
      <c r="G1507" t="s">
        <v>308</v>
      </c>
      <c r="H1507" t="s">
        <v>311</v>
      </c>
      <c r="I1507" t="s">
        <v>2069</v>
      </c>
      <c r="J1507">
        <v>-300</v>
      </c>
      <c r="K1507">
        <v>-300</v>
      </c>
      <c r="O1507" t="s">
        <v>787</v>
      </c>
      <c r="P1507" t="s">
        <v>894</v>
      </c>
      <c r="Q1507" t="s">
        <v>460</v>
      </c>
      <c r="R1507">
        <v>0</v>
      </c>
    </row>
    <row r="1508" spans="1:18" x14ac:dyDescent="0.3">
      <c r="A1508">
        <v>189831</v>
      </c>
      <c r="B1508" t="s">
        <v>557</v>
      </c>
      <c r="C1508" t="s">
        <v>823</v>
      </c>
      <c r="D1508" t="s">
        <v>2070</v>
      </c>
      <c r="E1508" s="451">
        <v>46054</v>
      </c>
      <c r="F1508" s="451">
        <v>46068</v>
      </c>
      <c r="G1508" t="s">
        <v>279</v>
      </c>
      <c r="H1508" t="s">
        <v>286</v>
      </c>
      <c r="I1508" t="s">
        <v>2071</v>
      </c>
      <c r="J1508">
        <v>-219</v>
      </c>
      <c r="K1508">
        <v>-219</v>
      </c>
      <c r="O1508" t="s">
        <v>787</v>
      </c>
      <c r="P1508" t="s">
        <v>894</v>
      </c>
      <c r="Q1508" t="s">
        <v>460</v>
      </c>
      <c r="R1508">
        <v>0</v>
      </c>
    </row>
    <row r="1509" spans="1:18" x14ac:dyDescent="0.3">
      <c r="A1509">
        <v>191722</v>
      </c>
      <c r="B1509" t="s">
        <v>557</v>
      </c>
      <c r="C1509" t="s">
        <v>895</v>
      </c>
      <c r="D1509" t="s">
        <v>2072</v>
      </c>
      <c r="E1509" s="451">
        <v>46054</v>
      </c>
      <c r="F1509" s="451">
        <v>46068</v>
      </c>
      <c r="G1509" t="s">
        <v>308</v>
      </c>
      <c r="H1509" t="s">
        <v>309</v>
      </c>
      <c r="I1509" t="s">
        <v>2073</v>
      </c>
      <c r="J1509">
        <v>-2175.62</v>
      </c>
      <c r="K1509">
        <v>-2175.62</v>
      </c>
      <c r="O1509" t="s">
        <v>787</v>
      </c>
      <c r="P1509" t="s">
        <v>894</v>
      </c>
      <c r="Q1509" t="s">
        <v>460</v>
      </c>
      <c r="R1509">
        <v>0</v>
      </c>
    </row>
    <row r="1510" spans="1:18" x14ac:dyDescent="0.3">
      <c r="A1510">
        <v>191749</v>
      </c>
      <c r="B1510" t="s">
        <v>557</v>
      </c>
      <c r="C1510" t="s">
        <v>895</v>
      </c>
      <c r="D1510" t="s">
        <v>2074</v>
      </c>
      <c r="E1510" s="451">
        <v>46054</v>
      </c>
      <c r="F1510" s="451">
        <v>46068</v>
      </c>
      <c r="G1510" t="s">
        <v>308</v>
      </c>
      <c r="H1510" t="s">
        <v>309</v>
      </c>
      <c r="I1510" t="s">
        <v>2075</v>
      </c>
      <c r="J1510">
        <v>-829.92</v>
      </c>
      <c r="K1510">
        <v>-829.92</v>
      </c>
      <c r="O1510" t="s">
        <v>787</v>
      </c>
      <c r="P1510" t="s">
        <v>894</v>
      </c>
      <c r="Q1510" t="s">
        <v>460</v>
      </c>
      <c r="R1510">
        <v>0</v>
      </c>
    </row>
    <row r="1511" spans="1:18" x14ac:dyDescent="0.3">
      <c r="A1511">
        <v>193425</v>
      </c>
      <c r="B1511" t="s">
        <v>557</v>
      </c>
      <c r="C1511" t="s">
        <v>873</v>
      </c>
      <c r="D1511" t="s">
        <v>2076</v>
      </c>
      <c r="E1511" s="451">
        <v>46054</v>
      </c>
      <c r="F1511" s="451">
        <v>46082</v>
      </c>
      <c r="G1511" t="s">
        <v>874</v>
      </c>
      <c r="H1511" t="s">
        <v>875</v>
      </c>
      <c r="I1511" t="s">
        <v>2077</v>
      </c>
      <c r="J1511">
        <v>-400</v>
      </c>
      <c r="K1511">
        <v>-400</v>
      </c>
      <c r="O1511" t="s">
        <v>787</v>
      </c>
      <c r="P1511" t="s">
        <v>894</v>
      </c>
      <c r="Q1511" t="s">
        <v>460</v>
      </c>
      <c r="R1511">
        <v>0</v>
      </c>
    </row>
    <row r="1512" spans="1:18" x14ac:dyDescent="0.3">
      <c r="A1512">
        <v>211641</v>
      </c>
      <c r="B1512" t="s">
        <v>557</v>
      </c>
      <c r="C1512" t="s">
        <v>1066</v>
      </c>
      <c r="D1512" t="s">
        <v>2078</v>
      </c>
      <c r="E1512" s="451">
        <v>46054</v>
      </c>
      <c r="F1512" s="451">
        <v>46086</v>
      </c>
      <c r="G1512" t="s">
        <v>564</v>
      </c>
      <c r="H1512" t="s">
        <v>565</v>
      </c>
      <c r="I1512" t="s">
        <v>2079</v>
      </c>
      <c r="J1512">
        <v>-19.690000000000001</v>
      </c>
      <c r="K1512">
        <v>-19.690000000000001</v>
      </c>
      <c r="O1512" t="s">
        <v>787</v>
      </c>
      <c r="P1512" t="s">
        <v>894</v>
      </c>
      <c r="Q1512" t="s">
        <v>460</v>
      </c>
      <c r="R1512">
        <v>0</v>
      </c>
    </row>
    <row r="1513" spans="1:18" x14ac:dyDescent="0.3">
      <c r="A1513">
        <v>211650</v>
      </c>
      <c r="B1513" t="s">
        <v>557</v>
      </c>
      <c r="C1513" t="s">
        <v>1066</v>
      </c>
      <c r="D1513" t="s">
        <v>2080</v>
      </c>
      <c r="E1513" s="451">
        <v>46054</v>
      </c>
      <c r="F1513" s="451">
        <v>46086</v>
      </c>
      <c r="G1513" t="s">
        <v>564</v>
      </c>
      <c r="H1513" t="s">
        <v>565</v>
      </c>
      <c r="I1513" t="s">
        <v>2081</v>
      </c>
      <c r="J1513">
        <v>-16.89</v>
      </c>
      <c r="K1513">
        <v>-16.89</v>
      </c>
      <c r="O1513" t="s">
        <v>787</v>
      </c>
      <c r="P1513" t="s">
        <v>894</v>
      </c>
      <c r="Q1513" t="s">
        <v>460</v>
      </c>
      <c r="R1513">
        <v>0</v>
      </c>
    </row>
    <row r="1514" spans="1:18" x14ac:dyDescent="0.3">
      <c r="A1514">
        <v>211642</v>
      </c>
      <c r="B1514" t="s">
        <v>557</v>
      </c>
      <c r="C1514" t="s">
        <v>1066</v>
      </c>
      <c r="D1514" t="s">
        <v>2082</v>
      </c>
      <c r="E1514" s="451">
        <v>46054</v>
      </c>
      <c r="F1514" s="451">
        <v>46086</v>
      </c>
      <c r="G1514" t="s">
        <v>264</v>
      </c>
      <c r="H1514" t="s">
        <v>272</v>
      </c>
      <c r="I1514" t="s">
        <v>2083</v>
      </c>
      <c r="J1514">
        <v>-76.260000000000005</v>
      </c>
      <c r="K1514">
        <v>-76.260000000000005</v>
      </c>
      <c r="O1514" t="s">
        <v>787</v>
      </c>
      <c r="P1514" t="s">
        <v>894</v>
      </c>
      <c r="Q1514" t="s">
        <v>460</v>
      </c>
      <c r="R1514">
        <v>0</v>
      </c>
    </row>
    <row r="1515" spans="1:18" x14ac:dyDescent="0.3">
      <c r="A1515">
        <v>211643</v>
      </c>
      <c r="B1515" t="s">
        <v>557</v>
      </c>
      <c r="C1515" t="s">
        <v>1066</v>
      </c>
      <c r="D1515" t="s">
        <v>2084</v>
      </c>
      <c r="E1515" s="451">
        <v>46054</v>
      </c>
      <c r="F1515" s="451">
        <v>46086</v>
      </c>
      <c r="G1515" t="s">
        <v>264</v>
      </c>
      <c r="H1515" t="s">
        <v>272</v>
      </c>
      <c r="I1515" t="s">
        <v>2083</v>
      </c>
      <c r="J1515">
        <v>-372.25</v>
      </c>
      <c r="K1515">
        <v>-372.25</v>
      </c>
      <c r="O1515" t="s">
        <v>787</v>
      </c>
      <c r="P1515" t="s">
        <v>894</v>
      </c>
      <c r="Q1515" t="s">
        <v>460</v>
      </c>
      <c r="R1515">
        <v>0</v>
      </c>
    </row>
    <row r="1516" spans="1:18" x14ac:dyDescent="0.3">
      <c r="A1516">
        <v>211644</v>
      </c>
      <c r="B1516" t="s">
        <v>557</v>
      </c>
      <c r="C1516" t="s">
        <v>1066</v>
      </c>
      <c r="D1516" t="s">
        <v>2085</v>
      </c>
      <c r="E1516" s="451">
        <v>46054</v>
      </c>
      <c r="F1516" s="451">
        <v>46086</v>
      </c>
      <c r="G1516" t="s">
        <v>564</v>
      </c>
      <c r="H1516" t="s">
        <v>565</v>
      </c>
      <c r="I1516" t="s">
        <v>2086</v>
      </c>
      <c r="J1516">
        <v>-159.9</v>
      </c>
      <c r="K1516">
        <v>-159.9</v>
      </c>
      <c r="O1516" t="s">
        <v>787</v>
      </c>
      <c r="P1516" t="s">
        <v>894</v>
      </c>
      <c r="Q1516" t="s">
        <v>460</v>
      </c>
      <c r="R1516">
        <v>0</v>
      </c>
    </row>
    <row r="1517" spans="1:18" x14ac:dyDescent="0.3">
      <c r="A1517">
        <v>211646</v>
      </c>
      <c r="B1517" t="s">
        <v>557</v>
      </c>
      <c r="C1517" t="s">
        <v>1066</v>
      </c>
      <c r="D1517" t="s">
        <v>2087</v>
      </c>
      <c r="E1517" s="451">
        <v>46054</v>
      </c>
      <c r="F1517" s="451">
        <v>46086</v>
      </c>
      <c r="G1517" t="s">
        <v>564</v>
      </c>
      <c r="H1517" t="s">
        <v>565</v>
      </c>
      <c r="I1517" t="s">
        <v>2088</v>
      </c>
      <c r="J1517">
        <v>-43.86</v>
      </c>
      <c r="K1517">
        <v>-43.86</v>
      </c>
      <c r="O1517" t="s">
        <v>787</v>
      </c>
      <c r="P1517" t="s">
        <v>894</v>
      </c>
      <c r="Q1517" t="s">
        <v>460</v>
      </c>
      <c r="R1517">
        <v>0</v>
      </c>
    </row>
    <row r="1518" spans="1:18" x14ac:dyDescent="0.3">
      <c r="A1518">
        <v>211647</v>
      </c>
      <c r="B1518" t="s">
        <v>557</v>
      </c>
      <c r="C1518" t="s">
        <v>1066</v>
      </c>
      <c r="D1518" t="s">
        <v>2089</v>
      </c>
      <c r="E1518" s="451">
        <v>46054</v>
      </c>
      <c r="F1518" s="451">
        <v>46086</v>
      </c>
      <c r="G1518" t="s">
        <v>264</v>
      </c>
      <c r="H1518" t="s">
        <v>268</v>
      </c>
      <c r="I1518" t="s">
        <v>2090</v>
      </c>
      <c r="J1518">
        <v>-15.99</v>
      </c>
      <c r="K1518">
        <v>-15.99</v>
      </c>
      <c r="O1518" t="s">
        <v>787</v>
      </c>
      <c r="P1518" t="s">
        <v>894</v>
      </c>
      <c r="Q1518" t="s">
        <v>460</v>
      </c>
      <c r="R1518">
        <v>0</v>
      </c>
    </row>
    <row r="1519" spans="1:18" x14ac:dyDescent="0.3">
      <c r="A1519">
        <v>211648</v>
      </c>
      <c r="B1519" t="s">
        <v>557</v>
      </c>
      <c r="C1519" t="s">
        <v>1066</v>
      </c>
      <c r="D1519" t="s">
        <v>2091</v>
      </c>
      <c r="E1519" s="451">
        <v>46054</v>
      </c>
      <c r="F1519" s="451">
        <v>46086</v>
      </c>
      <c r="G1519" t="s">
        <v>264</v>
      </c>
      <c r="H1519" t="s">
        <v>268</v>
      </c>
      <c r="I1519" t="s">
        <v>2092</v>
      </c>
      <c r="J1519">
        <v>-76.67</v>
      </c>
      <c r="K1519">
        <v>-76.67</v>
      </c>
      <c r="O1519" t="s">
        <v>787</v>
      </c>
      <c r="P1519" t="s">
        <v>894</v>
      </c>
      <c r="Q1519" t="s">
        <v>460</v>
      </c>
      <c r="R1519">
        <v>0</v>
      </c>
    </row>
    <row r="1520" spans="1:18" x14ac:dyDescent="0.3">
      <c r="A1520">
        <v>214998</v>
      </c>
      <c r="B1520" t="s">
        <v>557</v>
      </c>
      <c r="C1520" t="s">
        <v>882</v>
      </c>
      <c r="D1520" t="s">
        <v>1263</v>
      </c>
      <c r="E1520" s="451">
        <v>46054</v>
      </c>
      <c r="F1520" s="451">
        <v>46106</v>
      </c>
      <c r="G1520" t="s">
        <v>572</v>
      </c>
      <c r="H1520" t="s">
        <v>112</v>
      </c>
      <c r="I1520" t="s">
        <v>2093</v>
      </c>
      <c r="J1520">
        <v>-2380</v>
      </c>
      <c r="K1520">
        <v>-2380</v>
      </c>
      <c r="M1520" t="s">
        <v>883</v>
      </c>
      <c r="N1520" t="s">
        <v>135</v>
      </c>
      <c r="O1520" t="s">
        <v>787</v>
      </c>
      <c r="P1520" t="s">
        <v>894</v>
      </c>
      <c r="Q1520" t="s">
        <v>460</v>
      </c>
      <c r="R1520">
        <v>0</v>
      </c>
    </row>
    <row r="1521" spans="1:18" x14ac:dyDescent="0.3">
      <c r="A1521">
        <v>211663</v>
      </c>
      <c r="B1521" t="s">
        <v>557</v>
      </c>
      <c r="C1521" t="s">
        <v>1066</v>
      </c>
      <c r="D1521" t="s">
        <v>2094</v>
      </c>
      <c r="E1521" s="451">
        <v>46054</v>
      </c>
      <c r="F1521" s="451">
        <v>46086</v>
      </c>
      <c r="G1521" t="s">
        <v>264</v>
      </c>
      <c r="H1521" t="s">
        <v>268</v>
      </c>
      <c r="I1521" t="s">
        <v>2095</v>
      </c>
      <c r="J1521">
        <v>-74.2</v>
      </c>
      <c r="K1521">
        <v>-74.2</v>
      </c>
      <c r="O1521" t="s">
        <v>787</v>
      </c>
      <c r="P1521" t="s">
        <v>894</v>
      </c>
      <c r="Q1521" t="s">
        <v>460</v>
      </c>
      <c r="R1521">
        <v>0</v>
      </c>
    </row>
    <row r="1522" spans="1:18" x14ac:dyDescent="0.3">
      <c r="A1522">
        <v>211535</v>
      </c>
      <c r="B1522" t="s">
        <v>557</v>
      </c>
      <c r="C1522" t="s">
        <v>1051</v>
      </c>
      <c r="D1522" t="s">
        <v>2096</v>
      </c>
      <c r="E1522" s="451">
        <v>46054</v>
      </c>
      <c r="F1522" s="451">
        <v>46093</v>
      </c>
      <c r="G1522" t="s">
        <v>296</v>
      </c>
      <c r="H1522" t="s">
        <v>307</v>
      </c>
      <c r="I1522" t="s">
        <v>1537</v>
      </c>
      <c r="J1522">
        <v>-322.89999999999998</v>
      </c>
      <c r="K1522">
        <v>0</v>
      </c>
      <c r="O1522" t="s">
        <v>787</v>
      </c>
      <c r="P1522" t="s">
        <v>894</v>
      </c>
      <c r="Q1522" t="s">
        <v>460</v>
      </c>
      <c r="R1522">
        <v>0</v>
      </c>
    </row>
    <row r="1523" spans="1:18" x14ac:dyDescent="0.3">
      <c r="A1523">
        <v>211324</v>
      </c>
      <c r="B1523" t="s">
        <v>557</v>
      </c>
      <c r="C1523" t="s">
        <v>1051</v>
      </c>
      <c r="D1523" t="s">
        <v>2097</v>
      </c>
      <c r="E1523" s="451">
        <v>46054</v>
      </c>
      <c r="F1523" s="451">
        <v>46093</v>
      </c>
      <c r="G1523" t="s">
        <v>296</v>
      </c>
      <c r="H1523" t="s">
        <v>307</v>
      </c>
      <c r="I1523" t="s">
        <v>2020</v>
      </c>
      <c r="J1523">
        <v>-349.05</v>
      </c>
      <c r="K1523">
        <v>0</v>
      </c>
      <c r="O1523" t="s">
        <v>787</v>
      </c>
      <c r="P1523" t="s">
        <v>894</v>
      </c>
      <c r="Q1523" t="s">
        <v>460</v>
      </c>
      <c r="R1523">
        <v>0</v>
      </c>
    </row>
    <row r="1524" spans="1:18" x14ac:dyDescent="0.3">
      <c r="A1524">
        <v>214995</v>
      </c>
      <c r="B1524" t="s">
        <v>557</v>
      </c>
      <c r="C1524" t="s">
        <v>879</v>
      </c>
      <c r="D1524" t="s">
        <v>2098</v>
      </c>
      <c r="E1524" s="451">
        <v>46054</v>
      </c>
      <c r="F1524" s="451">
        <v>46106</v>
      </c>
      <c r="G1524" t="s">
        <v>571</v>
      </c>
      <c r="H1524" t="s">
        <v>75</v>
      </c>
      <c r="I1524" t="s">
        <v>2099</v>
      </c>
      <c r="J1524">
        <v>-134.74</v>
      </c>
      <c r="K1524">
        <v>-134.74</v>
      </c>
      <c r="M1524" t="s">
        <v>881</v>
      </c>
      <c r="N1524" t="s">
        <v>73</v>
      </c>
      <c r="O1524" t="s">
        <v>787</v>
      </c>
      <c r="P1524" t="s">
        <v>894</v>
      </c>
      <c r="Q1524" t="s">
        <v>460</v>
      </c>
      <c r="R1524">
        <v>0</v>
      </c>
    </row>
    <row r="1525" spans="1:18" x14ac:dyDescent="0.3">
      <c r="A1525">
        <v>220642</v>
      </c>
      <c r="B1525" t="s">
        <v>557</v>
      </c>
      <c r="C1525" t="s">
        <v>866</v>
      </c>
      <c r="D1525" t="s">
        <v>819</v>
      </c>
      <c r="E1525" s="451">
        <v>46054</v>
      </c>
      <c r="F1525" s="451">
        <v>46063</v>
      </c>
      <c r="G1525" t="s">
        <v>578</v>
      </c>
      <c r="H1525" t="s">
        <v>240</v>
      </c>
      <c r="I1525" t="s">
        <v>867</v>
      </c>
      <c r="J1525">
        <v>-1545.49</v>
      </c>
      <c r="K1525">
        <v>0</v>
      </c>
      <c r="O1525" t="s">
        <v>787</v>
      </c>
      <c r="P1525" t="s">
        <v>894</v>
      </c>
      <c r="Q1525" t="s">
        <v>460</v>
      </c>
      <c r="R1525">
        <v>0</v>
      </c>
    </row>
    <row r="1526" spans="1:18" x14ac:dyDescent="0.3">
      <c r="A1526">
        <v>214996</v>
      </c>
      <c r="B1526" t="s">
        <v>557</v>
      </c>
      <c r="C1526" t="s">
        <v>2016</v>
      </c>
      <c r="D1526" t="s">
        <v>1885</v>
      </c>
      <c r="E1526" s="451">
        <v>46054</v>
      </c>
      <c r="F1526" s="451">
        <v>46106</v>
      </c>
      <c r="G1526" t="s">
        <v>572</v>
      </c>
      <c r="H1526" t="s">
        <v>112</v>
      </c>
      <c r="I1526" t="s">
        <v>2093</v>
      </c>
      <c r="J1526">
        <v>-1150</v>
      </c>
      <c r="K1526">
        <v>-1150</v>
      </c>
      <c r="M1526" t="s">
        <v>821</v>
      </c>
      <c r="N1526" t="s">
        <v>133</v>
      </c>
      <c r="O1526" t="s">
        <v>787</v>
      </c>
      <c r="P1526" t="s">
        <v>894</v>
      </c>
      <c r="Q1526" t="s">
        <v>460</v>
      </c>
      <c r="R1526">
        <v>0</v>
      </c>
    </row>
    <row r="1527" spans="1:18" x14ac:dyDescent="0.3">
      <c r="A1527">
        <v>214997</v>
      </c>
      <c r="B1527" t="s">
        <v>557</v>
      </c>
      <c r="C1527" t="s">
        <v>886</v>
      </c>
      <c r="D1527" t="s">
        <v>1064</v>
      </c>
      <c r="E1527" s="451">
        <v>46054</v>
      </c>
      <c r="F1527" s="451">
        <v>46106</v>
      </c>
      <c r="G1527" t="s">
        <v>572</v>
      </c>
      <c r="H1527" t="s">
        <v>112</v>
      </c>
      <c r="I1527" t="s">
        <v>2093</v>
      </c>
      <c r="J1527">
        <v>-2170</v>
      </c>
      <c r="K1527">
        <v>-2170</v>
      </c>
      <c r="M1527" t="s">
        <v>887</v>
      </c>
      <c r="N1527" t="s">
        <v>131</v>
      </c>
      <c r="O1527" t="s">
        <v>787</v>
      </c>
      <c r="P1527" t="s">
        <v>894</v>
      </c>
      <c r="Q1527" t="s">
        <v>460</v>
      </c>
      <c r="R1527">
        <v>0</v>
      </c>
    </row>
    <row r="1528" spans="1:18" x14ac:dyDescent="0.3">
      <c r="A1528">
        <v>215352</v>
      </c>
      <c r="B1528" t="s">
        <v>557</v>
      </c>
      <c r="C1528" t="s">
        <v>2100</v>
      </c>
      <c r="D1528" t="s">
        <v>2101</v>
      </c>
      <c r="E1528" s="451">
        <v>46054</v>
      </c>
      <c r="F1528" s="451">
        <v>46096</v>
      </c>
      <c r="G1528" t="s">
        <v>576</v>
      </c>
      <c r="H1528" t="s">
        <v>203</v>
      </c>
      <c r="I1528" t="s">
        <v>2102</v>
      </c>
      <c r="J1528">
        <v>-250</v>
      </c>
      <c r="K1528">
        <v>-250</v>
      </c>
      <c r="M1528" t="s">
        <v>2103</v>
      </c>
      <c r="N1528" t="s">
        <v>2104</v>
      </c>
      <c r="O1528" t="s">
        <v>787</v>
      </c>
      <c r="P1528" t="s">
        <v>894</v>
      </c>
      <c r="Q1528" t="s">
        <v>460</v>
      </c>
      <c r="R1528">
        <v>0</v>
      </c>
    </row>
    <row r="1529" spans="1:18" x14ac:dyDescent="0.3">
      <c r="A1529">
        <v>211652</v>
      </c>
      <c r="B1529" t="s">
        <v>557</v>
      </c>
      <c r="C1529" t="s">
        <v>1066</v>
      </c>
      <c r="D1529" t="s">
        <v>2105</v>
      </c>
      <c r="E1529" s="451">
        <v>46054</v>
      </c>
      <c r="F1529" s="451">
        <v>46086</v>
      </c>
      <c r="G1529" t="s">
        <v>296</v>
      </c>
      <c r="H1529" t="s">
        <v>304</v>
      </c>
      <c r="I1529" t="s">
        <v>2106</v>
      </c>
      <c r="J1529">
        <v>-95</v>
      </c>
      <c r="K1529">
        <v>-95</v>
      </c>
      <c r="O1529" t="s">
        <v>787</v>
      </c>
      <c r="P1529" t="s">
        <v>894</v>
      </c>
      <c r="Q1529" t="s">
        <v>460</v>
      </c>
      <c r="R1529">
        <v>0</v>
      </c>
    </row>
    <row r="1530" spans="1:18" x14ac:dyDescent="0.3">
      <c r="A1530">
        <v>213606</v>
      </c>
      <c r="B1530" t="s">
        <v>557</v>
      </c>
      <c r="C1530" t="s">
        <v>1237</v>
      </c>
      <c r="E1530" s="451">
        <v>46054</v>
      </c>
      <c r="F1530" s="451">
        <v>46055</v>
      </c>
      <c r="G1530" t="s">
        <v>279</v>
      </c>
      <c r="H1530" t="s">
        <v>284</v>
      </c>
      <c r="I1530" t="s">
        <v>1272</v>
      </c>
      <c r="J1530">
        <v>-43.26</v>
      </c>
      <c r="K1530">
        <v>-43.26</v>
      </c>
      <c r="O1530" t="s">
        <v>787</v>
      </c>
      <c r="P1530" t="s">
        <v>894</v>
      </c>
      <c r="Q1530" t="s">
        <v>460</v>
      </c>
      <c r="R1530">
        <v>0</v>
      </c>
    </row>
    <row r="1531" spans="1:18" x14ac:dyDescent="0.3">
      <c r="A1531">
        <v>213605</v>
      </c>
      <c r="B1531" t="s">
        <v>557</v>
      </c>
      <c r="C1531" t="s">
        <v>1237</v>
      </c>
      <c r="E1531" s="451">
        <v>46054</v>
      </c>
      <c r="F1531" s="451">
        <v>46054</v>
      </c>
      <c r="G1531" t="s">
        <v>279</v>
      </c>
      <c r="H1531" t="s">
        <v>284</v>
      </c>
      <c r="I1531" t="s">
        <v>1387</v>
      </c>
      <c r="J1531">
        <v>-200</v>
      </c>
      <c r="K1531">
        <v>-200</v>
      </c>
      <c r="O1531" t="s">
        <v>787</v>
      </c>
      <c r="P1531" t="s">
        <v>894</v>
      </c>
      <c r="Q1531" t="s">
        <v>460</v>
      </c>
      <c r="R1531">
        <v>0</v>
      </c>
    </row>
    <row r="1532" spans="1:18" x14ac:dyDescent="0.3">
      <c r="A1532">
        <v>213604</v>
      </c>
      <c r="B1532" t="s">
        <v>557</v>
      </c>
      <c r="C1532" t="s">
        <v>1237</v>
      </c>
      <c r="E1532" s="451">
        <v>46054</v>
      </c>
      <c r="F1532" s="451">
        <v>46054</v>
      </c>
      <c r="G1532" t="s">
        <v>279</v>
      </c>
      <c r="H1532" t="s">
        <v>284</v>
      </c>
      <c r="I1532" t="s">
        <v>1386</v>
      </c>
      <c r="J1532">
        <v>-20</v>
      </c>
      <c r="K1532">
        <v>-20</v>
      </c>
      <c r="O1532" t="s">
        <v>787</v>
      </c>
      <c r="P1532" t="s">
        <v>894</v>
      </c>
      <c r="Q1532" t="s">
        <v>460</v>
      </c>
      <c r="R1532">
        <v>0</v>
      </c>
    </row>
    <row r="1533" spans="1:18" x14ac:dyDescent="0.3">
      <c r="A1533">
        <v>213603</v>
      </c>
      <c r="B1533" t="s">
        <v>557</v>
      </c>
      <c r="C1533" t="s">
        <v>1237</v>
      </c>
      <c r="E1533" s="451">
        <v>46054</v>
      </c>
      <c r="F1533" s="451">
        <v>46054</v>
      </c>
      <c r="G1533" t="s">
        <v>279</v>
      </c>
      <c r="H1533" t="s">
        <v>284</v>
      </c>
      <c r="I1533" t="s">
        <v>1388</v>
      </c>
      <c r="J1533">
        <v>-260</v>
      </c>
      <c r="K1533">
        <v>-260</v>
      </c>
      <c r="O1533" t="s">
        <v>787</v>
      </c>
      <c r="P1533" t="s">
        <v>894</v>
      </c>
      <c r="Q1533" t="s">
        <v>460</v>
      </c>
      <c r="R1533">
        <v>0</v>
      </c>
    </row>
    <row r="1534" spans="1:18" x14ac:dyDescent="0.3">
      <c r="A1534">
        <v>212738</v>
      </c>
      <c r="B1534" t="s">
        <v>557</v>
      </c>
      <c r="C1534" t="s">
        <v>818</v>
      </c>
      <c r="D1534" t="s">
        <v>961</v>
      </c>
      <c r="E1534" s="451">
        <v>46054</v>
      </c>
      <c r="F1534" s="451">
        <v>46096</v>
      </c>
      <c r="G1534" t="s">
        <v>570</v>
      </c>
      <c r="H1534" t="s">
        <v>573</v>
      </c>
      <c r="I1534" t="s">
        <v>2107</v>
      </c>
      <c r="J1534">
        <v>-400</v>
      </c>
      <c r="K1534">
        <v>-400</v>
      </c>
      <c r="M1534" t="s">
        <v>821</v>
      </c>
      <c r="N1534" t="s">
        <v>133</v>
      </c>
      <c r="O1534" t="s">
        <v>787</v>
      </c>
      <c r="P1534" t="s">
        <v>894</v>
      </c>
      <c r="Q1534" t="s">
        <v>460</v>
      </c>
      <c r="R1534">
        <v>0</v>
      </c>
    </row>
    <row r="1535" spans="1:18" x14ac:dyDescent="0.3">
      <c r="A1535">
        <v>211677</v>
      </c>
      <c r="B1535" t="s">
        <v>557</v>
      </c>
      <c r="C1535" t="s">
        <v>1066</v>
      </c>
      <c r="D1535" t="s">
        <v>2108</v>
      </c>
      <c r="E1535" s="451">
        <v>46054</v>
      </c>
      <c r="F1535" s="451">
        <v>46086</v>
      </c>
      <c r="G1535" t="s">
        <v>564</v>
      </c>
      <c r="H1535" t="s">
        <v>565</v>
      </c>
      <c r="I1535" t="s">
        <v>2109</v>
      </c>
      <c r="J1535">
        <v>-47.96</v>
      </c>
      <c r="K1535">
        <v>-47.96</v>
      </c>
      <c r="O1535" t="s">
        <v>787</v>
      </c>
      <c r="P1535" t="s">
        <v>894</v>
      </c>
      <c r="Q1535" t="s">
        <v>460</v>
      </c>
      <c r="R1535">
        <v>0</v>
      </c>
    </row>
    <row r="1536" spans="1:18" x14ac:dyDescent="0.3">
      <c r="A1536">
        <v>211675</v>
      </c>
      <c r="B1536" t="s">
        <v>557</v>
      </c>
      <c r="C1536" t="s">
        <v>1066</v>
      </c>
      <c r="D1536" t="s">
        <v>2110</v>
      </c>
      <c r="E1536" s="451">
        <v>46054</v>
      </c>
      <c r="F1536" s="451">
        <v>46086</v>
      </c>
      <c r="G1536" t="s">
        <v>564</v>
      </c>
      <c r="H1536" t="s">
        <v>565</v>
      </c>
      <c r="I1536" t="s">
        <v>2111</v>
      </c>
      <c r="J1536">
        <v>-94.1</v>
      </c>
      <c r="K1536">
        <v>-94.1</v>
      </c>
      <c r="O1536" t="s">
        <v>787</v>
      </c>
      <c r="P1536" t="s">
        <v>894</v>
      </c>
      <c r="Q1536" t="s">
        <v>460</v>
      </c>
      <c r="R1536">
        <v>0</v>
      </c>
    </row>
    <row r="1537" spans="1:18" x14ac:dyDescent="0.3">
      <c r="A1537">
        <v>211674</v>
      </c>
      <c r="B1537" t="s">
        <v>557</v>
      </c>
      <c r="C1537" t="s">
        <v>1066</v>
      </c>
      <c r="D1537" t="s">
        <v>2112</v>
      </c>
      <c r="E1537" s="451">
        <v>46054</v>
      </c>
      <c r="F1537" s="451">
        <v>46086</v>
      </c>
      <c r="G1537" t="s">
        <v>564</v>
      </c>
      <c r="H1537" t="s">
        <v>565</v>
      </c>
      <c r="I1537" t="s">
        <v>2113</v>
      </c>
      <c r="J1537">
        <v>-50.7</v>
      </c>
      <c r="K1537">
        <v>-50.7</v>
      </c>
      <c r="O1537" t="s">
        <v>787</v>
      </c>
      <c r="P1537" t="s">
        <v>894</v>
      </c>
      <c r="Q1537" t="s">
        <v>460</v>
      </c>
      <c r="R1537">
        <v>0</v>
      </c>
    </row>
    <row r="1538" spans="1:18" x14ac:dyDescent="0.3">
      <c r="A1538">
        <v>211672</v>
      </c>
      <c r="B1538" t="s">
        <v>557</v>
      </c>
      <c r="C1538" t="s">
        <v>1066</v>
      </c>
      <c r="D1538" t="s">
        <v>2114</v>
      </c>
      <c r="E1538" s="451">
        <v>46054</v>
      </c>
      <c r="F1538" s="451">
        <v>46086</v>
      </c>
      <c r="G1538" t="s">
        <v>581</v>
      </c>
      <c r="H1538" t="s">
        <v>291</v>
      </c>
      <c r="I1538" t="s">
        <v>2115</v>
      </c>
      <c r="J1538">
        <v>-140</v>
      </c>
      <c r="K1538">
        <v>-140</v>
      </c>
      <c r="O1538" t="s">
        <v>787</v>
      </c>
      <c r="P1538" t="s">
        <v>894</v>
      </c>
      <c r="Q1538" t="s">
        <v>460</v>
      </c>
      <c r="R1538">
        <v>0</v>
      </c>
    </row>
    <row r="1539" spans="1:18" x14ac:dyDescent="0.3">
      <c r="A1539">
        <v>211671</v>
      </c>
      <c r="B1539" t="s">
        <v>557</v>
      </c>
      <c r="C1539" t="s">
        <v>1066</v>
      </c>
      <c r="D1539" t="s">
        <v>2116</v>
      </c>
      <c r="E1539" s="451">
        <v>46054</v>
      </c>
      <c r="F1539" s="451">
        <v>46086</v>
      </c>
      <c r="G1539" t="s">
        <v>581</v>
      </c>
      <c r="H1539" t="s">
        <v>291</v>
      </c>
      <c r="I1539" t="s">
        <v>2117</v>
      </c>
      <c r="J1539">
        <v>-92.43</v>
      </c>
      <c r="K1539">
        <v>-92.43</v>
      </c>
      <c r="O1539" t="s">
        <v>787</v>
      </c>
      <c r="P1539" t="s">
        <v>894</v>
      </c>
      <c r="Q1539" t="s">
        <v>460</v>
      </c>
      <c r="R1539">
        <v>0</v>
      </c>
    </row>
    <row r="1540" spans="1:18" x14ac:dyDescent="0.3">
      <c r="A1540">
        <v>211670</v>
      </c>
      <c r="B1540" t="s">
        <v>557</v>
      </c>
      <c r="C1540" t="s">
        <v>1066</v>
      </c>
      <c r="D1540" t="s">
        <v>2118</v>
      </c>
      <c r="E1540" s="451">
        <v>46054</v>
      </c>
      <c r="F1540" s="451">
        <v>46086</v>
      </c>
      <c r="G1540" t="s">
        <v>564</v>
      </c>
      <c r="H1540" t="s">
        <v>565</v>
      </c>
      <c r="I1540" t="s">
        <v>2119</v>
      </c>
      <c r="J1540">
        <v>-10.84</v>
      </c>
      <c r="K1540">
        <v>-10.84</v>
      </c>
      <c r="O1540" t="s">
        <v>787</v>
      </c>
      <c r="P1540" t="s">
        <v>894</v>
      </c>
      <c r="Q1540" t="s">
        <v>460</v>
      </c>
      <c r="R1540">
        <v>0</v>
      </c>
    </row>
    <row r="1541" spans="1:18" x14ac:dyDescent="0.3">
      <c r="A1541">
        <v>211669</v>
      </c>
      <c r="B1541" t="s">
        <v>557</v>
      </c>
      <c r="C1541" t="s">
        <v>1066</v>
      </c>
      <c r="D1541" t="s">
        <v>2120</v>
      </c>
      <c r="E1541" s="451">
        <v>46054</v>
      </c>
      <c r="F1541" s="451">
        <v>46086</v>
      </c>
      <c r="G1541" t="s">
        <v>564</v>
      </c>
      <c r="H1541" t="s">
        <v>565</v>
      </c>
      <c r="I1541" t="s">
        <v>2121</v>
      </c>
      <c r="J1541">
        <v>-22.58</v>
      </c>
      <c r="K1541">
        <v>-22.58</v>
      </c>
      <c r="O1541" t="s">
        <v>787</v>
      </c>
      <c r="P1541" t="s">
        <v>894</v>
      </c>
      <c r="Q1541" t="s">
        <v>460</v>
      </c>
      <c r="R1541">
        <v>0</v>
      </c>
    </row>
    <row r="1542" spans="1:18" x14ac:dyDescent="0.3">
      <c r="A1542">
        <v>211668</v>
      </c>
      <c r="B1542" t="s">
        <v>557</v>
      </c>
      <c r="C1542" t="s">
        <v>1066</v>
      </c>
      <c r="D1542" t="s">
        <v>2122</v>
      </c>
      <c r="E1542" s="451">
        <v>46054</v>
      </c>
      <c r="F1542" s="451">
        <v>46086</v>
      </c>
      <c r="G1542" t="s">
        <v>264</v>
      </c>
      <c r="H1542" t="s">
        <v>272</v>
      </c>
      <c r="I1542" t="s">
        <v>2083</v>
      </c>
      <c r="J1542">
        <v>-71.62</v>
      </c>
      <c r="K1542">
        <v>-71.62</v>
      </c>
      <c r="O1542" t="s">
        <v>787</v>
      </c>
      <c r="P1542" t="s">
        <v>894</v>
      </c>
      <c r="Q1542" t="s">
        <v>460</v>
      </c>
      <c r="R1542">
        <v>0</v>
      </c>
    </row>
    <row r="1543" spans="1:18" x14ac:dyDescent="0.3">
      <c r="A1543">
        <v>211667</v>
      </c>
      <c r="B1543" t="s">
        <v>557</v>
      </c>
      <c r="C1543" t="s">
        <v>1066</v>
      </c>
      <c r="D1543" t="s">
        <v>2123</v>
      </c>
      <c r="E1543" s="451">
        <v>46054</v>
      </c>
      <c r="F1543" s="451">
        <v>46086</v>
      </c>
      <c r="G1543" t="s">
        <v>264</v>
      </c>
      <c r="H1543" t="s">
        <v>268</v>
      </c>
      <c r="I1543" t="s">
        <v>2124</v>
      </c>
      <c r="J1543">
        <v>-100</v>
      </c>
      <c r="K1543">
        <v>-100</v>
      </c>
      <c r="O1543" t="s">
        <v>787</v>
      </c>
      <c r="P1543" t="s">
        <v>894</v>
      </c>
      <c r="Q1543" t="s">
        <v>460</v>
      </c>
      <c r="R1543">
        <v>0</v>
      </c>
    </row>
    <row r="1544" spans="1:18" x14ac:dyDescent="0.3">
      <c r="A1544">
        <v>211666</v>
      </c>
      <c r="B1544" t="s">
        <v>557</v>
      </c>
      <c r="C1544" t="s">
        <v>1066</v>
      </c>
      <c r="D1544" t="s">
        <v>2125</v>
      </c>
      <c r="E1544" s="451">
        <v>46054</v>
      </c>
      <c r="F1544" s="451">
        <v>46086</v>
      </c>
      <c r="G1544" t="s">
        <v>264</v>
      </c>
      <c r="H1544" t="s">
        <v>272</v>
      </c>
      <c r="I1544" t="s">
        <v>1985</v>
      </c>
      <c r="J1544">
        <v>-70</v>
      </c>
      <c r="K1544">
        <v>-70</v>
      </c>
      <c r="O1544" t="s">
        <v>787</v>
      </c>
      <c r="P1544" t="s">
        <v>894</v>
      </c>
      <c r="Q1544" t="s">
        <v>460</v>
      </c>
      <c r="R1544">
        <v>0</v>
      </c>
    </row>
    <row r="1545" spans="1:18" x14ac:dyDescent="0.3">
      <c r="A1545">
        <v>211665</v>
      </c>
      <c r="B1545" t="s">
        <v>557</v>
      </c>
      <c r="C1545" t="s">
        <v>1066</v>
      </c>
      <c r="D1545" t="s">
        <v>2126</v>
      </c>
      <c r="E1545" s="451">
        <v>46054</v>
      </c>
      <c r="F1545" s="451">
        <v>46086</v>
      </c>
      <c r="G1545" t="s">
        <v>564</v>
      </c>
      <c r="H1545" t="s">
        <v>566</v>
      </c>
      <c r="I1545" t="s">
        <v>2127</v>
      </c>
      <c r="J1545">
        <v>-162.69999999999999</v>
      </c>
      <c r="K1545">
        <v>-162.69999999999999</v>
      </c>
      <c r="O1545" t="s">
        <v>787</v>
      </c>
      <c r="P1545" t="s">
        <v>894</v>
      </c>
      <c r="Q1545" t="s">
        <v>460</v>
      </c>
      <c r="R1545">
        <v>0</v>
      </c>
    </row>
    <row r="1546" spans="1:18" x14ac:dyDescent="0.3">
      <c r="A1546">
        <v>211664</v>
      </c>
      <c r="B1546" t="s">
        <v>557</v>
      </c>
      <c r="C1546" t="s">
        <v>1066</v>
      </c>
      <c r="D1546" t="s">
        <v>2128</v>
      </c>
      <c r="E1546" s="451">
        <v>46054</v>
      </c>
      <c r="F1546" s="451">
        <v>46086</v>
      </c>
      <c r="G1546" t="s">
        <v>564</v>
      </c>
      <c r="H1546" t="s">
        <v>565</v>
      </c>
      <c r="I1546" t="s">
        <v>2129</v>
      </c>
      <c r="J1546">
        <v>-13.59</v>
      </c>
      <c r="K1546">
        <v>-13.59</v>
      </c>
      <c r="O1546" t="s">
        <v>787</v>
      </c>
      <c r="P1546" t="s">
        <v>894</v>
      </c>
      <c r="Q1546" t="s">
        <v>460</v>
      </c>
      <c r="R1546">
        <v>0</v>
      </c>
    </row>
    <row r="1547" spans="1:18" x14ac:dyDescent="0.3">
      <c r="A1547">
        <v>211662</v>
      </c>
      <c r="B1547" t="s">
        <v>557</v>
      </c>
      <c r="C1547" t="s">
        <v>1066</v>
      </c>
      <c r="D1547" t="s">
        <v>2130</v>
      </c>
      <c r="E1547" s="451">
        <v>46054</v>
      </c>
      <c r="F1547" s="451">
        <v>46086</v>
      </c>
      <c r="G1547" t="s">
        <v>264</v>
      </c>
      <c r="H1547" t="s">
        <v>275</v>
      </c>
      <c r="I1547" t="s">
        <v>2131</v>
      </c>
      <c r="J1547">
        <v>-17.899999999999999</v>
      </c>
      <c r="K1547">
        <v>-17.899999999999999</v>
      </c>
      <c r="O1547" t="s">
        <v>787</v>
      </c>
      <c r="P1547" t="s">
        <v>894</v>
      </c>
      <c r="Q1547" t="s">
        <v>460</v>
      </c>
      <c r="R1547">
        <v>0</v>
      </c>
    </row>
    <row r="1548" spans="1:18" x14ac:dyDescent="0.3">
      <c r="A1548">
        <v>211661</v>
      </c>
      <c r="B1548" t="s">
        <v>557</v>
      </c>
      <c r="C1548" t="s">
        <v>1066</v>
      </c>
      <c r="D1548" t="s">
        <v>2132</v>
      </c>
      <c r="E1548" s="451">
        <v>46054</v>
      </c>
      <c r="F1548" s="451">
        <v>46086</v>
      </c>
      <c r="G1548" t="s">
        <v>296</v>
      </c>
      <c r="H1548" t="s">
        <v>304</v>
      </c>
      <c r="I1548" t="s">
        <v>2106</v>
      </c>
      <c r="J1548">
        <v>-91.6</v>
      </c>
      <c r="K1548">
        <v>-91.6</v>
      </c>
      <c r="O1548" t="s">
        <v>787</v>
      </c>
      <c r="P1548" t="s">
        <v>894</v>
      </c>
      <c r="Q1548" t="s">
        <v>460</v>
      </c>
      <c r="R1548">
        <v>0</v>
      </c>
    </row>
    <row r="1549" spans="1:18" x14ac:dyDescent="0.3">
      <c r="A1549">
        <v>211660</v>
      </c>
      <c r="B1549" t="s">
        <v>557</v>
      </c>
      <c r="C1549" t="s">
        <v>1066</v>
      </c>
      <c r="D1549" t="s">
        <v>2133</v>
      </c>
      <c r="E1549" s="451">
        <v>46054</v>
      </c>
      <c r="F1549" s="451">
        <v>46086</v>
      </c>
      <c r="G1549" t="s">
        <v>264</v>
      </c>
      <c r="H1549" t="s">
        <v>275</v>
      </c>
      <c r="I1549" t="s">
        <v>2134</v>
      </c>
      <c r="J1549">
        <v>-66.8</v>
      </c>
      <c r="K1549">
        <v>-66.8</v>
      </c>
      <c r="O1549" t="s">
        <v>787</v>
      </c>
      <c r="P1549" t="s">
        <v>894</v>
      </c>
      <c r="Q1549" t="s">
        <v>460</v>
      </c>
      <c r="R1549">
        <v>0</v>
      </c>
    </row>
    <row r="1550" spans="1:18" x14ac:dyDescent="0.3">
      <c r="A1550">
        <v>211659</v>
      </c>
      <c r="B1550" t="s">
        <v>557</v>
      </c>
      <c r="C1550" t="s">
        <v>1066</v>
      </c>
      <c r="D1550" t="s">
        <v>2135</v>
      </c>
      <c r="E1550" s="451">
        <v>46054</v>
      </c>
      <c r="F1550" s="451">
        <v>46086</v>
      </c>
      <c r="G1550" t="s">
        <v>564</v>
      </c>
      <c r="H1550" t="s">
        <v>565</v>
      </c>
      <c r="I1550" t="s">
        <v>2136</v>
      </c>
      <c r="J1550">
        <v>-58.73</v>
      </c>
      <c r="K1550">
        <v>-58.73</v>
      </c>
      <c r="O1550" t="s">
        <v>787</v>
      </c>
      <c r="P1550" t="s">
        <v>894</v>
      </c>
      <c r="Q1550" t="s">
        <v>460</v>
      </c>
      <c r="R1550">
        <v>0</v>
      </c>
    </row>
    <row r="1551" spans="1:18" x14ac:dyDescent="0.3">
      <c r="A1551">
        <v>211658</v>
      </c>
      <c r="B1551" t="s">
        <v>557</v>
      </c>
      <c r="C1551" t="s">
        <v>1066</v>
      </c>
      <c r="D1551" t="s">
        <v>2137</v>
      </c>
      <c r="E1551" s="451">
        <v>46054</v>
      </c>
      <c r="F1551" s="451">
        <v>46086</v>
      </c>
      <c r="G1551" t="s">
        <v>564</v>
      </c>
      <c r="H1551" t="s">
        <v>565</v>
      </c>
      <c r="I1551" t="s">
        <v>2113</v>
      </c>
      <c r="J1551">
        <v>-138.69999999999999</v>
      </c>
      <c r="K1551">
        <v>-138.69999999999999</v>
      </c>
      <c r="O1551" t="s">
        <v>787</v>
      </c>
      <c r="P1551" t="s">
        <v>894</v>
      </c>
      <c r="Q1551" t="s">
        <v>460</v>
      </c>
      <c r="R1551">
        <v>0</v>
      </c>
    </row>
    <row r="1552" spans="1:18" x14ac:dyDescent="0.3">
      <c r="A1552">
        <v>211657</v>
      </c>
      <c r="B1552" t="s">
        <v>557</v>
      </c>
      <c r="C1552" t="s">
        <v>1066</v>
      </c>
      <c r="D1552" t="s">
        <v>2138</v>
      </c>
      <c r="E1552" s="451">
        <v>46054</v>
      </c>
      <c r="F1552" s="451">
        <v>46086</v>
      </c>
      <c r="G1552" t="s">
        <v>564</v>
      </c>
      <c r="H1552" t="s">
        <v>565</v>
      </c>
      <c r="I1552" t="s">
        <v>2139</v>
      </c>
      <c r="J1552">
        <v>-65.27</v>
      </c>
      <c r="K1552">
        <v>-65.27</v>
      </c>
      <c r="O1552" t="s">
        <v>787</v>
      </c>
      <c r="P1552" t="s">
        <v>894</v>
      </c>
      <c r="Q1552" t="s">
        <v>460</v>
      </c>
      <c r="R1552">
        <v>0</v>
      </c>
    </row>
    <row r="1553" spans="1:18" x14ac:dyDescent="0.3">
      <c r="A1553">
        <v>211655</v>
      </c>
      <c r="B1553" t="s">
        <v>557</v>
      </c>
      <c r="C1553" t="s">
        <v>1066</v>
      </c>
      <c r="D1553" t="s">
        <v>2140</v>
      </c>
      <c r="E1553" s="451">
        <v>46054</v>
      </c>
      <c r="F1553" s="451">
        <v>46086</v>
      </c>
      <c r="G1553" t="s">
        <v>564</v>
      </c>
      <c r="H1553" t="s">
        <v>565</v>
      </c>
      <c r="I1553" t="s">
        <v>2113</v>
      </c>
      <c r="J1553">
        <v>-13.72</v>
      </c>
      <c r="K1553">
        <v>-13.72</v>
      </c>
      <c r="O1553" t="s">
        <v>787</v>
      </c>
      <c r="P1553" t="s">
        <v>894</v>
      </c>
      <c r="Q1553" t="s">
        <v>460</v>
      </c>
      <c r="R1553">
        <v>0</v>
      </c>
    </row>
    <row r="1554" spans="1:18" x14ac:dyDescent="0.3">
      <c r="A1554">
        <v>211654</v>
      </c>
      <c r="B1554" t="s">
        <v>557</v>
      </c>
      <c r="C1554" t="s">
        <v>1066</v>
      </c>
      <c r="D1554" t="s">
        <v>2141</v>
      </c>
      <c r="E1554" s="451">
        <v>46054</v>
      </c>
      <c r="F1554" s="451">
        <v>46086</v>
      </c>
      <c r="G1554" t="s">
        <v>264</v>
      </c>
      <c r="H1554" t="s">
        <v>272</v>
      </c>
      <c r="I1554" t="s">
        <v>1985</v>
      </c>
      <c r="J1554">
        <v>-70</v>
      </c>
      <c r="K1554">
        <v>-70</v>
      </c>
      <c r="O1554" t="s">
        <v>787</v>
      </c>
      <c r="P1554" t="s">
        <v>894</v>
      </c>
      <c r="Q1554" t="s">
        <v>460</v>
      </c>
      <c r="R1554">
        <v>0</v>
      </c>
    </row>
    <row r="1555" spans="1:18" x14ac:dyDescent="0.3">
      <c r="A1555">
        <v>211651</v>
      </c>
      <c r="B1555" t="s">
        <v>557</v>
      </c>
      <c r="C1555" t="s">
        <v>1066</v>
      </c>
      <c r="D1555" t="s">
        <v>2142</v>
      </c>
      <c r="E1555" s="451">
        <v>46054</v>
      </c>
      <c r="F1555" s="451">
        <v>46086</v>
      </c>
      <c r="G1555" t="s">
        <v>296</v>
      </c>
      <c r="H1555" t="s">
        <v>304</v>
      </c>
      <c r="I1555" t="s">
        <v>2106</v>
      </c>
      <c r="J1555">
        <v>-330.5</v>
      </c>
      <c r="K1555">
        <v>-330.5</v>
      </c>
      <c r="O1555" t="s">
        <v>787</v>
      </c>
      <c r="P1555" t="s">
        <v>894</v>
      </c>
      <c r="Q1555" t="s">
        <v>460</v>
      </c>
      <c r="R1555">
        <v>0</v>
      </c>
    </row>
    <row r="1556" spans="1:18" x14ac:dyDescent="0.3">
      <c r="A1556">
        <v>208171</v>
      </c>
      <c r="B1556" t="s">
        <v>557</v>
      </c>
      <c r="C1556" t="s">
        <v>1008</v>
      </c>
      <c r="E1556" s="451">
        <v>46053</v>
      </c>
      <c r="F1556" s="451">
        <v>46053</v>
      </c>
      <c r="G1556" t="s">
        <v>562</v>
      </c>
      <c r="H1556" t="s">
        <v>116</v>
      </c>
      <c r="J1556">
        <v>-198.89</v>
      </c>
      <c r="K1556">
        <v>-198.89</v>
      </c>
      <c r="O1556" t="s">
        <v>787</v>
      </c>
      <c r="P1556" t="s">
        <v>894</v>
      </c>
      <c r="Q1556" t="s">
        <v>459</v>
      </c>
      <c r="R1556">
        <v>0</v>
      </c>
    </row>
    <row r="1557" spans="1:18" x14ac:dyDescent="0.3">
      <c r="A1557">
        <v>208168</v>
      </c>
      <c r="B1557" t="s">
        <v>557</v>
      </c>
      <c r="C1557" t="s">
        <v>1007</v>
      </c>
      <c r="E1557" s="451">
        <v>46053</v>
      </c>
      <c r="F1557" s="451">
        <v>46053</v>
      </c>
      <c r="G1557" t="s">
        <v>562</v>
      </c>
      <c r="H1557" t="s">
        <v>116</v>
      </c>
      <c r="J1557">
        <v>-262.19</v>
      </c>
      <c r="K1557">
        <v>-262.19</v>
      </c>
      <c r="O1557" t="s">
        <v>787</v>
      </c>
      <c r="P1557" t="s">
        <v>894</v>
      </c>
      <c r="Q1557" t="s">
        <v>459</v>
      </c>
      <c r="R1557">
        <v>0</v>
      </c>
    </row>
    <row r="1558" spans="1:18" x14ac:dyDescent="0.3">
      <c r="A1558">
        <v>208169</v>
      </c>
      <c r="B1558" t="s">
        <v>557</v>
      </c>
      <c r="C1558" t="s">
        <v>1005</v>
      </c>
      <c r="E1558" s="451">
        <v>46053</v>
      </c>
      <c r="F1558" s="451">
        <v>46053</v>
      </c>
      <c r="G1558" t="s">
        <v>562</v>
      </c>
      <c r="H1558" t="s">
        <v>116</v>
      </c>
      <c r="J1558">
        <v>-328.48</v>
      </c>
      <c r="K1558">
        <v>-328.48</v>
      </c>
      <c r="O1558" t="s">
        <v>787</v>
      </c>
      <c r="P1558" t="s">
        <v>894</v>
      </c>
      <c r="Q1558" t="s">
        <v>459</v>
      </c>
      <c r="R1558">
        <v>0</v>
      </c>
    </row>
    <row r="1559" spans="1:18" x14ac:dyDescent="0.3">
      <c r="A1559">
        <v>208170</v>
      </c>
      <c r="B1559" t="s">
        <v>557</v>
      </c>
      <c r="C1559" t="s">
        <v>1006</v>
      </c>
      <c r="E1559" s="451">
        <v>46053</v>
      </c>
      <c r="F1559" s="451">
        <v>46053</v>
      </c>
      <c r="G1559" t="s">
        <v>562</v>
      </c>
      <c r="H1559" t="s">
        <v>116</v>
      </c>
      <c r="J1559">
        <v>-323.92</v>
      </c>
      <c r="K1559">
        <v>-323.92</v>
      </c>
      <c r="O1559" t="s">
        <v>787</v>
      </c>
      <c r="P1559" t="s">
        <v>894</v>
      </c>
      <c r="Q1559" t="s">
        <v>459</v>
      </c>
      <c r="R1559">
        <v>0</v>
      </c>
    </row>
    <row r="1560" spans="1:18" x14ac:dyDescent="0.3">
      <c r="A1560">
        <v>192738</v>
      </c>
      <c r="B1560" t="s">
        <v>557</v>
      </c>
      <c r="C1560" t="s">
        <v>952</v>
      </c>
      <c r="D1560" t="s">
        <v>2143</v>
      </c>
      <c r="E1560" s="451">
        <v>46053</v>
      </c>
      <c r="F1560" s="451">
        <v>46076</v>
      </c>
      <c r="G1560" t="s">
        <v>569</v>
      </c>
      <c r="H1560" t="s">
        <v>58</v>
      </c>
      <c r="I1560" t="s">
        <v>2144</v>
      </c>
      <c r="J1560">
        <v>-700</v>
      </c>
      <c r="K1560">
        <v>-700</v>
      </c>
      <c r="O1560" t="s">
        <v>787</v>
      </c>
      <c r="P1560" t="s">
        <v>894</v>
      </c>
      <c r="Q1560" t="s">
        <v>459</v>
      </c>
      <c r="R1560">
        <v>0</v>
      </c>
    </row>
    <row r="1561" spans="1:18" x14ac:dyDescent="0.3">
      <c r="A1561">
        <v>205463</v>
      </c>
      <c r="B1561" t="s">
        <v>557</v>
      </c>
      <c r="C1561" t="s">
        <v>970</v>
      </c>
      <c r="E1561" s="451">
        <v>46052</v>
      </c>
      <c r="F1561" s="451">
        <v>46059</v>
      </c>
      <c r="G1561" t="s">
        <v>574</v>
      </c>
      <c r="H1561" t="s">
        <v>575</v>
      </c>
      <c r="J1561">
        <v>-2755.51</v>
      </c>
      <c r="K1561">
        <v>-2755.51</v>
      </c>
      <c r="O1561" t="s">
        <v>787</v>
      </c>
      <c r="P1561" t="s">
        <v>894</v>
      </c>
      <c r="Q1561" t="s">
        <v>459</v>
      </c>
      <c r="R1561">
        <v>0</v>
      </c>
    </row>
    <row r="1562" spans="1:18" x14ac:dyDescent="0.3">
      <c r="A1562">
        <v>211266</v>
      </c>
      <c r="B1562" t="s">
        <v>557</v>
      </c>
      <c r="C1562" t="s">
        <v>1048</v>
      </c>
      <c r="D1562" t="s">
        <v>2145</v>
      </c>
      <c r="E1562" s="451">
        <v>46052</v>
      </c>
      <c r="F1562" s="451">
        <v>46078</v>
      </c>
      <c r="G1562" t="s">
        <v>582</v>
      </c>
      <c r="H1562" t="s">
        <v>293</v>
      </c>
      <c r="I1562" t="s">
        <v>2146</v>
      </c>
      <c r="J1562">
        <v>-51.73</v>
      </c>
      <c r="K1562">
        <v>0</v>
      </c>
      <c r="O1562" t="s">
        <v>787</v>
      </c>
      <c r="P1562" t="s">
        <v>894</v>
      </c>
      <c r="Q1562" t="s">
        <v>459</v>
      </c>
      <c r="R1562">
        <v>0</v>
      </c>
    </row>
    <row r="1563" spans="1:18" x14ac:dyDescent="0.3">
      <c r="A1563">
        <v>205456</v>
      </c>
      <c r="B1563" t="s">
        <v>557</v>
      </c>
      <c r="C1563" t="s">
        <v>1104</v>
      </c>
      <c r="E1563" s="451">
        <v>46052</v>
      </c>
      <c r="F1563" s="451">
        <v>46059</v>
      </c>
      <c r="G1563" t="s">
        <v>574</v>
      </c>
      <c r="H1563" t="s">
        <v>575</v>
      </c>
      <c r="J1563">
        <v>-2654.47</v>
      </c>
      <c r="K1563">
        <v>-2654.47</v>
      </c>
      <c r="O1563" t="s">
        <v>787</v>
      </c>
      <c r="P1563" t="s">
        <v>894</v>
      </c>
      <c r="Q1563" t="s">
        <v>459</v>
      </c>
      <c r="R1563">
        <v>0</v>
      </c>
    </row>
    <row r="1564" spans="1:18" x14ac:dyDescent="0.3">
      <c r="A1564">
        <v>204445</v>
      </c>
      <c r="B1564" t="s">
        <v>557</v>
      </c>
      <c r="C1564" t="s">
        <v>1491</v>
      </c>
      <c r="E1564" s="451">
        <v>46052</v>
      </c>
      <c r="F1564" s="451">
        <v>46052</v>
      </c>
      <c r="G1564" t="s">
        <v>562</v>
      </c>
      <c r="H1564" t="s">
        <v>118</v>
      </c>
      <c r="I1564" t="s">
        <v>2147</v>
      </c>
      <c r="J1564">
        <v>-12850.16</v>
      </c>
      <c r="K1564">
        <v>-12850.16</v>
      </c>
      <c r="O1564" t="s">
        <v>787</v>
      </c>
      <c r="P1564" t="s">
        <v>894</v>
      </c>
      <c r="Q1564" t="s">
        <v>459</v>
      </c>
      <c r="R1564">
        <v>0</v>
      </c>
    </row>
    <row r="1565" spans="1:18" x14ac:dyDescent="0.3">
      <c r="A1565">
        <v>205457</v>
      </c>
      <c r="B1565" t="s">
        <v>557</v>
      </c>
      <c r="C1565" t="s">
        <v>1113</v>
      </c>
      <c r="E1565" s="451">
        <v>46052</v>
      </c>
      <c r="F1565" s="451">
        <v>46059</v>
      </c>
      <c r="G1565" t="s">
        <v>574</v>
      </c>
      <c r="H1565" t="s">
        <v>575</v>
      </c>
      <c r="J1565">
        <v>-2146.5</v>
      </c>
      <c r="K1565">
        <v>-2146.5</v>
      </c>
      <c r="O1565" t="s">
        <v>787</v>
      </c>
      <c r="P1565" t="s">
        <v>894</v>
      </c>
      <c r="Q1565" t="s">
        <v>459</v>
      </c>
      <c r="R1565">
        <v>0</v>
      </c>
    </row>
    <row r="1566" spans="1:18" x14ac:dyDescent="0.3">
      <c r="A1566">
        <v>203889</v>
      </c>
      <c r="B1566" t="s">
        <v>557</v>
      </c>
      <c r="C1566" t="s">
        <v>1237</v>
      </c>
      <c r="E1566" s="451">
        <v>46052</v>
      </c>
      <c r="F1566" s="451">
        <v>46052</v>
      </c>
      <c r="G1566" t="s">
        <v>562</v>
      </c>
      <c r="H1566" t="s">
        <v>116</v>
      </c>
      <c r="I1566" t="s">
        <v>1238</v>
      </c>
      <c r="J1566">
        <v>-4325.34</v>
      </c>
      <c r="K1566">
        <v>-4325.34</v>
      </c>
      <c r="O1566" t="s">
        <v>787</v>
      </c>
      <c r="P1566" t="s">
        <v>894</v>
      </c>
      <c r="Q1566" t="s">
        <v>459</v>
      </c>
      <c r="R1566">
        <v>0</v>
      </c>
    </row>
    <row r="1567" spans="1:18" x14ac:dyDescent="0.3">
      <c r="A1567">
        <v>205458</v>
      </c>
      <c r="B1567" t="s">
        <v>557</v>
      </c>
      <c r="C1567" t="s">
        <v>1105</v>
      </c>
      <c r="E1567" s="451">
        <v>46052</v>
      </c>
      <c r="F1567" s="451">
        <v>46059</v>
      </c>
      <c r="G1567" t="s">
        <v>574</v>
      </c>
      <c r="H1567" t="s">
        <v>575</v>
      </c>
      <c r="J1567">
        <v>-2298.79</v>
      </c>
      <c r="K1567">
        <v>-2298.79</v>
      </c>
      <c r="O1567" t="s">
        <v>787</v>
      </c>
      <c r="P1567" t="s">
        <v>894</v>
      </c>
      <c r="Q1567" t="s">
        <v>459</v>
      </c>
      <c r="R1567">
        <v>0</v>
      </c>
    </row>
    <row r="1568" spans="1:18" x14ac:dyDescent="0.3">
      <c r="A1568">
        <v>205459</v>
      </c>
      <c r="B1568" t="s">
        <v>557</v>
      </c>
      <c r="C1568" t="s">
        <v>1381</v>
      </c>
      <c r="E1568" s="451">
        <v>46052</v>
      </c>
      <c r="F1568" s="451">
        <v>46059</v>
      </c>
      <c r="G1568" t="s">
        <v>574</v>
      </c>
      <c r="H1568" t="s">
        <v>575</v>
      </c>
      <c r="J1568">
        <v>-2399.6</v>
      </c>
      <c r="K1568">
        <v>-2399.6</v>
      </c>
      <c r="O1568" t="s">
        <v>787</v>
      </c>
      <c r="P1568" t="s">
        <v>894</v>
      </c>
      <c r="Q1568" t="s">
        <v>459</v>
      </c>
      <c r="R1568">
        <v>0</v>
      </c>
    </row>
    <row r="1569" spans="1:18" x14ac:dyDescent="0.3">
      <c r="A1569">
        <v>205460</v>
      </c>
      <c r="B1569" t="s">
        <v>557</v>
      </c>
      <c r="C1569" t="s">
        <v>1114</v>
      </c>
      <c r="E1569" s="451">
        <v>46052</v>
      </c>
      <c r="F1569" s="451">
        <v>46059</v>
      </c>
      <c r="G1569" t="s">
        <v>574</v>
      </c>
      <c r="H1569" t="s">
        <v>575</v>
      </c>
      <c r="J1569">
        <v>-2596.11</v>
      </c>
      <c r="K1569">
        <v>-2596.11</v>
      </c>
      <c r="O1569" t="s">
        <v>787</v>
      </c>
      <c r="P1569" t="s">
        <v>894</v>
      </c>
      <c r="Q1569" t="s">
        <v>459</v>
      </c>
      <c r="R1569">
        <v>0</v>
      </c>
    </row>
    <row r="1570" spans="1:18" x14ac:dyDescent="0.3">
      <c r="A1570">
        <v>202431</v>
      </c>
      <c r="B1570" t="s">
        <v>557</v>
      </c>
      <c r="C1570" t="s">
        <v>346</v>
      </c>
      <c r="D1570" t="s">
        <v>2148</v>
      </c>
      <c r="E1570" s="451">
        <v>46052</v>
      </c>
      <c r="F1570" s="451">
        <v>46112</v>
      </c>
      <c r="G1570" t="s">
        <v>604</v>
      </c>
      <c r="H1570" t="s">
        <v>346</v>
      </c>
      <c r="I1570" t="s">
        <v>2149</v>
      </c>
      <c r="J1570">
        <v>-4421.51</v>
      </c>
      <c r="K1570">
        <v>-4421.51</v>
      </c>
      <c r="O1570" t="s">
        <v>787</v>
      </c>
      <c r="P1570" t="s">
        <v>894</v>
      </c>
      <c r="Q1570" t="s">
        <v>459</v>
      </c>
      <c r="R1570">
        <v>0</v>
      </c>
    </row>
    <row r="1571" spans="1:18" x14ac:dyDescent="0.3">
      <c r="A1571">
        <v>202383</v>
      </c>
      <c r="B1571" t="s">
        <v>557</v>
      </c>
      <c r="C1571" t="s">
        <v>847</v>
      </c>
      <c r="D1571" t="s">
        <v>2150</v>
      </c>
      <c r="E1571" s="451">
        <v>46052</v>
      </c>
      <c r="F1571" s="451">
        <v>46083</v>
      </c>
      <c r="G1571" t="s">
        <v>578</v>
      </c>
      <c r="H1571" t="s">
        <v>247</v>
      </c>
      <c r="J1571">
        <v>-463.74</v>
      </c>
      <c r="K1571">
        <v>-463.74</v>
      </c>
      <c r="O1571" t="s">
        <v>787</v>
      </c>
      <c r="P1571" t="s">
        <v>894</v>
      </c>
      <c r="Q1571" t="s">
        <v>459</v>
      </c>
      <c r="R1571">
        <v>0</v>
      </c>
    </row>
    <row r="1572" spans="1:18" x14ac:dyDescent="0.3">
      <c r="A1572">
        <v>205461</v>
      </c>
      <c r="B1572" t="s">
        <v>557</v>
      </c>
      <c r="C1572" t="s">
        <v>1116</v>
      </c>
      <c r="E1572" s="451">
        <v>46052</v>
      </c>
      <c r="F1572" s="451">
        <v>46059</v>
      </c>
      <c r="G1572" t="s">
        <v>574</v>
      </c>
      <c r="H1572" t="s">
        <v>575</v>
      </c>
      <c r="J1572">
        <v>-1912.33</v>
      </c>
      <c r="K1572">
        <v>-1912.33</v>
      </c>
      <c r="O1572" t="s">
        <v>787</v>
      </c>
      <c r="P1572" t="s">
        <v>894</v>
      </c>
      <c r="Q1572" t="s">
        <v>459</v>
      </c>
      <c r="R1572">
        <v>0</v>
      </c>
    </row>
    <row r="1573" spans="1:18" x14ac:dyDescent="0.3">
      <c r="A1573">
        <v>205462</v>
      </c>
      <c r="B1573" t="s">
        <v>557</v>
      </c>
      <c r="C1573" t="s">
        <v>1110</v>
      </c>
      <c r="E1573" s="451">
        <v>46052</v>
      </c>
      <c r="F1573" s="451">
        <v>46059</v>
      </c>
      <c r="G1573" t="s">
        <v>574</v>
      </c>
      <c r="H1573" t="s">
        <v>575</v>
      </c>
      <c r="J1573">
        <v>-2060.9499999999998</v>
      </c>
      <c r="K1573">
        <v>-2060.9499999999998</v>
      </c>
      <c r="O1573" t="s">
        <v>787</v>
      </c>
      <c r="P1573" t="s">
        <v>894</v>
      </c>
      <c r="Q1573" t="s">
        <v>459</v>
      </c>
      <c r="R1573">
        <v>0</v>
      </c>
    </row>
    <row r="1574" spans="1:18" x14ac:dyDescent="0.3">
      <c r="A1574">
        <v>101215</v>
      </c>
      <c r="B1574" t="s">
        <v>557</v>
      </c>
      <c r="C1574" t="s">
        <v>49</v>
      </c>
      <c r="D1574" t="s">
        <v>2151</v>
      </c>
      <c r="E1574" s="451">
        <v>46052</v>
      </c>
      <c r="F1574" s="451">
        <v>46063</v>
      </c>
      <c r="G1574" t="s">
        <v>563</v>
      </c>
      <c r="H1574" t="s">
        <v>49</v>
      </c>
      <c r="I1574" t="s">
        <v>2152</v>
      </c>
      <c r="J1574">
        <v>-6.29</v>
      </c>
      <c r="K1574">
        <v>-6.29</v>
      </c>
      <c r="O1574" t="s">
        <v>787</v>
      </c>
      <c r="P1574" t="s">
        <v>894</v>
      </c>
      <c r="Q1574" t="s">
        <v>459</v>
      </c>
      <c r="R1574">
        <v>0</v>
      </c>
    </row>
    <row r="1575" spans="1:18" x14ac:dyDescent="0.3">
      <c r="A1575">
        <v>207150</v>
      </c>
      <c r="B1575" t="s">
        <v>557</v>
      </c>
      <c r="C1575" t="s">
        <v>429</v>
      </c>
      <c r="D1575" t="s">
        <v>2153</v>
      </c>
      <c r="E1575" s="451">
        <v>46052</v>
      </c>
      <c r="F1575" s="451">
        <v>46073</v>
      </c>
      <c r="G1575" t="s">
        <v>577</v>
      </c>
      <c r="H1575" t="s">
        <v>211</v>
      </c>
      <c r="I1575" t="s">
        <v>2154</v>
      </c>
      <c r="J1575">
        <v>-5366.18</v>
      </c>
      <c r="K1575">
        <v>-5366.18</v>
      </c>
      <c r="O1575" t="s">
        <v>787</v>
      </c>
      <c r="P1575" t="s">
        <v>894</v>
      </c>
      <c r="Q1575" t="s">
        <v>459</v>
      </c>
      <c r="R1575">
        <v>0</v>
      </c>
    </row>
    <row r="1576" spans="1:18" x14ac:dyDescent="0.3">
      <c r="A1576">
        <v>197467</v>
      </c>
      <c r="B1576" t="s">
        <v>557</v>
      </c>
      <c r="C1576" t="s">
        <v>845</v>
      </c>
      <c r="D1576" t="s">
        <v>2151</v>
      </c>
      <c r="E1576" s="451">
        <v>46052</v>
      </c>
      <c r="F1576" s="451">
        <v>46073</v>
      </c>
      <c r="G1576" t="s">
        <v>308</v>
      </c>
      <c r="H1576" t="s">
        <v>309</v>
      </c>
      <c r="I1576" t="s">
        <v>2155</v>
      </c>
      <c r="J1576">
        <v>-12.64</v>
      </c>
      <c r="K1576">
        <v>-12.64</v>
      </c>
      <c r="O1576" t="s">
        <v>787</v>
      </c>
      <c r="P1576" t="s">
        <v>894</v>
      </c>
      <c r="Q1576" t="s">
        <v>459</v>
      </c>
      <c r="R1576">
        <v>0</v>
      </c>
    </row>
    <row r="1577" spans="1:18" x14ac:dyDescent="0.3">
      <c r="A1577">
        <v>210561</v>
      </c>
      <c r="B1577" t="s">
        <v>557</v>
      </c>
      <c r="C1577" t="s">
        <v>517</v>
      </c>
      <c r="D1577" t="s">
        <v>2151</v>
      </c>
      <c r="E1577" s="451">
        <v>46052</v>
      </c>
      <c r="F1577" s="451">
        <v>46078</v>
      </c>
      <c r="G1577" t="s">
        <v>563</v>
      </c>
      <c r="H1577" t="s">
        <v>46</v>
      </c>
      <c r="I1577" t="s">
        <v>2156</v>
      </c>
      <c r="J1577">
        <v>-1894.61</v>
      </c>
      <c r="K1577">
        <v>-1894.61</v>
      </c>
      <c r="O1577" t="s">
        <v>787</v>
      </c>
      <c r="P1577" t="s">
        <v>894</v>
      </c>
      <c r="Q1577" t="s">
        <v>459</v>
      </c>
      <c r="R1577">
        <v>0</v>
      </c>
    </row>
    <row r="1578" spans="1:18" x14ac:dyDescent="0.3">
      <c r="A1578">
        <v>210549</v>
      </c>
      <c r="B1578" t="s">
        <v>557</v>
      </c>
      <c r="C1578" t="s">
        <v>518</v>
      </c>
      <c r="D1578" t="s">
        <v>2151</v>
      </c>
      <c r="E1578" s="451">
        <v>46052</v>
      </c>
      <c r="F1578" s="451">
        <v>46078</v>
      </c>
      <c r="G1578" t="s">
        <v>563</v>
      </c>
      <c r="H1578" t="s">
        <v>46</v>
      </c>
      <c r="I1578" t="s">
        <v>2157</v>
      </c>
      <c r="J1578">
        <v>-8744.36</v>
      </c>
      <c r="K1578">
        <v>-8744.36</v>
      </c>
      <c r="O1578" t="s">
        <v>787</v>
      </c>
      <c r="P1578" t="s">
        <v>894</v>
      </c>
      <c r="Q1578" t="s">
        <v>459</v>
      </c>
      <c r="R1578">
        <v>0</v>
      </c>
    </row>
    <row r="1579" spans="1:18" x14ac:dyDescent="0.3">
      <c r="A1579">
        <v>205468</v>
      </c>
      <c r="B1579" t="s">
        <v>557</v>
      </c>
      <c r="C1579" t="s">
        <v>1781</v>
      </c>
      <c r="E1579" s="451">
        <v>46052</v>
      </c>
      <c r="F1579" s="451">
        <v>46059</v>
      </c>
      <c r="G1579" t="s">
        <v>574</v>
      </c>
      <c r="H1579" t="s">
        <v>575</v>
      </c>
      <c r="J1579">
        <v>-973.38</v>
      </c>
      <c r="K1579">
        <v>-973.38</v>
      </c>
      <c r="O1579" t="s">
        <v>787</v>
      </c>
      <c r="P1579" t="s">
        <v>894</v>
      </c>
      <c r="Q1579" t="s">
        <v>459</v>
      </c>
      <c r="R1579">
        <v>0</v>
      </c>
    </row>
    <row r="1580" spans="1:18" x14ac:dyDescent="0.3">
      <c r="A1580">
        <v>110509</v>
      </c>
      <c r="B1580" t="s">
        <v>557</v>
      </c>
      <c r="C1580" t="s">
        <v>849</v>
      </c>
      <c r="D1580" t="s">
        <v>2151</v>
      </c>
      <c r="E1580" s="451">
        <v>46052</v>
      </c>
      <c r="F1580" s="451">
        <v>46073</v>
      </c>
      <c r="G1580" t="s">
        <v>308</v>
      </c>
      <c r="H1580" t="s">
        <v>309</v>
      </c>
      <c r="I1580" t="s">
        <v>2158</v>
      </c>
      <c r="J1580">
        <v>-122.45</v>
      </c>
      <c r="K1580">
        <v>-122.45</v>
      </c>
      <c r="O1580" t="s">
        <v>787</v>
      </c>
      <c r="P1580" t="s">
        <v>894</v>
      </c>
      <c r="Q1580" t="s">
        <v>459</v>
      </c>
      <c r="R1580">
        <v>0</v>
      </c>
    </row>
    <row r="1581" spans="1:18" x14ac:dyDescent="0.3">
      <c r="A1581">
        <v>208524</v>
      </c>
      <c r="B1581" t="s">
        <v>557</v>
      </c>
      <c r="C1581" t="s">
        <v>845</v>
      </c>
      <c r="D1581" t="s">
        <v>2151</v>
      </c>
      <c r="E1581" s="451">
        <v>46052</v>
      </c>
      <c r="F1581" s="451">
        <v>46073</v>
      </c>
      <c r="G1581" t="s">
        <v>577</v>
      </c>
      <c r="H1581" t="s">
        <v>846</v>
      </c>
      <c r="J1581">
        <v>-4893.58</v>
      </c>
      <c r="K1581">
        <v>-4893.58</v>
      </c>
      <c r="O1581" t="s">
        <v>787</v>
      </c>
      <c r="P1581" t="s">
        <v>894</v>
      </c>
      <c r="Q1581" t="s">
        <v>459</v>
      </c>
      <c r="R1581">
        <v>0</v>
      </c>
    </row>
    <row r="1582" spans="1:18" x14ac:dyDescent="0.3">
      <c r="A1582">
        <v>205467</v>
      </c>
      <c r="B1582" t="s">
        <v>557</v>
      </c>
      <c r="C1582" t="s">
        <v>891</v>
      </c>
      <c r="E1582" s="451">
        <v>46052</v>
      </c>
      <c r="F1582" s="451">
        <v>46059</v>
      </c>
      <c r="G1582" t="s">
        <v>574</v>
      </c>
      <c r="H1582" t="s">
        <v>575</v>
      </c>
      <c r="J1582">
        <v>-1742.39</v>
      </c>
      <c r="K1582">
        <v>-1742.39</v>
      </c>
      <c r="O1582" t="s">
        <v>787</v>
      </c>
      <c r="P1582" t="s">
        <v>894</v>
      </c>
      <c r="Q1582" t="s">
        <v>459</v>
      </c>
      <c r="R1582">
        <v>0</v>
      </c>
    </row>
    <row r="1583" spans="1:18" x14ac:dyDescent="0.3">
      <c r="A1583">
        <v>197121</v>
      </c>
      <c r="B1583" t="s">
        <v>557</v>
      </c>
      <c r="C1583" t="s">
        <v>48</v>
      </c>
      <c r="D1583" t="s">
        <v>2153</v>
      </c>
      <c r="E1583" s="451">
        <v>46052</v>
      </c>
      <c r="F1583" s="451">
        <v>46073</v>
      </c>
      <c r="G1583" t="s">
        <v>563</v>
      </c>
      <c r="H1583" t="s">
        <v>48</v>
      </c>
      <c r="I1583" t="s">
        <v>2159</v>
      </c>
      <c r="J1583">
        <v>-12147.37</v>
      </c>
      <c r="K1583">
        <v>-13630.55</v>
      </c>
      <c r="O1583" t="s">
        <v>787</v>
      </c>
      <c r="P1583" t="s">
        <v>894</v>
      </c>
      <c r="Q1583" t="s">
        <v>459</v>
      </c>
      <c r="R1583">
        <v>0</v>
      </c>
    </row>
    <row r="1584" spans="1:18" x14ac:dyDescent="0.3">
      <c r="A1584">
        <v>205466</v>
      </c>
      <c r="B1584" t="s">
        <v>557</v>
      </c>
      <c r="C1584" t="s">
        <v>1106</v>
      </c>
      <c r="E1584" s="451">
        <v>46052</v>
      </c>
      <c r="F1584" s="451">
        <v>46059</v>
      </c>
      <c r="G1584" t="s">
        <v>574</v>
      </c>
      <c r="H1584" t="s">
        <v>575</v>
      </c>
      <c r="J1584">
        <v>-3002.59</v>
      </c>
      <c r="K1584">
        <v>-3002.59</v>
      </c>
      <c r="O1584" t="s">
        <v>787</v>
      </c>
      <c r="P1584" t="s">
        <v>894</v>
      </c>
      <c r="Q1584" t="s">
        <v>459</v>
      </c>
      <c r="R1584">
        <v>0</v>
      </c>
    </row>
    <row r="1585" spans="1:18" x14ac:dyDescent="0.3">
      <c r="A1585">
        <v>205465</v>
      </c>
      <c r="B1585" t="s">
        <v>557</v>
      </c>
      <c r="C1585" t="s">
        <v>968</v>
      </c>
      <c r="E1585" s="451">
        <v>46052</v>
      </c>
      <c r="F1585" s="451">
        <v>46059</v>
      </c>
      <c r="G1585" t="s">
        <v>574</v>
      </c>
      <c r="H1585" t="s">
        <v>575</v>
      </c>
      <c r="J1585">
        <v>-2245.46</v>
      </c>
      <c r="K1585">
        <v>-2245.46</v>
      </c>
      <c r="O1585" t="s">
        <v>787</v>
      </c>
      <c r="P1585" t="s">
        <v>894</v>
      </c>
      <c r="Q1585" t="s">
        <v>459</v>
      </c>
      <c r="R1585">
        <v>0</v>
      </c>
    </row>
    <row r="1586" spans="1:18" x14ac:dyDescent="0.3">
      <c r="A1586">
        <v>208280</v>
      </c>
      <c r="B1586" t="s">
        <v>557</v>
      </c>
      <c r="C1586" t="s">
        <v>428</v>
      </c>
      <c r="D1586" t="s">
        <v>2151</v>
      </c>
      <c r="E1586" s="451">
        <v>46052</v>
      </c>
      <c r="F1586" s="451">
        <v>46073</v>
      </c>
      <c r="G1586" t="s">
        <v>577</v>
      </c>
      <c r="H1586" t="s">
        <v>206</v>
      </c>
      <c r="J1586">
        <v>-4537.4399999999996</v>
      </c>
      <c r="K1586">
        <v>-4537.4399999999996</v>
      </c>
      <c r="O1586" t="s">
        <v>787</v>
      </c>
      <c r="P1586" t="s">
        <v>894</v>
      </c>
      <c r="Q1586" t="s">
        <v>459</v>
      </c>
      <c r="R1586">
        <v>0</v>
      </c>
    </row>
    <row r="1587" spans="1:18" x14ac:dyDescent="0.3">
      <c r="A1587">
        <v>205464</v>
      </c>
      <c r="B1587" t="s">
        <v>557</v>
      </c>
      <c r="C1587" t="s">
        <v>1492</v>
      </c>
      <c r="E1587" s="451">
        <v>46052</v>
      </c>
      <c r="F1587" s="451">
        <v>46059</v>
      </c>
      <c r="G1587" t="s">
        <v>574</v>
      </c>
      <c r="H1587" t="s">
        <v>575</v>
      </c>
      <c r="J1587">
        <v>-2372.09</v>
      </c>
      <c r="K1587">
        <v>-2372.09</v>
      </c>
      <c r="O1587" t="s">
        <v>787</v>
      </c>
      <c r="P1587" t="s">
        <v>894</v>
      </c>
      <c r="Q1587" t="s">
        <v>459</v>
      </c>
      <c r="R1587">
        <v>0</v>
      </c>
    </row>
    <row r="1588" spans="1:18" x14ac:dyDescent="0.3">
      <c r="A1588">
        <v>117971</v>
      </c>
      <c r="B1588" t="s">
        <v>557</v>
      </c>
      <c r="C1588" t="s">
        <v>845</v>
      </c>
      <c r="D1588" t="s">
        <v>2151</v>
      </c>
      <c r="E1588" s="451">
        <v>46050</v>
      </c>
      <c r="F1588" s="451">
        <v>46073</v>
      </c>
      <c r="G1588" t="s">
        <v>308</v>
      </c>
      <c r="H1588" t="s">
        <v>309</v>
      </c>
      <c r="I1588" t="s">
        <v>2155</v>
      </c>
      <c r="J1588">
        <v>-53.52</v>
      </c>
      <c r="K1588">
        <v>-53.52</v>
      </c>
      <c r="O1588" t="s">
        <v>787</v>
      </c>
      <c r="P1588" t="s">
        <v>894</v>
      </c>
      <c r="Q1588" t="s">
        <v>459</v>
      </c>
      <c r="R1588">
        <v>0</v>
      </c>
    </row>
    <row r="1589" spans="1:18" x14ac:dyDescent="0.3">
      <c r="A1589">
        <v>199015</v>
      </c>
      <c r="B1589" t="s">
        <v>557</v>
      </c>
      <c r="C1589" t="s">
        <v>964</v>
      </c>
      <c r="E1589" s="451">
        <v>46049</v>
      </c>
      <c r="F1589" s="451">
        <v>46049</v>
      </c>
      <c r="G1589" t="s">
        <v>874</v>
      </c>
      <c r="H1589" t="s">
        <v>875</v>
      </c>
      <c r="J1589">
        <v>-10</v>
      </c>
      <c r="K1589">
        <v>-10</v>
      </c>
      <c r="O1589" t="s">
        <v>787</v>
      </c>
      <c r="P1589" t="s">
        <v>894</v>
      </c>
      <c r="Q1589" t="s">
        <v>459</v>
      </c>
      <c r="R1589">
        <v>0</v>
      </c>
    </row>
    <row r="1590" spans="1:18" x14ac:dyDescent="0.3">
      <c r="A1590">
        <v>32345</v>
      </c>
      <c r="B1590" t="s">
        <v>557</v>
      </c>
      <c r="C1590" t="s">
        <v>259</v>
      </c>
      <c r="D1590" t="s">
        <v>2160</v>
      </c>
      <c r="E1590" s="451">
        <v>46048</v>
      </c>
      <c r="F1590" s="451">
        <v>46048</v>
      </c>
      <c r="G1590" t="s">
        <v>256</v>
      </c>
      <c r="H1590" t="s">
        <v>259</v>
      </c>
      <c r="I1590" t="s">
        <v>782</v>
      </c>
      <c r="J1590">
        <v>-416.33</v>
      </c>
      <c r="K1590">
        <v>-416.33</v>
      </c>
      <c r="O1590" t="s">
        <v>787</v>
      </c>
      <c r="P1590" t="s">
        <v>788</v>
      </c>
      <c r="Q1590" t="s">
        <v>459</v>
      </c>
      <c r="R1590">
        <v>0</v>
      </c>
    </row>
    <row r="1591" spans="1:18" x14ac:dyDescent="0.3">
      <c r="A1591">
        <v>199029</v>
      </c>
      <c r="B1591" t="s">
        <v>557</v>
      </c>
      <c r="C1591" t="s">
        <v>964</v>
      </c>
      <c r="E1591" s="451">
        <v>46048</v>
      </c>
      <c r="F1591" s="451">
        <v>46048</v>
      </c>
      <c r="G1591" t="s">
        <v>874</v>
      </c>
      <c r="H1591" t="s">
        <v>875</v>
      </c>
      <c r="J1591">
        <v>-52.16</v>
      </c>
      <c r="K1591">
        <v>-52.16</v>
      </c>
      <c r="O1591" t="s">
        <v>787</v>
      </c>
      <c r="P1591" t="s">
        <v>894</v>
      </c>
      <c r="Q1591" t="s">
        <v>459</v>
      </c>
      <c r="R1591">
        <v>0</v>
      </c>
    </row>
    <row r="1592" spans="1:18" x14ac:dyDescent="0.3">
      <c r="A1592">
        <v>32156</v>
      </c>
      <c r="B1592" t="s">
        <v>557</v>
      </c>
      <c r="C1592" t="s">
        <v>259</v>
      </c>
      <c r="D1592" t="s">
        <v>776</v>
      </c>
      <c r="E1592" s="451">
        <v>46048</v>
      </c>
      <c r="F1592" s="451">
        <v>46048</v>
      </c>
      <c r="G1592" t="s">
        <v>777</v>
      </c>
      <c r="H1592" t="s">
        <v>368</v>
      </c>
      <c r="I1592" t="s">
        <v>778</v>
      </c>
      <c r="J1592">
        <v>-1520.61</v>
      </c>
      <c r="K1592">
        <v>-1520.61</v>
      </c>
      <c r="O1592" t="s">
        <v>787</v>
      </c>
      <c r="P1592" t="s">
        <v>788</v>
      </c>
      <c r="Q1592" t="s">
        <v>459</v>
      </c>
      <c r="R1592">
        <v>0</v>
      </c>
    </row>
    <row r="1593" spans="1:18" x14ac:dyDescent="0.3">
      <c r="A1593">
        <v>207397</v>
      </c>
      <c r="B1593" t="s">
        <v>557</v>
      </c>
      <c r="C1593" t="s">
        <v>1237</v>
      </c>
      <c r="E1593" s="451">
        <v>46048</v>
      </c>
      <c r="F1593" s="451">
        <v>46049</v>
      </c>
      <c r="G1593" t="s">
        <v>279</v>
      </c>
      <c r="H1593" t="s">
        <v>284</v>
      </c>
      <c r="I1593" t="s">
        <v>1272</v>
      </c>
      <c r="J1593">
        <v>-21.62</v>
      </c>
      <c r="K1593">
        <v>-21.62</v>
      </c>
      <c r="O1593" t="s">
        <v>787</v>
      </c>
      <c r="P1593" t="s">
        <v>894</v>
      </c>
      <c r="Q1593" t="s">
        <v>459</v>
      </c>
      <c r="R1593">
        <v>0</v>
      </c>
    </row>
    <row r="1594" spans="1:18" x14ac:dyDescent="0.3">
      <c r="A1594">
        <v>192796</v>
      </c>
      <c r="B1594" t="s">
        <v>557</v>
      </c>
      <c r="C1594" t="s">
        <v>943</v>
      </c>
      <c r="D1594" t="s">
        <v>2161</v>
      </c>
      <c r="E1594" s="451">
        <v>46048</v>
      </c>
      <c r="F1594" s="451">
        <v>46058</v>
      </c>
      <c r="G1594" t="s">
        <v>576</v>
      </c>
      <c r="H1594" t="s">
        <v>203</v>
      </c>
      <c r="I1594" t="s">
        <v>2162</v>
      </c>
      <c r="J1594">
        <v>-2365</v>
      </c>
      <c r="K1594">
        <v>-2365</v>
      </c>
      <c r="O1594" t="s">
        <v>787</v>
      </c>
      <c r="P1594" t="s">
        <v>894</v>
      </c>
      <c r="Q1594" t="s">
        <v>459</v>
      </c>
      <c r="R1594">
        <v>0</v>
      </c>
    </row>
    <row r="1595" spans="1:18" x14ac:dyDescent="0.3">
      <c r="A1595">
        <v>192737</v>
      </c>
      <c r="B1595" t="s">
        <v>557</v>
      </c>
      <c r="C1595" t="s">
        <v>952</v>
      </c>
      <c r="D1595" t="s">
        <v>2163</v>
      </c>
      <c r="E1595" s="451">
        <v>46048</v>
      </c>
      <c r="F1595" s="451">
        <v>46069</v>
      </c>
      <c r="G1595" t="s">
        <v>569</v>
      </c>
      <c r="H1595" t="s">
        <v>58</v>
      </c>
      <c r="I1595" t="s">
        <v>2164</v>
      </c>
      <c r="J1595">
        <v>-816</v>
      </c>
      <c r="K1595">
        <v>-816</v>
      </c>
      <c r="O1595" t="s">
        <v>787</v>
      </c>
      <c r="P1595" t="s">
        <v>894</v>
      </c>
      <c r="Q1595" t="s">
        <v>459</v>
      </c>
      <c r="R1595">
        <v>0</v>
      </c>
    </row>
    <row r="1596" spans="1:18" x14ac:dyDescent="0.3">
      <c r="A1596">
        <v>207396</v>
      </c>
      <c r="B1596" t="s">
        <v>557</v>
      </c>
      <c r="C1596" t="s">
        <v>1237</v>
      </c>
      <c r="E1596" s="451">
        <v>46047</v>
      </c>
      <c r="F1596" s="451">
        <v>46048</v>
      </c>
      <c r="G1596" t="s">
        <v>279</v>
      </c>
      <c r="H1596" t="s">
        <v>284</v>
      </c>
      <c r="I1596" t="s">
        <v>1272</v>
      </c>
      <c r="J1596">
        <v>-128.32</v>
      </c>
      <c r="K1596">
        <v>-128.32</v>
      </c>
      <c r="O1596" t="s">
        <v>787</v>
      </c>
      <c r="P1596" t="s">
        <v>894</v>
      </c>
      <c r="Q1596" t="s">
        <v>459</v>
      </c>
      <c r="R1596">
        <v>0</v>
      </c>
    </row>
    <row r="1597" spans="1:18" x14ac:dyDescent="0.3">
      <c r="A1597">
        <v>207395</v>
      </c>
      <c r="B1597" t="s">
        <v>557</v>
      </c>
      <c r="C1597" t="s">
        <v>1237</v>
      </c>
      <c r="E1597" s="451">
        <v>46046</v>
      </c>
      <c r="F1597" s="451">
        <v>46047</v>
      </c>
      <c r="G1597" t="s">
        <v>279</v>
      </c>
      <c r="H1597" t="s">
        <v>284</v>
      </c>
      <c r="I1597" t="s">
        <v>1272</v>
      </c>
      <c r="J1597">
        <v>-256.14</v>
      </c>
      <c r="K1597">
        <v>-256.14</v>
      </c>
      <c r="O1597" t="s">
        <v>787</v>
      </c>
      <c r="P1597" t="s">
        <v>894</v>
      </c>
      <c r="Q1597" t="s">
        <v>459</v>
      </c>
      <c r="R1597">
        <v>0</v>
      </c>
    </row>
    <row r="1598" spans="1:18" x14ac:dyDescent="0.3">
      <c r="A1598">
        <v>207394</v>
      </c>
      <c r="B1598" t="s">
        <v>557</v>
      </c>
      <c r="C1598" t="s">
        <v>1237</v>
      </c>
      <c r="E1598" s="451">
        <v>46045</v>
      </c>
      <c r="F1598" s="451">
        <v>46046</v>
      </c>
      <c r="G1598" t="s">
        <v>279</v>
      </c>
      <c r="H1598" t="s">
        <v>284</v>
      </c>
      <c r="I1598" t="s">
        <v>1272</v>
      </c>
      <c r="J1598">
        <v>-52.75</v>
      </c>
      <c r="K1598">
        <v>-52.75</v>
      </c>
      <c r="O1598" t="s">
        <v>787</v>
      </c>
      <c r="P1598" t="s">
        <v>894</v>
      </c>
      <c r="Q1598" t="s">
        <v>459</v>
      </c>
      <c r="R1598">
        <v>0</v>
      </c>
    </row>
    <row r="1599" spans="1:18" x14ac:dyDescent="0.3">
      <c r="A1599">
        <v>207393</v>
      </c>
      <c r="B1599" t="s">
        <v>557</v>
      </c>
      <c r="C1599" t="s">
        <v>1237</v>
      </c>
      <c r="E1599" s="451">
        <v>46044</v>
      </c>
      <c r="F1599" s="451">
        <v>46045</v>
      </c>
      <c r="G1599" t="s">
        <v>279</v>
      </c>
      <c r="H1599" t="s">
        <v>284</v>
      </c>
      <c r="I1599" t="s">
        <v>1272</v>
      </c>
      <c r="J1599">
        <v>-36.15</v>
      </c>
      <c r="K1599">
        <v>-36.15</v>
      </c>
      <c r="O1599" t="s">
        <v>787</v>
      </c>
      <c r="P1599" t="s">
        <v>894</v>
      </c>
      <c r="Q1599" t="s">
        <v>459</v>
      </c>
      <c r="R1599">
        <v>0</v>
      </c>
    </row>
    <row r="1600" spans="1:18" x14ac:dyDescent="0.3">
      <c r="A1600">
        <v>233050</v>
      </c>
      <c r="B1600" t="s">
        <v>557</v>
      </c>
      <c r="C1600" t="s">
        <v>1036</v>
      </c>
      <c r="E1600" s="451">
        <v>46044</v>
      </c>
      <c r="F1600" s="451">
        <v>46044</v>
      </c>
      <c r="G1600" t="s">
        <v>874</v>
      </c>
      <c r="H1600" t="s">
        <v>875</v>
      </c>
      <c r="J1600">
        <v>-177.05</v>
      </c>
      <c r="K1600">
        <v>-177.05</v>
      </c>
      <c r="O1600" t="s">
        <v>787</v>
      </c>
      <c r="P1600" t="s">
        <v>894</v>
      </c>
      <c r="Q1600" t="s">
        <v>459</v>
      </c>
      <c r="R1600">
        <v>0</v>
      </c>
    </row>
    <row r="1601" spans="1:18" x14ac:dyDescent="0.3">
      <c r="A1601">
        <v>196659</v>
      </c>
      <c r="B1601" t="s">
        <v>557</v>
      </c>
      <c r="C1601" t="s">
        <v>873</v>
      </c>
      <c r="E1601" s="451">
        <v>46043</v>
      </c>
      <c r="F1601" s="451">
        <v>46043</v>
      </c>
      <c r="G1601" t="s">
        <v>874</v>
      </c>
      <c r="H1601" t="s">
        <v>875</v>
      </c>
      <c r="J1601">
        <v>-4</v>
      </c>
      <c r="K1601">
        <v>-4</v>
      </c>
      <c r="O1601" t="s">
        <v>787</v>
      </c>
      <c r="P1601" t="s">
        <v>894</v>
      </c>
      <c r="Q1601" t="s">
        <v>459</v>
      </c>
      <c r="R1601">
        <v>0</v>
      </c>
    </row>
    <row r="1602" spans="1:18" x14ac:dyDescent="0.3">
      <c r="A1602">
        <v>207392</v>
      </c>
      <c r="B1602" t="s">
        <v>557</v>
      </c>
      <c r="C1602" t="s">
        <v>1237</v>
      </c>
      <c r="E1602" s="451">
        <v>46043</v>
      </c>
      <c r="F1602" s="451">
        <v>46044</v>
      </c>
      <c r="G1602" t="s">
        <v>279</v>
      </c>
      <c r="H1602" t="s">
        <v>284</v>
      </c>
      <c r="I1602" t="s">
        <v>1272</v>
      </c>
      <c r="J1602">
        <v>-37.22</v>
      </c>
      <c r="K1602">
        <v>-37.22</v>
      </c>
      <c r="O1602" t="s">
        <v>787</v>
      </c>
      <c r="P1602" t="s">
        <v>894</v>
      </c>
      <c r="Q1602" t="s">
        <v>459</v>
      </c>
      <c r="R1602">
        <v>0</v>
      </c>
    </row>
    <row r="1603" spans="1:18" x14ac:dyDescent="0.3">
      <c r="A1603">
        <v>196542</v>
      </c>
      <c r="B1603" t="s">
        <v>557</v>
      </c>
      <c r="C1603" t="s">
        <v>964</v>
      </c>
      <c r="E1603" s="451">
        <v>46042</v>
      </c>
      <c r="F1603" s="451">
        <v>46042</v>
      </c>
      <c r="G1603" t="s">
        <v>874</v>
      </c>
      <c r="H1603" t="s">
        <v>875</v>
      </c>
      <c r="J1603">
        <v>-84.57</v>
      </c>
      <c r="K1603">
        <v>-84.57</v>
      </c>
      <c r="O1603" t="s">
        <v>787</v>
      </c>
      <c r="P1603" t="s">
        <v>894</v>
      </c>
      <c r="Q1603" t="s">
        <v>459</v>
      </c>
      <c r="R1603">
        <v>0</v>
      </c>
    </row>
    <row r="1604" spans="1:18" x14ac:dyDescent="0.3">
      <c r="A1604">
        <v>207390</v>
      </c>
      <c r="B1604" t="s">
        <v>557</v>
      </c>
      <c r="C1604" t="s">
        <v>1237</v>
      </c>
      <c r="E1604" s="451">
        <v>46042</v>
      </c>
      <c r="F1604" s="451">
        <v>46043</v>
      </c>
      <c r="G1604" t="s">
        <v>279</v>
      </c>
      <c r="H1604" t="s">
        <v>284</v>
      </c>
      <c r="I1604" t="s">
        <v>1272</v>
      </c>
      <c r="J1604">
        <v>-0.6</v>
      </c>
      <c r="K1604">
        <v>-0.6</v>
      </c>
      <c r="O1604" t="s">
        <v>787</v>
      </c>
      <c r="P1604" t="s">
        <v>894</v>
      </c>
      <c r="Q1604" t="s">
        <v>459</v>
      </c>
      <c r="R1604">
        <v>0</v>
      </c>
    </row>
    <row r="1605" spans="1:18" x14ac:dyDescent="0.3">
      <c r="A1605">
        <v>192620</v>
      </c>
      <c r="B1605" t="s">
        <v>557</v>
      </c>
      <c r="C1605" t="s">
        <v>1128</v>
      </c>
      <c r="D1605" t="s">
        <v>2165</v>
      </c>
      <c r="E1605" s="451">
        <v>46042</v>
      </c>
      <c r="F1605" s="451">
        <v>46058</v>
      </c>
      <c r="G1605" t="s">
        <v>569</v>
      </c>
      <c r="H1605" t="s">
        <v>66</v>
      </c>
      <c r="I1605" t="s">
        <v>2166</v>
      </c>
      <c r="J1605">
        <v>-167</v>
      </c>
      <c r="K1605">
        <v>-167</v>
      </c>
      <c r="O1605" t="s">
        <v>787</v>
      </c>
      <c r="P1605" t="s">
        <v>894</v>
      </c>
      <c r="Q1605" t="s">
        <v>459</v>
      </c>
      <c r="R1605">
        <v>0</v>
      </c>
    </row>
    <row r="1606" spans="1:18" x14ac:dyDescent="0.3">
      <c r="A1606">
        <v>207391</v>
      </c>
      <c r="B1606" t="s">
        <v>557</v>
      </c>
      <c r="C1606" t="s">
        <v>1237</v>
      </c>
      <c r="E1606" s="451">
        <v>46042</v>
      </c>
      <c r="F1606" s="451">
        <v>46043</v>
      </c>
      <c r="G1606" t="s">
        <v>279</v>
      </c>
      <c r="H1606" t="s">
        <v>284</v>
      </c>
      <c r="I1606" t="s">
        <v>1272</v>
      </c>
      <c r="J1606">
        <v>-57.79</v>
      </c>
      <c r="K1606">
        <v>-57.79</v>
      </c>
      <c r="O1606" t="s">
        <v>787</v>
      </c>
      <c r="P1606" t="s">
        <v>894</v>
      </c>
      <c r="Q1606" t="s">
        <v>459</v>
      </c>
      <c r="R1606">
        <v>0</v>
      </c>
    </row>
    <row r="1607" spans="1:18" x14ac:dyDescent="0.3">
      <c r="A1607">
        <v>197004</v>
      </c>
      <c r="B1607" t="s">
        <v>557</v>
      </c>
      <c r="C1607" t="s">
        <v>2167</v>
      </c>
      <c r="D1607" t="s">
        <v>2168</v>
      </c>
      <c r="E1607" s="451">
        <v>46042</v>
      </c>
      <c r="F1607" s="451">
        <v>46056</v>
      </c>
      <c r="G1607" t="s">
        <v>264</v>
      </c>
      <c r="H1607" t="s">
        <v>268</v>
      </c>
      <c r="I1607" t="s">
        <v>2169</v>
      </c>
      <c r="J1607">
        <v>-1200</v>
      </c>
      <c r="K1607">
        <v>-1200</v>
      </c>
      <c r="O1607" t="s">
        <v>787</v>
      </c>
      <c r="P1607" t="s">
        <v>894</v>
      </c>
      <c r="Q1607" t="s">
        <v>459</v>
      </c>
      <c r="R1607">
        <v>0</v>
      </c>
    </row>
    <row r="1608" spans="1:18" x14ac:dyDescent="0.3">
      <c r="A1608">
        <v>196615</v>
      </c>
      <c r="B1608" t="s">
        <v>557</v>
      </c>
      <c r="C1608" t="s">
        <v>1749</v>
      </c>
      <c r="E1608" s="451">
        <v>46042</v>
      </c>
      <c r="F1608" s="451">
        <v>46042</v>
      </c>
      <c r="G1608" t="s">
        <v>562</v>
      </c>
      <c r="H1608" t="s">
        <v>116</v>
      </c>
      <c r="J1608">
        <v>-199.8</v>
      </c>
      <c r="K1608">
        <v>-199.8</v>
      </c>
      <c r="O1608" t="s">
        <v>787</v>
      </c>
      <c r="P1608" t="s">
        <v>894</v>
      </c>
      <c r="Q1608" t="s">
        <v>459</v>
      </c>
      <c r="R1608">
        <v>0</v>
      </c>
    </row>
    <row r="1609" spans="1:18" x14ac:dyDescent="0.3">
      <c r="A1609">
        <v>192736</v>
      </c>
      <c r="B1609" t="s">
        <v>557</v>
      </c>
      <c r="C1609" t="s">
        <v>952</v>
      </c>
      <c r="D1609" t="s">
        <v>2170</v>
      </c>
      <c r="E1609" s="451">
        <v>46041</v>
      </c>
      <c r="F1609" s="451">
        <v>46062</v>
      </c>
      <c r="G1609" t="s">
        <v>569</v>
      </c>
      <c r="H1609" t="s">
        <v>58</v>
      </c>
      <c r="I1609" t="s">
        <v>2171</v>
      </c>
      <c r="J1609">
        <v>-700</v>
      </c>
      <c r="K1609">
        <v>-700</v>
      </c>
      <c r="O1609" t="s">
        <v>787</v>
      </c>
      <c r="P1609" t="s">
        <v>894</v>
      </c>
      <c r="Q1609" t="s">
        <v>459</v>
      </c>
      <c r="R1609">
        <v>0</v>
      </c>
    </row>
    <row r="1610" spans="1:18" x14ac:dyDescent="0.3">
      <c r="A1610">
        <v>194774</v>
      </c>
      <c r="B1610" t="s">
        <v>557</v>
      </c>
      <c r="C1610" t="s">
        <v>1964</v>
      </c>
      <c r="D1610" t="s">
        <v>2172</v>
      </c>
      <c r="E1610" s="451">
        <v>46041</v>
      </c>
      <c r="F1610" s="451">
        <v>46050</v>
      </c>
      <c r="G1610" t="s">
        <v>581</v>
      </c>
      <c r="H1610" t="s">
        <v>289</v>
      </c>
      <c r="I1610" t="s">
        <v>2173</v>
      </c>
      <c r="J1610">
        <v>-498.4</v>
      </c>
      <c r="K1610">
        <v>-498.4</v>
      </c>
      <c r="O1610" t="s">
        <v>787</v>
      </c>
      <c r="P1610" t="s">
        <v>894</v>
      </c>
      <c r="Q1610" t="s">
        <v>459</v>
      </c>
      <c r="R1610">
        <v>0</v>
      </c>
    </row>
    <row r="1611" spans="1:18" x14ac:dyDescent="0.3">
      <c r="A1611">
        <v>192795</v>
      </c>
      <c r="B1611" t="s">
        <v>557</v>
      </c>
      <c r="C1611" t="s">
        <v>943</v>
      </c>
      <c r="D1611" t="s">
        <v>2174</v>
      </c>
      <c r="E1611" s="451">
        <v>46041</v>
      </c>
      <c r="F1611" s="451">
        <v>46051</v>
      </c>
      <c r="G1611" t="s">
        <v>576</v>
      </c>
      <c r="H1611" t="s">
        <v>203</v>
      </c>
      <c r="I1611" t="s">
        <v>2175</v>
      </c>
      <c r="J1611">
        <v>-1929.88</v>
      </c>
      <c r="K1611">
        <v>-1929.88</v>
      </c>
      <c r="O1611" t="s">
        <v>787</v>
      </c>
      <c r="P1611" t="s">
        <v>894</v>
      </c>
      <c r="Q1611" t="s">
        <v>459</v>
      </c>
      <c r="R1611">
        <v>0</v>
      </c>
    </row>
    <row r="1612" spans="1:18" x14ac:dyDescent="0.3">
      <c r="A1612">
        <v>194753</v>
      </c>
      <c r="B1612" t="s">
        <v>557</v>
      </c>
      <c r="C1612" t="s">
        <v>943</v>
      </c>
      <c r="D1612" t="s">
        <v>2176</v>
      </c>
      <c r="E1612" s="451">
        <v>46041</v>
      </c>
      <c r="F1612" s="451">
        <v>46051</v>
      </c>
      <c r="G1612" t="s">
        <v>576</v>
      </c>
      <c r="H1612" t="s">
        <v>203</v>
      </c>
      <c r="I1612" t="s">
        <v>2177</v>
      </c>
      <c r="J1612">
        <v>-1188</v>
      </c>
      <c r="K1612">
        <v>-1188</v>
      </c>
      <c r="O1612" t="s">
        <v>787</v>
      </c>
      <c r="P1612" t="s">
        <v>894</v>
      </c>
      <c r="Q1612" t="s">
        <v>459</v>
      </c>
      <c r="R1612">
        <v>0</v>
      </c>
    </row>
    <row r="1613" spans="1:18" x14ac:dyDescent="0.3">
      <c r="A1613">
        <v>207389</v>
      </c>
      <c r="B1613" t="s">
        <v>557</v>
      </c>
      <c r="C1613" t="s">
        <v>1237</v>
      </c>
      <c r="E1613" s="451">
        <v>46040</v>
      </c>
      <c r="F1613" s="451">
        <v>46041</v>
      </c>
      <c r="G1613" t="s">
        <v>279</v>
      </c>
      <c r="H1613" t="s">
        <v>284</v>
      </c>
      <c r="I1613" t="s">
        <v>1272</v>
      </c>
      <c r="J1613">
        <v>-123.58</v>
      </c>
      <c r="K1613">
        <v>-123.58</v>
      </c>
      <c r="O1613" t="s">
        <v>787</v>
      </c>
      <c r="P1613" t="s">
        <v>894</v>
      </c>
      <c r="Q1613" t="s">
        <v>459</v>
      </c>
      <c r="R1613">
        <v>0</v>
      </c>
    </row>
    <row r="1614" spans="1:18" x14ac:dyDescent="0.3">
      <c r="A1614">
        <v>207388</v>
      </c>
      <c r="B1614" t="s">
        <v>557</v>
      </c>
      <c r="C1614" t="s">
        <v>1237</v>
      </c>
      <c r="E1614" s="451">
        <v>46039</v>
      </c>
      <c r="F1614" s="451">
        <v>46040</v>
      </c>
      <c r="G1614" t="s">
        <v>279</v>
      </c>
      <c r="H1614" t="s">
        <v>284</v>
      </c>
      <c r="I1614" t="s">
        <v>1272</v>
      </c>
      <c r="J1614">
        <v>-210.34</v>
      </c>
      <c r="K1614">
        <v>-210.34</v>
      </c>
      <c r="O1614" t="s">
        <v>787</v>
      </c>
      <c r="P1614" t="s">
        <v>894</v>
      </c>
      <c r="Q1614" t="s">
        <v>459</v>
      </c>
      <c r="R1614">
        <v>0</v>
      </c>
    </row>
    <row r="1615" spans="1:18" x14ac:dyDescent="0.3">
      <c r="A1615">
        <v>195942</v>
      </c>
      <c r="B1615" t="s">
        <v>557</v>
      </c>
      <c r="C1615" t="s">
        <v>964</v>
      </c>
      <c r="E1615" s="451">
        <v>46038</v>
      </c>
      <c r="F1615" s="451">
        <v>46038</v>
      </c>
      <c r="G1615" t="s">
        <v>874</v>
      </c>
      <c r="H1615" t="s">
        <v>875</v>
      </c>
      <c r="J1615">
        <v>-9.5</v>
      </c>
      <c r="K1615">
        <v>-9.5</v>
      </c>
      <c r="O1615" t="s">
        <v>787</v>
      </c>
      <c r="P1615" t="s">
        <v>894</v>
      </c>
      <c r="Q1615" t="s">
        <v>459</v>
      </c>
      <c r="R1615">
        <v>0</v>
      </c>
    </row>
    <row r="1616" spans="1:18" x14ac:dyDescent="0.3">
      <c r="A1616">
        <v>207387</v>
      </c>
      <c r="B1616" t="s">
        <v>557</v>
      </c>
      <c r="C1616" t="s">
        <v>1237</v>
      </c>
      <c r="E1616" s="451">
        <v>46038</v>
      </c>
      <c r="F1616" s="451">
        <v>46039</v>
      </c>
      <c r="G1616" t="s">
        <v>279</v>
      </c>
      <c r="H1616" t="s">
        <v>284</v>
      </c>
      <c r="I1616" t="s">
        <v>1272</v>
      </c>
      <c r="J1616">
        <v>-71.010000000000005</v>
      </c>
      <c r="K1616">
        <v>-71.010000000000005</v>
      </c>
      <c r="O1616" t="s">
        <v>787</v>
      </c>
      <c r="P1616" t="s">
        <v>894</v>
      </c>
      <c r="Q1616" t="s">
        <v>459</v>
      </c>
      <c r="R1616">
        <v>0</v>
      </c>
    </row>
    <row r="1617" spans="1:18" x14ac:dyDescent="0.3">
      <c r="A1617">
        <v>194084</v>
      </c>
      <c r="B1617" t="s">
        <v>557</v>
      </c>
      <c r="C1617" t="s">
        <v>2178</v>
      </c>
      <c r="E1617" s="451">
        <v>46037</v>
      </c>
      <c r="F1617" s="451">
        <v>46042</v>
      </c>
      <c r="G1617" t="s">
        <v>574</v>
      </c>
      <c r="H1617" t="s">
        <v>575</v>
      </c>
      <c r="J1617">
        <v>-841.44</v>
      </c>
      <c r="K1617">
        <v>-841.44</v>
      </c>
      <c r="O1617" t="s">
        <v>787</v>
      </c>
      <c r="P1617" t="s">
        <v>894</v>
      </c>
      <c r="Q1617" t="s">
        <v>459</v>
      </c>
      <c r="R1617">
        <v>0</v>
      </c>
    </row>
    <row r="1618" spans="1:18" x14ac:dyDescent="0.3">
      <c r="A1618">
        <v>207386</v>
      </c>
      <c r="B1618" t="s">
        <v>557</v>
      </c>
      <c r="C1618" t="s">
        <v>1237</v>
      </c>
      <c r="E1618" s="451">
        <v>46037</v>
      </c>
      <c r="F1618" s="451">
        <v>46038</v>
      </c>
      <c r="G1618" t="s">
        <v>279</v>
      </c>
      <c r="H1618" t="s">
        <v>284</v>
      </c>
      <c r="I1618" t="s">
        <v>1272</v>
      </c>
      <c r="J1618">
        <v>-107.17</v>
      </c>
      <c r="K1618">
        <v>-107.17</v>
      </c>
      <c r="O1618" t="s">
        <v>787</v>
      </c>
      <c r="P1618" t="s">
        <v>894</v>
      </c>
      <c r="Q1618" t="s">
        <v>459</v>
      </c>
      <c r="R1618">
        <v>0</v>
      </c>
    </row>
    <row r="1619" spans="1:18" x14ac:dyDescent="0.3">
      <c r="A1619">
        <v>194093</v>
      </c>
      <c r="B1619" t="s">
        <v>557</v>
      </c>
      <c r="C1619" t="s">
        <v>970</v>
      </c>
      <c r="E1619" s="451">
        <v>46037</v>
      </c>
      <c r="F1619" s="451">
        <v>46042</v>
      </c>
      <c r="G1619" t="s">
        <v>574</v>
      </c>
      <c r="H1619" t="s">
        <v>575</v>
      </c>
      <c r="J1619">
        <v>-498.01</v>
      </c>
      <c r="K1619">
        <v>-498.01</v>
      </c>
      <c r="O1619" t="s">
        <v>787</v>
      </c>
      <c r="P1619" t="s">
        <v>894</v>
      </c>
      <c r="Q1619" t="s">
        <v>459</v>
      </c>
      <c r="R1619">
        <v>0</v>
      </c>
    </row>
    <row r="1620" spans="1:18" x14ac:dyDescent="0.3">
      <c r="A1620">
        <v>194085</v>
      </c>
      <c r="B1620" t="s">
        <v>557</v>
      </c>
      <c r="C1620" t="s">
        <v>1113</v>
      </c>
      <c r="E1620" s="451">
        <v>46037</v>
      </c>
      <c r="F1620" s="451">
        <v>46042</v>
      </c>
      <c r="G1620" t="s">
        <v>574</v>
      </c>
      <c r="H1620" t="s">
        <v>575</v>
      </c>
      <c r="J1620">
        <v>-967.66</v>
      </c>
      <c r="K1620">
        <v>-967.66</v>
      </c>
      <c r="O1620" t="s">
        <v>787</v>
      </c>
      <c r="P1620" t="s">
        <v>894</v>
      </c>
      <c r="Q1620" t="s">
        <v>459</v>
      </c>
      <c r="R1620">
        <v>0</v>
      </c>
    </row>
    <row r="1621" spans="1:18" x14ac:dyDescent="0.3">
      <c r="A1621">
        <v>194086</v>
      </c>
      <c r="B1621" t="s">
        <v>557</v>
      </c>
      <c r="C1621" t="s">
        <v>2179</v>
      </c>
      <c r="E1621" s="451">
        <v>46037</v>
      </c>
      <c r="F1621" s="451">
        <v>46042</v>
      </c>
      <c r="G1621" t="s">
        <v>574</v>
      </c>
      <c r="H1621" t="s">
        <v>575</v>
      </c>
      <c r="J1621">
        <v>-498</v>
      </c>
      <c r="K1621">
        <v>-498</v>
      </c>
      <c r="O1621" t="s">
        <v>787</v>
      </c>
      <c r="P1621" t="s">
        <v>894</v>
      </c>
      <c r="Q1621" t="s">
        <v>459</v>
      </c>
      <c r="R1621">
        <v>0</v>
      </c>
    </row>
    <row r="1622" spans="1:18" x14ac:dyDescent="0.3">
      <c r="A1622">
        <v>194088</v>
      </c>
      <c r="B1622" t="s">
        <v>557</v>
      </c>
      <c r="C1622" t="s">
        <v>1381</v>
      </c>
      <c r="E1622" s="451">
        <v>46037</v>
      </c>
      <c r="F1622" s="451">
        <v>46042</v>
      </c>
      <c r="G1622" t="s">
        <v>574</v>
      </c>
      <c r="H1622" t="s">
        <v>575</v>
      </c>
      <c r="J1622">
        <v>-775.62</v>
      </c>
      <c r="K1622">
        <v>-775.62</v>
      </c>
      <c r="O1622" t="s">
        <v>787</v>
      </c>
      <c r="P1622" t="s">
        <v>894</v>
      </c>
      <c r="Q1622" t="s">
        <v>459</v>
      </c>
      <c r="R1622">
        <v>0</v>
      </c>
    </row>
    <row r="1623" spans="1:18" x14ac:dyDescent="0.3">
      <c r="A1623">
        <v>194096</v>
      </c>
      <c r="B1623" t="s">
        <v>557</v>
      </c>
      <c r="C1623" t="s">
        <v>1106</v>
      </c>
      <c r="E1623" s="451">
        <v>46037</v>
      </c>
      <c r="F1623" s="451">
        <v>46042</v>
      </c>
      <c r="G1623" t="s">
        <v>574</v>
      </c>
      <c r="H1623" t="s">
        <v>575</v>
      </c>
      <c r="J1623">
        <v>-620.92999999999995</v>
      </c>
      <c r="K1623">
        <v>-620.92999999999995</v>
      </c>
      <c r="O1623" t="s">
        <v>787</v>
      </c>
      <c r="P1623" t="s">
        <v>894</v>
      </c>
      <c r="Q1623" t="s">
        <v>459</v>
      </c>
      <c r="R1623">
        <v>0</v>
      </c>
    </row>
    <row r="1624" spans="1:18" x14ac:dyDescent="0.3">
      <c r="A1624">
        <v>195035</v>
      </c>
      <c r="B1624" t="s">
        <v>557</v>
      </c>
      <c r="C1624" t="s">
        <v>964</v>
      </c>
      <c r="E1624" s="451">
        <v>46037</v>
      </c>
      <c r="F1624" s="451">
        <v>46037</v>
      </c>
      <c r="G1624" t="s">
        <v>874</v>
      </c>
      <c r="H1624" t="s">
        <v>875</v>
      </c>
      <c r="J1624">
        <v>-50</v>
      </c>
      <c r="K1624">
        <v>-50</v>
      </c>
      <c r="O1624" t="s">
        <v>787</v>
      </c>
      <c r="P1624" t="s">
        <v>894</v>
      </c>
      <c r="Q1624" t="s">
        <v>459</v>
      </c>
      <c r="R1624">
        <v>0</v>
      </c>
    </row>
    <row r="1625" spans="1:18" x14ac:dyDescent="0.3">
      <c r="A1625">
        <v>194095</v>
      </c>
      <c r="B1625" t="s">
        <v>557</v>
      </c>
      <c r="C1625" t="s">
        <v>968</v>
      </c>
      <c r="E1625" s="451">
        <v>46037</v>
      </c>
      <c r="F1625" s="451">
        <v>46042</v>
      </c>
      <c r="G1625" t="s">
        <v>574</v>
      </c>
      <c r="H1625" t="s">
        <v>575</v>
      </c>
      <c r="J1625">
        <v>-619.21</v>
      </c>
      <c r="K1625">
        <v>-619.21</v>
      </c>
      <c r="O1625" t="s">
        <v>787</v>
      </c>
      <c r="P1625" t="s">
        <v>894</v>
      </c>
      <c r="Q1625" t="s">
        <v>459</v>
      </c>
      <c r="R1625">
        <v>0</v>
      </c>
    </row>
    <row r="1626" spans="1:18" x14ac:dyDescent="0.3">
      <c r="A1626">
        <v>194087</v>
      </c>
      <c r="B1626" t="s">
        <v>557</v>
      </c>
      <c r="C1626" t="s">
        <v>1105</v>
      </c>
      <c r="E1626" s="451">
        <v>46037</v>
      </c>
      <c r="F1626" s="451">
        <v>46042</v>
      </c>
      <c r="G1626" t="s">
        <v>574</v>
      </c>
      <c r="H1626" t="s">
        <v>575</v>
      </c>
      <c r="J1626">
        <v>-631.9</v>
      </c>
      <c r="K1626">
        <v>-631.9</v>
      </c>
      <c r="O1626" t="s">
        <v>787</v>
      </c>
      <c r="P1626" t="s">
        <v>894</v>
      </c>
      <c r="Q1626" t="s">
        <v>459</v>
      </c>
      <c r="R1626">
        <v>0</v>
      </c>
    </row>
    <row r="1627" spans="1:18" x14ac:dyDescent="0.3">
      <c r="A1627">
        <v>194091</v>
      </c>
      <c r="B1627" t="s">
        <v>557</v>
      </c>
      <c r="C1627" t="s">
        <v>1110</v>
      </c>
      <c r="E1627" s="451">
        <v>46037</v>
      </c>
      <c r="F1627" s="451">
        <v>46042</v>
      </c>
      <c r="G1627" t="s">
        <v>574</v>
      </c>
      <c r="H1627" t="s">
        <v>575</v>
      </c>
      <c r="J1627">
        <v>-782.09</v>
      </c>
      <c r="K1627">
        <v>-782.09</v>
      </c>
      <c r="O1627" t="s">
        <v>787</v>
      </c>
      <c r="P1627" t="s">
        <v>894</v>
      </c>
      <c r="Q1627" t="s">
        <v>459</v>
      </c>
      <c r="R1627">
        <v>0</v>
      </c>
    </row>
    <row r="1628" spans="1:18" x14ac:dyDescent="0.3">
      <c r="A1628">
        <v>194094</v>
      </c>
      <c r="B1628" t="s">
        <v>557</v>
      </c>
      <c r="C1628" t="s">
        <v>1492</v>
      </c>
      <c r="E1628" s="451">
        <v>46037</v>
      </c>
      <c r="F1628" s="451">
        <v>46042</v>
      </c>
      <c r="G1628" t="s">
        <v>574</v>
      </c>
      <c r="H1628" t="s">
        <v>575</v>
      </c>
      <c r="J1628">
        <v>-841.44</v>
      </c>
      <c r="K1628">
        <v>-841.44</v>
      </c>
      <c r="O1628" t="s">
        <v>787</v>
      </c>
      <c r="P1628" t="s">
        <v>894</v>
      </c>
      <c r="Q1628" t="s">
        <v>459</v>
      </c>
      <c r="R1628">
        <v>0</v>
      </c>
    </row>
    <row r="1629" spans="1:18" x14ac:dyDescent="0.3">
      <c r="A1629">
        <v>192149</v>
      </c>
      <c r="B1629" t="s">
        <v>557</v>
      </c>
      <c r="C1629" t="s">
        <v>858</v>
      </c>
      <c r="D1629" t="s">
        <v>2180</v>
      </c>
      <c r="E1629" s="451">
        <v>46037</v>
      </c>
      <c r="F1629" s="451">
        <v>46066</v>
      </c>
      <c r="G1629" t="s">
        <v>279</v>
      </c>
      <c r="H1629" t="s">
        <v>285</v>
      </c>
      <c r="I1629" t="s">
        <v>2181</v>
      </c>
      <c r="J1629">
        <v>-389</v>
      </c>
      <c r="K1629">
        <v>-389</v>
      </c>
      <c r="O1629" t="s">
        <v>787</v>
      </c>
      <c r="P1629" t="s">
        <v>894</v>
      </c>
      <c r="Q1629" t="s">
        <v>459</v>
      </c>
      <c r="R1629">
        <v>0</v>
      </c>
    </row>
    <row r="1630" spans="1:18" x14ac:dyDescent="0.3">
      <c r="A1630">
        <v>194092</v>
      </c>
      <c r="B1630" t="s">
        <v>557</v>
      </c>
      <c r="C1630" t="s">
        <v>2182</v>
      </c>
      <c r="E1630" s="451">
        <v>46037</v>
      </c>
      <c r="F1630" s="451">
        <v>46042</v>
      </c>
      <c r="G1630" t="s">
        <v>574</v>
      </c>
      <c r="H1630" t="s">
        <v>575</v>
      </c>
      <c r="J1630">
        <v>-714.98</v>
      </c>
      <c r="K1630">
        <v>-714.98</v>
      </c>
      <c r="O1630" t="s">
        <v>787</v>
      </c>
      <c r="P1630" t="s">
        <v>894</v>
      </c>
      <c r="Q1630" t="s">
        <v>459</v>
      </c>
      <c r="R1630">
        <v>0</v>
      </c>
    </row>
    <row r="1631" spans="1:18" x14ac:dyDescent="0.3">
      <c r="A1631">
        <v>194089</v>
      </c>
      <c r="B1631" t="s">
        <v>557</v>
      </c>
      <c r="C1631" t="s">
        <v>1114</v>
      </c>
      <c r="E1631" s="451">
        <v>46037</v>
      </c>
      <c r="F1631" s="451">
        <v>46042</v>
      </c>
      <c r="G1631" t="s">
        <v>574</v>
      </c>
      <c r="H1631" t="s">
        <v>575</v>
      </c>
      <c r="J1631">
        <v>-542.94000000000005</v>
      </c>
      <c r="K1631">
        <v>-542.94000000000005</v>
      </c>
      <c r="O1631" t="s">
        <v>787</v>
      </c>
      <c r="P1631" t="s">
        <v>894</v>
      </c>
      <c r="Q1631" t="s">
        <v>459</v>
      </c>
      <c r="R1631">
        <v>0</v>
      </c>
    </row>
    <row r="1632" spans="1:18" x14ac:dyDescent="0.3">
      <c r="A1632">
        <v>194083</v>
      </c>
      <c r="B1632" t="s">
        <v>557</v>
      </c>
      <c r="C1632" t="s">
        <v>1104</v>
      </c>
      <c r="E1632" s="451">
        <v>46037</v>
      </c>
      <c r="F1632" s="451">
        <v>46042</v>
      </c>
      <c r="G1632" t="s">
        <v>574</v>
      </c>
      <c r="H1632" t="s">
        <v>575</v>
      </c>
      <c r="J1632">
        <v>-498</v>
      </c>
      <c r="K1632">
        <v>-498</v>
      </c>
      <c r="O1632" t="s">
        <v>787</v>
      </c>
      <c r="P1632" t="s">
        <v>894</v>
      </c>
      <c r="Q1632" t="s">
        <v>459</v>
      </c>
      <c r="R1632">
        <v>0</v>
      </c>
    </row>
    <row r="1633" spans="1:18" x14ac:dyDescent="0.3">
      <c r="A1633">
        <v>191797</v>
      </c>
      <c r="B1633" t="s">
        <v>557</v>
      </c>
      <c r="C1633" t="s">
        <v>856</v>
      </c>
      <c r="D1633" t="s">
        <v>2183</v>
      </c>
      <c r="E1633" s="451">
        <v>46037</v>
      </c>
      <c r="F1633" s="451">
        <v>46068</v>
      </c>
      <c r="G1633" t="s">
        <v>264</v>
      </c>
      <c r="H1633" t="s">
        <v>265</v>
      </c>
      <c r="I1633" t="s">
        <v>2184</v>
      </c>
      <c r="J1633">
        <v>-530.48</v>
      </c>
      <c r="K1633">
        <v>-530.48</v>
      </c>
      <c r="O1633" t="s">
        <v>787</v>
      </c>
      <c r="P1633" t="s">
        <v>894</v>
      </c>
      <c r="Q1633" t="s">
        <v>459</v>
      </c>
      <c r="R1633">
        <v>0</v>
      </c>
    </row>
    <row r="1634" spans="1:18" x14ac:dyDescent="0.3">
      <c r="A1634">
        <v>191785</v>
      </c>
      <c r="B1634" t="s">
        <v>557</v>
      </c>
      <c r="C1634" t="s">
        <v>856</v>
      </c>
      <c r="D1634" t="s">
        <v>2185</v>
      </c>
      <c r="E1634" s="451">
        <v>46037</v>
      </c>
      <c r="F1634" s="451">
        <v>46068</v>
      </c>
      <c r="G1634" t="s">
        <v>264</v>
      </c>
      <c r="H1634" t="s">
        <v>265</v>
      </c>
      <c r="I1634" t="s">
        <v>2186</v>
      </c>
      <c r="J1634">
        <v>-3525.18</v>
      </c>
      <c r="K1634">
        <v>-3525.18</v>
      </c>
      <c r="O1634" t="s">
        <v>787</v>
      </c>
      <c r="P1634" t="s">
        <v>894</v>
      </c>
      <c r="Q1634" t="s">
        <v>459</v>
      </c>
      <c r="R1634">
        <v>0</v>
      </c>
    </row>
    <row r="1635" spans="1:18" x14ac:dyDescent="0.3">
      <c r="A1635">
        <v>194090</v>
      </c>
      <c r="B1635" t="s">
        <v>557</v>
      </c>
      <c r="C1635" t="s">
        <v>1116</v>
      </c>
      <c r="E1635" s="451">
        <v>46037</v>
      </c>
      <c r="F1635" s="451">
        <v>46042</v>
      </c>
      <c r="G1635" t="s">
        <v>574</v>
      </c>
      <c r="H1635" t="s">
        <v>575</v>
      </c>
      <c r="J1635">
        <v>-944.02</v>
      </c>
      <c r="K1635">
        <v>-944.02</v>
      </c>
      <c r="O1635" t="s">
        <v>787</v>
      </c>
      <c r="P1635" t="s">
        <v>894</v>
      </c>
      <c r="Q1635" t="s">
        <v>459</v>
      </c>
      <c r="R1635">
        <v>0</v>
      </c>
    </row>
    <row r="1636" spans="1:18" x14ac:dyDescent="0.3">
      <c r="A1636">
        <v>207385</v>
      </c>
      <c r="B1636" t="s">
        <v>557</v>
      </c>
      <c r="C1636" t="s">
        <v>1237</v>
      </c>
      <c r="E1636" s="451">
        <v>46036</v>
      </c>
      <c r="F1636" s="451">
        <v>46037</v>
      </c>
      <c r="G1636" t="s">
        <v>279</v>
      </c>
      <c r="H1636" t="s">
        <v>284</v>
      </c>
      <c r="I1636" t="s">
        <v>1272</v>
      </c>
      <c r="J1636">
        <v>-38.51</v>
      </c>
      <c r="K1636">
        <v>-38.51</v>
      </c>
      <c r="O1636" t="s">
        <v>787</v>
      </c>
      <c r="P1636" t="s">
        <v>894</v>
      </c>
      <c r="Q1636" t="s">
        <v>459</v>
      </c>
      <c r="R1636">
        <v>0</v>
      </c>
    </row>
    <row r="1637" spans="1:18" x14ac:dyDescent="0.3">
      <c r="A1637">
        <v>193174</v>
      </c>
      <c r="B1637" t="s">
        <v>557</v>
      </c>
      <c r="C1637" t="s">
        <v>1280</v>
      </c>
      <c r="D1637" t="s">
        <v>2187</v>
      </c>
      <c r="E1637" s="451">
        <v>46036</v>
      </c>
      <c r="F1637" s="451">
        <v>46048</v>
      </c>
      <c r="G1637" t="s">
        <v>962</v>
      </c>
      <c r="H1637" t="s">
        <v>350</v>
      </c>
      <c r="I1637" t="s">
        <v>2188</v>
      </c>
      <c r="J1637">
        <v>-240</v>
      </c>
      <c r="K1637">
        <v>-198.8</v>
      </c>
      <c r="O1637" t="s">
        <v>787</v>
      </c>
      <c r="P1637" t="s">
        <v>894</v>
      </c>
      <c r="Q1637" t="s">
        <v>459</v>
      </c>
      <c r="R1637">
        <v>0</v>
      </c>
    </row>
    <row r="1638" spans="1:18" x14ac:dyDescent="0.3">
      <c r="A1638">
        <v>192292</v>
      </c>
      <c r="B1638" t="s">
        <v>557</v>
      </c>
      <c r="C1638" t="s">
        <v>2189</v>
      </c>
      <c r="D1638" t="s">
        <v>961</v>
      </c>
      <c r="E1638" s="451">
        <v>46036</v>
      </c>
      <c r="F1638" s="451">
        <v>46051</v>
      </c>
      <c r="G1638" t="s">
        <v>582</v>
      </c>
      <c r="H1638" t="s">
        <v>294</v>
      </c>
      <c r="I1638" t="s">
        <v>2190</v>
      </c>
      <c r="J1638">
        <v>-21.7</v>
      </c>
      <c r="K1638">
        <v>-21.7</v>
      </c>
      <c r="O1638" t="s">
        <v>787</v>
      </c>
      <c r="P1638" t="s">
        <v>894</v>
      </c>
      <c r="Q1638" t="s">
        <v>459</v>
      </c>
      <c r="R1638">
        <v>0</v>
      </c>
    </row>
    <row r="1639" spans="1:18" x14ac:dyDescent="0.3">
      <c r="A1639">
        <v>207384</v>
      </c>
      <c r="B1639" t="s">
        <v>557</v>
      </c>
      <c r="C1639" t="s">
        <v>1237</v>
      </c>
      <c r="E1639" s="451">
        <v>46035</v>
      </c>
      <c r="F1639" s="451">
        <v>46036</v>
      </c>
      <c r="G1639" t="s">
        <v>279</v>
      </c>
      <c r="H1639" t="s">
        <v>284</v>
      </c>
      <c r="I1639" t="s">
        <v>1272</v>
      </c>
      <c r="J1639">
        <v>-46.44</v>
      </c>
      <c r="K1639">
        <v>-46.44</v>
      </c>
      <c r="O1639" t="s">
        <v>787</v>
      </c>
      <c r="P1639" t="s">
        <v>894</v>
      </c>
      <c r="Q1639" t="s">
        <v>459</v>
      </c>
      <c r="R1639">
        <v>0</v>
      </c>
    </row>
    <row r="1640" spans="1:18" x14ac:dyDescent="0.3">
      <c r="A1640">
        <v>207383</v>
      </c>
      <c r="B1640" t="s">
        <v>557</v>
      </c>
      <c r="C1640" t="s">
        <v>1237</v>
      </c>
      <c r="E1640" s="451">
        <v>46034</v>
      </c>
      <c r="F1640" s="451">
        <v>46035</v>
      </c>
      <c r="G1640" t="s">
        <v>279</v>
      </c>
      <c r="H1640" t="s">
        <v>284</v>
      </c>
      <c r="I1640" t="s">
        <v>1272</v>
      </c>
      <c r="J1640">
        <v>-25.36</v>
      </c>
      <c r="K1640">
        <v>-25.36</v>
      </c>
      <c r="O1640" t="s">
        <v>787</v>
      </c>
      <c r="P1640" t="s">
        <v>894</v>
      </c>
      <c r="Q1640" t="s">
        <v>459</v>
      </c>
      <c r="R1640">
        <v>0</v>
      </c>
    </row>
    <row r="1641" spans="1:18" x14ac:dyDescent="0.3">
      <c r="A1641">
        <v>192735</v>
      </c>
      <c r="B1641" t="s">
        <v>557</v>
      </c>
      <c r="C1641" t="s">
        <v>952</v>
      </c>
      <c r="D1641" t="s">
        <v>2191</v>
      </c>
      <c r="E1641" s="451">
        <v>46034</v>
      </c>
      <c r="F1641" s="451">
        <v>46055</v>
      </c>
      <c r="G1641" t="s">
        <v>569</v>
      </c>
      <c r="H1641" t="s">
        <v>58</v>
      </c>
      <c r="I1641" t="s">
        <v>2192</v>
      </c>
      <c r="J1641">
        <v>-700</v>
      </c>
      <c r="K1641">
        <v>-700</v>
      </c>
      <c r="O1641" t="s">
        <v>787</v>
      </c>
      <c r="P1641" t="s">
        <v>894</v>
      </c>
      <c r="Q1641" t="s">
        <v>459</v>
      </c>
      <c r="R1641">
        <v>0</v>
      </c>
    </row>
    <row r="1642" spans="1:18" x14ac:dyDescent="0.3">
      <c r="A1642">
        <v>192794</v>
      </c>
      <c r="B1642" t="s">
        <v>557</v>
      </c>
      <c r="C1642" t="s">
        <v>943</v>
      </c>
      <c r="D1642" t="s">
        <v>2193</v>
      </c>
      <c r="E1642" s="451">
        <v>46034</v>
      </c>
      <c r="F1642" s="451">
        <v>46044</v>
      </c>
      <c r="G1642" t="s">
        <v>576</v>
      </c>
      <c r="H1642" t="s">
        <v>203</v>
      </c>
      <c r="I1642" t="s">
        <v>2194</v>
      </c>
      <c r="J1642">
        <v>-2233</v>
      </c>
      <c r="K1642">
        <v>-2233</v>
      </c>
      <c r="O1642" t="s">
        <v>787</v>
      </c>
      <c r="P1642" t="s">
        <v>894</v>
      </c>
      <c r="Q1642" t="s">
        <v>459</v>
      </c>
      <c r="R1642">
        <v>0</v>
      </c>
    </row>
    <row r="1643" spans="1:18" x14ac:dyDescent="0.3">
      <c r="A1643">
        <v>207382</v>
      </c>
      <c r="B1643" t="s">
        <v>557</v>
      </c>
      <c r="C1643" t="s">
        <v>1237</v>
      </c>
      <c r="E1643" s="451">
        <v>46033</v>
      </c>
      <c r="F1643" s="451">
        <v>46034</v>
      </c>
      <c r="G1643" t="s">
        <v>279</v>
      </c>
      <c r="H1643" t="s">
        <v>284</v>
      </c>
      <c r="I1643" t="s">
        <v>1272</v>
      </c>
      <c r="J1643">
        <v>-110.94</v>
      </c>
      <c r="K1643">
        <v>-110.94</v>
      </c>
      <c r="O1643" t="s">
        <v>787</v>
      </c>
      <c r="P1643" t="s">
        <v>894</v>
      </c>
      <c r="Q1643" t="s">
        <v>459</v>
      </c>
      <c r="R1643">
        <v>0</v>
      </c>
    </row>
    <row r="1644" spans="1:18" x14ac:dyDescent="0.3">
      <c r="A1644">
        <v>191990</v>
      </c>
      <c r="B1644" t="s">
        <v>557</v>
      </c>
      <c r="C1644" t="s">
        <v>861</v>
      </c>
      <c r="D1644" t="s">
        <v>2195</v>
      </c>
      <c r="E1644" s="451">
        <v>46033</v>
      </c>
      <c r="F1644" s="451">
        <v>46063</v>
      </c>
      <c r="G1644" t="s">
        <v>256</v>
      </c>
      <c r="H1644" t="s">
        <v>257</v>
      </c>
      <c r="I1644" t="s">
        <v>2196</v>
      </c>
      <c r="J1644">
        <v>-22701.55</v>
      </c>
      <c r="K1644">
        <v>-18701.55</v>
      </c>
      <c r="O1644" t="s">
        <v>787</v>
      </c>
      <c r="P1644" t="s">
        <v>894</v>
      </c>
      <c r="Q1644" t="s">
        <v>459</v>
      </c>
      <c r="R1644">
        <v>0</v>
      </c>
    </row>
    <row r="1645" spans="1:18" x14ac:dyDescent="0.3">
      <c r="A1645">
        <v>207381</v>
      </c>
      <c r="B1645" t="s">
        <v>557</v>
      </c>
      <c r="C1645" t="s">
        <v>1237</v>
      </c>
      <c r="E1645" s="451">
        <v>46032</v>
      </c>
      <c r="F1645" s="451">
        <v>46033</v>
      </c>
      <c r="G1645" t="s">
        <v>279</v>
      </c>
      <c r="H1645" t="s">
        <v>284</v>
      </c>
      <c r="I1645" t="s">
        <v>1272</v>
      </c>
      <c r="J1645">
        <v>-189.86</v>
      </c>
      <c r="K1645">
        <v>-189.86</v>
      </c>
      <c r="O1645" t="s">
        <v>787</v>
      </c>
      <c r="P1645" t="s">
        <v>894</v>
      </c>
      <c r="Q1645" t="s">
        <v>459</v>
      </c>
      <c r="R1645">
        <v>0</v>
      </c>
    </row>
    <row r="1646" spans="1:18" x14ac:dyDescent="0.3">
      <c r="A1646">
        <v>192003</v>
      </c>
      <c r="B1646" t="s">
        <v>557</v>
      </c>
      <c r="C1646" t="s">
        <v>863</v>
      </c>
      <c r="D1646" t="s">
        <v>2195</v>
      </c>
      <c r="E1646" s="451">
        <v>46032</v>
      </c>
      <c r="F1646" s="451">
        <v>46052</v>
      </c>
      <c r="G1646" t="s">
        <v>256</v>
      </c>
      <c r="H1646" t="s">
        <v>257</v>
      </c>
      <c r="I1646" t="s">
        <v>2197</v>
      </c>
      <c r="J1646">
        <v>-27694</v>
      </c>
      <c r="K1646">
        <v>-27694</v>
      </c>
      <c r="O1646" t="s">
        <v>787</v>
      </c>
      <c r="P1646" t="s">
        <v>894</v>
      </c>
      <c r="Q1646" t="s">
        <v>459</v>
      </c>
      <c r="R1646">
        <v>0</v>
      </c>
    </row>
    <row r="1647" spans="1:18" x14ac:dyDescent="0.3">
      <c r="A1647">
        <v>154373</v>
      </c>
      <c r="B1647" t="s">
        <v>557</v>
      </c>
      <c r="C1647" t="s">
        <v>2198</v>
      </c>
      <c r="D1647" t="s">
        <v>2199</v>
      </c>
      <c r="E1647" s="451">
        <v>46032</v>
      </c>
      <c r="F1647" s="451">
        <v>46032</v>
      </c>
      <c r="G1647" t="s">
        <v>256</v>
      </c>
      <c r="H1647" t="s">
        <v>261</v>
      </c>
      <c r="I1647" t="s">
        <v>2200</v>
      </c>
      <c r="J1647">
        <v>-281.35000000000002</v>
      </c>
      <c r="K1647">
        <v>0</v>
      </c>
      <c r="O1647" t="s">
        <v>787</v>
      </c>
      <c r="P1647" t="s">
        <v>894</v>
      </c>
      <c r="Q1647" t="s">
        <v>459</v>
      </c>
      <c r="R1647">
        <v>0</v>
      </c>
    </row>
    <row r="1648" spans="1:18" x14ac:dyDescent="0.3">
      <c r="A1648">
        <v>207380</v>
      </c>
      <c r="B1648" t="s">
        <v>557</v>
      </c>
      <c r="C1648" t="s">
        <v>1237</v>
      </c>
      <c r="E1648" s="451">
        <v>46031</v>
      </c>
      <c r="F1648" s="451">
        <v>46032</v>
      </c>
      <c r="G1648" t="s">
        <v>279</v>
      </c>
      <c r="H1648" t="s">
        <v>284</v>
      </c>
      <c r="I1648" t="s">
        <v>1272</v>
      </c>
      <c r="J1648">
        <v>-93.32</v>
      </c>
      <c r="K1648">
        <v>-93.32</v>
      </c>
      <c r="O1648" t="s">
        <v>787</v>
      </c>
      <c r="P1648" t="s">
        <v>894</v>
      </c>
      <c r="Q1648" t="s">
        <v>459</v>
      </c>
      <c r="R1648">
        <v>0</v>
      </c>
    </row>
    <row r="1649" spans="1:18" x14ac:dyDescent="0.3">
      <c r="A1649">
        <v>192619</v>
      </c>
      <c r="B1649" t="s">
        <v>557</v>
      </c>
      <c r="C1649" t="s">
        <v>1128</v>
      </c>
      <c r="D1649" t="s">
        <v>2201</v>
      </c>
      <c r="E1649" s="451">
        <v>46030</v>
      </c>
      <c r="F1649" s="451">
        <v>46048</v>
      </c>
      <c r="G1649" t="s">
        <v>569</v>
      </c>
      <c r="H1649" t="s">
        <v>66</v>
      </c>
      <c r="I1649" t="s">
        <v>2202</v>
      </c>
      <c r="J1649">
        <v>-167</v>
      </c>
      <c r="K1649">
        <v>-167</v>
      </c>
      <c r="O1649" t="s">
        <v>787</v>
      </c>
      <c r="P1649" t="s">
        <v>894</v>
      </c>
      <c r="Q1649" t="s">
        <v>459</v>
      </c>
      <c r="R1649">
        <v>0</v>
      </c>
    </row>
    <row r="1650" spans="1:18" x14ac:dyDescent="0.3">
      <c r="A1650">
        <v>207379</v>
      </c>
      <c r="B1650" t="s">
        <v>557</v>
      </c>
      <c r="C1650" t="s">
        <v>1237</v>
      </c>
      <c r="E1650" s="451">
        <v>46030</v>
      </c>
      <c r="F1650" s="451">
        <v>46031</v>
      </c>
      <c r="G1650" t="s">
        <v>279</v>
      </c>
      <c r="H1650" t="s">
        <v>284</v>
      </c>
      <c r="I1650" t="s">
        <v>1272</v>
      </c>
      <c r="J1650">
        <v>-44.02</v>
      </c>
      <c r="K1650">
        <v>-44.02</v>
      </c>
      <c r="O1650" t="s">
        <v>787</v>
      </c>
      <c r="P1650" t="s">
        <v>894</v>
      </c>
      <c r="Q1650" t="s">
        <v>459</v>
      </c>
      <c r="R1650">
        <v>0</v>
      </c>
    </row>
    <row r="1651" spans="1:18" x14ac:dyDescent="0.3">
      <c r="A1651">
        <v>193608</v>
      </c>
      <c r="B1651" t="s">
        <v>557</v>
      </c>
      <c r="C1651" t="s">
        <v>964</v>
      </c>
      <c r="E1651" s="451">
        <v>46030</v>
      </c>
      <c r="F1651" s="451">
        <v>46030</v>
      </c>
      <c r="G1651" t="s">
        <v>874</v>
      </c>
      <c r="H1651" t="s">
        <v>875</v>
      </c>
      <c r="J1651">
        <v>-60</v>
      </c>
      <c r="K1651">
        <v>-60</v>
      </c>
      <c r="O1651" t="s">
        <v>787</v>
      </c>
      <c r="P1651" t="s">
        <v>894</v>
      </c>
      <c r="Q1651" t="s">
        <v>459</v>
      </c>
      <c r="R1651">
        <v>0</v>
      </c>
    </row>
    <row r="1652" spans="1:18" x14ac:dyDescent="0.3">
      <c r="A1652">
        <v>207378</v>
      </c>
      <c r="B1652" t="s">
        <v>557</v>
      </c>
      <c r="C1652" t="s">
        <v>1237</v>
      </c>
      <c r="E1652" s="451">
        <v>46029</v>
      </c>
      <c r="F1652" s="451">
        <v>46030</v>
      </c>
      <c r="G1652" t="s">
        <v>279</v>
      </c>
      <c r="H1652" t="s">
        <v>284</v>
      </c>
      <c r="I1652" t="s">
        <v>1272</v>
      </c>
      <c r="J1652">
        <v>-28.25</v>
      </c>
      <c r="K1652">
        <v>-28.25</v>
      </c>
      <c r="O1652" t="s">
        <v>787</v>
      </c>
      <c r="P1652" t="s">
        <v>894</v>
      </c>
      <c r="Q1652" t="s">
        <v>459</v>
      </c>
      <c r="R1652">
        <v>0</v>
      </c>
    </row>
    <row r="1653" spans="1:18" x14ac:dyDescent="0.3">
      <c r="A1653">
        <v>203120</v>
      </c>
      <c r="B1653" t="s">
        <v>557</v>
      </c>
      <c r="C1653" t="s">
        <v>964</v>
      </c>
      <c r="E1653" s="451">
        <v>46029</v>
      </c>
      <c r="F1653" s="451">
        <v>46029</v>
      </c>
      <c r="G1653" t="s">
        <v>874</v>
      </c>
      <c r="H1653" t="s">
        <v>875</v>
      </c>
      <c r="J1653">
        <v>-26.8</v>
      </c>
      <c r="K1653">
        <v>-26.8</v>
      </c>
      <c r="O1653" t="s">
        <v>787</v>
      </c>
      <c r="P1653" t="s">
        <v>894</v>
      </c>
      <c r="Q1653" t="s">
        <v>459</v>
      </c>
      <c r="R1653">
        <v>0</v>
      </c>
    </row>
    <row r="1654" spans="1:18" x14ac:dyDescent="0.3">
      <c r="A1654">
        <v>189367</v>
      </c>
      <c r="B1654" t="s">
        <v>557</v>
      </c>
      <c r="C1654" t="s">
        <v>964</v>
      </c>
      <c r="E1654" s="451">
        <v>46028</v>
      </c>
      <c r="F1654" s="451">
        <v>46028</v>
      </c>
      <c r="G1654" t="s">
        <v>874</v>
      </c>
      <c r="H1654" t="s">
        <v>875</v>
      </c>
      <c r="J1654">
        <v>-30</v>
      </c>
      <c r="K1654">
        <v>-30</v>
      </c>
      <c r="O1654" t="s">
        <v>787</v>
      </c>
      <c r="P1654" t="s">
        <v>894</v>
      </c>
      <c r="Q1654" t="s">
        <v>459</v>
      </c>
      <c r="R1654">
        <v>0</v>
      </c>
    </row>
    <row r="1655" spans="1:18" x14ac:dyDescent="0.3">
      <c r="A1655">
        <v>189716</v>
      </c>
      <c r="B1655" t="s">
        <v>557</v>
      </c>
      <c r="C1655" t="s">
        <v>1234</v>
      </c>
      <c r="D1655" t="s">
        <v>2203</v>
      </c>
      <c r="E1655" s="451">
        <v>46028</v>
      </c>
      <c r="F1655" s="451">
        <v>46038</v>
      </c>
      <c r="G1655" t="s">
        <v>564</v>
      </c>
      <c r="H1655" t="s">
        <v>565</v>
      </c>
      <c r="I1655" t="s">
        <v>2204</v>
      </c>
      <c r="J1655">
        <v>-1628</v>
      </c>
      <c r="K1655">
        <v>-1628</v>
      </c>
      <c r="O1655" t="s">
        <v>787</v>
      </c>
      <c r="P1655" t="s">
        <v>894</v>
      </c>
      <c r="Q1655" t="s">
        <v>459</v>
      </c>
      <c r="R1655">
        <v>0</v>
      </c>
    </row>
    <row r="1656" spans="1:18" x14ac:dyDescent="0.3">
      <c r="A1656">
        <v>189839</v>
      </c>
      <c r="B1656" t="s">
        <v>557</v>
      </c>
      <c r="C1656" t="s">
        <v>2205</v>
      </c>
      <c r="D1656" t="s">
        <v>2206</v>
      </c>
      <c r="E1656" s="451">
        <v>46028</v>
      </c>
      <c r="F1656" s="451">
        <v>46048</v>
      </c>
      <c r="G1656" t="s">
        <v>264</v>
      </c>
      <c r="H1656" t="s">
        <v>277</v>
      </c>
      <c r="I1656" t="s">
        <v>2207</v>
      </c>
      <c r="J1656">
        <v>-614</v>
      </c>
      <c r="K1656">
        <v>-614</v>
      </c>
      <c r="O1656" t="s">
        <v>787</v>
      </c>
      <c r="P1656" t="s">
        <v>894</v>
      </c>
      <c r="Q1656" t="s">
        <v>459</v>
      </c>
      <c r="R1656">
        <v>0</v>
      </c>
    </row>
    <row r="1657" spans="1:18" x14ac:dyDescent="0.3">
      <c r="A1657">
        <v>207377</v>
      </c>
      <c r="B1657" t="s">
        <v>557</v>
      </c>
      <c r="C1657" t="s">
        <v>1237</v>
      </c>
      <c r="E1657" s="451">
        <v>46028</v>
      </c>
      <c r="F1657" s="451">
        <v>46029</v>
      </c>
      <c r="G1657" t="s">
        <v>279</v>
      </c>
      <c r="H1657" t="s">
        <v>284</v>
      </c>
      <c r="I1657" t="s">
        <v>1272</v>
      </c>
      <c r="J1657">
        <v>-32.94</v>
      </c>
      <c r="K1657">
        <v>-32.94</v>
      </c>
      <c r="O1657" t="s">
        <v>787</v>
      </c>
      <c r="P1657" t="s">
        <v>894</v>
      </c>
      <c r="Q1657" t="s">
        <v>459</v>
      </c>
      <c r="R1657">
        <v>0</v>
      </c>
    </row>
    <row r="1658" spans="1:18" x14ac:dyDescent="0.3">
      <c r="A1658">
        <v>189169</v>
      </c>
      <c r="B1658" t="s">
        <v>557</v>
      </c>
      <c r="C1658" t="s">
        <v>1036</v>
      </c>
      <c r="E1658" s="451">
        <v>46027</v>
      </c>
      <c r="F1658" s="451">
        <v>46027</v>
      </c>
      <c r="G1658" t="s">
        <v>874</v>
      </c>
      <c r="H1658" t="s">
        <v>875</v>
      </c>
      <c r="J1658">
        <v>-177.05</v>
      </c>
      <c r="K1658">
        <v>-177.05</v>
      </c>
      <c r="O1658" t="s">
        <v>787</v>
      </c>
      <c r="P1658" t="s">
        <v>894</v>
      </c>
      <c r="Q1658" t="s">
        <v>459</v>
      </c>
      <c r="R1658">
        <v>0</v>
      </c>
    </row>
    <row r="1659" spans="1:18" x14ac:dyDescent="0.3">
      <c r="A1659">
        <v>207375</v>
      </c>
      <c r="B1659" t="s">
        <v>557</v>
      </c>
      <c r="C1659" t="s">
        <v>1237</v>
      </c>
      <c r="E1659" s="451">
        <v>46027</v>
      </c>
      <c r="F1659" s="451">
        <v>46028</v>
      </c>
      <c r="G1659" t="s">
        <v>279</v>
      </c>
      <c r="H1659" t="s">
        <v>284</v>
      </c>
      <c r="I1659" t="s">
        <v>1272</v>
      </c>
      <c r="J1659">
        <v>-24.36</v>
      </c>
      <c r="K1659">
        <v>-24.36</v>
      </c>
      <c r="O1659" t="s">
        <v>787</v>
      </c>
      <c r="P1659" t="s">
        <v>894</v>
      </c>
      <c r="Q1659" t="s">
        <v>459</v>
      </c>
      <c r="R1659">
        <v>0</v>
      </c>
    </row>
    <row r="1660" spans="1:18" x14ac:dyDescent="0.3">
      <c r="A1660">
        <v>207376</v>
      </c>
      <c r="B1660" t="s">
        <v>557</v>
      </c>
      <c r="C1660" t="s">
        <v>1237</v>
      </c>
      <c r="E1660" s="451">
        <v>46027</v>
      </c>
      <c r="F1660" s="451">
        <v>46028</v>
      </c>
      <c r="G1660" t="s">
        <v>279</v>
      </c>
      <c r="H1660" t="s">
        <v>284</v>
      </c>
      <c r="I1660" t="s">
        <v>1272</v>
      </c>
      <c r="J1660">
        <v>-0.14000000000000001</v>
      </c>
      <c r="K1660">
        <v>-0.14000000000000001</v>
      </c>
      <c r="O1660" t="s">
        <v>787</v>
      </c>
      <c r="P1660" t="s">
        <v>894</v>
      </c>
      <c r="Q1660" t="s">
        <v>459</v>
      </c>
      <c r="R1660">
        <v>0</v>
      </c>
    </row>
    <row r="1661" spans="1:18" x14ac:dyDescent="0.3">
      <c r="A1661">
        <v>207374</v>
      </c>
      <c r="B1661" t="s">
        <v>557</v>
      </c>
      <c r="C1661" t="s">
        <v>1237</v>
      </c>
      <c r="E1661" s="451">
        <v>46026</v>
      </c>
      <c r="F1661" s="451">
        <v>46027</v>
      </c>
      <c r="G1661" t="s">
        <v>279</v>
      </c>
      <c r="H1661" t="s">
        <v>284</v>
      </c>
      <c r="I1661" t="s">
        <v>1272</v>
      </c>
      <c r="J1661">
        <v>-91.94</v>
      </c>
      <c r="K1661">
        <v>-91.94</v>
      </c>
      <c r="O1661" t="s">
        <v>787</v>
      </c>
      <c r="P1661" t="s">
        <v>894</v>
      </c>
      <c r="Q1661" t="s">
        <v>459</v>
      </c>
      <c r="R1661">
        <v>0</v>
      </c>
    </row>
    <row r="1662" spans="1:18" x14ac:dyDescent="0.3">
      <c r="A1662">
        <v>207373</v>
      </c>
      <c r="B1662" t="s">
        <v>557</v>
      </c>
      <c r="C1662" t="s">
        <v>1237</v>
      </c>
      <c r="E1662" s="451">
        <v>46025</v>
      </c>
      <c r="F1662" s="451">
        <v>46026</v>
      </c>
      <c r="G1662" t="s">
        <v>279</v>
      </c>
      <c r="H1662" t="s">
        <v>284</v>
      </c>
      <c r="I1662" t="s">
        <v>1272</v>
      </c>
      <c r="J1662">
        <v>-171.23</v>
      </c>
      <c r="K1662">
        <v>-171.23</v>
      </c>
      <c r="O1662" t="s">
        <v>787</v>
      </c>
      <c r="P1662" t="s">
        <v>894</v>
      </c>
      <c r="Q1662" t="s">
        <v>459</v>
      </c>
      <c r="R1662">
        <v>0</v>
      </c>
    </row>
    <row r="1663" spans="1:18" x14ac:dyDescent="0.3">
      <c r="A1663">
        <v>201342</v>
      </c>
      <c r="B1663" t="s">
        <v>557</v>
      </c>
      <c r="C1663" t="s">
        <v>1066</v>
      </c>
      <c r="D1663" t="s">
        <v>2208</v>
      </c>
      <c r="E1663" s="451">
        <v>46023</v>
      </c>
      <c r="F1663" s="451">
        <v>46058</v>
      </c>
      <c r="G1663" t="s">
        <v>264</v>
      </c>
      <c r="H1663" t="s">
        <v>268</v>
      </c>
      <c r="I1663" t="s">
        <v>2209</v>
      </c>
      <c r="J1663">
        <v>-45</v>
      </c>
      <c r="K1663">
        <v>-45</v>
      </c>
      <c r="O1663" t="s">
        <v>787</v>
      </c>
      <c r="P1663" t="s">
        <v>894</v>
      </c>
      <c r="Q1663" t="s">
        <v>459</v>
      </c>
      <c r="R1663">
        <v>0</v>
      </c>
    </row>
    <row r="1664" spans="1:18" x14ac:dyDescent="0.3">
      <c r="A1664">
        <v>185903</v>
      </c>
      <c r="B1664" t="s">
        <v>557</v>
      </c>
      <c r="C1664" t="s">
        <v>834</v>
      </c>
      <c r="D1664" t="s">
        <v>2210</v>
      </c>
      <c r="E1664" s="451">
        <v>46023</v>
      </c>
      <c r="F1664" s="451">
        <v>46020</v>
      </c>
      <c r="G1664" t="s">
        <v>578</v>
      </c>
      <c r="H1664" t="s">
        <v>239</v>
      </c>
      <c r="I1664" t="s">
        <v>2211</v>
      </c>
      <c r="J1664">
        <v>-5542.38</v>
      </c>
      <c r="K1664">
        <v>-5542.38</v>
      </c>
      <c r="O1664" t="s">
        <v>787</v>
      </c>
      <c r="P1664" t="s">
        <v>894</v>
      </c>
      <c r="Q1664" t="s">
        <v>459</v>
      </c>
      <c r="R1664">
        <v>0</v>
      </c>
    </row>
    <row r="1665" spans="1:18" x14ac:dyDescent="0.3">
      <c r="A1665">
        <v>185549</v>
      </c>
      <c r="B1665" t="s">
        <v>557</v>
      </c>
      <c r="C1665" t="s">
        <v>834</v>
      </c>
      <c r="D1665" t="s">
        <v>2212</v>
      </c>
      <c r="E1665" s="451">
        <v>46023</v>
      </c>
      <c r="F1665" s="451">
        <v>46020</v>
      </c>
      <c r="G1665" t="s">
        <v>578</v>
      </c>
      <c r="H1665" t="s">
        <v>239</v>
      </c>
      <c r="I1665" t="s">
        <v>2213</v>
      </c>
      <c r="J1665">
        <v>-5542.38</v>
      </c>
      <c r="K1665">
        <v>-5542.38</v>
      </c>
      <c r="O1665" t="s">
        <v>787</v>
      </c>
      <c r="P1665" t="s">
        <v>894</v>
      </c>
      <c r="Q1665" t="s">
        <v>459</v>
      </c>
      <c r="R1665">
        <v>0</v>
      </c>
    </row>
    <row r="1666" spans="1:18" x14ac:dyDescent="0.3">
      <c r="A1666">
        <v>201338</v>
      </c>
      <c r="B1666" t="s">
        <v>557</v>
      </c>
      <c r="C1666" t="s">
        <v>1066</v>
      </c>
      <c r="D1666" t="s">
        <v>2214</v>
      </c>
      <c r="E1666" s="451">
        <v>46023</v>
      </c>
      <c r="F1666" s="451">
        <v>46058</v>
      </c>
      <c r="G1666" t="s">
        <v>264</v>
      </c>
      <c r="H1666" t="s">
        <v>272</v>
      </c>
      <c r="I1666" t="s">
        <v>2215</v>
      </c>
      <c r="J1666">
        <v>-85</v>
      </c>
      <c r="K1666">
        <v>-85</v>
      </c>
      <c r="O1666" t="s">
        <v>787</v>
      </c>
      <c r="P1666" t="s">
        <v>894</v>
      </c>
      <c r="Q1666" t="s">
        <v>459</v>
      </c>
      <c r="R1666">
        <v>0</v>
      </c>
    </row>
    <row r="1667" spans="1:18" x14ac:dyDescent="0.3">
      <c r="A1667">
        <v>201339</v>
      </c>
      <c r="B1667" t="s">
        <v>557</v>
      </c>
      <c r="C1667" t="s">
        <v>1066</v>
      </c>
      <c r="D1667" t="s">
        <v>2216</v>
      </c>
      <c r="E1667" s="451">
        <v>46023</v>
      </c>
      <c r="F1667" s="451">
        <v>46058</v>
      </c>
      <c r="G1667" t="s">
        <v>564</v>
      </c>
      <c r="H1667" t="s">
        <v>565</v>
      </c>
      <c r="I1667" t="s">
        <v>2217</v>
      </c>
      <c r="J1667">
        <v>-159.12</v>
      </c>
      <c r="K1667">
        <v>-159.12</v>
      </c>
      <c r="O1667" t="s">
        <v>787</v>
      </c>
      <c r="P1667" t="s">
        <v>894</v>
      </c>
      <c r="Q1667" t="s">
        <v>459</v>
      </c>
      <c r="R1667">
        <v>0</v>
      </c>
    </row>
    <row r="1668" spans="1:18" x14ac:dyDescent="0.3">
      <c r="A1668">
        <v>201340</v>
      </c>
      <c r="B1668" t="s">
        <v>557</v>
      </c>
      <c r="C1668" t="s">
        <v>1066</v>
      </c>
      <c r="D1668" t="s">
        <v>2218</v>
      </c>
      <c r="E1668" s="451">
        <v>46023</v>
      </c>
      <c r="F1668" s="451">
        <v>46058</v>
      </c>
      <c r="G1668" t="s">
        <v>564</v>
      </c>
      <c r="H1668" t="s">
        <v>565</v>
      </c>
      <c r="I1668" t="s">
        <v>2219</v>
      </c>
      <c r="J1668">
        <v>-6.07</v>
      </c>
      <c r="K1668">
        <v>-6.07</v>
      </c>
      <c r="O1668" t="s">
        <v>787</v>
      </c>
      <c r="P1668" t="s">
        <v>894</v>
      </c>
      <c r="Q1668" t="s">
        <v>459</v>
      </c>
      <c r="R1668">
        <v>0</v>
      </c>
    </row>
    <row r="1669" spans="1:18" x14ac:dyDescent="0.3">
      <c r="A1669">
        <v>201341</v>
      </c>
      <c r="B1669" t="s">
        <v>557</v>
      </c>
      <c r="C1669" t="s">
        <v>1066</v>
      </c>
      <c r="D1669" t="s">
        <v>2220</v>
      </c>
      <c r="E1669" s="451">
        <v>46023</v>
      </c>
      <c r="F1669" s="451">
        <v>46058</v>
      </c>
      <c r="G1669" t="s">
        <v>564</v>
      </c>
      <c r="H1669" t="s">
        <v>565</v>
      </c>
      <c r="I1669" t="s">
        <v>2221</v>
      </c>
      <c r="J1669">
        <v>-56.65</v>
      </c>
      <c r="K1669">
        <v>-56.65</v>
      </c>
      <c r="O1669" t="s">
        <v>787</v>
      </c>
      <c r="P1669" t="s">
        <v>894</v>
      </c>
      <c r="Q1669" t="s">
        <v>459</v>
      </c>
      <c r="R1669">
        <v>0</v>
      </c>
    </row>
    <row r="1670" spans="1:18" x14ac:dyDescent="0.3">
      <c r="A1670">
        <v>200539</v>
      </c>
      <c r="B1670" t="s">
        <v>557</v>
      </c>
      <c r="C1670" t="s">
        <v>886</v>
      </c>
      <c r="D1670" t="s">
        <v>1366</v>
      </c>
      <c r="E1670" s="451">
        <v>46023</v>
      </c>
      <c r="F1670" s="451">
        <v>46068</v>
      </c>
      <c r="G1670" t="s">
        <v>570</v>
      </c>
      <c r="H1670" t="s">
        <v>573</v>
      </c>
      <c r="I1670" t="s">
        <v>880</v>
      </c>
      <c r="J1670">
        <v>-3300</v>
      </c>
      <c r="K1670">
        <v>-3300</v>
      </c>
      <c r="M1670" t="s">
        <v>887</v>
      </c>
      <c r="N1670" t="s">
        <v>131</v>
      </c>
      <c r="O1670" t="s">
        <v>787</v>
      </c>
      <c r="P1670" t="s">
        <v>894</v>
      </c>
      <c r="Q1670" t="s">
        <v>459</v>
      </c>
      <c r="R1670">
        <v>0</v>
      </c>
    </row>
    <row r="1671" spans="1:18" x14ac:dyDescent="0.3">
      <c r="A1671">
        <v>185904</v>
      </c>
      <c r="B1671" t="s">
        <v>557</v>
      </c>
      <c r="C1671" t="s">
        <v>834</v>
      </c>
      <c r="D1671" t="s">
        <v>2222</v>
      </c>
      <c r="E1671" s="451">
        <v>46023</v>
      </c>
      <c r="F1671" s="451">
        <v>46020</v>
      </c>
      <c r="G1671" t="s">
        <v>578</v>
      </c>
      <c r="H1671" t="s">
        <v>239</v>
      </c>
      <c r="I1671" t="s">
        <v>2223</v>
      </c>
      <c r="J1671">
        <v>-1088.74</v>
      </c>
      <c r="K1671">
        <v>-1088.74</v>
      </c>
      <c r="O1671" t="s">
        <v>787</v>
      </c>
      <c r="P1671" t="s">
        <v>894</v>
      </c>
      <c r="Q1671" t="s">
        <v>459</v>
      </c>
      <c r="R1671">
        <v>0</v>
      </c>
    </row>
    <row r="1672" spans="1:18" x14ac:dyDescent="0.3">
      <c r="A1672">
        <v>200575</v>
      </c>
      <c r="B1672" t="s">
        <v>557</v>
      </c>
      <c r="C1672" t="s">
        <v>882</v>
      </c>
      <c r="D1672" t="s">
        <v>1064</v>
      </c>
      <c r="E1672" s="451">
        <v>46023</v>
      </c>
      <c r="F1672" s="451">
        <v>46068</v>
      </c>
      <c r="G1672" t="s">
        <v>570</v>
      </c>
      <c r="H1672" t="s">
        <v>573</v>
      </c>
      <c r="I1672" t="s">
        <v>880</v>
      </c>
      <c r="J1672">
        <v>-3250</v>
      </c>
      <c r="K1672">
        <v>-3250</v>
      </c>
      <c r="M1672" t="s">
        <v>883</v>
      </c>
      <c r="N1672" t="s">
        <v>135</v>
      </c>
      <c r="O1672" t="s">
        <v>787</v>
      </c>
      <c r="P1672" t="s">
        <v>894</v>
      </c>
      <c r="Q1672" t="s">
        <v>459</v>
      </c>
      <c r="R1672">
        <v>0</v>
      </c>
    </row>
    <row r="1673" spans="1:18" x14ac:dyDescent="0.3">
      <c r="A1673">
        <v>192953</v>
      </c>
      <c r="B1673" t="s">
        <v>557</v>
      </c>
      <c r="C1673" t="s">
        <v>903</v>
      </c>
      <c r="D1673" t="s">
        <v>2224</v>
      </c>
      <c r="E1673" s="451">
        <v>46023</v>
      </c>
      <c r="F1673" s="451">
        <v>46058</v>
      </c>
      <c r="G1673" t="s">
        <v>279</v>
      </c>
      <c r="H1673" t="s">
        <v>283</v>
      </c>
      <c r="I1673" t="s">
        <v>2225</v>
      </c>
      <c r="J1673">
        <v>-314.87</v>
      </c>
      <c r="K1673">
        <v>-293.93</v>
      </c>
      <c r="O1673" t="s">
        <v>787</v>
      </c>
      <c r="P1673" t="s">
        <v>894</v>
      </c>
      <c r="Q1673" t="s">
        <v>459</v>
      </c>
      <c r="R1673">
        <v>0</v>
      </c>
    </row>
    <row r="1674" spans="1:18" x14ac:dyDescent="0.3">
      <c r="A1674">
        <v>192999</v>
      </c>
      <c r="B1674" t="s">
        <v>557</v>
      </c>
      <c r="C1674" t="s">
        <v>925</v>
      </c>
      <c r="D1674" t="s">
        <v>2195</v>
      </c>
      <c r="E1674" s="451">
        <v>46023</v>
      </c>
      <c r="F1674" s="451">
        <v>46058</v>
      </c>
      <c r="G1674" t="s">
        <v>279</v>
      </c>
      <c r="H1674" t="s">
        <v>282</v>
      </c>
      <c r="I1674" t="s">
        <v>2226</v>
      </c>
      <c r="J1674">
        <v>-40.9</v>
      </c>
      <c r="K1674">
        <v>-40.9</v>
      </c>
      <c r="O1674" t="s">
        <v>787</v>
      </c>
      <c r="P1674" t="s">
        <v>894</v>
      </c>
      <c r="Q1674" t="s">
        <v>459</v>
      </c>
      <c r="R1674">
        <v>0</v>
      </c>
    </row>
    <row r="1675" spans="1:18" x14ac:dyDescent="0.3">
      <c r="A1675">
        <v>193424</v>
      </c>
      <c r="B1675" t="s">
        <v>557</v>
      </c>
      <c r="C1675" t="s">
        <v>873</v>
      </c>
      <c r="D1675" t="s">
        <v>2227</v>
      </c>
      <c r="E1675" s="451">
        <v>46023</v>
      </c>
      <c r="F1675" s="451">
        <v>46040</v>
      </c>
      <c r="G1675" t="s">
        <v>874</v>
      </c>
      <c r="H1675" t="s">
        <v>875</v>
      </c>
      <c r="I1675" t="s">
        <v>876</v>
      </c>
      <c r="J1675">
        <v>-400</v>
      </c>
      <c r="K1675">
        <v>-400</v>
      </c>
      <c r="O1675" t="s">
        <v>787</v>
      </c>
      <c r="P1675" t="s">
        <v>894</v>
      </c>
      <c r="Q1675" t="s">
        <v>459</v>
      </c>
      <c r="R1675">
        <v>0</v>
      </c>
    </row>
    <row r="1676" spans="1:18" x14ac:dyDescent="0.3">
      <c r="A1676">
        <v>200563</v>
      </c>
      <c r="B1676" t="s">
        <v>557</v>
      </c>
      <c r="C1676" t="s">
        <v>882</v>
      </c>
      <c r="D1676" t="s">
        <v>1064</v>
      </c>
      <c r="E1676" s="451">
        <v>46023</v>
      </c>
      <c r="F1676" s="451">
        <v>46055</v>
      </c>
      <c r="G1676" t="s">
        <v>570</v>
      </c>
      <c r="H1676" t="s">
        <v>573</v>
      </c>
      <c r="I1676" t="s">
        <v>880</v>
      </c>
      <c r="J1676">
        <v>-3250</v>
      </c>
      <c r="K1676">
        <v>-3250</v>
      </c>
      <c r="M1676" t="s">
        <v>883</v>
      </c>
      <c r="N1676" t="s">
        <v>135</v>
      </c>
      <c r="O1676" t="s">
        <v>787</v>
      </c>
      <c r="P1676" t="s">
        <v>894</v>
      </c>
      <c r="Q1676" t="s">
        <v>459</v>
      </c>
      <c r="R1676">
        <v>0</v>
      </c>
    </row>
    <row r="1677" spans="1:18" x14ac:dyDescent="0.3">
      <c r="A1677">
        <v>193626</v>
      </c>
      <c r="B1677" t="s">
        <v>557</v>
      </c>
      <c r="C1677" t="s">
        <v>1245</v>
      </c>
      <c r="D1677" t="s">
        <v>2228</v>
      </c>
      <c r="E1677" s="451">
        <v>46023</v>
      </c>
      <c r="F1677" s="451">
        <v>46041</v>
      </c>
      <c r="G1677" t="s">
        <v>564</v>
      </c>
      <c r="H1677" t="s">
        <v>565</v>
      </c>
      <c r="I1677" t="s">
        <v>2229</v>
      </c>
      <c r="J1677">
        <v>-435.94</v>
      </c>
      <c r="K1677">
        <v>-435.94</v>
      </c>
      <c r="O1677" t="s">
        <v>787</v>
      </c>
      <c r="P1677" t="s">
        <v>894</v>
      </c>
      <c r="Q1677" t="s">
        <v>459</v>
      </c>
      <c r="R1677">
        <v>0</v>
      </c>
    </row>
    <row r="1678" spans="1:18" x14ac:dyDescent="0.3">
      <c r="A1678">
        <v>196164</v>
      </c>
      <c r="B1678" t="s">
        <v>557</v>
      </c>
      <c r="C1678" t="s">
        <v>907</v>
      </c>
      <c r="D1678" t="s">
        <v>2230</v>
      </c>
      <c r="E1678" s="451">
        <v>46023</v>
      </c>
      <c r="F1678" s="451">
        <v>46062</v>
      </c>
      <c r="G1678" t="s">
        <v>578</v>
      </c>
      <c r="H1678" t="s">
        <v>252</v>
      </c>
      <c r="I1678" t="s">
        <v>908</v>
      </c>
      <c r="J1678">
        <v>-2920</v>
      </c>
      <c r="K1678">
        <v>-2920</v>
      </c>
      <c r="O1678" t="s">
        <v>787</v>
      </c>
      <c r="P1678" t="s">
        <v>894</v>
      </c>
      <c r="Q1678" t="s">
        <v>459</v>
      </c>
      <c r="R1678">
        <v>0</v>
      </c>
    </row>
    <row r="1679" spans="1:18" x14ac:dyDescent="0.3">
      <c r="A1679">
        <v>193628</v>
      </c>
      <c r="B1679" t="s">
        <v>557</v>
      </c>
      <c r="C1679" t="s">
        <v>1245</v>
      </c>
      <c r="D1679" t="s">
        <v>2228</v>
      </c>
      <c r="E1679" s="451">
        <v>46023</v>
      </c>
      <c r="F1679" s="451">
        <v>46041</v>
      </c>
      <c r="G1679" t="s">
        <v>264</v>
      </c>
      <c r="H1679" t="s">
        <v>268</v>
      </c>
      <c r="I1679" t="s">
        <v>2229</v>
      </c>
      <c r="J1679">
        <v>-26.9</v>
      </c>
      <c r="K1679">
        <v>-26.9</v>
      </c>
      <c r="O1679" t="s">
        <v>787</v>
      </c>
      <c r="P1679" t="s">
        <v>894</v>
      </c>
      <c r="Q1679" t="s">
        <v>459</v>
      </c>
      <c r="R1679">
        <v>0</v>
      </c>
    </row>
    <row r="1680" spans="1:18" x14ac:dyDescent="0.3">
      <c r="A1680">
        <v>194611</v>
      </c>
      <c r="B1680" t="s">
        <v>557</v>
      </c>
      <c r="C1680" t="s">
        <v>842</v>
      </c>
      <c r="D1680" t="s">
        <v>2231</v>
      </c>
      <c r="E1680" s="451">
        <v>46023</v>
      </c>
      <c r="F1680" s="451">
        <v>46052</v>
      </c>
      <c r="G1680" t="s">
        <v>578</v>
      </c>
      <c r="H1680" t="s">
        <v>242</v>
      </c>
      <c r="I1680" t="s">
        <v>459</v>
      </c>
      <c r="J1680">
        <v>-207.65</v>
      </c>
      <c r="K1680">
        <v>-207.65</v>
      </c>
      <c r="O1680" t="s">
        <v>787</v>
      </c>
      <c r="P1680" t="s">
        <v>894</v>
      </c>
      <c r="Q1680" t="s">
        <v>459</v>
      </c>
      <c r="R1680">
        <v>0</v>
      </c>
    </row>
    <row r="1681" spans="1:18" x14ac:dyDescent="0.3">
      <c r="A1681">
        <v>194451</v>
      </c>
      <c r="B1681" t="s">
        <v>557</v>
      </c>
      <c r="C1681" t="s">
        <v>2178</v>
      </c>
      <c r="D1681" t="s">
        <v>2232</v>
      </c>
      <c r="E1681" s="451">
        <v>46023</v>
      </c>
      <c r="F1681" s="451">
        <v>46058</v>
      </c>
      <c r="G1681" t="s">
        <v>577</v>
      </c>
      <c r="H1681" t="s">
        <v>227</v>
      </c>
      <c r="I1681" t="s">
        <v>2233</v>
      </c>
      <c r="J1681">
        <v>-224.01</v>
      </c>
      <c r="K1681">
        <v>-224.01</v>
      </c>
      <c r="O1681" t="s">
        <v>787</v>
      </c>
      <c r="P1681" t="s">
        <v>894</v>
      </c>
      <c r="Q1681" t="s">
        <v>459</v>
      </c>
      <c r="R1681">
        <v>0</v>
      </c>
    </row>
    <row r="1682" spans="1:18" x14ac:dyDescent="0.3">
      <c r="A1682">
        <v>194448</v>
      </c>
      <c r="B1682" t="s">
        <v>557</v>
      </c>
      <c r="C1682" t="s">
        <v>2178</v>
      </c>
      <c r="D1682" t="s">
        <v>2234</v>
      </c>
      <c r="E1682" s="451">
        <v>46023</v>
      </c>
      <c r="F1682" s="451">
        <v>46058</v>
      </c>
      <c r="G1682" t="s">
        <v>577</v>
      </c>
      <c r="H1682" t="s">
        <v>225</v>
      </c>
      <c r="I1682" t="s">
        <v>2235</v>
      </c>
      <c r="J1682">
        <v>-2721.17</v>
      </c>
      <c r="K1682">
        <v>-2721.17</v>
      </c>
      <c r="O1682" t="s">
        <v>787</v>
      </c>
      <c r="P1682" t="s">
        <v>894</v>
      </c>
      <c r="Q1682" t="s">
        <v>459</v>
      </c>
      <c r="R1682">
        <v>0</v>
      </c>
    </row>
    <row r="1683" spans="1:18" x14ac:dyDescent="0.3">
      <c r="A1683">
        <v>200551</v>
      </c>
      <c r="B1683" t="s">
        <v>557</v>
      </c>
      <c r="C1683" t="s">
        <v>884</v>
      </c>
      <c r="D1683" t="s">
        <v>1423</v>
      </c>
      <c r="E1683" s="451">
        <v>46023</v>
      </c>
      <c r="F1683" s="451">
        <v>46068</v>
      </c>
      <c r="G1683" t="s">
        <v>570</v>
      </c>
      <c r="H1683" t="s">
        <v>573</v>
      </c>
      <c r="I1683" t="s">
        <v>880</v>
      </c>
      <c r="J1683">
        <v>-1750</v>
      </c>
      <c r="K1683">
        <v>-1750</v>
      </c>
      <c r="M1683" t="s">
        <v>885</v>
      </c>
      <c r="N1683" t="s">
        <v>134</v>
      </c>
      <c r="O1683" t="s">
        <v>787</v>
      </c>
      <c r="P1683" t="s">
        <v>894</v>
      </c>
      <c r="Q1683" t="s">
        <v>459</v>
      </c>
      <c r="R1683">
        <v>0</v>
      </c>
    </row>
    <row r="1684" spans="1:18" x14ac:dyDescent="0.3">
      <c r="A1684">
        <v>191748</v>
      </c>
      <c r="B1684" t="s">
        <v>557</v>
      </c>
      <c r="C1684" t="s">
        <v>895</v>
      </c>
      <c r="D1684" t="s">
        <v>2236</v>
      </c>
      <c r="E1684" s="451">
        <v>46023</v>
      </c>
      <c r="F1684" s="451">
        <v>46041</v>
      </c>
      <c r="G1684" t="s">
        <v>308</v>
      </c>
      <c r="H1684" t="s">
        <v>309</v>
      </c>
      <c r="I1684" t="s">
        <v>2237</v>
      </c>
      <c r="J1684">
        <v>-829.92</v>
      </c>
      <c r="K1684">
        <v>-829.92</v>
      </c>
      <c r="O1684" t="s">
        <v>787</v>
      </c>
      <c r="P1684" t="s">
        <v>894</v>
      </c>
      <c r="Q1684" t="s">
        <v>459</v>
      </c>
      <c r="R1684">
        <v>0</v>
      </c>
    </row>
    <row r="1685" spans="1:18" x14ac:dyDescent="0.3">
      <c r="A1685">
        <v>192618</v>
      </c>
      <c r="B1685" t="s">
        <v>557</v>
      </c>
      <c r="C1685" t="s">
        <v>1128</v>
      </c>
      <c r="D1685" t="s">
        <v>2238</v>
      </c>
      <c r="E1685" s="451">
        <v>46023</v>
      </c>
      <c r="F1685" s="451">
        <v>46041</v>
      </c>
      <c r="G1685" t="s">
        <v>569</v>
      </c>
      <c r="H1685" t="s">
        <v>66</v>
      </c>
      <c r="I1685" t="s">
        <v>2239</v>
      </c>
      <c r="J1685">
        <v>-167</v>
      </c>
      <c r="K1685">
        <v>-167</v>
      </c>
      <c r="O1685" t="s">
        <v>787</v>
      </c>
      <c r="P1685" t="s">
        <v>894</v>
      </c>
      <c r="Q1685" t="s">
        <v>459</v>
      </c>
      <c r="R1685">
        <v>0</v>
      </c>
    </row>
    <row r="1686" spans="1:18" x14ac:dyDescent="0.3">
      <c r="A1686">
        <v>192042</v>
      </c>
      <c r="B1686" t="s">
        <v>557</v>
      </c>
      <c r="C1686" t="s">
        <v>2240</v>
      </c>
      <c r="D1686" t="s">
        <v>2241</v>
      </c>
      <c r="E1686" s="451">
        <v>46023</v>
      </c>
      <c r="F1686" s="451">
        <v>46051</v>
      </c>
      <c r="G1686" t="s">
        <v>962</v>
      </c>
      <c r="H1686" t="s">
        <v>349</v>
      </c>
      <c r="I1686" t="s">
        <v>2242</v>
      </c>
      <c r="J1686">
        <v>-5000</v>
      </c>
      <c r="K1686">
        <v>-5000</v>
      </c>
      <c r="O1686" t="s">
        <v>787</v>
      </c>
      <c r="P1686" t="s">
        <v>894</v>
      </c>
      <c r="Q1686" t="s">
        <v>459</v>
      </c>
      <c r="R1686">
        <v>0</v>
      </c>
    </row>
    <row r="1687" spans="1:18" x14ac:dyDescent="0.3">
      <c r="A1687">
        <v>192087</v>
      </c>
      <c r="B1687" t="s">
        <v>557</v>
      </c>
      <c r="C1687" t="s">
        <v>877</v>
      </c>
      <c r="D1687" t="s">
        <v>2243</v>
      </c>
      <c r="E1687" s="451">
        <v>46023</v>
      </c>
      <c r="F1687" s="451">
        <v>46071</v>
      </c>
      <c r="G1687" t="s">
        <v>308</v>
      </c>
      <c r="H1687" t="s">
        <v>314</v>
      </c>
      <c r="I1687" t="s">
        <v>2244</v>
      </c>
      <c r="J1687">
        <v>-708.18</v>
      </c>
      <c r="K1687">
        <v>-708.18</v>
      </c>
      <c r="O1687" t="s">
        <v>787</v>
      </c>
      <c r="P1687" t="s">
        <v>894</v>
      </c>
      <c r="Q1687" t="s">
        <v>459</v>
      </c>
      <c r="R1687">
        <v>0</v>
      </c>
    </row>
    <row r="1688" spans="1:18" x14ac:dyDescent="0.3">
      <c r="A1688">
        <v>192186</v>
      </c>
      <c r="B1688" t="s">
        <v>557</v>
      </c>
      <c r="C1688" t="s">
        <v>919</v>
      </c>
      <c r="D1688" t="s">
        <v>1235</v>
      </c>
      <c r="E1688" s="451">
        <v>46023</v>
      </c>
      <c r="F1688" s="451">
        <v>46058</v>
      </c>
      <c r="G1688" t="s">
        <v>279</v>
      </c>
      <c r="H1688" t="s">
        <v>284</v>
      </c>
      <c r="I1688" t="s">
        <v>2245</v>
      </c>
      <c r="J1688">
        <v>-520</v>
      </c>
      <c r="K1688">
        <v>-520</v>
      </c>
      <c r="O1688" t="s">
        <v>787</v>
      </c>
      <c r="P1688" t="s">
        <v>894</v>
      </c>
      <c r="Q1688" t="s">
        <v>459</v>
      </c>
      <c r="R1688">
        <v>0</v>
      </c>
    </row>
    <row r="1689" spans="1:18" x14ac:dyDescent="0.3">
      <c r="A1689">
        <v>192326</v>
      </c>
      <c r="B1689" t="s">
        <v>557</v>
      </c>
      <c r="C1689" t="s">
        <v>913</v>
      </c>
      <c r="D1689" t="s">
        <v>2246</v>
      </c>
      <c r="E1689" s="451">
        <v>46023</v>
      </c>
      <c r="F1689" s="451">
        <v>46073</v>
      </c>
      <c r="G1689" t="s">
        <v>296</v>
      </c>
      <c r="H1689" t="s">
        <v>297</v>
      </c>
      <c r="I1689" t="s">
        <v>2247</v>
      </c>
      <c r="J1689">
        <v>-4000</v>
      </c>
      <c r="K1689">
        <v>-4000</v>
      </c>
      <c r="M1689" t="s">
        <v>915</v>
      </c>
      <c r="N1689" t="s">
        <v>916</v>
      </c>
      <c r="O1689" t="s">
        <v>787</v>
      </c>
      <c r="P1689" t="s">
        <v>894</v>
      </c>
      <c r="Q1689" t="s">
        <v>459</v>
      </c>
      <c r="R1689">
        <v>0</v>
      </c>
    </row>
    <row r="1690" spans="1:18" x14ac:dyDescent="0.3">
      <c r="A1690">
        <v>192382</v>
      </c>
      <c r="B1690" t="s">
        <v>557</v>
      </c>
      <c r="C1690" t="s">
        <v>905</v>
      </c>
      <c r="D1690" t="s">
        <v>2248</v>
      </c>
      <c r="E1690" s="451">
        <v>46023</v>
      </c>
      <c r="F1690" s="451">
        <v>46065</v>
      </c>
      <c r="G1690" t="s">
        <v>296</v>
      </c>
      <c r="H1690" t="s">
        <v>298</v>
      </c>
      <c r="I1690" t="s">
        <v>2249</v>
      </c>
      <c r="J1690">
        <v>-500</v>
      </c>
      <c r="K1690">
        <v>-500</v>
      </c>
      <c r="O1690" t="s">
        <v>787</v>
      </c>
      <c r="P1690" t="s">
        <v>894</v>
      </c>
      <c r="Q1690" t="s">
        <v>459</v>
      </c>
      <c r="R1690">
        <v>0</v>
      </c>
    </row>
    <row r="1691" spans="1:18" x14ac:dyDescent="0.3">
      <c r="A1691">
        <v>192424</v>
      </c>
      <c r="B1691" t="s">
        <v>557</v>
      </c>
      <c r="C1691" t="s">
        <v>1696</v>
      </c>
      <c r="D1691" t="s">
        <v>2250</v>
      </c>
      <c r="E1691" s="451">
        <v>46023</v>
      </c>
      <c r="F1691" s="451">
        <v>46058</v>
      </c>
      <c r="G1691" t="s">
        <v>279</v>
      </c>
      <c r="H1691" t="s">
        <v>286</v>
      </c>
      <c r="I1691" t="s">
        <v>2251</v>
      </c>
      <c r="J1691">
        <v>-632.52</v>
      </c>
      <c r="K1691">
        <v>-632.52</v>
      </c>
      <c r="O1691" t="s">
        <v>787</v>
      </c>
      <c r="P1691" t="s">
        <v>894</v>
      </c>
      <c r="Q1691" t="s">
        <v>459</v>
      </c>
      <c r="R1691">
        <v>0</v>
      </c>
    </row>
    <row r="1692" spans="1:18" x14ac:dyDescent="0.3">
      <c r="A1692">
        <v>192454</v>
      </c>
      <c r="B1692" t="s">
        <v>557</v>
      </c>
      <c r="C1692" t="s">
        <v>965</v>
      </c>
      <c r="D1692" t="s">
        <v>2195</v>
      </c>
      <c r="E1692" s="451">
        <v>46023</v>
      </c>
      <c r="F1692" s="451">
        <v>46058</v>
      </c>
      <c r="G1692" t="s">
        <v>296</v>
      </c>
      <c r="H1692" t="s">
        <v>307</v>
      </c>
      <c r="I1692" t="s">
        <v>2252</v>
      </c>
      <c r="J1692">
        <v>-24.56</v>
      </c>
      <c r="K1692">
        <v>-24.56</v>
      </c>
      <c r="O1692" t="s">
        <v>787</v>
      </c>
      <c r="P1692" t="s">
        <v>894</v>
      </c>
      <c r="Q1692" t="s">
        <v>459</v>
      </c>
      <c r="R1692">
        <v>0</v>
      </c>
    </row>
    <row r="1693" spans="1:18" x14ac:dyDescent="0.3">
      <c r="A1693">
        <v>192542</v>
      </c>
      <c r="B1693" t="s">
        <v>557</v>
      </c>
      <c r="C1693" t="s">
        <v>1668</v>
      </c>
      <c r="D1693" t="s">
        <v>1772</v>
      </c>
      <c r="E1693" s="451">
        <v>46023</v>
      </c>
      <c r="F1693" s="451">
        <v>46068</v>
      </c>
      <c r="G1693" t="s">
        <v>581</v>
      </c>
      <c r="H1693" t="s">
        <v>288</v>
      </c>
      <c r="I1693" t="s">
        <v>2253</v>
      </c>
      <c r="J1693">
        <v>-1000</v>
      </c>
      <c r="K1693">
        <v>-1000</v>
      </c>
      <c r="O1693" t="s">
        <v>787</v>
      </c>
      <c r="P1693" t="s">
        <v>894</v>
      </c>
      <c r="Q1693" t="s">
        <v>459</v>
      </c>
      <c r="R1693">
        <v>0</v>
      </c>
    </row>
    <row r="1694" spans="1:18" x14ac:dyDescent="0.3">
      <c r="A1694">
        <v>192556</v>
      </c>
      <c r="B1694" t="s">
        <v>557</v>
      </c>
      <c r="C1694" t="s">
        <v>917</v>
      </c>
      <c r="D1694" t="s">
        <v>2254</v>
      </c>
      <c r="E1694" s="451">
        <v>46023</v>
      </c>
      <c r="F1694" s="451">
        <v>46075</v>
      </c>
      <c r="G1694" t="s">
        <v>318</v>
      </c>
      <c r="H1694" t="s">
        <v>321</v>
      </c>
      <c r="I1694" t="s">
        <v>2255</v>
      </c>
      <c r="J1694">
        <v>-200</v>
      </c>
      <c r="K1694">
        <v>-200</v>
      </c>
      <c r="O1694" t="s">
        <v>787</v>
      </c>
      <c r="P1694" t="s">
        <v>894</v>
      </c>
      <c r="Q1694" t="s">
        <v>459</v>
      </c>
      <c r="R1694">
        <v>0</v>
      </c>
    </row>
    <row r="1695" spans="1:18" x14ac:dyDescent="0.3">
      <c r="A1695">
        <v>202808</v>
      </c>
      <c r="B1695" t="s">
        <v>557</v>
      </c>
      <c r="C1695" t="s">
        <v>1066</v>
      </c>
      <c r="D1695" t="s">
        <v>2256</v>
      </c>
      <c r="E1695" s="451">
        <v>46023</v>
      </c>
      <c r="F1695" s="451">
        <v>46058</v>
      </c>
      <c r="G1695" t="s">
        <v>264</v>
      </c>
      <c r="H1695" t="s">
        <v>272</v>
      </c>
      <c r="I1695" t="s">
        <v>2257</v>
      </c>
      <c r="J1695">
        <v>-269.08</v>
      </c>
      <c r="K1695">
        <v>-269.08</v>
      </c>
      <c r="O1695" t="s">
        <v>787</v>
      </c>
      <c r="P1695" t="s">
        <v>894</v>
      </c>
      <c r="Q1695" t="s">
        <v>459</v>
      </c>
      <c r="R1695">
        <v>0</v>
      </c>
    </row>
    <row r="1696" spans="1:18" x14ac:dyDescent="0.3">
      <c r="A1696">
        <v>205750</v>
      </c>
      <c r="B1696" t="s">
        <v>557</v>
      </c>
      <c r="C1696" t="s">
        <v>879</v>
      </c>
      <c r="D1696" t="s">
        <v>1223</v>
      </c>
      <c r="E1696" s="451">
        <v>46023</v>
      </c>
      <c r="F1696" s="451">
        <v>46078</v>
      </c>
      <c r="G1696" t="s">
        <v>571</v>
      </c>
      <c r="H1696" t="s">
        <v>75</v>
      </c>
      <c r="I1696" t="s">
        <v>2258</v>
      </c>
      <c r="J1696">
        <v>-451.65</v>
      </c>
      <c r="K1696">
        <v>-451.65</v>
      </c>
      <c r="M1696" t="s">
        <v>881</v>
      </c>
      <c r="N1696" t="s">
        <v>73</v>
      </c>
      <c r="O1696" t="s">
        <v>787</v>
      </c>
      <c r="P1696" t="s">
        <v>894</v>
      </c>
      <c r="Q1696" t="s">
        <v>459</v>
      </c>
      <c r="R1696">
        <v>0</v>
      </c>
    </row>
    <row r="1697" spans="1:18" x14ac:dyDescent="0.3">
      <c r="A1697">
        <v>205751</v>
      </c>
      <c r="B1697" t="s">
        <v>557</v>
      </c>
      <c r="C1697" t="s">
        <v>2016</v>
      </c>
      <c r="D1697" t="s">
        <v>2259</v>
      </c>
      <c r="E1697" s="451">
        <v>46023</v>
      </c>
      <c r="F1697" s="451">
        <v>46078</v>
      </c>
      <c r="G1697" t="s">
        <v>572</v>
      </c>
      <c r="H1697" t="s">
        <v>112</v>
      </c>
      <c r="I1697" t="s">
        <v>2260</v>
      </c>
      <c r="J1697">
        <v>-1380</v>
      </c>
      <c r="K1697">
        <v>-1380</v>
      </c>
      <c r="M1697" t="s">
        <v>821</v>
      </c>
      <c r="N1697" t="s">
        <v>133</v>
      </c>
      <c r="O1697" t="s">
        <v>787</v>
      </c>
      <c r="P1697" t="s">
        <v>894</v>
      </c>
      <c r="Q1697" t="s">
        <v>459</v>
      </c>
      <c r="R1697">
        <v>0</v>
      </c>
    </row>
    <row r="1698" spans="1:18" x14ac:dyDescent="0.3">
      <c r="A1698">
        <v>205752</v>
      </c>
      <c r="B1698" t="s">
        <v>557</v>
      </c>
      <c r="C1698" t="s">
        <v>886</v>
      </c>
      <c r="D1698" t="s">
        <v>2261</v>
      </c>
      <c r="E1698" s="451">
        <v>46023</v>
      </c>
      <c r="F1698" s="451">
        <v>46078</v>
      </c>
      <c r="G1698" t="s">
        <v>572</v>
      </c>
      <c r="H1698" t="s">
        <v>112</v>
      </c>
      <c r="I1698" t="s">
        <v>2260</v>
      </c>
      <c r="J1698">
        <v>-1770</v>
      </c>
      <c r="K1698">
        <v>-1770</v>
      </c>
      <c r="M1698" t="s">
        <v>887</v>
      </c>
      <c r="N1698" t="s">
        <v>131</v>
      </c>
      <c r="O1698" t="s">
        <v>787</v>
      </c>
      <c r="P1698" t="s">
        <v>894</v>
      </c>
      <c r="Q1698" t="s">
        <v>459</v>
      </c>
      <c r="R1698">
        <v>0</v>
      </c>
    </row>
    <row r="1699" spans="1:18" x14ac:dyDescent="0.3">
      <c r="A1699">
        <v>205753</v>
      </c>
      <c r="B1699" t="s">
        <v>557</v>
      </c>
      <c r="C1699" t="s">
        <v>882</v>
      </c>
      <c r="D1699" t="s">
        <v>1853</v>
      </c>
      <c r="E1699" s="451">
        <v>46023</v>
      </c>
      <c r="F1699" s="451">
        <v>46078</v>
      </c>
      <c r="G1699" t="s">
        <v>572</v>
      </c>
      <c r="H1699" t="s">
        <v>112</v>
      </c>
      <c r="I1699" t="s">
        <v>2260</v>
      </c>
      <c r="J1699">
        <v>-1720</v>
      </c>
      <c r="K1699">
        <v>-1720</v>
      </c>
      <c r="M1699" t="s">
        <v>883</v>
      </c>
      <c r="N1699" t="s">
        <v>135</v>
      </c>
      <c r="O1699" t="s">
        <v>787</v>
      </c>
      <c r="P1699" t="s">
        <v>894</v>
      </c>
      <c r="Q1699" t="s">
        <v>459</v>
      </c>
      <c r="R1699">
        <v>0</v>
      </c>
    </row>
    <row r="1700" spans="1:18" x14ac:dyDescent="0.3">
      <c r="A1700">
        <v>192940</v>
      </c>
      <c r="B1700" t="s">
        <v>557</v>
      </c>
      <c r="C1700" t="s">
        <v>921</v>
      </c>
      <c r="D1700" t="s">
        <v>2195</v>
      </c>
      <c r="E1700" s="451">
        <v>46023</v>
      </c>
      <c r="F1700" s="451">
        <v>46058</v>
      </c>
      <c r="G1700" t="s">
        <v>296</v>
      </c>
      <c r="H1700" t="s">
        <v>301</v>
      </c>
      <c r="I1700" t="s">
        <v>2262</v>
      </c>
      <c r="J1700">
        <v>-623.64</v>
      </c>
      <c r="K1700">
        <v>-623.64</v>
      </c>
      <c r="O1700" t="s">
        <v>787</v>
      </c>
      <c r="P1700" t="s">
        <v>894</v>
      </c>
      <c r="Q1700" t="s">
        <v>459</v>
      </c>
      <c r="R1700">
        <v>0</v>
      </c>
    </row>
    <row r="1701" spans="1:18" x14ac:dyDescent="0.3">
      <c r="A1701">
        <v>207370</v>
      </c>
      <c r="B1701" t="s">
        <v>557</v>
      </c>
      <c r="C1701" t="s">
        <v>1237</v>
      </c>
      <c r="E1701" s="451">
        <v>46023</v>
      </c>
      <c r="F1701" s="451">
        <v>46023</v>
      </c>
      <c r="G1701" t="s">
        <v>279</v>
      </c>
      <c r="H1701" t="s">
        <v>284</v>
      </c>
      <c r="I1701" t="s">
        <v>1386</v>
      </c>
      <c r="J1701">
        <v>-20</v>
      </c>
      <c r="K1701">
        <v>-20</v>
      </c>
      <c r="O1701" t="s">
        <v>787</v>
      </c>
      <c r="P1701" t="s">
        <v>894</v>
      </c>
      <c r="Q1701" t="s">
        <v>459</v>
      </c>
      <c r="R1701">
        <v>0</v>
      </c>
    </row>
    <row r="1702" spans="1:18" x14ac:dyDescent="0.3">
      <c r="A1702">
        <v>207371</v>
      </c>
      <c r="B1702" t="s">
        <v>557</v>
      </c>
      <c r="C1702" t="s">
        <v>1237</v>
      </c>
      <c r="E1702" s="451">
        <v>46023</v>
      </c>
      <c r="F1702" s="451">
        <v>46023</v>
      </c>
      <c r="G1702" t="s">
        <v>279</v>
      </c>
      <c r="H1702" t="s">
        <v>284</v>
      </c>
      <c r="I1702" t="s">
        <v>1388</v>
      </c>
      <c r="J1702">
        <v>-260</v>
      </c>
      <c r="K1702">
        <v>-260</v>
      </c>
      <c r="O1702" t="s">
        <v>787</v>
      </c>
      <c r="P1702" t="s">
        <v>894</v>
      </c>
      <c r="Q1702" t="s">
        <v>459</v>
      </c>
      <c r="R1702">
        <v>0</v>
      </c>
    </row>
    <row r="1703" spans="1:18" x14ac:dyDescent="0.3">
      <c r="A1703">
        <v>207372</v>
      </c>
      <c r="B1703" t="s">
        <v>557</v>
      </c>
      <c r="C1703" t="s">
        <v>1237</v>
      </c>
      <c r="E1703" s="451">
        <v>46023</v>
      </c>
      <c r="F1703" s="451">
        <v>46023</v>
      </c>
      <c r="G1703" t="s">
        <v>279</v>
      </c>
      <c r="H1703" t="s">
        <v>284</v>
      </c>
      <c r="I1703" t="s">
        <v>1387</v>
      </c>
      <c r="J1703">
        <v>-200</v>
      </c>
      <c r="K1703">
        <v>-200</v>
      </c>
      <c r="O1703" t="s">
        <v>787</v>
      </c>
      <c r="P1703" t="s">
        <v>894</v>
      </c>
      <c r="Q1703" t="s">
        <v>459</v>
      </c>
      <c r="R1703">
        <v>0</v>
      </c>
    </row>
    <row r="1704" spans="1:18" x14ac:dyDescent="0.3">
      <c r="A1704">
        <v>201352</v>
      </c>
      <c r="B1704" t="s">
        <v>557</v>
      </c>
      <c r="C1704" t="s">
        <v>1066</v>
      </c>
      <c r="D1704" t="s">
        <v>2263</v>
      </c>
      <c r="E1704" s="451">
        <v>46023</v>
      </c>
      <c r="F1704" s="451">
        <v>46058</v>
      </c>
      <c r="G1704" t="s">
        <v>564</v>
      </c>
      <c r="H1704" t="s">
        <v>565</v>
      </c>
      <c r="I1704" t="s">
        <v>2221</v>
      </c>
      <c r="J1704">
        <v>-22.35</v>
      </c>
      <c r="K1704">
        <v>-22.35</v>
      </c>
      <c r="O1704" t="s">
        <v>787</v>
      </c>
      <c r="P1704" t="s">
        <v>894</v>
      </c>
      <c r="Q1704" t="s">
        <v>459</v>
      </c>
      <c r="R1704">
        <v>0</v>
      </c>
    </row>
    <row r="1705" spans="1:18" x14ac:dyDescent="0.3">
      <c r="A1705">
        <v>201344</v>
      </c>
      <c r="B1705" t="s">
        <v>557</v>
      </c>
      <c r="C1705" t="s">
        <v>1066</v>
      </c>
      <c r="D1705" t="s">
        <v>2264</v>
      </c>
      <c r="E1705" s="451">
        <v>46023</v>
      </c>
      <c r="F1705" s="451">
        <v>46058</v>
      </c>
      <c r="G1705" t="s">
        <v>581</v>
      </c>
      <c r="H1705" t="s">
        <v>289</v>
      </c>
      <c r="I1705" t="s">
        <v>2265</v>
      </c>
      <c r="J1705">
        <v>-190</v>
      </c>
      <c r="K1705">
        <v>-190</v>
      </c>
      <c r="O1705" t="s">
        <v>787</v>
      </c>
      <c r="P1705" t="s">
        <v>894</v>
      </c>
      <c r="Q1705" t="s">
        <v>459</v>
      </c>
      <c r="R1705">
        <v>0</v>
      </c>
    </row>
    <row r="1706" spans="1:18" x14ac:dyDescent="0.3">
      <c r="A1706">
        <v>201345</v>
      </c>
      <c r="B1706" t="s">
        <v>557</v>
      </c>
      <c r="C1706" t="s">
        <v>1066</v>
      </c>
      <c r="D1706" t="s">
        <v>2266</v>
      </c>
      <c r="E1706" s="451">
        <v>46023</v>
      </c>
      <c r="F1706" s="451">
        <v>46058</v>
      </c>
      <c r="G1706" t="s">
        <v>264</v>
      </c>
      <c r="H1706" t="s">
        <v>278</v>
      </c>
      <c r="I1706" t="s">
        <v>2267</v>
      </c>
      <c r="J1706">
        <v>-49.99</v>
      </c>
      <c r="K1706">
        <v>-49.99</v>
      </c>
      <c r="O1706" t="s">
        <v>787</v>
      </c>
      <c r="P1706" t="s">
        <v>894</v>
      </c>
      <c r="Q1706" t="s">
        <v>459</v>
      </c>
      <c r="R1706">
        <v>0</v>
      </c>
    </row>
    <row r="1707" spans="1:18" x14ac:dyDescent="0.3">
      <c r="A1707">
        <v>201346</v>
      </c>
      <c r="B1707" t="s">
        <v>557</v>
      </c>
      <c r="C1707" t="s">
        <v>1066</v>
      </c>
      <c r="D1707" t="s">
        <v>2268</v>
      </c>
      <c r="E1707" s="451">
        <v>46023</v>
      </c>
      <c r="F1707" s="451">
        <v>46058</v>
      </c>
      <c r="G1707" t="s">
        <v>264</v>
      </c>
      <c r="H1707" t="s">
        <v>272</v>
      </c>
      <c r="I1707" t="s">
        <v>2269</v>
      </c>
      <c r="J1707">
        <v>-70</v>
      </c>
      <c r="K1707">
        <v>-70</v>
      </c>
      <c r="O1707" t="s">
        <v>787</v>
      </c>
      <c r="P1707" t="s">
        <v>894</v>
      </c>
      <c r="Q1707" t="s">
        <v>459</v>
      </c>
      <c r="R1707">
        <v>0</v>
      </c>
    </row>
    <row r="1708" spans="1:18" x14ac:dyDescent="0.3">
      <c r="A1708">
        <v>201347</v>
      </c>
      <c r="B1708" t="s">
        <v>557</v>
      </c>
      <c r="C1708" t="s">
        <v>1066</v>
      </c>
      <c r="D1708" t="s">
        <v>2270</v>
      </c>
      <c r="E1708" s="451">
        <v>46023</v>
      </c>
      <c r="F1708" s="451">
        <v>46058</v>
      </c>
      <c r="G1708" t="s">
        <v>564</v>
      </c>
      <c r="H1708" t="s">
        <v>565</v>
      </c>
      <c r="I1708" t="s">
        <v>2271</v>
      </c>
      <c r="J1708">
        <v>-23.97</v>
      </c>
      <c r="K1708">
        <v>-23.97</v>
      </c>
      <c r="O1708" t="s">
        <v>787</v>
      </c>
      <c r="P1708" t="s">
        <v>894</v>
      </c>
      <c r="Q1708" t="s">
        <v>459</v>
      </c>
      <c r="R1708">
        <v>0</v>
      </c>
    </row>
    <row r="1709" spans="1:18" x14ac:dyDescent="0.3">
      <c r="A1709">
        <v>201348</v>
      </c>
      <c r="B1709" t="s">
        <v>557</v>
      </c>
      <c r="C1709" t="s">
        <v>1066</v>
      </c>
      <c r="D1709" t="s">
        <v>2272</v>
      </c>
      <c r="E1709" s="451">
        <v>46023</v>
      </c>
      <c r="F1709" s="451">
        <v>46058</v>
      </c>
      <c r="G1709" t="s">
        <v>564</v>
      </c>
      <c r="H1709" t="s">
        <v>565</v>
      </c>
      <c r="I1709" t="s">
        <v>2271</v>
      </c>
      <c r="J1709">
        <v>-19.96</v>
      </c>
      <c r="K1709">
        <v>-19.96</v>
      </c>
      <c r="O1709" t="s">
        <v>787</v>
      </c>
      <c r="P1709" t="s">
        <v>894</v>
      </c>
      <c r="Q1709" t="s">
        <v>459</v>
      </c>
      <c r="R1709">
        <v>0</v>
      </c>
    </row>
    <row r="1710" spans="1:18" x14ac:dyDescent="0.3">
      <c r="A1710">
        <v>201349</v>
      </c>
      <c r="B1710" t="s">
        <v>557</v>
      </c>
      <c r="C1710" t="s">
        <v>1066</v>
      </c>
      <c r="D1710" t="s">
        <v>2273</v>
      </c>
      <c r="E1710" s="451">
        <v>46023</v>
      </c>
      <c r="F1710" s="451">
        <v>46058</v>
      </c>
      <c r="G1710" t="s">
        <v>581</v>
      </c>
      <c r="H1710" t="s">
        <v>291</v>
      </c>
      <c r="I1710" t="s">
        <v>2274</v>
      </c>
      <c r="J1710">
        <v>-411.6</v>
      </c>
      <c r="K1710">
        <v>-411.96</v>
      </c>
      <c r="O1710" t="s">
        <v>787</v>
      </c>
      <c r="P1710" t="s">
        <v>894</v>
      </c>
      <c r="Q1710" t="s">
        <v>459</v>
      </c>
      <c r="R1710">
        <v>0</v>
      </c>
    </row>
    <row r="1711" spans="1:18" x14ac:dyDescent="0.3">
      <c r="A1711">
        <v>201350</v>
      </c>
      <c r="B1711" t="s">
        <v>557</v>
      </c>
      <c r="C1711" t="s">
        <v>1066</v>
      </c>
      <c r="D1711" t="s">
        <v>2275</v>
      </c>
      <c r="E1711" s="451">
        <v>46023</v>
      </c>
      <c r="F1711" s="451">
        <v>46058</v>
      </c>
      <c r="G1711" t="s">
        <v>564</v>
      </c>
      <c r="H1711" t="s">
        <v>565</v>
      </c>
      <c r="I1711" t="s">
        <v>2276</v>
      </c>
      <c r="J1711">
        <v>-64.89</v>
      </c>
      <c r="K1711">
        <v>-64.89</v>
      </c>
      <c r="O1711" t="s">
        <v>787</v>
      </c>
      <c r="P1711" t="s">
        <v>894</v>
      </c>
      <c r="Q1711" t="s">
        <v>459</v>
      </c>
      <c r="R1711">
        <v>0</v>
      </c>
    </row>
    <row r="1712" spans="1:18" x14ac:dyDescent="0.3">
      <c r="A1712">
        <v>201351</v>
      </c>
      <c r="B1712" t="s">
        <v>557</v>
      </c>
      <c r="C1712" t="s">
        <v>1066</v>
      </c>
      <c r="D1712" t="s">
        <v>2277</v>
      </c>
      <c r="E1712" s="451">
        <v>46023</v>
      </c>
      <c r="F1712" s="451">
        <v>46058</v>
      </c>
      <c r="G1712" t="s">
        <v>564</v>
      </c>
      <c r="H1712" t="s">
        <v>565</v>
      </c>
      <c r="I1712" t="s">
        <v>2278</v>
      </c>
      <c r="J1712">
        <v>-101.56</v>
      </c>
      <c r="K1712">
        <v>-101.56</v>
      </c>
      <c r="O1712" t="s">
        <v>787</v>
      </c>
      <c r="P1712" t="s">
        <v>894</v>
      </c>
      <c r="Q1712" t="s">
        <v>459</v>
      </c>
      <c r="R1712">
        <v>0</v>
      </c>
    </row>
    <row r="1713" spans="1:18" x14ac:dyDescent="0.3">
      <c r="A1713">
        <v>201343</v>
      </c>
      <c r="B1713" t="s">
        <v>557</v>
      </c>
      <c r="C1713" t="s">
        <v>1066</v>
      </c>
      <c r="D1713" t="s">
        <v>2279</v>
      </c>
      <c r="E1713" s="451">
        <v>46023</v>
      </c>
      <c r="F1713" s="451">
        <v>46058</v>
      </c>
      <c r="G1713" t="s">
        <v>564</v>
      </c>
      <c r="H1713" t="s">
        <v>565</v>
      </c>
      <c r="I1713" t="s">
        <v>2280</v>
      </c>
      <c r="J1713">
        <v>-8.7799999999999994</v>
      </c>
      <c r="K1713">
        <v>-8.7799999999999994</v>
      </c>
      <c r="O1713" t="s">
        <v>787</v>
      </c>
      <c r="P1713" t="s">
        <v>894</v>
      </c>
      <c r="Q1713" t="s">
        <v>459</v>
      </c>
      <c r="R1713">
        <v>0</v>
      </c>
    </row>
    <row r="1714" spans="1:18" x14ac:dyDescent="0.3">
      <c r="A1714">
        <v>201353</v>
      </c>
      <c r="B1714" t="s">
        <v>557</v>
      </c>
      <c r="C1714" t="s">
        <v>1066</v>
      </c>
      <c r="D1714" t="s">
        <v>2281</v>
      </c>
      <c r="E1714" s="451">
        <v>46023</v>
      </c>
      <c r="F1714" s="451">
        <v>46058</v>
      </c>
      <c r="G1714" t="s">
        <v>264</v>
      </c>
      <c r="H1714" t="s">
        <v>272</v>
      </c>
      <c r="I1714" t="s">
        <v>2282</v>
      </c>
      <c r="J1714">
        <v>-46.5</v>
      </c>
      <c r="K1714">
        <v>-46.5</v>
      </c>
      <c r="O1714" t="s">
        <v>787</v>
      </c>
      <c r="P1714" t="s">
        <v>894</v>
      </c>
      <c r="Q1714" t="s">
        <v>459</v>
      </c>
      <c r="R1714">
        <v>0</v>
      </c>
    </row>
    <row r="1715" spans="1:18" x14ac:dyDescent="0.3">
      <c r="A1715">
        <v>201354</v>
      </c>
      <c r="B1715" t="s">
        <v>557</v>
      </c>
      <c r="C1715" t="s">
        <v>1066</v>
      </c>
      <c r="D1715" t="s">
        <v>2283</v>
      </c>
      <c r="E1715" s="451">
        <v>46023</v>
      </c>
      <c r="F1715" s="451">
        <v>46058</v>
      </c>
      <c r="G1715" t="s">
        <v>564</v>
      </c>
      <c r="H1715" t="s">
        <v>565</v>
      </c>
      <c r="I1715" t="s">
        <v>2284</v>
      </c>
      <c r="J1715">
        <v>-11.15</v>
      </c>
      <c r="K1715">
        <v>-11.15</v>
      </c>
      <c r="O1715" t="s">
        <v>787</v>
      </c>
      <c r="P1715" t="s">
        <v>894</v>
      </c>
      <c r="Q1715" t="s">
        <v>459</v>
      </c>
      <c r="R1715">
        <v>0</v>
      </c>
    </row>
    <row r="1716" spans="1:18" x14ac:dyDescent="0.3">
      <c r="A1716">
        <v>201355</v>
      </c>
      <c r="B1716" t="s">
        <v>557</v>
      </c>
      <c r="C1716" t="s">
        <v>1066</v>
      </c>
      <c r="D1716" t="s">
        <v>2285</v>
      </c>
      <c r="E1716" s="451">
        <v>46023</v>
      </c>
      <c r="F1716" s="451">
        <v>46058</v>
      </c>
      <c r="G1716" t="s">
        <v>564</v>
      </c>
      <c r="H1716" t="s">
        <v>565</v>
      </c>
      <c r="I1716" t="s">
        <v>2284</v>
      </c>
      <c r="J1716">
        <v>-19.579999999999998</v>
      </c>
      <c r="K1716">
        <v>-19.579999999999998</v>
      </c>
      <c r="O1716" t="s">
        <v>787</v>
      </c>
      <c r="P1716" t="s">
        <v>894</v>
      </c>
      <c r="Q1716" t="s">
        <v>459</v>
      </c>
      <c r="R1716">
        <v>0</v>
      </c>
    </row>
    <row r="1717" spans="1:18" x14ac:dyDescent="0.3">
      <c r="A1717">
        <v>201378</v>
      </c>
      <c r="B1717" t="s">
        <v>557</v>
      </c>
      <c r="C1717" t="s">
        <v>1066</v>
      </c>
      <c r="D1717" t="s">
        <v>2286</v>
      </c>
      <c r="E1717" s="451">
        <v>46023</v>
      </c>
      <c r="F1717" s="451">
        <v>46058</v>
      </c>
      <c r="G1717" t="s">
        <v>564</v>
      </c>
      <c r="H1717" t="s">
        <v>565</v>
      </c>
      <c r="I1717" t="s">
        <v>2217</v>
      </c>
      <c r="J1717">
        <v>-199.14</v>
      </c>
      <c r="K1717">
        <v>-199.14</v>
      </c>
      <c r="O1717" t="s">
        <v>787</v>
      </c>
      <c r="P1717" t="s">
        <v>894</v>
      </c>
      <c r="Q1717" t="s">
        <v>459</v>
      </c>
      <c r="R1717">
        <v>0</v>
      </c>
    </row>
    <row r="1718" spans="1:18" x14ac:dyDescent="0.3">
      <c r="A1718">
        <v>185006</v>
      </c>
      <c r="B1718" t="s">
        <v>557</v>
      </c>
      <c r="C1718" t="s">
        <v>1781</v>
      </c>
      <c r="D1718" t="s">
        <v>2287</v>
      </c>
      <c r="E1718" s="451">
        <v>46023</v>
      </c>
      <c r="F1718" s="451">
        <v>46022</v>
      </c>
      <c r="G1718" t="s">
        <v>577</v>
      </c>
      <c r="H1718" t="s">
        <v>215</v>
      </c>
      <c r="I1718" t="s">
        <v>2288</v>
      </c>
      <c r="J1718">
        <v>-4765.37</v>
      </c>
      <c r="K1718">
        <v>-4765.37</v>
      </c>
      <c r="O1718" t="s">
        <v>787</v>
      </c>
      <c r="P1718" t="s">
        <v>894</v>
      </c>
      <c r="Q1718" t="s">
        <v>459</v>
      </c>
      <c r="R1718">
        <v>0</v>
      </c>
    </row>
    <row r="1719" spans="1:18" x14ac:dyDescent="0.3">
      <c r="A1719">
        <v>192023</v>
      </c>
      <c r="B1719" t="s">
        <v>557</v>
      </c>
      <c r="C1719" t="s">
        <v>870</v>
      </c>
      <c r="D1719" t="s">
        <v>2289</v>
      </c>
      <c r="E1719" s="451">
        <v>46023</v>
      </c>
      <c r="F1719" s="451">
        <v>46048</v>
      </c>
      <c r="G1719" t="s">
        <v>308</v>
      </c>
      <c r="H1719" t="s">
        <v>311</v>
      </c>
      <c r="I1719" t="s">
        <v>2290</v>
      </c>
      <c r="J1719">
        <v>-1250</v>
      </c>
      <c r="K1719">
        <v>-1250</v>
      </c>
      <c r="O1719" t="s">
        <v>787</v>
      </c>
      <c r="P1719" t="s">
        <v>894</v>
      </c>
      <c r="Q1719" t="s">
        <v>459</v>
      </c>
      <c r="R1719">
        <v>0</v>
      </c>
    </row>
    <row r="1720" spans="1:18" x14ac:dyDescent="0.3">
      <c r="A1720">
        <v>202804</v>
      </c>
      <c r="B1720" t="s">
        <v>557</v>
      </c>
      <c r="C1720" t="s">
        <v>1066</v>
      </c>
      <c r="D1720" t="s">
        <v>2291</v>
      </c>
      <c r="E1720" s="451">
        <v>46023</v>
      </c>
      <c r="F1720" s="451">
        <v>46058</v>
      </c>
      <c r="G1720" t="s">
        <v>581</v>
      </c>
      <c r="H1720" t="s">
        <v>291</v>
      </c>
      <c r="I1720" t="s">
        <v>2292</v>
      </c>
      <c r="J1720">
        <v>-271.92</v>
      </c>
      <c r="K1720">
        <v>-271.92</v>
      </c>
      <c r="O1720" t="s">
        <v>787</v>
      </c>
      <c r="P1720" t="s">
        <v>894</v>
      </c>
      <c r="Q1720" t="s">
        <v>459</v>
      </c>
      <c r="R1720">
        <v>0</v>
      </c>
    </row>
    <row r="1721" spans="1:18" x14ac:dyDescent="0.3">
      <c r="A1721">
        <v>202805</v>
      </c>
      <c r="B1721" t="s">
        <v>557</v>
      </c>
      <c r="C1721" t="s">
        <v>1066</v>
      </c>
      <c r="D1721" t="s">
        <v>2293</v>
      </c>
      <c r="E1721" s="451">
        <v>46023</v>
      </c>
      <c r="F1721" s="451">
        <v>46086</v>
      </c>
      <c r="G1721" t="s">
        <v>564</v>
      </c>
      <c r="H1721" t="s">
        <v>565</v>
      </c>
      <c r="I1721" t="s">
        <v>2294</v>
      </c>
      <c r="J1721">
        <v>269.08</v>
      </c>
      <c r="K1721">
        <v>269.08</v>
      </c>
      <c r="O1721" t="s">
        <v>787</v>
      </c>
      <c r="P1721" t="s">
        <v>894</v>
      </c>
      <c r="Q1721" t="s">
        <v>459</v>
      </c>
      <c r="R1721">
        <v>0</v>
      </c>
    </row>
    <row r="1722" spans="1:18" x14ac:dyDescent="0.3">
      <c r="A1722">
        <v>113923</v>
      </c>
      <c r="B1722" t="s">
        <v>557</v>
      </c>
      <c r="C1722" t="s">
        <v>932</v>
      </c>
      <c r="D1722" t="s">
        <v>2295</v>
      </c>
      <c r="E1722" s="451">
        <v>46023</v>
      </c>
      <c r="F1722" s="451">
        <v>46037</v>
      </c>
      <c r="G1722" t="s">
        <v>264</v>
      </c>
      <c r="H1722" t="s">
        <v>270</v>
      </c>
      <c r="I1722" t="s">
        <v>2296</v>
      </c>
      <c r="J1722">
        <v>-550</v>
      </c>
      <c r="K1722">
        <v>-567.04999999999995</v>
      </c>
      <c r="O1722" t="s">
        <v>787</v>
      </c>
      <c r="P1722" t="s">
        <v>894</v>
      </c>
      <c r="Q1722" t="s">
        <v>459</v>
      </c>
      <c r="R1722">
        <v>0</v>
      </c>
    </row>
    <row r="1723" spans="1:18" x14ac:dyDescent="0.3">
      <c r="A1723">
        <v>200500</v>
      </c>
      <c r="B1723" t="s">
        <v>557</v>
      </c>
      <c r="C1723" t="s">
        <v>2016</v>
      </c>
      <c r="D1723" t="s">
        <v>1365</v>
      </c>
      <c r="E1723" s="451">
        <v>46023</v>
      </c>
      <c r="F1723" s="451">
        <v>46055</v>
      </c>
      <c r="G1723" t="s">
        <v>570</v>
      </c>
      <c r="H1723" t="s">
        <v>573</v>
      </c>
      <c r="I1723" t="s">
        <v>880</v>
      </c>
      <c r="J1723">
        <v>-2000</v>
      </c>
      <c r="K1723">
        <v>-2000</v>
      </c>
      <c r="M1723" t="s">
        <v>821</v>
      </c>
      <c r="N1723" t="s">
        <v>133</v>
      </c>
      <c r="O1723" t="s">
        <v>787</v>
      </c>
      <c r="P1723" t="s">
        <v>894</v>
      </c>
      <c r="Q1723" t="s">
        <v>459</v>
      </c>
      <c r="R1723">
        <v>0</v>
      </c>
    </row>
    <row r="1724" spans="1:18" x14ac:dyDescent="0.3">
      <c r="A1724">
        <v>189815</v>
      </c>
      <c r="B1724" t="s">
        <v>557</v>
      </c>
      <c r="C1724" t="s">
        <v>909</v>
      </c>
      <c r="D1724" t="s">
        <v>1673</v>
      </c>
      <c r="E1724" s="451">
        <v>46023</v>
      </c>
      <c r="F1724" s="451">
        <v>46042</v>
      </c>
      <c r="G1724" t="s">
        <v>308</v>
      </c>
      <c r="H1724" t="s">
        <v>311</v>
      </c>
      <c r="I1724" t="s">
        <v>2297</v>
      </c>
      <c r="J1724">
        <v>-300</v>
      </c>
      <c r="K1724">
        <v>-300</v>
      </c>
      <c r="O1724" t="s">
        <v>787</v>
      </c>
      <c r="P1724" t="s">
        <v>894</v>
      </c>
      <c r="Q1724" t="s">
        <v>459</v>
      </c>
      <c r="R1724">
        <v>0</v>
      </c>
    </row>
    <row r="1725" spans="1:18" x14ac:dyDescent="0.3">
      <c r="A1725">
        <v>116660</v>
      </c>
      <c r="B1725" t="s">
        <v>557</v>
      </c>
      <c r="C1725" t="s">
        <v>934</v>
      </c>
      <c r="D1725" t="s">
        <v>2298</v>
      </c>
      <c r="E1725" s="451">
        <v>46023</v>
      </c>
      <c r="F1725" s="451">
        <v>46042</v>
      </c>
      <c r="G1725" t="s">
        <v>308</v>
      </c>
      <c r="H1725" t="s">
        <v>312</v>
      </c>
      <c r="I1725" t="s">
        <v>2299</v>
      </c>
      <c r="J1725">
        <v>-185</v>
      </c>
      <c r="K1725">
        <v>-185</v>
      </c>
      <c r="O1725" t="s">
        <v>787</v>
      </c>
      <c r="P1725" t="s">
        <v>894</v>
      </c>
      <c r="Q1725" t="s">
        <v>459</v>
      </c>
      <c r="R1725">
        <v>0</v>
      </c>
    </row>
    <row r="1726" spans="1:18" x14ac:dyDescent="0.3">
      <c r="A1726">
        <v>114010</v>
      </c>
      <c r="B1726" t="s">
        <v>557</v>
      </c>
      <c r="C1726" t="s">
        <v>823</v>
      </c>
      <c r="D1726" t="s">
        <v>2300</v>
      </c>
      <c r="E1726" s="451">
        <v>46023</v>
      </c>
      <c r="F1726" s="451">
        <v>46037</v>
      </c>
      <c r="G1726" t="s">
        <v>279</v>
      </c>
      <c r="H1726" t="s">
        <v>286</v>
      </c>
      <c r="I1726" t="s">
        <v>2301</v>
      </c>
      <c r="J1726">
        <v>-219</v>
      </c>
      <c r="K1726">
        <v>-223.87</v>
      </c>
      <c r="O1726" t="s">
        <v>787</v>
      </c>
      <c r="P1726" t="s">
        <v>894</v>
      </c>
      <c r="Q1726" t="s">
        <v>459</v>
      </c>
      <c r="R1726">
        <v>0</v>
      </c>
    </row>
    <row r="1727" spans="1:18" x14ac:dyDescent="0.3">
      <c r="A1727">
        <v>113987</v>
      </c>
      <c r="B1727" t="s">
        <v>557</v>
      </c>
      <c r="C1727" t="s">
        <v>840</v>
      </c>
      <c r="D1727" t="s">
        <v>2302</v>
      </c>
      <c r="E1727" s="451">
        <v>46023</v>
      </c>
      <c r="F1727" s="451">
        <v>46052</v>
      </c>
      <c r="G1727" t="s">
        <v>581</v>
      </c>
      <c r="H1727" t="s">
        <v>288</v>
      </c>
      <c r="I1727" t="s">
        <v>2303</v>
      </c>
      <c r="J1727">
        <v>-2500</v>
      </c>
      <c r="K1727">
        <v>-2500</v>
      </c>
      <c r="O1727" t="s">
        <v>787</v>
      </c>
      <c r="P1727" t="s">
        <v>894</v>
      </c>
      <c r="Q1727" t="s">
        <v>459</v>
      </c>
      <c r="R1727">
        <v>0</v>
      </c>
    </row>
    <row r="1728" spans="1:18" x14ac:dyDescent="0.3">
      <c r="A1728">
        <v>113977</v>
      </c>
      <c r="B1728" t="s">
        <v>557</v>
      </c>
      <c r="C1728" t="s">
        <v>851</v>
      </c>
      <c r="D1728" t="s">
        <v>2304</v>
      </c>
      <c r="E1728" s="451">
        <v>46023</v>
      </c>
      <c r="F1728" s="451">
        <v>46051</v>
      </c>
      <c r="G1728" t="s">
        <v>318</v>
      </c>
      <c r="H1728" t="s">
        <v>320</v>
      </c>
      <c r="I1728" t="s">
        <v>2305</v>
      </c>
      <c r="J1728">
        <v>-143.81</v>
      </c>
      <c r="K1728">
        <v>-152.06</v>
      </c>
      <c r="O1728" t="s">
        <v>787</v>
      </c>
      <c r="P1728" t="s">
        <v>894</v>
      </c>
      <c r="Q1728" t="s">
        <v>459</v>
      </c>
      <c r="R1728">
        <v>0</v>
      </c>
    </row>
    <row r="1729" spans="1:18" x14ac:dyDescent="0.3">
      <c r="A1729">
        <v>113949</v>
      </c>
      <c r="B1729" t="s">
        <v>557</v>
      </c>
      <c r="C1729" t="s">
        <v>936</v>
      </c>
      <c r="D1729" t="s">
        <v>2306</v>
      </c>
      <c r="E1729" s="451">
        <v>46023</v>
      </c>
      <c r="F1729" s="451">
        <v>46042</v>
      </c>
      <c r="G1729" t="s">
        <v>318</v>
      </c>
      <c r="H1729" t="s">
        <v>319</v>
      </c>
      <c r="I1729" t="s">
        <v>2307</v>
      </c>
      <c r="J1729">
        <v>-1264</v>
      </c>
      <c r="K1729">
        <v>-1382.53</v>
      </c>
      <c r="O1729" t="s">
        <v>787</v>
      </c>
      <c r="P1729" t="s">
        <v>894</v>
      </c>
      <c r="Q1729" t="s">
        <v>459</v>
      </c>
      <c r="R1729">
        <v>0</v>
      </c>
    </row>
    <row r="1730" spans="1:18" x14ac:dyDescent="0.3">
      <c r="A1730">
        <v>113934</v>
      </c>
      <c r="B1730" t="s">
        <v>557</v>
      </c>
      <c r="C1730" t="s">
        <v>911</v>
      </c>
      <c r="D1730" t="s">
        <v>2308</v>
      </c>
      <c r="E1730" s="451">
        <v>46023</v>
      </c>
      <c r="F1730" s="451">
        <v>46032</v>
      </c>
      <c r="G1730" t="s">
        <v>279</v>
      </c>
      <c r="H1730" t="s">
        <v>281</v>
      </c>
      <c r="I1730" t="s">
        <v>2309</v>
      </c>
      <c r="J1730">
        <v>-299.99</v>
      </c>
      <c r="K1730">
        <v>-299.99</v>
      </c>
      <c r="O1730" t="s">
        <v>787</v>
      </c>
      <c r="P1730" t="s">
        <v>894</v>
      </c>
      <c r="Q1730" t="s">
        <v>459</v>
      </c>
      <c r="R1730">
        <v>0</v>
      </c>
    </row>
    <row r="1731" spans="1:18" x14ac:dyDescent="0.3">
      <c r="A1731">
        <v>113967</v>
      </c>
      <c r="B1731" t="s">
        <v>557</v>
      </c>
      <c r="C1731" t="s">
        <v>836</v>
      </c>
      <c r="D1731" t="s">
        <v>2310</v>
      </c>
      <c r="E1731" s="451">
        <v>46023</v>
      </c>
      <c r="F1731" s="451">
        <v>46043</v>
      </c>
      <c r="G1731" t="s">
        <v>318</v>
      </c>
      <c r="H1731" t="s">
        <v>319</v>
      </c>
      <c r="I1731" t="s">
        <v>2311</v>
      </c>
      <c r="J1731">
        <v>-500</v>
      </c>
      <c r="K1731">
        <v>-500</v>
      </c>
      <c r="O1731" t="s">
        <v>787</v>
      </c>
      <c r="P1731" t="s">
        <v>894</v>
      </c>
      <c r="Q1731" t="s">
        <v>459</v>
      </c>
      <c r="R1731">
        <v>0</v>
      </c>
    </row>
    <row r="1732" spans="1:18" x14ac:dyDescent="0.3">
      <c r="A1732">
        <v>200487</v>
      </c>
      <c r="B1732" t="s">
        <v>557</v>
      </c>
      <c r="C1732" t="s">
        <v>888</v>
      </c>
      <c r="D1732" t="s">
        <v>2312</v>
      </c>
      <c r="E1732" s="451">
        <v>46023</v>
      </c>
      <c r="F1732" s="451">
        <v>46078</v>
      </c>
      <c r="G1732" t="s">
        <v>570</v>
      </c>
      <c r="H1732" t="s">
        <v>573</v>
      </c>
      <c r="I1732" t="s">
        <v>880</v>
      </c>
      <c r="J1732">
        <v>-4400</v>
      </c>
      <c r="K1732">
        <v>-4400</v>
      </c>
      <c r="M1732" t="s">
        <v>887</v>
      </c>
      <c r="N1732" t="s">
        <v>131</v>
      </c>
      <c r="O1732" t="s">
        <v>787</v>
      </c>
      <c r="P1732" t="s">
        <v>894</v>
      </c>
      <c r="Q1732" t="s">
        <v>459</v>
      </c>
      <c r="R1732">
        <v>0</v>
      </c>
    </row>
    <row r="1733" spans="1:18" x14ac:dyDescent="0.3">
      <c r="A1733">
        <v>113912</v>
      </c>
      <c r="B1733" t="s">
        <v>557</v>
      </c>
      <c r="C1733" t="s">
        <v>2313</v>
      </c>
      <c r="D1733" t="s">
        <v>2314</v>
      </c>
      <c r="E1733" s="451">
        <v>46023</v>
      </c>
      <c r="F1733" s="451">
        <v>46053</v>
      </c>
      <c r="G1733" t="s">
        <v>264</v>
      </c>
      <c r="H1733" t="s">
        <v>271</v>
      </c>
      <c r="I1733" t="s">
        <v>2315</v>
      </c>
      <c r="J1733">
        <v>-1249.9100000000001</v>
      </c>
      <c r="K1733">
        <v>-1249.9100000000001</v>
      </c>
      <c r="O1733" t="s">
        <v>787</v>
      </c>
      <c r="P1733" t="s">
        <v>894</v>
      </c>
      <c r="Q1733" t="s">
        <v>459</v>
      </c>
      <c r="R1733">
        <v>0</v>
      </c>
    </row>
    <row r="1734" spans="1:18" x14ac:dyDescent="0.3">
      <c r="A1734">
        <v>191845</v>
      </c>
      <c r="B1734" t="s">
        <v>557</v>
      </c>
      <c r="C1734" t="s">
        <v>898</v>
      </c>
      <c r="D1734" t="s">
        <v>2316</v>
      </c>
      <c r="E1734" s="451">
        <v>46023</v>
      </c>
      <c r="F1734" s="451">
        <v>46062</v>
      </c>
      <c r="G1734" t="s">
        <v>279</v>
      </c>
      <c r="H1734" t="s">
        <v>281</v>
      </c>
      <c r="I1734" t="s">
        <v>2317</v>
      </c>
      <c r="J1734">
        <v>-137.25</v>
      </c>
      <c r="K1734">
        <v>-137.25</v>
      </c>
      <c r="O1734" t="s">
        <v>787</v>
      </c>
      <c r="P1734" t="s">
        <v>894</v>
      </c>
      <c r="Q1734" t="s">
        <v>459</v>
      </c>
      <c r="R1734">
        <v>0</v>
      </c>
    </row>
    <row r="1735" spans="1:18" x14ac:dyDescent="0.3">
      <c r="A1735">
        <v>200461</v>
      </c>
      <c r="B1735" t="s">
        <v>557</v>
      </c>
      <c r="C1735" t="s">
        <v>888</v>
      </c>
      <c r="D1735" t="s">
        <v>2312</v>
      </c>
      <c r="E1735" s="451">
        <v>46023</v>
      </c>
      <c r="F1735" s="451">
        <v>46055</v>
      </c>
      <c r="G1735" t="s">
        <v>570</v>
      </c>
      <c r="H1735" t="s">
        <v>573</v>
      </c>
      <c r="I1735" t="s">
        <v>880</v>
      </c>
      <c r="J1735">
        <v>-3300</v>
      </c>
      <c r="K1735">
        <v>-3300</v>
      </c>
      <c r="M1735" t="s">
        <v>887</v>
      </c>
      <c r="N1735" t="s">
        <v>131</v>
      </c>
      <c r="O1735" t="s">
        <v>787</v>
      </c>
      <c r="P1735" t="s">
        <v>894</v>
      </c>
      <c r="Q1735" t="s">
        <v>459</v>
      </c>
      <c r="R1735">
        <v>0</v>
      </c>
    </row>
    <row r="1736" spans="1:18" x14ac:dyDescent="0.3">
      <c r="A1736">
        <v>113843</v>
      </c>
      <c r="B1736" t="s">
        <v>557</v>
      </c>
      <c r="C1736" t="s">
        <v>838</v>
      </c>
      <c r="D1736" t="s">
        <v>2318</v>
      </c>
      <c r="E1736" s="451">
        <v>46023</v>
      </c>
      <c r="F1736" s="451">
        <v>46032</v>
      </c>
      <c r="G1736" t="s">
        <v>264</v>
      </c>
      <c r="H1736" t="s">
        <v>267</v>
      </c>
      <c r="I1736" t="s">
        <v>2319</v>
      </c>
      <c r="J1736">
        <v>-5642.05</v>
      </c>
      <c r="K1736">
        <v>-5642.05</v>
      </c>
      <c r="O1736" t="s">
        <v>787</v>
      </c>
      <c r="P1736" t="s">
        <v>894</v>
      </c>
      <c r="Q1736" t="s">
        <v>459</v>
      </c>
      <c r="R1736">
        <v>0</v>
      </c>
    </row>
    <row r="1737" spans="1:18" x14ac:dyDescent="0.3">
      <c r="A1737">
        <v>191881</v>
      </c>
      <c r="B1737" t="s">
        <v>557</v>
      </c>
      <c r="C1737" t="s">
        <v>900</v>
      </c>
      <c r="D1737" t="s">
        <v>2320</v>
      </c>
      <c r="E1737" s="451">
        <v>46023</v>
      </c>
      <c r="F1737" s="451">
        <v>46057</v>
      </c>
      <c r="G1737" t="s">
        <v>264</v>
      </c>
      <c r="H1737" t="s">
        <v>266</v>
      </c>
      <c r="I1737" t="s">
        <v>2321</v>
      </c>
      <c r="J1737">
        <v>-13009.5</v>
      </c>
      <c r="K1737">
        <v>-13009.5</v>
      </c>
      <c r="O1737" t="s">
        <v>787</v>
      </c>
      <c r="P1737" t="s">
        <v>894</v>
      </c>
      <c r="Q1737" t="s">
        <v>459</v>
      </c>
      <c r="R1737">
        <v>0</v>
      </c>
    </row>
    <row r="1738" spans="1:18" x14ac:dyDescent="0.3">
      <c r="A1738">
        <v>191917</v>
      </c>
      <c r="B1738" t="s">
        <v>557</v>
      </c>
      <c r="C1738" t="s">
        <v>889</v>
      </c>
      <c r="D1738" t="s">
        <v>2322</v>
      </c>
      <c r="E1738" s="451">
        <v>46023</v>
      </c>
      <c r="F1738" s="451">
        <v>46045</v>
      </c>
      <c r="G1738" t="s">
        <v>279</v>
      </c>
      <c r="H1738" t="s">
        <v>282</v>
      </c>
      <c r="I1738" t="s">
        <v>2323</v>
      </c>
      <c r="J1738">
        <v>-308.07</v>
      </c>
      <c r="K1738">
        <v>-308.07</v>
      </c>
      <c r="O1738" t="s">
        <v>787</v>
      </c>
      <c r="P1738" t="s">
        <v>894</v>
      </c>
      <c r="Q1738" t="s">
        <v>459</v>
      </c>
      <c r="R1738">
        <v>0</v>
      </c>
    </row>
    <row r="1739" spans="1:18" x14ac:dyDescent="0.3">
      <c r="A1739">
        <v>200474</v>
      </c>
      <c r="B1739" t="s">
        <v>557</v>
      </c>
      <c r="C1739" t="s">
        <v>888</v>
      </c>
      <c r="D1739" t="s">
        <v>2312</v>
      </c>
      <c r="E1739" s="451">
        <v>46023</v>
      </c>
      <c r="F1739" s="451">
        <v>46068</v>
      </c>
      <c r="G1739" t="s">
        <v>570</v>
      </c>
      <c r="H1739" t="s">
        <v>573</v>
      </c>
      <c r="I1739" t="s">
        <v>880</v>
      </c>
      <c r="J1739">
        <v>-3300</v>
      </c>
      <c r="K1739">
        <v>-3300</v>
      </c>
      <c r="M1739" t="s">
        <v>887</v>
      </c>
      <c r="N1739" t="s">
        <v>131</v>
      </c>
      <c r="O1739" t="s">
        <v>787</v>
      </c>
      <c r="P1739" t="s">
        <v>894</v>
      </c>
      <c r="Q1739" t="s">
        <v>459</v>
      </c>
      <c r="R1739">
        <v>0</v>
      </c>
    </row>
    <row r="1740" spans="1:18" x14ac:dyDescent="0.3">
      <c r="A1740">
        <v>200526</v>
      </c>
      <c r="B1740" t="s">
        <v>557</v>
      </c>
      <c r="C1740" t="s">
        <v>886</v>
      </c>
      <c r="D1740" t="s">
        <v>1366</v>
      </c>
      <c r="E1740" s="451">
        <v>46023</v>
      </c>
      <c r="F1740" s="451">
        <v>46055</v>
      </c>
      <c r="G1740" t="s">
        <v>570</v>
      </c>
      <c r="H1740" t="s">
        <v>573</v>
      </c>
      <c r="I1740" t="s">
        <v>880</v>
      </c>
      <c r="J1740">
        <v>-3300</v>
      </c>
      <c r="K1740">
        <v>-3300</v>
      </c>
      <c r="M1740" t="s">
        <v>887</v>
      </c>
      <c r="N1740" t="s">
        <v>131</v>
      </c>
      <c r="O1740" t="s">
        <v>787</v>
      </c>
      <c r="P1740" t="s">
        <v>894</v>
      </c>
      <c r="Q1740" t="s">
        <v>459</v>
      </c>
      <c r="R1740">
        <v>0</v>
      </c>
    </row>
    <row r="1741" spans="1:18" x14ac:dyDescent="0.3">
      <c r="A1741">
        <v>200513</v>
      </c>
      <c r="B1741" t="s">
        <v>557</v>
      </c>
      <c r="C1741" t="s">
        <v>2016</v>
      </c>
      <c r="D1741" t="s">
        <v>1365</v>
      </c>
      <c r="E1741" s="451">
        <v>46023</v>
      </c>
      <c r="F1741" s="451">
        <v>46068</v>
      </c>
      <c r="G1741" t="s">
        <v>570</v>
      </c>
      <c r="H1741" t="s">
        <v>573</v>
      </c>
      <c r="I1741" t="s">
        <v>880</v>
      </c>
      <c r="J1741">
        <v>-2000</v>
      </c>
      <c r="K1741">
        <v>-2000</v>
      </c>
      <c r="M1741" t="s">
        <v>821</v>
      </c>
      <c r="N1741" t="s">
        <v>133</v>
      </c>
      <c r="O1741" t="s">
        <v>787</v>
      </c>
      <c r="P1741" t="s">
        <v>894</v>
      </c>
      <c r="Q1741" t="s">
        <v>459</v>
      </c>
      <c r="R1741">
        <v>0</v>
      </c>
    </row>
    <row r="1742" spans="1:18" x14ac:dyDescent="0.3">
      <c r="A1742">
        <v>200448</v>
      </c>
      <c r="B1742" t="s">
        <v>557</v>
      </c>
      <c r="C1742" t="s">
        <v>879</v>
      </c>
      <c r="D1742" t="s">
        <v>1208</v>
      </c>
      <c r="E1742" s="451">
        <v>46023</v>
      </c>
      <c r="F1742" s="451">
        <v>46068</v>
      </c>
      <c r="G1742" t="s">
        <v>570</v>
      </c>
      <c r="H1742" t="s">
        <v>573</v>
      </c>
      <c r="I1742" t="s">
        <v>880</v>
      </c>
      <c r="J1742">
        <v>-2000</v>
      </c>
      <c r="K1742">
        <v>-2000</v>
      </c>
      <c r="M1742" t="s">
        <v>881</v>
      </c>
      <c r="N1742" t="s">
        <v>73</v>
      </c>
      <c r="O1742" t="s">
        <v>787</v>
      </c>
      <c r="P1742" t="s">
        <v>894</v>
      </c>
      <c r="Q1742" t="s">
        <v>459</v>
      </c>
      <c r="R1742">
        <v>0</v>
      </c>
    </row>
    <row r="1743" spans="1:18" x14ac:dyDescent="0.3">
      <c r="A1743">
        <v>198824</v>
      </c>
      <c r="B1743" t="s">
        <v>557</v>
      </c>
      <c r="C1743" t="s">
        <v>2324</v>
      </c>
      <c r="D1743" t="s">
        <v>2195</v>
      </c>
      <c r="E1743" s="451">
        <v>46023</v>
      </c>
      <c r="F1743" s="451">
        <v>46058</v>
      </c>
      <c r="G1743" t="s">
        <v>279</v>
      </c>
      <c r="H1743" t="s">
        <v>282</v>
      </c>
      <c r="I1743" t="s">
        <v>2325</v>
      </c>
      <c r="J1743">
        <v>-24.9</v>
      </c>
      <c r="K1743">
        <v>-24.9</v>
      </c>
      <c r="O1743" t="s">
        <v>787</v>
      </c>
      <c r="P1743" t="s">
        <v>894</v>
      </c>
      <c r="Q1743" t="s">
        <v>459</v>
      </c>
      <c r="R1743">
        <v>0</v>
      </c>
    </row>
    <row r="1744" spans="1:18" x14ac:dyDescent="0.3">
      <c r="A1744">
        <v>198303</v>
      </c>
      <c r="B1744" t="s">
        <v>557</v>
      </c>
      <c r="C1744" t="s">
        <v>2179</v>
      </c>
      <c r="D1744" t="s">
        <v>2326</v>
      </c>
      <c r="E1744" s="451">
        <v>46023</v>
      </c>
      <c r="F1744" s="451">
        <v>46056</v>
      </c>
      <c r="G1744" t="s">
        <v>577</v>
      </c>
      <c r="H1744" t="s">
        <v>225</v>
      </c>
      <c r="I1744" t="s">
        <v>2327</v>
      </c>
      <c r="J1744">
        <v>-3175.47</v>
      </c>
      <c r="K1744">
        <v>-3175.47</v>
      </c>
      <c r="O1744" t="s">
        <v>787</v>
      </c>
      <c r="P1744" t="s">
        <v>894</v>
      </c>
      <c r="Q1744" t="s">
        <v>459</v>
      </c>
      <c r="R1744">
        <v>0</v>
      </c>
    </row>
    <row r="1745" spans="1:18" x14ac:dyDescent="0.3">
      <c r="A1745">
        <v>189838</v>
      </c>
      <c r="B1745" t="s">
        <v>557</v>
      </c>
      <c r="C1745" t="s">
        <v>830</v>
      </c>
      <c r="D1745" t="s">
        <v>2328</v>
      </c>
      <c r="E1745" s="451">
        <v>46023</v>
      </c>
      <c r="F1745" s="451">
        <v>46041</v>
      </c>
      <c r="G1745" t="s">
        <v>264</v>
      </c>
      <c r="H1745" t="s">
        <v>276</v>
      </c>
      <c r="I1745" t="s">
        <v>2329</v>
      </c>
      <c r="J1745">
        <v>-1512</v>
      </c>
      <c r="K1745">
        <v>-1512</v>
      </c>
      <c r="O1745" t="s">
        <v>787</v>
      </c>
      <c r="P1745" t="s">
        <v>894</v>
      </c>
      <c r="Q1745" t="s">
        <v>459</v>
      </c>
      <c r="R1745">
        <v>0</v>
      </c>
    </row>
    <row r="1746" spans="1:18" x14ac:dyDescent="0.3">
      <c r="A1746">
        <v>190506</v>
      </c>
      <c r="B1746" t="s">
        <v>557</v>
      </c>
      <c r="C1746" t="s">
        <v>2330</v>
      </c>
      <c r="D1746" t="s">
        <v>1772</v>
      </c>
      <c r="E1746" s="451">
        <v>46023</v>
      </c>
      <c r="F1746" s="451">
        <v>46037</v>
      </c>
      <c r="G1746" t="s">
        <v>570</v>
      </c>
      <c r="H1746" t="s">
        <v>573</v>
      </c>
      <c r="I1746" t="s">
        <v>458</v>
      </c>
      <c r="J1746">
        <v>-960</v>
      </c>
      <c r="K1746">
        <v>-960</v>
      </c>
      <c r="M1746" t="s">
        <v>2331</v>
      </c>
      <c r="N1746" t="s">
        <v>137</v>
      </c>
      <c r="O1746" t="s">
        <v>787</v>
      </c>
      <c r="P1746" t="s">
        <v>894</v>
      </c>
      <c r="Q1746" t="s">
        <v>459</v>
      </c>
      <c r="R1746">
        <v>0</v>
      </c>
    </row>
    <row r="1747" spans="1:18" x14ac:dyDescent="0.3">
      <c r="A1747">
        <v>198327</v>
      </c>
      <c r="B1747" t="s">
        <v>557</v>
      </c>
      <c r="C1747" t="s">
        <v>2182</v>
      </c>
      <c r="D1747" t="s">
        <v>2332</v>
      </c>
      <c r="E1747" s="451">
        <v>46023</v>
      </c>
      <c r="F1747" s="451">
        <v>46056</v>
      </c>
      <c r="G1747" t="s">
        <v>577</v>
      </c>
      <c r="H1747" t="s">
        <v>225</v>
      </c>
      <c r="I1747" t="s">
        <v>2333</v>
      </c>
      <c r="J1747">
        <v>-3179</v>
      </c>
      <c r="K1747">
        <v>-3179.09</v>
      </c>
      <c r="O1747" t="s">
        <v>787</v>
      </c>
      <c r="P1747" t="s">
        <v>894</v>
      </c>
      <c r="Q1747" t="s">
        <v>459</v>
      </c>
      <c r="R1747">
        <v>0</v>
      </c>
    </row>
    <row r="1748" spans="1:18" x14ac:dyDescent="0.3">
      <c r="A1748">
        <v>191721</v>
      </c>
      <c r="B1748" t="s">
        <v>557</v>
      </c>
      <c r="C1748" t="s">
        <v>895</v>
      </c>
      <c r="D1748" t="s">
        <v>2334</v>
      </c>
      <c r="E1748" s="451">
        <v>46023</v>
      </c>
      <c r="F1748" s="451">
        <v>46041</v>
      </c>
      <c r="G1748" t="s">
        <v>308</v>
      </c>
      <c r="H1748" t="s">
        <v>309</v>
      </c>
      <c r="I1748" t="s">
        <v>2335</v>
      </c>
      <c r="J1748">
        <v>-2175.62</v>
      </c>
      <c r="K1748">
        <v>-2175.62</v>
      </c>
      <c r="O1748" t="s">
        <v>787</v>
      </c>
      <c r="P1748" t="s">
        <v>894</v>
      </c>
      <c r="Q1748" t="s">
        <v>459</v>
      </c>
      <c r="R1748">
        <v>0</v>
      </c>
    </row>
    <row r="1749" spans="1:18" x14ac:dyDescent="0.3">
      <c r="A1749">
        <v>191929</v>
      </c>
      <c r="B1749" t="s">
        <v>557</v>
      </c>
      <c r="C1749" t="s">
        <v>889</v>
      </c>
      <c r="D1749" t="s">
        <v>2336</v>
      </c>
      <c r="E1749" s="451">
        <v>46023</v>
      </c>
      <c r="F1749" s="451">
        <v>46055</v>
      </c>
      <c r="G1749" t="s">
        <v>279</v>
      </c>
      <c r="H1749" t="s">
        <v>281</v>
      </c>
      <c r="I1749" t="s">
        <v>2337</v>
      </c>
      <c r="J1749">
        <v>-159.81</v>
      </c>
      <c r="K1749">
        <v>-163</v>
      </c>
      <c r="O1749" t="s">
        <v>787</v>
      </c>
      <c r="P1749" t="s">
        <v>894</v>
      </c>
      <c r="Q1749" t="s">
        <v>459</v>
      </c>
      <c r="R1749">
        <v>0</v>
      </c>
    </row>
    <row r="1750" spans="1:18" x14ac:dyDescent="0.3">
      <c r="A1750">
        <v>220643</v>
      </c>
      <c r="B1750" t="s">
        <v>557</v>
      </c>
      <c r="C1750" t="s">
        <v>866</v>
      </c>
      <c r="D1750" t="s">
        <v>2338</v>
      </c>
      <c r="E1750" s="451">
        <v>46023</v>
      </c>
      <c r="F1750" s="451">
        <v>46032</v>
      </c>
      <c r="G1750" t="s">
        <v>578</v>
      </c>
      <c r="H1750" t="s">
        <v>240</v>
      </c>
      <c r="I1750" t="s">
        <v>867</v>
      </c>
      <c r="J1750">
        <v>-1545.49</v>
      </c>
      <c r="K1750">
        <v>0</v>
      </c>
      <c r="O1750" t="s">
        <v>787</v>
      </c>
      <c r="P1750" t="s">
        <v>894</v>
      </c>
      <c r="Q1750" t="s">
        <v>459</v>
      </c>
      <c r="R1750">
        <v>0</v>
      </c>
    </row>
    <row r="1751" spans="1:18" x14ac:dyDescent="0.3">
      <c r="A1751">
        <v>189691</v>
      </c>
      <c r="B1751" t="s">
        <v>557</v>
      </c>
      <c r="C1751" t="s">
        <v>1005</v>
      </c>
      <c r="E1751" s="451">
        <v>46022</v>
      </c>
      <c r="F1751" s="451">
        <v>46022</v>
      </c>
      <c r="G1751" t="s">
        <v>562</v>
      </c>
      <c r="H1751" t="s">
        <v>116</v>
      </c>
      <c r="J1751">
        <v>-223.91</v>
      </c>
      <c r="K1751">
        <v>-223.91</v>
      </c>
      <c r="O1751" t="s">
        <v>787</v>
      </c>
      <c r="P1751" t="s">
        <v>894</v>
      </c>
      <c r="Q1751" t="s">
        <v>458</v>
      </c>
      <c r="R1751">
        <v>0</v>
      </c>
    </row>
    <row r="1752" spans="1:18" x14ac:dyDescent="0.3">
      <c r="A1752">
        <v>189734</v>
      </c>
      <c r="B1752" t="s">
        <v>557</v>
      </c>
      <c r="C1752" t="s">
        <v>943</v>
      </c>
      <c r="D1752" t="s">
        <v>2339</v>
      </c>
      <c r="E1752" s="451">
        <v>46022</v>
      </c>
      <c r="F1752" s="451">
        <v>46037</v>
      </c>
      <c r="G1752" t="s">
        <v>576</v>
      </c>
      <c r="H1752" t="s">
        <v>203</v>
      </c>
      <c r="I1752" t="s">
        <v>2340</v>
      </c>
      <c r="J1752">
        <v>-361</v>
      </c>
      <c r="K1752">
        <v>-361</v>
      </c>
      <c r="O1752" t="s">
        <v>787</v>
      </c>
      <c r="P1752" t="s">
        <v>894</v>
      </c>
      <c r="Q1752" t="s">
        <v>458</v>
      </c>
      <c r="R1752">
        <v>0</v>
      </c>
    </row>
    <row r="1753" spans="1:18" x14ac:dyDescent="0.3">
      <c r="A1753">
        <v>189695</v>
      </c>
      <c r="B1753" t="s">
        <v>557</v>
      </c>
      <c r="C1753" t="s">
        <v>1007</v>
      </c>
      <c r="E1753" s="451">
        <v>46022</v>
      </c>
      <c r="F1753" s="451">
        <v>46022</v>
      </c>
      <c r="G1753" t="s">
        <v>562</v>
      </c>
      <c r="H1753" t="s">
        <v>116</v>
      </c>
      <c r="J1753">
        <v>-150.55000000000001</v>
      </c>
      <c r="K1753">
        <v>-150.55000000000001</v>
      </c>
      <c r="O1753" t="s">
        <v>787</v>
      </c>
      <c r="P1753" t="s">
        <v>894</v>
      </c>
      <c r="Q1753" t="s">
        <v>458</v>
      </c>
      <c r="R1753">
        <v>0</v>
      </c>
    </row>
    <row r="1754" spans="1:18" x14ac:dyDescent="0.3">
      <c r="A1754">
        <v>189693</v>
      </c>
      <c r="B1754" t="s">
        <v>557</v>
      </c>
      <c r="C1754" t="s">
        <v>1008</v>
      </c>
      <c r="E1754" s="451">
        <v>46022</v>
      </c>
      <c r="F1754" s="451">
        <v>46022</v>
      </c>
      <c r="G1754" t="s">
        <v>562</v>
      </c>
      <c r="H1754" t="s">
        <v>116</v>
      </c>
      <c r="J1754">
        <v>-419.36</v>
      </c>
      <c r="K1754">
        <v>-419.36</v>
      </c>
      <c r="O1754" t="s">
        <v>787</v>
      </c>
      <c r="P1754" t="s">
        <v>894</v>
      </c>
      <c r="Q1754" t="s">
        <v>458</v>
      </c>
      <c r="R1754">
        <v>0</v>
      </c>
    </row>
    <row r="1755" spans="1:18" x14ac:dyDescent="0.3">
      <c r="A1755">
        <v>189692</v>
      </c>
      <c r="B1755" t="s">
        <v>557</v>
      </c>
      <c r="C1755" t="s">
        <v>1006</v>
      </c>
      <c r="E1755" s="451">
        <v>46022</v>
      </c>
      <c r="F1755" s="451">
        <v>46022</v>
      </c>
      <c r="G1755" t="s">
        <v>562</v>
      </c>
      <c r="H1755" t="s">
        <v>116</v>
      </c>
      <c r="J1755">
        <v>-899.61</v>
      </c>
      <c r="K1755">
        <v>-899.61</v>
      </c>
      <c r="O1755" t="s">
        <v>787</v>
      </c>
      <c r="P1755" t="s">
        <v>894</v>
      </c>
      <c r="Q1755" t="s">
        <v>458</v>
      </c>
      <c r="R1755">
        <v>0</v>
      </c>
    </row>
    <row r="1756" spans="1:18" x14ac:dyDescent="0.3">
      <c r="A1756">
        <v>189147</v>
      </c>
      <c r="B1756" t="s">
        <v>557</v>
      </c>
      <c r="C1756" t="s">
        <v>1104</v>
      </c>
      <c r="E1756" s="451">
        <v>46021</v>
      </c>
      <c r="F1756" s="451">
        <v>46029</v>
      </c>
      <c r="G1756" t="s">
        <v>574</v>
      </c>
      <c r="H1756" t="s">
        <v>575</v>
      </c>
      <c r="J1756">
        <v>-5260.09</v>
      </c>
      <c r="K1756">
        <v>-5260.09</v>
      </c>
      <c r="O1756" t="s">
        <v>787</v>
      </c>
      <c r="P1756" t="s">
        <v>894</v>
      </c>
      <c r="Q1756" t="s">
        <v>458</v>
      </c>
      <c r="R1756">
        <v>0</v>
      </c>
    </row>
    <row r="1757" spans="1:18" x14ac:dyDescent="0.3">
      <c r="A1757">
        <v>189158</v>
      </c>
      <c r="B1757" t="s">
        <v>557</v>
      </c>
      <c r="C1757" t="s">
        <v>1492</v>
      </c>
      <c r="E1757" s="451">
        <v>46021</v>
      </c>
      <c r="F1757" s="451">
        <v>46029</v>
      </c>
      <c r="G1757" t="s">
        <v>574</v>
      </c>
      <c r="H1757" t="s">
        <v>575</v>
      </c>
      <c r="J1757">
        <v>-3196.45</v>
      </c>
      <c r="K1757">
        <v>-3196.45</v>
      </c>
      <c r="O1757" t="s">
        <v>787</v>
      </c>
      <c r="P1757" t="s">
        <v>894</v>
      </c>
      <c r="Q1757" t="s">
        <v>458</v>
      </c>
      <c r="R1757">
        <v>0</v>
      </c>
    </row>
    <row r="1758" spans="1:18" x14ac:dyDescent="0.3">
      <c r="A1758">
        <v>189159</v>
      </c>
      <c r="B1758" t="s">
        <v>557</v>
      </c>
      <c r="C1758" t="s">
        <v>968</v>
      </c>
      <c r="E1758" s="451">
        <v>46021</v>
      </c>
      <c r="F1758" s="451">
        <v>46029</v>
      </c>
      <c r="G1758" t="s">
        <v>574</v>
      </c>
      <c r="H1758" t="s">
        <v>575</v>
      </c>
      <c r="J1758">
        <v>-4606.95</v>
      </c>
      <c r="K1758">
        <v>-4606.95</v>
      </c>
      <c r="O1758" t="s">
        <v>787</v>
      </c>
      <c r="P1758" t="s">
        <v>894</v>
      </c>
      <c r="Q1758" t="s">
        <v>458</v>
      </c>
      <c r="R1758">
        <v>0</v>
      </c>
    </row>
    <row r="1759" spans="1:18" x14ac:dyDescent="0.3">
      <c r="A1759">
        <v>189160</v>
      </c>
      <c r="B1759" t="s">
        <v>557</v>
      </c>
      <c r="C1759" t="s">
        <v>1106</v>
      </c>
      <c r="E1759" s="451">
        <v>46021</v>
      </c>
      <c r="F1759" s="451">
        <v>46029</v>
      </c>
      <c r="G1759" t="s">
        <v>574</v>
      </c>
      <c r="H1759" t="s">
        <v>575</v>
      </c>
      <c r="J1759">
        <v>-4483</v>
      </c>
      <c r="K1759">
        <v>-4483</v>
      </c>
      <c r="O1759" t="s">
        <v>787</v>
      </c>
      <c r="P1759" t="s">
        <v>894</v>
      </c>
      <c r="Q1759" t="s">
        <v>458</v>
      </c>
      <c r="R1759">
        <v>0</v>
      </c>
    </row>
    <row r="1760" spans="1:18" x14ac:dyDescent="0.3">
      <c r="A1760">
        <v>189157</v>
      </c>
      <c r="B1760" t="s">
        <v>557</v>
      </c>
      <c r="C1760" t="s">
        <v>970</v>
      </c>
      <c r="E1760" s="451">
        <v>46021</v>
      </c>
      <c r="F1760" s="451">
        <v>46029</v>
      </c>
      <c r="G1760" t="s">
        <v>574</v>
      </c>
      <c r="H1760" t="s">
        <v>575</v>
      </c>
      <c r="J1760">
        <v>-5258.03</v>
      </c>
      <c r="K1760">
        <v>-5258.03</v>
      </c>
      <c r="O1760" t="s">
        <v>787</v>
      </c>
      <c r="P1760" t="s">
        <v>894</v>
      </c>
      <c r="Q1760" t="s">
        <v>458</v>
      </c>
      <c r="R1760">
        <v>0</v>
      </c>
    </row>
    <row r="1761" spans="1:18" x14ac:dyDescent="0.3">
      <c r="A1761">
        <v>189156</v>
      </c>
      <c r="B1761" t="s">
        <v>557</v>
      </c>
      <c r="C1761" t="s">
        <v>2182</v>
      </c>
      <c r="E1761" s="451">
        <v>46021</v>
      </c>
      <c r="F1761" s="451">
        <v>46029</v>
      </c>
      <c r="G1761" t="s">
        <v>574</v>
      </c>
      <c r="H1761" t="s">
        <v>575</v>
      </c>
      <c r="J1761">
        <v>-4149.8100000000004</v>
      </c>
      <c r="K1761">
        <v>-4149.8100000000004</v>
      </c>
      <c r="O1761" t="s">
        <v>787</v>
      </c>
      <c r="P1761" t="s">
        <v>894</v>
      </c>
      <c r="Q1761" t="s">
        <v>458</v>
      </c>
      <c r="R1761">
        <v>0</v>
      </c>
    </row>
    <row r="1762" spans="1:18" x14ac:dyDescent="0.3">
      <c r="A1762">
        <v>202430</v>
      </c>
      <c r="B1762" t="s">
        <v>557</v>
      </c>
      <c r="C1762" t="s">
        <v>346</v>
      </c>
      <c r="D1762" t="s">
        <v>2341</v>
      </c>
      <c r="E1762" s="451">
        <v>46021</v>
      </c>
      <c r="F1762" s="451">
        <v>46080</v>
      </c>
      <c r="G1762" t="s">
        <v>604</v>
      </c>
      <c r="H1762" t="s">
        <v>346</v>
      </c>
      <c r="I1762" t="s">
        <v>2342</v>
      </c>
      <c r="J1762">
        <v>-4804.8599999999997</v>
      </c>
      <c r="K1762">
        <v>-4804.8599999999997</v>
      </c>
      <c r="O1762" t="s">
        <v>787</v>
      </c>
      <c r="P1762" t="s">
        <v>894</v>
      </c>
      <c r="Q1762" t="s">
        <v>458</v>
      </c>
      <c r="R1762">
        <v>0</v>
      </c>
    </row>
    <row r="1763" spans="1:18" x14ac:dyDescent="0.3">
      <c r="A1763">
        <v>189149</v>
      </c>
      <c r="B1763" t="s">
        <v>557</v>
      </c>
      <c r="C1763" t="s">
        <v>1113</v>
      </c>
      <c r="E1763" s="451">
        <v>46021</v>
      </c>
      <c r="F1763" s="451">
        <v>46029</v>
      </c>
      <c r="G1763" t="s">
        <v>574</v>
      </c>
      <c r="H1763" t="s">
        <v>575</v>
      </c>
      <c r="J1763">
        <v>-3289.29</v>
      </c>
      <c r="K1763">
        <v>-3289.29</v>
      </c>
      <c r="O1763" t="s">
        <v>787</v>
      </c>
      <c r="P1763" t="s">
        <v>894</v>
      </c>
      <c r="Q1763" t="s">
        <v>458</v>
      </c>
      <c r="R1763">
        <v>0</v>
      </c>
    </row>
    <row r="1764" spans="1:18" x14ac:dyDescent="0.3">
      <c r="A1764">
        <v>189150</v>
      </c>
      <c r="B1764" t="s">
        <v>557</v>
      </c>
      <c r="C1764" t="s">
        <v>2179</v>
      </c>
      <c r="E1764" s="451">
        <v>46021</v>
      </c>
      <c r="F1764" s="451">
        <v>46029</v>
      </c>
      <c r="G1764" t="s">
        <v>574</v>
      </c>
      <c r="H1764" t="s">
        <v>575</v>
      </c>
      <c r="J1764">
        <v>-5089.5</v>
      </c>
      <c r="K1764">
        <v>-5089.5</v>
      </c>
      <c r="O1764" t="s">
        <v>787</v>
      </c>
      <c r="P1764" t="s">
        <v>894</v>
      </c>
      <c r="Q1764" t="s">
        <v>458</v>
      </c>
      <c r="R1764">
        <v>0</v>
      </c>
    </row>
    <row r="1765" spans="1:18" x14ac:dyDescent="0.3">
      <c r="A1765">
        <v>110508</v>
      </c>
      <c r="B1765" t="s">
        <v>557</v>
      </c>
      <c r="C1765" t="s">
        <v>849</v>
      </c>
      <c r="D1765" t="s">
        <v>2343</v>
      </c>
      <c r="E1765" s="451">
        <v>46021</v>
      </c>
      <c r="F1765" s="451">
        <v>46042</v>
      </c>
      <c r="G1765" t="s">
        <v>308</v>
      </c>
      <c r="H1765" t="s">
        <v>309</v>
      </c>
      <c r="I1765" t="s">
        <v>850</v>
      </c>
      <c r="J1765">
        <v>-173.6</v>
      </c>
      <c r="K1765">
        <v>-173.6</v>
      </c>
      <c r="O1765" t="s">
        <v>787</v>
      </c>
      <c r="P1765" t="s">
        <v>894</v>
      </c>
      <c r="Q1765" t="s">
        <v>458</v>
      </c>
      <c r="R1765">
        <v>0</v>
      </c>
    </row>
    <row r="1766" spans="1:18" x14ac:dyDescent="0.3">
      <c r="A1766">
        <v>103805</v>
      </c>
      <c r="B1766" t="s">
        <v>557</v>
      </c>
      <c r="C1766" t="s">
        <v>48</v>
      </c>
      <c r="D1766" t="s">
        <v>2343</v>
      </c>
      <c r="E1766" s="451">
        <v>46021</v>
      </c>
      <c r="F1766" s="451">
        <v>46042</v>
      </c>
      <c r="G1766" t="s">
        <v>563</v>
      </c>
      <c r="H1766" t="s">
        <v>48</v>
      </c>
      <c r="I1766" t="s">
        <v>48</v>
      </c>
      <c r="J1766">
        <v>-16714.68</v>
      </c>
      <c r="K1766">
        <v>-16714.68</v>
      </c>
      <c r="O1766" t="s">
        <v>787</v>
      </c>
      <c r="P1766" t="s">
        <v>894</v>
      </c>
      <c r="Q1766" t="s">
        <v>458</v>
      </c>
      <c r="R1766">
        <v>0</v>
      </c>
    </row>
    <row r="1767" spans="1:18" x14ac:dyDescent="0.3">
      <c r="A1767">
        <v>189151</v>
      </c>
      <c r="B1767" t="s">
        <v>557</v>
      </c>
      <c r="C1767" t="s">
        <v>1105</v>
      </c>
      <c r="E1767" s="451">
        <v>46021</v>
      </c>
      <c r="F1767" s="451">
        <v>46029</v>
      </c>
      <c r="G1767" t="s">
        <v>574</v>
      </c>
      <c r="H1767" t="s">
        <v>575</v>
      </c>
      <c r="J1767">
        <v>-4627.92</v>
      </c>
      <c r="K1767">
        <v>-4627.92</v>
      </c>
      <c r="O1767" t="s">
        <v>787</v>
      </c>
      <c r="P1767" t="s">
        <v>894</v>
      </c>
      <c r="Q1767" t="s">
        <v>458</v>
      </c>
      <c r="R1767">
        <v>0</v>
      </c>
    </row>
    <row r="1768" spans="1:18" x14ac:dyDescent="0.3">
      <c r="A1768">
        <v>101214</v>
      </c>
      <c r="B1768" t="s">
        <v>557</v>
      </c>
      <c r="C1768" t="s">
        <v>49</v>
      </c>
      <c r="D1768" t="s">
        <v>2343</v>
      </c>
      <c r="E1768" s="451">
        <v>46021</v>
      </c>
      <c r="F1768" s="451">
        <v>46034</v>
      </c>
      <c r="G1768" t="s">
        <v>308</v>
      </c>
      <c r="H1768" t="s">
        <v>309</v>
      </c>
      <c r="I1768" t="s">
        <v>49</v>
      </c>
      <c r="J1768">
        <v>-6.29</v>
      </c>
      <c r="K1768">
        <v>-6.29</v>
      </c>
      <c r="O1768" t="s">
        <v>787</v>
      </c>
      <c r="P1768" t="s">
        <v>894</v>
      </c>
      <c r="Q1768" t="s">
        <v>458</v>
      </c>
      <c r="R1768">
        <v>0</v>
      </c>
    </row>
    <row r="1769" spans="1:18" x14ac:dyDescent="0.3">
      <c r="A1769">
        <v>189155</v>
      </c>
      <c r="B1769" t="s">
        <v>557</v>
      </c>
      <c r="C1769" t="s">
        <v>1110</v>
      </c>
      <c r="E1769" s="451">
        <v>46021</v>
      </c>
      <c r="F1769" s="451">
        <v>46029</v>
      </c>
      <c r="G1769" t="s">
        <v>574</v>
      </c>
      <c r="H1769" t="s">
        <v>575</v>
      </c>
      <c r="J1769">
        <v>-4122.08</v>
      </c>
      <c r="K1769">
        <v>-4122.08</v>
      </c>
      <c r="O1769" t="s">
        <v>787</v>
      </c>
      <c r="P1769" t="s">
        <v>894</v>
      </c>
      <c r="Q1769" t="s">
        <v>458</v>
      </c>
      <c r="R1769">
        <v>0</v>
      </c>
    </row>
    <row r="1770" spans="1:18" x14ac:dyDescent="0.3">
      <c r="A1770">
        <v>189152</v>
      </c>
      <c r="B1770" t="s">
        <v>557</v>
      </c>
      <c r="C1770" t="s">
        <v>1381</v>
      </c>
      <c r="E1770" s="451">
        <v>46021</v>
      </c>
      <c r="F1770" s="451">
        <v>46029</v>
      </c>
      <c r="G1770" t="s">
        <v>574</v>
      </c>
      <c r="H1770" t="s">
        <v>575</v>
      </c>
      <c r="J1770">
        <v>-4761.08</v>
      </c>
      <c r="K1770">
        <v>-4761.08</v>
      </c>
      <c r="O1770" t="s">
        <v>787</v>
      </c>
      <c r="P1770" t="s">
        <v>894</v>
      </c>
      <c r="Q1770" t="s">
        <v>458</v>
      </c>
      <c r="R1770">
        <v>0</v>
      </c>
    </row>
    <row r="1771" spans="1:18" x14ac:dyDescent="0.3">
      <c r="A1771">
        <v>189148</v>
      </c>
      <c r="B1771" t="s">
        <v>557</v>
      </c>
      <c r="C1771" t="s">
        <v>2178</v>
      </c>
      <c r="E1771" s="451">
        <v>46021</v>
      </c>
      <c r="F1771" s="451">
        <v>46029</v>
      </c>
      <c r="G1771" t="s">
        <v>574</v>
      </c>
      <c r="H1771" t="s">
        <v>575</v>
      </c>
      <c r="J1771">
        <v>-1065.1500000000001</v>
      </c>
      <c r="K1771">
        <v>-1065.1500000000001</v>
      </c>
      <c r="O1771" t="s">
        <v>787</v>
      </c>
      <c r="P1771" t="s">
        <v>894</v>
      </c>
      <c r="Q1771" t="s">
        <v>458</v>
      </c>
      <c r="R1771">
        <v>0</v>
      </c>
    </row>
    <row r="1772" spans="1:18" x14ac:dyDescent="0.3">
      <c r="A1772">
        <v>185379</v>
      </c>
      <c r="B1772" t="s">
        <v>557</v>
      </c>
      <c r="C1772" t="s">
        <v>907</v>
      </c>
      <c r="D1772" t="s">
        <v>2344</v>
      </c>
      <c r="E1772" s="451">
        <v>46021</v>
      </c>
      <c r="F1772" s="451">
        <v>46030</v>
      </c>
      <c r="G1772" t="s">
        <v>578</v>
      </c>
      <c r="H1772" t="s">
        <v>252</v>
      </c>
      <c r="I1772" t="s">
        <v>2345</v>
      </c>
      <c r="J1772">
        <v>-3000</v>
      </c>
      <c r="K1772">
        <v>-3000</v>
      </c>
      <c r="O1772" t="s">
        <v>787</v>
      </c>
      <c r="P1772" t="s">
        <v>894</v>
      </c>
      <c r="Q1772" t="s">
        <v>458</v>
      </c>
      <c r="R1772">
        <v>0</v>
      </c>
    </row>
    <row r="1773" spans="1:18" x14ac:dyDescent="0.3">
      <c r="A1773">
        <v>189153</v>
      </c>
      <c r="B1773" t="s">
        <v>557</v>
      </c>
      <c r="C1773" t="s">
        <v>1114</v>
      </c>
      <c r="E1773" s="451">
        <v>46021</v>
      </c>
      <c r="F1773" s="451">
        <v>46029</v>
      </c>
      <c r="G1773" t="s">
        <v>574</v>
      </c>
      <c r="H1773" t="s">
        <v>575</v>
      </c>
      <c r="J1773">
        <v>-5657.19</v>
      </c>
      <c r="K1773">
        <v>-5657.19</v>
      </c>
      <c r="O1773" t="s">
        <v>787</v>
      </c>
      <c r="P1773" t="s">
        <v>894</v>
      </c>
      <c r="Q1773" t="s">
        <v>458</v>
      </c>
      <c r="R1773">
        <v>0</v>
      </c>
    </row>
    <row r="1774" spans="1:18" x14ac:dyDescent="0.3">
      <c r="A1774">
        <v>189154</v>
      </c>
      <c r="B1774" t="s">
        <v>557</v>
      </c>
      <c r="C1774" t="s">
        <v>1116</v>
      </c>
      <c r="E1774" s="451">
        <v>46021</v>
      </c>
      <c r="F1774" s="451">
        <v>46029</v>
      </c>
      <c r="G1774" t="s">
        <v>574</v>
      </c>
      <c r="H1774" t="s">
        <v>575</v>
      </c>
      <c r="J1774">
        <v>-3659.74</v>
      </c>
      <c r="K1774">
        <v>-3659.74</v>
      </c>
      <c r="O1774" t="s">
        <v>787</v>
      </c>
      <c r="P1774" t="s">
        <v>894</v>
      </c>
      <c r="Q1774" t="s">
        <v>458</v>
      </c>
      <c r="R1774">
        <v>0</v>
      </c>
    </row>
    <row r="1775" spans="1:18" x14ac:dyDescent="0.3">
      <c r="A1775">
        <v>189162</v>
      </c>
      <c r="B1775" t="s">
        <v>557</v>
      </c>
      <c r="C1775" t="s">
        <v>1781</v>
      </c>
      <c r="E1775" s="451">
        <v>46021</v>
      </c>
      <c r="F1775" s="451">
        <v>46029</v>
      </c>
      <c r="G1775" t="s">
        <v>574</v>
      </c>
      <c r="H1775" t="s">
        <v>575</v>
      </c>
      <c r="J1775">
        <v>-4616.97</v>
      </c>
      <c r="K1775">
        <v>-4616.97</v>
      </c>
      <c r="O1775" t="s">
        <v>787</v>
      </c>
      <c r="P1775" t="s">
        <v>894</v>
      </c>
      <c r="Q1775" t="s">
        <v>458</v>
      </c>
      <c r="R1775">
        <v>0</v>
      </c>
    </row>
    <row r="1776" spans="1:18" x14ac:dyDescent="0.3">
      <c r="A1776">
        <v>147063</v>
      </c>
      <c r="B1776" t="s">
        <v>557</v>
      </c>
      <c r="C1776" t="s">
        <v>517</v>
      </c>
      <c r="D1776" t="s">
        <v>2346</v>
      </c>
      <c r="E1776" s="451">
        <v>46021</v>
      </c>
      <c r="F1776" s="451">
        <v>46045</v>
      </c>
      <c r="G1776" t="s">
        <v>563</v>
      </c>
      <c r="H1776" t="s">
        <v>46</v>
      </c>
      <c r="I1776" t="s">
        <v>2347</v>
      </c>
      <c r="J1776">
        <v>-2607.06</v>
      </c>
      <c r="K1776">
        <v>-2607.06</v>
      </c>
      <c r="O1776" t="s">
        <v>787</v>
      </c>
      <c r="P1776" t="s">
        <v>894</v>
      </c>
      <c r="Q1776" t="s">
        <v>458</v>
      </c>
      <c r="R1776">
        <v>0</v>
      </c>
    </row>
    <row r="1777" spans="1:18" x14ac:dyDescent="0.3">
      <c r="A1777">
        <v>147073</v>
      </c>
      <c r="B1777" t="s">
        <v>557</v>
      </c>
      <c r="C1777" t="s">
        <v>518</v>
      </c>
      <c r="D1777" t="s">
        <v>2346</v>
      </c>
      <c r="E1777" s="451">
        <v>46021</v>
      </c>
      <c r="F1777" s="451">
        <v>46045</v>
      </c>
      <c r="G1777" t="s">
        <v>563</v>
      </c>
      <c r="H1777" t="s">
        <v>46</v>
      </c>
      <c r="I1777" t="s">
        <v>2348</v>
      </c>
      <c r="J1777">
        <v>-12032.58</v>
      </c>
      <c r="K1777">
        <v>-12032.58</v>
      </c>
      <c r="O1777" t="s">
        <v>787</v>
      </c>
      <c r="P1777" t="s">
        <v>894</v>
      </c>
      <c r="Q1777" t="s">
        <v>458</v>
      </c>
      <c r="R1777">
        <v>0</v>
      </c>
    </row>
    <row r="1778" spans="1:18" x14ac:dyDescent="0.3">
      <c r="A1778">
        <v>187342</v>
      </c>
      <c r="B1778" t="s">
        <v>557</v>
      </c>
      <c r="C1778" t="s">
        <v>845</v>
      </c>
      <c r="D1778" t="s">
        <v>2343</v>
      </c>
      <c r="E1778" s="451">
        <v>46021</v>
      </c>
      <c r="F1778" s="451">
        <v>46042</v>
      </c>
      <c r="G1778" t="s">
        <v>577</v>
      </c>
      <c r="H1778" t="s">
        <v>846</v>
      </c>
      <c r="J1778">
        <v>-2156.79</v>
      </c>
      <c r="K1778">
        <v>-2156.79</v>
      </c>
      <c r="O1778" t="s">
        <v>787</v>
      </c>
      <c r="P1778" t="s">
        <v>894</v>
      </c>
      <c r="Q1778" t="s">
        <v>458</v>
      </c>
      <c r="R1778">
        <v>0</v>
      </c>
    </row>
    <row r="1779" spans="1:18" x14ac:dyDescent="0.3">
      <c r="A1779">
        <v>147076</v>
      </c>
      <c r="B1779" t="s">
        <v>557</v>
      </c>
      <c r="C1779" t="s">
        <v>854</v>
      </c>
      <c r="D1779" t="s">
        <v>2349</v>
      </c>
      <c r="E1779" s="451">
        <v>46021</v>
      </c>
      <c r="F1779" s="451">
        <v>46052</v>
      </c>
      <c r="G1779" t="s">
        <v>604</v>
      </c>
      <c r="H1779" t="s">
        <v>344</v>
      </c>
      <c r="I1779" t="s">
        <v>2350</v>
      </c>
      <c r="J1779">
        <v>-6964.6</v>
      </c>
      <c r="K1779">
        <v>-6964.6</v>
      </c>
      <c r="O1779" t="s">
        <v>787</v>
      </c>
      <c r="P1779" t="s">
        <v>894</v>
      </c>
      <c r="Q1779" t="s">
        <v>458</v>
      </c>
      <c r="R1779">
        <v>0</v>
      </c>
    </row>
    <row r="1780" spans="1:18" x14ac:dyDescent="0.3">
      <c r="A1780">
        <v>147079</v>
      </c>
      <c r="B1780" t="s">
        <v>557</v>
      </c>
      <c r="C1780" t="s">
        <v>346</v>
      </c>
      <c r="D1780" t="s">
        <v>2349</v>
      </c>
      <c r="E1780" s="451">
        <v>46021</v>
      </c>
      <c r="F1780" s="451">
        <v>46052</v>
      </c>
      <c r="G1780" t="s">
        <v>604</v>
      </c>
      <c r="H1780" t="s">
        <v>346</v>
      </c>
      <c r="I1780" t="s">
        <v>2351</v>
      </c>
      <c r="J1780">
        <v>-4421.5200000000004</v>
      </c>
      <c r="K1780">
        <v>-4421.5200000000004</v>
      </c>
      <c r="O1780" t="s">
        <v>787</v>
      </c>
      <c r="P1780" t="s">
        <v>894</v>
      </c>
      <c r="Q1780" t="s">
        <v>458</v>
      </c>
      <c r="R1780">
        <v>0</v>
      </c>
    </row>
    <row r="1781" spans="1:18" x14ac:dyDescent="0.3">
      <c r="A1781">
        <v>187361</v>
      </c>
      <c r="B1781" t="s">
        <v>557</v>
      </c>
      <c r="C1781" t="s">
        <v>428</v>
      </c>
      <c r="D1781" t="s">
        <v>2343</v>
      </c>
      <c r="E1781" s="451">
        <v>46021</v>
      </c>
      <c r="F1781" s="451">
        <v>46042</v>
      </c>
      <c r="G1781" t="s">
        <v>577</v>
      </c>
      <c r="H1781" t="s">
        <v>206</v>
      </c>
      <c r="J1781">
        <v>-9870.93</v>
      </c>
      <c r="K1781">
        <v>-9870.93</v>
      </c>
      <c r="O1781" t="s">
        <v>787</v>
      </c>
      <c r="P1781" t="s">
        <v>894</v>
      </c>
      <c r="Q1781" t="s">
        <v>458</v>
      </c>
      <c r="R1781">
        <v>0</v>
      </c>
    </row>
    <row r="1782" spans="1:18" x14ac:dyDescent="0.3">
      <c r="A1782">
        <v>164311</v>
      </c>
      <c r="B1782" t="s">
        <v>557</v>
      </c>
      <c r="C1782" t="s">
        <v>1491</v>
      </c>
      <c r="D1782" t="s">
        <v>2352</v>
      </c>
      <c r="E1782" s="451">
        <v>46021</v>
      </c>
      <c r="F1782" s="451">
        <v>46021</v>
      </c>
      <c r="G1782" t="s">
        <v>562</v>
      </c>
      <c r="H1782" t="s">
        <v>118</v>
      </c>
      <c r="I1782" t="s">
        <v>2353</v>
      </c>
      <c r="J1782">
        <v>-8746.41</v>
      </c>
      <c r="K1782">
        <v>0</v>
      </c>
      <c r="O1782" t="s">
        <v>787</v>
      </c>
      <c r="P1782" t="s">
        <v>894</v>
      </c>
      <c r="Q1782" t="s">
        <v>458</v>
      </c>
      <c r="R1782">
        <v>0</v>
      </c>
    </row>
    <row r="1783" spans="1:18" x14ac:dyDescent="0.3">
      <c r="A1783">
        <v>187379</v>
      </c>
      <c r="B1783" t="s">
        <v>557</v>
      </c>
      <c r="C1783" t="s">
        <v>429</v>
      </c>
      <c r="D1783" t="s">
        <v>2343</v>
      </c>
      <c r="E1783" s="451">
        <v>46021</v>
      </c>
      <c r="F1783" s="451">
        <v>46042</v>
      </c>
      <c r="G1783" t="s">
        <v>577</v>
      </c>
      <c r="H1783" t="s">
        <v>211</v>
      </c>
      <c r="J1783">
        <v>-10646.58</v>
      </c>
      <c r="K1783">
        <v>-10646.58</v>
      </c>
      <c r="O1783" t="s">
        <v>787</v>
      </c>
      <c r="P1783" t="s">
        <v>894</v>
      </c>
      <c r="Q1783" t="s">
        <v>458</v>
      </c>
      <c r="R1783">
        <v>0</v>
      </c>
    </row>
    <row r="1784" spans="1:18" x14ac:dyDescent="0.3">
      <c r="A1784">
        <v>119337</v>
      </c>
      <c r="B1784" t="s">
        <v>557</v>
      </c>
      <c r="C1784" t="s">
        <v>259</v>
      </c>
      <c r="D1784" t="s">
        <v>2354</v>
      </c>
      <c r="E1784" s="451">
        <v>46021</v>
      </c>
      <c r="F1784" s="451">
        <v>46021</v>
      </c>
      <c r="G1784" t="s">
        <v>777</v>
      </c>
      <c r="H1784" t="s">
        <v>368</v>
      </c>
      <c r="I1784" t="s">
        <v>782</v>
      </c>
      <c r="J1784">
        <v>-416.33</v>
      </c>
      <c r="K1784">
        <v>-416.33</v>
      </c>
      <c r="O1784" t="s">
        <v>779</v>
      </c>
      <c r="Q1784" t="s">
        <v>458</v>
      </c>
      <c r="R1784">
        <v>0</v>
      </c>
    </row>
    <row r="1785" spans="1:18" x14ac:dyDescent="0.3">
      <c r="A1785">
        <v>193926</v>
      </c>
      <c r="B1785" t="s">
        <v>557</v>
      </c>
      <c r="C1785" t="s">
        <v>845</v>
      </c>
      <c r="D1785" t="s">
        <v>2343</v>
      </c>
      <c r="E1785" s="451">
        <v>46021</v>
      </c>
      <c r="F1785" s="451">
        <v>46042</v>
      </c>
      <c r="G1785" t="s">
        <v>308</v>
      </c>
      <c r="H1785" t="s">
        <v>309</v>
      </c>
      <c r="J1785">
        <v>-34.770000000000003</v>
      </c>
      <c r="K1785">
        <v>-34.770000000000003</v>
      </c>
      <c r="O1785" t="s">
        <v>787</v>
      </c>
      <c r="P1785" t="s">
        <v>894</v>
      </c>
      <c r="Q1785" t="s">
        <v>458</v>
      </c>
      <c r="R1785">
        <v>0</v>
      </c>
    </row>
    <row r="1786" spans="1:18" x14ac:dyDescent="0.3">
      <c r="A1786">
        <v>210186</v>
      </c>
      <c r="B1786" t="s">
        <v>557</v>
      </c>
      <c r="C1786" t="s">
        <v>854</v>
      </c>
      <c r="D1786" t="s">
        <v>2355</v>
      </c>
      <c r="E1786" s="451">
        <v>46021</v>
      </c>
      <c r="F1786" s="451">
        <v>46080</v>
      </c>
      <c r="G1786" t="s">
        <v>604</v>
      </c>
      <c r="H1786" t="s">
        <v>344</v>
      </c>
      <c r="I1786" t="s">
        <v>2356</v>
      </c>
      <c r="J1786">
        <v>-8628.2999999999993</v>
      </c>
      <c r="K1786">
        <v>-8628.2999999999993</v>
      </c>
      <c r="O1786" t="s">
        <v>787</v>
      </c>
      <c r="P1786" t="s">
        <v>894</v>
      </c>
      <c r="Q1786" t="s">
        <v>458</v>
      </c>
      <c r="R1786">
        <v>0</v>
      </c>
    </row>
    <row r="1787" spans="1:18" x14ac:dyDescent="0.3">
      <c r="A1787">
        <v>210187</v>
      </c>
      <c r="B1787" t="s">
        <v>557</v>
      </c>
      <c r="C1787" t="s">
        <v>854</v>
      </c>
      <c r="D1787" t="s">
        <v>2148</v>
      </c>
      <c r="E1787" s="451">
        <v>46021</v>
      </c>
      <c r="F1787" s="451">
        <v>46112</v>
      </c>
      <c r="G1787" t="s">
        <v>604</v>
      </c>
      <c r="H1787" t="s">
        <v>344</v>
      </c>
      <c r="I1787" t="s">
        <v>2357</v>
      </c>
      <c r="J1787">
        <v>-6964.59</v>
      </c>
      <c r="K1787">
        <v>-6964.59</v>
      </c>
      <c r="O1787" t="s">
        <v>787</v>
      </c>
      <c r="P1787" t="s">
        <v>894</v>
      </c>
      <c r="Q1787" t="s">
        <v>458</v>
      </c>
      <c r="R1787">
        <v>0</v>
      </c>
    </row>
    <row r="1788" spans="1:18" x14ac:dyDescent="0.3">
      <c r="A1788">
        <v>186690</v>
      </c>
      <c r="B1788" t="s">
        <v>557</v>
      </c>
      <c r="C1788" t="s">
        <v>847</v>
      </c>
      <c r="D1788" t="s">
        <v>2358</v>
      </c>
      <c r="E1788" s="451">
        <v>46021</v>
      </c>
      <c r="F1788" s="451">
        <v>46031</v>
      </c>
      <c r="G1788" t="s">
        <v>578</v>
      </c>
      <c r="H1788" t="s">
        <v>247</v>
      </c>
      <c r="I1788" t="s">
        <v>2359</v>
      </c>
      <c r="J1788">
        <v>-267.83</v>
      </c>
      <c r="K1788">
        <v>-267.83</v>
      </c>
      <c r="O1788" t="s">
        <v>787</v>
      </c>
      <c r="P1788" t="s">
        <v>894</v>
      </c>
      <c r="Q1788" t="s">
        <v>458</v>
      </c>
      <c r="R1788">
        <v>0</v>
      </c>
    </row>
    <row r="1789" spans="1:18" x14ac:dyDescent="0.3">
      <c r="A1789">
        <v>189161</v>
      </c>
      <c r="B1789" t="s">
        <v>557</v>
      </c>
      <c r="C1789" t="s">
        <v>891</v>
      </c>
      <c r="E1789" s="451">
        <v>46021</v>
      </c>
      <c r="F1789" s="451">
        <v>46029</v>
      </c>
      <c r="G1789" t="s">
        <v>574</v>
      </c>
      <c r="H1789" t="s">
        <v>575</v>
      </c>
      <c r="J1789">
        <v>-4849.67</v>
      </c>
      <c r="K1789">
        <v>-4849.67</v>
      </c>
      <c r="O1789" t="s">
        <v>787</v>
      </c>
      <c r="P1789" t="s">
        <v>894</v>
      </c>
      <c r="Q1789" t="s">
        <v>458</v>
      </c>
      <c r="R1789">
        <v>0</v>
      </c>
    </row>
    <row r="1790" spans="1:18" x14ac:dyDescent="0.3">
      <c r="A1790">
        <v>189327</v>
      </c>
      <c r="B1790" t="s">
        <v>557</v>
      </c>
      <c r="C1790" t="s">
        <v>2178</v>
      </c>
      <c r="D1790" t="s">
        <v>2343</v>
      </c>
      <c r="E1790" s="451">
        <v>46021</v>
      </c>
      <c r="F1790" s="451">
        <v>46028</v>
      </c>
      <c r="G1790" t="s">
        <v>574</v>
      </c>
      <c r="H1790" t="s">
        <v>575</v>
      </c>
      <c r="I1790" t="s">
        <v>2360</v>
      </c>
      <c r="J1790">
        <v>-2114.19</v>
      </c>
      <c r="K1790">
        <v>-2114.19</v>
      </c>
      <c r="O1790" t="s">
        <v>787</v>
      </c>
      <c r="P1790" t="s">
        <v>894</v>
      </c>
      <c r="Q1790" t="s">
        <v>458</v>
      </c>
      <c r="R1790">
        <v>0</v>
      </c>
    </row>
    <row r="1791" spans="1:18" x14ac:dyDescent="0.3">
      <c r="A1791">
        <v>189544</v>
      </c>
      <c r="B1791" t="s">
        <v>557</v>
      </c>
      <c r="C1791" t="s">
        <v>1237</v>
      </c>
      <c r="D1791" t="s">
        <v>2352</v>
      </c>
      <c r="E1791" s="451">
        <v>46021</v>
      </c>
      <c r="F1791" s="451">
        <v>46021</v>
      </c>
      <c r="G1791" t="s">
        <v>562</v>
      </c>
      <c r="H1791" t="s">
        <v>116</v>
      </c>
      <c r="I1791" t="s">
        <v>2361</v>
      </c>
      <c r="J1791">
        <v>-5624.9</v>
      </c>
      <c r="K1791">
        <v>0</v>
      </c>
      <c r="O1791" t="s">
        <v>787</v>
      </c>
      <c r="P1791" t="s">
        <v>894</v>
      </c>
      <c r="Q1791" t="s">
        <v>458</v>
      </c>
      <c r="R1791">
        <v>0</v>
      </c>
    </row>
    <row r="1792" spans="1:18" x14ac:dyDescent="0.3">
      <c r="A1792">
        <v>189757</v>
      </c>
      <c r="B1792" t="s">
        <v>557</v>
      </c>
      <c r="C1792" t="s">
        <v>858</v>
      </c>
      <c r="D1792" t="s">
        <v>2362</v>
      </c>
      <c r="E1792" s="451">
        <v>46021</v>
      </c>
      <c r="F1792" s="451">
        <v>46037</v>
      </c>
      <c r="G1792" t="s">
        <v>279</v>
      </c>
      <c r="H1792" t="s">
        <v>285</v>
      </c>
      <c r="I1792" t="s">
        <v>2363</v>
      </c>
      <c r="J1792">
        <v>-389</v>
      </c>
      <c r="K1792">
        <v>-389</v>
      </c>
      <c r="O1792" t="s">
        <v>787</v>
      </c>
      <c r="P1792" t="s">
        <v>894</v>
      </c>
      <c r="Q1792" t="s">
        <v>458</v>
      </c>
      <c r="R1792">
        <v>0</v>
      </c>
    </row>
    <row r="1793" spans="1:18" x14ac:dyDescent="0.3">
      <c r="A1793">
        <v>186727</v>
      </c>
      <c r="B1793" t="s">
        <v>557</v>
      </c>
      <c r="C1793" t="s">
        <v>919</v>
      </c>
      <c r="D1793" t="s">
        <v>2364</v>
      </c>
      <c r="E1793" s="451">
        <v>46020</v>
      </c>
      <c r="F1793" s="451">
        <v>46027</v>
      </c>
      <c r="G1793" t="s">
        <v>279</v>
      </c>
      <c r="H1793" t="s">
        <v>284</v>
      </c>
      <c r="I1793" t="s">
        <v>2365</v>
      </c>
      <c r="J1793">
        <v>-530</v>
      </c>
      <c r="K1793">
        <v>-530</v>
      </c>
      <c r="O1793" t="s">
        <v>787</v>
      </c>
      <c r="P1793" t="s">
        <v>894</v>
      </c>
      <c r="Q1793" t="s">
        <v>458</v>
      </c>
      <c r="R1793">
        <v>0</v>
      </c>
    </row>
    <row r="1794" spans="1:18" x14ac:dyDescent="0.3">
      <c r="A1794">
        <v>148550</v>
      </c>
      <c r="B1794" t="s">
        <v>557</v>
      </c>
      <c r="C1794" t="s">
        <v>952</v>
      </c>
      <c r="D1794" t="s">
        <v>2366</v>
      </c>
      <c r="E1794" s="451">
        <v>46020</v>
      </c>
      <c r="F1794" s="451">
        <v>46020</v>
      </c>
      <c r="G1794" t="s">
        <v>569</v>
      </c>
      <c r="H1794" t="s">
        <v>58</v>
      </c>
      <c r="I1794" t="s">
        <v>2367</v>
      </c>
      <c r="J1794">
        <v>-1050</v>
      </c>
      <c r="K1794">
        <v>-1050</v>
      </c>
      <c r="O1794" t="s">
        <v>787</v>
      </c>
      <c r="P1794" t="s">
        <v>894</v>
      </c>
      <c r="Q1794" t="s">
        <v>458</v>
      </c>
      <c r="R1794">
        <v>0</v>
      </c>
    </row>
    <row r="1795" spans="1:18" x14ac:dyDescent="0.3">
      <c r="A1795">
        <v>187550</v>
      </c>
      <c r="B1795" t="s">
        <v>557</v>
      </c>
      <c r="C1795" t="s">
        <v>943</v>
      </c>
      <c r="D1795" t="s">
        <v>2368</v>
      </c>
      <c r="E1795" s="451">
        <v>46020</v>
      </c>
      <c r="F1795" s="451">
        <v>46030</v>
      </c>
      <c r="G1795" t="s">
        <v>576</v>
      </c>
      <c r="H1795" t="s">
        <v>203</v>
      </c>
      <c r="I1795" t="s">
        <v>2369</v>
      </c>
      <c r="J1795">
        <v>-330</v>
      </c>
      <c r="K1795">
        <v>-330</v>
      </c>
      <c r="O1795" t="s">
        <v>787</v>
      </c>
      <c r="P1795" t="s">
        <v>894</v>
      </c>
      <c r="Q1795" t="s">
        <v>458</v>
      </c>
      <c r="R1795">
        <v>0</v>
      </c>
    </row>
    <row r="1796" spans="1:18" x14ac:dyDescent="0.3">
      <c r="A1796">
        <v>121343</v>
      </c>
      <c r="B1796" t="s">
        <v>557</v>
      </c>
      <c r="C1796" t="s">
        <v>259</v>
      </c>
      <c r="D1796" t="s">
        <v>776</v>
      </c>
      <c r="E1796" s="451">
        <v>46019</v>
      </c>
      <c r="F1796" s="451">
        <v>46019</v>
      </c>
      <c r="G1796" t="s">
        <v>777</v>
      </c>
      <c r="H1796" t="s">
        <v>368</v>
      </c>
      <c r="I1796" t="s">
        <v>2370</v>
      </c>
      <c r="J1796">
        <v>-1520.61</v>
      </c>
      <c r="K1796">
        <v>-1520.61</v>
      </c>
      <c r="O1796" t="s">
        <v>779</v>
      </c>
      <c r="Q1796" t="s">
        <v>458</v>
      </c>
      <c r="R1796">
        <v>0</v>
      </c>
    </row>
    <row r="1797" spans="1:18" x14ac:dyDescent="0.3">
      <c r="A1797">
        <v>117970</v>
      </c>
      <c r="B1797" t="s">
        <v>557</v>
      </c>
      <c r="C1797" t="s">
        <v>845</v>
      </c>
      <c r="D1797" t="s">
        <v>2346</v>
      </c>
      <c r="E1797" s="451">
        <v>46019</v>
      </c>
      <c r="F1797" s="451">
        <v>46042</v>
      </c>
      <c r="G1797" t="s">
        <v>308</v>
      </c>
      <c r="H1797" t="s">
        <v>309</v>
      </c>
      <c r="I1797" t="s">
        <v>2371</v>
      </c>
      <c r="J1797">
        <v>-12.64</v>
      </c>
      <c r="K1797">
        <v>-12.64</v>
      </c>
      <c r="O1797" t="s">
        <v>787</v>
      </c>
      <c r="P1797" t="s">
        <v>894</v>
      </c>
      <c r="Q1797" t="s">
        <v>458</v>
      </c>
      <c r="R1797">
        <v>0</v>
      </c>
    </row>
    <row r="1798" spans="1:18" x14ac:dyDescent="0.3">
      <c r="A1798">
        <v>187847</v>
      </c>
      <c r="B1798" t="s">
        <v>557</v>
      </c>
      <c r="C1798" t="s">
        <v>1237</v>
      </c>
      <c r="E1798" s="451">
        <v>46014</v>
      </c>
      <c r="F1798" s="451">
        <v>46015</v>
      </c>
      <c r="G1798" t="s">
        <v>279</v>
      </c>
      <c r="H1798" t="s">
        <v>284</v>
      </c>
      <c r="I1798" t="s">
        <v>1272</v>
      </c>
      <c r="J1798">
        <v>-39.21</v>
      </c>
      <c r="K1798">
        <v>-39.21</v>
      </c>
      <c r="O1798" t="s">
        <v>787</v>
      </c>
      <c r="P1798" t="s">
        <v>894</v>
      </c>
      <c r="Q1798" t="s">
        <v>458</v>
      </c>
      <c r="R1798">
        <v>0</v>
      </c>
    </row>
    <row r="1799" spans="1:18" x14ac:dyDescent="0.3">
      <c r="A1799">
        <v>187846</v>
      </c>
      <c r="B1799" t="s">
        <v>557</v>
      </c>
      <c r="C1799" t="s">
        <v>1237</v>
      </c>
      <c r="E1799" s="451">
        <v>46014</v>
      </c>
      <c r="F1799" s="451">
        <v>46015</v>
      </c>
      <c r="G1799" t="s">
        <v>279</v>
      </c>
      <c r="H1799" t="s">
        <v>284</v>
      </c>
      <c r="I1799" t="s">
        <v>2372</v>
      </c>
      <c r="J1799">
        <v>39.21</v>
      </c>
      <c r="K1799">
        <v>39.21</v>
      </c>
      <c r="O1799" t="s">
        <v>787</v>
      </c>
      <c r="P1799" t="s">
        <v>894</v>
      </c>
      <c r="Q1799" t="s">
        <v>458</v>
      </c>
      <c r="R1799">
        <v>0</v>
      </c>
    </row>
    <row r="1800" spans="1:18" x14ac:dyDescent="0.3">
      <c r="A1800">
        <v>185333</v>
      </c>
      <c r="B1800" t="s">
        <v>557</v>
      </c>
      <c r="C1800" t="s">
        <v>952</v>
      </c>
      <c r="D1800" t="s">
        <v>2373</v>
      </c>
      <c r="E1800" s="451">
        <v>46013</v>
      </c>
      <c r="F1800" s="451">
        <v>46034</v>
      </c>
      <c r="G1800" t="s">
        <v>569</v>
      </c>
      <c r="H1800" t="s">
        <v>58</v>
      </c>
      <c r="I1800" t="s">
        <v>2374</v>
      </c>
      <c r="J1800">
        <v>-2200</v>
      </c>
      <c r="K1800">
        <v>-2200</v>
      </c>
      <c r="O1800" t="s">
        <v>787</v>
      </c>
      <c r="P1800" t="s">
        <v>894</v>
      </c>
      <c r="Q1800" t="s">
        <v>458</v>
      </c>
      <c r="R1800">
        <v>0</v>
      </c>
    </row>
    <row r="1801" spans="1:18" x14ac:dyDescent="0.3">
      <c r="A1801">
        <v>185995</v>
      </c>
      <c r="B1801" t="s">
        <v>557</v>
      </c>
      <c r="C1801" t="s">
        <v>943</v>
      </c>
      <c r="D1801" t="s">
        <v>2375</v>
      </c>
      <c r="E1801" s="451">
        <v>46013</v>
      </c>
      <c r="F1801" s="451">
        <v>46023</v>
      </c>
      <c r="G1801" t="s">
        <v>576</v>
      </c>
      <c r="H1801" t="s">
        <v>203</v>
      </c>
      <c r="I1801" t="s">
        <v>2376</v>
      </c>
      <c r="J1801">
        <v>-4176.34</v>
      </c>
      <c r="K1801">
        <v>-4176.34</v>
      </c>
      <c r="O1801" t="s">
        <v>787</v>
      </c>
      <c r="P1801" t="s">
        <v>894</v>
      </c>
      <c r="Q1801" t="s">
        <v>458</v>
      </c>
      <c r="R1801">
        <v>0</v>
      </c>
    </row>
    <row r="1802" spans="1:18" x14ac:dyDescent="0.3">
      <c r="A1802">
        <v>185371</v>
      </c>
      <c r="B1802" t="s">
        <v>557</v>
      </c>
      <c r="C1802" t="s">
        <v>1245</v>
      </c>
      <c r="D1802" t="s">
        <v>2377</v>
      </c>
      <c r="E1802" s="451">
        <v>46013</v>
      </c>
      <c r="F1802" s="451">
        <v>46028</v>
      </c>
      <c r="G1802" t="s">
        <v>564</v>
      </c>
      <c r="H1802" t="s">
        <v>565</v>
      </c>
      <c r="I1802" t="s">
        <v>2378</v>
      </c>
      <c r="J1802">
        <v>-395.45</v>
      </c>
      <c r="K1802">
        <v>-395.45</v>
      </c>
      <c r="O1802" t="s">
        <v>787</v>
      </c>
      <c r="P1802" t="s">
        <v>894</v>
      </c>
      <c r="Q1802" t="s">
        <v>458</v>
      </c>
      <c r="R1802">
        <v>0</v>
      </c>
    </row>
    <row r="1803" spans="1:18" x14ac:dyDescent="0.3">
      <c r="A1803">
        <v>185992</v>
      </c>
      <c r="B1803" t="s">
        <v>557</v>
      </c>
      <c r="C1803" t="s">
        <v>943</v>
      </c>
      <c r="D1803" t="s">
        <v>2379</v>
      </c>
      <c r="E1803" s="451">
        <v>46013</v>
      </c>
      <c r="F1803" s="451">
        <v>46023</v>
      </c>
      <c r="G1803" t="s">
        <v>576</v>
      </c>
      <c r="H1803" t="s">
        <v>203</v>
      </c>
      <c r="I1803" t="s">
        <v>2380</v>
      </c>
      <c r="J1803">
        <v>-2453</v>
      </c>
      <c r="K1803">
        <v>-2453</v>
      </c>
      <c r="O1803" t="s">
        <v>787</v>
      </c>
      <c r="P1803" t="s">
        <v>894</v>
      </c>
      <c r="Q1803" t="s">
        <v>458</v>
      </c>
      <c r="R1803">
        <v>0</v>
      </c>
    </row>
    <row r="1804" spans="1:18" x14ac:dyDescent="0.3">
      <c r="A1804">
        <v>187844</v>
      </c>
      <c r="B1804" t="s">
        <v>557</v>
      </c>
      <c r="C1804" t="s">
        <v>1237</v>
      </c>
      <c r="E1804" s="451">
        <v>46013</v>
      </c>
      <c r="F1804" s="451">
        <v>46014</v>
      </c>
      <c r="G1804" t="s">
        <v>279</v>
      </c>
      <c r="H1804" t="s">
        <v>284</v>
      </c>
      <c r="I1804" t="s">
        <v>2372</v>
      </c>
      <c r="J1804">
        <v>32.94</v>
      </c>
      <c r="K1804">
        <v>32.94</v>
      </c>
      <c r="O1804" t="s">
        <v>787</v>
      </c>
      <c r="P1804" t="s">
        <v>894</v>
      </c>
      <c r="Q1804" t="s">
        <v>458</v>
      </c>
      <c r="R1804">
        <v>0</v>
      </c>
    </row>
    <row r="1805" spans="1:18" x14ac:dyDescent="0.3">
      <c r="A1805">
        <v>187845</v>
      </c>
      <c r="B1805" t="s">
        <v>557</v>
      </c>
      <c r="C1805" t="s">
        <v>1237</v>
      </c>
      <c r="E1805" s="451">
        <v>46013</v>
      </c>
      <c r="F1805" s="451">
        <v>46014</v>
      </c>
      <c r="G1805" t="s">
        <v>279</v>
      </c>
      <c r="H1805" t="s">
        <v>284</v>
      </c>
      <c r="I1805" t="s">
        <v>1272</v>
      </c>
      <c r="J1805">
        <v>-32.94</v>
      </c>
      <c r="K1805">
        <v>-32.94</v>
      </c>
      <c r="O1805" t="s">
        <v>787</v>
      </c>
      <c r="P1805" t="s">
        <v>894</v>
      </c>
      <c r="Q1805" t="s">
        <v>458</v>
      </c>
      <c r="R1805">
        <v>0</v>
      </c>
    </row>
    <row r="1806" spans="1:18" x14ac:dyDescent="0.3">
      <c r="A1806">
        <v>186068</v>
      </c>
      <c r="B1806" t="s">
        <v>557</v>
      </c>
      <c r="C1806" t="s">
        <v>1128</v>
      </c>
      <c r="D1806" t="s">
        <v>2381</v>
      </c>
      <c r="E1806" s="451">
        <v>46013</v>
      </c>
      <c r="F1806" s="451">
        <v>46028</v>
      </c>
      <c r="G1806" t="s">
        <v>569</v>
      </c>
      <c r="H1806" t="s">
        <v>66</v>
      </c>
      <c r="I1806" t="s">
        <v>2382</v>
      </c>
      <c r="J1806">
        <v>-666.64</v>
      </c>
      <c r="K1806">
        <v>-666.64</v>
      </c>
      <c r="O1806" t="s">
        <v>787</v>
      </c>
      <c r="P1806" t="s">
        <v>894</v>
      </c>
      <c r="Q1806" t="s">
        <v>458</v>
      </c>
      <c r="R1806">
        <v>0</v>
      </c>
    </row>
    <row r="1807" spans="1:18" x14ac:dyDescent="0.3">
      <c r="A1807">
        <v>187842</v>
      </c>
      <c r="B1807" t="s">
        <v>557</v>
      </c>
      <c r="C1807" t="s">
        <v>1237</v>
      </c>
      <c r="E1807" s="451">
        <v>46012</v>
      </c>
      <c r="F1807" s="451">
        <v>46013</v>
      </c>
      <c r="G1807" t="s">
        <v>279</v>
      </c>
      <c r="H1807" t="s">
        <v>284</v>
      </c>
      <c r="I1807" t="s">
        <v>2372</v>
      </c>
      <c r="J1807">
        <v>184.75</v>
      </c>
      <c r="K1807">
        <v>184.75</v>
      </c>
      <c r="O1807" t="s">
        <v>787</v>
      </c>
      <c r="P1807" t="s">
        <v>894</v>
      </c>
      <c r="Q1807" t="s">
        <v>458</v>
      </c>
      <c r="R1807">
        <v>0</v>
      </c>
    </row>
    <row r="1808" spans="1:18" x14ac:dyDescent="0.3">
      <c r="A1808">
        <v>187843</v>
      </c>
      <c r="B1808" t="s">
        <v>557</v>
      </c>
      <c r="C1808" t="s">
        <v>1237</v>
      </c>
      <c r="E1808" s="451">
        <v>46012</v>
      </c>
      <c r="F1808" s="451">
        <v>46013</v>
      </c>
      <c r="G1808" t="s">
        <v>279</v>
      </c>
      <c r="H1808" t="s">
        <v>284</v>
      </c>
      <c r="I1808" t="s">
        <v>1272</v>
      </c>
      <c r="J1808">
        <v>-184.75</v>
      </c>
      <c r="K1808">
        <v>-184.75</v>
      </c>
      <c r="O1808" t="s">
        <v>787</v>
      </c>
      <c r="P1808" t="s">
        <v>894</v>
      </c>
      <c r="Q1808" t="s">
        <v>458</v>
      </c>
      <c r="R1808">
        <v>0</v>
      </c>
    </row>
    <row r="1809" spans="1:18" x14ac:dyDescent="0.3">
      <c r="A1809">
        <v>187841</v>
      </c>
      <c r="B1809" t="s">
        <v>557</v>
      </c>
      <c r="C1809" t="s">
        <v>1237</v>
      </c>
      <c r="E1809" s="451">
        <v>46011</v>
      </c>
      <c r="F1809" s="451">
        <v>46012</v>
      </c>
      <c r="G1809" t="s">
        <v>279</v>
      </c>
      <c r="H1809" t="s">
        <v>284</v>
      </c>
      <c r="I1809" t="s">
        <v>1272</v>
      </c>
      <c r="J1809">
        <v>-155.08000000000001</v>
      </c>
      <c r="K1809">
        <v>-155.08000000000001</v>
      </c>
      <c r="O1809" t="s">
        <v>787</v>
      </c>
      <c r="P1809" t="s">
        <v>894</v>
      </c>
      <c r="Q1809" t="s">
        <v>458</v>
      </c>
      <c r="R1809">
        <v>0</v>
      </c>
    </row>
    <row r="1810" spans="1:18" x14ac:dyDescent="0.3">
      <c r="A1810">
        <v>187840</v>
      </c>
      <c r="B1810" t="s">
        <v>557</v>
      </c>
      <c r="C1810" t="s">
        <v>1237</v>
      </c>
      <c r="E1810" s="451">
        <v>46011</v>
      </c>
      <c r="F1810" s="451">
        <v>46012</v>
      </c>
      <c r="G1810" t="s">
        <v>279</v>
      </c>
      <c r="H1810" t="s">
        <v>284</v>
      </c>
      <c r="I1810" t="s">
        <v>2372</v>
      </c>
      <c r="J1810">
        <v>155.08000000000001</v>
      </c>
      <c r="K1810">
        <v>155.08000000000001</v>
      </c>
      <c r="O1810" t="s">
        <v>787</v>
      </c>
      <c r="P1810" t="s">
        <v>894</v>
      </c>
      <c r="Q1810" t="s">
        <v>458</v>
      </c>
      <c r="R1810">
        <v>0</v>
      </c>
    </row>
    <row r="1811" spans="1:18" x14ac:dyDescent="0.3">
      <c r="A1811">
        <v>133835</v>
      </c>
      <c r="B1811" t="s">
        <v>557</v>
      </c>
      <c r="C1811" t="s">
        <v>870</v>
      </c>
      <c r="D1811" t="s">
        <v>2383</v>
      </c>
      <c r="E1811" s="451">
        <v>46010</v>
      </c>
      <c r="F1811" s="451">
        <v>46013</v>
      </c>
      <c r="G1811" t="s">
        <v>308</v>
      </c>
      <c r="H1811" t="s">
        <v>311</v>
      </c>
      <c r="I1811" t="s">
        <v>2384</v>
      </c>
      <c r="J1811">
        <v>-1250</v>
      </c>
      <c r="K1811">
        <v>-1250</v>
      </c>
      <c r="O1811" t="s">
        <v>787</v>
      </c>
      <c r="P1811" t="s">
        <v>894</v>
      </c>
      <c r="Q1811" t="s">
        <v>458</v>
      </c>
      <c r="R1811">
        <v>0</v>
      </c>
    </row>
    <row r="1812" spans="1:18" x14ac:dyDescent="0.3">
      <c r="A1812">
        <v>187839</v>
      </c>
      <c r="B1812" t="s">
        <v>557</v>
      </c>
      <c r="C1812" t="s">
        <v>1237</v>
      </c>
      <c r="E1812" s="451">
        <v>46010</v>
      </c>
      <c r="F1812" s="451">
        <v>46011</v>
      </c>
      <c r="G1812" t="s">
        <v>279</v>
      </c>
      <c r="H1812" t="s">
        <v>284</v>
      </c>
      <c r="I1812" t="s">
        <v>1272</v>
      </c>
      <c r="J1812">
        <v>-171.52</v>
      </c>
      <c r="K1812">
        <v>-171.52</v>
      </c>
      <c r="O1812" t="s">
        <v>787</v>
      </c>
      <c r="P1812" t="s">
        <v>894</v>
      </c>
      <c r="Q1812" t="s">
        <v>458</v>
      </c>
      <c r="R1812">
        <v>0</v>
      </c>
    </row>
    <row r="1813" spans="1:18" x14ac:dyDescent="0.3">
      <c r="A1813">
        <v>187838</v>
      </c>
      <c r="B1813" t="s">
        <v>557</v>
      </c>
      <c r="C1813" t="s">
        <v>1237</v>
      </c>
      <c r="E1813" s="451">
        <v>46010</v>
      </c>
      <c r="F1813" s="451">
        <v>46011</v>
      </c>
      <c r="G1813" t="s">
        <v>279</v>
      </c>
      <c r="H1813" t="s">
        <v>284</v>
      </c>
      <c r="I1813" t="s">
        <v>2372</v>
      </c>
      <c r="J1813">
        <v>171.52</v>
      </c>
      <c r="K1813">
        <v>171.52</v>
      </c>
      <c r="O1813" t="s">
        <v>787</v>
      </c>
      <c r="P1813" t="s">
        <v>894</v>
      </c>
      <c r="Q1813" t="s">
        <v>458</v>
      </c>
      <c r="R1813">
        <v>0</v>
      </c>
    </row>
    <row r="1814" spans="1:18" x14ac:dyDescent="0.3">
      <c r="A1814">
        <v>186094</v>
      </c>
      <c r="B1814" t="s">
        <v>557</v>
      </c>
      <c r="C1814" t="s">
        <v>917</v>
      </c>
      <c r="D1814" t="s">
        <v>2385</v>
      </c>
      <c r="E1814" s="451">
        <v>46009</v>
      </c>
      <c r="F1814" s="451">
        <v>46044</v>
      </c>
      <c r="G1814" t="s">
        <v>318</v>
      </c>
      <c r="H1814" t="s">
        <v>321</v>
      </c>
      <c r="I1814" t="s">
        <v>2386</v>
      </c>
      <c r="J1814">
        <v>-200</v>
      </c>
      <c r="K1814">
        <v>-200</v>
      </c>
      <c r="O1814" t="s">
        <v>787</v>
      </c>
      <c r="P1814" t="s">
        <v>894</v>
      </c>
      <c r="Q1814" t="s">
        <v>458</v>
      </c>
      <c r="R1814">
        <v>0</v>
      </c>
    </row>
    <row r="1815" spans="1:18" x14ac:dyDescent="0.3">
      <c r="A1815">
        <v>185437</v>
      </c>
      <c r="B1815" t="s">
        <v>557</v>
      </c>
      <c r="C1815" t="s">
        <v>964</v>
      </c>
      <c r="E1815" s="451">
        <v>46009</v>
      </c>
      <c r="F1815" s="451">
        <v>46009</v>
      </c>
      <c r="G1815" t="s">
        <v>874</v>
      </c>
      <c r="H1815" t="s">
        <v>875</v>
      </c>
      <c r="J1815">
        <v>-280.29000000000002</v>
      </c>
      <c r="K1815">
        <v>-280.29000000000002</v>
      </c>
      <c r="O1815" t="s">
        <v>787</v>
      </c>
      <c r="P1815" t="s">
        <v>894</v>
      </c>
      <c r="Q1815" t="s">
        <v>458</v>
      </c>
      <c r="R1815">
        <v>0</v>
      </c>
    </row>
    <row r="1816" spans="1:18" x14ac:dyDescent="0.3">
      <c r="A1816">
        <v>187837</v>
      </c>
      <c r="B1816" t="s">
        <v>557</v>
      </c>
      <c r="C1816" t="s">
        <v>1237</v>
      </c>
      <c r="E1816" s="451">
        <v>46009</v>
      </c>
      <c r="F1816" s="451">
        <v>46010</v>
      </c>
      <c r="G1816" t="s">
        <v>279</v>
      </c>
      <c r="H1816" t="s">
        <v>284</v>
      </c>
      <c r="I1816" t="s">
        <v>2372</v>
      </c>
      <c r="J1816">
        <v>202.28</v>
      </c>
      <c r="K1816">
        <v>202.28</v>
      </c>
      <c r="O1816" t="s">
        <v>787</v>
      </c>
      <c r="P1816" t="s">
        <v>894</v>
      </c>
      <c r="Q1816" t="s">
        <v>458</v>
      </c>
      <c r="R1816">
        <v>0</v>
      </c>
    </row>
    <row r="1817" spans="1:18" x14ac:dyDescent="0.3">
      <c r="A1817">
        <v>187836</v>
      </c>
      <c r="B1817" t="s">
        <v>557</v>
      </c>
      <c r="C1817" t="s">
        <v>1237</v>
      </c>
      <c r="E1817" s="451">
        <v>46009</v>
      </c>
      <c r="F1817" s="451">
        <v>46010</v>
      </c>
      <c r="G1817" t="s">
        <v>279</v>
      </c>
      <c r="H1817" t="s">
        <v>284</v>
      </c>
      <c r="I1817" t="s">
        <v>1272</v>
      </c>
      <c r="J1817">
        <v>-202.28</v>
      </c>
      <c r="K1817">
        <v>-202.28</v>
      </c>
      <c r="O1817" t="s">
        <v>787</v>
      </c>
      <c r="P1817" t="s">
        <v>894</v>
      </c>
      <c r="Q1817" t="s">
        <v>458</v>
      </c>
      <c r="R1817">
        <v>0</v>
      </c>
    </row>
    <row r="1818" spans="1:18" x14ac:dyDescent="0.3">
      <c r="A1818">
        <v>185436</v>
      </c>
      <c r="B1818" t="s">
        <v>557</v>
      </c>
      <c r="C1818" t="s">
        <v>964</v>
      </c>
      <c r="E1818" s="451">
        <v>46008</v>
      </c>
      <c r="F1818" s="451">
        <v>46008</v>
      </c>
      <c r="G1818" t="s">
        <v>874</v>
      </c>
      <c r="H1818" t="s">
        <v>875</v>
      </c>
      <c r="J1818">
        <v>-10</v>
      </c>
      <c r="K1818">
        <v>-10</v>
      </c>
      <c r="O1818" t="s">
        <v>787</v>
      </c>
      <c r="P1818" t="s">
        <v>894</v>
      </c>
      <c r="Q1818" t="s">
        <v>458</v>
      </c>
      <c r="R1818">
        <v>0</v>
      </c>
    </row>
    <row r="1819" spans="1:18" x14ac:dyDescent="0.3">
      <c r="A1819">
        <v>187834</v>
      </c>
      <c r="B1819" t="s">
        <v>557</v>
      </c>
      <c r="C1819" t="s">
        <v>1237</v>
      </c>
      <c r="E1819" s="451">
        <v>46008</v>
      </c>
      <c r="F1819" s="451">
        <v>46009</v>
      </c>
      <c r="G1819" t="s">
        <v>279</v>
      </c>
      <c r="H1819" t="s">
        <v>284</v>
      </c>
      <c r="I1819" t="s">
        <v>2372</v>
      </c>
      <c r="J1819">
        <v>42.12</v>
      </c>
      <c r="K1819">
        <v>42.12</v>
      </c>
      <c r="O1819" t="s">
        <v>787</v>
      </c>
      <c r="P1819" t="s">
        <v>894</v>
      </c>
      <c r="Q1819" t="s">
        <v>458</v>
      </c>
      <c r="R1819">
        <v>0</v>
      </c>
    </row>
    <row r="1820" spans="1:18" x14ac:dyDescent="0.3">
      <c r="A1820">
        <v>187835</v>
      </c>
      <c r="B1820" t="s">
        <v>557</v>
      </c>
      <c r="C1820" t="s">
        <v>1237</v>
      </c>
      <c r="E1820" s="451">
        <v>46008</v>
      </c>
      <c r="F1820" s="451">
        <v>46009</v>
      </c>
      <c r="G1820" t="s">
        <v>279</v>
      </c>
      <c r="H1820" t="s">
        <v>284</v>
      </c>
      <c r="I1820" t="s">
        <v>1272</v>
      </c>
      <c r="J1820">
        <v>-42.12</v>
      </c>
      <c r="K1820">
        <v>-42.12</v>
      </c>
      <c r="O1820" t="s">
        <v>787</v>
      </c>
      <c r="P1820" t="s">
        <v>894</v>
      </c>
      <c r="Q1820" t="s">
        <v>458</v>
      </c>
      <c r="R1820">
        <v>0</v>
      </c>
    </row>
    <row r="1821" spans="1:18" x14ac:dyDescent="0.3">
      <c r="A1821">
        <v>187832</v>
      </c>
      <c r="B1821" t="s">
        <v>557</v>
      </c>
      <c r="C1821" t="s">
        <v>1237</v>
      </c>
      <c r="E1821" s="451">
        <v>46007</v>
      </c>
      <c r="F1821" s="451">
        <v>46008</v>
      </c>
      <c r="G1821" t="s">
        <v>279</v>
      </c>
      <c r="H1821" t="s">
        <v>284</v>
      </c>
      <c r="I1821" t="s">
        <v>1272</v>
      </c>
      <c r="J1821">
        <v>-157.81</v>
      </c>
      <c r="K1821">
        <v>-157.81</v>
      </c>
      <c r="O1821" t="s">
        <v>787</v>
      </c>
      <c r="P1821" t="s">
        <v>894</v>
      </c>
      <c r="Q1821" t="s">
        <v>458</v>
      </c>
      <c r="R1821">
        <v>0</v>
      </c>
    </row>
    <row r="1822" spans="1:18" x14ac:dyDescent="0.3">
      <c r="A1822">
        <v>185435</v>
      </c>
      <c r="B1822" t="s">
        <v>557</v>
      </c>
      <c r="C1822" t="s">
        <v>964</v>
      </c>
      <c r="E1822" s="451">
        <v>46007</v>
      </c>
      <c r="F1822" s="451">
        <v>46007</v>
      </c>
      <c r="G1822" t="s">
        <v>874</v>
      </c>
      <c r="H1822" t="s">
        <v>875</v>
      </c>
      <c r="J1822">
        <v>-20</v>
      </c>
      <c r="K1822">
        <v>-20</v>
      </c>
      <c r="O1822" t="s">
        <v>787</v>
      </c>
      <c r="P1822" t="s">
        <v>894</v>
      </c>
      <c r="Q1822" t="s">
        <v>458</v>
      </c>
      <c r="R1822">
        <v>0</v>
      </c>
    </row>
    <row r="1823" spans="1:18" x14ac:dyDescent="0.3">
      <c r="A1823">
        <v>187833</v>
      </c>
      <c r="B1823" t="s">
        <v>557</v>
      </c>
      <c r="C1823" t="s">
        <v>1237</v>
      </c>
      <c r="E1823" s="451">
        <v>46007</v>
      </c>
      <c r="F1823" s="451">
        <v>46008</v>
      </c>
      <c r="G1823" t="s">
        <v>279</v>
      </c>
      <c r="H1823" t="s">
        <v>284</v>
      </c>
      <c r="I1823" t="s">
        <v>2372</v>
      </c>
      <c r="J1823">
        <v>157.81</v>
      </c>
      <c r="K1823">
        <v>157.81</v>
      </c>
      <c r="O1823" t="s">
        <v>787</v>
      </c>
      <c r="P1823" t="s">
        <v>894</v>
      </c>
      <c r="Q1823" t="s">
        <v>458</v>
      </c>
      <c r="R1823">
        <v>0</v>
      </c>
    </row>
    <row r="1824" spans="1:18" x14ac:dyDescent="0.3">
      <c r="A1824">
        <v>184315</v>
      </c>
      <c r="B1824" t="s">
        <v>557</v>
      </c>
      <c r="C1824" t="s">
        <v>970</v>
      </c>
      <c r="E1824" s="451">
        <v>46006</v>
      </c>
      <c r="F1824" s="451">
        <v>46010</v>
      </c>
      <c r="G1824" t="s">
        <v>574</v>
      </c>
      <c r="H1824" t="s">
        <v>575</v>
      </c>
      <c r="J1824">
        <v>-700.11</v>
      </c>
      <c r="K1824">
        <v>-700.11</v>
      </c>
      <c r="O1824" t="s">
        <v>787</v>
      </c>
      <c r="P1824" t="s">
        <v>894</v>
      </c>
      <c r="Q1824" t="s">
        <v>458</v>
      </c>
      <c r="R1824">
        <v>0</v>
      </c>
    </row>
    <row r="1825" spans="1:18" x14ac:dyDescent="0.3">
      <c r="A1825">
        <v>187831</v>
      </c>
      <c r="B1825" t="s">
        <v>557</v>
      </c>
      <c r="C1825" t="s">
        <v>1237</v>
      </c>
      <c r="E1825" s="451">
        <v>46006</v>
      </c>
      <c r="F1825" s="451">
        <v>46007</v>
      </c>
      <c r="G1825" t="s">
        <v>279</v>
      </c>
      <c r="H1825" t="s">
        <v>284</v>
      </c>
      <c r="I1825" t="s">
        <v>1272</v>
      </c>
      <c r="J1825">
        <v>-69.099999999999994</v>
      </c>
      <c r="K1825">
        <v>-69.099999999999994</v>
      </c>
      <c r="O1825" t="s">
        <v>787</v>
      </c>
      <c r="P1825" t="s">
        <v>894</v>
      </c>
      <c r="Q1825" t="s">
        <v>458</v>
      </c>
      <c r="R1825">
        <v>0</v>
      </c>
    </row>
    <row r="1826" spans="1:18" x14ac:dyDescent="0.3">
      <c r="A1826">
        <v>184319</v>
      </c>
      <c r="B1826" t="s">
        <v>557</v>
      </c>
      <c r="C1826" t="s">
        <v>891</v>
      </c>
      <c r="E1826" s="451">
        <v>46006</v>
      </c>
      <c r="F1826" s="451">
        <v>46010</v>
      </c>
      <c r="G1826" t="s">
        <v>574</v>
      </c>
      <c r="H1826" t="s">
        <v>575</v>
      </c>
      <c r="J1826">
        <v>-958.54</v>
      </c>
      <c r="K1826">
        <v>-958.54</v>
      </c>
      <c r="O1826" t="s">
        <v>787</v>
      </c>
      <c r="P1826" t="s">
        <v>894</v>
      </c>
      <c r="Q1826" t="s">
        <v>458</v>
      </c>
      <c r="R1826">
        <v>0</v>
      </c>
    </row>
    <row r="1827" spans="1:18" x14ac:dyDescent="0.3">
      <c r="A1827">
        <v>184318</v>
      </c>
      <c r="B1827" t="s">
        <v>557</v>
      </c>
      <c r="C1827" t="s">
        <v>1106</v>
      </c>
      <c r="E1827" s="451">
        <v>46006</v>
      </c>
      <c r="F1827" s="451">
        <v>46010</v>
      </c>
      <c r="G1827" t="s">
        <v>574</v>
      </c>
      <c r="H1827" t="s">
        <v>575</v>
      </c>
      <c r="J1827">
        <v>-822.87</v>
      </c>
      <c r="K1827">
        <v>-822.87</v>
      </c>
      <c r="O1827" t="s">
        <v>787</v>
      </c>
      <c r="P1827" t="s">
        <v>894</v>
      </c>
      <c r="Q1827" t="s">
        <v>458</v>
      </c>
      <c r="R1827">
        <v>0</v>
      </c>
    </row>
    <row r="1828" spans="1:18" x14ac:dyDescent="0.3">
      <c r="A1828">
        <v>184317</v>
      </c>
      <c r="B1828" t="s">
        <v>557</v>
      </c>
      <c r="C1828" t="s">
        <v>968</v>
      </c>
      <c r="E1828" s="451">
        <v>46006</v>
      </c>
      <c r="F1828" s="451">
        <v>46010</v>
      </c>
      <c r="G1828" t="s">
        <v>574</v>
      </c>
      <c r="H1828" t="s">
        <v>575</v>
      </c>
      <c r="J1828">
        <v>-968.47</v>
      </c>
      <c r="K1828">
        <v>-968.47</v>
      </c>
      <c r="O1828" t="s">
        <v>787</v>
      </c>
      <c r="P1828" t="s">
        <v>894</v>
      </c>
      <c r="Q1828" t="s">
        <v>458</v>
      </c>
      <c r="R1828">
        <v>0</v>
      </c>
    </row>
    <row r="1829" spans="1:18" x14ac:dyDescent="0.3">
      <c r="A1829">
        <v>184316</v>
      </c>
      <c r="B1829" t="s">
        <v>557</v>
      </c>
      <c r="C1829" t="s">
        <v>1492</v>
      </c>
      <c r="E1829" s="451">
        <v>46006</v>
      </c>
      <c r="F1829" s="451">
        <v>46010</v>
      </c>
      <c r="G1829" t="s">
        <v>574</v>
      </c>
      <c r="H1829" t="s">
        <v>575</v>
      </c>
      <c r="J1829">
        <v>-841.44</v>
      </c>
      <c r="K1829">
        <v>-841.44</v>
      </c>
      <c r="O1829" t="s">
        <v>787</v>
      </c>
      <c r="P1829" t="s">
        <v>894</v>
      </c>
      <c r="Q1829" t="s">
        <v>458</v>
      </c>
      <c r="R1829">
        <v>0</v>
      </c>
    </row>
    <row r="1830" spans="1:18" x14ac:dyDescent="0.3">
      <c r="A1830">
        <v>184702</v>
      </c>
      <c r="B1830" t="s">
        <v>557</v>
      </c>
      <c r="C1830" t="s">
        <v>891</v>
      </c>
      <c r="E1830" s="451">
        <v>46006</v>
      </c>
      <c r="F1830" s="451">
        <v>46010</v>
      </c>
      <c r="G1830" t="s">
        <v>577</v>
      </c>
      <c r="H1830" t="s">
        <v>213</v>
      </c>
      <c r="J1830">
        <v>-1544.25</v>
      </c>
      <c r="K1830">
        <v>-1544.25</v>
      </c>
      <c r="O1830" t="s">
        <v>787</v>
      </c>
      <c r="P1830" t="s">
        <v>894</v>
      </c>
      <c r="Q1830" t="s">
        <v>458</v>
      </c>
      <c r="R1830">
        <v>0</v>
      </c>
    </row>
    <row r="1831" spans="1:18" x14ac:dyDescent="0.3">
      <c r="A1831">
        <v>184314</v>
      </c>
      <c r="B1831" t="s">
        <v>557</v>
      </c>
      <c r="C1831" t="s">
        <v>2182</v>
      </c>
      <c r="E1831" s="451">
        <v>46006</v>
      </c>
      <c r="F1831" s="451">
        <v>46010</v>
      </c>
      <c r="G1831" t="s">
        <v>574</v>
      </c>
      <c r="H1831" t="s">
        <v>575</v>
      </c>
      <c r="J1831">
        <v>-841.44</v>
      </c>
      <c r="K1831">
        <v>-841.44</v>
      </c>
      <c r="O1831" t="s">
        <v>787</v>
      </c>
      <c r="P1831" t="s">
        <v>894</v>
      </c>
      <c r="Q1831" t="s">
        <v>458</v>
      </c>
      <c r="R1831">
        <v>0</v>
      </c>
    </row>
    <row r="1832" spans="1:18" x14ac:dyDescent="0.3">
      <c r="A1832">
        <v>184313</v>
      </c>
      <c r="B1832" t="s">
        <v>557</v>
      </c>
      <c r="C1832" t="s">
        <v>1110</v>
      </c>
      <c r="E1832" s="451">
        <v>46006</v>
      </c>
      <c r="F1832" s="451">
        <v>46010</v>
      </c>
      <c r="G1832" t="s">
        <v>574</v>
      </c>
      <c r="H1832" t="s">
        <v>575</v>
      </c>
      <c r="J1832">
        <v>-913.25</v>
      </c>
      <c r="K1832">
        <v>-913.25</v>
      </c>
      <c r="O1832" t="s">
        <v>787</v>
      </c>
      <c r="P1832" t="s">
        <v>894</v>
      </c>
      <c r="Q1832" t="s">
        <v>458</v>
      </c>
      <c r="R1832">
        <v>0</v>
      </c>
    </row>
    <row r="1833" spans="1:18" x14ac:dyDescent="0.3">
      <c r="A1833">
        <v>187830</v>
      </c>
      <c r="B1833" t="s">
        <v>557</v>
      </c>
      <c r="C1833" t="s">
        <v>1237</v>
      </c>
      <c r="E1833" s="451">
        <v>46006</v>
      </c>
      <c r="F1833" s="451">
        <v>46007</v>
      </c>
      <c r="G1833" t="s">
        <v>279</v>
      </c>
      <c r="H1833" t="s">
        <v>284</v>
      </c>
      <c r="I1833" t="s">
        <v>2372</v>
      </c>
      <c r="J1833">
        <v>69.099999999999994</v>
      </c>
      <c r="K1833">
        <v>69.099999999999994</v>
      </c>
      <c r="O1833" t="s">
        <v>787</v>
      </c>
      <c r="P1833" t="s">
        <v>894</v>
      </c>
      <c r="Q1833" t="s">
        <v>458</v>
      </c>
      <c r="R1833">
        <v>0</v>
      </c>
    </row>
    <row r="1834" spans="1:18" x14ac:dyDescent="0.3">
      <c r="A1834">
        <v>184312</v>
      </c>
      <c r="B1834" t="s">
        <v>557</v>
      </c>
      <c r="C1834" t="s">
        <v>1116</v>
      </c>
      <c r="E1834" s="451">
        <v>46006</v>
      </c>
      <c r="F1834" s="451">
        <v>46010</v>
      </c>
      <c r="G1834" t="s">
        <v>574</v>
      </c>
      <c r="H1834" t="s">
        <v>575</v>
      </c>
      <c r="J1834">
        <v>-888.33</v>
      </c>
      <c r="K1834">
        <v>-888.33</v>
      </c>
      <c r="O1834" t="s">
        <v>787</v>
      </c>
      <c r="P1834" t="s">
        <v>894</v>
      </c>
      <c r="Q1834" t="s">
        <v>458</v>
      </c>
      <c r="R1834">
        <v>0</v>
      </c>
    </row>
    <row r="1835" spans="1:18" x14ac:dyDescent="0.3">
      <c r="A1835">
        <v>184311</v>
      </c>
      <c r="B1835" t="s">
        <v>557</v>
      </c>
      <c r="C1835" t="s">
        <v>1114</v>
      </c>
      <c r="E1835" s="451">
        <v>46006</v>
      </c>
      <c r="F1835" s="451">
        <v>46010</v>
      </c>
      <c r="G1835" t="s">
        <v>574</v>
      </c>
      <c r="H1835" t="s">
        <v>575</v>
      </c>
      <c r="J1835">
        <v>-688.56</v>
      </c>
      <c r="K1835">
        <v>-688.56</v>
      </c>
      <c r="O1835" t="s">
        <v>787</v>
      </c>
      <c r="P1835" t="s">
        <v>894</v>
      </c>
      <c r="Q1835" t="s">
        <v>458</v>
      </c>
      <c r="R1835">
        <v>0</v>
      </c>
    </row>
    <row r="1836" spans="1:18" x14ac:dyDescent="0.3">
      <c r="A1836">
        <v>184310</v>
      </c>
      <c r="B1836" t="s">
        <v>557</v>
      </c>
      <c r="C1836" t="s">
        <v>1381</v>
      </c>
      <c r="E1836" s="451">
        <v>46006</v>
      </c>
      <c r="F1836" s="451">
        <v>46010</v>
      </c>
      <c r="G1836" t="s">
        <v>574</v>
      </c>
      <c r="H1836" t="s">
        <v>575</v>
      </c>
      <c r="J1836">
        <v>-989.6</v>
      </c>
      <c r="K1836">
        <v>-989.6</v>
      </c>
      <c r="O1836" t="s">
        <v>787</v>
      </c>
      <c r="P1836" t="s">
        <v>894</v>
      </c>
      <c r="Q1836" t="s">
        <v>458</v>
      </c>
      <c r="R1836">
        <v>0</v>
      </c>
    </row>
    <row r="1837" spans="1:18" x14ac:dyDescent="0.3">
      <c r="A1837">
        <v>184309</v>
      </c>
      <c r="B1837" t="s">
        <v>557</v>
      </c>
      <c r="C1837" t="s">
        <v>1105</v>
      </c>
      <c r="E1837" s="451">
        <v>46006</v>
      </c>
      <c r="F1837" s="451">
        <v>46010</v>
      </c>
      <c r="G1837" t="s">
        <v>574</v>
      </c>
      <c r="H1837" t="s">
        <v>575</v>
      </c>
      <c r="J1837">
        <v>-946.48</v>
      </c>
      <c r="K1837">
        <v>-946.48</v>
      </c>
      <c r="O1837" t="s">
        <v>787</v>
      </c>
      <c r="P1837" t="s">
        <v>894</v>
      </c>
      <c r="Q1837" t="s">
        <v>458</v>
      </c>
      <c r="R1837">
        <v>0</v>
      </c>
    </row>
    <row r="1838" spans="1:18" x14ac:dyDescent="0.3">
      <c r="A1838">
        <v>184308</v>
      </c>
      <c r="B1838" t="s">
        <v>557</v>
      </c>
      <c r="C1838" t="s">
        <v>2179</v>
      </c>
      <c r="E1838" s="451">
        <v>46006</v>
      </c>
      <c r="F1838" s="451">
        <v>46010</v>
      </c>
      <c r="G1838" t="s">
        <v>574</v>
      </c>
      <c r="H1838" t="s">
        <v>575</v>
      </c>
      <c r="J1838">
        <v>-723.74</v>
      </c>
      <c r="K1838">
        <v>-723.74</v>
      </c>
      <c r="O1838" t="s">
        <v>787</v>
      </c>
      <c r="P1838" t="s">
        <v>894</v>
      </c>
      <c r="Q1838" t="s">
        <v>458</v>
      </c>
      <c r="R1838">
        <v>0</v>
      </c>
    </row>
    <row r="1839" spans="1:18" x14ac:dyDescent="0.3">
      <c r="A1839">
        <v>184307</v>
      </c>
      <c r="B1839" t="s">
        <v>557</v>
      </c>
      <c r="C1839" t="s">
        <v>1113</v>
      </c>
      <c r="E1839" s="451">
        <v>46006</v>
      </c>
      <c r="F1839" s="451">
        <v>46010</v>
      </c>
      <c r="G1839" t="s">
        <v>574</v>
      </c>
      <c r="H1839" t="s">
        <v>575</v>
      </c>
      <c r="J1839">
        <v>-934.03</v>
      </c>
      <c r="K1839">
        <v>-934.03</v>
      </c>
      <c r="O1839" t="s">
        <v>787</v>
      </c>
      <c r="P1839" t="s">
        <v>894</v>
      </c>
      <c r="Q1839" t="s">
        <v>458</v>
      </c>
      <c r="R1839">
        <v>0</v>
      </c>
    </row>
    <row r="1840" spans="1:18" x14ac:dyDescent="0.3">
      <c r="A1840">
        <v>184306</v>
      </c>
      <c r="B1840" t="s">
        <v>557</v>
      </c>
      <c r="C1840" t="s">
        <v>2178</v>
      </c>
      <c r="E1840" s="451">
        <v>46006</v>
      </c>
      <c r="F1840" s="451">
        <v>46010</v>
      </c>
      <c r="G1840" t="s">
        <v>574</v>
      </c>
      <c r="H1840" t="s">
        <v>575</v>
      </c>
      <c r="J1840">
        <v>-841.44</v>
      </c>
      <c r="K1840">
        <v>-841.44</v>
      </c>
      <c r="O1840" t="s">
        <v>787</v>
      </c>
      <c r="P1840" t="s">
        <v>894</v>
      </c>
      <c r="Q1840" t="s">
        <v>458</v>
      </c>
      <c r="R1840">
        <v>0</v>
      </c>
    </row>
    <row r="1841" spans="1:18" x14ac:dyDescent="0.3">
      <c r="A1841">
        <v>184305</v>
      </c>
      <c r="B1841" t="s">
        <v>557</v>
      </c>
      <c r="C1841" t="s">
        <v>1104</v>
      </c>
      <c r="E1841" s="451">
        <v>46006</v>
      </c>
      <c r="F1841" s="451">
        <v>46010</v>
      </c>
      <c r="G1841" t="s">
        <v>574</v>
      </c>
      <c r="H1841" t="s">
        <v>575</v>
      </c>
      <c r="J1841">
        <v>-734.68</v>
      </c>
      <c r="K1841">
        <v>-734.68</v>
      </c>
      <c r="O1841" t="s">
        <v>787</v>
      </c>
      <c r="P1841" t="s">
        <v>894</v>
      </c>
      <c r="Q1841" t="s">
        <v>458</v>
      </c>
      <c r="R1841">
        <v>0</v>
      </c>
    </row>
    <row r="1842" spans="1:18" x14ac:dyDescent="0.3">
      <c r="A1842">
        <v>184115</v>
      </c>
      <c r="B1842" t="s">
        <v>557</v>
      </c>
      <c r="C1842" t="s">
        <v>952</v>
      </c>
      <c r="D1842" t="s">
        <v>2387</v>
      </c>
      <c r="E1842" s="451">
        <v>46006</v>
      </c>
      <c r="F1842" s="451">
        <v>46027</v>
      </c>
      <c r="G1842" t="s">
        <v>569</v>
      </c>
      <c r="H1842" t="s">
        <v>58</v>
      </c>
      <c r="I1842" t="s">
        <v>2388</v>
      </c>
      <c r="J1842">
        <v>-6850</v>
      </c>
      <c r="K1842">
        <v>-6850</v>
      </c>
      <c r="O1842" t="s">
        <v>787</v>
      </c>
      <c r="P1842" t="s">
        <v>894</v>
      </c>
      <c r="Q1842" t="s">
        <v>458</v>
      </c>
      <c r="R1842">
        <v>0</v>
      </c>
    </row>
    <row r="1843" spans="1:18" x14ac:dyDescent="0.3">
      <c r="A1843">
        <v>184013</v>
      </c>
      <c r="B1843" t="s">
        <v>557</v>
      </c>
      <c r="C1843" t="s">
        <v>1036</v>
      </c>
      <c r="E1843" s="451">
        <v>46006</v>
      </c>
      <c r="F1843" s="451">
        <v>46006</v>
      </c>
      <c r="G1843" t="s">
        <v>874</v>
      </c>
      <c r="H1843" t="s">
        <v>875</v>
      </c>
      <c r="J1843">
        <v>-177.05</v>
      </c>
      <c r="K1843">
        <v>-177.05</v>
      </c>
      <c r="O1843" t="s">
        <v>787</v>
      </c>
      <c r="P1843" t="s">
        <v>894</v>
      </c>
      <c r="Q1843" t="s">
        <v>458</v>
      </c>
      <c r="R1843">
        <v>0</v>
      </c>
    </row>
    <row r="1844" spans="1:18" x14ac:dyDescent="0.3">
      <c r="A1844">
        <v>183312</v>
      </c>
      <c r="B1844" t="s">
        <v>557</v>
      </c>
      <c r="C1844" t="s">
        <v>1128</v>
      </c>
      <c r="D1844" t="s">
        <v>2389</v>
      </c>
      <c r="E1844" s="451">
        <v>46006</v>
      </c>
      <c r="F1844" s="451">
        <v>46021</v>
      </c>
      <c r="G1844" t="s">
        <v>569</v>
      </c>
      <c r="H1844" t="s">
        <v>66</v>
      </c>
      <c r="I1844" t="s">
        <v>2390</v>
      </c>
      <c r="J1844">
        <v>-834</v>
      </c>
      <c r="K1844">
        <v>-834</v>
      </c>
      <c r="O1844" t="s">
        <v>787</v>
      </c>
      <c r="P1844" t="s">
        <v>894</v>
      </c>
      <c r="Q1844" t="s">
        <v>458</v>
      </c>
      <c r="R1844">
        <v>0</v>
      </c>
    </row>
    <row r="1845" spans="1:18" x14ac:dyDescent="0.3">
      <c r="A1845">
        <v>185374</v>
      </c>
      <c r="B1845" t="s">
        <v>557</v>
      </c>
      <c r="C1845" t="s">
        <v>2391</v>
      </c>
      <c r="D1845" t="s">
        <v>2392</v>
      </c>
      <c r="E1845" s="451">
        <v>46006</v>
      </c>
      <c r="F1845" s="451">
        <v>46021</v>
      </c>
      <c r="G1845" t="s">
        <v>564</v>
      </c>
      <c r="H1845" t="s">
        <v>568</v>
      </c>
      <c r="I1845" t="s">
        <v>2393</v>
      </c>
      <c r="J1845">
        <v>-5315</v>
      </c>
      <c r="K1845">
        <v>-5315</v>
      </c>
      <c r="O1845" t="s">
        <v>787</v>
      </c>
      <c r="P1845" t="s">
        <v>894</v>
      </c>
      <c r="Q1845" t="s">
        <v>458</v>
      </c>
      <c r="R1845">
        <v>0</v>
      </c>
    </row>
    <row r="1846" spans="1:18" x14ac:dyDescent="0.3">
      <c r="A1846">
        <v>184701</v>
      </c>
      <c r="B1846" t="s">
        <v>557</v>
      </c>
      <c r="C1846" t="s">
        <v>1106</v>
      </c>
      <c r="E1846" s="451">
        <v>46006</v>
      </c>
      <c r="F1846" s="451">
        <v>46010</v>
      </c>
      <c r="G1846" t="s">
        <v>577</v>
      </c>
      <c r="H1846" t="s">
        <v>213</v>
      </c>
      <c r="J1846">
        <v>-1335.08</v>
      </c>
      <c r="K1846">
        <v>-1335.08</v>
      </c>
      <c r="O1846" t="s">
        <v>787</v>
      </c>
      <c r="P1846" t="s">
        <v>894</v>
      </c>
      <c r="Q1846" t="s">
        <v>458</v>
      </c>
      <c r="R1846">
        <v>0</v>
      </c>
    </row>
    <row r="1847" spans="1:18" x14ac:dyDescent="0.3">
      <c r="A1847">
        <v>184703</v>
      </c>
      <c r="B1847" t="s">
        <v>557</v>
      </c>
      <c r="C1847" t="s">
        <v>1781</v>
      </c>
      <c r="E1847" s="451">
        <v>46006</v>
      </c>
      <c r="F1847" s="451">
        <v>46010</v>
      </c>
      <c r="G1847" t="s">
        <v>577</v>
      </c>
      <c r="H1847" t="s">
        <v>213</v>
      </c>
      <c r="J1847">
        <v>-1493.1</v>
      </c>
      <c r="K1847">
        <v>-1493.1</v>
      </c>
      <c r="O1847" t="s">
        <v>787</v>
      </c>
      <c r="P1847" t="s">
        <v>894</v>
      </c>
      <c r="Q1847" t="s">
        <v>458</v>
      </c>
      <c r="R1847">
        <v>0</v>
      </c>
    </row>
    <row r="1848" spans="1:18" x14ac:dyDescent="0.3">
      <c r="A1848">
        <v>184700</v>
      </c>
      <c r="B1848" t="s">
        <v>557</v>
      </c>
      <c r="C1848" t="s">
        <v>968</v>
      </c>
      <c r="E1848" s="451">
        <v>46006</v>
      </c>
      <c r="F1848" s="451">
        <v>46010</v>
      </c>
      <c r="G1848" t="s">
        <v>577</v>
      </c>
      <c r="H1848" t="s">
        <v>213</v>
      </c>
      <c r="J1848">
        <v>-1447</v>
      </c>
      <c r="K1848">
        <v>-1447</v>
      </c>
      <c r="O1848" t="s">
        <v>787</v>
      </c>
      <c r="P1848" t="s">
        <v>894</v>
      </c>
      <c r="Q1848" t="s">
        <v>458</v>
      </c>
      <c r="R1848">
        <v>0</v>
      </c>
    </row>
    <row r="1849" spans="1:18" x14ac:dyDescent="0.3">
      <c r="A1849">
        <v>184699</v>
      </c>
      <c r="B1849" t="s">
        <v>557</v>
      </c>
      <c r="C1849" t="s">
        <v>1492</v>
      </c>
      <c r="E1849" s="451">
        <v>46006</v>
      </c>
      <c r="F1849" s="451">
        <v>46010</v>
      </c>
      <c r="G1849" t="s">
        <v>577</v>
      </c>
      <c r="H1849" t="s">
        <v>213</v>
      </c>
      <c r="J1849">
        <v>-382.19</v>
      </c>
      <c r="K1849">
        <v>-382.19</v>
      </c>
      <c r="O1849" t="s">
        <v>787</v>
      </c>
      <c r="P1849" t="s">
        <v>894</v>
      </c>
      <c r="Q1849" t="s">
        <v>458</v>
      </c>
      <c r="R1849">
        <v>0</v>
      </c>
    </row>
    <row r="1850" spans="1:18" x14ac:dyDescent="0.3">
      <c r="A1850">
        <v>184698</v>
      </c>
      <c r="B1850" t="s">
        <v>557</v>
      </c>
      <c r="C1850" t="s">
        <v>970</v>
      </c>
      <c r="E1850" s="451">
        <v>46006</v>
      </c>
      <c r="F1850" s="451">
        <v>46010</v>
      </c>
      <c r="G1850" t="s">
        <v>577</v>
      </c>
      <c r="H1850" t="s">
        <v>213</v>
      </c>
      <c r="J1850">
        <v>-1638.99</v>
      </c>
      <c r="K1850">
        <v>-1638.99</v>
      </c>
      <c r="O1850" t="s">
        <v>787</v>
      </c>
      <c r="P1850" t="s">
        <v>894</v>
      </c>
      <c r="Q1850" t="s">
        <v>458</v>
      </c>
      <c r="R1850">
        <v>0</v>
      </c>
    </row>
    <row r="1851" spans="1:18" x14ac:dyDescent="0.3">
      <c r="A1851">
        <v>184697</v>
      </c>
      <c r="B1851" t="s">
        <v>557</v>
      </c>
      <c r="C1851" t="s">
        <v>2182</v>
      </c>
      <c r="E1851" s="451">
        <v>46006</v>
      </c>
      <c r="F1851" s="451">
        <v>46010</v>
      </c>
      <c r="G1851" t="s">
        <v>577</v>
      </c>
      <c r="H1851" t="s">
        <v>213</v>
      </c>
      <c r="J1851">
        <v>-1001.13</v>
      </c>
      <c r="K1851">
        <v>-1001.13</v>
      </c>
      <c r="O1851" t="s">
        <v>787</v>
      </c>
      <c r="P1851" t="s">
        <v>894</v>
      </c>
      <c r="Q1851" t="s">
        <v>458</v>
      </c>
      <c r="R1851">
        <v>0</v>
      </c>
    </row>
    <row r="1852" spans="1:18" x14ac:dyDescent="0.3">
      <c r="A1852">
        <v>184696</v>
      </c>
      <c r="B1852" t="s">
        <v>557</v>
      </c>
      <c r="C1852" t="s">
        <v>1110</v>
      </c>
      <c r="E1852" s="451">
        <v>46006</v>
      </c>
      <c r="F1852" s="451">
        <v>46010</v>
      </c>
      <c r="G1852" t="s">
        <v>577</v>
      </c>
      <c r="H1852" t="s">
        <v>213</v>
      </c>
      <c r="J1852">
        <v>-1422.06</v>
      </c>
      <c r="K1852">
        <v>-1422.06</v>
      </c>
      <c r="O1852" t="s">
        <v>787</v>
      </c>
      <c r="P1852" t="s">
        <v>894</v>
      </c>
      <c r="Q1852" t="s">
        <v>458</v>
      </c>
      <c r="R1852">
        <v>0</v>
      </c>
    </row>
    <row r="1853" spans="1:18" x14ac:dyDescent="0.3">
      <c r="A1853">
        <v>184695</v>
      </c>
      <c r="B1853" t="s">
        <v>557</v>
      </c>
      <c r="C1853" t="s">
        <v>1116</v>
      </c>
      <c r="E1853" s="451">
        <v>46006</v>
      </c>
      <c r="F1853" s="451">
        <v>46010</v>
      </c>
      <c r="G1853" t="s">
        <v>577</v>
      </c>
      <c r="H1853" t="s">
        <v>213</v>
      </c>
      <c r="J1853">
        <v>-1385.65</v>
      </c>
      <c r="K1853">
        <v>-1385.65</v>
      </c>
      <c r="O1853" t="s">
        <v>787</v>
      </c>
      <c r="P1853" t="s">
        <v>894</v>
      </c>
      <c r="Q1853" t="s">
        <v>458</v>
      </c>
      <c r="R1853">
        <v>0</v>
      </c>
    </row>
    <row r="1854" spans="1:18" x14ac:dyDescent="0.3">
      <c r="A1854">
        <v>184694</v>
      </c>
      <c r="B1854" t="s">
        <v>557</v>
      </c>
      <c r="C1854" t="s">
        <v>1114</v>
      </c>
      <c r="E1854" s="451">
        <v>46006</v>
      </c>
      <c r="F1854" s="451">
        <v>46010</v>
      </c>
      <c r="G1854" t="s">
        <v>577</v>
      </c>
      <c r="H1854" t="s">
        <v>213</v>
      </c>
      <c r="J1854">
        <v>-1613.13</v>
      </c>
      <c r="K1854">
        <v>-1613.13</v>
      </c>
      <c r="O1854" t="s">
        <v>787</v>
      </c>
      <c r="P1854" t="s">
        <v>894</v>
      </c>
      <c r="Q1854" t="s">
        <v>458</v>
      </c>
      <c r="R1854">
        <v>0</v>
      </c>
    </row>
    <row r="1855" spans="1:18" x14ac:dyDescent="0.3">
      <c r="A1855">
        <v>184693</v>
      </c>
      <c r="B1855" t="s">
        <v>557</v>
      </c>
      <c r="C1855" t="s">
        <v>1381</v>
      </c>
      <c r="E1855" s="451">
        <v>46006</v>
      </c>
      <c r="F1855" s="451">
        <v>46010</v>
      </c>
      <c r="G1855" t="s">
        <v>577</v>
      </c>
      <c r="H1855" t="s">
        <v>213</v>
      </c>
      <c r="J1855">
        <v>-1514.98</v>
      </c>
      <c r="K1855">
        <v>-1514.98</v>
      </c>
      <c r="O1855" t="s">
        <v>787</v>
      </c>
      <c r="P1855" t="s">
        <v>894</v>
      </c>
      <c r="Q1855" t="s">
        <v>458</v>
      </c>
      <c r="R1855">
        <v>0</v>
      </c>
    </row>
    <row r="1856" spans="1:18" x14ac:dyDescent="0.3">
      <c r="A1856">
        <v>184691</v>
      </c>
      <c r="B1856" t="s">
        <v>557</v>
      </c>
      <c r="C1856" t="s">
        <v>2179</v>
      </c>
      <c r="E1856" s="451">
        <v>46006</v>
      </c>
      <c r="F1856" s="451">
        <v>46010</v>
      </c>
      <c r="G1856" t="s">
        <v>577</v>
      </c>
      <c r="H1856" t="s">
        <v>213</v>
      </c>
      <c r="J1856">
        <v>-1101</v>
      </c>
      <c r="K1856">
        <v>-1101</v>
      </c>
      <c r="O1856" t="s">
        <v>787</v>
      </c>
      <c r="P1856" t="s">
        <v>894</v>
      </c>
      <c r="Q1856" t="s">
        <v>458</v>
      </c>
      <c r="R1856">
        <v>0</v>
      </c>
    </row>
    <row r="1857" spans="1:18" x14ac:dyDescent="0.3">
      <c r="A1857">
        <v>185238</v>
      </c>
      <c r="B1857" t="s">
        <v>557</v>
      </c>
      <c r="C1857" t="s">
        <v>1269</v>
      </c>
      <c r="D1857" t="s">
        <v>2394</v>
      </c>
      <c r="E1857" s="451">
        <v>46006</v>
      </c>
      <c r="F1857" s="451">
        <v>46083</v>
      </c>
      <c r="G1857" t="s">
        <v>578</v>
      </c>
      <c r="H1857" t="s">
        <v>246</v>
      </c>
      <c r="I1857" t="s">
        <v>2395</v>
      </c>
      <c r="J1857">
        <v>-420.5</v>
      </c>
      <c r="K1857">
        <v>-467.08</v>
      </c>
      <c r="O1857" t="s">
        <v>787</v>
      </c>
      <c r="P1857" t="s">
        <v>894</v>
      </c>
      <c r="Q1857" t="s">
        <v>458</v>
      </c>
      <c r="R1857">
        <v>0</v>
      </c>
    </row>
    <row r="1858" spans="1:18" x14ac:dyDescent="0.3">
      <c r="A1858">
        <v>185077</v>
      </c>
      <c r="B1858" t="s">
        <v>557</v>
      </c>
      <c r="C1858" t="s">
        <v>873</v>
      </c>
      <c r="E1858" s="451">
        <v>46006</v>
      </c>
      <c r="F1858" s="451">
        <v>46006</v>
      </c>
      <c r="G1858" t="s">
        <v>874</v>
      </c>
      <c r="H1858" t="s">
        <v>875</v>
      </c>
      <c r="J1858">
        <v>-2</v>
      </c>
      <c r="K1858">
        <v>-2</v>
      </c>
      <c r="O1858" t="s">
        <v>787</v>
      </c>
      <c r="P1858" t="s">
        <v>894</v>
      </c>
      <c r="Q1858" t="s">
        <v>458</v>
      </c>
      <c r="R1858">
        <v>0</v>
      </c>
    </row>
    <row r="1859" spans="1:18" x14ac:dyDescent="0.3">
      <c r="A1859">
        <v>185071</v>
      </c>
      <c r="B1859" t="s">
        <v>557</v>
      </c>
      <c r="C1859" t="s">
        <v>964</v>
      </c>
      <c r="E1859" s="451">
        <v>46006</v>
      </c>
      <c r="F1859" s="451">
        <v>46006</v>
      </c>
      <c r="G1859" t="s">
        <v>874</v>
      </c>
      <c r="H1859" t="s">
        <v>875</v>
      </c>
      <c r="J1859">
        <v>-40</v>
      </c>
      <c r="K1859">
        <v>-40</v>
      </c>
      <c r="O1859" t="s">
        <v>787</v>
      </c>
      <c r="P1859" t="s">
        <v>894</v>
      </c>
      <c r="Q1859" t="s">
        <v>458</v>
      </c>
      <c r="R1859">
        <v>0</v>
      </c>
    </row>
    <row r="1860" spans="1:18" x14ac:dyDescent="0.3">
      <c r="A1860">
        <v>184320</v>
      </c>
      <c r="B1860" t="s">
        <v>557</v>
      </c>
      <c r="C1860" t="s">
        <v>1781</v>
      </c>
      <c r="E1860" s="451">
        <v>46006</v>
      </c>
      <c r="F1860" s="451">
        <v>46010</v>
      </c>
      <c r="G1860" t="s">
        <v>574</v>
      </c>
      <c r="H1860" t="s">
        <v>575</v>
      </c>
      <c r="J1860">
        <v>-958.12</v>
      </c>
      <c r="K1860">
        <v>-958.12</v>
      </c>
      <c r="O1860" t="s">
        <v>787</v>
      </c>
      <c r="P1860" t="s">
        <v>894</v>
      </c>
      <c r="Q1860" t="s">
        <v>458</v>
      </c>
      <c r="R1860">
        <v>0</v>
      </c>
    </row>
    <row r="1861" spans="1:18" x14ac:dyDescent="0.3">
      <c r="A1861">
        <v>184688</v>
      </c>
      <c r="B1861" t="s">
        <v>557</v>
      </c>
      <c r="C1861" t="s">
        <v>1104</v>
      </c>
      <c r="E1861" s="451">
        <v>46006</v>
      </c>
      <c r="F1861" s="451">
        <v>46010</v>
      </c>
      <c r="G1861" t="s">
        <v>577</v>
      </c>
      <c r="H1861" t="s">
        <v>213</v>
      </c>
      <c r="J1861">
        <v>-1569.89</v>
      </c>
      <c r="K1861">
        <v>-1569.89</v>
      </c>
      <c r="O1861" t="s">
        <v>787</v>
      </c>
      <c r="P1861" t="s">
        <v>894</v>
      </c>
      <c r="Q1861" t="s">
        <v>458</v>
      </c>
      <c r="R1861">
        <v>0</v>
      </c>
    </row>
    <row r="1862" spans="1:18" x14ac:dyDescent="0.3">
      <c r="A1862">
        <v>184689</v>
      </c>
      <c r="B1862" t="s">
        <v>557</v>
      </c>
      <c r="C1862" t="s">
        <v>2178</v>
      </c>
      <c r="E1862" s="451">
        <v>46006</v>
      </c>
      <c r="F1862" s="451">
        <v>46010</v>
      </c>
      <c r="G1862" t="s">
        <v>577</v>
      </c>
      <c r="H1862" t="s">
        <v>213</v>
      </c>
      <c r="J1862">
        <v>-255.93</v>
      </c>
      <c r="K1862">
        <v>-255.93</v>
      </c>
      <c r="O1862" t="s">
        <v>787</v>
      </c>
      <c r="P1862" t="s">
        <v>894</v>
      </c>
      <c r="Q1862" t="s">
        <v>458</v>
      </c>
      <c r="R1862">
        <v>0</v>
      </c>
    </row>
    <row r="1863" spans="1:18" x14ac:dyDescent="0.3">
      <c r="A1863">
        <v>184690</v>
      </c>
      <c r="B1863" t="s">
        <v>557</v>
      </c>
      <c r="C1863" t="s">
        <v>1113</v>
      </c>
      <c r="E1863" s="451">
        <v>46006</v>
      </c>
      <c r="F1863" s="451">
        <v>46010</v>
      </c>
      <c r="G1863" t="s">
        <v>577</v>
      </c>
      <c r="H1863" t="s">
        <v>213</v>
      </c>
      <c r="J1863">
        <v>-1299.3399999999999</v>
      </c>
      <c r="K1863">
        <v>-1299.3399999999999</v>
      </c>
      <c r="O1863" t="s">
        <v>787</v>
      </c>
      <c r="P1863" t="s">
        <v>894</v>
      </c>
      <c r="Q1863" t="s">
        <v>458</v>
      </c>
      <c r="R1863">
        <v>0</v>
      </c>
    </row>
    <row r="1864" spans="1:18" x14ac:dyDescent="0.3">
      <c r="A1864">
        <v>184692</v>
      </c>
      <c r="B1864" t="s">
        <v>557</v>
      </c>
      <c r="C1864" t="s">
        <v>1105</v>
      </c>
      <c r="E1864" s="451">
        <v>46006</v>
      </c>
      <c r="F1864" s="451">
        <v>46010</v>
      </c>
      <c r="G1864" t="s">
        <v>577</v>
      </c>
      <c r="H1864" t="s">
        <v>213</v>
      </c>
      <c r="J1864">
        <v>-808.21</v>
      </c>
      <c r="K1864">
        <v>-808.21</v>
      </c>
      <c r="O1864" t="s">
        <v>787</v>
      </c>
      <c r="P1864" t="s">
        <v>894</v>
      </c>
      <c r="Q1864" t="s">
        <v>458</v>
      </c>
      <c r="R1864">
        <v>0</v>
      </c>
    </row>
    <row r="1865" spans="1:18" x14ac:dyDescent="0.3">
      <c r="A1865">
        <v>187829</v>
      </c>
      <c r="B1865" t="s">
        <v>557</v>
      </c>
      <c r="C1865" t="s">
        <v>1237</v>
      </c>
      <c r="E1865" s="451">
        <v>46005</v>
      </c>
      <c r="F1865" s="451">
        <v>46006</v>
      </c>
      <c r="G1865" t="s">
        <v>279</v>
      </c>
      <c r="H1865" t="s">
        <v>284</v>
      </c>
      <c r="I1865" t="s">
        <v>1272</v>
      </c>
      <c r="J1865">
        <v>-109.2</v>
      </c>
      <c r="K1865">
        <v>-109.2</v>
      </c>
      <c r="O1865" t="s">
        <v>787</v>
      </c>
      <c r="P1865" t="s">
        <v>894</v>
      </c>
      <c r="Q1865" t="s">
        <v>458</v>
      </c>
      <c r="R1865">
        <v>0</v>
      </c>
    </row>
    <row r="1866" spans="1:18" x14ac:dyDescent="0.3">
      <c r="A1866">
        <v>187828</v>
      </c>
      <c r="B1866" t="s">
        <v>557</v>
      </c>
      <c r="C1866" t="s">
        <v>1237</v>
      </c>
      <c r="E1866" s="451">
        <v>46005</v>
      </c>
      <c r="F1866" s="451">
        <v>46006</v>
      </c>
      <c r="G1866" t="s">
        <v>279</v>
      </c>
      <c r="H1866" t="s">
        <v>284</v>
      </c>
      <c r="I1866" t="s">
        <v>2372</v>
      </c>
      <c r="J1866">
        <v>90.35</v>
      </c>
      <c r="K1866">
        <v>90.35</v>
      </c>
      <c r="O1866" t="s">
        <v>787</v>
      </c>
      <c r="P1866" t="s">
        <v>894</v>
      </c>
      <c r="Q1866" t="s">
        <v>458</v>
      </c>
      <c r="R1866">
        <v>0</v>
      </c>
    </row>
    <row r="1867" spans="1:18" x14ac:dyDescent="0.3">
      <c r="A1867">
        <v>183964</v>
      </c>
      <c r="B1867" t="s">
        <v>557</v>
      </c>
      <c r="C1867" t="s">
        <v>943</v>
      </c>
      <c r="D1867" t="s">
        <v>2396</v>
      </c>
      <c r="E1867" s="451">
        <v>46005</v>
      </c>
      <c r="F1867" s="451">
        <v>46016</v>
      </c>
      <c r="G1867" t="s">
        <v>576</v>
      </c>
      <c r="H1867" t="s">
        <v>203</v>
      </c>
      <c r="I1867" t="s">
        <v>2397</v>
      </c>
      <c r="J1867">
        <v>-3614.12</v>
      </c>
      <c r="K1867">
        <v>-3691.21</v>
      </c>
      <c r="O1867" t="s">
        <v>787</v>
      </c>
      <c r="P1867" t="s">
        <v>894</v>
      </c>
      <c r="Q1867" t="s">
        <v>458</v>
      </c>
      <c r="R1867">
        <v>0</v>
      </c>
    </row>
    <row r="1868" spans="1:18" x14ac:dyDescent="0.3">
      <c r="A1868">
        <v>183963</v>
      </c>
      <c r="B1868" t="s">
        <v>557</v>
      </c>
      <c r="C1868" t="s">
        <v>943</v>
      </c>
      <c r="D1868" t="s">
        <v>2398</v>
      </c>
      <c r="E1868" s="451">
        <v>46005</v>
      </c>
      <c r="F1868" s="451">
        <v>46016</v>
      </c>
      <c r="G1868" t="s">
        <v>576</v>
      </c>
      <c r="H1868" t="s">
        <v>203</v>
      </c>
      <c r="I1868" t="s">
        <v>2397</v>
      </c>
      <c r="J1868">
        <v>-2409</v>
      </c>
      <c r="K1868">
        <v>-2409</v>
      </c>
      <c r="O1868" t="s">
        <v>787</v>
      </c>
      <c r="P1868" t="s">
        <v>894</v>
      </c>
      <c r="Q1868" t="s">
        <v>458</v>
      </c>
      <c r="R1868">
        <v>0</v>
      </c>
    </row>
    <row r="1869" spans="1:18" x14ac:dyDescent="0.3">
      <c r="A1869">
        <v>187827</v>
      </c>
      <c r="B1869" t="s">
        <v>557</v>
      </c>
      <c r="C1869" t="s">
        <v>1237</v>
      </c>
      <c r="E1869" s="451">
        <v>46004</v>
      </c>
      <c r="F1869" s="451">
        <v>46005</v>
      </c>
      <c r="G1869" t="s">
        <v>279</v>
      </c>
      <c r="H1869" t="s">
        <v>284</v>
      </c>
      <c r="I1869" t="s">
        <v>1272</v>
      </c>
      <c r="J1869">
        <v>-209.58</v>
      </c>
      <c r="K1869">
        <v>-209.58</v>
      </c>
      <c r="O1869" t="s">
        <v>787</v>
      </c>
      <c r="P1869" t="s">
        <v>894</v>
      </c>
      <c r="Q1869" t="s">
        <v>458</v>
      </c>
      <c r="R1869">
        <v>0</v>
      </c>
    </row>
    <row r="1870" spans="1:18" x14ac:dyDescent="0.3">
      <c r="A1870">
        <v>187826</v>
      </c>
      <c r="B1870" t="s">
        <v>557</v>
      </c>
      <c r="C1870" t="s">
        <v>1237</v>
      </c>
      <c r="E1870" s="451">
        <v>46003</v>
      </c>
      <c r="F1870" s="451">
        <v>46004</v>
      </c>
      <c r="G1870" t="s">
        <v>279</v>
      </c>
      <c r="H1870" t="s">
        <v>284</v>
      </c>
      <c r="I1870" t="s">
        <v>1272</v>
      </c>
      <c r="J1870">
        <v>-222.47</v>
      </c>
      <c r="K1870">
        <v>-222.47</v>
      </c>
      <c r="O1870" t="s">
        <v>787</v>
      </c>
      <c r="P1870" t="s">
        <v>894</v>
      </c>
      <c r="Q1870" t="s">
        <v>458</v>
      </c>
      <c r="R1870">
        <v>0</v>
      </c>
    </row>
    <row r="1871" spans="1:18" x14ac:dyDescent="0.3">
      <c r="A1871">
        <v>96188</v>
      </c>
      <c r="B1871" t="s">
        <v>557</v>
      </c>
      <c r="C1871" t="s">
        <v>861</v>
      </c>
      <c r="D1871" t="s">
        <v>2352</v>
      </c>
      <c r="E1871" s="451">
        <v>46002</v>
      </c>
      <c r="F1871" s="451">
        <v>46032</v>
      </c>
      <c r="G1871" t="s">
        <v>256</v>
      </c>
      <c r="H1871" t="s">
        <v>257</v>
      </c>
      <c r="I1871" t="s">
        <v>2399</v>
      </c>
      <c r="J1871">
        <v>-21308</v>
      </c>
      <c r="K1871">
        <v>-17308</v>
      </c>
      <c r="O1871" t="s">
        <v>779</v>
      </c>
      <c r="P1871" t="s">
        <v>894</v>
      </c>
      <c r="Q1871" t="s">
        <v>458</v>
      </c>
      <c r="R1871">
        <v>0</v>
      </c>
    </row>
    <row r="1872" spans="1:18" x14ac:dyDescent="0.3">
      <c r="A1872">
        <v>191771</v>
      </c>
      <c r="B1872" t="s">
        <v>557</v>
      </c>
      <c r="C1872" t="s">
        <v>1749</v>
      </c>
      <c r="E1872" s="451">
        <v>46002</v>
      </c>
      <c r="F1872" s="451">
        <v>46002</v>
      </c>
      <c r="G1872" t="s">
        <v>874</v>
      </c>
      <c r="H1872" t="s">
        <v>875</v>
      </c>
      <c r="J1872">
        <v>-68.36</v>
      </c>
      <c r="K1872">
        <v>-68.36</v>
      </c>
      <c r="O1872" t="s">
        <v>787</v>
      </c>
      <c r="P1872" t="s">
        <v>894</v>
      </c>
      <c r="Q1872" t="s">
        <v>458</v>
      </c>
      <c r="R1872">
        <v>0</v>
      </c>
    </row>
    <row r="1873" spans="1:18" x14ac:dyDescent="0.3">
      <c r="A1873">
        <v>187825</v>
      </c>
      <c r="B1873" t="s">
        <v>557</v>
      </c>
      <c r="C1873" t="s">
        <v>1237</v>
      </c>
      <c r="E1873" s="451">
        <v>46002</v>
      </c>
      <c r="F1873" s="451">
        <v>46003</v>
      </c>
      <c r="G1873" t="s">
        <v>279</v>
      </c>
      <c r="H1873" t="s">
        <v>284</v>
      </c>
      <c r="I1873" t="s">
        <v>1272</v>
      </c>
      <c r="J1873">
        <v>-148.83000000000001</v>
      </c>
      <c r="K1873">
        <v>-148.83000000000001</v>
      </c>
      <c r="O1873" t="s">
        <v>787</v>
      </c>
      <c r="P1873" t="s">
        <v>894</v>
      </c>
      <c r="Q1873" t="s">
        <v>458</v>
      </c>
      <c r="R1873">
        <v>0</v>
      </c>
    </row>
    <row r="1874" spans="1:18" x14ac:dyDescent="0.3">
      <c r="A1874">
        <v>187824</v>
      </c>
      <c r="B1874" t="s">
        <v>557</v>
      </c>
      <c r="C1874" t="s">
        <v>1237</v>
      </c>
      <c r="E1874" s="451">
        <v>46001</v>
      </c>
      <c r="F1874" s="451">
        <v>46002</v>
      </c>
      <c r="G1874" t="s">
        <v>279</v>
      </c>
      <c r="H1874" t="s">
        <v>284</v>
      </c>
      <c r="I1874" t="s">
        <v>1272</v>
      </c>
      <c r="J1874">
        <v>-400.47</v>
      </c>
      <c r="K1874">
        <v>-400.47</v>
      </c>
      <c r="O1874" t="s">
        <v>787</v>
      </c>
      <c r="P1874" t="s">
        <v>894</v>
      </c>
      <c r="Q1874" t="s">
        <v>458</v>
      </c>
      <c r="R1874">
        <v>0</v>
      </c>
    </row>
    <row r="1875" spans="1:18" x14ac:dyDescent="0.3">
      <c r="A1875">
        <v>154372</v>
      </c>
      <c r="B1875" t="s">
        <v>557</v>
      </c>
      <c r="C1875" t="s">
        <v>2198</v>
      </c>
      <c r="D1875" t="s">
        <v>2400</v>
      </c>
      <c r="E1875" s="451">
        <v>46001</v>
      </c>
      <c r="F1875" s="451">
        <v>46001</v>
      </c>
      <c r="G1875" t="s">
        <v>256</v>
      </c>
      <c r="H1875" t="s">
        <v>261</v>
      </c>
      <c r="I1875" t="s">
        <v>2200</v>
      </c>
      <c r="J1875">
        <v>-281.35000000000002</v>
      </c>
      <c r="K1875">
        <v>0</v>
      </c>
      <c r="O1875" t="s">
        <v>787</v>
      </c>
      <c r="P1875" t="s">
        <v>894</v>
      </c>
      <c r="Q1875" t="s">
        <v>458</v>
      </c>
      <c r="R1875">
        <v>0</v>
      </c>
    </row>
    <row r="1876" spans="1:18" x14ac:dyDescent="0.3">
      <c r="A1876">
        <v>186253</v>
      </c>
      <c r="B1876" t="s">
        <v>557</v>
      </c>
      <c r="C1876" t="s">
        <v>863</v>
      </c>
      <c r="D1876" t="s">
        <v>2352</v>
      </c>
      <c r="E1876" s="451">
        <v>46001</v>
      </c>
      <c r="F1876" s="451">
        <v>46021</v>
      </c>
      <c r="G1876" t="s">
        <v>256</v>
      </c>
      <c r="H1876" t="s">
        <v>257</v>
      </c>
      <c r="I1876" t="s">
        <v>2401</v>
      </c>
      <c r="J1876">
        <v>-27694</v>
      </c>
      <c r="K1876">
        <v>-27694</v>
      </c>
      <c r="O1876" t="s">
        <v>787</v>
      </c>
      <c r="P1876" t="s">
        <v>894</v>
      </c>
      <c r="Q1876" t="s">
        <v>458</v>
      </c>
      <c r="R1876">
        <v>0</v>
      </c>
    </row>
    <row r="1877" spans="1:18" x14ac:dyDescent="0.3">
      <c r="A1877">
        <v>187823</v>
      </c>
      <c r="B1877" t="s">
        <v>557</v>
      </c>
      <c r="C1877" t="s">
        <v>1237</v>
      </c>
      <c r="E1877" s="451">
        <v>46000</v>
      </c>
      <c r="F1877" s="451">
        <v>46001</v>
      </c>
      <c r="G1877" t="s">
        <v>279</v>
      </c>
      <c r="H1877" t="s">
        <v>284</v>
      </c>
      <c r="I1877" t="s">
        <v>1272</v>
      </c>
      <c r="J1877">
        <v>-64.709999999999994</v>
      </c>
      <c r="K1877">
        <v>-64.709999999999994</v>
      </c>
      <c r="O1877" t="s">
        <v>787</v>
      </c>
      <c r="P1877" t="s">
        <v>894</v>
      </c>
      <c r="Q1877" t="s">
        <v>458</v>
      </c>
      <c r="R1877">
        <v>0</v>
      </c>
    </row>
    <row r="1878" spans="1:18" x14ac:dyDescent="0.3">
      <c r="A1878">
        <v>186695</v>
      </c>
      <c r="B1878" t="s">
        <v>557</v>
      </c>
      <c r="C1878" t="s">
        <v>2167</v>
      </c>
      <c r="D1878" t="s">
        <v>2402</v>
      </c>
      <c r="E1878" s="451">
        <v>46000</v>
      </c>
      <c r="F1878" s="451">
        <v>46027</v>
      </c>
      <c r="G1878" t="s">
        <v>264</v>
      </c>
      <c r="H1878" t="s">
        <v>268</v>
      </c>
      <c r="I1878" t="s">
        <v>2403</v>
      </c>
      <c r="J1878">
        <v>-600</v>
      </c>
      <c r="K1878">
        <v>-600</v>
      </c>
      <c r="O1878" t="s">
        <v>787</v>
      </c>
      <c r="P1878" t="s">
        <v>894</v>
      </c>
      <c r="Q1878" t="s">
        <v>458</v>
      </c>
      <c r="R1878">
        <v>0</v>
      </c>
    </row>
    <row r="1879" spans="1:18" x14ac:dyDescent="0.3">
      <c r="A1879">
        <v>187822</v>
      </c>
      <c r="B1879" t="s">
        <v>557</v>
      </c>
      <c r="C1879" t="s">
        <v>1237</v>
      </c>
      <c r="E1879" s="451">
        <v>45999</v>
      </c>
      <c r="F1879" s="451">
        <v>46000</v>
      </c>
      <c r="G1879" t="s">
        <v>279</v>
      </c>
      <c r="H1879" t="s">
        <v>284</v>
      </c>
      <c r="I1879" t="s">
        <v>1272</v>
      </c>
      <c r="J1879">
        <v>-81.739999999999995</v>
      </c>
      <c r="K1879">
        <v>-81.739999999999995</v>
      </c>
      <c r="O1879" t="s">
        <v>787</v>
      </c>
      <c r="P1879" t="s">
        <v>894</v>
      </c>
      <c r="Q1879" t="s">
        <v>458</v>
      </c>
      <c r="R1879">
        <v>0</v>
      </c>
    </row>
    <row r="1880" spans="1:18" x14ac:dyDescent="0.3">
      <c r="A1880">
        <v>182526</v>
      </c>
      <c r="B1880" t="s">
        <v>557</v>
      </c>
      <c r="C1880" t="s">
        <v>943</v>
      </c>
      <c r="D1880" t="s">
        <v>2404</v>
      </c>
      <c r="E1880" s="451">
        <v>45999</v>
      </c>
      <c r="F1880" s="451">
        <v>46009</v>
      </c>
      <c r="G1880" t="s">
        <v>576</v>
      </c>
      <c r="H1880" t="s">
        <v>203</v>
      </c>
      <c r="I1880" t="s">
        <v>2405</v>
      </c>
      <c r="J1880">
        <v>-2519</v>
      </c>
      <c r="K1880">
        <v>-2519</v>
      </c>
      <c r="O1880" t="s">
        <v>787</v>
      </c>
      <c r="P1880" t="s">
        <v>894</v>
      </c>
      <c r="Q1880" t="s">
        <v>458</v>
      </c>
      <c r="R1880">
        <v>0</v>
      </c>
    </row>
    <row r="1881" spans="1:18" x14ac:dyDescent="0.3">
      <c r="A1881">
        <v>182970</v>
      </c>
      <c r="B1881" t="s">
        <v>557</v>
      </c>
      <c r="C1881" t="s">
        <v>964</v>
      </c>
      <c r="E1881" s="451">
        <v>45999</v>
      </c>
      <c r="F1881" s="451">
        <v>45999</v>
      </c>
      <c r="G1881" t="s">
        <v>874</v>
      </c>
      <c r="H1881" t="s">
        <v>875</v>
      </c>
      <c r="J1881">
        <v>-10</v>
      </c>
      <c r="K1881">
        <v>-10</v>
      </c>
      <c r="O1881" t="s">
        <v>787</v>
      </c>
      <c r="P1881" t="s">
        <v>894</v>
      </c>
      <c r="Q1881" t="s">
        <v>458</v>
      </c>
      <c r="R1881">
        <v>0</v>
      </c>
    </row>
    <row r="1882" spans="1:18" x14ac:dyDescent="0.3">
      <c r="A1882">
        <v>183311</v>
      </c>
      <c r="B1882" t="s">
        <v>557</v>
      </c>
      <c r="C1882" t="s">
        <v>1128</v>
      </c>
      <c r="D1882" t="s">
        <v>2406</v>
      </c>
      <c r="E1882" s="451">
        <v>45999</v>
      </c>
      <c r="F1882" s="451">
        <v>46014</v>
      </c>
      <c r="G1882" t="s">
        <v>569</v>
      </c>
      <c r="H1882" t="s">
        <v>66</v>
      </c>
      <c r="I1882" t="s">
        <v>2407</v>
      </c>
      <c r="J1882">
        <v>-500</v>
      </c>
      <c r="K1882">
        <v>-500</v>
      </c>
      <c r="O1882" t="s">
        <v>787</v>
      </c>
      <c r="P1882" t="s">
        <v>894</v>
      </c>
      <c r="Q1882" t="s">
        <v>458</v>
      </c>
      <c r="R1882">
        <v>0</v>
      </c>
    </row>
    <row r="1883" spans="1:18" x14ac:dyDescent="0.3">
      <c r="A1883">
        <v>183314</v>
      </c>
      <c r="B1883" t="s">
        <v>557</v>
      </c>
      <c r="C1883" t="s">
        <v>1245</v>
      </c>
      <c r="D1883" t="s">
        <v>2408</v>
      </c>
      <c r="E1883" s="451">
        <v>45999</v>
      </c>
      <c r="F1883" s="451">
        <v>46014</v>
      </c>
      <c r="G1883" t="s">
        <v>264</v>
      </c>
      <c r="H1883" t="s">
        <v>272</v>
      </c>
      <c r="I1883" t="s">
        <v>2409</v>
      </c>
      <c r="J1883">
        <v>-70</v>
      </c>
      <c r="K1883">
        <v>-70</v>
      </c>
      <c r="O1883" t="s">
        <v>787</v>
      </c>
      <c r="P1883" t="s">
        <v>894</v>
      </c>
      <c r="Q1883" t="s">
        <v>458</v>
      </c>
      <c r="R1883">
        <v>0</v>
      </c>
    </row>
    <row r="1884" spans="1:18" x14ac:dyDescent="0.3">
      <c r="A1884">
        <v>183954</v>
      </c>
      <c r="B1884" t="s">
        <v>557</v>
      </c>
      <c r="C1884" t="s">
        <v>943</v>
      </c>
      <c r="D1884" t="s">
        <v>2410</v>
      </c>
      <c r="E1884" s="451">
        <v>45999</v>
      </c>
      <c r="F1884" s="451">
        <v>46009</v>
      </c>
      <c r="G1884" t="s">
        <v>576</v>
      </c>
      <c r="H1884" t="s">
        <v>203</v>
      </c>
      <c r="I1884" t="s">
        <v>2405</v>
      </c>
      <c r="J1884">
        <v>-1925</v>
      </c>
      <c r="K1884">
        <v>-1966.7</v>
      </c>
      <c r="O1884" t="s">
        <v>787</v>
      </c>
      <c r="P1884" t="s">
        <v>894</v>
      </c>
      <c r="Q1884" t="s">
        <v>458</v>
      </c>
      <c r="R1884">
        <v>0</v>
      </c>
    </row>
    <row r="1885" spans="1:18" x14ac:dyDescent="0.3">
      <c r="A1885">
        <v>187821</v>
      </c>
      <c r="B1885" t="s">
        <v>557</v>
      </c>
      <c r="C1885" t="s">
        <v>1237</v>
      </c>
      <c r="E1885" s="451">
        <v>45998</v>
      </c>
      <c r="F1885" s="451">
        <v>45999</v>
      </c>
      <c r="G1885" t="s">
        <v>279</v>
      </c>
      <c r="H1885" t="s">
        <v>284</v>
      </c>
      <c r="I1885" t="s">
        <v>1272</v>
      </c>
      <c r="J1885">
        <v>-150.33000000000001</v>
      </c>
      <c r="K1885">
        <v>-150.33000000000001</v>
      </c>
      <c r="O1885" t="s">
        <v>787</v>
      </c>
      <c r="P1885" t="s">
        <v>894</v>
      </c>
      <c r="Q1885" t="s">
        <v>458</v>
      </c>
      <c r="R1885">
        <v>0</v>
      </c>
    </row>
    <row r="1886" spans="1:18" x14ac:dyDescent="0.3">
      <c r="A1886">
        <v>184144</v>
      </c>
      <c r="B1886" t="s">
        <v>557</v>
      </c>
      <c r="C1886" t="s">
        <v>889</v>
      </c>
      <c r="D1886" t="s">
        <v>2411</v>
      </c>
      <c r="E1886" s="451">
        <v>45997</v>
      </c>
      <c r="F1886" s="451">
        <v>46014</v>
      </c>
      <c r="G1886" t="s">
        <v>279</v>
      </c>
      <c r="H1886" t="s">
        <v>282</v>
      </c>
      <c r="I1886" t="s">
        <v>2412</v>
      </c>
      <c r="J1886">
        <v>-263.5</v>
      </c>
      <c r="K1886">
        <v>-263.5</v>
      </c>
      <c r="O1886" t="s">
        <v>787</v>
      </c>
      <c r="P1886" t="s">
        <v>894</v>
      </c>
      <c r="Q1886" t="s">
        <v>458</v>
      </c>
      <c r="R1886">
        <v>0</v>
      </c>
    </row>
    <row r="1887" spans="1:18" x14ac:dyDescent="0.3">
      <c r="A1887">
        <v>187820</v>
      </c>
      <c r="B1887" t="s">
        <v>557</v>
      </c>
      <c r="C1887" t="s">
        <v>1237</v>
      </c>
      <c r="E1887" s="451">
        <v>45997</v>
      </c>
      <c r="F1887" s="451">
        <v>45998</v>
      </c>
      <c r="G1887" t="s">
        <v>279</v>
      </c>
      <c r="H1887" t="s">
        <v>284</v>
      </c>
      <c r="I1887" t="s">
        <v>1272</v>
      </c>
      <c r="J1887">
        <v>-349.5</v>
      </c>
      <c r="K1887">
        <v>-349.5</v>
      </c>
      <c r="O1887" t="s">
        <v>787</v>
      </c>
      <c r="P1887" t="s">
        <v>894</v>
      </c>
      <c r="Q1887" t="s">
        <v>458</v>
      </c>
      <c r="R1887">
        <v>0</v>
      </c>
    </row>
    <row r="1888" spans="1:18" x14ac:dyDescent="0.3">
      <c r="A1888">
        <v>184136</v>
      </c>
      <c r="B1888" t="s">
        <v>557</v>
      </c>
      <c r="C1888" t="s">
        <v>889</v>
      </c>
      <c r="D1888" t="s">
        <v>2413</v>
      </c>
      <c r="E1888" s="451">
        <v>45997</v>
      </c>
      <c r="F1888" s="451">
        <v>46024</v>
      </c>
      <c r="G1888" t="s">
        <v>279</v>
      </c>
      <c r="H1888" t="s">
        <v>281</v>
      </c>
      <c r="I1888" t="s">
        <v>2414</v>
      </c>
      <c r="J1888">
        <v>-162.27000000000001</v>
      </c>
      <c r="K1888">
        <v>-162.27000000000001</v>
      </c>
      <c r="O1888" t="s">
        <v>787</v>
      </c>
      <c r="P1888" t="s">
        <v>894</v>
      </c>
      <c r="Q1888" t="s">
        <v>458</v>
      </c>
      <c r="R1888">
        <v>0</v>
      </c>
    </row>
    <row r="1889" spans="1:18" x14ac:dyDescent="0.3">
      <c r="A1889">
        <v>138260</v>
      </c>
      <c r="B1889" t="s">
        <v>557</v>
      </c>
      <c r="C1889" t="s">
        <v>2415</v>
      </c>
      <c r="E1889" s="451">
        <v>45996</v>
      </c>
      <c r="F1889" s="451">
        <v>46001</v>
      </c>
      <c r="G1889" t="s">
        <v>296</v>
      </c>
      <c r="H1889" t="s">
        <v>307</v>
      </c>
      <c r="I1889" t="s">
        <v>2416</v>
      </c>
      <c r="J1889">
        <v>-150</v>
      </c>
      <c r="K1889">
        <v>0</v>
      </c>
      <c r="O1889" t="s">
        <v>787</v>
      </c>
      <c r="P1889" t="s">
        <v>894</v>
      </c>
      <c r="Q1889" t="s">
        <v>458</v>
      </c>
      <c r="R1889">
        <v>0</v>
      </c>
    </row>
    <row r="1890" spans="1:18" x14ac:dyDescent="0.3">
      <c r="A1890">
        <v>187819</v>
      </c>
      <c r="B1890" t="s">
        <v>557</v>
      </c>
      <c r="C1890" t="s">
        <v>1237</v>
      </c>
      <c r="E1890" s="451">
        <v>45996</v>
      </c>
      <c r="F1890" s="451">
        <v>45997</v>
      </c>
      <c r="G1890" t="s">
        <v>279</v>
      </c>
      <c r="H1890" t="s">
        <v>284</v>
      </c>
      <c r="I1890" t="s">
        <v>1272</v>
      </c>
      <c r="J1890">
        <v>-110.71</v>
      </c>
      <c r="K1890">
        <v>-110.71</v>
      </c>
      <c r="O1890" t="s">
        <v>787</v>
      </c>
      <c r="P1890" t="s">
        <v>894</v>
      </c>
      <c r="Q1890" t="s">
        <v>458</v>
      </c>
      <c r="R1890">
        <v>0</v>
      </c>
    </row>
    <row r="1891" spans="1:18" x14ac:dyDescent="0.3">
      <c r="A1891">
        <v>187818</v>
      </c>
      <c r="B1891" t="s">
        <v>557</v>
      </c>
      <c r="C1891" t="s">
        <v>1237</v>
      </c>
      <c r="E1891" s="451">
        <v>45995</v>
      </c>
      <c r="F1891" s="451">
        <v>45996</v>
      </c>
      <c r="G1891" t="s">
        <v>279</v>
      </c>
      <c r="H1891" t="s">
        <v>284</v>
      </c>
      <c r="I1891" t="s">
        <v>1272</v>
      </c>
      <c r="J1891">
        <v>-59.66</v>
      </c>
      <c r="K1891">
        <v>-59.66</v>
      </c>
      <c r="O1891" t="s">
        <v>787</v>
      </c>
      <c r="P1891" t="s">
        <v>894</v>
      </c>
      <c r="Q1891" t="s">
        <v>458</v>
      </c>
      <c r="R1891">
        <v>0</v>
      </c>
    </row>
    <row r="1892" spans="1:18" x14ac:dyDescent="0.3">
      <c r="A1892">
        <v>187817</v>
      </c>
      <c r="B1892" t="s">
        <v>557</v>
      </c>
      <c r="C1892" t="s">
        <v>1237</v>
      </c>
      <c r="E1892" s="451">
        <v>45994</v>
      </c>
      <c r="F1892" s="451">
        <v>45995</v>
      </c>
      <c r="G1892" t="s">
        <v>279</v>
      </c>
      <c r="H1892" t="s">
        <v>284</v>
      </c>
      <c r="I1892" t="s">
        <v>1272</v>
      </c>
      <c r="J1892">
        <v>-128.94999999999999</v>
      </c>
      <c r="K1892">
        <v>-128.94999999999999</v>
      </c>
      <c r="O1892" t="s">
        <v>787</v>
      </c>
      <c r="P1892" t="s">
        <v>894</v>
      </c>
      <c r="Q1892" t="s">
        <v>458</v>
      </c>
      <c r="R1892">
        <v>0</v>
      </c>
    </row>
    <row r="1893" spans="1:18" x14ac:dyDescent="0.3">
      <c r="A1893">
        <v>182874</v>
      </c>
      <c r="B1893" t="s">
        <v>557</v>
      </c>
      <c r="C1893" t="s">
        <v>895</v>
      </c>
      <c r="D1893" t="s">
        <v>2417</v>
      </c>
      <c r="E1893" s="451">
        <v>45993</v>
      </c>
      <c r="F1893" s="451">
        <v>46006</v>
      </c>
      <c r="G1893" t="s">
        <v>308</v>
      </c>
      <c r="H1893" t="s">
        <v>309</v>
      </c>
      <c r="I1893" t="s">
        <v>2418</v>
      </c>
      <c r="J1893">
        <v>-829.92</v>
      </c>
      <c r="K1893">
        <v>-846.75</v>
      </c>
      <c r="O1893" t="s">
        <v>787</v>
      </c>
      <c r="P1893" t="s">
        <v>894</v>
      </c>
      <c r="Q1893" t="s">
        <v>458</v>
      </c>
      <c r="R1893">
        <v>0</v>
      </c>
    </row>
    <row r="1894" spans="1:18" x14ac:dyDescent="0.3">
      <c r="A1894">
        <v>182877</v>
      </c>
      <c r="B1894" t="s">
        <v>557</v>
      </c>
      <c r="C1894" t="s">
        <v>895</v>
      </c>
      <c r="D1894" t="s">
        <v>2419</v>
      </c>
      <c r="E1894" s="451">
        <v>45993</v>
      </c>
      <c r="F1894" s="451">
        <v>46006</v>
      </c>
      <c r="G1894" t="s">
        <v>308</v>
      </c>
      <c r="H1894" t="s">
        <v>309</v>
      </c>
      <c r="I1894" t="s">
        <v>2420</v>
      </c>
      <c r="J1894">
        <v>-2175.62</v>
      </c>
      <c r="K1894">
        <v>-2219.7800000000002</v>
      </c>
      <c r="O1894" t="s">
        <v>787</v>
      </c>
      <c r="P1894" t="s">
        <v>894</v>
      </c>
      <c r="Q1894" t="s">
        <v>458</v>
      </c>
      <c r="R1894">
        <v>0</v>
      </c>
    </row>
    <row r="1895" spans="1:18" x14ac:dyDescent="0.3">
      <c r="A1895">
        <v>187816</v>
      </c>
      <c r="B1895" t="s">
        <v>557</v>
      </c>
      <c r="C1895" t="s">
        <v>1237</v>
      </c>
      <c r="E1895" s="451">
        <v>45993</v>
      </c>
      <c r="F1895" s="451">
        <v>45994</v>
      </c>
      <c r="G1895" t="s">
        <v>279</v>
      </c>
      <c r="H1895" t="s">
        <v>284</v>
      </c>
      <c r="I1895" t="s">
        <v>1272</v>
      </c>
      <c r="J1895">
        <v>-23.67</v>
      </c>
      <c r="K1895">
        <v>-23.67</v>
      </c>
      <c r="O1895" t="s">
        <v>787</v>
      </c>
      <c r="P1895" t="s">
        <v>894</v>
      </c>
      <c r="Q1895" t="s">
        <v>458</v>
      </c>
      <c r="R1895">
        <v>0</v>
      </c>
    </row>
    <row r="1896" spans="1:18" x14ac:dyDescent="0.3">
      <c r="A1896">
        <v>113976</v>
      </c>
      <c r="B1896" t="s">
        <v>557</v>
      </c>
      <c r="C1896" t="s">
        <v>851</v>
      </c>
      <c r="D1896" t="s">
        <v>2421</v>
      </c>
      <c r="E1896" s="451">
        <v>45992</v>
      </c>
      <c r="F1896" s="451">
        <v>46006</v>
      </c>
      <c r="G1896" t="s">
        <v>318</v>
      </c>
      <c r="H1896" t="s">
        <v>320</v>
      </c>
      <c r="I1896" t="s">
        <v>2422</v>
      </c>
      <c r="J1896">
        <v>-131.15</v>
      </c>
      <c r="K1896">
        <v>-131.15</v>
      </c>
      <c r="O1896" t="s">
        <v>787</v>
      </c>
      <c r="P1896" t="s">
        <v>894</v>
      </c>
      <c r="Q1896" t="s">
        <v>458</v>
      </c>
      <c r="R1896">
        <v>0</v>
      </c>
    </row>
    <row r="1897" spans="1:18" x14ac:dyDescent="0.3">
      <c r="A1897">
        <v>185719</v>
      </c>
      <c r="B1897" t="s">
        <v>557</v>
      </c>
      <c r="C1897" t="s">
        <v>879</v>
      </c>
      <c r="D1897" t="s">
        <v>1886</v>
      </c>
      <c r="E1897" s="451">
        <v>45992</v>
      </c>
      <c r="F1897" s="451">
        <v>46037</v>
      </c>
      <c r="G1897" t="s">
        <v>570</v>
      </c>
      <c r="H1897" t="s">
        <v>573</v>
      </c>
      <c r="I1897" t="s">
        <v>458</v>
      </c>
      <c r="J1897">
        <v>-2000</v>
      </c>
      <c r="K1897">
        <v>-2000</v>
      </c>
      <c r="M1897" t="s">
        <v>881</v>
      </c>
      <c r="N1897" t="s">
        <v>73</v>
      </c>
      <c r="O1897" t="s">
        <v>787</v>
      </c>
      <c r="P1897" t="s">
        <v>894</v>
      </c>
      <c r="Q1897" t="s">
        <v>458</v>
      </c>
      <c r="R1897">
        <v>0</v>
      </c>
    </row>
    <row r="1898" spans="1:18" x14ac:dyDescent="0.3">
      <c r="A1898">
        <v>113933</v>
      </c>
      <c r="B1898" t="s">
        <v>557</v>
      </c>
      <c r="C1898" t="s">
        <v>911</v>
      </c>
      <c r="D1898" t="s">
        <v>2423</v>
      </c>
      <c r="E1898" s="451">
        <v>45992</v>
      </c>
      <c r="F1898" s="451">
        <v>46001</v>
      </c>
      <c r="G1898" t="s">
        <v>279</v>
      </c>
      <c r="H1898" t="s">
        <v>281</v>
      </c>
      <c r="I1898" t="s">
        <v>2309</v>
      </c>
      <c r="J1898">
        <v>-299.99</v>
      </c>
      <c r="K1898">
        <v>-299.99</v>
      </c>
      <c r="O1898" t="s">
        <v>787</v>
      </c>
      <c r="P1898" t="s">
        <v>894</v>
      </c>
      <c r="Q1898" t="s">
        <v>458</v>
      </c>
      <c r="R1898">
        <v>0</v>
      </c>
    </row>
    <row r="1899" spans="1:18" x14ac:dyDescent="0.3">
      <c r="A1899">
        <v>185723</v>
      </c>
      <c r="B1899" t="s">
        <v>557</v>
      </c>
      <c r="C1899" t="s">
        <v>2016</v>
      </c>
      <c r="D1899" t="s">
        <v>1362</v>
      </c>
      <c r="E1899" s="451">
        <v>45992</v>
      </c>
      <c r="F1899" s="451">
        <v>46023</v>
      </c>
      <c r="G1899" t="s">
        <v>570</v>
      </c>
      <c r="H1899" t="s">
        <v>573</v>
      </c>
      <c r="I1899" t="s">
        <v>458</v>
      </c>
      <c r="J1899">
        <v>-4000</v>
      </c>
      <c r="K1899">
        <v>-4000</v>
      </c>
      <c r="M1899" t="s">
        <v>821</v>
      </c>
      <c r="N1899" t="s">
        <v>133</v>
      </c>
      <c r="O1899" t="s">
        <v>787</v>
      </c>
      <c r="Q1899" t="s">
        <v>458</v>
      </c>
      <c r="R1899">
        <v>0</v>
      </c>
    </row>
    <row r="1900" spans="1:18" x14ac:dyDescent="0.3">
      <c r="A1900">
        <v>185725</v>
      </c>
      <c r="B1900" t="s">
        <v>557</v>
      </c>
      <c r="C1900" t="s">
        <v>886</v>
      </c>
      <c r="D1900" t="s">
        <v>1489</v>
      </c>
      <c r="E1900" s="451">
        <v>45992</v>
      </c>
      <c r="F1900" s="451">
        <v>46023</v>
      </c>
      <c r="G1900" t="s">
        <v>570</v>
      </c>
      <c r="H1900" t="s">
        <v>573</v>
      </c>
      <c r="I1900" t="s">
        <v>458</v>
      </c>
      <c r="J1900">
        <v>-6600</v>
      </c>
      <c r="K1900">
        <v>-6600</v>
      </c>
      <c r="M1900" t="s">
        <v>887</v>
      </c>
      <c r="N1900" t="s">
        <v>131</v>
      </c>
      <c r="O1900" t="s">
        <v>787</v>
      </c>
      <c r="Q1900" t="s">
        <v>458</v>
      </c>
      <c r="R1900">
        <v>0</v>
      </c>
    </row>
    <row r="1901" spans="1:18" x14ac:dyDescent="0.3">
      <c r="A1901">
        <v>185726</v>
      </c>
      <c r="B1901" t="s">
        <v>557</v>
      </c>
      <c r="C1901" t="s">
        <v>884</v>
      </c>
      <c r="D1901" t="s">
        <v>1859</v>
      </c>
      <c r="E1901" s="451">
        <v>45992</v>
      </c>
      <c r="F1901" s="451">
        <v>46037</v>
      </c>
      <c r="G1901" t="s">
        <v>570</v>
      </c>
      <c r="H1901" t="s">
        <v>573</v>
      </c>
      <c r="I1901" t="s">
        <v>458</v>
      </c>
      <c r="J1901">
        <v>-1750</v>
      </c>
      <c r="K1901">
        <v>-1750</v>
      </c>
      <c r="M1901" t="s">
        <v>885</v>
      </c>
      <c r="N1901" t="s">
        <v>134</v>
      </c>
      <c r="O1901" t="s">
        <v>787</v>
      </c>
      <c r="P1901" t="s">
        <v>894</v>
      </c>
      <c r="Q1901" t="s">
        <v>458</v>
      </c>
      <c r="R1901">
        <v>0</v>
      </c>
    </row>
    <row r="1902" spans="1:18" x14ac:dyDescent="0.3">
      <c r="A1902">
        <v>113948</v>
      </c>
      <c r="B1902" t="s">
        <v>557</v>
      </c>
      <c r="C1902" t="s">
        <v>936</v>
      </c>
      <c r="D1902" t="s">
        <v>2424</v>
      </c>
      <c r="E1902" s="451">
        <v>45992</v>
      </c>
      <c r="F1902" s="451">
        <v>46011</v>
      </c>
      <c r="G1902" t="s">
        <v>318</v>
      </c>
      <c r="H1902" t="s">
        <v>319</v>
      </c>
      <c r="I1902" t="s">
        <v>2307</v>
      </c>
      <c r="J1902">
        <v>-1264</v>
      </c>
      <c r="K1902">
        <v>-1387.59</v>
      </c>
      <c r="O1902" t="s">
        <v>787</v>
      </c>
      <c r="P1902" t="s">
        <v>894</v>
      </c>
      <c r="Q1902" t="s">
        <v>458</v>
      </c>
      <c r="R1902">
        <v>0</v>
      </c>
    </row>
    <row r="1903" spans="1:18" x14ac:dyDescent="0.3">
      <c r="A1903">
        <v>113911</v>
      </c>
      <c r="B1903" t="s">
        <v>557</v>
      </c>
      <c r="C1903" t="s">
        <v>2313</v>
      </c>
      <c r="D1903" t="s">
        <v>2425</v>
      </c>
      <c r="E1903" s="451">
        <v>45992</v>
      </c>
      <c r="F1903" s="451">
        <v>46013</v>
      </c>
      <c r="G1903" t="s">
        <v>264</v>
      </c>
      <c r="H1903" t="s">
        <v>271</v>
      </c>
      <c r="I1903" t="s">
        <v>2426</v>
      </c>
      <c r="J1903">
        <v>-980.87</v>
      </c>
      <c r="K1903">
        <v>-980.87</v>
      </c>
      <c r="O1903" t="s">
        <v>787</v>
      </c>
      <c r="P1903" t="s">
        <v>894</v>
      </c>
      <c r="Q1903" t="s">
        <v>458</v>
      </c>
      <c r="R1903">
        <v>0</v>
      </c>
    </row>
    <row r="1904" spans="1:18" x14ac:dyDescent="0.3">
      <c r="A1904">
        <v>113986</v>
      </c>
      <c r="B1904" t="s">
        <v>557</v>
      </c>
      <c r="C1904" t="s">
        <v>840</v>
      </c>
      <c r="E1904" s="451">
        <v>45992</v>
      </c>
      <c r="F1904" s="451">
        <v>46021</v>
      </c>
      <c r="G1904" t="s">
        <v>581</v>
      </c>
      <c r="H1904" t="s">
        <v>288</v>
      </c>
      <c r="I1904" t="s">
        <v>2303</v>
      </c>
      <c r="J1904">
        <v>-2500</v>
      </c>
      <c r="K1904">
        <v>-2500</v>
      </c>
      <c r="O1904" t="s">
        <v>787</v>
      </c>
      <c r="P1904" t="s">
        <v>894</v>
      </c>
      <c r="Q1904" t="s">
        <v>458</v>
      </c>
      <c r="R1904">
        <v>0</v>
      </c>
    </row>
    <row r="1905" spans="1:18" x14ac:dyDescent="0.3">
      <c r="A1905">
        <v>187815</v>
      </c>
      <c r="B1905" t="s">
        <v>557</v>
      </c>
      <c r="C1905" t="s">
        <v>1237</v>
      </c>
      <c r="E1905" s="451">
        <v>45992</v>
      </c>
      <c r="F1905" s="451">
        <v>45992</v>
      </c>
      <c r="G1905" t="s">
        <v>279</v>
      </c>
      <c r="H1905" t="s">
        <v>284</v>
      </c>
      <c r="I1905" t="s">
        <v>1386</v>
      </c>
      <c r="J1905">
        <v>-20</v>
      </c>
      <c r="K1905">
        <v>-20</v>
      </c>
      <c r="O1905" t="s">
        <v>787</v>
      </c>
      <c r="P1905" t="s">
        <v>894</v>
      </c>
      <c r="Q1905" t="s">
        <v>458</v>
      </c>
      <c r="R1905">
        <v>0</v>
      </c>
    </row>
    <row r="1906" spans="1:18" x14ac:dyDescent="0.3">
      <c r="A1906">
        <v>114009</v>
      </c>
      <c r="B1906" t="s">
        <v>557</v>
      </c>
      <c r="C1906" t="s">
        <v>823</v>
      </c>
      <c r="D1906" t="s">
        <v>2427</v>
      </c>
      <c r="E1906" s="451">
        <v>45992</v>
      </c>
      <c r="F1906" s="451">
        <v>46006</v>
      </c>
      <c r="G1906" t="s">
        <v>279</v>
      </c>
      <c r="H1906" t="s">
        <v>286</v>
      </c>
      <c r="I1906" t="s">
        <v>2301</v>
      </c>
      <c r="J1906">
        <v>-219</v>
      </c>
      <c r="K1906">
        <v>-219</v>
      </c>
      <c r="O1906" t="s">
        <v>787</v>
      </c>
      <c r="P1906" t="s">
        <v>894</v>
      </c>
      <c r="Q1906" t="s">
        <v>458</v>
      </c>
      <c r="R1906">
        <v>0</v>
      </c>
    </row>
    <row r="1907" spans="1:18" x14ac:dyDescent="0.3">
      <c r="A1907">
        <v>187814</v>
      </c>
      <c r="B1907" t="s">
        <v>557</v>
      </c>
      <c r="C1907" t="s">
        <v>1237</v>
      </c>
      <c r="E1907" s="451">
        <v>45992</v>
      </c>
      <c r="F1907" s="451">
        <v>45992</v>
      </c>
      <c r="G1907" t="s">
        <v>279</v>
      </c>
      <c r="H1907" t="s">
        <v>284</v>
      </c>
      <c r="I1907" t="s">
        <v>1388</v>
      </c>
      <c r="J1907">
        <v>-260</v>
      </c>
      <c r="K1907">
        <v>-260</v>
      </c>
      <c r="O1907" t="s">
        <v>787</v>
      </c>
      <c r="P1907" t="s">
        <v>894</v>
      </c>
      <c r="Q1907" t="s">
        <v>458</v>
      </c>
      <c r="R1907">
        <v>0</v>
      </c>
    </row>
    <row r="1908" spans="1:18" x14ac:dyDescent="0.3">
      <c r="A1908">
        <v>116659</v>
      </c>
      <c r="B1908" t="s">
        <v>557</v>
      </c>
      <c r="C1908" t="s">
        <v>934</v>
      </c>
      <c r="D1908" t="s">
        <v>2428</v>
      </c>
      <c r="E1908" s="451">
        <v>45992</v>
      </c>
      <c r="F1908" s="451">
        <v>46011</v>
      </c>
      <c r="G1908" t="s">
        <v>308</v>
      </c>
      <c r="H1908" t="s">
        <v>312</v>
      </c>
      <c r="I1908" t="s">
        <v>2429</v>
      </c>
      <c r="J1908">
        <v>-185</v>
      </c>
      <c r="K1908">
        <v>-185</v>
      </c>
      <c r="O1908" t="s">
        <v>787</v>
      </c>
      <c r="P1908" t="s">
        <v>894</v>
      </c>
      <c r="Q1908" t="s">
        <v>458</v>
      </c>
      <c r="R1908">
        <v>0</v>
      </c>
    </row>
    <row r="1909" spans="1:18" x14ac:dyDescent="0.3">
      <c r="A1909">
        <v>187813</v>
      </c>
      <c r="B1909" t="s">
        <v>557</v>
      </c>
      <c r="C1909" t="s">
        <v>1237</v>
      </c>
      <c r="E1909" s="451">
        <v>45992</v>
      </c>
      <c r="F1909" s="451">
        <v>45992</v>
      </c>
      <c r="G1909" t="s">
        <v>279</v>
      </c>
      <c r="H1909" t="s">
        <v>284</v>
      </c>
      <c r="I1909" t="s">
        <v>1387</v>
      </c>
      <c r="J1909">
        <v>-200</v>
      </c>
      <c r="K1909">
        <v>-200</v>
      </c>
      <c r="O1909" t="s">
        <v>787</v>
      </c>
      <c r="P1909" t="s">
        <v>894</v>
      </c>
      <c r="Q1909" t="s">
        <v>458</v>
      </c>
      <c r="R1909">
        <v>0</v>
      </c>
    </row>
    <row r="1910" spans="1:18" x14ac:dyDescent="0.3">
      <c r="A1910">
        <v>187812</v>
      </c>
      <c r="B1910" t="s">
        <v>557</v>
      </c>
      <c r="C1910" t="s">
        <v>1237</v>
      </c>
      <c r="E1910" s="451">
        <v>45992</v>
      </c>
      <c r="F1910" s="451">
        <v>45993</v>
      </c>
      <c r="G1910" t="s">
        <v>279</v>
      </c>
      <c r="H1910" t="s">
        <v>284</v>
      </c>
      <c r="I1910" t="s">
        <v>1272</v>
      </c>
      <c r="J1910">
        <v>-30.53</v>
      </c>
      <c r="K1910">
        <v>-30.53</v>
      </c>
      <c r="O1910" t="s">
        <v>787</v>
      </c>
      <c r="P1910" t="s">
        <v>894</v>
      </c>
      <c r="Q1910" t="s">
        <v>458</v>
      </c>
      <c r="R1910">
        <v>0</v>
      </c>
    </row>
    <row r="1911" spans="1:18" x14ac:dyDescent="0.3">
      <c r="A1911">
        <v>187554</v>
      </c>
      <c r="B1911" t="s">
        <v>557</v>
      </c>
      <c r="C1911" t="s">
        <v>1696</v>
      </c>
      <c r="D1911" t="s">
        <v>2352</v>
      </c>
      <c r="E1911" s="451">
        <v>45992</v>
      </c>
      <c r="F1911" s="451">
        <v>46027</v>
      </c>
      <c r="G1911" t="s">
        <v>279</v>
      </c>
      <c r="H1911" t="s">
        <v>286</v>
      </c>
      <c r="I1911" t="s">
        <v>2430</v>
      </c>
      <c r="J1911">
        <v>-616.04</v>
      </c>
      <c r="K1911">
        <v>-616.04</v>
      </c>
      <c r="O1911" t="s">
        <v>787</v>
      </c>
      <c r="P1911" t="s">
        <v>894</v>
      </c>
      <c r="Q1911" t="s">
        <v>458</v>
      </c>
      <c r="R1911">
        <v>0</v>
      </c>
    </row>
    <row r="1912" spans="1:18" x14ac:dyDescent="0.3">
      <c r="A1912">
        <v>187552</v>
      </c>
      <c r="B1912" t="s">
        <v>557</v>
      </c>
      <c r="C1912" t="s">
        <v>965</v>
      </c>
      <c r="D1912" t="s">
        <v>2352</v>
      </c>
      <c r="E1912" s="451">
        <v>45992</v>
      </c>
      <c r="F1912" s="451">
        <v>46027</v>
      </c>
      <c r="G1912" t="s">
        <v>279</v>
      </c>
      <c r="H1912" t="s">
        <v>286</v>
      </c>
      <c r="I1912" t="s">
        <v>2431</v>
      </c>
      <c r="J1912">
        <v>-23.8</v>
      </c>
      <c r="K1912">
        <v>-23.8</v>
      </c>
      <c r="O1912" t="s">
        <v>787</v>
      </c>
      <c r="P1912" t="s">
        <v>894</v>
      </c>
      <c r="Q1912" t="s">
        <v>458</v>
      </c>
      <c r="R1912">
        <v>0</v>
      </c>
    </row>
    <row r="1913" spans="1:18" x14ac:dyDescent="0.3">
      <c r="A1913">
        <v>113775</v>
      </c>
      <c r="B1913" t="s">
        <v>557</v>
      </c>
      <c r="C1913" t="s">
        <v>900</v>
      </c>
      <c r="D1913" t="s">
        <v>2432</v>
      </c>
      <c r="E1913" s="451">
        <v>45992</v>
      </c>
      <c r="F1913" s="451">
        <v>46027</v>
      </c>
      <c r="G1913" t="s">
        <v>264</v>
      </c>
      <c r="H1913" t="s">
        <v>266</v>
      </c>
      <c r="I1913" t="s">
        <v>2433</v>
      </c>
      <c r="J1913">
        <v>-13457.95</v>
      </c>
      <c r="K1913">
        <v>-13457.95</v>
      </c>
      <c r="O1913" t="s">
        <v>779</v>
      </c>
      <c r="P1913" t="s">
        <v>894</v>
      </c>
      <c r="Q1913" t="s">
        <v>458</v>
      </c>
      <c r="R1913">
        <v>0</v>
      </c>
    </row>
    <row r="1914" spans="1:18" x14ac:dyDescent="0.3">
      <c r="A1914">
        <v>188827</v>
      </c>
      <c r="B1914" t="s">
        <v>557</v>
      </c>
      <c r="C1914" t="s">
        <v>886</v>
      </c>
      <c r="D1914" t="s">
        <v>1169</v>
      </c>
      <c r="E1914" s="451">
        <v>45992</v>
      </c>
      <c r="F1914" s="451">
        <v>46047</v>
      </c>
      <c r="G1914" t="s">
        <v>572</v>
      </c>
      <c r="H1914" t="s">
        <v>112</v>
      </c>
      <c r="I1914" t="s">
        <v>2434</v>
      </c>
      <c r="J1914">
        <v>-6570</v>
      </c>
      <c r="K1914">
        <v>-6570</v>
      </c>
      <c r="M1914" t="s">
        <v>887</v>
      </c>
      <c r="N1914" t="s">
        <v>131</v>
      </c>
      <c r="O1914" t="s">
        <v>787</v>
      </c>
      <c r="P1914" t="s">
        <v>894</v>
      </c>
      <c r="Q1914" t="s">
        <v>458</v>
      </c>
      <c r="R1914">
        <v>0</v>
      </c>
    </row>
    <row r="1915" spans="1:18" x14ac:dyDescent="0.3">
      <c r="A1915">
        <v>188826</v>
      </c>
      <c r="B1915" t="s">
        <v>557</v>
      </c>
      <c r="C1915" t="s">
        <v>882</v>
      </c>
      <c r="D1915" t="s">
        <v>1669</v>
      </c>
      <c r="E1915" s="451">
        <v>45992</v>
      </c>
      <c r="F1915" s="451">
        <v>46047</v>
      </c>
      <c r="G1915" t="s">
        <v>572</v>
      </c>
      <c r="H1915" t="s">
        <v>112</v>
      </c>
      <c r="I1915" t="s">
        <v>2434</v>
      </c>
      <c r="J1915">
        <v>-5500</v>
      </c>
      <c r="K1915">
        <v>-5500</v>
      </c>
      <c r="M1915" t="s">
        <v>883</v>
      </c>
      <c r="N1915" t="s">
        <v>135</v>
      </c>
      <c r="O1915" t="s">
        <v>787</v>
      </c>
      <c r="P1915" t="s">
        <v>894</v>
      </c>
      <c r="Q1915" t="s">
        <v>458</v>
      </c>
      <c r="R1915">
        <v>0</v>
      </c>
    </row>
    <row r="1916" spans="1:18" x14ac:dyDescent="0.3">
      <c r="A1916">
        <v>188823</v>
      </c>
      <c r="B1916" t="s">
        <v>557</v>
      </c>
      <c r="C1916" t="s">
        <v>2016</v>
      </c>
      <c r="D1916" t="s">
        <v>1170</v>
      </c>
      <c r="E1916" s="451">
        <v>45992</v>
      </c>
      <c r="F1916" s="451">
        <v>46047</v>
      </c>
      <c r="G1916" t="s">
        <v>572</v>
      </c>
      <c r="H1916" t="s">
        <v>112</v>
      </c>
      <c r="I1916" t="s">
        <v>2434</v>
      </c>
      <c r="J1916">
        <v>-4030</v>
      </c>
      <c r="K1916">
        <v>-4030</v>
      </c>
      <c r="M1916" t="s">
        <v>821</v>
      </c>
      <c r="N1916" t="s">
        <v>133</v>
      </c>
      <c r="O1916" t="s">
        <v>787</v>
      </c>
      <c r="P1916" t="s">
        <v>894</v>
      </c>
      <c r="Q1916" t="s">
        <v>458</v>
      </c>
      <c r="R1916">
        <v>0</v>
      </c>
    </row>
    <row r="1917" spans="1:18" x14ac:dyDescent="0.3">
      <c r="A1917">
        <v>188821</v>
      </c>
      <c r="B1917" t="s">
        <v>557</v>
      </c>
      <c r="C1917" t="s">
        <v>879</v>
      </c>
      <c r="D1917" t="s">
        <v>1170</v>
      </c>
      <c r="E1917" s="451">
        <v>45992</v>
      </c>
      <c r="F1917" s="451">
        <v>46047</v>
      </c>
      <c r="G1917" t="s">
        <v>571</v>
      </c>
      <c r="H1917" t="s">
        <v>75</v>
      </c>
      <c r="I1917" t="s">
        <v>2435</v>
      </c>
      <c r="J1917">
        <v>-2185.37</v>
      </c>
      <c r="K1917">
        <v>-2185.37</v>
      </c>
      <c r="M1917" t="s">
        <v>881</v>
      </c>
      <c r="N1917" t="s">
        <v>73</v>
      </c>
      <c r="O1917" t="s">
        <v>787</v>
      </c>
      <c r="P1917" t="s">
        <v>894</v>
      </c>
      <c r="Q1917" t="s">
        <v>458</v>
      </c>
      <c r="R1917">
        <v>0</v>
      </c>
    </row>
    <row r="1918" spans="1:18" x14ac:dyDescent="0.3">
      <c r="A1918">
        <v>188819</v>
      </c>
      <c r="B1918" t="s">
        <v>557</v>
      </c>
      <c r="C1918" t="s">
        <v>2436</v>
      </c>
      <c r="D1918" t="s">
        <v>2312</v>
      </c>
      <c r="E1918" s="451">
        <v>45992</v>
      </c>
      <c r="F1918" s="451">
        <v>46047</v>
      </c>
      <c r="G1918" t="s">
        <v>572</v>
      </c>
      <c r="H1918" t="s">
        <v>112</v>
      </c>
      <c r="I1918" t="s">
        <v>2437</v>
      </c>
      <c r="J1918">
        <v>-1620</v>
      </c>
      <c r="K1918">
        <v>-1620</v>
      </c>
      <c r="M1918" t="s">
        <v>2331</v>
      </c>
      <c r="N1918" t="s">
        <v>137</v>
      </c>
      <c r="O1918" t="s">
        <v>787</v>
      </c>
      <c r="P1918" t="s">
        <v>894</v>
      </c>
      <c r="Q1918" t="s">
        <v>458</v>
      </c>
      <c r="R1918">
        <v>0</v>
      </c>
    </row>
    <row r="1919" spans="1:18" x14ac:dyDescent="0.3">
      <c r="A1919">
        <v>188677</v>
      </c>
      <c r="B1919" t="s">
        <v>557</v>
      </c>
      <c r="C1919" t="s">
        <v>1066</v>
      </c>
      <c r="D1919" t="s">
        <v>2438</v>
      </c>
      <c r="E1919" s="451">
        <v>45992</v>
      </c>
      <c r="F1919" s="451">
        <v>46027</v>
      </c>
      <c r="G1919" t="s">
        <v>264</v>
      </c>
      <c r="H1919" t="s">
        <v>272</v>
      </c>
      <c r="I1919" t="s">
        <v>2439</v>
      </c>
      <c r="J1919">
        <v>-70</v>
      </c>
      <c r="K1919">
        <v>-70</v>
      </c>
      <c r="O1919" t="s">
        <v>787</v>
      </c>
      <c r="P1919" t="s">
        <v>894</v>
      </c>
      <c r="Q1919" t="s">
        <v>458</v>
      </c>
      <c r="R1919">
        <v>0</v>
      </c>
    </row>
    <row r="1920" spans="1:18" x14ac:dyDescent="0.3">
      <c r="A1920">
        <v>188500</v>
      </c>
      <c r="B1920" t="s">
        <v>557</v>
      </c>
      <c r="C1920" t="s">
        <v>903</v>
      </c>
      <c r="D1920" t="s">
        <v>2352</v>
      </c>
      <c r="E1920" s="451">
        <v>45992</v>
      </c>
      <c r="F1920" s="451">
        <v>46027</v>
      </c>
      <c r="G1920" t="s">
        <v>279</v>
      </c>
      <c r="H1920" t="s">
        <v>283</v>
      </c>
      <c r="I1920" t="s">
        <v>2440</v>
      </c>
      <c r="J1920">
        <v>-293.93</v>
      </c>
      <c r="K1920">
        <v>-293.93</v>
      </c>
      <c r="O1920" t="s">
        <v>779</v>
      </c>
      <c r="P1920" t="s">
        <v>894</v>
      </c>
      <c r="Q1920" t="s">
        <v>458</v>
      </c>
      <c r="R1920">
        <v>0</v>
      </c>
    </row>
    <row r="1921" spans="1:18" x14ac:dyDescent="0.3">
      <c r="A1921">
        <v>110492</v>
      </c>
      <c r="B1921" t="s">
        <v>557</v>
      </c>
      <c r="C1921" t="s">
        <v>873</v>
      </c>
      <c r="D1921" t="s">
        <v>2441</v>
      </c>
      <c r="E1921" s="451">
        <v>45992</v>
      </c>
      <c r="F1921" s="451">
        <v>46009</v>
      </c>
      <c r="G1921" t="s">
        <v>874</v>
      </c>
      <c r="H1921" t="s">
        <v>875</v>
      </c>
      <c r="I1921" t="s">
        <v>2442</v>
      </c>
      <c r="J1921">
        <v>-400</v>
      </c>
      <c r="K1921">
        <v>-400</v>
      </c>
      <c r="O1921" t="s">
        <v>787</v>
      </c>
      <c r="P1921" t="s">
        <v>894</v>
      </c>
      <c r="Q1921" t="s">
        <v>458</v>
      </c>
      <c r="R1921">
        <v>0</v>
      </c>
    </row>
    <row r="1922" spans="1:18" x14ac:dyDescent="0.3">
      <c r="A1922">
        <v>188499</v>
      </c>
      <c r="B1922" t="s">
        <v>557</v>
      </c>
      <c r="C1922" t="s">
        <v>925</v>
      </c>
      <c r="D1922" t="s">
        <v>2352</v>
      </c>
      <c r="E1922" s="451">
        <v>45992</v>
      </c>
      <c r="F1922" s="451">
        <v>46027</v>
      </c>
      <c r="G1922" t="s">
        <v>279</v>
      </c>
      <c r="H1922" t="s">
        <v>282</v>
      </c>
      <c r="I1922" t="s">
        <v>2443</v>
      </c>
      <c r="J1922">
        <v>-40.9</v>
      </c>
      <c r="K1922">
        <v>-40.9</v>
      </c>
      <c r="O1922" t="s">
        <v>779</v>
      </c>
      <c r="P1922" t="s">
        <v>894</v>
      </c>
      <c r="Q1922" t="s">
        <v>458</v>
      </c>
      <c r="R1922">
        <v>0</v>
      </c>
    </row>
    <row r="1923" spans="1:18" x14ac:dyDescent="0.3">
      <c r="A1923">
        <v>188497</v>
      </c>
      <c r="B1923" t="s">
        <v>557</v>
      </c>
      <c r="C1923" t="s">
        <v>921</v>
      </c>
      <c r="D1923" t="s">
        <v>2352</v>
      </c>
      <c r="E1923" s="451">
        <v>45992</v>
      </c>
      <c r="F1923" s="451">
        <v>46027</v>
      </c>
      <c r="G1923" t="s">
        <v>296</v>
      </c>
      <c r="H1923" t="s">
        <v>301</v>
      </c>
      <c r="I1923" t="s">
        <v>2444</v>
      </c>
      <c r="J1923">
        <v>-1468.32</v>
      </c>
      <c r="K1923">
        <v>-1468.32</v>
      </c>
      <c r="O1923" t="s">
        <v>779</v>
      </c>
      <c r="P1923" t="s">
        <v>894</v>
      </c>
      <c r="Q1923" t="s">
        <v>458</v>
      </c>
      <c r="R1923">
        <v>0</v>
      </c>
    </row>
    <row r="1924" spans="1:18" x14ac:dyDescent="0.3">
      <c r="A1924">
        <v>113922</v>
      </c>
      <c r="B1924" t="s">
        <v>557</v>
      </c>
      <c r="C1924" t="s">
        <v>932</v>
      </c>
      <c r="D1924" t="s">
        <v>2445</v>
      </c>
      <c r="E1924" s="451">
        <v>45992</v>
      </c>
      <c r="F1924" s="451">
        <v>46006</v>
      </c>
      <c r="G1924" t="s">
        <v>264</v>
      </c>
      <c r="H1924" t="s">
        <v>270</v>
      </c>
      <c r="I1924" t="s">
        <v>2296</v>
      </c>
      <c r="J1924">
        <v>-550</v>
      </c>
      <c r="K1924">
        <v>-550</v>
      </c>
      <c r="O1924" t="s">
        <v>787</v>
      </c>
      <c r="P1924" t="s">
        <v>894</v>
      </c>
      <c r="Q1924" t="s">
        <v>458</v>
      </c>
      <c r="R1924">
        <v>0</v>
      </c>
    </row>
    <row r="1925" spans="1:18" x14ac:dyDescent="0.3">
      <c r="A1925">
        <v>113787</v>
      </c>
      <c r="B1925" t="s">
        <v>557</v>
      </c>
      <c r="C1925" t="s">
        <v>856</v>
      </c>
      <c r="D1925" t="s">
        <v>2446</v>
      </c>
      <c r="E1925" s="451">
        <v>45992</v>
      </c>
      <c r="F1925" s="451">
        <v>46037</v>
      </c>
      <c r="G1925" t="s">
        <v>264</v>
      </c>
      <c r="H1925" t="s">
        <v>265</v>
      </c>
      <c r="I1925" t="s">
        <v>2447</v>
      </c>
      <c r="J1925">
        <v>-4890.7299999999996</v>
      </c>
      <c r="K1925">
        <v>-4890.7299999999996</v>
      </c>
      <c r="O1925" t="s">
        <v>787</v>
      </c>
      <c r="P1925" t="s">
        <v>894</v>
      </c>
      <c r="Q1925" t="s">
        <v>458</v>
      </c>
      <c r="R1925">
        <v>0</v>
      </c>
    </row>
    <row r="1926" spans="1:18" x14ac:dyDescent="0.3">
      <c r="A1926">
        <v>113798</v>
      </c>
      <c r="B1926" t="s">
        <v>557</v>
      </c>
      <c r="C1926" t="s">
        <v>856</v>
      </c>
      <c r="D1926" t="s">
        <v>2448</v>
      </c>
      <c r="E1926" s="451">
        <v>45992</v>
      </c>
      <c r="F1926" s="451">
        <v>46037</v>
      </c>
      <c r="G1926" t="s">
        <v>264</v>
      </c>
      <c r="H1926" t="s">
        <v>265</v>
      </c>
      <c r="I1926" t="s">
        <v>2449</v>
      </c>
      <c r="J1926">
        <v>-1955.45</v>
      </c>
      <c r="K1926">
        <v>-1955.45</v>
      </c>
      <c r="O1926" t="s">
        <v>787</v>
      </c>
      <c r="P1926" t="s">
        <v>894</v>
      </c>
      <c r="Q1926" t="s">
        <v>458</v>
      </c>
      <c r="R1926">
        <v>0</v>
      </c>
    </row>
    <row r="1927" spans="1:18" x14ac:dyDescent="0.3">
      <c r="A1927">
        <v>188496</v>
      </c>
      <c r="B1927" t="s">
        <v>557</v>
      </c>
      <c r="C1927" t="s">
        <v>2450</v>
      </c>
      <c r="D1927" t="s">
        <v>2352</v>
      </c>
      <c r="E1927" s="451">
        <v>45992</v>
      </c>
      <c r="F1927" s="451">
        <v>46027</v>
      </c>
      <c r="G1927" t="s">
        <v>296</v>
      </c>
      <c r="H1927" t="s">
        <v>301</v>
      </c>
      <c r="I1927" t="s">
        <v>2451</v>
      </c>
      <c r="J1927">
        <v>-516.33000000000004</v>
      </c>
      <c r="K1927">
        <v>-516.33000000000004</v>
      </c>
      <c r="O1927" t="s">
        <v>779</v>
      </c>
      <c r="P1927" t="s">
        <v>894</v>
      </c>
      <c r="Q1927" t="s">
        <v>458</v>
      </c>
      <c r="R1927">
        <v>0</v>
      </c>
    </row>
    <row r="1928" spans="1:18" x14ac:dyDescent="0.3">
      <c r="A1928">
        <v>113833</v>
      </c>
      <c r="B1928" t="s">
        <v>557</v>
      </c>
      <c r="C1928" t="s">
        <v>898</v>
      </c>
      <c r="D1928" t="s">
        <v>1224</v>
      </c>
      <c r="E1928" s="451">
        <v>45992</v>
      </c>
      <c r="F1928" s="451">
        <v>46024</v>
      </c>
      <c r="G1928" t="s">
        <v>279</v>
      </c>
      <c r="H1928" t="s">
        <v>281</v>
      </c>
      <c r="I1928" t="s">
        <v>2452</v>
      </c>
      <c r="J1928">
        <v>-138.68</v>
      </c>
      <c r="K1928">
        <v>-138.68</v>
      </c>
      <c r="O1928" t="s">
        <v>787</v>
      </c>
      <c r="P1928" t="s">
        <v>894</v>
      </c>
      <c r="Q1928" t="s">
        <v>458</v>
      </c>
      <c r="R1928">
        <v>0</v>
      </c>
    </row>
    <row r="1929" spans="1:18" x14ac:dyDescent="0.3">
      <c r="A1929">
        <v>113842</v>
      </c>
      <c r="B1929" t="s">
        <v>557</v>
      </c>
      <c r="C1929" t="s">
        <v>838</v>
      </c>
      <c r="D1929" t="s">
        <v>2453</v>
      </c>
      <c r="E1929" s="451">
        <v>45992</v>
      </c>
      <c r="F1929" s="451">
        <v>46004</v>
      </c>
      <c r="G1929" t="s">
        <v>264</v>
      </c>
      <c r="H1929" t="s">
        <v>267</v>
      </c>
      <c r="I1929" t="s">
        <v>2454</v>
      </c>
      <c r="J1929">
        <v>-5907.45</v>
      </c>
      <c r="K1929">
        <v>-5907.45</v>
      </c>
      <c r="O1929" t="s">
        <v>787</v>
      </c>
      <c r="P1929" t="s">
        <v>894</v>
      </c>
      <c r="Q1929" t="s">
        <v>458</v>
      </c>
      <c r="R1929">
        <v>0</v>
      </c>
    </row>
    <row r="1930" spans="1:18" x14ac:dyDescent="0.3">
      <c r="A1930">
        <v>113871</v>
      </c>
      <c r="B1930" t="s">
        <v>557</v>
      </c>
      <c r="C1930" t="s">
        <v>913</v>
      </c>
      <c r="D1930" t="s">
        <v>2455</v>
      </c>
      <c r="E1930" s="451">
        <v>45992</v>
      </c>
      <c r="F1930" s="451">
        <v>46025</v>
      </c>
      <c r="G1930" t="s">
        <v>296</v>
      </c>
      <c r="H1930" t="s">
        <v>297</v>
      </c>
      <c r="I1930" t="s">
        <v>2456</v>
      </c>
      <c r="J1930">
        <v>-4000</v>
      </c>
      <c r="K1930">
        <v>-4000</v>
      </c>
      <c r="M1930" t="s">
        <v>915</v>
      </c>
      <c r="N1930" t="s">
        <v>916</v>
      </c>
      <c r="O1930" t="s">
        <v>787</v>
      </c>
      <c r="P1930" t="s">
        <v>894</v>
      </c>
      <c r="Q1930" t="s">
        <v>458</v>
      </c>
      <c r="R1930">
        <v>0</v>
      </c>
    </row>
    <row r="1931" spans="1:18" x14ac:dyDescent="0.3">
      <c r="A1931">
        <v>113882</v>
      </c>
      <c r="B1931" t="s">
        <v>557</v>
      </c>
      <c r="C1931" t="s">
        <v>905</v>
      </c>
      <c r="D1931" t="s">
        <v>2457</v>
      </c>
      <c r="E1931" s="451">
        <v>45992</v>
      </c>
      <c r="F1931" s="451">
        <v>46034</v>
      </c>
      <c r="G1931" t="s">
        <v>296</v>
      </c>
      <c r="H1931" t="s">
        <v>298</v>
      </c>
      <c r="I1931" t="s">
        <v>2458</v>
      </c>
      <c r="J1931">
        <v>-500</v>
      </c>
      <c r="K1931">
        <v>-500</v>
      </c>
      <c r="O1931" t="s">
        <v>779</v>
      </c>
      <c r="P1931" t="s">
        <v>894</v>
      </c>
      <c r="Q1931" t="s">
        <v>458</v>
      </c>
      <c r="R1931">
        <v>0</v>
      </c>
    </row>
    <row r="1932" spans="1:18" x14ac:dyDescent="0.3">
      <c r="A1932">
        <v>113902</v>
      </c>
      <c r="B1932" t="s">
        <v>557</v>
      </c>
      <c r="C1932" t="s">
        <v>877</v>
      </c>
      <c r="D1932" t="s">
        <v>2459</v>
      </c>
      <c r="E1932" s="451">
        <v>45992</v>
      </c>
      <c r="F1932" s="451">
        <v>46040</v>
      </c>
      <c r="G1932" t="s">
        <v>308</v>
      </c>
      <c r="H1932" t="s">
        <v>314</v>
      </c>
      <c r="I1932" t="s">
        <v>2460</v>
      </c>
      <c r="J1932">
        <v>-708.18</v>
      </c>
      <c r="K1932">
        <v>-708.18</v>
      </c>
      <c r="O1932" t="s">
        <v>787</v>
      </c>
      <c r="P1932" t="s">
        <v>894</v>
      </c>
      <c r="Q1932" t="s">
        <v>458</v>
      </c>
      <c r="R1932">
        <v>0</v>
      </c>
    </row>
    <row r="1933" spans="1:18" x14ac:dyDescent="0.3">
      <c r="A1933">
        <v>131256</v>
      </c>
      <c r="B1933" t="s">
        <v>557</v>
      </c>
      <c r="C1933" t="s">
        <v>909</v>
      </c>
      <c r="D1933" t="s">
        <v>2461</v>
      </c>
      <c r="E1933" s="451">
        <v>45992</v>
      </c>
      <c r="F1933" s="451">
        <v>46011</v>
      </c>
      <c r="G1933" t="s">
        <v>308</v>
      </c>
      <c r="H1933" t="s">
        <v>311</v>
      </c>
      <c r="I1933" t="s">
        <v>2462</v>
      </c>
      <c r="J1933">
        <v>-300</v>
      </c>
      <c r="K1933">
        <v>-300</v>
      </c>
      <c r="O1933" t="s">
        <v>787</v>
      </c>
      <c r="P1933" t="s">
        <v>894</v>
      </c>
      <c r="Q1933" t="s">
        <v>458</v>
      </c>
      <c r="R1933">
        <v>0</v>
      </c>
    </row>
    <row r="1934" spans="1:18" x14ac:dyDescent="0.3">
      <c r="A1934">
        <v>185271</v>
      </c>
      <c r="B1934" t="s">
        <v>557</v>
      </c>
      <c r="C1934" t="s">
        <v>429</v>
      </c>
      <c r="D1934" t="s">
        <v>2463</v>
      </c>
      <c r="E1934" s="451">
        <v>45992</v>
      </c>
      <c r="F1934" s="451">
        <v>46014</v>
      </c>
      <c r="G1934" t="s">
        <v>577</v>
      </c>
      <c r="H1934" t="s">
        <v>221</v>
      </c>
      <c r="I1934" t="s">
        <v>2464</v>
      </c>
      <c r="J1934">
        <v>-4213.17</v>
      </c>
      <c r="K1934">
        <v>-4213.17</v>
      </c>
      <c r="O1934" t="s">
        <v>787</v>
      </c>
      <c r="P1934" t="s">
        <v>894</v>
      </c>
      <c r="Q1934" t="s">
        <v>458</v>
      </c>
      <c r="R1934">
        <v>0</v>
      </c>
    </row>
    <row r="1935" spans="1:18" x14ac:dyDescent="0.3">
      <c r="A1935">
        <v>187127</v>
      </c>
      <c r="B1935" t="s">
        <v>557</v>
      </c>
      <c r="C1935" t="s">
        <v>1066</v>
      </c>
      <c r="D1935" t="s">
        <v>2465</v>
      </c>
      <c r="E1935" s="451">
        <v>45992</v>
      </c>
      <c r="F1935" s="451">
        <v>46027</v>
      </c>
      <c r="G1935" t="s">
        <v>564</v>
      </c>
      <c r="H1935" t="s">
        <v>565</v>
      </c>
      <c r="I1935" t="s">
        <v>2466</v>
      </c>
      <c r="J1935">
        <v>-79.98</v>
      </c>
      <c r="K1935">
        <v>-79.98</v>
      </c>
      <c r="O1935" t="s">
        <v>787</v>
      </c>
      <c r="P1935" t="s">
        <v>894</v>
      </c>
      <c r="Q1935" t="s">
        <v>458</v>
      </c>
      <c r="R1935">
        <v>0</v>
      </c>
    </row>
    <row r="1936" spans="1:18" x14ac:dyDescent="0.3">
      <c r="A1936">
        <v>179988</v>
      </c>
      <c r="B1936" t="s">
        <v>557</v>
      </c>
      <c r="C1936" t="s">
        <v>2436</v>
      </c>
      <c r="D1936" t="s">
        <v>1208</v>
      </c>
      <c r="E1936" s="451">
        <v>45992</v>
      </c>
      <c r="F1936" s="451">
        <v>46006</v>
      </c>
      <c r="G1936" t="s">
        <v>570</v>
      </c>
      <c r="H1936" t="s">
        <v>573</v>
      </c>
      <c r="I1936" t="s">
        <v>2467</v>
      </c>
      <c r="J1936">
        <v>-4666.6499999999996</v>
      </c>
      <c r="K1936">
        <v>-4666.6499999999996</v>
      </c>
      <c r="M1936" t="s">
        <v>2331</v>
      </c>
      <c r="N1936" t="s">
        <v>137</v>
      </c>
      <c r="O1936" t="s">
        <v>787</v>
      </c>
      <c r="P1936" t="s">
        <v>894</v>
      </c>
      <c r="Q1936" t="s">
        <v>458</v>
      </c>
      <c r="R1936">
        <v>0</v>
      </c>
    </row>
    <row r="1937" spans="1:18" x14ac:dyDescent="0.3">
      <c r="A1937">
        <v>187131</v>
      </c>
      <c r="B1937" t="s">
        <v>557</v>
      </c>
      <c r="C1937" t="s">
        <v>1066</v>
      </c>
      <c r="D1937" t="s">
        <v>2468</v>
      </c>
      <c r="E1937" s="451">
        <v>45992</v>
      </c>
      <c r="F1937" s="451">
        <v>46027</v>
      </c>
      <c r="G1937" t="s">
        <v>564</v>
      </c>
      <c r="H1937" t="s">
        <v>565</v>
      </c>
      <c r="I1937" t="s">
        <v>2469</v>
      </c>
      <c r="J1937">
        <v>-6.3</v>
      </c>
      <c r="K1937">
        <v>-6.3</v>
      </c>
      <c r="O1937" t="s">
        <v>787</v>
      </c>
      <c r="P1937" t="s">
        <v>894</v>
      </c>
      <c r="Q1937" t="s">
        <v>458</v>
      </c>
      <c r="R1937">
        <v>0</v>
      </c>
    </row>
    <row r="1938" spans="1:18" x14ac:dyDescent="0.3">
      <c r="A1938">
        <v>187111</v>
      </c>
      <c r="B1938" t="s">
        <v>557</v>
      </c>
      <c r="C1938" t="s">
        <v>1066</v>
      </c>
      <c r="D1938" t="s">
        <v>2470</v>
      </c>
      <c r="E1938" s="451">
        <v>45992</v>
      </c>
      <c r="F1938" s="451">
        <v>46027</v>
      </c>
      <c r="G1938" t="s">
        <v>264</v>
      </c>
      <c r="H1938" t="s">
        <v>275</v>
      </c>
      <c r="I1938" t="s">
        <v>2471</v>
      </c>
      <c r="J1938">
        <v>-59.75</v>
      </c>
      <c r="K1938">
        <v>-59.75</v>
      </c>
      <c r="O1938" t="s">
        <v>787</v>
      </c>
      <c r="P1938" t="s">
        <v>894</v>
      </c>
      <c r="Q1938" t="s">
        <v>458</v>
      </c>
      <c r="R1938">
        <v>0</v>
      </c>
    </row>
    <row r="1939" spans="1:18" x14ac:dyDescent="0.3">
      <c r="A1939">
        <v>182726</v>
      </c>
      <c r="B1939" t="s">
        <v>557</v>
      </c>
      <c r="C1939" t="s">
        <v>836</v>
      </c>
      <c r="D1939" t="s">
        <v>2472</v>
      </c>
      <c r="E1939" s="451">
        <v>45992</v>
      </c>
      <c r="F1939" s="451">
        <v>46013</v>
      </c>
      <c r="G1939" t="s">
        <v>318</v>
      </c>
      <c r="H1939" t="s">
        <v>319</v>
      </c>
      <c r="I1939" t="s">
        <v>2473</v>
      </c>
      <c r="J1939">
        <v>-500</v>
      </c>
      <c r="K1939">
        <v>-500</v>
      </c>
      <c r="O1939" t="s">
        <v>787</v>
      </c>
      <c r="P1939" t="s">
        <v>894</v>
      </c>
      <c r="Q1939" t="s">
        <v>458</v>
      </c>
      <c r="R1939">
        <v>0</v>
      </c>
    </row>
    <row r="1940" spans="1:18" x14ac:dyDescent="0.3">
      <c r="A1940">
        <v>187112</v>
      </c>
      <c r="B1940" t="s">
        <v>557</v>
      </c>
      <c r="C1940" t="s">
        <v>1066</v>
      </c>
      <c r="D1940" t="s">
        <v>2474</v>
      </c>
      <c r="E1940" s="451">
        <v>45992</v>
      </c>
      <c r="F1940" s="451">
        <v>46027</v>
      </c>
      <c r="G1940" t="s">
        <v>264</v>
      </c>
      <c r="H1940" t="s">
        <v>268</v>
      </c>
      <c r="I1940" t="s">
        <v>2475</v>
      </c>
      <c r="J1940">
        <v>-5.99</v>
      </c>
      <c r="K1940">
        <v>-5.99</v>
      </c>
      <c r="O1940" t="s">
        <v>787</v>
      </c>
      <c r="P1940" t="s">
        <v>894</v>
      </c>
      <c r="Q1940" t="s">
        <v>458</v>
      </c>
      <c r="R1940">
        <v>0</v>
      </c>
    </row>
    <row r="1941" spans="1:18" x14ac:dyDescent="0.3">
      <c r="A1941">
        <v>187113</v>
      </c>
      <c r="B1941" t="s">
        <v>557</v>
      </c>
      <c r="C1941" t="s">
        <v>1066</v>
      </c>
      <c r="D1941" t="s">
        <v>2476</v>
      </c>
      <c r="E1941" s="451">
        <v>45992</v>
      </c>
      <c r="F1941" s="451">
        <v>46027</v>
      </c>
      <c r="G1941" t="s">
        <v>264</v>
      </c>
      <c r="H1941" t="s">
        <v>272</v>
      </c>
      <c r="I1941" t="s">
        <v>2477</v>
      </c>
      <c r="J1941">
        <v>-33</v>
      </c>
      <c r="K1941">
        <v>-33</v>
      </c>
      <c r="O1941" t="s">
        <v>787</v>
      </c>
      <c r="P1941" t="s">
        <v>894</v>
      </c>
      <c r="Q1941" t="s">
        <v>458</v>
      </c>
      <c r="R1941">
        <v>0</v>
      </c>
    </row>
    <row r="1942" spans="1:18" x14ac:dyDescent="0.3">
      <c r="A1942">
        <v>187129</v>
      </c>
      <c r="B1942" t="s">
        <v>557</v>
      </c>
      <c r="C1942" t="s">
        <v>1066</v>
      </c>
      <c r="D1942" t="s">
        <v>2478</v>
      </c>
      <c r="E1942" s="451">
        <v>45992</v>
      </c>
      <c r="F1942" s="451">
        <v>46027</v>
      </c>
      <c r="G1942" t="s">
        <v>564</v>
      </c>
      <c r="H1942" t="s">
        <v>565</v>
      </c>
      <c r="I1942" t="s">
        <v>2479</v>
      </c>
      <c r="J1942">
        <v>-82.07</v>
      </c>
      <c r="K1942">
        <v>-82.07</v>
      </c>
      <c r="O1942" t="s">
        <v>787</v>
      </c>
      <c r="P1942" t="s">
        <v>894</v>
      </c>
      <c r="Q1942" t="s">
        <v>458</v>
      </c>
      <c r="R1942">
        <v>0</v>
      </c>
    </row>
    <row r="1943" spans="1:18" x14ac:dyDescent="0.3">
      <c r="A1943">
        <v>187114</v>
      </c>
      <c r="B1943" t="s">
        <v>557</v>
      </c>
      <c r="C1943" t="s">
        <v>1066</v>
      </c>
      <c r="D1943" t="s">
        <v>2480</v>
      </c>
      <c r="E1943" s="451">
        <v>45992</v>
      </c>
      <c r="F1943" s="451">
        <v>46027</v>
      </c>
      <c r="G1943" t="s">
        <v>264</v>
      </c>
      <c r="H1943" t="s">
        <v>275</v>
      </c>
      <c r="I1943" t="s">
        <v>2481</v>
      </c>
      <c r="J1943">
        <v>-98.6</v>
      </c>
      <c r="K1943">
        <v>-98.6</v>
      </c>
      <c r="O1943" t="s">
        <v>787</v>
      </c>
      <c r="P1943" t="s">
        <v>894</v>
      </c>
      <c r="Q1943" t="s">
        <v>458</v>
      </c>
      <c r="R1943">
        <v>0</v>
      </c>
    </row>
    <row r="1944" spans="1:18" x14ac:dyDescent="0.3">
      <c r="A1944">
        <v>187115</v>
      </c>
      <c r="B1944" t="s">
        <v>557</v>
      </c>
      <c r="C1944" t="s">
        <v>1066</v>
      </c>
      <c r="D1944" t="s">
        <v>2482</v>
      </c>
      <c r="E1944" s="451">
        <v>45992</v>
      </c>
      <c r="F1944" s="451">
        <v>46027</v>
      </c>
      <c r="G1944" t="s">
        <v>564</v>
      </c>
      <c r="H1944" t="s">
        <v>565</v>
      </c>
      <c r="I1944" t="s">
        <v>2483</v>
      </c>
      <c r="J1944">
        <v>-8.93</v>
      </c>
      <c r="K1944">
        <v>-8.93</v>
      </c>
      <c r="O1944" t="s">
        <v>787</v>
      </c>
      <c r="P1944" t="s">
        <v>894</v>
      </c>
      <c r="Q1944" t="s">
        <v>458</v>
      </c>
      <c r="R1944">
        <v>0</v>
      </c>
    </row>
    <row r="1945" spans="1:18" x14ac:dyDescent="0.3">
      <c r="A1945">
        <v>187128</v>
      </c>
      <c r="B1945" t="s">
        <v>557</v>
      </c>
      <c r="C1945" t="s">
        <v>1066</v>
      </c>
      <c r="D1945" t="s">
        <v>2484</v>
      </c>
      <c r="E1945" s="451">
        <v>45992</v>
      </c>
      <c r="F1945" s="451">
        <v>46027</v>
      </c>
      <c r="G1945" t="s">
        <v>264</v>
      </c>
      <c r="H1945" t="s">
        <v>275</v>
      </c>
      <c r="I1945" t="s">
        <v>2485</v>
      </c>
      <c r="J1945">
        <v>-38.5</v>
      </c>
      <c r="K1945">
        <v>-38.5</v>
      </c>
      <c r="O1945" t="s">
        <v>787</v>
      </c>
      <c r="P1945" t="s">
        <v>894</v>
      </c>
      <c r="Q1945" t="s">
        <v>458</v>
      </c>
      <c r="R1945">
        <v>0</v>
      </c>
    </row>
    <row r="1946" spans="1:18" x14ac:dyDescent="0.3">
      <c r="A1946">
        <v>179982</v>
      </c>
      <c r="B1946" t="s">
        <v>557</v>
      </c>
      <c r="C1946" t="s">
        <v>2486</v>
      </c>
      <c r="D1946" t="s">
        <v>1493</v>
      </c>
      <c r="E1946" s="451">
        <v>45992</v>
      </c>
      <c r="F1946" s="451">
        <v>46006</v>
      </c>
      <c r="G1946" t="s">
        <v>570</v>
      </c>
      <c r="H1946" t="s">
        <v>573</v>
      </c>
      <c r="I1946" t="s">
        <v>2487</v>
      </c>
      <c r="J1946">
        <v>-2274.9699999999998</v>
      </c>
      <c r="K1946">
        <v>-2274.9699999999998</v>
      </c>
      <c r="M1946" t="s">
        <v>885</v>
      </c>
      <c r="N1946" t="s">
        <v>134</v>
      </c>
      <c r="O1946" t="s">
        <v>787</v>
      </c>
      <c r="P1946" t="s">
        <v>894</v>
      </c>
      <c r="Q1946" t="s">
        <v>458</v>
      </c>
      <c r="R1946">
        <v>0</v>
      </c>
    </row>
    <row r="1947" spans="1:18" x14ac:dyDescent="0.3">
      <c r="A1947">
        <v>187126</v>
      </c>
      <c r="B1947" t="s">
        <v>557</v>
      </c>
      <c r="C1947" t="s">
        <v>1066</v>
      </c>
      <c r="D1947" t="s">
        <v>2488</v>
      </c>
      <c r="E1947" s="451">
        <v>45992</v>
      </c>
      <c r="F1947" s="451">
        <v>46027</v>
      </c>
      <c r="G1947" t="s">
        <v>264</v>
      </c>
      <c r="H1947" t="s">
        <v>272</v>
      </c>
      <c r="I1947" t="s">
        <v>2439</v>
      </c>
      <c r="J1947">
        <v>-70</v>
      </c>
      <c r="K1947">
        <v>-70</v>
      </c>
      <c r="O1947" t="s">
        <v>787</v>
      </c>
      <c r="P1947" t="s">
        <v>894</v>
      </c>
      <c r="Q1947" t="s">
        <v>458</v>
      </c>
      <c r="R1947">
        <v>0</v>
      </c>
    </row>
    <row r="1948" spans="1:18" x14ac:dyDescent="0.3">
      <c r="A1948">
        <v>187125</v>
      </c>
      <c r="B1948" t="s">
        <v>557</v>
      </c>
      <c r="C1948" t="s">
        <v>1066</v>
      </c>
      <c r="D1948" t="s">
        <v>2489</v>
      </c>
      <c r="E1948" s="451">
        <v>45992</v>
      </c>
      <c r="F1948" s="451">
        <v>46027</v>
      </c>
      <c r="G1948" t="s">
        <v>564</v>
      </c>
      <c r="H1948" t="s">
        <v>565</v>
      </c>
      <c r="I1948" t="s">
        <v>2490</v>
      </c>
      <c r="J1948">
        <v>-27.08</v>
      </c>
      <c r="K1948">
        <v>-27.08</v>
      </c>
      <c r="O1948" t="s">
        <v>787</v>
      </c>
      <c r="P1948" t="s">
        <v>894</v>
      </c>
      <c r="Q1948" t="s">
        <v>458</v>
      </c>
      <c r="R1948">
        <v>0</v>
      </c>
    </row>
    <row r="1949" spans="1:18" x14ac:dyDescent="0.3">
      <c r="A1949">
        <v>187124</v>
      </c>
      <c r="B1949" t="s">
        <v>557</v>
      </c>
      <c r="C1949" t="s">
        <v>1066</v>
      </c>
      <c r="D1949" t="s">
        <v>2491</v>
      </c>
      <c r="E1949" s="451">
        <v>45992</v>
      </c>
      <c r="F1949" s="451">
        <v>46027</v>
      </c>
      <c r="G1949" t="s">
        <v>264</v>
      </c>
      <c r="H1949" t="s">
        <v>272</v>
      </c>
      <c r="I1949" t="s">
        <v>2492</v>
      </c>
      <c r="J1949">
        <v>-49</v>
      </c>
      <c r="K1949">
        <v>-49</v>
      </c>
      <c r="O1949" t="s">
        <v>787</v>
      </c>
      <c r="P1949" t="s">
        <v>894</v>
      </c>
      <c r="Q1949" t="s">
        <v>458</v>
      </c>
      <c r="R1949">
        <v>0</v>
      </c>
    </row>
    <row r="1950" spans="1:18" x14ac:dyDescent="0.3">
      <c r="A1950">
        <v>187123</v>
      </c>
      <c r="B1950" t="s">
        <v>557</v>
      </c>
      <c r="C1950" t="s">
        <v>1066</v>
      </c>
      <c r="D1950" t="s">
        <v>2493</v>
      </c>
      <c r="E1950" s="451">
        <v>45992</v>
      </c>
      <c r="F1950" s="451">
        <v>46027</v>
      </c>
      <c r="G1950" t="s">
        <v>264</v>
      </c>
      <c r="H1950" t="s">
        <v>272</v>
      </c>
      <c r="I1950" t="s">
        <v>2492</v>
      </c>
      <c r="J1950">
        <v>-58.56</v>
      </c>
      <c r="K1950">
        <v>-58.56</v>
      </c>
      <c r="O1950" t="s">
        <v>787</v>
      </c>
      <c r="P1950" t="s">
        <v>894</v>
      </c>
      <c r="Q1950" t="s">
        <v>458</v>
      </c>
      <c r="R1950">
        <v>0</v>
      </c>
    </row>
    <row r="1951" spans="1:18" x14ac:dyDescent="0.3">
      <c r="A1951">
        <v>187122</v>
      </c>
      <c r="B1951" t="s">
        <v>557</v>
      </c>
      <c r="C1951" t="s">
        <v>1066</v>
      </c>
      <c r="D1951" t="s">
        <v>2494</v>
      </c>
      <c r="E1951" s="451">
        <v>45992</v>
      </c>
      <c r="F1951" s="451">
        <v>46027</v>
      </c>
      <c r="G1951" t="s">
        <v>564</v>
      </c>
      <c r="H1951" t="s">
        <v>565</v>
      </c>
      <c r="I1951" t="s">
        <v>2495</v>
      </c>
      <c r="J1951">
        <v>-100.01</v>
      </c>
      <c r="K1951">
        <v>-100.01</v>
      </c>
      <c r="O1951" t="s">
        <v>787</v>
      </c>
      <c r="P1951" t="s">
        <v>894</v>
      </c>
      <c r="Q1951" t="s">
        <v>458</v>
      </c>
      <c r="R1951">
        <v>0</v>
      </c>
    </row>
    <row r="1952" spans="1:18" x14ac:dyDescent="0.3">
      <c r="A1952">
        <v>187121</v>
      </c>
      <c r="B1952" t="s">
        <v>557</v>
      </c>
      <c r="C1952" t="s">
        <v>1066</v>
      </c>
      <c r="D1952" t="s">
        <v>2496</v>
      </c>
      <c r="E1952" s="451">
        <v>45992</v>
      </c>
      <c r="F1952" s="451">
        <v>46027</v>
      </c>
      <c r="G1952" t="s">
        <v>564</v>
      </c>
      <c r="H1952" t="s">
        <v>566</v>
      </c>
      <c r="I1952" t="s">
        <v>2497</v>
      </c>
      <c r="J1952">
        <v>-204.97</v>
      </c>
      <c r="K1952">
        <v>-204.97</v>
      </c>
      <c r="O1952" t="s">
        <v>787</v>
      </c>
      <c r="P1952" t="s">
        <v>894</v>
      </c>
      <c r="Q1952" t="s">
        <v>458</v>
      </c>
      <c r="R1952">
        <v>0</v>
      </c>
    </row>
    <row r="1953" spans="1:18" x14ac:dyDescent="0.3">
      <c r="A1953">
        <v>187120</v>
      </c>
      <c r="B1953" t="s">
        <v>557</v>
      </c>
      <c r="C1953" t="s">
        <v>1066</v>
      </c>
      <c r="D1953" t="s">
        <v>2498</v>
      </c>
      <c r="E1953" s="451">
        <v>45992</v>
      </c>
      <c r="F1953" s="451">
        <v>46027</v>
      </c>
      <c r="G1953" t="s">
        <v>564</v>
      </c>
      <c r="H1953" t="s">
        <v>566</v>
      </c>
      <c r="I1953" t="s">
        <v>2499</v>
      </c>
      <c r="J1953">
        <v>-142.35</v>
      </c>
      <c r="K1953">
        <v>-142.35</v>
      </c>
      <c r="O1953" t="s">
        <v>787</v>
      </c>
      <c r="P1953" t="s">
        <v>894</v>
      </c>
      <c r="Q1953" t="s">
        <v>458</v>
      </c>
      <c r="R1953">
        <v>0</v>
      </c>
    </row>
    <row r="1954" spans="1:18" x14ac:dyDescent="0.3">
      <c r="A1954">
        <v>187119</v>
      </c>
      <c r="B1954" t="s">
        <v>557</v>
      </c>
      <c r="C1954" t="s">
        <v>1066</v>
      </c>
      <c r="D1954" t="s">
        <v>2500</v>
      </c>
      <c r="E1954" s="451">
        <v>45992</v>
      </c>
      <c r="F1954" s="451">
        <v>46027</v>
      </c>
      <c r="G1954" t="s">
        <v>564</v>
      </c>
      <c r="H1954" t="s">
        <v>566</v>
      </c>
      <c r="I1954" t="s">
        <v>2497</v>
      </c>
      <c r="J1954">
        <v>-306.24</v>
      </c>
      <c r="K1954">
        <v>-306.24</v>
      </c>
      <c r="O1954" t="s">
        <v>787</v>
      </c>
      <c r="P1954" t="s">
        <v>894</v>
      </c>
      <c r="Q1954" t="s">
        <v>458</v>
      </c>
      <c r="R1954">
        <v>0</v>
      </c>
    </row>
    <row r="1955" spans="1:18" x14ac:dyDescent="0.3">
      <c r="A1955">
        <v>187118</v>
      </c>
      <c r="B1955" t="s">
        <v>557</v>
      </c>
      <c r="C1955" t="s">
        <v>1066</v>
      </c>
      <c r="D1955" t="s">
        <v>2501</v>
      </c>
      <c r="E1955" s="451">
        <v>45992</v>
      </c>
      <c r="F1955" s="451">
        <v>46027</v>
      </c>
      <c r="G1955" t="s">
        <v>564</v>
      </c>
      <c r="H1955" t="s">
        <v>565</v>
      </c>
      <c r="I1955" t="s">
        <v>2502</v>
      </c>
      <c r="J1955">
        <v>-45.34</v>
      </c>
      <c r="K1955">
        <v>-45.34</v>
      </c>
      <c r="O1955" t="s">
        <v>787</v>
      </c>
      <c r="P1955" t="s">
        <v>894</v>
      </c>
      <c r="Q1955" t="s">
        <v>458</v>
      </c>
      <c r="R1955">
        <v>0</v>
      </c>
    </row>
    <row r="1956" spans="1:18" x14ac:dyDescent="0.3">
      <c r="A1956">
        <v>187117</v>
      </c>
      <c r="B1956" t="s">
        <v>557</v>
      </c>
      <c r="C1956" t="s">
        <v>1066</v>
      </c>
      <c r="D1956" t="s">
        <v>2503</v>
      </c>
      <c r="E1956" s="451">
        <v>45992</v>
      </c>
      <c r="F1956" s="451">
        <v>46027</v>
      </c>
      <c r="G1956" t="s">
        <v>564</v>
      </c>
      <c r="H1956" t="s">
        <v>565</v>
      </c>
      <c r="I1956" t="s">
        <v>2502</v>
      </c>
      <c r="J1956">
        <v>-28.27</v>
      </c>
      <c r="K1956">
        <v>-28.27</v>
      </c>
      <c r="O1956" t="s">
        <v>787</v>
      </c>
      <c r="P1956" t="s">
        <v>894</v>
      </c>
      <c r="Q1956" t="s">
        <v>458</v>
      </c>
      <c r="R1956">
        <v>0</v>
      </c>
    </row>
    <row r="1957" spans="1:18" x14ac:dyDescent="0.3">
      <c r="A1957">
        <v>167023</v>
      </c>
      <c r="B1957" t="s">
        <v>557</v>
      </c>
      <c r="C1957" t="s">
        <v>895</v>
      </c>
      <c r="D1957" t="s">
        <v>2504</v>
      </c>
      <c r="E1957" s="451">
        <v>45992</v>
      </c>
      <c r="F1957" s="451">
        <v>45999</v>
      </c>
      <c r="G1957" t="s">
        <v>308</v>
      </c>
      <c r="H1957" t="s">
        <v>309</v>
      </c>
      <c r="I1957" t="s">
        <v>2505</v>
      </c>
      <c r="J1957">
        <v>-400</v>
      </c>
      <c r="K1957">
        <v>-400</v>
      </c>
      <c r="O1957" t="s">
        <v>787</v>
      </c>
      <c r="P1957" t="s">
        <v>894</v>
      </c>
      <c r="Q1957" t="s">
        <v>458</v>
      </c>
      <c r="R1957">
        <v>0</v>
      </c>
    </row>
    <row r="1958" spans="1:18" x14ac:dyDescent="0.3">
      <c r="A1958">
        <v>187116</v>
      </c>
      <c r="B1958" t="s">
        <v>557</v>
      </c>
      <c r="C1958" t="s">
        <v>1066</v>
      </c>
      <c r="D1958" t="s">
        <v>2506</v>
      </c>
      <c r="E1958" s="451">
        <v>45992</v>
      </c>
      <c r="F1958" s="451">
        <v>46027</v>
      </c>
      <c r="G1958" t="s">
        <v>564</v>
      </c>
      <c r="H1958" t="s">
        <v>566</v>
      </c>
      <c r="I1958" t="s">
        <v>2507</v>
      </c>
      <c r="J1958">
        <v>-400.2</v>
      </c>
      <c r="K1958">
        <v>-400.2</v>
      </c>
      <c r="O1958" t="s">
        <v>787</v>
      </c>
      <c r="P1958" t="s">
        <v>894</v>
      </c>
      <c r="Q1958" t="s">
        <v>458</v>
      </c>
      <c r="R1958">
        <v>0</v>
      </c>
    </row>
    <row r="1959" spans="1:18" x14ac:dyDescent="0.3">
      <c r="A1959">
        <v>187146</v>
      </c>
      <c r="B1959" t="s">
        <v>557</v>
      </c>
      <c r="C1959" t="s">
        <v>1066</v>
      </c>
      <c r="D1959" t="s">
        <v>2508</v>
      </c>
      <c r="E1959" s="451">
        <v>45992</v>
      </c>
      <c r="F1959" s="451">
        <v>46027</v>
      </c>
      <c r="G1959" t="s">
        <v>564</v>
      </c>
      <c r="H1959" t="s">
        <v>565</v>
      </c>
      <c r="I1959" t="s">
        <v>2509</v>
      </c>
      <c r="J1959">
        <v>-281.51</v>
      </c>
      <c r="K1959">
        <v>-286.51</v>
      </c>
      <c r="O1959" t="s">
        <v>787</v>
      </c>
      <c r="P1959" t="s">
        <v>894</v>
      </c>
      <c r="Q1959" t="s">
        <v>458</v>
      </c>
      <c r="R1959">
        <v>0</v>
      </c>
    </row>
    <row r="1960" spans="1:18" x14ac:dyDescent="0.3">
      <c r="A1960">
        <v>187143</v>
      </c>
      <c r="B1960" t="s">
        <v>557</v>
      </c>
      <c r="C1960" t="s">
        <v>1066</v>
      </c>
      <c r="D1960" t="s">
        <v>2510</v>
      </c>
      <c r="E1960" s="451">
        <v>45992</v>
      </c>
      <c r="F1960" s="451">
        <v>46027</v>
      </c>
      <c r="G1960" t="s">
        <v>564</v>
      </c>
      <c r="H1960" t="s">
        <v>566</v>
      </c>
      <c r="I1960" t="s">
        <v>2511</v>
      </c>
      <c r="J1960">
        <v>-133.68</v>
      </c>
      <c r="K1960">
        <v>-133.68</v>
      </c>
      <c r="O1960" t="s">
        <v>787</v>
      </c>
      <c r="P1960" t="s">
        <v>894</v>
      </c>
      <c r="Q1960" t="s">
        <v>458</v>
      </c>
      <c r="R1960">
        <v>0</v>
      </c>
    </row>
    <row r="1961" spans="1:18" x14ac:dyDescent="0.3">
      <c r="A1961">
        <v>187142</v>
      </c>
      <c r="B1961" t="s">
        <v>557</v>
      </c>
      <c r="C1961" t="s">
        <v>1066</v>
      </c>
      <c r="D1961" t="s">
        <v>2512</v>
      </c>
      <c r="E1961" s="451">
        <v>45992</v>
      </c>
      <c r="F1961" s="451">
        <v>46027</v>
      </c>
      <c r="G1961" t="s">
        <v>564</v>
      </c>
      <c r="H1961" t="s">
        <v>565</v>
      </c>
      <c r="I1961" t="s">
        <v>2513</v>
      </c>
      <c r="J1961">
        <v>-146.35</v>
      </c>
      <c r="K1961">
        <v>-146.35</v>
      </c>
      <c r="O1961" t="s">
        <v>787</v>
      </c>
      <c r="P1961" t="s">
        <v>894</v>
      </c>
      <c r="Q1961" t="s">
        <v>458</v>
      </c>
      <c r="R1961">
        <v>0</v>
      </c>
    </row>
    <row r="1962" spans="1:18" x14ac:dyDescent="0.3">
      <c r="A1962">
        <v>187141</v>
      </c>
      <c r="B1962" t="s">
        <v>557</v>
      </c>
      <c r="C1962" t="s">
        <v>1066</v>
      </c>
      <c r="D1962" t="s">
        <v>2514</v>
      </c>
      <c r="E1962" s="451">
        <v>45992</v>
      </c>
      <c r="F1962" s="451">
        <v>46027</v>
      </c>
      <c r="G1962" t="s">
        <v>564</v>
      </c>
      <c r="H1962" t="s">
        <v>565</v>
      </c>
      <c r="I1962" t="s">
        <v>2515</v>
      </c>
      <c r="J1962">
        <v>-62.26</v>
      </c>
      <c r="K1962">
        <v>-62.26</v>
      </c>
      <c r="O1962" t="s">
        <v>787</v>
      </c>
      <c r="P1962" t="s">
        <v>894</v>
      </c>
      <c r="Q1962" t="s">
        <v>458</v>
      </c>
      <c r="R1962">
        <v>0</v>
      </c>
    </row>
    <row r="1963" spans="1:18" x14ac:dyDescent="0.3">
      <c r="A1963">
        <v>187140</v>
      </c>
      <c r="B1963" t="s">
        <v>557</v>
      </c>
      <c r="C1963" t="s">
        <v>1066</v>
      </c>
      <c r="D1963" t="s">
        <v>2516</v>
      </c>
      <c r="E1963" s="451">
        <v>45992</v>
      </c>
      <c r="F1963" s="451">
        <v>46027</v>
      </c>
      <c r="G1963" t="s">
        <v>564</v>
      </c>
      <c r="H1963" t="s">
        <v>566</v>
      </c>
      <c r="I1963" t="s">
        <v>2517</v>
      </c>
      <c r="J1963">
        <v>-49.99</v>
      </c>
      <c r="K1963">
        <v>-49.99</v>
      </c>
      <c r="O1963" t="s">
        <v>787</v>
      </c>
      <c r="P1963" t="s">
        <v>894</v>
      </c>
      <c r="Q1963" t="s">
        <v>458</v>
      </c>
      <c r="R1963">
        <v>0</v>
      </c>
    </row>
    <row r="1964" spans="1:18" x14ac:dyDescent="0.3">
      <c r="A1964">
        <v>187138</v>
      </c>
      <c r="B1964" t="s">
        <v>557</v>
      </c>
      <c r="C1964" t="s">
        <v>1066</v>
      </c>
      <c r="D1964" t="s">
        <v>2518</v>
      </c>
      <c r="E1964" s="451">
        <v>45992</v>
      </c>
      <c r="F1964" s="451">
        <v>46027</v>
      </c>
      <c r="G1964" t="s">
        <v>564</v>
      </c>
      <c r="H1964" t="s">
        <v>566</v>
      </c>
      <c r="I1964" t="s">
        <v>2507</v>
      </c>
      <c r="J1964">
        <v>-130.80000000000001</v>
      </c>
      <c r="K1964">
        <v>-130.80000000000001</v>
      </c>
      <c r="O1964" t="s">
        <v>787</v>
      </c>
      <c r="P1964" t="s">
        <v>894</v>
      </c>
      <c r="Q1964" t="s">
        <v>458</v>
      </c>
      <c r="R1964">
        <v>0</v>
      </c>
    </row>
    <row r="1965" spans="1:18" x14ac:dyDescent="0.3">
      <c r="A1965">
        <v>185727</v>
      </c>
      <c r="B1965" t="s">
        <v>557</v>
      </c>
      <c r="C1965" t="s">
        <v>882</v>
      </c>
      <c r="D1965" t="s">
        <v>1366</v>
      </c>
      <c r="E1965" s="451">
        <v>45992</v>
      </c>
      <c r="F1965" s="451">
        <v>46023</v>
      </c>
      <c r="G1965" t="s">
        <v>570</v>
      </c>
      <c r="H1965" t="s">
        <v>573</v>
      </c>
      <c r="I1965" t="s">
        <v>458</v>
      </c>
      <c r="J1965">
        <v>-6500</v>
      </c>
      <c r="K1965">
        <v>-6500</v>
      </c>
      <c r="M1965" t="s">
        <v>883</v>
      </c>
      <c r="N1965" t="s">
        <v>135</v>
      </c>
      <c r="O1965" t="s">
        <v>787</v>
      </c>
      <c r="Q1965" t="s">
        <v>458</v>
      </c>
      <c r="R1965">
        <v>0</v>
      </c>
    </row>
    <row r="1966" spans="1:18" x14ac:dyDescent="0.3">
      <c r="A1966">
        <v>187136</v>
      </c>
      <c r="B1966" t="s">
        <v>557</v>
      </c>
      <c r="C1966" t="s">
        <v>1066</v>
      </c>
      <c r="D1966" t="s">
        <v>2519</v>
      </c>
      <c r="E1966" s="451">
        <v>45992</v>
      </c>
      <c r="F1966" s="451">
        <v>46027</v>
      </c>
      <c r="G1966" t="s">
        <v>264</v>
      </c>
      <c r="H1966" t="s">
        <v>269</v>
      </c>
      <c r="I1966" t="s">
        <v>2520</v>
      </c>
      <c r="J1966">
        <v>-75.5</v>
      </c>
      <c r="K1966">
        <v>-75.5</v>
      </c>
      <c r="O1966" t="s">
        <v>787</v>
      </c>
      <c r="P1966" t="s">
        <v>894</v>
      </c>
      <c r="Q1966" t="s">
        <v>458</v>
      </c>
      <c r="R1966">
        <v>0</v>
      </c>
    </row>
    <row r="1967" spans="1:18" x14ac:dyDescent="0.3">
      <c r="A1967">
        <v>187134</v>
      </c>
      <c r="B1967" t="s">
        <v>557</v>
      </c>
      <c r="C1967" t="s">
        <v>1066</v>
      </c>
      <c r="D1967" t="s">
        <v>2521</v>
      </c>
      <c r="E1967" s="451">
        <v>45992</v>
      </c>
      <c r="F1967" s="451">
        <v>46027</v>
      </c>
      <c r="G1967" t="s">
        <v>564</v>
      </c>
      <c r="H1967" t="s">
        <v>565</v>
      </c>
      <c r="I1967" t="s">
        <v>2522</v>
      </c>
      <c r="J1967">
        <v>-77.94</v>
      </c>
      <c r="K1967">
        <v>-77.94</v>
      </c>
      <c r="O1967" t="s">
        <v>787</v>
      </c>
      <c r="P1967" t="s">
        <v>894</v>
      </c>
      <c r="Q1967" t="s">
        <v>458</v>
      </c>
      <c r="R1967">
        <v>0</v>
      </c>
    </row>
    <row r="1968" spans="1:18" x14ac:dyDescent="0.3">
      <c r="A1968">
        <v>187197</v>
      </c>
      <c r="B1968" t="s">
        <v>557</v>
      </c>
      <c r="C1968" t="s">
        <v>888</v>
      </c>
      <c r="D1968" t="s">
        <v>2259</v>
      </c>
      <c r="E1968" s="451">
        <v>45992</v>
      </c>
      <c r="F1968" s="451">
        <v>46023</v>
      </c>
      <c r="G1968" t="s">
        <v>570</v>
      </c>
      <c r="H1968" t="s">
        <v>573</v>
      </c>
      <c r="I1968" t="s">
        <v>458</v>
      </c>
      <c r="J1968">
        <v>-11000</v>
      </c>
      <c r="K1968">
        <v>-11000</v>
      </c>
      <c r="M1968" t="s">
        <v>887</v>
      </c>
      <c r="N1968" t="s">
        <v>131</v>
      </c>
      <c r="O1968" t="s">
        <v>787</v>
      </c>
      <c r="Q1968" t="s">
        <v>458</v>
      </c>
      <c r="R1968">
        <v>0</v>
      </c>
    </row>
    <row r="1969" spans="1:18" x14ac:dyDescent="0.3">
      <c r="A1969">
        <v>168077</v>
      </c>
      <c r="B1969" t="s">
        <v>557</v>
      </c>
      <c r="C1969" t="s">
        <v>895</v>
      </c>
      <c r="D1969" t="s">
        <v>2504</v>
      </c>
      <c r="E1969" s="451">
        <v>45992</v>
      </c>
      <c r="F1969" s="451">
        <v>45999</v>
      </c>
      <c r="G1969" t="s">
        <v>308</v>
      </c>
      <c r="H1969" t="s">
        <v>309</v>
      </c>
      <c r="I1969" t="s">
        <v>2523</v>
      </c>
      <c r="J1969">
        <v>-1032.3499999999999</v>
      </c>
      <c r="K1969">
        <v>-1032.3499999999999</v>
      </c>
      <c r="O1969" t="s">
        <v>787</v>
      </c>
      <c r="P1969" t="s">
        <v>894</v>
      </c>
      <c r="Q1969" t="s">
        <v>458</v>
      </c>
      <c r="R1969">
        <v>0</v>
      </c>
    </row>
    <row r="1970" spans="1:18" x14ac:dyDescent="0.3">
      <c r="A1970">
        <v>175287</v>
      </c>
      <c r="B1970" t="s">
        <v>557</v>
      </c>
      <c r="C1970" t="s">
        <v>907</v>
      </c>
      <c r="D1970" t="s">
        <v>2524</v>
      </c>
      <c r="E1970" s="451">
        <v>45992</v>
      </c>
      <c r="F1970" s="451">
        <v>46000</v>
      </c>
      <c r="G1970" t="s">
        <v>578</v>
      </c>
      <c r="H1970" t="s">
        <v>250</v>
      </c>
      <c r="I1970" t="s">
        <v>2525</v>
      </c>
      <c r="J1970">
        <v>-3000</v>
      </c>
      <c r="K1970">
        <v>-3000</v>
      </c>
      <c r="O1970" t="s">
        <v>787</v>
      </c>
      <c r="P1970" t="s">
        <v>894</v>
      </c>
      <c r="Q1970" t="s">
        <v>458</v>
      </c>
      <c r="R1970">
        <v>0</v>
      </c>
    </row>
    <row r="1971" spans="1:18" x14ac:dyDescent="0.3">
      <c r="A1971">
        <v>175314</v>
      </c>
      <c r="B1971" t="s">
        <v>557</v>
      </c>
      <c r="C1971" t="s">
        <v>834</v>
      </c>
      <c r="D1971" t="s">
        <v>2526</v>
      </c>
      <c r="E1971" s="451">
        <v>45992</v>
      </c>
      <c r="F1971" s="451">
        <v>45989</v>
      </c>
      <c r="G1971" t="s">
        <v>578</v>
      </c>
      <c r="H1971" t="s">
        <v>239</v>
      </c>
      <c r="I1971" t="s">
        <v>2527</v>
      </c>
      <c r="J1971">
        <v>-5101.0600000000004</v>
      </c>
      <c r="K1971">
        <v>-5101.0600000000004</v>
      </c>
      <c r="O1971" t="s">
        <v>787</v>
      </c>
      <c r="P1971" t="s">
        <v>894</v>
      </c>
      <c r="Q1971" t="s">
        <v>458</v>
      </c>
      <c r="R1971">
        <v>0</v>
      </c>
    </row>
    <row r="1972" spans="1:18" x14ac:dyDescent="0.3">
      <c r="A1972">
        <v>175317</v>
      </c>
      <c r="B1972" t="s">
        <v>557</v>
      </c>
      <c r="C1972" t="s">
        <v>834</v>
      </c>
      <c r="D1972" t="s">
        <v>2528</v>
      </c>
      <c r="E1972" s="451">
        <v>45992</v>
      </c>
      <c r="F1972" s="451">
        <v>45982</v>
      </c>
      <c r="G1972" t="s">
        <v>578</v>
      </c>
      <c r="H1972" t="s">
        <v>239</v>
      </c>
      <c r="I1972" t="s">
        <v>2529</v>
      </c>
      <c r="J1972">
        <v>-1003.42</v>
      </c>
      <c r="K1972">
        <v>-1003.42</v>
      </c>
      <c r="O1972" t="s">
        <v>787</v>
      </c>
      <c r="P1972" t="s">
        <v>894</v>
      </c>
      <c r="Q1972" t="s">
        <v>458</v>
      </c>
      <c r="R1972">
        <v>0</v>
      </c>
    </row>
    <row r="1973" spans="1:18" x14ac:dyDescent="0.3">
      <c r="A1973">
        <v>178310</v>
      </c>
      <c r="B1973" t="s">
        <v>557</v>
      </c>
      <c r="C1973" t="s">
        <v>842</v>
      </c>
      <c r="D1973" t="s">
        <v>2530</v>
      </c>
      <c r="E1973" s="451">
        <v>45992</v>
      </c>
      <c r="F1973" s="451">
        <v>46021</v>
      </c>
      <c r="G1973" t="s">
        <v>578</v>
      </c>
      <c r="H1973" t="s">
        <v>242</v>
      </c>
      <c r="I1973" t="s">
        <v>458</v>
      </c>
      <c r="J1973">
        <v>-207.65</v>
      </c>
      <c r="K1973">
        <v>-207.65</v>
      </c>
      <c r="O1973" t="s">
        <v>787</v>
      </c>
      <c r="P1973" t="s">
        <v>894</v>
      </c>
      <c r="Q1973" t="s">
        <v>458</v>
      </c>
      <c r="R1973">
        <v>0</v>
      </c>
    </row>
    <row r="1974" spans="1:18" x14ac:dyDescent="0.3">
      <c r="A1974">
        <v>179392</v>
      </c>
      <c r="B1974" t="s">
        <v>557</v>
      </c>
      <c r="C1974" t="s">
        <v>1749</v>
      </c>
      <c r="E1974" s="451">
        <v>45992</v>
      </c>
      <c r="F1974" s="451">
        <v>45992</v>
      </c>
      <c r="G1974" t="s">
        <v>562</v>
      </c>
      <c r="H1974" t="s">
        <v>116</v>
      </c>
      <c r="J1974">
        <v>-319.13</v>
      </c>
      <c r="K1974">
        <v>-319.13</v>
      </c>
      <c r="O1974" t="s">
        <v>787</v>
      </c>
      <c r="P1974" t="s">
        <v>894</v>
      </c>
      <c r="Q1974" t="s">
        <v>458</v>
      </c>
      <c r="R1974">
        <v>0</v>
      </c>
    </row>
    <row r="1975" spans="1:18" x14ac:dyDescent="0.3">
      <c r="A1975">
        <v>179511</v>
      </c>
      <c r="B1975" t="s">
        <v>557</v>
      </c>
      <c r="C1975" t="s">
        <v>1284</v>
      </c>
      <c r="D1975" t="s">
        <v>2531</v>
      </c>
      <c r="E1975" s="451">
        <v>45992</v>
      </c>
      <c r="F1975" s="451">
        <v>46020</v>
      </c>
      <c r="G1975" t="s">
        <v>264</v>
      </c>
      <c r="H1975" t="s">
        <v>276</v>
      </c>
      <c r="I1975" t="s">
        <v>2532</v>
      </c>
      <c r="J1975">
        <v>-119.1</v>
      </c>
      <c r="K1975">
        <v>-119.1</v>
      </c>
      <c r="O1975" t="s">
        <v>787</v>
      </c>
      <c r="P1975" t="s">
        <v>894</v>
      </c>
      <c r="Q1975" t="s">
        <v>458</v>
      </c>
      <c r="R1975">
        <v>0</v>
      </c>
    </row>
    <row r="1976" spans="1:18" x14ac:dyDescent="0.3">
      <c r="A1976">
        <v>179517</v>
      </c>
      <c r="B1976" t="s">
        <v>557</v>
      </c>
      <c r="C1976" t="s">
        <v>2533</v>
      </c>
      <c r="D1976" t="s">
        <v>2534</v>
      </c>
      <c r="E1976" s="451">
        <v>45992</v>
      </c>
      <c r="F1976" s="451">
        <v>46013</v>
      </c>
      <c r="G1976" t="s">
        <v>264</v>
      </c>
      <c r="H1976" t="s">
        <v>276</v>
      </c>
      <c r="I1976" t="s">
        <v>2535</v>
      </c>
      <c r="J1976">
        <v>-1400</v>
      </c>
      <c r="K1976">
        <v>-1400</v>
      </c>
      <c r="O1976" t="s">
        <v>787</v>
      </c>
      <c r="P1976" t="s">
        <v>894</v>
      </c>
      <c r="Q1976" t="s">
        <v>458</v>
      </c>
      <c r="R1976">
        <v>0</v>
      </c>
    </row>
    <row r="1977" spans="1:18" x14ac:dyDescent="0.3">
      <c r="A1977">
        <v>179843</v>
      </c>
      <c r="B1977" t="s">
        <v>557</v>
      </c>
      <c r="C1977" t="s">
        <v>1234</v>
      </c>
      <c r="D1977" t="s">
        <v>2536</v>
      </c>
      <c r="E1977" s="451">
        <v>45992</v>
      </c>
      <c r="F1977" s="451">
        <v>46001</v>
      </c>
      <c r="G1977" t="s">
        <v>564</v>
      </c>
      <c r="H1977" t="s">
        <v>565</v>
      </c>
      <c r="I1977" t="s">
        <v>2537</v>
      </c>
      <c r="J1977">
        <v>-1481.23</v>
      </c>
      <c r="K1977">
        <v>-1481.23</v>
      </c>
      <c r="O1977" t="s">
        <v>787</v>
      </c>
      <c r="P1977" t="s">
        <v>894</v>
      </c>
      <c r="Q1977" t="s">
        <v>458</v>
      </c>
      <c r="R197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292"/>
  <sheetViews>
    <sheetView workbookViewId="0"/>
  </sheetViews>
  <sheetFormatPr defaultRowHeight="14.4" x14ac:dyDescent="0.3"/>
  <sheetData>
    <row r="1" spans="1:17" x14ac:dyDescent="0.3">
      <c r="A1" t="s">
        <v>760</v>
      </c>
      <c r="B1" t="s">
        <v>2538</v>
      </c>
      <c r="C1" t="s">
        <v>2539</v>
      </c>
      <c r="D1" t="s">
        <v>761</v>
      </c>
      <c r="E1" t="s">
        <v>762</v>
      </c>
      <c r="F1" t="s">
        <v>763</v>
      </c>
      <c r="G1" t="s">
        <v>2540</v>
      </c>
      <c r="H1" t="s">
        <v>764</v>
      </c>
      <c r="I1" t="s">
        <v>769</v>
      </c>
      <c r="J1" t="s">
        <v>2541</v>
      </c>
      <c r="K1" t="s">
        <v>2542</v>
      </c>
      <c r="L1" t="s">
        <v>2543</v>
      </c>
      <c r="M1" t="s">
        <v>2544</v>
      </c>
      <c r="N1" t="s">
        <v>2545</v>
      </c>
      <c r="O1" t="s">
        <v>2546</v>
      </c>
      <c r="P1" t="s">
        <v>2547</v>
      </c>
      <c r="Q1" t="s">
        <v>556</v>
      </c>
    </row>
    <row r="2" spans="1:17" x14ac:dyDescent="0.3">
      <c r="A2">
        <v>243385</v>
      </c>
      <c r="B2">
        <v>105</v>
      </c>
      <c r="C2" t="s">
        <v>557</v>
      </c>
      <c r="D2" t="s">
        <v>2548</v>
      </c>
      <c r="E2" t="s">
        <v>2549</v>
      </c>
      <c r="F2" s="451">
        <v>46189</v>
      </c>
      <c r="G2" s="451">
        <v>46209</v>
      </c>
      <c r="H2" s="451">
        <v>46223</v>
      </c>
      <c r="I2">
        <v>109.1</v>
      </c>
      <c r="J2">
        <v>109.1</v>
      </c>
      <c r="K2">
        <v>0</v>
      </c>
      <c r="L2">
        <v>0</v>
      </c>
      <c r="M2">
        <v>109.1</v>
      </c>
      <c r="N2">
        <v>0</v>
      </c>
      <c r="O2">
        <v>0</v>
      </c>
      <c r="P2">
        <v>0</v>
      </c>
      <c r="Q2" t="s">
        <v>465</v>
      </c>
    </row>
    <row r="3" spans="1:17" x14ac:dyDescent="0.3">
      <c r="A3">
        <v>242761</v>
      </c>
      <c r="B3">
        <v>105</v>
      </c>
      <c r="C3" t="s">
        <v>557</v>
      </c>
      <c r="D3" t="s">
        <v>2550</v>
      </c>
      <c r="E3" t="s">
        <v>2551</v>
      </c>
      <c r="F3" s="451">
        <v>46203</v>
      </c>
      <c r="G3" s="451">
        <v>46204</v>
      </c>
      <c r="H3" s="451">
        <v>46233</v>
      </c>
      <c r="I3">
        <v>1238.95</v>
      </c>
      <c r="J3">
        <v>582</v>
      </c>
      <c r="K3">
        <v>0</v>
      </c>
      <c r="L3">
        <v>0</v>
      </c>
      <c r="M3">
        <v>1238.95</v>
      </c>
      <c r="N3">
        <v>0</v>
      </c>
      <c r="O3">
        <v>0</v>
      </c>
      <c r="P3">
        <v>0</v>
      </c>
      <c r="Q3" t="s">
        <v>465</v>
      </c>
    </row>
    <row r="4" spans="1:17" x14ac:dyDescent="0.3">
      <c r="A4">
        <v>242760</v>
      </c>
      <c r="B4">
        <v>105</v>
      </c>
      <c r="C4" t="s">
        <v>557</v>
      </c>
      <c r="D4" t="s">
        <v>2552</v>
      </c>
      <c r="E4" t="s">
        <v>2553</v>
      </c>
      <c r="F4" s="451">
        <v>46204</v>
      </c>
      <c r="G4" s="451">
        <v>46205</v>
      </c>
      <c r="H4" s="451">
        <v>46218</v>
      </c>
      <c r="I4">
        <v>183</v>
      </c>
      <c r="J4">
        <v>158</v>
      </c>
      <c r="K4">
        <v>183</v>
      </c>
      <c r="L4">
        <v>0</v>
      </c>
      <c r="M4">
        <v>0</v>
      </c>
      <c r="N4">
        <v>0</v>
      </c>
      <c r="O4">
        <v>0</v>
      </c>
      <c r="P4">
        <v>0</v>
      </c>
      <c r="Q4" t="s">
        <v>465</v>
      </c>
    </row>
    <row r="5" spans="1:17" x14ac:dyDescent="0.3">
      <c r="A5">
        <v>242758</v>
      </c>
      <c r="B5">
        <v>105</v>
      </c>
      <c r="C5" t="s">
        <v>557</v>
      </c>
      <c r="D5" t="s">
        <v>2554</v>
      </c>
      <c r="E5" t="s">
        <v>2555</v>
      </c>
      <c r="F5" s="451">
        <v>46204</v>
      </c>
      <c r="G5" s="451">
        <v>46204</v>
      </c>
      <c r="H5" s="451">
        <v>46218</v>
      </c>
      <c r="I5">
        <v>978.99</v>
      </c>
      <c r="J5">
        <v>966.24</v>
      </c>
      <c r="K5">
        <v>0</v>
      </c>
      <c r="L5">
        <v>0</v>
      </c>
      <c r="M5">
        <v>904.32</v>
      </c>
      <c r="N5">
        <v>0</v>
      </c>
      <c r="O5">
        <v>58.66</v>
      </c>
      <c r="P5">
        <v>16.010000000000002</v>
      </c>
      <c r="Q5" t="s">
        <v>465</v>
      </c>
    </row>
    <row r="6" spans="1:17" x14ac:dyDescent="0.3">
      <c r="A6">
        <v>242756</v>
      </c>
      <c r="B6">
        <v>105</v>
      </c>
      <c r="C6" t="s">
        <v>557</v>
      </c>
      <c r="D6" t="s">
        <v>2554</v>
      </c>
      <c r="E6" t="s">
        <v>2556</v>
      </c>
      <c r="F6" s="451">
        <v>46199</v>
      </c>
      <c r="G6" s="451">
        <v>46204</v>
      </c>
      <c r="H6" s="451">
        <v>46212</v>
      </c>
      <c r="I6">
        <v>221.42</v>
      </c>
      <c r="J6">
        <v>164.42</v>
      </c>
      <c r="K6">
        <v>0</v>
      </c>
      <c r="L6">
        <v>0</v>
      </c>
      <c r="M6">
        <v>221.42</v>
      </c>
      <c r="N6">
        <v>0</v>
      </c>
      <c r="O6">
        <v>0</v>
      </c>
      <c r="P6">
        <v>0</v>
      </c>
      <c r="Q6" t="s">
        <v>465</v>
      </c>
    </row>
    <row r="7" spans="1:17" x14ac:dyDescent="0.3">
      <c r="A7">
        <v>242754</v>
      </c>
      <c r="B7">
        <v>105</v>
      </c>
      <c r="C7" t="s">
        <v>557</v>
      </c>
      <c r="D7" t="s">
        <v>2557</v>
      </c>
      <c r="E7" t="s">
        <v>2558</v>
      </c>
      <c r="F7" s="451">
        <v>46195</v>
      </c>
      <c r="G7" s="451">
        <v>46205</v>
      </c>
      <c r="H7" s="451">
        <v>46224</v>
      </c>
      <c r="I7">
        <v>2347.0100000000002</v>
      </c>
      <c r="J7">
        <v>2120</v>
      </c>
      <c r="K7">
        <v>0</v>
      </c>
      <c r="L7">
        <v>0</v>
      </c>
      <c r="M7">
        <v>0</v>
      </c>
      <c r="N7">
        <v>0</v>
      </c>
      <c r="O7">
        <v>2075.7800000000002</v>
      </c>
      <c r="P7">
        <v>271.23</v>
      </c>
      <c r="Q7" t="s">
        <v>465</v>
      </c>
    </row>
    <row r="8" spans="1:17" x14ac:dyDescent="0.3">
      <c r="A8">
        <v>242753</v>
      </c>
      <c r="B8">
        <v>105</v>
      </c>
      <c r="C8" t="s">
        <v>557</v>
      </c>
      <c r="D8" t="s">
        <v>2559</v>
      </c>
      <c r="E8" t="s">
        <v>2560</v>
      </c>
      <c r="F8" s="451">
        <v>46203</v>
      </c>
      <c r="G8" s="451">
        <v>46204</v>
      </c>
      <c r="H8" s="451">
        <v>46224</v>
      </c>
      <c r="I8">
        <v>50</v>
      </c>
      <c r="J8">
        <v>50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 t="s">
        <v>465</v>
      </c>
    </row>
    <row r="9" spans="1:17" x14ac:dyDescent="0.3">
      <c r="A9">
        <v>242752</v>
      </c>
      <c r="B9">
        <v>105</v>
      </c>
      <c r="C9" t="s">
        <v>557</v>
      </c>
      <c r="D9" t="s">
        <v>2561</v>
      </c>
      <c r="E9" t="s">
        <v>2562</v>
      </c>
      <c r="F9" s="451">
        <v>46204</v>
      </c>
      <c r="G9" s="451">
        <v>46205</v>
      </c>
      <c r="H9" s="451">
        <v>46218</v>
      </c>
      <c r="I9">
        <v>512.22</v>
      </c>
      <c r="J9">
        <v>512.21</v>
      </c>
      <c r="K9">
        <v>512.22</v>
      </c>
      <c r="L9">
        <v>0</v>
      </c>
      <c r="M9">
        <v>0</v>
      </c>
      <c r="N9">
        <v>0</v>
      </c>
      <c r="O9">
        <v>0</v>
      </c>
      <c r="P9">
        <v>0</v>
      </c>
      <c r="Q9" t="s">
        <v>465</v>
      </c>
    </row>
    <row r="10" spans="1:17" x14ac:dyDescent="0.3">
      <c r="A10">
        <v>242751</v>
      </c>
      <c r="B10">
        <v>105</v>
      </c>
      <c r="C10" t="s">
        <v>557</v>
      </c>
      <c r="D10" t="s">
        <v>2563</v>
      </c>
      <c r="E10" t="s">
        <v>2564</v>
      </c>
      <c r="F10" s="451">
        <v>46203</v>
      </c>
      <c r="G10" s="451">
        <v>46204</v>
      </c>
      <c r="H10" s="451">
        <v>46231</v>
      </c>
      <c r="I10">
        <v>245.9</v>
      </c>
      <c r="J10">
        <v>245.9</v>
      </c>
      <c r="K10">
        <v>245.9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465</v>
      </c>
    </row>
    <row r="11" spans="1:17" x14ac:dyDescent="0.3">
      <c r="A11">
        <v>242749</v>
      </c>
      <c r="B11">
        <v>105</v>
      </c>
      <c r="C11" t="s">
        <v>557</v>
      </c>
      <c r="D11" t="s">
        <v>2565</v>
      </c>
      <c r="E11" t="s">
        <v>2566</v>
      </c>
      <c r="F11" s="451">
        <v>46203</v>
      </c>
      <c r="G11" s="451">
        <v>46204</v>
      </c>
      <c r="H11" s="451">
        <v>46224</v>
      </c>
      <c r="I11">
        <v>434.48</v>
      </c>
      <c r="J11">
        <v>434.48</v>
      </c>
      <c r="K11">
        <v>0</v>
      </c>
      <c r="L11">
        <v>434.48</v>
      </c>
      <c r="M11">
        <v>0</v>
      </c>
      <c r="N11">
        <v>0</v>
      </c>
      <c r="O11">
        <v>0</v>
      </c>
      <c r="P11">
        <v>0</v>
      </c>
      <c r="Q11" t="s">
        <v>465</v>
      </c>
    </row>
    <row r="12" spans="1:17" x14ac:dyDescent="0.3">
      <c r="A12">
        <v>242748</v>
      </c>
      <c r="B12">
        <v>105</v>
      </c>
      <c r="C12" t="s">
        <v>557</v>
      </c>
      <c r="D12" t="s">
        <v>2567</v>
      </c>
      <c r="E12" t="s">
        <v>2568</v>
      </c>
      <c r="F12" s="451">
        <v>46199</v>
      </c>
      <c r="G12" s="451">
        <v>46206</v>
      </c>
      <c r="H12" s="451">
        <v>46230</v>
      </c>
      <c r="I12">
        <v>1474.9</v>
      </c>
      <c r="J12">
        <v>1306.92</v>
      </c>
      <c r="K12">
        <v>0</v>
      </c>
      <c r="L12">
        <v>0</v>
      </c>
      <c r="M12">
        <v>0</v>
      </c>
      <c r="N12">
        <v>0</v>
      </c>
      <c r="O12">
        <v>0</v>
      </c>
      <c r="P12">
        <v>1474.9</v>
      </c>
      <c r="Q12" t="s">
        <v>465</v>
      </c>
    </row>
    <row r="13" spans="1:17" x14ac:dyDescent="0.3">
      <c r="A13">
        <v>242747</v>
      </c>
      <c r="B13">
        <v>105</v>
      </c>
      <c r="C13" t="s">
        <v>557</v>
      </c>
      <c r="D13" t="s">
        <v>2569</v>
      </c>
      <c r="E13" t="s">
        <v>2570</v>
      </c>
      <c r="F13" s="451">
        <v>46204</v>
      </c>
      <c r="G13" s="451">
        <v>46205</v>
      </c>
      <c r="H13" s="451">
        <v>46240</v>
      </c>
      <c r="I13">
        <v>283.2</v>
      </c>
      <c r="J13">
        <v>283.2</v>
      </c>
      <c r="K13">
        <v>0</v>
      </c>
      <c r="L13">
        <v>283.2</v>
      </c>
      <c r="M13">
        <v>0</v>
      </c>
      <c r="N13">
        <v>0</v>
      </c>
      <c r="O13">
        <v>0</v>
      </c>
      <c r="P13">
        <v>0</v>
      </c>
      <c r="Q13" t="s">
        <v>465</v>
      </c>
    </row>
    <row r="14" spans="1:17" x14ac:dyDescent="0.3">
      <c r="A14">
        <v>242746</v>
      </c>
      <c r="B14">
        <v>105</v>
      </c>
      <c r="C14" t="s">
        <v>557</v>
      </c>
      <c r="D14" t="s">
        <v>2571</v>
      </c>
      <c r="E14" t="s">
        <v>2572</v>
      </c>
      <c r="F14" s="451">
        <v>46203</v>
      </c>
      <c r="G14" s="451">
        <v>46204</v>
      </c>
      <c r="H14" s="451">
        <v>46224</v>
      </c>
      <c r="I14">
        <v>1209.5899999999999</v>
      </c>
      <c r="J14">
        <v>802.93</v>
      </c>
      <c r="K14">
        <v>1209.5899999999999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465</v>
      </c>
    </row>
    <row r="15" spans="1:17" x14ac:dyDescent="0.3">
      <c r="A15">
        <v>242744</v>
      </c>
      <c r="B15">
        <v>105</v>
      </c>
      <c r="C15" t="s">
        <v>557</v>
      </c>
      <c r="D15" t="s">
        <v>2573</v>
      </c>
      <c r="E15" t="s">
        <v>2574</v>
      </c>
      <c r="F15" s="451">
        <v>46203</v>
      </c>
      <c r="G15" s="451">
        <v>46204</v>
      </c>
      <c r="H15" s="451">
        <v>46230</v>
      </c>
      <c r="I15">
        <v>210.24</v>
      </c>
      <c r="J15">
        <v>187.27</v>
      </c>
      <c r="K15">
        <v>0</v>
      </c>
      <c r="L15">
        <v>0</v>
      </c>
      <c r="M15">
        <v>0</v>
      </c>
      <c r="N15">
        <v>0</v>
      </c>
      <c r="O15">
        <v>210.24</v>
      </c>
      <c r="P15">
        <v>0</v>
      </c>
      <c r="Q15" t="s">
        <v>465</v>
      </c>
    </row>
    <row r="16" spans="1:17" x14ac:dyDescent="0.3">
      <c r="A16">
        <v>242743</v>
      </c>
      <c r="B16">
        <v>105</v>
      </c>
      <c r="C16" t="s">
        <v>557</v>
      </c>
      <c r="D16" t="s">
        <v>2575</v>
      </c>
      <c r="E16" t="s">
        <v>2576</v>
      </c>
      <c r="F16" s="451">
        <v>46204</v>
      </c>
      <c r="G16" s="451">
        <v>46205</v>
      </c>
      <c r="H16" s="451">
        <v>46232</v>
      </c>
      <c r="I16">
        <v>698.4</v>
      </c>
      <c r="J16">
        <v>698.4</v>
      </c>
      <c r="K16">
        <v>0</v>
      </c>
      <c r="L16">
        <v>698.4</v>
      </c>
      <c r="M16">
        <v>0</v>
      </c>
      <c r="N16">
        <v>0</v>
      </c>
      <c r="O16">
        <v>0</v>
      </c>
      <c r="P16">
        <v>0</v>
      </c>
      <c r="Q16" t="s">
        <v>465</v>
      </c>
    </row>
    <row r="17" spans="1:17" x14ac:dyDescent="0.3">
      <c r="A17">
        <v>242741</v>
      </c>
      <c r="B17">
        <v>105</v>
      </c>
      <c r="C17" t="s">
        <v>557</v>
      </c>
      <c r="D17" t="s">
        <v>2577</v>
      </c>
      <c r="E17" t="s">
        <v>2578</v>
      </c>
      <c r="F17" s="451">
        <v>46203</v>
      </c>
      <c r="G17" s="451">
        <v>46204</v>
      </c>
      <c r="H17" s="451">
        <v>46228</v>
      </c>
      <c r="I17">
        <v>278.04000000000002</v>
      </c>
      <c r="J17">
        <v>278.04000000000002</v>
      </c>
      <c r="K17">
        <v>0</v>
      </c>
      <c r="L17">
        <v>0</v>
      </c>
      <c r="M17">
        <v>0</v>
      </c>
      <c r="N17">
        <v>278.04000000000002</v>
      </c>
      <c r="O17">
        <v>0</v>
      </c>
      <c r="P17">
        <v>0</v>
      </c>
      <c r="Q17" t="s">
        <v>465</v>
      </c>
    </row>
    <row r="18" spans="1:17" x14ac:dyDescent="0.3">
      <c r="A18">
        <v>242740</v>
      </c>
      <c r="B18">
        <v>105</v>
      </c>
      <c r="C18" t="s">
        <v>557</v>
      </c>
      <c r="D18" t="s">
        <v>2579</v>
      </c>
      <c r="E18" t="s">
        <v>2580</v>
      </c>
      <c r="F18" s="451">
        <v>46203</v>
      </c>
      <c r="G18" s="451">
        <v>46204</v>
      </c>
      <c r="H18" s="451">
        <v>46231</v>
      </c>
      <c r="I18">
        <v>246.76</v>
      </c>
      <c r="J18">
        <v>246.76</v>
      </c>
      <c r="K18">
        <v>246.76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465</v>
      </c>
    </row>
    <row r="19" spans="1:17" x14ac:dyDescent="0.3">
      <c r="A19">
        <v>242739</v>
      </c>
      <c r="B19">
        <v>105</v>
      </c>
      <c r="C19" t="s">
        <v>557</v>
      </c>
      <c r="D19" t="s">
        <v>2581</v>
      </c>
      <c r="E19" t="s">
        <v>2582</v>
      </c>
      <c r="F19" s="451">
        <v>46205</v>
      </c>
      <c r="G19" s="451">
        <v>46206</v>
      </c>
      <c r="H19" s="451">
        <v>46233</v>
      </c>
      <c r="I19">
        <v>1870.45</v>
      </c>
      <c r="J19">
        <v>1870.45</v>
      </c>
      <c r="K19">
        <v>1870.45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465</v>
      </c>
    </row>
    <row r="20" spans="1:17" x14ac:dyDescent="0.3">
      <c r="A20">
        <v>242737</v>
      </c>
      <c r="B20">
        <v>105</v>
      </c>
      <c r="C20" t="s">
        <v>557</v>
      </c>
      <c r="D20" t="s">
        <v>2581</v>
      </c>
      <c r="E20" t="s">
        <v>2583</v>
      </c>
      <c r="F20" s="451">
        <v>46204</v>
      </c>
      <c r="G20" s="451">
        <v>46205</v>
      </c>
      <c r="H20" s="451">
        <v>46232</v>
      </c>
      <c r="I20">
        <v>228</v>
      </c>
      <c r="J20">
        <v>201</v>
      </c>
      <c r="K20">
        <v>228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465</v>
      </c>
    </row>
    <row r="21" spans="1:17" x14ac:dyDescent="0.3">
      <c r="A21">
        <v>242732</v>
      </c>
      <c r="B21">
        <v>105</v>
      </c>
      <c r="C21" t="s">
        <v>557</v>
      </c>
      <c r="D21" t="s">
        <v>2581</v>
      </c>
      <c r="E21" t="s">
        <v>2584</v>
      </c>
      <c r="F21" s="451">
        <v>46203</v>
      </c>
      <c r="G21" s="451">
        <v>46204</v>
      </c>
      <c r="H21" s="451">
        <v>46231</v>
      </c>
      <c r="I21">
        <v>545.29999999999995</v>
      </c>
      <c r="J21">
        <v>545.29999999999995</v>
      </c>
      <c r="K21">
        <v>545.29999999999995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465</v>
      </c>
    </row>
    <row r="22" spans="1:17" x14ac:dyDescent="0.3">
      <c r="A22">
        <v>242730</v>
      </c>
      <c r="B22">
        <v>105</v>
      </c>
      <c r="C22" t="s">
        <v>557</v>
      </c>
      <c r="D22" t="s">
        <v>2585</v>
      </c>
      <c r="E22" t="s">
        <v>2586</v>
      </c>
      <c r="F22" s="451">
        <v>46201</v>
      </c>
      <c r="G22" s="451">
        <v>46205</v>
      </c>
      <c r="H22" s="451">
        <v>46229</v>
      </c>
      <c r="I22">
        <v>2529.09</v>
      </c>
      <c r="J22">
        <v>2529</v>
      </c>
      <c r="K22">
        <v>2529.09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465</v>
      </c>
    </row>
    <row r="23" spans="1:17" x14ac:dyDescent="0.3">
      <c r="A23">
        <v>242726</v>
      </c>
      <c r="B23">
        <v>105</v>
      </c>
      <c r="C23" t="s">
        <v>557</v>
      </c>
      <c r="D23" t="s">
        <v>2585</v>
      </c>
      <c r="E23" t="s">
        <v>2587</v>
      </c>
      <c r="F23" s="451">
        <v>46188</v>
      </c>
      <c r="G23" s="451">
        <v>46205</v>
      </c>
      <c r="H23" s="451">
        <v>46216</v>
      </c>
      <c r="I23">
        <v>4752.6899999999996</v>
      </c>
      <c r="J23">
        <v>4752.6899999999996</v>
      </c>
      <c r="K23">
        <v>4752.6899999999996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465</v>
      </c>
    </row>
    <row r="24" spans="1:17" x14ac:dyDescent="0.3">
      <c r="A24">
        <v>242724</v>
      </c>
      <c r="B24">
        <v>105</v>
      </c>
      <c r="C24" t="s">
        <v>557</v>
      </c>
      <c r="D24" t="s">
        <v>2588</v>
      </c>
      <c r="E24" t="s">
        <v>2589</v>
      </c>
      <c r="F24" s="451">
        <v>46202</v>
      </c>
      <c r="G24" s="451">
        <v>46204</v>
      </c>
      <c r="H24" s="451">
        <v>46230</v>
      </c>
      <c r="I24">
        <v>419.7</v>
      </c>
      <c r="J24">
        <v>419.7</v>
      </c>
      <c r="K24">
        <v>419.7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465</v>
      </c>
    </row>
    <row r="25" spans="1:17" x14ac:dyDescent="0.3">
      <c r="A25">
        <v>242721</v>
      </c>
      <c r="B25">
        <v>105</v>
      </c>
      <c r="C25" t="s">
        <v>557</v>
      </c>
      <c r="D25" t="s">
        <v>2590</v>
      </c>
      <c r="E25" t="s">
        <v>2591</v>
      </c>
      <c r="F25" s="451">
        <v>46203</v>
      </c>
      <c r="G25" s="451">
        <v>46204</v>
      </c>
      <c r="H25" s="451">
        <v>46234</v>
      </c>
      <c r="I25">
        <v>5781.45</v>
      </c>
      <c r="J25">
        <v>5998.65</v>
      </c>
      <c r="K25">
        <v>0</v>
      </c>
      <c r="L25">
        <v>5781.45</v>
      </c>
      <c r="M25">
        <v>0</v>
      </c>
      <c r="N25">
        <v>0</v>
      </c>
      <c r="O25">
        <v>0</v>
      </c>
      <c r="P25">
        <v>0</v>
      </c>
      <c r="Q25" t="s">
        <v>465</v>
      </c>
    </row>
    <row r="26" spans="1:17" x14ac:dyDescent="0.3">
      <c r="A26">
        <v>242310</v>
      </c>
      <c r="B26">
        <v>105</v>
      </c>
      <c r="C26" t="s">
        <v>557</v>
      </c>
      <c r="D26" t="s">
        <v>2563</v>
      </c>
      <c r="E26" t="s">
        <v>2592</v>
      </c>
      <c r="F26" s="451">
        <v>46202</v>
      </c>
      <c r="G26" s="451">
        <v>46204</v>
      </c>
      <c r="H26" s="451">
        <v>46230</v>
      </c>
      <c r="I26">
        <v>159.72</v>
      </c>
      <c r="J26">
        <v>159.72</v>
      </c>
      <c r="K26">
        <v>159.72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465</v>
      </c>
    </row>
    <row r="27" spans="1:17" x14ac:dyDescent="0.3">
      <c r="A27">
        <v>242309</v>
      </c>
      <c r="B27">
        <v>105</v>
      </c>
      <c r="C27" t="s">
        <v>557</v>
      </c>
      <c r="D27" t="s">
        <v>2593</v>
      </c>
      <c r="E27" t="s">
        <v>2594</v>
      </c>
      <c r="F27" s="451">
        <v>46199</v>
      </c>
      <c r="G27" s="451">
        <v>46204</v>
      </c>
      <c r="H27" s="451">
        <v>46227</v>
      </c>
      <c r="I27">
        <v>826.8</v>
      </c>
      <c r="J27">
        <v>826.8</v>
      </c>
      <c r="K27">
        <v>826.8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465</v>
      </c>
    </row>
    <row r="28" spans="1:17" x14ac:dyDescent="0.3">
      <c r="A28">
        <v>242307</v>
      </c>
      <c r="B28">
        <v>105</v>
      </c>
      <c r="C28" t="s">
        <v>557</v>
      </c>
      <c r="D28" t="s">
        <v>2595</v>
      </c>
      <c r="E28" t="s">
        <v>2596</v>
      </c>
      <c r="F28" s="451">
        <v>46202</v>
      </c>
      <c r="G28" s="451">
        <v>46204</v>
      </c>
      <c r="H28" s="451">
        <v>46223</v>
      </c>
      <c r="I28">
        <v>4319.92</v>
      </c>
      <c r="J28">
        <v>4319.92</v>
      </c>
      <c r="K28">
        <v>4319.92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465</v>
      </c>
    </row>
    <row r="29" spans="1:17" x14ac:dyDescent="0.3">
      <c r="A29">
        <v>242306</v>
      </c>
      <c r="B29">
        <v>105</v>
      </c>
      <c r="C29" t="s">
        <v>557</v>
      </c>
      <c r="D29" t="s">
        <v>2597</v>
      </c>
      <c r="E29" t="s">
        <v>2598</v>
      </c>
      <c r="F29" s="451">
        <v>46203</v>
      </c>
      <c r="G29" s="451">
        <v>46204</v>
      </c>
      <c r="H29" s="451">
        <v>46231</v>
      </c>
      <c r="I29">
        <v>943</v>
      </c>
      <c r="J29">
        <v>943</v>
      </c>
      <c r="K29">
        <v>943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465</v>
      </c>
    </row>
    <row r="30" spans="1:17" x14ac:dyDescent="0.3">
      <c r="A30">
        <v>242305</v>
      </c>
      <c r="B30">
        <v>105</v>
      </c>
      <c r="C30" t="s">
        <v>557</v>
      </c>
      <c r="D30" t="s">
        <v>2597</v>
      </c>
      <c r="E30" t="s">
        <v>2599</v>
      </c>
      <c r="F30" s="451">
        <v>46188</v>
      </c>
      <c r="G30" s="451">
        <v>46199</v>
      </c>
      <c r="H30" s="451">
        <v>46216</v>
      </c>
      <c r="I30">
        <v>4586.91</v>
      </c>
      <c r="J30">
        <v>4586.91</v>
      </c>
      <c r="K30">
        <v>4586.91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464</v>
      </c>
    </row>
    <row r="31" spans="1:17" x14ac:dyDescent="0.3">
      <c r="A31">
        <v>242304</v>
      </c>
      <c r="B31">
        <v>105</v>
      </c>
      <c r="C31" t="s">
        <v>557</v>
      </c>
      <c r="D31" t="s">
        <v>2600</v>
      </c>
      <c r="E31" t="s">
        <v>2601</v>
      </c>
      <c r="F31" s="451">
        <v>46203</v>
      </c>
      <c r="G31" s="451">
        <v>46204</v>
      </c>
      <c r="H31" s="451">
        <v>46231</v>
      </c>
      <c r="I31">
        <v>177.91</v>
      </c>
      <c r="J31">
        <v>177.91</v>
      </c>
      <c r="K31">
        <v>177.91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465</v>
      </c>
    </row>
    <row r="32" spans="1:17" x14ac:dyDescent="0.3">
      <c r="A32">
        <v>242303</v>
      </c>
      <c r="B32">
        <v>105</v>
      </c>
      <c r="C32" t="s">
        <v>557</v>
      </c>
      <c r="D32" t="s">
        <v>2593</v>
      </c>
      <c r="E32" t="s">
        <v>2602</v>
      </c>
      <c r="F32" s="451">
        <v>46198</v>
      </c>
      <c r="G32" s="451">
        <v>46204</v>
      </c>
      <c r="H32" s="451">
        <v>46226</v>
      </c>
      <c r="I32">
        <v>750</v>
      </c>
      <c r="J32">
        <v>750</v>
      </c>
      <c r="K32">
        <v>750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465</v>
      </c>
    </row>
    <row r="33" spans="1:17" x14ac:dyDescent="0.3">
      <c r="A33">
        <v>242302</v>
      </c>
      <c r="B33">
        <v>105</v>
      </c>
      <c r="C33" t="s">
        <v>557</v>
      </c>
      <c r="D33" t="s">
        <v>2603</v>
      </c>
      <c r="E33" t="s">
        <v>2604</v>
      </c>
      <c r="F33" s="451">
        <v>46203</v>
      </c>
      <c r="G33" s="451">
        <v>46204</v>
      </c>
      <c r="H33" s="451">
        <v>46218</v>
      </c>
      <c r="I33">
        <v>1767.14</v>
      </c>
      <c r="J33">
        <v>1767.12</v>
      </c>
      <c r="K33">
        <v>1767.14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465</v>
      </c>
    </row>
    <row r="34" spans="1:17" x14ac:dyDescent="0.3">
      <c r="A34">
        <v>242300</v>
      </c>
      <c r="B34">
        <v>105</v>
      </c>
      <c r="C34" t="s">
        <v>557</v>
      </c>
      <c r="D34" t="s">
        <v>2605</v>
      </c>
      <c r="E34" t="s">
        <v>2606</v>
      </c>
      <c r="F34" s="451">
        <v>46199</v>
      </c>
      <c r="G34" s="451">
        <v>46204</v>
      </c>
      <c r="H34" s="451">
        <v>46227</v>
      </c>
      <c r="I34">
        <v>1092.6199999999999</v>
      </c>
      <c r="J34">
        <v>815.4</v>
      </c>
      <c r="K34">
        <v>1092.6199999999999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465</v>
      </c>
    </row>
    <row r="35" spans="1:17" x14ac:dyDescent="0.3">
      <c r="A35">
        <v>242299</v>
      </c>
      <c r="B35">
        <v>105</v>
      </c>
      <c r="C35" t="s">
        <v>557</v>
      </c>
      <c r="D35" t="s">
        <v>2607</v>
      </c>
      <c r="E35" t="s">
        <v>2608</v>
      </c>
      <c r="F35" s="451">
        <v>46202</v>
      </c>
      <c r="G35" s="451">
        <v>46204</v>
      </c>
      <c r="H35" s="451">
        <v>46230</v>
      </c>
      <c r="I35">
        <v>1590.03</v>
      </c>
      <c r="J35">
        <v>1590.03</v>
      </c>
      <c r="K35">
        <v>1590.03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465</v>
      </c>
    </row>
    <row r="36" spans="1:17" x14ac:dyDescent="0.3">
      <c r="A36">
        <v>242298</v>
      </c>
      <c r="B36">
        <v>105</v>
      </c>
      <c r="C36" t="s">
        <v>557</v>
      </c>
      <c r="D36" t="s">
        <v>2579</v>
      </c>
      <c r="E36" t="s">
        <v>2609</v>
      </c>
      <c r="F36" s="451">
        <v>46202</v>
      </c>
      <c r="G36" s="451">
        <v>46204</v>
      </c>
      <c r="H36" s="451">
        <v>46230</v>
      </c>
      <c r="I36">
        <v>291.8</v>
      </c>
      <c r="J36">
        <v>291.8</v>
      </c>
      <c r="K36">
        <v>291.8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465</v>
      </c>
    </row>
    <row r="37" spans="1:17" x14ac:dyDescent="0.3">
      <c r="A37">
        <v>242297</v>
      </c>
      <c r="B37">
        <v>105</v>
      </c>
      <c r="C37" t="s">
        <v>557</v>
      </c>
      <c r="D37" t="s">
        <v>2610</v>
      </c>
      <c r="E37" t="s">
        <v>2611</v>
      </c>
      <c r="F37" s="451">
        <v>46202</v>
      </c>
      <c r="G37" s="451">
        <v>46204</v>
      </c>
      <c r="H37" s="451">
        <v>46230</v>
      </c>
      <c r="I37">
        <v>403.14</v>
      </c>
      <c r="J37">
        <v>403.14</v>
      </c>
      <c r="K37">
        <v>403.14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465</v>
      </c>
    </row>
    <row r="38" spans="1:17" x14ac:dyDescent="0.3">
      <c r="A38">
        <v>242296</v>
      </c>
      <c r="B38">
        <v>105</v>
      </c>
      <c r="C38" t="s">
        <v>557</v>
      </c>
      <c r="D38" t="s">
        <v>2581</v>
      </c>
      <c r="E38" t="s">
        <v>2612</v>
      </c>
      <c r="F38" s="451">
        <v>46202</v>
      </c>
      <c r="G38" s="451">
        <v>46204</v>
      </c>
      <c r="H38" s="451">
        <v>46230</v>
      </c>
      <c r="I38">
        <v>158.05000000000001</v>
      </c>
      <c r="J38">
        <v>158.05000000000001</v>
      </c>
      <c r="K38">
        <v>158.05000000000001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465</v>
      </c>
    </row>
    <row r="39" spans="1:17" x14ac:dyDescent="0.3">
      <c r="A39">
        <v>242295</v>
      </c>
      <c r="B39">
        <v>105</v>
      </c>
      <c r="C39" t="s">
        <v>557</v>
      </c>
      <c r="D39" t="s">
        <v>2613</v>
      </c>
      <c r="E39" t="s">
        <v>2614</v>
      </c>
      <c r="F39" s="451">
        <v>46202</v>
      </c>
      <c r="G39" s="451">
        <v>46204</v>
      </c>
      <c r="H39" s="451">
        <v>46216</v>
      </c>
      <c r="I39">
        <v>443.62</v>
      </c>
      <c r="J39">
        <v>443.63</v>
      </c>
      <c r="K39">
        <v>443.62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465</v>
      </c>
    </row>
    <row r="40" spans="1:17" x14ac:dyDescent="0.3">
      <c r="A40">
        <v>242294</v>
      </c>
      <c r="B40">
        <v>105</v>
      </c>
      <c r="C40" t="s">
        <v>557</v>
      </c>
      <c r="D40" t="s">
        <v>2615</v>
      </c>
      <c r="E40" t="s">
        <v>2616</v>
      </c>
      <c r="F40" s="451">
        <v>46203</v>
      </c>
      <c r="G40" s="451">
        <v>46204</v>
      </c>
      <c r="H40" s="451">
        <v>46223</v>
      </c>
      <c r="I40">
        <v>123.9</v>
      </c>
      <c r="J40">
        <v>123.9</v>
      </c>
      <c r="K40">
        <v>123.9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465</v>
      </c>
    </row>
    <row r="41" spans="1:17" x14ac:dyDescent="0.3">
      <c r="A41">
        <v>242048</v>
      </c>
      <c r="B41">
        <v>105</v>
      </c>
      <c r="C41" t="s">
        <v>557</v>
      </c>
      <c r="D41" t="s">
        <v>2573</v>
      </c>
      <c r="E41" t="s">
        <v>2617</v>
      </c>
      <c r="F41" s="451">
        <v>46188</v>
      </c>
      <c r="G41" s="451">
        <v>46190</v>
      </c>
      <c r="H41" s="451">
        <v>46216</v>
      </c>
      <c r="I41">
        <v>257.10000000000002</v>
      </c>
      <c r="J41">
        <v>257.10000000000002</v>
      </c>
      <c r="K41">
        <v>0</v>
      </c>
      <c r="L41">
        <v>0</v>
      </c>
      <c r="M41">
        <v>257.10000000000002</v>
      </c>
      <c r="N41">
        <v>0</v>
      </c>
      <c r="O41">
        <v>0</v>
      </c>
      <c r="P41">
        <v>0</v>
      </c>
      <c r="Q41" t="s">
        <v>464</v>
      </c>
    </row>
    <row r="42" spans="1:17" x14ac:dyDescent="0.3">
      <c r="A42">
        <v>242046</v>
      </c>
      <c r="B42">
        <v>105</v>
      </c>
      <c r="C42" t="s">
        <v>557</v>
      </c>
      <c r="D42" t="s">
        <v>2569</v>
      </c>
      <c r="E42" t="s">
        <v>2618</v>
      </c>
      <c r="F42" s="451">
        <v>46182</v>
      </c>
      <c r="G42" s="451">
        <v>46185</v>
      </c>
      <c r="H42" s="451">
        <v>46217</v>
      </c>
      <c r="I42">
        <v>255.6</v>
      </c>
      <c r="J42">
        <v>255.6</v>
      </c>
      <c r="K42">
        <v>0</v>
      </c>
      <c r="L42">
        <v>255.6</v>
      </c>
      <c r="M42">
        <v>0</v>
      </c>
      <c r="N42">
        <v>0</v>
      </c>
      <c r="O42">
        <v>0</v>
      </c>
      <c r="P42">
        <v>0</v>
      </c>
      <c r="Q42" t="s">
        <v>464</v>
      </c>
    </row>
    <row r="43" spans="1:17" x14ac:dyDescent="0.3">
      <c r="A43">
        <v>242045</v>
      </c>
      <c r="B43">
        <v>105</v>
      </c>
      <c r="C43" t="s">
        <v>557</v>
      </c>
      <c r="D43" t="s">
        <v>2548</v>
      </c>
      <c r="E43" t="s">
        <v>2619</v>
      </c>
      <c r="F43" s="451">
        <v>46188</v>
      </c>
      <c r="G43" s="451">
        <v>46192</v>
      </c>
      <c r="H43" s="451">
        <v>46223</v>
      </c>
      <c r="I43">
        <v>349.84</v>
      </c>
      <c r="J43">
        <v>206</v>
      </c>
      <c r="K43">
        <v>349.84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464</v>
      </c>
    </row>
    <row r="44" spans="1:17" x14ac:dyDescent="0.3">
      <c r="A44">
        <v>242044</v>
      </c>
      <c r="B44">
        <v>105</v>
      </c>
      <c r="C44" t="s">
        <v>557</v>
      </c>
      <c r="D44" t="s">
        <v>2573</v>
      </c>
      <c r="E44" t="s">
        <v>2620</v>
      </c>
      <c r="F44" s="451">
        <v>46192</v>
      </c>
      <c r="G44" s="451">
        <v>46195</v>
      </c>
      <c r="H44" s="451">
        <v>46220</v>
      </c>
      <c r="I44">
        <v>257.10000000000002</v>
      </c>
      <c r="J44">
        <v>257.10000000000002</v>
      </c>
      <c r="K44">
        <v>0</v>
      </c>
      <c r="L44">
        <v>0</v>
      </c>
      <c r="M44">
        <v>257.10000000000002</v>
      </c>
      <c r="N44">
        <v>0</v>
      </c>
      <c r="O44">
        <v>0</v>
      </c>
      <c r="P44">
        <v>0</v>
      </c>
      <c r="Q44" t="s">
        <v>464</v>
      </c>
    </row>
    <row r="45" spans="1:17" x14ac:dyDescent="0.3">
      <c r="A45">
        <v>242042</v>
      </c>
      <c r="B45">
        <v>105</v>
      </c>
      <c r="C45" t="s">
        <v>557</v>
      </c>
      <c r="D45" t="s">
        <v>2569</v>
      </c>
      <c r="E45" t="s">
        <v>2621</v>
      </c>
      <c r="F45" s="451">
        <v>46188</v>
      </c>
      <c r="G45" s="451">
        <v>46190</v>
      </c>
      <c r="H45" s="451">
        <v>46224</v>
      </c>
      <c r="I45">
        <v>283.2</v>
      </c>
      <c r="J45">
        <v>283.2</v>
      </c>
      <c r="K45">
        <v>0</v>
      </c>
      <c r="L45">
        <v>283.2</v>
      </c>
      <c r="M45">
        <v>0</v>
      </c>
      <c r="N45">
        <v>0</v>
      </c>
      <c r="O45">
        <v>0</v>
      </c>
      <c r="P45">
        <v>0</v>
      </c>
      <c r="Q45" t="s">
        <v>464</v>
      </c>
    </row>
    <row r="46" spans="1:17" x14ac:dyDescent="0.3">
      <c r="A46">
        <v>242041</v>
      </c>
      <c r="B46">
        <v>105</v>
      </c>
      <c r="C46" t="s">
        <v>557</v>
      </c>
      <c r="D46" t="s">
        <v>2571</v>
      </c>
      <c r="E46" t="s">
        <v>2622</v>
      </c>
      <c r="F46" s="451">
        <v>46196</v>
      </c>
      <c r="G46" s="451">
        <v>46198</v>
      </c>
      <c r="H46" s="451">
        <v>46217</v>
      </c>
      <c r="I46">
        <v>1294.72</v>
      </c>
      <c r="J46">
        <v>913.49</v>
      </c>
      <c r="K46">
        <v>1294.72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464</v>
      </c>
    </row>
    <row r="47" spans="1:17" x14ac:dyDescent="0.3">
      <c r="A47">
        <v>242039</v>
      </c>
      <c r="B47">
        <v>105</v>
      </c>
      <c r="C47" t="s">
        <v>557</v>
      </c>
      <c r="D47" t="s">
        <v>2548</v>
      </c>
      <c r="E47" t="s">
        <v>2623</v>
      </c>
      <c r="F47" s="451">
        <v>46189</v>
      </c>
      <c r="G47" s="451">
        <v>46192</v>
      </c>
      <c r="H47" s="451">
        <v>46223</v>
      </c>
      <c r="I47">
        <v>444.77</v>
      </c>
      <c r="J47">
        <v>607.66999999999996</v>
      </c>
      <c r="K47">
        <v>0</v>
      </c>
      <c r="L47">
        <v>0</v>
      </c>
      <c r="M47">
        <v>444.77</v>
      </c>
      <c r="N47">
        <v>0</v>
      </c>
      <c r="O47">
        <v>0</v>
      </c>
      <c r="P47">
        <v>0</v>
      </c>
      <c r="Q47" t="s">
        <v>464</v>
      </c>
    </row>
    <row r="48" spans="1:17" x14ac:dyDescent="0.3">
      <c r="A48">
        <v>242038</v>
      </c>
      <c r="B48">
        <v>105</v>
      </c>
      <c r="C48" t="s">
        <v>557</v>
      </c>
      <c r="D48" t="s">
        <v>2548</v>
      </c>
      <c r="E48" t="s">
        <v>2624</v>
      </c>
      <c r="F48" s="451">
        <v>46195</v>
      </c>
      <c r="G48" s="451">
        <v>46197</v>
      </c>
      <c r="H48" s="451">
        <v>46230</v>
      </c>
      <c r="I48">
        <v>392</v>
      </c>
      <c r="J48">
        <v>392</v>
      </c>
      <c r="K48">
        <v>0</v>
      </c>
      <c r="L48">
        <v>0</v>
      </c>
      <c r="M48">
        <v>392</v>
      </c>
      <c r="N48">
        <v>0</v>
      </c>
      <c r="O48">
        <v>0</v>
      </c>
      <c r="P48">
        <v>0</v>
      </c>
      <c r="Q48" t="s">
        <v>464</v>
      </c>
    </row>
    <row r="49" spans="1:17" x14ac:dyDescent="0.3">
      <c r="A49">
        <v>242037</v>
      </c>
      <c r="B49">
        <v>105</v>
      </c>
      <c r="C49" t="s">
        <v>557</v>
      </c>
      <c r="D49" t="s">
        <v>2605</v>
      </c>
      <c r="E49" t="s">
        <v>2625</v>
      </c>
      <c r="F49" s="451">
        <v>46195</v>
      </c>
      <c r="G49" s="451">
        <v>46197</v>
      </c>
      <c r="H49" s="451">
        <v>46224</v>
      </c>
      <c r="I49">
        <v>551.97</v>
      </c>
      <c r="J49">
        <v>404.37</v>
      </c>
      <c r="K49">
        <v>551.97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464</v>
      </c>
    </row>
    <row r="50" spans="1:17" x14ac:dyDescent="0.3">
      <c r="A50">
        <v>242036</v>
      </c>
      <c r="B50">
        <v>105</v>
      </c>
      <c r="C50" t="s">
        <v>557</v>
      </c>
      <c r="D50" t="s">
        <v>2579</v>
      </c>
      <c r="E50" t="s">
        <v>2626</v>
      </c>
      <c r="F50" s="451">
        <v>46198</v>
      </c>
      <c r="G50" s="451">
        <v>46198</v>
      </c>
      <c r="H50" s="451">
        <v>46225</v>
      </c>
      <c r="I50">
        <v>125.32</v>
      </c>
      <c r="J50">
        <v>125.32</v>
      </c>
      <c r="K50">
        <v>125.32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464</v>
      </c>
    </row>
    <row r="51" spans="1:17" x14ac:dyDescent="0.3">
      <c r="A51">
        <v>242035</v>
      </c>
      <c r="B51">
        <v>105</v>
      </c>
      <c r="C51" t="s">
        <v>557</v>
      </c>
      <c r="D51" t="s">
        <v>2627</v>
      </c>
      <c r="E51" t="s">
        <v>2628</v>
      </c>
      <c r="F51" s="451">
        <v>46195</v>
      </c>
      <c r="G51" s="451">
        <v>46197</v>
      </c>
      <c r="H51" s="451">
        <v>46216</v>
      </c>
      <c r="I51">
        <v>318.10000000000002</v>
      </c>
      <c r="J51">
        <v>228.6</v>
      </c>
      <c r="K51">
        <v>318.10000000000002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464</v>
      </c>
    </row>
    <row r="52" spans="1:17" x14ac:dyDescent="0.3">
      <c r="A52">
        <v>242034</v>
      </c>
      <c r="B52">
        <v>105</v>
      </c>
      <c r="C52" t="s">
        <v>557</v>
      </c>
      <c r="D52" t="s">
        <v>2569</v>
      </c>
      <c r="E52" t="s">
        <v>2629</v>
      </c>
      <c r="F52" s="451">
        <v>46195</v>
      </c>
      <c r="G52" s="451">
        <v>46198</v>
      </c>
      <c r="H52" s="451">
        <v>46231</v>
      </c>
      <c r="I52">
        <v>424.8</v>
      </c>
      <c r="J52">
        <v>424.8</v>
      </c>
      <c r="K52">
        <v>0</v>
      </c>
      <c r="L52">
        <v>424.8</v>
      </c>
      <c r="M52">
        <v>0</v>
      </c>
      <c r="N52">
        <v>0</v>
      </c>
      <c r="O52">
        <v>0</v>
      </c>
      <c r="P52">
        <v>0</v>
      </c>
      <c r="Q52" t="s">
        <v>464</v>
      </c>
    </row>
    <row r="53" spans="1:17" x14ac:dyDescent="0.3">
      <c r="A53">
        <v>242032</v>
      </c>
      <c r="B53">
        <v>105</v>
      </c>
      <c r="C53" t="s">
        <v>557</v>
      </c>
      <c r="D53" t="s">
        <v>2579</v>
      </c>
      <c r="E53" t="s">
        <v>2630</v>
      </c>
      <c r="F53" s="451">
        <v>46195</v>
      </c>
      <c r="G53" s="451">
        <v>46198</v>
      </c>
      <c r="H53" s="451">
        <v>46223</v>
      </c>
      <c r="I53">
        <v>432.04</v>
      </c>
      <c r="J53">
        <v>432.04</v>
      </c>
      <c r="K53">
        <v>432.04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464</v>
      </c>
    </row>
    <row r="54" spans="1:17" x14ac:dyDescent="0.3">
      <c r="A54">
        <v>242028</v>
      </c>
      <c r="B54">
        <v>105</v>
      </c>
      <c r="C54" t="s">
        <v>557</v>
      </c>
      <c r="D54" t="s">
        <v>2581</v>
      </c>
      <c r="E54" t="s">
        <v>2631</v>
      </c>
      <c r="F54" s="451">
        <v>46198</v>
      </c>
      <c r="G54" s="451">
        <v>46199</v>
      </c>
      <c r="H54" s="451">
        <v>46226</v>
      </c>
      <c r="I54">
        <v>1180.95</v>
      </c>
      <c r="J54">
        <v>1180.95</v>
      </c>
      <c r="K54">
        <v>1180.95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464</v>
      </c>
    </row>
    <row r="55" spans="1:17" x14ac:dyDescent="0.3">
      <c r="A55">
        <v>242027</v>
      </c>
      <c r="B55">
        <v>105</v>
      </c>
      <c r="C55" t="s">
        <v>557</v>
      </c>
      <c r="D55" t="s">
        <v>2581</v>
      </c>
      <c r="E55" t="s">
        <v>2632</v>
      </c>
      <c r="F55" s="451">
        <v>46200</v>
      </c>
      <c r="G55" s="451">
        <v>46198</v>
      </c>
      <c r="H55" s="451">
        <v>46225</v>
      </c>
      <c r="I55">
        <v>429.75</v>
      </c>
      <c r="J55">
        <v>429.75</v>
      </c>
      <c r="K55">
        <v>429.75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464</v>
      </c>
    </row>
    <row r="56" spans="1:17" x14ac:dyDescent="0.3">
      <c r="A56">
        <v>242026</v>
      </c>
      <c r="B56">
        <v>105</v>
      </c>
      <c r="C56" t="s">
        <v>557</v>
      </c>
      <c r="D56" t="s">
        <v>2581</v>
      </c>
      <c r="E56" t="s">
        <v>2633</v>
      </c>
      <c r="F56" s="451">
        <v>46197</v>
      </c>
      <c r="G56" s="451">
        <v>46197</v>
      </c>
      <c r="H56" s="451">
        <v>46224</v>
      </c>
      <c r="I56">
        <v>70.5</v>
      </c>
      <c r="J56">
        <v>70.5</v>
      </c>
      <c r="K56">
        <v>70.5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464</v>
      </c>
    </row>
    <row r="57" spans="1:17" x14ac:dyDescent="0.3">
      <c r="A57">
        <v>242025</v>
      </c>
      <c r="B57">
        <v>105</v>
      </c>
      <c r="C57" t="s">
        <v>557</v>
      </c>
      <c r="D57" t="s">
        <v>2581</v>
      </c>
      <c r="E57" t="s">
        <v>2634</v>
      </c>
      <c r="F57" s="451">
        <v>46195</v>
      </c>
      <c r="G57" s="451">
        <v>46197</v>
      </c>
      <c r="H57" s="451">
        <v>46223</v>
      </c>
      <c r="I57">
        <v>236.75</v>
      </c>
      <c r="J57">
        <v>236.75</v>
      </c>
      <c r="K57">
        <v>236.75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464</v>
      </c>
    </row>
    <row r="58" spans="1:17" x14ac:dyDescent="0.3">
      <c r="A58">
        <v>242022</v>
      </c>
      <c r="B58">
        <v>105</v>
      </c>
      <c r="C58" t="s">
        <v>557</v>
      </c>
      <c r="D58" t="s">
        <v>2581</v>
      </c>
      <c r="E58" t="s">
        <v>2635</v>
      </c>
      <c r="F58" s="451">
        <v>46192</v>
      </c>
      <c r="G58" s="451">
        <v>46195</v>
      </c>
      <c r="H58" s="451">
        <v>46220</v>
      </c>
      <c r="I58">
        <v>128.5</v>
      </c>
      <c r="J58">
        <v>13.5</v>
      </c>
      <c r="K58">
        <v>128.5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464</v>
      </c>
    </row>
    <row r="59" spans="1:17" x14ac:dyDescent="0.3">
      <c r="A59">
        <v>242018</v>
      </c>
      <c r="B59">
        <v>105</v>
      </c>
      <c r="C59" t="s">
        <v>557</v>
      </c>
      <c r="D59" t="s">
        <v>2581</v>
      </c>
      <c r="E59" t="s">
        <v>2636</v>
      </c>
      <c r="F59" s="451">
        <v>46191</v>
      </c>
      <c r="G59" s="451">
        <v>46192</v>
      </c>
      <c r="H59" s="451">
        <v>46219</v>
      </c>
      <c r="I59">
        <v>522.1</v>
      </c>
      <c r="J59">
        <v>522.1</v>
      </c>
      <c r="K59">
        <v>522.1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464</v>
      </c>
    </row>
    <row r="60" spans="1:17" x14ac:dyDescent="0.3">
      <c r="A60">
        <v>242016</v>
      </c>
      <c r="B60">
        <v>105</v>
      </c>
      <c r="C60" t="s">
        <v>557</v>
      </c>
      <c r="D60" t="s">
        <v>2637</v>
      </c>
      <c r="E60" t="s">
        <v>2638</v>
      </c>
      <c r="F60" s="451">
        <v>46195</v>
      </c>
      <c r="G60" s="451">
        <v>46197</v>
      </c>
      <c r="H60" s="451">
        <v>46223</v>
      </c>
      <c r="I60">
        <v>394.8</v>
      </c>
      <c r="J60">
        <v>394.8</v>
      </c>
      <c r="K60">
        <v>0</v>
      </c>
      <c r="L60">
        <v>394.8</v>
      </c>
      <c r="M60">
        <v>0</v>
      </c>
      <c r="N60">
        <v>0</v>
      </c>
      <c r="O60">
        <v>0</v>
      </c>
      <c r="P60">
        <v>0</v>
      </c>
      <c r="Q60" t="s">
        <v>464</v>
      </c>
    </row>
    <row r="61" spans="1:17" x14ac:dyDescent="0.3">
      <c r="A61">
        <v>242012</v>
      </c>
      <c r="B61">
        <v>105</v>
      </c>
      <c r="C61" t="s">
        <v>557</v>
      </c>
      <c r="D61" t="s">
        <v>2585</v>
      </c>
      <c r="E61" t="s">
        <v>2639</v>
      </c>
      <c r="F61" s="451">
        <v>46196</v>
      </c>
      <c r="G61" s="451">
        <v>46198</v>
      </c>
      <c r="H61" s="451">
        <v>46224</v>
      </c>
      <c r="I61">
        <v>2697.84</v>
      </c>
      <c r="J61">
        <v>2697.84</v>
      </c>
      <c r="K61">
        <v>2697.84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464</v>
      </c>
    </row>
    <row r="62" spans="1:17" x14ac:dyDescent="0.3">
      <c r="A62">
        <v>242009</v>
      </c>
      <c r="B62">
        <v>105</v>
      </c>
      <c r="C62" t="s">
        <v>557</v>
      </c>
      <c r="D62" t="s">
        <v>2607</v>
      </c>
      <c r="E62" t="s">
        <v>2640</v>
      </c>
      <c r="F62" s="451">
        <v>46195</v>
      </c>
      <c r="G62" s="451">
        <v>46198</v>
      </c>
      <c r="H62" s="451">
        <v>46223</v>
      </c>
      <c r="I62">
        <v>1842.76</v>
      </c>
      <c r="J62">
        <v>1842.76</v>
      </c>
      <c r="K62">
        <v>1842.76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464</v>
      </c>
    </row>
    <row r="63" spans="1:17" x14ac:dyDescent="0.3">
      <c r="A63">
        <v>242007</v>
      </c>
      <c r="B63">
        <v>105</v>
      </c>
      <c r="C63" t="s">
        <v>557</v>
      </c>
      <c r="D63" t="s">
        <v>2588</v>
      </c>
      <c r="E63" t="s">
        <v>2641</v>
      </c>
      <c r="F63" s="451">
        <v>46195</v>
      </c>
      <c r="G63" s="451">
        <v>46197</v>
      </c>
      <c r="H63" s="451">
        <v>46223</v>
      </c>
      <c r="I63">
        <v>405.6</v>
      </c>
      <c r="J63">
        <v>405.6</v>
      </c>
      <c r="K63">
        <v>405.6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464</v>
      </c>
    </row>
    <row r="64" spans="1:17" x14ac:dyDescent="0.3">
      <c r="A64">
        <v>241984</v>
      </c>
      <c r="B64">
        <v>105</v>
      </c>
      <c r="C64" t="s">
        <v>557</v>
      </c>
      <c r="D64" t="s">
        <v>2642</v>
      </c>
      <c r="E64" t="s">
        <v>2643</v>
      </c>
      <c r="F64" s="451">
        <v>46195</v>
      </c>
      <c r="G64" s="451">
        <v>46197</v>
      </c>
      <c r="H64" s="451">
        <v>46223</v>
      </c>
      <c r="I64">
        <v>280.98</v>
      </c>
      <c r="J64">
        <v>280.98</v>
      </c>
      <c r="K64">
        <v>0</v>
      </c>
      <c r="L64">
        <v>280.98</v>
      </c>
      <c r="M64">
        <v>0</v>
      </c>
      <c r="N64">
        <v>0</v>
      </c>
      <c r="O64">
        <v>0</v>
      </c>
      <c r="P64">
        <v>0</v>
      </c>
      <c r="Q64" t="s">
        <v>464</v>
      </c>
    </row>
    <row r="65" spans="1:17" x14ac:dyDescent="0.3">
      <c r="A65">
        <v>241983</v>
      </c>
      <c r="B65">
        <v>105</v>
      </c>
      <c r="C65" t="s">
        <v>557</v>
      </c>
      <c r="D65" t="s">
        <v>2644</v>
      </c>
      <c r="E65" t="s">
        <v>2645</v>
      </c>
      <c r="F65" s="451">
        <v>46195</v>
      </c>
      <c r="G65" s="451">
        <v>46197</v>
      </c>
      <c r="H65" s="451">
        <v>46230</v>
      </c>
      <c r="I65">
        <v>258.62</v>
      </c>
      <c r="J65">
        <v>161.82</v>
      </c>
      <c r="K65">
        <v>258.62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464</v>
      </c>
    </row>
    <row r="66" spans="1:17" x14ac:dyDescent="0.3">
      <c r="A66">
        <v>241981</v>
      </c>
      <c r="B66">
        <v>105</v>
      </c>
      <c r="C66" t="s">
        <v>557</v>
      </c>
      <c r="D66" t="s">
        <v>2590</v>
      </c>
      <c r="E66" t="s">
        <v>2646</v>
      </c>
      <c r="F66" s="451">
        <v>46196</v>
      </c>
      <c r="G66" s="451">
        <v>46197</v>
      </c>
      <c r="H66" s="451">
        <v>46226</v>
      </c>
      <c r="I66">
        <v>3832.53</v>
      </c>
      <c r="J66">
        <v>3226.42</v>
      </c>
      <c r="K66">
        <v>0</v>
      </c>
      <c r="L66">
        <v>3832.53</v>
      </c>
      <c r="M66">
        <v>0</v>
      </c>
      <c r="N66">
        <v>0</v>
      </c>
      <c r="O66">
        <v>0</v>
      </c>
      <c r="P66">
        <v>0</v>
      </c>
      <c r="Q66" t="s">
        <v>464</v>
      </c>
    </row>
    <row r="67" spans="1:17" x14ac:dyDescent="0.3">
      <c r="A67">
        <v>241979</v>
      </c>
      <c r="B67">
        <v>105</v>
      </c>
      <c r="C67" t="s">
        <v>557</v>
      </c>
      <c r="D67" t="s">
        <v>2550</v>
      </c>
      <c r="E67" t="s">
        <v>2647</v>
      </c>
      <c r="F67" s="451">
        <v>46188</v>
      </c>
      <c r="G67" s="451">
        <v>46190</v>
      </c>
      <c r="H67" s="451">
        <v>46218</v>
      </c>
      <c r="I67">
        <v>820.31</v>
      </c>
      <c r="J67">
        <v>770.25</v>
      </c>
      <c r="K67">
        <v>0</v>
      </c>
      <c r="L67">
        <v>820.31</v>
      </c>
      <c r="M67">
        <v>0</v>
      </c>
      <c r="N67">
        <v>0</v>
      </c>
      <c r="O67">
        <v>0</v>
      </c>
      <c r="P67">
        <v>0</v>
      </c>
      <c r="Q67" t="s">
        <v>464</v>
      </c>
    </row>
    <row r="68" spans="1:17" x14ac:dyDescent="0.3">
      <c r="A68">
        <v>241978</v>
      </c>
      <c r="B68">
        <v>105</v>
      </c>
      <c r="C68" t="s">
        <v>557</v>
      </c>
      <c r="D68" t="s">
        <v>2550</v>
      </c>
      <c r="E68" t="s">
        <v>2648</v>
      </c>
      <c r="F68" s="451">
        <v>46182</v>
      </c>
      <c r="G68" s="451">
        <v>46183</v>
      </c>
      <c r="H68" s="451">
        <v>46212</v>
      </c>
      <c r="I68">
        <v>968.47</v>
      </c>
      <c r="J68">
        <v>909.35</v>
      </c>
      <c r="K68">
        <v>0</v>
      </c>
      <c r="L68">
        <v>968.47</v>
      </c>
      <c r="M68">
        <v>0</v>
      </c>
      <c r="N68">
        <v>0</v>
      </c>
      <c r="O68">
        <v>0</v>
      </c>
      <c r="P68">
        <v>0</v>
      </c>
      <c r="Q68" t="s">
        <v>464</v>
      </c>
    </row>
    <row r="69" spans="1:17" x14ac:dyDescent="0.3">
      <c r="A69">
        <v>241977</v>
      </c>
      <c r="B69">
        <v>105</v>
      </c>
      <c r="C69" t="s">
        <v>557</v>
      </c>
      <c r="D69" t="s">
        <v>2597</v>
      </c>
      <c r="E69" t="s">
        <v>2649</v>
      </c>
      <c r="F69" s="451">
        <v>46183</v>
      </c>
      <c r="G69" s="451">
        <v>46191</v>
      </c>
      <c r="H69" s="451">
        <v>46211</v>
      </c>
      <c r="I69">
        <v>326.76</v>
      </c>
      <c r="J69">
        <v>326.76</v>
      </c>
      <c r="K69">
        <v>326.76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464</v>
      </c>
    </row>
    <row r="70" spans="1:17" x14ac:dyDescent="0.3">
      <c r="A70">
        <v>241976</v>
      </c>
      <c r="B70">
        <v>105</v>
      </c>
      <c r="C70" t="s">
        <v>557</v>
      </c>
      <c r="D70" t="s">
        <v>2597</v>
      </c>
      <c r="E70" t="s">
        <v>2650</v>
      </c>
      <c r="F70" s="451">
        <v>46195</v>
      </c>
      <c r="G70" s="451">
        <v>46195</v>
      </c>
      <c r="H70" s="451">
        <v>46223</v>
      </c>
      <c r="I70">
        <v>1582.04</v>
      </c>
      <c r="J70">
        <v>1582.04</v>
      </c>
      <c r="K70">
        <v>1582.04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464</v>
      </c>
    </row>
    <row r="71" spans="1:17" x14ac:dyDescent="0.3">
      <c r="A71">
        <v>241975</v>
      </c>
      <c r="B71">
        <v>105</v>
      </c>
      <c r="C71" t="s">
        <v>557</v>
      </c>
      <c r="D71" t="s">
        <v>2552</v>
      </c>
      <c r="E71" t="s">
        <v>2651</v>
      </c>
      <c r="F71" s="451">
        <v>46197</v>
      </c>
      <c r="G71" s="451">
        <v>46198</v>
      </c>
      <c r="H71" s="451">
        <v>46211</v>
      </c>
      <c r="I71">
        <v>262</v>
      </c>
      <c r="J71">
        <v>237</v>
      </c>
      <c r="K71">
        <v>262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464</v>
      </c>
    </row>
    <row r="72" spans="1:17" x14ac:dyDescent="0.3">
      <c r="A72">
        <v>241974</v>
      </c>
      <c r="B72">
        <v>105</v>
      </c>
      <c r="C72" t="s">
        <v>557</v>
      </c>
      <c r="D72" t="s">
        <v>2554</v>
      </c>
      <c r="E72" t="s">
        <v>2652</v>
      </c>
      <c r="F72" s="451">
        <v>46195</v>
      </c>
      <c r="G72" s="451">
        <v>46197</v>
      </c>
      <c r="H72" s="451">
        <v>46211</v>
      </c>
      <c r="I72">
        <v>1269.6300000000001</v>
      </c>
      <c r="J72">
        <v>1224.9100000000001</v>
      </c>
      <c r="K72">
        <v>0</v>
      </c>
      <c r="L72">
        <v>0</v>
      </c>
      <c r="M72">
        <v>746.19</v>
      </c>
      <c r="N72">
        <v>0</v>
      </c>
      <c r="O72">
        <v>72.56</v>
      </c>
      <c r="P72">
        <v>450.88</v>
      </c>
      <c r="Q72" t="s">
        <v>464</v>
      </c>
    </row>
    <row r="73" spans="1:17" x14ac:dyDescent="0.3">
      <c r="A73">
        <v>241973</v>
      </c>
      <c r="B73">
        <v>105</v>
      </c>
      <c r="C73" t="s">
        <v>557</v>
      </c>
      <c r="D73" t="s">
        <v>2653</v>
      </c>
      <c r="E73" t="s">
        <v>2654</v>
      </c>
      <c r="F73" s="451">
        <v>46196</v>
      </c>
      <c r="G73" s="451">
        <v>46198</v>
      </c>
      <c r="H73" s="451">
        <v>46210</v>
      </c>
      <c r="I73">
        <v>378.74</v>
      </c>
      <c r="J73">
        <v>348.74</v>
      </c>
      <c r="K73">
        <v>378.74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464</v>
      </c>
    </row>
    <row r="74" spans="1:17" x14ac:dyDescent="0.3">
      <c r="A74">
        <v>241972</v>
      </c>
      <c r="B74">
        <v>105</v>
      </c>
      <c r="C74" t="s">
        <v>557</v>
      </c>
      <c r="D74" t="s">
        <v>2655</v>
      </c>
      <c r="E74" t="s">
        <v>2656</v>
      </c>
      <c r="F74" s="451">
        <v>46188</v>
      </c>
      <c r="G74" s="451">
        <v>46190</v>
      </c>
      <c r="H74" s="451">
        <v>46216</v>
      </c>
      <c r="I74">
        <v>494</v>
      </c>
      <c r="J74">
        <v>494</v>
      </c>
      <c r="K74">
        <v>0</v>
      </c>
      <c r="L74">
        <v>0</v>
      </c>
      <c r="M74">
        <v>494</v>
      </c>
      <c r="N74">
        <v>0</v>
      </c>
      <c r="O74">
        <v>0</v>
      </c>
      <c r="P74">
        <v>0</v>
      </c>
      <c r="Q74" t="s">
        <v>464</v>
      </c>
    </row>
    <row r="75" spans="1:17" x14ac:dyDescent="0.3">
      <c r="A75">
        <v>241971</v>
      </c>
      <c r="B75">
        <v>105</v>
      </c>
      <c r="C75" t="s">
        <v>557</v>
      </c>
      <c r="D75" t="s">
        <v>2593</v>
      </c>
      <c r="E75" t="s">
        <v>2657</v>
      </c>
      <c r="F75" s="451">
        <v>46185</v>
      </c>
      <c r="G75" s="451">
        <v>46188</v>
      </c>
      <c r="H75" s="451">
        <v>46213</v>
      </c>
      <c r="I75">
        <v>750</v>
      </c>
      <c r="J75">
        <v>750</v>
      </c>
      <c r="K75">
        <v>750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464</v>
      </c>
    </row>
    <row r="76" spans="1:17" x14ac:dyDescent="0.3">
      <c r="A76">
        <v>241970</v>
      </c>
      <c r="B76">
        <v>105</v>
      </c>
      <c r="C76" t="s">
        <v>557</v>
      </c>
      <c r="D76" t="s">
        <v>836</v>
      </c>
      <c r="E76" t="s">
        <v>2658</v>
      </c>
      <c r="F76" s="451">
        <v>46189</v>
      </c>
      <c r="G76" s="451">
        <v>46190</v>
      </c>
      <c r="H76" s="451">
        <v>46216</v>
      </c>
      <c r="I76">
        <v>170</v>
      </c>
      <c r="J76">
        <v>170</v>
      </c>
      <c r="K76">
        <v>0</v>
      </c>
      <c r="L76">
        <v>0</v>
      </c>
      <c r="M76">
        <v>170</v>
      </c>
      <c r="N76">
        <v>0</v>
      </c>
      <c r="O76">
        <v>0</v>
      </c>
      <c r="P76">
        <v>0</v>
      </c>
      <c r="Q76" t="s">
        <v>464</v>
      </c>
    </row>
    <row r="77" spans="1:17" x14ac:dyDescent="0.3">
      <c r="A77">
        <v>241969</v>
      </c>
      <c r="B77">
        <v>105</v>
      </c>
      <c r="C77" t="s">
        <v>557</v>
      </c>
      <c r="D77" t="s">
        <v>2603</v>
      </c>
      <c r="E77" t="s">
        <v>2659</v>
      </c>
      <c r="F77" s="451">
        <v>46196</v>
      </c>
      <c r="G77" s="451">
        <v>46198</v>
      </c>
      <c r="H77" s="451">
        <v>46211</v>
      </c>
      <c r="I77">
        <v>1900.91</v>
      </c>
      <c r="J77">
        <v>1900.91</v>
      </c>
      <c r="K77">
        <v>1900.91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464</v>
      </c>
    </row>
    <row r="78" spans="1:17" x14ac:dyDescent="0.3">
      <c r="A78">
        <v>241968</v>
      </c>
      <c r="B78">
        <v>105</v>
      </c>
      <c r="C78" t="s">
        <v>557</v>
      </c>
      <c r="D78" t="s">
        <v>2613</v>
      </c>
      <c r="E78" t="s">
        <v>2660</v>
      </c>
      <c r="F78" s="451">
        <v>46195</v>
      </c>
      <c r="G78" s="451">
        <v>46197</v>
      </c>
      <c r="H78" s="451">
        <v>46209</v>
      </c>
      <c r="I78">
        <v>411.06</v>
      </c>
      <c r="J78">
        <v>411.06</v>
      </c>
      <c r="K78">
        <v>411.06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464</v>
      </c>
    </row>
    <row r="79" spans="1:17" x14ac:dyDescent="0.3">
      <c r="A79">
        <v>241966</v>
      </c>
      <c r="B79">
        <v>105</v>
      </c>
      <c r="C79" t="s">
        <v>557</v>
      </c>
      <c r="D79" t="s">
        <v>2595</v>
      </c>
      <c r="E79" t="s">
        <v>2661</v>
      </c>
      <c r="F79" s="451">
        <v>46195</v>
      </c>
      <c r="G79" s="451">
        <v>46198</v>
      </c>
      <c r="H79" s="451">
        <v>46216</v>
      </c>
      <c r="I79">
        <v>931.78</v>
      </c>
      <c r="J79">
        <v>931.78</v>
      </c>
      <c r="K79">
        <v>931.78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464</v>
      </c>
    </row>
    <row r="80" spans="1:17" x14ac:dyDescent="0.3">
      <c r="A80">
        <v>241964</v>
      </c>
      <c r="B80">
        <v>105</v>
      </c>
      <c r="C80" t="s">
        <v>557</v>
      </c>
      <c r="D80" t="s">
        <v>2563</v>
      </c>
      <c r="E80" t="s">
        <v>2662</v>
      </c>
      <c r="F80" s="451">
        <v>46198</v>
      </c>
      <c r="G80" s="451">
        <v>46199</v>
      </c>
      <c r="H80" s="451">
        <v>46226</v>
      </c>
      <c r="I80">
        <v>236.71</v>
      </c>
      <c r="J80">
        <v>236.71</v>
      </c>
      <c r="K80">
        <v>236.71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464</v>
      </c>
    </row>
    <row r="81" spans="1:17" x14ac:dyDescent="0.3">
      <c r="A81">
        <v>241963</v>
      </c>
      <c r="B81">
        <v>105</v>
      </c>
      <c r="C81" t="s">
        <v>557</v>
      </c>
      <c r="D81" t="s">
        <v>2563</v>
      </c>
      <c r="E81" t="s">
        <v>2663</v>
      </c>
      <c r="F81" s="451">
        <v>46196</v>
      </c>
      <c r="G81" s="451">
        <v>46197</v>
      </c>
      <c r="H81" s="451">
        <v>46223</v>
      </c>
      <c r="I81">
        <v>250.56</v>
      </c>
      <c r="J81">
        <v>250.55</v>
      </c>
      <c r="K81">
        <v>250.56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464</v>
      </c>
    </row>
    <row r="82" spans="1:17" x14ac:dyDescent="0.3">
      <c r="A82">
        <v>241962</v>
      </c>
      <c r="B82">
        <v>105</v>
      </c>
      <c r="C82" t="s">
        <v>557</v>
      </c>
      <c r="D82" t="s">
        <v>2563</v>
      </c>
      <c r="E82" t="s">
        <v>2664</v>
      </c>
      <c r="F82" s="451">
        <v>46191</v>
      </c>
      <c r="G82" s="451">
        <v>46192</v>
      </c>
      <c r="H82" s="451">
        <v>46219</v>
      </c>
      <c r="I82">
        <v>695.73</v>
      </c>
      <c r="J82">
        <v>691.85</v>
      </c>
      <c r="K82">
        <v>695.73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464</v>
      </c>
    </row>
    <row r="83" spans="1:17" x14ac:dyDescent="0.3">
      <c r="A83">
        <v>241961</v>
      </c>
      <c r="B83">
        <v>105</v>
      </c>
      <c r="C83" t="s">
        <v>557</v>
      </c>
      <c r="D83" t="s">
        <v>2563</v>
      </c>
      <c r="E83" t="s">
        <v>2665</v>
      </c>
      <c r="F83" s="451">
        <v>46190</v>
      </c>
      <c r="G83" s="451">
        <v>46191</v>
      </c>
      <c r="H83" s="451">
        <v>46218</v>
      </c>
      <c r="I83">
        <v>389.15</v>
      </c>
      <c r="J83">
        <v>389.14</v>
      </c>
      <c r="K83">
        <v>389.15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464</v>
      </c>
    </row>
    <row r="84" spans="1:17" x14ac:dyDescent="0.3">
      <c r="A84">
        <v>241960</v>
      </c>
      <c r="B84">
        <v>105</v>
      </c>
      <c r="C84" t="s">
        <v>557</v>
      </c>
      <c r="D84" t="s">
        <v>2563</v>
      </c>
      <c r="E84" t="s">
        <v>2666</v>
      </c>
      <c r="F84" s="451">
        <v>46188</v>
      </c>
      <c r="G84" s="451">
        <v>46190</v>
      </c>
      <c r="H84" s="451">
        <v>46216</v>
      </c>
      <c r="I84">
        <v>344.65</v>
      </c>
      <c r="J84">
        <v>344.65</v>
      </c>
      <c r="K84">
        <v>344.65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464</v>
      </c>
    </row>
    <row r="85" spans="1:17" x14ac:dyDescent="0.3">
      <c r="A85">
        <v>241959</v>
      </c>
      <c r="B85">
        <v>105</v>
      </c>
      <c r="C85" t="s">
        <v>557</v>
      </c>
      <c r="D85" t="s">
        <v>2563</v>
      </c>
      <c r="E85" t="s">
        <v>2667</v>
      </c>
      <c r="F85" s="451">
        <v>46184</v>
      </c>
      <c r="G85" s="451">
        <v>46188</v>
      </c>
      <c r="H85" s="451">
        <v>46212</v>
      </c>
      <c r="I85">
        <v>1962.76</v>
      </c>
      <c r="J85">
        <v>1942.1</v>
      </c>
      <c r="K85">
        <v>1962.76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464</v>
      </c>
    </row>
    <row r="86" spans="1:17" x14ac:dyDescent="0.3">
      <c r="A86">
        <v>241958</v>
      </c>
      <c r="B86">
        <v>105</v>
      </c>
      <c r="C86" t="s">
        <v>557</v>
      </c>
      <c r="D86" t="s">
        <v>2563</v>
      </c>
      <c r="E86" t="s">
        <v>2668</v>
      </c>
      <c r="F86" s="451">
        <v>46197</v>
      </c>
      <c r="G86" s="451">
        <v>46198</v>
      </c>
      <c r="H86" s="451">
        <v>46225</v>
      </c>
      <c r="I86">
        <v>191.85</v>
      </c>
      <c r="J86">
        <v>191.85</v>
      </c>
      <c r="K86">
        <v>191.85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464</v>
      </c>
    </row>
    <row r="87" spans="1:17" x14ac:dyDescent="0.3">
      <c r="A87">
        <v>241957</v>
      </c>
      <c r="B87">
        <v>105</v>
      </c>
      <c r="C87" t="s">
        <v>557</v>
      </c>
      <c r="D87" t="s">
        <v>2563</v>
      </c>
      <c r="E87" t="s">
        <v>2669</v>
      </c>
      <c r="F87" s="451">
        <v>46185</v>
      </c>
      <c r="G87" s="451">
        <v>46188</v>
      </c>
      <c r="H87" s="451">
        <v>46213</v>
      </c>
      <c r="I87">
        <v>54.08</v>
      </c>
      <c r="J87">
        <v>54.08</v>
      </c>
      <c r="K87">
        <v>54.08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464</v>
      </c>
    </row>
    <row r="88" spans="1:17" x14ac:dyDescent="0.3">
      <c r="A88">
        <v>241956</v>
      </c>
      <c r="B88">
        <v>105</v>
      </c>
      <c r="C88" t="s">
        <v>557</v>
      </c>
      <c r="D88" t="s">
        <v>2563</v>
      </c>
      <c r="E88" t="s">
        <v>2670</v>
      </c>
      <c r="F88" s="451">
        <v>46183</v>
      </c>
      <c r="G88" s="451">
        <v>46183</v>
      </c>
      <c r="H88" s="451">
        <v>46210</v>
      </c>
      <c r="I88">
        <v>214.56</v>
      </c>
      <c r="J88">
        <v>214.56</v>
      </c>
      <c r="K88">
        <v>214.56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464</v>
      </c>
    </row>
    <row r="89" spans="1:17" x14ac:dyDescent="0.3">
      <c r="A89">
        <v>241955</v>
      </c>
      <c r="B89">
        <v>105</v>
      </c>
      <c r="C89" t="s">
        <v>557</v>
      </c>
      <c r="D89" t="s">
        <v>2600</v>
      </c>
      <c r="E89" t="s">
        <v>2671</v>
      </c>
      <c r="F89" s="451">
        <v>46198</v>
      </c>
      <c r="G89" s="451">
        <v>46198</v>
      </c>
      <c r="H89" s="451">
        <v>46227</v>
      </c>
      <c r="I89">
        <v>834.24</v>
      </c>
      <c r="J89">
        <v>834.24</v>
      </c>
      <c r="K89">
        <v>834.24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464</v>
      </c>
    </row>
    <row r="90" spans="1:17" x14ac:dyDescent="0.3">
      <c r="A90">
        <v>241953</v>
      </c>
      <c r="B90">
        <v>105</v>
      </c>
      <c r="C90" t="s">
        <v>557</v>
      </c>
      <c r="D90" t="s">
        <v>2600</v>
      </c>
      <c r="E90" t="s">
        <v>2672</v>
      </c>
      <c r="F90" s="451">
        <v>46191</v>
      </c>
      <c r="G90" s="451">
        <v>46191</v>
      </c>
      <c r="H90" s="451">
        <v>46220</v>
      </c>
      <c r="I90">
        <v>299.85000000000002</v>
      </c>
      <c r="J90">
        <v>299.85000000000002</v>
      </c>
      <c r="K90">
        <v>299.85000000000002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464</v>
      </c>
    </row>
    <row r="91" spans="1:17" x14ac:dyDescent="0.3">
      <c r="A91">
        <v>241952</v>
      </c>
      <c r="B91">
        <v>105</v>
      </c>
      <c r="C91" t="s">
        <v>557</v>
      </c>
      <c r="D91" t="s">
        <v>2600</v>
      </c>
      <c r="E91" t="s">
        <v>2673</v>
      </c>
      <c r="F91" s="451">
        <v>46190</v>
      </c>
      <c r="G91" s="451">
        <v>46191</v>
      </c>
      <c r="H91" s="451">
        <v>46219</v>
      </c>
      <c r="I91">
        <v>398.79</v>
      </c>
      <c r="J91">
        <v>335.85</v>
      </c>
      <c r="K91">
        <v>398.79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464</v>
      </c>
    </row>
    <row r="92" spans="1:17" x14ac:dyDescent="0.3">
      <c r="A92">
        <v>241950</v>
      </c>
      <c r="B92">
        <v>105</v>
      </c>
      <c r="C92" t="s">
        <v>557</v>
      </c>
      <c r="D92" t="s">
        <v>2600</v>
      </c>
      <c r="E92" t="s">
        <v>2674</v>
      </c>
      <c r="F92" s="451">
        <v>46181</v>
      </c>
      <c r="G92" s="451">
        <v>46181</v>
      </c>
      <c r="H92" s="451">
        <v>46210</v>
      </c>
      <c r="I92">
        <v>435.78</v>
      </c>
      <c r="J92">
        <v>435.78</v>
      </c>
      <c r="K92">
        <v>435.78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464</v>
      </c>
    </row>
    <row r="93" spans="1:17" x14ac:dyDescent="0.3">
      <c r="A93">
        <v>241948</v>
      </c>
      <c r="B93">
        <v>105</v>
      </c>
      <c r="C93" t="s">
        <v>557</v>
      </c>
      <c r="D93" t="s">
        <v>2675</v>
      </c>
      <c r="E93" t="s">
        <v>2676</v>
      </c>
      <c r="F93" s="451">
        <v>46192</v>
      </c>
      <c r="G93" s="451">
        <v>46195</v>
      </c>
      <c r="H93" s="451">
        <v>46220</v>
      </c>
      <c r="I93">
        <v>729.3</v>
      </c>
      <c r="J93">
        <v>729.3</v>
      </c>
      <c r="K93">
        <v>729.3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464</v>
      </c>
    </row>
    <row r="94" spans="1:17" x14ac:dyDescent="0.3">
      <c r="A94">
        <v>241947</v>
      </c>
      <c r="B94">
        <v>105</v>
      </c>
      <c r="C94" t="s">
        <v>557</v>
      </c>
      <c r="D94" t="s">
        <v>2675</v>
      </c>
      <c r="E94" t="s">
        <v>2677</v>
      </c>
      <c r="F94" s="451">
        <v>46185</v>
      </c>
      <c r="G94" s="451">
        <v>46185</v>
      </c>
      <c r="H94" s="451">
        <v>46213</v>
      </c>
      <c r="I94">
        <v>585</v>
      </c>
      <c r="J94">
        <v>585</v>
      </c>
      <c r="K94">
        <v>585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464</v>
      </c>
    </row>
    <row r="95" spans="1:17" x14ac:dyDescent="0.3">
      <c r="A95">
        <v>241945</v>
      </c>
      <c r="B95">
        <v>105</v>
      </c>
      <c r="C95" t="s">
        <v>557</v>
      </c>
      <c r="D95" t="s">
        <v>2678</v>
      </c>
      <c r="E95" t="s">
        <v>2679</v>
      </c>
      <c r="F95" s="451">
        <v>46195</v>
      </c>
      <c r="G95" s="451">
        <v>46204</v>
      </c>
      <c r="H95" s="451">
        <v>46223</v>
      </c>
      <c r="I95">
        <v>141.6</v>
      </c>
      <c r="J95">
        <v>141.6</v>
      </c>
      <c r="K95">
        <v>141.6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465</v>
      </c>
    </row>
    <row r="96" spans="1:17" x14ac:dyDescent="0.3">
      <c r="A96">
        <v>241944</v>
      </c>
      <c r="B96">
        <v>105</v>
      </c>
      <c r="C96" t="s">
        <v>557</v>
      </c>
      <c r="D96" t="s">
        <v>2680</v>
      </c>
      <c r="E96" t="s">
        <v>2681</v>
      </c>
      <c r="F96" s="451">
        <v>46188</v>
      </c>
      <c r="G96" s="451">
        <v>46190</v>
      </c>
      <c r="H96" s="451">
        <v>46218</v>
      </c>
      <c r="I96">
        <v>350</v>
      </c>
      <c r="J96">
        <v>350</v>
      </c>
      <c r="K96">
        <v>0</v>
      </c>
      <c r="L96">
        <v>350</v>
      </c>
      <c r="M96">
        <v>0</v>
      </c>
      <c r="N96">
        <v>0</v>
      </c>
      <c r="O96">
        <v>0</v>
      </c>
      <c r="P96">
        <v>0</v>
      </c>
      <c r="Q96" t="s">
        <v>464</v>
      </c>
    </row>
    <row r="97" spans="1:17" x14ac:dyDescent="0.3">
      <c r="A97">
        <v>241943</v>
      </c>
      <c r="B97">
        <v>105</v>
      </c>
      <c r="C97" t="s">
        <v>557</v>
      </c>
      <c r="D97" t="s">
        <v>2682</v>
      </c>
      <c r="E97" t="s">
        <v>2683</v>
      </c>
      <c r="F97" s="451">
        <v>46186</v>
      </c>
      <c r="G97" s="451">
        <v>46188</v>
      </c>
      <c r="H97" s="451">
        <v>46214</v>
      </c>
      <c r="I97">
        <v>834.44</v>
      </c>
      <c r="J97">
        <v>834.44</v>
      </c>
      <c r="K97">
        <v>834.44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464</v>
      </c>
    </row>
    <row r="98" spans="1:17" x14ac:dyDescent="0.3">
      <c r="A98">
        <v>241940</v>
      </c>
      <c r="B98">
        <v>105</v>
      </c>
      <c r="C98" t="s">
        <v>557</v>
      </c>
      <c r="D98" t="s">
        <v>2579</v>
      </c>
      <c r="E98" t="s">
        <v>2684</v>
      </c>
      <c r="F98" s="451">
        <v>46198</v>
      </c>
      <c r="G98" s="451">
        <v>46199</v>
      </c>
      <c r="H98" s="451">
        <v>46226</v>
      </c>
      <c r="I98">
        <v>481.86</v>
      </c>
      <c r="J98">
        <v>481.86</v>
      </c>
      <c r="K98">
        <v>481.86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464</v>
      </c>
    </row>
    <row r="99" spans="1:17" x14ac:dyDescent="0.3">
      <c r="A99">
        <v>241938</v>
      </c>
      <c r="B99">
        <v>105</v>
      </c>
      <c r="C99" t="s">
        <v>557</v>
      </c>
      <c r="D99" t="s">
        <v>2579</v>
      </c>
      <c r="E99" t="s">
        <v>2685</v>
      </c>
      <c r="F99" s="451">
        <v>46191</v>
      </c>
      <c r="G99" s="451">
        <v>46192</v>
      </c>
      <c r="H99" s="451">
        <v>46219</v>
      </c>
      <c r="I99">
        <v>310.06</v>
      </c>
      <c r="J99">
        <v>310.06</v>
      </c>
      <c r="K99">
        <v>310.06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464</v>
      </c>
    </row>
    <row r="100" spans="1:17" x14ac:dyDescent="0.3">
      <c r="A100">
        <v>241936</v>
      </c>
      <c r="B100">
        <v>105</v>
      </c>
      <c r="C100" t="s">
        <v>557</v>
      </c>
      <c r="D100" t="s">
        <v>1786</v>
      </c>
      <c r="E100" t="s">
        <v>2686</v>
      </c>
      <c r="F100" s="451">
        <v>46198</v>
      </c>
      <c r="G100" s="451">
        <v>46199</v>
      </c>
      <c r="H100" s="451">
        <v>46227</v>
      </c>
      <c r="I100">
        <v>466.2</v>
      </c>
      <c r="J100">
        <v>466.2</v>
      </c>
      <c r="K100">
        <v>466.2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464</v>
      </c>
    </row>
    <row r="101" spans="1:17" x14ac:dyDescent="0.3">
      <c r="A101">
        <v>241934</v>
      </c>
      <c r="B101">
        <v>105</v>
      </c>
      <c r="C101" t="s">
        <v>557</v>
      </c>
      <c r="D101" t="s">
        <v>1786</v>
      </c>
      <c r="E101" t="s">
        <v>2687</v>
      </c>
      <c r="F101" s="451">
        <v>46192</v>
      </c>
      <c r="G101" s="451">
        <v>46195</v>
      </c>
      <c r="H101" s="451">
        <v>46223</v>
      </c>
      <c r="I101">
        <v>420.21</v>
      </c>
      <c r="J101">
        <v>420.21</v>
      </c>
      <c r="K101">
        <v>420.21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464</v>
      </c>
    </row>
    <row r="102" spans="1:17" x14ac:dyDescent="0.3">
      <c r="A102">
        <v>241931</v>
      </c>
      <c r="B102">
        <v>105</v>
      </c>
      <c r="C102" t="s">
        <v>557</v>
      </c>
      <c r="D102" t="s">
        <v>1786</v>
      </c>
      <c r="E102" t="s">
        <v>2688</v>
      </c>
      <c r="F102" s="451">
        <v>46188</v>
      </c>
      <c r="G102" s="451">
        <v>46190</v>
      </c>
      <c r="H102" s="451">
        <v>46217</v>
      </c>
      <c r="I102">
        <v>661.5</v>
      </c>
      <c r="J102">
        <v>661.5</v>
      </c>
      <c r="K102">
        <v>661.5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464</v>
      </c>
    </row>
    <row r="103" spans="1:17" x14ac:dyDescent="0.3">
      <c r="A103">
        <v>241929</v>
      </c>
      <c r="B103">
        <v>105</v>
      </c>
      <c r="C103" t="s">
        <v>557</v>
      </c>
      <c r="D103" t="s">
        <v>1786</v>
      </c>
      <c r="E103" t="s">
        <v>2689</v>
      </c>
      <c r="F103" s="451">
        <v>46185</v>
      </c>
      <c r="G103" s="451">
        <v>46188</v>
      </c>
      <c r="H103" s="451">
        <v>46216</v>
      </c>
      <c r="I103">
        <v>542.91999999999996</v>
      </c>
      <c r="J103">
        <v>542.91999999999996</v>
      </c>
      <c r="K103">
        <v>542.91999999999996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464</v>
      </c>
    </row>
    <row r="104" spans="1:17" x14ac:dyDescent="0.3">
      <c r="A104">
        <v>241927</v>
      </c>
      <c r="B104">
        <v>105</v>
      </c>
      <c r="C104" t="s">
        <v>557</v>
      </c>
      <c r="D104" t="s">
        <v>2690</v>
      </c>
      <c r="E104" t="s">
        <v>2691</v>
      </c>
      <c r="F104" s="451">
        <v>46196</v>
      </c>
      <c r="G104" s="451">
        <v>46197</v>
      </c>
      <c r="H104" s="451">
        <v>46225</v>
      </c>
      <c r="I104">
        <v>18.75</v>
      </c>
      <c r="J104">
        <v>18.75</v>
      </c>
      <c r="K104">
        <v>0</v>
      </c>
      <c r="L104">
        <v>18.75</v>
      </c>
      <c r="M104">
        <v>0</v>
      </c>
      <c r="N104">
        <v>0</v>
      </c>
      <c r="O104">
        <v>0</v>
      </c>
      <c r="P104">
        <v>0</v>
      </c>
      <c r="Q104" t="s">
        <v>464</v>
      </c>
    </row>
    <row r="105" spans="1:17" x14ac:dyDescent="0.3">
      <c r="A105">
        <v>241925</v>
      </c>
      <c r="B105">
        <v>105</v>
      </c>
      <c r="C105" t="s">
        <v>557</v>
      </c>
      <c r="D105" t="s">
        <v>2605</v>
      </c>
      <c r="E105" t="s">
        <v>2692</v>
      </c>
      <c r="F105" s="451">
        <v>46188</v>
      </c>
      <c r="G105" s="451">
        <v>46188</v>
      </c>
      <c r="H105" s="451">
        <v>46216</v>
      </c>
      <c r="I105">
        <v>323.39999999999998</v>
      </c>
      <c r="J105">
        <v>323.39999999999998</v>
      </c>
      <c r="K105">
        <v>323.39999999999998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464</v>
      </c>
    </row>
    <row r="106" spans="1:17" x14ac:dyDescent="0.3">
      <c r="A106">
        <v>241923</v>
      </c>
      <c r="B106">
        <v>105</v>
      </c>
      <c r="C106" t="s">
        <v>557</v>
      </c>
      <c r="D106" t="s">
        <v>2605</v>
      </c>
      <c r="E106" t="s">
        <v>2693</v>
      </c>
      <c r="F106" s="451">
        <v>46188</v>
      </c>
      <c r="G106" s="451">
        <v>46188</v>
      </c>
      <c r="H106" s="451">
        <v>46217</v>
      </c>
      <c r="I106">
        <v>300.89999999999998</v>
      </c>
      <c r="J106">
        <v>300.89999999999998</v>
      </c>
      <c r="K106">
        <v>300.89999999999998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464</v>
      </c>
    </row>
    <row r="107" spans="1:17" x14ac:dyDescent="0.3">
      <c r="A107">
        <v>241922</v>
      </c>
      <c r="B107">
        <v>105</v>
      </c>
      <c r="C107" t="s">
        <v>557</v>
      </c>
      <c r="D107" t="s">
        <v>2605</v>
      </c>
      <c r="E107" t="s">
        <v>2694</v>
      </c>
      <c r="F107" s="451">
        <v>46188</v>
      </c>
      <c r="G107" s="451">
        <v>46188</v>
      </c>
      <c r="H107" s="451">
        <v>46217</v>
      </c>
      <c r="I107">
        <v>304.52</v>
      </c>
      <c r="J107">
        <v>304.52</v>
      </c>
      <c r="K107">
        <v>304.52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464</v>
      </c>
    </row>
    <row r="108" spans="1:17" x14ac:dyDescent="0.3">
      <c r="A108">
        <v>241730</v>
      </c>
      <c r="B108">
        <v>105</v>
      </c>
      <c r="C108" t="s">
        <v>557</v>
      </c>
      <c r="D108" t="s">
        <v>2565</v>
      </c>
      <c r="E108" t="s">
        <v>2695</v>
      </c>
      <c r="F108" s="451">
        <v>46195</v>
      </c>
      <c r="G108" s="451">
        <v>46197</v>
      </c>
      <c r="H108" s="451">
        <v>46209</v>
      </c>
      <c r="I108">
        <v>313.60000000000002</v>
      </c>
      <c r="J108">
        <v>313.60000000000002</v>
      </c>
      <c r="K108">
        <v>0</v>
      </c>
      <c r="L108">
        <v>313.60000000000002</v>
      </c>
      <c r="M108">
        <v>0</v>
      </c>
      <c r="N108">
        <v>0</v>
      </c>
      <c r="O108">
        <v>0</v>
      </c>
      <c r="P108">
        <v>0</v>
      </c>
      <c r="Q108" t="s">
        <v>464</v>
      </c>
    </row>
    <row r="109" spans="1:17" x14ac:dyDescent="0.3">
      <c r="A109">
        <v>241728</v>
      </c>
      <c r="B109">
        <v>105</v>
      </c>
      <c r="C109" t="s">
        <v>557</v>
      </c>
      <c r="D109" t="s">
        <v>2680</v>
      </c>
      <c r="E109" t="s">
        <v>2696</v>
      </c>
      <c r="F109" s="451">
        <v>46183</v>
      </c>
      <c r="G109" s="451">
        <v>46183</v>
      </c>
      <c r="H109" s="451">
        <v>46213</v>
      </c>
      <c r="I109">
        <v>240</v>
      </c>
      <c r="J109">
        <v>240</v>
      </c>
      <c r="K109">
        <v>0</v>
      </c>
      <c r="L109">
        <v>240</v>
      </c>
      <c r="M109">
        <v>0</v>
      </c>
      <c r="N109">
        <v>0</v>
      </c>
      <c r="O109">
        <v>0</v>
      </c>
      <c r="P109">
        <v>0</v>
      </c>
      <c r="Q109" t="s">
        <v>464</v>
      </c>
    </row>
    <row r="110" spans="1:17" x14ac:dyDescent="0.3">
      <c r="A110">
        <v>241725</v>
      </c>
      <c r="B110">
        <v>105</v>
      </c>
      <c r="C110" t="s">
        <v>557</v>
      </c>
      <c r="D110" t="s">
        <v>2697</v>
      </c>
      <c r="E110" t="s">
        <v>2698</v>
      </c>
      <c r="F110" s="451">
        <v>46196</v>
      </c>
      <c r="G110" s="451">
        <v>46198</v>
      </c>
      <c r="H110" s="451">
        <v>46211</v>
      </c>
      <c r="I110">
        <v>189.48</v>
      </c>
      <c r="J110">
        <v>168.48</v>
      </c>
      <c r="K110">
        <v>0</v>
      </c>
      <c r="L110">
        <v>189.48</v>
      </c>
      <c r="M110">
        <v>0</v>
      </c>
      <c r="N110">
        <v>0</v>
      </c>
      <c r="O110">
        <v>0</v>
      </c>
      <c r="P110">
        <v>0</v>
      </c>
      <c r="Q110" t="s">
        <v>464</v>
      </c>
    </row>
    <row r="111" spans="1:17" x14ac:dyDescent="0.3">
      <c r="A111">
        <v>241722</v>
      </c>
      <c r="B111">
        <v>105</v>
      </c>
      <c r="C111" t="s">
        <v>557</v>
      </c>
      <c r="D111" t="s">
        <v>2699</v>
      </c>
      <c r="E111" t="s">
        <v>2700</v>
      </c>
      <c r="F111" s="451">
        <v>46182</v>
      </c>
      <c r="G111" s="451">
        <v>46183</v>
      </c>
      <c r="H111" s="451">
        <v>46211</v>
      </c>
      <c r="I111">
        <v>201</v>
      </c>
      <c r="J111">
        <v>201</v>
      </c>
      <c r="K111">
        <v>0</v>
      </c>
      <c r="L111">
        <v>201</v>
      </c>
      <c r="M111">
        <v>0</v>
      </c>
      <c r="N111">
        <v>0</v>
      </c>
      <c r="O111">
        <v>0</v>
      </c>
      <c r="P111">
        <v>0</v>
      </c>
      <c r="Q111" t="s">
        <v>464</v>
      </c>
    </row>
    <row r="112" spans="1:17" x14ac:dyDescent="0.3">
      <c r="A112">
        <v>241716</v>
      </c>
      <c r="B112">
        <v>105</v>
      </c>
      <c r="C112" t="s">
        <v>557</v>
      </c>
      <c r="D112" t="s">
        <v>1786</v>
      </c>
      <c r="E112" t="s">
        <v>2701</v>
      </c>
      <c r="F112" s="451">
        <v>46181</v>
      </c>
      <c r="G112" s="451">
        <v>46182</v>
      </c>
      <c r="H112" s="451">
        <v>46210</v>
      </c>
      <c r="I112">
        <v>1224.3399999999999</v>
      </c>
      <c r="J112">
        <v>1224.31</v>
      </c>
      <c r="K112">
        <v>1224.3399999999999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464</v>
      </c>
    </row>
    <row r="113" spans="1:17" x14ac:dyDescent="0.3">
      <c r="A113">
        <v>241705</v>
      </c>
      <c r="B113">
        <v>105</v>
      </c>
      <c r="C113" t="s">
        <v>557</v>
      </c>
      <c r="D113" t="s">
        <v>2605</v>
      </c>
      <c r="E113" t="s">
        <v>2702</v>
      </c>
      <c r="F113" s="451">
        <v>46181</v>
      </c>
      <c r="G113" s="451">
        <v>46181</v>
      </c>
      <c r="H113" s="451">
        <v>46210</v>
      </c>
      <c r="I113">
        <v>1511.02</v>
      </c>
      <c r="J113">
        <v>977.77</v>
      </c>
      <c r="K113">
        <v>1511.02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464</v>
      </c>
    </row>
    <row r="114" spans="1:17" x14ac:dyDescent="0.3">
      <c r="A114">
        <v>241698</v>
      </c>
      <c r="B114">
        <v>105</v>
      </c>
      <c r="C114" t="s">
        <v>557</v>
      </c>
      <c r="D114" t="s">
        <v>2571</v>
      </c>
      <c r="E114" t="s">
        <v>2703</v>
      </c>
      <c r="F114" s="451">
        <v>46192</v>
      </c>
      <c r="G114" s="451">
        <v>46192</v>
      </c>
      <c r="H114" s="451">
        <v>46213</v>
      </c>
      <c r="I114">
        <v>1133.25</v>
      </c>
      <c r="J114">
        <v>1095.04</v>
      </c>
      <c r="K114">
        <v>1133.25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464</v>
      </c>
    </row>
    <row r="115" spans="1:17" x14ac:dyDescent="0.3">
      <c r="A115">
        <v>241695</v>
      </c>
      <c r="B115">
        <v>105</v>
      </c>
      <c r="C115" t="s">
        <v>557</v>
      </c>
      <c r="D115" t="s">
        <v>2571</v>
      </c>
      <c r="E115" t="s">
        <v>2704</v>
      </c>
      <c r="F115" s="451">
        <v>46189</v>
      </c>
      <c r="G115" s="451">
        <v>46190</v>
      </c>
      <c r="H115" s="451">
        <v>46210</v>
      </c>
      <c r="I115">
        <v>814.28</v>
      </c>
      <c r="J115">
        <v>708.03</v>
      </c>
      <c r="K115">
        <v>814.28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464</v>
      </c>
    </row>
    <row r="116" spans="1:17" x14ac:dyDescent="0.3">
      <c r="A116">
        <v>241693</v>
      </c>
      <c r="B116">
        <v>105</v>
      </c>
      <c r="C116" t="s">
        <v>557</v>
      </c>
      <c r="D116" t="s">
        <v>2705</v>
      </c>
      <c r="E116" t="s">
        <v>2706</v>
      </c>
      <c r="F116" s="451">
        <v>46196</v>
      </c>
      <c r="G116" s="451">
        <v>46197</v>
      </c>
      <c r="H116" s="451">
        <v>46209</v>
      </c>
      <c r="I116">
        <v>865</v>
      </c>
      <c r="J116">
        <v>865</v>
      </c>
      <c r="K116">
        <v>0</v>
      </c>
      <c r="L116">
        <v>0</v>
      </c>
      <c r="M116">
        <v>0</v>
      </c>
      <c r="N116">
        <v>865</v>
      </c>
      <c r="O116">
        <v>0</v>
      </c>
      <c r="P116">
        <v>0</v>
      </c>
      <c r="Q116" t="s">
        <v>464</v>
      </c>
    </row>
    <row r="117" spans="1:17" x14ac:dyDescent="0.3">
      <c r="A117">
        <v>241689</v>
      </c>
      <c r="B117">
        <v>105</v>
      </c>
      <c r="C117" t="s">
        <v>557</v>
      </c>
      <c r="D117" t="s">
        <v>2707</v>
      </c>
      <c r="E117" t="s">
        <v>2708</v>
      </c>
      <c r="F117" s="451">
        <v>46195</v>
      </c>
      <c r="G117" s="451">
        <v>46197</v>
      </c>
      <c r="H117" s="451">
        <v>46209</v>
      </c>
      <c r="I117">
        <v>376.04</v>
      </c>
      <c r="J117">
        <v>376.04</v>
      </c>
      <c r="K117">
        <v>376.04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464</v>
      </c>
    </row>
    <row r="118" spans="1:17" x14ac:dyDescent="0.3">
      <c r="A118">
        <v>241686</v>
      </c>
      <c r="B118">
        <v>105</v>
      </c>
      <c r="C118" t="s">
        <v>557</v>
      </c>
      <c r="D118" t="s">
        <v>2615</v>
      </c>
      <c r="E118" t="s">
        <v>2709</v>
      </c>
      <c r="F118" s="451">
        <v>46191</v>
      </c>
      <c r="G118" s="451">
        <v>46192</v>
      </c>
      <c r="H118" s="451">
        <v>46212</v>
      </c>
      <c r="I118">
        <v>123.9</v>
      </c>
      <c r="J118">
        <v>123.9</v>
      </c>
      <c r="K118">
        <v>123.9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464</v>
      </c>
    </row>
    <row r="119" spans="1:17" x14ac:dyDescent="0.3">
      <c r="A119">
        <v>240892</v>
      </c>
      <c r="B119">
        <v>105</v>
      </c>
      <c r="C119" t="s">
        <v>557</v>
      </c>
      <c r="D119" t="s">
        <v>2710</v>
      </c>
      <c r="E119" t="s">
        <v>2711</v>
      </c>
      <c r="F119" s="451">
        <v>46174</v>
      </c>
      <c r="G119" s="451">
        <v>46165</v>
      </c>
      <c r="H119" s="451">
        <v>46202</v>
      </c>
      <c r="I119">
        <v>163.80000000000001</v>
      </c>
      <c r="J119">
        <v>163.80000000000001</v>
      </c>
      <c r="K119">
        <v>163.80000000000001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463</v>
      </c>
    </row>
    <row r="120" spans="1:17" x14ac:dyDescent="0.3">
      <c r="A120">
        <v>240736</v>
      </c>
      <c r="B120">
        <v>105</v>
      </c>
      <c r="C120" t="s">
        <v>557</v>
      </c>
      <c r="D120" t="s">
        <v>2571</v>
      </c>
      <c r="E120" t="s">
        <v>2712</v>
      </c>
      <c r="F120" s="451">
        <v>46184</v>
      </c>
      <c r="G120" s="451">
        <v>46160</v>
      </c>
      <c r="H120" s="451">
        <v>46205</v>
      </c>
      <c r="I120">
        <v>304.61</v>
      </c>
      <c r="J120">
        <v>371.9</v>
      </c>
      <c r="K120">
        <v>304.61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463</v>
      </c>
    </row>
    <row r="121" spans="1:17" x14ac:dyDescent="0.3">
      <c r="A121">
        <v>240733</v>
      </c>
      <c r="B121">
        <v>105</v>
      </c>
      <c r="C121" t="s">
        <v>557</v>
      </c>
      <c r="D121" t="s">
        <v>2573</v>
      </c>
      <c r="E121" t="s">
        <v>2713</v>
      </c>
      <c r="F121" s="451">
        <v>46181</v>
      </c>
      <c r="G121" s="451">
        <v>46181</v>
      </c>
      <c r="H121" s="451">
        <v>46209</v>
      </c>
      <c r="I121">
        <v>257.10000000000002</v>
      </c>
      <c r="J121">
        <v>257.10000000000002</v>
      </c>
      <c r="K121">
        <v>0</v>
      </c>
      <c r="L121">
        <v>0</v>
      </c>
      <c r="M121">
        <v>257.10000000000002</v>
      </c>
      <c r="N121">
        <v>0</v>
      </c>
      <c r="O121">
        <v>0</v>
      </c>
      <c r="P121">
        <v>0</v>
      </c>
      <c r="Q121" t="s">
        <v>464</v>
      </c>
    </row>
    <row r="122" spans="1:17" x14ac:dyDescent="0.3">
      <c r="A122">
        <v>240731</v>
      </c>
      <c r="B122">
        <v>105</v>
      </c>
      <c r="C122" t="s">
        <v>557</v>
      </c>
      <c r="D122" t="s">
        <v>2690</v>
      </c>
      <c r="E122" t="s">
        <v>2714</v>
      </c>
      <c r="F122" s="451">
        <v>46185</v>
      </c>
      <c r="G122" s="451">
        <v>46186</v>
      </c>
      <c r="H122" s="451">
        <v>46206</v>
      </c>
      <c r="I122">
        <v>233.8</v>
      </c>
      <c r="J122">
        <v>233.8</v>
      </c>
      <c r="K122">
        <v>0</v>
      </c>
      <c r="L122">
        <v>233.8</v>
      </c>
      <c r="M122">
        <v>0</v>
      </c>
      <c r="N122">
        <v>0</v>
      </c>
      <c r="O122">
        <v>0</v>
      </c>
      <c r="P122">
        <v>0</v>
      </c>
      <c r="Q122" t="s">
        <v>464</v>
      </c>
    </row>
    <row r="123" spans="1:17" x14ac:dyDescent="0.3">
      <c r="A123">
        <v>240729</v>
      </c>
      <c r="B123">
        <v>105</v>
      </c>
      <c r="C123" t="s">
        <v>557</v>
      </c>
      <c r="D123" t="s">
        <v>2613</v>
      </c>
      <c r="E123" t="s">
        <v>2715</v>
      </c>
      <c r="F123" s="451">
        <v>46188</v>
      </c>
      <c r="G123" s="451">
        <v>46190</v>
      </c>
      <c r="H123" s="451">
        <v>46202</v>
      </c>
      <c r="I123">
        <v>403.77</v>
      </c>
      <c r="J123">
        <v>403.77</v>
      </c>
      <c r="K123">
        <v>403.77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464</v>
      </c>
    </row>
    <row r="124" spans="1:17" x14ac:dyDescent="0.3">
      <c r="A124">
        <v>240728</v>
      </c>
      <c r="B124">
        <v>105</v>
      </c>
      <c r="C124" t="s">
        <v>557</v>
      </c>
      <c r="D124" t="s">
        <v>2716</v>
      </c>
      <c r="E124" t="s">
        <v>2717</v>
      </c>
      <c r="F124" s="451">
        <v>46188</v>
      </c>
      <c r="G124" s="451">
        <v>46190</v>
      </c>
      <c r="H124" s="451">
        <v>46210</v>
      </c>
      <c r="I124">
        <v>650</v>
      </c>
      <c r="J124">
        <v>650</v>
      </c>
      <c r="K124">
        <v>650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464</v>
      </c>
    </row>
    <row r="125" spans="1:17" x14ac:dyDescent="0.3">
      <c r="A125">
        <v>240726</v>
      </c>
      <c r="B125">
        <v>105</v>
      </c>
      <c r="C125" t="s">
        <v>557</v>
      </c>
      <c r="D125" t="s">
        <v>2682</v>
      </c>
      <c r="E125" t="s">
        <v>2718</v>
      </c>
      <c r="F125" s="451">
        <v>46193</v>
      </c>
      <c r="G125" s="451">
        <v>46195</v>
      </c>
      <c r="H125" s="451">
        <v>46221</v>
      </c>
      <c r="I125">
        <v>707.23</v>
      </c>
      <c r="J125">
        <v>707.23</v>
      </c>
      <c r="K125">
        <v>707.23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464</v>
      </c>
    </row>
    <row r="126" spans="1:17" x14ac:dyDescent="0.3">
      <c r="A126">
        <v>240725</v>
      </c>
      <c r="B126">
        <v>105</v>
      </c>
      <c r="C126" t="s">
        <v>557</v>
      </c>
      <c r="D126" t="s">
        <v>2610</v>
      </c>
      <c r="E126" t="s">
        <v>2719</v>
      </c>
      <c r="F126" s="451">
        <v>46178</v>
      </c>
      <c r="G126" s="451">
        <v>46181</v>
      </c>
      <c r="H126" s="451">
        <v>46206</v>
      </c>
      <c r="I126">
        <v>315.89999999999998</v>
      </c>
      <c r="J126">
        <v>315.89999999999998</v>
      </c>
      <c r="K126">
        <v>315.89999999999998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464</v>
      </c>
    </row>
    <row r="127" spans="1:17" x14ac:dyDescent="0.3">
      <c r="A127">
        <v>240724</v>
      </c>
      <c r="B127">
        <v>105</v>
      </c>
      <c r="C127" t="s">
        <v>557</v>
      </c>
      <c r="D127" t="s">
        <v>2565</v>
      </c>
      <c r="E127" t="s">
        <v>2720</v>
      </c>
      <c r="F127" s="451">
        <v>46189</v>
      </c>
      <c r="G127" s="451">
        <v>46190</v>
      </c>
      <c r="H127" s="451">
        <v>46203</v>
      </c>
      <c r="I127">
        <v>166.62</v>
      </c>
      <c r="J127">
        <v>166.62</v>
      </c>
      <c r="K127">
        <v>0</v>
      </c>
      <c r="L127">
        <v>166.62</v>
      </c>
      <c r="M127">
        <v>0</v>
      </c>
      <c r="N127">
        <v>0</v>
      </c>
      <c r="O127">
        <v>0</v>
      </c>
      <c r="P127">
        <v>0</v>
      </c>
      <c r="Q127" t="s">
        <v>464</v>
      </c>
    </row>
    <row r="128" spans="1:17" x14ac:dyDescent="0.3">
      <c r="A128">
        <v>240722</v>
      </c>
      <c r="B128">
        <v>105</v>
      </c>
      <c r="C128" t="s">
        <v>557</v>
      </c>
      <c r="D128" t="s">
        <v>2710</v>
      </c>
      <c r="E128" t="s">
        <v>2721</v>
      </c>
      <c r="F128" s="451">
        <v>46178</v>
      </c>
      <c r="G128" s="451">
        <v>46181</v>
      </c>
      <c r="H128" s="451">
        <v>46208</v>
      </c>
      <c r="I128">
        <v>163.80000000000001</v>
      </c>
      <c r="J128">
        <v>163.80000000000001</v>
      </c>
      <c r="K128">
        <v>163.80000000000001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464</v>
      </c>
    </row>
    <row r="129" spans="1:17" x14ac:dyDescent="0.3">
      <c r="A129">
        <v>240720</v>
      </c>
      <c r="B129">
        <v>105</v>
      </c>
      <c r="C129" t="s">
        <v>557</v>
      </c>
      <c r="D129" t="s">
        <v>2563</v>
      </c>
      <c r="E129" t="s">
        <v>2722</v>
      </c>
      <c r="F129" s="451">
        <v>46176</v>
      </c>
      <c r="G129" s="451">
        <v>46177</v>
      </c>
      <c r="H129" s="451">
        <v>46204</v>
      </c>
      <c r="I129">
        <v>206.01</v>
      </c>
      <c r="J129">
        <v>206.01</v>
      </c>
      <c r="K129">
        <v>206.01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464</v>
      </c>
    </row>
    <row r="130" spans="1:17" x14ac:dyDescent="0.3">
      <c r="A130">
        <v>240718</v>
      </c>
      <c r="B130">
        <v>105</v>
      </c>
      <c r="C130" t="s">
        <v>557</v>
      </c>
      <c r="D130" t="s">
        <v>2563</v>
      </c>
      <c r="E130" t="s">
        <v>2723</v>
      </c>
      <c r="F130" s="451">
        <v>46177</v>
      </c>
      <c r="G130" s="451">
        <v>46178</v>
      </c>
      <c r="H130" s="451">
        <v>46205</v>
      </c>
      <c r="I130">
        <v>1013.85</v>
      </c>
      <c r="J130">
        <v>1011.72</v>
      </c>
      <c r="K130">
        <v>1013.85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464</v>
      </c>
    </row>
    <row r="131" spans="1:17" x14ac:dyDescent="0.3">
      <c r="A131">
        <v>240716</v>
      </c>
      <c r="B131">
        <v>105</v>
      </c>
      <c r="C131" t="s">
        <v>557</v>
      </c>
      <c r="D131" t="s">
        <v>2563</v>
      </c>
      <c r="E131" t="s">
        <v>2724</v>
      </c>
      <c r="F131" s="451">
        <v>46181</v>
      </c>
      <c r="G131" s="451">
        <v>46182</v>
      </c>
      <c r="H131" s="451">
        <v>46209</v>
      </c>
      <c r="I131">
        <v>322.49</v>
      </c>
      <c r="J131">
        <v>322.5</v>
      </c>
      <c r="K131">
        <v>322.49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464</v>
      </c>
    </row>
    <row r="132" spans="1:17" x14ac:dyDescent="0.3">
      <c r="A132">
        <v>240715</v>
      </c>
      <c r="B132">
        <v>105</v>
      </c>
      <c r="C132" t="s">
        <v>557</v>
      </c>
      <c r="D132" t="s">
        <v>2603</v>
      </c>
      <c r="E132" t="s">
        <v>2725</v>
      </c>
      <c r="F132" s="451">
        <v>46189</v>
      </c>
      <c r="G132" s="451">
        <v>46190</v>
      </c>
      <c r="H132" s="451">
        <v>46204</v>
      </c>
      <c r="I132">
        <v>1727.64</v>
      </c>
      <c r="J132">
        <v>1727.64</v>
      </c>
      <c r="K132">
        <v>1727.64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464</v>
      </c>
    </row>
    <row r="133" spans="1:17" x14ac:dyDescent="0.3">
      <c r="A133">
        <v>240713</v>
      </c>
      <c r="B133">
        <v>105</v>
      </c>
      <c r="C133" t="s">
        <v>557</v>
      </c>
      <c r="D133" t="s">
        <v>2593</v>
      </c>
      <c r="E133" t="s">
        <v>2726</v>
      </c>
      <c r="F133" s="451">
        <v>46178</v>
      </c>
      <c r="G133" s="451">
        <v>46181</v>
      </c>
      <c r="H133" s="451">
        <v>46206</v>
      </c>
      <c r="I133">
        <v>750</v>
      </c>
      <c r="J133">
        <v>750</v>
      </c>
      <c r="K133">
        <v>750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464</v>
      </c>
    </row>
    <row r="134" spans="1:17" x14ac:dyDescent="0.3">
      <c r="A134">
        <v>240711</v>
      </c>
      <c r="B134">
        <v>105</v>
      </c>
      <c r="C134" t="s">
        <v>557</v>
      </c>
      <c r="D134" t="s">
        <v>2593</v>
      </c>
      <c r="E134" t="s">
        <v>2727</v>
      </c>
      <c r="F134" s="451">
        <v>46181</v>
      </c>
      <c r="G134" s="451">
        <v>46181</v>
      </c>
      <c r="H134" s="451">
        <v>46209</v>
      </c>
      <c r="I134">
        <v>739</v>
      </c>
      <c r="J134">
        <v>739</v>
      </c>
      <c r="K134">
        <v>739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464</v>
      </c>
    </row>
    <row r="135" spans="1:17" x14ac:dyDescent="0.3">
      <c r="A135">
        <v>240710</v>
      </c>
      <c r="B135">
        <v>105</v>
      </c>
      <c r="C135" t="s">
        <v>557</v>
      </c>
      <c r="D135" t="s">
        <v>2593</v>
      </c>
      <c r="E135" t="s">
        <v>2728</v>
      </c>
      <c r="F135" s="451">
        <v>46192</v>
      </c>
      <c r="G135" s="451">
        <v>46195</v>
      </c>
      <c r="H135" s="451">
        <v>46220</v>
      </c>
      <c r="I135">
        <v>689</v>
      </c>
      <c r="J135">
        <v>689</v>
      </c>
      <c r="K135">
        <v>689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464</v>
      </c>
    </row>
    <row r="136" spans="1:17" x14ac:dyDescent="0.3">
      <c r="A136">
        <v>240708</v>
      </c>
      <c r="B136">
        <v>105</v>
      </c>
      <c r="C136" t="s">
        <v>557</v>
      </c>
      <c r="D136" t="s">
        <v>2729</v>
      </c>
      <c r="E136" t="s">
        <v>2730</v>
      </c>
      <c r="F136" s="451">
        <v>46188</v>
      </c>
      <c r="G136" s="451">
        <v>46190</v>
      </c>
      <c r="H136" s="451">
        <v>46202</v>
      </c>
      <c r="I136">
        <v>259.2</v>
      </c>
      <c r="J136">
        <v>259.2</v>
      </c>
      <c r="K136">
        <v>259.2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464</v>
      </c>
    </row>
    <row r="137" spans="1:17" x14ac:dyDescent="0.3">
      <c r="A137">
        <v>240704</v>
      </c>
      <c r="B137">
        <v>105</v>
      </c>
      <c r="C137" t="s">
        <v>557</v>
      </c>
      <c r="D137" t="s">
        <v>2729</v>
      </c>
      <c r="E137" t="s">
        <v>2731</v>
      </c>
      <c r="F137" s="451">
        <v>46188</v>
      </c>
      <c r="G137" s="451">
        <v>46190</v>
      </c>
      <c r="H137" s="451">
        <v>46202</v>
      </c>
      <c r="I137">
        <v>664.73</v>
      </c>
      <c r="J137">
        <v>664.73</v>
      </c>
      <c r="K137">
        <v>664.73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464</v>
      </c>
    </row>
    <row r="138" spans="1:17" x14ac:dyDescent="0.3">
      <c r="A138">
        <v>240702</v>
      </c>
      <c r="B138">
        <v>105</v>
      </c>
      <c r="C138" t="s">
        <v>557</v>
      </c>
      <c r="D138" t="s">
        <v>2732</v>
      </c>
      <c r="E138" t="s">
        <v>2733</v>
      </c>
      <c r="F138" s="451">
        <v>46188</v>
      </c>
      <c r="G138" s="451">
        <v>46190</v>
      </c>
      <c r="H138" s="451">
        <v>46202</v>
      </c>
      <c r="I138">
        <v>629.9</v>
      </c>
      <c r="J138">
        <v>629.9</v>
      </c>
      <c r="K138">
        <v>629.9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464</v>
      </c>
    </row>
    <row r="139" spans="1:17" x14ac:dyDescent="0.3">
      <c r="A139">
        <v>240697</v>
      </c>
      <c r="B139">
        <v>105</v>
      </c>
      <c r="C139" t="s">
        <v>557</v>
      </c>
      <c r="D139" t="s">
        <v>2732</v>
      </c>
      <c r="E139" t="s">
        <v>2734</v>
      </c>
      <c r="F139" s="451">
        <v>46195</v>
      </c>
      <c r="G139" s="451">
        <v>46195</v>
      </c>
      <c r="H139" s="451">
        <v>46209</v>
      </c>
      <c r="I139">
        <v>1413.51</v>
      </c>
      <c r="J139">
        <v>1413.51</v>
      </c>
      <c r="K139">
        <v>1413.51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464</v>
      </c>
    </row>
    <row r="140" spans="1:17" x14ac:dyDescent="0.3">
      <c r="A140">
        <v>240696</v>
      </c>
      <c r="B140">
        <v>105</v>
      </c>
      <c r="C140" t="s">
        <v>557</v>
      </c>
      <c r="D140" t="s">
        <v>2653</v>
      </c>
      <c r="E140" t="s">
        <v>2735</v>
      </c>
      <c r="F140" s="451">
        <v>46189</v>
      </c>
      <c r="G140" s="451">
        <v>46190</v>
      </c>
      <c r="H140" s="451">
        <v>46203</v>
      </c>
      <c r="I140">
        <v>201.08</v>
      </c>
      <c r="J140">
        <v>171.08</v>
      </c>
      <c r="K140">
        <v>201.08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464</v>
      </c>
    </row>
    <row r="141" spans="1:17" x14ac:dyDescent="0.3">
      <c r="A141">
        <v>240695</v>
      </c>
      <c r="B141">
        <v>105</v>
      </c>
      <c r="C141" t="s">
        <v>557</v>
      </c>
      <c r="D141" t="s">
        <v>2557</v>
      </c>
      <c r="E141" t="s">
        <v>2736</v>
      </c>
      <c r="F141" s="451">
        <v>46206</v>
      </c>
      <c r="G141" s="451">
        <v>46177</v>
      </c>
      <c r="H141" s="451">
        <v>46205</v>
      </c>
      <c r="I141">
        <v>1219.1300000000001</v>
      </c>
      <c r="J141">
        <v>1216.1300000000001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1219.1300000000001</v>
      </c>
      <c r="Q141" t="s">
        <v>464</v>
      </c>
    </row>
    <row r="142" spans="1:17" x14ac:dyDescent="0.3">
      <c r="A142">
        <v>240692</v>
      </c>
      <c r="B142">
        <v>105</v>
      </c>
      <c r="C142" t="s">
        <v>557</v>
      </c>
      <c r="D142" t="s">
        <v>2554</v>
      </c>
      <c r="E142" t="s">
        <v>2737</v>
      </c>
      <c r="F142" s="451">
        <v>46189</v>
      </c>
      <c r="G142" s="451">
        <v>46192</v>
      </c>
      <c r="H142" s="451">
        <v>46203</v>
      </c>
      <c r="I142">
        <v>812.93</v>
      </c>
      <c r="J142">
        <v>812.89</v>
      </c>
      <c r="K142">
        <v>0</v>
      </c>
      <c r="L142">
        <v>0</v>
      </c>
      <c r="M142">
        <v>462.91</v>
      </c>
      <c r="N142">
        <v>0</v>
      </c>
      <c r="O142">
        <v>0</v>
      </c>
      <c r="P142">
        <v>350.02</v>
      </c>
      <c r="Q142" t="s">
        <v>464</v>
      </c>
    </row>
    <row r="143" spans="1:17" x14ac:dyDescent="0.3">
      <c r="A143">
        <v>240691</v>
      </c>
      <c r="B143">
        <v>105</v>
      </c>
      <c r="C143" t="s">
        <v>557</v>
      </c>
      <c r="D143" t="s">
        <v>2552</v>
      </c>
      <c r="E143" t="s">
        <v>2738</v>
      </c>
      <c r="F143" s="451">
        <v>46189</v>
      </c>
      <c r="G143" s="451">
        <v>46191</v>
      </c>
      <c r="H143" s="451">
        <v>46203</v>
      </c>
      <c r="I143">
        <v>183</v>
      </c>
      <c r="J143">
        <v>158</v>
      </c>
      <c r="K143">
        <v>183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464</v>
      </c>
    </row>
    <row r="144" spans="1:17" x14ac:dyDescent="0.3">
      <c r="A144">
        <v>240689</v>
      </c>
      <c r="B144">
        <v>105</v>
      </c>
      <c r="C144" t="s">
        <v>557</v>
      </c>
      <c r="D144" t="s">
        <v>2597</v>
      </c>
      <c r="E144" t="s">
        <v>2739</v>
      </c>
      <c r="F144" s="451">
        <v>46182</v>
      </c>
      <c r="G144" s="451">
        <v>46182</v>
      </c>
      <c r="H144" s="451">
        <v>46210</v>
      </c>
      <c r="I144">
        <v>4651.45</v>
      </c>
      <c r="J144">
        <v>4651.45</v>
      </c>
      <c r="K144">
        <v>4651.45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464</v>
      </c>
    </row>
    <row r="145" spans="1:17" x14ac:dyDescent="0.3">
      <c r="A145">
        <v>240687</v>
      </c>
      <c r="B145">
        <v>105</v>
      </c>
      <c r="C145" t="s">
        <v>557</v>
      </c>
      <c r="D145" t="s">
        <v>2550</v>
      </c>
      <c r="E145" t="s">
        <v>2740</v>
      </c>
      <c r="F145" s="451">
        <v>46174</v>
      </c>
      <c r="G145" s="451">
        <v>46175</v>
      </c>
      <c r="H145" s="451">
        <v>46204</v>
      </c>
      <c r="I145">
        <v>811.31</v>
      </c>
      <c r="J145">
        <v>761.8</v>
      </c>
      <c r="K145">
        <v>0</v>
      </c>
      <c r="L145">
        <v>811.31</v>
      </c>
      <c r="M145">
        <v>0</v>
      </c>
      <c r="N145">
        <v>0</v>
      </c>
      <c r="O145">
        <v>0</v>
      </c>
      <c r="P145">
        <v>0</v>
      </c>
      <c r="Q145" t="s">
        <v>464</v>
      </c>
    </row>
    <row r="146" spans="1:17" x14ac:dyDescent="0.3">
      <c r="A146">
        <v>240031</v>
      </c>
      <c r="B146">
        <v>105</v>
      </c>
      <c r="C146" t="s">
        <v>557</v>
      </c>
      <c r="D146" t="s">
        <v>2579</v>
      </c>
      <c r="E146" t="s">
        <v>2741</v>
      </c>
      <c r="F146" s="451">
        <v>46188</v>
      </c>
      <c r="G146" s="451">
        <v>46190</v>
      </c>
      <c r="H146" s="451">
        <v>46216</v>
      </c>
      <c r="I146">
        <v>102.05</v>
      </c>
      <c r="J146">
        <v>101.27</v>
      </c>
      <c r="K146">
        <v>102.05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464</v>
      </c>
    </row>
    <row r="147" spans="1:17" x14ac:dyDescent="0.3">
      <c r="A147">
        <v>240030</v>
      </c>
      <c r="B147">
        <v>105</v>
      </c>
      <c r="C147" t="s">
        <v>557</v>
      </c>
      <c r="D147" t="s">
        <v>2579</v>
      </c>
      <c r="E147" t="s">
        <v>2742</v>
      </c>
      <c r="F147" s="451">
        <v>46185</v>
      </c>
      <c r="G147" s="451">
        <v>46188</v>
      </c>
      <c r="H147" s="451">
        <v>46213</v>
      </c>
      <c r="I147">
        <v>155.35</v>
      </c>
      <c r="J147">
        <v>155.35</v>
      </c>
      <c r="K147">
        <v>155.35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464</v>
      </c>
    </row>
    <row r="148" spans="1:17" x14ac:dyDescent="0.3">
      <c r="A148">
        <v>240015</v>
      </c>
      <c r="B148">
        <v>105</v>
      </c>
      <c r="C148" t="s">
        <v>557</v>
      </c>
      <c r="D148" t="s">
        <v>2579</v>
      </c>
      <c r="E148" t="s">
        <v>2743</v>
      </c>
      <c r="F148" s="451">
        <v>46184</v>
      </c>
      <c r="G148" s="451">
        <v>46185</v>
      </c>
      <c r="H148" s="451">
        <v>46210</v>
      </c>
      <c r="I148">
        <v>471.28</v>
      </c>
      <c r="J148">
        <v>428.37</v>
      </c>
      <c r="K148">
        <v>471.28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464</v>
      </c>
    </row>
    <row r="149" spans="1:17" x14ac:dyDescent="0.3">
      <c r="A149">
        <v>240010</v>
      </c>
      <c r="B149">
        <v>105</v>
      </c>
      <c r="C149" t="s">
        <v>557</v>
      </c>
      <c r="D149" t="s">
        <v>2579</v>
      </c>
      <c r="E149" t="s">
        <v>2744</v>
      </c>
      <c r="F149" s="451">
        <v>46181</v>
      </c>
      <c r="G149" s="451">
        <v>46182</v>
      </c>
      <c r="H149" s="451">
        <v>46209</v>
      </c>
      <c r="I149">
        <v>244.59</v>
      </c>
      <c r="J149">
        <v>244.59</v>
      </c>
      <c r="K149">
        <v>244.59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464</v>
      </c>
    </row>
    <row r="150" spans="1:17" x14ac:dyDescent="0.3">
      <c r="A150">
        <v>240008</v>
      </c>
      <c r="B150">
        <v>105</v>
      </c>
      <c r="C150" t="s">
        <v>557</v>
      </c>
      <c r="D150" t="s">
        <v>2579</v>
      </c>
      <c r="E150" t="s">
        <v>2745</v>
      </c>
      <c r="F150" s="451">
        <v>46178</v>
      </c>
      <c r="G150" s="451">
        <v>46181</v>
      </c>
      <c r="H150" s="451">
        <v>46206</v>
      </c>
      <c r="I150">
        <v>428.98</v>
      </c>
      <c r="J150">
        <v>428.95</v>
      </c>
      <c r="K150">
        <v>428.98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464</v>
      </c>
    </row>
    <row r="151" spans="1:17" x14ac:dyDescent="0.3">
      <c r="A151">
        <v>240007</v>
      </c>
      <c r="B151">
        <v>105</v>
      </c>
      <c r="C151" t="s">
        <v>557</v>
      </c>
      <c r="D151" t="s">
        <v>2746</v>
      </c>
      <c r="E151" t="s">
        <v>2747</v>
      </c>
      <c r="F151" s="451">
        <v>46174</v>
      </c>
      <c r="G151" s="451">
        <v>46165</v>
      </c>
      <c r="H151" s="451">
        <v>46202</v>
      </c>
      <c r="I151">
        <v>1850</v>
      </c>
      <c r="J151">
        <v>1850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463</v>
      </c>
    </row>
    <row r="152" spans="1:17" x14ac:dyDescent="0.3">
      <c r="A152">
        <v>240001</v>
      </c>
      <c r="B152">
        <v>105</v>
      </c>
      <c r="C152" t="s">
        <v>557</v>
      </c>
      <c r="D152" t="s">
        <v>2579</v>
      </c>
      <c r="E152" t="s">
        <v>2748</v>
      </c>
      <c r="F152" s="451">
        <v>46176</v>
      </c>
      <c r="G152" s="451">
        <v>46177</v>
      </c>
      <c r="H152" s="451">
        <v>46204</v>
      </c>
      <c r="I152">
        <v>103.1</v>
      </c>
      <c r="J152">
        <v>103.1</v>
      </c>
      <c r="K152">
        <v>103.1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464</v>
      </c>
    </row>
    <row r="153" spans="1:17" x14ac:dyDescent="0.3">
      <c r="A153">
        <v>240000</v>
      </c>
      <c r="B153">
        <v>105</v>
      </c>
      <c r="C153" t="s">
        <v>557</v>
      </c>
      <c r="D153" t="s">
        <v>2585</v>
      </c>
      <c r="E153" t="s">
        <v>2749</v>
      </c>
      <c r="F153" s="451">
        <v>46177</v>
      </c>
      <c r="G153" s="451">
        <v>46192</v>
      </c>
      <c r="H153" s="451">
        <v>46205</v>
      </c>
      <c r="I153">
        <v>1220.77</v>
      </c>
      <c r="J153">
        <v>1220.77</v>
      </c>
      <c r="K153">
        <v>1220.77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464</v>
      </c>
    </row>
    <row r="154" spans="1:17" x14ac:dyDescent="0.3">
      <c r="A154">
        <v>239958</v>
      </c>
      <c r="B154">
        <v>105</v>
      </c>
      <c r="C154" t="s">
        <v>557</v>
      </c>
      <c r="D154" t="s">
        <v>2577</v>
      </c>
      <c r="E154" t="s">
        <v>2750</v>
      </c>
      <c r="F154" s="451">
        <v>46182</v>
      </c>
      <c r="G154" s="451">
        <v>46183</v>
      </c>
      <c r="H154" s="451">
        <v>46192</v>
      </c>
      <c r="I154">
        <v>0</v>
      </c>
      <c r="J154">
        <v>120.96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464</v>
      </c>
    </row>
    <row r="155" spans="1:17" x14ac:dyDescent="0.3">
      <c r="A155">
        <v>239955</v>
      </c>
      <c r="B155">
        <v>105</v>
      </c>
      <c r="C155" t="s">
        <v>557</v>
      </c>
      <c r="D155" t="s">
        <v>2581</v>
      </c>
      <c r="E155" t="s">
        <v>2751</v>
      </c>
      <c r="F155" s="451">
        <v>46190</v>
      </c>
      <c r="G155" s="451">
        <v>46191</v>
      </c>
      <c r="H155" s="451">
        <v>46218</v>
      </c>
      <c r="I155">
        <v>144.9</v>
      </c>
      <c r="J155">
        <v>144.9</v>
      </c>
      <c r="K155">
        <v>144.9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464</v>
      </c>
    </row>
    <row r="156" spans="1:17" x14ac:dyDescent="0.3">
      <c r="A156">
        <v>239953</v>
      </c>
      <c r="B156">
        <v>105</v>
      </c>
      <c r="C156" t="s">
        <v>557</v>
      </c>
      <c r="D156" t="s">
        <v>2581</v>
      </c>
      <c r="E156" t="s">
        <v>2752</v>
      </c>
      <c r="F156" s="451">
        <v>46189</v>
      </c>
      <c r="G156" s="451">
        <v>46190</v>
      </c>
      <c r="H156" s="451">
        <v>46217</v>
      </c>
      <c r="I156">
        <v>120</v>
      </c>
      <c r="J156">
        <v>120</v>
      </c>
      <c r="K156">
        <v>120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464</v>
      </c>
    </row>
    <row r="157" spans="1:17" x14ac:dyDescent="0.3">
      <c r="A157">
        <v>239951</v>
      </c>
      <c r="B157">
        <v>105</v>
      </c>
      <c r="C157" t="s">
        <v>557</v>
      </c>
      <c r="D157" t="s">
        <v>2581</v>
      </c>
      <c r="E157" t="s">
        <v>2753</v>
      </c>
      <c r="F157" s="451">
        <v>46188</v>
      </c>
      <c r="G157" s="451">
        <v>46190</v>
      </c>
      <c r="H157" s="451">
        <v>46216</v>
      </c>
      <c r="I157">
        <v>115.4</v>
      </c>
      <c r="J157">
        <v>115.4</v>
      </c>
      <c r="K157">
        <v>115.4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464</v>
      </c>
    </row>
    <row r="158" spans="1:17" x14ac:dyDescent="0.3">
      <c r="A158">
        <v>239948</v>
      </c>
      <c r="B158">
        <v>105</v>
      </c>
      <c r="C158" t="s">
        <v>557</v>
      </c>
      <c r="D158" t="s">
        <v>2581</v>
      </c>
      <c r="E158" t="s">
        <v>2754</v>
      </c>
      <c r="F158" s="451">
        <v>46184</v>
      </c>
      <c r="G158" s="451">
        <v>46185</v>
      </c>
      <c r="H158" s="451">
        <v>46212</v>
      </c>
      <c r="I158">
        <v>709.65</v>
      </c>
      <c r="J158">
        <v>709.65</v>
      </c>
      <c r="K158">
        <v>709.65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464</v>
      </c>
    </row>
    <row r="159" spans="1:17" x14ac:dyDescent="0.3">
      <c r="A159">
        <v>239938</v>
      </c>
      <c r="B159">
        <v>105</v>
      </c>
      <c r="C159" t="s">
        <v>557</v>
      </c>
      <c r="D159" t="s">
        <v>2581</v>
      </c>
      <c r="E159" t="s">
        <v>2755</v>
      </c>
      <c r="F159" s="451">
        <v>46183</v>
      </c>
      <c r="G159" s="451">
        <v>46184</v>
      </c>
      <c r="H159" s="451">
        <v>46211</v>
      </c>
      <c r="I159">
        <v>213</v>
      </c>
      <c r="J159">
        <v>213</v>
      </c>
      <c r="K159">
        <v>213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464</v>
      </c>
    </row>
    <row r="160" spans="1:17" x14ac:dyDescent="0.3">
      <c r="A160">
        <v>239934</v>
      </c>
      <c r="B160">
        <v>105</v>
      </c>
      <c r="C160" t="s">
        <v>557</v>
      </c>
      <c r="D160" t="s">
        <v>2581</v>
      </c>
      <c r="E160" t="s">
        <v>2756</v>
      </c>
      <c r="F160" s="451">
        <v>46182</v>
      </c>
      <c r="G160" s="451">
        <v>46183</v>
      </c>
      <c r="H160" s="451">
        <v>46210</v>
      </c>
      <c r="I160">
        <v>168.95</v>
      </c>
      <c r="J160">
        <v>168.95</v>
      </c>
      <c r="K160">
        <v>168.95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464</v>
      </c>
    </row>
    <row r="161" spans="1:17" x14ac:dyDescent="0.3">
      <c r="A161">
        <v>239932</v>
      </c>
      <c r="B161">
        <v>105</v>
      </c>
      <c r="C161" t="s">
        <v>557</v>
      </c>
      <c r="D161" t="s">
        <v>2581</v>
      </c>
      <c r="E161" t="s">
        <v>2757</v>
      </c>
      <c r="F161" s="451">
        <v>46181</v>
      </c>
      <c r="G161" s="451">
        <v>46182</v>
      </c>
      <c r="H161" s="451">
        <v>46209</v>
      </c>
      <c r="I161">
        <v>614.35</v>
      </c>
      <c r="J161">
        <v>614.35</v>
      </c>
      <c r="K161">
        <v>614.35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464</v>
      </c>
    </row>
    <row r="162" spans="1:17" x14ac:dyDescent="0.3">
      <c r="A162">
        <v>239931</v>
      </c>
      <c r="B162">
        <v>105</v>
      </c>
      <c r="C162" t="s">
        <v>557</v>
      </c>
      <c r="D162" t="s">
        <v>2581</v>
      </c>
      <c r="E162" t="s">
        <v>2758</v>
      </c>
      <c r="F162" s="451">
        <v>46178</v>
      </c>
      <c r="G162" s="451">
        <v>46179</v>
      </c>
      <c r="H162" s="451">
        <v>46206</v>
      </c>
      <c r="I162">
        <v>112.5</v>
      </c>
      <c r="J162">
        <v>112.5</v>
      </c>
      <c r="K162">
        <v>112.5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464</v>
      </c>
    </row>
    <row r="163" spans="1:17" x14ac:dyDescent="0.3">
      <c r="A163">
        <v>239929</v>
      </c>
      <c r="B163">
        <v>105</v>
      </c>
      <c r="C163" t="s">
        <v>557</v>
      </c>
      <c r="D163" t="s">
        <v>2581</v>
      </c>
      <c r="E163" t="s">
        <v>2759</v>
      </c>
      <c r="F163" s="451">
        <v>46177</v>
      </c>
      <c r="G163" s="451">
        <v>46178</v>
      </c>
      <c r="H163" s="451">
        <v>46205</v>
      </c>
      <c r="I163">
        <v>176.7</v>
      </c>
      <c r="J163">
        <v>176.7</v>
      </c>
      <c r="K163">
        <v>176.7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464</v>
      </c>
    </row>
    <row r="164" spans="1:17" x14ac:dyDescent="0.3">
      <c r="A164">
        <v>239927</v>
      </c>
      <c r="B164">
        <v>105</v>
      </c>
      <c r="C164" t="s">
        <v>557</v>
      </c>
      <c r="D164" t="s">
        <v>2581</v>
      </c>
      <c r="E164" t="s">
        <v>2760</v>
      </c>
      <c r="F164" s="451">
        <v>46176</v>
      </c>
      <c r="G164" s="451">
        <v>46177</v>
      </c>
      <c r="H164" s="451">
        <v>46204</v>
      </c>
      <c r="I164">
        <v>98.95</v>
      </c>
      <c r="J164">
        <v>98.95</v>
      </c>
      <c r="K164">
        <v>98.95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464</v>
      </c>
    </row>
    <row r="165" spans="1:17" x14ac:dyDescent="0.3">
      <c r="A165">
        <v>239926</v>
      </c>
      <c r="B165">
        <v>105</v>
      </c>
      <c r="C165" t="s">
        <v>557</v>
      </c>
      <c r="D165" t="s">
        <v>2637</v>
      </c>
      <c r="E165" t="s">
        <v>2761</v>
      </c>
      <c r="F165" s="451">
        <v>46182</v>
      </c>
      <c r="G165" s="451">
        <v>46183</v>
      </c>
      <c r="H165" s="451">
        <v>46210</v>
      </c>
      <c r="I165">
        <v>394.8</v>
      </c>
      <c r="J165">
        <v>394.8</v>
      </c>
      <c r="K165">
        <v>0</v>
      </c>
      <c r="L165">
        <v>394.8</v>
      </c>
      <c r="M165">
        <v>0</v>
      </c>
      <c r="N165">
        <v>0</v>
      </c>
      <c r="O165">
        <v>0</v>
      </c>
      <c r="P165">
        <v>0</v>
      </c>
      <c r="Q165" t="s">
        <v>464</v>
      </c>
    </row>
    <row r="166" spans="1:17" x14ac:dyDescent="0.3">
      <c r="A166">
        <v>239925</v>
      </c>
      <c r="B166">
        <v>105</v>
      </c>
      <c r="C166" t="s">
        <v>557</v>
      </c>
      <c r="D166" t="s">
        <v>2607</v>
      </c>
      <c r="E166" t="s">
        <v>2762</v>
      </c>
      <c r="F166" s="451">
        <v>46188</v>
      </c>
      <c r="G166" s="451">
        <v>46190</v>
      </c>
      <c r="H166" s="451">
        <v>46216</v>
      </c>
      <c r="I166">
        <v>995.4</v>
      </c>
      <c r="J166">
        <v>995.4</v>
      </c>
      <c r="K166">
        <v>995.4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464</v>
      </c>
    </row>
    <row r="167" spans="1:17" x14ac:dyDescent="0.3">
      <c r="A167">
        <v>239924</v>
      </c>
      <c r="B167">
        <v>105</v>
      </c>
      <c r="C167" t="s">
        <v>557</v>
      </c>
      <c r="D167" t="s">
        <v>2607</v>
      </c>
      <c r="E167" t="s">
        <v>2763</v>
      </c>
      <c r="F167" s="451">
        <v>46188</v>
      </c>
      <c r="G167" s="451">
        <v>46190</v>
      </c>
      <c r="H167" s="451">
        <v>46216</v>
      </c>
      <c r="I167">
        <v>3029.01</v>
      </c>
      <c r="J167">
        <v>3029.01</v>
      </c>
      <c r="K167">
        <v>3029.01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464</v>
      </c>
    </row>
    <row r="168" spans="1:17" x14ac:dyDescent="0.3">
      <c r="A168">
        <v>239923</v>
      </c>
      <c r="B168">
        <v>105</v>
      </c>
      <c r="C168" t="s">
        <v>557</v>
      </c>
      <c r="D168" t="s">
        <v>2607</v>
      </c>
      <c r="E168" t="s">
        <v>2764</v>
      </c>
      <c r="F168" s="451">
        <v>46182</v>
      </c>
      <c r="G168" s="451">
        <v>46183</v>
      </c>
      <c r="H168" s="451">
        <v>46210</v>
      </c>
      <c r="I168">
        <v>145</v>
      </c>
      <c r="J168">
        <v>145</v>
      </c>
      <c r="K168">
        <v>145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464</v>
      </c>
    </row>
    <row r="169" spans="1:17" x14ac:dyDescent="0.3">
      <c r="A169">
        <v>239922</v>
      </c>
      <c r="B169">
        <v>105</v>
      </c>
      <c r="C169" t="s">
        <v>557</v>
      </c>
      <c r="D169" t="s">
        <v>2607</v>
      </c>
      <c r="E169" t="s">
        <v>2765</v>
      </c>
      <c r="F169" s="451">
        <v>46181</v>
      </c>
      <c r="G169" s="451">
        <v>46182</v>
      </c>
      <c r="H169" s="451">
        <v>46210</v>
      </c>
      <c r="I169">
        <v>2777.91</v>
      </c>
      <c r="J169">
        <v>2777.91</v>
      </c>
      <c r="K169">
        <v>2777.91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464</v>
      </c>
    </row>
    <row r="170" spans="1:17" x14ac:dyDescent="0.3">
      <c r="A170">
        <v>239920</v>
      </c>
      <c r="B170">
        <v>105</v>
      </c>
      <c r="C170" t="s">
        <v>557</v>
      </c>
      <c r="D170" t="s">
        <v>2588</v>
      </c>
      <c r="E170" t="s">
        <v>2766</v>
      </c>
      <c r="F170" s="451">
        <v>46178</v>
      </c>
      <c r="G170" s="451">
        <v>46181</v>
      </c>
      <c r="H170" s="451">
        <v>46209</v>
      </c>
      <c r="I170">
        <v>517.79999999999995</v>
      </c>
      <c r="J170">
        <v>517.79999999999995</v>
      </c>
      <c r="K170">
        <v>517.79999999999995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464</v>
      </c>
    </row>
    <row r="171" spans="1:17" x14ac:dyDescent="0.3">
      <c r="A171">
        <v>239908</v>
      </c>
      <c r="B171">
        <v>105</v>
      </c>
      <c r="C171" t="s">
        <v>557</v>
      </c>
      <c r="D171" t="s">
        <v>2642</v>
      </c>
      <c r="E171" t="s">
        <v>2767</v>
      </c>
      <c r="F171" s="451">
        <v>46182</v>
      </c>
      <c r="G171" s="451">
        <v>46183</v>
      </c>
      <c r="H171" s="451">
        <v>46210</v>
      </c>
      <c r="I171">
        <v>416</v>
      </c>
      <c r="J171">
        <v>416</v>
      </c>
      <c r="K171">
        <v>0</v>
      </c>
      <c r="L171">
        <v>416</v>
      </c>
      <c r="M171">
        <v>0</v>
      </c>
      <c r="N171">
        <v>0</v>
      </c>
      <c r="O171">
        <v>0</v>
      </c>
      <c r="P171">
        <v>0</v>
      </c>
      <c r="Q171" t="s">
        <v>464</v>
      </c>
    </row>
    <row r="172" spans="1:17" x14ac:dyDescent="0.3">
      <c r="A172">
        <v>239907</v>
      </c>
      <c r="B172">
        <v>105</v>
      </c>
      <c r="C172" t="s">
        <v>557</v>
      </c>
      <c r="D172" t="s">
        <v>2644</v>
      </c>
      <c r="E172" t="s">
        <v>2768</v>
      </c>
      <c r="F172" s="451">
        <v>46181</v>
      </c>
      <c r="G172" s="451">
        <v>46183</v>
      </c>
      <c r="H172" s="451">
        <v>46216</v>
      </c>
      <c r="I172">
        <v>109.1</v>
      </c>
      <c r="J172">
        <v>109.1</v>
      </c>
      <c r="K172">
        <v>0</v>
      </c>
      <c r="L172">
        <v>0</v>
      </c>
      <c r="M172">
        <v>109.1</v>
      </c>
      <c r="N172">
        <v>0</v>
      </c>
      <c r="O172">
        <v>0</v>
      </c>
      <c r="P172">
        <v>0</v>
      </c>
      <c r="Q172" t="s">
        <v>464</v>
      </c>
    </row>
    <row r="173" spans="1:17" x14ac:dyDescent="0.3">
      <c r="A173">
        <v>239906</v>
      </c>
      <c r="B173">
        <v>105</v>
      </c>
      <c r="C173" t="s">
        <v>557</v>
      </c>
      <c r="D173" t="s">
        <v>2644</v>
      </c>
      <c r="E173" t="s">
        <v>2769</v>
      </c>
      <c r="F173" s="451">
        <v>46181</v>
      </c>
      <c r="G173" s="451">
        <v>46182</v>
      </c>
      <c r="H173" s="451">
        <v>46216</v>
      </c>
      <c r="I173">
        <v>421.02</v>
      </c>
      <c r="J173">
        <v>204.7</v>
      </c>
      <c r="K173">
        <v>421.02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464</v>
      </c>
    </row>
    <row r="174" spans="1:17" x14ac:dyDescent="0.3">
      <c r="A174">
        <v>239903</v>
      </c>
      <c r="B174">
        <v>105</v>
      </c>
      <c r="C174" t="s">
        <v>557</v>
      </c>
      <c r="D174" t="s">
        <v>2590</v>
      </c>
      <c r="E174" t="s">
        <v>2770</v>
      </c>
      <c r="F174" s="451">
        <v>46186</v>
      </c>
      <c r="G174" s="451">
        <v>46191</v>
      </c>
      <c r="H174" s="451">
        <v>46218</v>
      </c>
      <c r="I174">
        <v>2896.8</v>
      </c>
      <c r="J174">
        <v>2896.8</v>
      </c>
      <c r="K174">
        <v>0</v>
      </c>
      <c r="L174">
        <v>2896.8</v>
      </c>
      <c r="M174">
        <v>0</v>
      </c>
      <c r="N174">
        <v>0</v>
      </c>
      <c r="O174">
        <v>0</v>
      </c>
      <c r="P174">
        <v>0</v>
      </c>
      <c r="Q174" t="s">
        <v>464</v>
      </c>
    </row>
    <row r="175" spans="1:17" x14ac:dyDescent="0.3">
      <c r="A175">
        <v>239901</v>
      </c>
      <c r="B175">
        <v>105</v>
      </c>
      <c r="C175" t="s">
        <v>557</v>
      </c>
      <c r="D175" t="s">
        <v>2590</v>
      </c>
      <c r="E175" t="s">
        <v>2771</v>
      </c>
      <c r="F175" s="451">
        <v>46186</v>
      </c>
      <c r="G175" s="451">
        <v>46188</v>
      </c>
      <c r="H175" s="451">
        <v>46218</v>
      </c>
      <c r="I175">
        <v>1305.27</v>
      </c>
      <c r="J175">
        <v>5927.49</v>
      </c>
      <c r="K175">
        <v>0</v>
      </c>
      <c r="L175">
        <v>1305.27</v>
      </c>
      <c r="M175">
        <v>0</v>
      </c>
      <c r="N175">
        <v>0</v>
      </c>
      <c r="O175">
        <v>0</v>
      </c>
      <c r="P175">
        <v>0</v>
      </c>
      <c r="Q175" t="s">
        <v>464</v>
      </c>
    </row>
    <row r="176" spans="1:17" x14ac:dyDescent="0.3">
      <c r="A176">
        <v>239900</v>
      </c>
      <c r="B176">
        <v>105</v>
      </c>
      <c r="C176" t="s">
        <v>557</v>
      </c>
      <c r="D176" t="s">
        <v>2590</v>
      </c>
      <c r="E176" t="s">
        <v>2772</v>
      </c>
      <c r="F176" s="451">
        <v>46184</v>
      </c>
      <c r="G176" s="451">
        <v>46188</v>
      </c>
      <c r="H176" s="451">
        <v>46216</v>
      </c>
      <c r="I176">
        <v>4830</v>
      </c>
      <c r="J176">
        <v>5927.49</v>
      </c>
      <c r="K176">
        <v>0</v>
      </c>
      <c r="L176">
        <v>4830</v>
      </c>
      <c r="M176">
        <v>0</v>
      </c>
      <c r="N176">
        <v>0</v>
      </c>
      <c r="O176">
        <v>0</v>
      </c>
      <c r="P176">
        <v>0</v>
      </c>
      <c r="Q176" t="s">
        <v>464</v>
      </c>
    </row>
    <row r="177" spans="1:17" x14ac:dyDescent="0.3">
      <c r="A177">
        <v>239532</v>
      </c>
      <c r="B177">
        <v>105</v>
      </c>
      <c r="C177" t="s">
        <v>557</v>
      </c>
      <c r="D177" t="s">
        <v>2615</v>
      </c>
      <c r="E177" t="s">
        <v>2773</v>
      </c>
      <c r="F177" s="451">
        <v>46182</v>
      </c>
      <c r="G177" s="451">
        <v>46182</v>
      </c>
      <c r="H177" s="451">
        <v>46202</v>
      </c>
      <c r="I177">
        <v>123.9</v>
      </c>
      <c r="J177">
        <v>123.9</v>
      </c>
      <c r="K177">
        <v>123.9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464</v>
      </c>
    </row>
    <row r="178" spans="1:17" x14ac:dyDescent="0.3">
      <c r="A178">
        <v>239531</v>
      </c>
      <c r="B178">
        <v>105</v>
      </c>
      <c r="C178" t="s">
        <v>557</v>
      </c>
      <c r="D178" t="s">
        <v>2607</v>
      </c>
      <c r="E178" t="s">
        <v>2774</v>
      </c>
      <c r="F178" s="451">
        <v>46174</v>
      </c>
      <c r="G178" s="451">
        <v>46175</v>
      </c>
      <c r="H178" s="451">
        <v>46202</v>
      </c>
      <c r="I178">
        <v>2389.25</v>
      </c>
      <c r="J178">
        <v>2389.25</v>
      </c>
      <c r="K178">
        <v>2389.25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464</v>
      </c>
    </row>
    <row r="179" spans="1:17" x14ac:dyDescent="0.3">
      <c r="A179">
        <v>239530</v>
      </c>
      <c r="B179">
        <v>105</v>
      </c>
      <c r="C179" t="s">
        <v>557</v>
      </c>
      <c r="D179" t="s">
        <v>2707</v>
      </c>
      <c r="E179" t="s">
        <v>2775</v>
      </c>
      <c r="F179" s="451">
        <v>46181</v>
      </c>
      <c r="G179" s="451">
        <v>46181</v>
      </c>
      <c r="H179" s="451">
        <v>46195</v>
      </c>
      <c r="I179">
        <v>252.28</v>
      </c>
      <c r="J179">
        <v>252.28</v>
      </c>
      <c r="K179">
        <v>252.28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464</v>
      </c>
    </row>
    <row r="180" spans="1:17" x14ac:dyDescent="0.3">
      <c r="A180">
        <v>239529</v>
      </c>
      <c r="B180">
        <v>105</v>
      </c>
      <c r="C180" t="s">
        <v>557</v>
      </c>
      <c r="D180" t="s">
        <v>2707</v>
      </c>
      <c r="E180" t="s">
        <v>2776</v>
      </c>
      <c r="F180" s="451">
        <v>46188</v>
      </c>
      <c r="G180" s="451">
        <v>46188</v>
      </c>
      <c r="H180" s="451">
        <v>46202</v>
      </c>
      <c r="I180">
        <v>138.04</v>
      </c>
      <c r="J180">
        <v>138.04</v>
      </c>
      <c r="K180">
        <v>138.04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464</v>
      </c>
    </row>
    <row r="181" spans="1:17" x14ac:dyDescent="0.3">
      <c r="A181">
        <v>239528</v>
      </c>
      <c r="B181">
        <v>105</v>
      </c>
      <c r="C181" t="s">
        <v>557</v>
      </c>
      <c r="D181" t="s">
        <v>2705</v>
      </c>
      <c r="E181" t="s">
        <v>2777</v>
      </c>
      <c r="F181" s="451">
        <v>46182</v>
      </c>
      <c r="G181" s="451">
        <v>46182</v>
      </c>
      <c r="H181" s="451">
        <v>46195</v>
      </c>
      <c r="I181">
        <v>692</v>
      </c>
      <c r="J181">
        <v>692</v>
      </c>
      <c r="K181">
        <v>0</v>
      </c>
      <c r="L181">
        <v>0</v>
      </c>
      <c r="M181">
        <v>0</v>
      </c>
      <c r="N181">
        <v>692</v>
      </c>
      <c r="O181">
        <v>0</v>
      </c>
      <c r="P181">
        <v>0</v>
      </c>
      <c r="Q181" t="s">
        <v>464</v>
      </c>
    </row>
    <row r="182" spans="1:17" x14ac:dyDescent="0.3">
      <c r="A182">
        <v>239527</v>
      </c>
      <c r="B182">
        <v>105</v>
      </c>
      <c r="C182" t="s">
        <v>557</v>
      </c>
      <c r="D182" t="s">
        <v>2705</v>
      </c>
      <c r="E182" t="s">
        <v>2778</v>
      </c>
      <c r="F182" s="451">
        <v>46188</v>
      </c>
      <c r="G182" s="451">
        <v>46190</v>
      </c>
      <c r="H182" s="451">
        <v>46202</v>
      </c>
      <c r="I182">
        <v>692</v>
      </c>
      <c r="J182">
        <v>692</v>
      </c>
      <c r="K182">
        <v>0</v>
      </c>
      <c r="L182">
        <v>0</v>
      </c>
      <c r="M182">
        <v>0</v>
      </c>
      <c r="N182">
        <v>692</v>
      </c>
      <c r="O182">
        <v>0</v>
      </c>
      <c r="P182">
        <v>0</v>
      </c>
      <c r="Q182" t="s">
        <v>464</v>
      </c>
    </row>
    <row r="183" spans="1:17" x14ac:dyDescent="0.3">
      <c r="A183">
        <v>239526</v>
      </c>
      <c r="B183">
        <v>105</v>
      </c>
      <c r="C183" t="s">
        <v>557</v>
      </c>
      <c r="D183" t="s">
        <v>2779</v>
      </c>
      <c r="E183" t="s">
        <v>2780</v>
      </c>
      <c r="F183" s="451">
        <v>46182</v>
      </c>
      <c r="G183" s="451">
        <v>46182</v>
      </c>
      <c r="H183" s="451">
        <v>46197</v>
      </c>
      <c r="I183">
        <v>1419.43</v>
      </c>
      <c r="J183">
        <v>1419.42</v>
      </c>
      <c r="K183">
        <v>1419.43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464</v>
      </c>
    </row>
    <row r="184" spans="1:17" x14ac:dyDescent="0.3">
      <c r="A184">
        <v>239525</v>
      </c>
      <c r="B184">
        <v>105</v>
      </c>
      <c r="C184" t="s">
        <v>557</v>
      </c>
      <c r="D184" t="s">
        <v>2581</v>
      </c>
      <c r="E184" t="s">
        <v>2781</v>
      </c>
      <c r="F184" s="451">
        <v>46174</v>
      </c>
      <c r="G184" s="451">
        <v>46175</v>
      </c>
      <c r="H184" s="451">
        <v>46202</v>
      </c>
      <c r="I184">
        <v>145.1</v>
      </c>
      <c r="J184">
        <v>145.1</v>
      </c>
      <c r="K184">
        <v>145.1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464</v>
      </c>
    </row>
    <row r="185" spans="1:17" x14ac:dyDescent="0.3">
      <c r="A185">
        <v>239524</v>
      </c>
      <c r="B185">
        <v>105</v>
      </c>
      <c r="C185" t="s">
        <v>557</v>
      </c>
      <c r="D185" t="s">
        <v>2627</v>
      </c>
      <c r="E185" t="s">
        <v>2782</v>
      </c>
      <c r="F185" s="451">
        <v>46182</v>
      </c>
      <c r="G185" s="451">
        <v>46182</v>
      </c>
      <c r="H185" s="451">
        <v>46203</v>
      </c>
      <c r="I185">
        <v>891.07</v>
      </c>
      <c r="J185">
        <v>864.8</v>
      </c>
      <c r="K185">
        <v>891.07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464</v>
      </c>
    </row>
    <row r="186" spans="1:17" x14ac:dyDescent="0.3">
      <c r="A186">
        <v>239523</v>
      </c>
      <c r="B186">
        <v>105</v>
      </c>
      <c r="C186" t="s">
        <v>557</v>
      </c>
      <c r="D186" t="s">
        <v>2605</v>
      </c>
      <c r="E186" t="s">
        <v>2783</v>
      </c>
      <c r="F186" s="451">
        <v>46174</v>
      </c>
      <c r="G186" s="451">
        <v>46175</v>
      </c>
      <c r="H186" s="451">
        <v>46203</v>
      </c>
      <c r="I186">
        <v>1068.1199999999999</v>
      </c>
      <c r="J186">
        <v>683.19</v>
      </c>
      <c r="K186">
        <v>1068.1199999999999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464</v>
      </c>
    </row>
    <row r="187" spans="1:17" x14ac:dyDescent="0.3">
      <c r="A187">
        <v>239522</v>
      </c>
      <c r="B187">
        <v>105</v>
      </c>
      <c r="C187" t="s">
        <v>557</v>
      </c>
      <c r="D187" t="s">
        <v>2577</v>
      </c>
      <c r="E187" t="s">
        <v>2784</v>
      </c>
      <c r="F187" s="451">
        <v>46188</v>
      </c>
      <c r="G187" s="451">
        <v>46190</v>
      </c>
      <c r="H187" s="451">
        <v>46213</v>
      </c>
      <c r="I187">
        <v>139.02000000000001</v>
      </c>
      <c r="J187">
        <v>139.02000000000001</v>
      </c>
      <c r="K187">
        <v>0</v>
      </c>
      <c r="L187">
        <v>0</v>
      </c>
      <c r="M187">
        <v>0</v>
      </c>
      <c r="N187">
        <v>139.02000000000001</v>
      </c>
      <c r="O187">
        <v>0</v>
      </c>
      <c r="P187">
        <v>0</v>
      </c>
      <c r="Q187" t="s">
        <v>464</v>
      </c>
    </row>
    <row r="188" spans="1:17" x14ac:dyDescent="0.3">
      <c r="A188">
        <v>239521</v>
      </c>
      <c r="B188">
        <v>105</v>
      </c>
      <c r="C188" t="s">
        <v>557</v>
      </c>
      <c r="D188" t="s">
        <v>2579</v>
      </c>
      <c r="E188" t="s">
        <v>1893</v>
      </c>
      <c r="F188" s="451">
        <v>46174</v>
      </c>
      <c r="G188" s="451">
        <v>46175</v>
      </c>
      <c r="H188" s="451">
        <v>46202</v>
      </c>
      <c r="I188">
        <v>408.26</v>
      </c>
      <c r="J188">
        <v>408.26</v>
      </c>
      <c r="K188">
        <v>408.26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464</v>
      </c>
    </row>
    <row r="189" spans="1:17" x14ac:dyDescent="0.3">
      <c r="A189">
        <v>239520</v>
      </c>
      <c r="B189">
        <v>105</v>
      </c>
      <c r="C189" t="s">
        <v>557</v>
      </c>
      <c r="D189" t="s">
        <v>2571</v>
      </c>
      <c r="E189" t="s">
        <v>2785</v>
      </c>
      <c r="F189" s="451">
        <v>46175</v>
      </c>
      <c r="G189" s="451">
        <v>46175</v>
      </c>
      <c r="H189" s="451">
        <v>46196</v>
      </c>
      <c r="I189">
        <v>1414.53</v>
      </c>
      <c r="J189">
        <v>587.54</v>
      </c>
      <c r="K189">
        <v>1414.53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464</v>
      </c>
    </row>
    <row r="190" spans="1:17" x14ac:dyDescent="0.3">
      <c r="A190">
        <v>239519</v>
      </c>
      <c r="B190">
        <v>105</v>
      </c>
      <c r="C190" t="s">
        <v>557</v>
      </c>
      <c r="D190" t="s">
        <v>2571</v>
      </c>
      <c r="E190" t="s">
        <v>2786</v>
      </c>
      <c r="F190" s="451">
        <v>46182</v>
      </c>
      <c r="G190" s="451">
        <v>46182</v>
      </c>
      <c r="H190" s="451">
        <v>46203</v>
      </c>
      <c r="I190">
        <v>1040.9100000000001</v>
      </c>
      <c r="J190">
        <v>1034.6500000000001</v>
      </c>
      <c r="K190">
        <v>1040.9100000000001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464</v>
      </c>
    </row>
    <row r="191" spans="1:17" x14ac:dyDescent="0.3">
      <c r="A191">
        <v>239518</v>
      </c>
      <c r="B191">
        <v>105</v>
      </c>
      <c r="C191" t="s">
        <v>557</v>
      </c>
      <c r="D191" t="s">
        <v>1786</v>
      </c>
      <c r="E191" t="s">
        <v>2787</v>
      </c>
      <c r="F191" s="451">
        <v>46174</v>
      </c>
      <c r="G191" s="451">
        <v>46175</v>
      </c>
      <c r="H191" s="451">
        <v>46203</v>
      </c>
      <c r="I191">
        <v>446.1</v>
      </c>
      <c r="J191">
        <v>446.1</v>
      </c>
      <c r="K191">
        <v>446.1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464</v>
      </c>
    </row>
    <row r="192" spans="1:17" x14ac:dyDescent="0.3">
      <c r="A192">
        <v>239517</v>
      </c>
      <c r="B192">
        <v>105</v>
      </c>
      <c r="C192" t="s">
        <v>557</v>
      </c>
      <c r="D192" t="s">
        <v>2613</v>
      </c>
      <c r="E192" t="s">
        <v>2788</v>
      </c>
      <c r="F192" s="451">
        <v>46181</v>
      </c>
      <c r="G192" s="451">
        <v>46182</v>
      </c>
      <c r="H192" s="451">
        <v>46195</v>
      </c>
      <c r="I192">
        <v>228.07</v>
      </c>
      <c r="J192">
        <v>228.07</v>
      </c>
      <c r="K192">
        <v>228.07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464</v>
      </c>
    </row>
    <row r="193" spans="1:17" x14ac:dyDescent="0.3">
      <c r="A193">
        <v>239516</v>
      </c>
      <c r="B193">
        <v>105</v>
      </c>
      <c r="C193" t="s">
        <v>557</v>
      </c>
      <c r="D193" t="s">
        <v>2565</v>
      </c>
      <c r="E193" t="s">
        <v>2789</v>
      </c>
      <c r="F193" s="451">
        <v>46174</v>
      </c>
      <c r="G193" s="451">
        <v>46175</v>
      </c>
      <c r="H193" s="451">
        <v>46195</v>
      </c>
      <c r="I193">
        <v>502.22</v>
      </c>
      <c r="J193">
        <v>502.22</v>
      </c>
      <c r="K193">
        <v>0</v>
      </c>
      <c r="L193">
        <v>502.22</v>
      </c>
      <c r="M193">
        <v>0</v>
      </c>
      <c r="N193">
        <v>0</v>
      </c>
      <c r="O193">
        <v>0</v>
      </c>
      <c r="P193">
        <v>0</v>
      </c>
      <c r="Q193" t="s">
        <v>464</v>
      </c>
    </row>
    <row r="194" spans="1:17" x14ac:dyDescent="0.3">
      <c r="A194">
        <v>239515</v>
      </c>
      <c r="B194">
        <v>105</v>
      </c>
      <c r="C194" t="s">
        <v>557</v>
      </c>
      <c r="D194" t="s">
        <v>2678</v>
      </c>
      <c r="E194" t="s">
        <v>2790</v>
      </c>
      <c r="F194" s="451">
        <v>46181</v>
      </c>
      <c r="G194" s="451">
        <v>46182</v>
      </c>
      <c r="H194" s="451">
        <v>46211</v>
      </c>
      <c r="I194">
        <v>236.6</v>
      </c>
      <c r="J194">
        <v>236.6</v>
      </c>
      <c r="K194">
        <v>236.6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464</v>
      </c>
    </row>
    <row r="195" spans="1:17" x14ac:dyDescent="0.3">
      <c r="A195">
        <v>239514</v>
      </c>
      <c r="B195">
        <v>105</v>
      </c>
      <c r="C195" t="s">
        <v>557</v>
      </c>
      <c r="D195" t="s">
        <v>2552</v>
      </c>
      <c r="E195" t="s">
        <v>2791</v>
      </c>
      <c r="F195" s="451">
        <v>46181</v>
      </c>
      <c r="G195" s="451">
        <v>46182</v>
      </c>
      <c r="H195" s="451">
        <v>46195</v>
      </c>
      <c r="I195">
        <v>104</v>
      </c>
      <c r="J195">
        <v>79</v>
      </c>
      <c r="K195">
        <v>104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464</v>
      </c>
    </row>
    <row r="196" spans="1:17" x14ac:dyDescent="0.3">
      <c r="A196">
        <v>239513</v>
      </c>
      <c r="B196">
        <v>105</v>
      </c>
      <c r="C196" t="s">
        <v>557</v>
      </c>
      <c r="D196" t="s">
        <v>2792</v>
      </c>
      <c r="E196" t="s">
        <v>2793</v>
      </c>
      <c r="F196" s="451">
        <v>46182</v>
      </c>
      <c r="G196" s="451">
        <v>46182</v>
      </c>
      <c r="H196" s="451">
        <v>46203</v>
      </c>
      <c r="I196">
        <v>603.4</v>
      </c>
      <c r="J196">
        <v>568.4</v>
      </c>
      <c r="K196">
        <v>603.4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464</v>
      </c>
    </row>
    <row r="197" spans="1:17" x14ac:dyDescent="0.3">
      <c r="A197">
        <v>239512</v>
      </c>
      <c r="B197">
        <v>105</v>
      </c>
      <c r="C197" t="s">
        <v>557</v>
      </c>
      <c r="D197" t="s">
        <v>2600</v>
      </c>
      <c r="E197" t="s">
        <v>2794</v>
      </c>
      <c r="F197" s="451">
        <v>46175</v>
      </c>
      <c r="G197" s="451">
        <v>46175</v>
      </c>
      <c r="H197" s="451">
        <v>46203</v>
      </c>
      <c r="I197">
        <v>209.9</v>
      </c>
      <c r="J197">
        <v>209.89</v>
      </c>
      <c r="K197">
        <v>209.9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464</v>
      </c>
    </row>
    <row r="198" spans="1:17" x14ac:dyDescent="0.3">
      <c r="A198">
        <v>239511</v>
      </c>
      <c r="B198">
        <v>105</v>
      </c>
      <c r="C198" t="s">
        <v>557</v>
      </c>
      <c r="D198" t="s">
        <v>2563</v>
      </c>
      <c r="E198" t="s">
        <v>2795</v>
      </c>
      <c r="F198" s="451">
        <v>46174</v>
      </c>
      <c r="G198" s="451">
        <v>46175</v>
      </c>
      <c r="H198" s="451">
        <v>46202</v>
      </c>
      <c r="I198">
        <v>150.34</v>
      </c>
      <c r="J198">
        <v>150.34</v>
      </c>
      <c r="K198">
        <v>150.34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464</v>
      </c>
    </row>
    <row r="199" spans="1:17" x14ac:dyDescent="0.3">
      <c r="A199">
        <v>239510</v>
      </c>
      <c r="B199">
        <v>105</v>
      </c>
      <c r="C199" t="s">
        <v>557</v>
      </c>
      <c r="D199" t="s">
        <v>2729</v>
      </c>
      <c r="E199" t="s">
        <v>2796</v>
      </c>
      <c r="F199" s="451">
        <v>46182</v>
      </c>
      <c r="G199" s="451">
        <v>46183</v>
      </c>
      <c r="H199" s="451">
        <v>46196</v>
      </c>
      <c r="I199">
        <v>704.48</v>
      </c>
      <c r="J199">
        <v>704.48</v>
      </c>
      <c r="K199">
        <v>704.48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464</v>
      </c>
    </row>
    <row r="200" spans="1:17" x14ac:dyDescent="0.3">
      <c r="A200">
        <v>239509</v>
      </c>
      <c r="B200">
        <v>105</v>
      </c>
      <c r="C200" t="s">
        <v>557</v>
      </c>
      <c r="D200" t="s">
        <v>2554</v>
      </c>
      <c r="E200" t="s">
        <v>2797</v>
      </c>
      <c r="F200" s="451">
        <v>46182</v>
      </c>
      <c r="G200" s="451">
        <v>46185</v>
      </c>
      <c r="H200" s="451">
        <v>46197</v>
      </c>
      <c r="I200">
        <v>876.62</v>
      </c>
      <c r="J200">
        <v>809.19</v>
      </c>
      <c r="K200">
        <v>0</v>
      </c>
      <c r="L200">
        <v>0</v>
      </c>
      <c r="M200">
        <v>831.12</v>
      </c>
      <c r="N200">
        <v>0</v>
      </c>
      <c r="O200">
        <v>45.5</v>
      </c>
      <c r="P200">
        <v>0</v>
      </c>
      <c r="Q200" t="s">
        <v>464</v>
      </c>
    </row>
    <row r="201" spans="1:17" x14ac:dyDescent="0.3">
      <c r="A201">
        <v>239508</v>
      </c>
      <c r="B201">
        <v>105</v>
      </c>
      <c r="C201" t="s">
        <v>557</v>
      </c>
      <c r="D201" t="s">
        <v>2798</v>
      </c>
      <c r="E201" t="s">
        <v>2799</v>
      </c>
      <c r="F201" s="451">
        <v>46189</v>
      </c>
      <c r="G201" s="451">
        <v>46190</v>
      </c>
      <c r="H201" s="451">
        <v>46203</v>
      </c>
      <c r="I201">
        <v>722.4</v>
      </c>
      <c r="J201">
        <v>722.4</v>
      </c>
      <c r="K201">
        <v>722.4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464</v>
      </c>
    </row>
    <row r="202" spans="1:17" x14ac:dyDescent="0.3">
      <c r="A202">
        <v>239387</v>
      </c>
      <c r="B202">
        <v>105</v>
      </c>
      <c r="C202" t="s">
        <v>557</v>
      </c>
      <c r="D202" t="s">
        <v>2577</v>
      </c>
      <c r="E202" t="s">
        <v>2800</v>
      </c>
      <c r="F202" s="451">
        <v>46174</v>
      </c>
      <c r="G202" s="451">
        <v>46189</v>
      </c>
      <c r="H202" s="451">
        <v>46195</v>
      </c>
      <c r="I202">
        <v>142.15</v>
      </c>
      <c r="J202">
        <v>139.02000000000001</v>
      </c>
      <c r="K202">
        <v>0</v>
      </c>
      <c r="L202">
        <v>0</v>
      </c>
      <c r="M202">
        <v>0</v>
      </c>
      <c r="N202">
        <v>142.15</v>
      </c>
      <c r="O202">
        <v>0</v>
      </c>
      <c r="P202">
        <v>0</v>
      </c>
      <c r="Q202" t="s">
        <v>464</v>
      </c>
    </row>
    <row r="203" spans="1:17" x14ac:dyDescent="0.3">
      <c r="A203">
        <v>239289</v>
      </c>
      <c r="B203">
        <v>105</v>
      </c>
      <c r="C203" t="s">
        <v>557</v>
      </c>
      <c r="D203" t="s">
        <v>2653</v>
      </c>
      <c r="E203" t="s">
        <v>2801</v>
      </c>
      <c r="F203" s="451">
        <v>46174</v>
      </c>
      <c r="G203" s="451">
        <v>46175</v>
      </c>
      <c r="H203" s="451">
        <v>46195</v>
      </c>
      <c r="I203">
        <v>218.46</v>
      </c>
      <c r="J203">
        <v>177.66</v>
      </c>
      <c r="K203">
        <v>218.46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464</v>
      </c>
    </row>
    <row r="204" spans="1:17" x14ac:dyDescent="0.3">
      <c r="A204">
        <v>238791</v>
      </c>
      <c r="B204">
        <v>105</v>
      </c>
      <c r="C204" t="s">
        <v>557</v>
      </c>
      <c r="D204" t="s">
        <v>2603</v>
      </c>
      <c r="E204" t="s">
        <v>2802</v>
      </c>
      <c r="F204" s="451">
        <v>46175</v>
      </c>
      <c r="G204" s="451">
        <v>46175</v>
      </c>
      <c r="H204" s="451">
        <v>46195</v>
      </c>
      <c r="I204">
        <v>1570.51</v>
      </c>
      <c r="J204">
        <v>1570.51</v>
      </c>
      <c r="K204">
        <v>1570.51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464</v>
      </c>
    </row>
    <row r="205" spans="1:17" x14ac:dyDescent="0.3">
      <c r="A205">
        <v>238789</v>
      </c>
      <c r="B205">
        <v>105</v>
      </c>
      <c r="C205" t="s">
        <v>557</v>
      </c>
      <c r="D205" t="s">
        <v>2552</v>
      </c>
      <c r="E205" t="s">
        <v>2803</v>
      </c>
      <c r="F205" s="451">
        <v>46174</v>
      </c>
      <c r="G205" s="451">
        <v>46175</v>
      </c>
      <c r="H205" s="451">
        <v>46199</v>
      </c>
      <c r="I205">
        <v>222.5</v>
      </c>
      <c r="J205">
        <v>197.5</v>
      </c>
      <c r="K205">
        <v>222.5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464</v>
      </c>
    </row>
    <row r="206" spans="1:17" x14ac:dyDescent="0.3">
      <c r="A206">
        <v>238787</v>
      </c>
      <c r="B206">
        <v>105</v>
      </c>
      <c r="C206" t="s">
        <v>557</v>
      </c>
      <c r="D206" t="s">
        <v>2705</v>
      </c>
      <c r="E206" t="s">
        <v>2804</v>
      </c>
      <c r="F206" s="451">
        <v>46174</v>
      </c>
      <c r="G206" s="451">
        <v>46175</v>
      </c>
      <c r="H206" s="451">
        <v>46195</v>
      </c>
      <c r="I206">
        <v>692</v>
      </c>
      <c r="J206">
        <v>692</v>
      </c>
      <c r="K206">
        <v>0</v>
      </c>
      <c r="L206">
        <v>0</v>
      </c>
      <c r="M206">
        <v>0</v>
      </c>
      <c r="N206">
        <v>692</v>
      </c>
      <c r="O206">
        <v>0</v>
      </c>
      <c r="P206">
        <v>0</v>
      </c>
      <c r="Q206" t="s">
        <v>464</v>
      </c>
    </row>
    <row r="207" spans="1:17" x14ac:dyDescent="0.3">
      <c r="A207">
        <v>237749</v>
      </c>
      <c r="B207">
        <v>105</v>
      </c>
      <c r="C207" t="s">
        <v>557</v>
      </c>
      <c r="D207" t="s">
        <v>2554</v>
      </c>
      <c r="E207" t="s">
        <v>2051</v>
      </c>
      <c r="F207" s="451">
        <v>46176</v>
      </c>
      <c r="G207" s="451">
        <v>46178</v>
      </c>
      <c r="H207" s="451">
        <v>46190</v>
      </c>
      <c r="I207">
        <v>1409.94</v>
      </c>
      <c r="J207">
        <v>1176.94</v>
      </c>
      <c r="K207">
        <v>0</v>
      </c>
      <c r="L207">
        <v>0</v>
      </c>
      <c r="M207">
        <v>1218.26</v>
      </c>
      <c r="N207">
        <v>25.16</v>
      </c>
      <c r="O207">
        <v>64.69</v>
      </c>
      <c r="P207">
        <v>101.83</v>
      </c>
      <c r="Q207" t="s">
        <v>464</v>
      </c>
    </row>
    <row r="208" spans="1:17" x14ac:dyDescent="0.3">
      <c r="A208">
        <v>237745</v>
      </c>
      <c r="B208">
        <v>105</v>
      </c>
      <c r="C208" t="s">
        <v>557</v>
      </c>
      <c r="D208" t="s">
        <v>2559</v>
      </c>
      <c r="E208" t="s">
        <v>2805</v>
      </c>
      <c r="F208" s="451">
        <v>46178</v>
      </c>
      <c r="G208" s="451">
        <v>46179</v>
      </c>
      <c r="H208" s="451">
        <v>46199</v>
      </c>
      <c r="I208">
        <v>85</v>
      </c>
      <c r="J208">
        <v>70</v>
      </c>
      <c r="K208">
        <v>85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464</v>
      </c>
    </row>
    <row r="209" spans="1:17" x14ac:dyDescent="0.3">
      <c r="A209">
        <v>237742</v>
      </c>
      <c r="B209">
        <v>105</v>
      </c>
      <c r="C209" t="s">
        <v>557</v>
      </c>
      <c r="D209" t="s">
        <v>2682</v>
      </c>
      <c r="E209" t="s">
        <v>2806</v>
      </c>
      <c r="F209" s="451">
        <v>46181</v>
      </c>
      <c r="G209" s="451">
        <v>46181</v>
      </c>
      <c r="H209" s="451">
        <v>46193</v>
      </c>
      <c r="I209">
        <v>1176.7</v>
      </c>
      <c r="J209">
        <v>1176.7</v>
      </c>
      <c r="K209">
        <v>1176.7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464</v>
      </c>
    </row>
    <row r="210" spans="1:17" x14ac:dyDescent="0.3">
      <c r="A210">
        <v>237719</v>
      </c>
      <c r="B210">
        <v>105</v>
      </c>
      <c r="C210" t="s">
        <v>557</v>
      </c>
      <c r="D210" t="s">
        <v>2563</v>
      </c>
      <c r="E210" t="s">
        <v>2807</v>
      </c>
      <c r="F210" s="451">
        <v>46174</v>
      </c>
      <c r="G210" s="451">
        <v>46151</v>
      </c>
      <c r="H210" s="451">
        <v>46188</v>
      </c>
      <c r="I210">
        <v>240.7</v>
      </c>
      <c r="J210">
        <v>240.7</v>
      </c>
      <c r="K210">
        <v>240.7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463</v>
      </c>
    </row>
    <row r="211" spans="1:17" x14ac:dyDescent="0.3">
      <c r="A211">
        <v>237718</v>
      </c>
      <c r="B211">
        <v>105</v>
      </c>
      <c r="C211" t="s">
        <v>557</v>
      </c>
      <c r="D211" t="s">
        <v>2563</v>
      </c>
      <c r="E211" t="s">
        <v>2808</v>
      </c>
      <c r="F211" s="451">
        <v>46174</v>
      </c>
      <c r="G211" s="451">
        <v>46155</v>
      </c>
      <c r="H211" s="451">
        <v>46188</v>
      </c>
      <c r="I211">
        <v>262.23</v>
      </c>
      <c r="J211">
        <v>262.23</v>
      </c>
      <c r="K211">
        <v>262.23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463</v>
      </c>
    </row>
    <row r="212" spans="1:17" x14ac:dyDescent="0.3">
      <c r="A212">
        <v>237717</v>
      </c>
      <c r="B212">
        <v>105</v>
      </c>
      <c r="C212" t="s">
        <v>557</v>
      </c>
      <c r="D212" t="s">
        <v>2565</v>
      </c>
      <c r="E212" t="s">
        <v>2809</v>
      </c>
      <c r="F212" s="451">
        <v>46174</v>
      </c>
      <c r="G212" s="451">
        <v>46158</v>
      </c>
      <c r="H212" s="451">
        <v>46188</v>
      </c>
      <c r="I212">
        <v>603.27</v>
      </c>
      <c r="J212">
        <v>603.14</v>
      </c>
      <c r="K212">
        <v>0</v>
      </c>
      <c r="L212">
        <v>603.27</v>
      </c>
      <c r="M212">
        <v>0</v>
      </c>
      <c r="N212">
        <v>0</v>
      </c>
      <c r="O212">
        <v>0</v>
      </c>
      <c r="P212">
        <v>0</v>
      </c>
      <c r="Q212" t="s">
        <v>463</v>
      </c>
    </row>
    <row r="213" spans="1:17" x14ac:dyDescent="0.3">
      <c r="A213">
        <v>237716</v>
      </c>
      <c r="B213">
        <v>105</v>
      </c>
      <c r="C213" t="s">
        <v>557</v>
      </c>
      <c r="D213" t="s">
        <v>2581</v>
      </c>
      <c r="E213" t="s">
        <v>2810</v>
      </c>
      <c r="F213" s="451">
        <v>46174</v>
      </c>
      <c r="G213" s="451">
        <v>46155</v>
      </c>
      <c r="H213" s="451">
        <v>46188</v>
      </c>
      <c r="I213">
        <v>56.6</v>
      </c>
      <c r="J213">
        <v>56.6</v>
      </c>
      <c r="K213">
        <v>56.6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463</v>
      </c>
    </row>
    <row r="214" spans="1:17" x14ac:dyDescent="0.3">
      <c r="A214">
        <v>237714</v>
      </c>
      <c r="B214">
        <v>105</v>
      </c>
      <c r="C214" t="s">
        <v>557</v>
      </c>
      <c r="D214" t="s">
        <v>2581</v>
      </c>
      <c r="E214" t="s">
        <v>2811</v>
      </c>
      <c r="F214" s="451">
        <v>46174</v>
      </c>
      <c r="G214" s="451">
        <v>46155</v>
      </c>
      <c r="H214" s="451">
        <v>46188</v>
      </c>
      <c r="I214">
        <v>351.3</v>
      </c>
      <c r="J214">
        <v>351.3</v>
      </c>
      <c r="K214">
        <v>351.3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463</v>
      </c>
    </row>
    <row r="215" spans="1:17" x14ac:dyDescent="0.3">
      <c r="A215">
        <v>237712</v>
      </c>
      <c r="B215">
        <v>105</v>
      </c>
      <c r="C215" t="s">
        <v>557</v>
      </c>
      <c r="D215" t="s">
        <v>2812</v>
      </c>
      <c r="E215" t="s">
        <v>2813</v>
      </c>
      <c r="F215" s="451">
        <v>46174</v>
      </c>
      <c r="G215" s="451">
        <v>46151</v>
      </c>
      <c r="H215" s="451">
        <v>46188</v>
      </c>
      <c r="I215">
        <v>690</v>
      </c>
      <c r="J215">
        <v>414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690</v>
      </c>
      <c r="Q215" t="s">
        <v>463</v>
      </c>
    </row>
    <row r="216" spans="1:17" x14ac:dyDescent="0.3">
      <c r="A216">
        <v>237702</v>
      </c>
      <c r="B216">
        <v>105</v>
      </c>
      <c r="C216" t="s">
        <v>557</v>
      </c>
      <c r="D216" t="s">
        <v>2605</v>
      </c>
      <c r="E216" t="s">
        <v>2814</v>
      </c>
      <c r="F216" s="451">
        <v>46174</v>
      </c>
      <c r="G216" s="451">
        <v>46155</v>
      </c>
      <c r="H216" s="451">
        <v>46188</v>
      </c>
      <c r="I216">
        <v>285.60000000000002</v>
      </c>
      <c r="J216">
        <v>285.60000000000002</v>
      </c>
      <c r="K216">
        <v>0</v>
      </c>
      <c r="L216">
        <v>285.60000000000002</v>
      </c>
      <c r="M216">
        <v>0</v>
      </c>
      <c r="N216">
        <v>0</v>
      </c>
      <c r="O216">
        <v>0</v>
      </c>
      <c r="P216">
        <v>0</v>
      </c>
      <c r="Q216" t="s">
        <v>463</v>
      </c>
    </row>
    <row r="217" spans="1:17" x14ac:dyDescent="0.3">
      <c r="A217">
        <v>237699</v>
      </c>
      <c r="B217">
        <v>105</v>
      </c>
      <c r="C217" t="s">
        <v>557</v>
      </c>
      <c r="D217" t="s">
        <v>2607</v>
      </c>
      <c r="E217" t="s">
        <v>2815</v>
      </c>
      <c r="F217" s="451">
        <v>46174</v>
      </c>
      <c r="G217" s="451">
        <v>46151</v>
      </c>
      <c r="H217" s="451">
        <v>46188</v>
      </c>
      <c r="I217">
        <v>1066.67</v>
      </c>
      <c r="J217">
        <v>1015.87</v>
      </c>
      <c r="K217">
        <v>1066.67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463</v>
      </c>
    </row>
    <row r="218" spans="1:17" x14ac:dyDescent="0.3">
      <c r="A218">
        <v>237698</v>
      </c>
      <c r="B218">
        <v>105</v>
      </c>
      <c r="C218" t="s">
        <v>557</v>
      </c>
      <c r="D218" t="s">
        <v>2577</v>
      </c>
      <c r="E218" t="s">
        <v>2816</v>
      </c>
      <c r="F218" s="451">
        <v>46174</v>
      </c>
      <c r="G218" s="451">
        <v>46158</v>
      </c>
      <c r="H218" s="451">
        <v>46188</v>
      </c>
      <c r="I218">
        <v>142.15</v>
      </c>
      <c r="J218">
        <v>139.02000000000001</v>
      </c>
      <c r="K218">
        <v>0</v>
      </c>
      <c r="L218">
        <v>0</v>
      </c>
      <c r="M218">
        <v>0</v>
      </c>
      <c r="N218">
        <v>142.15</v>
      </c>
      <c r="O218">
        <v>0</v>
      </c>
      <c r="P218">
        <v>0</v>
      </c>
      <c r="Q218" t="s">
        <v>463</v>
      </c>
    </row>
    <row r="219" spans="1:17" x14ac:dyDescent="0.3">
      <c r="A219">
        <v>237516</v>
      </c>
      <c r="B219">
        <v>105</v>
      </c>
      <c r="C219" t="s">
        <v>557</v>
      </c>
      <c r="D219" t="s">
        <v>2590</v>
      </c>
      <c r="E219" t="s">
        <v>2817</v>
      </c>
      <c r="F219" s="451">
        <v>46181</v>
      </c>
      <c r="G219" s="451">
        <v>46151</v>
      </c>
      <c r="H219" s="451">
        <v>46182</v>
      </c>
      <c r="I219">
        <v>1549.72</v>
      </c>
      <c r="J219">
        <v>1112.1300000000001</v>
      </c>
      <c r="K219">
        <v>0</v>
      </c>
      <c r="L219">
        <v>1549.72</v>
      </c>
      <c r="M219">
        <v>0</v>
      </c>
      <c r="N219">
        <v>0</v>
      </c>
      <c r="O219">
        <v>0</v>
      </c>
      <c r="P219">
        <v>0</v>
      </c>
      <c r="Q219" t="s">
        <v>463</v>
      </c>
    </row>
    <row r="220" spans="1:17" x14ac:dyDescent="0.3">
      <c r="A220">
        <v>237292</v>
      </c>
      <c r="B220">
        <v>105</v>
      </c>
      <c r="C220" t="s">
        <v>557</v>
      </c>
      <c r="D220" t="s">
        <v>2678</v>
      </c>
      <c r="E220" t="s">
        <v>2818</v>
      </c>
      <c r="F220" s="451">
        <v>46174</v>
      </c>
      <c r="G220" s="451">
        <v>46158</v>
      </c>
      <c r="H220" s="451">
        <v>46188</v>
      </c>
      <c r="I220">
        <v>142.5</v>
      </c>
      <c r="J220">
        <v>142.5</v>
      </c>
      <c r="K220">
        <v>142.5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463</v>
      </c>
    </row>
    <row r="221" spans="1:17" x14ac:dyDescent="0.3">
      <c r="A221">
        <v>236935</v>
      </c>
      <c r="B221">
        <v>105</v>
      </c>
      <c r="C221" t="s">
        <v>557</v>
      </c>
      <c r="D221" t="s">
        <v>2597</v>
      </c>
      <c r="E221" t="s">
        <v>2819</v>
      </c>
      <c r="F221" s="451">
        <v>46174</v>
      </c>
      <c r="G221" s="451">
        <v>46174</v>
      </c>
      <c r="H221" s="451">
        <v>46202</v>
      </c>
      <c r="I221">
        <v>2907</v>
      </c>
      <c r="J221">
        <v>2907</v>
      </c>
      <c r="K221">
        <v>2907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464</v>
      </c>
    </row>
    <row r="222" spans="1:17" x14ac:dyDescent="0.3">
      <c r="A222">
        <v>236934</v>
      </c>
      <c r="B222">
        <v>105</v>
      </c>
      <c r="C222" t="s">
        <v>557</v>
      </c>
      <c r="D222" t="s">
        <v>2561</v>
      </c>
      <c r="E222" t="s">
        <v>2820</v>
      </c>
      <c r="F222" s="451">
        <v>46174</v>
      </c>
      <c r="G222" s="451">
        <v>46174</v>
      </c>
      <c r="H222" s="451">
        <v>46188</v>
      </c>
      <c r="I222">
        <v>659.7</v>
      </c>
      <c r="J222">
        <v>659.7</v>
      </c>
      <c r="K222">
        <v>659.7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464</v>
      </c>
    </row>
    <row r="223" spans="1:17" x14ac:dyDescent="0.3">
      <c r="A223">
        <v>236933</v>
      </c>
      <c r="B223">
        <v>105</v>
      </c>
      <c r="C223" t="s">
        <v>557</v>
      </c>
      <c r="D223" t="s">
        <v>2563</v>
      </c>
      <c r="E223" t="s">
        <v>2821</v>
      </c>
      <c r="F223" s="451">
        <v>46175</v>
      </c>
      <c r="G223" s="451">
        <v>46176</v>
      </c>
      <c r="H223" s="451">
        <v>46203</v>
      </c>
      <c r="I223">
        <v>148.57</v>
      </c>
      <c r="J223">
        <v>148.57</v>
      </c>
      <c r="K223">
        <v>148.57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464</v>
      </c>
    </row>
    <row r="224" spans="1:17" x14ac:dyDescent="0.3">
      <c r="A224">
        <v>236931</v>
      </c>
      <c r="B224">
        <v>105</v>
      </c>
      <c r="C224" t="s">
        <v>557</v>
      </c>
      <c r="D224" t="s">
        <v>2680</v>
      </c>
      <c r="E224" t="s">
        <v>2822</v>
      </c>
      <c r="F224" s="451">
        <v>46175</v>
      </c>
      <c r="G224" s="451">
        <v>46176</v>
      </c>
      <c r="H224" s="451">
        <v>46205</v>
      </c>
      <c r="I224">
        <v>230</v>
      </c>
      <c r="J224">
        <v>230</v>
      </c>
      <c r="K224">
        <v>0</v>
      </c>
      <c r="L224">
        <v>230</v>
      </c>
      <c r="M224">
        <v>0</v>
      </c>
      <c r="N224">
        <v>0</v>
      </c>
      <c r="O224">
        <v>0</v>
      </c>
      <c r="P224">
        <v>0</v>
      </c>
      <c r="Q224" t="s">
        <v>464</v>
      </c>
    </row>
    <row r="225" spans="1:17" x14ac:dyDescent="0.3">
      <c r="A225">
        <v>236929</v>
      </c>
      <c r="B225">
        <v>105</v>
      </c>
      <c r="C225" t="s">
        <v>557</v>
      </c>
      <c r="D225" t="s">
        <v>2605</v>
      </c>
      <c r="E225" t="s">
        <v>2823</v>
      </c>
      <c r="F225" s="451">
        <v>46175</v>
      </c>
      <c r="G225" s="451">
        <v>46176</v>
      </c>
      <c r="H225" s="451">
        <v>46206</v>
      </c>
      <c r="I225">
        <v>335.8</v>
      </c>
      <c r="J225">
        <v>335.8</v>
      </c>
      <c r="K225">
        <v>0</v>
      </c>
      <c r="L225">
        <v>335.8</v>
      </c>
      <c r="M225">
        <v>0</v>
      </c>
      <c r="N225">
        <v>0</v>
      </c>
      <c r="O225">
        <v>0</v>
      </c>
      <c r="P225">
        <v>0</v>
      </c>
      <c r="Q225" t="s">
        <v>464</v>
      </c>
    </row>
    <row r="226" spans="1:17" x14ac:dyDescent="0.3">
      <c r="A226">
        <v>236928</v>
      </c>
      <c r="B226">
        <v>105</v>
      </c>
      <c r="C226" t="s">
        <v>557</v>
      </c>
      <c r="D226" t="s">
        <v>2548</v>
      </c>
      <c r="E226" t="s">
        <v>2824</v>
      </c>
      <c r="F226" s="451">
        <v>46174</v>
      </c>
      <c r="G226" s="451">
        <v>46176</v>
      </c>
      <c r="H226" s="451">
        <v>46209</v>
      </c>
      <c r="I226">
        <v>372.6</v>
      </c>
      <c r="J226">
        <v>179.8</v>
      </c>
      <c r="K226">
        <v>372.6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464</v>
      </c>
    </row>
    <row r="227" spans="1:17" x14ac:dyDescent="0.3">
      <c r="A227">
        <v>236927</v>
      </c>
      <c r="B227">
        <v>105</v>
      </c>
      <c r="C227" t="s">
        <v>557</v>
      </c>
      <c r="D227" t="s">
        <v>2548</v>
      </c>
      <c r="E227" t="s">
        <v>2825</v>
      </c>
      <c r="F227" s="451">
        <v>46174</v>
      </c>
      <c r="G227" s="451">
        <v>46176</v>
      </c>
      <c r="H227" s="451">
        <v>46209</v>
      </c>
      <c r="I227">
        <v>74.900000000000006</v>
      </c>
      <c r="J227">
        <v>74.900000000000006</v>
      </c>
      <c r="K227">
        <v>0</v>
      </c>
      <c r="L227">
        <v>0</v>
      </c>
      <c r="M227">
        <v>74.900000000000006</v>
      </c>
      <c r="N227">
        <v>0</v>
      </c>
      <c r="O227">
        <v>0</v>
      </c>
      <c r="P227">
        <v>0</v>
      </c>
      <c r="Q227" t="s">
        <v>464</v>
      </c>
    </row>
    <row r="228" spans="1:17" x14ac:dyDescent="0.3">
      <c r="A228">
        <v>236925</v>
      </c>
      <c r="B228">
        <v>105</v>
      </c>
      <c r="C228" t="s">
        <v>557</v>
      </c>
      <c r="D228" t="s">
        <v>2581</v>
      </c>
      <c r="E228" t="s">
        <v>2826</v>
      </c>
      <c r="F228" s="451">
        <v>46175</v>
      </c>
      <c r="G228" s="451">
        <v>46176</v>
      </c>
      <c r="H228" s="451">
        <v>46203</v>
      </c>
      <c r="I228">
        <v>229.72</v>
      </c>
      <c r="J228">
        <v>229.72</v>
      </c>
      <c r="K228">
        <v>229.72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464</v>
      </c>
    </row>
    <row r="229" spans="1:17" x14ac:dyDescent="0.3">
      <c r="A229">
        <v>236924</v>
      </c>
      <c r="B229">
        <v>105</v>
      </c>
      <c r="C229" t="s">
        <v>557</v>
      </c>
      <c r="D229" t="s">
        <v>2707</v>
      </c>
      <c r="E229" t="s">
        <v>2827</v>
      </c>
      <c r="F229" s="451">
        <v>46174</v>
      </c>
      <c r="G229" s="451">
        <v>46174</v>
      </c>
      <c r="H229" s="451">
        <v>46188</v>
      </c>
      <c r="I229">
        <v>259.42</v>
      </c>
      <c r="J229">
        <v>259.42</v>
      </c>
      <c r="K229">
        <v>259.42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464</v>
      </c>
    </row>
    <row r="230" spans="1:17" x14ac:dyDescent="0.3">
      <c r="A230">
        <v>236525</v>
      </c>
      <c r="B230">
        <v>105</v>
      </c>
      <c r="C230" t="s">
        <v>557</v>
      </c>
      <c r="D230" t="s">
        <v>2828</v>
      </c>
      <c r="E230" t="s">
        <v>2829</v>
      </c>
      <c r="F230" s="451">
        <v>46156</v>
      </c>
      <c r="G230" s="451">
        <v>46158</v>
      </c>
      <c r="H230" s="451">
        <v>46181</v>
      </c>
      <c r="I230">
        <v>840</v>
      </c>
      <c r="J230">
        <v>840</v>
      </c>
      <c r="K230">
        <v>840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463</v>
      </c>
    </row>
    <row r="231" spans="1:17" x14ac:dyDescent="0.3">
      <c r="A231">
        <v>236524</v>
      </c>
      <c r="B231">
        <v>105</v>
      </c>
      <c r="C231" t="s">
        <v>557</v>
      </c>
      <c r="D231" t="s">
        <v>2690</v>
      </c>
      <c r="E231" t="s">
        <v>2830</v>
      </c>
      <c r="F231" s="451">
        <v>46163</v>
      </c>
      <c r="G231" s="451">
        <v>46176</v>
      </c>
      <c r="H231" s="451">
        <v>46184</v>
      </c>
      <c r="I231">
        <v>139.05000000000001</v>
      </c>
      <c r="J231">
        <v>140.11000000000001</v>
      </c>
      <c r="K231">
        <v>0</v>
      </c>
      <c r="L231">
        <v>139.05000000000001</v>
      </c>
      <c r="M231">
        <v>0</v>
      </c>
      <c r="N231">
        <v>0</v>
      </c>
      <c r="O231">
        <v>0</v>
      </c>
      <c r="P231">
        <v>0</v>
      </c>
      <c r="Q231" t="s">
        <v>464</v>
      </c>
    </row>
    <row r="232" spans="1:17" x14ac:dyDescent="0.3">
      <c r="A232">
        <v>236520</v>
      </c>
      <c r="B232">
        <v>105</v>
      </c>
      <c r="C232" t="s">
        <v>557</v>
      </c>
      <c r="D232" t="s">
        <v>2585</v>
      </c>
      <c r="E232" t="s">
        <v>2831</v>
      </c>
      <c r="F232" s="451">
        <v>46173</v>
      </c>
      <c r="G232" s="451">
        <v>46174</v>
      </c>
      <c r="H232" s="451">
        <v>46201</v>
      </c>
      <c r="I232">
        <v>655.04</v>
      </c>
      <c r="J232">
        <v>655.04</v>
      </c>
      <c r="K232">
        <v>655.04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464</v>
      </c>
    </row>
    <row r="233" spans="1:17" x14ac:dyDescent="0.3">
      <c r="A233">
        <v>236517</v>
      </c>
      <c r="B233">
        <v>105</v>
      </c>
      <c r="C233" t="s">
        <v>557</v>
      </c>
      <c r="D233" t="s">
        <v>2571</v>
      </c>
      <c r="E233" t="s">
        <v>2832</v>
      </c>
      <c r="F233" s="451">
        <v>46172</v>
      </c>
      <c r="G233" s="451">
        <v>46174</v>
      </c>
      <c r="H233" s="451">
        <v>46193</v>
      </c>
      <c r="I233">
        <v>113.15</v>
      </c>
      <c r="J233">
        <v>104.25</v>
      </c>
      <c r="K233">
        <v>113.15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464</v>
      </c>
    </row>
    <row r="234" spans="1:17" x14ac:dyDescent="0.3">
      <c r="A234">
        <v>236501</v>
      </c>
      <c r="B234">
        <v>105</v>
      </c>
      <c r="C234" t="s">
        <v>557</v>
      </c>
      <c r="D234" t="s">
        <v>2682</v>
      </c>
      <c r="E234" t="s">
        <v>2833</v>
      </c>
      <c r="F234" s="451">
        <v>46172</v>
      </c>
      <c r="G234" s="451">
        <v>46174</v>
      </c>
      <c r="H234" s="451">
        <v>46186</v>
      </c>
      <c r="I234">
        <v>728.78</v>
      </c>
      <c r="J234">
        <v>728.79</v>
      </c>
      <c r="K234">
        <v>728.78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464</v>
      </c>
    </row>
    <row r="235" spans="1:17" x14ac:dyDescent="0.3">
      <c r="A235">
        <v>236493</v>
      </c>
      <c r="B235">
        <v>105</v>
      </c>
      <c r="C235" t="s">
        <v>557</v>
      </c>
      <c r="D235" t="s">
        <v>2590</v>
      </c>
      <c r="E235" t="s">
        <v>2834</v>
      </c>
      <c r="F235" s="451">
        <v>46161</v>
      </c>
      <c r="G235" s="451">
        <v>46174</v>
      </c>
      <c r="H235" s="451">
        <v>46192</v>
      </c>
      <c r="I235">
        <v>605.76</v>
      </c>
      <c r="J235">
        <v>3795.11</v>
      </c>
      <c r="K235">
        <v>0</v>
      </c>
      <c r="L235">
        <v>605.76</v>
      </c>
      <c r="M235">
        <v>0</v>
      </c>
      <c r="N235">
        <v>0</v>
      </c>
      <c r="O235">
        <v>0</v>
      </c>
      <c r="P235">
        <v>0</v>
      </c>
      <c r="Q235" t="s">
        <v>464</v>
      </c>
    </row>
    <row r="236" spans="1:17" x14ac:dyDescent="0.3">
      <c r="A236">
        <v>236491</v>
      </c>
      <c r="B236">
        <v>105</v>
      </c>
      <c r="C236" t="s">
        <v>557</v>
      </c>
      <c r="D236" t="s">
        <v>2590</v>
      </c>
      <c r="E236" t="s">
        <v>2835</v>
      </c>
      <c r="F236" s="451">
        <v>46160</v>
      </c>
      <c r="G236" s="451">
        <v>46174</v>
      </c>
      <c r="H236" s="451">
        <v>46191</v>
      </c>
      <c r="I236">
        <v>2565.96</v>
      </c>
      <c r="J236">
        <v>3795.11</v>
      </c>
      <c r="K236">
        <v>0</v>
      </c>
      <c r="L236">
        <v>2565.96</v>
      </c>
      <c r="M236">
        <v>0</v>
      </c>
      <c r="N236">
        <v>0</v>
      </c>
      <c r="O236">
        <v>0</v>
      </c>
      <c r="P236">
        <v>0</v>
      </c>
      <c r="Q236" t="s">
        <v>464</v>
      </c>
    </row>
    <row r="237" spans="1:17" x14ac:dyDescent="0.3">
      <c r="A237">
        <v>236489</v>
      </c>
      <c r="B237">
        <v>105</v>
      </c>
      <c r="C237" t="s">
        <v>557</v>
      </c>
      <c r="D237" t="s">
        <v>2590</v>
      </c>
      <c r="E237" t="s">
        <v>2836</v>
      </c>
      <c r="F237" s="451">
        <v>46153</v>
      </c>
      <c r="G237" s="451">
        <v>46154</v>
      </c>
      <c r="H237" s="451">
        <v>46184</v>
      </c>
      <c r="I237">
        <v>5568.17</v>
      </c>
      <c r="J237">
        <v>4284.71</v>
      </c>
      <c r="K237">
        <v>0</v>
      </c>
      <c r="L237">
        <v>5568.17</v>
      </c>
      <c r="M237">
        <v>0</v>
      </c>
      <c r="N237">
        <v>0</v>
      </c>
      <c r="O237">
        <v>0</v>
      </c>
      <c r="P237">
        <v>0</v>
      </c>
      <c r="Q237" t="s">
        <v>463</v>
      </c>
    </row>
    <row r="238" spans="1:17" x14ac:dyDescent="0.3">
      <c r="A238">
        <v>236484</v>
      </c>
      <c r="B238">
        <v>105</v>
      </c>
      <c r="C238" t="s">
        <v>557</v>
      </c>
      <c r="D238" t="s">
        <v>2590</v>
      </c>
      <c r="E238" t="s">
        <v>2837</v>
      </c>
      <c r="F238" s="451">
        <v>46153</v>
      </c>
      <c r="G238" s="451">
        <v>46154</v>
      </c>
      <c r="H238" s="451">
        <v>46184</v>
      </c>
      <c r="I238">
        <v>757.19</v>
      </c>
      <c r="J238">
        <v>757.25</v>
      </c>
      <c r="K238">
        <v>0</v>
      </c>
      <c r="L238">
        <v>757.19</v>
      </c>
      <c r="M238">
        <v>0</v>
      </c>
      <c r="N238">
        <v>0</v>
      </c>
      <c r="O238">
        <v>0</v>
      </c>
      <c r="P238">
        <v>0</v>
      </c>
      <c r="Q238" t="s">
        <v>463</v>
      </c>
    </row>
    <row r="239" spans="1:17" x14ac:dyDescent="0.3">
      <c r="A239">
        <v>236477</v>
      </c>
      <c r="B239">
        <v>105</v>
      </c>
      <c r="C239" t="s">
        <v>557</v>
      </c>
      <c r="D239" t="s">
        <v>2559</v>
      </c>
      <c r="E239" t="s">
        <v>2838</v>
      </c>
      <c r="F239" s="451">
        <v>46157</v>
      </c>
      <c r="G239" s="451">
        <v>46176</v>
      </c>
      <c r="H239" s="451">
        <v>46181</v>
      </c>
      <c r="I239">
        <v>50</v>
      </c>
      <c r="J239">
        <v>35</v>
      </c>
      <c r="K239">
        <v>50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464</v>
      </c>
    </row>
    <row r="240" spans="1:17" x14ac:dyDescent="0.3">
      <c r="A240">
        <v>235356</v>
      </c>
      <c r="B240">
        <v>105</v>
      </c>
      <c r="C240" t="s">
        <v>557</v>
      </c>
      <c r="D240" t="s">
        <v>2590</v>
      </c>
      <c r="E240" t="s">
        <v>2839</v>
      </c>
      <c r="F240" s="451">
        <v>46167</v>
      </c>
      <c r="G240" s="451">
        <v>46168</v>
      </c>
      <c r="H240" s="451">
        <v>46199</v>
      </c>
      <c r="I240">
        <v>2738.75</v>
      </c>
      <c r="J240">
        <v>2707.29</v>
      </c>
      <c r="K240">
        <v>0</v>
      </c>
      <c r="L240">
        <v>2738.75</v>
      </c>
      <c r="M240">
        <v>0</v>
      </c>
      <c r="N240">
        <v>0</v>
      </c>
      <c r="O240">
        <v>0</v>
      </c>
      <c r="P240">
        <v>0</v>
      </c>
      <c r="Q240" t="s">
        <v>463</v>
      </c>
    </row>
    <row r="241" spans="1:17" x14ac:dyDescent="0.3">
      <c r="A241">
        <v>235354</v>
      </c>
      <c r="B241">
        <v>105</v>
      </c>
      <c r="C241" t="s">
        <v>557</v>
      </c>
      <c r="D241" t="s">
        <v>2642</v>
      </c>
      <c r="E241" t="s">
        <v>2840</v>
      </c>
      <c r="F241" s="451">
        <v>46168</v>
      </c>
      <c r="G241" s="451">
        <v>46170</v>
      </c>
      <c r="H241" s="451">
        <v>46196</v>
      </c>
      <c r="I241">
        <v>341.5</v>
      </c>
      <c r="J241">
        <v>341.5</v>
      </c>
      <c r="K241">
        <v>0</v>
      </c>
      <c r="L241">
        <v>341.5</v>
      </c>
      <c r="M241">
        <v>0</v>
      </c>
      <c r="N241">
        <v>0</v>
      </c>
      <c r="O241">
        <v>0</v>
      </c>
      <c r="P241">
        <v>0</v>
      </c>
      <c r="Q241" t="s">
        <v>463</v>
      </c>
    </row>
    <row r="242" spans="1:17" x14ac:dyDescent="0.3">
      <c r="A242">
        <v>235353</v>
      </c>
      <c r="B242">
        <v>105</v>
      </c>
      <c r="C242" t="s">
        <v>557</v>
      </c>
      <c r="D242" t="s">
        <v>2588</v>
      </c>
      <c r="E242" t="s">
        <v>2841</v>
      </c>
      <c r="F242" s="451">
        <v>46167</v>
      </c>
      <c r="G242" s="451">
        <v>46168</v>
      </c>
      <c r="H242" s="451">
        <v>46195</v>
      </c>
      <c r="I242">
        <v>447.6</v>
      </c>
      <c r="J242">
        <v>447.6</v>
      </c>
      <c r="K242">
        <v>447.6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463</v>
      </c>
    </row>
    <row r="243" spans="1:17" x14ac:dyDescent="0.3">
      <c r="A243">
        <v>235351</v>
      </c>
      <c r="B243">
        <v>105</v>
      </c>
      <c r="C243" t="s">
        <v>557</v>
      </c>
      <c r="D243" t="s">
        <v>2607</v>
      </c>
      <c r="E243" t="s">
        <v>2842</v>
      </c>
      <c r="F243" s="451">
        <v>46156</v>
      </c>
      <c r="G243" s="451">
        <v>46156</v>
      </c>
      <c r="H243" s="451">
        <v>46184</v>
      </c>
      <c r="I243">
        <v>1650</v>
      </c>
      <c r="J243">
        <v>1650</v>
      </c>
      <c r="K243">
        <v>1650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463</v>
      </c>
    </row>
    <row r="244" spans="1:17" x14ac:dyDescent="0.3">
      <c r="A244">
        <v>235350</v>
      </c>
      <c r="B244">
        <v>105</v>
      </c>
      <c r="C244" t="s">
        <v>557</v>
      </c>
      <c r="D244" t="s">
        <v>2607</v>
      </c>
      <c r="E244" t="s">
        <v>2843</v>
      </c>
      <c r="F244" s="451">
        <v>46164</v>
      </c>
      <c r="G244" s="451">
        <v>46167</v>
      </c>
      <c r="H244" s="451">
        <v>46192</v>
      </c>
      <c r="I244">
        <v>1901.96</v>
      </c>
      <c r="J244">
        <v>1901.96</v>
      </c>
      <c r="K244">
        <v>1901.96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463</v>
      </c>
    </row>
    <row r="245" spans="1:17" x14ac:dyDescent="0.3">
      <c r="A245">
        <v>235349</v>
      </c>
      <c r="B245">
        <v>105</v>
      </c>
      <c r="C245" t="s">
        <v>557</v>
      </c>
      <c r="D245" t="s">
        <v>2585</v>
      </c>
      <c r="E245" t="s">
        <v>2844</v>
      </c>
      <c r="F245" s="451">
        <v>46164</v>
      </c>
      <c r="G245" s="451">
        <v>46165</v>
      </c>
      <c r="H245" s="451">
        <v>46192</v>
      </c>
      <c r="I245">
        <v>3086.25</v>
      </c>
      <c r="J245">
        <v>3086.24</v>
      </c>
      <c r="K245">
        <v>3086.25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463</v>
      </c>
    </row>
    <row r="246" spans="1:17" x14ac:dyDescent="0.3">
      <c r="A246">
        <v>235347</v>
      </c>
      <c r="B246">
        <v>105</v>
      </c>
      <c r="C246" t="s">
        <v>557</v>
      </c>
      <c r="D246" t="s">
        <v>2845</v>
      </c>
      <c r="E246" t="s">
        <v>2846</v>
      </c>
      <c r="F246" s="451">
        <v>46155</v>
      </c>
      <c r="G246" s="451">
        <v>46156</v>
      </c>
      <c r="H246" s="451">
        <v>46184</v>
      </c>
      <c r="I246">
        <v>1155.06</v>
      </c>
      <c r="J246">
        <v>1155.06</v>
      </c>
      <c r="K246">
        <v>1155.06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463</v>
      </c>
    </row>
    <row r="247" spans="1:17" x14ac:dyDescent="0.3">
      <c r="A247">
        <v>235345</v>
      </c>
      <c r="B247">
        <v>105</v>
      </c>
      <c r="C247" t="s">
        <v>557</v>
      </c>
      <c r="D247" t="s">
        <v>2707</v>
      </c>
      <c r="E247" t="s">
        <v>2847</v>
      </c>
      <c r="F247" s="451">
        <v>46169</v>
      </c>
      <c r="G247" s="451">
        <v>46171</v>
      </c>
      <c r="H247" s="451">
        <v>46182</v>
      </c>
      <c r="I247">
        <v>280.83999999999997</v>
      </c>
      <c r="J247">
        <v>280.83999999999997</v>
      </c>
      <c r="K247">
        <v>280.83999999999997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463</v>
      </c>
    </row>
    <row r="248" spans="1:17" x14ac:dyDescent="0.3">
      <c r="A248">
        <v>235343</v>
      </c>
      <c r="B248">
        <v>105</v>
      </c>
      <c r="C248" t="s">
        <v>557</v>
      </c>
      <c r="D248" t="s">
        <v>2637</v>
      </c>
      <c r="E248" t="s">
        <v>2848</v>
      </c>
      <c r="F248" s="451">
        <v>46168</v>
      </c>
      <c r="G248" s="451">
        <v>46169</v>
      </c>
      <c r="H248" s="451">
        <v>46196</v>
      </c>
      <c r="I248">
        <v>394.8</v>
      </c>
      <c r="J248">
        <v>394.8</v>
      </c>
      <c r="K248">
        <v>0</v>
      </c>
      <c r="L248">
        <v>394.8</v>
      </c>
      <c r="M248">
        <v>0</v>
      </c>
      <c r="N248">
        <v>0</v>
      </c>
      <c r="O248">
        <v>0</v>
      </c>
      <c r="P248">
        <v>0</v>
      </c>
      <c r="Q248" t="s">
        <v>463</v>
      </c>
    </row>
    <row r="249" spans="1:17" x14ac:dyDescent="0.3">
      <c r="A249">
        <v>235342</v>
      </c>
      <c r="B249">
        <v>105</v>
      </c>
      <c r="C249" t="s">
        <v>557</v>
      </c>
      <c r="D249" t="s">
        <v>2581</v>
      </c>
      <c r="E249" t="s">
        <v>2849</v>
      </c>
      <c r="F249" s="451">
        <v>46163</v>
      </c>
      <c r="G249" s="451">
        <v>46165</v>
      </c>
      <c r="H249" s="451">
        <v>46191</v>
      </c>
      <c r="I249">
        <v>662.15</v>
      </c>
      <c r="J249">
        <v>655.6</v>
      </c>
      <c r="K249">
        <v>662.15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463</v>
      </c>
    </row>
    <row r="250" spans="1:17" x14ac:dyDescent="0.3">
      <c r="A250">
        <v>235340</v>
      </c>
      <c r="B250">
        <v>105</v>
      </c>
      <c r="C250" t="s">
        <v>557</v>
      </c>
      <c r="D250" t="s">
        <v>2581</v>
      </c>
      <c r="E250" t="s">
        <v>2850</v>
      </c>
      <c r="F250" s="451">
        <v>46164</v>
      </c>
      <c r="G250" s="451">
        <v>46167</v>
      </c>
      <c r="H250" s="451">
        <v>46192</v>
      </c>
      <c r="I250">
        <v>81.5</v>
      </c>
      <c r="J250">
        <v>81.5</v>
      </c>
      <c r="K250">
        <v>81.5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463</v>
      </c>
    </row>
    <row r="251" spans="1:17" x14ac:dyDescent="0.3">
      <c r="A251">
        <v>235339</v>
      </c>
      <c r="B251">
        <v>105</v>
      </c>
      <c r="C251" t="s">
        <v>557</v>
      </c>
      <c r="D251" t="s">
        <v>2581</v>
      </c>
      <c r="E251" t="s">
        <v>2851</v>
      </c>
      <c r="F251" s="451">
        <v>46167</v>
      </c>
      <c r="G251" s="451">
        <v>46168</v>
      </c>
      <c r="H251" s="451">
        <v>46195</v>
      </c>
      <c r="I251">
        <v>376.2</v>
      </c>
      <c r="J251">
        <v>376.2</v>
      </c>
      <c r="K251">
        <v>376.2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463</v>
      </c>
    </row>
    <row r="252" spans="1:17" x14ac:dyDescent="0.3">
      <c r="A252">
        <v>235337</v>
      </c>
      <c r="B252">
        <v>105</v>
      </c>
      <c r="C252" t="s">
        <v>557</v>
      </c>
      <c r="D252" t="s">
        <v>2581</v>
      </c>
      <c r="E252" t="s">
        <v>2852</v>
      </c>
      <c r="F252" s="451">
        <v>46168</v>
      </c>
      <c r="G252" s="451">
        <v>46169</v>
      </c>
      <c r="H252" s="451">
        <v>46196</v>
      </c>
      <c r="I252">
        <v>59.18</v>
      </c>
      <c r="J252">
        <v>59.18</v>
      </c>
      <c r="K252">
        <v>59.18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463</v>
      </c>
    </row>
    <row r="253" spans="1:17" x14ac:dyDescent="0.3">
      <c r="A253">
        <v>235336</v>
      </c>
      <c r="B253">
        <v>105</v>
      </c>
      <c r="C253" t="s">
        <v>557</v>
      </c>
      <c r="D253" t="s">
        <v>2581</v>
      </c>
      <c r="E253" t="s">
        <v>2853</v>
      </c>
      <c r="F253" s="451">
        <v>46169</v>
      </c>
      <c r="G253" s="451">
        <v>46170</v>
      </c>
      <c r="H253" s="451">
        <v>46197</v>
      </c>
      <c r="I253">
        <v>147.5</v>
      </c>
      <c r="J253">
        <v>147.5</v>
      </c>
      <c r="K253">
        <v>147.5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463</v>
      </c>
    </row>
    <row r="254" spans="1:17" x14ac:dyDescent="0.3">
      <c r="A254">
        <v>235334</v>
      </c>
      <c r="B254">
        <v>105</v>
      </c>
      <c r="C254" t="s">
        <v>557</v>
      </c>
      <c r="D254" t="s">
        <v>2581</v>
      </c>
      <c r="E254" t="s">
        <v>2854</v>
      </c>
      <c r="F254" s="451">
        <v>46170</v>
      </c>
      <c r="G254" s="451">
        <v>46171</v>
      </c>
      <c r="H254" s="451">
        <v>46198</v>
      </c>
      <c r="I254">
        <v>558</v>
      </c>
      <c r="J254">
        <v>558</v>
      </c>
      <c r="K254">
        <v>558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463</v>
      </c>
    </row>
    <row r="255" spans="1:17" x14ac:dyDescent="0.3">
      <c r="A255">
        <v>235332</v>
      </c>
      <c r="B255">
        <v>105</v>
      </c>
      <c r="C255" t="s">
        <v>557</v>
      </c>
      <c r="D255" t="s">
        <v>2579</v>
      </c>
      <c r="E255" t="s">
        <v>2855</v>
      </c>
      <c r="F255" s="451">
        <v>46163</v>
      </c>
      <c r="G255" s="451">
        <v>46165</v>
      </c>
      <c r="H255" s="451">
        <v>46191</v>
      </c>
      <c r="I255">
        <v>418.92</v>
      </c>
      <c r="J255">
        <v>416.06</v>
      </c>
      <c r="K255">
        <v>418.92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463</v>
      </c>
    </row>
    <row r="256" spans="1:17" x14ac:dyDescent="0.3">
      <c r="A256">
        <v>235331</v>
      </c>
      <c r="B256">
        <v>105</v>
      </c>
      <c r="C256" t="s">
        <v>557</v>
      </c>
      <c r="D256" t="s">
        <v>2579</v>
      </c>
      <c r="E256" t="s">
        <v>2856</v>
      </c>
      <c r="F256" s="451">
        <v>46169</v>
      </c>
      <c r="G256" s="451">
        <v>46170</v>
      </c>
      <c r="H256" s="451">
        <v>46197</v>
      </c>
      <c r="I256">
        <v>90.48</v>
      </c>
      <c r="J256">
        <v>90.48</v>
      </c>
      <c r="K256">
        <v>90.48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463</v>
      </c>
    </row>
    <row r="257" spans="1:17" x14ac:dyDescent="0.3">
      <c r="A257">
        <v>235329</v>
      </c>
      <c r="B257">
        <v>105</v>
      </c>
      <c r="C257" t="s">
        <v>557</v>
      </c>
      <c r="D257" t="s">
        <v>2579</v>
      </c>
      <c r="E257" t="s">
        <v>2857</v>
      </c>
      <c r="F257" s="451">
        <v>46170</v>
      </c>
      <c r="G257" s="451">
        <v>46171</v>
      </c>
      <c r="H257" s="451">
        <v>46198</v>
      </c>
      <c r="I257">
        <v>516.37</v>
      </c>
      <c r="J257">
        <v>518.96</v>
      </c>
      <c r="K257">
        <v>516.37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463</v>
      </c>
    </row>
    <row r="258" spans="1:17" x14ac:dyDescent="0.3">
      <c r="A258">
        <v>235326</v>
      </c>
      <c r="B258">
        <v>105</v>
      </c>
      <c r="C258" t="s">
        <v>557</v>
      </c>
      <c r="D258" t="s">
        <v>2577</v>
      </c>
      <c r="E258" t="s">
        <v>2858</v>
      </c>
      <c r="F258" s="451">
        <v>46168</v>
      </c>
      <c r="G258" s="451">
        <v>46169</v>
      </c>
      <c r="H258" s="451">
        <v>46193</v>
      </c>
      <c r="I258">
        <v>139.02000000000001</v>
      </c>
      <c r="J258">
        <v>139.02000000000001</v>
      </c>
      <c r="K258">
        <v>0</v>
      </c>
      <c r="L258">
        <v>0</v>
      </c>
      <c r="M258">
        <v>0</v>
      </c>
      <c r="N258">
        <v>139.02000000000001</v>
      </c>
      <c r="O258">
        <v>0</v>
      </c>
      <c r="P258">
        <v>0</v>
      </c>
      <c r="Q258" t="s">
        <v>463</v>
      </c>
    </row>
    <row r="259" spans="1:17" x14ac:dyDescent="0.3">
      <c r="A259">
        <v>235324</v>
      </c>
      <c r="B259">
        <v>105</v>
      </c>
      <c r="C259" t="s">
        <v>557</v>
      </c>
      <c r="D259" t="s">
        <v>2563</v>
      </c>
      <c r="E259" t="s">
        <v>2859</v>
      </c>
      <c r="F259" s="451">
        <v>46170</v>
      </c>
      <c r="G259" s="451">
        <v>46171</v>
      </c>
      <c r="H259" s="451">
        <v>46198</v>
      </c>
      <c r="I259">
        <v>622.45000000000005</v>
      </c>
      <c r="J259">
        <v>622.45000000000005</v>
      </c>
      <c r="K259">
        <v>622.45000000000005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463</v>
      </c>
    </row>
    <row r="260" spans="1:17" x14ac:dyDescent="0.3">
      <c r="A260">
        <v>235322</v>
      </c>
      <c r="B260">
        <v>105</v>
      </c>
      <c r="C260" t="s">
        <v>557</v>
      </c>
      <c r="D260" t="s">
        <v>2653</v>
      </c>
      <c r="E260" t="s">
        <v>2860</v>
      </c>
      <c r="F260" s="451">
        <v>46169</v>
      </c>
      <c r="G260" s="451">
        <v>46171</v>
      </c>
      <c r="H260" s="451">
        <v>46183</v>
      </c>
      <c r="I260">
        <v>375.45</v>
      </c>
      <c r="J260">
        <v>345.45</v>
      </c>
      <c r="K260">
        <v>375.45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463</v>
      </c>
    </row>
    <row r="261" spans="1:17" x14ac:dyDescent="0.3">
      <c r="A261">
        <v>235321</v>
      </c>
      <c r="B261">
        <v>105</v>
      </c>
      <c r="C261" t="s">
        <v>557</v>
      </c>
      <c r="D261" t="s">
        <v>2554</v>
      </c>
      <c r="E261" t="s">
        <v>2861</v>
      </c>
      <c r="F261" s="451">
        <v>46169</v>
      </c>
      <c r="G261" s="451">
        <v>46171</v>
      </c>
      <c r="H261" s="451">
        <v>46183</v>
      </c>
      <c r="I261">
        <v>1071.6099999999999</v>
      </c>
      <c r="J261">
        <v>994.54</v>
      </c>
      <c r="K261">
        <v>0</v>
      </c>
      <c r="L261">
        <v>0</v>
      </c>
      <c r="M261">
        <v>1026.3599999999999</v>
      </c>
      <c r="N261">
        <v>0</v>
      </c>
      <c r="O261">
        <v>45.25</v>
      </c>
      <c r="P261">
        <v>0</v>
      </c>
      <c r="Q261" t="s">
        <v>463</v>
      </c>
    </row>
    <row r="262" spans="1:17" x14ac:dyDescent="0.3">
      <c r="A262">
        <v>235319</v>
      </c>
      <c r="B262">
        <v>105</v>
      </c>
      <c r="C262" t="s">
        <v>557</v>
      </c>
      <c r="D262" t="s">
        <v>2828</v>
      </c>
      <c r="E262" t="s">
        <v>2862</v>
      </c>
      <c r="F262" s="451">
        <v>46170</v>
      </c>
      <c r="G262" s="451">
        <v>46171</v>
      </c>
      <c r="H262" s="451">
        <v>46185</v>
      </c>
      <c r="I262">
        <v>1020</v>
      </c>
      <c r="J262">
        <v>1020</v>
      </c>
      <c r="K262">
        <v>1020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463</v>
      </c>
    </row>
    <row r="263" spans="1:17" x14ac:dyDescent="0.3">
      <c r="A263">
        <v>235318</v>
      </c>
      <c r="B263">
        <v>105</v>
      </c>
      <c r="C263" t="s">
        <v>557</v>
      </c>
      <c r="D263" t="s">
        <v>2798</v>
      </c>
      <c r="E263" t="s">
        <v>1367</v>
      </c>
      <c r="F263" s="451">
        <v>46171</v>
      </c>
      <c r="G263" s="451">
        <v>46171</v>
      </c>
      <c r="H263" s="451">
        <v>46185</v>
      </c>
      <c r="I263">
        <v>1520.16</v>
      </c>
      <c r="J263">
        <v>1520.16</v>
      </c>
      <c r="K263">
        <v>1520.16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463</v>
      </c>
    </row>
    <row r="264" spans="1:17" x14ac:dyDescent="0.3">
      <c r="A264">
        <v>235290</v>
      </c>
      <c r="B264">
        <v>105</v>
      </c>
      <c r="C264" t="s">
        <v>557</v>
      </c>
      <c r="D264" t="s">
        <v>2548</v>
      </c>
      <c r="E264" t="s">
        <v>2863</v>
      </c>
      <c r="F264" s="451">
        <v>46167</v>
      </c>
      <c r="G264" s="451">
        <v>46169</v>
      </c>
      <c r="H264" s="451">
        <v>46202</v>
      </c>
      <c r="I264">
        <v>325.8</v>
      </c>
      <c r="J264">
        <v>325.8</v>
      </c>
      <c r="K264">
        <v>0</v>
      </c>
      <c r="L264">
        <v>0</v>
      </c>
      <c r="M264">
        <v>325.8</v>
      </c>
      <c r="N264">
        <v>0</v>
      </c>
      <c r="O264">
        <v>0</v>
      </c>
      <c r="P264">
        <v>0</v>
      </c>
      <c r="Q264" t="s">
        <v>463</v>
      </c>
    </row>
    <row r="265" spans="1:17" x14ac:dyDescent="0.3">
      <c r="A265">
        <v>235288</v>
      </c>
      <c r="B265">
        <v>105</v>
      </c>
      <c r="C265" t="s">
        <v>557</v>
      </c>
      <c r="D265" t="s">
        <v>2864</v>
      </c>
      <c r="E265" t="s">
        <v>2865</v>
      </c>
      <c r="F265" s="451">
        <v>46167</v>
      </c>
      <c r="G265" s="451">
        <v>46169</v>
      </c>
      <c r="H265" s="451">
        <v>46202</v>
      </c>
      <c r="I265">
        <v>143.84</v>
      </c>
      <c r="J265">
        <v>143.84</v>
      </c>
      <c r="K265">
        <v>143.84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463</v>
      </c>
    </row>
    <row r="266" spans="1:17" x14ac:dyDescent="0.3">
      <c r="A266">
        <v>235286</v>
      </c>
      <c r="B266">
        <v>105</v>
      </c>
      <c r="C266" t="s">
        <v>557</v>
      </c>
      <c r="D266" t="s">
        <v>2548</v>
      </c>
      <c r="E266" t="s">
        <v>2866</v>
      </c>
      <c r="F266" s="451">
        <v>46154</v>
      </c>
      <c r="G266" s="451">
        <v>46154</v>
      </c>
      <c r="H266" s="451">
        <v>46188</v>
      </c>
      <c r="I266">
        <v>209.8</v>
      </c>
      <c r="J266">
        <v>119.9</v>
      </c>
      <c r="K266">
        <v>209.8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463</v>
      </c>
    </row>
    <row r="267" spans="1:17" x14ac:dyDescent="0.3">
      <c r="A267">
        <v>235284</v>
      </c>
      <c r="B267">
        <v>105</v>
      </c>
      <c r="C267" t="s">
        <v>557</v>
      </c>
      <c r="D267" t="s">
        <v>2573</v>
      </c>
      <c r="E267" t="s">
        <v>2867</v>
      </c>
      <c r="F267" s="451">
        <v>46167</v>
      </c>
      <c r="G267" s="451">
        <v>46168</v>
      </c>
      <c r="H267" s="451">
        <v>46195</v>
      </c>
      <c r="I267">
        <v>210.25</v>
      </c>
      <c r="J267">
        <v>82.63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463</v>
      </c>
    </row>
    <row r="268" spans="1:17" x14ac:dyDescent="0.3">
      <c r="A268">
        <v>235280</v>
      </c>
      <c r="B268">
        <v>105</v>
      </c>
      <c r="C268" t="s">
        <v>557</v>
      </c>
      <c r="D268" t="s">
        <v>2579</v>
      </c>
      <c r="E268" t="s">
        <v>2868</v>
      </c>
      <c r="F268" s="451">
        <v>46167</v>
      </c>
      <c r="G268" s="451">
        <v>46168</v>
      </c>
      <c r="H268" s="451">
        <v>46195</v>
      </c>
      <c r="I268">
        <v>404.4</v>
      </c>
      <c r="J268">
        <v>404.4</v>
      </c>
      <c r="K268">
        <v>404.4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463</v>
      </c>
    </row>
    <row r="269" spans="1:17" x14ac:dyDescent="0.3">
      <c r="A269">
        <v>235278</v>
      </c>
      <c r="B269">
        <v>105</v>
      </c>
      <c r="C269" t="s">
        <v>557</v>
      </c>
      <c r="D269" t="s">
        <v>2571</v>
      </c>
      <c r="E269" t="s">
        <v>2869</v>
      </c>
      <c r="F269" s="451">
        <v>46164</v>
      </c>
      <c r="G269" s="451">
        <v>46167</v>
      </c>
      <c r="H269" s="451">
        <v>46185</v>
      </c>
      <c r="I269">
        <v>1326.09</v>
      </c>
      <c r="J269">
        <v>875.65</v>
      </c>
      <c r="K269">
        <v>1326.09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463</v>
      </c>
    </row>
    <row r="270" spans="1:17" x14ac:dyDescent="0.3">
      <c r="A270">
        <v>235275</v>
      </c>
      <c r="B270">
        <v>105</v>
      </c>
      <c r="C270" t="s">
        <v>557</v>
      </c>
      <c r="D270" t="s">
        <v>2569</v>
      </c>
      <c r="E270" t="s">
        <v>2870</v>
      </c>
      <c r="F270" s="451">
        <v>46167</v>
      </c>
      <c r="G270" s="451">
        <v>46170</v>
      </c>
      <c r="H270" s="451">
        <v>46203</v>
      </c>
      <c r="I270">
        <v>424.8</v>
      </c>
      <c r="J270">
        <v>424.8</v>
      </c>
      <c r="K270">
        <v>0</v>
      </c>
      <c r="L270">
        <v>424.8</v>
      </c>
      <c r="M270">
        <v>0</v>
      </c>
      <c r="N270">
        <v>0</v>
      </c>
      <c r="O270">
        <v>0</v>
      </c>
      <c r="P270">
        <v>0</v>
      </c>
      <c r="Q270" t="s">
        <v>463</v>
      </c>
    </row>
    <row r="271" spans="1:17" x14ac:dyDescent="0.3">
      <c r="A271">
        <v>235273</v>
      </c>
      <c r="B271">
        <v>105</v>
      </c>
      <c r="C271" t="s">
        <v>557</v>
      </c>
      <c r="D271" t="s">
        <v>2605</v>
      </c>
      <c r="E271" t="s">
        <v>2871</v>
      </c>
      <c r="F271" s="451">
        <v>46167</v>
      </c>
      <c r="G271" s="451">
        <v>46168</v>
      </c>
      <c r="H271" s="451">
        <v>46196</v>
      </c>
      <c r="I271">
        <v>572.36</v>
      </c>
      <c r="J271">
        <v>138.6</v>
      </c>
      <c r="K271">
        <v>572.36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463</v>
      </c>
    </row>
    <row r="272" spans="1:17" x14ac:dyDescent="0.3">
      <c r="A272">
        <v>235258</v>
      </c>
      <c r="B272">
        <v>105</v>
      </c>
      <c r="C272" t="s">
        <v>557</v>
      </c>
      <c r="D272" t="s">
        <v>2690</v>
      </c>
      <c r="E272" t="s">
        <v>2872</v>
      </c>
      <c r="F272" s="451">
        <v>46169</v>
      </c>
      <c r="G272" s="451">
        <v>46170</v>
      </c>
      <c r="H272" s="451">
        <v>46191</v>
      </c>
      <c r="I272">
        <v>160</v>
      </c>
      <c r="J272">
        <v>160</v>
      </c>
      <c r="K272">
        <v>0</v>
      </c>
      <c r="L272">
        <v>160</v>
      </c>
      <c r="M272">
        <v>0</v>
      </c>
      <c r="N272">
        <v>0</v>
      </c>
      <c r="O272">
        <v>0</v>
      </c>
      <c r="P272">
        <v>0</v>
      </c>
      <c r="Q272" t="s">
        <v>463</v>
      </c>
    </row>
    <row r="273" spans="1:17" x14ac:dyDescent="0.3">
      <c r="A273">
        <v>235256</v>
      </c>
      <c r="B273">
        <v>105</v>
      </c>
      <c r="C273" t="s">
        <v>557</v>
      </c>
      <c r="D273" t="s">
        <v>2675</v>
      </c>
      <c r="E273" t="s">
        <v>2873</v>
      </c>
      <c r="F273" s="451">
        <v>46167</v>
      </c>
      <c r="G273" s="451">
        <v>46168</v>
      </c>
      <c r="H273" s="451">
        <v>46195</v>
      </c>
      <c r="I273">
        <v>682.5</v>
      </c>
      <c r="J273">
        <v>682.5</v>
      </c>
      <c r="K273">
        <v>682.5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463</v>
      </c>
    </row>
    <row r="274" spans="1:17" x14ac:dyDescent="0.3">
      <c r="A274">
        <v>235226</v>
      </c>
      <c r="B274">
        <v>105</v>
      </c>
      <c r="C274" t="s">
        <v>557</v>
      </c>
      <c r="D274" t="s">
        <v>2600</v>
      </c>
      <c r="E274" t="s">
        <v>2874</v>
      </c>
      <c r="F274" s="451">
        <v>46153</v>
      </c>
      <c r="G274" s="451">
        <v>46170</v>
      </c>
      <c r="H274" s="451">
        <v>46182</v>
      </c>
      <c r="I274">
        <v>113.94</v>
      </c>
      <c r="J274">
        <v>99.95</v>
      </c>
      <c r="K274">
        <v>113.94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463</v>
      </c>
    </row>
    <row r="275" spans="1:17" x14ac:dyDescent="0.3">
      <c r="A275">
        <v>235224</v>
      </c>
      <c r="B275">
        <v>105</v>
      </c>
      <c r="C275" t="s">
        <v>557</v>
      </c>
      <c r="D275" t="s">
        <v>2600</v>
      </c>
      <c r="E275" t="s">
        <v>2875</v>
      </c>
      <c r="F275" s="451">
        <v>46169</v>
      </c>
      <c r="G275" s="451">
        <v>46169</v>
      </c>
      <c r="H275" s="451">
        <v>46196</v>
      </c>
      <c r="I275">
        <v>231.48</v>
      </c>
      <c r="J275">
        <v>231.48</v>
      </c>
      <c r="K275">
        <v>231.48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463</v>
      </c>
    </row>
    <row r="276" spans="1:17" x14ac:dyDescent="0.3">
      <c r="A276">
        <v>235222</v>
      </c>
      <c r="B276">
        <v>105</v>
      </c>
      <c r="C276" t="s">
        <v>557</v>
      </c>
      <c r="D276" t="s">
        <v>2563</v>
      </c>
      <c r="E276" t="s">
        <v>2876</v>
      </c>
      <c r="F276" s="451">
        <v>46163</v>
      </c>
      <c r="G276" s="451">
        <v>46165</v>
      </c>
      <c r="H276" s="451">
        <v>46191</v>
      </c>
      <c r="I276">
        <v>538.04</v>
      </c>
      <c r="J276">
        <v>545.42999999999995</v>
      </c>
      <c r="K276">
        <v>538.04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463</v>
      </c>
    </row>
    <row r="277" spans="1:17" x14ac:dyDescent="0.3">
      <c r="A277">
        <v>235221</v>
      </c>
      <c r="B277">
        <v>105</v>
      </c>
      <c r="C277" t="s">
        <v>557</v>
      </c>
      <c r="D277" t="s">
        <v>2563</v>
      </c>
      <c r="E277" t="s">
        <v>2877</v>
      </c>
      <c r="F277" s="451">
        <v>46167</v>
      </c>
      <c r="G277" s="451">
        <v>46168</v>
      </c>
      <c r="H277" s="451">
        <v>46195</v>
      </c>
      <c r="I277">
        <v>591.87</v>
      </c>
      <c r="J277">
        <v>590.25</v>
      </c>
      <c r="K277">
        <v>591.87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463</v>
      </c>
    </row>
    <row r="278" spans="1:17" x14ac:dyDescent="0.3">
      <c r="A278">
        <v>235217</v>
      </c>
      <c r="B278">
        <v>105</v>
      </c>
      <c r="C278" t="s">
        <v>557</v>
      </c>
      <c r="D278" t="s">
        <v>2563</v>
      </c>
      <c r="E278" t="s">
        <v>2878</v>
      </c>
      <c r="F278" s="451">
        <v>46169</v>
      </c>
      <c r="G278" s="451">
        <v>46170</v>
      </c>
      <c r="H278" s="451">
        <v>46197</v>
      </c>
      <c r="I278">
        <v>129.1</v>
      </c>
      <c r="J278">
        <v>127.11</v>
      </c>
      <c r="K278">
        <v>129.1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463</v>
      </c>
    </row>
    <row r="279" spans="1:17" x14ac:dyDescent="0.3">
      <c r="A279">
        <v>235215</v>
      </c>
      <c r="B279">
        <v>105</v>
      </c>
      <c r="C279" t="s">
        <v>557</v>
      </c>
      <c r="D279" t="s">
        <v>2595</v>
      </c>
      <c r="E279" t="s">
        <v>2879</v>
      </c>
      <c r="F279" s="451">
        <v>46164</v>
      </c>
      <c r="G279" s="451">
        <v>46167</v>
      </c>
      <c r="H279" s="451">
        <v>46185</v>
      </c>
      <c r="I279">
        <v>1340.51</v>
      </c>
      <c r="J279">
        <v>1340.51</v>
      </c>
      <c r="K279">
        <v>1340.51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463</v>
      </c>
    </row>
    <row r="280" spans="1:17" x14ac:dyDescent="0.3">
      <c r="A280">
        <v>235214</v>
      </c>
      <c r="B280">
        <v>105</v>
      </c>
      <c r="C280" t="s">
        <v>557</v>
      </c>
      <c r="D280" t="s">
        <v>2603</v>
      </c>
      <c r="E280" t="s">
        <v>2880</v>
      </c>
      <c r="F280" s="451">
        <v>46167</v>
      </c>
      <c r="G280" s="451">
        <v>46169</v>
      </c>
      <c r="H280" s="451">
        <v>46183</v>
      </c>
      <c r="I280">
        <v>1579.45</v>
      </c>
      <c r="J280">
        <v>1579.45</v>
      </c>
      <c r="K280">
        <v>1579.45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463</v>
      </c>
    </row>
    <row r="281" spans="1:17" x14ac:dyDescent="0.3">
      <c r="A281">
        <v>235213</v>
      </c>
      <c r="B281">
        <v>105</v>
      </c>
      <c r="C281" t="s">
        <v>557</v>
      </c>
      <c r="D281" t="s">
        <v>2593</v>
      </c>
      <c r="E281" t="s">
        <v>2881</v>
      </c>
      <c r="F281" s="451">
        <v>46164</v>
      </c>
      <c r="G281" s="451">
        <v>46167</v>
      </c>
      <c r="H281" s="451">
        <v>46192</v>
      </c>
      <c r="I281">
        <v>375</v>
      </c>
      <c r="J281">
        <v>375</v>
      </c>
      <c r="K281">
        <v>375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463</v>
      </c>
    </row>
    <row r="282" spans="1:17" x14ac:dyDescent="0.3">
      <c r="A282">
        <v>235211</v>
      </c>
      <c r="B282">
        <v>105</v>
      </c>
      <c r="C282" t="s">
        <v>557</v>
      </c>
      <c r="D282" t="s">
        <v>2552</v>
      </c>
      <c r="E282" t="s">
        <v>2882</v>
      </c>
      <c r="F282" s="451">
        <v>46169</v>
      </c>
      <c r="G282" s="451">
        <v>46170</v>
      </c>
      <c r="H282" s="451">
        <v>46183</v>
      </c>
      <c r="I282">
        <v>222.5</v>
      </c>
      <c r="J282">
        <v>197.5</v>
      </c>
      <c r="K282">
        <v>222.5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463</v>
      </c>
    </row>
    <row r="283" spans="1:17" x14ac:dyDescent="0.3">
      <c r="A283">
        <v>235208</v>
      </c>
      <c r="B283">
        <v>105</v>
      </c>
      <c r="C283" t="s">
        <v>557</v>
      </c>
      <c r="D283" t="s">
        <v>2557</v>
      </c>
      <c r="E283" t="s">
        <v>2883</v>
      </c>
      <c r="F283" s="451">
        <v>46169</v>
      </c>
      <c r="G283" s="451">
        <v>46170</v>
      </c>
      <c r="H283" s="451">
        <v>46198</v>
      </c>
      <c r="I283">
        <v>2347.0100000000002</v>
      </c>
      <c r="J283">
        <v>2344.0100000000002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2347.0100000000002</v>
      </c>
      <c r="Q283" t="s">
        <v>463</v>
      </c>
    </row>
    <row r="284" spans="1:17" x14ac:dyDescent="0.3">
      <c r="A284">
        <v>235199</v>
      </c>
      <c r="B284">
        <v>105</v>
      </c>
      <c r="C284" t="s">
        <v>557</v>
      </c>
      <c r="D284" t="s">
        <v>2884</v>
      </c>
      <c r="E284" t="s">
        <v>2885</v>
      </c>
      <c r="F284" s="451">
        <v>46143</v>
      </c>
      <c r="G284" s="451">
        <v>46169</v>
      </c>
      <c r="H284" s="451">
        <v>46184</v>
      </c>
      <c r="I284">
        <v>812</v>
      </c>
      <c r="J284">
        <v>522</v>
      </c>
      <c r="K284">
        <v>0</v>
      </c>
      <c r="L284">
        <v>812</v>
      </c>
      <c r="M284">
        <v>0</v>
      </c>
      <c r="N284">
        <v>0</v>
      </c>
      <c r="O284">
        <v>0</v>
      </c>
      <c r="P284">
        <v>0</v>
      </c>
      <c r="Q284" t="s">
        <v>463</v>
      </c>
    </row>
    <row r="285" spans="1:17" x14ac:dyDescent="0.3">
      <c r="A285">
        <v>235198</v>
      </c>
      <c r="B285">
        <v>105</v>
      </c>
      <c r="C285" t="s">
        <v>557</v>
      </c>
      <c r="D285" t="s">
        <v>2597</v>
      </c>
      <c r="E285" t="s">
        <v>2886</v>
      </c>
      <c r="F285" s="451">
        <v>46167</v>
      </c>
      <c r="G285" s="451">
        <v>46167</v>
      </c>
      <c r="H285" s="451">
        <v>46195</v>
      </c>
      <c r="I285">
        <v>5175.46</v>
      </c>
      <c r="J285">
        <v>5175.45</v>
      </c>
      <c r="K285">
        <v>5175.46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463</v>
      </c>
    </row>
    <row r="286" spans="1:17" x14ac:dyDescent="0.3">
      <c r="A286">
        <v>235171</v>
      </c>
      <c r="B286">
        <v>105</v>
      </c>
      <c r="C286" t="s">
        <v>557</v>
      </c>
      <c r="D286" t="s">
        <v>2550</v>
      </c>
      <c r="E286" t="s">
        <v>2887</v>
      </c>
      <c r="F286" s="451">
        <v>46167</v>
      </c>
      <c r="G286" s="451">
        <v>46169</v>
      </c>
      <c r="H286" s="451">
        <v>46197</v>
      </c>
      <c r="I286">
        <v>960.85</v>
      </c>
      <c r="J286">
        <v>902.2</v>
      </c>
      <c r="K286">
        <v>0</v>
      </c>
      <c r="L286">
        <v>960.85</v>
      </c>
      <c r="M286">
        <v>0</v>
      </c>
      <c r="N286">
        <v>0</v>
      </c>
      <c r="O286">
        <v>0</v>
      </c>
      <c r="P286">
        <v>0</v>
      </c>
      <c r="Q286" t="s">
        <v>463</v>
      </c>
    </row>
    <row r="287" spans="1:17" x14ac:dyDescent="0.3">
      <c r="A287">
        <v>234847</v>
      </c>
      <c r="B287">
        <v>105</v>
      </c>
      <c r="C287" t="s">
        <v>557</v>
      </c>
      <c r="D287" t="s">
        <v>2563</v>
      </c>
      <c r="E287" t="s">
        <v>2888</v>
      </c>
      <c r="F287" s="451">
        <v>46153</v>
      </c>
      <c r="G287" s="451">
        <v>46154</v>
      </c>
      <c r="H287" s="451">
        <v>46181</v>
      </c>
      <c r="I287">
        <v>518.38</v>
      </c>
      <c r="J287">
        <v>518.41</v>
      </c>
      <c r="K287">
        <v>518.38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463</v>
      </c>
    </row>
    <row r="288" spans="1:17" x14ac:dyDescent="0.3">
      <c r="A288">
        <v>234846</v>
      </c>
      <c r="B288">
        <v>105</v>
      </c>
      <c r="C288" t="s">
        <v>557</v>
      </c>
      <c r="D288" t="s">
        <v>2597</v>
      </c>
      <c r="E288" t="s">
        <v>2889</v>
      </c>
      <c r="F288" s="451">
        <v>46153</v>
      </c>
      <c r="G288" s="451">
        <v>46154</v>
      </c>
      <c r="H288" s="451">
        <v>46181</v>
      </c>
      <c r="I288">
        <v>4061.98</v>
      </c>
      <c r="J288">
        <v>4061.98</v>
      </c>
      <c r="K288">
        <v>4061.98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463</v>
      </c>
    </row>
    <row r="289" spans="1:17" x14ac:dyDescent="0.3">
      <c r="A289">
        <v>234845</v>
      </c>
      <c r="B289">
        <v>105</v>
      </c>
      <c r="C289" t="s">
        <v>557</v>
      </c>
      <c r="D289" t="s">
        <v>2653</v>
      </c>
      <c r="E289" t="s">
        <v>2890</v>
      </c>
      <c r="F289" s="451">
        <v>46153</v>
      </c>
      <c r="G289" s="451">
        <v>46154</v>
      </c>
      <c r="H289" s="451">
        <v>46174</v>
      </c>
      <c r="I289">
        <v>210.95</v>
      </c>
      <c r="J289">
        <v>180.95</v>
      </c>
      <c r="K289">
        <v>210.95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463</v>
      </c>
    </row>
    <row r="290" spans="1:17" x14ac:dyDescent="0.3">
      <c r="A290">
        <v>234844</v>
      </c>
      <c r="B290">
        <v>105</v>
      </c>
      <c r="C290" t="s">
        <v>557</v>
      </c>
      <c r="D290" t="s">
        <v>2828</v>
      </c>
      <c r="E290" t="s">
        <v>2891</v>
      </c>
      <c r="F290" s="451">
        <v>46153</v>
      </c>
      <c r="G290" s="451">
        <v>46154</v>
      </c>
      <c r="H290" s="451">
        <v>46174</v>
      </c>
      <c r="I290">
        <v>179.8</v>
      </c>
      <c r="J290">
        <v>179.8</v>
      </c>
      <c r="K290">
        <v>179.8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463</v>
      </c>
    </row>
    <row r="291" spans="1:17" x14ac:dyDescent="0.3">
      <c r="A291">
        <v>234843</v>
      </c>
      <c r="B291">
        <v>105</v>
      </c>
      <c r="C291" t="s">
        <v>557</v>
      </c>
      <c r="D291" t="s">
        <v>2603</v>
      </c>
      <c r="E291" t="s">
        <v>2892</v>
      </c>
      <c r="F291" s="451">
        <v>46154</v>
      </c>
      <c r="G291" s="451">
        <v>46156</v>
      </c>
      <c r="H291" s="451">
        <v>46174</v>
      </c>
      <c r="I291">
        <v>1560.51</v>
      </c>
      <c r="J291">
        <v>1524.97</v>
      </c>
      <c r="K291">
        <v>1560.51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463</v>
      </c>
    </row>
    <row r="292" spans="1:17" x14ac:dyDescent="0.3">
      <c r="A292">
        <v>234841</v>
      </c>
      <c r="B292">
        <v>105</v>
      </c>
      <c r="C292" t="s">
        <v>557</v>
      </c>
      <c r="D292" t="s">
        <v>2595</v>
      </c>
      <c r="E292" t="s">
        <v>2893</v>
      </c>
      <c r="F292" s="451">
        <v>46150</v>
      </c>
      <c r="G292" s="451">
        <v>46154</v>
      </c>
      <c r="H292" s="451">
        <v>46174</v>
      </c>
      <c r="I292">
        <v>1791.5</v>
      </c>
      <c r="J292">
        <v>1791.5</v>
      </c>
      <c r="K292">
        <v>1791.5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463</v>
      </c>
    </row>
    <row r="293" spans="1:17" x14ac:dyDescent="0.3">
      <c r="A293">
        <v>234840</v>
      </c>
      <c r="B293">
        <v>105</v>
      </c>
      <c r="C293" t="s">
        <v>557</v>
      </c>
      <c r="D293" t="s">
        <v>2716</v>
      </c>
      <c r="E293" t="s">
        <v>2894</v>
      </c>
      <c r="F293" s="451">
        <v>46154</v>
      </c>
      <c r="G293" s="451">
        <v>46154</v>
      </c>
      <c r="H293" s="451">
        <v>46174</v>
      </c>
      <c r="I293">
        <v>240</v>
      </c>
      <c r="J293">
        <v>240</v>
      </c>
      <c r="K293">
        <v>240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463</v>
      </c>
    </row>
    <row r="294" spans="1:17" x14ac:dyDescent="0.3">
      <c r="A294">
        <v>234839</v>
      </c>
      <c r="B294">
        <v>105</v>
      </c>
      <c r="C294" t="s">
        <v>557</v>
      </c>
      <c r="D294" t="s">
        <v>1786</v>
      </c>
      <c r="E294" t="s">
        <v>2895</v>
      </c>
      <c r="F294" s="451">
        <v>46150</v>
      </c>
      <c r="G294" s="451">
        <v>46154</v>
      </c>
      <c r="H294" s="451">
        <v>46181</v>
      </c>
      <c r="I294">
        <v>402.32</v>
      </c>
      <c r="J294">
        <v>436.4</v>
      </c>
      <c r="K294">
        <v>402.32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463</v>
      </c>
    </row>
    <row r="295" spans="1:17" x14ac:dyDescent="0.3">
      <c r="A295">
        <v>234837</v>
      </c>
      <c r="B295">
        <v>105</v>
      </c>
      <c r="C295" t="s">
        <v>557</v>
      </c>
      <c r="D295" t="s">
        <v>2690</v>
      </c>
      <c r="E295" t="s">
        <v>2896</v>
      </c>
      <c r="F295" s="451">
        <v>46155</v>
      </c>
      <c r="G295" s="451">
        <v>46156</v>
      </c>
      <c r="H295" s="451">
        <v>46177</v>
      </c>
      <c r="I295">
        <v>112.9</v>
      </c>
      <c r="J295">
        <v>112.9</v>
      </c>
      <c r="K295">
        <v>0</v>
      </c>
      <c r="L295">
        <v>112.9</v>
      </c>
      <c r="M295">
        <v>0</v>
      </c>
      <c r="N295">
        <v>0</v>
      </c>
      <c r="O295">
        <v>0</v>
      </c>
      <c r="P295">
        <v>0</v>
      </c>
      <c r="Q295" t="s">
        <v>463</v>
      </c>
    </row>
    <row r="296" spans="1:17" x14ac:dyDescent="0.3">
      <c r="A296">
        <v>234836</v>
      </c>
      <c r="B296">
        <v>105</v>
      </c>
      <c r="C296" t="s">
        <v>557</v>
      </c>
      <c r="D296" t="s">
        <v>2605</v>
      </c>
      <c r="E296" t="s">
        <v>2897</v>
      </c>
      <c r="F296" s="451">
        <v>46153</v>
      </c>
      <c r="G296" s="451">
        <v>46154</v>
      </c>
      <c r="H296" s="451">
        <v>46182</v>
      </c>
      <c r="I296">
        <v>1341.23</v>
      </c>
      <c r="J296">
        <v>686.33</v>
      </c>
      <c r="K296">
        <v>1341.23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463</v>
      </c>
    </row>
    <row r="297" spans="1:17" x14ac:dyDescent="0.3">
      <c r="A297">
        <v>234834</v>
      </c>
      <c r="B297">
        <v>105</v>
      </c>
      <c r="C297" t="s">
        <v>557</v>
      </c>
      <c r="D297" t="s">
        <v>2571</v>
      </c>
      <c r="E297" t="s">
        <v>2898</v>
      </c>
      <c r="F297" s="451">
        <v>46154</v>
      </c>
      <c r="G297" s="451">
        <v>46154</v>
      </c>
      <c r="H297" s="451">
        <v>46175</v>
      </c>
      <c r="I297">
        <v>633.04</v>
      </c>
      <c r="J297">
        <v>631.04</v>
      </c>
      <c r="K297">
        <v>633.04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463</v>
      </c>
    </row>
    <row r="298" spans="1:17" x14ac:dyDescent="0.3">
      <c r="A298">
        <v>234833</v>
      </c>
      <c r="B298">
        <v>105</v>
      </c>
      <c r="C298" t="s">
        <v>557</v>
      </c>
      <c r="D298" t="s">
        <v>2579</v>
      </c>
      <c r="E298" t="s">
        <v>2899</v>
      </c>
      <c r="F298" s="451">
        <v>46153</v>
      </c>
      <c r="G298" s="451">
        <v>46154</v>
      </c>
      <c r="H298" s="451">
        <v>46178</v>
      </c>
      <c r="I298">
        <v>137.03</v>
      </c>
      <c r="J298">
        <v>137.04</v>
      </c>
      <c r="K298">
        <v>137.03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463</v>
      </c>
    </row>
    <row r="299" spans="1:17" x14ac:dyDescent="0.3">
      <c r="A299">
        <v>234832</v>
      </c>
      <c r="B299">
        <v>105</v>
      </c>
      <c r="C299" t="s">
        <v>557</v>
      </c>
      <c r="D299" t="s">
        <v>2581</v>
      </c>
      <c r="E299" t="s">
        <v>2900</v>
      </c>
      <c r="F299" s="451">
        <v>46153</v>
      </c>
      <c r="G299" s="451">
        <v>46154</v>
      </c>
      <c r="H299" s="451">
        <v>46181</v>
      </c>
      <c r="I299">
        <v>313.25</v>
      </c>
      <c r="J299">
        <v>313.25</v>
      </c>
      <c r="K299">
        <v>313.25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463</v>
      </c>
    </row>
    <row r="300" spans="1:17" x14ac:dyDescent="0.3">
      <c r="A300">
        <v>234831</v>
      </c>
      <c r="B300">
        <v>105</v>
      </c>
      <c r="C300" t="s">
        <v>557</v>
      </c>
      <c r="D300" t="s">
        <v>2607</v>
      </c>
      <c r="E300" t="s">
        <v>2901</v>
      </c>
      <c r="F300" s="451">
        <v>46151</v>
      </c>
      <c r="G300" s="451">
        <v>46154</v>
      </c>
      <c r="H300" s="451">
        <v>46179</v>
      </c>
      <c r="I300">
        <v>1896.89</v>
      </c>
      <c r="J300">
        <v>1793.5</v>
      </c>
      <c r="K300">
        <v>1896.89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463</v>
      </c>
    </row>
    <row r="301" spans="1:17" x14ac:dyDescent="0.3">
      <c r="A301">
        <v>234829</v>
      </c>
      <c r="B301">
        <v>105</v>
      </c>
      <c r="C301" t="s">
        <v>557</v>
      </c>
      <c r="D301" t="s">
        <v>2615</v>
      </c>
      <c r="E301" t="s">
        <v>2902</v>
      </c>
      <c r="F301" s="451">
        <v>46153</v>
      </c>
      <c r="G301" s="451">
        <v>46154</v>
      </c>
      <c r="H301" s="451">
        <v>46174</v>
      </c>
      <c r="I301">
        <v>123.9</v>
      </c>
      <c r="J301">
        <v>123.9</v>
      </c>
      <c r="K301">
        <v>123.9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463</v>
      </c>
    </row>
    <row r="302" spans="1:17" x14ac:dyDescent="0.3">
      <c r="A302">
        <v>234822</v>
      </c>
      <c r="B302">
        <v>105</v>
      </c>
      <c r="C302" t="s">
        <v>557</v>
      </c>
      <c r="D302" t="s">
        <v>2697</v>
      </c>
      <c r="E302" t="s">
        <v>2903</v>
      </c>
      <c r="F302" s="451">
        <v>46161</v>
      </c>
      <c r="G302" s="451">
        <v>46170</v>
      </c>
      <c r="H302" s="451">
        <v>46176</v>
      </c>
      <c r="I302">
        <v>189.48</v>
      </c>
      <c r="J302">
        <v>168.48</v>
      </c>
      <c r="K302">
        <v>0</v>
      </c>
      <c r="L302">
        <v>189.48</v>
      </c>
      <c r="M302">
        <v>0</v>
      </c>
      <c r="N302">
        <v>0</v>
      </c>
      <c r="O302">
        <v>0</v>
      </c>
      <c r="P302">
        <v>0</v>
      </c>
      <c r="Q302" t="s">
        <v>463</v>
      </c>
    </row>
    <row r="303" spans="1:17" x14ac:dyDescent="0.3">
      <c r="A303">
        <v>234818</v>
      </c>
      <c r="B303">
        <v>105</v>
      </c>
      <c r="C303" t="s">
        <v>557</v>
      </c>
      <c r="D303" t="s">
        <v>2828</v>
      </c>
      <c r="E303" t="s">
        <v>2904</v>
      </c>
      <c r="F303" s="451">
        <v>46163</v>
      </c>
      <c r="G303" s="451">
        <v>46165</v>
      </c>
      <c r="H303" s="451">
        <v>46178</v>
      </c>
      <c r="I303">
        <v>656</v>
      </c>
      <c r="J303">
        <v>656</v>
      </c>
      <c r="K303">
        <v>656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463</v>
      </c>
    </row>
    <row r="304" spans="1:17" x14ac:dyDescent="0.3">
      <c r="A304">
        <v>234817</v>
      </c>
      <c r="B304">
        <v>105</v>
      </c>
      <c r="C304" t="s">
        <v>557</v>
      </c>
      <c r="D304" t="s">
        <v>2554</v>
      </c>
      <c r="E304" t="s">
        <v>1595</v>
      </c>
      <c r="F304" s="451">
        <v>46163</v>
      </c>
      <c r="G304" s="451">
        <v>46165</v>
      </c>
      <c r="H304" s="451">
        <v>46177</v>
      </c>
      <c r="I304">
        <v>1629.24</v>
      </c>
      <c r="J304">
        <v>1616.76</v>
      </c>
      <c r="K304">
        <v>0</v>
      </c>
      <c r="L304">
        <v>0</v>
      </c>
      <c r="M304">
        <v>881.51</v>
      </c>
      <c r="N304">
        <v>0</v>
      </c>
      <c r="O304">
        <v>42.32</v>
      </c>
      <c r="P304">
        <v>705.4</v>
      </c>
      <c r="Q304" t="s">
        <v>463</v>
      </c>
    </row>
    <row r="305" spans="1:17" x14ac:dyDescent="0.3">
      <c r="A305">
        <v>234814</v>
      </c>
      <c r="B305">
        <v>105</v>
      </c>
      <c r="C305" t="s">
        <v>557</v>
      </c>
      <c r="D305" t="s">
        <v>2603</v>
      </c>
      <c r="E305" t="s">
        <v>2905</v>
      </c>
      <c r="F305" s="451">
        <v>46161</v>
      </c>
      <c r="G305" s="451">
        <v>46165</v>
      </c>
      <c r="H305" s="451">
        <v>46174</v>
      </c>
      <c r="I305">
        <v>1647.69</v>
      </c>
      <c r="J305">
        <v>1647.68</v>
      </c>
      <c r="K305">
        <v>1647.69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463</v>
      </c>
    </row>
    <row r="306" spans="1:17" x14ac:dyDescent="0.3">
      <c r="A306">
        <v>234811</v>
      </c>
      <c r="B306">
        <v>105</v>
      </c>
      <c r="C306" t="s">
        <v>557</v>
      </c>
      <c r="D306" t="s">
        <v>2678</v>
      </c>
      <c r="E306" t="s">
        <v>2906</v>
      </c>
      <c r="F306" s="451">
        <v>46164</v>
      </c>
      <c r="G306" s="451">
        <v>46165</v>
      </c>
      <c r="H306" s="451">
        <v>46195</v>
      </c>
      <c r="I306">
        <v>70.8</v>
      </c>
      <c r="J306">
        <v>70.8</v>
      </c>
      <c r="K306">
        <v>70.8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463</v>
      </c>
    </row>
    <row r="307" spans="1:17" x14ac:dyDescent="0.3">
      <c r="A307">
        <v>234789</v>
      </c>
      <c r="B307">
        <v>105</v>
      </c>
      <c r="C307" t="s">
        <v>557</v>
      </c>
      <c r="D307" t="s">
        <v>2705</v>
      </c>
      <c r="E307" t="s">
        <v>2907</v>
      </c>
      <c r="F307" s="451">
        <v>46167</v>
      </c>
      <c r="G307" s="451">
        <v>46168</v>
      </c>
      <c r="H307" s="451">
        <v>46181</v>
      </c>
      <c r="I307">
        <v>692</v>
      </c>
      <c r="J307">
        <v>692</v>
      </c>
      <c r="K307">
        <v>0</v>
      </c>
      <c r="L307">
        <v>0</v>
      </c>
      <c r="M307">
        <v>0</v>
      </c>
      <c r="N307">
        <v>692</v>
      </c>
      <c r="O307">
        <v>0</v>
      </c>
      <c r="P307">
        <v>0</v>
      </c>
      <c r="Q307" t="s">
        <v>463</v>
      </c>
    </row>
    <row r="308" spans="1:17" x14ac:dyDescent="0.3">
      <c r="A308">
        <v>234780</v>
      </c>
      <c r="B308">
        <v>105</v>
      </c>
      <c r="C308" t="s">
        <v>557</v>
      </c>
      <c r="D308" t="s">
        <v>2682</v>
      </c>
      <c r="E308" t="s">
        <v>2908</v>
      </c>
      <c r="F308" s="451">
        <v>46164</v>
      </c>
      <c r="G308" s="451">
        <v>46167</v>
      </c>
      <c r="H308" s="451">
        <v>46179</v>
      </c>
      <c r="I308">
        <v>894.34</v>
      </c>
      <c r="J308">
        <v>894.34</v>
      </c>
      <c r="K308">
        <v>894.34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463</v>
      </c>
    </row>
    <row r="309" spans="1:17" x14ac:dyDescent="0.3">
      <c r="A309">
        <v>234777</v>
      </c>
      <c r="B309">
        <v>105</v>
      </c>
      <c r="C309" t="s">
        <v>557</v>
      </c>
      <c r="D309" t="s">
        <v>2581</v>
      </c>
      <c r="E309" t="s">
        <v>2909</v>
      </c>
      <c r="F309" s="451">
        <v>46143</v>
      </c>
      <c r="G309" s="451">
        <v>46135</v>
      </c>
      <c r="H309" s="451">
        <v>46174</v>
      </c>
      <c r="I309">
        <v>414.4</v>
      </c>
      <c r="J309">
        <v>414.4</v>
      </c>
      <c r="K309">
        <v>414.4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462</v>
      </c>
    </row>
    <row r="310" spans="1:17" x14ac:dyDescent="0.3">
      <c r="A310">
        <v>234771</v>
      </c>
      <c r="B310">
        <v>105</v>
      </c>
      <c r="C310" t="s">
        <v>557</v>
      </c>
      <c r="D310" t="s">
        <v>2607</v>
      </c>
      <c r="E310" t="s">
        <v>2910</v>
      </c>
      <c r="F310" s="451">
        <v>46151</v>
      </c>
      <c r="G310" s="451">
        <v>46165</v>
      </c>
      <c r="H310" s="451">
        <v>46179</v>
      </c>
      <c r="I310">
        <v>1242.18</v>
      </c>
      <c r="J310">
        <v>1242.18</v>
      </c>
      <c r="K310">
        <v>1242.18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463</v>
      </c>
    </row>
    <row r="311" spans="1:17" x14ac:dyDescent="0.3">
      <c r="A311">
        <v>233736</v>
      </c>
      <c r="B311">
        <v>105</v>
      </c>
      <c r="C311" t="s">
        <v>557</v>
      </c>
      <c r="D311" t="s">
        <v>2563</v>
      </c>
      <c r="E311" t="s">
        <v>2911</v>
      </c>
      <c r="F311" s="451">
        <v>46162</v>
      </c>
      <c r="G311" s="451">
        <v>46163</v>
      </c>
      <c r="H311" s="451">
        <v>46190</v>
      </c>
      <c r="I311">
        <v>76.62</v>
      </c>
      <c r="J311">
        <v>76.61</v>
      </c>
      <c r="K311">
        <v>76.62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463</v>
      </c>
    </row>
    <row r="312" spans="1:17" x14ac:dyDescent="0.3">
      <c r="A312">
        <v>233735</v>
      </c>
      <c r="B312">
        <v>105</v>
      </c>
      <c r="C312" t="s">
        <v>557</v>
      </c>
      <c r="D312" t="s">
        <v>2690</v>
      </c>
      <c r="E312" t="s">
        <v>2912</v>
      </c>
      <c r="F312" s="451">
        <v>46162</v>
      </c>
      <c r="G312" s="451">
        <v>46163</v>
      </c>
      <c r="H312" s="451">
        <v>46184</v>
      </c>
      <c r="I312">
        <v>200</v>
      </c>
      <c r="J312">
        <v>339.05</v>
      </c>
      <c r="K312">
        <v>0</v>
      </c>
      <c r="L312">
        <v>200</v>
      </c>
      <c r="M312">
        <v>0</v>
      </c>
      <c r="N312">
        <v>0</v>
      </c>
      <c r="O312">
        <v>0</v>
      </c>
      <c r="P312">
        <v>0</v>
      </c>
      <c r="Q312" t="s">
        <v>463</v>
      </c>
    </row>
    <row r="313" spans="1:17" x14ac:dyDescent="0.3">
      <c r="A313">
        <v>233734</v>
      </c>
      <c r="B313">
        <v>105</v>
      </c>
      <c r="C313" t="s">
        <v>557</v>
      </c>
      <c r="D313" t="s">
        <v>2569</v>
      </c>
      <c r="E313" t="s">
        <v>2913</v>
      </c>
      <c r="F313" s="451">
        <v>46160</v>
      </c>
      <c r="G313" s="451">
        <v>46163</v>
      </c>
      <c r="H313" s="451">
        <v>46196</v>
      </c>
      <c r="I313">
        <v>275.5</v>
      </c>
      <c r="J313">
        <v>275.5</v>
      </c>
      <c r="K313">
        <v>0</v>
      </c>
      <c r="L313">
        <v>275.5</v>
      </c>
      <c r="M313">
        <v>0</v>
      </c>
      <c r="N313">
        <v>0</v>
      </c>
      <c r="O313">
        <v>0</v>
      </c>
      <c r="P313">
        <v>0</v>
      </c>
      <c r="Q313" t="s">
        <v>463</v>
      </c>
    </row>
    <row r="314" spans="1:17" x14ac:dyDescent="0.3">
      <c r="A314">
        <v>233733</v>
      </c>
      <c r="B314">
        <v>105</v>
      </c>
      <c r="C314" t="s">
        <v>557</v>
      </c>
      <c r="D314" t="s">
        <v>2579</v>
      </c>
      <c r="E314" t="s">
        <v>2914</v>
      </c>
      <c r="F314" s="451">
        <v>46162</v>
      </c>
      <c r="G314" s="451">
        <v>46163</v>
      </c>
      <c r="H314" s="451">
        <v>46190</v>
      </c>
      <c r="I314">
        <v>138.22</v>
      </c>
      <c r="J314">
        <v>138.22</v>
      </c>
      <c r="K314">
        <v>138.22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463</v>
      </c>
    </row>
    <row r="315" spans="1:17" x14ac:dyDescent="0.3">
      <c r="A315">
        <v>233732</v>
      </c>
      <c r="B315">
        <v>105</v>
      </c>
      <c r="C315" t="s">
        <v>557</v>
      </c>
      <c r="D315" t="s">
        <v>2581</v>
      </c>
      <c r="E315" t="s">
        <v>2915</v>
      </c>
      <c r="F315" s="451">
        <v>46162</v>
      </c>
      <c r="G315" s="451">
        <v>46163</v>
      </c>
      <c r="H315" s="451">
        <v>46190</v>
      </c>
      <c r="I315">
        <v>242.3</v>
      </c>
      <c r="J315">
        <v>242.3</v>
      </c>
      <c r="K315">
        <v>242.3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463</v>
      </c>
    </row>
    <row r="316" spans="1:17" x14ac:dyDescent="0.3">
      <c r="A316">
        <v>233731</v>
      </c>
      <c r="B316">
        <v>105</v>
      </c>
      <c r="C316" t="s">
        <v>557</v>
      </c>
      <c r="D316" t="s">
        <v>2590</v>
      </c>
      <c r="E316" t="s">
        <v>2916</v>
      </c>
      <c r="F316" s="451">
        <v>46157</v>
      </c>
      <c r="G316" s="451">
        <v>46163</v>
      </c>
      <c r="H316" s="451">
        <v>46188</v>
      </c>
      <c r="I316">
        <v>387.3</v>
      </c>
      <c r="J316">
        <v>387.37</v>
      </c>
      <c r="K316">
        <v>0</v>
      </c>
      <c r="L316">
        <v>387.3</v>
      </c>
      <c r="M316">
        <v>0</v>
      </c>
      <c r="N316">
        <v>0</v>
      </c>
      <c r="O316">
        <v>0</v>
      </c>
      <c r="P316">
        <v>0</v>
      </c>
      <c r="Q316" t="s">
        <v>463</v>
      </c>
    </row>
    <row r="317" spans="1:17" x14ac:dyDescent="0.3">
      <c r="A317">
        <v>233730</v>
      </c>
      <c r="B317">
        <v>105</v>
      </c>
      <c r="C317" t="s">
        <v>557</v>
      </c>
      <c r="D317" t="s">
        <v>2828</v>
      </c>
      <c r="E317" t="s">
        <v>2917</v>
      </c>
      <c r="F317" s="451">
        <v>46160</v>
      </c>
      <c r="G317" s="451">
        <v>46162</v>
      </c>
      <c r="H317" s="451">
        <v>46175</v>
      </c>
      <c r="I317">
        <v>164</v>
      </c>
      <c r="J317">
        <v>164</v>
      </c>
      <c r="K317">
        <v>164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463</v>
      </c>
    </row>
    <row r="318" spans="1:17" x14ac:dyDescent="0.3">
      <c r="A318">
        <v>233729</v>
      </c>
      <c r="B318">
        <v>105</v>
      </c>
      <c r="C318" t="s">
        <v>557</v>
      </c>
      <c r="D318" t="s">
        <v>2729</v>
      </c>
      <c r="E318" t="s">
        <v>2918</v>
      </c>
      <c r="F318" s="451">
        <v>46160</v>
      </c>
      <c r="G318" s="451">
        <v>46162</v>
      </c>
      <c r="H318" s="451">
        <v>46174</v>
      </c>
      <c r="I318">
        <v>644.85</v>
      </c>
      <c r="J318">
        <v>644.86</v>
      </c>
      <c r="K318">
        <v>644.85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463</v>
      </c>
    </row>
    <row r="319" spans="1:17" x14ac:dyDescent="0.3">
      <c r="A319">
        <v>233728</v>
      </c>
      <c r="B319">
        <v>105</v>
      </c>
      <c r="C319" t="s">
        <v>557</v>
      </c>
      <c r="D319" t="s">
        <v>2563</v>
      </c>
      <c r="E319" t="s">
        <v>2919</v>
      </c>
      <c r="F319" s="451">
        <v>46160</v>
      </c>
      <c r="G319" s="451">
        <v>46162</v>
      </c>
      <c r="H319" s="451">
        <v>46188</v>
      </c>
      <c r="I319">
        <v>421.07</v>
      </c>
      <c r="J319">
        <v>421.07</v>
      </c>
      <c r="K319">
        <v>421.07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463</v>
      </c>
    </row>
    <row r="320" spans="1:17" x14ac:dyDescent="0.3">
      <c r="A320">
        <v>233727</v>
      </c>
      <c r="B320">
        <v>105</v>
      </c>
      <c r="C320" t="s">
        <v>557</v>
      </c>
      <c r="D320" t="s">
        <v>2552</v>
      </c>
      <c r="E320" t="s">
        <v>2920</v>
      </c>
      <c r="F320" s="451">
        <v>46161</v>
      </c>
      <c r="G320" s="451">
        <v>46162</v>
      </c>
      <c r="H320" s="451">
        <v>46175</v>
      </c>
      <c r="I320">
        <v>222.5</v>
      </c>
      <c r="J320">
        <v>197.5</v>
      </c>
      <c r="K320">
        <v>222.5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463</v>
      </c>
    </row>
    <row r="321" spans="1:17" x14ac:dyDescent="0.3">
      <c r="A321">
        <v>233726</v>
      </c>
      <c r="B321">
        <v>105</v>
      </c>
      <c r="C321" t="s">
        <v>557</v>
      </c>
      <c r="D321" t="s">
        <v>2565</v>
      </c>
      <c r="E321" t="s">
        <v>2921</v>
      </c>
      <c r="F321" s="451">
        <v>46161</v>
      </c>
      <c r="G321" s="451">
        <v>46162</v>
      </c>
      <c r="H321" s="451">
        <v>46175</v>
      </c>
      <c r="I321">
        <v>84.8</v>
      </c>
      <c r="J321">
        <v>84.8</v>
      </c>
      <c r="K321">
        <v>0</v>
      </c>
      <c r="L321">
        <v>84.8</v>
      </c>
      <c r="M321">
        <v>0</v>
      </c>
      <c r="N321">
        <v>0</v>
      </c>
      <c r="O321">
        <v>0</v>
      </c>
      <c r="P321">
        <v>0</v>
      </c>
      <c r="Q321" t="s">
        <v>463</v>
      </c>
    </row>
    <row r="322" spans="1:17" x14ac:dyDescent="0.3">
      <c r="A322">
        <v>233725</v>
      </c>
      <c r="B322">
        <v>105</v>
      </c>
      <c r="C322" t="s">
        <v>557</v>
      </c>
      <c r="D322" t="s">
        <v>2716</v>
      </c>
      <c r="E322" t="s">
        <v>2922</v>
      </c>
      <c r="F322" s="451">
        <v>46156</v>
      </c>
      <c r="G322" s="451">
        <v>46162</v>
      </c>
      <c r="H322" s="451">
        <v>46181</v>
      </c>
      <c r="I322">
        <v>450</v>
      </c>
      <c r="J322">
        <v>450</v>
      </c>
      <c r="K322">
        <v>450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463</v>
      </c>
    </row>
    <row r="323" spans="1:17" x14ac:dyDescent="0.3">
      <c r="A323">
        <v>233724</v>
      </c>
      <c r="B323">
        <v>105</v>
      </c>
      <c r="C323" t="s">
        <v>557</v>
      </c>
      <c r="D323" t="s">
        <v>1786</v>
      </c>
      <c r="E323" t="s">
        <v>2923</v>
      </c>
      <c r="F323" s="451">
        <v>46160</v>
      </c>
      <c r="G323" s="451">
        <v>46162</v>
      </c>
      <c r="H323" s="451">
        <v>46188</v>
      </c>
      <c r="I323">
        <v>441.48</v>
      </c>
      <c r="J323">
        <v>441.48</v>
      </c>
      <c r="K323">
        <v>441.48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463</v>
      </c>
    </row>
    <row r="324" spans="1:17" x14ac:dyDescent="0.3">
      <c r="A324">
        <v>233723</v>
      </c>
      <c r="B324">
        <v>105</v>
      </c>
      <c r="C324" t="s">
        <v>557</v>
      </c>
      <c r="D324" t="s">
        <v>2567</v>
      </c>
      <c r="E324" t="s">
        <v>2924</v>
      </c>
      <c r="F324" s="451">
        <v>46160</v>
      </c>
      <c r="G324" s="451">
        <v>46162</v>
      </c>
      <c r="H324" s="451">
        <v>46188</v>
      </c>
      <c r="I324">
        <v>1474.9</v>
      </c>
      <c r="J324">
        <v>1306.92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1474.9</v>
      </c>
      <c r="Q324" t="s">
        <v>463</v>
      </c>
    </row>
    <row r="325" spans="1:17" x14ac:dyDescent="0.3">
      <c r="A325">
        <v>233722</v>
      </c>
      <c r="B325">
        <v>105</v>
      </c>
      <c r="C325" t="s">
        <v>557</v>
      </c>
      <c r="D325" t="s">
        <v>2605</v>
      </c>
      <c r="E325" t="s">
        <v>2925</v>
      </c>
      <c r="F325" s="451">
        <v>46161</v>
      </c>
      <c r="G325" s="451">
        <v>46162</v>
      </c>
      <c r="H325" s="451">
        <v>46189</v>
      </c>
      <c r="I325">
        <v>194</v>
      </c>
      <c r="J325">
        <v>194</v>
      </c>
      <c r="K325">
        <v>0</v>
      </c>
      <c r="L325">
        <v>194</v>
      </c>
      <c r="M325">
        <v>0</v>
      </c>
      <c r="N325">
        <v>0</v>
      </c>
      <c r="O325">
        <v>0</v>
      </c>
      <c r="P325">
        <v>0</v>
      </c>
      <c r="Q325" t="s">
        <v>463</v>
      </c>
    </row>
    <row r="326" spans="1:17" x14ac:dyDescent="0.3">
      <c r="A326">
        <v>233721</v>
      </c>
      <c r="B326">
        <v>105</v>
      </c>
      <c r="C326" t="s">
        <v>557</v>
      </c>
      <c r="D326" t="s">
        <v>2548</v>
      </c>
      <c r="E326" t="s">
        <v>2926</v>
      </c>
      <c r="F326" s="451">
        <v>46160</v>
      </c>
      <c r="G326" s="451">
        <v>46162</v>
      </c>
      <c r="H326" s="451">
        <v>46195</v>
      </c>
      <c r="I326">
        <v>433.9</v>
      </c>
      <c r="J326">
        <v>300.39999999999998</v>
      </c>
      <c r="K326">
        <v>433.9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463</v>
      </c>
    </row>
    <row r="327" spans="1:17" x14ac:dyDescent="0.3">
      <c r="A327">
        <v>233720</v>
      </c>
      <c r="B327">
        <v>105</v>
      </c>
      <c r="C327" t="s">
        <v>557</v>
      </c>
      <c r="D327" t="s">
        <v>2548</v>
      </c>
      <c r="E327" t="s">
        <v>2927</v>
      </c>
      <c r="F327" s="451">
        <v>46160</v>
      </c>
      <c r="G327" s="451">
        <v>46162</v>
      </c>
      <c r="H327" s="451">
        <v>46195</v>
      </c>
      <c r="I327">
        <v>198.6</v>
      </c>
      <c r="J327">
        <v>198.6</v>
      </c>
      <c r="K327">
        <v>0</v>
      </c>
      <c r="L327">
        <v>0</v>
      </c>
      <c r="M327">
        <v>198.6</v>
      </c>
      <c r="N327">
        <v>0</v>
      </c>
      <c r="O327">
        <v>0</v>
      </c>
      <c r="P327">
        <v>0</v>
      </c>
      <c r="Q327" t="s">
        <v>463</v>
      </c>
    </row>
    <row r="328" spans="1:17" x14ac:dyDescent="0.3">
      <c r="A328">
        <v>233719</v>
      </c>
      <c r="B328">
        <v>105</v>
      </c>
      <c r="C328" t="s">
        <v>557</v>
      </c>
      <c r="D328" t="s">
        <v>2579</v>
      </c>
      <c r="E328" t="s">
        <v>2928</v>
      </c>
      <c r="F328" s="451">
        <v>46160</v>
      </c>
      <c r="G328" s="451">
        <v>46162</v>
      </c>
      <c r="H328" s="451">
        <v>46188</v>
      </c>
      <c r="I328">
        <v>299.05</v>
      </c>
      <c r="J328">
        <v>299.05</v>
      </c>
      <c r="K328">
        <v>299.05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463</v>
      </c>
    </row>
    <row r="329" spans="1:17" x14ac:dyDescent="0.3">
      <c r="A329">
        <v>233718</v>
      </c>
      <c r="B329">
        <v>105</v>
      </c>
      <c r="C329" t="s">
        <v>557</v>
      </c>
      <c r="D329" t="s">
        <v>2581</v>
      </c>
      <c r="E329" t="s">
        <v>2929</v>
      </c>
      <c r="F329" s="451">
        <v>46160</v>
      </c>
      <c r="G329" s="451">
        <v>46162</v>
      </c>
      <c r="H329" s="451">
        <v>46188</v>
      </c>
      <c r="I329">
        <v>422.3</v>
      </c>
      <c r="J329">
        <v>422.3</v>
      </c>
      <c r="K329">
        <v>422.3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463</v>
      </c>
    </row>
    <row r="330" spans="1:17" x14ac:dyDescent="0.3">
      <c r="A330">
        <v>233717</v>
      </c>
      <c r="B330">
        <v>105</v>
      </c>
      <c r="C330" t="s">
        <v>557</v>
      </c>
      <c r="D330" t="s">
        <v>2705</v>
      </c>
      <c r="E330" t="s">
        <v>2930</v>
      </c>
      <c r="F330" s="451">
        <v>46160</v>
      </c>
      <c r="G330" s="451">
        <v>46162</v>
      </c>
      <c r="H330" s="451">
        <v>46174</v>
      </c>
      <c r="I330">
        <v>692</v>
      </c>
      <c r="J330">
        <v>692</v>
      </c>
      <c r="K330">
        <v>0</v>
      </c>
      <c r="L330">
        <v>0</v>
      </c>
      <c r="M330">
        <v>0</v>
      </c>
      <c r="N330">
        <v>692</v>
      </c>
      <c r="O330">
        <v>0</v>
      </c>
      <c r="P330">
        <v>0</v>
      </c>
      <c r="Q330" t="s">
        <v>463</v>
      </c>
    </row>
    <row r="331" spans="1:17" x14ac:dyDescent="0.3">
      <c r="A331">
        <v>233716</v>
      </c>
      <c r="B331">
        <v>105</v>
      </c>
      <c r="C331" t="s">
        <v>557</v>
      </c>
      <c r="D331" t="s">
        <v>2637</v>
      </c>
      <c r="E331" t="s">
        <v>2931</v>
      </c>
      <c r="F331" s="451">
        <v>46160</v>
      </c>
      <c r="G331" s="451">
        <v>46162</v>
      </c>
      <c r="H331" s="451">
        <v>46188</v>
      </c>
      <c r="I331">
        <v>239.4</v>
      </c>
      <c r="J331">
        <v>239.4</v>
      </c>
      <c r="K331">
        <v>0</v>
      </c>
      <c r="L331">
        <v>239.4</v>
      </c>
      <c r="M331">
        <v>0</v>
      </c>
      <c r="N331">
        <v>0</v>
      </c>
      <c r="O331">
        <v>0</v>
      </c>
      <c r="P331">
        <v>0</v>
      </c>
      <c r="Q331" t="s">
        <v>463</v>
      </c>
    </row>
    <row r="332" spans="1:17" x14ac:dyDescent="0.3">
      <c r="A332">
        <v>233715</v>
      </c>
      <c r="B332">
        <v>105</v>
      </c>
      <c r="C332" t="s">
        <v>557</v>
      </c>
      <c r="D332" t="s">
        <v>2585</v>
      </c>
      <c r="E332" t="s">
        <v>2932</v>
      </c>
      <c r="F332" s="451">
        <v>46161</v>
      </c>
      <c r="G332" s="451">
        <v>46162</v>
      </c>
      <c r="H332" s="451">
        <v>46189</v>
      </c>
      <c r="I332">
        <v>710.9</v>
      </c>
      <c r="J332">
        <v>710.9</v>
      </c>
      <c r="K332">
        <v>710.9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463</v>
      </c>
    </row>
    <row r="333" spans="1:17" x14ac:dyDescent="0.3">
      <c r="A333">
        <v>233714</v>
      </c>
      <c r="B333">
        <v>105</v>
      </c>
      <c r="C333" t="s">
        <v>557</v>
      </c>
      <c r="D333" t="s">
        <v>2607</v>
      </c>
      <c r="E333" t="s">
        <v>2933</v>
      </c>
      <c r="F333" s="451">
        <v>46160</v>
      </c>
      <c r="G333" s="451">
        <v>46162</v>
      </c>
      <c r="H333" s="451">
        <v>46188</v>
      </c>
      <c r="I333">
        <v>2894.57</v>
      </c>
      <c r="J333">
        <v>2894.57</v>
      </c>
      <c r="K333">
        <v>2894.57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463</v>
      </c>
    </row>
    <row r="334" spans="1:17" x14ac:dyDescent="0.3">
      <c r="A334">
        <v>233713</v>
      </c>
      <c r="B334">
        <v>105</v>
      </c>
      <c r="C334" t="s">
        <v>557</v>
      </c>
      <c r="D334" t="s">
        <v>2642</v>
      </c>
      <c r="E334" t="s">
        <v>2934</v>
      </c>
      <c r="F334" s="451">
        <v>46160</v>
      </c>
      <c r="G334" s="451">
        <v>46162</v>
      </c>
      <c r="H334" s="451">
        <v>46188</v>
      </c>
      <c r="I334">
        <v>610.5</v>
      </c>
      <c r="J334">
        <v>610.5</v>
      </c>
      <c r="K334">
        <v>0</v>
      </c>
      <c r="L334">
        <v>610.5</v>
      </c>
      <c r="M334">
        <v>0</v>
      </c>
      <c r="N334">
        <v>0</v>
      </c>
      <c r="O334">
        <v>0</v>
      </c>
      <c r="P334">
        <v>0</v>
      </c>
      <c r="Q334" t="s">
        <v>463</v>
      </c>
    </row>
    <row r="335" spans="1:17" x14ac:dyDescent="0.3">
      <c r="A335">
        <v>233712</v>
      </c>
      <c r="B335">
        <v>105</v>
      </c>
      <c r="C335" t="s">
        <v>557</v>
      </c>
      <c r="D335" t="s">
        <v>2615</v>
      </c>
      <c r="E335" t="s">
        <v>2935</v>
      </c>
      <c r="F335" s="451">
        <v>46160</v>
      </c>
      <c r="G335" s="451">
        <v>46162</v>
      </c>
      <c r="H335" s="451">
        <v>46175</v>
      </c>
      <c r="I335">
        <v>123.9</v>
      </c>
      <c r="J335">
        <v>123.9</v>
      </c>
      <c r="K335">
        <v>123.9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463</v>
      </c>
    </row>
    <row r="336" spans="1:17" x14ac:dyDescent="0.3">
      <c r="A336">
        <v>233193</v>
      </c>
      <c r="B336">
        <v>105</v>
      </c>
      <c r="C336" t="s">
        <v>557</v>
      </c>
      <c r="D336" t="s">
        <v>2613</v>
      </c>
      <c r="E336" t="s">
        <v>2936</v>
      </c>
      <c r="F336" s="451">
        <v>46147</v>
      </c>
      <c r="G336" s="451">
        <v>46162</v>
      </c>
      <c r="H336" s="451">
        <v>46167</v>
      </c>
      <c r="I336">
        <v>395.85</v>
      </c>
      <c r="J336">
        <v>390</v>
      </c>
      <c r="K336">
        <v>395.85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463</v>
      </c>
    </row>
    <row r="337" spans="1:17" x14ac:dyDescent="0.3">
      <c r="A337">
        <v>232699</v>
      </c>
      <c r="B337">
        <v>105</v>
      </c>
      <c r="C337" t="s">
        <v>557</v>
      </c>
      <c r="D337" t="s">
        <v>2550</v>
      </c>
      <c r="E337" t="s">
        <v>2937</v>
      </c>
      <c r="F337" s="451">
        <v>46157</v>
      </c>
      <c r="G337" s="451">
        <v>46160</v>
      </c>
      <c r="H337" s="451">
        <v>46188</v>
      </c>
      <c r="I337">
        <v>707.49</v>
      </c>
      <c r="J337">
        <v>664.3</v>
      </c>
      <c r="K337">
        <v>0</v>
      </c>
      <c r="L337">
        <v>707.49</v>
      </c>
      <c r="M337">
        <v>0</v>
      </c>
      <c r="N337">
        <v>0</v>
      </c>
      <c r="O337">
        <v>0</v>
      </c>
      <c r="P337">
        <v>0</v>
      </c>
      <c r="Q337" t="s">
        <v>463</v>
      </c>
    </row>
    <row r="338" spans="1:17" x14ac:dyDescent="0.3">
      <c r="A338">
        <v>232698</v>
      </c>
      <c r="B338">
        <v>105</v>
      </c>
      <c r="C338" t="s">
        <v>557</v>
      </c>
      <c r="D338" t="s">
        <v>2597</v>
      </c>
      <c r="E338" t="s">
        <v>2938</v>
      </c>
      <c r="F338" s="451">
        <v>46150</v>
      </c>
      <c r="G338" s="451">
        <v>46150</v>
      </c>
      <c r="H338" s="451">
        <v>46178</v>
      </c>
      <c r="I338">
        <v>419</v>
      </c>
      <c r="J338">
        <v>419</v>
      </c>
      <c r="K338">
        <v>419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463</v>
      </c>
    </row>
    <row r="339" spans="1:17" x14ac:dyDescent="0.3">
      <c r="A339">
        <v>232697</v>
      </c>
      <c r="B339">
        <v>105</v>
      </c>
      <c r="C339" t="s">
        <v>557</v>
      </c>
      <c r="D339" t="s">
        <v>2597</v>
      </c>
      <c r="E339" t="s">
        <v>2939</v>
      </c>
      <c r="F339" s="451">
        <v>46160</v>
      </c>
      <c r="G339" s="451">
        <v>46160</v>
      </c>
      <c r="H339" s="451">
        <v>46188</v>
      </c>
      <c r="I339">
        <v>4631.58</v>
      </c>
      <c r="J339">
        <v>4631.58</v>
      </c>
      <c r="K339">
        <v>4631.58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463</v>
      </c>
    </row>
    <row r="340" spans="1:17" x14ac:dyDescent="0.3">
      <c r="A340">
        <v>232696</v>
      </c>
      <c r="B340">
        <v>105</v>
      </c>
      <c r="C340" t="s">
        <v>557</v>
      </c>
      <c r="D340" t="s">
        <v>2557</v>
      </c>
      <c r="E340" t="s">
        <v>2940</v>
      </c>
      <c r="F340" s="451">
        <v>46148</v>
      </c>
      <c r="G340" s="451">
        <v>46149</v>
      </c>
      <c r="H340" s="451">
        <v>46177</v>
      </c>
      <c r="I340">
        <v>455</v>
      </c>
      <c r="J340">
        <v>455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455</v>
      </c>
      <c r="Q340" t="s">
        <v>463</v>
      </c>
    </row>
    <row r="341" spans="1:17" x14ac:dyDescent="0.3">
      <c r="A341">
        <v>232695</v>
      </c>
      <c r="B341">
        <v>105</v>
      </c>
      <c r="C341" t="s">
        <v>557</v>
      </c>
      <c r="D341" t="s">
        <v>2557</v>
      </c>
      <c r="E341" t="s">
        <v>2941</v>
      </c>
      <c r="F341" s="451">
        <v>46155</v>
      </c>
      <c r="G341" s="451">
        <v>46156</v>
      </c>
      <c r="H341" s="451">
        <v>46184</v>
      </c>
      <c r="I341">
        <v>764.13</v>
      </c>
      <c r="J341">
        <v>761.13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764.13</v>
      </c>
      <c r="Q341" t="s">
        <v>463</v>
      </c>
    </row>
    <row r="342" spans="1:17" x14ac:dyDescent="0.3">
      <c r="A342">
        <v>232694</v>
      </c>
      <c r="B342">
        <v>105</v>
      </c>
      <c r="C342" t="s">
        <v>557</v>
      </c>
      <c r="D342" t="s">
        <v>2593</v>
      </c>
      <c r="E342" t="s">
        <v>2942</v>
      </c>
      <c r="F342" s="451">
        <v>46157</v>
      </c>
      <c r="G342" s="451">
        <v>46160</v>
      </c>
      <c r="H342" s="451">
        <v>46185</v>
      </c>
      <c r="I342">
        <v>720</v>
      </c>
      <c r="J342">
        <v>720</v>
      </c>
      <c r="K342">
        <v>720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463</v>
      </c>
    </row>
    <row r="343" spans="1:17" x14ac:dyDescent="0.3">
      <c r="A343">
        <v>232693</v>
      </c>
      <c r="B343">
        <v>105</v>
      </c>
      <c r="C343" t="s">
        <v>557</v>
      </c>
      <c r="D343" t="s">
        <v>2593</v>
      </c>
      <c r="E343" t="s">
        <v>2943</v>
      </c>
      <c r="F343" s="451">
        <v>46157</v>
      </c>
      <c r="G343" s="451">
        <v>46160</v>
      </c>
      <c r="H343" s="451">
        <v>46185</v>
      </c>
      <c r="I343">
        <v>750</v>
      </c>
      <c r="J343">
        <v>750</v>
      </c>
      <c r="K343">
        <v>750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463</v>
      </c>
    </row>
    <row r="344" spans="1:17" x14ac:dyDescent="0.3">
      <c r="A344">
        <v>232692</v>
      </c>
      <c r="B344">
        <v>105</v>
      </c>
      <c r="C344" t="s">
        <v>557</v>
      </c>
      <c r="D344" t="s">
        <v>2593</v>
      </c>
      <c r="E344" t="s">
        <v>2944</v>
      </c>
      <c r="F344" s="451">
        <v>46156</v>
      </c>
      <c r="G344" s="451">
        <v>46157</v>
      </c>
      <c r="H344" s="451">
        <v>46184</v>
      </c>
      <c r="I344">
        <v>375</v>
      </c>
      <c r="J344">
        <v>375</v>
      </c>
      <c r="K344">
        <v>375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463</v>
      </c>
    </row>
    <row r="345" spans="1:17" x14ac:dyDescent="0.3">
      <c r="A345">
        <v>232691</v>
      </c>
      <c r="B345">
        <v>105</v>
      </c>
      <c r="C345" t="s">
        <v>557</v>
      </c>
      <c r="D345" t="s">
        <v>836</v>
      </c>
      <c r="E345" t="s">
        <v>2945</v>
      </c>
      <c r="F345" s="451">
        <v>46156</v>
      </c>
      <c r="G345" s="451">
        <v>46157</v>
      </c>
      <c r="H345" s="451">
        <v>46184</v>
      </c>
      <c r="I345">
        <v>400</v>
      </c>
      <c r="J345">
        <v>400</v>
      </c>
      <c r="K345">
        <v>0</v>
      </c>
      <c r="L345">
        <v>0</v>
      </c>
      <c r="M345">
        <v>400</v>
      </c>
      <c r="N345">
        <v>0</v>
      </c>
      <c r="O345">
        <v>0</v>
      </c>
      <c r="P345">
        <v>0</v>
      </c>
      <c r="Q345" t="s">
        <v>463</v>
      </c>
    </row>
    <row r="346" spans="1:17" x14ac:dyDescent="0.3">
      <c r="A346">
        <v>232690</v>
      </c>
      <c r="B346">
        <v>105</v>
      </c>
      <c r="C346" t="s">
        <v>557</v>
      </c>
      <c r="D346" t="s">
        <v>2563</v>
      </c>
      <c r="E346" t="s">
        <v>2946</v>
      </c>
      <c r="F346" s="451">
        <v>46148</v>
      </c>
      <c r="G346" s="451">
        <v>46149</v>
      </c>
      <c r="H346" s="451">
        <v>46176</v>
      </c>
      <c r="I346">
        <v>13.78</v>
      </c>
      <c r="J346">
        <v>13.77</v>
      </c>
      <c r="K346">
        <v>13.78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463</v>
      </c>
    </row>
    <row r="347" spans="1:17" x14ac:dyDescent="0.3">
      <c r="A347">
        <v>232689</v>
      </c>
      <c r="B347">
        <v>105</v>
      </c>
      <c r="C347" t="s">
        <v>557</v>
      </c>
      <c r="D347" t="s">
        <v>2563</v>
      </c>
      <c r="E347" t="s">
        <v>2947</v>
      </c>
      <c r="F347" s="451">
        <v>46147</v>
      </c>
      <c r="G347" s="451">
        <v>46149</v>
      </c>
      <c r="H347" s="451">
        <v>46175</v>
      </c>
      <c r="I347">
        <v>107.49</v>
      </c>
      <c r="J347">
        <v>107.49</v>
      </c>
      <c r="K347">
        <v>107.49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463</v>
      </c>
    </row>
    <row r="348" spans="1:17" x14ac:dyDescent="0.3">
      <c r="A348">
        <v>232688</v>
      </c>
      <c r="B348">
        <v>105</v>
      </c>
      <c r="C348" t="s">
        <v>557</v>
      </c>
      <c r="D348" t="s">
        <v>2563</v>
      </c>
      <c r="E348" t="s">
        <v>2948</v>
      </c>
      <c r="F348" s="451">
        <v>46149</v>
      </c>
      <c r="G348" s="451">
        <v>46150</v>
      </c>
      <c r="H348" s="451">
        <v>46177</v>
      </c>
      <c r="I348">
        <v>1158.58</v>
      </c>
      <c r="J348">
        <v>1157.58</v>
      </c>
      <c r="K348">
        <v>1158.58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463</v>
      </c>
    </row>
    <row r="349" spans="1:17" x14ac:dyDescent="0.3">
      <c r="A349">
        <v>232687</v>
      </c>
      <c r="B349">
        <v>105</v>
      </c>
      <c r="C349" t="s">
        <v>557</v>
      </c>
      <c r="D349" t="s">
        <v>2563</v>
      </c>
      <c r="E349" t="s">
        <v>2949</v>
      </c>
      <c r="F349" s="451">
        <v>46157</v>
      </c>
      <c r="G349" s="451">
        <v>46160</v>
      </c>
      <c r="H349" s="451">
        <v>46185</v>
      </c>
      <c r="I349">
        <v>87</v>
      </c>
      <c r="J349">
        <v>87</v>
      </c>
      <c r="K349">
        <v>87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463</v>
      </c>
    </row>
    <row r="350" spans="1:17" x14ac:dyDescent="0.3">
      <c r="A350">
        <v>232686</v>
      </c>
      <c r="B350">
        <v>105</v>
      </c>
      <c r="C350" t="s">
        <v>557</v>
      </c>
      <c r="D350" t="s">
        <v>2563</v>
      </c>
      <c r="E350" t="s">
        <v>2950</v>
      </c>
      <c r="F350" s="451">
        <v>46156</v>
      </c>
      <c r="G350" s="451">
        <v>46157</v>
      </c>
      <c r="H350" s="451">
        <v>46184</v>
      </c>
      <c r="I350">
        <v>492.58</v>
      </c>
      <c r="J350">
        <v>486.55</v>
      </c>
      <c r="K350">
        <v>492.58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463</v>
      </c>
    </row>
    <row r="351" spans="1:17" x14ac:dyDescent="0.3">
      <c r="A351">
        <v>232685</v>
      </c>
      <c r="B351">
        <v>105</v>
      </c>
      <c r="C351" t="s">
        <v>557</v>
      </c>
      <c r="D351" t="s">
        <v>2600</v>
      </c>
      <c r="E351" t="s">
        <v>2951</v>
      </c>
      <c r="F351" s="451">
        <v>46160</v>
      </c>
      <c r="G351" s="451">
        <v>46160</v>
      </c>
      <c r="H351" s="451">
        <v>46190</v>
      </c>
      <c r="I351">
        <v>113.94</v>
      </c>
      <c r="J351">
        <v>113.94</v>
      </c>
      <c r="K351">
        <v>113.94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463</v>
      </c>
    </row>
    <row r="352" spans="1:17" x14ac:dyDescent="0.3">
      <c r="A352">
        <v>232684</v>
      </c>
      <c r="B352">
        <v>105</v>
      </c>
      <c r="C352" t="s">
        <v>557</v>
      </c>
      <c r="D352" t="s">
        <v>2792</v>
      </c>
      <c r="E352" t="s">
        <v>2952</v>
      </c>
      <c r="F352" s="451">
        <v>46160</v>
      </c>
      <c r="G352" s="451">
        <v>46160</v>
      </c>
      <c r="H352" s="451">
        <v>46174</v>
      </c>
      <c r="I352">
        <v>574</v>
      </c>
      <c r="J352">
        <v>539</v>
      </c>
      <c r="K352">
        <v>574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463</v>
      </c>
    </row>
    <row r="353" spans="1:17" x14ac:dyDescent="0.3">
      <c r="A353">
        <v>232683</v>
      </c>
      <c r="B353">
        <v>105</v>
      </c>
      <c r="C353" t="s">
        <v>557</v>
      </c>
      <c r="D353" t="s">
        <v>2675</v>
      </c>
      <c r="E353" t="s">
        <v>2953</v>
      </c>
      <c r="F353" s="451">
        <v>46160</v>
      </c>
      <c r="G353" s="451">
        <v>46160</v>
      </c>
      <c r="H353" s="451">
        <v>46188</v>
      </c>
      <c r="I353">
        <v>752.7</v>
      </c>
      <c r="J353">
        <v>752.7</v>
      </c>
      <c r="K353">
        <v>752.7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463</v>
      </c>
    </row>
    <row r="354" spans="1:17" x14ac:dyDescent="0.3">
      <c r="A354">
        <v>232682</v>
      </c>
      <c r="B354">
        <v>105</v>
      </c>
      <c r="C354" t="s">
        <v>557</v>
      </c>
      <c r="D354" t="s">
        <v>2675</v>
      </c>
      <c r="E354" t="s">
        <v>2954</v>
      </c>
      <c r="F354" s="451">
        <v>46147</v>
      </c>
      <c r="G354" s="451">
        <v>46149</v>
      </c>
      <c r="H354" s="451">
        <v>46174</v>
      </c>
      <c r="I354">
        <v>733.2</v>
      </c>
      <c r="J354">
        <v>733.2</v>
      </c>
      <c r="K354">
        <v>733.2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463</v>
      </c>
    </row>
    <row r="355" spans="1:17" x14ac:dyDescent="0.3">
      <c r="A355">
        <v>232681</v>
      </c>
      <c r="B355">
        <v>105</v>
      </c>
      <c r="C355" t="s">
        <v>557</v>
      </c>
      <c r="D355" t="s">
        <v>2690</v>
      </c>
      <c r="E355" t="s">
        <v>2955</v>
      </c>
      <c r="F355" s="451">
        <v>46153</v>
      </c>
      <c r="G355" s="451">
        <v>46155</v>
      </c>
      <c r="H355" s="451">
        <v>46175</v>
      </c>
      <c r="I355">
        <v>18.75</v>
      </c>
      <c r="J355">
        <v>18.75</v>
      </c>
      <c r="K355">
        <v>0</v>
      </c>
      <c r="L355">
        <v>18.75</v>
      </c>
      <c r="M355">
        <v>0</v>
      </c>
      <c r="N355">
        <v>0</v>
      </c>
      <c r="O355">
        <v>0</v>
      </c>
      <c r="P355">
        <v>0</v>
      </c>
      <c r="Q355" t="s">
        <v>463</v>
      </c>
    </row>
    <row r="356" spans="1:17" x14ac:dyDescent="0.3">
      <c r="A356">
        <v>232680</v>
      </c>
      <c r="B356">
        <v>105</v>
      </c>
      <c r="C356" t="s">
        <v>557</v>
      </c>
      <c r="D356" t="s">
        <v>2605</v>
      </c>
      <c r="E356" t="s">
        <v>2956</v>
      </c>
      <c r="F356" s="451">
        <v>46148</v>
      </c>
      <c r="G356" s="451">
        <v>46149</v>
      </c>
      <c r="H356" s="451">
        <v>46178</v>
      </c>
      <c r="I356">
        <v>260.74</v>
      </c>
      <c r="J356">
        <v>260.74</v>
      </c>
      <c r="K356">
        <v>260.74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463</v>
      </c>
    </row>
    <row r="357" spans="1:17" x14ac:dyDescent="0.3">
      <c r="A357">
        <v>232679</v>
      </c>
      <c r="B357">
        <v>105</v>
      </c>
      <c r="C357" t="s">
        <v>557</v>
      </c>
      <c r="D357" t="s">
        <v>2605</v>
      </c>
      <c r="E357" t="s">
        <v>2957</v>
      </c>
      <c r="F357" s="451">
        <v>46147</v>
      </c>
      <c r="G357" s="451">
        <v>46149</v>
      </c>
      <c r="H357" s="451">
        <v>46175</v>
      </c>
      <c r="I357">
        <v>701.28</v>
      </c>
      <c r="J357">
        <v>701.28</v>
      </c>
      <c r="K357">
        <v>701.28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463</v>
      </c>
    </row>
    <row r="358" spans="1:17" x14ac:dyDescent="0.3">
      <c r="A358">
        <v>232678</v>
      </c>
      <c r="B358">
        <v>105</v>
      </c>
      <c r="C358" t="s">
        <v>557</v>
      </c>
      <c r="D358" t="s">
        <v>2605</v>
      </c>
      <c r="E358" t="s">
        <v>2958</v>
      </c>
      <c r="F358" s="451">
        <v>46157</v>
      </c>
      <c r="G358" s="451">
        <v>46160</v>
      </c>
      <c r="H358" s="451">
        <v>46185</v>
      </c>
      <c r="I358">
        <v>1030.5999999999999</v>
      </c>
      <c r="J358">
        <v>842.38</v>
      </c>
      <c r="K358">
        <v>1030.5999999999999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463</v>
      </c>
    </row>
    <row r="359" spans="1:17" x14ac:dyDescent="0.3">
      <c r="A359">
        <v>232677</v>
      </c>
      <c r="B359">
        <v>105</v>
      </c>
      <c r="C359" t="s">
        <v>557</v>
      </c>
      <c r="D359" t="s">
        <v>2605</v>
      </c>
      <c r="E359" t="s">
        <v>2959</v>
      </c>
      <c r="F359" s="451">
        <v>46157</v>
      </c>
      <c r="G359" s="451">
        <v>46160</v>
      </c>
      <c r="H359" s="451">
        <v>46185</v>
      </c>
      <c r="I359">
        <v>681.6</v>
      </c>
      <c r="J359">
        <v>681.6</v>
      </c>
      <c r="K359">
        <v>681.6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463</v>
      </c>
    </row>
    <row r="360" spans="1:17" x14ac:dyDescent="0.3">
      <c r="A360">
        <v>232676</v>
      </c>
      <c r="B360">
        <v>105</v>
      </c>
      <c r="C360" t="s">
        <v>557</v>
      </c>
      <c r="D360" t="s">
        <v>2571</v>
      </c>
      <c r="E360" t="s">
        <v>2960</v>
      </c>
      <c r="F360" s="451">
        <v>46148</v>
      </c>
      <c r="G360" s="451">
        <v>46149</v>
      </c>
      <c r="H360" s="451">
        <v>46176</v>
      </c>
      <c r="I360">
        <v>626.29</v>
      </c>
      <c r="J360">
        <v>624.29</v>
      </c>
      <c r="K360">
        <v>626.29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463</v>
      </c>
    </row>
    <row r="361" spans="1:17" x14ac:dyDescent="0.3">
      <c r="A361">
        <v>232675</v>
      </c>
      <c r="B361">
        <v>105</v>
      </c>
      <c r="C361" t="s">
        <v>557</v>
      </c>
      <c r="D361" t="s">
        <v>2571</v>
      </c>
      <c r="E361" t="s">
        <v>2961</v>
      </c>
      <c r="F361" s="451">
        <v>46148</v>
      </c>
      <c r="G361" s="451">
        <v>46149</v>
      </c>
      <c r="H361" s="451">
        <v>46176</v>
      </c>
      <c r="I361">
        <v>497.84</v>
      </c>
      <c r="J361">
        <v>488.94</v>
      </c>
      <c r="K361">
        <v>497.84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463</v>
      </c>
    </row>
    <row r="362" spans="1:17" x14ac:dyDescent="0.3">
      <c r="A362">
        <v>232674</v>
      </c>
      <c r="B362">
        <v>105</v>
      </c>
      <c r="C362" t="s">
        <v>557</v>
      </c>
      <c r="D362" t="s">
        <v>2571</v>
      </c>
      <c r="E362" t="s">
        <v>2962</v>
      </c>
      <c r="F362" s="451">
        <v>46157</v>
      </c>
      <c r="G362" s="451">
        <v>46160</v>
      </c>
      <c r="H362" s="451">
        <v>46178</v>
      </c>
      <c r="I362">
        <v>1425.99</v>
      </c>
      <c r="J362">
        <v>1036.23</v>
      </c>
      <c r="K362">
        <v>1425.99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463</v>
      </c>
    </row>
    <row r="363" spans="1:17" x14ac:dyDescent="0.3">
      <c r="A363">
        <v>232673</v>
      </c>
      <c r="B363">
        <v>105</v>
      </c>
      <c r="C363" t="s">
        <v>557</v>
      </c>
      <c r="D363" t="s">
        <v>2963</v>
      </c>
      <c r="E363" t="s">
        <v>2964</v>
      </c>
      <c r="F363" s="451">
        <v>46156</v>
      </c>
      <c r="G363" s="451">
        <v>46160</v>
      </c>
      <c r="H363" s="451">
        <v>46184</v>
      </c>
      <c r="I363">
        <v>741.36</v>
      </c>
      <c r="J363">
        <v>718.02</v>
      </c>
      <c r="K363">
        <v>741.36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463</v>
      </c>
    </row>
    <row r="364" spans="1:17" x14ac:dyDescent="0.3">
      <c r="A364">
        <v>232672</v>
      </c>
      <c r="B364">
        <v>105</v>
      </c>
      <c r="C364" t="s">
        <v>557</v>
      </c>
      <c r="D364" t="s">
        <v>2548</v>
      </c>
      <c r="E364" t="s">
        <v>2965</v>
      </c>
      <c r="F364" s="451">
        <v>46146</v>
      </c>
      <c r="G364" s="451">
        <v>46149</v>
      </c>
      <c r="H364" s="451">
        <v>46181</v>
      </c>
      <c r="I364">
        <v>696.07</v>
      </c>
      <c r="J364">
        <v>477.87</v>
      </c>
      <c r="K364">
        <v>0</v>
      </c>
      <c r="L364">
        <v>0</v>
      </c>
      <c r="M364">
        <v>696.07</v>
      </c>
      <c r="N364">
        <v>0</v>
      </c>
      <c r="O364">
        <v>0</v>
      </c>
      <c r="P364">
        <v>0</v>
      </c>
      <c r="Q364" t="s">
        <v>463</v>
      </c>
    </row>
    <row r="365" spans="1:17" x14ac:dyDescent="0.3">
      <c r="A365">
        <v>232671</v>
      </c>
      <c r="B365">
        <v>105</v>
      </c>
      <c r="C365" t="s">
        <v>557</v>
      </c>
      <c r="D365" t="s">
        <v>2579</v>
      </c>
      <c r="E365" t="s">
        <v>2966</v>
      </c>
      <c r="F365" s="451">
        <v>46156</v>
      </c>
      <c r="G365" s="451">
        <v>46157</v>
      </c>
      <c r="H365" s="451">
        <v>46184</v>
      </c>
      <c r="I365">
        <v>545.41</v>
      </c>
      <c r="J365">
        <v>505.63</v>
      </c>
      <c r="K365">
        <v>545.41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463</v>
      </c>
    </row>
    <row r="366" spans="1:17" x14ac:dyDescent="0.3">
      <c r="A366">
        <v>232670</v>
      </c>
      <c r="B366">
        <v>105</v>
      </c>
      <c r="C366" t="s">
        <v>557</v>
      </c>
      <c r="D366" t="s">
        <v>2579</v>
      </c>
      <c r="E366" t="s">
        <v>2967</v>
      </c>
      <c r="F366" s="451">
        <v>46149</v>
      </c>
      <c r="G366" s="451">
        <v>46150</v>
      </c>
      <c r="H366" s="451">
        <v>46177</v>
      </c>
      <c r="I366">
        <v>277.29000000000002</v>
      </c>
      <c r="J366">
        <v>277.29000000000002</v>
      </c>
      <c r="K366">
        <v>277.29000000000002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463</v>
      </c>
    </row>
    <row r="367" spans="1:17" x14ac:dyDescent="0.3">
      <c r="A367">
        <v>232669</v>
      </c>
      <c r="B367">
        <v>105</v>
      </c>
      <c r="C367" t="s">
        <v>557</v>
      </c>
      <c r="D367" t="s">
        <v>2579</v>
      </c>
      <c r="E367" t="s">
        <v>2968</v>
      </c>
      <c r="F367" s="451">
        <v>46148</v>
      </c>
      <c r="G367" s="451">
        <v>46149</v>
      </c>
      <c r="H367" s="451">
        <v>46176</v>
      </c>
      <c r="I367">
        <v>121.55</v>
      </c>
      <c r="J367">
        <v>121.55</v>
      </c>
      <c r="K367">
        <v>121.55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463</v>
      </c>
    </row>
    <row r="368" spans="1:17" x14ac:dyDescent="0.3">
      <c r="A368">
        <v>232668</v>
      </c>
      <c r="B368">
        <v>105</v>
      </c>
      <c r="C368" t="s">
        <v>557</v>
      </c>
      <c r="D368" t="s">
        <v>2579</v>
      </c>
      <c r="E368" t="s">
        <v>2969</v>
      </c>
      <c r="F368" s="451">
        <v>46147</v>
      </c>
      <c r="G368" s="451">
        <v>46149</v>
      </c>
      <c r="H368" s="451">
        <v>46175</v>
      </c>
      <c r="I368">
        <v>90.35</v>
      </c>
      <c r="J368">
        <v>90.35</v>
      </c>
      <c r="K368">
        <v>90.35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463</v>
      </c>
    </row>
    <row r="369" spans="1:17" x14ac:dyDescent="0.3">
      <c r="A369">
        <v>232667</v>
      </c>
      <c r="B369">
        <v>105</v>
      </c>
      <c r="C369" t="s">
        <v>557</v>
      </c>
      <c r="D369" t="s">
        <v>2581</v>
      </c>
      <c r="E369" t="s">
        <v>2970</v>
      </c>
      <c r="F369" s="451">
        <v>46149</v>
      </c>
      <c r="G369" s="451">
        <v>46150</v>
      </c>
      <c r="H369" s="451">
        <v>46177</v>
      </c>
      <c r="I369">
        <v>772.55</v>
      </c>
      <c r="J369">
        <v>772.55</v>
      </c>
      <c r="K369">
        <v>772.55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463</v>
      </c>
    </row>
    <row r="370" spans="1:17" x14ac:dyDescent="0.3">
      <c r="A370">
        <v>232666</v>
      </c>
      <c r="B370">
        <v>105</v>
      </c>
      <c r="C370" t="s">
        <v>557</v>
      </c>
      <c r="D370" t="s">
        <v>2581</v>
      </c>
      <c r="E370" t="s">
        <v>2971</v>
      </c>
      <c r="F370" s="451">
        <v>46148</v>
      </c>
      <c r="G370" s="451">
        <v>46149</v>
      </c>
      <c r="H370" s="451">
        <v>46176</v>
      </c>
      <c r="I370">
        <v>194.2</v>
      </c>
      <c r="J370">
        <v>194.2</v>
      </c>
      <c r="K370">
        <v>194.2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463</v>
      </c>
    </row>
    <row r="371" spans="1:17" x14ac:dyDescent="0.3">
      <c r="A371">
        <v>232665</v>
      </c>
      <c r="B371">
        <v>105</v>
      </c>
      <c r="C371" t="s">
        <v>557</v>
      </c>
      <c r="D371" t="s">
        <v>2581</v>
      </c>
      <c r="E371" t="s">
        <v>2972</v>
      </c>
      <c r="F371" s="451">
        <v>46147</v>
      </c>
      <c r="G371" s="451">
        <v>46149</v>
      </c>
      <c r="H371" s="451">
        <v>46175</v>
      </c>
      <c r="I371">
        <v>279.8</v>
      </c>
      <c r="J371">
        <v>279.8</v>
      </c>
      <c r="K371">
        <v>279.8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463</v>
      </c>
    </row>
    <row r="372" spans="1:17" x14ac:dyDescent="0.3">
      <c r="A372">
        <v>232664</v>
      </c>
      <c r="B372">
        <v>105</v>
      </c>
      <c r="C372" t="s">
        <v>557</v>
      </c>
      <c r="D372" t="s">
        <v>2581</v>
      </c>
      <c r="E372" t="s">
        <v>2973</v>
      </c>
      <c r="F372" s="451">
        <v>46157</v>
      </c>
      <c r="G372" s="451">
        <v>46160</v>
      </c>
      <c r="H372" s="451">
        <v>46185</v>
      </c>
      <c r="I372">
        <v>148.6</v>
      </c>
      <c r="J372">
        <v>148.6</v>
      </c>
      <c r="K372">
        <v>148.6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463</v>
      </c>
    </row>
    <row r="373" spans="1:17" x14ac:dyDescent="0.3">
      <c r="A373">
        <v>232663</v>
      </c>
      <c r="B373">
        <v>105</v>
      </c>
      <c r="C373" t="s">
        <v>557</v>
      </c>
      <c r="D373" t="s">
        <v>2581</v>
      </c>
      <c r="E373" t="s">
        <v>2974</v>
      </c>
      <c r="F373" s="451">
        <v>46156</v>
      </c>
      <c r="G373" s="451">
        <v>46157</v>
      </c>
      <c r="H373" s="451">
        <v>46184</v>
      </c>
      <c r="I373">
        <v>539.95000000000005</v>
      </c>
      <c r="J373">
        <v>528.04999999999995</v>
      </c>
      <c r="K373">
        <v>539.95000000000005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463</v>
      </c>
    </row>
    <row r="374" spans="1:17" x14ac:dyDescent="0.3">
      <c r="A374">
        <v>232662</v>
      </c>
      <c r="B374">
        <v>105</v>
      </c>
      <c r="C374" t="s">
        <v>557</v>
      </c>
      <c r="D374" t="s">
        <v>2585</v>
      </c>
      <c r="E374" t="s">
        <v>2975</v>
      </c>
      <c r="F374" s="451">
        <v>46148</v>
      </c>
      <c r="G374" s="451">
        <v>46160</v>
      </c>
      <c r="H374" s="451">
        <v>46176</v>
      </c>
      <c r="I374">
        <v>660.63</v>
      </c>
      <c r="J374">
        <v>2467.42</v>
      </c>
      <c r="K374">
        <v>660.63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463</v>
      </c>
    </row>
    <row r="375" spans="1:17" x14ac:dyDescent="0.3">
      <c r="A375">
        <v>232661</v>
      </c>
      <c r="B375">
        <v>105</v>
      </c>
      <c r="C375" t="s">
        <v>557</v>
      </c>
      <c r="D375" t="s">
        <v>2585</v>
      </c>
      <c r="E375" t="s">
        <v>2976</v>
      </c>
      <c r="F375" s="451">
        <v>46160</v>
      </c>
      <c r="G375" s="451">
        <v>46160</v>
      </c>
      <c r="H375" s="451">
        <v>46188</v>
      </c>
      <c r="I375">
        <v>2467.4299999999998</v>
      </c>
      <c r="J375">
        <v>2467.42</v>
      </c>
      <c r="K375">
        <v>2467.4299999999998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463</v>
      </c>
    </row>
    <row r="376" spans="1:17" x14ac:dyDescent="0.3">
      <c r="A376">
        <v>232660</v>
      </c>
      <c r="B376">
        <v>105</v>
      </c>
      <c r="C376" t="s">
        <v>557</v>
      </c>
      <c r="D376" t="s">
        <v>2585</v>
      </c>
      <c r="E376" t="s">
        <v>2977</v>
      </c>
      <c r="F376" s="451">
        <v>46157</v>
      </c>
      <c r="G376" s="451">
        <v>46157</v>
      </c>
      <c r="H376" s="451">
        <v>46185</v>
      </c>
      <c r="I376">
        <v>624.67999999999995</v>
      </c>
      <c r="J376">
        <v>625.37</v>
      </c>
      <c r="K376">
        <v>624.67999999999995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463</v>
      </c>
    </row>
    <row r="377" spans="1:17" x14ac:dyDescent="0.3">
      <c r="A377">
        <v>232659</v>
      </c>
      <c r="B377">
        <v>105</v>
      </c>
      <c r="C377" t="s">
        <v>557</v>
      </c>
      <c r="D377" t="s">
        <v>2607</v>
      </c>
      <c r="E377" t="s">
        <v>2978</v>
      </c>
      <c r="F377" s="451">
        <v>46147</v>
      </c>
      <c r="G377" s="451">
        <v>46149</v>
      </c>
      <c r="H377" s="451">
        <v>46175</v>
      </c>
      <c r="I377">
        <v>960.86</v>
      </c>
      <c r="J377">
        <v>960.86</v>
      </c>
      <c r="K377">
        <v>960.86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463</v>
      </c>
    </row>
    <row r="378" spans="1:17" x14ac:dyDescent="0.3">
      <c r="A378">
        <v>232658</v>
      </c>
      <c r="B378">
        <v>105</v>
      </c>
      <c r="C378" t="s">
        <v>557</v>
      </c>
      <c r="D378" t="s">
        <v>2607</v>
      </c>
      <c r="E378" t="s">
        <v>2979</v>
      </c>
      <c r="F378" s="451">
        <v>46147</v>
      </c>
      <c r="G378" s="451">
        <v>46149</v>
      </c>
      <c r="H378" s="451">
        <v>46175</v>
      </c>
      <c r="I378">
        <v>1347</v>
      </c>
      <c r="J378">
        <v>1347</v>
      </c>
      <c r="K378">
        <v>1347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463</v>
      </c>
    </row>
    <row r="379" spans="1:17" x14ac:dyDescent="0.3">
      <c r="A379">
        <v>232657</v>
      </c>
      <c r="B379">
        <v>105</v>
      </c>
      <c r="C379" t="s">
        <v>557</v>
      </c>
      <c r="D379" t="s">
        <v>2588</v>
      </c>
      <c r="E379" t="s">
        <v>2980</v>
      </c>
      <c r="F379" s="451">
        <v>46147</v>
      </c>
      <c r="G379" s="451">
        <v>46149</v>
      </c>
      <c r="H379" s="451">
        <v>46175</v>
      </c>
      <c r="I379">
        <v>412.5</v>
      </c>
      <c r="J379">
        <v>412.5</v>
      </c>
      <c r="K379">
        <v>412.5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463</v>
      </c>
    </row>
    <row r="380" spans="1:17" x14ac:dyDescent="0.3">
      <c r="A380">
        <v>232656</v>
      </c>
      <c r="B380">
        <v>105</v>
      </c>
      <c r="C380" t="s">
        <v>557</v>
      </c>
      <c r="D380" t="s">
        <v>2642</v>
      </c>
      <c r="E380" t="s">
        <v>2981</v>
      </c>
      <c r="F380" s="451">
        <v>46150</v>
      </c>
      <c r="G380" s="451">
        <v>46150</v>
      </c>
      <c r="H380" s="451">
        <v>46178</v>
      </c>
      <c r="I380">
        <v>294.91000000000003</v>
      </c>
      <c r="J380">
        <v>294.91000000000003</v>
      </c>
      <c r="K380">
        <v>0</v>
      </c>
      <c r="L380">
        <v>294.91000000000003</v>
      </c>
      <c r="M380">
        <v>0</v>
      </c>
      <c r="N380">
        <v>0</v>
      </c>
      <c r="O380">
        <v>0</v>
      </c>
      <c r="P380">
        <v>0</v>
      </c>
      <c r="Q380" t="s">
        <v>463</v>
      </c>
    </row>
    <row r="381" spans="1:17" x14ac:dyDescent="0.3">
      <c r="A381">
        <v>232655</v>
      </c>
      <c r="B381">
        <v>105</v>
      </c>
      <c r="C381" t="s">
        <v>557</v>
      </c>
      <c r="D381" t="s">
        <v>2642</v>
      </c>
      <c r="E381" t="s">
        <v>2982</v>
      </c>
      <c r="F381" s="451">
        <v>46153</v>
      </c>
      <c r="G381" s="451">
        <v>46156</v>
      </c>
      <c r="H381" s="451">
        <v>46181</v>
      </c>
      <c r="I381">
        <v>177</v>
      </c>
      <c r="J381">
        <v>177</v>
      </c>
      <c r="K381">
        <v>0</v>
      </c>
      <c r="L381">
        <v>177</v>
      </c>
      <c r="M381">
        <v>0</v>
      </c>
      <c r="N381">
        <v>0</v>
      </c>
      <c r="O381">
        <v>0</v>
      </c>
      <c r="P381">
        <v>0</v>
      </c>
      <c r="Q381" t="s">
        <v>463</v>
      </c>
    </row>
    <row r="382" spans="1:17" x14ac:dyDescent="0.3">
      <c r="A382">
        <v>232654</v>
      </c>
      <c r="B382">
        <v>105</v>
      </c>
      <c r="C382" t="s">
        <v>557</v>
      </c>
      <c r="D382" t="s">
        <v>2590</v>
      </c>
      <c r="E382" t="s">
        <v>2983</v>
      </c>
      <c r="F382" s="451">
        <v>46147</v>
      </c>
      <c r="G382" s="451">
        <v>46149</v>
      </c>
      <c r="H382" s="451">
        <v>46178</v>
      </c>
      <c r="I382">
        <v>812.88</v>
      </c>
      <c r="J382">
        <v>763.28</v>
      </c>
      <c r="K382">
        <v>0</v>
      </c>
      <c r="L382">
        <v>812.88</v>
      </c>
      <c r="M382">
        <v>0</v>
      </c>
      <c r="N382">
        <v>0</v>
      </c>
      <c r="O382">
        <v>0</v>
      </c>
      <c r="P382">
        <v>0</v>
      </c>
      <c r="Q382" t="s">
        <v>463</v>
      </c>
    </row>
    <row r="383" spans="1:17" x14ac:dyDescent="0.3">
      <c r="A383">
        <v>232653</v>
      </c>
      <c r="B383">
        <v>105</v>
      </c>
      <c r="C383" t="s">
        <v>557</v>
      </c>
      <c r="D383" t="s">
        <v>2590</v>
      </c>
      <c r="E383" t="s">
        <v>2984</v>
      </c>
      <c r="F383" s="451">
        <v>46157</v>
      </c>
      <c r="G383" s="451">
        <v>46160</v>
      </c>
      <c r="H383" s="451">
        <v>46188</v>
      </c>
      <c r="I383">
        <v>311.52</v>
      </c>
      <c r="J383">
        <v>311.52</v>
      </c>
      <c r="K383">
        <v>0</v>
      </c>
      <c r="L383">
        <v>311.52</v>
      </c>
      <c r="M383">
        <v>0</v>
      </c>
      <c r="N383">
        <v>0</v>
      </c>
      <c r="O383">
        <v>0</v>
      </c>
      <c r="P383">
        <v>0</v>
      </c>
      <c r="Q383" t="s">
        <v>463</v>
      </c>
    </row>
    <row r="384" spans="1:17" x14ac:dyDescent="0.3">
      <c r="A384">
        <v>232652</v>
      </c>
      <c r="B384">
        <v>105</v>
      </c>
      <c r="C384" t="s">
        <v>557</v>
      </c>
      <c r="D384" t="s">
        <v>2613</v>
      </c>
      <c r="E384" t="s">
        <v>2985</v>
      </c>
      <c r="F384" s="451">
        <v>46157</v>
      </c>
      <c r="G384" s="451">
        <v>46160</v>
      </c>
      <c r="H384" s="451">
        <v>46171</v>
      </c>
      <c r="I384">
        <v>387.11</v>
      </c>
      <c r="J384">
        <v>387.11</v>
      </c>
      <c r="K384">
        <v>387.11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463</v>
      </c>
    </row>
    <row r="385" spans="1:17" x14ac:dyDescent="0.3">
      <c r="A385">
        <v>232651</v>
      </c>
      <c r="B385">
        <v>105</v>
      </c>
      <c r="C385" t="s">
        <v>557</v>
      </c>
      <c r="D385" t="s">
        <v>2986</v>
      </c>
      <c r="E385" t="s">
        <v>2987</v>
      </c>
      <c r="F385" s="451">
        <v>46158</v>
      </c>
      <c r="G385" s="451">
        <v>46160</v>
      </c>
      <c r="H385" s="451">
        <v>46172</v>
      </c>
      <c r="I385">
        <v>872.48</v>
      </c>
      <c r="J385">
        <v>872.46</v>
      </c>
      <c r="K385">
        <v>872.48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463</v>
      </c>
    </row>
    <row r="386" spans="1:17" x14ac:dyDescent="0.3">
      <c r="A386">
        <v>232650</v>
      </c>
      <c r="B386">
        <v>105</v>
      </c>
      <c r="C386" t="s">
        <v>557</v>
      </c>
      <c r="D386" t="s">
        <v>2552</v>
      </c>
      <c r="E386" t="s">
        <v>2988</v>
      </c>
      <c r="F386" s="451">
        <v>46143</v>
      </c>
      <c r="G386" s="451">
        <v>46161</v>
      </c>
      <c r="H386" s="451">
        <v>46162</v>
      </c>
      <c r="I386">
        <v>262</v>
      </c>
      <c r="J386">
        <v>237</v>
      </c>
      <c r="K386">
        <v>262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463</v>
      </c>
    </row>
    <row r="387" spans="1:17" x14ac:dyDescent="0.3">
      <c r="A387">
        <v>232118</v>
      </c>
      <c r="B387">
        <v>105</v>
      </c>
      <c r="C387" t="s">
        <v>557</v>
      </c>
      <c r="D387" t="s">
        <v>2552</v>
      </c>
      <c r="E387" t="s">
        <v>2989</v>
      </c>
      <c r="F387" s="451">
        <v>46155</v>
      </c>
      <c r="G387" s="451">
        <v>46157</v>
      </c>
      <c r="H387" s="451">
        <v>46169</v>
      </c>
      <c r="I387">
        <v>222.5</v>
      </c>
      <c r="J387">
        <v>197.5</v>
      </c>
      <c r="K387">
        <v>222.5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463</v>
      </c>
    </row>
    <row r="388" spans="1:17" x14ac:dyDescent="0.3">
      <c r="A388">
        <v>232117</v>
      </c>
      <c r="B388">
        <v>105</v>
      </c>
      <c r="C388" t="s">
        <v>557</v>
      </c>
      <c r="D388" t="s">
        <v>2554</v>
      </c>
      <c r="E388" t="s">
        <v>2990</v>
      </c>
      <c r="F388" s="451">
        <v>46154</v>
      </c>
      <c r="G388" s="451">
        <v>46157</v>
      </c>
      <c r="H388" s="451">
        <v>46169</v>
      </c>
      <c r="I388">
        <v>905.5</v>
      </c>
      <c r="J388">
        <v>886.91</v>
      </c>
      <c r="K388">
        <v>0</v>
      </c>
      <c r="L388">
        <v>0</v>
      </c>
      <c r="M388">
        <v>862.62</v>
      </c>
      <c r="N388">
        <v>0</v>
      </c>
      <c r="O388">
        <v>42.88</v>
      </c>
      <c r="P388">
        <v>0</v>
      </c>
      <c r="Q388" t="s">
        <v>463</v>
      </c>
    </row>
    <row r="389" spans="1:17" x14ac:dyDescent="0.3">
      <c r="A389">
        <v>232116</v>
      </c>
      <c r="B389">
        <v>105</v>
      </c>
      <c r="C389" t="s">
        <v>557</v>
      </c>
      <c r="D389" t="s">
        <v>2991</v>
      </c>
      <c r="E389" t="s">
        <v>2992</v>
      </c>
      <c r="F389" s="451">
        <v>46153</v>
      </c>
      <c r="G389" s="451">
        <v>46156</v>
      </c>
      <c r="H389" s="451">
        <v>46167</v>
      </c>
      <c r="I389">
        <v>489</v>
      </c>
      <c r="J389">
        <v>489</v>
      </c>
      <c r="K389">
        <v>0</v>
      </c>
      <c r="L389">
        <v>489</v>
      </c>
      <c r="M389">
        <v>0</v>
      </c>
      <c r="N389">
        <v>0</v>
      </c>
      <c r="O389">
        <v>0</v>
      </c>
      <c r="P389">
        <v>0</v>
      </c>
      <c r="Q389" t="s">
        <v>463</v>
      </c>
    </row>
    <row r="390" spans="1:17" x14ac:dyDescent="0.3">
      <c r="A390">
        <v>232115</v>
      </c>
      <c r="B390">
        <v>105</v>
      </c>
      <c r="C390" t="s">
        <v>557</v>
      </c>
      <c r="D390" t="s">
        <v>2653</v>
      </c>
      <c r="E390" t="s">
        <v>2993</v>
      </c>
      <c r="F390" s="451">
        <v>46157</v>
      </c>
      <c r="G390" s="451">
        <v>46157</v>
      </c>
      <c r="H390" s="451">
        <v>46171</v>
      </c>
      <c r="I390">
        <v>194.5</v>
      </c>
      <c r="J390">
        <v>164.5</v>
      </c>
      <c r="K390">
        <v>194.5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463</v>
      </c>
    </row>
    <row r="391" spans="1:17" x14ac:dyDescent="0.3">
      <c r="A391">
        <v>232114</v>
      </c>
      <c r="B391">
        <v>105</v>
      </c>
      <c r="C391" t="s">
        <v>557</v>
      </c>
      <c r="D391" t="s">
        <v>2690</v>
      </c>
      <c r="E391" t="s">
        <v>2994</v>
      </c>
      <c r="F391" s="451">
        <v>46147</v>
      </c>
      <c r="G391" s="451">
        <v>46149</v>
      </c>
      <c r="H391" s="451">
        <v>46169</v>
      </c>
      <c r="I391">
        <v>232.92</v>
      </c>
      <c r="J391">
        <v>232.92</v>
      </c>
      <c r="K391">
        <v>0</v>
      </c>
      <c r="L391">
        <v>232.92</v>
      </c>
      <c r="M391">
        <v>0</v>
      </c>
      <c r="N391">
        <v>0</v>
      </c>
      <c r="O391">
        <v>0</v>
      </c>
      <c r="P391">
        <v>0</v>
      </c>
      <c r="Q391" t="s">
        <v>463</v>
      </c>
    </row>
    <row r="392" spans="1:17" x14ac:dyDescent="0.3">
      <c r="A392">
        <v>232113</v>
      </c>
      <c r="B392">
        <v>105</v>
      </c>
      <c r="C392" t="s">
        <v>557</v>
      </c>
      <c r="D392" t="s">
        <v>2571</v>
      </c>
      <c r="E392" t="s">
        <v>2995</v>
      </c>
      <c r="F392" s="451">
        <v>46150</v>
      </c>
      <c r="G392" s="451">
        <v>46150</v>
      </c>
      <c r="H392" s="451">
        <v>46171</v>
      </c>
      <c r="I392">
        <v>1068.8499999999999</v>
      </c>
      <c r="J392">
        <v>1066.8499999999999</v>
      </c>
      <c r="K392">
        <v>1068.8499999999999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463</v>
      </c>
    </row>
    <row r="393" spans="1:17" x14ac:dyDescent="0.3">
      <c r="A393">
        <v>232112</v>
      </c>
      <c r="B393">
        <v>105</v>
      </c>
      <c r="C393" t="s">
        <v>557</v>
      </c>
      <c r="D393" t="s">
        <v>2627</v>
      </c>
      <c r="E393" t="s">
        <v>2996</v>
      </c>
      <c r="F393" s="451">
        <v>46148</v>
      </c>
      <c r="G393" s="451">
        <v>46149</v>
      </c>
      <c r="H393" s="451">
        <v>46169</v>
      </c>
      <c r="I393">
        <v>281.39999999999998</v>
      </c>
      <c r="J393">
        <v>281.62</v>
      </c>
      <c r="K393">
        <v>281.39999999999998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463</v>
      </c>
    </row>
    <row r="394" spans="1:17" x14ac:dyDescent="0.3">
      <c r="A394">
        <v>232111</v>
      </c>
      <c r="B394">
        <v>105</v>
      </c>
      <c r="C394" t="s">
        <v>557</v>
      </c>
      <c r="D394" t="s">
        <v>2705</v>
      </c>
      <c r="E394" t="s">
        <v>2997</v>
      </c>
      <c r="F394" s="451">
        <v>46153</v>
      </c>
      <c r="G394" s="451">
        <v>46156</v>
      </c>
      <c r="H394" s="451">
        <v>46167</v>
      </c>
      <c r="I394">
        <v>692</v>
      </c>
      <c r="J394">
        <v>692</v>
      </c>
      <c r="K394">
        <v>0</v>
      </c>
      <c r="L394">
        <v>0</v>
      </c>
      <c r="M394">
        <v>0</v>
      </c>
      <c r="N394">
        <v>692</v>
      </c>
      <c r="O394">
        <v>0</v>
      </c>
      <c r="P394">
        <v>0</v>
      </c>
      <c r="Q394" t="s">
        <v>463</v>
      </c>
    </row>
    <row r="395" spans="1:17" x14ac:dyDescent="0.3">
      <c r="A395">
        <v>232110</v>
      </c>
      <c r="B395">
        <v>105</v>
      </c>
      <c r="C395" t="s">
        <v>557</v>
      </c>
      <c r="D395" t="s">
        <v>2682</v>
      </c>
      <c r="E395" t="s">
        <v>2998</v>
      </c>
      <c r="F395" s="451">
        <v>46148</v>
      </c>
      <c r="G395" s="451">
        <v>46149</v>
      </c>
      <c r="H395" s="451">
        <v>46162</v>
      </c>
      <c r="I395">
        <v>581.63</v>
      </c>
      <c r="J395">
        <v>581.66</v>
      </c>
      <c r="K395">
        <v>581.63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463</v>
      </c>
    </row>
    <row r="396" spans="1:17" x14ac:dyDescent="0.3">
      <c r="A396">
        <v>231169</v>
      </c>
      <c r="B396">
        <v>105</v>
      </c>
      <c r="C396" t="s">
        <v>557</v>
      </c>
      <c r="D396" t="s">
        <v>2548</v>
      </c>
      <c r="E396" t="s">
        <v>2999</v>
      </c>
      <c r="F396" s="451">
        <v>46147</v>
      </c>
      <c r="G396" s="451">
        <v>46149</v>
      </c>
      <c r="H396" s="451">
        <v>46181</v>
      </c>
      <c r="I396">
        <v>210.7</v>
      </c>
      <c r="J396">
        <v>109.9</v>
      </c>
      <c r="K396">
        <v>210.7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463</v>
      </c>
    </row>
    <row r="397" spans="1:17" x14ac:dyDescent="0.3">
      <c r="A397">
        <v>231163</v>
      </c>
      <c r="B397">
        <v>105</v>
      </c>
      <c r="C397" t="s">
        <v>557</v>
      </c>
      <c r="D397" t="s">
        <v>2554</v>
      </c>
      <c r="E397" t="s">
        <v>3000</v>
      </c>
      <c r="F397" s="451">
        <v>46149</v>
      </c>
      <c r="G397" s="451">
        <v>46150</v>
      </c>
      <c r="H397" s="451">
        <v>46163</v>
      </c>
      <c r="I397">
        <v>2185.9</v>
      </c>
      <c r="J397">
        <v>1609.21</v>
      </c>
      <c r="K397">
        <v>0</v>
      </c>
      <c r="L397">
        <v>0</v>
      </c>
      <c r="M397">
        <v>1521.25</v>
      </c>
      <c r="N397">
        <v>28.53</v>
      </c>
      <c r="O397">
        <v>230.24</v>
      </c>
      <c r="P397">
        <v>405.88</v>
      </c>
      <c r="Q397" t="s">
        <v>463</v>
      </c>
    </row>
    <row r="398" spans="1:17" x14ac:dyDescent="0.3">
      <c r="A398">
        <v>231158</v>
      </c>
      <c r="B398">
        <v>105</v>
      </c>
      <c r="C398" t="s">
        <v>557</v>
      </c>
      <c r="D398" t="s">
        <v>2991</v>
      </c>
      <c r="E398" t="s">
        <v>3001</v>
      </c>
      <c r="F398" s="451">
        <v>46147</v>
      </c>
      <c r="G398" s="451">
        <v>46149</v>
      </c>
      <c r="H398" s="451">
        <v>46161</v>
      </c>
      <c r="I398">
        <v>427.9</v>
      </c>
      <c r="J398">
        <v>427.9</v>
      </c>
      <c r="K398">
        <v>0</v>
      </c>
      <c r="L398">
        <v>427.9</v>
      </c>
      <c r="M398">
        <v>0</v>
      </c>
      <c r="N398">
        <v>0</v>
      </c>
      <c r="O398">
        <v>0</v>
      </c>
      <c r="P398">
        <v>0</v>
      </c>
      <c r="Q398" t="s">
        <v>463</v>
      </c>
    </row>
    <row r="399" spans="1:17" x14ac:dyDescent="0.3">
      <c r="A399">
        <v>231155</v>
      </c>
      <c r="B399">
        <v>105</v>
      </c>
      <c r="C399" t="s">
        <v>557</v>
      </c>
      <c r="D399" t="s">
        <v>2729</v>
      </c>
      <c r="E399" t="s">
        <v>3002</v>
      </c>
      <c r="F399" s="451">
        <v>46147</v>
      </c>
      <c r="G399" s="451">
        <v>46149</v>
      </c>
      <c r="H399" s="451">
        <v>46161</v>
      </c>
      <c r="I399">
        <v>610.94000000000005</v>
      </c>
      <c r="J399">
        <v>610.94000000000005</v>
      </c>
      <c r="K399">
        <v>610.94000000000005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463</v>
      </c>
    </row>
    <row r="400" spans="1:17" x14ac:dyDescent="0.3">
      <c r="A400">
        <v>231153</v>
      </c>
      <c r="B400">
        <v>105</v>
      </c>
      <c r="C400" t="s">
        <v>557</v>
      </c>
      <c r="D400" t="s">
        <v>2603</v>
      </c>
      <c r="E400" t="s">
        <v>3003</v>
      </c>
      <c r="F400" s="451">
        <v>46147</v>
      </c>
      <c r="G400" s="451">
        <v>46150</v>
      </c>
      <c r="H400" s="451">
        <v>46162</v>
      </c>
      <c r="I400">
        <v>1810.31</v>
      </c>
      <c r="J400">
        <v>1612.82</v>
      </c>
      <c r="K400">
        <v>1810.31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463</v>
      </c>
    </row>
    <row r="401" spans="1:17" x14ac:dyDescent="0.3">
      <c r="A401">
        <v>231150</v>
      </c>
      <c r="B401">
        <v>105</v>
      </c>
      <c r="C401" t="s">
        <v>557</v>
      </c>
      <c r="D401" t="s">
        <v>2552</v>
      </c>
      <c r="E401" t="s">
        <v>3004</v>
      </c>
      <c r="F401" s="451">
        <v>46148</v>
      </c>
      <c r="G401" s="451">
        <v>46149</v>
      </c>
      <c r="H401" s="451">
        <v>46162</v>
      </c>
      <c r="I401">
        <v>222.5</v>
      </c>
      <c r="J401">
        <v>197.5</v>
      </c>
      <c r="K401">
        <v>222.5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463</v>
      </c>
    </row>
    <row r="402" spans="1:17" x14ac:dyDescent="0.3">
      <c r="A402">
        <v>231149</v>
      </c>
      <c r="B402">
        <v>105</v>
      </c>
      <c r="C402" t="s">
        <v>557</v>
      </c>
      <c r="D402" t="s">
        <v>2565</v>
      </c>
      <c r="E402" t="s">
        <v>3005</v>
      </c>
      <c r="F402" s="451">
        <v>46148</v>
      </c>
      <c r="G402" s="451">
        <v>46149</v>
      </c>
      <c r="H402" s="451">
        <v>46162</v>
      </c>
      <c r="I402">
        <v>88.08</v>
      </c>
      <c r="J402">
        <v>88.08</v>
      </c>
      <c r="K402">
        <v>0</v>
      </c>
      <c r="L402">
        <v>88.08</v>
      </c>
      <c r="M402">
        <v>0</v>
      </c>
      <c r="N402">
        <v>0</v>
      </c>
      <c r="O402">
        <v>0</v>
      </c>
      <c r="P402">
        <v>0</v>
      </c>
      <c r="Q402" t="s">
        <v>463</v>
      </c>
    </row>
    <row r="403" spans="1:17" x14ac:dyDescent="0.3">
      <c r="A403">
        <v>231097</v>
      </c>
      <c r="B403">
        <v>105</v>
      </c>
      <c r="C403" t="s">
        <v>557</v>
      </c>
      <c r="D403" t="s">
        <v>2571</v>
      </c>
      <c r="E403" t="s">
        <v>3006</v>
      </c>
      <c r="F403" s="451">
        <v>46142</v>
      </c>
      <c r="G403" s="451">
        <v>46135</v>
      </c>
      <c r="H403" s="451">
        <v>46163</v>
      </c>
      <c r="I403">
        <v>1403.25</v>
      </c>
      <c r="J403">
        <v>1401.25</v>
      </c>
      <c r="K403">
        <v>1403.25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462</v>
      </c>
    </row>
    <row r="404" spans="1:17" x14ac:dyDescent="0.3">
      <c r="A404">
        <v>231096</v>
      </c>
      <c r="B404">
        <v>105</v>
      </c>
      <c r="C404" t="s">
        <v>557</v>
      </c>
      <c r="D404" t="s">
        <v>2579</v>
      </c>
      <c r="E404" t="s">
        <v>3007</v>
      </c>
      <c r="F404" s="451">
        <v>46142</v>
      </c>
      <c r="G404" s="451">
        <v>46135</v>
      </c>
      <c r="H404" s="451">
        <v>46162</v>
      </c>
      <c r="I404">
        <v>104.13</v>
      </c>
      <c r="J404">
        <v>104.13</v>
      </c>
      <c r="K404">
        <v>104.13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462</v>
      </c>
    </row>
    <row r="405" spans="1:17" x14ac:dyDescent="0.3">
      <c r="A405">
        <v>231095</v>
      </c>
      <c r="B405">
        <v>105</v>
      </c>
      <c r="C405" t="s">
        <v>557</v>
      </c>
      <c r="D405" t="s">
        <v>2579</v>
      </c>
      <c r="E405" t="s">
        <v>3008</v>
      </c>
      <c r="F405" s="451">
        <v>46142</v>
      </c>
      <c r="G405" s="451">
        <v>46134</v>
      </c>
      <c r="H405" s="451">
        <v>46160</v>
      </c>
      <c r="I405">
        <v>92.6</v>
      </c>
      <c r="J405">
        <v>92.6</v>
      </c>
      <c r="K405">
        <v>92.6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462</v>
      </c>
    </row>
    <row r="406" spans="1:17" x14ac:dyDescent="0.3">
      <c r="A406">
        <v>231094</v>
      </c>
      <c r="B406">
        <v>105</v>
      </c>
      <c r="C406" t="s">
        <v>557</v>
      </c>
      <c r="D406" t="s">
        <v>2581</v>
      </c>
      <c r="E406" t="s">
        <v>3009</v>
      </c>
      <c r="F406" s="451">
        <v>46142</v>
      </c>
      <c r="G406" s="451">
        <v>46134</v>
      </c>
      <c r="H406" s="451">
        <v>46161</v>
      </c>
      <c r="I406">
        <v>289.45</v>
      </c>
      <c r="J406">
        <v>289.45</v>
      </c>
      <c r="K406">
        <v>289.45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462</v>
      </c>
    </row>
    <row r="407" spans="1:17" x14ac:dyDescent="0.3">
      <c r="A407">
        <v>231093</v>
      </c>
      <c r="B407">
        <v>105</v>
      </c>
      <c r="C407" t="s">
        <v>557</v>
      </c>
      <c r="D407" t="s">
        <v>2637</v>
      </c>
      <c r="E407" t="s">
        <v>3010</v>
      </c>
      <c r="F407" s="451">
        <v>46142</v>
      </c>
      <c r="G407" s="451">
        <v>46134</v>
      </c>
      <c r="H407" s="451">
        <v>46161</v>
      </c>
      <c r="I407">
        <v>394.8</v>
      </c>
      <c r="J407">
        <v>394.8</v>
      </c>
      <c r="K407">
        <v>0</v>
      </c>
      <c r="L407">
        <v>394.8</v>
      </c>
      <c r="M407">
        <v>0</v>
      </c>
      <c r="N407">
        <v>0</v>
      </c>
      <c r="O407">
        <v>0</v>
      </c>
      <c r="P407">
        <v>0</v>
      </c>
      <c r="Q407" t="s">
        <v>462</v>
      </c>
    </row>
    <row r="408" spans="1:17" x14ac:dyDescent="0.3">
      <c r="A408">
        <v>231092</v>
      </c>
      <c r="B408">
        <v>105</v>
      </c>
      <c r="C408" t="s">
        <v>557</v>
      </c>
      <c r="D408" t="s">
        <v>2707</v>
      </c>
      <c r="E408" t="s">
        <v>3011</v>
      </c>
      <c r="F408" s="451">
        <v>46142</v>
      </c>
      <c r="G408" s="451">
        <v>46134</v>
      </c>
      <c r="H408" s="451">
        <v>46160</v>
      </c>
      <c r="I408">
        <v>274.06</v>
      </c>
      <c r="J408">
        <v>254.66</v>
      </c>
      <c r="K408">
        <v>274.06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462</v>
      </c>
    </row>
    <row r="409" spans="1:17" x14ac:dyDescent="0.3">
      <c r="A409">
        <v>231091</v>
      </c>
      <c r="B409">
        <v>105</v>
      </c>
      <c r="C409" t="s">
        <v>557</v>
      </c>
      <c r="D409" t="s">
        <v>2585</v>
      </c>
      <c r="E409" t="s">
        <v>3012</v>
      </c>
      <c r="F409" s="451">
        <v>46142</v>
      </c>
      <c r="G409" s="451">
        <v>46134</v>
      </c>
      <c r="H409" s="451">
        <v>46162</v>
      </c>
      <c r="I409">
        <v>3019.91</v>
      </c>
      <c r="J409">
        <v>3019.91</v>
      </c>
      <c r="K409">
        <v>3019.91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462</v>
      </c>
    </row>
    <row r="410" spans="1:17" x14ac:dyDescent="0.3">
      <c r="A410">
        <v>231090</v>
      </c>
      <c r="B410">
        <v>105</v>
      </c>
      <c r="C410" t="s">
        <v>557</v>
      </c>
      <c r="D410" t="s">
        <v>2607</v>
      </c>
      <c r="E410" t="s">
        <v>3013</v>
      </c>
      <c r="F410" s="451">
        <v>46142</v>
      </c>
      <c r="G410" s="451">
        <v>46134</v>
      </c>
      <c r="H410" s="451">
        <v>46160</v>
      </c>
      <c r="I410">
        <v>2371.86</v>
      </c>
      <c r="J410">
        <v>2371.86</v>
      </c>
      <c r="K410">
        <v>2371.86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462</v>
      </c>
    </row>
    <row r="411" spans="1:17" x14ac:dyDescent="0.3">
      <c r="A411">
        <v>231089</v>
      </c>
      <c r="B411">
        <v>105</v>
      </c>
      <c r="C411" t="s">
        <v>557</v>
      </c>
      <c r="D411" t="s">
        <v>2590</v>
      </c>
      <c r="E411" t="s">
        <v>3014</v>
      </c>
      <c r="F411" s="451">
        <v>46142</v>
      </c>
      <c r="G411" s="451">
        <v>46142</v>
      </c>
      <c r="H411" s="451">
        <v>46171</v>
      </c>
      <c r="I411">
        <v>2180.66</v>
      </c>
      <c r="J411">
        <v>1667.32</v>
      </c>
      <c r="K411">
        <v>0</v>
      </c>
      <c r="L411">
        <v>2180.66</v>
      </c>
      <c r="M411">
        <v>0</v>
      </c>
      <c r="N411">
        <v>0</v>
      </c>
      <c r="O411">
        <v>0</v>
      </c>
      <c r="P411">
        <v>0</v>
      </c>
      <c r="Q411" t="s">
        <v>462</v>
      </c>
    </row>
    <row r="412" spans="1:17" x14ac:dyDescent="0.3">
      <c r="A412">
        <v>231088</v>
      </c>
      <c r="B412">
        <v>105</v>
      </c>
      <c r="C412" t="s">
        <v>557</v>
      </c>
      <c r="D412" t="s">
        <v>2590</v>
      </c>
      <c r="E412" t="s">
        <v>3015</v>
      </c>
      <c r="F412" s="451">
        <v>46142</v>
      </c>
      <c r="G412" s="451">
        <v>46135</v>
      </c>
      <c r="H412" s="451">
        <v>46164</v>
      </c>
      <c r="I412">
        <v>3348.73</v>
      </c>
      <c r="J412">
        <v>2684.12</v>
      </c>
      <c r="K412">
        <v>0</v>
      </c>
      <c r="L412">
        <v>3348.73</v>
      </c>
      <c r="M412">
        <v>0</v>
      </c>
      <c r="N412">
        <v>0</v>
      </c>
      <c r="O412">
        <v>0</v>
      </c>
      <c r="P412">
        <v>0</v>
      </c>
      <c r="Q412" t="s">
        <v>462</v>
      </c>
    </row>
    <row r="413" spans="1:17" x14ac:dyDescent="0.3">
      <c r="A413">
        <v>231087</v>
      </c>
      <c r="B413">
        <v>105</v>
      </c>
      <c r="C413" t="s">
        <v>557</v>
      </c>
      <c r="D413" t="s">
        <v>2605</v>
      </c>
      <c r="E413" t="s">
        <v>3016</v>
      </c>
      <c r="F413" s="451">
        <v>46142</v>
      </c>
      <c r="G413" s="451">
        <v>46135</v>
      </c>
      <c r="H413" s="451">
        <v>46164</v>
      </c>
      <c r="I413">
        <v>1413.66</v>
      </c>
      <c r="J413">
        <v>1413.66</v>
      </c>
      <c r="K413">
        <v>1413.66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462</v>
      </c>
    </row>
    <row r="414" spans="1:17" x14ac:dyDescent="0.3">
      <c r="A414">
        <v>231086</v>
      </c>
      <c r="B414">
        <v>105</v>
      </c>
      <c r="C414" t="s">
        <v>557</v>
      </c>
      <c r="D414" t="s">
        <v>2605</v>
      </c>
      <c r="E414" t="s">
        <v>3017</v>
      </c>
      <c r="F414" s="451">
        <v>46142</v>
      </c>
      <c r="G414" s="451">
        <v>46135</v>
      </c>
      <c r="H414" s="451">
        <v>46161</v>
      </c>
      <c r="I414">
        <v>113.6</v>
      </c>
      <c r="J414">
        <v>113.6</v>
      </c>
      <c r="K414">
        <v>0</v>
      </c>
      <c r="L414">
        <v>113.6</v>
      </c>
      <c r="M414">
        <v>0</v>
      </c>
      <c r="N414">
        <v>0</v>
      </c>
      <c r="O414">
        <v>0</v>
      </c>
      <c r="P414">
        <v>0</v>
      </c>
      <c r="Q414" t="s">
        <v>462</v>
      </c>
    </row>
    <row r="415" spans="1:17" x14ac:dyDescent="0.3">
      <c r="A415">
        <v>231085</v>
      </c>
      <c r="B415">
        <v>105</v>
      </c>
      <c r="C415" t="s">
        <v>557</v>
      </c>
      <c r="D415" t="s">
        <v>2613</v>
      </c>
      <c r="E415" t="s">
        <v>3018</v>
      </c>
      <c r="F415" s="451">
        <v>46142</v>
      </c>
      <c r="G415" s="451">
        <v>46134</v>
      </c>
      <c r="H415" s="451">
        <v>46160</v>
      </c>
      <c r="I415">
        <v>288.60000000000002</v>
      </c>
      <c r="J415">
        <v>288.60000000000002</v>
      </c>
      <c r="K415">
        <v>288.60000000000002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462</v>
      </c>
    </row>
    <row r="416" spans="1:17" x14ac:dyDescent="0.3">
      <c r="A416">
        <v>231083</v>
      </c>
      <c r="B416">
        <v>105</v>
      </c>
      <c r="C416" t="s">
        <v>557</v>
      </c>
      <c r="D416" t="s">
        <v>2600</v>
      </c>
      <c r="E416" t="s">
        <v>3019</v>
      </c>
      <c r="F416" s="451">
        <v>46142</v>
      </c>
      <c r="G416" s="451">
        <v>46142</v>
      </c>
      <c r="H416" s="451">
        <v>46162</v>
      </c>
      <c r="I416">
        <v>135.93</v>
      </c>
      <c r="J416">
        <v>113.94</v>
      </c>
      <c r="K416">
        <v>135.93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462</v>
      </c>
    </row>
    <row r="417" spans="1:17" x14ac:dyDescent="0.3">
      <c r="A417">
        <v>231081</v>
      </c>
      <c r="B417">
        <v>105</v>
      </c>
      <c r="C417" t="s">
        <v>557</v>
      </c>
      <c r="D417" t="s">
        <v>2563</v>
      </c>
      <c r="E417" t="s">
        <v>3020</v>
      </c>
      <c r="F417" s="451">
        <v>46142</v>
      </c>
      <c r="G417" s="451">
        <v>46142</v>
      </c>
      <c r="H417" s="451">
        <v>46160</v>
      </c>
      <c r="I417">
        <v>146.27000000000001</v>
      </c>
      <c r="J417">
        <v>146.27000000000001</v>
      </c>
      <c r="K417">
        <v>146.27000000000001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462</v>
      </c>
    </row>
    <row r="418" spans="1:17" x14ac:dyDescent="0.3">
      <c r="A418">
        <v>231080</v>
      </c>
      <c r="B418">
        <v>105</v>
      </c>
      <c r="C418" t="s">
        <v>557</v>
      </c>
      <c r="D418" t="s">
        <v>2563</v>
      </c>
      <c r="E418" t="s">
        <v>3021</v>
      </c>
      <c r="F418" s="451">
        <v>46142</v>
      </c>
      <c r="G418" s="451">
        <v>46134</v>
      </c>
      <c r="H418" s="451">
        <v>46161</v>
      </c>
      <c r="I418">
        <v>423.73</v>
      </c>
      <c r="J418">
        <v>423.72</v>
      </c>
      <c r="K418">
        <v>423.73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462</v>
      </c>
    </row>
    <row r="419" spans="1:17" x14ac:dyDescent="0.3">
      <c r="A419">
        <v>231079</v>
      </c>
      <c r="B419">
        <v>105</v>
      </c>
      <c r="C419" t="s">
        <v>557</v>
      </c>
      <c r="D419" t="s">
        <v>2563</v>
      </c>
      <c r="E419" t="s">
        <v>3022</v>
      </c>
      <c r="F419" s="451">
        <v>46142</v>
      </c>
      <c r="G419" s="451">
        <v>46135</v>
      </c>
      <c r="H419" s="451">
        <v>46162</v>
      </c>
      <c r="I419">
        <v>276.37</v>
      </c>
      <c r="J419">
        <v>276.36</v>
      </c>
      <c r="K419">
        <v>276.37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462</v>
      </c>
    </row>
    <row r="420" spans="1:17" x14ac:dyDescent="0.3">
      <c r="A420">
        <v>231078</v>
      </c>
      <c r="B420">
        <v>105</v>
      </c>
      <c r="C420" t="s">
        <v>557</v>
      </c>
      <c r="D420" t="s">
        <v>3023</v>
      </c>
      <c r="E420" t="s">
        <v>3024</v>
      </c>
      <c r="F420" s="451">
        <v>46142</v>
      </c>
      <c r="G420" s="451">
        <v>46142</v>
      </c>
      <c r="H420" s="451">
        <v>46160</v>
      </c>
      <c r="I420">
        <v>169.81</v>
      </c>
      <c r="J420">
        <v>139.19999999999999</v>
      </c>
      <c r="K420">
        <v>169.81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462</v>
      </c>
    </row>
    <row r="421" spans="1:17" x14ac:dyDescent="0.3">
      <c r="A421">
        <v>231077</v>
      </c>
      <c r="B421">
        <v>105</v>
      </c>
      <c r="C421" t="s">
        <v>557</v>
      </c>
      <c r="D421" t="s">
        <v>2991</v>
      </c>
      <c r="E421" t="s">
        <v>3025</v>
      </c>
      <c r="F421" s="451">
        <v>46142</v>
      </c>
      <c r="G421" s="451">
        <v>46134</v>
      </c>
      <c r="H421" s="451">
        <v>46160</v>
      </c>
      <c r="I421">
        <v>510.75</v>
      </c>
      <c r="J421">
        <v>510.75</v>
      </c>
      <c r="K421">
        <v>0</v>
      </c>
      <c r="L421">
        <v>510.75</v>
      </c>
      <c r="M421">
        <v>0</v>
      </c>
      <c r="N421">
        <v>0</v>
      </c>
      <c r="O421">
        <v>0</v>
      </c>
      <c r="P421">
        <v>0</v>
      </c>
      <c r="Q421" t="s">
        <v>462</v>
      </c>
    </row>
    <row r="422" spans="1:17" x14ac:dyDescent="0.3">
      <c r="A422">
        <v>231073</v>
      </c>
      <c r="B422">
        <v>105</v>
      </c>
      <c r="C422" t="s">
        <v>557</v>
      </c>
      <c r="D422" t="s">
        <v>2552</v>
      </c>
      <c r="E422" t="s">
        <v>3026</v>
      </c>
      <c r="F422" s="451">
        <v>46142</v>
      </c>
      <c r="G422" s="451">
        <v>46142</v>
      </c>
      <c r="H422" s="451">
        <v>46162</v>
      </c>
      <c r="I422">
        <v>222.5</v>
      </c>
      <c r="J422">
        <v>158</v>
      </c>
      <c r="K422">
        <v>222.5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462</v>
      </c>
    </row>
    <row r="423" spans="1:17" x14ac:dyDescent="0.3">
      <c r="A423">
        <v>231069</v>
      </c>
      <c r="B423">
        <v>105</v>
      </c>
      <c r="C423" t="s">
        <v>557</v>
      </c>
      <c r="D423" t="s">
        <v>2597</v>
      </c>
      <c r="E423" t="s">
        <v>3027</v>
      </c>
      <c r="F423" s="451">
        <v>46142</v>
      </c>
      <c r="G423" s="451">
        <v>46134</v>
      </c>
      <c r="H423" s="451">
        <v>46160</v>
      </c>
      <c r="I423">
        <v>4358.84</v>
      </c>
      <c r="J423">
        <v>4358.84</v>
      </c>
      <c r="K423">
        <v>4358.84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462</v>
      </c>
    </row>
    <row r="424" spans="1:17" x14ac:dyDescent="0.3">
      <c r="A424">
        <v>231068</v>
      </c>
      <c r="B424">
        <v>105</v>
      </c>
      <c r="C424" t="s">
        <v>557</v>
      </c>
      <c r="D424" t="s">
        <v>2550</v>
      </c>
      <c r="E424" t="s">
        <v>3028</v>
      </c>
      <c r="F424" s="451">
        <v>46142</v>
      </c>
      <c r="G424" s="451">
        <v>46135</v>
      </c>
      <c r="H424" s="451">
        <v>46162</v>
      </c>
      <c r="I424">
        <v>707.48</v>
      </c>
      <c r="J424">
        <v>664.3</v>
      </c>
      <c r="K424">
        <v>0</v>
      </c>
      <c r="L424">
        <v>707.48</v>
      </c>
      <c r="M424">
        <v>0</v>
      </c>
      <c r="N424">
        <v>0</v>
      </c>
      <c r="O424">
        <v>0</v>
      </c>
      <c r="P424">
        <v>0</v>
      </c>
      <c r="Q424" t="s">
        <v>462</v>
      </c>
    </row>
    <row r="425" spans="1:17" x14ac:dyDescent="0.3">
      <c r="A425">
        <v>230700</v>
      </c>
      <c r="B425">
        <v>105</v>
      </c>
      <c r="C425" t="s">
        <v>557</v>
      </c>
      <c r="D425" t="s">
        <v>2615</v>
      </c>
      <c r="E425" t="s">
        <v>3029</v>
      </c>
      <c r="F425" s="451">
        <v>46146</v>
      </c>
      <c r="G425" s="451">
        <v>46147</v>
      </c>
      <c r="H425" s="451">
        <v>46161</v>
      </c>
      <c r="I425">
        <v>123.9</v>
      </c>
      <c r="J425">
        <v>123.9</v>
      </c>
      <c r="K425">
        <v>123.9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463</v>
      </c>
    </row>
    <row r="426" spans="1:17" x14ac:dyDescent="0.3">
      <c r="A426">
        <v>230698</v>
      </c>
      <c r="B426">
        <v>105</v>
      </c>
      <c r="C426" t="s">
        <v>557</v>
      </c>
      <c r="D426" t="s">
        <v>2705</v>
      </c>
      <c r="E426" t="s">
        <v>3030</v>
      </c>
      <c r="F426" s="451">
        <v>46147</v>
      </c>
      <c r="G426" s="451">
        <v>46147</v>
      </c>
      <c r="H426" s="451">
        <v>46161</v>
      </c>
      <c r="I426">
        <v>692</v>
      </c>
      <c r="J426">
        <v>692</v>
      </c>
      <c r="K426">
        <v>0</v>
      </c>
      <c r="L426">
        <v>0</v>
      </c>
      <c r="M426">
        <v>0</v>
      </c>
      <c r="N426">
        <v>692</v>
      </c>
      <c r="O426">
        <v>0</v>
      </c>
      <c r="P426">
        <v>0</v>
      </c>
      <c r="Q426" t="s">
        <v>463</v>
      </c>
    </row>
    <row r="427" spans="1:17" x14ac:dyDescent="0.3">
      <c r="A427">
        <v>230697</v>
      </c>
      <c r="B427">
        <v>105</v>
      </c>
      <c r="C427" t="s">
        <v>557</v>
      </c>
      <c r="D427" t="s">
        <v>2581</v>
      </c>
      <c r="E427" t="s">
        <v>3031</v>
      </c>
      <c r="F427" s="451">
        <v>46146</v>
      </c>
      <c r="G427" s="451">
        <v>46147</v>
      </c>
      <c r="H427" s="451">
        <v>46174</v>
      </c>
      <c r="I427">
        <v>271.7</v>
      </c>
      <c r="J427">
        <v>271.7</v>
      </c>
      <c r="K427">
        <v>271.7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463</v>
      </c>
    </row>
    <row r="428" spans="1:17" x14ac:dyDescent="0.3">
      <c r="A428">
        <v>230696</v>
      </c>
      <c r="B428">
        <v>105</v>
      </c>
      <c r="C428" t="s">
        <v>557</v>
      </c>
      <c r="D428" t="s">
        <v>2605</v>
      </c>
      <c r="E428" t="s">
        <v>3032</v>
      </c>
      <c r="F428" s="451">
        <v>46146</v>
      </c>
      <c r="G428" s="451">
        <v>46147</v>
      </c>
      <c r="H428" s="451">
        <v>46175</v>
      </c>
      <c r="I428">
        <v>345.74</v>
      </c>
      <c r="J428">
        <v>345.74</v>
      </c>
      <c r="K428">
        <v>345.74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463</v>
      </c>
    </row>
    <row r="429" spans="1:17" x14ac:dyDescent="0.3">
      <c r="A429">
        <v>230695</v>
      </c>
      <c r="B429">
        <v>105</v>
      </c>
      <c r="C429" t="s">
        <v>557</v>
      </c>
      <c r="D429" t="s">
        <v>2579</v>
      </c>
      <c r="E429" t="s">
        <v>3033</v>
      </c>
      <c r="F429" s="451">
        <v>46146</v>
      </c>
      <c r="G429" s="451">
        <v>46147</v>
      </c>
      <c r="H429" s="451">
        <v>46174</v>
      </c>
      <c r="I429">
        <v>238.1</v>
      </c>
      <c r="J429">
        <v>238.1</v>
      </c>
      <c r="K429">
        <v>238.1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463</v>
      </c>
    </row>
    <row r="430" spans="1:17" x14ac:dyDescent="0.3">
      <c r="A430">
        <v>230693</v>
      </c>
      <c r="B430">
        <v>105</v>
      </c>
      <c r="C430" t="s">
        <v>557</v>
      </c>
      <c r="D430" t="s">
        <v>2600</v>
      </c>
      <c r="E430" t="s">
        <v>3034</v>
      </c>
      <c r="F430" s="451">
        <v>46147</v>
      </c>
      <c r="G430" s="451">
        <v>46147</v>
      </c>
      <c r="H430" s="451">
        <v>46176</v>
      </c>
      <c r="I430">
        <v>213.89</v>
      </c>
      <c r="J430">
        <v>213.89</v>
      </c>
      <c r="K430">
        <v>213.89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463</v>
      </c>
    </row>
    <row r="431" spans="1:17" x14ac:dyDescent="0.3">
      <c r="A431">
        <v>230691</v>
      </c>
      <c r="B431">
        <v>105</v>
      </c>
      <c r="C431" t="s">
        <v>557</v>
      </c>
      <c r="D431" t="s">
        <v>2563</v>
      </c>
      <c r="E431" t="s">
        <v>3035</v>
      </c>
      <c r="F431" s="451">
        <v>46146</v>
      </c>
      <c r="G431" s="451">
        <v>46147</v>
      </c>
      <c r="H431" s="451">
        <v>46174</v>
      </c>
      <c r="I431">
        <v>661.42</v>
      </c>
      <c r="J431">
        <v>661.42</v>
      </c>
      <c r="K431">
        <v>661.42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463</v>
      </c>
    </row>
    <row r="432" spans="1:17" x14ac:dyDescent="0.3">
      <c r="A432">
        <v>230690</v>
      </c>
      <c r="B432">
        <v>105</v>
      </c>
      <c r="C432" t="s">
        <v>557</v>
      </c>
      <c r="D432" t="s">
        <v>2653</v>
      </c>
      <c r="E432" t="s">
        <v>3036</v>
      </c>
      <c r="F432" s="451">
        <v>46146</v>
      </c>
      <c r="G432" s="451">
        <v>46146</v>
      </c>
      <c r="H432" s="451">
        <v>46160</v>
      </c>
      <c r="I432">
        <v>207.66</v>
      </c>
      <c r="J432">
        <v>177.66</v>
      </c>
      <c r="K432">
        <v>207.66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463</v>
      </c>
    </row>
    <row r="433" spans="1:17" x14ac:dyDescent="0.3">
      <c r="A433">
        <v>230689</v>
      </c>
      <c r="B433">
        <v>105</v>
      </c>
      <c r="C433" t="s">
        <v>557</v>
      </c>
      <c r="D433" t="s">
        <v>2597</v>
      </c>
      <c r="E433" t="s">
        <v>3037</v>
      </c>
      <c r="F433" s="451">
        <v>46147</v>
      </c>
      <c r="G433" s="451">
        <v>46147</v>
      </c>
      <c r="H433" s="451">
        <v>46175</v>
      </c>
      <c r="I433">
        <v>5144.38</v>
      </c>
      <c r="J433">
        <v>5144.38</v>
      </c>
      <c r="K433">
        <v>5144.38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463</v>
      </c>
    </row>
    <row r="434" spans="1:17" x14ac:dyDescent="0.3">
      <c r="A434">
        <v>230687</v>
      </c>
      <c r="B434">
        <v>105</v>
      </c>
      <c r="C434" t="s">
        <v>557</v>
      </c>
      <c r="D434" t="s">
        <v>2550</v>
      </c>
      <c r="E434" t="s">
        <v>3038</v>
      </c>
      <c r="F434" s="451">
        <v>46146</v>
      </c>
      <c r="G434" s="451">
        <v>46147</v>
      </c>
      <c r="H434" s="451">
        <v>46176</v>
      </c>
      <c r="I434">
        <v>1405.97</v>
      </c>
      <c r="J434">
        <v>1320.15</v>
      </c>
      <c r="K434">
        <v>0</v>
      </c>
      <c r="L434">
        <v>1405.97</v>
      </c>
      <c r="M434">
        <v>0</v>
      </c>
      <c r="N434">
        <v>0</v>
      </c>
      <c r="O434">
        <v>0</v>
      </c>
      <c r="P434">
        <v>0</v>
      </c>
      <c r="Q434" t="s">
        <v>463</v>
      </c>
    </row>
    <row r="435" spans="1:17" x14ac:dyDescent="0.3">
      <c r="A435">
        <v>230191</v>
      </c>
      <c r="B435">
        <v>105</v>
      </c>
      <c r="C435" t="s">
        <v>557</v>
      </c>
      <c r="D435" t="s">
        <v>2603</v>
      </c>
      <c r="E435" t="s">
        <v>3039</v>
      </c>
      <c r="F435" s="451">
        <v>46143</v>
      </c>
      <c r="G435" s="451">
        <v>46149</v>
      </c>
      <c r="H435" s="451">
        <v>46154</v>
      </c>
      <c r="I435">
        <v>1689.09</v>
      </c>
      <c r="J435">
        <v>1689.09</v>
      </c>
      <c r="K435">
        <v>1689.09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463</v>
      </c>
    </row>
    <row r="436" spans="1:17" x14ac:dyDescent="0.3">
      <c r="A436">
        <v>229930</v>
      </c>
      <c r="B436">
        <v>105</v>
      </c>
      <c r="C436" t="s">
        <v>557</v>
      </c>
      <c r="D436" t="s">
        <v>2565</v>
      </c>
      <c r="E436" t="s">
        <v>3040</v>
      </c>
      <c r="F436" s="451">
        <v>46142</v>
      </c>
      <c r="G436" s="451">
        <v>46142</v>
      </c>
      <c r="H436" s="451">
        <v>46154</v>
      </c>
      <c r="I436">
        <v>84.8</v>
      </c>
      <c r="J436">
        <v>84.8</v>
      </c>
      <c r="K436">
        <v>0</v>
      </c>
      <c r="L436">
        <v>84.8</v>
      </c>
      <c r="M436">
        <v>0</v>
      </c>
      <c r="N436">
        <v>0</v>
      </c>
      <c r="O436">
        <v>0</v>
      </c>
      <c r="P436">
        <v>0</v>
      </c>
      <c r="Q436" t="s">
        <v>462</v>
      </c>
    </row>
    <row r="437" spans="1:17" x14ac:dyDescent="0.3">
      <c r="A437">
        <v>229928</v>
      </c>
      <c r="B437">
        <v>105</v>
      </c>
      <c r="C437" t="s">
        <v>557</v>
      </c>
      <c r="D437" t="s">
        <v>2593</v>
      </c>
      <c r="E437" t="s">
        <v>3041</v>
      </c>
      <c r="F437" s="451">
        <v>46142</v>
      </c>
      <c r="G437" s="451">
        <v>46142</v>
      </c>
      <c r="H437" s="451">
        <v>46170</v>
      </c>
      <c r="I437">
        <v>375</v>
      </c>
      <c r="J437">
        <v>375</v>
      </c>
      <c r="K437">
        <v>375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462</v>
      </c>
    </row>
    <row r="438" spans="1:17" x14ac:dyDescent="0.3">
      <c r="A438">
        <v>229927</v>
      </c>
      <c r="B438">
        <v>105</v>
      </c>
      <c r="C438" t="s">
        <v>557</v>
      </c>
      <c r="D438" t="s">
        <v>836</v>
      </c>
      <c r="E438" t="s">
        <v>3042</v>
      </c>
      <c r="F438" s="451">
        <v>46143</v>
      </c>
      <c r="G438" s="451">
        <v>46147</v>
      </c>
      <c r="H438" s="451">
        <v>46167</v>
      </c>
      <c r="I438">
        <v>400</v>
      </c>
      <c r="J438">
        <v>400</v>
      </c>
      <c r="K438">
        <v>0</v>
      </c>
      <c r="L438">
        <v>0</v>
      </c>
      <c r="M438">
        <v>400</v>
      </c>
      <c r="N438">
        <v>0</v>
      </c>
      <c r="O438">
        <v>0</v>
      </c>
      <c r="P438">
        <v>0</v>
      </c>
      <c r="Q438" t="s">
        <v>463</v>
      </c>
    </row>
    <row r="439" spans="1:17" x14ac:dyDescent="0.3">
      <c r="A439">
        <v>229926</v>
      </c>
      <c r="B439">
        <v>105</v>
      </c>
      <c r="C439" t="s">
        <v>557</v>
      </c>
      <c r="D439" t="s">
        <v>2563</v>
      </c>
      <c r="E439" t="s">
        <v>3043</v>
      </c>
      <c r="F439" s="451">
        <v>46142</v>
      </c>
      <c r="G439" s="451">
        <v>46142</v>
      </c>
      <c r="H439" s="451">
        <v>46170</v>
      </c>
      <c r="I439">
        <v>811.43</v>
      </c>
      <c r="J439">
        <v>811.43</v>
      </c>
      <c r="K439">
        <v>811.43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462</v>
      </c>
    </row>
    <row r="440" spans="1:17" x14ac:dyDescent="0.3">
      <c r="A440">
        <v>229925</v>
      </c>
      <c r="B440">
        <v>105</v>
      </c>
      <c r="C440" t="s">
        <v>557</v>
      </c>
      <c r="D440" t="s">
        <v>3044</v>
      </c>
      <c r="E440" t="s">
        <v>3045</v>
      </c>
      <c r="F440" s="451">
        <v>46142</v>
      </c>
      <c r="G440" s="451">
        <v>46142</v>
      </c>
      <c r="H440" s="451">
        <v>46156</v>
      </c>
      <c r="I440">
        <v>450</v>
      </c>
      <c r="J440">
        <v>450</v>
      </c>
      <c r="K440">
        <v>450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462</v>
      </c>
    </row>
    <row r="441" spans="1:17" x14ac:dyDescent="0.3">
      <c r="A441">
        <v>229924</v>
      </c>
      <c r="B441">
        <v>105</v>
      </c>
      <c r="C441" t="s">
        <v>557</v>
      </c>
      <c r="D441" t="s">
        <v>2579</v>
      </c>
      <c r="E441" t="s">
        <v>3046</v>
      </c>
      <c r="F441" s="451">
        <v>46142</v>
      </c>
      <c r="G441" s="451">
        <v>46142</v>
      </c>
      <c r="H441" s="451">
        <v>46170</v>
      </c>
      <c r="I441">
        <v>461.93</v>
      </c>
      <c r="J441">
        <v>460.76</v>
      </c>
      <c r="K441">
        <v>461.93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462</v>
      </c>
    </row>
    <row r="442" spans="1:17" x14ac:dyDescent="0.3">
      <c r="A442">
        <v>229923</v>
      </c>
      <c r="B442">
        <v>105</v>
      </c>
      <c r="C442" t="s">
        <v>557</v>
      </c>
      <c r="D442" t="s">
        <v>2581</v>
      </c>
      <c r="E442" t="s">
        <v>3047</v>
      </c>
      <c r="F442" s="451">
        <v>46142</v>
      </c>
      <c r="G442" s="451">
        <v>46142</v>
      </c>
      <c r="H442" s="451">
        <v>46170</v>
      </c>
      <c r="I442">
        <v>946.25</v>
      </c>
      <c r="J442">
        <v>946.25</v>
      </c>
      <c r="K442">
        <v>946.25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462</v>
      </c>
    </row>
    <row r="443" spans="1:17" x14ac:dyDescent="0.3">
      <c r="A443">
        <v>229922</v>
      </c>
      <c r="B443">
        <v>105</v>
      </c>
      <c r="C443" t="s">
        <v>557</v>
      </c>
      <c r="D443" t="s">
        <v>2563</v>
      </c>
      <c r="E443" t="s">
        <v>3048</v>
      </c>
      <c r="F443" s="451">
        <v>46142</v>
      </c>
      <c r="G443" s="451">
        <v>46140</v>
      </c>
      <c r="H443" s="451">
        <v>46167</v>
      </c>
      <c r="I443">
        <v>491.59</v>
      </c>
      <c r="J443">
        <v>487.95</v>
      </c>
      <c r="K443">
        <v>491.59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462</v>
      </c>
    </row>
    <row r="444" spans="1:17" x14ac:dyDescent="0.3">
      <c r="A444">
        <v>229921</v>
      </c>
      <c r="B444">
        <v>105</v>
      </c>
      <c r="C444" t="s">
        <v>557</v>
      </c>
      <c r="D444" t="s">
        <v>2552</v>
      </c>
      <c r="E444" t="s">
        <v>3049</v>
      </c>
      <c r="F444" s="451">
        <v>46142</v>
      </c>
      <c r="G444" s="451">
        <v>46135</v>
      </c>
      <c r="H444" s="451">
        <v>46162</v>
      </c>
      <c r="I444">
        <v>183</v>
      </c>
      <c r="J444">
        <v>197.5</v>
      </c>
      <c r="K444">
        <v>183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462</v>
      </c>
    </row>
    <row r="445" spans="1:17" x14ac:dyDescent="0.3">
      <c r="A445">
        <v>229920</v>
      </c>
      <c r="B445">
        <v>105</v>
      </c>
      <c r="C445" t="s">
        <v>557</v>
      </c>
      <c r="D445" t="s">
        <v>2779</v>
      </c>
      <c r="E445" t="s">
        <v>3050</v>
      </c>
      <c r="F445" s="451">
        <v>46142</v>
      </c>
      <c r="G445" s="451">
        <v>46134</v>
      </c>
      <c r="H445" s="451">
        <v>46154</v>
      </c>
      <c r="I445">
        <v>1483.66</v>
      </c>
      <c r="J445">
        <v>1483.66</v>
      </c>
      <c r="K445">
        <v>1483.66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462</v>
      </c>
    </row>
    <row r="446" spans="1:17" x14ac:dyDescent="0.3">
      <c r="A446">
        <v>229919</v>
      </c>
      <c r="B446">
        <v>105</v>
      </c>
      <c r="C446" t="s">
        <v>557</v>
      </c>
      <c r="D446" t="s">
        <v>2705</v>
      </c>
      <c r="E446" t="s">
        <v>3051</v>
      </c>
      <c r="F446" s="451">
        <v>46143</v>
      </c>
      <c r="G446" s="451">
        <v>46134</v>
      </c>
      <c r="H446" s="451">
        <v>46153</v>
      </c>
      <c r="I446">
        <v>692</v>
      </c>
      <c r="J446">
        <v>692</v>
      </c>
      <c r="K446">
        <v>0</v>
      </c>
      <c r="L446">
        <v>0</v>
      </c>
      <c r="M446">
        <v>0</v>
      </c>
      <c r="N446">
        <v>692</v>
      </c>
      <c r="O446">
        <v>0</v>
      </c>
      <c r="P446">
        <v>0</v>
      </c>
      <c r="Q446" t="s">
        <v>462</v>
      </c>
    </row>
    <row r="447" spans="1:17" x14ac:dyDescent="0.3">
      <c r="A447">
        <v>229918</v>
      </c>
      <c r="B447">
        <v>105</v>
      </c>
      <c r="C447" t="s">
        <v>557</v>
      </c>
      <c r="D447" t="s">
        <v>2554</v>
      </c>
      <c r="E447" t="s">
        <v>3052</v>
      </c>
      <c r="F447" s="451">
        <v>46143</v>
      </c>
      <c r="G447" s="451">
        <v>46142</v>
      </c>
      <c r="H447" s="451">
        <v>46156</v>
      </c>
      <c r="I447">
        <v>473.83</v>
      </c>
      <c r="J447">
        <v>473.83</v>
      </c>
      <c r="K447">
        <v>0</v>
      </c>
      <c r="L447">
        <v>0</v>
      </c>
      <c r="M447">
        <v>442.33</v>
      </c>
      <c r="N447">
        <v>31.5</v>
      </c>
      <c r="O447">
        <v>0</v>
      </c>
      <c r="P447">
        <v>0</v>
      </c>
      <c r="Q447" t="s">
        <v>462</v>
      </c>
    </row>
    <row r="448" spans="1:17" x14ac:dyDescent="0.3">
      <c r="A448">
        <v>229917</v>
      </c>
      <c r="B448">
        <v>105</v>
      </c>
      <c r="C448" t="s">
        <v>557</v>
      </c>
      <c r="D448" t="s">
        <v>2557</v>
      </c>
      <c r="E448" t="s">
        <v>3053</v>
      </c>
      <c r="F448" s="451">
        <v>46143</v>
      </c>
      <c r="G448" s="451">
        <v>46142</v>
      </c>
      <c r="H448" s="451">
        <v>46170</v>
      </c>
      <c r="I448">
        <v>764.13</v>
      </c>
      <c r="J448">
        <v>764.13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764.13</v>
      </c>
      <c r="Q448" t="s">
        <v>462</v>
      </c>
    </row>
    <row r="449" spans="1:17" x14ac:dyDescent="0.3">
      <c r="A449">
        <v>229916</v>
      </c>
      <c r="B449">
        <v>105</v>
      </c>
      <c r="C449" t="s">
        <v>557</v>
      </c>
      <c r="D449" t="s">
        <v>2563</v>
      </c>
      <c r="E449" t="s">
        <v>3054</v>
      </c>
      <c r="F449" s="451">
        <v>46142</v>
      </c>
      <c r="G449" s="451">
        <v>46141</v>
      </c>
      <c r="H449" s="451">
        <v>46168</v>
      </c>
      <c r="I449">
        <v>155.43</v>
      </c>
      <c r="J449">
        <v>155.43</v>
      </c>
      <c r="K449">
        <v>155.43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462</v>
      </c>
    </row>
    <row r="450" spans="1:17" x14ac:dyDescent="0.3">
      <c r="A450">
        <v>229915</v>
      </c>
      <c r="B450">
        <v>105</v>
      </c>
      <c r="C450" t="s">
        <v>557</v>
      </c>
      <c r="D450" t="s">
        <v>2552</v>
      </c>
      <c r="E450" t="s">
        <v>3055</v>
      </c>
      <c r="F450" s="451">
        <v>46142</v>
      </c>
      <c r="G450" s="451">
        <v>46142</v>
      </c>
      <c r="H450" s="451">
        <v>46156</v>
      </c>
      <c r="I450">
        <v>183</v>
      </c>
      <c r="J450">
        <v>158</v>
      </c>
      <c r="K450">
        <v>183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462</v>
      </c>
    </row>
    <row r="451" spans="1:17" x14ac:dyDescent="0.3">
      <c r="A451">
        <v>229914</v>
      </c>
      <c r="B451">
        <v>105</v>
      </c>
      <c r="C451" t="s">
        <v>557</v>
      </c>
      <c r="D451" t="s">
        <v>2600</v>
      </c>
      <c r="E451" t="s">
        <v>3056</v>
      </c>
      <c r="F451" s="451">
        <v>46142</v>
      </c>
      <c r="G451" s="451">
        <v>46140</v>
      </c>
      <c r="H451" s="451">
        <v>46168</v>
      </c>
      <c r="I451">
        <v>311.82</v>
      </c>
      <c r="J451">
        <v>311.82</v>
      </c>
      <c r="K451">
        <v>311.82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462</v>
      </c>
    </row>
    <row r="452" spans="1:17" x14ac:dyDescent="0.3">
      <c r="A452">
        <v>229913</v>
      </c>
      <c r="B452">
        <v>105</v>
      </c>
      <c r="C452" t="s">
        <v>557</v>
      </c>
      <c r="D452" t="s">
        <v>2579</v>
      </c>
      <c r="E452" t="s">
        <v>3057</v>
      </c>
      <c r="F452" s="451">
        <v>46142</v>
      </c>
      <c r="G452" s="451">
        <v>46141</v>
      </c>
      <c r="H452" s="451">
        <v>46168</v>
      </c>
      <c r="I452">
        <v>103.25</v>
      </c>
      <c r="J452">
        <v>103.25</v>
      </c>
      <c r="K452">
        <v>103.25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462</v>
      </c>
    </row>
    <row r="453" spans="1:17" x14ac:dyDescent="0.3">
      <c r="A453">
        <v>229912</v>
      </c>
      <c r="B453">
        <v>105</v>
      </c>
      <c r="C453" t="s">
        <v>557</v>
      </c>
      <c r="D453" t="s">
        <v>2579</v>
      </c>
      <c r="E453" t="s">
        <v>3058</v>
      </c>
      <c r="F453" s="451">
        <v>46142</v>
      </c>
      <c r="G453" s="451">
        <v>46140</v>
      </c>
      <c r="H453" s="451">
        <v>46167</v>
      </c>
      <c r="I453">
        <v>382.07</v>
      </c>
      <c r="J453">
        <v>382.07</v>
      </c>
      <c r="K453">
        <v>382.07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462</v>
      </c>
    </row>
    <row r="454" spans="1:17" x14ac:dyDescent="0.3">
      <c r="A454">
        <v>229911</v>
      </c>
      <c r="B454">
        <v>105</v>
      </c>
      <c r="C454" t="s">
        <v>557</v>
      </c>
      <c r="D454" t="s">
        <v>1786</v>
      </c>
      <c r="E454" t="s">
        <v>3059</v>
      </c>
      <c r="F454" s="451">
        <v>46142</v>
      </c>
      <c r="G454" s="451">
        <v>46140</v>
      </c>
      <c r="H454" s="451">
        <v>46148</v>
      </c>
      <c r="I454">
        <v>0</v>
      </c>
      <c r="J454">
        <v>550.66999999999996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462</v>
      </c>
    </row>
    <row r="455" spans="1:17" x14ac:dyDescent="0.3">
      <c r="A455">
        <v>229910</v>
      </c>
      <c r="B455">
        <v>105</v>
      </c>
      <c r="C455" t="s">
        <v>557</v>
      </c>
      <c r="D455" t="s">
        <v>2548</v>
      </c>
      <c r="E455" t="s">
        <v>3060</v>
      </c>
      <c r="F455" s="451">
        <v>46142</v>
      </c>
      <c r="G455" s="451">
        <v>46141</v>
      </c>
      <c r="H455" s="451">
        <v>46170</v>
      </c>
      <c r="I455">
        <v>196.43</v>
      </c>
      <c r="J455">
        <v>196.43</v>
      </c>
      <c r="K455">
        <v>196.43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462</v>
      </c>
    </row>
    <row r="456" spans="1:17" x14ac:dyDescent="0.3">
      <c r="A456">
        <v>229909</v>
      </c>
      <c r="B456">
        <v>105</v>
      </c>
      <c r="C456" t="s">
        <v>557</v>
      </c>
      <c r="D456" t="s">
        <v>2690</v>
      </c>
      <c r="E456" t="s">
        <v>3061</v>
      </c>
      <c r="F456" s="451">
        <v>46142</v>
      </c>
      <c r="G456" s="451">
        <v>46142</v>
      </c>
      <c r="H456" s="451">
        <v>46163</v>
      </c>
      <c r="I456">
        <v>112.94</v>
      </c>
      <c r="J456">
        <v>112.94</v>
      </c>
      <c r="K456">
        <v>0</v>
      </c>
      <c r="L456">
        <v>112.94</v>
      </c>
      <c r="M456">
        <v>0</v>
      </c>
      <c r="N456">
        <v>0</v>
      </c>
      <c r="O456">
        <v>0</v>
      </c>
      <c r="P456">
        <v>0</v>
      </c>
      <c r="Q456" t="s">
        <v>462</v>
      </c>
    </row>
    <row r="457" spans="1:17" x14ac:dyDescent="0.3">
      <c r="A457">
        <v>229908</v>
      </c>
      <c r="B457">
        <v>105</v>
      </c>
      <c r="C457" t="s">
        <v>557</v>
      </c>
      <c r="D457" t="s">
        <v>2548</v>
      </c>
      <c r="E457" t="s">
        <v>3062</v>
      </c>
      <c r="F457" s="451">
        <v>46142</v>
      </c>
      <c r="G457" s="451">
        <v>46141</v>
      </c>
      <c r="H457" s="451">
        <v>46171</v>
      </c>
      <c r="I457">
        <v>201.14</v>
      </c>
      <c r="J457">
        <v>201.14</v>
      </c>
      <c r="K457">
        <v>201.14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462</v>
      </c>
    </row>
    <row r="458" spans="1:17" x14ac:dyDescent="0.3">
      <c r="A458">
        <v>229907</v>
      </c>
      <c r="B458">
        <v>105</v>
      </c>
      <c r="C458" t="s">
        <v>557</v>
      </c>
      <c r="D458" t="s">
        <v>2577</v>
      </c>
      <c r="E458" t="s">
        <v>3063</v>
      </c>
      <c r="F458" s="451">
        <v>46143</v>
      </c>
      <c r="G458" s="451">
        <v>46140</v>
      </c>
      <c r="H458" s="451">
        <v>46164</v>
      </c>
      <c r="I458">
        <v>278.04000000000002</v>
      </c>
      <c r="J458">
        <v>278.04000000000002</v>
      </c>
      <c r="K458">
        <v>0</v>
      </c>
      <c r="L458">
        <v>0</v>
      </c>
      <c r="M458">
        <v>0</v>
      </c>
      <c r="N458">
        <v>278.04000000000002</v>
      </c>
      <c r="O458">
        <v>0</v>
      </c>
      <c r="P458">
        <v>0</v>
      </c>
      <c r="Q458" t="s">
        <v>462</v>
      </c>
    </row>
    <row r="459" spans="1:17" x14ac:dyDescent="0.3">
      <c r="A459">
        <v>229906</v>
      </c>
      <c r="B459">
        <v>105</v>
      </c>
      <c r="C459" t="s">
        <v>557</v>
      </c>
      <c r="D459" t="s">
        <v>2605</v>
      </c>
      <c r="E459" t="s">
        <v>3064</v>
      </c>
      <c r="F459" s="451">
        <v>46142</v>
      </c>
      <c r="G459" s="451">
        <v>46140</v>
      </c>
      <c r="H459" s="451">
        <v>46168</v>
      </c>
      <c r="I459">
        <v>636.76</v>
      </c>
      <c r="J459">
        <v>579.24</v>
      </c>
      <c r="K459">
        <v>636.76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462</v>
      </c>
    </row>
    <row r="460" spans="1:17" x14ac:dyDescent="0.3">
      <c r="A460">
        <v>229905</v>
      </c>
      <c r="B460">
        <v>105</v>
      </c>
      <c r="C460" t="s">
        <v>557</v>
      </c>
      <c r="D460" t="s">
        <v>2579</v>
      </c>
      <c r="E460" t="s">
        <v>3065</v>
      </c>
      <c r="F460" s="451">
        <v>46142</v>
      </c>
      <c r="G460" s="451">
        <v>46142</v>
      </c>
      <c r="H460" s="451">
        <v>46169</v>
      </c>
      <c r="I460">
        <v>125.45</v>
      </c>
      <c r="J460">
        <v>125.45</v>
      </c>
      <c r="K460">
        <v>125.45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462</v>
      </c>
    </row>
    <row r="461" spans="1:17" x14ac:dyDescent="0.3">
      <c r="A461">
        <v>229904</v>
      </c>
      <c r="B461">
        <v>105</v>
      </c>
      <c r="C461" t="s">
        <v>557</v>
      </c>
      <c r="D461" t="s">
        <v>3066</v>
      </c>
      <c r="E461" t="s">
        <v>3067</v>
      </c>
      <c r="F461" s="451">
        <v>46143</v>
      </c>
      <c r="G461" s="451">
        <v>46141</v>
      </c>
      <c r="H461" s="451">
        <v>46168</v>
      </c>
      <c r="I461">
        <v>1034</v>
      </c>
      <c r="J461">
        <v>1034</v>
      </c>
      <c r="K461">
        <v>0</v>
      </c>
      <c r="L461">
        <v>0</v>
      </c>
      <c r="M461">
        <v>1034</v>
      </c>
      <c r="N461">
        <v>0</v>
      </c>
      <c r="O461">
        <v>0</v>
      </c>
      <c r="P461">
        <v>0</v>
      </c>
      <c r="Q461" t="s">
        <v>462</v>
      </c>
    </row>
    <row r="462" spans="1:17" x14ac:dyDescent="0.3">
      <c r="A462">
        <v>229903</v>
      </c>
      <c r="B462">
        <v>105</v>
      </c>
      <c r="C462" t="s">
        <v>557</v>
      </c>
      <c r="D462" t="s">
        <v>2581</v>
      </c>
      <c r="E462" t="s">
        <v>3068</v>
      </c>
      <c r="F462" s="451">
        <v>46142</v>
      </c>
      <c r="G462" s="451">
        <v>46141</v>
      </c>
      <c r="H462" s="451">
        <v>46168</v>
      </c>
      <c r="I462">
        <v>152</v>
      </c>
      <c r="J462">
        <v>152</v>
      </c>
      <c r="K462">
        <v>152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462</v>
      </c>
    </row>
    <row r="463" spans="1:17" x14ac:dyDescent="0.3">
      <c r="A463">
        <v>229901</v>
      </c>
      <c r="B463">
        <v>105</v>
      </c>
      <c r="C463" t="s">
        <v>557</v>
      </c>
      <c r="D463" t="s">
        <v>2581</v>
      </c>
      <c r="E463" t="s">
        <v>3069</v>
      </c>
      <c r="F463" s="451">
        <v>46142</v>
      </c>
      <c r="G463" s="451">
        <v>46142</v>
      </c>
      <c r="H463" s="451">
        <v>46169</v>
      </c>
      <c r="I463">
        <v>198.05</v>
      </c>
      <c r="J463">
        <v>198.05</v>
      </c>
      <c r="K463">
        <v>198.05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462</v>
      </c>
    </row>
    <row r="464" spans="1:17" x14ac:dyDescent="0.3">
      <c r="A464">
        <v>229898</v>
      </c>
      <c r="B464">
        <v>105</v>
      </c>
      <c r="C464" t="s">
        <v>557</v>
      </c>
      <c r="D464" t="s">
        <v>2581</v>
      </c>
      <c r="E464" t="s">
        <v>3070</v>
      </c>
      <c r="F464" s="451">
        <v>46142</v>
      </c>
      <c r="G464" s="451">
        <v>46140</v>
      </c>
      <c r="H464" s="451">
        <v>46167</v>
      </c>
      <c r="I464">
        <v>686.85</v>
      </c>
      <c r="J464">
        <v>686.85</v>
      </c>
      <c r="K464">
        <v>686.85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462</v>
      </c>
    </row>
    <row r="465" spans="1:17" x14ac:dyDescent="0.3">
      <c r="A465">
        <v>229897</v>
      </c>
      <c r="B465">
        <v>105</v>
      </c>
      <c r="C465" t="s">
        <v>557</v>
      </c>
      <c r="D465" t="s">
        <v>2705</v>
      </c>
      <c r="E465" t="s">
        <v>3071</v>
      </c>
      <c r="F465" s="451">
        <v>46143</v>
      </c>
      <c r="G465" s="451">
        <v>46140</v>
      </c>
      <c r="H465" s="451">
        <v>46153</v>
      </c>
      <c r="I465">
        <v>692</v>
      </c>
      <c r="J465">
        <v>692</v>
      </c>
      <c r="K465">
        <v>0</v>
      </c>
      <c r="L465">
        <v>0</v>
      </c>
      <c r="M465">
        <v>0</v>
      </c>
      <c r="N465">
        <v>692</v>
      </c>
      <c r="O465">
        <v>0</v>
      </c>
      <c r="P465">
        <v>0</v>
      </c>
      <c r="Q465" t="s">
        <v>462</v>
      </c>
    </row>
    <row r="466" spans="1:17" x14ac:dyDescent="0.3">
      <c r="A466">
        <v>229882</v>
      </c>
      <c r="B466">
        <v>105</v>
      </c>
      <c r="C466" t="s">
        <v>557</v>
      </c>
      <c r="D466" t="s">
        <v>2707</v>
      </c>
      <c r="E466" t="s">
        <v>3072</v>
      </c>
      <c r="F466" s="451">
        <v>46142</v>
      </c>
      <c r="G466" s="451">
        <v>46140</v>
      </c>
      <c r="H466" s="451">
        <v>46153</v>
      </c>
      <c r="I466">
        <v>361.76</v>
      </c>
      <c r="J466">
        <v>361.76</v>
      </c>
      <c r="K466">
        <v>361.76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462</v>
      </c>
    </row>
    <row r="467" spans="1:17" x14ac:dyDescent="0.3">
      <c r="A467">
        <v>229879</v>
      </c>
      <c r="B467">
        <v>105</v>
      </c>
      <c r="C467" t="s">
        <v>557</v>
      </c>
      <c r="D467" t="s">
        <v>2590</v>
      </c>
      <c r="E467" t="s">
        <v>3073</v>
      </c>
      <c r="F467" s="451">
        <v>46142</v>
      </c>
      <c r="G467" s="451">
        <v>46142</v>
      </c>
      <c r="H467" s="451">
        <v>46167</v>
      </c>
      <c r="I467">
        <v>1739.88</v>
      </c>
      <c r="J467">
        <v>1229.52</v>
      </c>
      <c r="K467">
        <v>0</v>
      </c>
      <c r="L467">
        <v>1739.88</v>
      </c>
      <c r="M467">
        <v>0</v>
      </c>
      <c r="N467">
        <v>0</v>
      </c>
      <c r="O467">
        <v>0</v>
      </c>
      <c r="P467">
        <v>0</v>
      </c>
      <c r="Q467" t="s">
        <v>462</v>
      </c>
    </row>
    <row r="468" spans="1:17" x14ac:dyDescent="0.3">
      <c r="A468">
        <v>229863</v>
      </c>
      <c r="B468">
        <v>105</v>
      </c>
      <c r="C468" t="s">
        <v>557</v>
      </c>
      <c r="D468" t="s">
        <v>2615</v>
      </c>
      <c r="E468" t="s">
        <v>3074</v>
      </c>
      <c r="F468" s="451">
        <v>46142</v>
      </c>
      <c r="G468" s="451">
        <v>46140</v>
      </c>
      <c r="H468" s="451">
        <v>46160</v>
      </c>
      <c r="I468">
        <v>123.9</v>
      </c>
      <c r="J468">
        <v>123.9</v>
      </c>
      <c r="K468">
        <v>123.9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462</v>
      </c>
    </row>
    <row r="469" spans="1:17" x14ac:dyDescent="0.3">
      <c r="A469">
        <v>227712</v>
      </c>
      <c r="B469">
        <v>105</v>
      </c>
      <c r="C469" t="s">
        <v>557</v>
      </c>
      <c r="D469" t="s">
        <v>3075</v>
      </c>
      <c r="E469" t="s">
        <v>3076</v>
      </c>
      <c r="F469" s="451">
        <v>46140</v>
      </c>
      <c r="G469" s="451">
        <v>46141</v>
      </c>
      <c r="H469" s="451">
        <v>46150</v>
      </c>
      <c r="I469">
        <v>29.82</v>
      </c>
      <c r="J469">
        <v>29.82</v>
      </c>
      <c r="K469">
        <v>29.82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462</v>
      </c>
    </row>
    <row r="470" spans="1:17" x14ac:dyDescent="0.3">
      <c r="A470">
        <v>227705</v>
      </c>
      <c r="B470">
        <v>105</v>
      </c>
      <c r="C470" t="s">
        <v>557</v>
      </c>
      <c r="D470" t="s">
        <v>2642</v>
      </c>
      <c r="E470" t="s">
        <v>3077</v>
      </c>
      <c r="F470" s="451">
        <v>46113</v>
      </c>
      <c r="G470" s="451">
        <v>46141</v>
      </c>
      <c r="H470" s="451">
        <v>46146</v>
      </c>
      <c r="I470">
        <v>605</v>
      </c>
      <c r="J470">
        <v>604.95000000000005</v>
      </c>
      <c r="K470">
        <v>0</v>
      </c>
      <c r="L470">
        <v>605</v>
      </c>
      <c r="M470">
        <v>0</v>
      </c>
      <c r="N470">
        <v>0</v>
      </c>
      <c r="O470">
        <v>0</v>
      </c>
      <c r="P470">
        <v>0</v>
      </c>
      <c r="Q470" t="s">
        <v>462</v>
      </c>
    </row>
    <row r="471" spans="1:17" x14ac:dyDescent="0.3">
      <c r="A471">
        <v>227395</v>
      </c>
      <c r="B471">
        <v>105</v>
      </c>
      <c r="C471" t="s">
        <v>557</v>
      </c>
      <c r="D471" t="s">
        <v>2554</v>
      </c>
      <c r="E471" t="s">
        <v>3078</v>
      </c>
      <c r="F471" s="451">
        <v>46129</v>
      </c>
      <c r="G471" s="451">
        <v>46129</v>
      </c>
      <c r="H471" s="451">
        <v>46146</v>
      </c>
      <c r="I471">
        <v>921.94</v>
      </c>
      <c r="J471">
        <v>921.94</v>
      </c>
      <c r="K471">
        <v>0</v>
      </c>
      <c r="L471">
        <v>0</v>
      </c>
      <c r="M471">
        <v>856.94</v>
      </c>
      <c r="N471">
        <v>0</v>
      </c>
      <c r="O471">
        <v>65</v>
      </c>
      <c r="P471">
        <v>0</v>
      </c>
      <c r="Q471" t="s">
        <v>462</v>
      </c>
    </row>
    <row r="472" spans="1:17" x14ac:dyDescent="0.3">
      <c r="A472">
        <v>226950</v>
      </c>
      <c r="B472">
        <v>105</v>
      </c>
      <c r="C472" t="s">
        <v>557</v>
      </c>
      <c r="D472" t="s">
        <v>2615</v>
      </c>
      <c r="E472" t="s">
        <v>3079</v>
      </c>
      <c r="F472" s="451">
        <v>46129</v>
      </c>
      <c r="G472" s="451">
        <v>46129</v>
      </c>
      <c r="H472" s="451">
        <v>46149</v>
      </c>
      <c r="I472">
        <v>123.9</v>
      </c>
      <c r="J472">
        <v>123.9</v>
      </c>
      <c r="K472">
        <v>123.9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462</v>
      </c>
    </row>
    <row r="473" spans="1:17" x14ac:dyDescent="0.3">
      <c r="A473">
        <v>226949</v>
      </c>
      <c r="B473">
        <v>105</v>
      </c>
      <c r="C473" t="s">
        <v>557</v>
      </c>
      <c r="D473" t="s">
        <v>2590</v>
      </c>
      <c r="E473" t="s">
        <v>3080</v>
      </c>
      <c r="F473" s="451">
        <v>46127</v>
      </c>
      <c r="G473" s="451">
        <v>46129</v>
      </c>
      <c r="H473" s="451">
        <v>46160</v>
      </c>
      <c r="I473">
        <v>302.89</v>
      </c>
      <c r="J473">
        <v>302.89999999999998</v>
      </c>
      <c r="K473">
        <v>0</v>
      </c>
      <c r="L473">
        <v>302.89</v>
      </c>
      <c r="M473">
        <v>0</v>
      </c>
      <c r="N473">
        <v>0</v>
      </c>
      <c r="O473">
        <v>0</v>
      </c>
      <c r="P473">
        <v>0</v>
      </c>
      <c r="Q473" t="s">
        <v>462</v>
      </c>
    </row>
    <row r="474" spans="1:17" x14ac:dyDescent="0.3">
      <c r="A474">
        <v>226948</v>
      </c>
      <c r="B474">
        <v>105</v>
      </c>
      <c r="C474" t="s">
        <v>557</v>
      </c>
      <c r="D474" t="s">
        <v>2590</v>
      </c>
      <c r="E474" t="s">
        <v>3081</v>
      </c>
      <c r="F474" s="451">
        <v>46128</v>
      </c>
      <c r="G474" s="451">
        <v>46129</v>
      </c>
      <c r="H474" s="451">
        <v>46160</v>
      </c>
      <c r="I474">
        <v>1514.5</v>
      </c>
      <c r="J474">
        <v>1514.5</v>
      </c>
      <c r="K474">
        <v>0</v>
      </c>
      <c r="L474">
        <v>1514.5</v>
      </c>
      <c r="M474">
        <v>0</v>
      </c>
      <c r="N474">
        <v>0</v>
      </c>
      <c r="O474">
        <v>0</v>
      </c>
      <c r="P474">
        <v>0</v>
      </c>
      <c r="Q474" t="s">
        <v>462</v>
      </c>
    </row>
    <row r="475" spans="1:17" x14ac:dyDescent="0.3">
      <c r="A475">
        <v>226947</v>
      </c>
      <c r="B475">
        <v>105</v>
      </c>
      <c r="C475" t="s">
        <v>557</v>
      </c>
      <c r="D475" t="s">
        <v>2607</v>
      </c>
      <c r="E475" t="s">
        <v>3082</v>
      </c>
      <c r="F475" s="451">
        <v>46128</v>
      </c>
      <c r="G475" s="451">
        <v>46129</v>
      </c>
      <c r="H475" s="451">
        <v>46156</v>
      </c>
      <c r="I475">
        <v>650.26</v>
      </c>
      <c r="J475">
        <v>650.26</v>
      </c>
      <c r="K475">
        <v>650.26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462</v>
      </c>
    </row>
    <row r="476" spans="1:17" x14ac:dyDescent="0.3">
      <c r="A476">
        <v>226946</v>
      </c>
      <c r="B476">
        <v>105</v>
      </c>
      <c r="C476" t="s">
        <v>557</v>
      </c>
      <c r="D476" t="s">
        <v>2588</v>
      </c>
      <c r="E476" t="s">
        <v>3083</v>
      </c>
      <c r="F476" s="451">
        <v>46135</v>
      </c>
      <c r="G476" s="451">
        <v>46139</v>
      </c>
      <c r="H476" s="451">
        <v>46163</v>
      </c>
      <c r="I476">
        <v>412.8</v>
      </c>
      <c r="J476">
        <v>412.8</v>
      </c>
      <c r="K476">
        <v>412.8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462</v>
      </c>
    </row>
    <row r="477" spans="1:17" x14ac:dyDescent="0.3">
      <c r="A477">
        <v>226945</v>
      </c>
      <c r="B477">
        <v>105</v>
      </c>
      <c r="C477" t="s">
        <v>557</v>
      </c>
      <c r="D477" t="s">
        <v>2607</v>
      </c>
      <c r="E477" t="s">
        <v>3084</v>
      </c>
      <c r="F477" s="451">
        <v>46136</v>
      </c>
      <c r="G477" s="451">
        <v>46139</v>
      </c>
      <c r="H477" s="451">
        <v>46164</v>
      </c>
      <c r="I477">
        <v>1391.9</v>
      </c>
      <c r="J477">
        <v>1391.9</v>
      </c>
      <c r="K477">
        <v>1391.9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462</v>
      </c>
    </row>
    <row r="478" spans="1:17" x14ac:dyDescent="0.3">
      <c r="A478">
        <v>226944</v>
      </c>
      <c r="B478">
        <v>105</v>
      </c>
      <c r="C478" t="s">
        <v>557</v>
      </c>
      <c r="D478" t="s">
        <v>2585</v>
      </c>
      <c r="E478" t="s">
        <v>3085</v>
      </c>
      <c r="F478" s="451">
        <v>46136</v>
      </c>
      <c r="G478" s="451">
        <v>46139</v>
      </c>
      <c r="H478" s="451">
        <v>46164</v>
      </c>
      <c r="I478">
        <v>1821.84</v>
      </c>
      <c r="J478">
        <v>1821.84</v>
      </c>
      <c r="K478">
        <v>1821.84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462</v>
      </c>
    </row>
    <row r="479" spans="1:17" x14ac:dyDescent="0.3">
      <c r="A479">
        <v>226943</v>
      </c>
      <c r="B479">
        <v>105</v>
      </c>
      <c r="C479" t="s">
        <v>557</v>
      </c>
      <c r="D479" t="s">
        <v>2581</v>
      </c>
      <c r="E479" t="s">
        <v>3086</v>
      </c>
      <c r="F479" s="451">
        <v>46135</v>
      </c>
      <c r="G479" s="451">
        <v>46139</v>
      </c>
      <c r="H479" s="451">
        <v>46163</v>
      </c>
      <c r="I479">
        <v>627.5</v>
      </c>
      <c r="J479">
        <v>627.5</v>
      </c>
      <c r="K479">
        <v>627.5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462</v>
      </c>
    </row>
    <row r="480" spans="1:17" x14ac:dyDescent="0.3">
      <c r="A480">
        <v>226942</v>
      </c>
      <c r="B480">
        <v>105</v>
      </c>
      <c r="C480" t="s">
        <v>557</v>
      </c>
      <c r="D480" t="s">
        <v>2581</v>
      </c>
      <c r="E480" t="s">
        <v>3087</v>
      </c>
      <c r="F480" s="451">
        <v>46127</v>
      </c>
      <c r="G480" s="451">
        <v>46129</v>
      </c>
      <c r="H480" s="451">
        <v>46155</v>
      </c>
      <c r="I480">
        <v>403.3</v>
      </c>
      <c r="J480">
        <v>403.3</v>
      </c>
      <c r="K480">
        <v>403.3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462</v>
      </c>
    </row>
    <row r="481" spans="1:17" x14ac:dyDescent="0.3">
      <c r="A481">
        <v>226941</v>
      </c>
      <c r="B481">
        <v>105</v>
      </c>
      <c r="C481" t="s">
        <v>557</v>
      </c>
      <c r="D481" t="s">
        <v>2581</v>
      </c>
      <c r="E481" t="s">
        <v>3088</v>
      </c>
      <c r="F481" s="451">
        <v>46128</v>
      </c>
      <c r="G481" s="451">
        <v>46129</v>
      </c>
      <c r="H481" s="451">
        <v>46156</v>
      </c>
      <c r="I481">
        <v>721.9</v>
      </c>
      <c r="J481">
        <v>721.9</v>
      </c>
      <c r="K481">
        <v>721.9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462</v>
      </c>
    </row>
    <row r="482" spans="1:17" x14ac:dyDescent="0.3">
      <c r="A482">
        <v>226940</v>
      </c>
      <c r="B482">
        <v>105</v>
      </c>
      <c r="C482" t="s">
        <v>557</v>
      </c>
      <c r="D482" t="s">
        <v>2605</v>
      </c>
      <c r="E482" t="s">
        <v>3089</v>
      </c>
      <c r="F482" s="451">
        <v>46125</v>
      </c>
      <c r="G482" s="451">
        <v>46129</v>
      </c>
      <c r="H482" s="451">
        <v>46150</v>
      </c>
      <c r="I482">
        <v>463.8</v>
      </c>
      <c r="J482">
        <v>463.8</v>
      </c>
      <c r="K482">
        <v>463.8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462</v>
      </c>
    </row>
    <row r="483" spans="1:17" x14ac:dyDescent="0.3">
      <c r="A483">
        <v>226939</v>
      </c>
      <c r="B483">
        <v>105</v>
      </c>
      <c r="C483" t="s">
        <v>557</v>
      </c>
      <c r="D483" t="s">
        <v>2605</v>
      </c>
      <c r="E483" t="s">
        <v>3090</v>
      </c>
      <c r="F483" s="451">
        <v>46127</v>
      </c>
      <c r="G483" s="451">
        <v>46129</v>
      </c>
      <c r="H483" s="451">
        <v>46155</v>
      </c>
      <c r="I483">
        <v>1199.25</v>
      </c>
      <c r="J483">
        <v>1110.75</v>
      </c>
      <c r="K483">
        <v>1199.25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462</v>
      </c>
    </row>
    <row r="484" spans="1:17" x14ac:dyDescent="0.3">
      <c r="A484">
        <v>226938</v>
      </c>
      <c r="B484">
        <v>105</v>
      </c>
      <c r="C484" t="s">
        <v>557</v>
      </c>
      <c r="D484" t="s">
        <v>2605</v>
      </c>
      <c r="E484" t="s">
        <v>3091</v>
      </c>
      <c r="F484" s="451">
        <v>46127</v>
      </c>
      <c r="G484" s="451">
        <v>46129</v>
      </c>
      <c r="H484" s="451">
        <v>46157</v>
      </c>
      <c r="I484">
        <v>543.75</v>
      </c>
      <c r="J484">
        <v>543.75</v>
      </c>
      <c r="K484">
        <v>543.75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462</v>
      </c>
    </row>
    <row r="485" spans="1:17" x14ac:dyDescent="0.3">
      <c r="A485">
        <v>226937</v>
      </c>
      <c r="B485">
        <v>105</v>
      </c>
      <c r="C485" t="s">
        <v>557</v>
      </c>
      <c r="D485" t="s">
        <v>2548</v>
      </c>
      <c r="E485" t="s">
        <v>3092</v>
      </c>
      <c r="F485" s="451">
        <v>46126</v>
      </c>
      <c r="G485" s="451">
        <v>46129</v>
      </c>
      <c r="H485" s="451">
        <v>46160</v>
      </c>
      <c r="I485">
        <v>63.64</v>
      </c>
      <c r="J485">
        <v>63.64</v>
      </c>
      <c r="K485">
        <v>0</v>
      </c>
      <c r="L485">
        <v>0</v>
      </c>
      <c r="M485">
        <v>63.64</v>
      </c>
      <c r="N485">
        <v>0</v>
      </c>
      <c r="O485">
        <v>0</v>
      </c>
      <c r="P485">
        <v>0</v>
      </c>
      <c r="Q485" t="s">
        <v>462</v>
      </c>
    </row>
    <row r="486" spans="1:17" x14ac:dyDescent="0.3">
      <c r="A486">
        <v>226936</v>
      </c>
      <c r="B486">
        <v>105</v>
      </c>
      <c r="C486" t="s">
        <v>557</v>
      </c>
      <c r="D486" t="s">
        <v>2548</v>
      </c>
      <c r="E486" t="s">
        <v>3093</v>
      </c>
      <c r="F486" s="451">
        <v>46127</v>
      </c>
      <c r="G486" s="451">
        <v>46129</v>
      </c>
      <c r="H486" s="451">
        <v>46160</v>
      </c>
      <c r="I486">
        <v>309.02</v>
      </c>
      <c r="J486">
        <v>309.02</v>
      </c>
      <c r="K486">
        <v>309.02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462</v>
      </c>
    </row>
    <row r="487" spans="1:17" x14ac:dyDescent="0.3">
      <c r="A487">
        <v>226935</v>
      </c>
      <c r="B487">
        <v>105</v>
      </c>
      <c r="C487" t="s">
        <v>557</v>
      </c>
      <c r="D487" t="s">
        <v>2548</v>
      </c>
      <c r="E487" t="s">
        <v>3094</v>
      </c>
      <c r="F487" s="451">
        <v>46129</v>
      </c>
      <c r="G487" s="451">
        <v>46139</v>
      </c>
      <c r="H487" s="451">
        <v>46163</v>
      </c>
      <c r="I487">
        <v>172.74</v>
      </c>
      <c r="J487">
        <v>172.74</v>
      </c>
      <c r="K487">
        <v>0</v>
      </c>
      <c r="L487">
        <v>0</v>
      </c>
      <c r="M487">
        <v>172.74</v>
      </c>
      <c r="N487">
        <v>0</v>
      </c>
      <c r="O487">
        <v>0</v>
      </c>
      <c r="P487">
        <v>0</v>
      </c>
      <c r="Q487" t="s">
        <v>462</v>
      </c>
    </row>
    <row r="488" spans="1:17" x14ac:dyDescent="0.3">
      <c r="A488">
        <v>226934</v>
      </c>
      <c r="B488">
        <v>105</v>
      </c>
      <c r="C488" t="s">
        <v>557</v>
      </c>
      <c r="D488" t="s">
        <v>2548</v>
      </c>
      <c r="E488" t="s">
        <v>3095</v>
      </c>
      <c r="F488" s="451">
        <v>46134</v>
      </c>
      <c r="G488" s="451">
        <v>46139</v>
      </c>
      <c r="H488" s="451">
        <v>46167</v>
      </c>
      <c r="I488">
        <v>63.64</v>
      </c>
      <c r="J488">
        <v>63.64</v>
      </c>
      <c r="K488">
        <v>0</v>
      </c>
      <c r="L488">
        <v>0</v>
      </c>
      <c r="M488">
        <v>63.64</v>
      </c>
      <c r="N488">
        <v>0</v>
      </c>
      <c r="O488">
        <v>0</v>
      </c>
      <c r="P488">
        <v>0</v>
      </c>
      <c r="Q488" t="s">
        <v>462</v>
      </c>
    </row>
    <row r="489" spans="1:17" x14ac:dyDescent="0.3">
      <c r="A489">
        <v>226933</v>
      </c>
      <c r="B489">
        <v>105</v>
      </c>
      <c r="C489" t="s">
        <v>557</v>
      </c>
      <c r="D489" t="s">
        <v>2548</v>
      </c>
      <c r="E489" t="s">
        <v>3096</v>
      </c>
      <c r="F489" s="451">
        <v>46134</v>
      </c>
      <c r="G489" s="451">
        <v>46139</v>
      </c>
      <c r="H489" s="451">
        <v>46167</v>
      </c>
      <c r="I489">
        <v>278.60000000000002</v>
      </c>
      <c r="J489">
        <v>278.60000000000002</v>
      </c>
      <c r="K489">
        <v>278.60000000000002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462</v>
      </c>
    </row>
    <row r="490" spans="1:17" x14ac:dyDescent="0.3">
      <c r="A490">
        <v>226932</v>
      </c>
      <c r="B490">
        <v>105</v>
      </c>
      <c r="C490" t="s">
        <v>557</v>
      </c>
      <c r="D490" t="s">
        <v>2571</v>
      </c>
      <c r="E490" t="s">
        <v>3097</v>
      </c>
      <c r="F490" s="451">
        <v>46135</v>
      </c>
      <c r="G490" s="451">
        <v>46139</v>
      </c>
      <c r="H490" s="451">
        <v>46157</v>
      </c>
      <c r="I490">
        <v>1053.67</v>
      </c>
      <c r="J490">
        <v>1051.67</v>
      </c>
      <c r="K490">
        <v>1053.67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462</v>
      </c>
    </row>
    <row r="491" spans="1:17" x14ac:dyDescent="0.3">
      <c r="A491">
        <v>226931</v>
      </c>
      <c r="B491">
        <v>105</v>
      </c>
      <c r="C491" t="s">
        <v>557</v>
      </c>
      <c r="D491" t="s">
        <v>2605</v>
      </c>
      <c r="E491" t="s">
        <v>3098</v>
      </c>
      <c r="F491" s="451">
        <v>46135</v>
      </c>
      <c r="G491" s="451">
        <v>46139</v>
      </c>
      <c r="H491" s="451">
        <v>46164</v>
      </c>
      <c r="I491">
        <v>265.5</v>
      </c>
      <c r="J491">
        <v>265.5</v>
      </c>
      <c r="K491">
        <v>265.5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462</v>
      </c>
    </row>
    <row r="492" spans="1:17" x14ac:dyDescent="0.3">
      <c r="A492">
        <v>226930</v>
      </c>
      <c r="B492">
        <v>105</v>
      </c>
      <c r="C492" t="s">
        <v>557</v>
      </c>
      <c r="D492" t="s">
        <v>2690</v>
      </c>
      <c r="E492" t="s">
        <v>3099</v>
      </c>
      <c r="F492" s="451">
        <v>46136</v>
      </c>
      <c r="G492" s="451">
        <v>46139</v>
      </c>
      <c r="H492" s="451">
        <v>46158</v>
      </c>
      <c r="I492">
        <v>223.68</v>
      </c>
      <c r="J492">
        <v>223.68</v>
      </c>
      <c r="K492">
        <v>0</v>
      </c>
      <c r="L492">
        <v>223.68</v>
      </c>
      <c r="M492">
        <v>0</v>
      </c>
      <c r="N492">
        <v>0</v>
      </c>
      <c r="O492">
        <v>0</v>
      </c>
      <c r="P492">
        <v>0</v>
      </c>
      <c r="Q492" t="s">
        <v>462</v>
      </c>
    </row>
    <row r="493" spans="1:17" x14ac:dyDescent="0.3">
      <c r="A493">
        <v>226929</v>
      </c>
      <c r="B493">
        <v>105</v>
      </c>
      <c r="C493" t="s">
        <v>557</v>
      </c>
      <c r="D493" t="s">
        <v>2716</v>
      </c>
      <c r="E493" t="s">
        <v>3100</v>
      </c>
      <c r="F493" s="451">
        <v>46135</v>
      </c>
      <c r="G493" s="451">
        <v>46139</v>
      </c>
      <c r="H493" s="451">
        <v>46157</v>
      </c>
      <c r="I493">
        <v>420</v>
      </c>
      <c r="J493">
        <v>420</v>
      </c>
      <c r="K493">
        <v>420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462</v>
      </c>
    </row>
    <row r="494" spans="1:17" x14ac:dyDescent="0.3">
      <c r="A494">
        <v>226928</v>
      </c>
      <c r="B494">
        <v>105</v>
      </c>
      <c r="C494" t="s">
        <v>557</v>
      </c>
      <c r="D494" t="s">
        <v>2579</v>
      </c>
      <c r="E494" t="s">
        <v>3101</v>
      </c>
      <c r="F494" s="451">
        <v>46135</v>
      </c>
      <c r="G494" s="451">
        <v>46139</v>
      </c>
      <c r="H494" s="451">
        <v>46163</v>
      </c>
      <c r="I494">
        <v>214.5</v>
      </c>
      <c r="J494">
        <v>214.5</v>
      </c>
      <c r="K494">
        <v>214.5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462</v>
      </c>
    </row>
    <row r="495" spans="1:17" x14ac:dyDescent="0.3">
      <c r="A495">
        <v>226927</v>
      </c>
      <c r="B495">
        <v>105</v>
      </c>
      <c r="C495" t="s">
        <v>557</v>
      </c>
      <c r="D495" t="s">
        <v>2579</v>
      </c>
      <c r="E495" t="s">
        <v>3102</v>
      </c>
      <c r="F495" s="451">
        <v>46135</v>
      </c>
      <c r="G495" s="451">
        <v>46139</v>
      </c>
      <c r="H495" s="451">
        <v>46163</v>
      </c>
      <c r="I495">
        <v>108</v>
      </c>
      <c r="J495">
        <v>108</v>
      </c>
      <c r="K495">
        <v>108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462</v>
      </c>
    </row>
    <row r="496" spans="1:17" x14ac:dyDescent="0.3">
      <c r="A496">
        <v>226926</v>
      </c>
      <c r="B496">
        <v>105</v>
      </c>
      <c r="C496" t="s">
        <v>557</v>
      </c>
      <c r="D496" t="s">
        <v>2563</v>
      </c>
      <c r="E496" t="s">
        <v>3103</v>
      </c>
      <c r="F496" s="451">
        <v>46135</v>
      </c>
      <c r="G496" s="451">
        <v>46139</v>
      </c>
      <c r="H496" s="451">
        <v>46163</v>
      </c>
      <c r="I496">
        <v>877.94</v>
      </c>
      <c r="J496">
        <v>877.94</v>
      </c>
      <c r="K496">
        <v>877.94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462</v>
      </c>
    </row>
    <row r="497" spans="1:17" x14ac:dyDescent="0.3">
      <c r="A497">
        <v>226925</v>
      </c>
      <c r="B497">
        <v>105</v>
      </c>
      <c r="C497" t="s">
        <v>557</v>
      </c>
      <c r="D497" t="s">
        <v>2593</v>
      </c>
      <c r="E497" t="s">
        <v>3104</v>
      </c>
      <c r="F497" s="451">
        <v>46136</v>
      </c>
      <c r="G497" s="451">
        <v>46139</v>
      </c>
      <c r="H497" s="451">
        <v>46164</v>
      </c>
      <c r="I497">
        <v>750</v>
      </c>
      <c r="J497">
        <v>750</v>
      </c>
      <c r="K497">
        <v>750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462</v>
      </c>
    </row>
    <row r="498" spans="1:17" x14ac:dyDescent="0.3">
      <c r="A498">
        <v>226924</v>
      </c>
      <c r="B498">
        <v>105</v>
      </c>
      <c r="C498" t="s">
        <v>557</v>
      </c>
      <c r="D498" t="s">
        <v>2554</v>
      </c>
      <c r="E498" t="s">
        <v>3105</v>
      </c>
      <c r="F498" s="451">
        <v>46135</v>
      </c>
      <c r="G498" s="451">
        <v>46139</v>
      </c>
      <c r="H498" s="451">
        <v>46149</v>
      </c>
      <c r="I498">
        <v>1399.95</v>
      </c>
      <c r="J498">
        <v>1399.95</v>
      </c>
      <c r="K498">
        <v>0</v>
      </c>
      <c r="L498">
        <v>0</v>
      </c>
      <c r="M498">
        <v>826.95</v>
      </c>
      <c r="N498">
        <v>0</v>
      </c>
      <c r="O498">
        <v>48</v>
      </c>
      <c r="P498">
        <v>525</v>
      </c>
      <c r="Q498" t="s">
        <v>462</v>
      </c>
    </row>
    <row r="499" spans="1:17" x14ac:dyDescent="0.3">
      <c r="A499">
        <v>226923</v>
      </c>
      <c r="B499">
        <v>105</v>
      </c>
      <c r="C499" t="s">
        <v>557</v>
      </c>
      <c r="D499" t="s">
        <v>2597</v>
      </c>
      <c r="E499" t="s">
        <v>3106</v>
      </c>
      <c r="F499" s="451">
        <v>46139</v>
      </c>
      <c r="G499" s="451">
        <v>46139</v>
      </c>
      <c r="H499" s="451">
        <v>46167</v>
      </c>
      <c r="I499">
        <v>4555.93</v>
      </c>
      <c r="J499">
        <v>4555.93</v>
      </c>
      <c r="K499">
        <v>4555.93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462</v>
      </c>
    </row>
    <row r="500" spans="1:17" x14ac:dyDescent="0.3">
      <c r="A500">
        <v>226921</v>
      </c>
      <c r="B500">
        <v>105</v>
      </c>
      <c r="C500" t="s">
        <v>557</v>
      </c>
      <c r="D500" t="s">
        <v>2579</v>
      </c>
      <c r="E500" t="s">
        <v>3107</v>
      </c>
      <c r="F500" s="451">
        <v>46127</v>
      </c>
      <c r="G500" s="451">
        <v>46129</v>
      </c>
      <c r="H500" s="451">
        <v>46155</v>
      </c>
      <c r="I500">
        <v>180.57</v>
      </c>
      <c r="J500">
        <v>180.57</v>
      </c>
      <c r="K500">
        <v>180.57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462</v>
      </c>
    </row>
    <row r="501" spans="1:17" x14ac:dyDescent="0.3">
      <c r="A501">
        <v>226920</v>
      </c>
      <c r="B501">
        <v>105</v>
      </c>
      <c r="C501" t="s">
        <v>557</v>
      </c>
      <c r="D501" t="s">
        <v>2579</v>
      </c>
      <c r="E501" t="s">
        <v>3108</v>
      </c>
      <c r="F501" s="451">
        <v>46128</v>
      </c>
      <c r="G501" s="451">
        <v>46129</v>
      </c>
      <c r="H501" s="451">
        <v>46156</v>
      </c>
      <c r="I501">
        <v>411.95</v>
      </c>
      <c r="J501">
        <v>411.95</v>
      </c>
      <c r="K501">
        <v>411.95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462</v>
      </c>
    </row>
    <row r="502" spans="1:17" x14ac:dyDescent="0.3">
      <c r="A502">
        <v>226919</v>
      </c>
      <c r="B502">
        <v>105</v>
      </c>
      <c r="C502" t="s">
        <v>557</v>
      </c>
      <c r="D502" t="s">
        <v>2571</v>
      </c>
      <c r="E502" t="s">
        <v>3109</v>
      </c>
      <c r="F502" s="451">
        <v>46126</v>
      </c>
      <c r="G502" s="451">
        <v>46129</v>
      </c>
      <c r="H502" s="451">
        <v>46154</v>
      </c>
      <c r="I502">
        <v>1432.77</v>
      </c>
      <c r="J502">
        <v>1430.77</v>
      </c>
      <c r="K502">
        <v>1432.77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462</v>
      </c>
    </row>
    <row r="503" spans="1:17" x14ac:dyDescent="0.3">
      <c r="A503">
        <v>226918</v>
      </c>
      <c r="B503">
        <v>105</v>
      </c>
      <c r="C503" t="s">
        <v>557</v>
      </c>
      <c r="D503" t="s">
        <v>2563</v>
      </c>
      <c r="E503" t="s">
        <v>3110</v>
      </c>
      <c r="F503" s="451">
        <v>46127</v>
      </c>
      <c r="G503" s="451">
        <v>46129</v>
      </c>
      <c r="H503" s="451">
        <v>46155</v>
      </c>
      <c r="I503">
        <v>540.12</v>
      </c>
      <c r="J503">
        <v>540.12</v>
      </c>
      <c r="K503">
        <v>540.12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462</v>
      </c>
    </row>
    <row r="504" spans="1:17" x14ac:dyDescent="0.3">
      <c r="A504">
        <v>226917</v>
      </c>
      <c r="B504">
        <v>105</v>
      </c>
      <c r="C504" t="s">
        <v>557</v>
      </c>
      <c r="D504" t="s">
        <v>2563</v>
      </c>
      <c r="E504" t="s">
        <v>3111</v>
      </c>
      <c r="F504" s="451">
        <v>46128</v>
      </c>
      <c r="G504" s="451">
        <v>46129</v>
      </c>
      <c r="H504" s="451">
        <v>46156</v>
      </c>
      <c r="I504">
        <v>784.22</v>
      </c>
      <c r="J504">
        <v>784.21</v>
      </c>
      <c r="K504">
        <v>784.22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462</v>
      </c>
    </row>
    <row r="505" spans="1:17" x14ac:dyDescent="0.3">
      <c r="A505">
        <v>226916</v>
      </c>
      <c r="B505">
        <v>105</v>
      </c>
      <c r="C505" t="s">
        <v>557</v>
      </c>
      <c r="D505" t="s">
        <v>2593</v>
      </c>
      <c r="E505" t="s">
        <v>3112</v>
      </c>
      <c r="F505" s="451">
        <v>46127</v>
      </c>
      <c r="G505" s="451">
        <v>46129</v>
      </c>
      <c r="H505" s="451">
        <v>46155</v>
      </c>
      <c r="I505">
        <v>750</v>
      </c>
      <c r="J505">
        <v>750</v>
      </c>
      <c r="K505">
        <v>750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462</v>
      </c>
    </row>
    <row r="506" spans="1:17" x14ac:dyDescent="0.3">
      <c r="A506">
        <v>226915</v>
      </c>
      <c r="B506">
        <v>105</v>
      </c>
      <c r="C506" t="s">
        <v>557</v>
      </c>
      <c r="D506" t="s">
        <v>2593</v>
      </c>
      <c r="E506" t="s">
        <v>3113</v>
      </c>
      <c r="F506" s="451">
        <v>46128</v>
      </c>
      <c r="G506" s="451">
        <v>46129</v>
      </c>
      <c r="H506" s="451">
        <v>46156</v>
      </c>
      <c r="I506">
        <v>720</v>
      </c>
      <c r="J506">
        <v>720</v>
      </c>
      <c r="K506">
        <v>720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462</v>
      </c>
    </row>
    <row r="507" spans="1:17" x14ac:dyDescent="0.3">
      <c r="A507">
        <v>226914</v>
      </c>
      <c r="B507">
        <v>105</v>
      </c>
      <c r="C507" t="s">
        <v>557</v>
      </c>
      <c r="D507" t="s">
        <v>3066</v>
      </c>
      <c r="E507" t="s">
        <v>3114</v>
      </c>
      <c r="F507" s="451">
        <v>46128</v>
      </c>
      <c r="G507" s="451">
        <v>46129</v>
      </c>
      <c r="H507" s="451">
        <v>46153</v>
      </c>
      <c r="I507">
        <v>387</v>
      </c>
      <c r="J507">
        <v>387</v>
      </c>
      <c r="K507">
        <v>0</v>
      </c>
      <c r="L507">
        <v>0</v>
      </c>
      <c r="M507">
        <v>387</v>
      </c>
      <c r="N507">
        <v>0</v>
      </c>
      <c r="O507">
        <v>0</v>
      </c>
      <c r="P507">
        <v>0</v>
      </c>
      <c r="Q507" t="s">
        <v>462</v>
      </c>
    </row>
    <row r="508" spans="1:17" x14ac:dyDescent="0.3">
      <c r="A508">
        <v>226913</v>
      </c>
      <c r="B508">
        <v>105</v>
      </c>
      <c r="C508" t="s">
        <v>557</v>
      </c>
      <c r="D508" t="s">
        <v>2557</v>
      </c>
      <c r="E508" t="s">
        <v>3115</v>
      </c>
      <c r="F508" s="451">
        <v>46128</v>
      </c>
      <c r="G508" s="451">
        <v>46129</v>
      </c>
      <c r="H508" s="451">
        <v>46157</v>
      </c>
      <c r="I508">
        <v>2347.0100000000002</v>
      </c>
      <c r="J508">
        <v>2120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2347.0100000000002</v>
      </c>
      <c r="Q508" t="s">
        <v>462</v>
      </c>
    </row>
    <row r="509" spans="1:17" x14ac:dyDescent="0.3">
      <c r="A509">
        <v>225537</v>
      </c>
      <c r="B509">
        <v>105</v>
      </c>
      <c r="C509" t="s">
        <v>557</v>
      </c>
      <c r="D509" t="s">
        <v>2653</v>
      </c>
      <c r="E509" t="s">
        <v>3116</v>
      </c>
      <c r="F509" s="451">
        <v>46125</v>
      </c>
      <c r="G509" s="451">
        <v>46125</v>
      </c>
      <c r="H509" s="451">
        <v>46139</v>
      </c>
      <c r="I509">
        <v>217.53</v>
      </c>
      <c r="J509">
        <v>164.5</v>
      </c>
      <c r="K509">
        <v>217.53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462</v>
      </c>
    </row>
    <row r="510" spans="1:17" x14ac:dyDescent="0.3">
      <c r="A510">
        <v>225536</v>
      </c>
      <c r="B510">
        <v>105</v>
      </c>
      <c r="C510" t="s">
        <v>557</v>
      </c>
      <c r="D510" t="s">
        <v>2991</v>
      </c>
      <c r="E510" t="s">
        <v>3117</v>
      </c>
      <c r="F510" s="451">
        <v>46125</v>
      </c>
      <c r="G510" s="451">
        <v>46125</v>
      </c>
      <c r="H510" s="451">
        <v>46139</v>
      </c>
      <c r="I510">
        <v>506.2</v>
      </c>
      <c r="J510">
        <v>506.2</v>
      </c>
      <c r="K510">
        <v>0</v>
      </c>
      <c r="L510">
        <v>506.2</v>
      </c>
      <c r="M510">
        <v>0</v>
      </c>
      <c r="N510">
        <v>0</v>
      </c>
      <c r="O510">
        <v>0</v>
      </c>
      <c r="P510">
        <v>0</v>
      </c>
      <c r="Q510" t="s">
        <v>462</v>
      </c>
    </row>
    <row r="511" spans="1:17" x14ac:dyDescent="0.3">
      <c r="A511">
        <v>225535</v>
      </c>
      <c r="B511">
        <v>105</v>
      </c>
      <c r="C511" t="s">
        <v>557</v>
      </c>
      <c r="D511" t="s">
        <v>2557</v>
      </c>
      <c r="E511" t="s">
        <v>3118</v>
      </c>
      <c r="F511" s="451">
        <v>46120</v>
      </c>
      <c r="G511" s="451">
        <v>46120</v>
      </c>
      <c r="H511" s="451">
        <v>46149</v>
      </c>
      <c r="I511">
        <v>1219.1300000000001</v>
      </c>
      <c r="J511">
        <v>1219.1300000000001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1219.1300000000001</v>
      </c>
      <c r="Q511" t="s">
        <v>462</v>
      </c>
    </row>
    <row r="512" spans="1:17" x14ac:dyDescent="0.3">
      <c r="A512">
        <v>225534</v>
      </c>
      <c r="B512">
        <v>105</v>
      </c>
      <c r="C512" t="s">
        <v>557</v>
      </c>
      <c r="D512" t="s">
        <v>2991</v>
      </c>
      <c r="E512" t="s">
        <v>3119</v>
      </c>
      <c r="F512" s="451">
        <v>46126</v>
      </c>
      <c r="G512" s="451">
        <v>46126</v>
      </c>
      <c r="H512" s="451">
        <v>46140</v>
      </c>
      <c r="I512">
        <v>209.76</v>
      </c>
      <c r="J512">
        <v>209.76</v>
      </c>
      <c r="K512">
        <v>0</v>
      </c>
      <c r="L512">
        <v>209.76</v>
      </c>
      <c r="M512">
        <v>0</v>
      </c>
      <c r="N512">
        <v>0</v>
      </c>
      <c r="O512">
        <v>0</v>
      </c>
      <c r="P512">
        <v>0</v>
      </c>
      <c r="Q512" t="s">
        <v>462</v>
      </c>
    </row>
    <row r="513" spans="1:17" x14ac:dyDescent="0.3">
      <c r="A513">
        <v>225533</v>
      </c>
      <c r="B513">
        <v>105</v>
      </c>
      <c r="C513" t="s">
        <v>557</v>
      </c>
      <c r="D513" t="s">
        <v>2554</v>
      </c>
      <c r="E513" t="s">
        <v>3120</v>
      </c>
      <c r="F513" s="451">
        <v>46127</v>
      </c>
      <c r="H513" s="451">
        <v>46141</v>
      </c>
      <c r="I513">
        <v>1260.9000000000001</v>
      </c>
      <c r="J513">
        <v>1260.9000000000001</v>
      </c>
      <c r="K513">
        <v>0</v>
      </c>
      <c r="L513">
        <v>0</v>
      </c>
      <c r="M513">
        <v>774.6</v>
      </c>
      <c r="N513">
        <v>0</v>
      </c>
      <c r="O513">
        <v>0</v>
      </c>
      <c r="P513">
        <v>461.3</v>
      </c>
      <c r="Q513" t="s">
        <v>462</v>
      </c>
    </row>
    <row r="514" spans="1:17" x14ac:dyDescent="0.3">
      <c r="A514">
        <v>225532</v>
      </c>
      <c r="B514">
        <v>105</v>
      </c>
      <c r="C514" t="s">
        <v>557</v>
      </c>
      <c r="D514" t="s">
        <v>2554</v>
      </c>
      <c r="E514" t="s">
        <v>3121</v>
      </c>
      <c r="F514" s="451">
        <v>46118</v>
      </c>
      <c r="H514" s="451">
        <v>46139</v>
      </c>
      <c r="I514">
        <v>1548.57</v>
      </c>
      <c r="J514">
        <v>1548.63</v>
      </c>
      <c r="K514">
        <v>0</v>
      </c>
      <c r="L514">
        <v>0</v>
      </c>
      <c r="M514">
        <v>1124.5899999999999</v>
      </c>
      <c r="N514">
        <v>0</v>
      </c>
      <c r="O514">
        <v>74</v>
      </c>
      <c r="P514">
        <v>349.99</v>
      </c>
      <c r="Q514" t="s">
        <v>462</v>
      </c>
    </row>
    <row r="515" spans="1:17" x14ac:dyDescent="0.3">
      <c r="A515">
        <v>225531</v>
      </c>
      <c r="B515">
        <v>105</v>
      </c>
      <c r="C515" t="s">
        <v>557</v>
      </c>
      <c r="D515" t="s">
        <v>2597</v>
      </c>
      <c r="E515" t="s">
        <v>3122</v>
      </c>
      <c r="F515" s="451">
        <v>46119</v>
      </c>
      <c r="G515" s="451">
        <v>46119</v>
      </c>
      <c r="H515" s="451">
        <v>46147</v>
      </c>
      <c r="I515">
        <v>1806.09</v>
      </c>
      <c r="J515">
        <v>1806.09</v>
      </c>
      <c r="K515">
        <v>1806.09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462</v>
      </c>
    </row>
    <row r="516" spans="1:17" x14ac:dyDescent="0.3">
      <c r="A516">
        <v>225530</v>
      </c>
      <c r="B516">
        <v>105</v>
      </c>
      <c r="C516" t="s">
        <v>557</v>
      </c>
      <c r="D516" t="s">
        <v>2597</v>
      </c>
      <c r="E516" t="s">
        <v>3123</v>
      </c>
      <c r="F516" s="451">
        <v>46125</v>
      </c>
      <c r="G516" s="451">
        <v>46125</v>
      </c>
      <c r="H516" s="451">
        <v>46153</v>
      </c>
      <c r="I516">
        <v>3733.4</v>
      </c>
      <c r="J516">
        <v>3733.4</v>
      </c>
      <c r="K516">
        <v>3733.4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462</v>
      </c>
    </row>
    <row r="517" spans="1:17" x14ac:dyDescent="0.3">
      <c r="A517">
        <v>225529</v>
      </c>
      <c r="B517">
        <v>105</v>
      </c>
      <c r="C517" t="s">
        <v>557</v>
      </c>
      <c r="D517" t="s">
        <v>2597</v>
      </c>
      <c r="E517" t="s">
        <v>3124</v>
      </c>
      <c r="F517" s="451">
        <v>46118</v>
      </c>
      <c r="G517" s="451">
        <v>46118</v>
      </c>
      <c r="H517" s="451">
        <v>46146</v>
      </c>
      <c r="I517">
        <v>419</v>
      </c>
      <c r="J517">
        <v>419</v>
      </c>
      <c r="K517">
        <v>419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462</v>
      </c>
    </row>
    <row r="518" spans="1:17" x14ac:dyDescent="0.3">
      <c r="A518">
        <v>225528</v>
      </c>
      <c r="B518">
        <v>105</v>
      </c>
      <c r="C518" t="s">
        <v>557</v>
      </c>
      <c r="D518" t="s">
        <v>2550</v>
      </c>
      <c r="E518" t="s">
        <v>3125</v>
      </c>
      <c r="F518" s="451">
        <v>46121</v>
      </c>
      <c r="G518" s="451">
        <v>46121</v>
      </c>
      <c r="H518" s="451">
        <v>46153</v>
      </c>
      <c r="I518">
        <v>656.26</v>
      </c>
      <c r="J518">
        <v>616.20000000000005</v>
      </c>
      <c r="K518">
        <v>0</v>
      </c>
      <c r="L518">
        <v>656.26</v>
      </c>
      <c r="M518">
        <v>0</v>
      </c>
      <c r="N518">
        <v>0</v>
      </c>
      <c r="O518">
        <v>0</v>
      </c>
      <c r="P518">
        <v>0</v>
      </c>
      <c r="Q518" t="s">
        <v>462</v>
      </c>
    </row>
    <row r="519" spans="1:17" x14ac:dyDescent="0.3">
      <c r="A519">
        <v>225527</v>
      </c>
      <c r="B519">
        <v>105</v>
      </c>
      <c r="C519" t="s">
        <v>557</v>
      </c>
      <c r="D519" t="s">
        <v>2593</v>
      </c>
      <c r="E519" t="s">
        <v>3126</v>
      </c>
      <c r="F519" s="451">
        <v>46121</v>
      </c>
      <c r="G519" s="451">
        <v>46121</v>
      </c>
      <c r="H519" s="451">
        <v>46149</v>
      </c>
      <c r="I519">
        <v>750</v>
      </c>
      <c r="J519">
        <v>750</v>
      </c>
      <c r="K519">
        <v>750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462</v>
      </c>
    </row>
    <row r="520" spans="1:17" x14ac:dyDescent="0.3">
      <c r="A520">
        <v>225526</v>
      </c>
      <c r="B520">
        <v>105</v>
      </c>
      <c r="C520" t="s">
        <v>557</v>
      </c>
      <c r="D520" t="s">
        <v>2603</v>
      </c>
      <c r="E520" t="s">
        <v>3127</v>
      </c>
      <c r="F520" s="451">
        <v>46126</v>
      </c>
      <c r="G520" s="451">
        <v>46126</v>
      </c>
      <c r="H520" s="451">
        <v>46141</v>
      </c>
      <c r="I520">
        <v>1412.24</v>
      </c>
      <c r="J520">
        <v>1422</v>
      </c>
      <c r="K520">
        <v>1412.24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462</v>
      </c>
    </row>
    <row r="521" spans="1:17" x14ac:dyDescent="0.3">
      <c r="A521">
        <v>225525</v>
      </c>
      <c r="B521">
        <v>105</v>
      </c>
      <c r="C521" t="s">
        <v>557</v>
      </c>
      <c r="D521" t="s">
        <v>2595</v>
      </c>
      <c r="E521" t="s">
        <v>3128</v>
      </c>
      <c r="F521" s="451">
        <v>46125</v>
      </c>
      <c r="G521" s="451">
        <v>46125</v>
      </c>
      <c r="H521" s="451">
        <v>46146</v>
      </c>
      <c r="I521">
        <v>1135.8800000000001</v>
      </c>
      <c r="J521">
        <v>1135.8800000000001</v>
      </c>
      <c r="K521">
        <v>1135.8800000000001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462</v>
      </c>
    </row>
    <row r="522" spans="1:17" x14ac:dyDescent="0.3">
      <c r="A522">
        <v>225524</v>
      </c>
      <c r="B522">
        <v>105</v>
      </c>
      <c r="C522" t="s">
        <v>557</v>
      </c>
      <c r="D522" t="s">
        <v>2563</v>
      </c>
      <c r="E522" t="s">
        <v>3129</v>
      </c>
      <c r="F522" s="451">
        <v>46125</v>
      </c>
      <c r="G522" s="451">
        <v>46125</v>
      </c>
      <c r="H522" s="451">
        <v>46153</v>
      </c>
      <c r="I522">
        <v>613.47</v>
      </c>
      <c r="J522">
        <v>613.46</v>
      </c>
      <c r="K522">
        <v>613.47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462</v>
      </c>
    </row>
    <row r="523" spans="1:17" x14ac:dyDescent="0.3">
      <c r="A523">
        <v>225523</v>
      </c>
      <c r="B523">
        <v>105</v>
      </c>
      <c r="C523" t="s">
        <v>557</v>
      </c>
      <c r="D523" t="s">
        <v>2563</v>
      </c>
      <c r="E523" t="s">
        <v>3130</v>
      </c>
      <c r="F523" s="451">
        <v>46120</v>
      </c>
      <c r="G523" s="451">
        <v>46120</v>
      </c>
      <c r="H523" s="451">
        <v>46148</v>
      </c>
      <c r="I523">
        <v>307.91000000000003</v>
      </c>
      <c r="J523">
        <v>307.91000000000003</v>
      </c>
      <c r="K523">
        <v>307.91000000000003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462</v>
      </c>
    </row>
    <row r="524" spans="1:17" x14ac:dyDescent="0.3">
      <c r="A524">
        <v>225522</v>
      </c>
      <c r="B524">
        <v>105</v>
      </c>
      <c r="C524" t="s">
        <v>557</v>
      </c>
      <c r="D524" t="s">
        <v>2563</v>
      </c>
      <c r="E524" t="s">
        <v>3131</v>
      </c>
      <c r="F524" s="451">
        <v>46121</v>
      </c>
      <c r="G524" s="451">
        <v>46121</v>
      </c>
      <c r="H524" s="451">
        <v>46149</v>
      </c>
      <c r="I524">
        <v>544</v>
      </c>
      <c r="J524">
        <v>544</v>
      </c>
      <c r="K524">
        <v>544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462</v>
      </c>
    </row>
    <row r="525" spans="1:17" x14ac:dyDescent="0.3">
      <c r="A525">
        <v>225521</v>
      </c>
      <c r="B525">
        <v>105</v>
      </c>
      <c r="C525" t="s">
        <v>557</v>
      </c>
      <c r="D525" t="s">
        <v>2563</v>
      </c>
      <c r="E525" t="s">
        <v>3132</v>
      </c>
      <c r="F525" s="451">
        <v>46121</v>
      </c>
      <c r="G525" s="451">
        <v>46121</v>
      </c>
      <c r="H525" s="451">
        <v>46149</v>
      </c>
      <c r="I525">
        <v>779.92</v>
      </c>
      <c r="J525">
        <v>779.9</v>
      </c>
      <c r="K525">
        <v>779.92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462</v>
      </c>
    </row>
    <row r="526" spans="1:17" x14ac:dyDescent="0.3">
      <c r="A526">
        <v>225520</v>
      </c>
      <c r="B526">
        <v>105</v>
      </c>
      <c r="C526" t="s">
        <v>557</v>
      </c>
      <c r="D526" t="s">
        <v>2600</v>
      </c>
      <c r="E526" t="s">
        <v>3133</v>
      </c>
      <c r="F526" s="451">
        <v>46126</v>
      </c>
      <c r="G526" s="451">
        <v>46126</v>
      </c>
      <c r="H526" s="451">
        <v>46154</v>
      </c>
      <c r="I526">
        <v>325.83</v>
      </c>
      <c r="J526">
        <v>299.85000000000002</v>
      </c>
      <c r="K526">
        <v>325.83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462</v>
      </c>
    </row>
    <row r="527" spans="1:17" x14ac:dyDescent="0.3">
      <c r="A527">
        <v>225519</v>
      </c>
      <c r="B527">
        <v>105</v>
      </c>
      <c r="C527" t="s">
        <v>557</v>
      </c>
      <c r="D527" t="s">
        <v>2600</v>
      </c>
      <c r="E527" t="s">
        <v>3134</v>
      </c>
      <c r="F527" s="451">
        <v>46119</v>
      </c>
      <c r="G527" s="451">
        <v>46119</v>
      </c>
      <c r="H527" s="451">
        <v>46146</v>
      </c>
      <c r="I527">
        <v>379.81</v>
      </c>
      <c r="J527">
        <v>379.81</v>
      </c>
      <c r="K527">
        <v>379.81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462</v>
      </c>
    </row>
    <row r="528" spans="1:17" x14ac:dyDescent="0.3">
      <c r="A528">
        <v>225518</v>
      </c>
      <c r="B528">
        <v>105</v>
      </c>
      <c r="C528" t="s">
        <v>557</v>
      </c>
      <c r="D528" t="s">
        <v>2705</v>
      </c>
      <c r="E528" t="s">
        <v>3135</v>
      </c>
      <c r="F528" s="451">
        <v>46125</v>
      </c>
      <c r="H528" s="451">
        <v>46139</v>
      </c>
      <c r="I528">
        <v>692</v>
      </c>
      <c r="J528">
        <v>692</v>
      </c>
      <c r="K528">
        <v>0</v>
      </c>
      <c r="L528">
        <v>0</v>
      </c>
      <c r="M528">
        <v>0</v>
      </c>
      <c r="N528">
        <v>692</v>
      </c>
      <c r="O528">
        <v>0</v>
      </c>
      <c r="P528">
        <v>0</v>
      </c>
      <c r="Q528" t="s">
        <v>462</v>
      </c>
    </row>
    <row r="529" spans="1:17" x14ac:dyDescent="0.3">
      <c r="A529">
        <v>225517</v>
      </c>
      <c r="B529">
        <v>105</v>
      </c>
      <c r="C529" t="s">
        <v>557</v>
      </c>
      <c r="D529" t="s">
        <v>2565</v>
      </c>
      <c r="E529" t="s">
        <v>3136</v>
      </c>
      <c r="F529" s="451">
        <v>46126</v>
      </c>
      <c r="G529" s="451">
        <v>46126</v>
      </c>
      <c r="H529" s="451">
        <v>46140</v>
      </c>
      <c r="I529">
        <v>351.76</v>
      </c>
      <c r="J529">
        <v>351.76</v>
      </c>
      <c r="K529">
        <v>0</v>
      </c>
      <c r="L529">
        <v>351.76</v>
      </c>
      <c r="M529">
        <v>0</v>
      </c>
      <c r="N529">
        <v>0</v>
      </c>
      <c r="O529">
        <v>0</v>
      </c>
      <c r="P529">
        <v>0</v>
      </c>
      <c r="Q529" t="s">
        <v>462</v>
      </c>
    </row>
    <row r="530" spans="1:17" x14ac:dyDescent="0.3">
      <c r="A530">
        <v>225516</v>
      </c>
      <c r="B530">
        <v>105</v>
      </c>
      <c r="C530" t="s">
        <v>557</v>
      </c>
      <c r="D530" t="s">
        <v>2716</v>
      </c>
      <c r="E530" t="s">
        <v>3137</v>
      </c>
      <c r="F530" s="451">
        <v>46125</v>
      </c>
      <c r="G530" s="451">
        <v>46125</v>
      </c>
      <c r="H530" s="451">
        <v>46146</v>
      </c>
      <c r="I530">
        <v>180</v>
      </c>
      <c r="J530">
        <v>180</v>
      </c>
      <c r="K530">
        <v>180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462</v>
      </c>
    </row>
    <row r="531" spans="1:17" x14ac:dyDescent="0.3">
      <c r="A531">
        <v>225515</v>
      </c>
      <c r="B531">
        <v>105</v>
      </c>
      <c r="C531" t="s">
        <v>557</v>
      </c>
      <c r="D531" t="s">
        <v>2699</v>
      </c>
      <c r="E531" t="s">
        <v>3138</v>
      </c>
      <c r="F531" s="451">
        <v>46126</v>
      </c>
      <c r="G531" s="451">
        <v>46126</v>
      </c>
      <c r="H531" s="451">
        <v>46154</v>
      </c>
      <c r="I531">
        <v>253.8</v>
      </c>
      <c r="J531">
        <v>253.8</v>
      </c>
      <c r="K531">
        <v>65.400000000000006</v>
      </c>
      <c r="L531">
        <v>188.4</v>
      </c>
      <c r="M531">
        <v>0</v>
      </c>
      <c r="N531">
        <v>0</v>
      </c>
      <c r="O531">
        <v>0</v>
      </c>
      <c r="P531">
        <v>0</v>
      </c>
      <c r="Q531" t="s">
        <v>462</v>
      </c>
    </row>
    <row r="532" spans="1:17" x14ac:dyDescent="0.3">
      <c r="A532">
        <v>225514</v>
      </c>
      <c r="B532">
        <v>105</v>
      </c>
      <c r="C532" t="s">
        <v>557</v>
      </c>
      <c r="D532" t="s">
        <v>2675</v>
      </c>
      <c r="E532" t="s">
        <v>3139</v>
      </c>
      <c r="F532" s="451">
        <v>46118</v>
      </c>
      <c r="G532" s="451">
        <v>46118</v>
      </c>
      <c r="H532" s="451">
        <v>46146</v>
      </c>
      <c r="I532">
        <v>897</v>
      </c>
      <c r="J532">
        <v>780</v>
      </c>
      <c r="K532">
        <v>897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462</v>
      </c>
    </row>
    <row r="533" spans="1:17" x14ac:dyDescent="0.3">
      <c r="A533">
        <v>225513</v>
      </c>
      <c r="B533">
        <v>105</v>
      </c>
      <c r="C533" t="s">
        <v>557</v>
      </c>
      <c r="D533" t="s">
        <v>1786</v>
      </c>
      <c r="E533" t="s">
        <v>3140</v>
      </c>
      <c r="F533" s="451">
        <v>46125</v>
      </c>
      <c r="G533" s="451">
        <v>46125</v>
      </c>
      <c r="H533" s="451">
        <v>46154</v>
      </c>
      <c r="I533">
        <v>504.88</v>
      </c>
      <c r="J533">
        <v>504.87</v>
      </c>
      <c r="K533">
        <v>504.88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462</v>
      </c>
    </row>
    <row r="534" spans="1:17" x14ac:dyDescent="0.3">
      <c r="A534">
        <v>225512</v>
      </c>
      <c r="B534">
        <v>105</v>
      </c>
      <c r="C534" t="s">
        <v>557</v>
      </c>
      <c r="D534" t="s">
        <v>1786</v>
      </c>
      <c r="E534" t="s">
        <v>3141</v>
      </c>
      <c r="F534" s="451">
        <v>46121</v>
      </c>
      <c r="G534" s="451">
        <v>46121</v>
      </c>
      <c r="H534" s="451">
        <v>46150</v>
      </c>
      <c r="I534">
        <v>435.27</v>
      </c>
      <c r="J534">
        <v>435.27</v>
      </c>
      <c r="K534">
        <v>435.27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462</v>
      </c>
    </row>
    <row r="535" spans="1:17" x14ac:dyDescent="0.3">
      <c r="A535">
        <v>225511</v>
      </c>
      <c r="B535">
        <v>105</v>
      </c>
      <c r="C535" t="s">
        <v>557</v>
      </c>
      <c r="D535" t="s">
        <v>2690</v>
      </c>
      <c r="E535" t="s">
        <v>3142</v>
      </c>
      <c r="F535" s="451">
        <v>46120</v>
      </c>
      <c r="G535" s="451">
        <v>46120</v>
      </c>
      <c r="H535" s="451">
        <v>46142</v>
      </c>
      <c r="I535">
        <v>579.52</v>
      </c>
      <c r="J535">
        <v>579.52</v>
      </c>
      <c r="K535">
        <v>0</v>
      </c>
      <c r="L535">
        <v>579.52</v>
      </c>
      <c r="M535">
        <v>0</v>
      </c>
      <c r="N535">
        <v>0</v>
      </c>
      <c r="O535">
        <v>0</v>
      </c>
      <c r="P535">
        <v>0</v>
      </c>
      <c r="Q535" t="s">
        <v>462</v>
      </c>
    </row>
    <row r="536" spans="1:17" x14ac:dyDescent="0.3">
      <c r="A536">
        <v>225510</v>
      </c>
      <c r="B536">
        <v>105</v>
      </c>
      <c r="C536" t="s">
        <v>557</v>
      </c>
      <c r="D536" t="s">
        <v>2581</v>
      </c>
      <c r="E536" t="s">
        <v>3143</v>
      </c>
      <c r="F536" s="451">
        <v>46120</v>
      </c>
      <c r="G536" s="451">
        <v>46120</v>
      </c>
      <c r="H536" s="451">
        <v>46148</v>
      </c>
      <c r="I536">
        <v>229.15</v>
      </c>
      <c r="J536">
        <v>229.15</v>
      </c>
      <c r="K536">
        <v>229.15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462</v>
      </c>
    </row>
    <row r="537" spans="1:17" x14ac:dyDescent="0.3">
      <c r="A537">
        <v>225509</v>
      </c>
      <c r="B537">
        <v>105</v>
      </c>
      <c r="C537" t="s">
        <v>557</v>
      </c>
      <c r="D537" t="s">
        <v>2581</v>
      </c>
      <c r="E537" t="s">
        <v>3144</v>
      </c>
      <c r="F537" s="451">
        <v>46119</v>
      </c>
      <c r="G537" s="451">
        <v>46119</v>
      </c>
      <c r="H537" s="451">
        <v>46147</v>
      </c>
      <c r="I537">
        <v>235</v>
      </c>
      <c r="J537">
        <v>235</v>
      </c>
      <c r="K537">
        <v>235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462</v>
      </c>
    </row>
    <row r="538" spans="1:17" x14ac:dyDescent="0.3">
      <c r="A538">
        <v>225508</v>
      </c>
      <c r="B538">
        <v>105</v>
      </c>
      <c r="C538" t="s">
        <v>557</v>
      </c>
      <c r="D538" t="s">
        <v>2581</v>
      </c>
      <c r="E538" t="s">
        <v>3145</v>
      </c>
      <c r="F538" s="451">
        <v>46118</v>
      </c>
      <c r="G538" s="451">
        <v>46118</v>
      </c>
      <c r="H538" s="451">
        <v>46146</v>
      </c>
      <c r="I538">
        <v>84</v>
      </c>
      <c r="J538">
        <v>84</v>
      </c>
      <c r="K538">
        <v>84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462</v>
      </c>
    </row>
    <row r="539" spans="1:17" x14ac:dyDescent="0.3">
      <c r="A539">
        <v>225507</v>
      </c>
      <c r="B539">
        <v>105</v>
      </c>
      <c r="C539" t="s">
        <v>557</v>
      </c>
      <c r="D539" t="s">
        <v>2571</v>
      </c>
      <c r="E539" t="s">
        <v>3146</v>
      </c>
      <c r="F539" s="451">
        <v>46122</v>
      </c>
      <c r="G539" s="451">
        <v>46122</v>
      </c>
      <c r="H539" s="451">
        <v>46150</v>
      </c>
      <c r="I539">
        <v>217.8</v>
      </c>
      <c r="J539">
        <v>208.9</v>
      </c>
      <c r="K539">
        <v>217.8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462</v>
      </c>
    </row>
    <row r="540" spans="1:17" x14ac:dyDescent="0.3">
      <c r="A540">
        <v>225506</v>
      </c>
      <c r="B540">
        <v>105</v>
      </c>
      <c r="C540" t="s">
        <v>557</v>
      </c>
      <c r="D540" t="s">
        <v>2571</v>
      </c>
      <c r="E540" t="s">
        <v>3147</v>
      </c>
      <c r="F540" s="451">
        <v>46120</v>
      </c>
      <c r="G540" s="451">
        <v>46120</v>
      </c>
      <c r="H540" s="451">
        <v>46148</v>
      </c>
      <c r="I540">
        <v>1762.38</v>
      </c>
      <c r="J540">
        <v>1760.38</v>
      </c>
      <c r="K540">
        <v>1708.05</v>
      </c>
      <c r="L540">
        <v>54.33</v>
      </c>
      <c r="M540">
        <v>0</v>
      </c>
      <c r="N540">
        <v>0</v>
      </c>
      <c r="O540">
        <v>0</v>
      </c>
      <c r="P540">
        <v>0</v>
      </c>
      <c r="Q540" t="s">
        <v>462</v>
      </c>
    </row>
    <row r="541" spans="1:17" x14ac:dyDescent="0.3">
      <c r="A541">
        <v>225505</v>
      </c>
      <c r="B541">
        <v>105</v>
      </c>
      <c r="C541" t="s">
        <v>557</v>
      </c>
      <c r="D541" t="s">
        <v>2579</v>
      </c>
      <c r="E541" t="s">
        <v>3148</v>
      </c>
      <c r="F541" s="451">
        <v>46125</v>
      </c>
      <c r="G541" s="451">
        <v>46125</v>
      </c>
      <c r="H541" s="451">
        <v>46153</v>
      </c>
      <c r="I541">
        <v>148.85</v>
      </c>
      <c r="J541">
        <v>148.85</v>
      </c>
      <c r="K541">
        <v>148.85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462</v>
      </c>
    </row>
    <row r="542" spans="1:17" x14ac:dyDescent="0.3">
      <c r="A542">
        <v>225504</v>
      </c>
      <c r="B542">
        <v>105</v>
      </c>
      <c r="C542" t="s">
        <v>557</v>
      </c>
      <c r="D542" t="s">
        <v>2579</v>
      </c>
      <c r="E542" t="s">
        <v>3149</v>
      </c>
      <c r="F542" s="451">
        <v>46119</v>
      </c>
      <c r="G542" s="451">
        <v>46119</v>
      </c>
      <c r="H542" s="451">
        <v>46147</v>
      </c>
      <c r="I542">
        <v>178.88</v>
      </c>
      <c r="J542">
        <v>178.88</v>
      </c>
      <c r="K542">
        <v>178.88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462</v>
      </c>
    </row>
    <row r="543" spans="1:17" x14ac:dyDescent="0.3">
      <c r="A543">
        <v>225503</v>
      </c>
      <c r="B543">
        <v>105</v>
      </c>
      <c r="C543" t="s">
        <v>557</v>
      </c>
      <c r="D543" t="s">
        <v>2707</v>
      </c>
      <c r="E543" t="s">
        <v>3150</v>
      </c>
      <c r="F543" s="451">
        <v>46125</v>
      </c>
      <c r="G543" s="451">
        <v>46125</v>
      </c>
      <c r="H543" s="451">
        <v>46139</v>
      </c>
      <c r="I543">
        <v>152.32</v>
      </c>
      <c r="J543">
        <v>152.32</v>
      </c>
      <c r="K543">
        <v>152.32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462</v>
      </c>
    </row>
    <row r="544" spans="1:17" x14ac:dyDescent="0.3">
      <c r="A544">
        <v>225502</v>
      </c>
      <c r="B544">
        <v>105</v>
      </c>
      <c r="C544" t="s">
        <v>557</v>
      </c>
      <c r="D544" t="s">
        <v>2548</v>
      </c>
      <c r="E544" t="s">
        <v>3151</v>
      </c>
      <c r="F544" s="451">
        <v>46119</v>
      </c>
      <c r="G544" s="451">
        <v>46119</v>
      </c>
      <c r="H544" s="451">
        <v>46153</v>
      </c>
      <c r="I544">
        <v>317.82</v>
      </c>
      <c r="J544">
        <v>317.82</v>
      </c>
      <c r="K544">
        <v>317.82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462</v>
      </c>
    </row>
    <row r="545" spans="1:17" x14ac:dyDescent="0.3">
      <c r="A545">
        <v>225501</v>
      </c>
      <c r="B545">
        <v>105</v>
      </c>
      <c r="C545" t="s">
        <v>557</v>
      </c>
      <c r="D545" t="s">
        <v>2864</v>
      </c>
      <c r="E545" t="s">
        <v>3152</v>
      </c>
      <c r="F545" s="451">
        <v>46118</v>
      </c>
      <c r="H545" s="451">
        <v>46153</v>
      </c>
      <c r="I545">
        <v>221.08</v>
      </c>
      <c r="J545">
        <v>221.08</v>
      </c>
      <c r="K545">
        <v>0</v>
      </c>
      <c r="L545">
        <v>0</v>
      </c>
      <c r="M545">
        <v>221.08</v>
      </c>
      <c r="N545">
        <v>0</v>
      </c>
      <c r="O545">
        <v>0</v>
      </c>
      <c r="P545">
        <v>0</v>
      </c>
      <c r="Q545" t="s">
        <v>462</v>
      </c>
    </row>
    <row r="546" spans="1:17" x14ac:dyDescent="0.3">
      <c r="A546">
        <v>225500</v>
      </c>
      <c r="B546">
        <v>105</v>
      </c>
      <c r="C546" t="s">
        <v>557</v>
      </c>
      <c r="D546" t="s">
        <v>2590</v>
      </c>
      <c r="E546" t="s">
        <v>3153</v>
      </c>
      <c r="F546" s="451">
        <v>46120</v>
      </c>
      <c r="G546" s="451">
        <v>46120</v>
      </c>
      <c r="H546" s="451">
        <v>46153</v>
      </c>
      <c r="I546">
        <v>360</v>
      </c>
      <c r="J546">
        <v>322</v>
      </c>
      <c r="K546">
        <v>0</v>
      </c>
      <c r="L546">
        <v>360</v>
      </c>
      <c r="M546">
        <v>0</v>
      </c>
      <c r="N546">
        <v>0</v>
      </c>
      <c r="O546">
        <v>0</v>
      </c>
      <c r="P546">
        <v>0</v>
      </c>
      <c r="Q546" t="s">
        <v>462</v>
      </c>
    </row>
    <row r="547" spans="1:17" x14ac:dyDescent="0.3">
      <c r="A547">
        <v>225499</v>
      </c>
      <c r="B547">
        <v>105</v>
      </c>
      <c r="C547" t="s">
        <v>557</v>
      </c>
      <c r="D547" t="s">
        <v>2590</v>
      </c>
      <c r="E547" t="s">
        <v>3154</v>
      </c>
      <c r="F547" s="451">
        <v>46121</v>
      </c>
      <c r="G547" s="451">
        <v>46121</v>
      </c>
      <c r="H547" s="451">
        <v>46153</v>
      </c>
      <c r="I547">
        <v>435</v>
      </c>
      <c r="J547">
        <v>435</v>
      </c>
      <c r="K547">
        <v>0</v>
      </c>
      <c r="L547">
        <v>435</v>
      </c>
      <c r="M547">
        <v>0</v>
      </c>
      <c r="N547">
        <v>0</v>
      </c>
      <c r="O547">
        <v>0</v>
      </c>
      <c r="P547">
        <v>0</v>
      </c>
      <c r="Q547" t="s">
        <v>462</v>
      </c>
    </row>
    <row r="548" spans="1:17" x14ac:dyDescent="0.3">
      <c r="A548">
        <v>225498</v>
      </c>
      <c r="B548">
        <v>105</v>
      </c>
      <c r="C548" t="s">
        <v>557</v>
      </c>
      <c r="D548" t="s">
        <v>2590</v>
      </c>
      <c r="E548" t="s">
        <v>3155</v>
      </c>
      <c r="F548" s="451">
        <v>46126</v>
      </c>
      <c r="G548" s="451">
        <v>46126</v>
      </c>
      <c r="H548" s="451">
        <v>46157</v>
      </c>
      <c r="I548">
        <v>3392.03</v>
      </c>
      <c r="J548">
        <v>2583.84</v>
      </c>
      <c r="K548">
        <v>0</v>
      </c>
      <c r="L548">
        <v>3392.03</v>
      </c>
      <c r="M548">
        <v>0</v>
      </c>
      <c r="N548">
        <v>0</v>
      </c>
      <c r="O548">
        <v>0</v>
      </c>
      <c r="P548">
        <v>0</v>
      </c>
      <c r="Q548" t="s">
        <v>462</v>
      </c>
    </row>
    <row r="549" spans="1:17" x14ac:dyDescent="0.3">
      <c r="A549">
        <v>225497</v>
      </c>
      <c r="B549">
        <v>105</v>
      </c>
      <c r="C549" t="s">
        <v>557</v>
      </c>
      <c r="D549" t="s">
        <v>2590</v>
      </c>
      <c r="E549" t="s">
        <v>3156</v>
      </c>
      <c r="F549" s="451">
        <v>46120</v>
      </c>
      <c r="G549" s="451">
        <v>46120</v>
      </c>
      <c r="H549" s="451">
        <v>46153</v>
      </c>
      <c r="I549">
        <v>3461.58</v>
      </c>
      <c r="J549">
        <v>2667.01</v>
      </c>
      <c r="K549">
        <v>0</v>
      </c>
      <c r="L549">
        <v>3461.58</v>
      </c>
      <c r="M549">
        <v>0</v>
      </c>
      <c r="N549">
        <v>0</v>
      </c>
      <c r="O549">
        <v>0</v>
      </c>
      <c r="P549">
        <v>0</v>
      </c>
      <c r="Q549" t="s">
        <v>462</v>
      </c>
    </row>
    <row r="550" spans="1:17" x14ac:dyDescent="0.3">
      <c r="A550">
        <v>225464</v>
      </c>
      <c r="B550">
        <v>105</v>
      </c>
      <c r="C550" t="s">
        <v>557</v>
      </c>
      <c r="D550" t="s">
        <v>2615</v>
      </c>
      <c r="E550" t="s">
        <v>3157</v>
      </c>
      <c r="F550" s="451">
        <v>46121</v>
      </c>
      <c r="G550" s="451">
        <v>46121</v>
      </c>
      <c r="H550" s="451">
        <v>46142</v>
      </c>
      <c r="I550">
        <v>123.9</v>
      </c>
      <c r="J550">
        <v>123.9</v>
      </c>
      <c r="K550">
        <v>123.9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462</v>
      </c>
    </row>
    <row r="551" spans="1:17" x14ac:dyDescent="0.3">
      <c r="A551">
        <v>225463</v>
      </c>
      <c r="B551">
        <v>105</v>
      </c>
      <c r="C551" t="s">
        <v>557</v>
      </c>
      <c r="D551" t="s">
        <v>2642</v>
      </c>
      <c r="E551" t="s">
        <v>3158</v>
      </c>
      <c r="F551" s="451">
        <v>46125</v>
      </c>
      <c r="G551" s="451">
        <v>46125</v>
      </c>
      <c r="H551" s="451">
        <v>46153</v>
      </c>
      <c r="I551">
        <v>327.5</v>
      </c>
      <c r="J551">
        <v>327.5</v>
      </c>
      <c r="K551">
        <v>0</v>
      </c>
      <c r="L551">
        <v>327.5</v>
      </c>
      <c r="M551">
        <v>0</v>
      </c>
      <c r="N551">
        <v>0</v>
      </c>
      <c r="O551">
        <v>0</v>
      </c>
      <c r="P551">
        <v>0</v>
      </c>
      <c r="Q551" t="s">
        <v>462</v>
      </c>
    </row>
    <row r="552" spans="1:17" x14ac:dyDescent="0.3">
      <c r="A552">
        <v>225461</v>
      </c>
      <c r="B552">
        <v>105</v>
      </c>
      <c r="C552" t="s">
        <v>557</v>
      </c>
      <c r="D552" t="s">
        <v>2588</v>
      </c>
      <c r="E552" t="s">
        <v>3159</v>
      </c>
      <c r="F552" s="451">
        <v>46119</v>
      </c>
      <c r="G552" s="451">
        <v>46119</v>
      </c>
      <c r="H552" s="451">
        <v>46147</v>
      </c>
      <c r="I552">
        <v>447.6</v>
      </c>
      <c r="J552">
        <v>447.6</v>
      </c>
      <c r="K552">
        <v>447.6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462</v>
      </c>
    </row>
    <row r="553" spans="1:17" x14ac:dyDescent="0.3">
      <c r="A553">
        <v>225460</v>
      </c>
      <c r="B553">
        <v>105</v>
      </c>
      <c r="C553" t="s">
        <v>557</v>
      </c>
      <c r="D553" t="s">
        <v>2588</v>
      </c>
      <c r="E553" t="s">
        <v>3160</v>
      </c>
      <c r="F553" s="451">
        <v>46125</v>
      </c>
      <c r="G553" s="451">
        <v>46125</v>
      </c>
      <c r="H553" s="451">
        <v>46153</v>
      </c>
      <c r="I553">
        <v>419.7</v>
      </c>
      <c r="J553">
        <v>419.7</v>
      </c>
      <c r="K553">
        <v>419.7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462</v>
      </c>
    </row>
    <row r="554" spans="1:17" x14ac:dyDescent="0.3">
      <c r="A554">
        <v>225459</v>
      </c>
      <c r="B554">
        <v>105</v>
      </c>
      <c r="C554" t="s">
        <v>557</v>
      </c>
      <c r="D554" t="s">
        <v>2607</v>
      </c>
      <c r="E554" t="s">
        <v>3161</v>
      </c>
      <c r="F554" s="451">
        <v>46118</v>
      </c>
      <c r="G554" s="451">
        <v>46118</v>
      </c>
      <c r="H554" s="451">
        <v>46146</v>
      </c>
      <c r="I554">
        <v>2798.18</v>
      </c>
      <c r="J554">
        <v>2798.18</v>
      </c>
      <c r="K554">
        <v>2798.18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462</v>
      </c>
    </row>
    <row r="555" spans="1:17" x14ac:dyDescent="0.3">
      <c r="A555">
        <v>225458</v>
      </c>
      <c r="B555">
        <v>105</v>
      </c>
      <c r="C555" t="s">
        <v>557</v>
      </c>
      <c r="D555" t="s">
        <v>2607</v>
      </c>
      <c r="E555" t="s">
        <v>3162</v>
      </c>
      <c r="F555" s="451">
        <v>46125</v>
      </c>
      <c r="G555" s="451">
        <v>46125</v>
      </c>
      <c r="H555" s="451">
        <v>46153</v>
      </c>
      <c r="I555">
        <v>1904.54</v>
      </c>
      <c r="J555">
        <v>1904.54</v>
      </c>
      <c r="K555">
        <v>1904.54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462</v>
      </c>
    </row>
    <row r="556" spans="1:17" x14ac:dyDescent="0.3">
      <c r="A556">
        <v>225457</v>
      </c>
      <c r="B556">
        <v>105</v>
      </c>
      <c r="C556" t="s">
        <v>557</v>
      </c>
      <c r="D556" t="s">
        <v>2682</v>
      </c>
      <c r="E556" t="s">
        <v>3163</v>
      </c>
      <c r="F556" s="451">
        <v>46127</v>
      </c>
      <c r="G556" s="451">
        <v>46127</v>
      </c>
      <c r="H556" s="451">
        <v>46141</v>
      </c>
      <c r="I556">
        <v>513.80999999999995</v>
      </c>
      <c r="J556">
        <v>513.88</v>
      </c>
      <c r="K556">
        <v>513.80999999999995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462</v>
      </c>
    </row>
    <row r="557" spans="1:17" x14ac:dyDescent="0.3">
      <c r="A557">
        <v>225456</v>
      </c>
      <c r="B557">
        <v>105</v>
      </c>
      <c r="C557" t="s">
        <v>557</v>
      </c>
      <c r="D557" t="s">
        <v>2585</v>
      </c>
      <c r="E557" t="s">
        <v>3164</v>
      </c>
      <c r="F557" s="451">
        <v>46120</v>
      </c>
      <c r="G557" s="451">
        <v>46120</v>
      </c>
      <c r="H557" s="451">
        <v>46148</v>
      </c>
      <c r="I557">
        <v>4172.13</v>
      </c>
      <c r="J557">
        <v>4172.13</v>
      </c>
      <c r="K557">
        <v>4172.13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462</v>
      </c>
    </row>
    <row r="558" spans="1:17" x14ac:dyDescent="0.3">
      <c r="A558">
        <v>225454</v>
      </c>
      <c r="B558">
        <v>105</v>
      </c>
      <c r="C558" t="s">
        <v>557</v>
      </c>
      <c r="D558" t="s">
        <v>2585</v>
      </c>
      <c r="E558" t="s">
        <v>3165</v>
      </c>
      <c r="F558" s="451">
        <v>46127</v>
      </c>
      <c r="G558" s="451">
        <v>46127</v>
      </c>
      <c r="H558" s="451">
        <v>46155</v>
      </c>
      <c r="I558">
        <v>2526.2199999999998</v>
      </c>
      <c r="J558">
        <v>2526.33</v>
      </c>
      <c r="K558">
        <v>2526.2199999999998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462</v>
      </c>
    </row>
    <row r="559" spans="1:17" x14ac:dyDescent="0.3">
      <c r="A559">
        <v>225452</v>
      </c>
      <c r="B559">
        <v>105</v>
      </c>
      <c r="C559" t="s">
        <v>557</v>
      </c>
      <c r="D559" t="s">
        <v>2637</v>
      </c>
      <c r="E559" t="s">
        <v>3166</v>
      </c>
      <c r="F559" s="451">
        <v>46119</v>
      </c>
      <c r="G559" s="451">
        <v>46119</v>
      </c>
      <c r="H559" s="451">
        <v>46147</v>
      </c>
      <c r="I559">
        <v>394.8</v>
      </c>
      <c r="J559">
        <v>394.8</v>
      </c>
      <c r="K559">
        <v>0</v>
      </c>
      <c r="L559">
        <v>394.8</v>
      </c>
      <c r="M559">
        <v>0</v>
      </c>
      <c r="N559">
        <v>0</v>
      </c>
      <c r="O559">
        <v>0</v>
      </c>
      <c r="P559">
        <v>0</v>
      </c>
      <c r="Q559" t="s">
        <v>462</v>
      </c>
    </row>
    <row r="560" spans="1:17" x14ac:dyDescent="0.3">
      <c r="A560">
        <v>225451</v>
      </c>
      <c r="B560">
        <v>105</v>
      </c>
      <c r="C560" t="s">
        <v>557</v>
      </c>
      <c r="D560" t="s">
        <v>2581</v>
      </c>
      <c r="E560" t="s">
        <v>3167</v>
      </c>
      <c r="F560" s="451">
        <v>46125</v>
      </c>
      <c r="G560" s="451">
        <v>46125</v>
      </c>
      <c r="H560" s="451">
        <v>46153</v>
      </c>
      <c r="I560">
        <v>506.2</v>
      </c>
      <c r="J560">
        <v>506.2</v>
      </c>
      <c r="K560">
        <v>506.2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462</v>
      </c>
    </row>
    <row r="561" spans="1:17" x14ac:dyDescent="0.3">
      <c r="A561">
        <v>225450</v>
      </c>
      <c r="B561">
        <v>105</v>
      </c>
      <c r="C561" t="s">
        <v>557</v>
      </c>
      <c r="D561" t="s">
        <v>2581</v>
      </c>
      <c r="E561" t="s">
        <v>3168</v>
      </c>
      <c r="F561" s="451">
        <v>46126</v>
      </c>
      <c r="G561" s="451">
        <v>46126</v>
      </c>
      <c r="H561" s="451">
        <v>46154</v>
      </c>
      <c r="I561">
        <v>288</v>
      </c>
      <c r="J561">
        <v>288</v>
      </c>
      <c r="K561">
        <v>288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462</v>
      </c>
    </row>
    <row r="562" spans="1:17" x14ac:dyDescent="0.3">
      <c r="A562">
        <v>225449</v>
      </c>
      <c r="B562">
        <v>105</v>
      </c>
      <c r="C562" t="s">
        <v>557</v>
      </c>
      <c r="D562" t="s">
        <v>2581</v>
      </c>
      <c r="E562" t="s">
        <v>3169</v>
      </c>
      <c r="F562" s="451">
        <v>46121</v>
      </c>
      <c r="G562" s="451">
        <v>46121</v>
      </c>
      <c r="H562" s="451">
        <v>46149</v>
      </c>
      <c r="I562">
        <v>385.95</v>
      </c>
      <c r="J562">
        <v>385.95</v>
      </c>
      <c r="K562">
        <v>385.95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462</v>
      </c>
    </row>
    <row r="563" spans="1:17" x14ac:dyDescent="0.3">
      <c r="A563">
        <v>225448</v>
      </c>
      <c r="B563">
        <v>105</v>
      </c>
      <c r="C563" t="s">
        <v>557</v>
      </c>
      <c r="D563" t="s">
        <v>2579</v>
      </c>
      <c r="E563" t="s">
        <v>3170</v>
      </c>
      <c r="F563" s="451">
        <v>46121</v>
      </c>
      <c r="G563" s="451">
        <v>46121</v>
      </c>
      <c r="H563" s="451">
        <v>46149</v>
      </c>
      <c r="I563">
        <v>97.21</v>
      </c>
      <c r="J563">
        <v>97.21</v>
      </c>
      <c r="K563">
        <v>97.21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462</v>
      </c>
    </row>
    <row r="564" spans="1:17" x14ac:dyDescent="0.3">
      <c r="A564">
        <v>225447</v>
      </c>
      <c r="B564">
        <v>105</v>
      </c>
      <c r="C564" t="s">
        <v>557</v>
      </c>
      <c r="D564" t="s">
        <v>2605</v>
      </c>
      <c r="E564" t="s">
        <v>3171</v>
      </c>
      <c r="F564" s="451">
        <v>46114</v>
      </c>
      <c r="G564" s="451">
        <v>46114</v>
      </c>
      <c r="H564" s="451">
        <v>46143</v>
      </c>
      <c r="I564">
        <v>627.29999999999995</v>
      </c>
      <c r="J564">
        <v>627.29999999999995</v>
      </c>
      <c r="K564">
        <v>627.29999999999995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462</v>
      </c>
    </row>
    <row r="565" spans="1:17" x14ac:dyDescent="0.3">
      <c r="A565">
        <v>225446</v>
      </c>
      <c r="B565">
        <v>105</v>
      </c>
      <c r="C565" t="s">
        <v>557</v>
      </c>
      <c r="D565" t="s">
        <v>2605</v>
      </c>
      <c r="E565" t="s">
        <v>3172</v>
      </c>
      <c r="F565" s="451">
        <v>46119</v>
      </c>
      <c r="G565" s="451">
        <v>46119</v>
      </c>
      <c r="H565" s="451">
        <v>46147</v>
      </c>
      <c r="I565">
        <v>1895.39</v>
      </c>
      <c r="J565">
        <v>1895.39</v>
      </c>
      <c r="K565">
        <v>1895.39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462</v>
      </c>
    </row>
    <row r="566" spans="1:17" x14ac:dyDescent="0.3">
      <c r="A566">
        <v>225444</v>
      </c>
      <c r="B566">
        <v>105</v>
      </c>
      <c r="C566" t="s">
        <v>557</v>
      </c>
      <c r="D566" t="s">
        <v>2597</v>
      </c>
      <c r="E566" t="s">
        <v>3173</v>
      </c>
      <c r="F566" s="451">
        <v>46118</v>
      </c>
      <c r="G566" s="451">
        <v>46118</v>
      </c>
      <c r="H566" s="451">
        <v>46146</v>
      </c>
      <c r="I566">
        <v>3550.58</v>
      </c>
      <c r="J566">
        <v>3550.57</v>
      </c>
      <c r="K566">
        <v>3550.58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462</v>
      </c>
    </row>
    <row r="567" spans="1:17" x14ac:dyDescent="0.3">
      <c r="A567">
        <v>224706</v>
      </c>
      <c r="B567">
        <v>105</v>
      </c>
      <c r="C567" t="s">
        <v>557</v>
      </c>
      <c r="D567" t="s">
        <v>2605</v>
      </c>
      <c r="E567" t="s">
        <v>3174</v>
      </c>
      <c r="F567" s="451">
        <v>46113</v>
      </c>
      <c r="G567" s="451">
        <v>46113</v>
      </c>
      <c r="H567" s="451">
        <v>46132</v>
      </c>
      <c r="I567">
        <v>510.48</v>
      </c>
      <c r="J567">
        <v>510.48</v>
      </c>
      <c r="K567">
        <v>510.48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462</v>
      </c>
    </row>
    <row r="568" spans="1:17" x14ac:dyDescent="0.3">
      <c r="A568">
        <v>224536</v>
      </c>
      <c r="B568">
        <v>105</v>
      </c>
      <c r="C568" t="s">
        <v>557</v>
      </c>
      <c r="D568" t="s">
        <v>2581</v>
      </c>
      <c r="E568" t="s">
        <v>3175</v>
      </c>
      <c r="F568" s="451">
        <v>46113</v>
      </c>
      <c r="G568" s="451">
        <v>46113</v>
      </c>
      <c r="H568" s="451">
        <v>46141</v>
      </c>
      <c r="I568">
        <v>295.10000000000002</v>
      </c>
      <c r="J568">
        <v>295.10000000000002</v>
      </c>
      <c r="K568">
        <v>295.10000000000002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462</v>
      </c>
    </row>
    <row r="569" spans="1:17" x14ac:dyDescent="0.3">
      <c r="A569">
        <v>224534</v>
      </c>
      <c r="B569">
        <v>105</v>
      </c>
      <c r="C569" t="s">
        <v>557</v>
      </c>
      <c r="D569" t="s">
        <v>2581</v>
      </c>
      <c r="E569" t="s">
        <v>3176</v>
      </c>
      <c r="F569" s="451">
        <v>46114</v>
      </c>
      <c r="G569" s="451">
        <v>46114</v>
      </c>
      <c r="H569" s="451">
        <v>46142</v>
      </c>
      <c r="I569">
        <v>630.5</v>
      </c>
      <c r="J569">
        <v>630.5</v>
      </c>
      <c r="K569">
        <v>630.5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462</v>
      </c>
    </row>
    <row r="570" spans="1:17" x14ac:dyDescent="0.3">
      <c r="A570">
        <v>224533</v>
      </c>
      <c r="B570">
        <v>105</v>
      </c>
      <c r="C570" t="s">
        <v>557</v>
      </c>
      <c r="D570" t="s">
        <v>2615</v>
      </c>
      <c r="E570" t="s">
        <v>3177</v>
      </c>
      <c r="F570" s="451">
        <v>46118</v>
      </c>
      <c r="G570" s="451">
        <v>46118</v>
      </c>
      <c r="H570" s="451">
        <v>46138</v>
      </c>
      <c r="I570">
        <v>123.9</v>
      </c>
      <c r="J570">
        <v>123.9</v>
      </c>
      <c r="K570">
        <v>123.9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462</v>
      </c>
    </row>
    <row r="571" spans="1:17" x14ac:dyDescent="0.3">
      <c r="A571">
        <v>224531</v>
      </c>
      <c r="B571">
        <v>105</v>
      </c>
      <c r="C571" t="s">
        <v>557</v>
      </c>
      <c r="D571" t="s">
        <v>2690</v>
      </c>
      <c r="E571" t="s">
        <v>3178</v>
      </c>
      <c r="F571" s="451">
        <v>46113</v>
      </c>
      <c r="G571" s="451">
        <v>46113</v>
      </c>
      <c r="H571" s="451">
        <v>46142</v>
      </c>
      <c r="I571">
        <v>44.22</v>
      </c>
      <c r="J571">
        <v>44.22</v>
      </c>
      <c r="K571">
        <v>0</v>
      </c>
      <c r="L571">
        <v>44.22</v>
      </c>
      <c r="M571">
        <v>0</v>
      </c>
      <c r="N571">
        <v>0</v>
      </c>
      <c r="O571">
        <v>0</v>
      </c>
      <c r="P571">
        <v>0</v>
      </c>
      <c r="Q571" t="s">
        <v>462</v>
      </c>
    </row>
    <row r="572" spans="1:17" x14ac:dyDescent="0.3">
      <c r="A572">
        <v>224529</v>
      </c>
      <c r="B572">
        <v>105</v>
      </c>
      <c r="C572" t="s">
        <v>557</v>
      </c>
      <c r="D572" t="s">
        <v>2690</v>
      </c>
      <c r="E572" t="s">
        <v>3179</v>
      </c>
      <c r="F572" s="451">
        <v>46118</v>
      </c>
      <c r="G572" s="451">
        <v>46118</v>
      </c>
      <c r="H572" s="451">
        <v>46140</v>
      </c>
      <c r="I572">
        <v>37.5</v>
      </c>
      <c r="J572">
        <v>37.5</v>
      </c>
      <c r="K572">
        <v>0</v>
      </c>
      <c r="L572">
        <v>37.5</v>
      </c>
      <c r="M572">
        <v>0</v>
      </c>
      <c r="N572">
        <v>0</v>
      </c>
      <c r="O572">
        <v>0</v>
      </c>
      <c r="P572">
        <v>0</v>
      </c>
      <c r="Q572" t="s">
        <v>462</v>
      </c>
    </row>
    <row r="573" spans="1:17" x14ac:dyDescent="0.3">
      <c r="A573">
        <v>224527</v>
      </c>
      <c r="B573">
        <v>105</v>
      </c>
      <c r="C573" t="s">
        <v>557</v>
      </c>
      <c r="D573" t="s">
        <v>2716</v>
      </c>
      <c r="E573" t="s">
        <v>3180</v>
      </c>
      <c r="F573" s="451">
        <v>46119</v>
      </c>
      <c r="G573" s="451">
        <v>46119</v>
      </c>
      <c r="H573" s="451">
        <v>46139</v>
      </c>
      <c r="I573">
        <v>240</v>
      </c>
      <c r="J573">
        <v>240</v>
      </c>
      <c r="K573">
        <v>240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462</v>
      </c>
    </row>
    <row r="574" spans="1:17" x14ac:dyDescent="0.3">
      <c r="A574">
        <v>224486</v>
      </c>
      <c r="B574">
        <v>105</v>
      </c>
      <c r="C574" t="s">
        <v>557</v>
      </c>
      <c r="D574" t="s">
        <v>3181</v>
      </c>
      <c r="E574" t="s">
        <v>3182</v>
      </c>
      <c r="F574" s="451">
        <v>46115</v>
      </c>
      <c r="H574" s="451">
        <v>46135</v>
      </c>
      <c r="I574">
        <v>475</v>
      </c>
      <c r="J574">
        <v>475</v>
      </c>
      <c r="K574">
        <v>0</v>
      </c>
      <c r="L574">
        <v>0</v>
      </c>
      <c r="M574">
        <v>0</v>
      </c>
      <c r="N574">
        <v>475</v>
      </c>
      <c r="O574">
        <v>0</v>
      </c>
      <c r="P574">
        <v>0</v>
      </c>
      <c r="Q574" t="s">
        <v>462</v>
      </c>
    </row>
    <row r="575" spans="1:17" x14ac:dyDescent="0.3">
      <c r="A575">
        <v>224485</v>
      </c>
      <c r="B575">
        <v>105</v>
      </c>
      <c r="C575" t="s">
        <v>557</v>
      </c>
      <c r="D575" t="s">
        <v>2705</v>
      </c>
      <c r="E575" t="s">
        <v>3183</v>
      </c>
      <c r="F575" s="451">
        <v>46118</v>
      </c>
      <c r="H575" s="451">
        <v>46132</v>
      </c>
      <c r="I575">
        <v>692</v>
      </c>
      <c r="J575">
        <v>692</v>
      </c>
      <c r="K575">
        <v>0</v>
      </c>
      <c r="L575">
        <v>0</v>
      </c>
      <c r="M575">
        <v>0</v>
      </c>
      <c r="N575">
        <v>692</v>
      </c>
      <c r="O575">
        <v>0</v>
      </c>
      <c r="P575">
        <v>0</v>
      </c>
      <c r="Q575" t="s">
        <v>462</v>
      </c>
    </row>
    <row r="576" spans="1:17" x14ac:dyDescent="0.3">
      <c r="A576">
        <v>224484</v>
      </c>
      <c r="B576">
        <v>105</v>
      </c>
      <c r="C576" t="s">
        <v>557</v>
      </c>
      <c r="D576" t="s">
        <v>2792</v>
      </c>
      <c r="E576" t="s">
        <v>3184</v>
      </c>
      <c r="F576" s="451">
        <v>46119</v>
      </c>
      <c r="G576" s="451">
        <v>46119</v>
      </c>
      <c r="H576" s="451">
        <v>46134</v>
      </c>
      <c r="I576">
        <v>731.5</v>
      </c>
      <c r="J576">
        <v>698.5</v>
      </c>
      <c r="K576">
        <v>731.5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462</v>
      </c>
    </row>
    <row r="577" spans="1:17" x14ac:dyDescent="0.3">
      <c r="A577">
        <v>224483</v>
      </c>
      <c r="B577">
        <v>105</v>
      </c>
      <c r="C577" t="s">
        <v>557</v>
      </c>
      <c r="D577" t="s">
        <v>2563</v>
      </c>
      <c r="E577" t="s">
        <v>3185</v>
      </c>
      <c r="F577" s="451">
        <v>46113</v>
      </c>
      <c r="G577" s="451">
        <v>46113</v>
      </c>
      <c r="H577" s="451">
        <v>46141</v>
      </c>
      <c r="I577">
        <v>314.24</v>
      </c>
      <c r="J577">
        <v>314.24</v>
      </c>
      <c r="K577">
        <v>314.24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462</v>
      </c>
    </row>
    <row r="578" spans="1:17" x14ac:dyDescent="0.3">
      <c r="A578">
        <v>224482</v>
      </c>
      <c r="B578">
        <v>105</v>
      </c>
      <c r="C578" t="s">
        <v>557</v>
      </c>
      <c r="D578" t="s">
        <v>2563</v>
      </c>
      <c r="E578" t="s">
        <v>3186</v>
      </c>
      <c r="F578" s="451">
        <v>46114</v>
      </c>
      <c r="G578" s="451">
        <v>46114</v>
      </c>
      <c r="H578" s="451">
        <v>46142</v>
      </c>
      <c r="I578">
        <v>1537.55</v>
      </c>
      <c r="J578">
        <v>1535.45</v>
      </c>
      <c r="K578">
        <v>1537.55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462</v>
      </c>
    </row>
    <row r="579" spans="1:17" x14ac:dyDescent="0.3">
      <c r="A579">
        <v>224480</v>
      </c>
      <c r="B579">
        <v>105</v>
      </c>
      <c r="C579" t="s">
        <v>557</v>
      </c>
      <c r="D579" t="s">
        <v>2563</v>
      </c>
      <c r="E579" t="s">
        <v>3187</v>
      </c>
      <c r="F579" s="451">
        <v>46113</v>
      </c>
      <c r="G579" s="451">
        <v>46113</v>
      </c>
      <c r="H579" s="451">
        <v>46136</v>
      </c>
      <c r="I579">
        <v>78.3</v>
      </c>
      <c r="J579">
        <v>78.3</v>
      </c>
      <c r="K579">
        <v>78.3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462</v>
      </c>
    </row>
    <row r="580" spans="1:17" x14ac:dyDescent="0.3">
      <c r="A580">
        <v>224479</v>
      </c>
      <c r="B580">
        <v>105</v>
      </c>
      <c r="C580" t="s">
        <v>557</v>
      </c>
      <c r="D580" t="s">
        <v>2552</v>
      </c>
      <c r="E580" t="s">
        <v>3188</v>
      </c>
      <c r="F580" s="451">
        <v>46120</v>
      </c>
      <c r="G580" s="451">
        <v>46120</v>
      </c>
      <c r="H580" s="451">
        <v>46134</v>
      </c>
      <c r="I580">
        <v>183</v>
      </c>
      <c r="J580">
        <v>158</v>
      </c>
      <c r="K580">
        <v>183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462</v>
      </c>
    </row>
    <row r="581" spans="1:17" x14ac:dyDescent="0.3">
      <c r="A581">
        <v>224478</v>
      </c>
      <c r="B581">
        <v>105</v>
      </c>
      <c r="C581" t="s">
        <v>557</v>
      </c>
      <c r="D581" t="s">
        <v>2593</v>
      </c>
      <c r="E581" t="s">
        <v>3189</v>
      </c>
      <c r="F581" s="451">
        <v>46113</v>
      </c>
      <c r="G581" s="451">
        <v>46113</v>
      </c>
      <c r="H581" s="451">
        <v>46139</v>
      </c>
      <c r="I581">
        <v>405</v>
      </c>
      <c r="J581">
        <v>380</v>
      </c>
      <c r="K581">
        <v>405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462</v>
      </c>
    </row>
    <row r="582" spans="1:17" x14ac:dyDescent="0.3">
      <c r="A582">
        <v>224470</v>
      </c>
      <c r="B582">
        <v>105</v>
      </c>
      <c r="C582" t="s">
        <v>557</v>
      </c>
      <c r="D582" t="s">
        <v>2593</v>
      </c>
      <c r="E582" t="s">
        <v>3190</v>
      </c>
      <c r="F582" s="451">
        <v>46114</v>
      </c>
      <c r="G582" s="451">
        <v>46114</v>
      </c>
      <c r="H582" s="451">
        <v>46142</v>
      </c>
      <c r="I582">
        <v>468</v>
      </c>
      <c r="J582">
        <v>468</v>
      </c>
      <c r="K582">
        <v>468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462</v>
      </c>
    </row>
    <row r="583" spans="1:17" x14ac:dyDescent="0.3">
      <c r="A583">
        <v>224468</v>
      </c>
      <c r="B583">
        <v>105</v>
      </c>
      <c r="C583" t="s">
        <v>557</v>
      </c>
      <c r="D583" t="s">
        <v>836</v>
      </c>
      <c r="E583" t="s">
        <v>3191</v>
      </c>
      <c r="F583" s="451">
        <v>46114</v>
      </c>
      <c r="H583" s="451">
        <v>46142</v>
      </c>
      <c r="I583">
        <v>400</v>
      </c>
      <c r="J583">
        <v>400</v>
      </c>
      <c r="K583">
        <v>0</v>
      </c>
      <c r="L583">
        <v>0</v>
      </c>
      <c r="M583">
        <v>400</v>
      </c>
      <c r="N583">
        <v>0</v>
      </c>
      <c r="O583">
        <v>0</v>
      </c>
      <c r="P583">
        <v>0</v>
      </c>
      <c r="Q583" t="s">
        <v>462</v>
      </c>
    </row>
    <row r="584" spans="1:17" x14ac:dyDescent="0.3">
      <c r="A584">
        <v>224467</v>
      </c>
      <c r="B584">
        <v>105</v>
      </c>
      <c r="C584" t="s">
        <v>557</v>
      </c>
      <c r="D584" t="s">
        <v>3023</v>
      </c>
      <c r="E584" t="s">
        <v>3192</v>
      </c>
      <c r="F584" s="451">
        <v>46118</v>
      </c>
      <c r="G584" s="451">
        <v>46118</v>
      </c>
      <c r="H584" s="451">
        <v>46132</v>
      </c>
      <c r="I584">
        <v>310</v>
      </c>
      <c r="J584">
        <v>290</v>
      </c>
      <c r="K584">
        <v>310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462</v>
      </c>
    </row>
    <row r="585" spans="1:17" x14ac:dyDescent="0.3">
      <c r="A585">
        <v>224465</v>
      </c>
      <c r="B585">
        <v>105</v>
      </c>
      <c r="C585" t="s">
        <v>557</v>
      </c>
      <c r="D585" t="s">
        <v>2653</v>
      </c>
      <c r="E585" t="s">
        <v>3193</v>
      </c>
      <c r="F585" s="451">
        <v>46118</v>
      </c>
      <c r="G585" s="451">
        <v>46118</v>
      </c>
      <c r="H585" s="451">
        <v>46132</v>
      </c>
      <c r="I585">
        <v>131.99</v>
      </c>
      <c r="J585">
        <v>101.99</v>
      </c>
      <c r="K585">
        <v>131.99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462</v>
      </c>
    </row>
    <row r="586" spans="1:17" x14ac:dyDescent="0.3">
      <c r="A586">
        <v>224464</v>
      </c>
      <c r="B586">
        <v>105</v>
      </c>
      <c r="C586" t="s">
        <v>557</v>
      </c>
      <c r="D586" t="s">
        <v>2779</v>
      </c>
      <c r="E586" t="s">
        <v>3194</v>
      </c>
      <c r="F586" s="451">
        <v>46120</v>
      </c>
      <c r="G586" s="451">
        <v>46120</v>
      </c>
      <c r="H586" s="451">
        <v>46135</v>
      </c>
      <c r="I586">
        <v>1669.22</v>
      </c>
      <c r="J586">
        <v>1669.22</v>
      </c>
      <c r="K586">
        <v>1669.22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462</v>
      </c>
    </row>
    <row r="587" spans="1:17" x14ac:dyDescent="0.3">
      <c r="A587">
        <v>223832</v>
      </c>
      <c r="B587">
        <v>105</v>
      </c>
      <c r="C587" t="s">
        <v>557</v>
      </c>
      <c r="D587" t="s">
        <v>3195</v>
      </c>
      <c r="E587" t="s">
        <v>3196</v>
      </c>
      <c r="F587" s="451">
        <v>46113</v>
      </c>
      <c r="G587" s="451">
        <v>46113</v>
      </c>
      <c r="H587" s="451">
        <v>46125</v>
      </c>
      <c r="I587">
        <v>2021.26</v>
      </c>
      <c r="J587">
        <v>1821.7</v>
      </c>
      <c r="K587">
        <v>2021.26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462</v>
      </c>
    </row>
    <row r="588" spans="1:17" x14ac:dyDescent="0.3">
      <c r="A588">
        <v>223589</v>
      </c>
      <c r="B588">
        <v>105</v>
      </c>
      <c r="C588" t="s">
        <v>557</v>
      </c>
      <c r="D588" t="s">
        <v>2550</v>
      </c>
      <c r="E588" t="s">
        <v>3197</v>
      </c>
      <c r="F588" s="451">
        <v>46113</v>
      </c>
      <c r="G588" s="451">
        <v>46113</v>
      </c>
      <c r="H588" s="451">
        <v>46141</v>
      </c>
      <c r="I588">
        <v>749.02</v>
      </c>
      <c r="J588">
        <v>703.3</v>
      </c>
      <c r="K588">
        <v>0</v>
      </c>
      <c r="L588">
        <v>749.02</v>
      </c>
      <c r="M588">
        <v>0</v>
      </c>
      <c r="N588">
        <v>0</v>
      </c>
      <c r="O588">
        <v>0</v>
      </c>
      <c r="P588">
        <v>0</v>
      </c>
      <c r="Q588" t="s">
        <v>462</v>
      </c>
    </row>
    <row r="589" spans="1:17" x14ac:dyDescent="0.3">
      <c r="A589">
        <v>223122</v>
      </c>
      <c r="B589">
        <v>105</v>
      </c>
      <c r="C589" t="s">
        <v>557</v>
      </c>
      <c r="D589" t="s">
        <v>2579</v>
      </c>
      <c r="E589" t="s">
        <v>3198</v>
      </c>
      <c r="F589" s="451">
        <v>46114</v>
      </c>
      <c r="G589" s="451">
        <v>46114</v>
      </c>
      <c r="H589" s="451">
        <v>46142</v>
      </c>
      <c r="I589">
        <v>279.08999999999997</v>
      </c>
      <c r="J589">
        <v>279.08999999999997</v>
      </c>
      <c r="K589">
        <v>279.08999999999997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462</v>
      </c>
    </row>
    <row r="590" spans="1:17" x14ac:dyDescent="0.3">
      <c r="A590">
        <v>223112</v>
      </c>
      <c r="B590">
        <v>105</v>
      </c>
      <c r="C590" t="s">
        <v>557</v>
      </c>
      <c r="D590" t="s">
        <v>2552</v>
      </c>
      <c r="E590" t="s">
        <v>3199</v>
      </c>
      <c r="F590" s="451">
        <v>46113</v>
      </c>
      <c r="G590" s="451">
        <v>46113</v>
      </c>
      <c r="H590" s="451">
        <v>46127</v>
      </c>
      <c r="I590">
        <v>183</v>
      </c>
      <c r="J590">
        <v>158</v>
      </c>
      <c r="K590">
        <v>183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462</v>
      </c>
    </row>
    <row r="591" spans="1:17" x14ac:dyDescent="0.3">
      <c r="A591">
        <v>223109</v>
      </c>
      <c r="B591">
        <v>105</v>
      </c>
      <c r="C591" t="s">
        <v>557</v>
      </c>
      <c r="D591" t="s">
        <v>2554</v>
      </c>
      <c r="E591" t="s">
        <v>3200</v>
      </c>
      <c r="F591" s="451">
        <v>46114</v>
      </c>
      <c r="H591" s="451">
        <v>46128</v>
      </c>
      <c r="I591">
        <v>1271.21</v>
      </c>
      <c r="J591">
        <v>1271.21</v>
      </c>
      <c r="K591">
        <v>0</v>
      </c>
      <c r="L591">
        <v>0</v>
      </c>
      <c r="M591">
        <v>890.21</v>
      </c>
      <c r="N591">
        <v>0</v>
      </c>
      <c r="O591">
        <v>48</v>
      </c>
      <c r="P591">
        <v>333</v>
      </c>
      <c r="Q591" t="s">
        <v>462</v>
      </c>
    </row>
    <row r="592" spans="1:17" x14ac:dyDescent="0.3">
      <c r="A592">
        <v>223108</v>
      </c>
      <c r="B592">
        <v>105</v>
      </c>
      <c r="C592" t="s">
        <v>557</v>
      </c>
      <c r="D592" t="s">
        <v>2707</v>
      </c>
      <c r="E592" t="s">
        <v>3201</v>
      </c>
      <c r="F592" s="451">
        <v>46114</v>
      </c>
      <c r="G592" s="451">
        <v>46114</v>
      </c>
      <c r="H592" s="451">
        <v>46127</v>
      </c>
      <c r="I592">
        <v>276.08</v>
      </c>
      <c r="J592">
        <v>276.08</v>
      </c>
      <c r="K592">
        <v>276.08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462</v>
      </c>
    </row>
    <row r="593" spans="1:17" x14ac:dyDescent="0.3">
      <c r="A593">
        <v>223023</v>
      </c>
      <c r="B593">
        <v>105</v>
      </c>
      <c r="C593" t="s">
        <v>557</v>
      </c>
      <c r="D593" t="s">
        <v>2590</v>
      </c>
      <c r="E593" t="s">
        <v>3202</v>
      </c>
      <c r="F593" s="451">
        <v>46112</v>
      </c>
      <c r="G593" s="451">
        <v>46112</v>
      </c>
      <c r="H593" s="451">
        <v>46129</v>
      </c>
      <c r="I593">
        <v>163.43</v>
      </c>
      <c r="J593">
        <v>528.91999999999996</v>
      </c>
      <c r="K593">
        <v>0</v>
      </c>
      <c r="L593">
        <v>163.43</v>
      </c>
      <c r="M593">
        <v>0</v>
      </c>
      <c r="N593">
        <v>0</v>
      </c>
      <c r="O593">
        <v>0</v>
      </c>
      <c r="P593">
        <v>0</v>
      </c>
      <c r="Q593" t="s">
        <v>461</v>
      </c>
    </row>
    <row r="594" spans="1:17" x14ac:dyDescent="0.3">
      <c r="A594">
        <v>221762</v>
      </c>
      <c r="B594">
        <v>105</v>
      </c>
      <c r="C594" t="s">
        <v>557</v>
      </c>
      <c r="D594" t="s">
        <v>2581</v>
      </c>
      <c r="E594" t="s">
        <v>3203</v>
      </c>
      <c r="F594" s="451">
        <v>46112</v>
      </c>
      <c r="G594" s="451">
        <v>46112</v>
      </c>
      <c r="H594" s="451">
        <v>46140</v>
      </c>
      <c r="I594">
        <v>516.5</v>
      </c>
      <c r="J594">
        <v>516.5</v>
      </c>
      <c r="K594">
        <v>516.5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461</v>
      </c>
    </row>
    <row r="595" spans="1:17" x14ac:dyDescent="0.3">
      <c r="A595">
        <v>221761</v>
      </c>
      <c r="B595">
        <v>105</v>
      </c>
      <c r="C595" t="s">
        <v>557</v>
      </c>
      <c r="D595" t="s">
        <v>2597</v>
      </c>
      <c r="E595" t="s">
        <v>3204</v>
      </c>
      <c r="F595" s="451">
        <v>46112</v>
      </c>
      <c r="G595" s="451">
        <v>46112</v>
      </c>
      <c r="H595" s="451">
        <v>46140</v>
      </c>
      <c r="I595">
        <v>596</v>
      </c>
      <c r="J595">
        <v>596</v>
      </c>
      <c r="K595">
        <v>596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461</v>
      </c>
    </row>
    <row r="596" spans="1:17" x14ac:dyDescent="0.3">
      <c r="A596">
        <v>221760</v>
      </c>
      <c r="B596">
        <v>105</v>
      </c>
      <c r="C596" t="s">
        <v>557</v>
      </c>
      <c r="D596" t="s">
        <v>3205</v>
      </c>
      <c r="E596" t="s">
        <v>3206</v>
      </c>
      <c r="F596" s="451">
        <v>46112</v>
      </c>
      <c r="G596" s="451">
        <v>46112</v>
      </c>
      <c r="H596" s="451">
        <v>46125</v>
      </c>
      <c r="I596">
        <v>553.5</v>
      </c>
      <c r="J596">
        <v>553.5</v>
      </c>
      <c r="K596">
        <v>553.5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461</v>
      </c>
    </row>
    <row r="597" spans="1:17" x14ac:dyDescent="0.3">
      <c r="A597">
        <v>221759</v>
      </c>
      <c r="B597">
        <v>105</v>
      </c>
      <c r="C597" t="s">
        <v>557</v>
      </c>
      <c r="D597" t="s">
        <v>2991</v>
      </c>
      <c r="E597" t="s">
        <v>3207</v>
      </c>
      <c r="F597" s="451">
        <v>46111</v>
      </c>
      <c r="G597" s="451">
        <v>46111</v>
      </c>
      <c r="H597" s="451">
        <v>46125</v>
      </c>
      <c r="I597">
        <v>597.64</v>
      </c>
      <c r="J597">
        <v>597.64</v>
      </c>
      <c r="K597">
        <v>0</v>
      </c>
      <c r="L597">
        <v>597.64</v>
      </c>
      <c r="M597">
        <v>0</v>
      </c>
      <c r="N597">
        <v>0</v>
      </c>
      <c r="O597">
        <v>0</v>
      </c>
      <c r="P597">
        <v>0</v>
      </c>
      <c r="Q597" t="s">
        <v>461</v>
      </c>
    </row>
    <row r="598" spans="1:17" x14ac:dyDescent="0.3">
      <c r="A598">
        <v>221758</v>
      </c>
      <c r="B598">
        <v>105</v>
      </c>
      <c r="C598" t="s">
        <v>557</v>
      </c>
      <c r="D598" t="s">
        <v>2603</v>
      </c>
      <c r="E598" t="s">
        <v>3208</v>
      </c>
      <c r="F598" s="451">
        <v>46112</v>
      </c>
      <c r="G598" s="451">
        <v>46112</v>
      </c>
      <c r="H598" s="451">
        <v>46127</v>
      </c>
      <c r="I598">
        <v>1855.89</v>
      </c>
      <c r="J598">
        <v>984.87</v>
      </c>
      <c r="K598">
        <v>1855.89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461</v>
      </c>
    </row>
    <row r="599" spans="1:17" x14ac:dyDescent="0.3">
      <c r="A599">
        <v>221757</v>
      </c>
      <c r="B599">
        <v>105</v>
      </c>
      <c r="C599" t="s">
        <v>557</v>
      </c>
      <c r="D599" t="s">
        <v>2563</v>
      </c>
      <c r="E599" t="s">
        <v>3209</v>
      </c>
      <c r="F599" s="451">
        <v>46112</v>
      </c>
      <c r="G599" s="451">
        <v>46112</v>
      </c>
      <c r="H599" s="451">
        <v>46140</v>
      </c>
      <c r="I599">
        <v>136.56</v>
      </c>
      <c r="J599">
        <v>136.56</v>
      </c>
      <c r="K599">
        <v>136.56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461</v>
      </c>
    </row>
    <row r="600" spans="1:17" x14ac:dyDescent="0.3">
      <c r="A600">
        <v>221756</v>
      </c>
      <c r="B600">
        <v>105</v>
      </c>
      <c r="C600" t="s">
        <v>557</v>
      </c>
      <c r="D600" t="s">
        <v>2579</v>
      </c>
      <c r="E600" t="s">
        <v>3210</v>
      </c>
      <c r="F600" s="451">
        <v>46112</v>
      </c>
      <c r="G600" s="451">
        <v>46112</v>
      </c>
      <c r="H600" s="451">
        <v>46140</v>
      </c>
      <c r="I600">
        <v>52.65</v>
      </c>
      <c r="J600">
        <v>52.65</v>
      </c>
      <c r="K600">
        <v>52.65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461</v>
      </c>
    </row>
    <row r="601" spans="1:17" x14ac:dyDescent="0.3">
      <c r="A601">
        <v>221755</v>
      </c>
      <c r="B601">
        <v>105</v>
      </c>
      <c r="C601" t="s">
        <v>557</v>
      </c>
      <c r="D601" t="s">
        <v>2563</v>
      </c>
      <c r="E601" t="s">
        <v>3211</v>
      </c>
      <c r="F601" s="451">
        <v>46111</v>
      </c>
      <c r="G601" s="451">
        <v>46111</v>
      </c>
      <c r="H601" s="451">
        <v>46139</v>
      </c>
      <c r="I601">
        <v>571.07000000000005</v>
      </c>
      <c r="J601">
        <v>571.07000000000005</v>
      </c>
      <c r="K601">
        <v>571.07000000000005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461</v>
      </c>
    </row>
    <row r="602" spans="1:17" x14ac:dyDescent="0.3">
      <c r="A602">
        <v>221754</v>
      </c>
      <c r="B602">
        <v>105</v>
      </c>
      <c r="C602" t="s">
        <v>557</v>
      </c>
      <c r="D602" t="s">
        <v>2605</v>
      </c>
      <c r="E602" t="s">
        <v>3212</v>
      </c>
      <c r="F602" s="451">
        <v>46112</v>
      </c>
      <c r="G602" s="451">
        <v>46112</v>
      </c>
      <c r="H602" s="451">
        <v>46140</v>
      </c>
      <c r="I602">
        <v>196</v>
      </c>
      <c r="J602">
        <v>196</v>
      </c>
      <c r="K602">
        <v>0</v>
      </c>
      <c r="L602">
        <v>196</v>
      </c>
      <c r="M602">
        <v>0</v>
      </c>
      <c r="N602">
        <v>0</v>
      </c>
      <c r="O602">
        <v>0</v>
      </c>
      <c r="P602">
        <v>0</v>
      </c>
      <c r="Q602" t="s">
        <v>461</v>
      </c>
    </row>
    <row r="603" spans="1:17" x14ac:dyDescent="0.3">
      <c r="A603">
        <v>221753</v>
      </c>
      <c r="B603">
        <v>105</v>
      </c>
      <c r="C603" t="s">
        <v>557</v>
      </c>
      <c r="D603" t="s">
        <v>2579</v>
      </c>
      <c r="E603" t="s">
        <v>3213</v>
      </c>
      <c r="F603" s="451">
        <v>46111</v>
      </c>
      <c r="G603" s="451">
        <v>46111</v>
      </c>
      <c r="H603" s="451">
        <v>46139</v>
      </c>
      <c r="I603">
        <v>288.94</v>
      </c>
      <c r="J603">
        <v>142.69</v>
      </c>
      <c r="K603">
        <v>288.94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461</v>
      </c>
    </row>
    <row r="604" spans="1:17" x14ac:dyDescent="0.3">
      <c r="A604">
        <v>221752</v>
      </c>
      <c r="B604">
        <v>105</v>
      </c>
      <c r="C604" t="s">
        <v>557</v>
      </c>
      <c r="D604" t="s">
        <v>2581</v>
      </c>
      <c r="E604" t="s">
        <v>3214</v>
      </c>
      <c r="F604" s="451">
        <v>46111</v>
      </c>
      <c r="G604" s="451">
        <v>46111</v>
      </c>
      <c r="H604" s="451">
        <v>46139</v>
      </c>
      <c r="I604">
        <v>572</v>
      </c>
      <c r="J604">
        <v>572</v>
      </c>
      <c r="K604">
        <v>572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461</v>
      </c>
    </row>
    <row r="605" spans="1:17" x14ac:dyDescent="0.3">
      <c r="A605">
        <v>221751</v>
      </c>
      <c r="B605">
        <v>105</v>
      </c>
      <c r="C605" t="s">
        <v>557</v>
      </c>
      <c r="D605" t="s">
        <v>2705</v>
      </c>
      <c r="E605" t="s">
        <v>3215</v>
      </c>
      <c r="F605" s="451">
        <v>46111</v>
      </c>
      <c r="H605" s="451">
        <v>46125</v>
      </c>
      <c r="I605">
        <v>519</v>
      </c>
      <c r="J605">
        <v>519</v>
      </c>
      <c r="K605">
        <v>0</v>
      </c>
      <c r="L605">
        <v>0</v>
      </c>
      <c r="M605">
        <v>0</v>
      </c>
      <c r="N605">
        <v>519</v>
      </c>
      <c r="O605">
        <v>0</v>
      </c>
      <c r="P605">
        <v>0</v>
      </c>
      <c r="Q605" t="s">
        <v>461</v>
      </c>
    </row>
    <row r="606" spans="1:17" x14ac:dyDescent="0.3">
      <c r="A606">
        <v>221750</v>
      </c>
      <c r="B606">
        <v>105</v>
      </c>
      <c r="C606" t="s">
        <v>557</v>
      </c>
      <c r="D606" t="s">
        <v>2585</v>
      </c>
      <c r="E606" t="s">
        <v>3216</v>
      </c>
      <c r="F606" s="451">
        <v>46112</v>
      </c>
      <c r="G606" s="451">
        <v>46112</v>
      </c>
      <c r="H606" s="451">
        <v>46140</v>
      </c>
      <c r="I606">
        <v>2971.95</v>
      </c>
      <c r="J606">
        <v>2971.95</v>
      </c>
      <c r="K606">
        <v>2971.95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461</v>
      </c>
    </row>
    <row r="607" spans="1:17" x14ac:dyDescent="0.3">
      <c r="A607">
        <v>221749</v>
      </c>
      <c r="B607">
        <v>105</v>
      </c>
      <c r="C607" t="s">
        <v>557</v>
      </c>
      <c r="D607" t="s">
        <v>2607</v>
      </c>
      <c r="E607" t="s">
        <v>3217</v>
      </c>
      <c r="F607" s="451">
        <v>46111</v>
      </c>
      <c r="G607" s="451">
        <v>46111</v>
      </c>
      <c r="H607" s="451">
        <v>46139</v>
      </c>
      <c r="I607">
        <v>1700</v>
      </c>
      <c r="J607">
        <v>1700</v>
      </c>
      <c r="K607">
        <v>1700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461</v>
      </c>
    </row>
    <row r="608" spans="1:17" x14ac:dyDescent="0.3">
      <c r="A608">
        <v>221748</v>
      </c>
      <c r="B608">
        <v>105</v>
      </c>
      <c r="C608" t="s">
        <v>557</v>
      </c>
      <c r="D608" t="s">
        <v>2864</v>
      </c>
      <c r="E608" t="s">
        <v>3218</v>
      </c>
      <c r="F608" s="451">
        <v>46112</v>
      </c>
      <c r="H608" s="451">
        <v>46146</v>
      </c>
      <c r="I608">
        <v>84.64</v>
      </c>
      <c r="J608">
        <v>84.64</v>
      </c>
      <c r="K608">
        <v>0</v>
      </c>
      <c r="L608">
        <v>0</v>
      </c>
      <c r="M608">
        <v>63.64</v>
      </c>
      <c r="N608">
        <v>0</v>
      </c>
      <c r="O608">
        <v>21</v>
      </c>
      <c r="P608">
        <v>0</v>
      </c>
      <c r="Q608" t="s">
        <v>461</v>
      </c>
    </row>
    <row r="609" spans="1:17" x14ac:dyDescent="0.3">
      <c r="A609">
        <v>221747</v>
      </c>
      <c r="B609">
        <v>105</v>
      </c>
      <c r="C609" t="s">
        <v>557</v>
      </c>
      <c r="D609" t="s">
        <v>2678</v>
      </c>
      <c r="E609" t="s">
        <v>3219</v>
      </c>
      <c r="F609" s="451">
        <v>46101</v>
      </c>
      <c r="G609" s="451">
        <v>46101</v>
      </c>
      <c r="H609" s="451">
        <v>46146</v>
      </c>
      <c r="I609">
        <v>190</v>
      </c>
      <c r="J609">
        <v>190</v>
      </c>
      <c r="K609">
        <v>190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461</v>
      </c>
    </row>
    <row r="610" spans="1:17" x14ac:dyDescent="0.3">
      <c r="A610">
        <v>220985</v>
      </c>
      <c r="B610">
        <v>105</v>
      </c>
      <c r="C610" t="s">
        <v>557</v>
      </c>
      <c r="D610" t="s">
        <v>2581</v>
      </c>
      <c r="E610" t="s">
        <v>3220</v>
      </c>
      <c r="F610" s="451">
        <v>46100</v>
      </c>
      <c r="G610" s="451">
        <v>46100</v>
      </c>
      <c r="H610" s="451">
        <v>46128</v>
      </c>
      <c r="I610">
        <v>813.9</v>
      </c>
      <c r="J610">
        <v>813.9</v>
      </c>
      <c r="K610">
        <v>813.9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461</v>
      </c>
    </row>
    <row r="611" spans="1:17" x14ac:dyDescent="0.3">
      <c r="A611">
        <v>220984</v>
      </c>
      <c r="B611">
        <v>105</v>
      </c>
      <c r="C611" t="s">
        <v>557</v>
      </c>
      <c r="D611" t="s">
        <v>2581</v>
      </c>
      <c r="E611" t="s">
        <v>3221</v>
      </c>
      <c r="F611" s="451">
        <v>46100</v>
      </c>
      <c r="G611" s="451">
        <v>46100</v>
      </c>
      <c r="H611" s="451">
        <v>46128</v>
      </c>
      <c r="I611">
        <v>270</v>
      </c>
      <c r="J611">
        <v>270</v>
      </c>
      <c r="K611">
        <v>270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461</v>
      </c>
    </row>
    <row r="612" spans="1:17" x14ac:dyDescent="0.3">
      <c r="A612">
        <v>220983</v>
      </c>
      <c r="B612">
        <v>105</v>
      </c>
      <c r="C612" t="s">
        <v>557</v>
      </c>
      <c r="D612" t="s">
        <v>2581</v>
      </c>
      <c r="E612" t="s">
        <v>3222</v>
      </c>
      <c r="F612" s="451">
        <v>46104</v>
      </c>
      <c r="G612" s="451">
        <v>46104</v>
      </c>
      <c r="H612" s="451">
        <v>46132</v>
      </c>
      <c r="I612">
        <v>775.75</v>
      </c>
      <c r="J612">
        <v>768.25</v>
      </c>
      <c r="K612">
        <v>775.75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461</v>
      </c>
    </row>
    <row r="613" spans="1:17" x14ac:dyDescent="0.3">
      <c r="A613">
        <v>220982</v>
      </c>
      <c r="B613">
        <v>105</v>
      </c>
      <c r="C613" t="s">
        <v>557</v>
      </c>
      <c r="D613" t="s">
        <v>2581</v>
      </c>
      <c r="E613" t="s">
        <v>3223</v>
      </c>
      <c r="F613" s="451">
        <v>46105</v>
      </c>
      <c r="G613" s="451">
        <v>46105</v>
      </c>
      <c r="H613" s="451">
        <v>46133</v>
      </c>
      <c r="I613">
        <v>345.2</v>
      </c>
      <c r="J613">
        <v>345.2</v>
      </c>
      <c r="K613">
        <v>345.2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461</v>
      </c>
    </row>
    <row r="614" spans="1:17" x14ac:dyDescent="0.3">
      <c r="A614">
        <v>220981</v>
      </c>
      <c r="B614">
        <v>105</v>
      </c>
      <c r="C614" t="s">
        <v>557</v>
      </c>
      <c r="D614" t="s">
        <v>2581</v>
      </c>
      <c r="E614" t="s">
        <v>3224</v>
      </c>
      <c r="F614" s="451">
        <v>46106</v>
      </c>
      <c r="G614" s="451">
        <v>46106</v>
      </c>
      <c r="H614" s="451">
        <v>46134</v>
      </c>
      <c r="I614">
        <v>404.1</v>
      </c>
      <c r="J614">
        <v>404.1</v>
      </c>
      <c r="K614">
        <v>404.1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461</v>
      </c>
    </row>
    <row r="615" spans="1:17" x14ac:dyDescent="0.3">
      <c r="A615">
        <v>220980</v>
      </c>
      <c r="B615">
        <v>105</v>
      </c>
      <c r="C615" t="s">
        <v>557</v>
      </c>
      <c r="D615" t="s">
        <v>2581</v>
      </c>
      <c r="E615" t="s">
        <v>3225</v>
      </c>
      <c r="F615" s="451">
        <v>46107</v>
      </c>
      <c r="G615" s="451">
        <v>46107</v>
      </c>
      <c r="H615" s="451">
        <v>46135</v>
      </c>
      <c r="I615">
        <v>650.25</v>
      </c>
      <c r="J615">
        <v>628.25</v>
      </c>
      <c r="K615">
        <v>650.25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461</v>
      </c>
    </row>
    <row r="616" spans="1:17" x14ac:dyDescent="0.3">
      <c r="A616">
        <v>220979</v>
      </c>
      <c r="B616">
        <v>105</v>
      </c>
      <c r="C616" t="s">
        <v>557</v>
      </c>
      <c r="D616" t="s">
        <v>2581</v>
      </c>
      <c r="E616" t="s">
        <v>3226</v>
      </c>
      <c r="F616" s="451">
        <v>46109</v>
      </c>
      <c r="G616" s="451">
        <v>46109</v>
      </c>
      <c r="H616" s="451">
        <v>46136</v>
      </c>
      <c r="I616">
        <v>32.25</v>
      </c>
      <c r="J616">
        <v>32.25</v>
      </c>
      <c r="K616">
        <v>32.25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461</v>
      </c>
    </row>
    <row r="617" spans="1:17" x14ac:dyDescent="0.3">
      <c r="A617">
        <v>220978</v>
      </c>
      <c r="B617">
        <v>105</v>
      </c>
      <c r="C617" t="s">
        <v>557</v>
      </c>
      <c r="D617" t="s">
        <v>2563</v>
      </c>
      <c r="E617" t="s">
        <v>3227</v>
      </c>
      <c r="F617" s="451">
        <v>46098</v>
      </c>
      <c r="G617" s="451">
        <v>46098</v>
      </c>
      <c r="H617" s="451">
        <v>46126</v>
      </c>
      <c r="I617">
        <v>238.12</v>
      </c>
      <c r="J617">
        <v>238.12</v>
      </c>
      <c r="K617">
        <v>238.12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461</v>
      </c>
    </row>
    <row r="618" spans="1:17" x14ac:dyDescent="0.3">
      <c r="A618">
        <v>220977</v>
      </c>
      <c r="B618">
        <v>105</v>
      </c>
      <c r="C618" t="s">
        <v>557</v>
      </c>
      <c r="D618" t="s">
        <v>2605</v>
      </c>
      <c r="E618" t="s">
        <v>3228</v>
      </c>
      <c r="F618" s="451">
        <v>46100</v>
      </c>
      <c r="G618" s="451">
        <v>46100</v>
      </c>
      <c r="H618" s="451">
        <v>46129</v>
      </c>
      <c r="I618">
        <v>604.08000000000004</v>
      </c>
      <c r="J618">
        <v>604.08000000000004</v>
      </c>
      <c r="K618">
        <v>604.08000000000004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461</v>
      </c>
    </row>
    <row r="619" spans="1:17" x14ac:dyDescent="0.3">
      <c r="A619">
        <v>220976</v>
      </c>
      <c r="B619">
        <v>105</v>
      </c>
      <c r="C619" t="s">
        <v>557</v>
      </c>
      <c r="D619" t="s">
        <v>2577</v>
      </c>
      <c r="E619" t="s">
        <v>3229</v>
      </c>
      <c r="F619" s="451">
        <v>46105</v>
      </c>
      <c r="H619" s="451">
        <v>46129</v>
      </c>
      <c r="I619">
        <v>139.02000000000001</v>
      </c>
      <c r="J619">
        <v>139.02000000000001</v>
      </c>
      <c r="K619">
        <v>0</v>
      </c>
      <c r="L619">
        <v>0</v>
      </c>
      <c r="M619">
        <v>0</v>
      </c>
      <c r="N619">
        <v>139.02000000000001</v>
      </c>
      <c r="O619">
        <v>0</v>
      </c>
      <c r="P619">
        <v>0</v>
      </c>
      <c r="Q619" t="s">
        <v>461</v>
      </c>
    </row>
    <row r="620" spans="1:17" x14ac:dyDescent="0.3">
      <c r="A620">
        <v>220975</v>
      </c>
      <c r="B620">
        <v>105</v>
      </c>
      <c r="C620" t="s">
        <v>557</v>
      </c>
      <c r="D620" t="s">
        <v>2864</v>
      </c>
      <c r="E620" t="s">
        <v>3230</v>
      </c>
      <c r="F620" s="451">
        <v>46104</v>
      </c>
      <c r="G620" s="451">
        <v>46104</v>
      </c>
      <c r="H620" s="451">
        <v>46139</v>
      </c>
      <c r="I620">
        <v>389.53</v>
      </c>
      <c r="J620">
        <v>212.99</v>
      </c>
      <c r="K620">
        <v>389.53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461</v>
      </c>
    </row>
    <row r="621" spans="1:17" x14ac:dyDescent="0.3">
      <c r="A621">
        <v>220974</v>
      </c>
      <c r="B621">
        <v>105</v>
      </c>
      <c r="C621" t="s">
        <v>557</v>
      </c>
      <c r="D621" t="s">
        <v>2864</v>
      </c>
      <c r="E621" t="s">
        <v>3231</v>
      </c>
      <c r="F621" s="451">
        <v>46104</v>
      </c>
      <c r="H621" s="451">
        <v>46139</v>
      </c>
      <c r="I621">
        <v>248.09</v>
      </c>
      <c r="J621">
        <v>248.09</v>
      </c>
      <c r="K621">
        <v>0</v>
      </c>
      <c r="L621">
        <v>0</v>
      </c>
      <c r="M621">
        <v>227.09</v>
      </c>
      <c r="N621">
        <v>0</v>
      </c>
      <c r="O621">
        <v>21</v>
      </c>
      <c r="P621">
        <v>0</v>
      </c>
      <c r="Q621" t="s">
        <v>461</v>
      </c>
    </row>
    <row r="622" spans="1:17" x14ac:dyDescent="0.3">
      <c r="A622">
        <v>220973</v>
      </c>
      <c r="B622">
        <v>105</v>
      </c>
      <c r="C622" t="s">
        <v>557</v>
      </c>
      <c r="D622" t="s">
        <v>2579</v>
      </c>
      <c r="E622" t="s">
        <v>3232</v>
      </c>
      <c r="F622" s="451">
        <v>46099</v>
      </c>
      <c r="G622" s="451">
        <v>46099</v>
      </c>
      <c r="H622" s="451">
        <v>46127</v>
      </c>
      <c r="I622">
        <v>97.3</v>
      </c>
      <c r="J622">
        <v>97.31</v>
      </c>
      <c r="K622">
        <v>97.3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461</v>
      </c>
    </row>
    <row r="623" spans="1:17" x14ac:dyDescent="0.3">
      <c r="A623">
        <v>220972</v>
      </c>
      <c r="B623">
        <v>105</v>
      </c>
      <c r="C623" t="s">
        <v>557</v>
      </c>
      <c r="D623" t="s">
        <v>2571</v>
      </c>
      <c r="E623" t="s">
        <v>3233</v>
      </c>
      <c r="F623" s="451">
        <v>46101</v>
      </c>
      <c r="G623" s="451">
        <v>46101</v>
      </c>
      <c r="H623" s="451">
        <v>46129</v>
      </c>
      <c r="I623">
        <v>267.2</v>
      </c>
      <c r="J623">
        <v>258.3</v>
      </c>
      <c r="K623">
        <v>267.2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461</v>
      </c>
    </row>
    <row r="624" spans="1:17" x14ac:dyDescent="0.3">
      <c r="A624">
        <v>220971</v>
      </c>
      <c r="B624">
        <v>105</v>
      </c>
      <c r="C624" t="s">
        <v>557</v>
      </c>
      <c r="D624" t="s">
        <v>2571</v>
      </c>
      <c r="E624" t="s">
        <v>3234</v>
      </c>
      <c r="F624" s="451">
        <v>46109</v>
      </c>
      <c r="G624" s="451">
        <v>46109</v>
      </c>
      <c r="H624" s="451">
        <v>46130</v>
      </c>
      <c r="I624">
        <v>783.36</v>
      </c>
      <c r="J624">
        <v>650.62</v>
      </c>
      <c r="K624">
        <v>783.36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461</v>
      </c>
    </row>
    <row r="625" spans="1:17" x14ac:dyDescent="0.3">
      <c r="A625">
        <v>220970</v>
      </c>
      <c r="B625">
        <v>105</v>
      </c>
      <c r="C625" t="s">
        <v>557</v>
      </c>
      <c r="D625" t="s">
        <v>2563</v>
      </c>
      <c r="E625" t="s">
        <v>3235</v>
      </c>
      <c r="F625" s="451">
        <v>46101</v>
      </c>
      <c r="G625" s="451">
        <v>46101</v>
      </c>
      <c r="H625" s="451">
        <v>46129</v>
      </c>
      <c r="I625">
        <v>235.54</v>
      </c>
      <c r="J625">
        <v>235.54</v>
      </c>
      <c r="K625">
        <v>235.54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461</v>
      </c>
    </row>
    <row r="626" spans="1:17" x14ac:dyDescent="0.3">
      <c r="A626">
        <v>220969</v>
      </c>
      <c r="B626">
        <v>105</v>
      </c>
      <c r="C626" t="s">
        <v>557</v>
      </c>
      <c r="D626" t="s">
        <v>2605</v>
      </c>
      <c r="E626" t="s">
        <v>3236</v>
      </c>
      <c r="F626" s="451">
        <v>46098</v>
      </c>
      <c r="G626" s="451">
        <v>46098</v>
      </c>
      <c r="H626" s="451">
        <v>46126</v>
      </c>
      <c r="I626">
        <v>299.39999999999998</v>
      </c>
      <c r="J626">
        <v>299.39999999999998</v>
      </c>
      <c r="K626">
        <v>0</v>
      </c>
      <c r="L626">
        <v>299.39999999999998</v>
      </c>
      <c r="M626">
        <v>0</v>
      </c>
      <c r="N626">
        <v>0</v>
      </c>
      <c r="O626">
        <v>0</v>
      </c>
      <c r="P626">
        <v>0</v>
      </c>
      <c r="Q626" t="s">
        <v>461</v>
      </c>
    </row>
    <row r="627" spans="1:17" x14ac:dyDescent="0.3">
      <c r="A627">
        <v>220968</v>
      </c>
      <c r="B627">
        <v>105</v>
      </c>
      <c r="C627" t="s">
        <v>557</v>
      </c>
      <c r="D627" t="s">
        <v>2605</v>
      </c>
      <c r="E627" t="s">
        <v>3237</v>
      </c>
      <c r="F627" s="451">
        <v>46108</v>
      </c>
      <c r="G627" s="451">
        <v>46108</v>
      </c>
      <c r="H627" s="451">
        <v>46136</v>
      </c>
      <c r="I627">
        <v>1215.78</v>
      </c>
      <c r="J627">
        <v>1215.78</v>
      </c>
      <c r="K627">
        <v>1215.78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461</v>
      </c>
    </row>
    <row r="628" spans="1:17" x14ac:dyDescent="0.3">
      <c r="A628">
        <v>220967</v>
      </c>
      <c r="B628">
        <v>105</v>
      </c>
      <c r="C628" t="s">
        <v>557</v>
      </c>
      <c r="D628" t="s">
        <v>2690</v>
      </c>
      <c r="E628" t="s">
        <v>3238</v>
      </c>
      <c r="F628" s="451">
        <v>46107</v>
      </c>
      <c r="G628" s="451">
        <v>46107</v>
      </c>
      <c r="H628" s="451">
        <v>46128</v>
      </c>
      <c r="I628">
        <v>181.17</v>
      </c>
      <c r="J628">
        <v>181.17</v>
      </c>
      <c r="K628">
        <v>0</v>
      </c>
      <c r="L628">
        <v>181.17</v>
      </c>
      <c r="M628">
        <v>0</v>
      </c>
      <c r="N628">
        <v>0</v>
      </c>
      <c r="O628">
        <v>0</v>
      </c>
      <c r="P628">
        <v>0</v>
      </c>
      <c r="Q628" t="s">
        <v>461</v>
      </c>
    </row>
    <row r="629" spans="1:17" x14ac:dyDescent="0.3">
      <c r="A629">
        <v>220966</v>
      </c>
      <c r="B629">
        <v>105</v>
      </c>
      <c r="C629" t="s">
        <v>557</v>
      </c>
      <c r="D629" t="s">
        <v>2690</v>
      </c>
      <c r="E629" t="s">
        <v>3239</v>
      </c>
      <c r="F629" s="451">
        <v>46105</v>
      </c>
      <c r="G629" s="451">
        <v>46105</v>
      </c>
      <c r="H629" s="451">
        <v>46134</v>
      </c>
      <c r="I629">
        <v>216.98</v>
      </c>
      <c r="J629">
        <v>216.98</v>
      </c>
      <c r="K629">
        <v>0</v>
      </c>
      <c r="L629">
        <v>216.98</v>
      </c>
      <c r="M629">
        <v>0</v>
      </c>
      <c r="N629">
        <v>0</v>
      </c>
      <c r="O629">
        <v>0</v>
      </c>
      <c r="P629">
        <v>0</v>
      </c>
      <c r="Q629" t="s">
        <v>461</v>
      </c>
    </row>
    <row r="630" spans="1:17" x14ac:dyDescent="0.3">
      <c r="A630">
        <v>220965</v>
      </c>
      <c r="B630">
        <v>105</v>
      </c>
      <c r="C630" t="s">
        <v>557</v>
      </c>
      <c r="D630" t="s">
        <v>1786</v>
      </c>
      <c r="E630" t="s">
        <v>1787</v>
      </c>
      <c r="F630" s="451">
        <v>46112</v>
      </c>
      <c r="G630" s="451">
        <v>46112</v>
      </c>
      <c r="H630" s="451">
        <v>46129</v>
      </c>
      <c r="I630">
        <v>584.75</v>
      </c>
      <c r="J630">
        <v>486.47</v>
      </c>
      <c r="K630">
        <v>584.75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461</v>
      </c>
    </row>
    <row r="631" spans="1:17" x14ac:dyDescent="0.3">
      <c r="A631">
        <v>220964</v>
      </c>
      <c r="B631">
        <v>105</v>
      </c>
      <c r="C631" t="s">
        <v>557</v>
      </c>
      <c r="D631" t="s">
        <v>1786</v>
      </c>
      <c r="E631" t="s">
        <v>3240</v>
      </c>
      <c r="F631" s="451">
        <v>46107</v>
      </c>
      <c r="G631" s="451">
        <v>46107</v>
      </c>
      <c r="H631" s="451">
        <v>46135</v>
      </c>
      <c r="I631">
        <v>559.20000000000005</v>
      </c>
      <c r="J631">
        <v>559.20000000000005</v>
      </c>
      <c r="K631">
        <v>559.20000000000005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461</v>
      </c>
    </row>
    <row r="632" spans="1:17" x14ac:dyDescent="0.3">
      <c r="A632">
        <v>220963</v>
      </c>
      <c r="B632">
        <v>105</v>
      </c>
      <c r="C632" t="s">
        <v>557</v>
      </c>
      <c r="D632" t="s">
        <v>1786</v>
      </c>
      <c r="E632" t="s">
        <v>3241</v>
      </c>
      <c r="F632" s="451">
        <v>46108</v>
      </c>
      <c r="G632" s="451">
        <v>46108</v>
      </c>
      <c r="H632" s="451">
        <v>46139</v>
      </c>
      <c r="I632">
        <v>486.48</v>
      </c>
      <c r="J632">
        <v>486.47</v>
      </c>
      <c r="K632">
        <v>486.48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461</v>
      </c>
    </row>
    <row r="633" spans="1:17" x14ac:dyDescent="0.3">
      <c r="A633">
        <v>220962</v>
      </c>
      <c r="B633">
        <v>105</v>
      </c>
      <c r="C633" t="s">
        <v>557</v>
      </c>
      <c r="D633" t="s">
        <v>2675</v>
      </c>
      <c r="E633" t="s">
        <v>3242</v>
      </c>
      <c r="F633" s="451">
        <v>46104</v>
      </c>
      <c r="G633" s="451">
        <v>46104</v>
      </c>
      <c r="H633" s="451">
        <v>46132</v>
      </c>
      <c r="I633">
        <v>854.1</v>
      </c>
      <c r="J633">
        <v>854.1</v>
      </c>
      <c r="K633">
        <v>854.1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461</v>
      </c>
    </row>
    <row r="634" spans="1:17" x14ac:dyDescent="0.3">
      <c r="A634">
        <v>220961</v>
      </c>
      <c r="B634">
        <v>105</v>
      </c>
      <c r="C634" t="s">
        <v>557</v>
      </c>
      <c r="D634" t="s">
        <v>2675</v>
      </c>
      <c r="E634" t="s">
        <v>3243</v>
      </c>
      <c r="F634" s="451">
        <v>46097</v>
      </c>
      <c r="G634" s="451">
        <v>46097</v>
      </c>
      <c r="H634" s="451">
        <v>46125</v>
      </c>
      <c r="I634">
        <v>624</v>
      </c>
      <c r="J634">
        <v>624</v>
      </c>
      <c r="K634">
        <v>624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461</v>
      </c>
    </row>
    <row r="635" spans="1:17" x14ac:dyDescent="0.3">
      <c r="A635">
        <v>220960</v>
      </c>
      <c r="B635">
        <v>105</v>
      </c>
      <c r="C635" t="s">
        <v>557</v>
      </c>
      <c r="D635" t="s">
        <v>2699</v>
      </c>
      <c r="E635" t="s">
        <v>3244</v>
      </c>
      <c r="F635" s="451">
        <v>46098</v>
      </c>
      <c r="G635" s="451">
        <v>46098</v>
      </c>
      <c r="H635" s="451">
        <v>46126</v>
      </c>
      <c r="I635">
        <v>403.9</v>
      </c>
      <c r="J635">
        <v>403.9</v>
      </c>
      <c r="K635">
        <v>10.9</v>
      </c>
      <c r="L635">
        <v>393</v>
      </c>
      <c r="M635">
        <v>0</v>
      </c>
      <c r="N635">
        <v>0</v>
      </c>
      <c r="O635">
        <v>0</v>
      </c>
      <c r="P635">
        <v>0</v>
      </c>
      <c r="Q635" t="s">
        <v>461</v>
      </c>
    </row>
    <row r="636" spans="1:17" x14ac:dyDescent="0.3">
      <c r="A636">
        <v>220959</v>
      </c>
      <c r="B636">
        <v>105</v>
      </c>
      <c r="C636" t="s">
        <v>557</v>
      </c>
      <c r="D636" t="s">
        <v>3245</v>
      </c>
      <c r="E636" t="s">
        <v>3246</v>
      </c>
      <c r="F636" s="451">
        <v>46090</v>
      </c>
      <c r="H636" s="451">
        <v>46125</v>
      </c>
      <c r="I636">
        <v>630.84</v>
      </c>
      <c r="J636">
        <v>574.79999999999995</v>
      </c>
      <c r="K636">
        <v>0</v>
      </c>
      <c r="L636">
        <v>0</v>
      </c>
      <c r="M636">
        <v>0</v>
      </c>
      <c r="N636">
        <v>0</v>
      </c>
      <c r="O636">
        <v>630.84</v>
      </c>
      <c r="P636">
        <v>0</v>
      </c>
      <c r="Q636" t="s">
        <v>461</v>
      </c>
    </row>
    <row r="637" spans="1:17" x14ac:dyDescent="0.3">
      <c r="A637">
        <v>220958</v>
      </c>
      <c r="B637">
        <v>105</v>
      </c>
      <c r="C637" t="s">
        <v>557</v>
      </c>
      <c r="D637" t="s">
        <v>2716</v>
      </c>
      <c r="E637" t="s">
        <v>3247</v>
      </c>
      <c r="F637" s="451">
        <v>46107</v>
      </c>
      <c r="G637" s="451">
        <v>46107</v>
      </c>
      <c r="H637" s="451">
        <v>46129</v>
      </c>
      <c r="I637">
        <v>240</v>
      </c>
      <c r="J637">
        <v>240</v>
      </c>
      <c r="K637">
        <v>240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461</v>
      </c>
    </row>
    <row r="638" spans="1:17" x14ac:dyDescent="0.3">
      <c r="A638">
        <v>220957</v>
      </c>
      <c r="B638">
        <v>105</v>
      </c>
      <c r="C638" t="s">
        <v>557</v>
      </c>
      <c r="D638" t="s">
        <v>2579</v>
      </c>
      <c r="E638" t="s">
        <v>3248</v>
      </c>
      <c r="F638" s="451">
        <v>46098</v>
      </c>
      <c r="G638" s="451">
        <v>46098</v>
      </c>
      <c r="H638" s="451">
        <v>46126</v>
      </c>
      <c r="I638">
        <v>185.11</v>
      </c>
      <c r="J638">
        <v>160.11000000000001</v>
      </c>
      <c r="K638">
        <v>185.11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461</v>
      </c>
    </row>
    <row r="639" spans="1:17" x14ac:dyDescent="0.3">
      <c r="A639">
        <v>220956</v>
      </c>
      <c r="B639">
        <v>105</v>
      </c>
      <c r="C639" t="s">
        <v>557</v>
      </c>
      <c r="D639" t="s">
        <v>2579</v>
      </c>
      <c r="E639" t="s">
        <v>3249</v>
      </c>
      <c r="F639" s="451">
        <v>46100</v>
      </c>
      <c r="G639" s="451">
        <v>46100</v>
      </c>
      <c r="H639" s="451">
        <v>46128</v>
      </c>
      <c r="I639">
        <v>328.92</v>
      </c>
      <c r="J639">
        <v>333.8</v>
      </c>
      <c r="K639">
        <v>328.92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461</v>
      </c>
    </row>
    <row r="640" spans="1:17" x14ac:dyDescent="0.3">
      <c r="A640">
        <v>220955</v>
      </c>
      <c r="B640">
        <v>105</v>
      </c>
      <c r="C640" t="s">
        <v>557</v>
      </c>
      <c r="D640" t="s">
        <v>2579</v>
      </c>
      <c r="E640" t="s">
        <v>3250</v>
      </c>
      <c r="F640" s="451">
        <v>46104</v>
      </c>
      <c r="G640" s="451">
        <v>46104</v>
      </c>
      <c r="H640" s="451">
        <v>46132</v>
      </c>
      <c r="I640">
        <v>335.9</v>
      </c>
      <c r="J640">
        <v>335.9</v>
      </c>
      <c r="K640">
        <v>335.9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461</v>
      </c>
    </row>
    <row r="641" spans="1:17" x14ac:dyDescent="0.3">
      <c r="A641">
        <v>220954</v>
      </c>
      <c r="B641">
        <v>105</v>
      </c>
      <c r="C641" t="s">
        <v>557</v>
      </c>
      <c r="D641" t="s">
        <v>2579</v>
      </c>
      <c r="E641" t="s">
        <v>3251</v>
      </c>
      <c r="F641" s="451">
        <v>46105</v>
      </c>
      <c r="G641" s="451">
        <v>46105</v>
      </c>
      <c r="H641" s="451">
        <v>46133</v>
      </c>
      <c r="I641">
        <v>163.59</v>
      </c>
      <c r="J641">
        <v>163.59</v>
      </c>
      <c r="K641">
        <v>163.59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461</v>
      </c>
    </row>
    <row r="642" spans="1:17" x14ac:dyDescent="0.3">
      <c r="A642">
        <v>220953</v>
      </c>
      <c r="B642">
        <v>105</v>
      </c>
      <c r="C642" t="s">
        <v>557</v>
      </c>
      <c r="D642" t="s">
        <v>2579</v>
      </c>
      <c r="E642" t="s">
        <v>3252</v>
      </c>
      <c r="F642" s="451">
        <v>46106</v>
      </c>
      <c r="G642" s="451">
        <v>46106</v>
      </c>
      <c r="H642" s="451">
        <v>46134</v>
      </c>
      <c r="I642">
        <v>132.66</v>
      </c>
      <c r="J642">
        <v>132.66</v>
      </c>
      <c r="K642">
        <v>132.66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461</v>
      </c>
    </row>
    <row r="643" spans="1:17" x14ac:dyDescent="0.3">
      <c r="A643">
        <v>220952</v>
      </c>
      <c r="B643">
        <v>105</v>
      </c>
      <c r="C643" t="s">
        <v>557</v>
      </c>
      <c r="D643" t="s">
        <v>2579</v>
      </c>
      <c r="E643" t="s">
        <v>3253</v>
      </c>
      <c r="F643" s="451">
        <v>46107</v>
      </c>
      <c r="G643" s="451">
        <v>46107</v>
      </c>
      <c r="H643" s="451">
        <v>46135</v>
      </c>
      <c r="I643">
        <v>109.35</v>
      </c>
      <c r="J643">
        <v>109.35</v>
      </c>
      <c r="K643">
        <v>109.35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461</v>
      </c>
    </row>
    <row r="644" spans="1:17" x14ac:dyDescent="0.3">
      <c r="A644">
        <v>220951</v>
      </c>
      <c r="B644">
        <v>105</v>
      </c>
      <c r="C644" t="s">
        <v>557</v>
      </c>
      <c r="D644" t="s">
        <v>2792</v>
      </c>
      <c r="E644" t="s">
        <v>3254</v>
      </c>
      <c r="F644" s="451">
        <v>46111</v>
      </c>
      <c r="G644" s="451">
        <v>46111</v>
      </c>
      <c r="H644" s="451">
        <v>46132</v>
      </c>
      <c r="I644">
        <v>632.5</v>
      </c>
      <c r="J644">
        <v>599.5</v>
      </c>
      <c r="K644">
        <v>632.5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461</v>
      </c>
    </row>
    <row r="645" spans="1:17" x14ac:dyDescent="0.3">
      <c r="A645">
        <v>220950</v>
      </c>
      <c r="B645">
        <v>105</v>
      </c>
      <c r="C645" t="s">
        <v>557</v>
      </c>
      <c r="D645" t="s">
        <v>2600</v>
      </c>
      <c r="E645" t="s">
        <v>3255</v>
      </c>
      <c r="F645" s="451">
        <v>46112</v>
      </c>
      <c r="G645" s="451">
        <v>46112</v>
      </c>
      <c r="H645" s="451">
        <v>46136</v>
      </c>
      <c r="I645">
        <v>427.78</v>
      </c>
      <c r="J645">
        <v>427.78</v>
      </c>
      <c r="K645">
        <v>427.78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461</v>
      </c>
    </row>
    <row r="646" spans="1:17" x14ac:dyDescent="0.3">
      <c r="A646">
        <v>220949</v>
      </c>
      <c r="B646">
        <v>105</v>
      </c>
      <c r="C646" t="s">
        <v>557</v>
      </c>
      <c r="D646" t="s">
        <v>2600</v>
      </c>
      <c r="E646" t="s">
        <v>3256</v>
      </c>
      <c r="F646" s="451">
        <v>46098</v>
      </c>
      <c r="G646" s="451">
        <v>46098</v>
      </c>
      <c r="H646" s="451">
        <v>46128</v>
      </c>
      <c r="I646">
        <v>253.46</v>
      </c>
      <c r="J646">
        <v>253.46</v>
      </c>
      <c r="K646">
        <v>253.46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461</v>
      </c>
    </row>
    <row r="647" spans="1:17" x14ac:dyDescent="0.3">
      <c r="A647">
        <v>220948</v>
      </c>
      <c r="B647">
        <v>105</v>
      </c>
      <c r="C647" t="s">
        <v>557</v>
      </c>
      <c r="D647" t="s">
        <v>2550</v>
      </c>
      <c r="E647" t="s">
        <v>3257</v>
      </c>
      <c r="F647" s="451">
        <v>46098</v>
      </c>
      <c r="G647" s="451">
        <v>46098</v>
      </c>
      <c r="H647" s="451">
        <v>46128</v>
      </c>
      <c r="I647">
        <v>1043.92</v>
      </c>
      <c r="J647">
        <v>980.2</v>
      </c>
      <c r="K647">
        <v>0</v>
      </c>
      <c r="L647">
        <v>1043.92</v>
      </c>
      <c r="M647">
        <v>0</v>
      </c>
      <c r="N647">
        <v>0</v>
      </c>
      <c r="O647">
        <v>0</v>
      </c>
      <c r="P647">
        <v>0</v>
      </c>
      <c r="Q647" t="s">
        <v>461</v>
      </c>
    </row>
    <row r="648" spans="1:17" x14ac:dyDescent="0.3">
      <c r="A648">
        <v>220947</v>
      </c>
      <c r="B648">
        <v>105</v>
      </c>
      <c r="C648" t="s">
        <v>557</v>
      </c>
      <c r="D648" t="s">
        <v>2597</v>
      </c>
      <c r="E648" t="s">
        <v>3258</v>
      </c>
      <c r="F648" s="451">
        <v>46111</v>
      </c>
      <c r="G648" s="451">
        <v>46111</v>
      </c>
      <c r="H648" s="451">
        <v>46139</v>
      </c>
      <c r="I648">
        <v>2531.46</v>
      </c>
      <c r="J648">
        <v>2531.46</v>
      </c>
      <c r="K648">
        <v>2531.46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461</v>
      </c>
    </row>
    <row r="649" spans="1:17" x14ac:dyDescent="0.3">
      <c r="A649">
        <v>220946</v>
      </c>
      <c r="B649">
        <v>105</v>
      </c>
      <c r="C649" t="s">
        <v>557</v>
      </c>
      <c r="D649" t="s">
        <v>2597</v>
      </c>
      <c r="E649" t="s">
        <v>3259</v>
      </c>
      <c r="F649" s="451">
        <v>46108</v>
      </c>
      <c r="G649" s="451">
        <v>46108</v>
      </c>
      <c r="H649" s="451">
        <v>46136</v>
      </c>
      <c r="I649">
        <v>963.38</v>
      </c>
      <c r="J649">
        <v>963.38</v>
      </c>
      <c r="K649">
        <v>963.38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461</v>
      </c>
    </row>
    <row r="650" spans="1:17" x14ac:dyDescent="0.3">
      <c r="A650">
        <v>220945</v>
      </c>
      <c r="B650">
        <v>105</v>
      </c>
      <c r="C650" t="s">
        <v>557</v>
      </c>
      <c r="D650" t="s">
        <v>2597</v>
      </c>
      <c r="E650" t="s">
        <v>3260</v>
      </c>
      <c r="F650" s="451">
        <v>46105</v>
      </c>
      <c r="G650" s="451">
        <v>46105</v>
      </c>
      <c r="H650" s="451">
        <v>46133</v>
      </c>
      <c r="I650">
        <v>190.84</v>
      </c>
      <c r="J650">
        <v>190.84</v>
      </c>
      <c r="K650">
        <v>190.84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461</v>
      </c>
    </row>
    <row r="651" spans="1:17" x14ac:dyDescent="0.3">
      <c r="A651">
        <v>220944</v>
      </c>
      <c r="B651">
        <v>105</v>
      </c>
      <c r="C651" t="s">
        <v>557</v>
      </c>
      <c r="D651" t="s">
        <v>2597</v>
      </c>
      <c r="E651" t="s">
        <v>3261</v>
      </c>
      <c r="F651" s="451">
        <v>46104</v>
      </c>
      <c r="G651" s="451">
        <v>46104</v>
      </c>
      <c r="H651" s="451">
        <v>46132</v>
      </c>
      <c r="I651">
        <v>219</v>
      </c>
      <c r="J651">
        <v>219</v>
      </c>
      <c r="K651">
        <v>219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461</v>
      </c>
    </row>
    <row r="652" spans="1:17" x14ac:dyDescent="0.3">
      <c r="A652">
        <v>220943</v>
      </c>
      <c r="B652">
        <v>105</v>
      </c>
      <c r="C652" t="s">
        <v>557</v>
      </c>
      <c r="D652" t="s">
        <v>2597</v>
      </c>
      <c r="E652" t="s">
        <v>3262</v>
      </c>
      <c r="F652" s="451">
        <v>46104</v>
      </c>
      <c r="G652" s="451">
        <v>46104</v>
      </c>
      <c r="H652" s="451">
        <v>46132</v>
      </c>
      <c r="I652">
        <v>219</v>
      </c>
      <c r="J652">
        <v>219</v>
      </c>
      <c r="K652">
        <v>219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461</v>
      </c>
    </row>
    <row r="653" spans="1:17" x14ac:dyDescent="0.3">
      <c r="A653">
        <v>220942</v>
      </c>
      <c r="B653">
        <v>105</v>
      </c>
      <c r="C653" t="s">
        <v>557</v>
      </c>
      <c r="D653" t="s">
        <v>2597</v>
      </c>
      <c r="E653" t="s">
        <v>3263</v>
      </c>
      <c r="F653" s="451">
        <v>46104</v>
      </c>
      <c r="G653" s="451">
        <v>46104</v>
      </c>
      <c r="H653" s="451">
        <v>46132</v>
      </c>
      <c r="I653">
        <v>4414.8900000000003</v>
      </c>
      <c r="J653">
        <v>4414.8900000000003</v>
      </c>
      <c r="K653">
        <v>4414.8900000000003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461</v>
      </c>
    </row>
    <row r="654" spans="1:17" x14ac:dyDescent="0.3">
      <c r="A654">
        <v>220941</v>
      </c>
      <c r="B654">
        <v>105</v>
      </c>
      <c r="C654" t="s">
        <v>557</v>
      </c>
      <c r="D654" t="s">
        <v>2597</v>
      </c>
      <c r="E654" t="s">
        <v>3264</v>
      </c>
      <c r="F654" s="451">
        <v>46097</v>
      </c>
      <c r="G654" s="451">
        <v>46097</v>
      </c>
      <c r="H654" s="451">
        <v>46125</v>
      </c>
      <c r="I654">
        <v>6174.05</v>
      </c>
      <c r="J654">
        <v>6174.06</v>
      </c>
      <c r="K654">
        <v>6174.05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461</v>
      </c>
    </row>
    <row r="655" spans="1:17" x14ac:dyDescent="0.3">
      <c r="A655">
        <v>220940</v>
      </c>
      <c r="B655">
        <v>105</v>
      </c>
      <c r="C655" t="s">
        <v>557</v>
      </c>
      <c r="D655" t="s">
        <v>2557</v>
      </c>
      <c r="E655" t="s">
        <v>3265</v>
      </c>
      <c r="F655" s="451">
        <v>46099</v>
      </c>
      <c r="G655" s="451">
        <v>46099</v>
      </c>
      <c r="H655" s="451">
        <v>46128</v>
      </c>
      <c r="I655">
        <v>2059.2600000000002</v>
      </c>
      <c r="J655">
        <v>2059.2600000000002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2059.2600000000002</v>
      </c>
      <c r="Q655" t="s">
        <v>461</v>
      </c>
    </row>
    <row r="656" spans="1:17" x14ac:dyDescent="0.3">
      <c r="A656">
        <v>220939</v>
      </c>
      <c r="B656">
        <v>105</v>
      </c>
      <c r="C656" t="s">
        <v>557</v>
      </c>
      <c r="D656" t="s">
        <v>2593</v>
      </c>
      <c r="E656" t="s">
        <v>3266</v>
      </c>
      <c r="F656" s="451">
        <v>46100</v>
      </c>
      <c r="G656" s="451">
        <v>46100</v>
      </c>
      <c r="H656" s="451">
        <v>46128</v>
      </c>
      <c r="I656">
        <v>600</v>
      </c>
      <c r="J656">
        <v>600</v>
      </c>
      <c r="K656">
        <v>600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461</v>
      </c>
    </row>
    <row r="657" spans="1:17" x14ac:dyDescent="0.3">
      <c r="A657">
        <v>220938</v>
      </c>
      <c r="B657">
        <v>105</v>
      </c>
      <c r="C657" t="s">
        <v>557</v>
      </c>
      <c r="D657" t="s">
        <v>2593</v>
      </c>
      <c r="E657" t="s">
        <v>3267</v>
      </c>
      <c r="F657" s="451">
        <v>46097</v>
      </c>
      <c r="G657" s="451">
        <v>46097</v>
      </c>
      <c r="H657" s="451">
        <v>46125</v>
      </c>
      <c r="I657">
        <v>324.5</v>
      </c>
      <c r="J657">
        <v>432</v>
      </c>
      <c r="K657">
        <v>324.5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461</v>
      </c>
    </row>
    <row r="658" spans="1:17" x14ac:dyDescent="0.3">
      <c r="A658">
        <v>220937</v>
      </c>
      <c r="B658">
        <v>105</v>
      </c>
      <c r="C658" t="s">
        <v>557</v>
      </c>
      <c r="D658" t="s">
        <v>2563</v>
      </c>
      <c r="E658" t="s">
        <v>3268</v>
      </c>
      <c r="F658" s="451">
        <v>46097</v>
      </c>
      <c r="G658" s="451">
        <v>46097</v>
      </c>
      <c r="H658" s="451">
        <v>46125</v>
      </c>
      <c r="I658">
        <v>402.56</v>
      </c>
      <c r="J658">
        <v>402.56</v>
      </c>
      <c r="K658">
        <v>402.56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461</v>
      </c>
    </row>
    <row r="659" spans="1:17" x14ac:dyDescent="0.3">
      <c r="A659">
        <v>220936</v>
      </c>
      <c r="B659">
        <v>105</v>
      </c>
      <c r="C659" t="s">
        <v>557</v>
      </c>
      <c r="D659" t="s">
        <v>2563</v>
      </c>
      <c r="E659" t="s">
        <v>3269</v>
      </c>
      <c r="F659" s="451">
        <v>46100</v>
      </c>
      <c r="G659" s="451">
        <v>46100</v>
      </c>
      <c r="H659" s="451">
        <v>46128</v>
      </c>
      <c r="I659">
        <v>1373.38</v>
      </c>
      <c r="J659">
        <v>1373.36</v>
      </c>
      <c r="K659">
        <v>1373.38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461</v>
      </c>
    </row>
    <row r="660" spans="1:17" x14ac:dyDescent="0.3">
      <c r="A660">
        <v>220935</v>
      </c>
      <c r="B660">
        <v>105</v>
      </c>
      <c r="C660" t="s">
        <v>557</v>
      </c>
      <c r="D660" t="s">
        <v>2563</v>
      </c>
      <c r="E660" t="s">
        <v>3270</v>
      </c>
      <c r="F660" s="451">
        <v>46099</v>
      </c>
      <c r="G660" s="451">
        <v>46099</v>
      </c>
      <c r="H660" s="451">
        <v>46127</v>
      </c>
      <c r="I660">
        <v>126.18</v>
      </c>
      <c r="J660">
        <v>126.17</v>
      </c>
      <c r="K660">
        <v>126.18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461</v>
      </c>
    </row>
    <row r="661" spans="1:17" x14ac:dyDescent="0.3">
      <c r="A661">
        <v>220934</v>
      </c>
      <c r="B661">
        <v>105</v>
      </c>
      <c r="C661" t="s">
        <v>557</v>
      </c>
      <c r="D661" t="s">
        <v>2563</v>
      </c>
      <c r="E661" t="s">
        <v>3271</v>
      </c>
      <c r="F661" s="451">
        <v>46101</v>
      </c>
      <c r="G661" s="451">
        <v>46101</v>
      </c>
      <c r="H661" s="451">
        <v>46129</v>
      </c>
      <c r="I661">
        <v>5.55</v>
      </c>
      <c r="J661">
        <v>5.55</v>
      </c>
      <c r="K661">
        <v>5.55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461</v>
      </c>
    </row>
    <row r="662" spans="1:17" x14ac:dyDescent="0.3">
      <c r="A662">
        <v>220933</v>
      </c>
      <c r="B662">
        <v>105</v>
      </c>
      <c r="C662" t="s">
        <v>557</v>
      </c>
      <c r="D662" t="s">
        <v>2563</v>
      </c>
      <c r="E662" t="s">
        <v>3272</v>
      </c>
      <c r="F662" s="451">
        <v>46104</v>
      </c>
      <c r="G662" s="451">
        <v>46104</v>
      </c>
      <c r="H662" s="451">
        <v>46132</v>
      </c>
      <c r="I662">
        <v>816.91</v>
      </c>
      <c r="J662">
        <v>815.5</v>
      </c>
      <c r="K662">
        <v>816.91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461</v>
      </c>
    </row>
    <row r="663" spans="1:17" x14ac:dyDescent="0.3">
      <c r="A663">
        <v>220932</v>
      </c>
      <c r="B663">
        <v>105</v>
      </c>
      <c r="C663" t="s">
        <v>557</v>
      </c>
      <c r="D663" t="s">
        <v>2563</v>
      </c>
      <c r="E663" t="s">
        <v>3273</v>
      </c>
      <c r="F663" s="451">
        <v>46106</v>
      </c>
      <c r="G663" s="451">
        <v>46106</v>
      </c>
      <c r="H663" s="451">
        <v>46134</v>
      </c>
      <c r="I663">
        <v>174.46</v>
      </c>
      <c r="J663">
        <v>174.45</v>
      </c>
      <c r="K663">
        <v>174.46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461</v>
      </c>
    </row>
    <row r="664" spans="1:17" x14ac:dyDescent="0.3">
      <c r="A664">
        <v>220931</v>
      </c>
      <c r="B664">
        <v>105</v>
      </c>
      <c r="C664" t="s">
        <v>557</v>
      </c>
      <c r="D664" t="s">
        <v>2563</v>
      </c>
      <c r="E664" t="s">
        <v>3274</v>
      </c>
      <c r="F664" s="451">
        <v>46105</v>
      </c>
      <c r="G664" s="451">
        <v>46105</v>
      </c>
      <c r="H664" s="451">
        <v>46133</v>
      </c>
      <c r="I664">
        <v>81.650000000000006</v>
      </c>
      <c r="J664">
        <v>81.650000000000006</v>
      </c>
      <c r="K664">
        <v>81.650000000000006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461</v>
      </c>
    </row>
    <row r="665" spans="1:17" x14ac:dyDescent="0.3">
      <c r="A665">
        <v>220930</v>
      </c>
      <c r="B665">
        <v>105</v>
      </c>
      <c r="C665" t="s">
        <v>557</v>
      </c>
      <c r="D665" t="s">
        <v>2563</v>
      </c>
      <c r="E665" t="s">
        <v>3275</v>
      </c>
      <c r="F665" s="451">
        <v>46105</v>
      </c>
      <c r="G665" s="451">
        <v>46105</v>
      </c>
      <c r="H665" s="451">
        <v>46133</v>
      </c>
      <c r="I665">
        <v>356.08</v>
      </c>
      <c r="J665">
        <v>356.08</v>
      </c>
      <c r="K665">
        <v>356.08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461</v>
      </c>
    </row>
    <row r="666" spans="1:17" x14ac:dyDescent="0.3">
      <c r="A666">
        <v>220929</v>
      </c>
      <c r="B666">
        <v>105</v>
      </c>
      <c r="C666" t="s">
        <v>557</v>
      </c>
      <c r="D666" t="s">
        <v>2563</v>
      </c>
      <c r="E666" t="s">
        <v>3276</v>
      </c>
      <c r="F666" s="451">
        <v>46107</v>
      </c>
      <c r="G666" s="451">
        <v>46107</v>
      </c>
      <c r="H666" s="451">
        <v>46135</v>
      </c>
      <c r="I666">
        <v>1001.89</v>
      </c>
      <c r="J666">
        <v>1001.89</v>
      </c>
      <c r="K666">
        <v>1001.89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461</v>
      </c>
    </row>
    <row r="667" spans="1:17" x14ac:dyDescent="0.3">
      <c r="A667">
        <v>220928</v>
      </c>
      <c r="B667">
        <v>105</v>
      </c>
      <c r="C667" t="s">
        <v>557</v>
      </c>
      <c r="D667" t="s">
        <v>2864</v>
      </c>
      <c r="E667" t="s">
        <v>3277</v>
      </c>
      <c r="F667" s="451">
        <v>46097</v>
      </c>
      <c r="G667" s="451">
        <v>46097</v>
      </c>
      <c r="H667" s="451">
        <v>46132</v>
      </c>
      <c r="I667">
        <v>361.82</v>
      </c>
      <c r="J667">
        <v>361.82</v>
      </c>
      <c r="K667">
        <v>361.82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461</v>
      </c>
    </row>
    <row r="668" spans="1:17" x14ac:dyDescent="0.3">
      <c r="A668">
        <v>220927</v>
      </c>
      <c r="B668">
        <v>105</v>
      </c>
      <c r="C668" t="s">
        <v>557</v>
      </c>
      <c r="D668" t="s">
        <v>2864</v>
      </c>
      <c r="E668" t="s">
        <v>3278</v>
      </c>
      <c r="F668" s="451">
        <v>46098</v>
      </c>
      <c r="H668" s="451">
        <v>46132</v>
      </c>
      <c r="I668">
        <v>127.72</v>
      </c>
      <c r="J668">
        <v>127.72</v>
      </c>
      <c r="K668">
        <v>0</v>
      </c>
      <c r="L668">
        <v>0</v>
      </c>
      <c r="M668">
        <v>106.72</v>
      </c>
      <c r="N668">
        <v>0</v>
      </c>
      <c r="O668">
        <v>21</v>
      </c>
      <c r="P668">
        <v>0</v>
      </c>
      <c r="Q668" t="s">
        <v>461</v>
      </c>
    </row>
    <row r="669" spans="1:17" x14ac:dyDescent="0.3">
      <c r="A669">
        <v>220926</v>
      </c>
      <c r="B669">
        <v>105</v>
      </c>
      <c r="C669" t="s">
        <v>557</v>
      </c>
      <c r="D669" t="s">
        <v>2581</v>
      </c>
      <c r="E669" t="s">
        <v>3279</v>
      </c>
      <c r="F669" s="451">
        <v>46099</v>
      </c>
      <c r="G669" s="451">
        <v>46099</v>
      </c>
      <c r="H669" s="451">
        <v>46127</v>
      </c>
      <c r="I669">
        <v>370.95</v>
      </c>
      <c r="J669">
        <v>370.95</v>
      </c>
      <c r="K669">
        <v>370.95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461</v>
      </c>
    </row>
    <row r="670" spans="1:17" x14ac:dyDescent="0.3">
      <c r="A670">
        <v>220925</v>
      </c>
      <c r="B670">
        <v>105</v>
      </c>
      <c r="C670" t="s">
        <v>557</v>
      </c>
      <c r="D670" t="s">
        <v>2581</v>
      </c>
      <c r="E670" t="s">
        <v>3280</v>
      </c>
      <c r="F670" s="451">
        <v>46098</v>
      </c>
      <c r="G670" s="451">
        <v>46098</v>
      </c>
      <c r="H670" s="451">
        <v>46126</v>
      </c>
      <c r="I670">
        <v>193</v>
      </c>
      <c r="J670">
        <v>193</v>
      </c>
      <c r="K670">
        <v>193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461</v>
      </c>
    </row>
    <row r="671" spans="1:17" x14ac:dyDescent="0.3">
      <c r="A671">
        <v>220924</v>
      </c>
      <c r="B671">
        <v>105</v>
      </c>
      <c r="C671" t="s">
        <v>557</v>
      </c>
      <c r="D671" t="s">
        <v>2581</v>
      </c>
      <c r="E671" t="s">
        <v>3281</v>
      </c>
      <c r="F671" s="451">
        <v>46097</v>
      </c>
      <c r="G671" s="451">
        <v>46097</v>
      </c>
      <c r="H671" s="451">
        <v>46125</v>
      </c>
      <c r="I671">
        <v>622.9</v>
      </c>
      <c r="J671">
        <v>622.9</v>
      </c>
      <c r="K671">
        <v>622.9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461</v>
      </c>
    </row>
    <row r="672" spans="1:17" x14ac:dyDescent="0.3">
      <c r="A672">
        <v>220923</v>
      </c>
      <c r="B672">
        <v>105</v>
      </c>
      <c r="C672" t="s">
        <v>557</v>
      </c>
      <c r="D672" t="s">
        <v>2637</v>
      </c>
      <c r="E672" t="s">
        <v>3282</v>
      </c>
      <c r="F672" s="451">
        <v>46104</v>
      </c>
      <c r="G672" s="451">
        <v>46104</v>
      </c>
      <c r="H672" s="451">
        <v>46132</v>
      </c>
      <c r="I672">
        <v>394.8</v>
      </c>
      <c r="J672">
        <v>394.8</v>
      </c>
      <c r="K672">
        <v>0</v>
      </c>
      <c r="L672">
        <v>394.8</v>
      </c>
      <c r="M672">
        <v>0</v>
      </c>
      <c r="N672">
        <v>0</v>
      </c>
      <c r="O672">
        <v>0</v>
      </c>
      <c r="P672">
        <v>0</v>
      </c>
      <c r="Q672" t="s">
        <v>461</v>
      </c>
    </row>
    <row r="673" spans="1:17" x14ac:dyDescent="0.3">
      <c r="A673">
        <v>220922</v>
      </c>
      <c r="B673">
        <v>105</v>
      </c>
      <c r="C673" t="s">
        <v>557</v>
      </c>
      <c r="D673" t="s">
        <v>2585</v>
      </c>
      <c r="E673" t="s">
        <v>3283</v>
      </c>
      <c r="F673" s="451">
        <v>46104</v>
      </c>
      <c r="G673" s="451">
        <v>46104</v>
      </c>
      <c r="H673" s="451">
        <v>46132</v>
      </c>
      <c r="I673">
        <v>3081.74</v>
      </c>
      <c r="J673">
        <v>3081.74</v>
      </c>
      <c r="K673">
        <v>3081.74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461</v>
      </c>
    </row>
    <row r="674" spans="1:17" x14ac:dyDescent="0.3">
      <c r="A674">
        <v>220921</v>
      </c>
      <c r="B674">
        <v>105</v>
      </c>
      <c r="C674" t="s">
        <v>557</v>
      </c>
      <c r="D674" t="s">
        <v>2585</v>
      </c>
      <c r="E674" t="s">
        <v>3284</v>
      </c>
      <c r="F674" s="451">
        <v>46097</v>
      </c>
      <c r="G674" s="451">
        <v>46097</v>
      </c>
      <c r="H674" s="451">
        <v>46125</v>
      </c>
      <c r="I674">
        <v>3031.2</v>
      </c>
      <c r="J674">
        <v>3031.2</v>
      </c>
      <c r="K674">
        <v>3031.2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461</v>
      </c>
    </row>
    <row r="675" spans="1:17" x14ac:dyDescent="0.3">
      <c r="A675">
        <v>220920</v>
      </c>
      <c r="B675">
        <v>105</v>
      </c>
      <c r="C675" t="s">
        <v>557</v>
      </c>
      <c r="D675" t="s">
        <v>2607</v>
      </c>
      <c r="E675" t="s">
        <v>3285</v>
      </c>
      <c r="F675" s="451">
        <v>46106</v>
      </c>
      <c r="G675" s="451">
        <v>46106</v>
      </c>
      <c r="H675" s="451">
        <v>46134</v>
      </c>
      <c r="I675">
        <v>409.09</v>
      </c>
      <c r="J675">
        <v>409.09</v>
      </c>
      <c r="K675">
        <v>409.09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461</v>
      </c>
    </row>
    <row r="676" spans="1:17" x14ac:dyDescent="0.3">
      <c r="A676">
        <v>220919</v>
      </c>
      <c r="B676">
        <v>105</v>
      </c>
      <c r="C676" t="s">
        <v>557</v>
      </c>
      <c r="D676" t="s">
        <v>2607</v>
      </c>
      <c r="E676" t="s">
        <v>3286</v>
      </c>
      <c r="F676" s="451">
        <v>46104</v>
      </c>
      <c r="G676" s="451">
        <v>46104</v>
      </c>
      <c r="H676" s="451">
        <v>46132</v>
      </c>
      <c r="I676">
        <v>3323.41</v>
      </c>
      <c r="J676">
        <v>3323.41</v>
      </c>
      <c r="K676">
        <v>3323.41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461</v>
      </c>
    </row>
    <row r="677" spans="1:17" x14ac:dyDescent="0.3">
      <c r="A677">
        <v>220918</v>
      </c>
      <c r="B677">
        <v>105</v>
      </c>
      <c r="C677" t="s">
        <v>557</v>
      </c>
      <c r="D677" t="s">
        <v>2607</v>
      </c>
      <c r="E677" t="s">
        <v>3287</v>
      </c>
      <c r="F677" s="451">
        <v>46097</v>
      </c>
      <c r="G677" s="451">
        <v>46097</v>
      </c>
      <c r="H677" s="451">
        <v>46125</v>
      </c>
      <c r="I677">
        <v>1700</v>
      </c>
      <c r="J677">
        <v>1700</v>
      </c>
      <c r="K677">
        <v>1700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461</v>
      </c>
    </row>
    <row r="678" spans="1:17" x14ac:dyDescent="0.3">
      <c r="A678">
        <v>220917</v>
      </c>
      <c r="B678">
        <v>105</v>
      </c>
      <c r="C678" t="s">
        <v>557</v>
      </c>
      <c r="D678" t="s">
        <v>2642</v>
      </c>
      <c r="E678" t="s">
        <v>1171</v>
      </c>
      <c r="F678" s="451">
        <v>46104</v>
      </c>
      <c r="G678" s="451">
        <v>46104</v>
      </c>
      <c r="H678" s="451">
        <v>46132</v>
      </c>
      <c r="I678">
        <v>1184.95</v>
      </c>
      <c r="J678">
        <v>1184.95</v>
      </c>
      <c r="K678">
        <v>0</v>
      </c>
      <c r="L678">
        <v>1184.95</v>
      </c>
      <c r="M678">
        <v>0</v>
      </c>
      <c r="N678">
        <v>0</v>
      </c>
      <c r="O678">
        <v>0</v>
      </c>
      <c r="P678">
        <v>0</v>
      </c>
      <c r="Q678" t="s">
        <v>461</v>
      </c>
    </row>
    <row r="679" spans="1:17" x14ac:dyDescent="0.3">
      <c r="A679">
        <v>220915</v>
      </c>
      <c r="B679">
        <v>105</v>
      </c>
      <c r="C679" t="s">
        <v>557</v>
      </c>
      <c r="D679" t="s">
        <v>2642</v>
      </c>
      <c r="E679" t="s">
        <v>3288</v>
      </c>
      <c r="F679" s="451">
        <v>46097</v>
      </c>
      <c r="G679" s="451">
        <v>46097</v>
      </c>
      <c r="H679" s="451">
        <v>46125</v>
      </c>
      <c r="I679">
        <v>354.98</v>
      </c>
      <c r="J679">
        <v>354.98</v>
      </c>
      <c r="K679">
        <v>0</v>
      </c>
      <c r="L679">
        <v>354.98</v>
      </c>
      <c r="M679">
        <v>0</v>
      </c>
      <c r="N679">
        <v>0</v>
      </c>
      <c r="O679">
        <v>0</v>
      </c>
      <c r="P679">
        <v>0</v>
      </c>
      <c r="Q679" t="s">
        <v>461</v>
      </c>
    </row>
    <row r="680" spans="1:17" x14ac:dyDescent="0.3">
      <c r="A680">
        <v>220914</v>
      </c>
      <c r="B680">
        <v>105</v>
      </c>
      <c r="C680" t="s">
        <v>557</v>
      </c>
      <c r="D680" t="s">
        <v>2590</v>
      </c>
      <c r="E680" t="s">
        <v>3289</v>
      </c>
      <c r="F680" s="451">
        <v>46104</v>
      </c>
      <c r="G680" s="451">
        <v>46104</v>
      </c>
      <c r="H680" s="451">
        <v>46135</v>
      </c>
      <c r="I680">
        <v>5353.93</v>
      </c>
      <c r="J680">
        <v>5450.39</v>
      </c>
      <c r="K680">
        <v>0</v>
      </c>
      <c r="L680">
        <v>5353.93</v>
      </c>
      <c r="M680">
        <v>0</v>
      </c>
      <c r="N680">
        <v>0</v>
      </c>
      <c r="O680">
        <v>0</v>
      </c>
      <c r="P680">
        <v>0</v>
      </c>
      <c r="Q680" t="s">
        <v>461</v>
      </c>
    </row>
    <row r="681" spans="1:17" x14ac:dyDescent="0.3">
      <c r="A681">
        <v>220913</v>
      </c>
      <c r="B681">
        <v>105</v>
      </c>
      <c r="C681" t="s">
        <v>557</v>
      </c>
      <c r="D681" t="s">
        <v>2590</v>
      </c>
      <c r="E681" t="s">
        <v>3290</v>
      </c>
      <c r="F681" s="451">
        <v>46097</v>
      </c>
      <c r="G681" s="451">
        <v>46097</v>
      </c>
      <c r="H681" s="451">
        <v>46128</v>
      </c>
      <c r="I681">
        <v>4398.08</v>
      </c>
      <c r="J681">
        <v>4391.6400000000003</v>
      </c>
      <c r="K681">
        <v>0</v>
      </c>
      <c r="L681">
        <v>4398.08</v>
      </c>
      <c r="M681">
        <v>0</v>
      </c>
      <c r="N681">
        <v>0</v>
      </c>
      <c r="O681">
        <v>0</v>
      </c>
      <c r="P681">
        <v>0</v>
      </c>
      <c r="Q681" t="s">
        <v>461</v>
      </c>
    </row>
    <row r="682" spans="1:17" x14ac:dyDescent="0.3">
      <c r="A682">
        <v>220912</v>
      </c>
      <c r="B682">
        <v>105</v>
      </c>
      <c r="C682" t="s">
        <v>557</v>
      </c>
      <c r="D682" t="s">
        <v>2615</v>
      </c>
      <c r="E682" t="s">
        <v>3291</v>
      </c>
      <c r="F682" s="451">
        <v>46108</v>
      </c>
      <c r="G682" s="451">
        <v>46108</v>
      </c>
      <c r="H682" s="451">
        <v>46135</v>
      </c>
      <c r="I682">
        <v>123.9</v>
      </c>
      <c r="J682">
        <v>123.9</v>
      </c>
      <c r="K682">
        <v>123.9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461</v>
      </c>
    </row>
    <row r="683" spans="1:17" x14ac:dyDescent="0.3">
      <c r="A683">
        <v>220804</v>
      </c>
      <c r="B683">
        <v>105</v>
      </c>
      <c r="C683" t="s">
        <v>557</v>
      </c>
      <c r="D683" t="s">
        <v>2644</v>
      </c>
      <c r="E683" t="s">
        <v>3292</v>
      </c>
      <c r="F683" s="451">
        <v>46082</v>
      </c>
      <c r="H683" s="451">
        <v>46118</v>
      </c>
      <c r="I683">
        <v>140.93</v>
      </c>
      <c r="J683">
        <v>82.54</v>
      </c>
      <c r="K683">
        <v>0</v>
      </c>
      <c r="L683">
        <v>0</v>
      </c>
      <c r="M683">
        <v>140.93</v>
      </c>
      <c r="N683">
        <v>0</v>
      </c>
      <c r="O683">
        <v>0</v>
      </c>
      <c r="P683">
        <v>0</v>
      </c>
      <c r="Q683" t="s">
        <v>461</v>
      </c>
    </row>
    <row r="684" spans="1:17" x14ac:dyDescent="0.3">
      <c r="A684">
        <v>220794</v>
      </c>
      <c r="B684">
        <v>105</v>
      </c>
      <c r="C684" t="s">
        <v>557</v>
      </c>
      <c r="D684" t="s">
        <v>2552</v>
      </c>
      <c r="E684" t="s">
        <v>3293</v>
      </c>
      <c r="F684" s="451">
        <v>46105</v>
      </c>
      <c r="G684" s="451">
        <v>46105</v>
      </c>
      <c r="H684" s="451">
        <v>46119</v>
      </c>
      <c r="I684">
        <v>183</v>
      </c>
      <c r="J684">
        <v>158</v>
      </c>
      <c r="K684">
        <v>183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461</v>
      </c>
    </row>
    <row r="685" spans="1:17" x14ac:dyDescent="0.3">
      <c r="A685">
        <v>220793</v>
      </c>
      <c r="B685">
        <v>105</v>
      </c>
      <c r="C685" t="s">
        <v>557</v>
      </c>
      <c r="D685" t="s">
        <v>3294</v>
      </c>
      <c r="E685" t="s">
        <v>3295</v>
      </c>
      <c r="F685" s="451">
        <v>46092</v>
      </c>
      <c r="H685" s="451">
        <v>46112</v>
      </c>
      <c r="I685">
        <v>479.99</v>
      </c>
      <c r="J685">
        <v>480</v>
      </c>
      <c r="K685">
        <v>0</v>
      </c>
      <c r="L685">
        <v>0</v>
      </c>
      <c r="M685">
        <v>479.99</v>
      </c>
      <c r="N685">
        <v>0</v>
      </c>
      <c r="O685">
        <v>0</v>
      </c>
      <c r="P685">
        <v>0</v>
      </c>
      <c r="Q685" t="s">
        <v>461</v>
      </c>
    </row>
    <row r="686" spans="1:17" x14ac:dyDescent="0.3">
      <c r="A686">
        <v>220791</v>
      </c>
      <c r="B686">
        <v>105</v>
      </c>
      <c r="C686" t="s">
        <v>557</v>
      </c>
      <c r="D686" t="s">
        <v>2798</v>
      </c>
      <c r="E686" t="s">
        <v>1465</v>
      </c>
      <c r="F686" s="451">
        <v>46105</v>
      </c>
      <c r="G686" s="451">
        <v>46105</v>
      </c>
      <c r="H686" s="451">
        <v>46119</v>
      </c>
      <c r="I686">
        <v>1958.2</v>
      </c>
      <c r="J686">
        <v>1958.2</v>
      </c>
      <c r="K686">
        <v>1958.2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461</v>
      </c>
    </row>
    <row r="687" spans="1:17" x14ac:dyDescent="0.3">
      <c r="A687">
        <v>220787</v>
      </c>
      <c r="B687">
        <v>105</v>
      </c>
      <c r="C687" t="s">
        <v>557</v>
      </c>
      <c r="D687" t="s">
        <v>2554</v>
      </c>
      <c r="E687" t="s">
        <v>3296</v>
      </c>
      <c r="F687" s="451">
        <v>46106</v>
      </c>
      <c r="H687" s="451">
        <v>46120</v>
      </c>
      <c r="I687">
        <v>1477.48</v>
      </c>
      <c r="J687">
        <v>1477.48</v>
      </c>
      <c r="K687">
        <v>0</v>
      </c>
      <c r="L687">
        <v>0</v>
      </c>
      <c r="M687">
        <v>1002.98</v>
      </c>
      <c r="N687">
        <v>10.5</v>
      </c>
      <c r="O687">
        <v>31</v>
      </c>
      <c r="P687">
        <v>433</v>
      </c>
      <c r="Q687" t="s">
        <v>461</v>
      </c>
    </row>
    <row r="688" spans="1:17" x14ac:dyDescent="0.3">
      <c r="A688">
        <v>220786</v>
      </c>
      <c r="B688">
        <v>105</v>
      </c>
      <c r="C688" t="s">
        <v>557</v>
      </c>
      <c r="D688" t="s">
        <v>2557</v>
      </c>
      <c r="E688" t="s">
        <v>3297</v>
      </c>
      <c r="F688" s="451">
        <v>46106</v>
      </c>
      <c r="G688" s="451">
        <v>46106</v>
      </c>
      <c r="H688" s="451">
        <v>46134</v>
      </c>
      <c r="I688">
        <v>670.38</v>
      </c>
      <c r="J688">
        <v>670.38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670.38</v>
      </c>
      <c r="Q688" t="s">
        <v>461</v>
      </c>
    </row>
    <row r="689" spans="1:17" x14ac:dyDescent="0.3">
      <c r="A689">
        <v>220783</v>
      </c>
      <c r="B689">
        <v>105</v>
      </c>
      <c r="C689" t="s">
        <v>557</v>
      </c>
      <c r="D689" t="s">
        <v>2779</v>
      </c>
      <c r="E689" t="s">
        <v>3298</v>
      </c>
      <c r="F689" s="451">
        <v>46104</v>
      </c>
      <c r="G689" s="451">
        <v>46104</v>
      </c>
      <c r="H689" s="451">
        <v>46119</v>
      </c>
      <c r="I689">
        <v>1726.76</v>
      </c>
      <c r="J689">
        <v>890.85</v>
      </c>
      <c r="K689">
        <v>1726.76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461</v>
      </c>
    </row>
    <row r="690" spans="1:17" x14ac:dyDescent="0.3">
      <c r="A690">
        <v>220781</v>
      </c>
      <c r="B690">
        <v>105</v>
      </c>
      <c r="C690" t="s">
        <v>557</v>
      </c>
      <c r="D690" t="s">
        <v>2991</v>
      </c>
      <c r="E690" t="s">
        <v>3299</v>
      </c>
      <c r="F690" s="451">
        <v>46104</v>
      </c>
      <c r="G690" s="451">
        <v>46104</v>
      </c>
      <c r="H690" s="451">
        <v>46118</v>
      </c>
      <c r="I690">
        <v>665.6</v>
      </c>
      <c r="J690">
        <v>665.6</v>
      </c>
      <c r="K690">
        <v>0</v>
      </c>
      <c r="L690">
        <v>665.6</v>
      </c>
      <c r="M690">
        <v>0</v>
      </c>
      <c r="N690">
        <v>0</v>
      </c>
      <c r="O690">
        <v>0</v>
      </c>
      <c r="P690">
        <v>0</v>
      </c>
      <c r="Q690" t="s">
        <v>461</v>
      </c>
    </row>
    <row r="691" spans="1:17" x14ac:dyDescent="0.3">
      <c r="A691">
        <v>220779</v>
      </c>
      <c r="B691">
        <v>105</v>
      </c>
      <c r="C691" t="s">
        <v>557</v>
      </c>
      <c r="D691" t="s">
        <v>2653</v>
      </c>
      <c r="E691" t="s">
        <v>3300</v>
      </c>
      <c r="F691" s="451">
        <v>46104</v>
      </c>
      <c r="G691" s="451">
        <v>46104</v>
      </c>
      <c r="H691" s="451">
        <v>46115</v>
      </c>
      <c r="I691">
        <v>133.75</v>
      </c>
      <c r="J691">
        <v>103.75</v>
      </c>
      <c r="K691">
        <v>133.75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461</v>
      </c>
    </row>
    <row r="692" spans="1:17" x14ac:dyDescent="0.3">
      <c r="A692">
        <v>220777</v>
      </c>
      <c r="B692">
        <v>105</v>
      </c>
      <c r="C692" t="s">
        <v>557</v>
      </c>
      <c r="D692" t="s">
        <v>2593</v>
      </c>
      <c r="E692" t="s">
        <v>3301</v>
      </c>
      <c r="F692" s="451">
        <v>46094</v>
      </c>
      <c r="G692" s="451">
        <v>46094</v>
      </c>
      <c r="H692" s="451">
        <v>46122</v>
      </c>
      <c r="I692">
        <v>760</v>
      </c>
      <c r="J692">
        <v>760</v>
      </c>
      <c r="K692">
        <v>760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461</v>
      </c>
    </row>
    <row r="693" spans="1:17" x14ac:dyDescent="0.3">
      <c r="A693">
        <v>220774</v>
      </c>
      <c r="B693">
        <v>105</v>
      </c>
      <c r="C693" t="s">
        <v>557</v>
      </c>
      <c r="D693" t="s">
        <v>2864</v>
      </c>
      <c r="E693" t="s">
        <v>3302</v>
      </c>
      <c r="F693" s="451">
        <v>46083</v>
      </c>
      <c r="H693" s="451">
        <v>46118</v>
      </c>
      <c r="I693">
        <v>116.25</v>
      </c>
      <c r="J693">
        <v>116.25</v>
      </c>
      <c r="K693">
        <v>0</v>
      </c>
      <c r="L693">
        <v>0</v>
      </c>
      <c r="M693">
        <v>116.25</v>
      </c>
      <c r="N693">
        <v>0</v>
      </c>
      <c r="O693">
        <v>0</v>
      </c>
      <c r="P693">
        <v>0</v>
      </c>
      <c r="Q693" t="s">
        <v>461</v>
      </c>
    </row>
    <row r="694" spans="1:17" x14ac:dyDescent="0.3">
      <c r="A694">
        <v>220772</v>
      </c>
      <c r="B694">
        <v>105</v>
      </c>
      <c r="C694" t="s">
        <v>557</v>
      </c>
      <c r="D694" t="s">
        <v>2563</v>
      </c>
      <c r="E694" t="s">
        <v>3303</v>
      </c>
      <c r="F694" s="451">
        <v>46093</v>
      </c>
      <c r="G694" s="451">
        <v>46093</v>
      </c>
      <c r="H694" s="451">
        <v>46121</v>
      </c>
      <c r="I694">
        <v>293.25</v>
      </c>
      <c r="J694">
        <v>293.24</v>
      </c>
      <c r="K694">
        <v>293.25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461</v>
      </c>
    </row>
    <row r="695" spans="1:17" x14ac:dyDescent="0.3">
      <c r="A695">
        <v>220770</v>
      </c>
      <c r="B695">
        <v>105</v>
      </c>
      <c r="C695" t="s">
        <v>557</v>
      </c>
      <c r="D695" t="s">
        <v>2563</v>
      </c>
      <c r="E695" t="s">
        <v>3304</v>
      </c>
      <c r="F695" s="451">
        <v>46094</v>
      </c>
      <c r="G695" s="451">
        <v>46094</v>
      </c>
      <c r="H695" s="451">
        <v>46122</v>
      </c>
      <c r="I695">
        <v>39.15</v>
      </c>
      <c r="J695">
        <v>39.15</v>
      </c>
      <c r="K695">
        <v>39.15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461</v>
      </c>
    </row>
    <row r="696" spans="1:17" x14ac:dyDescent="0.3">
      <c r="A696">
        <v>220759</v>
      </c>
      <c r="B696">
        <v>105</v>
      </c>
      <c r="C696" t="s">
        <v>557</v>
      </c>
      <c r="D696" t="s">
        <v>2565</v>
      </c>
      <c r="E696" t="s">
        <v>3305</v>
      </c>
      <c r="F696" s="451">
        <v>46104</v>
      </c>
      <c r="G696" s="451">
        <v>46104</v>
      </c>
      <c r="H696" s="451">
        <v>46118</v>
      </c>
      <c r="I696">
        <v>284.39999999999998</v>
      </c>
      <c r="J696">
        <v>284.39999999999998</v>
      </c>
      <c r="K696">
        <v>0</v>
      </c>
      <c r="L696">
        <v>284.39999999999998</v>
      </c>
      <c r="M696">
        <v>0</v>
      </c>
      <c r="N696">
        <v>0</v>
      </c>
      <c r="O696">
        <v>0</v>
      </c>
      <c r="P696">
        <v>0</v>
      </c>
      <c r="Q696" t="s">
        <v>461</v>
      </c>
    </row>
    <row r="697" spans="1:17" x14ac:dyDescent="0.3">
      <c r="A697">
        <v>220757</v>
      </c>
      <c r="B697">
        <v>105</v>
      </c>
      <c r="C697" t="s">
        <v>557</v>
      </c>
      <c r="D697" t="s">
        <v>2682</v>
      </c>
      <c r="E697" t="s">
        <v>3306</v>
      </c>
      <c r="F697" s="451">
        <v>46105</v>
      </c>
      <c r="G697" s="451">
        <v>46105</v>
      </c>
      <c r="H697" s="451">
        <v>46119</v>
      </c>
      <c r="I697">
        <v>331.82</v>
      </c>
      <c r="J697">
        <v>331.83</v>
      </c>
      <c r="K697">
        <v>331.82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461</v>
      </c>
    </row>
    <row r="698" spans="1:17" x14ac:dyDescent="0.3">
      <c r="A698">
        <v>220755</v>
      </c>
      <c r="B698">
        <v>105</v>
      </c>
      <c r="C698" t="s">
        <v>557</v>
      </c>
      <c r="D698" t="s">
        <v>2697</v>
      </c>
      <c r="E698" t="s">
        <v>3307</v>
      </c>
      <c r="F698" s="451">
        <v>46106</v>
      </c>
      <c r="G698" s="451">
        <v>46106</v>
      </c>
      <c r="H698" s="451">
        <v>46121</v>
      </c>
      <c r="I698">
        <v>189.48</v>
      </c>
      <c r="J698">
        <v>168.48</v>
      </c>
      <c r="K698">
        <v>0</v>
      </c>
      <c r="L698">
        <v>189.48</v>
      </c>
      <c r="M698">
        <v>0</v>
      </c>
      <c r="N698">
        <v>0</v>
      </c>
      <c r="O698">
        <v>0</v>
      </c>
      <c r="P698">
        <v>0</v>
      </c>
      <c r="Q698" t="s">
        <v>461</v>
      </c>
    </row>
    <row r="699" spans="1:17" x14ac:dyDescent="0.3">
      <c r="A699">
        <v>220753</v>
      </c>
      <c r="B699">
        <v>105</v>
      </c>
      <c r="C699" t="s">
        <v>557</v>
      </c>
      <c r="D699" t="s">
        <v>2579</v>
      </c>
      <c r="E699" t="s">
        <v>3308</v>
      </c>
      <c r="F699" s="451">
        <v>46097</v>
      </c>
      <c r="G699" s="451">
        <v>46097</v>
      </c>
      <c r="H699" s="451">
        <v>46122</v>
      </c>
      <c r="I699">
        <v>223.27</v>
      </c>
      <c r="J699">
        <v>188.77</v>
      </c>
      <c r="K699">
        <v>223.27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461</v>
      </c>
    </row>
    <row r="700" spans="1:17" x14ac:dyDescent="0.3">
      <c r="A700">
        <v>220751</v>
      </c>
      <c r="B700">
        <v>105</v>
      </c>
      <c r="C700" t="s">
        <v>557</v>
      </c>
      <c r="D700" t="s">
        <v>2613</v>
      </c>
      <c r="E700" t="s">
        <v>3309</v>
      </c>
      <c r="F700" s="451">
        <v>46099</v>
      </c>
      <c r="G700" s="451">
        <v>46099</v>
      </c>
      <c r="H700" s="451">
        <v>46120</v>
      </c>
      <c r="I700">
        <v>308.58</v>
      </c>
      <c r="J700">
        <v>308.58</v>
      </c>
      <c r="K700">
        <v>308.58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461</v>
      </c>
    </row>
    <row r="701" spans="1:17" x14ac:dyDescent="0.3">
      <c r="A701">
        <v>220750</v>
      </c>
      <c r="B701">
        <v>105</v>
      </c>
      <c r="C701" t="s">
        <v>557</v>
      </c>
      <c r="D701" t="s">
        <v>2605</v>
      </c>
      <c r="E701" t="s">
        <v>3310</v>
      </c>
      <c r="F701" s="451">
        <v>46104</v>
      </c>
      <c r="G701" s="451">
        <v>46104</v>
      </c>
      <c r="H701" s="451">
        <v>46133</v>
      </c>
      <c r="I701">
        <v>2116.5100000000002</v>
      </c>
      <c r="J701">
        <v>714.97</v>
      </c>
      <c r="K701">
        <v>2116.5100000000002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461</v>
      </c>
    </row>
    <row r="702" spans="1:17" x14ac:dyDescent="0.3">
      <c r="A702">
        <v>220748</v>
      </c>
      <c r="B702">
        <v>105</v>
      </c>
      <c r="C702" t="s">
        <v>557</v>
      </c>
      <c r="D702" t="s">
        <v>2571</v>
      </c>
      <c r="E702" t="s">
        <v>3311</v>
      </c>
      <c r="F702" s="451">
        <v>46102</v>
      </c>
      <c r="G702" s="451">
        <v>46102</v>
      </c>
      <c r="H702" s="451">
        <v>46123</v>
      </c>
      <c r="I702">
        <v>1965.1</v>
      </c>
      <c r="J702">
        <v>1189.0999999999999</v>
      </c>
      <c r="K702">
        <v>1965.1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461</v>
      </c>
    </row>
    <row r="703" spans="1:17" x14ac:dyDescent="0.3">
      <c r="A703">
        <v>220606</v>
      </c>
      <c r="B703">
        <v>105</v>
      </c>
      <c r="C703" t="s">
        <v>557</v>
      </c>
      <c r="D703" t="s">
        <v>2571</v>
      </c>
      <c r="E703" t="s">
        <v>3312</v>
      </c>
      <c r="F703" s="451">
        <v>46094</v>
      </c>
      <c r="G703" s="451">
        <v>46094</v>
      </c>
      <c r="H703" s="451">
        <v>46122</v>
      </c>
      <c r="I703">
        <v>1091.3499999999999</v>
      </c>
      <c r="J703">
        <v>984.9</v>
      </c>
      <c r="K703">
        <v>1091.3499999999999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461</v>
      </c>
    </row>
    <row r="704" spans="1:17" x14ac:dyDescent="0.3">
      <c r="A704">
        <v>220587</v>
      </c>
      <c r="B704">
        <v>105</v>
      </c>
      <c r="C704" t="s">
        <v>557</v>
      </c>
      <c r="D704" t="s">
        <v>2571</v>
      </c>
      <c r="E704" t="s">
        <v>3313</v>
      </c>
      <c r="F704" s="451">
        <v>46101</v>
      </c>
      <c r="G704" s="451">
        <v>46101</v>
      </c>
      <c r="H704" s="451">
        <v>46122</v>
      </c>
      <c r="I704">
        <v>1026.28</v>
      </c>
      <c r="J704">
        <v>1002.94</v>
      </c>
      <c r="K704">
        <v>1026.28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461</v>
      </c>
    </row>
    <row r="705" spans="1:17" x14ac:dyDescent="0.3">
      <c r="A705">
        <v>220582</v>
      </c>
      <c r="B705">
        <v>105</v>
      </c>
      <c r="C705" t="s">
        <v>557</v>
      </c>
      <c r="D705" t="s">
        <v>2577</v>
      </c>
      <c r="E705" t="s">
        <v>3314</v>
      </c>
      <c r="F705" s="451">
        <v>46098</v>
      </c>
      <c r="H705" s="451">
        <v>46123</v>
      </c>
      <c r="I705">
        <v>139.02000000000001</v>
      </c>
      <c r="J705">
        <v>241.92</v>
      </c>
      <c r="K705">
        <v>0</v>
      </c>
      <c r="L705">
        <v>0</v>
      </c>
      <c r="M705">
        <v>0</v>
      </c>
      <c r="N705">
        <v>139.02000000000001</v>
      </c>
      <c r="O705">
        <v>0</v>
      </c>
      <c r="P705">
        <v>0</v>
      </c>
      <c r="Q705" t="s">
        <v>461</v>
      </c>
    </row>
    <row r="706" spans="1:17" x14ac:dyDescent="0.3">
      <c r="A706">
        <v>220577</v>
      </c>
      <c r="B706">
        <v>105</v>
      </c>
      <c r="C706" t="s">
        <v>557</v>
      </c>
      <c r="D706" t="s">
        <v>2605</v>
      </c>
      <c r="E706" t="s">
        <v>3315</v>
      </c>
      <c r="F706" s="451">
        <v>46094</v>
      </c>
      <c r="G706" s="451">
        <v>46094</v>
      </c>
      <c r="H706" s="451">
        <v>46122</v>
      </c>
      <c r="I706">
        <v>1667.79</v>
      </c>
      <c r="J706">
        <v>1137.67</v>
      </c>
      <c r="K706">
        <v>1667.79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461</v>
      </c>
    </row>
    <row r="707" spans="1:17" x14ac:dyDescent="0.3">
      <c r="A707">
        <v>220575</v>
      </c>
      <c r="B707">
        <v>105</v>
      </c>
      <c r="C707" t="s">
        <v>557</v>
      </c>
      <c r="D707" t="s">
        <v>2581</v>
      </c>
      <c r="E707" t="s">
        <v>3316</v>
      </c>
      <c r="F707" s="451">
        <v>46093</v>
      </c>
      <c r="G707" s="451">
        <v>46093</v>
      </c>
      <c r="H707" s="451">
        <v>46121</v>
      </c>
      <c r="I707">
        <v>1140.4000000000001</v>
      </c>
      <c r="J707">
        <v>1140.4000000000001</v>
      </c>
      <c r="K707">
        <v>1140.4000000000001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461</v>
      </c>
    </row>
    <row r="708" spans="1:17" x14ac:dyDescent="0.3">
      <c r="A708">
        <v>220570</v>
      </c>
      <c r="B708">
        <v>105</v>
      </c>
      <c r="C708" t="s">
        <v>557</v>
      </c>
      <c r="D708" t="s">
        <v>2705</v>
      </c>
      <c r="E708" t="s">
        <v>3317</v>
      </c>
      <c r="F708" s="451">
        <v>46105</v>
      </c>
      <c r="H708" s="451">
        <v>46118</v>
      </c>
      <c r="I708">
        <v>692</v>
      </c>
      <c r="J708">
        <v>692</v>
      </c>
      <c r="K708">
        <v>0</v>
      </c>
      <c r="L708">
        <v>0</v>
      </c>
      <c r="M708">
        <v>0</v>
      </c>
      <c r="N708">
        <v>692</v>
      </c>
      <c r="O708">
        <v>0</v>
      </c>
      <c r="P708">
        <v>0</v>
      </c>
      <c r="Q708" t="s">
        <v>461</v>
      </c>
    </row>
    <row r="709" spans="1:17" x14ac:dyDescent="0.3">
      <c r="A709">
        <v>220553</v>
      </c>
      <c r="B709">
        <v>105</v>
      </c>
      <c r="C709" t="s">
        <v>557</v>
      </c>
      <c r="D709" t="s">
        <v>2607</v>
      </c>
      <c r="E709" t="s">
        <v>3318</v>
      </c>
      <c r="F709" s="451">
        <v>46095</v>
      </c>
      <c r="G709" s="451">
        <v>46095</v>
      </c>
      <c r="H709" s="451">
        <v>46123</v>
      </c>
      <c r="I709">
        <v>1387.2</v>
      </c>
      <c r="J709">
        <v>1387.2</v>
      </c>
      <c r="K709">
        <v>1387.2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461</v>
      </c>
    </row>
    <row r="710" spans="1:17" x14ac:dyDescent="0.3">
      <c r="A710">
        <v>220551</v>
      </c>
      <c r="B710">
        <v>105</v>
      </c>
      <c r="C710" t="s">
        <v>557</v>
      </c>
      <c r="D710" t="s">
        <v>2588</v>
      </c>
      <c r="E710" t="s">
        <v>3319</v>
      </c>
      <c r="F710" s="451">
        <v>46093</v>
      </c>
      <c r="G710" s="451">
        <v>46093</v>
      </c>
      <c r="H710" s="451">
        <v>46121</v>
      </c>
      <c r="I710">
        <v>531.12</v>
      </c>
      <c r="J710">
        <v>531.12</v>
      </c>
      <c r="K710">
        <v>531.12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461</v>
      </c>
    </row>
    <row r="711" spans="1:17" x14ac:dyDescent="0.3">
      <c r="A711">
        <v>220534</v>
      </c>
      <c r="B711">
        <v>105</v>
      </c>
      <c r="C711" t="s">
        <v>557</v>
      </c>
      <c r="D711" t="s">
        <v>2615</v>
      </c>
      <c r="E711" t="s">
        <v>3320</v>
      </c>
      <c r="F711" s="451">
        <v>46100</v>
      </c>
      <c r="G711" s="451">
        <v>46100</v>
      </c>
      <c r="H711" s="451">
        <v>46121</v>
      </c>
      <c r="I711">
        <v>123.9</v>
      </c>
      <c r="J711">
        <v>123.9</v>
      </c>
      <c r="K711">
        <v>123.9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461</v>
      </c>
    </row>
    <row r="712" spans="1:17" x14ac:dyDescent="0.3">
      <c r="A712">
        <v>220533</v>
      </c>
      <c r="B712">
        <v>105</v>
      </c>
      <c r="C712" t="s">
        <v>557</v>
      </c>
      <c r="D712" t="s">
        <v>2986</v>
      </c>
      <c r="E712" t="s">
        <v>3321</v>
      </c>
      <c r="F712" s="451">
        <v>46108</v>
      </c>
      <c r="G712" s="451">
        <v>46108</v>
      </c>
      <c r="H712" s="451">
        <v>46122</v>
      </c>
      <c r="I712">
        <v>538.29999999999995</v>
      </c>
      <c r="J712">
        <v>538.27</v>
      </c>
      <c r="K712">
        <v>538.29999999999995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461</v>
      </c>
    </row>
    <row r="713" spans="1:17" x14ac:dyDescent="0.3">
      <c r="A713">
        <v>219738</v>
      </c>
      <c r="B713">
        <v>105</v>
      </c>
      <c r="C713" t="s">
        <v>557</v>
      </c>
      <c r="D713" t="s">
        <v>2607</v>
      </c>
      <c r="E713" t="s">
        <v>3322</v>
      </c>
      <c r="F713" s="451">
        <v>46083</v>
      </c>
      <c r="G713" s="451">
        <v>46083</v>
      </c>
      <c r="H713" s="451">
        <v>46111</v>
      </c>
      <c r="I713">
        <v>1700</v>
      </c>
      <c r="J713">
        <v>1700</v>
      </c>
      <c r="K713">
        <v>1700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461</v>
      </c>
    </row>
    <row r="714" spans="1:17" x14ac:dyDescent="0.3">
      <c r="A714">
        <v>219736</v>
      </c>
      <c r="B714">
        <v>105</v>
      </c>
      <c r="C714" t="s">
        <v>557</v>
      </c>
      <c r="D714" t="s">
        <v>2590</v>
      </c>
      <c r="E714" t="s">
        <v>3323</v>
      </c>
      <c r="F714" s="451">
        <v>46083</v>
      </c>
      <c r="G714" s="451">
        <v>46083</v>
      </c>
      <c r="H714" s="451">
        <v>46114</v>
      </c>
      <c r="I714">
        <v>7377.57</v>
      </c>
      <c r="J714">
        <v>5600.51</v>
      </c>
      <c r="K714">
        <v>0</v>
      </c>
      <c r="L714">
        <v>7377.57</v>
      </c>
      <c r="M714">
        <v>0</v>
      </c>
      <c r="N714">
        <v>0</v>
      </c>
      <c r="O714">
        <v>0</v>
      </c>
      <c r="P714">
        <v>0</v>
      </c>
      <c r="Q714" t="s">
        <v>461</v>
      </c>
    </row>
    <row r="715" spans="1:17" x14ac:dyDescent="0.3">
      <c r="A715">
        <v>219735</v>
      </c>
      <c r="B715">
        <v>105</v>
      </c>
      <c r="C715" t="s">
        <v>557</v>
      </c>
      <c r="D715" t="s">
        <v>2707</v>
      </c>
      <c r="E715" t="s">
        <v>3324</v>
      </c>
      <c r="F715" s="451">
        <v>46097</v>
      </c>
      <c r="G715" s="451">
        <v>46097</v>
      </c>
      <c r="H715" s="451">
        <v>46111</v>
      </c>
      <c r="I715">
        <v>278.45999999999998</v>
      </c>
      <c r="J715">
        <v>278.45999999999998</v>
      </c>
      <c r="K715">
        <v>278.45999999999998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461</v>
      </c>
    </row>
    <row r="716" spans="1:17" x14ac:dyDescent="0.3">
      <c r="A716">
        <v>219734</v>
      </c>
      <c r="B716">
        <v>105</v>
      </c>
      <c r="C716" t="s">
        <v>557</v>
      </c>
      <c r="D716" t="s">
        <v>2705</v>
      </c>
      <c r="E716" t="s">
        <v>3325</v>
      </c>
      <c r="F716" s="451">
        <v>46098</v>
      </c>
      <c r="H716" s="451">
        <v>46112</v>
      </c>
      <c r="I716">
        <v>692</v>
      </c>
      <c r="J716">
        <v>692</v>
      </c>
      <c r="K716">
        <v>0</v>
      </c>
      <c r="L716">
        <v>0</v>
      </c>
      <c r="M716">
        <v>0</v>
      </c>
      <c r="N716">
        <v>692</v>
      </c>
      <c r="O716">
        <v>0</v>
      </c>
      <c r="P716">
        <v>0</v>
      </c>
      <c r="Q716" t="s">
        <v>461</v>
      </c>
    </row>
    <row r="717" spans="1:17" x14ac:dyDescent="0.3">
      <c r="A717">
        <v>219733</v>
      </c>
      <c r="B717">
        <v>105</v>
      </c>
      <c r="C717" t="s">
        <v>557</v>
      </c>
      <c r="D717" t="s">
        <v>2779</v>
      </c>
      <c r="E717" t="s">
        <v>3326</v>
      </c>
      <c r="F717" s="451">
        <v>46098</v>
      </c>
      <c r="G717" s="451">
        <v>46098</v>
      </c>
      <c r="H717" s="451">
        <v>46113</v>
      </c>
      <c r="I717">
        <v>1682.17</v>
      </c>
      <c r="J717">
        <v>1682.17</v>
      </c>
      <c r="K717">
        <v>1682.17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461</v>
      </c>
    </row>
    <row r="718" spans="1:17" x14ac:dyDescent="0.3">
      <c r="A718">
        <v>219732</v>
      </c>
      <c r="B718">
        <v>105</v>
      </c>
      <c r="C718" t="s">
        <v>557</v>
      </c>
      <c r="D718" t="s">
        <v>2581</v>
      </c>
      <c r="E718" t="s">
        <v>3327</v>
      </c>
      <c r="F718" s="451">
        <v>46083</v>
      </c>
      <c r="G718" s="451">
        <v>46083</v>
      </c>
      <c r="H718" s="451">
        <v>46111</v>
      </c>
      <c r="I718">
        <v>541</v>
      </c>
      <c r="J718">
        <v>541</v>
      </c>
      <c r="K718">
        <v>541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461</v>
      </c>
    </row>
    <row r="719" spans="1:17" x14ac:dyDescent="0.3">
      <c r="A719">
        <v>219731</v>
      </c>
      <c r="B719">
        <v>105</v>
      </c>
      <c r="C719" t="s">
        <v>557</v>
      </c>
      <c r="D719" t="s">
        <v>3328</v>
      </c>
      <c r="E719" t="s">
        <v>3329</v>
      </c>
      <c r="F719" s="451">
        <v>46083</v>
      </c>
      <c r="G719" s="451">
        <v>46083</v>
      </c>
      <c r="H719" s="451">
        <v>46111</v>
      </c>
      <c r="I719">
        <v>213.82</v>
      </c>
      <c r="J719">
        <v>213.82</v>
      </c>
      <c r="K719">
        <v>213.82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461</v>
      </c>
    </row>
    <row r="720" spans="1:17" x14ac:dyDescent="0.3">
      <c r="A720">
        <v>219729</v>
      </c>
      <c r="B720">
        <v>105</v>
      </c>
      <c r="C720" t="s">
        <v>557</v>
      </c>
      <c r="D720" t="s">
        <v>2716</v>
      </c>
      <c r="E720" t="s">
        <v>2855</v>
      </c>
      <c r="F720" s="451">
        <v>46101</v>
      </c>
      <c r="G720" s="451">
        <v>46101</v>
      </c>
      <c r="H720" s="451">
        <v>46118</v>
      </c>
      <c r="I720">
        <v>275</v>
      </c>
      <c r="J720">
        <v>240</v>
      </c>
      <c r="K720">
        <v>275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461</v>
      </c>
    </row>
    <row r="721" spans="1:17" x14ac:dyDescent="0.3">
      <c r="A721">
        <v>219728</v>
      </c>
      <c r="B721">
        <v>105</v>
      </c>
      <c r="C721" t="s">
        <v>557</v>
      </c>
      <c r="D721" t="s">
        <v>2697</v>
      </c>
      <c r="E721" t="s">
        <v>3330</v>
      </c>
      <c r="F721" s="451">
        <v>46098</v>
      </c>
      <c r="G721" s="451">
        <v>46098</v>
      </c>
      <c r="H721" s="451">
        <v>46113</v>
      </c>
      <c r="I721">
        <v>189.48</v>
      </c>
      <c r="J721">
        <v>168.48</v>
      </c>
      <c r="K721">
        <v>0</v>
      </c>
      <c r="L721">
        <v>189.48</v>
      </c>
      <c r="M721">
        <v>0</v>
      </c>
      <c r="N721">
        <v>0</v>
      </c>
      <c r="O721">
        <v>0</v>
      </c>
      <c r="P721">
        <v>0</v>
      </c>
      <c r="Q721" t="s">
        <v>461</v>
      </c>
    </row>
    <row r="722" spans="1:17" x14ac:dyDescent="0.3">
      <c r="A722">
        <v>219727</v>
      </c>
      <c r="B722">
        <v>105</v>
      </c>
      <c r="C722" t="s">
        <v>557</v>
      </c>
      <c r="D722" t="s">
        <v>2552</v>
      </c>
      <c r="E722" t="s">
        <v>3331</v>
      </c>
      <c r="F722" s="451">
        <v>46101</v>
      </c>
      <c r="G722" s="451">
        <v>46101</v>
      </c>
      <c r="H722" s="451">
        <v>46115</v>
      </c>
      <c r="I722">
        <v>183</v>
      </c>
      <c r="J722">
        <v>158</v>
      </c>
      <c r="K722">
        <v>183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461</v>
      </c>
    </row>
    <row r="723" spans="1:17" x14ac:dyDescent="0.3">
      <c r="A723">
        <v>219726</v>
      </c>
      <c r="B723">
        <v>105</v>
      </c>
      <c r="C723" t="s">
        <v>557</v>
      </c>
      <c r="D723" t="s">
        <v>2600</v>
      </c>
      <c r="E723" t="s">
        <v>3149</v>
      </c>
      <c r="F723" s="451">
        <v>46084</v>
      </c>
      <c r="G723" s="451">
        <v>46084</v>
      </c>
      <c r="H723" s="451">
        <v>46111</v>
      </c>
      <c r="I723">
        <v>119.95</v>
      </c>
      <c r="J723">
        <v>119.95</v>
      </c>
      <c r="K723">
        <v>119.95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461</v>
      </c>
    </row>
    <row r="724" spans="1:17" x14ac:dyDescent="0.3">
      <c r="A724">
        <v>219725</v>
      </c>
      <c r="B724">
        <v>105</v>
      </c>
      <c r="C724" t="s">
        <v>557</v>
      </c>
      <c r="D724" t="s">
        <v>2563</v>
      </c>
      <c r="E724" t="s">
        <v>3332</v>
      </c>
      <c r="F724" s="451">
        <v>46083</v>
      </c>
      <c r="G724" s="451">
        <v>46083</v>
      </c>
      <c r="H724" s="451">
        <v>46111</v>
      </c>
      <c r="I724">
        <v>179.87</v>
      </c>
      <c r="J724">
        <v>179.87</v>
      </c>
      <c r="K724">
        <v>179.87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461</v>
      </c>
    </row>
    <row r="725" spans="1:17" x14ac:dyDescent="0.3">
      <c r="A725">
        <v>219723</v>
      </c>
      <c r="B725">
        <v>105</v>
      </c>
      <c r="C725" t="s">
        <v>557</v>
      </c>
      <c r="D725" t="s">
        <v>2729</v>
      </c>
      <c r="E725" t="s">
        <v>3333</v>
      </c>
      <c r="F725" s="451">
        <v>46097</v>
      </c>
      <c r="G725" s="451">
        <v>46097</v>
      </c>
      <c r="H725" s="451">
        <v>46111</v>
      </c>
      <c r="I725">
        <v>345.14</v>
      </c>
      <c r="J725">
        <v>345.14</v>
      </c>
      <c r="K725">
        <v>345.14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461</v>
      </c>
    </row>
    <row r="726" spans="1:17" x14ac:dyDescent="0.3">
      <c r="A726">
        <v>219721</v>
      </c>
      <c r="B726">
        <v>105</v>
      </c>
      <c r="C726" t="s">
        <v>557</v>
      </c>
      <c r="D726" t="s">
        <v>2653</v>
      </c>
      <c r="E726" t="s">
        <v>3334</v>
      </c>
      <c r="F726" s="451">
        <v>46097</v>
      </c>
      <c r="G726" s="451">
        <v>46097</v>
      </c>
      <c r="H726" s="451">
        <v>46111</v>
      </c>
      <c r="I726">
        <v>210.95</v>
      </c>
      <c r="J726">
        <v>180.95</v>
      </c>
      <c r="K726">
        <v>210.95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461</v>
      </c>
    </row>
    <row r="727" spans="1:17" x14ac:dyDescent="0.3">
      <c r="A727">
        <v>219720</v>
      </c>
      <c r="B727">
        <v>105</v>
      </c>
      <c r="C727" t="s">
        <v>557</v>
      </c>
      <c r="D727" t="s">
        <v>2653</v>
      </c>
      <c r="E727" t="s">
        <v>3335</v>
      </c>
      <c r="F727" s="451">
        <v>46104</v>
      </c>
      <c r="G727" s="451">
        <v>46104</v>
      </c>
      <c r="H727" s="451">
        <v>46118</v>
      </c>
      <c r="I727">
        <v>207.66</v>
      </c>
      <c r="J727">
        <v>177.66</v>
      </c>
      <c r="K727">
        <v>207.66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461</v>
      </c>
    </row>
    <row r="728" spans="1:17" x14ac:dyDescent="0.3">
      <c r="A728">
        <v>219719</v>
      </c>
      <c r="B728">
        <v>105</v>
      </c>
      <c r="C728" t="s">
        <v>557</v>
      </c>
      <c r="D728" t="s">
        <v>2991</v>
      </c>
      <c r="E728" t="s">
        <v>3336</v>
      </c>
      <c r="F728" s="451">
        <v>46098</v>
      </c>
      <c r="G728" s="451">
        <v>46098</v>
      </c>
      <c r="H728" s="451">
        <v>46112</v>
      </c>
      <c r="I728">
        <v>516.19000000000005</v>
      </c>
      <c r="J728">
        <v>516.19000000000005</v>
      </c>
      <c r="K728">
        <v>0</v>
      </c>
      <c r="L728">
        <v>516.19000000000005</v>
      </c>
      <c r="M728">
        <v>0</v>
      </c>
      <c r="N728">
        <v>0</v>
      </c>
      <c r="O728">
        <v>0</v>
      </c>
      <c r="P728">
        <v>0</v>
      </c>
      <c r="Q728" t="s">
        <v>461</v>
      </c>
    </row>
    <row r="729" spans="1:17" x14ac:dyDescent="0.3">
      <c r="A729">
        <v>219718</v>
      </c>
      <c r="B729">
        <v>105</v>
      </c>
      <c r="C729" t="s">
        <v>557</v>
      </c>
      <c r="D729" t="s">
        <v>2554</v>
      </c>
      <c r="E729" t="s">
        <v>3337</v>
      </c>
      <c r="F729" s="451">
        <v>46101</v>
      </c>
      <c r="H729" s="451">
        <v>46113</v>
      </c>
      <c r="I729">
        <v>1696.29</v>
      </c>
      <c r="J729">
        <v>1606.67</v>
      </c>
      <c r="K729">
        <v>0</v>
      </c>
      <c r="L729">
        <v>0</v>
      </c>
      <c r="M729">
        <v>1375.78</v>
      </c>
      <c r="N729">
        <v>0</v>
      </c>
      <c r="O729">
        <v>33.450000000000003</v>
      </c>
      <c r="P729">
        <v>287.07</v>
      </c>
      <c r="Q729" t="s">
        <v>461</v>
      </c>
    </row>
    <row r="730" spans="1:17" x14ac:dyDescent="0.3">
      <c r="A730">
        <v>219717</v>
      </c>
      <c r="B730">
        <v>105</v>
      </c>
      <c r="C730" t="s">
        <v>557</v>
      </c>
      <c r="D730" t="s">
        <v>2550</v>
      </c>
      <c r="E730" t="s">
        <v>3338</v>
      </c>
      <c r="F730" s="451">
        <v>46083</v>
      </c>
      <c r="G730" s="451">
        <v>46083</v>
      </c>
      <c r="H730" s="451">
        <v>46113</v>
      </c>
      <c r="I730">
        <v>808.56</v>
      </c>
      <c r="J730">
        <v>759.2</v>
      </c>
      <c r="K730">
        <v>0</v>
      </c>
      <c r="L730">
        <v>808.56</v>
      </c>
      <c r="M730">
        <v>0</v>
      </c>
      <c r="N730">
        <v>0</v>
      </c>
      <c r="O730">
        <v>0</v>
      </c>
      <c r="P730">
        <v>0</v>
      </c>
      <c r="Q730" t="s">
        <v>461</v>
      </c>
    </row>
    <row r="731" spans="1:17" x14ac:dyDescent="0.3">
      <c r="A731">
        <v>217762</v>
      </c>
      <c r="B731">
        <v>105</v>
      </c>
      <c r="C731" t="s">
        <v>557</v>
      </c>
      <c r="D731" t="s">
        <v>2705</v>
      </c>
      <c r="E731" t="s">
        <v>3339</v>
      </c>
      <c r="F731" s="451">
        <v>46083</v>
      </c>
      <c r="H731" s="451">
        <v>46104</v>
      </c>
      <c r="I731">
        <v>519</v>
      </c>
      <c r="J731">
        <v>489.72</v>
      </c>
      <c r="K731">
        <v>0</v>
      </c>
      <c r="L731">
        <v>0</v>
      </c>
      <c r="M731">
        <v>0</v>
      </c>
      <c r="N731">
        <v>519</v>
      </c>
      <c r="O731">
        <v>0</v>
      </c>
      <c r="P731">
        <v>0</v>
      </c>
      <c r="Q731" t="s">
        <v>461</v>
      </c>
    </row>
    <row r="732" spans="1:17" x14ac:dyDescent="0.3">
      <c r="A732">
        <v>217759</v>
      </c>
      <c r="B732">
        <v>105</v>
      </c>
      <c r="C732" t="s">
        <v>557</v>
      </c>
      <c r="D732" t="s">
        <v>2729</v>
      </c>
      <c r="E732" t="s">
        <v>3340</v>
      </c>
      <c r="F732" s="451">
        <v>46083</v>
      </c>
      <c r="G732" s="451">
        <v>46083</v>
      </c>
      <c r="H732" s="451">
        <v>46104</v>
      </c>
      <c r="I732">
        <v>1285.1400000000001</v>
      </c>
      <c r="J732">
        <v>1223.95</v>
      </c>
      <c r="K732">
        <v>1285.1400000000001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461</v>
      </c>
    </row>
    <row r="733" spans="1:17" x14ac:dyDescent="0.3">
      <c r="A733">
        <v>217755</v>
      </c>
      <c r="B733">
        <v>105</v>
      </c>
      <c r="C733" t="s">
        <v>557</v>
      </c>
      <c r="D733" t="s">
        <v>2603</v>
      </c>
      <c r="E733" t="s">
        <v>3341</v>
      </c>
      <c r="F733" s="451">
        <v>46083</v>
      </c>
      <c r="G733" s="451">
        <v>46083</v>
      </c>
      <c r="H733" s="451">
        <v>46104</v>
      </c>
      <c r="I733">
        <v>2329.21</v>
      </c>
      <c r="J733">
        <v>2212.8200000000002</v>
      </c>
      <c r="K733">
        <v>2329.21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461</v>
      </c>
    </row>
    <row r="734" spans="1:17" x14ac:dyDescent="0.3">
      <c r="A734">
        <v>217752</v>
      </c>
      <c r="B734">
        <v>105</v>
      </c>
      <c r="C734" t="s">
        <v>557</v>
      </c>
      <c r="D734" t="s">
        <v>2716</v>
      </c>
      <c r="E734" t="s">
        <v>3342</v>
      </c>
      <c r="F734" s="451">
        <v>46083</v>
      </c>
      <c r="G734" s="451">
        <v>46083</v>
      </c>
      <c r="H734" s="451">
        <v>46104</v>
      </c>
      <c r="I734">
        <v>120</v>
      </c>
      <c r="J734">
        <v>120</v>
      </c>
      <c r="K734">
        <v>120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461</v>
      </c>
    </row>
    <row r="735" spans="1:17" x14ac:dyDescent="0.3">
      <c r="A735">
        <v>217035</v>
      </c>
      <c r="B735">
        <v>105</v>
      </c>
      <c r="C735" t="s">
        <v>557</v>
      </c>
      <c r="D735" t="s">
        <v>2705</v>
      </c>
      <c r="E735" t="s">
        <v>3343</v>
      </c>
      <c r="F735" s="451">
        <v>46093</v>
      </c>
      <c r="H735" s="451">
        <v>46107</v>
      </c>
      <c r="I735">
        <v>692</v>
      </c>
      <c r="J735">
        <v>692</v>
      </c>
      <c r="K735">
        <v>0</v>
      </c>
      <c r="L735">
        <v>0</v>
      </c>
      <c r="M735">
        <v>0</v>
      </c>
      <c r="N735">
        <v>692</v>
      </c>
      <c r="O735">
        <v>0</v>
      </c>
      <c r="P735">
        <v>0</v>
      </c>
      <c r="Q735" t="s">
        <v>461</v>
      </c>
    </row>
    <row r="736" spans="1:17" x14ac:dyDescent="0.3">
      <c r="A736">
        <v>217034</v>
      </c>
      <c r="B736">
        <v>105</v>
      </c>
      <c r="C736" t="s">
        <v>557</v>
      </c>
      <c r="D736" t="s">
        <v>2605</v>
      </c>
      <c r="E736" t="s">
        <v>3344</v>
      </c>
      <c r="F736" s="451">
        <v>46094</v>
      </c>
      <c r="G736" s="451">
        <v>46094</v>
      </c>
      <c r="H736" s="451">
        <v>46122</v>
      </c>
      <c r="I736">
        <v>319.5</v>
      </c>
      <c r="J736">
        <v>319.5</v>
      </c>
      <c r="K736">
        <v>319.5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461</v>
      </c>
    </row>
    <row r="737" spans="1:17" x14ac:dyDescent="0.3">
      <c r="A737">
        <v>217031</v>
      </c>
      <c r="B737">
        <v>105</v>
      </c>
      <c r="C737" t="s">
        <v>557</v>
      </c>
      <c r="D737" t="s">
        <v>2579</v>
      </c>
      <c r="E737" t="s">
        <v>3345</v>
      </c>
      <c r="F737" s="451">
        <v>46093</v>
      </c>
      <c r="G737" s="451">
        <v>46093</v>
      </c>
      <c r="H737" s="451">
        <v>46121</v>
      </c>
      <c r="I737">
        <v>340.18</v>
      </c>
      <c r="J737">
        <v>340.18</v>
      </c>
      <c r="K737">
        <v>340.18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461</v>
      </c>
    </row>
    <row r="738" spans="1:17" x14ac:dyDescent="0.3">
      <c r="A738">
        <v>217027</v>
      </c>
      <c r="B738">
        <v>105</v>
      </c>
      <c r="C738" t="s">
        <v>557</v>
      </c>
      <c r="D738" t="s">
        <v>2690</v>
      </c>
      <c r="E738" t="s">
        <v>3346</v>
      </c>
      <c r="F738" s="451">
        <v>46093</v>
      </c>
      <c r="G738" s="451">
        <v>46093</v>
      </c>
      <c r="H738" s="451">
        <v>46115</v>
      </c>
      <c r="I738">
        <v>57.26</v>
      </c>
      <c r="J738">
        <v>55.72</v>
      </c>
      <c r="K738">
        <v>0</v>
      </c>
      <c r="L738">
        <v>57.26</v>
      </c>
      <c r="M738">
        <v>0</v>
      </c>
      <c r="N738">
        <v>0</v>
      </c>
      <c r="O738">
        <v>0</v>
      </c>
      <c r="P738">
        <v>0</v>
      </c>
      <c r="Q738" t="s">
        <v>461</v>
      </c>
    </row>
    <row r="739" spans="1:17" x14ac:dyDescent="0.3">
      <c r="A739">
        <v>217022</v>
      </c>
      <c r="B739">
        <v>105</v>
      </c>
      <c r="C739" t="s">
        <v>557</v>
      </c>
      <c r="D739" t="s">
        <v>2615</v>
      </c>
      <c r="E739" t="s">
        <v>3347</v>
      </c>
      <c r="F739" s="451">
        <v>46094</v>
      </c>
      <c r="G739" s="451">
        <v>46094</v>
      </c>
      <c r="H739" s="451">
        <v>46114</v>
      </c>
      <c r="I739">
        <v>123.9</v>
      </c>
      <c r="J739">
        <v>123.9</v>
      </c>
      <c r="K739">
        <v>123.9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461</v>
      </c>
    </row>
    <row r="740" spans="1:17" x14ac:dyDescent="0.3">
      <c r="A740">
        <v>217013</v>
      </c>
      <c r="B740">
        <v>105</v>
      </c>
      <c r="C740" t="s">
        <v>557</v>
      </c>
      <c r="D740" t="s">
        <v>2590</v>
      </c>
      <c r="E740" t="s">
        <v>3348</v>
      </c>
      <c r="F740" s="451">
        <v>46084</v>
      </c>
      <c r="G740" s="451">
        <v>46084</v>
      </c>
      <c r="H740" s="451">
        <v>46117</v>
      </c>
      <c r="I740">
        <v>311.52</v>
      </c>
      <c r="J740">
        <v>311.52</v>
      </c>
      <c r="K740">
        <v>0</v>
      </c>
      <c r="L740">
        <v>311.52</v>
      </c>
      <c r="M740">
        <v>0</v>
      </c>
      <c r="N740">
        <v>0</v>
      </c>
      <c r="O740">
        <v>0</v>
      </c>
      <c r="P740">
        <v>0</v>
      </c>
      <c r="Q740" t="s">
        <v>461</v>
      </c>
    </row>
    <row r="741" spans="1:17" x14ac:dyDescent="0.3">
      <c r="A741">
        <v>217012</v>
      </c>
      <c r="B741">
        <v>105</v>
      </c>
      <c r="C741" t="s">
        <v>557</v>
      </c>
      <c r="D741" t="s">
        <v>2590</v>
      </c>
      <c r="E741" t="s">
        <v>3349</v>
      </c>
      <c r="F741" s="451">
        <v>46090</v>
      </c>
      <c r="G741" s="451">
        <v>46090</v>
      </c>
      <c r="H741" s="451">
        <v>46121</v>
      </c>
      <c r="I741">
        <v>2400.2399999999998</v>
      </c>
      <c r="J741">
        <v>2080.6799999999998</v>
      </c>
      <c r="K741">
        <v>0</v>
      </c>
      <c r="L741">
        <v>2400.2399999999998</v>
      </c>
      <c r="M741">
        <v>0</v>
      </c>
      <c r="N741">
        <v>0</v>
      </c>
      <c r="O741">
        <v>0</v>
      </c>
      <c r="P741">
        <v>0</v>
      </c>
      <c r="Q741" t="s">
        <v>461</v>
      </c>
    </row>
    <row r="742" spans="1:17" x14ac:dyDescent="0.3">
      <c r="A742">
        <v>217010</v>
      </c>
      <c r="B742">
        <v>105</v>
      </c>
      <c r="C742" t="s">
        <v>557</v>
      </c>
      <c r="D742" t="s">
        <v>2607</v>
      </c>
      <c r="E742" t="s">
        <v>3350</v>
      </c>
      <c r="F742" s="451">
        <v>46090</v>
      </c>
      <c r="G742" s="451">
        <v>46090</v>
      </c>
      <c r="H742" s="451">
        <v>46118</v>
      </c>
      <c r="I742">
        <v>2015.2</v>
      </c>
      <c r="J742">
        <v>2015.2</v>
      </c>
      <c r="K742">
        <v>2015.2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461</v>
      </c>
    </row>
    <row r="743" spans="1:17" x14ac:dyDescent="0.3">
      <c r="A743">
        <v>217008</v>
      </c>
      <c r="B743">
        <v>105</v>
      </c>
      <c r="C743" t="s">
        <v>557</v>
      </c>
      <c r="D743" t="s">
        <v>2585</v>
      </c>
      <c r="E743" t="s">
        <v>3351</v>
      </c>
      <c r="F743" s="451">
        <v>46085</v>
      </c>
      <c r="G743" s="451">
        <v>46085</v>
      </c>
      <c r="H743" s="451">
        <v>46113</v>
      </c>
      <c r="I743">
        <v>2556.65</v>
      </c>
      <c r="J743">
        <v>2556.65</v>
      </c>
      <c r="K743">
        <v>2556.65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461</v>
      </c>
    </row>
    <row r="744" spans="1:17" x14ac:dyDescent="0.3">
      <c r="A744">
        <v>216994</v>
      </c>
      <c r="B744">
        <v>105</v>
      </c>
      <c r="C744" t="s">
        <v>557</v>
      </c>
      <c r="D744" t="s">
        <v>2585</v>
      </c>
      <c r="E744" t="s">
        <v>3352</v>
      </c>
      <c r="F744" s="451">
        <v>46089</v>
      </c>
      <c r="G744" s="451">
        <v>46089</v>
      </c>
      <c r="H744" s="451">
        <v>46117</v>
      </c>
      <c r="I744">
        <v>2881.13</v>
      </c>
      <c r="J744">
        <v>2697.22</v>
      </c>
      <c r="K744">
        <v>2881.13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461</v>
      </c>
    </row>
    <row r="745" spans="1:17" x14ac:dyDescent="0.3">
      <c r="A745">
        <v>216992</v>
      </c>
      <c r="B745">
        <v>105</v>
      </c>
      <c r="C745" t="s">
        <v>557</v>
      </c>
      <c r="D745" t="s">
        <v>2637</v>
      </c>
      <c r="E745" t="s">
        <v>3353</v>
      </c>
      <c r="F745" s="451">
        <v>46084</v>
      </c>
      <c r="G745" s="451">
        <v>46084</v>
      </c>
      <c r="H745" s="451">
        <v>46112</v>
      </c>
      <c r="I745">
        <v>394.8</v>
      </c>
      <c r="J745">
        <v>394.8</v>
      </c>
      <c r="K745">
        <v>0</v>
      </c>
      <c r="L745">
        <v>394.8</v>
      </c>
      <c r="M745">
        <v>0</v>
      </c>
      <c r="N745">
        <v>0</v>
      </c>
      <c r="O745">
        <v>0</v>
      </c>
      <c r="P745">
        <v>0</v>
      </c>
      <c r="Q745" t="s">
        <v>461</v>
      </c>
    </row>
    <row r="746" spans="1:17" x14ac:dyDescent="0.3">
      <c r="A746">
        <v>216991</v>
      </c>
      <c r="B746">
        <v>105</v>
      </c>
      <c r="C746" t="s">
        <v>557</v>
      </c>
      <c r="D746" t="s">
        <v>2779</v>
      </c>
      <c r="E746" t="s">
        <v>3354</v>
      </c>
      <c r="F746" s="451">
        <v>46090</v>
      </c>
      <c r="G746" s="451">
        <v>46090</v>
      </c>
      <c r="H746" s="451">
        <v>46105</v>
      </c>
      <c r="I746">
        <v>2489.2800000000002</v>
      </c>
      <c r="J746">
        <v>2489.27</v>
      </c>
      <c r="K746">
        <v>2489.2800000000002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461</v>
      </c>
    </row>
    <row r="747" spans="1:17" x14ac:dyDescent="0.3">
      <c r="A747">
        <v>216989</v>
      </c>
      <c r="B747">
        <v>105</v>
      </c>
      <c r="C747" t="s">
        <v>557</v>
      </c>
      <c r="D747" t="s">
        <v>2581</v>
      </c>
      <c r="E747" t="s">
        <v>3355</v>
      </c>
      <c r="F747" s="451">
        <v>46084</v>
      </c>
      <c r="G747" s="451">
        <v>46084</v>
      </c>
      <c r="H747" s="451">
        <v>46112</v>
      </c>
      <c r="I747">
        <v>159.65</v>
      </c>
      <c r="J747">
        <v>159.65</v>
      </c>
      <c r="K747">
        <v>159.65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461</v>
      </c>
    </row>
    <row r="748" spans="1:17" x14ac:dyDescent="0.3">
      <c r="A748">
        <v>216988</v>
      </c>
      <c r="B748">
        <v>105</v>
      </c>
      <c r="C748" t="s">
        <v>557</v>
      </c>
      <c r="D748" t="s">
        <v>2581</v>
      </c>
      <c r="E748" t="s">
        <v>3356</v>
      </c>
      <c r="F748" s="451">
        <v>46085</v>
      </c>
      <c r="G748" s="451">
        <v>46085</v>
      </c>
      <c r="H748" s="451">
        <v>46113</v>
      </c>
      <c r="I748">
        <v>542.29999999999995</v>
      </c>
      <c r="J748">
        <v>542.29999999999995</v>
      </c>
      <c r="K748">
        <v>542.29999999999995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461</v>
      </c>
    </row>
    <row r="749" spans="1:17" x14ac:dyDescent="0.3">
      <c r="A749">
        <v>216984</v>
      </c>
      <c r="B749">
        <v>105</v>
      </c>
      <c r="C749" t="s">
        <v>557</v>
      </c>
      <c r="D749" t="s">
        <v>2581</v>
      </c>
      <c r="E749" t="s">
        <v>3357</v>
      </c>
      <c r="F749" s="451">
        <v>46085</v>
      </c>
      <c r="G749" s="451">
        <v>46085</v>
      </c>
      <c r="H749" s="451">
        <v>46113</v>
      </c>
      <c r="I749">
        <v>270</v>
      </c>
      <c r="J749">
        <v>270</v>
      </c>
      <c r="K749">
        <v>270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461</v>
      </c>
    </row>
    <row r="750" spans="1:17" x14ac:dyDescent="0.3">
      <c r="A750">
        <v>216982</v>
      </c>
      <c r="B750">
        <v>105</v>
      </c>
      <c r="C750" t="s">
        <v>557</v>
      </c>
      <c r="D750" t="s">
        <v>2581</v>
      </c>
      <c r="E750" t="s">
        <v>3358</v>
      </c>
      <c r="F750" s="451">
        <v>46086</v>
      </c>
      <c r="G750" s="451">
        <v>46086</v>
      </c>
      <c r="H750" s="451">
        <v>46114</v>
      </c>
      <c r="I750">
        <v>936.96</v>
      </c>
      <c r="J750">
        <v>932.76</v>
      </c>
      <c r="K750">
        <v>936.96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461</v>
      </c>
    </row>
    <row r="751" spans="1:17" x14ac:dyDescent="0.3">
      <c r="A751">
        <v>216980</v>
      </c>
      <c r="B751">
        <v>105</v>
      </c>
      <c r="C751" t="s">
        <v>557</v>
      </c>
      <c r="D751" t="s">
        <v>2581</v>
      </c>
      <c r="E751" t="s">
        <v>3359</v>
      </c>
      <c r="F751" s="451">
        <v>46090</v>
      </c>
      <c r="G751" s="451">
        <v>46090</v>
      </c>
      <c r="H751" s="451">
        <v>46118</v>
      </c>
      <c r="I751">
        <v>273.38</v>
      </c>
      <c r="J751">
        <v>273.38</v>
      </c>
      <c r="K751">
        <v>273.38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461</v>
      </c>
    </row>
    <row r="752" spans="1:17" x14ac:dyDescent="0.3">
      <c r="A752">
        <v>216977</v>
      </c>
      <c r="B752">
        <v>105</v>
      </c>
      <c r="C752" t="s">
        <v>557</v>
      </c>
      <c r="D752" t="s">
        <v>2581</v>
      </c>
      <c r="E752" t="s">
        <v>3360</v>
      </c>
      <c r="F752" s="451">
        <v>46091</v>
      </c>
      <c r="G752" s="451">
        <v>46091</v>
      </c>
      <c r="H752" s="451">
        <v>46119</v>
      </c>
      <c r="I752">
        <v>432</v>
      </c>
      <c r="J752">
        <v>432</v>
      </c>
      <c r="K752">
        <v>432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461</v>
      </c>
    </row>
    <row r="753" spans="1:17" x14ac:dyDescent="0.3">
      <c r="A753">
        <v>216975</v>
      </c>
      <c r="B753">
        <v>105</v>
      </c>
      <c r="C753" t="s">
        <v>557</v>
      </c>
      <c r="D753" t="s">
        <v>2581</v>
      </c>
      <c r="E753" t="s">
        <v>3361</v>
      </c>
      <c r="F753" s="451">
        <v>46092</v>
      </c>
      <c r="G753" s="451">
        <v>46092</v>
      </c>
      <c r="H753" s="451">
        <v>46120</v>
      </c>
      <c r="I753">
        <v>288.3</v>
      </c>
      <c r="J753">
        <v>284.8</v>
      </c>
      <c r="K753">
        <v>288.3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461</v>
      </c>
    </row>
    <row r="754" spans="1:17" x14ac:dyDescent="0.3">
      <c r="A754">
        <v>216971</v>
      </c>
      <c r="B754">
        <v>105</v>
      </c>
      <c r="C754" t="s">
        <v>557</v>
      </c>
      <c r="D754" t="s">
        <v>2579</v>
      </c>
      <c r="E754" t="s">
        <v>3362</v>
      </c>
      <c r="F754" s="451">
        <v>46085</v>
      </c>
      <c r="G754" s="451">
        <v>46085</v>
      </c>
      <c r="H754" s="451">
        <v>46113</v>
      </c>
      <c r="I754">
        <v>117.87</v>
      </c>
      <c r="J754">
        <v>117.87</v>
      </c>
      <c r="K754">
        <v>117.87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461</v>
      </c>
    </row>
    <row r="755" spans="1:17" x14ac:dyDescent="0.3">
      <c r="A755">
        <v>216968</v>
      </c>
      <c r="B755">
        <v>105</v>
      </c>
      <c r="C755" t="s">
        <v>557</v>
      </c>
      <c r="D755" t="s">
        <v>2579</v>
      </c>
      <c r="E755" t="s">
        <v>2017</v>
      </c>
      <c r="F755" s="451">
        <v>46084</v>
      </c>
      <c r="G755" s="451">
        <v>46084</v>
      </c>
      <c r="H755" s="451">
        <v>46112</v>
      </c>
      <c r="I755">
        <v>130.63999999999999</v>
      </c>
      <c r="J755">
        <v>130.63999999999999</v>
      </c>
      <c r="K755">
        <v>130.63999999999999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461</v>
      </c>
    </row>
    <row r="756" spans="1:17" x14ac:dyDescent="0.3">
      <c r="A756">
        <v>216967</v>
      </c>
      <c r="B756">
        <v>105</v>
      </c>
      <c r="C756" t="s">
        <v>557</v>
      </c>
      <c r="D756" t="s">
        <v>2579</v>
      </c>
      <c r="E756" t="s">
        <v>3363</v>
      </c>
      <c r="F756" s="451">
        <v>46090</v>
      </c>
      <c r="G756" s="451">
        <v>46090</v>
      </c>
      <c r="H756" s="451">
        <v>46118</v>
      </c>
      <c r="I756">
        <v>237.03</v>
      </c>
      <c r="J756">
        <v>237.02</v>
      </c>
      <c r="K756">
        <v>237.03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461</v>
      </c>
    </row>
    <row r="757" spans="1:17" x14ac:dyDescent="0.3">
      <c r="A757">
        <v>216963</v>
      </c>
      <c r="B757">
        <v>105</v>
      </c>
      <c r="C757" t="s">
        <v>557</v>
      </c>
      <c r="D757" t="s">
        <v>2579</v>
      </c>
      <c r="E757" t="s">
        <v>3364</v>
      </c>
      <c r="F757" s="451">
        <v>46092</v>
      </c>
      <c r="G757" s="451">
        <v>46092</v>
      </c>
      <c r="H757" s="451">
        <v>46120</v>
      </c>
      <c r="I757">
        <v>212.29</v>
      </c>
      <c r="J757">
        <v>212.29</v>
      </c>
      <c r="K757">
        <v>212.29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461</v>
      </c>
    </row>
    <row r="758" spans="1:17" x14ac:dyDescent="0.3">
      <c r="A758">
        <v>216961</v>
      </c>
      <c r="B758">
        <v>105</v>
      </c>
      <c r="C758" t="s">
        <v>557</v>
      </c>
      <c r="D758" t="s">
        <v>2605</v>
      </c>
      <c r="E758" t="s">
        <v>3365</v>
      </c>
      <c r="F758" s="451">
        <v>46084</v>
      </c>
      <c r="G758" s="451">
        <v>46084</v>
      </c>
      <c r="H758" s="451">
        <v>46112</v>
      </c>
      <c r="I758">
        <v>190.6</v>
      </c>
      <c r="J758">
        <v>190.6</v>
      </c>
      <c r="K758">
        <v>0</v>
      </c>
      <c r="L758">
        <v>190.6</v>
      </c>
      <c r="M758">
        <v>0</v>
      </c>
      <c r="N758">
        <v>0</v>
      </c>
      <c r="O758">
        <v>0</v>
      </c>
      <c r="P758">
        <v>0</v>
      </c>
      <c r="Q758" t="s">
        <v>461</v>
      </c>
    </row>
    <row r="759" spans="1:17" x14ac:dyDescent="0.3">
      <c r="A759">
        <v>216959</v>
      </c>
      <c r="B759">
        <v>105</v>
      </c>
      <c r="C759" t="s">
        <v>557</v>
      </c>
      <c r="D759" t="s">
        <v>2605</v>
      </c>
      <c r="E759" t="s">
        <v>3366</v>
      </c>
      <c r="F759" s="451">
        <v>46091</v>
      </c>
      <c r="G759" s="451">
        <v>46091</v>
      </c>
      <c r="H759" s="451">
        <v>46119</v>
      </c>
      <c r="I759">
        <v>423.4</v>
      </c>
      <c r="J759">
        <v>423.4</v>
      </c>
      <c r="K759">
        <v>0</v>
      </c>
      <c r="L759">
        <v>423.4</v>
      </c>
      <c r="M759">
        <v>0</v>
      </c>
      <c r="N759">
        <v>0</v>
      </c>
      <c r="O759">
        <v>0</v>
      </c>
      <c r="P759">
        <v>0</v>
      </c>
      <c r="Q759" t="s">
        <v>461</v>
      </c>
    </row>
    <row r="760" spans="1:17" x14ac:dyDescent="0.3">
      <c r="A760">
        <v>216956</v>
      </c>
      <c r="B760">
        <v>105</v>
      </c>
      <c r="C760" t="s">
        <v>557</v>
      </c>
      <c r="D760" t="s">
        <v>2864</v>
      </c>
      <c r="E760" t="s">
        <v>3367</v>
      </c>
      <c r="F760" s="451">
        <v>46091</v>
      </c>
      <c r="H760" s="451">
        <v>46125</v>
      </c>
      <c r="I760">
        <v>324.82</v>
      </c>
      <c r="J760">
        <v>324.82</v>
      </c>
      <c r="K760">
        <v>0</v>
      </c>
      <c r="L760">
        <v>0</v>
      </c>
      <c r="M760">
        <v>282.82</v>
      </c>
      <c r="N760">
        <v>0</v>
      </c>
      <c r="O760">
        <v>42</v>
      </c>
      <c r="P760">
        <v>0</v>
      </c>
      <c r="Q760" t="s">
        <v>461</v>
      </c>
    </row>
    <row r="761" spans="1:17" x14ac:dyDescent="0.3">
      <c r="A761">
        <v>216955</v>
      </c>
      <c r="B761">
        <v>105</v>
      </c>
      <c r="C761" t="s">
        <v>557</v>
      </c>
      <c r="D761" t="s">
        <v>2864</v>
      </c>
      <c r="E761" t="s">
        <v>3368</v>
      </c>
      <c r="F761" s="451">
        <v>46085</v>
      </c>
      <c r="G761" s="451">
        <v>46085</v>
      </c>
      <c r="H761" s="451">
        <v>46118</v>
      </c>
      <c r="I761">
        <v>213.44</v>
      </c>
      <c r="J761">
        <v>213.44</v>
      </c>
      <c r="K761">
        <v>213.44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461</v>
      </c>
    </row>
    <row r="762" spans="1:17" x14ac:dyDescent="0.3">
      <c r="A762">
        <v>216952</v>
      </c>
      <c r="B762">
        <v>105</v>
      </c>
      <c r="C762" t="s">
        <v>557</v>
      </c>
      <c r="D762" t="s">
        <v>2963</v>
      </c>
      <c r="E762" t="s">
        <v>3369</v>
      </c>
      <c r="F762" s="451">
        <v>46091</v>
      </c>
      <c r="G762" s="451">
        <v>46091</v>
      </c>
      <c r="H762" s="451">
        <v>46105</v>
      </c>
      <c r="I762">
        <v>777.5</v>
      </c>
      <c r="J762">
        <v>718.02</v>
      </c>
      <c r="K762">
        <v>777.5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461</v>
      </c>
    </row>
    <row r="763" spans="1:17" x14ac:dyDescent="0.3">
      <c r="A763">
        <v>216950</v>
      </c>
      <c r="B763">
        <v>105</v>
      </c>
      <c r="C763" t="s">
        <v>557</v>
      </c>
      <c r="D763" t="s">
        <v>2571</v>
      </c>
      <c r="E763" t="s">
        <v>3370</v>
      </c>
      <c r="F763" s="451">
        <v>46085</v>
      </c>
      <c r="G763" s="451">
        <v>46085</v>
      </c>
      <c r="H763" s="451">
        <v>46113</v>
      </c>
      <c r="I763">
        <v>616.37</v>
      </c>
      <c r="J763">
        <v>614.4</v>
      </c>
      <c r="K763">
        <v>616.37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461</v>
      </c>
    </row>
    <row r="764" spans="1:17" x14ac:dyDescent="0.3">
      <c r="A764">
        <v>216949</v>
      </c>
      <c r="B764">
        <v>105</v>
      </c>
      <c r="C764" t="s">
        <v>557</v>
      </c>
      <c r="D764" t="s">
        <v>2571</v>
      </c>
      <c r="E764" t="s">
        <v>3371</v>
      </c>
      <c r="F764" s="451">
        <v>46086</v>
      </c>
      <c r="G764" s="451">
        <v>46086</v>
      </c>
      <c r="H764" s="451">
        <v>46107</v>
      </c>
      <c r="I764">
        <v>730.4</v>
      </c>
      <c r="J764">
        <v>728.4</v>
      </c>
      <c r="K764">
        <v>730.4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461</v>
      </c>
    </row>
    <row r="765" spans="1:17" x14ac:dyDescent="0.3">
      <c r="A765">
        <v>216947</v>
      </c>
      <c r="B765">
        <v>105</v>
      </c>
      <c r="C765" t="s">
        <v>557</v>
      </c>
      <c r="D765" t="s">
        <v>2571</v>
      </c>
      <c r="E765" t="s">
        <v>3372</v>
      </c>
      <c r="F765" s="451">
        <v>46092</v>
      </c>
      <c r="G765" s="451">
        <v>46092</v>
      </c>
      <c r="H765" s="451">
        <v>46120</v>
      </c>
      <c r="I765">
        <v>859.36</v>
      </c>
      <c r="J765">
        <v>857.38</v>
      </c>
      <c r="K765">
        <v>859.36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461</v>
      </c>
    </row>
    <row r="766" spans="1:17" x14ac:dyDescent="0.3">
      <c r="A766">
        <v>216946</v>
      </c>
      <c r="B766">
        <v>105</v>
      </c>
      <c r="C766" t="s">
        <v>557</v>
      </c>
      <c r="D766" t="s">
        <v>1786</v>
      </c>
      <c r="E766" t="s">
        <v>3373</v>
      </c>
      <c r="F766" s="451">
        <v>46092</v>
      </c>
      <c r="G766" s="451">
        <v>46092</v>
      </c>
      <c r="H766" s="451">
        <v>46121</v>
      </c>
      <c r="I766">
        <v>1574</v>
      </c>
      <c r="J766">
        <v>1585.21</v>
      </c>
      <c r="K766">
        <v>1546.6</v>
      </c>
      <c r="L766">
        <v>27.4</v>
      </c>
      <c r="M766">
        <v>0</v>
      </c>
      <c r="N766">
        <v>0</v>
      </c>
      <c r="O766">
        <v>0</v>
      </c>
      <c r="P766">
        <v>0</v>
      </c>
      <c r="Q766" t="s">
        <v>461</v>
      </c>
    </row>
    <row r="767" spans="1:17" x14ac:dyDescent="0.3">
      <c r="A767">
        <v>216945</v>
      </c>
      <c r="B767">
        <v>105</v>
      </c>
      <c r="C767" t="s">
        <v>557</v>
      </c>
      <c r="D767" t="s">
        <v>836</v>
      </c>
      <c r="E767" t="s">
        <v>1907</v>
      </c>
      <c r="F767" s="451">
        <v>46090</v>
      </c>
      <c r="H767" s="451">
        <v>46118</v>
      </c>
      <c r="I767">
        <v>400</v>
      </c>
      <c r="J767">
        <v>400</v>
      </c>
      <c r="K767">
        <v>0</v>
      </c>
      <c r="L767">
        <v>0</v>
      </c>
      <c r="M767">
        <v>400</v>
      </c>
      <c r="N767">
        <v>0</v>
      </c>
      <c r="O767">
        <v>0</v>
      </c>
      <c r="P767">
        <v>0</v>
      </c>
      <c r="Q767" t="s">
        <v>461</v>
      </c>
    </row>
    <row r="768" spans="1:17" x14ac:dyDescent="0.3">
      <c r="A768">
        <v>216944</v>
      </c>
      <c r="B768">
        <v>105</v>
      </c>
      <c r="C768" t="s">
        <v>557</v>
      </c>
      <c r="D768" t="s">
        <v>2716</v>
      </c>
      <c r="E768" t="s">
        <v>3374</v>
      </c>
      <c r="F768" s="451">
        <v>46090</v>
      </c>
      <c r="G768" s="451">
        <v>46090</v>
      </c>
      <c r="H768" s="451">
        <v>46111</v>
      </c>
      <c r="I768">
        <v>240</v>
      </c>
      <c r="J768">
        <v>240</v>
      </c>
      <c r="K768">
        <v>240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461</v>
      </c>
    </row>
    <row r="769" spans="1:17" x14ac:dyDescent="0.3">
      <c r="A769">
        <v>216943</v>
      </c>
      <c r="B769">
        <v>105</v>
      </c>
      <c r="C769" t="s">
        <v>557</v>
      </c>
      <c r="D769" t="s">
        <v>2579</v>
      </c>
      <c r="E769" t="s">
        <v>3375</v>
      </c>
      <c r="F769" s="451">
        <v>46091</v>
      </c>
      <c r="G769" s="451">
        <v>46091</v>
      </c>
      <c r="H769" s="451">
        <v>46119</v>
      </c>
      <c r="I769">
        <v>122.75</v>
      </c>
      <c r="J769">
        <v>122.75</v>
      </c>
      <c r="K769">
        <v>122.75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461</v>
      </c>
    </row>
    <row r="770" spans="1:17" x14ac:dyDescent="0.3">
      <c r="A770">
        <v>216941</v>
      </c>
      <c r="B770">
        <v>105</v>
      </c>
      <c r="C770" t="s">
        <v>557</v>
      </c>
      <c r="D770" t="s">
        <v>2579</v>
      </c>
      <c r="E770" t="s">
        <v>3376</v>
      </c>
      <c r="F770" s="451">
        <v>46086</v>
      </c>
      <c r="G770" s="451">
        <v>46086</v>
      </c>
      <c r="H770" s="451">
        <v>46114</v>
      </c>
      <c r="I770">
        <v>154.28</v>
      </c>
      <c r="J770">
        <v>154.28</v>
      </c>
      <c r="K770">
        <v>154.28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461</v>
      </c>
    </row>
    <row r="771" spans="1:17" x14ac:dyDescent="0.3">
      <c r="A771">
        <v>216940</v>
      </c>
      <c r="B771">
        <v>105</v>
      </c>
      <c r="C771" t="s">
        <v>557</v>
      </c>
      <c r="D771" t="s">
        <v>2565</v>
      </c>
      <c r="E771" t="s">
        <v>3377</v>
      </c>
      <c r="F771" s="451">
        <v>46091</v>
      </c>
      <c r="G771" s="451">
        <v>46091</v>
      </c>
      <c r="H771" s="451">
        <v>46112</v>
      </c>
      <c r="I771">
        <v>157.1</v>
      </c>
      <c r="J771">
        <v>157.1</v>
      </c>
      <c r="K771">
        <v>0</v>
      </c>
      <c r="L771">
        <v>157.1</v>
      </c>
      <c r="M771">
        <v>0</v>
      </c>
      <c r="N771">
        <v>0</v>
      </c>
      <c r="O771">
        <v>0</v>
      </c>
      <c r="P771">
        <v>0</v>
      </c>
      <c r="Q771" t="s">
        <v>461</v>
      </c>
    </row>
    <row r="772" spans="1:17" x14ac:dyDescent="0.3">
      <c r="A772">
        <v>216939</v>
      </c>
      <c r="B772">
        <v>105</v>
      </c>
      <c r="C772" t="s">
        <v>557</v>
      </c>
      <c r="D772" t="s">
        <v>2792</v>
      </c>
      <c r="E772" t="s">
        <v>3378</v>
      </c>
      <c r="F772" s="451">
        <v>46090</v>
      </c>
      <c r="G772" s="451">
        <v>46090</v>
      </c>
      <c r="H772" s="451">
        <v>46104</v>
      </c>
      <c r="I772">
        <v>621.5</v>
      </c>
      <c r="J772">
        <v>588.5</v>
      </c>
      <c r="K772">
        <v>621.5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461</v>
      </c>
    </row>
    <row r="773" spans="1:17" x14ac:dyDescent="0.3">
      <c r="A773">
        <v>216936</v>
      </c>
      <c r="B773">
        <v>105</v>
      </c>
      <c r="C773" t="s">
        <v>557</v>
      </c>
      <c r="D773" t="s">
        <v>2600</v>
      </c>
      <c r="E773" t="s">
        <v>2328</v>
      </c>
      <c r="F773" s="451">
        <v>46092</v>
      </c>
      <c r="G773" s="451">
        <v>46092</v>
      </c>
      <c r="H773" s="451">
        <v>46123</v>
      </c>
      <c r="I773">
        <v>138.91999999999999</v>
      </c>
      <c r="J773">
        <v>138.91999999999999</v>
      </c>
      <c r="K773">
        <v>138.91999999999999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461</v>
      </c>
    </row>
    <row r="774" spans="1:17" x14ac:dyDescent="0.3">
      <c r="A774">
        <v>216934</v>
      </c>
      <c r="B774">
        <v>105</v>
      </c>
      <c r="C774" t="s">
        <v>557</v>
      </c>
      <c r="D774" t="s">
        <v>2563</v>
      </c>
      <c r="E774" t="s">
        <v>3379</v>
      </c>
      <c r="F774" s="451">
        <v>46084</v>
      </c>
      <c r="G774" s="451">
        <v>46084</v>
      </c>
      <c r="H774" s="451">
        <v>46112</v>
      </c>
      <c r="I774">
        <v>79.88</v>
      </c>
      <c r="J774">
        <v>79.319999999999993</v>
      </c>
      <c r="K774">
        <v>79.88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461</v>
      </c>
    </row>
    <row r="775" spans="1:17" x14ac:dyDescent="0.3">
      <c r="A775">
        <v>216933</v>
      </c>
      <c r="B775">
        <v>105</v>
      </c>
      <c r="C775" t="s">
        <v>557</v>
      </c>
      <c r="D775" t="s">
        <v>2563</v>
      </c>
      <c r="E775" t="s">
        <v>3380</v>
      </c>
      <c r="F775" s="451">
        <v>46085</v>
      </c>
      <c r="G775" s="451">
        <v>46085</v>
      </c>
      <c r="H775" s="451">
        <v>46113</v>
      </c>
      <c r="I775">
        <v>434.71</v>
      </c>
      <c r="J775">
        <v>434.71</v>
      </c>
      <c r="K775">
        <v>434.71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461</v>
      </c>
    </row>
    <row r="776" spans="1:17" x14ac:dyDescent="0.3">
      <c r="A776">
        <v>216932</v>
      </c>
      <c r="B776">
        <v>105</v>
      </c>
      <c r="C776" t="s">
        <v>557</v>
      </c>
      <c r="D776" t="s">
        <v>2563</v>
      </c>
      <c r="E776" t="s">
        <v>3381</v>
      </c>
      <c r="F776" s="451">
        <v>46086</v>
      </c>
      <c r="G776" s="451">
        <v>46086</v>
      </c>
      <c r="H776" s="451">
        <v>46114</v>
      </c>
      <c r="I776">
        <v>757.73</v>
      </c>
      <c r="J776">
        <v>757.73</v>
      </c>
      <c r="K776">
        <v>757.73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461</v>
      </c>
    </row>
    <row r="777" spans="1:17" x14ac:dyDescent="0.3">
      <c r="A777">
        <v>216930</v>
      </c>
      <c r="B777">
        <v>105</v>
      </c>
      <c r="C777" t="s">
        <v>557</v>
      </c>
      <c r="D777" t="s">
        <v>2563</v>
      </c>
      <c r="E777" t="s">
        <v>3382</v>
      </c>
      <c r="F777" s="451">
        <v>46091</v>
      </c>
      <c r="G777" s="451">
        <v>46091</v>
      </c>
      <c r="H777" s="451">
        <v>46119</v>
      </c>
      <c r="I777">
        <v>130.83000000000001</v>
      </c>
      <c r="J777">
        <v>130.25</v>
      </c>
      <c r="K777">
        <v>130.83000000000001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461</v>
      </c>
    </row>
    <row r="778" spans="1:17" x14ac:dyDescent="0.3">
      <c r="A778">
        <v>216927</v>
      </c>
      <c r="B778">
        <v>105</v>
      </c>
      <c r="C778" t="s">
        <v>557</v>
      </c>
      <c r="D778" t="s">
        <v>2563</v>
      </c>
      <c r="E778" t="s">
        <v>3383</v>
      </c>
      <c r="F778" s="451">
        <v>46092</v>
      </c>
      <c r="G778" s="451">
        <v>46092</v>
      </c>
      <c r="H778" s="451">
        <v>46120</v>
      </c>
      <c r="I778">
        <v>375.04</v>
      </c>
      <c r="J778">
        <v>375.04</v>
      </c>
      <c r="K778">
        <v>375.04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461</v>
      </c>
    </row>
    <row r="779" spans="1:17" x14ac:dyDescent="0.3">
      <c r="A779">
        <v>216925</v>
      </c>
      <c r="B779">
        <v>105</v>
      </c>
      <c r="C779" t="s">
        <v>557</v>
      </c>
      <c r="D779" t="s">
        <v>2563</v>
      </c>
      <c r="E779" t="s">
        <v>3384</v>
      </c>
      <c r="F779" s="451">
        <v>46090</v>
      </c>
      <c r="G779" s="451">
        <v>46090</v>
      </c>
      <c r="H779" s="451">
        <v>46118</v>
      </c>
      <c r="I779">
        <v>242.7</v>
      </c>
      <c r="J779">
        <v>242.69</v>
      </c>
      <c r="K779">
        <v>242.7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461</v>
      </c>
    </row>
    <row r="780" spans="1:17" x14ac:dyDescent="0.3">
      <c r="A780">
        <v>216924</v>
      </c>
      <c r="B780">
        <v>105</v>
      </c>
      <c r="C780" t="s">
        <v>557</v>
      </c>
      <c r="D780" t="s">
        <v>2603</v>
      </c>
      <c r="E780" t="s">
        <v>3385</v>
      </c>
      <c r="F780" s="451">
        <v>46087</v>
      </c>
      <c r="G780" s="451">
        <v>46087</v>
      </c>
      <c r="H780" s="451">
        <v>46104</v>
      </c>
      <c r="I780">
        <v>768.9</v>
      </c>
      <c r="J780">
        <v>768.9</v>
      </c>
      <c r="K780">
        <v>768.9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461</v>
      </c>
    </row>
    <row r="781" spans="1:17" x14ac:dyDescent="0.3">
      <c r="A781">
        <v>216921</v>
      </c>
      <c r="B781">
        <v>105</v>
      </c>
      <c r="C781" t="s">
        <v>557</v>
      </c>
      <c r="D781" t="s">
        <v>2593</v>
      </c>
      <c r="E781" t="s">
        <v>3386</v>
      </c>
      <c r="F781" s="451">
        <v>46087</v>
      </c>
      <c r="G781" s="451">
        <v>46087</v>
      </c>
      <c r="H781" s="451">
        <v>46115</v>
      </c>
      <c r="I781">
        <v>760</v>
      </c>
      <c r="J781">
        <v>760</v>
      </c>
      <c r="K781">
        <v>760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461</v>
      </c>
    </row>
    <row r="782" spans="1:17" x14ac:dyDescent="0.3">
      <c r="A782">
        <v>216920</v>
      </c>
      <c r="B782">
        <v>105</v>
      </c>
      <c r="C782" t="s">
        <v>557</v>
      </c>
      <c r="D782" t="s">
        <v>2653</v>
      </c>
      <c r="E782" t="s">
        <v>3387</v>
      </c>
      <c r="F782" s="451">
        <v>46090</v>
      </c>
      <c r="G782" s="451">
        <v>46090</v>
      </c>
      <c r="H782" s="451">
        <v>46104</v>
      </c>
      <c r="I782">
        <v>210.95</v>
      </c>
      <c r="J782">
        <v>180.95</v>
      </c>
      <c r="K782">
        <v>210.95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461</v>
      </c>
    </row>
    <row r="783" spans="1:17" x14ac:dyDescent="0.3">
      <c r="A783">
        <v>216919</v>
      </c>
      <c r="B783">
        <v>105</v>
      </c>
      <c r="C783" t="s">
        <v>557</v>
      </c>
      <c r="D783" t="s">
        <v>2991</v>
      </c>
      <c r="E783" t="s">
        <v>3388</v>
      </c>
      <c r="F783" s="451">
        <v>46091</v>
      </c>
      <c r="G783" s="451">
        <v>46091</v>
      </c>
      <c r="H783" s="451">
        <v>46105</v>
      </c>
      <c r="I783">
        <v>584.15</v>
      </c>
      <c r="J783">
        <v>584.15</v>
      </c>
      <c r="K783">
        <v>0</v>
      </c>
      <c r="L783">
        <v>584.15</v>
      </c>
      <c r="M783">
        <v>0</v>
      </c>
      <c r="N783">
        <v>0</v>
      </c>
      <c r="O783">
        <v>0</v>
      </c>
      <c r="P783">
        <v>0</v>
      </c>
      <c r="Q783" t="s">
        <v>461</v>
      </c>
    </row>
    <row r="784" spans="1:17" x14ac:dyDescent="0.3">
      <c r="A784">
        <v>216917</v>
      </c>
      <c r="B784">
        <v>105</v>
      </c>
      <c r="C784" t="s">
        <v>557</v>
      </c>
      <c r="D784" t="s">
        <v>2554</v>
      </c>
      <c r="E784" t="s">
        <v>3389</v>
      </c>
      <c r="F784" s="451">
        <v>46093</v>
      </c>
      <c r="H784" s="451">
        <v>46107</v>
      </c>
      <c r="I784">
        <v>798.96</v>
      </c>
      <c r="J784">
        <v>798.96</v>
      </c>
      <c r="K784">
        <v>0</v>
      </c>
      <c r="L784">
        <v>0</v>
      </c>
      <c r="M784">
        <v>767.4</v>
      </c>
      <c r="N784">
        <v>21</v>
      </c>
      <c r="O784">
        <v>10.56</v>
      </c>
      <c r="P784">
        <v>0</v>
      </c>
      <c r="Q784" t="s">
        <v>461</v>
      </c>
    </row>
    <row r="785" spans="1:17" x14ac:dyDescent="0.3">
      <c r="A785">
        <v>216913</v>
      </c>
      <c r="B785">
        <v>105</v>
      </c>
      <c r="C785" t="s">
        <v>557</v>
      </c>
      <c r="D785" t="s">
        <v>2552</v>
      </c>
      <c r="E785" t="s">
        <v>3390</v>
      </c>
      <c r="F785" s="451">
        <v>46093</v>
      </c>
      <c r="G785" s="451">
        <v>46093</v>
      </c>
      <c r="H785" s="451">
        <v>46107</v>
      </c>
      <c r="I785">
        <v>222.5</v>
      </c>
      <c r="J785">
        <v>197.5</v>
      </c>
      <c r="K785">
        <v>222.5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461</v>
      </c>
    </row>
    <row r="786" spans="1:17" x14ac:dyDescent="0.3">
      <c r="A786">
        <v>216911</v>
      </c>
      <c r="B786">
        <v>105</v>
      </c>
      <c r="C786" t="s">
        <v>557</v>
      </c>
      <c r="D786" t="s">
        <v>1280</v>
      </c>
      <c r="E786" t="s">
        <v>3391</v>
      </c>
      <c r="F786" s="451">
        <v>46080</v>
      </c>
      <c r="H786" s="451">
        <v>46094</v>
      </c>
      <c r="I786">
        <v>168.9</v>
      </c>
      <c r="J786">
        <v>168.9</v>
      </c>
      <c r="K786">
        <v>0</v>
      </c>
      <c r="L786">
        <v>0</v>
      </c>
      <c r="M786">
        <v>0</v>
      </c>
      <c r="N786">
        <v>0</v>
      </c>
      <c r="O786">
        <v>168.9</v>
      </c>
      <c r="P786">
        <v>0</v>
      </c>
      <c r="Q786" t="s">
        <v>460</v>
      </c>
    </row>
    <row r="787" spans="1:17" x14ac:dyDescent="0.3">
      <c r="A787">
        <v>216909</v>
      </c>
      <c r="B787">
        <v>105</v>
      </c>
      <c r="C787" t="s">
        <v>557</v>
      </c>
      <c r="D787" t="s">
        <v>2597</v>
      </c>
      <c r="E787" t="s">
        <v>3392</v>
      </c>
      <c r="F787" s="451">
        <v>46090</v>
      </c>
      <c r="G787" s="451">
        <v>46090</v>
      </c>
      <c r="H787" s="451">
        <v>46118</v>
      </c>
      <c r="I787">
        <v>7591.83</v>
      </c>
      <c r="J787">
        <v>7591.84</v>
      </c>
      <c r="K787">
        <v>7591.83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461</v>
      </c>
    </row>
    <row r="788" spans="1:17" x14ac:dyDescent="0.3">
      <c r="A788">
        <v>216907</v>
      </c>
      <c r="B788">
        <v>105</v>
      </c>
      <c r="C788" t="s">
        <v>557</v>
      </c>
      <c r="D788" t="s">
        <v>2597</v>
      </c>
      <c r="E788" t="s">
        <v>3393</v>
      </c>
      <c r="F788" s="451">
        <v>46092</v>
      </c>
      <c r="G788" s="451">
        <v>46092</v>
      </c>
      <c r="H788" s="451">
        <v>46120</v>
      </c>
      <c r="I788">
        <v>111.52</v>
      </c>
      <c r="J788">
        <v>111.52</v>
      </c>
      <c r="K788">
        <v>111.52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461</v>
      </c>
    </row>
    <row r="789" spans="1:17" x14ac:dyDescent="0.3">
      <c r="A789">
        <v>216906</v>
      </c>
      <c r="B789">
        <v>105</v>
      </c>
      <c r="C789" t="s">
        <v>557</v>
      </c>
      <c r="D789" t="s">
        <v>2864</v>
      </c>
      <c r="E789" t="s">
        <v>3394</v>
      </c>
      <c r="F789" s="451">
        <v>46092</v>
      </c>
      <c r="G789" s="451">
        <v>46092</v>
      </c>
      <c r="H789" s="451">
        <v>46125</v>
      </c>
      <c r="I789">
        <v>302.94</v>
      </c>
      <c r="J789">
        <v>302.94</v>
      </c>
      <c r="K789">
        <v>302.94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461</v>
      </c>
    </row>
    <row r="790" spans="1:17" x14ac:dyDescent="0.3">
      <c r="A790">
        <v>216290</v>
      </c>
      <c r="B790">
        <v>105</v>
      </c>
      <c r="C790" t="s">
        <v>557</v>
      </c>
      <c r="D790" t="s">
        <v>2605</v>
      </c>
      <c r="E790" t="s">
        <v>3395</v>
      </c>
      <c r="F790" s="451">
        <v>46092</v>
      </c>
      <c r="G790" s="451">
        <v>46092</v>
      </c>
      <c r="H790" s="451">
        <v>46122</v>
      </c>
      <c r="I790">
        <v>1322.35</v>
      </c>
      <c r="J790">
        <v>1322.35</v>
      </c>
      <c r="K790">
        <v>1322.35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461</v>
      </c>
    </row>
    <row r="791" spans="1:17" x14ac:dyDescent="0.3">
      <c r="A791">
        <v>216288</v>
      </c>
      <c r="B791">
        <v>105</v>
      </c>
      <c r="C791" t="s">
        <v>557</v>
      </c>
      <c r="D791" t="s">
        <v>2690</v>
      </c>
      <c r="E791" t="s">
        <v>3396</v>
      </c>
      <c r="F791" s="451">
        <v>46091</v>
      </c>
      <c r="G791" s="451">
        <v>46091</v>
      </c>
      <c r="H791" s="451">
        <v>46113</v>
      </c>
      <c r="I791">
        <v>241.5</v>
      </c>
      <c r="J791">
        <v>241.5</v>
      </c>
      <c r="K791">
        <v>0</v>
      </c>
      <c r="L791">
        <v>241.5</v>
      </c>
      <c r="M791">
        <v>0</v>
      </c>
      <c r="N791">
        <v>0</v>
      </c>
      <c r="O791">
        <v>0</v>
      </c>
      <c r="P791">
        <v>0</v>
      </c>
      <c r="Q791" t="s">
        <v>461</v>
      </c>
    </row>
    <row r="792" spans="1:17" x14ac:dyDescent="0.3">
      <c r="A792">
        <v>216286</v>
      </c>
      <c r="B792">
        <v>105</v>
      </c>
      <c r="C792" t="s">
        <v>557</v>
      </c>
      <c r="D792" t="s">
        <v>2605</v>
      </c>
      <c r="E792" t="s">
        <v>3397</v>
      </c>
      <c r="F792" s="451">
        <v>46084</v>
      </c>
      <c r="G792" s="451">
        <v>46084</v>
      </c>
      <c r="H792" s="451">
        <v>46112</v>
      </c>
      <c r="I792">
        <v>1046.3</v>
      </c>
      <c r="J792">
        <v>1021.64</v>
      </c>
      <c r="K792">
        <v>1046.3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461</v>
      </c>
    </row>
    <row r="793" spans="1:17" x14ac:dyDescent="0.3">
      <c r="A793">
        <v>216285</v>
      </c>
      <c r="B793">
        <v>105</v>
      </c>
      <c r="C793" t="s">
        <v>557</v>
      </c>
      <c r="D793" t="s">
        <v>2605</v>
      </c>
      <c r="E793" t="s">
        <v>3398</v>
      </c>
      <c r="F793" s="451">
        <v>46085</v>
      </c>
      <c r="G793" s="451">
        <v>46085</v>
      </c>
      <c r="H793" s="451">
        <v>46115</v>
      </c>
      <c r="I793">
        <v>590.36</v>
      </c>
      <c r="J793">
        <v>590.4</v>
      </c>
      <c r="K793">
        <v>590.36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461</v>
      </c>
    </row>
    <row r="794" spans="1:17" x14ac:dyDescent="0.3">
      <c r="A794">
        <v>216284</v>
      </c>
      <c r="B794">
        <v>105</v>
      </c>
      <c r="C794" t="s">
        <v>557</v>
      </c>
      <c r="D794" t="s">
        <v>2690</v>
      </c>
      <c r="E794" t="s">
        <v>3399</v>
      </c>
      <c r="F794" s="451">
        <v>46085</v>
      </c>
      <c r="G794" s="451">
        <v>46085</v>
      </c>
      <c r="H794" s="451">
        <v>46106</v>
      </c>
      <c r="I794">
        <v>675.21</v>
      </c>
      <c r="J794">
        <v>675.11</v>
      </c>
      <c r="K794">
        <v>0</v>
      </c>
      <c r="L794">
        <v>675.21</v>
      </c>
      <c r="M794">
        <v>0</v>
      </c>
      <c r="N794">
        <v>0</v>
      </c>
      <c r="O794">
        <v>0</v>
      </c>
      <c r="P794">
        <v>0</v>
      </c>
      <c r="Q794" t="s">
        <v>461</v>
      </c>
    </row>
    <row r="795" spans="1:17" x14ac:dyDescent="0.3">
      <c r="A795">
        <v>216283</v>
      </c>
      <c r="B795">
        <v>105</v>
      </c>
      <c r="C795" t="s">
        <v>557</v>
      </c>
      <c r="D795" t="s">
        <v>2675</v>
      </c>
      <c r="E795" t="s">
        <v>3400</v>
      </c>
      <c r="F795" s="451">
        <v>46090</v>
      </c>
      <c r="G795" s="451">
        <v>46090</v>
      </c>
      <c r="H795" s="451">
        <v>46118</v>
      </c>
      <c r="I795">
        <v>627.9</v>
      </c>
      <c r="J795">
        <v>627.9</v>
      </c>
      <c r="K795">
        <v>627.9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461</v>
      </c>
    </row>
    <row r="796" spans="1:17" x14ac:dyDescent="0.3">
      <c r="A796">
        <v>216279</v>
      </c>
      <c r="B796">
        <v>105</v>
      </c>
      <c r="C796" t="s">
        <v>557</v>
      </c>
      <c r="D796" t="s">
        <v>2699</v>
      </c>
      <c r="E796" t="s">
        <v>3401</v>
      </c>
      <c r="F796" s="451">
        <v>46084</v>
      </c>
      <c r="G796" s="451">
        <v>46084</v>
      </c>
      <c r="H796" s="451">
        <v>46112</v>
      </c>
      <c r="I796">
        <v>314</v>
      </c>
      <c r="J796">
        <v>314</v>
      </c>
      <c r="K796">
        <v>0</v>
      </c>
      <c r="L796">
        <v>314</v>
      </c>
      <c r="M796">
        <v>0</v>
      </c>
      <c r="N796">
        <v>0</v>
      </c>
      <c r="O796">
        <v>0</v>
      </c>
      <c r="P796">
        <v>0</v>
      </c>
      <c r="Q796" t="s">
        <v>461</v>
      </c>
    </row>
    <row r="797" spans="1:17" x14ac:dyDescent="0.3">
      <c r="A797">
        <v>215839</v>
      </c>
      <c r="B797">
        <v>105</v>
      </c>
      <c r="C797" t="s">
        <v>557</v>
      </c>
      <c r="D797" t="s">
        <v>2615</v>
      </c>
      <c r="E797" t="s">
        <v>3402</v>
      </c>
      <c r="F797" s="451">
        <v>46073</v>
      </c>
      <c r="G797" s="451">
        <v>46073</v>
      </c>
      <c r="H797" s="451">
        <v>46097</v>
      </c>
      <c r="I797">
        <v>273.06</v>
      </c>
      <c r="J797">
        <v>123.9</v>
      </c>
      <c r="K797">
        <v>273.06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460</v>
      </c>
    </row>
    <row r="798" spans="1:17" x14ac:dyDescent="0.3">
      <c r="A798">
        <v>215789</v>
      </c>
      <c r="B798">
        <v>105</v>
      </c>
      <c r="C798" t="s">
        <v>557</v>
      </c>
      <c r="D798" t="s">
        <v>2552</v>
      </c>
      <c r="E798" t="s">
        <v>3403</v>
      </c>
      <c r="F798" s="451">
        <v>46085</v>
      </c>
      <c r="G798" s="451">
        <v>46085</v>
      </c>
      <c r="H798" s="451">
        <v>46099</v>
      </c>
      <c r="I798">
        <v>183</v>
      </c>
      <c r="J798">
        <v>158</v>
      </c>
      <c r="K798">
        <v>183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461</v>
      </c>
    </row>
    <row r="799" spans="1:17" x14ac:dyDescent="0.3">
      <c r="A799">
        <v>215788</v>
      </c>
      <c r="B799">
        <v>105</v>
      </c>
      <c r="C799" t="s">
        <v>557</v>
      </c>
      <c r="D799" t="s">
        <v>2991</v>
      </c>
      <c r="E799" t="s">
        <v>3404</v>
      </c>
      <c r="F799" s="451">
        <v>46083</v>
      </c>
      <c r="G799" s="451">
        <v>46083</v>
      </c>
      <c r="H799" s="451">
        <v>46097</v>
      </c>
      <c r="I799">
        <v>665.6</v>
      </c>
      <c r="J799">
        <v>665.6</v>
      </c>
      <c r="K799">
        <v>0</v>
      </c>
      <c r="L799">
        <v>665.6</v>
      </c>
      <c r="M799">
        <v>0</v>
      </c>
      <c r="N799">
        <v>0</v>
      </c>
      <c r="O799">
        <v>0</v>
      </c>
      <c r="P799">
        <v>0</v>
      </c>
      <c r="Q799" t="s">
        <v>461</v>
      </c>
    </row>
    <row r="800" spans="1:17" x14ac:dyDescent="0.3">
      <c r="A800">
        <v>215787</v>
      </c>
      <c r="B800">
        <v>105</v>
      </c>
      <c r="C800" t="s">
        <v>557</v>
      </c>
      <c r="D800" t="s">
        <v>2554</v>
      </c>
      <c r="E800" t="s">
        <v>3405</v>
      </c>
      <c r="F800" s="451">
        <v>46085</v>
      </c>
      <c r="H800" s="451">
        <v>46099</v>
      </c>
      <c r="I800">
        <v>594.52</v>
      </c>
      <c r="J800">
        <v>594.52</v>
      </c>
      <c r="K800">
        <v>0</v>
      </c>
      <c r="L800">
        <v>0</v>
      </c>
      <c r="M800">
        <v>562.84</v>
      </c>
      <c r="N800">
        <v>0</v>
      </c>
      <c r="O800">
        <v>31.68</v>
      </c>
      <c r="P800">
        <v>0</v>
      </c>
      <c r="Q800" t="s">
        <v>461</v>
      </c>
    </row>
    <row r="801" spans="1:17" x14ac:dyDescent="0.3">
      <c r="A801">
        <v>213566</v>
      </c>
      <c r="B801">
        <v>105</v>
      </c>
      <c r="C801" t="s">
        <v>557</v>
      </c>
      <c r="D801" t="s">
        <v>2607</v>
      </c>
      <c r="E801" t="s">
        <v>3406</v>
      </c>
      <c r="F801" s="451">
        <v>46081</v>
      </c>
      <c r="G801" s="451">
        <v>46081</v>
      </c>
      <c r="H801" s="451">
        <v>46109</v>
      </c>
      <c r="I801">
        <v>622.20000000000005</v>
      </c>
      <c r="J801">
        <v>622.20000000000005</v>
      </c>
      <c r="K801">
        <v>622.20000000000005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460</v>
      </c>
    </row>
    <row r="802" spans="1:17" x14ac:dyDescent="0.3">
      <c r="A802">
        <v>213565</v>
      </c>
      <c r="B802">
        <v>105</v>
      </c>
      <c r="C802" t="s">
        <v>557</v>
      </c>
      <c r="D802" t="s">
        <v>2605</v>
      </c>
      <c r="E802" t="s">
        <v>3407</v>
      </c>
      <c r="F802" s="451">
        <v>46080</v>
      </c>
      <c r="G802" s="451">
        <v>46080</v>
      </c>
      <c r="H802" s="451">
        <v>46108</v>
      </c>
      <c r="I802">
        <v>292</v>
      </c>
      <c r="J802">
        <v>292</v>
      </c>
      <c r="K802">
        <v>292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460</v>
      </c>
    </row>
    <row r="803" spans="1:17" x14ac:dyDescent="0.3">
      <c r="A803">
        <v>213563</v>
      </c>
      <c r="B803">
        <v>105</v>
      </c>
      <c r="C803" t="s">
        <v>557</v>
      </c>
      <c r="D803" t="s">
        <v>3328</v>
      </c>
      <c r="E803" t="s">
        <v>3408</v>
      </c>
      <c r="F803" s="451">
        <v>46080</v>
      </c>
      <c r="G803" s="451">
        <v>46080</v>
      </c>
      <c r="H803" s="451">
        <v>46108</v>
      </c>
      <c r="I803">
        <v>228.16</v>
      </c>
      <c r="J803">
        <v>228.16</v>
      </c>
      <c r="K803">
        <v>228.16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460</v>
      </c>
    </row>
    <row r="804" spans="1:17" x14ac:dyDescent="0.3">
      <c r="A804">
        <v>213560</v>
      </c>
      <c r="B804">
        <v>105</v>
      </c>
      <c r="C804" t="s">
        <v>557</v>
      </c>
      <c r="D804" t="s">
        <v>2563</v>
      </c>
      <c r="E804" t="s">
        <v>3409</v>
      </c>
      <c r="F804" s="451">
        <v>46081</v>
      </c>
      <c r="G804" s="451">
        <v>46081</v>
      </c>
      <c r="H804" s="451">
        <v>46109</v>
      </c>
      <c r="I804">
        <v>230.17</v>
      </c>
      <c r="J804">
        <v>220.9</v>
      </c>
      <c r="K804">
        <v>230.17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460</v>
      </c>
    </row>
    <row r="805" spans="1:17" x14ac:dyDescent="0.3">
      <c r="A805">
        <v>213556</v>
      </c>
      <c r="B805">
        <v>105</v>
      </c>
      <c r="C805" t="s">
        <v>557</v>
      </c>
      <c r="D805" t="s">
        <v>2597</v>
      </c>
      <c r="E805" t="s">
        <v>3410</v>
      </c>
      <c r="F805" s="451">
        <v>46083</v>
      </c>
      <c r="G805" s="451">
        <v>46083</v>
      </c>
      <c r="H805" s="451">
        <v>46111</v>
      </c>
      <c r="I805">
        <v>4212.1000000000004</v>
      </c>
      <c r="J805">
        <v>4212.1000000000004</v>
      </c>
      <c r="K805">
        <v>4212.1000000000004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461</v>
      </c>
    </row>
    <row r="806" spans="1:17" x14ac:dyDescent="0.3">
      <c r="A806">
        <v>213553</v>
      </c>
      <c r="B806">
        <v>105</v>
      </c>
      <c r="C806" t="s">
        <v>557</v>
      </c>
      <c r="D806" t="s">
        <v>2581</v>
      </c>
      <c r="E806" t="s">
        <v>3411</v>
      </c>
      <c r="F806" s="451">
        <v>46080</v>
      </c>
      <c r="G806" s="451">
        <v>46080</v>
      </c>
      <c r="H806" s="451">
        <v>46108</v>
      </c>
      <c r="I806">
        <v>384.6</v>
      </c>
      <c r="J806">
        <v>384.6</v>
      </c>
      <c r="K806">
        <v>384.6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460</v>
      </c>
    </row>
    <row r="807" spans="1:17" x14ac:dyDescent="0.3">
      <c r="A807">
        <v>213551</v>
      </c>
      <c r="B807">
        <v>105</v>
      </c>
      <c r="C807" t="s">
        <v>557</v>
      </c>
      <c r="D807" t="s">
        <v>2581</v>
      </c>
      <c r="E807" t="s">
        <v>3412</v>
      </c>
      <c r="F807" s="451">
        <v>46080</v>
      </c>
      <c r="G807" s="451">
        <v>46080</v>
      </c>
      <c r="H807" s="451">
        <v>46108</v>
      </c>
      <c r="I807">
        <v>41.25</v>
      </c>
      <c r="J807">
        <v>41.25</v>
      </c>
      <c r="K807">
        <v>41.25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460</v>
      </c>
    </row>
    <row r="808" spans="1:17" x14ac:dyDescent="0.3">
      <c r="A808">
        <v>212875</v>
      </c>
      <c r="B808">
        <v>105</v>
      </c>
      <c r="C808" t="s">
        <v>557</v>
      </c>
      <c r="D808" t="s">
        <v>2581</v>
      </c>
      <c r="E808" t="s">
        <v>3413</v>
      </c>
      <c r="F808" s="451">
        <v>46079</v>
      </c>
      <c r="G808" s="451">
        <v>46079</v>
      </c>
      <c r="H808" s="451">
        <v>46107</v>
      </c>
      <c r="I808">
        <v>870.5</v>
      </c>
      <c r="J808">
        <v>870.5</v>
      </c>
      <c r="K808">
        <v>870.5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460</v>
      </c>
    </row>
    <row r="809" spans="1:17" x14ac:dyDescent="0.3">
      <c r="A809">
        <v>212874</v>
      </c>
      <c r="B809">
        <v>105</v>
      </c>
      <c r="C809" t="s">
        <v>557</v>
      </c>
      <c r="D809" t="s">
        <v>2581</v>
      </c>
      <c r="E809" t="s">
        <v>3414</v>
      </c>
      <c r="F809" s="451">
        <v>46078</v>
      </c>
      <c r="G809" s="451">
        <v>46078</v>
      </c>
      <c r="H809" s="451">
        <v>46106</v>
      </c>
      <c r="I809">
        <v>240.2</v>
      </c>
      <c r="J809">
        <v>240.2</v>
      </c>
      <c r="K809">
        <v>240.2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460</v>
      </c>
    </row>
    <row r="810" spans="1:17" x14ac:dyDescent="0.3">
      <c r="A810">
        <v>212872</v>
      </c>
      <c r="B810">
        <v>105</v>
      </c>
      <c r="C810" t="s">
        <v>557</v>
      </c>
      <c r="D810" t="s">
        <v>2581</v>
      </c>
      <c r="E810" t="s">
        <v>3415</v>
      </c>
      <c r="F810" s="451">
        <v>46076</v>
      </c>
      <c r="G810" s="451">
        <v>46076</v>
      </c>
      <c r="H810" s="451">
        <v>46104</v>
      </c>
      <c r="I810">
        <v>157.08000000000001</v>
      </c>
      <c r="J810">
        <v>157.08000000000001</v>
      </c>
      <c r="K810">
        <v>157.08000000000001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460</v>
      </c>
    </row>
    <row r="811" spans="1:17" x14ac:dyDescent="0.3">
      <c r="A811">
        <v>212871</v>
      </c>
      <c r="B811">
        <v>105</v>
      </c>
      <c r="C811" t="s">
        <v>557</v>
      </c>
      <c r="D811" t="s">
        <v>2581</v>
      </c>
      <c r="E811" t="s">
        <v>3416</v>
      </c>
      <c r="F811" s="451">
        <v>46073</v>
      </c>
      <c r="G811" s="451">
        <v>46073</v>
      </c>
      <c r="H811" s="451">
        <v>46101</v>
      </c>
      <c r="I811">
        <v>77.5</v>
      </c>
      <c r="J811">
        <v>77.5</v>
      </c>
      <c r="K811">
        <v>77.5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460</v>
      </c>
    </row>
    <row r="812" spans="1:17" x14ac:dyDescent="0.3">
      <c r="A812">
        <v>212870</v>
      </c>
      <c r="B812">
        <v>105</v>
      </c>
      <c r="C812" t="s">
        <v>557</v>
      </c>
      <c r="D812" t="s">
        <v>2581</v>
      </c>
      <c r="E812" t="s">
        <v>3417</v>
      </c>
      <c r="F812" s="451">
        <v>46072</v>
      </c>
      <c r="G812" s="451">
        <v>46072</v>
      </c>
      <c r="H812" s="451">
        <v>46100</v>
      </c>
      <c r="I812">
        <v>610</v>
      </c>
      <c r="J812">
        <v>610</v>
      </c>
      <c r="K812">
        <v>610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460</v>
      </c>
    </row>
    <row r="813" spans="1:17" x14ac:dyDescent="0.3">
      <c r="A813">
        <v>212859</v>
      </c>
      <c r="B813">
        <v>105</v>
      </c>
      <c r="C813" t="s">
        <v>557</v>
      </c>
      <c r="D813" t="s">
        <v>2637</v>
      </c>
      <c r="E813" t="s">
        <v>3231</v>
      </c>
      <c r="F813" s="451">
        <v>46071</v>
      </c>
      <c r="G813" s="451">
        <v>46071</v>
      </c>
      <c r="H813" s="451">
        <v>46099</v>
      </c>
      <c r="I813">
        <v>394.8</v>
      </c>
      <c r="J813">
        <v>394.8</v>
      </c>
      <c r="K813">
        <v>0</v>
      </c>
      <c r="L813">
        <v>394.8</v>
      </c>
      <c r="M813">
        <v>0</v>
      </c>
      <c r="N813">
        <v>0</v>
      </c>
      <c r="O813">
        <v>0</v>
      </c>
      <c r="P813">
        <v>0</v>
      </c>
      <c r="Q813" t="s">
        <v>460</v>
      </c>
    </row>
    <row r="814" spans="1:17" x14ac:dyDescent="0.3">
      <c r="A814">
        <v>212858</v>
      </c>
      <c r="B814">
        <v>105</v>
      </c>
      <c r="C814" t="s">
        <v>557</v>
      </c>
      <c r="D814" t="s">
        <v>2607</v>
      </c>
      <c r="E814" t="s">
        <v>3418</v>
      </c>
      <c r="F814" s="451">
        <v>46079</v>
      </c>
      <c r="G814" s="451">
        <v>46079</v>
      </c>
      <c r="H814" s="451">
        <v>46107</v>
      </c>
      <c r="I814">
        <v>3491.1</v>
      </c>
      <c r="J814">
        <v>3491.1</v>
      </c>
      <c r="K814">
        <v>3491.1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460</v>
      </c>
    </row>
    <row r="815" spans="1:17" x14ac:dyDescent="0.3">
      <c r="A815">
        <v>212857</v>
      </c>
      <c r="B815">
        <v>105</v>
      </c>
      <c r="C815" t="s">
        <v>557</v>
      </c>
      <c r="D815" t="s">
        <v>2607</v>
      </c>
      <c r="E815" t="s">
        <v>3419</v>
      </c>
      <c r="F815" s="451">
        <v>46078</v>
      </c>
      <c r="G815" s="451">
        <v>46078</v>
      </c>
      <c r="H815" s="451">
        <v>46106</v>
      </c>
      <c r="I815">
        <v>1751</v>
      </c>
      <c r="J815">
        <v>1751</v>
      </c>
      <c r="K815">
        <v>1751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460</v>
      </c>
    </row>
    <row r="816" spans="1:17" x14ac:dyDescent="0.3">
      <c r="A816">
        <v>212856</v>
      </c>
      <c r="B816">
        <v>105</v>
      </c>
      <c r="C816" t="s">
        <v>557</v>
      </c>
      <c r="D816" t="s">
        <v>2607</v>
      </c>
      <c r="E816" t="s">
        <v>3420</v>
      </c>
      <c r="F816" s="451">
        <v>46076</v>
      </c>
      <c r="G816" s="451">
        <v>46076</v>
      </c>
      <c r="H816" s="451">
        <v>46104</v>
      </c>
      <c r="I816">
        <v>1914.71</v>
      </c>
      <c r="J816">
        <v>1993.5</v>
      </c>
      <c r="K816">
        <v>1914.71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460</v>
      </c>
    </row>
    <row r="817" spans="1:17" x14ac:dyDescent="0.3">
      <c r="A817">
        <v>212844</v>
      </c>
      <c r="B817">
        <v>105</v>
      </c>
      <c r="C817" t="s">
        <v>557</v>
      </c>
      <c r="D817" t="s">
        <v>2607</v>
      </c>
      <c r="E817" t="s">
        <v>3421</v>
      </c>
      <c r="F817" s="451">
        <v>46073</v>
      </c>
      <c r="G817" s="451">
        <v>46073</v>
      </c>
      <c r="H817" s="451">
        <v>46101</v>
      </c>
      <c r="I817">
        <v>1608.36</v>
      </c>
      <c r="J817">
        <v>1608.36</v>
      </c>
      <c r="K817">
        <v>1608.36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460</v>
      </c>
    </row>
    <row r="818" spans="1:17" x14ac:dyDescent="0.3">
      <c r="A818">
        <v>212843</v>
      </c>
      <c r="B818">
        <v>105</v>
      </c>
      <c r="C818" t="s">
        <v>557</v>
      </c>
      <c r="D818" t="s">
        <v>2607</v>
      </c>
      <c r="E818" t="s">
        <v>3422</v>
      </c>
      <c r="F818" s="451">
        <v>46073</v>
      </c>
      <c r="G818" s="451">
        <v>46073</v>
      </c>
      <c r="H818" s="451">
        <v>46101</v>
      </c>
      <c r="I818">
        <v>2620.8000000000002</v>
      </c>
      <c r="J818">
        <v>2620.8000000000002</v>
      </c>
      <c r="K818">
        <v>2620.8000000000002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460</v>
      </c>
    </row>
    <row r="819" spans="1:17" x14ac:dyDescent="0.3">
      <c r="A819">
        <v>212832</v>
      </c>
      <c r="B819">
        <v>105</v>
      </c>
      <c r="C819" t="s">
        <v>557</v>
      </c>
      <c r="D819" t="s">
        <v>2607</v>
      </c>
      <c r="E819" t="s">
        <v>3423</v>
      </c>
      <c r="F819" s="451">
        <v>46069</v>
      </c>
      <c r="G819" s="451">
        <v>46069</v>
      </c>
      <c r="H819" s="451">
        <v>46097</v>
      </c>
      <c r="I819">
        <v>3863.94</v>
      </c>
      <c r="J819">
        <v>3863.94</v>
      </c>
      <c r="K819">
        <v>3863.94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460</v>
      </c>
    </row>
    <row r="820" spans="1:17" x14ac:dyDescent="0.3">
      <c r="A820">
        <v>212831</v>
      </c>
      <c r="B820">
        <v>105</v>
      </c>
      <c r="C820" t="s">
        <v>557</v>
      </c>
      <c r="D820" t="s">
        <v>2588</v>
      </c>
      <c r="E820" t="s">
        <v>3424</v>
      </c>
      <c r="F820" s="451">
        <v>46073</v>
      </c>
      <c r="G820" s="451">
        <v>46073</v>
      </c>
      <c r="H820" s="451">
        <v>46104</v>
      </c>
      <c r="I820">
        <v>417.6</v>
      </c>
      <c r="J820">
        <v>417.6</v>
      </c>
      <c r="K820">
        <v>417.6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460</v>
      </c>
    </row>
    <row r="821" spans="1:17" x14ac:dyDescent="0.3">
      <c r="A821">
        <v>212829</v>
      </c>
      <c r="B821">
        <v>105</v>
      </c>
      <c r="C821" t="s">
        <v>557</v>
      </c>
      <c r="D821" t="s">
        <v>3425</v>
      </c>
      <c r="E821" t="s">
        <v>3426</v>
      </c>
      <c r="F821" s="451">
        <v>46078</v>
      </c>
      <c r="G821" s="451">
        <v>46078</v>
      </c>
      <c r="H821" s="451">
        <v>46106</v>
      </c>
      <c r="I821">
        <v>607.91999999999996</v>
      </c>
      <c r="J821">
        <v>607.91999999999996</v>
      </c>
      <c r="K821">
        <v>0</v>
      </c>
      <c r="L821">
        <v>607.91999999999996</v>
      </c>
      <c r="M821">
        <v>0</v>
      </c>
      <c r="N821">
        <v>0</v>
      </c>
      <c r="O821">
        <v>0</v>
      </c>
      <c r="P821">
        <v>0</v>
      </c>
      <c r="Q821" t="s">
        <v>460</v>
      </c>
    </row>
    <row r="822" spans="1:17" x14ac:dyDescent="0.3">
      <c r="A822">
        <v>212827</v>
      </c>
      <c r="B822">
        <v>105</v>
      </c>
      <c r="C822" t="s">
        <v>557</v>
      </c>
      <c r="D822" t="s">
        <v>2557</v>
      </c>
      <c r="E822" t="s">
        <v>3427</v>
      </c>
      <c r="F822" s="451">
        <v>46079</v>
      </c>
      <c r="G822" s="451">
        <v>46079</v>
      </c>
      <c r="H822" s="451">
        <v>46108</v>
      </c>
      <c r="I822">
        <v>399.5</v>
      </c>
      <c r="J822">
        <v>399.5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399.5</v>
      </c>
      <c r="Q822" t="s">
        <v>460</v>
      </c>
    </row>
    <row r="823" spans="1:17" x14ac:dyDescent="0.3">
      <c r="A823">
        <v>212826</v>
      </c>
      <c r="B823">
        <v>105</v>
      </c>
      <c r="C823" t="s">
        <v>557</v>
      </c>
      <c r="D823" t="s">
        <v>2563</v>
      </c>
      <c r="E823" t="s">
        <v>3428</v>
      </c>
      <c r="F823" s="451">
        <v>46079</v>
      </c>
      <c r="G823" s="451">
        <v>46079</v>
      </c>
      <c r="H823" s="451">
        <v>46107</v>
      </c>
      <c r="I823">
        <v>827.69</v>
      </c>
      <c r="J823">
        <v>827.69</v>
      </c>
      <c r="K823">
        <v>827.69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460</v>
      </c>
    </row>
    <row r="824" spans="1:17" x14ac:dyDescent="0.3">
      <c r="A824">
        <v>212825</v>
      </c>
      <c r="B824">
        <v>105</v>
      </c>
      <c r="C824" t="s">
        <v>557</v>
      </c>
      <c r="D824" t="s">
        <v>3328</v>
      </c>
      <c r="E824" t="s">
        <v>3429</v>
      </c>
      <c r="F824" s="451">
        <v>46078</v>
      </c>
      <c r="G824" s="451">
        <v>46078</v>
      </c>
      <c r="H824" s="451">
        <v>46107</v>
      </c>
      <c r="I824">
        <v>459.91</v>
      </c>
      <c r="J824">
        <v>459.91</v>
      </c>
      <c r="K824">
        <v>459.91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460</v>
      </c>
    </row>
    <row r="825" spans="1:17" x14ac:dyDescent="0.3">
      <c r="A825">
        <v>212808</v>
      </c>
      <c r="B825">
        <v>105</v>
      </c>
      <c r="C825" t="s">
        <v>557</v>
      </c>
      <c r="D825" t="s">
        <v>2571</v>
      </c>
      <c r="E825" t="s">
        <v>3430</v>
      </c>
      <c r="F825" s="451">
        <v>46077</v>
      </c>
      <c r="G825" s="451">
        <v>46077</v>
      </c>
      <c r="H825" s="451">
        <v>46098</v>
      </c>
      <c r="I825">
        <v>852.37</v>
      </c>
      <c r="J825">
        <v>850.57</v>
      </c>
      <c r="K825">
        <v>852.37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460</v>
      </c>
    </row>
    <row r="826" spans="1:17" x14ac:dyDescent="0.3">
      <c r="A826">
        <v>212799</v>
      </c>
      <c r="B826">
        <v>105</v>
      </c>
      <c r="C826" t="s">
        <v>557</v>
      </c>
      <c r="D826" t="s">
        <v>2571</v>
      </c>
      <c r="E826" t="s">
        <v>3431</v>
      </c>
      <c r="F826" s="451">
        <v>46067</v>
      </c>
      <c r="G826" s="451">
        <v>46067</v>
      </c>
      <c r="H826" s="451">
        <v>46095</v>
      </c>
      <c r="I826">
        <v>1174.9000000000001</v>
      </c>
      <c r="J826">
        <v>1172.94</v>
      </c>
      <c r="K826">
        <v>1174.9000000000001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460</v>
      </c>
    </row>
    <row r="827" spans="1:17" x14ac:dyDescent="0.3">
      <c r="A827">
        <v>212796</v>
      </c>
      <c r="B827">
        <v>105</v>
      </c>
      <c r="C827" t="s">
        <v>557</v>
      </c>
      <c r="D827" t="s">
        <v>2864</v>
      </c>
      <c r="E827" t="s">
        <v>3432</v>
      </c>
      <c r="F827" s="451">
        <v>46077</v>
      </c>
      <c r="H827" s="451">
        <v>46111</v>
      </c>
      <c r="I827">
        <v>524.37</v>
      </c>
      <c r="J827">
        <v>460.73</v>
      </c>
      <c r="K827">
        <v>0</v>
      </c>
      <c r="L827">
        <v>0</v>
      </c>
      <c r="M827">
        <v>439.47</v>
      </c>
      <c r="N827">
        <v>0</v>
      </c>
      <c r="O827">
        <v>84.9</v>
      </c>
      <c r="P827">
        <v>0</v>
      </c>
      <c r="Q827" t="s">
        <v>460</v>
      </c>
    </row>
    <row r="828" spans="1:17" x14ac:dyDescent="0.3">
      <c r="A828">
        <v>212793</v>
      </c>
      <c r="B828">
        <v>105</v>
      </c>
      <c r="C828" t="s">
        <v>557</v>
      </c>
      <c r="D828" t="s">
        <v>2864</v>
      </c>
      <c r="E828" t="s">
        <v>2741</v>
      </c>
      <c r="F828" s="451">
        <v>46072</v>
      </c>
      <c r="G828" s="451">
        <v>46072</v>
      </c>
      <c r="H828" s="451">
        <v>46107</v>
      </c>
      <c r="I828">
        <v>308.33999999999997</v>
      </c>
      <c r="J828">
        <v>278.33999999999997</v>
      </c>
      <c r="K828">
        <v>308.33999999999997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460</v>
      </c>
    </row>
    <row r="829" spans="1:17" x14ac:dyDescent="0.3">
      <c r="A829">
        <v>212792</v>
      </c>
      <c r="B829">
        <v>105</v>
      </c>
      <c r="C829" t="s">
        <v>557</v>
      </c>
      <c r="D829" t="s">
        <v>2864</v>
      </c>
      <c r="E829" t="s">
        <v>3433</v>
      </c>
      <c r="F829" s="451">
        <v>46071</v>
      </c>
      <c r="H829" s="451">
        <v>46104</v>
      </c>
      <c r="I829">
        <v>298.82</v>
      </c>
      <c r="J829">
        <v>82.54</v>
      </c>
      <c r="K829">
        <v>0</v>
      </c>
      <c r="L829">
        <v>0</v>
      </c>
      <c r="M829">
        <v>298.82</v>
      </c>
      <c r="N829">
        <v>0</v>
      </c>
      <c r="O829">
        <v>0</v>
      </c>
      <c r="P829">
        <v>0</v>
      </c>
      <c r="Q829" t="s">
        <v>460</v>
      </c>
    </row>
    <row r="830" spans="1:17" x14ac:dyDescent="0.3">
      <c r="A830">
        <v>212791</v>
      </c>
      <c r="B830">
        <v>105</v>
      </c>
      <c r="C830" t="s">
        <v>557</v>
      </c>
      <c r="D830" t="s">
        <v>3328</v>
      </c>
      <c r="E830" t="s">
        <v>3434</v>
      </c>
      <c r="F830" s="451">
        <v>46072</v>
      </c>
      <c r="G830" s="451">
        <v>46072</v>
      </c>
      <c r="H830" s="451">
        <v>46100</v>
      </c>
      <c r="I830">
        <v>586.41999999999996</v>
      </c>
      <c r="J830">
        <v>575.79</v>
      </c>
      <c r="K830">
        <v>586.41999999999996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460</v>
      </c>
    </row>
    <row r="831" spans="1:17" x14ac:dyDescent="0.3">
      <c r="A831">
        <v>212790</v>
      </c>
      <c r="B831">
        <v>105</v>
      </c>
      <c r="C831" t="s">
        <v>557</v>
      </c>
      <c r="D831" t="s">
        <v>3328</v>
      </c>
      <c r="E831" t="s">
        <v>3435</v>
      </c>
      <c r="F831" s="451">
        <v>46078</v>
      </c>
      <c r="G831" s="451">
        <v>46078</v>
      </c>
      <c r="H831" s="451">
        <v>46106</v>
      </c>
      <c r="I831">
        <v>335.36</v>
      </c>
      <c r="J831">
        <v>335.35</v>
      </c>
      <c r="K831">
        <v>335.36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460</v>
      </c>
    </row>
    <row r="832" spans="1:17" x14ac:dyDescent="0.3">
      <c r="A832">
        <v>212788</v>
      </c>
      <c r="B832">
        <v>105</v>
      </c>
      <c r="C832" t="s">
        <v>557</v>
      </c>
      <c r="D832" t="s">
        <v>2605</v>
      </c>
      <c r="E832" t="s">
        <v>3436</v>
      </c>
      <c r="F832" s="451">
        <v>46066</v>
      </c>
      <c r="G832" s="451">
        <v>46066</v>
      </c>
      <c r="H832" s="451">
        <v>46094</v>
      </c>
      <c r="I832">
        <v>991.48</v>
      </c>
      <c r="J832">
        <v>991.48</v>
      </c>
      <c r="K832">
        <v>991.48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460</v>
      </c>
    </row>
    <row r="833" spans="1:17" x14ac:dyDescent="0.3">
      <c r="A833">
        <v>212786</v>
      </c>
      <c r="B833">
        <v>105</v>
      </c>
      <c r="C833" t="s">
        <v>557</v>
      </c>
      <c r="D833" t="s">
        <v>2569</v>
      </c>
      <c r="E833" t="s">
        <v>3437</v>
      </c>
      <c r="F833" s="451">
        <v>46077</v>
      </c>
      <c r="G833" s="451">
        <v>46077</v>
      </c>
      <c r="H833" s="451">
        <v>46113</v>
      </c>
      <c r="I833">
        <v>457.5</v>
      </c>
      <c r="J833">
        <v>457.5</v>
      </c>
      <c r="K833">
        <v>0</v>
      </c>
      <c r="L833">
        <v>457.5</v>
      </c>
      <c r="M833">
        <v>0</v>
      </c>
      <c r="N833">
        <v>0</v>
      </c>
      <c r="O833">
        <v>0</v>
      </c>
      <c r="P833">
        <v>0</v>
      </c>
      <c r="Q833" t="s">
        <v>460</v>
      </c>
    </row>
    <row r="834" spans="1:17" x14ac:dyDescent="0.3">
      <c r="A834">
        <v>212785</v>
      </c>
      <c r="B834">
        <v>105</v>
      </c>
      <c r="C834" t="s">
        <v>557</v>
      </c>
      <c r="D834" t="s">
        <v>2605</v>
      </c>
      <c r="E834" t="s">
        <v>3438</v>
      </c>
      <c r="F834" s="451">
        <v>46076</v>
      </c>
      <c r="G834" s="451">
        <v>46076</v>
      </c>
      <c r="H834" s="451">
        <v>46105</v>
      </c>
      <c r="I834">
        <v>919.14</v>
      </c>
      <c r="J834">
        <v>814.44</v>
      </c>
      <c r="K834">
        <v>919.14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460</v>
      </c>
    </row>
    <row r="835" spans="1:17" x14ac:dyDescent="0.3">
      <c r="A835">
        <v>212782</v>
      </c>
      <c r="B835">
        <v>105</v>
      </c>
      <c r="C835" t="s">
        <v>557</v>
      </c>
      <c r="D835" t="s">
        <v>2690</v>
      </c>
      <c r="E835" t="s">
        <v>3439</v>
      </c>
      <c r="F835" s="451">
        <v>46079</v>
      </c>
      <c r="G835" s="451">
        <v>46079</v>
      </c>
      <c r="H835" s="451">
        <v>46100</v>
      </c>
      <c r="I835">
        <v>498.46</v>
      </c>
      <c r="J835">
        <v>498.46</v>
      </c>
      <c r="K835">
        <v>18.75</v>
      </c>
      <c r="L835">
        <v>479.71</v>
      </c>
      <c r="M835">
        <v>0</v>
      </c>
      <c r="N835">
        <v>0</v>
      </c>
      <c r="O835">
        <v>0</v>
      </c>
      <c r="P835">
        <v>0</v>
      </c>
      <c r="Q835" t="s">
        <v>460</v>
      </c>
    </row>
    <row r="836" spans="1:17" x14ac:dyDescent="0.3">
      <c r="A836">
        <v>212781</v>
      </c>
      <c r="B836">
        <v>105</v>
      </c>
      <c r="C836" t="s">
        <v>557</v>
      </c>
      <c r="D836" t="s">
        <v>1786</v>
      </c>
      <c r="E836" t="s">
        <v>3440</v>
      </c>
      <c r="F836" s="451">
        <v>46070</v>
      </c>
      <c r="G836" s="451">
        <v>46070</v>
      </c>
      <c r="H836" s="451">
        <v>46099</v>
      </c>
      <c r="I836">
        <v>527.42999999999995</v>
      </c>
      <c r="J836">
        <v>527.42999999999995</v>
      </c>
      <c r="K836">
        <v>527.42999999999995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460</v>
      </c>
    </row>
    <row r="837" spans="1:17" x14ac:dyDescent="0.3">
      <c r="A837">
        <v>212780</v>
      </c>
      <c r="B837">
        <v>105</v>
      </c>
      <c r="C837" t="s">
        <v>557</v>
      </c>
      <c r="D837" t="s">
        <v>1786</v>
      </c>
      <c r="E837" t="s">
        <v>3441</v>
      </c>
      <c r="F837" s="451">
        <v>46070</v>
      </c>
      <c r="G837" s="451">
        <v>46070</v>
      </c>
      <c r="H837" s="451">
        <v>46099</v>
      </c>
      <c r="I837">
        <v>917.14</v>
      </c>
      <c r="J837">
        <v>916.8</v>
      </c>
      <c r="K837">
        <v>917.14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460</v>
      </c>
    </row>
    <row r="838" spans="1:17" x14ac:dyDescent="0.3">
      <c r="A838">
        <v>212779</v>
      </c>
      <c r="B838">
        <v>105</v>
      </c>
      <c r="C838" t="s">
        <v>557</v>
      </c>
      <c r="D838" t="s">
        <v>1786</v>
      </c>
      <c r="E838" t="s">
        <v>3442</v>
      </c>
      <c r="F838" s="451">
        <v>46076</v>
      </c>
      <c r="G838" s="451">
        <v>46076</v>
      </c>
      <c r="H838" s="451">
        <v>46105</v>
      </c>
      <c r="I838">
        <v>943.94</v>
      </c>
      <c r="J838">
        <v>943.94</v>
      </c>
      <c r="K838">
        <v>943.94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460</v>
      </c>
    </row>
    <row r="839" spans="1:17" x14ac:dyDescent="0.3">
      <c r="A839">
        <v>212778</v>
      </c>
      <c r="B839">
        <v>105</v>
      </c>
      <c r="C839" t="s">
        <v>557</v>
      </c>
      <c r="D839" t="s">
        <v>1786</v>
      </c>
      <c r="E839" t="s">
        <v>3443</v>
      </c>
      <c r="F839" s="451">
        <v>46077</v>
      </c>
      <c r="G839" s="451">
        <v>46077</v>
      </c>
      <c r="H839" s="451">
        <v>46106</v>
      </c>
      <c r="I839">
        <v>428</v>
      </c>
      <c r="J839">
        <v>428</v>
      </c>
      <c r="K839">
        <v>428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460</v>
      </c>
    </row>
    <row r="840" spans="1:17" x14ac:dyDescent="0.3">
      <c r="A840">
        <v>212777</v>
      </c>
      <c r="B840">
        <v>105</v>
      </c>
      <c r="C840" t="s">
        <v>557</v>
      </c>
      <c r="D840" t="s">
        <v>2699</v>
      </c>
      <c r="E840" t="s">
        <v>3444</v>
      </c>
      <c r="F840" s="451">
        <v>46072</v>
      </c>
      <c r="G840" s="451">
        <v>46072</v>
      </c>
      <c r="H840" s="451">
        <v>46100</v>
      </c>
      <c r="I840">
        <v>191.8</v>
      </c>
      <c r="J840">
        <v>191.8</v>
      </c>
      <c r="K840">
        <v>0</v>
      </c>
      <c r="L840">
        <v>191.8</v>
      </c>
      <c r="M840">
        <v>0</v>
      </c>
      <c r="N840">
        <v>0</v>
      </c>
      <c r="O840">
        <v>0</v>
      </c>
      <c r="P840">
        <v>0</v>
      </c>
      <c r="Q840" t="s">
        <v>460</v>
      </c>
    </row>
    <row r="841" spans="1:17" x14ac:dyDescent="0.3">
      <c r="A841">
        <v>212776</v>
      </c>
      <c r="B841">
        <v>105</v>
      </c>
      <c r="C841" t="s">
        <v>557</v>
      </c>
      <c r="D841" t="s">
        <v>2699</v>
      </c>
      <c r="E841" t="s">
        <v>3445</v>
      </c>
      <c r="F841" s="451">
        <v>46079</v>
      </c>
      <c r="G841" s="451">
        <v>46079</v>
      </c>
      <c r="H841" s="451">
        <v>46100</v>
      </c>
      <c r="I841">
        <v>451.7</v>
      </c>
      <c r="J841">
        <v>451.7</v>
      </c>
      <c r="K841">
        <v>0</v>
      </c>
      <c r="L841">
        <v>451.7</v>
      </c>
      <c r="M841">
        <v>0</v>
      </c>
      <c r="N841">
        <v>0</v>
      </c>
      <c r="O841">
        <v>0</v>
      </c>
      <c r="P841">
        <v>0</v>
      </c>
      <c r="Q841" t="s">
        <v>460</v>
      </c>
    </row>
    <row r="842" spans="1:17" x14ac:dyDescent="0.3">
      <c r="A842">
        <v>212601</v>
      </c>
      <c r="B842">
        <v>105</v>
      </c>
      <c r="C842" t="s">
        <v>557</v>
      </c>
      <c r="D842" t="s">
        <v>2716</v>
      </c>
      <c r="E842" t="s">
        <v>3446</v>
      </c>
      <c r="F842" s="451">
        <v>46070</v>
      </c>
      <c r="G842" s="451">
        <v>46070</v>
      </c>
      <c r="H842" s="451">
        <v>46092</v>
      </c>
      <c r="I842">
        <v>240</v>
      </c>
      <c r="J842">
        <v>240</v>
      </c>
      <c r="K842">
        <v>240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460</v>
      </c>
    </row>
    <row r="843" spans="1:17" x14ac:dyDescent="0.3">
      <c r="A843">
        <v>212598</v>
      </c>
      <c r="B843">
        <v>105</v>
      </c>
      <c r="C843" t="s">
        <v>557</v>
      </c>
      <c r="D843" t="s">
        <v>3328</v>
      </c>
      <c r="E843" t="s">
        <v>3447</v>
      </c>
      <c r="F843" s="451">
        <v>46077</v>
      </c>
      <c r="G843" s="451">
        <v>46077</v>
      </c>
      <c r="H843" s="451">
        <v>46105</v>
      </c>
      <c r="I843">
        <v>246.81</v>
      </c>
      <c r="J843">
        <v>246.81</v>
      </c>
      <c r="K843">
        <v>246.81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460</v>
      </c>
    </row>
    <row r="844" spans="1:17" x14ac:dyDescent="0.3">
      <c r="A844">
        <v>212596</v>
      </c>
      <c r="B844">
        <v>105</v>
      </c>
      <c r="C844" t="s">
        <v>557</v>
      </c>
      <c r="D844" t="s">
        <v>3328</v>
      </c>
      <c r="E844" t="s">
        <v>3448</v>
      </c>
      <c r="F844" s="451">
        <v>46069</v>
      </c>
      <c r="G844" s="451">
        <v>46069</v>
      </c>
      <c r="H844" s="451">
        <v>46097</v>
      </c>
      <c r="I844">
        <v>228.8</v>
      </c>
      <c r="J844">
        <v>228.8</v>
      </c>
      <c r="K844">
        <v>228.8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460</v>
      </c>
    </row>
    <row r="845" spans="1:17" x14ac:dyDescent="0.3">
      <c r="A845">
        <v>212594</v>
      </c>
      <c r="B845">
        <v>105</v>
      </c>
      <c r="C845" t="s">
        <v>557</v>
      </c>
      <c r="D845" t="s">
        <v>3328</v>
      </c>
      <c r="E845" t="s">
        <v>3449</v>
      </c>
      <c r="F845" s="451">
        <v>46071</v>
      </c>
      <c r="G845" s="451">
        <v>46071</v>
      </c>
      <c r="H845" s="451">
        <v>46099</v>
      </c>
      <c r="I845">
        <v>71.38</v>
      </c>
      <c r="J845">
        <v>71.38</v>
      </c>
      <c r="K845">
        <v>71.38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460</v>
      </c>
    </row>
    <row r="846" spans="1:17" x14ac:dyDescent="0.3">
      <c r="A846">
        <v>212591</v>
      </c>
      <c r="B846">
        <v>105</v>
      </c>
      <c r="C846" t="s">
        <v>557</v>
      </c>
      <c r="D846" t="s">
        <v>3328</v>
      </c>
      <c r="E846" t="s">
        <v>3450</v>
      </c>
      <c r="F846" s="451">
        <v>46076</v>
      </c>
      <c r="G846" s="451">
        <v>46076</v>
      </c>
      <c r="H846" s="451">
        <v>46104</v>
      </c>
      <c r="I846">
        <v>579.23</v>
      </c>
      <c r="J846">
        <v>571.88</v>
      </c>
      <c r="K846">
        <v>579.23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460</v>
      </c>
    </row>
    <row r="847" spans="1:17" x14ac:dyDescent="0.3">
      <c r="A847">
        <v>212588</v>
      </c>
      <c r="B847">
        <v>105</v>
      </c>
      <c r="C847" t="s">
        <v>557</v>
      </c>
      <c r="D847" t="s">
        <v>2710</v>
      </c>
      <c r="E847" t="s">
        <v>3451</v>
      </c>
      <c r="F847" s="451">
        <v>46070</v>
      </c>
      <c r="G847" s="451">
        <v>46070</v>
      </c>
      <c r="H847" s="451">
        <v>46100</v>
      </c>
      <c r="I847">
        <v>245.7</v>
      </c>
      <c r="J847">
        <v>245.7</v>
      </c>
      <c r="K847">
        <v>245.7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460</v>
      </c>
    </row>
    <row r="848" spans="1:17" x14ac:dyDescent="0.3">
      <c r="A848">
        <v>212585</v>
      </c>
      <c r="B848">
        <v>105</v>
      </c>
      <c r="C848" t="s">
        <v>557</v>
      </c>
      <c r="D848" t="s">
        <v>2552</v>
      </c>
      <c r="E848" t="s">
        <v>3452</v>
      </c>
      <c r="F848" s="451">
        <v>46078</v>
      </c>
      <c r="G848" s="451">
        <v>46078</v>
      </c>
      <c r="H848" s="451">
        <v>46092</v>
      </c>
      <c r="I848">
        <v>183</v>
      </c>
      <c r="J848">
        <v>158</v>
      </c>
      <c r="K848">
        <v>183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460</v>
      </c>
    </row>
    <row r="849" spans="1:17" x14ac:dyDescent="0.3">
      <c r="A849">
        <v>212584</v>
      </c>
      <c r="B849">
        <v>105</v>
      </c>
      <c r="C849" t="s">
        <v>557</v>
      </c>
      <c r="D849" t="s">
        <v>2600</v>
      </c>
      <c r="E849" t="s">
        <v>3453</v>
      </c>
      <c r="F849" s="451">
        <v>46071</v>
      </c>
      <c r="G849" s="451">
        <v>46071</v>
      </c>
      <c r="H849" s="451">
        <v>46093</v>
      </c>
      <c r="I849">
        <v>143.93</v>
      </c>
      <c r="J849">
        <v>143.93</v>
      </c>
      <c r="K849">
        <v>143.93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460</v>
      </c>
    </row>
    <row r="850" spans="1:17" x14ac:dyDescent="0.3">
      <c r="A850">
        <v>212581</v>
      </c>
      <c r="B850">
        <v>105</v>
      </c>
      <c r="C850" t="s">
        <v>557</v>
      </c>
      <c r="D850" t="s">
        <v>2590</v>
      </c>
      <c r="E850" t="s">
        <v>3454</v>
      </c>
      <c r="F850" s="451">
        <v>46072</v>
      </c>
      <c r="G850" s="451">
        <v>46072</v>
      </c>
      <c r="H850" s="451">
        <v>46113</v>
      </c>
      <c r="I850">
        <v>1494.28</v>
      </c>
      <c r="J850">
        <v>1448.4</v>
      </c>
      <c r="K850">
        <v>0</v>
      </c>
      <c r="L850">
        <v>1494.28</v>
      </c>
      <c r="M850">
        <v>0</v>
      </c>
      <c r="N850">
        <v>0</v>
      </c>
      <c r="O850">
        <v>0</v>
      </c>
      <c r="P850">
        <v>0</v>
      </c>
      <c r="Q850" t="s">
        <v>460</v>
      </c>
    </row>
    <row r="851" spans="1:17" x14ac:dyDescent="0.3">
      <c r="A851">
        <v>212579</v>
      </c>
      <c r="B851">
        <v>105</v>
      </c>
      <c r="C851" t="s">
        <v>557</v>
      </c>
      <c r="D851" t="s">
        <v>2590</v>
      </c>
      <c r="E851" t="s">
        <v>3455</v>
      </c>
      <c r="F851" s="451">
        <v>46077</v>
      </c>
      <c r="G851" s="451">
        <v>46077</v>
      </c>
      <c r="H851" s="451">
        <v>46108</v>
      </c>
      <c r="I851">
        <v>3241.66</v>
      </c>
      <c r="J851">
        <v>3447.09</v>
      </c>
      <c r="K851">
        <v>0</v>
      </c>
      <c r="L851">
        <v>3241.66</v>
      </c>
      <c r="M851">
        <v>0</v>
      </c>
      <c r="N851">
        <v>0</v>
      </c>
      <c r="O851">
        <v>0</v>
      </c>
      <c r="P851">
        <v>0</v>
      </c>
      <c r="Q851" t="s">
        <v>460</v>
      </c>
    </row>
    <row r="852" spans="1:17" x14ac:dyDescent="0.3">
      <c r="A852">
        <v>212577</v>
      </c>
      <c r="B852">
        <v>105</v>
      </c>
      <c r="C852" t="s">
        <v>557</v>
      </c>
      <c r="D852" t="s">
        <v>2590</v>
      </c>
      <c r="E852" t="s">
        <v>3456</v>
      </c>
      <c r="F852" s="451">
        <v>46072</v>
      </c>
      <c r="G852" s="451">
        <v>46072</v>
      </c>
      <c r="H852" s="451">
        <v>46104</v>
      </c>
      <c r="I852">
        <v>1448.4</v>
      </c>
      <c r="J852">
        <v>1448.4</v>
      </c>
      <c r="K852">
        <v>0</v>
      </c>
      <c r="L852">
        <v>1448.4</v>
      </c>
      <c r="M852">
        <v>0</v>
      </c>
      <c r="N852">
        <v>0</v>
      </c>
      <c r="O852">
        <v>0</v>
      </c>
      <c r="P852">
        <v>0</v>
      </c>
      <c r="Q852" t="s">
        <v>460</v>
      </c>
    </row>
    <row r="853" spans="1:17" x14ac:dyDescent="0.3">
      <c r="A853">
        <v>212576</v>
      </c>
      <c r="B853">
        <v>105</v>
      </c>
      <c r="C853" t="s">
        <v>557</v>
      </c>
      <c r="D853" t="s">
        <v>2590</v>
      </c>
      <c r="E853" t="s">
        <v>3457</v>
      </c>
      <c r="F853" s="451">
        <v>46072</v>
      </c>
      <c r="G853" s="451">
        <v>46072</v>
      </c>
      <c r="H853" s="451">
        <v>46104</v>
      </c>
      <c r="I853">
        <v>2226.1799999999998</v>
      </c>
      <c r="J853">
        <v>2167.39</v>
      </c>
      <c r="K853">
        <v>0</v>
      </c>
      <c r="L853">
        <v>2226.1799999999998</v>
      </c>
      <c r="M853">
        <v>0</v>
      </c>
      <c r="N853">
        <v>0</v>
      </c>
      <c r="O853">
        <v>0</v>
      </c>
      <c r="P853">
        <v>0</v>
      </c>
      <c r="Q853" t="s">
        <v>460</v>
      </c>
    </row>
    <row r="854" spans="1:17" x14ac:dyDescent="0.3">
      <c r="A854">
        <v>212575</v>
      </c>
      <c r="B854">
        <v>105</v>
      </c>
      <c r="C854" t="s">
        <v>557</v>
      </c>
      <c r="D854" t="s">
        <v>2590</v>
      </c>
      <c r="E854" t="s">
        <v>3458</v>
      </c>
      <c r="F854" s="451">
        <v>46070</v>
      </c>
      <c r="G854" s="451">
        <v>46070</v>
      </c>
      <c r="H854" s="451">
        <v>46101</v>
      </c>
      <c r="I854">
        <v>1251.49</v>
      </c>
      <c r="J854">
        <v>898.26</v>
      </c>
      <c r="K854">
        <v>0</v>
      </c>
      <c r="L854">
        <v>1251.49</v>
      </c>
      <c r="M854">
        <v>0</v>
      </c>
      <c r="N854">
        <v>0</v>
      </c>
      <c r="O854">
        <v>0</v>
      </c>
      <c r="P854">
        <v>0</v>
      </c>
      <c r="Q854" t="s">
        <v>460</v>
      </c>
    </row>
    <row r="855" spans="1:17" x14ac:dyDescent="0.3">
      <c r="A855">
        <v>212566</v>
      </c>
      <c r="B855">
        <v>105</v>
      </c>
      <c r="C855" t="s">
        <v>557</v>
      </c>
      <c r="D855" t="s">
        <v>2550</v>
      </c>
      <c r="E855" t="s">
        <v>3459</v>
      </c>
      <c r="F855" s="451">
        <v>46077</v>
      </c>
      <c r="G855" s="451">
        <v>46077</v>
      </c>
      <c r="H855" s="451">
        <v>46107</v>
      </c>
      <c r="I855">
        <v>606.41999999999996</v>
      </c>
      <c r="J855">
        <v>606.36</v>
      </c>
      <c r="K855">
        <v>0</v>
      </c>
      <c r="L855">
        <v>606.41999999999996</v>
      </c>
      <c r="M855">
        <v>0</v>
      </c>
      <c r="N855">
        <v>0</v>
      </c>
      <c r="O855">
        <v>0</v>
      </c>
      <c r="P855">
        <v>0</v>
      </c>
      <c r="Q855" t="s">
        <v>460</v>
      </c>
    </row>
    <row r="856" spans="1:17" x14ac:dyDescent="0.3">
      <c r="A856">
        <v>212565</v>
      </c>
      <c r="B856">
        <v>105</v>
      </c>
      <c r="C856" t="s">
        <v>557</v>
      </c>
      <c r="D856" t="s">
        <v>2597</v>
      </c>
      <c r="E856" t="s">
        <v>3460</v>
      </c>
      <c r="F856" s="451">
        <v>46078</v>
      </c>
      <c r="G856" s="451">
        <v>46078</v>
      </c>
      <c r="H856" s="451">
        <v>46106</v>
      </c>
      <c r="I856">
        <v>2281.69</v>
      </c>
      <c r="J856">
        <v>1685.74</v>
      </c>
      <c r="K856">
        <v>2281.69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460</v>
      </c>
    </row>
    <row r="857" spans="1:17" x14ac:dyDescent="0.3">
      <c r="A857">
        <v>212563</v>
      </c>
      <c r="B857">
        <v>105</v>
      </c>
      <c r="C857" t="s">
        <v>557</v>
      </c>
      <c r="D857" t="s">
        <v>2597</v>
      </c>
      <c r="E857" t="s">
        <v>3461</v>
      </c>
      <c r="F857" s="451">
        <v>46073</v>
      </c>
      <c r="G857" s="451">
        <v>46073</v>
      </c>
      <c r="H857" s="451">
        <v>46101</v>
      </c>
      <c r="I857">
        <v>403.36</v>
      </c>
      <c r="J857">
        <v>403.36</v>
      </c>
      <c r="K857">
        <v>403.36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460</v>
      </c>
    </row>
    <row r="858" spans="1:17" x14ac:dyDescent="0.3">
      <c r="A858">
        <v>212562</v>
      </c>
      <c r="B858">
        <v>105</v>
      </c>
      <c r="C858" t="s">
        <v>557</v>
      </c>
      <c r="D858" t="s">
        <v>3462</v>
      </c>
      <c r="E858" t="s">
        <v>3463</v>
      </c>
      <c r="F858" s="451">
        <v>46071</v>
      </c>
      <c r="H858" s="451">
        <v>46099</v>
      </c>
      <c r="I858">
        <v>505.6</v>
      </c>
      <c r="J858">
        <v>505.6</v>
      </c>
      <c r="K858">
        <v>0</v>
      </c>
      <c r="L858">
        <v>0</v>
      </c>
      <c r="M858">
        <v>505.6</v>
      </c>
      <c r="N858">
        <v>0</v>
      </c>
      <c r="O858">
        <v>0</v>
      </c>
      <c r="P858">
        <v>0</v>
      </c>
      <c r="Q858" t="s">
        <v>460</v>
      </c>
    </row>
    <row r="859" spans="1:17" x14ac:dyDescent="0.3">
      <c r="A859">
        <v>212561</v>
      </c>
      <c r="B859">
        <v>105</v>
      </c>
      <c r="C859" t="s">
        <v>557</v>
      </c>
      <c r="D859" t="s">
        <v>2554</v>
      </c>
      <c r="E859" t="s">
        <v>3464</v>
      </c>
      <c r="F859" s="451">
        <v>46078</v>
      </c>
      <c r="H859" s="451">
        <v>46091</v>
      </c>
      <c r="I859">
        <v>1708.6</v>
      </c>
      <c r="J859">
        <v>1443.4</v>
      </c>
      <c r="K859">
        <v>0</v>
      </c>
      <c r="L859">
        <v>0</v>
      </c>
      <c r="M859">
        <v>1336.29</v>
      </c>
      <c r="N859">
        <v>28.88</v>
      </c>
      <c r="O859">
        <v>25</v>
      </c>
      <c r="P859">
        <v>318.42</v>
      </c>
      <c r="Q859" t="s">
        <v>460</v>
      </c>
    </row>
    <row r="860" spans="1:17" x14ac:dyDescent="0.3">
      <c r="A860">
        <v>212560</v>
      </c>
      <c r="B860">
        <v>105</v>
      </c>
      <c r="C860" t="s">
        <v>557</v>
      </c>
      <c r="D860" t="s">
        <v>2593</v>
      </c>
      <c r="E860" t="s">
        <v>3465</v>
      </c>
      <c r="F860" s="451">
        <v>46076</v>
      </c>
      <c r="G860" s="451">
        <v>46076</v>
      </c>
      <c r="H860" s="451">
        <v>46104</v>
      </c>
      <c r="I860">
        <v>1100</v>
      </c>
      <c r="J860">
        <v>1100</v>
      </c>
      <c r="K860">
        <v>1100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460</v>
      </c>
    </row>
    <row r="861" spans="1:17" x14ac:dyDescent="0.3">
      <c r="A861">
        <v>212558</v>
      </c>
      <c r="B861">
        <v>105</v>
      </c>
      <c r="C861" t="s">
        <v>557</v>
      </c>
      <c r="D861" t="s">
        <v>836</v>
      </c>
      <c r="E861" t="s">
        <v>3466</v>
      </c>
      <c r="F861" s="451">
        <v>46069</v>
      </c>
      <c r="H861" s="451">
        <v>46097</v>
      </c>
      <c r="I861">
        <v>170</v>
      </c>
      <c r="J861">
        <v>170</v>
      </c>
      <c r="K861">
        <v>0</v>
      </c>
      <c r="L861">
        <v>0</v>
      </c>
      <c r="M861">
        <v>170</v>
      </c>
      <c r="N861">
        <v>0</v>
      </c>
      <c r="O861">
        <v>0</v>
      </c>
      <c r="P861">
        <v>0</v>
      </c>
      <c r="Q861" t="s">
        <v>460</v>
      </c>
    </row>
    <row r="862" spans="1:17" x14ac:dyDescent="0.3">
      <c r="A862">
        <v>212554</v>
      </c>
      <c r="B862">
        <v>105</v>
      </c>
      <c r="C862" t="s">
        <v>557</v>
      </c>
      <c r="D862" t="s">
        <v>2864</v>
      </c>
      <c r="E862" t="s">
        <v>3467</v>
      </c>
      <c r="F862" s="451">
        <v>46078</v>
      </c>
      <c r="G862" s="451">
        <v>46078</v>
      </c>
      <c r="H862" s="451">
        <v>46111</v>
      </c>
      <c r="I862">
        <v>275.33999999999997</v>
      </c>
      <c r="J862">
        <v>275.33999999999997</v>
      </c>
      <c r="K862">
        <v>275.33999999999997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460</v>
      </c>
    </row>
    <row r="863" spans="1:17" x14ac:dyDescent="0.3">
      <c r="A863">
        <v>212551</v>
      </c>
      <c r="B863">
        <v>105</v>
      </c>
      <c r="C863" t="s">
        <v>557</v>
      </c>
      <c r="D863" t="s">
        <v>2603</v>
      </c>
      <c r="E863" t="s">
        <v>3468</v>
      </c>
      <c r="F863" s="451">
        <v>46076</v>
      </c>
      <c r="G863" s="451">
        <v>46076</v>
      </c>
      <c r="H863" s="451">
        <v>46091</v>
      </c>
      <c r="I863">
        <v>853.86</v>
      </c>
      <c r="J863">
        <v>997.5</v>
      </c>
      <c r="K863">
        <v>853.86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460</v>
      </c>
    </row>
    <row r="864" spans="1:17" x14ac:dyDescent="0.3">
      <c r="A864">
        <v>212550</v>
      </c>
      <c r="B864">
        <v>105</v>
      </c>
      <c r="C864" t="s">
        <v>557</v>
      </c>
      <c r="D864" t="s">
        <v>2563</v>
      </c>
      <c r="E864" t="s">
        <v>3469</v>
      </c>
      <c r="F864" s="451">
        <v>46076</v>
      </c>
      <c r="G864" s="451">
        <v>46076</v>
      </c>
      <c r="H864" s="451">
        <v>46104</v>
      </c>
      <c r="I864">
        <v>484.9</v>
      </c>
      <c r="J864">
        <v>444.12</v>
      </c>
      <c r="K864">
        <v>484.9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460</v>
      </c>
    </row>
    <row r="865" spans="1:17" x14ac:dyDescent="0.3">
      <c r="A865">
        <v>212548</v>
      </c>
      <c r="B865">
        <v>105</v>
      </c>
      <c r="C865" t="s">
        <v>557</v>
      </c>
      <c r="D865" t="s">
        <v>2563</v>
      </c>
      <c r="E865" t="s">
        <v>3470</v>
      </c>
      <c r="F865" s="451">
        <v>46071</v>
      </c>
      <c r="G865" s="451">
        <v>46071</v>
      </c>
      <c r="H865" s="451">
        <v>46099</v>
      </c>
      <c r="I865">
        <v>23.46</v>
      </c>
      <c r="J865">
        <v>26.26</v>
      </c>
      <c r="K865">
        <v>23.46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460</v>
      </c>
    </row>
    <row r="866" spans="1:17" x14ac:dyDescent="0.3">
      <c r="A866">
        <v>212546</v>
      </c>
      <c r="B866">
        <v>105</v>
      </c>
      <c r="C866" t="s">
        <v>557</v>
      </c>
      <c r="D866" t="s">
        <v>2563</v>
      </c>
      <c r="E866" t="s">
        <v>3471</v>
      </c>
      <c r="F866" s="451">
        <v>46072</v>
      </c>
      <c r="G866" s="451">
        <v>46072</v>
      </c>
      <c r="H866" s="451">
        <v>46100</v>
      </c>
      <c r="I866">
        <v>553.65</v>
      </c>
      <c r="J866">
        <v>553.65</v>
      </c>
      <c r="K866">
        <v>553.65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460</v>
      </c>
    </row>
    <row r="867" spans="1:17" x14ac:dyDescent="0.3">
      <c r="A867">
        <v>212544</v>
      </c>
      <c r="B867">
        <v>105</v>
      </c>
      <c r="C867" t="s">
        <v>557</v>
      </c>
      <c r="D867" t="s">
        <v>2563</v>
      </c>
      <c r="E867" t="s">
        <v>3472</v>
      </c>
      <c r="F867" s="451">
        <v>46078</v>
      </c>
      <c r="G867" s="451">
        <v>46078</v>
      </c>
      <c r="H867" s="451">
        <v>46106</v>
      </c>
      <c r="I867">
        <v>95.83</v>
      </c>
      <c r="J867">
        <v>95.83</v>
      </c>
      <c r="K867">
        <v>95.83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460</v>
      </c>
    </row>
    <row r="868" spans="1:17" x14ac:dyDescent="0.3">
      <c r="A868">
        <v>212543</v>
      </c>
      <c r="B868">
        <v>105</v>
      </c>
      <c r="C868" t="s">
        <v>557</v>
      </c>
      <c r="D868" t="s">
        <v>2563</v>
      </c>
      <c r="E868" t="s">
        <v>3473</v>
      </c>
      <c r="F868" s="451">
        <v>46077</v>
      </c>
      <c r="G868" s="451">
        <v>46077</v>
      </c>
      <c r="H868" s="451">
        <v>46105</v>
      </c>
      <c r="I868">
        <v>152.28</v>
      </c>
      <c r="J868">
        <v>152.28</v>
      </c>
      <c r="K868">
        <v>152.28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460</v>
      </c>
    </row>
    <row r="869" spans="1:17" x14ac:dyDescent="0.3">
      <c r="A869">
        <v>212541</v>
      </c>
      <c r="B869">
        <v>105</v>
      </c>
      <c r="C869" t="s">
        <v>557</v>
      </c>
      <c r="D869" t="s">
        <v>2563</v>
      </c>
      <c r="E869" t="s">
        <v>3474</v>
      </c>
      <c r="F869" s="451">
        <v>46074</v>
      </c>
      <c r="G869" s="451">
        <v>46074</v>
      </c>
      <c r="H869" s="451">
        <v>46102</v>
      </c>
      <c r="I869">
        <v>184.07</v>
      </c>
      <c r="J869">
        <v>184.07</v>
      </c>
      <c r="K869">
        <v>184.07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460</v>
      </c>
    </row>
    <row r="870" spans="1:17" x14ac:dyDescent="0.3">
      <c r="A870">
        <v>211398</v>
      </c>
      <c r="B870">
        <v>105</v>
      </c>
      <c r="C870" t="s">
        <v>557</v>
      </c>
      <c r="D870" t="s">
        <v>2707</v>
      </c>
      <c r="E870" t="s">
        <v>3475</v>
      </c>
      <c r="F870" s="451">
        <v>46076</v>
      </c>
      <c r="G870" s="451">
        <v>46076</v>
      </c>
      <c r="H870" s="451">
        <v>46090</v>
      </c>
      <c r="I870">
        <v>238</v>
      </c>
      <c r="J870">
        <v>238</v>
      </c>
      <c r="K870">
        <v>238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460</v>
      </c>
    </row>
    <row r="871" spans="1:17" x14ac:dyDescent="0.3">
      <c r="A871">
        <v>211397</v>
      </c>
      <c r="B871">
        <v>105</v>
      </c>
      <c r="C871" t="s">
        <v>557</v>
      </c>
      <c r="D871" t="s">
        <v>2603</v>
      </c>
      <c r="E871" t="s">
        <v>3476</v>
      </c>
      <c r="F871" s="451">
        <v>46072</v>
      </c>
      <c r="G871" s="451">
        <v>46072</v>
      </c>
      <c r="H871" s="451">
        <v>46087</v>
      </c>
      <c r="I871">
        <v>1776.76</v>
      </c>
      <c r="J871">
        <v>1776.76</v>
      </c>
      <c r="K871">
        <v>1776.76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460</v>
      </c>
    </row>
    <row r="872" spans="1:17" x14ac:dyDescent="0.3">
      <c r="A872">
        <v>211396</v>
      </c>
      <c r="B872">
        <v>105</v>
      </c>
      <c r="C872" t="s">
        <v>557</v>
      </c>
      <c r="D872" t="s">
        <v>2653</v>
      </c>
      <c r="E872" t="s">
        <v>3477</v>
      </c>
      <c r="F872" s="451">
        <v>46076</v>
      </c>
      <c r="G872" s="451">
        <v>46076</v>
      </c>
      <c r="H872" s="451">
        <v>46090</v>
      </c>
      <c r="I872">
        <v>200.82</v>
      </c>
      <c r="J872">
        <v>190.82</v>
      </c>
      <c r="K872">
        <v>200.82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460</v>
      </c>
    </row>
    <row r="873" spans="1:17" x14ac:dyDescent="0.3">
      <c r="A873">
        <v>211395</v>
      </c>
      <c r="B873">
        <v>105</v>
      </c>
      <c r="C873" t="s">
        <v>557</v>
      </c>
      <c r="D873" t="s">
        <v>2554</v>
      </c>
      <c r="E873" t="s">
        <v>3478</v>
      </c>
      <c r="F873" s="451">
        <v>46073</v>
      </c>
      <c r="H873" s="451">
        <v>46089</v>
      </c>
      <c r="I873">
        <v>1268.92</v>
      </c>
      <c r="J873">
        <v>1268.92</v>
      </c>
      <c r="K873">
        <v>0</v>
      </c>
      <c r="L873">
        <v>0</v>
      </c>
      <c r="M873">
        <v>881.42</v>
      </c>
      <c r="N873">
        <v>0</v>
      </c>
      <c r="O873">
        <v>25</v>
      </c>
      <c r="P873">
        <v>350</v>
      </c>
      <c r="Q873" t="s">
        <v>460</v>
      </c>
    </row>
    <row r="874" spans="1:17" x14ac:dyDescent="0.3">
      <c r="A874">
        <v>211394</v>
      </c>
      <c r="B874">
        <v>105</v>
      </c>
      <c r="C874" t="s">
        <v>557</v>
      </c>
      <c r="D874" t="s">
        <v>2552</v>
      </c>
      <c r="E874" t="s">
        <v>3479</v>
      </c>
      <c r="F874" s="451">
        <v>46071</v>
      </c>
      <c r="G874" s="451">
        <v>46071</v>
      </c>
      <c r="H874" s="451">
        <v>46085</v>
      </c>
      <c r="I874">
        <v>222.5</v>
      </c>
      <c r="J874">
        <v>197.5</v>
      </c>
      <c r="K874">
        <v>222.5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460</v>
      </c>
    </row>
    <row r="875" spans="1:17" x14ac:dyDescent="0.3">
      <c r="A875">
        <v>211393</v>
      </c>
      <c r="B875">
        <v>105</v>
      </c>
      <c r="C875" t="s">
        <v>557</v>
      </c>
      <c r="D875" t="s">
        <v>2705</v>
      </c>
      <c r="E875" t="s">
        <v>3480</v>
      </c>
      <c r="F875" s="451">
        <v>46076</v>
      </c>
      <c r="H875" s="451">
        <v>46090</v>
      </c>
      <c r="I875">
        <v>692</v>
      </c>
      <c r="J875">
        <v>692</v>
      </c>
      <c r="K875">
        <v>0</v>
      </c>
      <c r="L875">
        <v>0</v>
      </c>
      <c r="M875">
        <v>0</v>
      </c>
      <c r="N875">
        <v>692</v>
      </c>
      <c r="O875">
        <v>0</v>
      </c>
      <c r="P875">
        <v>0</v>
      </c>
      <c r="Q875" t="s">
        <v>460</v>
      </c>
    </row>
    <row r="876" spans="1:17" x14ac:dyDescent="0.3">
      <c r="A876">
        <v>210712</v>
      </c>
      <c r="B876">
        <v>105</v>
      </c>
      <c r="C876" t="s">
        <v>557</v>
      </c>
      <c r="D876" t="s">
        <v>2569</v>
      </c>
      <c r="E876" t="s">
        <v>3481</v>
      </c>
      <c r="F876" s="451">
        <v>46071</v>
      </c>
      <c r="G876" s="451">
        <v>46071</v>
      </c>
      <c r="H876" s="451">
        <v>46107</v>
      </c>
      <c r="I876">
        <v>420.1</v>
      </c>
      <c r="J876">
        <v>420.1</v>
      </c>
      <c r="K876">
        <v>0</v>
      </c>
      <c r="L876">
        <v>420.1</v>
      </c>
      <c r="M876">
        <v>0</v>
      </c>
      <c r="N876">
        <v>0</v>
      </c>
      <c r="O876">
        <v>0</v>
      </c>
      <c r="P876">
        <v>0</v>
      </c>
      <c r="Q876" t="s">
        <v>460</v>
      </c>
    </row>
    <row r="877" spans="1:17" x14ac:dyDescent="0.3">
      <c r="A877">
        <v>210711</v>
      </c>
      <c r="B877">
        <v>105</v>
      </c>
      <c r="C877" t="s">
        <v>557</v>
      </c>
      <c r="D877" t="s">
        <v>2581</v>
      </c>
      <c r="E877" t="s">
        <v>3482</v>
      </c>
      <c r="F877" s="451">
        <v>46071</v>
      </c>
      <c r="G877" s="451">
        <v>46071</v>
      </c>
      <c r="H877" s="451">
        <v>46099</v>
      </c>
      <c r="I877">
        <v>142.80000000000001</v>
      </c>
      <c r="J877">
        <v>142.80000000000001</v>
      </c>
      <c r="K877">
        <v>142.80000000000001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460</v>
      </c>
    </row>
    <row r="878" spans="1:17" x14ac:dyDescent="0.3">
      <c r="A878">
        <v>210702</v>
      </c>
      <c r="B878">
        <v>105</v>
      </c>
      <c r="C878" t="s">
        <v>557</v>
      </c>
      <c r="D878" t="s">
        <v>2690</v>
      </c>
      <c r="E878" t="s">
        <v>3483</v>
      </c>
      <c r="F878" s="451">
        <v>46073</v>
      </c>
      <c r="G878" s="451">
        <v>46073</v>
      </c>
      <c r="H878" s="451">
        <v>46094</v>
      </c>
      <c r="I878">
        <v>194.15</v>
      </c>
      <c r="J878">
        <v>194.15</v>
      </c>
      <c r="K878">
        <v>0</v>
      </c>
      <c r="L878">
        <v>194.15</v>
      </c>
      <c r="M878">
        <v>0</v>
      </c>
      <c r="N878">
        <v>0</v>
      </c>
      <c r="O878">
        <v>0</v>
      </c>
      <c r="P878">
        <v>0</v>
      </c>
      <c r="Q878" t="s">
        <v>460</v>
      </c>
    </row>
    <row r="879" spans="1:17" x14ac:dyDescent="0.3">
      <c r="A879">
        <v>208385</v>
      </c>
      <c r="B879">
        <v>105</v>
      </c>
      <c r="C879" t="s">
        <v>557</v>
      </c>
      <c r="D879" t="s">
        <v>2581</v>
      </c>
      <c r="E879" t="s">
        <v>3484</v>
      </c>
      <c r="F879" s="451">
        <v>46066</v>
      </c>
      <c r="G879" s="451">
        <v>46066</v>
      </c>
      <c r="H879" s="451">
        <v>46094</v>
      </c>
      <c r="I879">
        <v>427</v>
      </c>
      <c r="J879">
        <v>427</v>
      </c>
      <c r="K879">
        <v>427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460</v>
      </c>
    </row>
    <row r="880" spans="1:17" x14ac:dyDescent="0.3">
      <c r="A880">
        <v>208384</v>
      </c>
      <c r="B880">
        <v>105</v>
      </c>
      <c r="C880" t="s">
        <v>557</v>
      </c>
      <c r="D880" t="s">
        <v>2675</v>
      </c>
      <c r="E880" t="s">
        <v>3485</v>
      </c>
      <c r="F880" s="451">
        <v>46069</v>
      </c>
      <c r="G880" s="451">
        <v>46069</v>
      </c>
      <c r="H880" s="451">
        <v>46097</v>
      </c>
      <c r="I880">
        <v>822.9</v>
      </c>
      <c r="J880">
        <v>822.9</v>
      </c>
      <c r="K880">
        <v>822.9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460</v>
      </c>
    </row>
    <row r="881" spans="1:17" x14ac:dyDescent="0.3">
      <c r="A881">
        <v>208383</v>
      </c>
      <c r="B881">
        <v>105</v>
      </c>
      <c r="C881" t="s">
        <v>557</v>
      </c>
      <c r="D881" t="s">
        <v>2600</v>
      </c>
      <c r="E881" t="s">
        <v>3486</v>
      </c>
      <c r="F881" s="451">
        <v>46069</v>
      </c>
      <c r="G881" s="451">
        <v>46069</v>
      </c>
      <c r="H881" s="451">
        <v>46086</v>
      </c>
      <c r="I881">
        <v>123.94</v>
      </c>
      <c r="J881">
        <v>123.94</v>
      </c>
      <c r="K881">
        <v>123.94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460</v>
      </c>
    </row>
    <row r="882" spans="1:17" x14ac:dyDescent="0.3">
      <c r="A882">
        <v>208382</v>
      </c>
      <c r="B882">
        <v>105</v>
      </c>
      <c r="C882" t="s">
        <v>557</v>
      </c>
      <c r="D882" t="s">
        <v>2563</v>
      </c>
      <c r="E882" t="s">
        <v>3487</v>
      </c>
      <c r="F882" s="451">
        <v>46067</v>
      </c>
      <c r="G882" s="451">
        <v>46067</v>
      </c>
      <c r="H882" s="451">
        <v>46095</v>
      </c>
      <c r="I882">
        <v>254.67</v>
      </c>
      <c r="J882">
        <v>254.67</v>
      </c>
      <c r="K882">
        <v>254.67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460</v>
      </c>
    </row>
    <row r="883" spans="1:17" x14ac:dyDescent="0.3">
      <c r="A883">
        <v>208381</v>
      </c>
      <c r="B883">
        <v>105</v>
      </c>
      <c r="C883" t="s">
        <v>557</v>
      </c>
      <c r="D883" t="s">
        <v>2593</v>
      </c>
      <c r="E883" t="s">
        <v>3488</v>
      </c>
      <c r="F883" s="451">
        <v>46066</v>
      </c>
      <c r="G883" s="451">
        <v>46066</v>
      </c>
      <c r="H883" s="451">
        <v>46094</v>
      </c>
      <c r="I883">
        <v>760</v>
      </c>
      <c r="J883">
        <v>760</v>
      </c>
      <c r="K883">
        <v>760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460</v>
      </c>
    </row>
    <row r="884" spans="1:17" x14ac:dyDescent="0.3">
      <c r="A884">
        <v>208380</v>
      </c>
      <c r="B884">
        <v>105</v>
      </c>
      <c r="C884" t="s">
        <v>557</v>
      </c>
      <c r="D884" t="s">
        <v>2705</v>
      </c>
      <c r="E884" t="s">
        <v>3489</v>
      </c>
      <c r="F884" s="451">
        <v>46066</v>
      </c>
      <c r="H884" s="451">
        <v>46083</v>
      </c>
      <c r="I884">
        <v>622.79999999999995</v>
      </c>
      <c r="J884">
        <v>622.79999999999995</v>
      </c>
      <c r="K884">
        <v>0</v>
      </c>
      <c r="L884">
        <v>0</v>
      </c>
      <c r="M884">
        <v>0</v>
      </c>
      <c r="N884">
        <v>622.79999999999995</v>
      </c>
      <c r="O884">
        <v>0</v>
      </c>
      <c r="P884">
        <v>0</v>
      </c>
      <c r="Q884" t="s">
        <v>460</v>
      </c>
    </row>
    <row r="885" spans="1:17" x14ac:dyDescent="0.3">
      <c r="A885">
        <v>208379</v>
      </c>
      <c r="B885">
        <v>105</v>
      </c>
      <c r="C885" t="s">
        <v>557</v>
      </c>
      <c r="D885" t="s">
        <v>2597</v>
      </c>
      <c r="E885" t="s">
        <v>3490</v>
      </c>
      <c r="F885" s="451">
        <v>46069</v>
      </c>
      <c r="G885" s="451">
        <v>46069</v>
      </c>
      <c r="H885" s="451">
        <v>46097</v>
      </c>
      <c r="I885">
        <v>1627.21</v>
      </c>
      <c r="J885">
        <v>1165.51</v>
      </c>
      <c r="K885">
        <v>1627.21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460</v>
      </c>
    </row>
    <row r="886" spans="1:17" x14ac:dyDescent="0.3">
      <c r="A886">
        <v>208378</v>
      </c>
      <c r="B886">
        <v>105</v>
      </c>
      <c r="C886" t="s">
        <v>557</v>
      </c>
      <c r="D886" t="s">
        <v>2779</v>
      </c>
      <c r="E886" t="s">
        <v>3491</v>
      </c>
      <c r="F886" s="451">
        <v>46063</v>
      </c>
      <c r="G886" s="451">
        <v>46063</v>
      </c>
      <c r="H886" s="451">
        <v>46078</v>
      </c>
      <c r="I886">
        <v>2406.35</v>
      </c>
      <c r="J886">
        <v>2406.35</v>
      </c>
      <c r="K886">
        <v>2406.35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460</v>
      </c>
    </row>
    <row r="887" spans="1:17" x14ac:dyDescent="0.3">
      <c r="A887">
        <v>208377</v>
      </c>
      <c r="B887">
        <v>105</v>
      </c>
      <c r="C887" t="s">
        <v>557</v>
      </c>
      <c r="D887" t="s">
        <v>2554</v>
      </c>
      <c r="E887" t="s">
        <v>3492</v>
      </c>
      <c r="F887" s="451">
        <v>46058</v>
      </c>
      <c r="H887" s="451">
        <v>46076</v>
      </c>
      <c r="I887">
        <v>1032.4000000000001</v>
      </c>
      <c r="J887">
        <v>1032.4000000000001</v>
      </c>
      <c r="K887">
        <v>0</v>
      </c>
      <c r="L887">
        <v>0</v>
      </c>
      <c r="M887">
        <v>1007</v>
      </c>
      <c r="N887">
        <v>0</v>
      </c>
      <c r="O887">
        <v>12.5</v>
      </c>
      <c r="P887">
        <v>0</v>
      </c>
      <c r="Q887" t="s">
        <v>460</v>
      </c>
    </row>
    <row r="888" spans="1:17" x14ac:dyDescent="0.3">
      <c r="A888">
        <v>208376</v>
      </c>
      <c r="B888">
        <v>105</v>
      </c>
      <c r="C888" t="s">
        <v>557</v>
      </c>
      <c r="D888" t="s">
        <v>2554</v>
      </c>
      <c r="E888" t="s">
        <v>3493</v>
      </c>
      <c r="F888" s="451">
        <v>46058</v>
      </c>
      <c r="G888" s="451">
        <v>46058</v>
      </c>
      <c r="H888" s="451">
        <v>46076</v>
      </c>
      <c r="I888">
        <v>792</v>
      </c>
      <c r="J888">
        <v>792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792</v>
      </c>
      <c r="Q888" t="s">
        <v>460</v>
      </c>
    </row>
    <row r="889" spans="1:17" x14ac:dyDescent="0.3">
      <c r="A889">
        <v>208375</v>
      </c>
      <c r="B889">
        <v>105</v>
      </c>
      <c r="C889" t="s">
        <v>557</v>
      </c>
      <c r="D889" t="s">
        <v>2554</v>
      </c>
      <c r="E889" t="s">
        <v>3494</v>
      </c>
      <c r="F889" s="451">
        <v>46063</v>
      </c>
      <c r="H889" s="451">
        <v>46078</v>
      </c>
      <c r="I889">
        <v>1971.17</v>
      </c>
      <c r="J889">
        <v>1971.17</v>
      </c>
      <c r="K889">
        <v>0</v>
      </c>
      <c r="L889">
        <v>0</v>
      </c>
      <c r="M889">
        <v>875.77</v>
      </c>
      <c r="N889">
        <v>0</v>
      </c>
      <c r="O889">
        <v>5.9</v>
      </c>
      <c r="P889">
        <v>1089.5</v>
      </c>
      <c r="Q889" t="s">
        <v>460</v>
      </c>
    </row>
    <row r="890" spans="1:17" x14ac:dyDescent="0.3">
      <c r="A890">
        <v>208374</v>
      </c>
      <c r="B890">
        <v>105</v>
      </c>
      <c r="C890" t="s">
        <v>557</v>
      </c>
      <c r="D890" t="s">
        <v>2557</v>
      </c>
      <c r="E890" t="s">
        <v>3495</v>
      </c>
      <c r="F890" s="451">
        <v>46064</v>
      </c>
      <c r="H890" s="451">
        <v>46093</v>
      </c>
      <c r="I890">
        <v>2649.13</v>
      </c>
      <c r="J890">
        <v>2649.14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2649.13</v>
      </c>
      <c r="Q890" t="s">
        <v>460</v>
      </c>
    </row>
    <row r="891" spans="1:17" x14ac:dyDescent="0.3">
      <c r="A891">
        <v>208373</v>
      </c>
      <c r="B891">
        <v>105</v>
      </c>
      <c r="C891" t="s">
        <v>557</v>
      </c>
      <c r="D891" t="s">
        <v>2597</v>
      </c>
      <c r="E891" t="s">
        <v>3496</v>
      </c>
      <c r="F891" s="451">
        <v>46063</v>
      </c>
      <c r="G891" s="451">
        <v>46063</v>
      </c>
      <c r="H891" s="451">
        <v>46091</v>
      </c>
      <c r="I891">
        <v>6312.38</v>
      </c>
      <c r="J891">
        <v>6312.38</v>
      </c>
      <c r="K891">
        <v>6312.38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460</v>
      </c>
    </row>
    <row r="892" spans="1:17" x14ac:dyDescent="0.3">
      <c r="A892">
        <v>208372</v>
      </c>
      <c r="B892">
        <v>105</v>
      </c>
      <c r="C892" t="s">
        <v>557</v>
      </c>
      <c r="D892" t="s">
        <v>2597</v>
      </c>
      <c r="E892" t="s">
        <v>3497</v>
      </c>
      <c r="F892" s="451">
        <v>46066</v>
      </c>
      <c r="G892" s="451">
        <v>46066</v>
      </c>
      <c r="H892" s="451">
        <v>46094</v>
      </c>
      <c r="I892">
        <v>160.91999999999999</v>
      </c>
      <c r="J892">
        <v>160.91999999999999</v>
      </c>
      <c r="K892">
        <v>160.91999999999999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460</v>
      </c>
    </row>
    <row r="893" spans="1:17" x14ac:dyDescent="0.3">
      <c r="A893">
        <v>208371</v>
      </c>
      <c r="B893">
        <v>105</v>
      </c>
      <c r="C893" t="s">
        <v>557</v>
      </c>
      <c r="D893" t="s">
        <v>2550</v>
      </c>
      <c r="E893" t="s">
        <v>3498</v>
      </c>
      <c r="F893" s="451">
        <v>46063</v>
      </c>
      <c r="G893" s="451">
        <v>46063</v>
      </c>
      <c r="H893" s="451">
        <v>46093</v>
      </c>
      <c r="I893">
        <v>665.95</v>
      </c>
      <c r="J893">
        <v>625.29999999999995</v>
      </c>
      <c r="K893">
        <v>0</v>
      </c>
      <c r="L893">
        <v>665.95</v>
      </c>
      <c r="M893">
        <v>0</v>
      </c>
      <c r="N893">
        <v>0</v>
      </c>
      <c r="O893">
        <v>0</v>
      </c>
      <c r="P893">
        <v>0</v>
      </c>
      <c r="Q893" t="s">
        <v>460</v>
      </c>
    </row>
    <row r="894" spans="1:17" x14ac:dyDescent="0.3">
      <c r="A894">
        <v>208370</v>
      </c>
      <c r="B894">
        <v>105</v>
      </c>
      <c r="C894" t="s">
        <v>557</v>
      </c>
      <c r="D894" t="s">
        <v>2615</v>
      </c>
      <c r="E894" t="s">
        <v>3499</v>
      </c>
      <c r="F894" s="451">
        <v>46059</v>
      </c>
      <c r="G894" s="451">
        <v>46059</v>
      </c>
      <c r="H894" s="451">
        <v>46080</v>
      </c>
      <c r="I894">
        <v>123.9</v>
      </c>
      <c r="J894">
        <v>123.9</v>
      </c>
      <c r="K894">
        <v>123.9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460</v>
      </c>
    </row>
    <row r="895" spans="1:17" x14ac:dyDescent="0.3">
      <c r="A895">
        <v>208368</v>
      </c>
      <c r="B895">
        <v>105</v>
      </c>
      <c r="C895" t="s">
        <v>557</v>
      </c>
      <c r="D895" t="s">
        <v>2590</v>
      </c>
      <c r="E895" t="s">
        <v>3500</v>
      </c>
      <c r="F895" s="451">
        <v>46059</v>
      </c>
      <c r="G895" s="451">
        <v>46059</v>
      </c>
      <c r="H895" s="451">
        <v>46090</v>
      </c>
      <c r="I895">
        <v>141.59</v>
      </c>
      <c r="J895">
        <v>141.6</v>
      </c>
      <c r="K895">
        <v>0</v>
      </c>
      <c r="L895">
        <v>141.59</v>
      </c>
      <c r="M895">
        <v>0</v>
      </c>
      <c r="N895">
        <v>0</v>
      </c>
      <c r="O895">
        <v>0</v>
      </c>
      <c r="P895">
        <v>0</v>
      </c>
      <c r="Q895" t="s">
        <v>460</v>
      </c>
    </row>
    <row r="896" spans="1:17" x14ac:dyDescent="0.3">
      <c r="A896">
        <v>208367</v>
      </c>
      <c r="B896">
        <v>105</v>
      </c>
      <c r="C896" t="s">
        <v>557</v>
      </c>
      <c r="D896" t="s">
        <v>2590</v>
      </c>
      <c r="E896" t="s">
        <v>3501</v>
      </c>
      <c r="F896" s="451">
        <v>46062</v>
      </c>
      <c r="G896" s="451">
        <v>46062</v>
      </c>
      <c r="H896" s="451">
        <v>46093</v>
      </c>
      <c r="I896">
        <v>1080.3900000000001</v>
      </c>
      <c r="J896">
        <v>714.13</v>
      </c>
      <c r="K896">
        <v>0</v>
      </c>
      <c r="L896">
        <v>1080.3900000000001</v>
      </c>
      <c r="M896">
        <v>0</v>
      </c>
      <c r="N896">
        <v>0</v>
      </c>
      <c r="O896">
        <v>0</v>
      </c>
      <c r="P896">
        <v>0</v>
      </c>
      <c r="Q896" t="s">
        <v>460</v>
      </c>
    </row>
    <row r="897" spans="1:17" x14ac:dyDescent="0.3">
      <c r="A897">
        <v>208366</v>
      </c>
      <c r="B897">
        <v>105</v>
      </c>
      <c r="C897" t="s">
        <v>557</v>
      </c>
      <c r="D897" t="s">
        <v>2590</v>
      </c>
      <c r="E897" t="s">
        <v>3502</v>
      </c>
      <c r="F897" s="451">
        <v>46062</v>
      </c>
      <c r="G897" s="451">
        <v>46062</v>
      </c>
      <c r="H897" s="451">
        <v>46093</v>
      </c>
      <c r="I897">
        <v>2896.8</v>
      </c>
      <c r="J897">
        <v>2896.8</v>
      </c>
      <c r="K897">
        <v>0</v>
      </c>
      <c r="L897">
        <v>2896.8</v>
      </c>
      <c r="M897">
        <v>0</v>
      </c>
      <c r="N897">
        <v>0</v>
      </c>
      <c r="O897">
        <v>0</v>
      </c>
      <c r="P897">
        <v>0</v>
      </c>
      <c r="Q897" t="s">
        <v>460</v>
      </c>
    </row>
    <row r="898" spans="1:17" x14ac:dyDescent="0.3">
      <c r="A898">
        <v>208365</v>
      </c>
      <c r="B898">
        <v>105</v>
      </c>
      <c r="C898" t="s">
        <v>557</v>
      </c>
      <c r="D898" t="s">
        <v>2588</v>
      </c>
      <c r="E898" t="s">
        <v>3503</v>
      </c>
      <c r="F898" s="451">
        <v>46059</v>
      </c>
      <c r="G898" s="451">
        <v>46059</v>
      </c>
      <c r="H898" s="451">
        <v>46090</v>
      </c>
      <c r="I898">
        <v>417.6</v>
      </c>
      <c r="J898">
        <v>417.6</v>
      </c>
      <c r="K898">
        <v>417.6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460</v>
      </c>
    </row>
    <row r="899" spans="1:17" x14ac:dyDescent="0.3">
      <c r="A899">
        <v>208364</v>
      </c>
      <c r="B899">
        <v>105</v>
      </c>
      <c r="C899" t="s">
        <v>557</v>
      </c>
      <c r="D899" t="s">
        <v>2607</v>
      </c>
      <c r="E899" t="s">
        <v>3504</v>
      </c>
      <c r="F899" s="451">
        <v>46058</v>
      </c>
      <c r="G899" s="451">
        <v>46058</v>
      </c>
      <c r="H899" s="451">
        <v>46086</v>
      </c>
      <c r="I899">
        <v>1280.8800000000001</v>
      </c>
      <c r="J899">
        <v>1280.8800000000001</v>
      </c>
      <c r="K899">
        <v>1280.8800000000001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460</v>
      </c>
    </row>
    <row r="900" spans="1:17" x14ac:dyDescent="0.3">
      <c r="A900">
        <v>208363</v>
      </c>
      <c r="B900">
        <v>105</v>
      </c>
      <c r="C900" t="s">
        <v>557</v>
      </c>
      <c r="D900" t="s">
        <v>2607</v>
      </c>
      <c r="E900" t="s">
        <v>3505</v>
      </c>
      <c r="F900" s="451">
        <v>46054</v>
      </c>
      <c r="G900" s="451">
        <v>46054</v>
      </c>
      <c r="H900" s="451">
        <v>46090</v>
      </c>
      <c r="I900">
        <v>473.01</v>
      </c>
      <c r="J900">
        <v>467.68</v>
      </c>
      <c r="K900">
        <v>473.01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460</v>
      </c>
    </row>
    <row r="901" spans="1:17" x14ac:dyDescent="0.3">
      <c r="A901">
        <v>208362</v>
      </c>
      <c r="B901">
        <v>105</v>
      </c>
      <c r="C901" t="s">
        <v>557</v>
      </c>
      <c r="D901" t="s">
        <v>2607</v>
      </c>
      <c r="E901" t="s">
        <v>3506</v>
      </c>
      <c r="F901" s="451">
        <v>46064</v>
      </c>
      <c r="G901" s="451">
        <v>46064</v>
      </c>
      <c r="H901" s="451">
        <v>46092</v>
      </c>
      <c r="I901">
        <v>1682.22</v>
      </c>
      <c r="J901">
        <v>1681</v>
      </c>
      <c r="K901">
        <v>1682.22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460</v>
      </c>
    </row>
    <row r="902" spans="1:17" x14ac:dyDescent="0.3">
      <c r="A902">
        <v>208361</v>
      </c>
      <c r="B902">
        <v>105</v>
      </c>
      <c r="C902" t="s">
        <v>557</v>
      </c>
      <c r="D902" t="s">
        <v>2607</v>
      </c>
      <c r="E902" t="s">
        <v>3507</v>
      </c>
      <c r="F902" s="451">
        <v>46065</v>
      </c>
      <c r="G902" s="451">
        <v>46065</v>
      </c>
      <c r="H902" s="451">
        <v>46079</v>
      </c>
      <c r="I902">
        <v>62.22</v>
      </c>
      <c r="J902">
        <v>62.22</v>
      </c>
      <c r="K902">
        <v>62.22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460</v>
      </c>
    </row>
    <row r="903" spans="1:17" x14ac:dyDescent="0.3">
      <c r="A903">
        <v>208360</v>
      </c>
      <c r="B903">
        <v>105</v>
      </c>
      <c r="C903" t="s">
        <v>557</v>
      </c>
      <c r="D903" t="s">
        <v>2707</v>
      </c>
      <c r="E903" t="s">
        <v>3508</v>
      </c>
      <c r="F903" s="451">
        <v>46062</v>
      </c>
      <c r="G903" s="451">
        <v>46062</v>
      </c>
      <c r="H903" s="451">
        <v>46076</v>
      </c>
      <c r="I903">
        <v>276.08</v>
      </c>
      <c r="J903">
        <v>238</v>
      </c>
      <c r="K903">
        <v>276.08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460</v>
      </c>
    </row>
    <row r="904" spans="1:17" x14ac:dyDescent="0.3">
      <c r="A904">
        <v>208359</v>
      </c>
      <c r="B904">
        <v>105</v>
      </c>
      <c r="C904" t="s">
        <v>557</v>
      </c>
      <c r="D904" t="s">
        <v>2637</v>
      </c>
      <c r="E904" t="s">
        <v>3509</v>
      </c>
      <c r="F904" s="451">
        <v>46063</v>
      </c>
      <c r="G904" s="451">
        <v>46063</v>
      </c>
      <c r="H904" s="451">
        <v>46091</v>
      </c>
      <c r="I904">
        <v>394.8</v>
      </c>
      <c r="J904">
        <v>394.8</v>
      </c>
      <c r="K904">
        <v>0</v>
      </c>
      <c r="L904">
        <v>394.8</v>
      </c>
      <c r="M904">
        <v>0</v>
      </c>
      <c r="N904">
        <v>0</v>
      </c>
      <c r="O904">
        <v>0</v>
      </c>
      <c r="P904">
        <v>0</v>
      </c>
      <c r="Q904" t="s">
        <v>460</v>
      </c>
    </row>
    <row r="905" spans="1:17" x14ac:dyDescent="0.3">
      <c r="A905">
        <v>208358</v>
      </c>
      <c r="B905">
        <v>105</v>
      </c>
      <c r="C905" t="s">
        <v>557</v>
      </c>
      <c r="D905" t="s">
        <v>2705</v>
      </c>
      <c r="E905" t="s">
        <v>3510</v>
      </c>
      <c r="F905" s="451">
        <v>46062</v>
      </c>
      <c r="H905" s="451">
        <v>46076</v>
      </c>
      <c r="I905">
        <v>692</v>
      </c>
      <c r="J905">
        <v>692</v>
      </c>
      <c r="K905">
        <v>0</v>
      </c>
      <c r="L905">
        <v>0</v>
      </c>
      <c r="M905">
        <v>0</v>
      </c>
      <c r="N905">
        <v>692</v>
      </c>
      <c r="O905">
        <v>0</v>
      </c>
      <c r="P905">
        <v>0</v>
      </c>
      <c r="Q905" t="s">
        <v>460</v>
      </c>
    </row>
    <row r="906" spans="1:17" x14ac:dyDescent="0.3">
      <c r="A906">
        <v>208357</v>
      </c>
      <c r="B906">
        <v>105</v>
      </c>
      <c r="C906" t="s">
        <v>557</v>
      </c>
      <c r="D906" t="s">
        <v>2581</v>
      </c>
      <c r="E906" t="s">
        <v>3511</v>
      </c>
      <c r="F906" s="451">
        <v>46057</v>
      </c>
      <c r="G906" s="451">
        <v>46057</v>
      </c>
      <c r="H906" s="451">
        <v>46085</v>
      </c>
      <c r="I906">
        <v>271.48</v>
      </c>
      <c r="J906">
        <v>271.48</v>
      </c>
      <c r="K906">
        <v>271.48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460</v>
      </c>
    </row>
    <row r="907" spans="1:17" x14ac:dyDescent="0.3">
      <c r="A907">
        <v>208356</v>
      </c>
      <c r="B907">
        <v>105</v>
      </c>
      <c r="C907" t="s">
        <v>557</v>
      </c>
      <c r="D907" t="s">
        <v>2581</v>
      </c>
      <c r="E907" t="s">
        <v>3512</v>
      </c>
      <c r="F907" s="451">
        <v>46058</v>
      </c>
      <c r="G907" s="451">
        <v>46058</v>
      </c>
      <c r="H907" s="451">
        <v>46086</v>
      </c>
      <c r="I907">
        <v>1031</v>
      </c>
      <c r="J907">
        <v>1028.25</v>
      </c>
      <c r="K907">
        <v>1031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460</v>
      </c>
    </row>
    <row r="908" spans="1:17" x14ac:dyDescent="0.3">
      <c r="A908">
        <v>208355</v>
      </c>
      <c r="B908">
        <v>105</v>
      </c>
      <c r="C908" t="s">
        <v>557</v>
      </c>
      <c r="D908" t="s">
        <v>2581</v>
      </c>
      <c r="E908" t="s">
        <v>3513</v>
      </c>
      <c r="F908" s="451">
        <v>46062</v>
      </c>
      <c r="G908" s="451">
        <v>46062</v>
      </c>
      <c r="H908" s="451">
        <v>46090</v>
      </c>
      <c r="I908">
        <v>200.02</v>
      </c>
      <c r="J908">
        <v>200.02</v>
      </c>
      <c r="K908">
        <v>200.02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460</v>
      </c>
    </row>
    <row r="909" spans="1:17" x14ac:dyDescent="0.3">
      <c r="A909">
        <v>208354</v>
      </c>
      <c r="B909">
        <v>105</v>
      </c>
      <c r="C909" t="s">
        <v>557</v>
      </c>
      <c r="D909" t="s">
        <v>2581</v>
      </c>
      <c r="E909" t="s">
        <v>3514</v>
      </c>
      <c r="F909" s="451">
        <v>46063</v>
      </c>
      <c r="G909" s="451">
        <v>46063</v>
      </c>
      <c r="H909" s="451">
        <v>46091</v>
      </c>
      <c r="I909">
        <v>212</v>
      </c>
      <c r="J909">
        <v>212</v>
      </c>
      <c r="K909">
        <v>212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460</v>
      </c>
    </row>
    <row r="910" spans="1:17" x14ac:dyDescent="0.3">
      <c r="A910">
        <v>208353</v>
      </c>
      <c r="B910">
        <v>105</v>
      </c>
      <c r="C910" t="s">
        <v>557</v>
      </c>
      <c r="D910" t="s">
        <v>2581</v>
      </c>
      <c r="E910" t="s">
        <v>3515</v>
      </c>
      <c r="F910" s="451">
        <v>46064</v>
      </c>
      <c r="G910" s="451">
        <v>46064</v>
      </c>
      <c r="H910" s="451">
        <v>46092</v>
      </c>
      <c r="I910">
        <v>116</v>
      </c>
      <c r="J910">
        <v>116</v>
      </c>
      <c r="K910">
        <v>116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460</v>
      </c>
    </row>
    <row r="911" spans="1:17" x14ac:dyDescent="0.3">
      <c r="A911">
        <v>208352</v>
      </c>
      <c r="B911">
        <v>105</v>
      </c>
      <c r="C911" t="s">
        <v>557</v>
      </c>
      <c r="D911" t="s">
        <v>2581</v>
      </c>
      <c r="E911" t="s">
        <v>3516</v>
      </c>
      <c r="F911" s="451">
        <v>46065</v>
      </c>
      <c r="G911" s="451">
        <v>46065</v>
      </c>
      <c r="H911" s="451">
        <v>46093</v>
      </c>
      <c r="I911">
        <v>762.55</v>
      </c>
      <c r="J911">
        <v>762.55</v>
      </c>
      <c r="K911">
        <v>762.55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460</v>
      </c>
    </row>
    <row r="912" spans="1:17" x14ac:dyDescent="0.3">
      <c r="A912">
        <v>208351</v>
      </c>
      <c r="B912">
        <v>105</v>
      </c>
      <c r="C912" t="s">
        <v>557</v>
      </c>
      <c r="D912" t="s">
        <v>3328</v>
      </c>
      <c r="E912" t="s">
        <v>3517</v>
      </c>
      <c r="F912" s="451">
        <v>46058</v>
      </c>
      <c r="G912" s="451">
        <v>46058</v>
      </c>
      <c r="H912" s="451">
        <v>46086</v>
      </c>
      <c r="I912">
        <v>386.35</v>
      </c>
      <c r="J912">
        <v>380.1</v>
      </c>
      <c r="K912">
        <v>386.35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460</v>
      </c>
    </row>
    <row r="913" spans="1:17" x14ac:dyDescent="0.3">
      <c r="A913">
        <v>208350</v>
      </c>
      <c r="B913">
        <v>105</v>
      </c>
      <c r="C913" t="s">
        <v>557</v>
      </c>
      <c r="D913" t="s">
        <v>2577</v>
      </c>
      <c r="E913" t="s">
        <v>3518</v>
      </c>
      <c r="F913" s="451">
        <v>46065</v>
      </c>
      <c r="H913" s="451">
        <v>46090</v>
      </c>
      <c r="I913">
        <v>139.02000000000001</v>
      </c>
      <c r="J913">
        <v>139.02000000000001</v>
      </c>
      <c r="K913">
        <v>0</v>
      </c>
      <c r="L913">
        <v>0</v>
      </c>
      <c r="M913">
        <v>0</v>
      </c>
      <c r="N913">
        <v>139.02000000000001</v>
      </c>
      <c r="O913">
        <v>0</v>
      </c>
      <c r="P913">
        <v>0</v>
      </c>
      <c r="Q913" t="s">
        <v>460</v>
      </c>
    </row>
    <row r="914" spans="1:17" x14ac:dyDescent="0.3">
      <c r="A914">
        <v>208349</v>
      </c>
      <c r="B914">
        <v>105</v>
      </c>
      <c r="C914" t="s">
        <v>557</v>
      </c>
      <c r="D914" t="s">
        <v>2864</v>
      </c>
      <c r="E914" t="s">
        <v>3519</v>
      </c>
      <c r="F914" s="451">
        <v>46056</v>
      </c>
      <c r="H914" s="451">
        <v>46090</v>
      </c>
      <c r="I914">
        <v>164.07</v>
      </c>
      <c r="J914">
        <v>164.07</v>
      </c>
      <c r="K914">
        <v>0</v>
      </c>
      <c r="L914">
        <v>0</v>
      </c>
      <c r="M914">
        <v>96</v>
      </c>
      <c r="N914">
        <v>0</v>
      </c>
      <c r="O914">
        <v>68.069999999999993</v>
      </c>
      <c r="P914">
        <v>0</v>
      </c>
      <c r="Q914" t="s">
        <v>460</v>
      </c>
    </row>
    <row r="915" spans="1:17" x14ac:dyDescent="0.3">
      <c r="A915">
        <v>208348</v>
      </c>
      <c r="B915">
        <v>105</v>
      </c>
      <c r="C915" t="s">
        <v>557</v>
      </c>
      <c r="D915" t="s">
        <v>2644</v>
      </c>
      <c r="E915" t="s">
        <v>3520</v>
      </c>
      <c r="F915" s="451">
        <v>46056</v>
      </c>
      <c r="G915" s="451">
        <v>46056</v>
      </c>
      <c r="H915" s="451">
        <v>46090</v>
      </c>
      <c r="I915">
        <v>151.52000000000001</v>
      </c>
      <c r="J915">
        <v>151.52000000000001</v>
      </c>
      <c r="K915">
        <v>151.52000000000001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460</v>
      </c>
    </row>
    <row r="916" spans="1:17" x14ac:dyDescent="0.3">
      <c r="A916">
        <v>208347</v>
      </c>
      <c r="B916">
        <v>105</v>
      </c>
      <c r="C916" t="s">
        <v>557</v>
      </c>
      <c r="D916" t="s">
        <v>2864</v>
      </c>
      <c r="E916" t="s">
        <v>3521</v>
      </c>
      <c r="F916" s="451">
        <v>46062</v>
      </c>
      <c r="G916" s="451">
        <v>46062</v>
      </c>
      <c r="H916" s="451">
        <v>46097</v>
      </c>
      <c r="I916">
        <v>207.33</v>
      </c>
      <c r="J916">
        <v>207.33</v>
      </c>
      <c r="K916">
        <v>207.33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460</v>
      </c>
    </row>
    <row r="917" spans="1:17" x14ac:dyDescent="0.3">
      <c r="A917">
        <v>208346</v>
      </c>
      <c r="B917">
        <v>105</v>
      </c>
      <c r="C917" t="s">
        <v>557</v>
      </c>
      <c r="D917" t="s">
        <v>2571</v>
      </c>
      <c r="E917" t="s">
        <v>3522</v>
      </c>
      <c r="F917" s="451">
        <v>46059</v>
      </c>
      <c r="G917" s="451">
        <v>46059</v>
      </c>
      <c r="H917" s="451">
        <v>46087</v>
      </c>
      <c r="I917">
        <v>561.61</v>
      </c>
      <c r="J917">
        <v>559.61</v>
      </c>
      <c r="K917">
        <v>561.61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460</v>
      </c>
    </row>
    <row r="918" spans="1:17" x14ac:dyDescent="0.3">
      <c r="A918">
        <v>208345</v>
      </c>
      <c r="B918">
        <v>105</v>
      </c>
      <c r="C918" t="s">
        <v>557</v>
      </c>
      <c r="D918" t="s">
        <v>2569</v>
      </c>
      <c r="E918" t="s">
        <v>3523</v>
      </c>
      <c r="F918" s="451">
        <v>46063</v>
      </c>
      <c r="G918" s="451">
        <v>46063</v>
      </c>
      <c r="H918" s="451">
        <v>46099</v>
      </c>
      <c r="I918">
        <v>436.8</v>
      </c>
      <c r="J918">
        <v>436.8</v>
      </c>
      <c r="K918">
        <v>0</v>
      </c>
      <c r="L918">
        <v>436.8</v>
      </c>
      <c r="M918">
        <v>0</v>
      </c>
      <c r="N918">
        <v>0</v>
      </c>
      <c r="O918">
        <v>0</v>
      </c>
      <c r="P918">
        <v>0</v>
      </c>
      <c r="Q918" t="s">
        <v>460</v>
      </c>
    </row>
    <row r="919" spans="1:17" x14ac:dyDescent="0.3">
      <c r="A919">
        <v>208344</v>
      </c>
      <c r="B919">
        <v>105</v>
      </c>
      <c r="C919" t="s">
        <v>557</v>
      </c>
      <c r="D919" t="s">
        <v>2563</v>
      </c>
      <c r="E919" t="s">
        <v>3524</v>
      </c>
      <c r="F919" s="451">
        <v>46063</v>
      </c>
      <c r="G919" s="451">
        <v>46063</v>
      </c>
      <c r="H919" s="451">
        <v>46091</v>
      </c>
      <c r="I919">
        <v>179.95</v>
      </c>
      <c r="J919">
        <v>179.29</v>
      </c>
      <c r="K919">
        <v>179.95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460</v>
      </c>
    </row>
    <row r="920" spans="1:17" x14ac:dyDescent="0.3">
      <c r="A920">
        <v>208343</v>
      </c>
      <c r="B920">
        <v>105</v>
      </c>
      <c r="C920" t="s">
        <v>557</v>
      </c>
      <c r="D920" t="s">
        <v>2563</v>
      </c>
      <c r="E920" t="s">
        <v>3525</v>
      </c>
      <c r="F920" s="451">
        <v>46058</v>
      </c>
      <c r="G920" s="451">
        <v>46058</v>
      </c>
      <c r="H920" s="451">
        <v>46086</v>
      </c>
      <c r="I920">
        <v>214.91</v>
      </c>
      <c r="J920">
        <v>203.79</v>
      </c>
      <c r="K920">
        <v>214.91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460</v>
      </c>
    </row>
    <row r="921" spans="1:17" x14ac:dyDescent="0.3">
      <c r="A921">
        <v>208342</v>
      </c>
      <c r="B921">
        <v>105</v>
      </c>
      <c r="C921" t="s">
        <v>557</v>
      </c>
      <c r="D921" t="s">
        <v>2605</v>
      </c>
      <c r="E921" t="s">
        <v>3526</v>
      </c>
      <c r="F921" s="451">
        <v>46059</v>
      </c>
      <c r="G921" s="451">
        <v>46059</v>
      </c>
      <c r="H921" s="451">
        <v>46087</v>
      </c>
      <c r="I921">
        <v>308.47000000000003</v>
      </c>
      <c r="J921">
        <v>308.47000000000003</v>
      </c>
      <c r="K921">
        <v>308.47000000000003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460</v>
      </c>
    </row>
    <row r="922" spans="1:17" x14ac:dyDescent="0.3">
      <c r="A922">
        <v>208341</v>
      </c>
      <c r="B922">
        <v>105</v>
      </c>
      <c r="C922" t="s">
        <v>557</v>
      </c>
      <c r="D922" t="s">
        <v>2605</v>
      </c>
      <c r="E922" t="s">
        <v>3527</v>
      </c>
      <c r="F922" s="451">
        <v>46062</v>
      </c>
      <c r="G922" s="451">
        <v>46062</v>
      </c>
      <c r="H922" s="451">
        <v>46091</v>
      </c>
      <c r="I922">
        <v>1207.67</v>
      </c>
      <c r="J922">
        <v>1207.67</v>
      </c>
      <c r="K922">
        <v>1207.67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460</v>
      </c>
    </row>
    <row r="923" spans="1:17" x14ac:dyDescent="0.3">
      <c r="A923">
        <v>208340</v>
      </c>
      <c r="B923">
        <v>105</v>
      </c>
      <c r="C923" t="s">
        <v>557</v>
      </c>
      <c r="D923" t="s">
        <v>2605</v>
      </c>
      <c r="E923" t="s">
        <v>3528</v>
      </c>
      <c r="F923" s="451">
        <v>46064</v>
      </c>
      <c r="G923" s="451">
        <v>46064</v>
      </c>
      <c r="H923" s="451">
        <v>46094</v>
      </c>
      <c r="I923">
        <v>121.1</v>
      </c>
      <c r="J923">
        <v>121.1</v>
      </c>
      <c r="K923">
        <v>25.9</v>
      </c>
      <c r="L923">
        <v>95.2</v>
      </c>
      <c r="M923">
        <v>0</v>
      </c>
      <c r="N923">
        <v>0</v>
      </c>
      <c r="O923">
        <v>0</v>
      </c>
      <c r="P923">
        <v>0</v>
      </c>
      <c r="Q923" t="s">
        <v>460</v>
      </c>
    </row>
    <row r="924" spans="1:17" x14ac:dyDescent="0.3">
      <c r="A924">
        <v>208267</v>
      </c>
      <c r="B924">
        <v>105</v>
      </c>
      <c r="C924" t="s">
        <v>557</v>
      </c>
      <c r="D924" t="s">
        <v>2690</v>
      </c>
      <c r="E924" t="s">
        <v>3529</v>
      </c>
      <c r="F924" s="451">
        <v>46066</v>
      </c>
      <c r="G924" s="451">
        <v>46066</v>
      </c>
      <c r="H924" s="451">
        <v>46087</v>
      </c>
      <c r="I924">
        <v>203.14</v>
      </c>
      <c r="J924">
        <v>197.34</v>
      </c>
      <c r="K924">
        <v>0</v>
      </c>
      <c r="L924">
        <v>203.14</v>
      </c>
      <c r="M924">
        <v>0</v>
      </c>
      <c r="N924">
        <v>0</v>
      </c>
      <c r="O924">
        <v>0</v>
      </c>
      <c r="P924">
        <v>0</v>
      </c>
      <c r="Q924" t="s">
        <v>460</v>
      </c>
    </row>
    <row r="925" spans="1:17" x14ac:dyDescent="0.3">
      <c r="A925">
        <v>208218</v>
      </c>
      <c r="B925">
        <v>105</v>
      </c>
      <c r="C925" t="s">
        <v>557</v>
      </c>
      <c r="D925" t="s">
        <v>2699</v>
      </c>
      <c r="E925" t="s">
        <v>3530</v>
      </c>
      <c r="F925" s="451">
        <v>46064</v>
      </c>
      <c r="G925" s="451">
        <v>46064</v>
      </c>
      <c r="H925" s="451">
        <v>46092</v>
      </c>
      <c r="I925">
        <v>219.8</v>
      </c>
      <c r="J925">
        <v>219.8</v>
      </c>
      <c r="K925">
        <v>0</v>
      </c>
      <c r="L925">
        <v>219.8</v>
      </c>
      <c r="M925">
        <v>0</v>
      </c>
      <c r="N925">
        <v>0</v>
      </c>
      <c r="O925">
        <v>0</v>
      </c>
      <c r="P925">
        <v>0</v>
      </c>
      <c r="Q925" t="s">
        <v>460</v>
      </c>
    </row>
    <row r="926" spans="1:17" x14ac:dyDescent="0.3">
      <c r="A926">
        <v>208193</v>
      </c>
      <c r="B926">
        <v>105</v>
      </c>
      <c r="C926" t="s">
        <v>557</v>
      </c>
      <c r="D926" t="s">
        <v>2716</v>
      </c>
      <c r="E926" t="s">
        <v>3531</v>
      </c>
      <c r="F926" s="451">
        <v>46059</v>
      </c>
      <c r="G926" s="451">
        <v>46059</v>
      </c>
      <c r="H926" s="451">
        <v>46080</v>
      </c>
      <c r="I926">
        <v>275</v>
      </c>
      <c r="J926">
        <v>240</v>
      </c>
      <c r="K926">
        <v>275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460</v>
      </c>
    </row>
    <row r="927" spans="1:17" x14ac:dyDescent="0.3">
      <c r="A927">
        <v>208180</v>
      </c>
      <c r="B927">
        <v>105</v>
      </c>
      <c r="C927" t="s">
        <v>557</v>
      </c>
      <c r="D927" t="s">
        <v>3328</v>
      </c>
      <c r="E927" t="s">
        <v>3532</v>
      </c>
      <c r="F927" s="451">
        <v>46062</v>
      </c>
      <c r="G927" s="451">
        <v>46062</v>
      </c>
      <c r="H927" s="451">
        <v>46090</v>
      </c>
      <c r="I927">
        <v>638.73</v>
      </c>
      <c r="J927">
        <v>624.73</v>
      </c>
      <c r="K927">
        <v>638.73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460</v>
      </c>
    </row>
    <row r="928" spans="1:17" x14ac:dyDescent="0.3">
      <c r="A928">
        <v>208179</v>
      </c>
      <c r="B928">
        <v>105</v>
      </c>
      <c r="C928" t="s">
        <v>557</v>
      </c>
      <c r="D928" t="s">
        <v>3328</v>
      </c>
      <c r="E928" t="s">
        <v>3533</v>
      </c>
      <c r="F928" s="451">
        <v>46063</v>
      </c>
      <c r="G928" s="451">
        <v>46063</v>
      </c>
      <c r="H928" s="451">
        <v>46091</v>
      </c>
      <c r="I928">
        <v>245.65</v>
      </c>
      <c r="J928">
        <v>245.65</v>
      </c>
      <c r="K928">
        <v>245.65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460</v>
      </c>
    </row>
    <row r="929" spans="1:17" x14ac:dyDescent="0.3">
      <c r="A929">
        <v>208178</v>
      </c>
      <c r="B929">
        <v>105</v>
      </c>
      <c r="C929" t="s">
        <v>557</v>
      </c>
      <c r="D929" t="s">
        <v>3328</v>
      </c>
      <c r="E929" t="s">
        <v>3534</v>
      </c>
      <c r="F929" s="451">
        <v>46064</v>
      </c>
      <c r="G929" s="451">
        <v>46064</v>
      </c>
      <c r="H929" s="451">
        <v>46092</v>
      </c>
      <c r="I929">
        <v>162.5</v>
      </c>
      <c r="J929">
        <v>162.5</v>
      </c>
      <c r="K929">
        <v>162.5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460</v>
      </c>
    </row>
    <row r="930" spans="1:17" x14ac:dyDescent="0.3">
      <c r="A930">
        <v>208177</v>
      </c>
      <c r="B930">
        <v>105</v>
      </c>
      <c r="C930" t="s">
        <v>557</v>
      </c>
      <c r="D930" t="s">
        <v>3328</v>
      </c>
      <c r="E930" t="s">
        <v>3535</v>
      </c>
      <c r="F930" s="451">
        <v>46065</v>
      </c>
      <c r="G930" s="451">
        <v>46065</v>
      </c>
      <c r="H930" s="451">
        <v>46093</v>
      </c>
      <c r="I930">
        <v>237.88</v>
      </c>
      <c r="J930">
        <v>237.87</v>
      </c>
      <c r="K930">
        <v>237.88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460</v>
      </c>
    </row>
    <row r="931" spans="1:17" x14ac:dyDescent="0.3">
      <c r="A931">
        <v>208176</v>
      </c>
      <c r="B931">
        <v>105</v>
      </c>
      <c r="C931" t="s">
        <v>557</v>
      </c>
      <c r="D931" t="s">
        <v>3328</v>
      </c>
      <c r="E931" t="s">
        <v>3536</v>
      </c>
      <c r="F931" s="451">
        <v>46057</v>
      </c>
      <c r="G931" s="451">
        <v>46057</v>
      </c>
      <c r="H931" s="451">
        <v>46085</v>
      </c>
      <c r="I931">
        <v>121.83</v>
      </c>
      <c r="J931">
        <v>121.83</v>
      </c>
      <c r="K931">
        <v>121.83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460</v>
      </c>
    </row>
    <row r="932" spans="1:17" x14ac:dyDescent="0.3">
      <c r="A932">
        <v>208112</v>
      </c>
      <c r="B932">
        <v>105</v>
      </c>
      <c r="C932" t="s">
        <v>557</v>
      </c>
      <c r="D932" t="s">
        <v>2563</v>
      </c>
      <c r="E932" t="s">
        <v>3537</v>
      </c>
      <c r="F932" s="451">
        <v>46062</v>
      </c>
      <c r="G932" s="451">
        <v>46062</v>
      </c>
      <c r="H932" s="451">
        <v>46090</v>
      </c>
      <c r="I932">
        <v>400.87</v>
      </c>
      <c r="J932">
        <v>400</v>
      </c>
      <c r="K932">
        <v>400.87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460</v>
      </c>
    </row>
    <row r="933" spans="1:17" x14ac:dyDescent="0.3">
      <c r="A933">
        <v>208109</v>
      </c>
      <c r="B933">
        <v>105</v>
      </c>
      <c r="C933" t="s">
        <v>557</v>
      </c>
      <c r="D933" t="s">
        <v>2552</v>
      </c>
      <c r="E933" t="s">
        <v>3538</v>
      </c>
      <c r="F933" s="451">
        <v>46064</v>
      </c>
      <c r="G933" s="451">
        <v>46064</v>
      </c>
      <c r="H933" s="451">
        <v>46078</v>
      </c>
      <c r="I933">
        <v>183</v>
      </c>
      <c r="J933">
        <v>158</v>
      </c>
      <c r="K933">
        <v>183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460</v>
      </c>
    </row>
    <row r="934" spans="1:17" x14ac:dyDescent="0.3">
      <c r="A934">
        <v>208104</v>
      </c>
      <c r="B934">
        <v>105</v>
      </c>
      <c r="C934" t="s">
        <v>557</v>
      </c>
      <c r="D934" t="s">
        <v>2600</v>
      </c>
      <c r="E934" t="s">
        <v>3539</v>
      </c>
      <c r="F934" s="451">
        <v>46066</v>
      </c>
      <c r="G934" s="451">
        <v>46066</v>
      </c>
      <c r="H934" s="451">
        <v>46091</v>
      </c>
      <c r="I934">
        <v>367.82</v>
      </c>
      <c r="J934">
        <v>367.82</v>
      </c>
      <c r="K934">
        <v>367.82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460</v>
      </c>
    </row>
    <row r="935" spans="1:17" x14ac:dyDescent="0.3">
      <c r="A935">
        <v>208087</v>
      </c>
      <c r="B935">
        <v>105</v>
      </c>
      <c r="C935" t="s">
        <v>557</v>
      </c>
      <c r="D935" t="s">
        <v>2563</v>
      </c>
      <c r="E935" t="s">
        <v>3540</v>
      </c>
      <c r="F935" s="451">
        <v>46064</v>
      </c>
      <c r="G935" s="451">
        <v>46064</v>
      </c>
      <c r="H935" s="451">
        <v>46092</v>
      </c>
      <c r="I935">
        <v>139.27000000000001</v>
      </c>
      <c r="J935">
        <v>139.27000000000001</v>
      </c>
      <c r="K935">
        <v>139.27000000000001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460</v>
      </c>
    </row>
    <row r="936" spans="1:17" x14ac:dyDescent="0.3">
      <c r="A936">
        <v>208084</v>
      </c>
      <c r="B936">
        <v>105</v>
      </c>
      <c r="C936" t="s">
        <v>557</v>
      </c>
      <c r="D936" t="s">
        <v>2563</v>
      </c>
      <c r="E936" t="s">
        <v>3541</v>
      </c>
      <c r="F936" s="451">
        <v>46065</v>
      </c>
      <c r="G936" s="451">
        <v>46065</v>
      </c>
      <c r="H936" s="451">
        <v>46093</v>
      </c>
      <c r="I936">
        <v>610.78</v>
      </c>
      <c r="J936">
        <v>610.78</v>
      </c>
      <c r="K936">
        <v>610.78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460</v>
      </c>
    </row>
    <row r="937" spans="1:17" x14ac:dyDescent="0.3">
      <c r="A937">
        <v>208082</v>
      </c>
      <c r="B937">
        <v>105</v>
      </c>
      <c r="C937" t="s">
        <v>557</v>
      </c>
      <c r="D937" t="s">
        <v>2593</v>
      </c>
      <c r="E937" t="s">
        <v>3542</v>
      </c>
      <c r="F937" s="451">
        <v>46059</v>
      </c>
      <c r="G937" s="451">
        <v>46059</v>
      </c>
      <c r="H937" s="451">
        <v>46087</v>
      </c>
      <c r="I937">
        <v>760</v>
      </c>
      <c r="J937">
        <v>760</v>
      </c>
      <c r="K937">
        <v>760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460</v>
      </c>
    </row>
    <row r="938" spans="1:17" x14ac:dyDescent="0.3">
      <c r="A938">
        <v>208080</v>
      </c>
      <c r="B938">
        <v>105</v>
      </c>
      <c r="C938" t="s">
        <v>557</v>
      </c>
      <c r="D938" t="s">
        <v>2593</v>
      </c>
      <c r="E938" t="s">
        <v>3543</v>
      </c>
      <c r="F938" s="451">
        <v>46058</v>
      </c>
      <c r="G938" s="451">
        <v>46058</v>
      </c>
      <c r="H938" s="451">
        <v>46086</v>
      </c>
      <c r="I938">
        <v>1058.4000000000001</v>
      </c>
      <c r="J938">
        <v>1058.4000000000001</v>
      </c>
      <c r="K938">
        <v>1058.4000000000001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460</v>
      </c>
    </row>
    <row r="939" spans="1:17" x14ac:dyDescent="0.3">
      <c r="A939">
        <v>208073</v>
      </c>
      <c r="B939">
        <v>105</v>
      </c>
      <c r="C939" t="s">
        <v>557</v>
      </c>
      <c r="D939" t="s">
        <v>2732</v>
      </c>
      <c r="E939" t="s">
        <v>3544</v>
      </c>
      <c r="F939" s="451">
        <v>46062</v>
      </c>
      <c r="G939" s="451">
        <v>46062</v>
      </c>
      <c r="H939" s="451">
        <v>46076</v>
      </c>
      <c r="I939">
        <v>1688.27</v>
      </c>
      <c r="J939">
        <v>1688.27</v>
      </c>
      <c r="K939">
        <v>1688.27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460</v>
      </c>
    </row>
    <row r="940" spans="1:17" x14ac:dyDescent="0.3">
      <c r="A940">
        <v>208068</v>
      </c>
      <c r="B940">
        <v>105</v>
      </c>
      <c r="C940" t="s">
        <v>557</v>
      </c>
      <c r="D940" t="s">
        <v>2653</v>
      </c>
      <c r="E940" t="s">
        <v>3545</v>
      </c>
      <c r="F940" s="451">
        <v>46062</v>
      </c>
      <c r="G940" s="451">
        <v>46062</v>
      </c>
      <c r="H940" s="451">
        <v>46076</v>
      </c>
      <c r="I940">
        <v>201.08</v>
      </c>
      <c r="J940">
        <v>164.5</v>
      </c>
      <c r="K940">
        <v>201.08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460</v>
      </c>
    </row>
    <row r="941" spans="1:17" x14ac:dyDescent="0.3">
      <c r="A941">
        <v>205914</v>
      </c>
      <c r="B941">
        <v>105</v>
      </c>
      <c r="C941" t="s">
        <v>557</v>
      </c>
      <c r="D941" t="s">
        <v>2644</v>
      </c>
      <c r="E941" t="s">
        <v>3546</v>
      </c>
      <c r="F941" s="451">
        <v>46041</v>
      </c>
      <c r="G941" s="451">
        <v>46041</v>
      </c>
      <c r="H941" s="451">
        <v>46076</v>
      </c>
      <c r="I941">
        <v>219.4</v>
      </c>
      <c r="J941">
        <v>219.4</v>
      </c>
      <c r="K941">
        <v>219.4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459</v>
      </c>
    </row>
    <row r="942" spans="1:17" x14ac:dyDescent="0.3">
      <c r="A942">
        <v>205912</v>
      </c>
      <c r="B942">
        <v>105</v>
      </c>
      <c r="C942" t="s">
        <v>557</v>
      </c>
      <c r="D942" t="s">
        <v>2644</v>
      </c>
      <c r="E942" t="s">
        <v>3547</v>
      </c>
      <c r="F942" s="451">
        <v>46043</v>
      </c>
      <c r="H942" s="451">
        <v>46078</v>
      </c>
      <c r="I942">
        <v>127.28</v>
      </c>
      <c r="J942">
        <v>127.28</v>
      </c>
      <c r="K942">
        <v>0</v>
      </c>
      <c r="L942">
        <v>0</v>
      </c>
      <c r="M942">
        <v>127.28</v>
      </c>
      <c r="N942">
        <v>0</v>
      </c>
      <c r="O942">
        <v>0</v>
      </c>
      <c r="P942">
        <v>0</v>
      </c>
      <c r="Q942" t="s">
        <v>459</v>
      </c>
    </row>
    <row r="943" spans="1:17" x14ac:dyDescent="0.3">
      <c r="A943">
        <v>205911</v>
      </c>
      <c r="B943">
        <v>105</v>
      </c>
      <c r="C943" t="s">
        <v>557</v>
      </c>
      <c r="D943" t="s">
        <v>2571</v>
      </c>
      <c r="E943" t="s">
        <v>3548</v>
      </c>
      <c r="F943" s="451">
        <v>46043</v>
      </c>
      <c r="G943" s="451">
        <v>46043</v>
      </c>
      <c r="H943" s="451">
        <v>46071</v>
      </c>
      <c r="I943">
        <v>593.75</v>
      </c>
      <c r="J943">
        <v>591.75</v>
      </c>
      <c r="K943">
        <v>593.75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459</v>
      </c>
    </row>
    <row r="944" spans="1:17" x14ac:dyDescent="0.3">
      <c r="A944">
        <v>205909</v>
      </c>
      <c r="B944">
        <v>105</v>
      </c>
      <c r="C944" t="s">
        <v>557</v>
      </c>
      <c r="D944" t="s">
        <v>2557</v>
      </c>
      <c r="E944" t="s">
        <v>3549</v>
      </c>
      <c r="F944" s="451">
        <v>46043</v>
      </c>
      <c r="G944" s="451">
        <v>46043</v>
      </c>
      <c r="H944" s="451">
        <v>46072</v>
      </c>
      <c r="I944">
        <v>1069.8800000000001</v>
      </c>
      <c r="J944">
        <v>1069.8800000000001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1069.8800000000001</v>
      </c>
      <c r="Q944" t="s">
        <v>459</v>
      </c>
    </row>
    <row r="945" spans="1:17" x14ac:dyDescent="0.3">
      <c r="A945">
        <v>205907</v>
      </c>
      <c r="B945">
        <v>105</v>
      </c>
      <c r="C945" t="s">
        <v>557</v>
      </c>
      <c r="D945" t="s">
        <v>2607</v>
      </c>
      <c r="E945" t="s">
        <v>3550</v>
      </c>
      <c r="F945" s="451">
        <v>46043</v>
      </c>
      <c r="G945" s="451">
        <v>46043</v>
      </c>
      <c r="H945" s="451">
        <v>46071</v>
      </c>
      <c r="I945">
        <v>1139</v>
      </c>
      <c r="J945">
        <v>1139</v>
      </c>
      <c r="K945">
        <v>1139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459</v>
      </c>
    </row>
    <row r="946" spans="1:17" x14ac:dyDescent="0.3">
      <c r="A946">
        <v>205905</v>
      </c>
      <c r="B946">
        <v>105</v>
      </c>
      <c r="C946" t="s">
        <v>557</v>
      </c>
      <c r="D946" t="s">
        <v>2581</v>
      </c>
      <c r="E946" t="s">
        <v>3551</v>
      </c>
      <c r="F946" s="451">
        <v>46043</v>
      </c>
      <c r="G946" s="451">
        <v>46043</v>
      </c>
      <c r="H946" s="451">
        <v>46071</v>
      </c>
      <c r="I946">
        <v>42.4</v>
      </c>
      <c r="J946">
        <v>42.4</v>
      </c>
      <c r="K946">
        <v>42.4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459</v>
      </c>
    </row>
    <row r="947" spans="1:17" x14ac:dyDescent="0.3">
      <c r="A947">
        <v>205904</v>
      </c>
      <c r="B947">
        <v>105</v>
      </c>
      <c r="C947" t="s">
        <v>557</v>
      </c>
      <c r="D947" t="s">
        <v>2552</v>
      </c>
      <c r="E947" t="s">
        <v>3552</v>
      </c>
      <c r="F947" s="451">
        <v>46043</v>
      </c>
      <c r="G947" s="451">
        <v>46043</v>
      </c>
      <c r="H947" s="451">
        <v>46069</v>
      </c>
      <c r="I947">
        <v>183</v>
      </c>
      <c r="J947">
        <v>158</v>
      </c>
      <c r="K947">
        <v>183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459</v>
      </c>
    </row>
    <row r="948" spans="1:17" x14ac:dyDescent="0.3">
      <c r="A948">
        <v>205903</v>
      </c>
      <c r="B948">
        <v>105</v>
      </c>
      <c r="C948" t="s">
        <v>557</v>
      </c>
      <c r="D948" t="s">
        <v>2615</v>
      </c>
      <c r="E948" t="s">
        <v>3553</v>
      </c>
      <c r="F948" s="451">
        <v>46043</v>
      </c>
      <c r="G948" s="451">
        <v>46043</v>
      </c>
      <c r="H948" s="451">
        <v>46069</v>
      </c>
      <c r="I948">
        <v>123.9</v>
      </c>
      <c r="J948">
        <v>123.9</v>
      </c>
      <c r="K948">
        <v>123.9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459</v>
      </c>
    </row>
    <row r="949" spans="1:17" x14ac:dyDescent="0.3">
      <c r="A949">
        <v>205534</v>
      </c>
      <c r="B949">
        <v>105</v>
      </c>
      <c r="C949" t="s">
        <v>557</v>
      </c>
      <c r="D949" t="s">
        <v>3328</v>
      </c>
      <c r="E949" t="s">
        <v>3554</v>
      </c>
      <c r="F949" s="451">
        <v>46052</v>
      </c>
      <c r="G949" s="451">
        <v>46052</v>
      </c>
      <c r="H949" s="451">
        <v>46080</v>
      </c>
      <c r="I949">
        <v>148.13</v>
      </c>
      <c r="J949">
        <v>148.13</v>
      </c>
      <c r="K949">
        <v>148.13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459</v>
      </c>
    </row>
    <row r="950" spans="1:17" x14ac:dyDescent="0.3">
      <c r="A950">
        <v>205533</v>
      </c>
      <c r="B950">
        <v>105</v>
      </c>
      <c r="C950" t="s">
        <v>557</v>
      </c>
      <c r="D950" t="s">
        <v>2680</v>
      </c>
      <c r="E950" t="s">
        <v>3555</v>
      </c>
      <c r="F950" s="451">
        <v>46056</v>
      </c>
      <c r="G950" s="451">
        <v>46056</v>
      </c>
      <c r="H950" s="451">
        <v>46086</v>
      </c>
      <c r="I950">
        <v>140</v>
      </c>
      <c r="J950">
        <v>140</v>
      </c>
      <c r="K950">
        <v>140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460</v>
      </c>
    </row>
    <row r="951" spans="1:17" x14ac:dyDescent="0.3">
      <c r="A951">
        <v>205532</v>
      </c>
      <c r="B951">
        <v>105</v>
      </c>
      <c r="C951" t="s">
        <v>557</v>
      </c>
      <c r="D951" t="s">
        <v>2600</v>
      </c>
      <c r="E951" t="s">
        <v>3556</v>
      </c>
      <c r="F951" s="451">
        <v>46056</v>
      </c>
      <c r="G951" s="451">
        <v>46056</v>
      </c>
      <c r="H951" s="451">
        <v>46080</v>
      </c>
      <c r="I951">
        <v>41.57</v>
      </c>
      <c r="J951">
        <v>41.57</v>
      </c>
      <c r="K951">
        <v>41.57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460</v>
      </c>
    </row>
    <row r="952" spans="1:17" x14ac:dyDescent="0.3">
      <c r="A952">
        <v>205531</v>
      </c>
      <c r="B952">
        <v>105</v>
      </c>
      <c r="C952" t="s">
        <v>557</v>
      </c>
      <c r="D952" t="s">
        <v>2563</v>
      </c>
      <c r="E952" t="s">
        <v>3557</v>
      </c>
      <c r="F952" s="451">
        <v>46054</v>
      </c>
      <c r="G952" s="451">
        <v>46054</v>
      </c>
      <c r="H952" s="451">
        <v>46081</v>
      </c>
      <c r="I952">
        <v>139.72</v>
      </c>
      <c r="J952">
        <v>139.72</v>
      </c>
      <c r="K952">
        <v>139.72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460</v>
      </c>
    </row>
    <row r="953" spans="1:17" x14ac:dyDescent="0.3">
      <c r="A953">
        <v>205530</v>
      </c>
      <c r="B953">
        <v>105</v>
      </c>
      <c r="C953" t="s">
        <v>557</v>
      </c>
      <c r="D953" t="s">
        <v>2563</v>
      </c>
      <c r="E953" t="s">
        <v>3558</v>
      </c>
      <c r="F953" s="451">
        <v>46056</v>
      </c>
      <c r="G953" s="451">
        <v>46056</v>
      </c>
      <c r="H953" s="451">
        <v>46084</v>
      </c>
      <c r="I953">
        <v>47.43</v>
      </c>
      <c r="J953">
        <v>47.43</v>
      </c>
      <c r="K953">
        <v>47.43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460</v>
      </c>
    </row>
    <row r="954" spans="1:17" x14ac:dyDescent="0.3">
      <c r="A954">
        <v>205529</v>
      </c>
      <c r="B954">
        <v>105</v>
      </c>
      <c r="C954" t="s">
        <v>557</v>
      </c>
      <c r="D954" t="s">
        <v>2603</v>
      </c>
      <c r="E954" t="s">
        <v>3559</v>
      </c>
      <c r="F954" s="451">
        <v>46056</v>
      </c>
      <c r="G954" s="451">
        <v>46056</v>
      </c>
      <c r="H954" s="451">
        <v>46071</v>
      </c>
      <c r="I954">
        <v>2091.14</v>
      </c>
      <c r="J954">
        <v>2091.14</v>
      </c>
      <c r="K954">
        <v>2091.14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460</v>
      </c>
    </row>
    <row r="955" spans="1:17" x14ac:dyDescent="0.3">
      <c r="A955">
        <v>205527</v>
      </c>
      <c r="B955">
        <v>105</v>
      </c>
      <c r="C955" t="s">
        <v>557</v>
      </c>
      <c r="D955" t="s">
        <v>2593</v>
      </c>
      <c r="E955" t="s">
        <v>3560</v>
      </c>
      <c r="F955" s="451">
        <v>46054</v>
      </c>
      <c r="G955" s="451">
        <v>46054</v>
      </c>
      <c r="H955" s="451">
        <v>46080</v>
      </c>
      <c r="I955">
        <v>760</v>
      </c>
      <c r="J955">
        <v>760</v>
      </c>
      <c r="K955">
        <v>760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460</v>
      </c>
    </row>
    <row r="956" spans="1:17" x14ac:dyDescent="0.3">
      <c r="A956">
        <v>205525</v>
      </c>
      <c r="B956">
        <v>105</v>
      </c>
      <c r="C956" t="s">
        <v>557</v>
      </c>
      <c r="D956" t="s">
        <v>3561</v>
      </c>
      <c r="E956" t="s">
        <v>3562</v>
      </c>
      <c r="F956" s="451">
        <v>46053</v>
      </c>
      <c r="G956" s="451">
        <v>46053</v>
      </c>
      <c r="H956" s="451">
        <v>46069</v>
      </c>
      <c r="I956">
        <v>1471.06</v>
      </c>
      <c r="J956">
        <v>1471.06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459</v>
      </c>
    </row>
    <row r="957" spans="1:17" x14ac:dyDescent="0.3">
      <c r="A957">
        <v>205512</v>
      </c>
      <c r="B957">
        <v>105</v>
      </c>
      <c r="C957" t="s">
        <v>557</v>
      </c>
      <c r="D957" t="s">
        <v>3195</v>
      </c>
      <c r="E957" t="s">
        <v>3563</v>
      </c>
      <c r="F957" s="451">
        <v>46053</v>
      </c>
      <c r="G957" s="451">
        <v>46053</v>
      </c>
      <c r="H957" s="451">
        <v>46062</v>
      </c>
      <c r="I957">
        <v>0</v>
      </c>
      <c r="J957">
        <v>17.79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459</v>
      </c>
    </row>
    <row r="958" spans="1:17" x14ac:dyDescent="0.3">
      <c r="A958">
        <v>205511</v>
      </c>
      <c r="B958">
        <v>105</v>
      </c>
      <c r="C958" t="s">
        <v>557</v>
      </c>
      <c r="D958" t="s">
        <v>2597</v>
      </c>
      <c r="E958" t="s">
        <v>3564</v>
      </c>
      <c r="F958" s="451">
        <v>46055</v>
      </c>
      <c r="G958" s="451">
        <v>46055</v>
      </c>
      <c r="H958" s="451">
        <v>46083</v>
      </c>
      <c r="I958">
        <v>3617.27</v>
      </c>
      <c r="J958">
        <v>3617.27</v>
      </c>
      <c r="K958">
        <v>3617.27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460</v>
      </c>
    </row>
    <row r="959" spans="1:17" x14ac:dyDescent="0.3">
      <c r="A959">
        <v>205510</v>
      </c>
      <c r="B959">
        <v>105</v>
      </c>
      <c r="C959" t="s">
        <v>557</v>
      </c>
      <c r="D959" t="s">
        <v>2550</v>
      </c>
      <c r="E959" t="s">
        <v>3565</v>
      </c>
      <c r="F959" s="451">
        <v>46055</v>
      </c>
      <c r="G959" s="451">
        <v>46055</v>
      </c>
      <c r="H959" s="451">
        <v>46085</v>
      </c>
      <c r="I959">
        <v>1021.76</v>
      </c>
      <c r="J959">
        <v>1021.76</v>
      </c>
      <c r="K959">
        <v>0</v>
      </c>
      <c r="L959">
        <v>1021.76</v>
      </c>
      <c r="M959">
        <v>0</v>
      </c>
      <c r="N959">
        <v>0</v>
      </c>
      <c r="O959">
        <v>0</v>
      </c>
      <c r="P959">
        <v>0</v>
      </c>
      <c r="Q959" t="s">
        <v>460</v>
      </c>
    </row>
    <row r="960" spans="1:17" x14ac:dyDescent="0.3">
      <c r="A960">
        <v>205509</v>
      </c>
      <c r="B960">
        <v>105</v>
      </c>
      <c r="C960" t="s">
        <v>557</v>
      </c>
      <c r="D960" t="s">
        <v>2590</v>
      </c>
      <c r="E960" t="s">
        <v>3566</v>
      </c>
      <c r="F960" s="451">
        <v>46055</v>
      </c>
      <c r="G960" s="451">
        <v>46055</v>
      </c>
      <c r="H960" s="451">
        <v>46086</v>
      </c>
      <c r="I960">
        <v>757.25</v>
      </c>
      <c r="J960">
        <v>1241.49</v>
      </c>
      <c r="K960">
        <v>0</v>
      </c>
      <c r="L960">
        <v>757.25</v>
      </c>
      <c r="M960">
        <v>0</v>
      </c>
      <c r="N960">
        <v>0</v>
      </c>
      <c r="O960">
        <v>0</v>
      </c>
      <c r="P960">
        <v>0</v>
      </c>
      <c r="Q960" t="s">
        <v>460</v>
      </c>
    </row>
    <row r="961" spans="1:17" x14ac:dyDescent="0.3">
      <c r="A961">
        <v>205503</v>
      </c>
      <c r="B961">
        <v>105</v>
      </c>
      <c r="C961" t="s">
        <v>557</v>
      </c>
      <c r="D961" t="s">
        <v>2590</v>
      </c>
      <c r="E961" t="s">
        <v>3567</v>
      </c>
      <c r="F961" s="451">
        <v>46052</v>
      </c>
      <c r="G961" s="451">
        <v>46052</v>
      </c>
      <c r="H961" s="451">
        <v>46071</v>
      </c>
      <c r="I961">
        <v>222.57</v>
      </c>
      <c r="J961">
        <v>172.11</v>
      </c>
      <c r="K961">
        <v>0</v>
      </c>
      <c r="L961">
        <v>222.57</v>
      </c>
      <c r="M961">
        <v>0</v>
      </c>
      <c r="N961">
        <v>0</v>
      </c>
      <c r="O961">
        <v>0</v>
      </c>
      <c r="P961">
        <v>0</v>
      </c>
      <c r="Q961" t="s">
        <v>459</v>
      </c>
    </row>
    <row r="962" spans="1:17" x14ac:dyDescent="0.3">
      <c r="A962">
        <v>205502</v>
      </c>
      <c r="B962">
        <v>105</v>
      </c>
      <c r="C962" t="s">
        <v>557</v>
      </c>
      <c r="D962" t="s">
        <v>2590</v>
      </c>
      <c r="E962" t="s">
        <v>3568</v>
      </c>
      <c r="F962" s="451">
        <v>46052</v>
      </c>
      <c r="G962" s="451">
        <v>46052</v>
      </c>
      <c r="H962" s="451">
        <v>46083</v>
      </c>
      <c r="I962">
        <v>1838.54</v>
      </c>
      <c r="J962">
        <v>1336.15</v>
      </c>
      <c r="K962">
        <v>0</v>
      </c>
      <c r="L962">
        <v>1838.54</v>
      </c>
      <c r="M962">
        <v>0</v>
      </c>
      <c r="N962">
        <v>0</v>
      </c>
      <c r="O962">
        <v>0</v>
      </c>
      <c r="P962">
        <v>0</v>
      </c>
      <c r="Q962" t="s">
        <v>459</v>
      </c>
    </row>
    <row r="963" spans="1:17" x14ac:dyDescent="0.3">
      <c r="A963">
        <v>205501</v>
      </c>
      <c r="B963">
        <v>105</v>
      </c>
      <c r="C963" t="s">
        <v>557</v>
      </c>
      <c r="D963" t="s">
        <v>2705</v>
      </c>
      <c r="E963" t="s">
        <v>3569</v>
      </c>
      <c r="F963" s="451">
        <v>46055</v>
      </c>
      <c r="H963" s="451">
        <v>46070</v>
      </c>
      <c r="I963">
        <v>692</v>
      </c>
      <c r="J963">
        <v>692</v>
      </c>
      <c r="K963">
        <v>0</v>
      </c>
      <c r="L963">
        <v>0</v>
      </c>
      <c r="M963">
        <v>0</v>
      </c>
      <c r="N963">
        <v>692</v>
      </c>
      <c r="O963">
        <v>0</v>
      </c>
      <c r="P963">
        <v>0</v>
      </c>
      <c r="Q963" t="s">
        <v>460</v>
      </c>
    </row>
    <row r="964" spans="1:17" x14ac:dyDescent="0.3">
      <c r="A964">
        <v>205278</v>
      </c>
      <c r="B964">
        <v>105</v>
      </c>
      <c r="C964" t="s">
        <v>557</v>
      </c>
      <c r="D964" t="s">
        <v>2581</v>
      </c>
      <c r="E964" t="s">
        <v>3570</v>
      </c>
      <c r="F964" s="451">
        <v>46054</v>
      </c>
      <c r="G964" s="451">
        <v>46054</v>
      </c>
      <c r="H964" s="451">
        <v>46081</v>
      </c>
      <c r="I964">
        <v>191.4</v>
      </c>
      <c r="J964">
        <v>191.4</v>
      </c>
      <c r="K964">
        <v>191.4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460</v>
      </c>
    </row>
    <row r="965" spans="1:17" x14ac:dyDescent="0.3">
      <c r="A965">
        <v>205277</v>
      </c>
      <c r="B965">
        <v>105</v>
      </c>
      <c r="C965" t="s">
        <v>557</v>
      </c>
      <c r="D965" t="s">
        <v>2581</v>
      </c>
      <c r="E965" t="s">
        <v>3571</v>
      </c>
      <c r="F965" s="451">
        <v>46055</v>
      </c>
      <c r="G965" s="451">
        <v>46055</v>
      </c>
      <c r="H965" s="451">
        <v>46083</v>
      </c>
      <c r="I965">
        <v>114.45</v>
      </c>
      <c r="J965">
        <v>114.45</v>
      </c>
      <c r="K965">
        <v>114.45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460</v>
      </c>
    </row>
    <row r="966" spans="1:17" x14ac:dyDescent="0.3">
      <c r="A966">
        <v>205274</v>
      </c>
      <c r="B966">
        <v>105</v>
      </c>
      <c r="C966" t="s">
        <v>557</v>
      </c>
      <c r="D966" t="s">
        <v>2581</v>
      </c>
      <c r="E966" t="s">
        <v>3572</v>
      </c>
      <c r="F966" s="451">
        <v>46056</v>
      </c>
      <c r="G966" s="451">
        <v>46056</v>
      </c>
      <c r="H966" s="451">
        <v>46097</v>
      </c>
      <c r="I966">
        <v>106.5</v>
      </c>
      <c r="J966">
        <v>101.2</v>
      </c>
      <c r="K966">
        <v>106.5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460</v>
      </c>
    </row>
    <row r="967" spans="1:17" x14ac:dyDescent="0.3">
      <c r="A967">
        <v>205273</v>
      </c>
      <c r="B967">
        <v>105</v>
      </c>
      <c r="C967" t="s">
        <v>557</v>
      </c>
      <c r="D967" t="s">
        <v>2573</v>
      </c>
      <c r="E967" t="s">
        <v>3573</v>
      </c>
      <c r="F967" s="451">
        <v>46055</v>
      </c>
      <c r="H967" s="451">
        <v>46083</v>
      </c>
      <c r="I967">
        <v>375.96</v>
      </c>
      <c r="J967">
        <v>375.96</v>
      </c>
      <c r="K967">
        <v>0</v>
      </c>
      <c r="L967">
        <v>0</v>
      </c>
      <c r="M967">
        <v>0</v>
      </c>
      <c r="N967">
        <v>0</v>
      </c>
      <c r="O967">
        <v>375.96</v>
      </c>
      <c r="P967">
        <v>0</v>
      </c>
      <c r="Q967" t="s">
        <v>460</v>
      </c>
    </row>
    <row r="968" spans="1:17" x14ac:dyDescent="0.3">
      <c r="A968">
        <v>205271</v>
      </c>
      <c r="B968">
        <v>105</v>
      </c>
      <c r="C968" t="s">
        <v>557</v>
      </c>
      <c r="D968" t="s">
        <v>2569</v>
      </c>
      <c r="E968" t="s">
        <v>3574</v>
      </c>
      <c r="F968" s="451">
        <v>46055</v>
      </c>
      <c r="G968" s="451">
        <v>46055</v>
      </c>
      <c r="H968" s="451">
        <v>46091</v>
      </c>
      <c r="I968">
        <v>562.20000000000005</v>
      </c>
      <c r="J968">
        <v>551</v>
      </c>
      <c r="K968">
        <v>0</v>
      </c>
      <c r="L968">
        <v>562.20000000000005</v>
      </c>
      <c r="M968">
        <v>0</v>
      </c>
      <c r="N968">
        <v>0</v>
      </c>
      <c r="O968">
        <v>0</v>
      </c>
      <c r="P968">
        <v>0</v>
      </c>
      <c r="Q968" t="s">
        <v>460</v>
      </c>
    </row>
    <row r="969" spans="1:17" x14ac:dyDescent="0.3">
      <c r="A969">
        <v>205270</v>
      </c>
      <c r="B969">
        <v>105</v>
      </c>
      <c r="C969" t="s">
        <v>557</v>
      </c>
      <c r="D969" t="s">
        <v>2605</v>
      </c>
      <c r="E969" t="s">
        <v>3575</v>
      </c>
      <c r="F969" s="451">
        <v>46054</v>
      </c>
      <c r="G969" s="451">
        <v>46054</v>
      </c>
      <c r="H969" s="451">
        <v>46080</v>
      </c>
      <c r="I969">
        <v>138.66999999999999</v>
      </c>
      <c r="J969">
        <v>138.66999999999999</v>
      </c>
      <c r="K969">
        <v>138.66999999999999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460</v>
      </c>
    </row>
    <row r="970" spans="1:17" x14ac:dyDescent="0.3">
      <c r="A970">
        <v>205269</v>
      </c>
      <c r="B970">
        <v>105</v>
      </c>
      <c r="C970" t="s">
        <v>557</v>
      </c>
      <c r="D970" t="s">
        <v>1786</v>
      </c>
      <c r="E970" t="s">
        <v>3576</v>
      </c>
      <c r="F970" s="451">
        <v>46054</v>
      </c>
      <c r="G970" s="451">
        <v>46054</v>
      </c>
      <c r="H970" s="451">
        <v>46083</v>
      </c>
      <c r="I970">
        <v>794.38</v>
      </c>
      <c r="J970">
        <v>791.22</v>
      </c>
      <c r="K970">
        <v>794.38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460</v>
      </c>
    </row>
    <row r="971" spans="1:17" x14ac:dyDescent="0.3">
      <c r="A971">
        <v>205268</v>
      </c>
      <c r="B971">
        <v>105</v>
      </c>
      <c r="C971" t="s">
        <v>557</v>
      </c>
      <c r="D971" t="s">
        <v>2699</v>
      </c>
      <c r="E971" t="s">
        <v>3577</v>
      </c>
      <c r="F971" s="451">
        <v>46057</v>
      </c>
      <c r="G971" s="451">
        <v>46057</v>
      </c>
      <c r="H971" s="451">
        <v>46085</v>
      </c>
      <c r="I971">
        <v>299.7</v>
      </c>
      <c r="J971">
        <v>299.7</v>
      </c>
      <c r="K971">
        <v>0</v>
      </c>
      <c r="L971">
        <v>299.7</v>
      </c>
      <c r="M971">
        <v>0</v>
      </c>
      <c r="N971">
        <v>0</v>
      </c>
      <c r="O971">
        <v>0</v>
      </c>
      <c r="P971">
        <v>0</v>
      </c>
      <c r="Q971" t="s">
        <v>460</v>
      </c>
    </row>
    <row r="972" spans="1:17" x14ac:dyDescent="0.3">
      <c r="A972">
        <v>205252</v>
      </c>
      <c r="B972">
        <v>105</v>
      </c>
      <c r="C972" t="s">
        <v>557</v>
      </c>
      <c r="D972" t="s">
        <v>1786</v>
      </c>
      <c r="E972" t="s">
        <v>3578</v>
      </c>
      <c r="F972" s="451">
        <v>46041</v>
      </c>
      <c r="G972" s="451">
        <v>46041</v>
      </c>
      <c r="H972" s="451">
        <v>46070</v>
      </c>
      <c r="I972">
        <v>1651.35</v>
      </c>
      <c r="J972">
        <v>1651.3</v>
      </c>
      <c r="K972">
        <v>1651.35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459</v>
      </c>
    </row>
    <row r="973" spans="1:17" x14ac:dyDescent="0.3">
      <c r="A973">
        <v>205251</v>
      </c>
      <c r="B973">
        <v>105</v>
      </c>
      <c r="C973" t="s">
        <v>557</v>
      </c>
      <c r="D973" t="s">
        <v>1786</v>
      </c>
      <c r="E973" t="s">
        <v>3579</v>
      </c>
      <c r="F973" s="451">
        <v>46045</v>
      </c>
      <c r="G973" s="451">
        <v>46045</v>
      </c>
      <c r="H973" s="451">
        <v>46076</v>
      </c>
      <c r="I973">
        <v>1098.54</v>
      </c>
      <c r="J973">
        <v>1098.5999999999999</v>
      </c>
      <c r="K973">
        <v>1098.54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459</v>
      </c>
    </row>
    <row r="974" spans="1:17" x14ac:dyDescent="0.3">
      <c r="A974">
        <v>205250</v>
      </c>
      <c r="B974">
        <v>105</v>
      </c>
      <c r="C974" t="s">
        <v>557</v>
      </c>
      <c r="D974" t="s">
        <v>2699</v>
      </c>
      <c r="E974" t="s">
        <v>3580</v>
      </c>
      <c r="F974" s="451">
        <v>46050</v>
      </c>
      <c r="G974" s="451">
        <v>46050</v>
      </c>
      <c r="H974" s="451">
        <v>46078</v>
      </c>
      <c r="I974">
        <v>267.39999999999998</v>
      </c>
      <c r="J974">
        <v>268</v>
      </c>
      <c r="K974">
        <v>0</v>
      </c>
      <c r="L974">
        <v>267.39999999999998</v>
      </c>
      <c r="M974">
        <v>0</v>
      </c>
      <c r="N974">
        <v>0</v>
      </c>
      <c r="O974">
        <v>0</v>
      </c>
      <c r="P974">
        <v>0</v>
      </c>
      <c r="Q974" t="s">
        <v>459</v>
      </c>
    </row>
    <row r="975" spans="1:17" x14ac:dyDescent="0.3">
      <c r="A975">
        <v>205249</v>
      </c>
      <c r="B975">
        <v>105</v>
      </c>
      <c r="C975" t="s">
        <v>557</v>
      </c>
      <c r="D975" t="s">
        <v>3328</v>
      </c>
      <c r="E975" t="s">
        <v>3581</v>
      </c>
      <c r="F975" s="451">
        <v>46042</v>
      </c>
      <c r="G975" s="451">
        <v>46042</v>
      </c>
      <c r="H975" s="451">
        <v>46070</v>
      </c>
      <c r="I975">
        <v>275.36</v>
      </c>
      <c r="J975">
        <v>275.35000000000002</v>
      </c>
      <c r="K975">
        <v>275.36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459</v>
      </c>
    </row>
    <row r="976" spans="1:17" x14ac:dyDescent="0.3">
      <c r="A976">
        <v>205248</v>
      </c>
      <c r="B976">
        <v>105</v>
      </c>
      <c r="C976" t="s">
        <v>557</v>
      </c>
      <c r="D976" t="s">
        <v>3328</v>
      </c>
      <c r="E976" t="s">
        <v>3582</v>
      </c>
      <c r="F976" s="451">
        <v>46048</v>
      </c>
      <c r="G976" s="451">
        <v>46048</v>
      </c>
      <c r="H976" s="451">
        <v>46076</v>
      </c>
      <c r="I976">
        <v>520.51</v>
      </c>
      <c r="J976">
        <v>505.51</v>
      </c>
      <c r="K976">
        <v>520.51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459</v>
      </c>
    </row>
    <row r="977" spans="1:17" x14ac:dyDescent="0.3">
      <c r="A977">
        <v>205247</v>
      </c>
      <c r="B977">
        <v>105</v>
      </c>
      <c r="C977" t="s">
        <v>557</v>
      </c>
      <c r="D977" t="s">
        <v>3328</v>
      </c>
      <c r="E977" t="s">
        <v>3583</v>
      </c>
      <c r="F977" s="451">
        <v>46051</v>
      </c>
      <c r="G977" s="451">
        <v>46051</v>
      </c>
      <c r="H977" s="451">
        <v>46078</v>
      </c>
      <c r="I977">
        <v>191.24</v>
      </c>
      <c r="J977">
        <v>180.04</v>
      </c>
      <c r="K977">
        <v>191.24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459</v>
      </c>
    </row>
    <row r="978" spans="1:17" x14ac:dyDescent="0.3">
      <c r="A978">
        <v>205246</v>
      </c>
      <c r="B978">
        <v>105</v>
      </c>
      <c r="C978" t="s">
        <v>557</v>
      </c>
      <c r="D978" t="s">
        <v>2565</v>
      </c>
      <c r="E978" t="s">
        <v>3584</v>
      </c>
      <c r="F978" s="451">
        <v>46049</v>
      </c>
      <c r="G978" s="451">
        <v>46049</v>
      </c>
      <c r="H978" s="451">
        <v>46070</v>
      </c>
      <c r="I978">
        <v>214.94</v>
      </c>
      <c r="J978">
        <v>214.94</v>
      </c>
      <c r="K978">
        <v>0</v>
      </c>
      <c r="L978">
        <v>214.94</v>
      </c>
      <c r="M978">
        <v>0</v>
      </c>
      <c r="N978">
        <v>0</v>
      </c>
      <c r="O978">
        <v>0</v>
      </c>
      <c r="P978">
        <v>0</v>
      </c>
      <c r="Q978" t="s">
        <v>459</v>
      </c>
    </row>
    <row r="979" spans="1:17" x14ac:dyDescent="0.3">
      <c r="A979">
        <v>205245</v>
      </c>
      <c r="B979">
        <v>105</v>
      </c>
      <c r="C979" t="s">
        <v>557</v>
      </c>
      <c r="D979" t="s">
        <v>2563</v>
      </c>
      <c r="E979" t="s">
        <v>3585</v>
      </c>
      <c r="F979" s="451">
        <v>46042</v>
      </c>
      <c r="G979" s="451">
        <v>46042</v>
      </c>
      <c r="H979" s="451">
        <v>46070</v>
      </c>
      <c r="I979">
        <v>506.29</v>
      </c>
      <c r="J979">
        <v>508.89</v>
      </c>
      <c r="K979">
        <v>506.29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459</v>
      </c>
    </row>
    <row r="980" spans="1:17" x14ac:dyDescent="0.3">
      <c r="A980">
        <v>205244</v>
      </c>
      <c r="B980">
        <v>105</v>
      </c>
      <c r="C980" t="s">
        <v>557</v>
      </c>
      <c r="D980" t="s">
        <v>2563</v>
      </c>
      <c r="E980" t="s">
        <v>3586</v>
      </c>
      <c r="F980" s="451">
        <v>46046</v>
      </c>
      <c r="G980" s="451">
        <v>46046</v>
      </c>
      <c r="H980" s="451">
        <v>46074</v>
      </c>
      <c r="I980">
        <v>116.99</v>
      </c>
      <c r="J980">
        <v>116.9</v>
      </c>
      <c r="K980">
        <v>116.99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459</v>
      </c>
    </row>
    <row r="981" spans="1:17" x14ac:dyDescent="0.3">
      <c r="A981">
        <v>205243</v>
      </c>
      <c r="B981">
        <v>105</v>
      </c>
      <c r="C981" t="s">
        <v>557</v>
      </c>
      <c r="D981" t="s">
        <v>2563</v>
      </c>
      <c r="E981" t="s">
        <v>3587</v>
      </c>
      <c r="F981" s="451">
        <v>46050</v>
      </c>
      <c r="G981" s="451">
        <v>46050</v>
      </c>
      <c r="H981" s="451">
        <v>46078</v>
      </c>
      <c r="I981">
        <v>225.87</v>
      </c>
      <c r="J981">
        <v>225.87</v>
      </c>
      <c r="K981">
        <v>225.87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459</v>
      </c>
    </row>
    <row r="982" spans="1:17" x14ac:dyDescent="0.3">
      <c r="A982">
        <v>205242</v>
      </c>
      <c r="B982">
        <v>105</v>
      </c>
      <c r="C982" t="s">
        <v>557</v>
      </c>
      <c r="D982" t="s">
        <v>2563</v>
      </c>
      <c r="E982" t="s">
        <v>3588</v>
      </c>
      <c r="F982" s="451">
        <v>46051</v>
      </c>
      <c r="G982" s="451">
        <v>46051</v>
      </c>
      <c r="H982" s="451">
        <v>46079</v>
      </c>
      <c r="I982">
        <v>876.22</v>
      </c>
      <c r="J982">
        <v>857.4</v>
      </c>
      <c r="K982">
        <v>876.22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459</v>
      </c>
    </row>
    <row r="983" spans="1:17" x14ac:dyDescent="0.3">
      <c r="A983">
        <v>205241</v>
      </c>
      <c r="B983">
        <v>105</v>
      </c>
      <c r="C983" t="s">
        <v>557</v>
      </c>
      <c r="D983" t="s">
        <v>836</v>
      </c>
      <c r="E983" t="s">
        <v>3589</v>
      </c>
      <c r="F983" s="451">
        <v>46050</v>
      </c>
      <c r="H983" s="451">
        <v>46078</v>
      </c>
      <c r="I983">
        <v>170</v>
      </c>
      <c r="J983">
        <v>170</v>
      </c>
      <c r="K983">
        <v>0</v>
      </c>
      <c r="L983">
        <v>0</v>
      </c>
      <c r="M983">
        <v>170</v>
      </c>
      <c r="N983">
        <v>0</v>
      </c>
      <c r="O983">
        <v>0</v>
      </c>
      <c r="P983">
        <v>0</v>
      </c>
      <c r="Q983" t="s">
        <v>459</v>
      </c>
    </row>
    <row r="984" spans="1:17" x14ac:dyDescent="0.3">
      <c r="A984">
        <v>205240</v>
      </c>
      <c r="B984">
        <v>105</v>
      </c>
      <c r="C984" t="s">
        <v>557</v>
      </c>
      <c r="D984" t="s">
        <v>3044</v>
      </c>
      <c r="E984" t="s">
        <v>3590</v>
      </c>
      <c r="F984" s="451">
        <v>46049</v>
      </c>
      <c r="G984" s="451">
        <v>46049</v>
      </c>
      <c r="H984" s="451">
        <v>46077</v>
      </c>
      <c r="I984">
        <v>643.74</v>
      </c>
      <c r="J984">
        <v>643.74</v>
      </c>
      <c r="K984">
        <v>643.74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459</v>
      </c>
    </row>
    <row r="985" spans="1:17" x14ac:dyDescent="0.3">
      <c r="A985">
        <v>205239</v>
      </c>
      <c r="B985">
        <v>105</v>
      </c>
      <c r="C985" t="s">
        <v>557</v>
      </c>
      <c r="D985" t="s">
        <v>3462</v>
      </c>
      <c r="E985" t="s">
        <v>3591</v>
      </c>
      <c r="F985" s="451">
        <v>46044</v>
      </c>
      <c r="H985" s="451">
        <v>46072</v>
      </c>
      <c r="I985">
        <v>335.8</v>
      </c>
      <c r="J985">
        <v>335.8</v>
      </c>
      <c r="K985">
        <v>0</v>
      </c>
      <c r="L985">
        <v>0</v>
      </c>
      <c r="M985">
        <v>335.8</v>
      </c>
      <c r="N985">
        <v>0</v>
      </c>
      <c r="O985">
        <v>0</v>
      </c>
      <c r="P985">
        <v>0</v>
      </c>
      <c r="Q985" t="s">
        <v>459</v>
      </c>
    </row>
    <row r="986" spans="1:17" x14ac:dyDescent="0.3">
      <c r="A986">
        <v>205238</v>
      </c>
      <c r="B986">
        <v>105</v>
      </c>
      <c r="C986" t="s">
        <v>557</v>
      </c>
      <c r="D986" t="s">
        <v>2597</v>
      </c>
      <c r="E986" t="s">
        <v>3592</v>
      </c>
      <c r="F986" s="451">
        <v>46049</v>
      </c>
      <c r="G986" s="451">
        <v>46049</v>
      </c>
      <c r="H986" s="451">
        <v>46077</v>
      </c>
      <c r="I986">
        <v>3367.6</v>
      </c>
      <c r="J986">
        <v>3367.6</v>
      </c>
      <c r="K986">
        <v>3367.6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459</v>
      </c>
    </row>
    <row r="987" spans="1:17" x14ac:dyDescent="0.3">
      <c r="A987">
        <v>205237</v>
      </c>
      <c r="B987">
        <v>105</v>
      </c>
      <c r="C987" t="s">
        <v>557</v>
      </c>
      <c r="D987" t="s">
        <v>2597</v>
      </c>
      <c r="E987" t="s">
        <v>3593</v>
      </c>
      <c r="F987" s="451">
        <v>46049</v>
      </c>
      <c r="G987" s="451">
        <v>46049</v>
      </c>
      <c r="H987" s="451">
        <v>46078</v>
      </c>
      <c r="I987">
        <v>276.58</v>
      </c>
      <c r="J987">
        <v>276.58</v>
      </c>
      <c r="K987">
        <v>276.58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459</v>
      </c>
    </row>
    <row r="988" spans="1:17" x14ac:dyDescent="0.3">
      <c r="A988">
        <v>205236</v>
      </c>
      <c r="B988">
        <v>105</v>
      </c>
      <c r="C988" t="s">
        <v>557</v>
      </c>
      <c r="D988" t="s">
        <v>2550</v>
      </c>
      <c r="E988" t="s">
        <v>3594</v>
      </c>
      <c r="F988" s="451">
        <v>46048</v>
      </c>
      <c r="G988" s="451">
        <v>46048</v>
      </c>
      <c r="H988" s="451">
        <v>46078</v>
      </c>
      <c r="I988">
        <v>641.02</v>
      </c>
      <c r="J988">
        <v>601.9</v>
      </c>
      <c r="K988">
        <v>0</v>
      </c>
      <c r="L988">
        <v>641.02</v>
      </c>
      <c r="M988">
        <v>0</v>
      </c>
      <c r="N988">
        <v>0</v>
      </c>
      <c r="O988">
        <v>0</v>
      </c>
      <c r="P988">
        <v>0</v>
      </c>
      <c r="Q988" t="s">
        <v>459</v>
      </c>
    </row>
    <row r="989" spans="1:17" x14ac:dyDescent="0.3">
      <c r="A989">
        <v>205235</v>
      </c>
      <c r="B989">
        <v>105</v>
      </c>
      <c r="C989" t="s">
        <v>557</v>
      </c>
      <c r="D989" t="s">
        <v>2644</v>
      </c>
      <c r="E989" t="s">
        <v>3595</v>
      </c>
      <c r="F989" s="451">
        <v>46049</v>
      </c>
      <c r="H989" s="451">
        <v>46083</v>
      </c>
      <c r="I989">
        <v>170.9</v>
      </c>
      <c r="J989">
        <v>170.9</v>
      </c>
      <c r="K989">
        <v>0</v>
      </c>
      <c r="L989">
        <v>0</v>
      </c>
      <c r="M989">
        <v>170.9</v>
      </c>
      <c r="N989">
        <v>0</v>
      </c>
      <c r="O989">
        <v>0</v>
      </c>
      <c r="P989">
        <v>0</v>
      </c>
      <c r="Q989" t="s">
        <v>459</v>
      </c>
    </row>
    <row r="990" spans="1:17" x14ac:dyDescent="0.3">
      <c r="A990">
        <v>205234</v>
      </c>
      <c r="B990">
        <v>105</v>
      </c>
      <c r="C990" t="s">
        <v>557</v>
      </c>
      <c r="D990" t="s">
        <v>2607</v>
      </c>
      <c r="E990" t="s">
        <v>3596</v>
      </c>
      <c r="F990" s="451">
        <v>46041</v>
      </c>
      <c r="G990" s="451">
        <v>46041</v>
      </c>
      <c r="H990" s="451">
        <v>46069</v>
      </c>
      <c r="I990">
        <v>1484.09</v>
      </c>
      <c r="J990">
        <v>1484.09</v>
      </c>
      <c r="K990">
        <v>1484.09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459</v>
      </c>
    </row>
    <row r="991" spans="1:17" x14ac:dyDescent="0.3">
      <c r="A991">
        <v>205233</v>
      </c>
      <c r="B991">
        <v>105</v>
      </c>
      <c r="C991" t="s">
        <v>557</v>
      </c>
      <c r="D991" t="s">
        <v>2607</v>
      </c>
      <c r="E991" t="s">
        <v>3597</v>
      </c>
      <c r="F991" s="451">
        <v>46042</v>
      </c>
      <c r="G991" s="451">
        <v>46042</v>
      </c>
      <c r="H991" s="451">
        <v>46070</v>
      </c>
      <c r="I991">
        <v>4684.3100000000004</v>
      </c>
      <c r="J991">
        <v>4684.3100000000004</v>
      </c>
      <c r="K991">
        <v>4684.3100000000004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459</v>
      </c>
    </row>
    <row r="992" spans="1:17" x14ac:dyDescent="0.3">
      <c r="A992">
        <v>205232</v>
      </c>
      <c r="B992">
        <v>105</v>
      </c>
      <c r="C992" t="s">
        <v>557</v>
      </c>
      <c r="D992" t="s">
        <v>2607</v>
      </c>
      <c r="E992" t="s">
        <v>3598</v>
      </c>
      <c r="F992" s="451">
        <v>46048</v>
      </c>
      <c r="G992" s="451">
        <v>46048</v>
      </c>
      <c r="H992" s="451">
        <v>46076</v>
      </c>
      <c r="I992">
        <v>1105.77</v>
      </c>
      <c r="J992">
        <v>1105.77</v>
      </c>
      <c r="K992">
        <v>1105.77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459</v>
      </c>
    </row>
    <row r="993" spans="1:17" x14ac:dyDescent="0.3">
      <c r="A993">
        <v>205231</v>
      </c>
      <c r="B993">
        <v>105</v>
      </c>
      <c r="C993" t="s">
        <v>557</v>
      </c>
      <c r="D993" t="s">
        <v>2607</v>
      </c>
      <c r="E993" t="s">
        <v>3599</v>
      </c>
      <c r="F993" s="451">
        <v>46049</v>
      </c>
      <c r="G993" s="451">
        <v>46049</v>
      </c>
      <c r="H993" s="451">
        <v>46077</v>
      </c>
      <c r="I993">
        <v>3310.51</v>
      </c>
      <c r="J993">
        <v>3310.51</v>
      </c>
      <c r="K993">
        <v>3310.51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459</v>
      </c>
    </row>
    <row r="994" spans="1:17" x14ac:dyDescent="0.3">
      <c r="A994">
        <v>205230</v>
      </c>
      <c r="B994">
        <v>105</v>
      </c>
      <c r="C994" t="s">
        <v>557</v>
      </c>
      <c r="D994" t="s">
        <v>2637</v>
      </c>
      <c r="E994" t="s">
        <v>3600</v>
      </c>
      <c r="F994" s="451">
        <v>46047</v>
      </c>
      <c r="G994" s="451">
        <v>46047</v>
      </c>
      <c r="H994" s="451">
        <v>46070</v>
      </c>
      <c r="I994">
        <v>526.5</v>
      </c>
      <c r="J994">
        <v>526.5</v>
      </c>
      <c r="K994">
        <v>0</v>
      </c>
      <c r="L994">
        <v>526.5</v>
      </c>
      <c r="M994">
        <v>0</v>
      </c>
      <c r="N994">
        <v>0</v>
      </c>
      <c r="O994">
        <v>0</v>
      </c>
      <c r="P994">
        <v>0</v>
      </c>
      <c r="Q994" t="s">
        <v>459</v>
      </c>
    </row>
    <row r="995" spans="1:17" x14ac:dyDescent="0.3">
      <c r="A995">
        <v>205229</v>
      </c>
      <c r="B995">
        <v>105</v>
      </c>
      <c r="C995" t="s">
        <v>557</v>
      </c>
      <c r="D995" t="s">
        <v>2581</v>
      </c>
      <c r="E995" t="s">
        <v>3601</v>
      </c>
      <c r="F995" s="451">
        <v>46042</v>
      </c>
      <c r="G995" s="451">
        <v>46042</v>
      </c>
      <c r="H995" s="451">
        <v>46070</v>
      </c>
      <c r="I995">
        <v>645.65</v>
      </c>
      <c r="J995">
        <v>645.65</v>
      </c>
      <c r="K995">
        <v>645.65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459</v>
      </c>
    </row>
    <row r="996" spans="1:17" x14ac:dyDescent="0.3">
      <c r="A996">
        <v>205228</v>
      </c>
      <c r="B996">
        <v>105</v>
      </c>
      <c r="C996" t="s">
        <v>557</v>
      </c>
      <c r="D996" t="s">
        <v>2581</v>
      </c>
      <c r="E996" t="s">
        <v>3602</v>
      </c>
      <c r="F996" s="451">
        <v>46044</v>
      </c>
      <c r="G996" s="451">
        <v>46044</v>
      </c>
      <c r="H996" s="451">
        <v>46072</v>
      </c>
      <c r="I996">
        <v>1061.7</v>
      </c>
      <c r="J996">
        <v>1061.7</v>
      </c>
      <c r="K996">
        <v>1061.7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459</v>
      </c>
    </row>
    <row r="997" spans="1:17" x14ac:dyDescent="0.3">
      <c r="A997">
        <v>205227</v>
      </c>
      <c r="B997">
        <v>105</v>
      </c>
      <c r="C997" t="s">
        <v>557</v>
      </c>
      <c r="D997" t="s">
        <v>2581</v>
      </c>
      <c r="E997" t="s">
        <v>3603</v>
      </c>
      <c r="F997" s="451">
        <v>46045</v>
      </c>
      <c r="G997" s="451">
        <v>46045</v>
      </c>
      <c r="H997" s="451">
        <v>46073</v>
      </c>
      <c r="I997">
        <v>270</v>
      </c>
      <c r="J997">
        <v>270</v>
      </c>
      <c r="K997">
        <v>270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459</v>
      </c>
    </row>
    <row r="998" spans="1:17" x14ac:dyDescent="0.3">
      <c r="A998">
        <v>205226</v>
      </c>
      <c r="B998">
        <v>105</v>
      </c>
      <c r="C998" t="s">
        <v>557</v>
      </c>
      <c r="D998" t="s">
        <v>2581</v>
      </c>
      <c r="E998" t="s">
        <v>3604</v>
      </c>
      <c r="F998" s="451">
        <v>46045</v>
      </c>
      <c r="G998" s="451">
        <v>46045</v>
      </c>
      <c r="H998" s="451">
        <v>46073</v>
      </c>
      <c r="I998">
        <v>350.25</v>
      </c>
      <c r="J998">
        <v>349.29</v>
      </c>
      <c r="K998">
        <v>350.25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459</v>
      </c>
    </row>
    <row r="999" spans="1:17" x14ac:dyDescent="0.3">
      <c r="A999">
        <v>205225</v>
      </c>
      <c r="B999">
        <v>105</v>
      </c>
      <c r="C999" t="s">
        <v>557</v>
      </c>
      <c r="D999" t="s">
        <v>2581</v>
      </c>
      <c r="E999" t="s">
        <v>3605</v>
      </c>
      <c r="F999" s="451">
        <v>46048</v>
      </c>
      <c r="G999" s="451">
        <v>46048</v>
      </c>
      <c r="H999" s="451">
        <v>46076</v>
      </c>
      <c r="I999">
        <v>427.7</v>
      </c>
      <c r="J999">
        <v>423.55</v>
      </c>
      <c r="K999">
        <v>427.7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459</v>
      </c>
    </row>
    <row r="1000" spans="1:17" x14ac:dyDescent="0.3">
      <c r="A1000">
        <v>205224</v>
      </c>
      <c r="B1000">
        <v>105</v>
      </c>
      <c r="C1000" t="s">
        <v>557</v>
      </c>
      <c r="D1000" t="s">
        <v>2581</v>
      </c>
      <c r="E1000" t="s">
        <v>3606</v>
      </c>
      <c r="F1000" s="451">
        <v>46049</v>
      </c>
      <c r="G1000" s="451">
        <v>46049</v>
      </c>
      <c r="H1000" s="451">
        <v>46077</v>
      </c>
      <c r="I1000">
        <v>108.95</v>
      </c>
      <c r="J1000">
        <v>108.95</v>
      </c>
      <c r="K1000">
        <v>108.95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459</v>
      </c>
    </row>
    <row r="1001" spans="1:17" x14ac:dyDescent="0.3">
      <c r="A1001">
        <v>205223</v>
      </c>
      <c r="B1001">
        <v>105</v>
      </c>
      <c r="C1001" t="s">
        <v>557</v>
      </c>
      <c r="D1001" t="s">
        <v>2581</v>
      </c>
      <c r="E1001" t="s">
        <v>3607</v>
      </c>
      <c r="F1001" s="451">
        <v>46050</v>
      </c>
      <c r="G1001" s="451">
        <v>46050</v>
      </c>
      <c r="H1001" s="451">
        <v>46078</v>
      </c>
      <c r="I1001">
        <v>381.84</v>
      </c>
      <c r="J1001">
        <v>381.84</v>
      </c>
      <c r="K1001">
        <v>381.84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459</v>
      </c>
    </row>
    <row r="1002" spans="1:17" x14ac:dyDescent="0.3">
      <c r="A1002">
        <v>205222</v>
      </c>
      <c r="B1002">
        <v>105</v>
      </c>
      <c r="C1002" t="s">
        <v>557</v>
      </c>
      <c r="D1002" t="s">
        <v>2581</v>
      </c>
      <c r="E1002" t="s">
        <v>3608</v>
      </c>
      <c r="F1002" s="451">
        <v>46051</v>
      </c>
      <c r="G1002" s="451">
        <v>46051</v>
      </c>
      <c r="H1002" s="451">
        <v>46079</v>
      </c>
      <c r="I1002">
        <v>670.9</v>
      </c>
      <c r="J1002">
        <v>670.9</v>
      </c>
      <c r="K1002">
        <v>670.9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459</v>
      </c>
    </row>
    <row r="1003" spans="1:17" x14ac:dyDescent="0.3">
      <c r="A1003">
        <v>205221</v>
      </c>
      <c r="B1003">
        <v>105</v>
      </c>
      <c r="C1003" t="s">
        <v>557</v>
      </c>
      <c r="D1003" t="s">
        <v>2581</v>
      </c>
      <c r="E1003" t="s">
        <v>3609</v>
      </c>
      <c r="F1003" s="451">
        <v>46051</v>
      </c>
      <c r="G1003" s="451">
        <v>46051</v>
      </c>
      <c r="H1003" s="451">
        <v>46079</v>
      </c>
      <c r="I1003">
        <v>210</v>
      </c>
      <c r="J1003">
        <v>210</v>
      </c>
      <c r="K1003">
        <v>210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459</v>
      </c>
    </row>
    <row r="1004" spans="1:17" x14ac:dyDescent="0.3">
      <c r="A1004">
        <v>205220</v>
      </c>
      <c r="B1004">
        <v>105</v>
      </c>
      <c r="C1004" t="s">
        <v>557</v>
      </c>
      <c r="D1004" t="s">
        <v>2627</v>
      </c>
      <c r="E1004" t="s">
        <v>3610</v>
      </c>
      <c r="F1004" s="451">
        <v>46052</v>
      </c>
      <c r="G1004" s="451">
        <v>46052</v>
      </c>
      <c r="H1004" s="451">
        <v>46073</v>
      </c>
      <c r="I1004">
        <v>432.9</v>
      </c>
      <c r="J1004">
        <v>432.9</v>
      </c>
      <c r="K1004">
        <v>432.9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459</v>
      </c>
    </row>
    <row r="1005" spans="1:17" x14ac:dyDescent="0.3">
      <c r="A1005">
        <v>205219</v>
      </c>
      <c r="B1005">
        <v>105</v>
      </c>
      <c r="C1005" t="s">
        <v>557</v>
      </c>
      <c r="D1005" t="s">
        <v>3328</v>
      </c>
      <c r="E1005" t="s">
        <v>3611</v>
      </c>
      <c r="F1005" s="451">
        <v>46044</v>
      </c>
      <c r="G1005" s="451">
        <v>46044</v>
      </c>
      <c r="H1005" s="451">
        <v>46072</v>
      </c>
      <c r="I1005">
        <v>386.2</v>
      </c>
      <c r="J1005">
        <v>313.36</v>
      </c>
      <c r="K1005">
        <v>386.2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459</v>
      </c>
    </row>
    <row r="1006" spans="1:17" x14ac:dyDescent="0.3">
      <c r="A1006">
        <v>205218</v>
      </c>
      <c r="B1006">
        <v>105</v>
      </c>
      <c r="C1006" t="s">
        <v>557</v>
      </c>
      <c r="D1006" t="s">
        <v>3328</v>
      </c>
      <c r="E1006" t="s">
        <v>3612</v>
      </c>
      <c r="F1006" s="451">
        <v>46045</v>
      </c>
      <c r="G1006" s="451">
        <v>46045</v>
      </c>
      <c r="H1006" s="451">
        <v>46073</v>
      </c>
      <c r="I1006">
        <v>114.38</v>
      </c>
      <c r="J1006">
        <v>110.01</v>
      </c>
      <c r="K1006">
        <v>114.38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459</v>
      </c>
    </row>
    <row r="1007" spans="1:17" x14ac:dyDescent="0.3">
      <c r="A1007">
        <v>205217</v>
      </c>
      <c r="B1007">
        <v>105</v>
      </c>
      <c r="C1007" t="s">
        <v>557</v>
      </c>
      <c r="D1007" t="s">
        <v>3328</v>
      </c>
      <c r="E1007" t="s">
        <v>3613</v>
      </c>
      <c r="F1007" s="451">
        <v>46050</v>
      </c>
      <c r="G1007" s="451">
        <v>46050</v>
      </c>
      <c r="H1007" s="451">
        <v>46077</v>
      </c>
      <c r="I1007">
        <v>167.82</v>
      </c>
      <c r="J1007">
        <v>79.67</v>
      </c>
      <c r="K1007">
        <v>167.82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459</v>
      </c>
    </row>
    <row r="1008" spans="1:17" x14ac:dyDescent="0.3">
      <c r="A1008">
        <v>205146</v>
      </c>
      <c r="B1008">
        <v>105</v>
      </c>
      <c r="C1008" t="s">
        <v>557</v>
      </c>
      <c r="D1008" t="s">
        <v>2605</v>
      </c>
      <c r="E1008" t="s">
        <v>3614</v>
      </c>
      <c r="F1008" s="451">
        <v>46051</v>
      </c>
      <c r="G1008" s="451">
        <v>46051</v>
      </c>
      <c r="H1008" s="451">
        <v>46080</v>
      </c>
      <c r="I1008">
        <v>1101.28</v>
      </c>
      <c r="J1008">
        <v>1095.1500000000001</v>
      </c>
      <c r="K1008">
        <v>1101.28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459</v>
      </c>
    </row>
    <row r="1009" spans="1:17" x14ac:dyDescent="0.3">
      <c r="A1009">
        <v>205145</v>
      </c>
      <c r="B1009">
        <v>105</v>
      </c>
      <c r="C1009" t="s">
        <v>557</v>
      </c>
      <c r="D1009" t="s">
        <v>2605</v>
      </c>
      <c r="E1009" t="s">
        <v>3615</v>
      </c>
      <c r="F1009" s="451">
        <v>46048</v>
      </c>
      <c r="G1009" s="451">
        <v>46048</v>
      </c>
      <c r="H1009" s="451">
        <v>46077</v>
      </c>
      <c r="I1009">
        <v>137.54</v>
      </c>
      <c r="J1009">
        <v>137.54</v>
      </c>
      <c r="K1009">
        <v>137.54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459</v>
      </c>
    </row>
    <row r="1010" spans="1:17" x14ac:dyDescent="0.3">
      <c r="A1010">
        <v>205143</v>
      </c>
      <c r="B1010">
        <v>105</v>
      </c>
      <c r="C1010" t="s">
        <v>557</v>
      </c>
      <c r="D1010" t="s">
        <v>2644</v>
      </c>
      <c r="E1010" t="s">
        <v>3616</v>
      </c>
      <c r="F1010" s="451">
        <v>46049</v>
      </c>
      <c r="G1010" s="451">
        <v>46049</v>
      </c>
      <c r="H1010" s="451">
        <v>46083</v>
      </c>
      <c r="I1010">
        <v>213.6</v>
      </c>
      <c r="J1010">
        <v>213.6</v>
      </c>
      <c r="K1010">
        <v>213.6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459</v>
      </c>
    </row>
    <row r="1011" spans="1:17" x14ac:dyDescent="0.3">
      <c r="A1011">
        <v>205139</v>
      </c>
      <c r="B1011">
        <v>105</v>
      </c>
      <c r="C1011" t="s">
        <v>557</v>
      </c>
      <c r="D1011" t="s">
        <v>2571</v>
      </c>
      <c r="E1011" t="s">
        <v>3617</v>
      </c>
      <c r="F1011" s="451">
        <v>46042</v>
      </c>
      <c r="G1011" s="451">
        <v>46042</v>
      </c>
      <c r="H1011" s="451">
        <v>46070</v>
      </c>
      <c r="I1011">
        <v>917.07</v>
      </c>
      <c r="J1011">
        <v>915.07</v>
      </c>
      <c r="K1011">
        <v>917.07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459</v>
      </c>
    </row>
    <row r="1012" spans="1:17" x14ac:dyDescent="0.3">
      <c r="A1012">
        <v>205129</v>
      </c>
      <c r="B1012">
        <v>105</v>
      </c>
      <c r="C1012" t="s">
        <v>557</v>
      </c>
      <c r="D1012" t="s">
        <v>2571</v>
      </c>
      <c r="E1012" t="s">
        <v>3618</v>
      </c>
      <c r="F1012" s="451">
        <v>46045</v>
      </c>
      <c r="G1012" s="451">
        <v>46045</v>
      </c>
      <c r="H1012" s="451">
        <v>46073</v>
      </c>
      <c r="I1012">
        <v>2292.59</v>
      </c>
      <c r="J1012">
        <v>2093.2199999999998</v>
      </c>
      <c r="K1012">
        <v>2292.59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459</v>
      </c>
    </row>
    <row r="1013" spans="1:17" x14ac:dyDescent="0.3">
      <c r="A1013">
        <v>205115</v>
      </c>
      <c r="B1013">
        <v>105</v>
      </c>
      <c r="C1013" t="s">
        <v>557</v>
      </c>
      <c r="D1013" t="s">
        <v>2571</v>
      </c>
      <c r="E1013" t="s">
        <v>3619</v>
      </c>
      <c r="F1013" s="451">
        <v>46049</v>
      </c>
      <c r="G1013" s="451">
        <v>46049</v>
      </c>
      <c r="H1013" s="451">
        <v>46070</v>
      </c>
      <c r="I1013">
        <v>59.86</v>
      </c>
      <c r="J1013">
        <v>50.96</v>
      </c>
      <c r="K1013">
        <v>0</v>
      </c>
      <c r="L1013">
        <v>59.86</v>
      </c>
      <c r="M1013">
        <v>0</v>
      </c>
      <c r="N1013">
        <v>0</v>
      </c>
      <c r="O1013">
        <v>0</v>
      </c>
      <c r="P1013">
        <v>0</v>
      </c>
      <c r="Q1013" t="s">
        <v>459</v>
      </c>
    </row>
    <row r="1014" spans="1:17" x14ac:dyDescent="0.3">
      <c r="A1014">
        <v>205114</v>
      </c>
      <c r="B1014">
        <v>105</v>
      </c>
      <c r="C1014" t="s">
        <v>557</v>
      </c>
      <c r="D1014" t="s">
        <v>2571</v>
      </c>
      <c r="E1014" t="s">
        <v>3620</v>
      </c>
      <c r="F1014" s="451">
        <v>46052</v>
      </c>
      <c r="G1014" s="451">
        <v>46052</v>
      </c>
      <c r="H1014" s="451">
        <v>46080</v>
      </c>
      <c r="I1014">
        <v>261.91000000000003</v>
      </c>
      <c r="J1014">
        <v>253.01</v>
      </c>
      <c r="K1014">
        <v>261.91000000000003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459</v>
      </c>
    </row>
    <row r="1015" spans="1:17" x14ac:dyDescent="0.3">
      <c r="A1015">
        <v>205113</v>
      </c>
      <c r="B1015">
        <v>105</v>
      </c>
      <c r="C1015" t="s">
        <v>557</v>
      </c>
      <c r="D1015" t="s">
        <v>2569</v>
      </c>
      <c r="E1015" t="s">
        <v>3621</v>
      </c>
      <c r="F1015" s="451">
        <v>46041</v>
      </c>
      <c r="G1015" s="451">
        <v>46041</v>
      </c>
      <c r="H1015" s="451">
        <v>46077</v>
      </c>
      <c r="I1015">
        <v>291.2</v>
      </c>
      <c r="J1015">
        <v>291.2</v>
      </c>
      <c r="K1015">
        <v>0</v>
      </c>
      <c r="L1015">
        <v>291.2</v>
      </c>
      <c r="M1015">
        <v>0</v>
      </c>
      <c r="N1015">
        <v>0</v>
      </c>
      <c r="O1015">
        <v>0</v>
      </c>
      <c r="P1015">
        <v>0</v>
      </c>
      <c r="Q1015" t="s">
        <v>459</v>
      </c>
    </row>
    <row r="1016" spans="1:17" x14ac:dyDescent="0.3">
      <c r="A1016">
        <v>205112</v>
      </c>
      <c r="B1016">
        <v>105</v>
      </c>
      <c r="C1016" t="s">
        <v>557</v>
      </c>
      <c r="D1016" t="s">
        <v>2569</v>
      </c>
      <c r="E1016" t="s">
        <v>3622</v>
      </c>
      <c r="F1016" s="451">
        <v>46048</v>
      </c>
      <c r="G1016" s="451">
        <v>46048</v>
      </c>
      <c r="H1016" s="451">
        <v>46084</v>
      </c>
      <c r="I1016">
        <v>310.89999999999998</v>
      </c>
      <c r="J1016">
        <v>310.89999999999998</v>
      </c>
      <c r="K1016">
        <v>0</v>
      </c>
      <c r="L1016">
        <v>310.89999999999998</v>
      </c>
      <c r="M1016">
        <v>0</v>
      </c>
      <c r="N1016">
        <v>0</v>
      </c>
      <c r="O1016">
        <v>0</v>
      </c>
      <c r="P1016">
        <v>0</v>
      </c>
      <c r="Q1016" t="s">
        <v>459</v>
      </c>
    </row>
    <row r="1017" spans="1:17" x14ac:dyDescent="0.3">
      <c r="A1017">
        <v>205111</v>
      </c>
      <c r="B1017">
        <v>105</v>
      </c>
      <c r="C1017" t="s">
        <v>557</v>
      </c>
      <c r="D1017" t="s">
        <v>2563</v>
      </c>
      <c r="E1017" t="s">
        <v>3623</v>
      </c>
      <c r="F1017" s="451">
        <v>46044</v>
      </c>
      <c r="G1017" s="451">
        <v>46044</v>
      </c>
      <c r="H1017" s="451">
        <v>46072</v>
      </c>
      <c r="I1017">
        <v>117.41</v>
      </c>
      <c r="J1017">
        <v>117.41</v>
      </c>
      <c r="K1017">
        <v>117.41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459</v>
      </c>
    </row>
    <row r="1018" spans="1:17" x14ac:dyDescent="0.3">
      <c r="A1018">
        <v>205110</v>
      </c>
      <c r="B1018">
        <v>105</v>
      </c>
      <c r="C1018" t="s">
        <v>557</v>
      </c>
      <c r="D1018" t="s">
        <v>2563</v>
      </c>
      <c r="E1018" t="s">
        <v>3624</v>
      </c>
      <c r="F1018" s="451">
        <v>46050</v>
      </c>
      <c r="G1018" s="451">
        <v>46050</v>
      </c>
      <c r="H1018" s="451">
        <v>46077</v>
      </c>
      <c r="I1018">
        <v>63.5</v>
      </c>
      <c r="J1018">
        <v>63.49</v>
      </c>
      <c r="K1018">
        <v>63.5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459</v>
      </c>
    </row>
    <row r="1019" spans="1:17" x14ac:dyDescent="0.3">
      <c r="A1019">
        <v>205109</v>
      </c>
      <c r="B1019">
        <v>105</v>
      </c>
      <c r="C1019" t="s">
        <v>557</v>
      </c>
      <c r="D1019" t="s">
        <v>2605</v>
      </c>
      <c r="E1019" t="s">
        <v>3625</v>
      </c>
      <c r="F1019" s="451">
        <v>46041</v>
      </c>
      <c r="G1019" s="451">
        <v>46041</v>
      </c>
      <c r="H1019" s="451">
        <v>46070</v>
      </c>
      <c r="I1019">
        <v>1491.95</v>
      </c>
      <c r="J1019">
        <v>1093.03</v>
      </c>
      <c r="K1019">
        <v>1491.95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459</v>
      </c>
    </row>
    <row r="1020" spans="1:17" x14ac:dyDescent="0.3">
      <c r="A1020">
        <v>205107</v>
      </c>
      <c r="B1020">
        <v>105</v>
      </c>
      <c r="C1020" t="s">
        <v>557</v>
      </c>
      <c r="D1020" t="s">
        <v>2605</v>
      </c>
      <c r="E1020" t="s">
        <v>3626</v>
      </c>
      <c r="F1020" s="451">
        <v>46045</v>
      </c>
      <c r="G1020" s="451">
        <v>46045</v>
      </c>
      <c r="H1020" s="451">
        <v>46073</v>
      </c>
      <c r="I1020">
        <v>645.42999999999995</v>
      </c>
      <c r="J1020">
        <v>645.42999999999995</v>
      </c>
      <c r="K1020">
        <v>645.42999999999995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459</v>
      </c>
    </row>
    <row r="1021" spans="1:17" x14ac:dyDescent="0.3">
      <c r="A1021">
        <v>205103</v>
      </c>
      <c r="B1021">
        <v>105</v>
      </c>
      <c r="C1021" t="s">
        <v>557</v>
      </c>
      <c r="D1021" t="s">
        <v>2605</v>
      </c>
      <c r="E1021" t="s">
        <v>3627</v>
      </c>
      <c r="F1021" s="451">
        <v>46049</v>
      </c>
      <c r="G1021" s="451">
        <v>46049</v>
      </c>
      <c r="H1021" s="451">
        <v>46077</v>
      </c>
      <c r="I1021">
        <v>528.29999999999995</v>
      </c>
      <c r="J1021">
        <v>528.29999999999995</v>
      </c>
      <c r="K1021">
        <v>0</v>
      </c>
      <c r="L1021">
        <v>528.29999999999995</v>
      </c>
      <c r="M1021">
        <v>0</v>
      </c>
      <c r="N1021">
        <v>0</v>
      </c>
      <c r="O1021">
        <v>0</v>
      </c>
      <c r="P1021">
        <v>0</v>
      </c>
      <c r="Q1021" t="s">
        <v>459</v>
      </c>
    </row>
    <row r="1022" spans="1:17" x14ac:dyDescent="0.3">
      <c r="A1022">
        <v>205102</v>
      </c>
      <c r="B1022">
        <v>105</v>
      </c>
      <c r="C1022" t="s">
        <v>557</v>
      </c>
      <c r="D1022" t="s">
        <v>2690</v>
      </c>
      <c r="E1022" t="s">
        <v>3628</v>
      </c>
      <c r="F1022" s="451">
        <v>46050</v>
      </c>
      <c r="G1022" s="451">
        <v>46050</v>
      </c>
      <c r="H1022" s="451">
        <v>46071</v>
      </c>
      <c r="I1022">
        <v>264.02999999999997</v>
      </c>
      <c r="J1022">
        <v>264.02999999999997</v>
      </c>
      <c r="K1022">
        <v>0</v>
      </c>
      <c r="L1022">
        <v>264.02999999999997</v>
      </c>
      <c r="M1022">
        <v>0</v>
      </c>
      <c r="N1022">
        <v>0</v>
      </c>
      <c r="O1022">
        <v>0</v>
      </c>
      <c r="P1022">
        <v>0</v>
      </c>
      <c r="Q1022" t="s">
        <v>459</v>
      </c>
    </row>
    <row r="1023" spans="1:17" x14ac:dyDescent="0.3">
      <c r="A1023">
        <v>205071</v>
      </c>
      <c r="B1023">
        <v>105</v>
      </c>
      <c r="C1023" t="s">
        <v>557</v>
      </c>
      <c r="D1023" t="s">
        <v>1786</v>
      </c>
      <c r="E1023" t="s">
        <v>1787</v>
      </c>
      <c r="F1023" s="451">
        <v>46041</v>
      </c>
      <c r="G1023" s="451">
        <v>46041</v>
      </c>
      <c r="H1023" s="451">
        <v>46097</v>
      </c>
      <c r="I1023">
        <v>584.75</v>
      </c>
      <c r="J1023">
        <v>584.75</v>
      </c>
      <c r="K1023">
        <v>584.75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459</v>
      </c>
    </row>
    <row r="1024" spans="1:17" x14ac:dyDescent="0.3">
      <c r="A1024">
        <v>205061</v>
      </c>
      <c r="B1024">
        <v>105</v>
      </c>
      <c r="C1024" t="s">
        <v>557</v>
      </c>
      <c r="D1024" t="s">
        <v>2605</v>
      </c>
      <c r="E1024" t="s">
        <v>3629</v>
      </c>
      <c r="F1024" s="451">
        <v>46024</v>
      </c>
      <c r="G1024" s="451">
        <v>46024</v>
      </c>
      <c r="H1024" s="451">
        <v>46062</v>
      </c>
      <c r="I1024">
        <v>332</v>
      </c>
      <c r="J1024">
        <v>332</v>
      </c>
      <c r="K1024">
        <v>332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459</v>
      </c>
    </row>
    <row r="1025" spans="1:17" x14ac:dyDescent="0.3">
      <c r="A1025">
        <v>203392</v>
      </c>
      <c r="B1025">
        <v>105</v>
      </c>
      <c r="C1025" t="s">
        <v>557</v>
      </c>
      <c r="D1025" t="s">
        <v>2590</v>
      </c>
      <c r="E1025" t="s">
        <v>3630</v>
      </c>
      <c r="F1025" s="451">
        <v>46041</v>
      </c>
      <c r="G1025" s="451">
        <v>46041</v>
      </c>
      <c r="H1025" s="451">
        <v>46072</v>
      </c>
      <c r="I1025">
        <v>631.57000000000005</v>
      </c>
      <c r="J1025">
        <v>461.42</v>
      </c>
      <c r="K1025">
        <v>0</v>
      </c>
      <c r="L1025">
        <v>631.57000000000005</v>
      </c>
      <c r="M1025">
        <v>0</v>
      </c>
      <c r="N1025">
        <v>0</v>
      </c>
      <c r="O1025">
        <v>0</v>
      </c>
      <c r="P1025">
        <v>0</v>
      </c>
      <c r="Q1025" t="s">
        <v>459</v>
      </c>
    </row>
    <row r="1026" spans="1:17" x14ac:dyDescent="0.3">
      <c r="A1026">
        <v>203121</v>
      </c>
      <c r="B1026">
        <v>105</v>
      </c>
      <c r="C1026" t="s">
        <v>557</v>
      </c>
      <c r="D1026" t="s">
        <v>2615</v>
      </c>
      <c r="E1026" t="s">
        <v>3631</v>
      </c>
      <c r="F1026" s="451">
        <v>46048</v>
      </c>
      <c r="G1026" s="451">
        <v>46048</v>
      </c>
      <c r="H1026" s="451">
        <v>46063</v>
      </c>
      <c r="I1026">
        <v>123.9</v>
      </c>
      <c r="J1026">
        <v>110.7</v>
      </c>
      <c r="K1026">
        <v>123.9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459</v>
      </c>
    </row>
    <row r="1027" spans="1:17" x14ac:dyDescent="0.3">
      <c r="A1027">
        <v>203119</v>
      </c>
      <c r="B1027">
        <v>105</v>
      </c>
      <c r="C1027" t="s">
        <v>557</v>
      </c>
      <c r="D1027" t="s">
        <v>2590</v>
      </c>
      <c r="E1027" t="s">
        <v>3632</v>
      </c>
      <c r="F1027" s="451">
        <v>46046</v>
      </c>
      <c r="G1027" s="451">
        <v>46046</v>
      </c>
      <c r="H1027" s="451">
        <v>46078</v>
      </c>
      <c r="I1027">
        <v>1604.4</v>
      </c>
      <c r="J1027">
        <v>4676.3999999999996</v>
      </c>
      <c r="K1027">
        <v>0</v>
      </c>
      <c r="L1027">
        <v>1604.4</v>
      </c>
      <c r="M1027">
        <v>0</v>
      </c>
      <c r="N1027">
        <v>0</v>
      </c>
      <c r="O1027">
        <v>0</v>
      </c>
      <c r="P1027">
        <v>0</v>
      </c>
      <c r="Q1027" t="s">
        <v>459</v>
      </c>
    </row>
    <row r="1028" spans="1:17" x14ac:dyDescent="0.3">
      <c r="A1028">
        <v>203118</v>
      </c>
      <c r="B1028">
        <v>105</v>
      </c>
      <c r="C1028" t="s">
        <v>557</v>
      </c>
      <c r="D1028" t="s">
        <v>2705</v>
      </c>
      <c r="E1028" t="s">
        <v>3633</v>
      </c>
      <c r="F1028" s="451">
        <v>46049</v>
      </c>
      <c r="H1028" s="451">
        <v>46063</v>
      </c>
      <c r="I1028">
        <v>519</v>
      </c>
      <c r="J1028">
        <v>519</v>
      </c>
      <c r="K1028">
        <v>0</v>
      </c>
      <c r="L1028">
        <v>0</v>
      </c>
      <c r="M1028">
        <v>0</v>
      </c>
      <c r="N1028">
        <v>519</v>
      </c>
      <c r="O1028">
        <v>0</v>
      </c>
      <c r="P1028">
        <v>0</v>
      </c>
      <c r="Q1028" t="s">
        <v>459</v>
      </c>
    </row>
    <row r="1029" spans="1:17" x14ac:dyDescent="0.3">
      <c r="A1029">
        <v>203116</v>
      </c>
      <c r="B1029">
        <v>105</v>
      </c>
      <c r="C1029" t="s">
        <v>557</v>
      </c>
      <c r="D1029" t="s">
        <v>2779</v>
      </c>
      <c r="E1029" t="s">
        <v>3634</v>
      </c>
      <c r="F1029" s="451">
        <v>46050</v>
      </c>
      <c r="G1029" s="451">
        <v>46050</v>
      </c>
      <c r="H1029" s="451">
        <v>46065</v>
      </c>
      <c r="I1029">
        <v>1750.8</v>
      </c>
      <c r="J1029">
        <v>1750.8</v>
      </c>
      <c r="K1029">
        <v>1750.8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459</v>
      </c>
    </row>
    <row r="1030" spans="1:17" x14ac:dyDescent="0.3">
      <c r="A1030">
        <v>203114</v>
      </c>
      <c r="B1030">
        <v>105</v>
      </c>
      <c r="C1030" t="s">
        <v>557</v>
      </c>
      <c r="D1030" t="s">
        <v>2627</v>
      </c>
      <c r="E1030" t="s">
        <v>3635</v>
      </c>
      <c r="F1030" s="451">
        <v>46042</v>
      </c>
      <c r="G1030" s="451">
        <v>46042</v>
      </c>
      <c r="H1030" s="451">
        <v>46063</v>
      </c>
      <c r="I1030">
        <v>349.4</v>
      </c>
      <c r="J1030">
        <v>349.4</v>
      </c>
      <c r="K1030">
        <v>332.5</v>
      </c>
      <c r="L1030">
        <v>16.899999999999999</v>
      </c>
      <c r="M1030">
        <v>0</v>
      </c>
      <c r="N1030">
        <v>0</v>
      </c>
      <c r="O1030">
        <v>0</v>
      </c>
      <c r="P1030">
        <v>0</v>
      </c>
      <c r="Q1030" t="s">
        <v>459</v>
      </c>
    </row>
    <row r="1031" spans="1:17" x14ac:dyDescent="0.3">
      <c r="A1031">
        <v>203112</v>
      </c>
      <c r="B1031">
        <v>105</v>
      </c>
      <c r="C1031" t="s">
        <v>557</v>
      </c>
      <c r="D1031" t="s">
        <v>3636</v>
      </c>
      <c r="E1031" t="s">
        <v>3637</v>
      </c>
      <c r="F1031" s="451">
        <v>46048</v>
      </c>
      <c r="H1031" s="451">
        <v>46063</v>
      </c>
      <c r="I1031">
        <v>991.2</v>
      </c>
      <c r="J1031">
        <v>960</v>
      </c>
      <c r="K1031">
        <v>0</v>
      </c>
      <c r="L1031">
        <v>0</v>
      </c>
      <c r="M1031">
        <v>991.2</v>
      </c>
      <c r="N1031">
        <v>0</v>
      </c>
      <c r="O1031">
        <v>0</v>
      </c>
      <c r="P1031">
        <v>0</v>
      </c>
      <c r="Q1031" t="s">
        <v>459</v>
      </c>
    </row>
    <row r="1032" spans="1:17" x14ac:dyDescent="0.3">
      <c r="A1032">
        <v>203105</v>
      </c>
      <c r="B1032">
        <v>105</v>
      </c>
      <c r="C1032" t="s">
        <v>557</v>
      </c>
      <c r="D1032" t="s">
        <v>2716</v>
      </c>
      <c r="E1032" t="s">
        <v>3638</v>
      </c>
      <c r="F1032" s="451">
        <v>46042</v>
      </c>
      <c r="G1032" s="451">
        <v>46042</v>
      </c>
      <c r="H1032" s="451">
        <v>46064</v>
      </c>
      <c r="I1032">
        <v>275</v>
      </c>
      <c r="J1032">
        <v>240</v>
      </c>
      <c r="K1032">
        <v>275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459</v>
      </c>
    </row>
    <row r="1033" spans="1:17" x14ac:dyDescent="0.3">
      <c r="A1033">
        <v>203096</v>
      </c>
      <c r="B1033">
        <v>105</v>
      </c>
      <c r="C1033" t="s">
        <v>557</v>
      </c>
      <c r="D1033" t="s">
        <v>2565</v>
      </c>
      <c r="E1033" t="s">
        <v>3639</v>
      </c>
      <c r="F1033" s="451">
        <v>46045</v>
      </c>
      <c r="G1033" s="451">
        <v>46045</v>
      </c>
      <c r="H1033" s="451">
        <v>46066</v>
      </c>
      <c r="I1033">
        <v>959.39</v>
      </c>
      <c r="J1033">
        <v>959.39</v>
      </c>
      <c r="K1033">
        <v>0</v>
      </c>
      <c r="L1033">
        <v>959.39</v>
      </c>
      <c r="M1033">
        <v>0</v>
      </c>
      <c r="N1033">
        <v>0</v>
      </c>
      <c r="O1033">
        <v>0</v>
      </c>
      <c r="P1033">
        <v>0</v>
      </c>
      <c r="Q1033" t="s">
        <v>459</v>
      </c>
    </row>
    <row r="1034" spans="1:17" x14ac:dyDescent="0.3">
      <c r="A1034">
        <v>203086</v>
      </c>
      <c r="B1034">
        <v>105</v>
      </c>
      <c r="C1034" t="s">
        <v>557</v>
      </c>
      <c r="D1034" t="s">
        <v>2552</v>
      </c>
      <c r="E1034" t="s">
        <v>3640</v>
      </c>
      <c r="F1034" s="451">
        <v>46049</v>
      </c>
      <c r="G1034" s="451">
        <v>46049</v>
      </c>
      <c r="H1034" s="451">
        <v>46063</v>
      </c>
      <c r="I1034">
        <v>104</v>
      </c>
      <c r="J1034">
        <v>79</v>
      </c>
      <c r="K1034">
        <v>104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459</v>
      </c>
    </row>
    <row r="1035" spans="1:17" x14ac:dyDescent="0.3">
      <c r="A1035">
        <v>203081</v>
      </c>
      <c r="B1035">
        <v>105</v>
      </c>
      <c r="C1035" t="s">
        <v>557</v>
      </c>
      <c r="D1035" t="s">
        <v>2600</v>
      </c>
      <c r="E1035" t="s">
        <v>3641</v>
      </c>
      <c r="F1035" s="451">
        <v>46042</v>
      </c>
      <c r="G1035" s="451">
        <v>46042</v>
      </c>
      <c r="H1035" s="451">
        <v>46068</v>
      </c>
      <c r="I1035">
        <v>269.36</v>
      </c>
      <c r="J1035">
        <v>269.37</v>
      </c>
      <c r="K1035">
        <v>269.36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459</v>
      </c>
    </row>
    <row r="1036" spans="1:17" x14ac:dyDescent="0.3">
      <c r="A1036">
        <v>203075</v>
      </c>
      <c r="B1036">
        <v>105</v>
      </c>
      <c r="C1036" t="s">
        <v>557</v>
      </c>
      <c r="D1036" t="s">
        <v>2593</v>
      </c>
      <c r="E1036" t="s">
        <v>3642</v>
      </c>
      <c r="F1036" s="451">
        <v>46041</v>
      </c>
      <c r="G1036" s="451">
        <v>46041</v>
      </c>
      <c r="H1036" s="451">
        <v>46069</v>
      </c>
      <c r="I1036">
        <v>1192</v>
      </c>
      <c r="J1036">
        <v>760</v>
      </c>
      <c r="K1036">
        <v>1192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459</v>
      </c>
    </row>
    <row r="1037" spans="1:17" x14ac:dyDescent="0.3">
      <c r="A1037">
        <v>203071</v>
      </c>
      <c r="B1037">
        <v>105</v>
      </c>
      <c r="C1037" t="s">
        <v>557</v>
      </c>
      <c r="D1037" t="s">
        <v>2554</v>
      </c>
      <c r="E1037" t="s">
        <v>3643</v>
      </c>
      <c r="F1037" s="451">
        <v>46051</v>
      </c>
      <c r="H1037" s="451">
        <v>46065</v>
      </c>
      <c r="I1037">
        <v>1510.75</v>
      </c>
      <c r="J1037">
        <v>1510.75</v>
      </c>
      <c r="K1037">
        <v>0</v>
      </c>
      <c r="L1037">
        <v>0</v>
      </c>
      <c r="M1037">
        <v>874.85</v>
      </c>
      <c r="N1037">
        <v>0</v>
      </c>
      <c r="O1037">
        <v>52</v>
      </c>
      <c r="P1037">
        <v>583.9</v>
      </c>
      <c r="Q1037" t="s">
        <v>459</v>
      </c>
    </row>
    <row r="1038" spans="1:17" x14ac:dyDescent="0.3">
      <c r="A1038">
        <v>203069</v>
      </c>
      <c r="B1038">
        <v>105</v>
      </c>
      <c r="C1038" t="s">
        <v>557</v>
      </c>
      <c r="D1038" t="s">
        <v>2653</v>
      </c>
      <c r="E1038" t="s">
        <v>3644</v>
      </c>
      <c r="F1038" s="451">
        <v>46051</v>
      </c>
      <c r="G1038" s="451">
        <v>46051</v>
      </c>
      <c r="H1038" s="451">
        <v>46065</v>
      </c>
      <c r="I1038">
        <v>210.95</v>
      </c>
      <c r="J1038">
        <v>164.5</v>
      </c>
      <c r="K1038">
        <v>210.95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459</v>
      </c>
    </row>
    <row r="1039" spans="1:17" x14ac:dyDescent="0.3">
      <c r="A1039">
        <v>203067</v>
      </c>
      <c r="B1039">
        <v>105</v>
      </c>
      <c r="C1039" t="s">
        <v>557</v>
      </c>
      <c r="D1039" t="s">
        <v>2884</v>
      </c>
      <c r="E1039" t="s">
        <v>3645</v>
      </c>
      <c r="F1039" s="451">
        <v>46051</v>
      </c>
      <c r="G1039" s="451">
        <v>46051</v>
      </c>
      <c r="H1039" s="451">
        <v>46065</v>
      </c>
      <c r="I1039">
        <v>174</v>
      </c>
      <c r="J1039">
        <v>174</v>
      </c>
      <c r="K1039">
        <v>0</v>
      </c>
      <c r="L1039">
        <v>174</v>
      </c>
      <c r="M1039">
        <v>0</v>
      </c>
      <c r="N1039">
        <v>0</v>
      </c>
      <c r="O1039">
        <v>0</v>
      </c>
      <c r="P1039">
        <v>0</v>
      </c>
      <c r="Q1039" t="s">
        <v>459</v>
      </c>
    </row>
    <row r="1040" spans="1:17" x14ac:dyDescent="0.3">
      <c r="A1040">
        <v>203065</v>
      </c>
      <c r="B1040">
        <v>105</v>
      </c>
      <c r="C1040" t="s">
        <v>557</v>
      </c>
      <c r="D1040" t="s">
        <v>3646</v>
      </c>
      <c r="E1040" t="s">
        <v>3647</v>
      </c>
      <c r="F1040" s="451">
        <v>46055</v>
      </c>
      <c r="G1040" s="451">
        <v>46055</v>
      </c>
      <c r="H1040" s="451">
        <v>46062</v>
      </c>
      <c r="I1040">
        <v>1237.42</v>
      </c>
      <c r="J1040">
        <v>1237.42</v>
      </c>
      <c r="K1040">
        <v>1237.42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460</v>
      </c>
    </row>
    <row r="1041" spans="1:17" x14ac:dyDescent="0.3">
      <c r="A1041">
        <v>197989</v>
      </c>
      <c r="B1041">
        <v>105</v>
      </c>
      <c r="C1041" t="s">
        <v>557</v>
      </c>
      <c r="D1041" t="s">
        <v>3044</v>
      </c>
      <c r="E1041" t="s">
        <v>3648</v>
      </c>
      <c r="F1041" s="451">
        <v>46044</v>
      </c>
      <c r="G1041" s="451">
        <v>46044</v>
      </c>
      <c r="H1041" s="451">
        <v>46058</v>
      </c>
      <c r="I1041">
        <v>643.74</v>
      </c>
      <c r="J1041">
        <v>643.74</v>
      </c>
      <c r="K1041">
        <v>643.74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459</v>
      </c>
    </row>
    <row r="1042" spans="1:17" x14ac:dyDescent="0.3">
      <c r="A1042">
        <v>197988</v>
      </c>
      <c r="B1042">
        <v>105</v>
      </c>
      <c r="C1042" t="s">
        <v>557</v>
      </c>
      <c r="D1042" t="s">
        <v>3646</v>
      </c>
      <c r="E1042" t="s">
        <v>3649</v>
      </c>
      <c r="F1042" s="451">
        <v>46048</v>
      </c>
      <c r="G1042" s="451">
        <v>46048</v>
      </c>
      <c r="H1042" s="451">
        <v>46055</v>
      </c>
      <c r="I1042">
        <v>3218.2</v>
      </c>
      <c r="J1042">
        <v>3218.2</v>
      </c>
      <c r="K1042">
        <v>3218.2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459</v>
      </c>
    </row>
    <row r="1043" spans="1:17" x14ac:dyDescent="0.3">
      <c r="A1043">
        <v>197011</v>
      </c>
      <c r="B1043">
        <v>105</v>
      </c>
      <c r="C1043" t="s">
        <v>557</v>
      </c>
      <c r="D1043" t="s">
        <v>2732</v>
      </c>
      <c r="E1043" t="s">
        <v>3650</v>
      </c>
      <c r="F1043" s="451">
        <v>46041</v>
      </c>
      <c r="G1043" s="451">
        <v>46041</v>
      </c>
      <c r="H1043" s="451">
        <v>46055</v>
      </c>
      <c r="I1043">
        <v>897.65</v>
      </c>
      <c r="J1043">
        <v>897.65</v>
      </c>
      <c r="K1043">
        <v>897.65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459</v>
      </c>
    </row>
    <row r="1044" spans="1:17" x14ac:dyDescent="0.3">
      <c r="A1044">
        <v>197010</v>
      </c>
      <c r="B1044">
        <v>105</v>
      </c>
      <c r="C1044" t="s">
        <v>557</v>
      </c>
      <c r="D1044" t="s">
        <v>2554</v>
      </c>
      <c r="E1044" t="s">
        <v>3651</v>
      </c>
      <c r="F1044" s="451">
        <v>46044</v>
      </c>
      <c r="H1044" s="451">
        <v>46059</v>
      </c>
      <c r="I1044">
        <v>448.1</v>
      </c>
      <c r="J1044">
        <v>378.1</v>
      </c>
      <c r="K1044">
        <v>0</v>
      </c>
      <c r="L1044">
        <v>0</v>
      </c>
      <c r="M1044">
        <v>225.41</v>
      </c>
      <c r="N1044">
        <v>0</v>
      </c>
      <c r="O1044">
        <v>0</v>
      </c>
      <c r="P1044">
        <v>207.4</v>
      </c>
      <c r="Q1044" t="s">
        <v>459</v>
      </c>
    </row>
    <row r="1045" spans="1:17" x14ac:dyDescent="0.3">
      <c r="A1045">
        <v>197009</v>
      </c>
      <c r="B1045">
        <v>105</v>
      </c>
      <c r="C1045" t="s">
        <v>557</v>
      </c>
      <c r="D1045" t="s">
        <v>2707</v>
      </c>
      <c r="E1045" t="s">
        <v>3652</v>
      </c>
      <c r="F1045" s="451">
        <v>46042</v>
      </c>
      <c r="G1045" s="451">
        <v>46042</v>
      </c>
      <c r="H1045" s="451">
        <v>46055</v>
      </c>
      <c r="I1045">
        <v>252.28</v>
      </c>
      <c r="J1045">
        <v>252.28</v>
      </c>
      <c r="K1045">
        <v>252.28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459</v>
      </c>
    </row>
    <row r="1046" spans="1:17" x14ac:dyDescent="0.3">
      <c r="A1046">
        <v>197008</v>
      </c>
      <c r="B1046">
        <v>105</v>
      </c>
      <c r="C1046" t="s">
        <v>557</v>
      </c>
      <c r="D1046" t="s">
        <v>2705</v>
      </c>
      <c r="E1046" t="s">
        <v>3653</v>
      </c>
      <c r="F1046" s="451">
        <v>46041</v>
      </c>
      <c r="H1046" s="451">
        <v>46056</v>
      </c>
      <c r="I1046">
        <v>519</v>
      </c>
      <c r="J1046">
        <v>519</v>
      </c>
      <c r="K1046">
        <v>0</v>
      </c>
      <c r="L1046">
        <v>0</v>
      </c>
      <c r="M1046">
        <v>0</v>
      </c>
      <c r="N1046">
        <v>519</v>
      </c>
      <c r="O1046">
        <v>0</v>
      </c>
      <c r="P1046">
        <v>0</v>
      </c>
      <c r="Q1046" t="s">
        <v>459</v>
      </c>
    </row>
    <row r="1047" spans="1:17" x14ac:dyDescent="0.3">
      <c r="A1047">
        <v>197005</v>
      </c>
      <c r="B1047">
        <v>105</v>
      </c>
      <c r="C1047" t="s">
        <v>557</v>
      </c>
      <c r="D1047" t="s">
        <v>2697</v>
      </c>
      <c r="E1047" t="s">
        <v>3654</v>
      </c>
      <c r="F1047" s="451">
        <v>46042</v>
      </c>
      <c r="G1047" s="451">
        <v>46042</v>
      </c>
      <c r="H1047" s="451">
        <v>46057</v>
      </c>
      <c r="I1047">
        <v>189.48</v>
      </c>
      <c r="J1047">
        <v>168.48</v>
      </c>
      <c r="K1047">
        <v>0</v>
      </c>
      <c r="L1047">
        <v>189.48</v>
      </c>
      <c r="M1047">
        <v>0</v>
      </c>
      <c r="N1047">
        <v>0</v>
      </c>
      <c r="O1047">
        <v>0</v>
      </c>
      <c r="P1047">
        <v>0</v>
      </c>
      <c r="Q1047" t="s">
        <v>459</v>
      </c>
    </row>
    <row r="1048" spans="1:17" x14ac:dyDescent="0.3">
      <c r="A1048">
        <v>197003</v>
      </c>
      <c r="B1048">
        <v>105</v>
      </c>
      <c r="C1048" t="s">
        <v>557</v>
      </c>
      <c r="D1048" t="s">
        <v>2603</v>
      </c>
      <c r="E1048" t="s">
        <v>3655</v>
      </c>
      <c r="F1048" s="451">
        <v>46043</v>
      </c>
      <c r="G1048" s="451">
        <v>46043</v>
      </c>
      <c r="H1048" s="451">
        <v>46058</v>
      </c>
      <c r="I1048">
        <v>2337.63</v>
      </c>
      <c r="J1048">
        <v>2337.63</v>
      </c>
      <c r="K1048">
        <v>2337.63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459</v>
      </c>
    </row>
    <row r="1049" spans="1:17" x14ac:dyDescent="0.3">
      <c r="A1049">
        <v>194674</v>
      </c>
      <c r="B1049">
        <v>105</v>
      </c>
      <c r="C1049" t="s">
        <v>557</v>
      </c>
      <c r="D1049" t="s">
        <v>3646</v>
      </c>
      <c r="E1049" t="s">
        <v>3656</v>
      </c>
      <c r="F1049" s="451">
        <v>46042</v>
      </c>
      <c r="G1049" s="451">
        <v>46042</v>
      </c>
      <c r="H1049" s="451">
        <v>46049</v>
      </c>
      <c r="I1049">
        <v>3341.59</v>
      </c>
      <c r="J1049">
        <v>3341.59</v>
      </c>
      <c r="K1049">
        <v>3341.59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459</v>
      </c>
    </row>
    <row r="1050" spans="1:17" x14ac:dyDescent="0.3">
      <c r="A1050">
        <v>194673</v>
      </c>
      <c r="B1050">
        <v>105</v>
      </c>
      <c r="C1050" t="s">
        <v>557</v>
      </c>
      <c r="D1050" t="s">
        <v>2597</v>
      </c>
      <c r="E1050" t="s">
        <v>3657</v>
      </c>
      <c r="F1050" s="451">
        <v>46042</v>
      </c>
      <c r="G1050" s="451">
        <v>46042</v>
      </c>
      <c r="H1050" s="451">
        <v>46070</v>
      </c>
      <c r="I1050">
        <v>1995.82</v>
      </c>
      <c r="J1050">
        <v>1995.82</v>
      </c>
      <c r="K1050">
        <v>1995.82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459</v>
      </c>
    </row>
    <row r="1051" spans="1:17" x14ac:dyDescent="0.3">
      <c r="A1051">
        <v>194672</v>
      </c>
      <c r="B1051">
        <v>105</v>
      </c>
      <c r="C1051" t="s">
        <v>557</v>
      </c>
      <c r="D1051" t="s">
        <v>2552</v>
      </c>
      <c r="E1051" t="s">
        <v>3658</v>
      </c>
      <c r="F1051" s="451">
        <v>46036</v>
      </c>
      <c r="G1051" s="451">
        <v>46036</v>
      </c>
      <c r="H1051" s="451">
        <v>46050</v>
      </c>
      <c r="I1051">
        <v>262</v>
      </c>
      <c r="J1051">
        <v>237</v>
      </c>
      <c r="K1051">
        <v>262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459</v>
      </c>
    </row>
    <row r="1052" spans="1:17" x14ac:dyDescent="0.3">
      <c r="A1052">
        <v>194241</v>
      </c>
      <c r="B1052">
        <v>105</v>
      </c>
      <c r="C1052" t="s">
        <v>557</v>
      </c>
      <c r="D1052" t="s">
        <v>3328</v>
      </c>
      <c r="E1052" t="s">
        <v>3659</v>
      </c>
      <c r="F1052" s="451">
        <v>46037</v>
      </c>
      <c r="G1052" s="451">
        <v>46037</v>
      </c>
      <c r="H1052" s="451">
        <v>46065</v>
      </c>
      <c r="I1052">
        <v>453.45</v>
      </c>
      <c r="J1052">
        <v>451.95</v>
      </c>
      <c r="K1052">
        <v>453.45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459</v>
      </c>
    </row>
    <row r="1053" spans="1:17" x14ac:dyDescent="0.3">
      <c r="A1053">
        <v>194239</v>
      </c>
      <c r="B1053">
        <v>105</v>
      </c>
      <c r="C1053" t="s">
        <v>557</v>
      </c>
      <c r="D1053" t="s">
        <v>2710</v>
      </c>
      <c r="E1053" t="s">
        <v>3660</v>
      </c>
      <c r="F1053" s="451">
        <v>46035</v>
      </c>
      <c r="G1053" s="451">
        <v>46035</v>
      </c>
      <c r="H1053" s="451">
        <v>46064</v>
      </c>
      <c r="I1053">
        <v>157.80000000000001</v>
      </c>
      <c r="J1053">
        <v>157.80000000000001</v>
      </c>
      <c r="K1053">
        <v>157.80000000000001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459</v>
      </c>
    </row>
    <row r="1054" spans="1:17" x14ac:dyDescent="0.3">
      <c r="A1054">
        <v>194225</v>
      </c>
      <c r="B1054">
        <v>105</v>
      </c>
      <c r="C1054" t="s">
        <v>557</v>
      </c>
      <c r="D1054" t="s">
        <v>2600</v>
      </c>
      <c r="E1054" t="s">
        <v>1889</v>
      </c>
      <c r="F1054" s="451">
        <v>46036</v>
      </c>
      <c r="G1054" s="451">
        <v>46036</v>
      </c>
      <c r="H1054" s="451">
        <v>46058</v>
      </c>
      <c r="I1054">
        <v>123.94</v>
      </c>
      <c r="J1054">
        <v>123.94</v>
      </c>
      <c r="K1054">
        <v>123.94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459</v>
      </c>
    </row>
    <row r="1055" spans="1:17" x14ac:dyDescent="0.3">
      <c r="A1055">
        <v>194223</v>
      </c>
      <c r="B1055">
        <v>105</v>
      </c>
      <c r="C1055" t="s">
        <v>557</v>
      </c>
      <c r="D1055" t="s">
        <v>2597</v>
      </c>
      <c r="E1055" t="s">
        <v>3661</v>
      </c>
      <c r="F1055" s="451">
        <v>46036</v>
      </c>
      <c r="G1055" s="451">
        <v>46036</v>
      </c>
      <c r="H1055" s="451">
        <v>46064</v>
      </c>
      <c r="I1055">
        <v>1661.85</v>
      </c>
      <c r="J1055">
        <v>1661.85</v>
      </c>
      <c r="K1055">
        <v>1661.85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459</v>
      </c>
    </row>
    <row r="1056" spans="1:17" x14ac:dyDescent="0.3">
      <c r="A1056">
        <v>194222</v>
      </c>
      <c r="B1056">
        <v>105</v>
      </c>
      <c r="C1056" t="s">
        <v>557</v>
      </c>
      <c r="D1056" t="s">
        <v>2550</v>
      </c>
      <c r="E1056" t="s">
        <v>3662</v>
      </c>
      <c r="F1056" s="451">
        <v>46034</v>
      </c>
      <c r="G1056" s="451">
        <v>46034</v>
      </c>
      <c r="H1056" s="451">
        <v>46064</v>
      </c>
      <c r="I1056">
        <v>629.95000000000005</v>
      </c>
      <c r="J1056">
        <v>591.5</v>
      </c>
      <c r="K1056">
        <v>0</v>
      </c>
      <c r="L1056">
        <v>629.95000000000005</v>
      </c>
      <c r="M1056">
        <v>0</v>
      </c>
      <c r="N1056">
        <v>0</v>
      </c>
      <c r="O1056">
        <v>0</v>
      </c>
      <c r="P1056">
        <v>0</v>
      </c>
      <c r="Q1056" t="s">
        <v>459</v>
      </c>
    </row>
    <row r="1057" spans="1:17" x14ac:dyDescent="0.3">
      <c r="A1057">
        <v>194221</v>
      </c>
      <c r="B1057">
        <v>105</v>
      </c>
      <c r="C1057" t="s">
        <v>557</v>
      </c>
      <c r="D1057" t="s">
        <v>2615</v>
      </c>
      <c r="E1057" t="s">
        <v>3663</v>
      </c>
      <c r="F1057" s="451">
        <v>46035</v>
      </c>
      <c r="G1057" s="451">
        <v>46035</v>
      </c>
      <c r="H1057" s="451">
        <v>46056</v>
      </c>
      <c r="I1057">
        <v>123.9</v>
      </c>
      <c r="J1057">
        <v>123.9</v>
      </c>
      <c r="K1057">
        <v>123.9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459</v>
      </c>
    </row>
    <row r="1058" spans="1:17" x14ac:dyDescent="0.3">
      <c r="A1058">
        <v>194220</v>
      </c>
      <c r="B1058">
        <v>105</v>
      </c>
      <c r="C1058" t="s">
        <v>557</v>
      </c>
      <c r="D1058" t="s">
        <v>2590</v>
      </c>
      <c r="E1058" t="s">
        <v>3664</v>
      </c>
      <c r="F1058" s="451">
        <v>46032</v>
      </c>
      <c r="G1058" s="451">
        <v>46032</v>
      </c>
      <c r="H1058" s="451">
        <v>46064</v>
      </c>
      <c r="I1058">
        <v>3750.5</v>
      </c>
      <c r="J1058">
        <v>3747.98</v>
      </c>
      <c r="K1058">
        <v>0</v>
      </c>
      <c r="L1058">
        <v>3750.5</v>
      </c>
      <c r="M1058">
        <v>0</v>
      </c>
      <c r="N1058">
        <v>0</v>
      </c>
      <c r="O1058">
        <v>0</v>
      </c>
      <c r="P1058">
        <v>0</v>
      </c>
      <c r="Q1058" t="s">
        <v>459</v>
      </c>
    </row>
    <row r="1059" spans="1:17" x14ac:dyDescent="0.3">
      <c r="A1059">
        <v>194219</v>
      </c>
      <c r="B1059">
        <v>105</v>
      </c>
      <c r="C1059" t="s">
        <v>557</v>
      </c>
      <c r="D1059" t="s">
        <v>2644</v>
      </c>
      <c r="E1059" t="s">
        <v>3095</v>
      </c>
      <c r="F1059" s="451">
        <v>46035</v>
      </c>
      <c r="H1059" s="451">
        <v>46069</v>
      </c>
      <c r="I1059">
        <v>146.18</v>
      </c>
      <c r="J1059">
        <v>146.18</v>
      </c>
      <c r="K1059">
        <v>0</v>
      </c>
      <c r="L1059">
        <v>0</v>
      </c>
      <c r="M1059">
        <v>146.18</v>
      </c>
      <c r="N1059">
        <v>0</v>
      </c>
      <c r="O1059">
        <v>0</v>
      </c>
      <c r="P1059">
        <v>0</v>
      </c>
      <c r="Q1059" t="s">
        <v>459</v>
      </c>
    </row>
    <row r="1060" spans="1:17" x14ac:dyDescent="0.3">
      <c r="A1060">
        <v>194217</v>
      </c>
      <c r="B1060">
        <v>105</v>
      </c>
      <c r="C1060" t="s">
        <v>557</v>
      </c>
      <c r="D1060" t="s">
        <v>2644</v>
      </c>
      <c r="E1060" t="s">
        <v>3665</v>
      </c>
      <c r="F1060" s="451">
        <v>46035</v>
      </c>
      <c r="G1060" s="451">
        <v>46035</v>
      </c>
      <c r="H1060" s="451">
        <v>46069</v>
      </c>
      <c r="I1060">
        <v>210.32</v>
      </c>
      <c r="J1060">
        <v>210.32</v>
      </c>
      <c r="K1060">
        <v>210.32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459</v>
      </c>
    </row>
    <row r="1061" spans="1:17" x14ac:dyDescent="0.3">
      <c r="A1061">
        <v>194215</v>
      </c>
      <c r="B1061">
        <v>105</v>
      </c>
      <c r="C1061" t="s">
        <v>557</v>
      </c>
      <c r="D1061" t="s">
        <v>3425</v>
      </c>
      <c r="E1061" t="s">
        <v>3666</v>
      </c>
      <c r="F1061" s="451">
        <v>46035</v>
      </c>
      <c r="G1061" s="451">
        <v>46035</v>
      </c>
      <c r="H1061" s="451">
        <v>46063</v>
      </c>
      <c r="I1061">
        <v>306.89999999999998</v>
      </c>
      <c r="J1061">
        <v>302</v>
      </c>
      <c r="K1061">
        <v>0</v>
      </c>
      <c r="L1061">
        <v>306.89999999999998</v>
      </c>
      <c r="M1061">
        <v>0</v>
      </c>
      <c r="N1061">
        <v>0</v>
      </c>
      <c r="O1061">
        <v>0</v>
      </c>
      <c r="P1061">
        <v>0</v>
      </c>
      <c r="Q1061" t="s">
        <v>459</v>
      </c>
    </row>
    <row r="1062" spans="1:17" x14ac:dyDescent="0.3">
      <c r="A1062">
        <v>194213</v>
      </c>
      <c r="B1062">
        <v>105</v>
      </c>
      <c r="C1062" t="s">
        <v>557</v>
      </c>
      <c r="D1062" t="s">
        <v>2607</v>
      </c>
      <c r="E1062" t="s">
        <v>3667</v>
      </c>
      <c r="F1062" s="451">
        <v>46035</v>
      </c>
      <c r="G1062" s="451">
        <v>46035</v>
      </c>
      <c r="H1062" s="451">
        <v>46063</v>
      </c>
      <c r="I1062">
        <v>1650</v>
      </c>
      <c r="J1062">
        <v>1650</v>
      </c>
      <c r="K1062">
        <v>1650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459</v>
      </c>
    </row>
    <row r="1063" spans="1:17" x14ac:dyDescent="0.3">
      <c r="A1063">
        <v>194207</v>
      </c>
      <c r="B1063">
        <v>105</v>
      </c>
      <c r="C1063" t="s">
        <v>557</v>
      </c>
      <c r="D1063" t="s">
        <v>2581</v>
      </c>
      <c r="E1063" t="s">
        <v>3668</v>
      </c>
      <c r="F1063" s="451">
        <v>46031</v>
      </c>
      <c r="G1063" s="451">
        <v>46031</v>
      </c>
      <c r="H1063" s="451">
        <v>46059</v>
      </c>
      <c r="I1063">
        <v>344.35</v>
      </c>
      <c r="J1063">
        <v>344.35</v>
      </c>
      <c r="K1063">
        <v>344.35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459</v>
      </c>
    </row>
    <row r="1064" spans="1:17" x14ac:dyDescent="0.3">
      <c r="A1064">
        <v>194205</v>
      </c>
      <c r="B1064">
        <v>105</v>
      </c>
      <c r="C1064" t="s">
        <v>557</v>
      </c>
      <c r="D1064" t="s">
        <v>2581</v>
      </c>
      <c r="E1064" t="s">
        <v>3669</v>
      </c>
      <c r="F1064" s="451">
        <v>46034</v>
      </c>
      <c r="G1064" s="451">
        <v>46034</v>
      </c>
      <c r="H1064" s="451">
        <v>46062</v>
      </c>
      <c r="I1064">
        <v>243.6</v>
      </c>
      <c r="J1064">
        <v>243.6</v>
      </c>
      <c r="K1064">
        <v>243.6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459</v>
      </c>
    </row>
    <row r="1065" spans="1:17" x14ac:dyDescent="0.3">
      <c r="A1065">
        <v>194204</v>
      </c>
      <c r="B1065">
        <v>105</v>
      </c>
      <c r="C1065" t="s">
        <v>557</v>
      </c>
      <c r="D1065" t="s">
        <v>2581</v>
      </c>
      <c r="E1065" t="s">
        <v>3670</v>
      </c>
      <c r="F1065" s="451">
        <v>46035</v>
      </c>
      <c r="G1065" s="451">
        <v>46035</v>
      </c>
      <c r="H1065" s="451">
        <v>46063</v>
      </c>
      <c r="I1065">
        <v>38.200000000000003</v>
      </c>
      <c r="J1065">
        <v>38.200000000000003</v>
      </c>
      <c r="K1065">
        <v>38.200000000000003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459</v>
      </c>
    </row>
    <row r="1066" spans="1:17" x14ac:dyDescent="0.3">
      <c r="A1066">
        <v>194191</v>
      </c>
      <c r="B1066">
        <v>105</v>
      </c>
      <c r="C1066" t="s">
        <v>557</v>
      </c>
      <c r="D1066" t="s">
        <v>2581</v>
      </c>
      <c r="E1066" t="s">
        <v>3671</v>
      </c>
      <c r="F1066" s="451">
        <v>46036</v>
      </c>
      <c r="G1066" s="451">
        <v>46036</v>
      </c>
      <c r="H1066" s="451">
        <v>46064</v>
      </c>
      <c r="I1066">
        <v>210</v>
      </c>
      <c r="J1066">
        <v>210</v>
      </c>
      <c r="K1066">
        <v>210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459</v>
      </c>
    </row>
    <row r="1067" spans="1:17" x14ac:dyDescent="0.3">
      <c r="A1067">
        <v>194190</v>
      </c>
      <c r="B1067">
        <v>105</v>
      </c>
      <c r="C1067" t="s">
        <v>557</v>
      </c>
      <c r="D1067" t="s">
        <v>2581</v>
      </c>
      <c r="E1067" t="s">
        <v>3672</v>
      </c>
      <c r="F1067" s="451">
        <v>46036</v>
      </c>
      <c r="G1067" s="451">
        <v>46036</v>
      </c>
      <c r="H1067" s="451">
        <v>46064</v>
      </c>
      <c r="I1067">
        <v>86</v>
      </c>
      <c r="J1067">
        <v>86</v>
      </c>
      <c r="K1067">
        <v>86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459</v>
      </c>
    </row>
    <row r="1068" spans="1:17" x14ac:dyDescent="0.3">
      <c r="A1068">
        <v>194189</v>
      </c>
      <c r="B1068">
        <v>105</v>
      </c>
      <c r="C1068" t="s">
        <v>557</v>
      </c>
      <c r="D1068" t="s">
        <v>2581</v>
      </c>
      <c r="E1068" t="s">
        <v>3673</v>
      </c>
      <c r="F1068" s="451">
        <v>46037</v>
      </c>
      <c r="G1068" s="451">
        <v>46037</v>
      </c>
      <c r="H1068" s="451">
        <v>46065</v>
      </c>
      <c r="I1068">
        <v>953.25</v>
      </c>
      <c r="J1068">
        <v>953.25</v>
      </c>
      <c r="K1068">
        <v>953.25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459</v>
      </c>
    </row>
    <row r="1069" spans="1:17" x14ac:dyDescent="0.3">
      <c r="A1069">
        <v>194188</v>
      </c>
      <c r="B1069">
        <v>105</v>
      </c>
      <c r="C1069" t="s">
        <v>557</v>
      </c>
      <c r="D1069" t="s">
        <v>2605</v>
      </c>
      <c r="E1069" t="s">
        <v>3674</v>
      </c>
      <c r="F1069" s="451">
        <v>46036</v>
      </c>
      <c r="G1069" s="451">
        <v>46036</v>
      </c>
      <c r="H1069" s="451">
        <v>46066</v>
      </c>
      <c r="I1069">
        <v>1160.56</v>
      </c>
      <c r="J1069">
        <v>1160.56</v>
      </c>
      <c r="K1069">
        <v>1160.56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459</v>
      </c>
    </row>
    <row r="1070" spans="1:17" x14ac:dyDescent="0.3">
      <c r="A1070">
        <v>194186</v>
      </c>
      <c r="B1070">
        <v>105</v>
      </c>
      <c r="C1070" t="s">
        <v>557</v>
      </c>
      <c r="D1070" t="s">
        <v>2644</v>
      </c>
      <c r="E1070" t="s">
        <v>3675</v>
      </c>
      <c r="F1070" s="451">
        <v>46037</v>
      </c>
      <c r="H1070" s="451">
        <v>46072</v>
      </c>
      <c r="I1070">
        <v>263.44</v>
      </c>
      <c r="J1070">
        <v>263.44</v>
      </c>
      <c r="K1070">
        <v>0</v>
      </c>
      <c r="L1070">
        <v>0</v>
      </c>
      <c r="M1070">
        <v>240.76</v>
      </c>
      <c r="N1070">
        <v>0</v>
      </c>
      <c r="O1070">
        <v>22.68</v>
      </c>
      <c r="P1070">
        <v>0</v>
      </c>
      <c r="Q1070" t="s">
        <v>459</v>
      </c>
    </row>
    <row r="1071" spans="1:17" x14ac:dyDescent="0.3">
      <c r="A1071">
        <v>194185</v>
      </c>
      <c r="B1071">
        <v>105</v>
      </c>
      <c r="C1071" t="s">
        <v>557</v>
      </c>
      <c r="D1071" t="s">
        <v>2571</v>
      </c>
      <c r="E1071" t="s">
        <v>3676</v>
      </c>
      <c r="F1071" s="451">
        <v>46037</v>
      </c>
      <c r="G1071" s="451">
        <v>46037</v>
      </c>
      <c r="H1071" s="451">
        <v>46065</v>
      </c>
      <c r="I1071">
        <v>412.48</v>
      </c>
      <c r="J1071">
        <v>403.52</v>
      </c>
      <c r="K1071">
        <v>412.48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459</v>
      </c>
    </row>
    <row r="1072" spans="1:17" x14ac:dyDescent="0.3">
      <c r="A1072">
        <v>194184</v>
      </c>
      <c r="B1072">
        <v>105</v>
      </c>
      <c r="C1072" t="s">
        <v>557</v>
      </c>
      <c r="D1072" t="s">
        <v>2569</v>
      </c>
      <c r="E1072" t="s">
        <v>3677</v>
      </c>
      <c r="F1072" s="451">
        <v>46034</v>
      </c>
      <c r="G1072" s="451">
        <v>46034</v>
      </c>
      <c r="H1072" s="451">
        <v>46071</v>
      </c>
      <c r="I1072">
        <v>546</v>
      </c>
      <c r="J1072">
        <v>546</v>
      </c>
      <c r="K1072">
        <v>0</v>
      </c>
      <c r="L1072">
        <v>546</v>
      </c>
      <c r="M1072">
        <v>0</v>
      </c>
      <c r="N1072">
        <v>0</v>
      </c>
      <c r="O1072">
        <v>0</v>
      </c>
      <c r="P1072">
        <v>0</v>
      </c>
      <c r="Q1072" t="s">
        <v>459</v>
      </c>
    </row>
    <row r="1073" spans="1:17" x14ac:dyDescent="0.3">
      <c r="A1073">
        <v>194183</v>
      </c>
      <c r="B1073">
        <v>105</v>
      </c>
      <c r="C1073" t="s">
        <v>557</v>
      </c>
      <c r="D1073" t="s">
        <v>2563</v>
      </c>
      <c r="E1073" t="s">
        <v>3678</v>
      </c>
      <c r="F1073" s="451">
        <v>46032</v>
      </c>
      <c r="G1073" s="451">
        <v>46032</v>
      </c>
      <c r="H1073" s="451">
        <v>46060</v>
      </c>
      <c r="I1073">
        <v>27.51</v>
      </c>
      <c r="J1073">
        <v>44.36</v>
      </c>
      <c r="K1073">
        <v>27.51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459</v>
      </c>
    </row>
    <row r="1074" spans="1:17" x14ac:dyDescent="0.3">
      <c r="A1074">
        <v>194181</v>
      </c>
      <c r="B1074">
        <v>105</v>
      </c>
      <c r="C1074" t="s">
        <v>557</v>
      </c>
      <c r="D1074" t="s">
        <v>2563</v>
      </c>
      <c r="E1074" t="s">
        <v>3679</v>
      </c>
      <c r="F1074" s="451">
        <v>46034</v>
      </c>
      <c r="G1074" s="451">
        <v>46034</v>
      </c>
      <c r="H1074" s="451">
        <v>46062</v>
      </c>
      <c r="I1074">
        <v>151.85</v>
      </c>
      <c r="J1074">
        <v>151.88</v>
      </c>
      <c r="K1074">
        <v>151.85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459</v>
      </c>
    </row>
    <row r="1075" spans="1:17" x14ac:dyDescent="0.3">
      <c r="A1075">
        <v>194180</v>
      </c>
      <c r="B1075">
        <v>105</v>
      </c>
      <c r="C1075" t="s">
        <v>557</v>
      </c>
      <c r="D1075" t="s">
        <v>2563</v>
      </c>
      <c r="E1075" t="s">
        <v>3680</v>
      </c>
      <c r="F1075" s="451">
        <v>46035</v>
      </c>
      <c r="G1075" s="451">
        <v>46035</v>
      </c>
      <c r="H1075" s="451">
        <v>46063</v>
      </c>
      <c r="I1075">
        <v>59.75</v>
      </c>
      <c r="J1075">
        <v>59.76</v>
      </c>
      <c r="K1075">
        <v>59.75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459</v>
      </c>
    </row>
    <row r="1076" spans="1:17" x14ac:dyDescent="0.3">
      <c r="A1076">
        <v>194179</v>
      </c>
      <c r="B1076">
        <v>105</v>
      </c>
      <c r="C1076" t="s">
        <v>557</v>
      </c>
      <c r="D1076" t="s">
        <v>2690</v>
      </c>
      <c r="E1076" t="s">
        <v>3681</v>
      </c>
      <c r="F1076" s="451">
        <v>46036</v>
      </c>
      <c r="G1076" s="451">
        <v>46036</v>
      </c>
      <c r="H1076" s="451">
        <v>46058</v>
      </c>
      <c r="I1076">
        <v>555.49</v>
      </c>
      <c r="J1076">
        <v>555.49</v>
      </c>
      <c r="K1076">
        <v>37.5</v>
      </c>
      <c r="L1076">
        <v>517.99</v>
      </c>
      <c r="M1076">
        <v>0</v>
      </c>
      <c r="N1076">
        <v>0</v>
      </c>
      <c r="O1076">
        <v>0</v>
      </c>
      <c r="P1076">
        <v>0</v>
      </c>
      <c r="Q1076" t="s">
        <v>459</v>
      </c>
    </row>
    <row r="1077" spans="1:17" x14ac:dyDescent="0.3">
      <c r="A1077">
        <v>194178</v>
      </c>
      <c r="B1077">
        <v>105</v>
      </c>
      <c r="C1077" t="s">
        <v>557</v>
      </c>
      <c r="D1077" t="s">
        <v>2716</v>
      </c>
      <c r="E1077" t="s">
        <v>3682</v>
      </c>
      <c r="F1077" s="451">
        <v>46034</v>
      </c>
      <c r="G1077" s="451">
        <v>46034</v>
      </c>
      <c r="H1077" s="451">
        <v>46057</v>
      </c>
      <c r="I1077">
        <v>275</v>
      </c>
      <c r="J1077">
        <v>240</v>
      </c>
      <c r="K1077">
        <v>275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459</v>
      </c>
    </row>
    <row r="1078" spans="1:17" x14ac:dyDescent="0.3">
      <c r="A1078">
        <v>194177</v>
      </c>
      <c r="B1078">
        <v>105</v>
      </c>
      <c r="C1078" t="s">
        <v>557</v>
      </c>
      <c r="D1078" t="s">
        <v>3328</v>
      </c>
      <c r="E1078" t="s">
        <v>3683</v>
      </c>
      <c r="F1078" s="451">
        <v>46034</v>
      </c>
      <c r="G1078" s="451">
        <v>46034</v>
      </c>
      <c r="H1078" s="451">
        <v>46062</v>
      </c>
      <c r="I1078">
        <v>281.98</v>
      </c>
      <c r="J1078">
        <v>281.98</v>
      </c>
      <c r="K1078">
        <v>281.98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459</v>
      </c>
    </row>
    <row r="1079" spans="1:17" x14ac:dyDescent="0.3">
      <c r="A1079">
        <v>194176</v>
      </c>
      <c r="B1079">
        <v>105</v>
      </c>
      <c r="C1079" t="s">
        <v>557</v>
      </c>
      <c r="D1079" t="s">
        <v>3328</v>
      </c>
      <c r="E1079" t="s">
        <v>3684</v>
      </c>
      <c r="F1079" s="451">
        <v>46035</v>
      </c>
      <c r="G1079" s="451">
        <v>46035</v>
      </c>
      <c r="H1079" s="451">
        <v>46063</v>
      </c>
      <c r="I1079">
        <v>125.71</v>
      </c>
      <c r="J1079">
        <v>125.53</v>
      </c>
      <c r="K1079">
        <v>125.71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459</v>
      </c>
    </row>
    <row r="1080" spans="1:17" x14ac:dyDescent="0.3">
      <c r="A1080">
        <v>193883</v>
      </c>
      <c r="B1080">
        <v>105</v>
      </c>
      <c r="C1080" t="s">
        <v>557</v>
      </c>
      <c r="D1080" t="s">
        <v>2653</v>
      </c>
      <c r="E1080" t="s">
        <v>3685</v>
      </c>
      <c r="F1080" s="451">
        <v>46035</v>
      </c>
      <c r="G1080" s="451">
        <v>46035</v>
      </c>
      <c r="H1080" s="451">
        <v>46049</v>
      </c>
      <c r="I1080">
        <v>233.98</v>
      </c>
      <c r="J1080">
        <v>203.98</v>
      </c>
      <c r="K1080">
        <v>233.98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459</v>
      </c>
    </row>
    <row r="1081" spans="1:17" x14ac:dyDescent="0.3">
      <c r="A1081">
        <v>193882</v>
      </c>
      <c r="B1081">
        <v>105</v>
      </c>
      <c r="C1081" t="s">
        <v>557</v>
      </c>
      <c r="D1081" t="s">
        <v>2554</v>
      </c>
      <c r="E1081" t="s">
        <v>3686</v>
      </c>
      <c r="F1081" s="451">
        <v>46036</v>
      </c>
      <c r="H1081" s="451">
        <v>46051</v>
      </c>
      <c r="I1081">
        <v>814.73</v>
      </c>
      <c r="J1081">
        <v>809.83</v>
      </c>
      <c r="K1081">
        <v>0</v>
      </c>
      <c r="L1081">
        <v>0</v>
      </c>
      <c r="M1081">
        <v>774.89</v>
      </c>
      <c r="N1081">
        <v>25.15</v>
      </c>
      <c r="O1081">
        <v>0</v>
      </c>
      <c r="P1081">
        <v>14.69</v>
      </c>
      <c r="Q1081" t="s">
        <v>459</v>
      </c>
    </row>
    <row r="1082" spans="1:17" x14ac:dyDescent="0.3">
      <c r="A1082">
        <v>193881</v>
      </c>
      <c r="B1082">
        <v>105</v>
      </c>
      <c r="C1082" t="s">
        <v>557</v>
      </c>
      <c r="D1082" t="s">
        <v>2554</v>
      </c>
      <c r="E1082" t="s">
        <v>3687</v>
      </c>
      <c r="F1082" s="451">
        <v>46036</v>
      </c>
      <c r="G1082" s="451">
        <v>46036</v>
      </c>
      <c r="H1082" s="451">
        <v>46051</v>
      </c>
      <c r="I1082">
        <v>324</v>
      </c>
      <c r="J1082">
        <v>280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324</v>
      </c>
      <c r="Q1082" t="s">
        <v>459</v>
      </c>
    </row>
    <row r="1083" spans="1:17" x14ac:dyDescent="0.3">
      <c r="A1083">
        <v>193880</v>
      </c>
      <c r="B1083">
        <v>105</v>
      </c>
      <c r="C1083" t="s">
        <v>557</v>
      </c>
      <c r="D1083" t="s">
        <v>2798</v>
      </c>
      <c r="E1083" t="s">
        <v>3688</v>
      </c>
      <c r="F1083" s="451">
        <v>46036</v>
      </c>
      <c r="G1083" s="451">
        <v>46036</v>
      </c>
      <c r="H1083" s="451">
        <v>46050</v>
      </c>
      <c r="I1083">
        <v>1333.56</v>
      </c>
      <c r="J1083">
        <v>1333.56</v>
      </c>
      <c r="K1083">
        <v>1333.56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459</v>
      </c>
    </row>
    <row r="1084" spans="1:17" x14ac:dyDescent="0.3">
      <c r="A1084">
        <v>193879</v>
      </c>
      <c r="B1084">
        <v>105</v>
      </c>
      <c r="C1084" t="s">
        <v>557</v>
      </c>
      <c r="D1084" t="s">
        <v>3462</v>
      </c>
      <c r="E1084" t="s">
        <v>3689</v>
      </c>
      <c r="F1084" s="451">
        <v>46036</v>
      </c>
      <c r="H1084" s="451">
        <v>46043</v>
      </c>
      <c r="I1084">
        <v>123.57</v>
      </c>
      <c r="J1084">
        <v>123.57</v>
      </c>
      <c r="K1084">
        <v>0</v>
      </c>
      <c r="L1084">
        <v>0</v>
      </c>
      <c r="M1084">
        <v>123.57</v>
      </c>
      <c r="N1084">
        <v>0</v>
      </c>
      <c r="O1084">
        <v>0</v>
      </c>
      <c r="P1084">
        <v>0</v>
      </c>
      <c r="Q1084" t="s">
        <v>459</v>
      </c>
    </row>
    <row r="1085" spans="1:17" x14ac:dyDescent="0.3">
      <c r="A1085">
        <v>193878</v>
      </c>
      <c r="B1085">
        <v>105</v>
      </c>
      <c r="C1085" t="s">
        <v>557</v>
      </c>
      <c r="D1085" t="s">
        <v>2615</v>
      </c>
      <c r="E1085" t="s">
        <v>3690</v>
      </c>
      <c r="F1085" s="451">
        <v>46029</v>
      </c>
      <c r="G1085" s="451">
        <v>46029</v>
      </c>
      <c r="H1085" s="451">
        <v>46048</v>
      </c>
      <c r="I1085">
        <v>110.7</v>
      </c>
      <c r="J1085">
        <v>110.7</v>
      </c>
      <c r="K1085">
        <v>110.7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459</v>
      </c>
    </row>
    <row r="1086" spans="1:17" x14ac:dyDescent="0.3">
      <c r="A1086">
        <v>193877</v>
      </c>
      <c r="B1086">
        <v>105</v>
      </c>
      <c r="C1086" t="s">
        <v>557</v>
      </c>
      <c r="D1086" t="s">
        <v>2705</v>
      </c>
      <c r="E1086" t="s">
        <v>3691</v>
      </c>
      <c r="F1086" s="451">
        <v>46034</v>
      </c>
      <c r="H1086" s="451">
        <v>46048</v>
      </c>
      <c r="I1086">
        <v>692</v>
      </c>
      <c r="J1086">
        <v>692</v>
      </c>
      <c r="K1086">
        <v>0</v>
      </c>
      <c r="L1086">
        <v>0</v>
      </c>
      <c r="M1086">
        <v>0</v>
      </c>
      <c r="N1086">
        <v>692</v>
      </c>
      <c r="O1086">
        <v>0</v>
      </c>
      <c r="P1086">
        <v>0</v>
      </c>
      <c r="Q1086" t="s">
        <v>459</v>
      </c>
    </row>
    <row r="1087" spans="1:17" x14ac:dyDescent="0.3">
      <c r="A1087">
        <v>193876</v>
      </c>
      <c r="B1087">
        <v>105</v>
      </c>
      <c r="C1087" t="s">
        <v>557</v>
      </c>
      <c r="D1087" t="s">
        <v>2779</v>
      </c>
      <c r="E1087" t="s">
        <v>3692</v>
      </c>
      <c r="F1087" s="451">
        <v>46036</v>
      </c>
      <c r="G1087" s="451">
        <v>46036</v>
      </c>
      <c r="H1087" s="451">
        <v>46051</v>
      </c>
      <c r="I1087">
        <v>922.63</v>
      </c>
      <c r="J1087">
        <v>922.63</v>
      </c>
      <c r="K1087">
        <v>922.63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459</v>
      </c>
    </row>
    <row r="1088" spans="1:17" x14ac:dyDescent="0.3">
      <c r="A1088">
        <v>191765</v>
      </c>
      <c r="B1088">
        <v>105</v>
      </c>
      <c r="C1088" t="s">
        <v>557</v>
      </c>
      <c r="D1088" t="s">
        <v>2963</v>
      </c>
      <c r="E1088" t="s">
        <v>3693</v>
      </c>
      <c r="F1088" s="451">
        <v>46031</v>
      </c>
      <c r="G1088" s="451">
        <v>46031</v>
      </c>
      <c r="H1088" s="451">
        <v>46045</v>
      </c>
      <c r="I1088">
        <v>777.5</v>
      </c>
      <c r="J1088">
        <v>718.02</v>
      </c>
      <c r="K1088">
        <v>777.5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459</v>
      </c>
    </row>
    <row r="1089" spans="1:17" x14ac:dyDescent="0.3">
      <c r="A1089">
        <v>191763</v>
      </c>
      <c r="B1089">
        <v>105</v>
      </c>
      <c r="C1089" t="s">
        <v>557</v>
      </c>
      <c r="D1089" t="s">
        <v>2603</v>
      </c>
      <c r="E1089" t="s">
        <v>3694</v>
      </c>
      <c r="F1089" s="451">
        <v>46035</v>
      </c>
      <c r="G1089" s="451">
        <v>46035</v>
      </c>
      <c r="H1089" s="451">
        <v>46050</v>
      </c>
      <c r="I1089">
        <v>969.53</v>
      </c>
      <c r="J1089">
        <v>969.52</v>
      </c>
      <c r="K1089">
        <v>969.53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459</v>
      </c>
    </row>
    <row r="1090" spans="1:17" x14ac:dyDescent="0.3">
      <c r="A1090">
        <v>191457</v>
      </c>
      <c r="B1090">
        <v>105</v>
      </c>
      <c r="C1090" t="s">
        <v>557</v>
      </c>
      <c r="D1090" t="s">
        <v>3328</v>
      </c>
      <c r="E1090" t="s">
        <v>3695</v>
      </c>
      <c r="F1090" s="451">
        <v>46029</v>
      </c>
      <c r="G1090" s="451">
        <v>46029</v>
      </c>
      <c r="H1090" s="451">
        <v>46057</v>
      </c>
      <c r="I1090">
        <v>180.86</v>
      </c>
      <c r="J1090">
        <v>93.3</v>
      </c>
      <c r="K1090">
        <v>180.86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459</v>
      </c>
    </row>
    <row r="1091" spans="1:17" x14ac:dyDescent="0.3">
      <c r="A1091">
        <v>191454</v>
      </c>
      <c r="B1091">
        <v>105</v>
      </c>
      <c r="C1091" t="s">
        <v>557</v>
      </c>
      <c r="D1091" t="s">
        <v>3328</v>
      </c>
      <c r="E1091" t="s">
        <v>3696</v>
      </c>
      <c r="F1091" s="451">
        <v>46030</v>
      </c>
      <c r="G1091" s="451">
        <v>46030</v>
      </c>
      <c r="H1091" s="451">
        <v>46058</v>
      </c>
      <c r="I1091">
        <v>315.14</v>
      </c>
      <c r="J1091">
        <v>315.14</v>
      </c>
      <c r="K1091">
        <v>315.14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459</v>
      </c>
    </row>
    <row r="1092" spans="1:17" x14ac:dyDescent="0.3">
      <c r="A1092">
        <v>191450</v>
      </c>
      <c r="B1092">
        <v>105</v>
      </c>
      <c r="C1092" t="s">
        <v>557</v>
      </c>
      <c r="D1092" t="s">
        <v>2552</v>
      </c>
      <c r="E1092" t="s">
        <v>3697</v>
      </c>
      <c r="F1092" s="451">
        <v>46030</v>
      </c>
      <c r="G1092" s="451">
        <v>46030</v>
      </c>
      <c r="H1092" s="451">
        <v>46044</v>
      </c>
      <c r="I1092">
        <v>104</v>
      </c>
      <c r="J1092">
        <v>79</v>
      </c>
      <c r="K1092">
        <v>104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459</v>
      </c>
    </row>
    <row r="1093" spans="1:17" x14ac:dyDescent="0.3">
      <c r="A1093">
        <v>191449</v>
      </c>
      <c r="B1093">
        <v>105</v>
      </c>
      <c r="C1093" t="s">
        <v>557</v>
      </c>
      <c r="D1093" t="s">
        <v>2554</v>
      </c>
      <c r="E1093" t="s">
        <v>3698</v>
      </c>
      <c r="F1093" s="451">
        <v>46028</v>
      </c>
      <c r="H1093" s="451">
        <v>46043</v>
      </c>
      <c r="I1093">
        <v>1855.67</v>
      </c>
      <c r="J1093">
        <v>1855.67</v>
      </c>
      <c r="K1093">
        <v>0</v>
      </c>
      <c r="L1093">
        <v>0</v>
      </c>
      <c r="M1093">
        <v>1417.67</v>
      </c>
      <c r="N1093">
        <v>0</v>
      </c>
      <c r="O1093">
        <v>0</v>
      </c>
      <c r="P1093">
        <v>438</v>
      </c>
      <c r="Q1093" t="s">
        <v>459</v>
      </c>
    </row>
    <row r="1094" spans="1:17" x14ac:dyDescent="0.3">
      <c r="A1094">
        <v>191448</v>
      </c>
      <c r="B1094">
        <v>105</v>
      </c>
      <c r="C1094" t="s">
        <v>557</v>
      </c>
      <c r="D1094" t="s">
        <v>2607</v>
      </c>
      <c r="E1094" t="s">
        <v>3699</v>
      </c>
      <c r="F1094" s="451">
        <v>46029</v>
      </c>
      <c r="G1094" s="451">
        <v>46029</v>
      </c>
      <c r="H1094" s="451">
        <v>46057</v>
      </c>
      <c r="I1094">
        <v>1759.5</v>
      </c>
      <c r="J1094">
        <v>1759.5</v>
      </c>
      <c r="K1094">
        <v>1759.5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459</v>
      </c>
    </row>
    <row r="1095" spans="1:17" x14ac:dyDescent="0.3">
      <c r="A1095">
        <v>191447</v>
      </c>
      <c r="B1095">
        <v>105</v>
      </c>
      <c r="C1095" t="s">
        <v>557</v>
      </c>
      <c r="D1095" t="s">
        <v>2607</v>
      </c>
      <c r="E1095" t="s">
        <v>3700</v>
      </c>
      <c r="F1095" s="451">
        <v>46030</v>
      </c>
      <c r="G1095" s="451">
        <v>46030</v>
      </c>
      <c r="H1095" s="451">
        <v>46058</v>
      </c>
      <c r="I1095">
        <v>3432</v>
      </c>
      <c r="J1095">
        <v>3432</v>
      </c>
      <c r="K1095">
        <v>3432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459</v>
      </c>
    </row>
    <row r="1096" spans="1:17" x14ac:dyDescent="0.3">
      <c r="A1096">
        <v>191446</v>
      </c>
      <c r="B1096">
        <v>105</v>
      </c>
      <c r="C1096" t="s">
        <v>557</v>
      </c>
      <c r="D1096" t="s">
        <v>2845</v>
      </c>
      <c r="E1096" t="s">
        <v>3701</v>
      </c>
      <c r="F1096" s="451">
        <v>46030</v>
      </c>
      <c r="G1096" s="451">
        <v>46030</v>
      </c>
      <c r="H1096" s="451">
        <v>46059</v>
      </c>
      <c r="I1096">
        <v>1151.4000000000001</v>
      </c>
      <c r="J1096">
        <v>1151.4000000000001</v>
      </c>
      <c r="K1096">
        <v>1151.4000000000001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459</v>
      </c>
    </row>
    <row r="1097" spans="1:17" x14ac:dyDescent="0.3">
      <c r="A1097">
        <v>191445</v>
      </c>
      <c r="B1097">
        <v>105</v>
      </c>
      <c r="C1097" t="s">
        <v>557</v>
      </c>
      <c r="D1097" t="s">
        <v>2705</v>
      </c>
      <c r="E1097" t="s">
        <v>3702</v>
      </c>
      <c r="F1097" s="451">
        <v>46030</v>
      </c>
      <c r="H1097" s="451">
        <v>46044</v>
      </c>
      <c r="I1097">
        <v>692</v>
      </c>
      <c r="J1097">
        <v>692</v>
      </c>
      <c r="K1097">
        <v>0</v>
      </c>
      <c r="L1097">
        <v>0</v>
      </c>
      <c r="M1097">
        <v>0</v>
      </c>
      <c r="N1097">
        <v>692</v>
      </c>
      <c r="O1097">
        <v>0</v>
      </c>
      <c r="P1097">
        <v>0</v>
      </c>
      <c r="Q1097" t="s">
        <v>459</v>
      </c>
    </row>
    <row r="1098" spans="1:17" x14ac:dyDescent="0.3">
      <c r="A1098">
        <v>191444</v>
      </c>
      <c r="B1098">
        <v>105</v>
      </c>
      <c r="C1098" t="s">
        <v>557</v>
      </c>
      <c r="D1098" t="s">
        <v>2581</v>
      </c>
      <c r="E1098" t="s">
        <v>3703</v>
      </c>
      <c r="F1098" s="451">
        <v>46029</v>
      </c>
      <c r="G1098" s="451">
        <v>46029</v>
      </c>
      <c r="H1098" s="451">
        <v>46057</v>
      </c>
      <c r="I1098">
        <v>362.8</v>
      </c>
      <c r="J1098">
        <v>362.8</v>
      </c>
      <c r="K1098">
        <v>362.8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459</v>
      </c>
    </row>
    <row r="1099" spans="1:17" x14ac:dyDescent="0.3">
      <c r="A1099">
        <v>191443</v>
      </c>
      <c r="B1099">
        <v>105</v>
      </c>
      <c r="C1099" t="s">
        <v>557</v>
      </c>
      <c r="D1099" t="s">
        <v>2581</v>
      </c>
      <c r="E1099" t="s">
        <v>3704</v>
      </c>
      <c r="F1099" s="451">
        <v>46030</v>
      </c>
      <c r="G1099" s="451">
        <v>46030</v>
      </c>
      <c r="H1099" s="451">
        <v>46058</v>
      </c>
      <c r="I1099">
        <v>865.6</v>
      </c>
      <c r="J1099">
        <v>865.6</v>
      </c>
      <c r="K1099">
        <v>865.6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459</v>
      </c>
    </row>
    <row r="1100" spans="1:17" x14ac:dyDescent="0.3">
      <c r="A1100">
        <v>191442</v>
      </c>
      <c r="B1100">
        <v>105</v>
      </c>
      <c r="C1100" t="s">
        <v>557</v>
      </c>
      <c r="D1100" t="s">
        <v>2581</v>
      </c>
      <c r="E1100" t="s">
        <v>3705</v>
      </c>
      <c r="F1100" s="451">
        <v>46030</v>
      </c>
      <c r="G1100" s="451">
        <v>46030</v>
      </c>
      <c r="H1100" s="451">
        <v>46058</v>
      </c>
      <c r="I1100">
        <v>210</v>
      </c>
      <c r="J1100">
        <v>210</v>
      </c>
      <c r="K1100">
        <v>210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459</v>
      </c>
    </row>
    <row r="1101" spans="1:17" x14ac:dyDescent="0.3">
      <c r="A1101">
        <v>191441</v>
      </c>
      <c r="B1101">
        <v>105</v>
      </c>
      <c r="C1101" t="s">
        <v>557</v>
      </c>
      <c r="D1101" t="s">
        <v>2605</v>
      </c>
      <c r="E1101" t="s">
        <v>3706</v>
      </c>
      <c r="F1101" s="451">
        <v>46030</v>
      </c>
      <c r="G1101" s="451">
        <v>46030</v>
      </c>
      <c r="H1101" s="451">
        <v>46059</v>
      </c>
      <c r="I1101">
        <v>2876.41</v>
      </c>
      <c r="J1101">
        <v>2712.26</v>
      </c>
      <c r="K1101">
        <v>2876.41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459</v>
      </c>
    </row>
    <row r="1102" spans="1:17" x14ac:dyDescent="0.3">
      <c r="A1102">
        <v>191440</v>
      </c>
      <c r="B1102">
        <v>105</v>
      </c>
      <c r="C1102" t="s">
        <v>557</v>
      </c>
      <c r="D1102" t="s">
        <v>2644</v>
      </c>
      <c r="E1102" t="s">
        <v>3707</v>
      </c>
      <c r="F1102" s="451">
        <v>46030</v>
      </c>
      <c r="G1102" s="451">
        <v>46030</v>
      </c>
      <c r="H1102" s="451">
        <v>46065</v>
      </c>
      <c r="I1102">
        <v>672.21</v>
      </c>
      <c r="J1102">
        <v>672.21</v>
      </c>
      <c r="K1102">
        <v>672.21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459</v>
      </c>
    </row>
    <row r="1103" spans="1:17" x14ac:dyDescent="0.3">
      <c r="A1103">
        <v>191438</v>
      </c>
      <c r="B1103">
        <v>105</v>
      </c>
      <c r="C1103" t="s">
        <v>557</v>
      </c>
      <c r="D1103" t="s">
        <v>3646</v>
      </c>
      <c r="E1103" t="s">
        <v>3708</v>
      </c>
      <c r="F1103" s="451">
        <v>46034</v>
      </c>
      <c r="G1103" s="451">
        <v>46034</v>
      </c>
      <c r="H1103" s="451">
        <v>46041</v>
      </c>
      <c r="I1103">
        <v>1351.47</v>
      </c>
      <c r="J1103">
        <v>1351.47</v>
      </c>
      <c r="K1103">
        <v>1351.47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459</v>
      </c>
    </row>
    <row r="1104" spans="1:17" x14ac:dyDescent="0.3">
      <c r="A1104">
        <v>191147</v>
      </c>
      <c r="B1104">
        <v>105</v>
      </c>
      <c r="C1104" t="s">
        <v>557</v>
      </c>
      <c r="D1104" t="s">
        <v>3709</v>
      </c>
      <c r="E1104" t="s">
        <v>3710</v>
      </c>
      <c r="F1104" s="451">
        <v>46028</v>
      </c>
      <c r="H1104" s="451">
        <v>46058</v>
      </c>
      <c r="I1104">
        <v>512.62</v>
      </c>
      <c r="J1104">
        <v>512.62</v>
      </c>
      <c r="K1104">
        <v>0</v>
      </c>
      <c r="L1104">
        <v>0</v>
      </c>
      <c r="M1104">
        <v>0</v>
      </c>
      <c r="N1104">
        <v>0</v>
      </c>
      <c r="O1104">
        <v>512.62</v>
      </c>
      <c r="P1104">
        <v>0</v>
      </c>
      <c r="Q1104" t="s">
        <v>459</v>
      </c>
    </row>
    <row r="1105" spans="1:17" x14ac:dyDescent="0.3">
      <c r="A1105">
        <v>191146</v>
      </c>
      <c r="B1105">
        <v>105</v>
      </c>
      <c r="C1105" t="s">
        <v>557</v>
      </c>
      <c r="D1105" t="s">
        <v>2697</v>
      </c>
      <c r="E1105" t="s">
        <v>3711</v>
      </c>
      <c r="F1105" s="451">
        <v>46030</v>
      </c>
      <c r="G1105" s="451">
        <v>46030</v>
      </c>
      <c r="H1105" s="451">
        <v>46045</v>
      </c>
      <c r="I1105">
        <v>245.64</v>
      </c>
      <c r="J1105">
        <v>224.64</v>
      </c>
      <c r="K1105">
        <v>0</v>
      </c>
      <c r="L1105">
        <v>245.64</v>
      </c>
      <c r="M1105">
        <v>0</v>
      </c>
      <c r="N1105">
        <v>0</v>
      </c>
      <c r="O1105">
        <v>0</v>
      </c>
      <c r="P1105">
        <v>0</v>
      </c>
      <c r="Q1105" t="s">
        <v>459</v>
      </c>
    </row>
    <row r="1106" spans="1:17" x14ac:dyDescent="0.3">
      <c r="A1106">
        <v>191144</v>
      </c>
      <c r="B1106">
        <v>105</v>
      </c>
      <c r="C1106" t="s">
        <v>557</v>
      </c>
      <c r="D1106" t="s">
        <v>2644</v>
      </c>
      <c r="E1106" t="s">
        <v>3712</v>
      </c>
      <c r="F1106" s="451">
        <v>46027</v>
      </c>
      <c r="H1106" s="451">
        <v>46062</v>
      </c>
      <c r="I1106">
        <v>150.58000000000001</v>
      </c>
      <c r="J1106">
        <v>82.54</v>
      </c>
      <c r="K1106">
        <v>0</v>
      </c>
      <c r="L1106">
        <v>0</v>
      </c>
      <c r="M1106">
        <v>150.58000000000001</v>
      </c>
      <c r="N1106">
        <v>0</v>
      </c>
      <c r="O1106">
        <v>0</v>
      </c>
      <c r="P1106">
        <v>0</v>
      </c>
      <c r="Q1106" t="s">
        <v>459</v>
      </c>
    </row>
    <row r="1107" spans="1:17" x14ac:dyDescent="0.3">
      <c r="A1107">
        <v>191143</v>
      </c>
      <c r="B1107">
        <v>105</v>
      </c>
      <c r="C1107" t="s">
        <v>557</v>
      </c>
      <c r="D1107" t="s">
        <v>2571</v>
      </c>
      <c r="E1107" t="s">
        <v>3713</v>
      </c>
      <c r="F1107" s="451">
        <v>46030</v>
      </c>
      <c r="G1107" s="451">
        <v>46030</v>
      </c>
      <c r="H1107" s="451">
        <v>46058</v>
      </c>
      <c r="I1107">
        <v>2594.0700000000002</v>
      </c>
      <c r="J1107">
        <v>2442.16</v>
      </c>
      <c r="K1107">
        <v>2594.0700000000002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459</v>
      </c>
    </row>
    <row r="1108" spans="1:17" x14ac:dyDescent="0.3">
      <c r="A1108">
        <v>191141</v>
      </c>
      <c r="B1108">
        <v>105</v>
      </c>
      <c r="C1108" t="s">
        <v>557</v>
      </c>
      <c r="D1108" t="s">
        <v>2563</v>
      </c>
      <c r="E1108" t="s">
        <v>3714</v>
      </c>
      <c r="F1108" s="451">
        <v>46029</v>
      </c>
      <c r="G1108" s="451">
        <v>46029</v>
      </c>
      <c r="H1108" s="451">
        <v>46057</v>
      </c>
      <c r="I1108">
        <v>41.94</v>
      </c>
      <c r="J1108">
        <v>41.94</v>
      </c>
      <c r="K1108">
        <v>41.94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459</v>
      </c>
    </row>
    <row r="1109" spans="1:17" x14ac:dyDescent="0.3">
      <c r="A1109">
        <v>191140</v>
      </c>
      <c r="B1109">
        <v>105</v>
      </c>
      <c r="C1109" t="s">
        <v>557</v>
      </c>
      <c r="D1109" t="s">
        <v>2563</v>
      </c>
      <c r="E1109" t="s">
        <v>3715</v>
      </c>
      <c r="F1109" s="451">
        <v>46030</v>
      </c>
      <c r="G1109" s="451">
        <v>46030</v>
      </c>
      <c r="H1109" s="451">
        <v>46058</v>
      </c>
      <c r="I1109">
        <v>409.33</v>
      </c>
      <c r="J1109">
        <v>383.75</v>
      </c>
      <c r="K1109">
        <v>409.33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459</v>
      </c>
    </row>
    <row r="1110" spans="1:17" x14ac:dyDescent="0.3">
      <c r="A1110">
        <v>191139</v>
      </c>
      <c r="B1110">
        <v>105</v>
      </c>
      <c r="C1110" t="s">
        <v>557</v>
      </c>
      <c r="D1110" t="s">
        <v>2690</v>
      </c>
      <c r="E1110" t="s">
        <v>3716</v>
      </c>
      <c r="F1110" s="451">
        <v>46030</v>
      </c>
      <c r="G1110" s="451">
        <v>46030</v>
      </c>
      <c r="H1110" s="451">
        <v>46052</v>
      </c>
      <c r="I1110">
        <v>71.86</v>
      </c>
      <c r="J1110">
        <v>71.86</v>
      </c>
      <c r="K1110">
        <v>0</v>
      </c>
      <c r="L1110">
        <v>71.86</v>
      </c>
      <c r="M1110">
        <v>0</v>
      </c>
      <c r="N1110">
        <v>0</v>
      </c>
      <c r="O1110">
        <v>0</v>
      </c>
      <c r="P1110">
        <v>0</v>
      </c>
      <c r="Q1110" t="s">
        <v>459</v>
      </c>
    </row>
    <row r="1111" spans="1:17" x14ac:dyDescent="0.3">
      <c r="A1111">
        <v>191138</v>
      </c>
      <c r="B1111">
        <v>105</v>
      </c>
      <c r="C1111" t="s">
        <v>557</v>
      </c>
      <c r="D1111" t="s">
        <v>2699</v>
      </c>
      <c r="E1111" t="s">
        <v>3717</v>
      </c>
      <c r="F1111" s="451">
        <v>46030</v>
      </c>
      <c r="G1111" s="451">
        <v>46030</v>
      </c>
      <c r="H1111" s="451">
        <v>46058</v>
      </c>
      <c r="I1111">
        <v>107.9</v>
      </c>
      <c r="J1111">
        <v>107.9</v>
      </c>
      <c r="K1111">
        <v>0</v>
      </c>
      <c r="L1111">
        <v>107.9</v>
      </c>
      <c r="M1111">
        <v>0</v>
      </c>
      <c r="N1111">
        <v>0</v>
      </c>
      <c r="O1111">
        <v>0</v>
      </c>
      <c r="P1111">
        <v>0</v>
      </c>
      <c r="Q1111" t="s">
        <v>459</v>
      </c>
    </row>
    <row r="1112" spans="1:17" x14ac:dyDescent="0.3">
      <c r="A1112">
        <v>191137</v>
      </c>
      <c r="B1112">
        <v>105</v>
      </c>
      <c r="C1112" t="s">
        <v>557</v>
      </c>
      <c r="D1112" t="s">
        <v>2716</v>
      </c>
      <c r="E1112" t="s">
        <v>3718</v>
      </c>
      <c r="F1112" s="451">
        <v>46029</v>
      </c>
      <c r="G1112" s="451">
        <v>46029</v>
      </c>
      <c r="H1112" s="451">
        <v>46051</v>
      </c>
      <c r="I1112">
        <v>275</v>
      </c>
      <c r="J1112">
        <v>240</v>
      </c>
      <c r="K1112">
        <v>275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459</v>
      </c>
    </row>
    <row r="1113" spans="1:17" x14ac:dyDescent="0.3">
      <c r="A1113">
        <v>190416</v>
      </c>
      <c r="B1113">
        <v>105</v>
      </c>
      <c r="C1113" t="s">
        <v>557</v>
      </c>
      <c r="D1113" t="s">
        <v>2550</v>
      </c>
      <c r="E1113" t="s">
        <v>3719</v>
      </c>
      <c r="F1113" s="451">
        <v>46027</v>
      </c>
      <c r="G1113" s="451">
        <v>46027</v>
      </c>
      <c r="H1113" s="451">
        <v>46057</v>
      </c>
      <c r="I1113">
        <v>1025.23</v>
      </c>
      <c r="J1113">
        <v>962.65</v>
      </c>
      <c r="K1113">
        <v>0</v>
      </c>
      <c r="L1113">
        <v>1025.23</v>
      </c>
      <c r="M1113">
        <v>0</v>
      </c>
      <c r="N1113">
        <v>0</v>
      </c>
      <c r="O1113">
        <v>0</v>
      </c>
      <c r="P1113">
        <v>0</v>
      </c>
      <c r="Q1113" t="s">
        <v>459</v>
      </c>
    </row>
    <row r="1114" spans="1:17" x14ac:dyDescent="0.3">
      <c r="A1114">
        <v>190414</v>
      </c>
      <c r="B1114">
        <v>105</v>
      </c>
      <c r="C1114" t="s">
        <v>557</v>
      </c>
      <c r="D1114" t="s">
        <v>2597</v>
      </c>
      <c r="E1114" t="s">
        <v>3720</v>
      </c>
      <c r="F1114" s="451">
        <v>46028</v>
      </c>
      <c r="G1114" s="451">
        <v>46028</v>
      </c>
      <c r="H1114" s="451">
        <v>46056</v>
      </c>
      <c r="I1114">
        <v>7156.9</v>
      </c>
      <c r="J1114">
        <v>7216.8</v>
      </c>
      <c r="K1114">
        <v>7156.9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459</v>
      </c>
    </row>
    <row r="1115" spans="1:17" x14ac:dyDescent="0.3">
      <c r="A1115">
        <v>190413</v>
      </c>
      <c r="B1115">
        <v>105</v>
      </c>
      <c r="C1115" t="s">
        <v>557</v>
      </c>
      <c r="D1115" t="s">
        <v>3462</v>
      </c>
      <c r="E1115" t="s">
        <v>3721</v>
      </c>
      <c r="F1115" s="451">
        <v>46028</v>
      </c>
      <c r="H1115" s="451">
        <v>46056</v>
      </c>
      <c r="I1115">
        <v>502.4</v>
      </c>
      <c r="J1115">
        <v>502.4</v>
      </c>
      <c r="K1115">
        <v>0</v>
      </c>
      <c r="L1115">
        <v>0</v>
      </c>
      <c r="M1115">
        <v>416.6</v>
      </c>
      <c r="N1115">
        <v>0</v>
      </c>
      <c r="O1115">
        <v>85.8</v>
      </c>
      <c r="P1115">
        <v>0</v>
      </c>
      <c r="Q1115" t="s">
        <v>459</v>
      </c>
    </row>
    <row r="1116" spans="1:17" x14ac:dyDescent="0.3">
      <c r="A1116">
        <v>190410</v>
      </c>
      <c r="B1116">
        <v>105</v>
      </c>
      <c r="C1116" t="s">
        <v>557</v>
      </c>
      <c r="D1116" t="s">
        <v>2593</v>
      </c>
      <c r="E1116" t="s">
        <v>3722</v>
      </c>
      <c r="F1116" s="451">
        <v>46027</v>
      </c>
      <c r="G1116" s="451">
        <v>46027</v>
      </c>
      <c r="H1116" s="451">
        <v>46062</v>
      </c>
      <c r="I1116">
        <v>978</v>
      </c>
      <c r="J1116">
        <v>978</v>
      </c>
      <c r="K1116">
        <v>978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459</v>
      </c>
    </row>
    <row r="1117" spans="1:17" x14ac:dyDescent="0.3">
      <c r="A1117">
        <v>190408</v>
      </c>
      <c r="B1117">
        <v>105</v>
      </c>
      <c r="C1117" t="s">
        <v>557</v>
      </c>
      <c r="D1117" t="s">
        <v>3723</v>
      </c>
      <c r="E1117" t="s">
        <v>3724</v>
      </c>
      <c r="F1117" s="451">
        <v>46027</v>
      </c>
      <c r="G1117" s="451">
        <v>46027</v>
      </c>
      <c r="H1117" s="451">
        <v>46055</v>
      </c>
      <c r="I1117">
        <v>413.06</v>
      </c>
      <c r="J1117">
        <v>413.06</v>
      </c>
      <c r="K1117">
        <v>413.06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459</v>
      </c>
    </row>
    <row r="1118" spans="1:17" x14ac:dyDescent="0.3">
      <c r="A1118">
        <v>190402</v>
      </c>
      <c r="B1118">
        <v>105</v>
      </c>
      <c r="C1118" t="s">
        <v>557</v>
      </c>
      <c r="D1118" t="s">
        <v>2603</v>
      </c>
      <c r="E1118" t="s">
        <v>3725</v>
      </c>
      <c r="F1118" s="451">
        <v>46029</v>
      </c>
      <c r="G1118" s="451">
        <v>46029</v>
      </c>
      <c r="H1118" s="451">
        <v>46044</v>
      </c>
      <c r="I1118">
        <v>984.02</v>
      </c>
      <c r="J1118">
        <v>984.02</v>
      </c>
      <c r="K1118">
        <v>984.02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459</v>
      </c>
    </row>
    <row r="1119" spans="1:17" x14ac:dyDescent="0.3">
      <c r="A1119">
        <v>190393</v>
      </c>
      <c r="B1119">
        <v>105</v>
      </c>
      <c r="C1119" t="s">
        <v>557</v>
      </c>
      <c r="D1119" t="s">
        <v>2563</v>
      </c>
      <c r="E1119" t="s">
        <v>3726</v>
      </c>
      <c r="F1119" s="451">
        <v>46028</v>
      </c>
      <c r="G1119" s="451">
        <v>46028</v>
      </c>
      <c r="H1119" s="451">
        <v>46056</v>
      </c>
      <c r="I1119">
        <v>221.3</v>
      </c>
      <c r="J1119">
        <v>222.3</v>
      </c>
      <c r="K1119">
        <v>221.3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459</v>
      </c>
    </row>
    <row r="1120" spans="1:17" x14ac:dyDescent="0.3">
      <c r="A1120">
        <v>190392</v>
      </c>
      <c r="B1120">
        <v>105</v>
      </c>
      <c r="C1120" t="s">
        <v>557</v>
      </c>
      <c r="D1120" t="s">
        <v>2792</v>
      </c>
      <c r="E1120" t="s">
        <v>3727</v>
      </c>
      <c r="F1120" s="451">
        <v>46028</v>
      </c>
      <c r="G1120" s="451">
        <v>46028</v>
      </c>
      <c r="H1120" s="451">
        <v>46042</v>
      </c>
      <c r="I1120">
        <v>580.20000000000005</v>
      </c>
      <c r="J1120">
        <v>547.20000000000005</v>
      </c>
      <c r="K1120">
        <v>580.20000000000005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459</v>
      </c>
    </row>
    <row r="1121" spans="1:17" x14ac:dyDescent="0.3">
      <c r="A1121">
        <v>190391</v>
      </c>
      <c r="B1121">
        <v>105</v>
      </c>
      <c r="C1121" t="s">
        <v>557</v>
      </c>
      <c r="D1121" t="s">
        <v>3044</v>
      </c>
      <c r="E1121" t="s">
        <v>3728</v>
      </c>
      <c r="F1121" s="451">
        <v>46027</v>
      </c>
      <c r="G1121" s="451">
        <v>46027</v>
      </c>
      <c r="H1121" s="451">
        <v>46055</v>
      </c>
      <c r="I1121">
        <v>643.74</v>
      </c>
      <c r="J1121">
        <v>643.74</v>
      </c>
      <c r="K1121">
        <v>643.74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459</v>
      </c>
    </row>
    <row r="1122" spans="1:17" x14ac:dyDescent="0.3">
      <c r="A1122">
        <v>190390</v>
      </c>
      <c r="B1122">
        <v>105</v>
      </c>
      <c r="C1122" t="s">
        <v>557</v>
      </c>
      <c r="D1122" t="s">
        <v>3723</v>
      </c>
      <c r="E1122" t="s">
        <v>3729</v>
      </c>
      <c r="F1122" s="451">
        <v>46027</v>
      </c>
      <c r="G1122" s="451">
        <v>46027</v>
      </c>
      <c r="H1122" s="451">
        <v>46055</v>
      </c>
      <c r="I1122">
        <v>828.67</v>
      </c>
      <c r="J1122">
        <v>826.27</v>
      </c>
      <c r="K1122">
        <v>828.67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459</v>
      </c>
    </row>
    <row r="1123" spans="1:17" x14ac:dyDescent="0.3">
      <c r="A1123">
        <v>190376</v>
      </c>
      <c r="B1123">
        <v>105</v>
      </c>
      <c r="C1123" t="s">
        <v>557</v>
      </c>
      <c r="D1123" t="s">
        <v>3723</v>
      </c>
      <c r="E1123" t="s">
        <v>3730</v>
      </c>
      <c r="F1123" s="451">
        <v>46024</v>
      </c>
      <c r="G1123" s="451">
        <v>46024</v>
      </c>
      <c r="H1123" s="451">
        <v>46052</v>
      </c>
      <c r="I1123">
        <v>127.93</v>
      </c>
      <c r="J1123">
        <v>125.53</v>
      </c>
      <c r="K1123">
        <v>127.93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459</v>
      </c>
    </row>
    <row r="1124" spans="1:17" x14ac:dyDescent="0.3">
      <c r="A1124">
        <v>190375</v>
      </c>
      <c r="B1124">
        <v>105</v>
      </c>
      <c r="C1124" t="s">
        <v>557</v>
      </c>
      <c r="D1124" t="s">
        <v>2716</v>
      </c>
      <c r="E1124" t="s">
        <v>3731</v>
      </c>
      <c r="F1124" s="451">
        <v>46023</v>
      </c>
      <c r="G1124" s="451">
        <v>46023</v>
      </c>
      <c r="H1124" s="451">
        <v>46048</v>
      </c>
      <c r="I1124">
        <v>215</v>
      </c>
      <c r="J1124">
        <v>180</v>
      </c>
      <c r="K1124">
        <v>215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459</v>
      </c>
    </row>
    <row r="1125" spans="1:17" x14ac:dyDescent="0.3">
      <c r="A1125">
        <v>190373</v>
      </c>
      <c r="B1125">
        <v>105</v>
      </c>
      <c r="C1125" t="s">
        <v>557</v>
      </c>
      <c r="D1125" t="s">
        <v>2590</v>
      </c>
      <c r="E1125" t="s">
        <v>3732</v>
      </c>
      <c r="F1125" s="451">
        <v>46027</v>
      </c>
      <c r="G1125" s="451">
        <v>46027</v>
      </c>
      <c r="H1125" s="451">
        <v>46058</v>
      </c>
      <c r="I1125">
        <v>892.08</v>
      </c>
      <c r="J1125">
        <v>702.08</v>
      </c>
      <c r="K1125">
        <v>0</v>
      </c>
      <c r="L1125">
        <v>892.08</v>
      </c>
      <c r="M1125">
        <v>0</v>
      </c>
      <c r="N1125">
        <v>0</v>
      </c>
      <c r="O1125">
        <v>0</v>
      </c>
      <c r="P1125">
        <v>0</v>
      </c>
      <c r="Q1125" t="s">
        <v>459</v>
      </c>
    </row>
    <row r="1126" spans="1:17" x14ac:dyDescent="0.3">
      <c r="A1126">
        <v>190370</v>
      </c>
      <c r="B1126">
        <v>105</v>
      </c>
      <c r="C1126" t="s">
        <v>557</v>
      </c>
      <c r="D1126" t="s">
        <v>2590</v>
      </c>
      <c r="E1126" t="s">
        <v>3733</v>
      </c>
      <c r="F1126" s="451">
        <v>46026</v>
      </c>
      <c r="G1126" s="451">
        <v>46026</v>
      </c>
      <c r="H1126" s="451">
        <v>46057</v>
      </c>
      <c r="I1126">
        <v>5375.8</v>
      </c>
      <c r="J1126">
        <v>4002.76</v>
      </c>
      <c r="K1126">
        <v>0</v>
      </c>
      <c r="L1126">
        <v>5375.8</v>
      </c>
      <c r="M1126">
        <v>0</v>
      </c>
      <c r="N1126">
        <v>0</v>
      </c>
      <c r="O1126">
        <v>0</v>
      </c>
      <c r="P1126">
        <v>0</v>
      </c>
      <c r="Q1126" t="s">
        <v>459</v>
      </c>
    </row>
    <row r="1127" spans="1:17" x14ac:dyDescent="0.3">
      <c r="A1127">
        <v>190369</v>
      </c>
      <c r="B1127">
        <v>105</v>
      </c>
      <c r="C1127" t="s">
        <v>557</v>
      </c>
      <c r="D1127" t="s">
        <v>3425</v>
      </c>
      <c r="E1127" t="s">
        <v>3734</v>
      </c>
      <c r="F1127" s="451">
        <v>46027</v>
      </c>
      <c r="G1127" s="451">
        <v>46027</v>
      </c>
      <c r="H1127" s="451">
        <v>46055</v>
      </c>
      <c r="I1127">
        <v>670.79</v>
      </c>
      <c r="J1127">
        <v>670.79</v>
      </c>
      <c r="K1127">
        <v>0</v>
      </c>
      <c r="L1127">
        <v>670.79</v>
      </c>
      <c r="M1127">
        <v>0</v>
      </c>
      <c r="N1127">
        <v>0</v>
      </c>
      <c r="O1127">
        <v>0</v>
      </c>
      <c r="P1127">
        <v>0</v>
      </c>
      <c r="Q1127" t="s">
        <v>459</v>
      </c>
    </row>
    <row r="1128" spans="1:17" x14ac:dyDescent="0.3">
      <c r="A1128">
        <v>190367</v>
      </c>
      <c r="B1128">
        <v>105</v>
      </c>
      <c r="C1128" t="s">
        <v>557</v>
      </c>
      <c r="D1128" t="s">
        <v>2637</v>
      </c>
      <c r="E1128" t="s">
        <v>3547</v>
      </c>
      <c r="F1128" s="451">
        <v>46028</v>
      </c>
      <c r="G1128" s="451">
        <v>46028</v>
      </c>
      <c r="H1128" s="451">
        <v>46056</v>
      </c>
      <c r="I1128">
        <v>394.8</v>
      </c>
      <c r="J1128">
        <v>394.8</v>
      </c>
      <c r="K1128">
        <v>0</v>
      </c>
      <c r="L1128">
        <v>394.8</v>
      </c>
      <c r="M1128">
        <v>0</v>
      </c>
      <c r="N1128">
        <v>0</v>
      </c>
      <c r="O1128">
        <v>0</v>
      </c>
      <c r="P1128">
        <v>0</v>
      </c>
      <c r="Q1128" t="s">
        <v>459</v>
      </c>
    </row>
    <row r="1129" spans="1:17" x14ac:dyDescent="0.3">
      <c r="A1129">
        <v>190366</v>
      </c>
      <c r="B1129">
        <v>105</v>
      </c>
      <c r="C1129" t="s">
        <v>557</v>
      </c>
      <c r="D1129" t="s">
        <v>2581</v>
      </c>
      <c r="E1129" t="s">
        <v>3735</v>
      </c>
      <c r="F1129" s="451">
        <v>46025</v>
      </c>
      <c r="G1129" s="451">
        <v>46025</v>
      </c>
      <c r="H1129" s="451">
        <v>46052</v>
      </c>
      <c r="I1129">
        <v>414.9</v>
      </c>
      <c r="J1129">
        <v>414.9</v>
      </c>
      <c r="K1129">
        <v>414.9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459</v>
      </c>
    </row>
    <row r="1130" spans="1:17" x14ac:dyDescent="0.3">
      <c r="A1130">
        <v>190364</v>
      </c>
      <c r="B1130">
        <v>105</v>
      </c>
      <c r="C1130" t="s">
        <v>557</v>
      </c>
      <c r="D1130" t="s">
        <v>2581</v>
      </c>
      <c r="E1130" t="s">
        <v>3736</v>
      </c>
      <c r="F1130" s="451">
        <v>46027</v>
      </c>
      <c r="G1130" s="451">
        <v>46027</v>
      </c>
      <c r="H1130" s="451">
        <v>46055</v>
      </c>
      <c r="I1130">
        <v>316.14999999999998</v>
      </c>
      <c r="J1130">
        <v>316.14999999999998</v>
      </c>
      <c r="K1130">
        <v>316.14999999999998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459</v>
      </c>
    </row>
    <row r="1131" spans="1:17" x14ac:dyDescent="0.3">
      <c r="A1131">
        <v>190363</v>
      </c>
      <c r="B1131">
        <v>105</v>
      </c>
      <c r="C1131" t="s">
        <v>557</v>
      </c>
      <c r="D1131" t="s">
        <v>2581</v>
      </c>
      <c r="E1131" t="s">
        <v>3737</v>
      </c>
      <c r="F1131" s="451">
        <v>46028</v>
      </c>
      <c r="G1131" s="451">
        <v>46028</v>
      </c>
      <c r="H1131" s="451">
        <v>46056</v>
      </c>
      <c r="I1131">
        <v>125.45</v>
      </c>
      <c r="J1131">
        <v>125.45</v>
      </c>
      <c r="K1131">
        <v>125.45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459</v>
      </c>
    </row>
    <row r="1132" spans="1:17" x14ac:dyDescent="0.3">
      <c r="A1132">
        <v>190362</v>
      </c>
      <c r="B1132">
        <v>105</v>
      </c>
      <c r="C1132" t="s">
        <v>557</v>
      </c>
      <c r="D1132" t="s">
        <v>3738</v>
      </c>
      <c r="E1132" t="s">
        <v>3739</v>
      </c>
      <c r="F1132" s="451">
        <v>46027</v>
      </c>
      <c r="H1132" s="451">
        <v>46052</v>
      </c>
      <c r="I1132">
        <v>417.06</v>
      </c>
      <c r="J1132">
        <v>417.06</v>
      </c>
      <c r="K1132">
        <v>0</v>
      </c>
      <c r="L1132">
        <v>0</v>
      </c>
      <c r="M1132">
        <v>0</v>
      </c>
      <c r="N1132">
        <v>417.06</v>
      </c>
      <c r="O1132">
        <v>0</v>
      </c>
      <c r="P1132">
        <v>0</v>
      </c>
      <c r="Q1132" t="s">
        <v>459</v>
      </c>
    </row>
    <row r="1133" spans="1:17" x14ac:dyDescent="0.3">
      <c r="A1133">
        <v>190361</v>
      </c>
      <c r="B1133">
        <v>105</v>
      </c>
      <c r="C1133" t="s">
        <v>557</v>
      </c>
      <c r="D1133" t="s">
        <v>2569</v>
      </c>
      <c r="E1133" t="s">
        <v>3740</v>
      </c>
      <c r="F1133" s="451">
        <v>46027</v>
      </c>
      <c r="G1133" s="451">
        <v>46027</v>
      </c>
      <c r="H1133" s="451">
        <v>46063</v>
      </c>
      <c r="I1133">
        <v>504</v>
      </c>
      <c r="J1133">
        <v>504</v>
      </c>
      <c r="K1133">
        <v>0</v>
      </c>
      <c r="L1133">
        <v>504</v>
      </c>
      <c r="M1133">
        <v>0</v>
      </c>
      <c r="N1133">
        <v>0</v>
      </c>
      <c r="O1133">
        <v>0</v>
      </c>
      <c r="P1133">
        <v>0</v>
      </c>
      <c r="Q1133" t="s">
        <v>459</v>
      </c>
    </row>
    <row r="1134" spans="1:17" x14ac:dyDescent="0.3">
      <c r="A1134">
        <v>190349</v>
      </c>
      <c r="B1134">
        <v>105</v>
      </c>
      <c r="C1134" t="s">
        <v>557</v>
      </c>
      <c r="D1134" t="s">
        <v>2563</v>
      </c>
      <c r="E1134" t="s">
        <v>3741</v>
      </c>
      <c r="F1134" s="451">
        <v>46024</v>
      </c>
      <c r="G1134" s="451">
        <v>46024</v>
      </c>
      <c r="H1134" s="451">
        <v>46052</v>
      </c>
      <c r="I1134">
        <v>571.22</v>
      </c>
      <c r="J1134">
        <v>544.84</v>
      </c>
      <c r="K1134">
        <v>571.22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459</v>
      </c>
    </row>
    <row r="1135" spans="1:17" x14ac:dyDescent="0.3">
      <c r="A1135">
        <v>190334</v>
      </c>
      <c r="B1135">
        <v>105</v>
      </c>
      <c r="C1135" t="s">
        <v>557</v>
      </c>
      <c r="D1135" t="s">
        <v>2563</v>
      </c>
      <c r="E1135" t="s">
        <v>3742</v>
      </c>
      <c r="F1135" s="451">
        <v>46027</v>
      </c>
      <c r="G1135" s="451">
        <v>46027</v>
      </c>
      <c r="H1135" s="451">
        <v>46055</v>
      </c>
      <c r="I1135">
        <v>748.13</v>
      </c>
      <c r="J1135">
        <v>721.15</v>
      </c>
      <c r="K1135">
        <v>748.13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459</v>
      </c>
    </row>
    <row r="1136" spans="1:17" x14ac:dyDescent="0.3">
      <c r="A1136">
        <v>190333</v>
      </c>
      <c r="B1136">
        <v>105</v>
      </c>
      <c r="C1136" t="s">
        <v>557</v>
      </c>
      <c r="D1136" t="s">
        <v>2605</v>
      </c>
      <c r="E1136" t="s">
        <v>3743</v>
      </c>
      <c r="F1136" s="451">
        <v>46028</v>
      </c>
      <c r="G1136" s="451">
        <v>46028</v>
      </c>
      <c r="H1136" s="451">
        <v>46056</v>
      </c>
      <c r="I1136">
        <v>670.1</v>
      </c>
      <c r="J1136">
        <v>670.1</v>
      </c>
      <c r="K1136">
        <v>0</v>
      </c>
      <c r="L1136">
        <v>670.1</v>
      </c>
      <c r="M1136">
        <v>0</v>
      </c>
      <c r="N1136">
        <v>0</v>
      </c>
      <c r="O1136">
        <v>0</v>
      </c>
      <c r="P1136">
        <v>0</v>
      </c>
      <c r="Q1136" t="s">
        <v>459</v>
      </c>
    </row>
    <row r="1137" spans="1:17" x14ac:dyDescent="0.3">
      <c r="A1137">
        <v>190319</v>
      </c>
      <c r="B1137">
        <v>105</v>
      </c>
      <c r="C1137" t="s">
        <v>557</v>
      </c>
      <c r="D1137" t="s">
        <v>2690</v>
      </c>
      <c r="E1137" t="s">
        <v>3744</v>
      </c>
      <c r="F1137" s="451">
        <v>46028</v>
      </c>
      <c r="G1137" s="451">
        <v>46028</v>
      </c>
      <c r="H1137" s="451">
        <v>46050</v>
      </c>
      <c r="I1137">
        <v>132.94999999999999</v>
      </c>
      <c r="J1137">
        <v>132.94999999999999</v>
      </c>
      <c r="K1137">
        <v>18.75</v>
      </c>
      <c r="L1137">
        <v>114.2</v>
      </c>
      <c r="M1137">
        <v>0</v>
      </c>
      <c r="N1137">
        <v>0</v>
      </c>
      <c r="O1137">
        <v>0</v>
      </c>
      <c r="P1137">
        <v>0</v>
      </c>
      <c r="Q1137" t="s">
        <v>459</v>
      </c>
    </row>
    <row r="1138" spans="1:17" x14ac:dyDescent="0.3">
      <c r="A1138">
        <v>189845</v>
      </c>
      <c r="B1138">
        <v>105</v>
      </c>
      <c r="C1138" t="s">
        <v>557</v>
      </c>
      <c r="D1138" t="s">
        <v>3646</v>
      </c>
      <c r="E1138" t="s">
        <v>3745</v>
      </c>
      <c r="F1138" s="451">
        <v>46023</v>
      </c>
      <c r="G1138" s="451">
        <v>46023</v>
      </c>
      <c r="H1138" s="451">
        <v>46037</v>
      </c>
      <c r="I1138">
        <v>2000.11</v>
      </c>
      <c r="J1138">
        <v>2000.22</v>
      </c>
      <c r="K1138">
        <v>2000.11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459</v>
      </c>
    </row>
    <row r="1139" spans="1:17" x14ac:dyDescent="0.3">
      <c r="A1139">
        <v>189821</v>
      </c>
      <c r="B1139">
        <v>105</v>
      </c>
      <c r="C1139" t="s">
        <v>557</v>
      </c>
      <c r="D1139" t="s">
        <v>2600</v>
      </c>
      <c r="E1139" t="s">
        <v>3746</v>
      </c>
      <c r="F1139" s="451">
        <v>46000</v>
      </c>
      <c r="G1139" s="451">
        <v>46000</v>
      </c>
      <c r="H1139" s="451">
        <v>46034</v>
      </c>
      <c r="I1139">
        <v>439.78</v>
      </c>
      <c r="J1139">
        <v>439.78</v>
      </c>
      <c r="K1139">
        <v>439.78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458</v>
      </c>
    </row>
    <row r="1140" spans="1:17" x14ac:dyDescent="0.3">
      <c r="A1140">
        <v>189725</v>
      </c>
      <c r="B1140">
        <v>105</v>
      </c>
      <c r="C1140" t="s">
        <v>557</v>
      </c>
      <c r="D1140" t="s">
        <v>2569</v>
      </c>
      <c r="E1140" t="s">
        <v>3747</v>
      </c>
      <c r="F1140" s="451">
        <v>45999</v>
      </c>
      <c r="G1140" s="451">
        <v>45999</v>
      </c>
      <c r="H1140" s="451">
        <v>46035</v>
      </c>
      <c r="I1140">
        <v>904.5</v>
      </c>
      <c r="J1140">
        <v>904.5</v>
      </c>
      <c r="K1140">
        <v>0</v>
      </c>
      <c r="L1140">
        <v>904.5</v>
      </c>
      <c r="M1140">
        <v>0</v>
      </c>
      <c r="N1140">
        <v>0</v>
      </c>
      <c r="O1140">
        <v>0</v>
      </c>
      <c r="P1140">
        <v>0</v>
      </c>
      <c r="Q1140" t="s">
        <v>458</v>
      </c>
    </row>
    <row r="1141" spans="1:17" x14ac:dyDescent="0.3">
      <c r="A1141">
        <v>189724</v>
      </c>
      <c r="B1141">
        <v>105</v>
      </c>
      <c r="C1141" t="s">
        <v>557</v>
      </c>
      <c r="D1141" t="s">
        <v>3425</v>
      </c>
      <c r="E1141" t="s">
        <v>3748</v>
      </c>
      <c r="F1141" s="451">
        <v>45999</v>
      </c>
      <c r="G1141" s="451">
        <v>45999</v>
      </c>
      <c r="H1141" s="451">
        <v>46034</v>
      </c>
      <c r="I1141">
        <v>932.8</v>
      </c>
      <c r="J1141">
        <v>932.8</v>
      </c>
      <c r="K1141">
        <v>0</v>
      </c>
      <c r="L1141">
        <v>932.8</v>
      </c>
      <c r="M1141">
        <v>0</v>
      </c>
      <c r="N1141">
        <v>0</v>
      </c>
      <c r="O1141">
        <v>0</v>
      </c>
      <c r="P1141">
        <v>0</v>
      </c>
      <c r="Q1141" t="s">
        <v>458</v>
      </c>
    </row>
    <row r="1142" spans="1:17" x14ac:dyDescent="0.3">
      <c r="A1142">
        <v>189723</v>
      </c>
      <c r="B1142">
        <v>105</v>
      </c>
      <c r="C1142" t="s">
        <v>557</v>
      </c>
      <c r="D1142" t="s">
        <v>2607</v>
      </c>
      <c r="E1142" t="s">
        <v>3749</v>
      </c>
      <c r="F1142" s="451">
        <v>45999</v>
      </c>
      <c r="G1142" s="451">
        <v>45999</v>
      </c>
      <c r="H1142" s="451">
        <v>46034</v>
      </c>
      <c r="I1142">
        <v>1886.48</v>
      </c>
      <c r="J1142">
        <v>1813.92</v>
      </c>
      <c r="K1142">
        <v>1886.48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458</v>
      </c>
    </row>
    <row r="1143" spans="1:17" x14ac:dyDescent="0.3">
      <c r="A1143">
        <v>189722</v>
      </c>
      <c r="B1143">
        <v>105</v>
      </c>
      <c r="C1143" t="s">
        <v>557</v>
      </c>
      <c r="D1143" t="s">
        <v>2607</v>
      </c>
      <c r="E1143" t="s">
        <v>3750</v>
      </c>
      <c r="F1143" s="451">
        <v>45999</v>
      </c>
      <c r="G1143" s="451">
        <v>45999</v>
      </c>
      <c r="H1143" s="451">
        <v>46034</v>
      </c>
      <c r="I1143">
        <v>3171.91</v>
      </c>
      <c r="J1143">
        <v>3064.65</v>
      </c>
      <c r="K1143">
        <v>3171.91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458</v>
      </c>
    </row>
    <row r="1144" spans="1:17" x14ac:dyDescent="0.3">
      <c r="A1144">
        <v>189721</v>
      </c>
      <c r="B1144">
        <v>105</v>
      </c>
      <c r="C1144" t="s">
        <v>557</v>
      </c>
      <c r="D1144" t="s">
        <v>2716</v>
      </c>
      <c r="E1144" t="s">
        <v>3751</v>
      </c>
      <c r="F1144" s="451">
        <v>45999</v>
      </c>
      <c r="G1144" s="451">
        <v>45999</v>
      </c>
      <c r="H1144" s="451">
        <v>46034</v>
      </c>
      <c r="I1144">
        <v>120</v>
      </c>
      <c r="J1144">
        <v>120</v>
      </c>
      <c r="K1144">
        <v>120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458</v>
      </c>
    </row>
    <row r="1145" spans="1:17" x14ac:dyDescent="0.3">
      <c r="A1145">
        <v>189720</v>
      </c>
      <c r="B1145">
        <v>105</v>
      </c>
      <c r="C1145" t="s">
        <v>557</v>
      </c>
      <c r="D1145" t="s">
        <v>2581</v>
      </c>
      <c r="E1145" t="s">
        <v>3752</v>
      </c>
      <c r="F1145" s="451">
        <v>45999</v>
      </c>
      <c r="G1145" s="451">
        <v>45999</v>
      </c>
      <c r="H1145" s="451">
        <v>46034</v>
      </c>
      <c r="I1145">
        <v>832.47</v>
      </c>
      <c r="J1145">
        <v>832.47</v>
      </c>
      <c r="K1145">
        <v>832.47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458</v>
      </c>
    </row>
    <row r="1146" spans="1:17" x14ac:dyDescent="0.3">
      <c r="A1146">
        <v>189719</v>
      </c>
      <c r="B1146">
        <v>105</v>
      </c>
      <c r="C1146" t="s">
        <v>557</v>
      </c>
      <c r="D1146" t="s">
        <v>2565</v>
      </c>
      <c r="E1146" t="s">
        <v>3753</v>
      </c>
      <c r="F1146" s="451">
        <v>46000</v>
      </c>
      <c r="G1146" s="451">
        <v>46000</v>
      </c>
      <c r="H1146" s="451">
        <v>46034</v>
      </c>
      <c r="I1146">
        <v>901.34</v>
      </c>
      <c r="J1146">
        <v>901.34</v>
      </c>
      <c r="K1146">
        <v>0</v>
      </c>
      <c r="L1146">
        <v>901.34</v>
      </c>
      <c r="M1146">
        <v>0</v>
      </c>
      <c r="N1146">
        <v>0</v>
      </c>
      <c r="O1146">
        <v>0</v>
      </c>
      <c r="P1146">
        <v>0</v>
      </c>
      <c r="Q1146" t="s">
        <v>458</v>
      </c>
    </row>
    <row r="1147" spans="1:17" x14ac:dyDescent="0.3">
      <c r="A1147">
        <v>189718</v>
      </c>
      <c r="B1147">
        <v>105</v>
      </c>
      <c r="C1147" t="s">
        <v>557</v>
      </c>
      <c r="D1147" t="s">
        <v>2561</v>
      </c>
      <c r="E1147" t="s">
        <v>3754</v>
      </c>
      <c r="F1147" s="451">
        <v>46025</v>
      </c>
      <c r="G1147" s="451">
        <v>46025</v>
      </c>
      <c r="H1147" s="451">
        <v>46039</v>
      </c>
      <c r="I1147">
        <v>1472.42</v>
      </c>
      <c r="J1147">
        <v>1472.42</v>
      </c>
      <c r="K1147">
        <v>1472.42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459</v>
      </c>
    </row>
    <row r="1148" spans="1:17" x14ac:dyDescent="0.3">
      <c r="A1148">
        <v>189717</v>
      </c>
      <c r="B1148">
        <v>105</v>
      </c>
      <c r="C1148" t="s">
        <v>557</v>
      </c>
      <c r="D1148" t="s">
        <v>3723</v>
      </c>
      <c r="E1148" t="s">
        <v>3755</v>
      </c>
      <c r="F1148" s="451">
        <v>45999</v>
      </c>
      <c r="G1148" s="451">
        <v>45999</v>
      </c>
      <c r="H1148" s="451">
        <v>46034</v>
      </c>
      <c r="I1148">
        <v>373.89</v>
      </c>
      <c r="J1148">
        <v>336.68</v>
      </c>
      <c r="K1148">
        <v>373.89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458</v>
      </c>
    </row>
    <row r="1149" spans="1:17" x14ac:dyDescent="0.3">
      <c r="A1149">
        <v>188923</v>
      </c>
      <c r="B1149">
        <v>105</v>
      </c>
      <c r="C1149" t="s">
        <v>557</v>
      </c>
      <c r="D1149" t="s">
        <v>2563</v>
      </c>
      <c r="E1149" t="s">
        <v>3756</v>
      </c>
      <c r="F1149" s="451">
        <v>45995</v>
      </c>
      <c r="G1149" s="451">
        <v>45995</v>
      </c>
      <c r="H1149" s="451">
        <v>46034</v>
      </c>
      <c r="I1149">
        <v>252.36</v>
      </c>
      <c r="J1149">
        <v>251.06</v>
      </c>
      <c r="K1149">
        <v>252.36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458</v>
      </c>
    </row>
    <row r="1150" spans="1:17" x14ac:dyDescent="0.3">
      <c r="A1150">
        <v>188918</v>
      </c>
      <c r="B1150">
        <v>105</v>
      </c>
      <c r="C1150" t="s">
        <v>557</v>
      </c>
      <c r="D1150" t="s">
        <v>3044</v>
      </c>
      <c r="E1150" t="s">
        <v>3757</v>
      </c>
      <c r="F1150" s="451">
        <v>46000</v>
      </c>
      <c r="G1150" s="451">
        <v>46000</v>
      </c>
      <c r="H1150" s="451">
        <v>46034</v>
      </c>
      <c r="I1150">
        <v>678.11</v>
      </c>
      <c r="J1150">
        <v>643.74</v>
      </c>
      <c r="K1150">
        <v>678.11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458</v>
      </c>
    </row>
    <row r="1151" spans="1:17" x14ac:dyDescent="0.3">
      <c r="A1151">
        <v>187166</v>
      </c>
      <c r="B1151">
        <v>105</v>
      </c>
      <c r="C1151" t="s">
        <v>557</v>
      </c>
      <c r="D1151" t="s">
        <v>3636</v>
      </c>
      <c r="E1151" t="s">
        <v>3758</v>
      </c>
      <c r="F1151" s="451">
        <v>45999</v>
      </c>
      <c r="H1151" s="451">
        <v>46027</v>
      </c>
      <c r="I1151">
        <v>1321.6</v>
      </c>
      <c r="J1151">
        <v>1300</v>
      </c>
      <c r="K1151">
        <v>0</v>
      </c>
      <c r="L1151">
        <v>0</v>
      </c>
      <c r="M1151">
        <v>1321.6</v>
      </c>
      <c r="N1151">
        <v>0</v>
      </c>
      <c r="O1151">
        <v>0</v>
      </c>
      <c r="P1151">
        <v>0</v>
      </c>
      <c r="Q1151" t="s">
        <v>458</v>
      </c>
    </row>
    <row r="1152" spans="1:17" x14ac:dyDescent="0.3">
      <c r="A1152">
        <v>186319</v>
      </c>
      <c r="B1152">
        <v>105</v>
      </c>
      <c r="C1152" t="s">
        <v>557</v>
      </c>
      <c r="D1152" t="s">
        <v>2716</v>
      </c>
      <c r="E1152" t="s">
        <v>3759</v>
      </c>
      <c r="F1152" s="451">
        <v>46009</v>
      </c>
      <c r="G1152" s="451">
        <v>46009</v>
      </c>
      <c r="H1152" s="451">
        <v>46031</v>
      </c>
      <c r="I1152">
        <v>230</v>
      </c>
      <c r="J1152">
        <v>180</v>
      </c>
      <c r="K1152">
        <v>230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458</v>
      </c>
    </row>
    <row r="1153" spans="1:17" x14ac:dyDescent="0.3">
      <c r="A1153">
        <v>186318</v>
      </c>
      <c r="B1153">
        <v>105</v>
      </c>
      <c r="C1153" t="s">
        <v>557</v>
      </c>
      <c r="D1153" t="s">
        <v>836</v>
      </c>
      <c r="E1153" t="s">
        <v>2017</v>
      </c>
      <c r="F1153" s="451">
        <v>46003</v>
      </c>
      <c r="H1153" s="451">
        <v>46034</v>
      </c>
      <c r="I1153">
        <v>400</v>
      </c>
      <c r="J1153">
        <v>400</v>
      </c>
      <c r="K1153">
        <v>0</v>
      </c>
      <c r="L1153">
        <v>0</v>
      </c>
      <c r="M1153">
        <v>400</v>
      </c>
      <c r="N1153">
        <v>0</v>
      </c>
      <c r="O1153">
        <v>0</v>
      </c>
      <c r="P1153">
        <v>0</v>
      </c>
      <c r="Q1153" t="s">
        <v>458</v>
      </c>
    </row>
    <row r="1154" spans="1:17" x14ac:dyDescent="0.3">
      <c r="A1154">
        <v>186317</v>
      </c>
      <c r="B1154">
        <v>105</v>
      </c>
      <c r="C1154" t="s">
        <v>557</v>
      </c>
      <c r="D1154" t="s">
        <v>836</v>
      </c>
      <c r="E1154" t="s">
        <v>1170</v>
      </c>
      <c r="F1154" s="451">
        <v>45999</v>
      </c>
      <c r="H1154" s="451">
        <v>46027</v>
      </c>
      <c r="I1154">
        <v>400</v>
      </c>
      <c r="J1154">
        <v>400</v>
      </c>
      <c r="K1154">
        <v>0</v>
      </c>
      <c r="L1154">
        <v>0</v>
      </c>
      <c r="M1154">
        <v>400</v>
      </c>
      <c r="N1154">
        <v>0</v>
      </c>
      <c r="O1154">
        <v>0</v>
      </c>
      <c r="P1154">
        <v>0</v>
      </c>
      <c r="Q1154" t="s">
        <v>458</v>
      </c>
    </row>
    <row r="1155" spans="1:17" x14ac:dyDescent="0.3">
      <c r="A1155">
        <v>186316</v>
      </c>
      <c r="B1155">
        <v>105</v>
      </c>
      <c r="C1155" t="s">
        <v>557</v>
      </c>
      <c r="D1155" t="s">
        <v>2699</v>
      </c>
      <c r="E1155" t="s">
        <v>3760</v>
      </c>
      <c r="F1155" s="451">
        <v>46008</v>
      </c>
      <c r="G1155" s="451">
        <v>46008</v>
      </c>
      <c r="H1155" s="451">
        <v>46036</v>
      </c>
      <c r="I1155">
        <v>542.41999999999996</v>
      </c>
      <c r="J1155">
        <v>542.4</v>
      </c>
      <c r="K1155">
        <v>0</v>
      </c>
      <c r="L1155">
        <v>542.41999999999996</v>
      </c>
      <c r="M1155">
        <v>0</v>
      </c>
      <c r="N1155">
        <v>0</v>
      </c>
      <c r="O1155">
        <v>0</v>
      </c>
      <c r="P1155">
        <v>0</v>
      </c>
      <c r="Q1155" t="s">
        <v>458</v>
      </c>
    </row>
    <row r="1156" spans="1:17" x14ac:dyDescent="0.3">
      <c r="A1156">
        <v>186315</v>
      </c>
      <c r="B1156">
        <v>105</v>
      </c>
      <c r="C1156" t="s">
        <v>557</v>
      </c>
      <c r="D1156" t="s">
        <v>2699</v>
      </c>
      <c r="E1156" t="s">
        <v>3761</v>
      </c>
      <c r="F1156" s="451">
        <v>46007</v>
      </c>
      <c r="G1156" s="451">
        <v>46007</v>
      </c>
      <c r="H1156" s="451">
        <v>46035</v>
      </c>
      <c r="I1156">
        <v>587.52</v>
      </c>
      <c r="J1156">
        <v>587.51</v>
      </c>
      <c r="K1156">
        <v>0</v>
      </c>
      <c r="L1156">
        <v>587.52</v>
      </c>
      <c r="M1156">
        <v>0</v>
      </c>
      <c r="N1156">
        <v>0</v>
      </c>
      <c r="O1156">
        <v>0</v>
      </c>
      <c r="P1156">
        <v>0</v>
      </c>
      <c r="Q1156" t="s">
        <v>458</v>
      </c>
    </row>
    <row r="1157" spans="1:17" x14ac:dyDescent="0.3">
      <c r="A1157">
        <v>186314</v>
      </c>
      <c r="B1157">
        <v>105</v>
      </c>
      <c r="C1157" t="s">
        <v>557</v>
      </c>
      <c r="D1157" t="s">
        <v>2690</v>
      </c>
      <c r="E1157" t="s">
        <v>3762</v>
      </c>
      <c r="F1157" s="451">
        <v>46010</v>
      </c>
      <c r="G1157" s="451">
        <v>46010</v>
      </c>
      <c r="H1157" s="451">
        <v>46031</v>
      </c>
      <c r="I1157">
        <v>195.74</v>
      </c>
      <c r="J1157">
        <v>195.74</v>
      </c>
      <c r="K1157">
        <v>0</v>
      </c>
      <c r="L1157">
        <v>195.74</v>
      </c>
      <c r="M1157">
        <v>0</v>
      </c>
      <c r="N1157">
        <v>0</v>
      </c>
      <c r="O1157">
        <v>0</v>
      </c>
      <c r="P1157">
        <v>0</v>
      </c>
      <c r="Q1157" t="s">
        <v>458</v>
      </c>
    </row>
    <row r="1158" spans="1:17" x14ac:dyDescent="0.3">
      <c r="A1158">
        <v>186313</v>
      </c>
      <c r="B1158">
        <v>105</v>
      </c>
      <c r="C1158" t="s">
        <v>557</v>
      </c>
      <c r="D1158" t="s">
        <v>2563</v>
      </c>
      <c r="E1158" t="s">
        <v>3763</v>
      </c>
      <c r="F1158" s="451">
        <v>46010</v>
      </c>
      <c r="G1158" s="451">
        <v>46010</v>
      </c>
      <c r="H1158" s="451">
        <v>46038</v>
      </c>
      <c r="I1158">
        <v>51.07</v>
      </c>
      <c r="J1158">
        <v>51.07</v>
      </c>
      <c r="K1158">
        <v>51.07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458</v>
      </c>
    </row>
    <row r="1159" spans="1:17" x14ac:dyDescent="0.3">
      <c r="A1159">
        <v>186312</v>
      </c>
      <c r="B1159">
        <v>105</v>
      </c>
      <c r="C1159" t="s">
        <v>557</v>
      </c>
      <c r="D1159" t="s">
        <v>2563</v>
      </c>
      <c r="E1159" t="s">
        <v>3764</v>
      </c>
      <c r="F1159" s="451">
        <v>46008</v>
      </c>
      <c r="G1159" s="451">
        <v>46008</v>
      </c>
      <c r="H1159" s="451">
        <v>46036</v>
      </c>
      <c r="I1159">
        <v>126.6</v>
      </c>
      <c r="J1159">
        <v>125.56</v>
      </c>
      <c r="K1159">
        <v>126.6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458</v>
      </c>
    </row>
    <row r="1160" spans="1:17" x14ac:dyDescent="0.3">
      <c r="A1160">
        <v>186311</v>
      </c>
      <c r="B1160">
        <v>105</v>
      </c>
      <c r="C1160" t="s">
        <v>557</v>
      </c>
      <c r="D1160" t="s">
        <v>2563</v>
      </c>
      <c r="E1160" t="s">
        <v>3765</v>
      </c>
      <c r="F1160" s="451">
        <v>46007</v>
      </c>
      <c r="G1160" s="451">
        <v>46007</v>
      </c>
      <c r="H1160" s="451">
        <v>46035</v>
      </c>
      <c r="I1160">
        <v>57.5</v>
      </c>
      <c r="J1160">
        <v>51.46</v>
      </c>
      <c r="K1160">
        <v>57.5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458</v>
      </c>
    </row>
    <row r="1161" spans="1:17" x14ac:dyDescent="0.3">
      <c r="A1161">
        <v>186310</v>
      </c>
      <c r="B1161">
        <v>105</v>
      </c>
      <c r="C1161" t="s">
        <v>557</v>
      </c>
      <c r="D1161" t="s">
        <v>2569</v>
      </c>
      <c r="E1161" t="s">
        <v>3766</v>
      </c>
      <c r="F1161" s="451">
        <v>46009</v>
      </c>
      <c r="G1161" s="451">
        <v>46009</v>
      </c>
      <c r="H1161" s="451">
        <v>46045</v>
      </c>
      <c r="I1161">
        <v>849.58</v>
      </c>
      <c r="J1161">
        <v>715.5</v>
      </c>
      <c r="K1161">
        <v>0</v>
      </c>
      <c r="L1161">
        <v>849.58</v>
      </c>
      <c r="M1161">
        <v>0</v>
      </c>
      <c r="N1161">
        <v>0</v>
      </c>
      <c r="O1161">
        <v>0</v>
      </c>
      <c r="P1161">
        <v>0</v>
      </c>
      <c r="Q1161" t="s">
        <v>458</v>
      </c>
    </row>
    <row r="1162" spans="1:17" x14ac:dyDescent="0.3">
      <c r="A1162">
        <v>186309</v>
      </c>
      <c r="B1162">
        <v>105</v>
      </c>
      <c r="C1162" t="s">
        <v>557</v>
      </c>
      <c r="D1162" t="s">
        <v>2571</v>
      </c>
      <c r="E1162" t="s">
        <v>3767</v>
      </c>
      <c r="F1162" s="451">
        <v>46006</v>
      </c>
      <c r="G1162" s="451">
        <v>46006</v>
      </c>
      <c r="H1162" s="451">
        <v>46034</v>
      </c>
      <c r="I1162">
        <v>1660.03</v>
      </c>
      <c r="J1162">
        <v>1088.82</v>
      </c>
      <c r="K1162">
        <v>1660.03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458</v>
      </c>
    </row>
    <row r="1163" spans="1:17" x14ac:dyDescent="0.3">
      <c r="A1163">
        <v>186308</v>
      </c>
      <c r="B1163">
        <v>105</v>
      </c>
      <c r="C1163" t="s">
        <v>557</v>
      </c>
      <c r="D1163" t="s">
        <v>2644</v>
      </c>
      <c r="E1163" t="s">
        <v>3768</v>
      </c>
      <c r="F1163" s="451">
        <v>46007</v>
      </c>
      <c r="H1163" s="451">
        <v>46042</v>
      </c>
      <c r="I1163">
        <v>178</v>
      </c>
      <c r="J1163">
        <v>178</v>
      </c>
      <c r="K1163">
        <v>0</v>
      </c>
      <c r="L1163">
        <v>0</v>
      </c>
      <c r="M1163">
        <v>178</v>
      </c>
      <c r="N1163">
        <v>0</v>
      </c>
      <c r="O1163">
        <v>0</v>
      </c>
      <c r="P1163">
        <v>0</v>
      </c>
      <c r="Q1163" t="s">
        <v>458</v>
      </c>
    </row>
    <row r="1164" spans="1:17" x14ac:dyDescent="0.3">
      <c r="A1164">
        <v>186307</v>
      </c>
      <c r="B1164">
        <v>105</v>
      </c>
      <c r="C1164" t="s">
        <v>557</v>
      </c>
      <c r="D1164" t="s">
        <v>3769</v>
      </c>
      <c r="E1164" t="s">
        <v>3770</v>
      </c>
      <c r="F1164" s="451">
        <v>46010</v>
      </c>
      <c r="G1164" s="451">
        <v>46010</v>
      </c>
      <c r="H1164" s="451">
        <v>46038</v>
      </c>
      <c r="I1164">
        <v>375</v>
      </c>
      <c r="J1164">
        <v>375</v>
      </c>
      <c r="K1164">
        <v>0</v>
      </c>
      <c r="L1164">
        <v>375</v>
      </c>
      <c r="M1164">
        <v>0</v>
      </c>
      <c r="N1164">
        <v>0</v>
      </c>
      <c r="O1164">
        <v>0</v>
      </c>
      <c r="P1164">
        <v>0</v>
      </c>
      <c r="Q1164" t="s">
        <v>458</v>
      </c>
    </row>
    <row r="1165" spans="1:17" x14ac:dyDescent="0.3">
      <c r="A1165">
        <v>186306</v>
      </c>
      <c r="B1165">
        <v>105</v>
      </c>
      <c r="C1165" t="s">
        <v>557</v>
      </c>
      <c r="D1165" t="s">
        <v>2605</v>
      </c>
      <c r="E1165" t="s">
        <v>3771</v>
      </c>
      <c r="F1165" s="451">
        <v>46007</v>
      </c>
      <c r="G1165" s="451">
        <v>46007</v>
      </c>
      <c r="H1165" s="451">
        <v>46035</v>
      </c>
      <c r="I1165">
        <v>950.26</v>
      </c>
      <c r="J1165">
        <v>950.26</v>
      </c>
      <c r="K1165">
        <v>950.26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458</v>
      </c>
    </row>
    <row r="1166" spans="1:17" x14ac:dyDescent="0.3">
      <c r="A1166">
        <v>186305</v>
      </c>
      <c r="B1166">
        <v>105</v>
      </c>
      <c r="C1166" t="s">
        <v>557</v>
      </c>
      <c r="D1166" t="s">
        <v>2605</v>
      </c>
      <c r="E1166" t="s">
        <v>3772</v>
      </c>
      <c r="F1166" s="451">
        <v>46006</v>
      </c>
      <c r="G1166" s="451">
        <v>46006</v>
      </c>
      <c r="H1166" s="451">
        <v>46035</v>
      </c>
      <c r="I1166">
        <v>125.94</v>
      </c>
      <c r="J1166">
        <v>125.94</v>
      </c>
      <c r="K1166">
        <v>125.94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458</v>
      </c>
    </row>
    <row r="1167" spans="1:17" x14ac:dyDescent="0.3">
      <c r="A1167">
        <v>186304</v>
      </c>
      <c r="B1167">
        <v>105</v>
      </c>
      <c r="C1167" t="s">
        <v>557</v>
      </c>
      <c r="D1167" t="s">
        <v>2581</v>
      </c>
      <c r="E1167" t="s">
        <v>3773</v>
      </c>
      <c r="F1167" s="451">
        <v>46010</v>
      </c>
      <c r="G1167" s="451">
        <v>46010</v>
      </c>
      <c r="H1167" s="451">
        <v>46038</v>
      </c>
      <c r="I1167">
        <v>46.1</v>
      </c>
      <c r="J1167">
        <v>46.1</v>
      </c>
      <c r="K1167">
        <v>46.1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458</v>
      </c>
    </row>
    <row r="1168" spans="1:17" x14ac:dyDescent="0.3">
      <c r="A1168">
        <v>186303</v>
      </c>
      <c r="B1168">
        <v>105</v>
      </c>
      <c r="C1168" t="s">
        <v>557</v>
      </c>
      <c r="D1168" t="s">
        <v>2581</v>
      </c>
      <c r="E1168" t="s">
        <v>3774</v>
      </c>
      <c r="F1168" s="451">
        <v>46009</v>
      </c>
      <c r="G1168" s="451">
        <v>46009</v>
      </c>
      <c r="H1168" s="451">
        <v>46037</v>
      </c>
      <c r="I1168">
        <v>252</v>
      </c>
      <c r="J1168">
        <v>252</v>
      </c>
      <c r="K1168">
        <v>252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458</v>
      </c>
    </row>
    <row r="1169" spans="1:17" x14ac:dyDescent="0.3">
      <c r="A1169">
        <v>186302</v>
      </c>
      <c r="B1169">
        <v>105</v>
      </c>
      <c r="C1169" t="s">
        <v>557</v>
      </c>
      <c r="D1169" t="s">
        <v>2581</v>
      </c>
      <c r="E1169" t="s">
        <v>3775</v>
      </c>
      <c r="F1169" s="451">
        <v>46009</v>
      </c>
      <c r="G1169" s="451">
        <v>46009</v>
      </c>
      <c r="H1169" s="451">
        <v>46037</v>
      </c>
      <c r="I1169">
        <v>351</v>
      </c>
      <c r="J1169">
        <v>351</v>
      </c>
      <c r="K1169">
        <v>351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458</v>
      </c>
    </row>
    <row r="1170" spans="1:17" x14ac:dyDescent="0.3">
      <c r="A1170">
        <v>186301</v>
      </c>
      <c r="B1170">
        <v>105</v>
      </c>
      <c r="C1170" t="s">
        <v>557</v>
      </c>
      <c r="D1170" t="s">
        <v>2705</v>
      </c>
      <c r="E1170" t="s">
        <v>3776</v>
      </c>
      <c r="F1170" s="451">
        <v>46009</v>
      </c>
      <c r="H1170" s="451">
        <v>46027</v>
      </c>
      <c r="I1170">
        <v>865</v>
      </c>
      <c r="J1170">
        <v>865</v>
      </c>
      <c r="K1170">
        <v>0</v>
      </c>
      <c r="L1170">
        <v>0</v>
      </c>
      <c r="M1170">
        <v>0</v>
      </c>
      <c r="N1170">
        <v>865</v>
      </c>
      <c r="O1170">
        <v>0</v>
      </c>
      <c r="P1170">
        <v>0</v>
      </c>
      <c r="Q1170" t="s">
        <v>458</v>
      </c>
    </row>
    <row r="1171" spans="1:17" x14ac:dyDescent="0.3">
      <c r="A1171">
        <v>186300</v>
      </c>
      <c r="B1171">
        <v>105</v>
      </c>
      <c r="C1171" t="s">
        <v>557</v>
      </c>
      <c r="D1171" t="s">
        <v>3425</v>
      </c>
      <c r="E1171" t="s">
        <v>3777</v>
      </c>
      <c r="F1171" s="451">
        <v>46010</v>
      </c>
      <c r="G1171" s="451">
        <v>46010</v>
      </c>
      <c r="H1171" s="451">
        <v>46038</v>
      </c>
      <c r="I1171">
        <v>624.04</v>
      </c>
      <c r="J1171">
        <v>624</v>
      </c>
      <c r="K1171">
        <v>0</v>
      </c>
      <c r="L1171">
        <v>624.04</v>
      </c>
      <c r="M1171">
        <v>0</v>
      </c>
      <c r="N1171">
        <v>0</v>
      </c>
      <c r="O1171">
        <v>0</v>
      </c>
      <c r="P1171">
        <v>0</v>
      </c>
      <c r="Q1171" t="s">
        <v>458</v>
      </c>
    </row>
    <row r="1172" spans="1:17" x14ac:dyDescent="0.3">
      <c r="A1172">
        <v>186298</v>
      </c>
      <c r="B1172">
        <v>105</v>
      </c>
      <c r="C1172" t="s">
        <v>557</v>
      </c>
      <c r="D1172" t="s">
        <v>2590</v>
      </c>
      <c r="E1172" t="s">
        <v>3778</v>
      </c>
      <c r="F1172" s="451">
        <v>46006</v>
      </c>
      <c r="G1172" s="451">
        <v>46006</v>
      </c>
      <c r="H1172" s="451">
        <v>46037</v>
      </c>
      <c r="I1172">
        <v>4345.16</v>
      </c>
      <c r="J1172">
        <v>4345.2</v>
      </c>
      <c r="K1172">
        <v>0</v>
      </c>
      <c r="L1172">
        <v>4345.16</v>
      </c>
      <c r="M1172">
        <v>0</v>
      </c>
      <c r="N1172">
        <v>0</v>
      </c>
      <c r="O1172">
        <v>0</v>
      </c>
      <c r="P1172">
        <v>0</v>
      </c>
      <c r="Q1172" t="s">
        <v>458</v>
      </c>
    </row>
    <row r="1173" spans="1:17" x14ac:dyDescent="0.3">
      <c r="A1173">
        <v>186297</v>
      </c>
      <c r="B1173">
        <v>105</v>
      </c>
      <c r="C1173" t="s">
        <v>557</v>
      </c>
      <c r="D1173" t="s">
        <v>2550</v>
      </c>
      <c r="E1173" t="s">
        <v>3779</v>
      </c>
      <c r="F1173" s="451">
        <v>46007</v>
      </c>
      <c r="G1173" s="451">
        <v>46007</v>
      </c>
      <c r="H1173" s="451">
        <v>46037</v>
      </c>
      <c r="I1173">
        <v>900.62</v>
      </c>
      <c r="J1173">
        <v>845.65</v>
      </c>
      <c r="K1173">
        <v>0</v>
      </c>
      <c r="L1173">
        <v>900.62</v>
      </c>
      <c r="M1173">
        <v>0</v>
      </c>
      <c r="N1173">
        <v>0</v>
      </c>
      <c r="O1173">
        <v>0</v>
      </c>
      <c r="P1173">
        <v>0</v>
      </c>
      <c r="Q1173" t="s">
        <v>458</v>
      </c>
    </row>
    <row r="1174" spans="1:17" x14ac:dyDescent="0.3">
      <c r="A1174">
        <v>186296</v>
      </c>
      <c r="B1174">
        <v>105</v>
      </c>
      <c r="C1174" t="s">
        <v>557</v>
      </c>
      <c r="D1174" t="s">
        <v>2597</v>
      </c>
      <c r="E1174" t="s">
        <v>3780</v>
      </c>
      <c r="F1174" s="451">
        <v>46008</v>
      </c>
      <c r="G1174" s="451">
        <v>46008</v>
      </c>
      <c r="H1174" s="451">
        <v>46036</v>
      </c>
      <c r="I1174">
        <v>1939.14</v>
      </c>
      <c r="J1174">
        <v>1939.14</v>
      </c>
      <c r="K1174">
        <v>1939.14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458</v>
      </c>
    </row>
    <row r="1175" spans="1:17" x14ac:dyDescent="0.3">
      <c r="A1175">
        <v>186295</v>
      </c>
      <c r="B1175">
        <v>105</v>
      </c>
      <c r="C1175" t="s">
        <v>557</v>
      </c>
      <c r="D1175" t="s">
        <v>2597</v>
      </c>
      <c r="E1175" t="s">
        <v>3781</v>
      </c>
      <c r="F1175" s="451">
        <v>46006</v>
      </c>
      <c r="G1175" s="451">
        <v>46006</v>
      </c>
      <c r="H1175" s="451">
        <v>46034</v>
      </c>
      <c r="I1175">
        <v>3446.76</v>
      </c>
      <c r="J1175">
        <v>3446.76</v>
      </c>
      <c r="K1175">
        <v>3446.76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458</v>
      </c>
    </row>
    <row r="1176" spans="1:17" x14ac:dyDescent="0.3">
      <c r="A1176">
        <v>186294</v>
      </c>
      <c r="B1176">
        <v>105</v>
      </c>
      <c r="C1176" t="s">
        <v>557</v>
      </c>
      <c r="D1176" t="s">
        <v>3044</v>
      </c>
      <c r="E1176" t="s">
        <v>3782</v>
      </c>
      <c r="F1176" s="451">
        <v>46002</v>
      </c>
      <c r="G1176" s="451">
        <v>46002</v>
      </c>
      <c r="H1176" s="451">
        <v>46030</v>
      </c>
      <c r="I1176">
        <v>643.74</v>
      </c>
      <c r="J1176">
        <v>643.74</v>
      </c>
      <c r="K1176">
        <v>643.74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458</v>
      </c>
    </row>
    <row r="1177" spans="1:17" x14ac:dyDescent="0.3">
      <c r="A1177">
        <v>186293</v>
      </c>
      <c r="B1177">
        <v>105</v>
      </c>
      <c r="C1177" t="s">
        <v>557</v>
      </c>
      <c r="D1177" t="s">
        <v>2554</v>
      </c>
      <c r="E1177" t="s">
        <v>3783</v>
      </c>
      <c r="F1177" s="451">
        <v>46008</v>
      </c>
      <c r="H1177" s="451">
        <v>46027</v>
      </c>
      <c r="I1177">
        <v>1686.52</v>
      </c>
      <c r="J1177">
        <v>1336.52</v>
      </c>
      <c r="K1177">
        <v>0</v>
      </c>
      <c r="L1177">
        <v>0</v>
      </c>
      <c r="M1177">
        <v>1163.47</v>
      </c>
      <c r="N1177">
        <v>0</v>
      </c>
      <c r="O1177">
        <v>191.17</v>
      </c>
      <c r="P1177">
        <v>331.87</v>
      </c>
      <c r="Q1177" t="s">
        <v>458</v>
      </c>
    </row>
    <row r="1178" spans="1:17" x14ac:dyDescent="0.3">
      <c r="A1178">
        <v>186292</v>
      </c>
      <c r="B1178">
        <v>105</v>
      </c>
      <c r="C1178" t="s">
        <v>557</v>
      </c>
      <c r="D1178" t="s">
        <v>2593</v>
      </c>
      <c r="E1178" t="s">
        <v>3784</v>
      </c>
      <c r="F1178" s="451">
        <v>46003</v>
      </c>
      <c r="G1178" s="451">
        <v>46003</v>
      </c>
      <c r="H1178" s="451">
        <v>46031</v>
      </c>
      <c r="I1178">
        <v>1240</v>
      </c>
      <c r="J1178">
        <v>1240</v>
      </c>
      <c r="K1178">
        <v>1240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458</v>
      </c>
    </row>
    <row r="1179" spans="1:17" x14ac:dyDescent="0.3">
      <c r="A1179">
        <v>186291</v>
      </c>
      <c r="B1179">
        <v>105</v>
      </c>
      <c r="C1179" t="s">
        <v>557</v>
      </c>
      <c r="D1179" t="s">
        <v>3723</v>
      </c>
      <c r="E1179" t="s">
        <v>3785</v>
      </c>
      <c r="F1179" s="451">
        <v>46010</v>
      </c>
      <c r="G1179" s="451">
        <v>46010</v>
      </c>
      <c r="H1179" s="451">
        <v>46038</v>
      </c>
      <c r="I1179">
        <v>79.599999999999994</v>
      </c>
      <c r="J1179">
        <v>60</v>
      </c>
      <c r="K1179">
        <v>79.599999999999994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458</v>
      </c>
    </row>
    <row r="1180" spans="1:17" x14ac:dyDescent="0.3">
      <c r="A1180">
        <v>186290</v>
      </c>
      <c r="B1180">
        <v>105</v>
      </c>
      <c r="C1180" t="s">
        <v>557</v>
      </c>
      <c r="D1180" t="s">
        <v>3723</v>
      </c>
      <c r="E1180" t="s">
        <v>3786</v>
      </c>
      <c r="F1180" s="451">
        <v>46003</v>
      </c>
      <c r="G1180" s="451">
        <v>46003</v>
      </c>
      <c r="H1180" s="451">
        <v>46031</v>
      </c>
      <c r="I1180">
        <v>73.75</v>
      </c>
      <c r="J1180">
        <v>73.75</v>
      </c>
      <c r="K1180">
        <v>73.75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458</v>
      </c>
    </row>
    <row r="1181" spans="1:17" x14ac:dyDescent="0.3">
      <c r="A1181">
        <v>186289</v>
      </c>
      <c r="B1181">
        <v>105</v>
      </c>
      <c r="C1181" t="s">
        <v>557</v>
      </c>
      <c r="D1181" t="s">
        <v>3723</v>
      </c>
      <c r="E1181" t="s">
        <v>3787</v>
      </c>
      <c r="F1181" s="451">
        <v>46003</v>
      </c>
      <c r="G1181" s="451">
        <v>46003</v>
      </c>
      <c r="H1181" s="451">
        <v>46031</v>
      </c>
      <c r="I1181">
        <v>251.75</v>
      </c>
      <c r="J1181">
        <v>218.75</v>
      </c>
      <c r="K1181">
        <v>251.75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458</v>
      </c>
    </row>
    <row r="1182" spans="1:17" x14ac:dyDescent="0.3">
      <c r="A1182">
        <v>186288</v>
      </c>
      <c r="B1182">
        <v>105</v>
      </c>
      <c r="C1182" t="s">
        <v>557</v>
      </c>
      <c r="D1182" t="s">
        <v>3723</v>
      </c>
      <c r="E1182" t="s">
        <v>3788</v>
      </c>
      <c r="F1182" s="451">
        <v>46008</v>
      </c>
      <c r="G1182" s="451">
        <v>46008</v>
      </c>
      <c r="H1182" s="451">
        <v>46036</v>
      </c>
      <c r="I1182">
        <v>587.33000000000004</v>
      </c>
      <c r="J1182">
        <v>587.33000000000004</v>
      </c>
      <c r="K1182">
        <v>587.33000000000004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458</v>
      </c>
    </row>
    <row r="1183" spans="1:17" x14ac:dyDescent="0.3">
      <c r="A1183">
        <v>186287</v>
      </c>
      <c r="B1183">
        <v>105</v>
      </c>
      <c r="C1183" t="s">
        <v>557</v>
      </c>
      <c r="D1183" t="s">
        <v>3723</v>
      </c>
      <c r="E1183" t="s">
        <v>3789</v>
      </c>
      <c r="F1183" s="451">
        <v>46009</v>
      </c>
      <c r="G1183" s="451">
        <v>46009</v>
      </c>
      <c r="H1183" s="451">
        <v>46040</v>
      </c>
      <c r="I1183">
        <v>110.41</v>
      </c>
      <c r="J1183">
        <v>103.73</v>
      </c>
      <c r="K1183">
        <v>110.41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458</v>
      </c>
    </row>
    <row r="1184" spans="1:17" x14ac:dyDescent="0.3">
      <c r="A1184">
        <v>186286</v>
      </c>
      <c r="B1184">
        <v>105</v>
      </c>
      <c r="C1184" t="s">
        <v>557</v>
      </c>
      <c r="D1184" t="s">
        <v>2563</v>
      </c>
      <c r="E1184" t="s">
        <v>3790</v>
      </c>
      <c r="F1184" s="451">
        <v>46004</v>
      </c>
      <c r="G1184" s="451">
        <v>46004</v>
      </c>
      <c r="H1184" s="451">
        <v>46032</v>
      </c>
      <c r="I1184">
        <v>434.8</v>
      </c>
      <c r="J1184">
        <v>420.19</v>
      </c>
      <c r="K1184">
        <v>434.8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458</v>
      </c>
    </row>
    <row r="1185" spans="1:17" x14ac:dyDescent="0.3">
      <c r="A1185">
        <v>186285</v>
      </c>
      <c r="B1185">
        <v>105</v>
      </c>
      <c r="C1185" t="s">
        <v>557</v>
      </c>
      <c r="D1185" t="s">
        <v>2600</v>
      </c>
      <c r="E1185" t="s">
        <v>3791</v>
      </c>
      <c r="F1185" s="451">
        <v>46008</v>
      </c>
      <c r="G1185" s="451">
        <v>46008</v>
      </c>
      <c r="H1185" s="451">
        <v>46032</v>
      </c>
      <c r="I1185">
        <v>199.9</v>
      </c>
      <c r="J1185">
        <v>199.9</v>
      </c>
      <c r="K1185">
        <v>199.9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458</v>
      </c>
    </row>
    <row r="1186" spans="1:17" x14ac:dyDescent="0.3">
      <c r="A1186">
        <v>186284</v>
      </c>
      <c r="B1186">
        <v>105</v>
      </c>
      <c r="C1186" t="s">
        <v>557</v>
      </c>
      <c r="D1186" t="s">
        <v>3723</v>
      </c>
      <c r="E1186" t="s">
        <v>3792</v>
      </c>
      <c r="F1186" s="451">
        <v>46006</v>
      </c>
      <c r="G1186" s="451">
        <v>46006</v>
      </c>
      <c r="H1186" s="451">
        <v>46034</v>
      </c>
      <c r="I1186">
        <v>148.12</v>
      </c>
      <c r="J1186">
        <v>148.12</v>
      </c>
      <c r="K1186">
        <v>148.12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458</v>
      </c>
    </row>
    <row r="1187" spans="1:17" x14ac:dyDescent="0.3">
      <c r="A1187">
        <v>185923</v>
      </c>
      <c r="B1187">
        <v>105</v>
      </c>
      <c r="C1187" t="s">
        <v>557</v>
      </c>
      <c r="D1187" t="s">
        <v>2554</v>
      </c>
      <c r="E1187" t="s">
        <v>3793</v>
      </c>
      <c r="F1187" s="451">
        <v>46008</v>
      </c>
      <c r="H1187" s="451">
        <v>46021</v>
      </c>
      <c r="I1187">
        <v>667.2</v>
      </c>
      <c r="J1187">
        <v>565.20000000000005</v>
      </c>
      <c r="K1187">
        <v>0</v>
      </c>
      <c r="L1187">
        <v>0</v>
      </c>
      <c r="M1187">
        <v>667.2</v>
      </c>
      <c r="N1187">
        <v>0</v>
      </c>
      <c r="O1187">
        <v>0</v>
      </c>
      <c r="P1187">
        <v>0</v>
      </c>
      <c r="Q1187" t="s">
        <v>458</v>
      </c>
    </row>
    <row r="1188" spans="1:17" x14ac:dyDescent="0.3">
      <c r="A1188">
        <v>185242</v>
      </c>
      <c r="B1188">
        <v>105</v>
      </c>
      <c r="C1188" t="s">
        <v>557</v>
      </c>
      <c r="D1188" t="s">
        <v>3646</v>
      </c>
      <c r="E1188" t="s">
        <v>3794</v>
      </c>
      <c r="F1188" s="451">
        <v>46008</v>
      </c>
      <c r="G1188" s="451">
        <v>46008</v>
      </c>
      <c r="H1188" s="451">
        <v>46015</v>
      </c>
      <c r="I1188">
        <v>1195.95</v>
      </c>
      <c r="J1188">
        <v>4080</v>
      </c>
      <c r="K1188">
        <v>1195.95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458</v>
      </c>
    </row>
    <row r="1189" spans="1:17" x14ac:dyDescent="0.3">
      <c r="A1189">
        <v>185236</v>
      </c>
      <c r="B1189">
        <v>105</v>
      </c>
      <c r="C1189" t="s">
        <v>557</v>
      </c>
      <c r="D1189" t="s">
        <v>2590</v>
      </c>
      <c r="E1189" t="s">
        <v>3795</v>
      </c>
      <c r="F1189" s="451">
        <v>46001</v>
      </c>
      <c r="G1189" s="451">
        <v>46001</v>
      </c>
      <c r="H1189" s="451">
        <v>46032</v>
      </c>
      <c r="I1189">
        <v>5340.47</v>
      </c>
      <c r="J1189">
        <v>8795.1</v>
      </c>
      <c r="K1189">
        <v>0</v>
      </c>
      <c r="L1189">
        <v>5340.47</v>
      </c>
      <c r="M1189">
        <v>0</v>
      </c>
      <c r="N1189">
        <v>0</v>
      </c>
      <c r="O1189">
        <v>0</v>
      </c>
      <c r="P1189">
        <v>0</v>
      </c>
      <c r="Q1189" t="s">
        <v>458</v>
      </c>
    </row>
    <row r="1190" spans="1:17" x14ac:dyDescent="0.3">
      <c r="A1190">
        <v>185234</v>
      </c>
      <c r="B1190">
        <v>105</v>
      </c>
      <c r="C1190" t="s">
        <v>557</v>
      </c>
      <c r="D1190" t="s">
        <v>2590</v>
      </c>
      <c r="E1190" t="s">
        <v>3796</v>
      </c>
      <c r="F1190" s="451">
        <v>46001</v>
      </c>
      <c r="G1190" s="451">
        <v>46001</v>
      </c>
      <c r="H1190" s="451">
        <v>46034</v>
      </c>
      <c r="I1190">
        <v>3379.57</v>
      </c>
      <c r="J1190">
        <v>3379.6</v>
      </c>
      <c r="K1190">
        <v>0</v>
      </c>
      <c r="L1190">
        <v>3379.57</v>
      </c>
      <c r="M1190">
        <v>0</v>
      </c>
      <c r="N1190">
        <v>0</v>
      </c>
      <c r="O1190">
        <v>0</v>
      </c>
      <c r="P1190">
        <v>0</v>
      </c>
      <c r="Q1190" t="s">
        <v>458</v>
      </c>
    </row>
    <row r="1191" spans="1:17" x14ac:dyDescent="0.3">
      <c r="A1191">
        <v>185232</v>
      </c>
      <c r="B1191">
        <v>105</v>
      </c>
      <c r="C1191" t="s">
        <v>557</v>
      </c>
      <c r="D1191" t="s">
        <v>2605</v>
      </c>
      <c r="E1191" t="s">
        <v>3797</v>
      </c>
      <c r="F1191" s="451">
        <v>46008</v>
      </c>
      <c r="G1191" s="451">
        <v>46008</v>
      </c>
      <c r="H1191" s="451">
        <v>46037</v>
      </c>
      <c r="I1191">
        <v>110.7</v>
      </c>
      <c r="J1191">
        <v>110.7</v>
      </c>
      <c r="K1191">
        <v>110.7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458</v>
      </c>
    </row>
    <row r="1192" spans="1:17" x14ac:dyDescent="0.3">
      <c r="A1192">
        <v>185229</v>
      </c>
      <c r="B1192">
        <v>105</v>
      </c>
      <c r="C1192" t="s">
        <v>557</v>
      </c>
      <c r="D1192" t="s">
        <v>2605</v>
      </c>
      <c r="E1192" t="s">
        <v>3798</v>
      </c>
      <c r="F1192" s="451">
        <v>46006</v>
      </c>
      <c r="G1192" s="451">
        <v>46006</v>
      </c>
      <c r="H1192" s="451">
        <v>46035</v>
      </c>
      <c r="I1192">
        <v>350.41</v>
      </c>
      <c r="J1192">
        <v>334.51</v>
      </c>
      <c r="K1192">
        <v>350.41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458</v>
      </c>
    </row>
    <row r="1193" spans="1:17" x14ac:dyDescent="0.3">
      <c r="A1193">
        <v>185225</v>
      </c>
      <c r="B1193">
        <v>105</v>
      </c>
      <c r="C1193" t="s">
        <v>557</v>
      </c>
      <c r="D1193" t="s">
        <v>2627</v>
      </c>
      <c r="E1193" t="s">
        <v>3799</v>
      </c>
      <c r="F1193" s="451">
        <v>46006</v>
      </c>
      <c r="G1193" s="451">
        <v>46006</v>
      </c>
      <c r="H1193" s="451">
        <v>46027</v>
      </c>
      <c r="I1193">
        <v>917.45</v>
      </c>
      <c r="J1193">
        <v>917.45</v>
      </c>
      <c r="K1193">
        <v>917.45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458</v>
      </c>
    </row>
    <row r="1194" spans="1:17" x14ac:dyDescent="0.3">
      <c r="A1194">
        <v>185224</v>
      </c>
      <c r="B1194">
        <v>105</v>
      </c>
      <c r="C1194" t="s">
        <v>557</v>
      </c>
      <c r="D1194" t="s">
        <v>2581</v>
      </c>
      <c r="E1194" t="s">
        <v>3800</v>
      </c>
      <c r="F1194" s="451">
        <v>46008</v>
      </c>
      <c r="G1194" s="451">
        <v>46008</v>
      </c>
      <c r="H1194" s="451">
        <v>46036</v>
      </c>
      <c r="I1194">
        <v>522.29999999999995</v>
      </c>
      <c r="J1194">
        <v>522.29999999999995</v>
      </c>
      <c r="K1194">
        <v>522.29999999999995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458</v>
      </c>
    </row>
    <row r="1195" spans="1:17" x14ac:dyDescent="0.3">
      <c r="A1195">
        <v>185223</v>
      </c>
      <c r="B1195">
        <v>105</v>
      </c>
      <c r="C1195" t="s">
        <v>557</v>
      </c>
      <c r="D1195" t="s">
        <v>2581</v>
      </c>
      <c r="E1195" t="s">
        <v>3801</v>
      </c>
      <c r="F1195" s="451">
        <v>46007</v>
      </c>
      <c r="G1195" s="451">
        <v>46007</v>
      </c>
      <c r="H1195" s="451">
        <v>46035</v>
      </c>
      <c r="I1195">
        <v>144</v>
      </c>
      <c r="J1195">
        <v>144</v>
      </c>
      <c r="K1195">
        <v>144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458</v>
      </c>
    </row>
    <row r="1196" spans="1:17" x14ac:dyDescent="0.3">
      <c r="A1196">
        <v>185222</v>
      </c>
      <c r="B1196">
        <v>105</v>
      </c>
      <c r="C1196" t="s">
        <v>557</v>
      </c>
      <c r="D1196" t="s">
        <v>2581</v>
      </c>
      <c r="E1196" t="s">
        <v>3802</v>
      </c>
      <c r="F1196" s="451">
        <v>46006</v>
      </c>
      <c r="G1196" s="451">
        <v>46006</v>
      </c>
      <c r="H1196" s="451">
        <v>46034</v>
      </c>
      <c r="I1196">
        <v>27.95</v>
      </c>
      <c r="J1196">
        <v>27.95</v>
      </c>
      <c r="K1196">
        <v>27.95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458</v>
      </c>
    </row>
    <row r="1197" spans="1:17" x14ac:dyDescent="0.3">
      <c r="A1197">
        <v>185220</v>
      </c>
      <c r="B1197">
        <v>105</v>
      </c>
      <c r="C1197" t="s">
        <v>557</v>
      </c>
      <c r="D1197" t="s">
        <v>2581</v>
      </c>
      <c r="E1197" t="s">
        <v>3803</v>
      </c>
      <c r="F1197" s="451">
        <v>46004</v>
      </c>
      <c r="G1197" s="451">
        <v>46004</v>
      </c>
      <c r="H1197" s="451">
        <v>46032</v>
      </c>
      <c r="I1197">
        <v>252</v>
      </c>
      <c r="J1197">
        <v>252</v>
      </c>
      <c r="K1197">
        <v>252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458</v>
      </c>
    </row>
    <row r="1198" spans="1:17" x14ac:dyDescent="0.3">
      <c r="A1198">
        <v>185219</v>
      </c>
      <c r="B1198">
        <v>105</v>
      </c>
      <c r="C1198" t="s">
        <v>557</v>
      </c>
      <c r="D1198" t="s">
        <v>2581</v>
      </c>
      <c r="E1198" t="s">
        <v>3804</v>
      </c>
      <c r="F1198" s="451">
        <v>46003</v>
      </c>
      <c r="G1198" s="451">
        <v>46003</v>
      </c>
      <c r="H1198" s="451">
        <v>46031</v>
      </c>
      <c r="I1198">
        <v>235.35</v>
      </c>
      <c r="J1198">
        <v>235.35</v>
      </c>
      <c r="K1198">
        <v>235.35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458</v>
      </c>
    </row>
    <row r="1199" spans="1:17" x14ac:dyDescent="0.3">
      <c r="A1199">
        <v>185216</v>
      </c>
      <c r="B1199">
        <v>105</v>
      </c>
      <c r="C1199" t="s">
        <v>557</v>
      </c>
      <c r="D1199" t="s">
        <v>2637</v>
      </c>
      <c r="E1199" t="s">
        <v>3805</v>
      </c>
      <c r="F1199" s="451">
        <v>46006</v>
      </c>
      <c r="G1199" s="451">
        <v>46006</v>
      </c>
      <c r="H1199" s="451">
        <v>46034</v>
      </c>
      <c r="I1199">
        <v>394.8</v>
      </c>
      <c r="J1199">
        <v>394.8</v>
      </c>
      <c r="K1199">
        <v>0</v>
      </c>
      <c r="L1199">
        <v>394.8</v>
      </c>
      <c r="M1199">
        <v>0</v>
      </c>
      <c r="N1199">
        <v>0</v>
      </c>
      <c r="O1199">
        <v>0</v>
      </c>
      <c r="P1199">
        <v>0</v>
      </c>
      <c r="Q1199" t="s">
        <v>458</v>
      </c>
    </row>
    <row r="1200" spans="1:17" x14ac:dyDescent="0.3">
      <c r="A1200">
        <v>185214</v>
      </c>
      <c r="B1200">
        <v>105</v>
      </c>
      <c r="C1200" t="s">
        <v>557</v>
      </c>
      <c r="D1200" t="s">
        <v>2607</v>
      </c>
      <c r="E1200" t="s">
        <v>3806</v>
      </c>
      <c r="F1200" s="451">
        <v>46008</v>
      </c>
      <c r="G1200" s="451">
        <v>46008</v>
      </c>
      <c r="H1200" s="451">
        <v>46036</v>
      </c>
      <c r="I1200">
        <v>2401.1999999999998</v>
      </c>
      <c r="J1200">
        <v>2401.1999999999998</v>
      </c>
      <c r="K1200">
        <v>2401.1999999999998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458</v>
      </c>
    </row>
    <row r="1201" spans="1:17" x14ac:dyDescent="0.3">
      <c r="A1201">
        <v>185213</v>
      </c>
      <c r="B1201">
        <v>105</v>
      </c>
      <c r="C1201" t="s">
        <v>557</v>
      </c>
      <c r="D1201" t="s">
        <v>2607</v>
      </c>
      <c r="E1201" t="s">
        <v>3807</v>
      </c>
      <c r="F1201" s="451">
        <v>46006</v>
      </c>
      <c r="G1201" s="451">
        <v>46006</v>
      </c>
      <c r="H1201" s="451">
        <v>46034</v>
      </c>
      <c r="I1201">
        <v>230.11</v>
      </c>
      <c r="J1201">
        <v>227.52</v>
      </c>
      <c r="K1201">
        <v>230.11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458</v>
      </c>
    </row>
    <row r="1202" spans="1:17" x14ac:dyDescent="0.3">
      <c r="A1202">
        <v>185212</v>
      </c>
      <c r="B1202">
        <v>105</v>
      </c>
      <c r="C1202" t="s">
        <v>557</v>
      </c>
      <c r="D1202" t="s">
        <v>2607</v>
      </c>
      <c r="E1202" t="s">
        <v>3808</v>
      </c>
      <c r="F1202" s="451">
        <v>46006</v>
      </c>
      <c r="G1202" s="451">
        <v>46006</v>
      </c>
      <c r="H1202" s="451">
        <v>46034</v>
      </c>
      <c r="I1202">
        <v>1145.46</v>
      </c>
      <c r="J1202">
        <v>1145.46</v>
      </c>
      <c r="K1202">
        <v>1145.46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458</v>
      </c>
    </row>
    <row r="1203" spans="1:17" x14ac:dyDescent="0.3">
      <c r="A1203">
        <v>185206</v>
      </c>
      <c r="B1203">
        <v>105</v>
      </c>
      <c r="C1203" t="s">
        <v>557</v>
      </c>
      <c r="D1203" t="s">
        <v>3425</v>
      </c>
      <c r="E1203" t="s">
        <v>3809</v>
      </c>
      <c r="F1203" s="451">
        <v>46007</v>
      </c>
      <c r="G1203" s="451">
        <v>46007</v>
      </c>
      <c r="H1203" s="451">
        <v>46035</v>
      </c>
      <c r="I1203">
        <v>697.88</v>
      </c>
      <c r="J1203">
        <v>697.88</v>
      </c>
      <c r="K1203">
        <v>10.48</v>
      </c>
      <c r="L1203">
        <v>687.4</v>
      </c>
      <c r="M1203">
        <v>0</v>
      </c>
      <c r="N1203">
        <v>0</v>
      </c>
      <c r="O1203">
        <v>0</v>
      </c>
      <c r="P1203">
        <v>0</v>
      </c>
      <c r="Q1203" t="s">
        <v>458</v>
      </c>
    </row>
    <row r="1204" spans="1:17" x14ac:dyDescent="0.3">
      <c r="A1204">
        <v>184574</v>
      </c>
      <c r="B1204">
        <v>105</v>
      </c>
      <c r="C1204" t="s">
        <v>557</v>
      </c>
      <c r="D1204" t="s">
        <v>2581</v>
      </c>
      <c r="E1204" t="s">
        <v>3810</v>
      </c>
      <c r="F1204" s="451">
        <v>45993</v>
      </c>
      <c r="G1204" s="451">
        <v>45993</v>
      </c>
      <c r="H1204" s="451">
        <v>46021</v>
      </c>
      <c r="I1204">
        <v>32.799999999999997</v>
      </c>
      <c r="J1204">
        <v>34.299999999999997</v>
      </c>
      <c r="K1204">
        <v>32.799999999999997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458</v>
      </c>
    </row>
    <row r="1205" spans="1:17" x14ac:dyDescent="0.3">
      <c r="A1205">
        <v>184522</v>
      </c>
      <c r="B1205">
        <v>105</v>
      </c>
      <c r="C1205" t="s">
        <v>557</v>
      </c>
      <c r="D1205" t="s">
        <v>2552</v>
      </c>
      <c r="E1205" t="s">
        <v>3811</v>
      </c>
      <c r="F1205" s="451">
        <v>46008</v>
      </c>
      <c r="G1205" s="451">
        <v>46008</v>
      </c>
      <c r="H1205" s="451">
        <v>46022</v>
      </c>
      <c r="I1205">
        <v>222.5</v>
      </c>
      <c r="J1205">
        <v>197.5</v>
      </c>
      <c r="K1205">
        <v>222.5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458</v>
      </c>
    </row>
    <row r="1206" spans="1:17" x14ac:dyDescent="0.3">
      <c r="A1206">
        <v>184518</v>
      </c>
      <c r="B1206">
        <v>105</v>
      </c>
      <c r="C1206" t="s">
        <v>557</v>
      </c>
      <c r="D1206" t="s">
        <v>2565</v>
      </c>
      <c r="E1206" t="s">
        <v>3812</v>
      </c>
      <c r="F1206" s="451">
        <v>46007</v>
      </c>
      <c r="G1206" s="451">
        <v>46007</v>
      </c>
      <c r="H1206" s="451">
        <v>46021</v>
      </c>
      <c r="I1206">
        <v>330.77</v>
      </c>
      <c r="J1206">
        <v>330.77</v>
      </c>
      <c r="K1206">
        <v>0</v>
      </c>
      <c r="L1206">
        <v>330.77</v>
      </c>
      <c r="M1206">
        <v>0</v>
      </c>
      <c r="N1206">
        <v>0</v>
      </c>
      <c r="O1206">
        <v>0</v>
      </c>
      <c r="P1206">
        <v>0</v>
      </c>
      <c r="Q1206" t="s">
        <v>458</v>
      </c>
    </row>
    <row r="1207" spans="1:17" x14ac:dyDescent="0.3">
      <c r="A1207">
        <v>184514</v>
      </c>
      <c r="B1207">
        <v>105</v>
      </c>
      <c r="C1207" t="s">
        <v>557</v>
      </c>
      <c r="D1207" t="s">
        <v>2792</v>
      </c>
      <c r="E1207" t="s">
        <v>3813</v>
      </c>
      <c r="F1207" s="451">
        <v>46008</v>
      </c>
      <c r="G1207" s="451">
        <v>46008</v>
      </c>
      <c r="H1207" s="451">
        <v>46022</v>
      </c>
      <c r="I1207">
        <v>529.79999999999995</v>
      </c>
      <c r="J1207">
        <v>496.8</v>
      </c>
      <c r="K1207">
        <v>529.79999999999995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458</v>
      </c>
    </row>
    <row r="1208" spans="1:17" x14ac:dyDescent="0.3">
      <c r="A1208">
        <v>184512</v>
      </c>
      <c r="B1208">
        <v>105</v>
      </c>
      <c r="C1208" t="s">
        <v>557</v>
      </c>
      <c r="D1208" t="s">
        <v>2707</v>
      </c>
      <c r="E1208" t="s">
        <v>3814</v>
      </c>
      <c r="F1208" s="451">
        <v>46006</v>
      </c>
      <c r="G1208" s="451">
        <v>46006</v>
      </c>
      <c r="H1208" s="451">
        <v>46020</v>
      </c>
      <c r="I1208">
        <v>240.38</v>
      </c>
      <c r="J1208">
        <v>238</v>
      </c>
      <c r="K1208">
        <v>240.38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458</v>
      </c>
    </row>
    <row r="1209" spans="1:17" x14ac:dyDescent="0.3">
      <c r="A1209">
        <v>184511</v>
      </c>
      <c r="B1209">
        <v>105</v>
      </c>
      <c r="C1209" t="s">
        <v>557</v>
      </c>
      <c r="D1209" t="s">
        <v>2603</v>
      </c>
      <c r="E1209" t="s">
        <v>3815</v>
      </c>
      <c r="F1209" s="451">
        <v>46007</v>
      </c>
      <c r="G1209" s="451">
        <v>46007</v>
      </c>
      <c r="H1209" s="451">
        <v>46022</v>
      </c>
      <c r="I1209">
        <v>1886.54</v>
      </c>
      <c r="J1209">
        <v>1886.54</v>
      </c>
      <c r="K1209">
        <v>1886.54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458</v>
      </c>
    </row>
    <row r="1210" spans="1:17" x14ac:dyDescent="0.3">
      <c r="A1210">
        <v>184509</v>
      </c>
      <c r="B1210">
        <v>105</v>
      </c>
      <c r="C1210" t="s">
        <v>557</v>
      </c>
      <c r="D1210" t="s">
        <v>2603</v>
      </c>
      <c r="E1210" t="s">
        <v>3816</v>
      </c>
      <c r="F1210" s="451">
        <v>46000</v>
      </c>
      <c r="G1210" s="451">
        <v>46000</v>
      </c>
      <c r="H1210" s="451">
        <v>46015</v>
      </c>
      <c r="I1210">
        <v>2350.23</v>
      </c>
      <c r="J1210">
        <v>2350.23</v>
      </c>
      <c r="K1210">
        <v>2350.23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458</v>
      </c>
    </row>
    <row r="1211" spans="1:17" x14ac:dyDescent="0.3">
      <c r="A1211">
        <v>184506</v>
      </c>
      <c r="B1211">
        <v>105</v>
      </c>
      <c r="C1211" t="s">
        <v>557</v>
      </c>
      <c r="D1211" t="s">
        <v>2603</v>
      </c>
      <c r="E1211" t="s">
        <v>3817</v>
      </c>
      <c r="F1211" s="451">
        <v>46000</v>
      </c>
      <c r="G1211" s="451">
        <v>46000</v>
      </c>
      <c r="H1211" s="451">
        <v>46021</v>
      </c>
      <c r="I1211">
        <v>179.5</v>
      </c>
      <c r="J1211">
        <v>179.5</v>
      </c>
      <c r="K1211">
        <v>179.5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458</v>
      </c>
    </row>
    <row r="1212" spans="1:17" x14ac:dyDescent="0.3">
      <c r="A1212">
        <v>184503</v>
      </c>
      <c r="B1212">
        <v>105</v>
      </c>
      <c r="C1212" t="s">
        <v>557</v>
      </c>
      <c r="D1212" t="s">
        <v>2697</v>
      </c>
      <c r="E1212" t="s">
        <v>3818</v>
      </c>
      <c r="F1212" s="451">
        <v>46002</v>
      </c>
      <c r="G1212" s="451">
        <v>46002</v>
      </c>
      <c r="H1212" s="451">
        <v>46017</v>
      </c>
      <c r="I1212">
        <v>250.95</v>
      </c>
      <c r="J1212">
        <v>224.64</v>
      </c>
      <c r="K1212">
        <v>0</v>
      </c>
      <c r="L1212">
        <v>250.95</v>
      </c>
      <c r="M1212">
        <v>0</v>
      </c>
      <c r="N1212">
        <v>0</v>
      </c>
      <c r="O1212">
        <v>0</v>
      </c>
      <c r="P1212">
        <v>0</v>
      </c>
      <c r="Q1212" t="s">
        <v>458</v>
      </c>
    </row>
    <row r="1213" spans="1:17" x14ac:dyDescent="0.3">
      <c r="A1213">
        <v>184501</v>
      </c>
      <c r="B1213">
        <v>105</v>
      </c>
      <c r="C1213" t="s">
        <v>557</v>
      </c>
      <c r="D1213" t="s">
        <v>2690</v>
      </c>
      <c r="E1213" t="s">
        <v>3819</v>
      </c>
      <c r="F1213" s="451">
        <v>46004</v>
      </c>
      <c r="G1213" s="451">
        <v>46004</v>
      </c>
      <c r="H1213" s="451">
        <v>46025</v>
      </c>
      <c r="I1213">
        <v>99.8</v>
      </c>
      <c r="J1213">
        <v>99.8</v>
      </c>
      <c r="K1213">
        <v>0</v>
      </c>
      <c r="L1213">
        <v>99.8</v>
      </c>
      <c r="M1213">
        <v>0</v>
      </c>
      <c r="N1213">
        <v>0</v>
      </c>
      <c r="O1213">
        <v>0</v>
      </c>
      <c r="P1213">
        <v>0</v>
      </c>
      <c r="Q1213" t="s">
        <v>458</v>
      </c>
    </row>
    <row r="1214" spans="1:17" x14ac:dyDescent="0.3">
      <c r="A1214">
        <v>183941</v>
      </c>
      <c r="B1214">
        <v>105</v>
      </c>
      <c r="C1214" t="s">
        <v>557</v>
      </c>
      <c r="D1214" t="s">
        <v>3425</v>
      </c>
      <c r="E1214" t="s">
        <v>3820</v>
      </c>
      <c r="F1214" s="451">
        <v>46002</v>
      </c>
      <c r="G1214" s="451">
        <v>46002</v>
      </c>
      <c r="H1214" s="451">
        <v>46030</v>
      </c>
      <c r="I1214">
        <v>840.8</v>
      </c>
      <c r="J1214">
        <v>840.8</v>
      </c>
      <c r="K1214">
        <v>0</v>
      </c>
      <c r="L1214">
        <v>840.8</v>
      </c>
      <c r="M1214">
        <v>0</v>
      </c>
      <c r="N1214">
        <v>0</v>
      </c>
      <c r="O1214">
        <v>0</v>
      </c>
      <c r="P1214">
        <v>0</v>
      </c>
      <c r="Q1214" t="s">
        <v>458</v>
      </c>
    </row>
    <row r="1215" spans="1:17" x14ac:dyDescent="0.3">
      <c r="A1215">
        <v>183650</v>
      </c>
      <c r="B1215">
        <v>105</v>
      </c>
      <c r="C1215" t="s">
        <v>557</v>
      </c>
      <c r="D1215" t="s">
        <v>2557</v>
      </c>
      <c r="E1215" t="s">
        <v>3821</v>
      </c>
      <c r="F1215" s="451">
        <v>46002</v>
      </c>
      <c r="H1215" s="451">
        <v>46031</v>
      </c>
      <c r="I1215">
        <v>2059.2600000000002</v>
      </c>
      <c r="J1215">
        <v>2059.2600000000002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2059.2600000000002</v>
      </c>
      <c r="Q1215" t="s">
        <v>458</v>
      </c>
    </row>
    <row r="1216" spans="1:17" x14ac:dyDescent="0.3">
      <c r="A1216">
        <v>183645</v>
      </c>
      <c r="B1216">
        <v>105</v>
      </c>
      <c r="C1216" t="s">
        <v>557</v>
      </c>
      <c r="D1216" t="s">
        <v>3723</v>
      </c>
      <c r="E1216" t="s">
        <v>3822</v>
      </c>
      <c r="F1216" s="451">
        <v>46002</v>
      </c>
      <c r="G1216" s="451">
        <v>46002</v>
      </c>
      <c r="H1216" s="451">
        <v>46030</v>
      </c>
      <c r="I1216">
        <v>663.16</v>
      </c>
      <c r="J1216">
        <v>644.15</v>
      </c>
      <c r="K1216">
        <v>663.16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458</v>
      </c>
    </row>
    <row r="1217" spans="1:17" x14ac:dyDescent="0.3">
      <c r="A1217">
        <v>183643</v>
      </c>
      <c r="B1217">
        <v>105</v>
      </c>
      <c r="C1217" t="s">
        <v>557</v>
      </c>
      <c r="D1217" t="s">
        <v>2716</v>
      </c>
      <c r="E1217" t="s">
        <v>3823</v>
      </c>
      <c r="F1217" s="451">
        <v>46002</v>
      </c>
      <c r="G1217" s="451">
        <v>46002</v>
      </c>
      <c r="H1217" s="451">
        <v>46024</v>
      </c>
      <c r="I1217">
        <v>275</v>
      </c>
      <c r="J1217">
        <v>240</v>
      </c>
      <c r="K1217">
        <v>275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458</v>
      </c>
    </row>
    <row r="1218" spans="1:17" x14ac:dyDescent="0.3">
      <c r="A1218">
        <v>183639</v>
      </c>
      <c r="B1218">
        <v>105</v>
      </c>
      <c r="C1218" t="s">
        <v>557</v>
      </c>
      <c r="D1218" t="s">
        <v>2563</v>
      </c>
      <c r="E1218" t="s">
        <v>3824</v>
      </c>
      <c r="F1218" s="451">
        <v>46002</v>
      </c>
      <c r="G1218" s="451">
        <v>46002</v>
      </c>
      <c r="H1218" s="451">
        <v>46030</v>
      </c>
      <c r="I1218">
        <v>449.79</v>
      </c>
      <c r="J1218">
        <v>436.99</v>
      </c>
      <c r="K1218">
        <v>449.79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458</v>
      </c>
    </row>
    <row r="1219" spans="1:17" x14ac:dyDescent="0.3">
      <c r="A1219">
        <v>183638</v>
      </c>
      <c r="B1219">
        <v>105</v>
      </c>
      <c r="C1219" t="s">
        <v>557</v>
      </c>
      <c r="D1219" t="s">
        <v>2569</v>
      </c>
      <c r="E1219" t="s">
        <v>3825</v>
      </c>
      <c r="F1219" s="451">
        <v>46003</v>
      </c>
      <c r="G1219" s="451">
        <v>46003</v>
      </c>
      <c r="H1219" s="451">
        <v>46038</v>
      </c>
      <c r="I1219">
        <v>401.91</v>
      </c>
      <c r="J1219">
        <v>330</v>
      </c>
      <c r="K1219">
        <v>0</v>
      </c>
      <c r="L1219">
        <v>401.91</v>
      </c>
      <c r="M1219">
        <v>0</v>
      </c>
      <c r="N1219">
        <v>0</v>
      </c>
      <c r="O1219">
        <v>0</v>
      </c>
      <c r="P1219">
        <v>0</v>
      </c>
      <c r="Q1219" t="s">
        <v>458</v>
      </c>
    </row>
    <row r="1220" spans="1:17" x14ac:dyDescent="0.3">
      <c r="A1220">
        <v>183634</v>
      </c>
      <c r="B1220">
        <v>105</v>
      </c>
      <c r="C1220" t="s">
        <v>557</v>
      </c>
      <c r="D1220" t="s">
        <v>2569</v>
      </c>
      <c r="E1220" t="s">
        <v>3826</v>
      </c>
      <c r="F1220" s="451">
        <v>46002</v>
      </c>
      <c r="G1220" s="451">
        <v>46002</v>
      </c>
      <c r="H1220" s="451">
        <v>46038</v>
      </c>
      <c r="I1220">
        <v>256.5</v>
      </c>
      <c r="J1220">
        <v>268.5</v>
      </c>
      <c r="K1220">
        <v>0</v>
      </c>
      <c r="L1220">
        <v>256.5</v>
      </c>
      <c r="M1220">
        <v>0</v>
      </c>
      <c r="N1220">
        <v>0</v>
      </c>
      <c r="O1220">
        <v>0</v>
      </c>
      <c r="P1220">
        <v>0</v>
      </c>
      <c r="Q1220" t="s">
        <v>458</v>
      </c>
    </row>
    <row r="1221" spans="1:17" x14ac:dyDescent="0.3">
      <c r="A1221">
        <v>183632</v>
      </c>
      <c r="B1221">
        <v>105</v>
      </c>
      <c r="C1221" t="s">
        <v>557</v>
      </c>
      <c r="D1221" t="s">
        <v>2581</v>
      </c>
      <c r="E1221" t="s">
        <v>3827</v>
      </c>
      <c r="F1221" s="451">
        <v>46002</v>
      </c>
      <c r="G1221" s="451">
        <v>46002</v>
      </c>
      <c r="H1221" s="451">
        <v>46030</v>
      </c>
      <c r="I1221">
        <v>1014.55</v>
      </c>
      <c r="J1221">
        <v>1012.4</v>
      </c>
      <c r="K1221">
        <v>1014.55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458</v>
      </c>
    </row>
    <row r="1222" spans="1:17" x14ac:dyDescent="0.3">
      <c r="A1222">
        <v>183630</v>
      </c>
      <c r="B1222">
        <v>105</v>
      </c>
      <c r="C1222" t="s">
        <v>557</v>
      </c>
      <c r="D1222" t="s">
        <v>2705</v>
      </c>
      <c r="E1222" t="s">
        <v>3828</v>
      </c>
      <c r="F1222" s="451">
        <v>46002</v>
      </c>
      <c r="H1222" s="451">
        <v>46020</v>
      </c>
      <c r="I1222">
        <v>692</v>
      </c>
      <c r="J1222">
        <v>692</v>
      </c>
      <c r="K1222">
        <v>0</v>
      </c>
      <c r="L1222">
        <v>0</v>
      </c>
      <c r="M1222">
        <v>0</v>
      </c>
      <c r="N1222">
        <v>692</v>
      </c>
      <c r="O1222">
        <v>0</v>
      </c>
      <c r="P1222">
        <v>0</v>
      </c>
      <c r="Q1222" t="s">
        <v>458</v>
      </c>
    </row>
    <row r="1223" spans="1:17" x14ac:dyDescent="0.3">
      <c r="A1223">
        <v>183629</v>
      </c>
      <c r="B1223">
        <v>105</v>
      </c>
      <c r="C1223" t="s">
        <v>557</v>
      </c>
      <c r="D1223" t="s">
        <v>2615</v>
      </c>
      <c r="E1223" t="s">
        <v>3829</v>
      </c>
      <c r="F1223" s="451">
        <v>46002</v>
      </c>
      <c r="G1223" s="451">
        <v>46002</v>
      </c>
      <c r="H1223" s="451">
        <v>46017</v>
      </c>
      <c r="I1223">
        <v>110.7</v>
      </c>
      <c r="J1223">
        <v>110.7</v>
      </c>
      <c r="K1223">
        <v>110.7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458</v>
      </c>
    </row>
    <row r="1224" spans="1:17" x14ac:dyDescent="0.3">
      <c r="A1224">
        <v>183628</v>
      </c>
      <c r="B1224">
        <v>105</v>
      </c>
      <c r="C1224" t="s">
        <v>557</v>
      </c>
      <c r="D1224" t="s">
        <v>2554</v>
      </c>
      <c r="E1224" t="s">
        <v>3830</v>
      </c>
      <c r="F1224" s="451">
        <v>46001</v>
      </c>
      <c r="H1224" s="451">
        <v>46015</v>
      </c>
      <c r="I1224">
        <v>258</v>
      </c>
      <c r="J1224">
        <v>258</v>
      </c>
      <c r="K1224">
        <v>0</v>
      </c>
      <c r="L1224">
        <v>0</v>
      </c>
      <c r="M1224">
        <v>258</v>
      </c>
      <c r="N1224">
        <v>0</v>
      </c>
      <c r="O1224">
        <v>0</v>
      </c>
      <c r="P1224">
        <v>0</v>
      </c>
      <c r="Q1224" t="s">
        <v>458</v>
      </c>
    </row>
    <row r="1225" spans="1:17" x14ac:dyDescent="0.3">
      <c r="A1225">
        <v>183627</v>
      </c>
      <c r="B1225">
        <v>105</v>
      </c>
      <c r="C1225" t="s">
        <v>557</v>
      </c>
      <c r="D1225" t="s">
        <v>2554</v>
      </c>
      <c r="E1225" t="s">
        <v>3831</v>
      </c>
      <c r="F1225" s="451">
        <v>46001</v>
      </c>
      <c r="H1225" s="451">
        <v>46015</v>
      </c>
      <c r="I1225">
        <v>1061.4000000000001</v>
      </c>
      <c r="J1225">
        <v>1061.4000000000001</v>
      </c>
      <c r="K1225">
        <v>0</v>
      </c>
      <c r="L1225">
        <v>0</v>
      </c>
      <c r="M1225">
        <v>723.6</v>
      </c>
      <c r="N1225">
        <v>0</v>
      </c>
      <c r="O1225">
        <v>0</v>
      </c>
      <c r="P1225">
        <v>337.8</v>
      </c>
      <c r="Q1225" t="s">
        <v>458</v>
      </c>
    </row>
    <row r="1226" spans="1:17" x14ac:dyDescent="0.3">
      <c r="A1226">
        <v>183625</v>
      </c>
      <c r="B1226">
        <v>105</v>
      </c>
      <c r="C1226" t="s">
        <v>557</v>
      </c>
      <c r="D1226" t="s">
        <v>3723</v>
      </c>
      <c r="E1226" t="s">
        <v>3832</v>
      </c>
      <c r="F1226" s="451">
        <v>46001</v>
      </c>
      <c r="G1226" s="451">
        <v>46001</v>
      </c>
      <c r="H1226" s="451">
        <v>46029</v>
      </c>
      <c r="I1226">
        <v>120</v>
      </c>
      <c r="J1226">
        <v>120</v>
      </c>
      <c r="K1226">
        <v>120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458</v>
      </c>
    </row>
    <row r="1227" spans="1:17" x14ac:dyDescent="0.3">
      <c r="A1227">
        <v>183624</v>
      </c>
      <c r="B1227">
        <v>105</v>
      </c>
      <c r="C1227" t="s">
        <v>557</v>
      </c>
      <c r="D1227" t="s">
        <v>2699</v>
      </c>
      <c r="E1227" t="s">
        <v>3833</v>
      </c>
      <c r="F1227" s="451">
        <v>46000</v>
      </c>
      <c r="G1227" s="451">
        <v>46000</v>
      </c>
      <c r="H1227" s="451">
        <v>46028</v>
      </c>
      <c r="I1227">
        <v>553.20000000000005</v>
      </c>
      <c r="J1227">
        <v>553.20000000000005</v>
      </c>
      <c r="K1227">
        <v>0</v>
      </c>
      <c r="L1227">
        <v>553.20000000000005</v>
      </c>
      <c r="M1227">
        <v>0</v>
      </c>
      <c r="N1227">
        <v>0</v>
      </c>
      <c r="O1227">
        <v>0</v>
      </c>
      <c r="P1227">
        <v>0</v>
      </c>
      <c r="Q1227" t="s">
        <v>458</v>
      </c>
    </row>
    <row r="1228" spans="1:17" x14ac:dyDescent="0.3">
      <c r="A1228">
        <v>183622</v>
      </c>
      <c r="B1228">
        <v>105</v>
      </c>
      <c r="C1228" t="s">
        <v>557</v>
      </c>
      <c r="D1228" t="s">
        <v>2699</v>
      </c>
      <c r="E1228" t="s">
        <v>3834</v>
      </c>
      <c r="F1228" s="451">
        <v>46000</v>
      </c>
      <c r="G1228" s="451">
        <v>46000</v>
      </c>
      <c r="H1228" s="451">
        <v>46028</v>
      </c>
      <c r="I1228">
        <v>298.02</v>
      </c>
      <c r="J1228">
        <v>298.02</v>
      </c>
      <c r="K1228">
        <v>0</v>
      </c>
      <c r="L1228">
        <v>298.02</v>
      </c>
      <c r="M1228">
        <v>0</v>
      </c>
      <c r="N1228">
        <v>0</v>
      </c>
      <c r="O1228">
        <v>0</v>
      </c>
      <c r="P1228">
        <v>0</v>
      </c>
      <c r="Q1228" t="s">
        <v>458</v>
      </c>
    </row>
    <row r="1229" spans="1:17" x14ac:dyDescent="0.3">
      <c r="A1229">
        <v>183619</v>
      </c>
      <c r="B1229">
        <v>105</v>
      </c>
      <c r="C1229" t="s">
        <v>557</v>
      </c>
      <c r="D1229" t="s">
        <v>2605</v>
      </c>
      <c r="E1229" t="s">
        <v>3835</v>
      </c>
      <c r="F1229" s="451">
        <v>46000</v>
      </c>
      <c r="G1229" s="451">
        <v>46000</v>
      </c>
      <c r="H1229" s="451">
        <v>46028</v>
      </c>
      <c r="I1229">
        <v>332</v>
      </c>
      <c r="J1229">
        <v>332</v>
      </c>
      <c r="K1229">
        <v>332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458</v>
      </c>
    </row>
    <row r="1230" spans="1:17" x14ac:dyDescent="0.3">
      <c r="A1230">
        <v>183617</v>
      </c>
      <c r="B1230">
        <v>105</v>
      </c>
      <c r="C1230" t="s">
        <v>557</v>
      </c>
      <c r="D1230" t="s">
        <v>2581</v>
      </c>
      <c r="E1230" t="s">
        <v>3836</v>
      </c>
      <c r="F1230" s="451">
        <v>46001</v>
      </c>
      <c r="G1230" s="451">
        <v>46001</v>
      </c>
      <c r="H1230" s="451">
        <v>46029</v>
      </c>
      <c r="I1230">
        <v>624.25</v>
      </c>
      <c r="J1230">
        <v>624.25</v>
      </c>
      <c r="K1230">
        <v>624.25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458</v>
      </c>
    </row>
    <row r="1231" spans="1:17" x14ac:dyDescent="0.3">
      <c r="A1231">
        <v>183615</v>
      </c>
      <c r="B1231">
        <v>105</v>
      </c>
      <c r="C1231" t="s">
        <v>557</v>
      </c>
      <c r="D1231" t="s">
        <v>2563</v>
      </c>
      <c r="E1231" t="s">
        <v>3837</v>
      </c>
      <c r="F1231" s="451">
        <v>46001</v>
      </c>
      <c r="G1231" s="451">
        <v>46001</v>
      </c>
      <c r="H1231" s="451">
        <v>46029</v>
      </c>
      <c r="I1231">
        <v>261.41000000000003</v>
      </c>
      <c r="J1231">
        <v>252.28</v>
      </c>
      <c r="K1231">
        <v>261.41000000000003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458</v>
      </c>
    </row>
    <row r="1232" spans="1:17" x14ac:dyDescent="0.3">
      <c r="A1232">
        <v>183611</v>
      </c>
      <c r="B1232">
        <v>105</v>
      </c>
      <c r="C1232" t="s">
        <v>557</v>
      </c>
      <c r="D1232" t="s">
        <v>2569</v>
      </c>
      <c r="E1232" t="s">
        <v>3838</v>
      </c>
      <c r="F1232" s="451">
        <v>46002</v>
      </c>
      <c r="G1232" s="451">
        <v>46002</v>
      </c>
      <c r="H1232" s="451">
        <v>46037</v>
      </c>
      <c r="I1232">
        <v>349.21</v>
      </c>
      <c r="J1232">
        <v>270.3</v>
      </c>
      <c r="K1232">
        <v>0</v>
      </c>
      <c r="L1232">
        <v>349.21</v>
      </c>
      <c r="M1232">
        <v>0</v>
      </c>
      <c r="N1232">
        <v>0</v>
      </c>
      <c r="O1232">
        <v>0</v>
      </c>
      <c r="P1232">
        <v>0</v>
      </c>
      <c r="Q1232" t="s">
        <v>458</v>
      </c>
    </row>
    <row r="1233" spans="1:17" x14ac:dyDescent="0.3">
      <c r="A1233">
        <v>183609</v>
      </c>
      <c r="B1233">
        <v>105</v>
      </c>
      <c r="C1233" t="s">
        <v>557</v>
      </c>
      <c r="D1233" t="s">
        <v>2644</v>
      </c>
      <c r="E1233" t="s">
        <v>3839</v>
      </c>
      <c r="F1233" s="451">
        <v>46000</v>
      </c>
      <c r="H1233" s="451">
        <v>46034</v>
      </c>
      <c r="I1233">
        <v>105</v>
      </c>
      <c r="J1233">
        <v>105</v>
      </c>
      <c r="K1233">
        <v>0</v>
      </c>
      <c r="L1233">
        <v>0</v>
      </c>
      <c r="M1233">
        <v>59</v>
      </c>
      <c r="N1233">
        <v>0</v>
      </c>
      <c r="O1233">
        <v>46</v>
      </c>
      <c r="P1233">
        <v>0</v>
      </c>
      <c r="Q1233" t="s">
        <v>458</v>
      </c>
    </row>
    <row r="1234" spans="1:17" x14ac:dyDescent="0.3">
      <c r="A1234">
        <v>183606</v>
      </c>
      <c r="B1234">
        <v>105</v>
      </c>
      <c r="C1234" t="s">
        <v>557</v>
      </c>
      <c r="D1234" t="s">
        <v>2644</v>
      </c>
      <c r="E1234" t="s">
        <v>3840</v>
      </c>
      <c r="F1234" s="451">
        <v>45999</v>
      </c>
      <c r="G1234" s="451">
        <v>45999</v>
      </c>
      <c r="H1234" s="451">
        <v>46034</v>
      </c>
      <c r="I1234">
        <v>475.5</v>
      </c>
      <c r="J1234">
        <v>475.5</v>
      </c>
      <c r="K1234">
        <v>475.5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458</v>
      </c>
    </row>
    <row r="1235" spans="1:17" x14ac:dyDescent="0.3">
      <c r="A1235">
        <v>183604</v>
      </c>
      <c r="B1235">
        <v>105</v>
      </c>
      <c r="C1235" t="s">
        <v>557</v>
      </c>
      <c r="D1235" t="s">
        <v>2644</v>
      </c>
      <c r="E1235" t="s">
        <v>3841</v>
      </c>
      <c r="F1235" s="451">
        <v>45999</v>
      </c>
      <c r="G1235" s="451">
        <v>45999</v>
      </c>
      <c r="H1235" s="451">
        <v>46034</v>
      </c>
      <c r="I1235">
        <v>69.150000000000006</v>
      </c>
      <c r="J1235">
        <v>69.150000000000006</v>
      </c>
      <c r="K1235">
        <v>69.150000000000006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458</v>
      </c>
    </row>
    <row r="1236" spans="1:17" x14ac:dyDescent="0.3">
      <c r="A1236">
        <v>183602</v>
      </c>
      <c r="B1236">
        <v>105</v>
      </c>
      <c r="C1236" t="s">
        <v>557</v>
      </c>
      <c r="D1236" t="s">
        <v>2605</v>
      </c>
      <c r="E1236" t="s">
        <v>3842</v>
      </c>
      <c r="F1236" s="451">
        <v>46001</v>
      </c>
      <c r="G1236" s="451">
        <v>46001</v>
      </c>
      <c r="H1236" s="451">
        <v>46031</v>
      </c>
      <c r="I1236">
        <v>217.4</v>
      </c>
      <c r="J1236">
        <v>217.4</v>
      </c>
      <c r="K1236">
        <v>0</v>
      </c>
      <c r="L1236">
        <v>217.4</v>
      </c>
      <c r="M1236">
        <v>0</v>
      </c>
      <c r="N1236">
        <v>0</v>
      </c>
      <c r="O1236">
        <v>0</v>
      </c>
      <c r="P1236">
        <v>0</v>
      </c>
      <c r="Q1236" t="s">
        <v>458</v>
      </c>
    </row>
    <row r="1237" spans="1:17" x14ac:dyDescent="0.3">
      <c r="A1237">
        <v>183389</v>
      </c>
      <c r="B1237">
        <v>105</v>
      </c>
      <c r="C1237" t="s">
        <v>557</v>
      </c>
      <c r="D1237" t="s">
        <v>2798</v>
      </c>
      <c r="E1237" t="s">
        <v>3843</v>
      </c>
      <c r="F1237" s="451">
        <v>46003</v>
      </c>
      <c r="G1237" s="451">
        <v>46003</v>
      </c>
      <c r="H1237" s="451">
        <v>46013</v>
      </c>
      <c r="I1237">
        <v>615</v>
      </c>
      <c r="J1237">
        <v>615</v>
      </c>
      <c r="K1237">
        <v>615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458</v>
      </c>
    </row>
    <row r="1238" spans="1:17" x14ac:dyDescent="0.3">
      <c r="A1238">
        <v>183352</v>
      </c>
      <c r="B1238">
        <v>105</v>
      </c>
      <c r="C1238" t="s">
        <v>557</v>
      </c>
      <c r="D1238" t="s">
        <v>2571</v>
      </c>
      <c r="E1238" t="s">
        <v>3844</v>
      </c>
      <c r="F1238" s="451">
        <v>45996</v>
      </c>
      <c r="G1238" s="451">
        <v>45996</v>
      </c>
      <c r="H1238" s="451">
        <v>46024</v>
      </c>
      <c r="I1238">
        <v>1824.92</v>
      </c>
      <c r="J1238">
        <v>1789.32</v>
      </c>
      <c r="K1238">
        <v>1824.92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458</v>
      </c>
    </row>
    <row r="1239" spans="1:17" x14ac:dyDescent="0.3">
      <c r="A1239">
        <v>183346</v>
      </c>
      <c r="B1239">
        <v>105</v>
      </c>
      <c r="C1239" t="s">
        <v>557</v>
      </c>
      <c r="D1239" t="s">
        <v>2690</v>
      </c>
      <c r="E1239" t="s">
        <v>3845</v>
      </c>
      <c r="F1239" s="451">
        <v>45996</v>
      </c>
      <c r="G1239" s="451">
        <v>45996</v>
      </c>
      <c r="H1239" s="451">
        <v>46018</v>
      </c>
      <c r="I1239">
        <v>443.85</v>
      </c>
      <c r="J1239">
        <v>443.85</v>
      </c>
      <c r="K1239">
        <v>0</v>
      </c>
      <c r="L1239">
        <v>443.85</v>
      </c>
      <c r="M1239">
        <v>0</v>
      </c>
      <c r="N1239">
        <v>0</v>
      </c>
      <c r="O1239">
        <v>0</v>
      </c>
      <c r="P1239">
        <v>0</v>
      </c>
      <c r="Q1239" t="s">
        <v>458</v>
      </c>
    </row>
    <row r="1240" spans="1:17" x14ac:dyDescent="0.3">
      <c r="A1240">
        <v>183342</v>
      </c>
      <c r="B1240">
        <v>105</v>
      </c>
      <c r="C1240" t="s">
        <v>557</v>
      </c>
      <c r="D1240" t="s">
        <v>2732</v>
      </c>
      <c r="E1240" t="s">
        <v>3846</v>
      </c>
      <c r="F1240" s="451">
        <v>45999</v>
      </c>
      <c r="G1240" s="451">
        <v>45999</v>
      </c>
      <c r="H1240" s="451">
        <v>46013</v>
      </c>
      <c r="I1240">
        <v>468.16</v>
      </c>
      <c r="J1240">
        <v>468.16</v>
      </c>
      <c r="K1240">
        <v>468.16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458</v>
      </c>
    </row>
    <row r="1241" spans="1:17" x14ac:dyDescent="0.3">
      <c r="A1241">
        <v>183339</v>
      </c>
      <c r="B1241">
        <v>105</v>
      </c>
      <c r="C1241" t="s">
        <v>557</v>
      </c>
      <c r="D1241" t="s">
        <v>2597</v>
      </c>
      <c r="E1241" t="s">
        <v>3847</v>
      </c>
      <c r="F1241" s="451">
        <v>45999</v>
      </c>
      <c r="G1241" s="451">
        <v>45999</v>
      </c>
      <c r="H1241" s="451">
        <v>46027</v>
      </c>
      <c r="I1241">
        <v>6406.02</v>
      </c>
      <c r="J1241">
        <v>6406.02</v>
      </c>
      <c r="K1241">
        <v>6406.02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458</v>
      </c>
    </row>
    <row r="1242" spans="1:17" x14ac:dyDescent="0.3">
      <c r="A1242">
        <v>183335</v>
      </c>
      <c r="B1242">
        <v>105</v>
      </c>
      <c r="C1242" t="s">
        <v>557</v>
      </c>
      <c r="D1242" t="s">
        <v>2563</v>
      </c>
      <c r="E1242" t="s">
        <v>3848</v>
      </c>
      <c r="F1242" s="451">
        <v>45995</v>
      </c>
      <c r="G1242" s="451">
        <v>45995</v>
      </c>
      <c r="H1242" s="451">
        <v>46023</v>
      </c>
      <c r="I1242">
        <v>170.5</v>
      </c>
      <c r="J1242">
        <v>169.36</v>
      </c>
      <c r="K1242">
        <v>170.5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458</v>
      </c>
    </row>
    <row r="1243" spans="1:17" x14ac:dyDescent="0.3">
      <c r="A1243">
        <v>183332</v>
      </c>
      <c r="B1243">
        <v>105</v>
      </c>
      <c r="C1243" t="s">
        <v>557</v>
      </c>
      <c r="D1243" t="s">
        <v>2637</v>
      </c>
      <c r="E1243" t="s">
        <v>3849</v>
      </c>
      <c r="F1243" s="451">
        <v>46000</v>
      </c>
      <c r="G1243" s="451">
        <v>46000</v>
      </c>
      <c r="H1243" s="451">
        <v>46028</v>
      </c>
      <c r="I1243">
        <v>394.8</v>
      </c>
      <c r="J1243">
        <v>394.8</v>
      </c>
      <c r="K1243">
        <v>0</v>
      </c>
      <c r="L1243">
        <v>394.8</v>
      </c>
      <c r="M1243">
        <v>0</v>
      </c>
      <c r="N1243">
        <v>0</v>
      </c>
      <c r="O1243">
        <v>0</v>
      </c>
      <c r="P1243">
        <v>0</v>
      </c>
      <c r="Q1243" t="s">
        <v>458</v>
      </c>
    </row>
    <row r="1244" spans="1:17" x14ac:dyDescent="0.3">
      <c r="A1244">
        <v>183331</v>
      </c>
      <c r="B1244">
        <v>105</v>
      </c>
      <c r="C1244" t="s">
        <v>557</v>
      </c>
      <c r="D1244" t="s">
        <v>2705</v>
      </c>
      <c r="E1244" t="s">
        <v>3850</v>
      </c>
      <c r="F1244" s="451">
        <v>45997</v>
      </c>
      <c r="H1244" s="451">
        <v>46013</v>
      </c>
      <c r="I1244">
        <v>865</v>
      </c>
      <c r="J1244">
        <v>865</v>
      </c>
      <c r="K1244">
        <v>0</v>
      </c>
      <c r="L1244">
        <v>0</v>
      </c>
      <c r="M1244">
        <v>0</v>
      </c>
      <c r="N1244">
        <v>865</v>
      </c>
      <c r="O1244">
        <v>0</v>
      </c>
      <c r="P1244">
        <v>0</v>
      </c>
      <c r="Q1244" t="s">
        <v>458</v>
      </c>
    </row>
    <row r="1245" spans="1:17" x14ac:dyDescent="0.3">
      <c r="A1245">
        <v>183330</v>
      </c>
      <c r="B1245">
        <v>105</v>
      </c>
      <c r="C1245" t="s">
        <v>557</v>
      </c>
      <c r="D1245" t="s">
        <v>2581</v>
      </c>
      <c r="E1245" t="s">
        <v>3851</v>
      </c>
      <c r="F1245" s="451">
        <v>46000</v>
      </c>
      <c r="G1245" s="451">
        <v>46000</v>
      </c>
      <c r="H1245" s="451">
        <v>46028</v>
      </c>
      <c r="I1245">
        <v>619.4</v>
      </c>
      <c r="J1245">
        <v>619.4</v>
      </c>
      <c r="K1245">
        <v>619.4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458</v>
      </c>
    </row>
    <row r="1246" spans="1:17" x14ac:dyDescent="0.3">
      <c r="A1246">
        <v>183329</v>
      </c>
      <c r="B1246">
        <v>105</v>
      </c>
      <c r="C1246" t="s">
        <v>557</v>
      </c>
      <c r="D1246" t="s">
        <v>2563</v>
      </c>
      <c r="E1246" t="s">
        <v>3852</v>
      </c>
      <c r="F1246" s="451">
        <v>46000</v>
      </c>
      <c r="G1246" s="451">
        <v>46000</v>
      </c>
      <c r="H1246" s="451">
        <v>46028</v>
      </c>
      <c r="I1246">
        <v>98.5</v>
      </c>
      <c r="J1246">
        <v>98.5</v>
      </c>
      <c r="K1246">
        <v>98.5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458</v>
      </c>
    </row>
    <row r="1247" spans="1:17" x14ac:dyDescent="0.3">
      <c r="A1247">
        <v>183327</v>
      </c>
      <c r="B1247">
        <v>105</v>
      </c>
      <c r="C1247" t="s">
        <v>557</v>
      </c>
      <c r="D1247" t="s">
        <v>2690</v>
      </c>
      <c r="E1247" t="s">
        <v>3853</v>
      </c>
      <c r="F1247" s="451">
        <v>46000</v>
      </c>
      <c r="G1247" s="451">
        <v>46000</v>
      </c>
      <c r="H1247" s="451">
        <v>46022</v>
      </c>
      <c r="I1247">
        <v>542.91</v>
      </c>
      <c r="J1247">
        <v>542.91</v>
      </c>
      <c r="K1247">
        <v>0</v>
      </c>
      <c r="L1247">
        <v>542.91</v>
      </c>
      <c r="M1247">
        <v>0</v>
      </c>
      <c r="N1247">
        <v>0</v>
      </c>
      <c r="O1247">
        <v>0</v>
      </c>
      <c r="P1247">
        <v>0</v>
      </c>
      <c r="Q1247" t="s">
        <v>458</v>
      </c>
    </row>
    <row r="1248" spans="1:17" x14ac:dyDescent="0.3">
      <c r="A1248">
        <v>183326</v>
      </c>
      <c r="B1248">
        <v>105</v>
      </c>
      <c r="C1248" t="s">
        <v>557</v>
      </c>
      <c r="D1248" t="s">
        <v>3723</v>
      </c>
      <c r="E1248" t="s">
        <v>3854</v>
      </c>
      <c r="F1248" s="451">
        <v>46000</v>
      </c>
      <c r="G1248" s="451">
        <v>46000</v>
      </c>
      <c r="H1248" s="451">
        <v>46028</v>
      </c>
      <c r="I1248">
        <v>265.22000000000003</v>
      </c>
      <c r="J1248">
        <v>256.44</v>
      </c>
      <c r="K1248">
        <v>265.22000000000003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458</v>
      </c>
    </row>
    <row r="1249" spans="1:17" x14ac:dyDescent="0.3">
      <c r="A1249">
        <v>183325</v>
      </c>
      <c r="B1249">
        <v>105</v>
      </c>
      <c r="C1249" t="s">
        <v>557</v>
      </c>
      <c r="D1249" t="s">
        <v>3462</v>
      </c>
      <c r="E1249" t="s">
        <v>3855</v>
      </c>
      <c r="F1249" s="451">
        <v>46000</v>
      </c>
      <c r="H1249" s="451">
        <v>46028</v>
      </c>
      <c r="I1249">
        <v>326.07</v>
      </c>
      <c r="J1249">
        <v>326.07</v>
      </c>
      <c r="K1249">
        <v>0</v>
      </c>
      <c r="L1249">
        <v>0</v>
      </c>
      <c r="M1249">
        <v>315.39</v>
      </c>
      <c r="N1249">
        <v>0</v>
      </c>
      <c r="O1249">
        <v>10.68</v>
      </c>
      <c r="P1249">
        <v>0</v>
      </c>
      <c r="Q1249" t="s">
        <v>458</v>
      </c>
    </row>
    <row r="1250" spans="1:17" x14ac:dyDescent="0.3">
      <c r="A1250">
        <v>183324</v>
      </c>
      <c r="B1250">
        <v>105</v>
      </c>
      <c r="C1250" t="s">
        <v>557</v>
      </c>
      <c r="D1250" t="s">
        <v>2707</v>
      </c>
      <c r="E1250" t="s">
        <v>3856</v>
      </c>
      <c r="F1250" s="451">
        <v>45999</v>
      </c>
      <c r="G1250" s="451">
        <v>45999</v>
      </c>
      <c r="H1250" s="451">
        <v>46013</v>
      </c>
      <c r="I1250">
        <v>249.9</v>
      </c>
      <c r="J1250">
        <v>249.9</v>
      </c>
      <c r="K1250">
        <v>249.9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458</v>
      </c>
    </row>
    <row r="1251" spans="1:17" x14ac:dyDescent="0.3">
      <c r="A1251">
        <v>183323</v>
      </c>
      <c r="B1251">
        <v>105</v>
      </c>
      <c r="C1251" t="s">
        <v>557</v>
      </c>
      <c r="D1251" t="s">
        <v>2581</v>
      </c>
      <c r="E1251" t="s">
        <v>3857</v>
      </c>
      <c r="F1251" s="451">
        <v>45996</v>
      </c>
      <c r="G1251" s="451">
        <v>45996</v>
      </c>
      <c r="H1251" s="451">
        <v>46024</v>
      </c>
      <c r="I1251">
        <v>170</v>
      </c>
      <c r="J1251">
        <v>170</v>
      </c>
      <c r="K1251">
        <v>170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458</v>
      </c>
    </row>
    <row r="1252" spans="1:17" x14ac:dyDescent="0.3">
      <c r="A1252">
        <v>183322</v>
      </c>
      <c r="B1252">
        <v>105</v>
      </c>
      <c r="C1252" t="s">
        <v>557</v>
      </c>
      <c r="D1252" t="s">
        <v>2627</v>
      </c>
      <c r="E1252" t="s">
        <v>3858</v>
      </c>
      <c r="F1252" s="451">
        <v>45999</v>
      </c>
      <c r="G1252" s="451">
        <v>45999</v>
      </c>
      <c r="H1252" s="451">
        <v>46020</v>
      </c>
      <c r="I1252">
        <v>705.8</v>
      </c>
      <c r="J1252">
        <v>705.8</v>
      </c>
      <c r="K1252">
        <v>705.8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458</v>
      </c>
    </row>
    <row r="1253" spans="1:17" x14ac:dyDescent="0.3">
      <c r="A1253">
        <v>183321</v>
      </c>
      <c r="B1253">
        <v>105</v>
      </c>
      <c r="C1253" t="s">
        <v>557</v>
      </c>
      <c r="D1253" t="s">
        <v>2605</v>
      </c>
      <c r="E1253" t="s">
        <v>3859</v>
      </c>
      <c r="F1253" s="451">
        <v>45996</v>
      </c>
      <c r="G1253" s="451">
        <v>45996</v>
      </c>
      <c r="H1253" s="451">
        <v>46024</v>
      </c>
      <c r="I1253">
        <v>1726.81</v>
      </c>
      <c r="J1253">
        <v>1653.72</v>
      </c>
      <c r="K1253">
        <v>1726.81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458</v>
      </c>
    </row>
    <row r="1254" spans="1:17" x14ac:dyDescent="0.3">
      <c r="A1254">
        <v>182322</v>
      </c>
      <c r="B1254">
        <v>105</v>
      </c>
      <c r="C1254" t="s">
        <v>557</v>
      </c>
      <c r="D1254" t="s">
        <v>3646</v>
      </c>
      <c r="E1254" t="s">
        <v>3860</v>
      </c>
      <c r="F1254" s="451">
        <v>46001</v>
      </c>
      <c r="G1254" s="451">
        <v>46001</v>
      </c>
      <c r="H1254" s="451">
        <v>46008</v>
      </c>
      <c r="I1254">
        <v>3969.35</v>
      </c>
      <c r="J1254">
        <v>3969.35</v>
      </c>
      <c r="K1254">
        <v>3969.35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458</v>
      </c>
    </row>
    <row r="1255" spans="1:17" x14ac:dyDescent="0.3">
      <c r="A1255">
        <v>182312</v>
      </c>
      <c r="B1255">
        <v>105</v>
      </c>
      <c r="C1255" t="s">
        <v>557</v>
      </c>
      <c r="D1255" t="s">
        <v>2798</v>
      </c>
      <c r="E1255" t="s">
        <v>3861</v>
      </c>
      <c r="F1255" s="451">
        <v>46001</v>
      </c>
      <c r="G1255" s="451">
        <v>46001</v>
      </c>
      <c r="H1255" s="451">
        <v>46008</v>
      </c>
      <c r="I1255">
        <v>4498.8999999999996</v>
      </c>
      <c r="J1255">
        <v>4498.8999999999996</v>
      </c>
      <c r="K1255">
        <v>4498.8999999999996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458</v>
      </c>
    </row>
    <row r="1256" spans="1:17" x14ac:dyDescent="0.3">
      <c r="A1256">
        <v>182296</v>
      </c>
      <c r="B1256">
        <v>105</v>
      </c>
      <c r="C1256" t="s">
        <v>557</v>
      </c>
      <c r="D1256" t="s">
        <v>2615</v>
      </c>
      <c r="E1256" t="s">
        <v>3862</v>
      </c>
      <c r="F1256" s="451">
        <v>45995</v>
      </c>
      <c r="G1256" s="451">
        <v>45995</v>
      </c>
      <c r="H1256" s="451">
        <v>46010</v>
      </c>
      <c r="I1256">
        <v>110.7</v>
      </c>
      <c r="J1256">
        <v>110.7</v>
      </c>
      <c r="K1256">
        <v>110.7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458</v>
      </c>
    </row>
    <row r="1257" spans="1:17" x14ac:dyDescent="0.3">
      <c r="A1257">
        <v>182295</v>
      </c>
      <c r="B1257">
        <v>105</v>
      </c>
      <c r="C1257" t="s">
        <v>557</v>
      </c>
      <c r="D1257" t="s">
        <v>3863</v>
      </c>
      <c r="E1257" t="s">
        <v>3864</v>
      </c>
      <c r="F1257" s="451">
        <v>45996</v>
      </c>
      <c r="G1257" s="451">
        <v>45996</v>
      </c>
      <c r="H1257" s="451">
        <v>46012</v>
      </c>
      <c r="I1257">
        <v>333.6</v>
      </c>
      <c r="J1257">
        <v>345.6</v>
      </c>
      <c r="K1257">
        <v>333.6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458</v>
      </c>
    </row>
    <row r="1258" spans="1:17" x14ac:dyDescent="0.3">
      <c r="A1258">
        <v>182294</v>
      </c>
      <c r="B1258">
        <v>105</v>
      </c>
      <c r="C1258" t="s">
        <v>557</v>
      </c>
      <c r="D1258" t="s">
        <v>3205</v>
      </c>
      <c r="E1258" t="s">
        <v>3865</v>
      </c>
      <c r="F1258" s="451">
        <v>45997</v>
      </c>
      <c r="G1258" s="451">
        <v>45997</v>
      </c>
      <c r="H1258" s="451">
        <v>46003</v>
      </c>
      <c r="I1258">
        <v>758</v>
      </c>
      <c r="J1258">
        <v>758</v>
      </c>
      <c r="K1258">
        <v>758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458</v>
      </c>
    </row>
    <row r="1259" spans="1:17" x14ac:dyDescent="0.3">
      <c r="A1259">
        <v>181506</v>
      </c>
      <c r="B1259">
        <v>105</v>
      </c>
      <c r="C1259" t="s">
        <v>557</v>
      </c>
      <c r="D1259" t="s">
        <v>3561</v>
      </c>
      <c r="E1259" t="s">
        <v>3866</v>
      </c>
      <c r="F1259" s="451">
        <v>45995</v>
      </c>
      <c r="G1259" s="451">
        <v>45995</v>
      </c>
      <c r="H1259" s="451">
        <v>46009</v>
      </c>
      <c r="I1259">
        <v>786.02</v>
      </c>
      <c r="J1259">
        <v>786.02</v>
      </c>
      <c r="K1259">
        <v>786.02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458</v>
      </c>
    </row>
    <row r="1260" spans="1:17" x14ac:dyDescent="0.3">
      <c r="A1260">
        <v>181505</v>
      </c>
      <c r="B1260">
        <v>105</v>
      </c>
      <c r="C1260" t="s">
        <v>557</v>
      </c>
      <c r="D1260" t="s">
        <v>3723</v>
      </c>
      <c r="E1260" t="s">
        <v>3867</v>
      </c>
      <c r="F1260" s="451">
        <v>45995</v>
      </c>
      <c r="G1260" s="451">
        <v>45995</v>
      </c>
      <c r="H1260" s="451">
        <v>46023</v>
      </c>
      <c r="I1260">
        <v>480.39</v>
      </c>
      <c r="J1260">
        <v>449.49</v>
      </c>
      <c r="K1260">
        <v>480.39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458</v>
      </c>
    </row>
    <row r="1261" spans="1:17" x14ac:dyDescent="0.3">
      <c r="A1261">
        <v>181503</v>
      </c>
      <c r="B1261">
        <v>105</v>
      </c>
      <c r="C1261" t="s">
        <v>557</v>
      </c>
      <c r="D1261" t="s">
        <v>2600</v>
      </c>
      <c r="E1261" t="s">
        <v>3868</v>
      </c>
      <c r="F1261" s="451">
        <v>45996</v>
      </c>
      <c r="G1261" s="451">
        <v>45996</v>
      </c>
      <c r="H1261" s="451">
        <v>46020</v>
      </c>
      <c r="I1261">
        <v>499.75</v>
      </c>
      <c r="J1261">
        <v>199.9</v>
      </c>
      <c r="K1261">
        <v>499.75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458</v>
      </c>
    </row>
    <row r="1262" spans="1:17" x14ac:dyDescent="0.3">
      <c r="A1262">
        <v>181499</v>
      </c>
      <c r="B1262">
        <v>105</v>
      </c>
      <c r="C1262" t="s">
        <v>557</v>
      </c>
      <c r="D1262" t="s">
        <v>2581</v>
      </c>
      <c r="E1262" t="s">
        <v>3869</v>
      </c>
      <c r="F1262" s="451">
        <v>45995</v>
      </c>
      <c r="G1262" s="451">
        <v>45995</v>
      </c>
      <c r="H1262" s="451">
        <v>46023</v>
      </c>
      <c r="I1262">
        <v>832.45</v>
      </c>
      <c r="J1262">
        <v>830.35</v>
      </c>
      <c r="K1262">
        <v>832.45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458</v>
      </c>
    </row>
    <row r="1263" spans="1:17" x14ac:dyDescent="0.3">
      <c r="A1263">
        <v>181497</v>
      </c>
      <c r="B1263">
        <v>105</v>
      </c>
      <c r="C1263" t="s">
        <v>557</v>
      </c>
      <c r="D1263" t="s">
        <v>2554</v>
      </c>
      <c r="E1263" t="s">
        <v>3870</v>
      </c>
      <c r="F1263" s="451">
        <v>45994</v>
      </c>
      <c r="H1263" s="451">
        <v>46009</v>
      </c>
      <c r="I1263">
        <v>1911.48</v>
      </c>
      <c r="J1263">
        <v>1911.48</v>
      </c>
      <c r="K1263">
        <v>0</v>
      </c>
      <c r="L1263">
        <v>0</v>
      </c>
      <c r="M1263">
        <v>1513.68</v>
      </c>
      <c r="N1263">
        <v>0</v>
      </c>
      <c r="O1263">
        <v>47.8</v>
      </c>
      <c r="P1263">
        <v>350</v>
      </c>
      <c r="Q1263" t="s">
        <v>458</v>
      </c>
    </row>
    <row r="1264" spans="1:17" x14ac:dyDescent="0.3">
      <c r="A1264">
        <v>181487</v>
      </c>
      <c r="B1264">
        <v>105</v>
      </c>
      <c r="C1264" t="s">
        <v>557</v>
      </c>
      <c r="D1264" t="s">
        <v>2548</v>
      </c>
      <c r="E1264" t="s">
        <v>3292</v>
      </c>
      <c r="F1264" s="451">
        <v>45993</v>
      </c>
      <c r="G1264" s="451">
        <v>45993</v>
      </c>
      <c r="H1264" s="451">
        <v>46027</v>
      </c>
      <c r="I1264">
        <v>512.1</v>
      </c>
      <c r="J1264">
        <v>512.1</v>
      </c>
      <c r="K1264">
        <v>512.1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458</v>
      </c>
    </row>
    <row r="1265" spans="1:17" x14ac:dyDescent="0.3">
      <c r="A1265">
        <v>181484</v>
      </c>
      <c r="B1265">
        <v>105</v>
      </c>
      <c r="C1265" t="s">
        <v>557</v>
      </c>
      <c r="D1265" t="s">
        <v>3646</v>
      </c>
      <c r="E1265" t="s">
        <v>3871</v>
      </c>
      <c r="F1265" s="451">
        <v>45994</v>
      </c>
      <c r="G1265" s="451">
        <v>45994</v>
      </c>
      <c r="H1265" s="451">
        <v>46001</v>
      </c>
      <c r="I1265">
        <v>5038</v>
      </c>
      <c r="J1265">
        <v>5038</v>
      </c>
      <c r="K1265">
        <v>5038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458</v>
      </c>
    </row>
    <row r="1266" spans="1:17" x14ac:dyDescent="0.3">
      <c r="A1266">
        <v>181482</v>
      </c>
      <c r="B1266">
        <v>105</v>
      </c>
      <c r="C1266" t="s">
        <v>557</v>
      </c>
      <c r="D1266" t="s">
        <v>3646</v>
      </c>
      <c r="E1266" t="s">
        <v>3872</v>
      </c>
      <c r="F1266" s="451">
        <v>45994</v>
      </c>
      <c r="G1266" s="451">
        <v>45994</v>
      </c>
      <c r="H1266" s="451">
        <v>46001</v>
      </c>
      <c r="I1266">
        <v>3817.77</v>
      </c>
      <c r="J1266">
        <v>3817.77</v>
      </c>
      <c r="K1266">
        <v>3817.77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458</v>
      </c>
    </row>
    <row r="1267" spans="1:17" x14ac:dyDescent="0.3">
      <c r="A1267">
        <v>181480</v>
      </c>
      <c r="B1267">
        <v>105</v>
      </c>
      <c r="C1267" t="s">
        <v>557</v>
      </c>
      <c r="D1267" t="s">
        <v>2581</v>
      </c>
      <c r="E1267" t="s">
        <v>3873</v>
      </c>
      <c r="F1267" s="451">
        <v>45994</v>
      </c>
      <c r="G1267" s="451">
        <v>45994</v>
      </c>
      <c r="H1267" s="451">
        <v>46022</v>
      </c>
      <c r="I1267">
        <v>285.27</v>
      </c>
      <c r="J1267">
        <v>285.27</v>
      </c>
      <c r="K1267">
        <v>285.27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458</v>
      </c>
    </row>
    <row r="1268" spans="1:17" x14ac:dyDescent="0.3">
      <c r="A1268">
        <v>181477</v>
      </c>
      <c r="B1268">
        <v>105</v>
      </c>
      <c r="C1268" t="s">
        <v>557</v>
      </c>
      <c r="D1268" t="s">
        <v>2798</v>
      </c>
      <c r="E1268" t="s">
        <v>3874</v>
      </c>
      <c r="F1268" s="451">
        <v>45995</v>
      </c>
      <c r="G1268" s="451">
        <v>45995</v>
      </c>
      <c r="H1268" s="451">
        <v>46002</v>
      </c>
      <c r="I1268">
        <v>4375.8999999999996</v>
      </c>
      <c r="J1268">
        <v>4375.8999999999996</v>
      </c>
      <c r="K1268">
        <v>4375.8999999999996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458</v>
      </c>
    </row>
    <row r="1269" spans="1:17" x14ac:dyDescent="0.3">
      <c r="A1269">
        <v>181474</v>
      </c>
      <c r="B1269">
        <v>105</v>
      </c>
      <c r="C1269" t="s">
        <v>557</v>
      </c>
      <c r="D1269" t="s">
        <v>2563</v>
      </c>
      <c r="E1269" t="s">
        <v>3875</v>
      </c>
      <c r="F1269" s="451">
        <v>45994</v>
      </c>
      <c r="G1269" s="451">
        <v>45994</v>
      </c>
      <c r="H1269" s="451">
        <v>46022</v>
      </c>
      <c r="I1269">
        <v>30.36</v>
      </c>
      <c r="J1269">
        <v>30.36</v>
      </c>
      <c r="K1269">
        <v>30.36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458</v>
      </c>
    </row>
    <row r="1270" spans="1:17" x14ac:dyDescent="0.3">
      <c r="A1270">
        <v>181473</v>
      </c>
      <c r="B1270">
        <v>105</v>
      </c>
      <c r="C1270" t="s">
        <v>557</v>
      </c>
      <c r="D1270" t="s">
        <v>3723</v>
      </c>
      <c r="E1270" t="s">
        <v>3876</v>
      </c>
      <c r="F1270" s="451">
        <v>45994</v>
      </c>
      <c r="G1270" s="451">
        <v>45994</v>
      </c>
      <c r="H1270" s="451">
        <v>46022</v>
      </c>
      <c r="I1270">
        <v>173.23</v>
      </c>
      <c r="J1270">
        <v>160.72</v>
      </c>
      <c r="K1270">
        <v>173.23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458</v>
      </c>
    </row>
    <row r="1271" spans="1:17" x14ac:dyDescent="0.3">
      <c r="A1271">
        <v>181469</v>
      </c>
      <c r="B1271">
        <v>105</v>
      </c>
      <c r="C1271" t="s">
        <v>557</v>
      </c>
      <c r="D1271" t="s">
        <v>2699</v>
      </c>
      <c r="E1271" t="s">
        <v>3877</v>
      </c>
      <c r="F1271" s="451">
        <v>45993</v>
      </c>
      <c r="G1271" s="451">
        <v>45993</v>
      </c>
      <c r="H1271" s="451">
        <v>46021</v>
      </c>
      <c r="I1271">
        <v>552.14</v>
      </c>
      <c r="J1271">
        <v>551.4</v>
      </c>
      <c r="K1271">
        <v>0</v>
      </c>
      <c r="L1271">
        <v>552.14</v>
      </c>
      <c r="M1271">
        <v>0</v>
      </c>
      <c r="N1271">
        <v>0</v>
      </c>
      <c r="O1271">
        <v>0</v>
      </c>
      <c r="P1271">
        <v>0</v>
      </c>
      <c r="Q1271" t="s">
        <v>458</v>
      </c>
    </row>
    <row r="1272" spans="1:17" x14ac:dyDescent="0.3">
      <c r="A1272">
        <v>181468</v>
      </c>
      <c r="B1272">
        <v>105</v>
      </c>
      <c r="C1272" t="s">
        <v>557</v>
      </c>
      <c r="D1272" t="s">
        <v>2812</v>
      </c>
      <c r="E1272" t="s">
        <v>3878</v>
      </c>
      <c r="F1272" s="451">
        <v>45992</v>
      </c>
      <c r="G1272" s="451">
        <v>45992</v>
      </c>
      <c r="H1272" s="451">
        <v>46006</v>
      </c>
      <c r="I1272">
        <v>690</v>
      </c>
      <c r="J1272">
        <v>690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690</v>
      </c>
      <c r="Q1272" t="s">
        <v>458</v>
      </c>
    </row>
    <row r="1273" spans="1:17" x14ac:dyDescent="0.3">
      <c r="A1273">
        <v>181467</v>
      </c>
      <c r="B1273">
        <v>105</v>
      </c>
      <c r="C1273" t="s">
        <v>557</v>
      </c>
      <c r="D1273" t="s">
        <v>2597</v>
      </c>
      <c r="E1273" t="s">
        <v>3879</v>
      </c>
      <c r="F1273" s="451">
        <v>45994</v>
      </c>
      <c r="G1273" s="451">
        <v>45994</v>
      </c>
      <c r="H1273" s="451">
        <v>46022</v>
      </c>
      <c r="I1273">
        <v>5433.37</v>
      </c>
      <c r="J1273">
        <v>184.5</v>
      </c>
      <c r="K1273">
        <v>5433.37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458</v>
      </c>
    </row>
    <row r="1274" spans="1:17" x14ac:dyDescent="0.3">
      <c r="A1274">
        <v>181466</v>
      </c>
      <c r="B1274">
        <v>105</v>
      </c>
      <c r="C1274" t="s">
        <v>557</v>
      </c>
      <c r="D1274" t="s">
        <v>2552</v>
      </c>
      <c r="E1274" t="s">
        <v>3880</v>
      </c>
      <c r="F1274" s="451">
        <v>45994</v>
      </c>
      <c r="G1274" s="451">
        <v>45994</v>
      </c>
      <c r="H1274" s="451">
        <v>46008</v>
      </c>
      <c r="I1274">
        <v>262</v>
      </c>
      <c r="J1274">
        <v>237</v>
      </c>
      <c r="K1274">
        <v>262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458</v>
      </c>
    </row>
    <row r="1275" spans="1:17" x14ac:dyDescent="0.3">
      <c r="A1275">
        <v>181465</v>
      </c>
      <c r="B1275">
        <v>105</v>
      </c>
      <c r="C1275" t="s">
        <v>557</v>
      </c>
      <c r="D1275" t="s">
        <v>2637</v>
      </c>
      <c r="E1275" t="s">
        <v>3881</v>
      </c>
      <c r="F1275" s="451">
        <v>45993</v>
      </c>
      <c r="G1275" s="451">
        <v>45993</v>
      </c>
      <c r="H1275" s="451">
        <v>46021</v>
      </c>
      <c r="I1275">
        <v>394.8</v>
      </c>
      <c r="J1275">
        <v>394.8</v>
      </c>
      <c r="K1275">
        <v>0</v>
      </c>
      <c r="L1275">
        <v>394.8</v>
      </c>
      <c r="M1275">
        <v>0</v>
      </c>
      <c r="N1275">
        <v>0</v>
      </c>
      <c r="O1275">
        <v>0</v>
      </c>
      <c r="P1275">
        <v>0</v>
      </c>
      <c r="Q1275" t="s">
        <v>458</v>
      </c>
    </row>
    <row r="1276" spans="1:17" x14ac:dyDescent="0.3">
      <c r="A1276">
        <v>181464</v>
      </c>
      <c r="B1276">
        <v>105</v>
      </c>
      <c r="C1276" t="s">
        <v>557</v>
      </c>
      <c r="D1276" t="s">
        <v>3044</v>
      </c>
      <c r="E1276" t="s">
        <v>3882</v>
      </c>
      <c r="F1276" s="451">
        <v>45992</v>
      </c>
      <c r="G1276" s="451">
        <v>45992</v>
      </c>
      <c r="H1276" s="451">
        <v>46017</v>
      </c>
      <c r="I1276">
        <v>643.74</v>
      </c>
      <c r="J1276">
        <v>643.74</v>
      </c>
      <c r="K1276">
        <v>643.74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458</v>
      </c>
    </row>
    <row r="1277" spans="1:17" x14ac:dyDescent="0.3">
      <c r="A1277">
        <v>181462</v>
      </c>
      <c r="B1277">
        <v>105</v>
      </c>
      <c r="C1277" t="s">
        <v>557</v>
      </c>
      <c r="D1277" t="s">
        <v>2595</v>
      </c>
      <c r="E1277" t="s">
        <v>3883</v>
      </c>
      <c r="F1277" s="451">
        <v>45992</v>
      </c>
      <c r="G1277" s="451">
        <v>45992</v>
      </c>
      <c r="H1277" s="451">
        <v>46003</v>
      </c>
      <c r="I1277">
        <v>1291.8399999999999</v>
      </c>
      <c r="J1277">
        <v>1290.3800000000001</v>
      </c>
      <c r="K1277">
        <v>1291.8399999999999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458</v>
      </c>
    </row>
    <row r="1278" spans="1:17" x14ac:dyDescent="0.3">
      <c r="A1278">
        <v>181461</v>
      </c>
      <c r="B1278">
        <v>105</v>
      </c>
      <c r="C1278" t="s">
        <v>557</v>
      </c>
      <c r="D1278" t="s">
        <v>2603</v>
      </c>
      <c r="E1278" t="s">
        <v>3884</v>
      </c>
      <c r="F1278" s="451">
        <v>45993</v>
      </c>
      <c r="G1278" s="451">
        <v>45993</v>
      </c>
      <c r="H1278" s="451">
        <v>46008</v>
      </c>
      <c r="I1278">
        <v>2344.52</v>
      </c>
      <c r="J1278">
        <v>2344.5100000000002</v>
      </c>
      <c r="K1278">
        <v>2344.52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458</v>
      </c>
    </row>
    <row r="1279" spans="1:17" x14ac:dyDescent="0.3">
      <c r="A1279">
        <v>181460</v>
      </c>
      <c r="B1279">
        <v>105</v>
      </c>
      <c r="C1279" t="s">
        <v>557</v>
      </c>
      <c r="D1279" t="s">
        <v>2550</v>
      </c>
      <c r="E1279" t="s">
        <v>3885</v>
      </c>
      <c r="F1279" s="451">
        <v>45994</v>
      </c>
      <c r="G1279" s="451">
        <v>45994</v>
      </c>
      <c r="H1279" s="451">
        <v>46023</v>
      </c>
      <c r="I1279">
        <v>581.49</v>
      </c>
      <c r="J1279">
        <v>591.13</v>
      </c>
      <c r="K1279">
        <v>0</v>
      </c>
      <c r="L1279">
        <v>581.49</v>
      </c>
      <c r="M1279">
        <v>0</v>
      </c>
      <c r="N1279">
        <v>0</v>
      </c>
      <c r="O1279">
        <v>0</v>
      </c>
      <c r="P1279">
        <v>0</v>
      </c>
      <c r="Q1279" t="s">
        <v>458</v>
      </c>
    </row>
    <row r="1280" spans="1:17" x14ac:dyDescent="0.3">
      <c r="A1280">
        <v>179848</v>
      </c>
      <c r="B1280">
        <v>105</v>
      </c>
      <c r="C1280" t="s">
        <v>557</v>
      </c>
      <c r="D1280" t="s">
        <v>2581</v>
      </c>
      <c r="E1280" t="s">
        <v>3886</v>
      </c>
      <c r="F1280" s="451">
        <v>45992</v>
      </c>
      <c r="G1280" s="451">
        <v>45992</v>
      </c>
      <c r="H1280" s="451">
        <v>46020</v>
      </c>
      <c r="I1280">
        <v>699</v>
      </c>
      <c r="J1280">
        <v>32.799999999999997</v>
      </c>
      <c r="K1280">
        <v>699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458</v>
      </c>
    </row>
    <row r="1281" spans="1:17" x14ac:dyDescent="0.3">
      <c r="A1281">
        <v>179846</v>
      </c>
      <c r="B1281">
        <v>105</v>
      </c>
      <c r="C1281" t="s">
        <v>557</v>
      </c>
      <c r="D1281" t="s">
        <v>2590</v>
      </c>
      <c r="E1281" t="s">
        <v>3887</v>
      </c>
      <c r="F1281" s="451">
        <v>45992</v>
      </c>
      <c r="G1281" s="451">
        <v>45992</v>
      </c>
      <c r="H1281" s="451">
        <v>46024</v>
      </c>
      <c r="I1281">
        <v>4297.3599999999997</v>
      </c>
      <c r="J1281">
        <v>4297.3999999999996</v>
      </c>
      <c r="K1281">
        <v>0</v>
      </c>
      <c r="L1281">
        <v>4297.3599999999997</v>
      </c>
      <c r="M1281">
        <v>0</v>
      </c>
      <c r="N1281">
        <v>0</v>
      </c>
      <c r="O1281">
        <v>0</v>
      </c>
      <c r="P1281">
        <v>0</v>
      </c>
      <c r="Q1281" t="s">
        <v>458</v>
      </c>
    </row>
    <row r="1282" spans="1:17" x14ac:dyDescent="0.3">
      <c r="A1282">
        <v>179845</v>
      </c>
      <c r="B1282">
        <v>105</v>
      </c>
      <c r="C1282" t="s">
        <v>557</v>
      </c>
      <c r="D1282" t="s">
        <v>2590</v>
      </c>
      <c r="E1282" t="s">
        <v>3888</v>
      </c>
      <c r="F1282" s="451">
        <v>45992</v>
      </c>
      <c r="G1282" s="451">
        <v>45992</v>
      </c>
      <c r="H1282" s="451">
        <v>46024</v>
      </c>
      <c r="I1282">
        <v>4021.65</v>
      </c>
      <c r="J1282">
        <v>8532.1299999999992</v>
      </c>
      <c r="K1282">
        <v>0</v>
      </c>
      <c r="L1282">
        <v>4021.65</v>
      </c>
      <c r="M1282">
        <v>0</v>
      </c>
      <c r="N1282">
        <v>0</v>
      </c>
      <c r="O1282">
        <v>0</v>
      </c>
      <c r="P1282">
        <v>0</v>
      </c>
      <c r="Q1282" t="s">
        <v>458</v>
      </c>
    </row>
    <row r="1283" spans="1:17" x14ac:dyDescent="0.3">
      <c r="A1283">
        <v>179844</v>
      </c>
      <c r="B1283">
        <v>105</v>
      </c>
      <c r="C1283" t="s">
        <v>557</v>
      </c>
      <c r="D1283" t="s">
        <v>2590</v>
      </c>
      <c r="E1283" t="s">
        <v>3889</v>
      </c>
      <c r="F1283" s="451">
        <v>45992</v>
      </c>
      <c r="G1283" s="451">
        <v>45992</v>
      </c>
      <c r="H1283" s="451">
        <v>46024</v>
      </c>
      <c r="I1283">
        <v>4132.8100000000004</v>
      </c>
      <c r="J1283">
        <v>4036.28</v>
      </c>
      <c r="K1283">
        <v>0</v>
      </c>
      <c r="L1283">
        <v>4132.8100000000004</v>
      </c>
      <c r="M1283">
        <v>0</v>
      </c>
      <c r="N1283">
        <v>0</v>
      </c>
      <c r="O1283">
        <v>0</v>
      </c>
      <c r="P1283">
        <v>0</v>
      </c>
      <c r="Q1283" t="s">
        <v>458</v>
      </c>
    </row>
    <row r="1284" spans="1:17" x14ac:dyDescent="0.3">
      <c r="A1284">
        <v>179841</v>
      </c>
      <c r="B1284">
        <v>105</v>
      </c>
      <c r="C1284" t="s">
        <v>557</v>
      </c>
      <c r="D1284" t="s">
        <v>2569</v>
      </c>
      <c r="E1284" t="s">
        <v>3890</v>
      </c>
      <c r="F1284" s="451">
        <v>45992</v>
      </c>
      <c r="G1284" s="451">
        <v>45992</v>
      </c>
      <c r="H1284" s="451">
        <v>46028</v>
      </c>
      <c r="I1284">
        <v>495</v>
      </c>
      <c r="J1284">
        <v>429.3</v>
      </c>
      <c r="K1284">
        <v>0</v>
      </c>
      <c r="L1284">
        <v>495</v>
      </c>
      <c r="M1284">
        <v>0</v>
      </c>
      <c r="N1284">
        <v>0</v>
      </c>
      <c r="O1284">
        <v>0</v>
      </c>
      <c r="P1284">
        <v>0</v>
      </c>
      <c r="Q1284" t="s">
        <v>458</v>
      </c>
    </row>
    <row r="1285" spans="1:17" x14ac:dyDescent="0.3">
      <c r="A1285">
        <v>179840</v>
      </c>
      <c r="B1285">
        <v>105</v>
      </c>
      <c r="C1285" t="s">
        <v>557</v>
      </c>
      <c r="D1285" t="s">
        <v>2563</v>
      </c>
      <c r="E1285" t="s">
        <v>3891</v>
      </c>
      <c r="F1285" s="451">
        <v>45992</v>
      </c>
      <c r="G1285" s="451">
        <v>45992</v>
      </c>
      <c r="H1285" s="451">
        <v>46020</v>
      </c>
      <c r="I1285">
        <v>35.49</v>
      </c>
      <c r="J1285">
        <v>35.49</v>
      </c>
      <c r="K1285">
        <v>35.49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458</v>
      </c>
    </row>
    <row r="1286" spans="1:17" x14ac:dyDescent="0.3">
      <c r="A1286">
        <v>179839</v>
      </c>
      <c r="B1286">
        <v>105</v>
      </c>
      <c r="C1286" t="s">
        <v>557</v>
      </c>
      <c r="D1286" t="s">
        <v>2607</v>
      </c>
      <c r="E1286" t="s">
        <v>3892</v>
      </c>
      <c r="F1286" s="451">
        <v>45992</v>
      </c>
      <c r="G1286" s="451">
        <v>45992</v>
      </c>
      <c r="H1286" s="451">
        <v>46020</v>
      </c>
      <c r="I1286">
        <v>4001.8</v>
      </c>
      <c r="J1286">
        <v>4001.8</v>
      </c>
      <c r="K1286">
        <v>4001.8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458</v>
      </c>
    </row>
    <row r="1287" spans="1:17" x14ac:dyDescent="0.3">
      <c r="A1287">
        <v>179838</v>
      </c>
      <c r="B1287">
        <v>105</v>
      </c>
      <c r="C1287" t="s">
        <v>557</v>
      </c>
      <c r="D1287" t="s">
        <v>3723</v>
      </c>
      <c r="E1287" t="s">
        <v>3893</v>
      </c>
      <c r="F1287" s="451">
        <v>45992</v>
      </c>
      <c r="G1287" s="451">
        <v>45992</v>
      </c>
      <c r="H1287" s="451">
        <v>46020</v>
      </c>
      <c r="I1287">
        <v>175.66</v>
      </c>
      <c r="J1287">
        <v>175.65</v>
      </c>
      <c r="K1287">
        <v>175.66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458</v>
      </c>
    </row>
    <row r="1288" spans="1:17" x14ac:dyDescent="0.3">
      <c r="A1288">
        <v>179836</v>
      </c>
      <c r="B1288">
        <v>105</v>
      </c>
      <c r="C1288" t="s">
        <v>557</v>
      </c>
      <c r="D1288" t="s">
        <v>2707</v>
      </c>
      <c r="E1288" t="s">
        <v>3894</v>
      </c>
      <c r="F1288" s="451">
        <v>45992</v>
      </c>
      <c r="G1288" s="451">
        <v>45992</v>
      </c>
      <c r="H1288" s="451">
        <v>46006</v>
      </c>
      <c r="I1288">
        <v>133.28</v>
      </c>
      <c r="J1288">
        <v>133.28</v>
      </c>
      <c r="K1288">
        <v>133.28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458</v>
      </c>
    </row>
    <row r="1289" spans="1:17" x14ac:dyDescent="0.3">
      <c r="A1289">
        <v>179835</v>
      </c>
      <c r="B1289">
        <v>105</v>
      </c>
      <c r="C1289" t="s">
        <v>557</v>
      </c>
      <c r="D1289" t="s">
        <v>2627</v>
      </c>
      <c r="E1289" t="s">
        <v>3895</v>
      </c>
      <c r="F1289" s="451">
        <v>45992</v>
      </c>
      <c r="G1289" s="451">
        <v>45992</v>
      </c>
      <c r="H1289" s="451">
        <v>46013</v>
      </c>
      <c r="I1289">
        <v>825.8</v>
      </c>
      <c r="J1289">
        <v>825.8</v>
      </c>
      <c r="K1289">
        <v>825.8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458</v>
      </c>
    </row>
    <row r="1290" spans="1:17" x14ac:dyDescent="0.3">
      <c r="A1290">
        <v>179831</v>
      </c>
      <c r="B1290">
        <v>105</v>
      </c>
      <c r="C1290" t="s">
        <v>557</v>
      </c>
      <c r="D1290" t="s">
        <v>2653</v>
      </c>
      <c r="E1290" t="s">
        <v>3896</v>
      </c>
      <c r="F1290" s="451">
        <v>45992</v>
      </c>
      <c r="G1290" s="451">
        <v>45992</v>
      </c>
      <c r="H1290" s="451">
        <v>46006</v>
      </c>
      <c r="I1290">
        <v>237.01</v>
      </c>
      <c r="J1290">
        <v>227.01</v>
      </c>
      <c r="K1290">
        <v>237.01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458</v>
      </c>
    </row>
    <row r="1291" spans="1:17" x14ac:dyDescent="0.3">
      <c r="A1291">
        <v>179830</v>
      </c>
      <c r="B1291">
        <v>105</v>
      </c>
      <c r="C1291" t="s">
        <v>557</v>
      </c>
      <c r="D1291" t="s">
        <v>2600</v>
      </c>
      <c r="E1291" t="s">
        <v>3897</v>
      </c>
      <c r="F1291" s="451">
        <v>45992</v>
      </c>
      <c r="G1291" s="451">
        <v>45992</v>
      </c>
      <c r="H1291" s="451">
        <v>46022</v>
      </c>
      <c r="I1291">
        <v>316.83</v>
      </c>
      <c r="J1291">
        <v>235.9</v>
      </c>
      <c r="K1291">
        <v>316.83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458</v>
      </c>
    </row>
    <row r="1292" spans="1:17" x14ac:dyDescent="0.3">
      <c r="A1292">
        <v>179828</v>
      </c>
      <c r="B1292">
        <v>105</v>
      </c>
      <c r="C1292" t="s">
        <v>557</v>
      </c>
      <c r="D1292" t="s">
        <v>2607</v>
      </c>
      <c r="E1292" t="s">
        <v>3898</v>
      </c>
      <c r="F1292" s="451">
        <v>45992</v>
      </c>
      <c r="G1292" s="451">
        <v>45992</v>
      </c>
      <c r="H1292" s="451">
        <v>46017</v>
      </c>
      <c r="I1292">
        <v>1696.88</v>
      </c>
      <c r="J1292">
        <v>1694.58</v>
      </c>
      <c r="K1292">
        <v>1696.88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63"/>
  <sheetViews>
    <sheetView workbookViewId="0"/>
  </sheetViews>
  <sheetFormatPr defaultRowHeight="14.4" x14ac:dyDescent="0.3"/>
  <sheetData>
    <row r="1" spans="1:8" x14ac:dyDescent="0.3">
      <c r="A1" t="s">
        <v>2538</v>
      </c>
      <c r="B1" t="s">
        <v>2539</v>
      </c>
      <c r="C1" t="s">
        <v>3899</v>
      </c>
      <c r="D1" t="s">
        <v>556</v>
      </c>
      <c r="E1" t="s">
        <v>3900</v>
      </c>
      <c r="F1" t="s">
        <v>3901</v>
      </c>
      <c r="G1" t="s">
        <v>3902</v>
      </c>
      <c r="H1" t="s">
        <v>3903</v>
      </c>
    </row>
    <row r="2" spans="1:8" x14ac:dyDescent="0.3">
      <c r="A2">
        <v>105</v>
      </c>
      <c r="B2" t="s">
        <v>557</v>
      </c>
      <c r="C2" s="451">
        <v>46209</v>
      </c>
      <c r="D2" t="s">
        <v>596</v>
      </c>
      <c r="E2" t="s">
        <v>3904</v>
      </c>
      <c r="F2">
        <v>628.6</v>
      </c>
      <c r="G2">
        <v>19.2</v>
      </c>
      <c r="H2">
        <v>609.4</v>
      </c>
    </row>
    <row r="3" spans="1:8" x14ac:dyDescent="0.3">
      <c r="A3">
        <v>105</v>
      </c>
      <c r="B3" t="s">
        <v>557</v>
      </c>
      <c r="C3" s="451">
        <v>46209</v>
      </c>
      <c r="D3" t="s">
        <v>596</v>
      </c>
      <c r="E3" t="s">
        <v>3905</v>
      </c>
      <c r="F3">
        <v>4079.2</v>
      </c>
      <c r="G3">
        <v>47.27</v>
      </c>
      <c r="H3">
        <v>4031.93</v>
      </c>
    </row>
    <row r="4" spans="1:8" x14ac:dyDescent="0.3">
      <c r="A4">
        <v>105</v>
      </c>
      <c r="B4" t="s">
        <v>557</v>
      </c>
      <c r="C4" s="451">
        <v>46209</v>
      </c>
      <c r="D4" t="s">
        <v>596</v>
      </c>
      <c r="E4" t="s">
        <v>20</v>
      </c>
      <c r="F4">
        <v>564.82000000000005</v>
      </c>
      <c r="G4">
        <v>0</v>
      </c>
      <c r="H4">
        <v>564.82000000000005</v>
      </c>
    </row>
    <row r="5" spans="1:8" x14ac:dyDescent="0.3">
      <c r="A5">
        <v>105</v>
      </c>
      <c r="B5" t="s">
        <v>557</v>
      </c>
      <c r="C5" s="451">
        <v>46208</v>
      </c>
      <c r="D5" t="s">
        <v>596</v>
      </c>
      <c r="E5" t="s">
        <v>3904</v>
      </c>
      <c r="F5">
        <v>10723.6</v>
      </c>
      <c r="G5">
        <v>629.96</v>
      </c>
      <c r="H5">
        <v>10093.64</v>
      </c>
    </row>
    <row r="6" spans="1:8" x14ac:dyDescent="0.3">
      <c r="A6">
        <v>105</v>
      </c>
      <c r="B6" t="s">
        <v>557</v>
      </c>
      <c r="C6" s="451">
        <v>46208</v>
      </c>
      <c r="D6" t="s">
        <v>596</v>
      </c>
      <c r="E6" t="s">
        <v>3905</v>
      </c>
      <c r="F6">
        <v>14294</v>
      </c>
      <c r="G6">
        <v>748</v>
      </c>
      <c r="H6">
        <v>13546</v>
      </c>
    </row>
    <row r="7" spans="1:8" x14ac:dyDescent="0.3">
      <c r="A7">
        <v>105</v>
      </c>
      <c r="B7" t="s">
        <v>557</v>
      </c>
      <c r="C7" s="451">
        <v>46208</v>
      </c>
      <c r="D7" t="s">
        <v>596</v>
      </c>
      <c r="E7" t="s">
        <v>20</v>
      </c>
      <c r="F7">
        <v>3115.61</v>
      </c>
      <c r="G7">
        <v>0</v>
      </c>
      <c r="H7">
        <v>3115.61</v>
      </c>
    </row>
    <row r="8" spans="1:8" x14ac:dyDescent="0.3">
      <c r="A8">
        <v>105</v>
      </c>
      <c r="B8" t="s">
        <v>557</v>
      </c>
      <c r="C8" s="451">
        <v>46207</v>
      </c>
      <c r="D8" t="s">
        <v>596</v>
      </c>
      <c r="E8" t="s">
        <v>3905</v>
      </c>
      <c r="F8">
        <v>15619.5</v>
      </c>
      <c r="G8">
        <v>1880.41</v>
      </c>
      <c r="H8">
        <v>13739.09</v>
      </c>
    </row>
    <row r="9" spans="1:8" x14ac:dyDescent="0.3">
      <c r="A9">
        <v>105</v>
      </c>
      <c r="B9" t="s">
        <v>557</v>
      </c>
      <c r="C9" s="451">
        <v>46207</v>
      </c>
      <c r="D9" t="s">
        <v>596</v>
      </c>
      <c r="E9" t="s">
        <v>3904</v>
      </c>
      <c r="F9">
        <v>13272.9</v>
      </c>
      <c r="G9">
        <v>1721.74</v>
      </c>
      <c r="H9">
        <v>11551.16</v>
      </c>
    </row>
    <row r="10" spans="1:8" x14ac:dyDescent="0.3">
      <c r="A10">
        <v>105</v>
      </c>
      <c r="B10" t="s">
        <v>557</v>
      </c>
      <c r="C10" s="451">
        <v>46207</v>
      </c>
      <c r="D10" t="s">
        <v>596</v>
      </c>
      <c r="E10" t="s">
        <v>20</v>
      </c>
      <c r="F10">
        <v>3600.52</v>
      </c>
      <c r="G10">
        <v>0</v>
      </c>
      <c r="H10">
        <v>3600.52</v>
      </c>
    </row>
    <row r="11" spans="1:8" x14ac:dyDescent="0.3">
      <c r="A11">
        <v>105</v>
      </c>
      <c r="B11" t="s">
        <v>557</v>
      </c>
      <c r="C11" s="451">
        <v>46207</v>
      </c>
      <c r="D11" t="s">
        <v>596</v>
      </c>
      <c r="E11" t="s">
        <v>3906</v>
      </c>
      <c r="F11">
        <v>1785</v>
      </c>
      <c r="G11">
        <v>0</v>
      </c>
      <c r="H11">
        <v>1785</v>
      </c>
    </row>
    <row r="12" spans="1:8" x14ac:dyDescent="0.3">
      <c r="A12">
        <v>105</v>
      </c>
      <c r="B12" t="s">
        <v>557</v>
      </c>
      <c r="C12" s="451">
        <v>46206</v>
      </c>
      <c r="D12" t="s">
        <v>596</v>
      </c>
      <c r="E12" t="s">
        <v>3905</v>
      </c>
      <c r="F12">
        <v>5588.3</v>
      </c>
      <c r="G12">
        <v>198.14</v>
      </c>
      <c r="H12">
        <v>5390.16</v>
      </c>
    </row>
    <row r="13" spans="1:8" x14ac:dyDescent="0.3">
      <c r="A13">
        <v>105</v>
      </c>
      <c r="B13" t="s">
        <v>557</v>
      </c>
      <c r="C13" s="451">
        <v>46206</v>
      </c>
      <c r="D13" t="s">
        <v>596</v>
      </c>
      <c r="E13" t="s">
        <v>3904</v>
      </c>
      <c r="F13">
        <v>1836.5</v>
      </c>
      <c r="G13">
        <v>43.9</v>
      </c>
      <c r="H13">
        <v>1792.6</v>
      </c>
    </row>
    <row r="14" spans="1:8" x14ac:dyDescent="0.3">
      <c r="A14">
        <v>105</v>
      </c>
      <c r="B14" t="s">
        <v>557</v>
      </c>
      <c r="C14" s="451">
        <v>46206</v>
      </c>
      <c r="D14" t="s">
        <v>596</v>
      </c>
      <c r="E14" t="s">
        <v>20</v>
      </c>
      <c r="F14">
        <v>945.76</v>
      </c>
      <c r="G14">
        <v>0</v>
      </c>
      <c r="H14">
        <v>945.76</v>
      </c>
    </row>
    <row r="15" spans="1:8" x14ac:dyDescent="0.3">
      <c r="A15">
        <v>105</v>
      </c>
      <c r="B15" t="s">
        <v>557</v>
      </c>
      <c r="C15" s="451">
        <v>46205</v>
      </c>
      <c r="D15" t="s">
        <v>596</v>
      </c>
      <c r="E15" t="s">
        <v>3904</v>
      </c>
      <c r="F15">
        <v>1993.5</v>
      </c>
      <c r="G15">
        <v>39.31</v>
      </c>
      <c r="H15">
        <v>1954.19</v>
      </c>
    </row>
    <row r="16" spans="1:8" x14ac:dyDescent="0.3">
      <c r="A16">
        <v>105</v>
      </c>
      <c r="B16" t="s">
        <v>557</v>
      </c>
      <c r="C16" s="451">
        <v>46205</v>
      </c>
      <c r="D16" t="s">
        <v>596</v>
      </c>
      <c r="E16" t="s">
        <v>3905</v>
      </c>
      <c r="F16">
        <v>9361.9</v>
      </c>
      <c r="G16">
        <v>316.08</v>
      </c>
      <c r="H16">
        <v>9045.82</v>
      </c>
    </row>
    <row r="17" spans="1:8" x14ac:dyDescent="0.3">
      <c r="A17">
        <v>105</v>
      </c>
      <c r="B17" t="s">
        <v>557</v>
      </c>
      <c r="C17" s="451">
        <v>46205</v>
      </c>
      <c r="D17" t="s">
        <v>596</v>
      </c>
      <c r="E17" t="s">
        <v>20</v>
      </c>
      <c r="F17">
        <v>1440.44</v>
      </c>
      <c r="G17">
        <v>0</v>
      </c>
      <c r="H17">
        <v>1440.44</v>
      </c>
    </row>
    <row r="18" spans="1:8" x14ac:dyDescent="0.3">
      <c r="A18">
        <v>105</v>
      </c>
      <c r="B18" t="s">
        <v>557</v>
      </c>
      <c r="C18" s="451">
        <v>46204</v>
      </c>
      <c r="D18" t="s">
        <v>596</v>
      </c>
      <c r="E18" t="s">
        <v>3904</v>
      </c>
      <c r="F18">
        <v>4158.8999999999996</v>
      </c>
      <c r="G18">
        <v>1987.44</v>
      </c>
      <c r="H18">
        <v>2171.46</v>
      </c>
    </row>
    <row r="19" spans="1:8" x14ac:dyDescent="0.3">
      <c r="A19">
        <v>105</v>
      </c>
      <c r="B19" t="s">
        <v>557</v>
      </c>
      <c r="C19" s="451">
        <v>46204</v>
      </c>
      <c r="D19" t="s">
        <v>596</v>
      </c>
      <c r="E19" t="s">
        <v>3905</v>
      </c>
      <c r="F19">
        <v>11750.6</v>
      </c>
      <c r="G19">
        <v>4697.2700000000004</v>
      </c>
      <c r="H19">
        <v>7053.33</v>
      </c>
    </row>
    <row r="20" spans="1:8" x14ac:dyDescent="0.3">
      <c r="A20">
        <v>105</v>
      </c>
      <c r="B20" t="s">
        <v>557</v>
      </c>
      <c r="C20" s="451">
        <v>46204</v>
      </c>
      <c r="D20" t="s">
        <v>596</v>
      </c>
      <c r="E20" t="s">
        <v>20</v>
      </c>
      <c r="F20">
        <v>1191.43</v>
      </c>
      <c r="G20">
        <v>0</v>
      </c>
      <c r="H20">
        <v>1191.43</v>
      </c>
    </row>
    <row r="21" spans="1:8" x14ac:dyDescent="0.3">
      <c r="A21">
        <v>105</v>
      </c>
      <c r="B21" t="s">
        <v>557</v>
      </c>
      <c r="C21" s="451">
        <v>46203</v>
      </c>
      <c r="D21" t="s">
        <v>594</v>
      </c>
      <c r="E21" t="s">
        <v>3904</v>
      </c>
      <c r="F21">
        <v>567</v>
      </c>
      <c r="G21">
        <v>70.7</v>
      </c>
      <c r="H21">
        <v>496.3</v>
      </c>
    </row>
    <row r="22" spans="1:8" x14ac:dyDescent="0.3">
      <c r="A22">
        <v>105</v>
      </c>
      <c r="B22" t="s">
        <v>557</v>
      </c>
      <c r="C22" s="451">
        <v>46203</v>
      </c>
      <c r="D22" t="s">
        <v>594</v>
      </c>
      <c r="E22" t="s">
        <v>3905</v>
      </c>
      <c r="F22">
        <v>5014.3</v>
      </c>
      <c r="G22">
        <v>160.6</v>
      </c>
      <c r="H22">
        <v>4853.7</v>
      </c>
    </row>
    <row r="23" spans="1:8" x14ac:dyDescent="0.3">
      <c r="A23">
        <v>105</v>
      </c>
      <c r="B23" t="s">
        <v>557</v>
      </c>
      <c r="C23" s="451">
        <v>46203</v>
      </c>
      <c r="D23" t="s">
        <v>594</v>
      </c>
      <c r="E23" t="s">
        <v>20</v>
      </c>
      <c r="F23">
        <v>695.12</v>
      </c>
      <c r="G23">
        <v>0</v>
      </c>
      <c r="H23">
        <v>695.12</v>
      </c>
    </row>
    <row r="24" spans="1:8" x14ac:dyDescent="0.3">
      <c r="A24">
        <v>105</v>
      </c>
      <c r="B24" t="s">
        <v>557</v>
      </c>
      <c r="C24" s="451">
        <v>46202</v>
      </c>
      <c r="D24" t="s">
        <v>594</v>
      </c>
      <c r="E24" t="s">
        <v>3905</v>
      </c>
      <c r="F24">
        <v>9832</v>
      </c>
      <c r="G24">
        <v>98</v>
      </c>
      <c r="H24">
        <v>9734</v>
      </c>
    </row>
    <row r="25" spans="1:8" x14ac:dyDescent="0.3">
      <c r="A25">
        <v>105</v>
      </c>
      <c r="B25" t="s">
        <v>557</v>
      </c>
      <c r="C25" s="451">
        <v>46202</v>
      </c>
      <c r="D25" t="s">
        <v>594</v>
      </c>
      <c r="E25" t="s">
        <v>3904</v>
      </c>
      <c r="F25">
        <v>8704.7999999999993</v>
      </c>
      <c r="G25">
        <v>93.6</v>
      </c>
      <c r="H25">
        <v>8611.2000000000007</v>
      </c>
    </row>
    <row r="26" spans="1:8" x14ac:dyDescent="0.3">
      <c r="A26">
        <v>105</v>
      </c>
      <c r="B26" t="s">
        <v>557</v>
      </c>
      <c r="C26" s="451">
        <v>46202</v>
      </c>
      <c r="D26" t="s">
        <v>594</v>
      </c>
      <c r="E26" t="s">
        <v>20</v>
      </c>
      <c r="F26">
        <v>2328.27</v>
      </c>
      <c r="G26">
        <v>0</v>
      </c>
      <c r="H26">
        <v>2328.27</v>
      </c>
    </row>
    <row r="27" spans="1:8" x14ac:dyDescent="0.3">
      <c r="A27">
        <v>105</v>
      </c>
      <c r="B27" t="s">
        <v>557</v>
      </c>
      <c r="C27" s="451">
        <v>46201</v>
      </c>
      <c r="D27" t="s">
        <v>594</v>
      </c>
      <c r="E27" t="s">
        <v>3904</v>
      </c>
      <c r="F27">
        <v>4763.1000000000004</v>
      </c>
      <c r="G27">
        <v>230.53</v>
      </c>
      <c r="H27">
        <v>4532.57</v>
      </c>
    </row>
    <row r="28" spans="1:8" x14ac:dyDescent="0.3">
      <c r="A28">
        <v>105</v>
      </c>
      <c r="B28" t="s">
        <v>557</v>
      </c>
      <c r="C28" s="451">
        <v>46201</v>
      </c>
      <c r="D28" t="s">
        <v>594</v>
      </c>
      <c r="E28" t="s">
        <v>3905</v>
      </c>
      <c r="F28">
        <v>13034.5</v>
      </c>
      <c r="G28">
        <v>686.67</v>
      </c>
      <c r="H28">
        <v>12347.83</v>
      </c>
    </row>
    <row r="29" spans="1:8" x14ac:dyDescent="0.3">
      <c r="A29">
        <v>105</v>
      </c>
      <c r="B29" t="s">
        <v>557</v>
      </c>
      <c r="C29" s="451">
        <v>46201</v>
      </c>
      <c r="D29" t="s">
        <v>594</v>
      </c>
      <c r="E29" t="s">
        <v>20</v>
      </c>
      <c r="F29">
        <v>2154.44</v>
      </c>
      <c r="G29">
        <v>0</v>
      </c>
      <c r="H29">
        <v>2154.44</v>
      </c>
    </row>
    <row r="30" spans="1:8" x14ac:dyDescent="0.3">
      <c r="A30">
        <v>105</v>
      </c>
      <c r="B30" t="s">
        <v>557</v>
      </c>
      <c r="C30" s="451">
        <v>46200</v>
      </c>
      <c r="D30" t="s">
        <v>594</v>
      </c>
      <c r="E30" t="s">
        <v>3905</v>
      </c>
      <c r="F30">
        <v>12255</v>
      </c>
      <c r="G30">
        <v>320.32</v>
      </c>
      <c r="H30">
        <v>11934.68</v>
      </c>
    </row>
    <row r="31" spans="1:8" x14ac:dyDescent="0.3">
      <c r="A31">
        <v>105</v>
      </c>
      <c r="B31" t="s">
        <v>557</v>
      </c>
      <c r="C31" s="451">
        <v>46200</v>
      </c>
      <c r="D31" t="s">
        <v>594</v>
      </c>
      <c r="E31" t="s">
        <v>3904</v>
      </c>
      <c r="F31">
        <v>8001.7</v>
      </c>
      <c r="G31">
        <v>19.649999999999999</v>
      </c>
      <c r="H31">
        <v>7982.05</v>
      </c>
    </row>
    <row r="32" spans="1:8" x14ac:dyDescent="0.3">
      <c r="A32">
        <v>105</v>
      </c>
      <c r="B32" t="s">
        <v>557</v>
      </c>
      <c r="C32" s="451">
        <v>46200</v>
      </c>
      <c r="D32" t="s">
        <v>594</v>
      </c>
      <c r="E32" t="s">
        <v>20</v>
      </c>
      <c r="F32">
        <v>2518.5</v>
      </c>
      <c r="G32">
        <v>0</v>
      </c>
      <c r="H32">
        <v>2518.5</v>
      </c>
    </row>
    <row r="33" spans="1:8" x14ac:dyDescent="0.3">
      <c r="A33">
        <v>105</v>
      </c>
      <c r="B33" t="s">
        <v>557</v>
      </c>
      <c r="C33" s="451">
        <v>46199</v>
      </c>
      <c r="D33" t="s">
        <v>594</v>
      </c>
      <c r="E33" t="s">
        <v>3904</v>
      </c>
      <c r="F33">
        <v>3191.7</v>
      </c>
      <c r="G33">
        <v>178.72</v>
      </c>
      <c r="H33">
        <v>3012.98</v>
      </c>
    </row>
    <row r="34" spans="1:8" x14ac:dyDescent="0.3">
      <c r="A34">
        <v>105</v>
      </c>
      <c r="B34" t="s">
        <v>557</v>
      </c>
      <c r="C34" s="451">
        <v>46199</v>
      </c>
      <c r="D34" t="s">
        <v>594</v>
      </c>
      <c r="E34" t="s">
        <v>3905</v>
      </c>
      <c r="F34">
        <v>5497.4</v>
      </c>
      <c r="G34">
        <v>261.98</v>
      </c>
      <c r="H34">
        <v>5235.42</v>
      </c>
    </row>
    <row r="35" spans="1:8" x14ac:dyDescent="0.3">
      <c r="A35">
        <v>105</v>
      </c>
      <c r="B35" t="s">
        <v>557</v>
      </c>
      <c r="C35" s="451">
        <v>46199</v>
      </c>
      <c r="D35" t="s">
        <v>594</v>
      </c>
      <c r="E35" t="s">
        <v>20</v>
      </c>
      <c r="F35">
        <v>1108.77</v>
      </c>
      <c r="G35">
        <v>0</v>
      </c>
      <c r="H35">
        <v>1108.77</v>
      </c>
    </row>
    <row r="36" spans="1:8" x14ac:dyDescent="0.3">
      <c r="A36">
        <v>105</v>
      </c>
      <c r="B36" t="s">
        <v>557</v>
      </c>
      <c r="C36" s="451">
        <v>46198</v>
      </c>
      <c r="D36" t="s">
        <v>594</v>
      </c>
      <c r="E36" t="s">
        <v>3905</v>
      </c>
      <c r="F36">
        <v>5676.2</v>
      </c>
      <c r="G36">
        <v>363</v>
      </c>
      <c r="H36">
        <v>5313.2</v>
      </c>
    </row>
    <row r="37" spans="1:8" x14ac:dyDescent="0.3">
      <c r="A37">
        <v>105</v>
      </c>
      <c r="B37" t="s">
        <v>557</v>
      </c>
      <c r="C37" s="451">
        <v>46198</v>
      </c>
      <c r="D37" t="s">
        <v>594</v>
      </c>
      <c r="E37" t="s">
        <v>3904</v>
      </c>
      <c r="F37">
        <v>2111.6</v>
      </c>
      <c r="G37">
        <v>82.15</v>
      </c>
      <c r="H37">
        <v>2029.45</v>
      </c>
    </row>
    <row r="38" spans="1:8" x14ac:dyDescent="0.3">
      <c r="A38">
        <v>105</v>
      </c>
      <c r="B38" t="s">
        <v>557</v>
      </c>
      <c r="C38" s="451">
        <v>46198</v>
      </c>
      <c r="D38" t="s">
        <v>594</v>
      </c>
      <c r="E38" t="s">
        <v>20</v>
      </c>
      <c r="F38">
        <v>958.61</v>
      </c>
      <c r="G38">
        <v>0</v>
      </c>
      <c r="H38">
        <v>958.61</v>
      </c>
    </row>
    <row r="39" spans="1:8" x14ac:dyDescent="0.3">
      <c r="A39">
        <v>105</v>
      </c>
      <c r="B39" t="s">
        <v>557</v>
      </c>
      <c r="C39" s="451">
        <v>46197</v>
      </c>
      <c r="D39" t="s">
        <v>594</v>
      </c>
      <c r="E39" t="s">
        <v>3905</v>
      </c>
      <c r="F39">
        <v>9083.7999999999993</v>
      </c>
      <c r="G39">
        <v>535.14</v>
      </c>
      <c r="H39">
        <v>8548.66</v>
      </c>
    </row>
    <row r="40" spans="1:8" x14ac:dyDescent="0.3">
      <c r="A40">
        <v>105</v>
      </c>
      <c r="B40" t="s">
        <v>557</v>
      </c>
      <c r="C40" s="451">
        <v>46197</v>
      </c>
      <c r="D40" t="s">
        <v>594</v>
      </c>
      <c r="E40" t="s">
        <v>3904</v>
      </c>
      <c r="F40">
        <v>7972.4</v>
      </c>
      <c r="G40">
        <v>228.51</v>
      </c>
      <c r="H40">
        <v>7743.89</v>
      </c>
    </row>
    <row r="41" spans="1:8" x14ac:dyDescent="0.3">
      <c r="A41">
        <v>105</v>
      </c>
      <c r="B41" t="s">
        <v>557</v>
      </c>
      <c r="C41" s="451">
        <v>46197</v>
      </c>
      <c r="D41" t="s">
        <v>594</v>
      </c>
      <c r="E41" t="s">
        <v>20</v>
      </c>
      <c r="F41">
        <v>2107.85</v>
      </c>
      <c r="G41">
        <v>0</v>
      </c>
      <c r="H41">
        <v>2107.85</v>
      </c>
    </row>
    <row r="42" spans="1:8" x14ac:dyDescent="0.3">
      <c r="A42">
        <v>105</v>
      </c>
      <c r="B42" t="s">
        <v>557</v>
      </c>
      <c r="C42" s="451">
        <v>46196</v>
      </c>
      <c r="D42" t="s">
        <v>594</v>
      </c>
      <c r="E42" t="s">
        <v>3905</v>
      </c>
      <c r="F42">
        <v>1619.6</v>
      </c>
      <c r="G42">
        <v>122.42</v>
      </c>
      <c r="H42">
        <v>1497.18</v>
      </c>
    </row>
    <row r="43" spans="1:8" x14ac:dyDescent="0.3">
      <c r="A43">
        <v>105</v>
      </c>
      <c r="B43" t="s">
        <v>557</v>
      </c>
      <c r="C43" s="451">
        <v>46196</v>
      </c>
      <c r="D43" t="s">
        <v>594</v>
      </c>
      <c r="E43" t="s">
        <v>3904</v>
      </c>
      <c r="F43">
        <v>230</v>
      </c>
      <c r="G43">
        <v>8.8000000000000007</v>
      </c>
      <c r="H43">
        <v>221.2</v>
      </c>
    </row>
    <row r="44" spans="1:8" x14ac:dyDescent="0.3">
      <c r="A44">
        <v>105</v>
      </c>
      <c r="B44" t="s">
        <v>557</v>
      </c>
      <c r="C44" s="451">
        <v>46196</v>
      </c>
      <c r="D44" t="s">
        <v>594</v>
      </c>
      <c r="E44" t="s">
        <v>20</v>
      </c>
      <c r="F44">
        <v>231.96</v>
      </c>
      <c r="G44">
        <v>0</v>
      </c>
      <c r="H44">
        <v>231.96</v>
      </c>
    </row>
    <row r="45" spans="1:8" x14ac:dyDescent="0.3">
      <c r="A45">
        <v>105</v>
      </c>
      <c r="B45" t="s">
        <v>557</v>
      </c>
      <c r="C45" s="451">
        <v>46195</v>
      </c>
      <c r="D45" t="s">
        <v>594</v>
      </c>
      <c r="E45" t="s">
        <v>3905</v>
      </c>
      <c r="F45">
        <v>1720.5</v>
      </c>
      <c r="G45">
        <v>0</v>
      </c>
      <c r="H45">
        <v>1720.5</v>
      </c>
    </row>
    <row r="46" spans="1:8" x14ac:dyDescent="0.3">
      <c r="A46">
        <v>105</v>
      </c>
      <c r="B46" t="s">
        <v>557</v>
      </c>
      <c r="C46" s="451">
        <v>46195</v>
      </c>
      <c r="D46" t="s">
        <v>594</v>
      </c>
      <c r="E46" t="s">
        <v>3904</v>
      </c>
      <c r="F46">
        <v>214.5</v>
      </c>
      <c r="G46">
        <v>24</v>
      </c>
      <c r="H46">
        <v>190.5</v>
      </c>
    </row>
    <row r="47" spans="1:8" x14ac:dyDescent="0.3">
      <c r="A47">
        <v>105</v>
      </c>
      <c r="B47" t="s">
        <v>557</v>
      </c>
      <c r="C47" s="451">
        <v>46195</v>
      </c>
      <c r="D47" t="s">
        <v>594</v>
      </c>
      <c r="E47" t="s">
        <v>20</v>
      </c>
      <c r="F47">
        <v>248.31</v>
      </c>
      <c r="G47">
        <v>0</v>
      </c>
      <c r="H47">
        <v>248.31</v>
      </c>
    </row>
    <row r="48" spans="1:8" x14ac:dyDescent="0.3">
      <c r="A48">
        <v>105</v>
      </c>
      <c r="B48" t="s">
        <v>557</v>
      </c>
      <c r="C48" s="451">
        <v>46194</v>
      </c>
      <c r="D48" t="s">
        <v>594</v>
      </c>
      <c r="E48" t="s">
        <v>3905</v>
      </c>
      <c r="F48">
        <v>12614.5</v>
      </c>
      <c r="G48">
        <v>467.2</v>
      </c>
      <c r="H48">
        <v>12147.3</v>
      </c>
    </row>
    <row r="49" spans="1:8" x14ac:dyDescent="0.3">
      <c r="A49">
        <v>105</v>
      </c>
      <c r="B49" t="s">
        <v>557</v>
      </c>
      <c r="C49" s="451">
        <v>46194</v>
      </c>
      <c r="D49" t="s">
        <v>594</v>
      </c>
      <c r="E49" t="s">
        <v>3904</v>
      </c>
      <c r="F49">
        <v>4520.1000000000004</v>
      </c>
      <c r="G49">
        <v>70.260000000000005</v>
      </c>
      <c r="H49">
        <v>4449.84</v>
      </c>
    </row>
    <row r="50" spans="1:8" x14ac:dyDescent="0.3">
      <c r="A50">
        <v>105</v>
      </c>
      <c r="B50" t="s">
        <v>557</v>
      </c>
      <c r="C50" s="451">
        <v>46194</v>
      </c>
      <c r="D50" t="s">
        <v>594</v>
      </c>
      <c r="E50" t="s">
        <v>20</v>
      </c>
      <c r="F50">
        <v>2099.62</v>
      </c>
      <c r="G50">
        <v>0</v>
      </c>
      <c r="H50">
        <v>2099.62</v>
      </c>
    </row>
    <row r="51" spans="1:8" x14ac:dyDescent="0.3">
      <c r="A51">
        <v>105</v>
      </c>
      <c r="B51" t="s">
        <v>557</v>
      </c>
      <c r="C51" s="451">
        <v>46193</v>
      </c>
      <c r="D51" t="s">
        <v>594</v>
      </c>
      <c r="E51" t="s">
        <v>3905</v>
      </c>
      <c r="F51">
        <v>10896.5</v>
      </c>
      <c r="G51">
        <v>820.79</v>
      </c>
      <c r="H51">
        <v>10075.709999999999</v>
      </c>
    </row>
    <row r="52" spans="1:8" x14ac:dyDescent="0.3">
      <c r="A52">
        <v>105</v>
      </c>
      <c r="B52" t="s">
        <v>557</v>
      </c>
      <c r="C52" s="451">
        <v>46193</v>
      </c>
      <c r="D52" t="s">
        <v>594</v>
      </c>
      <c r="E52" t="s">
        <v>3904</v>
      </c>
      <c r="F52">
        <v>9096.5</v>
      </c>
      <c r="G52">
        <v>210.95</v>
      </c>
      <c r="H52">
        <v>8885.5499999999993</v>
      </c>
    </row>
    <row r="53" spans="1:8" x14ac:dyDescent="0.3">
      <c r="A53">
        <v>105</v>
      </c>
      <c r="B53" t="s">
        <v>557</v>
      </c>
      <c r="C53" s="451">
        <v>46193</v>
      </c>
      <c r="D53" t="s">
        <v>594</v>
      </c>
      <c r="E53" t="s">
        <v>20</v>
      </c>
      <c r="F53">
        <v>2690.65</v>
      </c>
      <c r="G53">
        <v>0</v>
      </c>
      <c r="H53">
        <v>2690.65</v>
      </c>
    </row>
    <row r="54" spans="1:8" x14ac:dyDescent="0.3">
      <c r="A54">
        <v>105</v>
      </c>
      <c r="B54" t="s">
        <v>557</v>
      </c>
      <c r="C54" s="451">
        <v>46193</v>
      </c>
      <c r="D54" t="s">
        <v>594</v>
      </c>
      <c r="E54" t="s">
        <v>3906</v>
      </c>
      <c r="F54">
        <v>1365</v>
      </c>
      <c r="G54">
        <v>0</v>
      </c>
      <c r="H54">
        <v>1365</v>
      </c>
    </row>
    <row r="55" spans="1:8" x14ac:dyDescent="0.3">
      <c r="A55">
        <v>105</v>
      </c>
      <c r="B55" t="s">
        <v>557</v>
      </c>
      <c r="C55" s="451">
        <v>46192</v>
      </c>
      <c r="D55" t="s">
        <v>594</v>
      </c>
      <c r="E55" t="s">
        <v>3905</v>
      </c>
      <c r="F55">
        <v>9033.1</v>
      </c>
      <c r="G55">
        <v>620.09</v>
      </c>
      <c r="H55">
        <v>8413.01</v>
      </c>
    </row>
    <row r="56" spans="1:8" x14ac:dyDescent="0.3">
      <c r="A56">
        <v>105</v>
      </c>
      <c r="B56" t="s">
        <v>557</v>
      </c>
      <c r="C56" s="451">
        <v>46192</v>
      </c>
      <c r="D56" t="s">
        <v>594</v>
      </c>
      <c r="E56" t="s">
        <v>3904</v>
      </c>
      <c r="F56">
        <v>7431.8</v>
      </c>
      <c r="G56">
        <v>208.25</v>
      </c>
      <c r="H56">
        <v>7223.55</v>
      </c>
    </row>
    <row r="57" spans="1:8" x14ac:dyDescent="0.3">
      <c r="A57">
        <v>105</v>
      </c>
      <c r="B57" t="s">
        <v>557</v>
      </c>
      <c r="C57" s="451">
        <v>46192</v>
      </c>
      <c r="D57" t="s">
        <v>594</v>
      </c>
      <c r="E57" t="s">
        <v>3906</v>
      </c>
      <c r="F57">
        <v>535</v>
      </c>
      <c r="G57">
        <v>15</v>
      </c>
      <c r="H57">
        <v>520</v>
      </c>
    </row>
    <row r="58" spans="1:8" x14ac:dyDescent="0.3">
      <c r="A58">
        <v>105</v>
      </c>
      <c r="B58" t="s">
        <v>557</v>
      </c>
      <c r="C58" s="451">
        <v>46192</v>
      </c>
      <c r="D58" t="s">
        <v>594</v>
      </c>
      <c r="E58" t="s">
        <v>20</v>
      </c>
      <c r="F58">
        <v>2029.74</v>
      </c>
      <c r="G58">
        <v>0</v>
      </c>
      <c r="H58">
        <v>2029.74</v>
      </c>
    </row>
    <row r="59" spans="1:8" x14ac:dyDescent="0.3">
      <c r="A59">
        <v>105</v>
      </c>
      <c r="B59" t="s">
        <v>557</v>
      </c>
      <c r="C59" s="451">
        <v>46191</v>
      </c>
      <c r="D59" t="s">
        <v>594</v>
      </c>
      <c r="E59" t="s">
        <v>3904</v>
      </c>
      <c r="F59">
        <v>1374.6</v>
      </c>
      <c r="G59">
        <v>93.45</v>
      </c>
      <c r="H59">
        <v>1281.1500000000001</v>
      </c>
    </row>
    <row r="60" spans="1:8" x14ac:dyDescent="0.3">
      <c r="A60">
        <v>105</v>
      </c>
      <c r="B60" t="s">
        <v>557</v>
      </c>
      <c r="C60" s="451">
        <v>46191</v>
      </c>
      <c r="D60" t="s">
        <v>594</v>
      </c>
      <c r="E60" t="s">
        <v>3905</v>
      </c>
      <c r="F60">
        <v>4923.1000000000004</v>
      </c>
      <c r="G60">
        <v>256.31</v>
      </c>
      <c r="H60">
        <v>4666.79</v>
      </c>
    </row>
    <row r="61" spans="1:8" x14ac:dyDescent="0.3">
      <c r="A61">
        <v>105</v>
      </c>
      <c r="B61" t="s">
        <v>557</v>
      </c>
      <c r="C61" s="451">
        <v>46191</v>
      </c>
      <c r="D61" t="s">
        <v>594</v>
      </c>
      <c r="E61" t="s">
        <v>20</v>
      </c>
      <c r="F61">
        <v>778.2</v>
      </c>
      <c r="G61">
        <v>0</v>
      </c>
      <c r="H61">
        <v>778.2</v>
      </c>
    </row>
    <row r="62" spans="1:8" x14ac:dyDescent="0.3">
      <c r="A62">
        <v>105</v>
      </c>
      <c r="B62" t="s">
        <v>557</v>
      </c>
      <c r="C62" s="451">
        <v>46190</v>
      </c>
      <c r="D62" t="s">
        <v>594</v>
      </c>
      <c r="E62" t="s">
        <v>3904</v>
      </c>
      <c r="F62">
        <v>2014.3</v>
      </c>
      <c r="G62">
        <v>38.31</v>
      </c>
      <c r="H62">
        <v>1975.99</v>
      </c>
    </row>
    <row r="63" spans="1:8" x14ac:dyDescent="0.3">
      <c r="A63">
        <v>105</v>
      </c>
      <c r="B63" t="s">
        <v>557</v>
      </c>
      <c r="C63" s="451">
        <v>46190</v>
      </c>
      <c r="D63" t="s">
        <v>594</v>
      </c>
      <c r="E63" t="s">
        <v>3905</v>
      </c>
      <c r="F63">
        <v>6743.9</v>
      </c>
      <c r="G63">
        <v>115.27</v>
      </c>
      <c r="H63">
        <v>6628.63</v>
      </c>
    </row>
    <row r="64" spans="1:8" x14ac:dyDescent="0.3">
      <c r="A64">
        <v>105</v>
      </c>
      <c r="B64" t="s">
        <v>557</v>
      </c>
      <c r="C64" s="451">
        <v>46190</v>
      </c>
      <c r="D64" t="s">
        <v>594</v>
      </c>
      <c r="E64" t="s">
        <v>20</v>
      </c>
      <c r="F64">
        <v>1096.04</v>
      </c>
      <c r="G64">
        <v>0</v>
      </c>
      <c r="H64">
        <v>1096.04</v>
      </c>
    </row>
    <row r="65" spans="1:8" x14ac:dyDescent="0.3">
      <c r="A65">
        <v>105</v>
      </c>
      <c r="B65" t="s">
        <v>557</v>
      </c>
      <c r="C65" s="451">
        <v>46189</v>
      </c>
      <c r="D65" t="s">
        <v>594</v>
      </c>
      <c r="E65" t="s">
        <v>3904</v>
      </c>
      <c r="F65">
        <v>980.2</v>
      </c>
      <c r="G65">
        <v>11.34</v>
      </c>
      <c r="H65">
        <v>968.86</v>
      </c>
    </row>
    <row r="66" spans="1:8" x14ac:dyDescent="0.3">
      <c r="A66">
        <v>105</v>
      </c>
      <c r="B66" t="s">
        <v>557</v>
      </c>
      <c r="C66" s="451">
        <v>46189</v>
      </c>
      <c r="D66" t="s">
        <v>594</v>
      </c>
      <c r="E66" t="s">
        <v>3905</v>
      </c>
      <c r="F66">
        <v>5022.5</v>
      </c>
      <c r="G66">
        <v>163.16999999999999</v>
      </c>
      <c r="H66">
        <v>4859.33</v>
      </c>
    </row>
    <row r="67" spans="1:8" x14ac:dyDescent="0.3">
      <c r="A67">
        <v>105</v>
      </c>
      <c r="B67" t="s">
        <v>557</v>
      </c>
      <c r="C67" s="451">
        <v>46189</v>
      </c>
      <c r="D67" t="s">
        <v>594</v>
      </c>
      <c r="E67" t="s">
        <v>20</v>
      </c>
      <c r="F67">
        <v>762.73</v>
      </c>
      <c r="G67">
        <v>0</v>
      </c>
      <c r="H67">
        <v>762.73</v>
      </c>
    </row>
    <row r="68" spans="1:8" x14ac:dyDescent="0.3">
      <c r="A68">
        <v>105</v>
      </c>
      <c r="B68" t="s">
        <v>557</v>
      </c>
      <c r="C68" s="451">
        <v>46188</v>
      </c>
      <c r="D68" t="s">
        <v>594</v>
      </c>
      <c r="E68" t="s">
        <v>3904</v>
      </c>
      <c r="F68">
        <v>282</v>
      </c>
      <c r="G68">
        <v>9.3000000000000007</v>
      </c>
      <c r="H68">
        <v>272.7</v>
      </c>
    </row>
    <row r="69" spans="1:8" x14ac:dyDescent="0.3">
      <c r="A69">
        <v>105</v>
      </c>
      <c r="B69" t="s">
        <v>557</v>
      </c>
      <c r="C69" s="451">
        <v>46188</v>
      </c>
      <c r="D69" t="s">
        <v>594</v>
      </c>
      <c r="E69" t="s">
        <v>3905</v>
      </c>
      <c r="F69">
        <v>1821.6</v>
      </c>
      <c r="G69">
        <v>19.47</v>
      </c>
      <c r="H69">
        <v>1802.13</v>
      </c>
    </row>
    <row r="70" spans="1:8" x14ac:dyDescent="0.3">
      <c r="A70">
        <v>105</v>
      </c>
      <c r="B70" t="s">
        <v>557</v>
      </c>
      <c r="C70" s="451">
        <v>46188</v>
      </c>
      <c r="D70" t="s">
        <v>594</v>
      </c>
      <c r="E70" t="s">
        <v>20</v>
      </c>
      <c r="F70">
        <v>260.89999999999998</v>
      </c>
      <c r="G70">
        <v>0</v>
      </c>
      <c r="H70">
        <v>260.89999999999998</v>
      </c>
    </row>
    <row r="71" spans="1:8" x14ac:dyDescent="0.3">
      <c r="A71">
        <v>105</v>
      </c>
      <c r="B71" t="s">
        <v>557</v>
      </c>
      <c r="C71" s="451">
        <v>46187</v>
      </c>
      <c r="D71" t="s">
        <v>594</v>
      </c>
      <c r="E71" t="s">
        <v>3904</v>
      </c>
      <c r="F71">
        <v>3501.5</v>
      </c>
      <c r="G71">
        <v>399.74</v>
      </c>
      <c r="H71">
        <v>3101.76</v>
      </c>
    </row>
    <row r="72" spans="1:8" x14ac:dyDescent="0.3">
      <c r="A72">
        <v>105</v>
      </c>
      <c r="B72" t="s">
        <v>557</v>
      </c>
      <c r="C72" s="451">
        <v>46187</v>
      </c>
      <c r="D72" t="s">
        <v>594</v>
      </c>
      <c r="E72" t="s">
        <v>3905</v>
      </c>
      <c r="F72">
        <v>7588</v>
      </c>
      <c r="G72">
        <v>736.38</v>
      </c>
      <c r="H72">
        <v>6851.62</v>
      </c>
    </row>
    <row r="73" spans="1:8" x14ac:dyDescent="0.3">
      <c r="A73">
        <v>105</v>
      </c>
      <c r="B73" t="s">
        <v>557</v>
      </c>
      <c r="C73" s="451">
        <v>46187</v>
      </c>
      <c r="D73" t="s">
        <v>594</v>
      </c>
      <c r="E73" t="s">
        <v>20</v>
      </c>
      <c r="F73">
        <v>1364.63</v>
      </c>
      <c r="G73">
        <v>0</v>
      </c>
      <c r="H73">
        <v>1364.63</v>
      </c>
    </row>
    <row r="74" spans="1:8" x14ac:dyDescent="0.3">
      <c r="A74">
        <v>105</v>
      </c>
      <c r="B74" t="s">
        <v>557</v>
      </c>
      <c r="C74" s="451">
        <v>46186</v>
      </c>
      <c r="D74" t="s">
        <v>594</v>
      </c>
      <c r="E74" t="s">
        <v>3905</v>
      </c>
      <c r="F74">
        <v>10533</v>
      </c>
      <c r="G74">
        <v>848.8</v>
      </c>
      <c r="H74">
        <v>9684.2000000000007</v>
      </c>
    </row>
    <row r="75" spans="1:8" x14ac:dyDescent="0.3">
      <c r="A75">
        <v>105</v>
      </c>
      <c r="B75" t="s">
        <v>557</v>
      </c>
      <c r="C75" s="451">
        <v>46186</v>
      </c>
      <c r="D75" t="s">
        <v>594</v>
      </c>
      <c r="E75" t="s">
        <v>3904</v>
      </c>
      <c r="F75">
        <v>19807.099999999999</v>
      </c>
      <c r="G75">
        <v>406.65</v>
      </c>
      <c r="H75">
        <v>19400.45</v>
      </c>
    </row>
    <row r="76" spans="1:8" x14ac:dyDescent="0.3">
      <c r="A76">
        <v>105</v>
      </c>
      <c r="B76" t="s">
        <v>557</v>
      </c>
      <c r="C76" s="451">
        <v>46186</v>
      </c>
      <c r="D76" t="s">
        <v>594</v>
      </c>
      <c r="E76" t="s">
        <v>20</v>
      </c>
      <c r="F76">
        <v>3660.36</v>
      </c>
      <c r="G76">
        <v>0</v>
      </c>
      <c r="H76">
        <v>3660.36</v>
      </c>
    </row>
    <row r="77" spans="1:8" x14ac:dyDescent="0.3">
      <c r="A77">
        <v>105</v>
      </c>
      <c r="B77" t="s">
        <v>557</v>
      </c>
      <c r="C77" s="451">
        <v>46186</v>
      </c>
      <c r="D77" t="s">
        <v>594</v>
      </c>
      <c r="E77" t="s">
        <v>3906</v>
      </c>
      <c r="F77">
        <v>1115</v>
      </c>
      <c r="G77">
        <v>0</v>
      </c>
      <c r="H77">
        <v>1115</v>
      </c>
    </row>
    <row r="78" spans="1:8" x14ac:dyDescent="0.3">
      <c r="A78">
        <v>105</v>
      </c>
      <c r="B78" t="s">
        <v>557</v>
      </c>
      <c r="C78" s="451">
        <v>46185</v>
      </c>
      <c r="D78" t="s">
        <v>594</v>
      </c>
      <c r="E78" t="s">
        <v>3905</v>
      </c>
      <c r="F78">
        <v>8756.2999999999993</v>
      </c>
      <c r="G78">
        <v>680.85</v>
      </c>
      <c r="H78">
        <v>8075.45</v>
      </c>
    </row>
    <row r="79" spans="1:8" x14ac:dyDescent="0.3">
      <c r="A79">
        <v>105</v>
      </c>
      <c r="B79" t="s">
        <v>557</v>
      </c>
      <c r="C79" s="451">
        <v>46185</v>
      </c>
      <c r="D79" t="s">
        <v>594</v>
      </c>
      <c r="E79" t="s">
        <v>3904</v>
      </c>
      <c r="F79">
        <v>2823.5</v>
      </c>
      <c r="G79">
        <v>188.37</v>
      </c>
      <c r="H79">
        <v>2635.13</v>
      </c>
    </row>
    <row r="80" spans="1:8" x14ac:dyDescent="0.3">
      <c r="A80">
        <v>105</v>
      </c>
      <c r="B80" t="s">
        <v>557</v>
      </c>
      <c r="C80" s="451">
        <v>46185</v>
      </c>
      <c r="D80" t="s">
        <v>594</v>
      </c>
      <c r="E80" t="s">
        <v>20</v>
      </c>
      <c r="F80">
        <v>1476.72</v>
      </c>
      <c r="G80">
        <v>0</v>
      </c>
      <c r="H80">
        <v>1476.72</v>
      </c>
    </row>
    <row r="81" spans="1:8" x14ac:dyDescent="0.3">
      <c r="A81">
        <v>105</v>
      </c>
      <c r="B81" t="s">
        <v>557</v>
      </c>
      <c r="C81" s="451">
        <v>46185</v>
      </c>
      <c r="D81" t="s">
        <v>594</v>
      </c>
      <c r="E81" t="s">
        <v>3906</v>
      </c>
      <c r="F81">
        <v>720</v>
      </c>
      <c r="G81">
        <v>36</v>
      </c>
      <c r="H81">
        <v>684</v>
      </c>
    </row>
    <row r="82" spans="1:8" x14ac:dyDescent="0.3">
      <c r="A82">
        <v>105</v>
      </c>
      <c r="B82" t="s">
        <v>557</v>
      </c>
      <c r="C82" s="451">
        <v>46184</v>
      </c>
      <c r="D82" t="s">
        <v>594</v>
      </c>
      <c r="E82" t="s">
        <v>3904</v>
      </c>
      <c r="F82">
        <v>1097.4000000000001</v>
      </c>
      <c r="G82">
        <v>58.2</v>
      </c>
      <c r="H82">
        <v>1039.2</v>
      </c>
    </row>
    <row r="83" spans="1:8" x14ac:dyDescent="0.3">
      <c r="A83">
        <v>105</v>
      </c>
      <c r="B83" t="s">
        <v>557</v>
      </c>
      <c r="C83" s="451">
        <v>46184</v>
      </c>
      <c r="D83" t="s">
        <v>594</v>
      </c>
      <c r="E83" t="s">
        <v>3905</v>
      </c>
      <c r="F83">
        <v>3934.3</v>
      </c>
      <c r="G83">
        <v>113.84</v>
      </c>
      <c r="H83">
        <v>3820.46</v>
      </c>
    </row>
    <row r="84" spans="1:8" x14ac:dyDescent="0.3">
      <c r="A84">
        <v>105</v>
      </c>
      <c r="B84" t="s">
        <v>557</v>
      </c>
      <c r="C84" s="451">
        <v>46184</v>
      </c>
      <c r="D84" t="s">
        <v>594</v>
      </c>
      <c r="E84" t="s">
        <v>20</v>
      </c>
      <c r="F84">
        <v>610.61</v>
      </c>
      <c r="G84">
        <v>0</v>
      </c>
      <c r="H84">
        <v>610.61</v>
      </c>
    </row>
    <row r="85" spans="1:8" x14ac:dyDescent="0.3">
      <c r="A85">
        <v>105</v>
      </c>
      <c r="B85" t="s">
        <v>557</v>
      </c>
      <c r="C85" s="451">
        <v>46183</v>
      </c>
      <c r="D85" t="s">
        <v>594</v>
      </c>
      <c r="E85" t="s">
        <v>3904</v>
      </c>
      <c r="F85">
        <v>1546.3</v>
      </c>
      <c r="G85">
        <v>77.17</v>
      </c>
      <c r="H85">
        <v>1469.13</v>
      </c>
    </row>
    <row r="86" spans="1:8" x14ac:dyDescent="0.3">
      <c r="A86">
        <v>105</v>
      </c>
      <c r="B86" t="s">
        <v>557</v>
      </c>
      <c r="C86" s="451">
        <v>46183</v>
      </c>
      <c r="D86" t="s">
        <v>594</v>
      </c>
      <c r="E86" t="s">
        <v>3905</v>
      </c>
      <c r="F86">
        <v>5164</v>
      </c>
      <c r="G86">
        <v>304.17</v>
      </c>
      <c r="H86">
        <v>4859.83</v>
      </c>
    </row>
    <row r="87" spans="1:8" x14ac:dyDescent="0.3">
      <c r="A87">
        <v>105</v>
      </c>
      <c r="B87" t="s">
        <v>557</v>
      </c>
      <c r="C87" s="451">
        <v>46183</v>
      </c>
      <c r="D87" t="s">
        <v>594</v>
      </c>
      <c r="E87" t="s">
        <v>20</v>
      </c>
      <c r="F87">
        <v>766.55</v>
      </c>
      <c r="G87">
        <v>0</v>
      </c>
      <c r="H87">
        <v>766.55</v>
      </c>
    </row>
    <row r="88" spans="1:8" x14ac:dyDescent="0.3">
      <c r="A88">
        <v>105</v>
      </c>
      <c r="B88" t="s">
        <v>557</v>
      </c>
      <c r="C88" s="451">
        <v>46182</v>
      </c>
      <c r="D88" t="s">
        <v>594</v>
      </c>
      <c r="E88" t="s">
        <v>3904</v>
      </c>
      <c r="F88">
        <v>427.3</v>
      </c>
      <c r="G88">
        <v>31.23</v>
      </c>
      <c r="H88">
        <v>396.07</v>
      </c>
    </row>
    <row r="89" spans="1:8" x14ac:dyDescent="0.3">
      <c r="A89">
        <v>105</v>
      </c>
      <c r="B89" t="s">
        <v>557</v>
      </c>
      <c r="C89" s="451">
        <v>46182</v>
      </c>
      <c r="D89" t="s">
        <v>594</v>
      </c>
      <c r="E89" t="s">
        <v>3905</v>
      </c>
      <c r="F89">
        <v>3936.3</v>
      </c>
      <c r="G89">
        <v>220.33</v>
      </c>
      <c r="H89">
        <v>3715.97</v>
      </c>
    </row>
    <row r="90" spans="1:8" x14ac:dyDescent="0.3">
      <c r="A90">
        <v>105</v>
      </c>
      <c r="B90" t="s">
        <v>557</v>
      </c>
      <c r="C90" s="451">
        <v>46182</v>
      </c>
      <c r="D90" t="s">
        <v>594</v>
      </c>
      <c r="E90" t="s">
        <v>20</v>
      </c>
      <c r="F90">
        <v>551.48</v>
      </c>
      <c r="G90">
        <v>0</v>
      </c>
      <c r="H90">
        <v>551.48</v>
      </c>
    </row>
    <row r="91" spans="1:8" x14ac:dyDescent="0.3">
      <c r="A91">
        <v>105</v>
      </c>
      <c r="B91" t="s">
        <v>557</v>
      </c>
      <c r="C91" s="451">
        <v>46181</v>
      </c>
      <c r="D91" t="s">
        <v>594</v>
      </c>
      <c r="E91" t="s">
        <v>3904</v>
      </c>
      <c r="F91">
        <v>413.3</v>
      </c>
      <c r="G91">
        <v>34.75</v>
      </c>
      <c r="H91">
        <v>378.55</v>
      </c>
    </row>
    <row r="92" spans="1:8" x14ac:dyDescent="0.3">
      <c r="A92">
        <v>105</v>
      </c>
      <c r="B92" t="s">
        <v>557</v>
      </c>
      <c r="C92" s="451">
        <v>46181</v>
      </c>
      <c r="D92" t="s">
        <v>594</v>
      </c>
      <c r="E92" t="s">
        <v>3905</v>
      </c>
      <c r="F92">
        <v>3380.6</v>
      </c>
      <c r="G92">
        <v>112.84</v>
      </c>
      <c r="H92">
        <v>3267.76</v>
      </c>
    </row>
    <row r="93" spans="1:8" x14ac:dyDescent="0.3">
      <c r="A93">
        <v>105</v>
      </c>
      <c r="B93" t="s">
        <v>557</v>
      </c>
      <c r="C93" s="451">
        <v>46181</v>
      </c>
      <c r="D93" t="s">
        <v>594</v>
      </c>
      <c r="E93" t="s">
        <v>20</v>
      </c>
      <c r="F93">
        <v>461.75</v>
      </c>
      <c r="G93">
        <v>0</v>
      </c>
      <c r="H93">
        <v>461.75</v>
      </c>
    </row>
    <row r="94" spans="1:8" x14ac:dyDescent="0.3">
      <c r="A94">
        <v>105</v>
      </c>
      <c r="B94" t="s">
        <v>557</v>
      </c>
      <c r="C94" s="451">
        <v>46180</v>
      </c>
      <c r="D94" t="s">
        <v>594</v>
      </c>
      <c r="E94" t="s">
        <v>3905</v>
      </c>
      <c r="F94">
        <v>9568.5</v>
      </c>
      <c r="G94">
        <v>575.42999999999995</v>
      </c>
      <c r="H94">
        <v>8993.07</v>
      </c>
    </row>
    <row r="95" spans="1:8" x14ac:dyDescent="0.3">
      <c r="A95">
        <v>105</v>
      </c>
      <c r="B95" t="s">
        <v>557</v>
      </c>
      <c r="C95" s="451">
        <v>46180</v>
      </c>
      <c r="D95" t="s">
        <v>594</v>
      </c>
      <c r="E95" t="s">
        <v>3904</v>
      </c>
      <c r="F95">
        <v>2874.8</v>
      </c>
      <c r="G95">
        <v>150.57</v>
      </c>
      <c r="H95">
        <v>2724.23</v>
      </c>
    </row>
    <row r="96" spans="1:8" x14ac:dyDescent="0.3">
      <c r="A96">
        <v>105</v>
      </c>
      <c r="B96" t="s">
        <v>557</v>
      </c>
      <c r="C96" s="451">
        <v>46180</v>
      </c>
      <c r="D96" t="s">
        <v>594</v>
      </c>
      <c r="E96" t="s">
        <v>20</v>
      </c>
      <c r="F96">
        <v>1546.32</v>
      </c>
      <c r="G96">
        <v>0</v>
      </c>
      <c r="H96">
        <v>1546.32</v>
      </c>
    </row>
    <row r="97" spans="1:8" x14ac:dyDescent="0.3">
      <c r="A97">
        <v>105</v>
      </c>
      <c r="B97" t="s">
        <v>557</v>
      </c>
      <c r="C97" s="451">
        <v>46179</v>
      </c>
      <c r="D97" t="s">
        <v>594</v>
      </c>
      <c r="E97" t="s">
        <v>3905</v>
      </c>
      <c r="F97">
        <v>9935</v>
      </c>
      <c r="G97">
        <v>730.04</v>
      </c>
      <c r="H97">
        <v>9204.9599999999991</v>
      </c>
    </row>
    <row r="98" spans="1:8" x14ac:dyDescent="0.3">
      <c r="A98">
        <v>105</v>
      </c>
      <c r="B98" t="s">
        <v>557</v>
      </c>
      <c r="C98" s="451">
        <v>46179</v>
      </c>
      <c r="D98" t="s">
        <v>594</v>
      </c>
      <c r="E98" t="s">
        <v>3904</v>
      </c>
      <c r="F98">
        <v>6744.9</v>
      </c>
      <c r="G98">
        <v>357.31</v>
      </c>
      <c r="H98">
        <v>6387.59</v>
      </c>
    </row>
    <row r="99" spans="1:8" x14ac:dyDescent="0.3">
      <c r="A99">
        <v>105</v>
      </c>
      <c r="B99" t="s">
        <v>557</v>
      </c>
      <c r="C99" s="451">
        <v>46179</v>
      </c>
      <c r="D99" t="s">
        <v>594</v>
      </c>
      <c r="E99" t="s">
        <v>20</v>
      </c>
      <c r="F99">
        <v>2091.9699999999998</v>
      </c>
      <c r="G99">
        <v>0</v>
      </c>
      <c r="H99">
        <v>2091.9699999999998</v>
      </c>
    </row>
    <row r="100" spans="1:8" x14ac:dyDescent="0.3">
      <c r="A100">
        <v>105</v>
      </c>
      <c r="B100" t="s">
        <v>557</v>
      </c>
      <c r="C100" s="451">
        <v>46178</v>
      </c>
      <c r="D100" t="s">
        <v>594</v>
      </c>
      <c r="E100" t="s">
        <v>3905</v>
      </c>
      <c r="F100">
        <v>4965.5</v>
      </c>
      <c r="G100">
        <v>247.4</v>
      </c>
      <c r="H100">
        <v>4718.1000000000004</v>
      </c>
    </row>
    <row r="101" spans="1:8" x14ac:dyDescent="0.3">
      <c r="A101">
        <v>105</v>
      </c>
      <c r="B101" t="s">
        <v>557</v>
      </c>
      <c r="C101" s="451">
        <v>46178</v>
      </c>
      <c r="D101" t="s">
        <v>594</v>
      </c>
      <c r="E101" t="s">
        <v>3904</v>
      </c>
      <c r="F101">
        <v>2270.6</v>
      </c>
      <c r="G101">
        <v>43.19</v>
      </c>
      <c r="H101">
        <v>2227.41</v>
      </c>
    </row>
    <row r="102" spans="1:8" x14ac:dyDescent="0.3">
      <c r="A102">
        <v>105</v>
      </c>
      <c r="B102" t="s">
        <v>557</v>
      </c>
      <c r="C102" s="451">
        <v>46178</v>
      </c>
      <c r="D102" t="s">
        <v>594</v>
      </c>
      <c r="E102" t="s">
        <v>20</v>
      </c>
      <c r="F102">
        <v>919.61</v>
      </c>
      <c r="G102">
        <v>0</v>
      </c>
      <c r="H102">
        <v>919.61</v>
      </c>
    </row>
    <row r="103" spans="1:8" x14ac:dyDescent="0.3">
      <c r="A103">
        <v>105</v>
      </c>
      <c r="B103" t="s">
        <v>557</v>
      </c>
      <c r="C103" s="451">
        <v>46177</v>
      </c>
      <c r="D103" t="s">
        <v>594</v>
      </c>
      <c r="E103" t="s">
        <v>3905</v>
      </c>
      <c r="F103">
        <v>9070</v>
      </c>
      <c r="G103">
        <v>495.22</v>
      </c>
      <c r="H103">
        <v>8574.7800000000007</v>
      </c>
    </row>
    <row r="104" spans="1:8" x14ac:dyDescent="0.3">
      <c r="A104">
        <v>105</v>
      </c>
      <c r="B104" t="s">
        <v>557</v>
      </c>
      <c r="C104" s="451">
        <v>46177</v>
      </c>
      <c r="D104" t="s">
        <v>594</v>
      </c>
      <c r="E104" t="s">
        <v>3904</v>
      </c>
      <c r="F104">
        <v>7698</v>
      </c>
      <c r="G104">
        <v>106.16</v>
      </c>
      <c r="H104">
        <v>7591.84</v>
      </c>
    </row>
    <row r="105" spans="1:8" x14ac:dyDescent="0.3">
      <c r="A105">
        <v>105</v>
      </c>
      <c r="B105" t="s">
        <v>557</v>
      </c>
      <c r="C105" s="451">
        <v>46177</v>
      </c>
      <c r="D105" t="s">
        <v>594</v>
      </c>
      <c r="E105" t="s">
        <v>20</v>
      </c>
      <c r="F105">
        <v>2153.8000000000002</v>
      </c>
      <c r="G105">
        <v>0</v>
      </c>
      <c r="H105">
        <v>2153.8000000000002</v>
      </c>
    </row>
    <row r="106" spans="1:8" x14ac:dyDescent="0.3">
      <c r="A106">
        <v>105</v>
      </c>
      <c r="B106" t="s">
        <v>557</v>
      </c>
      <c r="C106" s="451">
        <v>46176</v>
      </c>
      <c r="D106" t="s">
        <v>594</v>
      </c>
      <c r="E106" t="s">
        <v>3904</v>
      </c>
      <c r="F106">
        <v>2226.4</v>
      </c>
      <c r="G106">
        <v>55.82</v>
      </c>
      <c r="H106">
        <v>2170.58</v>
      </c>
    </row>
    <row r="107" spans="1:8" x14ac:dyDescent="0.3">
      <c r="A107">
        <v>105</v>
      </c>
      <c r="B107" t="s">
        <v>557</v>
      </c>
      <c r="C107" s="451">
        <v>46176</v>
      </c>
      <c r="D107" t="s">
        <v>594</v>
      </c>
      <c r="E107" t="s">
        <v>3905</v>
      </c>
      <c r="F107">
        <v>8039.9</v>
      </c>
      <c r="G107">
        <v>364.43</v>
      </c>
      <c r="H107">
        <v>7675.47</v>
      </c>
    </row>
    <row r="108" spans="1:8" x14ac:dyDescent="0.3">
      <c r="A108">
        <v>105</v>
      </c>
      <c r="B108" t="s">
        <v>557</v>
      </c>
      <c r="C108" s="451">
        <v>46176</v>
      </c>
      <c r="D108" t="s">
        <v>594</v>
      </c>
      <c r="E108" t="s">
        <v>20</v>
      </c>
      <c r="F108">
        <v>1301.71</v>
      </c>
      <c r="G108">
        <v>0</v>
      </c>
      <c r="H108">
        <v>1301.71</v>
      </c>
    </row>
    <row r="109" spans="1:8" x14ac:dyDescent="0.3">
      <c r="A109">
        <v>105</v>
      </c>
      <c r="B109" t="s">
        <v>557</v>
      </c>
      <c r="C109" s="451">
        <v>46175</v>
      </c>
      <c r="D109" t="s">
        <v>594</v>
      </c>
      <c r="E109" t="s">
        <v>3904</v>
      </c>
      <c r="F109">
        <v>730.9</v>
      </c>
      <c r="G109">
        <v>19.41</v>
      </c>
      <c r="H109">
        <v>711.49</v>
      </c>
    </row>
    <row r="110" spans="1:8" x14ac:dyDescent="0.3">
      <c r="A110">
        <v>105</v>
      </c>
      <c r="B110" t="s">
        <v>557</v>
      </c>
      <c r="C110" s="451">
        <v>46175</v>
      </c>
      <c r="D110" t="s">
        <v>594</v>
      </c>
      <c r="E110" t="s">
        <v>3905</v>
      </c>
      <c r="F110">
        <v>4201.6000000000004</v>
      </c>
      <c r="G110">
        <v>234.29</v>
      </c>
      <c r="H110">
        <v>3967.31</v>
      </c>
    </row>
    <row r="111" spans="1:8" x14ac:dyDescent="0.3">
      <c r="A111">
        <v>105</v>
      </c>
      <c r="B111" t="s">
        <v>557</v>
      </c>
      <c r="C111" s="451">
        <v>46175</v>
      </c>
      <c r="D111" t="s">
        <v>594</v>
      </c>
      <c r="E111" t="s">
        <v>20</v>
      </c>
      <c r="F111">
        <v>603.22</v>
      </c>
      <c r="G111">
        <v>0</v>
      </c>
      <c r="H111">
        <v>603.22</v>
      </c>
    </row>
    <row r="112" spans="1:8" x14ac:dyDescent="0.3">
      <c r="A112">
        <v>105</v>
      </c>
      <c r="B112" t="s">
        <v>557</v>
      </c>
      <c r="C112" s="451">
        <v>46174</v>
      </c>
      <c r="D112" t="s">
        <v>594</v>
      </c>
      <c r="E112" t="s">
        <v>3905</v>
      </c>
      <c r="F112">
        <v>4959.8</v>
      </c>
      <c r="G112">
        <v>1253.06</v>
      </c>
      <c r="H112">
        <v>3706.74</v>
      </c>
    </row>
    <row r="113" spans="1:8" x14ac:dyDescent="0.3">
      <c r="A113">
        <v>105</v>
      </c>
      <c r="B113" t="s">
        <v>557</v>
      </c>
      <c r="C113" s="451">
        <v>46174</v>
      </c>
      <c r="D113" t="s">
        <v>594</v>
      </c>
      <c r="E113" t="s">
        <v>3904</v>
      </c>
      <c r="F113">
        <v>455.8</v>
      </c>
      <c r="G113">
        <v>45.48</v>
      </c>
      <c r="H113">
        <v>410.32</v>
      </c>
    </row>
    <row r="114" spans="1:8" x14ac:dyDescent="0.3">
      <c r="A114">
        <v>105</v>
      </c>
      <c r="B114" t="s">
        <v>557</v>
      </c>
      <c r="C114" s="451">
        <v>46174</v>
      </c>
      <c r="D114" t="s">
        <v>594</v>
      </c>
      <c r="E114" t="s">
        <v>20</v>
      </c>
      <c r="F114">
        <v>541.72</v>
      </c>
      <c r="G114">
        <v>0</v>
      </c>
      <c r="H114">
        <v>541.72</v>
      </c>
    </row>
    <row r="115" spans="1:8" x14ac:dyDescent="0.3">
      <c r="A115">
        <v>105</v>
      </c>
      <c r="B115" t="s">
        <v>557</v>
      </c>
      <c r="C115" s="451">
        <v>46173</v>
      </c>
      <c r="D115" t="s">
        <v>592</v>
      </c>
      <c r="E115" t="s">
        <v>3905</v>
      </c>
      <c r="F115">
        <v>7090</v>
      </c>
      <c r="G115">
        <v>1015.07</v>
      </c>
      <c r="H115">
        <v>6074.93</v>
      </c>
    </row>
    <row r="116" spans="1:8" x14ac:dyDescent="0.3">
      <c r="A116">
        <v>105</v>
      </c>
      <c r="B116" t="s">
        <v>557</v>
      </c>
      <c r="C116" s="451">
        <v>46173</v>
      </c>
      <c r="D116" t="s">
        <v>592</v>
      </c>
      <c r="E116" t="s">
        <v>3904</v>
      </c>
      <c r="F116">
        <v>5674.1</v>
      </c>
      <c r="G116">
        <v>1269.73</v>
      </c>
      <c r="H116">
        <v>4404.37</v>
      </c>
    </row>
    <row r="117" spans="1:8" x14ac:dyDescent="0.3">
      <c r="A117">
        <v>105</v>
      </c>
      <c r="B117" t="s">
        <v>557</v>
      </c>
      <c r="C117" s="451">
        <v>46173</v>
      </c>
      <c r="D117" t="s">
        <v>592</v>
      </c>
      <c r="E117" t="s">
        <v>20</v>
      </c>
      <c r="F117">
        <v>1435.72</v>
      </c>
      <c r="G117">
        <v>0</v>
      </c>
      <c r="H117">
        <v>1435.72</v>
      </c>
    </row>
    <row r="118" spans="1:8" x14ac:dyDescent="0.3">
      <c r="A118">
        <v>105</v>
      </c>
      <c r="B118" t="s">
        <v>557</v>
      </c>
      <c r="C118" s="451">
        <v>46172</v>
      </c>
      <c r="D118" t="s">
        <v>592</v>
      </c>
      <c r="E118" t="s">
        <v>3905</v>
      </c>
      <c r="F118">
        <v>9880</v>
      </c>
      <c r="G118">
        <v>265.06</v>
      </c>
      <c r="H118">
        <v>9614.94</v>
      </c>
    </row>
    <row r="119" spans="1:8" x14ac:dyDescent="0.3">
      <c r="A119">
        <v>105</v>
      </c>
      <c r="B119" t="s">
        <v>557</v>
      </c>
      <c r="C119" s="451">
        <v>46172</v>
      </c>
      <c r="D119" t="s">
        <v>592</v>
      </c>
      <c r="E119" t="s">
        <v>3904</v>
      </c>
      <c r="F119">
        <v>7689.2</v>
      </c>
      <c r="G119">
        <v>414.28</v>
      </c>
      <c r="H119">
        <v>7274.92</v>
      </c>
    </row>
    <row r="120" spans="1:8" x14ac:dyDescent="0.3">
      <c r="A120">
        <v>105</v>
      </c>
      <c r="B120" t="s">
        <v>557</v>
      </c>
      <c r="C120" s="451">
        <v>46172</v>
      </c>
      <c r="D120" t="s">
        <v>592</v>
      </c>
      <c r="E120" t="s">
        <v>20</v>
      </c>
      <c r="F120">
        <v>2306.42</v>
      </c>
      <c r="G120">
        <v>0</v>
      </c>
      <c r="H120">
        <v>2306.42</v>
      </c>
    </row>
    <row r="121" spans="1:8" x14ac:dyDescent="0.3">
      <c r="A121">
        <v>105</v>
      </c>
      <c r="B121" t="s">
        <v>557</v>
      </c>
      <c r="C121" s="451">
        <v>46172</v>
      </c>
      <c r="D121" t="s">
        <v>592</v>
      </c>
      <c r="E121" t="s">
        <v>3906</v>
      </c>
      <c r="F121">
        <v>765</v>
      </c>
      <c r="G121">
        <v>0</v>
      </c>
      <c r="H121">
        <v>765</v>
      </c>
    </row>
    <row r="122" spans="1:8" x14ac:dyDescent="0.3">
      <c r="A122">
        <v>105</v>
      </c>
      <c r="B122" t="s">
        <v>557</v>
      </c>
      <c r="C122" s="451">
        <v>46171</v>
      </c>
      <c r="D122" t="s">
        <v>592</v>
      </c>
      <c r="E122" t="s">
        <v>3904</v>
      </c>
      <c r="F122">
        <v>6080.4</v>
      </c>
      <c r="G122">
        <v>2450</v>
      </c>
      <c r="H122">
        <v>3630.4</v>
      </c>
    </row>
    <row r="123" spans="1:8" x14ac:dyDescent="0.3">
      <c r="A123">
        <v>105</v>
      </c>
      <c r="B123" t="s">
        <v>557</v>
      </c>
      <c r="C123" s="451">
        <v>46171</v>
      </c>
      <c r="D123" t="s">
        <v>592</v>
      </c>
      <c r="E123" t="s">
        <v>3905</v>
      </c>
      <c r="F123">
        <v>8657</v>
      </c>
      <c r="G123">
        <v>4479.7700000000004</v>
      </c>
      <c r="H123">
        <v>4177.2299999999996</v>
      </c>
    </row>
    <row r="124" spans="1:8" x14ac:dyDescent="0.3">
      <c r="A124">
        <v>105</v>
      </c>
      <c r="B124" t="s">
        <v>557</v>
      </c>
      <c r="C124" s="451">
        <v>46171</v>
      </c>
      <c r="D124" t="s">
        <v>592</v>
      </c>
      <c r="E124" t="s">
        <v>20</v>
      </c>
      <c r="F124">
        <v>983.89</v>
      </c>
      <c r="G124">
        <v>0</v>
      </c>
      <c r="H124">
        <v>983.89</v>
      </c>
    </row>
    <row r="125" spans="1:8" x14ac:dyDescent="0.3">
      <c r="A125">
        <v>105</v>
      </c>
      <c r="B125" t="s">
        <v>557</v>
      </c>
      <c r="C125" s="451">
        <v>46170</v>
      </c>
      <c r="D125" t="s">
        <v>592</v>
      </c>
      <c r="E125" t="s">
        <v>3904</v>
      </c>
      <c r="F125">
        <v>1221.3</v>
      </c>
      <c r="G125">
        <v>35.65</v>
      </c>
      <c r="H125">
        <v>1185.6500000000001</v>
      </c>
    </row>
    <row r="126" spans="1:8" x14ac:dyDescent="0.3">
      <c r="A126">
        <v>105</v>
      </c>
      <c r="B126" t="s">
        <v>557</v>
      </c>
      <c r="C126" s="451">
        <v>46170</v>
      </c>
      <c r="D126" t="s">
        <v>592</v>
      </c>
      <c r="E126" t="s">
        <v>3905</v>
      </c>
      <c r="F126">
        <v>5363.3</v>
      </c>
      <c r="G126">
        <v>360.4</v>
      </c>
      <c r="H126">
        <v>5002.8999999999996</v>
      </c>
    </row>
    <row r="127" spans="1:8" x14ac:dyDescent="0.3">
      <c r="A127">
        <v>105</v>
      </c>
      <c r="B127" t="s">
        <v>557</v>
      </c>
      <c r="C127" s="451">
        <v>46170</v>
      </c>
      <c r="D127" t="s">
        <v>592</v>
      </c>
      <c r="E127" t="s">
        <v>20</v>
      </c>
      <c r="F127">
        <v>658.96</v>
      </c>
      <c r="G127">
        <v>0</v>
      </c>
      <c r="H127">
        <v>658.96</v>
      </c>
    </row>
    <row r="128" spans="1:8" x14ac:dyDescent="0.3">
      <c r="A128">
        <v>105</v>
      </c>
      <c r="B128" t="s">
        <v>557</v>
      </c>
      <c r="C128" s="451">
        <v>46169</v>
      </c>
      <c r="D128" t="s">
        <v>592</v>
      </c>
      <c r="E128" t="s">
        <v>3904</v>
      </c>
      <c r="F128">
        <v>2486.1999999999998</v>
      </c>
      <c r="G128">
        <v>4.2</v>
      </c>
      <c r="H128">
        <v>2482</v>
      </c>
    </row>
    <row r="129" spans="1:8" x14ac:dyDescent="0.3">
      <c r="A129">
        <v>105</v>
      </c>
      <c r="B129" t="s">
        <v>557</v>
      </c>
      <c r="C129" s="451">
        <v>46169</v>
      </c>
      <c r="D129" t="s">
        <v>592</v>
      </c>
      <c r="E129" t="s">
        <v>3905</v>
      </c>
      <c r="F129">
        <v>5312.4</v>
      </c>
      <c r="G129">
        <v>275.8</v>
      </c>
      <c r="H129">
        <v>5036.6000000000004</v>
      </c>
    </row>
    <row r="130" spans="1:8" x14ac:dyDescent="0.3">
      <c r="A130">
        <v>105</v>
      </c>
      <c r="B130" t="s">
        <v>557</v>
      </c>
      <c r="C130" s="451">
        <v>46169</v>
      </c>
      <c r="D130" t="s">
        <v>592</v>
      </c>
      <c r="E130" t="s">
        <v>20</v>
      </c>
      <c r="F130">
        <v>959.08</v>
      </c>
      <c r="G130">
        <v>0</v>
      </c>
      <c r="H130">
        <v>959.08</v>
      </c>
    </row>
    <row r="131" spans="1:8" x14ac:dyDescent="0.3">
      <c r="A131">
        <v>105</v>
      </c>
      <c r="B131" t="s">
        <v>557</v>
      </c>
      <c r="C131" s="451">
        <v>46168</v>
      </c>
      <c r="D131" t="s">
        <v>592</v>
      </c>
      <c r="E131" t="s">
        <v>3904</v>
      </c>
      <c r="F131">
        <v>594.79999999999995</v>
      </c>
      <c r="G131">
        <v>1.78</v>
      </c>
      <c r="H131">
        <v>593.02</v>
      </c>
    </row>
    <row r="132" spans="1:8" x14ac:dyDescent="0.3">
      <c r="A132">
        <v>105</v>
      </c>
      <c r="B132" t="s">
        <v>557</v>
      </c>
      <c r="C132" s="451">
        <v>46168</v>
      </c>
      <c r="D132" t="s">
        <v>592</v>
      </c>
      <c r="E132" t="s">
        <v>3905</v>
      </c>
      <c r="F132">
        <v>3576.7</v>
      </c>
      <c r="G132">
        <v>34.22</v>
      </c>
      <c r="H132">
        <v>3542.48</v>
      </c>
    </row>
    <row r="133" spans="1:8" x14ac:dyDescent="0.3">
      <c r="A133">
        <v>105</v>
      </c>
      <c r="B133" t="s">
        <v>557</v>
      </c>
      <c r="C133" s="451">
        <v>46168</v>
      </c>
      <c r="D133" t="s">
        <v>592</v>
      </c>
      <c r="E133" t="s">
        <v>20</v>
      </c>
      <c r="F133">
        <v>337.39</v>
      </c>
      <c r="G133">
        <v>0</v>
      </c>
      <c r="H133">
        <v>337.39</v>
      </c>
    </row>
    <row r="134" spans="1:8" x14ac:dyDescent="0.3">
      <c r="A134">
        <v>105</v>
      </c>
      <c r="B134" t="s">
        <v>557</v>
      </c>
      <c r="C134" s="451">
        <v>46167</v>
      </c>
      <c r="D134" t="s">
        <v>592</v>
      </c>
      <c r="E134" t="s">
        <v>3905</v>
      </c>
      <c r="F134">
        <v>4169.3999999999996</v>
      </c>
      <c r="G134">
        <v>145.34</v>
      </c>
      <c r="H134">
        <v>4024.06</v>
      </c>
    </row>
    <row r="135" spans="1:8" x14ac:dyDescent="0.3">
      <c r="A135">
        <v>105</v>
      </c>
      <c r="B135" t="s">
        <v>557</v>
      </c>
      <c r="C135" s="451">
        <v>46167</v>
      </c>
      <c r="D135" t="s">
        <v>592</v>
      </c>
      <c r="E135" t="s">
        <v>3904</v>
      </c>
      <c r="F135">
        <v>709.9</v>
      </c>
      <c r="G135">
        <v>18.149999999999999</v>
      </c>
      <c r="H135">
        <v>691.75</v>
      </c>
    </row>
    <row r="136" spans="1:8" x14ac:dyDescent="0.3">
      <c r="A136">
        <v>105</v>
      </c>
      <c r="B136" t="s">
        <v>557</v>
      </c>
      <c r="C136" s="451">
        <v>46167</v>
      </c>
      <c r="D136" t="s">
        <v>592</v>
      </c>
      <c r="E136" t="s">
        <v>20</v>
      </c>
      <c r="F136">
        <v>606.59</v>
      </c>
      <c r="G136">
        <v>0</v>
      </c>
      <c r="H136">
        <v>606.59</v>
      </c>
    </row>
    <row r="137" spans="1:8" x14ac:dyDescent="0.3">
      <c r="A137">
        <v>105</v>
      </c>
      <c r="B137" t="s">
        <v>557</v>
      </c>
      <c r="C137" s="451">
        <v>46166</v>
      </c>
      <c r="D137" t="s">
        <v>592</v>
      </c>
      <c r="E137" t="s">
        <v>3905</v>
      </c>
      <c r="F137">
        <v>6512.5</v>
      </c>
      <c r="G137">
        <v>688.54</v>
      </c>
      <c r="H137">
        <v>5823.96</v>
      </c>
    </row>
    <row r="138" spans="1:8" x14ac:dyDescent="0.3">
      <c r="A138">
        <v>105</v>
      </c>
      <c r="B138" t="s">
        <v>557</v>
      </c>
      <c r="C138" s="451">
        <v>46166</v>
      </c>
      <c r="D138" t="s">
        <v>592</v>
      </c>
      <c r="E138" t="s">
        <v>3904</v>
      </c>
      <c r="F138">
        <v>1906.2</v>
      </c>
      <c r="G138">
        <v>71.510000000000005</v>
      </c>
      <c r="H138">
        <v>1834.69</v>
      </c>
    </row>
    <row r="139" spans="1:8" x14ac:dyDescent="0.3">
      <c r="A139">
        <v>105</v>
      </c>
      <c r="B139" t="s">
        <v>557</v>
      </c>
      <c r="C139" s="451">
        <v>46166</v>
      </c>
      <c r="D139" t="s">
        <v>592</v>
      </c>
      <c r="E139" t="s">
        <v>20</v>
      </c>
      <c r="F139">
        <v>984.82</v>
      </c>
      <c r="G139">
        <v>0</v>
      </c>
      <c r="H139">
        <v>984.82</v>
      </c>
    </row>
    <row r="140" spans="1:8" x14ac:dyDescent="0.3">
      <c r="A140">
        <v>105</v>
      </c>
      <c r="B140" t="s">
        <v>557</v>
      </c>
      <c r="C140" s="451">
        <v>46165</v>
      </c>
      <c r="D140" t="s">
        <v>592</v>
      </c>
      <c r="E140" t="s">
        <v>3904</v>
      </c>
      <c r="F140">
        <v>8071.2</v>
      </c>
      <c r="G140">
        <v>335.35</v>
      </c>
      <c r="H140">
        <v>7735.85</v>
      </c>
    </row>
    <row r="141" spans="1:8" x14ac:dyDescent="0.3">
      <c r="A141">
        <v>105</v>
      </c>
      <c r="B141" t="s">
        <v>557</v>
      </c>
      <c r="C141" s="451">
        <v>46165</v>
      </c>
      <c r="D141" t="s">
        <v>592</v>
      </c>
      <c r="E141" t="s">
        <v>3905</v>
      </c>
      <c r="F141">
        <v>11988.5</v>
      </c>
      <c r="G141">
        <v>602.95000000000005</v>
      </c>
      <c r="H141">
        <v>11385.55</v>
      </c>
    </row>
    <row r="142" spans="1:8" x14ac:dyDescent="0.3">
      <c r="A142">
        <v>105</v>
      </c>
      <c r="B142" t="s">
        <v>557</v>
      </c>
      <c r="C142" s="451">
        <v>46165</v>
      </c>
      <c r="D142" t="s">
        <v>592</v>
      </c>
      <c r="E142" t="s">
        <v>3906</v>
      </c>
      <c r="F142">
        <v>760</v>
      </c>
      <c r="G142">
        <v>50</v>
      </c>
      <c r="H142">
        <v>710</v>
      </c>
    </row>
    <row r="143" spans="1:8" x14ac:dyDescent="0.3">
      <c r="A143">
        <v>105</v>
      </c>
      <c r="B143" t="s">
        <v>557</v>
      </c>
      <c r="C143" s="451">
        <v>46165</v>
      </c>
      <c r="D143" t="s">
        <v>592</v>
      </c>
      <c r="E143" t="s">
        <v>20</v>
      </c>
      <c r="F143">
        <v>2429.8000000000002</v>
      </c>
      <c r="G143">
        <v>0</v>
      </c>
      <c r="H143">
        <v>2429.8000000000002</v>
      </c>
    </row>
    <row r="144" spans="1:8" x14ac:dyDescent="0.3">
      <c r="A144">
        <v>105</v>
      </c>
      <c r="B144" t="s">
        <v>557</v>
      </c>
      <c r="C144" s="451">
        <v>46164</v>
      </c>
      <c r="D144" t="s">
        <v>592</v>
      </c>
      <c r="E144" t="s">
        <v>3904</v>
      </c>
      <c r="F144">
        <v>628.4</v>
      </c>
      <c r="G144">
        <v>22</v>
      </c>
      <c r="H144">
        <v>606.4</v>
      </c>
    </row>
    <row r="145" spans="1:8" x14ac:dyDescent="0.3">
      <c r="A145">
        <v>105</v>
      </c>
      <c r="B145" t="s">
        <v>557</v>
      </c>
      <c r="C145" s="451">
        <v>46164</v>
      </c>
      <c r="D145" t="s">
        <v>592</v>
      </c>
      <c r="E145" t="s">
        <v>3905</v>
      </c>
      <c r="F145">
        <v>2499.6</v>
      </c>
      <c r="G145">
        <v>264.77</v>
      </c>
      <c r="H145">
        <v>2234.83</v>
      </c>
    </row>
    <row r="146" spans="1:8" x14ac:dyDescent="0.3">
      <c r="A146">
        <v>105</v>
      </c>
      <c r="B146" t="s">
        <v>557</v>
      </c>
      <c r="C146" s="451">
        <v>46164</v>
      </c>
      <c r="D146" t="s">
        <v>592</v>
      </c>
      <c r="E146" t="s">
        <v>20</v>
      </c>
      <c r="F146">
        <v>359.94</v>
      </c>
      <c r="G146">
        <v>0</v>
      </c>
      <c r="H146">
        <v>359.94</v>
      </c>
    </row>
    <row r="147" spans="1:8" x14ac:dyDescent="0.3">
      <c r="A147">
        <v>105</v>
      </c>
      <c r="B147" t="s">
        <v>557</v>
      </c>
      <c r="C147" s="451">
        <v>46163</v>
      </c>
      <c r="D147" t="s">
        <v>592</v>
      </c>
      <c r="E147" t="s">
        <v>3904</v>
      </c>
      <c r="F147">
        <v>1167.8</v>
      </c>
      <c r="G147">
        <v>12.65</v>
      </c>
      <c r="H147">
        <v>1155.1500000000001</v>
      </c>
    </row>
    <row r="148" spans="1:8" x14ac:dyDescent="0.3">
      <c r="A148">
        <v>105</v>
      </c>
      <c r="B148" t="s">
        <v>557</v>
      </c>
      <c r="C148" s="451">
        <v>46163</v>
      </c>
      <c r="D148" t="s">
        <v>592</v>
      </c>
      <c r="E148" t="s">
        <v>3905</v>
      </c>
      <c r="F148">
        <v>5070.8</v>
      </c>
      <c r="G148">
        <v>129.74</v>
      </c>
      <c r="H148">
        <v>4941.0600000000004</v>
      </c>
    </row>
    <row r="149" spans="1:8" x14ac:dyDescent="0.3">
      <c r="A149">
        <v>105</v>
      </c>
      <c r="B149" t="s">
        <v>557</v>
      </c>
      <c r="C149" s="451">
        <v>46163</v>
      </c>
      <c r="D149" t="s">
        <v>592</v>
      </c>
      <c r="E149" t="s">
        <v>20</v>
      </c>
      <c r="F149">
        <v>789.97</v>
      </c>
      <c r="G149">
        <v>0</v>
      </c>
      <c r="H149">
        <v>789.97</v>
      </c>
    </row>
    <row r="150" spans="1:8" x14ac:dyDescent="0.3">
      <c r="A150">
        <v>105</v>
      </c>
      <c r="B150" t="s">
        <v>557</v>
      </c>
      <c r="C150" s="451">
        <v>46162</v>
      </c>
      <c r="D150" t="s">
        <v>592</v>
      </c>
      <c r="E150" t="s">
        <v>3904</v>
      </c>
      <c r="F150">
        <v>1199.9000000000001</v>
      </c>
      <c r="G150">
        <v>28</v>
      </c>
      <c r="H150">
        <v>1171.9000000000001</v>
      </c>
    </row>
    <row r="151" spans="1:8" x14ac:dyDescent="0.3">
      <c r="A151">
        <v>105</v>
      </c>
      <c r="B151" t="s">
        <v>557</v>
      </c>
      <c r="C151" s="451">
        <v>46162</v>
      </c>
      <c r="D151" t="s">
        <v>592</v>
      </c>
      <c r="E151" t="s">
        <v>3905</v>
      </c>
      <c r="F151">
        <v>3797.7</v>
      </c>
      <c r="G151">
        <v>147.22999999999999</v>
      </c>
      <c r="H151">
        <v>3650.47</v>
      </c>
    </row>
    <row r="152" spans="1:8" x14ac:dyDescent="0.3">
      <c r="A152">
        <v>105</v>
      </c>
      <c r="B152" t="s">
        <v>557</v>
      </c>
      <c r="C152" s="451">
        <v>46162</v>
      </c>
      <c r="D152" t="s">
        <v>592</v>
      </c>
      <c r="E152" t="s">
        <v>20</v>
      </c>
      <c r="F152">
        <v>617.62</v>
      </c>
      <c r="G152">
        <v>0</v>
      </c>
      <c r="H152">
        <v>617.62</v>
      </c>
    </row>
    <row r="153" spans="1:8" x14ac:dyDescent="0.3">
      <c r="A153">
        <v>105</v>
      </c>
      <c r="B153" t="s">
        <v>557</v>
      </c>
      <c r="C153" s="451">
        <v>46161</v>
      </c>
      <c r="D153" t="s">
        <v>592</v>
      </c>
      <c r="E153" t="s">
        <v>3904</v>
      </c>
      <c r="F153">
        <v>348.9</v>
      </c>
      <c r="G153">
        <v>35.729999999999997</v>
      </c>
      <c r="H153">
        <v>313.17</v>
      </c>
    </row>
    <row r="154" spans="1:8" x14ac:dyDescent="0.3">
      <c r="A154">
        <v>105</v>
      </c>
      <c r="B154" t="s">
        <v>557</v>
      </c>
      <c r="C154" s="451">
        <v>46161</v>
      </c>
      <c r="D154" t="s">
        <v>592</v>
      </c>
      <c r="E154" t="s">
        <v>3905</v>
      </c>
      <c r="F154">
        <v>2120.9</v>
      </c>
      <c r="G154">
        <v>83.14</v>
      </c>
      <c r="H154">
        <v>2037.76</v>
      </c>
    </row>
    <row r="155" spans="1:8" x14ac:dyDescent="0.3">
      <c r="A155">
        <v>105</v>
      </c>
      <c r="B155" t="s">
        <v>557</v>
      </c>
      <c r="C155" s="451">
        <v>46161</v>
      </c>
      <c r="D155" t="s">
        <v>592</v>
      </c>
      <c r="E155" t="s">
        <v>20</v>
      </c>
      <c r="F155">
        <v>305.54000000000002</v>
      </c>
      <c r="G155">
        <v>0</v>
      </c>
      <c r="H155">
        <v>305.54000000000002</v>
      </c>
    </row>
    <row r="156" spans="1:8" x14ac:dyDescent="0.3">
      <c r="A156">
        <v>105</v>
      </c>
      <c r="B156" t="s">
        <v>557</v>
      </c>
      <c r="C156" s="451">
        <v>46160</v>
      </c>
      <c r="D156" t="s">
        <v>592</v>
      </c>
      <c r="E156" t="s">
        <v>3905</v>
      </c>
      <c r="F156">
        <v>878</v>
      </c>
      <c r="G156">
        <v>64.900000000000006</v>
      </c>
      <c r="H156">
        <v>813.1</v>
      </c>
    </row>
    <row r="157" spans="1:8" x14ac:dyDescent="0.3">
      <c r="A157">
        <v>105</v>
      </c>
      <c r="B157" t="s">
        <v>557</v>
      </c>
      <c r="C157" s="451">
        <v>46160</v>
      </c>
      <c r="D157" t="s">
        <v>592</v>
      </c>
      <c r="E157" t="s">
        <v>3904</v>
      </c>
      <c r="F157">
        <v>86.8</v>
      </c>
      <c r="G157">
        <v>0</v>
      </c>
      <c r="H157">
        <v>86.8</v>
      </c>
    </row>
    <row r="158" spans="1:8" x14ac:dyDescent="0.3">
      <c r="A158">
        <v>105</v>
      </c>
      <c r="B158" t="s">
        <v>557</v>
      </c>
      <c r="C158" s="451">
        <v>46160</v>
      </c>
      <c r="D158" t="s">
        <v>592</v>
      </c>
      <c r="E158" t="s">
        <v>20</v>
      </c>
      <c r="F158">
        <v>116.94</v>
      </c>
      <c r="G158">
        <v>0</v>
      </c>
      <c r="H158">
        <v>116.94</v>
      </c>
    </row>
    <row r="159" spans="1:8" x14ac:dyDescent="0.3">
      <c r="A159">
        <v>105</v>
      </c>
      <c r="B159" t="s">
        <v>557</v>
      </c>
      <c r="C159" s="451">
        <v>46159</v>
      </c>
      <c r="D159" t="s">
        <v>592</v>
      </c>
      <c r="E159" t="s">
        <v>3905</v>
      </c>
      <c r="F159">
        <v>4799</v>
      </c>
      <c r="G159">
        <v>475.04</v>
      </c>
      <c r="H159">
        <v>4323.96</v>
      </c>
    </row>
    <row r="160" spans="1:8" x14ac:dyDescent="0.3">
      <c r="A160">
        <v>105</v>
      </c>
      <c r="B160" t="s">
        <v>557</v>
      </c>
      <c r="C160" s="451">
        <v>46159</v>
      </c>
      <c r="D160" t="s">
        <v>592</v>
      </c>
      <c r="E160" t="s">
        <v>3904</v>
      </c>
      <c r="F160">
        <v>2368.3000000000002</v>
      </c>
      <c r="G160">
        <v>92.66</v>
      </c>
      <c r="H160">
        <v>2275.64</v>
      </c>
    </row>
    <row r="161" spans="1:8" x14ac:dyDescent="0.3">
      <c r="A161">
        <v>105</v>
      </c>
      <c r="B161" t="s">
        <v>557</v>
      </c>
      <c r="C161" s="451">
        <v>46159</v>
      </c>
      <c r="D161" t="s">
        <v>592</v>
      </c>
      <c r="E161" t="s">
        <v>20</v>
      </c>
      <c r="F161">
        <v>848.68</v>
      </c>
      <c r="G161">
        <v>0</v>
      </c>
      <c r="H161">
        <v>848.68</v>
      </c>
    </row>
    <row r="162" spans="1:8" x14ac:dyDescent="0.3">
      <c r="A162">
        <v>105</v>
      </c>
      <c r="B162" t="s">
        <v>557</v>
      </c>
      <c r="C162" s="451">
        <v>46158</v>
      </c>
      <c r="D162" t="s">
        <v>592</v>
      </c>
      <c r="E162" t="s">
        <v>3905</v>
      </c>
      <c r="F162">
        <v>19361.3</v>
      </c>
      <c r="G162">
        <v>3041.4</v>
      </c>
      <c r="H162">
        <v>16319.9</v>
      </c>
    </row>
    <row r="163" spans="1:8" x14ac:dyDescent="0.3">
      <c r="A163">
        <v>105</v>
      </c>
      <c r="B163" t="s">
        <v>557</v>
      </c>
      <c r="C163" s="451">
        <v>46158</v>
      </c>
      <c r="D163" t="s">
        <v>592</v>
      </c>
      <c r="E163" t="s">
        <v>3904</v>
      </c>
      <c r="F163">
        <v>19618.900000000001</v>
      </c>
      <c r="G163">
        <v>1217.9000000000001</v>
      </c>
      <c r="H163">
        <v>18401</v>
      </c>
    </row>
    <row r="164" spans="1:8" x14ac:dyDescent="0.3">
      <c r="A164">
        <v>105</v>
      </c>
      <c r="B164" t="s">
        <v>557</v>
      </c>
      <c r="C164" s="451">
        <v>46158</v>
      </c>
      <c r="D164" t="s">
        <v>592</v>
      </c>
      <c r="E164" t="s">
        <v>3906</v>
      </c>
      <c r="F164">
        <v>3300</v>
      </c>
      <c r="G164">
        <v>110</v>
      </c>
      <c r="H164">
        <v>3190</v>
      </c>
    </row>
    <row r="165" spans="1:8" x14ac:dyDescent="0.3">
      <c r="A165">
        <v>105</v>
      </c>
      <c r="B165" t="s">
        <v>557</v>
      </c>
      <c r="C165" s="451">
        <v>46158</v>
      </c>
      <c r="D165" t="s">
        <v>592</v>
      </c>
      <c r="E165" t="s">
        <v>20</v>
      </c>
      <c r="F165">
        <v>4929.09</v>
      </c>
      <c r="G165">
        <v>0</v>
      </c>
      <c r="H165">
        <v>4929.09</v>
      </c>
    </row>
    <row r="166" spans="1:8" x14ac:dyDescent="0.3">
      <c r="A166">
        <v>105</v>
      </c>
      <c r="B166" t="s">
        <v>557</v>
      </c>
      <c r="C166" s="451">
        <v>46157</v>
      </c>
      <c r="D166" t="s">
        <v>592</v>
      </c>
      <c r="E166" t="s">
        <v>3904</v>
      </c>
      <c r="F166">
        <v>1081.4000000000001</v>
      </c>
      <c r="G166">
        <v>0</v>
      </c>
      <c r="H166">
        <v>1081.4000000000001</v>
      </c>
    </row>
    <row r="167" spans="1:8" x14ac:dyDescent="0.3">
      <c r="A167">
        <v>105</v>
      </c>
      <c r="B167" t="s">
        <v>557</v>
      </c>
      <c r="C167" s="451">
        <v>46157</v>
      </c>
      <c r="D167" t="s">
        <v>592</v>
      </c>
      <c r="E167" t="s">
        <v>3905</v>
      </c>
      <c r="F167">
        <v>4363.8</v>
      </c>
      <c r="G167">
        <v>64</v>
      </c>
      <c r="H167">
        <v>4299.8</v>
      </c>
    </row>
    <row r="168" spans="1:8" x14ac:dyDescent="0.3">
      <c r="A168">
        <v>105</v>
      </c>
      <c r="B168" t="s">
        <v>557</v>
      </c>
      <c r="C168" s="451">
        <v>46157</v>
      </c>
      <c r="D168" t="s">
        <v>592</v>
      </c>
      <c r="E168" t="s">
        <v>20</v>
      </c>
      <c r="F168">
        <v>699.32</v>
      </c>
      <c r="G168">
        <v>0</v>
      </c>
      <c r="H168">
        <v>699.32</v>
      </c>
    </row>
    <row r="169" spans="1:8" x14ac:dyDescent="0.3">
      <c r="A169">
        <v>105</v>
      </c>
      <c r="B169" t="s">
        <v>557</v>
      </c>
      <c r="C169" s="451">
        <v>46156</v>
      </c>
      <c r="D169" t="s">
        <v>592</v>
      </c>
      <c r="E169" t="s">
        <v>3905</v>
      </c>
      <c r="F169">
        <v>10554.4</v>
      </c>
      <c r="G169">
        <v>439.12</v>
      </c>
      <c r="H169">
        <v>10115.280000000001</v>
      </c>
    </row>
    <row r="170" spans="1:8" x14ac:dyDescent="0.3">
      <c r="A170">
        <v>105</v>
      </c>
      <c r="B170" t="s">
        <v>557</v>
      </c>
      <c r="C170" s="451">
        <v>46156</v>
      </c>
      <c r="D170" t="s">
        <v>592</v>
      </c>
      <c r="E170" t="s">
        <v>3904</v>
      </c>
      <c r="F170">
        <v>2473.1999999999998</v>
      </c>
      <c r="G170">
        <v>81.099999999999994</v>
      </c>
      <c r="H170">
        <v>2392.1</v>
      </c>
    </row>
    <row r="171" spans="1:8" x14ac:dyDescent="0.3">
      <c r="A171">
        <v>105</v>
      </c>
      <c r="B171" t="s">
        <v>557</v>
      </c>
      <c r="C171" s="451">
        <v>46156</v>
      </c>
      <c r="D171" t="s">
        <v>592</v>
      </c>
      <c r="E171" t="s">
        <v>20</v>
      </c>
      <c r="F171">
        <v>1648.32</v>
      </c>
      <c r="G171">
        <v>0</v>
      </c>
      <c r="H171">
        <v>1648.32</v>
      </c>
    </row>
    <row r="172" spans="1:8" x14ac:dyDescent="0.3">
      <c r="A172">
        <v>105</v>
      </c>
      <c r="B172" t="s">
        <v>557</v>
      </c>
      <c r="C172" s="451">
        <v>46155</v>
      </c>
      <c r="D172" t="s">
        <v>592</v>
      </c>
      <c r="E172" t="s">
        <v>3905</v>
      </c>
      <c r="F172">
        <v>8154.2</v>
      </c>
      <c r="G172">
        <v>92.08</v>
      </c>
      <c r="H172">
        <v>8062.12</v>
      </c>
    </row>
    <row r="173" spans="1:8" x14ac:dyDescent="0.3">
      <c r="A173">
        <v>105</v>
      </c>
      <c r="B173" t="s">
        <v>557</v>
      </c>
      <c r="C173" s="451">
        <v>46155</v>
      </c>
      <c r="D173" t="s">
        <v>592</v>
      </c>
      <c r="E173" t="s">
        <v>3904</v>
      </c>
      <c r="F173">
        <v>2673.2</v>
      </c>
      <c r="G173">
        <v>17.850000000000001</v>
      </c>
      <c r="H173">
        <v>2655.35</v>
      </c>
    </row>
    <row r="174" spans="1:8" x14ac:dyDescent="0.3">
      <c r="A174">
        <v>105</v>
      </c>
      <c r="B174" t="s">
        <v>557</v>
      </c>
      <c r="C174" s="451">
        <v>46155</v>
      </c>
      <c r="D174" t="s">
        <v>592</v>
      </c>
      <c r="E174" t="s">
        <v>20</v>
      </c>
      <c r="F174">
        <v>1383.69</v>
      </c>
      <c r="G174">
        <v>0</v>
      </c>
      <c r="H174">
        <v>1383.69</v>
      </c>
    </row>
    <row r="175" spans="1:8" x14ac:dyDescent="0.3">
      <c r="A175">
        <v>105</v>
      </c>
      <c r="B175" t="s">
        <v>557</v>
      </c>
      <c r="C175" s="451">
        <v>46154</v>
      </c>
      <c r="D175" t="s">
        <v>592</v>
      </c>
      <c r="E175" t="s">
        <v>3904</v>
      </c>
      <c r="F175">
        <v>510.5</v>
      </c>
      <c r="G175">
        <v>37.68</v>
      </c>
      <c r="H175">
        <v>472.82</v>
      </c>
    </row>
    <row r="176" spans="1:8" x14ac:dyDescent="0.3">
      <c r="A176">
        <v>105</v>
      </c>
      <c r="B176" t="s">
        <v>557</v>
      </c>
      <c r="C176" s="451">
        <v>46154</v>
      </c>
      <c r="D176" t="s">
        <v>592</v>
      </c>
      <c r="E176" t="s">
        <v>3905</v>
      </c>
      <c r="F176">
        <v>3388.1</v>
      </c>
      <c r="G176">
        <v>112.07</v>
      </c>
      <c r="H176">
        <v>3276.03</v>
      </c>
    </row>
    <row r="177" spans="1:8" x14ac:dyDescent="0.3">
      <c r="A177">
        <v>105</v>
      </c>
      <c r="B177" t="s">
        <v>557</v>
      </c>
      <c r="C177" s="451">
        <v>46154</v>
      </c>
      <c r="D177" t="s">
        <v>592</v>
      </c>
      <c r="E177" t="s">
        <v>20</v>
      </c>
      <c r="F177">
        <v>495.25</v>
      </c>
      <c r="G177">
        <v>0</v>
      </c>
      <c r="H177">
        <v>495.25</v>
      </c>
    </row>
    <row r="178" spans="1:8" x14ac:dyDescent="0.3">
      <c r="A178">
        <v>105</v>
      </c>
      <c r="B178" t="s">
        <v>557</v>
      </c>
      <c r="C178" s="451">
        <v>46153</v>
      </c>
      <c r="D178" t="s">
        <v>592</v>
      </c>
      <c r="E178" t="s">
        <v>3904</v>
      </c>
      <c r="F178">
        <v>440.8</v>
      </c>
      <c r="G178">
        <v>21.4</v>
      </c>
      <c r="H178">
        <v>419.4</v>
      </c>
    </row>
    <row r="179" spans="1:8" x14ac:dyDescent="0.3">
      <c r="A179">
        <v>105</v>
      </c>
      <c r="B179" t="s">
        <v>557</v>
      </c>
      <c r="C179" s="451">
        <v>46153</v>
      </c>
      <c r="D179" t="s">
        <v>592</v>
      </c>
      <c r="E179" t="s">
        <v>3905</v>
      </c>
      <c r="F179">
        <v>3608.6</v>
      </c>
      <c r="G179">
        <v>165.37</v>
      </c>
      <c r="H179">
        <v>3443.23</v>
      </c>
    </row>
    <row r="180" spans="1:8" x14ac:dyDescent="0.3">
      <c r="A180">
        <v>105</v>
      </c>
      <c r="B180" t="s">
        <v>557</v>
      </c>
      <c r="C180" s="451">
        <v>46153</v>
      </c>
      <c r="D180" t="s">
        <v>592</v>
      </c>
      <c r="E180" t="s">
        <v>20</v>
      </c>
      <c r="F180">
        <v>489.79</v>
      </c>
      <c r="G180">
        <v>0</v>
      </c>
      <c r="H180">
        <v>489.79</v>
      </c>
    </row>
    <row r="181" spans="1:8" x14ac:dyDescent="0.3">
      <c r="A181">
        <v>105</v>
      </c>
      <c r="B181" t="s">
        <v>557</v>
      </c>
      <c r="C181" s="451">
        <v>46152</v>
      </c>
      <c r="D181" t="s">
        <v>592</v>
      </c>
      <c r="E181" t="s">
        <v>3904</v>
      </c>
      <c r="F181">
        <v>309.5</v>
      </c>
      <c r="G181">
        <v>48.25</v>
      </c>
      <c r="H181">
        <v>261.25</v>
      </c>
    </row>
    <row r="182" spans="1:8" x14ac:dyDescent="0.3">
      <c r="A182">
        <v>105</v>
      </c>
      <c r="B182" t="s">
        <v>557</v>
      </c>
      <c r="C182" s="451">
        <v>46152</v>
      </c>
      <c r="D182" t="s">
        <v>592</v>
      </c>
      <c r="E182" t="s">
        <v>3905</v>
      </c>
      <c r="F182">
        <v>1641</v>
      </c>
      <c r="G182">
        <v>219.18</v>
      </c>
      <c r="H182">
        <v>1421.82</v>
      </c>
    </row>
    <row r="183" spans="1:8" x14ac:dyDescent="0.3">
      <c r="A183">
        <v>105</v>
      </c>
      <c r="B183" t="s">
        <v>557</v>
      </c>
      <c r="C183" s="451">
        <v>46152</v>
      </c>
      <c r="D183" t="s">
        <v>592</v>
      </c>
      <c r="E183" t="s">
        <v>20</v>
      </c>
      <c r="F183">
        <v>180.36</v>
      </c>
      <c r="G183">
        <v>0</v>
      </c>
      <c r="H183">
        <v>180.36</v>
      </c>
    </row>
    <row r="184" spans="1:8" x14ac:dyDescent="0.3">
      <c r="A184">
        <v>105</v>
      </c>
      <c r="B184" t="s">
        <v>557</v>
      </c>
      <c r="C184" s="451">
        <v>46151</v>
      </c>
      <c r="D184" t="s">
        <v>592</v>
      </c>
      <c r="E184" t="s">
        <v>3905</v>
      </c>
      <c r="F184">
        <v>15235</v>
      </c>
      <c r="G184">
        <v>696.28</v>
      </c>
      <c r="H184">
        <v>14538.72</v>
      </c>
    </row>
    <row r="185" spans="1:8" x14ac:dyDescent="0.3">
      <c r="A185">
        <v>105</v>
      </c>
      <c r="B185" t="s">
        <v>557</v>
      </c>
      <c r="C185" s="451">
        <v>46151</v>
      </c>
      <c r="D185" t="s">
        <v>592</v>
      </c>
      <c r="E185" t="s">
        <v>3904</v>
      </c>
      <c r="F185">
        <v>11358.3</v>
      </c>
      <c r="G185">
        <v>392.68</v>
      </c>
      <c r="H185">
        <v>10965.62</v>
      </c>
    </row>
    <row r="186" spans="1:8" x14ac:dyDescent="0.3">
      <c r="A186">
        <v>105</v>
      </c>
      <c r="B186" t="s">
        <v>557</v>
      </c>
      <c r="C186" s="451">
        <v>46151</v>
      </c>
      <c r="D186" t="s">
        <v>592</v>
      </c>
      <c r="E186" t="s">
        <v>3906</v>
      </c>
      <c r="F186">
        <v>1245</v>
      </c>
      <c r="G186">
        <v>60</v>
      </c>
      <c r="H186">
        <v>1185</v>
      </c>
    </row>
    <row r="187" spans="1:8" x14ac:dyDescent="0.3">
      <c r="A187">
        <v>105</v>
      </c>
      <c r="B187" t="s">
        <v>557</v>
      </c>
      <c r="C187" s="451">
        <v>46151</v>
      </c>
      <c r="D187" t="s">
        <v>592</v>
      </c>
      <c r="E187" t="s">
        <v>20</v>
      </c>
      <c r="F187">
        <v>3367.38</v>
      </c>
      <c r="G187">
        <v>0</v>
      </c>
      <c r="H187">
        <v>3367.38</v>
      </c>
    </row>
    <row r="188" spans="1:8" x14ac:dyDescent="0.3">
      <c r="A188">
        <v>105</v>
      </c>
      <c r="B188" t="s">
        <v>557</v>
      </c>
      <c r="C188" s="451">
        <v>46150</v>
      </c>
      <c r="D188" t="s">
        <v>592</v>
      </c>
      <c r="E188" t="s">
        <v>3904</v>
      </c>
      <c r="F188">
        <v>2168.1</v>
      </c>
      <c r="G188">
        <v>54.36</v>
      </c>
      <c r="H188">
        <v>2113.7399999999998</v>
      </c>
    </row>
    <row r="189" spans="1:8" x14ac:dyDescent="0.3">
      <c r="A189">
        <v>105</v>
      </c>
      <c r="B189" t="s">
        <v>557</v>
      </c>
      <c r="C189" s="451">
        <v>46150</v>
      </c>
      <c r="D189" t="s">
        <v>592</v>
      </c>
      <c r="E189" t="s">
        <v>3905</v>
      </c>
      <c r="F189">
        <v>4747.3999999999996</v>
      </c>
      <c r="G189">
        <v>319.94</v>
      </c>
      <c r="H189">
        <v>4427.46</v>
      </c>
    </row>
    <row r="190" spans="1:8" x14ac:dyDescent="0.3">
      <c r="A190">
        <v>105</v>
      </c>
      <c r="B190" t="s">
        <v>557</v>
      </c>
      <c r="C190" s="451">
        <v>46150</v>
      </c>
      <c r="D190" t="s">
        <v>592</v>
      </c>
      <c r="E190" t="s">
        <v>20</v>
      </c>
      <c r="F190">
        <v>859.05</v>
      </c>
      <c r="G190">
        <v>0</v>
      </c>
      <c r="H190">
        <v>859.05</v>
      </c>
    </row>
    <row r="191" spans="1:8" x14ac:dyDescent="0.3">
      <c r="A191">
        <v>105</v>
      </c>
      <c r="B191" t="s">
        <v>557</v>
      </c>
      <c r="C191" s="451">
        <v>46149</v>
      </c>
      <c r="D191" t="s">
        <v>592</v>
      </c>
      <c r="E191" t="s">
        <v>3904</v>
      </c>
      <c r="F191">
        <v>2007.5</v>
      </c>
      <c r="G191">
        <v>106.5</v>
      </c>
      <c r="H191">
        <v>1901</v>
      </c>
    </row>
    <row r="192" spans="1:8" x14ac:dyDescent="0.3">
      <c r="A192">
        <v>105</v>
      </c>
      <c r="B192" t="s">
        <v>557</v>
      </c>
      <c r="C192" s="451">
        <v>46149</v>
      </c>
      <c r="D192" t="s">
        <v>592</v>
      </c>
      <c r="E192" t="s">
        <v>3905</v>
      </c>
      <c r="F192">
        <v>6696</v>
      </c>
      <c r="G192">
        <v>115.89</v>
      </c>
      <c r="H192">
        <v>6580.11</v>
      </c>
    </row>
    <row r="193" spans="1:8" x14ac:dyDescent="0.3">
      <c r="A193">
        <v>105</v>
      </c>
      <c r="B193" t="s">
        <v>557</v>
      </c>
      <c r="C193" s="451">
        <v>46149</v>
      </c>
      <c r="D193" t="s">
        <v>592</v>
      </c>
      <c r="E193" t="s">
        <v>20</v>
      </c>
      <c r="F193">
        <v>1113</v>
      </c>
      <c r="G193">
        <v>0</v>
      </c>
      <c r="H193">
        <v>1113</v>
      </c>
    </row>
    <row r="194" spans="1:8" x14ac:dyDescent="0.3">
      <c r="A194">
        <v>105</v>
      </c>
      <c r="B194" t="s">
        <v>557</v>
      </c>
      <c r="C194" s="451">
        <v>46148</v>
      </c>
      <c r="D194" t="s">
        <v>592</v>
      </c>
      <c r="E194" t="s">
        <v>3905</v>
      </c>
      <c r="F194">
        <v>5418.3</v>
      </c>
      <c r="G194">
        <v>323.19</v>
      </c>
      <c r="H194">
        <v>5095.1099999999997</v>
      </c>
    </row>
    <row r="195" spans="1:8" x14ac:dyDescent="0.3">
      <c r="A195">
        <v>105</v>
      </c>
      <c r="B195" t="s">
        <v>557</v>
      </c>
      <c r="C195" s="451">
        <v>46148</v>
      </c>
      <c r="D195" t="s">
        <v>592</v>
      </c>
      <c r="E195" t="s">
        <v>3904</v>
      </c>
      <c r="F195">
        <v>2426.9</v>
      </c>
      <c r="G195">
        <v>92.91</v>
      </c>
      <c r="H195">
        <v>2333.9899999999998</v>
      </c>
    </row>
    <row r="196" spans="1:8" x14ac:dyDescent="0.3">
      <c r="A196">
        <v>105</v>
      </c>
      <c r="B196" t="s">
        <v>557</v>
      </c>
      <c r="C196" s="451">
        <v>46148</v>
      </c>
      <c r="D196" t="s">
        <v>592</v>
      </c>
      <c r="E196" t="s">
        <v>20</v>
      </c>
      <c r="F196">
        <v>972.67</v>
      </c>
      <c r="G196">
        <v>0</v>
      </c>
      <c r="H196">
        <v>972.67</v>
      </c>
    </row>
    <row r="197" spans="1:8" x14ac:dyDescent="0.3">
      <c r="A197">
        <v>105</v>
      </c>
      <c r="B197" t="s">
        <v>557</v>
      </c>
      <c r="C197" s="451">
        <v>46147</v>
      </c>
      <c r="D197" t="s">
        <v>592</v>
      </c>
      <c r="E197" t="s">
        <v>3904</v>
      </c>
      <c r="F197">
        <v>584.9</v>
      </c>
      <c r="G197">
        <v>18.75</v>
      </c>
      <c r="H197">
        <v>566.15</v>
      </c>
    </row>
    <row r="198" spans="1:8" x14ac:dyDescent="0.3">
      <c r="A198">
        <v>105</v>
      </c>
      <c r="B198" t="s">
        <v>557</v>
      </c>
      <c r="C198" s="451">
        <v>46147</v>
      </c>
      <c r="D198" t="s">
        <v>592</v>
      </c>
      <c r="E198" t="s">
        <v>3905</v>
      </c>
      <c r="F198">
        <v>5181.8999999999996</v>
      </c>
      <c r="G198">
        <v>121.35</v>
      </c>
      <c r="H198">
        <v>5060.55</v>
      </c>
    </row>
    <row r="199" spans="1:8" x14ac:dyDescent="0.3">
      <c r="A199">
        <v>105</v>
      </c>
      <c r="B199" t="s">
        <v>557</v>
      </c>
      <c r="C199" s="451">
        <v>46147</v>
      </c>
      <c r="D199" t="s">
        <v>592</v>
      </c>
      <c r="E199" t="s">
        <v>20</v>
      </c>
      <c r="F199">
        <v>734.41</v>
      </c>
      <c r="G199">
        <v>0</v>
      </c>
      <c r="H199">
        <v>734.41</v>
      </c>
    </row>
    <row r="200" spans="1:8" x14ac:dyDescent="0.3">
      <c r="A200">
        <v>105</v>
      </c>
      <c r="B200" t="s">
        <v>557</v>
      </c>
      <c r="C200" s="451">
        <v>46146</v>
      </c>
      <c r="D200" t="s">
        <v>592</v>
      </c>
      <c r="E200" t="s">
        <v>3904</v>
      </c>
      <c r="F200">
        <v>236</v>
      </c>
      <c r="G200">
        <v>0</v>
      </c>
      <c r="H200">
        <v>236</v>
      </c>
    </row>
    <row r="201" spans="1:8" x14ac:dyDescent="0.3">
      <c r="A201">
        <v>105</v>
      </c>
      <c r="B201" t="s">
        <v>557</v>
      </c>
      <c r="C201" s="451">
        <v>46146</v>
      </c>
      <c r="D201" t="s">
        <v>592</v>
      </c>
      <c r="E201" t="s">
        <v>3905</v>
      </c>
      <c r="F201">
        <v>2283.8000000000002</v>
      </c>
      <c r="G201">
        <v>0</v>
      </c>
      <c r="H201">
        <v>2283.8000000000002</v>
      </c>
    </row>
    <row r="202" spans="1:8" x14ac:dyDescent="0.3">
      <c r="A202">
        <v>105</v>
      </c>
      <c r="B202" t="s">
        <v>557</v>
      </c>
      <c r="C202" s="451">
        <v>46146</v>
      </c>
      <c r="D202" t="s">
        <v>592</v>
      </c>
      <c r="E202" t="s">
        <v>20</v>
      </c>
      <c r="F202">
        <v>309.64</v>
      </c>
      <c r="G202">
        <v>0</v>
      </c>
      <c r="H202">
        <v>309.64</v>
      </c>
    </row>
    <row r="203" spans="1:8" x14ac:dyDescent="0.3">
      <c r="A203">
        <v>105</v>
      </c>
      <c r="B203" t="s">
        <v>557</v>
      </c>
      <c r="C203" s="451">
        <v>46145</v>
      </c>
      <c r="D203" t="s">
        <v>592</v>
      </c>
      <c r="E203" t="s">
        <v>3905</v>
      </c>
      <c r="F203">
        <v>4503</v>
      </c>
      <c r="G203">
        <v>785.72</v>
      </c>
      <c r="H203">
        <v>3717.28</v>
      </c>
    </row>
    <row r="204" spans="1:8" x14ac:dyDescent="0.3">
      <c r="A204">
        <v>105</v>
      </c>
      <c r="B204" t="s">
        <v>557</v>
      </c>
      <c r="C204" s="451">
        <v>46145</v>
      </c>
      <c r="D204" t="s">
        <v>592</v>
      </c>
      <c r="E204" t="s">
        <v>3904</v>
      </c>
      <c r="F204">
        <v>1052.2</v>
      </c>
      <c r="G204">
        <v>145.69</v>
      </c>
      <c r="H204">
        <v>906.51</v>
      </c>
    </row>
    <row r="205" spans="1:8" x14ac:dyDescent="0.3">
      <c r="A205">
        <v>105</v>
      </c>
      <c r="B205" t="s">
        <v>557</v>
      </c>
      <c r="C205" s="451">
        <v>46145</v>
      </c>
      <c r="D205" t="s">
        <v>592</v>
      </c>
      <c r="E205" t="s">
        <v>20</v>
      </c>
      <c r="F205">
        <v>681.77</v>
      </c>
      <c r="G205">
        <v>0</v>
      </c>
      <c r="H205">
        <v>681.77</v>
      </c>
    </row>
    <row r="206" spans="1:8" x14ac:dyDescent="0.3">
      <c r="A206">
        <v>105</v>
      </c>
      <c r="B206" t="s">
        <v>557</v>
      </c>
      <c r="C206" s="451">
        <v>46144</v>
      </c>
      <c r="D206" t="s">
        <v>592</v>
      </c>
      <c r="E206" t="s">
        <v>3904</v>
      </c>
      <c r="F206">
        <v>5065.5</v>
      </c>
      <c r="G206">
        <v>123.66</v>
      </c>
      <c r="H206">
        <v>4941.84</v>
      </c>
    </row>
    <row r="207" spans="1:8" x14ac:dyDescent="0.3">
      <c r="A207">
        <v>105</v>
      </c>
      <c r="B207" t="s">
        <v>557</v>
      </c>
      <c r="C207" s="451">
        <v>46144</v>
      </c>
      <c r="D207" t="s">
        <v>592</v>
      </c>
      <c r="E207" t="s">
        <v>3905</v>
      </c>
      <c r="F207">
        <v>12042.5</v>
      </c>
      <c r="G207">
        <v>396.84</v>
      </c>
      <c r="H207">
        <v>11645.66</v>
      </c>
    </row>
    <row r="208" spans="1:8" x14ac:dyDescent="0.3">
      <c r="A208">
        <v>105</v>
      </c>
      <c r="B208" t="s">
        <v>557</v>
      </c>
      <c r="C208" s="451">
        <v>46144</v>
      </c>
      <c r="D208" t="s">
        <v>592</v>
      </c>
      <c r="E208" t="s">
        <v>3906</v>
      </c>
      <c r="F208">
        <v>460</v>
      </c>
      <c r="G208">
        <v>0</v>
      </c>
      <c r="H208">
        <v>460</v>
      </c>
    </row>
    <row r="209" spans="1:8" x14ac:dyDescent="0.3">
      <c r="A209">
        <v>105</v>
      </c>
      <c r="B209" t="s">
        <v>557</v>
      </c>
      <c r="C209" s="451">
        <v>46144</v>
      </c>
      <c r="D209" t="s">
        <v>592</v>
      </c>
      <c r="E209" t="s">
        <v>20</v>
      </c>
      <c r="F209">
        <v>2236.36</v>
      </c>
      <c r="G209">
        <v>0</v>
      </c>
      <c r="H209">
        <v>2236.36</v>
      </c>
    </row>
    <row r="210" spans="1:8" x14ac:dyDescent="0.3">
      <c r="A210">
        <v>105</v>
      </c>
      <c r="B210" t="s">
        <v>557</v>
      </c>
      <c r="C210" s="451">
        <v>46143</v>
      </c>
      <c r="D210" t="s">
        <v>592</v>
      </c>
      <c r="E210" t="s">
        <v>3905</v>
      </c>
      <c r="F210">
        <v>12305.5</v>
      </c>
      <c r="G210">
        <v>396.51</v>
      </c>
      <c r="H210">
        <v>11908.99</v>
      </c>
    </row>
    <row r="211" spans="1:8" x14ac:dyDescent="0.3">
      <c r="A211">
        <v>105</v>
      </c>
      <c r="B211" t="s">
        <v>557</v>
      </c>
      <c r="C211" s="451">
        <v>46143</v>
      </c>
      <c r="D211" t="s">
        <v>592</v>
      </c>
      <c r="E211" t="s">
        <v>3904</v>
      </c>
      <c r="F211">
        <v>6382.4</v>
      </c>
      <c r="G211">
        <v>40.840000000000003</v>
      </c>
      <c r="H211">
        <v>6341.56</v>
      </c>
    </row>
    <row r="212" spans="1:8" x14ac:dyDescent="0.3">
      <c r="A212">
        <v>105</v>
      </c>
      <c r="B212" t="s">
        <v>557</v>
      </c>
      <c r="C212" s="451">
        <v>46143</v>
      </c>
      <c r="D212" t="s">
        <v>592</v>
      </c>
      <c r="E212" t="s">
        <v>20</v>
      </c>
      <c r="F212">
        <v>2389.73</v>
      </c>
      <c r="G212">
        <v>0</v>
      </c>
      <c r="H212">
        <v>2389.73</v>
      </c>
    </row>
    <row r="213" spans="1:8" x14ac:dyDescent="0.3">
      <c r="A213">
        <v>105</v>
      </c>
      <c r="B213" t="s">
        <v>557</v>
      </c>
      <c r="C213" s="451">
        <v>46142</v>
      </c>
      <c r="D213" t="s">
        <v>590</v>
      </c>
      <c r="E213" t="s">
        <v>3904</v>
      </c>
      <c r="F213">
        <v>1237.5999999999999</v>
      </c>
      <c r="G213">
        <v>20.2</v>
      </c>
      <c r="H213">
        <v>1217.4000000000001</v>
      </c>
    </row>
    <row r="214" spans="1:8" x14ac:dyDescent="0.3">
      <c r="A214">
        <v>105</v>
      </c>
      <c r="B214" t="s">
        <v>557</v>
      </c>
      <c r="C214" s="451">
        <v>46142</v>
      </c>
      <c r="D214" t="s">
        <v>590</v>
      </c>
      <c r="E214" t="s">
        <v>3905</v>
      </c>
      <c r="F214">
        <v>5887.1</v>
      </c>
      <c r="G214">
        <v>216.6</v>
      </c>
      <c r="H214">
        <v>5670.5</v>
      </c>
    </row>
    <row r="215" spans="1:8" x14ac:dyDescent="0.3">
      <c r="A215">
        <v>105</v>
      </c>
      <c r="B215" t="s">
        <v>557</v>
      </c>
      <c r="C215" s="451">
        <v>46142</v>
      </c>
      <c r="D215" t="s">
        <v>590</v>
      </c>
      <c r="E215" t="s">
        <v>20</v>
      </c>
      <c r="F215">
        <v>870.99</v>
      </c>
      <c r="G215">
        <v>0</v>
      </c>
      <c r="H215">
        <v>870.99</v>
      </c>
    </row>
    <row r="216" spans="1:8" x14ac:dyDescent="0.3">
      <c r="A216">
        <v>105</v>
      </c>
      <c r="B216" t="s">
        <v>557</v>
      </c>
      <c r="C216" s="451">
        <v>46141</v>
      </c>
      <c r="D216" t="s">
        <v>590</v>
      </c>
      <c r="E216" t="s">
        <v>3904</v>
      </c>
      <c r="F216">
        <v>1456.8</v>
      </c>
      <c r="G216">
        <v>69.87</v>
      </c>
      <c r="H216">
        <v>1386.93</v>
      </c>
    </row>
    <row r="217" spans="1:8" x14ac:dyDescent="0.3">
      <c r="A217">
        <v>105</v>
      </c>
      <c r="B217" t="s">
        <v>557</v>
      </c>
      <c r="C217" s="451">
        <v>46141</v>
      </c>
      <c r="D217" t="s">
        <v>590</v>
      </c>
      <c r="E217" t="s">
        <v>3905</v>
      </c>
      <c r="F217">
        <v>5475.4</v>
      </c>
      <c r="G217">
        <v>294.10000000000002</v>
      </c>
      <c r="H217">
        <v>5181.3</v>
      </c>
    </row>
    <row r="218" spans="1:8" x14ac:dyDescent="0.3">
      <c r="A218">
        <v>105</v>
      </c>
      <c r="B218" t="s">
        <v>557</v>
      </c>
      <c r="C218" s="451">
        <v>46141</v>
      </c>
      <c r="D218" t="s">
        <v>590</v>
      </c>
      <c r="E218" t="s">
        <v>20</v>
      </c>
      <c r="F218">
        <v>886.95</v>
      </c>
      <c r="G218">
        <v>0</v>
      </c>
      <c r="H218">
        <v>886.95</v>
      </c>
    </row>
    <row r="219" spans="1:8" x14ac:dyDescent="0.3">
      <c r="A219">
        <v>105</v>
      </c>
      <c r="B219" t="s">
        <v>557</v>
      </c>
      <c r="C219" s="451">
        <v>46140</v>
      </c>
      <c r="D219" t="s">
        <v>590</v>
      </c>
      <c r="E219" t="s">
        <v>3905</v>
      </c>
      <c r="F219">
        <v>5694</v>
      </c>
      <c r="G219">
        <v>342.32</v>
      </c>
      <c r="H219">
        <v>5351.68</v>
      </c>
    </row>
    <row r="220" spans="1:8" x14ac:dyDescent="0.3">
      <c r="A220">
        <v>105</v>
      </c>
      <c r="B220" t="s">
        <v>557</v>
      </c>
      <c r="C220" s="451">
        <v>46140</v>
      </c>
      <c r="D220" t="s">
        <v>590</v>
      </c>
      <c r="E220" t="s">
        <v>3904</v>
      </c>
      <c r="F220">
        <v>1248.4000000000001</v>
      </c>
      <c r="G220">
        <v>42.22</v>
      </c>
      <c r="H220">
        <v>1206.18</v>
      </c>
    </row>
    <row r="221" spans="1:8" x14ac:dyDescent="0.3">
      <c r="A221">
        <v>105</v>
      </c>
      <c r="B221" t="s">
        <v>557</v>
      </c>
      <c r="C221" s="451">
        <v>46140</v>
      </c>
      <c r="D221" t="s">
        <v>590</v>
      </c>
      <c r="E221" t="s">
        <v>20</v>
      </c>
      <c r="F221">
        <v>856.77</v>
      </c>
      <c r="G221">
        <v>0</v>
      </c>
      <c r="H221">
        <v>856.77</v>
      </c>
    </row>
    <row r="222" spans="1:8" x14ac:dyDescent="0.3">
      <c r="A222">
        <v>105</v>
      </c>
      <c r="B222" t="s">
        <v>557</v>
      </c>
      <c r="C222" s="451">
        <v>46139</v>
      </c>
      <c r="D222" t="s">
        <v>590</v>
      </c>
      <c r="E222" t="s">
        <v>3904</v>
      </c>
      <c r="F222">
        <v>643.20000000000005</v>
      </c>
      <c r="G222">
        <v>348.65</v>
      </c>
      <c r="H222">
        <v>294.55</v>
      </c>
    </row>
    <row r="223" spans="1:8" x14ac:dyDescent="0.3">
      <c r="A223">
        <v>105</v>
      </c>
      <c r="B223" t="s">
        <v>557</v>
      </c>
      <c r="C223" s="451">
        <v>46139</v>
      </c>
      <c r="D223" t="s">
        <v>590</v>
      </c>
      <c r="E223" t="s">
        <v>3905</v>
      </c>
      <c r="F223">
        <v>3152.8</v>
      </c>
      <c r="G223">
        <v>870.36</v>
      </c>
      <c r="H223">
        <v>2282.44</v>
      </c>
    </row>
    <row r="224" spans="1:8" x14ac:dyDescent="0.3">
      <c r="A224">
        <v>105</v>
      </c>
      <c r="B224" t="s">
        <v>557</v>
      </c>
      <c r="C224" s="451">
        <v>46139</v>
      </c>
      <c r="D224" t="s">
        <v>590</v>
      </c>
      <c r="E224" t="s">
        <v>20</v>
      </c>
      <c r="F224">
        <v>326.92</v>
      </c>
      <c r="G224">
        <v>0</v>
      </c>
      <c r="H224">
        <v>326.92</v>
      </c>
    </row>
    <row r="225" spans="1:8" x14ac:dyDescent="0.3">
      <c r="A225">
        <v>105</v>
      </c>
      <c r="B225" t="s">
        <v>557</v>
      </c>
      <c r="C225" s="451">
        <v>46138</v>
      </c>
      <c r="D225" t="s">
        <v>590</v>
      </c>
      <c r="E225" t="s">
        <v>3905</v>
      </c>
      <c r="F225">
        <v>10241</v>
      </c>
      <c r="G225">
        <v>388.26</v>
      </c>
      <c r="H225">
        <v>9852.74</v>
      </c>
    </row>
    <row r="226" spans="1:8" x14ac:dyDescent="0.3">
      <c r="A226">
        <v>105</v>
      </c>
      <c r="B226" t="s">
        <v>557</v>
      </c>
      <c r="C226" s="451">
        <v>46138</v>
      </c>
      <c r="D226" t="s">
        <v>590</v>
      </c>
      <c r="E226" t="s">
        <v>3904</v>
      </c>
      <c r="F226">
        <v>5097.1000000000004</v>
      </c>
      <c r="G226">
        <v>126.84</v>
      </c>
      <c r="H226">
        <v>4970.26</v>
      </c>
    </row>
    <row r="227" spans="1:8" x14ac:dyDescent="0.3">
      <c r="A227">
        <v>105</v>
      </c>
      <c r="B227" t="s">
        <v>557</v>
      </c>
      <c r="C227" s="451">
        <v>46138</v>
      </c>
      <c r="D227" t="s">
        <v>590</v>
      </c>
      <c r="E227" t="s">
        <v>20</v>
      </c>
      <c r="F227">
        <v>1962.14</v>
      </c>
      <c r="G227">
        <v>0</v>
      </c>
      <c r="H227">
        <v>1962.14</v>
      </c>
    </row>
    <row r="228" spans="1:8" x14ac:dyDescent="0.3">
      <c r="A228">
        <v>105</v>
      </c>
      <c r="B228" t="s">
        <v>557</v>
      </c>
      <c r="C228" s="451">
        <v>46137</v>
      </c>
      <c r="D228" t="s">
        <v>590</v>
      </c>
      <c r="E228" t="s">
        <v>3905</v>
      </c>
      <c r="F228">
        <v>10755</v>
      </c>
      <c r="G228">
        <v>757.05</v>
      </c>
      <c r="H228">
        <v>9997.9500000000007</v>
      </c>
    </row>
    <row r="229" spans="1:8" x14ac:dyDescent="0.3">
      <c r="A229">
        <v>105</v>
      </c>
      <c r="B229" t="s">
        <v>557</v>
      </c>
      <c r="C229" s="451">
        <v>46137</v>
      </c>
      <c r="D229" t="s">
        <v>590</v>
      </c>
      <c r="E229" t="s">
        <v>3904</v>
      </c>
      <c r="F229">
        <v>13236.2</v>
      </c>
      <c r="G229">
        <v>486.85</v>
      </c>
      <c r="H229">
        <v>12749.35</v>
      </c>
    </row>
    <row r="230" spans="1:8" x14ac:dyDescent="0.3">
      <c r="A230">
        <v>105</v>
      </c>
      <c r="B230" t="s">
        <v>557</v>
      </c>
      <c r="C230" s="451">
        <v>46137</v>
      </c>
      <c r="D230" t="s">
        <v>590</v>
      </c>
      <c r="E230" t="s">
        <v>3906</v>
      </c>
      <c r="F230">
        <v>2340</v>
      </c>
      <c r="G230">
        <v>27.3</v>
      </c>
      <c r="H230">
        <v>2312.6999999999998</v>
      </c>
    </row>
    <row r="231" spans="1:8" x14ac:dyDescent="0.3">
      <c r="A231">
        <v>105</v>
      </c>
      <c r="B231" t="s">
        <v>557</v>
      </c>
      <c r="C231" s="451">
        <v>46137</v>
      </c>
      <c r="D231" t="s">
        <v>590</v>
      </c>
      <c r="E231" t="s">
        <v>20</v>
      </c>
      <c r="F231">
        <v>3224.71</v>
      </c>
      <c r="G231">
        <v>0</v>
      </c>
      <c r="H231">
        <v>3224.71</v>
      </c>
    </row>
    <row r="232" spans="1:8" x14ac:dyDescent="0.3">
      <c r="A232">
        <v>105</v>
      </c>
      <c r="B232" t="s">
        <v>557</v>
      </c>
      <c r="C232" s="451">
        <v>46136</v>
      </c>
      <c r="D232" t="s">
        <v>590</v>
      </c>
      <c r="E232" t="s">
        <v>3905</v>
      </c>
      <c r="F232">
        <v>7019.9</v>
      </c>
      <c r="G232">
        <v>274.81</v>
      </c>
      <c r="H232">
        <v>6745.09</v>
      </c>
    </row>
    <row r="233" spans="1:8" x14ac:dyDescent="0.3">
      <c r="A233">
        <v>105</v>
      </c>
      <c r="B233" t="s">
        <v>557</v>
      </c>
      <c r="C233" s="451">
        <v>46136</v>
      </c>
      <c r="D233" t="s">
        <v>590</v>
      </c>
      <c r="E233" t="s">
        <v>3904</v>
      </c>
      <c r="F233">
        <v>3876.4</v>
      </c>
      <c r="G233">
        <v>76.430000000000007</v>
      </c>
      <c r="H233">
        <v>3799.97</v>
      </c>
    </row>
    <row r="234" spans="1:8" x14ac:dyDescent="0.3">
      <c r="A234">
        <v>105</v>
      </c>
      <c r="B234" t="s">
        <v>557</v>
      </c>
      <c r="C234" s="451">
        <v>46136</v>
      </c>
      <c r="D234" t="s">
        <v>590</v>
      </c>
      <c r="E234" t="s">
        <v>20</v>
      </c>
      <c r="F234">
        <v>1380.52</v>
      </c>
      <c r="G234">
        <v>0</v>
      </c>
      <c r="H234">
        <v>1380.52</v>
      </c>
    </row>
    <row r="235" spans="1:8" x14ac:dyDescent="0.3">
      <c r="A235">
        <v>105</v>
      </c>
      <c r="B235" t="s">
        <v>557</v>
      </c>
      <c r="C235" s="451">
        <v>46135</v>
      </c>
      <c r="D235" t="s">
        <v>590</v>
      </c>
      <c r="E235" t="s">
        <v>3905</v>
      </c>
      <c r="F235">
        <v>4092</v>
      </c>
      <c r="G235">
        <v>145.31</v>
      </c>
      <c r="H235">
        <v>3946.69</v>
      </c>
    </row>
    <row r="236" spans="1:8" x14ac:dyDescent="0.3">
      <c r="A236">
        <v>105</v>
      </c>
      <c r="B236" t="s">
        <v>557</v>
      </c>
      <c r="C236" s="451">
        <v>46135</v>
      </c>
      <c r="D236" t="s">
        <v>590</v>
      </c>
      <c r="E236" t="s">
        <v>3904</v>
      </c>
      <c r="F236">
        <v>1154.8</v>
      </c>
      <c r="G236">
        <v>35.6</v>
      </c>
      <c r="H236">
        <v>1119.2</v>
      </c>
    </row>
    <row r="237" spans="1:8" x14ac:dyDescent="0.3">
      <c r="A237">
        <v>105</v>
      </c>
      <c r="B237" t="s">
        <v>557</v>
      </c>
      <c r="C237" s="451">
        <v>46135</v>
      </c>
      <c r="D237" t="s">
        <v>590</v>
      </c>
      <c r="E237" t="s">
        <v>20</v>
      </c>
      <c r="F237">
        <v>652.80999999999995</v>
      </c>
      <c r="G237">
        <v>0</v>
      </c>
      <c r="H237">
        <v>652.80999999999995</v>
      </c>
    </row>
    <row r="238" spans="1:8" x14ac:dyDescent="0.3">
      <c r="A238">
        <v>105</v>
      </c>
      <c r="B238" t="s">
        <v>557</v>
      </c>
      <c r="C238" s="451">
        <v>46134</v>
      </c>
      <c r="D238" t="s">
        <v>590</v>
      </c>
      <c r="E238" t="s">
        <v>3904</v>
      </c>
      <c r="F238">
        <v>541.79999999999995</v>
      </c>
      <c r="G238">
        <v>24.02</v>
      </c>
      <c r="H238">
        <v>517.78</v>
      </c>
    </row>
    <row r="239" spans="1:8" x14ac:dyDescent="0.3">
      <c r="A239">
        <v>105</v>
      </c>
      <c r="B239" t="s">
        <v>557</v>
      </c>
      <c r="C239" s="451">
        <v>46134</v>
      </c>
      <c r="D239" t="s">
        <v>590</v>
      </c>
      <c r="E239" t="s">
        <v>3905</v>
      </c>
      <c r="F239">
        <v>1976.9</v>
      </c>
      <c r="G239">
        <v>252.87</v>
      </c>
      <c r="H239">
        <v>1724.03</v>
      </c>
    </row>
    <row r="240" spans="1:8" x14ac:dyDescent="0.3">
      <c r="A240">
        <v>105</v>
      </c>
      <c r="B240" t="s">
        <v>557</v>
      </c>
      <c r="C240" s="451">
        <v>46134</v>
      </c>
      <c r="D240" t="s">
        <v>590</v>
      </c>
      <c r="E240" t="s">
        <v>20</v>
      </c>
      <c r="F240">
        <v>308.55</v>
      </c>
      <c r="G240">
        <v>0</v>
      </c>
      <c r="H240">
        <v>308.55</v>
      </c>
    </row>
    <row r="241" spans="1:8" x14ac:dyDescent="0.3">
      <c r="A241">
        <v>105</v>
      </c>
      <c r="B241" t="s">
        <v>557</v>
      </c>
      <c r="C241" s="451">
        <v>46133</v>
      </c>
      <c r="D241" t="s">
        <v>590</v>
      </c>
      <c r="E241" t="s">
        <v>3904</v>
      </c>
      <c r="F241">
        <v>3659.8</v>
      </c>
      <c r="G241">
        <v>157.71</v>
      </c>
      <c r="H241">
        <v>3502.09</v>
      </c>
    </row>
    <row r="242" spans="1:8" x14ac:dyDescent="0.3">
      <c r="A242">
        <v>105</v>
      </c>
      <c r="B242" t="s">
        <v>557</v>
      </c>
      <c r="C242" s="451">
        <v>46133</v>
      </c>
      <c r="D242" t="s">
        <v>590</v>
      </c>
      <c r="E242" t="s">
        <v>3905</v>
      </c>
      <c r="F242">
        <v>8626</v>
      </c>
      <c r="G242">
        <v>693.32</v>
      </c>
      <c r="H242">
        <v>7932.68</v>
      </c>
    </row>
    <row r="243" spans="1:8" x14ac:dyDescent="0.3">
      <c r="A243">
        <v>105</v>
      </c>
      <c r="B243" t="s">
        <v>557</v>
      </c>
      <c r="C243" s="451">
        <v>46133</v>
      </c>
      <c r="D243" t="s">
        <v>590</v>
      </c>
      <c r="E243" t="s">
        <v>20</v>
      </c>
      <c r="F243">
        <v>1550.83</v>
      </c>
      <c r="G243">
        <v>0</v>
      </c>
      <c r="H243">
        <v>1550.83</v>
      </c>
    </row>
    <row r="244" spans="1:8" x14ac:dyDescent="0.3">
      <c r="A244">
        <v>105</v>
      </c>
      <c r="B244" t="s">
        <v>557</v>
      </c>
      <c r="C244" s="451">
        <v>46132</v>
      </c>
      <c r="D244" t="s">
        <v>590</v>
      </c>
      <c r="E244" t="s">
        <v>3905</v>
      </c>
      <c r="F244">
        <v>3369</v>
      </c>
      <c r="G244">
        <v>142.62</v>
      </c>
      <c r="H244">
        <v>3226.38</v>
      </c>
    </row>
    <row r="245" spans="1:8" x14ac:dyDescent="0.3">
      <c r="A245">
        <v>105</v>
      </c>
      <c r="B245" t="s">
        <v>557</v>
      </c>
      <c r="C245" s="451">
        <v>46132</v>
      </c>
      <c r="D245" t="s">
        <v>590</v>
      </c>
      <c r="E245" t="s">
        <v>3904</v>
      </c>
      <c r="F245">
        <v>1067</v>
      </c>
      <c r="G245">
        <v>73.38</v>
      </c>
      <c r="H245">
        <v>993.62</v>
      </c>
    </row>
    <row r="246" spans="1:8" x14ac:dyDescent="0.3">
      <c r="A246">
        <v>105</v>
      </c>
      <c r="B246" t="s">
        <v>557</v>
      </c>
      <c r="C246" s="451">
        <v>46132</v>
      </c>
      <c r="D246" t="s">
        <v>590</v>
      </c>
      <c r="E246" t="s">
        <v>20</v>
      </c>
      <c r="F246">
        <v>531.74</v>
      </c>
      <c r="G246">
        <v>0</v>
      </c>
      <c r="H246">
        <v>531.74</v>
      </c>
    </row>
    <row r="247" spans="1:8" x14ac:dyDescent="0.3">
      <c r="A247">
        <v>105</v>
      </c>
      <c r="B247" t="s">
        <v>557</v>
      </c>
      <c r="C247" s="451">
        <v>46131</v>
      </c>
      <c r="D247" t="s">
        <v>590</v>
      </c>
      <c r="E247" t="s">
        <v>3905</v>
      </c>
      <c r="F247">
        <v>10604.5</v>
      </c>
      <c r="G247">
        <v>251.84</v>
      </c>
      <c r="H247">
        <v>10352.66</v>
      </c>
    </row>
    <row r="248" spans="1:8" x14ac:dyDescent="0.3">
      <c r="A248">
        <v>105</v>
      </c>
      <c r="B248" t="s">
        <v>557</v>
      </c>
      <c r="C248" s="451">
        <v>46131</v>
      </c>
      <c r="D248" t="s">
        <v>590</v>
      </c>
      <c r="E248" t="s">
        <v>3904</v>
      </c>
      <c r="F248">
        <v>4252.3</v>
      </c>
      <c r="G248">
        <v>68.36</v>
      </c>
      <c r="H248">
        <v>4183.9399999999996</v>
      </c>
    </row>
    <row r="249" spans="1:8" x14ac:dyDescent="0.3">
      <c r="A249">
        <v>105</v>
      </c>
      <c r="B249" t="s">
        <v>557</v>
      </c>
      <c r="C249" s="451">
        <v>46131</v>
      </c>
      <c r="D249" t="s">
        <v>590</v>
      </c>
      <c r="E249" t="s">
        <v>20</v>
      </c>
      <c r="F249">
        <v>1897.44</v>
      </c>
      <c r="G249">
        <v>0</v>
      </c>
      <c r="H249">
        <v>1897.44</v>
      </c>
    </row>
    <row r="250" spans="1:8" x14ac:dyDescent="0.3">
      <c r="A250">
        <v>105</v>
      </c>
      <c r="B250" t="s">
        <v>557</v>
      </c>
      <c r="C250" s="451">
        <v>46130</v>
      </c>
      <c r="D250" t="s">
        <v>590</v>
      </c>
      <c r="E250" t="s">
        <v>3905</v>
      </c>
      <c r="F250">
        <v>11567</v>
      </c>
      <c r="G250">
        <v>1162.3900000000001</v>
      </c>
      <c r="H250">
        <v>10404.61</v>
      </c>
    </row>
    <row r="251" spans="1:8" x14ac:dyDescent="0.3">
      <c r="A251">
        <v>105</v>
      </c>
      <c r="B251" t="s">
        <v>557</v>
      </c>
      <c r="C251" s="451">
        <v>46130</v>
      </c>
      <c r="D251" t="s">
        <v>590</v>
      </c>
      <c r="E251" t="s">
        <v>3904</v>
      </c>
      <c r="F251">
        <v>8111</v>
      </c>
      <c r="G251">
        <v>460.44</v>
      </c>
      <c r="H251">
        <v>7650.56</v>
      </c>
    </row>
    <row r="252" spans="1:8" x14ac:dyDescent="0.3">
      <c r="A252">
        <v>105</v>
      </c>
      <c r="B252" t="s">
        <v>557</v>
      </c>
      <c r="C252" s="451">
        <v>46130</v>
      </c>
      <c r="D252" t="s">
        <v>590</v>
      </c>
      <c r="E252" t="s">
        <v>3906</v>
      </c>
      <c r="F252">
        <v>310</v>
      </c>
      <c r="G252">
        <v>53.28</v>
      </c>
      <c r="H252">
        <v>256.72000000000003</v>
      </c>
    </row>
    <row r="253" spans="1:8" x14ac:dyDescent="0.3">
      <c r="A253">
        <v>105</v>
      </c>
      <c r="B253" t="s">
        <v>557</v>
      </c>
      <c r="C253" s="451">
        <v>46130</v>
      </c>
      <c r="D253" t="s">
        <v>590</v>
      </c>
      <c r="E253" t="s">
        <v>20</v>
      </c>
      <c r="F253">
        <v>2416.96</v>
      </c>
      <c r="G253">
        <v>0</v>
      </c>
      <c r="H253">
        <v>2416.96</v>
      </c>
    </row>
    <row r="254" spans="1:8" x14ac:dyDescent="0.3">
      <c r="A254">
        <v>105</v>
      </c>
      <c r="B254" t="s">
        <v>557</v>
      </c>
      <c r="C254" s="451">
        <v>46129</v>
      </c>
      <c r="D254" t="s">
        <v>590</v>
      </c>
      <c r="E254" t="s">
        <v>3905</v>
      </c>
      <c r="F254">
        <v>3271</v>
      </c>
      <c r="G254">
        <v>282.11</v>
      </c>
      <c r="H254">
        <v>2988.89</v>
      </c>
    </row>
    <row r="255" spans="1:8" x14ac:dyDescent="0.3">
      <c r="A255">
        <v>105</v>
      </c>
      <c r="B255" t="s">
        <v>557</v>
      </c>
      <c r="C255" s="451">
        <v>46129</v>
      </c>
      <c r="D255" t="s">
        <v>590</v>
      </c>
      <c r="E255" t="s">
        <v>3904</v>
      </c>
      <c r="F255">
        <v>1947</v>
      </c>
      <c r="G255">
        <v>31.09</v>
      </c>
      <c r="H255">
        <v>1915.91</v>
      </c>
    </row>
    <row r="256" spans="1:8" x14ac:dyDescent="0.3">
      <c r="A256">
        <v>105</v>
      </c>
      <c r="B256" t="s">
        <v>557</v>
      </c>
      <c r="C256" s="451">
        <v>46129</v>
      </c>
      <c r="D256" t="s">
        <v>590</v>
      </c>
      <c r="E256" t="s">
        <v>20</v>
      </c>
      <c r="F256">
        <v>651.27</v>
      </c>
      <c r="G256">
        <v>0</v>
      </c>
      <c r="H256">
        <v>651.27</v>
      </c>
    </row>
    <row r="257" spans="1:8" x14ac:dyDescent="0.3">
      <c r="A257">
        <v>105</v>
      </c>
      <c r="B257" t="s">
        <v>557</v>
      </c>
      <c r="C257" s="451">
        <v>46128</v>
      </c>
      <c r="D257" t="s">
        <v>590</v>
      </c>
      <c r="E257" t="s">
        <v>3905</v>
      </c>
      <c r="F257">
        <v>9720.5</v>
      </c>
      <c r="G257">
        <v>472.64</v>
      </c>
      <c r="H257">
        <v>9247.86</v>
      </c>
    </row>
    <row r="258" spans="1:8" x14ac:dyDescent="0.3">
      <c r="A258">
        <v>105</v>
      </c>
      <c r="B258" t="s">
        <v>557</v>
      </c>
      <c r="C258" s="451">
        <v>46128</v>
      </c>
      <c r="D258" t="s">
        <v>590</v>
      </c>
      <c r="E258" t="s">
        <v>3904</v>
      </c>
      <c r="F258">
        <v>2824</v>
      </c>
      <c r="G258">
        <v>223.45</v>
      </c>
      <c r="H258">
        <v>2600.5500000000002</v>
      </c>
    </row>
    <row r="259" spans="1:8" x14ac:dyDescent="0.3">
      <c r="A259">
        <v>105</v>
      </c>
      <c r="B259" t="s">
        <v>557</v>
      </c>
      <c r="C259" s="451">
        <v>46128</v>
      </c>
      <c r="D259" t="s">
        <v>590</v>
      </c>
      <c r="E259" t="s">
        <v>3906</v>
      </c>
      <c r="F259">
        <v>300</v>
      </c>
      <c r="G259">
        <v>0</v>
      </c>
      <c r="H259">
        <v>300</v>
      </c>
    </row>
    <row r="260" spans="1:8" x14ac:dyDescent="0.3">
      <c r="A260">
        <v>105</v>
      </c>
      <c r="B260" t="s">
        <v>557</v>
      </c>
      <c r="C260" s="451">
        <v>46128</v>
      </c>
      <c r="D260" t="s">
        <v>590</v>
      </c>
      <c r="E260" t="s">
        <v>20</v>
      </c>
      <c r="F260">
        <v>1594.1</v>
      </c>
      <c r="G260">
        <v>0</v>
      </c>
      <c r="H260">
        <v>1594.1</v>
      </c>
    </row>
    <row r="261" spans="1:8" x14ac:dyDescent="0.3">
      <c r="A261">
        <v>105</v>
      </c>
      <c r="B261" t="s">
        <v>557</v>
      </c>
      <c r="C261" s="451">
        <v>46127</v>
      </c>
      <c r="D261" t="s">
        <v>590</v>
      </c>
      <c r="E261" t="s">
        <v>3904</v>
      </c>
      <c r="F261">
        <v>1390</v>
      </c>
      <c r="G261">
        <v>14.15</v>
      </c>
      <c r="H261">
        <v>1375.85</v>
      </c>
    </row>
    <row r="262" spans="1:8" x14ac:dyDescent="0.3">
      <c r="A262">
        <v>105</v>
      </c>
      <c r="B262" t="s">
        <v>557</v>
      </c>
      <c r="C262" s="451">
        <v>46127</v>
      </c>
      <c r="D262" t="s">
        <v>590</v>
      </c>
      <c r="E262" t="s">
        <v>3905</v>
      </c>
      <c r="F262">
        <v>4878.3999999999996</v>
      </c>
      <c r="G262">
        <v>104.35</v>
      </c>
      <c r="H262">
        <v>4774.05</v>
      </c>
    </row>
    <row r="263" spans="1:8" x14ac:dyDescent="0.3">
      <c r="A263">
        <v>105</v>
      </c>
      <c r="B263" t="s">
        <v>557</v>
      </c>
      <c r="C263" s="451">
        <v>46127</v>
      </c>
      <c r="D263" t="s">
        <v>590</v>
      </c>
      <c r="E263" t="s">
        <v>20</v>
      </c>
      <c r="F263">
        <v>804.05</v>
      </c>
      <c r="G263">
        <v>0</v>
      </c>
      <c r="H263">
        <v>804.05</v>
      </c>
    </row>
    <row r="264" spans="1:8" x14ac:dyDescent="0.3">
      <c r="A264">
        <v>105</v>
      </c>
      <c r="B264" t="s">
        <v>557</v>
      </c>
      <c r="C264" s="451">
        <v>46126</v>
      </c>
      <c r="D264" t="s">
        <v>590</v>
      </c>
      <c r="E264" t="s">
        <v>3904</v>
      </c>
      <c r="F264">
        <v>569.4</v>
      </c>
      <c r="G264">
        <v>6.6</v>
      </c>
      <c r="H264">
        <v>562.79999999999995</v>
      </c>
    </row>
    <row r="265" spans="1:8" x14ac:dyDescent="0.3">
      <c r="A265">
        <v>105</v>
      </c>
      <c r="B265" t="s">
        <v>557</v>
      </c>
      <c r="C265" s="451">
        <v>46126</v>
      </c>
      <c r="D265" t="s">
        <v>590</v>
      </c>
      <c r="E265" t="s">
        <v>3905</v>
      </c>
      <c r="F265">
        <v>2790.4</v>
      </c>
      <c r="G265">
        <v>43.14</v>
      </c>
      <c r="H265">
        <v>2747.26</v>
      </c>
    </row>
    <row r="266" spans="1:8" x14ac:dyDescent="0.3">
      <c r="A266">
        <v>105</v>
      </c>
      <c r="B266" t="s">
        <v>557</v>
      </c>
      <c r="C266" s="451">
        <v>46126</v>
      </c>
      <c r="D266" t="s">
        <v>590</v>
      </c>
      <c r="E266" t="s">
        <v>20</v>
      </c>
      <c r="F266">
        <v>436.54</v>
      </c>
      <c r="G266">
        <v>0</v>
      </c>
      <c r="H266">
        <v>436.54</v>
      </c>
    </row>
    <row r="267" spans="1:8" x14ac:dyDescent="0.3">
      <c r="A267">
        <v>105</v>
      </c>
      <c r="B267" t="s">
        <v>557</v>
      </c>
      <c r="C267" s="451">
        <v>46125</v>
      </c>
      <c r="D267" t="s">
        <v>590</v>
      </c>
      <c r="E267" t="s">
        <v>3904</v>
      </c>
      <c r="F267">
        <v>981.6</v>
      </c>
      <c r="G267">
        <v>43.8</v>
      </c>
      <c r="H267">
        <v>937.8</v>
      </c>
    </row>
    <row r="268" spans="1:8" x14ac:dyDescent="0.3">
      <c r="A268">
        <v>105</v>
      </c>
      <c r="B268" t="s">
        <v>557</v>
      </c>
      <c r="C268" s="451">
        <v>46125</v>
      </c>
      <c r="D268" t="s">
        <v>590</v>
      </c>
      <c r="E268" t="s">
        <v>3905</v>
      </c>
      <c r="F268">
        <v>8438.2999999999993</v>
      </c>
      <c r="G268">
        <v>290.54000000000002</v>
      </c>
      <c r="H268">
        <v>8147.76</v>
      </c>
    </row>
    <row r="269" spans="1:8" x14ac:dyDescent="0.3">
      <c r="A269">
        <v>105</v>
      </c>
      <c r="B269" t="s">
        <v>557</v>
      </c>
      <c r="C269" s="451">
        <v>46125</v>
      </c>
      <c r="D269" t="s">
        <v>590</v>
      </c>
      <c r="E269" t="s">
        <v>20</v>
      </c>
      <c r="F269">
        <v>1189.8599999999999</v>
      </c>
      <c r="G269">
        <v>0</v>
      </c>
      <c r="H269">
        <v>1189.8599999999999</v>
      </c>
    </row>
    <row r="270" spans="1:8" x14ac:dyDescent="0.3">
      <c r="A270">
        <v>105</v>
      </c>
      <c r="B270" t="s">
        <v>557</v>
      </c>
      <c r="C270" s="451">
        <v>46124</v>
      </c>
      <c r="D270" t="s">
        <v>590</v>
      </c>
      <c r="E270" t="s">
        <v>3905</v>
      </c>
      <c r="F270">
        <v>13409.5</v>
      </c>
      <c r="G270">
        <v>946.63</v>
      </c>
      <c r="H270">
        <v>12462.87</v>
      </c>
    </row>
    <row r="271" spans="1:8" x14ac:dyDescent="0.3">
      <c r="A271">
        <v>105</v>
      </c>
      <c r="B271" t="s">
        <v>557</v>
      </c>
      <c r="C271" s="451">
        <v>46124</v>
      </c>
      <c r="D271" t="s">
        <v>590</v>
      </c>
      <c r="E271" t="s">
        <v>3904</v>
      </c>
      <c r="F271">
        <v>3794.4</v>
      </c>
      <c r="G271">
        <v>187.54</v>
      </c>
      <c r="H271">
        <v>3606.86</v>
      </c>
    </row>
    <row r="272" spans="1:8" x14ac:dyDescent="0.3">
      <c r="A272">
        <v>105</v>
      </c>
      <c r="B272" t="s">
        <v>557</v>
      </c>
      <c r="C272" s="451">
        <v>46124</v>
      </c>
      <c r="D272" t="s">
        <v>590</v>
      </c>
      <c r="E272" t="s">
        <v>20</v>
      </c>
      <c r="F272">
        <v>2182.31</v>
      </c>
      <c r="G272">
        <v>0</v>
      </c>
      <c r="H272">
        <v>2182.31</v>
      </c>
    </row>
    <row r="273" spans="1:8" x14ac:dyDescent="0.3">
      <c r="A273">
        <v>105</v>
      </c>
      <c r="B273" t="s">
        <v>557</v>
      </c>
      <c r="C273" s="451">
        <v>46123</v>
      </c>
      <c r="D273" t="s">
        <v>590</v>
      </c>
      <c r="E273" t="s">
        <v>3905</v>
      </c>
      <c r="F273">
        <v>12698.4</v>
      </c>
      <c r="G273">
        <v>1157.33</v>
      </c>
      <c r="H273">
        <v>11541.07</v>
      </c>
    </row>
    <row r="274" spans="1:8" x14ac:dyDescent="0.3">
      <c r="A274">
        <v>105</v>
      </c>
      <c r="B274" t="s">
        <v>557</v>
      </c>
      <c r="C274" s="451">
        <v>46123</v>
      </c>
      <c r="D274" t="s">
        <v>590</v>
      </c>
      <c r="E274" t="s">
        <v>3904</v>
      </c>
      <c r="F274">
        <v>22773.4</v>
      </c>
      <c r="G274">
        <v>496.23</v>
      </c>
      <c r="H274">
        <v>22277.17</v>
      </c>
    </row>
    <row r="275" spans="1:8" x14ac:dyDescent="0.3">
      <c r="A275">
        <v>105</v>
      </c>
      <c r="B275" t="s">
        <v>557</v>
      </c>
      <c r="C275" s="451">
        <v>46123</v>
      </c>
      <c r="D275" t="s">
        <v>590</v>
      </c>
      <c r="E275" t="s">
        <v>3906</v>
      </c>
      <c r="F275">
        <v>3135</v>
      </c>
      <c r="G275">
        <v>74.930000000000007</v>
      </c>
      <c r="H275">
        <v>3060.07</v>
      </c>
    </row>
    <row r="276" spans="1:8" x14ac:dyDescent="0.3">
      <c r="A276">
        <v>105</v>
      </c>
      <c r="B276" t="s">
        <v>557</v>
      </c>
      <c r="C276" s="451">
        <v>46123</v>
      </c>
      <c r="D276" t="s">
        <v>590</v>
      </c>
      <c r="E276" t="s">
        <v>20</v>
      </c>
      <c r="F276">
        <v>4763.43</v>
      </c>
      <c r="G276">
        <v>0</v>
      </c>
      <c r="H276">
        <v>4763.43</v>
      </c>
    </row>
    <row r="277" spans="1:8" x14ac:dyDescent="0.3">
      <c r="A277">
        <v>105</v>
      </c>
      <c r="B277" t="s">
        <v>557</v>
      </c>
      <c r="C277" s="451">
        <v>46122</v>
      </c>
      <c r="D277" t="s">
        <v>590</v>
      </c>
      <c r="E277" t="s">
        <v>3905</v>
      </c>
      <c r="F277">
        <v>7458.1</v>
      </c>
      <c r="G277">
        <v>591.65</v>
      </c>
      <c r="H277">
        <v>6866.45</v>
      </c>
    </row>
    <row r="278" spans="1:8" x14ac:dyDescent="0.3">
      <c r="A278">
        <v>105</v>
      </c>
      <c r="B278" t="s">
        <v>557</v>
      </c>
      <c r="C278" s="451">
        <v>46122</v>
      </c>
      <c r="D278" t="s">
        <v>590</v>
      </c>
      <c r="E278" t="s">
        <v>3904</v>
      </c>
      <c r="F278">
        <v>6727.3</v>
      </c>
      <c r="G278">
        <v>706.5</v>
      </c>
      <c r="H278">
        <v>6020.8</v>
      </c>
    </row>
    <row r="279" spans="1:8" x14ac:dyDescent="0.3">
      <c r="A279">
        <v>105</v>
      </c>
      <c r="B279" t="s">
        <v>557</v>
      </c>
      <c r="C279" s="451">
        <v>46122</v>
      </c>
      <c r="D279" t="s">
        <v>590</v>
      </c>
      <c r="E279" t="s">
        <v>20</v>
      </c>
      <c r="F279">
        <v>1647.39</v>
      </c>
      <c r="G279">
        <v>0</v>
      </c>
      <c r="H279">
        <v>1647.39</v>
      </c>
    </row>
    <row r="280" spans="1:8" x14ac:dyDescent="0.3">
      <c r="A280">
        <v>105</v>
      </c>
      <c r="B280" t="s">
        <v>557</v>
      </c>
      <c r="C280" s="451">
        <v>46121</v>
      </c>
      <c r="D280" t="s">
        <v>590</v>
      </c>
      <c r="E280" t="s">
        <v>3904</v>
      </c>
      <c r="F280">
        <v>2118.4</v>
      </c>
      <c r="G280">
        <v>58.38</v>
      </c>
      <c r="H280">
        <v>2060.02</v>
      </c>
    </row>
    <row r="281" spans="1:8" x14ac:dyDescent="0.3">
      <c r="A281">
        <v>105</v>
      </c>
      <c r="B281" t="s">
        <v>557</v>
      </c>
      <c r="C281" s="451">
        <v>46121</v>
      </c>
      <c r="D281" t="s">
        <v>590</v>
      </c>
      <c r="E281" t="s">
        <v>3905</v>
      </c>
      <c r="F281">
        <v>9165.5</v>
      </c>
      <c r="G281">
        <v>364.79</v>
      </c>
      <c r="H281">
        <v>8800.7099999999991</v>
      </c>
    </row>
    <row r="282" spans="1:8" x14ac:dyDescent="0.3">
      <c r="A282">
        <v>105</v>
      </c>
      <c r="B282" t="s">
        <v>557</v>
      </c>
      <c r="C282" s="451">
        <v>46121</v>
      </c>
      <c r="D282" t="s">
        <v>590</v>
      </c>
      <c r="E282" t="s">
        <v>20</v>
      </c>
      <c r="F282">
        <v>1406.15</v>
      </c>
      <c r="G282">
        <v>0</v>
      </c>
      <c r="H282">
        <v>1406.15</v>
      </c>
    </row>
    <row r="283" spans="1:8" x14ac:dyDescent="0.3">
      <c r="A283">
        <v>105</v>
      </c>
      <c r="B283" t="s">
        <v>557</v>
      </c>
      <c r="C283" s="451">
        <v>46120</v>
      </c>
      <c r="D283" t="s">
        <v>590</v>
      </c>
      <c r="E283" t="s">
        <v>3904</v>
      </c>
      <c r="F283">
        <v>2029.2</v>
      </c>
      <c r="G283">
        <v>96.76</v>
      </c>
      <c r="H283">
        <v>1932.44</v>
      </c>
    </row>
    <row r="284" spans="1:8" x14ac:dyDescent="0.3">
      <c r="A284">
        <v>105</v>
      </c>
      <c r="B284" t="s">
        <v>557</v>
      </c>
      <c r="C284" s="451">
        <v>46120</v>
      </c>
      <c r="D284" t="s">
        <v>590</v>
      </c>
      <c r="E284" t="s">
        <v>3905</v>
      </c>
      <c r="F284">
        <v>7168.1</v>
      </c>
      <c r="G284">
        <v>351.83</v>
      </c>
      <c r="H284">
        <v>6816.27</v>
      </c>
    </row>
    <row r="285" spans="1:8" x14ac:dyDescent="0.3">
      <c r="A285">
        <v>105</v>
      </c>
      <c r="B285" t="s">
        <v>557</v>
      </c>
      <c r="C285" s="451">
        <v>46120</v>
      </c>
      <c r="D285" t="s">
        <v>590</v>
      </c>
      <c r="E285" t="s">
        <v>20</v>
      </c>
      <c r="F285">
        <v>1147.52</v>
      </c>
      <c r="G285">
        <v>0</v>
      </c>
      <c r="H285">
        <v>1147.52</v>
      </c>
    </row>
    <row r="286" spans="1:8" x14ac:dyDescent="0.3">
      <c r="A286">
        <v>105</v>
      </c>
      <c r="B286" t="s">
        <v>557</v>
      </c>
      <c r="C286" s="451">
        <v>46119</v>
      </c>
      <c r="D286" t="s">
        <v>590</v>
      </c>
      <c r="E286" t="s">
        <v>3904</v>
      </c>
      <c r="F286">
        <v>719</v>
      </c>
      <c r="G286">
        <v>25</v>
      </c>
      <c r="H286">
        <v>694</v>
      </c>
    </row>
    <row r="287" spans="1:8" x14ac:dyDescent="0.3">
      <c r="A287">
        <v>105</v>
      </c>
      <c r="B287" t="s">
        <v>557</v>
      </c>
      <c r="C287" s="451">
        <v>46119</v>
      </c>
      <c r="D287" t="s">
        <v>590</v>
      </c>
      <c r="E287" t="s">
        <v>3905</v>
      </c>
      <c r="F287">
        <v>5388.2</v>
      </c>
      <c r="G287">
        <v>178.04</v>
      </c>
      <c r="H287">
        <v>5210.16</v>
      </c>
    </row>
    <row r="288" spans="1:8" x14ac:dyDescent="0.3">
      <c r="A288">
        <v>105</v>
      </c>
      <c r="B288" t="s">
        <v>557</v>
      </c>
      <c r="C288" s="451">
        <v>46119</v>
      </c>
      <c r="D288" t="s">
        <v>590</v>
      </c>
      <c r="E288" t="s">
        <v>20</v>
      </c>
      <c r="F288">
        <v>757.73</v>
      </c>
      <c r="G288">
        <v>0</v>
      </c>
      <c r="H288">
        <v>757.73</v>
      </c>
    </row>
    <row r="289" spans="1:8" x14ac:dyDescent="0.3">
      <c r="A289">
        <v>105</v>
      </c>
      <c r="B289" t="s">
        <v>557</v>
      </c>
      <c r="C289" s="451">
        <v>46118</v>
      </c>
      <c r="D289" t="s">
        <v>590</v>
      </c>
      <c r="E289" t="s">
        <v>3904</v>
      </c>
      <c r="F289">
        <v>1215.5999999999999</v>
      </c>
      <c r="G289">
        <v>7.8</v>
      </c>
      <c r="H289">
        <v>1207.8</v>
      </c>
    </row>
    <row r="290" spans="1:8" x14ac:dyDescent="0.3">
      <c r="A290">
        <v>105</v>
      </c>
      <c r="B290" t="s">
        <v>557</v>
      </c>
      <c r="C290" s="451">
        <v>46118</v>
      </c>
      <c r="D290" t="s">
        <v>590</v>
      </c>
      <c r="E290" t="s">
        <v>3905</v>
      </c>
      <c r="F290">
        <v>4674</v>
      </c>
      <c r="G290">
        <v>91.8</v>
      </c>
      <c r="H290">
        <v>4582.2</v>
      </c>
    </row>
    <row r="291" spans="1:8" x14ac:dyDescent="0.3">
      <c r="A291">
        <v>105</v>
      </c>
      <c r="B291" t="s">
        <v>557</v>
      </c>
      <c r="C291" s="451">
        <v>46118</v>
      </c>
      <c r="D291" t="s">
        <v>590</v>
      </c>
      <c r="E291" t="s">
        <v>20</v>
      </c>
      <c r="F291">
        <v>727.43</v>
      </c>
      <c r="G291">
        <v>0</v>
      </c>
      <c r="H291">
        <v>727.43</v>
      </c>
    </row>
    <row r="292" spans="1:8" x14ac:dyDescent="0.3">
      <c r="A292">
        <v>105</v>
      </c>
      <c r="B292" t="s">
        <v>557</v>
      </c>
      <c r="C292" s="451">
        <v>46117</v>
      </c>
      <c r="D292" t="s">
        <v>590</v>
      </c>
      <c r="E292" t="s">
        <v>3905</v>
      </c>
      <c r="F292">
        <v>5169.5</v>
      </c>
      <c r="G292">
        <v>253</v>
      </c>
      <c r="H292">
        <v>4916.5</v>
      </c>
    </row>
    <row r="293" spans="1:8" x14ac:dyDescent="0.3">
      <c r="A293">
        <v>105</v>
      </c>
      <c r="B293" t="s">
        <v>557</v>
      </c>
      <c r="C293" s="451">
        <v>46117</v>
      </c>
      <c r="D293" t="s">
        <v>590</v>
      </c>
      <c r="E293" t="s">
        <v>3904</v>
      </c>
      <c r="F293">
        <v>1640.1</v>
      </c>
      <c r="G293">
        <v>11.7</v>
      </c>
      <c r="H293">
        <v>1628.4</v>
      </c>
    </row>
    <row r="294" spans="1:8" x14ac:dyDescent="0.3">
      <c r="A294">
        <v>105</v>
      </c>
      <c r="B294" t="s">
        <v>557</v>
      </c>
      <c r="C294" s="451">
        <v>46117</v>
      </c>
      <c r="D294" t="s">
        <v>590</v>
      </c>
      <c r="E294" t="s">
        <v>20</v>
      </c>
      <c r="F294">
        <v>860.63</v>
      </c>
      <c r="G294">
        <v>0</v>
      </c>
      <c r="H294">
        <v>860.63</v>
      </c>
    </row>
    <row r="295" spans="1:8" x14ac:dyDescent="0.3">
      <c r="A295">
        <v>105</v>
      </c>
      <c r="B295" t="s">
        <v>557</v>
      </c>
      <c r="C295" s="451">
        <v>46116</v>
      </c>
      <c r="D295" t="s">
        <v>590</v>
      </c>
      <c r="E295" t="s">
        <v>3905</v>
      </c>
      <c r="F295">
        <v>8429.5</v>
      </c>
      <c r="G295">
        <v>525.11</v>
      </c>
      <c r="H295">
        <v>7904.39</v>
      </c>
    </row>
    <row r="296" spans="1:8" x14ac:dyDescent="0.3">
      <c r="A296">
        <v>105</v>
      </c>
      <c r="B296" t="s">
        <v>557</v>
      </c>
      <c r="C296" s="451">
        <v>46116</v>
      </c>
      <c r="D296" t="s">
        <v>590</v>
      </c>
      <c r="E296" t="s">
        <v>3904</v>
      </c>
      <c r="F296">
        <v>4119.3</v>
      </c>
      <c r="G296">
        <v>310.63</v>
      </c>
      <c r="H296">
        <v>3808.67</v>
      </c>
    </row>
    <row r="297" spans="1:8" x14ac:dyDescent="0.3">
      <c r="A297">
        <v>105</v>
      </c>
      <c r="B297" t="s">
        <v>557</v>
      </c>
      <c r="C297" s="451">
        <v>46116</v>
      </c>
      <c r="D297" t="s">
        <v>590</v>
      </c>
      <c r="E297" t="s">
        <v>3906</v>
      </c>
      <c r="F297">
        <v>430</v>
      </c>
      <c r="G297">
        <v>0</v>
      </c>
      <c r="H297">
        <v>430</v>
      </c>
    </row>
    <row r="298" spans="1:8" x14ac:dyDescent="0.3">
      <c r="A298">
        <v>105</v>
      </c>
      <c r="B298" t="s">
        <v>557</v>
      </c>
      <c r="C298" s="451">
        <v>46116</v>
      </c>
      <c r="D298" t="s">
        <v>590</v>
      </c>
      <c r="E298" t="s">
        <v>20</v>
      </c>
      <c r="F298">
        <v>1619.95</v>
      </c>
      <c r="G298">
        <v>0</v>
      </c>
      <c r="H298">
        <v>1619.95</v>
      </c>
    </row>
    <row r="299" spans="1:8" x14ac:dyDescent="0.3">
      <c r="A299">
        <v>105</v>
      </c>
      <c r="B299" t="s">
        <v>557</v>
      </c>
      <c r="C299" s="451">
        <v>46115</v>
      </c>
      <c r="D299" t="s">
        <v>590</v>
      </c>
      <c r="E299" t="s">
        <v>3905</v>
      </c>
      <c r="F299">
        <v>5280.5</v>
      </c>
      <c r="G299">
        <v>217.68</v>
      </c>
      <c r="H299">
        <v>5062.82</v>
      </c>
    </row>
    <row r="300" spans="1:8" x14ac:dyDescent="0.3">
      <c r="A300">
        <v>105</v>
      </c>
      <c r="B300" t="s">
        <v>557</v>
      </c>
      <c r="C300" s="451">
        <v>46115</v>
      </c>
      <c r="D300" t="s">
        <v>590</v>
      </c>
      <c r="E300" t="s">
        <v>3904</v>
      </c>
      <c r="F300">
        <v>3322.6</v>
      </c>
      <c r="G300">
        <v>81.89</v>
      </c>
      <c r="H300">
        <v>3240.71</v>
      </c>
    </row>
    <row r="301" spans="1:8" x14ac:dyDescent="0.3">
      <c r="A301">
        <v>105</v>
      </c>
      <c r="B301" t="s">
        <v>557</v>
      </c>
      <c r="C301" s="451">
        <v>46115</v>
      </c>
      <c r="D301" t="s">
        <v>590</v>
      </c>
      <c r="E301" t="s">
        <v>20</v>
      </c>
      <c r="F301">
        <v>1079.24</v>
      </c>
      <c r="G301">
        <v>0</v>
      </c>
      <c r="H301">
        <v>1079.24</v>
      </c>
    </row>
    <row r="302" spans="1:8" x14ac:dyDescent="0.3">
      <c r="A302">
        <v>105</v>
      </c>
      <c r="B302" t="s">
        <v>557</v>
      </c>
      <c r="C302" s="451">
        <v>46114</v>
      </c>
      <c r="D302" t="s">
        <v>590</v>
      </c>
      <c r="E302" t="s">
        <v>3905</v>
      </c>
      <c r="F302">
        <v>7192</v>
      </c>
      <c r="G302">
        <v>197.94</v>
      </c>
      <c r="H302">
        <v>6994.06</v>
      </c>
    </row>
    <row r="303" spans="1:8" x14ac:dyDescent="0.3">
      <c r="A303">
        <v>105</v>
      </c>
      <c r="B303" t="s">
        <v>557</v>
      </c>
      <c r="C303" s="451">
        <v>46114</v>
      </c>
      <c r="D303" t="s">
        <v>590</v>
      </c>
      <c r="E303" t="s">
        <v>3904</v>
      </c>
      <c r="F303">
        <v>3643</v>
      </c>
      <c r="G303">
        <v>98.4</v>
      </c>
      <c r="H303">
        <v>3544.6</v>
      </c>
    </row>
    <row r="304" spans="1:8" x14ac:dyDescent="0.3">
      <c r="A304">
        <v>105</v>
      </c>
      <c r="B304" t="s">
        <v>557</v>
      </c>
      <c r="C304" s="451">
        <v>46114</v>
      </c>
      <c r="D304" t="s">
        <v>590</v>
      </c>
      <c r="E304" t="s">
        <v>20</v>
      </c>
      <c r="F304">
        <v>1388.01</v>
      </c>
      <c r="G304">
        <v>0</v>
      </c>
      <c r="H304">
        <v>1388.01</v>
      </c>
    </row>
    <row r="305" spans="1:8" x14ac:dyDescent="0.3">
      <c r="A305">
        <v>105</v>
      </c>
      <c r="B305" t="s">
        <v>557</v>
      </c>
      <c r="C305" s="451">
        <v>46113</v>
      </c>
      <c r="D305" t="s">
        <v>590</v>
      </c>
      <c r="E305" t="s">
        <v>3904</v>
      </c>
      <c r="F305">
        <v>3301.5</v>
      </c>
      <c r="G305">
        <v>84.94</v>
      </c>
      <c r="H305">
        <v>3216.56</v>
      </c>
    </row>
    <row r="306" spans="1:8" x14ac:dyDescent="0.3">
      <c r="A306">
        <v>105</v>
      </c>
      <c r="B306" t="s">
        <v>557</v>
      </c>
      <c r="C306" s="451">
        <v>46113</v>
      </c>
      <c r="D306" t="s">
        <v>590</v>
      </c>
      <c r="E306" t="s">
        <v>3905</v>
      </c>
      <c r="F306">
        <v>10275</v>
      </c>
      <c r="G306">
        <v>372.18</v>
      </c>
      <c r="H306">
        <v>9902.82</v>
      </c>
    </row>
    <row r="307" spans="1:8" x14ac:dyDescent="0.3">
      <c r="A307">
        <v>105</v>
      </c>
      <c r="B307" t="s">
        <v>557</v>
      </c>
      <c r="C307" s="451">
        <v>46113</v>
      </c>
      <c r="D307" t="s">
        <v>590</v>
      </c>
      <c r="E307" t="s">
        <v>20</v>
      </c>
      <c r="F307">
        <v>1712.95</v>
      </c>
      <c r="G307">
        <v>0</v>
      </c>
      <c r="H307">
        <v>1712.95</v>
      </c>
    </row>
    <row r="308" spans="1:8" x14ac:dyDescent="0.3">
      <c r="A308">
        <v>105</v>
      </c>
      <c r="B308" t="s">
        <v>557</v>
      </c>
      <c r="C308" s="451">
        <v>46112</v>
      </c>
      <c r="D308" t="s">
        <v>588</v>
      </c>
      <c r="E308" t="s">
        <v>3904</v>
      </c>
      <c r="F308">
        <v>1032.5999999999999</v>
      </c>
      <c r="G308">
        <v>58.84</v>
      </c>
      <c r="H308">
        <v>973.76</v>
      </c>
    </row>
    <row r="309" spans="1:8" x14ac:dyDescent="0.3">
      <c r="A309">
        <v>105</v>
      </c>
      <c r="B309" t="s">
        <v>557</v>
      </c>
      <c r="C309" s="451">
        <v>46112</v>
      </c>
      <c r="D309" t="s">
        <v>588</v>
      </c>
      <c r="E309" t="s">
        <v>3905</v>
      </c>
      <c r="F309">
        <v>5739.8</v>
      </c>
      <c r="G309">
        <v>236.33</v>
      </c>
      <c r="H309">
        <v>5503.47</v>
      </c>
    </row>
    <row r="310" spans="1:8" x14ac:dyDescent="0.3">
      <c r="A310">
        <v>105</v>
      </c>
      <c r="B310" t="s">
        <v>557</v>
      </c>
      <c r="C310" s="451">
        <v>46112</v>
      </c>
      <c r="D310" t="s">
        <v>588</v>
      </c>
      <c r="E310" t="s">
        <v>20</v>
      </c>
      <c r="F310">
        <v>815.69</v>
      </c>
      <c r="G310">
        <v>0</v>
      </c>
      <c r="H310">
        <v>815.69</v>
      </c>
    </row>
    <row r="311" spans="1:8" x14ac:dyDescent="0.3">
      <c r="A311">
        <v>105</v>
      </c>
      <c r="B311" t="s">
        <v>557</v>
      </c>
      <c r="C311" s="451">
        <v>46111</v>
      </c>
      <c r="D311" t="s">
        <v>588</v>
      </c>
      <c r="E311" t="s">
        <v>3904</v>
      </c>
      <c r="F311">
        <v>4771.5</v>
      </c>
      <c r="G311">
        <v>4323</v>
      </c>
      <c r="H311">
        <v>448.5</v>
      </c>
    </row>
    <row r="312" spans="1:8" x14ac:dyDescent="0.3">
      <c r="A312">
        <v>105</v>
      </c>
      <c r="B312" t="s">
        <v>557</v>
      </c>
      <c r="C312" s="451">
        <v>46111</v>
      </c>
      <c r="D312" t="s">
        <v>588</v>
      </c>
      <c r="E312" t="s">
        <v>3905</v>
      </c>
      <c r="F312">
        <v>4014.1</v>
      </c>
      <c r="G312">
        <v>143.80000000000001</v>
      </c>
      <c r="H312">
        <v>3870.3</v>
      </c>
    </row>
    <row r="313" spans="1:8" x14ac:dyDescent="0.3">
      <c r="A313">
        <v>105</v>
      </c>
      <c r="B313" t="s">
        <v>557</v>
      </c>
      <c r="C313" s="451">
        <v>46111</v>
      </c>
      <c r="D313" t="s">
        <v>588</v>
      </c>
      <c r="E313" t="s">
        <v>20</v>
      </c>
      <c r="F313">
        <v>359.11</v>
      </c>
      <c r="G313">
        <v>0</v>
      </c>
      <c r="H313">
        <v>359.11</v>
      </c>
    </row>
    <row r="314" spans="1:8" x14ac:dyDescent="0.3">
      <c r="A314">
        <v>105</v>
      </c>
      <c r="B314" t="s">
        <v>557</v>
      </c>
      <c r="C314" s="451">
        <v>46110</v>
      </c>
      <c r="D314" t="s">
        <v>588</v>
      </c>
      <c r="E314" t="s">
        <v>3904</v>
      </c>
      <c r="F314">
        <v>4332.6000000000004</v>
      </c>
      <c r="G314">
        <v>122.22</v>
      </c>
      <c r="H314">
        <v>4210.38</v>
      </c>
    </row>
    <row r="315" spans="1:8" x14ac:dyDescent="0.3">
      <c r="A315">
        <v>105</v>
      </c>
      <c r="B315" t="s">
        <v>557</v>
      </c>
      <c r="C315" s="451">
        <v>46110</v>
      </c>
      <c r="D315" t="s">
        <v>588</v>
      </c>
      <c r="E315" t="s">
        <v>3905</v>
      </c>
      <c r="F315">
        <v>8563.5</v>
      </c>
      <c r="G315">
        <v>1478.88</v>
      </c>
      <c r="H315">
        <v>7084.62</v>
      </c>
    </row>
    <row r="316" spans="1:8" x14ac:dyDescent="0.3">
      <c r="A316">
        <v>105</v>
      </c>
      <c r="B316" t="s">
        <v>557</v>
      </c>
      <c r="C316" s="451">
        <v>46110</v>
      </c>
      <c r="D316" t="s">
        <v>588</v>
      </c>
      <c r="E316" t="s">
        <v>20</v>
      </c>
      <c r="F316">
        <v>1424.04</v>
      </c>
      <c r="G316">
        <v>0</v>
      </c>
      <c r="H316">
        <v>1424.04</v>
      </c>
    </row>
    <row r="317" spans="1:8" x14ac:dyDescent="0.3">
      <c r="A317">
        <v>105</v>
      </c>
      <c r="B317" t="s">
        <v>557</v>
      </c>
      <c r="C317" s="451">
        <v>46109</v>
      </c>
      <c r="D317" t="s">
        <v>588</v>
      </c>
      <c r="E317" t="s">
        <v>3905</v>
      </c>
      <c r="F317">
        <v>23591</v>
      </c>
      <c r="G317">
        <v>3690.98</v>
      </c>
      <c r="H317">
        <v>19900.02</v>
      </c>
    </row>
    <row r="318" spans="1:8" x14ac:dyDescent="0.3">
      <c r="A318">
        <v>105</v>
      </c>
      <c r="B318" t="s">
        <v>557</v>
      </c>
      <c r="C318" s="451">
        <v>46109</v>
      </c>
      <c r="D318" t="s">
        <v>588</v>
      </c>
      <c r="E318" t="s">
        <v>3904</v>
      </c>
      <c r="F318">
        <v>18544</v>
      </c>
      <c r="G318">
        <v>530.37</v>
      </c>
      <c r="H318">
        <v>18013.63</v>
      </c>
    </row>
    <row r="319" spans="1:8" x14ac:dyDescent="0.3">
      <c r="A319">
        <v>105</v>
      </c>
      <c r="B319" t="s">
        <v>557</v>
      </c>
      <c r="C319" s="451">
        <v>46109</v>
      </c>
      <c r="D319" t="s">
        <v>588</v>
      </c>
      <c r="E319" t="s">
        <v>3906</v>
      </c>
      <c r="F319">
        <v>2080</v>
      </c>
      <c r="G319">
        <v>40</v>
      </c>
      <c r="H319">
        <v>2040</v>
      </c>
    </row>
    <row r="320" spans="1:8" x14ac:dyDescent="0.3">
      <c r="A320">
        <v>105</v>
      </c>
      <c r="B320" t="s">
        <v>557</v>
      </c>
      <c r="C320" s="451">
        <v>46109</v>
      </c>
      <c r="D320" t="s">
        <v>588</v>
      </c>
      <c r="E320" t="s">
        <v>20</v>
      </c>
      <c r="F320">
        <v>5195.6099999999997</v>
      </c>
      <c r="G320">
        <v>0</v>
      </c>
      <c r="H320">
        <v>5195.6099999999997</v>
      </c>
    </row>
    <row r="321" spans="1:8" x14ac:dyDescent="0.3">
      <c r="A321">
        <v>105</v>
      </c>
      <c r="B321" t="s">
        <v>557</v>
      </c>
      <c r="C321" s="451">
        <v>46108</v>
      </c>
      <c r="D321" t="s">
        <v>588</v>
      </c>
      <c r="E321" t="s">
        <v>3904</v>
      </c>
      <c r="F321">
        <v>4175.8999999999996</v>
      </c>
      <c r="G321">
        <v>33.1</v>
      </c>
      <c r="H321">
        <v>4142.8</v>
      </c>
    </row>
    <row r="322" spans="1:8" x14ac:dyDescent="0.3">
      <c r="A322">
        <v>105</v>
      </c>
      <c r="B322" t="s">
        <v>557</v>
      </c>
      <c r="C322" s="451">
        <v>46108</v>
      </c>
      <c r="D322" t="s">
        <v>588</v>
      </c>
      <c r="E322" t="s">
        <v>3905</v>
      </c>
      <c r="F322">
        <v>8971.9</v>
      </c>
      <c r="G322">
        <v>179.1</v>
      </c>
      <c r="H322">
        <v>8792.7999999999993</v>
      </c>
    </row>
    <row r="323" spans="1:8" x14ac:dyDescent="0.3">
      <c r="A323">
        <v>105</v>
      </c>
      <c r="B323" t="s">
        <v>557</v>
      </c>
      <c r="C323" s="451">
        <v>46108</v>
      </c>
      <c r="D323" t="s">
        <v>588</v>
      </c>
      <c r="E323" t="s">
        <v>20</v>
      </c>
      <c r="F323">
        <v>1700.2</v>
      </c>
      <c r="G323">
        <v>0</v>
      </c>
      <c r="H323">
        <v>1700.2</v>
      </c>
    </row>
    <row r="324" spans="1:8" x14ac:dyDescent="0.3">
      <c r="A324">
        <v>105</v>
      </c>
      <c r="B324" t="s">
        <v>557</v>
      </c>
      <c r="C324" s="451">
        <v>46107</v>
      </c>
      <c r="D324" t="s">
        <v>588</v>
      </c>
      <c r="E324" t="s">
        <v>3904</v>
      </c>
      <c r="F324">
        <v>2519.9</v>
      </c>
      <c r="G324">
        <v>85.64</v>
      </c>
      <c r="H324">
        <v>2434.2600000000002</v>
      </c>
    </row>
    <row r="325" spans="1:8" x14ac:dyDescent="0.3">
      <c r="A325">
        <v>105</v>
      </c>
      <c r="B325" t="s">
        <v>557</v>
      </c>
      <c r="C325" s="451">
        <v>46107</v>
      </c>
      <c r="D325" t="s">
        <v>588</v>
      </c>
      <c r="E325" t="s">
        <v>3905</v>
      </c>
      <c r="F325">
        <v>8441.2000000000007</v>
      </c>
      <c r="G325">
        <v>271.20999999999998</v>
      </c>
      <c r="H325">
        <v>8169.99</v>
      </c>
    </row>
    <row r="326" spans="1:8" x14ac:dyDescent="0.3">
      <c r="A326">
        <v>105</v>
      </c>
      <c r="B326" t="s">
        <v>557</v>
      </c>
      <c r="C326" s="451">
        <v>46107</v>
      </c>
      <c r="D326" t="s">
        <v>588</v>
      </c>
      <c r="E326" t="s">
        <v>20</v>
      </c>
      <c r="F326">
        <v>1382.45</v>
      </c>
      <c r="G326">
        <v>0</v>
      </c>
      <c r="H326">
        <v>1382.45</v>
      </c>
    </row>
    <row r="327" spans="1:8" x14ac:dyDescent="0.3">
      <c r="A327">
        <v>105</v>
      </c>
      <c r="B327" t="s">
        <v>557</v>
      </c>
      <c r="C327" s="451">
        <v>46106</v>
      </c>
      <c r="D327" t="s">
        <v>588</v>
      </c>
      <c r="E327" t="s">
        <v>3904</v>
      </c>
      <c r="F327">
        <v>1733.3</v>
      </c>
      <c r="G327">
        <v>97.22</v>
      </c>
      <c r="H327">
        <v>1636.08</v>
      </c>
    </row>
    <row r="328" spans="1:8" x14ac:dyDescent="0.3">
      <c r="A328">
        <v>105</v>
      </c>
      <c r="B328" t="s">
        <v>557</v>
      </c>
      <c r="C328" s="451">
        <v>46106</v>
      </c>
      <c r="D328" t="s">
        <v>588</v>
      </c>
      <c r="E328" t="s">
        <v>3905</v>
      </c>
      <c r="F328">
        <v>6221.4</v>
      </c>
      <c r="G328">
        <v>139.51</v>
      </c>
      <c r="H328">
        <v>6081.89</v>
      </c>
    </row>
    <row r="329" spans="1:8" x14ac:dyDescent="0.3">
      <c r="A329">
        <v>105</v>
      </c>
      <c r="B329" t="s">
        <v>557</v>
      </c>
      <c r="C329" s="451">
        <v>46106</v>
      </c>
      <c r="D329" t="s">
        <v>588</v>
      </c>
      <c r="E329" t="s">
        <v>20</v>
      </c>
      <c r="F329">
        <v>1012.12</v>
      </c>
      <c r="G329">
        <v>0</v>
      </c>
      <c r="H329">
        <v>1012.12</v>
      </c>
    </row>
    <row r="330" spans="1:8" x14ac:dyDescent="0.3">
      <c r="A330">
        <v>105</v>
      </c>
      <c r="B330" t="s">
        <v>557</v>
      </c>
      <c r="C330" s="451">
        <v>46105</v>
      </c>
      <c r="D330" t="s">
        <v>588</v>
      </c>
      <c r="E330" t="s">
        <v>3904</v>
      </c>
      <c r="F330">
        <v>939</v>
      </c>
      <c r="G330">
        <v>203.45</v>
      </c>
      <c r="H330">
        <v>735.55</v>
      </c>
    </row>
    <row r="331" spans="1:8" x14ac:dyDescent="0.3">
      <c r="A331">
        <v>105</v>
      </c>
      <c r="B331" t="s">
        <v>557</v>
      </c>
      <c r="C331" s="451">
        <v>46105</v>
      </c>
      <c r="D331" t="s">
        <v>588</v>
      </c>
      <c r="E331" t="s">
        <v>3905</v>
      </c>
      <c r="F331">
        <v>6742.2</v>
      </c>
      <c r="G331">
        <v>1343.2</v>
      </c>
      <c r="H331">
        <v>5399</v>
      </c>
    </row>
    <row r="332" spans="1:8" x14ac:dyDescent="0.3">
      <c r="A332">
        <v>105</v>
      </c>
      <c r="B332" t="s">
        <v>557</v>
      </c>
      <c r="C332" s="451">
        <v>46105</v>
      </c>
      <c r="D332" t="s">
        <v>588</v>
      </c>
      <c r="E332" t="s">
        <v>20</v>
      </c>
      <c r="F332">
        <v>806.98</v>
      </c>
      <c r="G332">
        <v>0</v>
      </c>
      <c r="H332">
        <v>806.98</v>
      </c>
    </row>
    <row r="333" spans="1:8" x14ac:dyDescent="0.3">
      <c r="A333">
        <v>105</v>
      </c>
      <c r="B333" t="s">
        <v>557</v>
      </c>
      <c r="C333" s="451">
        <v>46104</v>
      </c>
      <c r="D333" t="s">
        <v>588</v>
      </c>
      <c r="E333" t="s">
        <v>3904</v>
      </c>
      <c r="F333">
        <v>546.5</v>
      </c>
      <c r="G333">
        <v>12</v>
      </c>
      <c r="H333">
        <v>534.5</v>
      </c>
    </row>
    <row r="334" spans="1:8" x14ac:dyDescent="0.3">
      <c r="A334">
        <v>105</v>
      </c>
      <c r="B334" t="s">
        <v>557</v>
      </c>
      <c r="C334" s="451">
        <v>46104</v>
      </c>
      <c r="D334" t="s">
        <v>588</v>
      </c>
      <c r="E334" t="s">
        <v>3905</v>
      </c>
      <c r="F334">
        <v>3958.3</v>
      </c>
      <c r="G334">
        <v>107.94</v>
      </c>
      <c r="H334">
        <v>3850.36</v>
      </c>
    </row>
    <row r="335" spans="1:8" x14ac:dyDescent="0.3">
      <c r="A335">
        <v>105</v>
      </c>
      <c r="B335" t="s">
        <v>557</v>
      </c>
      <c r="C335" s="451">
        <v>46104</v>
      </c>
      <c r="D335" t="s">
        <v>588</v>
      </c>
      <c r="E335" t="s">
        <v>20</v>
      </c>
      <c r="F335">
        <v>554.16999999999996</v>
      </c>
      <c r="G335">
        <v>0</v>
      </c>
      <c r="H335">
        <v>554.16999999999996</v>
      </c>
    </row>
    <row r="336" spans="1:8" x14ac:dyDescent="0.3">
      <c r="A336">
        <v>105</v>
      </c>
      <c r="B336" t="s">
        <v>557</v>
      </c>
      <c r="C336" s="451">
        <v>46103</v>
      </c>
      <c r="D336" t="s">
        <v>588</v>
      </c>
      <c r="E336" t="s">
        <v>3905</v>
      </c>
      <c r="F336">
        <v>13932.5</v>
      </c>
      <c r="G336">
        <v>965.91</v>
      </c>
      <c r="H336">
        <v>12966.59</v>
      </c>
    </row>
    <row r="337" spans="1:8" x14ac:dyDescent="0.3">
      <c r="A337">
        <v>105</v>
      </c>
      <c r="B337" t="s">
        <v>557</v>
      </c>
      <c r="C337" s="451">
        <v>46103</v>
      </c>
      <c r="D337" t="s">
        <v>588</v>
      </c>
      <c r="E337" t="s">
        <v>3904</v>
      </c>
      <c r="F337">
        <v>4798.5</v>
      </c>
      <c r="G337">
        <v>451.52</v>
      </c>
      <c r="H337">
        <v>4346.9799999999996</v>
      </c>
    </row>
    <row r="338" spans="1:8" x14ac:dyDescent="0.3">
      <c r="A338">
        <v>105</v>
      </c>
      <c r="B338" t="s">
        <v>557</v>
      </c>
      <c r="C338" s="451">
        <v>46103</v>
      </c>
      <c r="D338" t="s">
        <v>588</v>
      </c>
      <c r="E338" t="s">
        <v>20</v>
      </c>
      <c r="F338">
        <v>2299.0100000000002</v>
      </c>
      <c r="G338">
        <v>0</v>
      </c>
      <c r="H338">
        <v>2299.0100000000002</v>
      </c>
    </row>
    <row r="339" spans="1:8" x14ac:dyDescent="0.3">
      <c r="A339">
        <v>105</v>
      </c>
      <c r="B339" t="s">
        <v>557</v>
      </c>
      <c r="C339" s="451">
        <v>46102</v>
      </c>
      <c r="D339" t="s">
        <v>588</v>
      </c>
      <c r="E339" t="s">
        <v>3905</v>
      </c>
      <c r="F339">
        <v>17904.5</v>
      </c>
      <c r="G339">
        <v>850.14</v>
      </c>
      <c r="H339">
        <v>17054.36</v>
      </c>
    </row>
    <row r="340" spans="1:8" x14ac:dyDescent="0.3">
      <c r="A340">
        <v>105</v>
      </c>
      <c r="B340" t="s">
        <v>557</v>
      </c>
      <c r="C340" s="451">
        <v>46102</v>
      </c>
      <c r="D340" t="s">
        <v>588</v>
      </c>
      <c r="E340" t="s">
        <v>3904</v>
      </c>
      <c r="F340">
        <v>21006</v>
      </c>
      <c r="G340">
        <v>482.55</v>
      </c>
      <c r="H340">
        <v>20523.45</v>
      </c>
    </row>
    <row r="341" spans="1:8" x14ac:dyDescent="0.3">
      <c r="A341">
        <v>105</v>
      </c>
      <c r="B341" t="s">
        <v>557</v>
      </c>
      <c r="C341" s="451">
        <v>46102</v>
      </c>
      <c r="D341" t="s">
        <v>588</v>
      </c>
      <c r="E341" t="s">
        <v>3906</v>
      </c>
      <c r="F341">
        <v>500</v>
      </c>
      <c r="G341">
        <v>6</v>
      </c>
      <c r="H341">
        <v>494</v>
      </c>
    </row>
    <row r="342" spans="1:8" x14ac:dyDescent="0.3">
      <c r="A342">
        <v>105</v>
      </c>
      <c r="B342" t="s">
        <v>557</v>
      </c>
      <c r="C342" s="451">
        <v>46102</v>
      </c>
      <c r="D342" t="s">
        <v>588</v>
      </c>
      <c r="E342" t="s">
        <v>20</v>
      </c>
      <c r="F342">
        <v>4936.04</v>
      </c>
      <c r="G342">
        <v>0</v>
      </c>
      <c r="H342">
        <v>4936.04</v>
      </c>
    </row>
    <row r="343" spans="1:8" x14ac:dyDescent="0.3">
      <c r="A343">
        <v>105</v>
      </c>
      <c r="B343" t="s">
        <v>557</v>
      </c>
      <c r="C343" s="451">
        <v>46101</v>
      </c>
      <c r="D343" t="s">
        <v>588</v>
      </c>
      <c r="E343" t="s">
        <v>3904</v>
      </c>
      <c r="F343">
        <v>4162.3</v>
      </c>
      <c r="G343">
        <v>330.42</v>
      </c>
      <c r="H343">
        <v>3831.88</v>
      </c>
    </row>
    <row r="344" spans="1:8" x14ac:dyDescent="0.3">
      <c r="A344">
        <v>105</v>
      </c>
      <c r="B344" t="s">
        <v>557</v>
      </c>
      <c r="C344" s="451">
        <v>46101</v>
      </c>
      <c r="D344" t="s">
        <v>588</v>
      </c>
      <c r="E344" t="s">
        <v>3905</v>
      </c>
      <c r="F344">
        <v>7842.4</v>
      </c>
      <c r="G344">
        <v>891.26</v>
      </c>
      <c r="H344">
        <v>6951.14</v>
      </c>
    </row>
    <row r="345" spans="1:8" x14ac:dyDescent="0.3">
      <c r="A345">
        <v>105</v>
      </c>
      <c r="B345" t="s">
        <v>557</v>
      </c>
      <c r="C345" s="451">
        <v>46101</v>
      </c>
      <c r="D345" t="s">
        <v>588</v>
      </c>
      <c r="E345" t="s">
        <v>20</v>
      </c>
      <c r="F345">
        <v>1445.85</v>
      </c>
      <c r="G345">
        <v>0</v>
      </c>
      <c r="H345">
        <v>1445.85</v>
      </c>
    </row>
    <row r="346" spans="1:8" x14ac:dyDescent="0.3">
      <c r="A346">
        <v>105</v>
      </c>
      <c r="B346" t="s">
        <v>557</v>
      </c>
      <c r="C346" s="451">
        <v>46100</v>
      </c>
      <c r="D346" t="s">
        <v>588</v>
      </c>
      <c r="E346" t="s">
        <v>3904</v>
      </c>
      <c r="F346">
        <v>3210.7</v>
      </c>
      <c r="G346">
        <v>108</v>
      </c>
      <c r="H346">
        <v>3102.7</v>
      </c>
    </row>
    <row r="347" spans="1:8" x14ac:dyDescent="0.3">
      <c r="A347">
        <v>105</v>
      </c>
      <c r="B347" t="s">
        <v>557</v>
      </c>
      <c r="C347" s="451">
        <v>46100</v>
      </c>
      <c r="D347" t="s">
        <v>588</v>
      </c>
      <c r="E347" t="s">
        <v>3905</v>
      </c>
      <c r="F347">
        <v>5492.8</v>
      </c>
      <c r="G347">
        <v>261.81</v>
      </c>
      <c r="H347">
        <v>5230.99</v>
      </c>
    </row>
    <row r="348" spans="1:8" x14ac:dyDescent="0.3">
      <c r="A348">
        <v>105</v>
      </c>
      <c r="B348" t="s">
        <v>557</v>
      </c>
      <c r="C348" s="451">
        <v>46100</v>
      </c>
      <c r="D348" t="s">
        <v>588</v>
      </c>
      <c r="E348" t="s">
        <v>20</v>
      </c>
      <c r="F348">
        <v>1053.26</v>
      </c>
      <c r="G348">
        <v>0</v>
      </c>
      <c r="H348">
        <v>1053.26</v>
      </c>
    </row>
    <row r="349" spans="1:8" x14ac:dyDescent="0.3">
      <c r="A349">
        <v>105</v>
      </c>
      <c r="B349" t="s">
        <v>557</v>
      </c>
      <c r="C349" s="451">
        <v>46099</v>
      </c>
      <c r="D349" t="s">
        <v>588</v>
      </c>
      <c r="E349" t="s">
        <v>3904</v>
      </c>
      <c r="F349">
        <v>2299</v>
      </c>
      <c r="G349">
        <v>241.16</v>
      </c>
      <c r="H349">
        <v>2057.84</v>
      </c>
    </row>
    <row r="350" spans="1:8" x14ac:dyDescent="0.3">
      <c r="A350">
        <v>105</v>
      </c>
      <c r="B350" t="s">
        <v>557</v>
      </c>
      <c r="C350" s="451">
        <v>46099</v>
      </c>
      <c r="D350" t="s">
        <v>588</v>
      </c>
      <c r="E350" t="s">
        <v>3905</v>
      </c>
      <c r="F350">
        <v>10694.7</v>
      </c>
      <c r="G350">
        <v>368.68</v>
      </c>
      <c r="H350">
        <v>10326.02</v>
      </c>
    </row>
    <row r="351" spans="1:8" x14ac:dyDescent="0.3">
      <c r="A351">
        <v>105</v>
      </c>
      <c r="B351" t="s">
        <v>557</v>
      </c>
      <c r="C351" s="451">
        <v>46099</v>
      </c>
      <c r="D351" t="s">
        <v>588</v>
      </c>
      <c r="E351" t="s">
        <v>20</v>
      </c>
      <c r="F351">
        <v>1575.28</v>
      </c>
      <c r="G351">
        <v>0</v>
      </c>
      <c r="H351">
        <v>1575.28</v>
      </c>
    </row>
    <row r="352" spans="1:8" x14ac:dyDescent="0.3">
      <c r="A352">
        <v>105</v>
      </c>
      <c r="B352" t="s">
        <v>557</v>
      </c>
      <c r="C352" s="451">
        <v>46098</v>
      </c>
      <c r="D352" t="s">
        <v>588</v>
      </c>
      <c r="E352" t="s">
        <v>3904</v>
      </c>
      <c r="F352">
        <v>1077.0999999999999</v>
      </c>
      <c r="G352">
        <v>140.6</v>
      </c>
      <c r="H352">
        <v>936.5</v>
      </c>
    </row>
    <row r="353" spans="1:8" x14ac:dyDescent="0.3">
      <c r="A353">
        <v>105</v>
      </c>
      <c r="B353" t="s">
        <v>557</v>
      </c>
      <c r="C353" s="451">
        <v>46098</v>
      </c>
      <c r="D353" t="s">
        <v>588</v>
      </c>
      <c r="E353" t="s">
        <v>3905</v>
      </c>
      <c r="F353">
        <v>7662.8</v>
      </c>
      <c r="G353">
        <v>294.67</v>
      </c>
      <c r="H353">
        <v>7368.13</v>
      </c>
    </row>
    <row r="354" spans="1:8" x14ac:dyDescent="0.3">
      <c r="A354">
        <v>105</v>
      </c>
      <c r="B354" t="s">
        <v>557</v>
      </c>
      <c r="C354" s="451">
        <v>46098</v>
      </c>
      <c r="D354" t="s">
        <v>588</v>
      </c>
      <c r="E354" t="s">
        <v>20</v>
      </c>
      <c r="F354">
        <v>1105.08</v>
      </c>
      <c r="G354">
        <v>0</v>
      </c>
      <c r="H354">
        <v>1105.08</v>
      </c>
    </row>
    <row r="355" spans="1:8" x14ac:dyDescent="0.3">
      <c r="A355">
        <v>105</v>
      </c>
      <c r="B355" t="s">
        <v>557</v>
      </c>
      <c r="C355" s="451">
        <v>46097</v>
      </c>
      <c r="D355" t="s">
        <v>588</v>
      </c>
      <c r="E355" t="s">
        <v>3904</v>
      </c>
      <c r="F355">
        <v>396.8</v>
      </c>
      <c r="G355">
        <v>4.5</v>
      </c>
      <c r="H355">
        <v>392.3</v>
      </c>
    </row>
    <row r="356" spans="1:8" x14ac:dyDescent="0.3">
      <c r="A356">
        <v>105</v>
      </c>
      <c r="B356" t="s">
        <v>557</v>
      </c>
      <c r="C356" s="451">
        <v>46097</v>
      </c>
      <c r="D356" t="s">
        <v>588</v>
      </c>
      <c r="E356" t="s">
        <v>3905</v>
      </c>
      <c r="F356">
        <v>3338.7</v>
      </c>
      <c r="G356">
        <v>3.45</v>
      </c>
      <c r="H356">
        <v>3335.25</v>
      </c>
    </row>
    <row r="357" spans="1:8" x14ac:dyDescent="0.3">
      <c r="A357">
        <v>105</v>
      </c>
      <c r="B357" t="s">
        <v>557</v>
      </c>
      <c r="C357" s="451">
        <v>46097</v>
      </c>
      <c r="D357" t="s">
        <v>588</v>
      </c>
      <c r="E357" t="s">
        <v>20</v>
      </c>
      <c r="F357">
        <v>475.02</v>
      </c>
      <c r="G357">
        <v>0</v>
      </c>
      <c r="H357">
        <v>475.02</v>
      </c>
    </row>
    <row r="358" spans="1:8" x14ac:dyDescent="0.3">
      <c r="A358">
        <v>105</v>
      </c>
      <c r="B358" t="s">
        <v>557</v>
      </c>
      <c r="C358" s="451">
        <v>46096</v>
      </c>
      <c r="D358" t="s">
        <v>588</v>
      </c>
      <c r="E358" t="s">
        <v>3904</v>
      </c>
      <c r="F358">
        <v>7013.2</v>
      </c>
      <c r="G358">
        <v>320.89999999999998</v>
      </c>
      <c r="H358">
        <v>6692.3</v>
      </c>
    </row>
    <row r="359" spans="1:8" x14ac:dyDescent="0.3">
      <c r="A359">
        <v>105</v>
      </c>
      <c r="B359" t="s">
        <v>557</v>
      </c>
      <c r="C359" s="451">
        <v>46096</v>
      </c>
      <c r="D359" t="s">
        <v>588</v>
      </c>
      <c r="E359" t="s">
        <v>3905</v>
      </c>
      <c r="F359">
        <v>14177.4</v>
      </c>
      <c r="G359">
        <v>432.54</v>
      </c>
      <c r="H359">
        <v>13744.86</v>
      </c>
    </row>
    <row r="360" spans="1:8" x14ac:dyDescent="0.3">
      <c r="A360">
        <v>105</v>
      </c>
      <c r="B360" t="s">
        <v>557</v>
      </c>
      <c r="C360" s="451">
        <v>46096</v>
      </c>
      <c r="D360" t="s">
        <v>588</v>
      </c>
      <c r="E360" t="s">
        <v>20</v>
      </c>
      <c r="F360">
        <v>2565.37</v>
      </c>
      <c r="G360">
        <v>0</v>
      </c>
      <c r="H360">
        <v>2565.37</v>
      </c>
    </row>
    <row r="361" spans="1:8" x14ac:dyDescent="0.3">
      <c r="A361">
        <v>105</v>
      </c>
      <c r="B361" t="s">
        <v>557</v>
      </c>
      <c r="C361" s="451">
        <v>46095</v>
      </c>
      <c r="D361" t="s">
        <v>588</v>
      </c>
      <c r="E361" t="s">
        <v>3904</v>
      </c>
      <c r="F361">
        <v>10552.4</v>
      </c>
      <c r="G361">
        <v>324.41000000000003</v>
      </c>
      <c r="H361">
        <v>10227.99</v>
      </c>
    </row>
    <row r="362" spans="1:8" x14ac:dyDescent="0.3">
      <c r="A362">
        <v>105</v>
      </c>
      <c r="B362" t="s">
        <v>557</v>
      </c>
      <c r="C362" s="451">
        <v>46095</v>
      </c>
      <c r="D362" t="s">
        <v>588</v>
      </c>
      <c r="E362" t="s">
        <v>3905</v>
      </c>
      <c r="F362">
        <v>18595.400000000001</v>
      </c>
      <c r="G362">
        <v>537.83000000000004</v>
      </c>
      <c r="H362">
        <v>18057.57</v>
      </c>
    </row>
    <row r="363" spans="1:8" x14ac:dyDescent="0.3">
      <c r="A363">
        <v>105</v>
      </c>
      <c r="B363" t="s">
        <v>557</v>
      </c>
      <c r="C363" s="451">
        <v>46095</v>
      </c>
      <c r="D363" t="s">
        <v>588</v>
      </c>
      <c r="E363" t="s">
        <v>3906</v>
      </c>
      <c r="F363">
        <v>860</v>
      </c>
      <c r="G363">
        <v>20</v>
      </c>
      <c r="H363">
        <v>840</v>
      </c>
    </row>
    <row r="364" spans="1:8" x14ac:dyDescent="0.3">
      <c r="A364">
        <v>105</v>
      </c>
      <c r="B364" t="s">
        <v>557</v>
      </c>
      <c r="C364" s="451">
        <v>46095</v>
      </c>
      <c r="D364" t="s">
        <v>588</v>
      </c>
      <c r="E364" t="s">
        <v>20</v>
      </c>
      <c r="F364">
        <v>3636.95</v>
      </c>
      <c r="G364">
        <v>0</v>
      </c>
      <c r="H364">
        <v>3636.95</v>
      </c>
    </row>
    <row r="365" spans="1:8" x14ac:dyDescent="0.3">
      <c r="A365">
        <v>105</v>
      </c>
      <c r="B365" t="s">
        <v>557</v>
      </c>
      <c r="C365" s="451">
        <v>46094</v>
      </c>
      <c r="D365" t="s">
        <v>588</v>
      </c>
      <c r="E365" t="s">
        <v>3904</v>
      </c>
      <c r="F365">
        <v>2904.4</v>
      </c>
      <c r="G365">
        <v>165.72</v>
      </c>
      <c r="H365">
        <v>2738.68</v>
      </c>
    </row>
    <row r="366" spans="1:8" x14ac:dyDescent="0.3">
      <c r="A366">
        <v>105</v>
      </c>
      <c r="B366" t="s">
        <v>557</v>
      </c>
      <c r="C366" s="451">
        <v>46094</v>
      </c>
      <c r="D366" t="s">
        <v>588</v>
      </c>
      <c r="E366" t="s">
        <v>3905</v>
      </c>
      <c r="F366">
        <v>5576.3</v>
      </c>
      <c r="G366">
        <v>491.02</v>
      </c>
      <c r="H366">
        <v>5085.28</v>
      </c>
    </row>
    <row r="367" spans="1:8" x14ac:dyDescent="0.3">
      <c r="A367">
        <v>105</v>
      </c>
      <c r="B367" t="s">
        <v>557</v>
      </c>
      <c r="C367" s="451">
        <v>46094</v>
      </c>
      <c r="D367" t="s">
        <v>588</v>
      </c>
      <c r="E367" t="s">
        <v>20</v>
      </c>
      <c r="F367">
        <v>933.1</v>
      </c>
      <c r="G367">
        <v>0</v>
      </c>
      <c r="H367">
        <v>933.1</v>
      </c>
    </row>
    <row r="368" spans="1:8" x14ac:dyDescent="0.3">
      <c r="A368">
        <v>105</v>
      </c>
      <c r="B368" t="s">
        <v>557</v>
      </c>
      <c r="C368" s="451">
        <v>46093</v>
      </c>
      <c r="D368" t="s">
        <v>588</v>
      </c>
      <c r="E368" t="s">
        <v>3904</v>
      </c>
      <c r="F368">
        <v>1441.4</v>
      </c>
      <c r="G368">
        <v>50.76</v>
      </c>
      <c r="H368">
        <v>1390.64</v>
      </c>
    </row>
    <row r="369" spans="1:8" x14ac:dyDescent="0.3">
      <c r="A369">
        <v>105</v>
      </c>
      <c r="B369" t="s">
        <v>557</v>
      </c>
      <c r="C369" s="451">
        <v>46093</v>
      </c>
      <c r="D369" t="s">
        <v>588</v>
      </c>
      <c r="E369" t="s">
        <v>3905</v>
      </c>
      <c r="F369">
        <v>5721.8</v>
      </c>
      <c r="G369">
        <v>349.39</v>
      </c>
      <c r="H369">
        <v>5372.41</v>
      </c>
    </row>
    <row r="370" spans="1:8" x14ac:dyDescent="0.3">
      <c r="A370">
        <v>105</v>
      </c>
      <c r="B370" t="s">
        <v>557</v>
      </c>
      <c r="C370" s="451">
        <v>46093</v>
      </c>
      <c r="D370" t="s">
        <v>588</v>
      </c>
      <c r="E370" t="s">
        <v>20</v>
      </c>
      <c r="F370">
        <v>884.01</v>
      </c>
      <c r="G370">
        <v>0</v>
      </c>
      <c r="H370">
        <v>884.01</v>
      </c>
    </row>
    <row r="371" spans="1:8" x14ac:dyDescent="0.3">
      <c r="A371">
        <v>105</v>
      </c>
      <c r="B371" t="s">
        <v>557</v>
      </c>
      <c r="C371" s="451">
        <v>46092</v>
      </c>
      <c r="D371" t="s">
        <v>588</v>
      </c>
      <c r="E371" t="s">
        <v>3904</v>
      </c>
      <c r="F371">
        <v>709.2</v>
      </c>
      <c r="G371">
        <v>24.33</v>
      </c>
      <c r="H371">
        <v>684.87</v>
      </c>
    </row>
    <row r="372" spans="1:8" x14ac:dyDescent="0.3">
      <c r="A372">
        <v>105</v>
      </c>
      <c r="B372" t="s">
        <v>557</v>
      </c>
      <c r="C372" s="451">
        <v>46092</v>
      </c>
      <c r="D372" t="s">
        <v>588</v>
      </c>
      <c r="E372" t="s">
        <v>3905</v>
      </c>
      <c r="F372">
        <v>3544.2</v>
      </c>
      <c r="G372">
        <v>283.57</v>
      </c>
      <c r="H372">
        <v>3260.63</v>
      </c>
    </row>
    <row r="373" spans="1:8" x14ac:dyDescent="0.3">
      <c r="A373">
        <v>105</v>
      </c>
      <c r="B373" t="s">
        <v>557</v>
      </c>
      <c r="C373" s="451">
        <v>46092</v>
      </c>
      <c r="D373" t="s">
        <v>588</v>
      </c>
      <c r="E373" t="s">
        <v>20</v>
      </c>
      <c r="F373">
        <v>531.42999999999995</v>
      </c>
      <c r="G373">
        <v>0</v>
      </c>
      <c r="H373">
        <v>531.42999999999995</v>
      </c>
    </row>
    <row r="374" spans="1:8" x14ac:dyDescent="0.3">
      <c r="A374">
        <v>105</v>
      </c>
      <c r="B374" t="s">
        <v>557</v>
      </c>
      <c r="C374" s="451">
        <v>46091</v>
      </c>
      <c r="D374" t="s">
        <v>588</v>
      </c>
      <c r="E374" t="s">
        <v>3904</v>
      </c>
      <c r="F374">
        <v>455.4</v>
      </c>
      <c r="G374">
        <v>11.1</v>
      </c>
      <c r="H374">
        <v>444.3</v>
      </c>
    </row>
    <row r="375" spans="1:8" x14ac:dyDescent="0.3">
      <c r="A375">
        <v>105</v>
      </c>
      <c r="B375" t="s">
        <v>557</v>
      </c>
      <c r="C375" s="451">
        <v>46091</v>
      </c>
      <c r="D375" t="s">
        <v>588</v>
      </c>
      <c r="E375" t="s">
        <v>3905</v>
      </c>
      <c r="F375">
        <v>3446.9</v>
      </c>
      <c r="G375">
        <v>107.85</v>
      </c>
      <c r="H375">
        <v>3339.05</v>
      </c>
    </row>
    <row r="376" spans="1:8" x14ac:dyDescent="0.3">
      <c r="A376">
        <v>105</v>
      </c>
      <c r="B376" t="s">
        <v>557</v>
      </c>
      <c r="C376" s="451">
        <v>46091</v>
      </c>
      <c r="D376" t="s">
        <v>588</v>
      </c>
      <c r="E376" t="s">
        <v>20</v>
      </c>
      <c r="F376">
        <v>491.58</v>
      </c>
      <c r="G376">
        <v>0</v>
      </c>
      <c r="H376">
        <v>491.58</v>
      </c>
    </row>
    <row r="377" spans="1:8" x14ac:dyDescent="0.3">
      <c r="A377">
        <v>105</v>
      </c>
      <c r="B377" t="s">
        <v>557</v>
      </c>
      <c r="C377" s="451">
        <v>46090</v>
      </c>
      <c r="D377" t="s">
        <v>588</v>
      </c>
      <c r="E377" t="s">
        <v>3904</v>
      </c>
      <c r="F377">
        <v>716.7</v>
      </c>
      <c r="G377">
        <v>4.2</v>
      </c>
      <c r="H377">
        <v>712.5</v>
      </c>
    </row>
    <row r="378" spans="1:8" x14ac:dyDescent="0.3">
      <c r="A378">
        <v>105</v>
      </c>
      <c r="B378" t="s">
        <v>557</v>
      </c>
      <c r="C378" s="451">
        <v>46090</v>
      </c>
      <c r="D378" t="s">
        <v>588</v>
      </c>
      <c r="E378" t="s">
        <v>3905</v>
      </c>
      <c r="F378">
        <v>3838.8</v>
      </c>
      <c r="G378">
        <v>101.97</v>
      </c>
      <c r="H378">
        <v>3736.83</v>
      </c>
    </row>
    <row r="379" spans="1:8" x14ac:dyDescent="0.3">
      <c r="A379">
        <v>105</v>
      </c>
      <c r="B379" t="s">
        <v>557</v>
      </c>
      <c r="C379" s="451">
        <v>46090</v>
      </c>
      <c r="D379" t="s">
        <v>588</v>
      </c>
      <c r="E379" t="s">
        <v>20</v>
      </c>
      <c r="F379">
        <v>587.52</v>
      </c>
      <c r="G379">
        <v>0</v>
      </c>
      <c r="H379">
        <v>587.52</v>
      </c>
    </row>
    <row r="380" spans="1:8" x14ac:dyDescent="0.3">
      <c r="A380">
        <v>105</v>
      </c>
      <c r="B380" t="s">
        <v>557</v>
      </c>
      <c r="C380" s="451">
        <v>46089</v>
      </c>
      <c r="D380" t="s">
        <v>588</v>
      </c>
      <c r="E380" t="s">
        <v>3904</v>
      </c>
      <c r="F380">
        <v>3355.8</v>
      </c>
      <c r="G380">
        <v>182.27</v>
      </c>
      <c r="H380">
        <v>3173.53</v>
      </c>
    </row>
    <row r="381" spans="1:8" x14ac:dyDescent="0.3">
      <c r="A381">
        <v>105</v>
      </c>
      <c r="B381" t="s">
        <v>557</v>
      </c>
      <c r="C381" s="451">
        <v>46089</v>
      </c>
      <c r="D381" t="s">
        <v>588</v>
      </c>
      <c r="E381" t="s">
        <v>3905</v>
      </c>
      <c r="F381">
        <v>8812.5</v>
      </c>
      <c r="G381">
        <v>728.41</v>
      </c>
      <c r="H381">
        <v>8084.09</v>
      </c>
    </row>
    <row r="382" spans="1:8" x14ac:dyDescent="0.3">
      <c r="A382">
        <v>105</v>
      </c>
      <c r="B382" t="s">
        <v>557</v>
      </c>
      <c r="C382" s="451">
        <v>46089</v>
      </c>
      <c r="D382" t="s">
        <v>588</v>
      </c>
      <c r="E382" t="s">
        <v>20</v>
      </c>
      <c r="F382">
        <v>1551.94</v>
      </c>
      <c r="G382">
        <v>0</v>
      </c>
      <c r="H382">
        <v>1551.94</v>
      </c>
    </row>
    <row r="383" spans="1:8" x14ac:dyDescent="0.3">
      <c r="A383">
        <v>105</v>
      </c>
      <c r="B383" t="s">
        <v>557</v>
      </c>
      <c r="C383" s="451">
        <v>46088</v>
      </c>
      <c r="D383" t="s">
        <v>588</v>
      </c>
      <c r="E383" t="s">
        <v>3904</v>
      </c>
      <c r="F383">
        <v>11503.9</v>
      </c>
      <c r="G383">
        <v>262.33999999999997</v>
      </c>
      <c r="H383">
        <v>11241.56</v>
      </c>
    </row>
    <row r="384" spans="1:8" x14ac:dyDescent="0.3">
      <c r="A384">
        <v>105</v>
      </c>
      <c r="B384" t="s">
        <v>557</v>
      </c>
      <c r="C384" s="451">
        <v>46088</v>
      </c>
      <c r="D384" t="s">
        <v>588</v>
      </c>
      <c r="E384" t="s">
        <v>3905</v>
      </c>
      <c r="F384">
        <v>16827.5</v>
      </c>
      <c r="G384">
        <v>1040.71</v>
      </c>
      <c r="H384">
        <v>15786.79</v>
      </c>
    </row>
    <row r="385" spans="1:8" x14ac:dyDescent="0.3">
      <c r="A385">
        <v>105</v>
      </c>
      <c r="B385" t="s">
        <v>557</v>
      </c>
      <c r="C385" s="451">
        <v>46088</v>
      </c>
      <c r="D385" t="s">
        <v>588</v>
      </c>
      <c r="E385" t="s">
        <v>3906</v>
      </c>
      <c r="F385">
        <v>800</v>
      </c>
      <c r="G385">
        <v>10</v>
      </c>
      <c r="H385">
        <v>790</v>
      </c>
    </row>
    <row r="386" spans="1:8" x14ac:dyDescent="0.3">
      <c r="A386">
        <v>105</v>
      </c>
      <c r="B386" t="s">
        <v>557</v>
      </c>
      <c r="C386" s="451">
        <v>46088</v>
      </c>
      <c r="D386" t="s">
        <v>588</v>
      </c>
      <c r="E386" t="s">
        <v>20</v>
      </c>
      <c r="F386">
        <v>3691.6</v>
      </c>
      <c r="G386">
        <v>0</v>
      </c>
      <c r="H386">
        <v>3691.6</v>
      </c>
    </row>
    <row r="387" spans="1:8" x14ac:dyDescent="0.3">
      <c r="A387">
        <v>105</v>
      </c>
      <c r="B387" t="s">
        <v>557</v>
      </c>
      <c r="C387" s="451">
        <v>46087</v>
      </c>
      <c r="D387" t="s">
        <v>588</v>
      </c>
      <c r="E387" t="s">
        <v>3904</v>
      </c>
      <c r="F387">
        <v>1615.2</v>
      </c>
      <c r="G387">
        <v>37.07</v>
      </c>
      <c r="H387">
        <v>1578.13</v>
      </c>
    </row>
    <row r="388" spans="1:8" x14ac:dyDescent="0.3">
      <c r="A388">
        <v>105</v>
      </c>
      <c r="B388" t="s">
        <v>557</v>
      </c>
      <c r="C388" s="451">
        <v>46087</v>
      </c>
      <c r="D388" t="s">
        <v>588</v>
      </c>
      <c r="E388" t="s">
        <v>3905</v>
      </c>
      <c r="F388">
        <v>4670.3999999999996</v>
      </c>
      <c r="G388">
        <v>440.2</v>
      </c>
      <c r="H388">
        <v>4230.2</v>
      </c>
    </row>
    <row r="389" spans="1:8" x14ac:dyDescent="0.3">
      <c r="A389">
        <v>105</v>
      </c>
      <c r="B389" t="s">
        <v>557</v>
      </c>
      <c r="C389" s="451">
        <v>46087</v>
      </c>
      <c r="D389" t="s">
        <v>588</v>
      </c>
      <c r="E389" t="s">
        <v>20</v>
      </c>
      <c r="F389">
        <v>778.57</v>
      </c>
      <c r="G389">
        <v>0</v>
      </c>
      <c r="H389">
        <v>778.57</v>
      </c>
    </row>
    <row r="390" spans="1:8" x14ac:dyDescent="0.3">
      <c r="A390">
        <v>105</v>
      </c>
      <c r="B390" t="s">
        <v>557</v>
      </c>
      <c r="C390" s="451">
        <v>46086</v>
      </c>
      <c r="D390" t="s">
        <v>588</v>
      </c>
      <c r="E390" t="s">
        <v>3905</v>
      </c>
      <c r="F390">
        <v>9962.7000000000007</v>
      </c>
      <c r="G390">
        <v>2343.71</v>
      </c>
      <c r="H390">
        <v>7618.99</v>
      </c>
    </row>
    <row r="391" spans="1:8" x14ac:dyDescent="0.3">
      <c r="A391">
        <v>105</v>
      </c>
      <c r="B391" t="s">
        <v>557</v>
      </c>
      <c r="C391" s="451">
        <v>46086</v>
      </c>
      <c r="D391" t="s">
        <v>588</v>
      </c>
      <c r="E391" t="s">
        <v>3904</v>
      </c>
      <c r="F391">
        <v>2732.6</v>
      </c>
      <c r="G391">
        <v>1075.49</v>
      </c>
      <c r="H391">
        <v>1657.11</v>
      </c>
    </row>
    <row r="392" spans="1:8" x14ac:dyDescent="0.3">
      <c r="A392">
        <v>105</v>
      </c>
      <c r="B392" t="s">
        <v>557</v>
      </c>
      <c r="C392" s="451">
        <v>46086</v>
      </c>
      <c r="D392" t="s">
        <v>588</v>
      </c>
      <c r="E392" t="s">
        <v>20</v>
      </c>
      <c r="F392">
        <v>1212.44</v>
      </c>
      <c r="G392">
        <v>0</v>
      </c>
      <c r="H392">
        <v>1212.44</v>
      </c>
    </row>
    <row r="393" spans="1:8" x14ac:dyDescent="0.3">
      <c r="A393">
        <v>105</v>
      </c>
      <c r="B393" t="s">
        <v>557</v>
      </c>
      <c r="C393" s="451">
        <v>46085</v>
      </c>
      <c r="D393" t="s">
        <v>588</v>
      </c>
      <c r="E393" t="s">
        <v>3904</v>
      </c>
      <c r="F393">
        <v>2346</v>
      </c>
      <c r="G393">
        <v>29.29</v>
      </c>
      <c r="H393">
        <v>2316.71</v>
      </c>
    </row>
    <row r="394" spans="1:8" x14ac:dyDescent="0.3">
      <c r="A394">
        <v>105</v>
      </c>
      <c r="B394" t="s">
        <v>557</v>
      </c>
      <c r="C394" s="451">
        <v>46085</v>
      </c>
      <c r="D394" t="s">
        <v>588</v>
      </c>
      <c r="E394" t="s">
        <v>3905</v>
      </c>
      <c r="F394">
        <v>5011.3999999999996</v>
      </c>
      <c r="G394">
        <v>362.01</v>
      </c>
      <c r="H394">
        <v>4649.3900000000003</v>
      </c>
    </row>
    <row r="395" spans="1:8" x14ac:dyDescent="0.3">
      <c r="A395">
        <v>105</v>
      </c>
      <c r="B395" t="s">
        <v>557</v>
      </c>
      <c r="C395" s="451">
        <v>46085</v>
      </c>
      <c r="D395" t="s">
        <v>588</v>
      </c>
      <c r="E395" t="s">
        <v>20</v>
      </c>
      <c r="F395">
        <v>924.29</v>
      </c>
      <c r="G395">
        <v>0</v>
      </c>
      <c r="H395">
        <v>924.29</v>
      </c>
    </row>
    <row r="396" spans="1:8" x14ac:dyDescent="0.3">
      <c r="A396">
        <v>105</v>
      </c>
      <c r="B396" t="s">
        <v>557</v>
      </c>
      <c r="C396" s="451">
        <v>46084</v>
      </c>
      <c r="D396" t="s">
        <v>588</v>
      </c>
      <c r="E396" t="s">
        <v>3904</v>
      </c>
      <c r="F396">
        <v>764.1</v>
      </c>
      <c r="G396">
        <v>17.73</v>
      </c>
      <c r="H396">
        <v>746.37</v>
      </c>
    </row>
    <row r="397" spans="1:8" x14ac:dyDescent="0.3">
      <c r="A397">
        <v>105</v>
      </c>
      <c r="B397" t="s">
        <v>557</v>
      </c>
      <c r="C397" s="451">
        <v>46084</v>
      </c>
      <c r="D397" t="s">
        <v>588</v>
      </c>
      <c r="E397" t="s">
        <v>3905</v>
      </c>
      <c r="F397">
        <v>7438.2</v>
      </c>
      <c r="G397">
        <v>197.71</v>
      </c>
      <c r="H397">
        <v>7240.49</v>
      </c>
    </row>
    <row r="398" spans="1:8" x14ac:dyDescent="0.3">
      <c r="A398">
        <v>105</v>
      </c>
      <c r="B398" t="s">
        <v>557</v>
      </c>
      <c r="C398" s="451">
        <v>46084</v>
      </c>
      <c r="D398" t="s">
        <v>588</v>
      </c>
      <c r="E398" t="s">
        <v>20</v>
      </c>
      <c r="F398">
        <v>1037.33</v>
      </c>
      <c r="G398">
        <v>0</v>
      </c>
      <c r="H398">
        <v>1037.33</v>
      </c>
    </row>
    <row r="399" spans="1:8" x14ac:dyDescent="0.3">
      <c r="A399">
        <v>105</v>
      </c>
      <c r="B399" t="s">
        <v>557</v>
      </c>
      <c r="C399" s="451">
        <v>46083</v>
      </c>
      <c r="D399" t="s">
        <v>588</v>
      </c>
      <c r="E399" t="s">
        <v>3904</v>
      </c>
      <c r="F399">
        <v>624.20000000000005</v>
      </c>
      <c r="G399">
        <v>37.200000000000003</v>
      </c>
      <c r="H399">
        <v>587</v>
      </c>
    </row>
    <row r="400" spans="1:8" x14ac:dyDescent="0.3">
      <c r="A400">
        <v>105</v>
      </c>
      <c r="B400" t="s">
        <v>557</v>
      </c>
      <c r="C400" s="451">
        <v>46083</v>
      </c>
      <c r="D400" t="s">
        <v>588</v>
      </c>
      <c r="E400" t="s">
        <v>3905</v>
      </c>
      <c r="F400">
        <v>5379.9</v>
      </c>
      <c r="G400">
        <v>62.7</v>
      </c>
      <c r="H400">
        <v>5317.2</v>
      </c>
    </row>
    <row r="401" spans="1:8" x14ac:dyDescent="0.3">
      <c r="A401">
        <v>105</v>
      </c>
      <c r="B401" t="s">
        <v>557</v>
      </c>
      <c r="C401" s="451">
        <v>46083</v>
      </c>
      <c r="D401" t="s">
        <v>588</v>
      </c>
      <c r="E401" t="s">
        <v>20</v>
      </c>
      <c r="F401">
        <v>771.04</v>
      </c>
      <c r="G401">
        <v>0</v>
      </c>
      <c r="H401">
        <v>771.04</v>
      </c>
    </row>
    <row r="402" spans="1:8" x14ac:dyDescent="0.3">
      <c r="A402">
        <v>105</v>
      </c>
      <c r="B402" t="s">
        <v>557</v>
      </c>
      <c r="C402" s="451">
        <v>46082</v>
      </c>
      <c r="D402" t="s">
        <v>588</v>
      </c>
      <c r="E402" t="s">
        <v>3904</v>
      </c>
      <c r="F402">
        <v>9558.7999999999993</v>
      </c>
      <c r="G402">
        <v>279.74</v>
      </c>
      <c r="H402">
        <v>9279.06</v>
      </c>
    </row>
    <row r="403" spans="1:8" x14ac:dyDescent="0.3">
      <c r="A403">
        <v>105</v>
      </c>
      <c r="B403" t="s">
        <v>557</v>
      </c>
      <c r="C403" s="451">
        <v>46082</v>
      </c>
      <c r="D403" t="s">
        <v>588</v>
      </c>
      <c r="E403" t="s">
        <v>3905</v>
      </c>
      <c r="F403">
        <v>19331.8</v>
      </c>
      <c r="G403">
        <v>1152.01</v>
      </c>
      <c r="H403">
        <v>18179.79</v>
      </c>
    </row>
    <row r="404" spans="1:8" x14ac:dyDescent="0.3">
      <c r="A404">
        <v>105</v>
      </c>
      <c r="B404" t="s">
        <v>557</v>
      </c>
      <c r="C404" s="451">
        <v>46082</v>
      </c>
      <c r="D404" t="s">
        <v>588</v>
      </c>
      <c r="E404" t="s">
        <v>20</v>
      </c>
      <c r="F404">
        <v>3694.46</v>
      </c>
      <c r="G404">
        <v>0</v>
      </c>
      <c r="H404">
        <v>3694.46</v>
      </c>
    </row>
    <row r="405" spans="1:8" x14ac:dyDescent="0.3">
      <c r="A405">
        <v>105</v>
      </c>
      <c r="B405" t="s">
        <v>557</v>
      </c>
      <c r="C405" s="451">
        <v>46081</v>
      </c>
      <c r="D405" t="s">
        <v>586</v>
      </c>
      <c r="E405" t="s">
        <v>3905</v>
      </c>
      <c r="F405">
        <v>18164</v>
      </c>
      <c r="G405">
        <v>719.54</v>
      </c>
      <c r="H405">
        <v>17444.46</v>
      </c>
    </row>
    <row r="406" spans="1:8" x14ac:dyDescent="0.3">
      <c r="A406">
        <v>105</v>
      </c>
      <c r="B406" t="s">
        <v>557</v>
      </c>
      <c r="C406" s="451">
        <v>46081</v>
      </c>
      <c r="D406" t="s">
        <v>586</v>
      </c>
      <c r="E406" t="s">
        <v>3904</v>
      </c>
      <c r="F406">
        <v>19581.7</v>
      </c>
      <c r="G406">
        <v>636.61</v>
      </c>
      <c r="H406">
        <v>18945.09</v>
      </c>
    </row>
    <row r="407" spans="1:8" x14ac:dyDescent="0.3">
      <c r="A407">
        <v>105</v>
      </c>
      <c r="B407" t="s">
        <v>557</v>
      </c>
      <c r="C407" s="451">
        <v>46081</v>
      </c>
      <c r="D407" t="s">
        <v>586</v>
      </c>
      <c r="E407" t="s">
        <v>3906</v>
      </c>
      <c r="F407">
        <v>3540</v>
      </c>
      <c r="G407">
        <v>80</v>
      </c>
      <c r="H407">
        <v>3460</v>
      </c>
    </row>
    <row r="408" spans="1:8" x14ac:dyDescent="0.3">
      <c r="A408">
        <v>105</v>
      </c>
      <c r="B408" t="s">
        <v>557</v>
      </c>
      <c r="C408" s="451">
        <v>46081</v>
      </c>
      <c r="D408" t="s">
        <v>586</v>
      </c>
      <c r="E408" t="s">
        <v>20</v>
      </c>
      <c r="F408">
        <v>5251.13</v>
      </c>
      <c r="G408">
        <v>0</v>
      </c>
      <c r="H408">
        <v>5251.13</v>
      </c>
    </row>
    <row r="409" spans="1:8" x14ac:dyDescent="0.3">
      <c r="A409">
        <v>105</v>
      </c>
      <c r="B409" t="s">
        <v>557</v>
      </c>
      <c r="C409" s="451">
        <v>46080</v>
      </c>
      <c r="D409" t="s">
        <v>586</v>
      </c>
      <c r="E409" t="s">
        <v>3904</v>
      </c>
      <c r="F409">
        <v>4089</v>
      </c>
      <c r="G409">
        <v>26.9</v>
      </c>
      <c r="H409">
        <v>4062.1</v>
      </c>
    </row>
    <row r="410" spans="1:8" x14ac:dyDescent="0.3">
      <c r="A410">
        <v>105</v>
      </c>
      <c r="B410" t="s">
        <v>557</v>
      </c>
      <c r="C410" s="451">
        <v>46080</v>
      </c>
      <c r="D410" t="s">
        <v>586</v>
      </c>
      <c r="E410" t="s">
        <v>3905</v>
      </c>
      <c r="F410">
        <v>7972.6</v>
      </c>
      <c r="G410">
        <v>236.54</v>
      </c>
      <c r="H410">
        <v>7736.06</v>
      </c>
    </row>
    <row r="411" spans="1:8" x14ac:dyDescent="0.3">
      <c r="A411">
        <v>105</v>
      </c>
      <c r="B411" t="s">
        <v>557</v>
      </c>
      <c r="C411" s="451">
        <v>46080</v>
      </c>
      <c r="D411" t="s">
        <v>586</v>
      </c>
      <c r="E411" t="s">
        <v>20</v>
      </c>
      <c r="F411">
        <v>1446.84</v>
      </c>
      <c r="G411">
        <v>0</v>
      </c>
      <c r="H411">
        <v>1446.84</v>
      </c>
    </row>
    <row r="412" spans="1:8" x14ac:dyDescent="0.3">
      <c r="A412">
        <v>105</v>
      </c>
      <c r="B412" t="s">
        <v>557</v>
      </c>
      <c r="C412" s="451">
        <v>46079</v>
      </c>
      <c r="D412" t="s">
        <v>586</v>
      </c>
      <c r="E412" t="s">
        <v>3905</v>
      </c>
      <c r="F412">
        <v>6841.1</v>
      </c>
      <c r="G412">
        <v>280.83</v>
      </c>
      <c r="H412">
        <v>6560.27</v>
      </c>
    </row>
    <row r="413" spans="1:8" x14ac:dyDescent="0.3">
      <c r="A413">
        <v>105</v>
      </c>
      <c r="B413" t="s">
        <v>557</v>
      </c>
      <c r="C413" s="451">
        <v>46079</v>
      </c>
      <c r="D413" t="s">
        <v>586</v>
      </c>
      <c r="E413" t="s">
        <v>3904</v>
      </c>
      <c r="F413">
        <v>1193.5999999999999</v>
      </c>
      <c r="G413">
        <v>42.47</v>
      </c>
      <c r="H413">
        <v>1151.1300000000001</v>
      </c>
    </row>
    <row r="414" spans="1:8" x14ac:dyDescent="0.3">
      <c r="A414">
        <v>105</v>
      </c>
      <c r="B414" t="s">
        <v>557</v>
      </c>
      <c r="C414" s="451">
        <v>46079</v>
      </c>
      <c r="D414" t="s">
        <v>586</v>
      </c>
      <c r="E414" t="s">
        <v>20</v>
      </c>
      <c r="F414">
        <v>988.08</v>
      </c>
      <c r="G414">
        <v>0</v>
      </c>
      <c r="H414">
        <v>988.08</v>
      </c>
    </row>
    <row r="415" spans="1:8" x14ac:dyDescent="0.3">
      <c r="A415">
        <v>105</v>
      </c>
      <c r="B415" t="s">
        <v>557</v>
      </c>
      <c r="C415" s="451">
        <v>46078</v>
      </c>
      <c r="D415" t="s">
        <v>586</v>
      </c>
      <c r="E415" t="s">
        <v>3905</v>
      </c>
      <c r="F415">
        <v>9070.6</v>
      </c>
      <c r="G415">
        <v>304.58</v>
      </c>
      <c r="H415">
        <v>8766.02</v>
      </c>
    </row>
    <row r="416" spans="1:8" x14ac:dyDescent="0.3">
      <c r="A416">
        <v>105</v>
      </c>
      <c r="B416" t="s">
        <v>557</v>
      </c>
      <c r="C416" s="451">
        <v>46078</v>
      </c>
      <c r="D416" t="s">
        <v>586</v>
      </c>
      <c r="E416" t="s">
        <v>3904</v>
      </c>
      <c r="F416">
        <v>3624.3</v>
      </c>
      <c r="G416">
        <v>52.92</v>
      </c>
      <c r="H416">
        <v>3571.38</v>
      </c>
    </row>
    <row r="417" spans="1:8" x14ac:dyDescent="0.3">
      <c r="A417">
        <v>105</v>
      </c>
      <c r="B417" t="s">
        <v>557</v>
      </c>
      <c r="C417" s="451">
        <v>46078</v>
      </c>
      <c r="D417" t="s">
        <v>586</v>
      </c>
      <c r="E417" t="s">
        <v>20</v>
      </c>
      <c r="F417">
        <v>1627.07</v>
      </c>
      <c r="G417">
        <v>0</v>
      </c>
      <c r="H417">
        <v>1627.07</v>
      </c>
    </row>
    <row r="418" spans="1:8" x14ac:dyDescent="0.3">
      <c r="A418">
        <v>105</v>
      </c>
      <c r="B418" t="s">
        <v>557</v>
      </c>
      <c r="C418" s="451">
        <v>46077</v>
      </c>
      <c r="D418" t="s">
        <v>586</v>
      </c>
      <c r="E418" t="s">
        <v>3904</v>
      </c>
      <c r="F418">
        <v>662.4</v>
      </c>
      <c r="G418">
        <v>12.6</v>
      </c>
      <c r="H418">
        <v>649.79999999999995</v>
      </c>
    </row>
    <row r="419" spans="1:8" x14ac:dyDescent="0.3">
      <c r="A419">
        <v>105</v>
      </c>
      <c r="B419" t="s">
        <v>557</v>
      </c>
      <c r="C419" s="451">
        <v>46077</v>
      </c>
      <c r="D419" t="s">
        <v>586</v>
      </c>
      <c r="E419" t="s">
        <v>3905</v>
      </c>
      <c r="F419">
        <v>4880</v>
      </c>
      <c r="G419">
        <v>120.2</v>
      </c>
      <c r="H419">
        <v>4759.8</v>
      </c>
    </row>
    <row r="420" spans="1:8" x14ac:dyDescent="0.3">
      <c r="A420">
        <v>105</v>
      </c>
      <c r="B420" t="s">
        <v>557</v>
      </c>
      <c r="C420" s="451">
        <v>46077</v>
      </c>
      <c r="D420" t="s">
        <v>586</v>
      </c>
      <c r="E420" t="s">
        <v>20</v>
      </c>
      <c r="F420">
        <v>696.75</v>
      </c>
      <c r="G420">
        <v>0</v>
      </c>
      <c r="H420">
        <v>696.75</v>
      </c>
    </row>
    <row r="421" spans="1:8" x14ac:dyDescent="0.3">
      <c r="A421">
        <v>105</v>
      </c>
      <c r="B421" t="s">
        <v>557</v>
      </c>
      <c r="C421" s="451">
        <v>46076</v>
      </c>
      <c r="D421" t="s">
        <v>586</v>
      </c>
      <c r="E421" t="s">
        <v>3904</v>
      </c>
      <c r="F421">
        <v>527.1</v>
      </c>
      <c r="G421">
        <v>33.520000000000003</v>
      </c>
      <c r="H421">
        <v>493.58</v>
      </c>
    </row>
    <row r="422" spans="1:8" x14ac:dyDescent="0.3">
      <c r="A422">
        <v>105</v>
      </c>
      <c r="B422" t="s">
        <v>557</v>
      </c>
      <c r="C422" s="451">
        <v>46076</v>
      </c>
      <c r="D422" t="s">
        <v>586</v>
      </c>
      <c r="E422" t="s">
        <v>3905</v>
      </c>
      <c r="F422">
        <v>3183.2</v>
      </c>
      <c r="G422">
        <v>142.58000000000001</v>
      </c>
      <c r="H422">
        <v>3040.62</v>
      </c>
    </row>
    <row r="423" spans="1:8" x14ac:dyDescent="0.3">
      <c r="A423">
        <v>105</v>
      </c>
      <c r="B423" t="s">
        <v>557</v>
      </c>
      <c r="C423" s="451">
        <v>46076</v>
      </c>
      <c r="D423" t="s">
        <v>586</v>
      </c>
      <c r="E423" t="s">
        <v>20</v>
      </c>
      <c r="F423">
        <v>472.72</v>
      </c>
      <c r="G423">
        <v>0</v>
      </c>
      <c r="H423">
        <v>472.72</v>
      </c>
    </row>
    <row r="424" spans="1:8" x14ac:dyDescent="0.3">
      <c r="A424">
        <v>105</v>
      </c>
      <c r="B424" t="s">
        <v>557</v>
      </c>
      <c r="C424" s="451">
        <v>46075</v>
      </c>
      <c r="D424" t="s">
        <v>586</v>
      </c>
      <c r="E424" t="s">
        <v>3905</v>
      </c>
      <c r="F424">
        <v>11745.5</v>
      </c>
      <c r="G424">
        <v>918.83</v>
      </c>
      <c r="H424">
        <v>10826.67</v>
      </c>
    </row>
    <row r="425" spans="1:8" x14ac:dyDescent="0.3">
      <c r="A425">
        <v>105</v>
      </c>
      <c r="B425" t="s">
        <v>557</v>
      </c>
      <c r="C425" s="451">
        <v>46075</v>
      </c>
      <c r="D425" t="s">
        <v>586</v>
      </c>
      <c r="E425" t="s">
        <v>3904</v>
      </c>
      <c r="F425">
        <v>3979.5</v>
      </c>
      <c r="G425">
        <v>439.94</v>
      </c>
      <c r="H425">
        <v>3539.56</v>
      </c>
    </row>
    <row r="426" spans="1:8" x14ac:dyDescent="0.3">
      <c r="A426">
        <v>105</v>
      </c>
      <c r="B426" t="s">
        <v>557</v>
      </c>
      <c r="C426" s="451">
        <v>46075</v>
      </c>
      <c r="D426" t="s">
        <v>586</v>
      </c>
      <c r="E426" t="s">
        <v>20</v>
      </c>
      <c r="F426">
        <v>1849.62</v>
      </c>
      <c r="G426">
        <v>0</v>
      </c>
      <c r="H426">
        <v>1849.62</v>
      </c>
    </row>
    <row r="427" spans="1:8" x14ac:dyDescent="0.3">
      <c r="A427">
        <v>105</v>
      </c>
      <c r="B427" t="s">
        <v>557</v>
      </c>
      <c r="C427" s="451">
        <v>46074</v>
      </c>
      <c r="D427" t="s">
        <v>586</v>
      </c>
      <c r="E427" t="s">
        <v>3904</v>
      </c>
      <c r="F427">
        <v>11783.2</v>
      </c>
      <c r="G427">
        <v>336.93</v>
      </c>
      <c r="H427">
        <v>11446.27</v>
      </c>
    </row>
    <row r="428" spans="1:8" x14ac:dyDescent="0.3">
      <c r="A428">
        <v>105</v>
      </c>
      <c r="B428" t="s">
        <v>557</v>
      </c>
      <c r="C428" s="451">
        <v>46074</v>
      </c>
      <c r="D428" t="s">
        <v>586</v>
      </c>
      <c r="E428" t="s">
        <v>3905</v>
      </c>
      <c r="F428">
        <v>16617.8</v>
      </c>
      <c r="G428">
        <v>925.55</v>
      </c>
      <c r="H428">
        <v>15692.25</v>
      </c>
    </row>
    <row r="429" spans="1:8" x14ac:dyDescent="0.3">
      <c r="A429">
        <v>105</v>
      </c>
      <c r="B429" t="s">
        <v>557</v>
      </c>
      <c r="C429" s="451">
        <v>46074</v>
      </c>
      <c r="D429" t="s">
        <v>586</v>
      </c>
      <c r="E429" t="s">
        <v>3906</v>
      </c>
      <c r="F429">
        <v>1830</v>
      </c>
      <c r="G429">
        <v>92</v>
      </c>
      <c r="H429">
        <v>1738</v>
      </c>
    </row>
    <row r="430" spans="1:8" x14ac:dyDescent="0.3">
      <c r="A430">
        <v>105</v>
      </c>
      <c r="B430" t="s">
        <v>557</v>
      </c>
      <c r="C430" s="451">
        <v>46074</v>
      </c>
      <c r="D430" t="s">
        <v>586</v>
      </c>
      <c r="E430" t="s">
        <v>20</v>
      </c>
      <c r="F430">
        <v>3900.04</v>
      </c>
      <c r="G430">
        <v>0</v>
      </c>
      <c r="H430">
        <v>3900.04</v>
      </c>
    </row>
    <row r="431" spans="1:8" x14ac:dyDescent="0.3">
      <c r="A431">
        <v>105</v>
      </c>
      <c r="B431" t="s">
        <v>557</v>
      </c>
      <c r="C431" s="451">
        <v>46073</v>
      </c>
      <c r="D431" t="s">
        <v>586</v>
      </c>
      <c r="E431" t="s">
        <v>3905</v>
      </c>
      <c r="F431">
        <v>6748.5</v>
      </c>
      <c r="G431">
        <v>235.27</v>
      </c>
      <c r="H431">
        <v>6513.23</v>
      </c>
    </row>
    <row r="432" spans="1:8" x14ac:dyDescent="0.3">
      <c r="A432">
        <v>105</v>
      </c>
      <c r="B432" t="s">
        <v>557</v>
      </c>
      <c r="C432" s="451">
        <v>46073</v>
      </c>
      <c r="D432" t="s">
        <v>586</v>
      </c>
      <c r="E432" t="s">
        <v>3904</v>
      </c>
      <c r="F432">
        <v>4413</v>
      </c>
      <c r="G432">
        <v>153.44</v>
      </c>
      <c r="H432">
        <v>4259.5600000000004</v>
      </c>
    </row>
    <row r="433" spans="1:8" x14ac:dyDescent="0.3">
      <c r="A433">
        <v>105</v>
      </c>
      <c r="B433" t="s">
        <v>557</v>
      </c>
      <c r="C433" s="451">
        <v>46073</v>
      </c>
      <c r="D433" t="s">
        <v>586</v>
      </c>
      <c r="E433" t="s">
        <v>20</v>
      </c>
      <c r="F433">
        <v>1432.97</v>
      </c>
      <c r="G433">
        <v>0</v>
      </c>
      <c r="H433">
        <v>1432.97</v>
      </c>
    </row>
    <row r="434" spans="1:8" x14ac:dyDescent="0.3">
      <c r="A434">
        <v>105</v>
      </c>
      <c r="B434" t="s">
        <v>557</v>
      </c>
      <c r="C434" s="451">
        <v>46072</v>
      </c>
      <c r="D434" t="s">
        <v>586</v>
      </c>
      <c r="E434" t="s">
        <v>3904</v>
      </c>
      <c r="F434">
        <v>974.9</v>
      </c>
      <c r="G434">
        <v>20.6</v>
      </c>
      <c r="H434">
        <v>954.3</v>
      </c>
    </row>
    <row r="435" spans="1:8" x14ac:dyDescent="0.3">
      <c r="A435">
        <v>105</v>
      </c>
      <c r="B435" t="s">
        <v>557</v>
      </c>
      <c r="C435" s="451">
        <v>46072</v>
      </c>
      <c r="D435" t="s">
        <v>586</v>
      </c>
      <c r="E435" t="s">
        <v>3905</v>
      </c>
      <c r="F435">
        <v>3286.4</v>
      </c>
      <c r="G435">
        <v>65.8</v>
      </c>
      <c r="H435">
        <v>3220.6</v>
      </c>
    </row>
    <row r="436" spans="1:8" x14ac:dyDescent="0.3">
      <c r="A436">
        <v>105</v>
      </c>
      <c r="B436" t="s">
        <v>557</v>
      </c>
      <c r="C436" s="451">
        <v>46072</v>
      </c>
      <c r="D436" t="s">
        <v>586</v>
      </c>
      <c r="E436" t="s">
        <v>20</v>
      </c>
      <c r="F436">
        <v>524.62</v>
      </c>
      <c r="G436">
        <v>0</v>
      </c>
      <c r="H436">
        <v>524.62</v>
      </c>
    </row>
    <row r="437" spans="1:8" x14ac:dyDescent="0.3">
      <c r="A437">
        <v>105</v>
      </c>
      <c r="B437" t="s">
        <v>557</v>
      </c>
      <c r="C437" s="451">
        <v>46071</v>
      </c>
      <c r="D437" t="s">
        <v>586</v>
      </c>
      <c r="E437" t="s">
        <v>3904</v>
      </c>
      <c r="F437">
        <v>1722.3</v>
      </c>
      <c r="G437">
        <v>20.63</v>
      </c>
      <c r="H437">
        <v>1701.67</v>
      </c>
    </row>
    <row r="438" spans="1:8" x14ac:dyDescent="0.3">
      <c r="A438">
        <v>105</v>
      </c>
      <c r="B438" t="s">
        <v>557</v>
      </c>
      <c r="C438" s="451">
        <v>46071</v>
      </c>
      <c r="D438" t="s">
        <v>586</v>
      </c>
      <c r="E438" t="s">
        <v>3905</v>
      </c>
      <c r="F438">
        <v>4952.5</v>
      </c>
      <c r="G438">
        <v>160.27000000000001</v>
      </c>
      <c r="H438">
        <v>4792.2299999999996</v>
      </c>
    </row>
    <row r="439" spans="1:8" x14ac:dyDescent="0.3">
      <c r="A439">
        <v>105</v>
      </c>
      <c r="B439" t="s">
        <v>557</v>
      </c>
      <c r="C439" s="451">
        <v>46071</v>
      </c>
      <c r="D439" t="s">
        <v>586</v>
      </c>
      <c r="E439" t="s">
        <v>20</v>
      </c>
      <c r="F439">
        <v>867.43</v>
      </c>
      <c r="G439">
        <v>0</v>
      </c>
      <c r="H439">
        <v>867.43</v>
      </c>
    </row>
    <row r="440" spans="1:8" x14ac:dyDescent="0.3">
      <c r="A440">
        <v>105</v>
      </c>
      <c r="B440" t="s">
        <v>557</v>
      </c>
      <c r="C440" s="451">
        <v>46070</v>
      </c>
      <c r="D440" t="s">
        <v>586</v>
      </c>
      <c r="E440" t="s">
        <v>3905</v>
      </c>
      <c r="F440">
        <v>6198</v>
      </c>
      <c r="G440">
        <v>203.87</v>
      </c>
      <c r="H440">
        <v>5994.13</v>
      </c>
    </row>
    <row r="441" spans="1:8" x14ac:dyDescent="0.3">
      <c r="A441">
        <v>105</v>
      </c>
      <c r="B441" t="s">
        <v>557</v>
      </c>
      <c r="C441" s="451">
        <v>46070</v>
      </c>
      <c r="D441" t="s">
        <v>586</v>
      </c>
      <c r="E441" t="s">
        <v>3904</v>
      </c>
      <c r="F441">
        <v>1724</v>
      </c>
      <c r="G441">
        <v>27.12</v>
      </c>
      <c r="H441">
        <v>1696.88</v>
      </c>
    </row>
    <row r="442" spans="1:8" x14ac:dyDescent="0.3">
      <c r="A442">
        <v>105</v>
      </c>
      <c r="B442" t="s">
        <v>557</v>
      </c>
      <c r="C442" s="451">
        <v>46070</v>
      </c>
      <c r="D442" t="s">
        <v>586</v>
      </c>
      <c r="E442" t="s">
        <v>20</v>
      </c>
      <c r="F442">
        <v>928.75</v>
      </c>
      <c r="G442">
        <v>0</v>
      </c>
      <c r="H442">
        <v>928.75</v>
      </c>
    </row>
    <row r="443" spans="1:8" x14ac:dyDescent="0.3">
      <c r="A443">
        <v>105</v>
      </c>
      <c r="B443" t="s">
        <v>557</v>
      </c>
      <c r="C443" s="451">
        <v>46069</v>
      </c>
      <c r="D443" t="s">
        <v>586</v>
      </c>
      <c r="E443" t="s">
        <v>3905</v>
      </c>
      <c r="F443">
        <v>4878.8999999999996</v>
      </c>
      <c r="G443">
        <v>304.67</v>
      </c>
      <c r="H443">
        <v>4574.2299999999996</v>
      </c>
    </row>
    <row r="444" spans="1:8" x14ac:dyDescent="0.3">
      <c r="A444">
        <v>105</v>
      </c>
      <c r="B444" t="s">
        <v>557</v>
      </c>
      <c r="C444" s="451">
        <v>46069</v>
      </c>
      <c r="D444" t="s">
        <v>586</v>
      </c>
      <c r="E444" t="s">
        <v>3904</v>
      </c>
      <c r="F444">
        <v>1754.4</v>
      </c>
      <c r="G444">
        <v>115.44</v>
      </c>
      <c r="H444">
        <v>1638.96</v>
      </c>
    </row>
    <row r="445" spans="1:8" x14ac:dyDescent="0.3">
      <c r="A445">
        <v>105</v>
      </c>
      <c r="B445" t="s">
        <v>557</v>
      </c>
      <c r="C445" s="451">
        <v>46069</v>
      </c>
      <c r="D445" t="s">
        <v>586</v>
      </c>
      <c r="E445" t="s">
        <v>20</v>
      </c>
      <c r="F445">
        <v>718.65</v>
      </c>
      <c r="G445">
        <v>0</v>
      </c>
      <c r="H445">
        <v>718.65</v>
      </c>
    </row>
    <row r="446" spans="1:8" x14ac:dyDescent="0.3">
      <c r="A446">
        <v>105</v>
      </c>
      <c r="B446" t="s">
        <v>557</v>
      </c>
      <c r="C446" s="451">
        <v>46068</v>
      </c>
      <c r="D446" t="s">
        <v>586</v>
      </c>
      <c r="E446" t="s">
        <v>3905</v>
      </c>
      <c r="F446">
        <v>10285.299999999999</v>
      </c>
      <c r="G446">
        <v>341.98</v>
      </c>
      <c r="H446">
        <v>9943.32</v>
      </c>
    </row>
    <row r="447" spans="1:8" x14ac:dyDescent="0.3">
      <c r="A447">
        <v>105</v>
      </c>
      <c r="B447" t="s">
        <v>557</v>
      </c>
      <c r="C447" s="451">
        <v>46068</v>
      </c>
      <c r="D447" t="s">
        <v>586</v>
      </c>
      <c r="E447" t="s">
        <v>3904</v>
      </c>
      <c r="F447">
        <v>14559.3</v>
      </c>
      <c r="G447">
        <v>230.85</v>
      </c>
      <c r="H447">
        <v>14328.45</v>
      </c>
    </row>
    <row r="448" spans="1:8" x14ac:dyDescent="0.3">
      <c r="A448">
        <v>105</v>
      </c>
      <c r="B448" t="s">
        <v>557</v>
      </c>
      <c r="C448" s="451">
        <v>46068</v>
      </c>
      <c r="D448" t="s">
        <v>586</v>
      </c>
      <c r="E448" t="s">
        <v>20</v>
      </c>
      <c r="F448">
        <v>3390.49</v>
      </c>
      <c r="G448">
        <v>0</v>
      </c>
      <c r="H448">
        <v>3390.49</v>
      </c>
    </row>
    <row r="449" spans="1:8" x14ac:dyDescent="0.3">
      <c r="A449">
        <v>105</v>
      </c>
      <c r="B449" t="s">
        <v>557</v>
      </c>
      <c r="C449" s="451">
        <v>46068</v>
      </c>
      <c r="D449" t="s">
        <v>586</v>
      </c>
      <c r="E449" t="s">
        <v>3906</v>
      </c>
      <c r="F449">
        <v>3225</v>
      </c>
      <c r="G449">
        <v>21.42</v>
      </c>
      <c r="H449">
        <v>3203.58</v>
      </c>
    </row>
    <row r="450" spans="1:8" x14ac:dyDescent="0.3">
      <c r="A450">
        <v>105</v>
      </c>
      <c r="B450" t="s">
        <v>557</v>
      </c>
      <c r="C450" s="451">
        <v>46067</v>
      </c>
      <c r="D450" t="s">
        <v>586</v>
      </c>
      <c r="E450" t="s">
        <v>3905</v>
      </c>
      <c r="F450">
        <v>13056</v>
      </c>
      <c r="G450">
        <v>755.01</v>
      </c>
      <c r="H450">
        <v>12300.99</v>
      </c>
    </row>
    <row r="451" spans="1:8" x14ac:dyDescent="0.3">
      <c r="A451">
        <v>105</v>
      </c>
      <c r="B451" t="s">
        <v>557</v>
      </c>
      <c r="C451" s="451">
        <v>46067</v>
      </c>
      <c r="D451" t="s">
        <v>586</v>
      </c>
      <c r="E451" t="s">
        <v>3904</v>
      </c>
      <c r="F451">
        <v>7908.4</v>
      </c>
      <c r="G451">
        <v>280.99</v>
      </c>
      <c r="H451">
        <v>7627.41</v>
      </c>
    </row>
    <row r="452" spans="1:8" x14ac:dyDescent="0.3">
      <c r="A452">
        <v>105</v>
      </c>
      <c r="B452" t="s">
        <v>557</v>
      </c>
      <c r="C452" s="451">
        <v>46067</v>
      </c>
      <c r="D452" t="s">
        <v>586</v>
      </c>
      <c r="E452" t="s">
        <v>20</v>
      </c>
      <c r="F452">
        <v>2408.75</v>
      </c>
      <c r="G452">
        <v>0</v>
      </c>
      <c r="H452">
        <v>2408.75</v>
      </c>
    </row>
    <row r="453" spans="1:8" x14ac:dyDescent="0.3">
      <c r="A453">
        <v>105</v>
      </c>
      <c r="B453" t="s">
        <v>557</v>
      </c>
      <c r="C453" s="451">
        <v>46067</v>
      </c>
      <c r="D453" t="s">
        <v>586</v>
      </c>
      <c r="E453" t="s">
        <v>3906</v>
      </c>
      <c r="F453">
        <v>1220</v>
      </c>
      <c r="G453">
        <v>100</v>
      </c>
      <c r="H453">
        <v>1120</v>
      </c>
    </row>
    <row r="454" spans="1:8" x14ac:dyDescent="0.3">
      <c r="A454">
        <v>105</v>
      </c>
      <c r="B454" t="s">
        <v>557</v>
      </c>
      <c r="C454" s="451">
        <v>46066</v>
      </c>
      <c r="D454" t="s">
        <v>586</v>
      </c>
      <c r="E454" t="s">
        <v>3904</v>
      </c>
      <c r="F454">
        <v>3362</v>
      </c>
      <c r="G454">
        <v>121.57</v>
      </c>
      <c r="H454">
        <v>3240.43</v>
      </c>
    </row>
    <row r="455" spans="1:8" x14ac:dyDescent="0.3">
      <c r="A455">
        <v>105</v>
      </c>
      <c r="B455" t="s">
        <v>557</v>
      </c>
      <c r="C455" s="451">
        <v>46066</v>
      </c>
      <c r="D455" t="s">
        <v>586</v>
      </c>
      <c r="E455" t="s">
        <v>3905</v>
      </c>
      <c r="F455">
        <v>6416.6</v>
      </c>
      <c r="G455">
        <v>276.27999999999997</v>
      </c>
      <c r="H455">
        <v>6140.32</v>
      </c>
    </row>
    <row r="456" spans="1:8" x14ac:dyDescent="0.3">
      <c r="A456">
        <v>105</v>
      </c>
      <c r="B456" t="s">
        <v>557</v>
      </c>
      <c r="C456" s="451">
        <v>46066</v>
      </c>
      <c r="D456" t="s">
        <v>586</v>
      </c>
      <c r="E456" t="s">
        <v>20</v>
      </c>
      <c r="F456">
        <v>1086.78</v>
      </c>
      <c r="G456">
        <v>0</v>
      </c>
      <c r="H456">
        <v>1086.78</v>
      </c>
    </row>
    <row r="457" spans="1:8" x14ac:dyDescent="0.3">
      <c r="A457">
        <v>105</v>
      </c>
      <c r="B457" t="s">
        <v>557</v>
      </c>
      <c r="C457" s="451">
        <v>46065</v>
      </c>
      <c r="D457" t="s">
        <v>586</v>
      </c>
      <c r="E457" t="s">
        <v>3905</v>
      </c>
      <c r="F457">
        <v>5896</v>
      </c>
      <c r="G457">
        <v>169.18</v>
      </c>
      <c r="H457">
        <v>5726.82</v>
      </c>
    </row>
    <row r="458" spans="1:8" x14ac:dyDescent="0.3">
      <c r="A458">
        <v>105</v>
      </c>
      <c r="B458" t="s">
        <v>557</v>
      </c>
      <c r="C458" s="451">
        <v>46065</v>
      </c>
      <c r="D458" t="s">
        <v>586</v>
      </c>
      <c r="E458" t="s">
        <v>3904</v>
      </c>
      <c r="F458">
        <v>1490.4</v>
      </c>
      <c r="G458">
        <v>30.39</v>
      </c>
      <c r="H458">
        <v>1460.01</v>
      </c>
    </row>
    <row r="459" spans="1:8" x14ac:dyDescent="0.3">
      <c r="A459">
        <v>105</v>
      </c>
      <c r="B459" t="s">
        <v>557</v>
      </c>
      <c r="C459" s="451">
        <v>46065</v>
      </c>
      <c r="D459" t="s">
        <v>586</v>
      </c>
      <c r="E459" t="s">
        <v>20</v>
      </c>
      <c r="F459">
        <v>936.05</v>
      </c>
      <c r="G459">
        <v>0</v>
      </c>
      <c r="H459">
        <v>936.05</v>
      </c>
    </row>
    <row r="460" spans="1:8" x14ac:dyDescent="0.3">
      <c r="A460">
        <v>105</v>
      </c>
      <c r="B460" t="s">
        <v>557</v>
      </c>
      <c r="C460" s="451">
        <v>46064</v>
      </c>
      <c r="D460" t="s">
        <v>586</v>
      </c>
      <c r="E460" t="s">
        <v>3904</v>
      </c>
      <c r="F460">
        <v>4769.1000000000004</v>
      </c>
      <c r="G460">
        <v>293.68</v>
      </c>
      <c r="H460">
        <v>4475.42</v>
      </c>
    </row>
    <row r="461" spans="1:8" x14ac:dyDescent="0.3">
      <c r="A461">
        <v>105</v>
      </c>
      <c r="B461" t="s">
        <v>557</v>
      </c>
      <c r="C461" s="451">
        <v>46064</v>
      </c>
      <c r="D461" t="s">
        <v>586</v>
      </c>
      <c r="E461" t="s">
        <v>3905</v>
      </c>
      <c r="F461">
        <v>7587.1</v>
      </c>
      <c r="G461">
        <v>248.1</v>
      </c>
      <c r="H461">
        <v>7339</v>
      </c>
    </row>
    <row r="462" spans="1:8" x14ac:dyDescent="0.3">
      <c r="A462">
        <v>105</v>
      </c>
      <c r="B462" t="s">
        <v>557</v>
      </c>
      <c r="C462" s="451">
        <v>46064</v>
      </c>
      <c r="D462" t="s">
        <v>586</v>
      </c>
      <c r="E462" t="s">
        <v>3906</v>
      </c>
      <c r="F462">
        <v>100</v>
      </c>
      <c r="G462">
        <v>0</v>
      </c>
      <c r="H462">
        <v>100</v>
      </c>
    </row>
    <row r="463" spans="1:8" x14ac:dyDescent="0.3">
      <c r="A463">
        <v>105</v>
      </c>
      <c r="B463" t="s">
        <v>557</v>
      </c>
      <c r="C463" s="451">
        <v>46064</v>
      </c>
      <c r="D463" t="s">
        <v>586</v>
      </c>
      <c r="E463" t="s">
        <v>20</v>
      </c>
      <c r="F463">
        <v>1455.08</v>
      </c>
      <c r="G463">
        <v>0</v>
      </c>
      <c r="H463">
        <v>1455.08</v>
      </c>
    </row>
    <row r="464" spans="1:8" x14ac:dyDescent="0.3">
      <c r="A464">
        <v>105</v>
      </c>
      <c r="B464" t="s">
        <v>557</v>
      </c>
      <c r="C464" s="451">
        <v>46063</v>
      </c>
      <c r="D464" t="s">
        <v>586</v>
      </c>
      <c r="E464" t="s">
        <v>3904</v>
      </c>
      <c r="F464">
        <v>1203.4000000000001</v>
      </c>
      <c r="G464">
        <v>5.4</v>
      </c>
      <c r="H464">
        <v>1198</v>
      </c>
    </row>
    <row r="465" spans="1:8" x14ac:dyDescent="0.3">
      <c r="A465">
        <v>105</v>
      </c>
      <c r="B465" t="s">
        <v>557</v>
      </c>
      <c r="C465" s="451">
        <v>46063</v>
      </c>
      <c r="D465" t="s">
        <v>586</v>
      </c>
      <c r="E465" t="s">
        <v>3905</v>
      </c>
      <c r="F465">
        <v>4564.1000000000004</v>
      </c>
      <c r="G465">
        <v>93.47</v>
      </c>
      <c r="H465">
        <v>4470.63</v>
      </c>
    </row>
    <row r="466" spans="1:8" x14ac:dyDescent="0.3">
      <c r="A466">
        <v>105</v>
      </c>
      <c r="B466" t="s">
        <v>557</v>
      </c>
      <c r="C466" s="451">
        <v>46063</v>
      </c>
      <c r="D466" t="s">
        <v>586</v>
      </c>
      <c r="E466" t="s">
        <v>20</v>
      </c>
      <c r="F466">
        <v>740.13</v>
      </c>
      <c r="G466">
        <v>0</v>
      </c>
      <c r="H466">
        <v>740.13</v>
      </c>
    </row>
    <row r="467" spans="1:8" x14ac:dyDescent="0.3">
      <c r="A467">
        <v>105</v>
      </c>
      <c r="B467" t="s">
        <v>557</v>
      </c>
      <c r="C467" s="451">
        <v>46062</v>
      </c>
      <c r="D467" t="s">
        <v>586</v>
      </c>
      <c r="E467" t="s">
        <v>3904</v>
      </c>
      <c r="F467">
        <v>843.6</v>
      </c>
      <c r="G467">
        <v>45.97</v>
      </c>
      <c r="H467">
        <v>797.63</v>
      </c>
    </row>
    <row r="468" spans="1:8" x14ac:dyDescent="0.3">
      <c r="A468">
        <v>105</v>
      </c>
      <c r="B468" t="s">
        <v>557</v>
      </c>
      <c r="C468" s="451">
        <v>46062</v>
      </c>
      <c r="D468" t="s">
        <v>586</v>
      </c>
      <c r="E468" t="s">
        <v>3905</v>
      </c>
      <c r="F468">
        <v>3376.1</v>
      </c>
      <c r="G468">
        <v>211.56</v>
      </c>
      <c r="H468">
        <v>3164.54</v>
      </c>
    </row>
    <row r="469" spans="1:8" x14ac:dyDescent="0.3">
      <c r="A469">
        <v>105</v>
      </c>
      <c r="B469" t="s">
        <v>557</v>
      </c>
      <c r="C469" s="451">
        <v>46062</v>
      </c>
      <c r="D469" t="s">
        <v>586</v>
      </c>
      <c r="E469" t="s">
        <v>20</v>
      </c>
      <c r="F469">
        <v>516.52</v>
      </c>
      <c r="G469">
        <v>0</v>
      </c>
      <c r="H469">
        <v>516.52</v>
      </c>
    </row>
    <row r="470" spans="1:8" x14ac:dyDescent="0.3">
      <c r="A470">
        <v>105</v>
      </c>
      <c r="B470" t="s">
        <v>557</v>
      </c>
      <c r="C470" s="451">
        <v>46061</v>
      </c>
      <c r="D470" t="s">
        <v>586</v>
      </c>
      <c r="E470" t="s">
        <v>3905</v>
      </c>
      <c r="F470">
        <v>10988.4</v>
      </c>
      <c r="G470">
        <v>841.84</v>
      </c>
      <c r="H470">
        <v>10146.56</v>
      </c>
    </row>
    <row r="471" spans="1:8" x14ac:dyDescent="0.3">
      <c r="A471">
        <v>105</v>
      </c>
      <c r="B471" t="s">
        <v>557</v>
      </c>
      <c r="C471" s="451">
        <v>46061</v>
      </c>
      <c r="D471" t="s">
        <v>586</v>
      </c>
      <c r="E471" t="s">
        <v>3904</v>
      </c>
      <c r="F471">
        <v>4021.8</v>
      </c>
      <c r="G471">
        <v>152.81</v>
      </c>
      <c r="H471">
        <v>3868.99</v>
      </c>
    </row>
    <row r="472" spans="1:8" x14ac:dyDescent="0.3">
      <c r="A472">
        <v>105</v>
      </c>
      <c r="B472" t="s">
        <v>557</v>
      </c>
      <c r="C472" s="451">
        <v>46061</v>
      </c>
      <c r="D472" t="s">
        <v>586</v>
      </c>
      <c r="E472" t="s">
        <v>20</v>
      </c>
      <c r="F472">
        <v>1908.18</v>
      </c>
      <c r="G472">
        <v>0</v>
      </c>
      <c r="H472">
        <v>1908.18</v>
      </c>
    </row>
    <row r="473" spans="1:8" x14ac:dyDescent="0.3">
      <c r="A473">
        <v>105</v>
      </c>
      <c r="B473" t="s">
        <v>557</v>
      </c>
      <c r="C473" s="451">
        <v>46060</v>
      </c>
      <c r="D473" t="s">
        <v>586</v>
      </c>
      <c r="E473" t="s">
        <v>3905</v>
      </c>
      <c r="F473">
        <v>13977.9</v>
      </c>
      <c r="G473">
        <v>1174.6600000000001</v>
      </c>
      <c r="H473">
        <v>12803.24</v>
      </c>
    </row>
    <row r="474" spans="1:8" x14ac:dyDescent="0.3">
      <c r="A474">
        <v>105</v>
      </c>
      <c r="B474" t="s">
        <v>557</v>
      </c>
      <c r="C474" s="451">
        <v>46060</v>
      </c>
      <c r="D474" t="s">
        <v>586</v>
      </c>
      <c r="E474" t="s">
        <v>3904</v>
      </c>
      <c r="F474">
        <v>7957.9</v>
      </c>
      <c r="G474">
        <v>430.67</v>
      </c>
      <c r="H474">
        <v>7527.23</v>
      </c>
    </row>
    <row r="475" spans="1:8" x14ac:dyDescent="0.3">
      <c r="A475">
        <v>105</v>
      </c>
      <c r="B475" t="s">
        <v>557</v>
      </c>
      <c r="C475" s="451">
        <v>46060</v>
      </c>
      <c r="D475" t="s">
        <v>586</v>
      </c>
      <c r="E475" t="s">
        <v>3906</v>
      </c>
      <c r="F475">
        <v>890</v>
      </c>
      <c r="G475">
        <v>27.31</v>
      </c>
      <c r="H475">
        <v>862.69</v>
      </c>
    </row>
    <row r="476" spans="1:8" x14ac:dyDescent="0.3">
      <c r="A476">
        <v>105</v>
      </c>
      <c r="B476" t="s">
        <v>557</v>
      </c>
      <c r="C476" s="451">
        <v>46060</v>
      </c>
      <c r="D476" t="s">
        <v>586</v>
      </c>
      <c r="E476" t="s">
        <v>20</v>
      </c>
      <c r="F476">
        <v>2858.4</v>
      </c>
      <c r="G476">
        <v>0</v>
      </c>
      <c r="H476">
        <v>2858.4</v>
      </c>
    </row>
    <row r="477" spans="1:8" x14ac:dyDescent="0.3">
      <c r="A477">
        <v>105</v>
      </c>
      <c r="B477" t="s">
        <v>557</v>
      </c>
      <c r="C477" s="451">
        <v>46059</v>
      </c>
      <c r="D477" t="s">
        <v>586</v>
      </c>
      <c r="E477" t="s">
        <v>3905</v>
      </c>
      <c r="F477">
        <v>8816.6</v>
      </c>
      <c r="G477">
        <v>453.29</v>
      </c>
      <c r="H477">
        <v>8363.31</v>
      </c>
    </row>
    <row r="478" spans="1:8" x14ac:dyDescent="0.3">
      <c r="A478">
        <v>105</v>
      </c>
      <c r="B478" t="s">
        <v>557</v>
      </c>
      <c r="C478" s="451">
        <v>46059</v>
      </c>
      <c r="D478" t="s">
        <v>586</v>
      </c>
      <c r="E478" t="s">
        <v>3904</v>
      </c>
      <c r="F478">
        <v>3282.6</v>
      </c>
      <c r="G478">
        <v>184.36</v>
      </c>
      <c r="H478">
        <v>3098.24</v>
      </c>
    </row>
    <row r="479" spans="1:8" x14ac:dyDescent="0.3">
      <c r="A479">
        <v>105</v>
      </c>
      <c r="B479" t="s">
        <v>557</v>
      </c>
      <c r="C479" s="451">
        <v>46059</v>
      </c>
      <c r="D479" t="s">
        <v>586</v>
      </c>
      <c r="E479" t="s">
        <v>20</v>
      </c>
      <c r="F479">
        <v>1558.18</v>
      </c>
      <c r="G479">
        <v>0</v>
      </c>
      <c r="H479">
        <v>1558.18</v>
      </c>
    </row>
    <row r="480" spans="1:8" x14ac:dyDescent="0.3">
      <c r="A480">
        <v>105</v>
      </c>
      <c r="B480" t="s">
        <v>557</v>
      </c>
      <c r="C480" s="451">
        <v>46058</v>
      </c>
      <c r="D480" t="s">
        <v>586</v>
      </c>
      <c r="E480" t="s">
        <v>3904</v>
      </c>
      <c r="F480">
        <v>1392.8</v>
      </c>
      <c r="G480">
        <v>85.26</v>
      </c>
      <c r="H480">
        <v>1307.54</v>
      </c>
    </row>
    <row r="481" spans="1:8" x14ac:dyDescent="0.3">
      <c r="A481">
        <v>105</v>
      </c>
      <c r="B481" t="s">
        <v>557</v>
      </c>
      <c r="C481" s="451">
        <v>46058</v>
      </c>
      <c r="D481" t="s">
        <v>586</v>
      </c>
      <c r="E481" t="s">
        <v>3905</v>
      </c>
      <c r="F481">
        <v>6708</v>
      </c>
      <c r="G481">
        <v>349.66</v>
      </c>
      <c r="H481">
        <v>6358.34</v>
      </c>
    </row>
    <row r="482" spans="1:8" x14ac:dyDescent="0.3">
      <c r="A482">
        <v>105</v>
      </c>
      <c r="B482" t="s">
        <v>557</v>
      </c>
      <c r="C482" s="451">
        <v>46058</v>
      </c>
      <c r="D482" t="s">
        <v>586</v>
      </c>
      <c r="E482" t="s">
        <v>20</v>
      </c>
      <c r="F482">
        <v>1030.69</v>
      </c>
      <c r="G482">
        <v>0</v>
      </c>
      <c r="H482">
        <v>1030.69</v>
      </c>
    </row>
    <row r="483" spans="1:8" x14ac:dyDescent="0.3">
      <c r="A483">
        <v>105</v>
      </c>
      <c r="B483" t="s">
        <v>557</v>
      </c>
      <c r="C483" s="451">
        <v>46057</v>
      </c>
      <c r="D483" t="s">
        <v>586</v>
      </c>
      <c r="E483" t="s">
        <v>3905</v>
      </c>
      <c r="F483">
        <v>6829.9</v>
      </c>
      <c r="G483">
        <v>251.46</v>
      </c>
      <c r="H483">
        <v>6578.44</v>
      </c>
    </row>
    <row r="484" spans="1:8" x14ac:dyDescent="0.3">
      <c r="A484">
        <v>105</v>
      </c>
      <c r="B484" t="s">
        <v>557</v>
      </c>
      <c r="C484" s="451">
        <v>46057</v>
      </c>
      <c r="D484" t="s">
        <v>586</v>
      </c>
      <c r="E484" t="s">
        <v>3904</v>
      </c>
      <c r="F484">
        <v>1534.5</v>
      </c>
      <c r="G484">
        <v>54.74</v>
      </c>
      <c r="H484">
        <v>1479.76</v>
      </c>
    </row>
    <row r="485" spans="1:8" x14ac:dyDescent="0.3">
      <c r="A485">
        <v>105</v>
      </c>
      <c r="B485" t="s">
        <v>557</v>
      </c>
      <c r="C485" s="451">
        <v>46057</v>
      </c>
      <c r="D485" t="s">
        <v>586</v>
      </c>
      <c r="E485" t="s">
        <v>20</v>
      </c>
      <c r="F485">
        <v>1045.3599999999999</v>
      </c>
      <c r="G485">
        <v>0</v>
      </c>
      <c r="H485">
        <v>1045.3599999999999</v>
      </c>
    </row>
    <row r="486" spans="1:8" x14ac:dyDescent="0.3">
      <c r="A486">
        <v>105</v>
      </c>
      <c r="B486" t="s">
        <v>557</v>
      </c>
      <c r="C486" s="451">
        <v>46056</v>
      </c>
      <c r="D486" t="s">
        <v>586</v>
      </c>
      <c r="E486" t="s">
        <v>3904</v>
      </c>
      <c r="F486">
        <v>652.5</v>
      </c>
      <c r="G486">
        <v>97.7</v>
      </c>
      <c r="H486">
        <v>554.79999999999995</v>
      </c>
    </row>
    <row r="487" spans="1:8" x14ac:dyDescent="0.3">
      <c r="A487">
        <v>105</v>
      </c>
      <c r="B487" t="s">
        <v>557</v>
      </c>
      <c r="C487" s="451">
        <v>46056</v>
      </c>
      <c r="D487" t="s">
        <v>586</v>
      </c>
      <c r="E487" t="s">
        <v>3905</v>
      </c>
      <c r="F487">
        <v>4731.7</v>
      </c>
      <c r="G487">
        <v>302.95</v>
      </c>
      <c r="H487">
        <v>4428.75</v>
      </c>
    </row>
    <row r="488" spans="1:8" x14ac:dyDescent="0.3">
      <c r="A488">
        <v>105</v>
      </c>
      <c r="B488" t="s">
        <v>557</v>
      </c>
      <c r="C488" s="451">
        <v>46056</v>
      </c>
      <c r="D488" t="s">
        <v>586</v>
      </c>
      <c r="E488" t="s">
        <v>20</v>
      </c>
      <c r="F488">
        <v>645.27</v>
      </c>
      <c r="G488">
        <v>0</v>
      </c>
      <c r="H488">
        <v>645.27</v>
      </c>
    </row>
    <row r="489" spans="1:8" x14ac:dyDescent="0.3">
      <c r="A489">
        <v>105</v>
      </c>
      <c r="B489" t="s">
        <v>557</v>
      </c>
      <c r="C489" s="451">
        <v>46055</v>
      </c>
      <c r="D489" t="s">
        <v>586</v>
      </c>
      <c r="E489" t="s">
        <v>3904</v>
      </c>
      <c r="F489">
        <v>560.6</v>
      </c>
      <c r="G489">
        <v>44.7</v>
      </c>
      <c r="H489">
        <v>515.9</v>
      </c>
    </row>
    <row r="490" spans="1:8" x14ac:dyDescent="0.3">
      <c r="A490">
        <v>105</v>
      </c>
      <c r="B490" t="s">
        <v>557</v>
      </c>
      <c r="C490" s="451">
        <v>46055</v>
      </c>
      <c r="D490" t="s">
        <v>586</v>
      </c>
      <c r="E490" t="s">
        <v>3905</v>
      </c>
      <c r="F490">
        <v>2999</v>
      </c>
      <c r="G490">
        <v>107.85</v>
      </c>
      <c r="H490">
        <v>2891.15</v>
      </c>
    </row>
    <row r="491" spans="1:8" x14ac:dyDescent="0.3">
      <c r="A491">
        <v>105</v>
      </c>
      <c r="B491" t="s">
        <v>557</v>
      </c>
      <c r="C491" s="451">
        <v>46055</v>
      </c>
      <c r="D491" t="s">
        <v>586</v>
      </c>
      <c r="E491" t="s">
        <v>20</v>
      </c>
      <c r="F491">
        <v>422.66</v>
      </c>
      <c r="G491">
        <v>0</v>
      </c>
      <c r="H491">
        <v>422.66</v>
      </c>
    </row>
    <row r="492" spans="1:8" x14ac:dyDescent="0.3">
      <c r="A492">
        <v>105</v>
      </c>
      <c r="B492" t="s">
        <v>557</v>
      </c>
      <c r="C492" s="451">
        <v>46054</v>
      </c>
      <c r="D492" t="s">
        <v>586</v>
      </c>
      <c r="E492" t="s">
        <v>3905</v>
      </c>
      <c r="F492">
        <v>4480.5</v>
      </c>
      <c r="G492">
        <v>592.97</v>
      </c>
      <c r="H492">
        <v>3887.53</v>
      </c>
    </row>
    <row r="493" spans="1:8" x14ac:dyDescent="0.3">
      <c r="A493">
        <v>105</v>
      </c>
      <c r="B493" t="s">
        <v>557</v>
      </c>
      <c r="C493" s="451">
        <v>46054</v>
      </c>
      <c r="D493" t="s">
        <v>586</v>
      </c>
      <c r="E493" t="s">
        <v>3904</v>
      </c>
      <c r="F493">
        <v>1853.8</v>
      </c>
      <c r="G493">
        <v>255.57</v>
      </c>
      <c r="H493">
        <v>1598.23</v>
      </c>
    </row>
    <row r="494" spans="1:8" x14ac:dyDescent="0.3">
      <c r="A494">
        <v>105</v>
      </c>
      <c r="B494" t="s">
        <v>557</v>
      </c>
      <c r="C494" s="451">
        <v>46054</v>
      </c>
      <c r="D494" t="s">
        <v>586</v>
      </c>
      <c r="E494" t="s">
        <v>20</v>
      </c>
      <c r="F494">
        <v>798.91</v>
      </c>
      <c r="G494">
        <v>0</v>
      </c>
      <c r="H494">
        <v>798.91</v>
      </c>
    </row>
    <row r="495" spans="1:8" x14ac:dyDescent="0.3">
      <c r="A495">
        <v>105</v>
      </c>
      <c r="B495" t="s">
        <v>557</v>
      </c>
      <c r="C495" s="451">
        <v>46053</v>
      </c>
      <c r="D495" t="s">
        <v>561</v>
      </c>
      <c r="E495" t="s">
        <v>3905</v>
      </c>
      <c r="F495">
        <v>16423</v>
      </c>
      <c r="G495">
        <v>1066.73</v>
      </c>
      <c r="H495">
        <v>15356.27</v>
      </c>
    </row>
    <row r="496" spans="1:8" x14ac:dyDescent="0.3">
      <c r="A496">
        <v>105</v>
      </c>
      <c r="B496" t="s">
        <v>557</v>
      </c>
      <c r="C496" s="451">
        <v>46053</v>
      </c>
      <c r="D496" t="s">
        <v>561</v>
      </c>
      <c r="E496" t="s">
        <v>3904</v>
      </c>
      <c r="F496">
        <v>9658.7999999999993</v>
      </c>
      <c r="G496">
        <v>337.6</v>
      </c>
      <c r="H496">
        <v>9321.2000000000007</v>
      </c>
    </row>
    <row r="497" spans="1:8" x14ac:dyDescent="0.3">
      <c r="A497">
        <v>105</v>
      </c>
      <c r="B497" t="s">
        <v>557</v>
      </c>
      <c r="C497" s="451">
        <v>46053</v>
      </c>
      <c r="D497" t="s">
        <v>561</v>
      </c>
      <c r="E497" t="s">
        <v>3906</v>
      </c>
      <c r="F497">
        <v>830</v>
      </c>
      <c r="G497">
        <v>130.47</v>
      </c>
      <c r="H497">
        <v>699.53</v>
      </c>
    </row>
    <row r="498" spans="1:8" x14ac:dyDescent="0.3">
      <c r="A498">
        <v>105</v>
      </c>
      <c r="B498" t="s">
        <v>557</v>
      </c>
      <c r="C498" s="451">
        <v>46053</v>
      </c>
      <c r="D498" t="s">
        <v>561</v>
      </c>
      <c r="E498" t="s">
        <v>20</v>
      </c>
      <c r="F498">
        <v>3356.87</v>
      </c>
      <c r="G498">
        <v>0</v>
      </c>
      <c r="H498">
        <v>3356.87</v>
      </c>
    </row>
    <row r="499" spans="1:8" x14ac:dyDescent="0.3">
      <c r="A499">
        <v>105</v>
      </c>
      <c r="B499" t="s">
        <v>557</v>
      </c>
      <c r="C499" s="451">
        <v>46052</v>
      </c>
      <c r="D499" t="s">
        <v>561</v>
      </c>
      <c r="E499" t="s">
        <v>3905</v>
      </c>
      <c r="F499">
        <v>5419.5</v>
      </c>
      <c r="G499">
        <v>312.16000000000003</v>
      </c>
      <c r="H499">
        <v>5107.34</v>
      </c>
    </row>
    <row r="500" spans="1:8" x14ac:dyDescent="0.3">
      <c r="A500">
        <v>105</v>
      </c>
      <c r="B500" t="s">
        <v>557</v>
      </c>
      <c r="C500" s="451">
        <v>46052</v>
      </c>
      <c r="D500" t="s">
        <v>561</v>
      </c>
      <c r="E500" t="s">
        <v>3904</v>
      </c>
      <c r="F500">
        <v>3341.9</v>
      </c>
      <c r="G500">
        <v>133.65</v>
      </c>
      <c r="H500">
        <v>3208.25</v>
      </c>
    </row>
    <row r="501" spans="1:8" x14ac:dyDescent="0.3">
      <c r="A501">
        <v>105</v>
      </c>
      <c r="B501" t="s">
        <v>557</v>
      </c>
      <c r="C501" s="451">
        <v>46052</v>
      </c>
      <c r="D501" t="s">
        <v>561</v>
      </c>
      <c r="E501" t="s">
        <v>20</v>
      </c>
      <c r="F501">
        <v>999</v>
      </c>
      <c r="G501">
        <v>0</v>
      </c>
      <c r="H501">
        <v>999</v>
      </c>
    </row>
    <row r="502" spans="1:8" x14ac:dyDescent="0.3">
      <c r="A502">
        <v>105</v>
      </c>
      <c r="B502" t="s">
        <v>557</v>
      </c>
      <c r="C502" s="451">
        <v>46051</v>
      </c>
      <c r="D502" t="s">
        <v>561</v>
      </c>
      <c r="E502" t="s">
        <v>3904</v>
      </c>
      <c r="F502">
        <v>4198.5</v>
      </c>
      <c r="G502">
        <v>49.65</v>
      </c>
      <c r="H502">
        <v>4148.8500000000004</v>
      </c>
    </row>
    <row r="503" spans="1:8" x14ac:dyDescent="0.3">
      <c r="A503">
        <v>105</v>
      </c>
      <c r="B503" t="s">
        <v>557</v>
      </c>
      <c r="C503" s="451">
        <v>46051</v>
      </c>
      <c r="D503" t="s">
        <v>561</v>
      </c>
      <c r="E503" t="s">
        <v>3905</v>
      </c>
      <c r="F503">
        <v>7950.7</v>
      </c>
      <c r="G503">
        <v>275.05</v>
      </c>
      <c r="H503">
        <v>7675.65</v>
      </c>
    </row>
    <row r="504" spans="1:8" x14ac:dyDescent="0.3">
      <c r="A504">
        <v>105</v>
      </c>
      <c r="B504" t="s">
        <v>557</v>
      </c>
      <c r="C504" s="451">
        <v>46051</v>
      </c>
      <c r="D504" t="s">
        <v>561</v>
      </c>
      <c r="E504" t="s">
        <v>20</v>
      </c>
      <c r="F504">
        <v>1555.23</v>
      </c>
      <c r="G504">
        <v>0</v>
      </c>
      <c r="H504">
        <v>1555.23</v>
      </c>
    </row>
    <row r="505" spans="1:8" x14ac:dyDescent="0.3">
      <c r="A505">
        <v>105</v>
      </c>
      <c r="B505" t="s">
        <v>557</v>
      </c>
      <c r="C505" s="451">
        <v>46050</v>
      </c>
      <c r="D505" t="s">
        <v>561</v>
      </c>
      <c r="E505" t="s">
        <v>3904</v>
      </c>
      <c r="F505">
        <v>2176.6</v>
      </c>
      <c r="G505">
        <v>93.48</v>
      </c>
      <c r="H505">
        <v>2083.12</v>
      </c>
    </row>
    <row r="506" spans="1:8" x14ac:dyDescent="0.3">
      <c r="A506">
        <v>105</v>
      </c>
      <c r="B506" t="s">
        <v>557</v>
      </c>
      <c r="C506" s="451">
        <v>46050</v>
      </c>
      <c r="D506" t="s">
        <v>561</v>
      </c>
      <c r="E506" t="s">
        <v>3905</v>
      </c>
      <c r="F506">
        <v>6309.3</v>
      </c>
      <c r="G506">
        <v>398.94</v>
      </c>
      <c r="H506">
        <v>5910.36</v>
      </c>
    </row>
    <row r="507" spans="1:8" x14ac:dyDescent="0.3">
      <c r="A507">
        <v>105</v>
      </c>
      <c r="B507" t="s">
        <v>557</v>
      </c>
      <c r="C507" s="451">
        <v>46050</v>
      </c>
      <c r="D507" t="s">
        <v>561</v>
      </c>
      <c r="E507" t="s">
        <v>20</v>
      </c>
      <c r="F507">
        <v>1039.48</v>
      </c>
      <c r="G507">
        <v>0</v>
      </c>
      <c r="H507">
        <v>1039.48</v>
      </c>
    </row>
    <row r="508" spans="1:8" x14ac:dyDescent="0.3">
      <c r="A508">
        <v>105</v>
      </c>
      <c r="B508" t="s">
        <v>557</v>
      </c>
      <c r="C508" s="451">
        <v>46049</v>
      </c>
      <c r="D508" t="s">
        <v>561</v>
      </c>
      <c r="E508" t="s">
        <v>3904</v>
      </c>
      <c r="F508">
        <v>953.7</v>
      </c>
      <c r="G508">
        <v>37</v>
      </c>
      <c r="H508">
        <v>916.7</v>
      </c>
    </row>
    <row r="509" spans="1:8" x14ac:dyDescent="0.3">
      <c r="A509">
        <v>105</v>
      </c>
      <c r="B509" t="s">
        <v>557</v>
      </c>
      <c r="C509" s="451">
        <v>46049</v>
      </c>
      <c r="D509" t="s">
        <v>561</v>
      </c>
      <c r="E509" t="s">
        <v>3905</v>
      </c>
      <c r="F509">
        <v>5864.3</v>
      </c>
      <c r="G509">
        <v>83.9</v>
      </c>
      <c r="H509">
        <v>5780.4</v>
      </c>
    </row>
    <row r="510" spans="1:8" x14ac:dyDescent="0.3">
      <c r="A510">
        <v>105</v>
      </c>
      <c r="B510" t="s">
        <v>557</v>
      </c>
      <c r="C510" s="451">
        <v>46049</v>
      </c>
      <c r="D510" t="s">
        <v>561</v>
      </c>
      <c r="E510" t="s">
        <v>20</v>
      </c>
      <c r="F510">
        <v>862.95</v>
      </c>
      <c r="G510">
        <v>0</v>
      </c>
      <c r="H510">
        <v>862.95</v>
      </c>
    </row>
    <row r="511" spans="1:8" x14ac:dyDescent="0.3">
      <c r="A511">
        <v>105</v>
      </c>
      <c r="B511" t="s">
        <v>557</v>
      </c>
      <c r="C511" s="451">
        <v>46048</v>
      </c>
      <c r="D511" t="s">
        <v>561</v>
      </c>
      <c r="E511" t="s">
        <v>3904</v>
      </c>
      <c r="F511">
        <v>587</v>
      </c>
      <c r="G511">
        <v>14</v>
      </c>
      <c r="H511">
        <v>573</v>
      </c>
    </row>
    <row r="512" spans="1:8" x14ac:dyDescent="0.3">
      <c r="A512">
        <v>105</v>
      </c>
      <c r="B512" t="s">
        <v>557</v>
      </c>
      <c r="C512" s="451">
        <v>46048</v>
      </c>
      <c r="D512" t="s">
        <v>561</v>
      </c>
      <c r="E512" t="s">
        <v>3905</v>
      </c>
      <c r="F512">
        <v>4316.3</v>
      </c>
      <c r="G512">
        <v>143.9</v>
      </c>
      <c r="H512">
        <v>4172.3999999999996</v>
      </c>
    </row>
    <row r="513" spans="1:8" x14ac:dyDescent="0.3">
      <c r="A513">
        <v>105</v>
      </c>
      <c r="B513" t="s">
        <v>557</v>
      </c>
      <c r="C513" s="451">
        <v>46048</v>
      </c>
      <c r="D513" t="s">
        <v>561</v>
      </c>
      <c r="E513" t="s">
        <v>20</v>
      </c>
      <c r="F513">
        <v>626.12</v>
      </c>
      <c r="G513">
        <v>0</v>
      </c>
      <c r="H513">
        <v>626.12</v>
      </c>
    </row>
    <row r="514" spans="1:8" x14ac:dyDescent="0.3">
      <c r="A514">
        <v>105</v>
      </c>
      <c r="B514" t="s">
        <v>557</v>
      </c>
      <c r="C514" s="451">
        <v>46047</v>
      </c>
      <c r="D514" t="s">
        <v>561</v>
      </c>
      <c r="E514" t="s">
        <v>3905</v>
      </c>
      <c r="F514">
        <v>11496.5</v>
      </c>
      <c r="G514">
        <v>599.15</v>
      </c>
      <c r="H514">
        <v>10897.35</v>
      </c>
    </row>
    <row r="515" spans="1:8" x14ac:dyDescent="0.3">
      <c r="A515">
        <v>105</v>
      </c>
      <c r="B515" t="s">
        <v>557</v>
      </c>
      <c r="C515" s="451">
        <v>46047</v>
      </c>
      <c r="D515" t="s">
        <v>561</v>
      </c>
      <c r="E515" t="s">
        <v>3904</v>
      </c>
      <c r="F515">
        <v>3752.8</v>
      </c>
      <c r="G515">
        <v>158.1</v>
      </c>
      <c r="H515">
        <v>3594.7</v>
      </c>
    </row>
    <row r="516" spans="1:8" x14ac:dyDescent="0.3">
      <c r="A516">
        <v>105</v>
      </c>
      <c r="B516" t="s">
        <v>557</v>
      </c>
      <c r="C516" s="451">
        <v>46047</v>
      </c>
      <c r="D516" t="s">
        <v>561</v>
      </c>
      <c r="E516" t="s">
        <v>20</v>
      </c>
      <c r="F516">
        <v>1939.26</v>
      </c>
      <c r="G516">
        <v>0</v>
      </c>
      <c r="H516">
        <v>1939.26</v>
      </c>
    </row>
    <row r="517" spans="1:8" x14ac:dyDescent="0.3">
      <c r="A517">
        <v>105</v>
      </c>
      <c r="B517" t="s">
        <v>557</v>
      </c>
      <c r="C517" s="451">
        <v>46046</v>
      </c>
      <c r="D517" t="s">
        <v>561</v>
      </c>
      <c r="E517" t="s">
        <v>3905</v>
      </c>
      <c r="F517">
        <v>19026.7</v>
      </c>
      <c r="G517">
        <v>1190.54</v>
      </c>
      <c r="H517">
        <v>17836.16</v>
      </c>
    </row>
    <row r="518" spans="1:8" x14ac:dyDescent="0.3">
      <c r="A518">
        <v>105</v>
      </c>
      <c r="B518" t="s">
        <v>557</v>
      </c>
      <c r="C518" s="451">
        <v>46046</v>
      </c>
      <c r="D518" t="s">
        <v>561</v>
      </c>
      <c r="E518" t="s">
        <v>3904</v>
      </c>
      <c r="F518">
        <v>10929.3</v>
      </c>
      <c r="G518">
        <v>278.75</v>
      </c>
      <c r="H518">
        <v>10650.55</v>
      </c>
    </row>
    <row r="519" spans="1:8" x14ac:dyDescent="0.3">
      <c r="A519">
        <v>105</v>
      </c>
      <c r="B519" t="s">
        <v>557</v>
      </c>
      <c r="C519" s="451">
        <v>46046</v>
      </c>
      <c r="D519" t="s">
        <v>561</v>
      </c>
      <c r="E519" t="s">
        <v>3906</v>
      </c>
      <c r="F519">
        <v>1260</v>
      </c>
      <c r="G519">
        <v>40</v>
      </c>
      <c r="H519">
        <v>1220</v>
      </c>
    </row>
    <row r="520" spans="1:8" x14ac:dyDescent="0.3">
      <c r="A520">
        <v>105</v>
      </c>
      <c r="B520" t="s">
        <v>557</v>
      </c>
      <c r="C520" s="451">
        <v>46046</v>
      </c>
      <c r="D520" t="s">
        <v>561</v>
      </c>
      <c r="E520" t="s">
        <v>20</v>
      </c>
      <c r="F520">
        <v>3918.4</v>
      </c>
      <c r="G520">
        <v>0</v>
      </c>
      <c r="H520">
        <v>3918.4</v>
      </c>
    </row>
    <row r="521" spans="1:8" x14ac:dyDescent="0.3">
      <c r="A521">
        <v>105</v>
      </c>
      <c r="B521" t="s">
        <v>557</v>
      </c>
      <c r="C521" s="451">
        <v>46045</v>
      </c>
      <c r="D521" t="s">
        <v>561</v>
      </c>
      <c r="E521" t="s">
        <v>3905</v>
      </c>
      <c r="F521">
        <v>5044.5</v>
      </c>
      <c r="G521">
        <v>143.9</v>
      </c>
      <c r="H521">
        <v>4900.6000000000004</v>
      </c>
    </row>
    <row r="522" spans="1:8" x14ac:dyDescent="0.3">
      <c r="A522">
        <v>105</v>
      </c>
      <c r="B522" t="s">
        <v>557</v>
      </c>
      <c r="C522" s="451">
        <v>46045</v>
      </c>
      <c r="D522" t="s">
        <v>561</v>
      </c>
      <c r="E522" t="s">
        <v>3904</v>
      </c>
      <c r="F522">
        <v>1289.5</v>
      </c>
      <c r="G522">
        <v>7.5</v>
      </c>
      <c r="H522">
        <v>1282</v>
      </c>
    </row>
    <row r="523" spans="1:8" x14ac:dyDescent="0.3">
      <c r="A523">
        <v>105</v>
      </c>
      <c r="B523" t="s">
        <v>557</v>
      </c>
      <c r="C523" s="451">
        <v>46045</v>
      </c>
      <c r="D523" t="s">
        <v>561</v>
      </c>
      <c r="E523" t="s">
        <v>20</v>
      </c>
      <c r="F523">
        <v>780.04</v>
      </c>
      <c r="G523">
        <v>0</v>
      </c>
      <c r="H523">
        <v>780.04</v>
      </c>
    </row>
    <row r="524" spans="1:8" x14ac:dyDescent="0.3">
      <c r="A524">
        <v>105</v>
      </c>
      <c r="B524" t="s">
        <v>557</v>
      </c>
      <c r="C524" s="451">
        <v>46044</v>
      </c>
      <c r="D524" t="s">
        <v>561</v>
      </c>
      <c r="E524" t="s">
        <v>3905</v>
      </c>
      <c r="F524">
        <v>3503.3</v>
      </c>
      <c r="G524">
        <v>202.22</v>
      </c>
      <c r="H524">
        <v>3301.08</v>
      </c>
    </row>
    <row r="525" spans="1:8" x14ac:dyDescent="0.3">
      <c r="A525">
        <v>105</v>
      </c>
      <c r="B525" t="s">
        <v>557</v>
      </c>
      <c r="C525" s="451">
        <v>46044</v>
      </c>
      <c r="D525" t="s">
        <v>561</v>
      </c>
      <c r="E525" t="s">
        <v>3904</v>
      </c>
      <c r="F525">
        <v>710.3</v>
      </c>
      <c r="G525">
        <v>29.08</v>
      </c>
      <c r="H525">
        <v>681.22</v>
      </c>
    </row>
    <row r="526" spans="1:8" x14ac:dyDescent="0.3">
      <c r="A526">
        <v>105</v>
      </c>
      <c r="B526" t="s">
        <v>557</v>
      </c>
      <c r="C526" s="451">
        <v>46044</v>
      </c>
      <c r="D526" t="s">
        <v>561</v>
      </c>
      <c r="E526" t="s">
        <v>20</v>
      </c>
      <c r="F526">
        <v>536.15</v>
      </c>
      <c r="G526">
        <v>0</v>
      </c>
      <c r="H526">
        <v>536.15</v>
      </c>
    </row>
    <row r="527" spans="1:8" x14ac:dyDescent="0.3">
      <c r="A527">
        <v>105</v>
      </c>
      <c r="B527" t="s">
        <v>557</v>
      </c>
      <c r="C527" s="451">
        <v>46043</v>
      </c>
      <c r="D527" t="s">
        <v>561</v>
      </c>
      <c r="E527" t="s">
        <v>3904</v>
      </c>
      <c r="F527">
        <v>675.1</v>
      </c>
      <c r="G527">
        <v>28.1</v>
      </c>
      <c r="H527">
        <v>647</v>
      </c>
    </row>
    <row r="528" spans="1:8" x14ac:dyDescent="0.3">
      <c r="A528">
        <v>105</v>
      </c>
      <c r="B528" t="s">
        <v>557</v>
      </c>
      <c r="C528" s="451">
        <v>46043</v>
      </c>
      <c r="D528" t="s">
        <v>561</v>
      </c>
      <c r="E528" t="s">
        <v>3905</v>
      </c>
      <c r="F528">
        <v>3645.6</v>
      </c>
      <c r="G528">
        <v>160.6</v>
      </c>
      <c r="H528">
        <v>3485</v>
      </c>
    </row>
    <row r="529" spans="1:8" x14ac:dyDescent="0.3">
      <c r="A529">
        <v>105</v>
      </c>
      <c r="B529" t="s">
        <v>557</v>
      </c>
      <c r="C529" s="451">
        <v>46043</v>
      </c>
      <c r="D529" t="s">
        <v>561</v>
      </c>
      <c r="E529" t="s">
        <v>20</v>
      </c>
      <c r="F529">
        <v>531.64</v>
      </c>
      <c r="G529">
        <v>0</v>
      </c>
      <c r="H529">
        <v>531.64</v>
      </c>
    </row>
    <row r="530" spans="1:8" x14ac:dyDescent="0.3">
      <c r="A530">
        <v>105</v>
      </c>
      <c r="B530" t="s">
        <v>557</v>
      </c>
      <c r="C530" s="451">
        <v>46042</v>
      </c>
      <c r="D530" t="s">
        <v>561</v>
      </c>
      <c r="E530" t="s">
        <v>3904</v>
      </c>
      <c r="F530">
        <v>751.6</v>
      </c>
      <c r="G530">
        <v>18.989999999999998</v>
      </c>
      <c r="H530">
        <v>732.61</v>
      </c>
    </row>
    <row r="531" spans="1:8" x14ac:dyDescent="0.3">
      <c r="A531">
        <v>105</v>
      </c>
      <c r="B531" t="s">
        <v>557</v>
      </c>
      <c r="C531" s="451">
        <v>46042</v>
      </c>
      <c r="D531" t="s">
        <v>561</v>
      </c>
      <c r="E531" t="s">
        <v>3905</v>
      </c>
      <c r="F531">
        <v>5945.2</v>
      </c>
      <c r="G531">
        <v>137.01</v>
      </c>
      <c r="H531">
        <v>5808.19</v>
      </c>
    </row>
    <row r="532" spans="1:8" x14ac:dyDescent="0.3">
      <c r="A532">
        <v>105</v>
      </c>
      <c r="B532" t="s">
        <v>557</v>
      </c>
      <c r="C532" s="451">
        <v>46042</v>
      </c>
      <c r="D532" t="s">
        <v>561</v>
      </c>
      <c r="E532" t="s">
        <v>20</v>
      </c>
      <c r="F532">
        <v>849.45</v>
      </c>
      <c r="G532">
        <v>0</v>
      </c>
      <c r="H532">
        <v>849.45</v>
      </c>
    </row>
    <row r="533" spans="1:8" x14ac:dyDescent="0.3">
      <c r="A533">
        <v>105</v>
      </c>
      <c r="B533" t="s">
        <v>557</v>
      </c>
      <c r="C533" s="451">
        <v>46040</v>
      </c>
      <c r="D533" t="s">
        <v>561</v>
      </c>
      <c r="E533" t="s">
        <v>3905</v>
      </c>
      <c r="F533">
        <v>13120</v>
      </c>
      <c r="G533">
        <v>1152.94</v>
      </c>
      <c r="H533">
        <v>11967.06</v>
      </c>
    </row>
    <row r="534" spans="1:8" x14ac:dyDescent="0.3">
      <c r="A534">
        <v>105</v>
      </c>
      <c r="B534" t="s">
        <v>557</v>
      </c>
      <c r="C534" s="451">
        <v>46040</v>
      </c>
      <c r="D534" t="s">
        <v>561</v>
      </c>
      <c r="E534" t="s">
        <v>3904</v>
      </c>
      <c r="F534">
        <v>3535.8</v>
      </c>
      <c r="G534">
        <v>273.16000000000003</v>
      </c>
      <c r="H534">
        <v>3262.64</v>
      </c>
    </row>
    <row r="535" spans="1:8" x14ac:dyDescent="0.3">
      <c r="A535">
        <v>105</v>
      </c>
      <c r="B535" t="s">
        <v>557</v>
      </c>
      <c r="C535" s="451">
        <v>46040</v>
      </c>
      <c r="D535" t="s">
        <v>561</v>
      </c>
      <c r="E535" t="s">
        <v>20</v>
      </c>
      <c r="F535">
        <v>2020.64</v>
      </c>
      <c r="G535">
        <v>0</v>
      </c>
      <c r="H535">
        <v>2020.64</v>
      </c>
    </row>
    <row r="536" spans="1:8" x14ac:dyDescent="0.3">
      <c r="A536">
        <v>105</v>
      </c>
      <c r="B536" t="s">
        <v>557</v>
      </c>
      <c r="C536" s="451">
        <v>46039</v>
      </c>
      <c r="D536" t="s">
        <v>561</v>
      </c>
      <c r="E536" t="s">
        <v>3905</v>
      </c>
      <c r="F536">
        <v>13632.5</v>
      </c>
      <c r="G536">
        <v>822.1</v>
      </c>
      <c r="H536">
        <v>12810.4</v>
      </c>
    </row>
    <row r="537" spans="1:8" x14ac:dyDescent="0.3">
      <c r="A537">
        <v>105</v>
      </c>
      <c r="B537" t="s">
        <v>557</v>
      </c>
      <c r="C537" s="451">
        <v>46039</v>
      </c>
      <c r="D537" t="s">
        <v>561</v>
      </c>
      <c r="E537" t="s">
        <v>3904</v>
      </c>
      <c r="F537">
        <v>10164</v>
      </c>
      <c r="G537">
        <v>199.26</v>
      </c>
      <c r="H537">
        <v>9964.74</v>
      </c>
    </row>
    <row r="538" spans="1:8" x14ac:dyDescent="0.3">
      <c r="A538">
        <v>105</v>
      </c>
      <c r="B538" t="s">
        <v>557</v>
      </c>
      <c r="C538" s="451">
        <v>46039</v>
      </c>
      <c r="D538" t="s">
        <v>561</v>
      </c>
      <c r="E538" t="s">
        <v>3906</v>
      </c>
      <c r="F538">
        <v>700</v>
      </c>
      <c r="G538">
        <v>65.64</v>
      </c>
      <c r="H538">
        <v>634.36</v>
      </c>
    </row>
    <row r="539" spans="1:8" x14ac:dyDescent="0.3">
      <c r="A539">
        <v>105</v>
      </c>
      <c r="B539" t="s">
        <v>557</v>
      </c>
      <c r="C539" s="451">
        <v>46039</v>
      </c>
      <c r="D539" t="s">
        <v>561</v>
      </c>
      <c r="E539" t="s">
        <v>20</v>
      </c>
      <c r="F539">
        <v>3152.82</v>
      </c>
      <c r="G539">
        <v>0</v>
      </c>
      <c r="H539">
        <v>3152.82</v>
      </c>
    </row>
    <row r="540" spans="1:8" x14ac:dyDescent="0.3">
      <c r="A540">
        <v>105</v>
      </c>
      <c r="B540" t="s">
        <v>557</v>
      </c>
      <c r="C540" s="451">
        <v>46038</v>
      </c>
      <c r="D540" t="s">
        <v>561</v>
      </c>
      <c r="E540" t="s">
        <v>3904</v>
      </c>
      <c r="F540">
        <v>3525.4</v>
      </c>
      <c r="G540">
        <v>115.52</v>
      </c>
      <c r="H540">
        <v>3409.88</v>
      </c>
    </row>
    <row r="541" spans="1:8" x14ac:dyDescent="0.3">
      <c r="A541">
        <v>105</v>
      </c>
      <c r="B541" t="s">
        <v>557</v>
      </c>
      <c r="C541" s="451">
        <v>46038</v>
      </c>
      <c r="D541" t="s">
        <v>561</v>
      </c>
      <c r="E541" t="s">
        <v>3905</v>
      </c>
      <c r="F541">
        <v>4983.7</v>
      </c>
      <c r="G541">
        <v>390.85</v>
      </c>
      <c r="H541">
        <v>4592.8500000000004</v>
      </c>
    </row>
    <row r="542" spans="1:8" x14ac:dyDescent="0.3">
      <c r="A542">
        <v>105</v>
      </c>
      <c r="B542" t="s">
        <v>557</v>
      </c>
      <c r="C542" s="451">
        <v>46038</v>
      </c>
      <c r="D542" t="s">
        <v>561</v>
      </c>
      <c r="E542" t="s">
        <v>20</v>
      </c>
      <c r="F542">
        <v>1055.81</v>
      </c>
      <c r="G542">
        <v>0</v>
      </c>
      <c r="H542">
        <v>1055.81</v>
      </c>
    </row>
    <row r="543" spans="1:8" x14ac:dyDescent="0.3">
      <c r="A543">
        <v>105</v>
      </c>
      <c r="B543" t="s">
        <v>557</v>
      </c>
      <c r="C543" s="451">
        <v>46037</v>
      </c>
      <c r="D543" t="s">
        <v>561</v>
      </c>
      <c r="E543" t="s">
        <v>3905</v>
      </c>
      <c r="F543">
        <v>10478.5</v>
      </c>
      <c r="G543">
        <v>879.89</v>
      </c>
      <c r="H543">
        <v>9598.61</v>
      </c>
    </row>
    <row r="544" spans="1:8" x14ac:dyDescent="0.3">
      <c r="A544">
        <v>105</v>
      </c>
      <c r="B544" t="s">
        <v>557</v>
      </c>
      <c r="C544" s="451">
        <v>46037</v>
      </c>
      <c r="D544" t="s">
        <v>561</v>
      </c>
      <c r="E544" t="s">
        <v>3904</v>
      </c>
      <c r="F544">
        <v>6255</v>
      </c>
      <c r="G544">
        <v>3372.46</v>
      </c>
      <c r="H544">
        <v>2882.54</v>
      </c>
    </row>
    <row r="545" spans="1:8" x14ac:dyDescent="0.3">
      <c r="A545">
        <v>105</v>
      </c>
      <c r="B545" t="s">
        <v>557</v>
      </c>
      <c r="C545" s="451">
        <v>46037</v>
      </c>
      <c r="D545" t="s">
        <v>561</v>
      </c>
      <c r="E545" t="s">
        <v>20</v>
      </c>
      <c r="F545">
        <v>1638.68</v>
      </c>
      <c r="G545">
        <v>0</v>
      </c>
      <c r="H545">
        <v>1638.68</v>
      </c>
    </row>
    <row r="546" spans="1:8" x14ac:dyDescent="0.3">
      <c r="A546">
        <v>105</v>
      </c>
      <c r="B546" t="s">
        <v>557</v>
      </c>
      <c r="C546" s="451">
        <v>46036</v>
      </c>
      <c r="D546" t="s">
        <v>561</v>
      </c>
      <c r="E546" t="s">
        <v>3904</v>
      </c>
      <c r="F546">
        <v>916.6</v>
      </c>
      <c r="G546">
        <v>100.29</v>
      </c>
      <c r="H546">
        <v>816.31</v>
      </c>
    </row>
    <row r="547" spans="1:8" x14ac:dyDescent="0.3">
      <c r="A547">
        <v>105</v>
      </c>
      <c r="B547" t="s">
        <v>557</v>
      </c>
      <c r="C547" s="451">
        <v>46036</v>
      </c>
      <c r="D547" t="s">
        <v>561</v>
      </c>
      <c r="E547" t="s">
        <v>3905</v>
      </c>
      <c r="F547">
        <v>4531</v>
      </c>
      <c r="G547">
        <v>559.15</v>
      </c>
      <c r="H547">
        <v>3971.85</v>
      </c>
    </row>
    <row r="548" spans="1:8" x14ac:dyDescent="0.3">
      <c r="A548">
        <v>105</v>
      </c>
      <c r="B548" t="s">
        <v>557</v>
      </c>
      <c r="C548" s="451">
        <v>46036</v>
      </c>
      <c r="D548" t="s">
        <v>561</v>
      </c>
      <c r="E548" t="s">
        <v>20</v>
      </c>
      <c r="F548">
        <v>633.23</v>
      </c>
      <c r="G548">
        <v>0</v>
      </c>
      <c r="H548">
        <v>633.23</v>
      </c>
    </row>
    <row r="549" spans="1:8" x14ac:dyDescent="0.3">
      <c r="A549">
        <v>105</v>
      </c>
      <c r="B549" t="s">
        <v>557</v>
      </c>
      <c r="C549" s="451">
        <v>46035</v>
      </c>
      <c r="D549" t="s">
        <v>561</v>
      </c>
      <c r="E549" t="s">
        <v>3904</v>
      </c>
      <c r="F549">
        <v>585.29999999999995</v>
      </c>
      <c r="G549">
        <v>4.2</v>
      </c>
      <c r="H549">
        <v>581.1</v>
      </c>
    </row>
    <row r="550" spans="1:8" x14ac:dyDescent="0.3">
      <c r="A550">
        <v>105</v>
      </c>
      <c r="B550" t="s">
        <v>557</v>
      </c>
      <c r="C550" s="451">
        <v>46035</v>
      </c>
      <c r="D550" t="s">
        <v>561</v>
      </c>
      <c r="E550" t="s">
        <v>3905</v>
      </c>
      <c r="F550">
        <v>4803.2</v>
      </c>
      <c r="G550">
        <v>169.37</v>
      </c>
      <c r="H550">
        <v>4633.83</v>
      </c>
    </row>
    <row r="551" spans="1:8" x14ac:dyDescent="0.3">
      <c r="A551">
        <v>105</v>
      </c>
      <c r="B551" t="s">
        <v>557</v>
      </c>
      <c r="C551" s="451">
        <v>46035</v>
      </c>
      <c r="D551" t="s">
        <v>561</v>
      </c>
      <c r="E551" t="s">
        <v>20</v>
      </c>
      <c r="F551">
        <v>661.26</v>
      </c>
      <c r="G551">
        <v>0</v>
      </c>
      <c r="H551">
        <v>661.26</v>
      </c>
    </row>
    <row r="552" spans="1:8" x14ac:dyDescent="0.3">
      <c r="A552">
        <v>105</v>
      </c>
      <c r="B552" t="s">
        <v>557</v>
      </c>
      <c r="C552" s="451">
        <v>46034</v>
      </c>
      <c r="D552" t="s">
        <v>561</v>
      </c>
      <c r="E552" t="s">
        <v>3904</v>
      </c>
      <c r="F552">
        <v>378.7</v>
      </c>
      <c r="G552">
        <v>4.03</v>
      </c>
      <c r="H552">
        <v>374.67</v>
      </c>
    </row>
    <row r="553" spans="1:8" x14ac:dyDescent="0.3">
      <c r="A553">
        <v>105</v>
      </c>
      <c r="B553" t="s">
        <v>557</v>
      </c>
      <c r="C553" s="451">
        <v>46034</v>
      </c>
      <c r="D553" t="s">
        <v>561</v>
      </c>
      <c r="E553" t="s">
        <v>3905</v>
      </c>
      <c r="F553">
        <v>2630.7</v>
      </c>
      <c r="G553">
        <v>118.98</v>
      </c>
      <c r="H553">
        <v>2511.7199999999998</v>
      </c>
    </row>
    <row r="554" spans="1:8" x14ac:dyDescent="0.3">
      <c r="A554">
        <v>105</v>
      </c>
      <c r="B554" t="s">
        <v>557</v>
      </c>
      <c r="C554" s="451">
        <v>46034</v>
      </c>
      <c r="D554" t="s">
        <v>561</v>
      </c>
      <c r="E554" t="s">
        <v>20</v>
      </c>
      <c r="F554">
        <v>379.85</v>
      </c>
      <c r="G554">
        <v>0</v>
      </c>
      <c r="H554">
        <v>379.85</v>
      </c>
    </row>
    <row r="555" spans="1:8" x14ac:dyDescent="0.3">
      <c r="A555">
        <v>105</v>
      </c>
      <c r="B555" t="s">
        <v>557</v>
      </c>
      <c r="C555" s="451">
        <v>46033</v>
      </c>
      <c r="D555" t="s">
        <v>561</v>
      </c>
      <c r="E555" t="s">
        <v>3905</v>
      </c>
      <c r="F555">
        <v>10493.5</v>
      </c>
      <c r="G555">
        <v>627.21</v>
      </c>
      <c r="H555">
        <v>9866.2900000000009</v>
      </c>
    </row>
    <row r="556" spans="1:8" x14ac:dyDescent="0.3">
      <c r="A556">
        <v>105</v>
      </c>
      <c r="B556" t="s">
        <v>557</v>
      </c>
      <c r="C556" s="451">
        <v>46033</v>
      </c>
      <c r="D556" t="s">
        <v>561</v>
      </c>
      <c r="E556" t="s">
        <v>3904</v>
      </c>
      <c r="F556">
        <v>3323.7</v>
      </c>
      <c r="G556">
        <v>234.63</v>
      </c>
      <c r="H556">
        <v>3089.07</v>
      </c>
    </row>
    <row r="557" spans="1:8" x14ac:dyDescent="0.3">
      <c r="A557">
        <v>105</v>
      </c>
      <c r="B557" t="s">
        <v>557</v>
      </c>
      <c r="C557" s="451">
        <v>46033</v>
      </c>
      <c r="D557" t="s">
        <v>561</v>
      </c>
      <c r="E557" t="s">
        <v>20</v>
      </c>
      <c r="F557">
        <v>1724.3</v>
      </c>
      <c r="G557">
        <v>0</v>
      </c>
      <c r="H557">
        <v>1724.3</v>
      </c>
    </row>
    <row r="558" spans="1:8" x14ac:dyDescent="0.3">
      <c r="A558">
        <v>105</v>
      </c>
      <c r="B558" t="s">
        <v>557</v>
      </c>
      <c r="C558" s="451">
        <v>46032</v>
      </c>
      <c r="D558" t="s">
        <v>561</v>
      </c>
      <c r="E558" t="s">
        <v>3905</v>
      </c>
      <c r="F558">
        <v>13308.5</v>
      </c>
      <c r="G558">
        <v>896.25</v>
      </c>
      <c r="H558">
        <v>12412.25</v>
      </c>
    </row>
    <row r="559" spans="1:8" x14ac:dyDescent="0.3">
      <c r="A559">
        <v>105</v>
      </c>
      <c r="B559" t="s">
        <v>557</v>
      </c>
      <c r="C559" s="451">
        <v>46032</v>
      </c>
      <c r="D559" t="s">
        <v>561</v>
      </c>
      <c r="E559" t="s">
        <v>3904</v>
      </c>
      <c r="F559">
        <v>8872.5</v>
      </c>
      <c r="G559">
        <v>226.3</v>
      </c>
      <c r="H559">
        <v>8646.2000000000007</v>
      </c>
    </row>
    <row r="560" spans="1:8" x14ac:dyDescent="0.3">
      <c r="A560">
        <v>105</v>
      </c>
      <c r="B560" t="s">
        <v>557</v>
      </c>
      <c r="C560" s="451">
        <v>46032</v>
      </c>
      <c r="D560" t="s">
        <v>561</v>
      </c>
      <c r="E560" t="s">
        <v>3906</v>
      </c>
      <c r="F560">
        <v>620</v>
      </c>
      <c r="G560">
        <v>20</v>
      </c>
      <c r="H560">
        <v>600</v>
      </c>
    </row>
    <row r="561" spans="1:8" x14ac:dyDescent="0.3">
      <c r="A561">
        <v>105</v>
      </c>
      <c r="B561" t="s">
        <v>557</v>
      </c>
      <c r="C561" s="451">
        <v>46032</v>
      </c>
      <c r="D561" t="s">
        <v>561</v>
      </c>
      <c r="E561" t="s">
        <v>20</v>
      </c>
      <c r="F561">
        <v>2905.71</v>
      </c>
      <c r="G561">
        <v>0</v>
      </c>
      <c r="H561">
        <v>2905.71</v>
      </c>
    </row>
    <row r="562" spans="1:8" x14ac:dyDescent="0.3">
      <c r="A562">
        <v>105</v>
      </c>
      <c r="B562" t="s">
        <v>557</v>
      </c>
      <c r="C562" s="451">
        <v>46031</v>
      </c>
      <c r="D562" t="s">
        <v>561</v>
      </c>
      <c r="E562" t="s">
        <v>3904</v>
      </c>
      <c r="F562">
        <v>3560.7</v>
      </c>
      <c r="G562">
        <v>223.39</v>
      </c>
      <c r="H562">
        <v>3337.31</v>
      </c>
    </row>
    <row r="563" spans="1:8" x14ac:dyDescent="0.3">
      <c r="A563">
        <v>105</v>
      </c>
      <c r="B563" t="s">
        <v>557</v>
      </c>
      <c r="C563" s="451">
        <v>46031</v>
      </c>
      <c r="D563" t="s">
        <v>561</v>
      </c>
      <c r="E563" t="s">
        <v>3905</v>
      </c>
      <c r="F563">
        <v>8242.7000000000007</v>
      </c>
      <c r="G563">
        <v>494.33</v>
      </c>
      <c r="H563">
        <v>7748.37</v>
      </c>
    </row>
    <row r="564" spans="1:8" x14ac:dyDescent="0.3">
      <c r="A564">
        <v>105</v>
      </c>
      <c r="B564" t="s">
        <v>557</v>
      </c>
      <c r="C564" s="451">
        <v>46031</v>
      </c>
      <c r="D564" t="s">
        <v>561</v>
      </c>
      <c r="E564" t="s">
        <v>20</v>
      </c>
      <c r="F564">
        <v>1501.53</v>
      </c>
      <c r="G564">
        <v>0</v>
      </c>
      <c r="H564">
        <v>1501.53</v>
      </c>
    </row>
    <row r="565" spans="1:8" x14ac:dyDescent="0.3">
      <c r="A565">
        <v>105</v>
      </c>
      <c r="B565" t="s">
        <v>557</v>
      </c>
      <c r="C565" s="451">
        <v>46030</v>
      </c>
      <c r="D565" t="s">
        <v>561</v>
      </c>
      <c r="E565" t="s">
        <v>3904</v>
      </c>
      <c r="F565">
        <v>823.6</v>
      </c>
      <c r="G565">
        <v>23.6</v>
      </c>
      <c r="H565">
        <v>800</v>
      </c>
    </row>
    <row r="566" spans="1:8" x14ac:dyDescent="0.3">
      <c r="A566">
        <v>105</v>
      </c>
      <c r="B566" t="s">
        <v>557</v>
      </c>
      <c r="C566" s="451">
        <v>46030</v>
      </c>
      <c r="D566" t="s">
        <v>561</v>
      </c>
      <c r="E566" t="s">
        <v>3905</v>
      </c>
      <c r="F566">
        <v>4450.7</v>
      </c>
      <c r="G566">
        <v>290.45999999999998</v>
      </c>
      <c r="H566">
        <v>4160.24</v>
      </c>
    </row>
    <row r="567" spans="1:8" x14ac:dyDescent="0.3">
      <c r="A567">
        <v>105</v>
      </c>
      <c r="B567" t="s">
        <v>557</v>
      </c>
      <c r="C567" s="451">
        <v>46030</v>
      </c>
      <c r="D567" t="s">
        <v>561</v>
      </c>
      <c r="E567" t="s">
        <v>20</v>
      </c>
      <c r="F567">
        <v>657.1</v>
      </c>
      <c r="G567">
        <v>0</v>
      </c>
      <c r="H567">
        <v>657.1</v>
      </c>
    </row>
    <row r="568" spans="1:8" x14ac:dyDescent="0.3">
      <c r="A568">
        <v>105</v>
      </c>
      <c r="B568" t="s">
        <v>557</v>
      </c>
      <c r="C568" s="451">
        <v>46029</v>
      </c>
      <c r="D568" t="s">
        <v>561</v>
      </c>
      <c r="E568" t="s">
        <v>3905</v>
      </c>
      <c r="F568">
        <v>2433</v>
      </c>
      <c r="G568">
        <v>143.1</v>
      </c>
      <c r="H568">
        <v>2289.9</v>
      </c>
    </row>
    <row r="569" spans="1:8" x14ac:dyDescent="0.3">
      <c r="A569">
        <v>105</v>
      </c>
      <c r="B569" t="s">
        <v>557</v>
      </c>
      <c r="C569" s="451">
        <v>46029</v>
      </c>
      <c r="D569" t="s">
        <v>561</v>
      </c>
      <c r="E569" t="s">
        <v>3904</v>
      </c>
      <c r="F569">
        <v>887</v>
      </c>
      <c r="G569">
        <v>45.45</v>
      </c>
      <c r="H569">
        <v>841.55</v>
      </c>
    </row>
    <row r="570" spans="1:8" x14ac:dyDescent="0.3">
      <c r="A570">
        <v>105</v>
      </c>
      <c r="B570" t="s">
        <v>557</v>
      </c>
      <c r="C570" s="451">
        <v>46029</v>
      </c>
      <c r="D570" t="s">
        <v>561</v>
      </c>
      <c r="E570" t="s">
        <v>20</v>
      </c>
      <c r="F570">
        <v>398.94</v>
      </c>
      <c r="G570">
        <v>0</v>
      </c>
      <c r="H570">
        <v>398.94</v>
      </c>
    </row>
    <row r="571" spans="1:8" x14ac:dyDescent="0.3">
      <c r="A571">
        <v>105</v>
      </c>
      <c r="B571" t="s">
        <v>557</v>
      </c>
      <c r="C571" s="451">
        <v>46028</v>
      </c>
      <c r="D571" t="s">
        <v>561</v>
      </c>
      <c r="E571" t="s">
        <v>3904</v>
      </c>
      <c r="F571">
        <v>451.4</v>
      </c>
      <c r="G571">
        <v>58.53</v>
      </c>
      <c r="H571">
        <v>392.87</v>
      </c>
    </row>
    <row r="572" spans="1:8" x14ac:dyDescent="0.3">
      <c r="A572">
        <v>105</v>
      </c>
      <c r="B572" t="s">
        <v>557</v>
      </c>
      <c r="C572" s="451">
        <v>46028</v>
      </c>
      <c r="D572" t="s">
        <v>561</v>
      </c>
      <c r="E572" t="s">
        <v>3905</v>
      </c>
      <c r="F572">
        <v>3543</v>
      </c>
      <c r="G572">
        <v>221.31</v>
      </c>
      <c r="H572">
        <v>3321.69</v>
      </c>
    </row>
    <row r="573" spans="1:8" x14ac:dyDescent="0.3">
      <c r="A573">
        <v>105</v>
      </c>
      <c r="B573" t="s">
        <v>557</v>
      </c>
      <c r="C573" s="451">
        <v>46028</v>
      </c>
      <c r="D573" t="s">
        <v>561</v>
      </c>
      <c r="E573" t="s">
        <v>20</v>
      </c>
      <c r="F573">
        <v>486.69</v>
      </c>
      <c r="G573">
        <v>0</v>
      </c>
      <c r="H573">
        <v>486.69</v>
      </c>
    </row>
    <row r="574" spans="1:8" x14ac:dyDescent="0.3">
      <c r="A574">
        <v>105</v>
      </c>
      <c r="B574" t="s">
        <v>557</v>
      </c>
      <c r="C574" s="451">
        <v>46027</v>
      </c>
      <c r="D574" t="s">
        <v>561</v>
      </c>
      <c r="E574" t="s">
        <v>3904</v>
      </c>
      <c r="F574">
        <v>381.4</v>
      </c>
      <c r="G574">
        <v>41.86</v>
      </c>
      <c r="H574">
        <v>339.54</v>
      </c>
    </row>
    <row r="575" spans="1:8" x14ac:dyDescent="0.3">
      <c r="A575">
        <v>105</v>
      </c>
      <c r="B575" t="s">
        <v>557</v>
      </c>
      <c r="C575" s="451">
        <v>46027</v>
      </c>
      <c r="D575" t="s">
        <v>561</v>
      </c>
      <c r="E575" t="s">
        <v>3905</v>
      </c>
      <c r="F575">
        <v>2623.9</v>
      </c>
      <c r="G575">
        <v>269.94</v>
      </c>
      <c r="H575">
        <v>2353.96</v>
      </c>
    </row>
    <row r="576" spans="1:8" x14ac:dyDescent="0.3">
      <c r="A576">
        <v>105</v>
      </c>
      <c r="B576" t="s">
        <v>557</v>
      </c>
      <c r="C576" s="451">
        <v>46027</v>
      </c>
      <c r="D576" t="s">
        <v>561</v>
      </c>
      <c r="E576" t="s">
        <v>20</v>
      </c>
      <c r="F576">
        <v>368.79</v>
      </c>
      <c r="G576">
        <v>0</v>
      </c>
      <c r="H576">
        <v>368.79</v>
      </c>
    </row>
    <row r="577" spans="1:8" x14ac:dyDescent="0.3">
      <c r="A577">
        <v>105</v>
      </c>
      <c r="B577" t="s">
        <v>557</v>
      </c>
      <c r="C577" s="451">
        <v>46026</v>
      </c>
      <c r="D577" t="s">
        <v>561</v>
      </c>
      <c r="E577" t="s">
        <v>3905</v>
      </c>
      <c r="F577">
        <v>9309.5</v>
      </c>
      <c r="G577">
        <v>818.46</v>
      </c>
      <c r="H577">
        <v>8491.0400000000009</v>
      </c>
    </row>
    <row r="578" spans="1:8" x14ac:dyDescent="0.3">
      <c r="A578">
        <v>105</v>
      </c>
      <c r="B578" t="s">
        <v>557</v>
      </c>
      <c r="C578" s="451">
        <v>46026</v>
      </c>
      <c r="D578" t="s">
        <v>561</v>
      </c>
      <c r="E578" t="s">
        <v>3904</v>
      </c>
      <c r="F578">
        <v>2853.4</v>
      </c>
      <c r="G578">
        <v>202.94</v>
      </c>
      <c r="H578">
        <v>2650.46</v>
      </c>
    </row>
    <row r="579" spans="1:8" x14ac:dyDescent="0.3">
      <c r="A579">
        <v>105</v>
      </c>
      <c r="B579" t="s">
        <v>557</v>
      </c>
      <c r="C579" s="451">
        <v>46026</v>
      </c>
      <c r="D579" t="s">
        <v>561</v>
      </c>
      <c r="E579" t="s">
        <v>20</v>
      </c>
      <c r="F579">
        <v>1515.02</v>
      </c>
      <c r="G579">
        <v>0</v>
      </c>
      <c r="H579">
        <v>1515.02</v>
      </c>
    </row>
    <row r="580" spans="1:8" x14ac:dyDescent="0.3">
      <c r="A580">
        <v>105</v>
      </c>
      <c r="B580" t="s">
        <v>557</v>
      </c>
      <c r="C580" s="451">
        <v>46025</v>
      </c>
      <c r="D580" t="s">
        <v>561</v>
      </c>
      <c r="E580" t="s">
        <v>3905</v>
      </c>
      <c r="F580">
        <v>14100</v>
      </c>
      <c r="G580">
        <v>743.32</v>
      </c>
      <c r="H580">
        <v>13356.68</v>
      </c>
    </row>
    <row r="581" spans="1:8" x14ac:dyDescent="0.3">
      <c r="A581">
        <v>105</v>
      </c>
      <c r="B581" t="s">
        <v>557</v>
      </c>
      <c r="C581" s="451">
        <v>46025</v>
      </c>
      <c r="D581" t="s">
        <v>561</v>
      </c>
      <c r="E581" t="s">
        <v>3904</v>
      </c>
      <c r="F581">
        <v>6256.6</v>
      </c>
      <c r="G581">
        <v>211.61</v>
      </c>
      <c r="H581">
        <v>6044.99</v>
      </c>
    </row>
    <row r="582" spans="1:8" x14ac:dyDescent="0.3">
      <c r="A582">
        <v>105</v>
      </c>
      <c r="B582" t="s">
        <v>557</v>
      </c>
      <c r="C582" s="451">
        <v>46025</v>
      </c>
      <c r="D582" t="s">
        <v>561</v>
      </c>
      <c r="E582" t="s">
        <v>20</v>
      </c>
      <c r="F582">
        <v>2617.61</v>
      </c>
      <c r="G582">
        <v>0</v>
      </c>
      <c r="H582">
        <v>2617.61</v>
      </c>
    </row>
    <row r="583" spans="1:8" x14ac:dyDescent="0.3">
      <c r="A583">
        <v>105</v>
      </c>
      <c r="B583" t="s">
        <v>557</v>
      </c>
      <c r="C583" s="451">
        <v>46014</v>
      </c>
      <c r="D583" t="s">
        <v>458</v>
      </c>
      <c r="E583" t="s">
        <v>3904</v>
      </c>
      <c r="F583">
        <v>994.8</v>
      </c>
      <c r="G583">
        <v>43.7</v>
      </c>
      <c r="H583">
        <v>951.1</v>
      </c>
    </row>
    <row r="584" spans="1:8" x14ac:dyDescent="0.3">
      <c r="A584">
        <v>105</v>
      </c>
      <c r="B584" t="s">
        <v>557</v>
      </c>
      <c r="C584" s="451">
        <v>46014</v>
      </c>
      <c r="D584" t="s">
        <v>458</v>
      </c>
      <c r="E584" t="s">
        <v>3905</v>
      </c>
      <c r="F584">
        <v>3613</v>
      </c>
      <c r="G584">
        <v>52.9</v>
      </c>
      <c r="H584">
        <v>3560.1</v>
      </c>
    </row>
    <row r="585" spans="1:8" x14ac:dyDescent="0.3">
      <c r="A585">
        <v>105</v>
      </c>
      <c r="B585" t="s">
        <v>557</v>
      </c>
      <c r="C585" s="451">
        <v>46014</v>
      </c>
      <c r="D585" t="s">
        <v>458</v>
      </c>
      <c r="E585" t="s">
        <v>20</v>
      </c>
      <c r="F585">
        <v>577.15</v>
      </c>
      <c r="G585">
        <v>0</v>
      </c>
      <c r="H585">
        <v>577.15</v>
      </c>
    </row>
    <row r="586" spans="1:8" x14ac:dyDescent="0.3">
      <c r="A586">
        <v>105</v>
      </c>
      <c r="B586" t="s">
        <v>557</v>
      </c>
      <c r="C586" s="451">
        <v>46013</v>
      </c>
      <c r="D586" t="s">
        <v>458</v>
      </c>
      <c r="E586" t="s">
        <v>3905</v>
      </c>
      <c r="F586">
        <v>4293.7</v>
      </c>
      <c r="G586">
        <v>432.8</v>
      </c>
      <c r="H586">
        <v>3860.9</v>
      </c>
    </row>
    <row r="587" spans="1:8" x14ac:dyDescent="0.3">
      <c r="A587">
        <v>105</v>
      </c>
      <c r="B587" t="s">
        <v>557</v>
      </c>
      <c r="C587" s="451">
        <v>46013</v>
      </c>
      <c r="D587" t="s">
        <v>458</v>
      </c>
      <c r="E587" t="s">
        <v>3904</v>
      </c>
      <c r="F587">
        <v>915.3</v>
      </c>
      <c r="G587">
        <v>118.85</v>
      </c>
      <c r="H587">
        <v>796.45</v>
      </c>
    </row>
    <row r="588" spans="1:8" x14ac:dyDescent="0.3">
      <c r="A588">
        <v>105</v>
      </c>
      <c r="B588" t="s">
        <v>557</v>
      </c>
      <c r="C588" s="451">
        <v>46013</v>
      </c>
      <c r="D588" t="s">
        <v>458</v>
      </c>
      <c r="E588" t="s">
        <v>20</v>
      </c>
      <c r="F588">
        <v>484.65</v>
      </c>
      <c r="G588">
        <v>0</v>
      </c>
      <c r="H588">
        <v>484.65</v>
      </c>
    </row>
    <row r="589" spans="1:8" x14ac:dyDescent="0.3">
      <c r="A589">
        <v>105</v>
      </c>
      <c r="B589" t="s">
        <v>557</v>
      </c>
      <c r="C589" s="451">
        <v>46012</v>
      </c>
      <c r="D589" t="s">
        <v>458</v>
      </c>
      <c r="E589" t="s">
        <v>3905</v>
      </c>
      <c r="F589">
        <v>14684.2</v>
      </c>
      <c r="G589">
        <v>626.61</v>
      </c>
      <c r="H589">
        <v>14057.59</v>
      </c>
    </row>
    <row r="590" spans="1:8" x14ac:dyDescent="0.3">
      <c r="A590">
        <v>105</v>
      </c>
      <c r="B590" t="s">
        <v>557</v>
      </c>
      <c r="C590" s="451">
        <v>46012</v>
      </c>
      <c r="D590" t="s">
        <v>458</v>
      </c>
      <c r="E590" t="s">
        <v>3904</v>
      </c>
      <c r="F590">
        <v>6631</v>
      </c>
      <c r="G590">
        <v>197.99</v>
      </c>
      <c r="H590">
        <v>6433.01</v>
      </c>
    </row>
    <row r="591" spans="1:8" x14ac:dyDescent="0.3">
      <c r="A591">
        <v>105</v>
      </c>
      <c r="B591" t="s">
        <v>557</v>
      </c>
      <c r="C591" s="451">
        <v>46012</v>
      </c>
      <c r="D591" t="s">
        <v>458</v>
      </c>
      <c r="E591" t="s">
        <v>3906</v>
      </c>
      <c r="F591">
        <v>780</v>
      </c>
      <c r="G591">
        <v>20</v>
      </c>
      <c r="H591">
        <v>760</v>
      </c>
    </row>
    <row r="592" spans="1:8" x14ac:dyDescent="0.3">
      <c r="A592">
        <v>105</v>
      </c>
      <c r="B592" t="s">
        <v>557</v>
      </c>
      <c r="C592" s="451">
        <v>46012</v>
      </c>
      <c r="D592" t="s">
        <v>458</v>
      </c>
      <c r="E592" t="s">
        <v>20</v>
      </c>
      <c r="F592">
        <v>2617.21</v>
      </c>
      <c r="G592">
        <v>0</v>
      </c>
      <c r="H592">
        <v>2617.21</v>
      </c>
    </row>
    <row r="593" spans="1:8" x14ac:dyDescent="0.3">
      <c r="A593">
        <v>105</v>
      </c>
      <c r="B593" t="s">
        <v>557</v>
      </c>
      <c r="C593" s="451">
        <v>46011</v>
      </c>
      <c r="D593" t="s">
        <v>458</v>
      </c>
      <c r="E593" t="s">
        <v>3905</v>
      </c>
      <c r="F593">
        <v>12492</v>
      </c>
      <c r="G593">
        <v>1180.97</v>
      </c>
      <c r="H593">
        <v>11311.03</v>
      </c>
    </row>
    <row r="594" spans="1:8" x14ac:dyDescent="0.3">
      <c r="A594">
        <v>105</v>
      </c>
      <c r="B594" t="s">
        <v>557</v>
      </c>
      <c r="C594" s="451">
        <v>46011</v>
      </c>
      <c r="D594" t="s">
        <v>458</v>
      </c>
      <c r="E594" t="s">
        <v>3904</v>
      </c>
      <c r="F594">
        <v>6612.8</v>
      </c>
      <c r="G594">
        <v>467.28</v>
      </c>
      <c r="H594">
        <v>6145.52</v>
      </c>
    </row>
    <row r="595" spans="1:8" x14ac:dyDescent="0.3">
      <c r="A595">
        <v>105</v>
      </c>
      <c r="B595" t="s">
        <v>557</v>
      </c>
      <c r="C595" s="451">
        <v>46011</v>
      </c>
      <c r="D595" t="s">
        <v>458</v>
      </c>
      <c r="E595" t="s">
        <v>20</v>
      </c>
      <c r="F595">
        <v>2410.52</v>
      </c>
      <c r="G595">
        <v>0</v>
      </c>
      <c r="H595">
        <v>2410.52</v>
      </c>
    </row>
    <row r="596" spans="1:8" x14ac:dyDescent="0.3">
      <c r="A596">
        <v>105</v>
      </c>
      <c r="B596" t="s">
        <v>557</v>
      </c>
      <c r="C596" s="451">
        <v>46011</v>
      </c>
      <c r="D596" t="s">
        <v>458</v>
      </c>
      <c r="E596" t="s">
        <v>3906</v>
      </c>
      <c r="F596">
        <v>420</v>
      </c>
      <c r="G596">
        <v>0</v>
      </c>
      <c r="H596">
        <v>420</v>
      </c>
    </row>
    <row r="597" spans="1:8" x14ac:dyDescent="0.3">
      <c r="A597">
        <v>105</v>
      </c>
      <c r="B597" t="s">
        <v>557</v>
      </c>
      <c r="C597" s="451">
        <v>46010</v>
      </c>
      <c r="D597" t="s">
        <v>458</v>
      </c>
      <c r="E597" t="s">
        <v>3905</v>
      </c>
      <c r="F597">
        <v>11692.1</v>
      </c>
      <c r="G597">
        <v>1384.48</v>
      </c>
      <c r="H597">
        <v>10307.620000000001</v>
      </c>
    </row>
    <row r="598" spans="1:8" x14ac:dyDescent="0.3">
      <c r="A598">
        <v>105</v>
      </c>
      <c r="B598" t="s">
        <v>557</v>
      </c>
      <c r="C598" s="451">
        <v>46010</v>
      </c>
      <c r="D598" t="s">
        <v>458</v>
      </c>
      <c r="E598" t="s">
        <v>3904</v>
      </c>
      <c r="F598">
        <v>11359</v>
      </c>
      <c r="G598">
        <v>77.52</v>
      </c>
      <c r="H598">
        <v>11281.48</v>
      </c>
    </row>
    <row r="599" spans="1:8" x14ac:dyDescent="0.3">
      <c r="A599">
        <v>105</v>
      </c>
      <c r="B599" t="s">
        <v>557</v>
      </c>
      <c r="C599" s="451">
        <v>46010</v>
      </c>
      <c r="D599" t="s">
        <v>458</v>
      </c>
      <c r="E599" t="s">
        <v>3906</v>
      </c>
      <c r="F599">
        <v>210</v>
      </c>
      <c r="G599">
        <v>0</v>
      </c>
      <c r="H599">
        <v>210</v>
      </c>
    </row>
    <row r="600" spans="1:8" x14ac:dyDescent="0.3">
      <c r="A600">
        <v>105</v>
      </c>
      <c r="B600" t="s">
        <v>557</v>
      </c>
      <c r="C600" s="451">
        <v>46010</v>
      </c>
      <c r="D600" t="s">
        <v>458</v>
      </c>
      <c r="E600" t="s">
        <v>20</v>
      </c>
      <c r="F600">
        <v>2521.0300000000002</v>
      </c>
      <c r="G600">
        <v>0</v>
      </c>
      <c r="H600">
        <v>2521.0300000000002</v>
      </c>
    </row>
    <row r="601" spans="1:8" x14ac:dyDescent="0.3">
      <c r="A601">
        <v>105</v>
      </c>
      <c r="B601" t="s">
        <v>557</v>
      </c>
      <c r="C601" s="451">
        <v>46009</v>
      </c>
      <c r="D601" t="s">
        <v>458</v>
      </c>
      <c r="E601" t="s">
        <v>3905</v>
      </c>
      <c r="F601">
        <v>14811.9</v>
      </c>
      <c r="G601">
        <v>1212.23</v>
      </c>
      <c r="H601">
        <v>13599.67</v>
      </c>
    </row>
    <row r="602" spans="1:8" x14ac:dyDescent="0.3">
      <c r="A602">
        <v>105</v>
      </c>
      <c r="B602" t="s">
        <v>557</v>
      </c>
      <c r="C602" s="451">
        <v>46009</v>
      </c>
      <c r="D602" t="s">
        <v>458</v>
      </c>
      <c r="E602" t="s">
        <v>3904</v>
      </c>
      <c r="F602">
        <v>12872.9</v>
      </c>
      <c r="G602">
        <v>3473.05</v>
      </c>
      <c r="H602">
        <v>9399.85</v>
      </c>
    </row>
    <row r="603" spans="1:8" x14ac:dyDescent="0.3">
      <c r="A603">
        <v>105</v>
      </c>
      <c r="B603" t="s">
        <v>557</v>
      </c>
      <c r="C603" s="451">
        <v>46009</v>
      </c>
      <c r="D603" t="s">
        <v>458</v>
      </c>
      <c r="E603" t="s">
        <v>20</v>
      </c>
      <c r="F603">
        <v>3001.21</v>
      </c>
      <c r="G603">
        <v>0</v>
      </c>
      <c r="H603">
        <v>3001.21</v>
      </c>
    </row>
    <row r="604" spans="1:8" x14ac:dyDescent="0.3">
      <c r="A604">
        <v>105</v>
      </c>
      <c r="B604" t="s">
        <v>557</v>
      </c>
      <c r="C604" s="451">
        <v>46009</v>
      </c>
      <c r="D604" t="s">
        <v>458</v>
      </c>
      <c r="E604" t="s">
        <v>3906</v>
      </c>
      <c r="F604">
        <v>520</v>
      </c>
      <c r="G604">
        <v>0</v>
      </c>
      <c r="H604">
        <v>520</v>
      </c>
    </row>
    <row r="605" spans="1:8" x14ac:dyDescent="0.3">
      <c r="A605">
        <v>105</v>
      </c>
      <c r="B605" t="s">
        <v>557</v>
      </c>
      <c r="C605" s="451">
        <v>46008</v>
      </c>
      <c r="D605" t="s">
        <v>458</v>
      </c>
      <c r="E605" t="s">
        <v>3904</v>
      </c>
      <c r="F605">
        <v>33747.199999999997</v>
      </c>
      <c r="G605">
        <v>21887.5</v>
      </c>
      <c r="H605">
        <v>11859.7</v>
      </c>
    </row>
    <row r="606" spans="1:8" x14ac:dyDescent="0.3">
      <c r="A606">
        <v>105</v>
      </c>
      <c r="B606" t="s">
        <v>557</v>
      </c>
      <c r="C606" s="451">
        <v>46008</v>
      </c>
      <c r="D606" t="s">
        <v>458</v>
      </c>
      <c r="E606" t="s">
        <v>3905</v>
      </c>
      <c r="F606">
        <v>20939.099999999999</v>
      </c>
      <c r="G606">
        <v>12644.34</v>
      </c>
      <c r="H606">
        <v>8294.76</v>
      </c>
    </row>
    <row r="607" spans="1:8" x14ac:dyDescent="0.3">
      <c r="A607">
        <v>105</v>
      </c>
      <c r="B607" t="s">
        <v>557</v>
      </c>
      <c r="C607" s="451">
        <v>46008</v>
      </c>
      <c r="D607" t="s">
        <v>458</v>
      </c>
      <c r="E607" t="s">
        <v>20</v>
      </c>
      <c r="F607">
        <v>1124.75</v>
      </c>
      <c r="G607">
        <v>0</v>
      </c>
      <c r="H607">
        <v>1124.75</v>
      </c>
    </row>
    <row r="608" spans="1:8" x14ac:dyDescent="0.3">
      <c r="A608">
        <v>105</v>
      </c>
      <c r="B608" t="s">
        <v>557</v>
      </c>
      <c r="C608" s="451">
        <v>46007</v>
      </c>
      <c r="D608" t="s">
        <v>458</v>
      </c>
      <c r="E608" t="s">
        <v>3904</v>
      </c>
      <c r="F608">
        <v>10163.1</v>
      </c>
      <c r="G608">
        <v>4309.05</v>
      </c>
      <c r="H608">
        <v>5854.05</v>
      </c>
    </row>
    <row r="609" spans="1:8" x14ac:dyDescent="0.3">
      <c r="A609">
        <v>105</v>
      </c>
      <c r="B609" t="s">
        <v>557</v>
      </c>
      <c r="C609" s="451">
        <v>46007</v>
      </c>
      <c r="D609" t="s">
        <v>458</v>
      </c>
      <c r="E609" t="s">
        <v>3905</v>
      </c>
      <c r="F609">
        <v>13065.5</v>
      </c>
      <c r="G609">
        <v>1587.6</v>
      </c>
      <c r="H609">
        <v>11477.9</v>
      </c>
    </row>
    <row r="610" spans="1:8" x14ac:dyDescent="0.3">
      <c r="A610">
        <v>105</v>
      </c>
      <c r="B610" t="s">
        <v>557</v>
      </c>
      <c r="C610" s="451">
        <v>46007</v>
      </c>
      <c r="D610" t="s">
        <v>458</v>
      </c>
      <c r="E610" t="s">
        <v>3906</v>
      </c>
      <c r="F610">
        <v>260</v>
      </c>
      <c r="G610">
        <v>0</v>
      </c>
      <c r="H610">
        <v>260</v>
      </c>
    </row>
    <row r="611" spans="1:8" x14ac:dyDescent="0.3">
      <c r="A611">
        <v>105</v>
      </c>
      <c r="B611" t="s">
        <v>557</v>
      </c>
      <c r="C611" s="451">
        <v>46007</v>
      </c>
      <c r="D611" t="s">
        <v>458</v>
      </c>
      <c r="E611" t="s">
        <v>20</v>
      </c>
      <c r="F611">
        <v>2285.12</v>
      </c>
      <c r="G611">
        <v>0</v>
      </c>
      <c r="H611">
        <v>2285.12</v>
      </c>
    </row>
    <row r="612" spans="1:8" x14ac:dyDescent="0.3">
      <c r="A612">
        <v>105</v>
      </c>
      <c r="B612" t="s">
        <v>557</v>
      </c>
      <c r="C612" s="451">
        <v>46006</v>
      </c>
      <c r="D612" t="s">
        <v>458</v>
      </c>
      <c r="E612" t="s">
        <v>3904</v>
      </c>
      <c r="F612">
        <v>927</v>
      </c>
      <c r="G612">
        <v>11.4</v>
      </c>
      <c r="H612">
        <v>915.6</v>
      </c>
    </row>
    <row r="613" spans="1:8" x14ac:dyDescent="0.3">
      <c r="A613">
        <v>105</v>
      </c>
      <c r="B613" t="s">
        <v>557</v>
      </c>
      <c r="C613" s="451">
        <v>46006</v>
      </c>
      <c r="D613" t="s">
        <v>458</v>
      </c>
      <c r="E613" t="s">
        <v>3905</v>
      </c>
      <c r="F613">
        <v>6906.5</v>
      </c>
      <c r="G613">
        <v>21.57</v>
      </c>
      <c r="H613">
        <v>6884.93</v>
      </c>
    </row>
    <row r="614" spans="1:8" x14ac:dyDescent="0.3">
      <c r="A614">
        <v>105</v>
      </c>
      <c r="B614" t="s">
        <v>557</v>
      </c>
      <c r="C614" s="451">
        <v>46006</v>
      </c>
      <c r="D614" t="s">
        <v>458</v>
      </c>
      <c r="E614" t="s">
        <v>20</v>
      </c>
      <c r="F614">
        <v>979.53</v>
      </c>
      <c r="G614">
        <v>0</v>
      </c>
      <c r="H614">
        <v>979.53</v>
      </c>
    </row>
    <row r="615" spans="1:8" x14ac:dyDescent="0.3">
      <c r="A615">
        <v>105</v>
      </c>
      <c r="B615" t="s">
        <v>557</v>
      </c>
      <c r="C615" s="451">
        <v>46005</v>
      </c>
      <c r="D615" t="s">
        <v>458</v>
      </c>
      <c r="E615" t="s">
        <v>3905</v>
      </c>
      <c r="F615">
        <v>9632.5</v>
      </c>
      <c r="G615">
        <v>1094.9000000000001</v>
      </c>
      <c r="H615">
        <v>8537.6</v>
      </c>
    </row>
    <row r="616" spans="1:8" x14ac:dyDescent="0.3">
      <c r="A616">
        <v>105</v>
      </c>
      <c r="B616" t="s">
        <v>557</v>
      </c>
      <c r="C616" s="451">
        <v>46005</v>
      </c>
      <c r="D616" t="s">
        <v>458</v>
      </c>
      <c r="E616" t="s">
        <v>3904</v>
      </c>
      <c r="F616">
        <v>4733.3999999999996</v>
      </c>
      <c r="G616">
        <v>1017.7</v>
      </c>
      <c r="H616">
        <v>3715.7</v>
      </c>
    </row>
    <row r="617" spans="1:8" x14ac:dyDescent="0.3">
      <c r="A617">
        <v>105</v>
      </c>
      <c r="B617" t="s">
        <v>557</v>
      </c>
      <c r="C617" s="451">
        <v>46005</v>
      </c>
      <c r="D617" t="s">
        <v>458</v>
      </c>
      <c r="E617" t="s">
        <v>3906</v>
      </c>
      <c r="F617">
        <v>300</v>
      </c>
      <c r="G617">
        <v>20</v>
      </c>
      <c r="H617">
        <v>280</v>
      </c>
    </row>
    <row r="618" spans="1:8" x14ac:dyDescent="0.3">
      <c r="A618">
        <v>105</v>
      </c>
      <c r="B618" t="s">
        <v>557</v>
      </c>
      <c r="C618" s="451">
        <v>46005</v>
      </c>
      <c r="D618" t="s">
        <v>458</v>
      </c>
      <c r="E618" t="s">
        <v>20</v>
      </c>
      <c r="F618">
        <v>1667.3</v>
      </c>
      <c r="G618">
        <v>0</v>
      </c>
      <c r="H618">
        <v>1667.3</v>
      </c>
    </row>
    <row r="619" spans="1:8" x14ac:dyDescent="0.3">
      <c r="A619">
        <v>105</v>
      </c>
      <c r="B619" t="s">
        <v>557</v>
      </c>
      <c r="C619" s="451">
        <v>46004</v>
      </c>
      <c r="D619" t="s">
        <v>458</v>
      </c>
      <c r="E619" t="s">
        <v>3905</v>
      </c>
      <c r="F619">
        <v>14258</v>
      </c>
      <c r="G619">
        <v>911.57</v>
      </c>
      <c r="H619">
        <v>13346.43</v>
      </c>
    </row>
    <row r="620" spans="1:8" x14ac:dyDescent="0.3">
      <c r="A620">
        <v>105</v>
      </c>
      <c r="B620" t="s">
        <v>557</v>
      </c>
      <c r="C620" s="451">
        <v>46004</v>
      </c>
      <c r="D620" t="s">
        <v>458</v>
      </c>
      <c r="E620" t="s">
        <v>3904</v>
      </c>
      <c r="F620">
        <v>11086.7</v>
      </c>
      <c r="G620">
        <v>562.04999999999995</v>
      </c>
      <c r="H620">
        <v>10524.65</v>
      </c>
    </row>
    <row r="621" spans="1:8" x14ac:dyDescent="0.3">
      <c r="A621">
        <v>105</v>
      </c>
      <c r="B621" t="s">
        <v>557</v>
      </c>
      <c r="C621" s="451">
        <v>46004</v>
      </c>
      <c r="D621" t="s">
        <v>458</v>
      </c>
      <c r="E621" t="s">
        <v>3906</v>
      </c>
      <c r="F621">
        <v>1550</v>
      </c>
      <c r="G621">
        <v>60</v>
      </c>
      <c r="H621">
        <v>1490</v>
      </c>
    </row>
    <row r="622" spans="1:8" x14ac:dyDescent="0.3">
      <c r="A622">
        <v>105</v>
      </c>
      <c r="B622" t="s">
        <v>557</v>
      </c>
      <c r="C622" s="451">
        <v>46004</v>
      </c>
      <c r="D622" t="s">
        <v>458</v>
      </c>
      <c r="E622" t="s">
        <v>20</v>
      </c>
      <c r="F622">
        <v>3293.81</v>
      </c>
      <c r="G622">
        <v>0</v>
      </c>
      <c r="H622">
        <v>3293.81</v>
      </c>
    </row>
    <row r="623" spans="1:8" x14ac:dyDescent="0.3">
      <c r="A623">
        <v>105</v>
      </c>
      <c r="B623" t="s">
        <v>557</v>
      </c>
      <c r="C623" s="451">
        <v>46003</v>
      </c>
      <c r="D623" t="s">
        <v>458</v>
      </c>
      <c r="E623" t="s">
        <v>3904</v>
      </c>
      <c r="F623">
        <v>12973.8</v>
      </c>
      <c r="G623">
        <v>2459.34</v>
      </c>
      <c r="H623">
        <v>10514.46</v>
      </c>
    </row>
    <row r="624" spans="1:8" x14ac:dyDescent="0.3">
      <c r="A624">
        <v>105</v>
      </c>
      <c r="B624" t="s">
        <v>557</v>
      </c>
      <c r="C624" s="451">
        <v>46003</v>
      </c>
      <c r="D624" t="s">
        <v>458</v>
      </c>
      <c r="E624" t="s">
        <v>3905</v>
      </c>
      <c r="F624">
        <v>13125.4</v>
      </c>
      <c r="G624">
        <v>1815.43</v>
      </c>
      <c r="H624">
        <v>11309.97</v>
      </c>
    </row>
    <row r="625" spans="1:8" x14ac:dyDescent="0.3">
      <c r="A625">
        <v>105</v>
      </c>
      <c r="B625" t="s">
        <v>557</v>
      </c>
      <c r="C625" s="451">
        <v>46003</v>
      </c>
      <c r="D625" t="s">
        <v>458</v>
      </c>
      <c r="E625" t="s">
        <v>20</v>
      </c>
      <c r="F625">
        <v>3059.98</v>
      </c>
      <c r="G625">
        <v>0</v>
      </c>
      <c r="H625">
        <v>3059.98</v>
      </c>
    </row>
    <row r="626" spans="1:8" x14ac:dyDescent="0.3">
      <c r="A626">
        <v>105</v>
      </c>
      <c r="B626" t="s">
        <v>557</v>
      </c>
      <c r="C626" s="451">
        <v>46003</v>
      </c>
      <c r="D626" t="s">
        <v>458</v>
      </c>
      <c r="E626" t="s">
        <v>3906</v>
      </c>
      <c r="F626">
        <v>1840</v>
      </c>
      <c r="G626">
        <v>4.41</v>
      </c>
      <c r="H626">
        <v>1835.59</v>
      </c>
    </row>
    <row r="627" spans="1:8" x14ac:dyDescent="0.3">
      <c r="A627">
        <v>105</v>
      </c>
      <c r="B627" t="s">
        <v>557</v>
      </c>
      <c r="C627" s="451">
        <v>46002</v>
      </c>
      <c r="D627" t="s">
        <v>458</v>
      </c>
      <c r="E627" t="s">
        <v>3904</v>
      </c>
      <c r="F627">
        <v>20160.7</v>
      </c>
      <c r="G627">
        <v>13595.74</v>
      </c>
      <c r="H627">
        <v>6564.96</v>
      </c>
    </row>
    <row r="628" spans="1:8" x14ac:dyDescent="0.3">
      <c r="A628">
        <v>105</v>
      </c>
      <c r="B628" t="s">
        <v>557</v>
      </c>
      <c r="C628" s="451">
        <v>46002</v>
      </c>
      <c r="D628" t="s">
        <v>458</v>
      </c>
      <c r="E628" t="s">
        <v>3905</v>
      </c>
      <c r="F628">
        <v>12942.6</v>
      </c>
      <c r="G628">
        <v>2341.6999999999998</v>
      </c>
      <c r="H628">
        <v>10600.9</v>
      </c>
    </row>
    <row r="629" spans="1:8" x14ac:dyDescent="0.3">
      <c r="A629">
        <v>105</v>
      </c>
      <c r="B629" t="s">
        <v>557</v>
      </c>
      <c r="C629" s="451">
        <v>46002</v>
      </c>
      <c r="D629" t="s">
        <v>458</v>
      </c>
      <c r="E629" t="s">
        <v>20</v>
      </c>
      <c r="F629">
        <v>2286.1799999999998</v>
      </c>
      <c r="G629">
        <v>0</v>
      </c>
      <c r="H629">
        <v>2286.1799999999998</v>
      </c>
    </row>
    <row r="630" spans="1:8" x14ac:dyDescent="0.3">
      <c r="A630">
        <v>105</v>
      </c>
      <c r="B630" t="s">
        <v>557</v>
      </c>
      <c r="C630" s="451">
        <v>46002</v>
      </c>
      <c r="D630" t="s">
        <v>458</v>
      </c>
      <c r="E630" t="s">
        <v>3906</v>
      </c>
      <c r="F630">
        <v>580</v>
      </c>
      <c r="G630">
        <v>0</v>
      </c>
      <c r="H630">
        <v>580</v>
      </c>
    </row>
    <row r="631" spans="1:8" x14ac:dyDescent="0.3">
      <c r="A631">
        <v>105</v>
      </c>
      <c r="B631" t="s">
        <v>557</v>
      </c>
      <c r="C631" s="451">
        <v>46001</v>
      </c>
      <c r="D631" t="s">
        <v>458</v>
      </c>
      <c r="E631" t="s">
        <v>3905</v>
      </c>
      <c r="F631">
        <v>28504.6</v>
      </c>
      <c r="G631">
        <v>2019.73</v>
      </c>
      <c r="H631">
        <v>26484.87</v>
      </c>
    </row>
    <row r="632" spans="1:8" x14ac:dyDescent="0.3">
      <c r="A632">
        <v>105</v>
      </c>
      <c r="B632" t="s">
        <v>557</v>
      </c>
      <c r="C632" s="451">
        <v>46001</v>
      </c>
      <c r="D632" t="s">
        <v>458</v>
      </c>
      <c r="E632" t="s">
        <v>3904</v>
      </c>
      <c r="F632">
        <v>25132.799999999999</v>
      </c>
      <c r="G632">
        <v>6801.41</v>
      </c>
      <c r="H632">
        <v>18331.39</v>
      </c>
    </row>
    <row r="633" spans="1:8" x14ac:dyDescent="0.3">
      <c r="A633">
        <v>105</v>
      </c>
      <c r="B633" t="s">
        <v>557</v>
      </c>
      <c r="C633" s="451">
        <v>46001</v>
      </c>
      <c r="D633" t="s">
        <v>458</v>
      </c>
      <c r="E633" t="s">
        <v>20</v>
      </c>
      <c r="F633">
        <v>5804.89</v>
      </c>
      <c r="G633">
        <v>0</v>
      </c>
      <c r="H633">
        <v>5804.89</v>
      </c>
    </row>
    <row r="634" spans="1:8" x14ac:dyDescent="0.3">
      <c r="A634">
        <v>105</v>
      </c>
      <c r="B634" t="s">
        <v>557</v>
      </c>
      <c r="C634" s="451">
        <v>46000</v>
      </c>
      <c r="D634" t="s">
        <v>458</v>
      </c>
      <c r="E634" t="s">
        <v>3904</v>
      </c>
      <c r="F634">
        <v>4044.1</v>
      </c>
      <c r="G634">
        <v>1433.55</v>
      </c>
      <c r="H634">
        <v>2610.5500000000002</v>
      </c>
    </row>
    <row r="635" spans="1:8" x14ac:dyDescent="0.3">
      <c r="A635">
        <v>105</v>
      </c>
      <c r="B635" t="s">
        <v>557</v>
      </c>
      <c r="C635" s="451">
        <v>46000</v>
      </c>
      <c r="D635" t="s">
        <v>458</v>
      </c>
      <c r="E635" t="s">
        <v>3905</v>
      </c>
      <c r="F635">
        <v>6770.1</v>
      </c>
      <c r="G635">
        <v>1146.31</v>
      </c>
      <c r="H635">
        <v>5623.79</v>
      </c>
    </row>
    <row r="636" spans="1:8" x14ac:dyDescent="0.3">
      <c r="A636">
        <v>105</v>
      </c>
      <c r="B636" t="s">
        <v>557</v>
      </c>
      <c r="C636" s="451">
        <v>46000</v>
      </c>
      <c r="D636" t="s">
        <v>458</v>
      </c>
      <c r="E636" t="s">
        <v>20</v>
      </c>
      <c r="F636">
        <v>1064.78</v>
      </c>
      <c r="G636">
        <v>0</v>
      </c>
      <c r="H636">
        <v>1064.78</v>
      </c>
    </row>
    <row r="637" spans="1:8" x14ac:dyDescent="0.3">
      <c r="A637">
        <v>105</v>
      </c>
      <c r="B637" t="s">
        <v>557</v>
      </c>
      <c r="C637" s="451">
        <v>45999</v>
      </c>
      <c r="D637" t="s">
        <v>458</v>
      </c>
      <c r="E637" t="s">
        <v>3904</v>
      </c>
      <c r="F637">
        <v>1149.7</v>
      </c>
      <c r="G637">
        <v>71.63</v>
      </c>
      <c r="H637">
        <v>1078.07</v>
      </c>
    </row>
    <row r="638" spans="1:8" x14ac:dyDescent="0.3">
      <c r="A638">
        <v>105</v>
      </c>
      <c r="B638" t="s">
        <v>557</v>
      </c>
      <c r="C638" s="451">
        <v>45999</v>
      </c>
      <c r="D638" t="s">
        <v>458</v>
      </c>
      <c r="E638" t="s">
        <v>3905</v>
      </c>
      <c r="F638">
        <v>8326.2000000000007</v>
      </c>
      <c r="G638">
        <v>192.68</v>
      </c>
      <c r="H638">
        <v>8133.52</v>
      </c>
    </row>
    <row r="639" spans="1:8" x14ac:dyDescent="0.3">
      <c r="A639">
        <v>105</v>
      </c>
      <c r="B639" t="s">
        <v>557</v>
      </c>
      <c r="C639" s="451">
        <v>45999</v>
      </c>
      <c r="D639" t="s">
        <v>458</v>
      </c>
      <c r="E639" t="s">
        <v>20</v>
      </c>
      <c r="F639">
        <v>1204.5999999999999</v>
      </c>
      <c r="G639">
        <v>0</v>
      </c>
      <c r="H639">
        <v>1204.5999999999999</v>
      </c>
    </row>
    <row r="640" spans="1:8" x14ac:dyDescent="0.3">
      <c r="A640">
        <v>105</v>
      </c>
      <c r="B640" t="s">
        <v>557</v>
      </c>
      <c r="C640" s="451">
        <v>45998</v>
      </c>
      <c r="D640" t="s">
        <v>458</v>
      </c>
      <c r="E640" t="s">
        <v>3905</v>
      </c>
      <c r="F640">
        <v>12316</v>
      </c>
      <c r="G640">
        <v>537.29999999999995</v>
      </c>
      <c r="H640">
        <v>11778.7</v>
      </c>
    </row>
    <row r="641" spans="1:8" x14ac:dyDescent="0.3">
      <c r="A641">
        <v>105</v>
      </c>
      <c r="B641" t="s">
        <v>557</v>
      </c>
      <c r="C641" s="451">
        <v>45998</v>
      </c>
      <c r="D641" t="s">
        <v>458</v>
      </c>
      <c r="E641" t="s">
        <v>3904</v>
      </c>
      <c r="F641">
        <v>5468.1</v>
      </c>
      <c r="G641">
        <v>105.28</v>
      </c>
      <c r="H641">
        <v>5362.82</v>
      </c>
    </row>
    <row r="642" spans="1:8" x14ac:dyDescent="0.3">
      <c r="A642">
        <v>105</v>
      </c>
      <c r="B642" t="s">
        <v>557</v>
      </c>
      <c r="C642" s="451">
        <v>45998</v>
      </c>
      <c r="D642" t="s">
        <v>458</v>
      </c>
      <c r="E642" t="s">
        <v>3906</v>
      </c>
      <c r="F642">
        <v>640</v>
      </c>
      <c r="G642">
        <v>0</v>
      </c>
      <c r="H642">
        <v>640</v>
      </c>
    </row>
    <row r="643" spans="1:8" x14ac:dyDescent="0.3">
      <c r="A643">
        <v>105</v>
      </c>
      <c r="B643" t="s">
        <v>557</v>
      </c>
      <c r="C643" s="451">
        <v>45998</v>
      </c>
      <c r="D643" t="s">
        <v>458</v>
      </c>
      <c r="E643" t="s">
        <v>20</v>
      </c>
      <c r="F643">
        <v>2354.77</v>
      </c>
      <c r="G643">
        <v>0</v>
      </c>
      <c r="H643">
        <v>2354.77</v>
      </c>
    </row>
    <row r="644" spans="1:8" x14ac:dyDescent="0.3">
      <c r="A644">
        <v>105</v>
      </c>
      <c r="B644" t="s">
        <v>557</v>
      </c>
      <c r="C644" s="451">
        <v>45997</v>
      </c>
      <c r="D644" t="s">
        <v>458</v>
      </c>
      <c r="E644" t="s">
        <v>3905</v>
      </c>
      <c r="F644">
        <v>17670.400000000001</v>
      </c>
      <c r="G644">
        <v>431.1</v>
      </c>
      <c r="H644">
        <v>17239.3</v>
      </c>
    </row>
    <row r="645" spans="1:8" x14ac:dyDescent="0.3">
      <c r="A645">
        <v>105</v>
      </c>
      <c r="B645" t="s">
        <v>557</v>
      </c>
      <c r="C645" s="451">
        <v>45997</v>
      </c>
      <c r="D645" t="s">
        <v>458</v>
      </c>
      <c r="E645" t="s">
        <v>3904</v>
      </c>
      <c r="F645">
        <v>19038.7</v>
      </c>
      <c r="G645">
        <v>478.5</v>
      </c>
      <c r="H645">
        <v>18560.2</v>
      </c>
    </row>
    <row r="646" spans="1:8" x14ac:dyDescent="0.3">
      <c r="A646">
        <v>105</v>
      </c>
      <c r="B646" t="s">
        <v>557</v>
      </c>
      <c r="C646" s="451">
        <v>45997</v>
      </c>
      <c r="D646" t="s">
        <v>458</v>
      </c>
      <c r="E646" t="s">
        <v>3906</v>
      </c>
      <c r="F646">
        <v>3310</v>
      </c>
      <c r="G646">
        <v>20</v>
      </c>
      <c r="H646">
        <v>3290</v>
      </c>
    </row>
    <row r="647" spans="1:8" x14ac:dyDescent="0.3">
      <c r="A647">
        <v>105</v>
      </c>
      <c r="B647" t="s">
        <v>557</v>
      </c>
      <c r="C647" s="451">
        <v>45997</v>
      </c>
      <c r="D647" t="s">
        <v>458</v>
      </c>
      <c r="E647" t="s">
        <v>20</v>
      </c>
      <c r="F647">
        <v>5115.82</v>
      </c>
      <c r="G647">
        <v>0</v>
      </c>
      <c r="H647">
        <v>5115.82</v>
      </c>
    </row>
    <row r="648" spans="1:8" x14ac:dyDescent="0.3">
      <c r="A648">
        <v>105</v>
      </c>
      <c r="B648" t="s">
        <v>557</v>
      </c>
      <c r="C648" s="451">
        <v>45996</v>
      </c>
      <c r="D648" t="s">
        <v>458</v>
      </c>
      <c r="E648" t="s">
        <v>3904</v>
      </c>
      <c r="F648">
        <v>7399.8</v>
      </c>
      <c r="G648">
        <v>3901.44</v>
      </c>
      <c r="H648">
        <v>3498.36</v>
      </c>
    </row>
    <row r="649" spans="1:8" x14ac:dyDescent="0.3">
      <c r="A649">
        <v>105</v>
      </c>
      <c r="B649" t="s">
        <v>557</v>
      </c>
      <c r="C649" s="451">
        <v>45996</v>
      </c>
      <c r="D649" t="s">
        <v>458</v>
      </c>
      <c r="E649" t="s">
        <v>3905</v>
      </c>
      <c r="F649">
        <v>12097.1</v>
      </c>
      <c r="G649">
        <v>2600.13</v>
      </c>
      <c r="H649">
        <v>9496.9699999999993</v>
      </c>
    </row>
    <row r="650" spans="1:8" x14ac:dyDescent="0.3">
      <c r="A650">
        <v>105</v>
      </c>
      <c r="B650" t="s">
        <v>557</v>
      </c>
      <c r="C650" s="451">
        <v>45996</v>
      </c>
      <c r="D650" t="s">
        <v>458</v>
      </c>
      <c r="E650" t="s">
        <v>3906</v>
      </c>
      <c r="F650">
        <v>480</v>
      </c>
      <c r="G650">
        <v>0</v>
      </c>
      <c r="H650">
        <v>480</v>
      </c>
    </row>
    <row r="651" spans="1:8" x14ac:dyDescent="0.3">
      <c r="A651">
        <v>105</v>
      </c>
      <c r="B651" t="s">
        <v>557</v>
      </c>
      <c r="C651" s="451">
        <v>45996</v>
      </c>
      <c r="D651" t="s">
        <v>458</v>
      </c>
      <c r="E651" t="s">
        <v>20</v>
      </c>
      <c r="F651">
        <v>1764.24</v>
      </c>
      <c r="G651">
        <v>0</v>
      </c>
      <c r="H651">
        <v>1764.24</v>
      </c>
    </row>
    <row r="652" spans="1:8" x14ac:dyDescent="0.3">
      <c r="A652">
        <v>105</v>
      </c>
      <c r="B652" t="s">
        <v>557</v>
      </c>
      <c r="C652" s="451">
        <v>45995</v>
      </c>
      <c r="D652" t="s">
        <v>458</v>
      </c>
      <c r="E652" t="s">
        <v>3904</v>
      </c>
      <c r="F652">
        <v>2498.8000000000002</v>
      </c>
      <c r="G652">
        <v>1240.67</v>
      </c>
      <c r="H652">
        <v>1258.1300000000001</v>
      </c>
    </row>
    <row r="653" spans="1:8" x14ac:dyDescent="0.3">
      <c r="A653">
        <v>105</v>
      </c>
      <c r="B653" t="s">
        <v>557</v>
      </c>
      <c r="C653" s="451">
        <v>45995</v>
      </c>
      <c r="D653" t="s">
        <v>458</v>
      </c>
      <c r="E653" t="s">
        <v>3905</v>
      </c>
      <c r="F653">
        <v>6087</v>
      </c>
      <c r="G653">
        <v>497.19</v>
      </c>
      <c r="H653">
        <v>5589.81</v>
      </c>
    </row>
    <row r="654" spans="1:8" x14ac:dyDescent="0.3">
      <c r="A654">
        <v>105</v>
      </c>
      <c r="B654" t="s">
        <v>557</v>
      </c>
      <c r="C654" s="451">
        <v>45995</v>
      </c>
      <c r="D654" t="s">
        <v>458</v>
      </c>
      <c r="E654" t="s">
        <v>20</v>
      </c>
      <c r="F654">
        <v>871.09</v>
      </c>
      <c r="G654">
        <v>0</v>
      </c>
      <c r="H654">
        <v>871.09</v>
      </c>
    </row>
    <row r="655" spans="1:8" x14ac:dyDescent="0.3">
      <c r="A655">
        <v>105</v>
      </c>
      <c r="B655" t="s">
        <v>557</v>
      </c>
      <c r="C655" s="451">
        <v>45994</v>
      </c>
      <c r="D655" t="s">
        <v>458</v>
      </c>
      <c r="E655" t="s">
        <v>3905</v>
      </c>
      <c r="F655">
        <v>10339.5</v>
      </c>
      <c r="G655">
        <v>1859.16</v>
      </c>
      <c r="H655">
        <v>8480.34</v>
      </c>
    </row>
    <row r="656" spans="1:8" x14ac:dyDescent="0.3">
      <c r="A656">
        <v>105</v>
      </c>
      <c r="B656" t="s">
        <v>557</v>
      </c>
      <c r="C656" s="451">
        <v>45994</v>
      </c>
      <c r="D656" t="s">
        <v>458</v>
      </c>
      <c r="E656" t="s">
        <v>3904</v>
      </c>
      <c r="F656">
        <v>7338.6</v>
      </c>
      <c r="G656">
        <v>1200.23</v>
      </c>
      <c r="H656">
        <v>6138.37</v>
      </c>
    </row>
    <row r="657" spans="1:8" x14ac:dyDescent="0.3">
      <c r="A657">
        <v>105</v>
      </c>
      <c r="B657" t="s">
        <v>557</v>
      </c>
      <c r="C657" s="451">
        <v>45994</v>
      </c>
      <c r="D657" t="s">
        <v>458</v>
      </c>
      <c r="E657" t="s">
        <v>20</v>
      </c>
      <c r="F657">
        <v>1938.92</v>
      </c>
      <c r="G657">
        <v>0</v>
      </c>
      <c r="H657">
        <v>1938.92</v>
      </c>
    </row>
    <row r="658" spans="1:8" x14ac:dyDescent="0.3">
      <c r="A658">
        <v>105</v>
      </c>
      <c r="B658" t="s">
        <v>557</v>
      </c>
      <c r="C658" s="451">
        <v>45993</v>
      </c>
      <c r="D658" t="s">
        <v>458</v>
      </c>
      <c r="E658" t="s">
        <v>3904</v>
      </c>
      <c r="F658">
        <v>642.5</v>
      </c>
      <c r="G658">
        <v>100.84</v>
      </c>
      <c r="H658">
        <v>541.66</v>
      </c>
    </row>
    <row r="659" spans="1:8" x14ac:dyDescent="0.3">
      <c r="A659">
        <v>105</v>
      </c>
      <c r="B659" t="s">
        <v>557</v>
      </c>
      <c r="C659" s="451">
        <v>45993</v>
      </c>
      <c r="D659" t="s">
        <v>458</v>
      </c>
      <c r="E659" t="s">
        <v>3905</v>
      </c>
      <c r="F659">
        <v>2229.6999999999998</v>
      </c>
      <c r="G659">
        <v>168.04</v>
      </c>
      <c r="H659">
        <v>2061.66</v>
      </c>
    </row>
    <row r="660" spans="1:8" x14ac:dyDescent="0.3">
      <c r="A660">
        <v>105</v>
      </c>
      <c r="B660" t="s">
        <v>557</v>
      </c>
      <c r="C660" s="451">
        <v>45993</v>
      </c>
      <c r="D660" t="s">
        <v>458</v>
      </c>
      <c r="E660" t="s">
        <v>20</v>
      </c>
      <c r="F660">
        <v>354.28</v>
      </c>
      <c r="G660">
        <v>0</v>
      </c>
      <c r="H660">
        <v>354.28</v>
      </c>
    </row>
    <row r="661" spans="1:8" x14ac:dyDescent="0.3">
      <c r="A661">
        <v>105</v>
      </c>
      <c r="B661" t="s">
        <v>557</v>
      </c>
      <c r="C661" s="451">
        <v>45992</v>
      </c>
      <c r="D661" t="s">
        <v>458</v>
      </c>
      <c r="E661" t="s">
        <v>3905</v>
      </c>
      <c r="F661">
        <v>3446.6</v>
      </c>
      <c r="G661">
        <v>199.01</v>
      </c>
      <c r="H661">
        <v>3247.59</v>
      </c>
    </row>
    <row r="662" spans="1:8" x14ac:dyDescent="0.3">
      <c r="A662">
        <v>105</v>
      </c>
      <c r="B662" t="s">
        <v>557</v>
      </c>
      <c r="C662" s="451">
        <v>45992</v>
      </c>
      <c r="D662" t="s">
        <v>458</v>
      </c>
      <c r="E662" t="s">
        <v>3904</v>
      </c>
      <c r="F662">
        <v>539.79999999999995</v>
      </c>
      <c r="G662">
        <v>39.950000000000003</v>
      </c>
      <c r="H662">
        <v>499.85</v>
      </c>
    </row>
    <row r="663" spans="1:8" x14ac:dyDescent="0.3">
      <c r="A663">
        <v>105</v>
      </c>
      <c r="B663" t="s">
        <v>557</v>
      </c>
      <c r="C663" s="451">
        <v>45992</v>
      </c>
      <c r="D663" t="s">
        <v>458</v>
      </c>
      <c r="E663" t="s">
        <v>20</v>
      </c>
      <c r="F663">
        <v>507.66</v>
      </c>
      <c r="G663">
        <v>0</v>
      </c>
      <c r="H663">
        <v>507.66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28"/>
  <sheetViews>
    <sheetView workbookViewId="0"/>
  </sheetViews>
  <sheetFormatPr defaultRowHeight="14.4" x14ac:dyDescent="0.3"/>
  <sheetData>
    <row r="1" spans="1:8" x14ac:dyDescent="0.3">
      <c r="A1" t="s">
        <v>2538</v>
      </c>
      <c r="B1" t="s">
        <v>2539</v>
      </c>
      <c r="C1" t="s">
        <v>3899</v>
      </c>
      <c r="D1" t="s">
        <v>556</v>
      </c>
      <c r="E1" t="s">
        <v>3900</v>
      </c>
      <c r="F1" t="s">
        <v>3901</v>
      </c>
      <c r="G1" t="s">
        <v>3902</v>
      </c>
      <c r="H1" t="s">
        <v>3903</v>
      </c>
    </row>
    <row r="2" spans="1:8" x14ac:dyDescent="0.3">
      <c r="A2">
        <v>139</v>
      </c>
      <c r="B2" t="s">
        <v>5892</v>
      </c>
      <c r="C2" s="451">
        <v>46209</v>
      </c>
      <c r="D2" t="s">
        <v>596</v>
      </c>
      <c r="E2" t="s">
        <v>3905</v>
      </c>
      <c r="F2">
        <v>1841.8</v>
      </c>
      <c r="G2">
        <v>342.11</v>
      </c>
      <c r="H2">
        <v>1499.69</v>
      </c>
    </row>
    <row r="3" spans="1:8" x14ac:dyDescent="0.3">
      <c r="A3">
        <v>139</v>
      </c>
      <c r="B3" t="s">
        <v>5892</v>
      </c>
      <c r="C3" s="451">
        <v>46209</v>
      </c>
      <c r="D3" t="s">
        <v>596</v>
      </c>
      <c r="E3" t="s">
        <v>3904</v>
      </c>
      <c r="F3">
        <v>8</v>
      </c>
      <c r="G3">
        <v>0</v>
      </c>
      <c r="H3">
        <v>8</v>
      </c>
    </row>
    <row r="4" spans="1:8" x14ac:dyDescent="0.3">
      <c r="A4">
        <v>139</v>
      </c>
      <c r="B4" t="s">
        <v>5892</v>
      </c>
      <c r="C4" s="451">
        <v>46209</v>
      </c>
      <c r="D4" t="s">
        <v>596</v>
      </c>
      <c r="E4" t="s">
        <v>20</v>
      </c>
      <c r="F4">
        <v>124.61</v>
      </c>
      <c r="G4">
        <v>0</v>
      </c>
      <c r="H4">
        <v>124.61</v>
      </c>
    </row>
    <row r="5" spans="1:8" x14ac:dyDescent="0.3">
      <c r="A5">
        <v>139</v>
      </c>
      <c r="B5" t="s">
        <v>5892</v>
      </c>
      <c r="C5" s="451">
        <v>46208</v>
      </c>
      <c r="D5" t="s">
        <v>596</v>
      </c>
      <c r="E5" t="s">
        <v>3905</v>
      </c>
      <c r="F5">
        <v>5670.2</v>
      </c>
      <c r="G5">
        <v>438.86</v>
      </c>
      <c r="H5">
        <v>5231.34</v>
      </c>
    </row>
    <row r="6" spans="1:8" x14ac:dyDescent="0.3">
      <c r="A6">
        <v>139</v>
      </c>
      <c r="B6" t="s">
        <v>5892</v>
      </c>
      <c r="C6" s="451">
        <v>46208</v>
      </c>
      <c r="D6" t="s">
        <v>596</v>
      </c>
      <c r="E6" t="s">
        <v>3904</v>
      </c>
      <c r="F6">
        <v>40</v>
      </c>
      <c r="G6">
        <v>2.1800000000000002</v>
      </c>
      <c r="H6">
        <v>37.82</v>
      </c>
    </row>
    <row r="7" spans="1:8" x14ac:dyDescent="0.3">
      <c r="A7">
        <v>139</v>
      </c>
      <c r="B7" t="s">
        <v>5892</v>
      </c>
      <c r="C7" s="451">
        <v>46208</v>
      </c>
      <c r="D7" t="s">
        <v>596</v>
      </c>
      <c r="E7" t="s">
        <v>20</v>
      </c>
      <c r="F7">
        <v>249.46</v>
      </c>
      <c r="G7">
        <v>0</v>
      </c>
      <c r="H7">
        <v>249.46</v>
      </c>
    </row>
    <row r="8" spans="1:8" x14ac:dyDescent="0.3">
      <c r="A8">
        <v>139</v>
      </c>
      <c r="B8" t="s">
        <v>5892</v>
      </c>
      <c r="C8" s="451">
        <v>46207</v>
      </c>
      <c r="D8" t="s">
        <v>596</v>
      </c>
      <c r="E8" t="s">
        <v>3905</v>
      </c>
      <c r="F8">
        <v>4724.5</v>
      </c>
      <c r="G8">
        <v>317.13</v>
      </c>
      <c r="H8">
        <v>4407.37</v>
      </c>
    </row>
    <row r="9" spans="1:8" x14ac:dyDescent="0.3">
      <c r="A9">
        <v>139</v>
      </c>
      <c r="B9" t="s">
        <v>5892</v>
      </c>
      <c r="C9" s="451">
        <v>46207</v>
      </c>
      <c r="D9" t="s">
        <v>596</v>
      </c>
      <c r="E9" t="s">
        <v>3904</v>
      </c>
      <c r="F9">
        <v>88</v>
      </c>
      <c r="G9">
        <v>2.64</v>
      </c>
      <c r="H9">
        <v>85.36</v>
      </c>
    </row>
    <row r="10" spans="1:8" x14ac:dyDescent="0.3">
      <c r="A10">
        <v>139</v>
      </c>
      <c r="B10" t="s">
        <v>5892</v>
      </c>
      <c r="C10" s="451">
        <v>46207</v>
      </c>
      <c r="D10" t="s">
        <v>596</v>
      </c>
      <c r="E10" t="s">
        <v>20</v>
      </c>
      <c r="F10">
        <v>176.61</v>
      </c>
      <c r="G10">
        <v>0</v>
      </c>
      <c r="H10">
        <v>176.61</v>
      </c>
    </row>
    <row r="11" spans="1:8" x14ac:dyDescent="0.3">
      <c r="A11">
        <v>139</v>
      </c>
      <c r="B11" t="s">
        <v>5892</v>
      </c>
      <c r="C11" s="451">
        <v>46206</v>
      </c>
      <c r="D11" t="s">
        <v>596</v>
      </c>
      <c r="E11" t="s">
        <v>3904</v>
      </c>
      <c r="F11">
        <v>72</v>
      </c>
      <c r="G11">
        <v>9.68</v>
      </c>
      <c r="H11">
        <v>62.32</v>
      </c>
    </row>
    <row r="12" spans="1:8" x14ac:dyDescent="0.3">
      <c r="A12">
        <v>139</v>
      </c>
      <c r="B12" t="s">
        <v>5892</v>
      </c>
      <c r="C12" s="451">
        <v>46206</v>
      </c>
      <c r="D12" t="s">
        <v>596</v>
      </c>
      <c r="E12" t="s">
        <v>3905</v>
      </c>
      <c r="F12">
        <v>3414.4</v>
      </c>
      <c r="G12">
        <v>407.95</v>
      </c>
      <c r="H12">
        <v>3006.45</v>
      </c>
    </row>
    <row r="13" spans="1:8" x14ac:dyDescent="0.3">
      <c r="A13">
        <v>139</v>
      </c>
      <c r="B13" t="s">
        <v>5892</v>
      </c>
      <c r="C13" s="451">
        <v>46206</v>
      </c>
      <c r="D13" t="s">
        <v>596</v>
      </c>
      <c r="E13" t="s">
        <v>20</v>
      </c>
      <c r="F13">
        <v>193.51</v>
      </c>
      <c r="G13">
        <v>0</v>
      </c>
      <c r="H13">
        <v>193.51</v>
      </c>
    </row>
    <row r="14" spans="1:8" x14ac:dyDescent="0.3">
      <c r="A14">
        <v>139</v>
      </c>
      <c r="B14" t="s">
        <v>5892</v>
      </c>
      <c r="C14" s="451">
        <v>46205</v>
      </c>
      <c r="D14" t="s">
        <v>596</v>
      </c>
      <c r="E14" t="s">
        <v>3905</v>
      </c>
      <c r="F14">
        <v>3676.2</v>
      </c>
      <c r="G14">
        <v>388.95</v>
      </c>
      <c r="H14">
        <v>3287.25</v>
      </c>
    </row>
    <row r="15" spans="1:8" x14ac:dyDescent="0.3">
      <c r="A15">
        <v>139</v>
      </c>
      <c r="B15" t="s">
        <v>5892</v>
      </c>
      <c r="C15" s="451">
        <v>46205</v>
      </c>
      <c r="D15" t="s">
        <v>596</v>
      </c>
      <c r="E15" t="s">
        <v>20</v>
      </c>
      <c r="F15">
        <v>199.55</v>
      </c>
      <c r="G15">
        <v>0</v>
      </c>
      <c r="H15">
        <v>199.55</v>
      </c>
    </row>
    <row r="16" spans="1:8" x14ac:dyDescent="0.3">
      <c r="A16">
        <v>139</v>
      </c>
      <c r="B16" t="s">
        <v>5892</v>
      </c>
      <c r="C16" s="451">
        <v>46204</v>
      </c>
      <c r="D16" t="s">
        <v>596</v>
      </c>
      <c r="E16" t="s">
        <v>3904</v>
      </c>
      <c r="F16">
        <v>40</v>
      </c>
      <c r="G16">
        <v>0.89</v>
      </c>
      <c r="H16">
        <v>39.11</v>
      </c>
    </row>
    <row r="17" spans="1:8" x14ac:dyDescent="0.3">
      <c r="A17">
        <v>139</v>
      </c>
      <c r="B17" t="s">
        <v>5892</v>
      </c>
      <c r="C17" s="451">
        <v>46204</v>
      </c>
      <c r="D17" t="s">
        <v>596</v>
      </c>
      <c r="E17" t="s">
        <v>3905</v>
      </c>
      <c r="F17">
        <v>3748.7</v>
      </c>
      <c r="G17">
        <v>274.91000000000003</v>
      </c>
      <c r="H17">
        <v>3473.79</v>
      </c>
    </row>
    <row r="18" spans="1:8" x14ac:dyDescent="0.3">
      <c r="A18">
        <v>139</v>
      </c>
      <c r="B18" t="s">
        <v>5892</v>
      </c>
      <c r="C18" s="451">
        <v>46204</v>
      </c>
      <c r="D18" t="s">
        <v>596</v>
      </c>
      <c r="E18" t="s">
        <v>20</v>
      </c>
      <c r="F18">
        <v>238.41</v>
      </c>
      <c r="G18">
        <v>0</v>
      </c>
      <c r="H18">
        <v>238.41</v>
      </c>
    </row>
    <row r="19" spans="1:8" x14ac:dyDescent="0.3">
      <c r="A19">
        <v>139</v>
      </c>
      <c r="B19" t="s">
        <v>5892</v>
      </c>
      <c r="C19" s="451">
        <v>46203</v>
      </c>
      <c r="D19" t="s">
        <v>594</v>
      </c>
      <c r="E19" t="s">
        <v>3905</v>
      </c>
      <c r="F19">
        <v>1967.2</v>
      </c>
      <c r="G19">
        <v>217.13</v>
      </c>
      <c r="H19">
        <v>1750.07</v>
      </c>
    </row>
    <row r="20" spans="1:8" x14ac:dyDescent="0.3">
      <c r="A20">
        <v>139</v>
      </c>
      <c r="B20" t="s">
        <v>5892</v>
      </c>
      <c r="C20" s="451">
        <v>46203</v>
      </c>
      <c r="D20" t="s">
        <v>594</v>
      </c>
      <c r="E20" t="s">
        <v>3904</v>
      </c>
      <c r="F20">
        <v>8</v>
      </c>
      <c r="G20">
        <v>1.92</v>
      </c>
      <c r="H20">
        <v>6.08</v>
      </c>
    </row>
    <row r="21" spans="1:8" x14ac:dyDescent="0.3">
      <c r="A21">
        <v>139</v>
      </c>
      <c r="B21" t="s">
        <v>5892</v>
      </c>
      <c r="C21" s="451">
        <v>46203</v>
      </c>
      <c r="D21" t="s">
        <v>594</v>
      </c>
      <c r="E21" t="s">
        <v>20</v>
      </c>
      <c r="F21">
        <v>58.1</v>
      </c>
      <c r="G21">
        <v>0</v>
      </c>
      <c r="H21">
        <v>58.1</v>
      </c>
    </row>
    <row r="22" spans="1:8" x14ac:dyDescent="0.3">
      <c r="A22">
        <v>139</v>
      </c>
      <c r="B22" t="s">
        <v>5892</v>
      </c>
      <c r="C22" s="451">
        <v>46202</v>
      </c>
      <c r="D22" t="s">
        <v>594</v>
      </c>
      <c r="E22" t="s">
        <v>3905</v>
      </c>
      <c r="F22">
        <v>3053.5</v>
      </c>
      <c r="G22">
        <v>154.84</v>
      </c>
      <c r="H22">
        <v>2898.66</v>
      </c>
    </row>
    <row r="23" spans="1:8" x14ac:dyDescent="0.3">
      <c r="A23">
        <v>139</v>
      </c>
      <c r="B23" t="s">
        <v>5892</v>
      </c>
      <c r="C23" s="451">
        <v>46202</v>
      </c>
      <c r="D23" t="s">
        <v>594</v>
      </c>
      <c r="E23" t="s">
        <v>20</v>
      </c>
      <c r="F23">
        <v>74.760000000000005</v>
      </c>
      <c r="G23">
        <v>0</v>
      </c>
      <c r="H23">
        <v>74.760000000000005</v>
      </c>
    </row>
    <row r="24" spans="1:8" x14ac:dyDescent="0.3">
      <c r="A24">
        <v>139</v>
      </c>
      <c r="B24" t="s">
        <v>5892</v>
      </c>
      <c r="C24" s="451">
        <v>46202</v>
      </c>
      <c r="D24" t="s">
        <v>594</v>
      </c>
      <c r="E24" t="s">
        <v>3904</v>
      </c>
      <c r="F24">
        <v>8</v>
      </c>
      <c r="G24">
        <v>1.99</v>
      </c>
      <c r="H24">
        <v>6.01</v>
      </c>
    </row>
    <row r="25" spans="1:8" x14ac:dyDescent="0.3">
      <c r="A25">
        <v>139</v>
      </c>
      <c r="B25" t="s">
        <v>5892</v>
      </c>
      <c r="C25" s="451">
        <v>46201</v>
      </c>
      <c r="D25" t="s">
        <v>594</v>
      </c>
      <c r="E25" t="s">
        <v>3905</v>
      </c>
      <c r="F25">
        <v>5868.4</v>
      </c>
      <c r="G25">
        <v>315.58</v>
      </c>
      <c r="H25">
        <v>5552.82</v>
      </c>
    </row>
    <row r="26" spans="1:8" x14ac:dyDescent="0.3">
      <c r="A26">
        <v>139</v>
      </c>
      <c r="B26" t="s">
        <v>5892</v>
      </c>
      <c r="C26" s="451">
        <v>46201</v>
      </c>
      <c r="D26" t="s">
        <v>594</v>
      </c>
      <c r="E26" t="s">
        <v>20</v>
      </c>
      <c r="F26">
        <v>282.48</v>
      </c>
      <c r="G26">
        <v>0</v>
      </c>
      <c r="H26">
        <v>282.48</v>
      </c>
    </row>
    <row r="27" spans="1:8" x14ac:dyDescent="0.3">
      <c r="A27">
        <v>139</v>
      </c>
      <c r="B27" t="s">
        <v>5892</v>
      </c>
      <c r="C27" s="451">
        <v>46201</v>
      </c>
      <c r="D27" t="s">
        <v>594</v>
      </c>
      <c r="E27" t="s">
        <v>3904</v>
      </c>
      <c r="F27">
        <v>16</v>
      </c>
      <c r="G27">
        <v>0.9</v>
      </c>
      <c r="H27">
        <v>15.1</v>
      </c>
    </row>
    <row r="28" spans="1:8" x14ac:dyDescent="0.3">
      <c r="A28">
        <v>139</v>
      </c>
      <c r="B28" t="s">
        <v>5892</v>
      </c>
      <c r="C28" s="451">
        <v>46200</v>
      </c>
      <c r="D28" t="s">
        <v>594</v>
      </c>
      <c r="E28" t="s">
        <v>3904</v>
      </c>
      <c r="F28">
        <v>24</v>
      </c>
      <c r="G28">
        <v>0.44</v>
      </c>
      <c r="H28">
        <v>23.56</v>
      </c>
    </row>
    <row r="29" spans="1:8" x14ac:dyDescent="0.3">
      <c r="A29">
        <v>139</v>
      </c>
      <c r="B29" t="s">
        <v>5892</v>
      </c>
      <c r="C29" s="451">
        <v>46200</v>
      </c>
      <c r="D29" t="s">
        <v>594</v>
      </c>
      <c r="E29" t="s">
        <v>3905</v>
      </c>
      <c r="F29">
        <v>6461.3</v>
      </c>
      <c r="G29">
        <v>338.24</v>
      </c>
      <c r="H29">
        <v>6123.06</v>
      </c>
    </row>
    <row r="30" spans="1:8" x14ac:dyDescent="0.3">
      <c r="A30">
        <v>139</v>
      </c>
      <c r="B30" t="s">
        <v>5892</v>
      </c>
      <c r="C30" s="451">
        <v>46200</v>
      </c>
      <c r="D30" t="s">
        <v>594</v>
      </c>
      <c r="E30" t="s">
        <v>20</v>
      </c>
      <c r="F30">
        <v>213.5</v>
      </c>
      <c r="G30">
        <v>0</v>
      </c>
      <c r="H30">
        <v>213.5</v>
      </c>
    </row>
    <row r="31" spans="1:8" x14ac:dyDescent="0.3">
      <c r="A31">
        <v>139</v>
      </c>
      <c r="B31" t="s">
        <v>5892</v>
      </c>
      <c r="C31" s="451">
        <v>46199</v>
      </c>
      <c r="D31" t="s">
        <v>594</v>
      </c>
      <c r="E31" t="s">
        <v>3904</v>
      </c>
      <c r="F31">
        <v>40</v>
      </c>
      <c r="G31">
        <v>2.2400000000000002</v>
      </c>
      <c r="H31">
        <v>37.76</v>
      </c>
    </row>
    <row r="32" spans="1:8" x14ac:dyDescent="0.3">
      <c r="A32">
        <v>139</v>
      </c>
      <c r="B32" t="s">
        <v>5892</v>
      </c>
      <c r="C32" s="451">
        <v>46199</v>
      </c>
      <c r="D32" t="s">
        <v>594</v>
      </c>
      <c r="E32" t="s">
        <v>3905</v>
      </c>
      <c r="F32">
        <v>4923.8</v>
      </c>
      <c r="G32">
        <v>372.74</v>
      </c>
      <c r="H32">
        <v>4551.0600000000004</v>
      </c>
    </row>
    <row r="33" spans="1:8" x14ac:dyDescent="0.3">
      <c r="A33">
        <v>139</v>
      </c>
      <c r="B33" t="s">
        <v>5892</v>
      </c>
      <c r="C33" s="451">
        <v>46199</v>
      </c>
      <c r="D33" t="s">
        <v>594</v>
      </c>
      <c r="E33" t="s">
        <v>20</v>
      </c>
      <c r="F33">
        <v>215.45</v>
      </c>
      <c r="G33">
        <v>0</v>
      </c>
      <c r="H33">
        <v>215.45</v>
      </c>
    </row>
    <row r="34" spans="1:8" x14ac:dyDescent="0.3">
      <c r="A34">
        <v>139</v>
      </c>
      <c r="B34" t="s">
        <v>5892</v>
      </c>
      <c r="C34" s="451">
        <v>46198</v>
      </c>
      <c r="D34" t="s">
        <v>594</v>
      </c>
      <c r="E34" t="s">
        <v>3904</v>
      </c>
      <c r="F34">
        <v>56</v>
      </c>
      <c r="G34">
        <v>5.76</v>
      </c>
      <c r="H34">
        <v>50.24</v>
      </c>
    </row>
    <row r="35" spans="1:8" x14ac:dyDescent="0.3">
      <c r="A35">
        <v>139</v>
      </c>
      <c r="B35" t="s">
        <v>5892</v>
      </c>
      <c r="C35" s="451">
        <v>46198</v>
      </c>
      <c r="D35" t="s">
        <v>594</v>
      </c>
      <c r="E35" t="s">
        <v>3905</v>
      </c>
      <c r="F35">
        <v>4135.1000000000004</v>
      </c>
      <c r="G35">
        <v>381.77</v>
      </c>
      <c r="H35">
        <v>3753.33</v>
      </c>
    </row>
    <row r="36" spans="1:8" x14ac:dyDescent="0.3">
      <c r="A36">
        <v>139</v>
      </c>
      <c r="B36" t="s">
        <v>5892</v>
      </c>
      <c r="C36" s="451">
        <v>46198</v>
      </c>
      <c r="D36" t="s">
        <v>594</v>
      </c>
      <c r="E36" t="s">
        <v>20</v>
      </c>
      <c r="F36">
        <v>171.99</v>
      </c>
      <c r="G36">
        <v>0</v>
      </c>
      <c r="H36">
        <v>171.99</v>
      </c>
    </row>
    <row r="37" spans="1:8" x14ac:dyDescent="0.3">
      <c r="A37">
        <v>139</v>
      </c>
      <c r="B37" t="s">
        <v>5892</v>
      </c>
      <c r="C37" s="451">
        <v>46197</v>
      </c>
      <c r="D37" t="s">
        <v>594</v>
      </c>
      <c r="E37" t="s">
        <v>3904</v>
      </c>
      <c r="F37">
        <v>52</v>
      </c>
      <c r="G37">
        <v>1.56</v>
      </c>
      <c r="H37">
        <v>50.44</v>
      </c>
    </row>
    <row r="38" spans="1:8" x14ac:dyDescent="0.3">
      <c r="A38">
        <v>139</v>
      </c>
      <c r="B38" t="s">
        <v>5892</v>
      </c>
      <c r="C38" s="451">
        <v>46197</v>
      </c>
      <c r="D38" t="s">
        <v>594</v>
      </c>
      <c r="E38" t="s">
        <v>3905</v>
      </c>
      <c r="F38">
        <v>2833.8</v>
      </c>
      <c r="G38">
        <v>251.84</v>
      </c>
      <c r="H38">
        <v>2581.96</v>
      </c>
    </row>
    <row r="39" spans="1:8" x14ac:dyDescent="0.3">
      <c r="A39">
        <v>139</v>
      </c>
      <c r="B39" t="s">
        <v>5892</v>
      </c>
      <c r="C39" s="451">
        <v>46197</v>
      </c>
      <c r="D39" t="s">
        <v>594</v>
      </c>
      <c r="E39" t="s">
        <v>20</v>
      </c>
      <c r="F39">
        <v>115.7</v>
      </c>
      <c r="G39">
        <v>0</v>
      </c>
      <c r="H39">
        <v>115.7</v>
      </c>
    </row>
    <row r="40" spans="1:8" x14ac:dyDescent="0.3">
      <c r="A40">
        <v>139</v>
      </c>
      <c r="B40" t="s">
        <v>5892</v>
      </c>
      <c r="C40" s="451">
        <v>46196</v>
      </c>
      <c r="D40" t="s">
        <v>594</v>
      </c>
      <c r="E40" t="s">
        <v>3905</v>
      </c>
      <c r="F40">
        <v>1572.4</v>
      </c>
      <c r="G40">
        <v>211.71</v>
      </c>
      <c r="H40">
        <v>1360.69</v>
      </c>
    </row>
    <row r="41" spans="1:8" x14ac:dyDescent="0.3">
      <c r="A41">
        <v>139</v>
      </c>
      <c r="B41" t="s">
        <v>5892</v>
      </c>
      <c r="C41" s="451">
        <v>46196</v>
      </c>
      <c r="D41" t="s">
        <v>594</v>
      </c>
      <c r="E41" t="s">
        <v>20</v>
      </c>
      <c r="F41">
        <v>72.78</v>
      </c>
      <c r="G41">
        <v>0</v>
      </c>
      <c r="H41">
        <v>72.78</v>
      </c>
    </row>
    <row r="42" spans="1:8" x14ac:dyDescent="0.3">
      <c r="A42">
        <v>139</v>
      </c>
      <c r="B42" t="s">
        <v>5892</v>
      </c>
      <c r="C42" s="451">
        <v>46195</v>
      </c>
      <c r="D42" t="s">
        <v>594</v>
      </c>
      <c r="E42" t="s">
        <v>3904</v>
      </c>
      <c r="F42">
        <v>56</v>
      </c>
      <c r="G42">
        <v>7.75</v>
      </c>
      <c r="H42">
        <v>48.25</v>
      </c>
    </row>
    <row r="43" spans="1:8" x14ac:dyDescent="0.3">
      <c r="A43">
        <v>139</v>
      </c>
      <c r="B43" t="s">
        <v>5892</v>
      </c>
      <c r="C43" s="451">
        <v>46195</v>
      </c>
      <c r="D43" t="s">
        <v>594</v>
      </c>
      <c r="E43" t="s">
        <v>3905</v>
      </c>
      <c r="F43">
        <v>2016.3</v>
      </c>
      <c r="G43">
        <v>304.99</v>
      </c>
      <c r="H43">
        <v>1711.31</v>
      </c>
    </row>
    <row r="44" spans="1:8" x14ac:dyDescent="0.3">
      <c r="A44">
        <v>139</v>
      </c>
      <c r="B44" t="s">
        <v>5892</v>
      </c>
      <c r="C44" s="451">
        <v>46195</v>
      </c>
      <c r="D44" t="s">
        <v>594</v>
      </c>
      <c r="E44" t="s">
        <v>20</v>
      </c>
      <c r="F44">
        <v>138.56</v>
      </c>
      <c r="G44">
        <v>0</v>
      </c>
      <c r="H44">
        <v>138.56</v>
      </c>
    </row>
    <row r="45" spans="1:8" x14ac:dyDescent="0.3">
      <c r="A45">
        <v>139</v>
      </c>
      <c r="B45" t="s">
        <v>5892</v>
      </c>
      <c r="C45" s="451">
        <v>46194</v>
      </c>
      <c r="D45" t="s">
        <v>594</v>
      </c>
      <c r="E45" t="s">
        <v>3904</v>
      </c>
      <c r="F45">
        <v>48</v>
      </c>
      <c r="G45">
        <v>1.91</v>
      </c>
      <c r="H45">
        <v>46.09</v>
      </c>
    </row>
    <row r="46" spans="1:8" x14ac:dyDescent="0.3">
      <c r="A46">
        <v>139</v>
      </c>
      <c r="B46" t="s">
        <v>5892</v>
      </c>
      <c r="C46" s="451">
        <v>46194</v>
      </c>
      <c r="D46" t="s">
        <v>594</v>
      </c>
      <c r="E46" t="s">
        <v>3905</v>
      </c>
      <c r="F46">
        <v>7507.1</v>
      </c>
      <c r="G46">
        <v>442.01</v>
      </c>
      <c r="H46">
        <v>7065.09</v>
      </c>
    </row>
    <row r="47" spans="1:8" x14ac:dyDescent="0.3">
      <c r="A47">
        <v>139</v>
      </c>
      <c r="B47" t="s">
        <v>5892</v>
      </c>
      <c r="C47" s="451">
        <v>46194</v>
      </c>
      <c r="D47" t="s">
        <v>594</v>
      </c>
      <c r="E47" t="s">
        <v>20</v>
      </c>
      <c r="F47">
        <v>355.3</v>
      </c>
      <c r="G47">
        <v>0</v>
      </c>
      <c r="H47">
        <v>355.3</v>
      </c>
    </row>
    <row r="48" spans="1:8" x14ac:dyDescent="0.3">
      <c r="A48">
        <v>139</v>
      </c>
      <c r="B48" t="s">
        <v>5892</v>
      </c>
      <c r="C48" s="451">
        <v>46193</v>
      </c>
      <c r="D48" t="s">
        <v>594</v>
      </c>
      <c r="E48" t="s">
        <v>3904</v>
      </c>
      <c r="F48">
        <v>32</v>
      </c>
      <c r="G48">
        <v>2.13</v>
      </c>
      <c r="H48">
        <v>29.87</v>
      </c>
    </row>
    <row r="49" spans="1:8" x14ac:dyDescent="0.3">
      <c r="A49">
        <v>139</v>
      </c>
      <c r="B49" t="s">
        <v>5892</v>
      </c>
      <c r="C49" s="451">
        <v>46193</v>
      </c>
      <c r="D49" t="s">
        <v>594</v>
      </c>
      <c r="E49" t="s">
        <v>3905</v>
      </c>
      <c r="F49">
        <v>5018.6000000000004</v>
      </c>
      <c r="G49">
        <v>413.79</v>
      </c>
      <c r="H49">
        <v>4604.8100000000004</v>
      </c>
    </row>
    <row r="50" spans="1:8" x14ac:dyDescent="0.3">
      <c r="A50">
        <v>139</v>
      </c>
      <c r="B50" t="s">
        <v>5892</v>
      </c>
      <c r="C50" s="451">
        <v>46193</v>
      </c>
      <c r="D50" t="s">
        <v>594</v>
      </c>
      <c r="E50" t="s">
        <v>20</v>
      </c>
      <c r="F50">
        <v>213.57</v>
      </c>
      <c r="G50">
        <v>0</v>
      </c>
      <c r="H50">
        <v>213.57</v>
      </c>
    </row>
    <row r="51" spans="1:8" x14ac:dyDescent="0.3">
      <c r="A51">
        <v>139</v>
      </c>
      <c r="B51" t="s">
        <v>5892</v>
      </c>
      <c r="C51" s="451">
        <v>46192</v>
      </c>
      <c r="D51" t="s">
        <v>594</v>
      </c>
      <c r="E51" t="s">
        <v>3904</v>
      </c>
      <c r="F51">
        <v>24</v>
      </c>
      <c r="G51">
        <v>3.66</v>
      </c>
      <c r="H51">
        <v>20.34</v>
      </c>
    </row>
    <row r="52" spans="1:8" x14ac:dyDescent="0.3">
      <c r="A52">
        <v>139</v>
      </c>
      <c r="B52" t="s">
        <v>5892</v>
      </c>
      <c r="C52" s="451">
        <v>46192</v>
      </c>
      <c r="D52" t="s">
        <v>594</v>
      </c>
      <c r="E52" t="s">
        <v>3905</v>
      </c>
      <c r="F52">
        <v>3498.7</v>
      </c>
      <c r="G52">
        <v>379.26</v>
      </c>
      <c r="H52">
        <v>3119.44</v>
      </c>
    </row>
    <row r="53" spans="1:8" x14ac:dyDescent="0.3">
      <c r="A53">
        <v>139</v>
      </c>
      <c r="B53" t="s">
        <v>5892</v>
      </c>
      <c r="C53" s="451">
        <v>46192</v>
      </c>
      <c r="D53" t="s">
        <v>594</v>
      </c>
      <c r="E53" t="s">
        <v>20</v>
      </c>
      <c r="F53">
        <v>196.57</v>
      </c>
      <c r="G53">
        <v>0</v>
      </c>
      <c r="H53">
        <v>196.57</v>
      </c>
    </row>
    <row r="54" spans="1:8" x14ac:dyDescent="0.3">
      <c r="A54">
        <v>139</v>
      </c>
      <c r="B54" t="s">
        <v>5892</v>
      </c>
      <c r="C54" s="451">
        <v>46191</v>
      </c>
      <c r="D54" t="s">
        <v>594</v>
      </c>
      <c r="E54" t="s">
        <v>3904</v>
      </c>
      <c r="F54">
        <v>48</v>
      </c>
      <c r="G54">
        <v>3.51</v>
      </c>
      <c r="H54">
        <v>44.49</v>
      </c>
    </row>
    <row r="55" spans="1:8" x14ac:dyDescent="0.3">
      <c r="A55">
        <v>139</v>
      </c>
      <c r="B55" t="s">
        <v>5892</v>
      </c>
      <c r="C55" s="451">
        <v>46191</v>
      </c>
      <c r="D55" t="s">
        <v>594</v>
      </c>
      <c r="E55" t="s">
        <v>3905</v>
      </c>
      <c r="F55">
        <v>3813.8</v>
      </c>
      <c r="G55">
        <v>389.5</v>
      </c>
      <c r="H55">
        <v>3424.3</v>
      </c>
    </row>
    <row r="56" spans="1:8" x14ac:dyDescent="0.3">
      <c r="A56">
        <v>139</v>
      </c>
      <c r="B56" t="s">
        <v>5892</v>
      </c>
      <c r="C56" s="451">
        <v>46191</v>
      </c>
      <c r="D56" t="s">
        <v>594</v>
      </c>
      <c r="E56" t="s">
        <v>20</v>
      </c>
      <c r="F56">
        <v>359.32</v>
      </c>
      <c r="G56">
        <v>0</v>
      </c>
      <c r="H56">
        <v>359.32</v>
      </c>
    </row>
    <row r="57" spans="1:8" x14ac:dyDescent="0.3">
      <c r="A57">
        <v>139</v>
      </c>
      <c r="B57" t="s">
        <v>5892</v>
      </c>
      <c r="C57" s="451">
        <v>46190</v>
      </c>
      <c r="D57" t="s">
        <v>594</v>
      </c>
      <c r="E57" t="s">
        <v>3905</v>
      </c>
      <c r="F57">
        <v>3543.8</v>
      </c>
      <c r="G57">
        <v>298.37</v>
      </c>
      <c r="H57">
        <v>3245.43</v>
      </c>
    </row>
    <row r="58" spans="1:8" x14ac:dyDescent="0.3">
      <c r="A58">
        <v>139</v>
      </c>
      <c r="B58" t="s">
        <v>5892</v>
      </c>
      <c r="C58" s="451">
        <v>46190</v>
      </c>
      <c r="D58" t="s">
        <v>594</v>
      </c>
      <c r="E58" t="s">
        <v>20</v>
      </c>
      <c r="F58">
        <v>310.38</v>
      </c>
      <c r="G58">
        <v>0</v>
      </c>
      <c r="H58">
        <v>310.38</v>
      </c>
    </row>
    <row r="59" spans="1:8" x14ac:dyDescent="0.3">
      <c r="A59">
        <v>139</v>
      </c>
      <c r="B59" t="s">
        <v>5892</v>
      </c>
      <c r="C59" s="451">
        <v>46190</v>
      </c>
      <c r="D59" t="s">
        <v>594</v>
      </c>
      <c r="E59" t="s">
        <v>3904</v>
      </c>
      <c r="F59">
        <v>8</v>
      </c>
      <c r="G59">
        <v>0.5</v>
      </c>
      <c r="H59">
        <v>7.5</v>
      </c>
    </row>
    <row r="60" spans="1:8" x14ac:dyDescent="0.3">
      <c r="A60">
        <v>139</v>
      </c>
      <c r="B60" t="s">
        <v>5892</v>
      </c>
      <c r="C60" s="451">
        <v>46189</v>
      </c>
      <c r="D60" t="s">
        <v>594</v>
      </c>
      <c r="E60" t="s">
        <v>3905</v>
      </c>
      <c r="F60">
        <v>1204.5999999999999</v>
      </c>
      <c r="G60">
        <v>118.56</v>
      </c>
      <c r="H60">
        <v>1086.04</v>
      </c>
    </row>
    <row r="61" spans="1:8" x14ac:dyDescent="0.3">
      <c r="A61">
        <v>139</v>
      </c>
      <c r="B61" t="s">
        <v>5892</v>
      </c>
      <c r="C61" s="451">
        <v>46189</v>
      </c>
      <c r="D61" t="s">
        <v>594</v>
      </c>
      <c r="E61" t="s">
        <v>20</v>
      </c>
      <c r="F61">
        <v>98.77</v>
      </c>
      <c r="G61">
        <v>0</v>
      </c>
      <c r="H61">
        <v>98.77</v>
      </c>
    </row>
    <row r="62" spans="1:8" x14ac:dyDescent="0.3">
      <c r="A62">
        <v>139</v>
      </c>
      <c r="B62" t="s">
        <v>5892</v>
      </c>
      <c r="C62" s="451">
        <v>46189</v>
      </c>
      <c r="D62" t="s">
        <v>594</v>
      </c>
      <c r="E62" t="s">
        <v>3904</v>
      </c>
      <c r="F62">
        <v>8</v>
      </c>
      <c r="G62">
        <v>0</v>
      </c>
      <c r="H62">
        <v>8</v>
      </c>
    </row>
    <row r="63" spans="1:8" x14ac:dyDescent="0.3">
      <c r="A63">
        <v>139</v>
      </c>
      <c r="B63" t="s">
        <v>5892</v>
      </c>
      <c r="C63" s="451">
        <v>46188</v>
      </c>
      <c r="D63" t="s">
        <v>594</v>
      </c>
      <c r="E63" t="s">
        <v>3905</v>
      </c>
      <c r="F63">
        <v>1635.4</v>
      </c>
      <c r="G63">
        <v>232.28</v>
      </c>
      <c r="H63">
        <v>1403.12</v>
      </c>
    </row>
    <row r="64" spans="1:8" x14ac:dyDescent="0.3">
      <c r="A64">
        <v>139</v>
      </c>
      <c r="B64" t="s">
        <v>5892</v>
      </c>
      <c r="C64" s="451">
        <v>46188</v>
      </c>
      <c r="D64" t="s">
        <v>594</v>
      </c>
      <c r="E64" t="s">
        <v>20</v>
      </c>
      <c r="F64">
        <v>176.55</v>
      </c>
      <c r="G64">
        <v>0</v>
      </c>
      <c r="H64">
        <v>176.55</v>
      </c>
    </row>
    <row r="65" spans="1:8" x14ac:dyDescent="0.3">
      <c r="A65">
        <v>139</v>
      </c>
      <c r="B65" t="s">
        <v>5892</v>
      </c>
      <c r="C65" s="451">
        <v>46188</v>
      </c>
      <c r="D65" t="s">
        <v>594</v>
      </c>
      <c r="E65" t="s">
        <v>3904</v>
      </c>
      <c r="F65">
        <v>8</v>
      </c>
      <c r="G65">
        <v>1.42</v>
      </c>
      <c r="H65">
        <v>6.58</v>
      </c>
    </row>
    <row r="66" spans="1:8" x14ac:dyDescent="0.3">
      <c r="A66">
        <v>139</v>
      </c>
      <c r="B66" t="s">
        <v>5892</v>
      </c>
      <c r="C66" s="451">
        <v>46187</v>
      </c>
      <c r="D66" t="s">
        <v>594</v>
      </c>
      <c r="E66" t="s">
        <v>3904</v>
      </c>
      <c r="F66">
        <v>112</v>
      </c>
      <c r="G66">
        <v>8.18</v>
      </c>
      <c r="H66">
        <v>103.82</v>
      </c>
    </row>
    <row r="67" spans="1:8" x14ac:dyDescent="0.3">
      <c r="A67">
        <v>139</v>
      </c>
      <c r="B67" t="s">
        <v>5892</v>
      </c>
      <c r="C67" s="451">
        <v>46187</v>
      </c>
      <c r="D67" t="s">
        <v>594</v>
      </c>
      <c r="E67" t="s">
        <v>3905</v>
      </c>
      <c r="F67">
        <v>6682.3</v>
      </c>
      <c r="G67">
        <v>439.06</v>
      </c>
      <c r="H67">
        <v>6243.24</v>
      </c>
    </row>
    <row r="68" spans="1:8" x14ac:dyDescent="0.3">
      <c r="A68">
        <v>139</v>
      </c>
      <c r="B68" t="s">
        <v>5892</v>
      </c>
      <c r="C68" s="451">
        <v>46187</v>
      </c>
      <c r="D68" t="s">
        <v>594</v>
      </c>
      <c r="E68" t="s">
        <v>20</v>
      </c>
      <c r="F68">
        <v>366.33</v>
      </c>
      <c r="G68">
        <v>0</v>
      </c>
      <c r="H68">
        <v>366.33</v>
      </c>
    </row>
    <row r="69" spans="1:8" x14ac:dyDescent="0.3">
      <c r="A69">
        <v>139</v>
      </c>
      <c r="B69" t="s">
        <v>5892</v>
      </c>
      <c r="C69" s="451">
        <v>46186</v>
      </c>
      <c r="D69" t="s">
        <v>594</v>
      </c>
      <c r="E69" t="s">
        <v>3905</v>
      </c>
      <c r="F69">
        <v>4850.1000000000004</v>
      </c>
      <c r="G69">
        <v>322.08999999999997</v>
      </c>
      <c r="H69">
        <v>4528.01</v>
      </c>
    </row>
    <row r="70" spans="1:8" x14ac:dyDescent="0.3">
      <c r="A70">
        <v>139</v>
      </c>
      <c r="B70" t="s">
        <v>5892</v>
      </c>
      <c r="C70" s="451">
        <v>46186</v>
      </c>
      <c r="D70" t="s">
        <v>594</v>
      </c>
      <c r="E70" t="s">
        <v>3904</v>
      </c>
      <c r="F70">
        <v>48</v>
      </c>
      <c r="G70">
        <v>3.65</v>
      </c>
      <c r="H70">
        <v>44.35</v>
      </c>
    </row>
    <row r="71" spans="1:8" x14ac:dyDescent="0.3">
      <c r="A71">
        <v>139</v>
      </c>
      <c r="B71" t="s">
        <v>5892</v>
      </c>
      <c r="C71" s="451">
        <v>46186</v>
      </c>
      <c r="D71" t="s">
        <v>594</v>
      </c>
      <c r="E71" t="s">
        <v>20</v>
      </c>
      <c r="F71">
        <v>269.52999999999997</v>
      </c>
      <c r="G71">
        <v>0</v>
      </c>
      <c r="H71">
        <v>269.52999999999997</v>
      </c>
    </row>
    <row r="72" spans="1:8" x14ac:dyDescent="0.3">
      <c r="A72">
        <v>139</v>
      </c>
      <c r="B72" t="s">
        <v>5892</v>
      </c>
      <c r="C72" s="451">
        <v>46185</v>
      </c>
      <c r="D72" t="s">
        <v>594</v>
      </c>
      <c r="E72" t="s">
        <v>3904</v>
      </c>
      <c r="F72">
        <v>32</v>
      </c>
      <c r="G72">
        <v>3.49</v>
      </c>
      <c r="H72">
        <v>28.51</v>
      </c>
    </row>
    <row r="73" spans="1:8" x14ac:dyDescent="0.3">
      <c r="A73">
        <v>139</v>
      </c>
      <c r="B73" t="s">
        <v>5892</v>
      </c>
      <c r="C73" s="451">
        <v>46185</v>
      </c>
      <c r="D73" t="s">
        <v>594</v>
      </c>
      <c r="E73" t="s">
        <v>3905</v>
      </c>
      <c r="F73">
        <v>3335.8</v>
      </c>
      <c r="G73">
        <v>331.36</v>
      </c>
      <c r="H73">
        <v>3004.44</v>
      </c>
    </row>
    <row r="74" spans="1:8" x14ac:dyDescent="0.3">
      <c r="A74">
        <v>139</v>
      </c>
      <c r="B74" t="s">
        <v>5892</v>
      </c>
      <c r="C74" s="451">
        <v>46185</v>
      </c>
      <c r="D74" t="s">
        <v>594</v>
      </c>
      <c r="E74" t="s">
        <v>20</v>
      </c>
      <c r="F74">
        <v>279.5</v>
      </c>
      <c r="G74">
        <v>0</v>
      </c>
      <c r="H74">
        <v>279.5</v>
      </c>
    </row>
    <row r="75" spans="1:8" x14ac:dyDescent="0.3">
      <c r="A75">
        <v>139</v>
      </c>
      <c r="B75" t="s">
        <v>5892</v>
      </c>
      <c r="C75" s="451">
        <v>46184</v>
      </c>
      <c r="D75" t="s">
        <v>594</v>
      </c>
      <c r="E75" t="s">
        <v>3905</v>
      </c>
      <c r="F75">
        <v>2043.1</v>
      </c>
      <c r="G75">
        <v>302.43</v>
      </c>
      <c r="H75">
        <v>1740.67</v>
      </c>
    </row>
    <row r="76" spans="1:8" x14ac:dyDescent="0.3">
      <c r="A76">
        <v>139</v>
      </c>
      <c r="B76" t="s">
        <v>5892</v>
      </c>
      <c r="C76" s="451">
        <v>46184</v>
      </c>
      <c r="D76" t="s">
        <v>594</v>
      </c>
      <c r="E76" t="s">
        <v>20</v>
      </c>
      <c r="F76">
        <v>185.54</v>
      </c>
      <c r="G76">
        <v>0</v>
      </c>
      <c r="H76">
        <v>185.54</v>
      </c>
    </row>
    <row r="77" spans="1:8" x14ac:dyDescent="0.3">
      <c r="A77">
        <v>139</v>
      </c>
      <c r="B77" t="s">
        <v>5892</v>
      </c>
      <c r="C77" s="451">
        <v>46183</v>
      </c>
      <c r="D77" t="s">
        <v>594</v>
      </c>
      <c r="E77" t="s">
        <v>3904</v>
      </c>
      <c r="F77">
        <v>16</v>
      </c>
      <c r="G77">
        <v>3.65</v>
      </c>
      <c r="H77">
        <v>12.35</v>
      </c>
    </row>
    <row r="78" spans="1:8" x14ac:dyDescent="0.3">
      <c r="A78">
        <v>139</v>
      </c>
      <c r="B78" t="s">
        <v>5892</v>
      </c>
      <c r="C78" s="451">
        <v>46183</v>
      </c>
      <c r="D78" t="s">
        <v>594</v>
      </c>
      <c r="E78" t="s">
        <v>3905</v>
      </c>
      <c r="F78">
        <v>1457.5</v>
      </c>
      <c r="G78">
        <v>191.36</v>
      </c>
      <c r="H78">
        <v>1266.1400000000001</v>
      </c>
    </row>
    <row r="79" spans="1:8" x14ac:dyDescent="0.3">
      <c r="A79">
        <v>139</v>
      </c>
      <c r="B79" t="s">
        <v>5892</v>
      </c>
      <c r="C79" s="451">
        <v>46183</v>
      </c>
      <c r="D79" t="s">
        <v>594</v>
      </c>
      <c r="E79" t="s">
        <v>20</v>
      </c>
      <c r="F79">
        <v>119.73</v>
      </c>
      <c r="G79">
        <v>0</v>
      </c>
      <c r="H79">
        <v>119.73</v>
      </c>
    </row>
    <row r="80" spans="1:8" x14ac:dyDescent="0.3">
      <c r="A80">
        <v>139</v>
      </c>
      <c r="B80" t="s">
        <v>5892</v>
      </c>
      <c r="C80" s="451">
        <v>46182</v>
      </c>
      <c r="D80" t="s">
        <v>594</v>
      </c>
      <c r="E80" t="s">
        <v>3905</v>
      </c>
      <c r="F80">
        <v>1224.9000000000001</v>
      </c>
      <c r="G80">
        <v>139.01</v>
      </c>
      <c r="H80">
        <v>1085.8900000000001</v>
      </c>
    </row>
    <row r="81" spans="1:8" x14ac:dyDescent="0.3">
      <c r="A81">
        <v>139</v>
      </c>
      <c r="B81" t="s">
        <v>5892</v>
      </c>
      <c r="C81" s="451">
        <v>46182</v>
      </c>
      <c r="D81" t="s">
        <v>594</v>
      </c>
      <c r="E81" t="s">
        <v>20</v>
      </c>
      <c r="F81">
        <v>73.8</v>
      </c>
      <c r="G81">
        <v>0</v>
      </c>
      <c r="H81">
        <v>73.8</v>
      </c>
    </row>
    <row r="82" spans="1:8" x14ac:dyDescent="0.3">
      <c r="A82">
        <v>139</v>
      </c>
      <c r="B82" t="s">
        <v>5892</v>
      </c>
      <c r="C82" s="451">
        <v>46182</v>
      </c>
      <c r="D82" t="s">
        <v>594</v>
      </c>
      <c r="E82" t="s">
        <v>3904</v>
      </c>
      <c r="F82">
        <v>35</v>
      </c>
      <c r="G82">
        <v>5</v>
      </c>
      <c r="H82">
        <v>30</v>
      </c>
    </row>
    <row r="83" spans="1:8" x14ac:dyDescent="0.3">
      <c r="A83">
        <v>139</v>
      </c>
      <c r="B83" t="s">
        <v>5892</v>
      </c>
      <c r="C83" s="451">
        <v>46181</v>
      </c>
      <c r="D83" t="s">
        <v>594</v>
      </c>
      <c r="E83" t="s">
        <v>3905</v>
      </c>
      <c r="F83">
        <v>722</v>
      </c>
      <c r="G83">
        <v>81.760000000000005</v>
      </c>
      <c r="H83">
        <v>640.24</v>
      </c>
    </row>
    <row r="84" spans="1:8" x14ac:dyDescent="0.3">
      <c r="A84">
        <v>139</v>
      </c>
      <c r="B84" t="s">
        <v>5892</v>
      </c>
      <c r="C84" s="451">
        <v>46181</v>
      </c>
      <c r="D84" t="s">
        <v>594</v>
      </c>
      <c r="E84" t="s">
        <v>20</v>
      </c>
      <c r="F84">
        <v>81.790000000000006</v>
      </c>
      <c r="G84">
        <v>0</v>
      </c>
      <c r="H84">
        <v>81.790000000000006</v>
      </c>
    </row>
    <row r="85" spans="1:8" x14ac:dyDescent="0.3">
      <c r="A85">
        <v>139</v>
      </c>
      <c r="B85" t="s">
        <v>5892</v>
      </c>
      <c r="C85" s="451">
        <v>46181</v>
      </c>
      <c r="D85" t="s">
        <v>594</v>
      </c>
      <c r="E85" t="s">
        <v>3904</v>
      </c>
      <c r="F85">
        <v>16</v>
      </c>
      <c r="G85">
        <v>1.4</v>
      </c>
      <c r="H85">
        <v>14.6</v>
      </c>
    </row>
    <row r="86" spans="1:8" x14ac:dyDescent="0.3">
      <c r="A86">
        <v>139</v>
      </c>
      <c r="B86" t="s">
        <v>5892</v>
      </c>
      <c r="C86" s="451">
        <v>46180</v>
      </c>
      <c r="D86" t="s">
        <v>594</v>
      </c>
      <c r="E86" t="s">
        <v>3905</v>
      </c>
      <c r="F86">
        <v>3727</v>
      </c>
      <c r="G86">
        <v>253.31</v>
      </c>
      <c r="H86">
        <v>3473.69</v>
      </c>
    </row>
    <row r="87" spans="1:8" x14ac:dyDescent="0.3">
      <c r="A87">
        <v>139</v>
      </c>
      <c r="B87" t="s">
        <v>5892</v>
      </c>
      <c r="C87" s="451">
        <v>46180</v>
      </c>
      <c r="D87" t="s">
        <v>594</v>
      </c>
      <c r="E87" t="s">
        <v>20</v>
      </c>
      <c r="F87">
        <v>206.99</v>
      </c>
      <c r="G87">
        <v>0</v>
      </c>
      <c r="H87">
        <v>206.99</v>
      </c>
    </row>
    <row r="88" spans="1:8" x14ac:dyDescent="0.3">
      <c r="A88">
        <v>139</v>
      </c>
      <c r="B88" t="s">
        <v>5892</v>
      </c>
      <c r="C88" s="451">
        <v>46180</v>
      </c>
      <c r="D88" t="s">
        <v>594</v>
      </c>
      <c r="E88" t="s">
        <v>3904</v>
      </c>
      <c r="F88">
        <v>8</v>
      </c>
      <c r="G88">
        <v>0.35</v>
      </c>
      <c r="H88">
        <v>7.65</v>
      </c>
    </row>
    <row r="89" spans="1:8" x14ac:dyDescent="0.3">
      <c r="A89">
        <v>139</v>
      </c>
      <c r="B89" t="s">
        <v>5892</v>
      </c>
      <c r="C89" s="451">
        <v>46179</v>
      </c>
      <c r="D89" t="s">
        <v>594</v>
      </c>
      <c r="E89" t="s">
        <v>3905</v>
      </c>
      <c r="F89">
        <v>3013</v>
      </c>
      <c r="G89">
        <v>249.56</v>
      </c>
      <c r="H89">
        <v>2763.44</v>
      </c>
    </row>
    <row r="90" spans="1:8" x14ac:dyDescent="0.3">
      <c r="A90">
        <v>139</v>
      </c>
      <c r="B90" t="s">
        <v>5892</v>
      </c>
      <c r="C90" s="451">
        <v>46179</v>
      </c>
      <c r="D90" t="s">
        <v>594</v>
      </c>
      <c r="E90" t="s">
        <v>20</v>
      </c>
      <c r="F90">
        <v>177.61</v>
      </c>
      <c r="G90">
        <v>0</v>
      </c>
      <c r="H90">
        <v>177.61</v>
      </c>
    </row>
    <row r="91" spans="1:8" x14ac:dyDescent="0.3">
      <c r="A91">
        <v>139</v>
      </c>
      <c r="B91" t="s">
        <v>5892</v>
      </c>
      <c r="C91" s="451">
        <v>46179</v>
      </c>
      <c r="D91" t="s">
        <v>594</v>
      </c>
      <c r="E91" t="s">
        <v>3904</v>
      </c>
      <c r="F91">
        <v>24</v>
      </c>
      <c r="G91">
        <v>2.2000000000000002</v>
      </c>
      <c r="H91">
        <v>21.8</v>
      </c>
    </row>
    <row r="92" spans="1:8" x14ac:dyDescent="0.3">
      <c r="A92">
        <v>139</v>
      </c>
      <c r="B92" t="s">
        <v>5892</v>
      </c>
      <c r="C92" s="451">
        <v>46178</v>
      </c>
      <c r="D92" t="s">
        <v>594</v>
      </c>
      <c r="E92" t="s">
        <v>3904</v>
      </c>
      <c r="F92">
        <v>18</v>
      </c>
      <c r="G92">
        <v>1.32</v>
      </c>
      <c r="H92">
        <v>16.68</v>
      </c>
    </row>
    <row r="93" spans="1:8" x14ac:dyDescent="0.3">
      <c r="A93">
        <v>139</v>
      </c>
      <c r="B93" t="s">
        <v>5892</v>
      </c>
      <c r="C93" s="451">
        <v>46178</v>
      </c>
      <c r="D93" t="s">
        <v>594</v>
      </c>
      <c r="E93" t="s">
        <v>3905</v>
      </c>
      <c r="F93">
        <v>1215</v>
      </c>
      <c r="G93">
        <v>139.66</v>
      </c>
      <c r="H93">
        <v>1075.3399999999999</v>
      </c>
    </row>
    <row r="94" spans="1:8" x14ac:dyDescent="0.3">
      <c r="A94">
        <v>139</v>
      </c>
      <c r="B94" t="s">
        <v>5892</v>
      </c>
      <c r="C94" s="451">
        <v>46178</v>
      </c>
      <c r="D94" t="s">
        <v>594</v>
      </c>
      <c r="E94" t="s">
        <v>20</v>
      </c>
      <c r="F94">
        <v>112.74</v>
      </c>
      <c r="G94">
        <v>0</v>
      </c>
      <c r="H94">
        <v>112.74</v>
      </c>
    </row>
    <row r="95" spans="1:8" x14ac:dyDescent="0.3">
      <c r="A95">
        <v>139</v>
      </c>
      <c r="B95" t="s">
        <v>5892</v>
      </c>
      <c r="C95" s="451">
        <v>46177</v>
      </c>
      <c r="D95" t="s">
        <v>594</v>
      </c>
      <c r="E95" t="s">
        <v>3905</v>
      </c>
      <c r="F95">
        <v>2898.8</v>
      </c>
      <c r="G95">
        <v>230.36</v>
      </c>
      <c r="H95">
        <v>2668.44</v>
      </c>
    </row>
    <row r="96" spans="1:8" x14ac:dyDescent="0.3">
      <c r="A96">
        <v>139</v>
      </c>
      <c r="B96" t="s">
        <v>5892</v>
      </c>
      <c r="C96" s="451">
        <v>46177</v>
      </c>
      <c r="D96" t="s">
        <v>594</v>
      </c>
      <c r="E96" t="s">
        <v>3904</v>
      </c>
      <c r="F96">
        <v>8</v>
      </c>
      <c r="G96">
        <v>0.53</v>
      </c>
      <c r="H96">
        <v>7.47</v>
      </c>
    </row>
    <row r="97" spans="1:8" x14ac:dyDescent="0.3">
      <c r="A97">
        <v>139</v>
      </c>
      <c r="B97" t="s">
        <v>5892</v>
      </c>
      <c r="C97" s="451">
        <v>46177</v>
      </c>
      <c r="D97" t="s">
        <v>594</v>
      </c>
      <c r="E97" t="s">
        <v>20</v>
      </c>
      <c r="F97">
        <v>187.65</v>
      </c>
      <c r="G97">
        <v>0</v>
      </c>
      <c r="H97">
        <v>187.65</v>
      </c>
    </row>
    <row r="98" spans="1:8" x14ac:dyDescent="0.3">
      <c r="A98">
        <v>139</v>
      </c>
      <c r="B98" t="s">
        <v>5892</v>
      </c>
      <c r="C98" s="451">
        <v>46176</v>
      </c>
      <c r="D98" t="s">
        <v>594</v>
      </c>
      <c r="E98" t="s">
        <v>3904</v>
      </c>
      <c r="F98">
        <v>72</v>
      </c>
      <c r="G98">
        <v>20.89</v>
      </c>
      <c r="H98">
        <v>51.11</v>
      </c>
    </row>
    <row r="99" spans="1:8" x14ac:dyDescent="0.3">
      <c r="A99">
        <v>139</v>
      </c>
      <c r="B99" t="s">
        <v>5892</v>
      </c>
      <c r="C99" s="451">
        <v>46176</v>
      </c>
      <c r="D99" t="s">
        <v>594</v>
      </c>
      <c r="E99" t="s">
        <v>3905</v>
      </c>
      <c r="F99">
        <v>1532.5</v>
      </c>
      <c r="G99">
        <v>155.65</v>
      </c>
      <c r="H99">
        <v>1376.85</v>
      </c>
    </row>
    <row r="100" spans="1:8" x14ac:dyDescent="0.3">
      <c r="A100">
        <v>139</v>
      </c>
      <c r="B100" t="s">
        <v>5892</v>
      </c>
      <c r="C100" s="451">
        <v>46176</v>
      </c>
      <c r="D100" t="s">
        <v>594</v>
      </c>
      <c r="E100" t="s">
        <v>20</v>
      </c>
      <c r="F100">
        <v>113.74</v>
      </c>
      <c r="G100">
        <v>0</v>
      </c>
      <c r="H100">
        <v>113.74</v>
      </c>
    </row>
    <row r="101" spans="1:8" x14ac:dyDescent="0.3">
      <c r="A101">
        <v>139</v>
      </c>
      <c r="B101" t="s">
        <v>5892</v>
      </c>
      <c r="C101" s="451">
        <v>46175</v>
      </c>
      <c r="D101" t="s">
        <v>594</v>
      </c>
      <c r="E101" t="s">
        <v>3904</v>
      </c>
      <c r="F101">
        <v>8</v>
      </c>
      <c r="G101">
        <v>1.99</v>
      </c>
      <c r="H101">
        <v>6.01</v>
      </c>
    </row>
    <row r="102" spans="1:8" x14ac:dyDescent="0.3">
      <c r="A102">
        <v>139</v>
      </c>
      <c r="B102" t="s">
        <v>5892</v>
      </c>
      <c r="C102" s="451">
        <v>46175</v>
      </c>
      <c r="D102" t="s">
        <v>594</v>
      </c>
      <c r="E102" t="s">
        <v>3905</v>
      </c>
      <c r="F102">
        <v>370.4</v>
      </c>
      <c r="G102">
        <v>74.39</v>
      </c>
      <c r="H102">
        <v>296.01</v>
      </c>
    </row>
    <row r="103" spans="1:8" x14ac:dyDescent="0.3">
      <c r="A103">
        <v>139</v>
      </c>
      <c r="B103" t="s">
        <v>5892</v>
      </c>
      <c r="C103" s="451">
        <v>46175</v>
      </c>
      <c r="D103" t="s">
        <v>594</v>
      </c>
      <c r="E103" t="s">
        <v>20</v>
      </c>
      <c r="F103">
        <v>35.89</v>
      </c>
      <c r="G103">
        <v>0</v>
      </c>
      <c r="H103">
        <v>35.89</v>
      </c>
    </row>
    <row r="104" spans="1:8" x14ac:dyDescent="0.3">
      <c r="A104">
        <v>139</v>
      </c>
      <c r="B104" t="s">
        <v>5892</v>
      </c>
      <c r="C104" s="451">
        <v>46174</v>
      </c>
      <c r="D104" t="s">
        <v>594</v>
      </c>
      <c r="E104" t="s">
        <v>3905</v>
      </c>
      <c r="F104">
        <v>866.4</v>
      </c>
      <c r="G104">
        <v>98.35</v>
      </c>
      <c r="H104">
        <v>768.05</v>
      </c>
    </row>
    <row r="105" spans="1:8" x14ac:dyDescent="0.3">
      <c r="A105">
        <v>139</v>
      </c>
      <c r="B105" t="s">
        <v>5892</v>
      </c>
      <c r="C105" s="451">
        <v>46174</v>
      </c>
      <c r="D105" t="s">
        <v>594</v>
      </c>
      <c r="E105" t="s">
        <v>3904</v>
      </c>
      <c r="F105">
        <v>8</v>
      </c>
      <c r="G105">
        <v>2.0099999999999998</v>
      </c>
      <c r="H105">
        <v>5.99</v>
      </c>
    </row>
    <row r="106" spans="1:8" x14ac:dyDescent="0.3">
      <c r="A106">
        <v>139</v>
      </c>
      <c r="B106" t="s">
        <v>5892</v>
      </c>
      <c r="C106" s="451">
        <v>46174</v>
      </c>
      <c r="D106" t="s">
        <v>594</v>
      </c>
      <c r="E106" t="s">
        <v>20</v>
      </c>
      <c r="F106">
        <v>75.33</v>
      </c>
      <c r="G106">
        <v>0</v>
      </c>
      <c r="H106">
        <v>75.33</v>
      </c>
    </row>
    <row r="107" spans="1:8" x14ac:dyDescent="0.3">
      <c r="A107">
        <v>139</v>
      </c>
      <c r="B107" t="s">
        <v>5892</v>
      </c>
      <c r="C107" s="451">
        <v>46173</v>
      </c>
      <c r="D107" t="s">
        <v>592</v>
      </c>
      <c r="E107" t="s">
        <v>3904</v>
      </c>
      <c r="F107">
        <v>40</v>
      </c>
      <c r="G107">
        <v>3.18</v>
      </c>
      <c r="H107">
        <v>36.82</v>
      </c>
    </row>
    <row r="108" spans="1:8" x14ac:dyDescent="0.3">
      <c r="A108">
        <v>139</v>
      </c>
      <c r="B108" t="s">
        <v>5892</v>
      </c>
      <c r="C108" s="451">
        <v>46173</v>
      </c>
      <c r="D108" t="s">
        <v>592</v>
      </c>
      <c r="E108" t="s">
        <v>3905</v>
      </c>
      <c r="F108">
        <v>4098</v>
      </c>
      <c r="G108">
        <v>252.5</v>
      </c>
      <c r="H108">
        <v>3845.5</v>
      </c>
    </row>
    <row r="109" spans="1:8" x14ac:dyDescent="0.3">
      <c r="A109">
        <v>139</v>
      </c>
      <c r="B109" t="s">
        <v>5892</v>
      </c>
      <c r="C109" s="451">
        <v>46173</v>
      </c>
      <c r="D109" t="s">
        <v>592</v>
      </c>
      <c r="E109" t="s">
        <v>20</v>
      </c>
      <c r="F109">
        <v>192.58</v>
      </c>
      <c r="G109">
        <v>0</v>
      </c>
      <c r="H109">
        <v>192.58</v>
      </c>
    </row>
    <row r="110" spans="1:8" x14ac:dyDescent="0.3">
      <c r="A110">
        <v>139</v>
      </c>
      <c r="B110" t="s">
        <v>5892</v>
      </c>
      <c r="C110" s="451">
        <v>46172</v>
      </c>
      <c r="D110" t="s">
        <v>592</v>
      </c>
      <c r="E110" t="s">
        <v>3904</v>
      </c>
      <c r="F110">
        <v>64</v>
      </c>
      <c r="G110">
        <v>4.37</v>
      </c>
      <c r="H110">
        <v>59.63</v>
      </c>
    </row>
    <row r="111" spans="1:8" x14ac:dyDescent="0.3">
      <c r="A111">
        <v>139</v>
      </c>
      <c r="B111" t="s">
        <v>5892</v>
      </c>
      <c r="C111" s="451">
        <v>46172</v>
      </c>
      <c r="D111" t="s">
        <v>592</v>
      </c>
      <c r="E111" t="s">
        <v>3905</v>
      </c>
      <c r="F111">
        <v>3715</v>
      </c>
      <c r="G111">
        <v>253.52</v>
      </c>
      <c r="H111">
        <v>3461.48</v>
      </c>
    </row>
    <row r="112" spans="1:8" x14ac:dyDescent="0.3">
      <c r="A112">
        <v>139</v>
      </c>
      <c r="B112" t="s">
        <v>5892</v>
      </c>
      <c r="C112" s="451">
        <v>46172</v>
      </c>
      <c r="D112" t="s">
        <v>592</v>
      </c>
      <c r="E112" t="s">
        <v>20</v>
      </c>
      <c r="F112">
        <v>156.66</v>
      </c>
      <c r="G112">
        <v>0</v>
      </c>
      <c r="H112">
        <v>156.66</v>
      </c>
    </row>
    <row r="113" spans="1:8" x14ac:dyDescent="0.3">
      <c r="A113">
        <v>139</v>
      </c>
      <c r="B113" t="s">
        <v>5892</v>
      </c>
      <c r="C113" s="451">
        <v>46171</v>
      </c>
      <c r="D113" t="s">
        <v>592</v>
      </c>
      <c r="E113" t="s">
        <v>3905</v>
      </c>
      <c r="F113">
        <v>2622.8</v>
      </c>
      <c r="G113">
        <v>290.06</v>
      </c>
      <c r="H113">
        <v>2332.7399999999998</v>
      </c>
    </row>
    <row r="114" spans="1:8" x14ac:dyDescent="0.3">
      <c r="A114">
        <v>139</v>
      </c>
      <c r="B114" t="s">
        <v>5892</v>
      </c>
      <c r="C114" s="451">
        <v>46171</v>
      </c>
      <c r="D114" t="s">
        <v>592</v>
      </c>
      <c r="E114" t="s">
        <v>3904</v>
      </c>
      <c r="F114">
        <v>8</v>
      </c>
      <c r="G114">
        <v>2</v>
      </c>
      <c r="H114">
        <v>6</v>
      </c>
    </row>
    <row r="115" spans="1:8" x14ac:dyDescent="0.3">
      <c r="A115">
        <v>139</v>
      </c>
      <c r="B115" t="s">
        <v>5892</v>
      </c>
      <c r="C115" s="451">
        <v>46171</v>
      </c>
      <c r="D115" t="s">
        <v>592</v>
      </c>
      <c r="E115" t="s">
        <v>20</v>
      </c>
      <c r="F115">
        <v>129.61000000000001</v>
      </c>
      <c r="G115">
        <v>0</v>
      </c>
      <c r="H115">
        <v>129.61000000000001</v>
      </c>
    </row>
    <row r="116" spans="1:8" x14ac:dyDescent="0.3">
      <c r="A116">
        <v>139</v>
      </c>
      <c r="B116" t="s">
        <v>5892</v>
      </c>
      <c r="C116" s="451">
        <v>46170</v>
      </c>
      <c r="D116" t="s">
        <v>592</v>
      </c>
      <c r="E116" t="s">
        <v>3905</v>
      </c>
      <c r="F116">
        <v>1247.3</v>
      </c>
      <c r="G116">
        <v>139.31</v>
      </c>
      <c r="H116">
        <v>1107.99</v>
      </c>
    </row>
    <row r="117" spans="1:8" x14ac:dyDescent="0.3">
      <c r="A117">
        <v>139</v>
      </c>
      <c r="B117" t="s">
        <v>5892</v>
      </c>
      <c r="C117" s="451">
        <v>46170</v>
      </c>
      <c r="D117" t="s">
        <v>592</v>
      </c>
      <c r="E117" t="s">
        <v>20</v>
      </c>
      <c r="F117">
        <v>90.77</v>
      </c>
      <c r="G117">
        <v>0</v>
      </c>
      <c r="H117">
        <v>90.77</v>
      </c>
    </row>
    <row r="118" spans="1:8" x14ac:dyDescent="0.3">
      <c r="A118">
        <v>139</v>
      </c>
      <c r="B118" t="s">
        <v>5892</v>
      </c>
      <c r="C118" s="451">
        <v>46169</v>
      </c>
      <c r="D118" t="s">
        <v>592</v>
      </c>
      <c r="E118" t="s">
        <v>3904</v>
      </c>
      <c r="F118">
        <v>8</v>
      </c>
      <c r="G118">
        <v>1.99</v>
      </c>
      <c r="H118">
        <v>6.01</v>
      </c>
    </row>
    <row r="119" spans="1:8" x14ac:dyDescent="0.3">
      <c r="A119">
        <v>139</v>
      </c>
      <c r="B119" t="s">
        <v>5892</v>
      </c>
      <c r="C119" s="451">
        <v>46169</v>
      </c>
      <c r="D119" t="s">
        <v>592</v>
      </c>
      <c r="E119" t="s">
        <v>3905</v>
      </c>
      <c r="F119">
        <v>1958.2</v>
      </c>
      <c r="G119">
        <v>213.04</v>
      </c>
      <c r="H119">
        <v>1745.16</v>
      </c>
    </row>
    <row r="120" spans="1:8" x14ac:dyDescent="0.3">
      <c r="A120">
        <v>139</v>
      </c>
      <c r="B120" t="s">
        <v>5892</v>
      </c>
      <c r="C120" s="451">
        <v>46169</v>
      </c>
      <c r="D120" t="s">
        <v>592</v>
      </c>
      <c r="E120" t="s">
        <v>20</v>
      </c>
      <c r="F120">
        <v>114.69</v>
      </c>
      <c r="G120">
        <v>0</v>
      </c>
      <c r="H120">
        <v>114.69</v>
      </c>
    </row>
    <row r="121" spans="1:8" x14ac:dyDescent="0.3">
      <c r="A121">
        <v>139</v>
      </c>
      <c r="B121" t="s">
        <v>5892</v>
      </c>
      <c r="C121" s="451">
        <v>46168</v>
      </c>
      <c r="D121" t="s">
        <v>592</v>
      </c>
      <c r="E121" t="s">
        <v>3904</v>
      </c>
      <c r="F121">
        <v>8</v>
      </c>
      <c r="G121">
        <v>0.89</v>
      </c>
      <c r="H121">
        <v>7.11</v>
      </c>
    </row>
    <row r="122" spans="1:8" x14ac:dyDescent="0.3">
      <c r="A122">
        <v>139</v>
      </c>
      <c r="B122" t="s">
        <v>5892</v>
      </c>
      <c r="C122" s="451">
        <v>46168</v>
      </c>
      <c r="D122" t="s">
        <v>592</v>
      </c>
      <c r="E122" t="s">
        <v>3905</v>
      </c>
      <c r="F122">
        <v>875.3</v>
      </c>
      <c r="G122">
        <v>111.84</v>
      </c>
      <c r="H122">
        <v>763.46</v>
      </c>
    </row>
    <row r="123" spans="1:8" x14ac:dyDescent="0.3">
      <c r="A123">
        <v>139</v>
      </c>
      <c r="B123" t="s">
        <v>5892</v>
      </c>
      <c r="C123" s="451">
        <v>46168</v>
      </c>
      <c r="D123" t="s">
        <v>592</v>
      </c>
      <c r="E123" t="s">
        <v>20</v>
      </c>
      <c r="F123">
        <v>51.83</v>
      </c>
      <c r="G123">
        <v>0</v>
      </c>
      <c r="H123">
        <v>51.83</v>
      </c>
    </row>
    <row r="124" spans="1:8" x14ac:dyDescent="0.3">
      <c r="A124">
        <v>139</v>
      </c>
      <c r="B124" t="s">
        <v>5892</v>
      </c>
      <c r="C124" s="451">
        <v>46167</v>
      </c>
      <c r="D124" t="s">
        <v>592</v>
      </c>
      <c r="E124" t="s">
        <v>3905</v>
      </c>
      <c r="F124">
        <v>816.4</v>
      </c>
      <c r="G124">
        <v>124.13</v>
      </c>
      <c r="H124">
        <v>692.27</v>
      </c>
    </row>
    <row r="125" spans="1:8" x14ac:dyDescent="0.3">
      <c r="A125">
        <v>139</v>
      </c>
      <c r="B125" t="s">
        <v>5892</v>
      </c>
      <c r="C125" s="451">
        <v>46167</v>
      </c>
      <c r="D125" t="s">
        <v>592</v>
      </c>
      <c r="E125" t="s">
        <v>20</v>
      </c>
      <c r="F125">
        <v>76.739999999999995</v>
      </c>
      <c r="G125">
        <v>0</v>
      </c>
      <c r="H125">
        <v>76.739999999999995</v>
      </c>
    </row>
    <row r="126" spans="1:8" x14ac:dyDescent="0.3">
      <c r="A126">
        <v>139</v>
      </c>
      <c r="B126" t="s">
        <v>5892</v>
      </c>
      <c r="C126" s="451">
        <v>46167</v>
      </c>
      <c r="D126" t="s">
        <v>592</v>
      </c>
      <c r="E126" t="s">
        <v>3904</v>
      </c>
      <c r="F126">
        <v>8</v>
      </c>
      <c r="G126">
        <v>1.66</v>
      </c>
      <c r="H126">
        <v>6.34</v>
      </c>
    </row>
    <row r="127" spans="1:8" x14ac:dyDescent="0.3">
      <c r="A127">
        <v>139</v>
      </c>
      <c r="B127" t="s">
        <v>5892</v>
      </c>
      <c r="C127" s="451">
        <v>46166</v>
      </c>
      <c r="D127" t="s">
        <v>592</v>
      </c>
      <c r="E127" t="s">
        <v>3904</v>
      </c>
      <c r="F127">
        <v>24</v>
      </c>
      <c r="G127">
        <v>1.36</v>
      </c>
      <c r="H127">
        <v>22.64</v>
      </c>
    </row>
    <row r="128" spans="1:8" x14ac:dyDescent="0.3">
      <c r="A128">
        <v>139</v>
      </c>
      <c r="B128" t="s">
        <v>5892</v>
      </c>
      <c r="C128" s="451">
        <v>46166</v>
      </c>
      <c r="D128" t="s">
        <v>592</v>
      </c>
      <c r="E128" t="s">
        <v>3905</v>
      </c>
      <c r="F128">
        <v>5642</v>
      </c>
      <c r="G128">
        <v>292.82</v>
      </c>
      <c r="H128">
        <v>5349.18</v>
      </c>
    </row>
    <row r="129" spans="1:8" x14ac:dyDescent="0.3">
      <c r="A129">
        <v>139</v>
      </c>
      <c r="B129" t="s">
        <v>5892</v>
      </c>
      <c r="C129" s="451">
        <v>46166</v>
      </c>
      <c r="D129" t="s">
        <v>592</v>
      </c>
      <c r="E129" t="s">
        <v>20</v>
      </c>
      <c r="F129">
        <v>184.6</v>
      </c>
      <c r="G129">
        <v>0</v>
      </c>
      <c r="H129">
        <v>184.6</v>
      </c>
    </row>
    <row r="130" spans="1:8" x14ac:dyDescent="0.3">
      <c r="A130">
        <v>139</v>
      </c>
      <c r="B130" t="s">
        <v>5892</v>
      </c>
      <c r="C130" s="451">
        <v>46165</v>
      </c>
      <c r="D130" t="s">
        <v>592</v>
      </c>
      <c r="E130" t="s">
        <v>3905</v>
      </c>
      <c r="F130">
        <v>5504</v>
      </c>
      <c r="G130">
        <v>375.03</v>
      </c>
      <c r="H130">
        <v>5128.97</v>
      </c>
    </row>
    <row r="131" spans="1:8" x14ac:dyDescent="0.3">
      <c r="A131">
        <v>139</v>
      </c>
      <c r="B131" t="s">
        <v>5892</v>
      </c>
      <c r="C131" s="451">
        <v>46165</v>
      </c>
      <c r="D131" t="s">
        <v>592</v>
      </c>
      <c r="E131" t="s">
        <v>20</v>
      </c>
      <c r="F131">
        <v>253.73</v>
      </c>
      <c r="G131">
        <v>0</v>
      </c>
      <c r="H131">
        <v>253.73</v>
      </c>
    </row>
    <row r="132" spans="1:8" x14ac:dyDescent="0.3">
      <c r="A132">
        <v>139</v>
      </c>
      <c r="B132" t="s">
        <v>5892</v>
      </c>
      <c r="C132" s="451">
        <v>46165</v>
      </c>
      <c r="D132" t="s">
        <v>592</v>
      </c>
      <c r="E132" t="s">
        <v>3904</v>
      </c>
      <c r="F132">
        <v>24</v>
      </c>
      <c r="G132">
        <v>1.5</v>
      </c>
      <c r="H132">
        <v>22.5</v>
      </c>
    </row>
    <row r="133" spans="1:8" x14ac:dyDescent="0.3">
      <c r="A133">
        <v>139</v>
      </c>
      <c r="B133" t="s">
        <v>5892</v>
      </c>
      <c r="C133" s="451">
        <v>46164</v>
      </c>
      <c r="D133" t="s">
        <v>592</v>
      </c>
      <c r="E133" t="s">
        <v>3904</v>
      </c>
      <c r="F133">
        <v>8</v>
      </c>
      <c r="G133">
        <v>0.51</v>
      </c>
      <c r="H133">
        <v>7.49</v>
      </c>
    </row>
    <row r="134" spans="1:8" x14ac:dyDescent="0.3">
      <c r="A134">
        <v>139</v>
      </c>
      <c r="B134" t="s">
        <v>5892</v>
      </c>
      <c r="C134" s="451">
        <v>46164</v>
      </c>
      <c r="D134" t="s">
        <v>592</v>
      </c>
      <c r="E134" t="s">
        <v>3905</v>
      </c>
      <c r="F134">
        <v>1779.3</v>
      </c>
      <c r="G134">
        <v>172.32</v>
      </c>
      <c r="H134">
        <v>1606.98</v>
      </c>
    </row>
    <row r="135" spans="1:8" x14ac:dyDescent="0.3">
      <c r="A135">
        <v>139</v>
      </c>
      <c r="B135" t="s">
        <v>5892</v>
      </c>
      <c r="C135" s="451">
        <v>46164</v>
      </c>
      <c r="D135" t="s">
        <v>592</v>
      </c>
      <c r="E135" t="s">
        <v>20</v>
      </c>
      <c r="F135">
        <v>137.72</v>
      </c>
      <c r="G135">
        <v>0</v>
      </c>
      <c r="H135">
        <v>137.72</v>
      </c>
    </row>
    <row r="136" spans="1:8" x14ac:dyDescent="0.3">
      <c r="A136">
        <v>139</v>
      </c>
      <c r="B136" t="s">
        <v>5892</v>
      </c>
      <c r="C136" s="451">
        <v>46163</v>
      </c>
      <c r="D136" t="s">
        <v>592</v>
      </c>
      <c r="E136" t="s">
        <v>3905</v>
      </c>
      <c r="F136">
        <v>2581.6</v>
      </c>
      <c r="G136">
        <v>224.33</v>
      </c>
      <c r="H136">
        <v>2357.27</v>
      </c>
    </row>
    <row r="137" spans="1:8" x14ac:dyDescent="0.3">
      <c r="A137">
        <v>139</v>
      </c>
      <c r="B137" t="s">
        <v>5892</v>
      </c>
      <c r="C137" s="451">
        <v>46163</v>
      </c>
      <c r="D137" t="s">
        <v>592</v>
      </c>
      <c r="E137" t="s">
        <v>20</v>
      </c>
      <c r="F137">
        <v>161.59</v>
      </c>
      <c r="G137">
        <v>0</v>
      </c>
      <c r="H137">
        <v>161.59</v>
      </c>
    </row>
    <row r="138" spans="1:8" x14ac:dyDescent="0.3">
      <c r="A138">
        <v>139</v>
      </c>
      <c r="B138" t="s">
        <v>5892</v>
      </c>
      <c r="C138" s="451">
        <v>46163</v>
      </c>
      <c r="D138" t="s">
        <v>592</v>
      </c>
      <c r="E138" t="s">
        <v>3904</v>
      </c>
      <c r="F138">
        <v>8</v>
      </c>
      <c r="G138">
        <v>1.43</v>
      </c>
      <c r="H138">
        <v>6.57</v>
      </c>
    </row>
    <row r="139" spans="1:8" x14ac:dyDescent="0.3">
      <c r="A139">
        <v>139</v>
      </c>
      <c r="B139" t="s">
        <v>5892</v>
      </c>
      <c r="C139" s="451">
        <v>46162</v>
      </c>
      <c r="D139" t="s">
        <v>592</v>
      </c>
      <c r="E139" t="s">
        <v>3905</v>
      </c>
      <c r="F139">
        <v>3585</v>
      </c>
      <c r="G139">
        <v>126.55</v>
      </c>
      <c r="H139">
        <v>3458.45</v>
      </c>
    </row>
    <row r="140" spans="1:8" x14ac:dyDescent="0.3">
      <c r="A140">
        <v>139</v>
      </c>
      <c r="B140" t="s">
        <v>5892</v>
      </c>
      <c r="C140" s="451">
        <v>46162</v>
      </c>
      <c r="D140" t="s">
        <v>592</v>
      </c>
      <c r="E140" t="s">
        <v>20</v>
      </c>
      <c r="F140">
        <v>157.61000000000001</v>
      </c>
      <c r="G140">
        <v>0</v>
      </c>
      <c r="H140">
        <v>157.61000000000001</v>
      </c>
    </row>
    <row r="141" spans="1:8" x14ac:dyDescent="0.3">
      <c r="A141">
        <v>139</v>
      </c>
      <c r="B141" t="s">
        <v>5892</v>
      </c>
      <c r="C141" s="451">
        <v>46162</v>
      </c>
      <c r="D141" t="s">
        <v>592</v>
      </c>
      <c r="E141" t="s">
        <v>3904</v>
      </c>
      <c r="F141">
        <v>8</v>
      </c>
      <c r="G141">
        <v>0</v>
      </c>
      <c r="H141">
        <v>8</v>
      </c>
    </row>
    <row r="142" spans="1:8" x14ac:dyDescent="0.3">
      <c r="A142">
        <v>139</v>
      </c>
      <c r="B142" t="s">
        <v>5892</v>
      </c>
      <c r="C142" s="451">
        <v>46161</v>
      </c>
      <c r="D142" t="s">
        <v>592</v>
      </c>
      <c r="E142" t="s">
        <v>3905</v>
      </c>
      <c r="F142">
        <v>1562.4</v>
      </c>
      <c r="G142">
        <v>129.77000000000001</v>
      </c>
      <c r="H142">
        <v>1432.63</v>
      </c>
    </row>
    <row r="143" spans="1:8" x14ac:dyDescent="0.3">
      <c r="A143">
        <v>139</v>
      </c>
      <c r="B143" t="s">
        <v>5892</v>
      </c>
      <c r="C143" s="451">
        <v>46161</v>
      </c>
      <c r="D143" t="s">
        <v>592</v>
      </c>
      <c r="E143" t="s">
        <v>20</v>
      </c>
      <c r="F143">
        <v>90.74</v>
      </c>
      <c r="G143">
        <v>0</v>
      </c>
      <c r="H143">
        <v>90.74</v>
      </c>
    </row>
    <row r="144" spans="1:8" x14ac:dyDescent="0.3">
      <c r="A144">
        <v>139</v>
      </c>
      <c r="B144" t="s">
        <v>5892</v>
      </c>
      <c r="C144" s="451">
        <v>46161</v>
      </c>
      <c r="D144" t="s">
        <v>592</v>
      </c>
      <c r="E144" t="s">
        <v>3904</v>
      </c>
      <c r="F144">
        <v>24</v>
      </c>
      <c r="G144">
        <v>1.61</v>
      </c>
      <c r="H144">
        <v>22.39</v>
      </c>
    </row>
    <row r="145" spans="1:8" x14ac:dyDescent="0.3">
      <c r="A145">
        <v>139</v>
      </c>
      <c r="B145" t="s">
        <v>5892</v>
      </c>
      <c r="C145" s="451">
        <v>46160</v>
      </c>
      <c r="D145" t="s">
        <v>592</v>
      </c>
      <c r="E145" t="s">
        <v>3905</v>
      </c>
      <c r="F145">
        <v>1075</v>
      </c>
      <c r="G145">
        <v>99.95</v>
      </c>
      <c r="H145">
        <v>975.05</v>
      </c>
    </row>
    <row r="146" spans="1:8" x14ac:dyDescent="0.3">
      <c r="A146">
        <v>139</v>
      </c>
      <c r="B146" t="s">
        <v>5892</v>
      </c>
      <c r="C146" s="451">
        <v>46160</v>
      </c>
      <c r="D146" t="s">
        <v>592</v>
      </c>
      <c r="E146" t="s">
        <v>20</v>
      </c>
      <c r="F146">
        <v>84.83</v>
      </c>
      <c r="G146">
        <v>0</v>
      </c>
      <c r="H146">
        <v>84.83</v>
      </c>
    </row>
    <row r="147" spans="1:8" x14ac:dyDescent="0.3">
      <c r="A147">
        <v>139</v>
      </c>
      <c r="B147" t="s">
        <v>5892</v>
      </c>
      <c r="C147" s="451">
        <v>46159</v>
      </c>
      <c r="D147" t="s">
        <v>592</v>
      </c>
      <c r="E147" t="s">
        <v>3904</v>
      </c>
      <c r="F147">
        <v>74</v>
      </c>
      <c r="G147">
        <v>7.52</v>
      </c>
      <c r="H147">
        <v>66.48</v>
      </c>
    </row>
    <row r="148" spans="1:8" x14ac:dyDescent="0.3">
      <c r="A148">
        <v>139</v>
      </c>
      <c r="B148" t="s">
        <v>5892</v>
      </c>
      <c r="C148" s="451">
        <v>46159</v>
      </c>
      <c r="D148" t="s">
        <v>592</v>
      </c>
      <c r="E148" t="s">
        <v>3905</v>
      </c>
      <c r="F148">
        <v>4961</v>
      </c>
      <c r="G148">
        <v>245.74</v>
      </c>
      <c r="H148">
        <v>4715.26</v>
      </c>
    </row>
    <row r="149" spans="1:8" x14ac:dyDescent="0.3">
      <c r="A149">
        <v>139</v>
      </c>
      <c r="B149" t="s">
        <v>5892</v>
      </c>
      <c r="C149" s="451">
        <v>46159</v>
      </c>
      <c r="D149" t="s">
        <v>592</v>
      </c>
      <c r="E149" t="s">
        <v>20</v>
      </c>
      <c r="F149">
        <v>298.45999999999998</v>
      </c>
      <c r="G149">
        <v>0</v>
      </c>
      <c r="H149">
        <v>298.45999999999998</v>
      </c>
    </row>
    <row r="150" spans="1:8" x14ac:dyDescent="0.3">
      <c r="A150">
        <v>139</v>
      </c>
      <c r="B150" t="s">
        <v>5892</v>
      </c>
      <c r="C150" s="451">
        <v>46158</v>
      </c>
      <c r="D150" t="s">
        <v>592</v>
      </c>
      <c r="E150" t="s">
        <v>3904</v>
      </c>
      <c r="F150">
        <v>32</v>
      </c>
      <c r="G150">
        <v>2.4500000000000002</v>
      </c>
      <c r="H150">
        <v>29.55</v>
      </c>
    </row>
    <row r="151" spans="1:8" x14ac:dyDescent="0.3">
      <c r="A151">
        <v>139</v>
      </c>
      <c r="B151" t="s">
        <v>5892</v>
      </c>
      <c r="C151" s="451">
        <v>46158</v>
      </c>
      <c r="D151" t="s">
        <v>592</v>
      </c>
      <c r="E151" t="s">
        <v>3905</v>
      </c>
      <c r="F151">
        <v>3466</v>
      </c>
      <c r="G151">
        <v>203.41</v>
      </c>
      <c r="H151">
        <v>3262.59</v>
      </c>
    </row>
    <row r="152" spans="1:8" x14ac:dyDescent="0.3">
      <c r="A152">
        <v>139</v>
      </c>
      <c r="B152" t="s">
        <v>5892</v>
      </c>
      <c r="C152" s="451">
        <v>46158</v>
      </c>
      <c r="D152" t="s">
        <v>592</v>
      </c>
      <c r="E152" t="s">
        <v>20</v>
      </c>
      <c r="F152">
        <v>146.66999999999999</v>
      </c>
      <c r="G152">
        <v>0</v>
      </c>
      <c r="H152">
        <v>146.66999999999999</v>
      </c>
    </row>
    <row r="153" spans="1:8" x14ac:dyDescent="0.3">
      <c r="A153">
        <v>139</v>
      </c>
      <c r="B153" t="s">
        <v>5892</v>
      </c>
      <c r="C153" s="451">
        <v>46157</v>
      </c>
      <c r="D153" t="s">
        <v>592</v>
      </c>
      <c r="E153" t="s">
        <v>3905</v>
      </c>
      <c r="F153">
        <v>2887.8</v>
      </c>
      <c r="G153">
        <v>158.41999999999999</v>
      </c>
      <c r="H153">
        <v>2729.38</v>
      </c>
    </row>
    <row r="154" spans="1:8" x14ac:dyDescent="0.3">
      <c r="A154">
        <v>139</v>
      </c>
      <c r="B154" t="s">
        <v>5892</v>
      </c>
      <c r="C154" s="451">
        <v>46157</v>
      </c>
      <c r="D154" t="s">
        <v>592</v>
      </c>
      <c r="E154" t="s">
        <v>20</v>
      </c>
      <c r="F154">
        <v>139.63999999999999</v>
      </c>
      <c r="G154">
        <v>0</v>
      </c>
      <c r="H154">
        <v>139.63999999999999</v>
      </c>
    </row>
    <row r="155" spans="1:8" x14ac:dyDescent="0.3">
      <c r="A155">
        <v>139</v>
      </c>
      <c r="B155" t="s">
        <v>5892</v>
      </c>
      <c r="C155" s="451">
        <v>46156</v>
      </c>
      <c r="D155" t="s">
        <v>592</v>
      </c>
      <c r="E155" t="s">
        <v>3905</v>
      </c>
      <c r="F155">
        <v>1385</v>
      </c>
      <c r="G155">
        <v>144.88</v>
      </c>
      <c r="H155">
        <v>1240.1199999999999</v>
      </c>
    </row>
    <row r="156" spans="1:8" x14ac:dyDescent="0.3">
      <c r="A156">
        <v>139</v>
      </c>
      <c r="B156" t="s">
        <v>5892</v>
      </c>
      <c r="C156" s="451">
        <v>46156</v>
      </c>
      <c r="D156" t="s">
        <v>592</v>
      </c>
      <c r="E156" t="s">
        <v>20</v>
      </c>
      <c r="F156">
        <v>90.79</v>
      </c>
      <c r="G156">
        <v>0</v>
      </c>
      <c r="H156">
        <v>90.79</v>
      </c>
    </row>
    <row r="157" spans="1:8" x14ac:dyDescent="0.3">
      <c r="A157">
        <v>139</v>
      </c>
      <c r="B157" t="s">
        <v>5892</v>
      </c>
      <c r="C157" s="451">
        <v>46155</v>
      </c>
      <c r="D157" t="s">
        <v>592</v>
      </c>
      <c r="E157" t="s">
        <v>3905</v>
      </c>
      <c r="F157">
        <v>1655.2</v>
      </c>
      <c r="G157">
        <v>177.67</v>
      </c>
      <c r="H157">
        <v>1477.53</v>
      </c>
    </row>
    <row r="158" spans="1:8" x14ac:dyDescent="0.3">
      <c r="A158">
        <v>139</v>
      </c>
      <c r="B158" t="s">
        <v>5892</v>
      </c>
      <c r="C158" s="451">
        <v>46155</v>
      </c>
      <c r="D158" t="s">
        <v>592</v>
      </c>
      <c r="E158" t="s">
        <v>20</v>
      </c>
      <c r="F158">
        <v>123.72</v>
      </c>
      <c r="G158">
        <v>0</v>
      </c>
      <c r="H158">
        <v>123.72</v>
      </c>
    </row>
    <row r="159" spans="1:8" x14ac:dyDescent="0.3">
      <c r="A159">
        <v>139</v>
      </c>
      <c r="B159" t="s">
        <v>5892</v>
      </c>
      <c r="C159" s="451">
        <v>46155</v>
      </c>
      <c r="D159" t="s">
        <v>592</v>
      </c>
      <c r="E159" t="s">
        <v>3904</v>
      </c>
      <c r="F159">
        <v>8</v>
      </c>
      <c r="G159">
        <v>0</v>
      </c>
      <c r="H159">
        <v>8</v>
      </c>
    </row>
    <row r="160" spans="1:8" x14ac:dyDescent="0.3">
      <c r="A160">
        <v>139</v>
      </c>
      <c r="B160" t="s">
        <v>5892</v>
      </c>
      <c r="C160" s="451">
        <v>46154</v>
      </c>
      <c r="D160" t="s">
        <v>592</v>
      </c>
      <c r="E160" t="s">
        <v>3905</v>
      </c>
      <c r="F160">
        <v>1164.3</v>
      </c>
      <c r="G160">
        <v>144.94</v>
      </c>
      <c r="H160">
        <v>1019.36</v>
      </c>
    </row>
    <row r="161" spans="1:8" x14ac:dyDescent="0.3">
      <c r="A161">
        <v>139</v>
      </c>
      <c r="B161" t="s">
        <v>5892</v>
      </c>
      <c r="C161" s="451">
        <v>46154</v>
      </c>
      <c r="D161" t="s">
        <v>592</v>
      </c>
      <c r="E161" t="s">
        <v>20</v>
      </c>
      <c r="F161">
        <v>124.64</v>
      </c>
      <c r="G161">
        <v>0</v>
      </c>
      <c r="H161">
        <v>124.64</v>
      </c>
    </row>
    <row r="162" spans="1:8" x14ac:dyDescent="0.3">
      <c r="A162">
        <v>139</v>
      </c>
      <c r="B162" t="s">
        <v>5892</v>
      </c>
      <c r="C162" s="451">
        <v>46153</v>
      </c>
      <c r="D162" t="s">
        <v>592</v>
      </c>
      <c r="E162" t="s">
        <v>3905</v>
      </c>
      <c r="F162">
        <v>1064.8</v>
      </c>
      <c r="G162">
        <v>88.88</v>
      </c>
      <c r="H162">
        <v>975.92</v>
      </c>
    </row>
    <row r="163" spans="1:8" x14ac:dyDescent="0.3">
      <c r="A163">
        <v>139</v>
      </c>
      <c r="B163" t="s">
        <v>5892</v>
      </c>
      <c r="C163" s="451">
        <v>46153</v>
      </c>
      <c r="D163" t="s">
        <v>592</v>
      </c>
      <c r="E163" t="s">
        <v>20</v>
      </c>
      <c r="F163">
        <v>65.81</v>
      </c>
      <c r="G163">
        <v>0</v>
      </c>
      <c r="H163">
        <v>65.81</v>
      </c>
    </row>
    <row r="164" spans="1:8" x14ac:dyDescent="0.3">
      <c r="A164">
        <v>139</v>
      </c>
      <c r="B164" t="s">
        <v>5892</v>
      </c>
      <c r="C164" s="451">
        <v>46153</v>
      </c>
      <c r="D164" t="s">
        <v>592</v>
      </c>
      <c r="E164" t="s">
        <v>3904</v>
      </c>
      <c r="F164">
        <v>8</v>
      </c>
      <c r="G164">
        <v>0.85</v>
      </c>
      <c r="H164">
        <v>7.15</v>
      </c>
    </row>
    <row r="165" spans="1:8" x14ac:dyDescent="0.3">
      <c r="A165">
        <v>139</v>
      </c>
      <c r="B165" t="s">
        <v>5892</v>
      </c>
      <c r="C165" s="451">
        <v>46152</v>
      </c>
      <c r="D165" t="s">
        <v>592</v>
      </c>
      <c r="E165" t="s">
        <v>3905</v>
      </c>
      <c r="F165">
        <v>5149</v>
      </c>
      <c r="G165">
        <v>237.12</v>
      </c>
      <c r="H165">
        <v>4911.88</v>
      </c>
    </row>
    <row r="166" spans="1:8" x14ac:dyDescent="0.3">
      <c r="A166">
        <v>139</v>
      </c>
      <c r="B166" t="s">
        <v>5892</v>
      </c>
      <c r="C166" s="451">
        <v>46152</v>
      </c>
      <c r="D166" t="s">
        <v>592</v>
      </c>
      <c r="E166" t="s">
        <v>20</v>
      </c>
      <c r="F166">
        <v>276.54000000000002</v>
      </c>
      <c r="G166">
        <v>0</v>
      </c>
      <c r="H166">
        <v>276.54000000000002</v>
      </c>
    </row>
    <row r="167" spans="1:8" x14ac:dyDescent="0.3">
      <c r="A167">
        <v>139</v>
      </c>
      <c r="B167" t="s">
        <v>5892</v>
      </c>
      <c r="C167" s="451">
        <v>46152</v>
      </c>
      <c r="D167" t="s">
        <v>592</v>
      </c>
      <c r="E167" t="s">
        <v>3904</v>
      </c>
      <c r="F167">
        <v>51</v>
      </c>
      <c r="G167">
        <v>2.4700000000000002</v>
      </c>
      <c r="H167">
        <v>48.53</v>
      </c>
    </row>
    <row r="168" spans="1:8" x14ac:dyDescent="0.3">
      <c r="A168">
        <v>139</v>
      </c>
      <c r="B168" t="s">
        <v>5892</v>
      </c>
      <c r="C168" s="451">
        <v>46151</v>
      </c>
      <c r="D168" t="s">
        <v>592</v>
      </c>
      <c r="E168" t="s">
        <v>3904</v>
      </c>
      <c r="F168">
        <v>32</v>
      </c>
      <c r="G168">
        <v>2.4900000000000002</v>
      </c>
      <c r="H168">
        <v>29.51</v>
      </c>
    </row>
    <row r="169" spans="1:8" x14ac:dyDescent="0.3">
      <c r="A169">
        <v>139</v>
      </c>
      <c r="B169" t="s">
        <v>5892</v>
      </c>
      <c r="C169" s="451">
        <v>46151</v>
      </c>
      <c r="D169" t="s">
        <v>592</v>
      </c>
      <c r="E169" t="s">
        <v>3905</v>
      </c>
      <c r="F169">
        <v>4925</v>
      </c>
      <c r="G169">
        <v>231.28</v>
      </c>
      <c r="H169">
        <v>4693.72</v>
      </c>
    </row>
    <row r="170" spans="1:8" x14ac:dyDescent="0.3">
      <c r="A170">
        <v>139</v>
      </c>
      <c r="B170" t="s">
        <v>5892</v>
      </c>
      <c r="C170" s="451">
        <v>46151</v>
      </c>
      <c r="D170" t="s">
        <v>592</v>
      </c>
      <c r="E170" t="s">
        <v>20</v>
      </c>
      <c r="F170">
        <v>198.55</v>
      </c>
      <c r="G170">
        <v>0</v>
      </c>
      <c r="H170">
        <v>198.55</v>
      </c>
    </row>
    <row r="171" spans="1:8" x14ac:dyDescent="0.3">
      <c r="A171">
        <v>139</v>
      </c>
      <c r="B171" t="s">
        <v>5892</v>
      </c>
      <c r="C171" s="451">
        <v>46150</v>
      </c>
      <c r="D171" t="s">
        <v>592</v>
      </c>
      <c r="E171" t="s">
        <v>3905</v>
      </c>
      <c r="F171">
        <v>2107.8000000000002</v>
      </c>
      <c r="G171">
        <v>131.52000000000001</v>
      </c>
      <c r="H171">
        <v>1976.28</v>
      </c>
    </row>
    <row r="172" spans="1:8" x14ac:dyDescent="0.3">
      <c r="A172">
        <v>139</v>
      </c>
      <c r="B172" t="s">
        <v>5892</v>
      </c>
      <c r="C172" s="451">
        <v>46150</v>
      </c>
      <c r="D172" t="s">
        <v>592</v>
      </c>
      <c r="E172" t="s">
        <v>20</v>
      </c>
      <c r="F172">
        <v>134.69</v>
      </c>
      <c r="G172">
        <v>0</v>
      </c>
      <c r="H172">
        <v>134.69</v>
      </c>
    </row>
    <row r="173" spans="1:8" x14ac:dyDescent="0.3">
      <c r="A173">
        <v>139</v>
      </c>
      <c r="B173" t="s">
        <v>5892</v>
      </c>
      <c r="C173" s="451">
        <v>46149</v>
      </c>
      <c r="D173" t="s">
        <v>592</v>
      </c>
      <c r="E173" t="s">
        <v>3904</v>
      </c>
      <c r="F173">
        <v>32</v>
      </c>
      <c r="G173">
        <v>4.09</v>
      </c>
      <c r="H173">
        <v>27.91</v>
      </c>
    </row>
    <row r="174" spans="1:8" x14ac:dyDescent="0.3">
      <c r="A174">
        <v>139</v>
      </c>
      <c r="B174" t="s">
        <v>5892</v>
      </c>
      <c r="C174" s="451">
        <v>46149</v>
      </c>
      <c r="D174" t="s">
        <v>592</v>
      </c>
      <c r="E174" t="s">
        <v>3905</v>
      </c>
      <c r="F174">
        <v>1341.4</v>
      </c>
      <c r="G174">
        <v>129.88999999999999</v>
      </c>
      <c r="H174">
        <v>1211.51</v>
      </c>
    </row>
    <row r="175" spans="1:8" x14ac:dyDescent="0.3">
      <c r="A175">
        <v>139</v>
      </c>
      <c r="B175" t="s">
        <v>5892</v>
      </c>
      <c r="C175" s="451">
        <v>46149</v>
      </c>
      <c r="D175" t="s">
        <v>592</v>
      </c>
      <c r="E175" t="s">
        <v>20</v>
      </c>
      <c r="F175">
        <v>98.21</v>
      </c>
      <c r="G175">
        <v>0</v>
      </c>
      <c r="H175">
        <v>98.21</v>
      </c>
    </row>
    <row r="176" spans="1:8" x14ac:dyDescent="0.3">
      <c r="A176">
        <v>139</v>
      </c>
      <c r="B176" t="s">
        <v>5892</v>
      </c>
      <c r="C176" s="451">
        <v>46148</v>
      </c>
      <c r="D176" t="s">
        <v>592</v>
      </c>
      <c r="E176" t="s">
        <v>3905</v>
      </c>
      <c r="F176">
        <v>1629.4</v>
      </c>
      <c r="G176">
        <v>114.35</v>
      </c>
      <c r="H176">
        <v>1515.05</v>
      </c>
    </row>
    <row r="177" spans="1:8" x14ac:dyDescent="0.3">
      <c r="A177">
        <v>139</v>
      </c>
      <c r="B177" t="s">
        <v>5892</v>
      </c>
      <c r="C177" s="451">
        <v>46148</v>
      </c>
      <c r="D177" t="s">
        <v>592</v>
      </c>
      <c r="E177" t="s">
        <v>3904</v>
      </c>
      <c r="F177">
        <v>8</v>
      </c>
      <c r="G177">
        <v>0</v>
      </c>
      <c r="H177">
        <v>8</v>
      </c>
    </row>
    <row r="178" spans="1:8" x14ac:dyDescent="0.3">
      <c r="A178">
        <v>139</v>
      </c>
      <c r="B178" t="s">
        <v>5892</v>
      </c>
      <c r="C178" s="451">
        <v>46148</v>
      </c>
      <c r="D178" t="s">
        <v>592</v>
      </c>
      <c r="E178" t="s">
        <v>20</v>
      </c>
      <c r="F178">
        <v>120.66</v>
      </c>
      <c r="G178">
        <v>0</v>
      </c>
      <c r="H178">
        <v>120.66</v>
      </c>
    </row>
    <row r="179" spans="1:8" x14ac:dyDescent="0.3">
      <c r="A179">
        <v>139</v>
      </c>
      <c r="B179" t="s">
        <v>5892</v>
      </c>
      <c r="C179" s="451">
        <v>46147</v>
      </c>
      <c r="D179" t="s">
        <v>592</v>
      </c>
      <c r="E179" t="s">
        <v>3904</v>
      </c>
      <c r="F179">
        <v>16</v>
      </c>
      <c r="G179">
        <v>0</v>
      </c>
      <c r="H179">
        <v>16</v>
      </c>
    </row>
    <row r="180" spans="1:8" x14ac:dyDescent="0.3">
      <c r="A180">
        <v>139</v>
      </c>
      <c r="B180" t="s">
        <v>5892</v>
      </c>
      <c r="C180" s="451">
        <v>46147</v>
      </c>
      <c r="D180" t="s">
        <v>592</v>
      </c>
      <c r="E180" t="s">
        <v>3905</v>
      </c>
      <c r="F180">
        <v>870.5</v>
      </c>
      <c r="G180">
        <v>54.99</v>
      </c>
      <c r="H180">
        <v>815.51</v>
      </c>
    </row>
    <row r="181" spans="1:8" x14ac:dyDescent="0.3">
      <c r="A181">
        <v>139</v>
      </c>
      <c r="B181" t="s">
        <v>5892</v>
      </c>
      <c r="C181" s="451">
        <v>46147</v>
      </c>
      <c r="D181" t="s">
        <v>592</v>
      </c>
      <c r="E181" t="s">
        <v>20</v>
      </c>
      <c r="F181">
        <v>122.72</v>
      </c>
      <c r="G181">
        <v>0</v>
      </c>
      <c r="H181">
        <v>122.72</v>
      </c>
    </row>
    <row r="182" spans="1:8" x14ac:dyDescent="0.3">
      <c r="A182">
        <v>139</v>
      </c>
      <c r="B182" t="s">
        <v>5892</v>
      </c>
      <c r="C182" s="451">
        <v>46146</v>
      </c>
      <c r="D182" t="s">
        <v>592</v>
      </c>
      <c r="E182" t="s">
        <v>3904</v>
      </c>
      <c r="F182">
        <v>24</v>
      </c>
      <c r="G182">
        <v>0.62</v>
      </c>
      <c r="H182">
        <v>23.38</v>
      </c>
    </row>
    <row r="183" spans="1:8" x14ac:dyDescent="0.3">
      <c r="A183">
        <v>139</v>
      </c>
      <c r="B183" t="s">
        <v>5892</v>
      </c>
      <c r="C183" s="451">
        <v>46146</v>
      </c>
      <c r="D183" t="s">
        <v>592</v>
      </c>
      <c r="E183" t="s">
        <v>3905</v>
      </c>
      <c r="F183">
        <v>1611.3</v>
      </c>
      <c r="G183">
        <v>99.35</v>
      </c>
      <c r="H183">
        <v>1511.95</v>
      </c>
    </row>
    <row r="184" spans="1:8" x14ac:dyDescent="0.3">
      <c r="A184">
        <v>139</v>
      </c>
      <c r="B184" t="s">
        <v>5892</v>
      </c>
      <c r="C184" s="451">
        <v>46146</v>
      </c>
      <c r="D184" t="s">
        <v>592</v>
      </c>
      <c r="E184" t="s">
        <v>20</v>
      </c>
      <c r="F184">
        <v>149.59</v>
      </c>
      <c r="G184">
        <v>0</v>
      </c>
      <c r="H184">
        <v>149.59</v>
      </c>
    </row>
    <row r="185" spans="1:8" x14ac:dyDescent="0.3">
      <c r="A185">
        <v>139</v>
      </c>
      <c r="B185" t="s">
        <v>5892</v>
      </c>
      <c r="C185" s="451">
        <v>46145</v>
      </c>
      <c r="D185" t="s">
        <v>592</v>
      </c>
      <c r="E185" t="s">
        <v>3905</v>
      </c>
      <c r="F185">
        <v>5491</v>
      </c>
      <c r="G185">
        <v>142.80000000000001</v>
      </c>
      <c r="H185">
        <v>5348.2</v>
      </c>
    </row>
    <row r="186" spans="1:8" x14ac:dyDescent="0.3">
      <c r="A186">
        <v>139</v>
      </c>
      <c r="B186" t="s">
        <v>5892</v>
      </c>
      <c r="C186" s="451">
        <v>46145</v>
      </c>
      <c r="D186" t="s">
        <v>592</v>
      </c>
      <c r="E186" t="s">
        <v>3904</v>
      </c>
      <c r="F186">
        <v>56</v>
      </c>
      <c r="G186">
        <v>2.02</v>
      </c>
      <c r="H186">
        <v>53.98</v>
      </c>
    </row>
    <row r="187" spans="1:8" x14ac:dyDescent="0.3">
      <c r="A187">
        <v>139</v>
      </c>
      <c r="B187" t="s">
        <v>5892</v>
      </c>
      <c r="C187" s="451">
        <v>46145</v>
      </c>
      <c r="D187" t="s">
        <v>592</v>
      </c>
      <c r="E187" t="s">
        <v>20</v>
      </c>
      <c r="F187">
        <v>319.27999999999997</v>
      </c>
      <c r="G187">
        <v>0</v>
      </c>
      <c r="H187">
        <v>319.27999999999997</v>
      </c>
    </row>
    <row r="188" spans="1:8" x14ac:dyDescent="0.3">
      <c r="A188">
        <v>139</v>
      </c>
      <c r="B188" t="s">
        <v>5892</v>
      </c>
      <c r="C188" s="451">
        <v>46144</v>
      </c>
      <c r="D188" t="s">
        <v>592</v>
      </c>
      <c r="E188" t="s">
        <v>3905</v>
      </c>
      <c r="F188">
        <v>4049</v>
      </c>
      <c r="G188">
        <v>89.86</v>
      </c>
      <c r="H188">
        <v>3959.14</v>
      </c>
    </row>
    <row r="189" spans="1:8" x14ac:dyDescent="0.3">
      <c r="A189">
        <v>139</v>
      </c>
      <c r="B189" t="s">
        <v>5892</v>
      </c>
      <c r="C189" s="451">
        <v>46144</v>
      </c>
      <c r="D189" t="s">
        <v>592</v>
      </c>
      <c r="E189" t="s">
        <v>20</v>
      </c>
      <c r="F189">
        <v>161.65</v>
      </c>
      <c r="G189">
        <v>0</v>
      </c>
      <c r="H189">
        <v>161.65</v>
      </c>
    </row>
    <row r="190" spans="1:8" x14ac:dyDescent="0.3">
      <c r="A190">
        <v>139</v>
      </c>
      <c r="B190" t="s">
        <v>5892</v>
      </c>
      <c r="C190" s="451">
        <v>46143</v>
      </c>
      <c r="D190" t="s">
        <v>592</v>
      </c>
      <c r="E190" t="s">
        <v>3905</v>
      </c>
      <c r="F190">
        <v>4411.5</v>
      </c>
      <c r="G190">
        <v>119.54</v>
      </c>
      <c r="H190">
        <v>4291.96</v>
      </c>
    </row>
    <row r="191" spans="1:8" x14ac:dyDescent="0.3">
      <c r="A191">
        <v>139</v>
      </c>
      <c r="B191" t="s">
        <v>5892</v>
      </c>
      <c r="C191" s="451">
        <v>46143</v>
      </c>
      <c r="D191" t="s">
        <v>592</v>
      </c>
      <c r="E191" t="s">
        <v>20</v>
      </c>
      <c r="F191">
        <v>270.52999999999997</v>
      </c>
      <c r="G191">
        <v>0</v>
      </c>
      <c r="H191">
        <v>270.52999999999997</v>
      </c>
    </row>
    <row r="192" spans="1:8" x14ac:dyDescent="0.3">
      <c r="A192">
        <v>139</v>
      </c>
      <c r="B192" t="s">
        <v>5892</v>
      </c>
      <c r="C192" s="451">
        <v>46143</v>
      </c>
      <c r="D192" t="s">
        <v>592</v>
      </c>
      <c r="E192" t="s">
        <v>3904</v>
      </c>
      <c r="F192">
        <v>8</v>
      </c>
      <c r="G192">
        <v>0.35</v>
      </c>
      <c r="H192">
        <v>7.65</v>
      </c>
    </row>
    <row r="193" spans="1:8" x14ac:dyDescent="0.3">
      <c r="A193">
        <v>139</v>
      </c>
      <c r="B193" t="s">
        <v>5892</v>
      </c>
      <c r="C193" s="451">
        <v>46142</v>
      </c>
      <c r="D193" t="s">
        <v>590</v>
      </c>
      <c r="E193" t="s">
        <v>3905</v>
      </c>
      <c r="F193">
        <v>1597.4</v>
      </c>
      <c r="G193">
        <v>73.03</v>
      </c>
      <c r="H193">
        <v>1524.37</v>
      </c>
    </row>
    <row r="194" spans="1:8" x14ac:dyDescent="0.3">
      <c r="A194">
        <v>139</v>
      </c>
      <c r="B194" t="s">
        <v>5892</v>
      </c>
      <c r="C194" s="451">
        <v>46142</v>
      </c>
      <c r="D194" t="s">
        <v>590</v>
      </c>
      <c r="E194" t="s">
        <v>20</v>
      </c>
      <c r="F194">
        <v>121.72</v>
      </c>
      <c r="G194">
        <v>0</v>
      </c>
      <c r="H194">
        <v>121.72</v>
      </c>
    </row>
    <row r="195" spans="1:8" x14ac:dyDescent="0.3">
      <c r="A195">
        <v>139</v>
      </c>
      <c r="B195" t="s">
        <v>5892</v>
      </c>
      <c r="C195" s="451">
        <v>46142</v>
      </c>
      <c r="D195" t="s">
        <v>590</v>
      </c>
      <c r="E195" t="s">
        <v>3904</v>
      </c>
      <c r="F195">
        <v>24</v>
      </c>
      <c r="G195">
        <v>1.92</v>
      </c>
      <c r="H195">
        <v>22.08</v>
      </c>
    </row>
    <row r="196" spans="1:8" x14ac:dyDescent="0.3">
      <c r="A196">
        <v>139</v>
      </c>
      <c r="B196" t="s">
        <v>5892</v>
      </c>
      <c r="C196" s="451">
        <v>46141</v>
      </c>
      <c r="D196" t="s">
        <v>590</v>
      </c>
      <c r="E196" t="s">
        <v>3905</v>
      </c>
      <c r="F196">
        <v>2011.9</v>
      </c>
      <c r="G196">
        <v>69.959999999999994</v>
      </c>
      <c r="H196">
        <v>1941.94</v>
      </c>
    </row>
    <row r="197" spans="1:8" x14ac:dyDescent="0.3">
      <c r="A197">
        <v>139</v>
      </c>
      <c r="B197" t="s">
        <v>5892</v>
      </c>
      <c r="C197" s="451">
        <v>46141</v>
      </c>
      <c r="D197" t="s">
        <v>590</v>
      </c>
      <c r="E197" t="s">
        <v>20</v>
      </c>
      <c r="F197">
        <v>139.66</v>
      </c>
      <c r="G197">
        <v>0</v>
      </c>
      <c r="H197">
        <v>139.66</v>
      </c>
    </row>
    <row r="198" spans="1:8" x14ac:dyDescent="0.3">
      <c r="A198">
        <v>139</v>
      </c>
      <c r="B198" t="s">
        <v>5892</v>
      </c>
      <c r="C198" s="451">
        <v>46141</v>
      </c>
      <c r="D198" t="s">
        <v>590</v>
      </c>
      <c r="E198" t="s">
        <v>3904</v>
      </c>
      <c r="F198">
        <v>16</v>
      </c>
      <c r="G198">
        <v>0</v>
      </c>
      <c r="H198">
        <v>16</v>
      </c>
    </row>
    <row r="199" spans="1:8" x14ac:dyDescent="0.3">
      <c r="A199">
        <v>139</v>
      </c>
      <c r="B199" t="s">
        <v>5892</v>
      </c>
      <c r="C199" s="451">
        <v>46140</v>
      </c>
      <c r="D199" t="s">
        <v>590</v>
      </c>
      <c r="E199" t="s">
        <v>3904</v>
      </c>
      <c r="F199">
        <v>16</v>
      </c>
      <c r="G199">
        <v>0.77</v>
      </c>
      <c r="H199">
        <v>15.23</v>
      </c>
    </row>
    <row r="200" spans="1:8" x14ac:dyDescent="0.3">
      <c r="A200">
        <v>139</v>
      </c>
      <c r="B200" t="s">
        <v>5892</v>
      </c>
      <c r="C200" s="451">
        <v>46140</v>
      </c>
      <c r="D200" t="s">
        <v>590</v>
      </c>
      <c r="E200" t="s">
        <v>3905</v>
      </c>
      <c r="F200">
        <v>1089.2</v>
      </c>
      <c r="G200">
        <v>48.86</v>
      </c>
      <c r="H200">
        <v>1040.3399999999999</v>
      </c>
    </row>
    <row r="201" spans="1:8" x14ac:dyDescent="0.3">
      <c r="A201">
        <v>139</v>
      </c>
      <c r="B201" t="s">
        <v>5892</v>
      </c>
      <c r="C201" s="451">
        <v>46140</v>
      </c>
      <c r="D201" t="s">
        <v>590</v>
      </c>
      <c r="E201" t="s">
        <v>20</v>
      </c>
      <c r="F201">
        <v>99.7</v>
      </c>
      <c r="G201">
        <v>0</v>
      </c>
      <c r="H201">
        <v>99.7</v>
      </c>
    </row>
    <row r="202" spans="1:8" x14ac:dyDescent="0.3">
      <c r="A202">
        <v>139</v>
      </c>
      <c r="B202" t="s">
        <v>5892</v>
      </c>
      <c r="C202" s="451">
        <v>46139</v>
      </c>
      <c r="D202" t="s">
        <v>590</v>
      </c>
      <c r="E202" t="s">
        <v>3904</v>
      </c>
      <c r="F202">
        <v>16</v>
      </c>
      <c r="G202">
        <v>0.3</v>
      </c>
      <c r="H202">
        <v>15.7</v>
      </c>
    </row>
    <row r="203" spans="1:8" x14ac:dyDescent="0.3">
      <c r="A203">
        <v>139</v>
      </c>
      <c r="B203" t="s">
        <v>5892</v>
      </c>
      <c r="C203" s="451">
        <v>46139</v>
      </c>
      <c r="D203" t="s">
        <v>590</v>
      </c>
      <c r="E203" t="s">
        <v>3905</v>
      </c>
      <c r="F203">
        <v>1174.5</v>
      </c>
      <c r="G203">
        <v>70.239999999999995</v>
      </c>
      <c r="H203">
        <v>1104.26</v>
      </c>
    </row>
    <row r="204" spans="1:8" x14ac:dyDescent="0.3">
      <c r="A204">
        <v>139</v>
      </c>
      <c r="B204" t="s">
        <v>5892</v>
      </c>
      <c r="C204" s="451">
        <v>46139</v>
      </c>
      <c r="D204" t="s">
        <v>590</v>
      </c>
      <c r="E204" t="s">
        <v>20</v>
      </c>
      <c r="F204">
        <v>81.75</v>
      </c>
      <c r="G204">
        <v>0</v>
      </c>
      <c r="H204">
        <v>81.75</v>
      </c>
    </row>
    <row r="205" spans="1:8" x14ac:dyDescent="0.3">
      <c r="A205">
        <v>139</v>
      </c>
      <c r="B205" t="s">
        <v>5892</v>
      </c>
      <c r="C205" s="451">
        <v>46138</v>
      </c>
      <c r="D205" t="s">
        <v>590</v>
      </c>
      <c r="E205" t="s">
        <v>3904</v>
      </c>
      <c r="F205">
        <v>40</v>
      </c>
      <c r="G205">
        <v>0.42</v>
      </c>
      <c r="H205">
        <v>39.58</v>
      </c>
    </row>
    <row r="206" spans="1:8" x14ac:dyDescent="0.3">
      <c r="A206">
        <v>139</v>
      </c>
      <c r="B206" t="s">
        <v>5892</v>
      </c>
      <c r="C206" s="451">
        <v>46138</v>
      </c>
      <c r="D206" t="s">
        <v>590</v>
      </c>
      <c r="E206" t="s">
        <v>3905</v>
      </c>
      <c r="F206">
        <v>4581</v>
      </c>
      <c r="G206">
        <v>69.5</v>
      </c>
      <c r="H206">
        <v>4511.5</v>
      </c>
    </row>
    <row r="207" spans="1:8" x14ac:dyDescent="0.3">
      <c r="A207">
        <v>139</v>
      </c>
      <c r="B207" t="s">
        <v>5892</v>
      </c>
      <c r="C207" s="451">
        <v>46138</v>
      </c>
      <c r="D207" t="s">
        <v>590</v>
      </c>
      <c r="E207" t="s">
        <v>20</v>
      </c>
      <c r="F207">
        <v>206.57</v>
      </c>
      <c r="G207">
        <v>0</v>
      </c>
      <c r="H207">
        <v>206.57</v>
      </c>
    </row>
    <row r="208" spans="1:8" x14ac:dyDescent="0.3">
      <c r="A208">
        <v>139</v>
      </c>
      <c r="B208" t="s">
        <v>5892</v>
      </c>
      <c r="C208" s="451">
        <v>46137</v>
      </c>
      <c r="D208" t="s">
        <v>590</v>
      </c>
      <c r="E208" t="s">
        <v>3904</v>
      </c>
      <c r="F208">
        <v>24</v>
      </c>
      <c r="G208">
        <v>0.23</v>
      </c>
      <c r="H208">
        <v>23.77</v>
      </c>
    </row>
    <row r="209" spans="1:8" x14ac:dyDescent="0.3">
      <c r="A209">
        <v>139</v>
      </c>
      <c r="B209" t="s">
        <v>5892</v>
      </c>
      <c r="C209" s="451">
        <v>46137</v>
      </c>
      <c r="D209" t="s">
        <v>590</v>
      </c>
      <c r="E209" t="s">
        <v>3905</v>
      </c>
      <c r="F209">
        <v>4105</v>
      </c>
      <c r="G209">
        <v>89.71</v>
      </c>
      <c r="H209">
        <v>4015.29</v>
      </c>
    </row>
    <row r="210" spans="1:8" x14ac:dyDescent="0.3">
      <c r="A210">
        <v>139</v>
      </c>
      <c r="B210" t="s">
        <v>5892</v>
      </c>
      <c r="C210" s="451">
        <v>46137</v>
      </c>
      <c r="D210" t="s">
        <v>590</v>
      </c>
      <c r="E210" t="s">
        <v>20</v>
      </c>
      <c r="F210">
        <v>259.48</v>
      </c>
      <c r="G210">
        <v>0</v>
      </c>
      <c r="H210">
        <v>259.48</v>
      </c>
    </row>
    <row r="211" spans="1:8" x14ac:dyDescent="0.3">
      <c r="A211">
        <v>139</v>
      </c>
      <c r="B211" t="s">
        <v>5892</v>
      </c>
      <c r="C211" s="451">
        <v>46136</v>
      </c>
      <c r="D211" t="s">
        <v>590</v>
      </c>
      <c r="E211" t="s">
        <v>3905</v>
      </c>
      <c r="F211">
        <v>3370.1</v>
      </c>
      <c r="G211">
        <v>99.49</v>
      </c>
      <c r="H211">
        <v>3270.61</v>
      </c>
    </row>
    <row r="212" spans="1:8" x14ac:dyDescent="0.3">
      <c r="A212">
        <v>139</v>
      </c>
      <c r="B212" t="s">
        <v>5892</v>
      </c>
      <c r="C212" s="451">
        <v>46136</v>
      </c>
      <c r="D212" t="s">
        <v>590</v>
      </c>
      <c r="E212" t="s">
        <v>20</v>
      </c>
      <c r="F212">
        <v>181.6</v>
      </c>
      <c r="G212">
        <v>0</v>
      </c>
      <c r="H212">
        <v>181.6</v>
      </c>
    </row>
    <row r="213" spans="1:8" x14ac:dyDescent="0.3">
      <c r="A213">
        <v>139</v>
      </c>
      <c r="B213" t="s">
        <v>5892</v>
      </c>
      <c r="C213" s="451">
        <v>46136</v>
      </c>
      <c r="D213" t="s">
        <v>590</v>
      </c>
      <c r="E213" t="s">
        <v>3904</v>
      </c>
      <c r="F213">
        <v>8</v>
      </c>
      <c r="G213">
        <v>0.43</v>
      </c>
      <c r="H213">
        <v>7.57</v>
      </c>
    </row>
    <row r="214" spans="1:8" x14ac:dyDescent="0.3">
      <c r="A214">
        <v>139</v>
      </c>
      <c r="B214" t="s">
        <v>5892</v>
      </c>
      <c r="C214" s="451">
        <v>46135</v>
      </c>
      <c r="D214" t="s">
        <v>590</v>
      </c>
      <c r="E214" t="s">
        <v>3904</v>
      </c>
      <c r="F214">
        <v>24</v>
      </c>
      <c r="G214">
        <v>0.44</v>
      </c>
      <c r="H214">
        <v>23.56</v>
      </c>
    </row>
    <row r="215" spans="1:8" x14ac:dyDescent="0.3">
      <c r="A215">
        <v>139</v>
      </c>
      <c r="B215" t="s">
        <v>5892</v>
      </c>
      <c r="C215" s="451">
        <v>46135</v>
      </c>
      <c r="D215" t="s">
        <v>590</v>
      </c>
      <c r="E215" t="s">
        <v>3905</v>
      </c>
      <c r="F215">
        <v>1508</v>
      </c>
      <c r="G215">
        <v>34.520000000000003</v>
      </c>
      <c r="H215">
        <v>1473.48</v>
      </c>
    </row>
    <row r="216" spans="1:8" x14ac:dyDescent="0.3">
      <c r="A216">
        <v>139</v>
      </c>
      <c r="B216" t="s">
        <v>5892</v>
      </c>
      <c r="C216" s="451">
        <v>46135</v>
      </c>
      <c r="D216" t="s">
        <v>590</v>
      </c>
      <c r="E216" t="s">
        <v>20</v>
      </c>
      <c r="F216">
        <v>85.84</v>
      </c>
      <c r="G216">
        <v>0</v>
      </c>
      <c r="H216">
        <v>85.84</v>
      </c>
    </row>
    <row r="217" spans="1:8" x14ac:dyDescent="0.3">
      <c r="A217">
        <v>139</v>
      </c>
      <c r="B217" t="s">
        <v>5892</v>
      </c>
      <c r="C217" s="451">
        <v>46134</v>
      </c>
      <c r="D217" t="s">
        <v>590</v>
      </c>
      <c r="E217" t="s">
        <v>3904</v>
      </c>
      <c r="F217">
        <v>24</v>
      </c>
      <c r="G217">
        <v>0.33</v>
      </c>
      <c r="H217">
        <v>23.67</v>
      </c>
    </row>
    <row r="218" spans="1:8" x14ac:dyDescent="0.3">
      <c r="A218">
        <v>139</v>
      </c>
      <c r="B218" t="s">
        <v>5892</v>
      </c>
      <c r="C218" s="451">
        <v>46134</v>
      </c>
      <c r="D218" t="s">
        <v>590</v>
      </c>
      <c r="E218" t="s">
        <v>3905</v>
      </c>
      <c r="F218">
        <v>1447</v>
      </c>
      <c r="G218">
        <v>14.66</v>
      </c>
      <c r="H218">
        <v>1432.34</v>
      </c>
    </row>
    <row r="219" spans="1:8" x14ac:dyDescent="0.3">
      <c r="A219">
        <v>139</v>
      </c>
      <c r="B219" t="s">
        <v>5892</v>
      </c>
      <c r="C219" s="451">
        <v>46134</v>
      </c>
      <c r="D219" t="s">
        <v>590</v>
      </c>
      <c r="E219" t="s">
        <v>20</v>
      </c>
      <c r="F219">
        <v>99.79</v>
      </c>
      <c r="G219">
        <v>0</v>
      </c>
      <c r="H219">
        <v>99.79</v>
      </c>
    </row>
    <row r="220" spans="1:8" x14ac:dyDescent="0.3">
      <c r="A220">
        <v>139</v>
      </c>
      <c r="B220" t="s">
        <v>5892</v>
      </c>
      <c r="C220" s="451">
        <v>46133</v>
      </c>
      <c r="D220" t="s">
        <v>590</v>
      </c>
      <c r="E220" t="s">
        <v>3904</v>
      </c>
      <c r="F220">
        <v>24</v>
      </c>
      <c r="G220">
        <v>0.34</v>
      </c>
      <c r="H220">
        <v>23.66</v>
      </c>
    </row>
    <row r="221" spans="1:8" x14ac:dyDescent="0.3">
      <c r="A221">
        <v>139</v>
      </c>
      <c r="B221" t="s">
        <v>5892</v>
      </c>
      <c r="C221" s="451">
        <v>46133</v>
      </c>
      <c r="D221" t="s">
        <v>590</v>
      </c>
      <c r="E221" t="s">
        <v>3905</v>
      </c>
      <c r="F221">
        <v>1904</v>
      </c>
      <c r="G221">
        <v>29.66</v>
      </c>
      <c r="H221">
        <v>1874.34</v>
      </c>
    </row>
    <row r="222" spans="1:8" x14ac:dyDescent="0.3">
      <c r="A222">
        <v>139</v>
      </c>
      <c r="B222" t="s">
        <v>5892</v>
      </c>
      <c r="C222" s="451">
        <v>46133</v>
      </c>
      <c r="D222" t="s">
        <v>590</v>
      </c>
      <c r="E222" t="s">
        <v>20</v>
      </c>
      <c r="F222">
        <v>106.81</v>
      </c>
      <c r="G222">
        <v>0</v>
      </c>
      <c r="H222">
        <v>106.81</v>
      </c>
    </row>
    <row r="223" spans="1:8" x14ac:dyDescent="0.3">
      <c r="A223">
        <v>139</v>
      </c>
      <c r="B223" t="s">
        <v>5892</v>
      </c>
      <c r="C223" s="451">
        <v>46132</v>
      </c>
      <c r="D223" t="s">
        <v>590</v>
      </c>
      <c r="E223" t="s">
        <v>3904</v>
      </c>
      <c r="F223">
        <v>40</v>
      </c>
      <c r="G223">
        <v>1.33</v>
      </c>
      <c r="H223">
        <v>38.67</v>
      </c>
    </row>
    <row r="224" spans="1:8" x14ac:dyDescent="0.3">
      <c r="A224">
        <v>139</v>
      </c>
      <c r="B224" t="s">
        <v>5892</v>
      </c>
      <c r="C224" s="451">
        <v>46132</v>
      </c>
      <c r="D224" t="s">
        <v>590</v>
      </c>
      <c r="E224" t="s">
        <v>3905</v>
      </c>
      <c r="F224">
        <v>2679.7</v>
      </c>
      <c r="G224">
        <v>60.72</v>
      </c>
      <c r="H224">
        <v>2618.98</v>
      </c>
    </row>
    <row r="225" spans="1:8" x14ac:dyDescent="0.3">
      <c r="A225">
        <v>139</v>
      </c>
      <c r="B225" t="s">
        <v>5892</v>
      </c>
      <c r="C225" s="451">
        <v>46132</v>
      </c>
      <c r="D225" t="s">
        <v>590</v>
      </c>
      <c r="E225" t="s">
        <v>20</v>
      </c>
      <c r="F225">
        <v>129.72999999999999</v>
      </c>
      <c r="G225">
        <v>0</v>
      </c>
      <c r="H225">
        <v>129.72999999999999</v>
      </c>
    </row>
    <row r="226" spans="1:8" x14ac:dyDescent="0.3">
      <c r="A226">
        <v>139</v>
      </c>
      <c r="B226" t="s">
        <v>5892</v>
      </c>
      <c r="C226" s="451">
        <v>46131</v>
      </c>
      <c r="D226" t="s">
        <v>590</v>
      </c>
      <c r="E226" t="s">
        <v>3905</v>
      </c>
      <c r="F226">
        <v>955</v>
      </c>
      <c r="G226">
        <v>9.99</v>
      </c>
      <c r="H226">
        <v>945.01</v>
      </c>
    </row>
    <row r="227" spans="1:8" x14ac:dyDescent="0.3">
      <c r="A227">
        <v>139</v>
      </c>
      <c r="B227" t="s">
        <v>5892</v>
      </c>
      <c r="C227" s="451">
        <v>46131</v>
      </c>
      <c r="D227" t="s">
        <v>590</v>
      </c>
      <c r="E227" t="s">
        <v>20</v>
      </c>
      <c r="F227">
        <v>54.87</v>
      </c>
      <c r="G227">
        <v>0</v>
      </c>
      <c r="H227">
        <v>54.87</v>
      </c>
    </row>
    <row r="228" spans="1:8" x14ac:dyDescent="0.3">
      <c r="A228">
        <v>139</v>
      </c>
      <c r="B228" t="s">
        <v>5892</v>
      </c>
      <c r="C228" s="451">
        <v>46130</v>
      </c>
      <c r="D228" t="s">
        <v>590</v>
      </c>
      <c r="E228" t="s">
        <v>3904</v>
      </c>
      <c r="F228">
        <v>32</v>
      </c>
      <c r="G228">
        <v>0.47</v>
      </c>
      <c r="H228">
        <v>31.53</v>
      </c>
    </row>
    <row r="229" spans="1:8" x14ac:dyDescent="0.3">
      <c r="A229">
        <v>139</v>
      </c>
      <c r="B229" t="s">
        <v>5892</v>
      </c>
      <c r="C229" s="451">
        <v>46130</v>
      </c>
      <c r="D229" t="s">
        <v>590</v>
      </c>
      <c r="E229" t="s">
        <v>3905</v>
      </c>
      <c r="F229">
        <v>1881</v>
      </c>
      <c r="G229">
        <v>24.53</v>
      </c>
      <c r="H229">
        <v>1856.47</v>
      </c>
    </row>
    <row r="230" spans="1:8" x14ac:dyDescent="0.3">
      <c r="A230">
        <v>139</v>
      </c>
      <c r="B230" t="s">
        <v>5892</v>
      </c>
      <c r="C230" s="451">
        <v>46130</v>
      </c>
      <c r="D230" t="s">
        <v>590</v>
      </c>
      <c r="E230" t="s">
        <v>20</v>
      </c>
      <c r="F230">
        <v>69.78</v>
      </c>
      <c r="G230">
        <v>0</v>
      </c>
      <c r="H230">
        <v>69.78</v>
      </c>
    </row>
    <row r="231" spans="1:8" x14ac:dyDescent="0.3">
      <c r="A231">
        <v>139</v>
      </c>
      <c r="B231" t="s">
        <v>5892</v>
      </c>
      <c r="C231" s="451">
        <v>46129</v>
      </c>
      <c r="D231" t="s">
        <v>590</v>
      </c>
      <c r="E231" t="s">
        <v>3905</v>
      </c>
      <c r="F231">
        <v>2739.9</v>
      </c>
      <c r="G231">
        <v>60.56</v>
      </c>
      <c r="H231">
        <v>2679.34</v>
      </c>
    </row>
    <row r="232" spans="1:8" x14ac:dyDescent="0.3">
      <c r="A232">
        <v>139</v>
      </c>
      <c r="B232" t="s">
        <v>5892</v>
      </c>
      <c r="C232" s="451">
        <v>46129</v>
      </c>
      <c r="D232" t="s">
        <v>590</v>
      </c>
      <c r="E232" t="s">
        <v>20</v>
      </c>
      <c r="F232">
        <v>205.17</v>
      </c>
      <c r="G232">
        <v>0</v>
      </c>
      <c r="H232">
        <v>205.17</v>
      </c>
    </row>
    <row r="233" spans="1:8" x14ac:dyDescent="0.3">
      <c r="A233">
        <v>139</v>
      </c>
      <c r="B233" t="s">
        <v>5892</v>
      </c>
      <c r="C233" s="451">
        <v>46128</v>
      </c>
      <c r="D233" t="s">
        <v>590</v>
      </c>
      <c r="E233" t="s">
        <v>3904</v>
      </c>
      <c r="F233">
        <v>32</v>
      </c>
      <c r="G233">
        <v>1.92</v>
      </c>
      <c r="H233">
        <v>30.08</v>
      </c>
    </row>
    <row r="234" spans="1:8" x14ac:dyDescent="0.3">
      <c r="A234">
        <v>139</v>
      </c>
      <c r="B234" t="s">
        <v>5892</v>
      </c>
      <c r="C234" s="451">
        <v>46128</v>
      </c>
      <c r="D234" t="s">
        <v>590</v>
      </c>
      <c r="E234" t="s">
        <v>3905</v>
      </c>
      <c r="F234">
        <v>2091.1</v>
      </c>
      <c r="G234">
        <v>73.959999999999994</v>
      </c>
      <c r="H234">
        <v>2017.14</v>
      </c>
    </row>
    <row r="235" spans="1:8" x14ac:dyDescent="0.3">
      <c r="A235">
        <v>139</v>
      </c>
      <c r="B235" t="s">
        <v>5892</v>
      </c>
      <c r="C235" s="451">
        <v>46128</v>
      </c>
      <c r="D235" t="s">
        <v>590</v>
      </c>
      <c r="E235" t="s">
        <v>20</v>
      </c>
      <c r="F235">
        <v>141.65</v>
      </c>
      <c r="G235">
        <v>0</v>
      </c>
      <c r="H235">
        <v>141.65</v>
      </c>
    </row>
    <row r="236" spans="1:8" x14ac:dyDescent="0.3">
      <c r="A236">
        <v>139</v>
      </c>
      <c r="B236" t="s">
        <v>5892</v>
      </c>
      <c r="C236" s="451">
        <v>46127</v>
      </c>
      <c r="D236" t="s">
        <v>590</v>
      </c>
      <c r="E236" t="s">
        <v>3904</v>
      </c>
      <c r="F236">
        <v>8</v>
      </c>
      <c r="G236">
        <v>0.83</v>
      </c>
      <c r="H236">
        <v>7.17</v>
      </c>
    </row>
    <row r="237" spans="1:8" x14ac:dyDescent="0.3">
      <c r="A237">
        <v>139</v>
      </c>
      <c r="B237" t="s">
        <v>5892</v>
      </c>
      <c r="C237" s="451">
        <v>46127</v>
      </c>
      <c r="D237" t="s">
        <v>590</v>
      </c>
      <c r="E237" t="s">
        <v>3905</v>
      </c>
      <c r="F237">
        <v>1954.9</v>
      </c>
      <c r="G237">
        <v>44.17</v>
      </c>
      <c r="H237">
        <v>1910.73</v>
      </c>
    </row>
    <row r="238" spans="1:8" x14ac:dyDescent="0.3">
      <c r="A238">
        <v>139</v>
      </c>
      <c r="B238" t="s">
        <v>5892</v>
      </c>
      <c r="C238" s="451">
        <v>46127</v>
      </c>
      <c r="D238" t="s">
        <v>590</v>
      </c>
      <c r="E238" t="s">
        <v>20</v>
      </c>
      <c r="F238">
        <v>156.66</v>
      </c>
      <c r="G238">
        <v>0</v>
      </c>
      <c r="H238">
        <v>156.66</v>
      </c>
    </row>
    <row r="239" spans="1:8" x14ac:dyDescent="0.3">
      <c r="A239">
        <v>139</v>
      </c>
      <c r="B239" t="s">
        <v>5892</v>
      </c>
      <c r="C239" s="451">
        <v>46126</v>
      </c>
      <c r="D239" t="s">
        <v>590</v>
      </c>
      <c r="E239" t="s">
        <v>3904</v>
      </c>
      <c r="F239">
        <v>16</v>
      </c>
      <c r="G239">
        <v>1.54</v>
      </c>
      <c r="H239">
        <v>14.46</v>
      </c>
    </row>
    <row r="240" spans="1:8" x14ac:dyDescent="0.3">
      <c r="A240">
        <v>139</v>
      </c>
      <c r="B240" t="s">
        <v>5892</v>
      </c>
      <c r="C240" s="451">
        <v>46126</v>
      </c>
      <c r="D240" t="s">
        <v>590</v>
      </c>
      <c r="E240" t="s">
        <v>3905</v>
      </c>
      <c r="F240">
        <v>929</v>
      </c>
      <c r="G240">
        <v>38.450000000000003</v>
      </c>
      <c r="H240">
        <v>890.55</v>
      </c>
    </row>
    <row r="241" spans="1:8" x14ac:dyDescent="0.3">
      <c r="A241">
        <v>139</v>
      </c>
      <c r="B241" t="s">
        <v>5892</v>
      </c>
      <c r="C241" s="451">
        <v>46126</v>
      </c>
      <c r="D241" t="s">
        <v>590</v>
      </c>
      <c r="E241" t="s">
        <v>20</v>
      </c>
      <c r="F241">
        <v>40.86</v>
      </c>
      <c r="G241">
        <v>0</v>
      </c>
      <c r="H241">
        <v>40.86</v>
      </c>
    </row>
    <row r="242" spans="1:8" x14ac:dyDescent="0.3">
      <c r="A242">
        <v>139</v>
      </c>
      <c r="B242" t="s">
        <v>5892</v>
      </c>
      <c r="C242" s="451">
        <v>46125</v>
      </c>
      <c r="D242" t="s">
        <v>590</v>
      </c>
      <c r="E242" t="s">
        <v>3905</v>
      </c>
      <c r="F242">
        <v>944.8</v>
      </c>
      <c r="G242">
        <v>69.97</v>
      </c>
      <c r="H242">
        <v>874.83</v>
      </c>
    </row>
    <row r="243" spans="1:8" x14ac:dyDescent="0.3">
      <c r="A243">
        <v>139</v>
      </c>
      <c r="B243" t="s">
        <v>5892</v>
      </c>
      <c r="C243" s="451">
        <v>46125</v>
      </c>
      <c r="D243" t="s">
        <v>590</v>
      </c>
      <c r="E243" t="s">
        <v>20</v>
      </c>
      <c r="F243">
        <v>34.81</v>
      </c>
      <c r="G243">
        <v>0</v>
      </c>
      <c r="H243">
        <v>34.81</v>
      </c>
    </row>
    <row r="244" spans="1:8" x14ac:dyDescent="0.3">
      <c r="A244">
        <v>139</v>
      </c>
      <c r="B244" t="s">
        <v>5892</v>
      </c>
      <c r="C244" s="451">
        <v>46124</v>
      </c>
      <c r="D244" t="s">
        <v>590</v>
      </c>
      <c r="E244" t="s">
        <v>3905</v>
      </c>
      <c r="F244">
        <v>3315</v>
      </c>
      <c r="G244">
        <v>89.95</v>
      </c>
      <c r="H244">
        <v>3225.05</v>
      </c>
    </row>
    <row r="245" spans="1:8" x14ac:dyDescent="0.3">
      <c r="A245">
        <v>139</v>
      </c>
      <c r="B245" t="s">
        <v>5892</v>
      </c>
      <c r="C245" s="451">
        <v>46124</v>
      </c>
      <c r="D245" t="s">
        <v>590</v>
      </c>
      <c r="E245" t="s">
        <v>20</v>
      </c>
      <c r="F245">
        <v>62.78</v>
      </c>
      <c r="G245">
        <v>0</v>
      </c>
      <c r="H245">
        <v>62.78</v>
      </c>
    </row>
    <row r="246" spans="1:8" x14ac:dyDescent="0.3">
      <c r="A246">
        <v>139</v>
      </c>
      <c r="B246" t="s">
        <v>5892</v>
      </c>
      <c r="C246" s="451">
        <v>46123</v>
      </c>
      <c r="D246" t="s">
        <v>590</v>
      </c>
      <c r="E246" t="s">
        <v>3905</v>
      </c>
      <c r="F246">
        <v>3765</v>
      </c>
      <c r="G246">
        <v>98.81</v>
      </c>
      <c r="H246">
        <v>3666.19</v>
      </c>
    </row>
    <row r="247" spans="1:8" x14ac:dyDescent="0.3">
      <c r="A247">
        <v>139</v>
      </c>
      <c r="B247" t="s">
        <v>5892</v>
      </c>
      <c r="C247" s="451">
        <v>46123</v>
      </c>
      <c r="D247" t="s">
        <v>590</v>
      </c>
      <c r="E247" t="s">
        <v>3904</v>
      </c>
      <c r="F247">
        <v>40</v>
      </c>
      <c r="G247">
        <v>1.08</v>
      </c>
      <c r="H247">
        <v>38.92</v>
      </c>
    </row>
    <row r="248" spans="1:8" x14ac:dyDescent="0.3">
      <c r="A248">
        <v>139</v>
      </c>
      <c r="B248" t="s">
        <v>5892</v>
      </c>
      <c r="C248" s="451">
        <v>46123</v>
      </c>
      <c r="D248" t="s">
        <v>590</v>
      </c>
      <c r="E248" t="s">
        <v>20</v>
      </c>
      <c r="F248">
        <v>58.79</v>
      </c>
      <c r="G248">
        <v>0</v>
      </c>
      <c r="H248">
        <v>58.79</v>
      </c>
    </row>
    <row r="249" spans="1:8" x14ac:dyDescent="0.3">
      <c r="A249">
        <v>139</v>
      </c>
      <c r="B249" t="s">
        <v>5892</v>
      </c>
      <c r="C249" s="451">
        <v>46122</v>
      </c>
      <c r="D249" t="s">
        <v>590</v>
      </c>
      <c r="E249" t="s">
        <v>3904</v>
      </c>
      <c r="F249">
        <v>64</v>
      </c>
      <c r="G249">
        <v>2.0099999999999998</v>
      </c>
      <c r="H249">
        <v>61.99</v>
      </c>
    </row>
    <row r="250" spans="1:8" x14ac:dyDescent="0.3">
      <c r="A250">
        <v>139</v>
      </c>
      <c r="B250" t="s">
        <v>5892</v>
      </c>
      <c r="C250" s="451">
        <v>46122</v>
      </c>
      <c r="D250" t="s">
        <v>590</v>
      </c>
      <c r="E250" t="s">
        <v>3905</v>
      </c>
      <c r="F250">
        <v>4067</v>
      </c>
      <c r="G250">
        <v>142.94</v>
      </c>
      <c r="H250">
        <v>3924.06</v>
      </c>
    </row>
    <row r="251" spans="1:8" x14ac:dyDescent="0.3">
      <c r="A251">
        <v>139</v>
      </c>
      <c r="B251" t="s">
        <v>5892</v>
      </c>
      <c r="C251" s="451">
        <v>46122</v>
      </c>
      <c r="D251" t="s">
        <v>590</v>
      </c>
      <c r="E251" t="s">
        <v>20</v>
      </c>
      <c r="F251">
        <v>109.61</v>
      </c>
      <c r="G251">
        <v>0</v>
      </c>
      <c r="H251">
        <v>109.61</v>
      </c>
    </row>
    <row r="252" spans="1:8" x14ac:dyDescent="0.3">
      <c r="A252">
        <v>139</v>
      </c>
      <c r="B252" t="s">
        <v>5892</v>
      </c>
      <c r="C252" s="451">
        <v>46121</v>
      </c>
      <c r="D252" t="s">
        <v>590</v>
      </c>
      <c r="E252" t="s">
        <v>3904</v>
      </c>
      <c r="F252">
        <v>24</v>
      </c>
      <c r="G252">
        <v>1.92</v>
      </c>
      <c r="H252">
        <v>22.08</v>
      </c>
    </row>
    <row r="253" spans="1:8" x14ac:dyDescent="0.3">
      <c r="A253">
        <v>139</v>
      </c>
      <c r="B253" t="s">
        <v>5892</v>
      </c>
      <c r="C253" s="451">
        <v>46121</v>
      </c>
      <c r="D253" t="s">
        <v>590</v>
      </c>
      <c r="E253" t="s">
        <v>3905</v>
      </c>
      <c r="F253">
        <v>2774.5</v>
      </c>
      <c r="G253">
        <v>108.04</v>
      </c>
      <c r="H253">
        <v>2666.46</v>
      </c>
    </row>
    <row r="254" spans="1:8" x14ac:dyDescent="0.3">
      <c r="A254">
        <v>139</v>
      </c>
      <c r="B254" t="s">
        <v>5892</v>
      </c>
      <c r="C254" s="451">
        <v>46121</v>
      </c>
      <c r="D254" t="s">
        <v>590</v>
      </c>
      <c r="E254" t="s">
        <v>20</v>
      </c>
      <c r="F254">
        <v>71.209999999999994</v>
      </c>
      <c r="G254">
        <v>0</v>
      </c>
      <c r="H254">
        <v>71.209999999999994</v>
      </c>
    </row>
    <row r="255" spans="1:8" x14ac:dyDescent="0.3">
      <c r="A255">
        <v>139</v>
      </c>
      <c r="B255" t="s">
        <v>5892</v>
      </c>
      <c r="C255" s="451">
        <v>46120</v>
      </c>
      <c r="D255" t="s">
        <v>590</v>
      </c>
      <c r="E255" t="s">
        <v>3905</v>
      </c>
      <c r="F255">
        <v>2369.5</v>
      </c>
      <c r="G255">
        <v>91.33</v>
      </c>
      <c r="H255">
        <v>2278.17</v>
      </c>
    </row>
    <row r="256" spans="1:8" x14ac:dyDescent="0.3">
      <c r="A256">
        <v>139</v>
      </c>
      <c r="B256" t="s">
        <v>5892</v>
      </c>
      <c r="C256" s="451">
        <v>46120</v>
      </c>
      <c r="D256" t="s">
        <v>590</v>
      </c>
      <c r="E256" t="s">
        <v>3904</v>
      </c>
      <c r="F256">
        <v>86</v>
      </c>
      <c r="G256">
        <v>3.59</v>
      </c>
      <c r="H256">
        <v>82.41</v>
      </c>
    </row>
    <row r="257" spans="1:8" x14ac:dyDescent="0.3">
      <c r="A257">
        <v>139</v>
      </c>
      <c r="B257" t="s">
        <v>5892</v>
      </c>
      <c r="C257" s="451">
        <v>46120</v>
      </c>
      <c r="D257" t="s">
        <v>590</v>
      </c>
      <c r="E257" t="s">
        <v>20</v>
      </c>
      <c r="F257">
        <v>68.739999999999995</v>
      </c>
      <c r="G257">
        <v>0</v>
      </c>
      <c r="H257">
        <v>68.739999999999995</v>
      </c>
    </row>
    <row r="258" spans="1:8" x14ac:dyDescent="0.3">
      <c r="A258">
        <v>139</v>
      </c>
      <c r="B258" t="s">
        <v>5892</v>
      </c>
      <c r="C258" s="451">
        <v>46119</v>
      </c>
      <c r="D258" t="s">
        <v>590</v>
      </c>
      <c r="E258" t="s">
        <v>3904</v>
      </c>
      <c r="F258">
        <v>16</v>
      </c>
      <c r="G258">
        <v>0.35</v>
      </c>
      <c r="H258">
        <v>15.65</v>
      </c>
    </row>
    <row r="259" spans="1:8" x14ac:dyDescent="0.3">
      <c r="A259">
        <v>139</v>
      </c>
      <c r="B259" t="s">
        <v>5892</v>
      </c>
      <c r="C259" s="451">
        <v>46119</v>
      </c>
      <c r="D259" t="s">
        <v>590</v>
      </c>
      <c r="E259" t="s">
        <v>3905</v>
      </c>
      <c r="F259">
        <v>937.7</v>
      </c>
      <c r="G259">
        <v>45.09</v>
      </c>
      <c r="H259">
        <v>892.61</v>
      </c>
    </row>
    <row r="260" spans="1:8" x14ac:dyDescent="0.3">
      <c r="A260">
        <v>139</v>
      </c>
      <c r="B260" t="s">
        <v>5892</v>
      </c>
      <c r="C260" s="451">
        <v>46119</v>
      </c>
      <c r="D260" t="s">
        <v>590</v>
      </c>
      <c r="E260" t="s">
        <v>20</v>
      </c>
      <c r="F260">
        <v>60.82</v>
      </c>
      <c r="G260">
        <v>0</v>
      </c>
      <c r="H260">
        <v>60.82</v>
      </c>
    </row>
    <row r="261" spans="1:8" x14ac:dyDescent="0.3">
      <c r="A261">
        <v>139</v>
      </c>
      <c r="B261" t="s">
        <v>5892</v>
      </c>
      <c r="C261" s="451">
        <v>46118</v>
      </c>
      <c r="D261" t="s">
        <v>590</v>
      </c>
      <c r="E261" t="s">
        <v>3905</v>
      </c>
      <c r="F261">
        <v>1552.5</v>
      </c>
      <c r="G261">
        <v>68.67</v>
      </c>
      <c r="H261">
        <v>1483.83</v>
      </c>
    </row>
    <row r="262" spans="1:8" x14ac:dyDescent="0.3">
      <c r="A262">
        <v>139</v>
      </c>
      <c r="B262" t="s">
        <v>5892</v>
      </c>
      <c r="C262" s="451">
        <v>46118</v>
      </c>
      <c r="D262" t="s">
        <v>590</v>
      </c>
      <c r="E262" t="s">
        <v>3904</v>
      </c>
      <c r="F262">
        <v>32</v>
      </c>
      <c r="G262">
        <v>1.3</v>
      </c>
      <c r="H262">
        <v>30.7</v>
      </c>
    </row>
    <row r="263" spans="1:8" x14ac:dyDescent="0.3">
      <c r="A263">
        <v>139</v>
      </c>
      <c r="B263" t="s">
        <v>5892</v>
      </c>
      <c r="C263" s="451">
        <v>46118</v>
      </c>
      <c r="D263" t="s">
        <v>590</v>
      </c>
      <c r="E263" t="s">
        <v>20</v>
      </c>
      <c r="F263">
        <v>69.75</v>
      </c>
      <c r="G263">
        <v>0</v>
      </c>
      <c r="H263">
        <v>69.75</v>
      </c>
    </row>
    <row r="264" spans="1:8" x14ac:dyDescent="0.3">
      <c r="A264">
        <v>139</v>
      </c>
      <c r="B264" t="s">
        <v>5892</v>
      </c>
      <c r="C264" s="451">
        <v>46117</v>
      </c>
      <c r="D264" t="s">
        <v>590</v>
      </c>
      <c r="E264" t="s">
        <v>3905</v>
      </c>
      <c r="F264">
        <v>4330</v>
      </c>
      <c r="G264">
        <v>114.42</v>
      </c>
      <c r="H264">
        <v>4215.58</v>
      </c>
    </row>
    <row r="265" spans="1:8" x14ac:dyDescent="0.3">
      <c r="A265">
        <v>139</v>
      </c>
      <c r="B265" t="s">
        <v>5892</v>
      </c>
      <c r="C265" s="451">
        <v>46117</v>
      </c>
      <c r="D265" t="s">
        <v>590</v>
      </c>
      <c r="E265" t="s">
        <v>3904</v>
      </c>
      <c r="F265">
        <v>32</v>
      </c>
      <c r="G265">
        <v>0.47</v>
      </c>
      <c r="H265">
        <v>31.53</v>
      </c>
    </row>
    <row r="266" spans="1:8" x14ac:dyDescent="0.3">
      <c r="A266">
        <v>139</v>
      </c>
      <c r="B266" t="s">
        <v>5892</v>
      </c>
      <c r="C266" s="451">
        <v>46117</v>
      </c>
      <c r="D266" t="s">
        <v>590</v>
      </c>
      <c r="E266" t="s">
        <v>20</v>
      </c>
      <c r="F266">
        <v>78.739999999999995</v>
      </c>
      <c r="G266">
        <v>0</v>
      </c>
      <c r="H266">
        <v>78.739999999999995</v>
      </c>
    </row>
    <row r="267" spans="1:8" x14ac:dyDescent="0.3">
      <c r="A267">
        <v>139</v>
      </c>
      <c r="B267" t="s">
        <v>5892</v>
      </c>
      <c r="C267" s="451">
        <v>46116</v>
      </c>
      <c r="D267" t="s">
        <v>590</v>
      </c>
      <c r="E267" t="s">
        <v>3904</v>
      </c>
      <c r="F267">
        <v>16</v>
      </c>
      <c r="G267">
        <v>0.83</v>
      </c>
      <c r="H267">
        <v>15.17</v>
      </c>
    </row>
    <row r="268" spans="1:8" x14ac:dyDescent="0.3">
      <c r="A268">
        <v>139</v>
      </c>
      <c r="B268" t="s">
        <v>5892</v>
      </c>
      <c r="C268" s="451">
        <v>46116</v>
      </c>
      <c r="D268" t="s">
        <v>590</v>
      </c>
      <c r="E268" t="s">
        <v>3905</v>
      </c>
      <c r="F268">
        <v>4906</v>
      </c>
      <c r="G268">
        <v>84.06</v>
      </c>
      <c r="H268">
        <v>4821.9399999999996</v>
      </c>
    </row>
    <row r="269" spans="1:8" x14ac:dyDescent="0.3">
      <c r="A269">
        <v>139</v>
      </c>
      <c r="B269" t="s">
        <v>5892</v>
      </c>
      <c r="C269" s="451">
        <v>46116</v>
      </c>
      <c r="D269" t="s">
        <v>590</v>
      </c>
      <c r="E269" t="s">
        <v>20</v>
      </c>
      <c r="F269">
        <v>103.49</v>
      </c>
      <c r="G269">
        <v>0</v>
      </c>
      <c r="H269">
        <v>103.49</v>
      </c>
    </row>
    <row r="270" spans="1:8" x14ac:dyDescent="0.3">
      <c r="A270">
        <v>139</v>
      </c>
      <c r="B270" t="s">
        <v>5892</v>
      </c>
      <c r="C270" s="451">
        <v>46115</v>
      </c>
      <c r="D270" t="s">
        <v>590</v>
      </c>
      <c r="E270" t="s">
        <v>3904</v>
      </c>
      <c r="F270">
        <v>16</v>
      </c>
      <c r="G270">
        <v>0.96</v>
      </c>
      <c r="H270">
        <v>15.04</v>
      </c>
    </row>
    <row r="271" spans="1:8" x14ac:dyDescent="0.3">
      <c r="A271">
        <v>139</v>
      </c>
      <c r="B271" t="s">
        <v>5892</v>
      </c>
      <c r="C271" s="451">
        <v>46115</v>
      </c>
      <c r="D271" t="s">
        <v>590</v>
      </c>
      <c r="E271" t="s">
        <v>3905</v>
      </c>
      <c r="F271">
        <v>1633.2</v>
      </c>
      <c r="G271">
        <v>48.99</v>
      </c>
      <c r="H271">
        <v>1584.21</v>
      </c>
    </row>
    <row r="272" spans="1:8" x14ac:dyDescent="0.3">
      <c r="A272">
        <v>139</v>
      </c>
      <c r="B272" t="s">
        <v>5892</v>
      </c>
      <c r="C272" s="451">
        <v>46115</v>
      </c>
      <c r="D272" t="s">
        <v>590</v>
      </c>
      <c r="E272" t="s">
        <v>20</v>
      </c>
      <c r="F272">
        <v>52.84</v>
      </c>
      <c r="G272">
        <v>0</v>
      </c>
      <c r="H272">
        <v>52.84</v>
      </c>
    </row>
    <row r="273" spans="1:8" x14ac:dyDescent="0.3">
      <c r="A273">
        <v>139</v>
      </c>
      <c r="B273" t="s">
        <v>5892</v>
      </c>
      <c r="C273" s="451">
        <v>46114</v>
      </c>
      <c r="D273" t="s">
        <v>590</v>
      </c>
      <c r="E273" t="s">
        <v>3904</v>
      </c>
      <c r="F273">
        <v>56</v>
      </c>
      <c r="G273">
        <v>2.14</v>
      </c>
      <c r="H273">
        <v>53.86</v>
      </c>
    </row>
    <row r="274" spans="1:8" x14ac:dyDescent="0.3">
      <c r="A274">
        <v>139</v>
      </c>
      <c r="B274" t="s">
        <v>5892</v>
      </c>
      <c r="C274" s="451">
        <v>46114</v>
      </c>
      <c r="D274" t="s">
        <v>590</v>
      </c>
      <c r="E274" t="s">
        <v>3905</v>
      </c>
      <c r="F274">
        <v>1866.9</v>
      </c>
      <c r="G274">
        <v>82.78</v>
      </c>
      <c r="H274">
        <v>1784.12</v>
      </c>
    </row>
    <row r="275" spans="1:8" x14ac:dyDescent="0.3">
      <c r="A275">
        <v>139</v>
      </c>
      <c r="B275" t="s">
        <v>5892</v>
      </c>
      <c r="C275" s="451">
        <v>46114</v>
      </c>
      <c r="D275" t="s">
        <v>590</v>
      </c>
      <c r="E275" t="s">
        <v>20</v>
      </c>
      <c r="F275">
        <v>41.78</v>
      </c>
      <c r="G275">
        <v>0</v>
      </c>
      <c r="H275">
        <v>41.78</v>
      </c>
    </row>
    <row r="276" spans="1:8" x14ac:dyDescent="0.3">
      <c r="A276">
        <v>139</v>
      </c>
      <c r="B276" t="s">
        <v>5892</v>
      </c>
      <c r="C276" s="451">
        <v>46113</v>
      </c>
      <c r="D276" t="s">
        <v>590</v>
      </c>
      <c r="E276" t="s">
        <v>3905</v>
      </c>
      <c r="F276">
        <v>2292.1999999999998</v>
      </c>
      <c r="G276">
        <v>93.62</v>
      </c>
      <c r="H276">
        <v>2198.58</v>
      </c>
    </row>
    <row r="277" spans="1:8" x14ac:dyDescent="0.3">
      <c r="A277">
        <v>139</v>
      </c>
      <c r="B277" t="s">
        <v>5892</v>
      </c>
      <c r="C277" s="451">
        <v>46113</v>
      </c>
      <c r="D277" t="s">
        <v>590</v>
      </c>
      <c r="E277" t="s">
        <v>3904</v>
      </c>
      <c r="F277">
        <v>16</v>
      </c>
      <c r="G277">
        <v>1.32</v>
      </c>
      <c r="H277">
        <v>14.68</v>
      </c>
    </row>
    <row r="278" spans="1:8" x14ac:dyDescent="0.3">
      <c r="A278">
        <v>139</v>
      </c>
      <c r="B278" t="s">
        <v>5892</v>
      </c>
      <c r="C278" s="451">
        <v>46113</v>
      </c>
      <c r="D278" t="s">
        <v>590</v>
      </c>
      <c r="E278" t="s">
        <v>20</v>
      </c>
      <c r="F278">
        <v>77.72</v>
      </c>
      <c r="G278">
        <v>0</v>
      </c>
      <c r="H278">
        <v>77.72</v>
      </c>
    </row>
    <row r="279" spans="1:8" x14ac:dyDescent="0.3">
      <c r="A279">
        <v>139</v>
      </c>
      <c r="B279" t="s">
        <v>5892</v>
      </c>
      <c r="C279" s="451">
        <v>46112</v>
      </c>
      <c r="D279" t="s">
        <v>588</v>
      </c>
      <c r="E279" t="s">
        <v>3905</v>
      </c>
      <c r="F279">
        <v>1406</v>
      </c>
      <c r="G279">
        <v>67.05</v>
      </c>
      <c r="H279">
        <v>1338.95</v>
      </c>
    </row>
    <row r="280" spans="1:8" x14ac:dyDescent="0.3">
      <c r="A280">
        <v>139</v>
      </c>
      <c r="B280" t="s">
        <v>5892</v>
      </c>
      <c r="C280" s="451">
        <v>46112</v>
      </c>
      <c r="D280" t="s">
        <v>588</v>
      </c>
      <c r="E280" t="s">
        <v>3904</v>
      </c>
      <c r="F280">
        <v>32</v>
      </c>
      <c r="G280">
        <v>2.94</v>
      </c>
      <c r="H280">
        <v>29.06</v>
      </c>
    </row>
    <row r="281" spans="1:8" x14ac:dyDescent="0.3">
      <c r="A281">
        <v>139</v>
      </c>
      <c r="B281" t="s">
        <v>5892</v>
      </c>
      <c r="C281" s="451">
        <v>46112</v>
      </c>
      <c r="D281" t="s">
        <v>588</v>
      </c>
      <c r="E281" t="s">
        <v>20</v>
      </c>
      <c r="F281">
        <v>43.77</v>
      </c>
      <c r="G281">
        <v>0</v>
      </c>
      <c r="H281">
        <v>43.77</v>
      </c>
    </row>
    <row r="282" spans="1:8" x14ac:dyDescent="0.3">
      <c r="A282">
        <v>139</v>
      </c>
      <c r="B282" t="s">
        <v>5892</v>
      </c>
      <c r="C282" s="451">
        <v>46111</v>
      </c>
      <c r="D282" t="s">
        <v>588</v>
      </c>
      <c r="E282" t="s">
        <v>3905</v>
      </c>
      <c r="F282">
        <v>991.6</v>
      </c>
      <c r="G282">
        <v>70</v>
      </c>
      <c r="H282">
        <v>921.6</v>
      </c>
    </row>
    <row r="283" spans="1:8" x14ac:dyDescent="0.3">
      <c r="A283">
        <v>139</v>
      </c>
      <c r="B283" t="s">
        <v>5892</v>
      </c>
      <c r="C283" s="451">
        <v>46111</v>
      </c>
      <c r="D283" t="s">
        <v>588</v>
      </c>
      <c r="E283" t="s">
        <v>20</v>
      </c>
      <c r="F283">
        <v>41.8</v>
      </c>
      <c r="G283">
        <v>0</v>
      </c>
      <c r="H283">
        <v>41.8</v>
      </c>
    </row>
    <row r="284" spans="1:8" x14ac:dyDescent="0.3">
      <c r="A284">
        <v>139</v>
      </c>
      <c r="B284" t="s">
        <v>5892</v>
      </c>
      <c r="C284" s="451">
        <v>46110</v>
      </c>
      <c r="D284" t="s">
        <v>588</v>
      </c>
      <c r="E284" t="s">
        <v>3905</v>
      </c>
      <c r="F284">
        <v>3502</v>
      </c>
      <c r="G284">
        <v>114.57</v>
      </c>
      <c r="H284">
        <v>3387.43</v>
      </c>
    </row>
    <row r="285" spans="1:8" x14ac:dyDescent="0.3">
      <c r="A285">
        <v>139</v>
      </c>
      <c r="B285" t="s">
        <v>5892</v>
      </c>
      <c r="C285" s="451">
        <v>46110</v>
      </c>
      <c r="D285" t="s">
        <v>588</v>
      </c>
      <c r="E285" t="s">
        <v>3904</v>
      </c>
      <c r="F285">
        <v>24</v>
      </c>
      <c r="G285">
        <v>1.46</v>
      </c>
      <c r="H285">
        <v>22.54</v>
      </c>
    </row>
    <row r="286" spans="1:8" x14ac:dyDescent="0.3">
      <c r="A286">
        <v>139</v>
      </c>
      <c r="B286" t="s">
        <v>5892</v>
      </c>
      <c r="C286" s="451">
        <v>46110</v>
      </c>
      <c r="D286" t="s">
        <v>588</v>
      </c>
      <c r="E286" t="s">
        <v>20</v>
      </c>
      <c r="F286">
        <v>64.739999999999995</v>
      </c>
      <c r="G286">
        <v>0</v>
      </c>
      <c r="H286">
        <v>64.739999999999995</v>
      </c>
    </row>
    <row r="287" spans="1:8" x14ac:dyDescent="0.3">
      <c r="A287">
        <v>139</v>
      </c>
      <c r="B287" t="s">
        <v>5892</v>
      </c>
      <c r="C287" s="451">
        <v>46109</v>
      </c>
      <c r="D287" t="s">
        <v>588</v>
      </c>
      <c r="E287" t="s">
        <v>3905</v>
      </c>
      <c r="F287">
        <v>4045</v>
      </c>
      <c r="G287">
        <v>94.89</v>
      </c>
      <c r="H287">
        <v>3950.11</v>
      </c>
    </row>
    <row r="288" spans="1:8" x14ac:dyDescent="0.3">
      <c r="A288">
        <v>139</v>
      </c>
      <c r="B288" t="s">
        <v>5892</v>
      </c>
      <c r="C288" s="451">
        <v>46109</v>
      </c>
      <c r="D288" t="s">
        <v>588</v>
      </c>
      <c r="E288" t="s">
        <v>20</v>
      </c>
      <c r="F288">
        <v>98.76</v>
      </c>
      <c r="G288">
        <v>0</v>
      </c>
      <c r="H288">
        <v>98.76</v>
      </c>
    </row>
    <row r="289" spans="1:8" x14ac:dyDescent="0.3">
      <c r="A289">
        <v>139</v>
      </c>
      <c r="B289" t="s">
        <v>5892</v>
      </c>
      <c r="C289" s="451">
        <v>46108</v>
      </c>
      <c r="D289" t="s">
        <v>588</v>
      </c>
      <c r="E289" t="s">
        <v>3905</v>
      </c>
      <c r="F289">
        <v>1227.5</v>
      </c>
      <c r="G289">
        <v>58.78</v>
      </c>
      <c r="H289">
        <v>1168.72</v>
      </c>
    </row>
    <row r="290" spans="1:8" x14ac:dyDescent="0.3">
      <c r="A290">
        <v>139</v>
      </c>
      <c r="B290" t="s">
        <v>5892</v>
      </c>
      <c r="C290" s="451">
        <v>46108</v>
      </c>
      <c r="D290" t="s">
        <v>588</v>
      </c>
      <c r="E290" t="s">
        <v>20</v>
      </c>
      <c r="F290">
        <v>47.84</v>
      </c>
      <c r="G290">
        <v>0</v>
      </c>
      <c r="H290">
        <v>47.84</v>
      </c>
    </row>
    <row r="291" spans="1:8" x14ac:dyDescent="0.3">
      <c r="A291">
        <v>139</v>
      </c>
      <c r="B291" t="s">
        <v>5892</v>
      </c>
      <c r="C291" s="451">
        <v>46108</v>
      </c>
      <c r="D291" t="s">
        <v>588</v>
      </c>
      <c r="E291" t="s">
        <v>3904</v>
      </c>
      <c r="F291">
        <v>8</v>
      </c>
      <c r="G291">
        <v>1.17</v>
      </c>
      <c r="H291">
        <v>6.83</v>
      </c>
    </row>
    <row r="292" spans="1:8" x14ac:dyDescent="0.3">
      <c r="A292">
        <v>139</v>
      </c>
      <c r="B292" t="s">
        <v>5892</v>
      </c>
      <c r="C292" s="451">
        <v>46107</v>
      </c>
      <c r="D292" t="s">
        <v>588</v>
      </c>
      <c r="E292" t="s">
        <v>3904</v>
      </c>
      <c r="F292">
        <v>32</v>
      </c>
      <c r="G292">
        <v>1.74</v>
      </c>
      <c r="H292">
        <v>30.26</v>
      </c>
    </row>
    <row r="293" spans="1:8" x14ac:dyDescent="0.3">
      <c r="A293">
        <v>139</v>
      </c>
      <c r="B293" t="s">
        <v>5892</v>
      </c>
      <c r="C293" s="451">
        <v>46107</v>
      </c>
      <c r="D293" t="s">
        <v>588</v>
      </c>
      <c r="E293" t="s">
        <v>3905</v>
      </c>
      <c r="F293">
        <v>1861.8</v>
      </c>
      <c r="G293">
        <v>87.73</v>
      </c>
      <c r="H293">
        <v>1774.07</v>
      </c>
    </row>
    <row r="294" spans="1:8" x14ac:dyDescent="0.3">
      <c r="A294">
        <v>139</v>
      </c>
      <c r="B294" t="s">
        <v>5892</v>
      </c>
      <c r="C294" s="451">
        <v>46107</v>
      </c>
      <c r="D294" t="s">
        <v>588</v>
      </c>
      <c r="E294" t="s">
        <v>20</v>
      </c>
      <c r="F294">
        <v>34.770000000000003</v>
      </c>
      <c r="G294">
        <v>0</v>
      </c>
      <c r="H294">
        <v>34.770000000000003</v>
      </c>
    </row>
    <row r="295" spans="1:8" x14ac:dyDescent="0.3">
      <c r="A295">
        <v>139</v>
      </c>
      <c r="B295" t="s">
        <v>5892</v>
      </c>
      <c r="C295" s="451">
        <v>46106</v>
      </c>
      <c r="D295" t="s">
        <v>588</v>
      </c>
      <c r="E295" t="s">
        <v>3904</v>
      </c>
      <c r="F295">
        <v>24</v>
      </c>
      <c r="G295">
        <v>1.52</v>
      </c>
      <c r="H295">
        <v>22.48</v>
      </c>
    </row>
    <row r="296" spans="1:8" x14ac:dyDescent="0.3">
      <c r="A296">
        <v>139</v>
      </c>
      <c r="B296" t="s">
        <v>5892</v>
      </c>
      <c r="C296" s="451">
        <v>46106</v>
      </c>
      <c r="D296" t="s">
        <v>588</v>
      </c>
      <c r="E296" t="s">
        <v>3905</v>
      </c>
      <c r="F296">
        <v>1421.2</v>
      </c>
      <c r="G296">
        <v>73.42</v>
      </c>
      <c r="H296">
        <v>1347.78</v>
      </c>
    </row>
    <row r="297" spans="1:8" x14ac:dyDescent="0.3">
      <c r="A297">
        <v>139</v>
      </c>
      <c r="B297" t="s">
        <v>5892</v>
      </c>
      <c r="C297" s="451">
        <v>46106</v>
      </c>
      <c r="D297" t="s">
        <v>588</v>
      </c>
      <c r="E297" t="s">
        <v>20</v>
      </c>
      <c r="F297">
        <v>43.78</v>
      </c>
      <c r="G297">
        <v>0</v>
      </c>
      <c r="H297">
        <v>43.78</v>
      </c>
    </row>
    <row r="298" spans="1:8" x14ac:dyDescent="0.3">
      <c r="A298">
        <v>139</v>
      </c>
      <c r="B298" t="s">
        <v>5892</v>
      </c>
      <c r="C298" s="451">
        <v>46105</v>
      </c>
      <c r="D298" t="s">
        <v>588</v>
      </c>
      <c r="E298" t="s">
        <v>3904</v>
      </c>
      <c r="F298">
        <v>8</v>
      </c>
      <c r="G298">
        <v>0.83</v>
      </c>
      <c r="H298">
        <v>7.17</v>
      </c>
    </row>
    <row r="299" spans="1:8" x14ac:dyDescent="0.3">
      <c r="A299">
        <v>139</v>
      </c>
      <c r="B299" t="s">
        <v>5892</v>
      </c>
      <c r="C299" s="451">
        <v>46105</v>
      </c>
      <c r="D299" t="s">
        <v>588</v>
      </c>
      <c r="E299" t="s">
        <v>3905</v>
      </c>
      <c r="F299">
        <v>1060.3</v>
      </c>
      <c r="G299">
        <v>49.71</v>
      </c>
      <c r="H299">
        <v>1010.59</v>
      </c>
    </row>
    <row r="300" spans="1:8" x14ac:dyDescent="0.3">
      <c r="A300">
        <v>139</v>
      </c>
      <c r="B300" t="s">
        <v>5892</v>
      </c>
      <c r="C300" s="451">
        <v>46105</v>
      </c>
      <c r="D300" t="s">
        <v>588</v>
      </c>
      <c r="E300" t="s">
        <v>20</v>
      </c>
      <c r="F300">
        <v>23.87</v>
      </c>
      <c r="G300">
        <v>0</v>
      </c>
      <c r="H300">
        <v>23.87</v>
      </c>
    </row>
    <row r="301" spans="1:8" x14ac:dyDescent="0.3">
      <c r="A301">
        <v>139</v>
      </c>
      <c r="B301" t="s">
        <v>5892</v>
      </c>
      <c r="C301" s="451">
        <v>46104</v>
      </c>
      <c r="D301" t="s">
        <v>588</v>
      </c>
      <c r="E301" t="s">
        <v>3904</v>
      </c>
      <c r="F301">
        <v>8</v>
      </c>
      <c r="G301">
        <v>0.83</v>
      </c>
      <c r="H301">
        <v>7.17</v>
      </c>
    </row>
    <row r="302" spans="1:8" x14ac:dyDescent="0.3">
      <c r="A302">
        <v>139</v>
      </c>
      <c r="B302" t="s">
        <v>5892</v>
      </c>
      <c r="C302" s="451">
        <v>46104</v>
      </c>
      <c r="D302" t="s">
        <v>588</v>
      </c>
      <c r="E302" t="s">
        <v>3905</v>
      </c>
      <c r="F302">
        <v>1508.8</v>
      </c>
      <c r="G302">
        <v>64.13</v>
      </c>
      <c r="H302">
        <v>1444.67</v>
      </c>
    </row>
    <row r="303" spans="1:8" x14ac:dyDescent="0.3">
      <c r="A303">
        <v>139</v>
      </c>
      <c r="B303" t="s">
        <v>5892</v>
      </c>
      <c r="C303" s="451">
        <v>46104</v>
      </c>
      <c r="D303" t="s">
        <v>588</v>
      </c>
      <c r="E303" t="s">
        <v>20</v>
      </c>
      <c r="F303">
        <v>48.8</v>
      </c>
      <c r="G303">
        <v>0</v>
      </c>
      <c r="H303">
        <v>48.8</v>
      </c>
    </row>
    <row r="304" spans="1:8" x14ac:dyDescent="0.3">
      <c r="A304">
        <v>139</v>
      </c>
      <c r="B304" t="s">
        <v>5892</v>
      </c>
      <c r="C304" s="451">
        <v>46103</v>
      </c>
      <c r="D304" t="s">
        <v>588</v>
      </c>
      <c r="E304" t="s">
        <v>3905</v>
      </c>
      <c r="F304">
        <v>3959</v>
      </c>
      <c r="G304">
        <v>92.78</v>
      </c>
      <c r="H304">
        <v>3866.22</v>
      </c>
    </row>
    <row r="305" spans="1:8" x14ac:dyDescent="0.3">
      <c r="A305">
        <v>139</v>
      </c>
      <c r="B305" t="s">
        <v>5892</v>
      </c>
      <c r="C305" s="451">
        <v>46103</v>
      </c>
      <c r="D305" t="s">
        <v>588</v>
      </c>
      <c r="E305" t="s">
        <v>3904</v>
      </c>
      <c r="F305">
        <v>52</v>
      </c>
      <c r="G305">
        <v>2.09</v>
      </c>
      <c r="H305">
        <v>49.91</v>
      </c>
    </row>
    <row r="306" spans="1:8" x14ac:dyDescent="0.3">
      <c r="A306">
        <v>139</v>
      </c>
      <c r="B306" t="s">
        <v>5892</v>
      </c>
      <c r="C306" s="451">
        <v>46103</v>
      </c>
      <c r="D306" t="s">
        <v>588</v>
      </c>
      <c r="E306" t="s">
        <v>20</v>
      </c>
      <c r="F306">
        <v>52.79</v>
      </c>
      <c r="G306">
        <v>0</v>
      </c>
      <c r="H306">
        <v>52.79</v>
      </c>
    </row>
    <row r="307" spans="1:8" x14ac:dyDescent="0.3">
      <c r="A307">
        <v>139</v>
      </c>
      <c r="B307" t="s">
        <v>5892</v>
      </c>
      <c r="C307" s="451">
        <v>46102</v>
      </c>
      <c r="D307" t="s">
        <v>588</v>
      </c>
      <c r="E307" t="s">
        <v>3904</v>
      </c>
      <c r="F307">
        <v>16</v>
      </c>
      <c r="G307">
        <v>0.73</v>
      </c>
      <c r="H307">
        <v>15.27</v>
      </c>
    </row>
    <row r="308" spans="1:8" x14ac:dyDescent="0.3">
      <c r="A308">
        <v>139</v>
      </c>
      <c r="B308" t="s">
        <v>5892</v>
      </c>
      <c r="C308" s="451">
        <v>46102</v>
      </c>
      <c r="D308" t="s">
        <v>588</v>
      </c>
      <c r="E308" t="s">
        <v>3905</v>
      </c>
      <c r="F308">
        <v>2763</v>
      </c>
      <c r="G308">
        <v>99.13</v>
      </c>
      <c r="H308">
        <v>2663.87</v>
      </c>
    </row>
    <row r="309" spans="1:8" x14ac:dyDescent="0.3">
      <c r="A309">
        <v>139</v>
      </c>
      <c r="B309" t="s">
        <v>5892</v>
      </c>
      <c r="C309" s="451">
        <v>46102</v>
      </c>
      <c r="D309" t="s">
        <v>588</v>
      </c>
      <c r="E309" t="s">
        <v>20</v>
      </c>
      <c r="F309">
        <v>72.77</v>
      </c>
      <c r="G309">
        <v>0</v>
      </c>
      <c r="H309">
        <v>72.77</v>
      </c>
    </row>
    <row r="310" spans="1:8" x14ac:dyDescent="0.3">
      <c r="A310">
        <v>139</v>
      </c>
      <c r="B310" t="s">
        <v>5892</v>
      </c>
      <c r="C310" s="451">
        <v>46101</v>
      </c>
      <c r="D310" t="s">
        <v>588</v>
      </c>
      <c r="E310" t="s">
        <v>3904</v>
      </c>
      <c r="F310">
        <v>8</v>
      </c>
      <c r="G310">
        <v>0.46</v>
      </c>
      <c r="H310">
        <v>7.54</v>
      </c>
    </row>
    <row r="311" spans="1:8" x14ac:dyDescent="0.3">
      <c r="A311">
        <v>139</v>
      </c>
      <c r="B311" t="s">
        <v>5892</v>
      </c>
      <c r="C311" s="451">
        <v>46101</v>
      </c>
      <c r="D311" t="s">
        <v>588</v>
      </c>
      <c r="E311" t="s">
        <v>3905</v>
      </c>
      <c r="F311">
        <v>2634.4</v>
      </c>
      <c r="G311">
        <v>116.3</v>
      </c>
      <c r="H311">
        <v>2518.1</v>
      </c>
    </row>
    <row r="312" spans="1:8" x14ac:dyDescent="0.3">
      <c r="A312">
        <v>139</v>
      </c>
      <c r="B312" t="s">
        <v>5892</v>
      </c>
      <c r="C312" s="451">
        <v>46101</v>
      </c>
      <c r="D312" t="s">
        <v>588</v>
      </c>
      <c r="E312" t="s">
        <v>20</v>
      </c>
      <c r="F312">
        <v>89.88</v>
      </c>
      <c r="G312">
        <v>0</v>
      </c>
      <c r="H312">
        <v>89.88</v>
      </c>
    </row>
    <row r="313" spans="1:8" x14ac:dyDescent="0.3">
      <c r="A313">
        <v>139</v>
      </c>
      <c r="B313" t="s">
        <v>5892</v>
      </c>
      <c r="C313" s="451">
        <v>46100</v>
      </c>
      <c r="D313" t="s">
        <v>588</v>
      </c>
      <c r="E313" t="s">
        <v>3905</v>
      </c>
      <c r="F313">
        <v>3465.3</v>
      </c>
      <c r="G313">
        <v>129.49</v>
      </c>
      <c r="H313">
        <v>3335.81</v>
      </c>
    </row>
    <row r="314" spans="1:8" x14ac:dyDescent="0.3">
      <c r="A314">
        <v>139</v>
      </c>
      <c r="B314" t="s">
        <v>5892</v>
      </c>
      <c r="C314" s="451">
        <v>46100</v>
      </c>
      <c r="D314" t="s">
        <v>588</v>
      </c>
      <c r="E314" t="s">
        <v>20</v>
      </c>
      <c r="F314">
        <v>90.67</v>
      </c>
      <c r="G314">
        <v>0</v>
      </c>
      <c r="H314">
        <v>90.67</v>
      </c>
    </row>
    <row r="315" spans="1:8" x14ac:dyDescent="0.3">
      <c r="A315">
        <v>139</v>
      </c>
      <c r="B315" t="s">
        <v>5892</v>
      </c>
      <c r="C315" s="451">
        <v>46100</v>
      </c>
      <c r="D315" t="s">
        <v>588</v>
      </c>
      <c r="E315" t="s">
        <v>3904</v>
      </c>
      <c r="F315">
        <v>16</v>
      </c>
      <c r="G315">
        <v>0.43</v>
      </c>
      <c r="H315">
        <v>15.57</v>
      </c>
    </row>
    <row r="316" spans="1:8" x14ac:dyDescent="0.3">
      <c r="A316">
        <v>139</v>
      </c>
      <c r="B316" t="s">
        <v>5892</v>
      </c>
      <c r="C316" s="451">
        <v>46099</v>
      </c>
      <c r="D316" t="s">
        <v>588</v>
      </c>
      <c r="E316" t="s">
        <v>3905</v>
      </c>
      <c r="F316">
        <v>2421</v>
      </c>
      <c r="G316">
        <v>79.92</v>
      </c>
      <c r="H316">
        <v>2341.08</v>
      </c>
    </row>
    <row r="317" spans="1:8" x14ac:dyDescent="0.3">
      <c r="A317">
        <v>139</v>
      </c>
      <c r="B317" t="s">
        <v>5892</v>
      </c>
      <c r="C317" s="451">
        <v>46099</v>
      </c>
      <c r="D317" t="s">
        <v>588</v>
      </c>
      <c r="E317" t="s">
        <v>20</v>
      </c>
      <c r="F317">
        <v>19.8</v>
      </c>
      <c r="G317">
        <v>0</v>
      </c>
      <c r="H317">
        <v>19.8</v>
      </c>
    </row>
    <row r="318" spans="1:8" x14ac:dyDescent="0.3">
      <c r="A318">
        <v>139</v>
      </c>
      <c r="B318" t="s">
        <v>5892</v>
      </c>
      <c r="C318" s="451">
        <v>46098</v>
      </c>
      <c r="D318" t="s">
        <v>588</v>
      </c>
      <c r="E318" t="s">
        <v>3905</v>
      </c>
      <c r="F318">
        <v>1239.5999999999999</v>
      </c>
      <c r="G318">
        <v>68.83</v>
      </c>
      <c r="H318">
        <v>1170.77</v>
      </c>
    </row>
    <row r="319" spans="1:8" x14ac:dyDescent="0.3">
      <c r="A319">
        <v>139</v>
      </c>
      <c r="B319" t="s">
        <v>5892</v>
      </c>
      <c r="C319" s="451">
        <v>46098</v>
      </c>
      <c r="D319" t="s">
        <v>588</v>
      </c>
      <c r="E319" t="s">
        <v>3904</v>
      </c>
      <c r="F319">
        <v>16</v>
      </c>
      <c r="G319">
        <v>1.1499999999999999</v>
      </c>
      <c r="H319">
        <v>14.85</v>
      </c>
    </row>
    <row r="320" spans="1:8" x14ac:dyDescent="0.3">
      <c r="A320">
        <v>139</v>
      </c>
      <c r="B320" t="s">
        <v>5892</v>
      </c>
      <c r="C320" s="451">
        <v>46098</v>
      </c>
      <c r="D320" t="s">
        <v>588</v>
      </c>
      <c r="E320" t="s">
        <v>20</v>
      </c>
      <c r="F320">
        <v>21.81</v>
      </c>
      <c r="G320">
        <v>0</v>
      </c>
      <c r="H320">
        <v>21.81</v>
      </c>
    </row>
    <row r="321" spans="1:8" x14ac:dyDescent="0.3">
      <c r="A321">
        <v>139</v>
      </c>
      <c r="B321" t="s">
        <v>5892</v>
      </c>
      <c r="C321" s="451">
        <v>46097</v>
      </c>
      <c r="D321" t="s">
        <v>588</v>
      </c>
      <c r="E321" t="s">
        <v>3905</v>
      </c>
      <c r="F321">
        <v>1331.4</v>
      </c>
      <c r="G321">
        <v>74.98</v>
      </c>
      <c r="H321">
        <v>1256.42</v>
      </c>
    </row>
    <row r="322" spans="1:8" x14ac:dyDescent="0.3">
      <c r="A322">
        <v>139</v>
      </c>
      <c r="B322" t="s">
        <v>5892</v>
      </c>
      <c r="C322" s="451">
        <v>46097</v>
      </c>
      <c r="D322" t="s">
        <v>588</v>
      </c>
      <c r="E322" t="s">
        <v>20</v>
      </c>
      <c r="F322">
        <v>61.4</v>
      </c>
      <c r="G322">
        <v>0</v>
      </c>
      <c r="H322">
        <v>61.4</v>
      </c>
    </row>
    <row r="323" spans="1:8" x14ac:dyDescent="0.3">
      <c r="A323">
        <v>139</v>
      </c>
      <c r="B323" t="s">
        <v>5892</v>
      </c>
      <c r="C323" s="451">
        <v>46096</v>
      </c>
      <c r="D323" t="s">
        <v>588</v>
      </c>
      <c r="E323" t="s">
        <v>3904</v>
      </c>
      <c r="F323">
        <v>16</v>
      </c>
      <c r="G323">
        <v>0.54</v>
      </c>
      <c r="H323">
        <v>15.46</v>
      </c>
    </row>
    <row r="324" spans="1:8" x14ac:dyDescent="0.3">
      <c r="A324">
        <v>139</v>
      </c>
      <c r="B324" t="s">
        <v>5892</v>
      </c>
      <c r="C324" s="451">
        <v>46096</v>
      </c>
      <c r="D324" t="s">
        <v>588</v>
      </c>
      <c r="E324" t="s">
        <v>3905</v>
      </c>
      <c r="F324">
        <v>3009</v>
      </c>
      <c r="G324">
        <v>114.31</v>
      </c>
      <c r="H324">
        <v>2894.69</v>
      </c>
    </row>
    <row r="325" spans="1:8" x14ac:dyDescent="0.3">
      <c r="A325">
        <v>139</v>
      </c>
      <c r="B325" t="s">
        <v>5892</v>
      </c>
      <c r="C325" s="451">
        <v>46096</v>
      </c>
      <c r="D325" t="s">
        <v>588</v>
      </c>
      <c r="E325" t="s">
        <v>20</v>
      </c>
      <c r="F325">
        <v>79.760000000000005</v>
      </c>
      <c r="G325">
        <v>0</v>
      </c>
      <c r="H325">
        <v>79.760000000000005</v>
      </c>
    </row>
    <row r="326" spans="1:8" x14ac:dyDescent="0.3">
      <c r="A326">
        <v>139</v>
      </c>
      <c r="B326" t="s">
        <v>5892</v>
      </c>
      <c r="C326" s="451">
        <v>46095</v>
      </c>
      <c r="D326" t="s">
        <v>588</v>
      </c>
      <c r="E326" t="s">
        <v>3904</v>
      </c>
      <c r="F326">
        <v>40</v>
      </c>
      <c r="G326">
        <v>1.72</v>
      </c>
      <c r="H326">
        <v>38.28</v>
      </c>
    </row>
    <row r="327" spans="1:8" x14ac:dyDescent="0.3">
      <c r="A327">
        <v>139</v>
      </c>
      <c r="B327" t="s">
        <v>5892</v>
      </c>
      <c r="C327" s="451">
        <v>46095</v>
      </c>
      <c r="D327" t="s">
        <v>588</v>
      </c>
      <c r="E327" t="s">
        <v>3905</v>
      </c>
      <c r="F327">
        <v>2773</v>
      </c>
      <c r="G327">
        <v>83.23</v>
      </c>
      <c r="H327">
        <v>2689.77</v>
      </c>
    </row>
    <row r="328" spans="1:8" x14ac:dyDescent="0.3">
      <c r="A328">
        <v>139</v>
      </c>
      <c r="B328" t="s">
        <v>5892</v>
      </c>
      <c r="C328" s="451">
        <v>46095</v>
      </c>
      <c r="D328" t="s">
        <v>588</v>
      </c>
      <c r="E328" t="s">
        <v>20</v>
      </c>
      <c r="F328">
        <v>76.77</v>
      </c>
      <c r="G328">
        <v>0</v>
      </c>
      <c r="H328">
        <v>76.77</v>
      </c>
    </row>
    <row r="329" spans="1:8" x14ac:dyDescent="0.3">
      <c r="A329">
        <v>139</v>
      </c>
      <c r="B329" t="s">
        <v>5892</v>
      </c>
      <c r="C329" s="451">
        <v>46094</v>
      </c>
      <c r="D329" t="s">
        <v>588</v>
      </c>
      <c r="E329" t="s">
        <v>3905</v>
      </c>
      <c r="F329">
        <v>3254.5</v>
      </c>
      <c r="G329">
        <v>89.94</v>
      </c>
      <c r="H329">
        <v>3164.56</v>
      </c>
    </row>
    <row r="330" spans="1:8" x14ac:dyDescent="0.3">
      <c r="A330">
        <v>139</v>
      </c>
      <c r="B330" t="s">
        <v>5892</v>
      </c>
      <c r="C330" s="451">
        <v>46094</v>
      </c>
      <c r="D330" t="s">
        <v>588</v>
      </c>
      <c r="E330" t="s">
        <v>20</v>
      </c>
      <c r="F330">
        <v>177.63</v>
      </c>
      <c r="G330">
        <v>0</v>
      </c>
      <c r="H330">
        <v>177.63</v>
      </c>
    </row>
    <row r="331" spans="1:8" x14ac:dyDescent="0.3">
      <c r="A331">
        <v>139</v>
      </c>
      <c r="B331" t="s">
        <v>5892</v>
      </c>
      <c r="C331" s="451">
        <v>46093</v>
      </c>
      <c r="D331" t="s">
        <v>588</v>
      </c>
      <c r="E331" t="s">
        <v>3905</v>
      </c>
      <c r="F331">
        <v>2405.1</v>
      </c>
      <c r="G331">
        <v>108.52</v>
      </c>
      <c r="H331">
        <v>2296.58</v>
      </c>
    </row>
    <row r="332" spans="1:8" x14ac:dyDescent="0.3">
      <c r="A332">
        <v>139</v>
      </c>
      <c r="B332" t="s">
        <v>5892</v>
      </c>
      <c r="C332" s="451">
        <v>46093</v>
      </c>
      <c r="D332" t="s">
        <v>588</v>
      </c>
      <c r="E332" t="s">
        <v>20</v>
      </c>
      <c r="F332">
        <v>130.66999999999999</v>
      </c>
      <c r="G332">
        <v>0</v>
      </c>
      <c r="H332">
        <v>130.66999999999999</v>
      </c>
    </row>
    <row r="333" spans="1:8" x14ac:dyDescent="0.3">
      <c r="A333">
        <v>139</v>
      </c>
      <c r="B333" t="s">
        <v>5892</v>
      </c>
      <c r="C333" s="451">
        <v>46093</v>
      </c>
      <c r="D333" t="s">
        <v>588</v>
      </c>
      <c r="E333" t="s">
        <v>3904</v>
      </c>
      <c r="F333">
        <v>40</v>
      </c>
      <c r="G333">
        <v>1.39</v>
      </c>
      <c r="H333">
        <v>38.61</v>
      </c>
    </row>
    <row r="334" spans="1:8" x14ac:dyDescent="0.3">
      <c r="A334">
        <v>139</v>
      </c>
      <c r="B334" t="s">
        <v>5892</v>
      </c>
      <c r="C334" s="451">
        <v>46092</v>
      </c>
      <c r="D334" t="s">
        <v>588</v>
      </c>
      <c r="E334" t="s">
        <v>3905</v>
      </c>
      <c r="F334">
        <v>1765.1</v>
      </c>
      <c r="G334">
        <v>99.35</v>
      </c>
      <c r="H334">
        <v>1665.75</v>
      </c>
    </row>
    <row r="335" spans="1:8" x14ac:dyDescent="0.3">
      <c r="A335">
        <v>139</v>
      </c>
      <c r="B335" t="s">
        <v>5892</v>
      </c>
      <c r="C335" s="451">
        <v>46092</v>
      </c>
      <c r="D335" t="s">
        <v>588</v>
      </c>
      <c r="E335" t="s">
        <v>20</v>
      </c>
      <c r="F335">
        <v>63.74</v>
      </c>
      <c r="G335">
        <v>0</v>
      </c>
      <c r="H335">
        <v>63.74</v>
      </c>
    </row>
    <row r="336" spans="1:8" x14ac:dyDescent="0.3">
      <c r="A336">
        <v>139</v>
      </c>
      <c r="B336" t="s">
        <v>5892</v>
      </c>
      <c r="C336" s="451">
        <v>46092</v>
      </c>
      <c r="D336" t="s">
        <v>588</v>
      </c>
      <c r="E336" t="s">
        <v>3904</v>
      </c>
      <c r="F336">
        <v>24</v>
      </c>
      <c r="G336">
        <v>1.18</v>
      </c>
      <c r="H336">
        <v>22.82</v>
      </c>
    </row>
    <row r="337" spans="1:8" x14ac:dyDescent="0.3">
      <c r="A337">
        <v>139</v>
      </c>
      <c r="B337" t="s">
        <v>5892</v>
      </c>
      <c r="C337" s="451">
        <v>46091</v>
      </c>
      <c r="D337" t="s">
        <v>588</v>
      </c>
      <c r="E337" t="s">
        <v>3904</v>
      </c>
      <c r="F337">
        <v>56</v>
      </c>
      <c r="G337">
        <v>0.49</v>
      </c>
      <c r="H337">
        <v>55.51</v>
      </c>
    </row>
    <row r="338" spans="1:8" x14ac:dyDescent="0.3">
      <c r="A338">
        <v>139</v>
      </c>
      <c r="B338" t="s">
        <v>5892</v>
      </c>
      <c r="C338" s="451">
        <v>46091</v>
      </c>
      <c r="D338" t="s">
        <v>588</v>
      </c>
      <c r="E338" t="s">
        <v>3905</v>
      </c>
      <c r="F338">
        <v>1542.9</v>
      </c>
      <c r="G338">
        <v>64.48</v>
      </c>
      <c r="H338">
        <v>1478.42</v>
      </c>
    </row>
    <row r="339" spans="1:8" x14ac:dyDescent="0.3">
      <c r="A339">
        <v>139</v>
      </c>
      <c r="B339" t="s">
        <v>5892</v>
      </c>
      <c r="C339" s="451">
        <v>46091</v>
      </c>
      <c r="D339" t="s">
        <v>588</v>
      </c>
      <c r="E339" t="s">
        <v>20</v>
      </c>
      <c r="F339">
        <v>71.8</v>
      </c>
      <c r="G339">
        <v>0</v>
      </c>
      <c r="H339">
        <v>71.8</v>
      </c>
    </row>
    <row r="340" spans="1:8" x14ac:dyDescent="0.3">
      <c r="A340">
        <v>139</v>
      </c>
      <c r="B340" t="s">
        <v>5892</v>
      </c>
      <c r="C340" s="451">
        <v>46090</v>
      </c>
      <c r="D340" t="s">
        <v>588</v>
      </c>
      <c r="E340" t="s">
        <v>3905</v>
      </c>
      <c r="F340">
        <v>1602.6</v>
      </c>
      <c r="G340">
        <v>108.58</v>
      </c>
      <c r="H340">
        <v>1494.02</v>
      </c>
    </row>
    <row r="341" spans="1:8" x14ac:dyDescent="0.3">
      <c r="A341">
        <v>139</v>
      </c>
      <c r="B341" t="s">
        <v>5892</v>
      </c>
      <c r="C341" s="451">
        <v>46090</v>
      </c>
      <c r="D341" t="s">
        <v>588</v>
      </c>
      <c r="E341" t="s">
        <v>3904</v>
      </c>
      <c r="F341">
        <v>16</v>
      </c>
      <c r="G341">
        <v>1.4</v>
      </c>
      <c r="H341">
        <v>14.6</v>
      </c>
    </row>
    <row r="342" spans="1:8" x14ac:dyDescent="0.3">
      <c r="A342">
        <v>139</v>
      </c>
      <c r="B342" t="s">
        <v>5892</v>
      </c>
      <c r="C342" s="451">
        <v>46090</v>
      </c>
      <c r="D342" t="s">
        <v>588</v>
      </c>
      <c r="E342" t="s">
        <v>20</v>
      </c>
      <c r="F342">
        <v>45.73</v>
      </c>
      <c r="G342">
        <v>0</v>
      </c>
      <c r="H342">
        <v>45.73</v>
      </c>
    </row>
    <row r="343" spans="1:8" x14ac:dyDescent="0.3">
      <c r="A343">
        <v>139</v>
      </c>
      <c r="B343" t="s">
        <v>5892</v>
      </c>
      <c r="C343" s="451">
        <v>46089</v>
      </c>
      <c r="D343" t="s">
        <v>588</v>
      </c>
      <c r="E343" t="s">
        <v>3904</v>
      </c>
      <c r="F343">
        <v>80</v>
      </c>
      <c r="G343">
        <v>1.07</v>
      </c>
      <c r="H343">
        <v>78.930000000000007</v>
      </c>
    </row>
    <row r="344" spans="1:8" x14ac:dyDescent="0.3">
      <c r="A344">
        <v>139</v>
      </c>
      <c r="B344" t="s">
        <v>5892</v>
      </c>
      <c r="C344" s="451">
        <v>46089</v>
      </c>
      <c r="D344" t="s">
        <v>588</v>
      </c>
      <c r="E344" t="s">
        <v>3905</v>
      </c>
      <c r="F344">
        <v>5342</v>
      </c>
      <c r="G344">
        <v>92.28</v>
      </c>
      <c r="H344">
        <v>5249.72</v>
      </c>
    </row>
    <row r="345" spans="1:8" x14ac:dyDescent="0.3">
      <c r="A345">
        <v>139</v>
      </c>
      <c r="B345" t="s">
        <v>5892</v>
      </c>
      <c r="C345" s="451">
        <v>46089</v>
      </c>
      <c r="D345" t="s">
        <v>588</v>
      </c>
      <c r="E345" t="s">
        <v>20</v>
      </c>
      <c r="F345">
        <v>98.74</v>
      </c>
      <c r="G345">
        <v>0</v>
      </c>
      <c r="H345">
        <v>98.74</v>
      </c>
    </row>
    <row r="346" spans="1:8" x14ac:dyDescent="0.3">
      <c r="A346">
        <v>139</v>
      </c>
      <c r="B346" t="s">
        <v>5892</v>
      </c>
      <c r="C346" s="451">
        <v>46088</v>
      </c>
      <c r="D346" t="s">
        <v>588</v>
      </c>
      <c r="E346" t="s">
        <v>3904</v>
      </c>
      <c r="F346">
        <v>68</v>
      </c>
      <c r="G346">
        <v>2.2000000000000002</v>
      </c>
      <c r="H346">
        <v>65.8</v>
      </c>
    </row>
    <row r="347" spans="1:8" x14ac:dyDescent="0.3">
      <c r="A347">
        <v>139</v>
      </c>
      <c r="B347" t="s">
        <v>5892</v>
      </c>
      <c r="C347" s="451">
        <v>46088</v>
      </c>
      <c r="D347" t="s">
        <v>588</v>
      </c>
      <c r="E347" t="s">
        <v>3905</v>
      </c>
      <c r="F347">
        <v>3616</v>
      </c>
      <c r="G347">
        <v>98.83</v>
      </c>
      <c r="H347">
        <v>3517.17</v>
      </c>
    </row>
    <row r="348" spans="1:8" x14ac:dyDescent="0.3">
      <c r="A348">
        <v>139</v>
      </c>
      <c r="B348" t="s">
        <v>5892</v>
      </c>
      <c r="C348" s="451">
        <v>46088</v>
      </c>
      <c r="D348" t="s">
        <v>588</v>
      </c>
      <c r="E348" t="s">
        <v>20</v>
      </c>
      <c r="F348">
        <v>77.77</v>
      </c>
      <c r="G348">
        <v>0</v>
      </c>
      <c r="H348">
        <v>77.77</v>
      </c>
    </row>
    <row r="349" spans="1:8" x14ac:dyDescent="0.3">
      <c r="A349">
        <v>139</v>
      </c>
      <c r="B349" t="s">
        <v>5892</v>
      </c>
      <c r="C349" s="451">
        <v>46087</v>
      </c>
      <c r="D349" t="s">
        <v>588</v>
      </c>
      <c r="E349" t="s">
        <v>3905</v>
      </c>
      <c r="F349">
        <v>3198.3</v>
      </c>
      <c r="G349">
        <v>113.85</v>
      </c>
      <c r="H349">
        <v>3084.45</v>
      </c>
    </row>
    <row r="350" spans="1:8" x14ac:dyDescent="0.3">
      <c r="A350">
        <v>139</v>
      </c>
      <c r="B350" t="s">
        <v>5892</v>
      </c>
      <c r="C350" s="451">
        <v>46087</v>
      </c>
      <c r="D350" t="s">
        <v>588</v>
      </c>
      <c r="E350" t="s">
        <v>20</v>
      </c>
      <c r="F350">
        <v>91.72</v>
      </c>
      <c r="G350">
        <v>0</v>
      </c>
      <c r="H350">
        <v>91.72</v>
      </c>
    </row>
    <row r="351" spans="1:8" x14ac:dyDescent="0.3">
      <c r="A351">
        <v>139</v>
      </c>
      <c r="B351" t="s">
        <v>5892</v>
      </c>
      <c r="C351" s="451">
        <v>46087</v>
      </c>
      <c r="D351" t="s">
        <v>588</v>
      </c>
      <c r="E351" t="s">
        <v>3904</v>
      </c>
      <c r="F351">
        <v>24</v>
      </c>
      <c r="G351">
        <v>1.03</v>
      </c>
      <c r="H351">
        <v>22.97</v>
      </c>
    </row>
    <row r="352" spans="1:8" x14ac:dyDescent="0.3">
      <c r="A352">
        <v>139</v>
      </c>
      <c r="B352" t="s">
        <v>5892</v>
      </c>
      <c r="C352" s="451">
        <v>46086</v>
      </c>
      <c r="D352" t="s">
        <v>588</v>
      </c>
      <c r="E352" t="s">
        <v>3905</v>
      </c>
      <c r="F352">
        <v>1034.2</v>
      </c>
      <c r="G352">
        <v>58.93</v>
      </c>
      <c r="H352">
        <v>975.27</v>
      </c>
    </row>
    <row r="353" spans="1:8" x14ac:dyDescent="0.3">
      <c r="A353">
        <v>139</v>
      </c>
      <c r="B353" t="s">
        <v>5892</v>
      </c>
      <c r="C353" s="451">
        <v>46086</v>
      </c>
      <c r="D353" t="s">
        <v>588</v>
      </c>
      <c r="E353" t="s">
        <v>3904</v>
      </c>
      <c r="F353">
        <v>19</v>
      </c>
      <c r="G353">
        <v>1.04</v>
      </c>
      <c r="H353">
        <v>17.96</v>
      </c>
    </row>
    <row r="354" spans="1:8" x14ac:dyDescent="0.3">
      <c r="A354">
        <v>139</v>
      </c>
      <c r="B354" t="s">
        <v>5892</v>
      </c>
      <c r="C354" s="451">
        <v>46086</v>
      </c>
      <c r="D354" t="s">
        <v>588</v>
      </c>
      <c r="E354" t="s">
        <v>20</v>
      </c>
      <c r="F354">
        <v>51.85</v>
      </c>
      <c r="G354">
        <v>0</v>
      </c>
      <c r="H354">
        <v>51.85</v>
      </c>
    </row>
    <row r="355" spans="1:8" x14ac:dyDescent="0.3">
      <c r="A355">
        <v>139</v>
      </c>
      <c r="B355" t="s">
        <v>5892</v>
      </c>
      <c r="C355" s="451">
        <v>46085</v>
      </c>
      <c r="D355" t="s">
        <v>588</v>
      </c>
      <c r="E355" t="s">
        <v>3905</v>
      </c>
      <c r="F355">
        <v>1372.6</v>
      </c>
      <c r="G355">
        <v>53.59</v>
      </c>
      <c r="H355">
        <v>1319.01</v>
      </c>
    </row>
    <row r="356" spans="1:8" x14ac:dyDescent="0.3">
      <c r="A356">
        <v>139</v>
      </c>
      <c r="B356" t="s">
        <v>5892</v>
      </c>
      <c r="C356" s="451">
        <v>46085</v>
      </c>
      <c r="D356" t="s">
        <v>588</v>
      </c>
      <c r="E356" t="s">
        <v>3904</v>
      </c>
      <c r="F356">
        <v>24</v>
      </c>
      <c r="G356">
        <v>1.4</v>
      </c>
      <c r="H356">
        <v>22.6</v>
      </c>
    </row>
    <row r="357" spans="1:8" x14ac:dyDescent="0.3">
      <c r="A357">
        <v>139</v>
      </c>
      <c r="B357" t="s">
        <v>5892</v>
      </c>
      <c r="C357" s="451">
        <v>46085</v>
      </c>
      <c r="D357" t="s">
        <v>588</v>
      </c>
      <c r="E357" t="s">
        <v>20</v>
      </c>
      <c r="F357">
        <v>27.83</v>
      </c>
      <c r="G357">
        <v>0</v>
      </c>
      <c r="H357">
        <v>27.83</v>
      </c>
    </row>
    <row r="358" spans="1:8" x14ac:dyDescent="0.3">
      <c r="A358">
        <v>139</v>
      </c>
      <c r="B358" t="s">
        <v>5892</v>
      </c>
      <c r="C358" s="451">
        <v>46084</v>
      </c>
      <c r="D358" t="s">
        <v>588</v>
      </c>
      <c r="E358" t="s">
        <v>3905</v>
      </c>
      <c r="F358">
        <v>1510.9</v>
      </c>
      <c r="G358">
        <v>79.56</v>
      </c>
      <c r="H358">
        <v>1431.34</v>
      </c>
    </row>
    <row r="359" spans="1:8" x14ac:dyDescent="0.3">
      <c r="A359">
        <v>139</v>
      </c>
      <c r="B359" t="s">
        <v>5892</v>
      </c>
      <c r="C359" s="451">
        <v>46084</v>
      </c>
      <c r="D359" t="s">
        <v>588</v>
      </c>
      <c r="E359" t="s">
        <v>3904</v>
      </c>
      <c r="F359">
        <v>24</v>
      </c>
      <c r="G359">
        <v>0.88</v>
      </c>
      <c r="H359">
        <v>23.12</v>
      </c>
    </row>
    <row r="360" spans="1:8" x14ac:dyDescent="0.3">
      <c r="A360">
        <v>139</v>
      </c>
      <c r="B360" t="s">
        <v>5892</v>
      </c>
      <c r="C360" s="451">
        <v>46084</v>
      </c>
      <c r="D360" t="s">
        <v>588</v>
      </c>
      <c r="E360" t="s">
        <v>20</v>
      </c>
      <c r="F360">
        <v>51.78</v>
      </c>
      <c r="G360">
        <v>0</v>
      </c>
      <c r="H360">
        <v>51.78</v>
      </c>
    </row>
    <row r="361" spans="1:8" x14ac:dyDescent="0.3">
      <c r="A361">
        <v>139</v>
      </c>
      <c r="B361" t="s">
        <v>5892</v>
      </c>
      <c r="C361" s="451">
        <v>46083</v>
      </c>
      <c r="D361" t="s">
        <v>588</v>
      </c>
      <c r="E361" t="s">
        <v>3904</v>
      </c>
      <c r="F361">
        <v>24</v>
      </c>
      <c r="G361">
        <v>1.17</v>
      </c>
      <c r="H361">
        <v>22.83</v>
      </c>
    </row>
    <row r="362" spans="1:8" x14ac:dyDescent="0.3">
      <c r="A362">
        <v>139</v>
      </c>
      <c r="B362" t="s">
        <v>5892</v>
      </c>
      <c r="C362" s="451">
        <v>46083</v>
      </c>
      <c r="D362" t="s">
        <v>588</v>
      </c>
      <c r="E362" t="s">
        <v>3905</v>
      </c>
      <c r="F362">
        <v>1359.5</v>
      </c>
      <c r="G362">
        <v>103.21</v>
      </c>
      <c r="H362">
        <v>1256.29</v>
      </c>
    </row>
    <row r="363" spans="1:8" x14ac:dyDescent="0.3">
      <c r="A363">
        <v>139</v>
      </c>
      <c r="B363" t="s">
        <v>5892</v>
      </c>
      <c r="C363" s="451">
        <v>46083</v>
      </c>
      <c r="D363" t="s">
        <v>588</v>
      </c>
      <c r="E363" t="s">
        <v>20</v>
      </c>
      <c r="F363">
        <v>34.81</v>
      </c>
      <c r="G363">
        <v>0</v>
      </c>
      <c r="H363">
        <v>34.81</v>
      </c>
    </row>
    <row r="364" spans="1:8" x14ac:dyDescent="0.3">
      <c r="A364">
        <v>139</v>
      </c>
      <c r="B364" t="s">
        <v>5892</v>
      </c>
      <c r="C364" s="451">
        <v>46082</v>
      </c>
      <c r="D364" t="s">
        <v>588</v>
      </c>
      <c r="E364" t="s">
        <v>3904</v>
      </c>
      <c r="F364">
        <v>24</v>
      </c>
      <c r="G364">
        <v>0.61</v>
      </c>
      <c r="H364">
        <v>23.39</v>
      </c>
    </row>
    <row r="365" spans="1:8" x14ac:dyDescent="0.3">
      <c r="A365">
        <v>139</v>
      </c>
      <c r="B365" t="s">
        <v>5892</v>
      </c>
      <c r="C365" s="451">
        <v>46082</v>
      </c>
      <c r="D365" t="s">
        <v>588</v>
      </c>
      <c r="E365" t="s">
        <v>3905</v>
      </c>
      <c r="F365">
        <v>3410</v>
      </c>
      <c r="G365">
        <v>54.39</v>
      </c>
      <c r="H365">
        <v>3355.61</v>
      </c>
    </row>
    <row r="366" spans="1:8" x14ac:dyDescent="0.3">
      <c r="A366">
        <v>139</v>
      </c>
      <c r="B366" t="s">
        <v>5892</v>
      </c>
      <c r="C366" s="451">
        <v>46082</v>
      </c>
      <c r="D366" t="s">
        <v>588</v>
      </c>
      <c r="E366" t="s">
        <v>20</v>
      </c>
      <c r="F366">
        <v>39.82</v>
      </c>
      <c r="G366">
        <v>0</v>
      </c>
      <c r="H366">
        <v>39.82</v>
      </c>
    </row>
    <row r="367" spans="1:8" x14ac:dyDescent="0.3">
      <c r="A367">
        <v>139</v>
      </c>
      <c r="B367" t="s">
        <v>5892</v>
      </c>
      <c r="C367" s="451">
        <v>46081</v>
      </c>
      <c r="D367" t="s">
        <v>586</v>
      </c>
      <c r="E367" t="s">
        <v>3905</v>
      </c>
      <c r="F367">
        <v>2155</v>
      </c>
      <c r="G367">
        <v>64.930000000000007</v>
      </c>
      <c r="H367">
        <v>2090.0700000000002</v>
      </c>
    </row>
    <row r="368" spans="1:8" x14ac:dyDescent="0.3">
      <c r="A368">
        <v>139</v>
      </c>
      <c r="B368" t="s">
        <v>5892</v>
      </c>
      <c r="C368" s="451">
        <v>46081</v>
      </c>
      <c r="D368" t="s">
        <v>586</v>
      </c>
      <c r="E368" t="s">
        <v>20</v>
      </c>
      <c r="F368">
        <v>60.86</v>
      </c>
      <c r="G368">
        <v>0</v>
      </c>
      <c r="H368">
        <v>60.86</v>
      </c>
    </row>
    <row r="369" spans="1:8" x14ac:dyDescent="0.3">
      <c r="A369">
        <v>139</v>
      </c>
      <c r="B369" t="s">
        <v>5892</v>
      </c>
      <c r="C369" s="451">
        <v>46080</v>
      </c>
      <c r="D369" t="s">
        <v>586</v>
      </c>
      <c r="E369" t="s">
        <v>3904</v>
      </c>
      <c r="F369">
        <v>16</v>
      </c>
      <c r="G369">
        <v>0.71</v>
      </c>
      <c r="H369">
        <v>15.29</v>
      </c>
    </row>
    <row r="370" spans="1:8" x14ac:dyDescent="0.3">
      <c r="A370">
        <v>139</v>
      </c>
      <c r="B370" t="s">
        <v>5892</v>
      </c>
      <c r="C370" s="451">
        <v>46080</v>
      </c>
      <c r="D370" t="s">
        <v>586</v>
      </c>
      <c r="E370" t="s">
        <v>3905</v>
      </c>
      <c r="F370">
        <v>1806.7</v>
      </c>
      <c r="G370">
        <v>64.41</v>
      </c>
      <c r="H370">
        <v>1742.29</v>
      </c>
    </row>
    <row r="371" spans="1:8" x14ac:dyDescent="0.3">
      <c r="A371">
        <v>139</v>
      </c>
      <c r="B371" t="s">
        <v>5892</v>
      </c>
      <c r="C371" s="451">
        <v>46080</v>
      </c>
      <c r="D371" t="s">
        <v>586</v>
      </c>
      <c r="E371" t="s">
        <v>20</v>
      </c>
      <c r="F371">
        <v>70.760000000000005</v>
      </c>
      <c r="G371">
        <v>0</v>
      </c>
      <c r="H371">
        <v>70.760000000000005</v>
      </c>
    </row>
    <row r="372" spans="1:8" x14ac:dyDescent="0.3">
      <c r="A372">
        <v>139</v>
      </c>
      <c r="B372" t="s">
        <v>5892</v>
      </c>
      <c r="C372" s="451">
        <v>46079</v>
      </c>
      <c r="D372" t="s">
        <v>586</v>
      </c>
      <c r="E372" t="s">
        <v>3905</v>
      </c>
      <c r="F372">
        <v>1088.0999999999999</v>
      </c>
      <c r="G372">
        <v>59.94</v>
      </c>
      <c r="H372">
        <v>1028.1600000000001</v>
      </c>
    </row>
    <row r="373" spans="1:8" x14ac:dyDescent="0.3">
      <c r="A373">
        <v>139</v>
      </c>
      <c r="B373" t="s">
        <v>5892</v>
      </c>
      <c r="C373" s="451">
        <v>46079</v>
      </c>
      <c r="D373" t="s">
        <v>586</v>
      </c>
      <c r="E373" t="s">
        <v>20</v>
      </c>
      <c r="F373">
        <v>46.83</v>
      </c>
      <c r="G373">
        <v>0</v>
      </c>
      <c r="H373">
        <v>46.83</v>
      </c>
    </row>
    <row r="374" spans="1:8" x14ac:dyDescent="0.3">
      <c r="A374">
        <v>139</v>
      </c>
      <c r="B374" t="s">
        <v>5892</v>
      </c>
      <c r="C374" s="451">
        <v>46078</v>
      </c>
      <c r="D374" t="s">
        <v>586</v>
      </c>
      <c r="E374" t="s">
        <v>3904</v>
      </c>
      <c r="F374">
        <v>16</v>
      </c>
      <c r="G374">
        <v>0.32</v>
      </c>
      <c r="H374">
        <v>15.68</v>
      </c>
    </row>
    <row r="375" spans="1:8" x14ac:dyDescent="0.3">
      <c r="A375">
        <v>139</v>
      </c>
      <c r="B375" t="s">
        <v>5892</v>
      </c>
      <c r="C375" s="451">
        <v>46078</v>
      </c>
      <c r="D375" t="s">
        <v>586</v>
      </c>
      <c r="E375" t="s">
        <v>3905</v>
      </c>
      <c r="F375">
        <v>1172.5</v>
      </c>
      <c r="G375">
        <v>60.14</v>
      </c>
      <c r="H375">
        <v>1112.3599999999999</v>
      </c>
    </row>
    <row r="376" spans="1:8" x14ac:dyDescent="0.3">
      <c r="A376">
        <v>139</v>
      </c>
      <c r="B376" t="s">
        <v>5892</v>
      </c>
      <c r="C376" s="451">
        <v>46078</v>
      </c>
      <c r="D376" t="s">
        <v>586</v>
      </c>
      <c r="E376" t="s">
        <v>20</v>
      </c>
      <c r="F376">
        <v>40.81</v>
      </c>
      <c r="G376">
        <v>0</v>
      </c>
      <c r="H376">
        <v>40.81</v>
      </c>
    </row>
    <row r="377" spans="1:8" x14ac:dyDescent="0.3">
      <c r="A377">
        <v>139</v>
      </c>
      <c r="B377" t="s">
        <v>5892</v>
      </c>
      <c r="C377" s="451">
        <v>46077</v>
      </c>
      <c r="D377" t="s">
        <v>586</v>
      </c>
      <c r="E377" t="s">
        <v>3905</v>
      </c>
      <c r="F377">
        <v>949.2</v>
      </c>
      <c r="G377">
        <v>20</v>
      </c>
      <c r="H377">
        <v>929.2</v>
      </c>
    </row>
    <row r="378" spans="1:8" x14ac:dyDescent="0.3">
      <c r="A378">
        <v>139</v>
      </c>
      <c r="B378" t="s">
        <v>5892</v>
      </c>
      <c r="C378" s="451">
        <v>46077</v>
      </c>
      <c r="D378" t="s">
        <v>586</v>
      </c>
      <c r="E378" t="s">
        <v>20</v>
      </c>
      <c r="F378">
        <v>28.95</v>
      </c>
      <c r="G378">
        <v>0</v>
      </c>
      <c r="H378">
        <v>28.95</v>
      </c>
    </row>
    <row r="379" spans="1:8" x14ac:dyDescent="0.3">
      <c r="A379">
        <v>139</v>
      </c>
      <c r="B379" t="s">
        <v>5892</v>
      </c>
      <c r="C379" s="451">
        <v>46076</v>
      </c>
      <c r="D379" t="s">
        <v>586</v>
      </c>
      <c r="E379" t="s">
        <v>3904</v>
      </c>
      <c r="F379">
        <v>8</v>
      </c>
      <c r="G379">
        <v>0.46</v>
      </c>
      <c r="H379">
        <v>7.54</v>
      </c>
    </row>
    <row r="380" spans="1:8" x14ac:dyDescent="0.3">
      <c r="A380">
        <v>139</v>
      </c>
      <c r="B380" t="s">
        <v>5892</v>
      </c>
      <c r="C380" s="451">
        <v>46076</v>
      </c>
      <c r="D380" t="s">
        <v>586</v>
      </c>
      <c r="E380" t="s">
        <v>3905</v>
      </c>
      <c r="F380">
        <v>1940.8</v>
      </c>
      <c r="G380">
        <v>84.46</v>
      </c>
      <c r="H380">
        <v>1856.34</v>
      </c>
    </row>
    <row r="381" spans="1:8" x14ac:dyDescent="0.3">
      <c r="A381">
        <v>139</v>
      </c>
      <c r="B381" t="s">
        <v>5892</v>
      </c>
      <c r="C381" s="451">
        <v>46076</v>
      </c>
      <c r="D381" t="s">
        <v>586</v>
      </c>
      <c r="E381" t="s">
        <v>20</v>
      </c>
      <c r="F381">
        <v>49.86</v>
      </c>
      <c r="G381">
        <v>0</v>
      </c>
      <c r="H381">
        <v>49.86</v>
      </c>
    </row>
    <row r="382" spans="1:8" x14ac:dyDescent="0.3">
      <c r="A382">
        <v>139</v>
      </c>
      <c r="B382" t="s">
        <v>5892</v>
      </c>
      <c r="C382" s="451">
        <v>46075</v>
      </c>
      <c r="D382" t="s">
        <v>586</v>
      </c>
      <c r="E382" t="s">
        <v>3905</v>
      </c>
      <c r="F382">
        <v>1885</v>
      </c>
      <c r="G382">
        <v>30</v>
      </c>
      <c r="H382">
        <v>1855</v>
      </c>
    </row>
    <row r="383" spans="1:8" x14ac:dyDescent="0.3">
      <c r="A383">
        <v>139</v>
      </c>
      <c r="B383" t="s">
        <v>5892</v>
      </c>
      <c r="C383" s="451">
        <v>46075</v>
      </c>
      <c r="D383" t="s">
        <v>586</v>
      </c>
      <c r="E383" t="s">
        <v>20</v>
      </c>
      <c r="F383">
        <v>31.88</v>
      </c>
      <c r="G383">
        <v>0</v>
      </c>
      <c r="H383">
        <v>31.88</v>
      </c>
    </row>
    <row r="384" spans="1:8" x14ac:dyDescent="0.3">
      <c r="A384">
        <v>139</v>
      </c>
      <c r="B384" t="s">
        <v>5892</v>
      </c>
      <c r="C384" s="451">
        <v>46074</v>
      </c>
      <c r="D384" t="s">
        <v>586</v>
      </c>
      <c r="E384" t="s">
        <v>3904</v>
      </c>
      <c r="F384">
        <v>8</v>
      </c>
      <c r="G384">
        <v>0.23</v>
      </c>
      <c r="H384">
        <v>7.77</v>
      </c>
    </row>
    <row r="385" spans="1:8" x14ac:dyDescent="0.3">
      <c r="A385">
        <v>139</v>
      </c>
      <c r="B385" t="s">
        <v>5892</v>
      </c>
      <c r="C385" s="451">
        <v>46074</v>
      </c>
      <c r="D385" t="s">
        <v>586</v>
      </c>
      <c r="E385" t="s">
        <v>3905</v>
      </c>
      <c r="F385">
        <v>2299</v>
      </c>
      <c r="G385">
        <v>89.66</v>
      </c>
      <c r="H385">
        <v>2209.34</v>
      </c>
    </row>
    <row r="386" spans="1:8" x14ac:dyDescent="0.3">
      <c r="A386">
        <v>139</v>
      </c>
      <c r="B386" t="s">
        <v>5892</v>
      </c>
      <c r="C386" s="451">
        <v>46074</v>
      </c>
      <c r="D386" t="s">
        <v>586</v>
      </c>
      <c r="E386" t="s">
        <v>20</v>
      </c>
      <c r="F386">
        <v>25.81</v>
      </c>
      <c r="G386">
        <v>0</v>
      </c>
      <c r="H386">
        <v>25.81</v>
      </c>
    </row>
    <row r="387" spans="1:8" x14ac:dyDescent="0.3">
      <c r="A387">
        <v>139</v>
      </c>
      <c r="B387" t="s">
        <v>5892</v>
      </c>
      <c r="C387" s="451">
        <v>46073</v>
      </c>
      <c r="D387" t="s">
        <v>586</v>
      </c>
      <c r="E387" t="s">
        <v>3904</v>
      </c>
      <c r="F387">
        <v>24</v>
      </c>
      <c r="G387">
        <v>0.62</v>
      </c>
      <c r="H387">
        <v>23.38</v>
      </c>
    </row>
    <row r="388" spans="1:8" x14ac:dyDescent="0.3">
      <c r="A388">
        <v>139</v>
      </c>
      <c r="B388" t="s">
        <v>5892</v>
      </c>
      <c r="C388" s="451">
        <v>46073</v>
      </c>
      <c r="D388" t="s">
        <v>586</v>
      </c>
      <c r="E388" t="s">
        <v>3905</v>
      </c>
      <c r="F388">
        <v>1609.2</v>
      </c>
      <c r="G388">
        <v>59.38</v>
      </c>
      <c r="H388">
        <v>1549.82</v>
      </c>
    </row>
    <row r="389" spans="1:8" x14ac:dyDescent="0.3">
      <c r="A389">
        <v>139</v>
      </c>
      <c r="B389" t="s">
        <v>5892</v>
      </c>
      <c r="C389" s="451">
        <v>46073</v>
      </c>
      <c r="D389" t="s">
        <v>586</v>
      </c>
      <c r="E389" t="s">
        <v>20</v>
      </c>
      <c r="F389">
        <v>38.82</v>
      </c>
      <c r="G389">
        <v>0</v>
      </c>
      <c r="H389">
        <v>38.82</v>
      </c>
    </row>
    <row r="390" spans="1:8" x14ac:dyDescent="0.3">
      <c r="A390">
        <v>139</v>
      </c>
      <c r="B390" t="s">
        <v>5892</v>
      </c>
      <c r="C390" s="451">
        <v>46072</v>
      </c>
      <c r="D390" t="s">
        <v>586</v>
      </c>
      <c r="E390" t="s">
        <v>3905</v>
      </c>
      <c r="F390">
        <v>1253.5</v>
      </c>
      <c r="G390">
        <v>69.27</v>
      </c>
      <c r="H390">
        <v>1184.23</v>
      </c>
    </row>
    <row r="391" spans="1:8" x14ac:dyDescent="0.3">
      <c r="A391">
        <v>139</v>
      </c>
      <c r="B391" t="s">
        <v>5892</v>
      </c>
      <c r="C391" s="451">
        <v>46072</v>
      </c>
      <c r="D391" t="s">
        <v>586</v>
      </c>
      <c r="E391" t="s">
        <v>3904</v>
      </c>
      <c r="F391">
        <v>8</v>
      </c>
      <c r="G391">
        <v>0.65</v>
      </c>
      <c r="H391">
        <v>7.35</v>
      </c>
    </row>
    <row r="392" spans="1:8" x14ac:dyDescent="0.3">
      <c r="A392">
        <v>139</v>
      </c>
      <c r="B392" t="s">
        <v>5892</v>
      </c>
      <c r="C392" s="451">
        <v>46072</v>
      </c>
      <c r="D392" t="s">
        <v>586</v>
      </c>
      <c r="E392" t="s">
        <v>20</v>
      </c>
      <c r="F392">
        <v>19.850000000000001</v>
      </c>
      <c r="G392">
        <v>0</v>
      </c>
      <c r="H392">
        <v>19.850000000000001</v>
      </c>
    </row>
    <row r="393" spans="1:8" x14ac:dyDescent="0.3">
      <c r="A393">
        <v>139</v>
      </c>
      <c r="B393" t="s">
        <v>5892</v>
      </c>
      <c r="C393" s="451">
        <v>46071</v>
      </c>
      <c r="D393" t="s">
        <v>586</v>
      </c>
      <c r="E393" t="s">
        <v>3904</v>
      </c>
      <c r="F393">
        <v>16</v>
      </c>
      <c r="G393">
        <v>0.71</v>
      </c>
      <c r="H393">
        <v>15.29</v>
      </c>
    </row>
    <row r="394" spans="1:8" x14ac:dyDescent="0.3">
      <c r="A394">
        <v>139</v>
      </c>
      <c r="B394" t="s">
        <v>5892</v>
      </c>
      <c r="C394" s="451">
        <v>46071</v>
      </c>
      <c r="D394" t="s">
        <v>586</v>
      </c>
      <c r="E394" t="s">
        <v>3905</v>
      </c>
      <c r="F394">
        <v>1124.3</v>
      </c>
      <c r="G394">
        <v>39.19</v>
      </c>
      <c r="H394">
        <v>1085.1099999999999</v>
      </c>
    </row>
    <row r="395" spans="1:8" x14ac:dyDescent="0.3">
      <c r="A395">
        <v>139</v>
      </c>
      <c r="B395" t="s">
        <v>5892</v>
      </c>
      <c r="C395" s="451">
        <v>46071</v>
      </c>
      <c r="D395" t="s">
        <v>586</v>
      </c>
      <c r="E395" t="s">
        <v>20</v>
      </c>
      <c r="F395">
        <v>14.9</v>
      </c>
      <c r="G395">
        <v>0</v>
      </c>
      <c r="H395">
        <v>14.9</v>
      </c>
    </row>
    <row r="396" spans="1:8" x14ac:dyDescent="0.3">
      <c r="A396">
        <v>139</v>
      </c>
      <c r="B396" t="s">
        <v>5892</v>
      </c>
      <c r="C396" s="451">
        <v>46070</v>
      </c>
      <c r="D396" t="s">
        <v>586</v>
      </c>
      <c r="E396" t="s">
        <v>3905</v>
      </c>
      <c r="F396">
        <v>882</v>
      </c>
      <c r="G396">
        <v>0</v>
      </c>
      <c r="H396">
        <v>882</v>
      </c>
    </row>
    <row r="397" spans="1:8" x14ac:dyDescent="0.3">
      <c r="A397">
        <v>139</v>
      </c>
      <c r="B397" t="s">
        <v>5892</v>
      </c>
      <c r="C397" s="451">
        <v>46069</v>
      </c>
      <c r="D397" t="s">
        <v>586</v>
      </c>
      <c r="E397" t="s">
        <v>3904</v>
      </c>
      <c r="F397">
        <v>16</v>
      </c>
      <c r="G397">
        <v>0</v>
      </c>
      <c r="H397">
        <v>16</v>
      </c>
    </row>
    <row r="398" spans="1:8" x14ac:dyDescent="0.3">
      <c r="A398">
        <v>139</v>
      </c>
      <c r="B398" t="s">
        <v>5892</v>
      </c>
      <c r="C398" s="451">
        <v>46069</v>
      </c>
      <c r="D398" t="s">
        <v>586</v>
      </c>
      <c r="E398" t="s">
        <v>3905</v>
      </c>
      <c r="F398">
        <v>1048</v>
      </c>
      <c r="G398">
        <v>0</v>
      </c>
      <c r="H398">
        <v>1048</v>
      </c>
    </row>
    <row r="399" spans="1:8" x14ac:dyDescent="0.3">
      <c r="A399">
        <v>139</v>
      </c>
      <c r="B399" t="s">
        <v>5892</v>
      </c>
      <c r="C399" s="451">
        <v>46068</v>
      </c>
      <c r="D399" t="s">
        <v>586</v>
      </c>
      <c r="E399" t="s">
        <v>3905</v>
      </c>
      <c r="F399">
        <v>390</v>
      </c>
      <c r="G399">
        <v>2</v>
      </c>
      <c r="H399">
        <v>388</v>
      </c>
    </row>
    <row r="400" spans="1:8" x14ac:dyDescent="0.3">
      <c r="A400">
        <v>139</v>
      </c>
      <c r="B400" t="s">
        <v>5892</v>
      </c>
      <c r="C400" s="451">
        <v>46067</v>
      </c>
      <c r="D400" t="s">
        <v>586</v>
      </c>
      <c r="E400" t="s">
        <v>3905</v>
      </c>
      <c r="F400">
        <v>1755</v>
      </c>
      <c r="G400">
        <v>4.74</v>
      </c>
      <c r="H400">
        <v>1750.26</v>
      </c>
    </row>
    <row r="401" spans="1:8" x14ac:dyDescent="0.3">
      <c r="A401">
        <v>139</v>
      </c>
      <c r="B401" t="s">
        <v>5892</v>
      </c>
      <c r="C401" s="451">
        <v>46067</v>
      </c>
      <c r="D401" t="s">
        <v>586</v>
      </c>
      <c r="E401" t="s">
        <v>3904</v>
      </c>
      <c r="F401">
        <v>28</v>
      </c>
      <c r="G401">
        <v>0.26</v>
      </c>
      <c r="H401">
        <v>27.74</v>
      </c>
    </row>
    <row r="402" spans="1:8" x14ac:dyDescent="0.3">
      <c r="A402">
        <v>139</v>
      </c>
      <c r="B402" t="s">
        <v>5892</v>
      </c>
      <c r="C402" s="451">
        <v>46066</v>
      </c>
      <c r="D402" t="s">
        <v>586</v>
      </c>
      <c r="E402" t="s">
        <v>3905</v>
      </c>
      <c r="F402">
        <v>1130</v>
      </c>
      <c r="G402">
        <v>2</v>
      </c>
      <c r="H402">
        <v>1128</v>
      </c>
    </row>
    <row r="403" spans="1:8" x14ac:dyDescent="0.3">
      <c r="A403">
        <v>139</v>
      </c>
      <c r="B403" t="s">
        <v>5892</v>
      </c>
      <c r="C403" s="451">
        <v>46065</v>
      </c>
      <c r="D403" t="s">
        <v>586</v>
      </c>
      <c r="E403" t="s">
        <v>20</v>
      </c>
      <c r="F403">
        <v>24.87</v>
      </c>
      <c r="G403">
        <v>0</v>
      </c>
      <c r="H403">
        <v>24.87</v>
      </c>
    </row>
    <row r="404" spans="1:8" x14ac:dyDescent="0.3">
      <c r="A404">
        <v>139</v>
      </c>
      <c r="B404" t="s">
        <v>5892</v>
      </c>
      <c r="C404" s="451">
        <v>46065</v>
      </c>
      <c r="D404" t="s">
        <v>586</v>
      </c>
      <c r="E404" t="s">
        <v>3905</v>
      </c>
      <c r="F404">
        <v>686.7</v>
      </c>
      <c r="G404">
        <v>28.67</v>
      </c>
      <c r="H404">
        <v>658.03</v>
      </c>
    </row>
    <row r="405" spans="1:8" x14ac:dyDescent="0.3">
      <c r="A405">
        <v>139</v>
      </c>
      <c r="B405" t="s">
        <v>5892</v>
      </c>
      <c r="C405" s="451">
        <v>46064</v>
      </c>
      <c r="D405" t="s">
        <v>586</v>
      </c>
      <c r="E405" t="s">
        <v>3904</v>
      </c>
      <c r="F405">
        <v>32</v>
      </c>
      <c r="G405">
        <v>2.41</v>
      </c>
      <c r="H405">
        <v>29.59</v>
      </c>
    </row>
    <row r="406" spans="1:8" x14ac:dyDescent="0.3">
      <c r="A406">
        <v>139</v>
      </c>
      <c r="B406" t="s">
        <v>5892</v>
      </c>
      <c r="C406" s="451">
        <v>46064</v>
      </c>
      <c r="D406" t="s">
        <v>586</v>
      </c>
      <c r="E406" t="s">
        <v>3905</v>
      </c>
      <c r="F406">
        <v>1736</v>
      </c>
      <c r="G406">
        <v>72.59</v>
      </c>
      <c r="H406">
        <v>1663.41</v>
      </c>
    </row>
    <row r="407" spans="1:8" x14ac:dyDescent="0.3">
      <c r="A407">
        <v>139</v>
      </c>
      <c r="B407" t="s">
        <v>5892</v>
      </c>
      <c r="C407" s="451">
        <v>46064</v>
      </c>
      <c r="D407" t="s">
        <v>586</v>
      </c>
      <c r="E407" t="s">
        <v>20</v>
      </c>
      <c r="F407">
        <v>39.78</v>
      </c>
      <c r="G407">
        <v>0</v>
      </c>
      <c r="H407">
        <v>39.78</v>
      </c>
    </row>
    <row r="408" spans="1:8" x14ac:dyDescent="0.3">
      <c r="A408">
        <v>139</v>
      </c>
      <c r="B408" t="s">
        <v>5892</v>
      </c>
      <c r="C408" s="451">
        <v>46063</v>
      </c>
      <c r="D408" t="s">
        <v>586</v>
      </c>
      <c r="E408" t="s">
        <v>20</v>
      </c>
      <c r="F408">
        <v>14.91</v>
      </c>
      <c r="G408">
        <v>0</v>
      </c>
      <c r="H408">
        <v>14.91</v>
      </c>
    </row>
    <row r="409" spans="1:8" x14ac:dyDescent="0.3">
      <c r="A409">
        <v>139</v>
      </c>
      <c r="B409" t="s">
        <v>5892</v>
      </c>
      <c r="C409" s="451">
        <v>46063</v>
      </c>
      <c r="D409" t="s">
        <v>586</v>
      </c>
      <c r="E409" t="s">
        <v>3905</v>
      </c>
      <c r="F409">
        <v>422.1</v>
      </c>
      <c r="G409">
        <v>35</v>
      </c>
      <c r="H409">
        <v>387.1</v>
      </c>
    </row>
    <row r="410" spans="1:8" x14ac:dyDescent="0.3">
      <c r="A410">
        <v>139</v>
      </c>
      <c r="B410" t="s">
        <v>5892</v>
      </c>
      <c r="C410" s="451">
        <v>46062</v>
      </c>
      <c r="D410" t="s">
        <v>586</v>
      </c>
      <c r="E410" t="s">
        <v>3905</v>
      </c>
      <c r="F410">
        <v>699</v>
      </c>
      <c r="G410">
        <v>49.5</v>
      </c>
      <c r="H410">
        <v>649.5</v>
      </c>
    </row>
    <row r="411" spans="1:8" x14ac:dyDescent="0.3">
      <c r="A411">
        <v>139</v>
      </c>
      <c r="B411" t="s">
        <v>5892</v>
      </c>
      <c r="C411" s="451">
        <v>46062</v>
      </c>
      <c r="D411" t="s">
        <v>586</v>
      </c>
      <c r="E411" t="s">
        <v>20</v>
      </c>
      <c r="F411">
        <v>11.88</v>
      </c>
      <c r="G411">
        <v>0</v>
      </c>
      <c r="H411">
        <v>11.88</v>
      </c>
    </row>
    <row r="412" spans="1:8" x14ac:dyDescent="0.3">
      <c r="A412">
        <v>139</v>
      </c>
      <c r="B412" t="s">
        <v>5892</v>
      </c>
      <c r="C412" s="451">
        <v>46062</v>
      </c>
      <c r="D412" t="s">
        <v>586</v>
      </c>
      <c r="E412" t="s">
        <v>3904</v>
      </c>
      <c r="F412">
        <v>8</v>
      </c>
      <c r="G412">
        <v>0.49</v>
      </c>
      <c r="H412">
        <v>7.51</v>
      </c>
    </row>
    <row r="413" spans="1:8" x14ac:dyDescent="0.3">
      <c r="A413">
        <v>139</v>
      </c>
      <c r="B413" t="s">
        <v>5892</v>
      </c>
      <c r="C413" s="451">
        <v>46061</v>
      </c>
      <c r="D413" t="s">
        <v>586</v>
      </c>
      <c r="E413" t="s">
        <v>3904</v>
      </c>
      <c r="F413">
        <v>16</v>
      </c>
      <c r="G413">
        <v>0.43</v>
      </c>
      <c r="H413">
        <v>15.57</v>
      </c>
    </row>
    <row r="414" spans="1:8" x14ac:dyDescent="0.3">
      <c r="A414">
        <v>139</v>
      </c>
      <c r="B414" t="s">
        <v>5892</v>
      </c>
      <c r="C414" s="451">
        <v>46061</v>
      </c>
      <c r="D414" t="s">
        <v>586</v>
      </c>
      <c r="E414" t="s">
        <v>3905</v>
      </c>
      <c r="F414">
        <v>4080</v>
      </c>
      <c r="G414">
        <v>84.57</v>
      </c>
      <c r="H414">
        <v>3995.43</v>
      </c>
    </row>
    <row r="415" spans="1:8" x14ac:dyDescent="0.3">
      <c r="A415">
        <v>139</v>
      </c>
      <c r="B415" t="s">
        <v>5892</v>
      </c>
      <c r="C415" s="451">
        <v>46061</v>
      </c>
      <c r="D415" t="s">
        <v>586</v>
      </c>
      <c r="E415" t="s">
        <v>20</v>
      </c>
      <c r="F415">
        <v>74.790000000000006</v>
      </c>
      <c r="G415">
        <v>0</v>
      </c>
      <c r="H415">
        <v>74.790000000000006</v>
      </c>
    </row>
    <row r="416" spans="1:8" x14ac:dyDescent="0.3">
      <c r="A416">
        <v>139</v>
      </c>
      <c r="B416" t="s">
        <v>5892</v>
      </c>
      <c r="C416" s="451">
        <v>46060</v>
      </c>
      <c r="D416" t="s">
        <v>586</v>
      </c>
      <c r="E416" t="s">
        <v>3904</v>
      </c>
      <c r="F416">
        <v>16</v>
      </c>
      <c r="G416">
        <v>0.42</v>
      </c>
      <c r="H416">
        <v>15.58</v>
      </c>
    </row>
    <row r="417" spans="1:8" x14ac:dyDescent="0.3">
      <c r="A417">
        <v>139</v>
      </c>
      <c r="B417" t="s">
        <v>5892</v>
      </c>
      <c r="C417" s="451">
        <v>46060</v>
      </c>
      <c r="D417" t="s">
        <v>586</v>
      </c>
      <c r="E417" t="s">
        <v>3905</v>
      </c>
      <c r="F417">
        <v>2612</v>
      </c>
      <c r="G417">
        <v>44.51</v>
      </c>
      <c r="H417">
        <v>2567.4899999999998</v>
      </c>
    </row>
    <row r="418" spans="1:8" x14ac:dyDescent="0.3">
      <c r="A418">
        <v>139</v>
      </c>
      <c r="B418" t="s">
        <v>5892</v>
      </c>
      <c r="C418" s="451">
        <v>46060</v>
      </c>
      <c r="D418" t="s">
        <v>586</v>
      </c>
      <c r="E418" t="s">
        <v>20</v>
      </c>
      <c r="F418">
        <v>30.88</v>
      </c>
      <c r="G418">
        <v>0</v>
      </c>
      <c r="H418">
        <v>30.88</v>
      </c>
    </row>
    <row r="419" spans="1:8" x14ac:dyDescent="0.3">
      <c r="A419">
        <v>139</v>
      </c>
      <c r="B419" t="s">
        <v>5892</v>
      </c>
      <c r="C419" s="451">
        <v>46059</v>
      </c>
      <c r="D419" t="s">
        <v>586</v>
      </c>
      <c r="E419" t="s">
        <v>3905</v>
      </c>
      <c r="F419">
        <v>1182</v>
      </c>
      <c r="G419">
        <v>35</v>
      </c>
      <c r="H419">
        <v>1147</v>
      </c>
    </row>
    <row r="420" spans="1:8" x14ac:dyDescent="0.3">
      <c r="A420">
        <v>139</v>
      </c>
      <c r="B420" t="s">
        <v>5892</v>
      </c>
      <c r="C420" s="451">
        <v>46059</v>
      </c>
      <c r="D420" t="s">
        <v>586</v>
      </c>
      <c r="E420" t="s">
        <v>20</v>
      </c>
      <c r="F420">
        <v>45.83</v>
      </c>
      <c r="G420">
        <v>0</v>
      </c>
      <c r="H420">
        <v>45.83</v>
      </c>
    </row>
    <row r="421" spans="1:8" x14ac:dyDescent="0.3">
      <c r="A421">
        <v>139</v>
      </c>
      <c r="B421" t="s">
        <v>5892</v>
      </c>
      <c r="C421" s="451">
        <v>46058</v>
      </c>
      <c r="D421" t="s">
        <v>586</v>
      </c>
      <c r="E421" t="s">
        <v>3905</v>
      </c>
      <c r="F421">
        <v>1183.5999999999999</v>
      </c>
      <c r="G421">
        <v>49.08</v>
      </c>
      <c r="H421">
        <v>1134.52</v>
      </c>
    </row>
    <row r="422" spans="1:8" x14ac:dyDescent="0.3">
      <c r="A422">
        <v>139</v>
      </c>
      <c r="B422" t="s">
        <v>5892</v>
      </c>
      <c r="C422" s="451">
        <v>46058</v>
      </c>
      <c r="D422" t="s">
        <v>586</v>
      </c>
      <c r="E422" t="s">
        <v>20</v>
      </c>
      <c r="F422">
        <v>34.81</v>
      </c>
      <c r="G422">
        <v>0</v>
      </c>
      <c r="H422">
        <v>34.81</v>
      </c>
    </row>
    <row r="423" spans="1:8" x14ac:dyDescent="0.3">
      <c r="A423">
        <v>139</v>
      </c>
      <c r="B423" t="s">
        <v>5892</v>
      </c>
      <c r="C423" s="451">
        <v>46058</v>
      </c>
      <c r="D423" t="s">
        <v>586</v>
      </c>
      <c r="E423" t="s">
        <v>3904</v>
      </c>
      <c r="F423">
        <v>16</v>
      </c>
      <c r="G423">
        <v>0.92</v>
      </c>
      <c r="H423">
        <v>15.08</v>
      </c>
    </row>
    <row r="424" spans="1:8" x14ac:dyDescent="0.3">
      <c r="A424">
        <v>139</v>
      </c>
      <c r="B424" t="s">
        <v>5892</v>
      </c>
      <c r="C424" s="451">
        <v>46057</v>
      </c>
      <c r="D424" t="s">
        <v>586</v>
      </c>
      <c r="E424" t="s">
        <v>3905</v>
      </c>
      <c r="F424">
        <v>1352.2</v>
      </c>
      <c r="G424">
        <v>50</v>
      </c>
      <c r="H424">
        <v>1302.2</v>
      </c>
    </row>
    <row r="425" spans="1:8" x14ac:dyDescent="0.3">
      <c r="A425">
        <v>139</v>
      </c>
      <c r="B425" t="s">
        <v>5892</v>
      </c>
      <c r="C425" s="451">
        <v>46057</v>
      </c>
      <c r="D425" t="s">
        <v>586</v>
      </c>
      <c r="E425" t="s">
        <v>20</v>
      </c>
      <c r="F425">
        <v>58.81</v>
      </c>
      <c r="G425">
        <v>0</v>
      </c>
      <c r="H425">
        <v>58.81</v>
      </c>
    </row>
    <row r="426" spans="1:8" x14ac:dyDescent="0.3">
      <c r="A426">
        <v>139</v>
      </c>
      <c r="B426" t="s">
        <v>5892</v>
      </c>
      <c r="C426" s="451">
        <v>46056</v>
      </c>
      <c r="D426" t="s">
        <v>586</v>
      </c>
      <c r="E426" t="s">
        <v>3905</v>
      </c>
      <c r="F426">
        <v>953.4</v>
      </c>
      <c r="G426">
        <v>44.31</v>
      </c>
      <c r="H426">
        <v>909.09</v>
      </c>
    </row>
    <row r="427" spans="1:8" x14ac:dyDescent="0.3">
      <c r="A427">
        <v>139</v>
      </c>
      <c r="B427" t="s">
        <v>5892</v>
      </c>
      <c r="C427" s="451">
        <v>46056</v>
      </c>
      <c r="D427" t="s">
        <v>586</v>
      </c>
      <c r="E427" t="s">
        <v>20</v>
      </c>
      <c r="F427">
        <v>29.85</v>
      </c>
      <c r="G427">
        <v>0</v>
      </c>
      <c r="H427">
        <v>29.85</v>
      </c>
    </row>
    <row r="428" spans="1:8" x14ac:dyDescent="0.3">
      <c r="A428">
        <v>139</v>
      </c>
      <c r="B428" t="s">
        <v>5892</v>
      </c>
      <c r="C428" s="451">
        <v>46056</v>
      </c>
      <c r="D428" t="s">
        <v>586</v>
      </c>
      <c r="E428" t="s">
        <v>3904</v>
      </c>
      <c r="F428">
        <v>8</v>
      </c>
      <c r="G428">
        <v>0.69</v>
      </c>
      <c r="H428">
        <v>7.31</v>
      </c>
    </row>
    <row r="429" spans="1:8" x14ac:dyDescent="0.3">
      <c r="A429">
        <v>139</v>
      </c>
      <c r="B429" t="s">
        <v>5892</v>
      </c>
      <c r="C429" s="451">
        <v>46055</v>
      </c>
      <c r="D429" t="s">
        <v>586</v>
      </c>
      <c r="E429" t="s">
        <v>3904</v>
      </c>
      <c r="F429">
        <v>8</v>
      </c>
      <c r="G429">
        <v>0</v>
      </c>
      <c r="H429">
        <v>8</v>
      </c>
    </row>
    <row r="430" spans="1:8" x14ac:dyDescent="0.3">
      <c r="A430">
        <v>139</v>
      </c>
      <c r="B430" t="s">
        <v>5892</v>
      </c>
      <c r="C430" s="451">
        <v>46055</v>
      </c>
      <c r="D430" t="s">
        <v>586</v>
      </c>
      <c r="E430" t="s">
        <v>3905</v>
      </c>
      <c r="F430">
        <v>417.7</v>
      </c>
      <c r="G430">
        <v>19.989999999999998</v>
      </c>
      <c r="H430">
        <v>397.71</v>
      </c>
    </row>
    <row r="431" spans="1:8" x14ac:dyDescent="0.3">
      <c r="A431">
        <v>139</v>
      </c>
      <c r="B431" t="s">
        <v>5892</v>
      </c>
      <c r="C431" s="451">
        <v>46055</v>
      </c>
      <c r="D431" t="s">
        <v>586</v>
      </c>
      <c r="E431" t="s">
        <v>20</v>
      </c>
      <c r="F431">
        <v>13.93</v>
      </c>
      <c r="G431">
        <v>0</v>
      </c>
      <c r="H431">
        <v>13.93</v>
      </c>
    </row>
    <row r="432" spans="1:8" x14ac:dyDescent="0.3">
      <c r="A432">
        <v>139</v>
      </c>
      <c r="B432" t="s">
        <v>5892</v>
      </c>
      <c r="C432" s="451">
        <v>46054</v>
      </c>
      <c r="D432" t="s">
        <v>586</v>
      </c>
      <c r="E432" t="s">
        <v>3904</v>
      </c>
      <c r="F432">
        <v>8</v>
      </c>
      <c r="G432">
        <v>0.32</v>
      </c>
      <c r="H432">
        <v>7.68</v>
      </c>
    </row>
    <row r="433" spans="1:8" x14ac:dyDescent="0.3">
      <c r="A433">
        <v>139</v>
      </c>
      <c r="B433" t="s">
        <v>5892</v>
      </c>
      <c r="C433" s="451">
        <v>46054</v>
      </c>
      <c r="D433" t="s">
        <v>586</v>
      </c>
      <c r="E433" t="s">
        <v>3905</v>
      </c>
      <c r="F433">
        <v>3021</v>
      </c>
      <c r="G433">
        <v>24.68</v>
      </c>
      <c r="H433">
        <v>2996.32</v>
      </c>
    </row>
    <row r="434" spans="1:8" x14ac:dyDescent="0.3">
      <c r="A434">
        <v>139</v>
      </c>
      <c r="B434" t="s">
        <v>5892</v>
      </c>
      <c r="C434" s="451">
        <v>46054</v>
      </c>
      <c r="D434" t="s">
        <v>586</v>
      </c>
      <c r="E434" t="s">
        <v>20</v>
      </c>
      <c r="F434">
        <v>46.84</v>
      </c>
      <c r="G434">
        <v>0</v>
      </c>
      <c r="H434">
        <v>46.84</v>
      </c>
    </row>
    <row r="435" spans="1:8" x14ac:dyDescent="0.3">
      <c r="A435">
        <v>139</v>
      </c>
      <c r="B435" t="s">
        <v>5892</v>
      </c>
      <c r="C435" s="451">
        <v>46053</v>
      </c>
      <c r="D435" t="s">
        <v>561</v>
      </c>
      <c r="E435" t="s">
        <v>3905</v>
      </c>
      <c r="F435">
        <v>1965</v>
      </c>
      <c r="G435">
        <v>49.48</v>
      </c>
      <c r="H435">
        <v>1915.52</v>
      </c>
    </row>
    <row r="436" spans="1:8" x14ac:dyDescent="0.3">
      <c r="A436">
        <v>139</v>
      </c>
      <c r="B436" t="s">
        <v>5892</v>
      </c>
      <c r="C436" s="451">
        <v>46053</v>
      </c>
      <c r="D436" t="s">
        <v>561</v>
      </c>
      <c r="E436" t="s">
        <v>3904</v>
      </c>
      <c r="F436">
        <v>8</v>
      </c>
      <c r="G436">
        <v>0.44</v>
      </c>
      <c r="H436">
        <v>7.56</v>
      </c>
    </row>
    <row r="437" spans="1:8" x14ac:dyDescent="0.3">
      <c r="A437">
        <v>139</v>
      </c>
      <c r="B437" t="s">
        <v>5892</v>
      </c>
      <c r="C437" s="451">
        <v>46053</v>
      </c>
      <c r="D437" t="s">
        <v>561</v>
      </c>
      <c r="E437" t="s">
        <v>20</v>
      </c>
      <c r="F437">
        <v>43.85</v>
      </c>
      <c r="G437">
        <v>0</v>
      </c>
      <c r="H437">
        <v>43.85</v>
      </c>
    </row>
    <row r="438" spans="1:8" x14ac:dyDescent="0.3">
      <c r="A438">
        <v>139</v>
      </c>
      <c r="B438" t="s">
        <v>5892</v>
      </c>
      <c r="C438" s="451">
        <v>46052</v>
      </c>
      <c r="D438" t="s">
        <v>561</v>
      </c>
      <c r="E438" t="s">
        <v>3905</v>
      </c>
      <c r="F438">
        <v>2437.4</v>
      </c>
      <c r="G438">
        <v>59.46</v>
      </c>
      <c r="H438">
        <v>2377.94</v>
      </c>
    </row>
    <row r="439" spans="1:8" x14ac:dyDescent="0.3">
      <c r="A439">
        <v>139</v>
      </c>
      <c r="B439" t="s">
        <v>5892</v>
      </c>
      <c r="C439" s="451">
        <v>46052</v>
      </c>
      <c r="D439" t="s">
        <v>561</v>
      </c>
      <c r="E439" t="s">
        <v>3904</v>
      </c>
      <c r="F439">
        <v>16</v>
      </c>
      <c r="G439">
        <v>0</v>
      </c>
      <c r="H439">
        <v>16</v>
      </c>
    </row>
    <row r="440" spans="1:8" x14ac:dyDescent="0.3">
      <c r="A440">
        <v>139</v>
      </c>
      <c r="B440" t="s">
        <v>5892</v>
      </c>
      <c r="C440" s="451">
        <v>46052</v>
      </c>
      <c r="D440" t="s">
        <v>561</v>
      </c>
      <c r="E440" t="s">
        <v>20</v>
      </c>
      <c r="F440">
        <v>120.37</v>
      </c>
      <c r="G440">
        <v>0</v>
      </c>
      <c r="H440">
        <v>120.37</v>
      </c>
    </row>
    <row r="441" spans="1:8" x14ac:dyDescent="0.3">
      <c r="A441">
        <v>139</v>
      </c>
      <c r="B441" t="s">
        <v>5892</v>
      </c>
      <c r="C441" s="451">
        <v>46051</v>
      </c>
      <c r="D441" t="s">
        <v>561</v>
      </c>
      <c r="E441" t="s">
        <v>3905</v>
      </c>
      <c r="F441">
        <v>1659.2</v>
      </c>
      <c r="G441">
        <v>49.68</v>
      </c>
      <c r="H441">
        <v>1609.52</v>
      </c>
    </row>
    <row r="442" spans="1:8" x14ac:dyDescent="0.3">
      <c r="A442">
        <v>139</v>
      </c>
      <c r="B442" t="s">
        <v>5892</v>
      </c>
      <c r="C442" s="451">
        <v>46051</v>
      </c>
      <c r="D442" t="s">
        <v>561</v>
      </c>
      <c r="E442" t="s">
        <v>20</v>
      </c>
      <c r="F442">
        <v>82.72</v>
      </c>
      <c r="G442">
        <v>0</v>
      </c>
      <c r="H442">
        <v>82.72</v>
      </c>
    </row>
    <row r="443" spans="1:8" x14ac:dyDescent="0.3">
      <c r="A443">
        <v>139</v>
      </c>
      <c r="B443" t="s">
        <v>5892</v>
      </c>
      <c r="C443" s="451">
        <v>46051</v>
      </c>
      <c r="D443" t="s">
        <v>561</v>
      </c>
      <c r="E443" t="s">
        <v>3904</v>
      </c>
      <c r="F443">
        <v>8</v>
      </c>
      <c r="G443">
        <v>0.3</v>
      </c>
      <c r="H443">
        <v>7.7</v>
      </c>
    </row>
    <row r="444" spans="1:8" x14ac:dyDescent="0.3">
      <c r="A444">
        <v>139</v>
      </c>
      <c r="B444" t="s">
        <v>5892</v>
      </c>
      <c r="C444" s="451">
        <v>46050</v>
      </c>
      <c r="D444" t="s">
        <v>561</v>
      </c>
      <c r="E444" t="s">
        <v>3905</v>
      </c>
      <c r="F444">
        <v>575.4</v>
      </c>
      <c r="G444">
        <v>30</v>
      </c>
      <c r="H444">
        <v>545.4</v>
      </c>
    </row>
    <row r="445" spans="1:8" x14ac:dyDescent="0.3">
      <c r="A445">
        <v>139</v>
      </c>
      <c r="B445" t="s">
        <v>5892</v>
      </c>
      <c r="C445" s="451">
        <v>46050</v>
      </c>
      <c r="D445" t="s">
        <v>561</v>
      </c>
      <c r="E445" t="s">
        <v>20</v>
      </c>
      <c r="F445">
        <v>9.9</v>
      </c>
      <c r="G445">
        <v>0</v>
      </c>
      <c r="H445">
        <v>9.9</v>
      </c>
    </row>
    <row r="446" spans="1:8" x14ac:dyDescent="0.3">
      <c r="A446">
        <v>139</v>
      </c>
      <c r="B446" t="s">
        <v>5892</v>
      </c>
      <c r="C446" s="451">
        <v>46050</v>
      </c>
      <c r="D446" t="s">
        <v>561</v>
      </c>
      <c r="E446" t="s">
        <v>3904</v>
      </c>
      <c r="F446">
        <v>8</v>
      </c>
      <c r="G446">
        <v>0</v>
      </c>
      <c r="H446">
        <v>8</v>
      </c>
    </row>
    <row r="447" spans="1:8" x14ac:dyDescent="0.3">
      <c r="A447">
        <v>139</v>
      </c>
      <c r="B447" t="s">
        <v>5892</v>
      </c>
      <c r="C447" s="451">
        <v>46049</v>
      </c>
      <c r="D447" t="s">
        <v>561</v>
      </c>
      <c r="E447" t="s">
        <v>3905</v>
      </c>
      <c r="F447">
        <v>972.2</v>
      </c>
      <c r="G447">
        <v>12.96</v>
      </c>
      <c r="H447">
        <v>959.24</v>
      </c>
    </row>
    <row r="448" spans="1:8" x14ac:dyDescent="0.3">
      <c r="A448">
        <v>139</v>
      </c>
      <c r="B448" t="s">
        <v>5892</v>
      </c>
      <c r="C448" s="451">
        <v>46049</v>
      </c>
      <c r="D448" t="s">
        <v>561</v>
      </c>
      <c r="E448" t="s">
        <v>20</v>
      </c>
      <c r="F448">
        <v>27.75</v>
      </c>
      <c r="G448">
        <v>0</v>
      </c>
      <c r="H448">
        <v>27.75</v>
      </c>
    </row>
    <row r="449" spans="1:8" x14ac:dyDescent="0.3">
      <c r="A449">
        <v>139</v>
      </c>
      <c r="B449" t="s">
        <v>5892</v>
      </c>
      <c r="C449" s="451">
        <v>46048</v>
      </c>
      <c r="D449" t="s">
        <v>561</v>
      </c>
      <c r="E449" t="s">
        <v>3905</v>
      </c>
      <c r="F449">
        <v>760.4</v>
      </c>
      <c r="G449">
        <v>29.99</v>
      </c>
      <c r="H449">
        <v>730.41</v>
      </c>
    </row>
    <row r="450" spans="1:8" x14ac:dyDescent="0.3">
      <c r="A450">
        <v>139</v>
      </c>
      <c r="B450" t="s">
        <v>5892</v>
      </c>
      <c r="C450" s="451">
        <v>46048</v>
      </c>
      <c r="D450" t="s">
        <v>561</v>
      </c>
      <c r="E450" t="s">
        <v>20</v>
      </c>
      <c r="F450">
        <v>23.88</v>
      </c>
      <c r="G450">
        <v>0</v>
      </c>
      <c r="H450">
        <v>23.88</v>
      </c>
    </row>
    <row r="451" spans="1:8" x14ac:dyDescent="0.3">
      <c r="A451">
        <v>139</v>
      </c>
      <c r="B451" t="s">
        <v>5892</v>
      </c>
      <c r="C451" s="451">
        <v>46047</v>
      </c>
      <c r="D451" t="s">
        <v>561</v>
      </c>
      <c r="E451" t="s">
        <v>3905</v>
      </c>
      <c r="F451">
        <v>2036</v>
      </c>
      <c r="G451">
        <v>40.020000000000003</v>
      </c>
      <c r="H451">
        <v>1995.98</v>
      </c>
    </row>
    <row r="452" spans="1:8" x14ac:dyDescent="0.3">
      <c r="A452">
        <v>139</v>
      </c>
      <c r="B452" t="s">
        <v>5892</v>
      </c>
      <c r="C452" s="451">
        <v>46047</v>
      </c>
      <c r="D452" t="s">
        <v>561</v>
      </c>
      <c r="E452" t="s">
        <v>20</v>
      </c>
      <c r="F452">
        <v>18.87</v>
      </c>
      <c r="G452">
        <v>0</v>
      </c>
      <c r="H452">
        <v>18.87</v>
      </c>
    </row>
    <row r="453" spans="1:8" x14ac:dyDescent="0.3">
      <c r="A453">
        <v>139</v>
      </c>
      <c r="B453" t="s">
        <v>5892</v>
      </c>
      <c r="C453" s="451">
        <v>46046</v>
      </c>
      <c r="D453" t="s">
        <v>561</v>
      </c>
      <c r="E453" t="s">
        <v>3905</v>
      </c>
      <c r="F453">
        <v>1961</v>
      </c>
      <c r="G453">
        <v>30</v>
      </c>
      <c r="H453">
        <v>1931</v>
      </c>
    </row>
    <row r="454" spans="1:8" x14ac:dyDescent="0.3">
      <c r="A454">
        <v>139</v>
      </c>
      <c r="B454" t="s">
        <v>5892</v>
      </c>
      <c r="C454" s="451">
        <v>46046</v>
      </c>
      <c r="D454" t="s">
        <v>561</v>
      </c>
      <c r="E454" t="s">
        <v>20</v>
      </c>
      <c r="F454">
        <v>28.87</v>
      </c>
      <c r="G454">
        <v>0</v>
      </c>
      <c r="H454">
        <v>28.87</v>
      </c>
    </row>
    <row r="455" spans="1:8" x14ac:dyDescent="0.3">
      <c r="A455">
        <v>139</v>
      </c>
      <c r="B455" t="s">
        <v>5892</v>
      </c>
      <c r="C455" s="451">
        <v>46046</v>
      </c>
      <c r="D455" t="s">
        <v>561</v>
      </c>
      <c r="E455" t="s">
        <v>3904</v>
      </c>
      <c r="F455">
        <v>16</v>
      </c>
      <c r="G455">
        <v>0</v>
      </c>
      <c r="H455">
        <v>16</v>
      </c>
    </row>
    <row r="456" spans="1:8" x14ac:dyDescent="0.3">
      <c r="A456">
        <v>139</v>
      </c>
      <c r="B456" t="s">
        <v>5892</v>
      </c>
      <c r="C456" s="451">
        <v>46045</v>
      </c>
      <c r="D456" t="s">
        <v>561</v>
      </c>
      <c r="E456" t="s">
        <v>3904</v>
      </c>
      <c r="F456">
        <v>8</v>
      </c>
      <c r="G456">
        <v>0.83</v>
      </c>
      <c r="H456">
        <v>7.17</v>
      </c>
    </row>
    <row r="457" spans="1:8" x14ac:dyDescent="0.3">
      <c r="A457">
        <v>139</v>
      </c>
      <c r="B457" t="s">
        <v>5892</v>
      </c>
      <c r="C457" s="451">
        <v>46045</v>
      </c>
      <c r="D457" t="s">
        <v>561</v>
      </c>
      <c r="E457" t="s">
        <v>3905</v>
      </c>
      <c r="F457">
        <v>1508.4</v>
      </c>
      <c r="G457">
        <v>44.17</v>
      </c>
      <c r="H457">
        <v>1464.23</v>
      </c>
    </row>
    <row r="458" spans="1:8" x14ac:dyDescent="0.3">
      <c r="A458">
        <v>139</v>
      </c>
      <c r="B458" t="s">
        <v>5892</v>
      </c>
      <c r="C458" s="451">
        <v>46045</v>
      </c>
      <c r="D458" t="s">
        <v>561</v>
      </c>
      <c r="E458" t="s">
        <v>20</v>
      </c>
      <c r="F458">
        <v>30.85</v>
      </c>
      <c r="G458">
        <v>0</v>
      </c>
      <c r="H458">
        <v>30.85</v>
      </c>
    </row>
    <row r="459" spans="1:8" x14ac:dyDescent="0.3">
      <c r="A459">
        <v>139</v>
      </c>
      <c r="B459" t="s">
        <v>5892</v>
      </c>
      <c r="C459" s="451">
        <v>46044</v>
      </c>
      <c r="D459" t="s">
        <v>561</v>
      </c>
      <c r="E459" t="s">
        <v>3904</v>
      </c>
      <c r="F459">
        <v>8</v>
      </c>
      <c r="G459">
        <v>0.33</v>
      </c>
      <c r="H459">
        <v>7.67</v>
      </c>
    </row>
    <row r="460" spans="1:8" x14ac:dyDescent="0.3">
      <c r="A460">
        <v>139</v>
      </c>
      <c r="B460" t="s">
        <v>5892</v>
      </c>
      <c r="C460" s="451">
        <v>46044</v>
      </c>
      <c r="D460" t="s">
        <v>561</v>
      </c>
      <c r="E460" t="s">
        <v>3905</v>
      </c>
      <c r="F460">
        <v>300.60000000000002</v>
      </c>
      <c r="G460">
        <v>19.66</v>
      </c>
      <c r="H460">
        <v>280.94</v>
      </c>
    </row>
    <row r="461" spans="1:8" x14ac:dyDescent="0.3">
      <c r="A461">
        <v>139</v>
      </c>
      <c r="B461" t="s">
        <v>5892</v>
      </c>
      <c r="C461" s="451">
        <v>46044</v>
      </c>
      <c r="D461" t="s">
        <v>561</v>
      </c>
      <c r="E461" t="s">
        <v>20</v>
      </c>
      <c r="F461">
        <v>9.9499999999999993</v>
      </c>
      <c r="G461">
        <v>0</v>
      </c>
      <c r="H461">
        <v>9.9499999999999993</v>
      </c>
    </row>
    <row r="462" spans="1:8" x14ac:dyDescent="0.3">
      <c r="A462">
        <v>139</v>
      </c>
      <c r="B462" t="s">
        <v>5892</v>
      </c>
      <c r="C462" s="451">
        <v>46043</v>
      </c>
      <c r="D462" t="s">
        <v>561</v>
      </c>
      <c r="E462" t="s">
        <v>3904</v>
      </c>
      <c r="F462">
        <v>16</v>
      </c>
      <c r="G462">
        <v>0</v>
      </c>
      <c r="H462">
        <v>16</v>
      </c>
    </row>
    <row r="463" spans="1:8" x14ac:dyDescent="0.3">
      <c r="A463">
        <v>139</v>
      </c>
      <c r="B463" t="s">
        <v>5892</v>
      </c>
      <c r="C463" s="451">
        <v>46043</v>
      </c>
      <c r="D463" t="s">
        <v>561</v>
      </c>
      <c r="E463" t="s">
        <v>3905</v>
      </c>
      <c r="F463">
        <v>1137.5999999999999</v>
      </c>
      <c r="G463">
        <v>30</v>
      </c>
      <c r="H463">
        <v>1107.5999999999999</v>
      </c>
    </row>
    <row r="464" spans="1:8" x14ac:dyDescent="0.3">
      <c r="A464">
        <v>139</v>
      </c>
      <c r="B464" t="s">
        <v>5892</v>
      </c>
      <c r="C464" s="451">
        <v>46043</v>
      </c>
      <c r="D464" t="s">
        <v>561</v>
      </c>
      <c r="E464" t="s">
        <v>20</v>
      </c>
      <c r="F464">
        <v>17.89</v>
      </c>
      <c r="G464">
        <v>0</v>
      </c>
      <c r="H464">
        <v>17.89</v>
      </c>
    </row>
    <row r="465" spans="1:8" x14ac:dyDescent="0.3">
      <c r="A465">
        <v>139</v>
      </c>
      <c r="B465" t="s">
        <v>5892</v>
      </c>
      <c r="C465" s="451">
        <v>46042</v>
      </c>
      <c r="D465" t="s">
        <v>561</v>
      </c>
      <c r="E465" t="s">
        <v>3905</v>
      </c>
      <c r="F465">
        <v>591.1</v>
      </c>
      <c r="G465">
        <v>19.989999999999998</v>
      </c>
      <c r="H465">
        <v>571.11</v>
      </c>
    </row>
    <row r="466" spans="1:8" x14ac:dyDescent="0.3">
      <c r="A466">
        <v>139</v>
      </c>
      <c r="B466" t="s">
        <v>5892</v>
      </c>
      <c r="C466" s="451">
        <v>46042</v>
      </c>
      <c r="D466" t="s">
        <v>561</v>
      </c>
      <c r="E466" t="s">
        <v>20</v>
      </c>
      <c r="F466">
        <v>6.93</v>
      </c>
      <c r="G466">
        <v>0</v>
      </c>
      <c r="H466">
        <v>6.93</v>
      </c>
    </row>
    <row r="467" spans="1:8" x14ac:dyDescent="0.3">
      <c r="A467">
        <v>139</v>
      </c>
      <c r="B467" t="s">
        <v>5892</v>
      </c>
      <c r="C467" s="451">
        <v>46040</v>
      </c>
      <c r="D467" t="s">
        <v>561</v>
      </c>
      <c r="E467" t="s">
        <v>3905</v>
      </c>
      <c r="F467">
        <v>2393</v>
      </c>
      <c r="G467">
        <v>29.86</v>
      </c>
      <c r="H467">
        <v>2363.14</v>
      </c>
    </row>
    <row r="468" spans="1:8" x14ac:dyDescent="0.3">
      <c r="A468">
        <v>139</v>
      </c>
      <c r="B468" t="s">
        <v>5892</v>
      </c>
      <c r="C468" s="451">
        <v>46040</v>
      </c>
      <c r="D468" t="s">
        <v>561</v>
      </c>
      <c r="E468" t="s">
        <v>3904</v>
      </c>
      <c r="F468">
        <v>16</v>
      </c>
      <c r="G468">
        <v>0.14000000000000001</v>
      </c>
      <c r="H468">
        <v>15.86</v>
      </c>
    </row>
    <row r="469" spans="1:8" x14ac:dyDescent="0.3">
      <c r="A469">
        <v>139</v>
      </c>
      <c r="B469" t="s">
        <v>5892</v>
      </c>
      <c r="C469" s="451">
        <v>46040</v>
      </c>
      <c r="D469" t="s">
        <v>561</v>
      </c>
      <c r="E469" t="s">
        <v>20</v>
      </c>
      <c r="F469">
        <v>33.880000000000003</v>
      </c>
      <c r="G469">
        <v>0</v>
      </c>
      <c r="H469">
        <v>33.880000000000003</v>
      </c>
    </row>
    <row r="470" spans="1:8" x14ac:dyDescent="0.3">
      <c r="A470">
        <v>139</v>
      </c>
      <c r="B470" t="s">
        <v>5892</v>
      </c>
      <c r="C470" s="451">
        <v>46039</v>
      </c>
      <c r="D470" t="s">
        <v>561</v>
      </c>
      <c r="E470" t="s">
        <v>3905</v>
      </c>
      <c r="F470">
        <v>1970</v>
      </c>
      <c r="G470">
        <v>39.47</v>
      </c>
      <c r="H470">
        <v>1930.53</v>
      </c>
    </row>
    <row r="471" spans="1:8" x14ac:dyDescent="0.3">
      <c r="A471">
        <v>139</v>
      </c>
      <c r="B471" t="s">
        <v>5892</v>
      </c>
      <c r="C471" s="451">
        <v>46039</v>
      </c>
      <c r="D471" t="s">
        <v>561</v>
      </c>
      <c r="E471" t="s">
        <v>20</v>
      </c>
      <c r="F471">
        <v>63.84</v>
      </c>
      <c r="G471">
        <v>0</v>
      </c>
      <c r="H471">
        <v>63.84</v>
      </c>
    </row>
    <row r="472" spans="1:8" x14ac:dyDescent="0.3">
      <c r="A472">
        <v>139</v>
      </c>
      <c r="B472" t="s">
        <v>5892</v>
      </c>
      <c r="C472" s="451">
        <v>46039</v>
      </c>
      <c r="D472" t="s">
        <v>561</v>
      </c>
      <c r="E472" t="s">
        <v>3904</v>
      </c>
      <c r="F472">
        <v>32</v>
      </c>
      <c r="G472">
        <v>0.5</v>
      </c>
      <c r="H472">
        <v>31.5</v>
      </c>
    </row>
    <row r="473" spans="1:8" x14ac:dyDescent="0.3">
      <c r="A473">
        <v>139</v>
      </c>
      <c r="B473" t="s">
        <v>5892</v>
      </c>
      <c r="C473" s="451">
        <v>46038</v>
      </c>
      <c r="D473" t="s">
        <v>561</v>
      </c>
      <c r="E473" t="s">
        <v>3905</v>
      </c>
      <c r="F473">
        <v>1578.5</v>
      </c>
      <c r="G473">
        <v>44.74</v>
      </c>
      <c r="H473">
        <v>1533.76</v>
      </c>
    </row>
    <row r="474" spans="1:8" x14ac:dyDescent="0.3">
      <c r="A474">
        <v>139</v>
      </c>
      <c r="B474" t="s">
        <v>5892</v>
      </c>
      <c r="C474" s="451">
        <v>46038</v>
      </c>
      <c r="D474" t="s">
        <v>561</v>
      </c>
      <c r="E474" t="s">
        <v>3904</v>
      </c>
      <c r="F474">
        <v>24</v>
      </c>
      <c r="G474">
        <v>0.26</v>
      </c>
      <c r="H474">
        <v>23.74</v>
      </c>
    </row>
    <row r="475" spans="1:8" x14ac:dyDescent="0.3">
      <c r="A475">
        <v>139</v>
      </c>
      <c r="B475" t="s">
        <v>5892</v>
      </c>
      <c r="C475" s="451">
        <v>46038</v>
      </c>
      <c r="D475" t="s">
        <v>561</v>
      </c>
      <c r="E475" t="s">
        <v>20</v>
      </c>
      <c r="F475">
        <v>36.83</v>
      </c>
      <c r="G475">
        <v>0</v>
      </c>
      <c r="H475">
        <v>36.83</v>
      </c>
    </row>
    <row r="476" spans="1:8" x14ac:dyDescent="0.3">
      <c r="A476">
        <v>139</v>
      </c>
      <c r="B476" t="s">
        <v>5892</v>
      </c>
      <c r="C476" s="451">
        <v>46037</v>
      </c>
      <c r="D476" t="s">
        <v>561</v>
      </c>
      <c r="E476" t="s">
        <v>3905</v>
      </c>
      <c r="F476">
        <v>1697.3</v>
      </c>
      <c r="G476">
        <v>64.959999999999994</v>
      </c>
      <c r="H476">
        <v>1632.34</v>
      </c>
    </row>
    <row r="477" spans="1:8" x14ac:dyDescent="0.3">
      <c r="A477">
        <v>139</v>
      </c>
      <c r="B477" t="s">
        <v>5892</v>
      </c>
      <c r="C477" s="451">
        <v>46037</v>
      </c>
      <c r="D477" t="s">
        <v>561</v>
      </c>
      <c r="E477" t="s">
        <v>20</v>
      </c>
      <c r="F477">
        <v>34.83</v>
      </c>
      <c r="G477">
        <v>0</v>
      </c>
      <c r="H477">
        <v>34.83</v>
      </c>
    </row>
    <row r="478" spans="1:8" x14ac:dyDescent="0.3">
      <c r="A478">
        <v>139</v>
      </c>
      <c r="B478" t="s">
        <v>5892</v>
      </c>
      <c r="C478" s="451">
        <v>46036</v>
      </c>
      <c r="D478" t="s">
        <v>561</v>
      </c>
      <c r="E478" t="s">
        <v>3905</v>
      </c>
      <c r="F478">
        <v>1110.8</v>
      </c>
      <c r="G478">
        <v>55</v>
      </c>
      <c r="H478">
        <v>1055.8</v>
      </c>
    </row>
    <row r="479" spans="1:8" x14ac:dyDescent="0.3">
      <c r="A479">
        <v>139</v>
      </c>
      <c r="B479" t="s">
        <v>5892</v>
      </c>
      <c r="C479" s="451">
        <v>46036</v>
      </c>
      <c r="D479" t="s">
        <v>561</v>
      </c>
      <c r="E479" t="s">
        <v>20</v>
      </c>
      <c r="F479">
        <v>40.799999999999997</v>
      </c>
      <c r="G479">
        <v>0</v>
      </c>
      <c r="H479">
        <v>40.799999999999997</v>
      </c>
    </row>
    <row r="480" spans="1:8" x14ac:dyDescent="0.3">
      <c r="A480">
        <v>139</v>
      </c>
      <c r="B480" t="s">
        <v>5892</v>
      </c>
      <c r="C480" s="451">
        <v>46035</v>
      </c>
      <c r="D480" t="s">
        <v>561</v>
      </c>
      <c r="E480" t="s">
        <v>3905</v>
      </c>
      <c r="F480">
        <v>1096.3</v>
      </c>
      <c r="G480">
        <v>0</v>
      </c>
      <c r="H480">
        <v>1096.3</v>
      </c>
    </row>
    <row r="481" spans="1:8" x14ac:dyDescent="0.3">
      <c r="A481">
        <v>139</v>
      </c>
      <c r="B481" t="s">
        <v>5892</v>
      </c>
      <c r="C481" s="451">
        <v>46035</v>
      </c>
      <c r="D481" t="s">
        <v>561</v>
      </c>
      <c r="E481" t="s">
        <v>20</v>
      </c>
      <c r="F481">
        <v>28.87</v>
      </c>
      <c r="G481">
        <v>0</v>
      </c>
      <c r="H481">
        <v>28.87</v>
      </c>
    </row>
    <row r="482" spans="1:8" x14ac:dyDescent="0.3">
      <c r="A482">
        <v>139</v>
      </c>
      <c r="B482" t="s">
        <v>5892</v>
      </c>
      <c r="C482" s="451">
        <v>46035</v>
      </c>
      <c r="D482" t="s">
        <v>561</v>
      </c>
      <c r="E482" t="s">
        <v>3904</v>
      </c>
      <c r="F482">
        <v>16</v>
      </c>
      <c r="G482">
        <v>0</v>
      </c>
      <c r="H482">
        <v>16</v>
      </c>
    </row>
    <row r="483" spans="1:8" x14ac:dyDescent="0.3">
      <c r="A483">
        <v>139</v>
      </c>
      <c r="B483" t="s">
        <v>5892</v>
      </c>
      <c r="C483" s="451">
        <v>46034</v>
      </c>
      <c r="D483" t="s">
        <v>561</v>
      </c>
      <c r="E483" t="s">
        <v>3904</v>
      </c>
      <c r="F483">
        <v>8</v>
      </c>
      <c r="G483">
        <v>0</v>
      </c>
      <c r="H483">
        <v>8</v>
      </c>
    </row>
    <row r="484" spans="1:8" x14ac:dyDescent="0.3">
      <c r="A484">
        <v>139</v>
      </c>
      <c r="B484" t="s">
        <v>5892</v>
      </c>
      <c r="C484" s="451">
        <v>46034</v>
      </c>
      <c r="D484" t="s">
        <v>561</v>
      </c>
      <c r="E484" t="s">
        <v>3905</v>
      </c>
      <c r="F484">
        <v>1487</v>
      </c>
      <c r="G484">
        <v>0</v>
      </c>
      <c r="H484">
        <v>1487</v>
      </c>
    </row>
    <row r="485" spans="1:8" x14ac:dyDescent="0.3">
      <c r="A485">
        <v>139</v>
      </c>
      <c r="B485" t="s">
        <v>5892</v>
      </c>
      <c r="C485" s="451">
        <v>46034</v>
      </c>
      <c r="D485" t="s">
        <v>561</v>
      </c>
      <c r="E485" t="s">
        <v>20</v>
      </c>
      <c r="F485">
        <v>46.79</v>
      </c>
      <c r="G485">
        <v>0</v>
      </c>
      <c r="H485">
        <v>46.79</v>
      </c>
    </row>
    <row r="486" spans="1:8" x14ac:dyDescent="0.3">
      <c r="A486">
        <v>139</v>
      </c>
      <c r="B486" t="s">
        <v>5892</v>
      </c>
      <c r="C486" s="451">
        <v>46033</v>
      </c>
      <c r="D486" t="s">
        <v>561</v>
      </c>
      <c r="E486" t="s">
        <v>3905</v>
      </c>
      <c r="F486">
        <v>1977</v>
      </c>
      <c r="G486">
        <v>0</v>
      </c>
      <c r="H486">
        <v>1977</v>
      </c>
    </row>
    <row r="487" spans="1:8" x14ac:dyDescent="0.3">
      <c r="A487">
        <v>139</v>
      </c>
      <c r="B487" t="s">
        <v>5892</v>
      </c>
      <c r="C487" s="451">
        <v>46033</v>
      </c>
      <c r="D487" t="s">
        <v>561</v>
      </c>
      <c r="E487" t="s">
        <v>20</v>
      </c>
      <c r="F487">
        <v>44.87</v>
      </c>
      <c r="G487">
        <v>0</v>
      </c>
      <c r="H487">
        <v>44.87</v>
      </c>
    </row>
    <row r="488" spans="1:8" x14ac:dyDescent="0.3">
      <c r="A488">
        <v>139</v>
      </c>
      <c r="B488" t="s">
        <v>5892</v>
      </c>
      <c r="C488" s="451">
        <v>46033</v>
      </c>
      <c r="D488" t="s">
        <v>561</v>
      </c>
      <c r="E488" t="s">
        <v>3904</v>
      </c>
      <c r="F488">
        <v>8</v>
      </c>
      <c r="G488">
        <v>0</v>
      </c>
      <c r="H488">
        <v>8</v>
      </c>
    </row>
    <row r="489" spans="1:8" x14ac:dyDescent="0.3">
      <c r="A489">
        <v>139</v>
      </c>
      <c r="B489" t="s">
        <v>5892</v>
      </c>
      <c r="C489" s="451">
        <v>46032</v>
      </c>
      <c r="D489" t="s">
        <v>561</v>
      </c>
      <c r="E489" t="s">
        <v>3905</v>
      </c>
      <c r="F489">
        <v>2045</v>
      </c>
      <c r="G489">
        <v>0</v>
      </c>
      <c r="H489">
        <v>2045</v>
      </c>
    </row>
    <row r="490" spans="1:8" x14ac:dyDescent="0.3">
      <c r="A490">
        <v>139</v>
      </c>
      <c r="B490" t="s">
        <v>5892</v>
      </c>
      <c r="C490" s="451">
        <v>46032</v>
      </c>
      <c r="D490" t="s">
        <v>561</v>
      </c>
      <c r="E490" t="s">
        <v>20</v>
      </c>
      <c r="F490">
        <v>48.89</v>
      </c>
      <c r="G490">
        <v>0</v>
      </c>
      <c r="H490">
        <v>48.89</v>
      </c>
    </row>
    <row r="491" spans="1:8" x14ac:dyDescent="0.3">
      <c r="A491">
        <v>139</v>
      </c>
      <c r="B491" t="s">
        <v>5892</v>
      </c>
      <c r="C491" s="451">
        <v>46031</v>
      </c>
      <c r="D491" t="s">
        <v>561</v>
      </c>
      <c r="E491" t="s">
        <v>3904</v>
      </c>
      <c r="F491">
        <v>8</v>
      </c>
      <c r="G491">
        <v>0</v>
      </c>
      <c r="H491">
        <v>8</v>
      </c>
    </row>
    <row r="492" spans="1:8" x14ac:dyDescent="0.3">
      <c r="A492">
        <v>139</v>
      </c>
      <c r="B492" t="s">
        <v>5892</v>
      </c>
      <c r="C492" s="451">
        <v>46031</v>
      </c>
      <c r="D492" t="s">
        <v>561</v>
      </c>
      <c r="E492" t="s">
        <v>3905</v>
      </c>
      <c r="F492">
        <v>884.8</v>
      </c>
      <c r="G492">
        <v>5</v>
      </c>
      <c r="H492">
        <v>879.8</v>
      </c>
    </row>
    <row r="493" spans="1:8" x14ac:dyDescent="0.3">
      <c r="A493">
        <v>139</v>
      </c>
      <c r="B493" t="s">
        <v>5892</v>
      </c>
      <c r="C493" s="451">
        <v>46031</v>
      </c>
      <c r="D493" t="s">
        <v>561</v>
      </c>
      <c r="E493" t="s">
        <v>20</v>
      </c>
      <c r="F493">
        <v>6.93</v>
      </c>
      <c r="G493">
        <v>0</v>
      </c>
      <c r="H493">
        <v>6.93</v>
      </c>
    </row>
    <row r="494" spans="1:8" x14ac:dyDescent="0.3">
      <c r="A494">
        <v>139</v>
      </c>
      <c r="B494" t="s">
        <v>5892</v>
      </c>
      <c r="C494" s="451">
        <v>46030</v>
      </c>
      <c r="D494" t="s">
        <v>561</v>
      </c>
      <c r="E494" t="s">
        <v>3905</v>
      </c>
      <c r="F494">
        <v>668.4</v>
      </c>
      <c r="G494">
        <v>30</v>
      </c>
      <c r="H494">
        <v>638.4</v>
      </c>
    </row>
    <row r="495" spans="1:8" x14ac:dyDescent="0.3">
      <c r="A495">
        <v>139</v>
      </c>
      <c r="B495" t="s">
        <v>5892</v>
      </c>
      <c r="C495" s="451">
        <v>46030</v>
      </c>
      <c r="D495" t="s">
        <v>561</v>
      </c>
      <c r="E495" t="s">
        <v>20</v>
      </c>
      <c r="F495">
        <v>33.869999999999997</v>
      </c>
      <c r="G495">
        <v>0</v>
      </c>
      <c r="H495">
        <v>33.869999999999997</v>
      </c>
    </row>
    <row r="496" spans="1:8" x14ac:dyDescent="0.3">
      <c r="A496">
        <v>139</v>
      </c>
      <c r="B496" t="s">
        <v>5892</v>
      </c>
      <c r="C496" s="451">
        <v>46029</v>
      </c>
      <c r="D496" t="s">
        <v>561</v>
      </c>
      <c r="E496" t="s">
        <v>3905</v>
      </c>
      <c r="F496">
        <v>648.5</v>
      </c>
      <c r="G496">
        <v>45</v>
      </c>
      <c r="H496">
        <v>603.5</v>
      </c>
    </row>
    <row r="497" spans="1:8" x14ac:dyDescent="0.3">
      <c r="A497">
        <v>139</v>
      </c>
      <c r="B497" t="s">
        <v>5892</v>
      </c>
      <c r="C497" s="451">
        <v>46029</v>
      </c>
      <c r="D497" t="s">
        <v>561</v>
      </c>
      <c r="E497" t="s">
        <v>20</v>
      </c>
      <c r="F497">
        <v>12.91</v>
      </c>
      <c r="G497">
        <v>0</v>
      </c>
      <c r="H497">
        <v>12.91</v>
      </c>
    </row>
    <row r="498" spans="1:8" x14ac:dyDescent="0.3">
      <c r="A498">
        <v>139</v>
      </c>
      <c r="B498" t="s">
        <v>5892</v>
      </c>
      <c r="C498" s="451">
        <v>46028</v>
      </c>
      <c r="D498" t="s">
        <v>561</v>
      </c>
      <c r="E498" t="s">
        <v>3904</v>
      </c>
      <c r="F498">
        <v>16</v>
      </c>
      <c r="G498">
        <v>1.38</v>
      </c>
      <c r="H498">
        <v>14.62</v>
      </c>
    </row>
    <row r="499" spans="1:8" x14ac:dyDescent="0.3">
      <c r="A499">
        <v>139</v>
      </c>
      <c r="B499" t="s">
        <v>5892</v>
      </c>
      <c r="C499" s="451">
        <v>46028</v>
      </c>
      <c r="D499" t="s">
        <v>561</v>
      </c>
      <c r="E499" t="s">
        <v>20</v>
      </c>
      <c r="F499">
        <v>15.9</v>
      </c>
      <c r="G499">
        <v>0</v>
      </c>
      <c r="H499">
        <v>15.9</v>
      </c>
    </row>
    <row r="500" spans="1:8" x14ac:dyDescent="0.3">
      <c r="A500">
        <v>139</v>
      </c>
      <c r="B500" t="s">
        <v>5892</v>
      </c>
      <c r="C500" s="451">
        <v>46028</v>
      </c>
      <c r="D500" t="s">
        <v>561</v>
      </c>
      <c r="E500" t="s">
        <v>3905</v>
      </c>
      <c r="F500">
        <v>414.3</v>
      </c>
      <c r="G500">
        <v>33.619999999999997</v>
      </c>
      <c r="H500">
        <v>380.68</v>
      </c>
    </row>
    <row r="501" spans="1:8" x14ac:dyDescent="0.3">
      <c r="A501">
        <v>139</v>
      </c>
      <c r="B501" t="s">
        <v>5892</v>
      </c>
      <c r="C501" s="451">
        <v>46027</v>
      </c>
      <c r="D501" t="s">
        <v>561</v>
      </c>
      <c r="E501" t="s">
        <v>3905</v>
      </c>
      <c r="F501">
        <v>1055.4000000000001</v>
      </c>
      <c r="G501">
        <v>55.27</v>
      </c>
      <c r="H501">
        <v>1000.13</v>
      </c>
    </row>
    <row r="502" spans="1:8" x14ac:dyDescent="0.3">
      <c r="A502">
        <v>139</v>
      </c>
      <c r="B502" t="s">
        <v>5892</v>
      </c>
      <c r="C502" s="451">
        <v>46027</v>
      </c>
      <c r="D502" t="s">
        <v>561</v>
      </c>
      <c r="E502" t="s">
        <v>20</v>
      </c>
      <c r="F502">
        <v>50.75</v>
      </c>
      <c r="G502">
        <v>0</v>
      </c>
      <c r="H502">
        <v>50.75</v>
      </c>
    </row>
    <row r="503" spans="1:8" x14ac:dyDescent="0.3">
      <c r="A503">
        <v>139</v>
      </c>
      <c r="B503" t="s">
        <v>5892</v>
      </c>
      <c r="C503" s="451">
        <v>46026</v>
      </c>
      <c r="D503" t="s">
        <v>561</v>
      </c>
      <c r="E503" t="s">
        <v>3904</v>
      </c>
      <c r="F503">
        <v>16</v>
      </c>
      <c r="G503">
        <v>0.35</v>
      </c>
      <c r="H503">
        <v>15.65</v>
      </c>
    </row>
    <row r="504" spans="1:8" x14ac:dyDescent="0.3">
      <c r="A504">
        <v>139</v>
      </c>
      <c r="B504" t="s">
        <v>5892</v>
      </c>
      <c r="C504" s="451">
        <v>46026</v>
      </c>
      <c r="D504" t="s">
        <v>561</v>
      </c>
      <c r="E504" t="s">
        <v>3905</v>
      </c>
      <c r="F504">
        <v>702</v>
      </c>
      <c r="G504">
        <v>19.649999999999999</v>
      </c>
      <c r="H504">
        <v>682.35</v>
      </c>
    </row>
    <row r="505" spans="1:8" x14ac:dyDescent="0.3">
      <c r="A505">
        <v>139</v>
      </c>
      <c r="B505" t="s">
        <v>5892</v>
      </c>
      <c r="C505" s="451">
        <v>46026</v>
      </c>
      <c r="D505" t="s">
        <v>561</v>
      </c>
      <c r="E505" t="s">
        <v>20</v>
      </c>
      <c r="F505">
        <v>19.95</v>
      </c>
      <c r="G505">
        <v>0</v>
      </c>
      <c r="H505">
        <v>19.95</v>
      </c>
    </row>
    <row r="506" spans="1:8" x14ac:dyDescent="0.3">
      <c r="A506">
        <v>139</v>
      </c>
      <c r="B506" t="s">
        <v>5892</v>
      </c>
      <c r="C506" s="451">
        <v>46025</v>
      </c>
      <c r="D506" t="s">
        <v>561</v>
      </c>
      <c r="E506" t="s">
        <v>3904</v>
      </c>
      <c r="F506">
        <v>8</v>
      </c>
      <c r="G506">
        <v>0.41</v>
      </c>
      <c r="H506">
        <v>7.59</v>
      </c>
    </row>
    <row r="507" spans="1:8" x14ac:dyDescent="0.3">
      <c r="A507">
        <v>139</v>
      </c>
      <c r="B507" t="s">
        <v>5892</v>
      </c>
      <c r="C507" s="451">
        <v>46025</v>
      </c>
      <c r="D507" t="s">
        <v>561</v>
      </c>
      <c r="E507" t="s">
        <v>3905</v>
      </c>
      <c r="F507">
        <v>1032</v>
      </c>
      <c r="G507">
        <v>19.59</v>
      </c>
      <c r="H507">
        <v>1012.41</v>
      </c>
    </row>
    <row r="508" spans="1:8" x14ac:dyDescent="0.3">
      <c r="A508">
        <v>139</v>
      </c>
      <c r="B508" t="s">
        <v>5892</v>
      </c>
      <c r="C508" s="451">
        <v>46025</v>
      </c>
      <c r="D508" t="s">
        <v>561</v>
      </c>
      <c r="E508" t="s">
        <v>20</v>
      </c>
      <c r="F508">
        <v>11.94</v>
      </c>
      <c r="G508">
        <v>0</v>
      </c>
      <c r="H508">
        <v>11.94</v>
      </c>
    </row>
    <row r="509" spans="1:8" x14ac:dyDescent="0.3">
      <c r="A509">
        <v>139</v>
      </c>
      <c r="B509" t="s">
        <v>5892</v>
      </c>
      <c r="C509" s="451">
        <v>46014</v>
      </c>
      <c r="D509" t="s">
        <v>458</v>
      </c>
      <c r="E509" t="s">
        <v>3905</v>
      </c>
      <c r="F509">
        <v>1340.5</v>
      </c>
      <c r="G509">
        <v>30</v>
      </c>
      <c r="H509">
        <v>1310.5</v>
      </c>
    </row>
    <row r="510" spans="1:8" x14ac:dyDescent="0.3">
      <c r="A510">
        <v>139</v>
      </c>
      <c r="B510" t="s">
        <v>5892</v>
      </c>
      <c r="C510" s="451">
        <v>46014</v>
      </c>
      <c r="D510" t="s">
        <v>458</v>
      </c>
      <c r="E510" t="s">
        <v>20</v>
      </c>
      <c r="F510">
        <v>32.86</v>
      </c>
      <c r="G510">
        <v>0</v>
      </c>
      <c r="H510">
        <v>32.86</v>
      </c>
    </row>
    <row r="511" spans="1:8" x14ac:dyDescent="0.3">
      <c r="A511">
        <v>139</v>
      </c>
      <c r="B511" t="s">
        <v>5892</v>
      </c>
      <c r="C511" s="451">
        <v>46013</v>
      </c>
      <c r="D511" t="s">
        <v>458</v>
      </c>
      <c r="E511" t="s">
        <v>3905</v>
      </c>
      <c r="F511">
        <v>1028.5</v>
      </c>
      <c r="G511">
        <v>39.549999999999997</v>
      </c>
      <c r="H511">
        <v>988.95</v>
      </c>
    </row>
    <row r="512" spans="1:8" x14ac:dyDescent="0.3">
      <c r="A512">
        <v>139</v>
      </c>
      <c r="B512" t="s">
        <v>5892</v>
      </c>
      <c r="C512" s="451">
        <v>46013</v>
      </c>
      <c r="D512" t="s">
        <v>458</v>
      </c>
      <c r="E512" t="s">
        <v>20</v>
      </c>
      <c r="F512">
        <v>39.840000000000003</v>
      </c>
      <c r="G512">
        <v>0</v>
      </c>
      <c r="H512">
        <v>39.840000000000003</v>
      </c>
    </row>
    <row r="513" spans="1:8" x14ac:dyDescent="0.3">
      <c r="A513">
        <v>139</v>
      </c>
      <c r="B513" t="s">
        <v>5892</v>
      </c>
      <c r="C513" s="451">
        <v>46012</v>
      </c>
      <c r="D513" t="s">
        <v>458</v>
      </c>
      <c r="E513" t="s">
        <v>3905</v>
      </c>
      <c r="F513">
        <v>2847</v>
      </c>
      <c r="G513">
        <v>49.98</v>
      </c>
      <c r="H513">
        <v>2797.02</v>
      </c>
    </row>
    <row r="514" spans="1:8" x14ac:dyDescent="0.3">
      <c r="A514">
        <v>139</v>
      </c>
      <c r="B514" t="s">
        <v>5892</v>
      </c>
      <c r="C514" s="451">
        <v>46012</v>
      </c>
      <c r="D514" t="s">
        <v>458</v>
      </c>
      <c r="E514" t="s">
        <v>3904</v>
      </c>
      <c r="F514">
        <v>16</v>
      </c>
      <c r="G514">
        <v>0</v>
      </c>
      <c r="H514">
        <v>16</v>
      </c>
    </row>
    <row r="515" spans="1:8" x14ac:dyDescent="0.3">
      <c r="A515">
        <v>139</v>
      </c>
      <c r="B515" t="s">
        <v>5892</v>
      </c>
      <c r="C515" s="451">
        <v>46012</v>
      </c>
      <c r="D515" t="s">
        <v>458</v>
      </c>
      <c r="E515" t="s">
        <v>20</v>
      </c>
      <c r="F515">
        <v>76.25</v>
      </c>
      <c r="G515">
        <v>0</v>
      </c>
      <c r="H515">
        <v>76.25</v>
      </c>
    </row>
    <row r="516" spans="1:8" x14ac:dyDescent="0.3">
      <c r="A516">
        <v>139</v>
      </c>
      <c r="B516" t="s">
        <v>5892</v>
      </c>
      <c r="C516" s="451">
        <v>46011</v>
      </c>
      <c r="D516" t="s">
        <v>458</v>
      </c>
      <c r="E516" t="s">
        <v>3905</v>
      </c>
      <c r="F516">
        <v>1336</v>
      </c>
      <c r="G516">
        <v>19.98</v>
      </c>
      <c r="H516">
        <v>1316.02</v>
      </c>
    </row>
    <row r="517" spans="1:8" x14ac:dyDescent="0.3">
      <c r="A517">
        <v>139</v>
      </c>
      <c r="B517" t="s">
        <v>5892</v>
      </c>
      <c r="C517" s="451">
        <v>46011</v>
      </c>
      <c r="D517" t="s">
        <v>458</v>
      </c>
      <c r="E517" t="s">
        <v>20</v>
      </c>
      <c r="F517">
        <v>20.91</v>
      </c>
      <c r="G517">
        <v>0</v>
      </c>
      <c r="H517">
        <v>20.91</v>
      </c>
    </row>
    <row r="518" spans="1:8" x14ac:dyDescent="0.3">
      <c r="A518">
        <v>139</v>
      </c>
      <c r="B518" t="s">
        <v>5892</v>
      </c>
      <c r="C518" s="451">
        <v>46010</v>
      </c>
      <c r="D518" t="s">
        <v>458</v>
      </c>
      <c r="E518" t="s">
        <v>3905</v>
      </c>
      <c r="F518">
        <v>989.6</v>
      </c>
      <c r="G518">
        <v>24.99</v>
      </c>
      <c r="H518">
        <v>964.61</v>
      </c>
    </row>
    <row r="519" spans="1:8" x14ac:dyDescent="0.3">
      <c r="A519">
        <v>139</v>
      </c>
      <c r="B519" t="s">
        <v>5892</v>
      </c>
      <c r="C519" s="451">
        <v>46010</v>
      </c>
      <c r="D519" t="s">
        <v>458</v>
      </c>
      <c r="E519" t="s">
        <v>3904</v>
      </c>
      <c r="F519">
        <v>8</v>
      </c>
      <c r="G519">
        <v>0</v>
      </c>
      <c r="H519">
        <v>8</v>
      </c>
    </row>
    <row r="520" spans="1:8" x14ac:dyDescent="0.3">
      <c r="A520">
        <v>139</v>
      </c>
      <c r="B520" t="s">
        <v>5892</v>
      </c>
      <c r="C520" s="451">
        <v>46010</v>
      </c>
      <c r="D520" t="s">
        <v>458</v>
      </c>
      <c r="E520" t="s">
        <v>20</v>
      </c>
      <c r="F520">
        <v>37.880000000000003</v>
      </c>
      <c r="G520">
        <v>0</v>
      </c>
      <c r="H520">
        <v>37.880000000000003</v>
      </c>
    </row>
    <row r="521" spans="1:8" x14ac:dyDescent="0.3">
      <c r="A521">
        <v>139</v>
      </c>
      <c r="B521" t="s">
        <v>5892</v>
      </c>
      <c r="C521" s="451">
        <v>46009</v>
      </c>
      <c r="D521" t="s">
        <v>458</v>
      </c>
      <c r="E521" t="s">
        <v>3905</v>
      </c>
      <c r="F521">
        <v>701.7</v>
      </c>
      <c r="G521">
        <v>39.99</v>
      </c>
      <c r="H521">
        <v>661.71</v>
      </c>
    </row>
    <row r="522" spans="1:8" x14ac:dyDescent="0.3">
      <c r="A522">
        <v>139</v>
      </c>
      <c r="B522" t="s">
        <v>5892</v>
      </c>
      <c r="C522" s="451">
        <v>46009</v>
      </c>
      <c r="D522" t="s">
        <v>458</v>
      </c>
      <c r="E522" t="s">
        <v>20</v>
      </c>
      <c r="F522">
        <v>35.909999999999997</v>
      </c>
      <c r="G522">
        <v>0</v>
      </c>
      <c r="H522">
        <v>35.909999999999997</v>
      </c>
    </row>
    <row r="523" spans="1:8" x14ac:dyDescent="0.3">
      <c r="A523">
        <v>139</v>
      </c>
      <c r="B523" t="s">
        <v>5892</v>
      </c>
      <c r="C523" s="451">
        <v>46008</v>
      </c>
      <c r="D523" t="s">
        <v>458</v>
      </c>
      <c r="E523" t="s">
        <v>3905</v>
      </c>
      <c r="F523">
        <v>690.8</v>
      </c>
      <c r="G523">
        <v>15</v>
      </c>
      <c r="H523">
        <v>675.8</v>
      </c>
    </row>
    <row r="524" spans="1:8" x14ac:dyDescent="0.3">
      <c r="A524">
        <v>139</v>
      </c>
      <c r="B524" t="s">
        <v>5892</v>
      </c>
      <c r="C524" s="451">
        <v>46008</v>
      </c>
      <c r="D524" t="s">
        <v>458</v>
      </c>
      <c r="E524" t="s">
        <v>20</v>
      </c>
      <c r="F524">
        <v>40.94</v>
      </c>
      <c r="G524">
        <v>0</v>
      </c>
      <c r="H524">
        <v>40.94</v>
      </c>
    </row>
    <row r="525" spans="1:8" x14ac:dyDescent="0.3">
      <c r="A525">
        <v>139</v>
      </c>
      <c r="B525" t="s">
        <v>5892</v>
      </c>
      <c r="C525" s="451">
        <v>46007</v>
      </c>
      <c r="D525" t="s">
        <v>458</v>
      </c>
      <c r="E525" t="s">
        <v>3904</v>
      </c>
      <c r="F525">
        <v>8</v>
      </c>
      <c r="G525">
        <v>0.19</v>
      </c>
      <c r="H525">
        <v>7.81</v>
      </c>
    </row>
    <row r="526" spans="1:8" x14ac:dyDescent="0.3">
      <c r="A526">
        <v>139</v>
      </c>
      <c r="B526" t="s">
        <v>5892</v>
      </c>
      <c r="C526" s="451">
        <v>46007</v>
      </c>
      <c r="D526" t="s">
        <v>458</v>
      </c>
      <c r="E526" t="s">
        <v>3905</v>
      </c>
      <c r="F526">
        <v>1412.5</v>
      </c>
      <c r="G526">
        <v>34.79</v>
      </c>
      <c r="H526">
        <v>1377.71</v>
      </c>
    </row>
    <row r="527" spans="1:8" x14ac:dyDescent="0.3">
      <c r="A527">
        <v>139</v>
      </c>
      <c r="B527" t="s">
        <v>5892</v>
      </c>
      <c r="C527" s="451">
        <v>46007</v>
      </c>
      <c r="D527" t="s">
        <v>458</v>
      </c>
      <c r="E527" t="s">
        <v>20</v>
      </c>
      <c r="F527">
        <v>78.849999999999994</v>
      </c>
      <c r="G527">
        <v>0</v>
      </c>
      <c r="H527">
        <v>78.849999999999994</v>
      </c>
    </row>
    <row r="528" spans="1:8" x14ac:dyDescent="0.3">
      <c r="A528">
        <v>139</v>
      </c>
      <c r="B528" t="s">
        <v>5892</v>
      </c>
      <c r="C528" s="451">
        <v>46006</v>
      </c>
      <c r="D528" t="s">
        <v>458</v>
      </c>
      <c r="E528" t="s">
        <v>20</v>
      </c>
      <c r="F528">
        <v>37.89</v>
      </c>
      <c r="G528">
        <v>0</v>
      </c>
      <c r="H528">
        <v>37.89</v>
      </c>
    </row>
    <row r="529" spans="1:8" x14ac:dyDescent="0.3">
      <c r="A529">
        <v>139</v>
      </c>
      <c r="B529" t="s">
        <v>5892</v>
      </c>
      <c r="C529" s="451">
        <v>46006</v>
      </c>
      <c r="D529" t="s">
        <v>458</v>
      </c>
      <c r="E529" t="s">
        <v>3905</v>
      </c>
      <c r="F529">
        <v>461.5</v>
      </c>
      <c r="G529">
        <v>19.89</v>
      </c>
      <c r="H529">
        <v>441.61</v>
      </c>
    </row>
    <row r="530" spans="1:8" x14ac:dyDescent="0.3">
      <c r="A530">
        <v>139</v>
      </c>
      <c r="B530" t="s">
        <v>5892</v>
      </c>
      <c r="C530" s="451">
        <v>46005</v>
      </c>
      <c r="D530" t="s">
        <v>458</v>
      </c>
      <c r="E530" t="s">
        <v>3904</v>
      </c>
      <c r="F530">
        <v>16</v>
      </c>
      <c r="G530">
        <v>0</v>
      </c>
      <c r="H530">
        <v>16</v>
      </c>
    </row>
    <row r="531" spans="1:8" x14ac:dyDescent="0.3">
      <c r="A531">
        <v>139</v>
      </c>
      <c r="B531" t="s">
        <v>5892</v>
      </c>
      <c r="C531" s="451">
        <v>46005</v>
      </c>
      <c r="D531" t="s">
        <v>458</v>
      </c>
      <c r="E531" t="s">
        <v>3905</v>
      </c>
      <c r="F531">
        <v>2691</v>
      </c>
      <c r="G531">
        <v>40</v>
      </c>
      <c r="H531">
        <v>2651</v>
      </c>
    </row>
    <row r="532" spans="1:8" x14ac:dyDescent="0.3">
      <c r="A532">
        <v>139</v>
      </c>
      <c r="B532" t="s">
        <v>5892</v>
      </c>
      <c r="C532" s="451">
        <v>46005</v>
      </c>
      <c r="D532" t="s">
        <v>458</v>
      </c>
      <c r="E532" t="s">
        <v>20</v>
      </c>
      <c r="F532">
        <v>130.72</v>
      </c>
      <c r="G532">
        <v>0</v>
      </c>
      <c r="H532">
        <v>130.72</v>
      </c>
    </row>
    <row r="533" spans="1:8" x14ac:dyDescent="0.3">
      <c r="A533">
        <v>139</v>
      </c>
      <c r="B533" t="s">
        <v>5892</v>
      </c>
      <c r="C533" s="451">
        <v>46004</v>
      </c>
      <c r="D533" t="s">
        <v>458</v>
      </c>
      <c r="E533" t="s">
        <v>3904</v>
      </c>
      <c r="F533">
        <v>8</v>
      </c>
      <c r="G533">
        <v>0.18</v>
      </c>
      <c r="H533">
        <v>7.82</v>
      </c>
    </row>
    <row r="534" spans="1:8" x14ac:dyDescent="0.3">
      <c r="A534">
        <v>139</v>
      </c>
      <c r="B534" t="s">
        <v>5892</v>
      </c>
      <c r="C534" s="451">
        <v>46004</v>
      </c>
      <c r="D534" t="s">
        <v>458</v>
      </c>
      <c r="E534" t="s">
        <v>3905</v>
      </c>
      <c r="F534">
        <v>1416</v>
      </c>
      <c r="G534">
        <v>24.83</v>
      </c>
      <c r="H534">
        <v>1391.17</v>
      </c>
    </row>
    <row r="535" spans="1:8" x14ac:dyDescent="0.3">
      <c r="A535">
        <v>139</v>
      </c>
      <c r="B535" t="s">
        <v>5892</v>
      </c>
      <c r="C535" s="451">
        <v>46004</v>
      </c>
      <c r="D535" t="s">
        <v>458</v>
      </c>
      <c r="E535" t="s">
        <v>20</v>
      </c>
      <c r="F535">
        <v>73.849999999999994</v>
      </c>
      <c r="G535">
        <v>0</v>
      </c>
      <c r="H535">
        <v>73.849999999999994</v>
      </c>
    </row>
    <row r="536" spans="1:8" x14ac:dyDescent="0.3">
      <c r="A536">
        <v>139</v>
      </c>
      <c r="B536" t="s">
        <v>5892</v>
      </c>
      <c r="C536" s="451">
        <v>46003</v>
      </c>
      <c r="D536" t="s">
        <v>458</v>
      </c>
      <c r="E536" t="s">
        <v>3904</v>
      </c>
      <c r="F536">
        <v>8</v>
      </c>
      <c r="G536">
        <v>0</v>
      </c>
      <c r="H536">
        <v>8</v>
      </c>
    </row>
    <row r="537" spans="1:8" x14ac:dyDescent="0.3">
      <c r="A537">
        <v>139</v>
      </c>
      <c r="B537" t="s">
        <v>5892</v>
      </c>
      <c r="C537" s="451">
        <v>46003</v>
      </c>
      <c r="D537" t="s">
        <v>458</v>
      </c>
      <c r="E537" t="s">
        <v>3905</v>
      </c>
      <c r="F537">
        <v>898.6</v>
      </c>
      <c r="G537">
        <v>10</v>
      </c>
      <c r="H537">
        <v>888.6</v>
      </c>
    </row>
    <row r="538" spans="1:8" x14ac:dyDescent="0.3">
      <c r="A538">
        <v>139</v>
      </c>
      <c r="B538" t="s">
        <v>5892</v>
      </c>
      <c r="C538" s="451">
        <v>46003</v>
      </c>
      <c r="D538" t="s">
        <v>458</v>
      </c>
      <c r="E538" t="s">
        <v>20</v>
      </c>
      <c r="F538">
        <v>56.85</v>
      </c>
      <c r="G538">
        <v>0</v>
      </c>
      <c r="H538">
        <v>56.85</v>
      </c>
    </row>
    <row r="539" spans="1:8" x14ac:dyDescent="0.3">
      <c r="A539">
        <v>139</v>
      </c>
      <c r="B539" t="s">
        <v>5892</v>
      </c>
      <c r="C539" s="451">
        <v>46002</v>
      </c>
      <c r="D539" t="s">
        <v>458</v>
      </c>
      <c r="E539" t="s">
        <v>3905</v>
      </c>
      <c r="F539">
        <v>1465.3</v>
      </c>
      <c r="G539">
        <v>29.46</v>
      </c>
      <c r="H539">
        <v>1435.84</v>
      </c>
    </row>
    <row r="540" spans="1:8" x14ac:dyDescent="0.3">
      <c r="A540">
        <v>139</v>
      </c>
      <c r="B540" t="s">
        <v>5892</v>
      </c>
      <c r="C540" s="451">
        <v>46002</v>
      </c>
      <c r="D540" t="s">
        <v>458</v>
      </c>
      <c r="E540" t="s">
        <v>3904</v>
      </c>
      <c r="F540">
        <v>16</v>
      </c>
      <c r="G540">
        <v>0.5</v>
      </c>
      <c r="H540">
        <v>15.5</v>
      </c>
    </row>
    <row r="541" spans="1:8" x14ac:dyDescent="0.3">
      <c r="A541">
        <v>139</v>
      </c>
      <c r="B541" t="s">
        <v>5892</v>
      </c>
      <c r="C541" s="451">
        <v>46002</v>
      </c>
      <c r="D541" t="s">
        <v>458</v>
      </c>
      <c r="E541" t="s">
        <v>20</v>
      </c>
      <c r="F541">
        <v>79.8</v>
      </c>
      <c r="G541">
        <v>0</v>
      </c>
      <c r="H541">
        <v>79.8</v>
      </c>
    </row>
    <row r="542" spans="1:8" x14ac:dyDescent="0.3">
      <c r="A542">
        <v>139</v>
      </c>
      <c r="B542" t="s">
        <v>5892</v>
      </c>
      <c r="C542" s="451">
        <v>46001</v>
      </c>
      <c r="D542" t="s">
        <v>458</v>
      </c>
      <c r="E542" t="s">
        <v>3904</v>
      </c>
      <c r="F542">
        <v>24</v>
      </c>
      <c r="G542">
        <v>0</v>
      </c>
      <c r="H542">
        <v>24</v>
      </c>
    </row>
    <row r="543" spans="1:8" x14ac:dyDescent="0.3">
      <c r="A543">
        <v>139</v>
      </c>
      <c r="B543" t="s">
        <v>5892</v>
      </c>
      <c r="C543" s="451">
        <v>46001</v>
      </c>
      <c r="D543" t="s">
        <v>458</v>
      </c>
      <c r="E543" t="s">
        <v>3905</v>
      </c>
      <c r="F543">
        <v>1104.2</v>
      </c>
      <c r="G543">
        <v>34.46</v>
      </c>
      <c r="H543">
        <v>1069.74</v>
      </c>
    </row>
    <row r="544" spans="1:8" x14ac:dyDescent="0.3">
      <c r="A544">
        <v>139</v>
      </c>
      <c r="B544" t="s">
        <v>5892</v>
      </c>
      <c r="C544" s="451">
        <v>46001</v>
      </c>
      <c r="D544" t="s">
        <v>458</v>
      </c>
      <c r="E544" t="s">
        <v>20</v>
      </c>
      <c r="F544">
        <v>88.81</v>
      </c>
      <c r="G544">
        <v>0</v>
      </c>
      <c r="H544">
        <v>88.81</v>
      </c>
    </row>
    <row r="545" spans="1:8" x14ac:dyDescent="0.3">
      <c r="A545">
        <v>139</v>
      </c>
      <c r="B545" t="s">
        <v>5892</v>
      </c>
      <c r="C545" s="451">
        <v>46000</v>
      </c>
      <c r="D545" t="s">
        <v>458</v>
      </c>
      <c r="E545" t="s">
        <v>3904</v>
      </c>
      <c r="F545">
        <v>16</v>
      </c>
      <c r="G545">
        <v>0.71</v>
      </c>
      <c r="H545">
        <v>15.29</v>
      </c>
    </row>
    <row r="546" spans="1:8" x14ac:dyDescent="0.3">
      <c r="A546">
        <v>139</v>
      </c>
      <c r="B546" t="s">
        <v>5892</v>
      </c>
      <c r="C546" s="451">
        <v>46000</v>
      </c>
      <c r="D546" t="s">
        <v>458</v>
      </c>
      <c r="E546" t="s">
        <v>3905</v>
      </c>
      <c r="F546">
        <v>821.2</v>
      </c>
      <c r="G546">
        <v>34.29</v>
      </c>
      <c r="H546">
        <v>786.91</v>
      </c>
    </row>
    <row r="547" spans="1:8" x14ac:dyDescent="0.3">
      <c r="A547">
        <v>139</v>
      </c>
      <c r="B547" t="s">
        <v>5892</v>
      </c>
      <c r="C547" s="451">
        <v>46000</v>
      </c>
      <c r="D547" t="s">
        <v>458</v>
      </c>
      <c r="E547" t="s">
        <v>20</v>
      </c>
      <c r="F547">
        <v>100.79</v>
      </c>
      <c r="G547">
        <v>0</v>
      </c>
      <c r="H547">
        <v>100.79</v>
      </c>
    </row>
    <row r="548" spans="1:8" x14ac:dyDescent="0.3">
      <c r="A548">
        <v>139</v>
      </c>
      <c r="B548" t="s">
        <v>5892</v>
      </c>
      <c r="C548" s="451">
        <v>45999</v>
      </c>
      <c r="D548" t="s">
        <v>458</v>
      </c>
      <c r="E548" t="s">
        <v>3905</v>
      </c>
      <c r="F548">
        <v>571.9</v>
      </c>
      <c r="G548">
        <v>14.98</v>
      </c>
      <c r="H548">
        <v>556.91999999999996</v>
      </c>
    </row>
    <row r="549" spans="1:8" x14ac:dyDescent="0.3">
      <c r="A549">
        <v>139</v>
      </c>
      <c r="B549" t="s">
        <v>5892</v>
      </c>
      <c r="C549" s="451">
        <v>45999</v>
      </c>
      <c r="D549" t="s">
        <v>458</v>
      </c>
      <c r="E549" t="s">
        <v>20</v>
      </c>
      <c r="F549">
        <v>51.94</v>
      </c>
      <c r="G549">
        <v>0</v>
      </c>
      <c r="H549">
        <v>51.94</v>
      </c>
    </row>
    <row r="550" spans="1:8" x14ac:dyDescent="0.3">
      <c r="A550">
        <v>139</v>
      </c>
      <c r="B550" t="s">
        <v>5892</v>
      </c>
      <c r="C550" s="451">
        <v>45998</v>
      </c>
      <c r="D550" t="s">
        <v>458</v>
      </c>
      <c r="E550" t="s">
        <v>3904</v>
      </c>
      <c r="F550">
        <v>24</v>
      </c>
      <c r="G550">
        <v>1.49</v>
      </c>
      <c r="H550">
        <v>22.51</v>
      </c>
    </row>
    <row r="551" spans="1:8" x14ac:dyDescent="0.3">
      <c r="A551">
        <v>139</v>
      </c>
      <c r="B551" t="s">
        <v>5892</v>
      </c>
      <c r="C551" s="451">
        <v>45998</v>
      </c>
      <c r="D551" t="s">
        <v>458</v>
      </c>
      <c r="E551" t="s">
        <v>3905</v>
      </c>
      <c r="F551">
        <v>1662</v>
      </c>
      <c r="G551">
        <v>33.5</v>
      </c>
      <c r="H551">
        <v>1628.5</v>
      </c>
    </row>
    <row r="552" spans="1:8" x14ac:dyDescent="0.3">
      <c r="A552">
        <v>139</v>
      </c>
      <c r="B552" t="s">
        <v>5892</v>
      </c>
      <c r="C552" s="451">
        <v>45998</v>
      </c>
      <c r="D552" t="s">
        <v>458</v>
      </c>
      <c r="E552" t="s">
        <v>20</v>
      </c>
      <c r="F552">
        <v>88.62</v>
      </c>
      <c r="G552">
        <v>0</v>
      </c>
      <c r="H552">
        <v>88.62</v>
      </c>
    </row>
    <row r="553" spans="1:8" x14ac:dyDescent="0.3">
      <c r="A553">
        <v>139</v>
      </c>
      <c r="B553" t="s">
        <v>5892</v>
      </c>
      <c r="C553" s="451">
        <v>45997</v>
      </c>
      <c r="D553" t="s">
        <v>458</v>
      </c>
      <c r="E553" t="s">
        <v>3905</v>
      </c>
      <c r="F553">
        <v>1632</v>
      </c>
      <c r="G553">
        <v>20</v>
      </c>
      <c r="H553">
        <v>1612</v>
      </c>
    </row>
    <row r="554" spans="1:8" x14ac:dyDescent="0.3">
      <c r="A554">
        <v>139</v>
      </c>
      <c r="B554" t="s">
        <v>5892</v>
      </c>
      <c r="C554" s="451">
        <v>45997</v>
      </c>
      <c r="D554" t="s">
        <v>458</v>
      </c>
      <c r="E554" t="s">
        <v>3904</v>
      </c>
      <c r="F554">
        <v>16</v>
      </c>
      <c r="G554">
        <v>0</v>
      </c>
      <c r="H554">
        <v>16</v>
      </c>
    </row>
    <row r="555" spans="1:8" x14ac:dyDescent="0.3">
      <c r="A555">
        <v>139</v>
      </c>
      <c r="B555" t="s">
        <v>5892</v>
      </c>
      <c r="C555" s="451">
        <v>45997</v>
      </c>
      <c r="D555" t="s">
        <v>458</v>
      </c>
      <c r="E555" t="s">
        <v>20</v>
      </c>
      <c r="F555">
        <v>94.81</v>
      </c>
      <c r="G555">
        <v>0</v>
      </c>
      <c r="H555">
        <v>94.81</v>
      </c>
    </row>
    <row r="556" spans="1:8" x14ac:dyDescent="0.3">
      <c r="A556">
        <v>139</v>
      </c>
      <c r="B556" t="s">
        <v>5892</v>
      </c>
      <c r="C556" s="451">
        <v>45996</v>
      </c>
      <c r="D556" t="s">
        <v>458</v>
      </c>
      <c r="E556" t="s">
        <v>3905</v>
      </c>
      <c r="F556">
        <v>516.9</v>
      </c>
      <c r="G556">
        <v>9.14</v>
      </c>
      <c r="H556">
        <v>507.76</v>
      </c>
    </row>
    <row r="557" spans="1:8" x14ac:dyDescent="0.3">
      <c r="A557">
        <v>139</v>
      </c>
      <c r="B557" t="s">
        <v>5892</v>
      </c>
      <c r="C557" s="451">
        <v>45996</v>
      </c>
      <c r="D557" t="s">
        <v>458</v>
      </c>
      <c r="E557" t="s">
        <v>20</v>
      </c>
      <c r="F557">
        <v>42.91</v>
      </c>
      <c r="G557">
        <v>0</v>
      </c>
      <c r="H557">
        <v>42.91</v>
      </c>
    </row>
    <row r="558" spans="1:8" x14ac:dyDescent="0.3">
      <c r="A558">
        <v>139</v>
      </c>
      <c r="B558" t="s">
        <v>5892</v>
      </c>
      <c r="C558" s="451">
        <v>45996</v>
      </c>
      <c r="D558" t="s">
        <v>458</v>
      </c>
      <c r="E558" t="s">
        <v>3904</v>
      </c>
      <c r="F558">
        <v>8</v>
      </c>
      <c r="G558">
        <v>0</v>
      </c>
      <c r="H558">
        <v>8</v>
      </c>
    </row>
    <row r="559" spans="1:8" x14ac:dyDescent="0.3">
      <c r="A559">
        <v>139</v>
      </c>
      <c r="B559" t="s">
        <v>5892</v>
      </c>
      <c r="C559" s="451">
        <v>45995</v>
      </c>
      <c r="D559" t="s">
        <v>458</v>
      </c>
      <c r="E559" t="s">
        <v>3905</v>
      </c>
      <c r="F559">
        <v>725.5</v>
      </c>
      <c r="G559">
        <v>29.97</v>
      </c>
      <c r="H559">
        <v>695.53</v>
      </c>
    </row>
    <row r="560" spans="1:8" x14ac:dyDescent="0.3">
      <c r="A560">
        <v>139</v>
      </c>
      <c r="B560" t="s">
        <v>5892</v>
      </c>
      <c r="C560" s="451">
        <v>45995</v>
      </c>
      <c r="D560" t="s">
        <v>458</v>
      </c>
      <c r="E560" t="s">
        <v>20</v>
      </c>
      <c r="F560">
        <v>63.86</v>
      </c>
      <c r="G560">
        <v>0</v>
      </c>
      <c r="H560">
        <v>63.86</v>
      </c>
    </row>
    <row r="561" spans="1:8" x14ac:dyDescent="0.3">
      <c r="A561">
        <v>139</v>
      </c>
      <c r="B561" t="s">
        <v>5892</v>
      </c>
      <c r="C561" s="451">
        <v>45994</v>
      </c>
      <c r="D561" t="s">
        <v>458</v>
      </c>
      <c r="E561" t="s">
        <v>3904</v>
      </c>
      <c r="F561">
        <v>8</v>
      </c>
      <c r="G561">
        <v>0</v>
      </c>
      <c r="H561">
        <v>8</v>
      </c>
    </row>
    <row r="562" spans="1:8" x14ac:dyDescent="0.3">
      <c r="A562">
        <v>139</v>
      </c>
      <c r="B562" t="s">
        <v>5892</v>
      </c>
      <c r="C562" s="451">
        <v>45994</v>
      </c>
      <c r="D562" t="s">
        <v>458</v>
      </c>
      <c r="E562" t="s">
        <v>3905</v>
      </c>
      <c r="F562">
        <v>509.8</v>
      </c>
      <c r="G562">
        <v>10</v>
      </c>
      <c r="H562">
        <v>499.8</v>
      </c>
    </row>
    <row r="563" spans="1:8" x14ac:dyDescent="0.3">
      <c r="A563">
        <v>139</v>
      </c>
      <c r="B563" t="s">
        <v>5892</v>
      </c>
      <c r="C563" s="451">
        <v>45994</v>
      </c>
      <c r="D563" t="s">
        <v>458</v>
      </c>
      <c r="E563" t="s">
        <v>20</v>
      </c>
      <c r="F563">
        <v>42.92</v>
      </c>
      <c r="G563">
        <v>0</v>
      </c>
      <c r="H563">
        <v>42.92</v>
      </c>
    </row>
    <row r="564" spans="1:8" x14ac:dyDescent="0.3">
      <c r="A564">
        <v>139</v>
      </c>
      <c r="B564" t="s">
        <v>5892</v>
      </c>
      <c r="C564" s="451">
        <v>45993</v>
      </c>
      <c r="D564" t="s">
        <v>458</v>
      </c>
      <c r="E564" t="s">
        <v>20</v>
      </c>
      <c r="F564">
        <v>28.94</v>
      </c>
      <c r="G564">
        <v>0</v>
      </c>
      <c r="H564">
        <v>28.94</v>
      </c>
    </row>
    <row r="565" spans="1:8" x14ac:dyDescent="0.3">
      <c r="A565">
        <v>139</v>
      </c>
      <c r="B565" t="s">
        <v>5892</v>
      </c>
      <c r="C565" s="451">
        <v>45993</v>
      </c>
      <c r="D565" t="s">
        <v>458</v>
      </c>
      <c r="E565" t="s">
        <v>3905</v>
      </c>
      <c r="F565">
        <v>589</v>
      </c>
      <c r="G565">
        <v>8.0500000000000007</v>
      </c>
      <c r="H565">
        <v>580.95000000000005</v>
      </c>
    </row>
    <row r="566" spans="1:8" x14ac:dyDescent="0.3">
      <c r="A566">
        <v>139</v>
      </c>
      <c r="B566" t="s">
        <v>5892</v>
      </c>
      <c r="C566" s="451">
        <v>45992</v>
      </c>
      <c r="D566" t="s">
        <v>458</v>
      </c>
      <c r="E566" t="s">
        <v>20</v>
      </c>
      <c r="F566">
        <v>13.96</v>
      </c>
      <c r="G566">
        <v>0</v>
      </c>
      <c r="H566">
        <v>13.96</v>
      </c>
    </row>
    <row r="567" spans="1:8" x14ac:dyDescent="0.3">
      <c r="A567">
        <v>139</v>
      </c>
      <c r="B567" t="s">
        <v>5892</v>
      </c>
      <c r="C567" s="451">
        <v>45992</v>
      </c>
      <c r="D567" t="s">
        <v>458</v>
      </c>
      <c r="E567" t="s">
        <v>3905</v>
      </c>
      <c r="F567">
        <v>87.8</v>
      </c>
      <c r="G567">
        <v>5</v>
      </c>
      <c r="H567">
        <v>82.8</v>
      </c>
    </row>
    <row r="568" spans="1:8" x14ac:dyDescent="0.3">
      <c r="A568">
        <v>139</v>
      </c>
      <c r="B568" t="s">
        <v>5892</v>
      </c>
      <c r="C568" s="451">
        <v>45991</v>
      </c>
      <c r="D568" t="s">
        <v>753</v>
      </c>
      <c r="E568" t="s">
        <v>3905</v>
      </c>
      <c r="F568">
        <v>2011</v>
      </c>
      <c r="G568">
        <v>20</v>
      </c>
      <c r="H568">
        <v>1991</v>
      </c>
    </row>
    <row r="569" spans="1:8" x14ac:dyDescent="0.3">
      <c r="A569">
        <v>139</v>
      </c>
      <c r="B569" t="s">
        <v>5892</v>
      </c>
      <c r="C569" s="451">
        <v>45991</v>
      </c>
      <c r="D569" t="s">
        <v>753</v>
      </c>
      <c r="E569" t="s">
        <v>20</v>
      </c>
      <c r="F569">
        <v>47.88</v>
      </c>
      <c r="G569">
        <v>0</v>
      </c>
      <c r="H569">
        <v>47.88</v>
      </c>
    </row>
    <row r="570" spans="1:8" x14ac:dyDescent="0.3">
      <c r="A570">
        <v>139</v>
      </c>
      <c r="B570" t="s">
        <v>5892</v>
      </c>
      <c r="C570" s="451">
        <v>45990</v>
      </c>
      <c r="D570" t="s">
        <v>753</v>
      </c>
      <c r="E570" t="s">
        <v>3905</v>
      </c>
      <c r="F570">
        <v>1236</v>
      </c>
      <c r="G570">
        <v>14.69</v>
      </c>
      <c r="H570">
        <v>1221.31</v>
      </c>
    </row>
    <row r="571" spans="1:8" x14ac:dyDescent="0.3">
      <c r="A571">
        <v>139</v>
      </c>
      <c r="B571" t="s">
        <v>5892</v>
      </c>
      <c r="C571" s="451">
        <v>45990</v>
      </c>
      <c r="D571" t="s">
        <v>753</v>
      </c>
      <c r="E571" t="s">
        <v>3904</v>
      </c>
      <c r="F571">
        <v>16</v>
      </c>
      <c r="G571">
        <v>0.31</v>
      </c>
      <c r="H571">
        <v>15.69</v>
      </c>
    </row>
    <row r="572" spans="1:8" x14ac:dyDescent="0.3">
      <c r="A572">
        <v>139</v>
      </c>
      <c r="B572" t="s">
        <v>5892</v>
      </c>
      <c r="C572" s="451">
        <v>45990</v>
      </c>
      <c r="D572" t="s">
        <v>753</v>
      </c>
      <c r="E572" t="s">
        <v>20</v>
      </c>
      <c r="F572">
        <v>87.83</v>
      </c>
      <c r="G572">
        <v>0</v>
      </c>
      <c r="H572">
        <v>87.83</v>
      </c>
    </row>
    <row r="573" spans="1:8" x14ac:dyDescent="0.3">
      <c r="A573">
        <v>139</v>
      </c>
      <c r="B573" t="s">
        <v>5892</v>
      </c>
      <c r="C573" s="451">
        <v>45989</v>
      </c>
      <c r="D573" t="s">
        <v>753</v>
      </c>
      <c r="E573" t="s">
        <v>3905</v>
      </c>
      <c r="F573">
        <v>576.79999999999995</v>
      </c>
      <c r="G573">
        <v>4.99</v>
      </c>
      <c r="H573">
        <v>571.80999999999995</v>
      </c>
    </row>
    <row r="574" spans="1:8" x14ac:dyDescent="0.3">
      <c r="A574">
        <v>139</v>
      </c>
      <c r="B574" t="s">
        <v>5892</v>
      </c>
      <c r="C574" s="451">
        <v>45989</v>
      </c>
      <c r="D574" t="s">
        <v>753</v>
      </c>
      <c r="E574" t="s">
        <v>20</v>
      </c>
      <c r="F574">
        <v>53.9</v>
      </c>
      <c r="G574">
        <v>0</v>
      </c>
      <c r="H574">
        <v>53.9</v>
      </c>
    </row>
    <row r="575" spans="1:8" x14ac:dyDescent="0.3">
      <c r="A575">
        <v>139</v>
      </c>
      <c r="B575" t="s">
        <v>5892</v>
      </c>
      <c r="C575" s="451">
        <v>45988</v>
      </c>
      <c r="D575" t="s">
        <v>753</v>
      </c>
      <c r="E575" t="s">
        <v>3905</v>
      </c>
      <c r="F575">
        <v>1469.6</v>
      </c>
      <c r="G575">
        <v>24.99</v>
      </c>
      <c r="H575">
        <v>1444.61</v>
      </c>
    </row>
    <row r="576" spans="1:8" x14ac:dyDescent="0.3">
      <c r="A576">
        <v>139</v>
      </c>
      <c r="B576" t="s">
        <v>5892</v>
      </c>
      <c r="C576" s="451">
        <v>45988</v>
      </c>
      <c r="D576" t="s">
        <v>753</v>
      </c>
      <c r="E576" t="s">
        <v>20</v>
      </c>
      <c r="F576">
        <v>73.819999999999993</v>
      </c>
      <c r="G576">
        <v>0</v>
      </c>
      <c r="H576">
        <v>73.819999999999993</v>
      </c>
    </row>
    <row r="577" spans="1:8" x14ac:dyDescent="0.3">
      <c r="A577">
        <v>139</v>
      </c>
      <c r="B577" t="s">
        <v>5892</v>
      </c>
      <c r="C577" s="451">
        <v>45987</v>
      </c>
      <c r="D577" t="s">
        <v>753</v>
      </c>
      <c r="E577" t="s">
        <v>3905</v>
      </c>
      <c r="F577">
        <v>314.89999999999998</v>
      </c>
      <c r="G577">
        <v>5</v>
      </c>
      <c r="H577">
        <v>309.89999999999998</v>
      </c>
    </row>
    <row r="578" spans="1:8" x14ac:dyDescent="0.3">
      <c r="A578">
        <v>139</v>
      </c>
      <c r="B578" t="s">
        <v>5892</v>
      </c>
      <c r="C578" s="451">
        <v>45987</v>
      </c>
      <c r="D578" t="s">
        <v>753</v>
      </c>
      <c r="E578" t="s">
        <v>20</v>
      </c>
      <c r="F578">
        <v>14.97</v>
      </c>
      <c r="G578">
        <v>0</v>
      </c>
      <c r="H578">
        <v>14.97</v>
      </c>
    </row>
    <row r="579" spans="1:8" x14ac:dyDescent="0.3">
      <c r="A579">
        <v>139</v>
      </c>
      <c r="B579" t="s">
        <v>5892</v>
      </c>
      <c r="C579" s="451">
        <v>45986</v>
      </c>
      <c r="D579" t="s">
        <v>753</v>
      </c>
      <c r="E579" t="s">
        <v>20</v>
      </c>
      <c r="F579">
        <v>17.96</v>
      </c>
      <c r="G579">
        <v>0</v>
      </c>
      <c r="H579">
        <v>17.96</v>
      </c>
    </row>
    <row r="580" spans="1:8" x14ac:dyDescent="0.3">
      <c r="A580">
        <v>139</v>
      </c>
      <c r="B580" t="s">
        <v>5892</v>
      </c>
      <c r="C580" s="451">
        <v>45986</v>
      </c>
      <c r="D580" t="s">
        <v>753</v>
      </c>
      <c r="E580" t="s">
        <v>3905</v>
      </c>
      <c r="F580">
        <v>477.6</v>
      </c>
      <c r="G580">
        <v>0</v>
      </c>
      <c r="H580">
        <v>477.6</v>
      </c>
    </row>
    <row r="581" spans="1:8" x14ac:dyDescent="0.3">
      <c r="A581">
        <v>139</v>
      </c>
      <c r="B581" t="s">
        <v>5892</v>
      </c>
      <c r="C581" s="451">
        <v>45985</v>
      </c>
      <c r="D581" t="s">
        <v>753</v>
      </c>
      <c r="E581" t="s">
        <v>3905</v>
      </c>
      <c r="F581">
        <v>688.9</v>
      </c>
      <c r="G581">
        <v>14.67</v>
      </c>
      <c r="H581">
        <v>674.23</v>
      </c>
    </row>
    <row r="582" spans="1:8" x14ac:dyDescent="0.3">
      <c r="A582">
        <v>139</v>
      </c>
      <c r="B582" t="s">
        <v>5892</v>
      </c>
      <c r="C582" s="451">
        <v>45985</v>
      </c>
      <c r="D582" t="s">
        <v>753</v>
      </c>
      <c r="E582" t="s">
        <v>20</v>
      </c>
      <c r="F582">
        <v>36.92</v>
      </c>
      <c r="G582">
        <v>0</v>
      </c>
      <c r="H582">
        <v>36.92</v>
      </c>
    </row>
    <row r="583" spans="1:8" x14ac:dyDescent="0.3">
      <c r="A583">
        <v>139</v>
      </c>
      <c r="B583" t="s">
        <v>5892</v>
      </c>
      <c r="C583" s="451">
        <v>45984</v>
      </c>
      <c r="D583" t="s">
        <v>753</v>
      </c>
      <c r="E583" t="s">
        <v>3905</v>
      </c>
      <c r="F583">
        <v>1687</v>
      </c>
      <c r="G583">
        <v>15</v>
      </c>
      <c r="H583">
        <v>1672</v>
      </c>
    </row>
    <row r="584" spans="1:8" x14ac:dyDescent="0.3">
      <c r="A584">
        <v>139</v>
      </c>
      <c r="B584" t="s">
        <v>5892</v>
      </c>
      <c r="C584" s="451">
        <v>45984</v>
      </c>
      <c r="D584" t="s">
        <v>753</v>
      </c>
      <c r="E584" t="s">
        <v>20</v>
      </c>
      <c r="F584">
        <v>81.84</v>
      </c>
      <c r="G584">
        <v>0</v>
      </c>
      <c r="H584">
        <v>81.84</v>
      </c>
    </row>
    <row r="585" spans="1:8" x14ac:dyDescent="0.3">
      <c r="A585">
        <v>139</v>
      </c>
      <c r="B585" t="s">
        <v>5892</v>
      </c>
      <c r="C585" s="451">
        <v>45983</v>
      </c>
      <c r="D585" t="s">
        <v>753</v>
      </c>
      <c r="E585" t="s">
        <v>3905</v>
      </c>
      <c r="F585">
        <v>2163</v>
      </c>
      <c r="G585">
        <v>15</v>
      </c>
      <c r="H585">
        <v>2148</v>
      </c>
    </row>
    <row r="586" spans="1:8" x14ac:dyDescent="0.3">
      <c r="A586">
        <v>139</v>
      </c>
      <c r="B586" t="s">
        <v>5892</v>
      </c>
      <c r="C586" s="451">
        <v>45983</v>
      </c>
      <c r="D586" t="s">
        <v>753</v>
      </c>
      <c r="E586" t="s">
        <v>20</v>
      </c>
      <c r="F586">
        <v>116.81</v>
      </c>
      <c r="G586">
        <v>0</v>
      </c>
      <c r="H586">
        <v>116.81</v>
      </c>
    </row>
    <row r="587" spans="1:8" x14ac:dyDescent="0.3">
      <c r="A587">
        <v>139</v>
      </c>
      <c r="B587" t="s">
        <v>5892</v>
      </c>
      <c r="C587" s="451">
        <v>45982</v>
      </c>
      <c r="D587" t="s">
        <v>753</v>
      </c>
      <c r="E587" t="s">
        <v>3905</v>
      </c>
      <c r="F587">
        <v>245.9</v>
      </c>
      <c r="G587">
        <v>5</v>
      </c>
      <c r="H587">
        <v>240.9</v>
      </c>
    </row>
    <row r="588" spans="1:8" x14ac:dyDescent="0.3">
      <c r="A588">
        <v>139</v>
      </c>
      <c r="B588" t="s">
        <v>5892</v>
      </c>
      <c r="C588" s="451">
        <v>45982</v>
      </c>
      <c r="D588" t="s">
        <v>753</v>
      </c>
      <c r="E588" t="s">
        <v>20</v>
      </c>
      <c r="F588">
        <v>33.950000000000003</v>
      </c>
      <c r="G588">
        <v>0</v>
      </c>
      <c r="H588">
        <v>33.950000000000003</v>
      </c>
    </row>
    <row r="589" spans="1:8" x14ac:dyDescent="0.3">
      <c r="A589">
        <v>139</v>
      </c>
      <c r="B589" t="s">
        <v>5892</v>
      </c>
      <c r="C589" s="451">
        <v>45981</v>
      </c>
      <c r="D589" t="s">
        <v>753</v>
      </c>
      <c r="E589" t="s">
        <v>3905</v>
      </c>
      <c r="F589">
        <v>1456.7</v>
      </c>
      <c r="G589">
        <v>0</v>
      </c>
      <c r="H589">
        <v>1456.7</v>
      </c>
    </row>
    <row r="590" spans="1:8" x14ac:dyDescent="0.3">
      <c r="A590">
        <v>139</v>
      </c>
      <c r="B590" t="s">
        <v>5892</v>
      </c>
      <c r="C590" s="451">
        <v>45981</v>
      </c>
      <c r="D590" t="s">
        <v>753</v>
      </c>
      <c r="E590" t="s">
        <v>3904</v>
      </c>
      <c r="F590">
        <v>8</v>
      </c>
      <c r="G590">
        <v>0</v>
      </c>
      <c r="H590">
        <v>8</v>
      </c>
    </row>
    <row r="591" spans="1:8" x14ac:dyDescent="0.3">
      <c r="A591">
        <v>139</v>
      </c>
      <c r="B591" t="s">
        <v>5892</v>
      </c>
      <c r="C591" s="451">
        <v>45981</v>
      </c>
      <c r="D591" t="s">
        <v>753</v>
      </c>
      <c r="E591" t="s">
        <v>20</v>
      </c>
      <c r="F591">
        <v>57.88</v>
      </c>
      <c r="G591">
        <v>0</v>
      </c>
      <c r="H591">
        <v>57.88</v>
      </c>
    </row>
    <row r="592" spans="1:8" x14ac:dyDescent="0.3">
      <c r="A592">
        <v>139</v>
      </c>
      <c r="B592" t="s">
        <v>5892</v>
      </c>
      <c r="C592" s="451">
        <v>45980</v>
      </c>
      <c r="D592" t="s">
        <v>753</v>
      </c>
      <c r="E592" t="s">
        <v>3905</v>
      </c>
      <c r="F592">
        <v>354</v>
      </c>
      <c r="G592">
        <v>0</v>
      </c>
      <c r="H592">
        <v>354</v>
      </c>
    </row>
    <row r="593" spans="1:8" x14ac:dyDescent="0.3">
      <c r="A593">
        <v>139</v>
      </c>
      <c r="B593" t="s">
        <v>5892</v>
      </c>
      <c r="C593" s="451">
        <v>45980</v>
      </c>
      <c r="D593" t="s">
        <v>753</v>
      </c>
      <c r="E593" t="s">
        <v>20</v>
      </c>
      <c r="F593">
        <v>27.96</v>
      </c>
      <c r="G593">
        <v>0</v>
      </c>
      <c r="H593">
        <v>27.96</v>
      </c>
    </row>
    <row r="594" spans="1:8" x14ac:dyDescent="0.3">
      <c r="A594">
        <v>139</v>
      </c>
      <c r="B594" t="s">
        <v>5892</v>
      </c>
      <c r="C594" s="451">
        <v>45979</v>
      </c>
      <c r="D594" t="s">
        <v>753</v>
      </c>
      <c r="E594" t="s">
        <v>3905</v>
      </c>
      <c r="F594">
        <v>246</v>
      </c>
      <c r="G594">
        <v>0</v>
      </c>
      <c r="H594">
        <v>246</v>
      </c>
    </row>
    <row r="595" spans="1:8" x14ac:dyDescent="0.3">
      <c r="A595">
        <v>139</v>
      </c>
      <c r="B595" t="s">
        <v>5892</v>
      </c>
      <c r="C595" s="451">
        <v>45979</v>
      </c>
      <c r="D595" t="s">
        <v>753</v>
      </c>
      <c r="E595" t="s">
        <v>20</v>
      </c>
      <c r="F595">
        <v>7.98</v>
      </c>
      <c r="G595">
        <v>0</v>
      </c>
      <c r="H595">
        <v>7.98</v>
      </c>
    </row>
    <row r="596" spans="1:8" x14ac:dyDescent="0.3">
      <c r="A596">
        <v>139</v>
      </c>
      <c r="B596" t="s">
        <v>5892</v>
      </c>
      <c r="C596" s="451">
        <v>45978</v>
      </c>
      <c r="D596" t="s">
        <v>753</v>
      </c>
      <c r="E596" t="s">
        <v>20</v>
      </c>
      <c r="F596">
        <v>1.98</v>
      </c>
      <c r="G596">
        <v>0</v>
      </c>
      <c r="H596">
        <v>1.98</v>
      </c>
    </row>
    <row r="597" spans="1:8" x14ac:dyDescent="0.3">
      <c r="A597">
        <v>139</v>
      </c>
      <c r="B597" t="s">
        <v>5892</v>
      </c>
      <c r="C597" s="451">
        <v>45978</v>
      </c>
      <c r="D597" t="s">
        <v>753</v>
      </c>
      <c r="E597" t="s">
        <v>3905</v>
      </c>
      <c r="F597">
        <v>79.8</v>
      </c>
      <c r="G597">
        <v>0</v>
      </c>
      <c r="H597">
        <v>79.8</v>
      </c>
    </row>
    <row r="598" spans="1:8" x14ac:dyDescent="0.3">
      <c r="A598">
        <v>139</v>
      </c>
      <c r="B598" t="s">
        <v>5892</v>
      </c>
      <c r="C598" s="451">
        <v>45977</v>
      </c>
      <c r="D598" t="s">
        <v>753</v>
      </c>
      <c r="E598" t="s">
        <v>3904</v>
      </c>
      <c r="F598">
        <v>16</v>
      </c>
      <c r="G598">
        <v>0</v>
      </c>
      <c r="H598">
        <v>16</v>
      </c>
    </row>
    <row r="599" spans="1:8" x14ac:dyDescent="0.3">
      <c r="A599">
        <v>139</v>
      </c>
      <c r="B599" t="s">
        <v>5892</v>
      </c>
      <c r="C599" s="451">
        <v>45977</v>
      </c>
      <c r="D599" t="s">
        <v>753</v>
      </c>
      <c r="E599" t="s">
        <v>3905</v>
      </c>
      <c r="F599">
        <v>1110</v>
      </c>
      <c r="G599">
        <v>0</v>
      </c>
      <c r="H599">
        <v>1110</v>
      </c>
    </row>
    <row r="600" spans="1:8" x14ac:dyDescent="0.3">
      <c r="A600">
        <v>139</v>
      </c>
      <c r="B600" t="s">
        <v>5892</v>
      </c>
      <c r="C600" s="451">
        <v>45977</v>
      </c>
      <c r="D600" t="s">
        <v>753</v>
      </c>
      <c r="E600" t="s">
        <v>20</v>
      </c>
      <c r="F600">
        <v>76.849999999999994</v>
      </c>
      <c r="G600">
        <v>0</v>
      </c>
      <c r="H600">
        <v>76.849999999999994</v>
      </c>
    </row>
    <row r="601" spans="1:8" x14ac:dyDescent="0.3">
      <c r="A601">
        <v>139</v>
      </c>
      <c r="B601" t="s">
        <v>5892</v>
      </c>
      <c r="C601" s="451">
        <v>45976</v>
      </c>
      <c r="D601" t="s">
        <v>753</v>
      </c>
      <c r="E601" t="s">
        <v>3905</v>
      </c>
      <c r="F601">
        <v>447</v>
      </c>
      <c r="G601">
        <v>0</v>
      </c>
      <c r="H601">
        <v>447</v>
      </c>
    </row>
    <row r="602" spans="1:8" x14ac:dyDescent="0.3">
      <c r="A602">
        <v>139</v>
      </c>
      <c r="B602" t="s">
        <v>5892</v>
      </c>
      <c r="C602" s="451">
        <v>45976</v>
      </c>
      <c r="D602" t="s">
        <v>753</v>
      </c>
      <c r="E602" t="s">
        <v>20</v>
      </c>
      <c r="F602">
        <v>24.96</v>
      </c>
      <c r="G602">
        <v>0</v>
      </c>
      <c r="H602">
        <v>24.96</v>
      </c>
    </row>
    <row r="603" spans="1:8" x14ac:dyDescent="0.3">
      <c r="A603">
        <v>139</v>
      </c>
      <c r="B603" t="s">
        <v>5892</v>
      </c>
      <c r="C603" s="451">
        <v>45975</v>
      </c>
      <c r="D603" t="s">
        <v>753</v>
      </c>
      <c r="E603" t="s">
        <v>3905</v>
      </c>
      <c r="F603">
        <v>1096.7</v>
      </c>
      <c r="G603">
        <v>0</v>
      </c>
      <c r="H603">
        <v>1096.7</v>
      </c>
    </row>
    <row r="604" spans="1:8" x14ac:dyDescent="0.3">
      <c r="A604">
        <v>139</v>
      </c>
      <c r="B604" t="s">
        <v>5892</v>
      </c>
      <c r="C604" s="451">
        <v>45975</v>
      </c>
      <c r="D604" t="s">
        <v>753</v>
      </c>
      <c r="E604" t="s">
        <v>20</v>
      </c>
      <c r="F604">
        <v>57.86</v>
      </c>
      <c r="G604">
        <v>0</v>
      </c>
      <c r="H604">
        <v>57.86</v>
      </c>
    </row>
    <row r="605" spans="1:8" x14ac:dyDescent="0.3">
      <c r="A605">
        <v>139</v>
      </c>
      <c r="B605" t="s">
        <v>5892</v>
      </c>
      <c r="C605" s="451">
        <v>45974</v>
      </c>
      <c r="D605" t="s">
        <v>753</v>
      </c>
      <c r="E605" t="s">
        <v>3904</v>
      </c>
      <c r="F605">
        <v>8</v>
      </c>
      <c r="G605">
        <v>0</v>
      </c>
      <c r="H605">
        <v>8</v>
      </c>
    </row>
    <row r="606" spans="1:8" x14ac:dyDescent="0.3">
      <c r="A606">
        <v>139</v>
      </c>
      <c r="B606" t="s">
        <v>5892</v>
      </c>
      <c r="C606" s="451">
        <v>45974</v>
      </c>
      <c r="D606" t="s">
        <v>753</v>
      </c>
      <c r="E606" t="s">
        <v>3905</v>
      </c>
      <c r="F606">
        <v>634.6</v>
      </c>
      <c r="G606">
        <v>0</v>
      </c>
      <c r="H606">
        <v>634.6</v>
      </c>
    </row>
    <row r="607" spans="1:8" x14ac:dyDescent="0.3">
      <c r="A607">
        <v>139</v>
      </c>
      <c r="B607" t="s">
        <v>5892</v>
      </c>
      <c r="C607" s="451">
        <v>45974</v>
      </c>
      <c r="D607" t="s">
        <v>753</v>
      </c>
      <c r="E607" t="s">
        <v>20</v>
      </c>
      <c r="F607">
        <v>43.89</v>
      </c>
      <c r="G607">
        <v>0</v>
      </c>
      <c r="H607">
        <v>43.89</v>
      </c>
    </row>
    <row r="608" spans="1:8" x14ac:dyDescent="0.3">
      <c r="A608">
        <v>139</v>
      </c>
      <c r="B608" t="s">
        <v>5892</v>
      </c>
      <c r="C608" s="451">
        <v>45973</v>
      </c>
      <c r="D608" t="s">
        <v>753</v>
      </c>
      <c r="E608" t="s">
        <v>3905</v>
      </c>
      <c r="F608">
        <v>472.9</v>
      </c>
      <c r="G608">
        <v>0</v>
      </c>
      <c r="H608">
        <v>472.9</v>
      </c>
    </row>
    <row r="609" spans="1:8" x14ac:dyDescent="0.3">
      <c r="A609">
        <v>139</v>
      </c>
      <c r="B609" t="s">
        <v>5892</v>
      </c>
      <c r="C609" s="451">
        <v>45973</v>
      </c>
      <c r="D609" t="s">
        <v>753</v>
      </c>
      <c r="E609" t="s">
        <v>20</v>
      </c>
      <c r="F609">
        <v>6.95</v>
      </c>
      <c r="G609">
        <v>0</v>
      </c>
      <c r="H609">
        <v>6.95</v>
      </c>
    </row>
    <row r="610" spans="1:8" x14ac:dyDescent="0.3">
      <c r="A610">
        <v>139</v>
      </c>
      <c r="B610" t="s">
        <v>5892</v>
      </c>
      <c r="C610" s="451">
        <v>45972</v>
      </c>
      <c r="D610" t="s">
        <v>753</v>
      </c>
      <c r="E610" t="s">
        <v>3905</v>
      </c>
      <c r="F610">
        <v>406.6</v>
      </c>
      <c r="G610">
        <v>0</v>
      </c>
      <c r="H610">
        <v>406.6</v>
      </c>
    </row>
    <row r="611" spans="1:8" x14ac:dyDescent="0.3">
      <c r="A611">
        <v>139</v>
      </c>
      <c r="B611" t="s">
        <v>5892</v>
      </c>
      <c r="C611" s="451">
        <v>45972</v>
      </c>
      <c r="D611" t="s">
        <v>753</v>
      </c>
      <c r="E611" t="s">
        <v>20</v>
      </c>
      <c r="F611">
        <v>35.92</v>
      </c>
      <c r="G611">
        <v>0</v>
      </c>
      <c r="H611">
        <v>35.92</v>
      </c>
    </row>
    <row r="612" spans="1:8" x14ac:dyDescent="0.3">
      <c r="A612">
        <v>139</v>
      </c>
      <c r="B612" t="s">
        <v>5892</v>
      </c>
      <c r="C612" s="451">
        <v>45971</v>
      </c>
      <c r="D612" t="s">
        <v>753</v>
      </c>
      <c r="E612" t="s">
        <v>20</v>
      </c>
      <c r="F612">
        <v>7.97</v>
      </c>
      <c r="G612">
        <v>0</v>
      </c>
      <c r="H612">
        <v>7.97</v>
      </c>
    </row>
    <row r="613" spans="1:8" x14ac:dyDescent="0.3">
      <c r="A613">
        <v>139</v>
      </c>
      <c r="B613" t="s">
        <v>5892</v>
      </c>
      <c r="C613" s="451">
        <v>45971</v>
      </c>
      <c r="D613" t="s">
        <v>753</v>
      </c>
      <c r="E613" t="s">
        <v>3905</v>
      </c>
      <c r="F613">
        <v>139.69999999999999</v>
      </c>
      <c r="G613">
        <v>0</v>
      </c>
      <c r="H613">
        <v>139.69999999999999</v>
      </c>
    </row>
    <row r="614" spans="1:8" x14ac:dyDescent="0.3">
      <c r="A614">
        <v>139</v>
      </c>
      <c r="B614" t="s">
        <v>5892</v>
      </c>
      <c r="C614" s="451">
        <v>45970</v>
      </c>
      <c r="D614" t="s">
        <v>753</v>
      </c>
      <c r="E614" t="s">
        <v>3905</v>
      </c>
      <c r="F614">
        <v>524</v>
      </c>
      <c r="G614">
        <v>0</v>
      </c>
      <c r="H614">
        <v>524</v>
      </c>
    </row>
    <row r="615" spans="1:8" x14ac:dyDescent="0.3">
      <c r="A615">
        <v>139</v>
      </c>
      <c r="B615" t="s">
        <v>5892</v>
      </c>
      <c r="C615" s="451">
        <v>45970</v>
      </c>
      <c r="D615" t="s">
        <v>753</v>
      </c>
      <c r="E615" t="s">
        <v>20</v>
      </c>
      <c r="F615">
        <v>34.93</v>
      </c>
      <c r="G615">
        <v>0</v>
      </c>
      <c r="H615">
        <v>34.93</v>
      </c>
    </row>
    <row r="616" spans="1:8" x14ac:dyDescent="0.3">
      <c r="A616">
        <v>139</v>
      </c>
      <c r="B616" t="s">
        <v>5892</v>
      </c>
      <c r="C616" s="451">
        <v>45969</v>
      </c>
      <c r="D616" t="s">
        <v>753</v>
      </c>
      <c r="E616" t="s">
        <v>3905</v>
      </c>
      <c r="F616">
        <v>914</v>
      </c>
      <c r="G616">
        <v>0</v>
      </c>
      <c r="H616">
        <v>914</v>
      </c>
    </row>
    <row r="617" spans="1:8" x14ac:dyDescent="0.3">
      <c r="A617">
        <v>139</v>
      </c>
      <c r="B617" t="s">
        <v>5892</v>
      </c>
      <c r="C617" s="451">
        <v>45969</v>
      </c>
      <c r="D617" t="s">
        <v>753</v>
      </c>
      <c r="E617" t="s">
        <v>20</v>
      </c>
      <c r="F617">
        <v>56.89</v>
      </c>
      <c r="G617">
        <v>0</v>
      </c>
      <c r="H617">
        <v>56.89</v>
      </c>
    </row>
    <row r="618" spans="1:8" x14ac:dyDescent="0.3">
      <c r="A618">
        <v>139</v>
      </c>
      <c r="B618" t="s">
        <v>5892</v>
      </c>
      <c r="C618" s="451">
        <v>45968</v>
      </c>
      <c r="D618" t="s">
        <v>753</v>
      </c>
      <c r="E618" t="s">
        <v>3905</v>
      </c>
      <c r="F618">
        <v>480.7</v>
      </c>
      <c r="G618">
        <v>0</v>
      </c>
      <c r="H618">
        <v>480.7</v>
      </c>
    </row>
    <row r="619" spans="1:8" x14ac:dyDescent="0.3">
      <c r="A619">
        <v>139</v>
      </c>
      <c r="B619" t="s">
        <v>5892</v>
      </c>
      <c r="C619" s="451">
        <v>45968</v>
      </c>
      <c r="D619" t="s">
        <v>753</v>
      </c>
      <c r="E619" t="s">
        <v>20</v>
      </c>
      <c r="F619">
        <v>31.92</v>
      </c>
      <c r="G619">
        <v>0</v>
      </c>
      <c r="H619">
        <v>31.92</v>
      </c>
    </row>
    <row r="620" spans="1:8" x14ac:dyDescent="0.3">
      <c r="A620">
        <v>139</v>
      </c>
      <c r="B620" t="s">
        <v>5892</v>
      </c>
      <c r="C620" s="451">
        <v>45967</v>
      </c>
      <c r="D620" t="s">
        <v>753</v>
      </c>
      <c r="E620" t="s">
        <v>20</v>
      </c>
      <c r="F620">
        <v>31.93</v>
      </c>
      <c r="G620">
        <v>0</v>
      </c>
      <c r="H620">
        <v>31.93</v>
      </c>
    </row>
    <row r="621" spans="1:8" x14ac:dyDescent="0.3">
      <c r="A621">
        <v>139</v>
      </c>
      <c r="B621" t="s">
        <v>5892</v>
      </c>
      <c r="C621" s="451">
        <v>45967</v>
      </c>
      <c r="D621" t="s">
        <v>753</v>
      </c>
      <c r="E621" t="s">
        <v>3905</v>
      </c>
      <c r="F621">
        <v>409.8</v>
      </c>
      <c r="G621">
        <v>0</v>
      </c>
      <c r="H621">
        <v>409.8</v>
      </c>
    </row>
    <row r="622" spans="1:8" x14ac:dyDescent="0.3">
      <c r="A622">
        <v>139</v>
      </c>
      <c r="B622" t="s">
        <v>5892</v>
      </c>
      <c r="C622" s="451">
        <v>45966</v>
      </c>
      <c r="D622" t="s">
        <v>753</v>
      </c>
      <c r="E622" t="s">
        <v>3904</v>
      </c>
      <c r="F622">
        <v>8</v>
      </c>
      <c r="G622">
        <v>0</v>
      </c>
      <c r="H622">
        <v>8</v>
      </c>
    </row>
    <row r="623" spans="1:8" x14ac:dyDescent="0.3">
      <c r="A623">
        <v>139</v>
      </c>
      <c r="B623" t="s">
        <v>5892</v>
      </c>
      <c r="C623" s="451">
        <v>45966</v>
      </c>
      <c r="D623" t="s">
        <v>753</v>
      </c>
      <c r="E623" t="s">
        <v>3905</v>
      </c>
      <c r="F623">
        <v>712.8</v>
      </c>
      <c r="G623">
        <v>0</v>
      </c>
      <c r="H623">
        <v>712.8</v>
      </c>
    </row>
    <row r="624" spans="1:8" x14ac:dyDescent="0.3">
      <c r="A624">
        <v>139</v>
      </c>
      <c r="B624" t="s">
        <v>5892</v>
      </c>
      <c r="C624" s="451">
        <v>45966</v>
      </c>
      <c r="D624" t="s">
        <v>753</v>
      </c>
      <c r="E624" t="s">
        <v>20</v>
      </c>
      <c r="F624">
        <v>40.909999999999997</v>
      </c>
      <c r="G624">
        <v>0</v>
      </c>
      <c r="H624">
        <v>40.909999999999997</v>
      </c>
    </row>
    <row r="625" spans="1:8" x14ac:dyDescent="0.3">
      <c r="A625">
        <v>139</v>
      </c>
      <c r="B625" t="s">
        <v>5892</v>
      </c>
      <c r="C625" s="451">
        <v>45965</v>
      </c>
      <c r="D625" t="s">
        <v>753</v>
      </c>
      <c r="E625" t="s">
        <v>3905</v>
      </c>
      <c r="F625">
        <v>469.5</v>
      </c>
      <c r="G625">
        <v>0</v>
      </c>
      <c r="H625">
        <v>469.5</v>
      </c>
    </row>
    <row r="626" spans="1:8" x14ac:dyDescent="0.3">
      <c r="A626">
        <v>139</v>
      </c>
      <c r="B626" t="s">
        <v>5892</v>
      </c>
      <c r="C626" s="451">
        <v>45965</v>
      </c>
      <c r="D626" t="s">
        <v>753</v>
      </c>
      <c r="E626" t="s">
        <v>20</v>
      </c>
      <c r="F626">
        <v>48.89</v>
      </c>
      <c r="G626">
        <v>0</v>
      </c>
      <c r="H626">
        <v>48.89</v>
      </c>
    </row>
    <row r="627" spans="1:8" x14ac:dyDescent="0.3">
      <c r="A627">
        <v>139</v>
      </c>
      <c r="B627" t="s">
        <v>5892</v>
      </c>
      <c r="C627" s="451">
        <v>45964</v>
      </c>
      <c r="D627" t="s">
        <v>753</v>
      </c>
      <c r="E627" t="s">
        <v>3904</v>
      </c>
      <c r="F627">
        <v>8</v>
      </c>
      <c r="G627">
        <v>0</v>
      </c>
      <c r="H627">
        <v>8</v>
      </c>
    </row>
    <row r="628" spans="1:8" x14ac:dyDescent="0.3">
      <c r="A628">
        <v>139</v>
      </c>
      <c r="B628" t="s">
        <v>5892</v>
      </c>
      <c r="C628" s="451">
        <v>45964</v>
      </c>
      <c r="D628" t="s">
        <v>753</v>
      </c>
      <c r="E628" t="s">
        <v>3905</v>
      </c>
      <c r="F628">
        <v>345.7</v>
      </c>
      <c r="G628">
        <v>0</v>
      </c>
      <c r="H628">
        <v>345.7</v>
      </c>
    </row>
    <row r="629" spans="1:8" x14ac:dyDescent="0.3">
      <c r="A629">
        <v>139</v>
      </c>
      <c r="B629" t="s">
        <v>5892</v>
      </c>
      <c r="C629" s="451">
        <v>45964</v>
      </c>
      <c r="D629" t="s">
        <v>753</v>
      </c>
      <c r="E629" t="s">
        <v>20</v>
      </c>
      <c r="F629">
        <v>2.97</v>
      </c>
      <c r="G629">
        <v>0</v>
      </c>
      <c r="H629">
        <v>2.97</v>
      </c>
    </row>
    <row r="630" spans="1:8" x14ac:dyDescent="0.3">
      <c r="A630">
        <v>139</v>
      </c>
      <c r="B630" t="s">
        <v>5892</v>
      </c>
      <c r="C630" s="451">
        <v>45963</v>
      </c>
      <c r="D630" t="s">
        <v>753</v>
      </c>
      <c r="E630" t="s">
        <v>3904</v>
      </c>
      <c r="F630">
        <v>8</v>
      </c>
      <c r="G630">
        <v>0</v>
      </c>
      <c r="H630">
        <v>8</v>
      </c>
    </row>
    <row r="631" spans="1:8" x14ac:dyDescent="0.3">
      <c r="A631">
        <v>139</v>
      </c>
      <c r="B631" t="s">
        <v>5892</v>
      </c>
      <c r="C631" s="451">
        <v>45963</v>
      </c>
      <c r="D631" t="s">
        <v>753</v>
      </c>
      <c r="E631" t="s">
        <v>3905</v>
      </c>
      <c r="F631">
        <v>1989</v>
      </c>
      <c r="G631">
        <v>0</v>
      </c>
      <c r="H631">
        <v>1989</v>
      </c>
    </row>
    <row r="632" spans="1:8" x14ac:dyDescent="0.3">
      <c r="A632">
        <v>139</v>
      </c>
      <c r="B632" t="s">
        <v>5892</v>
      </c>
      <c r="C632" s="451">
        <v>45963</v>
      </c>
      <c r="D632" t="s">
        <v>753</v>
      </c>
      <c r="E632" t="s">
        <v>20</v>
      </c>
      <c r="F632">
        <v>58.86</v>
      </c>
      <c r="G632">
        <v>0</v>
      </c>
      <c r="H632">
        <v>58.86</v>
      </c>
    </row>
    <row r="633" spans="1:8" x14ac:dyDescent="0.3">
      <c r="A633">
        <v>139</v>
      </c>
      <c r="B633" t="s">
        <v>5892</v>
      </c>
      <c r="C633" s="451">
        <v>45962</v>
      </c>
      <c r="D633" t="s">
        <v>753</v>
      </c>
      <c r="E633" t="s">
        <v>3905</v>
      </c>
      <c r="F633">
        <v>1002</v>
      </c>
      <c r="G633">
        <v>0</v>
      </c>
      <c r="H633">
        <v>1002</v>
      </c>
    </row>
    <row r="634" spans="1:8" x14ac:dyDescent="0.3">
      <c r="A634">
        <v>139</v>
      </c>
      <c r="B634" t="s">
        <v>5892</v>
      </c>
      <c r="C634" s="451">
        <v>45962</v>
      </c>
      <c r="D634" t="s">
        <v>753</v>
      </c>
      <c r="E634" t="s">
        <v>20</v>
      </c>
      <c r="F634">
        <v>5.94</v>
      </c>
      <c r="G634">
        <v>0</v>
      </c>
      <c r="H634">
        <v>5.94</v>
      </c>
    </row>
    <row r="635" spans="1:8" x14ac:dyDescent="0.3">
      <c r="A635">
        <v>139</v>
      </c>
      <c r="B635" t="s">
        <v>5892</v>
      </c>
      <c r="C635" s="451">
        <v>45961</v>
      </c>
      <c r="D635" t="s">
        <v>751</v>
      </c>
      <c r="E635" t="s">
        <v>3905</v>
      </c>
      <c r="F635">
        <v>458</v>
      </c>
      <c r="G635">
        <v>0</v>
      </c>
      <c r="H635">
        <v>458</v>
      </c>
    </row>
    <row r="636" spans="1:8" x14ac:dyDescent="0.3">
      <c r="A636">
        <v>139</v>
      </c>
      <c r="B636" t="s">
        <v>5892</v>
      </c>
      <c r="C636" s="451">
        <v>45961</v>
      </c>
      <c r="D636" t="s">
        <v>751</v>
      </c>
      <c r="E636" t="s">
        <v>3904</v>
      </c>
      <c r="F636">
        <v>8</v>
      </c>
      <c r="G636">
        <v>0</v>
      </c>
      <c r="H636">
        <v>8</v>
      </c>
    </row>
    <row r="637" spans="1:8" x14ac:dyDescent="0.3">
      <c r="A637">
        <v>139</v>
      </c>
      <c r="B637" t="s">
        <v>5892</v>
      </c>
      <c r="C637" s="451">
        <v>45961</v>
      </c>
      <c r="D637" t="s">
        <v>751</v>
      </c>
      <c r="E637" t="s">
        <v>20</v>
      </c>
      <c r="F637">
        <v>12.95</v>
      </c>
      <c r="G637">
        <v>0</v>
      </c>
      <c r="H637">
        <v>12.95</v>
      </c>
    </row>
    <row r="638" spans="1:8" x14ac:dyDescent="0.3">
      <c r="A638">
        <v>139</v>
      </c>
      <c r="B638" t="s">
        <v>5892</v>
      </c>
      <c r="C638" s="451">
        <v>45960</v>
      </c>
      <c r="D638" t="s">
        <v>751</v>
      </c>
      <c r="E638" t="s">
        <v>3905</v>
      </c>
      <c r="F638">
        <v>555.9</v>
      </c>
      <c r="G638">
        <v>0</v>
      </c>
      <c r="H638">
        <v>555.9</v>
      </c>
    </row>
    <row r="639" spans="1:8" x14ac:dyDescent="0.3">
      <c r="A639">
        <v>139</v>
      </c>
      <c r="B639" t="s">
        <v>5892</v>
      </c>
      <c r="C639" s="451">
        <v>45960</v>
      </c>
      <c r="D639" t="s">
        <v>751</v>
      </c>
      <c r="E639" t="s">
        <v>20</v>
      </c>
      <c r="F639">
        <v>44.92</v>
      </c>
      <c r="G639">
        <v>0</v>
      </c>
      <c r="H639">
        <v>44.92</v>
      </c>
    </row>
    <row r="640" spans="1:8" x14ac:dyDescent="0.3">
      <c r="A640">
        <v>139</v>
      </c>
      <c r="B640" t="s">
        <v>5892</v>
      </c>
      <c r="C640" s="451">
        <v>45959</v>
      </c>
      <c r="D640" t="s">
        <v>751</v>
      </c>
      <c r="E640" t="s">
        <v>3905</v>
      </c>
      <c r="F640">
        <v>688.7</v>
      </c>
      <c r="G640">
        <v>0</v>
      </c>
      <c r="H640">
        <v>688.7</v>
      </c>
    </row>
    <row r="641" spans="1:8" x14ac:dyDescent="0.3">
      <c r="A641">
        <v>139</v>
      </c>
      <c r="B641" t="s">
        <v>5892</v>
      </c>
      <c r="C641" s="451">
        <v>45959</v>
      </c>
      <c r="D641" t="s">
        <v>751</v>
      </c>
      <c r="E641" t="s">
        <v>3904</v>
      </c>
      <c r="F641">
        <v>24</v>
      </c>
      <c r="G641">
        <v>0</v>
      </c>
      <c r="H641">
        <v>24</v>
      </c>
    </row>
    <row r="642" spans="1:8" x14ac:dyDescent="0.3">
      <c r="A642">
        <v>139</v>
      </c>
      <c r="B642" t="s">
        <v>5892</v>
      </c>
      <c r="C642" s="451">
        <v>45959</v>
      </c>
      <c r="D642" t="s">
        <v>751</v>
      </c>
      <c r="E642" t="s">
        <v>20</v>
      </c>
      <c r="F642">
        <v>58.87</v>
      </c>
      <c r="G642">
        <v>0</v>
      </c>
      <c r="H642">
        <v>58.87</v>
      </c>
    </row>
    <row r="643" spans="1:8" x14ac:dyDescent="0.3">
      <c r="A643">
        <v>139</v>
      </c>
      <c r="B643" t="s">
        <v>5892</v>
      </c>
      <c r="C643" s="451">
        <v>45958</v>
      </c>
      <c r="D643" t="s">
        <v>751</v>
      </c>
      <c r="E643" t="s">
        <v>20</v>
      </c>
      <c r="F643">
        <v>35.92</v>
      </c>
      <c r="G643">
        <v>0</v>
      </c>
      <c r="H643">
        <v>35.92</v>
      </c>
    </row>
    <row r="644" spans="1:8" x14ac:dyDescent="0.3">
      <c r="A644">
        <v>139</v>
      </c>
      <c r="B644" t="s">
        <v>5892</v>
      </c>
      <c r="C644" s="451">
        <v>45958</v>
      </c>
      <c r="D644" t="s">
        <v>751</v>
      </c>
      <c r="E644" t="s">
        <v>3905</v>
      </c>
      <c r="F644">
        <v>408.8</v>
      </c>
      <c r="G644">
        <v>0</v>
      </c>
      <c r="H644">
        <v>408.8</v>
      </c>
    </row>
    <row r="645" spans="1:8" x14ac:dyDescent="0.3">
      <c r="A645">
        <v>139</v>
      </c>
      <c r="B645" t="s">
        <v>5892</v>
      </c>
      <c r="C645" s="451">
        <v>45957</v>
      </c>
      <c r="D645" t="s">
        <v>751</v>
      </c>
      <c r="E645" t="s">
        <v>20</v>
      </c>
      <c r="F645">
        <v>18.96</v>
      </c>
      <c r="G645">
        <v>0</v>
      </c>
      <c r="H645">
        <v>18.96</v>
      </c>
    </row>
    <row r="646" spans="1:8" x14ac:dyDescent="0.3">
      <c r="A646">
        <v>139</v>
      </c>
      <c r="B646" t="s">
        <v>5892</v>
      </c>
      <c r="C646" s="451">
        <v>45957</v>
      </c>
      <c r="D646" t="s">
        <v>751</v>
      </c>
      <c r="E646" t="s">
        <v>3905</v>
      </c>
      <c r="F646">
        <v>89.8</v>
      </c>
      <c r="G646">
        <v>0</v>
      </c>
      <c r="H646">
        <v>89.8</v>
      </c>
    </row>
    <row r="647" spans="1:8" x14ac:dyDescent="0.3">
      <c r="A647">
        <v>139</v>
      </c>
      <c r="B647" t="s">
        <v>5892</v>
      </c>
      <c r="C647" s="451">
        <v>45956</v>
      </c>
      <c r="D647" t="s">
        <v>751</v>
      </c>
      <c r="E647" t="s">
        <v>3905</v>
      </c>
      <c r="F647">
        <v>2019</v>
      </c>
      <c r="G647">
        <v>0</v>
      </c>
      <c r="H647">
        <v>2019</v>
      </c>
    </row>
    <row r="648" spans="1:8" x14ac:dyDescent="0.3">
      <c r="A648">
        <v>139</v>
      </c>
      <c r="B648" t="s">
        <v>5892</v>
      </c>
      <c r="C648" s="451">
        <v>45956</v>
      </c>
      <c r="D648" t="s">
        <v>751</v>
      </c>
      <c r="E648" t="s">
        <v>3904</v>
      </c>
      <c r="F648">
        <v>8</v>
      </c>
      <c r="G648">
        <v>0</v>
      </c>
      <c r="H648">
        <v>8</v>
      </c>
    </row>
    <row r="649" spans="1:8" x14ac:dyDescent="0.3">
      <c r="A649">
        <v>139</v>
      </c>
      <c r="B649" t="s">
        <v>5892</v>
      </c>
      <c r="C649" s="451">
        <v>45956</v>
      </c>
      <c r="D649" t="s">
        <v>751</v>
      </c>
      <c r="E649" t="s">
        <v>20</v>
      </c>
      <c r="F649">
        <v>96.8</v>
      </c>
      <c r="G649">
        <v>0</v>
      </c>
      <c r="H649">
        <v>96.8</v>
      </c>
    </row>
    <row r="650" spans="1:8" x14ac:dyDescent="0.3">
      <c r="A650">
        <v>139</v>
      </c>
      <c r="B650" t="s">
        <v>5892</v>
      </c>
      <c r="C650" s="451">
        <v>45955</v>
      </c>
      <c r="D650" t="s">
        <v>751</v>
      </c>
      <c r="E650" t="s">
        <v>3905</v>
      </c>
      <c r="F650">
        <v>551</v>
      </c>
      <c r="G650">
        <v>0</v>
      </c>
      <c r="H650">
        <v>551</v>
      </c>
    </row>
    <row r="651" spans="1:8" x14ac:dyDescent="0.3">
      <c r="A651">
        <v>139</v>
      </c>
      <c r="B651" t="s">
        <v>5892</v>
      </c>
      <c r="C651" s="451">
        <v>45955</v>
      </c>
      <c r="D651" t="s">
        <v>751</v>
      </c>
      <c r="E651" t="s">
        <v>3904</v>
      </c>
      <c r="F651">
        <v>8</v>
      </c>
      <c r="G651">
        <v>0</v>
      </c>
      <c r="H651">
        <v>8</v>
      </c>
    </row>
    <row r="652" spans="1:8" x14ac:dyDescent="0.3">
      <c r="A652">
        <v>139</v>
      </c>
      <c r="B652" t="s">
        <v>5892</v>
      </c>
      <c r="C652" s="451">
        <v>45955</v>
      </c>
      <c r="D652" t="s">
        <v>751</v>
      </c>
      <c r="E652" t="s">
        <v>20</v>
      </c>
      <c r="F652">
        <v>58.9</v>
      </c>
      <c r="G652">
        <v>0</v>
      </c>
      <c r="H652">
        <v>58.9</v>
      </c>
    </row>
    <row r="653" spans="1:8" x14ac:dyDescent="0.3">
      <c r="A653">
        <v>139</v>
      </c>
      <c r="B653" t="s">
        <v>5892</v>
      </c>
      <c r="C653" s="451">
        <v>45954</v>
      </c>
      <c r="D653" t="s">
        <v>751</v>
      </c>
      <c r="E653" t="s">
        <v>3905</v>
      </c>
      <c r="F653">
        <v>325.89999999999998</v>
      </c>
      <c r="G653">
        <v>0</v>
      </c>
      <c r="H653">
        <v>325.89999999999998</v>
      </c>
    </row>
    <row r="654" spans="1:8" x14ac:dyDescent="0.3">
      <c r="A654">
        <v>139</v>
      </c>
      <c r="B654" t="s">
        <v>5892</v>
      </c>
      <c r="C654" s="451">
        <v>45954</v>
      </c>
      <c r="D654" t="s">
        <v>751</v>
      </c>
      <c r="E654" t="s">
        <v>20</v>
      </c>
      <c r="F654">
        <v>37.93</v>
      </c>
      <c r="G654">
        <v>0</v>
      </c>
      <c r="H654">
        <v>37.93</v>
      </c>
    </row>
    <row r="655" spans="1:8" x14ac:dyDescent="0.3">
      <c r="A655">
        <v>139</v>
      </c>
      <c r="B655" t="s">
        <v>5892</v>
      </c>
      <c r="C655" s="451">
        <v>45953</v>
      </c>
      <c r="D655" t="s">
        <v>751</v>
      </c>
      <c r="E655" t="s">
        <v>3905</v>
      </c>
      <c r="F655">
        <v>323.8</v>
      </c>
      <c r="G655">
        <v>0</v>
      </c>
      <c r="H655">
        <v>323.8</v>
      </c>
    </row>
    <row r="656" spans="1:8" x14ac:dyDescent="0.3">
      <c r="A656">
        <v>139</v>
      </c>
      <c r="B656" t="s">
        <v>5892</v>
      </c>
      <c r="C656" s="451">
        <v>45953</v>
      </c>
      <c r="D656" t="s">
        <v>751</v>
      </c>
      <c r="E656" t="s">
        <v>20</v>
      </c>
      <c r="F656">
        <v>41.94</v>
      </c>
      <c r="G656">
        <v>0</v>
      </c>
      <c r="H656">
        <v>41.94</v>
      </c>
    </row>
    <row r="657" spans="1:8" x14ac:dyDescent="0.3">
      <c r="A657">
        <v>139</v>
      </c>
      <c r="B657" t="s">
        <v>5892</v>
      </c>
      <c r="C657" s="451">
        <v>45952</v>
      </c>
      <c r="D657" t="s">
        <v>751</v>
      </c>
      <c r="E657" t="s">
        <v>3905</v>
      </c>
      <c r="F657">
        <v>338.9</v>
      </c>
      <c r="G657">
        <v>0</v>
      </c>
      <c r="H657">
        <v>338.9</v>
      </c>
    </row>
    <row r="658" spans="1:8" x14ac:dyDescent="0.3">
      <c r="A658">
        <v>139</v>
      </c>
      <c r="B658" t="s">
        <v>5892</v>
      </c>
      <c r="C658" s="451">
        <v>45952</v>
      </c>
      <c r="D658" t="s">
        <v>751</v>
      </c>
      <c r="E658" t="s">
        <v>20</v>
      </c>
      <c r="F658">
        <v>32.93</v>
      </c>
      <c r="G658">
        <v>0</v>
      </c>
      <c r="H658">
        <v>32.93</v>
      </c>
    </row>
    <row r="659" spans="1:8" x14ac:dyDescent="0.3">
      <c r="A659">
        <v>139</v>
      </c>
      <c r="B659" t="s">
        <v>5892</v>
      </c>
      <c r="C659" s="451">
        <v>45951</v>
      </c>
      <c r="D659" t="s">
        <v>751</v>
      </c>
      <c r="E659" t="s">
        <v>20</v>
      </c>
      <c r="F659">
        <v>14.96</v>
      </c>
      <c r="G659">
        <v>0</v>
      </c>
      <c r="H659">
        <v>14.96</v>
      </c>
    </row>
    <row r="660" spans="1:8" x14ac:dyDescent="0.3">
      <c r="A660">
        <v>139</v>
      </c>
      <c r="B660" t="s">
        <v>5892</v>
      </c>
      <c r="C660" s="451">
        <v>45951</v>
      </c>
      <c r="D660" t="s">
        <v>751</v>
      </c>
      <c r="E660" t="s">
        <v>3905</v>
      </c>
      <c r="F660">
        <v>168.8</v>
      </c>
      <c r="G660">
        <v>0</v>
      </c>
      <c r="H660">
        <v>168.8</v>
      </c>
    </row>
    <row r="661" spans="1:8" x14ac:dyDescent="0.3">
      <c r="A661">
        <v>139</v>
      </c>
      <c r="B661" t="s">
        <v>5892</v>
      </c>
      <c r="C661" s="451">
        <v>45951</v>
      </c>
      <c r="D661" t="s">
        <v>751</v>
      </c>
      <c r="E661" t="s">
        <v>3904</v>
      </c>
      <c r="F661">
        <v>8</v>
      </c>
      <c r="G661">
        <v>0</v>
      </c>
      <c r="H661">
        <v>8</v>
      </c>
    </row>
    <row r="662" spans="1:8" x14ac:dyDescent="0.3">
      <c r="A662">
        <v>139</v>
      </c>
      <c r="B662" t="s">
        <v>5892</v>
      </c>
      <c r="C662" s="451">
        <v>45950</v>
      </c>
      <c r="D662" t="s">
        <v>751</v>
      </c>
      <c r="E662" t="s">
        <v>3905</v>
      </c>
      <c r="F662">
        <v>84</v>
      </c>
      <c r="G662">
        <v>0</v>
      </c>
      <c r="H662">
        <v>84</v>
      </c>
    </row>
    <row r="663" spans="1:8" x14ac:dyDescent="0.3">
      <c r="A663">
        <v>139</v>
      </c>
      <c r="B663" t="s">
        <v>5892</v>
      </c>
      <c r="C663" s="451">
        <v>45950</v>
      </c>
      <c r="D663" t="s">
        <v>751</v>
      </c>
      <c r="E663" t="s">
        <v>20</v>
      </c>
      <c r="F663">
        <v>17.98</v>
      </c>
      <c r="G663">
        <v>0</v>
      </c>
      <c r="H663">
        <v>17.98</v>
      </c>
    </row>
    <row r="664" spans="1:8" x14ac:dyDescent="0.3">
      <c r="A664">
        <v>139</v>
      </c>
      <c r="B664" t="s">
        <v>5892</v>
      </c>
      <c r="C664" s="451">
        <v>45949</v>
      </c>
      <c r="D664" t="s">
        <v>751</v>
      </c>
      <c r="E664" t="s">
        <v>3905</v>
      </c>
      <c r="F664">
        <v>626</v>
      </c>
      <c r="G664">
        <v>0</v>
      </c>
      <c r="H664">
        <v>626</v>
      </c>
    </row>
    <row r="665" spans="1:8" x14ac:dyDescent="0.3">
      <c r="A665">
        <v>139</v>
      </c>
      <c r="B665" t="s">
        <v>5892</v>
      </c>
      <c r="C665" s="451">
        <v>45949</v>
      </c>
      <c r="D665" t="s">
        <v>751</v>
      </c>
      <c r="E665" t="s">
        <v>20</v>
      </c>
      <c r="F665">
        <v>41.92</v>
      </c>
      <c r="G665">
        <v>0</v>
      </c>
      <c r="H665">
        <v>41.92</v>
      </c>
    </row>
    <row r="666" spans="1:8" x14ac:dyDescent="0.3">
      <c r="A666">
        <v>139</v>
      </c>
      <c r="B666" t="s">
        <v>5892</v>
      </c>
      <c r="C666" s="451">
        <v>45948</v>
      </c>
      <c r="D666" t="s">
        <v>751</v>
      </c>
      <c r="E666" t="s">
        <v>3904</v>
      </c>
      <c r="F666">
        <v>8</v>
      </c>
      <c r="G666">
        <v>0</v>
      </c>
      <c r="H666">
        <v>8</v>
      </c>
    </row>
    <row r="667" spans="1:8" x14ac:dyDescent="0.3">
      <c r="A667">
        <v>139</v>
      </c>
      <c r="B667" t="s">
        <v>5892</v>
      </c>
      <c r="C667" s="451">
        <v>45948</v>
      </c>
      <c r="D667" t="s">
        <v>751</v>
      </c>
      <c r="E667" t="s">
        <v>3905</v>
      </c>
      <c r="F667">
        <v>1567</v>
      </c>
      <c r="G667">
        <v>0</v>
      </c>
      <c r="H667">
        <v>1567</v>
      </c>
    </row>
    <row r="668" spans="1:8" x14ac:dyDescent="0.3">
      <c r="A668">
        <v>139</v>
      </c>
      <c r="B668" t="s">
        <v>5892</v>
      </c>
      <c r="C668" s="451">
        <v>45948</v>
      </c>
      <c r="D668" t="s">
        <v>751</v>
      </c>
      <c r="E668" t="s">
        <v>20</v>
      </c>
      <c r="F668">
        <v>111.84</v>
      </c>
      <c r="G668">
        <v>0</v>
      </c>
      <c r="H668">
        <v>111.84</v>
      </c>
    </row>
    <row r="669" spans="1:8" x14ac:dyDescent="0.3">
      <c r="A669">
        <v>139</v>
      </c>
      <c r="B669" t="s">
        <v>5892</v>
      </c>
      <c r="C669" s="451">
        <v>45947</v>
      </c>
      <c r="D669" t="s">
        <v>751</v>
      </c>
      <c r="E669" t="s">
        <v>3904</v>
      </c>
      <c r="F669">
        <v>8</v>
      </c>
      <c r="G669">
        <v>0</v>
      </c>
      <c r="H669">
        <v>8</v>
      </c>
    </row>
    <row r="670" spans="1:8" x14ac:dyDescent="0.3">
      <c r="A670">
        <v>139</v>
      </c>
      <c r="B670" t="s">
        <v>5892</v>
      </c>
      <c r="C670" s="451">
        <v>45947</v>
      </c>
      <c r="D670" t="s">
        <v>751</v>
      </c>
      <c r="E670" t="s">
        <v>3905</v>
      </c>
      <c r="F670">
        <v>495.9</v>
      </c>
      <c r="G670">
        <v>0</v>
      </c>
      <c r="H670">
        <v>495.9</v>
      </c>
    </row>
    <row r="671" spans="1:8" x14ac:dyDescent="0.3">
      <c r="A671">
        <v>139</v>
      </c>
      <c r="B671" t="s">
        <v>5892</v>
      </c>
      <c r="C671" s="451">
        <v>45947</v>
      </c>
      <c r="D671" t="s">
        <v>751</v>
      </c>
      <c r="E671" t="s">
        <v>20</v>
      </c>
      <c r="F671">
        <v>61.92</v>
      </c>
      <c r="G671">
        <v>0</v>
      </c>
      <c r="H671">
        <v>61.92</v>
      </c>
    </row>
    <row r="672" spans="1:8" x14ac:dyDescent="0.3">
      <c r="A672">
        <v>139</v>
      </c>
      <c r="B672" t="s">
        <v>5892</v>
      </c>
      <c r="C672" s="451">
        <v>45946</v>
      </c>
      <c r="D672" t="s">
        <v>751</v>
      </c>
      <c r="E672" t="s">
        <v>3905</v>
      </c>
      <c r="F672">
        <v>404.4</v>
      </c>
      <c r="G672">
        <v>0</v>
      </c>
      <c r="H672">
        <v>404.4</v>
      </c>
    </row>
    <row r="673" spans="1:8" x14ac:dyDescent="0.3">
      <c r="A673">
        <v>139</v>
      </c>
      <c r="B673" t="s">
        <v>5892</v>
      </c>
      <c r="C673" s="451">
        <v>45946</v>
      </c>
      <c r="D673" t="s">
        <v>751</v>
      </c>
      <c r="E673" t="s">
        <v>20</v>
      </c>
      <c r="F673">
        <v>31.92</v>
      </c>
      <c r="G673">
        <v>0</v>
      </c>
      <c r="H673">
        <v>31.92</v>
      </c>
    </row>
    <row r="674" spans="1:8" x14ac:dyDescent="0.3">
      <c r="A674">
        <v>139</v>
      </c>
      <c r="B674" t="s">
        <v>5892</v>
      </c>
      <c r="C674" s="451">
        <v>45945</v>
      </c>
      <c r="D674" t="s">
        <v>751</v>
      </c>
      <c r="E674" t="s">
        <v>3905</v>
      </c>
      <c r="F674">
        <v>260.89999999999998</v>
      </c>
      <c r="G674">
        <v>0</v>
      </c>
      <c r="H674">
        <v>260.89999999999998</v>
      </c>
    </row>
    <row r="675" spans="1:8" x14ac:dyDescent="0.3">
      <c r="A675">
        <v>139</v>
      </c>
      <c r="B675" t="s">
        <v>5892</v>
      </c>
      <c r="C675" s="451">
        <v>45945</v>
      </c>
      <c r="D675" t="s">
        <v>751</v>
      </c>
      <c r="E675" t="s">
        <v>20</v>
      </c>
      <c r="F675">
        <v>8.9700000000000006</v>
      </c>
      <c r="G675">
        <v>0</v>
      </c>
      <c r="H675">
        <v>8.9700000000000006</v>
      </c>
    </row>
    <row r="676" spans="1:8" x14ac:dyDescent="0.3">
      <c r="A676">
        <v>139</v>
      </c>
      <c r="B676" t="s">
        <v>5892</v>
      </c>
      <c r="C676" s="451">
        <v>45944</v>
      </c>
      <c r="D676" t="s">
        <v>751</v>
      </c>
      <c r="E676" t="s">
        <v>3905</v>
      </c>
      <c r="F676">
        <v>138.80000000000001</v>
      </c>
      <c r="G676">
        <v>0</v>
      </c>
      <c r="H676">
        <v>138.80000000000001</v>
      </c>
    </row>
    <row r="677" spans="1:8" x14ac:dyDescent="0.3">
      <c r="A677">
        <v>139</v>
      </c>
      <c r="B677" t="s">
        <v>5892</v>
      </c>
      <c r="C677" s="451">
        <v>45944</v>
      </c>
      <c r="D677" t="s">
        <v>751</v>
      </c>
      <c r="E677" t="s">
        <v>20</v>
      </c>
      <c r="F677">
        <v>16.96</v>
      </c>
      <c r="G677">
        <v>0</v>
      </c>
      <c r="H677">
        <v>16.96</v>
      </c>
    </row>
    <row r="678" spans="1:8" x14ac:dyDescent="0.3">
      <c r="A678">
        <v>139</v>
      </c>
      <c r="B678" t="s">
        <v>5892</v>
      </c>
      <c r="C678" s="451">
        <v>45943</v>
      </c>
      <c r="D678" t="s">
        <v>751</v>
      </c>
      <c r="E678" t="s">
        <v>20</v>
      </c>
      <c r="F678">
        <v>7.98</v>
      </c>
      <c r="G678">
        <v>0</v>
      </c>
      <c r="H678">
        <v>7.98</v>
      </c>
    </row>
    <row r="679" spans="1:8" x14ac:dyDescent="0.3">
      <c r="A679">
        <v>139</v>
      </c>
      <c r="B679" t="s">
        <v>5892</v>
      </c>
      <c r="C679" s="451">
        <v>45943</v>
      </c>
      <c r="D679" t="s">
        <v>751</v>
      </c>
      <c r="E679" t="s">
        <v>3905</v>
      </c>
      <c r="F679">
        <v>39.9</v>
      </c>
      <c r="G679">
        <v>0</v>
      </c>
      <c r="H679">
        <v>39.9</v>
      </c>
    </row>
    <row r="680" spans="1:8" x14ac:dyDescent="0.3">
      <c r="A680">
        <v>139</v>
      </c>
      <c r="B680" t="s">
        <v>5892</v>
      </c>
      <c r="C680" s="451">
        <v>45942</v>
      </c>
      <c r="D680" t="s">
        <v>751</v>
      </c>
      <c r="E680" t="s">
        <v>3904</v>
      </c>
      <c r="F680">
        <v>16</v>
      </c>
      <c r="G680">
        <v>0</v>
      </c>
      <c r="H680">
        <v>16</v>
      </c>
    </row>
    <row r="681" spans="1:8" x14ac:dyDescent="0.3">
      <c r="A681">
        <v>139</v>
      </c>
      <c r="B681" t="s">
        <v>5892</v>
      </c>
      <c r="C681" s="451">
        <v>45942</v>
      </c>
      <c r="D681" t="s">
        <v>751</v>
      </c>
      <c r="E681" t="s">
        <v>3905</v>
      </c>
      <c r="F681">
        <v>1489</v>
      </c>
      <c r="G681">
        <v>0</v>
      </c>
      <c r="H681">
        <v>1489</v>
      </c>
    </row>
    <row r="682" spans="1:8" x14ac:dyDescent="0.3">
      <c r="A682">
        <v>139</v>
      </c>
      <c r="B682" t="s">
        <v>5892</v>
      </c>
      <c r="C682" s="451">
        <v>45942</v>
      </c>
      <c r="D682" t="s">
        <v>751</v>
      </c>
      <c r="E682" t="s">
        <v>20</v>
      </c>
      <c r="F682">
        <v>76.87</v>
      </c>
      <c r="G682">
        <v>0</v>
      </c>
      <c r="H682">
        <v>76.87</v>
      </c>
    </row>
    <row r="683" spans="1:8" x14ac:dyDescent="0.3">
      <c r="A683">
        <v>139</v>
      </c>
      <c r="B683" t="s">
        <v>5892</v>
      </c>
      <c r="C683" s="451">
        <v>45941</v>
      </c>
      <c r="D683" t="s">
        <v>751</v>
      </c>
      <c r="E683" t="s">
        <v>3905</v>
      </c>
      <c r="F683">
        <v>1757</v>
      </c>
      <c r="G683">
        <v>0</v>
      </c>
      <c r="H683">
        <v>1757</v>
      </c>
    </row>
    <row r="684" spans="1:8" x14ac:dyDescent="0.3">
      <c r="A684">
        <v>139</v>
      </c>
      <c r="B684" t="s">
        <v>5892</v>
      </c>
      <c r="C684" s="451">
        <v>45941</v>
      </c>
      <c r="D684" t="s">
        <v>751</v>
      </c>
      <c r="E684" t="s">
        <v>3904</v>
      </c>
      <c r="F684">
        <v>8</v>
      </c>
      <c r="G684">
        <v>0</v>
      </c>
      <c r="H684">
        <v>8</v>
      </c>
    </row>
    <row r="685" spans="1:8" x14ac:dyDescent="0.3">
      <c r="A685">
        <v>139</v>
      </c>
      <c r="B685" t="s">
        <v>5892</v>
      </c>
      <c r="C685" s="451">
        <v>45941</v>
      </c>
      <c r="D685" t="s">
        <v>751</v>
      </c>
      <c r="E685" t="s">
        <v>20</v>
      </c>
      <c r="F685">
        <v>79.849999999999994</v>
      </c>
      <c r="G685">
        <v>0</v>
      </c>
      <c r="H685">
        <v>79.849999999999994</v>
      </c>
    </row>
    <row r="686" spans="1:8" x14ac:dyDescent="0.3">
      <c r="A686">
        <v>139</v>
      </c>
      <c r="B686" t="s">
        <v>5892</v>
      </c>
      <c r="C686" s="451">
        <v>45940</v>
      </c>
      <c r="D686" t="s">
        <v>751</v>
      </c>
      <c r="E686" t="s">
        <v>3905</v>
      </c>
      <c r="F686">
        <v>430.9</v>
      </c>
      <c r="G686">
        <v>0</v>
      </c>
      <c r="H686">
        <v>430.9</v>
      </c>
    </row>
    <row r="687" spans="1:8" x14ac:dyDescent="0.3">
      <c r="A687">
        <v>139</v>
      </c>
      <c r="B687" t="s">
        <v>5892</v>
      </c>
      <c r="C687" s="451">
        <v>45940</v>
      </c>
      <c r="D687" t="s">
        <v>751</v>
      </c>
      <c r="E687" t="s">
        <v>20</v>
      </c>
      <c r="F687">
        <v>24.93</v>
      </c>
      <c r="G687">
        <v>0</v>
      </c>
      <c r="H687">
        <v>24.93</v>
      </c>
    </row>
    <row r="688" spans="1:8" x14ac:dyDescent="0.3">
      <c r="A688">
        <v>139</v>
      </c>
      <c r="B688" t="s">
        <v>5892</v>
      </c>
      <c r="C688" s="451">
        <v>45939</v>
      </c>
      <c r="D688" t="s">
        <v>751</v>
      </c>
      <c r="E688" t="s">
        <v>3905</v>
      </c>
      <c r="F688">
        <v>409</v>
      </c>
      <c r="G688">
        <v>0</v>
      </c>
      <c r="H688">
        <v>409</v>
      </c>
    </row>
    <row r="689" spans="1:8" x14ac:dyDescent="0.3">
      <c r="A689">
        <v>139</v>
      </c>
      <c r="B689" t="s">
        <v>5892</v>
      </c>
      <c r="C689" s="451">
        <v>45939</v>
      </c>
      <c r="D689" t="s">
        <v>751</v>
      </c>
      <c r="E689" t="s">
        <v>20</v>
      </c>
      <c r="F689">
        <v>29.96</v>
      </c>
      <c r="G689">
        <v>0</v>
      </c>
      <c r="H689">
        <v>29.96</v>
      </c>
    </row>
    <row r="690" spans="1:8" x14ac:dyDescent="0.3">
      <c r="A690">
        <v>139</v>
      </c>
      <c r="B690" t="s">
        <v>5892</v>
      </c>
      <c r="C690" s="451">
        <v>45938</v>
      </c>
      <c r="D690" t="s">
        <v>751</v>
      </c>
      <c r="E690" t="s">
        <v>3905</v>
      </c>
      <c r="F690">
        <v>500.5</v>
      </c>
      <c r="G690">
        <v>0</v>
      </c>
      <c r="H690">
        <v>500.5</v>
      </c>
    </row>
    <row r="691" spans="1:8" x14ac:dyDescent="0.3">
      <c r="A691">
        <v>139</v>
      </c>
      <c r="B691" t="s">
        <v>5892</v>
      </c>
      <c r="C691" s="451">
        <v>45938</v>
      </c>
      <c r="D691" t="s">
        <v>751</v>
      </c>
      <c r="E691" t="s">
        <v>20</v>
      </c>
      <c r="F691">
        <v>39.92</v>
      </c>
      <c r="G691">
        <v>0</v>
      </c>
      <c r="H691">
        <v>39.92</v>
      </c>
    </row>
    <row r="692" spans="1:8" x14ac:dyDescent="0.3">
      <c r="A692">
        <v>139</v>
      </c>
      <c r="B692" t="s">
        <v>5892</v>
      </c>
      <c r="C692" s="451">
        <v>45937</v>
      </c>
      <c r="D692" t="s">
        <v>751</v>
      </c>
      <c r="E692" t="s">
        <v>3905</v>
      </c>
      <c r="F692">
        <v>305</v>
      </c>
      <c r="G692">
        <v>0</v>
      </c>
      <c r="H692">
        <v>305</v>
      </c>
    </row>
    <row r="693" spans="1:8" x14ac:dyDescent="0.3">
      <c r="A693">
        <v>139</v>
      </c>
      <c r="B693" t="s">
        <v>5892</v>
      </c>
      <c r="C693" s="451">
        <v>45937</v>
      </c>
      <c r="D693" t="s">
        <v>751</v>
      </c>
      <c r="E693" t="s">
        <v>20</v>
      </c>
      <c r="F693">
        <v>0.99</v>
      </c>
      <c r="G693">
        <v>0</v>
      </c>
      <c r="H693">
        <v>0.99</v>
      </c>
    </row>
    <row r="694" spans="1:8" x14ac:dyDescent="0.3">
      <c r="A694">
        <v>139</v>
      </c>
      <c r="B694" t="s">
        <v>5892</v>
      </c>
      <c r="C694" s="451">
        <v>45936</v>
      </c>
      <c r="D694" t="s">
        <v>751</v>
      </c>
      <c r="E694" t="s">
        <v>20</v>
      </c>
      <c r="F694">
        <v>7.98</v>
      </c>
      <c r="G694">
        <v>0</v>
      </c>
      <c r="H694">
        <v>7.98</v>
      </c>
    </row>
    <row r="695" spans="1:8" x14ac:dyDescent="0.3">
      <c r="A695">
        <v>139</v>
      </c>
      <c r="B695" t="s">
        <v>5892</v>
      </c>
      <c r="C695" s="451">
        <v>45936</v>
      </c>
      <c r="D695" t="s">
        <v>751</v>
      </c>
      <c r="E695" t="s">
        <v>3905</v>
      </c>
      <c r="F695">
        <v>49.9</v>
      </c>
      <c r="G695">
        <v>0</v>
      </c>
      <c r="H695">
        <v>49.9</v>
      </c>
    </row>
    <row r="696" spans="1:8" x14ac:dyDescent="0.3">
      <c r="A696">
        <v>139</v>
      </c>
      <c r="B696" t="s">
        <v>5892</v>
      </c>
      <c r="C696" s="451">
        <v>45935</v>
      </c>
      <c r="D696" t="s">
        <v>751</v>
      </c>
      <c r="E696" t="s">
        <v>3905</v>
      </c>
      <c r="F696">
        <v>1480</v>
      </c>
      <c r="G696">
        <v>0</v>
      </c>
      <c r="H696">
        <v>1480</v>
      </c>
    </row>
    <row r="697" spans="1:8" x14ac:dyDescent="0.3">
      <c r="A697">
        <v>139</v>
      </c>
      <c r="B697" t="s">
        <v>5892</v>
      </c>
      <c r="C697" s="451">
        <v>45935</v>
      </c>
      <c r="D697" t="s">
        <v>751</v>
      </c>
      <c r="E697" t="s">
        <v>20</v>
      </c>
      <c r="F697">
        <v>88.86</v>
      </c>
      <c r="G697">
        <v>0</v>
      </c>
      <c r="H697">
        <v>88.86</v>
      </c>
    </row>
    <row r="698" spans="1:8" x14ac:dyDescent="0.3">
      <c r="A698">
        <v>139</v>
      </c>
      <c r="B698" t="s">
        <v>5892</v>
      </c>
      <c r="C698" s="451">
        <v>45934</v>
      </c>
      <c r="D698" t="s">
        <v>751</v>
      </c>
      <c r="E698" t="s">
        <v>3904</v>
      </c>
      <c r="F698">
        <v>24</v>
      </c>
      <c r="G698">
        <v>0</v>
      </c>
      <c r="H698">
        <v>24</v>
      </c>
    </row>
    <row r="699" spans="1:8" x14ac:dyDescent="0.3">
      <c r="A699">
        <v>139</v>
      </c>
      <c r="B699" t="s">
        <v>5892</v>
      </c>
      <c r="C699" s="451">
        <v>45934</v>
      </c>
      <c r="D699" t="s">
        <v>751</v>
      </c>
      <c r="E699" t="s">
        <v>3905</v>
      </c>
      <c r="F699">
        <v>495</v>
      </c>
      <c r="G699">
        <v>0</v>
      </c>
      <c r="H699">
        <v>495</v>
      </c>
    </row>
    <row r="700" spans="1:8" x14ac:dyDescent="0.3">
      <c r="A700">
        <v>139</v>
      </c>
      <c r="B700" t="s">
        <v>5892</v>
      </c>
      <c r="C700" s="451">
        <v>45934</v>
      </c>
      <c r="D700" t="s">
        <v>751</v>
      </c>
      <c r="E700" t="s">
        <v>20</v>
      </c>
      <c r="F700">
        <v>17.96</v>
      </c>
      <c r="G700">
        <v>0</v>
      </c>
      <c r="H700">
        <v>17.96</v>
      </c>
    </row>
    <row r="701" spans="1:8" x14ac:dyDescent="0.3">
      <c r="A701">
        <v>139</v>
      </c>
      <c r="B701" t="s">
        <v>5892</v>
      </c>
      <c r="C701" s="451">
        <v>45933</v>
      </c>
      <c r="D701" t="s">
        <v>751</v>
      </c>
      <c r="E701" t="s">
        <v>3905</v>
      </c>
      <c r="F701">
        <v>481.9</v>
      </c>
      <c r="G701">
        <v>0</v>
      </c>
      <c r="H701">
        <v>481.9</v>
      </c>
    </row>
    <row r="702" spans="1:8" x14ac:dyDescent="0.3">
      <c r="A702">
        <v>139</v>
      </c>
      <c r="B702" t="s">
        <v>5892</v>
      </c>
      <c r="C702" s="451">
        <v>45933</v>
      </c>
      <c r="D702" t="s">
        <v>751</v>
      </c>
      <c r="E702" t="s">
        <v>3904</v>
      </c>
      <c r="F702">
        <v>8</v>
      </c>
      <c r="G702">
        <v>0</v>
      </c>
      <c r="H702">
        <v>8</v>
      </c>
    </row>
    <row r="703" spans="1:8" x14ac:dyDescent="0.3">
      <c r="A703">
        <v>139</v>
      </c>
      <c r="B703" t="s">
        <v>5892</v>
      </c>
      <c r="C703" s="451">
        <v>45933</v>
      </c>
      <c r="D703" t="s">
        <v>751</v>
      </c>
      <c r="E703" t="s">
        <v>20</v>
      </c>
      <c r="F703">
        <v>18.940000000000001</v>
      </c>
      <c r="G703">
        <v>0</v>
      </c>
      <c r="H703">
        <v>18.940000000000001</v>
      </c>
    </row>
    <row r="704" spans="1:8" x14ac:dyDescent="0.3">
      <c r="A704">
        <v>139</v>
      </c>
      <c r="B704" t="s">
        <v>5892</v>
      </c>
      <c r="C704" s="451">
        <v>45932</v>
      </c>
      <c r="D704" t="s">
        <v>751</v>
      </c>
      <c r="E704" t="s">
        <v>3904</v>
      </c>
      <c r="F704">
        <v>8</v>
      </c>
      <c r="G704">
        <v>0</v>
      </c>
      <c r="H704">
        <v>8</v>
      </c>
    </row>
    <row r="705" spans="1:8" x14ac:dyDescent="0.3">
      <c r="A705">
        <v>139</v>
      </c>
      <c r="B705" t="s">
        <v>5892</v>
      </c>
      <c r="C705" s="451">
        <v>45932</v>
      </c>
      <c r="D705" t="s">
        <v>751</v>
      </c>
      <c r="E705" t="s">
        <v>20</v>
      </c>
      <c r="F705">
        <v>29.94</v>
      </c>
      <c r="G705">
        <v>0</v>
      </c>
      <c r="H705">
        <v>29.94</v>
      </c>
    </row>
    <row r="706" spans="1:8" x14ac:dyDescent="0.3">
      <c r="A706">
        <v>139</v>
      </c>
      <c r="B706" t="s">
        <v>5892</v>
      </c>
      <c r="C706" s="451">
        <v>45932</v>
      </c>
      <c r="D706" t="s">
        <v>751</v>
      </c>
      <c r="E706" t="s">
        <v>3905</v>
      </c>
      <c r="F706">
        <v>149.69999999999999</v>
      </c>
      <c r="G706">
        <v>0</v>
      </c>
      <c r="H706">
        <v>149.69999999999999</v>
      </c>
    </row>
    <row r="707" spans="1:8" x14ac:dyDescent="0.3">
      <c r="A707">
        <v>139</v>
      </c>
      <c r="B707" t="s">
        <v>5892</v>
      </c>
      <c r="C707" s="451">
        <v>45931</v>
      </c>
      <c r="D707" t="s">
        <v>751</v>
      </c>
      <c r="E707" t="s">
        <v>3905</v>
      </c>
      <c r="F707">
        <v>643.9</v>
      </c>
      <c r="G707">
        <v>0</v>
      </c>
      <c r="H707">
        <v>643.9</v>
      </c>
    </row>
    <row r="708" spans="1:8" x14ac:dyDescent="0.3">
      <c r="A708">
        <v>139</v>
      </c>
      <c r="B708" t="s">
        <v>5892</v>
      </c>
      <c r="C708" s="451">
        <v>45931</v>
      </c>
      <c r="D708" t="s">
        <v>751</v>
      </c>
      <c r="E708" t="s">
        <v>20</v>
      </c>
      <c r="F708">
        <v>30.92</v>
      </c>
      <c r="G708">
        <v>0</v>
      </c>
      <c r="H708">
        <v>30.92</v>
      </c>
    </row>
    <row r="709" spans="1:8" x14ac:dyDescent="0.3">
      <c r="A709">
        <v>139</v>
      </c>
      <c r="B709" t="s">
        <v>5892</v>
      </c>
      <c r="C709" s="451">
        <v>45930</v>
      </c>
      <c r="D709" t="s">
        <v>749</v>
      </c>
      <c r="E709" t="s">
        <v>20</v>
      </c>
      <c r="F709">
        <v>6.98</v>
      </c>
      <c r="G709">
        <v>0</v>
      </c>
      <c r="H709">
        <v>6.98</v>
      </c>
    </row>
    <row r="710" spans="1:8" x14ac:dyDescent="0.3">
      <c r="A710">
        <v>139</v>
      </c>
      <c r="B710" t="s">
        <v>5892</v>
      </c>
      <c r="C710" s="451">
        <v>45930</v>
      </c>
      <c r="D710" t="s">
        <v>749</v>
      </c>
      <c r="E710" t="s">
        <v>3905</v>
      </c>
      <c r="F710">
        <v>39.9</v>
      </c>
      <c r="G710">
        <v>0</v>
      </c>
      <c r="H710">
        <v>39.9</v>
      </c>
    </row>
    <row r="711" spans="1:8" x14ac:dyDescent="0.3">
      <c r="A711">
        <v>139</v>
      </c>
      <c r="B711" t="s">
        <v>5892</v>
      </c>
      <c r="C711" s="451">
        <v>45929</v>
      </c>
      <c r="D711" t="s">
        <v>749</v>
      </c>
      <c r="E711" t="s">
        <v>3905</v>
      </c>
      <c r="F711">
        <v>556.79999999999995</v>
      </c>
      <c r="G711">
        <v>0</v>
      </c>
      <c r="H711">
        <v>556.79999999999995</v>
      </c>
    </row>
    <row r="712" spans="1:8" x14ac:dyDescent="0.3">
      <c r="A712">
        <v>139</v>
      </c>
      <c r="B712" t="s">
        <v>5892</v>
      </c>
      <c r="C712" s="451">
        <v>45929</v>
      </c>
      <c r="D712" t="s">
        <v>749</v>
      </c>
      <c r="E712" t="s">
        <v>20</v>
      </c>
      <c r="F712">
        <v>44.91</v>
      </c>
      <c r="G712">
        <v>0</v>
      </c>
      <c r="H712">
        <v>44.91</v>
      </c>
    </row>
    <row r="713" spans="1:8" x14ac:dyDescent="0.3">
      <c r="A713">
        <v>139</v>
      </c>
      <c r="B713" t="s">
        <v>5892</v>
      </c>
      <c r="C713" s="451">
        <v>45928</v>
      </c>
      <c r="D713" t="s">
        <v>749</v>
      </c>
      <c r="E713" t="s">
        <v>3905</v>
      </c>
      <c r="F713">
        <v>1677</v>
      </c>
      <c r="G713">
        <v>0</v>
      </c>
      <c r="H713">
        <v>1677</v>
      </c>
    </row>
    <row r="714" spans="1:8" x14ac:dyDescent="0.3">
      <c r="A714">
        <v>139</v>
      </c>
      <c r="B714" t="s">
        <v>5892</v>
      </c>
      <c r="C714" s="451">
        <v>45928</v>
      </c>
      <c r="D714" t="s">
        <v>749</v>
      </c>
      <c r="E714" t="s">
        <v>20</v>
      </c>
      <c r="F714">
        <v>56.88</v>
      </c>
      <c r="G714">
        <v>0</v>
      </c>
      <c r="H714">
        <v>56.88</v>
      </c>
    </row>
    <row r="715" spans="1:8" x14ac:dyDescent="0.3">
      <c r="A715">
        <v>139</v>
      </c>
      <c r="B715" t="s">
        <v>5892</v>
      </c>
      <c r="C715" s="451">
        <v>45927</v>
      </c>
      <c r="D715" t="s">
        <v>749</v>
      </c>
      <c r="E715" t="s">
        <v>3904</v>
      </c>
      <c r="F715">
        <v>8</v>
      </c>
      <c r="G715">
        <v>0</v>
      </c>
      <c r="H715">
        <v>8</v>
      </c>
    </row>
    <row r="716" spans="1:8" x14ac:dyDescent="0.3">
      <c r="A716">
        <v>139</v>
      </c>
      <c r="B716" t="s">
        <v>5892</v>
      </c>
      <c r="C716" s="451">
        <v>45927</v>
      </c>
      <c r="D716" t="s">
        <v>749</v>
      </c>
      <c r="E716" t="s">
        <v>3905</v>
      </c>
      <c r="F716">
        <v>1118</v>
      </c>
      <c r="G716">
        <v>0</v>
      </c>
      <c r="H716">
        <v>1118</v>
      </c>
    </row>
    <row r="717" spans="1:8" x14ac:dyDescent="0.3">
      <c r="A717">
        <v>139</v>
      </c>
      <c r="B717" t="s">
        <v>5892</v>
      </c>
      <c r="C717" s="451">
        <v>45927</v>
      </c>
      <c r="D717" t="s">
        <v>749</v>
      </c>
      <c r="E717" t="s">
        <v>20</v>
      </c>
      <c r="F717">
        <v>74.849999999999994</v>
      </c>
      <c r="G717">
        <v>0</v>
      </c>
      <c r="H717">
        <v>74.849999999999994</v>
      </c>
    </row>
    <row r="718" spans="1:8" x14ac:dyDescent="0.3">
      <c r="A718">
        <v>139</v>
      </c>
      <c r="B718" t="s">
        <v>5892</v>
      </c>
      <c r="C718" s="451">
        <v>45926</v>
      </c>
      <c r="D718" t="s">
        <v>749</v>
      </c>
      <c r="E718" t="s">
        <v>3905</v>
      </c>
      <c r="F718">
        <v>350.9</v>
      </c>
      <c r="G718">
        <v>0</v>
      </c>
      <c r="H718">
        <v>350.9</v>
      </c>
    </row>
    <row r="719" spans="1:8" x14ac:dyDescent="0.3">
      <c r="A719">
        <v>139</v>
      </c>
      <c r="B719" t="s">
        <v>5892</v>
      </c>
      <c r="C719" s="451">
        <v>45926</v>
      </c>
      <c r="D719" t="s">
        <v>749</v>
      </c>
      <c r="E719" t="s">
        <v>20</v>
      </c>
      <c r="F719">
        <v>43.93</v>
      </c>
      <c r="G719">
        <v>0</v>
      </c>
      <c r="H719">
        <v>43.93</v>
      </c>
    </row>
    <row r="720" spans="1:8" x14ac:dyDescent="0.3">
      <c r="A720">
        <v>139</v>
      </c>
      <c r="B720" t="s">
        <v>5892</v>
      </c>
      <c r="C720" s="451">
        <v>45925</v>
      </c>
      <c r="D720" t="s">
        <v>749</v>
      </c>
      <c r="E720" t="s">
        <v>3905</v>
      </c>
      <c r="F720">
        <v>315.89999999999998</v>
      </c>
      <c r="G720">
        <v>0</v>
      </c>
      <c r="H720">
        <v>315.89999999999998</v>
      </c>
    </row>
    <row r="721" spans="1:8" x14ac:dyDescent="0.3">
      <c r="A721">
        <v>139</v>
      </c>
      <c r="B721" t="s">
        <v>5892</v>
      </c>
      <c r="C721" s="451">
        <v>45925</v>
      </c>
      <c r="D721" t="s">
        <v>749</v>
      </c>
      <c r="E721" t="s">
        <v>20</v>
      </c>
      <c r="F721">
        <v>31.93</v>
      </c>
      <c r="G721">
        <v>0</v>
      </c>
      <c r="H721">
        <v>31.93</v>
      </c>
    </row>
    <row r="722" spans="1:8" x14ac:dyDescent="0.3">
      <c r="A722">
        <v>139</v>
      </c>
      <c r="B722" t="s">
        <v>5892</v>
      </c>
      <c r="C722" s="451">
        <v>45924</v>
      </c>
      <c r="D722" t="s">
        <v>749</v>
      </c>
      <c r="E722" t="s">
        <v>20</v>
      </c>
      <c r="F722">
        <v>0.99</v>
      </c>
      <c r="G722">
        <v>0</v>
      </c>
      <c r="H722">
        <v>0.99</v>
      </c>
    </row>
    <row r="723" spans="1:8" x14ac:dyDescent="0.3">
      <c r="A723">
        <v>139</v>
      </c>
      <c r="B723" t="s">
        <v>5892</v>
      </c>
      <c r="C723" s="451">
        <v>45924</v>
      </c>
      <c r="D723" t="s">
        <v>749</v>
      </c>
      <c r="E723" t="s">
        <v>3905</v>
      </c>
      <c r="F723">
        <v>69</v>
      </c>
      <c r="G723">
        <v>0</v>
      </c>
      <c r="H723">
        <v>69</v>
      </c>
    </row>
    <row r="724" spans="1:8" x14ac:dyDescent="0.3">
      <c r="A724">
        <v>139</v>
      </c>
      <c r="B724" t="s">
        <v>5892</v>
      </c>
      <c r="C724" s="451">
        <v>45923</v>
      </c>
      <c r="D724" t="s">
        <v>749</v>
      </c>
      <c r="E724" t="s">
        <v>20</v>
      </c>
      <c r="F724">
        <v>9.9600000000000009</v>
      </c>
      <c r="G724">
        <v>0</v>
      </c>
      <c r="H724">
        <v>9.9600000000000009</v>
      </c>
    </row>
    <row r="725" spans="1:8" x14ac:dyDescent="0.3">
      <c r="A725">
        <v>139</v>
      </c>
      <c r="B725" t="s">
        <v>5892</v>
      </c>
      <c r="C725" s="451">
        <v>45923</v>
      </c>
      <c r="D725" t="s">
        <v>749</v>
      </c>
      <c r="E725" t="s">
        <v>3905</v>
      </c>
      <c r="F725">
        <v>89.8</v>
      </c>
      <c r="G725">
        <v>0</v>
      </c>
      <c r="H725">
        <v>89.8</v>
      </c>
    </row>
    <row r="726" spans="1:8" x14ac:dyDescent="0.3">
      <c r="A726">
        <v>139</v>
      </c>
      <c r="B726" t="s">
        <v>5892</v>
      </c>
      <c r="C726" s="451">
        <v>45922</v>
      </c>
      <c r="D726" t="s">
        <v>749</v>
      </c>
      <c r="E726" t="s">
        <v>20</v>
      </c>
      <c r="F726">
        <v>10.98</v>
      </c>
      <c r="G726">
        <v>0</v>
      </c>
      <c r="H726">
        <v>10.98</v>
      </c>
    </row>
    <row r="727" spans="1:8" x14ac:dyDescent="0.3">
      <c r="A727">
        <v>139</v>
      </c>
      <c r="B727" t="s">
        <v>5892</v>
      </c>
      <c r="C727" s="451">
        <v>45922</v>
      </c>
      <c r="D727" t="s">
        <v>749</v>
      </c>
      <c r="E727" t="s">
        <v>3905</v>
      </c>
      <c r="F727">
        <v>49.9</v>
      </c>
      <c r="G727">
        <v>0</v>
      </c>
      <c r="H727">
        <v>49.9</v>
      </c>
    </row>
    <row r="728" spans="1:8" x14ac:dyDescent="0.3">
      <c r="A728">
        <v>139</v>
      </c>
      <c r="B728" t="s">
        <v>5892</v>
      </c>
      <c r="C728" s="451">
        <v>45921</v>
      </c>
      <c r="D728" t="s">
        <v>749</v>
      </c>
      <c r="E728" t="s">
        <v>3905</v>
      </c>
      <c r="F728">
        <v>225</v>
      </c>
      <c r="G728">
        <v>0</v>
      </c>
      <c r="H728">
        <v>225</v>
      </c>
    </row>
    <row r="729" spans="1:8" x14ac:dyDescent="0.3">
      <c r="A729">
        <v>139</v>
      </c>
      <c r="B729" t="s">
        <v>5892</v>
      </c>
      <c r="C729" s="451">
        <v>45921</v>
      </c>
      <c r="D729" t="s">
        <v>749</v>
      </c>
      <c r="E729" t="s">
        <v>20</v>
      </c>
      <c r="F729">
        <v>8.9700000000000006</v>
      </c>
      <c r="G729">
        <v>0</v>
      </c>
      <c r="H729">
        <v>8.9700000000000006</v>
      </c>
    </row>
    <row r="730" spans="1:8" x14ac:dyDescent="0.3">
      <c r="A730">
        <v>139</v>
      </c>
      <c r="B730" t="s">
        <v>5892</v>
      </c>
      <c r="C730" s="451">
        <v>45918</v>
      </c>
      <c r="D730" t="s">
        <v>749</v>
      </c>
      <c r="E730" t="s">
        <v>3905</v>
      </c>
      <c r="F730">
        <v>384</v>
      </c>
      <c r="G730">
        <v>0</v>
      </c>
      <c r="H730">
        <v>384</v>
      </c>
    </row>
    <row r="731" spans="1:8" x14ac:dyDescent="0.3">
      <c r="A731">
        <v>139</v>
      </c>
      <c r="B731" t="s">
        <v>5892</v>
      </c>
      <c r="C731" s="451">
        <v>45918</v>
      </c>
      <c r="D731" t="s">
        <v>749</v>
      </c>
      <c r="E731" t="s">
        <v>20</v>
      </c>
      <c r="F731">
        <v>1.98</v>
      </c>
      <c r="G731">
        <v>0</v>
      </c>
      <c r="H731">
        <v>1.98</v>
      </c>
    </row>
    <row r="732" spans="1:8" x14ac:dyDescent="0.3">
      <c r="A732">
        <v>139</v>
      </c>
      <c r="B732" t="s">
        <v>5892</v>
      </c>
      <c r="C732" s="451">
        <v>45917</v>
      </c>
      <c r="D732" t="s">
        <v>749</v>
      </c>
      <c r="E732" t="s">
        <v>3905</v>
      </c>
      <c r="F732">
        <v>412.6</v>
      </c>
      <c r="G732">
        <v>0</v>
      </c>
      <c r="H732">
        <v>412.6</v>
      </c>
    </row>
    <row r="733" spans="1:8" x14ac:dyDescent="0.3">
      <c r="A733">
        <v>139</v>
      </c>
      <c r="B733" t="s">
        <v>5892</v>
      </c>
      <c r="C733" s="451">
        <v>45917</v>
      </c>
      <c r="D733" t="s">
        <v>749</v>
      </c>
      <c r="E733" t="s">
        <v>20</v>
      </c>
      <c r="F733">
        <v>25.92</v>
      </c>
      <c r="G733">
        <v>0</v>
      </c>
      <c r="H733">
        <v>25.92</v>
      </c>
    </row>
    <row r="734" spans="1:8" x14ac:dyDescent="0.3">
      <c r="A734">
        <v>139</v>
      </c>
      <c r="B734" t="s">
        <v>5892</v>
      </c>
      <c r="C734" s="451">
        <v>45915</v>
      </c>
      <c r="D734" t="s">
        <v>749</v>
      </c>
      <c r="E734" t="s">
        <v>20</v>
      </c>
      <c r="F734">
        <v>11.94</v>
      </c>
      <c r="G734">
        <v>0</v>
      </c>
      <c r="H734">
        <v>11.94</v>
      </c>
    </row>
    <row r="735" spans="1:8" x14ac:dyDescent="0.3">
      <c r="A735">
        <v>139</v>
      </c>
      <c r="B735" t="s">
        <v>5892</v>
      </c>
      <c r="C735" s="451">
        <v>45915</v>
      </c>
      <c r="D735" t="s">
        <v>749</v>
      </c>
      <c r="E735" t="s">
        <v>3905</v>
      </c>
      <c r="F735">
        <v>317.5</v>
      </c>
      <c r="G735">
        <v>0</v>
      </c>
      <c r="H735">
        <v>317.5</v>
      </c>
    </row>
    <row r="736" spans="1:8" x14ac:dyDescent="0.3">
      <c r="A736">
        <v>139</v>
      </c>
      <c r="B736" t="s">
        <v>5892</v>
      </c>
      <c r="C736" s="451">
        <v>45914</v>
      </c>
      <c r="D736" t="s">
        <v>749</v>
      </c>
      <c r="E736" t="s">
        <v>3904</v>
      </c>
      <c r="F736">
        <v>8</v>
      </c>
      <c r="G736">
        <v>0</v>
      </c>
      <c r="H736">
        <v>8</v>
      </c>
    </row>
    <row r="737" spans="1:8" x14ac:dyDescent="0.3">
      <c r="A737">
        <v>139</v>
      </c>
      <c r="B737" t="s">
        <v>5892</v>
      </c>
      <c r="C737" s="451">
        <v>45914</v>
      </c>
      <c r="D737" t="s">
        <v>749</v>
      </c>
      <c r="E737" t="s">
        <v>3905</v>
      </c>
      <c r="F737">
        <v>1134</v>
      </c>
      <c r="G737">
        <v>0</v>
      </c>
      <c r="H737">
        <v>1134</v>
      </c>
    </row>
    <row r="738" spans="1:8" x14ac:dyDescent="0.3">
      <c r="A738">
        <v>139</v>
      </c>
      <c r="B738" t="s">
        <v>5892</v>
      </c>
      <c r="C738" s="451">
        <v>45914</v>
      </c>
      <c r="D738" t="s">
        <v>749</v>
      </c>
      <c r="E738" t="s">
        <v>20</v>
      </c>
      <c r="F738">
        <v>35.9</v>
      </c>
      <c r="G738">
        <v>0</v>
      </c>
      <c r="H738">
        <v>35.9</v>
      </c>
    </row>
    <row r="739" spans="1:8" x14ac:dyDescent="0.3">
      <c r="A739">
        <v>139</v>
      </c>
      <c r="B739" t="s">
        <v>5892</v>
      </c>
      <c r="C739" s="451">
        <v>45913</v>
      </c>
      <c r="D739" t="s">
        <v>749</v>
      </c>
      <c r="E739" t="s">
        <v>3905</v>
      </c>
      <c r="F739">
        <v>475</v>
      </c>
      <c r="G739">
        <v>0</v>
      </c>
      <c r="H739">
        <v>475</v>
      </c>
    </row>
    <row r="740" spans="1:8" x14ac:dyDescent="0.3">
      <c r="A740">
        <v>139</v>
      </c>
      <c r="B740" t="s">
        <v>5892</v>
      </c>
      <c r="C740" s="451">
        <v>45913</v>
      </c>
      <c r="D740" t="s">
        <v>749</v>
      </c>
      <c r="E740" t="s">
        <v>20</v>
      </c>
      <c r="F740">
        <v>24.95</v>
      </c>
      <c r="G740">
        <v>0</v>
      </c>
      <c r="H740">
        <v>24.95</v>
      </c>
    </row>
    <row r="741" spans="1:8" x14ac:dyDescent="0.3">
      <c r="A741">
        <v>139</v>
      </c>
      <c r="B741" t="s">
        <v>5892</v>
      </c>
      <c r="C741" s="451">
        <v>45912</v>
      </c>
      <c r="D741" t="s">
        <v>749</v>
      </c>
      <c r="E741" t="s">
        <v>3905</v>
      </c>
      <c r="F741">
        <v>241.8</v>
      </c>
      <c r="G741">
        <v>0</v>
      </c>
      <c r="H741">
        <v>241.8</v>
      </c>
    </row>
    <row r="742" spans="1:8" x14ac:dyDescent="0.3">
      <c r="A742">
        <v>139</v>
      </c>
      <c r="B742" t="s">
        <v>5892</v>
      </c>
      <c r="C742" s="451">
        <v>45912</v>
      </c>
      <c r="D742" t="s">
        <v>749</v>
      </c>
      <c r="E742" t="s">
        <v>20</v>
      </c>
      <c r="F742">
        <v>16.95</v>
      </c>
      <c r="G742">
        <v>0</v>
      </c>
      <c r="H742">
        <v>16.95</v>
      </c>
    </row>
    <row r="743" spans="1:8" x14ac:dyDescent="0.3">
      <c r="A743">
        <v>139</v>
      </c>
      <c r="B743" t="s">
        <v>5892</v>
      </c>
      <c r="C743" s="451">
        <v>45911</v>
      </c>
      <c r="D743" t="s">
        <v>749</v>
      </c>
      <c r="E743" t="s">
        <v>20</v>
      </c>
      <c r="F743">
        <v>9.9600000000000009</v>
      </c>
      <c r="G743">
        <v>0</v>
      </c>
      <c r="H743">
        <v>9.9600000000000009</v>
      </c>
    </row>
    <row r="744" spans="1:8" x14ac:dyDescent="0.3">
      <c r="A744">
        <v>139</v>
      </c>
      <c r="B744" t="s">
        <v>5892</v>
      </c>
      <c r="C744" s="451">
        <v>45911</v>
      </c>
      <c r="D744" t="s">
        <v>749</v>
      </c>
      <c r="E744" t="s">
        <v>3905</v>
      </c>
      <c r="F744">
        <v>199.6</v>
      </c>
      <c r="G744">
        <v>0</v>
      </c>
      <c r="H744">
        <v>199.6</v>
      </c>
    </row>
    <row r="745" spans="1:8" x14ac:dyDescent="0.3">
      <c r="A745">
        <v>139</v>
      </c>
      <c r="B745" t="s">
        <v>5892</v>
      </c>
      <c r="C745" s="451">
        <v>45910</v>
      </c>
      <c r="D745" t="s">
        <v>749</v>
      </c>
      <c r="E745" t="s">
        <v>3904</v>
      </c>
      <c r="F745">
        <v>16</v>
      </c>
      <c r="G745">
        <v>0</v>
      </c>
      <c r="H745">
        <v>16</v>
      </c>
    </row>
    <row r="746" spans="1:8" x14ac:dyDescent="0.3">
      <c r="A746">
        <v>139</v>
      </c>
      <c r="B746" t="s">
        <v>5892</v>
      </c>
      <c r="C746" s="451">
        <v>45910</v>
      </c>
      <c r="D746" t="s">
        <v>749</v>
      </c>
      <c r="E746" t="s">
        <v>3905</v>
      </c>
      <c r="F746">
        <v>560.70000000000005</v>
      </c>
      <c r="G746">
        <v>0</v>
      </c>
      <c r="H746">
        <v>560.70000000000005</v>
      </c>
    </row>
    <row r="747" spans="1:8" x14ac:dyDescent="0.3">
      <c r="A747">
        <v>139</v>
      </c>
      <c r="B747" t="s">
        <v>5892</v>
      </c>
      <c r="C747" s="451">
        <v>45910</v>
      </c>
      <c r="D747" t="s">
        <v>749</v>
      </c>
      <c r="E747" t="s">
        <v>20</v>
      </c>
      <c r="F747">
        <v>35.93</v>
      </c>
      <c r="G747">
        <v>0</v>
      </c>
      <c r="H747">
        <v>35.93</v>
      </c>
    </row>
    <row r="748" spans="1:8" x14ac:dyDescent="0.3">
      <c r="A748">
        <v>139</v>
      </c>
      <c r="B748" t="s">
        <v>5892</v>
      </c>
      <c r="C748" s="451">
        <v>45909</v>
      </c>
      <c r="D748" t="s">
        <v>749</v>
      </c>
      <c r="E748" t="s">
        <v>3905</v>
      </c>
      <c r="F748">
        <v>356.8</v>
      </c>
      <c r="G748">
        <v>0</v>
      </c>
      <c r="H748">
        <v>356.8</v>
      </c>
    </row>
    <row r="749" spans="1:8" x14ac:dyDescent="0.3">
      <c r="A749">
        <v>139</v>
      </c>
      <c r="B749" t="s">
        <v>5892</v>
      </c>
      <c r="C749" s="451">
        <v>45909</v>
      </c>
      <c r="D749" t="s">
        <v>749</v>
      </c>
      <c r="E749" t="s">
        <v>20</v>
      </c>
      <c r="F749">
        <v>31.94</v>
      </c>
      <c r="G749">
        <v>0</v>
      </c>
      <c r="H749">
        <v>31.94</v>
      </c>
    </row>
    <row r="750" spans="1:8" x14ac:dyDescent="0.3">
      <c r="A750">
        <v>139</v>
      </c>
      <c r="B750" t="s">
        <v>5892</v>
      </c>
      <c r="C750" s="451">
        <v>45908</v>
      </c>
      <c r="D750" t="s">
        <v>749</v>
      </c>
      <c r="E750" t="s">
        <v>3904</v>
      </c>
      <c r="F750">
        <v>16</v>
      </c>
      <c r="G750">
        <v>0</v>
      </c>
      <c r="H750">
        <v>16</v>
      </c>
    </row>
    <row r="751" spans="1:8" x14ac:dyDescent="0.3">
      <c r="A751">
        <v>139</v>
      </c>
      <c r="B751" t="s">
        <v>5892</v>
      </c>
      <c r="C751" s="451">
        <v>45908</v>
      </c>
      <c r="D751" t="s">
        <v>749</v>
      </c>
      <c r="E751" t="s">
        <v>20</v>
      </c>
      <c r="F751">
        <v>6.98</v>
      </c>
      <c r="G751">
        <v>0</v>
      </c>
      <c r="H751">
        <v>6.98</v>
      </c>
    </row>
    <row r="752" spans="1:8" x14ac:dyDescent="0.3">
      <c r="A752">
        <v>139</v>
      </c>
      <c r="B752" t="s">
        <v>5892</v>
      </c>
      <c r="C752" s="451">
        <v>45908</v>
      </c>
      <c r="D752" t="s">
        <v>749</v>
      </c>
      <c r="E752" t="s">
        <v>3905</v>
      </c>
      <c r="F752">
        <v>139.69999999999999</v>
      </c>
      <c r="G752">
        <v>0</v>
      </c>
      <c r="H752">
        <v>139.69999999999999</v>
      </c>
    </row>
    <row r="753" spans="1:8" x14ac:dyDescent="0.3">
      <c r="A753">
        <v>139</v>
      </c>
      <c r="B753" t="s">
        <v>5892</v>
      </c>
      <c r="C753" s="451">
        <v>45907</v>
      </c>
      <c r="D753" t="s">
        <v>749</v>
      </c>
      <c r="E753" t="s">
        <v>3905</v>
      </c>
      <c r="F753">
        <v>590</v>
      </c>
      <c r="G753">
        <v>0</v>
      </c>
      <c r="H753">
        <v>590</v>
      </c>
    </row>
    <row r="754" spans="1:8" x14ac:dyDescent="0.3">
      <c r="A754">
        <v>139</v>
      </c>
      <c r="B754" t="s">
        <v>5892</v>
      </c>
      <c r="C754" s="451">
        <v>45907</v>
      </c>
      <c r="D754" t="s">
        <v>749</v>
      </c>
      <c r="E754" t="s">
        <v>20</v>
      </c>
      <c r="F754">
        <v>38.94</v>
      </c>
      <c r="G754">
        <v>0</v>
      </c>
      <c r="H754">
        <v>38.94</v>
      </c>
    </row>
    <row r="755" spans="1:8" x14ac:dyDescent="0.3">
      <c r="A755">
        <v>139</v>
      </c>
      <c r="B755" t="s">
        <v>5892</v>
      </c>
      <c r="C755" s="451">
        <v>45906</v>
      </c>
      <c r="D755" t="s">
        <v>749</v>
      </c>
      <c r="E755" t="s">
        <v>3905</v>
      </c>
      <c r="F755">
        <v>418</v>
      </c>
      <c r="G755">
        <v>0</v>
      </c>
      <c r="H755">
        <v>418</v>
      </c>
    </row>
    <row r="756" spans="1:8" x14ac:dyDescent="0.3">
      <c r="A756">
        <v>139</v>
      </c>
      <c r="B756" t="s">
        <v>5892</v>
      </c>
      <c r="C756" s="451">
        <v>45906</v>
      </c>
      <c r="D756" t="s">
        <v>749</v>
      </c>
      <c r="E756" t="s">
        <v>3904</v>
      </c>
      <c r="F756">
        <v>8</v>
      </c>
      <c r="G756">
        <v>0</v>
      </c>
      <c r="H756">
        <v>8</v>
      </c>
    </row>
    <row r="757" spans="1:8" x14ac:dyDescent="0.3">
      <c r="A757">
        <v>139</v>
      </c>
      <c r="B757" t="s">
        <v>5892</v>
      </c>
      <c r="C757" s="451">
        <v>45906</v>
      </c>
      <c r="D757" t="s">
        <v>749</v>
      </c>
      <c r="E757" t="s">
        <v>20</v>
      </c>
      <c r="F757">
        <v>12.96</v>
      </c>
      <c r="G757">
        <v>0</v>
      </c>
      <c r="H757">
        <v>12.96</v>
      </c>
    </row>
    <row r="758" spans="1:8" x14ac:dyDescent="0.3">
      <c r="A758">
        <v>139</v>
      </c>
      <c r="B758" t="s">
        <v>5892</v>
      </c>
      <c r="C758" s="451">
        <v>45905</v>
      </c>
      <c r="D758" t="s">
        <v>749</v>
      </c>
      <c r="E758" t="s">
        <v>20</v>
      </c>
      <c r="F758">
        <v>0.99</v>
      </c>
      <c r="G758">
        <v>0</v>
      </c>
      <c r="H758">
        <v>0.99</v>
      </c>
    </row>
    <row r="759" spans="1:8" x14ac:dyDescent="0.3">
      <c r="A759">
        <v>139</v>
      </c>
      <c r="B759" t="s">
        <v>5892</v>
      </c>
      <c r="C759" s="451">
        <v>45905</v>
      </c>
      <c r="D759" t="s">
        <v>749</v>
      </c>
      <c r="E759" t="s">
        <v>3905</v>
      </c>
      <c r="F759">
        <v>128.9</v>
      </c>
      <c r="G759">
        <v>0</v>
      </c>
      <c r="H759">
        <v>128.9</v>
      </c>
    </row>
    <row r="760" spans="1:8" x14ac:dyDescent="0.3">
      <c r="A760">
        <v>139</v>
      </c>
      <c r="B760" t="s">
        <v>5892</v>
      </c>
      <c r="C760" s="451">
        <v>45903</v>
      </c>
      <c r="D760" t="s">
        <v>749</v>
      </c>
      <c r="E760" t="s">
        <v>3905</v>
      </c>
      <c r="F760">
        <v>806.9</v>
      </c>
      <c r="G760">
        <v>0</v>
      </c>
      <c r="H760">
        <v>806.9</v>
      </c>
    </row>
    <row r="761" spans="1:8" x14ac:dyDescent="0.3">
      <c r="A761">
        <v>139</v>
      </c>
      <c r="B761" t="s">
        <v>5892</v>
      </c>
      <c r="C761" s="451">
        <v>45903</v>
      </c>
      <c r="D761" t="s">
        <v>749</v>
      </c>
      <c r="E761" t="s">
        <v>20</v>
      </c>
      <c r="F761">
        <v>8.92</v>
      </c>
      <c r="G761">
        <v>0</v>
      </c>
      <c r="H761">
        <v>8.92</v>
      </c>
    </row>
    <row r="762" spans="1:8" x14ac:dyDescent="0.3">
      <c r="A762">
        <v>139</v>
      </c>
      <c r="B762" t="s">
        <v>5892</v>
      </c>
      <c r="C762" s="451">
        <v>45902</v>
      </c>
      <c r="D762" t="s">
        <v>749</v>
      </c>
      <c r="E762" t="s">
        <v>20</v>
      </c>
      <c r="F762">
        <v>1.98</v>
      </c>
      <c r="G762">
        <v>0</v>
      </c>
      <c r="H762">
        <v>1.98</v>
      </c>
    </row>
    <row r="763" spans="1:8" x14ac:dyDescent="0.3">
      <c r="A763">
        <v>139</v>
      </c>
      <c r="B763" t="s">
        <v>5892</v>
      </c>
      <c r="C763" s="451">
        <v>45902</v>
      </c>
      <c r="D763" t="s">
        <v>749</v>
      </c>
      <c r="E763" t="s">
        <v>3905</v>
      </c>
      <c r="F763">
        <v>149.69999999999999</v>
      </c>
      <c r="G763">
        <v>0</v>
      </c>
      <c r="H763">
        <v>149.69999999999999</v>
      </c>
    </row>
    <row r="764" spans="1:8" x14ac:dyDescent="0.3">
      <c r="A764">
        <v>139</v>
      </c>
      <c r="B764" t="s">
        <v>5892</v>
      </c>
      <c r="C764" s="451">
        <v>45901</v>
      </c>
      <c r="D764" t="s">
        <v>749</v>
      </c>
      <c r="E764" t="s">
        <v>3904</v>
      </c>
      <c r="F764">
        <v>8</v>
      </c>
      <c r="G764">
        <v>0</v>
      </c>
      <c r="H764">
        <v>8</v>
      </c>
    </row>
    <row r="765" spans="1:8" x14ac:dyDescent="0.3">
      <c r="A765">
        <v>139</v>
      </c>
      <c r="B765" t="s">
        <v>5892</v>
      </c>
      <c r="C765" s="451">
        <v>45901</v>
      </c>
      <c r="D765" t="s">
        <v>749</v>
      </c>
      <c r="E765" t="s">
        <v>20</v>
      </c>
      <c r="F765">
        <v>3.96</v>
      </c>
      <c r="G765">
        <v>0</v>
      </c>
      <c r="H765">
        <v>3.96</v>
      </c>
    </row>
    <row r="766" spans="1:8" x14ac:dyDescent="0.3">
      <c r="A766">
        <v>139</v>
      </c>
      <c r="B766" t="s">
        <v>5892</v>
      </c>
      <c r="C766" s="451">
        <v>45901</v>
      </c>
      <c r="D766" t="s">
        <v>749</v>
      </c>
      <c r="E766" t="s">
        <v>3905</v>
      </c>
      <c r="F766">
        <v>129.69999999999999</v>
      </c>
      <c r="G766">
        <v>0</v>
      </c>
      <c r="H766">
        <v>129.69999999999999</v>
      </c>
    </row>
    <row r="767" spans="1:8" x14ac:dyDescent="0.3">
      <c r="A767">
        <v>139</v>
      </c>
      <c r="B767" t="s">
        <v>5892</v>
      </c>
      <c r="C767" s="451">
        <v>45900</v>
      </c>
      <c r="D767" t="s">
        <v>747</v>
      </c>
      <c r="E767" t="s">
        <v>3905</v>
      </c>
      <c r="F767">
        <v>821</v>
      </c>
      <c r="G767">
        <v>0</v>
      </c>
      <c r="H767">
        <v>821</v>
      </c>
    </row>
    <row r="768" spans="1:8" x14ac:dyDescent="0.3">
      <c r="A768">
        <v>139</v>
      </c>
      <c r="B768" t="s">
        <v>5892</v>
      </c>
      <c r="C768" s="451">
        <v>45900</v>
      </c>
      <c r="D768" t="s">
        <v>747</v>
      </c>
      <c r="E768" t="s">
        <v>20</v>
      </c>
      <c r="F768">
        <v>24.92</v>
      </c>
      <c r="G768">
        <v>0</v>
      </c>
      <c r="H768">
        <v>24.92</v>
      </c>
    </row>
    <row r="769" spans="1:8" x14ac:dyDescent="0.3">
      <c r="A769">
        <v>139</v>
      </c>
      <c r="B769" t="s">
        <v>5892</v>
      </c>
      <c r="C769" s="451">
        <v>45899</v>
      </c>
      <c r="D769" t="s">
        <v>747</v>
      </c>
      <c r="E769" t="s">
        <v>3905</v>
      </c>
      <c r="F769">
        <v>126</v>
      </c>
      <c r="G769">
        <v>0</v>
      </c>
      <c r="H769">
        <v>126</v>
      </c>
    </row>
    <row r="770" spans="1:8" x14ac:dyDescent="0.3">
      <c r="A770">
        <v>139</v>
      </c>
      <c r="B770" t="s">
        <v>5892</v>
      </c>
      <c r="C770" s="451">
        <v>45899</v>
      </c>
      <c r="D770" t="s">
        <v>747</v>
      </c>
      <c r="E770" t="s">
        <v>20</v>
      </c>
      <c r="F770">
        <v>9.98</v>
      </c>
      <c r="G770">
        <v>0</v>
      </c>
      <c r="H770">
        <v>9.98</v>
      </c>
    </row>
    <row r="771" spans="1:8" x14ac:dyDescent="0.3">
      <c r="A771">
        <v>139</v>
      </c>
      <c r="B771" t="s">
        <v>5892</v>
      </c>
      <c r="C771" s="451">
        <v>45898</v>
      </c>
      <c r="D771" t="s">
        <v>747</v>
      </c>
      <c r="E771" t="s">
        <v>3905</v>
      </c>
      <c r="F771">
        <v>562.79999999999995</v>
      </c>
      <c r="G771">
        <v>0</v>
      </c>
      <c r="H771">
        <v>562.79999999999995</v>
      </c>
    </row>
    <row r="772" spans="1:8" x14ac:dyDescent="0.3">
      <c r="A772">
        <v>139</v>
      </c>
      <c r="B772" t="s">
        <v>5892</v>
      </c>
      <c r="C772" s="451">
        <v>45898</v>
      </c>
      <c r="D772" t="s">
        <v>747</v>
      </c>
      <c r="E772" t="s">
        <v>20</v>
      </c>
      <c r="F772">
        <v>8.94</v>
      </c>
      <c r="G772">
        <v>0</v>
      </c>
      <c r="H772">
        <v>8.94</v>
      </c>
    </row>
    <row r="773" spans="1:8" x14ac:dyDescent="0.3">
      <c r="A773">
        <v>139</v>
      </c>
      <c r="B773" t="s">
        <v>5892</v>
      </c>
      <c r="C773" s="451">
        <v>45897</v>
      </c>
      <c r="D773" t="s">
        <v>747</v>
      </c>
      <c r="E773" t="s">
        <v>20</v>
      </c>
      <c r="F773">
        <v>21.95</v>
      </c>
      <c r="G773">
        <v>0</v>
      </c>
      <c r="H773">
        <v>21.95</v>
      </c>
    </row>
    <row r="774" spans="1:8" x14ac:dyDescent="0.3">
      <c r="A774">
        <v>139</v>
      </c>
      <c r="B774" t="s">
        <v>5892</v>
      </c>
      <c r="C774" s="451">
        <v>45897</v>
      </c>
      <c r="D774" t="s">
        <v>747</v>
      </c>
      <c r="E774" t="s">
        <v>3905</v>
      </c>
      <c r="F774">
        <v>249.5</v>
      </c>
      <c r="G774">
        <v>0</v>
      </c>
      <c r="H774">
        <v>249.5</v>
      </c>
    </row>
    <row r="775" spans="1:8" x14ac:dyDescent="0.3">
      <c r="A775">
        <v>139</v>
      </c>
      <c r="B775" t="s">
        <v>5892</v>
      </c>
      <c r="C775" s="451">
        <v>45896</v>
      </c>
      <c r="D775" t="s">
        <v>747</v>
      </c>
      <c r="E775" t="s">
        <v>20</v>
      </c>
      <c r="F775">
        <v>3.97</v>
      </c>
      <c r="G775">
        <v>0</v>
      </c>
      <c r="H775">
        <v>3.97</v>
      </c>
    </row>
    <row r="776" spans="1:8" x14ac:dyDescent="0.3">
      <c r="A776">
        <v>139</v>
      </c>
      <c r="B776" t="s">
        <v>5892</v>
      </c>
      <c r="C776" s="451">
        <v>45896</v>
      </c>
      <c r="D776" t="s">
        <v>747</v>
      </c>
      <c r="E776" t="s">
        <v>3905</v>
      </c>
      <c r="F776">
        <v>89.8</v>
      </c>
      <c r="G776">
        <v>0</v>
      </c>
      <c r="H776">
        <v>89.8</v>
      </c>
    </row>
    <row r="777" spans="1:8" x14ac:dyDescent="0.3">
      <c r="A777">
        <v>139</v>
      </c>
      <c r="B777" t="s">
        <v>5892</v>
      </c>
      <c r="C777" s="451">
        <v>45895</v>
      </c>
      <c r="D777" t="s">
        <v>747</v>
      </c>
      <c r="E777" t="s">
        <v>20</v>
      </c>
      <c r="F777">
        <v>11.95</v>
      </c>
      <c r="G777">
        <v>0</v>
      </c>
      <c r="H777">
        <v>11.95</v>
      </c>
    </row>
    <row r="778" spans="1:8" x14ac:dyDescent="0.3">
      <c r="A778">
        <v>139</v>
      </c>
      <c r="B778" t="s">
        <v>5892</v>
      </c>
      <c r="C778" s="451">
        <v>45895</v>
      </c>
      <c r="D778" t="s">
        <v>747</v>
      </c>
      <c r="E778" t="s">
        <v>3905</v>
      </c>
      <c r="F778">
        <v>269.39999999999998</v>
      </c>
      <c r="G778">
        <v>0</v>
      </c>
      <c r="H778">
        <v>269.39999999999998</v>
      </c>
    </row>
    <row r="779" spans="1:8" x14ac:dyDescent="0.3">
      <c r="A779">
        <v>139</v>
      </c>
      <c r="B779" t="s">
        <v>5892</v>
      </c>
      <c r="C779" s="451">
        <v>45893</v>
      </c>
      <c r="D779" t="s">
        <v>747</v>
      </c>
      <c r="E779" t="s">
        <v>20</v>
      </c>
      <c r="F779">
        <v>46.83</v>
      </c>
      <c r="G779">
        <v>0</v>
      </c>
      <c r="H779">
        <v>46.83</v>
      </c>
    </row>
    <row r="780" spans="1:8" x14ac:dyDescent="0.3">
      <c r="A780">
        <v>139</v>
      </c>
      <c r="B780" t="s">
        <v>5892</v>
      </c>
      <c r="C780" s="451">
        <v>45893</v>
      </c>
      <c r="D780" t="s">
        <v>747</v>
      </c>
      <c r="E780" t="s">
        <v>3905</v>
      </c>
      <c r="F780">
        <v>2653</v>
      </c>
      <c r="G780">
        <v>0</v>
      </c>
      <c r="H780">
        <v>2653</v>
      </c>
    </row>
    <row r="781" spans="1:8" x14ac:dyDescent="0.3">
      <c r="A781">
        <v>139</v>
      </c>
      <c r="B781" t="s">
        <v>5892</v>
      </c>
      <c r="C781" s="451">
        <v>45893</v>
      </c>
      <c r="D781" t="s">
        <v>747</v>
      </c>
      <c r="E781" t="s">
        <v>3904</v>
      </c>
      <c r="F781">
        <v>24</v>
      </c>
      <c r="G781">
        <v>0</v>
      </c>
      <c r="H781">
        <v>24</v>
      </c>
    </row>
    <row r="782" spans="1:8" x14ac:dyDescent="0.3">
      <c r="A782">
        <v>139</v>
      </c>
      <c r="B782" t="s">
        <v>5892</v>
      </c>
      <c r="C782" s="451">
        <v>45892</v>
      </c>
      <c r="D782" t="s">
        <v>747</v>
      </c>
      <c r="E782" t="s">
        <v>20</v>
      </c>
      <c r="F782">
        <v>26.93</v>
      </c>
      <c r="G782">
        <v>0</v>
      </c>
      <c r="H782">
        <v>26.93</v>
      </c>
    </row>
    <row r="783" spans="1:8" x14ac:dyDescent="0.3">
      <c r="A783">
        <v>139</v>
      </c>
      <c r="B783" t="s">
        <v>5892</v>
      </c>
      <c r="C783" s="451">
        <v>45892</v>
      </c>
      <c r="D783" t="s">
        <v>747</v>
      </c>
      <c r="E783" t="s">
        <v>3905</v>
      </c>
      <c r="F783">
        <v>805</v>
      </c>
      <c r="G783">
        <v>0</v>
      </c>
      <c r="H783">
        <v>805</v>
      </c>
    </row>
    <row r="784" spans="1:8" x14ac:dyDescent="0.3">
      <c r="A784">
        <v>139</v>
      </c>
      <c r="B784" t="s">
        <v>5892</v>
      </c>
      <c r="C784" s="451">
        <v>45891</v>
      </c>
      <c r="D784" t="s">
        <v>747</v>
      </c>
      <c r="E784" t="s">
        <v>20</v>
      </c>
      <c r="F784">
        <v>9.92</v>
      </c>
      <c r="G784">
        <v>0</v>
      </c>
      <c r="H784">
        <v>9.92</v>
      </c>
    </row>
    <row r="785" spans="1:8" x14ac:dyDescent="0.3">
      <c r="A785">
        <v>139</v>
      </c>
      <c r="B785" t="s">
        <v>5892</v>
      </c>
      <c r="C785" s="451">
        <v>45891</v>
      </c>
      <c r="D785" t="s">
        <v>747</v>
      </c>
      <c r="E785" t="s">
        <v>3905</v>
      </c>
      <c r="F785">
        <v>675.5</v>
      </c>
      <c r="G785">
        <v>0</v>
      </c>
      <c r="H785">
        <v>675.5</v>
      </c>
    </row>
    <row r="786" spans="1:8" x14ac:dyDescent="0.3">
      <c r="A786">
        <v>139</v>
      </c>
      <c r="B786" t="s">
        <v>5892</v>
      </c>
      <c r="C786" s="451">
        <v>45891</v>
      </c>
      <c r="D786" t="s">
        <v>747</v>
      </c>
      <c r="E786" t="s">
        <v>3904</v>
      </c>
      <c r="F786">
        <v>8</v>
      </c>
      <c r="G786">
        <v>0</v>
      </c>
      <c r="H786">
        <v>8</v>
      </c>
    </row>
    <row r="787" spans="1:8" x14ac:dyDescent="0.3">
      <c r="A787">
        <v>139</v>
      </c>
      <c r="B787" t="s">
        <v>5892</v>
      </c>
      <c r="C787" s="451">
        <v>45890</v>
      </c>
      <c r="D787" t="s">
        <v>747</v>
      </c>
      <c r="E787" t="s">
        <v>20</v>
      </c>
      <c r="F787">
        <v>19.940000000000001</v>
      </c>
      <c r="G787">
        <v>0</v>
      </c>
      <c r="H787">
        <v>19.940000000000001</v>
      </c>
    </row>
    <row r="788" spans="1:8" x14ac:dyDescent="0.3">
      <c r="A788">
        <v>139</v>
      </c>
      <c r="B788" t="s">
        <v>5892</v>
      </c>
      <c r="C788" s="451">
        <v>45890</v>
      </c>
      <c r="D788" t="s">
        <v>747</v>
      </c>
      <c r="E788" t="s">
        <v>3905</v>
      </c>
      <c r="F788">
        <v>389.4</v>
      </c>
      <c r="G788">
        <v>0</v>
      </c>
      <c r="H788">
        <v>389.4</v>
      </c>
    </row>
    <row r="789" spans="1:8" x14ac:dyDescent="0.3">
      <c r="A789">
        <v>139</v>
      </c>
      <c r="B789" t="s">
        <v>5892</v>
      </c>
      <c r="C789" s="451">
        <v>45889</v>
      </c>
      <c r="D789" t="s">
        <v>747</v>
      </c>
      <c r="E789" t="s">
        <v>20</v>
      </c>
      <c r="F789">
        <v>1.98</v>
      </c>
      <c r="G789">
        <v>0</v>
      </c>
      <c r="H789">
        <v>1.98</v>
      </c>
    </row>
    <row r="790" spans="1:8" x14ac:dyDescent="0.3">
      <c r="A790">
        <v>139</v>
      </c>
      <c r="B790" t="s">
        <v>5892</v>
      </c>
      <c r="C790" s="451">
        <v>45889</v>
      </c>
      <c r="D790" t="s">
        <v>747</v>
      </c>
      <c r="E790" t="s">
        <v>3905</v>
      </c>
      <c r="F790">
        <v>131.9</v>
      </c>
      <c r="G790">
        <v>0</v>
      </c>
      <c r="H790">
        <v>131.9</v>
      </c>
    </row>
    <row r="791" spans="1:8" x14ac:dyDescent="0.3">
      <c r="A791">
        <v>139</v>
      </c>
      <c r="B791" t="s">
        <v>5892</v>
      </c>
      <c r="C791" s="451">
        <v>45888</v>
      </c>
      <c r="D791" t="s">
        <v>747</v>
      </c>
      <c r="E791" t="s">
        <v>20</v>
      </c>
      <c r="F791">
        <v>37.94</v>
      </c>
      <c r="G791">
        <v>0</v>
      </c>
      <c r="H791">
        <v>37.94</v>
      </c>
    </row>
    <row r="792" spans="1:8" x14ac:dyDescent="0.3">
      <c r="A792">
        <v>139</v>
      </c>
      <c r="B792" t="s">
        <v>5892</v>
      </c>
      <c r="C792" s="451">
        <v>45888</v>
      </c>
      <c r="D792" t="s">
        <v>747</v>
      </c>
      <c r="E792" t="s">
        <v>3905</v>
      </c>
      <c r="F792">
        <v>269.8</v>
      </c>
      <c r="G792">
        <v>0</v>
      </c>
      <c r="H792">
        <v>269.8</v>
      </c>
    </row>
    <row r="793" spans="1:8" x14ac:dyDescent="0.3">
      <c r="A793">
        <v>139</v>
      </c>
      <c r="B793" t="s">
        <v>5892</v>
      </c>
      <c r="C793" s="451">
        <v>45887</v>
      </c>
      <c r="D793" t="s">
        <v>747</v>
      </c>
      <c r="E793" t="s">
        <v>20</v>
      </c>
      <c r="F793">
        <v>7.98</v>
      </c>
      <c r="G793">
        <v>0</v>
      </c>
      <c r="H793">
        <v>7.98</v>
      </c>
    </row>
    <row r="794" spans="1:8" x14ac:dyDescent="0.3">
      <c r="A794">
        <v>139</v>
      </c>
      <c r="B794" t="s">
        <v>5892</v>
      </c>
      <c r="C794" s="451">
        <v>45887</v>
      </c>
      <c r="D794" t="s">
        <v>747</v>
      </c>
      <c r="E794" t="s">
        <v>3905</v>
      </c>
      <c r="F794">
        <v>644.6</v>
      </c>
      <c r="G794">
        <v>0</v>
      </c>
      <c r="H794">
        <v>644.6</v>
      </c>
    </row>
    <row r="795" spans="1:8" x14ac:dyDescent="0.3">
      <c r="A795">
        <v>139</v>
      </c>
      <c r="B795" t="s">
        <v>5892</v>
      </c>
      <c r="C795" s="451">
        <v>45886</v>
      </c>
      <c r="D795" t="s">
        <v>747</v>
      </c>
      <c r="E795" t="s">
        <v>20</v>
      </c>
      <c r="F795">
        <v>49.86</v>
      </c>
      <c r="G795">
        <v>0</v>
      </c>
      <c r="H795">
        <v>49.86</v>
      </c>
    </row>
    <row r="796" spans="1:8" x14ac:dyDescent="0.3">
      <c r="A796">
        <v>139</v>
      </c>
      <c r="B796" t="s">
        <v>5892</v>
      </c>
      <c r="C796" s="451">
        <v>45886</v>
      </c>
      <c r="D796" t="s">
        <v>747</v>
      </c>
      <c r="E796" t="s">
        <v>3905</v>
      </c>
      <c r="F796">
        <v>1871</v>
      </c>
      <c r="G796">
        <v>0</v>
      </c>
      <c r="H796">
        <v>1871</v>
      </c>
    </row>
    <row r="797" spans="1:8" x14ac:dyDescent="0.3">
      <c r="A797">
        <v>139</v>
      </c>
      <c r="B797" t="s">
        <v>5892</v>
      </c>
      <c r="C797" s="451">
        <v>45884</v>
      </c>
      <c r="D797" t="s">
        <v>747</v>
      </c>
      <c r="E797" t="s">
        <v>20</v>
      </c>
      <c r="F797">
        <v>30.92</v>
      </c>
      <c r="G797">
        <v>0</v>
      </c>
      <c r="H797">
        <v>30.92</v>
      </c>
    </row>
    <row r="798" spans="1:8" x14ac:dyDescent="0.3">
      <c r="A798">
        <v>139</v>
      </c>
      <c r="B798" t="s">
        <v>5892</v>
      </c>
      <c r="C798" s="451">
        <v>45884</v>
      </c>
      <c r="D798" t="s">
        <v>747</v>
      </c>
      <c r="E798" t="s">
        <v>3905</v>
      </c>
      <c r="F798">
        <v>744.2</v>
      </c>
      <c r="G798">
        <v>0</v>
      </c>
      <c r="H798">
        <v>744.2</v>
      </c>
    </row>
    <row r="799" spans="1:8" x14ac:dyDescent="0.3">
      <c r="A799">
        <v>139</v>
      </c>
      <c r="B799" t="s">
        <v>5892</v>
      </c>
      <c r="C799" s="451">
        <v>45883</v>
      </c>
      <c r="D799" t="s">
        <v>747</v>
      </c>
      <c r="E799" t="s">
        <v>20</v>
      </c>
      <c r="F799">
        <v>2.97</v>
      </c>
      <c r="G799">
        <v>0</v>
      </c>
      <c r="H799">
        <v>2.97</v>
      </c>
    </row>
    <row r="800" spans="1:8" x14ac:dyDescent="0.3">
      <c r="A800">
        <v>139</v>
      </c>
      <c r="B800" t="s">
        <v>5892</v>
      </c>
      <c r="C800" s="451">
        <v>45883</v>
      </c>
      <c r="D800" t="s">
        <v>747</v>
      </c>
      <c r="E800" t="s">
        <v>3905</v>
      </c>
      <c r="F800">
        <v>469.01</v>
      </c>
      <c r="G800">
        <v>0</v>
      </c>
      <c r="H800">
        <v>469.01</v>
      </c>
    </row>
    <row r="801" spans="1:8" x14ac:dyDescent="0.3">
      <c r="A801">
        <v>139</v>
      </c>
      <c r="B801" t="s">
        <v>5892</v>
      </c>
      <c r="C801" s="451">
        <v>45882</v>
      </c>
      <c r="D801" t="s">
        <v>747</v>
      </c>
      <c r="E801" t="s">
        <v>20</v>
      </c>
      <c r="F801">
        <v>4.95</v>
      </c>
      <c r="G801">
        <v>0</v>
      </c>
      <c r="H801">
        <v>4.95</v>
      </c>
    </row>
    <row r="802" spans="1:8" x14ac:dyDescent="0.3">
      <c r="A802">
        <v>139</v>
      </c>
      <c r="B802" t="s">
        <v>5892</v>
      </c>
      <c r="C802" s="451">
        <v>45882</v>
      </c>
      <c r="D802" t="s">
        <v>747</v>
      </c>
      <c r="E802" t="s">
        <v>3905</v>
      </c>
      <c r="F802">
        <v>301.60000000000002</v>
      </c>
      <c r="G802">
        <v>0</v>
      </c>
      <c r="H802">
        <v>301.60000000000002</v>
      </c>
    </row>
    <row r="803" spans="1:8" x14ac:dyDescent="0.3">
      <c r="A803">
        <v>139</v>
      </c>
      <c r="B803" t="s">
        <v>5892</v>
      </c>
      <c r="C803" s="451">
        <v>45881</v>
      </c>
      <c r="D803" t="s">
        <v>747</v>
      </c>
      <c r="E803" t="s">
        <v>20</v>
      </c>
      <c r="F803">
        <v>25.94</v>
      </c>
      <c r="G803">
        <v>0</v>
      </c>
      <c r="H803">
        <v>25.94</v>
      </c>
    </row>
    <row r="804" spans="1:8" x14ac:dyDescent="0.3">
      <c r="A804">
        <v>139</v>
      </c>
      <c r="B804" t="s">
        <v>5892</v>
      </c>
      <c r="C804" s="451">
        <v>45881</v>
      </c>
      <c r="D804" t="s">
        <v>747</v>
      </c>
      <c r="E804" t="s">
        <v>3905</v>
      </c>
      <c r="F804">
        <v>211.8</v>
      </c>
      <c r="G804">
        <v>0</v>
      </c>
      <c r="H804">
        <v>211.8</v>
      </c>
    </row>
    <row r="805" spans="1:8" x14ac:dyDescent="0.3">
      <c r="A805">
        <v>139</v>
      </c>
      <c r="B805" t="s">
        <v>5892</v>
      </c>
      <c r="C805" s="451">
        <v>45880</v>
      </c>
      <c r="D805" t="s">
        <v>747</v>
      </c>
      <c r="E805" t="s">
        <v>20</v>
      </c>
      <c r="F805">
        <v>64.86</v>
      </c>
      <c r="G805">
        <v>0</v>
      </c>
      <c r="H805">
        <v>64.86</v>
      </c>
    </row>
    <row r="806" spans="1:8" x14ac:dyDescent="0.3">
      <c r="A806">
        <v>139</v>
      </c>
      <c r="B806" t="s">
        <v>5892</v>
      </c>
      <c r="C806" s="451">
        <v>45880</v>
      </c>
      <c r="D806" t="s">
        <v>747</v>
      </c>
      <c r="E806" t="s">
        <v>3905</v>
      </c>
      <c r="F806">
        <v>700.6</v>
      </c>
      <c r="G806">
        <v>0</v>
      </c>
      <c r="H806">
        <v>700.6</v>
      </c>
    </row>
    <row r="807" spans="1:8" x14ac:dyDescent="0.3">
      <c r="A807">
        <v>139</v>
      </c>
      <c r="B807" t="s">
        <v>5892</v>
      </c>
      <c r="C807" s="451">
        <v>45879</v>
      </c>
      <c r="D807" t="s">
        <v>747</v>
      </c>
      <c r="E807" t="s">
        <v>20</v>
      </c>
      <c r="F807">
        <v>39.92</v>
      </c>
      <c r="G807">
        <v>0</v>
      </c>
      <c r="H807">
        <v>39.92</v>
      </c>
    </row>
    <row r="808" spans="1:8" x14ac:dyDescent="0.3">
      <c r="A808">
        <v>139</v>
      </c>
      <c r="B808" t="s">
        <v>5892</v>
      </c>
      <c r="C808" s="451">
        <v>45879</v>
      </c>
      <c r="D808" t="s">
        <v>747</v>
      </c>
      <c r="E808" t="s">
        <v>3905</v>
      </c>
      <c r="F808">
        <v>1110</v>
      </c>
      <c r="G808">
        <v>0</v>
      </c>
      <c r="H808">
        <v>1110</v>
      </c>
    </row>
    <row r="809" spans="1:8" x14ac:dyDescent="0.3">
      <c r="A809">
        <v>139</v>
      </c>
      <c r="B809" t="s">
        <v>5892</v>
      </c>
      <c r="C809" s="451">
        <v>45878</v>
      </c>
      <c r="D809" t="s">
        <v>747</v>
      </c>
      <c r="E809" t="s">
        <v>20</v>
      </c>
      <c r="F809">
        <v>63.92</v>
      </c>
      <c r="G809">
        <v>0</v>
      </c>
      <c r="H809">
        <v>63.92</v>
      </c>
    </row>
    <row r="810" spans="1:8" x14ac:dyDescent="0.3">
      <c r="A810">
        <v>139</v>
      </c>
      <c r="B810" t="s">
        <v>5892</v>
      </c>
      <c r="C810" s="451">
        <v>45878</v>
      </c>
      <c r="D810" t="s">
        <v>747</v>
      </c>
      <c r="E810" t="s">
        <v>3905</v>
      </c>
      <c r="F810">
        <v>554</v>
      </c>
      <c r="G810">
        <v>0</v>
      </c>
      <c r="H810">
        <v>554</v>
      </c>
    </row>
    <row r="811" spans="1:8" x14ac:dyDescent="0.3">
      <c r="A811">
        <v>139</v>
      </c>
      <c r="B811" t="s">
        <v>5892</v>
      </c>
      <c r="C811" s="451">
        <v>45878</v>
      </c>
      <c r="D811" t="s">
        <v>747</v>
      </c>
      <c r="E811" t="s">
        <v>3904</v>
      </c>
      <c r="F811">
        <v>8</v>
      </c>
      <c r="G811">
        <v>0</v>
      </c>
      <c r="H811">
        <v>8</v>
      </c>
    </row>
    <row r="812" spans="1:8" x14ac:dyDescent="0.3">
      <c r="A812">
        <v>139</v>
      </c>
      <c r="B812" t="s">
        <v>5892</v>
      </c>
      <c r="C812" s="451">
        <v>45877</v>
      </c>
      <c r="D812" t="s">
        <v>747</v>
      </c>
      <c r="E812" t="s">
        <v>20</v>
      </c>
      <c r="F812">
        <v>57.93</v>
      </c>
      <c r="G812">
        <v>0</v>
      </c>
      <c r="H812">
        <v>57.93</v>
      </c>
    </row>
    <row r="813" spans="1:8" x14ac:dyDescent="0.3">
      <c r="A813">
        <v>139</v>
      </c>
      <c r="B813" t="s">
        <v>5892</v>
      </c>
      <c r="C813" s="451">
        <v>45877</v>
      </c>
      <c r="D813" t="s">
        <v>747</v>
      </c>
      <c r="E813" t="s">
        <v>3905</v>
      </c>
      <c r="F813">
        <v>582.79999999999995</v>
      </c>
      <c r="G813">
        <v>0</v>
      </c>
      <c r="H813">
        <v>582.79999999999995</v>
      </c>
    </row>
    <row r="814" spans="1:8" x14ac:dyDescent="0.3">
      <c r="A814">
        <v>139</v>
      </c>
      <c r="B814" t="s">
        <v>5892</v>
      </c>
      <c r="C814" s="451">
        <v>45877</v>
      </c>
      <c r="D814" t="s">
        <v>747</v>
      </c>
      <c r="E814" t="s">
        <v>3904</v>
      </c>
      <c r="F814">
        <v>8</v>
      </c>
      <c r="G814">
        <v>0</v>
      </c>
      <c r="H814">
        <v>8</v>
      </c>
    </row>
    <row r="815" spans="1:8" x14ac:dyDescent="0.3">
      <c r="A815">
        <v>139</v>
      </c>
      <c r="B815" t="s">
        <v>5892</v>
      </c>
      <c r="C815" s="451">
        <v>45876</v>
      </c>
      <c r="D815" t="s">
        <v>747</v>
      </c>
      <c r="E815" t="s">
        <v>20</v>
      </c>
      <c r="F815">
        <v>34.94</v>
      </c>
      <c r="G815">
        <v>0</v>
      </c>
      <c r="H815">
        <v>34.94</v>
      </c>
    </row>
    <row r="816" spans="1:8" x14ac:dyDescent="0.3">
      <c r="A816">
        <v>139</v>
      </c>
      <c r="B816" t="s">
        <v>5892</v>
      </c>
      <c r="C816" s="451">
        <v>45876</v>
      </c>
      <c r="D816" t="s">
        <v>747</v>
      </c>
      <c r="E816" t="s">
        <v>3904</v>
      </c>
      <c r="F816">
        <v>8</v>
      </c>
      <c r="G816">
        <v>0</v>
      </c>
      <c r="H816">
        <v>8</v>
      </c>
    </row>
    <row r="817" spans="1:8" x14ac:dyDescent="0.3">
      <c r="A817">
        <v>139</v>
      </c>
      <c r="B817" t="s">
        <v>5892</v>
      </c>
      <c r="C817" s="451">
        <v>45876</v>
      </c>
      <c r="D817" t="s">
        <v>747</v>
      </c>
      <c r="E817" t="s">
        <v>3905</v>
      </c>
      <c r="F817">
        <v>388.8</v>
      </c>
      <c r="G817">
        <v>0</v>
      </c>
      <c r="H817">
        <v>388.8</v>
      </c>
    </row>
    <row r="818" spans="1:8" x14ac:dyDescent="0.3">
      <c r="A818">
        <v>139</v>
      </c>
      <c r="B818" t="s">
        <v>5892</v>
      </c>
      <c r="C818" s="451">
        <v>45875</v>
      </c>
      <c r="D818" t="s">
        <v>747</v>
      </c>
      <c r="E818" t="s">
        <v>20</v>
      </c>
      <c r="F818">
        <v>81.88</v>
      </c>
      <c r="G818">
        <v>0</v>
      </c>
      <c r="H818">
        <v>81.88</v>
      </c>
    </row>
    <row r="819" spans="1:8" x14ac:dyDescent="0.3">
      <c r="A819">
        <v>139</v>
      </c>
      <c r="B819" t="s">
        <v>5892</v>
      </c>
      <c r="C819" s="451">
        <v>45875</v>
      </c>
      <c r="D819" t="s">
        <v>747</v>
      </c>
      <c r="E819" t="s">
        <v>3905</v>
      </c>
      <c r="F819">
        <v>740</v>
      </c>
      <c r="G819">
        <v>0</v>
      </c>
      <c r="H819">
        <v>740</v>
      </c>
    </row>
    <row r="820" spans="1:8" x14ac:dyDescent="0.3">
      <c r="A820">
        <v>139</v>
      </c>
      <c r="B820" t="s">
        <v>5892</v>
      </c>
      <c r="C820" s="451">
        <v>45875</v>
      </c>
      <c r="D820" t="s">
        <v>747</v>
      </c>
      <c r="E820" t="s">
        <v>3904</v>
      </c>
      <c r="F820">
        <v>8</v>
      </c>
      <c r="G820">
        <v>0</v>
      </c>
      <c r="H820">
        <v>8</v>
      </c>
    </row>
    <row r="821" spans="1:8" x14ac:dyDescent="0.3">
      <c r="A821">
        <v>139</v>
      </c>
      <c r="B821" t="s">
        <v>5892</v>
      </c>
      <c r="C821" s="451">
        <v>45874</v>
      </c>
      <c r="D821" t="s">
        <v>747</v>
      </c>
      <c r="E821" t="s">
        <v>20</v>
      </c>
      <c r="F821">
        <v>31.94</v>
      </c>
      <c r="G821">
        <v>0</v>
      </c>
      <c r="H821">
        <v>31.94</v>
      </c>
    </row>
    <row r="822" spans="1:8" x14ac:dyDescent="0.3">
      <c r="A822">
        <v>139</v>
      </c>
      <c r="B822" t="s">
        <v>5892</v>
      </c>
      <c r="C822" s="451">
        <v>45874</v>
      </c>
      <c r="D822" t="s">
        <v>747</v>
      </c>
      <c r="E822" t="s">
        <v>3905</v>
      </c>
      <c r="F822">
        <v>152.80000000000001</v>
      </c>
      <c r="G822">
        <v>0</v>
      </c>
      <c r="H822">
        <v>152.80000000000001</v>
      </c>
    </row>
    <row r="823" spans="1:8" x14ac:dyDescent="0.3">
      <c r="A823">
        <v>139</v>
      </c>
      <c r="B823" t="s">
        <v>5892</v>
      </c>
      <c r="C823" s="451">
        <v>45873</v>
      </c>
      <c r="D823" t="s">
        <v>747</v>
      </c>
      <c r="E823" t="s">
        <v>20</v>
      </c>
      <c r="F823">
        <v>22.96</v>
      </c>
      <c r="G823">
        <v>0</v>
      </c>
      <c r="H823">
        <v>22.96</v>
      </c>
    </row>
    <row r="824" spans="1:8" x14ac:dyDescent="0.3">
      <c r="A824">
        <v>139</v>
      </c>
      <c r="B824" t="s">
        <v>5892</v>
      </c>
      <c r="C824" s="451">
        <v>45873</v>
      </c>
      <c r="D824" t="s">
        <v>747</v>
      </c>
      <c r="E824" t="s">
        <v>3905</v>
      </c>
      <c r="F824">
        <v>155.80000000000001</v>
      </c>
      <c r="G824">
        <v>0</v>
      </c>
      <c r="H824">
        <v>155.80000000000001</v>
      </c>
    </row>
    <row r="825" spans="1:8" x14ac:dyDescent="0.3">
      <c r="A825">
        <v>139</v>
      </c>
      <c r="B825" t="s">
        <v>5892</v>
      </c>
      <c r="C825" s="451">
        <v>45872</v>
      </c>
      <c r="D825" t="s">
        <v>747</v>
      </c>
      <c r="E825" t="s">
        <v>20</v>
      </c>
      <c r="F825">
        <v>81.86</v>
      </c>
      <c r="G825">
        <v>0</v>
      </c>
      <c r="H825">
        <v>81.86</v>
      </c>
    </row>
    <row r="826" spans="1:8" x14ac:dyDescent="0.3">
      <c r="A826">
        <v>139</v>
      </c>
      <c r="B826" t="s">
        <v>5892</v>
      </c>
      <c r="C826" s="451">
        <v>45872</v>
      </c>
      <c r="D826" t="s">
        <v>747</v>
      </c>
      <c r="E826" t="s">
        <v>3905</v>
      </c>
      <c r="F826">
        <v>1218</v>
      </c>
      <c r="G826">
        <v>0</v>
      </c>
      <c r="H826">
        <v>1218</v>
      </c>
    </row>
    <row r="827" spans="1:8" x14ac:dyDescent="0.3">
      <c r="A827">
        <v>139</v>
      </c>
      <c r="B827" t="s">
        <v>5892</v>
      </c>
      <c r="C827" s="451">
        <v>45871</v>
      </c>
      <c r="D827" t="s">
        <v>747</v>
      </c>
      <c r="E827" t="s">
        <v>20</v>
      </c>
      <c r="F827">
        <v>43.94</v>
      </c>
      <c r="G827">
        <v>0</v>
      </c>
      <c r="H827">
        <v>43.94</v>
      </c>
    </row>
    <row r="828" spans="1:8" x14ac:dyDescent="0.3">
      <c r="A828">
        <v>139</v>
      </c>
      <c r="B828" t="s">
        <v>5892</v>
      </c>
      <c r="C828" s="451">
        <v>45871</v>
      </c>
      <c r="D828" t="s">
        <v>747</v>
      </c>
      <c r="E828" t="s">
        <v>3904</v>
      </c>
      <c r="F828">
        <v>8</v>
      </c>
      <c r="G828">
        <v>0</v>
      </c>
      <c r="H828">
        <v>8</v>
      </c>
    </row>
    <row r="829" spans="1:8" x14ac:dyDescent="0.3">
      <c r="A829">
        <v>139</v>
      </c>
      <c r="B829" t="s">
        <v>5892</v>
      </c>
      <c r="C829" s="451">
        <v>45871</v>
      </c>
      <c r="D829" t="s">
        <v>747</v>
      </c>
      <c r="E829" t="s">
        <v>3905</v>
      </c>
      <c r="F829">
        <v>591</v>
      </c>
      <c r="G829">
        <v>0</v>
      </c>
      <c r="H829">
        <v>591</v>
      </c>
    </row>
    <row r="830" spans="1:8" x14ac:dyDescent="0.3">
      <c r="A830">
        <v>139</v>
      </c>
      <c r="B830" t="s">
        <v>5892</v>
      </c>
      <c r="C830" s="451">
        <v>45870</v>
      </c>
      <c r="D830" t="s">
        <v>747</v>
      </c>
      <c r="E830" t="s">
        <v>20</v>
      </c>
      <c r="F830">
        <v>67.900000000000006</v>
      </c>
      <c r="G830">
        <v>0</v>
      </c>
      <c r="H830">
        <v>67.900000000000006</v>
      </c>
    </row>
    <row r="831" spans="1:8" x14ac:dyDescent="0.3">
      <c r="A831">
        <v>139</v>
      </c>
      <c r="B831" t="s">
        <v>5892</v>
      </c>
      <c r="C831" s="451">
        <v>45870</v>
      </c>
      <c r="D831" t="s">
        <v>747</v>
      </c>
      <c r="E831" t="s">
        <v>3905</v>
      </c>
      <c r="F831">
        <v>802.7</v>
      </c>
      <c r="G831">
        <v>0</v>
      </c>
      <c r="H831">
        <v>802.7</v>
      </c>
    </row>
    <row r="832" spans="1:8" x14ac:dyDescent="0.3">
      <c r="A832">
        <v>139</v>
      </c>
      <c r="B832" t="s">
        <v>5892</v>
      </c>
      <c r="C832" s="451">
        <v>45869</v>
      </c>
      <c r="D832" t="s">
        <v>745</v>
      </c>
      <c r="E832" t="s">
        <v>20</v>
      </c>
      <c r="F832">
        <v>42.91</v>
      </c>
      <c r="G832">
        <v>0</v>
      </c>
      <c r="H832">
        <v>42.91</v>
      </c>
    </row>
    <row r="833" spans="1:8" x14ac:dyDescent="0.3">
      <c r="A833">
        <v>139</v>
      </c>
      <c r="B833" t="s">
        <v>5892</v>
      </c>
      <c r="C833" s="451">
        <v>45869</v>
      </c>
      <c r="D833" t="s">
        <v>745</v>
      </c>
      <c r="E833" t="s">
        <v>3905</v>
      </c>
      <c r="F833">
        <v>348.7</v>
      </c>
      <c r="G833">
        <v>0</v>
      </c>
      <c r="H833">
        <v>348.7</v>
      </c>
    </row>
    <row r="834" spans="1:8" x14ac:dyDescent="0.3">
      <c r="A834">
        <v>139</v>
      </c>
      <c r="B834" t="s">
        <v>5892</v>
      </c>
      <c r="C834" s="451">
        <v>45868</v>
      </c>
      <c r="D834" t="s">
        <v>745</v>
      </c>
      <c r="E834" t="s">
        <v>20</v>
      </c>
      <c r="F834">
        <v>23.97</v>
      </c>
      <c r="G834">
        <v>0</v>
      </c>
      <c r="H834">
        <v>23.97</v>
      </c>
    </row>
    <row r="835" spans="1:8" x14ac:dyDescent="0.3">
      <c r="A835">
        <v>139</v>
      </c>
      <c r="B835" t="s">
        <v>5892</v>
      </c>
      <c r="C835" s="451">
        <v>45868</v>
      </c>
      <c r="D835" t="s">
        <v>745</v>
      </c>
      <c r="E835" t="s">
        <v>3905</v>
      </c>
      <c r="F835">
        <v>565.9</v>
      </c>
      <c r="G835">
        <v>0</v>
      </c>
      <c r="H835">
        <v>565.9</v>
      </c>
    </row>
    <row r="836" spans="1:8" x14ac:dyDescent="0.3">
      <c r="A836">
        <v>139</v>
      </c>
      <c r="B836" t="s">
        <v>5892</v>
      </c>
      <c r="C836" s="451">
        <v>45867</v>
      </c>
      <c r="D836" t="s">
        <v>745</v>
      </c>
      <c r="E836" t="s">
        <v>20</v>
      </c>
      <c r="F836">
        <v>46.91</v>
      </c>
      <c r="G836">
        <v>0</v>
      </c>
      <c r="H836">
        <v>46.91</v>
      </c>
    </row>
    <row r="837" spans="1:8" x14ac:dyDescent="0.3">
      <c r="A837">
        <v>139</v>
      </c>
      <c r="B837" t="s">
        <v>5892</v>
      </c>
      <c r="C837" s="451">
        <v>45867</v>
      </c>
      <c r="D837" t="s">
        <v>745</v>
      </c>
      <c r="E837" t="s">
        <v>3905</v>
      </c>
      <c r="F837">
        <v>443.7</v>
      </c>
      <c r="G837">
        <v>0</v>
      </c>
      <c r="H837">
        <v>443.7</v>
      </c>
    </row>
    <row r="838" spans="1:8" x14ac:dyDescent="0.3">
      <c r="A838">
        <v>139</v>
      </c>
      <c r="B838" t="s">
        <v>5892</v>
      </c>
      <c r="C838" s="451">
        <v>45866</v>
      </c>
      <c r="D838" t="s">
        <v>745</v>
      </c>
      <c r="E838" t="s">
        <v>20</v>
      </c>
      <c r="F838">
        <v>31.95</v>
      </c>
      <c r="G838">
        <v>0</v>
      </c>
      <c r="H838">
        <v>31.95</v>
      </c>
    </row>
    <row r="839" spans="1:8" x14ac:dyDescent="0.3">
      <c r="A839">
        <v>139</v>
      </c>
      <c r="B839" t="s">
        <v>5892</v>
      </c>
      <c r="C839" s="451">
        <v>45866</v>
      </c>
      <c r="D839" t="s">
        <v>745</v>
      </c>
      <c r="E839" t="s">
        <v>3905</v>
      </c>
      <c r="F839">
        <v>184.8</v>
      </c>
      <c r="G839">
        <v>0</v>
      </c>
      <c r="H839">
        <v>184.8</v>
      </c>
    </row>
    <row r="840" spans="1:8" x14ac:dyDescent="0.3">
      <c r="A840">
        <v>139</v>
      </c>
      <c r="B840" t="s">
        <v>5892</v>
      </c>
      <c r="C840" s="451">
        <v>45865</v>
      </c>
      <c r="D840" t="s">
        <v>745</v>
      </c>
      <c r="E840" t="s">
        <v>3905</v>
      </c>
      <c r="F840">
        <v>814</v>
      </c>
      <c r="G840">
        <v>0</v>
      </c>
      <c r="H840">
        <v>814</v>
      </c>
    </row>
    <row r="841" spans="1:8" x14ac:dyDescent="0.3">
      <c r="A841">
        <v>139</v>
      </c>
      <c r="B841" t="s">
        <v>5892</v>
      </c>
      <c r="C841" s="451">
        <v>45865</v>
      </c>
      <c r="D841" t="s">
        <v>745</v>
      </c>
      <c r="E841" t="s">
        <v>20</v>
      </c>
      <c r="F841">
        <v>58.91</v>
      </c>
      <c r="G841">
        <v>0</v>
      </c>
      <c r="H841">
        <v>58.91</v>
      </c>
    </row>
    <row r="842" spans="1:8" x14ac:dyDescent="0.3">
      <c r="A842">
        <v>139</v>
      </c>
      <c r="B842" t="s">
        <v>5892</v>
      </c>
      <c r="C842" s="451">
        <v>45865</v>
      </c>
      <c r="D842" t="s">
        <v>745</v>
      </c>
      <c r="E842" t="s">
        <v>3904</v>
      </c>
      <c r="F842">
        <v>8</v>
      </c>
      <c r="G842">
        <v>0</v>
      </c>
      <c r="H842">
        <v>8</v>
      </c>
    </row>
    <row r="843" spans="1:8" x14ac:dyDescent="0.3">
      <c r="A843">
        <v>139</v>
      </c>
      <c r="B843" t="s">
        <v>5892</v>
      </c>
      <c r="C843" s="451">
        <v>45864</v>
      </c>
      <c r="D843" t="s">
        <v>745</v>
      </c>
      <c r="E843" t="s">
        <v>20</v>
      </c>
      <c r="F843">
        <v>89.87</v>
      </c>
      <c r="G843">
        <v>0</v>
      </c>
      <c r="H843">
        <v>89.87</v>
      </c>
    </row>
    <row r="844" spans="1:8" x14ac:dyDescent="0.3">
      <c r="A844">
        <v>139</v>
      </c>
      <c r="B844" t="s">
        <v>5892</v>
      </c>
      <c r="C844" s="451">
        <v>45864</v>
      </c>
      <c r="D844" t="s">
        <v>745</v>
      </c>
      <c r="E844" t="s">
        <v>3905</v>
      </c>
      <c r="F844">
        <v>977</v>
      </c>
      <c r="G844">
        <v>0</v>
      </c>
      <c r="H844">
        <v>977</v>
      </c>
    </row>
    <row r="845" spans="1:8" x14ac:dyDescent="0.3">
      <c r="A845">
        <v>139</v>
      </c>
      <c r="B845" t="s">
        <v>5892</v>
      </c>
      <c r="C845" s="451">
        <v>45863</v>
      </c>
      <c r="D845" t="s">
        <v>745</v>
      </c>
      <c r="E845" t="s">
        <v>20</v>
      </c>
      <c r="F845">
        <v>31.94</v>
      </c>
      <c r="G845">
        <v>0</v>
      </c>
      <c r="H845">
        <v>31.94</v>
      </c>
    </row>
    <row r="846" spans="1:8" x14ac:dyDescent="0.3">
      <c r="A846">
        <v>139</v>
      </c>
      <c r="B846" t="s">
        <v>5892</v>
      </c>
      <c r="C846" s="451">
        <v>45863</v>
      </c>
      <c r="D846" t="s">
        <v>745</v>
      </c>
      <c r="E846" t="s">
        <v>3904</v>
      </c>
      <c r="F846">
        <v>8</v>
      </c>
      <c r="G846">
        <v>0</v>
      </c>
      <c r="H846">
        <v>8</v>
      </c>
    </row>
    <row r="847" spans="1:8" x14ac:dyDescent="0.3">
      <c r="A847">
        <v>139</v>
      </c>
      <c r="B847" t="s">
        <v>5892</v>
      </c>
      <c r="C847" s="451">
        <v>45863</v>
      </c>
      <c r="D847" t="s">
        <v>745</v>
      </c>
      <c r="E847" t="s">
        <v>3905</v>
      </c>
      <c r="F847">
        <v>336.9</v>
      </c>
      <c r="G847">
        <v>0</v>
      </c>
      <c r="H847">
        <v>336.9</v>
      </c>
    </row>
    <row r="848" spans="1:8" x14ac:dyDescent="0.3">
      <c r="A848">
        <v>139</v>
      </c>
      <c r="B848" t="s">
        <v>5892</v>
      </c>
      <c r="C848" s="451">
        <v>45862</v>
      </c>
      <c r="D848" t="s">
        <v>745</v>
      </c>
      <c r="E848" t="s">
        <v>20</v>
      </c>
      <c r="F848">
        <v>62.92</v>
      </c>
      <c r="G848">
        <v>0</v>
      </c>
      <c r="H848">
        <v>62.92</v>
      </c>
    </row>
    <row r="849" spans="1:8" x14ac:dyDescent="0.3">
      <c r="A849">
        <v>139</v>
      </c>
      <c r="B849" t="s">
        <v>5892</v>
      </c>
      <c r="C849" s="451">
        <v>45862</v>
      </c>
      <c r="D849" t="s">
        <v>745</v>
      </c>
      <c r="E849" t="s">
        <v>3905</v>
      </c>
      <c r="F849">
        <v>428.9</v>
      </c>
      <c r="G849">
        <v>0</v>
      </c>
      <c r="H849">
        <v>428.9</v>
      </c>
    </row>
    <row r="850" spans="1:8" x14ac:dyDescent="0.3">
      <c r="A850">
        <v>139</v>
      </c>
      <c r="B850" t="s">
        <v>5892</v>
      </c>
      <c r="C850" s="451">
        <v>45861</v>
      </c>
      <c r="D850" t="s">
        <v>745</v>
      </c>
      <c r="E850" t="s">
        <v>20</v>
      </c>
      <c r="F850">
        <v>54.9</v>
      </c>
      <c r="G850">
        <v>0</v>
      </c>
      <c r="H850">
        <v>54.9</v>
      </c>
    </row>
    <row r="851" spans="1:8" x14ac:dyDescent="0.3">
      <c r="A851">
        <v>139</v>
      </c>
      <c r="B851" t="s">
        <v>5892</v>
      </c>
      <c r="C851" s="451">
        <v>45861</v>
      </c>
      <c r="D851" t="s">
        <v>745</v>
      </c>
      <c r="E851" t="s">
        <v>3905</v>
      </c>
      <c r="F851">
        <v>327.5</v>
      </c>
      <c r="G851">
        <v>0</v>
      </c>
      <c r="H851">
        <v>327.5</v>
      </c>
    </row>
    <row r="852" spans="1:8" x14ac:dyDescent="0.3">
      <c r="A852">
        <v>139</v>
      </c>
      <c r="B852" t="s">
        <v>5892</v>
      </c>
      <c r="C852" s="451">
        <v>45860</v>
      </c>
      <c r="D852" t="s">
        <v>745</v>
      </c>
      <c r="E852" t="s">
        <v>20</v>
      </c>
      <c r="F852">
        <v>10.98</v>
      </c>
      <c r="G852">
        <v>0</v>
      </c>
      <c r="H852">
        <v>10.98</v>
      </c>
    </row>
    <row r="853" spans="1:8" x14ac:dyDescent="0.3">
      <c r="A853">
        <v>139</v>
      </c>
      <c r="B853" t="s">
        <v>5892</v>
      </c>
      <c r="C853" s="451">
        <v>45860</v>
      </c>
      <c r="D853" t="s">
        <v>745</v>
      </c>
      <c r="E853" t="s">
        <v>3905</v>
      </c>
      <c r="F853">
        <v>98</v>
      </c>
      <c r="G853">
        <v>0</v>
      </c>
      <c r="H853">
        <v>98</v>
      </c>
    </row>
    <row r="854" spans="1:8" x14ac:dyDescent="0.3">
      <c r="A854">
        <v>139</v>
      </c>
      <c r="B854" t="s">
        <v>5892</v>
      </c>
      <c r="C854" s="451">
        <v>45859</v>
      </c>
      <c r="D854" t="s">
        <v>745</v>
      </c>
      <c r="E854" t="s">
        <v>20</v>
      </c>
      <c r="F854">
        <v>24.96</v>
      </c>
      <c r="G854">
        <v>0</v>
      </c>
      <c r="H854">
        <v>24.96</v>
      </c>
    </row>
    <row r="855" spans="1:8" x14ac:dyDescent="0.3">
      <c r="A855">
        <v>139</v>
      </c>
      <c r="B855" t="s">
        <v>5892</v>
      </c>
      <c r="C855" s="451">
        <v>45859</v>
      </c>
      <c r="D855" t="s">
        <v>745</v>
      </c>
      <c r="E855" t="s">
        <v>3905</v>
      </c>
      <c r="F855">
        <v>231.8</v>
      </c>
      <c r="G855">
        <v>0</v>
      </c>
      <c r="H855">
        <v>231.8</v>
      </c>
    </row>
    <row r="856" spans="1:8" x14ac:dyDescent="0.3">
      <c r="A856">
        <v>139</v>
      </c>
      <c r="B856" t="s">
        <v>5892</v>
      </c>
      <c r="C856" s="451">
        <v>45858</v>
      </c>
      <c r="D856" t="s">
        <v>745</v>
      </c>
      <c r="E856" t="s">
        <v>20</v>
      </c>
      <c r="F856">
        <v>35.94</v>
      </c>
      <c r="G856">
        <v>0</v>
      </c>
      <c r="H856">
        <v>35.94</v>
      </c>
    </row>
    <row r="857" spans="1:8" x14ac:dyDescent="0.3">
      <c r="A857">
        <v>139</v>
      </c>
      <c r="B857" t="s">
        <v>5892</v>
      </c>
      <c r="C857" s="451">
        <v>45858</v>
      </c>
      <c r="D857" t="s">
        <v>745</v>
      </c>
      <c r="E857" t="s">
        <v>3905</v>
      </c>
      <c r="F857">
        <v>553</v>
      </c>
      <c r="G857">
        <v>0</v>
      </c>
      <c r="H857">
        <v>553</v>
      </c>
    </row>
    <row r="858" spans="1:8" x14ac:dyDescent="0.3">
      <c r="A858">
        <v>139</v>
      </c>
      <c r="B858" t="s">
        <v>5892</v>
      </c>
      <c r="C858" s="451">
        <v>45857</v>
      </c>
      <c r="D858" t="s">
        <v>745</v>
      </c>
      <c r="E858" t="s">
        <v>3905</v>
      </c>
      <c r="F858">
        <v>1235</v>
      </c>
      <c r="G858">
        <v>0</v>
      </c>
      <c r="H858">
        <v>1235</v>
      </c>
    </row>
    <row r="859" spans="1:8" x14ac:dyDescent="0.3">
      <c r="A859">
        <v>139</v>
      </c>
      <c r="B859" t="s">
        <v>5892</v>
      </c>
      <c r="C859" s="451">
        <v>45857</v>
      </c>
      <c r="D859" t="s">
        <v>745</v>
      </c>
      <c r="E859" t="s">
        <v>20</v>
      </c>
      <c r="F859">
        <v>72.88</v>
      </c>
      <c r="G859">
        <v>0</v>
      </c>
      <c r="H859">
        <v>72.88</v>
      </c>
    </row>
    <row r="860" spans="1:8" x14ac:dyDescent="0.3">
      <c r="A860">
        <v>139</v>
      </c>
      <c r="B860" t="s">
        <v>5892</v>
      </c>
      <c r="C860" s="451">
        <v>45856</v>
      </c>
      <c r="D860" t="s">
        <v>745</v>
      </c>
      <c r="E860" t="s">
        <v>20</v>
      </c>
      <c r="F860">
        <v>40.94</v>
      </c>
      <c r="G860">
        <v>0</v>
      </c>
      <c r="H860">
        <v>40.94</v>
      </c>
    </row>
    <row r="861" spans="1:8" x14ac:dyDescent="0.3">
      <c r="A861">
        <v>139</v>
      </c>
      <c r="B861" t="s">
        <v>5892</v>
      </c>
      <c r="C861" s="451">
        <v>45856</v>
      </c>
      <c r="D861" t="s">
        <v>745</v>
      </c>
      <c r="E861" t="s">
        <v>3905</v>
      </c>
      <c r="F861">
        <v>179.6</v>
      </c>
      <c r="G861">
        <v>0</v>
      </c>
      <c r="H861">
        <v>179.6</v>
      </c>
    </row>
    <row r="862" spans="1:8" x14ac:dyDescent="0.3">
      <c r="A862">
        <v>139</v>
      </c>
      <c r="B862" t="s">
        <v>5892</v>
      </c>
      <c r="C862" s="451">
        <v>45855</v>
      </c>
      <c r="D862" t="s">
        <v>745</v>
      </c>
      <c r="E862" t="s">
        <v>20</v>
      </c>
      <c r="F862">
        <v>68.900000000000006</v>
      </c>
      <c r="G862">
        <v>0</v>
      </c>
      <c r="H862">
        <v>68.900000000000006</v>
      </c>
    </row>
    <row r="863" spans="1:8" x14ac:dyDescent="0.3">
      <c r="A863">
        <v>139</v>
      </c>
      <c r="B863" t="s">
        <v>5892</v>
      </c>
      <c r="C863" s="451">
        <v>45855</v>
      </c>
      <c r="D863" t="s">
        <v>745</v>
      </c>
      <c r="E863" t="s">
        <v>3905</v>
      </c>
      <c r="F863">
        <v>670.7</v>
      </c>
      <c r="G863">
        <v>0</v>
      </c>
      <c r="H863">
        <v>670.7</v>
      </c>
    </row>
    <row r="864" spans="1:8" x14ac:dyDescent="0.3">
      <c r="A864">
        <v>139</v>
      </c>
      <c r="B864" t="s">
        <v>5892</v>
      </c>
      <c r="C864" s="451">
        <v>45853</v>
      </c>
      <c r="D864" t="s">
        <v>745</v>
      </c>
      <c r="E864" t="s">
        <v>3905</v>
      </c>
      <c r="F864">
        <v>334.6</v>
      </c>
      <c r="G864">
        <v>0</v>
      </c>
      <c r="H864">
        <v>334.6</v>
      </c>
    </row>
    <row r="865" spans="1:8" x14ac:dyDescent="0.3">
      <c r="A865">
        <v>139</v>
      </c>
      <c r="B865" t="s">
        <v>5892</v>
      </c>
      <c r="C865" s="451">
        <v>45853</v>
      </c>
      <c r="D865" t="s">
        <v>745</v>
      </c>
      <c r="E865" t="s">
        <v>3904</v>
      </c>
      <c r="F865">
        <v>16</v>
      </c>
      <c r="G865">
        <v>0</v>
      </c>
      <c r="H865">
        <v>16</v>
      </c>
    </row>
    <row r="866" spans="1:8" x14ac:dyDescent="0.3">
      <c r="A866">
        <v>139</v>
      </c>
      <c r="B866" t="s">
        <v>5892</v>
      </c>
      <c r="C866" s="451">
        <v>45853</v>
      </c>
      <c r="D866" t="s">
        <v>745</v>
      </c>
      <c r="E866" t="s">
        <v>20</v>
      </c>
      <c r="F866">
        <v>59.9</v>
      </c>
      <c r="G866">
        <v>0</v>
      </c>
      <c r="H866">
        <v>59.9</v>
      </c>
    </row>
    <row r="867" spans="1:8" x14ac:dyDescent="0.3">
      <c r="A867">
        <v>139</v>
      </c>
      <c r="B867" t="s">
        <v>5892</v>
      </c>
      <c r="C867" s="451">
        <v>45852</v>
      </c>
      <c r="D867" t="s">
        <v>745</v>
      </c>
      <c r="E867" t="s">
        <v>20</v>
      </c>
      <c r="F867">
        <v>74.86</v>
      </c>
      <c r="G867">
        <v>0</v>
      </c>
      <c r="H867">
        <v>74.86</v>
      </c>
    </row>
    <row r="868" spans="1:8" x14ac:dyDescent="0.3">
      <c r="A868">
        <v>139</v>
      </c>
      <c r="B868" t="s">
        <v>5892</v>
      </c>
      <c r="C868" s="451">
        <v>45852</v>
      </c>
      <c r="D868" t="s">
        <v>745</v>
      </c>
      <c r="E868" t="s">
        <v>3905</v>
      </c>
      <c r="F868">
        <v>582.1</v>
      </c>
      <c r="G868">
        <v>0</v>
      </c>
      <c r="H868">
        <v>582.1</v>
      </c>
    </row>
    <row r="869" spans="1:8" x14ac:dyDescent="0.3">
      <c r="A869">
        <v>139</v>
      </c>
      <c r="B869" t="s">
        <v>5892</v>
      </c>
      <c r="C869" s="451">
        <v>45852</v>
      </c>
      <c r="D869" t="s">
        <v>745</v>
      </c>
      <c r="E869" t="s">
        <v>3904</v>
      </c>
      <c r="F869">
        <v>8</v>
      </c>
      <c r="G869">
        <v>0</v>
      </c>
      <c r="H869">
        <v>8</v>
      </c>
    </row>
    <row r="870" spans="1:8" x14ac:dyDescent="0.3">
      <c r="A870">
        <v>139</v>
      </c>
      <c r="B870" t="s">
        <v>5892</v>
      </c>
      <c r="C870" s="451">
        <v>45851</v>
      </c>
      <c r="D870" t="s">
        <v>745</v>
      </c>
      <c r="E870" t="s">
        <v>20</v>
      </c>
      <c r="F870">
        <v>78.89</v>
      </c>
      <c r="G870">
        <v>0</v>
      </c>
      <c r="H870">
        <v>78.89</v>
      </c>
    </row>
    <row r="871" spans="1:8" x14ac:dyDescent="0.3">
      <c r="A871">
        <v>139</v>
      </c>
      <c r="B871" t="s">
        <v>5892</v>
      </c>
      <c r="C871" s="451">
        <v>45851</v>
      </c>
      <c r="D871" t="s">
        <v>745</v>
      </c>
      <c r="E871" t="s">
        <v>3905</v>
      </c>
      <c r="F871">
        <v>1045</v>
      </c>
      <c r="G871">
        <v>0</v>
      </c>
      <c r="H871">
        <v>1045</v>
      </c>
    </row>
    <row r="872" spans="1:8" x14ac:dyDescent="0.3">
      <c r="A872">
        <v>139</v>
      </c>
      <c r="B872" t="s">
        <v>5892</v>
      </c>
      <c r="C872" s="451">
        <v>45851</v>
      </c>
      <c r="D872" t="s">
        <v>745</v>
      </c>
      <c r="E872" t="s">
        <v>3904</v>
      </c>
      <c r="F872">
        <v>24</v>
      </c>
      <c r="G872">
        <v>0</v>
      </c>
      <c r="H872">
        <v>24</v>
      </c>
    </row>
    <row r="873" spans="1:8" x14ac:dyDescent="0.3">
      <c r="A873">
        <v>139</v>
      </c>
      <c r="B873" t="s">
        <v>5892</v>
      </c>
      <c r="C873" s="451">
        <v>45850</v>
      </c>
      <c r="D873" t="s">
        <v>745</v>
      </c>
      <c r="E873" t="s">
        <v>20</v>
      </c>
      <c r="F873">
        <v>31.95</v>
      </c>
      <c r="G873">
        <v>0</v>
      </c>
      <c r="H873">
        <v>31.95</v>
      </c>
    </row>
    <row r="874" spans="1:8" x14ac:dyDescent="0.3">
      <c r="A874">
        <v>139</v>
      </c>
      <c r="B874" t="s">
        <v>5892</v>
      </c>
      <c r="C874" s="451">
        <v>45850</v>
      </c>
      <c r="D874" t="s">
        <v>745</v>
      </c>
      <c r="E874" t="s">
        <v>3905</v>
      </c>
      <c r="F874">
        <v>473</v>
      </c>
      <c r="G874">
        <v>0</v>
      </c>
      <c r="H874">
        <v>473</v>
      </c>
    </row>
    <row r="875" spans="1:8" x14ac:dyDescent="0.3">
      <c r="A875">
        <v>139</v>
      </c>
      <c r="B875" t="s">
        <v>5892</v>
      </c>
      <c r="C875" s="451">
        <v>45849</v>
      </c>
      <c r="D875" t="s">
        <v>745</v>
      </c>
      <c r="E875" t="s">
        <v>3905</v>
      </c>
      <c r="F875">
        <v>572.70000000000005</v>
      </c>
      <c r="G875">
        <v>0</v>
      </c>
      <c r="H875">
        <v>572.70000000000005</v>
      </c>
    </row>
    <row r="876" spans="1:8" x14ac:dyDescent="0.3">
      <c r="A876">
        <v>139</v>
      </c>
      <c r="B876" t="s">
        <v>5892</v>
      </c>
      <c r="C876" s="451">
        <v>45849</v>
      </c>
      <c r="D876" t="s">
        <v>745</v>
      </c>
      <c r="E876" t="s">
        <v>20</v>
      </c>
      <c r="F876">
        <v>74.92</v>
      </c>
      <c r="G876">
        <v>0</v>
      </c>
      <c r="H876">
        <v>74.92</v>
      </c>
    </row>
    <row r="877" spans="1:8" x14ac:dyDescent="0.3">
      <c r="A877">
        <v>139</v>
      </c>
      <c r="B877" t="s">
        <v>5892</v>
      </c>
      <c r="C877" s="451">
        <v>45848</v>
      </c>
      <c r="D877" t="s">
        <v>745</v>
      </c>
      <c r="E877" t="s">
        <v>3905</v>
      </c>
      <c r="F877">
        <v>437.8</v>
      </c>
      <c r="G877">
        <v>0</v>
      </c>
      <c r="H877">
        <v>437.8</v>
      </c>
    </row>
    <row r="878" spans="1:8" x14ac:dyDescent="0.3">
      <c r="A878">
        <v>139</v>
      </c>
      <c r="B878" t="s">
        <v>5892</v>
      </c>
      <c r="C878" s="451">
        <v>45848</v>
      </c>
      <c r="D878" t="s">
        <v>745</v>
      </c>
      <c r="E878" t="s">
        <v>20</v>
      </c>
      <c r="F878">
        <v>61.88</v>
      </c>
      <c r="G878">
        <v>0</v>
      </c>
      <c r="H878">
        <v>61.88</v>
      </c>
    </row>
    <row r="879" spans="1:8" x14ac:dyDescent="0.3">
      <c r="A879">
        <v>139</v>
      </c>
      <c r="B879" t="s">
        <v>5892</v>
      </c>
      <c r="C879" s="451">
        <v>45847</v>
      </c>
      <c r="D879" t="s">
        <v>745</v>
      </c>
      <c r="E879" t="s">
        <v>20</v>
      </c>
      <c r="F879">
        <v>81.900000000000006</v>
      </c>
      <c r="G879">
        <v>0</v>
      </c>
      <c r="H879">
        <v>81.900000000000006</v>
      </c>
    </row>
    <row r="880" spans="1:8" x14ac:dyDescent="0.3">
      <c r="A880">
        <v>139</v>
      </c>
      <c r="B880" t="s">
        <v>5892</v>
      </c>
      <c r="C880" s="451">
        <v>45847</v>
      </c>
      <c r="D880" t="s">
        <v>745</v>
      </c>
      <c r="E880" t="s">
        <v>3905</v>
      </c>
      <c r="F880">
        <v>656.9</v>
      </c>
      <c r="G880">
        <v>0</v>
      </c>
      <c r="H880">
        <v>656.9</v>
      </c>
    </row>
    <row r="881" spans="1:8" x14ac:dyDescent="0.3">
      <c r="A881">
        <v>139</v>
      </c>
      <c r="B881" t="s">
        <v>5892</v>
      </c>
      <c r="C881" s="451">
        <v>45846</v>
      </c>
      <c r="D881" t="s">
        <v>745</v>
      </c>
      <c r="E881" t="s">
        <v>3905</v>
      </c>
      <c r="F881">
        <v>514.6</v>
      </c>
      <c r="G881">
        <v>0</v>
      </c>
      <c r="H881">
        <v>514.6</v>
      </c>
    </row>
    <row r="882" spans="1:8" x14ac:dyDescent="0.3">
      <c r="A882">
        <v>139</v>
      </c>
      <c r="B882" t="s">
        <v>5892</v>
      </c>
      <c r="C882" s="451">
        <v>45846</v>
      </c>
      <c r="D882" t="s">
        <v>745</v>
      </c>
      <c r="E882" t="s">
        <v>20</v>
      </c>
      <c r="F882">
        <v>71.87</v>
      </c>
      <c r="G882">
        <v>0</v>
      </c>
      <c r="H882">
        <v>71.87</v>
      </c>
    </row>
    <row r="883" spans="1:8" x14ac:dyDescent="0.3">
      <c r="A883">
        <v>139</v>
      </c>
      <c r="B883" t="s">
        <v>5892</v>
      </c>
      <c r="C883" s="451">
        <v>45846</v>
      </c>
      <c r="D883" t="s">
        <v>745</v>
      </c>
      <c r="E883" t="s">
        <v>3904</v>
      </c>
      <c r="F883">
        <v>8</v>
      </c>
      <c r="G883">
        <v>0</v>
      </c>
      <c r="H883">
        <v>8</v>
      </c>
    </row>
    <row r="884" spans="1:8" x14ac:dyDescent="0.3">
      <c r="A884">
        <v>139</v>
      </c>
      <c r="B884" t="s">
        <v>5892</v>
      </c>
      <c r="C884" s="451">
        <v>45845</v>
      </c>
      <c r="D884" t="s">
        <v>745</v>
      </c>
      <c r="E884" t="s">
        <v>20</v>
      </c>
      <c r="F884">
        <v>35.92</v>
      </c>
      <c r="G884">
        <v>0</v>
      </c>
      <c r="H884">
        <v>35.92</v>
      </c>
    </row>
    <row r="885" spans="1:8" x14ac:dyDescent="0.3">
      <c r="A885">
        <v>139</v>
      </c>
      <c r="B885" t="s">
        <v>5892</v>
      </c>
      <c r="C885" s="451">
        <v>45845</v>
      </c>
      <c r="D885" t="s">
        <v>745</v>
      </c>
      <c r="E885" t="s">
        <v>3905</v>
      </c>
      <c r="F885">
        <v>282.7</v>
      </c>
      <c r="G885">
        <v>0</v>
      </c>
      <c r="H885">
        <v>282.7</v>
      </c>
    </row>
    <row r="886" spans="1:8" x14ac:dyDescent="0.3">
      <c r="A886">
        <v>139</v>
      </c>
      <c r="B886" t="s">
        <v>5892</v>
      </c>
      <c r="C886" s="451">
        <v>45844</v>
      </c>
      <c r="D886" t="s">
        <v>745</v>
      </c>
      <c r="E886" t="s">
        <v>3905</v>
      </c>
      <c r="F886">
        <v>734</v>
      </c>
      <c r="G886">
        <v>0</v>
      </c>
      <c r="H886">
        <v>734</v>
      </c>
    </row>
    <row r="887" spans="1:8" x14ac:dyDescent="0.3">
      <c r="A887">
        <v>139</v>
      </c>
      <c r="B887" t="s">
        <v>5892</v>
      </c>
      <c r="C887" s="451">
        <v>45844</v>
      </c>
      <c r="D887" t="s">
        <v>745</v>
      </c>
      <c r="E887" t="s">
        <v>3904</v>
      </c>
      <c r="F887">
        <v>16</v>
      </c>
      <c r="G887">
        <v>0</v>
      </c>
      <c r="H887">
        <v>16</v>
      </c>
    </row>
    <row r="888" spans="1:8" x14ac:dyDescent="0.3">
      <c r="A888">
        <v>139</v>
      </c>
      <c r="B888" t="s">
        <v>5892</v>
      </c>
      <c r="C888" s="451">
        <v>45844</v>
      </c>
      <c r="D888" t="s">
        <v>745</v>
      </c>
      <c r="E888" t="s">
        <v>20</v>
      </c>
      <c r="F888">
        <v>69.900000000000006</v>
      </c>
      <c r="G888">
        <v>0</v>
      </c>
      <c r="H888">
        <v>69.900000000000006</v>
      </c>
    </row>
    <row r="889" spans="1:8" x14ac:dyDescent="0.3">
      <c r="A889">
        <v>139</v>
      </c>
      <c r="B889" t="s">
        <v>5892</v>
      </c>
      <c r="C889" s="451">
        <v>45843</v>
      </c>
      <c r="D889" t="s">
        <v>745</v>
      </c>
      <c r="E889" t="s">
        <v>20</v>
      </c>
      <c r="F889">
        <v>98.87</v>
      </c>
      <c r="G889">
        <v>0</v>
      </c>
      <c r="H889">
        <v>98.87</v>
      </c>
    </row>
    <row r="890" spans="1:8" x14ac:dyDescent="0.3">
      <c r="A890">
        <v>139</v>
      </c>
      <c r="B890" t="s">
        <v>5892</v>
      </c>
      <c r="C890" s="451">
        <v>45843</v>
      </c>
      <c r="D890" t="s">
        <v>745</v>
      </c>
      <c r="E890" t="s">
        <v>3905</v>
      </c>
      <c r="F890">
        <v>1163</v>
      </c>
      <c r="G890">
        <v>0</v>
      </c>
      <c r="H890">
        <v>1163</v>
      </c>
    </row>
    <row r="891" spans="1:8" x14ac:dyDescent="0.3">
      <c r="A891">
        <v>139</v>
      </c>
      <c r="B891" t="s">
        <v>5892</v>
      </c>
      <c r="C891" s="451">
        <v>45842</v>
      </c>
      <c r="D891" t="s">
        <v>745</v>
      </c>
      <c r="E891" t="s">
        <v>20</v>
      </c>
      <c r="F891">
        <v>48.92</v>
      </c>
      <c r="G891">
        <v>0</v>
      </c>
      <c r="H891">
        <v>48.92</v>
      </c>
    </row>
    <row r="892" spans="1:8" x14ac:dyDescent="0.3">
      <c r="A892">
        <v>139</v>
      </c>
      <c r="B892" t="s">
        <v>5892</v>
      </c>
      <c r="C892" s="451">
        <v>45842</v>
      </c>
      <c r="D892" t="s">
        <v>745</v>
      </c>
      <c r="E892" t="s">
        <v>3905</v>
      </c>
      <c r="F892">
        <v>579.79999999999995</v>
      </c>
      <c r="G892">
        <v>0</v>
      </c>
      <c r="H892">
        <v>579.79999999999995</v>
      </c>
    </row>
    <row r="893" spans="1:8" x14ac:dyDescent="0.3">
      <c r="A893">
        <v>139</v>
      </c>
      <c r="B893" t="s">
        <v>5892</v>
      </c>
      <c r="C893" s="451">
        <v>45842</v>
      </c>
      <c r="D893" t="s">
        <v>745</v>
      </c>
      <c r="E893" t="s">
        <v>3904</v>
      </c>
      <c r="F893">
        <v>24</v>
      </c>
      <c r="G893">
        <v>0</v>
      </c>
      <c r="H893">
        <v>24</v>
      </c>
    </row>
    <row r="894" spans="1:8" x14ac:dyDescent="0.3">
      <c r="A894">
        <v>139</v>
      </c>
      <c r="B894" t="s">
        <v>5892</v>
      </c>
      <c r="C894" s="451">
        <v>45841</v>
      </c>
      <c r="D894" t="s">
        <v>745</v>
      </c>
      <c r="E894" t="s">
        <v>3905</v>
      </c>
      <c r="F894">
        <v>820.8</v>
      </c>
      <c r="G894">
        <v>0</v>
      </c>
      <c r="H894">
        <v>820.8</v>
      </c>
    </row>
    <row r="895" spans="1:8" x14ac:dyDescent="0.3">
      <c r="A895">
        <v>139</v>
      </c>
      <c r="B895" t="s">
        <v>5892</v>
      </c>
      <c r="C895" s="451">
        <v>45841</v>
      </c>
      <c r="D895" t="s">
        <v>745</v>
      </c>
      <c r="E895" t="s">
        <v>20</v>
      </c>
      <c r="F895">
        <v>74.89</v>
      </c>
      <c r="G895">
        <v>0</v>
      </c>
      <c r="H895">
        <v>74.89</v>
      </c>
    </row>
    <row r="896" spans="1:8" x14ac:dyDescent="0.3">
      <c r="A896">
        <v>139</v>
      </c>
      <c r="B896" t="s">
        <v>5892</v>
      </c>
      <c r="C896" s="451">
        <v>45841</v>
      </c>
      <c r="D896" t="s">
        <v>745</v>
      </c>
      <c r="E896" t="s">
        <v>3904</v>
      </c>
      <c r="F896">
        <v>16</v>
      </c>
      <c r="G896">
        <v>0</v>
      </c>
      <c r="H896">
        <v>16</v>
      </c>
    </row>
    <row r="897" spans="1:8" x14ac:dyDescent="0.3">
      <c r="A897">
        <v>139</v>
      </c>
      <c r="B897" t="s">
        <v>5892</v>
      </c>
      <c r="C897" s="451">
        <v>45840</v>
      </c>
      <c r="D897" t="s">
        <v>745</v>
      </c>
      <c r="E897" t="s">
        <v>20</v>
      </c>
      <c r="F897">
        <v>76.89</v>
      </c>
      <c r="G897">
        <v>0</v>
      </c>
      <c r="H897">
        <v>76.89</v>
      </c>
    </row>
    <row r="898" spans="1:8" x14ac:dyDescent="0.3">
      <c r="A898">
        <v>139</v>
      </c>
      <c r="B898" t="s">
        <v>5892</v>
      </c>
      <c r="C898" s="451">
        <v>45840</v>
      </c>
      <c r="D898" t="s">
        <v>745</v>
      </c>
      <c r="E898" t="s">
        <v>3905</v>
      </c>
      <c r="F898">
        <v>928.8</v>
      </c>
      <c r="G898">
        <v>0</v>
      </c>
      <c r="H898">
        <v>928.8</v>
      </c>
    </row>
    <row r="899" spans="1:8" x14ac:dyDescent="0.3">
      <c r="A899">
        <v>139</v>
      </c>
      <c r="B899" t="s">
        <v>5892</v>
      </c>
      <c r="C899" s="451">
        <v>45840</v>
      </c>
      <c r="D899" t="s">
        <v>745</v>
      </c>
      <c r="E899" t="s">
        <v>3904</v>
      </c>
      <c r="F899">
        <v>8</v>
      </c>
      <c r="G899">
        <v>0</v>
      </c>
      <c r="H899">
        <v>8</v>
      </c>
    </row>
    <row r="900" spans="1:8" x14ac:dyDescent="0.3">
      <c r="A900">
        <v>139</v>
      </c>
      <c r="B900" t="s">
        <v>5892</v>
      </c>
      <c r="C900" s="451">
        <v>45838</v>
      </c>
      <c r="D900" t="s">
        <v>743</v>
      </c>
      <c r="E900" t="s">
        <v>20</v>
      </c>
      <c r="F900">
        <v>12.98</v>
      </c>
      <c r="G900">
        <v>0</v>
      </c>
      <c r="H900">
        <v>12.98</v>
      </c>
    </row>
    <row r="901" spans="1:8" x14ac:dyDescent="0.3">
      <c r="A901">
        <v>139</v>
      </c>
      <c r="B901" t="s">
        <v>5892</v>
      </c>
      <c r="C901" s="451">
        <v>45838</v>
      </c>
      <c r="D901" t="s">
        <v>743</v>
      </c>
      <c r="E901" t="s">
        <v>3905</v>
      </c>
      <c r="F901">
        <v>129.69999999999999</v>
      </c>
      <c r="G901">
        <v>0</v>
      </c>
      <c r="H901">
        <v>129.69999999999999</v>
      </c>
    </row>
    <row r="902" spans="1:8" x14ac:dyDescent="0.3">
      <c r="A902">
        <v>139</v>
      </c>
      <c r="B902" t="s">
        <v>5892</v>
      </c>
      <c r="C902" s="451">
        <v>45837</v>
      </c>
      <c r="D902" t="s">
        <v>743</v>
      </c>
      <c r="E902" t="s">
        <v>3905</v>
      </c>
      <c r="F902">
        <v>847</v>
      </c>
      <c r="G902">
        <v>0</v>
      </c>
      <c r="H902">
        <v>847</v>
      </c>
    </row>
    <row r="903" spans="1:8" x14ac:dyDescent="0.3">
      <c r="A903">
        <v>139</v>
      </c>
      <c r="B903" t="s">
        <v>5892</v>
      </c>
      <c r="C903" s="451">
        <v>45837</v>
      </c>
      <c r="D903" t="s">
        <v>743</v>
      </c>
      <c r="E903" t="s">
        <v>20</v>
      </c>
      <c r="F903">
        <v>94.88</v>
      </c>
      <c r="G903">
        <v>0</v>
      </c>
      <c r="H903">
        <v>94.88</v>
      </c>
    </row>
    <row r="904" spans="1:8" x14ac:dyDescent="0.3">
      <c r="A904">
        <v>139</v>
      </c>
      <c r="B904" t="s">
        <v>5892</v>
      </c>
      <c r="C904" s="451">
        <v>45837</v>
      </c>
      <c r="D904" t="s">
        <v>743</v>
      </c>
      <c r="E904" t="s">
        <v>3904</v>
      </c>
      <c r="F904">
        <v>16</v>
      </c>
      <c r="G904">
        <v>0</v>
      </c>
      <c r="H904">
        <v>16</v>
      </c>
    </row>
    <row r="905" spans="1:8" x14ac:dyDescent="0.3">
      <c r="A905">
        <v>139</v>
      </c>
      <c r="B905" t="s">
        <v>5892</v>
      </c>
      <c r="C905" s="451">
        <v>45836</v>
      </c>
      <c r="D905" t="s">
        <v>743</v>
      </c>
      <c r="E905" t="s">
        <v>3905</v>
      </c>
      <c r="F905">
        <v>1320</v>
      </c>
      <c r="G905">
        <v>0</v>
      </c>
      <c r="H905">
        <v>1320</v>
      </c>
    </row>
    <row r="906" spans="1:8" x14ac:dyDescent="0.3">
      <c r="A906">
        <v>139</v>
      </c>
      <c r="B906" t="s">
        <v>5892</v>
      </c>
      <c r="C906" s="451">
        <v>45836</v>
      </c>
      <c r="D906" t="s">
        <v>743</v>
      </c>
      <c r="E906" t="s">
        <v>20</v>
      </c>
      <c r="F906">
        <v>122.84</v>
      </c>
      <c r="G906">
        <v>0</v>
      </c>
      <c r="H906">
        <v>122.84</v>
      </c>
    </row>
    <row r="907" spans="1:8" x14ac:dyDescent="0.3">
      <c r="A907">
        <v>139</v>
      </c>
      <c r="B907" t="s">
        <v>5892</v>
      </c>
      <c r="C907" s="451">
        <v>45836</v>
      </c>
      <c r="D907" t="s">
        <v>743</v>
      </c>
      <c r="E907" t="s">
        <v>3904</v>
      </c>
      <c r="F907">
        <v>8</v>
      </c>
      <c r="G907">
        <v>0</v>
      </c>
      <c r="H907">
        <v>8</v>
      </c>
    </row>
    <row r="908" spans="1:8" x14ac:dyDescent="0.3">
      <c r="A908">
        <v>139</v>
      </c>
      <c r="B908" t="s">
        <v>5892</v>
      </c>
      <c r="C908" s="451">
        <v>45835</v>
      </c>
      <c r="D908" t="s">
        <v>743</v>
      </c>
      <c r="E908" t="s">
        <v>20</v>
      </c>
      <c r="F908">
        <v>65.930000000000007</v>
      </c>
      <c r="G908">
        <v>0</v>
      </c>
      <c r="H908">
        <v>65.930000000000007</v>
      </c>
    </row>
    <row r="909" spans="1:8" x14ac:dyDescent="0.3">
      <c r="A909">
        <v>139</v>
      </c>
      <c r="B909" t="s">
        <v>5892</v>
      </c>
      <c r="C909" s="451">
        <v>45835</v>
      </c>
      <c r="D909" t="s">
        <v>743</v>
      </c>
      <c r="E909" t="s">
        <v>3905</v>
      </c>
      <c r="F909">
        <v>393.7</v>
      </c>
      <c r="G909">
        <v>0</v>
      </c>
      <c r="H909">
        <v>393.7</v>
      </c>
    </row>
    <row r="910" spans="1:8" x14ac:dyDescent="0.3">
      <c r="A910">
        <v>139</v>
      </c>
      <c r="B910" t="s">
        <v>5892</v>
      </c>
      <c r="C910" s="451">
        <v>45834</v>
      </c>
      <c r="D910" t="s">
        <v>743</v>
      </c>
      <c r="E910" t="s">
        <v>20</v>
      </c>
      <c r="F910">
        <v>33.94</v>
      </c>
      <c r="G910">
        <v>0</v>
      </c>
      <c r="H910">
        <v>33.94</v>
      </c>
    </row>
    <row r="911" spans="1:8" x14ac:dyDescent="0.3">
      <c r="A911">
        <v>139</v>
      </c>
      <c r="B911" t="s">
        <v>5892</v>
      </c>
      <c r="C911" s="451">
        <v>45834</v>
      </c>
      <c r="D911" t="s">
        <v>743</v>
      </c>
      <c r="E911" t="s">
        <v>3905</v>
      </c>
      <c r="F911">
        <v>208.9</v>
      </c>
      <c r="G911">
        <v>0</v>
      </c>
      <c r="H911">
        <v>208.9</v>
      </c>
    </row>
    <row r="912" spans="1:8" x14ac:dyDescent="0.3">
      <c r="A912">
        <v>139</v>
      </c>
      <c r="B912" t="s">
        <v>5892</v>
      </c>
      <c r="C912" s="451">
        <v>45833</v>
      </c>
      <c r="D912" t="s">
        <v>743</v>
      </c>
      <c r="E912" t="s">
        <v>20</v>
      </c>
      <c r="F912">
        <v>19.96</v>
      </c>
      <c r="G912">
        <v>0</v>
      </c>
      <c r="H912">
        <v>19.96</v>
      </c>
    </row>
    <row r="913" spans="1:8" x14ac:dyDescent="0.3">
      <c r="A913">
        <v>139</v>
      </c>
      <c r="B913" t="s">
        <v>5892</v>
      </c>
      <c r="C913" s="451">
        <v>45833</v>
      </c>
      <c r="D913" t="s">
        <v>743</v>
      </c>
      <c r="E913" t="s">
        <v>3905</v>
      </c>
      <c r="F913">
        <v>180.9</v>
      </c>
      <c r="G913">
        <v>0</v>
      </c>
      <c r="H913">
        <v>180.9</v>
      </c>
    </row>
    <row r="914" spans="1:8" x14ac:dyDescent="0.3">
      <c r="A914">
        <v>139</v>
      </c>
      <c r="B914" t="s">
        <v>5892</v>
      </c>
      <c r="C914" s="451">
        <v>45832</v>
      </c>
      <c r="D914" t="s">
        <v>743</v>
      </c>
      <c r="E914" t="s">
        <v>3905</v>
      </c>
      <c r="F914">
        <v>782.8</v>
      </c>
      <c r="G914">
        <v>0</v>
      </c>
      <c r="H914">
        <v>782.8</v>
      </c>
    </row>
    <row r="915" spans="1:8" x14ac:dyDescent="0.3">
      <c r="A915">
        <v>139</v>
      </c>
      <c r="B915" t="s">
        <v>5892</v>
      </c>
      <c r="C915" s="451">
        <v>45832</v>
      </c>
      <c r="D915" t="s">
        <v>743</v>
      </c>
      <c r="E915" t="s">
        <v>20</v>
      </c>
      <c r="F915">
        <v>44.92</v>
      </c>
      <c r="G915">
        <v>0</v>
      </c>
      <c r="H915">
        <v>44.92</v>
      </c>
    </row>
    <row r="916" spans="1:8" x14ac:dyDescent="0.3">
      <c r="A916">
        <v>139</v>
      </c>
      <c r="B916" t="s">
        <v>5892</v>
      </c>
      <c r="C916" s="451">
        <v>45831</v>
      </c>
      <c r="D916" t="s">
        <v>743</v>
      </c>
      <c r="E916" t="s">
        <v>20</v>
      </c>
      <c r="F916">
        <v>8.98</v>
      </c>
      <c r="G916">
        <v>0</v>
      </c>
      <c r="H916">
        <v>8.98</v>
      </c>
    </row>
    <row r="917" spans="1:8" x14ac:dyDescent="0.3">
      <c r="A917">
        <v>139</v>
      </c>
      <c r="B917" t="s">
        <v>5892</v>
      </c>
      <c r="C917" s="451">
        <v>45831</v>
      </c>
      <c r="D917" t="s">
        <v>743</v>
      </c>
      <c r="E917" t="s">
        <v>3905</v>
      </c>
      <c r="F917">
        <v>49.9</v>
      </c>
      <c r="G917">
        <v>0</v>
      </c>
      <c r="H917">
        <v>49.9</v>
      </c>
    </row>
    <row r="918" spans="1:8" x14ac:dyDescent="0.3">
      <c r="A918">
        <v>139</v>
      </c>
      <c r="B918" t="s">
        <v>5892</v>
      </c>
      <c r="C918" s="451">
        <v>45830</v>
      </c>
      <c r="D918" t="s">
        <v>743</v>
      </c>
      <c r="E918" t="s">
        <v>3905</v>
      </c>
      <c r="F918">
        <v>595</v>
      </c>
      <c r="G918">
        <v>0</v>
      </c>
      <c r="H918">
        <v>595</v>
      </c>
    </row>
    <row r="919" spans="1:8" x14ac:dyDescent="0.3">
      <c r="A919">
        <v>139</v>
      </c>
      <c r="B919" t="s">
        <v>5892</v>
      </c>
      <c r="C919" s="451">
        <v>45830</v>
      </c>
      <c r="D919" t="s">
        <v>743</v>
      </c>
      <c r="E919" t="s">
        <v>20</v>
      </c>
      <c r="F919">
        <v>72.92</v>
      </c>
      <c r="G919">
        <v>0</v>
      </c>
      <c r="H919">
        <v>72.92</v>
      </c>
    </row>
    <row r="920" spans="1:8" x14ac:dyDescent="0.3">
      <c r="A920">
        <v>139</v>
      </c>
      <c r="B920" t="s">
        <v>5892</v>
      </c>
      <c r="C920" s="451">
        <v>45829</v>
      </c>
      <c r="D920" t="s">
        <v>743</v>
      </c>
      <c r="E920" t="s">
        <v>3905</v>
      </c>
      <c r="F920">
        <v>547</v>
      </c>
      <c r="G920">
        <v>0</v>
      </c>
      <c r="H920">
        <v>547</v>
      </c>
    </row>
    <row r="921" spans="1:8" x14ac:dyDescent="0.3">
      <c r="A921">
        <v>139</v>
      </c>
      <c r="B921" t="s">
        <v>5892</v>
      </c>
      <c r="C921" s="451">
        <v>45829</v>
      </c>
      <c r="D921" t="s">
        <v>743</v>
      </c>
      <c r="E921" t="s">
        <v>20</v>
      </c>
      <c r="F921">
        <v>68.900000000000006</v>
      </c>
      <c r="G921">
        <v>0</v>
      </c>
      <c r="H921">
        <v>68.900000000000006</v>
      </c>
    </row>
    <row r="922" spans="1:8" x14ac:dyDescent="0.3">
      <c r="A922">
        <v>139</v>
      </c>
      <c r="B922" t="s">
        <v>5892</v>
      </c>
      <c r="C922" s="451">
        <v>45827</v>
      </c>
      <c r="D922" t="s">
        <v>743</v>
      </c>
      <c r="E922" t="s">
        <v>20</v>
      </c>
      <c r="F922">
        <v>58.91</v>
      </c>
      <c r="G922">
        <v>0</v>
      </c>
      <c r="H922">
        <v>58.91</v>
      </c>
    </row>
    <row r="923" spans="1:8" x14ac:dyDescent="0.3">
      <c r="A923">
        <v>139</v>
      </c>
      <c r="B923" t="s">
        <v>5892</v>
      </c>
      <c r="C923" s="451">
        <v>45827</v>
      </c>
      <c r="D923" t="s">
        <v>743</v>
      </c>
      <c r="E923" t="s">
        <v>3905</v>
      </c>
      <c r="F923">
        <v>722</v>
      </c>
      <c r="G923">
        <v>0</v>
      </c>
      <c r="H923">
        <v>722</v>
      </c>
    </row>
    <row r="924" spans="1:8" x14ac:dyDescent="0.3">
      <c r="A924">
        <v>139</v>
      </c>
      <c r="B924" t="s">
        <v>5892</v>
      </c>
      <c r="C924" s="451">
        <v>45826</v>
      </c>
      <c r="D924" t="s">
        <v>743</v>
      </c>
      <c r="E924" t="s">
        <v>20</v>
      </c>
      <c r="F924">
        <v>87.86</v>
      </c>
      <c r="G924">
        <v>0</v>
      </c>
      <c r="H924">
        <v>87.86</v>
      </c>
    </row>
    <row r="925" spans="1:8" x14ac:dyDescent="0.3">
      <c r="A925">
        <v>139</v>
      </c>
      <c r="B925" t="s">
        <v>5892</v>
      </c>
      <c r="C925" s="451">
        <v>45826</v>
      </c>
      <c r="D925" t="s">
        <v>743</v>
      </c>
      <c r="E925" t="s">
        <v>3905</v>
      </c>
      <c r="F925">
        <v>627.6</v>
      </c>
      <c r="G925">
        <v>0</v>
      </c>
      <c r="H925">
        <v>627.6</v>
      </c>
    </row>
    <row r="926" spans="1:8" x14ac:dyDescent="0.3">
      <c r="A926">
        <v>139</v>
      </c>
      <c r="B926" t="s">
        <v>5892</v>
      </c>
      <c r="C926" s="451">
        <v>45826</v>
      </c>
      <c r="D926" t="s">
        <v>743</v>
      </c>
      <c r="E926" t="s">
        <v>3904</v>
      </c>
      <c r="F926">
        <v>24</v>
      </c>
      <c r="G926">
        <v>0</v>
      </c>
      <c r="H926">
        <v>24</v>
      </c>
    </row>
    <row r="927" spans="1:8" x14ac:dyDescent="0.3">
      <c r="A927">
        <v>139</v>
      </c>
      <c r="B927" t="s">
        <v>5892</v>
      </c>
      <c r="C927" s="451">
        <v>45825</v>
      </c>
      <c r="D927" t="s">
        <v>743</v>
      </c>
      <c r="E927" t="s">
        <v>20</v>
      </c>
      <c r="F927">
        <v>12.98</v>
      </c>
      <c r="G927">
        <v>0</v>
      </c>
      <c r="H927">
        <v>12.98</v>
      </c>
    </row>
    <row r="928" spans="1:8" x14ac:dyDescent="0.3">
      <c r="A928">
        <v>139</v>
      </c>
      <c r="B928" t="s">
        <v>5892</v>
      </c>
      <c r="C928" s="451">
        <v>45825</v>
      </c>
      <c r="D928" t="s">
        <v>743</v>
      </c>
      <c r="E928" t="s">
        <v>3905</v>
      </c>
      <c r="F928">
        <v>49.9</v>
      </c>
      <c r="G928">
        <v>0</v>
      </c>
      <c r="H928">
        <v>49.9</v>
      </c>
    </row>
    <row r="929" spans="1:8" x14ac:dyDescent="0.3">
      <c r="A929">
        <v>139</v>
      </c>
      <c r="B929" t="s">
        <v>5892</v>
      </c>
      <c r="C929" s="451">
        <v>45824</v>
      </c>
      <c r="D929" t="s">
        <v>743</v>
      </c>
      <c r="E929" t="s">
        <v>20</v>
      </c>
      <c r="F929">
        <v>17.96</v>
      </c>
      <c r="G929">
        <v>0</v>
      </c>
      <c r="H929">
        <v>17.96</v>
      </c>
    </row>
    <row r="930" spans="1:8" x14ac:dyDescent="0.3">
      <c r="A930">
        <v>139</v>
      </c>
      <c r="B930" t="s">
        <v>5892</v>
      </c>
      <c r="C930" s="451">
        <v>45824</v>
      </c>
      <c r="D930" t="s">
        <v>743</v>
      </c>
      <c r="E930" t="s">
        <v>3905</v>
      </c>
      <c r="F930">
        <v>89.8</v>
      </c>
      <c r="G930">
        <v>0</v>
      </c>
      <c r="H930">
        <v>89.8</v>
      </c>
    </row>
    <row r="931" spans="1:8" x14ac:dyDescent="0.3">
      <c r="A931">
        <v>139</v>
      </c>
      <c r="B931" t="s">
        <v>5892</v>
      </c>
      <c r="C931" s="451">
        <v>45823</v>
      </c>
      <c r="D931" t="s">
        <v>743</v>
      </c>
      <c r="E931" t="s">
        <v>20</v>
      </c>
      <c r="F931">
        <v>104.86</v>
      </c>
      <c r="G931">
        <v>0</v>
      </c>
      <c r="H931">
        <v>104.86</v>
      </c>
    </row>
    <row r="932" spans="1:8" x14ac:dyDescent="0.3">
      <c r="A932">
        <v>139</v>
      </c>
      <c r="B932" t="s">
        <v>5892</v>
      </c>
      <c r="C932" s="451">
        <v>45823</v>
      </c>
      <c r="D932" t="s">
        <v>743</v>
      </c>
      <c r="E932" t="s">
        <v>3905</v>
      </c>
      <c r="F932">
        <v>1249</v>
      </c>
      <c r="G932">
        <v>0</v>
      </c>
      <c r="H932">
        <v>1249</v>
      </c>
    </row>
    <row r="933" spans="1:8" x14ac:dyDescent="0.3">
      <c r="A933">
        <v>139</v>
      </c>
      <c r="B933" t="s">
        <v>5892</v>
      </c>
      <c r="C933" s="451">
        <v>45822</v>
      </c>
      <c r="D933" t="s">
        <v>743</v>
      </c>
      <c r="E933" t="s">
        <v>20</v>
      </c>
      <c r="F933">
        <v>71.91</v>
      </c>
      <c r="G933">
        <v>0</v>
      </c>
      <c r="H933">
        <v>71.91</v>
      </c>
    </row>
    <row r="934" spans="1:8" x14ac:dyDescent="0.3">
      <c r="A934">
        <v>139</v>
      </c>
      <c r="B934" t="s">
        <v>5892</v>
      </c>
      <c r="C934" s="451">
        <v>45822</v>
      </c>
      <c r="D934" t="s">
        <v>743</v>
      </c>
      <c r="E934" t="s">
        <v>3905</v>
      </c>
      <c r="F934">
        <v>745</v>
      </c>
      <c r="G934">
        <v>0</v>
      </c>
      <c r="H934">
        <v>745</v>
      </c>
    </row>
    <row r="935" spans="1:8" x14ac:dyDescent="0.3">
      <c r="A935">
        <v>139</v>
      </c>
      <c r="B935" t="s">
        <v>5892</v>
      </c>
      <c r="C935" s="451">
        <v>45822</v>
      </c>
      <c r="D935" t="s">
        <v>743</v>
      </c>
      <c r="E935" t="s">
        <v>3904</v>
      </c>
      <c r="F935">
        <v>8</v>
      </c>
      <c r="G935">
        <v>0</v>
      </c>
      <c r="H935">
        <v>8</v>
      </c>
    </row>
    <row r="936" spans="1:8" x14ac:dyDescent="0.3">
      <c r="A936">
        <v>139</v>
      </c>
      <c r="B936" t="s">
        <v>5892</v>
      </c>
      <c r="C936" s="451">
        <v>45821</v>
      </c>
      <c r="D936" t="s">
        <v>743</v>
      </c>
      <c r="E936" t="s">
        <v>20</v>
      </c>
      <c r="F936">
        <v>44.95</v>
      </c>
      <c r="G936">
        <v>0</v>
      </c>
      <c r="H936">
        <v>44.95</v>
      </c>
    </row>
    <row r="937" spans="1:8" x14ac:dyDescent="0.3">
      <c r="A937">
        <v>139</v>
      </c>
      <c r="B937" t="s">
        <v>5892</v>
      </c>
      <c r="C937" s="451">
        <v>45821</v>
      </c>
      <c r="D937" t="s">
        <v>743</v>
      </c>
      <c r="E937" t="s">
        <v>3905</v>
      </c>
      <c r="F937">
        <v>339.9</v>
      </c>
      <c r="G937">
        <v>0</v>
      </c>
      <c r="H937">
        <v>339.9</v>
      </c>
    </row>
    <row r="938" spans="1:8" x14ac:dyDescent="0.3">
      <c r="A938">
        <v>139</v>
      </c>
      <c r="B938" t="s">
        <v>5892</v>
      </c>
      <c r="C938" s="451">
        <v>45820</v>
      </c>
      <c r="D938" t="s">
        <v>743</v>
      </c>
      <c r="E938" t="s">
        <v>3905</v>
      </c>
      <c r="F938">
        <v>306.89999999999998</v>
      </c>
      <c r="G938">
        <v>0</v>
      </c>
      <c r="H938">
        <v>306.89999999999998</v>
      </c>
    </row>
    <row r="939" spans="1:8" x14ac:dyDescent="0.3">
      <c r="A939">
        <v>139</v>
      </c>
      <c r="B939" t="s">
        <v>5892</v>
      </c>
      <c r="C939" s="451">
        <v>45820</v>
      </c>
      <c r="D939" t="s">
        <v>743</v>
      </c>
      <c r="E939" t="s">
        <v>20</v>
      </c>
      <c r="F939">
        <v>38.94</v>
      </c>
      <c r="G939">
        <v>0</v>
      </c>
      <c r="H939">
        <v>38.94</v>
      </c>
    </row>
    <row r="940" spans="1:8" x14ac:dyDescent="0.3">
      <c r="A940">
        <v>139</v>
      </c>
      <c r="B940" t="s">
        <v>5892</v>
      </c>
      <c r="C940" s="451">
        <v>45820</v>
      </c>
      <c r="D940" t="s">
        <v>743</v>
      </c>
      <c r="E940" t="s">
        <v>3904</v>
      </c>
      <c r="F940">
        <v>8</v>
      </c>
      <c r="G940">
        <v>0</v>
      </c>
      <c r="H940">
        <v>8</v>
      </c>
    </row>
    <row r="941" spans="1:8" x14ac:dyDescent="0.3">
      <c r="A941">
        <v>139</v>
      </c>
      <c r="B941" t="s">
        <v>5892</v>
      </c>
      <c r="C941" s="451">
        <v>45819</v>
      </c>
      <c r="D941" t="s">
        <v>743</v>
      </c>
      <c r="E941" t="s">
        <v>3905</v>
      </c>
      <c r="F941">
        <v>393.7</v>
      </c>
      <c r="G941">
        <v>0</v>
      </c>
      <c r="H941">
        <v>393.7</v>
      </c>
    </row>
    <row r="942" spans="1:8" x14ac:dyDescent="0.3">
      <c r="A942">
        <v>139</v>
      </c>
      <c r="B942" t="s">
        <v>5892</v>
      </c>
      <c r="C942" s="451">
        <v>45819</v>
      </c>
      <c r="D942" t="s">
        <v>743</v>
      </c>
      <c r="E942" t="s">
        <v>20</v>
      </c>
      <c r="F942">
        <v>31.94</v>
      </c>
      <c r="G942">
        <v>0</v>
      </c>
      <c r="H942">
        <v>31.94</v>
      </c>
    </row>
    <row r="943" spans="1:8" x14ac:dyDescent="0.3">
      <c r="A943">
        <v>139</v>
      </c>
      <c r="B943" t="s">
        <v>5892</v>
      </c>
      <c r="C943" s="451">
        <v>45818</v>
      </c>
      <c r="D943" t="s">
        <v>743</v>
      </c>
      <c r="E943" t="s">
        <v>3904</v>
      </c>
      <c r="F943">
        <v>16</v>
      </c>
      <c r="G943">
        <v>0</v>
      </c>
      <c r="H943">
        <v>16</v>
      </c>
    </row>
    <row r="944" spans="1:8" x14ac:dyDescent="0.3">
      <c r="A944">
        <v>139</v>
      </c>
      <c r="B944" t="s">
        <v>5892</v>
      </c>
      <c r="C944" s="451">
        <v>45818</v>
      </c>
      <c r="D944" t="s">
        <v>743</v>
      </c>
      <c r="E944" t="s">
        <v>20</v>
      </c>
      <c r="F944">
        <v>18.989999999999998</v>
      </c>
      <c r="G944">
        <v>0</v>
      </c>
      <c r="H944">
        <v>18.989999999999998</v>
      </c>
    </row>
    <row r="945" spans="1:8" x14ac:dyDescent="0.3">
      <c r="A945">
        <v>139</v>
      </c>
      <c r="B945" t="s">
        <v>5892</v>
      </c>
      <c r="C945" s="451">
        <v>45818</v>
      </c>
      <c r="D945" t="s">
        <v>743</v>
      </c>
      <c r="E945" t="s">
        <v>3905</v>
      </c>
      <c r="F945">
        <v>233</v>
      </c>
      <c r="G945">
        <v>0</v>
      </c>
      <c r="H945">
        <v>233</v>
      </c>
    </row>
    <row r="946" spans="1:8" x14ac:dyDescent="0.3">
      <c r="A946">
        <v>139</v>
      </c>
      <c r="B946" t="s">
        <v>5892</v>
      </c>
      <c r="C946" s="451">
        <v>45817</v>
      </c>
      <c r="D946" t="s">
        <v>743</v>
      </c>
      <c r="E946" t="s">
        <v>20</v>
      </c>
      <c r="F946">
        <v>9.98</v>
      </c>
      <c r="G946">
        <v>0</v>
      </c>
      <c r="H946">
        <v>9.98</v>
      </c>
    </row>
    <row r="947" spans="1:8" x14ac:dyDescent="0.3">
      <c r="A947">
        <v>139</v>
      </c>
      <c r="B947" t="s">
        <v>5892</v>
      </c>
      <c r="C947" s="451">
        <v>45817</v>
      </c>
      <c r="D947" t="s">
        <v>743</v>
      </c>
      <c r="E947" t="s">
        <v>3905</v>
      </c>
      <c r="F947">
        <v>49.9</v>
      </c>
      <c r="G947">
        <v>0</v>
      </c>
      <c r="H947">
        <v>49.9</v>
      </c>
    </row>
    <row r="948" spans="1:8" x14ac:dyDescent="0.3">
      <c r="A948">
        <v>139</v>
      </c>
      <c r="B948" t="s">
        <v>5892</v>
      </c>
      <c r="C948" s="451">
        <v>45816</v>
      </c>
      <c r="D948" t="s">
        <v>743</v>
      </c>
      <c r="E948" t="s">
        <v>3905</v>
      </c>
      <c r="F948">
        <v>1162</v>
      </c>
      <c r="G948">
        <v>0</v>
      </c>
      <c r="H948">
        <v>1162</v>
      </c>
    </row>
    <row r="949" spans="1:8" x14ac:dyDescent="0.3">
      <c r="A949">
        <v>139</v>
      </c>
      <c r="B949" t="s">
        <v>5892</v>
      </c>
      <c r="C949" s="451">
        <v>45816</v>
      </c>
      <c r="D949" t="s">
        <v>743</v>
      </c>
      <c r="E949" t="s">
        <v>20</v>
      </c>
      <c r="F949">
        <v>78.91</v>
      </c>
      <c r="G949">
        <v>0</v>
      </c>
      <c r="H949">
        <v>78.91</v>
      </c>
    </row>
    <row r="950" spans="1:8" x14ac:dyDescent="0.3">
      <c r="A950">
        <v>139</v>
      </c>
      <c r="B950" t="s">
        <v>5892</v>
      </c>
      <c r="C950" s="451">
        <v>45816</v>
      </c>
      <c r="D950" t="s">
        <v>743</v>
      </c>
      <c r="E950" t="s">
        <v>3904</v>
      </c>
      <c r="F950">
        <v>16</v>
      </c>
      <c r="G950">
        <v>0</v>
      </c>
      <c r="H950">
        <v>16</v>
      </c>
    </row>
    <row r="951" spans="1:8" x14ac:dyDescent="0.3">
      <c r="A951">
        <v>139</v>
      </c>
      <c r="B951" t="s">
        <v>5892</v>
      </c>
      <c r="C951" s="451">
        <v>45815</v>
      </c>
      <c r="D951" t="s">
        <v>743</v>
      </c>
      <c r="E951" t="s">
        <v>3905</v>
      </c>
      <c r="F951">
        <v>1028</v>
      </c>
      <c r="G951">
        <v>0</v>
      </c>
      <c r="H951">
        <v>1028</v>
      </c>
    </row>
    <row r="952" spans="1:8" x14ac:dyDescent="0.3">
      <c r="A952">
        <v>139</v>
      </c>
      <c r="B952" t="s">
        <v>5892</v>
      </c>
      <c r="C952" s="451">
        <v>45815</v>
      </c>
      <c r="D952" t="s">
        <v>743</v>
      </c>
      <c r="E952" t="s">
        <v>20</v>
      </c>
      <c r="F952">
        <v>81.88</v>
      </c>
      <c r="G952">
        <v>0</v>
      </c>
      <c r="H952">
        <v>81.88</v>
      </c>
    </row>
    <row r="953" spans="1:8" x14ac:dyDescent="0.3">
      <c r="A953">
        <v>139</v>
      </c>
      <c r="B953" t="s">
        <v>5892</v>
      </c>
      <c r="C953" s="451">
        <v>45815</v>
      </c>
      <c r="D953" t="s">
        <v>743</v>
      </c>
      <c r="E953" t="s">
        <v>3904</v>
      </c>
      <c r="F953">
        <v>8</v>
      </c>
      <c r="G953">
        <v>0</v>
      </c>
      <c r="H953">
        <v>8</v>
      </c>
    </row>
    <row r="954" spans="1:8" x14ac:dyDescent="0.3">
      <c r="A954">
        <v>139</v>
      </c>
      <c r="B954" t="s">
        <v>5892</v>
      </c>
      <c r="C954" s="451">
        <v>45814</v>
      </c>
      <c r="D954" t="s">
        <v>743</v>
      </c>
      <c r="E954" t="s">
        <v>20</v>
      </c>
      <c r="F954">
        <v>24.96</v>
      </c>
      <c r="G954">
        <v>0</v>
      </c>
      <c r="H954">
        <v>24.96</v>
      </c>
    </row>
    <row r="955" spans="1:8" x14ac:dyDescent="0.3">
      <c r="A955">
        <v>139</v>
      </c>
      <c r="B955" t="s">
        <v>5892</v>
      </c>
      <c r="C955" s="451">
        <v>45814</v>
      </c>
      <c r="D955" t="s">
        <v>743</v>
      </c>
      <c r="E955" t="s">
        <v>3905</v>
      </c>
      <c r="F955">
        <v>89.8</v>
      </c>
      <c r="G955">
        <v>0</v>
      </c>
      <c r="H955">
        <v>89.8</v>
      </c>
    </row>
    <row r="956" spans="1:8" x14ac:dyDescent="0.3">
      <c r="A956">
        <v>139</v>
      </c>
      <c r="B956" t="s">
        <v>5892</v>
      </c>
      <c r="C956" s="451">
        <v>45813</v>
      </c>
      <c r="D956" t="s">
        <v>743</v>
      </c>
      <c r="E956" t="s">
        <v>20</v>
      </c>
      <c r="F956">
        <v>46.92</v>
      </c>
      <c r="G956">
        <v>0</v>
      </c>
      <c r="H956">
        <v>46.92</v>
      </c>
    </row>
    <row r="957" spans="1:8" x14ac:dyDescent="0.3">
      <c r="A957">
        <v>139</v>
      </c>
      <c r="B957" t="s">
        <v>5892</v>
      </c>
      <c r="C957" s="451">
        <v>45813</v>
      </c>
      <c r="D957" t="s">
        <v>743</v>
      </c>
      <c r="E957" t="s">
        <v>3905</v>
      </c>
      <c r="F957">
        <v>545.4</v>
      </c>
      <c r="G957">
        <v>0</v>
      </c>
      <c r="H957">
        <v>545.4</v>
      </c>
    </row>
    <row r="958" spans="1:8" x14ac:dyDescent="0.3">
      <c r="A958">
        <v>139</v>
      </c>
      <c r="B958" t="s">
        <v>5892</v>
      </c>
      <c r="C958" s="451">
        <v>45812</v>
      </c>
      <c r="D958" t="s">
        <v>743</v>
      </c>
      <c r="E958" t="s">
        <v>3905</v>
      </c>
      <c r="F958">
        <v>147</v>
      </c>
      <c r="G958">
        <v>0</v>
      </c>
      <c r="H958">
        <v>147</v>
      </c>
    </row>
    <row r="959" spans="1:8" x14ac:dyDescent="0.3">
      <c r="A959">
        <v>139</v>
      </c>
      <c r="B959" t="s">
        <v>5892</v>
      </c>
      <c r="C959" s="451">
        <v>45812</v>
      </c>
      <c r="D959" t="s">
        <v>743</v>
      </c>
      <c r="E959" t="s">
        <v>20</v>
      </c>
      <c r="F959">
        <v>14.98</v>
      </c>
      <c r="G959">
        <v>0</v>
      </c>
      <c r="H959">
        <v>14.98</v>
      </c>
    </row>
    <row r="960" spans="1:8" x14ac:dyDescent="0.3">
      <c r="A960">
        <v>139</v>
      </c>
      <c r="B960" t="s">
        <v>5892</v>
      </c>
      <c r="C960" s="451">
        <v>45811</v>
      </c>
      <c r="D960" t="s">
        <v>743</v>
      </c>
      <c r="E960" t="s">
        <v>20</v>
      </c>
      <c r="F960">
        <v>16.989999999999998</v>
      </c>
      <c r="G960">
        <v>0</v>
      </c>
      <c r="H960">
        <v>16.989999999999998</v>
      </c>
    </row>
    <row r="961" spans="1:8" x14ac:dyDescent="0.3">
      <c r="A961">
        <v>139</v>
      </c>
      <c r="B961" t="s">
        <v>5892</v>
      </c>
      <c r="C961" s="451">
        <v>45811</v>
      </c>
      <c r="D961" t="s">
        <v>743</v>
      </c>
      <c r="E961" t="s">
        <v>3905</v>
      </c>
      <c r="F961">
        <v>99.8</v>
      </c>
      <c r="G961">
        <v>0</v>
      </c>
      <c r="H961">
        <v>99.8</v>
      </c>
    </row>
    <row r="962" spans="1:8" x14ac:dyDescent="0.3">
      <c r="A962">
        <v>139</v>
      </c>
      <c r="B962" t="s">
        <v>5892</v>
      </c>
      <c r="C962" s="451">
        <v>45810</v>
      </c>
      <c r="D962" t="s">
        <v>743</v>
      </c>
      <c r="E962" t="s">
        <v>20</v>
      </c>
      <c r="F962">
        <v>8.98</v>
      </c>
      <c r="G962">
        <v>0</v>
      </c>
      <c r="H962">
        <v>8.98</v>
      </c>
    </row>
    <row r="963" spans="1:8" x14ac:dyDescent="0.3">
      <c r="A963">
        <v>139</v>
      </c>
      <c r="B963" t="s">
        <v>5892</v>
      </c>
      <c r="C963" s="451">
        <v>45810</v>
      </c>
      <c r="D963" t="s">
        <v>743</v>
      </c>
      <c r="E963" t="s">
        <v>3905</v>
      </c>
      <c r="F963">
        <v>39.9</v>
      </c>
      <c r="G963">
        <v>0</v>
      </c>
      <c r="H963">
        <v>39.9</v>
      </c>
    </row>
    <row r="964" spans="1:8" x14ac:dyDescent="0.3">
      <c r="A964">
        <v>139</v>
      </c>
      <c r="B964" t="s">
        <v>5892</v>
      </c>
      <c r="C964" s="451">
        <v>45809</v>
      </c>
      <c r="D964" t="s">
        <v>743</v>
      </c>
      <c r="E964" t="s">
        <v>3905</v>
      </c>
      <c r="F964">
        <v>1535</v>
      </c>
      <c r="G964">
        <v>0</v>
      </c>
      <c r="H964">
        <v>1535</v>
      </c>
    </row>
    <row r="965" spans="1:8" x14ac:dyDescent="0.3">
      <c r="A965">
        <v>139</v>
      </c>
      <c r="B965" t="s">
        <v>5892</v>
      </c>
      <c r="C965" s="451">
        <v>45809</v>
      </c>
      <c r="D965" t="s">
        <v>743</v>
      </c>
      <c r="E965" t="s">
        <v>20</v>
      </c>
      <c r="F965">
        <v>84.87</v>
      </c>
      <c r="G965">
        <v>0</v>
      </c>
      <c r="H965">
        <v>84.87</v>
      </c>
    </row>
    <row r="966" spans="1:8" x14ac:dyDescent="0.3">
      <c r="A966">
        <v>139</v>
      </c>
      <c r="B966" t="s">
        <v>5892</v>
      </c>
      <c r="C966" s="451">
        <v>45809</v>
      </c>
      <c r="D966" t="s">
        <v>743</v>
      </c>
      <c r="E966" t="s">
        <v>3904</v>
      </c>
      <c r="F966">
        <v>8</v>
      </c>
      <c r="G966">
        <v>0</v>
      </c>
      <c r="H966">
        <v>8</v>
      </c>
    </row>
    <row r="967" spans="1:8" x14ac:dyDescent="0.3">
      <c r="A967">
        <v>139</v>
      </c>
      <c r="B967" t="s">
        <v>5892</v>
      </c>
      <c r="C967" s="451">
        <v>45808</v>
      </c>
      <c r="D967" t="s">
        <v>741</v>
      </c>
      <c r="E967" t="s">
        <v>20</v>
      </c>
      <c r="F967">
        <v>74.900000000000006</v>
      </c>
      <c r="G967">
        <v>0</v>
      </c>
      <c r="H967">
        <v>74.900000000000006</v>
      </c>
    </row>
    <row r="968" spans="1:8" x14ac:dyDescent="0.3">
      <c r="A968">
        <v>139</v>
      </c>
      <c r="B968" t="s">
        <v>5892</v>
      </c>
      <c r="C968" s="451">
        <v>45808</v>
      </c>
      <c r="D968" t="s">
        <v>741</v>
      </c>
      <c r="E968" t="s">
        <v>3905</v>
      </c>
      <c r="F968">
        <v>888</v>
      </c>
      <c r="G968">
        <v>0</v>
      </c>
      <c r="H968">
        <v>888</v>
      </c>
    </row>
    <row r="969" spans="1:8" x14ac:dyDescent="0.3">
      <c r="A969">
        <v>139</v>
      </c>
      <c r="B969" t="s">
        <v>5892</v>
      </c>
      <c r="C969" s="451">
        <v>45807</v>
      </c>
      <c r="D969" t="s">
        <v>741</v>
      </c>
      <c r="E969" t="s">
        <v>3905</v>
      </c>
      <c r="F969">
        <v>582.70000000000005</v>
      </c>
      <c r="G969">
        <v>0</v>
      </c>
      <c r="H969">
        <v>582.70000000000005</v>
      </c>
    </row>
    <row r="970" spans="1:8" x14ac:dyDescent="0.3">
      <c r="A970">
        <v>139</v>
      </c>
      <c r="B970" t="s">
        <v>5892</v>
      </c>
      <c r="C970" s="451">
        <v>45807</v>
      </c>
      <c r="D970" t="s">
        <v>741</v>
      </c>
      <c r="E970" t="s">
        <v>20</v>
      </c>
      <c r="F970">
        <v>66.92</v>
      </c>
      <c r="G970">
        <v>0</v>
      </c>
      <c r="H970">
        <v>66.92</v>
      </c>
    </row>
    <row r="971" spans="1:8" x14ac:dyDescent="0.3">
      <c r="A971">
        <v>139</v>
      </c>
      <c r="B971" t="s">
        <v>5892</v>
      </c>
      <c r="C971" s="451">
        <v>45806</v>
      </c>
      <c r="D971" t="s">
        <v>741</v>
      </c>
      <c r="E971" t="s">
        <v>20</v>
      </c>
      <c r="F971">
        <v>37.94</v>
      </c>
      <c r="G971">
        <v>0</v>
      </c>
      <c r="H971">
        <v>37.94</v>
      </c>
    </row>
    <row r="972" spans="1:8" x14ac:dyDescent="0.3">
      <c r="A972">
        <v>139</v>
      </c>
      <c r="B972" t="s">
        <v>5892</v>
      </c>
      <c r="C972" s="451">
        <v>45806</v>
      </c>
      <c r="D972" t="s">
        <v>741</v>
      </c>
      <c r="E972" t="s">
        <v>3905</v>
      </c>
      <c r="F972">
        <v>372.9</v>
      </c>
      <c r="G972">
        <v>0</v>
      </c>
      <c r="H972">
        <v>372.9</v>
      </c>
    </row>
    <row r="973" spans="1:8" x14ac:dyDescent="0.3">
      <c r="A973">
        <v>139</v>
      </c>
      <c r="B973" t="s">
        <v>5892</v>
      </c>
      <c r="C973" s="451">
        <v>45805</v>
      </c>
      <c r="D973" t="s">
        <v>741</v>
      </c>
      <c r="E973" t="s">
        <v>20</v>
      </c>
      <c r="F973">
        <v>33.96</v>
      </c>
      <c r="G973">
        <v>0</v>
      </c>
      <c r="H973">
        <v>33.96</v>
      </c>
    </row>
    <row r="974" spans="1:8" x14ac:dyDescent="0.3">
      <c r="A974">
        <v>139</v>
      </c>
      <c r="B974" t="s">
        <v>5892</v>
      </c>
      <c r="C974" s="451">
        <v>45805</v>
      </c>
      <c r="D974" t="s">
        <v>741</v>
      </c>
      <c r="E974" t="s">
        <v>3905</v>
      </c>
      <c r="F974">
        <v>370</v>
      </c>
      <c r="G974">
        <v>0</v>
      </c>
      <c r="H974">
        <v>370</v>
      </c>
    </row>
    <row r="975" spans="1:8" x14ac:dyDescent="0.3">
      <c r="A975">
        <v>139</v>
      </c>
      <c r="B975" t="s">
        <v>5892</v>
      </c>
      <c r="C975" s="451">
        <v>45804</v>
      </c>
      <c r="D975" t="s">
        <v>741</v>
      </c>
      <c r="E975" t="s">
        <v>20</v>
      </c>
      <c r="F975">
        <v>29.94</v>
      </c>
      <c r="G975">
        <v>0</v>
      </c>
      <c r="H975">
        <v>29.94</v>
      </c>
    </row>
    <row r="976" spans="1:8" x14ac:dyDescent="0.3">
      <c r="A976">
        <v>139</v>
      </c>
      <c r="B976" t="s">
        <v>5892</v>
      </c>
      <c r="C976" s="451">
        <v>45804</v>
      </c>
      <c r="D976" t="s">
        <v>741</v>
      </c>
      <c r="E976" t="s">
        <v>3905</v>
      </c>
      <c r="F976">
        <v>139.69999999999999</v>
      </c>
      <c r="G976">
        <v>0</v>
      </c>
      <c r="H976">
        <v>139.69999999999999</v>
      </c>
    </row>
    <row r="977" spans="1:8" x14ac:dyDescent="0.3">
      <c r="A977">
        <v>139</v>
      </c>
      <c r="B977" t="s">
        <v>5892</v>
      </c>
      <c r="C977" s="451">
        <v>45803</v>
      </c>
      <c r="D977" t="s">
        <v>741</v>
      </c>
      <c r="E977" t="s">
        <v>3905</v>
      </c>
      <c r="F977">
        <v>465.7</v>
      </c>
      <c r="G977">
        <v>0</v>
      </c>
      <c r="H977">
        <v>465.7</v>
      </c>
    </row>
    <row r="978" spans="1:8" x14ac:dyDescent="0.3">
      <c r="A978">
        <v>139</v>
      </c>
      <c r="B978" t="s">
        <v>5892</v>
      </c>
      <c r="C978" s="451">
        <v>45803</v>
      </c>
      <c r="D978" t="s">
        <v>741</v>
      </c>
      <c r="E978" t="s">
        <v>20</v>
      </c>
      <c r="F978">
        <v>32.94</v>
      </c>
      <c r="G978">
        <v>0</v>
      </c>
      <c r="H978">
        <v>32.94</v>
      </c>
    </row>
    <row r="979" spans="1:8" x14ac:dyDescent="0.3">
      <c r="A979">
        <v>139</v>
      </c>
      <c r="B979" t="s">
        <v>5892</v>
      </c>
      <c r="C979" s="451">
        <v>45802</v>
      </c>
      <c r="D979" t="s">
        <v>741</v>
      </c>
      <c r="E979" t="s">
        <v>3905</v>
      </c>
      <c r="F979">
        <v>1250</v>
      </c>
      <c r="G979">
        <v>0</v>
      </c>
      <c r="H979">
        <v>1250</v>
      </c>
    </row>
    <row r="980" spans="1:8" x14ac:dyDescent="0.3">
      <c r="A980">
        <v>139</v>
      </c>
      <c r="B980" t="s">
        <v>5892</v>
      </c>
      <c r="C980" s="451">
        <v>45802</v>
      </c>
      <c r="D980" t="s">
        <v>741</v>
      </c>
      <c r="E980" t="s">
        <v>20</v>
      </c>
      <c r="F980">
        <v>63.88</v>
      </c>
      <c r="G980">
        <v>0</v>
      </c>
      <c r="H980">
        <v>63.88</v>
      </c>
    </row>
    <row r="981" spans="1:8" x14ac:dyDescent="0.3">
      <c r="A981">
        <v>139</v>
      </c>
      <c r="B981" t="s">
        <v>5892</v>
      </c>
      <c r="C981" s="451">
        <v>45801</v>
      </c>
      <c r="D981" t="s">
        <v>741</v>
      </c>
      <c r="E981" t="s">
        <v>3905</v>
      </c>
      <c r="F981">
        <v>1166</v>
      </c>
      <c r="G981">
        <v>0</v>
      </c>
      <c r="H981">
        <v>1166</v>
      </c>
    </row>
    <row r="982" spans="1:8" x14ac:dyDescent="0.3">
      <c r="A982">
        <v>139</v>
      </c>
      <c r="B982" t="s">
        <v>5892</v>
      </c>
      <c r="C982" s="451">
        <v>45801</v>
      </c>
      <c r="D982" t="s">
        <v>741</v>
      </c>
      <c r="E982" t="s">
        <v>20</v>
      </c>
      <c r="F982">
        <v>72.89</v>
      </c>
      <c r="G982">
        <v>0</v>
      </c>
      <c r="H982">
        <v>72.89</v>
      </c>
    </row>
    <row r="983" spans="1:8" x14ac:dyDescent="0.3">
      <c r="A983">
        <v>139</v>
      </c>
      <c r="B983" t="s">
        <v>5892</v>
      </c>
      <c r="C983" s="451">
        <v>45800</v>
      </c>
      <c r="D983" t="s">
        <v>741</v>
      </c>
      <c r="E983" t="s">
        <v>20</v>
      </c>
      <c r="F983">
        <v>18.96</v>
      </c>
      <c r="G983">
        <v>0</v>
      </c>
      <c r="H983">
        <v>18.96</v>
      </c>
    </row>
    <row r="984" spans="1:8" x14ac:dyDescent="0.3">
      <c r="A984">
        <v>139</v>
      </c>
      <c r="B984" t="s">
        <v>5892</v>
      </c>
      <c r="C984" s="451">
        <v>45800</v>
      </c>
      <c r="D984" t="s">
        <v>741</v>
      </c>
      <c r="E984" t="s">
        <v>3905</v>
      </c>
      <c r="F984">
        <v>144.9</v>
      </c>
      <c r="G984">
        <v>0</v>
      </c>
      <c r="H984">
        <v>144.9</v>
      </c>
    </row>
    <row r="985" spans="1:8" x14ac:dyDescent="0.3">
      <c r="A985">
        <v>139</v>
      </c>
      <c r="B985" t="s">
        <v>5892</v>
      </c>
      <c r="C985" s="451">
        <v>45799</v>
      </c>
      <c r="D985" t="s">
        <v>741</v>
      </c>
      <c r="E985" t="s">
        <v>20</v>
      </c>
      <c r="F985">
        <v>40.92</v>
      </c>
      <c r="G985">
        <v>0</v>
      </c>
      <c r="H985">
        <v>40.92</v>
      </c>
    </row>
    <row r="986" spans="1:8" x14ac:dyDescent="0.3">
      <c r="A986">
        <v>139</v>
      </c>
      <c r="B986" t="s">
        <v>5892</v>
      </c>
      <c r="C986" s="451">
        <v>45799</v>
      </c>
      <c r="D986" t="s">
        <v>741</v>
      </c>
      <c r="E986" t="s">
        <v>3905</v>
      </c>
      <c r="F986">
        <v>1039.8</v>
      </c>
      <c r="G986">
        <v>0</v>
      </c>
      <c r="H986">
        <v>1039.8</v>
      </c>
    </row>
    <row r="987" spans="1:8" x14ac:dyDescent="0.3">
      <c r="A987">
        <v>139</v>
      </c>
      <c r="B987" t="s">
        <v>5892</v>
      </c>
      <c r="C987" s="451">
        <v>45799</v>
      </c>
      <c r="D987" t="s">
        <v>741</v>
      </c>
      <c r="E987" t="s">
        <v>3904</v>
      </c>
      <c r="F987">
        <v>24</v>
      </c>
      <c r="G987">
        <v>0</v>
      </c>
      <c r="H987">
        <v>24</v>
      </c>
    </row>
    <row r="988" spans="1:8" x14ac:dyDescent="0.3">
      <c r="A988">
        <v>139</v>
      </c>
      <c r="B988" t="s">
        <v>5892</v>
      </c>
      <c r="C988" s="451">
        <v>45798</v>
      </c>
      <c r="D988" t="s">
        <v>741</v>
      </c>
      <c r="E988" t="s">
        <v>20</v>
      </c>
      <c r="F988">
        <v>27.94</v>
      </c>
      <c r="G988">
        <v>0</v>
      </c>
      <c r="H988">
        <v>27.94</v>
      </c>
    </row>
    <row r="989" spans="1:8" x14ac:dyDescent="0.3">
      <c r="A989">
        <v>139</v>
      </c>
      <c r="B989" t="s">
        <v>5892</v>
      </c>
      <c r="C989" s="451">
        <v>45798</v>
      </c>
      <c r="D989" t="s">
        <v>741</v>
      </c>
      <c r="E989" t="s">
        <v>3905</v>
      </c>
      <c r="F989">
        <v>347</v>
      </c>
      <c r="G989">
        <v>0</v>
      </c>
      <c r="H989">
        <v>347</v>
      </c>
    </row>
    <row r="990" spans="1:8" x14ac:dyDescent="0.3">
      <c r="A990">
        <v>139</v>
      </c>
      <c r="B990" t="s">
        <v>5892</v>
      </c>
      <c r="C990" s="451">
        <v>45797</v>
      </c>
      <c r="D990" t="s">
        <v>741</v>
      </c>
      <c r="E990" t="s">
        <v>20</v>
      </c>
      <c r="F990">
        <v>37.94</v>
      </c>
      <c r="G990">
        <v>0</v>
      </c>
      <c r="H990">
        <v>37.94</v>
      </c>
    </row>
    <row r="991" spans="1:8" x14ac:dyDescent="0.3">
      <c r="A991">
        <v>139</v>
      </c>
      <c r="B991" t="s">
        <v>5892</v>
      </c>
      <c r="C991" s="451">
        <v>45797</v>
      </c>
      <c r="D991" t="s">
        <v>741</v>
      </c>
      <c r="E991" t="s">
        <v>3905</v>
      </c>
      <c r="F991">
        <v>303.7</v>
      </c>
      <c r="G991">
        <v>0</v>
      </c>
      <c r="H991">
        <v>303.7</v>
      </c>
    </row>
    <row r="992" spans="1:8" x14ac:dyDescent="0.3">
      <c r="A992">
        <v>139</v>
      </c>
      <c r="B992" t="s">
        <v>5892</v>
      </c>
      <c r="C992" s="451">
        <v>45797</v>
      </c>
      <c r="D992" t="s">
        <v>741</v>
      </c>
      <c r="E992" t="s">
        <v>3904</v>
      </c>
      <c r="F992">
        <v>8</v>
      </c>
      <c r="G992">
        <v>0</v>
      </c>
      <c r="H992">
        <v>8</v>
      </c>
    </row>
    <row r="993" spans="1:8" x14ac:dyDescent="0.3">
      <c r="A993">
        <v>139</v>
      </c>
      <c r="B993" t="s">
        <v>5892</v>
      </c>
      <c r="C993" s="451">
        <v>45796</v>
      </c>
      <c r="D993" t="s">
        <v>741</v>
      </c>
      <c r="E993" t="s">
        <v>20</v>
      </c>
      <c r="F993">
        <v>59.95</v>
      </c>
      <c r="G993">
        <v>0</v>
      </c>
      <c r="H993">
        <v>59.95</v>
      </c>
    </row>
    <row r="994" spans="1:8" x14ac:dyDescent="0.3">
      <c r="A994">
        <v>139</v>
      </c>
      <c r="B994" t="s">
        <v>5892</v>
      </c>
      <c r="C994" s="451">
        <v>45796</v>
      </c>
      <c r="D994" t="s">
        <v>741</v>
      </c>
      <c r="E994" t="s">
        <v>3905</v>
      </c>
      <c r="F994">
        <v>452.6</v>
      </c>
      <c r="G994">
        <v>0</v>
      </c>
      <c r="H994">
        <v>452.6</v>
      </c>
    </row>
    <row r="995" spans="1:8" x14ac:dyDescent="0.3">
      <c r="A995">
        <v>139</v>
      </c>
      <c r="B995" t="s">
        <v>5892</v>
      </c>
      <c r="C995" s="451">
        <v>45796</v>
      </c>
      <c r="D995" t="s">
        <v>741</v>
      </c>
      <c r="E995" t="s">
        <v>3904</v>
      </c>
      <c r="F995">
        <v>8</v>
      </c>
      <c r="G995">
        <v>0</v>
      </c>
      <c r="H995">
        <v>8</v>
      </c>
    </row>
    <row r="996" spans="1:8" x14ac:dyDescent="0.3">
      <c r="A996">
        <v>139</v>
      </c>
      <c r="B996" t="s">
        <v>5892</v>
      </c>
      <c r="C996" s="451">
        <v>45795</v>
      </c>
      <c r="D996" t="s">
        <v>741</v>
      </c>
      <c r="E996" t="s">
        <v>20</v>
      </c>
      <c r="F996">
        <v>77.930000000000007</v>
      </c>
      <c r="G996">
        <v>0</v>
      </c>
      <c r="H996">
        <v>77.930000000000007</v>
      </c>
    </row>
    <row r="997" spans="1:8" x14ac:dyDescent="0.3">
      <c r="A997">
        <v>139</v>
      </c>
      <c r="B997" t="s">
        <v>5892</v>
      </c>
      <c r="C997" s="451">
        <v>45795</v>
      </c>
      <c r="D997" t="s">
        <v>741</v>
      </c>
      <c r="E997" t="s">
        <v>3905</v>
      </c>
      <c r="F997">
        <v>1317</v>
      </c>
      <c r="G997">
        <v>0</v>
      </c>
      <c r="H997">
        <v>1317</v>
      </c>
    </row>
    <row r="998" spans="1:8" x14ac:dyDescent="0.3">
      <c r="A998">
        <v>139</v>
      </c>
      <c r="B998" t="s">
        <v>5892</v>
      </c>
      <c r="C998" s="451">
        <v>45795</v>
      </c>
      <c r="D998" t="s">
        <v>741</v>
      </c>
      <c r="E998" t="s">
        <v>3904</v>
      </c>
      <c r="F998">
        <v>8</v>
      </c>
      <c r="G998">
        <v>0</v>
      </c>
      <c r="H998">
        <v>8</v>
      </c>
    </row>
    <row r="999" spans="1:8" x14ac:dyDescent="0.3">
      <c r="A999">
        <v>139</v>
      </c>
      <c r="B999" t="s">
        <v>5892</v>
      </c>
      <c r="C999" s="451">
        <v>45794</v>
      </c>
      <c r="D999" t="s">
        <v>741</v>
      </c>
      <c r="E999" t="s">
        <v>20</v>
      </c>
      <c r="F999">
        <v>8.99</v>
      </c>
      <c r="G999">
        <v>0</v>
      </c>
      <c r="H999">
        <v>8.99</v>
      </c>
    </row>
    <row r="1000" spans="1:8" x14ac:dyDescent="0.3">
      <c r="A1000">
        <v>139</v>
      </c>
      <c r="B1000" t="s">
        <v>5892</v>
      </c>
      <c r="C1000" s="451">
        <v>45794</v>
      </c>
      <c r="D1000" t="s">
        <v>741</v>
      </c>
      <c r="E1000" t="s">
        <v>3905</v>
      </c>
      <c r="F1000">
        <v>146</v>
      </c>
      <c r="G1000">
        <v>0</v>
      </c>
      <c r="H1000">
        <v>146</v>
      </c>
    </row>
    <row r="1001" spans="1:8" x14ac:dyDescent="0.3">
      <c r="A1001">
        <v>139</v>
      </c>
      <c r="B1001" t="s">
        <v>5892</v>
      </c>
      <c r="C1001" s="451">
        <v>45793</v>
      </c>
      <c r="D1001" t="s">
        <v>741</v>
      </c>
      <c r="E1001" t="s">
        <v>20</v>
      </c>
      <c r="F1001">
        <v>18.98</v>
      </c>
      <c r="G1001">
        <v>0</v>
      </c>
      <c r="H1001">
        <v>18.98</v>
      </c>
    </row>
    <row r="1002" spans="1:8" x14ac:dyDescent="0.3">
      <c r="A1002">
        <v>139</v>
      </c>
      <c r="B1002" t="s">
        <v>5892</v>
      </c>
      <c r="C1002" s="451">
        <v>45793</v>
      </c>
      <c r="D1002" t="s">
        <v>741</v>
      </c>
      <c r="E1002" t="s">
        <v>3905</v>
      </c>
      <c r="F1002">
        <v>198.9</v>
      </c>
      <c r="G1002">
        <v>0</v>
      </c>
      <c r="H1002">
        <v>198.9</v>
      </c>
    </row>
    <row r="1003" spans="1:8" x14ac:dyDescent="0.3">
      <c r="A1003">
        <v>139</v>
      </c>
      <c r="B1003" t="s">
        <v>5892</v>
      </c>
      <c r="C1003" s="451">
        <v>45793</v>
      </c>
      <c r="D1003" t="s">
        <v>741</v>
      </c>
      <c r="E1003" t="s">
        <v>3904</v>
      </c>
      <c r="F1003">
        <v>8</v>
      </c>
      <c r="G1003">
        <v>0</v>
      </c>
      <c r="H1003">
        <v>8</v>
      </c>
    </row>
    <row r="1004" spans="1:8" x14ac:dyDescent="0.3">
      <c r="A1004">
        <v>139</v>
      </c>
      <c r="B1004" t="s">
        <v>5892</v>
      </c>
      <c r="C1004" s="451">
        <v>45792</v>
      </c>
      <c r="D1004" t="s">
        <v>741</v>
      </c>
      <c r="E1004" t="s">
        <v>20</v>
      </c>
      <c r="F1004">
        <v>30.98</v>
      </c>
      <c r="G1004">
        <v>0</v>
      </c>
      <c r="H1004">
        <v>30.98</v>
      </c>
    </row>
    <row r="1005" spans="1:8" x14ac:dyDescent="0.3">
      <c r="A1005">
        <v>139</v>
      </c>
      <c r="B1005" t="s">
        <v>5892</v>
      </c>
      <c r="C1005" s="451">
        <v>45792</v>
      </c>
      <c r="D1005" t="s">
        <v>741</v>
      </c>
      <c r="E1005" t="s">
        <v>3905</v>
      </c>
      <c r="F1005">
        <v>300</v>
      </c>
      <c r="G1005">
        <v>0</v>
      </c>
      <c r="H1005">
        <v>300</v>
      </c>
    </row>
    <row r="1006" spans="1:8" x14ac:dyDescent="0.3">
      <c r="A1006">
        <v>139</v>
      </c>
      <c r="B1006" t="s">
        <v>5892</v>
      </c>
      <c r="C1006" s="451">
        <v>45791</v>
      </c>
      <c r="D1006" t="s">
        <v>741</v>
      </c>
      <c r="E1006" t="s">
        <v>20</v>
      </c>
      <c r="F1006">
        <v>22.99</v>
      </c>
      <c r="G1006">
        <v>0</v>
      </c>
      <c r="H1006">
        <v>22.99</v>
      </c>
    </row>
    <row r="1007" spans="1:8" x14ac:dyDescent="0.3">
      <c r="A1007">
        <v>139</v>
      </c>
      <c r="B1007" t="s">
        <v>5892</v>
      </c>
      <c r="C1007" s="451">
        <v>45791</v>
      </c>
      <c r="D1007" t="s">
        <v>741</v>
      </c>
      <c r="E1007" t="s">
        <v>3904</v>
      </c>
      <c r="F1007">
        <v>8</v>
      </c>
      <c r="G1007">
        <v>0</v>
      </c>
      <c r="H1007">
        <v>8</v>
      </c>
    </row>
    <row r="1008" spans="1:8" x14ac:dyDescent="0.3">
      <c r="A1008">
        <v>139</v>
      </c>
      <c r="B1008" t="s">
        <v>5892</v>
      </c>
      <c r="C1008" s="451">
        <v>45791</v>
      </c>
      <c r="D1008" t="s">
        <v>741</v>
      </c>
      <c r="E1008" t="s">
        <v>3905</v>
      </c>
      <c r="F1008">
        <v>131</v>
      </c>
      <c r="G1008">
        <v>0</v>
      </c>
      <c r="H1008">
        <v>131</v>
      </c>
    </row>
    <row r="1009" spans="1:8" x14ac:dyDescent="0.3">
      <c r="A1009">
        <v>139</v>
      </c>
      <c r="B1009" t="s">
        <v>5892</v>
      </c>
      <c r="C1009" s="451">
        <v>45790</v>
      </c>
      <c r="D1009" t="s">
        <v>741</v>
      </c>
      <c r="E1009" t="s">
        <v>3905</v>
      </c>
      <c r="F1009">
        <v>129.9</v>
      </c>
      <c r="G1009">
        <v>0</v>
      </c>
      <c r="H1009">
        <v>129.9</v>
      </c>
    </row>
    <row r="1010" spans="1:8" x14ac:dyDescent="0.3">
      <c r="A1010">
        <v>139</v>
      </c>
      <c r="B1010" t="s">
        <v>5892</v>
      </c>
      <c r="C1010" s="451">
        <v>45790</v>
      </c>
      <c r="D1010" t="s">
        <v>741</v>
      </c>
      <c r="E1010" t="s">
        <v>20</v>
      </c>
      <c r="F1010">
        <v>14.98</v>
      </c>
      <c r="G1010">
        <v>0</v>
      </c>
      <c r="H1010">
        <v>14.98</v>
      </c>
    </row>
    <row r="1011" spans="1:8" x14ac:dyDescent="0.3">
      <c r="A1011">
        <v>139</v>
      </c>
      <c r="B1011" t="s">
        <v>5892</v>
      </c>
      <c r="C1011" s="451">
        <v>45790</v>
      </c>
      <c r="D1011" t="s">
        <v>741</v>
      </c>
      <c r="E1011" t="s">
        <v>3904</v>
      </c>
      <c r="F1011">
        <v>8</v>
      </c>
      <c r="G1011">
        <v>0</v>
      </c>
      <c r="H1011">
        <v>8</v>
      </c>
    </row>
    <row r="1012" spans="1:8" x14ac:dyDescent="0.3">
      <c r="A1012">
        <v>139</v>
      </c>
      <c r="B1012" t="s">
        <v>5892</v>
      </c>
      <c r="C1012" s="451">
        <v>45789</v>
      </c>
      <c r="D1012" t="s">
        <v>741</v>
      </c>
      <c r="E1012" t="s">
        <v>20</v>
      </c>
      <c r="F1012">
        <v>8.98</v>
      </c>
      <c r="G1012">
        <v>0</v>
      </c>
      <c r="H1012">
        <v>8.98</v>
      </c>
    </row>
    <row r="1013" spans="1:8" x14ac:dyDescent="0.3">
      <c r="A1013">
        <v>139</v>
      </c>
      <c r="B1013" t="s">
        <v>5892</v>
      </c>
      <c r="C1013" s="451">
        <v>45789</v>
      </c>
      <c r="D1013" t="s">
        <v>741</v>
      </c>
      <c r="E1013" t="s">
        <v>3905</v>
      </c>
      <c r="F1013">
        <v>162</v>
      </c>
      <c r="G1013">
        <v>0</v>
      </c>
      <c r="H1013">
        <v>162</v>
      </c>
    </row>
    <row r="1014" spans="1:8" x14ac:dyDescent="0.3">
      <c r="A1014">
        <v>139</v>
      </c>
      <c r="B1014" t="s">
        <v>5892</v>
      </c>
      <c r="C1014" s="451">
        <v>45788</v>
      </c>
      <c r="D1014" t="s">
        <v>741</v>
      </c>
      <c r="E1014" t="s">
        <v>20</v>
      </c>
      <c r="F1014">
        <v>9.99</v>
      </c>
      <c r="G1014">
        <v>0</v>
      </c>
      <c r="H1014">
        <v>9.99</v>
      </c>
    </row>
    <row r="1015" spans="1:8" x14ac:dyDescent="0.3">
      <c r="A1015">
        <v>139</v>
      </c>
      <c r="B1015" t="s">
        <v>5892</v>
      </c>
      <c r="C1015" s="451">
        <v>45788</v>
      </c>
      <c r="D1015" t="s">
        <v>741</v>
      </c>
      <c r="E1015" t="s">
        <v>3905</v>
      </c>
      <c r="F1015">
        <v>58</v>
      </c>
      <c r="G1015">
        <v>0</v>
      </c>
      <c r="H1015">
        <v>58</v>
      </c>
    </row>
    <row r="1016" spans="1:8" x14ac:dyDescent="0.3">
      <c r="A1016">
        <v>139</v>
      </c>
      <c r="B1016" t="s">
        <v>5892</v>
      </c>
      <c r="C1016" s="451">
        <v>45788</v>
      </c>
      <c r="D1016" t="s">
        <v>741</v>
      </c>
      <c r="E1016" t="s">
        <v>3904</v>
      </c>
      <c r="F1016">
        <v>8</v>
      </c>
      <c r="G1016">
        <v>0</v>
      </c>
      <c r="H1016">
        <v>8</v>
      </c>
    </row>
    <row r="1017" spans="1:8" x14ac:dyDescent="0.3">
      <c r="A1017">
        <v>139</v>
      </c>
      <c r="B1017" t="s">
        <v>5892</v>
      </c>
      <c r="C1017" s="451">
        <v>45787</v>
      </c>
      <c r="D1017" t="s">
        <v>741</v>
      </c>
      <c r="E1017" t="s">
        <v>20</v>
      </c>
      <c r="F1017">
        <v>13.99</v>
      </c>
      <c r="G1017">
        <v>0</v>
      </c>
      <c r="H1017">
        <v>13.99</v>
      </c>
    </row>
    <row r="1018" spans="1:8" x14ac:dyDescent="0.3">
      <c r="A1018">
        <v>139</v>
      </c>
      <c r="B1018" t="s">
        <v>5892</v>
      </c>
      <c r="C1018" s="451">
        <v>45787</v>
      </c>
      <c r="D1018" t="s">
        <v>741</v>
      </c>
      <c r="E1018" t="s">
        <v>3905</v>
      </c>
      <c r="F1018">
        <v>107</v>
      </c>
      <c r="G1018">
        <v>0</v>
      </c>
      <c r="H1018">
        <v>107</v>
      </c>
    </row>
    <row r="1019" spans="1:8" x14ac:dyDescent="0.3">
      <c r="A1019">
        <v>139</v>
      </c>
      <c r="B1019" t="s">
        <v>5892</v>
      </c>
      <c r="C1019" s="451">
        <v>45786</v>
      </c>
      <c r="D1019" t="s">
        <v>741</v>
      </c>
      <c r="E1019" t="s">
        <v>20</v>
      </c>
      <c r="F1019">
        <v>34.96</v>
      </c>
      <c r="G1019">
        <v>0</v>
      </c>
      <c r="H1019">
        <v>34.96</v>
      </c>
    </row>
    <row r="1020" spans="1:8" x14ac:dyDescent="0.3">
      <c r="A1020">
        <v>139</v>
      </c>
      <c r="B1020" t="s">
        <v>5892</v>
      </c>
      <c r="C1020" s="451">
        <v>45786</v>
      </c>
      <c r="D1020" t="s">
        <v>741</v>
      </c>
      <c r="E1020" t="s">
        <v>3905</v>
      </c>
      <c r="F1020">
        <v>311.7</v>
      </c>
      <c r="G1020">
        <v>0</v>
      </c>
      <c r="H1020">
        <v>311.7</v>
      </c>
    </row>
    <row r="1021" spans="1:8" x14ac:dyDescent="0.3">
      <c r="A1021">
        <v>139</v>
      </c>
      <c r="B1021" t="s">
        <v>5892</v>
      </c>
      <c r="C1021" s="451">
        <v>45785</v>
      </c>
      <c r="D1021" t="s">
        <v>741</v>
      </c>
      <c r="E1021" t="s">
        <v>20</v>
      </c>
      <c r="F1021">
        <v>52.96</v>
      </c>
      <c r="G1021">
        <v>0</v>
      </c>
      <c r="H1021">
        <v>52.96</v>
      </c>
    </row>
    <row r="1022" spans="1:8" x14ac:dyDescent="0.3">
      <c r="A1022">
        <v>139</v>
      </c>
      <c r="B1022" t="s">
        <v>5892</v>
      </c>
      <c r="C1022" s="451">
        <v>45785</v>
      </c>
      <c r="D1022" t="s">
        <v>741</v>
      </c>
      <c r="E1022" t="s">
        <v>3905</v>
      </c>
      <c r="F1022">
        <v>550</v>
      </c>
      <c r="G1022">
        <v>0</v>
      </c>
      <c r="H1022">
        <v>550</v>
      </c>
    </row>
    <row r="1023" spans="1:8" x14ac:dyDescent="0.3">
      <c r="A1023">
        <v>139</v>
      </c>
      <c r="B1023" t="s">
        <v>5892</v>
      </c>
      <c r="C1023" s="451">
        <v>45784</v>
      </c>
      <c r="D1023" t="s">
        <v>741</v>
      </c>
      <c r="E1023" t="s">
        <v>3905</v>
      </c>
      <c r="F1023">
        <v>367</v>
      </c>
      <c r="G1023">
        <v>0</v>
      </c>
      <c r="H1023">
        <v>367</v>
      </c>
    </row>
    <row r="1024" spans="1:8" x14ac:dyDescent="0.3">
      <c r="A1024">
        <v>139</v>
      </c>
      <c r="B1024" t="s">
        <v>5892</v>
      </c>
      <c r="C1024" s="451">
        <v>45784</v>
      </c>
      <c r="D1024" t="s">
        <v>741</v>
      </c>
      <c r="E1024" t="s">
        <v>20</v>
      </c>
      <c r="F1024">
        <v>35.97</v>
      </c>
      <c r="G1024">
        <v>0</v>
      </c>
      <c r="H1024">
        <v>35.97</v>
      </c>
    </row>
    <row r="1025" spans="1:8" x14ac:dyDescent="0.3">
      <c r="A1025">
        <v>139</v>
      </c>
      <c r="B1025" t="s">
        <v>5892</v>
      </c>
      <c r="C1025" s="451">
        <v>45782</v>
      </c>
      <c r="D1025" t="s">
        <v>741</v>
      </c>
      <c r="E1025" t="s">
        <v>20</v>
      </c>
      <c r="F1025">
        <v>6.99</v>
      </c>
      <c r="G1025">
        <v>0</v>
      </c>
      <c r="H1025">
        <v>6.99</v>
      </c>
    </row>
    <row r="1026" spans="1:8" x14ac:dyDescent="0.3">
      <c r="A1026">
        <v>139</v>
      </c>
      <c r="B1026" t="s">
        <v>5892</v>
      </c>
      <c r="C1026" s="451">
        <v>45782</v>
      </c>
      <c r="D1026" t="s">
        <v>741</v>
      </c>
      <c r="E1026" t="s">
        <v>3904</v>
      </c>
      <c r="F1026">
        <v>8</v>
      </c>
      <c r="G1026">
        <v>0</v>
      </c>
      <c r="H1026">
        <v>8</v>
      </c>
    </row>
    <row r="1027" spans="1:8" x14ac:dyDescent="0.3">
      <c r="A1027">
        <v>139</v>
      </c>
      <c r="B1027" t="s">
        <v>5892</v>
      </c>
      <c r="C1027" s="451">
        <v>45782</v>
      </c>
      <c r="D1027" t="s">
        <v>741</v>
      </c>
      <c r="E1027" t="s">
        <v>3905</v>
      </c>
      <c r="F1027">
        <v>39.9</v>
      </c>
      <c r="G1027">
        <v>0</v>
      </c>
      <c r="H1027">
        <v>39.9</v>
      </c>
    </row>
    <row r="1028" spans="1:8" x14ac:dyDescent="0.3">
      <c r="A1028">
        <v>139</v>
      </c>
      <c r="B1028" t="s">
        <v>5892</v>
      </c>
      <c r="C1028" s="451">
        <v>45781</v>
      </c>
      <c r="D1028" t="s">
        <v>741</v>
      </c>
      <c r="E1028" t="s">
        <v>20</v>
      </c>
      <c r="F1028">
        <v>94.92</v>
      </c>
      <c r="G1028">
        <v>0</v>
      </c>
      <c r="H1028">
        <v>94.92</v>
      </c>
    </row>
    <row r="1029" spans="1:8" x14ac:dyDescent="0.3">
      <c r="A1029">
        <v>139</v>
      </c>
      <c r="B1029" t="s">
        <v>5892</v>
      </c>
      <c r="C1029" s="451">
        <v>45781</v>
      </c>
      <c r="D1029" t="s">
        <v>741</v>
      </c>
      <c r="E1029" t="s">
        <v>3905</v>
      </c>
      <c r="F1029">
        <v>1361</v>
      </c>
      <c r="G1029">
        <v>0</v>
      </c>
      <c r="H1029">
        <v>1361</v>
      </c>
    </row>
    <row r="1030" spans="1:8" x14ac:dyDescent="0.3">
      <c r="A1030">
        <v>139</v>
      </c>
      <c r="B1030" t="s">
        <v>5892</v>
      </c>
      <c r="C1030" s="451">
        <v>45781</v>
      </c>
      <c r="D1030" t="s">
        <v>741</v>
      </c>
      <c r="E1030" t="s">
        <v>3904</v>
      </c>
      <c r="F1030">
        <v>8</v>
      </c>
      <c r="G1030">
        <v>0</v>
      </c>
      <c r="H1030">
        <v>8</v>
      </c>
    </row>
    <row r="1031" spans="1:8" x14ac:dyDescent="0.3">
      <c r="A1031">
        <v>139</v>
      </c>
      <c r="B1031" t="s">
        <v>5892</v>
      </c>
      <c r="C1031" s="451">
        <v>45780</v>
      </c>
      <c r="D1031" t="s">
        <v>741</v>
      </c>
      <c r="E1031" t="s">
        <v>20</v>
      </c>
      <c r="F1031">
        <v>11.99</v>
      </c>
      <c r="G1031">
        <v>0</v>
      </c>
      <c r="H1031">
        <v>11.99</v>
      </c>
    </row>
    <row r="1032" spans="1:8" x14ac:dyDescent="0.3">
      <c r="A1032">
        <v>139</v>
      </c>
      <c r="B1032" t="s">
        <v>5892</v>
      </c>
      <c r="C1032" s="451">
        <v>45780</v>
      </c>
      <c r="D1032" t="s">
        <v>741</v>
      </c>
      <c r="E1032" t="s">
        <v>3905</v>
      </c>
      <c r="F1032">
        <v>77</v>
      </c>
      <c r="G1032">
        <v>0</v>
      </c>
      <c r="H1032">
        <v>77</v>
      </c>
    </row>
    <row r="1033" spans="1:8" x14ac:dyDescent="0.3">
      <c r="A1033">
        <v>139</v>
      </c>
      <c r="B1033" t="s">
        <v>5892</v>
      </c>
      <c r="C1033" s="451">
        <v>45779</v>
      </c>
      <c r="D1033" t="s">
        <v>741</v>
      </c>
      <c r="E1033" t="s">
        <v>3905</v>
      </c>
      <c r="F1033">
        <v>752</v>
      </c>
      <c r="G1033">
        <v>0</v>
      </c>
      <c r="H1033">
        <v>752</v>
      </c>
    </row>
    <row r="1034" spans="1:8" x14ac:dyDescent="0.3">
      <c r="A1034">
        <v>139</v>
      </c>
      <c r="B1034" t="s">
        <v>5892</v>
      </c>
      <c r="C1034" s="451">
        <v>45779</v>
      </c>
      <c r="D1034" t="s">
        <v>741</v>
      </c>
      <c r="E1034" t="s">
        <v>20</v>
      </c>
      <c r="F1034">
        <v>59.95</v>
      </c>
      <c r="G1034">
        <v>0</v>
      </c>
      <c r="H1034">
        <v>59.95</v>
      </c>
    </row>
    <row r="1035" spans="1:8" x14ac:dyDescent="0.3">
      <c r="A1035">
        <v>139</v>
      </c>
      <c r="B1035" t="s">
        <v>5892</v>
      </c>
      <c r="C1035" s="451">
        <v>45778</v>
      </c>
      <c r="D1035" t="s">
        <v>741</v>
      </c>
      <c r="E1035" t="s">
        <v>20</v>
      </c>
      <c r="F1035">
        <v>50.96</v>
      </c>
      <c r="G1035">
        <v>0</v>
      </c>
      <c r="H1035">
        <v>50.96</v>
      </c>
    </row>
    <row r="1036" spans="1:8" x14ac:dyDescent="0.3">
      <c r="A1036">
        <v>139</v>
      </c>
      <c r="B1036" t="s">
        <v>5892</v>
      </c>
      <c r="C1036" s="451">
        <v>45778</v>
      </c>
      <c r="D1036" t="s">
        <v>741</v>
      </c>
      <c r="E1036" t="s">
        <v>3905</v>
      </c>
      <c r="F1036">
        <v>670</v>
      </c>
      <c r="G1036">
        <v>0</v>
      </c>
      <c r="H1036">
        <v>670</v>
      </c>
    </row>
    <row r="1037" spans="1:8" x14ac:dyDescent="0.3">
      <c r="A1037">
        <v>139</v>
      </c>
      <c r="B1037" t="s">
        <v>5892</v>
      </c>
      <c r="C1037" s="451">
        <v>45777</v>
      </c>
      <c r="D1037" t="s">
        <v>739</v>
      </c>
      <c r="E1037" t="s">
        <v>20</v>
      </c>
      <c r="F1037">
        <v>27.97</v>
      </c>
      <c r="G1037">
        <v>0</v>
      </c>
      <c r="H1037">
        <v>27.97</v>
      </c>
    </row>
    <row r="1038" spans="1:8" x14ac:dyDescent="0.3">
      <c r="A1038">
        <v>139</v>
      </c>
      <c r="B1038" t="s">
        <v>5892</v>
      </c>
      <c r="C1038" s="451">
        <v>45777</v>
      </c>
      <c r="D1038" t="s">
        <v>739</v>
      </c>
      <c r="E1038" t="s">
        <v>3905</v>
      </c>
      <c r="F1038">
        <v>356.9</v>
      </c>
      <c r="G1038">
        <v>0</v>
      </c>
      <c r="H1038">
        <v>356.9</v>
      </c>
    </row>
    <row r="1039" spans="1:8" x14ac:dyDescent="0.3">
      <c r="A1039">
        <v>139</v>
      </c>
      <c r="B1039" t="s">
        <v>5892</v>
      </c>
      <c r="C1039" s="451">
        <v>45776</v>
      </c>
      <c r="D1039" t="s">
        <v>739</v>
      </c>
      <c r="E1039" t="s">
        <v>20</v>
      </c>
      <c r="F1039">
        <v>7.99</v>
      </c>
      <c r="G1039">
        <v>0</v>
      </c>
      <c r="H1039">
        <v>7.99</v>
      </c>
    </row>
    <row r="1040" spans="1:8" x14ac:dyDescent="0.3">
      <c r="A1040">
        <v>139</v>
      </c>
      <c r="B1040" t="s">
        <v>5892</v>
      </c>
      <c r="C1040" s="451">
        <v>45776</v>
      </c>
      <c r="D1040" t="s">
        <v>739</v>
      </c>
      <c r="E1040" t="s">
        <v>3905</v>
      </c>
      <c r="F1040">
        <v>63</v>
      </c>
      <c r="G1040">
        <v>0</v>
      </c>
      <c r="H1040">
        <v>63</v>
      </c>
    </row>
    <row r="1041" spans="1:8" x14ac:dyDescent="0.3">
      <c r="A1041">
        <v>139</v>
      </c>
      <c r="B1041" t="s">
        <v>5892</v>
      </c>
      <c r="C1041" s="451">
        <v>45775</v>
      </c>
      <c r="D1041" t="s">
        <v>739</v>
      </c>
      <c r="E1041" t="s">
        <v>20</v>
      </c>
      <c r="F1041">
        <v>29.97</v>
      </c>
      <c r="G1041">
        <v>0</v>
      </c>
      <c r="H1041">
        <v>29.97</v>
      </c>
    </row>
    <row r="1042" spans="1:8" x14ac:dyDescent="0.3">
      <c r="A1042">
        <v>139</v>
      </c>
      <c r="B1042" t="s">
        <v>5892</v>
      </c>
      <c r="C1042" s="451">
        <v>45775</v>
      </c>
      <c r="D1042" t="s">
        <v>739</v>
      </c>
      <c r="E1042" t="s">
        <v>3905</v>
      </c>
      <c r="F1042">
        <v>310.7</v>
      </c>
      <c r="G1042">
        <v>0</v>
      </c>
      <c r="H1042">
        <v>310.7</v>
      </c>
    </row>
    <row r="1043" spans="1:8" x14ac:dyDescent="0.3">
      <c r="A1043">
        <v>139</v>
      </c>
      <c r="B1043" t="s">
        <v>5892</v>
      </c>
      <c r="C1043" s="451">
        <v>45774</v>
      </c>
      <c r="D1043" t="s">
        <v>739</v>
      </c>
      <c r="E1043" t="s">
        <v>3905</v>
      </c>
      <c r="F1043">
        <v>103</v>
      </c>
      <c r="G1043">
        <v>0</v>
      </c>
      <c r="H1043">
        <v>103</v>
      </c>
    </row>
    <row r="1044" spans="1:8" x14ac:dyDescent="0.3">
      <c r="A1044">
        <v>139</v>
      </c>
      <c r="B1044" t="s">
        <v>5892</v>
      </c>
      <c r="C1044" s="451">
        <v>45774</v>
      </c>
      <c r="D1044" t="s">
        <v>739</v>
      </c>
      <c r="E1044" t="s">
        <v>20</v>
      </c>
      <c r="F1044">
        <v>34.979999999999997</v>
      </c>
      <c r="G1044">
        <v>0</v>
      </c>
      <c r="H1044">
        <v>34.979999999999997</v>
      </c>
    </row>
    <row r="1045" spans="1:8" x14ac:dyDescent="0.3">
      <c r="A1045">
        <v>139</v>
      </c>
      <c r="B1045" t="s">
        <v>5892</v>
      </c>
      <c r="C1045" s="451">
        <v>45774</v>
      </c>
      <c r="D1045" t="s">
        <v>739</v>
      </c>
      <c r="E1045" t="s">
        <v>3904</v>
      </c>
      <c r="F1045">
        <v>16</v>
      </c>
      <c r="G1045">
        <v>0</v>
      </c>
      <c r="H1045">
        <v>16</v>
      </c>
    </row>
    <row r="1046" spans="1:8" x14ac:dyDescent="0.3">
      <c r="A1046">
        <v>139</v>
      </c>
      <c r="B1046" t="s">
        <v>5892</v>
      </c>
      <c r="C1046" s="451">
        <v>45773</v>
      </c>
      <c r="D1046" t="s">
        <v>739</v>
      </c>
      <c r="E1046" t="s">
        <v>20</v>
      </c>
      <c r="F1046">
        <v>52.96</v>
      </c>
      <c r="G1046">
        <v>0</v>
      </c>
      <c r="H1046">
        <v>52.96</v>
      </c>
    </row>
    <row r="1047" spans="1:8" x14ac:dyDescent="0.3">
      <c r="A1047">
        <v>139</v>
      </c>
      <c r="B1047" t="s">
        <v>5892</v>
      </c>
      <c r="C1047" s="451">
        <v>45773</v>
      </c>
      <c r="D1047" t="s">
        <v>739</v>
      </c>
      <c r="E1047" t="s">
        <v>3905</v>
      </c>
      <c r="F1047">
        <v>440</v>
      </c>
      <c r="G1047">
        <v>0</v>
      </c>
      <c r="H1047">
        <v>440</v>
      </c>
    </row>
    <row r="1048" spans="1:8" x14ac:dyDescent="0.3">
      <c r="A1048">
        <v>139</v>
      </c>
      <c r="B1048" t="s">
        <v>5892</v>
      </c>
      <c r="C1048" s="451">
        <v>45772</v>
      </c>
      <c r="D1048" t="s">
        <v>739</v>
      </c>
      <c r="E1048" t="s">
        <v>20</v>
      </c>
      <c r="F1048">
        <v>11.99</v>
      </c>
      <c r="G1048">
        <v>0</v>
      </c>
      <c r="H1048">
        <v>11.99</v>
      </c>
    </row>
    <row r="1049" spans="1:8" x14ac:dyDescent="0.3">
      <c r="A1049">
        <v>139</v>
      </c>
      <c r="B1049" t="s">
        <v>5892</v>
      </c>
      <c r="C1049" s="451">
        <v>45772</v>
      </c>
      <c r="D1049" t="s">
        <v>739</v>
      </c>
      <c r="E1049" t="s">
        <v>3905</v>
      </c>
      <c r="F1049">
        <v>131</v>
      </c>
      <c r="G1049">
        <v>0</v>
      </c>
      <c r="H1049">
        <v>131</v>
      </c>
    </row>
    <row r="1050" spans="1:8" x14ac:dyDescent="0.3">
      <c r="A1050">
        <v>139</v>
      </c>
      <c r="B1050" t="s">
        <v>5892</v>
      </c>
      <c r="C1050" s="451">
        <v>45772</v>
      </c>
      <c r="D1050" t="s">
        <v>739</v>
      </c>
      <c r="E1050" t="s">
        <v>3904</v>
      </c>
      <c r="F1050">
        <v>8</v>
      </c>
      <c r="G1050">
        <v>0</v>
      </c>
      <c r="H1050">
        <v>8</v>
      </c>
    </row>
    <row r="1051" spans="1:8" x14ac:dyDescent="0.3">
      <c r="A1051">
        <v>139</v>
      </c>
      <c r="B1051" t="s">
        <v>5892</v>
      </c>
      <c r="C1051" s="451">
        <v>45771</v>
      </c>
      <c r="D1051" t="s">
        <v>739</v>
      </c>
      <c r="E1051" t="s">
        <v>3905</v>
      </c>
      <c r="F1051">
        <v>598</v>
      </c>
      <c r="G1051">
        <v>0</v>
      </c>
      <c r="H1051">
        <v>598</v>
      </c>
    </row>
    <row r="1052" spans="1:8" x14ac:dyDescent="0.3">
      <c r="A1052">
        <v>139</v>
      </c>
      <c r="B1052" t="s">
        <v>5892</v>
      </c>
      <c r="C1052" s="451">
        <v>45771</v>
      </c>
      <c r="D1052" t="s">
        <v>739</v>
      </c>
      <c r="E1052" t="s">
        <v>20</v>
      </c>
      <c r="F1052">
        <v>43.97</v>
      </c>
      <c r="G1052">
        <v>0</v>
      </c>
      <c r="H1052">
        <v>43.97</v>
      </c>
    </row>
    <row r="1053" spans="1:8" x14ac:dyDescent="0.3">
      <c r="A1053">
        <v>139</v>
      </c>
      <c r="B1053" t="s">
        <v>5892</v>
      </c>
      <c r="C1053" s="451">
        <v>45770</v>
      </c>
      <c r="D1053" t="s">
        <v>739</v>
      </c>
      <c r="E1053" t="s">
        <v>20</v>
      </c>
      <c r="F1053">
        <v>34.97</v>
      </c>
      <c r="G1053">
        <v>0</v>
      </c>
      <c r="H1053">
        <v>34.97</v>
      </c>
    </row>
    <row r="1054" spans="1:8" x14ac:dyDescent="0.3">
      <c r="A1054">
        <v>139</v>
      </c>
      <c r="B1054" t="s">
        <v>5892</v>
      </c>
      <c r="C1054" s="451">
        <v>45770</v>
      </c>
      <c r="D1054" t="s">
        <v>739</v>
      </c>
      <c r="E1054" t="s">
        <v>3905</v>
      </c>
      <c r="F1054">
        <v>234.8</v>
      </c>
      <c r="G1054">
        <v>0</v>
      </c>
      <c r="H1054">
        <v>234.8</v>
      </c>
    </row>
    <row r="1055" spans="1:8" x14ac:dyDescent="0.3">
      <c r="A1055">
        <v>139</v>
      </c>
      <c r="B1055" t="s">
        <v>5892</v>
      </c>
      <c r="C1055" s="451">
        <v>45769</v>
      </c>
      <c r="D1055" t="s">
        <v>739</v>
      </c>
      <c r="E1055" t="s">
        <v>20</v>
      </c>
      <c r="F1055">
        <v>6.99</v>
      </c>
      <c r="G1055">
        <v>0</v>
      </c>
      <c r="H1055">
        <v>6.99</v>
      </c>
    </row>
    <row r="1056" spans="1:8" x14ac:dyDescent="0.3">
      <c r="A1056">
        <v>139</v>
      </c>
      <c r="B1056" t="s">
        <v>5892</v>
      </c>
      <c r="C1056" s="451">
        <v>45769</v>
      </c>
      <c r="D1056" t="s">
        <v>739</v>
      </c>
      <c r="E1056" t="s">
        <v>3905</v>
      </c>
      <c r="F1056">
        <v>112</v>
      </c>
      <c r="G1056">
        <v>0</v>
      </c>
      <c r="H1056">
        <v>112</v>
      </c>
    </row>
    <row r="1057" spans="1:8" x14ac:dyDescent="0.3">
      <c r="A1057">
        <v>139</v>
      </c>
      <c r="B1057" t="s">
        <v>5892</v>
      </c>
      <c r="C1057" s="451">
        <v>45768</v>
      </c>
      <c r="D1057" t="s">
        <v>739</v>
      </c>
      <c r="E1057" t="s">
        <v>20</v>
      </c>
      <c r="F1057">
        <v>69.95</v>
      </c>
      <c r="G1057">
        <v>0</v>
      </c>
      <c r="H1057">
        <v>69.95</v>
      </c>
    </row>
    <row r="1058" spans="1:8" x14ac:dyDescent="0.3">
      <c r="A1058">
        <v>139</v>
      </c>
      <c r="B1058" t="s">
        <v>5892</v>
      </c>
      <c r="C1058" s="451">
        <v>45768</v>
      </c>
      <c r="D1058" t="s">
        <v>739</v>
      </c>
      <c r="E1058" t="s">
        <v>3905</v>
      </c>
      <c r="F1058">
        <v>651.79999999999995</v>
      </c>
      <c r="G1058">
        <v>0</v>
      </c>
      <c r="H1058">
        <v>651.79999999999995</v>
      </c>
    </row>
    <row r="1059" spans="1:8" x14ac:dyDescent="0.3">
      <c r="A1059">
        <v>139</v>
      </c>
      <c r="B1059" t="s">
        <v>5892</v>
      </c>
      <c r="C1059" s="451">
        <v>45767</v>
      </c>
      <c r="D1059" t="s">
        <v>739</v>
      </c>
      <c r="E1059" t="s">
        <v>3905</v>
      </c>
      <c r="F1059">
        <v>356</v>
      </c>
      <c r="G1059">
        <v>0</v>
      </c>
      <c r="H1059">
        <v>356</v>
      </c>
    </row>
    <row r="1060" spans="1:8" x14ac:dyDescent="0.3">
      <c r="A1060">
        <v>139</v>
      </c>
      <c r="B1060" t="s">
        <v>5892</v>
      </c>
      <c r="C1060" s="451">
        <v>45767</v>
      </c>
      <c r="D1060" t="s">
        <v>739</v>
      </c>
      <c r="E1060" t="s">
        <v>20</v>
      </c>
      <c r="F1060">
        <v>21.98</v>
      </c>
      <c r="G1060">
        <v>0</v>
      </c>
      <c r="H1060">
        <v>21.98</v>
      </c>
    </row>
    <row r="1061" spans="1:8" x14ac:dyDescent="0.3">
      <c r="A1061">
        <v>139</v>
      </c>
      <c r="B1061" t="s">
        <v>5892</v>
      </c>
      <c r="C1061" s="451">
        <v>45766</v>
      </c>
      <c r="D1061" t="s">
        <v>739</v>
      </c>
      <c r="E1061" t="s">
        <v>20</v>
      </c>
      <c r="F1061">
        <v>19.989999999999998</v>
      </c>
      <c r="G1061">
        <v>0</v>
      </c>
      <c r="H1061">
        <v>19.989999999999998</v>
      </c>
    </row>
    <row r="1062" spans="1:8" x14ac:dyDescent="0.3">
      <c r="A1062">
        <v>139</v>
      </c>
      <c r="B1062" t="s">
        <v>5892</v>
      </c>
      <c r="C1062" s="451">
        <v>45766</v>
      </c>
      <c r="D1062" t="s">
        <v>739</v>
      </c>
      <c r="E1062" t="s">
        <v>3905</v>
      </c>
      <c r="F1062">
        <v>263</v>
      </c>
      <c r="G1062">
        <v>0</v>
      </c>
      <c r="H1062">
        <v>263</v>
      </c>
    </row>
    <row r="1063" spans="1:8" x14ac:dyDescent="0.3">
      <c r="A1063">
        <v>139</v>
      </c>
      <c r="B1063" t="s">
        <v>5892</v>
      </c>
      <c r="C1063" s="451">
        <v>45765</v>
      </c>
      <c r="D1063" t="s">
        <v>739</v>
      </c>
      <c r="E1063" t="s">
        <v>3905</v>
      </c>
      <c r="F1063">
        <v>108</v>
      </c>
      <c r="G1063">
        <v>0</v>
      </c>
      <c r="H1063">
        <v>108</v>
      </c>
    </row>
    <row r="1064" spans="1:8" x14ac:dyDescent="0.3">
      <c r="A1064">
        <v>139</v>
      </c>
      <c r="B1064" t="s">
        <v>5892</v>
      </c>
      <c r="C1064" s="451">
        <v>45765</v>
      </c>
      <c r="D1064" t="s">
        <v>739</v>
      </c>
      <c r="E1064" t="s">
        <v>20</v>
      </c>
      <c r="F1064">
        <v>12.99</v>
      </c>
      <c r="G1064">
        <v>0</v>
      </c>
      <c r="H1064">
        <v>12.99</v>
      </c>
    </row>
    <row r="1065" spans="1:8" x14ac:dyDescent="0.3">
      <c r="A1065">
        <v>139</v>
      </c>
      <c r="B1065" t="s">
        <v>5892</v>
      </c>
      <c r="C1065" s="451">
        <v>45765</v>
      </c>
      <c r="D1065" t="s">
        <v>739</v>
      </c>
      <c r="E1065" t="s">
        <v>3904</v>
      </c>
      <c r="F1065">
        <v>8</v>
      </c>
      <c r="G1065">
        <v>0</v>
      </c>
      <c r="H1065">
        <v>8</v>
      </c>
    </row>
    <row r="1066" spans="1:8" x14ac:dyDescent="0.3">
      <c r="A1066">
        <v>139</v>
      </c>
      <c r="B1066" t="s">
        <v>5892</v>
      </c>
      <c r="C1066" s="451">
        <v>45764</v>
      </c>
      <c r="D1066" t="s">
        <v>739</v>
      </c>
      <c r="E1066" t="s">
        <v>20</v>
      </c>
      <c r="F1066">
        <v>17.98</v>
      </c>
      <c r="G1066">
        <v>0</v>
      </c>
      <c r="H1066">
        <v>17.98</v>
      </c>
    </row>
    <row r="1067" spans="1:8" x14ac:dyDescent="0.3">
      <c r="A1067">
        <v>139</v>
      </c>
      <c r="B1067" t="s">
        <v>5892</v>
      </c>
      <c r="C1067" s="451">
        <v>45764</v>
      </c>
      <c r="D1067" t="s">
        <v>739</v>
      </c>
      <c r="E1067" t="s">
        <v>3905</v>
      </c>
      <c r="F1067">
        <v>228.9</v>
      </c>
      <c r="G1067">
        <v>0</v>
      </c>
      <c r="H1067">
        <v>228.9</v>
      </c>
    </row>
    <row r="1068" spans="1:8" x14ac:dyDescent="0.3">
      <c r="A1068">
        <v>139</v>
      </c>
      <c r="B1068" t="s">
        <v>5892</v>
      </c>
      <c r="C1068" s="451">
        <v>45763</v>
      </c>
      <c r="D1068" t="s">
        <v>739</v>
      </c>
      <c r="E1068" t="s">
        <v>20</v>
      </c>
      <c r="F1068">
        <v>62.95</v>
      </c>
      <c r="G1068">
        <v>0</v>
      </c>
      <c r="H1068">
        <v>62.95</v>
      </c>
    </row>
    <row r="1069" spans="1:8" x14ac:dyDescent="0.3">
      <c r="A1069">
        <v>139</v>
      </c>
      <c r="B1069" t="s">
        <v>5892</v>
      </c>
      <c r="C1069" s="451">
        <v>45763</v>
      </c>
      <c r="D1069" t="s">
        <v>739</v>
      </c>
      <c r="E1069" t="s">
        <v>3905</v>
      </c>
      <c r="F1069">
        <v>785.7</v>
      </c>
      <c r="G1069">
        <v>0</v>
      </c>
      <c r="H1069">
        <v>785.7</v>
      </c>
    </row>
    <row r="1070" spans="1:8" x14ac:dyDescent="0.3">
      <c r="A1070">
        <v>139</v>
      </c>
      <c r="B1070" t="s">
        <v>5892</v>
      </c>
      <c r="C1070" s="451">
        <v>45763</v>
      </c>
      <c r="D1070" t="s">
        <v>739</v>
      </c>
      <c r="E1070" t="s">
        <v>3904</v>
      </c>
      <c r="F1070">
        <v>8</v>
      </c>
      <c r="G1070">
        <v>0</v>
      </c>
      <c r="H1070">
        <v>8</v>
      </c>
    </row>
    <row r="1071" spans="1:8" x14ac:dyDescent="0.3">
      <c r="A1071">
        <v>139</v>
      </c>
      <c r="B1071" t="s">
        <v>5892</v>
      </c>
      <c r="C1071" s="451">
        <v>45761</v>
      </c>
      <c r="D1071" t="s">
        <v>739</v>
      </c>
      <c r="E1071" t="s">
        <v>20</v>
      </c>
      <c r="F1071">
        <v>21.99</v>
      </c>
      <c r="G1071">
        <v>0</v>
      </c>
      <c r="H1071">
        <v>21.99</v>
      </c>
    </row>
    <row r="1072" spans="1:8" x14ac:dyDescent="0.3">
      <c r="A1072">
        <v>139</v>
      </c>
      <c r="B1072" t="s">
        <v>5892</v>
      </c>
      <c r="C1072" s="451">
        <v>45761</v>
      </c>
      <c r="D1072" t="s">
        <v>739</v>
      </c>
      <c r="E1072" t="s">
        <v>3905</v>
      </c>
      <c r="F1072">
        <v>84</v>
      </c>
      <c r="G1072">
        <v>0</v>
      </c>
      <c r="H1072">
        <v>84</v>
      </c>
    </row>
    <row r="1073" spans="1:8" x14ac:dyDescent="0.3">
      <c r="A1073">
        <v>139</v>
      </c>
      <c r="B1073" t="s">
        <v>5892</v>
      </c>
      <c r="C1073" s="451">
        <v>45760</v>
      </c>
      <c r="D1073" t="s">
        <v>739</v>
      </c>
      <c r="E1073" t="s">
        <v>3905</v>
      </c>
      <c r="F1073">
        <v>586</v>
      </c>
      <c r="G1073">
        <v>0</v>
      </c>
      <c r="H1073">
        <v>586</v>
      </c>
    </row>
    <row r="1074" spans="1:8" x14ac:dyDescent="0.3">
      <c r="A1074">
        <v>139</v>
      </c>
      <c r="B1074" t="s">
        <v>5892</v>
      </c>
      <c r="C1074" s="451">
        <v>45760</v>
      </c>
      <c r="D1074" t="s">
        <v>739</v>
      </c>
      <c r="E1074" t="s">
        <v>20</v>
      </c>
      <c r="F1074">
        <v>59.95</v>
      </c>
      <c r="G1074">
        <v>0</v>
      </c>
      <c r="H1074">
        <v>59.95</v>
      </c>
    </row>
    <row r="1075" spans="1:8" x14ac:dyDescent="0.3">
      <c r="A1075">
        <v>139</v>
      </c>
      <c r="B1075" t="s">
        <v>5892</v>
      </c>
      <c r="C1075" s="451">
        <v>45759</v>
      </c>
      <c r="D1075" t="s">
        <v>739</v>
      </c>
      <c r="E1075" t="s">
        <v>20</v>
      </c>
      <c r="F1075">
        <v>19.98</v>
      </c>
      <c r="G1075">
        <v>0</v>
      </c>
      <c r="H1075">
        <v>19.98</v>
      </c>
    </row>
    <row r="1076" spans="1:8" x14ac:dyDescent="0.3">
      <c r="A1076">
        <v>139</v>
      </c>
      <c r="B1076" t="s">
        <v>5892</v>
      </c>
      <c r="C1076" s="451">
        <v>45759</v>
      </c>
      <c r="D1076" t="s">
        <v>739</v>
      </c>
      <c r="E1076" t="s">
        <v>3905</v>
      </c>
      <c r="F1076">
        <v>191</v>
      </c>
      <c r="G1076">
        <v>0</v>
      </c>
      <c r="H1076">
        <v>191</v>
      </c>
    </row>
    <row r="1077" spans="1:8" x14ac:dyDescent="0.3">
      <c r="A1077">
        <v>139</v>
      </c>
      <c r="B1077" t="s">
        <v>5892</v>
      </c>
      <c r="C1077" s="451">
        <v>45758</v>
      </c>
      <c r="D1077" t="s">
        <v>739</v>
      </c>
      <c r="E1077" t="s">
        <v>20</v>
      </c>
      <c r="F1077">
        <v>29.97</v>
      </c>
      <c r="G1077">
        <v>0</v>
      </c>
      <c r="H1077">
        <v>29.97</v>
      </c>
    </row>
    <row r="1078" spans="1:8" x14ac:dyDescent="0.3">
      <c r="A1078">
        <v>139</v>
      </c>
      <c r="B1078" t="s">
        <v>5892</v>
      </c>
      <c r="C1078" s="451">
        <v>45758</v>
      </c>
      <c r="D1078" t="s">
        <v>739</v>
      </c>
      <c r="E1078" t="s">
        <v>3905</v>
      </c>
      <c r="F1078">
        <v>479</v>
      </c>
      <c r="G1078">
        <v>0</v>
      </c>
      <c r="H1078">
        <v>479</v>
      </c>
    </row>
    <row r="1079" spans="1:8" x14ac:dyDescent="0.3">
      <c r="A1079">
        <v>139</v>
      </c>
      <c r="B1079" t="s">
        <v>5892</v>
      </c>
      <c r="C1079" s="451">
        <v>45757</v>
      </c>
      <c r="D1079" t="s">
        <v>739</v>
      </c>
      <c r="E1079" t="s">
        <v>3905</v>
      </c>
      <c r="F1079">
        <v>508</v>
      </c>
      <c r="G1079">
        <v>0</v>
      </c>
      <c r="H1079">
        <v>508</v>
      </c>
    </row>
    <row r="1080" spans="1:8" x14ac:dyDescent="0.3">
      <c r="A1080">
        <v>139</v>
      </c>
      <c r="B1080" t="s">
        <v>5892</v>
      </c>
      <c r="C1080" s="451">
        <v>45757</v>
      </c>
      <c r="D1080" t="s">
        <v>739</v>
      </c>
      <c r="E1080" t="s">
        <v>20</v>
      </c>
      <c r="F1080">
        <v>35.97</v>
      </c>
      <c r="G1080">
        <v>0</v>
      </c>
      <c r="H1080">
        <v>35.97</v>
      </c>
    </row>
    <row r="1081" spans="1:8" x14ac:dyDescent="0.3">
      <c r="A1081">
        <v>139</v>
      </c>
      <c r="B1081" t="s">
        <v>5892</v>
      </c>
      <c r="C1081" s="451">
        <v>45756</v>
      </c>
      <c r="D1081" t="s">
        <v>739</v>
      </c>
      <c r="E1081" t="s">
        <v>20</v>
      </c>
      <c r="F1081">
        <v>20.98</v>
      </c>
      <c r="G1081">
        <v>0</v>
      </c>
      <c r="H1081">
        <v>20.98</v>
      </c>
    </row>
    <row r="1082" spans="1:8" x14ac:dyDescent="0.3">
      <c r="A1082">
        <v>139</v>
      </c>
      <c r="B1082" t="s">
        <v>5892</v>
      </c>
      <c r="C1082" s="451">
        <v>45756</v>
      </c>
      <c r="D1082" t="s">
        <v>739</v>
      </c>
      <c r="E1082" t="s">
        <v>3905</v>
      </c>
      <c r="F1082">
        <v>300</v>
      </c>
      <c r="G1082">
        <v>0</v>
      </c>
      <c r="H1082">
        <v>300</v>
      </c>
    </row>
    <row r="1083" spans="1:8" x14ac:dyDescent="0.3">
      <c r="A1083">
        <v>139</v>
      </c>
      <c r="B1083" t="s">
        <v>5892</v>
      </c>
      <c r="C1083" s="451">
        <v>45754</v>
      </c>
      <c r="D1083" t="s">
        <v>739</v>
      </c>
      <c r="E1083" t="s">
        <v>20</v>
      </c>
      <c r="F1083">
        <v>10.99</v>
      </c>
      <c r="G1083">
        <v>0</v>
      </c>
      <c r="H1083">
        <v>10.99</v>
      </c>
    </row>
    <row r="1084" spans="1:8" x14ac:dyDescent="0.3">
      <c r="A1084">
        <v>139</v>
      </c>
      <c r="B1084" t="s">
        <v>5892</v>
      </c>
      <c r="C1084" s="451">
        <v>45754</v>
      </c>
      <c r="D1084" t="s">
        <v>739</v>
      </c>
      <c r="E1084" t="s">
        <v>3905</v>
      </c>
      <c r="F1084">
        <v>118</v>
      </c>
      <c r="G1084">
        <v>0</v>
      </c>
      <c r="H1084">
        <v>118</v>
      </c>
    </row>
    <row r="1085" spans="1:8" x14ac:dyDescent="0.3">
      <c r="A1085">
        <v>139</v>
      </c>
      <c r="B1085" t="s">
        <v>5892</v>
      </c>
      <c r="C1085" s="451">
        <v>45752</v>
      </c>
      <c r="D1085" t="s">
        <v>739</v>
      </c>
      <c r="E1085" t="s">
        <v>20</v>
      </c>
      <c r="F1085">
        <v>29.97</v>
      </c>
      <c r="G1085">
        <v>0</v>
      </c>
      <c r="H1085">
        <v>29.97</v>
      </c>
    </row>
    <row r="1086" spans="1:8" x14ac:dyDescent="0.3">
      <c r="A1086">
        <v>139</v>
      </c>
      <c r="B1086" t="s">
        <v>5892</v>
      </c>
      <c r="C1086" s="451">
        <v>45752</v>
      </c>
      <c r="D1086" t="s">
        <v>739</v>
      </c>
      <c r="E1086" t="s">
        <v>3905</v>
      </c>
      <c r="F1086">
        <v>652</v>
      </c>
      <c r="G1086">
        <v>0</v>
      </c>
      <c r="H1086">
        <v>652</v>
      </c>
    </row>
    <row r="1087" spans="1:8" x14ac:dyDescent="0.3">
      <c r="A1087">
        <v>139</v>
      </c>
      <c r="B1087" t="s">
        <v>5892</v>
      </c>
      <c r="C1087" s="451">
        <v>45751</v>
      </c>
      <c r="D1087" t="s">
        <v>739</v>
      </c>
      <c r="E1087" t="s">
        <v>20</v>
      </c>
      <c r="F1087">
        <v>39.97</v>
      </c>
      <c r="G1087">
        <v>0</v>
      </c>
      <c r="H1087">
        <v>39.97</v>
      </c>
    </row>
    <row r="1088" spans="1:8" x14ac:dyDescent="0.3">
      <c r="A1088">
        <v>139</v>
      </c>
      <c r="B1088" t="s">
        <v>5892</v>
      </c>
      <c r="C1088" s="451">
        <v>45751</v>
      </c>
      <c r="D1088" t="s">
        <v>739</v>
      </c>
      <c r="E1088" t="s">
        <v>3905</v>
      </c>
      <c r="F1088">
        <v>495</v>
      </c>
      <c r="G1088">
        <v>0</v>
      </c>
      <c r="H1088">
        <v>495</v>
      </c>
    </row>
    <row r="1089" spans="1:8" x14ac:dyDescent="0.3">
      <c r="A1089">
        <v>139</v>
      </c>
      <c r="B1089" t="s">
        <v>5892</v>
      </c>
      <c r="C1089" s="451">
        <v>45750</v>
      </c>
      <c r="D1089" t="s">
        <v>739</v>
      </c>
      <c r="E1089" t="s">
        <v>20</v>
      </c>
      <c r="F1089">
        <v>12.99</v>
      </c>
      <c r="G1089">
        <v>0</v>
      </c>
      <c r="H1089">
        <v>12.99</v>
      </c>
    </row>
    <row r="1090" spans="1:8" x14ac:dyDescent="0.3">
      <c r="A1090">
        <v>139</v>
      </c>
      <c r="B1090" t="s">
        <v>5892</v>
      </c>
      <c r="C1090" s="451">
        <v>45750</v>
      </c>
      <c r="D1090" t="s">
        <v>739</v>
      </c>
      <c r="E1090" t="s">
        <v>3905</v>
      </c>
      <c r="F1090">
        <v>168</v>
      </c>
      <c r="G1090">
        <v>0</v>
      </c>
      <c r="H1090">
        <v>168</v>
      </c>
    </row>
    <row r="1091" spans="1:8" x14ac:dyDescent="0.3">
      <c r="A1091">
        <v>139</v>
      </c>
      <c r="B1091" t="s">
        <v>5892</v>
      </c>
      <c r="C1091" s="451">
        <v>45746</v>
      </c>
      <c r="D1091" t="s">
        <v>737</v>
      </c>
      <c r="E1091" t="s">
        <v>3905</v>
      </c>
      <c r="F1091">
        <v>469</v>
      </c>
      <c r="G1091">
        <v>0</v>
      </c>
      <c r="H1091">
        <v>469</v>
      </c>
    </row>
    <row r="1092" spans="1:8" x14ac:dyDescent="0.3">
      <c r="A1092">
        <v>139</v>
      </c>
      <c r="B1092" t="s">
        <v>5892</v>
      </c>
      <c r="C1092" s="451">
        <v>45746</v>
      </c>
      <c r="D1092" t="s">
        <v>737</v>
      </c>
      <c r="E1092" t="s">
        <v>20</v>
      </c>
      <c r="F1092">
        <v>32.97</v>
      </c>
      <c r="G1092">
        <v>0</v>
      </c>
      <c r="H1092">
        <v>32.97</v>
      </c>
    </row>
    <row r="1093" spans="1:8" x14ac:dyDescent="0.3">
      <c r="A1093">
        <v>139</v>
      </c>
      <c r="B1093" t="s">
        <v>5892</v>
      </c>
      <c r="C1093" s="451">
        <v>45745</v>
      </c>
      <c r="D1093" t="s">
        <v>737</v>
      </c>
      <c r="E1093" t="s">
        <v>20</v>
      </c>
      <c r="F1093">
        <v>44.96</v>
      </c>
      <c r="G1093">
        <v>0</v>
      </c>
      <c r="H1093">
        <v>44.96</v>
      </c>
    </row>
    <row r="1094" spans="1:8" x14ac:dyDescent="0.3">
      <c r="A1094">
        <v>139</v>
      </c>
      <c r="B1094" t="s">
        <v>5892</v>
      </c>
      <c r="C1094" s="451">
        <v>45745</v>
      </c>
      <c r="D1094" t="s">
        <v>737</v>
      </c>
      <c r="E1094" t="s">
        <v>3905</v>
      </c>
      <c r="F1094">
        <v>788</v>
      </c>
      <c r="G1094">
        <v>0</v>
      </c>
      <c r="H1094">
        <v>788</v>
      </c>
    </row>
    <row r="1095" spans="1:8" x14ac:dyDescent="0.3">
      <c r="A1095">
        <v>139</v>
      </c>
      <c r="B1095" t="s">
        <v>5892</v>
      </c>
      <c r="C1095" s="451">
        <v>45744</v>
      </c>
      <c r="D1095" t="s">
        <v>737</v>
      </c>
      <c r="E1095" t="s">
        <v>3904</v>
      </c>
      <c r="F1095">
        <v>8</v>
      </c>
      <c r="G1095">
        <v>0</v>
      </c>
      <c r="H1095">
        <v>8</v>
      </c>
    </row>
    <row r="1096" spans="1:8" x14ac:dyDescent="0.3">
      <c r="A1096">
        <v>139</v>
      </c>
      <c r="B1096" t="s">
        <v>5892</v>
      </c>
      <c r="C1096" s="451">
        <v>45744</v>
      </c>
      <c r="D1096" t="s">
        <v>737</v>
      </c>
      <c r="E1096" t="s">
        <v>20</v>
      </c>
      <c r="F1096">
        <v>39.97</v>
      </c>
      <c r="G1096">
        <v>0</v>
      </c>
      <c r="H1096">
        <v>39.97</v>
      </c>
    </row>
    <row r="1097" spans="1:8" x14ac:dyDescent="0.3">
      <c r="A1097">
        <v>139</v>
      </c>
      <c r="B1097" t="s">
        <v>5892</v>
      </c>
      <c r="C1097" s="451">
        <v>45744</v>
      </c>
      <c r="D1097" t="s">
        <v>737</v>
      </c>
      <c r="E1097" t="s">
        <v>3905</v>
      </c>
      <c r="F1097">
        <v>407.6</v>
      </c>
      <c r="G1097">
        <v>0</v>
      </c>
      <c r="H1097">
        <v>407.6</v>
      </c>
    </row>
    <row r="1098" spans="1:8" x14ac:dyDescent="0.3">
      <c r="A1098">
        <v>139</v>
      </c>
      <c r="B1098" t="s">
        <v>5892</v>
      </c>
      <c r="C1098" s="451">
        <v>45740</v>
      </c>
      <c r="D1098" t="s">
        <v>737</v>
      </c>
      <c r="E1098" t="s">
        <v>20</v>
      </c>
      <c r="F1098">
        <v>25.98</v>
      </c>
      <c r="G1098">
        <v>0</v>
      </c>
      <c r="H1098">
        <v>25.98</v>
      </c>
    </row>
    <row r="1099" spans="1:8" x14ac:dyDescent="0.3">
      <c r="A1099">
        <v>139</v>
      </c>
      <c r="B1099" t="s">
        <v>5892</v>
      </c>
      <c r="C1099" s="451">
        <v>45740</v>
      </c>
      <c r="D1099" t="s">
        <v>737</v>
      </c>
      <c r="E1099" t="s">
        <v>3905</v>
      </c>
      <c r="F1099">
        <v>145.9</v>
      </c>
      <c r="G1099">
        <v>0</v>
      </c>
      <c r="H1099">
        <v>145.9</v>
      </c>
    </row>
    <row r="1100" spans="1:8" x14ac:dyDescent="0.3">
      <c r="A1100">
        <v>139</v>
      </c>
      <c r="B1100" t="s">
        <v>5892</v>
      </c>
      <c r="C1100" s="451">
        <v>45739</v>
      </c>
      <c r="D1100" t="s">
        <v>737</v>
      </c>
      <c r="E1100" t="s">
        <v>20</v>
      </c>
      <c r="F1100">
        <v>29.97</v>
      </c>
      <c r="G1100">
        <v>0</v>
      </c>
      <c r="H1100">
        <v>29.97</v>
      </c>
    </row>
    <row r="1101" spans="1:8" x14ac:dyDescent="0.3">
      <c r="A1101">
        <v>139</v>
      </c>
      <c r="B1101" t="s">
        <v>5892</v>
      </c>
      <c r="C1101" s="451">
        <v>45739</v>
      </c>
      <c r="D1101" t="s">
        <v>737</v>
      </c>
      <c r="E1101" t="s">
        <v>3905</v>
      </c>
      <c r="F1101">
        <v>395</v>
      </c>
      <c r="G1101">
        <v>0</v>
      </c>
      <c r="H1101">
        <v>395</v>
      </c>
    </row>
    <row r="1102" spans="1:8" x14ac:dyDescent="0.3">
      <c r="A1102">
        <v>139</v>
      </c>
      <c r="B1102" t="s">
        <v>5892</v>
      </c>
      <c r="C1102" s="451">
        <v>45738</v>
      </c>
      <c r="D1102" t="s">
        <v>737</v>
      </c>
      <c r="E1102" t="s">
        <v>20</v>
      </c>
      <c r="F1102">
        <v>20.98</v>
      </c>
      <c r="G1102">
        <v>0</v>
      </c>
      <c r="H1102">
        <v>20.98</v>
      </c>
    </row>
    <row r="1103" spans="1:8" x14ac:dyDescent="0.3">
      <c r="A1103">
        <v>139</v>
      </c>
      <c r="B1103" t="s">
        <v>5892</v>
      </c>
      <c r="C1103" s="451">
        <v>45738</v>
      </c>
      <c r="D1103" t="s">
        <v>737</v>
      </c>
      <c r="E1103" t="s">
        <v>3905</v>
      </c>
      <c r="F1103">
        <v>439</v>
      </c>
      <c r="G1103">
        <v>0</v>
      </c>
      <c r="H1103">
        <v>439</v>
      </c>
    </row>
    <row r="1104" spans="1:8" x14ac:dyDescent="0.3">
      <c r="A1104">
        <v>139</v>
      </c>
      <c r="B1104" t="s">
        <v>5892</v>
      </c>
      <c r="C1104" s="451">
        <v>45737</v>
      </c>
      <c r="D1104" t="s">
        <v>737</v>
      </c>
      <c r="E1104" t="s">
        <v>3905</v>
      </c>
      <c r="F1104">
        <v>444</v>
      </c>
      <c r="G1104">
        <v>0</v>
      </c>
      <c r="H1104">
        <v>444</v>
      </c>
    </row>
    <row r="1105" spans="1:8" x14ac:dyDescent="0.3">
      <c r="A1105">
        <v>139</v>
      </c>
      <c r="B1105" t="s">
        <v>5892</v>
      </c>
      <c r="C1105" s="451">
        <v>45737</v>
      </c>
      <c r="D1105" t="s">
        <v>737</v>
      </c>
      <c r="E1105" t="s">
        <v>20</v>
      </c>
      <c r="F1105">
        <v>26.98</v>
      </c>
      <c r="G1105">
        <v>0</v>
      </c>
      <c r="H1105">
        <v>26.98</v>
      </c>
    </row>
    <row r="1106" spans="1:8" x14ac:dyDescent="0.3">
      <c r="A1106">
        <v>139</v>
      </c>
      <c r="B1106" t="s">
        <v>5892</v>
      </c>
      <c r="C1106" s="451">
        <v>45736</v>
      </c>
      <c r="D1106" t="s">
        <v>737</v>
      </c>
      <c r="E1106" t="s">
        <v>20</v>
      </c>
      <c r="F1106">
        <v>10.99</v>
      </c>
      <c r="G1106">
        <v>0</v>
      </c>
      <c r="H1106">
        <v>10.99</v>
      </c>
    </row>
    <row r="1107" spans="1:8" x14ac:dyDescent="0.3">
      <c r="A1107">
        <v>139</v>
      </c>
      <c r="B1107" t="s">
        <v>5892</v>
      </c>
      <c r="C1107" s="451">
        <v>45736</v>
      </c>
      <c r="D1107" t="s">
        <v>737</v>
      </c>
      <c r="E1107" t="s">
        <v>3905</v>
      </c>
      <c r="F1107">
        <v>47</v>
      </c>
      <c r="G1107">
        <v>0</v>
      </c>
      <c r="H1107">
        <v>47</v>
      </c>
    </row>
    <row r="1108" spans="1:8" x14ac:dyDescent="0.3">
      <c r="A1108">
        <v>139</v>
      </c>
      <c r="B1108" t="s">
        <v>5892</v>
      </c>
      <c r="C1108" s="451">
        <v>45735</v>
      </c>
      <c r="D1108" t="s">
        <v>737</v>
      </c>
      <c r="E1108" t="s">
        <v>20</v>
      </c>
      <c r="F1108">
        <v>36.97</v>
      </c>
      <c r="G1108">
        <v>0</v>
      </c>
      <c r="H1108">
        <v>36.97</v>
      </c>
    </row>
    <row r="1109" spans="1:8" x14ac:dyDescent="0.3">
      <c r="A1109">
        <v>139</v>
      </c>
      <c r="B1109" t="s">
        <v>5892</v>
      </c>
      <c r="C1109" s="451">
        <v>45735</v>
      </c>
      <c r="D1109" t="s">
        <v>737</v>
      </c>
      <c r="E1109" t="s">
        <v>3905</v>
      </c>
      <c r="F1109">
        <v>330.9</v>
      </c>
      <c r="G1109">
        <v>0</v>
      </c>
      <c r="H1109">
        <v>330.9</v>
      </c>
    </row>
    <row r="1110" spans="1:8" x14ac:dyDescent="0.3">
      <c r="A1110">
        <v>139</v>
      </c>
      <c r="B1110" t="s">
        <v>5892</v>
      </c>
      <c r="C1110" s="451">
        <v>45734</v>
      </c>
      <c r="D1110" t="s">
        <v>737</v>
      </c>
      <c r="E1110" t="s">
        <v>20</v>
      </c>
      <c r="F1110">
        <v>6.99</v>
      </c>
      <c r="G1110">
        <v>0</v>
      </c>
      <c r="H1110">
        <v>6.99</v>
      </c>
    </row>
    <row r="1111" spans="1:8" x14ac:dyDescent="0.3">
      <c r="A1111">
        <v>139</v>
      </c>
      <c r="B1111" t="s">
        <v>5892</v>
      </c>
      <c r="C1111" s="451">
        <v>45734</v>
      </c>
      <c r="D1111" t="s">
        <v>737</v>
      </c>
      <c r="E1111" t="s">
        <v>3905</v>
      </c>
      <c r="F1111">
        <v>92</v>
      </c>
      <c r="G1111">
        <v>0</v>
      </c>
      <c r="H1111">
        <v>92</v>
      </c>
    </row>
    <row r="1112" spans="1:8" x14ac:dyDescent="0.3">
      <c r="A1112">
        <v>139</v>
      </c>
      <c r="B1112" t="s">
        <v>5892</v>
      </c>
      <c r="C1112" s="451">
        <v>45733</v>
      </c>
      <c r="D1112" t="s">
        <v>737</v>
      </c>
      <c r="E1112" t="s">
        <v>20</v>
      </c>
      <c r="F1112">
        <v>15.98</v>
      </c>
      <c r="G1112">
        <v>0</v>
      </c>
      <c r="H1112">
        <v>15.98</v>
      </c>
    </row>
    <row r="1113" spans="1:8" x14ac:dyDescent="0.3">
      <c r="A1113">
        <v>139</v>
      </c>
      <c r="B1113" t="s">
        <v>5892</v>
      </c>
      <c r="C1113" s="451">
        <v>45733</v>
      </c>
      <c r="D1113" t="s">
        <v>737</v>
      </c>
      <c r="E1113" t="s">
        <v>3905</v>
      </c>
      <c r="F1113">
        <v>381.8</v>
      </c>
      <c r="G1113">
        <v>0</v>
      </c>
      <c r="H1113">
        <v>381.8</v>
      </c>
    </row>
    <row r="1114" spans="1:8" x14ac:dyDescent="0.3">
      <c r="A1114">
        <v>139</v>
      </c>
      <c r="B1114" t="s">
        <v>5892</v>
      </c>
      <c r="C1114" s="451">
        <v>45732</v>
      </c>
      <c r="D1114" t="s">
        <v>737</v>
      </c>
      <c r="E1114" t="s">
        <v>20</v>
      </c>
      <c r="F1114">
        <v>23.98</v>
      </c>
      <c r="G1114">
        <v>0</v>
      </c>
      <c r="H1114">
        <v>23.98</v>
      </c>
    </row>
    <row r="1115" spans="1:8" x14ac:dyDescent="0.3">
      <c r="A1115">
        <v>139</v>
      </c>
      <c r="B1115" t="s">
        <v>5892</v>
      </c>
      <c r="C1115" s="451">
        <v>45732</v>
      </c>
      <c r="D1115" t="s">
        <v>737</v>
      </c>
      <c r="E1115" t="s">
        <v>3905</v>
      </c>
      <c r="F1115">
        <v>471</v>
      </c>
      <c r="G1115">
        <v>0</v>
      </c>
      <c r="H1115">
        <v>471</v>
      </c>
    </row>
    <row r="1116" spans="1:8" x14ac:dyDescent="0.3">
      <c r="A1116">
        <v>139</v>
      </c>
      <c r="B1116" t="s">
        <v>5892</v>
      </c>
      <c r="C1116" s="451">
        <v>45731</v>
      </c>
      <c r="D1116" t="s">
        <v>737</v>
      </c>
      <c r="E1116" t="s">
        <v>20</v>
      </c>
      <c r="F1116">
        <v>29.97</v>
      </c>
      <c r="G1116">
        <v>0</v>
      </c>
      <c r="H1116">
        <v>29.97</v>
      </c>
    </row>
    <row r="1117" spans="1:8" x14ac:dyDescent="0.3">
      <c r="A1117">
        <v>139</v>
      </c>
      <c r="B1117" t="s">
        <v>5892</v>
      </c>
      <c r="C1117" s="451">
        <v>45731</v>
      </c>
      <c r="D1117" t="s">
        <v>737</v>
      </c>
      <c r="E1117" t="s">
        <v>3905</v>
      </c>
      <c r="F1117">
        <v>377</v>
      </c>
      <c r="G1117">
        <v>0</v>
      </c>
      <c r="H1117">
        <v>377</v>
      </c>
    </row>
    <row r="1118" spans="1:8" x14ac:dyDescent="0.3">
      <c r="A1118">
        <v>139</v>
      </c>
      <c r="B1118" t="s">
        <v>5892</v>
      </c>
      <c r="C1118" s="451">
        <v>45730</v>
      </c>
      <c r="D1118" t="s">
        <v>737</v>
      </c>
      <c r="E1118" t="s">
        <v>20</v>
      </c>
      <c r="F1118">
        <v>18.98</v>
      </c>
      <c r="G1118">
        <v>0</v>
      </c>
      <c r="H1118">
        <v>18.98</v>
      </c>
    </row>
    <row r="1119" spans="1:8" x14ac:dyDescent="0.3">
      <c r="A1119">
        <v>139</v>
      </c>
      <c r="B1119" t="s">
        <v>5892</v>
      </c>
      <c r="C1119" s="451">
        <v>45730</v>
      </c>
      <c r="D1119" t="s">
        <v>737</v>
      </c>
      <c r="E1119" t="s">
        <v>3905</v>
      </c>
      <c r="F1119">
        <v>219.9</v>
      </c>
      <c r="G1119">
        <v>0</v>
      </c>
      <c r="H1119">
        <v>219.9</v>
      </c>
    </row>
    <row r="1120" spans="1:8" x14ac:dyDescent="0.3">
      <c r="A1120">
        <v>139</v>
      </c>
      <c r="B1120" t="s">
        <v>5892</v>
      </c>
      <c r="C1120" s="451">
        <v>45729</v>
      </c>
      <c r="D1120" t="s">
        <v>737</v>
      </c>
      <c r="E1120" t="s">
        <v>20</v>
      </c>
      <c r="F1120">
        <v>26.98</v>
      </c>
      <c r="G1120">
        <v>0</v>
      </c>
      <c r="H1120">
        <v>26.98</v>
      </c>
    </row>
    <row r="1121" spans="1:8" x14ac:dyDescent="0.3">
      <c r="A1121">
        <v>139</v>
      </c>
      <c r="B1121" t="s">
        <v>5892</v>
      </c>
      <c r="C1121" s="451">
        <v>45729</v>
      </c>
      <c r="D1121" t="s">
        <v>737</v>
      </c>
      <c r="E1121" t="s">
        <v>3905</v>
      </c>
      <c r="F1121">
        <v>297</v>
      </c>
      <c r="G1121">
        <v>0</v>
      </c>
      <c r="H1121">
        <v>297</v>
      </c>
    </row>
    <row r="1122" spans="1:8" x14ac:dyDescent="0.3">
      <c r="A1122">
        <v>139</v>
      </c>
      <c r="B1122" t="s">
        <v>5892</v>
      </c>
      <c r="C1122" s="451">
        <v>45728</v>
      </c>
      <c r="D1122" t="s">
        <v>737</v>
      </c>
      <c r="E1122" t="s">
        <v>20</v>
      </c>
      <c r="F1122">
        <v>19.98</v>
      </c>
      <c r="G1122">
        <v>0</v>
      </c>
      <c r="H1122">
        <v>19.98</v>
      </c>
    </row>
    <row r="1123" spans="1:8" x14ac:dyDescent="0.3">
      <c r="A1123">
        <v>139</v>
      </c>
      <c r="B1123" t="s">
        <v>5892</v>
      </c>
      <c r="C1123" s="451">
        <v>45728</v>
      </c>
      <c r="D1123" t="s">
        <v>737</v>
      </c>
      <c r="E1123" t="s">
        <v>3905</v>
      </c>
      <c r="F1123">
        <v>316</v>
      </c>
      <c r="G1123">
        <v>0</v>
      </c>
      <c r="H1123">
        <v>316</v>
      </c>
    </row>
    <row r="1124" spans="1:8" x14ac:dyDescent="0.3">
      <c r="A1124">
        <v>139</v>
      </c>
      <c r="B1124" t="s">
        <v>5892</v>
      </c>
      <c r="C1124" s="451">
        <v>45727</v>
      </c>
      <c r="D1124" t="s">
        <v>737</v>
      </c>
      <c r="E1124" t="s">
        <v>3904</v>
      </c>
      <c r="F1124">
        <v>8</v>
      </c>
      <c r="G1124">
        <v>0</v>
      </c>
      <c r="H1124">
        <v>8</v>
      </c>
    </row>
    <row r="1125" spans="1:8" x14ac:dyDescent="0.3">
      <c r="A1125">
        <v>139</v>
      </c>
      <c r="B1125" t="s">
        <v>5892</v>
      </c>
      <c r="C1125" s="451">
        <v>45727</v>
      </c>
      <c r="D1125" t="s">
        <v>737</v>
      </c>
      <c r="E1125" t="s">
        <v>3905</v>
      </c>
      <c r="F1125">
        <v>49.9</v>
      </c>
      <c r="G1125">
        <v>0</v>
      </c>
      <c r="H1125">
        <v>49.9</v>
      </c>
    </row>
    <row r="1126" spans="1:8" x14ac:dyDescent="0.3">
      <c r="A1126">
        <v>139</v>
      </c>
      <c r="B1126" t="s">
        <v>5892</v>
      </c>
      <c r="C1126" s="451">
        <v>45726</v>
      </c>
      <c r="D1126" t="s">
        <v>737</v>
      </c>
      <c r="E1126" t="s">
        <v>3905</v>
      </c>
      <c r="F1126">
        <v>192.8</v>
      </c>
      <c r="G1126">
        <v>0</v>
      </c>
      <c r="H1126">
        <v>192.8</v>
      </c>
    </row>
    <row r="1127" spans="1:8" x14ac:dyDescent="0.3">
      <c r="A1127">
        <v>139</v>
      </c>
      <c r="B1127" t="s">
        <v>5892</v>
      </c>
      <c r="C1127" s="451">
        <v>45726</v>
      </c>
      <c r="D1127" t="s">
        <v>737</v>
      </c>
      <c r="E1127" t="s">
        <v>20</v>
      </c>
      <c r="F1127">
        <v>31.97</v>
      </c>
      <c r="G1127">
        <v>0</v>
      </c>
      <c r="H1127">
        <v>31.97</v>
      </c>
    </row>
    <row r="1128" spans="1:8" x14ac:dyDescent="0.3">
      <c r="A1128">
        <v>139</v>
      </c>
      <c r="B1128" t="s">
        <v>5892</v>
      </c>
      <c r="C1128" s="451">
        <v>45726</v>
      </c>
      <c r="D1128" t="s">
        <v>737</v>
      </c>
      <c r="E1128" t="s">
        <v>3904</v>
      </c>
      <c r="F1128">
        <v>8</v>
      </c>
      <c r="G1128">
        <v>0</v>
      </c>
      <c r="H1128">
        <v>8</v>
      </c>
    </row>
    <row r="1129" spans="1:8" x14ac:dyDescent="0.3">
      <c r="A1129">
        <v>139</v>
      </c>
      <c r="B1129" t="s">
        <v>5892</v>
      </c>
      <c r="C1129" s="451">
        <v>45725</v>
      </c>
      <c r="D1129" t="s">
        <v>737</v>
      </c>
      <c r="E1129" t="s">
        <v>20</v>
      </c>
      <c r="F1129">
        <v>16.989999999999998</v>
      </c>
      <c r="G1129">
        <v>0</v>
      </c>
      <c r="H1129">
        <v>16.989999999999998</v>
      </c>
    </row>
    <row r="1130" spans="1:8" x14ac:dyDescent="0.3">
      <c r="A1130">
        <v>139</v>
      </c>
      <c r="B1130" t="s">
        <v>5892</v>
      </c>
      <c r="C1130" s="451">
        <v>45725</v>
      </c>
      <c r="D1130" t="s">
        <v>737</v>
      </c>
      <c r="E1130" t="s">
        <v>3905</v>
      </c>
      <c r="F1130">
        <v>84</v>
      </c>
      <c r="G1130">
        <v>0</v>
      </c>
      <c r="H1130">
        <v>84</v>
      </c>
    </row>
    <row r="1131" spans="1:8" x14ac:dyDescent="0.3">
      <c r="A1131">
        <v>139</v>
      </c>
      <c r="B1131" t="s">
        <v>5892</v>
      </c>
      <c r="C1131" s="451">
        <v>45724</v>
      </c>
      <c r="D1131" t="s">
        <v>737</v>
      </c>
      <c r="E1131" t="s">
        <v>3905</v>
      </c>
      <c r="F1131">
        <v>569</v>
      </c>
      <c r="G1131">
        <v>0</v>
      </c>
      <c r="H1131">
        <v>569</v>
      </c>
    </row>
    <row r="1132" spans="1:8" x14ac:dyDescent="0.3">
      <c r="A1132">
        <v>139</v>
      </c>
      <c r="B1132" t="s">
        <v>5892</v>
      </c>
      <c r="C1132" s="451">
        <v>45724</v>
      </c>
      <c r="D1132" t="s">
        <v>737</v>
      </c>
      <c r="E1132" t="s">
        <v>20</v>
      </c>
      <c r="F1132">
        <v>56.96</v>
      </c>
      <c r="G1132">
        <v>0</v>
      </c>
      <c r="H1132">
        <v>56.96</v>
      </c>
    </row>
    <row r="1133" spans="1:8" x14ac:dyDescent="0.3">
      <c r="A1133">
        <v>139</v>
      </c>
      <c r="B1133" t="s">
        <v>5892</v>
      </c>
      <c r="C1133" s="451">
        <v>45723</v>
      </c>
      <c r="D1133" t="s">
        <v>737</v>
      </c>
      <c r="E1133" t="s">
        <v>20</v>
      </c>
      <c r="F1133">
        <v>54.96</v>
      </c>
      <c r="G1133">
        <v>0</v>
      </c>
      <c r="H1133">
        <v>54.96</v>
      </c>
    </row>
    <row r="1134" spans="1:8" x14ac:dyDescent="0.3">
      <c r="A1134">
        <v>139</v>
      </c>
      <c r="B1134" t="s">
        <v>5892</v>
      </c>
      <c r="C1134" s="451">
        <v>45723</v>
      </c>
      <c r="D1134" t="s">
        <v>737</v>
      </c>
      <c r="E1134" t="s">
        <v>3905</v>
      </c>
      <c r="F1134">
        <v>312.89999999999998</v>
      </c>
      <c r="G1134">
        <v>0</v>
      </c>
      <c r="H1134">
        <v>312.89999999999998</v>
      </c>
    </row>
    <row r="1135" spans="1:8" x14ac:dyDescent="0.3">
      <c r="A1135">
        <v>139</v>
      </c>
      <c r="B1135" t="s">
        <v>5892</v>
      </c>
      <c r="C1135" s="451">
        <v>45722</v>
      </c>
      <c r="D1135" t="s">
        <v>737</v>
      </c>
      <c r="E1135" t="s">
        <v>20</v>
      </c>
      <c r="F1135">
        <v>0</v>
      </c>
      <c r="G1135">
        <v>0</v>
      </c>
      <c r="H1135">
        <v>0</v>
      </c>
    </row>
    <row r="1136" spans="1:8" x14ac:dyDescent="0.3">
      <c r="A1136">
        <v>139</v>
      </c>
      <c r="B1136" t="s">
        <v>5892</v>
      </c>
      <c r="C1136" s="451">
        <v>45722</v>
      </c>
      <c r="D1136" t="s">
        <v>737</v>
      </c>
      <c r="E1136" t="s">
        <v>3905</v>
      </c>
      <c r="F1136">
        <v>49.9</v>
      </c>
      <c r="G1136">
        <v>0</v>
      </c>
      <c r="H1136">
        <v>49.9</v>
      </c>
    </row>
    <row r="1137" spans="1:8" x14ac:dyDescent="0.3">
      <c r="A1137">
        <v>139</v>
      </c>
      <c r="B1137" t="s">
        <v>5892</v>
      </c>
      <c r="C1137" s="451">
        <v>45721</v>
      </c>
      <c r="D1137" t="s">
        <v>737</v>
      </c>
      <c r="E1137" t="s">
        <v>3905</v>
      </c>
      <c r="F1137">
        <v>360</v>
      </c>
      <c r="G1137">
        <v>0</v>
      </c>
      <c r="H1137">
        <v>360</v>
      </c>
    </row>
    <row r="1138" spans="1:8" x14ac:dyDescent="0.3">
      <c r="A1138">
        <v>139</v>
      </c>
      <c r="B1138" t="s">
        <v>5892</v>
      </c>
      <c r="C1138" s="451">
        <v>45721</v>
      </c>
      <c r="D1138" t="s">
        <v>737</v>
      </c>
      <c r="E1138" t="s">
        <v>20</v>
      </c>
      <c r="F1138">
        <v>16.989999999999998</v>
      </c>
      <c r="G1138">
        <v>0</v>
      </c>
      <c r="H1138">
        <v>16.989999999999998</v>
      </c>
    </row>
    <row r="1139" spans="1:8" x14ac:dyDescent="0.3">
      <c r="A1139">
        <v>139</v>
      </c>
      <c r="B1139" t="s">
        <v>5892</v>
      </c>
      <c r="C1139" s="451">
        <v>45719</v>
      </c>
      <c r="D1139" t="s">
        <v>737</v>
      </c>
      <c r="E1139" t="s">
        <v>20</v>
      </c>
      <c r="F1139">
        <v>22.98</v>
      </c>
      <c r="G1139">
        <v>0</v>
      </c>
      <c r="H1139">
        <v>22.98</v>
      </c>
    </row>
    <row r="1140" spans="1:8" x14ac:dyDescent="0.3">
      <c r="A1140">
        <v>139</v>
      </c>
      <c r="B1140" t="s">
        <v>5892</v>
      </c>
      <c r="C1140" s="451">
        <v>45719</v>
      </c>
      <c r="D1140" t="s">
        <v>737</v>
      </c>
      <c r="E1140" t="s">
        <v>3905</v>
      </c>
      <c r="F1140">
        <v>365.9</v>
      </c>
      <c r="G1140">
        <v>0</v>
      </c>
      <c r="H1140">
        <v>365.9</v>
      </c>
    </row>
    <row r="1141" spans="1:8" x14ac:dyDescent="0.3">
      <c r="A1141">
        <v>139</v>
      </c>
      <c r="B1141" t="s">
        <v>5892</v>
      </c>
      <c r="C1141" s="451">
        <v>45718</v>
      </c>
      <c r="D1141" t="s">
        <v>737</v>
      </c>
      <c r="E1141" t="s">
        <v>20</v>
      </c>
      <c r="F1141">
        <v>21.98</v>
      </c>
      <c r="G1141">
        <v>0</v>
      </c>
      <c r="H1141">
        <v>21.98</v>
      </c>
    </row>
    <row r="1142" spans="1:8" x14ac:dyDescent="0.3">
      <c r="A1142">
        <v>139</v>
      </c>
      <c r="B1142" t="s">
        <v>5892</v>
      </c>
      <c r="C1142" s="451">
        <v>45718</v>
      </c>
      <c r="D1142" t="s">
        <v>737</v>
      </c>
      <c r="E1142" t="s">
        <v>3905</v>
      </c>
      <c r="F1142">
        <v>409</v>
      </c>
      <c r="G1142">
        <v>0</v>
      </c>
      <c r="H1142">
        <v>409</v>
      </c>
    </row>
    <row r="1143" spans="1:8" x14ac:dyDescent="0.3">
      <c r="A1143">
        <v>139</v>
      </c>
      <c r="B1143" t="s">
        <v>5892</v>
      </c>
      <c r="C1143" s="451">
        <v>45718</v>
      </c>
      <c r="D1143" t="s">
        <v>737</v>
      </c>
      <c r="E1143" t="s">
        <v>3904</v>
      </c>
      <c r="F1143">
        <v>26</v>
      </c>
      <c r="G1143">
        <v>0</v>
      </c>
      <c r="H1143">
        <v>26</v>
      </c>
    </row>
    <row r="1144" spans="1:8" x14ac:dyDescent="0.3">
      <c r="A1144">
        <v>139</v>
      </c>
      <c r="B1144" t="s">
        <v>5892</v>
      </c>
      <c r="C1144" s="451">
        <v>45717</v>
      </c>
      <c r="D1144" t="s">
        <v>737</v>
      </c>
      <c r="E1144" t="s">
        <v>20</v>
      </c>
      <c r="F1144">
        <v>11.99</v>
      </c>
      <c r="G1144">
        <v>0</v>
      </c>
      <c r="H1144">
        <v>11.99</v>
      </c>
    </row>
    <row r="1145" spans="1:8" x14ac:dyDescent="0.3">
      <c r="A1145">
        <v>139</v>
      </c>
      <c r="B1145" t="s">
        <v>5892</v>
      </c>
      <c r="C1145" s="451">
        <v>45717</v>
      </c>
      <c r="D1145" t="s">
        <v>737</v>
      </c>
      <c r="E1145" t="s">
        <v>3905</v>
      </c>
      <c r="F1145">
        <v>270</v>
      </c>
      <c r="G1145">
        <v>0</v>
      </c>
      <c r="H1145">
        <v>270</v>
      </c>
    </row>
    <row r="1146" spans="1:8" x14ac:dyDescent="0.3">
      <c r="A1146">
        <v>139</v>
      </c>
      <c r="B1146" t="s">
        <v>5892</v>
      </c>
      <c r="C1146" s="451">
        <v>45716</v>
      </c>
      <c r="D1146" t="s">
        <v>735</v>
      </c>
      <c r="E1146" t="s">
        <v>20</v>
      </c>
      <c r="F1146">
        <v>16.989999999999998</v>
      </c>
      <c r="G1146">
        <v>0</v>
      </c>
      <c r="H1146">
        <v>16.989999999999998</v>
      </c>
    </row>
    <row r="1147" spans="1:8" x14ac:dyDescent="0.3">
      <c r="A1147">
        <v>139</v>
      </c>
      <c r="B1147" t="s">
        <v>5892</v>
      </c>
      <c r="C1147" s="451">
        <v>45716</v>
      </c>
      <c r="D1147" t="s">
        <v>735</v>
      </c>
      <c r="E1147" t="s">
        <v>3905</v>
      </c>
      <c r="F1147">
        <v>107</v>
      </c>
      <c r="G1147">
        <v>0</v>
      </c>
      <c r="H1147">
        <v>107</v>
      </c>
    </row>
    <row r="1148" spans="1:8" x14ac:dyDescent="0.3">
      <c r="A1148">
        <v>139</v>
      </c>
      <c r="B1148" t="s">
        <v>5892</v>
      </c>
      <c r="C1148" s="451">
        <v>45715</v>
      </c>
      <c r="D1148" t="s">
        <v>735</v>
      </c>
      <c r="E1148" t="s">
        <v>20</v>
      </c>
      <c r="F1148">
        <v>0</v>
      </c>
      <c r="G1148">
        <v>0</v>
      </c>
      <c r="H1148">
        <v>0</v>
      </c>
    </row>
    <row r="1149" spans="1:8" x14ac:dyDescent="0.3">
      <c r="A1149">
        <v>139</v>
      </c>
      <c r="B1149" t="s">
        <v>5892</v>
      </c>
      <c r="C1149" s="451">
        <v>45715</v>
      </c>
      <c r="D1149" t="s">
        <v>735</v>
      </c>
      <c r="E1149" t="s">
        <v>3905</v>
      </c>
      <c r="F1149">
        <v>49.9</v>
      </c>
      <c r="G1149">
        <v>0</v>
      </c>
      <c r="H1149">
        <v>49.9</v>
      </c>
    </row>
    <row r="1150" spans="1:8" x14ac:dyDescent="0.3">
      <c r="A1150">
        <v>139</v>
      </c>
      <c r="B1150" t="s">
        <v>5892</v>
      </c>
      <c r="C1150" s="451">
        <v>45714</v>
      </c>
      <c r="D1150" t="s">
        <v>735</v>
      </c>
      <c r="E1150" t="s">
        <v>3905</v>
      </c>
      <c r="F1150">
        <v>269</v>
      </c>
      <c r="G1150">
        <v>0</v>
      </c>
      <c r="H1150">
        <v>269</v>
      </c>
    </row>
    <row r="1151" spans="1:8" x14ac:dyDescent="0.3">
      <c r="A1151">
        <v>139</v>
      </c>
      <c r="B1151" t="s">
        <v>5892</v>
      </c>
      <c r="C1151" s="451">
        <v>45714</v>
      </c>
      <c r="D1151" t="s">
        <v>735</v>
      </c>
      <c r="E1151" t="s">
        <v>20</v>
      </c>
      <c r="F1151">
        <v>17.98</v>
      </c>
      <c r="G1151">
        <v>0</v>
      </c>
      <c r="H1151">
        <v>17.98</v>
      </c>
    </row>
    <row r="1152" spans="1:8" x14ac:dyDescent="0.3">
      <c r="A1152">
        <v>139</v>
      </c>
      <c r="B1152" t="s">
        <v>5892</v>
      </c>
      <c r="C1152" s="451">
        <v>45713</v>
      </c>
      <c r="D1152" t="s">
        <v>735</v>
      </c>
      <c r="E1152" t="s">
        <v>20</v>
      </c>
      <c r="F1152">
        <v>14.99</v>
      </c>
      <c r="G1152">
        <v>0</v>
      </c>
      <c r="H1152">
        <v>14.99</v>
      </c>
    </row>
    <row r="1153" spans="1:8" x14ac:dyDescent="0.3">
      <c r="A1153">
        <v>139</v>
      </c>
      <c r="B1153" t="s">
        <v>5892</v>
      </c>
      <c r="C1153" s="451">
        <v>45713</v>
      </c>
      <c r="D1153" t="s">
        <v>735</v>
      </c>
      <c r="E1153" t="s">
        <v>3905</v>
      </c>
      <c r="F1153">
        <v>139.69999999999999</v>
      </c>
      <c r="G1153">
        <v>0</v>
      </c>
      <c r="H1153">
        <v>139.69999999999999</v>
      </c>
    </row>
    <row r="1154" spans="1:8" x14ac:dyDescent="0.3">
      <c r="A1154">
        <v>139</v>
      </c>
      <c r="B1154" t="s">
        <v>5892</v>
      </c>
      <c r="C1154" s="451">
        <v>45711</v>
      </c>
      <c r="D1154" t="s">
        <v>735</v>
      </c>
      <c r="E1154" t="s">
        <v>3905</v>
      </c>
      <c r="F1154">
        <v>837</v>
      </c>
      <c r="G1154">
        <v>0</v>
      </c>
      <c r="H1154">
        <v>837</v>
      </c>
    </row>
    <row r="1155" spans="1:8" x14ac:dyDescent="0.3">
      <c r="A1155">
        <v>139</v>
      </c>
      <c r="B1155" t="s">
        <v>5892</v>
      </c>
      <c r="C1155" s="451">
        <v>45711</v>
      </c>
      <c r="D1155" t="s">
        <v>735</v>
      </c>
      <c r="E1155" t="s">
        <v>20</v>
      </c>
      <c r="F1155">
        <v>62.95</v>
      </c>
      <c r="G1155">
        <v>0</v>
      </c>
      <c r="H1155">
        <v>62.95</v>
      </c>
    </row>
    <row r="1156" spans="1:8" x14ac:dyDescent="0.3">
      <c r="A1156">
        <v>139</v>
      </c>
      <c r="B1156" t="s">
        <v>5892</v>
      </c>
      <c r="C1156" s="451">
        <v>45710</v>
      </c>
      <c r="D1156" t="s">
        <v>735</v>
      </c>
      <c r="E1156" t="s">
        <v>20</v>
      </c>
      <c r="F1156">
        <v>53.96</v>
      </c>
      <c r="G1156">
        <v>0</v>
      </c>
      <c r="H1156">
        <v>53.96</v>
      </c>
    </row>
    <row r="1157" spans="1:8" x14ac:dyDescent="0.3">
      <c r="A1157">
        <v>139</v>
      </c>
      <c r="B1157" t="s">
        <v>5892</v>
      </c>
      <c r="C1157" s="451">
        <v>45710</v>
      </c>
      <c r="D1157" t="s">
        <v>735</v>
      </c>
      <c r="E1157" t="s">
        <v>3905</v>
      </c>
      <c r="F1157">
        <v>786</v>
      </c>
      <c r="G1157">
        <v>0</v>
      </c>
      <c r="H1157">
        <v>786</v>
      </c>
    </row>
    <row r="1158" spans="1:8" x14ac:dyDescent="0.3">
      <c r="A1158">
        <v>139</v>
      </c>
      <c r="B1158" t="s">
        <v>5892</v>
      </c>
      <c r="C1158" s="451">
        <v>45710</v>
      </c>
      <c r="D1158" t="s">
        <v>735</v>
      </c>
      <c r="E1158" t="s">
        <v>3904</v>
      </c>
      <c r="F1158">
        <v>8</v>
      </c>
      <c r="G1158">
        <v>0</v>
      </c>
      <c r="H1158">
        <v>8</v>
      </c>
    </row>
    <row r="1159" spans="1:8" x14ac:dyDescent="0.3">
      <c r="A1159">
        <v>139</v>
      </c>
      <c r="B1159" t="s">
        <v>5892</v>
      </c>
      <c r="C1159" s="451">
        <v>45709</v>
      </c>
      <c r="D1159" t="s">
        <v>735</v>
      </c>
      <c r="E1159" t="s">
        <v>20</v>
      </c>
      <c r="F1159">
        <v>32.96</v>
      </c>
      <c r="G1159">
        <v>0</v>
      </c>
      <c r="H1159">
        <v>32.96</v>
      </c>
    </row>
    <row r="1160" spans="1:8" x14ac:dyDescent="0.3">
      <c r="A1160">
        <v>139</v>
      </c>
      <c r="B1160" t="s">
        <v>5892</v>
      </c>
      <c r="C1160" s="451">
        <v>45709</v>
      </c>
      <c r="D1160" t="s">
        <v>735</v>
      </c>
      <c r="E1160" t="s">
        <v>3905</v>
      </c>
      <c r="F1160">
        <v>432.9</v>
      </c>
      <c r="G1160">
        <v>0</v>
      </c>
      <c r="H1160">
        <v>432.9</v>
      </c>
    </row>
    <row r="1161" spans="1:8" x14ac:dyDescent="0.3">
      <c r="A1161">
        <v>139</v>
      </c>
      <c r="B1161" t="s">
        <v>5892</v>
      </c>
      <c r="C1161" s="451">
        <v>45709</v>
      </c>
      <c r="D1161" t="s">
        <v>735</v>
      </c>
      <c r="E1161" t="s">
        <v>3904</v>
      </c>
      <c r="F1161">
        <v>16</v>
      </c>
      <c r="G1161">
        <v>0</v>
      </c>
      <c r="H1161">
        <v>16</v>
      </c>
    </row>
    <row r="1162" spans="1:8" x14ac:dyDescent="0.3">
      <c r="A1162">
        <v>139</v>
      </c>
      <c r="B1162" t="s">
        <v>5892</v>
      </c>
      <c r="C1162" s="451">
        <v>45708</v>
      </c>
      <c r="D1162" t="s">
        <v>735</v>
      </c>
      <c r="E1162" t="s">
        <v>20</v>
      </c>
      <c r="F1162">
        <v>12.99</v>
      </c>
      <c r="G1162">
        <v>0</v>
      </c>
      <c r="H1162">
        <v>12.99</v>
      </c>
    </row>
    <row r="1163" spans="1:8" x14ac:dyDescent="0.3">
      <c r="A1163">
        <v>139</v>
      </c>
      <c r="B1163" t="s">
        <v>5892</v>
      </c>
      <c r="C1163" s="451">
        <v>45708</v>
      </c>
      <c r="D1163" t="s">
        <v>735</v>
      </c>
      <c r="E1163" t="s">
        <v>3904</v>
      </c>
      <c r="F1163">
        <v>8</v>
      </c>
      <c r="G1163">
        <v>0</v>
      </c>
      <c r="H1163">
        <v>8</v>
      </c>
    </row>
    <row r="1164" spans="1:8" x14ac:dyDescent="0.3">
      <c r="A1164">
        <v>139</v>
      </c>
      <c r="B1164" t="s">
        <v>5892</v>
      </c>
      <c r="C1164" s="451">
        <v>45708</v>
      </c>
      <c r="D1164" t="s">
        <v>735</v>
      </c>
      <c r="E1164" t="s">
        <v>3905</v>
      </c>
      <c r="F1164">
        <v>39.9</v>
      </c>
      <c r="G1164">
        <v>0</v>
      </c>
      <c r="H1164">
        <v>39.9</v>
      </c>
    </row>
    <row r="1165" spans="1:8" x14ac:dyDescent="0.3">
      <c r="A1165">
        <v>139</v>
      </c>
      <c r="B1165" t="s">
        <v>5892</v>
      </c>
      <c r="C1165" s="451">
        <v>45707</v>
      </c>
      <c r="D1165" t="s">
        <v>735</v>
      </c>
      <c r="E1165" t="s">
        <v>20</v>
      </c>
      <c r="F1165">
        <v>12.98</v>
      </c>
      <c r="G1165">
        <v>0</v>
      </c>
      <c r="H1165">
        <v>12.98</v>
      </c>
    </row>
    <row r="1166" spans="1:8" x14ac:dyDescent="0.3">
      <c r="A1166">
        <v>139</v>
      </c>
      <c r="B1166" t="s">
        <v>5892</v>
      </c>
      <c r="C1166" s="451">
        <v>45707</v>
      </c>
      <c r="D1166" t="s">
        <v>735</v>
      </c>
      <c r="E1166" t="s">
        <v>3905</v>
      </c>
      <c r="F1166">
        <v>151.9</v>
      </c>
      <c r="G1166">
        <v>0</v>
      </c>
      <c r="H1166">
        <v>151.9</v>
      </c>
    </row>
    <row r="1167" spans="1:8" x14ac:dyDescent="0.3">
      <c r="A1167">
        <v>139</v>
      </c>
      <c r="B1167" t="s">
        <v>5892</v>
      </c>
      <c r="C1167" s="451">
        <v>45706</v>
      </c>
      <c r="D1167" t="s">
        <v>735</v>
      </c>
      <c r="E1167" t="s">
        <v>20</v>
      </c>
      <c r="F1167">
        <v>7.99</v>
      </c>
      <c r="G1167">
        <v>0</v>
      </c>
      <c r="H1167">
        <v>7.99</v>
      </c>
    </row>
    <row r="1168" spans="1:8" x14ac:dyDescent="0.3">
      <c r="A1168">
        <v>139</v>
      </c>
      <c r="B1168" t="s">
        <v>5892</v>
      </c>
      <c r="C1168" s="451">
        <v>45706</v>
      </c>
      <c r="D1168" t="s">
        <v>735</v>
      </c>
      <c r="E1168" t="s">
        <v>3905</v>
      </c>
      <c r="F1168">
        <v>49.9</v>
      </c>
      <c r="G1168">
        <v>0</v>
      </c>
      <c r="H1168">
        <v>49.9</v>
      </c>
    </row>
    <row r="1169" spans="1:8" x14ac:dyDescent="0.3">
      <c r="A1169">
        <v>139</v>
      </c>
      <c r="B1169" t="s">
        <v>5892</v>
      </c>
      <c r="C1169" s="451">
        <v>45705</v>
      </c>
      <c r="D1169" t="s">
        <v>735</v>
      </c>
      <c r="E1169" t="s">
        <v>20</v>
      </c>
      <c r="F1169">
        <v>6.99</v>
      </c>
      <c r="G1169">
        <v>0</v>
      </c>
      <c r="H1169">
        <v>6.99</v>
      </c>
    </row>
    <row r="1170" spans="1:8" x14ac:dyDescent="0.3">
      <c r="A1170">
        <v>139</v>
      </c>
      <c r="B1170" t="s">
        <v>5892</v>
      </c>
      <c r="C1170" s="451">
        <v>45705</v>
      </c>
      <c r="D1170" t="s">
        <v>735</v>
      </c>
      <c r="E1170" t="s">
        <v>3905</v>
      </c>
      <c r="F1170">
        <v>49.9</v>
      </c>
      <c r="G1170">
        <v>0</v>
      </c>
      <c r="H1170">
        <v>49.9</v>
      </c>
    </row>
    <row r="1171" spans="1:8" x14ac:dyDescent="0.3">
      <c r="A1171">
        <v>139</v>
      </c>
      <c r="B1171" t="s">
        <v>5892</v>
      </c>
      <c r="C1171" s="451">
        <v>45702</v>
      </c>
      <c r="D1171" t="s">
        <v>735</v>
      </c>
      <c r="E1171" t="s">
        <v>20</v>
      </c>
      <c r="F1171">
        <v>8.99</v>
      </c>
      <c r="G1171">
        <v>0</v>
      </c>
      <c r="H1171">
        <v>8.99</v>
      </c>
    </row>
    <row r="1172" spans="1:8" x14ac:dyDescent="0.3">
      <c r="A1172">
        <v>139</v>
      </c>
      <c r="B1172" t="s">
        <v>5892</v>
      </c>
      <c r="C1172" s="451">
        <v>45702</v>
      </c>
      <c r="D1172" t="s">
        <v>735</v>
      </c>
      <c r="E1172" t="s">
        <v>3904</v>
      </c>
      <c r="F1172">
        <v>8</v>
      </c>
      <c r="G1172">
        <v>0</v>
      </c>
      <c r="H1172">
        <v>8</v>
      </c>
    </row>
    <row r="1173" spans="1:8" x14ac:dyDescent="0.3">
      <c r="A1173">
        <v>139</v>
      </c>
      <c r="B1173" t="s">
        <v>5892</v>
      </c>
      <c r="C1173" s="451">
        <v>45702</v>
      </c>
      <c r="D1173" t="s">
        <v>735</v>
      </c>
      <c r="E1173" t="s">
        <v>3905</v>
      </c>
      <c r="F1173">
        <v>49.9</v>
      </c>
      <c r="G1173">
        <v>0</v>
      </c>
      <c r="H1173">
        <v>49.9</v>
      </c>
    </row>
    <row r="1174" spans="1:8" x14ac:dyDescent="0.3">
      <c r="A1174">
        <v>139</v>
      </c>
      <c r="B1174" t="s">
        <v>5892</v>
      </c>
      <c r="C1174" s="451">
        <v>45701</v>
      </c>
      <c r="D1174" t="s">
        <v>735</v>
      </c>
      <c r="E1174" t="s">
        <v>20</v>
      </c>
      <c r="F1174">
        <v>15.99</v>
      </c>
      <c r="G1174">
        <v>0</v>
      </c>
      <c r="H1174">
        <v>15.99</v>
      </c>
    </row>
    <row r="1175" spans="1:8" x14ac:dyDescent="0.3">
      <c r="A1175">
        <v>139</v>
      </c>
      <c r="B1175" t="s">
        <v>5892</v>
      </c>
      <c r="C1175" s="451">
        <v>45701</v>
      </c>
      <c r="D1175" t="s">
        <v>735</v>
      </c>
      <c r="E1175" t="s">
        <v>3905</v>
      </c>
      <c r="F1175">
        <v>123</v>
      </c>
      <c r="G1175">
        <v>0</v>
      </c>
      <c r="H1175">
        <v>123</v>
      </c>
    </row>
    <row r="1176" spans="1:8" x14ac:dyDescent="0.3">
      <c r="A1176">
        <v>139</v>
      </c>
      <c r="B1176" t="s">
        <v>5892</v>
      </c>
      <c r="C1176" s="451">
        <v>45698</v>
      </c>
      <c r="D1176" t="s">
        <v>735</v>
      </c>
      <c r="E1176" t="s">
        <v>20</v>
      </c>
      <c r="F1176">
        <v>20.97</v>
      </c>
      <c r="G1176">
        <v>0</v>
      </c>
      <c r="H1176">
        <v>20.97</v>
      </c>
    </row>
    <row r="1177" spans="1:8" x14ac:dyDescent="0.3">
      <c r="A1177">
        <v>139</v>
      </c>
      <c r="B1177" t="s">
        <v>5892</v>
      </c>
      <c r="C1177" s="451">
        <v>45698</v>
      </c>
      <c r="D1177" t="s">
        <v>735</v>
      </c>
      <c r="E1177" t="s">
        <v>3905</v>
      </c>
      <c r="F1177">
        <v>184.7</v>
      </c>
      <c r="G1177">
        <v>0</v>
      </c>
      <c r="H1177">
        <v>184.7</v>
      </c>
    </row>
    <row r="1178" spans="1:8" x14ac:dyDescent="0.3">
      <c r="A1178">
        <v>139</v>
      </c>
      <c r="B1178" t="s">
        <v>5892</v>
      </c>
      <c r="C1178" s="451">
        <v>45696</v>
      </c>
      <c r="D1178" t="s">
        <v>735</v>
      </c>
      <c r="E1178" t="s">
        <v>20</v>
      </c>
      <c r="F1178">
        <v>6.99</v>
      </c>
      <c r="G1178">
        <v>0</v>
      </c>
      <c r="H1178">
        <v>6.99</v>
      </c>
    </row>
    <row r="1179" spans="1:8" x14ac:dyDescent="0.3">
      <c r="A1179">
        <v>139</v>
      </c>
      <c r="B1179" t="s">
        <v>5892</v>
      </c>
      <c r="C1179" s="451">
        <v>45696</v>
      </c>
      <c r="D1179" t="s">
        <v>735</v>
      </c>
      <c r="E1179" t="s">
        <v>3905</v>
      </c>
      <c r="F1179">
        <v>225</v>
      </c>
      <c r="G1179">
        <v>0</v>
      </c>
      <c r="H1179">
        <v>225</v>
      </c>
    </row>
    <row r="1180" spans="1:8" x14ac:dyDescent="0.3">
      <c r="A1180">
        <v>139</v>
      </c>
      <c r="B1180" t="s">
        <v>5892</v>
      </c>
      <c r="C1180" s="451">
        <v>45695</v>
      </c>
      <c r="D1180" t="s">
        <v>735</v>
      </c>
      <c r="E1180" t="s">
        <v>20</v>
      </c>
      <c r="F1180">
        <v>5.99</v>
      </c>
      <c r="G1180">
        <v>0</v>
      </c>
      <c r="H1180">
        <v>5.99</v>
      </c>
    </row>
    <row r="1181" spans="1:8" x14ac:dyDescent="0.3">
      <c r="A1181">
        <v>139</v>
      </c>
      <c r="B1181" t="s">
        <v>5892</v>
      </c>
      <c r="C1181" s="451">
        <v>45695</v>
      </c>
      <c r="D1181" t="s">
        <v>735</v>
      </c>
      <c r="E1181" t="s">
        <v>3905</v>
      </c>
      <c r="F1181">
        <v>92</v>
      </c>
      <c r="G1181">
        <v>0</v>
      </c>
      <c r="H1181">
        <v>92</v>
      </c>
    </row>
    <row r="1182" spans="1:8" x14ac:dyDescent="0.3">
      <c r="A1182">
        <v>139</v>
      </c>
      <c r="B1182" t="s">
        <v>5892</v>
      </c>
      <c r="C1182" s="451">
        <v>45694</v>
      </c>
      <c r="D1182" t="s">
        <v>735</v>
      </c>
      <c r="E1182" t="s">
        <v>20</v>
      </c>
      <c r="F1182">
        <v>6.99</v>
      </c>
      <c r="G1182">
        <v>0</v>
      </c>
      <c r="H1182">
        <v>6.99</v>
      </c>
    </row>
    <row r="1183" spans="1:8" x14ac:dyDescent="0.3">
      <c r="A1183">
        <v>139</v>
      </c>
      <c r="B1183" t="s">
        <v>5892</v>
      </c>
      <c r="C1183" s="451">
        <v>45694</v>
      </c>
      <c r="D1183" t="s">
        <v>735</v>
      </c>
      <c r="E1183" t="s">
        <v>3905</v>
      </c>
      <c r="F1183">
        <v>277.7</v>
      </c>
      <c r="G1183">
        <v>0</v>
      </c>
      <c r="H1183">
        <v>277.7</v>
      </c>
    </row>
    <row r="1184" spans="1:8" x14ac:dyDescent="0.3">
      <c r="A1184">
        <v>139</v>
      </c>
      <c r="B1184" t="s">
        <v>5892</v>
      </c>
      <c r="C1184" s="451">
        <v>45690</v>
      </c>
      <c r="D1184" t="s">
        <v>735</v>
      </c>
      <c r="E1184" t="s">
        <v>20</v>
      </c>
      <c r="F1184">
        <v>16.989999999999998</v>
      </c>
      <c r="G1184">
        <v>0</v>
      </c>
      <c r="H1184">
        <v>16.989999999999998</v>
      </c>
    </row>
    <row r="1185" spans="1:8" x14ac:dyDescent="0.3">
      <c r="A1185">
        <v>139</v>
      </c>
      <c r="B1185" t="s">
        <v>5892</v>
      </c>
      <c r="C1185" s="451">
        <v>45690</v>
      </c>
      <c r="D1185" t="s">
        <v>735</v>
      </c>
      <c r="E1185" t="s">
        <v>3905</v>
      </c>
      <c r="F1185">
        <v>69</v>
      </c>
      <c r="G1185">
        <v>0</v>
      </c>
      <c r="H1185">
        <v>69</v>
      </c>
    </row>
    <row r="1186" spans="1:8" x14ac:dyDescent="0.3">
      <c r="A1186">
        <v>139</v>
      </c>
      <c r="B1186" t="s">
        <v>5892</v>
      </c>
      <c r="C1186" s="451">
        <v>45689</v>
      </c>
      <c r="D1186" t="s">
        <v>735</v>
      </c>
      <c r="E1186" t="s">
        <v>3905</v>
      </c>
      <c r="F1186">
        <v>150</v>
      </c>
      <c r="G1186">
        <v>0</v>
      </c>
      <c r="H1186">
        <v>150</v>
      </c>
    </row>
    <row r="1187" spans="1:8" x14ac:dyDescent="0.3">
      <c r="A1187">
        <v>139</v>
      </c>
      <c r="B1187" t="s">
        <v>5892</v>
      </c>
      <c r="C1187" s="451">
        <v>45689</v>
      </c>
      <c r="D1187" t="s">
        <v>735</v>
      </c>
      <c r="E1187" t="s">
        <v>20</v>
      </c>
      <c r="F1187">
        <v>9.99</v>
      </c>
      <c r="G1187">
        <v>0</v>
      </c>
      <c r="H1187">
        <v>9.99</v>
      </c>
    </row>
    <row r="1188" spans="1:8" x14ac:dyDescent="0.3">
      <c r="A1188">
        <v>139</v>
      </c>
      <c r="B1188" t="s">
        <v>5892</v>
      </c>
      <c r="C1188" s="451">
        <v>45688</v>
      </c>
      <c r="D1188" t="s">
        <v>733</v>
      </c>
      <c r="E1188" t="s">
        <v>20</v>
      </c>
      <c r="F1188">
        <v>14.99</v>
      </c>
      <c r="G1188">
        <v>0</v>
      </c>
      <c r="H1188">
        <v>14.99</v>
      </c>
    </row>
    <row r="1189" spans="1:8" x14ac:dyDescent="0.3">
      <c r="A1189">
        <v>139</v>
      </c>
      <c r="B1189" t="s">
        <v>5892</v>
      </c>
      <c r="C1189" s="451">
        <v>45688</v>
      </c>
      <c r="D1189" t="s">
        <v>733</v>
      </c>
      <c r="E1189" t="s">
        <v>3905</v>
      </c>
      <c r="F1189">
        <v>86</v>
      </c>
      <c r="G1189">
        <v>0</v>
      </c>
      <c r="H1189">
        <v>86</v>
      </c>
    </row>
    <row r="1190" spans="1:8" x14ac:dyDescent="0.3">
      <c r="A1190">
        <v>139</v>
      </c>
      <c r="B1190" t="s">
        <v>5892</v>
      </c>
      <c r="C1190" s="451">
        <v>45687</v>
      </c>
      <c r="D1190" t="s">
        <v>733</v>
      </c>
      <c r="E1190" t="s">
        <v>20</v>
      </c>
      <c r="F1190">
        <v>23.97</v>
      </c>
      <c r="G1190">
        <v>0</v>
      </c>
      <c r="H1190">
        <v>23.97</v>
      </c>
    </row>
    <row r="1191" spans="1:8" x14ac:dyDescent="0.3">
      <c r="A1191">
        <v>139</v>
      </c>
      <c r="B1191" t="s">
        <v>5892</v>
      </c>
      <c r="C1191" s="451">
        <v>45687</v>
      </c>
      <c r="D1191" t="s">
        <v>733</v>
      </c>
      <c r="E1191" t="s">
        <v>3905</v>
      </c>
      <c r="F1191">
        <v>267.7</v>
      </c>
      <c r="G1191">
        <v>0</v>
      </c>
      <c r="H1191">
        <v>267.7</v>
      </c>
    </row>
    <row r="1192" spans="1:8" x14ac:dyDescent="0.3">
      <c r="A1192">
        <v>139</v>
      </c>
      <c r="B1192" t="s">
        <v>5892</v>
      </c>
      <c r="C1192" s="451">
        <v>45684</v>
      </c>
      <c r="D1192" t="s">
        <v>733</v>
      </c>
      <c r="E1192" t="s">
        <v>20</v>
      </c>
      <c r="F1192">
        <v>9.99</v>
      </c>
      <c r="G1192">
        <v>0</v>
      </c>
      <c r="H1192">
        <v>9.99</v>
      </c>
    </row>
    <row r="1193" spans="1:8" x14ac:dyDescent="0.3">
      <c r="A1193">
        <v>139</v>
      </c>
      <c r="B1193" t="s">
        <v>5892</v>
      </c>
      <c r="C1193" s="451">
        <v>45684</v>
      </c>
      <c r="D1193" t="s">
        <v>733</v>
      </c>
      <c r="E1193" t="s">
        <v>3905</v>
      </c>
      <c r="F1193">
        <v>49.9</v>
      </c>
      <c r="G1193">
        <v>0</v>
      </c>
      <c r="H1193">
        <v>49.9</v>
      </c>
    </row>
    <row r="1194" spans="1:8" x14ac:dyDescent="0.3">
      <c r="A1194">
        <v>139</v>
      </c>
      <c r="B1194" t="s">
        <v>5892</v>
      </c>
      <c r="C1194" s="451">
        <v>45683</v>
      </c>
      <c r="D1194" t="s">
        <v>733</v>
      </c>
      <c r="E1194" t="s">
        <v>20</v>
      </c>
      <c r="F1194">
        <v>53.96</v>
      </c>
      <c r="G1194">
        <v>0</v>
      </c>
      <c r="H1194">
        <v>53.96</v>
      </c>
    </row>
    <row r="1195" spans="1:8" x14ac:dyDescent="0.3">
      <c r="A1195">
        <v>139</v>
      </c>
      <c r="B1195" t="s">
        <v>5892</v>
      </c>
      <c r="C1195" s="451">
        <v>45683</v>
      </c>
      <c r="D1195" t="s">
        <v>733</v>
      </c>
      <c r="E1195" t="s">
        <v>3905</v>
      </c>
      <c r="F1195">
        <v>1116</v>
      </c>
      <c r="G1195">
        <v>0</v>
      </c>
      <c r="H1195">
        <v>1116</v>
      </c>
    </row>
    <row r="1196" spans="1:8" x14ac:dyDescent="0.3">
      <c r="A1196">
        <v>139</v>
      </c>
      <c r="B1196" t="s">
        <v>5892</v>
      </c>
      <c r="C1196" s="451">
        <v>45682</v>
      </c>
      <c r="D1196" t="s">
        <v>733</v>
      </c>
      <c r="E1196" t="s">
        <v>20</v>
      </c>
      <c r="F1196">
        <v>36.979999999999997</v>
      </c>
      <c r="G1196">
        <v>0</v>
      </c>
      <c r="H1196">
        <v>36.979999999999997</v>
      </c>
    </row>
    <row r="1197" spans="1:8" x14ac:dyDescent="0.3">
      <c r="A1197">
        <v>139</v>
      </c>
      <c r="B1197" t="s">
        <v>5892</v>
      </c>
      <c r="C1197" s="451">
        <v>45682</v>
      </c>
      <c r="D1197" t="s">
        <v>733</v>
      </c>
      <c r="E1197" t="s">
        <v>3905</v>
      </c>
      <c r="F1197">
        <v>514</v>
      </c>
      <c r="G1197">
        <v>0</v>
      </c>
      <c r="H1197">
        <v>514</v>
      </c>
    </row>
    <row r="1198" spans="1:8" x14ac:dyDescent="0.3">
      <c r="A1198">
        <v>139</v>
      </c>
      <c r="B1198" t="s">
        <v>5892</v>
      </c>
      <c r="C1198" s="451">
        <v>45680</v>
      </c>
      <c r="D1198" t="s">
        <v>733</v>
      </c>
      <c r="E1198" t="s">
        <v>20</v>
      </c>
      <c r="F1198">
        <v>6.99</v>
      </c>
      <c r="G1198">
        <v>0</v>
      </c>
      <c r="H1198">
        <v>6.99</v>
      </c>
    </row>
    <row r="1199" spans="1:8" x14ac:dyDescent="0.3">
      <c r="A1199">
        <v>139</v>
      </c>
      <c r="B1199" t="s">
        <v>5892</v>
      </c>
      <c r="C1199" s="451">
        <v>45680</v>
      </c>
      <c r="D1199" t="s">
        <v>733</v>
      </c>
      <c r="E1199" t="s">
        <v>3905</v>
      </c>
      <c r="F1199">
        <v>39.9</v>
      </c>
      <c r="G1199">
        <v>0</v>
      </c>
      <c r="H1199">
        <v>39.9</v>
      </c>
    </row>
    <row r="1200" spans="1:8" x14ac:dyDescent="0.3">
      <c r="A1200">
        <v>139</v>
      </c>
      <c r="B1200" t="s">
        <v>5892</v>
      </c>
      <c r="C1200" s="451">
        <v>45679</v>
      </c>
      <c r="D1200" t="s">
        <v>733</v>
      </c>
      <c r="E1200" t="s">
        <v>20</v>
      </c>
      <c r="F1200">
        <v>16.989999999999998</v>
      </c>
      <c r="G1200">
        <v>0</v>
      </c>
      <c r="H1200">
        <v>16.989999999999998</v>
      </c>
    </row>
    <row r="1201" spans="1:8" x14ac:dyDescent="0.3">
      <c r="A1201">
        <v>139</v>
      </c>
      <c r="B1201" t="s">
        <v>5892</v>
      </c>
      <c r="C1201" s="451">
        <v>45679</v>
      </c>
      <c r="D1201" t="s">
        <v>733</v>
      </c>
      <c r="E1201" t="s">
        <v>3905</v>
      </c>
      <c r="F1201">
        <v>252.9</v>
      </c>
      <c r="G1201">
        <v>0</v>
      </c>
      <c r="H1201">
        <v>252.9</v>
      </c>
    </row>
    <row r="1202" spans="1:8" x14ac:dyDescent="0.3">
      <c r="A1202">
        <v>139</v>
      </c>
      <c r="B1202" t="s">
        <v>5892</v>
      </c>
      <c r="C1202" s="451">
        <v>45679</v>
      </c>
      <c r="D1202" t="s">
        <v>733</v>
      </c>
      <c r="E1202" t="s">
        <v>3904</v>
      </c>
      <c r="F1202">
        <v>16</v>
      </c>
      <c r="G1202">
        <v>0</v>
      </c>
      <c r="H1202">
        <v>16</v>
      </c>
    </row>
    <row r="1203" spans="1:8" x14ac:dyDescent="0.3">
      <c r="A1203">
        <v>139</v>
      </c>
      <c r="B1203" t="s">
        <v>5892</v>
      </c>
      <c r="C1203" s="451">
        <v>45676</v>
      </c>
      <c r="D1203" t="s">
        <v>733</v>
      </c>
      <c r="E1203" t="s">
        <v>20</v>
      </c>
      <c r="F1203">
        <v>6.99</v>
      </c>
      <c r="G1203">
        <v>0</v>
      </c>
      <c r="H1203">
        <v>6.99</v>
      </c>
    </row>
    <row r="1204" spans="1:8" x14ac:dyDescent="0.3">
      <c r="A1204">
        <v>139</v>
      </c>
      <c r="B1204" t="s">
        <v>5892</v>
      </c>
      <c r="C1204" s="451">
        <v>45676</v>
      </c>
      <c r="D1204" t="s">
        <v>733</v>
      </c>
      <c r="E1204" t="s">
        <v>3905</v>
      </c>
      <c r="F1204">
        <v>108</v>
      </c>
      <c r="G1204">
        <v>0</v>
      </c>
      <c r="H1204">
        <v>108</v>
      </c>
    </row>
    <row r="1205" spans="1:8" x14ac:dyDescent="0.3">
      <c r="A1205">
        <v>139</v>
      </c>
      <c r="B1205" t="s">
        <v>5892</v>
      </c>
      <c r="C1205" s="451">
        <v>45675</v>
      </c>
      <c r="D1205" t="s">
        <v>733</v>
      </c>
      <c r="E1205" t="s">
        <v>3905</v>
      </c>
      <c r="F1205">
        <v>220</v>
      </c>
      <c r="G1205">
        <v>0</v>
      </c>
      <c r="H1205">
        <v>220</v>
      </c>
    </row>
    <row r="1206" spans="1:8" x14ac:dyDescent="0.3">
      <c r="A1206">
        <v>139</v>
      </c>
      <c r="B1206" t="s">
        <v>5892</v>
      </c>
      <c r="C1206" s="451">
        <v>45675</v>
      </c>
      <c r="D1206" t="s">
        <v>733</v>
      </c>
      <c r="E1206" t="s">
        <v>20</v>
      </c>
      <c r="F1206">
        <v>20.98</v>
      </c>
      <c r="G1206">
        <v>0</v>
      </c>
      <c r="H1206">
        <v>20.98</v>
      </c>
    </row>
    <row r="1207" spans="1:8" x14ac:dyDescent="0.3">
      <c r="A1207">
        <v>139</v>
      </c>
      <c r="B1207" t="s">
        <v>5892</v>
      </c>
      <c r="C1207" s="451">
        <v>45673</v>
      </c>
      <c r="D1207" t="s">
        <v>733</v>
      </c>
      <c r="E1207" t="s">
        <v>20</v>
      </c>
      <c r="F1207">
        <v>6.99</v>
      </c>
      <c r="G1207">
        <v>0</v>
      </c>
      <c r="H1207">
        <v>6.99</v>
      </c>
    </row>
    <row r="1208" spans="1:8" x14ac:dyDescent="0.3">
      <c r="A1208">
        <v>139</v>
      </c>
      <c r="B1208" t="s">
        <v>5892</v>
      </c>
      <c r="C1208" s="451">
        <v>45673</v>
      </c>
      <c r="D1208" t="s">
        <v>733</v>
      </c>
      <c r="E1208" t="s">
        <v>3904</v>
      </c>
      <c r="F1208">
        <v>8</v>
      </c>
      <c r="G1208">
        <v>0</v>
      </c>
      <c r="H1208">
        <v>8</v>
      </c>
    </row>
    <row r="1209" spans="1:8" x14ac:dyDescent="0.3">
      <c r="A1209">
        <v>139</v>
      </c>
      <c r="B1209" t="s">
        <v>5892</v>
      </c>
      <c r="C1209" s="451">
        <v>45673</v>
      </c>
      <c r="D1209" t="s">
        <v>733</v>
      </c>
      <c r="E1209" t="s">
        <v>3905</v>
      </c>
      <c r="F1209">
        <v>49.9</v>
      </c>
      <c r="G1209">
        <v>0</v>
      </c>
      <c r="H1209">
        <v>49.9</v>
      </c>
    </row>
    <row r="1210" spans="1:8" x14ac:dyDescent="0.3">
      <c r="A1210">
        <v>139</v>
      </c>
      <c r="B1210" t="s">
        <v>5892</v>
      </c>
      <c r="C1210" s="451">
        <v>45672</v>
      </c>
      <c r="D1210" t="s">
        <v>733</v>
      </c>
      <c r="E1210" t="s">
        <v>20</v>
      </c>
      <c r="F1210">
        <v>0</v>
      </c>
      <c r="G1210">
        <v>0</v>
      </c>
      <c r="H1210">
        <v>0</v>
      </c>
    </row>
    <row r="1211" spans="1:8" x14ac:dyDescent="0.3">
      <c r="A1211">
        <v>139</v>
      </c>
      <c r="B1211" t="s">
        <v>5892</v>
      </c>
      <c r="C1211" s="451">
        <v>45672</v>
      </c>
      <c r="D1211" t="s">
        <v>733</v>
      </c>
      <c r="E1211" t="s">
        <v>3904</v>
      </c>
      <c r="F1211">
        <v>8</v>
      </c>
      <c r="G1211">
        <v>0</v>
      </c>
      <c r="H1211">
        <v>8</v>
      </c>
    </row>
    <row r="1212" spans="1:8" x14ac:dyDescent="0.3">
      <c r="A1212">
        <v>139</v>
      </c>
      <c r="B1212" t="s">
        <v>5892</v>
      </c>
      <c r="C1212" s="451">
        <v>45672</v>
      </c>
      <c r="D1212" t="s">
        <v>733</v>
      </c>
      <c r="E1212" t="s">
        <v>3905</v>
      </c>
      <c r="F1212">
        <v>156.80000000000001</v>
      </c>
      <c r="G1212">
        <v>0</v>
      </c>
      <c r="H1212">
        <v>156.80000000000001</v>
      </c>
    </row>
    <row r="1213" spans="1:8" x14ac:dyDescent="0.3">
      <c r="A1213">
        <v>139</v>
      </c>
      <c r="B1213" t="s">
        <v>5892</v>
      </c>
      <c r="C1213" s="451">
        <v>45671</v>
      </c>
      <c r="D1213" t="s">
        <v>733</v>
      </c>
      <c r="E1213" t="s">
        <v>20</v>
      </c>
      <c r="F1213">
        <v>13.98</v>
      </c>
      <c r="G1213">
        <v>0</v>
      </c>
      <c r="H1213">
        <v>13.98</v>
      </c>
    </row>
    <row r="1214" spans="1:8" x14ac:dyDescent="0.3">
      <c r="A1214">
        <v>139</v>
      </c>
      <c r="B1214" t="s">
        <v>5892</v>
      </c>
      <c r="C1214" s="451">
        <v>45671</v>
      </c>
      <c r="D1214" t="s">
        <v>733</v>
      </c>
      <c r="E1214" t="s">
        <v>3905</v>
      </c>
      <c r="F1214">
        <v>99.8</v>
      </c>
      <c r="G1214">
        <v>0</v>
      </c>
      <c r="H1214">
        <v>99.8</v>
      </c>
    </row>
    <row r="1215" spans="1:8" x14ac:dyDescent="0.3">
      <c r="A1215">
        <v>139</v>
      </c>
      <c r="B1215" t="s">
        <v>5892</v>
      </c>
      <c r="C1215" s="451">
        <v>45669</v>
      </c>
      <c r="D1215" t="s">
        <v>733</v>
      </c>
      <c r="E1215" t="s">
        <v>20</v>
      </c>
      <c r="F1215">
        <v>19.97</v>
      </c>
      <c r="G1215">
        <v>0</v>
      </c>
      <c r="H1215">
        <v>19.97</v>
      </c>
    </row>
    <row r="1216" spans="1:8" x14ac:dyDescent="0.3">
      <c r="A1216">
        <v>139</v>
      </c>
      <c r="B1216" t="s">
        <v>5892</v>
      </c>
      <c r="C1216" s="451">
        <v>45669</v>
      </c>
      <c r="D1216" t="s">
        <v>733</v>
      </c>
      <c r="E1216" t="s">
        <v>3905</v>
      </c>
      <c r="F1216">
        <v>705</v>
      </c>
      <c r="G1216">
        <v>0</v>
      </c>
      <c r="H1216">
        <v>705</v>
      </c>
    </row>
    <row r="1217" spans="1:8" x14ac:dyDescent="0.3">
      <c r="A1217">
        <v>139</v>
      </c>
      <c r="B1217" t="s">
        <v>5892</v>
      </c>
      <c r="C1217" s="451">
        <v>45668</v>
      </c>
      <c r="D1217" t="s">
        <v>733</v>
      </c>
      <c r="E1217" t="s">
        <v>20</v>
      </c>
      <c r="F1217">
        <v>6.99</v>
      </c>
      <c r="G1217">
        <v>0</v>
      </c>
      <c r="H1217">
        <v>6.99</v>
      </c>
    </row>
    <row r="1218" spans="1:8" x14ac:dyDescent="0.3">
      <c r="A1218">
        <v>139</v>
      </c>
      <c r="B1218" t="s">
        <v>5892</v>
      </c>
      <c r="C1218" s="451">
        <v>45668</v>
      </c>
      <c r="D1218" t="s">
        <v>733</v>
      </c>
      <c r="E1218" t="s">
        <v>3905</v>
      </c>
      <c r="F1218">
        <v>476</v>
      </c>
      <c r="G1218">
        <v>0</v>
      </c>
      <c r="H1218">
        <v>476</v>
      </c>
    </row>
    <row r="1219" spans="1:8" x14ac:dyDescent="0.3">
      <c r="A1219">
        <v>139</v>
      </c>
      <c r="B1219" t="s">
        <v>5892</v>
      </c>
      <c r="C1219" s="451">
        <v>45666</v>
      </c>
      <c r="D1219" t="s">
        <v>733</v>
      </c>
      <c r="E1219" t="s">
        <v>20</v>
      </c>
      <c r="F1219">
        <v>10.99</v>
      </c>
      <c r="G1219">
        <v>0</v>
      </c>
      <c r="H1219">
        <v>10.99</v>
      </c>
    </row>
    <row r="1220" spans="1:8" x14ac:dyDescent="0.3">
      <c r="A1220">
        <v>139</v>
      </c>
      <c r="B1220" t="s">
        <v>5892</v>
      </c>
      <c r="C1220" s="451">
        <v>45666</v>
      </c>
      <c r="D1220" t="s">
        <v>733</v>
      </c>
      <c r="E1220" t="s">
        <v>3905</v>
      </c>
      <c r="F1220">
        <v>220.8</v>
      </c>
      <c r="G1220">
        <v>0</v>
      </c>
      <c r="H1220">
        <v>220.8</v>
      </c>
    </row>
    <row r="1221" spans="1:8" x14ac:dyDescent="0.3">
      <c r="A1221">
        <v>139</v>
      </c>
      <c r="B1221" t="s">
        <v>5892</v>
      </c>
      <c r="C1221" s="451">
        <v>45664</v>
      </c>
      <c r="D1221" t="s">
        <v>733</v>
      </c>
      <c r="E1221" t="s">
        <v>3905</v>
      </c>
      <c r="F1221">
        <v>193</v>
      </c>
      <c r="G1221">
        <v>0</v>
      </c>
      <c r="H1221">
        <v>193</v>
      </c>
    </row>
    <row r="1222" spans="1:8" x14ac:dyDescent="0.3">
      <c r="A1222">
        <v>139</v>
      </c>
      <c r="B1222" t="s">
        <v>5892</v>
      </c>
      <c r="C1222" s="451">
        <v>45664</v>
      </c>
      <c r="D1222" t="s">
        <v>733</v>
      </c>
      <c r="E1222" t="s">
        <v>20</v>
      </c>
      <c r="F1222">
        <v>9.99</v>
      </c>
      <c r="G1222">
        <v>0</v>
      </c>
      <c r="H1222">
        <v>9.99</v>
      </c>
    </row>
    <row r="1223" spans="1:8" x14ac:dyDescent="0.3">
      <c r="A1223">
        <v>139</v>
      </c>
      <c r="B1223" t="s">
        <v>5892</v>
      </c>
      <c r="C1223" s="451">
        <v>45663</v>
      </c>
      <c r="D1223" t="s">
        <v>733</v>
      </c>
      <c r="E1223" t="s">
        <v>20</v>
      </c>
      <c r="F1223">
        <v>16.98</v>
      </c>
      <c r="G1223">
        <v>0</v>
      </c>
      <c r="H1223">
        <v>16.98</v>
      </c>
    </row>
    <row r="1224" spans="1:8" x14ac:dyDescent="0.3">
      <c r="A1224">
        <v>139</v>
      </c>
      <c r="B1224" t="s">
        <v>5892</v>
      </c>
      <c r="C1224" s="451">
        <v>45663</v>
      </c>
      <c r="D1224" t="s">
        <v>733</v>
      </c>
      <c r="E1224" t="s">
        <v>3905</v>
      </c>
      <c r="F1224">
        <v>173.9</v>
      </c>
      <c r="G1224">
        <v>0</v>
      </c>
      <c r="H1224">
        <v>173.9</v>
      </c>
    </row>
    <row r="1225" spans="1:8" x14ac:dyDescent="0.3">
      <c r="A1225">
        <v>139</v>
      </c>
      <c r="B1225" t="s">
        <v>5892</v>
      </c>
      <c r="C1225" s="451">
        <v>45661</v>
      </c>
      <c r="D1225" t="s">
        <v>733</v>
      </c>
      <c r="E1225" t="s">
        <v>20</v>
      </c>
      <c r="F1225">
        <v>11.98</v>
      </c>
      <c r="G1225">
        <v>0</v>
      </c>
      <c r="H1225">
        <v>11.98</v>
      </c>
    </row>
    <row r="1226" spans="1:8" x14ac:dyDescent="0.3">
      <c r="A1226">
        <v>139</v>
      </c>
      <c r="B1226" t="s">
        <v>5892</v>
      </c>
      <c r="C1226" s="451">
        <v>45661</v>
      </c>
      <c r="D1226" t="s">
        <v>733</v>
      </c>
      <c r="E1226" t="s">
        <v>3905</v>
      </c>
      <c r="F1226">
        <v>234</v>
      </c>
      <c r="G1226">
        <v>0</v>
      </c>
      <c r="H1226">
        <v>234</v>
      </c>
    </row>
    <row r="1227" spans="1:8" x14ac:dyDescent="0.3">
      <c r="A1227">
        <v>139</v>
      </c>
      <c r="B1227" t="s">
        <v>5892</v>
      </c>
      <c r="C1227" s="451">
        <v>45660</v>
      </c>
      <c r="D1227" t="s">
        <v>733</v>
      </c>
      <c r="E1227" t="s">
        <v>20</v>
      </c>
      <c r="F1227">
        <v>20.98</v>
      </c>
      <c r="G1227">
        <v>0</v>
      </c>
      <c r="H1227">
        <v>20.98</v>
      </c>
    </row>
    <row r="1228" spans="1:8" x14ac:dyDescent="0.3">
      <c r="A1228">
        <v>139</v>
      </c>
      <c r="B1228" t="s">
        <v>5892</v>
      </c>
      <c r="C1228" s="451">
        <v>45660</v>
      </c>
      <c r="D1228" t="s">
        <v>733</v>
      </c>
      <c r="E1228" t="s">
        <v>3905</v>
      </c>
      <c r="F1228">
        <v>513</v>
      </c>
      <c r="G1228">
        <v>0</v>
      </c>
      <c r="H1228">
        <v>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0"/>
  <sheetViews>
    <sheetView workbookViewId="0"/>
  </sheetViews>
  <sheetFormatPr defaultRowHeight="14.4" x14ac:dyDescent="0.3"/>
  <sheetData>
    <row r="1" spans="1:9" x14ac:dyDescent="0.3">
      <c r="A1" t="s">
        <v>5893</v>
      </c>
      <c r="B1" t="s">
        <v>5894</v>
      </c>
      <c r="C1" t="s">
        <v>5895</v>
      </c>
      <c r="D1" t="s">
        <v>5876</v>
      </c>
      <c r="E1" t="s">
        <v>549</v>
      </c>
      <c r="F1" t="s">
        <v>552</v>
      </c>
      <c r="G1" t="s">
        <v>5877</v>
      </c>
      <c r="H1" t="s">
        <v>553</v>
      </c>
      <c r="I1" t="s">
        <v>556</v>
      </c>
    </row>
    <row r="2" spans="1:9" x14ac:dyDescent="0.3">
      <c r="A2">
        <v>123647185110</v>
      </c>
      <c r="B2" t="s">
        <v>5896</v>
      </c>
      <c r="C2" t="s">
        <v>457</v>
      </c>
      <c r="D2">
        <v>105</v>
      </c>
      <c r="E2" t="s">
        <v>557</v>
      </c>
      <c r="F2">
        <v>6</v>
      </c>
      <c r="G2">
        <v>2026</v>
      </c>
      <c r="H2">
        <v>656.79</v>
      </c>
      <c r="I2" t="s">
        <v>594</v>
      </c>
    </row>
    <row r="3" spans="1:9" x14ac:dyDescent="0.3">
      <c r="A3">
        <v>124311670600</v>
      </c>
      <c r="B3" t="s">
        <v>884</v>
      </c>
      <c r="C3" t="s">
        <v>5897</v>
      </c>
      <c r="D3">
        <v>105</v>
      </c>
      <c r="E3" t="s">
        <v>557</v>
      </c>
      <c r="F3">
        <v>6</v>
      </c>
      <c r="G3">
        <v>2026</v>
      </c>
      <c r="H3">
        <v>818.7</v>
      </c>
      <c r="I3" t="s">
        <v>594</v>
      </c>
    </row>
    <row r="4" spans="1:9" x14ac:dyDescent="0.3">
      <c r="A4">
        <v>122903752410</v>
      </c>
      <c r="B4" t="s">
        <v>888</v>
      </c>
      <c r="C4" t="s">
        <v>457</v>
      </c>
      <c r="D4">
        <v>105</v>
      </c>
      <c r="E4" t="s">
        <v>557</v>
      </c>
      <c r="F4">
        <v>6</v>
      </c>
      <c r="G4">
        <v>2026</v>
      </c>
      <c r="H4">
        <v>325.99</v>
      </c>
      <c r="I4" t="s">
        <v>594</v>
      </c>
    </row>
    <row r="5" spans="1:9" x14ac:dyDescent="0.3">
      <c r="A5">
        <v>123342858470</v>
      </c>
      <c r="B5" t="s">
        <v>5898</v>
      </c>
      <c r="C5" t="s">
        <v>5899</v>
      </c>
      <c r="D5">
        <v>105</v>
      </c>
      <c r="E5" t="s">
        <v>557</v>
      </c>
      <c r="F5">
        <v>6</v>
      </c>
      <c r="G5">
        <v>2026</v>
      </c>
      <c r="H5">
        <v>535.48</v>
      </c>
      <c r="I5" t="s">
        <v>594</v>
      </c>
    </row>
    <row r="6" spans="1:9" x14ac:dyDescent="0.3">
      <c r="A6">
        <v>126690516880</v>
      </c>
      <c r="B6" t="s">
        <v>5900</v>
      </c>
      <c r="C6" t="s">
        <v>5901</v>
      </c>
      <c r="D6">
        <v>105</v>
      </c>
      <c r="E6" t="s">
        <v>557</v>
      </c>
      <c r="F6">
        <v>6</v>
      </c>
      <c r="G6">
        <v>2026</v>
      </c>
      <c r="H6">
        <v>1661.82</v>
      </c>
      <c r="I6" t="s">
        <v>594</v>
      </c>
    </row>
    <row r="7" spans="1:9" x14ac:dyDescent="0.3">
      <c r="A7">
        <v>124311670600</v>
      </c>
      <c r="B7" t="s">
        <v>884</v>
      </c>
      <c r="C7" t="s">
        <v>5897</v>
      </c>
      <c r="D7">
        <v>105</v>
      </c>
      <c r="E7" t="s">
        <v>557</v>
      </c>
      <c r="F7">
        <v>5</v>
      </c>
      <c r="G7">
        <v>2026</v>
      </c>
      <c r="H7">
        <v>424.2</v>
      </c>
      <c r="I7" t="s">
        <v>592</v>
      </c>
    </row>
    <row r="8" spans="1:9" x14ac:dyDescent="0.3">
      <c r="A8">
        <v>126565880930</v>
      </c>
      <c r="B8" t="s">
        <v>1245</v>
      </c>
      <c r="C8" t="s">
        <v>457</v>
      </c>
      <c r="D8">
        <v>105</v>
      </c>
      <c r="E8" t="s">
        <v>557</v>
      </c>
      <c r="F8">
        <v>5</v>
      </c>
      <c r="G8">
        <v>2026</v>
      </c>
      <c r="H8">
        <v>447.54</v>
      </c>
      <c r="I8" t="s">
        <v>592</v>
      </c>
    </row>
    <row r="9" spans="1:9" x14ac:dyDescent="0.3">
      <c r="A9">
        <v>122903752410</v>
      </c>
      <c r="B9" t="s">
        <v>888</v>
      </c>
      <c r="C9" t="s">
        <v>457</v>
      </c>
      <c r="D9">
        <v>105</v>
      </c>
      <c r="E9" t="s">
        <v>557</v>
      </c>
      <c r="F9">
        <v>5</v>
      </c>
      <c r="G9">
        <v>2026</v>
      </c>
      <c r="H9">
        <v>494.74</v>
      </c>
      <c r="I9" t="s">
        <v>592</v>
      </c>
    </row>
    <row r="10" spans="1:9" x14ac:dyDescent="0.3">
      <c r="A10">
        <v>123342858470</v>
      </c>
      <c r="B10" t="s">
        <v>5898</v>
      </c>
      <c r="C10" t="s">
        <v>5899</v>
      </c>
      <c r="D10">
        <v>105</v>
      </c>
      <c r="E10" t="s">
        <v>557</v>
      </c>
      <c r="F10">
        <v>5</v>
      </c>
      <c r="G10">
        <v>2026</v>
      </c>
      <c r="H10">
        <v>600.54999999999995</v>
      </c>
      <c r="I10" t="s">
        <v>592</v>
      </c>
    </row>
    <row r="11" spans="1:9" x14ac:dyDescent="0.3">
      <c r="A11">
        <v>126690516880</v>
      </c>
      <c r="B11" t="s">
        <v>5900</v>
      </c>
      <c r="C11" t="s">
        <v>5901</v>
      </c>
      <c r="D11">
        <v>105</v>
      </c>
      <c r="E11" t="s">
        <v>557</v>
      </c>
      <c r="F11">
        <v>5</v>
      </c>
      <c r="G11">
        <v>2026</v>
      </c>
      <c r="H11">
        <v>1417.73</v>
      </c>
      <c r="I11" t="s">
        <v>592</v>
      </c>
    </row>
    <row r="12" spans="1:9" x14ac:dyDescent="0.3">
      <c r="A12">
        <v>123342858470</v>
      </c>
      <c r="B12" t="s">
        <v>5898</v>
      </c>
      <c r="C12" t="s">
        <v>5899</v>
      </c>
      <c r="D12">
        <v>105</v>
      </c>
      <c r="E12" t="s">
        <v>557</v>
      </c>
      <c r="F12">
        <v>4</v>
      </c>
      <c r="G12">
        <v>2026</v>
      </c>
      <c r="H12">
        <v>445.46</v>
      </c>
      <c r="I12" t="s">
        <v>590</v>
      </c>
    </row>
    <row r="13" spans="1:9" x14ac:dyDescent="0.3">
      <c r="A13">
        <v>122903752410</v>
      </c>
      <c r="B13" t="s">
        <v>888</v>
      </c>
      <c r="C13" t="s">
        <v>457</v>
      </c>
      <c r="D13">
        <v>105</v>
      </c>
      <c r="E13" t="s">
        <v>557</v>
      </c>
      <c r="F13">
        <v>4</v>
      </c>
      <c r="G13">
        <v>2026</v>
      </c>
      <c r="H13">
        <v>619.86</v>
      </c>
      <c r="I13" t="s">
        <v>590</v>
      </c>
    </row>
    <row r="14" spans="1:9" x14ac:dyDescent="0.3">
      <c r="A14">
        <v>126565880930</v>
      </c>
      <c r="B14" t="s">
        <v>1245</v>
      </c>
      <c r="C14" t="s">
        <v>457</v>
      </c>
      <c r="D14">
        <v>105</v>
      </c>
      <c r="E14" t="s">
        <v>557</v>
      </c>
      <c r="F14">
        <v>4</v>
      </c>
      <c r="G14">
        <v>2026</v>
      </c>
      <c r="H14">
        <v>251.3</v>
      </c>
      <c r="I14" t="s">
        <v>590</v>
      </c>
    </row>
    <row r="15" spans="1:9" x14ac:dyDescent="0.3">
      <c r="A15">
        <v>124311670600</v>
      </c>
      <c r="B15" t="s">
        <v>884</v>
      </c>
      <c r="C15" t="s">
        <v>5897</v>
      </c>
      <c r="D15">
        <v>105</v>
      </c>
      <c r="E15" t="s">
        <v>557</v>
      </c>
      <c r="F15">
        <v>4</v>
      </c>
      <c r="G15">
        <v>2026</v>
      </c>
      <c r="H15">
        <v>530.19000000000005</v>
      </c>
      <c r="I15" t="s">
        <v>590</v>
      </c>
    </row>
    <row r="16" spans="1:9" x14ac:dyDescent="0.3">
      <c r="A16">
        <v>123647185110</v>
      </c>
      <c r="B16" t="s">
        <v>5896</v>
      </c>
      <c r="C16" t="s">
        <v>457</v>
      </c>
      <c r="D16">
        <v>105</v>
      </c>
      <c r="E16" t="s">
        <v>557</v>
      </c>
      <c r="F16">
        <v>4</v>
      </c>
      <c r="G16">
        <v>2026</v>
      </c>
      <c r="H16">
        <v>500.13</v>
      </c>
      <c r="I16" t="s">
        <v>590</v>
      </c>
    </row>
    <row r="17" spans="1:9" x14ac:dyDescent="0.3">
      <c r="A17">
        <v>123342858470</v>
      </c>
      <c r="B17" t="s">
        <v>5898</v>
      </c>
      <c r="C17" t="s">
        <v>5899</v>
      </c>
      <c r="D17">
        <v>105</v>
      </c>
      <c r="E17" t="s">
        <v>557</v>
      </c>
      <c r="F17">
        <v>3</v>
      </c>
      <c r="G17">
        <v>2026</v>
      </c>
      <c r="H17">
        <v>667.75</v>
      </c>
      <c r="I17" t="s">
        <v>588</v>
      </c>
    </row>
    <row r="18" spans="1:9" x14ac:dyDescent="0.3">
      <c r="A18">
        <v>123647185110</v>
      </c>
      <c r="B18" t="s">
        <v>5896</v>
      </c>
      <c r="C18" t="s">
        <v>457</v>
      </c>
      <c r="D18">
        <v>105</v>
      </c>
      <c r="E18" t="s">
        <v>557</v>
      </c>
      <c r="F18">
        <v>3</v>
      </c>
      <c r="G18">
        <v>2026</v>
      </c>
      <c r="H18">
        <v>943.04</v>
      </c>
      <c r="I18" t="s">
        <v>588</v>
      </c>
    </row>
    <row r="19" spans="1:9" x14ac:dyDescent="0.3">
      <c r="A19">
        <v>124311670600</v>
      </c>
      <c r="B19" t="s">
        <v>884</v>
      </c>
      <c r="C19" t="s">
        <v>5897</v>
      </c>
      <c r="D19">
        <v>105</v>
      </c>
      <c r="E19" t="s">
        <v>557</v>
      </c>
      <c r="F19">
        <v>3</v>
      </c>
      <c r="G19">
        <v>2026</v>
      </c>
      <c r="H19">
        <v>567.20000000000005</v>
      </c>
      <c r="I19" t="s">
        <v>588</v>
      </c>
    </row>
    <row r="20" spans="1:9" x14ac:dyDescent="0.3">
      <c r="A20">
        <v>126565880930</v>
      </c>
      <c r="B20" t="s">
        <v>1245</v>
      </c>
      <c r="C20" t="s">
        <v>457</v>
      </c>
      <c r="D20">
        <v>105</v>
      </c>
      <c r="E20" t="s">
        <v>557</v>
      </c>
      <c r="F20">
        <v>3</v>
      </c>
      <c r="G20">
        <v>2026</v>
      </c>
      <c r="H20">
        <v>1277.04</v>
      </c>
      <c r="I20" t="s">
        <v>588</v>
      </c>
    </row>
    <row r="21" spans="1:9" x14ac:dyDescent="0.3">
      <c r="A21">
        <v>122903752410</v>
      </c>
      <c r="B21" t="s">
        <v>888</v>
      </c>
      <c r="C21" t="s">
        <v>457</v>
      </c>
      <c r="D21">
        <v>105</v>
      </c>
      <c r="E21" t="s">
        <v>557</v>
      </c>
      <c r="F21">
        <v>3</v>
      </c>
      <c r="G21">
        <v>2026</v>
      </c>
      <c r="H21">
        <v>454.93</v>
      </c>
      <c r="I21" t="s">
        <v>588</v>
      </c>
    </row>
    <row r="22" spans="1:9" x14ac:dyDescent="0.3">
      <c r="A22">
        <v>124362976930</v>
      </c>
      <c r="B22" t="s">
        <v>5902</v>
      </c>
      <c r="C22" t="s">
        <v>457</v>
      </c>
      <c r="D22">
        <v>105</v>
      </c>
      <c r="E22" t="s">
        <v>557</v>
      </c>
      <c r="F22">
        <v>3</v>
      </c>
      <c r="G22">
        <v>2026</v>
      </c>
      <c r="H22">
        <v>276.04000000000002</v>
      </c>
      <c r="I22" t="s">
        <v>588</v>
      </c>
    </row>
    <row r="23" spans="1:9" x14ac:dyDescent="0.3">
      <c r="A23">
        <v>122903752410</v>
      </c>
      <c r="B23" t="s">
        <v>888</v>
      </c>
      <c r="C23" t="s">
        <v>457</v>
      </c>
      <c r="D23">
        <v>105</v>
      </c>
      <c r="E23" t="s">
        <v>557</v>
      </c>
      <c r="F23">
        <v>2</v>
      </c>
      <c r="G23">
        <v>2026</v>
      </c>
      <c r="H23">
        <v>118.69</v>
      </c>
      <c r="I23" t="s">
        <v>586</v>
      </c>
    </row>
    <row r="24" spans="1:9" x14ac:dyDescent="0.3">
      <c r="A24">
        <v>126565880930</v>
      </c>
      <c r="B24" t="s">
        <v>1245</v>
      </c>
      <c r="C24" t="s">
        <v>457</v>
      </c>
      <c r="D24">
        <v>105</v>
      </c>
      <c r="E24" t="s">
        <v>557</v>
      </c>
      <c r="F24">
        <v>2</v>
      </c>
      <c r="G24">
        <v>2026</v>
      </c>
      <c r="H24">
        <v>633.27</v>
      </c>
      <c r="I24" t="s">
        <v>586</v>
      </c>
    </row>
    <row r="25" spans="1:9" x14ac:dyDescent="0.3">
      <c r="A25">
        <v>123647185110</v>
      </c>
      <c r="B25" t="s">
        <v>5896</v>
      </c>
      <c r="C25" t="s">
        <v>457</v>
      </c>
      <c r="D25">
        <v>105</v>
      </c>
      <c r="E25" t="s">
        <v>557</v>
      </c>
      <c r="F25">
        <v>2</v>
      </c>
      <c r="G25">
        <v>2026</v>
      </c>
      <c r="H25">
        <v>543.65</v>
      </c>
      <c r="I25" t="s">
        <v>586</v>
      </c>
    </row>
    <row r="26" spans="1:9" x14ac:dyDescent="0.3">
      <c r="A26">
        <v>123342858470</v>
      </c>
      <c r="B26" t="s">
        <v>5898</v>
      </c>
      <c r="C26" t="s">
        <v>5899</v>
      </c>
      <c r="D26">
        <v>105</v>
      </c>
      <c r="E26" t="s">
        <v>557</v>
      </c>
      <c r="F26">
        <v>2</v>
      </c>
      <c r="G26">
        <v>2026</v>
      </c>
      <c r="H26">
        <v>558.19000000000005</v>
      </c>
      <c r="I26" t="s">
        <v>586</v>
      </c>
    </row>
    <row r="27" spans="1:9" x14ac:dyDescent="0.3">
      <c r="A27">
        <v>123647185110</v>
      </c>
      <c r="B27" t="s">
        <v>5896</v>
      </c>
      <c r="C27" t="s">
        <v>457</v>
      </c>
      <c r="D27">
        <v>105</v>
      </c>
      <c r="E27" t="s">
        <v>557</v>
      </c>
      <c r="F27">
        <v>1</v>
      </c>
      <c r="G27">
        <v>2026</v>
      </c>
      <c r="H27">
        <v>115.37</v>
      </c>
      <c r="I27" t="s">
        <v>561</v>
      </c>
    </row>
    <row r="28" spans="1:9" x14ac:dyDescent="0.3">
      <c r="A28">
        <v>126565880930</v>
      </c>
      <c r="B28" t="s">
        <v>1245</v>
      </c>
      <c r="C28" t="s">
        <v>457</v>
      </c>
      <c r="D28">
        <v>105</v>
      </c>
      <c r="E28" t="s">
        <v>557</v>
      </c>
      <c r="F28">
        <v>1</v>
      </c>
      <c r="G28">
        <v>2026</v>
      </c>
      <c r="H28">
        <v>335.73</v>
      </c>
      <c r="I28" t="s">
        <v>561</v>
      </c>
    </row>
    <row r="29" spans="1:9" x14ac:dyDescent="0.3">
      <c r="A29">
        <v>122903752410</v>
      </c>
      <c r="B29" t="s">
        <v>888</v>
      </c>
      <c r="C29" t="s">
        <v>457</v>
      </c>
      <c r="D29">
        <v>105</v>
      </c>
      <c r="E29" t="s">
        <v>557</v>
      </c>
      <c r="F29">
        <v>1</v>
      </c>
      <c r="G29">
        <v>2026</v>
      </c>
      <c r="H29">
        <v>304.52</v>
      </c>
      <c r="I29" t="s">
        <v>561</v>
      </c>
    </row>
    <row r="30" spans="1:9" x14ac:dyDescent="0.3">
      <c r="A30">
        <v>123342858470</v>
      </c>
      <c r="B30" t="s">
        <v>5898</v>
      </c>
      <c r="C30" t="s">
        <v>5899</v>
      </c>
      <c r="D30">
        <v>105</v>
      </c>
      <c r="E30" t="s">
        <v>557</v>
      </c>
      <c r="F30">
        <v>1</v>
      </c>
      <c r="G30">
        <v>2026</v>
      </c>
      <c r="H30">
        <v>416.96</v>
      </c>
      <c r="I30" t="s">
        <v>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"/>
  <sheetViews>
    <sheetView workbookViewId="0"/>
  </sheetViews>
  <sheetFormatPr defaultRowHeight="14.4" x14ac:dyDescent="0.3"/>
  <sheetData>
    <row r="1" spans="1:22" x14ac:dyDescent="0.3">
      <c r="A1" t="s">
        <v>3907</v>
      </c>
      <c r="B1" t="s">
        <v>549</v>
      </c>
      <c r="C1" t="s">
        <v>3908</v>
      </c>
      <c r="D1" t="s">
        <v>3909</v>
      </c>
      <c r="E1" t="s">
        <v>3910</v>
      </c>
      <c r="F1" t="s">
        <v>3911</v>
      </c>
      <c r="G1" t="s">
        <v>3912</v>
      </c>
      <c r="H1" t="s">
        <v>3913</v>
      </c>
      <c r="I1" t="s">
        <v>3914</v>
      </c>
      <c r="J1" t="s">
        <v>3915</v>
      </c>
      <c r="K1" t="s">
        <v>3916</v>
      </c>
      <c r="L1" t="s">
        <v>3917</v>
      </c>
      <c r="M1" t="s">
        <v>3918</v>
      </c>
      <c r="N1" t="s">
        <v>3919</v>
      </c>
      <c r="O1" t="s">
        <v>3920</v>
      </c>
      <c r="P1" t="s">
        <v>3921</v>
      </c>
      <c r="Q1" t="s">
        <v>3922</v>
      </c>
      <c r="R1" t="s">
        <v>3923</v>
      </c>
      <c r="S1" t="s">
        <v>3924</v>
      </c>
      <c r="T1" t="s">
        <v>3925</v>
      </c>
      <c r="U1" t="s">
        <v>3926</v>
      </c>
      <c r="V1" t="s">
        <v>3927</v>
      </c>
    </row>
    <row r="2" spans="1:22" x14ac:dyDescent="0.3">
      <c r="A2">
        <v>12707</v>
      </c>
      <c r="B2" t="s">
        <v>557</v>
      </c>
      <c r="C2" t="s">
        <v>3928</v>
      </c>
      <c r="D2" t="s">
        <v>3929</v>
      </c>
      <c r="I2">
        <v>364.5</v>
      </c>
      <c r="J2" s="452">
        <v>46113</v>
      </c>
      <c r="K2" s="452">
        <v>46157</v>
      </c>
      <c r="L2">
        <v>364.5</v>
      </c>
      <c r="M2" t="s">
        <v>894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462</v>
      </c>
      <c r="V2" t="s">
        <v>463</v>
      </c>
    </row>
    <row r="3" spans="1:22" x14ac:dyDescent="0.3">
      <c r="A3">
        <v>12157</v>
      </c>
      <c r="B3" t="s">
        <v>557</v>
      </c>
      <c r="C3" t="s">
        <v>3928</v>
      </c>
      <c r="D3" t="s">
        <v>3929</v>
      </c>
      <c r="I3">
        <v>67.5</v>
      </c>
      <c r="J3" s="452">
        <v>46111</v>
      </c>
      <c r="K3" s="452">
        <v>46134</v>
      </c>
      <c r="L3">
        <v>67.5</v>
      </c>
      <c r="M3" t="s">
        <v>894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461</v>
      </c>
      <c r="V3" t="s">
        <v>462</v>
      </c>
    </row>
    <row r="4" spans="1:22" x14ac:dyDescent="0.3">
      <c r="A4">
        <v>11405</v>
      </c>
      <c r="B4" t="s">
        <v>557</v>
      </c>
      <c r="C4" t="s">
        <v>3928</v>
      </c>
      <c r="D4" t="s">
        <v>3929</v>
      </c>
      <c r="I4">
        <v>270</v>
      </c>
      <c r="J4" s="452">
        <v>46055</v>
      </c>
      <c r="K4" s="452">
        <v>46099</v>
      </c>
      <c r="L4">
        <v>270</v>
      </c>
      <c r="M4" t="s">
        <v>894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460</v>
      </c>
      <c r="V4" t="s">
        <v>461</v>
      </c>
    </row>
    <row r="5" spans="1:22" x14ac:dyDescent="0.3">
      <c r="A5">
        <v>10971</v>
      </c>
      <c r="B5" t="s">
        <v>557</v>
      </c>
      <c r="C5" t="s">
        <v>3930</v>
      </c>
      <c r="D5" t="s">
        <v>33</v>
      </c>
      <c r="I5">
        <v>67.5</v>
      </c>
      <c r="J5" s="452">
        <v>46079</v>
      </c>
      <c r="K5" s="452">
        <v>46044</v>
      </c>
      <c r="L5">
        <v>67.5</v>
      </c>
      <c r="M5" t="s">
        <v>894</v>
      </c>
      <c r="N5">
        <v>0</v>
      </c>
      <c r="O5">
        <v>0</v>
      </c>
      <c r="P5">
        <v>67.5</v>
      </c>
      <c r="Q5">
        <v>0</v>
      </c>
      <c r="R5">
        <v>0</v>
      </c>
      <c r="S5">
        <v>0</v>
      </c>
      <c r="T5">
        <v>0</v>
      </c>
      <c r="U5" t="s">
        <v>460</v>
      </c>
      <c r="V5" t="s">
        <v>459</v>
      </c>
    </row>
    <row r="6" spans="1:22" x14ac:dyDescent="0.3">
      <c r="A6">
        <v>10939</v>
      </c>
      <c r="B6" t="s">
        <v>557</v>
      </c>
      <c r="C6" t="s">
        <v>3928</v>
      </c>
      <c r="D6" t="s">
        <v>3929</v>
      </c>
      <c r="I6">
        <v>189</v>
      </c>
      <c r="J6" s="452">
        <v>46053</v>
      </c>
      <c r="K6" s="452">
        <v>46077</v>
      </c>
      <c r="L6">
        <v>189</v>
      </c>
      <c r="M6" t="s">
        <v>894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459</v>
      </c>
      <c r="V6" t="s">
        <v>460</v>
      </c>
    </row>
    <row r="7" spans="1:22" x14ac:dyDescent="0.3">
      <c r="A7">
        <v>10509</v>
      </c>
      <c r="B7" t="s">
        <v>557</v>
      </c>
      <c r="C7" t="s">
        <v>3928</v>
      </c>
      <c r="D7" t="s">
        <v>3929</v>
      </c>
      <c r="I7">
        <v>67.5</v>
      </c>
      <c r="J7" s="452">
        <v>45992</v>
      </c>
      <c r="K7" s="452">
        <v>46036</v>
      </c>
      <c r="L7">
        <v>67.5</v>
      </c>
      <c r="M7" t="s">
        <v>894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458</v>
      </c>
      <c r="V7" t="s">
        <v>459</v>
      </c>
    </row>
    <row r="8" spans="1:22" x14ac:dyDescent="0.3">
      <c r="A8">
        <v>10496</v>
      </c>
      <c r="B8" t="s">
        <v>557</v>
      </c>
      <c r="C8" t="s">
        <v>3930</v>
      </c>
      <c r="D8" t="s">
        <v>33</v>
      </c>
      <c r="I8">
        <v>103.5</v>
      </c>
      <c r="J8" s="452">
        <v>46043</v>
      </c>
      <c r="K8" s="452">
        <v>46044</v>
      </c>
      <c r="L8">
        <v>103.5</v>
      </c>
      <c r="M8" t="s">
        <v>894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459</v>
      </c>
      <c r="V8" t="s">
        <v>459</v>
      </c>
    </row>
    <row r="9" spans="1:22" x14ac:dyDescent="0.3">
      <c r="A9">
        <v>10280</v>
      </c>
      <c r="B9" t="s">
        <v>557</v>
      </c>
      <c r="C9" t="s">
        <v>3928</v>
      </c>
      <c r="D9" t="s">
        <v>3929</v>
      </c>
      <c r="I9">
        <v>324</v>
      </c>
      <c r="J9" s="452">
        <v>45971</v>
      </c>
      <c r="K9" s="452">
        <v>46020</v>
      </c>
      <c r="L9">
        <v>324</v>
      </c>
      <c r="M9" t="s">
        <v>894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753</v>
      </c>
      <c r="V9" t="s">
        <v>458</v>
      </c>
    </row>
    <row r="10" spans="1:22" x14ac:dyDescent="0.3">
      <c r="A10">
        <v>7247</v>
      </c>
      <c r="B10" t="s">
        <v>557</v>
      </c>
      <c r="C10" t="s">
        <v>3931</v>
      </c>
      <c r="D10" t="s">
        <v>33</v>
      </c>
      <c r="E10">
        <v>5251</v>
      </c>
      <c r="F10" t="s">
        <v>3932</v>
      </c>
      <c r="G10" t="s">
        <v>3933</v>
      </c>
      <c r="H10" t="s">
        <v>3934</v>
      </c>
      <c r="I10">
        <v>1500</v>
      </c>
      <c r="J10" s="452">
        <v>46004</v>
      </c>
      <c r="K10" s="452">
        <v>45838</v>
      </c>
      <c r="L10">
        <v>750</v>
      </c>
      <c r="M10" t="s">
        <v>894</v>
      </c>
      <c r="N10">
        <v>0</v>
      </c>
      <c r="O10">
        <v>0</v>
      </c>
      <c r="P10">
        <v>0</v>
      </c>
      <c r="Q10">
        <v>0</v>
      </c>
      <c r="R10">
        <v>1500</v>
      </c>
      <c r="S10">
        <v>0</v>
      </c>
      <c r="T10">
        <v>0</v>
      </c>
      <c r="U10" t="s">
        <v>458</v>
      </c>
      <c r="V10" t="s">
        <v>3935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66"/>
  <sheetViews>
    <sheetView workbookViewId="0"/>
  </sheetViews>
  <sheetFormatPr defaultRowHeight="14.4" x14ac:dyDescent="0.3"/>
  <sheetData>
    <row r="1" spans="1:29" x14ac:dyDescent="0.3">
      <c r="A1" t="s">
        <v>549</v>
      </c>
      <c r="B1" t="s">
        <v>3936</v>
      </c>
      <c r="C1" t="s">
        <v>3910</v>
      </c>
      <c r="D1" t="s">
        <v>3899</v>
      </c>
      <c r="E1" t="s">
        <v>3937</v>
      </c>
      <c r="F1" t="s">
        <v>3938</v>
      </c>
      <c r="G1" t="s">
        <v>3913</v>
      </c>
      <c r="H1" t="s">
        <v>3917</v>
      </c>
      <c r="I1" t="s">
        <v>3939</v>
      </c>
      <c r="J1" t="s">
        <v>3940</v>
      </c>
      <c r="K1" t="s">
        <v>3941</v>
      </c>
      <c r="L1" t="s">
        <v>3942</v>
      </c>
      <c r="M1" t="s">
        <v>3943</v>
      </c>
      <c r="N1" t="s">
        <v>3944</v>
      </c>
      <c r="O1" t="s">
        <v>3945</v>
      </c>
      <c r="P1" t="s">
        <v>3946</v>
      </c>
      <c r="Q1" t="s">
        <v>3947</v>
      </c>
      <c r="R1" t="s">
        <v>3948</v>
      </c>
      <c r="S1" t="s">
        <v>3949</v>
      </c>
      <c r="T1" t="s">
        <v>3950</v>
      </c>
      <c r="U1" t="s">
        <v>3951</v>
      </c>
      <c r="V1" t="s">
        <v>3952</v>
      </c>
      <c r="W1" t="s">
        <v>3953</v>
      </c>
      <c r="X1" t="s">
        <v>3954</v>
      </c>
      <c r="Y1" t="s">
        <v>764</v>
      </c>
      <c r="Z1" t="s">
        <v>774</v>
      </c>
      <c r="AA1" t="s">
        <v>2540</v>
      </c>
      <c r="AB1" t="s">
        <v>3955</v>
      </c>
      <c r="AC1" t="s">
        <v>3956</v>
      </c>
    </row>
    <row r="2" spans="1:29" x14ac:dyDescent="0.3">
      <c r="A2" t="s">
        <v>557</v>
      </c>
      <c r="B2">
        <v>1242</v>
      </c>
      <c r="C2">
        <v>2394</v>
      </c>
      <c r="D2" s="452">
        <v>46333</v>
      </c>
      <c r="E2" t="s">
        <v>3957</v>
      </c>
      <c r="F2" t="s">
        <v>3958</v>
      </c>
      <c r="G2" t="s">
        <v>3959</v>
      </c>
      <c r="H2">
        <v>1260</v>
      </c>
      <c r="I2">
        <v>4020</v>
      </c>
      <c r="J2">
        <v>409.03</v>
      </c>
      <c r="K2">
        <v>61.12</v>
      </c>
      <c r="L2">
        <v>789.85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452">
        <v>46031</v>
      </c>
      <c r="Z2" t="s">
        <v>894</v>
      </c>
      <c r="AA2" s="452">
        <v>46031</v>
      </c>
      <c r="AB2" t="s">
        <v>469</v>
      </c>
      <c r="AC2" t="s">
        <v>459</v>
      </c>
    </row>
    <row r="3" spans="1:29" x14ac:dyDescent="0.3">
      <c r="A3" t="s">
        <v>557</v>
      </c>
      <c r="B3">
        <v>1243</v>
      </c>
      <c r="C3">
        <v>2394</v>
      </c>
      <c r="D3" s="452">
        <v>46333</v>
      </c>
      <c r="E3" t="s">
        <v>3957</v>
      </c>
      <c r="F3" t="s">
        <v>3958</v>
      </c>
      <c r="G3" t="s">
        <v>3959</v>
      </c>
      <c r="H3">
        <v>2760</v>
      </c>
      <c r="I3">
        <v>4020</v>
      </c>
      <c r="J3">
        <v>895.97</v>
      </c>
      <c r="K3">
        <v>133.88</v>
      </c>
      <c r="L3">
        <v>1730.15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452">
        <v>46331</v>
      </c>
      <c r="AA3" s="452"/>
      <c r="AB3" t="s">
        <v>469</v>
      </c>
    </row>
    <row r="4" spans="1:29" x14ac:dyDescent="0.3">
      <c r="A4" t="s">
        <v>557</v>
      </c>
      <c r="B4">
        <v>1916</v>
      </c>
      <c r="C4">
        <v>3462</v>
      </c>
      <c r="D4" s="452">
        <v>46263</v>
      </c>
      <c r="E4" t="s">
        <v>3960</v>
      </c>
      <c r="F4" t="s">
        <v>3958</v>
      </c>
      <c r="G4" t="s">
        <v>3934</v>
      </c>
      <c r="H4">
        <v>3012.5</v>
      </c>
      <c r="I4">
        <v>6025</v>
      </c>
      <c r="J4">
        <v>1837.88</v>
      </c>
      <c r="K4">
        <v>274.63</v>
      </c>
      <c r="L4">
        <v>900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452">
        <v>46185</v>
      </c>
      <c r="Z4" t="s">
        <v>894</v>
      </c>
      <c r="AA4" s="452">
        <v>46185</v>
      </c>
      <c r="AB4" t="s">
        <v>466</v>
      </c>
      <c r="AC4" t="s">
        <v>464</v>
      </c>
    </row>
    <row r="5" spans="1:29" x14ac:dyDescent="0.3">
      <c r="A5" t="s">
        <v>557</v>
      </c>
      <c r="B5">
        <v>1917</v>
      </c>
      <c r="C5">
        <v>3462</v>
      </c>
      <c r="D5" s="452">
        <v>46263</v>
      </c>
      <c r="E5" t="s">
        <v>3960</v>
      </c>
      <c r="F5" t="s">
        <v>3958</v>
      </c>
      <c r="G5" t="s">
        <v>3934</v>
      </c>
      <c r="H5">
        <v>3012.5</v>
      </c>
      <c r="I5">
        <v>6025</v>
      </c>
      <c r="J5">
        <v>1837.88</v>
      </c>
      <c r="K5">
        <v>274.63</v>
      </c>
      <c r="L5">
        <v>900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452">
        <v>46260</v>
      </c>
      <c r="AA5" s="452"/>
      <c r="AB5" t="s">
        <v>466</v>
      </c>
    </row>
    <row r="6" spans="1:29" x14ac:dyDescent="0.3">
      <c r="A6" t="s">
        <v>557</v>
      </c>
      <c r="B6">
        <v>1657</v>
      </c>
      <c r="C6">
        <v>2875</v>
      </c>
      <c r="D6" s="452">
        <v>46236</v>
      </c>
      <c r="E6" t="s">
        <v>3961</v>
      </c>
      <c r="F6" t="s">
        <v>3958</v>
      </c>
      <c r="G6" t="s">
        <v>3934</v>
      </c>
      <c r="H6">
        <v>14967</v>
      </c>
      <c r="I6">
        <v>31374</v>
      </c>
      <c r="J6">
        <v>12423.64</v>
      </c>
      <c r="K6">
        <v>1856.41</v>
      </c>
      <c r="L6">
        <v>0</v>
      </c>
      <c r="M6">
        <v>0</v>
      </c>
      <c r="N6">
        <v>0</v>
      </c>
      <c r="O6">
        <v>0</v>
      </c>
      <c r="P6">
        <v>686.95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452">
        <v>46132</v>
      </c>
      <c r="Z6" t="s">
        <v>894</v>
      </c>
      <c r="AA6" s="452">
        <v>46129</v>
      </c>
      <c r="AB6" t="s">
        <v>466</v>
      </c>
      <c r="AC6" t="s">
        <v>462</v>
      </c>
    </row>
    <row r="7" spans="1:29" x14ac:dyDescent="0.3">
      <c r="A7" t="s">
        <v>557</v>
      </c>
      <c r="B7">
        <v>1658</v>
      </c>
      <c r="C7">
        <v>2875</v>
      </c>
      <c r="D7" s="452">
        <v>46236</v>
      </c>
      <c r="E7" t="s">
        <v>3961</v>
      </c>
      <c r="F7" t="s">
        <v>3958</v>
      </c>
      <c r="G7" t="s">
        <v>3934</v>
      </c>
      <c r="H7">
        <v>16407</v>
      </c>
      <c r="I7">
        <v>31374</v>
      </c>
      <c r="J7">
        <v>13618.94</v>
      </c>
      <c r="K7">
        <v>2035.01</v>
      </c>
      <c r="L7">
        <v>0</v>
      </c>
      <c r="M7">
        <v>0</v>
      </c>
      <c r="N7">
        <v>0</v>
      </c>
      <c r="O7">
        <v>0</v>
      </c>
      <c r="P7">
        <v>753.05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452">
        <v>46232</v>
      </c>
      <c r="AA7" s="452"/>
      <c r="AB7" t="s">
        <v>466</v>
      </c>
    </row>
    <row r="8" spans="1:29" x14ac:dyDescent="0.3">
      <c r="A8" t="s">
        <v>557</v>
      </c>
      <c r="B8">
        <v>1940</v>
      </c>
      <c r="C8">
        <v>3570</v>
      </c>
      <c r="D8" s="452">
        <v>46214</v>
      </c>
      <c r="E8" t="s">
        <v>3962</v>
      </c>
      <c r="F8" t="s">
        <v>3958</v>
      </c>
      <c r="G8" t="s">
        <v>3934</v>
      </c>
      <c r="H8">
        <v>500</v>
      </c>
      <c r="I8">
        <v>500</v>
      </c>
      <c r="J8">
        <v>0</v>
      </c>
      <c r="K8">
        <v>0</v>
      </c>
      <c r="L8">
        <v>500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452">
        <v>46191</v>
      </c>
      <c r="Z8" t="s">
        <v>894</v>
      </c>
      <c r="AA8" s="452">
        <v>46191</v>
      </c>
      <c r="AB8" t="s">
        <v>465</v>
      </c>
      <c r="AC8" t="s">
        <v>464</v>
      </c>
    </row>
    <row r="9" spans="1:29" x14ac:dyDescent="0.3">
      <c r="A9" t="s">
        <v>557</v>
      </c>
      <c r="B9">
        <v>1872</v>
      </c>
      <c r="C9">
        <v>3254</v>
      </c>
      <c r="D9" s="452">
        <v>46207</v>
      </c>
      <c r="E9" t="s">
        <v>3963</v>
      </c>
      <c r="F9" t="s">
        <v>3958</v>
      </c>
      <c r="G9" t="s">
        <v>3959</v>
      </c>
      <c r="H9">
        <v>5370</v>
      </c>
      <c r="I9">
        <v>10740</v>
      </c>
      <c r="J9">
        <v>4084.65</v>
      </c>
      <c r="K9">
        <v>610.35</v>
      </c>
      <c r="L9">
        <v>675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452">
        <v>46190</v>
      </c>
      <c r="Z9" t="s">
        <v>894</v>
      </c>
      <c r="AA9" s="452">
        <v>46188</v>
      </c>
      <c r="AB9" t="s">
        <v>465</v>
      </c>
      <c r="AC9" t="s">
        <v>464</v>
      </c>
    </row>
    <row r="10" spans="1:29" x14ac:dyDescent="0.3">
      <c r="A10" t="s">
        <v>557</v>
      </c>
      <c r="B10">
        <v>1873</v>
      </c>
      <c r="C10">
        <v>3254</v>
      </c>
      <c r="D10" s="452">
        <v>46207</v>
      </c>
      <c r="E10" t="s">
        <v>3963</v>
      </c>
      <c r="F10" t="s">
        <v>3958</v>
      </c>
      <c r="G10" t="s">
        <v>3959</v>
      </c>
      <c r="H10">
        <v>5370</v>
      </c>
      <c r="I10">
        <v>10740</v>
      </c>
      <c r="J10">
        <v>4084.65</v>
      </c>
      <c r="K10">
        <v>610.35</v>
      </c>
      <c r="L10">
        <v>675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452">
        <v>46204</v>
      </c>
      <c r="Z10" t="s">
        <v>894</v>
      </c>
      <c r="AA10" s="452">
        <v>46204</v>
      </c>
      <c r="AB10" t="s">
        <v>465</v>
      </c>
      <c r="AC10" t="s">
        <v>465</v>
      </c>
    </row>
    <row r="11" spans="1:29" x14ac:dyDescent="0.3">
      <c r="A11" t="s">
        <v>557</v>
      </c>
      <c r="B11">
        <v>1934</v>
      </c>
      <c r="C11">
        <v>3451</v>
      </c>
      <c r="D11" s="452">
        <v>46204</v>
      </c>
      <c r="E11" t="s">
        <v>3964</v>
      </c>
      <c r="F11" t="s">
        <v>3958</v>
      </c>
      <c r="G11" t="s">
        <v>3959</v>
      </c>
      <c r="H11">
        <v>4680</v>
      </c>
      <c r="I11">
        <v>9360</v>
      </c>
      <c r="J11">
        <v>3745.35</v>
      </c>
      <c r="K11">
        <v>559.65</v>
      </c>
      <c r="L11">
        <v>375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452">
        <v>46189</v>
      </c>
      <c r="Z11" t="s">
        <v>894</v>
      </c>
      <c r="AA11" s="452">
        <v>46189</v>
      </c>
      <c r="AB11" t="s">
        <v>465</v>
      </c>
      <c r="AC11" t="s">
        <v>464</v>
      </c>
    </row>
    <row r="12" spans="1:29" x14ac:dyDescent="0.3">
      <c r="A12" t="s">
        <v>557</v>
      </c>
      <c r="B12">
        <v>1935</v>
      </c>
      <c r="C12">
        <v>3451</v>
      </c>
      <c r="D12" s="452">
        <v>46204</v>
      </c>
      <c r="E12" t="s">
        <v>3964</v>
      </c>
      <c r="F12" t="s">
        <v>3958</v>
      </c>
      <c r="G12" t="s">
        <v>3959</v>
      </c>
      <c r="H12">
        <v>4680</v>
      </c>
      <c r="I12">
        <v>9360</v>
      </c>
      <c r="J12">
        <v>3745.35</v>
      </c>
      <c r="K12">
        <v>559.65</v>
      </c>
      <c r="L12">
        <v>375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452">
        <v>46202</v>
      </c>
      <c r="Z12" t="s">
        <v>894</v>
      </c>
      <c r="AA12" s="452">
        <v>46202</v>
      </c>
      <c r="AB12" t="s">
        <v>465</v>
      </c>
      <c r="AC12" t="s">
        <v>464</v>
      </c>
    </row>
    <row r="13" spans="1:29" x14ac:dyDescent="0.3">
      <c r="A13" t="s">
        <v>557</v>
      </c>
      <c r="B13">
        <v>1955</v>
      </c>
      <c r="C13">
        <v>3559</v>
      </c>
      <c r="D13" s="452">
        <v>46200</v>
      </c>
      <c r="E13" t="s">
        <v>3965</v>
      </c>
      <c r="F13" t="s">
        <v>3958</v>
      </c>
      <c r="G13" t="s">
        <v>3934</v>
      </c>
      <c r="H13">
        <v>1650</v>
      </c>
      <c r="I13">
        <v>3300</v>
      </c>
      <c r="J13">
        <v>652.5</v>
      </c>
      <c r="K13">
        <v>97.5</v>
      </c>
      <c r="L13">
        <v>900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452">
        <v>46192</v>
      </c>
      <c r="Z13" t="s">
        <v>894</v>
      </c>
      <c r="AA13" s="452">
        <v>46192</v>
      </c>
      <c r="AB13" t="s">
        <v>464</v>
      </c>
      <c r="AC13" t="s">
        <v>464</v>
      </c>
    </row>
    <row r="14" spans="1:29" x14ac:dyDescent="0.3">
      <c r="A14" t="s">
        <v>557</v>
      </c>
      <c r="B14">
        <v>1956</v>
      </c>
      <c r="C14">
        <v>3559</v>
      </c>
      <c r="D14" s="452">
        <v>46200</v>
      </c>
      <c r="E14" t="s">
        <v>3965</v>
      </c>
      <c r="F14" t="s">
        <v>3958</v>
      </c>
      <c r="G14" t="s">
        <v>3934</v>
      </c>
      <c r="H14">
        <v>1650</v>
      </c>
      <c r="I14">
        <v>3300</v>
      </c>
      <c r="J14">
        <v>652.5</v>
      </c>
      <c r="K14">
        <v>97.5</v>
      </c>
      <c r="L14">
        <v>900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452">
        <v>46198</v>
      </c>
      <c r="Z14" t="s">
        <v>894</v>
      </c>
      <c r="AA14" s="452">
        <v>46198</v>
      </c>
      <c r="AB14" t="s">
        <v>464</v>
      </c>
      <c r="AC14" t="s">
        <v>464</v>
      </c>
    </row>
    <row r="15" spans="1:29" x14ac:dyDescent="0.3">
      <c r="A15" t="s">
        <v>557</v>
      </c>
      <c r="B15">
        <v>1998</v>
      </c>
      <c r="C15">
        <v>3636</v>
      </c>
      <c r="D15" s="452">
        <v>46200</v>
      </c>
      <c r="E15" t="s">
        <v>3966</v>
      </c>
      <c r="F15" t="s">
        <v>3958</v>
      </c>
      <c r="G15" t="s">
        <v>3934</v>
      </c>
      <c r="H15">
        <v>1500</v>
      </c>
      <c r="I15">
        <v>1500</v>
      </c>
      <c r="J15">
        <v>1305</v>
      </c>
      <c r="K15">
        <v>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452">
        <v>46200</v>
      </c>
      <c r="Z15" t="s">
        <v>894</v>
      </c>
      <c r="AA15" s="452">
        <v>46200</v>
      </c>
      <c r="AB15" t="s">
        <v>464</v>
      </c>
      <c r="AC15" t="s">
        <v>464</v>
      </c>
    </row>
    <row r="16" spans="1:29" x14ac:dyDescent="0.3">
      <c r="A16" t="s">
        <v>557</v>
      </c>
      <c r="B16">
        <v>1809</v>
      </c>
      <c r="C16">
        <v>3356</v>
      </c>
      <c r="D16" s="452">
        <v>46198</v>
      </c>
      <c r="E16" t="s">
        <v>3967</v>
      </c>
      <c r="F16" t="s">
        <v>3958</v>
      </c>
      <c r="G16" t="s">
        <v>3934</v>
      </c>
      <c r="H16">
        <v>1000</v>
      </c>
      <c r="I16">
        <v>1000</v>
      </c>
      <c r="J16">
        <v>0</v>
      </c>
      <c r="K16">
        <v>0</v>
      </c>
      <c r="L16">
        <v>1000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452">
        <v>46161</v>
      </c>
      <c r="Z16" t="s">
        <v>894</v>
      </c>
      <c r="AA16" s="452">
        <v>46161</v>
      </c>
      <c r="AB16" t="s">
        <v>464</v>
      </c>
      <c r="AC16" t="s">
        <v>463</v>
      </c>
    </row>
    <row r="17" spans="1:29" x14ac:dyDescent="0.3">
      <c r="A17" t="s">
        <v>557</v>
      </c>
      <c r="B17">
        <v>1888</v>
      </c>
      <c r="C17">
        <v>3493</v>
      </c>
      <c r="D17" s="452">
        <v>46193</v>
      </c>
      <c r="E17" t="s">
        <v>3968</v>
      </c>
      <c r="F17" t="s">
        <v>3958</v>
      </c>
      <c r="G17" t="s">
        <v>3934</v>
      </c>
      <c r="H17">
        <v>1500</v>
      </c>
      <c r="I17">
        <v>1500</v>
      </c>
      <c r="J17">
        <v>0</v>
      </c>
      <c r="K17">
        <v>0</v>
      </c>
      <c r="L17">
        <v>1500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452">
        <v>46181</v>
      </c>
      <c r="Z17" t="s">
        <v>894</v>
      </c>
      <c r="AA17" s="452">
        <v>46181</v>
      </c>
      <c r="AB17" t="s">
        <v>464</v>
      </c>
      <c r="AC17" t="s">
        <v>464</v>
      </c>
    </row>
    <row r="18" spans="1:29" x14ac:dyDescent="0.3">
      <c r="A18" t="s">
        <v>557</v>
      </c>
      <c r="B18">
        <v>1751</v>
      </c>
      <c r="C18">
        <v>2959</v>
      </c>
      <c r="D18" s="452">
        <v>46173</v>
      </c>
      <c r="E18" t="s">
        <v>3969</v>
      </c>
      <c r="F18" t="s">
        <v>3958</v>
      </c>
      <c r="G18" t="s">
        <v>3959</v>
      </c>
      <c r="H18">
        <v>3255</v>
      </c>
      <c r="I18">
        <v>6510</v>
      </c>
      <c r="J18">
        <v>1996.65</v>
      </c>
      <c r="K18">
        <v>298.35000000000002</v>
      </c>
      <c r="L18">
        <v>960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452">
        <v>46153</v>
      </c>
      <c r="Z18" t="s">
        <v>894</v>
      </c>
      <c r="AA18" s="452">
        <v>46153</v>
      </c>
      <c r="AB18" t="s">
        <v>463</v>
      </c>
      <c r="AC18" t="s">
        <v>463</v>
      </c>
    </row>
    <row r="19" spans="1:29" x14ac:dyDescent="0.3">
      <c r="A19" t="s">
        <v>557</v>
      </c>
      <c r="B19">
        <v>1752</v>
      </c>
      <c r="C19">
        <v>2959</v>
      </c>
      <c r="D19" s="452">
        <v>46173</v>
      </c>
      <c r="E19" t="s">
        <v>3969</v>
      </c>
      <c r="F19" t="s">
        <v>3958</v>
      </c>
      <c r="G19" t="s">
        <v>3959</v>
      </c>
      <c r="H19">
        <v>3255</v>
      </c>
      <c r="I19">
        <v>6510</v>
      </c>
      <c r="J19">
        <v>1996.65</v>
      </c>
      <c r="K19">
        <v>298.35000000000002</v>
      </c>
      <c r="L19">
        <v>960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452">
        <v>46171</v>
      </c>
      <c r="Z19" t="s">
        <v>894</v>
      </c>
      <c r="AA19" s="452">
        <v>46171</v>
      </c>
      <c r="AB19" t="s">
        <v>463</v>
      </c>
      <c r="AC19" t="s">
        <v>463</v>
      </c>
    </row>
    <row r="20" spans="1:29" x14ac:dyDescent="0.3">
      <c r="A20" t="s">
        <v>557</v>
      </c>
      <c r="B20">
        <v>1851</v>
      </c>
      <c r="C20">
        <v>3460</v>
      </c>
      <c r="D20" s="452">
        <v>46173</v>
      </c>
      <c r="E20" t="s">
        <v>3970</v>
      </c>
      <c r="F20" t="s">
        <v>3958</v>
      </c>
      <c r="G20" t="s">
        <v>3959</v>
      </c>
      <c r="H20">
        <v>3866</v>
      </c>
      <c r="I20">
        <v>3866</v>
      </c>
      <c r="J20">
        <v>3363.42</v>
      </c>
      <c r="K20">
        <v>502.58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452">
        <v>46173</v>
      </c>
      <c r="Z20" t="s">
        <v>894</v>
      </c>
      <c r="AA20" s="452">
        <v>46173</v>
      </c>
      <c r="AB20" t="s">
        <v>463</v>
      </c>
      <c r="AC20" t="s">
        <v>463</v>
      </c>
    </row>
    <row r="21" spans="1:29" x14ac:dyDescent="0.3">
      <c r="A21" t="s">
        <v>557</v>
      </c>
      <c r="B21">
        <v>1638</v>
      </c>
      <c r="C21">
        <v>2974</v>
      </c>
      <c r="D21" s="452">
        <v>46172</v>
      </c>
      <c r="E21" t="s">
        <v>3971</v>
      </c>
      <c r="F21" t="s">
        <v>3958</v>
      </c>
      <c r="G21" t="s">
        <v>3934</v>
      </c>
      <c r="H21">
        <v>1650</v>
      </c>
      <c r="I21">
        <v>3300</v>
      </c>
      <c r="J21">
        <v>652.5</v>
      </c>
      <c r="K21">
        <v>97.5</v>
      </c>
      <c r="L21">
        <v>900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452">
        <v>46120</v>
      </c>
      <c r="Z21" t="s">
        <v>894</v>
      </c>
      <c r="AA21" s="452">
        <v>46120</v>
      </c>
      <c r="AB21" t="s">
        <v>463</v>
      </c>
      <c r="AC21" t="s">
        <v>462</v>
      </c>
    </row>
    <row r="22" spans="1:29" x14ac:dyDescent="0.3">
      <c r="A22" t="s">
        <v>557</v>
      </c>
      <c r="B22">
        <v>1639</v>
      </c>
      <c r="C22">
        <v>2974</v>
      </c>
      <c r="D22" s="452">
        <v>46172</v>
      </c>
      <c r="E22" t="s">
        <v>3971</v>
      </c>
      <c r="F22" t="s">
        <v>3958</v>
      </c>
      <c r="G22" t="s">
        <v>3934</v>
      </c>
      <c r="H22">
        <v>1650</v>
      </c>
      <c r="I22">
        <v>3300</v>
      </c>
      <c r="J22">
        <v>652.5</v>
      </c>
      <c r="K22">
        <v>97.5</v>
      </c>
      <c r="L22">
        <v>900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452">
        <v>46171</v>
      </c>
      <c r="Z22" t="s">
        <v>894</v>
      </c>
      <c r="AA22" s="452">
        <v>46171</v>
      </c>
      <c r="AB22" t="s">
        <v>463</v>
      </c>
      <c r="AC22" t="s">
        <v>463</v>
      </c>
    </row>
    <row r="23" spans="1:29" x14ac:dyDescent="0.3">
      <c r="A23" t="s">
        <v>557</v>
      </c>
      <c r="B23">
        <v>1681</v>
      </c>
      <c r="C23">
        <v>3067</v>
      </c>
      <c r="D23" s="452">
        <v>46171</v>
      </c>
      <c r="E23" t="s">
        <v>3972</v>
      </c>
      <c r="F23" t="s">
        <v>3958</v>
      </c>
      <c r="G23" t="s">
        <v>3959</v>
      </c>
      <c r="H23">
        <v>1800</v>
      </c>
      <c r="I23">
        <v>13830</v>
      </c>
      <c r="J23">
        <v>1362.18</v>
      </c>
      <c r="K23">
        <v>203.54</v>
      </c>
      <c r="L23">
        <v>234.27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452">
        <v>46135</v>
      </c>
      <c r="Z23" t="s">
        <v>894</v>
      </c>
      <c r="AA23" s="452">
        <v>46135</v>
      </c>
      <c r="AB23" t="s">
        <v>463</v>
      </c>
      <c r="AC23" t="s">
        <v>462</v>
      </c>
    </row>
    <row r="24" spans="1:29" x14ac:dyDescent="0.3">
      <c r="A24" t="s">
        <v>557</v>
      </c>
      <c r="B24">
        <v>1811</v>
      </c>
      <c r="C24">
        <v>3067</v>
      </c>
      <c r="D24" s="452">
        <v>46171</v>
      </c>
      <c r="E24" t="s">
        <v>3972</v>
      </c>
      <c r="F24" t="s">
        <v>3958</v>
      </c>
      <c r="G24" t="s">
        <v>3959</v>
      </c>
      <c r="H24">
        <v>12030</v>
      </c>
      <c r="I24">
        <v>13830</v>
      </c>
      <c r="J24">
        <v>9103.92</v>
      </c>
      <c r="K24">
        <v>1360.36</v>
      </c>
      <c r="L24">
        <v>1565.73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452">
        <v>46162</v>
      </c>
      <c r="Z24" t="s">
        <v>894</v>
      </c>
      <c r="AA24" s="452">
        <v>46162</v>
      </c>
      <c r="AB24" t="s">
        <v>463</v>
      </c>
      <c r="AC24" t="s">
        <v>463</v>
      </c>
    </row>
    <row r="25" spans="1:29" x14ac:dyDescent="0.3">
      <c r="A25" t="s">
        <v>557</v>
      </c>
      <c r="B25">
        <v>1830</v>
      </c>
      <c r="C25">
        <v>3050</v>
      </c>
      <c r="D25" s="452">
        <v>46171</v>
      </c>
      <c r="E25" t="s">
        <v>3973</v>
      </c>
      <c r="F25" t="s">
        <v>3958</v>
      </c>
      <c r="G25" t="s">
        <v>3959</v>
      </c>
      <c r="H25">
        <v>3200</v>
      </c>
      <c r="I25">
        <v>3200</v>
      </c>
      <c r="J25">
        <v>2784</v>
      </c>
      <c r="K25">
        <v>416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452">
        <v>46168</v>
      </c>
      <c r="Z25" t="s">
        <v>894</v>
      </c>
      <c r="AA25" s="452">
        <v>46168</v>
      </c>
      <c r="AB25" t="s">
        <v>463</v>
      </c>
      <c r="AC25" t="s">
        <v>463</v>
      </c>
    </row>
    <row r="26" spans="1:29" x14ac:dyDescent="0.3">
      <c r="A26" t="s">
        <v>557</v>
      </c>
      <c r="B26">
        <v>1843</v>
      </c>
      <c r="C26">
        <v>3455</v>
      </c>
      <c r="D26" s="452">
        <v>46171</v>
      </c>
      <c r="E26" t="s">
        <v>3974</v>
      </c>
      <c r="F26" t="s">
        <v>3958</v>
      </c>
      <c r="G26" t="s">
        <v>3934</v>
      </c>
      <c r="H26">
        <v>360</v>
      </c>
      <c r="I26">
        <v>360</v>
      </c>
      <c r="J26">
        <v>0</v>
      </c>
      <c r="K26">
        <v>0</v>
      </c>
      <c r="L26">
        <v>360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452">
        <v>46173</v>
      </c>
      <c r="Z26" t="s">
        <v>894</v>
      </c>
      <c r="AA26" s="452">
        <v>46171</v>
      </c>
      <c r="AB26" t="s">
        <v>463</v>
      </c>
      <c r="AC26" t="s">
        <v>463</v>
      </c>
    </row>
    <row r="27" spans="1:29" x14ac:dyDescent="0.3">
      <c r="A27" t="s">
        <v>557</v>
      </c>
      <c r="B27">
        <v>1716</v>
      </c>
      <c r="C27">
        <v>3105</v>
      </c>
      <c r="D27" s="452">
        <v>46165</v>
      </c>
      <c r="E27" t="s">
        <v>3975</v>
      </c>
      <c r="F27" t="s">
        <v>3958</v>
      </c>
      <c r="G27" t="s">
        <v>3934</v>
      </c>
      <c r="H27">
        <v>900</v>
      </c>
      <c r="I27">
        <v>1800</v>
      </c>
      <c r="J27">
        <v>195.75</v>
      </c>
      <c r="K27">
        <v>29.25</v>
      </c>
      <c r="L27">
        <v>675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452">
        <v>46141</v>
      </c>
      <c r="Z27" t="s">
        <v>894</v>
      </c>
      <c r="AA27" s="452">
        <v>46141</v>
      </c>
      <c r="AB27" t="s">
        <v>463</v>
      </c>
      <c r="AC27" t="s">
        <v>462</v>
      </c>
    </row>
    <row r="28" spans="1:29" x14ac:dyDescent="0.3">
      <c r="A28" t="s">
        <v>557</v>
      </c>
      <c r="B28">
        <v>1717</v>
      </c>
      <c r="C28">
        <v>3105</v>
      </c>
      <c r="D28" s="452">
        <v>46165</v>
      </c>
      <c r="E28" t="s">
        <v>3975</v>
      </c>
      <c r="F28" t="s">
        <v>3958</v>
      </c>
      <c r="G28" t="s">
        <v>3934</v>
      </c>
      <c r="H28">
        <v>900</v>
      </c>
      <c r="I28">
        <v>1800</v>
      </c>
      <c r="J28">
        <v>195.75</v>
      </c>
      <c r="K28">
        <v>29.25</v>
      </c>
      <c r="L28">
        <v>675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452">
        <v>46162</v>
      </c>
      <c r="Z28" t="s">
        <v>894</v>
      </c>
      <c r="AA28" s="452">
        <v>46162</v>
      </c>
      <c r="AB28" t="s">
        <v>463</v>
      </c>
      <c r="AC28" t="s">
        <v>463</v>
      </c>
    </row>
    <row r="29" spans="1:29" x14ac:dyDescent="0.3">
      <c r="A29" t="s">
        <v>557</v>
      </c>
      <c r="B29">
        <v>1728</v>
      </c>
      <c r="C29">
        <v>3066</v>
      </c>
      <c r="D29" s="452">
        <v>46158</v>
      </c>
      <c r="E29" t="s">
        <v>3976</v>
      </c>
      <c r="F29" t="s">
        <v>3958</v>
      </c>
      <c r="G29" t="s">
        <v>3959</v>
      </c>
      <c r="H29">
        <v>5400</v>
      </c>
      <c r="I29">
        <v>5400</v>
      </c>
      <c r="J29">
        <v>3828</v>
      </c>
      <c r="K29">
        <v>572</v>
      </c>
      <c r="L29">
        <v>1000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452">
        <v>46142</v>
      </c>
      <c r="Z29" t="s">
        <v>894</v>
      </c>
      <c r="AA29" s="452">
        <v>46142</v>
      </c>
      <c r="AB29" t="s">
        <v>463</v>
      </c>
      <c r="AC29" t="s">
        <v>462</v>
      </c>
    </row>
    <row r="30" spans="1:29" x14ac:dyDescent="0.3">
      <c r="A30" t="s">
        <v>557</v>
      </c>
      <c r="B30">
        <v>1655</v>
      </c>
      <c r="C30">
        <v>3027</v>
      </c>
      <c r="D30" s="452">
        <v>46151</v>
      </c>
      <c r="E30" t="s">
        <v>3977</v>
      </c>
      <c r="F30" t="s">
        <v>3958</v>
      </c>
      <c r="G30" t="s">
        <v>3934</v>
      </c>
      <c r="H30">
        <v>900</v>
      </c>
      <c r="I30">
        <v>1800</v>
      </c>
      <c r="J30">
        <v>0</v>
      </c>
      <c r="K30">
        <v>0</v>
      </c>
      <c r="L30">
        <v>900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452">
        <v>46129</v>
      </c>
      <c r="Z30" t="s">
        <v>894</v>
      </c>
      <c r="AA30" s="452">
        <v>46129</v>
      </c>
      <c r="AB30" t="s">
        <v>463</v>
      </c>
      <c r="AC30" t="s">
        <v>462</v>
      </c>
    </row>
    <row r="31" spans="1:29" x14ac:dyDescent="0.3">
      <c r="A31" t="s">
        <v>557</v>
      </c>
      <c r="B31">
        <v>1656</v>
      </c>
      <c r="C31">
        <v>3027</v>
      </c>
      <c r="D31" s="452">
        <v>46151</v>
      </c>
      <c r="E31" t="s">
        <v>3977</v>
      </c>
      <c r="F31" t="s">
        <v>3958</v>
      </c>
      <c r="G31" t="s">
        <v>3934</v>
      </c>
      <c r="H31">
        <v>900</v>
      </c>
      <c r="I31">
        <v>1800</v>
      </c>
      <c r="J31">
        <v>0</v>
      </c>
      <c r="K31">
        <v>0</v>
      </c>
      <c r="L31">
        <v>900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452">
        <v>46147</v>
      </c>
      <c r="Z31" t="s">
        <v>894</v>
      </c>
      <c r="AA31" s="452">
        <v>46147</v>
      </c>
      <c r="AB31" t="s">
        <v>463</v>
      </c>
      <c r="AC31" t="s">
        <v>463</v>
      </c>
    </row>
    <row r="32" spans="1:29" x14ac:dyDescent="0.3">
      <c r="A32" t="s">
        <v>557</v>
      </c>
      <c r="B32">
        <v>1759</v>
      </c>
      <c r="C32">
        <v>3271</v>
      </c>
      <c r="D32" s="452">
        <v>46151</v>
      </c>
      <c r="E32" t="s">
        <v>3978</v>
      </c>
      <c r="F32" t="s">
        <v>3958</v>
      </c>
      <c r="G32" t="s">
        <v>3934</v>
      </c>
      <c r="H32">
        <v>1000</v>
      </c>
      <c r="I32">
        <v>1000</v>
      </c>
      <c r="J32">
        <v>0</v>
      </c>
      <c r="K32">
        <v>0</v>
      </c>
      <c r="L32">
        <v>1000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452">
        <v>46151</v>
      </c>
      <c r="Z32" t="s">
        <v>894</v>
      </c>
      <c r="AA32" s="452">
        <v>46151</v>
      </c>
      <c r="AB32" t="s">
        <v>463</v>
      </c>
      <c r="AC32" t="s">
        <v>463</v>
      </c>
    </row>
    <row r="33" spans="1:29" x14ac:dyDescent="0.3">
      <c r="A33" t="s">
        <v>557</v>
      </c>
      <c r="B33">
        <v>1615</v>
      </c>
      <c r="C33">
        <v>2940</v>
      </c>
      <c r="D33" s="452">
        <v>46137</v>
      </c>
      <c r="E33" t="s">
        <v>3979</v>
      </c>
      <c r="F33" t="s">
        <v>3958</v>
      </c>
      <c r="G33" t="s">
        <v>3934</v>
      </c>
      <c r="H33">
        <v>650</v>
      </c>
      <c r="I33">
        <v>1560</v>
      </c>
      <c r="J33">
        <v>0</v>
      </c>
      <c r="K33">
        <v>0</v>
      </c>
      <c r="L33">
        <v>650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452">
        <v>46113</v>
      </c>
      <c r="Z33" t="s">
        <v>894</v>
      </c>
      <c r="AA33" s="452">
        <v>46113</v>
      </c>
      <c r="AB33" t="s">
        <v>462</v>
      </c>
      <c r="AC33" t="s">
        <v>462</v>
      </c>
    </row>
    <row r="34" spans="1:29" x14ac:dyDescent="0.3">
      <c r="A34" t="s">
        <v>557</v>
      </c>
      <c r="B34">
        <v>1616</v>
      </c>
      <c r="C34">
        <v>2940</v>
      </c>
      <c r="D34" s="452">
        <v>46137</v>
      </c>
      <c r="E34" t="s">
        <v>3979</v>
      </c>
      <c r="F34" t="s">
        <v>3958</v>
      </c>
      <c r="G34" t="s">
        <v>3934</v>
      </c>
      <c r="H34">
        <v>650</v>
      </c>
      <c r="I34">
        <v>1560</v>
      </c>
      <c r="J34">
        <v>0</v>
      </c>
      <c r="K34">
        <v>0</v>
      </c>
      <c r="L34">
        <v>650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452">
        <v>46135</v>
      </c>
      <c r="Z34" t="s">
        <v>894</v>
      </c>
      <c r="AA34" s="452">
        <v>46136</v>
      </c>
      <c r="AB34" t="s">
        <v>462</v>
      </c>
      <c r="AC34" t="s">
        <v>462</v>
      </c>
    </row>
    <row r="35" spans="1:29" x14ac:dyDescent="0.3">
      <c r="A35" t="s">
        <v>557</v>
      </c>
      <c r="B35">
        <v>1679</v>
      </c>
      <c r="C35">
        <v>2940</v>
      </c>
      <c r="D35" s="452">
        <v>46137</v>
      </c>
      <c r="E35" t="s">
        <v>3979</v>
      </c>
      <c r="F35" t="s">
        <v>3958</v>
      </c>
      <c r="G35" t="s">
        <v>3934</v>
      </c>
      <c r="H35">
        <v>260</v>
      </c>
      <c r="I35">
        <v>1560</v>
      </c>
      <c r="J35">
        <v>0</v>
      </c>
      <c r="K35">
        <v>0</v>
      </c>
      <c r="L35">
        <v>260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452">
        <v>46132</v>
      </c>
      <c r="Z35" t="s">
        <v>894</v>
      </c>
      <c r="AA35" s="452">
        <v>46132</v>
      </c>
      <c r="AB35" t="s">
        <v>462</v>
      </c>
      <c r="AC35" t="s">
        <v>462</v>
      </c>
    </row>
    <row r="36" spans="1:29" x14ac:dyDescent="0.3">
      <c r="A36" t="s">
        <v>557</v>
      </c>
      <c r="B36">
        <v>1632</v>
      </c>
      <c r="C36">
        <v>2963</v>
      </c>
      <c r="D36" s="452">
        <v>46124</v>
      </c>
      <c r="E36" t="s">
        <v>3980</v>
      </c>
      <c r="F36" t="s">
        <v>3958</v>
      </c>
      <c r="G36" t="s">
        <v>3934</v>
      </c>
      <c r="H36">
        <v>480</v>
      </c>
      <c r="I36">
        <v>960</v>
      </c>
      <c r="J36">
        <v>0</v>
      </c>
      <c r="K36">
        <v>0</v>
      </c>
      <c r="L36">
        <v>480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452">
        <v>46118</v>
      </c>
      <c r="Z36" t="s">
        <v>894</v>
      </c>
      <c r="AA36" s="452">
        <v>46118</v>
      </c>
      <c r="AB36" t="s">
        <v>462</v>
      </c>
      <c r="AC36" t="s">
        <v>462</v>
      </c>
    </row>
    <row r="37" spans="1:29" x14ac:dyDescent="0.3">
      <c r="A37" t="s">
        <v>557</v>
      </c>
      <c r="B37">
        <v>1633</v>
      </c>
      <c r="C37">
        <v>2963</v>
      </c>
      <c r="D37" s="452">
        <v>46124</v>
      </c>
      <c r="E37" t="s">
        <v>3980</v>
      </c>
      <c r="F37" t="s">
        <v>3958</v>
      </c>
      <c r="G37" t="s">
        <v>3934</v>
      </c>
      <c r="H37">
        <v>480</v>
      </c>
      <c r="I37">
        <v>960</v>
      </c>
      <c r="J37">
        <v>0</v>
      </c>
      <c r="K37">
        <v>0</v>
      </c>
      <c r="L37">
        <v>480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452">
        <v>46122</v>
      </c>
      <c r="Z37" t="s">
        <v>894</v>
      </c>
      <c r="AA37" s="452">
        <v>46118</v>
      </c>
      <c r="AB37" t="s">
        <v>462</v>
      </c>
      <c r="AC37" t="s">
        <v>462</v>
      </c>
    </row>
    <row r="38" spans="1:29" x14ac:dyDescent="0.3">
      <c r="A38" t="s">
        <v>557</v>
      </c>
      <c r="B38">
        <v>1385</v>
      </c>
      <c r="C38">
        <v>2662</v>
      </c>
      <c r="D38" s="452">
        <v>46110</v>
      </c>
      <c r="E38" t="s">
        <v>3981</v>
      </c>
      <c r="F38" t="s">
        <v>3958</v>
      </c>
      <c r="G38" t="s">
        <v>3934</v>
      </c>
      <c r="H38">
        <v>3392</v>
      </c>
      <c r="I38">
        <v>10028.799999999999</v>
      </c>
      <c r="J38">
        <v>2745.06</v>
      </c>
      <c r="K38">
        <v>410.18</v>
      </c>
      <c r="L38">
        <v>236.76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452">
        <v>46074</v>
      </c>
      <c r="Z38" t="s">
        <v>894</v>
      </c>
      <c r="AA38" s="452">
        <v>46074</v>
      </c>
      <c r="AB38" t="s">
        <v>461</v>
      </c>
      <c r="AC38" t="s">
        <v>460</v>
      </c>
    </row>
    <row r="39" spans="1:29" x14ac:dyDescent="0.3">
      <c r="A39" t="s">
        <v>557</v>
      </c>
      <c r="B39">
        <v>1386</v>
      </c>
      <c r="C39">
        <v>2662</v>
      </c>
      <c r="D39" s="452">
        <v>46110</v>
      </c>
      <c r="E39" t="s">
        <v>3981</v>
      </c>
      <c r="F39" t="s">
        <v>3958</v>
      </c>
      <c r="G39" t="s">
        <v>3934</v>
      </c>
      <c r="H39">
        <v>5000</v>
      </c>
      <c r="I39">
        <v>10028.799999999999</v>
      </c>
      <c r="J39">
        <v>4046.37</v>
      </c>
      <c r="K39">
        <v>604.63</v>
      </c>
      <c r="L39">
        <v>348.99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452">
        <v>46106</v>
      </c>
      <c r="Z39" t="s">
        <v>894</v>
      </c>
      <c r="AA39" s="452">
        <v>46105</v>
      </c>
      <c r="AB39" t="s">
        <v>461</v>
      </c>
      <c r="AC39" t="s">
        <v>461</v>
      </c>
    </row>
    <row r="40" spans="1:29" x14ac:dyDescent="0.3">
      <c r="A40" t="s">
        <v>557</v>
      </c>
      <c r="B40">
        <v>1581</v>
      </c>
      <c r="C40">
        <v>2662</v>
      </c>
      <c r="D40" s="452">
        <v>46110</v>
      </c>
      <c r="E40" t="s">
        <v>3981</v>
      </c>
      <c r="F40" t="s">
        <v>3958</v>
      </c>
      <c r="G40" t="s">
        <v>3934</v>
      </c>
      <c r="H40">
        <v>1636.8</v>
      </c>
      <c r="I40">
        <v>10028.799999999999</v>
      </c>
      <c r="J40">
        <v>1324.62</v>
      </c>
      <c r="K40">
        <v>197.93</v>
      </c>
      <c r="L40">
        <v>114.25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452">
        <v>46106</v>
      </c>
      <c r="Z40" t="s">
        <v>894</v>
      </c>
      <c r="AA40" s="452">
        <v>46106</v>
      </c>
      <c r="AB40" t="s">
        <v>461</v>
      </c>
      <c r="AC40" t="s">
        <v>461</v>
      </c>
    </row>
    <row r="41" spans="1:29" x14ac:dyDescent="0.3">
      <c r="A41" t="s">
        <v>557</v>
      </c>
      <c r="B41">
        <v>1607</v>
      </c>
      <c r="C41">
        <v>2939</v>
      </c>
      <c r="D41" s="452">
        <v>46110</v>
      </c>
      <c r="E41" t="s">
        <v>3982</v>
      </c>
      <c r="F41" t="s">
        <v>3958</v>
      </c>
      <c r="G41" t="s">
        <v>3959</v>
      </c>
      <c r="H41">
        <v>140</v>
      </c>
      <c r="I41">
        <v>140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140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452">
        <v>46110</v>
      </c>
      <c r="Z41" t="s">
        <v>894</v>
      </c>
      <c r="AA41" s="452">
        <v>46110</v>
      </c>
      <c r="AB41" t="s">
        <v>461</v>
      </c>
      <c r="AC41" t="s">
        <v>461</v>
      </c>
    </row>
    <row r="42" spans="1:29" x14ac:dyDescent="0.3">
      <c r="A42" t="s">
        <v>557</v>
      </c>
      <c r="B42">
        <v>1402</v>
      </c>
      <c r="C42">
        <v>2678</v>
      </c>
      <c r="D42" s="452">
        <v>46109</v>
      </c>
      <c r="E42" t="s">
        <v>3983</v>
      </c>
      <c r="F42" t="s">
        <v>3958</v>
      </c>
      <c r="G42" t="s">
        <v>3959</v>
      </c>
      <c r="H42">
        <v>4682</v>
      </c>
      <c r="I42">
        <v>18316</v>
      </c>
      <c r="J42">
        <v>3739.75</v>
      </c>
      <c r="K42">
        <v>558.80999999999995</v>
      </c>
      <c r="L42">
        <v>383.44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452">
        <v>46077</v>
      </c>
      <c r="Z42" t="s">
        <v>894</v>
      </c>
      <c r="AA42" s="452">
        <v>46077</v>
      </c>
      <c r="AB42" t="s">
        <v>461</v>
      </c>
      <c r="AC42" t="s">
        <v>460</v>
      </c>
    </row>
    <row r="43" spans="1:29" x14ac:dyDescent="0.3">
      <c r="A43" t="s">
        <v>557</v>
      </c>
      <c r="B43">
        <v>1403</v>
      </c>
      <c r="C43">
        <v>2678</v>
      </c>
      <c r="D43" s="452">
        <v>46109</v>
      </c>
      <c r="E43" t="s">
        <v>3983</v>
      </c>
      <c r="F43" t="s">
        <v>3958</v>
      </c>
      <c r="G43" t="s">
        <v>3959</v>
      </c>
      <c r="H43">
        <v>13634</v>
      </c>
      <c r="I43">
        <v>18316</v>
      </c>
      <c r="J43">
        <v>10890.17</v>
      </c>
      <c r="K43">
        <v>1627.27</v>
      </c>
      <c r="L43">
        <v>1116.56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452">
        <v>46105</v>
      </c>
      <c r="Z43" t="s">
        <v>894</v>
      </c>
      <c r="AA43" s="452">
        <v>46105</v>
      </c>
      <c r="AB43" t="s">
        <v>461</v>
      </c>
      <c r="AC43" t="s">
        <v>461</v>
      </c>
    </row>
    <row r="44" spans="1:29" x14ac:dyDescent="0.3">
      <c r="A44" t="s">
        <v>557</v>
      </c>
      <c r="B44">
        <v>1596</v>
      </c>
      <c r="C44">
        <v>2922</v>
      </c>
      <c r="D44" s="452">
        <v>46109</v>
      </c>
      <c r="E44" t="s">
        <v>3984</v>
      </c>
      <c r="F44" t="s">
        <v>3958</v>
      </c>
      <c r="G44" t="s">
        <v>3959</v>
      </c>
      <c r="H44">
        <v>5800</v>
      </c>
      <c r="I44">
        <v>5800</v>
      </c>
      <c r="J44">
        <v>5046</v>
      </c>
      <c r="K44">
        <v>754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452">
        <v>46109</v>
      </c>
      <c r="Z44" t="s">
        <v>894</v>
      </c>
      <c r="AA44" s="452">
        <v>46109</v>
      </c>
      <c r="AB44" t="s">
        <v>461</v>
      </c>
      <c r="AC44" t="s">
        <v>461</v>
      </c>
    </row>
    <row r="45" spans="1:29" x14ac:dyDescent="0.3">
      <c r="A45" t="s">
        <v>557</v>
      </c>
      <c r="B45">
        <v>1300</v>
      </c>
      <c r="C45">
        <v>2518</v>
      </c>
      <c r="D45" s="452">
        <v>46108</v>
      </c>
      <c r="E45" t="s">
        <v>3985</v>
      </c>
      <c r="F45" t="s">
        <v>3958</v>
      </c>
      <c r="G45" t="s">
        <v>3934</v>
      </c>
      <c r="H45">
        <v>1650</v>
      </c>
      <c r="I45">
        <v>3300</v>
      </c>
      <c r="J45">
        <v>652.5</v>
      </c>
      <c r="K45">
        <v>97.5</v>
      </c>
      <c r="L45">
        <v>900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452">
        <v>46045</v>
      </c>
      <c r="Z45" t="s">
        <v>894</v>
      </c>
      <c r="AA45" s="452">
        <v>46045</v>
      </c>
      <c r="AB45" t="s">
        <v>461</v>
      </c>
      <c r="AC45" t="s">
        <v>459</v>
      </c>
    </row>
    <row r="46" spans="1:29" x14ac:dyDescent="0.3">
      <c r="A46" t="s">
        <v>557</v>
      </c>
      <c r="B46">
        <v>1301</v>
      </c>
      <c r="C46">
        <v>2518</v>
      </c>
      <c r="D46" s="452">
        <v>46108</v>
      </c>
      <c r="E46" t="s">
        <v>3985</v>
      </c>
      <c r="F46" t="s">
        <v>3958</v>
      </c>
      <c r="G46" t="s">
        <v>3934</v>
      </c>
      <c r="H46">
        <v>1650</v>
      </c>
      <c r="I46">
        <v>3300</v>
      </c>
      <c r="J46">
        <v>652.5</v>
      </c>
      <c r="K46">
        <v>97.5</v>
      </c>
      <c r="L46">
        <v>900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452">
        <v>46106</v>
      </c>
      <c r="Z46" t="s">
        <v>894</v>
      </c>
      <c r="AA46" s="452">
        <v>46106</v>
      </c>
      <c r="AB46" t="s">
        <v>461</v>
      </c>
      <c r="AC46" t="s">
        <v>461</v>
      </c>
    </row>
    <row r="47" spans="1:29" x14ac:dyDescent="0.3">
      <c r="A47" t="s">
        <v>557</v>
      </c>
      <c r="B47">
        <v>1274</v>
      </c>
      <c r="C47">
        <v>2420</v>
      </c>
      <c r="D47" s="452">
        <v>46102</v>
      </c>
      <c r="E47" t="s">
        <v>3986</v>
      </c>
      <c r="F47" t="s">
        <v>3958</v>
      </c>
      <c r="G47" t="s">
        <v>3934</v>
      </c>
      <c r="H47">
        <v>2500</v>
      </c>
      <c r="I47">
        <v>5000</v>
      </c>
      <c r="J47">
        <v>2175</v>
      </c>
      <c r="K47">
        <v>325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452">
        <v>46037</v>
      </c>
      <c r="Z47" t="s">
        <v>894</v>
      </c>
      <c r="AA47" s="452">
        <v>46037</v>
      </c>
      <c r="AB47" t="s">
        <v>461</v>
      </c>
      <c r="AC47" t="s">
        <v>459</v>
      </c>
    </row>
    <row r="48" spans="1:29" x14ac:dyDescent="0.3">
      <c r="A48" t="s">
        <v>557</v>
      </c>
      <c r="B48">
        <v>1275</v>
      </c>
      <c r="C48">
        <v>2420</v>
      </c>
      <c r="D48" s="452">
        <v>46102</v>
      </c>
      <c r="E48" t="s">
        <v>3986</v>
      </c>
      <c r="F48" t="s">
        <v>3958</v>
      </c>
      <c r="G48" t="s">
        <v>3934</v>
      </c>
      <c r="H48">
        <v>2500</v>
      </c>
      <c r="I48">
        <v>5000</v>
      </c>
      <c r="J48">
        <v>2175</v>
      </c>
      <c r="K48">
        <v>325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452">
        <v>46100</v>
      </c>
      <c r="Z48" t="s">
        <v>894</v>
      </c>
      <c r="AA48" s="452">
        <v>46100</v>
      </c>
      <c r="AB48" t="s">
        <v>461</v>
      </c>
      <c r="AC48" t="s">
        <v>461</v>
      </c>
    </row>
    <row r="49" spans="1:29" x14ac:dyDescent="0.3">
      <c r="A49" t="s">
        <v>557</v>
      </c>
      <c r="B49">
        <v>1559</v>
      </c>
      <c r="C49">
        <v>2813</v>
      </c>
      <c r="D49" s="452">
        <v>46102</v>
      </c>
      <c r="E49" t="s">
        <v>3987</v>
      </c>
      <c r="F49" t="s">
        <v>3958</v>
      </c>
      <c r="G49" t="s">
        <v>3934</v>
      </c>
      <c r="H49">
        <v>1560</v>
      </c>
      <c r="I49">
        <v>1560</v>
      </c>
      <c r="J49">
        <v>0</v>
      </c>
      <c r="K49">
        <v>0</v>
      </c>
      <c r="L49">
        <v>1560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452">
        <v>46100</v>
      </c>
      <c r="Z49" t="s">
        <v>894</v>
      </c>
      <c r="AA49" s="452">
        <v>46100</v>
      </c>
      <c r="AB49" t="s">
        <v>461</v>
      </c>
      <c r="AC49" t="s">
        <v>461</v>
      </c>
    </row>
    <row r="50" spans="1:29" x14ac:dyDescent="0.3">
      <c r="A50" t="s">
        <v>557</v>
      </c>
      <c r="B50">
        <v>1374</v>
      </c>
      <c r="C50">
        <v>2547</v>
      </c>
      <c r="D50" s="452">
        <v>46096</v>
      </c>
      <c r="E50" t="s">
        <v>3988</v>
      </c>
      <c r="F50" t="s">
        <v>3958</v>
      </c>
      <c r="G50" t="s">
        <v>3934</v>
      </c>
      <c r="H50">
        <v>600</v>
      </c>
      <c r="I50">
        <v>1200</v>
      </c>
      <c r="J50">
        <v>0</v>
      </c>
      <c r="K50">
        <v>0</v>
      </c>
      <c r="L50">
        <v>600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452">
        <v>46063</v>
      </c>
      <c r="Z50" t="s">
        <v>894</v>
      </c>
      <c r="AA50" s="452">
        <v>46063</v>
      </c>
      <c r="AB50" t="s">
        <v>461</v>
      </c>
      <c r="AC50" t="s">
        <v>460</v>
      </c>
    </row>
    <row r="51" spans="1:29" x14ac:dyDescent="0.3">
      <c r="A51" t="s">
        <v>557</v>
      </c>
      <c r="B51">
        <v>1375</v>
      </c>
      <c r="C51">
        <v>2547</v>
      </c>
      <c r="D51" s="452">
        <v>46096</v>
      </c>
      <c r="E51" t="s">
        <v>3988</v>
      </c>
      <c r="F51" t="s">
        <v>3958</v>
      </c>
      <c r="G51" t="s">
        <v>3934</v>
      </c>
      <c r="H51">
        <v>600</v>
      </c>
      <c r="I51">
        <v>1200</v>
      </c>
      <c r="J51">
        <v>0</v>
      </c>
      <c r="K51">
        <v>0</v>
      </c>
      <c r="L51">
        <v>600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452">
        <v>46093</v>
      </c>
      <c r="Z51" t="s">
        <v>894</v>
      </c>
      <c r="AA51" s="452">
        <v>46094</v>
      </c>
      <c r="AB51" t="s">
        <v>461</v>
      </c>
      <c r="AC51" t="s">
        <v>461</v>
      </c>
    </row>
    <row r="52" spans="1:29" x14ac:dyDescent="0.3">
      <c r="A52" t="s">
        <v>557</v>
      </c>
      <c r="B52">
        <v>1283</v>
      </c>
      <c r="C52">
        <v>2408</v>
      </c>
      <c r="D52" s="452">
        <v>46088</v>
      </c>
      <c r="E52" t="s">
        <v>3989</v>
      </c>
      <c r="F52" t="s">
        <v>3958</v>
      </c>
      <c r="G52" t="s">
        <v>3934</v>
      </c>
      <c r="H52">
        <v>1000</v>
      </c>
      <c r="I52">
        <v>3200</v>
      </c>
      <c r="J52">
        <v>407.81</v>
      </c>
      <c r="K52">
        <v>60.94</v>
      </c>
      <c r="L52">
        <v>531.25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452">
        <v>46041</v>
      </c>
      <c r="Z52" t="s">
        <v>894</v>
      </c>
      <c r="AA52" s="452">
        <v>46041</v>
      </c>
      <c r="AB52" t="s">
        <v>461</v>
      </c>
      <c r="AC52" t="s">
        <v>459</v>
      </c>
    </row>
    <row r="53" spans="1:29" x14ac:dyDescent="0.3">
      <c r="A53" t="s">
        <v>557</v>
      </c>
      <c r="B53">
        <v>1284</v>
      </c>
      <c r="C53">
        <v>2408</v>
      </c>
      <c r="D53" s="452">
        <v>46088</v>
      </c>
      <c r="E53" t="s">
        <v>3989</v>
      </c>
      <c r="F53" t="s">
        <v>3958</v>
      </c>
      <c r="G53" t="s">
        <v>3934</v>
      </c>
      <c r="H53">
        <v>2200</v>
      </c>
      <c r="I53">
        <v>3200</v>
      </c>
      <c r="J53">
        <v>897.19</v>
      </c>
      <c r="K53">
        <v>134.06</v>
      </c>
      <c r="L53">
        <v>1168.75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452">
        <v>46086</v>
      </c>
      <c r="Z53" t="s">
        <v>894</v>
      </c>
      <c r="AA53" s="452">
        <v>46086</v>
      </c>
      <c r="AB53" t="s">
        <v>461</v>
      </c>
      <c r="AC53" t="s">
        <v>461</v>
      </c>
    </row>
    <row r="54" spans="1:29" x14ac:dyDescent="0.3">
      <c r="A54" t="s">
        <v>557</v>
      </c>
      <c r="B54">
        <v>1463</v>
      </c>
      <c r="C54">
        <v>2708</v>
      </c>
      <c r="D54" s="452">
        <v>46086</v>
      </c>
      <c r="E54" t="s">
        <v>3990</v>
      </c>
      <c r="F54" t="s">
        <v>3958</v>
      </c>
      <c r="G54" t="s">
        <v>3959</v>
      </c>
      <c r="H54">
        <v>5923.53</v>
      </c>
      <c r="I54">
        <v>5923.53</v>
      </c>
      <c r="J54">
        <v>5153.47</v>
      </c>
      <c r="K54">
        <v>770.06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452">
        <v>46086</v>
      </c>
      <c r="Z54" t="s">
        <v>894</v>
      </c>
      <c r="AA54" s="452">
        <v>46086</v>
      </c>
      <c r="AB54" t="s">
        <v>461</v>
      </c>
      <c r="AC54" t="s">
        <v>461</v>
      </c>
    </row>
    <row r="55" spans="1:29" x14ac:dyDescent="0.3">
      <c r="A55" t="s">
        <v>557</v>
      </c>
      <c r="B55">
        <v>1359</v>
      </c>
      <c r="C55">
        <v>2594</v>
      </c>
      <c r="D55" s="452">
        <v>46082</v>
      </c>
      <c r="E55" t="s">
        <v>3991</v>
      </c>
      <c r="F55" t="s">
        <v>3958</v>
      </c>
      <c r="G55" t="s">
        <v>3934</v>
      </c>
      <c r="H55">
        <v>600</v>
      </c>
      <c r="I55">
        <v>1200</v>
      </c>
      <c r="J55">
        <v>0</v>
      </c>
      <c r="K55">
        <v>0</v>
      </c>
      <c r="L55">
        <v>600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452">
        <v>46059</v>
      </c>
      <c r="Z55" t="s">
        <v>894</v>
      </c>
      <c r="AA55" s="452">
        <v>46059</v>
      </c>
      <c r="AB55" t="s">
        <v>461</v>
      </c>
      <c r="AC55" t="s">
        <v>460</v>
      </c>
    </row>
    <row r="56" spans="1:29" x14ac:dyDescent="0.3">
      <c r="A56" t="s">
        <v>557</v>
      </c>
      <c r="B56">
        <v>1360</v>
      </c>
      <c r="C56">
        <v>2594</v>
      </c>
      <c r="D56" s="452">
        <v>46082</v>
      </c>
      <c r="E56" t="s">
        <v>3991</v>
      </c>
      <c r="F56" t="s">
        <v>3958</v>
      </c>
      <c r="G56" t="s">
        <v>3934</v>
      </c>
      <c r="H56">
        <v>600</v>
      </c>
      <c r="I56">
        <v>1200</v>
      </c>
      <c r="J56">
        <v>0</v>
      </c>
      <c r="K56">
        <v>0</v>
      </c>
      <c r="L56">
        <v>600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452">
        <v>46078</v>
      </c>
      <c r="Z56" t="s">
        <v>894</v>
      </c>
      <c r="AA56" s="452">
        <v>46076</v>
      </c>
      <c r="AB56" t="s">
        <v>461</v>
      </c>
      <c r="AC56" t="s">
        <v>460</v>
      </c>
    </row>
    <row r="57" spans="1:29" x14ac:dyDescent="0.3">
      <c r="A57" t="s">
        <v>557</v>
      </c>
      <c r="B57">
        <v>1405</v>
      </c>
      <c r="C57">
        <v>2710</v>
      </c>
      <c r="D57" s="452">
        <v>46080</v>
      </c>
      <c r="E57" t="s">
        <v>3992</v>
      </c>
      <c r="F57" t="s">
        <v>3958</v>
      </c>
      <c r="G57" t="s">
        <v>3934</v>
      </c>
      <c r="H57">
        <v>1800</v>
      </c>
      <c r="I57">
        <v>1800</v>
      </c>
      <c r="J57">
        <v>435</v>
      </c>
      <c r="K57">
        <v>65</v>
      </c>
      <c r="L57">
        <v>1300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452">
        <v>46078</v>
      </c>
      <c r="Z57" t="s">
        <v>894</v>
      </c>
      <c r="AA57" s="452">
        <v>46078</v>
      </c>
      <c r="AB57" t="s">
        <v>460</v>
      </c>
      <c r="AC57" t="s">
        <v>460</v>
      </c>
    </row>
    <row r="58" spans="1:29" x14ac:dyDescent="0.3">
      <c r="A58" t="s">
        <v>557</v>
      </c>
      <c r="B58">
        <v>1384</v>
      </c>
      <c r="C58">
        <v>2665</v>
      </c>
      <c r="D58" s="452">
        <v>46073</v>
      </c>
      <c r="E58" t="s">
        <v>3993</v>
      </c>
      <c r="F58" t="s">
        <v>3958</v>
      </c>
      <c r="G58" t="s">
        <v>3934</v>
      </c>
      <c r="H58">
        <v>1800</v>
      </c>
      <c r="I58">
        <v>1800</v>
      </c>
      <c r="J58">
        <v>435</v>
      </c>
      <c r="K58">
        <v>65</v>
      </c>
      <c r="L58">
        <v>1300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452">
        <v>46069</v>
      </c>
      <c r="Z58" t="s">
        <v>894</v>
      </c>
      <c r="AA58" s="452">
        <v>46069</v>
      </c>
      <c r="AB58" t="s">
        <v>460</v>
      </c>
      <c r="AC58" t="s">
        <v>460</v>
      </c>
    </row>
    <row r="59" spans="1:29" x14ac:dyDescent="0.3">
      <c r="A59" t="s">
        <v>557</v>
      </c>
      <c r="B59">
        <v>1246</v>
      </c>
      <c r="C59">
        <v>2384</v>
      </c>
      <c r="D59" s="452">
        <v>46039</v>
      </c>
      <c r="E59" t="s">
        <v>3994</v>
      </c>
      <c r="F59" t="s">
        <v>3958</v>
      </c>
      <c r="G59" t="s">
        <v>3934</v>
      </c>
      <c r="H59">
        <v>2000</v>
      </c>
      <c r="I59">
        <v>2000</v>
      </c>
      <c r="J59">
        <v>0</v>
      </c>
      <c r="K59">
        <v>0</v>
      </c>
      <c r="L59">
        <v>2000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452">
        <v>46035</v>
      </c>
      <c r="Z59" t="s">
        <v>894</v>
      </c>
      <c r="AA59" s="452">
        <v>46034</v>
      </c>
      <c r="AB59" t="s">
        <v>459</v>
      </c>
      <c r="AC59" t="s">
        <v>459</v>
      </c>
    </row>
    <row r="60" spans="1:29" x14ac:dyDescent="0.3">
      <c r="A60" t="s">
        <v>557</v>
      </c>
      <c r="B60">
        <v>1231</v>
      </c>
      <c r="C60">
        <v>2324</v>
      </c>
      <c r="D60" s="452">
        <v>46037</v>
      </c>
      <c r="E60" t="s">
        <v>3995</v>
      </c>
      <c r="F60" t="s">
        <v>3958</v>
      </c>
      <c r="G60" t="s">
        <v>3959</v>
      </c>
      <c r="H60">
        <v>16000</v>
      </c>
      <c r="I60">
        <v>16000</v>
      </c>
      <c r="J60">
        <v>13050</v>
      </c>
      <c r="K60">
        <v>1950</v>
      </c>
      <c r="L60">
        <v>1000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452">
        <v>46027</v>
      </c>
      <c r="Z60" t="s">
        <v>894</v>
      </c>
      <c r="AA60" s="452">
        <v>46027</v>
      </c>
      <c r="AB60" t="s">
        <v>459</v>
      </c>
      <c r="AC60" t="s">
        <v>459</v>
      </c>
    </row>
    <row r="61" spans="1:29" x14ac:dyDescent="0.3">
      <c r="A61" t="s">
        <v>557</v>
      </c>
      <c r="B61">
        <v>724</v>
      </c>
      <c r="C61">
        <v>1543</v>
      </c>
      <c r="D61" s="452">
        <v>46012</v>
      </c>
      <c r="E61" t="s">
        <v>3996</v>
      </c>
      <c r="F61" t="s">
        <v>3958</v>
      </c>
      <c r="G61" t="s">
        <v>3959</v>
      </c>
      <c r="H61">
        <v>600</v>
      </c>
      <c r="I61">
        <v>1275</v>
      </c>
      <c r="J61">
        <v>30.71</v>
      </c>
      <c r="K61">
        <v>4.59</v>
      </c>
      <c r="L61">
        <v>564.71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452">
        <v>45960</v>
      </c>
      <c r="Z61" t="s">
        <v>894</v>
      </c>
      <c r="AA61" s="452">
        <v>45960</v>
      </c>
      <c r="AB61" t="s">
        <v>458</v>
      </c>
      <c r="AC61" t="s">
        <v>751</v>
      </c>
    </row>
    <row r="62" spans="1:29" x14ac:dyDescent="0.3">
      <c r="A62" t="s">
        <v>557</v>
      </c>
      <c r="B62">
        <v>725</v>
      </c>
      <c r="C62">
        <v>1543</v>
      </c>
      <c r="D62" s="452">
        <v>46012</v>
      </c>
      <c r="E62" t="s">
        <v>3996</v>
      </c>
      <c r="F62" t="s">
        <v>3958</v>
      </c>
      <c r="G62" t="s">
        <v>3959</v>
      </c>
      <c r="H62">
        <v>675</v>
      </c>
      <c r="I62">
        <v>1275</v>
      </c>
      <c r="J62">
        <v>34.54</v>
      </c>
      <c r="K62">
        <v>5.16</v>
      </c>
      <c r="L62">
        <v>635.29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452">
        <v>46010</v>
      </c>
      <c r="Z62" t="s">
        <v>894</v>
      </c>
      <c r="AA62" s="452">
        <v>46010</v>
      </c>
      <c r="AB62" t="s">
        <v>458</v>
      </c>
      <c r="AC62" t="s">
        <v>458</v>
      </c>
    </row>
    <row r="63" spans="1:29" x14ac:dyDescent="0.3">
      <c r="A63" t="s">
        <v>557</v>
      </c>
      <c r="B63">
        <v>897</v>
      </c>
      <c r="C63">
        <v>1683</v>
      </c>
      <c r="D63" s="452">
        <v>46011</v>
      </c>
      <c r="E63" t="s">
        <v>3997</v>
      </c>
      <c r="F63" t="s">
        <v>3958</v>
      </c>
      <c r="G63" t="s">
        <v>3959</v>
      </c>
      <c r="H63">
        <v>900</v>
      </c>
      <c r="I63">
        <v>3660</v>
      </c>
      <c r="J63">
        <v>320.89999999999998</v>
      </c>
      <c r="K63">
        <v>47.95</v>
      </c>
      <c r="L63">
        <v>531.15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452">
        <v>45980</v>
      </c>
      <c r="Z63" t="s">
        <v>894</v>
      </c>
      <c r="AA63" s="452">
        <v>45980</v>
      </c>
      <c r="AB63" t="s">
        <v>458</v>
      </c>
      <c r="AC63" t="s">
        <v>753</v>
      </c>
    </row>
    <row r="64" spans="1:29" x14ac:dyDescent="0.3">
      <c r="A64" t="s">
        <v>557</v>
      </c>
      <c r="B64">
        <v>898</v>
      </c>
      <c r="C64">
        <v>1683</v>
      </c>
      <c r="D64" s="452">
        <v>46011</v>
      </c>
      <c r="E64" t="s">
        <v>3997</v>
      </c>
      <c r="F64" t="s">
        <v>3958</v>
      </c>
      <c r="G64" t="s">
        <v>3959</v>
      </c>
      <c r="H64">
        <v>2010</v>
      </c>
      <c r="I64">
        <v>3660</v>
      </c>
      <c r="J64">
        <v>716.68</v>
      </c>
      <c r="K64">
        <v>107.09</v>
      </c>
      <c r="L64">
        <v>1186.23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452">
        <v>46010</v>
      </c>
      <c r="Z64" t="s">
        <v>894</v>
      </c>
      <c r="AA64" s="452">
        <v>46010</v>
      </c>
      <c r="AB64" t="s">
        <v>458</v>
      </c>
      <c r="AC64" t="s">
        <v>458</v>
      </c>
    </row>
    <row r="65" spans="1:29" x14ac:dyDescent="0.3">
      <c r="A65" t="s">
        <v>557</v>
      </c>
      <c r="B65">
        <v>1088</v>
      </c>
      <c r="C65">
        <v>1683</v>
      </c>
      <c r="D65" s="452">
        <v>46011</v>
      </c>
      <c r="E65" t="s">
        <v>3997</v>
      </c>
      <c r="F65" t="s">
        <v>3958</v>
      </c>
      <c r="G65" t="s">
        <v>3959</v>
      </c>
      <c r="H65">
        <v>750</v>
      </c>
      <c r="I65">
        <v>3660</v>
      </c>
      <c r="J65">
        <v>267.42</v>
      </c>
      <c r="K65">
        <v>39.96</v>
      </c>
      <c r="L65">
        <v>442.62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452">
        <v>45986</v>
      </c>
      <c r="Z65" t="s">
        <v>894</v>
      </c>
      <c r="AA65" s="452">
        <v>45986</v>
      </c>
      <c r="AB65" t="s">
        <v>458</v>
      </c>
      <c r="AC65" t="s">
        <v>753</v>
      </c>
    </row>
    <row r="66" spans="1:29" x14ac:dyDescent="0.3">
      <c r="A66" t="s">
        <v>557</v>
      </c>
      <c r="B66">
        <v>484</v>
      </c>
      <c r="C66">
        <v>921</v>
      </c>
      <c r="D66" s="452">
        <v>46010</v>
      </c>
      <c r="E66" t="s">
        <v>3998</v>
      </c>
      <c r="F66" t="s">
        <v>3958</v>
      </c>
      <c r="G66" t="s">
        <v>3959</v>
      </c>
      <c r="H66">
        <v>5154.87</v>
      </c>
      <c r="I66">
        <v>10684.75</v>
      </c>
      <c r="J66">
        <v>3578.1</v>
      </c>
      <c r="K66">
        <v>534.67999999999995</v>
      </c>
      <c r="L66">
        <v>1042.0899999999999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452">
        <v>45911</v>
      </c>
      <c r="Z66" t="s">
        <v>894</v>
      </c>
      <c r="AA66" s="452">
        <v>45911</v>
      </c>
      <c r="AB66" t="s">
        <v>458</v>
      </c>
      <c r="AC66" t="s">
        <v>3999</v>
      </c>
    </row>
    <row r="67" spans="1:29" x14ac:dyDescent="0.3">
      <c r="A67" t="s">
        <v>557</v>
      </c>
      <c r="B67">
        <v>485</v>
      </c>
      <c r="C67">
        <v>921</v>
      </c>
      <c r="D67" s="452">
        <v>46010</v>
      </c>
      <c r="E67" t="s">
        <v>3998</v>
      </c>
      <c r="F67" t="s">
        <v>3958</v>
      </c>
      <c r="G67" t="s">
        <v>3959</v>
      </c>
      <c r="H67">
        <v>5529.88</v>
      </c>
      <c r="I67">
        <v>10684.75</v>
      </c>
      <c r="J67">
        <v>3838.4</v>
      </c>
      <c r="K67">
        <v>573.57000000000005</v>
      </c>
      <c r="L67">
        <v>1117.9100000000001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452">
        <v>46007</v>
      </c>
      <c r="Z67" t="s">
        <v>894</v>
      </c>
      <c r="AA67" s="452">
        <v>46006</v>
      </c>
      <c r="AB67" t="s">
        <v>458</v>
      </c>
      <c r="AC67" t="s">
        <v>458</v>
      </c>
    </row>
    <row r="68" spans="1:29" x14ac:dyDescent="0.3">
      <c r="A68" t="s">
        <v>557</v>
      </c>
      <c r="B68">
        <v>842</v>
      </c>
      <c r="C68">
        <v>1600</v>
      </c>
      <c r="D68" s="452">
        <v>46010</v>
      </c>
      <c r="E68" t="s">
        <v>4000</v>
      </c>
      <c r="F68" t="s">
        <v>3958</v>
      </c>
      <c r="G68" t="s">
        <v>3959</v>
      </c>
      <c r="H68">
        <v>1438</v>
      </c>
      <c r="I68">
        <v>2876</v>
      </c>
      <c r="J68">
        <v>1438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452">
        <v>45986</v>
      </c>
      <c r="Z68" t="s">
        <v>894</v>
      </c>
      <c r="AA68" s="452">
        <v>45979</v>
      </c>
      <c r="AB68" t="s">
        <v>458</v>
      </c>
      <c r="AC68" t="s">
        <v>753</v>
      </c>
    </row>
    <row r="69" spans="1:29" x14ac:dyDescent="0.3">
      <c r="A69" t="s">
        <v>557</v>
      </c>
      <c r="B69">
        <v>843</v>
      </c>
      <c r="C69">
        <v>1600</v>
      </c>
      <c r="D69" s="452">
        <v>46010</v>
      </c>
      <c r="E69" t="s">
        <v>4000</v>
      </c>
      <c r="F69" t="s">
        <v>3958</v>
      </c>
      <c r="G69" t="s">
        <v>3959</v>
      </c>
      <c r="H69">
        <v>1438</v>
      </c>
      <c r="I69">
        <v>2876</v>
      </c>
      <c r="J69">
        <v>1438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452">
        <v>46007</v>
      </c>
      <c r="Z69" t="s">
        <v>894</v>
      </c>
      <c r="AA69" s="452">
        <v>46007</v>
      </c>
      <c r="AB69" t="s">
        <v>458</v>
      </c>
      <c r="AC69" t="s">
        <v>458</v>
      </c>
    </row>
    <row r="70" spans="1:29" x14ac:dyDescent="0.3">
      <c r="A70" t="s">
        <v>557</v>
      </c>
      <c r="B70">
        <v>821</v>
      </c>
      <c r="C70">
        <v>1432</v>
      </c>
      <c r="D70" s="452">
        <v>46009</v>
      </c>
      <c r="E70" t="s">
        <v>4001</v>
      </c>
      <c r="F70" t="s">
        <v>3958</v>
      </c>
      <c r="G70" t="s">
        <v>3959</v>
      </c>
      <c r="H70">
        <v>4075</v>
      </c>
      <c r="I70">
        <v>8150</v>
      </c>
      <c r="J70">
        <v>3545.25</v>
      </c>
      <c r="K70">
        <v>529.75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452">
        <v>45972</v>
      </c>
      <c r="Z70" t="s">
        <v>894</v>
      </c>
      <c r="AA70" s="452">
        <v>45972</v>
      </c>
      <c r="AB70" t="s">
        <v>458</v>
      </c>
      <c r="AC70" t="s">
        <v>753</v>
      </c>
    </row>
    <row r="71" spans="1:29" x14ac:dyDescent="0.3">
      <c r="A71" t="s">
        <v>557</v>
      </c>
      <c r="B71">
        <v>822</v>
      </c>
      <c r="C71">
        <v>1432</v>
      </c>
      <c r="D71" s="452">
        <v>46009</v>
      </c>
      <c r="E71" t="s">
        <v>4001</v>
      </c>
      <c r="F71" t="s">
        <v>3958</v>
      </c>
      <c r="G71" t="s">
        <v>3959</v>
      </c>
      <c r="H71">
        <v>4075</v>
      </c>
      <c r="I71">
        <v>8150</v>
      </c>
      <c r="J71">
        <v>3545.25</v>
      </c>
      <c r="K71">
        <v>529.75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452">
        <v>46006</v>
      </c>
      <c r="Z71" t="s">
        <v>894</v>
      </c>
      <c r="AA71" s="452">
        <v>46006</v>
      </c>
      <c r="AB71" t="s">
        <v>458</v>
      </c>
      <c r="AC71" t="s">
        <v>458</v>
      </c>
    </row>
    <row r="72" spans="1:29" x14ac:dyDescent="0.3">
      <c r="A72" t="s">
        <v>557</v>
      </c>
      <c r="B72">
        <v>863</v>
      </c>
      <c r="C72">
        <v>1786</v>
      </c>
      <c r="D72" s="452">
        <v>46009</v>
      </c>
      <c r="E72" t="s">
        <v>4002</v>
      </c>
      <c r="F72" t="s">
        <v>3958</v>
      </c>
      <c r="G72" t="s">
        <v>3959</v>
      </c>
      <c r="H72">
        <v>1500</v>
      </c>
      <c r="I72">
        <v>1500</v>
      </c>
      <c r="J72">
        <v>1305</v>
      </c>
      <c r="K72">
        <v>195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452">
        <v>45975</v>
      </c>
      <c r="Z72" t="s">
        <v>894</v>
      </c>
      <c r="AA72" s="452">
        <v>45975</v>
      </c>
      <c r="AB72" t="s">
        <v>458</v>
      </c>
      <c r="AC72" t="s">
        <v>753</v>
      </c>
    </row>
    <row r="73" spans="1:29" x14ac:dyDescent="0.3">
      <c r="A73" t="s">
        <v>557</v>
      </c>
      <c r="B73">
        <v>1038</v>
      </c>
      <c r="C73">
        <v>2041</v>
      </c>
      <c r="D73" s="452">
        <v>46009</v>
      </c>
      <c r="E73" t="s">
        <v>4003</v>
      </c>
      <c r="F73" t="s">
        <v>3958</v>
      </c>
      <c r="G73" t="s">
        <v>3959</v>
      </c>
      <c r="H73">
        <v>4500</v>
      </c>
      <c r="I73">
        <v>9000</v>
      </c>
      <c r="J73">
        <v>3662.7</v>
      </c>
      <c r="K73">
        <v>547.29999999999995</v>
      </c>
      <c r="L73">
        <v>290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452">
        <v>45995</v>
      </c>
      <c r="Z73" t="s">
        <v>894</v>
      </c>
      <c r="AA73" s="452">
        <v>45995</v>
      </c>
      <c r="AB73" t="s">
        <v>458</v>
      </c>
      <c r="AC73" t="s">
        <v>458</v>
      </c>
    </row>
    <row r="74" spans="1:29" x14ac:dyDescent="0.3">
      <c r="A74" t="s">
        <v>557</v>
      </c>
      <c r="B74">
        <v>1039</v>
      </c>
      <c r="C74">
        <v>2041</v>
      </c>
      <c r="D74" s="452">
        <v>46009</v>
      </c>
      <c r="E74" t="s">
        <v>4003</v>
      </c>
      <c r="F74" t="s">
        <v>3958</v>
      </c>
      <c r="G74" t="s">
        <v>3959</v>
      </c>
      <c r="H74">
        <v>4500</v>
      </c>
      <c r="I74">
        <v>9000</v>
      </c>
      <c r="J74">
        <v>3662.7</v>
      </c>
      <c r="K74">
        <v>547.29999999999995</v>
      </c>
      <c r="L74">
        <v>290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452">
        <v>46003</v>
      </c>
      <c r="Z74" t="s">
        <v>894</v>
      </c>
      <c r="AA74" s="452">
        <v>46006</v>
      </c>
      <c r="AB74" t="s">
        <v>458</v>
      </c>
      <c r="AC74" t="s">
        <v>458</v>
      </c>
    </row>
    <row r="75" spans="1:29" x14ac:dyDescent="0.3">
      <c r="A75" t="s">
        <v>557</v>
      </c>
      <c r="B75">
        <v>606</v>
      </c>
      <c r="C75">
        <v>1317</v>
      </c>
      <c r="D75" s="452">
        <v>46008</v>
      </c>
      <c r="E75" t="s">
        <v>4004</v>
      </c>
      <c r="F75" t="s">
        <v>3958</v>
      </c>
      <c r="G75" t="s">
        <v>3959</v>
      </c>
      <c r="H75">
        <v>5336.3</v>
      </c>
      <c r="I75">
        <v>10336.299999999999</v>
      </c>
      <c r="J75">
        <v>4193.43</v>
      </c>
      <c r="K75">
        <v>626.6</v>
      </c>
      <c r="L75">
        <v>516.27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452">
        <v>45940</v>
      </c>
      <c r="Z75" t="s">
        <v>894</v>
      </c>
      <c r="AA75" s="452">
        <v>45940</v>
      </c>
      <c r="AB75" t="s">
        <v>458</v>
      </c>
      <c r="AC75" t="s">
        <v>751</v>
      </c>
    </row>
    <row r="76" spans="1:29" x14ac:dyDescent="0.3">
      <c r="A76" t="s">
        <v>557</v>
      </c>
      <c r="B76">
        <v>607</v>
      </c>
      <c r="C76">
        <v>1317</v>
      </c>
      <c r="D76" s="452">
        <v>46008</v>
      </c>
      <c r="E76" t="s">
        <v>4004</v>
      </c>
      <c r="F76" t="s">
        <v>3958</v>
      </c>
      <c r="G76" t="s">
        <v>3959</v>
      </c>
      <c r="H76">
        <v>5000</v>
      </c>
      <c r="I76">
        <v>10336.299999999999</v>
      </c>
      <c r="J76">
        <v>3929.15</v>
      </c>
      <c r="K76">
        <v>587.12</v>
      </c>
      <c r="L76">
        <v>483.73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452">
        <v>45994</v>
      </c>
      <c r="Z76" t="s">
        <v>894</v>
      </c>
      <c r="AA76" s="452">
        <v>45994</v>
      </c>
      <c r="AB76" t="s">
        <v>458</v>
      </c>
      <c r="AC76" t="s">
        <v>458</v>
      </c>
    </row>
    <row r="77" spans="1:29" x14ac:dyDescent="0.3">
      <c r="A77" t="s">
        <v>557</v>
      </c>
      <c r="B77">
        <v>783</v>
      </c>
      <c r="C77">
        <v>1681</v>
      </c>
      <c r="D77" s="452">
        <v>46008</v>
      </c>
      <c r="E77" t="s">
        <v>4005</v>
      </c>
      <c r="F77" t="s">
        <v>3958</v>
      </c>
      <c r="G77" t="s">
        <v>3959</v>
      </c>
      <c r="H77">
        <v>5315</v>
      </c>
      <c r="I77">
        <v>10630</v>
      </c>
      <c r="J77">
        <v>4189.55</v>
      </c>
      <c r="K77">
        <v>625.95000000000005</v>
      </c>
      <c r="L77">
        <v>500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452">
        <v>45971</v>
      </c>
      <c r="Z77" t="s">
        <v>894</v>
      </c>
      <c r="AA77" s="452">
        <v>45971</v>
      </c>
      <c r="AB77" t="s">
        <v>458</v>
      </c>
      <c r="AC77" t="s">
        <v>753</v>
      </c>
    </row>
    <row r="78" spans="1:29" x14ac:dyDescent="0.3">
      <c r="A78" t="s">
        <v>557</v>
      </c>
      <c r="B78">
        <v>784</v>
      </c>
      <c r="C78">
        <v>1681</v>
      </c>
      <c r="D78" s="452">
        <v>46008</v>
      </c>
      <c r="E78" t="s">
        <v>4005</v>
      </c>
      <c r="F78" t="s">
        <v>3958</v>
      </c>
      <c r="G78" t="s">
        <v>3959</v>
      </c>
      <c r="H78">
        <v>5315</v>
      </c>
      <c r="I78">
        <v>10630</v>
      </c>
      <c r="J78">
        <v>4189.55</v>
      </c>
      <c r="K78">
        <v>625.95000000000005</v>
      </c>
      <c r="L78">
        <v>500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452">
        <v>45999</v>
      </c>
      <c r="Z78" t="s">
        <v>894</v>
      </c>
      <c r="AA78" s="452">
        <v>45999</v>
      </c>
      <c r="AB78" t="s">
        <v>458</v>
      </c>
      <c r="AC78" t="s">
        <v>458</v>
      </c>
    </row>
    <row r="79" spans="1:29" x14ac:dyDescent="0.3">
      <c r="A79" t="s">
        <v>557</v>
      </c>
      <c r="B79">
        <v>993</v>
      </c>
      <c r="C79">
        <v>1997</v>
      </c>
      <c r="D79" s="452">
        <v>46008</v>
      </c>
      <c r="E79" t="s">
        <v>4006</v>
      </c>
      <c r="F79" t="s">
        <v>3958</v>
      </c>
      <c r="G79" t="s">
        <v>3959</v>
      </c>
      <c r="H79">
        <v>17510</v>
      </c>
      <c r="I79">
        <v>39999.93</v>
      </c>
      <c r="J79">
        <v>15233.7</v>
      </c>
      <c r="K79">
        <v>2276.3000000000002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452">
        <v>45989</v>
      </c>
      <c r="Z79" t="s">
        <v>894</v>
      </c>
      <c r="AA79" s="452">
        <v>45989</v>
      </c>
      <c r="AB79" t="s">
        <v>458</v>
      </c>
      <c r="AC79" t="s">
        <v>753</v>
      </c>
    </row>
    <row r="80" spans="1:29" x14ac:dyDescent="0.3">
      <c r="A80" t="s">
        <v>557</v>
      </c>
      <c r="B80">
        <v>994</v>
      </c>
      <c r="C80">
        <v>1997</v>
      </c>
      <c r="D80" s="452">
        <v>46008</v>
      </c>
      <c r="E80" t="s">
        <v>4006</v>
      </c>
      <c r="F80" t="s">
        <v>3958</v>
      </c>
      <c r="G80" t="s">
        <v>3959</v>
      </c>
      <c r="H80">
        <v>22489.93</v>
      </c>
      <c r="I80">
        <v>39999.93</v>
      </c>
      <c r="J80">
        <v>19566.23</v>
      </c>
      <c r="K80">
        <v>2923.7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452">
        <v>46002</v>
      </c>
      <c r="Z80" t="s">
        <v>894</v>
      </c>
      <c r="AA80" s="452">
        <v>46002</v>
      </c>
      <c r="AB80" t="s">
        <v>458</v>
      </c>
      <c r="AC80" t="s">
        <v>458</v>
      </c>
    </row>
    <row r="81" spans="1:29" x14ac:dyDescent="0.3">
      <c r="A81" t="s">
        <v>557</v>
      </c>
      <c r="B81">
        <v>1099</v>
      </c>
      <c r="C81">
        <v>2168</v>
      </c>
      <c r="D81" s="452">
        <v>46007</v>
      </c>
      <c r="E81" t="s">
        <v>4007</v>
      </c>
      <c r="F81" t="s">
        <v>3958</v>
      </c>
      <c r="G81" t="s">
        <v>3959</v>
      </c>
      <c r="H81">
        <v>6592</v>
      </c>
      <c r="I81">
        <v>6592</v>
      </c>
      <c r="J81">
        <v>5213.04</v>
      </c>
      <c r="K81">
        <v>778.96</v>
      </c>
      <c r="L81">
        <v>600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192</v>
      </c>
      <c r="Y81" s="452">
        <v>46000</v>
      </c>
      <c r="Z81" t="s">
        <v>894</v>
      </c>
      <c r="AA81" s="452">
        <v>46000</v>
      </c>
      <c r="AB81" t="s">
        <v>458</v>
      </c>
      <c r="AC81" t="s">
        <v>458</v>
      </c>
    </row>
    <row r="82" spans="1:29" x14ac:dyDescent="0.3">
      <c r="A82" t="s">
        <v>557</v>
      </c>
      <c r="B82">
        <v>1119</v>
      </c>
      <c r="C82">
        <v>2195</v>
      </c>
      <c r="D82" s="452">
        <v>46007</v>
      </c>
      <c r="E82" t="s">
        <v>4008</v>
      </c>
      <c r="F82" t="s">
        <v>3958</v>
      </c>
      <c r="G82" t="s">
        <v>3959</v>
      </c>
      <c r="H82">
        <v>8749.92</v>
      </c>
      <c r="I82">
        <v>8749.92</v>
      </c>
      <c r="J82">
        <v>7612.43</v>
      </c>
      <c r="K82">
        <v>1137.49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452">
        <v>46003</v>
      </c>
      <c r="Z82" t="s">
        <v>894</v>
      </c>
      <c r="AA82" s="452">
        <v>46003</v>
      </c>
      <c r="AB82" t="s">
        <v>458</v>
      </c>
      <c r="AC82" t="s">
        <v>458</v>
      </c>
    </row>
    <row r="83" spans="1:29" x14ac:dyDescent="0.3">
      <c r="A83" t="s">
        <v>557</v>
      </c>
      <c r="B83">
        <v>1161</v>
      </c>
      <c r="C83">
        <v>2296</v>
      </c>
      <c r="D83" s="452">
        <v>46007</v>
      </c>
      <c r="E83" t="s">
        <v>4009</v>
      </c>
      <c r="F83" t="s">
        <v>3958</v>
      </c>
      <c r="G83" t="s">
        <v>3959</v>
      </c>
      <c r="H83">
        <v>1170</v>
      </c>
      <c r="I83">
        <v>1170</v>
      </c>
      <c r="J83">
        <v>1017.9</v>
      </c>
      <c r="K83">
        <v>152.1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452">
        <v>46007</v>
      </c>
      <c r="Z83" t="s">
        <v>894</v>
      </c>
      <c r="AA83" s="452">
        <v>46007</v>
      </c>
      <c r="AB83" t="s">
        <v>458</v>
      </c>
      <c r="AC83" t="s">
        <v>458</v>
      </c>
    </row>
    <row r="84" spans="1:29" x14ac:dyDescent="0.3">
      <c r="A84" t="s">
        <v>557</v>
      </c>
      <c r="B84">
        <v>991</v>
      </c>
      <c r="C84">
        <v>2009</v>
      </c>
      <c r="D84" s="452">
        <v>46005</v>
      </c>
      <c r="E84" t="s">
        <v>4010</v>
      </c>
      <c r="F84" t="s">
        <v>3958</v>
      </c>
      <c r="G84" t="s">
        <v>3934</v>
      </c>
      <c r="H84">
        <v>2290</v>
      </c>
      <c r="I84">
        <v>4580</v>
      </c>
      <c r="J84">
        <v>1470.3</v>
      </c>
      <c r="K84">
        <v>219.7</v>
      </c>
      <c r="L84">
        <v>600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452">
        <v>45989</v>
      </c>
      <c r="Z84" t="s">
        <v>894</v>
      </c>
      <c r="AA84" s="452">
        <v>45989</v>
      </c>
      <c r="AB84" t="s">
        <v>458</v>
      </c>
      <c r="AC84" t="s">
        <v>753</v>
      </c>
    </row>
    <row r="85" spans="1:29" x14ac:dyDescent="0.3">
      <c r="A85" t="s">
        <v>557</v>
      </c>
      <c r="B85">
        <v>992</v>
      </c>
      <c r="C85">
        <v>2009</v>
      </c>
      <c r="D85" s="452">
        <v>46005</v>
      </c>
      <c r="E85" t="s">
        <v>4010</v>
      </c>
      <c r="F85" t="s">
        <v>3958</v>
      </c>
      <c r="G85" t="s">
        <v>3934</v>
      </c>
      <c r="H85">
        <v>2290</v>
      </c>
      <c r="I85">
        <v>4580</v>
      </c>
      <c r="J85">
        <v>1470.3</v>
      </c>
      <c r="K85">
        <v>219.7</v>
      </c>
      <c r="L85">
        <v>600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452">
        <v>46003</v>
      </c>
      <c r="Z85" t="s">
        <v>894</v>
      </c>
      <c r="AA85" s="452">
        <v>46003</v>
      </c>
      <c r="AB85" t="s">
        <v>458</v>
      </c>
      <c r="AC85" t="s">
        <v>458</v>
      </c>
    </row>
    <row r="86" spans="1:29" x14ac:dyDescent="0.3">
      <c r="A86" t="s">
        <v>557</v>
      </c>
      <c r="B86">
        <v>335</v>
      </c>
      <c r="C86">
        <v>659</v>
      </c>
      <c r="D86" s="452">
        <v>46004</v>
      </c>
      <c r="E86" t="s">
        <v>3932</v>
      </c>
      <c r="F86" t="s">
        <v>3958</v>
      </c>
      <c r="G86" t="s">
        <v>3934</v>
      </c>
      <c r="H86">
        <v>750</v>
      </c>
      <c r="I86">
        <v>1500</v>
      </c>
      <c r="J86">
        <v>0</v>
      </c>
      <c r="K86">
        <v>0</v>
      </c>
      <c r="L86">
        <v>750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452">
        <v>45838</v>
      </c>
      <c r="Z86" t="s">
        <v>894</v>
      </c>
      <c r="AA86" s="452">
        <v>45838</v>
      </c>
      <c r="AB86" t="s">
        <v>458</v>
      </c>
      <c r="AC86" t="s">
        <v>3935</v>
      </c>
    </row>
    <row r="87" spans="1:29" x14ac:dyDescent="0.3">
      <c r="A87" t="s">
        <v>557</v>
      </c>
      <c r="B87">
        <v>336</v>
      </c>
      <c r="C87">
        <v>659</v>
      </c>
      <c r="D87" s="452">
        <v>46004</v>
      </c>
      <c r="E87" t="s">
        <v>3932</v>
      </c>
      <c r="F87" t="s">
        <v>3958</v>
      </c>
      <c r="G87" t="s">
        <v>3934</v>
      </c>
      <c r="H87">
        <v>750</v>
      </c>
      <c r="I87">
        <v>1500</v>
      </c>
      <c r="J87">
        <v>0</v>
      </c>
      <c r="K87">
        <v>0</v>
      </c>
      <c r="L87">
        <v>750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452">
        <v>46003</v>
      </c>
      <c r="Z87" t="s">
        <v>894</v>
      </c>
      <c r="AA87" s="452">
        <v>46003</v>
      </c>
      <c r="AB87" t="s">
        <v>458</v>
      </c>
      <c r="AC87" t="s">
        <v>458</v>
      </c>
    </row>
    <row r="88" spans="1:29" x14ac:dyDescent="0.3">
      <c r="A88" t="s">
        <v>557</v>
      </c>
      <c r="B88">
        <v>1121</v>
      </c>
      <c r="C88">
        <v>2271</v>
      </c>
      <c r="D88" s="452">
        <v>46004</v>
      </c>
      <c r="E88" t="s">
        <v>4011</v>
      </c>
      <c r="F88" t="s">
        <v>3958</v>
      </c>
      <c r="G88" t="s">
        <v>3934</v>
      </c>
      <c r="H88">
        <v>360</v>
      </c>
      <c r="I88">
        <v>360</v>
      </c>
      <c r="J88">
        <v>0</v>
      </c>
      <c r="K88">
        <v>0</v>
      </c>
      <c r="L88">
        <v>360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452">
        <v>46004</v>
      </c>
      <c r="Z88" t="s">
        <v>894</v>
      </c>
      <c r="AA88" s="452">
        <v>46004</v>
      </c>
      <c r="AB88" t="s">
        <v>458</v>
      </c>
      <c r="AC88" t="s">
        <v>458</v>
      </c>
    </row>
    <row r="89" spans="1:29" x14ac:dyDescent="0.3">
      <c r="A89" t="s">
        <v>557</v>
      </c>
      <c r="B89">
        <v>587</v>
      </c>
      <c r="C89">
        <v>1148</v>
      </c>
      <c r="D89" s="452">
        <v>46003</v>
      </c>
      <c r="E89" t="s">
        <v>4012</v>
      </c>
      <c r="F89" t="s">
        <v>3958</v>
      </c>
      <c r="G89" t="s">
        <v>3959</v>
      </c>
      <c r="H89">
        <v>6060</v>
      </c>
      <c r="I89">
        <v>12120</v>
      </c>
      <c r="J89">
        <v>4750.2</v>
      </c>
      <c r="K89">
        <v>709.8</v>
      </c>
      <c r="L89">
        <v>600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452">
        <v>45940</v>
      </c>
      <c r="Z89" t="s">
        <v>894</v>
      </c>
      <c r="AA89" s="452">
        <v>45940</v>
      </c>
      <c r="AB89" t="s">
        <v>458</v>
      </c>
      <c r="AC89" t="s">
        <v>751</v>
      </c>
    </row>
    <row r="90" spans="1:29" x14ac:dyDescent="0.3">
      <c r="A90" t="s">
        <v>557</v>
      </c>
      <c r="B90">
        <v>588</v>
      </c>
      <c r="C90">
        <v>1148</v>
      </c>
      <c r="D90" s="452">
        <v>46003</v>
      </c>
      <c r="E90" t="s">
        <v>4012</v>
      </c>
      <c r="F90" t="s">
        <v>3958</v>
      </c>
      <c r="G90" t="s">
        <v>3959</v>
      </c>
      <c r="H90">
        <v>6060</v>
      </c>
      <c r="I90">
        <v>12120</v>
      </c>
      <c r="J90">
        <v>4750.2</v>
      </c>
      <c r="K90">
        <v>709.8</v>
      </c>
      <c r="L90">
        <v>600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452">
        <v>45999</v>
      </c>
      <c r="Z90" t="s">
        <v>894</v>
      </c>
      <c r="AA90" s="452">
        <v>45999</v>
      </c>
      <c r="AB90" t="s">
        <v>458</v>
      </c>
      <c r="AC90" t="s">
        <v>458</v>
      </c>
    </row>
    <row r="91" spans="1:29" x14ac:dyDescent="0.3">
      <c r="A91" t="s">
        <v>557</v>
      </c>
      <c r="B91">
        <v>503</v>
      </c>
      <c r="C91">
        <v>793</v>
      </c>
      <c r="D91" s="452">
        <v>46002</v>
      </c>
      <c r="E91" t="s">
        <v>3998</v>
      </c>
      <c r="F91" t="s">
        <v>3958</v>
      </c>
      <c r="G91" t="s">
        <v>3959</v>
      </c>
      <c r="H91">
        <v>6601.5</v>
      </c>
      <c r="I91">
        <v>13578</v>
      </c>
      <c r="J91">
        <v>5743.26</v>
      </c>
      <c r="K91">
        <v>858.24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452">
        <v>45926</v>
      </c>
      <c r="Z91" t="s">
        <v>894</v>
      </c>
      <c r="AA91" s="452">
        <v>45926</v>
      </c>
      <c r="AB91" t="s">
        <v>458</v>
      </c>
      <c r="AC91" t="s">
        <v>3999</v>
      </c>
    </row>
    <row r="92" spans="1:29" x14ac:dyDescent="0.3">
      <c r="A92" t="s">
        <v>557</v>
      </c>
      <c r="B92">
        <v>504</v>
      </c>
      <c r="C92">
        <v>793</v>
      </c>
      <c r="D92" s="452">
        <v>46002</v>
      </c>
      <c r="E92" t="s">
        <v>3998</v>
      </c>
      <c r="F92" t="s">
        <v>3958</v>
      </c>
      <c r="G92" t="s">
        <v>3959</v>
      </c>
      <c r="H92">
        <v>6601.5</v>
      </c>
      <c r="I92">
        <v>13578</v>
      </c>
      <c r="J92">
        <v>5743.26</v>
      </c>
      <c r="K92">
        <v>858.24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452">
        <v>45999</v>
      </c>
      <c r="Z92" t="s">
        <v>894</v>
      </c>
      <c r="AA92" s="452">
        <v>45999</v>
      </c>
      <c r="AB92" t="s">
        <v>458</v>
      </c>
      <c r="AC92" t="s">
        <v>458</v>
      </c>
    </row>
    <row r="93" spans="1:29" x14ac:dyDescent="0.3">
      <c r="A93" t="s">
        <v>557</v>
      </c>
      <c r="B93">
        <v>592</v>
      </c>
      <c r="C93">
        <v>1119</v>
      </c>
      <c r="D93" s="452">
        <v>46002</v>
      </c>
      <c r="E93" t="s">
        <v>3998</v>
      </c>
      <c r="F93" t="s">
        <v>3958</v>
      </c>
      <c r="G93" t="s">
        <v>3959</v>
      </c>
      <c r="H93">
        <v>6588.5</v>
      </c>
      <c r="I93">
        <v>13177</v>
      </c>
      <c r="J93">
        <v>5297</v>
      </c>
      <c r="K93">
        <v>791.51</v>
      </c>
      <c r="L93">
        <v>500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452">
        <v>45938</v>
      </c>
      <c r="Z93" t="s">
        <v>894</v>
      </c>
      <c r="AA93" s="452">
        <v>45938</v>
      </c>
      <c r="AB93" t="s">
        <v>458</v>
      </c>
      <c r="AC93" t="s">
        <v>751</v>
      </c>
    </row>
    <row r="94" spans="1:29" x14ac:dyDescent="0.3">
      <c r="A94" t="s">
        <v>557</v>
      </c>
      <c r="B94">
        <v>593</v>
      </c>
      <c r="C94">
        <v>1119</v>
      </c>
      <c r="D94" s="452">
        <v>46002</v>
      </c>
      <c r="E94" t="s">
        <v>3998</v>
      </c>
      <c r="F94" t="s">
        <v>3958</v>
      </c>
      <c r="G94" t="s">
        <v>3959</v>
      </c>
      <c r="H94">
        <v>6588.5</v>
      </c>
      <c r="I94">
        <v>13177</v>
      </c>
      <c r="J94">
        <v>5297</v>
      </c>
      <c r="K94">
        <v>791.51</v>
      </c>
      <c r="L94">
        <v>500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452">
        <v>45999</v>
      </c>
      <c r="Z94" t="s">
        <v>894</v>
      </c>
      <c r="AA94" s="452">
        <v>45999</v>
      </c>
      <c r="AB94" t="s">
        <v>458</v>
      </c>
      <c r="AC94" t="s">
        <v>458</v>
      </c>
    </row>
    <row r="95" spans="1:29" x14ac:dyDescent="0.3">
      <c r="A95" t="s">
        <v>557</v>
      </c>
      <c r="B95">
        <v>1085</v>
      </c>
      <c r="C95">
        <v>793</v>
      </c>
      <c r="D95" s="452">
        <v>46002</v>
      </c>
      <c r="E95" t="s">
        <v>3998</v>
      </c>
      <c r="F95" t="s">
        <v>3958</v>
      </c>
      <c r="G95" t="s">
        <v>3959</v>
      </c>
      <c r="H95">
        <v>375</v>
      </c>
      <c r="I95">
        <v>13578</v>
      </c>
      <c r="J95">
        <v>326.25</v>
      </c>
      <c r="K95">
        <v>48.75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452">
        <v>45996</v>
      </c>
      <c r="Z95" t="s">
        <v>894</v>
      </c>
      <c r="AA95" s="452">
        <v>45996</v>
      </c>
      <c r="AB95" t="s">
        <v>458</v>
      </c>
      <c r="AC95" t="s">
        <v>458</v>
      </c>
    </row>
    <row r="96" spans="1:29" x14ac:dyDescent="0.3">
      <c r="A96" t="s">
        <v>557</v>
      </c>
      <c r="B96">
        <v>1102</v>
      </c>
      <c r="C96">
        <v>2236</v>
      </c>
      <c r="D96" s="452">
        <v>46002</v>
      </c>
      <c r="E96" t="s">
        <v>4013</v>
      </c>
      <c r="F96" t="s">
        <v>3958</v>
      </c>
      <c r="G96" t="s">
        <v>3959</v>
      </c>
      <c r="H96">
        <v>993</v>
      </c>
      <c r="I96">
        <v>993</v>
      </c>
      <c r="J96">
        <v>863.73</v>
      </c>
      <c r="K96">
        <v>129.27000000000001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452">
        <v>46002</v>
      </c>
      <c r="Z96" t="s">
        <v>894</v>
      </c>
      <c r="AA96" s="452">
        <v>46002</v>
      </c>
      <c r="AB96" t="s">
        <v>458</v>
      </c>
      <c r="AC96" t="s">
        <v>458</v>
      </c>
    </row>
    <row r="97" spans="1:29" x14ac:dyDescent="0.3">
      <c r="A97" t="s">
        <v>557</v>
      </c>
      <c r="B97">
        <v>1107</v>
      </c>
      <c r="C97">
        <v>2241</v>
      </c>
      <c r="D97" s="452">
        <v>46002</v>
      </c>
      <c r="E97" t="s">
        <v>4014</v>
      </c>
      <c r="F97" t="s">
        <v>3958</v>
      </c>
      <c r="G97" t="s">
        <v>3959</v>
      </c>
      <c r="H97">
        <v>1720</v>
      </c>
      <c r="I97">
        <v>3090</v>
      </c>
      <c r="J97">
        <v>1438.29</v>
      </c>
      <c r="K97">
        <v>214.92</v>
      </c>
      <c r="L97">
        <v>66.8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452">
        <v>46001</v>
      </c>
      <c r="Z97" t="s">
        <v>894</v>
      </c>
      <c r="AA97" s="452">
        <v>46001</v>
      </c>
      <c r="AB97" t="s">
        <v>458</v>
      </c>
      <c r="AC97" t="s">
        <v>458</v>
      </c>
    </row>
    <row r="98" spans="1:29" x14ac:dyDescent="0.3">
      <c r="A98" t="s">
        <v>557</v>
      </c>
      <c r="B98">
        <v>1108</v>
      </c>
      <c r="C98">
        <v>2241</v>
      </c>
      <c r="D98" s="452">
        <v>46002</v>
      </c>
      <c r="E98" t="s">
        <v>4014</v>
      </c>
      <c r="F98" t="s">
        <v>3958</v>
      </c>
      <c r="G98" t="s">
        <v>3959</v>
      </c>
      <c r="H98">
        <v>1370</v>
      </c>
      <c r="I98">
        <v>3090</v>
      </c>
      <c r="J98">
        <v>1145.6099999999999</v>
      </c>
      <c r="K98">
        <v>171.18</v>
      </c>
      <c r="L98">
        <v>53.2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452">
        <v>46032</v>
      </c>
      <c r="Z98" t="s">
        <v>894</v>
      </c>
      <c r="AA98" s="452">
        <v>46002</v>
      </c>
      <c r="AB98" t="s">
        <v>458</v>
      </c>
      <c r="AC98" t="s">
        <v>458</v>
      </c>
    </row>
    <row r="99" spans="1:29" x14ac:dyDescent="0.3">
      <c r="A99" t="s">
        <v>557</v>
      </c>
      <c r="B99">
        <v>830</v>
      </c>
      <c r="C99">
        <v>1458</v>
      </c>
      <c r="D99" s="452">
        <v>46001</v>
      </c>
      <c r="E99" t="s">
        <v>4015</v>
      </c>
      <c r="F99" t="s">
        <v>3958</v>
      </c>
      <c r="G99" t="s">
        <v>3959</v>
      </c>
      <c r="H99">
        <v>10367.4</v>
      </c>
      <c r="I99">
        <v>20734.8</v>
      </c>
      <c r="J99">
        <v>9019.64</v>
      </c>
      <c r="K99">
        <v>1347.77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452">
        <v>45973</v>
      </c>
      <c r="Z99" t="s">
        <v>894</v>
      </c>
      <c r="AA99" s="452">
        <v>45973</v>
      </c>
      <c r="AB99" t="s">
        <v>458</v>
      </c>
      <c r="AC99" t="s">
        <v>753</v>
      </c>
    </row>
    <row r="100" spans="1:29" x14ac:dyDescent="0.3">
      <c r="A100" t="s">
        <v>557</v>
      </c>
      <c r="B100">
        <v>831</v>
      </c>
      <c r="C100">
        <v>1458</v>
      </c>
      <c r="D100" s="452">
        <v>46001</v>
      </c>
      <c r="E100" t="s">
        <v>4015</v>
      </c>
      <c r="F100" t="s">
        <v>3958</v>
      </c>
      <c r="G100" t="s">
        <v>3959</v>
      </c>
      <c r="H100">
        <v>10367.4</v>
      </c>
      <c r="I100">
        <v>20734.8</v>
      </c>
      <c r="J100">
        <v>9019.64</v>
      </c>
      <c r="K100">
        <v>1347.77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452">
        <v>45999</v>
      </c>
      <c r="Z100" t="s">
        <v>894</v>
      </c>
      <c r="AA100" s="452">
        <v>45994</v>
      </c>
      <c r="AB100" t="s">
        <v>458</v>
      </c>
      <c r="AC100" t="s">
        <v>458</v>
      </c>
    </row>
    <row r="101" spans="1:29" x14ac:dyDescent="0.3">
      <c r="A101" t="s">
        <v>557</v>
      </c>
      <c r="B101">
        <v>1111</v>
      </c>
      <c r="C101">
        <v>2156</v>
      </c>
      <c r="D101" s="452">
        <v>46001</v>
      </c>
      <c r="E101" t="s">
        <v>4016</v>
      </c>
      <c r="F101" t="s">
        <v>3958</v>
      </c>
      <c r="G101" t="s">
        <v>3959</v>
      </c>
      <c r="H101">
        <v>11400</v>
      </c>
      <c r="I101">
        <v>27000</v>
      </c>
      <c r="J101">
        <v>9918</v>
      </c>
      <c r="K101">
        <v>1482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452">
        <v>46032</v>
      </c>
      <c r="Z101" t="s">
        <v>894</v>
      </c>
      <c r="AA101" s="452">
        <v>46001</v>
      </c>
      <c r="AB101" t="s">
        <v>458</v>
      </c>
      <c r="AC101" t="s">
        <v>458</v>
      </c>
    </row>
    <row r="102" spans="1:29" x14ac:dyDescent="0.3">
      <c r="A102" t="s">
        <v>557</v>
      </c>
      <c r="B102">
        <v>1112</v>
      </c>
      <c r="C102">
        <v>2156</v>
      </c>
      <c r="D102" s="452">
        <v>46001</v>
      </c>
      <c r="E102" t="s">
        <v>4016</v>
      </c>
      <c r="F102" t="s">
        <v>3958</v>
      </c>
      <c r="G102" t="s">
        <v>3959</v>
      </c>
      <c r="H102">
        <v>6900</v>
      </c>
      <c r="I102">
        <v>27000</v>
      </c>
      <c r="J102">
        <v>6003</v>
      </c>
      <c r="K102">
        <v>897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452">
        <v>46032</v>
      </c>
      <c r="Z102" t="s">
        <v>894</v>
      </c>
      <c r="AA102" s="452">
        <v>46001</v>
      </c>
      <c r="AB102" t="s">
        <v>458</v>
      </c>
      <c r="AC102" t="s">
        <v>458</v>
      </c>
    </row>
    <row r="103" spans="1:29" x14ac:dyDescent="0.3">
      <c r="A103" t="s">
        <v>557</v>
      </c>
      <c r="B103">
        <v>1113</v>
      </c>
      <c r="C103">
        <v>2156</v>
      </c>
      <c r="D103" s="452">
        <v>46001</v>
      </c>
      <c r="E103" t="s">
        <v>4016</v>
      </c>
      <c r="F103" t="s">
        <v>3958</v>
      </c>
      <c r="G103" t="s">
        <v>3959</v>
      </c>
      <c r="H103">
        <v>8700</v>
      </c>
      <c r="I103">
        <v>27000</v>
      </c>
      <c r="J103">
        <v>7569</v>
      </c>
      <c r="K103">
        <v>1131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452">
        <v>46032</v>
      </c>
      <c r="Z103" t="s">
        <v>894</v>
      </c>
      <c r="AA103" s="452">
        <v>46001</v>
      </c>
      <c r="AB103" t="s">
        <v>458</v>
      </c>
      <c r="AC103" t="s">
        <v>458</v>
      </c>
    </row>
    <row r="104" spans="1:29" x14ac:dyDescent="0.3">
      <c r="A104" t="s">
        <v>557</v>
      </c>
      <c r="B104">
        <v>945</v>
      </c>
      <c r="C104">
        <v>1773</v>
      </c>
      <c r="D104" s="452">
        <v>46000</v>
      </c>
      <c r="E104" t="s">
        <v>4017</v>
      </c>
      <c r="F104" t="s">
        <v>3958</v>
      </c>
      <c r="G104" t="s">
        <v>3959</v>
      </c>
      <c r="H104">
        <v>8433.15</v>
      </c>
      <c r="I104">
        <v>8433.15</v>
      </c>
      <c r="J104">
        <v>6814.84</v>
      </c>
      <c r="K104">
        <v>1018.31</v>
      </c>
      <c r="L104">
        <v>600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228.15</v>
      </c>
      <c r="Y104" s="452">
        <v>45990</v>
      </c>
      <c r="Z104" t="s">
        <v>894</v>
      </c>
      <c r="AA104" s="452">
        <v>45992</v>
      </c>
      <c r="AB104" t="s">
        <v>458</v>
      </c>
      <c r="AC104" t="s">
        <v>458</v>
      </c>
    </row>
    <row r="105" spans="1:29" x14ac:dyDescent="0.3">
      <c r="A105" t="s">
        <v>557</v>
      </c>
      <c r="B105">
        <v>1036</v>
      </c>
      <c r="C105">
        <v>2164</v>
      </c>
      <c r="D105" s="452">
        <v>45998</v>
      </c>
      <c r="E105" t="s">
        <v>4018</v>
      </c>
      <c r="F105" t="s">
        <v>3958</v>
      </c>
      <c r="G105" t="s">
        <v>3934</v>
      </c>
      <c r="H105">
        <v>500</v>
      </c>
      <c r="I105">
        <v>1000</v>
      </c>
      <c r="J105">
        <v>0</v>
      </c>
      <c r="K105">
        <v>0</v>
      </c>
      <c r="L105">
        <v>500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452">
        <v>45994</v>
      </c>
      <c r="Z105" t="s">
        <v>894</v>
      </c>
      <c r="AA105" s="452">
        <v>45994</v>
      </c>
      <c r="AB105" t="s">
        <v>458</v>
      </c>
      <c r="AC105" t="s">
        <v>458</v>
      </c>
    </row>
    <row r="106" spans="1:29" x14ac:dyDescent="0.3">
      <c r="A106" t="s">
        <v>557</v>
      </c>
      <c r="B106">
        <v>1037</v>
      </c>
      <c r="C106">
        <v>2164</v>
      </c>
      <c r="D106" s="452">
        <v>45998</v>
      </c>
      <c r="E106" t="s">
        <v>4018</v>
      </c>
      <c r="F106" t="s">
        <v>3958</v>
      </c>
      <c r="G106" t="s">
        <v>3934</v>
      </c>
      <c r="H106">
        <v>500</v>
      </c>
      <c r="I106">
        <v>1000</v>
      </c>
      <c r="J106">
        <v>0</v>
      </c>
      <c r="K106">
        <v>0</v>
      </c>
      <c r="L106">
        <v>500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452">
        <v>45996</v>
      </c>
      <c r="Z106" t="s">
        <v>894</v>
      </c>
      <c r="AA106" s="452">
        <v>45999</v>
      </c>
      <c r="AB106" t="s">
        <v>458</v>
      </c>
      <c r="AC106" t="s">
        <v>458</v>
      </c>
    </row>
    <row r="107" spans="1:29" x14ac:dyDescent="0.3">
      <c r="A107" t="s">
        <v>557</v>
      </c>
      <c r="B107">
        <v>907</v>
      </c>
      <c r="C107">
        <v>1904</v>
      </c>
      <c r="D107" s="452">
        <v>45997</v>
      </c>
      <c r="E107" t="s">
        <v>4019</v>
      </c>
      <c r="F107" t="s">
        <v>3958</v>
      </c>
      <c r="G107" t="s">
        <v>3934</v>
      </c>
      <c r="H107">
        <v>900</v>
      </c>
      <c r="I107">
        <v>1800</v>
      </c>
      <c r="J107">
        <v>0</v>
      </c>
      <c r="K107">
        <v>0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452">
        <v>45980</v>
      </c>
      <c r="Z107" t="s">
        <v>894</v>
      </c>
      <c r="AA107" s="452">
        <v>45982</v>
      </c>
      <c r="AB107" t="s">
        <v>458</v>
      </c>
      <c r="AC107" t="s">
        <v>753</v>
      </c>
    </row>
    <row r="108" spans="1:29" x14ac:dyDescent="0.3">
      <c r="A108" t="s">
        <v>557</v>
      </c>
      <c r="B108">
        <v>908</v>
      </c>
      <c r="C108">
        <v>1904</v>
      </c>
      <c r="D108" s="452">
        <v>45997</v>
      </c>
      <c r="E108" t="s">
        <v>4019</v>
      </c>
      <c r="F108" t="s">
        <v>3958</v>
      </c>
      <c r="G108" t="s">
        <v>3934</v>
      </c>
      <c r="H108">
        <v>900</v>
      </c>
      <c r="I108">
        <v>1800</v>
      </c>
      <c r="J108">
        <v>0</v>
      </c>
      <c r="K108">
        <v>0</v>
      </c>
      <c r="L108">
        <v>900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452">
        <v>45996</v>
      </c>
      <c r="Z108" t="s">
        <v>894</v>
      </c>
      <c r="AA108" s="452">
        <v>45996</v>
      </c>
      <c r="AB108" t="s">
        <v>458</v>
      </c>
      <c r="AC108" t="s">
        <v>458</v>
      </c>
    </row>
    <row r="109" spans="1:29" x14ac:dyDescent="0.3">
      <c r="A109" t="s">
        <v>557</v>
      </c>
      <c r="B109">
        <v>1098</v>
      </c>
      <c r="C109">
        <v>2229</v>
      </c>
      <c r="D109" s="452">
        <v>45997</v>
      </c>
      <c r="E109" t="s">
        <v>4020</v>
      </c>
      <c r="F109" t="s">
        <v>3958</v>
      </c>
      <c r="G109" t="s">
        <v>3934</v>
      </c>
      <c r="H109">
        <v>360</v>
      </c>
      <c r="I109">
        <v>360</v>
      </c>
      <c r="J109">
        <v>0</v>
      </c>
      <c r="K109">
        <v>0</v>
      </c>
      <c r="L109">
        <v>360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452">
        <v>45997</v>
      </c>
      <c r="Z109" t="s">
        <v>894</v>
      </c>
      <c r="AA109" s="452">
        <v>45997</v>
      </c>
      <c r="AB109" t="s">
        <v>458</v>
      </c>
      <c r="AC109" t="s">
        <v>458</v>
      </c>
    </row>
    <row r="110" spans="1:29" x14ac:dyDescent="0.3">
      <c r="A110" t="s">
        <v>557</v>
      </c>
      <c r="B110">
        <v>707</v>
      </c>
      <c r="C110">
        <v>521</v>
      </c>
      <c r="D110" s="452">
        <v>45996</v>
      </c>
      <c r="E110" t="s">
        <v>3998</v>
      </c>
      <c r="F110" t="s">
        <v>3958</v>
      </c>
      <c r="G110" t="s">
        <v>3959</v>
      </c>
      <c r="H110">
        <v>16572.38</v>
      </c>
      <c r="I110">
        <v>36964.050000000003</v>
      </c>
      <c r="J110">
        <v>13435.03</v>
      </c>
      <c r="K110">
        <v>2007.54</v>
      </c>
      <c r="L110">
        <v>1129.81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452">
        <v>45965</v>
      </c>
      <c r="Z110" t="s">
        <v>894</v>
      </c>
      <c r="AA110" s="452">
        <v>45965</v>
      </c>
      <c r="AB110" t="s">
        <v>458</v>
      </c>
      <c r="AC110" t="s">
        <v>753</v>
      </c>
    </row>
    <row r="111" spans="1:29" x14ac:dyDescent="0.3">
      <c r="A111" t="s">
        <v>557</v>
      </c>
      <c r="B111">
        <v>708</v>
      </c>
      <c r="C111">
        <v>521</v>
      </c>
      <c r="D111" s="452">
        <v>45996</v>
      </c>
      <c r="E111" t="s">
        <v>3998</v>
      </c>
      <c r="F111" t="s">
        <v>3958</v>
      </c>
      <c r="G111" t="s">
        <v>3959</v>
      </c>
      <c r="H111">
        <v>20391.669999999998</v>
      </c>
      <c r="I111">
        <v>36964.050000000003</v>
      </c>
      <c r="J111">
        <v>16531.28</v>
      </c>
      <c r="K111">
        <v>2470.1999999999998</v>
      </c>
      <c r="L111">
        <v>1390.19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452">
        <v>45993</v>
      </c>
      <c r="Z111" t="s">
        <v>894</v>
      </c>
      <c r="AA111" s="452">
        <v>45993</v>
      </c>
      <c r="AB111" t="s">
        <v>458</v>
      </c>
      <c r="AC111" t="s">
        <v>458</v>
      </c>
    </row>
    <row r="112" spans="1:29" x14ac:dyDescent="0.3">
      <c r="A112" t="s">
        <v>557</v>
      </c>
      <c r="B112">
        <v>1079</v>
      </c>
      <c r="C112">
        <v>2144</v>
      </c>
      <c r="D112" s="452">
        <v>45996</v>
      </c>
      <c r="E112" t="s">
        <v>4021</v>
      </c>
      <c r="F112" t="s">
        <v>3958</v>
      </c>
      <c r="G112" t="s">
        <v>3959</v>
      </c>
      <c r="H112">
        <v>38229.4</v>
      </c>
      <c r="I112">
        <v>38229.4</v>
      </c>
      <c r="J112">
        <v>33259.57</v>
      </c>
      <c r="K112">
        <v>4969.83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452">
        <v>46022</v>
      </c>
      <c r="Z112" t="s">
        <v>894</v>
      </c>
      <c r="AA112" s="452">
        <v>46020</v>
      </c>
      <c r="AB112" t="s">
        <v>458</v>
      </c>
      <c r="AC112" t="s">
        <v>458</v>
      </c>
    </row>
    <row r="113" spans="1:29" x14ac:dyDescent="0.3">
      <c r="A113" t="s">
        <v>557</v>
      </c>
      <c r="B113">
        <v>649</v>
      </c>
      <c r="C113">
        <v>1417</v>
      </c>
      <c r="D113" s="452">
        <v>45995</v>
      </c>
      <c r="E113" t="s">
        <v>4022</v>
      </c>
      <c r="F113" t="s">
        <v>3958</v>
      </c>
      <c r="G113" t="s">
        <v>3959</v>
      </c>
      <c r="H113">
        <v>3452</v>
      </c>
      <c r="I113">
        <v>6904</v>
      </c>
      <c r="J113">
        <v>2568.2399999999998</v>
      </c>
      <c r="K113">
        <v>383.76</v>
      </c>
      <c r="L113">
        <v>500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452">
        <v>45947</v>
      </c>
      <c r="Z113" t="s">
        <v>894</v>
      </c>
      <c r="AA113" s="452">
        <v>45947</v>
      </c>
      <c r="AB113" t="s">
        <v>458</v>
      </c>
      <c r="AC113" t="s">
        <v>751</v>
      </c>
    </row>
    <row r="114" spans="1:29" x14ac:dyDescent="0.3">
      <c r="A114" t="s">
        <v>557</v>
      </c>
      <c r="B114">
        <v>650</v>
      </c>
      <c r="C114">
        <v>1417</v>
      </c>
      <c r="D114" s="452">
        <v>45995</v>
      </c>
      <c r="E114" t="s">
        <v>4022</v>
      </c>
      <c r="F114" t="s">
        <v>3958</v>
      </c>
      <c r="G114" t="s">
        <v>3959</v>
      </c>
      <c r="H114">
        <v>3452</v>
      </c>
      <c r="I114">
        <v>6904</v>
      </c>
      <c r="J114">
        <v>2568.2399999999998</v>
      </c>
      <c r="K114">
        <v>383.76</v>
      </c>
      <c r="L114">
        <v>500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452">
        <v>45992</v>
      </c>
      <c r="Z114" t="s">
        <v>894</v>
      </c>
      <c r="AA114" s="452">
        <v>45992</v>
      </c>
      <c r="AB114" t="s">
        <v>458</v>
      </c>
      <c r="AC114" t="s">
        <v>458</v>
      </c>
    </row>
    <row r="115" spans="1:29" x14ac:dyDescent="0.3">
      <c r="A115" t="s">
        <v>557</v>
      </c>
      <c r="B115">
        <v>726</v>
      </c>
      <c r="C115">
        <v>1440</v>
      </c>
      <c r="D115" s="452">
        <v>45994</v>
      </c>
      <c r="E115" t="s">
        <v>4023</v>
      </c>
      <c r="F115" t="s">
        <v>3958</v>
      </c>
      <c r="G115" t="s">
        <v>3959</v>
      </c>
      <c r="H115">
        <v>5810</v>
      </c>
      <c r="I115">
        <v>11620</v>
      </c>
      <c r="J115">
        <v>4619.7</v>
      </c>
      <c r="K115">
        <v>690.3</v>
      </c>
      <c r="L115">
        <v>500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452">
        <v>45966</v>
      </c>
      <c r="Z115" t="s">
        <v>894</v>
      </c>
      <c r="AA115" s="452">
        <v>45966</v>
      </c>
      <c r="AB115" t="s">
        <v>458</v>
      </c>
      <c r="AC115" t="s">
        <v>753</v>
      </c>
    </row>
    <row r="116" spans="1:29" x14ac:dyDescent="0.3">
      <c r="A116" t="s">
        <v>557</v>
      </c>
      <c r="B116">
        <v>727</v>
      </c>
      <c r="C116">
        <v>1440</v>
      </c>
      <c r="D116" s="452">
        <v>45994</v>
      </c>
      <c r="E116" t="s">
        <v>4023</v>
      </c>
      <c r="F116" t="s">
        <v>3958</v>
      </c>
      <c r="G116" t="s">
        <v>3959</v>
      </c>
      <c r="H116">
        <v>5810</v>
      </c>
      <c r="I116">
        <v>11620</v>
      </c>
      <c r="J116">
        <v>4619.7</v>
      </c>
      <c r="K116">
        <v>690.3</v>
      </c>
      <c r="L116">
        <v>500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452">
        <v>45992</v>
      </c>
      <c r="Z116" t="s">
        <v>894</v>
      </c>
      <c r="AA116" s="452">
        <v>45994</v>
      </c>
      <c r="AB116" t="s">
        <v>458</v>
      </c>
      <c r="AC116" t="s">
        <v>458</v>
      </c>
    </row>
    <row r="117" spans="1:29" x14ac:dyDescent="0.3">
      <c r="A117" t="s">
        <v>557</v>
      </c>
      <c r="B117">
        <v>1026</v>
      </c>
      <c r="C117">
        <v>2123</v>
      </c>
      <c r="D117" s="452">
        <v>45994</v>
      </c>
      <c r="E117" t="s">
        <v>4024</v>
      </c>
      <c r="F117" t="s">
        <v>3958</v>
      </c>
      <c r="G117" t="s">
        <v>3934</v>
      </c>
      <c r="H117">
        <v>200</v>
      </c>
      <c r="I117">
        <v>200</v>
      </c>
      <c r="J117">
        <v>0</v>
      </c>
      <c r="K117">
        <v>0</v>
      </c>
      <c r="L117">
        <v>200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452">
        <v>45994</v>
      </c>
      <c r="Z117" t="s">
        <v>894</v>
      </c>
      <c r="AA117" s="452">
        <v>45994</v>
      </c>
      <c r="AB117" t="s">
        <v>458</v>
      </c>
      <c r="AC117" t="s">
        <v>458</v>
      </c>
    </row>
    <row r="118" spans="1:29" x14ac:dyDescent="0.3">
      <c r="A118" t="s">
        <v>557</v>
      </c>
      <c r="B118">
        <v>844</v>
      </c>
      <c r="C118">
        <v>1662</v>
      </c>
      <c r="D118" s="452">
        <v>45991</v>
      </c>
      <c r="E118" t="s">
        <v>4025</v>
      </c>
      <c r="F118" t="s">
        <v>3958</v>
      </c>
      <c r="G118" t="s">
        <v>3934</v>
      </c>
      <c r="H118">
        <v>600</v>
      </c>
      <c r="I118">
        <v>1200</v>
      </c>
      <c r="J118">
        <v>0</v>
      </c>
      <c r="K118">
        <v>0</v>
      </c>
      <c r="L118">
        <v>600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452">
        <v>45973</v>
      </c>
      <c r="Z118" t="s">
        <v>894</v>
      </c>
      <c r="AA118" s="452">
        <v>45973</v>
      </c>
      <c r="AB118" t="s">
        <v>753</v>
      </c>
      <c r="AC118" t="s">
        <v>753</v>
      </c>
    </row>
    <row r="119" spans="1:29" x14ac:dyDescent="0.3">
      <c r="A119" t="s">
        <v>557</v>
      </c>
      <c r="B119">
        <v>845</v>
      </c>
      <c r="C119">
        <v>1662</v>
      </c>
      <c r="D119" s="452">
        <v>45991</v>
      </c>
      <c r="E119" t="s">
        <v>4025</v>
      </c>
      <c r="F119" t="s">
        <v>3958</v>
      </c>
      <c r="G119" t="s">
        <v>3934</v>
      </c>
      <c r="H119">
        <v>600</v>
      </c>
      <c r="I119">
        <v>1200</v>
      </c>
      <c r="J119">
        <v>0</v>
      </c>
      <c r="K119">
        <v>0</v>
      </c>
      <c r="L119">
        <v>600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452">
        <v>45987</v>
      </c>
      <c r="Z119" t="s">
        <v>894</v>
      </c>
      <c r="AA119" s="452">
        <v>45988</v>
      </c>
      <c r="AB119" t="s">
        <v>753</v>
      </c>
      <c r="AC119" t="s">
        <v>753</v>
      </c>
    </row>
    <row r="120" spans="1:29" x14ac:dyDescent="0.3">
      <c r="A120" t="s">
        <v>557</v>
      </c>
      <c r="B120">
        <v>903</v>
      </c>
      <c r="C120">
        <v>1714</v>
      </c>
      <c r="D120" s="452">
        <v>45991</v>
      </c>
      <c r="E120" t="s">
        <v>4026</v>
      </c>
      <c r="F120" t="s">
        <v>3958</v>
      </c>
      <c r="G120" t="s">
        <v>3934</v>
      </c>
      <c r="H120">
        <v>500</v>
      </c>
      <c r="I120">
        <v>1420</v>
      </c>
      <c r="J120">
        <v>0</v>
      </c>
      <c r="K120">
        <v>0</v>
      </c>
      <c r="L120">
        <v>0</v>
      </c>
      <c r="M120">
        <v>500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452">
        <v>45980</v>
      </c>
      <c r="Z120" t="s">
        <v>894</v>
      </c>
      <c r="AA120" s="452">
        <v>45980</v>
      </c>
      <c r="AB120" t="s">
        <v>753</v>
      </c>
      <c r="AC120" t="s">
        <v>753</v>
      </c>
    </row>
    <row r="121" spans="1:29" x14ac:dyDescent="0.3">
      <c r="A121" t="s">
        <v>557</v>
      </c>
      <c r="B121">
        <v>904</v>
      </c>
      <c r="C121">
        <v>1714</v>
      </c>
      <c r="D121" s="452">
        <v>45991</v>
      </c>
      <c r="E121" t="s">
        <v>4026</v>
      </c>
      <c r="F121" t="s">
        <v>3958</v>
      </c>
      <c r="G121" t="s">
        <v>3934</v>
      </c>
      <c r="H121">
        <v>920</v>
      </c>
      <c r="I121">
        <v>1420</v>
      </c>
      <c r="J121">
        <v>0</v>
      </c>
      <c r="K121">
        <v>0</v>
      </c>
      <c r="L121">
        <v>0</v>
      </c>
      <c r="M121">
        <v>920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452">
        <v>45987</v>
      </c>
      <c r="Z121" t="s">
        <v>894</v>
      </c>
      <c r="AA121" s="452">
        <v>45987</v>
      </c>
      <c r="AB121" t="s">
        <v>753</v>
      </c>
      <c r="AC121" t="s">
        <v>753</v>
      </c>
    </row>
    <row r="122" spans="1:29" x14ac:dyDescent="0.3">
      <c r="A122" t="s">
        <v>557</v>
      </c>
      <c r="B122">
        <v>962</v>
      </c>
      <c r="C122">
        <v>1828</v>
      </c>
      <c r="D122" s="452">
        <v>45989</v>
      </c>
      <c r="E122" t="s">
        <v>4027</v>
      </c>
      <c r="F122" t="s">
        <v>3958</v>
      </c>
      <c r="G122" t="s">
        <v>3959</v>
      </c>
      <c r="H122">
        <v>15210</v>
      </c>
      <c r="I122">
        <v>15210</v>
      </c>
      <c r="J122">
        <v>11666.7</v>
      </c>
      <c r="K122">
        <v>1743.3</v>
      </c>
      <c r="L122">
        <v>1800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452">
        <v>45988</v>
      </c>
      <c r="Z122" t="s">
        <v>894</v>
      </c>
      <c r="AA122" s="452">
        <v>45988</v>
      </c>
      <c r="AB122" t="s">
        <v>753</v>
      </c>
      <c r="AC122" t="s">
        <v>753</v>
      </c>
    </row>
    <row r="123" spans="1:29" x14ac:dyDescent="0.3">
      <c r="A123" t="s">
        <v>557</v>
      </c>
      <c r="B123">
        <v>1082</v>
      </c>
      <c r="C123">
        <v>2213</v>
      </c>
      <c r="D123" s="452">
        <v>45989</v>
      </c>
      <c r="E123" t="s">
        <v>4028</v>
      </c>
      <c r="F123" t="s">
        <v>3958</v>
      </c>
      <c r="G123" t="s">
        <v>3959</v>
      </c>
      <c r="H123">
        <v>3240</v>
      </c>
      <c r="I123">
        <v>3240</v>
      </c>
      <c r="J123">
        <v>2818.8</v>
      </c>
      <c r="K123">
        <v>421.2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452">
        <v>46000</v>
      </c>
      <c r="Z123" t="s">
        <v>894</v>
      </c>
      <c r="AA123" s="452">
        <v>46000</v>
      </c>
      <c r="AB123" t="s">
        <v>753</v>
      </c>
      <c r="AC123" t="s">
        <v>458</v>
      </c>
    </row>
    <row r="124" spans="1:29" x14ac:dyDescent="0.3">
      <c r="A124" t="s">
        <v>557</v>
      </c>
      <c r="B124">
        <v>761</v>
      </c>
      <c r="C124">
        <v>1509</v>
      </c>
      <c r="D124" s="452">
        <v>45980</v>
      </c>
      <c r="E124" t="s">
        <v>4029</v>
      </c>
      <c r="F124" t="s">
        <v>3958</v>
      </c>
      <c r="G124" t="s">
        <v>3959</v>
      </c>
      <c r="H124">
        <v>1750</v>
      </c>
      <c r="I124">
        <v>3500</v>
      </c>
      <c r="J124">
        <v>1087.5</v>
      </c>
      <c r="K124">
        <v>162.5</v>
      </c>
      <c r="L124">
        <v>500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452">
        <v>45966</v>
      </c>
      <c r="Z124" t="s">
        <v>894</v>
      </c>
      <c r="AA124" s="452">
        <v>45966</v>
      </c>
      <c r="AB124" t="s">
        <v>753</v>
      </c>
      <c r="AC124" t="s">
        <v>753</v>
      </c>
    </row>
    <row r="125" spans="1:29" x14ac:dyDescent="0.3">
      <c r="A125" t="s">
        <v>557</v>
      </c>
      <c r="B125">
        <v>762</v>
      </c>
      <c r="C125">
        <v>1509</v>
      </c>
      <c r="D125" s="452">
        <v>45980</v>
      </c>
      <c r="E125" t="s">
        <v>4029</v>
      </c>
      <c r="F125" t="s">
        <v>3958</v>
      </c>
      <c r="G125" t="s">
        <v>3959</v>
      </c>
      <c r="H125">
        <v>1750</v>
      </c>
      <c r="I125">
        <v>3500</v>
      </c>
      <c r="J125">
        <v>1087.5</v>
      </c>
      <c r="K125">
        <v>162.5</v>
      </c>
      <c r="L125">
        <v>500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452">
        <v>45975</v>
      </c>
      <c r="Z125" t="s">
        <v>894</v>
      </c>
      <c r="AA125" s="452">
        <v>45975</v>
      </c>
      <c r="AB125" t="s">
        <v>753</v>
      </c>
      <c r="AC125" t="s">
        <v>753</v>
      </c>
    </row>
    <row r="126" spans="1:29" x14ac:dyDescent="0.3">
      <c r="A126" t="s">
        <v>557</v>
      </c>
      <c r="B126">
        <v>658</v>
      </c>
      <c r="C126">
        <v>1226</v>
      </c>
      <c r="D126" s="452">
        <v>45975</v>
      </c>
      <c r="E126" t="s">
        <v>4030</v>
      </c>
      <c r="F126" t="s">
        <v>3958</v>
      </c>
      <c r="G126" t="s">
        <v>3959</v>
      </c>
      <c r="H126">
        <v>825</v>
      </c>
      <c r="I126">
        <v>1650</v>
      </c>
      <c r="J126">
        <v>652.5</v>
      </c>
      <c r="K126">
        <v>97.5</v>
      </c>
      <c r="L126">
        <v>0</v>
      </c>
      <c r="M126">
        <v>0</v>
      </c>
      <c r="N126">
        <v>0</v>
      </c>
      <c r="O126">
        <v>75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452">
        <v>45951</v>
      </c>
      <c r="Z126" t="s">
        <v>894</v>
      </c>
      <c r="AA126" s="452">
        <v>45951</v>
      </c>
      <c r="AB126" t="s">
        <v>753</v>
      </c>
      <c r="AC126" t="s">
        <v>751</v>
      </c>
    </row>
    <row r="127" spans="1:29" x14ac:dyDescent="0.3">
      <c r="A127" t="s">
        <v>557</v>
      </c>
      <c r="B127">
        <v>659</v>
      </c>
      <c r="C127">
        <v>1226</v>
      </c>
      <c r="D127" s="452">
        <v>45975</v>
      </c>
      <c r="E127" t="s">
        <v>4030</v>
      </c>
      <c r="F127" t="s">
        <v>3958</v>
      </c>
      <c r="G127" t="s">
        <v>3959</v>
      </c>
      <c r="H127">
        <v>825</v>
      </c>
      <c r="I127">
        <v>1650</v>
      </c>
      <c r="J127">
        <v>652.5</v>
      </c>
      <c r="K127">
        <v>97.5</v>
      </c>
      <c r="L127">
        <v>0</v>
      </c>
      <c r="M127">
        <v>0</v>
      </c>
      <c r="N127">
        <v>0</v>
      </c>
      <c r="O127">
        <v>75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452">
        <v>45972</v>
      </c>
      <c r="Z127" t="s">
        <v>894</v>
      </c>
      <c r="AA127" s="452">
        <v>45972</v>
      </c>
      <c r="AB127" t="s">
        <v>753</v>
      </c>
      <c r="AC127" t="s">
        <v>753</v>
      </c>
    </row>
    <row r="128" spans="1:29" x14ac:dyDescent="0.3">
      <c r="A128" t="s">
        <v>557</v>
      </c>
      <c r="B128">
        <v>653</v>
      </c>
      <c r="C128">
        <v>1358</v>
      </c>
      <c r="D128" s="452">
        <v>45969</v>
      </c>
      <c r="E128" t="s">
        <v>4031</v>
      </c>
      <c r="F128" t="s">
        <v>3958</v>
      </c>
      <c r="G128" t="s">
        <v>3934</v>
      </c>
      <c r="H128">
        <v>900</v>
      </c>
      <c r="I128">
        <v>4800</v>
      </c>
      <c r="J128">
        <v>489.38</v>
      </c>
      <c r="K128">
        <v>73.13</v>
      </c>
      <c r="L128">
        <v>337.5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452">
        <v>45951</v>
      </c>
      <c r="Z128" t="s">
        <v>894</v>
      </c>
      <c r="AA128" s="452">
        <v>45951</v>
      </c>
      <c r="AB128" t="s">
        <v>753</v>
      </c>
      <c r="AC128" t="s">
        <v>751</v>
      </c>
    </row>
    <row r="129" spans="1:29" x14ac:dyDescent="0.3">
      <c r="A129" t="s">
        <v>557</v>
      </c>
      <c r="B129">
        <v>654</v>
      </c>
      <c r="C129">
        <v>1358</v>
      </c>
      <c r="D129" s="452">
        <v>45969</v>
      </c>
      <c r="E129" t="s">
        <v>4031</v>
      </c>
      <c r="F129" t="s">
        <v>3958</v>
      </c>
      <c r="G129" t="s">
        <v>3934</v>
      </c>
      <c r="H129">
        <v>3900</v>
      </c>
      <c r="I129">
        <v>4800</v>
      </c>
      <c r="J129">
        <v>2120.63</v>
      </c>
      <c r="K129">
        <v>316.88</v>
      </c>
      <c r="L129">
        <v>1462.5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452">
        <v>45966</v>
      </c>
      <c r="Z129" t="s">
        <v>894</v>
      </c>
      <c r="AA129" s="452">
        <v>45966</v>
      </c>
      <c r="AB129" t="s">
        <v>753</v>
      </c>
      <c r="AC129" t="s">
        <v>753</v>
      </c>
    </row>
    <row r="130" spans="1:29" x14ac:dyDescent="0.3">
      <c r="A130" t="s">
        <v>557</v>
      </c>
      <c r="B130">
        <v>557</v>
      </c>
      <c r="C130">
        <v>1103</v>
      </c>
      <c r="D130" s="452">
        <v>45955</v>
      </c>
      <c r="E130" t="s">
        <v>3932</v>
      </c>
      <c r="F130" t="s">
        <v>3958</v>
      </c>
      <c r="G130" t="s">
        <v>3959</v>
      </c>
      <c r="H130">
        <v>5000</v>
      </c>
      <c r="I130">
        <v>5000</v>
      </c>
      <c r="J130">
        <v>3480</v>
      </c>
      <c r="K130">
        <v>520</v>
      </c>
      <c r="L130">
        <v>1000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452">
        <v>45929</v>
      </c>
      <c r="Z130" t="s">
        <v>894</v>
      </c>
      <c r="AA130" s="452">
        <v>45929</v>
      </c>
      <c r="AB130" t="s">
        <v>751</v>
      </c>
      <c r="AC130" t="s">
        <v>3999</v>
      </c>
    </row>
    <row r="131" spans="1:29" x14ac:dyDescent="0.3">
      <c r="A131" t="s">
        <v>557</v>
      </c>
      <c r="B131">
        <v>684</v>
      </c>
      <c r="C131">
        <v>1532</v>
      </c>
      <c r="D131" s="452">
        <v>45955</v>
      </c>
      <c r="E131" t="s">
        <v>4032</v>
      </c>
      <c r="F131" t="s">
        <v>3958</v>
      </c>
      <c r="G131" t="s">
        <v>3959</v>
      </c>
      <c r="H131">
        <v>900</v>
      </c>
      <c r="I131">
        <v>900</v>
      </c>
      <c r="J131">
        <v>783</v>
      </c>
      <c r="K131">
        <v>117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452">
        <v>45955</v>
      </c>
      <c r="Z131" t="s">
        <v>894</v>
      </c>
      <c r="AA131" s="452">
        <v>45955</v>
      </c>
      <c r="AB131" t="s">
        <v>751</v>
      </c>
      <c r="AC131" t="s">
        <v>751</v>
      </c>
    </row>
    <row r="132" spans="1:29" x14ac:dyDescent="0.3">
      <c r="A132" t="s">
        <v>557</v>
      </c>
      <c r="B132">
        <v>517</v>
      </c>
      <c r="C132">
        <v>1046</v>
      </c>
      <c r="D132" s="452">
        <v>45948</v>
      </c>
      <c r="E132" t="s">
        <v>4033</v>
      </c>
      <c r="F132" t="s">
        <v>3958</v>
      </c>
      <c r="G132" t="s">
        <v>3934</v>
      </c>
      <c r="H132">
        <v>3500</v>
      </c>
      <c r="I132">
        <v>3500</v>
      </c>
      <c r="J132">
        <v>1305</v>
      </c>
      <c r="K132">
        <v>195</v>
      </c>
      <c r="L132">
        <v>2000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452">
        <v>45916</v>
      </c>
      <c r="Z132" t="s">
        <v>894</v>
      </c>
      <c r="AA132" s="452">
        <v>45916</v>
      </c>
      <c r="AB132" t="s">
        <v>751</v>
      </c>
      <c r="AC132" t="s">
        <v>3999</v>
      </c>
    </row>
    <row r="133" spans="1:29" x14ac:dyDescent="0.3">
      <c r="A133" t="s">
        <v>557</v>
      </c>
      <c r="B133">
        <v>648</v>
      </c>
      <c r="C133">
        <v>1441</v>
      </c>
      <c r="D133" s="452">
        <v>45948</v>
      </c>
      <c r="E133" t="s">
        <v>4033</v>
      </c>
      <c r="F133" t="s">
        <v>3958</v>
      </c>
      <c r="G133" t="s">
        <v>3934</v>
      </c>
      <c r="H133">
        <v>1700</v>
      </c>
      <c r="I133">
        <v>1700</v>
      </c>
      <c r="J133">
        <v>1305</v>
      </c>
      <c r="K133">
        <v>195</v>
      </c>
      <c r="L133">
        <v>200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452">
        <v>45948</v>
      </c>
      <c r="Z133" t="s">
        <v>894</v>
      </c>
      <c r="AA133" s="452">
        <v>45948</v>
      </c>
      <c r="AB133" t="s">
        <v>751</v>
      </c>
      <c r="AC133" t="s">
        <v>751</v>
      </c>
    </row>
    <row r="134" spans="1:29" x14ac:dyDescent="0.3">
      <c r="A134" t="s">
        <v>557</v>
      </c>
      <c r="B134">
        <v>601</v>
      </c>
      <c r="C134">
        <v>1307</v>
      </c>
      <c r="D134" s="452">
        <v>45946</v>
      </c>
      <c r="E134" t="s">
        <v>4034</v>
      </c>
      <c r="F134" t="s">
        <v>3958</v>
      </c>
      <c r="G134" t="s">
        <v>3959</v>
      </c>
      <c r="H134">
        <v>10266</v>
      </c>
      <c r="I134">
        <v>10266</v>
      </c>
      <c r="J134">
        <v>9085</v>
      </c>
      <c r="K134">
        <v>1181.05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452">
        <v>45943</v>
      </c>
      <c r="Z134" t="s">
        <v>894</v>
      </c>
      <c r="AA134" s="452">
        <v>45943</v>
      </c>
      <c r="AB134" t="s">
        <v>751</v>
      </c>
      <c r="AC134" t="s">
        <v>751</v>
      </c>
    </row>
    <row r="135" spans="1:29" x14ac:dyDescent="0.3">
      <c r="A135" t="s">
        <v>557</v>
      </c>
      <c r="B135">
        <v>589</v>
      </c>
      <c r="C135">
        <v>1259</v>
      </c>
      <c r="D135" s="452">
        <v>45940</v>
      </c>
      <c r="E135" t="s">
        <v>4035</v>
      </c>
      <c r="F135" t="s">
        <v>3958</v>
      </c>
      <c r="G135" t="s">
        <v>3959</v>
      </c>
      <c r="H135">
        <v>15614.4</v>
      </c>
      <c r="I135">
        <v>15614.4</v>
      </c>
      <c r="J135">
        <v>10766</v>
      </c>
      <c r="K135">
        <v>1608.67</v>
      </c>
      <c r="L135">
        <v>3240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452">
        <v>45936</v>
      </c>
      <c r="Z135" t="s">
        <v>894</v>
      </c>
      <c r="AA135" s="452">
        <v>45936</v>
      </c>
      <c r="AB135" t="s">
        <v>751</v>
      </c>
      <c r="AC135" t="s">
        <v>751</v>
      </c>
    </row>
    <row r="136" spans="1:29" x14ac:dyDescent="0.3">
      <c r="A136" t="s">
        <v>557</v>
      </c>
      <c r="B136">
        <v>602</v>
      </c>
      <c r="C136">
        <v>968</v>
      </c>
      <c r="D136" s="452">
        <v>45940</v>
      </c>
      <c r="E136" t="s">
        <v>4036</v>
      </c>
      <c r="F136" t="s">
        <v>3958</v>
      </c>
      <c r="G136" t="s">
        <v>3959</v>
      </c>
      <c r="H136">
        <v>1179.6199999999999</v>
      </c>
      <c r="I136">
        <v>1179.6199999999999</v>
      </c>
      <c r="J136">
        <v>1026</v>
      </c>
      <c r="K136">
        <v>153.62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452">
        <v>45939</v>
      </c>
      <c r="Z136" t="s">
        <v>894</v>
      </c>
      <c r="AA136" s="452">
        <v>45939</v>
      </c>
      <c r="AB136" t="s">
        <v>751</v>
      </c>
      <c r="AC136" t="s">
        <v>751</v>
      </c>
    </row>
    <row r="137" spans="1:29" x14ac:dyDescent="0.3">
      <c r="A137" t="s">
        <v>557</v>
      </c>
      <c r="B137">
        <v>539</v>
      </c>
      <c r="C137">
        <v>559</v>
      </c>
      <c r="D137" s="452">
        <v>45939</v>
      </c>
      <c r="E137" t="s">
        <v>4037</v>
      </c>
      <c r="F137" t="s">
        <v>3958</v>
      </c>
      <c r="G137" t="s">
        <v>3959</v>
      </c>
      <c r="H137">
        <v>6687.5</v>
      </c>
      <c r="I137">
        <v>22725</v>
      </c>
      <c r="J137">
        <v>5818.2</v>
      </c>
      <c r="K137">
        <v>869.37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452">
        <v>45923</v>
      </c>
      <c r="Z137" t="s">
        <v>894</v>
      </c>
      <c r="AA137" s="452">
        <v>45923</v>
      </c>
      <c r="AB137" t="s">
        <v>751</v>
      </c>
      <c r="AC137" t="s">
        <v>3999</v>
      </c>
    </row>
    <row r="138" spans="1:29" x14ac:dyDescent="0.3">
      <c r="A138" t="s">
        <v>557</v>
      </c>
      <c r="B138">
        <v>540</v>
      </c>
      <c r="C138">
        <v>559</v>
      </c>
      <c r="D138" s="452">
        <v>45939</v>
      </c>
      <c r="E138" t="s">
        <v>4037</v>
      </c>
      <c r="F138" t="s">
        <v>3958</v>
      </c>
      <c r="G138" t="s">
        <v>3959</v>
      </c>
      <c r="H138">
        <v>16037.5</v>
      </c>
      <c r="I138">
        <v>22725</v>
      </c>
      <c r="J138">
        <v>13952.8</v>
      </c>
      <c r="K138">
        <v>2084.87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s="452">
        <v>45937</v>
      </c>
      <c r="Z138" t="s">
        <v>894</v>
      </c>
      <c r="AA138" s="452">
        <v>45936</v>
      </c>
      <c r="AB138" t="s">
        <v>751</v>
      </c>
      <c r="AC138" t="s">
        <v>751</v>
      </c>
    </row>
    <row r="139" spans="1:29" x14ac:dyDescent="0.3">
      <c r="A139" t="s">
        <v>557</v>
      </c>
      <c r="B139">
        <v>407</v>
      </c>
      <c r="C139">
        <v>886</v>
      </c>
      <c r="D139" s="452">
        <v>45935</v>
      </c>
      <c r="E139" t="s">
        <v>3932</v>
      </c>
      <c r="F139" t="s">
        <v>3958</v>
      </c>
      <c r="G139" t="s">
        <v>3934</v>
      </c>
      <c r="H139">
        <v>1250</v>
      </c>
      <c r="I139">
        <v>2500</v>
      </c>
      <c r="J139">
        <v>652.5</v>
      </c>
      <c r="K139">
        <v>97.5</v>
      </c>
      <c r="L139">
        <v>500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s="452">
        <v>45890</v>
      </c>
      <c r="Z139" t="s">
        <v>894</v>
      </c>
      <c r="AA139" s="452">
        <v>45890</v>
      </c>
      <c r="AB139" t="s">
        <v>751</v>
      </c>
      <c r="AC139" t="s">
        <v>4038</v>
      </c>
    </row>
    <row r="140" spans="1:29" x14ac:dyDescent="0.3">
      <c r="A140" t="s">
        <v>557</v>
      </c>
      <c r="B140">
        <v>408</v>
      </c>
      <c r="C140">
        <v>886</v>
      </c>
      <c r="D140" s="452">
        <v>45935</v>
      </c>
      <c r="E140" t="s">
        <v>3932</v>
      </c>
      <c r="F140" t="s">
        <v>3958</v>
      </c>
      <c r="G140" t="s">
        <v>3934</v>
      </c>
      <c r="H140">
        <v>1250</v>
      </c>
      <c r="I140">
        <v>2500</v>
      </c>
      <c r="J140">
        <v>652.5</v>
      </c>
      <c r="K140">
        <v>97.5</v>
      </c>
      <c r="L140">
        <v>500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s="452">
        <v>45932</v>
      </c>
      <c r="Z140" t="s">
        <v>894</v>
      </c>
      <c r="AA140" s="452">
        <v>45933</v>
      </c>
      <c r="AB140" t="s">
        <v>751</v>
      </c>
      <c r="AC140" t="s">
        <v>751</v>
      </c>
    </row>
    <row r="141" spans="1:29" x14ac:dyDescent="0.3">
      <c r="A141" t="s">
        <v>557</v>
      </c>
      <c r="B141">
        <v>535</v>
      </c>
      <c r="C141">
        <v>976</v>
      </c>
      <c r="D141" s="452">
        <v>45927</v>
      </c>
      <c r="E141" t="s">
        <v>4039</v>
      </c>
      <c r="F141" t="s">
        <v>3958</v>
      </c>
      <c r="G141" t="s">
        <v>3934</v>
      </c>
      <c r="H141">
        <v>1800</v>
      </c>
      <c r="I141">
        <v>1800</v>
      </c>
      <c r="J141">
        <v>0</v>
      </c>
      <c r="K141">
        <v>0</v>
      </c>
      <c r="L141">
        <v>1800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452">
        <v>45922</v>
      </c>
      <c r="Z141" t="s">
        <v>894</v>
      </c>
      <c r="AA141" s="452">
        <v>45922</v>
      </c>
      <c r="AB141" t="s">
        <v>3999</v>
      </c>
      <c r="AC141" t="s">
        <v>3999</v>
      </c>
    </row>
    <row r="142" spans="1:29" x14ac:dyDescent="0.3">
      <c r="A142" t="s">
        <v>557</v>
      </c>
      <c r="B142">
        <v>384</v>
      </c>
      <c r="C142">
        <v>846</v>
      </c>
      <c r="D142" s="452">
        <v>45920</v>
      </c>
      <c r="E142" t="s">
        <v>3932</v>
      </c>
      <c r="F142" t="s">
        <v>3958</v>
      </c>
      <c r="G142" t="s">
        <v>3934</v>
      </c>
      <c r="H142">
        <v>750</v>
      </c>
      <c r="I142">
        <v>1500</v>
      </c>
      <c r="J142">
        <v>0</v>
      </c>
      <c r="K142">
        <v>0</v>
      </c>
      <c r="L142">
        <v>750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452">
        <v>45880</v>
      </c>
      <c r="Z142" t="s">
        <v>894</v>
      </c>
      <c r="AA142" s="452">
        <v>45880</v>
      </c>
      <c r="AB142" t="s">
        <v>3999</v>
      </c>
      <c r="AC142" t="s">
        <v>4038</v>
      </c>
    </row>
    <row r="143" spans="1:29" x14ac:dyDescent="0.3">
      <c r="A143" t="s">
        <v>557</v>
      </c>
      <c r="B143">
        <v>385</v>
      </c>
      <c r="C143">
        <v>846</v>
      </c>
      <c r="D143" s="452">
        <v>45920</v>
      </c>
      <c r="E143" t="s">
        <v>3932</v>
      </c>
      <c r="F143" t="s">
        <v>3958</v>
      </c>
      <c r="G143" t="s">
        <v>3934</v>
      </c>
      <c r="H143">
        <v>750</v>
      </c>
      <c r="I143">
        <v>1500</v>
      </c>
      <c r="J143">
        <v>0</v>
      </c>
      <c r="K143">
        <v>0</v>
      </c>
      <c r="L143">
        <v>750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452">
        <v>45917</v>
      </c>
      <c r="Z143" t="s">
        <v>894</v>
      </c>
      <c r="AA143" s="452">
        <v>45919</v>
      </c>
      <c r="AB143" t="s">
        <v>3999</v>
      </c>
      <c r="AC143" t="s">
        <v>3999</v>
      </c>
    </row>
    <row r="144" spans="1:29" x14ac:dyDescent="0.3">
      <c r="A144" t="s">
        <v>557</v>
      </c>
      <c r="B144">
        <v>405</v>
      </c>
      <c r="C144">
        <v>884</v>
      </c>
      <c r="D144" s="452">
        <v>45920</v>
      </c>
      <c r="E144" t="s">
        <v>3932</v>
      </c>
      <c r="F144" t="s">
        <v>3958</v>
      </c>
      <c r="G144" t="s">
        <v>3934</v>
      </c>
      <c r="H144">
        <v>750</v>
      </c>
      <c r="I144">
        <v>1500</v>
      </c>
      <c r="J144">
        <v>217.5</v>
      </c>
      <c r="K144">
        <v>32.5</v>
      </c>
      <c r="L144">
        <v>500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452">
        <v>45888</v>
      </c>
      <c r="Z144" t="s">
        <v>894</v>
      </c>
      <c r="AA144" s="452">
        <v>45888</v>
      </c>
      <c r="AB144" t="s">
        <v>3999</v>
      </c>
      <c r="AC144" t="s">
        <v>4038</v>
      </c>
    </row>
    <row r="145" spans="1:29" x14ac:dyDescent="0.3">
      <c r="A145" t="s">
        <v>557</v>
      </c>
      <c r="B145">
        <v>406</v>
      </c>
      <c r="C145">
        <v>884</v>
      </c>
      <c r="D145" s="452">
        <v>45920</v>
      </c>
      <c r="E145" t="s">
        <v>3932</v>
      </c>
      <c r="F145" t="s">
        <v>3958</v>
      </c>
      <c r="G145" t="s">
        <v>3934</v>
      </c>
      <c r="H145">
        <v>750</v>
      </c>
      <c r="I145">
        <v>1500</v>
      </c>
      <c r="J145">
        <v>217.5</v>
      </c>
      <c r="K145">
        <v>32.5</v>
      </c>
      <c r="L145">
        <v>500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452">
        <v>45916</v>
      </c>
      <c r="Z145" t="s">
        <v>894</v>
      </c>
      <c r="AA145" s="452">
        <v>45918</v>
      </c>
      <c r="AB145" t="s">
        <v>3999</v>
      </c>
      <c r="AC145" t="s">
        <v>3999</v>
      </c>
    </row>
    <row r="146" spans="1:29" x14ac:dyDescent="0.3">
      <c r="A146" t="s">
        <v>557</v>
      </c>
      <c r="B146">
        <v>319</v>
      </c>
      <c r="C146">
        <v>536</v>
      </c>
      <c r="D146" s="452">
        <v>45913</v>
      </c>
      <c r="E146" t="s">
        <v>3932</v>
      </c>
      <c r="F146" t="s">
        <v>3958</v>
      </c>
      <c r="G146" t="s">
        <v>3934</v>
      </c>
      <c r="H146">
        <v>500</v>
      </c>
      <c r="I146">
        <v>1000</v>
      </c>
      <c r="J146">
        <v>0</v>
      </c>
      <c r="K146">
        <v>0</v>
      </c>
      <c r="L146">
        <v>500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s="452">
        <v>45904</v>
      </c>
      <c r="Z146" t="s">
        <v>894</v>
      </c>
      <c r="AA146" s="452">
        <v>45904</v>
      </c>
      <c r="AB146" t="s">
        <v>3999</v>
      </c>
      <c r="AC146" t="s">
        <v>3999</v>
      </c>
    </row>
    <row r="147" spans="1:29" x14ac:dyDescent="0.3">
      <c r="A147" t="s">
        <v>557</v>
      </c>
      <c r="B147">
        <v>320</v>
      </c>
      <c r="C147">
        <v>536</v>
      </c>
      <c r="D147" s="452">
        <v>45913</v>
      </c>
      <c r="E147" t="s">
        <v>3932</v>
      </c>
      <c r="F147" t="s">
        <v>3958</v>
      </c>
      <c r="G147" t="s">
        <v>3934</v>
      </c>
      <c r="H147">
        <v>500</v>
      </c>
      <c r="I147">
        <v>1000</v>
      </c>
      <c r="J147">
        <v>0</v>
      </c>
      <c r="K147">
        <v>0</v>
      </c>
      <c r="L147">
        <v>500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452">
        <v>45911</v>
      </c>
      <c r="Z147" t="s">
        <v>894</v>
      </c>
      <c r="AA147" s="452">
        <v>45908</v>
      </c>
      <c r="AB147" t="s">
        <v>3999</v>
      </c>
      <c r="AC147" t="s">
        <v>3999</v>
      </c>
    </row>
    <row r="148" spans="1:29" x14ac:dyDescent="0.3">
      <c r="A148" t="s">
        <v>557</v>
      </c>
      <c r="B148">
        <v>423</v>
      </c>
      <c r="C148">
        <v>928</v>
      </c>
      <c r="D148" s="452">
        <v>45913</v>
      </c>
      <c r="E148" t="s">
        <v>3932</v>
      </c>
      <c r="F148" t="s">
        <v>3958</v>
      </c>
      <c r="G148" t="s">
        <v>3934</v>
      </c>
      <c r="H148">
        <v>750</v>
      </c>
      <c r="I148">
        <v>1537.5</v>
      </c>
      <c r="J148">
        <v>127.32</v>
      </c>
      <c r="K148">
        <v>19.02</v>
      </c>
      <c r="L148">
        <v>585.37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18.29</v>
      </c>
      <c r="V148">
        <v>0</v>
      </c>
      <c r="W148">
        <v>0</v>
      </c>
      <c r="X148">
        <v>18.29</v>
      </c>
      <c r="Y148" s="452">
        <v>45903</v>
      </c>
      <c r="Z148" t="s">
        <v>894</v>
      </c>
      <c r="AA148" s="452">
        <v>45903</v>
      </c>
      <c r="AB148" t="s">
        <v>3999</v>
      </c>
      <c r="AC148" t="s">
        <v>3999</v>
      </c>
    </row>
    <row r="149" spans="1:29" x14ac:dyDescent="0.3">
      <c r="A149" t="s">
        <v>557</v>
      </c>
      <c r="B149">
        <v>424</v>
      </c>
      <c r="C149">
        <v>928</v>
      </c>
      <c r="D149" s="452">
        <v>45913</v>
      </c>
      <c r="E149" t="s">
        <v>3932</v>
      </c>
      <c r="F149" t="s">
        <v>3958</v>
      </c>
      <c r="G149" t="s">
        <v>3934</v>
      </c>
      <c r="H149">
        <v>787.5</v>
      </c>
      <c r="I149">
        <v>1537.5</v>
      </c>
      <c r="J149">
        <v>133.68</v>
      </c>
      <c r="K149">
        <v>19.98</v>
      </c>
      <c r="L149">
        <v>614.63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19.21</v>
      </c>
      <c r="V149">
        <v>0</v>
      </c>
      <c r="W149">
        <v>0</v>
      </c>
      <c r="X149">
        <v>19.21</v>
      </c>
      <c r="Y149" s="452">
        <v>45911</v>
      </c>
      <c r="Z149" t="s">
        <v>894</v>
      </c>
      <c r="AA149" s="452">
        <v>45912</v>
      </c>
      <c r="AB149" t="s">
        <v>3999</v>
      </c>
      <c r="AC149" t="s">
        <v>3999</v>
      </c>
    </row>
    <row r="150" spans="1:29" x14ac:dyDescent="0.3">
      <c r="A150" t="s">
        <v>557</v>
      </c>
      <c r="B150">
        <v>462</v>
      </c>
      <c r="C150">
        <v>983</v>
      </c>
      <c r="D150" s="452">
        <v>45912</v>
      </c>
      <c r="E150" t="s">
        <v>3998</v>
      </c>
      <c r="F150" t="s">
        <v>3958</v>
      </c>
      <c r="G150" t="s">
        <v>3959</v>
      </c>
      <c r="H150">
        <v>23940</v>
      </c>
      <c r="I150">
        <v>23940</v>
      </c>
      <c r="J150">
        <v>19262</v>
      </c>
      <c r="K150">
        <v>2878.2</v>
      </c>
      <c r="L150">
        <v>1800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s="452">
        <v>45911</v>
      </c>
      <c r="Z150" t="s">
        <v>894</v>
      </c>
      <c r="AA150" s="452">
        <v>45911</v>
      </c>
      <c r="AB150" t="s">
        <v>3999</v>
      </c>
      <c r="AC150" t="s">
        <v>3999</v>
      </c>
    </row>
    <row r="151" spans="1:29" x14ac:dyDescent="0.3">
      <c r="A151" t="s">
        <v>557</v>
      </c>
      <c r="B151">
        <v>338</v>
      </c>
      <c r="C151">
        <v>667</v>
      </c>
      <c r="D151" s="452">
        <v>45906</v>
      </c>
      <c r="E151" t="s">
        <v>3932</v>
      </c>
      <c r="F151" t="s">
        <v>3958</v>
      </c>
      <c r="G151" t="s">
        <v>3934</v>
      </c>
      <c r="H151">
        <v>2139.85</v>
      </c>
      <c r="I151">
        <v>4279.7</v>
      </c>
      <c r="J151">
        <v>991.5</v>
      </c>
      <c r="K151">
        <v>148.35</v>
      </c>
      <c r="L151">
        <v>1000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452">
        <v>45840</v>
      </c>
      <c r="Z151" t="s">
        <v>894</v>
      </c>
      <c r="AA151" s="452">
        <v>45840</v>
      </c>
      <c r="AB151" t="s">
        <v>3999</v>
      </c>
      <c r="AC151" t="s">
        <v>4040</v>
      </c>
    </row>
    <row r="152" spans="1:29" x14ac:dyDescent="0.3">
      <c r="A152" t="s">
        <v>557</v>
      </c>
      <c r="B152">
        <v>339</v>
      </c>
      <c r="C152">
        <v>667</v>
      </c>
      <c r="D152" s="452">
        <v>45906</v>
      </c>
      <c r="E152" t="s">
        <v>3932</v>
      </c>
      <c r="F152" t="s">
        <v>3958</v>
      </c>
      <c r="G152" t="s">
        <v>3934</v>
      </c>
      <c r="H152">
        <v>2139.85</v>
      </c>
      <c r="I152">
        <v>4279.7</v>
      </c>
      <c r="J152">
        <v>991.5</v>
      </c>
      <c r="K152">
        <v>148.35</v>
      </c>
      <c r="L152">
        <v>1000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452">
        <v>45903</v>
      </c>
      <c r="Z152" t="s">
        <v>894</v>
      </c>
      <c r="AA152" s="452">
        <v>45904</v>
      </c>
      <c r="AB152" t="s">
        <v>3999</v>
      </c>
      <c r="AC152" t="s">
        <v>3999</v>
      </c>
    </row>
    <row r="153" spans="1:29" x14ac:dyDescent="0.3">
      <c r="A153" t="s">
        <v>557</v>
      </c>
      <c r="B153">
        <v>425</v>
      </c>
      <c r="C153">
        <v>929</v>
      </c>
      <c r="D153" s="452">
        <v>45900</v>
      </c>
      <c r="E153" t="s">
        <v>3932</v>
      </c>
      <c r="F153" t="s">
        <v>3958</v>
      </c>
      <c r="G153" t="s">
        <v>3934</v>
      </c>
      <c r="H153">
        <v>500</v>
      </c>
      <c r="I153">
        <v>1000</v>
      </c>
      <c r="J153">
        <v>0</v>
      </c>
      <c r="K153">
        <v>0</v>
      </c>
      <c r="L153">
        <v>500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s="452">
        <v>45893</v>
      </c>
      <c r="Z153" t="s">
        <v>894</v>
      </c>
      <c r="AA153" s="452">
        <v>45893</v>
      </c>
      <c r="AB153" t="s">
        <v>4038</v>
      </c>
      <c r="AC153" t="s">
        <v>4038</v>
      </c>
    </row>
    <row r="154" spans="1:29" x14ac:dyDescent="0.3">
      <c r="A154" t="s">
        <v>557</v>
      </c>
      <c r="B154">
        <v>426</v>
      </c>
      <c r="C154">
        <v>929</v>
      </c>
      <c r="D154" s="452">
        <v>45900</v>
      </c>
      <c r="E154" t="s">
        <v>3932</v>
      </c>
      <c r="F154" t="s">
        <v>3958</v>
      </c>
      <c r="G154" t="s">
        <v>3934</v>
      </c>
      <c r="H154">
        <v>500</v>
      </c>
      <c r="I154">
        <v>1000</v>
      </c>
      <c r="J154">
        <v>0</v>
      </c>
      <c r="K154">
        <v>0</v>
      </c>
      <c r="L154">
        <v>500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s="452">
        <v>45896</v>
      </c>
      <c r="Z154" t="s">
        <v>894</v>
      </c>
      <c r="AA154" s="452">
        <v>45896</v>
      </c>
      <c r="AB154" t="s">
        <v>4038</v>
      </c>
      <c r="AC154" t="s">
        <v>4038</v>
      </c>
    </row>
    <row r="155" spans="1:29" x14ac:dyDescent="0.3">
      <c r="A155" t="s">
        <v>557</v>
      </c>
      <c r="B155">
        <v>375</v>
      </c>
      <c r="C155">
        <v>813</v>
      </c>
      <c r="D155" s="452">
        <v>45899</v>
      </c>
      <c r="E155" t="s">
        <v>3932</v>
      </c>
      <c r="F155" t="s">
        <v>3958</v>
      </c>
      <c r="G155" t="s">
        <v>3934</v>
      </c>
      <c r="H155">
        <v>1000</v>
      </c>
      <c r="I155">
        <v>2000</v>
      </c>
      <c r="J155">
        <v>0</v>
      </c>
      <c r="K155">
        <v>0</v>
      </c>
      <c r="L155">
        <v>1000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s="452">
        <v>45876</v>
      </c>
      <c r="Z155" t="s">
        <v>894</v>
      </c>
      <c r="AA155" s="452">
        <v>45876</v>
      </c>
      <c r="AB155" t="s">
        <v>4038</v>
      </c>
      <c r="AC155" t="s">
        <v>4038</v>
      </c>
    </row>
    <row r="156" spans="1:29" x14ac:dyDescent="0.3">
      <c r="A156" t="s">
        <v>557</v>
      </c>
      <c r="B156">
        <v>376</v>
      </c>
      <c r="C156">
        <v>813</v>
      </c>
      <c r="D156" s="452">
        <v>45899</v>
      </c>
      <c r="E156" t="s">
        <v>3932</v>
      </c>
      <c r="F156" t="s">
        <v>3958</v>
      </c>
      <c r="G156" t="s">
        <v>3934</v>
      </c>
      <c r="H156">
        <v>1000</v>
      </c>
      <c r="I156">
        <v>2000</v>
      </c>
      <c r="J156">
        <v>0</v>
      </c>
      <c r="K156">
        <v>0</v>
      </c>
      <c r="L156">
        <v>1000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452">
        <v>45896</v>
      </c>
      <c r="Z156" t="s">
        <v>894</v>
      </c>
      <c r="AA156" s="452">
        <v>45898</v>
      </c>
      <c r="AB156" t="s">
        <v>4038</v>
      </c>
      <c r="AC156" t="s">
        <v>4038</v>
      </c>
    </row>
    <row r="157" spans="1:29" x14ac:dyDescent="0.3">
      <c r="A157" t="s">
        <v>557</v>
      </c>
      <c r="B157">
        <v>460</v>
      </c>
      <c r="C157">
        <v>778</v>
      </c>
      <c r="D157" s="452">
        <v>45893</v>
      </c>
      <c r="E157" t="s">
        <v>3932</v>
      </c>
      <c r="F157" t="s">
        <v>3958</v>
      </c>
      <c r="G157" t="s">
        <v>3934</v>
      </c>
      <c r="H157">
        <v>500</v>
      </c>
      <c r="I157">
        <v>1000</v>
      </c>
      <c r="J157">
        <v>0</v>
      </c>
      <c r="K157">
        <v>0</v>
      </c>
      <c r="L157">
        <v>500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452">
        <v>45873</v>
      </c>
      <c r="Z157" t="s">
        <v>894</v>
      </c>
      <c r="AA157" s="452">
        <v>45873</v>
      </c>
      <c r="AB157" t="s">
        <v>4038</v>
      </c>
      <c r="AC157" t="s">
        <v>4038</v>
      </c>
    </row>
    <row r="158" spans="1:29" x14ac:dyDescent="0.3">
      <c r="A158" t="s">
        <v>557</v>
      </c>
      <c r="B158">
        <v>461</v>
      </c>
      <c r="C158">
        <v>778</v>
      </c>
      <c r="D158" s="452">
        <v>45893</v>
      </c>
      <c r="E158" t="s">
        <v>3932</v>
      </c>
      <c r="F158" t="s">
        <v>3958</v>
      </c>
      <c r="G158" t="s">
        <v>3934</v>
      </c>
      <c r="H158">
        <v>500</v>
      </c>
      <c r="I158">
        <v>1000</v>
      </c>
      <c r="J158">
        <v>0</v>
      </c>
      <c r="K158">
        <v>0</v>
      </c>
      <c r="L158">
        <v>500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s="452">
        <v>45890</v>
      </c>
      <c r="Z158" t="s">
        <v>894</v>
      </c>
      <c r="AA158" s="452">
        <v>45890</v>
      </c>
      <c r="AB158" t="s">
        <v>4038</v>
      </c>
      <c r="AC158" t="s">
        <v>4038</v>
      </c>
    </row>
    <row r="159" spans="1:29" x14ac:dyDescent="0.3">
      <c r="A159" t="s">
        <v>557</v>
      </c>
      <c r="B159">
        <v>326</v>
      </c>
      <c r="C159">
        <v>583</v>
      </c>
      <c r="D159" s="452">
        <v>45892</v>
      </c>
      <c r="E159" t="s">
        <v>4041</v>
      </c>
      <c r="F159" t="s">
        <v>3958</v>
      </c>
      <c r="G159" t="s">
        <v>3934</v>
      </c>
      <c r="H159">
        <v>900</v>
      </c>
      <c r="I159">
        <v>1800</v>
      </c>
      <c r="J159">
        <v>0</v>
      </c>
      <c r="K159">
        <v>0</v>
      </c>
      <c r="L159">
        <v>900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452">
        <v>45824</v>
      </c>
      <c r="Z159" t="s">
        <v>894</v>
      </c>
      <c r="AA159" s="452">
        <v>45824</v>
      </c>
      <c r="AB159" t="s">
        <v>4038</v>
      </c>
      <c r="AC159" t="s">
        <v>3935</v>
      </c>
    </row>
    <row r="160" spans="1:29" x14ac:dyDescent="0.3">
      <c r="A160" t="s">
        <v>557</v>
      </c>
      <c r="B160">
        <v>327</v>
      </c>
      <c r="C160">
        <v>583</v>
      </c>
      <c r="D160" s="452">
        <v>45892</v>
      </c>
      <c r="E160" t="s">
        <v>4041</v>
      </c>
      <c r="F160" t="s">
        <v>3958</v>
      </c>
      <c r="G160" t="s">
        <v>3934</v>
      </c>
      <c r="H160">
        <v>900</v>
      </c>
      <c r="I160">
        <v>1800</v>
      </c>
      <c r="J160">
        <v>0</v>
      </c>
      <c r="K160">
        <v>0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s="452">
        <v>45890</v>
      </c>
      <c r="Z160" t="s">
        <v>894</v>
      </c>
      <c r="AA160" s="452">
        <v>45890</v>
      </c>
      <c r="AB160" t="s">
        <v>4038</v>
      </c>
      <c r="AC160" t="s">
        <v>4038</v>
      </c>
    </row>
    <row r="161" spans="1:29" x14ac:dyDescent="0.3">
      <c r="A161" t="s">
        <v>557</v>
      </c>
      <c r="B161">
        <v>422</v>
      </c>
      <c r="C161">
        <v>927</v>
      </c>
      <c r="D161" s="452">
        <v>45892</v>
      </c>
      <c r="E161" t="s">
        <v>4042</v>
      </c>
      <c r="F161" t="s">
        <v>3958</v>
      </c>
      <c r="G161" t="s">
        <v>3934</v>
      </c>
      <c r="H161">
        <v>200</v>
      </c>
      <c r="I161">
        <v>200</v>
      </c>
      <c r="J161">
        <v>0</v>
      </c>
      <c r="K161">
        <v>0</v>
      </c>
      <c r="L161">
        <v>200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452">
        <v>45892</v>
      </c>
      <c r="Z161" t="s">
        <v>894</v>
      </c>
      <c r="AA161" s="452">
        <v>45892</v>
      </c>
      <c r="AB161" t="s">
        <v>4038</v>
      </c>
      <c r="AC161" t="s">
        <v>4038</v>
      </c>
    </row>
    <row r="162" spans="1:29" x14ac:dyDescent="0.3">
      <c r="A162" t="s">
        <v>557</v>
      </c>
      <c r="B162">
        <v>352</v>
      </c>
      <c r="C162">
        <v>733</v>
      </c>
      <c r="D162" s="452">
        <v>45886</v>
      </c>
      <c r="E162" t="s">
        <v>3932</v>
      </c>
      <c r="F162" t="s">
        <v>3958</v>
      </c>
      <c r="G162" t="s">
        <v>3934</v>
      </c>
      <c r="H162">
        <v>500</v>
      </c>
      <c r="I162">
        <v>1500</v>
      </c>
      <c r="J162">
        <v>145</v>
      </c>
      <c r="K162">
        <v>21.67</v>
      </c>
      <c r="L162">
        <v>333.33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s="452">
        <v>45868</v>
      </c>
      <c r="Z162" t="s">
        <v>894</v>
      </c>
      <c r="AA162" s="452">
        <v>45867</v>
      </c>
      <c r="AB162" t="s">
        <v>4038</v>
      </c>
      <c r="AC162" t="s">
        <v>4040</v>
      </c>
    </row>
    <row r="163" spans="1:29" x14ac:dyDescent="0.3">
      <c r="A163" t="s">
        <v>557</v>
      </c>
      <c r="B163">
        <v>353</v>
      </c>
      <c r="C163">
        <v>733</v>
      </c>
      <c r="D163" s="452">
        <v>45886</v>
      </c>
      <c r="E163" t="s">
        <v>3932</v>
      </c>
      <c r="F163" t="s">
        <v>3958</v>
      </c>
      <c r="G163" t="s">
        <v>3934</v>
      </c>
      <c r="H163">
        <v>1000</v>
      </c>
      <c r="I163">
        <v>1500</v>
      </c>
      <c r="J163">
        <v>290</v>
      </c>
      <c r="K163">
        <v>43.33</v>
      </c>
      <c r="L163">
        <v>666.67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452">
        <v>45883</v>
      </c>
      <c r="Z163" t="s">
        <v>894</v>
      </c>
      <c r="AA163" s="452">
        <v>45883</v>
      </c>
      <c r="AB163" t="s">
        <v>4038</v>
      </c>
      <c r="AC163" t="s">
        <v>4038</v>
      </c>
    </row>
    <row r="164" spans="1:29" x14ac:dyDescent="0.3">
      <c r="A164" t="s">
        <v>557</v>
      </c>
      <c r="B164">
        <v>331</v>
      </c>
      <c r="C164">
        <v>643</v>
      </c>
      <c r="D164" s="452">
        <v>45871</v>
      </c>
      <c r="E164" t="s">
        <v>3932</v>
      </c>
      <c r="F164" t="s">
        <v>3958</v>
      </c>
      <c r="G164" t="s">
        <v>3934</v>
      </c>
      <c r="H164">
        <v>1500</v>
      </c>
      <c r="I164">
        <v>3000</v>
      </c>
      <c r="J164">
        <v>652.5</v>
      </c>
      <c r="K164">
        <v>97.5</v>
      </c>
      <c r="L164">
        <v>750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s="452">
        <v>45821</v>
      </c>
      <c r="Z164" t="s">
        <v>894</v>
      </c>
      <c r="AA164" s="452">
        <v>45821</v>
      </c>
      <c r="AB164" t="s">
        <v>4038</v>
      </c>
      <c r="AC164" t="s">
        <v>3935</v>
      </c>
    </row>
    <row r="165" spans="1:29" x14ac:dyDescent="0.3">
      <c r="A165" t="s">
        <v>557</v>
      </c>
      <c r="B165">
        <v>332</v>
      </c>
      <c r="C165">
        <v>643</v>
      </c>
      <c r="D165" s="452">
        <v>45871</v>
      </c>
      <c r="E165" t="s">
        <v>3932</v>
      </c>
      <c r="F165" t="s">
        <v>3958</v>
      </c>
      <c r="G165" t="s">
        <v>3934</v>
      </c>
      <c r="H165">
        <v>1500</v>
      </c>
      <c r="I165">
        <v>3000</v>
      </c>
      <c r="J165">
        <v>652.5</v>
      </c>
      <c r="K165">
        <v>97.5</v>
      </c>
      <c r="L165">
        <v>750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s="452">
        <v>45868</v>
      </c>
      <c r="Z165" t="s">
        <v>894</v>
      </c>
      <c r="AA165" s="452">
        <v>45863</v>
      </c>
      <c r="AB165" t="s">
        <v>4038</v>
      </c>
      <c r="AC165" t="s">
        <v>4040</v>
      </c>
    </row>
    <row r="166" spans="1:29" x14ac:dyDescent="0.3">
      <c r="A166" t="s">
        <v>557</v>
      </c>
      <c r="B166">
        <v>362</v>
      </c>
      <c r="C166">
        <v>758</v>
      </c>
      <c r="D166" s="452">
        <v>45870</v>
      </c>
      <c r="E166" t="s">
        <v>3932</v>
      </c>
      <c r="F166" t="s">
        <v>3958</v>
      </c>
      <c r="G166" t="s">
        <v>3934</v>
      </c>
      <c r="H166">
        <v>630</v>
      </c>
      <c r="I166">
        <v>630</v>
      </c>
      <c r="J166">
        <v>0</v>
      </c>
      <c r="K166">
        <v>0</v>
      </c>
      <c r="L166">
        <v>600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30</v>
      </c>
      <c r="X166">
        <v>0</v>
      </c>
      <c r="Y166" s="452">
        <v>45866</v>
      </c>
      <c r="Z166" t="s">
        <v>894</v>
      </c>
      <c r="AA166" s="452">
        <v>45867</v>
      </c>
      <c r="AB166" t="s">
        <v>4038</v>
      </c>
      <c r="AC166" t="s">
        <v>4040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5"/>
  <sheetViews>
    <sheetView workbookViewId="0"/>
  </sheetViews>
  <sheetFormatPr defaultRowHeight="14.4" x14ac:dyDescent="0.3"/>
  <sheetData>
    <row r="1" spans="1:13" x14ac:dyDescent="0.3">
      <c r="A1" t="s">
        <v>4043</v>
      </c>
      <c r="B1" t="s">
        <v>4044</v>
      </c>
      <c r="C1" t="s">
        <v>4045</v>
      </c>
      <c r="D1" t="s">
        <v>4046</v>
      </c>
      <c r="E1" t="s">
        <v>4047</v>
      </c>
      <c r="F1" t="s">
        <v>4048</v>
      </c>
      <c r="G1" t="s">
        <v>4049</v>
      </c>
      <c r="H1" t="s">
        <v>4050</v>
      </c>
      <c r="I1" t="s">
        <v>4051</v>
      </c>
      <c r="J1" t="s">
        <v>4052</v>
      </c>
      <c r="K1" t="s">
        <v>556</v>
      </c>
      <c r="L1" t="s">
        <v>4053</v>
      </c>
      <c r="M1" t="s">
        <v>4054</v>
      </c>
    </row>
    <row r="2" spans="1:13" x14ac:dyDescent="0.3">
      <c r="A2">
        <v>105</v>
      </c>
      <c r="B2" t="s">
        <v>4055</v>
      </c>
      <c r="C2">
        <v>666</v>
      </c>
      <c r="D2" t="s">
        <v>1110</v>
      </c>
      <c r="E2" t="s">
        <v>4056</v>
      </c>
      <c r="F2">
        <v>2003</v>
      </c>
      <c r="G2" t="s">
        <v>572</v>
      </c>
      <c r="H2" t="s">
        <v>4057</v>
      </c>
      <c r="I2">
        <v>0</v>
      </c>
      <c r="J2">
        <v>950</v>
      </c>
      <c r="K2" t="s">
        <v>459</v>
      </c>
      <c r="L2" s="452">
        <v>46058.813888888893</v>
      </c>
    </row>
    <row r="3" spans="1:13" x14ac:dyDescent="0.3">
      <c r="A3">
        <v>105</v>
      </c>
      <c r="B3" t="s">
        <v>4055</v>
      </c>
      <c r="C3">
        <v>668</v>
      </c>
      <c r="D3" t="s">
        <v>1781</v>
      </c>
      <c r="E3" t="s">
        <v>4058</v>
      </c>
      <c r="F3">
        <v>2003</v>
      </c>
      <c r="G3" t="s">
        <v>572</v>
      </c>
      <c r="H3" t="s">
        <v>4057</v>
      </c>
      <c r="I3">
        <v>0</v>
      </c>
      <c r="J3">
        <v>330</v>
      </c>
      <c r="K3" t="s">
        <v>459</v>
      </c>
      <c r="L3" s="452">
        <v>46058.813888888893</v>
      </c>
    </row>
    <row r="4" spans="1:13" x14ac:dyDescent="0.3">
      <c r="A4">
        <v>105</v>
      </c>
      <c r="B4" t="s">
        <v>4055</v>
      </c>
      <c r="C4">
        <v>737</v>
      </c>
      <c r="D4" t="s">
        <v>1117</v>
      </c>
      <c r="E4" t="s">
        <v>4059</v>
      </c>
      <c r="F4">
        <v>2003</v>
      </c>
      <c r="G4" t="s">
        <v>572</v>
      </c>
      <c r="H4" t="s">
        <v>4057</v>
      </c>
      <c r="I4">
        <v>0</v>
      </c>
      <c r="J4">
        <v>1060</v>
      </c>
      <c r="K4" t="s">
        <v>459</v>
      </c>
      <c r="L4" s="452">
        <v>46058.813888888893</v>
      </c>
    </row>
    <row r="5" spans="1:13" x14ac:dyDescent="0.3">
      <c r="A5">
        <v>105</v>
      </c>
      <c r="B5" t="s">
        <v>4055</v>
      </c>
      <c r="C5">
        <v>775</v>
      </c>
      <c r="D5" t="s">
        <v>1116</v>
      </c>
      <c r="E5" t="s">
        <v>4060</v>
      </c>
      <c r="F5">
        <v>2003</v>
      </c>
      <c r="G5" t="s">
        <v>572</v>
      </c>
      <c r="H5" t="s">
        <v>4057</v>
      </c>
      <c r="I5">
        <v>0</v>
      </c>
      <c r="J5">
        <v>710</v>
      </c>
      <c r="K5" t="s">
        <v>459</v>
      </c>
      <c r="L5" s="452">
        <v>46058.813888888893</v>
      </c>
    </row>
    <row r="6" spans="1:13" x14ac:dyDescent="0.3">
      <c r="A6">
        <v>105</v>
      </c>
      <c r="B6" t="s">
        <v>4055</v>
      </c>
      <c r="C6">
        <v>777</v>
      </c>
      <c r="D6" t="s">
        <v>1109</v>
      </c>
      <c r="E6" t="s">
        <v>4061</v>
      </c>
      <c r="F6">
        <v>2003</v>
      </c>
      <c r="G6" t="s">
        <v>572</v>
      </c>
      <c r="H6" t="s">
        <v>4057</v>
      </c>
      <c r="I6">
        <v>0</v>
      </c>
      <c r="J6">
        <v>1060</v>
      </c>
      <c r="K6" t="s">
        <v>459</v>
      </c>
      <c r="L6" s="452">
        <v>46058.814583333333</v>
      </c>
    </row>
    <row r="7" spans="1:13" x14ac:dyDescent="0.3">
      <c r="A7">
        <v>105</v>
      </c>
      <c r="B7" t="s">
        <v>4055</v>
      </c>
      <c r="C7">
        <v>981</v>
      </c>
      <c r="D7" t="s">
        <v>1104</v>
      </c>
      <c r="E7" t="s">
        <v>4062</v>
      </c>
      <c r="F7">
        <v>2003</v>
      </c>
      <c r="G7" t="s">
        <v>572</v>
      </c>
      <c r="H7" t="s">
        <v>4057</v>
      </c>
      <c r="I7">
        <v>0</v>
      </c>
      <c r="J7">
        <v>1680</v>
      </c>
      <c r="K7" t="s">
        <v>459</v>
      </c>
      <c r="L7" s="452">
        <v>46058.814583333333</v>
      </c>
    </row>
    <row r="8" spans="1:13" x14ac:dyDescent="0.3">
      <c r="A8">
        <v>105</v>
      </c>
      <c r="B8" t="s">
        <v>4055</v>
      </c>
      <c r="C8">
        <v>983</v>
      </c>
      <c r="D8" t="s">
        <v>1106</v>
      </c>
      <c r="E8" t="s">
        <v>4063</v>
      </c>
      <c r="F8">
        <v>2003</v>
      </c>
      <c r="G8" t="s">
        <v>572</v>
      </c>
      <c r="H8" t="s">
        <v>4057</v>
      </c>
      <c r="I8">
        <v>0</v>
      </c>
      <c r="J8">
        <v>2040</v>
      </c>
      <c r="K8" t="s">
        <v>459</v>
      </c>
      <c r="L8" s="452">
        <v>46058.814583333333</v>
      </c>
    </row>
    <row r="9" spans="1:13" x14ac:dyDescent="0.3">
      <c r="A9">
        <v>105</v>
      </c>
      <c r="B9" t="s">
        <v>4055</v>
      </c>
      <c r="C9">
        <v>985</v>
      </c>
      <c r="D9" t="s">
        <v>1108</v>
      </c>
      <c r="E9" t="s">
        <v>4064</v>
      </c>
      <c r="F9">
        <v>2003</v>
      </c>
      <c r="G9" t="s">
        <v>572</v>
      </c>
      <c r="H9" t="s">
        <v>4057</v>
      </c>
      <c r="I9">
        <v>0</v>
      </c>
      <c r="J9">
        <v>650</v>
      </c>
      <c r="K9" t="s">
        <v>459</v>
      </c>
      <c r="L9" s="452">
        <v>46058.814583333333</v>
      </c>
    </row>
    <row r="10" spans="1:13" x14ac:dyDescent="0.3">
      <c r="A10">
        <v>105</v>
      </c>
      <c r="B10" t="s">
        <v>4055</v>
      </c>
      <c r="C10">
        <v>989</v>
      </c>
      <c r="D10" t="s">
        <v>1114</v>
      </c>
      <c r="E10" t="s">
        <v>4065</v>
      </c>
      <c r="F10">
        <v>2003</v>
      </c>
      <c r="G10" t="s">
        <v>572</v>
      </c>
      <c r="H10" t="s">
        <v>4057</v>
      </c>
      <c r="I10">
        <v>0</v>
      </c>
      <c r="J10">
        <v>1720</v>
      </c>
      <c r="K10" t="s">
        <v>459</v>
      </c>
      <c r="L10" s="452">
        <v>46058.814583333333</v>
      </c>
    </row>
    <row r="11" spans="1:13" x14ac:dyDescent="0.3">
      <c r="A11">
        <v>105</v>
      </c>
      <c r="B11" t="s">
        <v>4055</v>
      </c>
      <c r="C11">
        <v>1038</v>
      </c>
      <c r="D11" t="s">
        <v>1113</v>
      </c>
      <c r="E11" t="s">
        <v>4066</v>
      </c>
      <c r="F11">
        <v>2003</v>
      </c>
      <c r="G11" t="s">
        <v>572</v>
      </c>
      <c r="H11" t="s">
        <v>4057</v>
      </c>
      <c r="I11">
        <v>0</v>
      </c>
      <c r="J11">
        <v>1060</v>
      </c>
      <c r="K11" t="s">
        <v>459</v>
      </c>
      <c r="L11" s="452">
        <v>46058.814583333333</v>
      </c>
    </row>
    <row r="12" spans="1:13" x14ac:dyDescent="0.3">
      <c r="A12">
        <v>105</v>
      </c>
      <c r="B12" t="s">
        <v>4055</v>
      </c>
      <c r="C12">
        <v>1039</v>
      </c>
      <c r="D12" t="s">
        <v>970</v>
      </c>
      <c r="E12" t="s">
        <v>4067</v>
      </c>
      <c r="F12">
        <v>2003</v>
      </c>
      <c r="G12" t="s">
        <v>572</v>
      </c>
      <c r="H12" t="s">
        <v>4057</v>
      </c>
      <c r="I12">
        <v>0</v>
      </c>
      <c r="J12">
        <v>1890</v>
      </c>
      <c r="K12" t="s">
        <v>459</v>
      </c>
      <c r="L12" s="452">
        <v>46058.814583333333</v>
      </c>
    </row>
    <row r="13" spans="1:13" x14ac:dyDescent="0.3">
      <c r="A13">
        <v>105</v>
      </c>
      <c r="B13" t="s">
        <v>4055</v>
      </c>
      <c r="C13">
        <v>1127</v>
      </c>
      <c r="D13" t="s">
        <v>1105</v>
      </c>
      <c r="E13" t="s">
        <v>4068</v>
      </c>
      <c r="F13">
        <v>2003</v>
      </c>
      <c r="G13" t="s">
        <v>572</v>
      </c>
      <c r="H13" t="s">
        <v>4057</v>
      </c>
      <c r="I13">
        <v>0</v>
      </c>
      <c r="J13">
        <v>1060</v>
      </c>
      <c r="K13" t="s">
        <v>459</v>
      </c>
      <c r="L13" s="452">
        <v>46058.813888888893</v>
      </c>
    </row>
    <row r="14" spans="1:13" x14ac:dyDescent="0.3">
      <c r="A14">
        <v>105</v>
      </c>
      <c r="B14" t="s">
        <v>4055</v>
      </c>
      <c r="C14">
        <v>100000</v>
      </c>
      <c r="D14" t="s">
        <v>1103</v>
      </c>
      <c r="E14" t="s">
        <v>4069</v>
      </c>
      <c r="F14">
        <v>2003</v>
      </c>
      <c r="G14" t="s">
        <v>572</v>
      </c>
      <c r="H14" t="s">
        <v>4057</v>
      </c>
      <c r="I14">
        <v>0</v>
      </c>
      <c r="J14">
        <v>1460</v>
      </c>
      <c r="K14" t="s">
        <v>459</v>
      </c>
      <c r="L14" s="452">
        <v>46058.813888888893</v>
      </c>
    </row>
    <row r="15" spans="1:13" x14ac:dyDescent="0.3">
      <c r="A15">
        <v>105</v>
      </c>
      <c r="B15" t="s">
        <v>4055</v>
      </c>
      <c r="C15">
        <v>1078</v>
      </c>
      <c r="D15" t="s">
        <v>4070</v>
      </c>
      <c r="E15" t="s">
        <v>4071</v>
      </c>
      <c r="F15">
        <v>2003</v>
      </c>
      <c r="G15" t="s">
        <v>572</v>
      </c>
      <c r="H15" t="s">
        <v>4072</v>
      </c>
      <c r="I15">
        <v>0</v>
      </c>
      <c r="J15">
        <v>100</v>
      </c>
      <c r="K15" t="s">
        <v>459</v>
      </c>
      <c r="L15" s="452">
        <v>46051.629166666673</v>
      </c>
    </row>
    <row r="16" spans="1:13" x14ac:dyDescent="0.3">
      <c r="A16">
        <v>105</v>
      </c>
      <c r="B16" t="s">
        <v>4055</v>
      </c>
      <c r="C16">
        <v>1104</v>
      </c>
      <c r="D16" t="s">
        <v>4073</v>
      </c>
      <c r="E16" t="s">
        <v>4074</v>
      </c>
      <c r="F16">
        <v>2003</v>
      </c>
      <c r="G16" t="s">
        <v>572</v>
      </c>
      <c r="H16" t="s">
        <v>4072</v>
      </c>
      <c r="I16">
        <v>0</v>
      </c>
      <c r="J16">
        <v>90</v>
      </c>
      <c r="K16" t="s">
        <v>459</v>
      </c>
      <c r="L16" s="452">
        <v>46051.655555555553</v>
      </c>
    </row>
    <row r="17" spans="1:12" x14ac:dyDescent="0.3">
      <c r="A17">
        <v>105</v>
      </c>
      <c r="B17" t="s">
        <v>4055</v>
      </c>
      <c r="C17">
        <v>100002</v>
      </c>
      <c r="D17" t="s">
        <v>2178</v>
      </c>
      <c r="E17" t="s">
        <v>4075</v>
      </c>
      <c r="F17">
        <v>2003</v>
      </c>
      <c r="G17" t="s">
        <v>572</v>
      </c>
      <c r="H17" t="s">
        <v>4072</v>
      </c>
      <c r="I17">
        <v>0</v>
      </c>
      <c r="J17">
        <v>110</v>
      </c>
      <c r="K17" t="s">
        <v>459</v>
      </c>
      <c r="L17" s="452">
        <v>46055.904166666667</v>
      </c>
    </row>
    <row r="18" spans="1:12" x14ac:dyDescent="0.3">
      <c r="A18">
        <v>105</v>
      </c>
      <c r="B18" t="s">
        <v>4055</v>
      </c>
      <c r="C18">
        <v>666</v>
      </c>
      <c r="D18" t="s">
        <v>1110</v>
      </c>
      <c r="E18" t="s">
        <v>4056</v>
      </c>
      <c r="F18">
        <v>2003</v>
      </c>
      <c r="G18" t="s">
        <v>572</v>
      </c>
      <c r="H18" t="s">
        <v>4057</v>
      </c>
      <c r="I18">
        <v>0</v>
      </c>
      <c r="J18">
        <v>1140</v>
      </c>
      <c r="K18" t="s">
        <v>460</v>
      </c>
      <c r="L18" s="452">
        <v>46086.387499999997</v>
      </c>
    </row>
    <row r="19" spans="1:12" x14ac:dyDescent="0.3">
      <c r="A19">
        <v>105</v>
      </c>
      <c r="B19" t="s">
        <v>4055</v>
      </c>
      <c r="C19">
        <v>668</v>
      </c>
      <c r="D19" t="s">
        <v>1781</v>
      </c>
      <c r="E19" t="s">
        <v>4058</v>
      </c>
      <c r="F19">
        <v>2003</v>
      </c>
      <c r="G19" t="s">
        <v>572</v>
      </c>
      <c r="H19" t="s">
        <v>4057</v>
      </c>
      <c r="I19">
        <v>0</v>
      </c>
      <c r="J19">
        <v>670</v>
      </c>
      <c r="K19" t="s">
        <v>460</v>
      </c>
      <c r="L19" s="452">
        <v>46086.387499999997</v>
      </c>
    </row>
    <row r="20" spans="1:12" x14ac:dyDescent="0.3">
      <c r="A20">
        <v>105</v>
      </c>
      <c r="B20" t="s">
        <v>4055</v>
      </c>
      <c r="C20">
        <v>737</v>
      </c>
      <c r="D20" t="s">
        <v>1117</v>
      </c>
      <c r="E20" t="s">
        <v>4059</v>
      </c>
      <c r="F20">
        <v>2003</v>
      </c>
      <c r="G20" t="s">
        <v>572</v>
      </c>
      <c r="H20" t="s">
        <v>4057</v>
      </c>
      <c r="I20">
        <v>0</v>
      </c>
      <c r="J20">
        <v>1270</v>
      </c>
      <c r="K20" t="s">
        <v>460</v>
      </c>
      <c r="L20" s="452">
        <v>46086.387499999997</v>
      </c>
    </row>
    <row r="21" spans="1:12" x14ac:dyDescent="0.3">
      <c r="A21">
        <v>105</v>
      </c>
      <c r="B21" t="s">
        <v>4055</v>
      </c>
      <c r="C21">
        <v>775</v>
      </c>
      <c r="D21" t="s">
        <v>1116</v>
      </c>
      <c r="E21" t="s">
        <v>4060</v>
      </c>
      <c r="F21">
        <v>2003</v>
      </c>
      <c r="G21" t="s">
        <v>572</v>
      </c>
      <c r="H21" t="s">
        <v>4057</v>
      </c>
      <c r="I21">
        <v>0</v>
      </c>
      <c r="J21">
        <v>580</v>
      </c>
      <c r="K21" t="s">
        <v>460</v>
      </c>
      <c r="L21" s="452">
        <v>46086.387499999997</v>
      </c>
    </row>
    <row r="22" spans="1:12" x14ac:dyDescent="0.3">
      <c r="A22">
        <v>105</v>
      </c>
      <c r="B22" t="s">
        <v>4055</v>
      </c>
      <c r="C22">
        <v>777</v>
      </c>
      <c r="D22" t="s">
        <v>1109</v>
      </c>
      <c r="E22" t="s">
        <v>4061</v>
      </c>
      <c r="F22">
        <v>2003</v>
      </c>
      <c r="G22" t="s">
        <v>572</v>
      </c>
      <c r="H22" t="s">
        <v>4057</v>
      </c>
      <c r="I22">
        <v>0</v>
      </c>
      <c r="J22">
        <v>1270</v>
      </c>
      <c r="K22" t="s">
        <v>460</v>
      </c>
      <c r="L22" s="452">
        <v>46086.387499999997</v>
      </c>
    </row>
    <row r="23" spans="1:12" x14ac:dyDescent="0.3">
      <c r="A23">
        <v>105</v>
      </c>
      <c r="B23" t="s">
        <v>4055</v>
      </c>
      <c r="C23">
        <v>981</v>
      </c>
      <c r="D23" t="s">
        <v>1104</v>
      </c>
      <c r="E23" t="s">
        <v>4062</v>
      </c>
      <c r="F23">
        <v>2003</v>
      </c>
      <c r="G23" t="s">
        <v>572</v>
      </c>
      <c r="H23" t="s">
        <v>4057</v>
      </c>
      <c r="I23">
        <v>0</v>
      </c>
      <c r="J23">
        <v>2830</v>
      </c>
      <c r="K23" t="s">
        <v>460</v>
      </c>
      <c r="L23" s="452">
        <v>46086.387499999997</v>
      </c>
    </row>
    <row r="24" spans="1:12" x14ac:dyDescent="0.3">
      <c r="A24">
        <v>105</v>
      </c>
      <c r="B24" t="s">
        <v>4055</v>
      </c>
      <c r="C24">
        <v>983</v>
      </c>
      <c r="D24" t="s">
        <v>1106</v>
      </c>
      <c r="E24" t="s">
        <v>4063</v>
      </c>
      <c r="F24">
        <v>2003</v>
      </c>
      <c r="G24" t="s">
        <v>572</v>
      </c>
      <c r="H24" t="s">
        <v>4057</v>
      </c>
      <c r="I24">
        <v>0</v>
      </c>
      <c r="J24">
        <v>2330</v>
      </c>
      <c r="K24" t="s">
        <v>460</v>
      </c>
      <c r="L24" s="452">
        <v>46086.387499999997</v>
      </c>
    </row>
    <row r="25" spans="1:12" x14ac:dyDescent="0.3">
      <c r="A25">
        <v>105</v>
      </c>
      <c r="B25" t="s">
        <v>4055</v>
      </c>
      <c r="C25">
        <v>985</v>
      </c>
      <c r="D25" t="s">
        <v>1108</v>
      </c>
      <c r="E25" t="s">
        <v>4064</v>
      </c>
      <c r="F25">
        <v>2003</v>
      </c>
      <c r="G25" t="s">
        <v>572</v>
      </c>
      <c r="H25" t="s">
        <v>4057</v>
      </c>
      <c r="I25">
        <v>0</v>
      </c>
      <c r="J25">
        <v>1100</v>
      </c>
      <c r="K25" t="s">
        <v>460</v>
      </c>
      <c r="L25" s="452">
        <v>46086.388194444437</v>
      </c>
    </row>
    <row r="26" spans="1:12" x14ac:dyDescent="0.3">
      <c r="A26">
        <v>105</v>
      </c>
      <c r="B26" t="s">
        <v>4055</v>
      </c>
      <c r="C26">
        <v>989</v>
      </c>
      <c r="D26" t="s">
        <v>1114</v>
      </c>
      <c r="E26" t="s">
        <v>4065</v>
      </c>
      <c r="F26">
        <v>2003</v>
      </c>
      <c r="G26" t="s">
        <v>572</v>
      </c>
      <c r="H26" t="s">
        <v>4057</v>
      </c>
      <c r="I26">
        <v>0</v>
      </c>
      <c r="J26">
        <v>2970</v>
      </c>
      <c r="K26" t="s">
        <v>460</v>
      </c>
      <c r="L26" s="452">
        <v>46086.388194444437</v>
      </c>
    </row>
    <row r="27" spans="1:12" x14ac:dyDescent="0.3">
      <c r="A27">
        <v>105</v>
      </c>
      <c r="B27" t="s">
        <v>4055</v>
      </c>
      <c r="C27">
        <v>1038</v>
      </c>
      <c r="D27" t="s">
        <v>1113</v>
      </c>
      <c r="E27" t="s">
        <v>4066</v>
      </c>
      <c r="F27">
        <v>2003</v>
      </c>
      <c r="G27" t="s">
        <v>572</v>
      </c>
      <c r="H27" t="s">
        <v>4057</v>
      </c>
      <c r="I27">
        <v>0</v>
      </c>
      <c r="J27">
        <v>1210</v>
      </c>
      <c r="K27" t="s">
        <v>460</v>
      </c>
      <c r="L27" s="452">
        <v>46086.388194444437</v>
      </c>
    </row>
    <row r="28" spans="1:12" x14ac:dyDescent="0.3">
      <c r="A28">
        <v>105</v>
      </c>
      <c r="B28" t="s">
        <v>4055</v>
      </c>
      <c r="C28">
        <v>1039</v>
      </c>
      <c r="D28" t="s">
        <v>970</v>
      </c>
      <c r="E28" t="s">
        <v>4067</v>
      </c>
      <c r="F28">
        <v>2003</v>
      </c>
      <c r="G28" t="s">
        <v>572</v>
      </c>
      <c r="H28" t="s">
        <v>4057</v>
      </c>
      <c r="I28">
        <v>0</v>
      </c>
      <c r="J28">
        <v>3170</v>
      </c>
      <c r="K28" t="s">
        <v>460</v>
      </c>
      <c r="L28" s="452">
        <v>46086.388194444437</v>
      </c>
    </row>
    <row r="29" spans="1:12" x14ac:dyDescent="0.3">
      <c r="A29">
        <v>105</v>
      </c>
      <c r="B29" t="s">
        <v>4055</v>
      </c>
      <c r="C29">
        <v>1127</v>
      </c>
      <c r="D29" t="s">
        <v>1105</v>
      </c>
      <c r="E29" t="s">
        <v>4068</v>
      </c>
      <c r="F29">
        <v>2003</v>
      </c>
      <c r="G29" t="s">
        <v>572</v>
      </c>
      <c r="H29" t="s">
        <v>4057</v>
      </c>
      <c r="I29">
        <v>0</v>
      </c>
      <c r="J29">
        <v>1270</v>
      </c>
      <c r="K29" t="s">
        <v>460</v>
      </c>
      <c r="L29" s="452">
        <v>46086.387499999997</v>
      </c>
    </row>
    <row r="30" spans="1:12" x14ac:dyDescent="0.3">
      <c r="A30">
        <v>105</v>
      </c>
      <c r="B30" t="s">
        <v>4055</v>
      </c>
      <c r="C30">
        <v>100000</v>
      </c>
      <c r="D30" t="s">
        <v>1103</v>
      </c>
      <c r="E30" t="s">
        <v>4069</v>
      </c>
      <c r="F30">
        <v>2003</v>
      </c>
      <c r="G30" t="s">
        <v>572</v>
      </c>
      <c r="H30" t="s">
        <v>4057</v>
      </c>
      <c r="I30">
        <v>0</v>
      </c>
      <c r="J30">
        <v>1340</v>
      </c>
      <c r="K30" t="s">
        <v>460</v>
      </c>
      <c r="L30" s="452">
        <v>46086.387499999997</v>
      </c>
    </row>
    <row r="31" spans="1:12" x14ac:dyDescent="0.3">
      <c r="A31">
        <v>105</v>
      </c>
      <c r="B31" t="s">
        <v>4055</v>
      </c>
      <c r="C31">
        <v>100003</v>
      </c>
      <c r="D31" t="s">
        <v>1776</v>
      </c>
      <c r="E31" t="s">
        <v>4076</v>
      </c>
      <c r="F31">
        <v>2003</v>
      </c>
      <c r="G31" t="s">
        <v>572</v>
      </c>
      <c r="H31" t="s">
        <v>4057</v>
      </c>
      <c r="I31">
        <v>0</v>
      </c>
      <c r="J31">
        <v>310</v>
      </c>
      <c r="K31" t="s">
        <v>460</v>
      </c>
      <c r="L31" s="452">
        <v>46086.431944444441</v>
      </c>
    </row>
    <row r="32" spans="1:12" x14ac:dyDescent="0.3">
      <c r="A32">
        <v>105</v>
      </c>
      <c r="B32" t="s">
        <v>4055</v>
      </c>
      <c r="C32">
        <v>100004</v>
      </c>
      <c r="D32" t="s">
        <v>1125</v>
      </c>
      <c r="E32" t="s">
        <v>4077</v>
      </c>
      <c r="F32">
        <v>2003</v>
      </c>
      <c r="G32" t="s">
        <v>572</v>
      </c>
      <c r="H32" t="s">
        <v>4057</v>
      </c>
      <c r="I32">
        <v>0</v>
      </c>
      <c r="J32">
        <v>230</v>
      </c>
      <c r="K32" t="s">
        <v>460</v>
      </c>
      <c r="L32" s="452">
        <v>46086.387499999997</v>
      </c>
    </row>
    <row r="33" spans="1:12" x14ac:dyDescent="0.3">
      <c r="A33">
        <v>105</v>
      </c>
      <c r="B33" t="s">
        <v>4055</v>
      </c>
      <c r="C33">
        <v>666</v>
      </c>
      <c r="D33" t="s">
        <v>1110</v>
      </c>
      <c r="E33" t="s">
        <v>4056</v>
      </c>
      <c r="F33">
        <v>2003</v>
      </c>
      <c r="G33" t="s">
        <v>572</v>
      </c>
      <c r="H33" t="s">
        <v>4057</v>
      </c>
      <c r="I33">
        <v>0</v>
      </c>
      <c r="J33">
        <v>1380</v>
      </c>
      <c r="K33" t="s">
        <v>461</v>
      </c>
      <c r="L33" s="452">
        <v>46118.462500000001</v>
      </c>
    </row>
    <row r="34" spans="1:12" x14ac:dyDescent="0.3">
      <c r="A34">
        <v>105</v>
      </c>
      <c r="B34" t="s">
        <v>4055</v>
      </c>
      <c r="C34">
        <v>737</v>
      </c>
      <c r="D34" t="s">
        <v>1117</v>
      </c>
      <c r="E34" t="s">
        <v>4059</v>
      </c>
      <c r="F34">
        <v>2003</v>
      </c>
      <c r="G34" t="s">
        <v>572</v>
      </c>
      <c r="H34" t="s">
        <v>4057</v>
      </c>
      <c r="I34">
        <v>0</v>
      </c>
      <c r="J34">
        <v>1540</v>
      </c>
      <c r="K34" t="s">
        <v>461</v>
      </c>
      <c r="L34" s="452">
        <v>46118.463888888888</v>
      </c>
    </row>
    <row r="35" spans="1:12" x14ac:dyDescent="0.3">
      <c r="A35">
        <v>105</v>
      </c>
      <c r="B35" t="s">
        <v>4055</v>
      </c>
      <c r="C35">
        <v>775</v>
      </c>
      <c r="D35" t="s">
        <v>1116</v>
      </c>
      <c r="E35" t="s">
        <v>4060</v>
      </c>
      <c r="F35">
        <v>2003</v>
      </c>
      <c r="G35" t="s">
        <v>572</v>
      </c>
      <c r="H35" t="s">
        <v>4057</v>
      </c>
      <c r="I35">
        <v>0</v>
      </c>
      <c r="J35">
        <v>1380</v>
      </c>
      <c r="K35" t="s">
        <v>461</v>
      </c>
      <c r="L35" s="452">
        <v>46118.465277777781</v>
      </c>
    </row>
    <row r="36" spans="1:12" x14ac:dyDescent="0.3">
      <c r="A36">
        <v>105</v>
      </c>
      <c r="B36" t="s">
        <v>4055</v>
      </c>
      <c r="C36">
        <v>777</v>
      </c>
      <c r="D36" t="s">
        <v>1109</v>
      </c>
      <c r="E36" t="s">
        <v>4061</v>
      </c>
      <c r="F36">
        <v>2003</v>
      </c>
      <c r="G36" t="s">
        <v>572</v>
      </c>
      <c r="H36" t="s">
        <v>4057</v>
      </c>
      <c r="I36">
        <v>0</v>
      </c>
      <c r="J36">
        <v>1540</v>
      </c>
      <c r="K36" t="s">
        <v>461</v>
      </c>
      <c r="L36" s="452">
        <v>46118.465277777781</v>
      </c>
    </row>
    <row r="37" spans="1:12" x14ac:dyDescent="0.3">
      <c r="A37">
        <v>105</v>
      </c>
      <c r="B37" t="s">
        <v>4055</v>
      </c>
      <c r="C37">
        <v>981</v>
      </c>
      <c r="D37" t="s">
        <v>1104</v>
      </c>
      <c r="E37" t="s">
        <v>4062</v>
      </c>
      <c r="F37">
        <v>2003</v>
      </c>
      <c r="G37" t="s">
        <v>572</v>
      </c>
      <c r="H37" t="s">
        <v>4057</v>
      </c>
      <c r="I37">
        <v>0</v>
      </c>
      <c r="J37">
        <v>3050</v>
      </c>
      <c r="K37" t="s">
        <v>461</v>
      </c>
      <c r="L37" s="452">
        <v>46118.46597222222</v>
      </c>
    </row>
    <row r="38" spans="1:12" x14ac:dyDescent="0.3">
      <c r="A38">
        <v>105</v>
      </c>
      <c r="B38" t="s">
        <v>4055</v>
      </c>
      <c r="C38">
        <v>983</v>
      </c>
      <c r="D38" t="s">
        <v>1106</v>
      </c>
      <c r="E38" t="s">
        <v>4063</v>
      </c>
      <c r="F38">
        <v>2003</v>
      </c>
      <c r="G38" t="s">
        <v>572</v>
      </c>
      <c r="H38" t="s">
        <v>4057</v>
      </c>
      <c r="I38">
        <v>0</v>
      </c>
      <c r="J38">
        <v>2190</v>
      </c>
      <c r="K38" t="s">
        <v>461</v>
      </c>
      <c r="L38" s="452">
        <v>46118.469444444447</v>
      </c>
    </row>
    <row r="39" spans="1:12" x14ac:dyDescent="0.3">
      <c r="A39">
        <v>105</v>
      </c>
      <c r="B39" t="s">
        <v>4055</v>
      </c>
      <c r="C39">
        <v>985</v>
      </c>
      <c r="D39" t="s">
        <v>1108</v>
      </c>
      <c r="E39" t="s">
        <v>4064</v>
      </c>
      <c r="F39">
        <v>2003</v>
      </c>
      <c r="G39" t="s">
        <v>572</v>
      </c>
      <c r="H39" t="s">
        <v>4057</v>
      </c>
      <c r="I39">
        <v>0</v>
      </c>
      <c r="J39">
        <v>2190</v>
      </c>
      <c r="K39" t="s">
        <v>461</v>
      </c>
      <c r="L39" s="452">
        <v>46118.46875</v>
      </c>
    </row>
    <row r="40" spans="1:12" x14ac:dyDescent="0.3">
      <c r="A40">
        <v>105</v>
      </c>
      <c r="B40" t="s">
        <v>4055</v>
      </c>
      <c r="C40">
        <v>989</v>
      </c>
      <c r="D40" t="s">
        <v>1114</v>
      </c>
      <c r="E40" t="s">
        <v>4065</v>
      </c>
      <c r="F40">
        <v>2003</v>
      </c>
      <c r="G40" t="s">
        <v>572</v>
      </c>
      <c r="H40" t="s">
        <v>4057</v>
      </c>
      <c r="I40">
        <v>0</v>
      </c>
      <c r="J40">
        <v>1340</v>
      </c>
      <c r="K40" t="s">
        <v>461</v>
      </c>
      <c r="L40" s="452">
        <v>46118.470138888893</v>
      </c>
    </row>
    <row r="41" spans="1:12" x14ac:dyDescent="0.3">
      <c r="A41">
        <v>105</v>
      </c>
      <c r="B41" t="s">
        <v>4055</v>
      </c>
      <c r="C41">
        <v>1038</v>
      </c>
      <c r="D41" t="s">
        <v>1113</v>
      </c>
      <c r="E41" t="s">
        <v>4066</v>
      </c>
      <c r="F41">
        <v>2003</v>
      </c>
      <c r="G41" t="s">
        <v>572</v>
      </c>
      <c r="H41" t="s">
        <v>4057</v>
      </c>
      <c r="I41">
        <v>0</v>
      </c>
      <c r="J41">
        <v>920</v>
      </c>
      <c r="K41" t="s">
        <v>461</v>
      </c>
      <c r="L41" s="452">
        <v>46118.470833333333</v>
      </c>
    </row>
    <row r="42" spans="1:12" x14ac:dyDescent="0.3">
      <c r="A42">
        <v>105</v>
      </c>
      <c r="B42" t="s">
        <v>4055</v>
      </c>
      <c r="C42">
        <v>1039</v>
      </c>
      <c r="D42" t="s">
        <v>970</v>
      </c>
      <c r="E42" t="s">
        <v>4067</v>
      </c>
      <c r="F42">
        <v>2003</v>
      </c>
      <c r="G42" t="s">
        <v>572</v>
      </c>
      <c r="H42" t="s">
        <v>4057</v>
      </c>
      <c r="I42">
        <v>0</v>
      </c>
      <c r="J42">
        <v>3770</v>
      </c>
      <c r="K42" t="s">
        <v>461</v>
      </c>
      <c r="L42" s="452">
        <v>46118.472916666673</v>
      </c>
    </row>
    <row r="43" spans="1:12" x14ac:dyDescent="0.3">
      <c r="A43">
        <v>105</v>
      </c>
      <c r="B43" t="s">
        <v>4055</v>
      </c>
      <c r="C43">
        <v>1127</v>
      </c>
      <c r="D43" t="s">
        <v>1105</v>
      </c>
      <c r="E43" t="s">
        <v>4068</v>
      </c>
      <c r="F43">
        <v>2003</v>
      </c>
      <c r="G43" t="s">
        <v>572</v>
      </c>
      <c r="H43" t="s">
        <v>4057</v>
      </c>
      <c r="I43">
        <v>0</v>
      </c>
      <c r="J43">
        <v>1540</v>
      </c>
      <c r="K43" t="s">
        <v>461</v>
      </c>
      <c r="L43" s="452">
        <v>46118.472916666673</v>
      </c>
    </row>
    <row r="44" spans="1:12" x14ac:dyDescent="0.3">
      <c r="A44">
        <v>105</v>
      </c>
      <c r="B44" t="s">
        <v>4055</v>
      </c>
      <c r="C44">
        <v>100000</v>
      </c>
      <c r="D44" t="s">
        <v>1103</v>
      </c>
      <c r="E44" t="s">
        <v>4069</v>
      </c>
      <c r="F44">
        <v>2003</v>
      </c>
      <c r="G44" t="s">
        <v>572</v>
      </c>
      <c r="H44" t="s">
        <v>4057</v>
      </c>
      <c r="I44">
        <v>0</v>
      </c>
      <c r="J44">
        <v>920</v>
      </c>
      <c r="K44" t="s">
        <v>461</v>
      </c>
      <c r="L44" s="452">
        <v>46118.476388888892</v>
      </c>
    </row>
    <row r="45" spans="1:12" x14ac:dyDescent="0.3">
      <c r="A45">
        <v>105</v>
      </c>
      <c r="B45" t="s">
        <v>4055</v>
      </c>
      <c r="C45">
        <v>100004</v>
      </c>
      <c r="D45" t="s">
        <v>1125</v>
      </c>
      <c r="E45" t="s">
        <v>4077</v>
      </c>
      <c r="F45">
        <v>2003</v>
      </c>
      <c r="G45" t="s">
        <v>572</v>
      </c>
      <c r="H45" t="s">
        <v>4057</v>
      </c>
      <c r="I45">
        <v>0</v>
      </c>
      <c r="J45">
        <v>920</v>
      </c>
      <c r="K45" t="s">
        <v>461</v>
      </c>
      <c r="L45" s="452">
        <v>46118.477083333331</v>
      </c>
    </row>
    <row r="46" spans="1:12" x14ac:dyDescent="0.3">
      <c r="A46">
        <v>105</v>
      </c>
      <c r="B46" t="s">
        <v>4055</v>
      </c>
      <c r="C46">
        <v>100005</v>
      </c>
      <c r="D46" t="s">
        <v>1102</v>
      </c>
      <c r="E46" t="s">
        <v>4078</v>
      </c>
      <c r="F46">
        <v>2003</v>
      </c>
      <c r="G46" t="s">
        <v>572</v>
      </c>
      <c r="H46" t="s">
        <v>4057</v>
      </c>
      <c r="I46">
        <v>0</v>
      </c>
      <c r="J46">
        <v>1590</v>
      </c>
      <c r="K46" t="s">
        <v>461</v>
      </c>
      <c r="L46" s="452">
        <v>46118.477777777778</v>
      </c>
    </row>
    <row r="47" spans="1:12" x14ac:dyDescent="0.3">
      <c r="A47">
        <v>105</v>
      </c>
      <c r="B47" t="s">
        <v>4055</v>
      </c>
      <c r="C47">
        <v>668</v>
      </c>
      <c r="D47" t="s">
        <v>1781</v>
      </c>
      <c r="E47" t="s">
        <v>4058</v>
      </c>
      <c r="F47">
        <v>2003</v>
      </c>
      <c r="G47" t="s">
        <v>572</v>
      </c>
      <c r="H47" t="s">
        <v>4072</v>
      </c>
      <c r="I47">
        <v>0</v>
      </c>
      <c r="J47">
        <v>670</v>
      </c>
      <c r="K47" t="s">
        <v>461</v>
      </c>
      <c r="L47" s="452">
        <v>46097.448611111111</v>
      </c>
    </row>
    <row r="48" spans="1:12" x14ac:dyDescent="0.3">
      <c r="A48">
        <v>105</v>
      </c>
      <c r="B48" t="s">
        <v>4055</v>
      </c>
      <c r="C48">
        <v>100003</v>
      </c>
      <c r="D48" t="s">
        <v>1776</v>
      </c>
      <c r="E48" t="s">
        <v>4076</v>
      </c>
      <c r="F48">
        <v>2003</v>
      </c>
      <c r="G48" t="s">
        <v>572</v>
      </c>
      <c r="H48" t="s">
        <v>4072</v>
      </c>
      <c r="I48">
        <v>0</v>
      </c>
      <c r="J48">
        <v>270</v>
      </c>
      <c r="K48" t="s">
        <v>461</v>
      </c>
      <c r="L48" s="452">
        <v>46093.643055555563</v>
      </c>
    </row>
    <row r="49" spans="1:12" x14ac:dyDescent="0.3">
      <c r="A49">
        <v>105</v>
      </c>
      <c r="B49" t="s">
        <v>4055</v>
      </c>
      <c r="C49">
        <v>666</v>
      </c>
      <c r="D49" t="s">
        <v>1110</v>
      </c>
      <c r="E49" t="s">
        <v>4056</v>
      </c>
      <c r="F49">
        <v>2003</v>
      </c>
      <c r="G49" t="s">
        <v>572</v>
      </c>
      <c r="H49" t="s">
        <v>4057</v>
      </c>
      <c r="I49">
        <v>0</v>
      </c>
      <c r="J49">
        <v>1650</v>
      </c>
      <c r="K49" t="s">
        <v>462</v>
      </c>
      <c r="L49" s="452">
        <v>46148.35</v>
      </c>
    </row>
    <row r="50" spans="1:12" x14ac:dyDescent="0.3">
      <c r="A50">
        <v>105</v>
      </c>
      <c r="B50" t="s">
        <v>4055</v>
      </c>
      <c r="C50">
        <v>737</v>
      </c>
      <c r="D50" t="s">
        <v>1117</v>
      </c>
      <c r="E50" t="s">
        <v>4059</v>
      </c>
      <c r="F50">
        <v>2003</v>
      </c>
      <c r="G50" t="s">
        <v>572</v>
      </c>
      <c r="H50" t="s">
        <v>4057</v>
      </c>
      <c r="I50">
        <v>0</v>
      </c>
      <c r="J50">
        <v>1870</v>
      </c>
      <c r="K50" t="s">
        <v>462</v>
      </c>
      <c r="L50" s="452">
        <v>46148.35</v>
      </c>
    </row>
    <row r="51" spans="1:12" x14ac:dyDescent="0.3">
      <c r="A51">
        <v>105</v>
      </c>
      <c r="B51" t="s">
        <v>4055</v>
      </c>
      <c r="C51">
        <v>775</v>
      </c>
      <c r="D51" t="s">
        <v>1116</v>
      </c>
      <c r="E51" t="s">
        <v>4060</v>
      </c>
      <c r="F51">
        <v>2003</v>
      </c>
      <c r="G51" t="s">
        <v>572</v>
      </c>
      <c r="H51" t="s">
        <v>4057</v>
      </c>
      <c r="I51">
        <v>0</v>
      </c>
      <c r="J51">
        <v>1650</v>
      </c>
      <c r="K51" t="s">
        <v>462</v>
      </c>
      <c r="L51" s="452">
        <v>46148.35</v>
      </c>
    </row>
    <row r="52" spans="1:12" x14ac:dyDescent="0.3">
      <c r="A52">
        <v>105</v>
      </c>
      <c r="B52" t="s">
        <v>4055</v>
      </c>
      <c r="C52">
        <v>777</v>
      </c>
      <c r="D52" t="s">
        <v>1109</v>
      </c>
      <c r="E52" t="s">
        <v>4061</v>
      </c>
      <c r="F52">
        <v>2003</v>
      </c>
      <c r="G52" t="s">
        <v>572</v>
      </c>
      <c r="H52" t="s">
        <v>4057</v>
      </c>
      <c r="I52">
        <v>0</v>
      </c>
      <c r="J52">
        <v>1870</v>
      </c>
      <c r="K52" t="s">
        <v>462</v>
      </c>
      <c r="L52" s="452">
        <v>46148.35</v>
      </c>
    </row>
    <row r="53" spans="1:12" x14ac:dyDescent="0.3">
      <c r="A53">
        <v>105</v>
      </c>
      <c r="B53" t="s">
        <v>4055</v>
      </c>
      <c r="C53">
        <v>981</v>
      </c>
      <c r="D53" t="s">
        <v>1104</v>
      </c>
      <c r="E53" t="s">
        <v>4062</v>
      </c>
      <c r="F53">
        <v>2003</v>
      </c>
      <c r="G53" t="s">
        <v>572</v>
      </c>
      <c r="H53" t="s">
        <v>4057</v>
      </c>
      <c r="I53">
        <v>0</v>
      </c>
      <c r="J53">
        <v>1870</v>
      </c>
      <c r="K53" t="s">
        <v>462</v>
      </c>
      <c r="L53" s="452">
        <v>46148.35</v>
      </c>
    </row>
    <row r="54" spans="1:12" x14ac:dyDescent="0.3">
      <c r="A54">
        <v>105</v>
      </c>
      <c r="B54" t="s">
        <v>4055</v>
      </c>
      <c r="C54">
        <v>983</v>
      </c>
      <c r="D54" t="s">
        <v>1106</v>
      </c>
      <c r="E54" t="s">
        <v>4063</v>
      </c>
      <c r="F54">
        <v>2003</v>
      </c>
      <c r="G54" t="s">
        <v>572</v>
      </c>
      <c r="H54" t="s">
        <v>4057</v>
      </c>
      <c r="I54">
        <v>0</v>
      </c>
      <c r="J54">
        <v>2290</v>
      </c>
      <c r="K54" t="s">
        <v>462</v>
      </c>
      <c r="L54" s="452">
        <v>46148.35</v>
      </c>
    </row>
    <row r="55" spans="1:12" x14ac:dyDescent="0.3">
      <c r="A55">
        <v>105</v>
      </c>
      <c r="B55" t="s">
        <v>4055</v>
      </c>
      <c r="C55">
        <v>985</v>
      </c>
      <c r="D55" t="s">
        <v>1108</v>
      </c>
      <c r="E55" t="s">
        <v>4064</v>
      </c>
      <c r="F55">
        <v>2003</v>
      </c>
      <c r="G55" t="s">
        <v>572</v>
      </c>
      <c r="H55" t="s">
        <v>4057</v>
      </c>
      <c r="I55">
        <v>0</v>
      </c>
      <c r="J55">
        <v>2290</v>
      </c>
      <c r="K55" t="s">
        <v>462</v>
      </c>
      <c r="L55" s="452">
        <v>46148.35</v>
      </c>
    </row>
    <row r="56" spans="1:12" x14ac:dyDescent="0.3">
      <c r="A56">
        <v>105</v>
      </c>
      <c r="B56" t="s">
        <v>4055</v>
      </c>
      <c r="C56">
        <v>989</v>
      </c>
      <c r="D56" t="s">
        <v>1114</v>
      </c>
      <c r="E56" t="s">
        <v>4065</v>
      </c>
      <c r="F56">
        <v>2003</v>
      </c>
      <c r="G56" t="s">
        <v>572</v>
      </c>
      <c r="H56" t="s">
        <v>4057</v>
      </c>
      <c r="I56">
        <v>0</v>
      </c>
      <c r="J56">
        <v>2290</v>
      </c>
      <c r="K56" t="s">
        <v>462</v>
      </c>
      <c r="L56" s="452">
        <v>46148.35</v>
      </c>
    </row>
    <row r="57" spans="1:12" x14ac:dyDescent="0.3">
      <c r="A57">
        <v>105</v>
      </c>
      <c r="B57" t="s">
        <v>4055</v>
      </c>
      <c r="C57">
        <v>1038</v>
      </c>
      <c r="D57" t="s">
        <v>1113</v>
      </c>
      <c r="E57" t="s">
        <v>4066</v>
      </c>
      <c r="F57">
        <v>2003</v>
      </c>
      <c r="G57" t="s">
        <v>572</v>
      </c>
      <c r="H57" t="s">
        <v>4057</v>
      </c>
      <c r="I57">
        <v>0</v>
      </c>
      <c r="J57">
        <v>840</v>
      </c>
      <c r="K57" t="s">
        <v>462</v>
      </c>
      <c r="L57" s="452">
        <v>46148.35</v>
      </c>
    </row>
    <row r="58" spans="1:12" x14ac:dyDescent="0.3">
      <c r="A58">
        <v>105</v>
      </c>
      <c r="B58" t="s">
        <v>4055</v>
      </c>
      <c r="C58">
        <v>1039</v>
      </c>
      <c r="D58" t="s">
        <v>970</v>
      </c>
      <c r="E58" t="s">
        <v>4067</v>
      </c>
      <c r="F58">
        <v>2003</v>
      </c>
      <c r="G58" t="s">
        <v>572</v>
      </c>
      <c r="H58" t="s">
        <v>4057</v>
      </c>
      <c r="I58">
        <v>0</v>
      </c>
      <c r="J58">
        <v>3890</v>
      </c>
      <c r="K58" t="s">
        <v>462</v>
      </c>
      <c r="L58" s="452">
        <v>46148.35</v>
      </c>
    </row>
    <row r="59" spans="1:12" x14ac:dyDescent="0.3">
      <c r="A59">
        <v>105</v>
      </c>
      <c r="B59" t="s">
        <v>4055</v>
      </c>
      <c r="C59">
        <v>1127</v>
      </c>
      <c r="D59" t="s">
        <v>1105</v>
      </c>
      <c r="E59" t="s">
        <v>4068</v>
      </c>
      <c r="F59">
        <v>2003</v>
      </c>
      <c r="G59" t="s">
        <v>572</v>
      </c>
      <c r="H59" t="s">
        <v>4057</v>
      </c>
      <c r="I59">
        <v>0</v>
      </c>
      <c r="J59">
        <v>1870</v>
      </c>
      <c r="K59" t="s">
        <v>462</v>
      </c>
      <c r="L59" s="452">
        <v>46148.349305555559</v>
      </c>
    </row>
    <row r="60" spans="1:12" x14ac:dyDescent="0.3">
      <c r="A60">
        <v>105</v>
      </c>
      <c r="B60" t="s">
        <v>4055</v>
      </c>
      <c r="C60">
        <v>100000</v>
      </c>
      <c r="D60" t="s">
        <v>1103</v>
      </c>
      <c r="E60" t="s">
        <v>4069</v>
      </c>
      <c r="F60">
        <v>2003</v>
      </c>
      <c r="G60" t="s">
        <v>572</v>
      </c>
      <c r="H60" t="s">
        <v>4057</v>
      </c>
      <c r="I60">
        <v>0</v>
      </c>
      <c r="J60">
        <v>1620</v>
      </c>
      <c r="K60" t="s">
        <v>462</v>
      </c>
      <c r="L60" s="452">
        <v>46148.349305555559</v>
      </c>
    </row>
    <row r="61" spans="1:12" x14ac:dyDescent="0.3">
      <c r="A61">
        <v>105</v>
      </c>
      <c r="B61" t="s">
        <v>4055</v>
      </c>
      <c r="C61">
        <v>100004</v>
      </c>
      <c r="D61" t="s">
        <v>1125</v>
      </c>
      <c r="E61" t="s">
        <v>4077</v>
      </c>
      <c r="F61">
        <v>2003</v>
      </c>
      <c r="G61" t="s">
        <v>572</v>
      </c>
      <c r="H61" t="s">
        <v>4057</v>
      </c>
      <c r="I61">
        <v>0</v>
      </c>
      <c r="J61">
        <v>1310</v>
      </c>
      <c r="K61" t="s">
        <v>462</v>
      </c>
      <c r="L61" s="452">
        <v>46148.349305555559</v>
      </c>
    </row>
    <row r="62" spans="1:12" x14ac:dyDescent="0.3">
      <c r="A62">
        <v>105</v>
      </c>
      <c r="B62" t="s">
        <v>4055</v>
      </c>
      <c r="C62">
        <v>100005</v>
      </c>
      <c r="D62" t="s">
        <v>1102</v>
      </c>
      <c r="E62" t="s">
        <v>4078</v>
      </c>
      <c r="F62">
        <v>2003</v>
      </c>
      <c r="G62" t="s">
        <v>572</v>
      </c>
      <c r="H62" t="s">
        <v>4057</v>
      </c>
      <c r="I62">
        <v>0</v>
      </c>
      <c r="J62">
        <v>3180</v>
      </c>
      <c r="K62" t="s">
        <v>462</v>
      </c>
      <c r="L62" s="452">
        <v>46148.35</v>
      </c>
    </row>
    <row r="63" spans="1:12" x14ac:dyDescent="0.3">
      <c r="A63">
        <v>105</v>
      </c>
      <c r="B63" t="s">
        <v>4055</v>
      </c>
      <c r="C63">
        <v>100006</v>
      </c>
      <c r="D63" t="s">
        <v>1115</v>
      </c>
      <c r="E63" t="s">
        <v>4079</v>
      </c>
      <c r="F63">
        <v>2003</v>
      </c>
      <c r="G63" t="s">
        <v>572</v>
      </c>
      <c r="H63" t="s">
        <v>4057</v>
      </c>
      <c r="I63">
        <v>0</v>
      </c>
      <c r="J63">
        <v>780</v>
      </c>
      <c r="K63" t="s">
        <v>462</v>
      </c>
      <c r="L63" s="452">
        <v>46148.35</v>
      </c>
    </row>
    <row r="64" spans="1:12" x14ac:dyDescent="0.3">
      <c r="A64">
        <v>105</v>
      </c>
      <c r="B64" t="s">
        <v>4055</v>
      </c>
      <c r="C64">
        <v>666</v>
      </c>
      <c r="D64" t="s">
        <v>1110</v>
      </c>
      <c r="E64" t="s">
        <v>4056</v>
      </c>
      <c r="F64">
        <v>2003</v>
      </c>
      <c r="G64" t="s">
        <v>572</v>
      </c>
      <c r="H64" t="s">
        <v>4057</v>
      </c>
      <c r="I64">
        <v>0</v>
      </c>
      <c r="J64">
        <v>1170</v>
      </c>
      <c r="K64" t="s">
        <v>463</v>
      </c>
      <c r="L64" s="452">
        <v>46178.310416666667</v>
      </c>
    </row>
    <row r="65" spans="1:12" x14ac:dyDescent="0.3">
      <c r="A65">
        <v>105</v>
      </c>
      <c r="B65" t="s">
        <v>4055</v>
      </c>
      <c r="C65">
        <v>737</v>
      </c>
      <c r="D65" t="s">
        <v>1117</v>
      </c>
      <c r="E65" t="s">
        <v>4059</v>
      </c>
      <c r="F65">
        <v>2003</v>
      </c>
      <c r="G65" t="s">
        <v>572</v>
      </c>
      <c r="H65" t="s">
        <v>4057</v>
      </c>
      <c r="I65">
        <v>0</v>
      </c>
      <c r="J65">
        <v>380</v>
      </c>
      <c r="K65" t="s">
        <v>463</v>
      </c>
      <c r="L65" s="452">
        <v>46178.311111111107</v>
      </c>
    </row>
    <row r="66" spans="1:12" x14ac:dyDescent="0.3">
      <c r="A66">
        <v>105</v>
      </c>
      <c r="B66" t="s">
        <v>4055</v>
      </c>
      <c r="C66">
        <v>775</v>
      </c>
      <c r="D66" t="s">
        <v>1116</v>
      </c>
      <c r="E66" t="s">
        <v>4060</v>
      </c>
      <c r="F66">
        <v>2003</v>
      </c>
      <c r="G66" t="s">
        <v>572</v>
      </c>
      <c r="H66" t="s">
        <v>4057</v>
      </c>
      <c r="I66">
        <v>0</v>
      </c>
      <c r="J66">
        <v>1170</v>
      </c>
      <c r="K66" t="s">
        <v>463</v>
      </c>
      <c r="L66" s="452">
        <v>46178.311111111107</v>
      </c>
    </row>
    <row r="67" spans="1:12" x14ac:dyDescent="0.3">
      <c r="A67">
        <v>105</v>
      </c>
      <c r="B67" t="s">
        <v>4055</v>
      </c>
      <c r="C67">
        <v>777</v>
      </c>
      <c r="D67" t="s">
        <v>1109</v>
      </c>
      <c r="E67" t="s">
        <v>4061</v>
      </c>
      <c r="F67">
        <v>2003</v>
      </c>
      <c r="G67" t="s">
        <v>572</v>
      </c>
      <c r="H67" t="s">
        <v>4057</v>
      </c>
      <c r="I67">
        <v>0</v>
      </c>
      <c r="J67">
        <v>1300</v>
      </c>
      <c r="K67" t="s">
        <v>463</v>
      </c>
      <c r="L67" s="452">
        <v>46178.311111111107</v>
      </c>
    </row>
    <row r="68" spans="1:12" x14ac:dyDescent="0.3">
      <c r="A68">
        <v>105</v>
      </c>
      <c r="B68" t="s">
        <v>4055</v>
      </c>
      <c r="C68">
        <v>981</v>
      </c>
      <c r="D68" t="s">
        <v>1104</v>
      </c>
      <c r="E68" t="s">
        <v>4062</v>
      </c>
      <c r="F68">
        <v>2003</v>
      </c>
      <c r="G68" t="s">
        <v>572</v>
      </c>
      <c r="H68" t="s">
        <v>4057</v>
      </c>
      <c r="I68">
        <v>0</v>
      </c>
      <c r="J68">
        <v>740</v>
      </c>
      <c r="K68" t="s">
        <v>463</v>
      </c>
      <c r="L68" s="452">
        <v>46178.311111111107</v>
      </c>
    </row>
    <row r="69" spans="1:12" x14ac:dyDescent="0.3">
      <c r="A69">
        <v>105</v>
      </c>
      <c r="B69" t="s">
        <v>4055</v>
      </c>
      <c r="C69">
        <v>983</v>
      </c>
      <c r="D69" t="s">
        <v>1106</v>
      </c>
      <c r="E69" t="s">
        <v>4063</v>
      </c>
      <c r="F69">
        <v>2003</v>
      </c>
      <c r="G69" t="s">
        <v>572</v>
      </c>
      <c r="H69" t="s">
        <v>4057</v>
      </c>
      <c r="I69">
        <v>0</v>
      </c>
      <c r="J69">
        <v>680</v>
      </c>
      <c r="K69" t="s">
        <v>463</v>
      </c>
      <c r="L69" s="452">
        <v>46178.311111111107</v>
      </c>
    </row>
    <row r="70" spans="1:12" x14ac:dyDescent="0.3">
      <c r="A70">
        <v>105</v>
      </c>
      <c r="B70" t="s">
        <v>4055</v>
      </c>
      <c r="C70">
        <v>985</v>
      </c>
      <c r="D70" t="s">
        <v>1108</v>
      </c>
      <c r="E70" t="s">
        <v>4064</v>
      </c>
      <c r="F70">
        <v>2003</v>
      </c>
      <c r="G70" t="s">
        <v>572</v>
      </c>
      <c r="H70" t="s">
        <v>4057</v>
      </c>
      <c r="I70">
        <v>0</v>
      </c>
      <c r="J70">
        <v>2150</v>
      </c>
      <c r="K70" t="s">
        <v>463</v>
      </c>
      <c r="L70" s="452">
        <v>46178.311111111107</v>
      </c>
    </row>
    <row r="71" spans="1:12" x14ac:dyDescent="0.3">
      <c r="A71">
        <v>105</v>
      </c>
      <c r="B71" t="s">
        <v>4055</v>
      </c>
      <c r="C71">
        <v>989</v>
      </c>
      <c r="D71" t="s">
        <v>1114</v>
      </c>
      <c r="E71" t="s">
        <v>4065</v>
      </c>
      <c r="F71">
        <v>2003</v>
      </c>
      <c r="G71" t="s">
        <v>572</v>
      </c>
      <c r="H71" t="s">
        <v>4057</v>
      </c>
      <c r="I71">
        <v>0</v>
      </c>
      <c r="J71">
        <v>2290</v>
      </c>
      <c r="K71" t="s">
        <v>463</v>
      </c>
      <c r="L71" s="452">
        <v>46178.311111111107</v>
      </c>
    </row>
    <row r="72" spans="1:12" x14ac:dyDescent="0.3">
      <c r="A72">
        <v>105</v>
      </c>
      <c r="B72" t="s">
        <v>4055</v>
      </c>
      <c r="C72">
        <v>1038</v>
      </c>
      <c r="D72" t="s">
        <v>1113</v>
      </c>
      <c r="E72" t="s">
        <v>4066</v>
      </c>
      <c r="F72">
        <v>2003</v>
      </c>
      <c r="G72" t="s">
        <v>572</v>
      </c>
      <c r="H72" t="s">
        <v>4057</v>
      </c>
      <c r="I72">
        <v>0</v>
      </c>
      <c r="J72">
        <v>760</v>
      </c>
      <c r="K72" t="s">
        <v>463</v>
      </c>
      <c r="L72" s="452">
        <v>46178.311111111107</v>
      </c>
    </row>
    <row r="73" spans="1:12" x14ac:dyDescent="0.3">
      <c r="A73">
        <v>105</v>
      </c>
      <c r="B73" t="s">
        <v>4055</v>
      </c>
      <c r="C73">
        <v>1039</v>
      </c>
      <c r="D73" t="s">
        <v>970</v>
      </c>
      <c r="E73" t="s">
        <v>4067</v>
      </c>
      <c r="F73">
        <v>2003</v>
      </c>
      <c r="G73" t="s">
        <v>572</v>
      </c>
      <c r="H73" t="s">
        <v>4057</v>
      </c>
      <c r="I73">
        <v>0</v>
      </c>
      <c r="J73">
        <v>3020</v>
      </c>
      <c r="K73" t="s">
        <v>463</v>
      </c>
      <c r="L73" s="452">
        <v>46178.311111111107</v>
      </c>
    </row>
    <row r="74" spans="1:12" x14ac:dyDescent="0.3">
      <c r="A74">
        <v>105</v>
      </c>
      <c r="B74" t="s">
        <v>4055</v>
      </c>
      <c r="C74">
        <v>1127</v>
      </c>
      <c r="D74" t="s">
        <v>1105</v>
      </c>
      <c r="E74" t="s">
        <v>4068</v>
      </c>
      <c r="F74">
        <v>2003</v>
      </c>
      <c r="G74" t="s">
        <v>572</v>
      </c>
      <c r="H74" t="s">
        <v>4057</v>
      </c>
      <c r="I74">
        <v>0</v>
      </c>
      <c r="J74">
        <v>1300</v>
      </c>
      <c r="K74" t="s">
        <v>463</v>
      </c>
      <c r="L74" s="452">
        <v>46178.310416666667</v>
      </c>
    </row>
    <row r="75" spans="1:12" x14ac:dyDescent="0.3">
      <c r="A75">
        <v>105</v>
      </c>
      <c r="B75" t="s">
        <v>4055</v>
      </c>
      <c r="C75">
        <v>100000</v>
      </c>
      <c r="D75" t="s">
        <v>1103</v>
      </c>
      <c r="E75" t="s">
        <v>4069</v>
      </c>
      <c r="F75">
        <v>2003</v>
      </c>
      <c r="G75" t="s">
        <v>572</v>
      </c>
      <c r="H75" t="s">
        <v>4057</v>
      </c>
      <c r="I75">
        <v>0</v>
      </c>
      <c r="J75">
        <v>1000</v>
      </c>
      <c r="K75" t="s">
        <v>463</v>
      </c>
      <c r="L75" s="452">
        <v>46178.310416666667</v>
      </c>
    </row>
    <row r="76" spans="1:12" x14ac:dyDescent="0.3">
      <c r="A76">
        <v>105</v>
      </c>
      <c r="B76" t="s">
        <v>4055</v>
      </c>
      <c r="C76">
        <v>100004</v>
      </c>
      <c r="D76" t="s">
        <v>1125</v>
      </c>
      <c r="E76" t="s">
        <v>4077</v>
      </c>
      <c r="F76">
        <v>2003</v>
      </c>
      <c r="G76" t="s">
        <v>572</v>
      </c>
      <c r="H76" t="s">
        <v>4057</v>
      </c>
      <c r="I76">
        <v>0</v>
      </c>
      <c r="J76">
        <v>230</v>
      </c>
      <c r="K76" t="s">
        <v>463</v>
      </c>
      <c r="L76" s="452">
        <v>46178.310416666667</v>
      </c>
    </row>
    <row r="77" spans="1:12" x14ac:dyDescent="0.3">
      <c r="A77">
        <v>105</v>
      </c>
      <c r="B77" t="s">
        <v>4055</v>
      </c>
      <c r="C77">
        <v>100005</v>
      </c>
      <c r="D77" t="s">
        <v>1102</v>
      </c>
      <c r="E77" t="s">
        <v>4078</v>
      </c>
      <c r="F77">
        <v>2003</v>
      </c>
      <c r="G77" t="s">
        <v>572</v>
      </c>
      <c r="H77" t="s">
        <v>4057</v>
      </c>
      <c r="I77">
        <v>0</v>
      </c>
      <c r="J77">
        <v>1930</v>
      </c>
      <c r="K77" t="s">
        <v>463</v>
      </c>
      <c r="L77" s="452">
        <v>46178.310416666667</v>
      </c>
    </row>
    <row r="78" spans="1:12" x14ac:dyDescent="0.3">
      <c r="A78">
        <v>105</v>
      </c>
      <c r="B78" t="s">
        <v>4055</v>
      </c>
      <c r="C78">
        <v>100006</v>
      </c>
      <c r="D78" t="s">
        <v>1115</v>
      </c>
      <c r="E78" t="s">
        <v>4079</v>
      </c>
      <c r="F78">
        <v>2003</v>
      </c>
      <c r="G78" t="s">
        <v>572</v>
      </c>
      <c r="H78" t="s">
        <v>4057</v>
      </c>
      <c r="I78">
        <v>0</v>
      </c>
      <c r="J78">
        <v>1170</v>
      </c>
      <c r="K78" t="s">
        <v>463</v>
      </c>
      <c r="L78" s="452">
        <v>46178.310416666667</v>
      </c>
    </row>
    <row r="79" spans="1:12" x14ac:dyDescent="0.3">
      <c r="A79">
        <v>105</v>
      </c>
      <c r="B79" t="s">
        <v>4055</v>
      </c>
      <c r="C79">
        <v>666</v>
      </c>
      <c r="D79" t="s">
        <v>1110</v>
      </c>
      <c r="E79" t="s">
        <v>4056</v>
      </c>
      <c r="F79">
        <v>2003</v>
      </c>
      <c r="G79" t="s">
        <v>572</v>
      </c>
      <c r="H79" t="s">
        <v>4057</v>
      </c>
      <c r="I79">
        <v>0</v>
      </c>
      <c r="J79">
        <v>1220</v>
      </c>
      <c r="K79" t="s">
        <v>464</v>
      </c>
      <c r="L79" s="452">
        <v>46206.71597222222</v>
      </c>
    </row>
    <row r="80" spans="1:12" x14ac:dyDescent="0.3">
      <c r="A80">
        <v>105</v>
      </c>
      <c r="B80" t="s">
        <v>4055</v>
      </c>
      <c r="C80">
        <v>737</v>
      </c>
      <c r="D80" t="s">
        <v>1117</v>
      </c>
      <c r="E80" t="s">
        <v>4059</v>
      </c>
      <c r="F80">
        <v>2003</v>
      </c>
      <c r="G80" t="s">
        <v>572</v>
      </c>
      <c r="H80" t="s">
        <v>4057</v>
      </c>
      <c r="I80">
        <v>0</v>
      </c>
      <c r="J80">
        <v>790</v>
      </c>
      <c r="K80" t="s">
        <v>464</v>
      </c>
      <c r="L80" s="452">
        <v>46206.716666666667</v>
      </c>
    </row>
    <row r="81" spans="1:12" x14ac:dyDescent="0.3">
      <c r="A81">
        <v>105</v>
      </c>
      <c r="B81" t="s">
        <v>4055</v>
      </c>
      <c r="C81">
        <v>775</v>
      </c>
      <c r="D81" t="s">
        <v>1116</v>
      </c>
      <c r="E81" t="s">
        <v>4060</v>
      </c>
      <c r="F81">
        <v>2003</v>
      </c>
      <c r="G81" t="s">
        <v>572</v>
      </c>
      <c r="H81" t="s">
        <v>4057</v>
      </c>
      <c r="I81">
        <v>0</v>
      </c>
      <c r="J81">
        <v>270</v>
      </c>
      <c r="K81" t="s">
        <v>464</v>
      </c>
      <c r="L81" s="452">
        <v>46206.716666666667</v>
      </c>
    </row>
    <row r="82" spans="1:12" x14ac:dyDescent="0.3">
      <c r="A82">
        <v>105</v>
      </c>
      <c r="B82" t="s">
        <v>4055</v>
      </c>
      <c r="C82">
        <v>777</v>
      </c>
      <c r="D82" t="s">
        <v>1109</v>
      </c>
      <c r="E82" t="s">
        <v>4061</v>
      </c>
      <c r="F82">
        <v>2003</v>
      </c>
      <c r="G82" t="s">
        <v>572</v>
      </c>
      <c r="H82" t="s">
        <v>4057</v>
      </c>
      <c r="I82">
        <v>0</v>
      </c>
      <c r="J82">
        <v>1340</v>
      </c>
      <c r="K82" t="s">
        <v>464</v>
      </c>
      <c r="L82" s="452">
        <v>46206.716666666667</v>
      </c>
    </row>
    <row r="83" spans="1:12" x14ac:dyDescent="0.3">
      <c r="A83">
        <v>105</v>
      </c>
      <c r="B83" t="s">
        <v>4055</v>
      </c>
      <c r="C83">
        <v>981</v>
      </c>
      <c r="D83" t="s">
        <v>1104</v>
      </c>
      <c r="E83" t="s">
        <v>4062</v>
      </c>
      <c r="F83">
        <v>2003</v>
      </c>
      <c r="G83" t="s">
        <v>572</v>
      </c>
      <c r="H83" t="s">
        <v>4057</v>
      </c>
      <c r="I83">
        <v>0</v>
      </c>
      <c r="J83">
        <v>1840</v>
      </c>
      <c r="K83" t="s">
        <v>464</v>
      </c>
      <c r="L83" s="452">
        <v>46206.716666666667</v>
      </c>
    </row>
    <row r="84" spans="1:12" x14ac:dyDescent="0.3">
      <c r="A84">
        <v>105</v>
      </c>
      <c r="B84" t="s">
        <v>4055</v>
      </c>
      <c r="C84">
        <v>983</v>
      </c>
      <c r="D84" t="s">
        <v>1106</v>
      </c>
      <c r="E84" t="s">
        <v>4063</v>
      </c>
      <c r="F84">
        <v>2003</v>
      </c>
      <c r="G84" t="s">
        <v>572</v>
      </c>
      <c r="H84" t="s">
        <v>4057</v>
      </c>
      <c r="I84">
        <v>0</v>
      </c>
      <c r="J84">
        <v>310</v>
      </c>
      <c r="K84" t="s">
        <v>464</v>
      </c>
      <c r="L84" s="452">
        <v>46206.716666666667</v>
      </c>
    </row>
    <row r="85" spans="1:12" x14ac:dyDescent="0.3">
      <c r="A85">
        <v>105</v>
      </c>
      <c r="B85" t="s">
        <v>4055</v>
      </c>
      <c r="C85">
        <v>985</v>
      </c>
      <c r="D85" t="s">
        <v>1108</v>
      </c>
      <c r="E85" t="s">
        <v>4064</v>
      </c>
      <c r="F85">
        <v>2003</v>
      </c>
      <c r="G85" t="s">
        <v>572</v>
      </c>
      <c r="H85" t="s">
        <v>4057</v>
      </c>
      <c r="I85">
        <v>0</v>
      </c>
      <c r="J85">
        <v>2240</v>
      </c>
      <c r="K85" t="s">
        <v>464</v>
      </c>
      <c r="L85" s="452">
        <v>46206.716666666667</v>
      </c>
    </row>
    <row r="86" spans="1:12" x14ac:dyDescent="0.3">
      <c r="A86">
        <v>105</v>
      </c>
      <c r="B86" t="s">
        <v>4055</v>
      </c>
      <c r="C86">
        <v>989</v>
      </c>
      <c r="D86" t="s">
        <v>1114</v>
      </c>
      <c r="E86" t="s">
        <v>4065</v>
      </c>
      <c r="F86">
        <v>2003</v>
      </c>
      <c r="G86" t="s">
        <v>572</v>
      </c>
      <c r="H86" t="s">
        <v>4057</v>
      </c>
      <c r="I86">
        <v>0</v>
      </c>
      <c r="J86">
        <v>2200</v>
      </c>
      <c r="K86" t="s">
        <v>464</v>
      </c>
      <c r="L86" s="452">
        <v>46206.716666666667</v>
      </c>
    </row>
    <row r="87" spans="1:12" x14ac:dyDescent="0.3">
      <c r="A87">
        <v>105</v>
      </c>
      <c r="B87" t="s">
        <v>4055</v>
      </c>
      <c r="C87">
        <v>1038</v>
      </c>
      <c r="D87" t="s">
        <v>1113</v>
      </c>
      <c r="E87" t="s">
        <v>4066</v>
      </c>
      <c r="F87">
        <v>2003</v>
      </c>
      <c r="G87" t="s">
        <v>572</v>
      </c>
      <c r="H87" t="s">
        <v>4057</v>
      </c>
      <c r="I87">
        <v>0</v>
      </c>
      <c r="J87">
        <v>1020</v>
      </c>
      <c r="K87" t="s">
        <v>464</v>
      </c>
      <c r="L87" s="452">
        <v>46206.716666666667</v>
      </c>
    </row>
    <row r="88" spans="1:12" x14ac:dyDescent="0.3">
      <c r="A88">
        <v>105</v>
      </c>
      <c r="B88" t="s">
        <v>4055</v>
      </c>
      <c r="C88">
        <v>1039</v>
      </c>
      <c r="D88" t="s">
        <v>970</v>
      </c>
      <c r="E88" t="s">
        <v>4067</v>
      </c>
      <c r="F88">
        <v>2003</v>
      </c>
      <c r="G88" t="s">
        <v>572</v>
      </c>
      <c r="H88" t="s">
        <v>4057</v>
      </c>
      <c r="I88">
        <v>0</v>
      </c>
      <c r="J88">
        <v>2120</v>
      </c>
      <c r="K88" t="s">
        <v>464</v>
      </c>
      <c r="L88" s="452">
        <v>46206.716666666667</v>
      </c>
    </row>
    <row r="89" spans="1:12" x14ac:dyDescent="0.3">
      <c r="A89">
        <v>105</v>
      </c>
      <c r="B89" t="s">
        <v>4055</v>
      </c>
      <c r="C89">
        <v>1127</v>
      </c>
      <c r="D89" t="s">
        <v>1105</v>
      </c>
      <c r="E89" t="s">
        <v>4068</v>
      </c>
      <c r="F89">
        <v>2003</v>
      </c>
      <c r="G89" t="s">
        <v>572</v>
      </c>
      <c r="H89" t="s">
        <v>4057</v>
      </c>
      <c r="I89">
        <v>0</v>
      </c>
      <c r="J89">
        <v>1340</v>
      </c>
      <c r="K89" t="s">
        <v>464</v>
      </c>
      <c r="L89" s="452">
        <v>46206.716666666667</v>
      </c>
    </row>
    <row r="90" spans="1:12" x14ac:dyDescent="0.3">
      <c r="A90">
        <v>105</v>
      </c>
      <c r="B90" t="s">
        <v>4055</v>
      </c>
      <c r="C90">
        <v>100000</v>
      </c>
      <c r="D90" t="s">
        <v>1103</v>
      </c>
      <c r="E90" t="s">
        <v>4069</v>
      </c>
      <c r="F90">
        <v>2003</v>
      </c>
      <c r="G90" t="s">
        <v>572</v>
      </c>
      <c r="H90" t="s">
        <v>4057</v>
      </c>
      <c r="I90">
        <v>0</v>
      </c>
      <c r="J90">
        <v>1020</v>
      </c>
      <c r="K90" t="s">
        <v>464</v>
      </c>
      <c r="L90" s="452">
        <v>46206.716666666667</v>
      </c>
    </row>
    <row r="91" spans="1:12" x14ac:dyDescent="0.3">
      <c r="A91">
        <v>105</v>
      </c>
      <c r="B91" t="s">
        <v>4055</v>
      </c>
      <c r="C91">
        <v>100005</v>
      </c>
      <c r="D91" t="s">
        <v>1102</v>
      </c>
      <c r="E91" t="s">
        <v>4078</v>
      </c>
      <c r="F91">
        <v>2003</v>
      </c>
      <c r="G91" t="s">
        <v>572</v>
      </c>
      <c r="H91" t="s">
        <v>4057</v>
      </c>
      <c r="I91">
        <v>0</v>
      </c>
      <c r="J91">
        <v>2140</v>
      </c>
      <c r="K91" t="s">
        <v>464</v>
      </c>
      <c r="L91" s="452">
        <v>46206.716666666667</v>
      </c>
    </row>
    <row r="92" spans="1:12" x14ac:dyDescent="0.3">
      <c r="A92">
        <v>105</v>
      </c>
      <c r="B92" t="s">
        <v>4055</v>
      </c>
      <c r="C92">
        <v>100006</v>
      </c>
      <c r="D92" t="s">
        <v>1115</v>
      </c>
      <c r="E92" t="s">
        <v>4079</v>
      </c>
      <c r="F92">
        <v>2003</v>
      </c>
      <c r="G92" t="s">
        <v>572</v>
      </c>
      <c r="H92" t="s">
        <v>4057</v>
      </c>
      <c r="I92">
        <v>0</v>
      </c>
      <c r="J92">
        <v>790</v>
      </c>
      <c r="K92" t="s">
        <v>464</v>
      </c>
      <c r="L92" s="452">
        <v>46206.716666666667</v>
      </c>
    </row>
    <row r="93" spans="1:12" x14ac:dyDescent="0.3">
      <c r="A93">
        <v>105</v>
      </c>
      <c r="B93" t="s">
        <v>4055</v>
      </c>
      <c r="C93">
        <v>100007</v>
      </c>
      <c r="D93" t="s">
        <v>1107</v>
      </c>
      <c r="E93" t="s">
        <v>4080</v>
      </c>
      <c r="F93">
        <v>2003</v>
      </c>
      <c r="G93" t="s">
        <v>572</v>
      </c>
      <c r="H93" t="s">
        <v>4057</v>
      </c>
      <c r="I93">
        <v>0</v>
      </c>
      <c r="J93">
        <v>970</v>
      </c>
      <c r="K93" t="s">
        <v>464</v>
      </c>
      <c r="L93" s="452">
        <v>46206.717361111107</v>
      </c>
    </row>
    <row r="94" spans="1:12" x14ac:dyDescent="0.3">
      <c r="A94">
        <v>105</v>
      </c>
      <c r="B94" t="s">
        <v>4055</v>
      </c>
      <c r="C94">
        <v>100008</v>
      </c>
      <c r="D94" t="s">
        <v>974</v>
      </c>
      <c r="E94" t="s">
        <v>4081</v>
      </c>
      <c r="F94">
        <v>2003</v>
      </c>
      <c r="G94" t="s">
        <v>572</v>
      </c>
      <c r="H94" t="s">
        <v>4057</v>
      </c>
      <c r="I94">
        <v>0</v>
      </c>
      <c r="J94">
        <v>350</v>
      </c>
      <c r="K94" t="s">
        <v>464</v>
      </c>
      <c r="L94" s="452">
        <v>46206.717361111107</v>
      </c>
    </row>
    <row r="95" spans="1:12" x14ac:dyDescent="0.3">
      <c r="A95">
        <v>105</v>
      </c>
      <c r="B95" t="s">
        <v>4055</v>
      </c>
      <c r="C95">
        <v>100004</v>
      </c>
      <c r="D95" t="s">
        <v>1125</v>
      </c>
      <c r="E95" t="s">
        <v>4077</v>
      </c>
      <c r="F95">
        <v>2003</v>
      </c>
      <c r="G95" t="s">
        <v>572</v>
      </c>
      <c r="H95" t="s">
        <v>4072</v>
      </c>
      <c r="I95">
        <v>0</v>
      </c>
      <c r="J95">
        <v>250</v>
      </c>
      <c r="K95" t="s">
        <v>464</v>
      </c>
      <c r="L95" s="452">
        <v>46197.527777777781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5"/>
  <sheetViews>
    <sheetView workbookViewId="0"/>
  </sheetViews>
  <sheetFormatPr defaultRowHeight="14.4" x14ac:dyDescent="0.3"/>
  <sheetData>
    <row r="1" spans="1:12" x14ac:dyDescent="0.3">
      <c r="A1" t="s">
        <v>4082</v>
      </c>
      <c r="B1" t="s">
        <v>552</v>
      </c>
      <c r="C1" t="s">
        <v>3900</v>
      </c>
      <c r="D1" t="s">
        <v>4083</v>
      </c>
      <c r="E1" t="s">
        <v>4084</v>
      </c>
      <c r="F1" t="s">
        <v>4085</v>
      </c>
      <c r="G1" t="s">
        <v>4086</v>
      </c>
      <c r="H1" t="s">
        <v>4087</v>
      </c>
      <c r="I1" t="s">
        <v>4088</v>
      </c>
      <c r="J1" t="s">
        <v>4089</v>
      </c>
      <c r="K1" t="s">
        <v>4090</v>
      </c>
      <c r="L1" t="s">
        <v>556</v>
      </c>
    </row>
    <row r="2" spans="1:12" x14ac:dyDescent="0.3">
      <c r="A2" t="s">
        <v>557</v>
      </c>
      <c r="B2" s="452">
        <v>46054</v>
      </c>
      <c r="C2" t="s">
        <v>4091</v>
      </c>
      <c r="D2">
        <v>281.3</v>
      </c>
      <c r="E2">
        <v>0.28999999999999998</v>
      </c>
      <c r="F2">
        <v>199.72</v>
      </c>
      <c r="G2">
        <v>81.58</v>
      </c>
      <c r="H2" t="s">
        <v>303</v>
      </c>
      <c r="K2" t="s">
        <v>42</v>
      </c>
      <c r="L2" t="s">
        <v>586</v>
      </c>
    </row>
    <row r="3" spans="1:12" x14ac:dyDescent="0.3">
      <c r="A3" t="s">
        <v>557</v>
      </c>
      <c r="B3" s="452">
        <v>46113</v>
      </c>
      <c r="C3" t="s">
        <v>4091</v>
      </c>
      <c r="D3">
        <v>1139.9000000000001</v>
      </c>
      <c r="E3">
        <v>0.28999999999999998</v>
      </c>
      <c r="F3">
        <v>809.33</v>
      </c>
      <c r="G3">
        <v>330.57</v>
      </c>
      <c r="H3" t="s">
        <v>303</v>
      </c>
      <c r="K3" t="s">
        <v>42</v>
      </c>
      <c r="L3" t="s">
        <v>590</v>
      </c>
    </row>
    <row r="4" spans="1:12" x14ac:dyDescent="0.3">
      <c r="A4" t="s">
        <v>557</v>
      </c>
      <c r="B4" s="452">
        <v>46143</v>
      </c>
      <c r="C4" t="s">
        <v>4092</v>
      </c>
      <c r="D4">
        <v>1709.1</v>
      </c>
      <c r="E4">
        <v>0.28999999999999998</v>
      </c>
      <c r="F4">
        <v>1709.1</v>
      </c>
      <c r="G4">
        <v>495.64</v>
      </c>
      <c r="K4" t="s">
        <v>4093</v>
      </c>
      <c r="L4" t="s">
        <v>592</v>
      </c>
    </row>
    <row r="5" spans="1:12" x14ac:dyDescent="0.3">
      <c r="A5" t="s">
        <v>557</v>
      </c>
      <c r="B5" s="452">
        <v>46082</v>
      </c>
      <c r="C5" t="s">
        <v>4094</v>
      </c>
      <c r="D5">
        <v>4309</v>
      </c>
      <c r="E5">
        <v>0.28999999999999998</v>
      </c>
      <c r="F5">
        <v>4309</v>
      </c>
      <c r="G5">
        <v>1249.6099999999999</v>
      </c>
      <c r="K5" t="s">
        <v>4093</v>
      </c>
      <c r="L5" t="s">
        <v>588</v>
      </c>
    </row>
    <row r="6" spans="1:12" x14ac:dyDescent="0.3">
      <c r="A6" t="s">
        <v>557</v>
      </c>
      <c r="B6" s="452">
        <v>46143</v>
      </c>
      <c r="C6" t="s">
        <v>4095</v>
      </c>
      <c r="D6">
        <v>2636.9</v>
      </c>
      <c r="E6">
        <v>0.28999999999999998</v>
      </c>
      <c r="F6">
        <v>2636.9</v>
      </c>
      <c r="G6">
        <v>764.7</v>
      </c>
      <c r="K6" t="s">
        <v>4093</v>
      </c>
      <c r="L6" t="s">
        <v>592</v>
      </c>
    </row>
    <row r="7" spans="1:12" x14ac:dyDescent="0.3">
      <c r="A7" t="s">
        <v>557</v>
      </c>
      <c r="B7" s="452">
        <v>46082</v>
      </c>
      <c r="C7" t="s">
        <v>4096</v>
      </c>
      <c r="D7">
        <v>2865</v>
      </c>
      <c r="E7">
        <v>0.28999999999999998</v>
      </c>
      <c r="F7">
        <v>2865</v>
      </c>
      <c r="G7">
        <v>830.85</v>
      </c>
      <c r="K7" t="s">
        <v>4093</v>
      </c>
      <c r="L7" t="s">
        <v>588</v>
      </c>
    </row>
    <row r="8" spans="1:12" x14ac:dyDescent="0.3">
      <c r="A8" t="s">
        <v>557</v>
      </c>
      <c r="B8" s="452">
        <v>46143</v>
      </c>
      <c r="C8" t="s">
        <v>4097</v>
      </c>
      <c r="D8">
        <v>1276.9000000000001</v>
      </c>
      <c r="E8">
        <v>0.28999999999999998</v>
      </c>
      <c r="F8">
        <v>1276.9000000000001</v>
      </c>
      <c r="G8">
        <v>370.3</v>
      </c>
      <c r="K8" t="s">
        <v>4093</v>
      </c>
      <c r="L8" t="s">
        <v>592</v>
      </c>
    </row>
    <row r="9" spans="1:12" x14ac:dyDescent="0.3">
      <c r="A9" t="s">
        <v>557</v>
      </c>
      <c r="B9" s="452">
        <v>46023</v>
      </c>
      <c r="C9" t="s">
        <v>4098</v>
      </c>
      <c r="D9">
        <v>3801.1</v>
      </c>
      <c r="E9">
        <v>0.28999999999999998</v>
      </c>
      <c r="F9">
        <v>3801.1</v>
      </c>
      <c r="G9">
        <v>1102.32</v>
      </c>
      <c r="K9" t="s">
        <v>4093</v>
      </c>
      <c r="L9" t="s">
        <v>561</v>
      </c>
    </row>
    <row r="10" spans="1:12" x14ac:dyDescent="0.3">
      <c r="A10" t="s">
        <v>557</v>
      </c>
      <c r="B10" s="452">
        <v>46082</v>
      </c>
      <c r="C10" t="s">
        <v>4099</v>
      </c>
      <c r="D10">
        <v>3209.8</v>
      </c>
      <c r="E10">
        <v>0.28999999999999998</v>
      </c>
      <c r="F10">
        <v>3209.8</v>
      </c>
      <c r="G10">
        <v>930.84</v>
      </c>
      <c r="K10" t="s">
        <v>4093</v>
      </c>
      <c r="L10" t="s">
        <v>588</v>
      </c>
    </row>
    <row r="11" spans="1:12" x14ac:dyDescent="0.3">
      <c r="A11" t="s">
        <v>557</v>
      </c>
      <c r="B11" s="452">
        <v>46143</v>
      </c>
      <c r="C11" t="s">
        <v>4100</v>
      </c>
      <c r="D11">
        <v>5124.5</v>
      </c>
      <c r="E11">
        <v>0.28999999999999998</v>
      </c>
      <c r="F11">
        <v>5124.5</v>
      </c>
      <c r="G11">
        <v>1486.11</v>
      </c>
      <c r="K11" t="s">
        <v>4093</v>
      </c>
      <c r="L11" t="s">
        <v>592</v>
      </c>
    </row>
    <row r="12" spans="1:12" x14ac:dyDescent="0.3">
      <c r="A12" t="s">
        <v>557</v>
      </c>
      <c r="B12" s="452">
        <v>46023</v>
      </c>
      <c r="C12" t="s">
        <v>4101</v>
      </c>
      <c r="D12">
        <v>408.03</v>
      </c>
      <c r="E12">
        <v>0.28999999999999998</v>
      </c>
      <c r="F12">
        <v>408.03</v>
      </c>
      <c r="G12">
        <v>118.33</v>
      </c>
      <c r="K12" t="s">
        <v>40</v>
      </c>
      <c r="L12" t="s">
        <v>561</v>
      </c>
    </row>
    <row r="13" spans="1:12" x14ac:dyDescent="0.3">
      <c r="A13" t="s">
        <v>557</v>
      </c>
      <c r="B13" s="452">
        <v>46113</v>
      </c>
      <c r="C13" t="s">
        <v>4101</v>
      </c>
      <c r="D13">
        <v>20.7</v>
      </c>
      <c r="E13">
        <v>0.28999999999999998</v>
      </c>
      <c r="F13">
        <v>20.7</v>
      </c>
      <c r="G13">
        <v>6</v>
      </c>
      <c r="K13" t="s">
        <v>40</v>
      </c>
      <c r="L13" t="s">
        <v>590</v>
      </c>
    </row>
    <row r="14" spans="1:12" x14ac:dyDescent="0.3">
      <c r="A14" t="s">
        <v>557</v>
      </c>
      <c r="B14" s="452">
        <v>46082</v>
      </c>
      <c r="C14" t="s">
        <v>4101</v>
      </c>
      <c r="D14">
        <v>236.01</v>
      </c>
      <c r="E14">
        <v>0.28999999999999998</v>
      </c>
      <c r="F14">
        <v>236.01</v>
      </c>
      <c r="G14">
        <v>68.44</v>
      </c>
      <c r="K14" t="s">
        <v>40</v>
      </c>
      <c r="L14" t="s">
        <v>588</v>
      </c>
    </row>
    <row r="15" spans="1:12" x14ac:dyDescent="0.3">
      <c r="A15" t="s">
        <v>557</v>
      </c>
      <c r="B15" s="452">
        <v>46054</v>
      </c>
      <c r="C15" t="s">
        <v>4101</v>
      </c>
      <c r="D15">
        <v>301.26</v>
      </c>
      <c r="E15">
        <v>0.28999999999999998</v>
      </c>
      <c r="F15">
        <v>301.26</v>
      </c>
      <c r="G15">
        <v>87.37</v>
      </c>
      <c r="K15" t="s">
        <v>40</v>
      </c>
      <c r="L15" t="s">
        <v>586</v>
      </c>
    </row>
    <row r="16" spans="1:12" x14ac:dyDescent="0.3">
      <c r="A16" t="s">
        <v>557</v>
      </c>
      <c r="B16" s="452">
        <v>46174</v>
      </c>
      <c r="C16" t="s">
        <v>4101</v>
      </c>
      <c r="D16">
        <v>134.79</v>
      </c>
      <c r="E16">
        <v>0.28999999999999998</v>
      </c>
      <c r="F16">
        <v>134.79</v>
      </c>
      <c r="G16">
        <v>39.090000000000003</v>
      </c>
      <c r="K16" t="s">
        <v>40</v>
      </c>
      <c r="L16" t="s">
        <v>594</v>
      </c>
    </row>
    <row r="17" spans="1:12" x14ac:dyDescent="0.3">
      <c r="A17" t="s">
        <v>557</v>
      </c>
      <c r="B17" s="452">
        <v>46113</v>
      </c>
      <c r="C17" t="s">
        <v>4102</v>
      </c>
      <c r="D17">
        <v>567.72</v>
      </c>
      <c r="E17">
        <v>0.28999999999999998</v>
      </c>
      <c r="F17">
        <v>567.72</v>
      </c>
      <c r="G17">
        <v>164.64</v>
      </c>
      <c r="K17" t="s">
        <v>38</v>
      </c>
      <c r="L17" t="s">
        <v>590</v>
      </c>
    </row>
    <row r="18" spans="1:12" x14ac:dyDescent="0.3">
      <c r="A18" t="s">
        <v>557</v>
      </c>
      <c r="B18" s="452">
        <v>46054</v>
      </c>
      <c r="C18" t="s">
        <v>4103</v>
      </c>
      <c r="D18">
        <v>377.49</v>
      </c>
      <c r="E18">
        <v>0.28999999999999998</v>
      </c>
      <c r="F18">
        <v>377.49</v>
      </c>
      <c r="G18">
        <v>109.47</v>
      </c>
      <c r="K18" t="s">
        <v>40</v>
      </c>
      <c r="L18" t="s">
        <v>586</v>
      </c>
    </row>
    <row r="19" spans="1:12" x14ac:dyDescent="0.3">
      <c r="A19" t="s">
        <v>557</v>
      </c>
      <c r="B19" s="452">
        <v>46023</v>
      </c>
      <c r="C19" t="s">
        <v>4103</v>
      </c>
      <c r="D19">
        <v>199.02</v>
      </c>
      <c r="E19">
        <v>0.28999999999999998</v>
      </c>
      <c r="F19">
        <v>199.02</v>
      </c>
      <c r="G19">
        <v>57.72</v>
      </c>
      <c r="K19" t="s">
        <v>40</v>
      </c>
      <c r="L19" t="s">
        <v>561</v>
      </c>
    </row>
    <row r="20" spans="1:12" x14ac:dyDescent="0.3">
      <c r="A20" t="s">
        <v>557</v>
      </c>
      <c r="B20" s="452">
        <v>46174</v>
      </c>
      <c r="C20" t="s">
        <v>4103</v>
      </c>
      <c r="D20">
        <v>58.8</v>
      </c>
      <c r="E20">
        <v>0.28999999999999998</v>
      </c>
      <c r="F20">
        <v>58.8</v>
      </c>
      <c r="G20">
        <v>17.05</v>
      </c>
      <c r="K20" t="s">
        <v>40</v>
      </c>
      <c r="L20" t="s">
        <v>594</v>
      </c>
    </row>
    <row r="21" spans="1:12" x14ac:dyDescent="0.3">
      <c r="A21" t="s">
        <v>557</v>
      </c>
      <c r="B21" s="452">
        <v>46174</v>
      </c>
      <c r="C21" t="s">
        <v>4104</v>
      </c>
      <c r="D21">
        <v>1888.59</v>
      </c>
      <c r="E21">
        <v>0.28999999999999998</v>
      </c>
      <c r="F21">
        <v>1888.59</v>
      </c>
      <c r="G21">
        <v>547.69000000000005</v>
      </c>
      <c r="K21" t="s">
        <v>40</v>
      </c>
      <c r="L21" t="s">
        <v>594</v>
      </c>
    </row>
    <row r="22" spans="1:12" x14ac:dyDescent="0.3">
      <c r="A22" t="s">
        <v>557</v>
      </c>
      <c r="B22" s="452">
        <v>46023</v>
      </c>
      <c r="C22" t="s">
        <v>4104</v>
      </c>
      <c r="D22">
        <v>1440.66</v>
      </c>
      <c r="E22">
        <v>0.28999999999999998</v>
      </c>
      <c r="F22">
        <v>1440.66</v>
      </c>
      <c r="G22">
        <v>417.79</v>
      </c>
      <c r="K22" t="s">
        <v>40</v>
      </c>
      <c r="L22" t="s">
        <v>561</v>
      </c>
    </row>
    <row r="23" spans="1:12" x14ac:dyDescent="0.3">
      <c r="A23" t="s">
        <v>557</v>
      </c>
      <c r="B23" s="452">
        <v>46113</v>
      </c>
      <c r="C23" t="s">
        <v>4104</v>
      </c>
      <c r="D23">
        <v>1134.81</v>
      </c>
      <c r="E23">
        <v>0.28999999999999998</v>
      </c>
      <c r="F23">
        <v>1134.81</v>
      </c>
      <c r="G23">
        <v>329.09</v>
      </c>
      <c r="K23" t="s">
        <v>40</v>
      </c>
      <c r="L23" t="s">
        <v>590</v>
      </c>
    </row>
    <row r="24" spans="1:12" x14ac:dyDescent="0.3">
      <c r="A24" t="s">
        <v>557</v>
      </c>
      <c r="B24" s="452">
        <v>46143</v>
      </c>
      <c r="C24" t="s">
        <v>4104</v>
      </c>
      <c r="D24">
        <v>1130.1300000000001</v>
      </c>
      <c r="E24">
        <v>0.28999999999999998</v>
      </c>
      <c r="F24">
        <v>1130.1300000000001</v>
      </c>
      <c r="G24">
        <v>327.74</v>
      </c>
      <c r="K24" t="s">
        <v>40</v>
      </c>
      <c r="L24" t="s">
        <v>592</v>
      </c>
    </row>
    <row r="25" spans="1:12" x14ac:dyDescent="0.3">
      <c r="A25" t="s">
        <v>557</v>
      </c>
      <c r="B25" s="452">
        <v>46054</v>
      </c>
      <c r="C25" t="s">
        <v>4104</v>
      </c>
      <c r="D25">
        <v>916.2</v>
      </c>
      <c r="E25">
        <v>0.28999999999999998</v>
      </c>
      <c r="F25">
        <v>916.2</v>
      </c>
      <c r="G25">
        <v>265.7</v>
      </c>
      <c r="K25" t="s">
        <v>40</v>
      </c>
      <c r="L25" t="s">
        <v>586</v>
      </c>
    </row>
    <row r="26" spans="1:12" x14ac:dyDescent="0.3">
      <c r="A26" t="s">
        <v>557</v>
      </c>
      <c r="B26" s="452">
        <v>46082</v>
      </c>
      <c r="C26" t="s">
        <v>4104</v>
      </c>
      <c r="D26">
        <v>2853.21</v>
      </c>
      <c r="E26">
        <v>0.28999999999999998</v>
      </c>
      <c r="F26">
        <v>2853.21</v>
      </c>
      <c r="G26">
        <v>827.43</v>
      </c>
      <c r="K26" t="s">
        <v>40</v>
      </c>
      <c r="L26" t="s">
        <v>588</v>
      </c>
    </row>
    <row r="27" spans="1:12" x14ac:dyDescent="0.3">
      <c r="A27" t="s">
        <v>557</v>
      </c>
      <c r="B27" s="452">
        <v>46082</v>
      </c>
      <c r="C27" t="s">
        <v>4105</v>
      </c>
      <c r="D27">
        <v>5108.1000000000004</v>
      </c>
      <c r="E27">
        <v>0.28999999999999998</v>
      </c>
      <c r="F27">
        <v>5108.1000000000004</v>
      </c>
      <c r="G27">
        <v>1481.35</v>
      </c>
      <c r="K27" t="s">
        <v>40</v>
      </c>
      <c r="L27" t="s">
        <v>588</v>
      </c>
    </row>
    <row r="28" spans="1:12" x14ac:dyDescent="0.3">
      <c r="A28" t="s">
        <v>557</v>
      </c>
      <c r="B28" s="452">
        <v>46113</v>
      </c>
      <c r="C28" t="s">
        <v>4105</v>
      </c>
      <c r="D28">
        <v>3911.61</v>
      </c>
      <c r="E28">
        <v>0.28999999999999998</v>
      </c>
      <c r="F28">
        <v>3911.61</v>
      </c>
      <c r="G28">
        <v>1134.3699999999999</v>
      </c>
      <c r="K28" t="s">
        <v>40</v>
      </c>
      <c r="L28" t="s">
        <v>590</v>
      </c>
    </row>
    <row r="29" spans="1:12" x14ac:dyDescent="0.3">
      <c r="A29" t="s">
        <v>557</v>
      </c>
      <c r="B29" s="452">
        <v>46174</v>
      </c>
      <c r="C29" t="s">
        <v>4105</v>
      </c>
      <c r="D29">
        <v>3790.95</v>
      </c>
      <c r="E29">
        <v>0.28999999999999998</v>
      </c>
      <c r="F29">
        <v>3790.95</v>
      </c>
      <c r="G29">
        <v>1099.3800000000001</v>
      </c>
      <c r="K29" t="s">
        <v>40</v>
      </c>
      <c r="L29" t="s">
        <v>594</v>
      </c>
    </row>
    <row r="30" spans="1:12" x14ac:dyDescent="0.3">
      <c r="A30" t="s">
        <v>557</v>
      </c>
      <c r="B30" s="452">
        <v>46054</v>
      </c>
      <c r="C30" t="s">
        <v>4105</v>
      </c>
      <c r="D30">
        <v>4610.79</v>
      </c>
      <c r="E30">
        <v>0.28999999999999998</v>
      </c>
      <c r="F30">
        <v>4610.79</v>
      </c>
      <c r="G30">
        <v>1337.13</v>
      </c>
      <c r="K30" t="s">
        <v>40</v>
      </c>
      <c r="L30" t="s">
        <v>586</v>
      </c>
    </row>
    <row r="31" spans="1:12" x14ac:dyDescent="0.3">
      <c r="A31" t="s">
        <v>557</v>
      </c>
      <c r="B31" s="452">
        <v>46143</v>
      </c>
      <c r="C31" t="s">
        <v>4105</v>
      </c>
      <c r="D31">
        <v>3134.94</v>
      </c>
      <c r="E31">
        <v>0.28999999999999998</v>
      </c>
      <c r="F31">
        <v>3134.94</v>
      </c>
      <c r="G31">
        <v>909.13</v>
      </c>
      <c r="K31" t="s">
        <v>40</v>
      </c>
      <c r="L31" t="s">
        <v>592</v>
      </c>
    </row>
    <row r="32" spans="1:12" x14ac:dyDescent="0.3">
      <c r="A32" t="s">
        <v>557</v>
      </c>
      <c r="B32" s="452">
        <v>46023</v>
      </c>
      <c r="C32" t="s">
        <v>4105</v>
      </c>
      <c r="D32">
        <v>4270.17</v>
      </c>
      <c r="E32">
        <v>0.28999999999999998</v>
      </c>
      <c r="F32">
        <v>4270.17</v>
      </c>
      <c r="G32">
        <v>1238.3499999999999</v>
      </c>
      <c r="K32" t="s">
        <v>40</v>
      </c>
      <c r="L32" t="s">
        <v>561</v>
      </c>
    </row>
    <row r="33" spans="1:12" x14ac:dyDescent="0.3">
      <c r="A33" t="s">
        <v>557</v>
      </c>
      <c r="B33" s="452">
        <v>46082</v>
      </c>
      <c r="C33" t="s">
        <v>4106</v>
      </c>
      <c r="D33">
        <v>16.8</v>
      </c>
      <c r="E33">
        <v>0.28999999999999998</v>
      </c>
      <c r="F33">
        <v>11.93</v>
      </c>
      <c r="G33">
        <v>4.87</v>
      </c>
      <c r="H33" t="s">
        <v>252</v>
      </c>
      <c r="K33" t="s">
        <v>40</v>
      </c>
      <c r="L33" t="s">
        <v>588</v>
      </c>
    </row>
    <row r="34" spans="1:12" x14ac:dyDescent="0.3">
      <c r="A34" t="s">
        <v>557</v>
      </c>
      <c r="B34" s="452">
        <v>46113</v>
      </c>
      <c r="C34" t="s">
        <v>4106</v>
      </c>
      <c r="D34">
        <v>206.9</v>
      </c>
      <c r="E34">
        <v>0.28999999999999998</v>
      </c>
      <c r="F34">
        <v>146.9</v>
      </c>
      <c r="G34">
        <v>60</v>
      </c>
      <c r="H34" t="s">
        <v>252</v>
      </c>
      <c r="K34" t="s">
        <v>40</v>
      </c>
      <c r="L34" t="s">
        <v>590</v>
      </c>
    </row>
    <row r="35" spans="1:12" x14ac:dyDescent="0.3">
      <c r="A35" t="s">
        <v>557</v>
      </c>
      <c r="B35" s="452">
        <v>46143</v>
      </c>
      <c r="C35" t="s">
        <v>4106</v>
      </c>
      <c r="D35">
        <v>180.48</v>
      </c>
      <c r="E35">
        <v>0.28999999999999998</v>
      </c>
      <c r="F35">
        <v>128.13999999999999</v>
      </c>
      <c r="G35">
        <v>52.34</v>
      </c>
      <c r="H35" t="s">
        <v>252</v>
      </c>
      <c r="K35" t="s">
        <v>40</v>
      </c>
      <c r="L35" t="s">
        <v>592</v>
      </c>
    </row>
    <row r="36" spans="1:12" x14ac:dyDescent="0.3">
      <c r="A36" t="s">
        <v>557</v>
      </c>
      <c r="B36" s="452">
        <v>46054</v>
      </c>
      <c r="C36" t="s">
        <v>4106</v>
      </c>
      <c r="D36">
        <v>55.02</v>
      </c>
      <c r="E36">
        <v>0.28999999999999998</v>
      </c>
      <c r="F36">
        <v>39.06</v>
      </c>
      <c r="G36">
        <v>15.96</v>
      </c>
      <c r="H36" t="s">
        <v>252</v>
      </c>
      <c r="K36" t="s">
        <v>40</v>
      </c>
      <c r="L36" t="s">
        <v>586</v>
      </c>
    </row>
    <row r="37" spans="1:12" x14ac:dyDescent="0.3">
      <c r="A37" t="s">
        <v>557</v>
      </c>
      <c r="B37" s="452">
        <v>46174</v>
      </c>
      <c r="C37" t="s">
        <v>4106</v>
      </c>
      <c r="D37">
        <v>198.6</v>
      </c>
      <c r="E37">
        <v>0.28999999999999998</v>
      </c>
      <c r="F37">
        <v>141.01</v>
      </c>
      <c r="G37">
        <v>57.59</v>
      </c>
      <c r="H37" t="s">
        <v>252</v>
      </c>
      <c r="K37" t="s">
        <v>40</v>
      </c>
      <c r="L37" t="s">
        <v>594</v>
      </c>
    </row>
    <row r="38" spans="1:12" x14ac:dyDescent="0.3">
      <c r="A38" t="s">
        <v>557</v>
      </c>
      <c r="B38" s="452">
        <v>46023</v>
      </c>
      <c r="C38" t="s">
        <v>4106</v>
      </c>
      <c r="D38">
        <v>8.6999999999999993</v>
      </c>
      <c r="E38">
        <v>0.28999999999999998</v>
      </c>
      <c r="F38">
        <v>6.18</v>
      </c>
      <c r="G38">
        <v>2.52</v>
      </c>
      <c r="H38" t="s">
        <v>252</v>
      </c>
      <c r="K38" t="s">
        <v>40</v>
      </c>
      <c r="L38" t="s">
        <v>561</v>
      </c>
    </row>
    <row r="39" spans="1:12" x14ac:dyDescent="0.3">
      <c r="A39" t="s">
        <v>557</v>
      </c>
      <c r="B39" s="452">
        <v>46143</v>
      </c>
      <c r="C39" t="s">
        <v>4107</v>
      </c>
      <c r="D39">
        <v>2799.89</v>
      </c>
      <c r="E39">
        <v>0.28999999999999998</v>
      </c>
      <c r="F39">
        <v>1987.92</v>
      </c>
      <c r="G39">
        <v>811.97</v>
      </c>
      <c r="H39" t="s">
        <v>252</v>
      </c>
      <c r="K39" t="s">
        <v>40</v>
      </c>
      <c r="L39" t="s">
        <v>592</v>
      </c>
    </row>
    <row r="40" spans="1:12" x14ac:dyDescent="0.3">
      <c r="A40" t="s">
        <v>557</v>
      </c>
      <c r="B40" s="452">
        <v>46113</v>
      </c>
      <c r="C40" t="s">
        <v>4107</v>
      </c>
      <c r="D40">
        <v>2500.2399999999998</v>
      </c>
      <c r="E40">
        <v>0.28999999999999998</v>
      </c>
      <c r="F40">
        <v>1775.17</v>
      </c>
      <c r="G40">
        <v>725.07</v>
      </c>
      <c r="H40" t="s">
        <v>252</v>
      </c>
      <c r="K40" t="s">
        <v>40</v>
      </c>
      <c r="L40" t="s">
        <v>590</v>
      </c>
    </row>
    <row r="41" spans="1:12" x14ac:dyDescent="0.3">
      <c r="A41" t="s">
        <v>557</v>
      </c>
      <c r="B41" s="452">
        <v>46174</v>
      </c>
      <c r="C41" t="s">
        <v>4107</v>
      </c>
      <c r="D41">
        <v>2627.07</v>
      </c>
      <c r="E41">
        <v>0.28999999999999998</v>
      </c>
      <c r="F41">
        <v>1865.22</v>
      </c>
      <c r="G41">
        <v>761.85</v>
      </c>
      <c r="H41" t="s">
        <v>252</v>
      </c>
      <c r="K41" t="s">
        <v>40</v>
      </c>
      <c r="L41" t="s">
        <v>594</v>
      </c>
    </row>
    <row r="42" spans="1:12" x14ac:dyDescent="0.3">
      <c r="A42" t="s">
        <v>557</v>
      </c>
      <c r="B42" s="452">
        <v>46023</v>
      </c>
      <c r="C42" t="s">
        <v>4107</v>
      </c>
      <c r="D42">
        <v>2548.11</v>
      </c>
      <c r="E42">
        <v>0.28999999999999998</v>
      </c>
      <c r="F42">
        <v>1809.16</v>
      </c>
      <c r="G42">
        <v>738.95</v>
      </c>
      <c r="H42" t="s">
        <v>252</v>
      </c>
      <c r="K42" t="s">
        <v>40</v>
      </c>
      <c r="L42" t="s">
        <v>561</v>
      </c>
    </row>
    <row r="43" spans="1:12" x14ac:dyDescent="0.3">
      <c r="A43" t="s">
        <v>557</v>
      </c>
      <c r="B43" s="452">
        <v>46054</v>
      </c>
      <c r="C43" t="s">
        <v>4107</v>
      </c>
      <c r="D43">
        <v>1571.05</v>
      </c>
      <c r="E43">
        <v>0.28999999999999998</v>
      </c>
      <c r="F43">
        <v>1115.45</v>
      </c>
      <c r="G43">
        <v>455.6</v>
      </c>
      <c r="H43" t="s">
        <v>252</v>
      </c>
      <c r="K43" t="s">
        <v>40</v>
      </c>
      <c r="L43" t="s">
        <v>586</v>
      </c>
    </row>
    <row r="44" spans="1:12" x14ac:dyDescent="0.3">
      <c r="A44" t="s">
        <v>557</v>
      </c>
      <c r="B44" s="452">
        <v>46082</v>
      </c>
      <c r="C44" t="s">
        <v>4107</v>
      </c>
      <c r="D44">
        <v>2306.8200000000002</v>
      </c>
      <c r="E44">
        <v>0.28999999999999998</v>
      </c>
      <c r="F44">
        <v>1637.84</v>
      </c>
      <c r="G44">
        <v>668.98</v>
      </c>
      <c r="H44" t="s">
        <v>252</v>
      </c>
      <c r="K44" t="s">
        <v>40</v>
      </c>
      <c r="L44" t="s">
        <v>588</v>
      </c>
    </row>
    <row r="45" spans="1:12" x14ac:dyDescent="0.3">
      <c r="A45" t="s">
        <v>557</v>
      </c>
      <c r="B45" s="452">
        <v>46174</v>
      </c>
      <c r="C45" t="s">
        <v>4108</v>
      </c>
      <c r="D45">
        <v>157.19999999999999</v>
      </c>
      <c r="E45">
        <v>0.28999999999999998</v>
      </c>
      <c r="F45">
        <v>157.19999999999999</v>
      </c>
      <c r="G45">
        <v>45.59</v>
      </c>
      <c r="K45" t="s">
        <v>38</v>
      </c>
      <c r="L45" t="s">
        <v>594</v>
      </c>
    </row>
    <row r="46" spans="1:12" x14ac:dyDescent="0.3">
      <c r="A46" t="s">
        <v>557</v>
      </c>
      <c r="B46" s="452">
        <v>46113</v>
      </c>
      <c r="C46" t="s">
        <v>4108</v>
      </c>
      <c r="D46">
        <v>359.66</v>
      </c>
      <c r="E46">
        <v>0.28999999999999998</v>
      </c>
      <c r="F46">
        <v>359.66</v>
      </c>
      <c r="G46">
        <v>104.3</v>
      </c>
      <c r="K46" t="s">
        <v>38</v>
      </c>
      <c r="L46" t="s">
        <v>590</v>
      </c>
    </row>
    <row r="47" spans="1:12" x14ac:dyDescent="0.3">
      <c r="A47" t="s">
        <v>557</v>
      </c>
      <c r="B47" s="452">
        <v>46054</v>
      </c>
      <c r="C47" t="s">
        <v>4108</v>
      </c>
      <c r="D47">
        <v>79.400000000000006</v>
      </c>
      <c r="E47">
        <v>0.28999999999999998</v>
      </c>
      <c r="F47">
        <v>79.400000000000006</v>
      </c>
      <c r="G47">
        <v>23.03</v>
      </c>
      <c r="K47" t="s">
        <v>38</v>
      </c>
      <c r="L47" t="s">
        <v>586</v>
      </c>
    </row>
    <row r="48" spans="1:12" x14ac:dyDescent="0.3">
      <c r="A48" t="s">
        <v>557</v>
      </c>
      <c r="B48" s="452">
        <v>46174</v>
      </c>
      <c r="C48" t="s">
        <v>4109</v>
      </c>
      <c r="D48">
        <v>75.599999999999994</v>
      </c>
      <c r="E48">
        <v>0.28999999999999998</v>
      </c>
      <c r="F48">
        <v>75.599999999999994</v>
      </c>
      <c r="G48">
        <v>21.92</v>
      </c>
      <c r="K48" t="s">
        <v>38</v>
      </c>
      <c r="L48" t="s">
        <v>594</v>
      </c>
    </row>
    <row r="49" spans="1:12" x14ac:dyDescent="0.3">
      <c r="A49" t="s">
        <v>557</v>
      </c>
      <c r="B49" s="452">
        <v>46113</v>
      </c>
      <c r="C49" t="s">
        <v>4109</v>
      </c>
      <c r="D49">
        <v>190.28</v>
      </c>
      <c r="E49">
        <v>0.28999999999999998</v>
      </c>
      <c r="F49">
        <v>190.28</v>
      </c>
      <c r="G49">
        <v>55.18</v>
      </c>
      <c r="K49" t="s">
        <v>38</v>
      </c>
      <c r="L49" t="s">
        <v>590</v>
      </c>
    </row>
    <row r="50" spans="1:12" x14ac:dyDescent="0.3">
      <c r="A50" t="s">
        <v>557</v>
      </c>
      <c r="B50" s="452">
        <v>46082</v>
      </c>
      <c r="C50" t="s">
        <v>4109</v>
      </c>
      <c r="D50">
        <v>250.44</v>
      </c>
      <c r="E50">
        <v>0.28999999999999998</v>
      </c>
      <c r="F50">
        <v>250.44</v>
      </c>
      <c r="G50">
        <v>72.63</v>
      </c>
      <c r="K50" t="s">
        <v>38</v>
      </c>
      <c r="L50" t="s">
        <v>588</v>
      </c>
    </row>
    <row r="51" spans="1:12" x14ac:dyDescent="0.3">
      <c r="A51" t="s">
        <v>557</v>
      </c>
      <c r="B51" s="452">
        <v>46023</v>
      </c>
      <c r="C51" t="s">
        <v>4109</v>
      </c>
      <c r="D51">
        <v>39.840000000000003</v>
      </c>
      <c r="E51">
        <v>0.28999999999999998</v>
      </c>
      <c r="F51">
        <v>39.840000000000003</v>
      </c>
      <c r="G51">
        <v>11.55</v>
      </c>
      <c r="K51" t="s">
        <v>38</v>
      </c>
      <c r="L51" t="s">
        <v>561</v>
      </c>
    </row>
    <row r="52" spans="1:12" x14ac:dyDescent="0.3">
      <c r="A52" t="s">
        <v>557</v>
      </c>
      <c r="B52" s="452">
        <v>46054</v>
      </c>
      <c r="C52" t="s">
        <v>4109</v>
      </c>
      <c r="D52">
        <v>15.88</v>
      </c>
      <c r="E52">
        <v>0.28999999999999998</v>
      </c>
      <c r="F52">
        <v>15.88</v>
      </c>
      <c r="G52">
        <v>4.6100000000000003</v>
      </c>
      <c r="K52" t="s">
        <v>38</v>
      </c>
      <c r="L52" t="s">
        <v>586</v>
      </c>
    </row>
    <row r="53" spans="1:12" x14ac:dyDescent="0.3">
      <c r="A53" t="s">
        <v>557</v>
      </c>
      <c r="B53" s="452">
        <v>46143</v>
      </c>
      <c r="C53" t="s">
        <v>4109</v>
      </c>
      <c r="D53">
        <v>203.53</v>
      </c>
      <c r="E53">
        <v>0.28999999999999998</v>
      </c>
      <c r="F53">
        <v>203.53</v>
      </c>
      <c r="G53">
        <v>59.02</v>
      </c>
      <c r="K53" t="s">
        <v>38</v>
      </c>
      <c r="L53" t="s">
        <v>592</v>
      </c>
    </row>
    <row r="54" spans="1:12" x14ac:dyDescent="0.3">
      <c r="A54" t="s">
        <v>557</v>
      </c>
      <c r="B54" s="452">
        <v>46054</v>
      </c>
      <c r="C54" t="s">
        <v>4110</v>
      </c>
      <c r="D54">
        <v>300.69</v>
      </c>
      <c r="E54">
        <v>0.28999999999999998</v>
      </c>
      <c r="F54">
        <v>300.69</v>
      </c>
      <c r="G54">
        <v>87.2</v>
      </c>
      <c r="K54" t="s">
        <v>38</v>
      </c>
      <c r="L54" t="s">
        <v>586</v>
      </c>
    </row>
    <row r="55" spans="1:12" x14ac:dyDescent="0.3">
      <c r="A55" t="s">
        <v>557</v>
      </c>
      <c r="B55" s="452">
        <v>46174</v>
      </c>
      <c r="C55" t="s">
        <v>4110</v>
      </c>
      <c r="D55">
        <v>462.63</v>
      </c>
      <c r="E55">
        <v>0.28999999999999998</v>
      </c>
      <c r="F55">
        <v>462.63</v>
      </c>
      <c r="G55">
        <v>134.16</v>
      </c>
      <c r="K55" t="s">
        <v>38</v>
      </c>
      <c r="L55" t="s">
        <v>594</v>
      </c>
    </row>
    <row r="56" spans="1:12" x14ac:dyDescent="0.3">
      <c r="A56" t="s">
        <v>557</v>
      </c>
      <c r="B56" s="452">
        <v>46023</v>
      </c>
      <c r="C56" t="s">
        <v>4110</v>
      </c>
      <c r="D56">
        <v>109</v>
      </c>
      <c r="E56">
        <v>0.28999999999999998</v>
      </c>
      <c r="F56">
        <v>109</v>
      </c>
      <c r="G56">
        <v>31.61</v>
      </c>
      <c r="K56" t="s">
        <v>38</v>
      </c>
      <c r="L56" t="s">
        <v>561</v>
      </c>
    </row>
    <row r="57" spans="1:12" x14ac:dyDescent="0.3">
      <c r="A57" t="s">
        <v>557</v>
      </c>
      <c r="B57" s="452">
        <v>46143</v>
      </c>
      <c r="C57" t="s">
        <v>4110</v>
      </c>
      <c r="D57">
        <v>821.92</v>
      </c>
      <c r="E57">
        <v>0.28999999999999998</v>
      </c>
      <c r="F57">
        <v>821.92</v>
      </c>
      <c r="G57">
        <v>238.36</v>
      </c>
      <c r="K57" t="s">
        <v>38</v>
      </c>
      <c r="L57" t="s">
        <v>592</v>
      </c>
    </row>
    <row r="58" spans="1:12" x14ac:dyDescent="0.3">
      <c r="A58" t="s">
        <v>557</v>
      </c>
      <c r="B58" s="452">
        <v>46082</v>
      </c>
      <c r="C58" t="s">
        <v>4110</v>
      </c>
      <c r="D58">
        <v>600.88</v>
      </c>
      <c r="E58">
        <v>0.28999999999999998</v>
      </c>
      <c r="F58">
        <v>600.88</v>
      </c>
      <c r="G58">
        <v>174.26</v>
      </c>
      <c r="K58" t="s">
        <v>38</v>
      </c>
      <c r="L58" t="s">
        <v>588</v>
      </c>
    </row>
    <row r="59" spans="1:12" x14ac:dyDescent="0.3">
      <c r="A59" t="s">
        <v>557</v>
      </c>
      <c r="B59" s="452">
        <v>46113</v>
      </c>
      <c r="C59" t="s">
        <v>4110</v>
      </c>
      <c r="D59">
        <v>185</v>
      </c>
      <c r="E59">
        <v>0.28999999999999998</v>
      </c>
      <c r="F59">
        <v>185</v>
      </c>
      <c r="G59">
        <v>53.65</v>
      </c>
      <c r="K59" t="s">
        <v>38</v>
      </c>
      <c r="L59" t="s">
        <v>590</v>
      </c>
    </row>
    <row r="60" spans="1:12" x14ac:dyDescent="0.3">
      <c r="A60" t="s">
        <v>557</v>
      </c>
      <c r="B60" s="452">
        <v>46174</v>
      </c>
      <c r="C60" t="s">
        <v>4111</v>
      </c>
      <c r="D60">
        <v>823.13</v>
      </c>
      <c r="E60">
        <v>0.28999999999999998</v>
      </c>
      <c r="F60">
        <v>584.41999999999996</v>
      </c>
      <c r="G60">
        <v>238.71</v>
      </c>
      <c r="H60" t="s">
        <v>305</v>
      </c>
      <c r="K60" t="s">
        <v>42</v>
      </c>
      <c r="L60" t="s">
        <v>594</v>
      </c>
    </row>
    <row r="61" spans="1:12" x14ac:dyDescent="0.3">
      <c r="A61" t="s">
        <v>557</v>
      </c>
      <c r="B61" s="452">
        <v>46023</v>
      </c>
      <c r="C61" t="s">
        <v>4112</v>
      </c>
      <c r="D61">
        <v>352.5</v>
      </c>
      <c r="E61">
        <v>0.28999999999999998</v>
      </c>
      <c r="F61">
        <v>250.28</v>
      </c>
      <c r="G61">
        <v>102.23</v>
      </c>
      <c r="H61" t="s">
        <v>59</v>
      </c>
      <c r="K61" t="s">
        <v>38</v>
      </c>
      <c r="L61" t="s">
        <v>561</v>
      </c>
    </row>
    <row r="62" spans="1:12" x14ac:dyDescent="0.3">
      <c r="A62" t="s">
        <v>557</v>
      </c>
      <c r="B62" s="452">
        <v>46143</v>
      </c>
      <c r="C62" t="s">
        <v>4112</v>
      </c>
      <c r="D62">
        <v>946</v>
      </c>
      <c r="E62">
        <v>0.28999999999999998</v>
      </c>
      <c r="F62">
        <v>671.66</v>
      </c>
      <c r="G62">
        <v>274.33999999999997</v>
      </c>
      <c r="H62" t="s">
        <v>59</v>
      </c>
      <c r="K62" t="s">
        <v>38</v>
      </c>
      <c r="L62" t="s">
        <v>592</v>
      </c>
    </row>
    <row r="63" spans="1:12" x14ac:dyDescent="0.3">
      <c r="A63" t="s">
        <v>557</v>
      </c>
      <c r="B63" s="452">
        <v>46082</v>
      </c>
      <c r="C63" t="s">
        <v>4112</v>
      </c>
      <c r="D63">
        <v>562</v>
      </c>
      <c r="E63">
        <v>0.28999999999999998</v>
      </c>
      <c r="F63">
        <v>399.02</v>
      </c>
      <c r="G63">
        <v>162.97999999999999</v>
      </c>
      <c r="H63" t="s">
        <v>59</v>
      </c>
      <c r="K63" t="s">
        <v>38</v>
      </c>
      <c r="L63" t="s">
        <v>588</v>
      </c>
    </row>
    <row r="64" spans="1:12" x14ac:dyDescent="0.3">
      <c r="A64" t="s">
        <v>557</v>
      </c>
      <c r="B64" s="452">
        <v>46113</v>
      </c>
      <c r="C64" t="s">
        <v>4112</v>
      </c>
      <c r="D64">
        <v>1128.5</v>
      </c>
      <c r="E64">
        <v>0.28999999999999998</v>
      </c>
      <c r="F64">
        <v>801.24</v>
      </c>
      <c r="G64">
        <v>327.27</v>
      </c>
      <c r="H64" t="s">
        <v>59</v>
      </c>
      <c r="K64" t="s">
        <v>38</v>
      </c>
      <c r="L64" t="s">
        <v>590</v>
      </c>
    </row>
    <row r="65" spans="1:12" x14ac:dyDescent="0.3">
      <c r="A65" t="s">
        <v>557</v>
      </c>
      <c r="B65" s="452">
        <v>46174</v>
      </c>
      <c r="C65" t="s">
        <v>4112</v>
      </c>
      <c r="D65">
        <v>1034.3499999999999</v>
      </c>
      <c r="E65">
        <v>0.28999999999999998</v>
      </c>
      <c r="F65">
        <v>734.39</v>
      </c>
      <c r="G65">
        <v>299.95999999999998</v>
      </c>
      <c r="H65" t="s">
        <v>59</v>
      </c>
      <c r="K65" t="s">
        <v>38</v>
      </c>
      <c r="L65" t="s">
        <v>594</v>
      </c>
    </row>
    <row r="66" spans="1:12" x14ac:dyDescent="0.3">
      <c r="A66" t="s">
        <v>557</v>
      </c>
      <c r="B66" s="452">
        <v>46054</v>
      </c>
      <c r="C66" t="s">
        <v>4112</v>
      </c>
      <c r="D66">
        <v>1436.78</v>
      </c>
      <c r="E66">
        <v>0.28999999999999998</v>
      </c>
      <c r="F66">
        <v>1020.11</v>
      </c>
      <c r="G66">
        <v>416.67</v>
      </c>
      <c r="H66" t="s">
        <v>59</v>
      </c>
      <c r="K66" t="s">
        <v>38</v>
      </c>
      <c r="L66" t="s">
        <v>586</v>
      </c>
    </row>
    <row r="67" spans="1:12" x14ac:dyDescent="0.3">
      <c r="A67" t="s">
        <v>557</v>
      </c>
      <c r="B67" s="452">
        <v>46113</v>
      </c>
      <c r="C67" t="s">
        <v>4113</v>
      </c>
      <c r="D67">
        <v>459.7</v>
      </c>
      <c r="E67">
        <v>0.28999999999999998</v>
      </c>
      <c r="F67">
        <v>459.7</v>
      </c>
      <c r="G67">
        <v>133.31</v>
      </c>
      <c r="K67" t="s">
        <v>38</v>
      </c>
      <c r="L67" t="s">
        <v>590</v>
      </c>
    </row>
    <row r="68" spans="1:12" x14ac:dyDescent="0.3">
      <c r="A68" t="s">
        <v>557</v>
      </c>
      <c r="B68" s="452">
        <v>46054</v>
      </c>
      <c r="C68" t="s">
        <v>4113</v>
      </c>
      <c r="D68">
        <v>666.52</v>
      </c>
      <c r="E68">
        <v>0.28999999999999998</v>
      </c>
      <c r="F68">
        <v>666.52</v>
      </c>
      <c r="G68">
        <v>193.29</v>
      </c>
      <c r="K68" t="s">
        <v>38</v>
      </c>
      <c r="L68" t="s">
        <v>586</v>
      </c>
    </row>
    <row r="69" spans="1:12" x14ac:dyDescent="0.3">
      <c r="A69" t="s">
        <v>557</v>
      </c>
      <c r="B69" s="452">
        <v>46174</v>
      </c>
      <c r="C69" t="s">
        <v>4113</v>
      </c>
      <c r="D69">
        <v>4.95</v>
      </c>
      <c r="E69">
        <v>0.28999999999999998</v>
      </c>
      <c r="F69">
        <v>4.95</v>
      </c>
      <c r="G69">
        <v>1.44</v>
      </c>
      <c r="K69" t="s">
        <v>38</v>
      </c>
      <c r="L69" t="s">
        <v>594</v>
      </c>
    </row>
    <row r="70" spans="1:12" x14ac:dyDescent="0.3">
      <c r="A70" t="s">
        <v>557</v>
      </c>
      <c r="B70" s="452">
        <v>46143</v>
      </c>
      <c r="C70" t="s">
        <v>4113</v>
      </c>
      <c r="D70">
        <v>145.83000000000001</v>
      </c>
      <c r="E70">
        <v>0.28999999999999998</v>
      </c>
      <c r="F70">
        <v>145.83000000000001</v>
      </c>
      <c r="G70">
        <v>42.29</v>
      </c>
      <c r="K70" t="s">
        <v>38</v>
      </c>
      <c r="L70" t="s">
        <v>592</v>
      </c>
    </row>
    <row r="71" spans="1:12" x14ac:dyDescent="0.3">
      <c r="A71" t="s">
        <v>557</v>
      </c>
      <c r="B71" s="452">
        <v>46082</v>
      </c>
      <c r="C71" t="s">
        <v>4113</v>
      </c>
      <c r="D71">
        <v>1377.21</v>
      </c>
      <c r="E71">
        <v>0.28999999999999998</v>
      </c>
      <c r="F71">
        <v>1377.21</v>
      </c>
      <c r="G71">
        <v>399.39</v>
      </c>
      <c r="K71" t="s">
        <v>38</v>
      </c>
      <c r="L71" t="s">
        <v>588</v>
      </c>
    </row>
    <row r="72" spans="1:12" x14ac:dyDescent="0.3">
      <c r="A72" t="s">
        <v>557</v>
      </c>
      <c r="B72" s="452">
        <v>46174</v>
      </c>
      <c r="C72" t="s">
        <v>4114</v>
      </c>
      <c r="D72">
        <v>380</v>
      </c>
      <c r="E72">
        <v>0.28999999999999998</v>
      </c>
      <c r="F72">
        <v>269.8</v>
      </c>
      <c r="G72">
        <v>110.2</v>
      </c>
      <c r="H72" t="s">
        <v>305</v>
      </c>
      <c r="K72" t="s">
        <v>38</v>
      </c>
      <c r="L72" t="s">
        <v>594</v>
      </c>
    </row>
    <row r="73" spans="1:12" x14ac:dyDescent="0.3">
      <c r="A73" t="s">
        <v>557</v>
      </c>
      <c r="B73" s="452">
        <v>46143</v>
      </c>
      <c r="C73" t="s">
        <v>4115</v>
      </c>
      <c r="D73">
        <v>3559.03</v>
      </c>
      <c r="E73">
        <v>0.28999999999999998</v>
      </c>
      <c r="F73">
        <v>2526.91</v>
      </c>
      <c r="G73">
        <v>1032.1199999999999</v>
      </c>
      <c r="H73" t="s">
        <v>307</v>
      </c>
      <c r="K73" t="s">
        <v>42</v>
      </c>
      <c r="L73" t="s">
        <v>592</v>
      </c>
    </row>
    <row r="74" spans="1:12" x14ac:dyDescent="0.3">
      <c r="A74" t="s">
        <v>557</v>
      </c>
      <c r="B74" s="452">
        <v>46113</v>
      </c>
      <c r="C74" t="s">
        <v>4115</v>
      </c>
      <c r="D74">
        <v>4548.6000000000004</v>
      </c>
      <c r="E74">
        <v>0.28999999999999998</v>
      </c>
      <c r="F74">
        <v>3229.51</v>
      </c>
      <c r="G74">
        <v>1319.09</v>
      </c>
      <c r="H74" t="s">
        <v>307</v>
      </c>
      <c r="K74" t="s">
        <v>42</v>
      </c>
      <c r="L74" t="s">
        <v>590</v>
      </c>
    </row>
    <row r="75" spans="1:12" x14ac:dyDescent="0.3">
      <c r="A75" t="s">
        <v>557</v>
      </c>
      <c r="B75" s="452">
        <v>46174</v>
      </c>
      <c r="C75" t="s">
        <v>4115</v>
      </c>
      <c r="D75">
        <v>3819.64</v>
      </c>
      <c r="E75">
        <v>0.28999999999999998</v>
      </c>
      <c r="F75">
        <v>2711.94</v>
      </c>
      <c r="G75">
        <v>1107.7</v>
      </c>
      <c r="H75" t="s">
        <v>307</v>
      </c>
      <c r="K75" t="s">
        <v>42</v>
      </c>
      <c r="L75" t="s">
        <v>594</v>
      </c>
    </row>
    <row r="76" spans="1:12" x14ac:dyDescent="0.3">
      <c r="A76" t="s">
        <v>557</v>
      </c>
      <c r="B76" s="452">
        <v>46023</v>
      </c>
      <c r="C76" t="s">
        <v>4115</v>
      </c>
      <c r="D76">
        <v>6884.9</v>
      </c>
      <c r="E76">
        <v>0.28999999999999998</v>
      </c>
      <c r="F76">
        <v>4888.28</v>
      </c>
      <c r="G76">
        <v>1996.62</v>
      </c>
      <c r="H76" t="s">
        <v>307</v>
      </c>
      <c r="K76" t="s">
        <v>42</v>
      </c>
      <c r="L76" t="s">
        <v>561</v>
      </c>
    </row>
    <row r="77" spans="1:12" x14ac:dyDescent="0.3">
      <c r="A77" t="s">
        <v>557</v>
      </c>
      <c r="B77" s="452">
        <v>46054</v>
      </c>
      <c r="C77" t="s">
        <v>4115</v>
      </c>
      <c r="D77">
        <v>4577.8</v>
      </c>
      <c r="E77">
        <v>0.28999999999999998</v>
      </c>
      <c r="F77">
        <v>3250.24</v>
      </c>
      <c r="G77">
        <v>1327.56</v>
      </c>
      <c r="H77" t="s">
        <v>307</v>
      </c>
      <c r="K77" t="s">
        <v>42</v>
      </c>
      <c r="L77" t="s">
        <v>586</v>
      </c>
    </row>
    <row r="78" spans="1:12" x14ac:dyDescent="0.3">
      <c r="A78" t="s">
        <v>557</v>
      </c>
      <c r="B78" s="452">
        <v>46082</v>
      </c>
      <c r="C78" t="s">
        <v>4115</v>
      </c>
      <c r="D78">
        <v>5937.4</v>
      </c>
      <c r="E78">
        <v>0.28999999999999998</v>
      </c>
      <c r="F78">
        <v>4215.55</v>
      </c>
      <c r="G78">
        <v>1721.85</v>
      </c>
      <c r="H78" t="s">
        <v>307</v>
      </c>
      <c r="K78" t="s">
        <v>42</v>
      </c>
      <c r="L78" t="s">
        <v>588</v>
      </c>
    </row>
    <row r="79" spans="1:12" x14ac:dyDescent="0.3">
      <c r="A79" t="s">
        <v>557</v>
      </c>
      <c r="B79" s="452">
        <v>46113</v>
      </c>
      <c r="C79" t="s">
        <v>4116</v>
      </c>
      <c r="D79">
        <v>112.9</v>
      </c>
      <c r="E79">
        <v>0.28999999999999998</v>
      </c>
      <c r="F79">
        <v>80.16</v>
      </c>
      <c r="G79">
        <v>32.74</v>
      </c>
      <c r="H79" t="s">
        <v>284</v>
      </c>
      <c r="K79" t="s">
        <v>38</v>
      </c>
      <c r="L79" t="s">
        <v>590</v>
      </c>
    </row>
    <row r="80" spans="1:12" x14ac:dyDescent="0.3">
      <c r="A80" t="s">
        <v>557</v>
      </c>
      <c r="B80" s="452">
        <v>46023</v>
      </c>
      <c r="C80" t="s">
        <v>4117</v>
      </c>
      <c r="D80">
        <v>90.4</v>
      </c>
      <c r="E80">
        <v>0.28999999999999998</v>
      </c>
      <c r="F80">
        <v>90.4</v>
      </c>
      <c r="G80">
        <v>26.22</v>
      </c>
      <c r="K80" t="s">
        <v>38</v>
      </c>
      <c r="L80" t="s">
        <v>561</v>
      </c>
    </row>
    <row r="81" spans="1:12" x14ac:dyDescent="0.3">
      <c r="A81" t="s">
        <v>557</v>
      </c>
      <c r="B81" s="452">
        <v>46082</v>
      </c>
      <c r="C81" t="s">
        <v>4117</v>
      </c>
      <c r="D81">
        <v>334.54</v>
      </c>
      <c r="E81">
        <v>0.28999999999999998</v>
      </c>
      <c r="F81">
        <v>334.54</v>
      </c>
      <c r="G81">
        <v>97.02</v>
      </c>
      <c r="K81" t="s">
        <v>38</v>
      </c>
      <c r="L81" t="s">
        <v>588</v>
      </c>
    </row>
    <row r="82" spans="1:12" x14ac:dyDescent="0.3">
      <c r="A82" t="s">
        <v>557</v>
      </c>
      <c r="B82" s="452">
        <v>46054</v>
      </c>
      <c r="C82" t="s">
        <v>4117</v>
      </c>
      <c r="D82">
        <v>153.12</v>
      </c>
      <c r="E82">
        <v>0.28999999999999998</v>
      </c>
      <c r="F82">
        <v>153.12</v>
      </c>
      <c r="G82">
        <v>44.4</v>
      </c>
      <c r="K82" t="s">
        <v>38</v>
      </c>
      <c r="L82" t="s">
        <v>586</v>
      </c>
    </row>
    <row r="83" spans="1:12" x14ac:dyDescent="0.3">
      <c r="A83" t="s">
        <v>557</v>
      </c>
      <c r="B83" s="452">
        <v>46174</v>
      </c>
      <c r="C83" t="s">
        <v>4117</v>
      </c>
      <c r="D83">
        <v>74.78</v>
      </c>
      <c r="E83">
        <v>0.28999999999999998</v>
      </c>
      <c r="F83">
        <v>74.78</v>
      </c>
      <c r="G83">
        <v>21.69</v>
      </c>
      <c r="K83" t="s">
        <v>38</v>
      </c>
      <c r="L83" t="s">
        <v>594</v>
      </c>
    </row>
    <row r="84" spans="1:12" x14ac:dyDescent="0.3">
      <c r="A84" t="s">
        <v>557</v>
      </c>
      <c r="B84" s="452">
        <v>46113</v>
      </c>
      <c r="C84" t="s">
        <v>4117</v>
      </c>
      <c r="D84">
        <v>382.54</v>
      </c>
      <c r="E84">
        <v>0.28999999999999998</v>
      </c>
      <c r="F84">
        <v>382.54</v>
      </c>
      <c r="G84">
        <v>110.94</v>
      </c>
      <c r="K84" t="s">
        <v>38</v>
      </c>
      <c r="L84" t="s">
        <v>590</v>
      </c>
    </row>
    <row r="85" spans="1:12" x14ac:dyDescent="0.3">
      <c r="A85" t="s">
        <v>557</v>
      </c>
      <c r="B85" s="452">
        <v>46143</v>
      </c>
      <c r="C85" t="s">
        <v>4117</v>
      </c>
      <c r="D85">
        <v>53.02</v>
      </c>
      <c r="E85">
        <v>0.28999999999999998</v>
      </c>
      <c r="F85">
        <v>53.02</v>
      </c>
      <c r="G85">
        <v>15.38</v>
      </c>
      <c r="K85" t="s">
        <v>38</v>
      </c>
      <c r="L85" t="s">
        <v>592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52"/>
  <sheetViews>
    <sheetView workbookViewId="0"/>
  </sheetViews>
  <sheetFormatPr defaultRowHeight="14.4" x14ac:dyDescent="0.3"/>
  <sheetData>
    <row r="1" spans="1:10" x14ac:dyDescent="0.3">
      <c r="A1" t="s">
        <v>549</v>
      </c>
      <c r="B1" t="s">
        <v>552</v>
      </c>
      <c r="C1" t="s">
        <v>4118</v>
      </c>
      <c r="D1" t="s">
        <v>4119</v>
      </c>
      <c r="E1" t="s">
        <v>4120</v>
      </c>
      <c r="F1" t="s">
        <v>4121</v>
      </c>
      <c r="G1" t="s">
        <v>4122</v>
      </c>
      <c r="H1" t="s">
        <v>4123</v>
      </c>
      <c r="I1" t="s">
        <v>3900</v>
      </c>
      <c r="J1" t="s">
        <v>556</v>
      </c>
    </row>
    <row r="2" spans="1:10" x14ac:dyDescent="0.3">
      <c r="A2" t="s">
        <v>557</v>
      </c>
      <c r="B2" s="452">
        <v>46023</v>
      </c>
      <c r="C2" t="s">
        <v>4124</v>
      </c>
      <c r="D2" t="s">
        <v>4098</v>
      </c>
      <c r="E2" t="s">
        <v>4125</v>
      </c>
      <c r="F2">
        <v>8</v>
      </c>
      <c r="G2">
        <v>64</v>
      </c>
      <c r="H2" t="s">
        <v>4126</v>
      </c>
      <c r="I2" t="s">
        <v>33</v>
      </c>
      <c r="J2" t="s">
        <v>561</v>
      </c>
    </row>
    <row r="3" spans="1:10" x14ac:dyDescent="0.3">
      <c r="A3" t="s">
        <v>557</v>
      </c>
      <c r="B3" s="452">
        <v>46023</v>
      </c>
      <c r="C3" t="s">
        <v>4127</v>
      </c>
      <c r="D3" t="s">
        <v>4098</v>
      </c>
      <c r="E3" t="s">
        <v>4125</v>
      </c>
      <c r="F3">
        <v>3</v>
      </c>
      <c r="G3">
        <v>24</v>
      </c>
      <c r="H3" t="s">
        <v>4126</v>
      </c>
      <c r="I3" t="s">
        <v>33</v>
      </c>
      <c r="J3" t="s">
        <v>561</v>
      </c>
    </row>
    <row r="4" spans="1:10" x14ac:dyDescent="0.3">
      <c r="A4" t="s">
        <v>557</v>
      </c>
      <c r="B4" s="452">
        <v>46023</v>
      </c>
      <c r="C4" t="s">
        <v>4128</v>
      </c>
      <c r="D4" t="s">
        <v>4098</v>
      </c>
      <c r="E4" t="s">
        <v>4129</v>
      </c>
      <c r="F4">
        <v>21</v>
      </c>
      <c r="G4">
        <v>157.5</v>
      </c>
      <c r="H4" t="s">
        <v>4126</v>
      </c>
      <c r="I4" t="s">
        <v>33</v>
      </c>
      <c r="J4" t="s">
        <v>561</v>
      </c>
    </row>
    <row r="5" spans="1:10" x14ac:dyDescent="0.3">
      <c r="A5" t="s">
        <v>557</v>
      </c>
      <c r="B5" s="452">
        <v>46023</v>
      </c>
      <c r="C5" t="s">
        <v>4130</v>
      </c>
      <c r="D5" t="s">
        <v>4098</v>
      </c>
      <c r="E5" t="s">
        <v>4125</v>
      </c>
      <c r="F5">
        <v>2</v>
      </c>
      <c r="G5">
        <v>16</v>
      </c>
      <c r="H5" t="s">
        <v>4126</v>
      </c>
      <c r="I5" t="s">
        <v>33</v>
      </c>
      <c r="J5" t="s">
        <v>561</v>
      </c>
    </row>
    <row r="6" spans="1:10" x14ac:dyDescent="0.3">
      <c r="A6" t="s">
        <v>557</v>
      </c>
      <c r="B6" s="452">
        <v>46023</v>
      </c>
      <c r="C6" t="s">
        <v>4131</v>
      </c>
      <c r="D6" t="s">
        <v>4098</v>
      </c>
      <c r="E6" t="s">
        <v>4132</v>
      </c>
      <c r="F6">
        <v>11</v>
      </c>
      <c r="G6">
        <v>363</v>
      </c>
      <c r="H6" t="s">
        <v>4133</v>
      </c>
      <c r="I6" t="s">
        <v>33</v>
      </c>
      <c r="J6" t="s">
        <v>561</v>
      </c>
    </row>
    <row r="7" spans="1:10" x14ac:dyDescent="0.3">
      <c r="A7" t="s">
        <v>557</v>
      </c>
      <c r="B7" s="452">
        <v>46023</v>
      </c>
      <c r="C7" t="s">
        <v>4134</v>
      </c>
      <c r="D7" t="s">
        <v>4098</v>
      </c>
      <c r="E7" t="s">
        <v>4135</v>
      </c>
      <c r="F7">
        <v>7</v>
      </c>
      <c r="G7">
        <v>84</v>
      </c>
      <c r="H7" t="s">
        <v>4133</v>
      </c>
      <c r="I7" t="s">
        <v>33</v>
      </c>
      <c r="J7" t="s">
        <v>561</v>
      </c>
    </row>
    <row r="8" spans="1:10" x14ac:dyDescent="0.3">
      <c r="A8" t="s">
        <v>557</v>
      </c>
      <c r="B8" s="452">
        <v>46023</v>
      </c>
      <c r="C8" t="s">
        <v>4136</v>
      </c>
      <c r="D8" t="s">
        <v>4098</v>
      </c>
      <c r="E8" t="s">
        <v>4137</v>
      </c>
      <c r="F8">
        <v>5</v>
      </c>
      <c r="G8">
        <v>195</v>
      </c>
      <c r="H8" t="s">
        <v>4133</v>
      </c>
      <c r="I8" t="s">
        <v>33</v>
      </c>
      <c r="J8" t="s">
        <v>561</v>
      </c>
    </row>
    <row r="9" spans="1:10" x14ac:dyDescent="0.3">
      <c r="A9" t="s">
        <v>557</v>
      </c>
      <c r="B9" s="452">
        <v>46023</v>
      </c>
      <c r="C9" t="s">
        <v>4138</v>
      </c>
      <c r="D9" t="s">
        <v>4098</v>
      </c>
      <c r="E9" t="s">
        <v>4139</v>
      </c>
      <c r="F9">
        <v>12</v>
      </c>
      <c r="G9">
        <v>312</v>
      </c>
      <c r="H9" t="s">
        <v>4133</v>
      </c>
      <c r="I9" t="s">
        <v>33</v>
      </c>
      <c r="J9" t="s">
        <v>561</v>
      </c>
    </row>
    <row r="10" spans="1:10" x14ac:dyDescent="0.3">
      <c r="A10" t="s">
        <v>557</v>
      </c>
      <c r="B10" s="452">
        <v>46023</v>
      </c>
      <c r="C10" t="s">
        <v>4140</v>
      </c>
      <c r="D10" t="s">
        <v>4098</v>
      </c>
      <c r="E10" t="s">
        <v>4129</v>
      </c>
      <c r="F10">
        <v>4</v>
      </c>
      <c r="G10">
        <v>30</v>
      </c>
      <c r="H10" t="s">
        <v>4126</v>
      </c>
      <c r="I10" t="s">
        <v>33</v>
      </c>
      <c r="J10" t="s">
        <v>561</v>
      </c>
    </row>
    <row r="11" spans="1:10" x14ac:dyDescent="0.3">
      <c r="A11" t="s">
        <v>557</v>
      </c>
      <c r="B11" s="452">
        <v>46023</v>
      </c>
      <c r="C11" t="s">
        <v>4141</v>
      </c>
      <c r="D11" t="s">
        <v>4098</v>
      </c>
      <c r="E11" t="s">
        <v>4142</v>
      </c>
      <c r="F11">
        <v>84</v>
      </c>
      <c r="G11">
        <v>1167.5999999999999</v>
      </c>
      <c r="H11" t="s">
        <v>4126</v>
      </c>
      <c r="I11" t="s">
        <v>33</v>
      </c>
      <c r="J11" t="s">
        <v>561</v>
      </c>
    </row>
    <row r="12" spans="1:10" x14ac:dyDescent="0.3">
      <c r="A12" t="s">
        <v>557</v>
      </c>
      <c r="B12" s="452">
        <v>46023</v>
      </c>
      <c r="C12" t="s">
        <v>4143</v>
      </c>
      <c r="D12" t="s">
        <v>4098</v>
      </c>
      <c r="E12" t="s">
        <v>4144</v>
      </c>
      <c r="F12">
        <v>39</v>
      </c>
      <c r="G12">
        <v>1296</v>
      </c>
      <c r="H12" t="s">
        <v>4126</v>
      </c>
      <c r="I12" t="s">
        <v>33</v>
      </c>
      <c r="J12" t="s">
        <v>561</v>
      </c>
    </row>
    <row r="13" spans="1:10" x14ac:dyDescent="0.3">
      <c r="A13" t="s">
        <v>557</v>
      </c>
      <c r="B13" s="452">
        <v>46023</v>
      </c>
      <c r="C13" t="s">
        <v>4145</v>
      </c>
      <c r="D13" t="s">
        <v>4098</v>
      </c>
      <c r="E13" t="s">
        <v>4125</v>
      </c>
      <c r="F13">
        <v>5</v>
      </c>
      <c r="G13">
        <v>40</v>
      </c>
      <c r="H13" t="s">
        <v>4126</v>
      </c>
      <c r="I13" t="s">
        <v>33</v>
      </c>
      <c r="J13" t="s">
        <v>561</v>
      </c>
    </row>
    <row r="14" spans="1:10" x14ac:dyDescent="0.3">
      <c r="A14" t="s">
        <v>557</v>
      </c>
      <c r="B14" s="452">
        <v>46023</v>
      </c>
      <c r="C14" t="s">
        <v>4146</v>
      </c>
      <c r="D14" t="s">
        <v>4098</v>
      </c>
      <c r="E14" t="s">
        <v>4129</v>
      </c>
      <c r="F14">
        <v>2</v>
      </c>
      <c r="G14">
        <v>28</v>
      </c>
      <c r="H14" t="s">
        <v>4126</v>
      </c>
      <c r="I14" t="s">
        <v>33</v>
      </c>
      <c r="J14" t="s">
        <v>561</v>
      </c>
    </row>
    <row r="15" spans="1:10" x14ac:dyDescent="0.3">
      <c r="A15" t="s">
        <v>557</v>
      </c>
      <c r="B15" s="452">
        <v>46023</v>
      </c>
      <c r="C15" t="s">
        <v>4147</v>
      </c>
      <c r="D15" t="s">
        <v>4098</v>
      </c>
      <c r="E15" t="s">
        <v>4125</v>
      </c>
      <c r="F15">
        <v>3</v>
      </c>
      <c r="G15">
        <v>24</v>
      </c>
      <c r="H15" t="s">
        <v>4126</v>
      </c>
      <c r="I15" t="s">
        <v>33</v>
      </c>
      <c r="J15" t="s">
        <v>561</v>
      </c>
    </row>
    <row r="16" spans="1:10" x14ac:dyDescent="0.3">
      <c r="A16" t="s">
        <v>557</v>
      </c>
      <c r="B16" s="452">
        <v>46023</v>
      </c>
      <c r="C16" t="s">
        <v>4148</v>
      </c>
      <c r="D16" t="s">
        <v>4101</v>
      </c>
      <c r="E16" t="s">
        <v>4149</v>
      </c>
      <c r="F16">
        <v>1</v>
      </c>
      <c r="G16">
        <v>26.4</v>
      </c>
      <c r="H16" t="s">
        <v>4133</v>
      </c>
      <c r="J16" t="s">
        <v>561</v>
      </c>
    </row>
    <row r="17" spans="1:10" x14ac:dyDescent="0.3">
      <c r="A17" t="s">
        <v>557</v>
      </c>
      <c r="B17" s="452">
        <v>46023</v>
      </c>
      <c r="C17" t="s">
        <v>4150</v>
      </c>
      <c r="D17" t="s">
        <v>4101</v>
      </c>
      <c r="E17" t="s">
        <v>4135</v>
      </c>
      <c r="F17">
        <v>1</v>
      </c>
      <c r="G17">
        <v>8.4</v>
      </c>
      <c r="H17" t="s">
        <v>4133</v>
      </c>
      <c r="J17" t="s">
        <v>561</v>
      </c>
    </row>
    <row r="18" spans="1:10" x14ac:dyDescent="0.3">
      <c r="A18" t="s">
        <v>557</v>
      </c>
      <c r="B18" s="452">
        <v>46023</v>
      </c>
      <c r="C18" t="s">
        <v>4151</v>
      </c>
      <c r="D18" t="s">
        <v>4101</v>
      </c>
      <c r="E18" t="s">
        <v>4144</v>
      </c>
      <c r="F18">
        <v>1</v>
      </c>
      <c r="G18">
        <v>10.5</v>
      </c>
      <c r="H18" t="s">
        <v>4126</v>
      </c>
      <c r="J18" t="s">
        <v>561</v>
      </c>
    </row>
    <row r="19" spans="1:10" x14ac:dyDescent="0.3">
      <c r="A19" t="s">
        <v>557</v>
      </c>
      <c r="B19" s="452">
        <v>46023</v>
      </c>
      <c r="C19" t="s">
        <v>4152</v>
      </c>
      <c r="D19" t="s">
        <v>4101</v>
      </c>
      <c r="E19" t="s">
        <v>4129</v>
      </c>
      <c r="F19">
        <v>1</v>
      </c>
      <c r="G19">
        <v>4.2</v>
      </c>
      <c r="H19" t="s">
        <v>4126</v>
      </c>
      <c r="J19" t="s">
        <v>561</v>
      </c>
    </row>
    <row r="20" spans="1:10" x14ac:dyDescent="0.3">
      <c r="A20" t="s">
        <v>557</v>
      </c>
      <c r="B20" s="452">
        <v>46023</v>
      </c>
      <c r="C20" t="s">
        <v>4153</v>
      </c>
      <c r="D20" t="s">
        <v>4101</v>
      </c>
      <c r="E20" t="s">
        <v>4149</v>
      </c>
      <c r="F20">
        <v>1</v>
      </c>
      <c r="G20">
        <v>97.2</v>
      </c>
      <c r="H20" t="s">
        <v>4133</v>
      </c>
      <c r="J20" t="s">
        <v>561</v>
      </c>
    </row>
    <row r="21" spans="1:10" x14ac:dyDescent="0.3">
      <c r="A21" t="s">
        <v>557</v>
      </c>
      <c r="B21" s="452">
        <v>46023</v>
      </c>
      <c r="C21" t="s">
        <v>4154</v>
      </c>
      <c r="D21" t="s">
        <v>4101</v>
      </c>
      <c r="E21" t="s">
        <v>4137</v>
      </c>
      <c r="F21">
        <v>1</v>
      </c>
      <c r="G21">
        <v>8.1</v>
      </c>
      <c r="H21" t="s">
        <v>4133</v>
      </c>
      <c r="J21" t="s">
        <v>561</v>
      </c>
    </row>
    <row r="22" spans="1:10" x14ac:dyDescent="0.3">
      <c r="A22" t="s">
        <v>557</v>
      </c>
      <c r="B22" s="452">
        <v>46023</v>
      </c>
      <c r="C22" t="s">
        <v>4155</v>
      </c>
      <c r="D22" t="s">
        <v>4101</v>
      </c>
      <c r="E22" t="s">
        <v>4156</v>
      </c>
      <c r="F22">
        <v>1</v>
      </c>
      <c r="G22">
        <v>6.3</v>
      </c>
      <c r="H22" t="s">
        <v>4126</v>
      </c>
      <c r="J22" t="s">
        <v>561</v>
      </c>
    </row>
    <row r="23" spans="1:10" x14ac:dyDescent="0.3">
      <c r="A23" t="s">
        <v>557</v>
      </c>
      <c r="B23" s="452">
        <v>46023</v>
      </c>
      <c r="C23" t="s">
        <v>4157</v>
      </c>
      <c r="D23" t="s">
        <v>4101</v>
      </c>
      <c r="E23" t="s">
        <v>4135</v>
      </c>
      <c r="F23">
        <v>1</v>
      </c>
      <c r="G23">
        <v>3.45</v>
      </c>
      <c r="H23" t="s">
        <v>4133</v>
      </c>
      <c r="J23" t="s">
        <v>561</v>
      </c>
    </row>
    <row r="24" spans="1:10" x14ac:dyDescent="0.3">
      <c r="A24" t="s">
        <v>557</v>
      </c>
      <c r="B24" s="452">
        <v>46023</v>
      </c>
      <c r="C24" t="s">
        <v>4158</v>
      </c>
      <c r="D24" t="s">
        <v>4101</v>
      </c>
      <c r="E24" t="s">
        <v>4137</v>
      </c>
      <c r="F24">
        <v>1</v>
      </c>
      <c r="G24">
        <v>13.5</v>
      </c>
      <c r="H24" t="s">
        <v>4133</v>
      </c>
      <c r="J24" t="s">
        <v>561</v>
      </c>
    </row>
    <row r="25" spans="1:10" x14ac:dyDescent="0.3">
      <c r="A25" t="s">
        <v>557</v>
      </c>
      <c r="B25" s="452">
        <v>46023</v>
      </c>
      <c r="C25" t="s">
        <v>4159</v>
      </c>
      <c r="D25" t="s">
        <v>4101</v>
      </c>
      <c r="E25" t="s">
        <v>4135</v>
      </c>
      <c r="F25">
        <v>1</v>
      </c>
      <c r="G25">
        <v>8.6999999999999993</v>
      </c>
      <c r="H25" t="s">
        <v>4133</v>
      </c>
      <c r="J25" t="s">
        <v>561</v>
      </c>
    </row>
    <row r="26" spans="1:10" x14ac:dyDescent="0.3">
      <c r="A26" t="s">
        <v>557</v>
      </c>
      <c r="B26" s="452">
        <v>46023</v>
      </c>
      <c r="C26" t="s">
        <v>4160</v>
      </c>
      <c r="D26" t="s">
        <v>4101</v>
      </c>
      <c r="E26" t="s">
        <v>4144</v>
      </c>
      <c r="F26">
        <v>1</v>
      </c>
      <c r="G26">
        <v>10.5</v>
      </c>
      <c r="H26" t="s">
        <v>4126</v>
      </c>
      <c r="J26" t="s">
        <v>561</v>
      </c>
    </row>
    <row r="27" spans="1:10" x14ac:dyDescent="0.3">
      <c r="A27" t="s">
        <v>557</v>
      </c>
      <c r="B27" s="452">
        <v>46023</v>
      </c>
      <c r="C27" t="s">
        <v>4161</v>
      </c>
      <c r="D27" t="s">
        <v>4101</v>
      </c>
      <c r="E27" t="s">
        <v>4162</v>
      </c>
      <c r="F27">
        <v>1</v>
      </c>
      <c r="G27">
        <v>14.7</v>
      </c>
      <c r="H27" t="s">
        <v>4133</v>
      </c>
      <c r="J27" t="s">
        <v>561</v>
      </c>
    </row>
    <row r="28" spans="1:10" x14ac:dyDescent="0.3">
      <c r="A28" t="s">
        <v>557</v>
      </c>
      <c r="B28" s="452">
        <v>46023</v>
      </c>
      <c r="C28" t="s">
        <v>4163</v>
      </c>
      <c r="D28" t="s">
        <v>4101</v>
      </c>
      <c r="E28" t="s">
        <v>4149</v>
      </c>
      <c r="F28">
        <v>2</v>
      </c>
      <c r="G28">
        <v>61.8</v>
      </c>
      <c r="H28" t="s">
        <v>4133</v>
      </c>
      <c r="J28" t="s">
        <v>561</v>
      </c>
    </row>
    <row r="29" spans="1:10" x14ac:dyDescent="0.3">
      <c r="A29" t="s">
        <v>557</v>
      </c>
      <c r="B29" s="452">
        <v>46023</v>
      </c>
      <c r="C29" t="s">
        <v>4140</v>
      </c>
      <c r="D29" t="s">
        <v>4101</v>
      </c>
      <c r="E29" t="s">
        <v>4129</v>
      </c>
      <c r="F29">
        <v>1</v>
      </c>
      <c r="G29">
        <v>2.25</v>
      </c>
      <c r="H29" t="s">
        <v>4126</v>
      </c>
      <c r="J29" t="s">
        <v>561</v>
      </c>
    </row>
    <row r="30" spans="1:10" x14ac:dyDescent="0.3">
      <c r="A30" t="s">
        <v>557</v>
      </c>
      <c r="B30" s="452">
        <v>46023</v>
      </c>
      <c r="C30" t="s">
        <v>4141</v>
      </c>
      <c r="D30" t="s">
        <v>4101</v>
      </c>
      <c r="E30" t="s">
        <v>4142</v>
      </c>
      <c r="F30">
        <v>9</v>
      </c>
      <c r="G30">
        <v>37.53</v>
      </c>
      <c r="H30" t="s">
        <v>4126</v>
      </c>
      <c r="J30" t="s">
        <v>561</v>
      </c>
    </row>
    <row r="31" spans="1:10" x14ac:dyDescent="0.3">
      <c r="A31" t="s">
        <v>557</v>
      </c>
      <c r="B31" s="452">
        <v>46023</v>
      </c>
      <c r="C31" t="s">
        <v>4164</v>
      </c>
      <c r="D31" t="s">
        <v>4101</v>
      </c>
      <c r="E31" t="s">
        <v>4137</v>
      </c>
      <c r="F31">
        <v>1</v>
      </c>
      <c r="G31">
        <v>11.7</v>
      </c>
      <c r="H31" t="s">
        <v>4133</v>
      </c>
      <c r="J31" t="s">
        <v>561</v>
      </c>
    </row>
    <row r="32" spans="1:10" x14ac:dyDescent="0.3">
      <c r="A32" t="s">
        <v>557</v>
      </c>
      <c r="B32" s="452">
        <v>46023</v>
      </c>
      <c r="C32" t="s">
        <v>4124</v>
      </c>
      <c r="D32" t="s">
        <v>4101</v>
      </c>
      <c r="E32" t="s">
        <v>4125</v>
      </c>
      <c r="F32">
        <v>1</v>
      </c>
      <c r="G32">
        <v>2.4</v>
      </c>
      <c r="H32" t="s">
        <v>4126</v>
      </c>
      <c r="J32" t="s">
        <v>561</v>
      </c>
    </row>
    <row r="33" spans="1:10" x14ac:dyDescent="0.3">
      <c r="A33" t="s">
        <v>557</v>
      </c>
      <c r="B33" s="452">
        <v>46023</v>
      </c>
      <c r="C33" t="s">
        <v>4165</v>
      </c>
      <c r="D33" t="s">
        <v>4101</v>
      </c>
      <c r="E33" t="s">
        <v>4129</v>
      </c>
      <c r="F33">
        <v>1</v>
      </c>
      <c r="G33">
        <v>4.2</v>
      </c>
      <c r="H33" t="s">
        <v>4126</v>
      </c>
      <c r="J33" t="s">
        <v>561</v>
      </c>
    </row>
    <row r="34" spans="1:10" x14ac:dyDescent="0.3">
      <c r="A34" t="s">
        <v>557</v>
      </c>
      <c r="B34" s="452">
        <v>46023</v>
      </c>
      <c r="C34" t="s">
        <v>4166</v>
      </c>
      <c r="D34" t="s">
        <v>4101</v>
      </c>
      <c r="E34" t="s">
        <v>4137</v>
      </c>
      <c r="F34">
        <v>2</v>
      </c>
      <c r="G34">
        <v>22.2</v>
      </c>
      <c r="H34" t="s">
        <v>4133</v>
      </c>
      <c r="J34" t="s">
        <v>561</v>
      </c>
    </row>
    <row r="35" spans="1:10" x14ac:dyDescent="0.3">
      <c r="A35" t="s">
        <v>557</v>
      </c>
      <c r="B35" s="452">
        <v>46023</v>
      </c>
      <c r="C35" t="s">
        <v>4145</v>
      </c>
      <c r="D35" t="s">
        <v>4101</v>
      </c>
      <c r="E35" t="s">
        <v>4125</v>
      </c>
      <c r="F35">
        <v>1</v>
      </c>
      <c r="G35">
        <v>2.4</v>
      </c>
      <c r="H35" t="s">
        <v>4126</v>
      </c>
      <c r="J35" t="s">
        <v>561</v>
      </c>
    </row>
    <row r="36" spans="1:10" x14ac:dyDescent="0.3">
      <c r="A36" t="s">
        <v>557</v>
      </c>
      <c r="B36" s="452">
        <v>46023</v>
      </c>
      <c r="C36" t="s">
        <v>4167</v>
      </c>
      <c r="D36" t="s">
        <v>4101</v>
      </c>
      <c r="E36" t="s">
        <v>4137</v>
      </c>
      <c r="F36">
        <v>1</v>
      </c>
      <c r="G36">
        <v>7.5</v>
      </c>
      <c r="H36" t="s">
        <v>4133</v>
      </c>
      <c r="J36" t="s">
        <v>561</v>
      </c>
    </row>
    <row r="37" spans="1:10" x14ac:dyDescent="0.3">
      <c r="A37" t="s">
        <v>557</v>
      </c>
      <c r="B37" s="452">
        <v>46023</v>
      </c>
      <c r="C37" t="s">
        <v>4143</v>
      </c>
      <c r="D37" t="s">
        <v>4101</v>
      </c>
      <c r="E37" t="s">
        <v>4144</v>
      </c>
      <c r="F37">
        <v>2</v>
      </c>
      <c r="G37">
        <v>18.899999999999999</v>
      </c>
      <c r="H37" t="s">
        <v>4126</v>
      </c>
      <c r="J37" t="s">
        <v>561</v>
      </c>
    </row>
    <row r="38" spans="1:10" x14ac:dyDescent="0.3">
      <c r="A38" t="s">
        <v>557</v>
      </c>
      <c r="B38" s="452">
        <v>46023</v>
      </c>
      <c r="C38" t="s">
        <v>4168</v>
      </c>
      <c r="D38" t="s">
        <v>4101</v>
      </c>
      <c r="E38" t="s">
        <v>4169</v>
      </c>
      <c r="F38">
        <v>2</v>
      </c>
      <c r="G38">
        <v>25.2</v>
      </c>
      <c r="H38" t="s">
        <v>4126</v>
      </c>
      <c r="J38" t="s">
        <v>561</v>
      </c>
    </row>
    <row r="39" spans="1:10" x14ac:dyDescent="0.3">
      <c r="A39" t="s">
        <v>557</v>
      </c>
      <c r="B39" s="452">
        <v>46023</v>
      </c>
      <c r="C39" t="s">
        <v>4141</v>
      </c>
      <c r="D39" t="s">
        <v>4103</v>
      </c>
      <c r="E39" t="s">
        <v>4142</v>
      </c>
      <c r="F39">
        <v>1</v>
      </c>
      <c r="G39">
        <v>4.17</v>
      </c>
      <c r="H39" t="s">
        <v>4126</v>
      </c>
      <c r="J39" t="s">
        <v>561</v>
      </c>
    </row>
    <row r="40" spans="1:10" x14ac:dyDescent="0.3">
      <c r="A40" t="s">
        <v>557</v>
      </c>
      <c r="B40" s="452">
        <v>46023</v>
      </c>
      <c r="C40" t="s">
        <v>4170</v>
      </c>
      <c r="D40" t="s">
        <v>4103</v>
      </c>
      <c r="E40" t="s">
        <v>4139</v>
      </c>
      <c r="F40">
        <v>1</v>
      </c>
      <c r="G40">
        <v>8.6999999999999993</v>
      </c>
      <c r="H40" t="s">
        <v>4133</v>
      </c>
      <c r="J40" t="s">
        <v>561</v>
      </c>
    </row>
    <row r="41" spans="1:10" x14ac:dyDescent="0.3">
      <c r="A41" t="s">
        <v>557</v>
      </c>
      <c r="B41" s="452">
        <v>46023</v>
      </c>
      <c r="C41" t="s">
        <v>4171</v>
      </c>
      <c r="D41" t="s">
        <v>4103</v>
      </c>
      <c r="E41" t="s">
        <v>4149</v>
      </c>
      <c r="F41">
        <v>1</v>
      </c>
      <c r="G41">
        <v>66.599999999999994</v>
      </c>
      <c r="J41" t="s">
        <v>561</v>
      </c>
    </row>
    <row r="42" spans="1:10" x14ac:dyDescent="0.3">
      <c r="A42" t="s">
        <v>557</v>
      </c>
      <c r="B42" s="452">
        <v>46023</v>
      </c>
      <c r="C42" t="s">
        <v>4172</v>
      </c>
      <c r="D42" t="s">
        <v>4103</v>
      </c>
      <c r="E42" t="s">
        <v>4139</v>
      </c>
      <c r="F42">
        <v>1</v>
      </c>
      <c r="G42">
        <v>28.2</v>
      </c>
      <c r="J42" t="s">
        <v>561</v>
      </c>
    </row>
    <row r="43" spans="1:10" x14ac:dyDescent="0.3">
      <c r="A43" t="s">
        <v>557</v>
      </c>
      <c r="B43" s="452">
        <v>46023</v>
      </c>
      <c r="C43" t="s">
        <v>4173</v>
      </c>
      <c r="D43" t="s">
        <v>4103</v>
      </c>
      <c r="E43" t="s">
        <v>4174</v>
      </c>
      <c r="F43">
        <v>1</v>
      </c>
      <c r="G43">
        <v>12.6</v>
      </c>
      <c r="H43" t="s">
        <v>4126</v>
      </c>
      <c r="J43" t="s">
        <v>561</v>
      </c>
    </row>
    <row r="44" spans="1:10" x14ac:dyDescent="0.3">
      <c r="A44" t="s">
        <v>557</v>
      </c>
      <c r="B44" s="452">
        <v>46023</v>
      </c>
      <c r="C44" t="s">
        <v>4175</v>
      </c>
      <c r="D44" t="s">
        <v>4103</v>
      </c>
      <c r="E44" t="s">
        <v>4149</v>
      </c>
      <c r="F44">
        <v>1</v>
      </c>
      <c r="G44">
        <v>28.2</v>
      </c>
      <c r="H44" t="s">
        <v>4133</v>
      </c>
      <c r="J44" t="s">
        <v>561</v>
      </c>
    </row>
    <row r="45" spans="1:10" x14ac:dyDescent="0.3">
      <c r="A45" t="s">
        <v>557</v>
      </c>
      <c r="B45" s="452">
        <v>46023</v>
      </c>
      <c r="C45" t="s">
        <v>4176</v>
      </c>
      <c r="D45" t="s">
        <v>4103</v>
      </c>
      <c r="E45" t="s">
        <v>4132</v>
      </c>
      <c r="F45">
        <v>1</v>
      </c>
      <c r="G45">
        <v>12</v>
      </c>
      <c r="H45" t="s">
        <v>4126</v>
      </c>
      <c r="J45" t="s">
        <v>561</v>
      </c>
    </row>
    <row r="46" spans="1:10" x14ac:dyDescent="0.3">
      <c r="A46" t="s">
        <v>557</v>
      </c>
      <c r="B46" s="452">
        <v>46023</v>
      </c>
      <c r="C46" t="s">
        <v>4140</v>
      </c>
      <c r="D46" t="s">
        <v>4103</v>
      </c>
      <c r="E46" t="s">
        <v>4129</v>
      </c>
      <c r="F46">
        <v>1</v>
      </c>
      <c r="G46">
        <v>2.25</v>
      </c>
      <c r="H46" t="s">
        <v>4126</v>
      </c>
      <c r="J46" t="s">
        <v>561</v>
      </c>
    </row>
    <row r="47" spans="1:10" x14ac:dyDescent="0.3">
      <c r="A47" t="s">
        <v>557</v>
      </c>
      <c r="B47" s="452">
        <v>46023</v>
      </c>
      <c r="C47" t="s">
        <v>4127</v>
      </c>
      <c r="D47" t="s">
        <v>4103</v>
      </c>
      <c r="E47" t="s">
        <v>4125</v>
      </c>
      <c r="F47">
        <v>1</v>
      </c>
      <c r="G47">
        <v>2.4</v>
      </c>
      <c r="H47" t="s">
        <v>4126</v>
      </c>
      <c r="J47" t="s">
        <v>561</v>
      </c>
    </row>
    <row r="48" spans="1:10" x14ac:dyDescent="0.3">
      <c r="A48" t="s">
        <v>557</v>
      </c>
      <c r="B48" s="452">
        <v>46023</v>
      </c>
      <c r="C48" t="s">
        <v>4159</v>
      </c>
      <c r="D48" t="s">
        <v>4103</v>
      </c>
      <c r="E48" t="s">
        <v>4135</v>
      </c>
      <c r="F48">
        <v>1</v>
      </c>
      <c r="G48">
        <v>8.6999999999999993</v>
      </c>
      <c r="H48" t="s">
        <v>4133</v>
      </c>
      <c r="J48" t="s">
        <v>561</v>
      </c>
    </row>
    <row r="49" spans="1:10" x14ac:dyDescent="0.3">
      <c r="A49" t="s">
        <v>557</v>
      </c>
      <c r="B49" s="452">
        <v>46023</v>
      </c>
      <c r="C49" t="s">
        <v>4177</v>
      </c>
      <c r="D49" t="s">
        <v>4103</v>
      </c>
      <c r="E49" t="s">
        <v>4132</v>
      </c>
      <c r="F49">
        <v>1</v>
      </c>
      <c r="G49">
        <v>12.6</v>
      </c>
      <c r="H49" t="s">
        <v>4126</v>
      </c>
      <c r="J49" t="s">
        <v>561</v>
      </c>
    </row>
    <row r="50" spans="1:10" x14ac:dyDescent="0.3">
      <c r="A50" t="s">
        <v>557</v>
      </c>
      <c r="B50" s="452">
        <v>46023</v>
      </c>
      <c r="C50" t="s">
        <v>4138</v>
      </c>
      <c r="D50" t="s">
        <v>4103</v>
      </c>
      <c r="E50" t="s">
        <v>4139</v>
      </c>
      <c r="F50">
        <v>1</v>
      </c>
      <c r="G50">
        <v>7.8</v>
      </c>
      <c r="H50" t="s">
        <v>4133</v>
      </c>
      <c r="J50" t="s">
        <v>561</v>
      </c>
    </row>
    <row r="51" spans="1:10" x14ac:dyDescent="0.3">
      <c r="A51" t="s">
        <v>557</v>
      </c>
      <c r="B51" s="452">
        <v>46023</v>
      </c>
      <c r="C51" t="s">
        <v>4178</v>
      </c>
      <c r="D51" t="s">
        <v>4103</v>
      </c>
      <c r="E51" t="s">
        <v>4129</v>
      </c>
      <c r="F51">
        <v>1</v>
      </c>
      <c r="G51">
        <v>4.8</v>
      </c>
      <c r="H51" t="s">
        <v>4126</v>
      </c>
      <c r="J51" t="s">
        <v>561</v>
      </c>
    </row>
    <row r="52" spans="1:10" x14ac:dyDescent="0.3">
      <c r="A52" t="s">
        <v>557</v>
      </c>
      <c r="B52" s="452">
        <v>46023</v>
      </c>
      <c r="C52" t="s">
        <v>4179</v>
      </c>
      <c r="D52" t="s">
        <v>4104</v>
      </c>
      <c r="E52" t="s">
        <v>4135</v>
      </c>
      <c r="F52">
        <v>4</v>
      </c>
      <c r="G52">
        <v>13.2</v>
      </c>
      <c r="H52" t="s">
        <v>4133</v>
      </c>
      <c r="J52" t="s">
        <v>561</v>
      </c>
    </row>
    <row r="53" spans="1:10" x14ac:dyDescent="0.3">
      <c r="A53" t="s">
        <v>557</v>
      </c>
      <c r="B53" s="452">
        <v>46023</v>
      </c>
      <c r="C53" t="s">
        <v>4180</v>
      </c>
      <c r="D53" t="s">
        <v>4104</v>
      </c>
      <c r="E53" t="s">
        <v>4137</v>
      </c>
      <c r="F53">
        <v>1</v>
      </c>
      <c r="G53">
        <v>13.5</v>
      </c>
      <c r="H53" t="s">
        <v>4133</v>
      </c>
      <c r="J53" t="s">
        <v>561</v>
      </c>
    </row>
    <row r="54" spans="1:10" x14ac:dyDescent="0.3">
      <c r="A54" t="s">
        <v>557</v>
      </c>
      <c r="B54" s="452">
        <v>46023</v>
      </c>
      <c r="C54" t="s">
        <v>4157</v>
      </c>
      <c r="D54" t="s">
        <v>4104</v>
      </c>
      <c r="E54" t="s">
        <v>4135</v>
      </c>
      <c r="F54">
        <v>1</v>
      </c>
      <c r="G54">
        <v>3.45</v>
      </c>
      <c r="H54" t="s">
        <v>4133</v>
      </c>
      <c r="J54" t="s">
        <v>561</v>
      </c>
    </row>
    <row r="55" spans="1:10" x14ac:dyDescent="0.3">
      <c r="A55" t="s">
        <v>557</v>
      </c>
      <c r="B55" s="452">
        <v>46023</v>
      </c>
      <c r="C55" t="s">
        <v>4181</v>
      </c>
      <c r="D55" t="s">
        <v>4104</v>
      </c>
      <c r="E55" t="s">
        <v>4149</v>
      </c>
      <c r="F55">
        <v>1</v>
      </c>
      <c r="G55">
        <v>43.5</v>
      </c>
      <c r="J55" t="s">
        <v>561</v>
      </c>
    </row>
    <row r="56" spans="1:10" x14ac:dyDescent="0.3">
      <c r="A56" t="s">
        <v>557</v>
      </c>
      <c r="B56" s="452">
        <v>46023</v>
      </c>
      <c r="C56" t="s">
        <v>4182</v>
      </c>
      <c r="D56" t="s">
        <v>4104</v>
      </c>
      <c r="E56" t="s">
        <v>4135</v>
      </c>
      <c r="F56">
        <v>1</v>
      </c>
      <c r="G56">
        <v>8.4</v>
      </c>
      <c r="H56" t="s">
        <v>4133</v>
      </c>
      <c r="J56" t="s">
        <v>561</v>
      </c>
    </row>
    <row r="57" spans="1:10" x14ac:dyDescent="0.3">
      <c r="A57" t="s">
        <v>557</v>
      </c>
      <c r="B57" s="452">
        <v>46023</v>
      </c>
      <c r="C57" t="s">
        <v>4183</v>
      </c>
      <c r="D57" t="s">
        <v>4104</v>
      </c>
      <c r="E57" t="s">
        <v>4184</v>
      </c>
      <c r="F57">
        <v>4</v>
      </c>
      <c r="G57">
        <v>77.88</v>
      </c>
      <c r="H57" t="s">
        <v>4133</v>
      </c>
      <c r="J57" t="s">
        <v>561</v>
      </c>
    </row>
    <row r="58" spans="1:10" x14ac:dyDescent="0.3">
      <c r="A58" t="s">
        <v>557</v>
      </c>
      <c r="B58" s="452">
        <v>46023</v>
      </c>
      <c r="C58" t="s">
        <v>4150</v>
      </c>
      <c r="D58" t="s">
        <v>4104</v>
      </c>
      <c r="E58" t="s">
        <v>4135</v>
      </c>
      <c r="F58">
        <v>5</v>
      </c>
      <c r="G58">
        <v>42</v>
      </c>
      <c r="H58" t="s">
        <v>4133</v>
      </c>
      <c r="J58" t="s">
        <v>561</v>
      </c>
    </row>
    <row r="59" spans="1:10" x14ac:dyDescent="0.3">
      <c r="A59" t="s">
        <v>557</v>
      </c>
      <c r="B59" s="452">
        <v>46023</v>
      </c>
      <c r="C59" t="s">
        <v>4185</v>
      </c>
      <c r="D59" t="s">
        <v>4104</v>
      </c>
      <c r="E59" t="s">
        <v>4144</v>
      </c>
      <c r="F59">
        <v>2</v>
      </c>
      <c r="G59">
        <v>22.8</v>
      </c>
      <c r="H59" t="s">
        <v>4126</v>
      </c>
      <c r="J59" t="s">
        <v>561</v>
      </c>
    </row>
    <row r="60" spans="1:10" x14ac:dyDescent="0.3">
      <c r="A60" t="s">
        <v>557</v>
      </c>
      <c r="B60" s="452">
        <v>46023</v>
      </c>
      <c r="C60" t="s">
        <v>4186</v>
      </c>
      <c r="D60" t="s">
        <v>4104</v>
      </c>
      <c r="E60" t="s">
        <v>4137</v>
      </c>
      <c r="F60">
        <v>1</v>
      </c>
      <c r="G60">
        <v>12.6</v>
      </c>
      <c r="H60" t="s">
        <v>4133</v>
      </c>
      <c r="J60" t="s">
        <v>561</v>
      </c>
    </row>
    <row r="61" spans="1:10" x14ac:dyDescent="0.3">
      <c r="A61" t="s">
        <v>557</v>
      </c>
      <c r="B61" s="452">
        <v>46023</v>
      </c>
      <c r="C61" t="s">
        <v>4187</v>
      </c>
      <c r="D61" t="s">
        <v>4104</v>
      </c>
      <c r="E61" t="s">
        <v>4135</v>
      </c>
      <c r="F61">
        <v>5</v>
      </c>
      <c r="G61">
        <v>15.75</v>
      </c>
      <c r="H61" t="s">
        <v>4133</v>
      </c>
      <c r="J61" t="s">
        <v>561</v>
      </c>
    </row>
    <row r="62" spans="1:10" x14ac:dyDescent="0.3">
      <c r="A62" t="s">
        <v>557</v>
      </c>
      <c r="B62" s="452">
        <v>46023</v>
      </c>
      <c r="C62" t="s">
        <v>4188</v>
      </c>
      <c r="D62" t="s">
        <v>4104</v>
      </c>
      <c r="E62" t="s">
        <v>4137</v>
      </c>
      <c r="F62">
        <v>2</v>
      </c>
      <c r="G62">
        <v>17.399999999999999</v>
      </c>
      <c r="H62" t="s">
        <v>4133</v>
      </c>
      <c r="J62" t="s">
        <v>561</v>
      </c>
    </row>
    <row r="63" spans="1:10" x14ac:dyDescent="0.3">
      <c r="A63" t="s">
        <v>557</v>
      </c>
      <c r="B63" s="452">
        <v>46023</v>
      </c>
      <c r="C63" t="s">
        <v>4189</v>
      </c>
      <c r="D63" t="s">
        <v>4104</v>
      </c>
      <c r="E63" t="s">
        <v>4190</v>
      </c>
      <c r="F63">
        <v>3</v>
      </c>
      <c r="G63">
        <v>40.5</v>
      </c>
      <c r="H63" t="s">
        <v>4133</v>
      </c>
      <c r="J63" t="s">
        <v>561</v>
      </c>
    </row>
    <row r="64" spans="1:10" x14ac:dyDescent="0.3">
      <c r="A64" t="s">
        <v>557</v>
      </c>
      <c r="B64" s="452">
        <v>46023</v>
      </c>
      <c r="C64" t="s">
        <v>4151</v>
      </c>
      <c r="D64" t="s">
        <v>4104</v>
      </c>
      <c r="E64" t="s">
        <v>4144</v>
      </c>
      <c r="F64">
        <v>2</v>
      </c>
      <c r="G64">
        <v>22.8</v>
      </c>
      <c r="H64" t="s">
        <v>4126</v>
      </c>
      <c r="J64" t="s">
        <v>561</v>
      </c>
    </row>
    <row r="65" spans="1:10" x14ac:dyDescent="0.3">
      <c r="A65" t="s">
        <v>557</v>
      </c>
      <c r="B65" s="452">
        <v>46023</v>
      </c>
      <c r="C65" t="s">
        <v>4191</v>
      </c>
      <c r="D65" t="s">
        <v>4104</v>
      </c>
      <c r="E65" t="s">
        <v>4135</v>
      </c>
      <c r="F65">
        <v>5</v>
      </c>
      <c r="G65">
        <v>24.75</v>
      </c>
      <c r="H65" t="s">
        <v>4133</v>
      </c>
      <c r="J65" t="s">
        <v>561</v>
      </c>
    </row>
    <row r="66" spans="1:10" x14ac:dyDescent="0.3">
      <c r="A66" t="s">
        <v>557</v>
      </c>
      <c r="B66" s="452">
        <v>46023</v>
      </c>
      <c r="C66" t="s">
        <v>4152</v>
      </c>
      <c r="D66" t="s">
        <v>4104</v>
      </c>
      <c r="E66" t="s">
        <v>4129</v>
      </c>
      <c r="F66">
        <v>2</v>
      </c>
      <c r="G66">
        <v>8.4</v>
      </c>
      <c r="H66" t="s">
        <v>4126</v>
      </c>
      <c r="J66" t="s">
        <v>561</v>
      </c>
    </row>
    <row r="67" spans="1:10" x14ac:dyDescent="0.3">
      <c r="A67" t="s">
        <v>557</v>
      </c>
      <c r="B67" s="452">
        <v>46023</v>
      </c>
      <c r="C67" t="s">
        <v>4192</v>
      </c>
      <c r="D67" t="s">
        <v>4104</v>
      </c>
      <c r="E67" t="s">
        <v>4193</v>
      </c>
      <c r="F67">
        <v>1</v>
      </c>
      <c r="G67">
        <v>16.8</v>
      </c>
      <c r="H67" t="s">
        <v>4133</v>
      </c>
      <c r="J67" t="s">
        <v>561</v>
      </c>
    </row>
    <row r="68" spans="1:10" x14ac:dyDescent="0.3">
      <c r="A68" t="s">
        <v>557</v>
      </c>
      <c r="B68" s="452">
        <v>46023</v>
      </c>
      <c r="C68" t="s">
        <v>4175</v>
      </c>
      <c r="D68" t="s">
        <v>4104</v>
      </c>
      <c r="E68" t="s">
        <v>4149</v>
      </c>
      <c r="F68">
        <v>4</v>
      </c>
      <c r="G68">
        <v>94.8</v>
      </c>
      <c r="H68" t="s">
        <v>4133</v>
      </c>
      <c r="J68" t="s">
        <v>561</v>
      </c>
    </row>
    <row r="69" spans="1:10" x14ac:dyDescent="0.3">
      <c r="A69" t="s">
        <v>557</v>
      </c>
      <c r="B69" s="452">
        <v>46023</v>
      </c>
      <c r="C69" t="s">
        <v>4194</v>
      </c>
      <c r="D69" t="s">
        <v>4104</v>
      </c>
      <c r="E69" t="s">
        <v>4129</v>
      </c>
      <c r="F69">
        <v>1</v>
      </c>
      <c r="G69">
        <v>5.4</v>
      </c>
      <c r="H69" t="s">
        <v>4126</v>
      </c>
      <c r="J69" t="s">
        <v>561</v>
      </c>
    </row>
    <row r="70" spans="1:10" x14ac:dyDescent="0.3">
      <c r="A70" t="s">
        <v>557</v>
      </c>
      <c r="B70" s="452">
        <v>46023</v>
      </c>
      <c r="C70" t="s">
        <v>4195</v>
      </c>
      <c r="D70" t="s">
        <v>4104</v>
      </c>
      <c r="E70" t="s">
        <v>4135</v>
      </c>
      <c r="F70">
        <v>2</v>
      </c>
      <c r="G70">
        <v>4.5</v>
      </c>
      <c r="H70" t="s">
        <v>4133</v>
      </c>
      <c r="J70" t="s">
        <v>561</v>
      </c>
    </row>
    <row r="71" spans="1:10" x14ac:dyDescent="0.3">
      <c r="A71" t="s">
        <v>557</v>
      </c>
      <c r="B71" s="452">
        <v>46023</v>
      </c>
      <c r="C71" t="s">
        <v>4196</v>
      </c>
      <c r="D71" t="s">
        <v>4104</v>
      </c>
      <c r="E71" t="s">
        <v>4184</v>
      </c>
      <c r="F71">
        <v>24</v>
      </c>
      <c r="G71">
        <v>517.67999999999995</v>
      </c>
      <c r="H71" t="s">
        <v>4133</v>
      </c>
      <c r="J71" t="s">
        <v>561</v>
      </c>
    </row>
    <row r="72" spans="1:10" x14ac:dyDescent="0.3">
      <c r="A72" t="s">
        <v>557</v>
      </c>
      <c r="B72" s="452">
        <v>46023</v>
      </c>
      <c r="C72" t="s">
        <v>4154</v>
      </c>
      <c r="D72" t="s">
        <v>4104</v>
      </c>
      <c r="E72" t="s">
        <v>4137</v>
      </c>
      <c r="F72">
        <v>2</v>
      </c>
      <c r="G72">
        <v>16.2</v>
      </c>
      <c r="H72" t="s">
        <v>4133</v>
      </c>
      <c r="J72" t="s">
        <v>561</v>
      </c>
    </row>
    <row r="73" spans="1:10" x14ac:dyDescent="0.3">
      <c r="A73" t="s">
        <v>557</v>
      </c>
      <c r="B73" s="452">
        <v>46023</v>
      </c>
      <c r="C73" t="s">
        <v>4197</v>
      </c>
      <c r="D73" t="s">
        <v>4104</v>
      </c>
      <c r="E73" t="s">
        <v>4135</v>
      </c>
      <c r="F73">
        <v>2</v>
      </c>
      <c r="G73">
        <v>9.6</v>
      </c>
      <c r="H73" t="s">
        <v>4133</v>
      </c>
      <c r="J73" t="s">
        <v>561</v>
      </c>
    </row>
    <row r="74" spans="1:10" x14ac:dyDescent="0.3">
      <c r="A74" t="s">
        <v>557</v>
      </c>
      <c r="B74" s="452">
        <v>46023</v>
      </c>
      <c r="C74" t="s">
        <v>4198</v>
      </c>
      <c r="D74" t="s">
        <v>4104</v>
      </c>
      <c r="E74" t="s">
        <v>4137</v>
      </c>
      <c r="F74">
        <v>1</v>
      </c>
      <c r="G74">
        <v>20.7</v>
      </c>
      <c r="H74" t="s">
        <v>4133</v>
      </c>
      <c r="J74" t="s">
        <v>561</v>
      </c>
    </row>
    <row r="75" spans="1:10" x14ac:dyDescent="0.3">
      <c r="A75" t="s">
        <v>557</v>
      </c>
      <c r="B75" s="452">
        <v>46023</v>
      </c>
      <c r="C75" t="s">
        <v>4199</v>
      </c>
      <c r="D75" t="s">
        <v>4104</v>
      </c>
      <c r="E75" t="s">
        <v>4137</v>
      </c>
      <c r="F75">
        <v>1</v>
      </c>
      <c r="G75">
        <v>17.7</v>
      </c>
      <c r="H75" t="s">
        <v>4133</v>
      </c>
      <c r="J75" t="s">
        <v>561</v>
      </c>
    </row>
    <row r="76" spans="1:10" x14ac:dyDescent="0.3">
      <c r="A76" t="s">
        <v>557</v>
      </c>
      <c r="B76" s="452">
        <v>46023</v>
      </c>
      <c r="C76" t="s">
        <v>4200</v>
      </c>
      <c r="D76" t="s">
        <v>4104</v>
      </c>
      <c r="E76" t="s">
        <v>4135</v>
      </c>
      <c r="F76">
        <v>1</v>
      </c>
      <c r="G76">
        <v>7.5</v>
      </c>
      <c r="H76" t="s">
        <v>4133</v>
      </c>
      <c r="J76" t="s">
        <v>561</v>
      </c>
    </row>
    <row r="77" spans="1:10" x14ac:dyDescent="0.3">
      <c r="A77" t="s">
        <v>557</v>
      </c>
      <c r="B77" s="452">
        <v>46023</v>
      </c>
      <c r="C77" t="s">
        <v>4130</v>
      </c>
      <c r="D77" t="s">
        <v>4104</v>
      </c>
      <c r="E77" t="s">
        <v>4125</v>
      </c>
      <c r="F77">
        <v>2</v>
      </c>
      <c r="G77">
        <v>4.8</v>
      </c>
      <c r="H77" t="s">
        <v>4126</v>
      </c>
      <c r="J77" t="s">
        <v>561</v>
      </c>
    </row>
    <row r="78" spans="1:10" x14ac:dyDescent="0.3">
      <c r="A78" t="s">
        <v>557</v>
      </c>
      <c r="B78" s="452">
        <v>46023</v>
      </c>
      <c r="C78" t="s">
        <v>4201</v>
      </c>
      <c r="D78" t="s">
        <v>4104</v>
      </c>
      <c r="E78" t="s">
        <v>4132</v>
      </c>
      <c r="F78">
        <v>1</v>
      </c>
      <c r="G78">
        <v>12</v>
      </c>
      <c r="H78" t="s">
        <v>4126</v>
      </c>
      <c r="J78" t="s">
        <v>561</v>
      </c>
    </row>
    <row r="79" spans="1:10" x14ac:dyDescent="0.3">
      <c r="A79" t="s">
        <v>557</v>
      </c>
      <c r="B79" s="452">
        <v>46023</v>
      </c>
      <c r="C79" t="s">
        <v>4202</v>
      </c>
      <c r="D79" t="s">
        <v>4104</v>
      </c>
      <c r="E79" t="s">
        <v>4169</v>
      </c>
      <c r="F79">
        <v>8</v>
      </c>
      <c r="G79">
        <v>19.2</v>
      </c>
      <c r="H79" t="s">
        <v>4126</v>
      </c>
      <c r="J79" t="s">
        <v>561</v>
      </c>
    </row>
    <row r="80" spans="1:10" x14ac:dyDescent="0.3">
      <c r="A80" t="s">
        <v>557</v>
      </c>
      <c r="B80" s="452">
        <v>46023</v>
      </c>
      <c r="C80" t="s">
        <v>4128</v>
      </c>
      <c r="D80" t="s">
        <v>4104</v>
      </c>
      <c r="E80" t="s">
        <v>4129</v>
      </c>
      <c r="F80">
        <v>2</v>
      </c>
      <c r="G80">
        <v>4.5</v>
      </c>
      <c r="H80" t="s">
        <v>4126</v>
      </c>
      <c r="J80" t="s">
        <v>561</v>
      </c>
    </row>
    <row r="81" spans="1:10" x14ac:dyDescent="0.3">
      <c r="A81" t="s">
        <v>557</v>
      </c>
      <c r="B81" s="452">
        <v>46023</v>
      </c>
      <c r="C81" t="s">
        <v>4203</v>
      </c>
      <c r="D81" t="s">
        <v>4104</v>
      </c>
      <c r="E81" t="s">
        <v>4204</v>
      </c>
      <c r="F81">
        <v>1</v>
      </c>
      <c r="G81">
        <v>11.7</v>
      </c>
      <c r="H81" t="s">
        <v>4126</v>
      </c>
      <c r="J81" t="s">
        <v>561</v>
      </c>
    </row>
    <row r="82" spans="1:10" x14ac:dyDescent="0.3">
      <c r="A82" t="s">
        <v>557</v>
      </c>
      <c r="B82" s="452">
        <v>46023</v>
      </c>
      <c r="C82" t="s">
        <v>4161</v>
      </c>
      <c r="D82" t="s">
        <v>4104</v>
      </c>
      <c r="E82" t="s">
        <v>4162</v>
      </c>
      <c r="F82">
        <v>1</v>
      </c>
      <c r="G82">
        <v>14.7</v>
      </c>
      <c r="H82" t="s">
        <v>4133</v>
      </c>
      <c r="J82" t="s">
        <v>561</v>
      </c>
    </row>
    <row r="83" spans="1:10" x14ac:dyDescent="0.3">
      <c r="A83" t="s">
        <v>557</v>
      </c>
      <c r="B83" s="452">
        <v>46023</v>
      </c>
      <c r="C83" t="s">
        <v>4205</v>
      </c>
      <c r="D83" t="s">
        <v>4104</v>
      </c>
      <c r="E83" t="s">
        <v>4129</v>
      </c>
      <c r="F83">
        <v>6</v>
      </c>
      <c r="G83">
        <v>28.8</v>
      </c>
      <c r="H83" t="s">
        <v>4126</v>
      </c>
      <c r="J83" t="s">
        <v>561</v>
      </c>
    </row>
    <row r="84" spans="1:10" x14ac:dyDescent="0.3">
      <c r="A84" t="s">
        <v>557</v>
      </c>
      <c r="B84" s="452">
        <v>46023</v>
      </c>
      <c r="C84" t="s">
        <v>4140</v>
      </c>
      <c r="D84" t="s">
        <v>4104</v>
      </c>
      <c r="E84" t="s">
        <v>4129</v>
      </c>
      <c r="F84">
        <v>4</v>
      </c>
      <c r="G84">
        <v>9</v>
      </c>
      <c r="H84" t="s">
        <v>4126</v>
      </c>
      <c r="J84" t="s">
        <v>561</v>
      </c>
    </row>
    <row r="85" spans="1:10" x14ac:dyDescent="0.3">
      <c r="A85" t="s">
        <v>557</v>
      </c>
      <c r="B85" s="452">
        <v>46023</v>
      </c>
      <c r="C85" t="s">
        <v>4145</v>
      </c>
      <c r="D85" t="s">
        <v>4104</v>
      </c>
      <c r="E85" t="s">
        <v>4125</v>
      </c>
      <c r="F85">
        <v>5</v>
      </c>
      <c r="G85">
        <v>12</v>
      </c>
      <c r="H85" t="s">
        <v>4126</v>
      </c>
      <c r="J85" t="s">
        <v>561</v>
      </c>
    </row>
    <row r="86" spans="1:10" x14ac:dyDescent="0.3">
      <c r="A86" t="s">
        <v>557</v>
      </c>
      <c r="B86" s="452">
        <v>46023</v>
      </c>
      <c r="C86" t="s">
        <v>4166</v>
      </c>
      <c r="D86" t="s">
        <v>4104</v>
      </c>
      <c r="E86" t="s">
        <v>4137</v>
      </c>
      <c r="F86">
        <v>1</v>
      </c>
      <c r="G86">
        <v>11.1</v>
      </c>
      <c r="H86" t="s">
        <v>4133</v>
      </c>
      <c r="J86" t="s">
        <v>561</v>
      </c>
    </row>
    <row r="87" spans="1:10" x14ac:dyDescent="0.3">
      <c r="A87" t="s">
        <v>557</v>
      </c>
      <c r="B87" s="452">
        <v>46023</v>
      </c>
      <c r="C87" t="s">
        <v>4206</v>
      </c>
      <c r="D87" t="s">
        <v>4104</v>
      </c>
      <c r="E87" t="s">
        <v>4207</v>
      </c>
      <c r="F87">
        <v>2</v>
      </c>
      <c r="G87">
        <v>6</v>
      </c>
      <c r="H87" t="s">
        <v>3906</v>
      </c>
      <c r="J87" t="s">
        <v>561</v>
      </c>
    </row>
    <row r="88" spans="1:10" x14ac:dyDescent="0.3">
      <c r="A88" t="s">
        <v>557</v>
      </c>
      <c r="B88" s="452">
        <v>46023</v>
      </c>
      <c r="C88" t="s">
        <v>4165</v>
      </c>
      <c r="D88" t="s">
        <v>4104</v>
      </c>
      <c r="E88" t="s">
        <v>4129</v>
      </c>
      <c r="F88">
        <v>2</v>
      </c>
      <c r="G88">
        <v>8.4</v>
      </c>
      <c r="H88" t="s">
        <v>4126</v>
      </c>
      <c r="J88" t="s">
        <v>561</v>
      </c>
    </row>
    <row r="89" spans="1:10" x14ac:dyDescent="0.3">
      <c r="A89" t="s">
        <v>557</v>
      </c>
      <c r="B89" s="452">
        <v>46023</v>
      </c>
      <c r="C89" t="s">
        <v>4146</v>
      </c>
      <c r="D89" t="s">
        <v>4104</v>
      </c>
      <c r="E89" t="s">
        <v>4129</v>
      </c>
      <c r="F89">
        <v>10</v>
      </c>
      <c r="G89">
        <v>42</v>
      </c>
      <c r="H89" t="s">
        <v>4126</v>
      </c>
      <c r="J89" t="s">
        <v>561</v>
      </c>
    </row>
    <row r="90" spans="1:10" x14ac:dyDescent="0.3">
      <c r="A90" t="s">
        <v>557</v>
      </c>
      <c r="B90" s="452">
        <v>46023</v>
      </c>
      <c r="C90" t="s">
        <v>4147</v>
      </c>
      <c r="D90" t="s">
        <v>4104</v>
      </c>
      <c r="E90" t="s">
        <v>4125</v>
      </c>
      <c r="F90">
        <v>5</v>
      </c>
      <c r="G90">
        <v>12</v>
      </c>
      <c r="H90" t="s">
        <v>4126</v>
      </c>
      <c r="J90" t="s">
        <v>561</v>
      </c>
    </row>
    <row r="91" spans="1:10" x14ac:dyDescent="0.3">
      <c r="A91" t="s">
        <v>557</v>
      </c>
      <c r="B91" s="452">
        <v>46023</v>
      </c>
      <c r="C91" t="s">
        <v>4208</v>
      </c>
      <c r="D91" t="s">
        <v>4104</v>
      </c>
      <c r="E91" t="s">
        <v>4129</v>
      </c>
      <c r="F91">
        <v>1</v>
      </c>
      <c r="G91">
        <v>4.2</v>
      </c>
      <c r="H91" t="s">
        <v>4126</v>
      </c>
      <c r="J91" t="s">
        <v>561</v>
      </c>
    </row>
    <row r="92" spans="1:10" x14ac:dyDescent="0.3">
      <c r="A92" t="s">
        <v>557</v>
      </c>
      <c r="B92" s="452">
        <v>46023</v>
      </c>
      <c r="C92" t="s">
        <v>4209</v>
      </c>
      <c r="D92" t="s">
        <v>4104</v>
      </c>
      <c r="E92" t="s">
        <v>4193</v>
      </c>
      <c r="F92">
        <v>7</v>
      </c>
      <c r="G92">
        <v>102.9</v>
      </c>
      <c r="H92" t="s">
        <v>4133</v>
      </c>
      <c r="J92" t="s">
        <v>561</v>
      </c>
    </row>
    <row r="93" spans="1:10" x14ac:dyDescent="0.3">
      <c r="A93" t="s">
        <v>557</v>
      </c>
      <c r="B93" s="452">
        <v>46023</v>
      </c>
      <c r="C93" t="s">
        <v>4210</v>
      </c>
      <c r="D93" t="s">
        <v>4104</v>
      </c>
      <c r="E93" t="s">
        <v>4149</v>
      </c>
      <c r="F93">
        <v>1</v>
      </c>
      <c r="G93">
        <v>25.2</v>
      </c>
      <c r="H93" t="s">
        <v>4133</v>
      </c>
      <c r="J93" t="s">
        <v>561</v>
      </c>
    </row>
    <row r="94" spans="1:10" x14ac:dyDescent="0.3">
      <c r="A94" t="s">
        <v>557</v>
      </c>
      <c r="B94" s="452">
        <v>46023</v>
      </c>
      <c r="C94" t="s">
        <v>4138</v>
      </c>
      <c r="D94" t="s">
        <v>4104</v>
      </c>
      <c r="E94" t="s">
        <v>4139</v>
      </c>
      <c r="F94">
        <v>2</v>
      </c>
      <c r="G94">
        <v>15.6</v>
      </c>
      <c r="H94" t="s">
        <v>4133</v>
      </c>
      <c r="J94" t="s">
        <v>561</v>
      </c>
    </row>
    <row r="95" spans="1:10" x14ac:dyDescent="0.3">
      <c r="A95" t="s">
        <v>557</v>
      </c>
      <c r="B95" s="452">
        <v>46023</v>
      </c>
      <c r="C95" t="s">
        <v>4211</v>
      </c>
      <c r="D95" t="s">
        <v>4104</v>
      </c>
      <c r="E95" t="s">
        <v>4162</v>
      </c>
      <c r="F95">
        <v>1</v>
      </c>
      <c r="G95">
        <v>14.1</v>
      </c>
      <c r="H95" t="s">
        <v>4133</v>
      </c>
      <c r="J95" t="s">
        <v>561</v>
      </c>
    </row>
    <row r="96" spans="1:10" x14ac:dyDescent="0.3">
      <c r="A96" t="s">
        <v>557</v>
      </c>
      <c r="B96" s="452">
        <v>46023</v>
      </c>
      <c r="C96" t="s">
        <v>4212</v>
      </c>
      <c r="D96" t="s">
        <v>4104</v>
      </c>
      <c r="E96" t="s">
        <v>4125</v>
      </c>
      <c r="F96">
        <v>1</v>
      </c>
      <c r="G96">
        <v>2.25</v>
      </c>
      <c r="H96" t="s">
        <v>4126</v>
      </c>
      <c r="J96" t="s">
        <v>561</v>
      </c>
    </row>
    <row r="97" spans="1:10" x14ac:dyDescent="0.3">
      <c r="A97" t="s">
        <v>557</v>
      </c>
      <c r="B97" s="452">
        <v>46023</v>
      </c>
      <c r="C97" t="s">
        <v>4124</v>
      </c>
      <c r="D97" t="s">
        <v>4104</v>
      </c>
      <c r="E97" t="s">
        <v>4125</v>
      </c>
      <c r="F97">
        <v>1</v>
      </c>
      <c r="G97">
        <v>2.4</v>
      </c>
      <c r="H97" t="s">
        <v>4126</v>
      </c>
      <c r="J97" t="s">
        <v>561</v>
      </c>
    </row>
    <row r="98" spans="1:10" x14ac:dyDescent="0.3">
      <c r="A98" t="s">
        <v>557</v>
      </c>
      <c r="B98" s="452">
        <v>46023</v>
      </c>
      <c r="C98" t="s">
        <v>4181</v>
      </c>
      <c r="D98" t="s">
        <v>4105</v>
      </c>
      <c r="E98" t="s">
        <v>4149</v>
      </c>
      <c r="F98">
        <v>2</v>
      </c>
      <c r="G98">
        <v>91.5</v>
      </c>
      <c r="J98" t="s">
        <v>561</v>
      </c>
    </row>
    <row r="99" spans="1:10" x14ac:dyDescent="0.3">
      <c r="A99" t="s">
        <v>557</v>
      </c>
      <c r="B99" s="452">
        <v>46023</v>
      </c>
      <c r="C99" t="s">
        <v>4182</v>
      </c>
      <c r="D99" t="s">
        <v>4105</v>
      </c>
      <c r="E99" t="s">
        <v>4135</v>
      </c>
      <c r="F99">
        <v>6</v>
      </c>
      <c r="G99">
        <v>50.4</v>
      </c>
      <c r="H99" t="s">
        <v>4133</v>
      </c>
      <c r="J99" t="s">
        <v>561</v>
      </c>
    </row>
    <row r="100" spans="1:10" x14ac:dyDescent="0.3">
      <c r="A100" t="s">
        <v>557</v>
      </c>
      <c r="B100" s="452">
        <v>46023</v>
      </c>
      <c r="C100" t="s">
        <v>4213</v>
      </c>
      <c r="D100" t="s">
        <v>4105</v>
      </c>
      <c r="E100" t="s">
        <v>4137</v>
      </c>
      <c r="F100">
        <v>2</v>
      </c>
      <c r="G100">
        <v>25.2</v>
      </c>
      <c r="H100" t="s">
        <v>4133</v>
      </c>
      <c r="J100" t="s">
        <v>561</v>
      </c>
    </row>
    <row r="101" spans="1:10" x14ac:dyDescent="0.3">
      <c r="A101" t="s">
        <v>557</v>
      </c>
      <c r="B101" s="452">
        <v>46023</v>
      </c>
      <c r="C101" t="s">
        <v>4214</v>
      </c>
      <c r="D101" t="s">
        <v>4105</v>
      </c>
      <c r="E101" t="s">
        <v>4137</v>
      </c>
      <c r="F101">
        <v>2</v>
      </c>
      <c r="G101">
        <v>41.4</v>
      </c>
      <c r="H101" t="s">
        <v>4133</v>
      </c>
      <c r="J101" t="s">
        <v>561</v>
      </c>
    </row>
    <row r="102" spans="1:10" x14ac:dyDescent="0.3">
      <c r="A102" t="s">
        <v>557</v>
      </c>
      <c r="B102" s="452">
        <v>46023</v>
      </c>
      <c r="C102" t="s">
        <v>4215</v>
      </c>
      <c r="D102" t="s">
        <v>4105</v>
      </c>
      <c r="E102" t="s">
        <v>4137</v>
      </c>
      <c r="F102">
        <v>2</v>
      </c>
      <c r="G102">
        <v>39</v>
      </c>
      <c r="H102" t="s">
        <v>4133</v>
      </c>
      <c r="J102" t="s">
        <v>561</v>
      </c>
    </row>
    <row r="103" spans="1:10" x14ac:dyDescent="0.3">
      <c r="A103" t="s">
        <v>557</v>
      </c>
      <c r="B103" s="452">
        <v>46023</v>
      </c>
      <c r="C103" t="s">
        <v>4216</v>
      </c>
      <c r="D103" t="s">
        <v>4105</v>
      </c>
      <c r="E103" t="s">
        <v>4149</v>
      </c>
      <c r="F103">
        <v>2</v>
      </c>
      <c r="G103">
        <v>58.8</v>
      </c>
      <c r="H103" t="s">
        <v>4133</v>
      </c>
      <c r="J103" t="s">
        <v>561</v>
      </c>
    </row>
    <row r="104" spans="1:10" x14ac:dyDescent="0.3">
      <c r="A104" t="s">
        <v>557</v>
      </c>
      <c r="B104" s="452">
        <v>46023</v>
      </c>
      <c r="C104" t="s">
        <v>4145</v>
      </c>
      <c r="D104" t="s">
        <v>4105</v>
      </c>
      <c r="E104" t="s">
        <v>4125</v>
      </c>
      <c r="F104">
        <v>11</v>
      </c>
      <c r="G104">
        <v>26.4</v>
      </c>
      <c r="H104" t="s">
        <v>4126</v>
      </c>
      <c r="J104" t="s">
        <v>561</v>
      </c>
    </row>
    <row r="105" spans="1:10" x14ac:dyDescent="0.3">
      <c r="A105" t="s">
        <v>557</v>
      </c>
      <c r="B105" s="452">
        <v>46023</v>
      </c>
      <c r="C105" t="s">
        <v>4130</v>
      </c>
      <c r="D105" t="s">
        <v>4105</v>
      </c>
      <c r="E105" t="s">
        <v>4125</v>
      </c>
      <c r="F105">
        <v>1</v>
      </c>
      <c r="G105">
        <v>2.4</v>
      </c>
      <c r="H105" t="s">
        <v>4126</v>
      </c>
      <c r="J105" t="s">
        <v>561</v>
      </c>
    </row>
    <row r="106" spans="1:10" x14ac:dyDescent="0.3">
      <c r="A106" t="s">
        <v>557</v>
      </c>
      <c r="B106" s="452">
        <v>46023</v>
      </c>
      <c r="C106" t="s">
        <v>4166</v>
      </c>
      <c r="D106" t="s">
        <v>4105</v>
      </c>
      <c r="E106" t="s">
        <v>4137</v>
      </c>
      <c r="F106">
        <v>2</v>
      </c>
      <c r="G106">
        <v>22.2</v>
      </c>
      <c r="H106" t="s">
        <v>4133</v>
      </c>
      <c r="J106" t="s">
        <v>561</v>
      </c>
    </row>
    <row r="107" spans="1:10" x14ac:dyDescent="0.3">
      <c r="A107" t="s">
        <v>557</v>
      </c>
      <c r="B107" s="452">
        <v>46023</v>
      </c>
      <c r="C107" t="s">
        <v>4217</v>
      </c>
      <c r="D107" t="s">
        <v>4105</v>
      </c>
      <c r="E107" t="s">
        <v>4149</v>
      </c>
      <c r="F107">
        <v>1</v>
      </c>
      <c r="G107">
        <v>21.6</v>
      </c>
      <c r="H107" t="s">
        <v>4133</v>
      </c>
      <c r="J107" t="s">
        <v>561</v>
      </c>
    </row>
    <row r="108" spans="1:10" x14ac:dyDescent="0.3">
      <c r="A108" t="s">
        <v>557</v>
      </c>
      <c r="B108" s="452">
        <v>46023</v>
      </c>
      <c r="C108" t="s">
        <v>4218</v>
      </c>
      <c r="D108" t="s">
        <v>4105</v>
      </c>
      <c r="E108" t="s">
        <v>4162</v>
      </c>
      <c r="F108">
        <v>3</v>
      </c>
      <c r="G108">
        <v>44.1</v>
      </c>
      <c r="H108" t="s">
        <v>4133</v>
      </c>
      <c r="J108" t="s">
        <v>561</v>
      </c>
    </row>
    <row r="109" spans="1:10" x14ac:dyDescent="0.3">
      <c r="A109" t="s">
        <v>557</v>
      </c>
      <c r="B109" s="452">
        <v>46023</v>
      </c>
      <c r="C109" t="s">
        <v>4165</v>
      </c>
      <c r="D109" t="s">
        <v>4105</v>
      </c>
      <c r="E109" t="s">
        <v>4129</v>
      </c>
      <c r="F109">
        <v>9</v>
      </c>
      <c r="G109">
        <v>37.799999999999997</v>
      </c>
      <c r="H109" t="s">
        <v>4126</v>
      </c>
      <c r="J109" t="s">
        <v>561</v>
      </c>
    </row>
    <row r="110" spans="1:10" x14ac:dyDescent="0.3">
      <c r="A110" t="s">
        <v>557</v>
      </c>
      <c r="B110" s="452">
        <v>46023</v>
      </c>
      <c r="C110" t="s">
        <v>4146</v>
      </c>
      <c r="D110" t="s">
        <v>4105</v>
      </c>
      <c r="E110" t="s">
        <v>4129</v>
      </c>
      <c r="F110">
        <v>12</v>
      </c>
      <c r="G110">
        <v>50.4</v>
      </c>
      <c r="H110" t="s">
        <v>4126</v>
      </c>
      <c r="J110" t="s">
        <v>561</v>
      </c>
    </row>
    <row r="111" spans="1:10" x14ac:dyDescent="0.3">
      <c r="A111" t="s">
        <v>557</v>
      </c>
      <c r="B111" s="452">
        <v>46023</v>
      </c>
      <c r="C111" t="s">
        <v>4147</v>
      </c>
      <c r="D111" t="s">
        <v>4105</v>
      </c>
      <c r="E111" t="s">
        <v>4125</v>
      </c>
      <c r="F111">
        <v>4</v>
      </c>
      <c r="G111">
        <v>9.6</v>
      </c>
      <c r="H111" t="s">
        <v>4126</v>
      </c>
      <c r="J111" t="s">
        <v>561</v>
      </c>
    </row>
    <row r="112" spans="1:10" x14ac:dyDescent="0.3">
      <c r="A112" t="s">
        <v>557</v>
      </c>
      <c r="B112" s="452">
        <v>46023</v>
      </c>
      <c r="C112" t="s">
        <v>4208</v>
      </c>
      <c r="D112" t="s">
        <v>4105</v>
      </c>
      <c r="E112" t="s">
        <v>4129</v>
      </c>
      <c r="F112">
        <v>6</v>
      </c>
      <c r="G112">
        <v>25.2</v>
      </c>
      <c r="H112" t="s">
        <v>4126</v>
      </c>
      <c r="J112" t="s">
        <v>561</v>
      </c>
    </row>
    <row r="113" spans="1:10" x14ac:dyDescent="0.3">
      <c r="A113" t="s">
        <v>557</v>
      </c>
      <c r="B113" s="452">
        <v>46023</v>
      </c>
      <c r="C113" t="s">
        <v>4124</v>
      </c>
      <c r="D113" t="s">
        <v>4105</v>
      </c>
      <c r="E113" t="s">
        <v>4125</v>
      </c>
      <c r="F113">
        <v>4</v>
      </c>
      <c r="G113">
        <v>9.6</v>
      </c>
      <c r="H113" t="s">
        <v>4126</v>
      </c>
      <c r="J113" t="s">
        <v>561</v>
      </c>
    </row>
    <row r="114" spans="1:10" x14ac:dyDescent="0.3">
      <c r="A114" t="s">
        <v>557</v>
      </c>
      <c r="B114" s="452">
        <v>46023</v>
      </c>
      <c r="C114" t="s">
        <v>4219</v>
      </c>
      <c r="D114" t="s">
        <v>4105</v>
      </c>
      <c r="E114" t="s">
        <v>4125</v>
      </c>
      <c r="F114">
        <v>1</v>
      </c>
      <c r="G114">
        <v>6</v>
      </c>
      <c r="H114" t="s">
        <v>4126</v>
      </c>
      <c r="J114" t="s">
        <v>561</v>
      </c>
    </row>
    <row r="115" spans="1:10" x14ac:dyDescent="0.3">
      <c r="A115" t="s">
        <v>557</v>
      </c>
      <c r="B115" s="452">
        <v>46023</v>
      </c>
      <c r="C115" t="s">
        <v>4205</v>
      </c>
      <c r="D115" t="s">
        <v>4105</v>
      </c>
      <c r="E115" t="s">
        <v>4129</v>
      </c>
      <c r="F115">
        <v>2</v>
      </c>
      <c r="G115">
        <v>9.6</v>
      </c>
      <c r="H115" t="s">
        <v>4126</v>
      </c>
      <c r="J115" t="s">
        <v>561</v>
      </c>
    </row>
    <row r="116" spans="1:10" x14ac:dyDescent="0.3">
      <c r="A116" t="s">
        <v>557</v>
      </c>
      <c r="B116" s="452">
        <v>46023</v>
      </c>
      <c r="C116" t="s">
        <v>4220</v>
      </c>
      <c r="D116" t="s">
        <v>4105</v>
      </c>
      <c r="E116" t="s">
        <v>4221</v>
      </c>
      <c r="F116">
        <v>1</v>
      </c>
      <c r="G116">
        <v>6.3</v>
      </c>
      <c r="H116" t="s">
        <v>4126</v>
      </c>
      <c r="J116" t="s">
        <v>561</v>
      </c>
    </row>
    <row r="117" spans="1:10" x14ac:dyDescent="0.3">
      <c r="A117" t="s">
        <v>557</v>
      </c>
      <c r="B117" s="452">
        <v>46023</v>
      </c>
      <c r="C117" t="s">
        <v>4222</v>
      </c>
      <c r="D117" t="s">
        <v>4105</v>
      </c>
      <c r="E117" t="s">
        <v>4139</v>
      </c>
      <c r="F117">
        <v>5</v>
      </c>
      <c r="G117">
        <v>28.5</v>
      </c>
      <c r="H117" t="s">
        <v>4133</v>
      </c>
      <c r="J117" t="s">
        <v>561</v>
      </c>
    </row>
    <row r="118" spans="1:10" x14ac:dyDescent="0.3">
      <c r="A118" t="s">
        <v>557</v>
      </c>
      <c r="B118" s="452">
        <v>46023</v>
      </c>
      <c r="C118" t="s">
        <v>4223</v>
      </c>
      <c r="D118" t="s">
        <v>4105</v>
      </c>
      <c r="E118" t="s">
        <v>4139</v>
      </c>
      <c r="F118">
        <v>2</v>
      </c>
      <c r="G118">
        <v>15.6</v>
      </c>
      <c r="H118" t="s">
        <v>4133</v>
      </c>
      <c r="J118" t="s">
        <v>561</v>
      </c>
    </row>
    <row r="119" spans="1:10" x14ac:dyDescent="0.3">
      <c r="A119" t="s">
        <v>557</v>
      </c>
      <c r="B119" s="452">
        <v>46023</v>
      </c>
      <c r="C119" t="s">
        <v>4152</v>
      </c>
      <c r="D119" t="s">
        <v>4105</v>
      </c>
      <c r="E119" t="s">
        <v>4129</v>
      </c>
      <c r="F119">
        <v>4</v>
      </c>
      <c r="G119">
        <v>16.8</v>
      </c>
      <c r="H119" t="s">
        <v>4126</v>
      </c>
      <c r="J119" t="s">
        <v>561</v>
      </c>
    </row>
    <row r="120" spans="1:10" x14ac:dyDescent="0.3">
      <c r="A120" t="s">
        <v>557</v>
      </c>
      <c r="B120" s="452">
        <v>46023</v>
      </c>
      <c r="C120" t="s">
        <v>4192</v>
      </c>
      <c r="D120" t="s">
        <v>4105</v>
      </c>
      <c r="E120" t="s">
        <v>4193</v>
      </c>
      <c r="F120">
        <v>7</v>
      </c>
      <c r="G120">
        <v>117.6</v>
      </c>
      <c r="H120" t="s">
        <v>4133</v>
      </c>
      <c r="J120" t="s">
        <v>561</v>
      </c>
    </row>
    <row r="121" spans="1:10" x14ac:dyDescent="0.3">
      <c r="A121" t="s">
        <v>557</v>
      </c>
      <c r="B121" s="452">
        <v>46023</v>
      </c>
      <c r="C121" t="s">
        <v>4224</v>
      </c>
      <c r="D121" t="s">
        <v>4105</v>
      </c>
      <c r="E121" t="s">
        <v>4149</v>
      </c>
      <c r="F121">
        <v>1</v>
      </c>
      <c r="G121">
        <v>54.9</v>
      </c>
      <c r="H121" t="s">
        <v>4133</v>
      </c>
      <c r="J121" t="s">
        <v>561</v>
      </c>
    </row>
    <row r="122" spans="1:10" x14ac:dyDescent="0.3">
      <c r="A122" t="s">
        <v>557</v>
      </c>
      <c r="B122" s="452">
        <v>46023</v>
      </c>
      <c r="C122" t="s">
        <v>4175</v>
      </c>
      <c r="D122" t="s">
        <v>4105</v>
      </c>
      <c r="E122" t="s">
        <v>4149</v>
      </c>
      <c r="F122">
        <v>8</v>
      </c>
      <c r="G122">
        <v>194.1</v>
      </c>
      <c r="H122" t="s">
        <v>4133</v>
      </c>
      <c r="J122" t="s">
        <v>561</v>
      </c>
    </row>
    <row r="123" spans="1:10" x14ac:dyDescent="0.3">
      <c r="A123" t="s">
        <v>557</v>
      </c>
      <c r="B123" s="452">
        <v>46023</v>
      </c>
      <c r="C123" t="s">
        <v>4225</v>
      </c>
      <c r="D123" t="s">
        <v>4105</v>
      </c>
      <c r="E123" t="s">
        <v>4139</v>
      </c>
      <c r="F123">
        <v>1</v>
      </c>
      <c r="G123">
        <v>3.6</v>
      </c>
      <c r="H123" t="s">
        <v>4133</v>
      </c>
      <c r="J123" t="s">
        <v>561</v>
      </c>
    </row>
    <row r="124" spans="1:10" x14ac:dyDescent="0.3">
      <c r="A124" t="s">
        <v>557</v>
      </c>
      <c r="B124" s="452">
        <v>46023</v>
      </c>
      <c r="C124" t="s">
        <v>4226</v>
      </c>
      <c r="D124" t="s">
        <v>4105</v>
      </c>
      <c r="E124" t="s">
        <v>4227</v>
      </c>
      <c r="F124">
        <v>14</v>
      </c>
      <c r="G124">
        <v>75.599999999999994</v>
      </c>
      <c r="H124" t="s">
        <v>4126</v>
      </c>
      <c r="J124" t="s">
        <v>561</v>
      </c>
    </row>
    <row r="125" spans="1:10" x14ac:dyDescent="0.3">
      <c r="A125" t="s">
        <v>557</v>
      </c>
      <c r="B125" s="452">
        <v>46023</v>
      </c>
      <c r="C125" t="s">
        <v>4194</v>
      </c>
      <c r="D125" t="s">
        <v>4105</v>
      </c>
      <c r="E125" t="s">
        <v>4129</v>
      </c>
      <c r="F125">
        <v>3</v>
      </c>
      <c r="G125">
        <v>16.2</v>
      </c>
      <c r="H125" t="s">
        <v>4126</v>
      </c>
      <c r="J125" t="s">
        <v>561</v>
      </c>
    </row>
    <row r="126" spans="1:10" x14ac:dyDescent="0.3">
      <c r="A126" t="s">
        <v>557</v>
      </c>
      <c r="B126" s="452">
        <v>46023</v>
      </c>
      <c r="C126" t="s">
        <v>4191</v>
      </c>
      <c r="D126" t="s">
        <v>4105</v>
      </c>
      <c r="E126" t="s">
        <v>4135</v>
      </c>
      <c r="F126">
        <v>3</v>
      </c>
      <c r="G126">
        <v>14.85</v>
      </c>
      <c r="H126" t="s">
        <v>4133</v>
      </c>
      <c r="J126" t="s">
        <v>561</v>
      </c>
    </row>
    <row r="127" spans="1:10" x14ac:dyDescent="0.3">
      <c r="A127" t="s">
        <v>557</v>
      </c>
      <c r="B127" s="452">
        <v>46023</v>
      </c>
      <c r="C127" t="s">
        <v>4228</v>
      </c>
      <c r="D127" t="s">
        <v>4105</v>
      </c>
      <c r="E127" t="s">
        <v>4144</v>
      </c>
      <c r="F127">
        <v>1</v>
      </c>
      <c r="G127">
        <v>10.8</v>
      </c>
      <c r="H127" t="s">
        <v>4126</v>
      </c>
      <c r="J127" t="s">
        <v>561</v>
      </c>
    </row>
    <row r="128" spans="1:10" x14ac:dyDescent="0.3">
      <c r="A128" t="s">
        <v>557</v>
      </c>
      <c r="B128" s="452">
        <v>46023</v>
      </c>
      <c r="C128" t="s">
        <v>4196</v>
      </c>
      <c r="D128" t="s">
        <v>4105</v>
      </c>
      <c r="E128" t="s">
        <v>4184</v>
      </c>
      <c r="F128">
        <v>15</v>
      </c>
      <c r="G128">
        <v>323.55</v>
      </c>
      <c r="H128" t="s">
        <v>4133</v>
      </c>
      <c r="J128" t="s">
        <v>561</v>
      </c>
    </row>
    <row r="129" spans="1:10" x14ac:dyDescent="0.3">
      <c r="A129" t="s">
        <v>557</v>
      </c>
      <c r="B129" s="452">
        <v>46023</v>
      </c>
      <c r="C129" t="s">
        <v>4154</v>
      </c>
      <c r="D129" t="s">
        <v>4105</v>
      </c>
      <c r="E129" t="s">
        <v>4137</v>
      </c>
      <c r="F129">
        <v>4</v>
      </c>
      <c r="G129">
        <v>32.4</v>
      </c>
      <c r="H129" t="s">
        <v>4133</v>
      </c>
      <c r="J129" t="s">
        <v>561</v>
      </c>
    </row>
    <row r="130" spans="1:10" x14ac:dyDescent="0.3">
      <c r="A130" t="s">
        <v>557</v>
      </c>
      <c r="B130" s="452">
        <v>46023</v>
      </c>
      <c r="C130" t="s">
        <v>4186</v>
      </c>
      <c r="D130" t="s">
        <v>4105</v>
      </c>
      <c r="E130" t="s">
        <v>4137</v>
      </c>
      <c r="F130">
        <v>6</v>
      </c>
      <c r="G130">
        <v>75.599999999999994</v>
      </c>
      <c r="H130" t="s">
        <v>4133</v>
      </c>
      <c r="J130" t="s">
        <v>561</v>
      </c>
    </row>
    <row r="131" spans="1:10" x14ac:dyDescent="0.3">
      <c r="A131" t="s">
        <v>557</v>
      </c>
      <c r="B131" s="452">
        <v>46023</v>
      </c>
      <c r="C131" t="s">
        <v>4229</v>
      </c>
      <c r="D131" t="s">
        <v>4105</v>
      </c>
      <c r="E131" t="s">
        <v>4169</v>
      </c>
      <c r="F131">
        <v>2</v>
      </c>
      <c r="G131">
        <v>25.2</v>
      </c>
      <c r="J131" t="s">
        <v>561</v>
      </c>
    </row>
    <row r="132" spans="1:10" x14ac:dyDescent="0.3">
      <c r="A132" t="s">
        <v>557</v>
      </c>
      <c r="B132" s="452">
        <v>46023</v>
      </c>
      <c r="C132" t="s">
        <v>4230</v>
      </c>
      <c r="D132" t="s">
        <v>4105</v>
      </c>
      <c r="E132" t="s">
        <v>4137</v>
      </c>
      <c r="F132">
        <v>7</v>
      </c>
      <c r="G132">
        <v>134.4</v>
      </c>
      <c r="H132" t="s">
        <v>4133</v>
      </c>
      <c r="J132" t="s">
        <v>561</v>
      </c>
    </row>
    <row r="133" spans="1:10" x14ac:dyDescent="0.3">
      <c r="A133" t="s">
        <v>557</v>
      </c>
      <c r="B133" s="452">
        <v>46023</v>
      </c>
      <c r="C133" t="s">
        <v>4155</v>
      </c>
      <c r="D133" t="s">
        <v>4105</v>
      </c>
      <c r="E133" t="s">
        <v>4156</v>
      </c>
      <c r="F133">
        <v>22</v>
      </c>
      <c r="G133">
        <v>138.6</v>
      </c>
      <c r="H133" t="s">
        <v>4126</v>
      </c>
      <c r="J133" t="s">
        <v>561</v>
      </c>
    </row>
    <row r="134" spans="1:10" x14ac:dyDescent="0.3">
      <c r="A134" t="s">
        <v>557</v>
      </c>
      <c r="B134" s="452">
        <v>46023</v>
      </c>
      <c r="C134" t="s">
        <v>4231</v>
      </c>
      <c r="D134" t="s">
        <v>4105</v>
      </c>
      <c r="E134" t="s">
        <v>4232</v>
      </c>
      <c r="F134">
        <v>1</v>
      </c>
      <c r="G134">
        <v>33.6</v>
      </c>
      <c r="H134" t="s">
        <v>4126</v>
      </c>
      <c r="J134" t="s">
        <v>561</v>
      </c>
    </row>
    <row r="135" spans="1:10" x14ac:dyDescent="0.3">
      <c r="A135" t="s">
        <v>557</v>
      </c>
      <c r="B135" s="452">
        <v>46023</v>
      </c>
      <c r="C135" t="s">
        <v>4233</v>
      </c>
      <c r="D135" t="s">
        <v>4105</v>
      </c>
      <c r="E135" t="s">
        <v>4169</v>
      </c>
      <c r="F135">
        <v>4</v>
      </c>
      <c r="G135">
        <v>9.6</v>
      </c>
      <c r="J135" t="s">
        <v>561</v>
      </c>
    </row>
    <row r="136" spans="1:10" x14ac:dyDescent="0.3">
      <c r="A136" t="s">
        <v>557</v>
      </c>
      <c r="B136" s="452">
        <v>46023</v>
      </c>
      <c r="C136" t="s">
        <v>4234</v>
      </c>
      <c r="D136" t="s">
        <v>4105</v>
      </c>
      <c r="E136" t="s">
        <v>4232</v>
      </c>
      <c r="F136">
        <v>4</v>
      </c>
      <c r="G136">
        <v>134.4</v>
      </c>
      <c r="H136" t="s">
        <v>4126</v>
      </c>
      <c r="J136" t="s">
        <v>561</v>
      </c>
    </row>
    <row r="137" spans="1:10" x14ac:dyDescent="0.3">
      <c r="A137" t="s">
        <v>557</v>
      </c>
      <c r="B137" s="452">
        <v>46023</v>
      </c>
      <c r="C137" t="s">
        <v>4235</v>
      </c>
      <c r="D137" t="s">
        <v>4105</v>
      </c>
      <c r="E137" t="s">
        <v>4139</v>
      </c>
      <c r="F137">
        <v>2</v>
      </c>
      <c r="G137">
        <v>21.6</v>
      </c>
      <c r="H137" t="s">
        <v>4133</v>
      </c>
      <c r="J137" t="s">
        <v>561</v>
      </c>
    </row>
    <row r="138" spans="1:10" x14ac:dyDescent="0.3">
      <c r="A138" t="s">
        <v>557</v>
      </c>
      <c r="B138" s="452">
        <v>46023</v>
      </c>
      <c r="C138" t="s">
        <v>4236</v>
      </c>
      <c r="D138" t="s">
        <v>4105</v>
      </c>
      <c r="E138" t="s">
        <v>4237</v>
      </c>
      <c r="F138">
        <v>4</v>
      </c>
      <c r="G138">
        <v>0</v>
      </c>
      <c r="H138" t="s">
        <v>4126</v>
      </c>
      <c r="J138" t="s">
        <v>561</v>
      </c>
    </row>
    <row r="139" spans="1:10" x14ac:dyDescent="0.3">
      <c r="A139" t="s">
        <v>557</v>
      </c>
      <c r="B139" s="452">
        <v>46023</v>
      </c>
      <c r="C139" t="s">
        <v>4183</v>
      </c>
      <c r="D139" t="s">
        <v>4105</v>
      </c>
      <c r="E139" t="s">
        <v>4184</v>
      </c>
      <c r="F139">
        <v>4</v>
      </c>
      <c r="G139">
        <v>77.88</v>
      </c>
      <c r="H139" t="s">
        <v>4133</v>
      </c>
      <c r="J139" t="s">
        <v>561</v>
      </c>
    </row>
    <row r="140" spans="1:10" x14ac:dyDescent="0.3">
      <c r="A140" t="s">
        <v>557</v>
      </c>
      <c r="B140" s="452">
        <v>46023</v>
      </c>
      <c r="C140" t="s">
        <v>4148</v>
      </c>
      <c r="D140" t="s">
        <v>4105</v>
      </c>
      <c r="E140" t="s">
        <v>4149</v>
      </c>
      <c r="F140">
        <v>1</v>
      </c>
      <c r="G140">
        <v>26.4</v>
      </c>
      <c r="H140" t="s">
        <v>4133</v>
      </c>
      <c r="J140" t="s">
        <v>561</v>
      </c>
    </row>
    <row r="141" spans="1:10" x14ac:dyDescent="0.3">
      <c r="A141" t="s">
        <v>557</v>
      </c>
      <c r="B141" s="452">
        <v>46023</v>
      </c>
      <c r="C141" t="s">
        <v>4238</v>
      </c>
      <c r="D141" t="s">
        <v>4105</v>
      </c>
      <c r="E141" t="s">
        <v>4149</v>
      </c>
      <c r="F141">
        <v>2</v>
      </c>
      <c r="G141">
        <v>118.2</v>
      </c>
      <c r="J141" t="s">
        <v>561</v>
      </c>
    </row>
    <row r="142" spans="1:10" x14ac:dyDescent="0.3">
      <c r="A142" t="s">
        <v>557</v>
      </c>
      <c r="B142" s="452">
        <v>46023</v>
      </c>
      <c r="C142" t="s">
        <v>4150</v>
      </c>
      <c r="D142" t="s">
        <v>4105</v>
      </c>
      <c r="E142" t="s">
        <v>4135</v>
      </c>
      <c r="F142">
        <v>4</v>
      </c>
      <c r="G142">
        <v>33.6</v>
      </c>
      <c r="H142" t="s">
        <v>4133</v>
      </c>
      <c r="J142" t="s">
        <v>561</v>
      </c>
    </row>
    <row r="143" spans="1:10" x14ac:dyDescent="0.3">
      <c r="A143" t="s">
        <v>557</v>
      </c>
      <c r="B143" s="452">
        <v>46023</v>
      </c>
      <c r="C143" t="s">
        <v>4134</v>
      </c>
      <c r="D143" t="s">
        <v>4105</v>
      </c>
      <c r="E143" t="s">
        <v>4135</v>
      </c>
      <c r="F143">
        <v>2</v>
      </c>
      <c r="G143">
        <v>7.2</v>
      </c>
      <c r="H143" t="s">
        <v>4133</v>
      </c>
      <c r="J143" t="s">
        <v>561</v>
      </c>
    </row>
    <row r="144" spans="1:10" x14ac:dyDescent="0.3">
      <c r="A144" t="s">
        <v>557</v>
      </c>
      <c r="B144" s="452">
        <v>46023</v>
      </c>
      <c r="C144" t="s">
        <v>4171</v>
      </c>
      <c r="D144" t="s">
        <v>4105</v>
      </c>
      <c r="E144" t="s">
        <v>4149</v>
      </c>
      <c r="F144">
        <v>2</v>
      </c>
      <c r="G144">
        <v>128.69999999999999</v>
      </c>
      <c r="J144" t="s">
        <v>561</v>
      </c>
    </row>
    <row r="145" spans="1:10" x14ac:dyDescent="0.3">
      <c r="A145" t="s">
        <v>557</v>
      </c>
      <c r="B145" s="452">
        <v>46023</v>
      </c>
      <c r="C145" t="s">
        <v>4185</v>
      </c>
      <c r="D145" t="s">
        <v>4105</v>
      </c>
      <c r="E145" t="s">
        <v>4144</v>
      </c>
      <c r="F145">
        <v>5</v>
      </c>
      <c r="G145">
        <v>51.6</v>
      </c>
      <c r="H145" t="s">
        <v>4126</v>
      </c>
      <c r="J145" t="s">
        <v>561</v>
      </c>
    </row>
    <row r="146" spans="1:10" x14ac:dyDescent="0.3">
      <c r="A146" t="s">
        <v>557</v>
      </c>
      <c r="B146" s="452">
        <v>46023</v>
      </c>
      <c r="C146" t="s">
        <v>4170</v>
      </c>
      <c r="D146" t="s">
        <v>4105</v>
      </c>
      <c r="E146" t="s">
        <v>4139</v>
      </c>
      <c r="F146">
        <v>5</v>
      </c>
      <c r="G146">
        <v>43.5</v>
      </c>
      <c r="H146" t="s">
        <v>4133</v>
      </c>
      <c r="J146" t="s">
        <v>561</v>
      </c>
    </row>
    <row r="147" spans="1:10" x14ac:dyDescent="0.3">
      <c r="A147" t="s">
        <v>557</v>
      </c>
      <c r="B147" s="452">
        <v>46023</v>
      </c>
      <c r="C147" t="s">
        <v>4239</v>
      </c>
      <c r="D147" t="s">
        <v>4105</v>
      </c>
      <c r="E147" t="s">
        <v>4149</v>
      </c>
      <c r="F147">
        <v>2</v>
      </c>
      <c r="G147">
        <v>83.4</v>
      </c>
      <c r="H147" t="s">
        <v>4133</v>
      </c>
      <c r="J147" t="s">
        <v>561</v>
      </c>
    </row>
    <row r="148" spans="1:10" x14ac:dyDescent="0.3">
      <c r="A148" t="s">
        <v>557</v>
      </c>
      <c r="B148" s="452">
        <v>46023</v>
      </c>
      <c r="C148" t="s">
        <v>4179</v>
      </c>
      <c r="D148" t="s">
        <v>4105</v>
      </c>
      <c r="E148" t="s">
        <v>4135</v>
      </c>
      <c r="F148">
        <v>2</v>
      </c>
      <c r="G148">
        <v>6.6</v>
      </c>
      <c r="H148" t="s">
        <v>4133</v>
      </c>
      <c r="J148" t="s">
        <v>561</v>
      </c>
    </row>
    <row r="149" spans="1:10" x14ac:dyDescent="0.3">
      <c r="A149" t="s">
        <v>557</v>
      </c>
      <c r="B149" s="452">
        <v>46023</v>
      </c>
      <c r="C149" t="s">
        <v>4187</v>
      </c>
      <c r="D149" t="s">
        <v>4105</v>
      </c>
      <c r="E149" t="s">
        <v>4135</v>
      </c>
      <c r="F149">
        <v>8</v>
      </c>
      <c r="G149">
        <v>25.2</v>
      </c>
      <c r="H149" t="s">
        <v>4133</v>
      </c>
      <c r="J149" t="s">
        <v>561</v>
      </c>
    </row>
    <row r="150" spans="1:10" x14ac:dyDescent="0.3">
      <c r="A150" t="s">
        <v>557</v>
      </c>
      <c r="B150" s="452">
        <v>46023</v>
      </c>
      <c r="C150" t="s">
        <v>4172</v>
      </c>
      <c r="D150" t="s">
        <v>4105</v>
      </c>
      <c r="E150" t="s">
        <v>4139</v>
      </c>
      <c r="F150">
        <v>1</v>
      </c>
      <c r="G150">
        <v>28.2</v>
      </c>
      <c r="J150" t="s">
        <v>561</v>
      </c>
    </row>
    <row r="151" spans="1:10" x14ac:dyDescent="0.3">
      <c r="A151" t="s">
        <v>557</v>
      </c>
      <c r="B151" s="452">
        <v>46023</v>
      </c>
      <c r="C151" t="s">
        <v>4189</v>
      </c>
      <c r="D151" t="s">
        <v>4105</v>
      </c>
      <c r="E151" t="s">
        <v>4190</v>
      </c>
      <c r="F151">
        <v>10</v>
      </c>
      <c r="G151">
        <v>135</v>
      </c>
      <c r="H151" t="s">
        <v>4133</v>
      </c>
      <c r="J151" t="s">
        <v>561</v>
      </c>
    </row>
    <row r="152" spans="1:10" x14ac:dyDescent="0.3">
      <c r="A152" t="s">
        <v>557</v>
      </c>
      <c r="B152" s="452">
        <v>46023</v>
      </c>
      <c r="C152" t="s">
        <v>4240</v>
      </c>
      <c r="D152" t="s">
        <v>4105</v>
      </c>
      <c r="E152" t="s">
        <v>4241</v>
      </c>
      <c r="F152">
        <v>6</v>
      </c>
      <c r="G152">
        <v>30.42</v>
      </c>
      <c r="H152" t="s">
        <v>4126</v>
      </c>
      <c r="J152" t="s">
        <v>561</v>
      </c>
    </row>
    <row r="153" spans="1:10" x14ac:dyDescent="0.3">
      <c r="A153" t="s">
        <v>557</v>
      </c>
      <c r="B153" s="452">
        <v>46023</v>
      </c>
      <c r="C153" t="s">
        <v>4242</v>
      </c>
      <c r="D153" t="s">
        <v>4105</v>
      </c>
      <c r="E153" t="s">
        <v>4243</v>
      </c>
      <c r="F153">
        <v>1</v>
      </c>
      <c r="G153">
        <v>6.3</v>
      </c>
      <c r="H153" t="s">
        <v>4126</v>
      </c>
      <c r="J153" t="s">
        <v>561</v>
      </c>
    </row>
    <row r="154" spans="1:10" x14ac:dyDescent="0.3">
      <c r="A154" t="s">
        <v>557</v>
      </c>
      <c r="B154" s="452">
        <v>46023</v>
      </c>
      <c r="C154" t="s">
        <v>4244</v>
      </c>
      <c r="D154" t="s">
        <v>4105</v>
      </c>
      <c r="E154" t="s">
        <v>4139</v>
      </c>
      <c r="F154">
        <v>2</v>
      </c>
      <c r="G154">
        <v>26.4</v>
      </c>
      <c r="H154" t="s">
        <v>4133</v>
      </c>
      <c r="J154" t="s">
        <v>561</v>
      </c>
    </row>
    <row r="155" spans="1:10" x14ac:dyDescent="0.3">
      <c r="A155" t="s">
        <v>557</v>
      </c>
      <c r="B155" s="452">
        <v>46023</v>
      </c>
      <c r="C155" t="s">
        <v>4151</v>
      </c>
      <c r="D155" t="s">
        <v>4105</v>
      </c>
      <c r="E155" t="s">
        <v>4144</v>
      </c>
      <c r="F155">
        <v>9</v>
      </c>
      <c r="G155">
        <v>94.5</v>
      </c>
      <c r="H155" t="s">
        <v>4126</v>
      </c>
      <c r="J155" t="s">
        <v>561</v>
      </c>
    </row>
    <row r="156" spans="1:10" x14ac:dyDescent="0.3">
      <c r="A156" t="s">
        <v>557</v>
      </c>
      <c r="B156" s="452">
        <v>46023</v>
      </c>
      <c r="C156" t="s">
        <v>4245</v>
      </c>
      <c r="D156" t="s">
        <v>4105</v>
      </c>
      <c r="E156" t="s">
        <v>4132</v>
      </c>
      <c r="F156">
        <v>2</v>
      </c>
      <c r="G156">
        <v>23.4</v>
      </c>
      <c r="H156" t="s">
        <v>4126</v>
      </c>
      <c r="J156" t="s">
        <v>561</v>
      </c>
    </row>
    <row r="157" spans="1:10" x14ac:dyDescent="0.3">
      <c r="A157" t="s">
        <v>557</v>
      </c>
      <c r="B157" s="452">
        <v>46023</v>
      </c>
      <c r="C157" t="s">
        <v>4246</v>
      </c>
      <c r="D157" t="s">
        <v>4105</v>
      </c>
      <c r="E157" t="s">
        <v>4125</v>
      </c>
      <c r="F157">
        <v>2</v>
      </c>
      <c r="G157">
        <v>4.8</v>
      </c>
      <c r="H157" t="s">
        <v>4126</v>
      </c>
      <c r="J157" t="s">
        <v>561</v>
      </c>
    </row>
    <row r="158" spans="1:10" x14ac:dyDescent="0.3">
      <c r="A158" t="s">
        <v>557</v>
      </c>
      <c r="B158" s="452">
        <v>46023</v>
      </c>
      <c r="C158" t="s">
        <v>4141</v>
      </c>
      <c r="D158" t="s">
        <v>4105</v>
      </c>
      <c r="E158" t="s">
        <v>4142</v>
      </c>
      <c r="F158">
        <v>31</v>
      </c>
      <c r="G158">
        <v>129.27000000000001</v>
      </c>
      <c r="H158" t="s">
        <v>4126</v>
      </c>
      <c r="J158" t="s">
        <v>561</v>
      </c>
    </row>
    <row r="159" spans="1:10" x14ac:dyDescent="0.3">
      <c r="A159" t="s">
        <v>557</v>
      </c>
      <c r="B159" s="452">
        <v>46023</v>
      </c>
      <c r="C159" t="s">
        <v>4140</v>
      </c>
      <c r="D159" t="s">
        <v>4105</v>
      </c>
      <c r="E159" t="s">
        <v>4129</v>
      </c>
      <c r="F159">
        <v>14</v>
      </c>
      <c r="G159">
        <v>31.5</v>
      </c>
      <c r="H159" t="s">
        <v>4126</v>
      </c>
      <c r="J159" t="s">
        <v>561</v>
      </c>
    </row>
    <row r="160" spans="1:10" x14ac:dyDescent="0.3">
      <c r="A160" t="s">
        <v>557</v>
      </c>
      <c r="B160" s="452">
        <v>46023</v>
      </c>
      <c r="C160" t="s">
        <v>4247</v>
      </c>
      <c r="D160" t="s">
        <v>4105</v>
      </c>
      <c r="E160" t="s">
        <v>4139</v>
      </c>
      <c r="F160">
        <v>7</v>
      </c>
      <c r="G160">
        <v>25.2</v>
      </c>
      <c r="H160" t="s">
        <v>4133</v>
      </c>
      <c r="J160" t="s">
        <v>561</v>
      </c>
    </row>
    <row r="161" spans="1:10" x14ac:dyDescent="0.3">
      <c r="A161" t="s">
        <v>557</v>
      </c>
      <c r="B161" s="452">
        <v>46023</v>
      </c>
      <c r="C161" t="s">
        <v>4197</v>
      </c>
      <c r="D161" t="s">
        <v>4105</v>
      </c>
      <c r="E161" t="s">
        <v>4135</v>
      </c>
      <c r="F161">
        <v>7</v>
      </c>
      <c r="G161">
        <v>33.6</v>
      </c>
      <c r="H161" t="s">
        <v>4133</v>
      </c>
      <c r="J161" t="s">
        <v>561</v>
      </c>
    </row>
    <row r="162" spans="1:10" x14ac:dyDescent="0.3">
      <c r="A162" t="s">
        <v>557</v>
      </c>
      <c r="B162" s="452">
        <v>46023</v>
      </c>
      <c r="C162" t="s">
        <v>4163</v>
      </c>
      <c r="D162" t="s">
        <v>4105</v>
      </c>
      <c r="E162" t="s">
        <v>4149</v>
      </c>
      <c r="F162">
        <v>3</v>
      </c>
      <c r="G162">
        <v>92.7</v>
      </c>
      <c r="H162" t="s">
        <v>4133</v>
      </c>
      <c r="J162" t="s">
        <v>561</v>
      </c>
    </row>
    <row r="163" spans="1:10" x14ac:dyDescent="0.3">
      <c r="A163" t="s">
        <v>557</v>
      </c>
      <c r="B163" s="452">
        <v>46023</v>
      </c>
      <c r="C163" t="s">
        <v>4248</v>
      </c>
      <c r="D163" t="s">
        <v>4105</v>
      </c>
      <c r="E163" t="s">
        <v>4139</v>
      </c>
      <c r="F163">
        <v>2</v>
      </c>
      <c r="G163">
        <v>16.8</v>
      </c>
      <c r="H163" t="s">
        <v>4133</v>
      </c>
      <c r="J163" t="s">
        <v>561</v>
      </c>
    </row>
    <row r="164" spans="1:10" x14ac:dyDescent="0.3">
      <c r="A164" t="s">
        <v>557</v>
      </c>
      <c r="B164" s="452">
        <v>46023</v>
      </c>
      <c r="C164" t="s">
        <v>4161</v>
      </c>
      <c r="D164" t="s">
        <v>4105</v>
      </c>
      <c r="E164" t="s">
        <v>4162</v>
      </c>
      <c r="F164">
        <v>2</v>
      </c>
      <c r="G164">
        <v>29.4</v>
      </c>
      <c r="H164" t="s">
        <v>4133</v>
      </c>
      <c r="J164" t="s">
        <v>561</v>
      </c>
    </row>
    <row r="165" spans="1:10" x14ac:dyDescent="0.3">
      <c r="A165" t="s">
        <v>557</v>
      </c>
      <c r="B165" s="452">
        <v>46023</v>
      </c>
      <c r="C165" t="s">
        <v>4127</v>
      </c>
      <c r="D165" t="s">
        <v>4105</v>
      </c>
      <c r="E165" t="s">
        <v>4125</v>
      </c>
      <c r="F165">
        <v>1</v>
      </c>
      <c r="G165">
        <v>2.4</v>
      </c>
      <c r="H165" t="s">
        <v>4126</v>
      </c>
      <c r="J165" t="s">
        <v>561</v>
      </c>
    </row>
    <row r="166" spans="1:10" x14ac:dyDescent="0.3">
      <c r="A166" t="s">
        <v>557</v>
      </c>
      <c r="B166" s="452">
        <v>46023</v>
      </c>
      <c r="C166" t="s">
        <v>4128</v>
      </c>
      <c r="D166" t="s">
        <v>4105</v>
      </c>
      <c r="E166" t="s">
        <v>4129</v>
      </c>
      <c r="F166">
        <v>20</v>
      </c>
      <c r="G166">
        <v>45</v>
      </c>
      <c r="H166" t="s">
        <v>4126</v>
      </c>
      <c r="J166" t="s">
        <v>561</v>
      </c>
    </row>
    <row r="167" spans="1:10" x14ac:dyDescent="0.3">
      <c r="A167" t="s">
        <v>557</v>
      </c>
      <c r="B167" s="452">
        <v>46023</v>
      </c>
      <c r="C167" t="s">
        <v>4202</v>
      </c>
      <c r="D167" t="s">
        <v>4105</v>
      </c>
      <c r="E167" t="s">
        <v>4169</v>
      </c>
      <c r="F167">
        <v>21</v>
      </c>
      <c r="G167">
        <v>50.4</v>
      </c>
      <c r="H167" t="s">
        <v>4126</v>
      </c>
      <c r="J167" t="s">
        <v>561</v>
      </c>
    </row>
    <row r="168" spans="1:10" x14ac:dyDescent="0.3">
      <c r="A168" t="s">
        <v>557</v>
      </c>
      <c r="B168" s="452">
        <v>46023</v>
      </c>
      <c r="C168" t="s">
        <v>4249</v>
      </c>
      <c r="D168" t="s">
        <v>4105</v>
      </c>
      <c r="E168" t="s">
        <v>4139</v>
      </c>
      <c r="F168">
        <v>5</v>
      </c>
      <c r="G168">
        <v>18</v>
      </c>
      <c r="H168" t="s">
        <v>4133</v>
      </c>
      <c r="J168" t="s">
        <v>561</v>
      </c>
    </row>
    <row r="169" spans="1:10" x14ac:dyDescent="0.3">
      <c r="A169" t="s">
        <v>557</v>
      </c>
      <c r="B169" s="452">
        <v>46023</v>
      </c>
      <c r="C169" t="s">
        <v>4178</v>
      </c>
      <c r="D169" t="s">
        <v>4105</v>
      </c>
      <c r="E169" t="s">
        <v>4129</v>
      </c>
      <c r="F169">
        <v>5</v>
      </c>
      <c r="G169">
        <v>24</v>
      </c>
      <c r="H169" t="s">
        <v>4126</v>
      </c>
      <c r="J169" t="s">
        <v>561</v>
      </c>
    </row>
    <row r="170" spans="1:10" x14ac:dyDescent="0.3">
      <c r="A170" t="s">
        <v>557</v>
      </c>
      <c r="B170" s="452">
        <v>46023</v>
      </c>
      <c r="C170" t="s">
        <v>4138</v>
      </c>
      <c r="D170" t="s">
        <v>4105</v>
      </c>
      <c r="E170" t="s">
        <v>4139</v>
      </c>
      <c r="F170">
        <v>7</v>
      </c>
      <c r="G170">
        <v>54.6</v>
      </c>
      <c r="H170" t="s">
        <v>4133</v>
      </c>
      <c r="J170" t="s">
        <v>561</v>
      </c>
    </row>
    <row r="171" spans="1:10" x14ac:dyDescent="0.3">
      <c r="A171" t="s">
        <v>557</v>
      </c>
      <c r="B171" s="452">
        <v>46023</v>
      </c>
      <c r="C171" t="s">
        <v>4250</v>
      </c>
      <c r="D171" t="s">
        <v>4105</v>
      </c>
      <c r="E171" t="s">
        <v>4139</v>
      </c>
      <c r="F171">
        <v>5</v>
      </c>
      <c r="G171">
        <v>42</v>
      </c>
      <c r="H171" t="s">
        <v>4133</v>
      </c>
      <c r="J171" t="s">
        <v>561</v>
      </c>
    </row>
    <row r="172" spans="1:10" x14ac:dyDescent="0.3">
      <c r="A172" t="s">
        <v>557</v>
      </c>
      <c r="B172" s="452">
        <v>46023</v>
      </c>
      <c r="C172" t="s">
        <v>4210</v>
      </c>
      <c r="D172" t="s">
        <v>4105</v>
      </c>
      <c r="E172" t="s">
        <v>4149</v>
      </c>
      <c r="F172">
        <v>3</v>
      </c>
      <c r="G172">
        <v>75.599999999999994</v>
      </c>
      <c r="H172" t="s">
        <v>4133</v>
      </c>
      <c r="J172" t="s">
        <v>561</v>
      </c>
    </row>
    <row r="173" spans="1:10" x14ac:dyDescent="0.3">
      <c r="A173" t="s">
        <v>557</v>
      </c>
      <c r="B173" s="452">
        <v>46023</v>
      </c>
      <c r="C173" t="s">
        <v>4159</v>
      </c>
      <c r="D173" t="s">
        <v>4105</v>
      </c>
      <c r="E173" t="s">
        <v>4135</v>
      </c>
      <c r="F173">
        <v>5</v>
      </c>
      <c r="G173">
        <v>43.5</v>
      </c>
      <c r="H173" t="s">
        <v>4133</v>
      </c>
      <c r="J173" t="s">
        <v>561</v>
      </c>
    </row>
    <row r="174" spans="1:10" x14ac:dyDescent="0.3">
      <c r="A174" t="s">
        <v>557</v>
      </c>
      <c r="B174" s="452">
        <v>46023</v>
      </c>
      <c r="C174" t="s">
        <v>4200</v>
      </c>
      <c r="D174" t="s">
        <v>4105</v>
      </c>
      <c r="E174" t="s">
        <v>4135</v>
      </c>
      <c r="F174">
        <v>3</v>
      </c>
      <c r="G174">
        <v>22.5</v>
      </c>
      <c r="H174" t="s">
        <v>4133</v>
      </c>
      <c r="J174" t="s">
        <v>561</v>
      </c>
    </row>
    <row r="175" spans="1:10" x14ac:dyDescent="0.3">
      <c r="A175" t="s">
        <v>557</v>
      </c>
      <c r="B175" s="452">
        <v>46023</v>
      </c>
      <c r="C175" t="s">
        <v>4199</v>
      </c>
      <c r="D175" t="s">
        <v>4105</v>
      </c>
      <c r="E175" t="s">
        <v>4137</v>
      </c>
      <c r="F175">
        <v>4</v>
      </c>
      <c r="G175">
        <v>70.8</v>
      </c>
      <c r="H175" t="s">
        <v>4133</v>
      </c>
      <c r="J175" t="s">
        <v>561</v>
      </c>
    </row>
    <row r="176" spans="1:10" x14ac:dyDescent="0.3">
      <c r="A176" t="s">
        <v>557</v>
      </c>
      <c r="B176" s="452">
        <v>46023</v>
      </c>
      <c r="C176" t="s">
        <v>4198</v>
      </c>
      <c r="D176" t="s">
        <v>4105</v>
      </c>
      <c r="E176" t="s">
        <v>4137</v>
      </c>
      <c r="F176">
        <v>3</v>
      </c>
      <c r="G176">
        <v>62.1</v>
      </c>
      <c r="H176" t="s">
        <v>4133</v>
      </c>
      <c r="J176" t="s">
        <v>561</v>
      </c>
    </row>
    <row r="177" spans="1:10" x14ac:dyDescent="0.3">
      <c r="A177" t="s">
        <v>557</v>
      </c>
      <c r="B177" s="452">
        <v>46023</v>
      </c>
      <c r="C177" t="s">
        <v>4158</v>
      </c>
      <c r="D177" t="s">
        <v>4105</v>
      </c>
      <c r="E177" t="s">
        <v>4137</v>
      </c>
      <c r="F177">
        <v>5</v>
      </c>
      <c r="G177">
        <v>67.5</v>
      </c>
      <c r="H177" t="s">
        <v>4133</v>
      </c>
      <c r="J177" t="s">
        <v>561</v>
      </c>
    </row>
    <row r="178" spans="1:10" x14ac:dyDescent="0.3">
      <c r="A178" t="s">
        <v>557</v>
      </c>
      <c r="B178" s="452">
        <v>46023</v>
      </c>
      <c r="C178" t="s">
        <v>4251</v>
      </c>
      <c r="D178" t="s">
        <v>4105</v>
      </c>
      <c r="E178" t="s">
        <v>4184</v>
      </c>
      <c r="F178">
        <v>1</v>
      </c>
      <c r="G178">
        <v>23.7</v>
      </c>
      <c r="H178" t="s">
        <v>4133</v>
      </c>
      <c r="J178" t="s">
        <v>561</v>
      </c>
    </row>
    <row r="179" spans="1:10" x14ac:dyDescent="0.3">
      <c r="A179" t="s">
        <v>557</v>
      </c>
      <c r="B179" s="452">
        <v>46023</v>
      </c>
      <c r="C179" t="s">
        <v>4136</v>
      </c>
      <c r="D179" t="s">
        <v>4105</v>
      </c>
      <c r="E179" t="s">
        <v>4137</v>
      </c>
      <c r="F179">
        <v>8</v>
      </c>
      <c r="G179">
        <v>93.6</v>
      </c>
      <c r="H179" t="s">
        <v>4133</v>
      </c>
      <c r="J179" t="s">
        <v>561</v>
      </c>
    </row>
    <row r="180" spans="1:10" x14ac:dyDescent="0.3">
      <c r="A180" t="s">
        <v>557</v>
      </c>
      <c r="B180" s="452">
        <v>46023</v>
      </c>
      <c r="C180" t="s">
        <v>4211</v>
      </c>
      <c r="D180" t="s">
        <v>4105</v>
      </c>
      <c r="E180" t="s">
        <v>4162</v>
      </c>
      <c r="F180">
        <v>4</v>
      </c>
      <c r="G180">
        <v>56.4</v>
      </c>
      <c r="H180" t="s">
        <v>4133</v>
      </c>
      <c r="J180" t="s">
        <v>561</v>
      </c>
    </row>
    <row r="181" spans="1:10" x14ac:dyDescent="0.3">
      <c r="A181" t="s">
        <v>557</v>
      </c>
      <c r="B181" s="452">
        <v>46023</v>
      </c>
      <c r="C181" t="s">
        <v>4209</v>
      </c>
      <c r="D181" t="s">
        <v>4105</v>
      </c>
      <c r="E181" t="s">
        <v>4193</v>
      </c>
      <c r="F181">
        <v>5</v>
      </c>
      <c r="G181">
        <v>73.5</v>
      </c>
      <c r="H181" t="s">
        <v>4133</v>
      </c>
      <c r="J181" t="s">
        <v>561</v>
      </c>
    </row>
    <row r="182" spans="1:10" x14ac:dyDescent="0.3">
      <c r="A182" t="s">
        <v>557</v>
      </c>
      <c r="B182" s="452">
        <v>46023</v>
      </c>
      <c r="C182" t="s">
        <v>4164</v>
      </c>
      <c r="D182" t="s">
        <v>4105</v>
      </c>
      <c r="E182" t="s">
        <v>4137</v>
      </c>
      <c r="F182">
        <v>3</v>
      </c>
      <c r="G182">
        <v>35.1</v>
      </c>
      <c r="H182" t="s">
        <v>4133</v>
      </c>
      <c r="J182" t="s">
        <v>561</v>
      </c>
    </row>
    <row r="183" spans="1:10" x14ac:dyDescent="0.3">
      <c r="A183" t="s">
        <v>557</v>
      </c>
      <c r="B183" s="452">
        <v>46023</v>
      </c>
      <c r="C183" t="s">
        <v>4252</v>
      </c>
      <c r="D183" t="s">
        <v>4105</v>
      </c>
      <c r="E183" t="s">
        <v>4184</v>
      </c>
      <c r="F183">
        <v>1</v>
      </c>
      <c r="G183">
        <v>44.7</v>
      </c>
      <c r="H183" t="s">
        <v>4133</v>
      </c>
      <c r="J183" t="s">
        <v>561</v>
      </c>
    </row>
    <row r="184" spans="1:10" x14ac:dyDescent="0.3">
      <c r="A184" t="s">
        <v>557</v>
      </c>
      <c r="B184" s="452">
        <v>46054</v>
      </c>
      <c r="C184" t="s">
        <v>4150</v>
      </c>
      <c r="D184" t="s">
        <v>4091</v>
      </c>
      <c r="E184" t="s">
        <v>4135</v>
      </c>
      <c r="F184">
        <v>1</v>
      </c>
      <c r="G184">
        <v>28</v>
      </c>
      <c r="H184" t="s">
        <v>4133</v>
      </c>
      <c r="J184" t="s">
        <v>586</v>
      </c>
    </row>
    <row r="185" spans="1:10" x14ac:dyDescent="0.3">
      <c r="A185" t="s">
        <v>557</v>
      </c>
      <c r="B185" s="452">
        <v>46054</v>
      </c>
      <c r="C185" t="s">
        <v>4196</v>
      </c>
      <c r="D185" t="s">
        <v>4091</v>
      </c>
      <c r="E185" t="s">
        <v>4184</v>
      </c>
      <c r="F185">
        <v>2</v>
      </c>
      <c r="G185">
        <v>143.80000000000001</v>
      </c>
      <c r="H185" t="s">
        <v>4133</v>
      </c>
      <c r="J185" t="s">
        <v>586</v>
      </c>
    </row>
    <row r="186" spans="1:10" x14ac:dyDescent="0.3">
      <c r="A186" t="s">
        <v>557</v>
      </c>
      <c r="B186" s="452">
        <v>46054</v>
      </c>
      <c r="C186" t="s">
        <v>4229</v>
      </c>
      <c r="D186" t="s">
        <v>4091</v>
      </c>
      <c r="E186" t="s">
        <v>4169</v>
      </c>
      <c r="F186">
        <v>1</v>
      </c>
      <c r="G186">
        <v>42</v>
      </c>
      <c r="J186" t="s">
        <v>586</v>
      </c>
    </row>
    <row r="187" spans="1:10" x14ac:dyDescent="0.3">
      <c r="A187" t="s">
        <v>557</v>
      </c>
      <c r="B187" s="452">
        <v>46054</v>
      </c>
      <c r="C187" t="s">
        <v>4205</v>
      </c>
      <c r="D187" t="s">
        <v>4091</v>
      </c>
      <c r="E187" t="s">
        <v>4129</v>
      </c>
      <c r="F187">
        <v>1</v>
      </c>
      <c r="G187">
        <v>16</v>
      </c>
      <c r="H187" t="s">
        <v>4126</v>
      </c>
      <c r="J187" t="s">
        <v>586</v>
      </c>
    </row>
    <row r="188" spans="1:10" x14ac:dyDescent="0.3">
      <c r="A188" t="s">
        <v>557</v>
      </c>
      <c r="B188" s="452">
        <v>46054</v>
      </c>
      <c r="C188" t="s">
        <v>4146</v>
      </c>
      <c r="D188" t="s">
        <v>4091</v>
      </c>
      <c r="E188" t="s">
        <v>4129</v>
      </c>
      <c r="F188">
        <v>2</v>
      </c>
      <c r="G188">
        <v>28</v>
      </c>
      <c r="H188" t="s">
        <v>4126</v>
      </c>
      <c r="J188" t="s">
        <v>586</v>
      </c>
    </row>
    <row r="189" spans="1:10" x14ac:dyDescent="0.3">
      <c r="A189" t="s">
        <v>557</v>
      </c>
      <c r="B189" s="452">
        <v>46054</v>
      </c>
      <c r="C189" t="s">
        <v>4140</v>
      </c>
      <c r="D189" t="s">
        <v>4091</v>
      </c>
      <c r="E189" t="s">
        <v>4129</v>
      </c>
      <c r="F189">
        <v>1</v>
      </c>
      <c r="G189">
        <v>7.5</v>
      </c>
      <c r="H189" t="s">
        <v>4126</v>
      </c>
      <c r="J189" t="s">
        <v>586</v>
      </c>
    </row>
    <row r="190" spans="1:10" x14ac:dyDescent="0.3">
      <c r="A190" t="s">
        <v>557</v>
      </c>
      <c r="B190" s="452">
        <v>46054</v>
      </c>
      <c r="C190" t="s">
        <v>4197</v>
      </c>
      <c r="D190" t="s">
        <v>4091</v>
      </c>
      <c r="E190" t="s">
        <v>4135</v>
      </c>
      <c r="F190">
        <v>1</v>
      </c>
      <c r="G190">
        <v>16</v>
      </c>
      <c r="H190" t="s">
        <v>4133</v>
      </c>
      <c r="J190" t="s">
        <v>586</v>
      </c>
    </row>
    <row r="191" spans="1:10" x14ac:dyDescent="0.3">
      <c r="A191" t="s">
        <v>557</v>
      </c>
      <c r="B191" s="452">
        <v>46054</v>
      </c>
      <c r="C191" t="s">
        <v>4158</v>
      </c>
      <c r="D191" t="s">
        <v>4101</v>
      </c>
      <c r="E191" t="s">
        <v>4137</v>
      </c>
      <c r="F191">
        <v>1</v>
      </c>
      <c r="G191">
        <v>13.5</v>
      </c>
      <c r="H191" t="s">
        <v>4133</v>
      </c>
      <c r="J191" t="s">
        <v>586</v>
      </c>
    </row>
    <row r="192" spans="1:10" x14ac:dyDescent="0.3">
      <c r="A192" t="s">
        <v>557</v>
      </c>
      <c r="B192" s="452">
        <v>46054</v>
      </c>
      <c r="C192" t="s">
        <v>4164</v>
      </c>
      <c r="D192" t="s">
        <v>4101</v>
      </c>
      <c r="E192" t="s">
        <v>4137</v>
      </c>
      <c r="F192">
        <v>1</v>
      </c>
      <c r="G192">
        <v>11.7</v>
      </c>
      <c r="H192" t="s">
        <v>4133</v>
      </c>
      <c r="J192" t="s">
        <v>586</v>
      </c>
    </row>
    <row r="193" spans="1:10" x14ac:dyDescent="0.3">
      <c r="A193" t="s">
        <v>557</v>
      </c>
      <c r="B193" s="452">
        <v>46054</v>
      </c>
      <c r="C193" t="s">
        <v>4250</v>
      </c>
      <c r="D193" t="s">
        <v>4101</v>
      </c>
      <c r="E193" t="s">
        <v>4139</v>
      </c>
      <c r="F193">
        <v>1</v>
      </c>
      <c r="G193">
        <v>8.4</v>
      </c>
      <c r="H193" t="s">
        <v>4133</v>
      </c>
      <c r="J193" t="s">
        <v>586</v>
      </c>
    </row>
    <row r="194" spans="1:10" x14ac:dyDescent="0.3">
      <c r="A194" t="s">
        <v>557</v>
      </c>
      <c r="B194" s="452">
        <v>46054</v>
      </c>
      <c r="C194" t="s">
        <v>4249</v>
      </c>
      <c r="D194" t="s">
        <v>4101</v>
      </c>
      <c r="E194" t="s">
        <v>4139</v>
      </c>
      <c r="F194">
        <v>1</v>
      </c>
      <c r="G194">
        <v>3.6</v>
      </c>
      <c r="H194" t="s">
        <v>4133</v>
      </c>
      <c r="J194" t="s">
        <v>586</v>
      </c>
    </row>
    <row r="195" spans="1:10" x14ac:dyDescent="0.3">
      <c r="A195" t="s">
        <v>557</v>
      </c>
      <c r="B195" s="452">
        <v>46054</v>
      </c>
      <c r="C195" t="s">
        <v>4253</v>
      </c>
      <c r="D195" t="s">
        <v>4101</v>
      </c>
      <c r="E195" t="s">
        <v>4237</v>
      </c>
      <c r="F195">
        <v>1</v>
      </c>
      <c r="G195">
        <v>0</v>
      </c>
      <c r="H195" t="s">
        <v>4126</v>
      </c>
      <c r="J195" t="s">
        <v>586</v>
      </c>
    </row>
    <row r="196" spans="1:10" x14ac:dyDescent="0.3">
      <c r="A196" t="s">
        <v>557</v>
      </c>
      <c r="B196" s="452">
        <v>46054</v>
      </c>
      <c r="C196" t="s">
        <v>4140</v>
      </c>
      <c r="D196" t="s">
        <v>4101</v>
      </c>
      <c r="E196" t="s">
        <v>4129</v>
      </c>
      <c r="F196">
        <v>1</v>
      </c>
      <c r="G196">
        <v>2.25</v>
      </c>
      <c r="H196" t="s">
        <v>4126</v>
      </c>
      <c r="J196" t="s">
        <v>586</v>
      </c>
    </row>
    <row r="197" spans="1:10" x14ac:dyDescent="0.3">
      <c r="A197" t="s">
        <v>557</v>
      </c>
      <c r="B197" s="452">
        <v>46054</v>
      </c>
      <c r="C197" t="s">
        <v>4141</v>
      </c>
      <c r="D197" t="s">
        <v>4101</v>
      </c>
      <c r="E197" t="s">
        <v>4142</v>
      </c>
      <c r="F197">
        <v>3</v>
      </c>
      <c r="G197">
        <v>12.51</v>
      </c>
      <c r="H197" t="s">
        <v>4126</v>
      </c>
      <c r="J197" t="s">
        <v>586</v>
      </c>
    </row>
    <row r="198" spans="1:10" x14ac:dyDescent="0.3">
      <c r="A198" t="s">
        <v>557</v>
      </c>
      <c r="B198" s="452">
        <v>46054</v>
      </c>
      <c r="C198" t="s">
        <v>4230</v>
      </c>
      <c r="D198" t="s">
        <v>4101</v>
      </c>
      <c r="E198" t="s">
        <v>4137</v>
      </c>
      <c r="F198">
        <v>1</v>
      </c>
      <c r="G198">
        <v>19.2</v>
      </c>
      <c r="H198" t="s">
        <v>4133</v>
      </c>
      <c r="J198" t="s">
        <v>586</v>
      </c>
    </row>
    <row r="199" spans="1:10" x14ac:dyDescent="0.3">
      <c r="A199" t="s">
        <v>557</v>
      </c>
      <c r="B199" s="452">
        <v>46054</v>
      </c>
      <c r="C199" t="s">
        <v>4186</v>
      </c>
      <c r="D199" t="s">
        <v>4101</v>
      </c>
      <c r="E199" t="s">
        <v>4137</v>
      </c>
      <c r="F199">
        <v>2</v>
      </c>
      <c r="G199">
        <v>25.2</v>
      </c>
      <c r="H199" t="s">
        <v>4133</v>
      </c>
      <c r="J199" t="s">
        <v>586</v>
      </c>
    </row>
    <row r="200" spans="1:10" x14ac:dyDescent="0.3">
      <c r="A200" t="s">
        <v>557</v>
      </c>
      <c r="B200" s="452">
        <v>46054</v>
      </c>
      <c r="C200" t="s">
        <v>4153</v>
      </c>
      <c r="D200" t="s">
        <v>4101</v>
      </c>
      <c r="E200" t="s">
        <v>4149</v>
      </c>
      <c r="F200">
        <v>1</v>
      </c>
      <c r="G200">
        <v>92.7</v>
      </c>
      <c r="H200" t="s">
        <v>4133</v>
      </c>
      <c r="J200" t="s">
        <v>586</v>
      </c>
    </row>
    <row r="201" spans="1:10" x14ac:dyDescent="0.3">
      <c r="A201" t="s">
        <v>557</v>
      </c>
      <c r="B201" s="452">
        <v>46054</v>
      </c>
      <c r="C201" t="s">
        <v>4254</v>
      </c>
      <c r="D201" t="s">
        <v>4101</v>
      </c>
      <c r="E201" t="s">
        <v>4237</v>
      </c>
      <c r="F201">
        <v>1</v>
      </c>
      <c r="G201">
        <v>29.7</v>
      </c>
      <c r="H201" t="s">
        <v>4126</v>
      </c>
      <c r="J201" t="s">
        <v>586</v>
      </c>
    </row>
    <row r="202" spans="1:10" x14ac:dyDescent="0.3">
      <c r="A202" t="s">
        <v>557</v>
      </c>
      <c r="B202" s="452">
        <v>46054</v>
      </c>
      <c r="C202" t="s">
        <v>4255</v>
      </c>
      <c r="D202" t="s">
        <v>4101</v>
      </c>
      <c r="E202" t="s">
        <v>4174</v>
      </c>
      <c r="F202">
        <v>1</v>
      </c>
      <c r="G202">
        <v>12.6</v>
      </c>
      <c r="H202" t="s">
        <v>4126</v>
      </c>
      <c r="J202" t="s">
        <v>586</v>
      </c>
    </row>
    <row r="203" spans="1:10" x14ac:dyDescent="0.3">
      <c r="A203" t="s">
        <v>557</v>
      </c>
      <c r="B203" s="452">
        <v>46054</v>
      </c>
      <c r="C203" t="s">
        <v>4256</v>
      </c>
      <c r="D203" t="s">
        <v>4101</v>
      </c>
      <c r="E203" t="s">
        <v>4207</v>
      </c>
      <c r="F203">
        <v>2</v>
      </c>
      <c r="G203">
        <v>12</v>
      </c>
      <c r="J203" t="s">
        <v>586</v>
      </c>
    </row>
    <row r="204" spans="1:10" x14ac:dyDescent="0.3">
      <c r="A204" t="s">
        <v>557</v>
      </c>
      <c r="B204" s="452">
        <v>46054</v>
      </c>
      <c r="C204" t="s">
        <v>4257</v>
      </c>
      <c r="D204" t="s">
        <v>4101</v>
      </c>
      <c r="E204" t="s">
        <v>4258</v>
      </c>
      <c r="F204">
        <v>1</v>
      </c>
      <c r="G204">
        <v>0</v>
      </c>
      <c r="H204" t="s">
        <v>4126</v>
      </c>
      <c r="J204" t="s">
        <v>586</v>
      </c>
    </row>
    <row r="205" spans="1:10" x14ac:dyDescent="0.3">
      <c r="A205" t="s">
        <v>557</v>
      </c>
      <c r="B205" s="452">
        <v>46054</v>
      </c>
      <c r="C205" t="s">
        <v>4235</v>
      </c>
      <c r="D205" t="s">
        <v>4101</v>
      </c>
      <c r="E205" t="s">
        <v>4139</v>
      </c>
      <c r="F205">
        <v>1</v>
      </c>
      <c r="G205">
        <v>10.8</v>
      </c>
      <c r="H205" t="s">
        <v>4133</v>
      </c>
      <c r="J205" t="s">
        <v>586</v>
      </c>
    </row>
    <row r="206" spans="1:10" x14ac:dyDescent="0.3">
      <c r="A206" t="s">
        <v>557</v>
      </c>
      <c r="B206" s="452">
        <v>46054</v>
      </c>
      <c r="C206" t="s">
        <v>4170</v>
      </c>
      <c r="D206" t="s">
        <v>4101</v>
      </c>
      <c r="E206" t="s">
        <v>4139</v>
      </c>
      <c r="F206">
        <v>1</v>
      </c>
      <c r="G206">
        <v>8.6999999999999993</v>
      </c>
      <c r="H206" t="s">
        <v>4133</v>
      </c>
      <c r="J206" t="s">
        <v>586</v>
      </c>
    </row>
    <row r="207" spans="1:10" x14ac:dyDescent="0.3">
      <c r="A207" t="s">
        <v>557</v>
      </c>
      <c r="B207" s="452">
        <v>46054</v>
      </c>
      <c r="C207" t="s">
        <v>4201</v>
      </c>
      <c r="D207" t="s">
        <v>4101</v>
      </c>
      <c r="E207" t="s">
        <v>4132</v>
      </c>
      <c r="F207">
        <v>1</v>
      </c>
      <c r="G207">
        <v>12</v>
      </c>
      <c r="H207" t="s">
        <v>4126</v>
      </c>
      <c r="J207" t="s">
        <v>586</v>
      </c>
    </row>
    <row r="208" spans="1:10" x14ac:dyDescent="0.3">
      <c r="A208" t="s">
        <v>557</v>
      </c>
      <c r="B208" s="452">
        <v>46054</v>
      </c>
      <c r="C208" t="s">
        <v>4145</v>
      </c>
      <c r="D208" t="s">
        <v>4101</v>
      </c>
      <c r="E208" t="s">
        <v>4125</v>
      </c>
      <c r="F208">
        <v>1</v>
      </c>
      <c r="G208">
        <v>2.4</v>
      </c>
      <c r="H208" t="s">
        <v>4126</v>
      </c>
      <c r="J208" t="s">
        <v>586</v>
      </c>
    </row>
    <row r="209" spans="1:10" x14ac:dyDescent="0.3">
      <c r="A209" t="s">
        <v>557</v>
      </c>
      <c r="B209" s="452">
        <v>46054</v>
      </c>
      <c r="C209" t="s">
        <v>4246</v>
      </c>
      <c r="D209" t="s">
        <v>4101</v>
      </c>
      <c r="E209" t="s">
        <v>4125</v>
      </c>
      <c r="F209">
        <v>1</v>
      </c>
      <c r="G209">
        <v>2.4</v>
      </c>
      <c r="H209" t="s">
        <v>4126</v>
      </c>
      <c r="J209" t="s">
        <v>586</v>
      </c>
    </row>
    <row r="210" spans="1:10" x14ac:dyDescent="0.3">
      <c r="A210" t="s">
        <v>557</v>
      </c>
      <c r="B210" s="452">
        <v>46054</v>
      </c>
      <c r="C210" t="s">
        <v>4217</v>
      </c>
      <c r="D210" t="s">
        <v>4101</v>
      </c>
      <c r="E210" t="s">
        <v>4149</v>
      </c>
      <c r="F210">
        <v>1</v>
      </c>
      <c r="G210">
        <v>21.6</v>
      </c>
      <c r="H210" t="s">
        <v>4133</v>
      </c>
      <c r="J210" t="s">
        <v>586</v>
      </c>
    </row>
    <row r="211" spans="1:10" x14ac:dyDescent="0.3">
      <c r="A211" t="s">
        <v>557</v>
      </c>
      <c r="B211" s="452">
        <v>46054</v>
      </c>
      <c r="C211" t="s">
        <v>4175</v>
      </c>
      <c r="D211" t="s">
        <v>4103</v>
      </c>
      <c r="E211" t="s">
        <v>4149</v>
      </c>
      <c r="F211">
        <v>1</v>
      </c>
      <c r="G211">
        <v>28.2</v>
      </c>
      <c r="H211" t="s">
        <v>4133</v>
      </c>
      <c r="J211" t="s">
        <v>586</v>
      </c>
    </row>
    <row r="212" spans="1:10" x14ac:dyDescent="0.3">
      <c r="A212" t="s">
        <v>557</v>
      </c>
      <c r="B212" s="452">
        <v>46054</v>
      </c>
      <c r="C212" t="s">
        <v>4259</v>
      </c>
      <c r="D212" t="s">
        <v>4103</v>
      </c>
      <c r="E212" t="s">
        <v>4137</v>
      </c>
      <c r="F212">
        <v>1</v>
      </c>
      <c r="G212">
        <v>19.5</v>
      </c>
      <c r="H212" t="s">
        <v>4133</v>
      </c>
      <c r="J212" t="s">
        <v>586</v>
      </c>
    </row>
    <row r="213" spans="1:10" x14ac:dyDescent="0.3">
      <c r="A213" t="s">
        <v>557</v>
      </c>
      <c r="B213" s="452">
        <v>46054</v>
      </c>
      <c r="C213" t="s">
        <v>4200</v>
      </c>
      <c r="D213" t="s">
        <v>4103</v>
      </c>
      <c r="E213" t="s">
        <v>4135</v>
      </c>
      <c r="F213">
        <v>1</v>
      </c>
      <c r="G213">
        <v>7.5</v>
      </c>
      <c r="H213" t="s">
        <v>4133</v>
      </c>
      <c r="J213" t="s">
        <v>586</v>
      </c>
    </row>
    <row r="214" spans="1:10" x14ac:dyDescent="0.3">
      <c r="A214" t="s">
        <v>557</v>
      </c>
      <c r="B214" s="452">
        <v>46054</v>
      </c>
      <c r="C214" t="s">
        <v>4199</v>
      </c>
      <c r="D214" t="s">
        <v>4103</v>
      </c>
      <c r="E214" t="s">
        <v>4137</v>
      </c>
      <c r="F214">
        <v>1</v>
      </c>
      <c r="G214">
        <v>17.7</v>
      </c>
      <c r="H214" t="s">
        <v>4133</v>
      </c>
      <c r="J214" t="s">
        <v>586</v>
      </c>
    </row>
    <row r="215" spans="1:10" x14ac:dyDescent="0.3">
      <c r="A215" t="s">
        <v>557</v>
      </c>
      <c r="B215" s="452">
        <v>46054</v>
      </c>
      <c r="C215" t="s">
        <v>4198</v>
      </c>
      <c r="D215" t="s">
        <v>4103</v>
      </c>
      <c r="E215" t="s">
        <v>4137</v>
      </c>
      <c r="F215">
        <v>1</v>
      </c>
      <c r="G215">
        <v>20.7</v>
      </c>
      <c r="H215" t="s">
        <v>4133</v>
      </c>
      <c r="J215" t="s">
        <v>586</v>
      </c>
    </row>
    <row r="216" spans="1:10" x14ac:dyDescent="0.3">
      <c r="A216" t="s">
        <v>557</v>
      </c>
      <c r="B216" s="452">
        <v>46054</v>
      </c>
      <c r="C216" t="s">
        <v>4260</v>
      </c>
      <c r="D216" t="s">
        <v>4103</v>
      </c>
      <c r="E216" t="s">
        <v>4132</v>
      </c>
      <c r="F216">
        <v>1</v>
      </c>
      <c r="G216">
        <v>11.7</v>
      </c>
      <c r="H216" t="s">
        <v>4126</v>
      </c>
      <c r="J216" t="s">
        <v>586</v>
      </c>
    </row>
    <row r="217" spans="1:10" x14ac:dyDescent="0.3">
      <c r="A217" t="s">
        <v>557</v>
      </c>
      <c r="B217" s="452">
        <v>46054</v>
      </c>
      <c r="C217" t="s">
        <v>4138</v>
      </c>
      <c r="D217" t="s">
        <v>4103</v>
      </c>
      <c r="E217" t="s">
        <v>4139</v>
      </c>
      <c r="F217">
        <v>2</v>
      </c>
      <c r="G217">
        <v>15.6</v>
      </c>
      <c r="H217" t="s">
        <v>4133</v>
      </c>
      <c r="J217" t="s">
        <v>586</v>
      </c>
    </row>
    <row r="218" spans="1:10" x14ac:dyDescent="0.3">
      <c r="A218" t="s">
        <v>557</v>
      </c>
      <c r="B218" s="452">
        <v>46054</v>
      </c>
      <c r="C218" t="s">
        <v>4178</v>
      </c>
      <c r="D218" t="s">
        <v>4103</v>
      </c>
      <c r="E218" t="s">
        <v>4129</v>
      </c>
      <c r="F218">
        <v>1</v>
      </c>
      <c r="G218">
        <v>4.8</v>
      </c>
      <c r="H218" t="s">
        <v>4126</v>
      </c>
      <c r="J218" t="s">
        <v>586</v>
      </c>
    </row>
    <row r="219" spans="1:10" x14ac:dyDescent="0.3">
      <c r="A219" t="s">
        <v>557</v>
      </c>
      <c r="B219" s="452">
        <v>46054</v>
      </c>
      <c r="C219" t="s">
        <v>4173</v>
      </c>
      <c r="D219" t="s">
        <v>4103</v>
      </c>
      <c r="E219" t="s">
        <v>4174</v>
      </c>
      <c r="F219">
        <v>1</v>
      </c>
      <c r="G219">
        <v>12.6</v>
      </c>
      <c r="H219" t="s">
        <v>4126</v>
      </c>
      <c r="J219" t="s">
        <v>586</v>
      </c>
    </row>
    <row r="220" spans="1:10" x14ac:dyDescent="0.3">
      <c r="A220" t="s">
        <v>557</v>
      </c>
      <c r="B220" s="452">
        <v>46054</v>
      </c>
      <c r="C220" t="s">
        <v>4261</v>
      </c>
      <c r="D220" t="s">
        <v>4103</v>
      </c>
      <c r="E220" t="s">
        <v>4135</v>
      </c>
      <c r="F220">
        <v>2</v>
      </c>
      <c r="G220">
        <v>9.9</v>
      </c>
      <c r="H220" t="s">
        <v>4133</v>
      </c>
      <c r="J220" t="s">
        <v>586</v>
      </c>
    </row>
    <row r="221" spans="1:10" x14ac:dyDescent="0.3">
      <c r="A221" t="s">
        <v>557</v>
      </c>
      <c r="B221" s="452">
        <v>46054</v>
      </c>
      <c r="C221" t="s">
        <v>4171</v>
      </c>
      <c r="D221" t="s">
        <v>4103</v>
      </c>
      <c r="E221" t="s">
        <v>4149</v>
      </c>
      <c r="F221">
        <v>1</v>
      </c>
      <c r="G221">
        <v>66.599999999999994</v>
      </c>
      <c r="J221" t="s">
        <v>586</v>
      </c>
    </row>
    <row r="222" spans="1:10" x14ac:dyDescent="0.3">
      <c r="A222" t="s">
        <v>557</v>
      </c>
      <c r="B222" s="452">
        <v>46054</v>
      </c>
      <c r="C222" t="s">
        <v>4150</v>
      </c>
      <c r="D222" t="s">
        <v>4103</v>
      </c>
      <c r="E222" t="s">
        <v>4135</v>
      </c>
      <c r="F222">
        <v>1</v>
      </c>
      <c r="G222">
        <v>8.4</v>
      </c>
      <c r="H222" t="s">
        <v>4133</v>
      </c>
      <c r="J222" t="s">
        <v>586</v>
      </c>
    </row>
    <row r="223" spans="1:10" x14ac:dyDescent="0.3">
      <c r="A223" t="s">
        <v>557</v>
      </c>
      <c r="B223" s="452">
        <v>46054</v>
      </c>
      <c r="C223" t="s">
        <v>4238</v>
      </c>
      <c r="D223" t="s">
        <v>4103</v>
      </c>
      <c r="E223" t="s">
        <v>4149</v>
      </c>
      <c r="F223">
        <v>1</v>
      </c>
      <c r="G223">
        <v>59.1</v>
      </c>
      <c r="J223" t="s">
        <v>586</v>
      </c>
    </row>
    <row r="224" spans="1:10" x14ac:dyDescent="0.3">
      <c r="A224" t="s">
        <v>557</v>
      </c>
      <c r="B224" s="452">
        <v>46054</v>
      </c>
      <c r="C224" t="s">
        <v>4170</v>
      </c>
      <c r="D224" t="s">
        <v>4103</v>
      </c>
      <c r="E224" t="s">
        <v>4139</v>
      </c>
      <c r="F224">
        <v>1</v>
      </c>
      <c r="G224">
        <v>8.6999999999999993</v>
      </c>
      <c r="H224" t="s">
        <v>4133</v>
      </c>
      <c r="J224" t="s">
        <v>586</v>
      </c>
    </row>
    <row r="225" spans="1:10" x14ac:dyDescent="0.3">
      <c r="A225" t="s">
        <v>557</v>
      </c>
      <c r="B225" s="452">
        <v>46054</v>
      </c>
      <c r="C225" t="s">
        <v>4182</v>
      </c>
      <c r="D225" t="s">
        <v>4103</v>
      </c>
      <c r="E225" t="s">
        <v>4135</v>
      </c>
      <c r="F225">
        <v>2</v>
      </c>
      <c r="G225">
        <v>16.8</v>
      </c>
      <c r="H225" t="s">
        <v>4133</v>
      </c>
      <c r="J225" t="s">
        <v>586</v>
      </c>
    </row>
    <row r="226" spans="1:10" x14ac:dyDescent="0.3">
      <c r="A226" t="s">
        <v>557</v>
      </c>
      <c r="B226" s="452">
        <v>46054</v>
      </c>
      <c r="C226" t="s">
        <v>4213</v>
      </c>
      <c r="D226" t="s">
        <v>4103</v>
      </c>
      <c r="E226" t="s">
        <v>4137</v>
      </c>
      <c r="F226">
        <v>1</v>
      </c>
      <c r="G226">
        <v>12.6</v>
      </c>
      <c r="H226" t="s">
        <v>4133</v>
      </c>
      <c r="J226" t="s">
        <v>586</v>
      </c>
    </row>
    <row r="227" spans="1:10" x14ac:dyDescent="0.3">
      <c r="A227" t="s">
        <v>557</v>
      </c>
      <c r="B227" s="452">
        <v>46054</v>
      </c>
      <c r="C227" t="s">
        <v>4159</v>
      </c>
      <c r="D227" t="s">
        <v>4103</v>
      </c>
      <c r="E227" t="s">
        <v>4135</v>
      </c>
      <c r="F227">
        <v>1</v>
      </c>
      <c r="G227">
        <v>8.6999999999999993</v>
      </c>
      <c r="H227" t="s">
        <v>4133</v>
      </c>
      <c r="J227" t="s">
        <v>586</v>
      </c>
    </row>
    <row r="228" spans="1:10" x14ac:dyDescent="0.3">
      <c r="A228" t="s">
        <v>557</v>
      </c>
      <c r="B228" s="452">
        <v>46054</v>
      </c>
      <c r="C228" t="s">
        <v>4160</v>
      </c>
      <c r="D228" t="s">
        <v>4103</v>
      </c>
      <c r="E228" t="s">
        <v>4144</v>
      </c>
      <c r="F228">
        <v>1</v>
      </c>
      <c r="G228">
        <v>10.5</v>
      </c>
      <c r="H228" t="s">
        <v>4126</v>
      </c>
      <c r="J228" t="s">
        <v>586</v>
      </c>
    </row>
    <row r="229" spans="1:10" x14ac:dyDescent="0.3">
      <c r="A229" t="s">
        <v>557</v>
      </c>
      <c r="B229" s="452">
        <v>46054</v>
      </c>
      <c r="C229" t="s">
        <v>4197</v>
      </c>
      <c r="D229" t="s">
        <v>4103</v>
      </c>
      <c r="E229" t="s">
        <v>4135</v>
      </c>
      <c r="F229">
        <v>1</v>
      </c>
      <c r="G229">
        <v>4.8</v>
      </c>
      <c r="H229" t="s">
        <v>4133</v>
      </c>
      <c r="J229" t="s">
        <v>586</v>
      </c>
    </row>
    <row r="230" spans="1:10" x14ac:dyDescent="0.3">
      <c r="A230" t="s">
        <v>557</v>
      </c>
      <c r="B230" s="452">
        <v>46054</v>
      </c>
      <c r="C230" t="s">
        <v>4247</v>
      </c>
      <c r="D230" t="s">
        <v>4103</v>
      </c>
      <c r="E230" t="s">
        <v>4139</v>
      </c>
      <c r="F230">
        <v>1</v>
      </c>
      <c r="G230">
        <v>3.6</v>
      </c>
      <c r="H230" t="s">
        <v>4133</v>
      </c>
      <c r="J230" t="s">
        <v>586</v>
      </c>
    </row>
    <row r="231" spans="1:10" x14ac:dyDescent="0.3">
      <c r="A231" t="s">
        <v>557</v>
      </c>
      <c r="B231" s="452">
        <v>46054</v>
      </c>
      <c r="C231" t="s">
        <v>4140</v>
      </c>
      <c r="D231" t="s">
        <v>4103</v>
      </c>
      <c r="E231" t="s">
        <v>4129</v>
      </c>
      <c r="F231">
        <v>1</v>
      </c>
      <c r="G231">
        <v>2.25</v>
      </c>
      <c r="H231" t="s">
        <v>4126</v>
      </c>
      <c r="J231" t="s">
        <v>586</v>
      </c>
    </row>
    <row r="232" spans="1:10" x14ac:dyDescent="0.3">
      <c r="A232" t="s">
        <v>557</v>
      </c>
      <c r="B232" s="452">
        <v>46054</v>
      </c>
      <c r="C232" t="s">
        <v>4141</v>
      </c>
      <c r="D232" t="s">
        <v>4103</v>
      </c>
      <c r="E232" t="s">
        <v>4142</v>
      </c>
      <c r="F232">
        <v>2</v>
      </c>
      <c r="G232">
        <v>8.34</v>
      </c>
      <c r="H232" t="s">
        <v>4126</v>
      </c>
      <c r="J232" t="s">
        <v>586</v>
      </c>
    </row>
    <row r="233" spans="1:10" x14ac:dyDescent="0.3">
      <c r="A233" t="s">
        <v>557</v>
      </c>
      <c r="B233" s="452">
        <v>46054</v>
      </c>
      <c r="C233" t="s">
        <v>4167</v>
      </c>
      <c r="D233" t="s">
        <v>4103</v>
      </c>
      <c r="E233" t="s">
        <v>4137</v>
      </c>
      <c r="F233">
        <v>1</v>
      </c>
      <c r="G233">
        <v>7.5</v>
      </c>
      <c r="H233" t="s">
        <v>4133</v>
      </c>
      <c r="J233" t="s">
        <v>586</v>
      </c>
    </row>
    <row r="234" spans="1:10" x14ac:dyDescent="0.3">
      <c r="A234" t="s">
        <v>557</v>
      </c>
      <c r="B234" s="452">
        <v>46054</v>
      </c>
      <c r="C234" t="s">
        <v>4145</v>
      </c>
      <c r="D234" t="s">
        <v>4103</v>
      </c>
      <c r="E234" t="s">
        <v>4125</v>
      </c>
      <c r="F234">
        <v>1</v>
      </c>
      <c r="G234">
        <v>2.4</v>
      </c>
      <c r="H234" t="s">
        <v>4126</v>
      </c>
      <c r="J234" t="s">
        <v>586</v>
      </c>
    </row>
    <row r="235" spans="1:10" x14ac:dyDescent="0.3">
      <c r="A235" t="s">
        <v>557</v>
      </c>
      <c r="B235" s="452">
        <v>46054</v>
      </c>
      <c r="C235" t="s">
        <v>4146</v>
      </c>
      <c r="D235" t="s">
        <v>4103</v>
      </c>
      <c r="E235" t="s">
        <v>4129</v>
      </c>
      <c r="F235">
        <v>1</v>
      </c>
      <c r="G235">
        <v>4.2</v>
      </c>
      <c r="H235" t="s">
        <v>4126</v>
      </c>
      <c r="J235" t="s">
        <v>586</v>
      </c>
    </row>
    <row r="236" spans="1:10" x14ac:dyDescent="0.3">
      <c r="A236" t="s">
        <v>557</v>
      </c>
      <c r="B236" s="452">
        <v>46054</v>
      </c>
      <c r="C236" t="s">
        <v>4205</v>
      </c>
      <c r="D236" t="s">
        <v>4103</v>
      </c>
      <c r="E236" t="s">
        <v>4129</v>
      </c>
      <c r="F236">
        <v>1</v>
      </c>
      <c r="G236">
        <v>4.8</v>
      </c>
      <c r="H236" t="s">
        <v>4126</v>
      </c>
      <c r="J236" t="s">
        <v>586</v>
      </c>
    </row>
    <row r="237" spans="1:10" x14ac:dyDescent="0.3">
      <c r="A237" t="s">
        <v>557</v>
      </c>
      <c r="B237" s="452">
        <v>46054</v>
      </c>
      <c r="C237" t="s">
        <v>4194</v>
      </c>
      <c r="D237" t="s">
        <v>4104</v>
      </c>
      <c r="E237" t="s">
        <v>4129</v>
      </c>
      <c r="F237">
        <v>1</v>
      </c>
      <c r="G237">
        <v>5.4</v>
      </c>
      <c r="H237" t="s">
        <v>4126</v>
      </c>
      <c r="J237" t="s">
        <v>586</v>
      </c>
    </row>
    <row r="238" spans="1:10" x14ac:dyDescent="0.3">
      <c r="A238" t="s">
        <v>557</v>
      </c>
      <c r="B238" s="452">
        <v>46054</v>
      </c>
      <c r="C238" t="s">
        <v>4187</v>
      </c>
      <c r="D238" t="s">
        <v>4104</v>
      </c>
      <c r="E238" t="s">
        <v>4135</v>
      </c>
      <c r="F238">
        <v>3</v>
      </c>
      <c r="G238">
        <v>10.35</v>
      </c>
      <c r="H238" t="s">
        <v>4133</v>
      </c>
      <c r="J238" t="s">
        <v>586</v>
      </c>
    </row>
    <row r="239" spans="1:10" x14ac:dyDescent="0.3">
      <c r="A239" t="s">
        <v>557</v>
      </c>
      <c r="B239" s="452">
        <v>46054</v>
      </c>
      <c r="C239" t="s">
        <v>4214</v>
      </c>
      <c r="D239" t="s">
        <v>4104</v>
      </c>
      <c r="E239" t="s">
        <v>4137</v>
      </c>
      <c r="F239">
        <v>1</v>
      </c>
      <c r="G239">
        <v>20.7</v>
      </c>
      <c r="H239" t="s">
        <v>4133</v>
      </c>
      <c r="J239" t="s">
        <v>586</v>
      </c>
    </row>
    <row r="240" spans="1:10" x14ac:dyDescent="0.3">
      <c r="A240" t="s">
        <v>557</v>
      </c>
      <c r="B240" s="452">
        <v>46054</v>
      </c>
      <c r="C240" t="s">
        <v>4216</v>
      </c>
      <c r="D240" t="s">
        <v>4104</v>
      </c>
      <c r="E240" t="s">
        <v>4149</v>
      </c>
      <c r="F240">
        <v>1</v>
      </c>
      <c r="G240">
        <v>29.4</v>
      </c>
      <c r="H240" t="s">
        <v>4133</v>
      </c>
      <c r="J240" t="s">
        <v>586</v>
      </c>
    </row>
    <row r="241" spans="1:10" x14ac:dyDescent="0.3">
      <c r="A241" t="s">
        <v>557</v>
      </c>
      <c r="B241" s="452">
        <v>46054</v>
      </c>
      <c r="C241" t="s">
        <v>4262</v>
      </c>
      <c r="D241" t="s">
        <v>4104</v>
      </c>
      <c r="E241" t="s">
        <v>4135</v>
      </c>
      <c r="F241">
        <v>5</v>
      </c>
      <c r="G241">
        <v>14.85</v>
      </c>
      <c r="H241" t="s">
        <v>4133</v>
      </c>
      <c r="J241" t="s">
        <v>586</v>
      </c>
    </row>
    <row r="242" spans="1:10" x14ac:dyDescent="0.3">
      <c r="A242" t="s">
        <v>557</v>
      </c>
      <c r="B242" s="452">
        <v>46054</v>
      </c>
      <c r="C242" t="s">
        <v>4263</v>
      </c>
      <c r="D242" t="s">
        <v>4104</v>
      </c>
      <c r="E242" t="s">
        <v>4258</v>
      </c>
      <c r="F242">
        <v>2</v>
      </c>
      <c r="G242">
        <v>0</v>
      </c>
      <c r="H242" t="s">
        <v>4126</v>
      </c>
      <c r="J242" t="s">
        <v>586</v>
      </c>
    </row>
    <row r="243" spans="1:10" x14ac:dyDescent="0.3">
      <c r="A243" t="s">
        <v>557</v>
      </c>
      <c r="B243" s="452">
        <v>46054</v>
      </c>
      <c r="C243" t="s">
        <v>4181</v>
      </c>
      <c r="D243" t="s">
        <v>4104</v>
      </c>
      <c r="E243" t="s">
        <v>4149</v>
      </c>
      <c r="F243">
        <v>1</v>
      </c>
      <c r="G243">
        <v>43.5</v>
      </c>
      <c r="J243" t="s">
        <v>586</v>
      </c>
    </row>
    <row r="244" spans="1:10" x14ac:dyDescent="0.3">
      <c r="A244" t="s">
        <v>557</v>
      </c>
      <c r="B244" s="452">
        <v>46054</v>
      </c>
      <c r="C244" t="s">
        <v>4157</v>
      </c>
      <c r="D244" t="s">
        <v>4104</v>
      </c>
      <c r="E244" t="s">
        <v>4135</v>
      </c>
      <c r="F244">
        <v>2</v>
      </c>
      <c r="G244">
        <v>7.5</v>
      </c>
      <c r="H244" t="s">
        <v>4133</v>
      </c>
      <c r="J244" t="s">
        <v>586</v>
      </c>
    </row>
    <row r="245" spans="1:10" x14ac:dyDescent="0.3">
      <c r="A245" t="s">
        <v>557</v>
      </c>
      <c r="B245" s="452">
        <v>46054</v>
      </c>
      <c r="C245" t="s">
        <v>4183</v>
      </c>
      <c r="D245" t="s">
        <v>4104</v>
      </c>
      <c r="E245" t="s">
        <v>4184</v>
      </c>
      <c r="F245">
        <v>2</v>
      </c>
      <c r="G245">
        <v>38.94</v>
      </c>
      <c r="H245" t="s">
        <v>4133</v>
      </c>
      <c r="J245" t="s">
        <v>586</v>
      </c>
    </row>
    <row r="246" spans="1:10" x14ac:dyDescent="0.3">
      <c r="A246" t="s">
        <v>557</v>
      </c>
      <c r="B246" s="452">
        <v>46054</v>
      </c>
      <c r="C246" t="s">
        <v>4148</v>
      </c>
      <c r="D246" t="s">
        <v>4104</v>
      </c>
      <c r="E246" t="s">
        <v>4149</v>
      </c>
      <c r="F246">
        <v>1</v>
      </c>
      <c r="G246">
        <v>26.4</v>
      </c>
      <c r="H246" t="s">
        <v>4133</v>
      </c>
      <c r="J246" t="s">
        <v>586</v>
      </c>
    </row>
    <row r="247" spans="1:10" x14ac:dyDescent="0.3">
      <c r="A247" t="s">
        <v>557</v>
      </c>
      <c r="B247" s="452">
        <v>46054</v>
      </c>
      <c r="C247" t="s">
        <v>4179</v>
      </c>
      <c r="D247" t="s">
        <v>4104</v>
      </c>
      <c r="E247" t="s">
        <v>4135</v>
      </c>
      <c r="F247">
        <v>3</v>
      </c>
      <c r="G247">
        <v>10.8</v>
      </c>
      <c r="H247" t="s">
        <v>4133</v>
      </c>
      <c r="J247" t="s">
        <v>586</v>
      </c>
    </row>
    <row r="248" spans="1:10" x14ac:dyDescent="0.3">
      <c r="A248" t="s">
        <v>557</v>
      </c>
      <c r="B248" s="452">
        <v>46054</v>
      </c>
      <c r="C248" t="s">
        <v>4205</v>
      </c>
      <c r="D248" t="s">
        <v>4104</v>
      </c>
      <c r="E248" t="s">
        <v>4129</v>
      </c>
      <c r="F248">
        <v>1</v>
      </c>
      <c r="G248">
        <v>4.8</v>
      </c>
      <c r="H248" t="s">
        <v>4126</v>
      </c>
      <c r="J248" t="s">
        <v>586</v>
      </c>
    </row>
    <row r="249" spans="1:10" x14ac:dyDescent="0.3">
      <c r="A249" t="s">
        <v>557</v>
      </c>
      <c r="B249" s="452">
        <v>46054</v>
      </c>
      <c r="C249" t="s">
        <v>4188</v>
      </c>
      <c r="D249" t="s">
        <v>4104</v>
      </c>
      <c r="E249" t="s">
        <v>4137</v>
      </c>
      <c r="F249">
        <v>2</v>
      </c>
      <c r="G249">
        <v>17.399999999999999</v>
      </c>
      <c r="H249" t="s">
        <v>4133</v>
      </c>
      <c r="J249" t="s">
        <v>586</v>
      </c>
    </row>
    <row r="250" spans="1:10" x14ac:dyDescent="0.3">
      <c r="A250" t="s">
        <v>557</v>
      </c>
      <c r="B250" s="452">
        <v>46054</v>
      </c>
      <c r="C250" t="s">
        <v>4189</v>
      </c>
      <c r="D250" t="s">
        <v>4104</v>
      </c>
      <c r="E250" t="s">
        <v>4190</v>
      </c>
      <c r="F250">
        <v>5</v>
      </c>
      <c r="G250">
        <v>67.5</v>
      </c>
      <c r="H250" t="s">
        <v>4133</v>
      </c>
      <c r="J250" t="s">
        <v>586</v>
      </c>
    </row>
    <row r="251" spans="1:10" x14ac:dyDescent="0.3">
      <c r="A251" t="s">
        <v>557</v>
      </c>
      <c r="B251" s="452">
        <v>46054</v>
      </c>
      <c r="C251" t="s">
        <v>4257</v>
      </c>
      <c r="D251" t="s">
        <v>4104</v>
      </c>
      <c r="E251" t="s">
        <v>4258</v>
      </c>
      <c r="F251">
        <v>3</v>
      </c>
      <c r="G251">
        <v>0</v>
      </c>
      <c r="H251" t="s">
        <v>4126</v>
      </c>
      <c r="J251" t="s">
        <v>586</v>
      </c>
    </row>
    <row r="252" spans="1:10" x14ac:dyDescent="0.3">
      <c r="A252" t="s">
        <v>557</v>
      </c>
      <c r="B252" s="452">
        <v>46054</v>
      </c>
      <c r="C252" t="s">
        <v>4151</v>
      </c>
      <c r="D252" t="s">
        <v>4104</v>
      </c>
      <c r="E252" t="s">
        <v>4144</v>
      </c>
      <c r="F252">
        <v>2</v>
      </c>
      <c r="G252">
        <v>22.8</v>
      </c>
      <c r="H252" t="s">
        <v>4126</v>
      </c>
      <c r="J252" t="s">
        <v>586</v>
      </c>
    </row>
    <row r="253" spans="1:10" x14ac:dyDescent="0.3">
      <c r="A253" t="s">
        <v>557</v>
      </c>
      <c r="B253" s="452">
        <v>46054</v>
      </c>
      <c r="C253" t="s">
        <v>4191</v>
      </c>
      <c r="D253" t="s">
        <v>4104</v>
      </c>
      <c r="E253" t="s">
        <v>4135</v>
      </c>
      <c r="F253">
        <v>4</v>
      </c>
      <c r="G253">
        <v>22.8</v>
      </c>
      <c r="H253" t="s">
        <v>4133</v>
      </c>
      <c r="J253" t="s">
        <v>586</v>
      </c>
    </row>
    <row r="254" spans="1:10" x14ac:dyDescent="0.3">
      <c r="A254" t="s">
        <v>557</v>
      </c>
      <c r="B254" s="452">
        <v>46054</v>
      </c>
      <c r="C254" t="s">
        <v>4152</v>
      </c>
      <c r="D254" t="s">
        <v>4104</v>
      </c>
      <c r="E254" t="s">
        <v>4129</v>
      </c>
      <c r="F254">
        <v>2</v>
      </c>
      <c r="G254">
        <v>8.4</v>
      </c>
      <c r="H254" t="s">
        <v>4126</v>
      </c>
      <c r="J254" t="s">
        <v>586</v>
      </c>
    </row>
    <row r="255" spans="1:10" x14ac:dyDescent="0.3">
      <c r="A255" t="s">
        <v>557</v>
      </c>
      <c r="B255" s="452">
        <v>46054</v>
      </c>
      <c r="C255" t="s">
        <v>4192</v>
      </c>
      <c r="D255" t="s">
        <v>4104</v>
      </c>
      <c r="E255" t="s">
        <v>4193</v>
      </c>
      <c r="F255">
        <v>1</v>
      </c>
      <c r="G255">
        <v>16.8</v>
      </c>
      <c r="H255" t="s">
        <v>4133</v>
      </c>
      <c r="J255" t="s">
        <v>586</v>
      </c>
    </row>
    <row r="256" spans="1:10" x14ac:dyDescent="0.3">
      <c r="A256" t="s">
        <v>557</v>
      </c>
      <c r="B256" s="452">
        <v>46054</v>
      </c>
      <c r="C256" t="s">
        <v>4175</v>
      </c>
      <c r="D256" t="s">
        <v>4104</v>
      </c>
      <c r="E256" t="s">
        <v>4149</v>
      </c>
      <c r="F256">
        <v>1</v>
      </c>
      <c r="G256">
        <v>23.7</v>
      </c>
      <c r="H256" t="s">
        <v>4133</v>
      </c>
      <c r="J256" t="s">
        <v>586</v>
      </c>
    </row>
    <row r="257" spans="1:10" x14ac:dyDescent="0.3">
      <c r="A257" t="s">
        <v>557</v>
      </c>
      <c r="B257" s="452">
        <v>46054</v>
      </c>
      <c r="C257" t="s">
        <v>4186</v>
      </c>
      <c r="D257" t="s">
        <v>4104</v>
      </c>
      <c r="E257" t="s">
        <v>4137</v>
      </c>
      <c r="F257">
        <v>2</v>
      </c>
      <c r="G257">
        <v>25.2</v>
      </c>
      <c r="H257" t="s">
        <v>4133</v>
      </c>
      <c r="J257" t="s">
        <v>586</v>
      </c>
    </row>
    <row r="258" spans="1:10" x14ac:dyDescent="0.3">
      <c r="A258" t="s">
        <v>557</v>
      </c>
      <c r="B258" s="452">
        <v>46054</v>
      </c>
      <c r="C258" t="s">
        <v>4210</v>
      </c>
      <c r="D258" t="s">
        <v>4104</v>
      </c>
      <c r="E258" t="s">
        <v>4149</v>
      </c>
      <c r="F258">
        <v>1</v>
      </c>
      <c r="G258">
        <v>25.2</v>
      </c>
      <c r="H258" t="s">
        <v>4133</v>
      </c>
      <c r="J258" t="s">
        <v>586</v>
      </c>
    </row>
    <row r="259" spans="1:10" x14ac:dyDescent="0.3">
      <c r="A259" t="s">
        <v>557</v>
      </c>
      <c r="B259" s="452">
        <v>46054</v>
      </c>
      <c r="C259" t="s">
        <v>4209</v>
      </c>
      <c r="D259" t="s">
        <v>4104</v>
      </c>
      <c r="E259" t="s">
        <v>4193</v>
      </c>
      <c r="F259">
        <v>7</v>
      </c>
      <c r="G259">
        <v>102.9</v>
      </c>
      <c r="H259" t="s">
        <v>4133</v>
      </c>
      <c r="J259" t="s">
        <v>586</v>
      </c>
    </row>
    <row r="260" spans="1:10" x14ac:dyDescent="0.3">
      <c r="A260" t="s">
        <v>557</v>
      </c>
      <c r="B260" s="452">
        <v>46054</v>
      </c>
      <c r="C260" t="s">
        <v>4264</v>
      </c>
      <c r="D260" t="s">
        <v>4104</v>
      </c>
      <c r="E260" t="s">
        <v>4193</v>
      </c>
      <c r="F260">
        <v>1</v>
      </c>
      <c r="G260">
        <v>17.399999999999999</v>
      </c>
      <c r="H260" t="s">
        <v>4133</v>
      </c>
      <c r="J260" t="s">
        <v>586</v>
      </c>
    </row>
    <row r="261" spans="1:10" x14ac:dyDescent="0.3">
      <c r="A261" t="s">
        <v>557</v>
      </c>
      <c r="B261" s="452">
        <v>46054</v>
      </c>
      <c r="C261" t="s">
        <v>4130</v>
      </c>
      <c r="D261" t="s">
        <v>4104</v>
      </c>
      <c r="E261" t="s">
        <v>4125</v>
      </c>
      <c r="F261">
        <v>2</v>
      </c>
      <c r="G261">
        <v>4.8</v>
      </c>
      <c r="H261" t="s">
        <v>4126</v>
      </c>
      <c r="J261" t="s">
        <v>586</v>
      </c>
    </row>
    <row r="262" spans="1:10" x14ac:dyDescent="0.3">
      <c r="A262" t="s">
        <v>557</v>
      </c>
      <c r="B262" s="452">
        <v>46054</v>
      </c>
      <c r="C262" t="s">
        <v>4201</v>
      </c>
      <c r="D262" t="s">
        <v>4104</v>
      </c>
      <c r="E262" t="s">
        <v>4132</v>
      </c>
      <c r="F262">
        <v>2</v>
      </c>
      <c r="G262">
        <v>24</v>
      </c>
      <c r="H262" t="s">
        <v>4126</v>
      </c>
      <c r="J262" t="s">
        <v>586</v>
      </c>
    </row>
    <row r="263" spans="1:10" x14ac:dyDescent="0.3">
      <c r="A263" t="s">
        <v>557</v>
      </c>
      <c r="B263" s="452">
        <v>46054</v>
      </c>
      <c r="C263" t="s">
        <v>4202</v>
      </c>
      <c r="D263" t="s">
        <v>4104</v>
      </c>
      <c r="E263" t="s">
        <v>4169</v>
      </c>
      <c r="F263">
        <v>2</v>
      </c>
      <c r="G263">
        <v>4.8</v>
      </c>
      <c r="H263" t="s">
        <v>4126</v>
      </c>
      <c r="J263" t="s">
        <v>586</v>
      </c>
    </row>
    <row r="264" spans="1:10" x14ac:dyDescent="0.3">
      <c r="A264" t="s">
        <v>557</v>
      </c>
      <c r="B264" s="452">
        <v>46054</v>
      </c>
      <c r="C264" t="s">
        <v>4128</v>
      </c>
      <c r="D264" t="s">
        <v>4104</v>
      </c>
      <c r="E264" t="s">
        <v>4129</v>
      </c>
      <c r="F264">
        <v>3</v>
      </c>
      <c r="G264">
        <v>6.75</v>
      </c>
      <c r="H264" t="s">
        <v>4126</v>
      </c>
      <c r="J264" t="s">
        <v>586</v>
      </c>
    </row>
    <row r="265" spans="1:10" x14ac:dyDescent="0.3">
      <c r="A265" t="s">
        <v>557</v>
      </c>
      <c r="B265" s="452">
        <v>46054</v>
      </c>
      <c r="C265" t="s">
        <v>4127</v>
      </c>
      <c r="D265" t="s">
        <v>4104</v>
      </c>
      <c r="E265" t="s">
        <v>4125</v>
      </c>
      <c r="F265">
        <v>1</v>
      </c>
      <c r="G265">
        <v>2.4</v>
      </c>
      <c r="H265" t="s">
        <v>4126</v>
      </c>
      <c r="J265" t="s">
        <v>586</v>
      </c>
    </row>
    <row r="266" spans="1:10" x14ac:dyDescent="0.3">
      <c r="A266" t="s">
        <v>557</v>
      </c>
      <c r="B266" s="452">
        <v>46054</v>
      </c>
      <c r="C266" t="s">
        <v>4140</v>
      </c>
      <c r="D266" t="s">
        <v>4104</v>
      </c>
      <c r="E266" t="s">
        <v>4129</v>
      </c>
      <c r="F266">
        <v>1</v>
      </c>
      <c r="G266">
        <v>2.25</v>
      </c>
      <c r="H266" t="s">
        <v>4126</v>
      </c>
      <c r="J266" t="s">
        <v>586</v>
      </c>
    </row>
    <row r="267" spans="1:10" x14ac:dyDescent="0.3">
      <c r="A267" t="s">
        <v>557</v>
      </c>
      <c r="B267" s="452">
        <v>46054</v>
      </c>
      <c r="C267" t="s">
        <v>4141</v>
      </c>
      <c r="D267" t="s">
        <v>4104</v>
      </c>
      <c r="E267" t="s">
        <v>4142</v>
      </c>
      <c r="F267">
        <v>5</v>
      </c>
      <c r="G267">
        <v>20.85</v>
      </c>
      <c r="H267" t="s">
        <v>4126</v>
      </c>
      <c r="J267" t="s">
        <v>586</v>
      </c>
    </row>
    <row r="268" spans="1:10" x14ac:dyDescent="0.3">
      <c r="A268" t="s">
        <v>557</v>
      </c>
      <c r="B268" s="452">
        <v>46054</v>
      </c>
      <c r="C268" t="s">
        <v>4246</v>
      </c>
      <c r="D268" t="s">
        <v>4104</v>
      </c>
      <c r="E268" t="s">
        <v>4125</v>
      </c>
      <c r="F268">
        <v>2</v>
      </c>
      <c r="G268">
        <v>4.8</v>
      </c>
      <c r="H268" t="s">
        <v>4126</v>
      </c>
      <c r="J268" t="s">
        <v>586</v>
      </c>
    </row>
    <row r="269" spans="1:10" x14ac:dyDescent="0.3">
      <c r="A269" t="s">
        <v>557</v>
      </c>
      <c r="B269" s="452">
        <v>46054</v>
      </c>
      <c r="C269" t="s">
        <v>4145</v>
      </c>
      <c r="D269" t="s">
        <v>4104</v>
      </c>
      <c r="E269" t="s">
        <v>4125</v>
      </c>
      <c r="F269">
        <v>8</v>
      </c>
      <c r="G269">
        <v>19.2</v>
      </c>
      <c r="H269" t="s">
        <v>4126</v>
      </c>
      <c r="J269" t="s">
        <v>586</v>
      </c>
    </row>
    <row r="270" spans="1:10" x14ac:dyDescent="0.3">
      <c r="A270" t="s">
        <v>557</v>
      </c>
      <c r="B270" s="452">
        <v>46054</v>
      </c>
      <c r="C270" t="s">
        <v>4166</v>
      </c>
      <c r="D270" t="s">
        <v>4104</v>
      </c>
      <c r="E270" t="s">
        <v>4137</v>
      </c>
      <c r="F270">
        <v>1</v>
      </c>
      <c r="G270">
        <v>11.1</v>
      </c>
      <c r="H270" t="s">
        <v>4133</v>
      </c>
      <c r="J270" t="s">
        <v>586</v>
      </c>
    </row>
    <row r="271" spans="1:10" x14ac:dyDescent="0.3">
      <c r="A271" t="s">
        <v>557</v>
      </c>
      <c r="B271" s="452">
        <v>46054</v>
      </c>
      <c r="C271" t="s">
        <v>4217</v>
      </c>
      <c r="D271" t="s">
        <v>4104</v>
      </c>
      <c r="E271" t="s">
        <v>4149</v>
      </c>
      <c r="F271">
        <v>1</v>
      </c>
      <c r="G271">
        <v>21.6</v>
      </c>
      <c r="H271" t="s">
        <v>4133</v>
      </c>
      <c r="J271" t="s">
        <v>586</v>
      </c>
    </row>
    <row r="272" spans="1:10" x14ac:dyDescent="0.3">
      <c r="A272" t="s">
        <v>557</v>
      </c>
      <c r="B272" s="452">
        <v>46054</v>
      </c>
      <c r="C272" t="s">
        <v>4165</v>
      </c>
      <c r="D272" t="s">
        <v>4104</v>
      </c>
      <c r="E272" t="s">
        <v>4129</v>
      </c>
      <c r="F272">
        <v>2</v>
      </c>
      <c r="G272">
        <v>8.4</v>
      </c>
      <c r="H272" t="s">
        <v>4126</v>
      </c>
      <c r="J272" t="s">
        <v>586</v>
      </c>
    </row>
    <row r="273" spans="1:10" x14ac:dyDescent="0.3">
      <c r="A273" t="s">
        <v>557</v>
      </c>
      <c r="B273" s="452">
        <v>46054</v>
      </c>
      <c r="C273" t="s">
        <v>4146</v>
      </c>
      <c r="D273" t="s">
        <v>4104</v>
      </c>
      <c r="E273" t="s">
        <v>4129</v>
      </c>
      <c r="F273">
        <v>6</v>
      </c>
      <c r="G273">
        <v>25.2</v>
      </c>
      <c r="H273" t="s">
        <v>4126</v>
      </c>
      <c r="J273" t="s">
        <v>586</v>
      </c>
    </row>
    <row r="274" spans="1:10" x14ac:dyDescent="0.3">
      <c r="A274" t="s">
        <v>557</v>
      </c>
      <c r="B274" s="452">
        <v>46054</v>
      </c>
      <c r="C274" t="s">
        <v>4147</v>
      </c>
      <c r="D274" t="s">
        <v>4104</v>
      </c>
      <c r="E274" t="s">
        <v>4125</v>
      </c>
      <c r="F274">
        <v>1</v>
      </c>
      <c r="G274">
        <v>2.4</v>
      </c>
      <c r="H274" t="s">
        <v>4126</v>
      </c>
      <c r="J274" t="s">
        <v>586</v>
      </c>
    </row>
    <row r="275" spans="1:10" x14ac:dyDescent="0.3">
      <c r="A275" t="s">
        <v>557</v>
      </c>
      <c r="B275" s="452">
        <v>46054</v>
      </c>
      <c r="C275" t="s">
        <v>4208</v>
      </c>
      <c r="D275" t="s">
        <v>4104</v>
      </c>
      <c r="E275" t="s">
        <v>4129</v>
      </c>
      <c r="F275">
        <v>2</v>
      </c>
      <c r="G275">
        <v>8.4</v>
      </c>
      <c r="H275" t="s">
        <v>4126</v>
      </c>
      <c r="J275" t="s">
        <v>586</v>
      </c>
    </row>
    <row r="276" spans="1:10" x14ac:dyDescent="0.3">
      <c r="A276" t="s">
        <v>557</v>
      </c>
      <c r="B276" s="452">
        <v>46054</v>
      </c>
      <c r="C276" t="s">
        <v>4124</v>
      </c>
      <c r="D276" t="s">
        <v>4104</v>
      </c>
      <c r="E276" t="s">
        <v>4125</v>
      </c>
      <c r="F276">
        <v>2</v>
      </c>
      <c r="G276">
        <v>4.8</v>
      </c>
      <c r="H276" t="s">
        <v>4126</v>
      </c>
      <c r="J276" t="s">
        <v>586</v>
      </c>
    </row>
    <row r="277" spans="1:10" x14ac:dyDescent="0.3">
      <c r="A277" t="s">
        <v>557</v>
      </c>
      <c r="B277" s="452">
        <v>46054</v>
      </c>
      <c r="C277" t="s">
        <v>4212</v>
      </c>
      <c r="D277" t="s">
        <v>4104</v>
      </c>
      <c r="E277" t="s">
        <v>4125</v>
      </c>
      <c r="F277">
        <v>1</v>
      </c>
      <c r="G277">
        <v>2.25</v>
      </c>
      <c r="H277" t="s">
        <v>4126</v>
      </c>
      <c r="J277" t="s">
        <v>586</v>
      </c>
    </row>
    <row r="278" spans="1:10" x14ac:dyDescent="0.3">
      <c r="A278" t="s">
        <v>557</v>
      </c>
      <c r="B278" s="452">
        <v>46054</v>
      </c>
      <c r="C278" t="s">
        <v>4265</v>
      </c>
      <c r="D278" t="s">
        <v>4104</v>
      </c>
      <c r="E278" t="s">
        <v>4243</v>
      </c>
      <c r="F278">
        <v>1</v>
      </c>
      <c r="G278">
        <v>6.9</v>
      </c>
      <c r="H278" t="s">
        <v>4126</v>
      </c>
      <c r="J278" t="s">
        <v>586</v>
      </c>
    </row>
    <row r="279" spans="1:10" x14ac:dyDescent="0.3">
      <c r="A279" t="s">
        <v>557</v>
      </c>
      <c r="B279" s="452">
        <v>46054</v>
      </c>
      <c r="C279" t="s">
        <v>4196</v>
      </c>
      <c r="D279" t="s">
        <v>4104</v>
      </c>
      <c r="E279" t="s">
        <v>4184</v>
      </c>
      <c r="F279">
        <v>8</v>
      </c>
      <c r="G279">
        <v>172.56</v>
      </c>
      <c r="H279" t="s">
        <v>4133</v>
      </c>
      <c r="J279" t="s">
        <v>586</v>
      </c>
    </row>
    <row r="280" spans="1:10" x14ac:dyDescent="0.3">
      <c r="A280" t="s">
        <v>557</v>
      </c>
      <c r="B280" s="452">
        <v>46054</v>
      </c>
      <c r="C280" t="s">
        <v>4165</v>
      </c>
      <c r="D280" t="s">
        <v>4105</v>
      </c>
      <c r="E280" t="s">
        <v>4129</v>
      </c>
      <c r="F280">
        <v>13</v>
      </c>
      <c r="G280">
        <v>54.6</v>
      </c>
      <c r="H280" t="s">
        <v>4126</v>
      </c>
      <c r="J280" t="s">
        <v>586</v>
      </c>
    </row>
    <row r="281" spans="1:10" x14ac:dyDescent="0.3">
      <c r="A281" t="s">
        <v>557</v>
      </c>
      <c r="B281" s="452">
        <v>46054</v>
      </c>
      <c r="C281" t="s">
        <v>4266</v>
      </c>
      <c r="D281" t="s">
        <v>4105</v>
      </c>
      <c r="E281" t="s">
        <v>4149</v>
      </c>
      <c r="F281">
        <v>1</v>
      </c>
      <c r="G281">
        <v>40.5</v>
      </c>
      <c r="H281" t="s">
        <v>4133</v>
      </c>
      <c r="J281" t="s">
        <v>586</v>
      </c>
    </row>
    <row r="282" spans="1:10" x14ac:dyDescent="0.3">
      <c r="A282" t="s">
        <v>557</v>
      </c>
      <c r="B282" s="452">
        <v>46054</v>
      </c>
      <c r="C282" t="s">
        <v>4267</v>
      </c>
      <c r="D282" t="s">
        <v>4105</v>
      </c>
      <c r="E282" t="s">
        <v>4232</v>
      </c>
      <c r="F282">
        <v>2</v>
      </c>
      <c r="G282">
        <v>98.4</v>
      </c>
      <c r="H282" t="s">
        <v>4126</v>
      </c>
      <c r="J282" t="s">
        <v>586</v>
      </c>
    </row>
    <row r="283" spans="1:10" x14ac:dyDescent="0.3">
      <c r="A283" t="s">
        <v>557</v>
      </c>
      <c r="B283" s="452">
        <v>46054</v>
      </c>
      <c r="C283" t="s">
        <v>4233</v>
      </c>
      <c r="D283" t="s">
        <v>4105</v>
      </c>
      <c r="E283" t="s">
        <v>4169</v>
      </c>
      <c r="F283">
        <v>1</v>
      </c>
      <c r="G283">
        <v>2.4</v>
      </c>
      <c r="J283" t="s">
        <v>586</v>
      </c>
    </row>
    <row r="284" spans="1:10" x14ac:dyDescent="0.3">
      <c r="A284" t="s">
        <v>557</v>
      </c>
      <c r="B284" s="452">
        <v>46054</v>
      </c>
      <c r="C284" t="s">
        <v>4155</v>
      </c>
      <c r="D284" t="s">
        <v>4105</v>
      </c>
      <c r="E284" t="s">
        <v>4156</v>
      </c>
      <c r="F284">
        <v>26</v>
      </c>
      <c r="G284">
        <v>163.80000000000001</v>
      </c>
      <c r="H284" t="s">
        <v>4126</v>
      </c>
      <c r="J284" t="s">
        <v>586</v>
      </c>
    </row>
    <row r="285" spans="1:10" x14ac:dyDescent="0.3">
      <c r="A285" t="s">
        <v>557</v>
      </c>
      <c r="B285" s="452">
        <v>46054</v>
      </c>
      <c r="C285" t="s">
        <v>4178</v>
      </c>
      <c r="D285" t="s">
        <v>4105</v>
      </c>
      <c r="E285" t="s">
        <v>4129</v>
      </c>
      <c r="F285">
        <v>7</v>
      </c>
      <c r="G285">
        <v>33.6</v>
      </c>
      <c r="H285" t="s">
        <v>4126</v>
      </c>
      <c r="J285" t="s">
        <v>586</v>
      </c>
    </row>
    <row r="286" spans="1:10" x14ac:dyDescent="0.3">
      <c r="A286" t="s">
        <v>557</v>
      </c>
      <c r="B286" s="452">
        <v>46054</v>
      </c>
      <c r="C286" t="s">
        <v>4177</v>
      </c>
      <c r="D286" t="s">
        <v>4105</v>
      </c>
      <c r="E286" t="s">
        <v>4132</v>
      </c>
      <c r="F286">
        <v>4</v>
      </c>
      <c r="G286">
        <v>50.4</v>
      </c>
      <c r="H286" t="s">
        <v>4126</v>
      </c>
      <c r="J286" t="s">
        <v>586</v>
      </c>
    </row>
    <row r="287" spans="1:10" x14ac:dyDescent="0.3">
      <c r="A287" t="s">
        <v>557</v>
      </c>
      <c r="B287" s="452">
        <v>46054</v>
      </c>
      <c r="C287" t="s">
        <v>4198</v>
      </c>
      <c r="D287" t="s">
        <v>4105</v>
      </c>
      <c r="E287" t="s">
        <v>4137</v>
      </c>
      <c r="F287">
        <v>2</v>
      </c>
      <c r="G287">
        <v>41.4</v>
      </c>
      <c r="H287" t="s">
        <v>4133</v>
      </c>
      <c r="J287" t="s">
        <v>586</v>
      </c>
    </row>
    <row r="288" spans="1:10" x14ac:dyDescent="0.3">
      <c r="A288" t="s">
        <v>557</v>
      </c>
      <c r="B288" s="452">
        <v>46054</v>
      </c>
      <c r="C288" t="s">
        <v>4260</v>
      </c>
      <c r="D288" t="s">
        <v>4105</v>
      </c>
      <c r="E288" t="s">
        <v>4132</v>
      </c>
      <c r="F288">
        <v>1</v>
      </c>
      <c r="G288">
        <v>11.7</v>
      </c>
      <c r="H288" t="s">
        <v>4126</v>
      </c>
      <c r="J288" t="s">
        <v>586</v>
      </c>
    </row>
    <row r="289" spans="1:10" x14ac:dyDescent="0.3">
      <c r="A289" t="s">
        <v>557</v>
      </c>
      <c r="B289" s="452">
        <v>46054</v>
      </c>
      <c r="C289" t="s">
        <v>4158</v>
      </c>
      <c r="D289" t="s">
        <v>4105</v>
      </c>
      <c r="E289" t="s">
        <v>4137</v>
      </c>
      <c r="F289">
        <v>4</v>
      </c>
      <c r="G289">
        <v>54</v>
      </c>
      <c r="H289" t="s">
        <v>4133</v>
      </c>
      <c r="J289" t="s">
        <v>586</v>
      </c>
    </row>
    <row r="290" spans="1:10" x14ac:dyDescent="0.3">
      <c r="A290" t="s">
        <v>557</v>
      </c>
      <c r="B290" s="452">
        <v>46054</v>
      </c>
      <c r="C290" t="s">
        <v>4252</v>
      </c>
      <c r="D290" t="s">
        <v>4105</v>
      </c>
      <c r="E290" t="s">
        <v>4184</v>
      </c>
      <c r="F290">
        <v>1</v>
      </c>
      <c r="G290">
        <v>44.7</v>
      </c>
      <c r="H290" t="s">
        <v>4133</v>
      </c>
      <c r="J290" t="s">
        <v>586</v>
      </c>
    </row>
    <row r="291" spans="1:10" x14ac:dyDescent="0.3">
      <c r="A291" t="s">
        <v>557</v>
      </c>
      <c r="B291" s="452">
        <v>46054</v>
      </c>
      <c r="C291" t="s">
        <v>4251</v>
      </c>
      <c r="D291" t="s">
        <v>4105</v>
      </c>
      <c r="E291" t="s">
        <v>4184</v>
      </c>
      <c r="F291">
        <v>2</v>
      </c>
      <c r="G291">
        <v>47.4</v>
      </c>
      <c r="H291" t="s">
        <v>4133</v>
      </c>
      <c r="J291" t="s">
        <v>586</v>
      </c>
    </row>
    <row r="292" spans="1:10" x14ac:dyDescent="0.3">
      <c r="A292" t="s">
        <v>557</v>
      </c>
      <c r="B292" s="452">
        <v>46054</v>
      </c>
      <c r="C292" t="s">
        <v>4136</v>
      </c>
      <c r="D292" t="s">
        <v>4105</v>
      </c>
      <c r="E292" t="s">
        <v>4137</v>
      </c>
      <c r="F292">
        <v>8</v>
      </c>
      <c r="G292">
        <v>93.6</v>
      </c>
      <c r="H292" t="s">
        <v>4133</v>
      </c>
      <c r="J292" t="s">
        <v>586</v>
      </c>
    </row>
    <row r="293" spans="1:10" x14ac:dyDescent="0.3">
      <c r="A293" t="s">
        <v>557</v>
      </c>
      <c r="B293" s="452">
        <v>46054</v>
      </c>
      <c r="C293" t="s">
        <v>4209</v>
      </c>
      <c r="D293" t="s">
        <v>4105</v>
      </c>
      <c r="E293" t="s">
        <v>4193</v>
      </c>
      <c r="F293">
        <v>3</v>
      </c>
      <c r="G293">
        <v>44.1</v>
      </c>
      <c r="H293" t="s">
        <v>4133</v>
      </c>
      <c r="J293" t="s">
        <v>586</v>
      </c>
    </row>
    <row r="294" spans="1:10" x14ac:dyDescent="0.3">
      <c r="A294" t="s">
        <v>557</v>
      </c>
      <c r="B294" s="452">
        <v>46054</v>
      </c>
      <c r="C294" t="s">
        <v>4250</v>
      </c>
      <c r="D294" t="s">
        <v>4105</v>
      </c>
      <c r="E294" t="s">
        <v>4139</v>
      </c>
      <c r="F294">
        <v>1</v>
      </c>
      <c r="G294">
        <v>8.4</v>
      </c>
      <c r="H294" t="s">
        <v>4133</v>
      </c>
      <c r="J294" t="s">
        <v>586</v>
      </c>
    </row>
    <row r="295" spans="1:10" x14ac:dyDescent="0.3">
      <c r="A295" t="s">
        <v>557</v>
      </c>
      <c r="B295" s="452">
        <v>46054</v>
      </c>
      <c r="C295" t="s">
        <v>4210</v>
      </c>
      <c r="D295" t="s">
        <v>4105</v>
      </c>
      <c r="E295" t="s">
        <v>4149</v>
      </c>
      <c r="F295">
        <v>4</v>
      </c>
      <c r="G295">
        <v>100.8</v>
      </c>
      <c r="H295" t="s">
        <v>4133</v>
      </c>
      <c r="J295" t="s">
        <v>586</v>
      </c>
    </row>
    <row r="296" spans="1:10" x14ac:dyDescent="0.3">
      <c r="A296" t="s">
        <v>557</v>
      </c>
      <c r="B296" s="452">
        <v>46054</v>
      </c>
      <c r="C296" t="s">
        <v>4268</v>
      </c>
      <c r="D296" t="s">
        <v>4105</v>
      </c>
      <c r="E296" t="s">
        <v>4115</v>
      </c>
      <c r="F296">
        <v>1</v>
      </c>
      <c r="G296">
        <v>0</v>
      </c>
      <c r="H296" t="s">
        <v>4126</v>
      </c>
      <c r="J296" t="s">
        <v>586</v>
      </c>
    </row>
    <row r="297" spans="1:10" x14ac:dyDescent="0.3">
      <c r="A297" t="s">
        <v>557</v>
      </c>
      <c r="B297" s="452">
        <v>46054</v>
      </c>
      <c r="C297" t="s">
        <v>4138</v>
      </c>
      <c r="D297" t="s">
        <v>4105</v>
      </c>
      <c r="E297" t="s">
        <v>4139</v>
      </c>
      <c r="F297">
        <v>8</v>
      </c>
      <c r="G297">
        <v>62.4</v>
      </c>
      <c r="H297" t="s">
        <v>4133</v>
      </c>
      <c r="J297" t="s">
        <v>586</v>
      </c>
    </row>
    <row r="298" spans="1:10" x14ac:dyDescent="0.3">
      <c r="A298" t="s">
        <v>557</v>
      </c>
      <c r="B298" s="452">
        <v>46054</v>
      </c>
      <c r="C298" t="s">
        <v>4269</v>
      </c>
      <c r="D298" t="s">
        <v>4105</v>
      </c>
      <c r="E298" t="s">
        <v>4270</v>
      </c>
      <c r="F298">
        <v>1</v>
      </c>
      <c r="G298">
        <v>11.1</v>
      </c>
      <c r="H298" t="s">
        <v>4126</v>
      </c>
      <c r="J298" t="s">
        <v>586</v>
      </c>
    </row>
    <row r="299" spans="1:10" x14ac:dyDescent="0.3">
      <c r="A299" t="s">
        <v>557</v>
      </c>
      <c r="B299" s="452">
        <v>46054</v>
      </c>
      <c r="C299" t="s">
        <v>4147</v>
      </c>
      <c r="D299" t="s">
        <v>4105</v>
      </c>
      <c r="E299" t="s">
        <v>4125</v>
      </c>
      <c r="F299">
        <v>6</v>
      </c>
      <c r="G299">
        <v>14.4</v>
      </c>
      <c r="H299" t="s">
        <v>4126</v>
      </c>
      <c r="J299" t="s">
        <v>586</v>
      </c>
    </row>
    <row r="300" spans="1:10" x14ac:dyDescent="0.3">
      <c r="A300" t="s">
        <v>557</v>
      </c>
      <c r="B300" s="452">
        <v>46054</v>
      </c>
      <c r="C300" t="s">
        <v>4208</v>
      </c>
      <c r="D300" t="s">
        <v>4105</v>
      </c>
      <c r="E300" t="s">
        <v>4129</v>
      </c>
      <c r="F300">
        <v>7</v>
      </c>
      <c r="G300">
        <v>29.4</v>
      </c>
      <c r="H300" t="s">
        <v>4126</v>
      </c>
      <c r="J300" t="s">
        <v>586</v>
      </c>
    </row>
    <row r="301" spans="1:10" x14ac:dyDescent="0.3">
      <c r="A301" t="s">
        <v>557</v>
      </c>
      <c r="B301" s="452">
        <v>46054</v>
      </c>
      <c r="C301" t="s">
        <v>4124</v>
      </c>
      <c r="D301" t="s">
        <v>4105</v>
      </c>
      <c r="E301" t="s">
        <v>4125</v>
      </c>
      <c r="F301">
        <v>3</v>
      </c>
      <c r="G301">
        <v>7.2</v>
      </c>
      <c r="H301" t="s">
        <v>4126</v>
      </c>
      <c r="J301" t="s">
        <v>586</v>
      </c>
    </row>
    <row r="302" spans="1:10" x14ac:dyDescent="0.3">
      <c r="A302" t="s">
        <v>557</v>
      </c>
      <c r="B302" s="452">
        <v>46054</v>
      </c>
      <c r="C302" t="s">
        <v>4212</v>
      </c>
      <c r="D302" t="s">
        <v>4105</v>
      </c>
      <c r="E302" t="s">
        <v>4125</v>
      </c>
      <c r="F302">
        <v>2</v>
      </c>
      <c r="G302">
        <v>4.5</v>
      </c>
      <c r="H302" t="s">
        <v>4126</v>
      </c>
      <c r="J302" t="s">
        <v>586</v>
      </c>
    </row>
    <row r="303" spans="1:10" x14ac:dyDescent="0.3">
      <c r="A303" t="s">
        <v>557</v>
      </c>
      <c r="B303" s="452">
        <v>46054</v>
      </c>
      <c r="C303" t="s">
        <v>4205</v>
      </c>
      <c r="D303" t="s">
        <v>4105</v>
      </c>
      <c r="E303" t="s">
        <v>4129</v>
      </c>
      <c r="F303">
        <v>1</v>
      </c>
      <c r="G303">
        <v>4.2</v>
      </c>
      <c r="H303" t="s">
        <v>4126</v>
      </c>
      <c r="J303" t="s">
        <v>586</v>
      </c>
    </row>
    <row r="304" spans="1:10" x14ac:dyDescent="0.3">
      <c r="A304" t="s">
        <v>557</v>
      </c>
      <c r="B304" s="452">
        <v>46054</v>
      </c>
      <c r="C304" t="s">
        <v>4166</v>
      </c>
      <c r="D304" t="s">
        <v>4105</v>
      </c>
      <c r="E304" t="s">
        <v>4137</v>
      </c>
      <c r="F304">
        <v>3</v>
      </c>
      <c r="G304">
        <v>33.299999999999997</v>
      </c>
      <c r="H304" t="s">
        <v>4133</v>
      </c>
      <c r="J304" t="s">
        <v>586</v>
      </c>
    </row>
    <row r="305" spans="1:10" x14ac:dyDescent="0.3">
      <c r="A305" t="s">
        <v>557</v>
      </c>
      <c r="B305" s="452">
        <v>46054</v>
      </c>
      <c r="C305" t="s">
        <v>4217</v>
      </c>
      <c r="D305" t="s">
        <v>4105</v>
      </c>
      <c r="E305" t="s">
        <v>4149</v>
      </c>
      <c r="F305">
        <v>5</v>
      </c>
      <c r="G305">
        <v>108</v>
      </c>
      <c r="H305" t="s">
        <v>4133</v>
      </c>
      <c r="J305" t="s">
        <v>586</v>
      </c>
    </row>
    <row r="306" spans="1:10" x14ac:dyDescent="0.3">
      <c r="A306" t="s">
        <v>557</v>
      </c>
      <c r="B306" s="452">
        <v>46054</v>
      </c>
      <c r="C306" t="s">
        <v>4218</v>
      </c>
      <c r="D306" t="s">
        <v>4105</v>
      </c>
      <c r="E306" t="s">
        <v>4162</v>
      </c>
      <c r="F306">
        <v>2</v>
      </c>
      <c r="G306">
        <v>29.4</v>
      </c>
      <c r="H306" t="s">
        <v>4133</v>
      </c>
      <c r="J306" t="s">
        <v>586</v>
      </c>
    </row>
    <row r="307" spans="1:10" x14ac:dyDescent="0.3">
      <c r="A307" t="s">
        <v>557</v>
      </c>
      <c r="B307" s="452">
        <v>46054</v>
      </c>
      <c r="C307" t="s">
        <v>4271</v>
      </c>
      <c r="D307" t="s">
        <v>4105</v>
      </c>
      <c r="E307" t="s">
        <v>4190</v>
      </c>
      <c r="F307">
        <v>1</v>
      </c>
      <c r="G307">
        <v>13.5</v>
      </c>
      <c r="H307" t="s">
        <v>4133</v>
      </c>
      <c r="J307" t="s">
        <v>586</v>
      </c>
    </row>
    <row r="308" spans="1:10" x14ac:dyDescent="0.3">
      <c r="A308" t="s">
        <v>557</v>
      </c>
      <c r="B308" s="452">
        <v>46054</v>
      </c>
      <c r="C308" t="s">
        <v>4146</v>
      </c>
      <c r="D308" t="s">
        <v>4105</v>
      </c>
      <c r="E308" t="s">
        <v>4129</v>
      </c>
      <c r="F308">
        <v>9</v>
      </c>
      <c r="G308">
        <v>37.799999999999997</v>
      </c>
      <c r="H308" t="s">
        <v>4126</v>
      </c>
      <c r="J308" t="s">
        <v>586</v>
      </c>
    </row>
    <row r="309" spans="1:10" x14ac:dyDescent="0.3">
      <c r="A309" t="s">
        <v>557</v>
      </c>
      <c r="B309" s="452">
        <v>46054</v>
      </c>
      <c r="C309" t="s">
        <v>4216</v>
      </c>
      <c r="D309" t="s">
        <v>4105</v>
      </c>
      <c r="E309" t="s">
        <v>4149</v>
      </c>
      <c r="F309">
        <v>4</v>
      </c>
      <c r="G309">
        <v>131.1</v>
      </c>
      <c r="H309" t="s">
        <v>4133</v>
      </c>
      <c r="J309" t="s">
        <v>586</v>
      </c>
    </row>
    <row r="310" spans="1:10" x14ac:dyDescent="0.3">
      <c r="A310" t="s">
        <v>557</v>
      </c>
      <c r="B310" s="452">
        <v>46054</v>
      </c>
      <c r="C310" t="s">
        <v>4161</v>
      </c>
      <c r="D310" t="s">
        <v>4105</v>
      </c>
      <c r="E310" t="s">
        <v>4162</v>
      </c>
      <c r="F310">
        <v>1</v>
      </c>
      <c r="G310">
        <v>14.7</v>
      </c>
      <c r="H310" t="s">
        <v>4133</v>
      </c>
      <c r="J310" t="s">
        <v>586</v>
      </c>
    </row>
    <row r="311" spans="1:10" x14ac:dyDescent="0.3">
      <c r="A311" t="s">
        <v>557</v>
      </c>
      <c r="B311" s="452">
        <v>46054</v>
      </c>
      <c r="C311" t="s">
        <v>4145</v>
      </c>
      <c r="D311" t="s">
        <v>4105</v>
      </c>
      <c r="E311" t="s">
        <v>4125</v>
      </c>
      <c r="F311">
        <v>9</v>
      </c>
      <c r="G311">
        <v>21.6</v>
      </c>
      <c r="H311" t="s">
        <v>4126</v>
      </c>
      <c r="J311" t="s">
        <v>586</v>
      </c>
    </row>
    <row r="312" spans="1:10" x14ac:dyDescent="0.3">
      <c r="A312" t="s">
        <v>557</v>
      </c>
      <c r="B312" s="452">
        <v>46054</v>
      </c>
      <c r="C312" t="s">
        <v>4167</v>
      </c>
      <c r="D312" t="s">
        <v>4105</v>
      </c>
      <c r="E312" t="s">
        <v>4137</v>
      </c>
      <c r="F312">
        <v>1</v>
      </c>
      <c r="G312">
        <v>7.5</v>
      </c>
      <c r="H312" t="s">
        <v>4133</v>
      </c>
      <c r="J312" t="s">
        <v>586</v>
      </c>
    </row>
    <row r="313" spans="1:10" x14ac:dyDescent="0.3">
      <c r="A313" t="s">
        <v>557</v>
      </c>
      <c r="B313" s="452">
        <v>46054</v>
      </c>
      <c r="C313" t="s">
        <v>4246</v>
      </c>
      <c r="D313" t="s">
        <v>4105</v>
      </c>
      <c r="E313" t="s">
        <v>4125</v>
      </c>
      <c r="F313">
        <v>3</v>
      </c>
      <c r="G313">
        <v>7.2</v>
      </c>
      <c r="H313" t="s">
        <v>4126</v>
      </c>
      <c r="J313" t="s">
        <v>586</v>
      </c>
    </row>
    <row r="314" spans="1:10" x14ac:dyDescent="0.3">
      <c r="A314" t="s">
        <v>557</v>
      </c>
      <c r="B314" s="452">
        <v>46054</v>
      </c>
      <c r="C314" t="s">
        <v>4143</v>
      </c>
      <c r="D314" t="s">
        <v>4105</v>
      </c>
      <c r="E314" t="s">
        <v>4144</v>
      </c>
      <c r="F314">
        <v>1</v>
      </c>
      <c r="G314">
        <v>9.9</v>
      </c>
      <c r="H314" t="s">
        <v>4126</v>
      </c>
      <c r="J314" t="s">
        <v>586</v>
      </c>
    </row>
    <row r="315" spans="1:10" x14ac:dyDescent="0.3">
      <c r="A315" t="s">
        <v>557</v>
      </c>
      <c r="B315" s="452">
        <v>46054</v>
      </c>
      <c r="C315" t="s">
        <v>4272</v>
      </c>
      <c r="D315" t="s">
        <v>4105</v>
      </c>
      <c r="E315" t="s">
        <v>4184</v>
      </c>
      <c r="F315">
        <v>1</v>
      </c>
      <c r="G315">
        <v>11.67</v>
      </c>
      <c r="H315" t="s">
        <v>4133</v>
      </c>
      <c r="J315" t="s">
        <v>586</v>
      </c>
    </row>
    <row r="316" spans="1:10" x14ac:dyDescent="0.3">
      <c r="A316" t="s">
        <v>557</v>
      </c>
      <c r="B316" s="452">
        <v>46054</v>
      </c>
      <c r="C316" t="s">
        <v>4141</v>
      </c>
      <c r="D316" t="s">
        <v>4105</v>
      </c>
      <c r="E316" t="s">
        <v>4142</v>
      </c>
      <c r="F316">
        <v>61</v>
      </c>
      <c r="G316">
        <v>254.37</v>
      </c>
      <c r="H316" t="s">
        <v>4126</v>
      </c>
      <c r="J316" t="s">
        <v>586</v>
      </c>
    </row>
    <row r="317" spans="1:10" x14ac:dyDescent="0.3">
      <c r="A317" t="s">
        <v>557</v>
      </c>
      <c r="B317" s="452">
        <v>46054</v>
      </c>
      <c r="C317" t="s">
        <v>4140</v>
      </c>
      <c r="D317" t="s">
        <v>4105</v>
      </c>
      <c r="E317" t="s">
        <v>4129</v>
      </c>
      <c r="F317">
        <v>7</v>
      </c>
      <c r="G317">
        <v>15.75</v>
      </c>
      <c r="H317" t="s">
        <v>4126</v>
      </c>
      <c r="J317" t="s">
        <v>586</v>
      </c>
    </row>
    <row r="318" spans="1:10" x14ac:dyDescent="0.3">
      <c r="A318" t="s">
        <v>557</v>
      </c>
      <c r="B318" s="452">
        <v>46054</v>
      </c>
      <c r="C318" t="s">
        <v>4247</v>
      </c>
      <c r="D318" t="s">
        <v>4105</v>
      </c>
      <c r="E318" t="s">
        <v>4139</v>
      </c>
      <c r="F318">
        <v>5</v>
      </c>
      <c r="G318">
        <v>18</v>
      </c>
      <c r="H318" t="s">
        <v>4133</v>
      </c>
      <c r="J318" t="s">
        <v>586</v>
      </c>
    </row>
    <row r="319" spans="1:10" x14ac:dyDescent="0.3">
      <c r="A319" t="s">
        <v>557</v>
      </c>
      <c r="B319" s="452">
        <v>46054</v>
      </c>
      <c r="C319" t="s">
        <v>4197</v>
      </c>
      <c r="D319" t="s">
        <v>4105</v>
      </c>
      <c r="E319" t="s">
        <v>4135</v>
      </c>
      <c r="F319">
        <v>9</v>
      </c>
      <c r="G319">
        <v>43.2</v>
      </c>
      <c r="H319" t="s">
        <v>4133</v>
      </c>
      <c r="J319" t="s">
        <v>586</v>
      </c>
    </row>
    <row r="320" spans="1:10" x14ac:dyDescent="0.3">
      <c r="A320" t="s">
        <v>557</v>
      </c>
      <c r="B320" s="452">
        <v>46054</v>
      </c>
      <c r="C320" t="s">
        <v>4163</v>
      </c>
      <c r="D320" t="s">
        <v>4105</v>
      </c>
      <c r="E320" t="s">
        <v>4149</v>
      </c>
      <c r="F320">
        <v>2</v>
      </c>
      <c r="G320">
        <v>61.8</v>
      </c>
      <c r="H320" t="s">
        <v>4133</v>
      </c>
      <c r="J320" t="s">
        <v>586</v>
      </c>
    </row>
    <row r="321" spans="1:10" x14ac:dyDescent="0.3">
      <c r="A321" t="s">
        <v>557</v>
      </c>
      <c r="B321" s="452">
        <v>46054</v>
      </c>
      <c r="C321" t="s">
        <v>4248</v>
      </c>
      <c r="D321" t="s">
        <v>4105</v>
      </c>
      <c r="E321" t="s">
        <v>4139</v>
      </c>
      <c r="F321">
        <v>1</v>
      </c>
      <c r="G321">
        <v>8.4</v>
      </c>
      <c r="H321" t="s">
        <v>4133</v>
      </c>
      <c r="J321" t="s">
        <v>586</v>
      </c>
    </row>
    <row r="322" spans="1:10" x14ac:dyDescent="0.3">
      <c r="A322" t="s">
        <v>557</v>
      </c>
      <c r="B322" s="452">
        <v>46054</v>
      </c>
      <c r="C322" t="s">
        <v>4273</v>
      </c>
      <c r="D322" t="s">
        <v>4105</v>
      </c>
      <c r="E322" t="s">
        <v>4274</v>
      </c>
      <c r="F322">
        <v>2</v>
      </c>
      <c r="G322">
        <v>20.399999999999999</v>
      </c>
      <c r="H322" t="s">
        <v>4126</v>
      </c>
      <c r="J322" t="s">
        <v>586</v>
      </c>
    </row>
    <row r="323" spans="1:10" x14ac:dyDescent="0.3">
      <c r="A323" t="s">
        <v>557</v>
      </c>
      <c r="B323" s="452">
        <v>46054</v>
      </c>
      <c r="C323" t="s">
        <v>4127</v>
      </c>
      <c r="D323" t="s">
        <v>4105</v>
      </c>
      <c r="E323" t="s">
        <v>4125</v>
      </c>
      <c r="F323">
        <v>3</v>
      </c>
      <c r="G323">
        <v>7.2</v>
      </c>
      <c r="H323" t="s">
        <v>4126</v>
      </c>
      <c r="J323" t="s">
        <v>586</v>
      </c>
    </row>
    <row r="324" spans="1:10" x14ac:dyDescent="0.3">
      <c r="A324" t="s">
        <v>557</v>
      </c>
      <c r="B324" s="452">
        <v>46054</v>
      </c>
      <c r="C324" t="s">
        <v>4128</v>
      </c>
      <c r="D324" t="s">
        <v>4105</v>
      </c>
      <c r="E324" t="s">
        <v>4129</v>
      </c>
      <c r="F324">
        <v>16</v>
      </c>
      <c r="G324">
        <v>36</v>
      </c>
      <c r="H324" t="s">
        <v>4126</v>
      </c>
      <c r="J324" t="s">
        <v>586</v>
      </c>
    </row>
    <row r="325" spans="1:10" x14ac:dyDescent="0.3">
      <c r="A325" t="s">
        <v>557</v>
      </c>
      <c r="B325" s="452">
        <v>46054</v>
      </c>
      <c r="C325" t="s">
        <v>4160</v>
      </c>
      <c r="D325" t="s">
        <v>4105</v>
      </c>
      <c r="E325" t="s">
        <v>4144</v>
      </c>
      <c r="F325">
        <v>2</v>
      </c>
      <c r="G325">
        <v>22.8</v>
      </c>
      <c r="H325" t="s">
        <v>4126</v>
      </c>
      <c r="J325" t="s">
        <v>586</v>
      </c>
    </row>
    <row r="326" spans="1:10" x14ac:dyDescent="0.3">
      <c r="A326" t="s">
        <v>557</v>
      </c>
      <c r="B326" s="452">
        <v>46054</v>
      </c>
      <c r="C326" t="s">
        <v>4202</v>
      </c>
      <c r="D326" t="s">
        <v>4105</v>
      </c>
      <c r="E326" t="s">
        <v>4169</v>
      </c>
      <c r="F326">
        <v>26</v>
      </c>
      <c r="G326">
        <v>62.4</v>
      </c>
      <c r="H326" t="s">
        <v>4126</v>
      </c>
      <c r="J326" t="s">
        <v>586</v>
      </c>
    </row>
    <row r="327" spans="1:10" x14ac:dyDescent="0.3">
      <c r="A327" t="s">
        <v>557</v>
      </c>
      <c r="B327" s="452">
        <v>46054</v>
      </c>
      <c r="C327" t="s">
        <v>4249</v>
      </c>
      <c r="D327" t="s">
        <v>4105</v>
      </c>
      <c r="E327" t="s">
        <v>4139</v>
      </c>
      <c r="F327">
        <v>3</v>
      </c>
      <c r="G327">
        <v>10.8</v>
      </c>
      <c r="H327" t="s">
        <v>4133</v>
      </c>
      <c r="J327" t="s">
        <v>586</v>
      </c>
    </row>
    <row r="328" spans="1:10" x14ac:dyDescent="0.3">
      <c r="A328" t="s">
        <v>557</v>
      </c>
      <c r="B328" s="452">
        <v>46054</v>
      </c>
      <c r="C328" t="s">
        <v>4245</v>
      </c>
      <c r="D328" t="s">
        <v>4105</v>
      </c>
      <c r="E328" t="s">
        <v>4132</v>
      </c>
      <c r="F328">
        <v>2</v>
      </c>
      <c r="G328">
        <v>23.4</v>
      </c>
      <c r="H328" t="s">
        <v>4126</v>
      </c>
      <c r="J328" t="s">
        <v>586</v>
      </c>
    </row>
    <row r="329" spans="1:10" x14ac:dyDescent="0.3">
      <c r="A329" t="s">
        <v>557</v>
      </c>
      <c r="B329" s="452">
        <v>46054</v>
      </c>
      <c r="C329" t="s">
        <v>4130</v>
      </c>
      <c r="D329" t="s">
        <v>4105</v>
      </c>
      <c r="E329" t="s">
        <v>4125</v>
      </c>
      <c r="F329">
        <v>4</v>
      </c>
      <c r="G329">
        <v>9.6</v>
      </c>
      <c r="H329" t="s">
        <v>4126</v>
      </c>
      <c r="J329" t="s">
        <v>586</v>
      </c>
    </row>
    <row r="330" spans="1:10" x14ac:dyDescent="0.3">
      <c r="A330" t="s">
        <v>557</v>
      </c>
      <c r="B330" s="452">
        <v>46054</v>
      </c>
      <c r="C330" t="s">
        <v>4275</v>
      </c>
      <c r="D330" t="s">
        <v>4105</v>
      </c>
      <c r="E330" t="s">
        <v>4139</v>
      </c>
      <c r="F330">
        <v>2</v>
      </c>
      <c r="G330">
        <v>8.4</v>
      </c>
      <c r="H330" t="s">
        <v>4133</v>
      </c>
      <c r="J330" t="s">
        <v>586</v>
      </c>
    </row>
    <row r="331" spans="1:10" x14ac:dyDescent="0.3">
      <c r="A331" t="s">
        <v>557</v>
      </c>
      <c r="B331" s="452">
        <v>46054</v>
      </c>
      <c r="C331" t="s">
        <v>4159</v>
      </c>
      <c r="D331" t="s">
        <v>4105</v>
      </c>
      <c r="E331" t="s">
        <v>4135</v>
      </c>
      <c r="F331">
        <v>4</v>
      </c>
      <c r="G331">
        <v>34.799999999999997</v>
      </c>
      <c r="H331" t="s">
        <v>4133</v>
      </c>
      <c r="J331" t="s">
        <v>586</v>
      </c>
    </row>
    <row r="332" spans="1:10" x14ac:dyDescent="0.3">
      <c r="A332" t="s">
        <v>557</v>
      </c>
      <c r="B332" s="452">
        <v>46054</v>
      </c>
      <c r="C332" t="s">
        <v>4200</v>
      </c>
      <c r="D332" t="s">
        <v>4105</v>
      </c>
      <c r="E332" t="s">
        <v>4135</v>
      </c>
      <c r="F332">
        <v>4</v>
      </c>
      <c r="G332">
        <v>30</v>
      </c>
      <c r="H332" t="s">
        <v>4133</v>
      </c>
      <c r="J332" t="s">
        <v>586</v>
      </c>
    </row>
    <row r="333" spans="1:10" x14ac:dyDescent="0.3">
      <c r="A333" t="s">
        <v>557</v>
      </c>
      <c r="B333" s="452">
        <v>46054</v>
      </c>
      <c r="C333" t="s">
        <v>4199</v>
      </c>
      <c r="D333" t="s">
        <v>4105</v>
      </c>
      <c r="E333" t="s">
        <v>4137</v>
      </c>
      <c r="F333">
        <v>1</v>
      </c>
      <c r="G333">
        <v>17.7</v>
      </c>
      <c r="H333" t="s">
        <v>4133</v>
      </c>
      <c r="J333" t="s">
        <v>586</v>
      </c>
    </row>
    <row r="334" spans="1:10" x14ac:dyDescent="0.3">
      <c r="A334" t="s">
        <v>557</v>
      </c>
      <c r="B334" s="452">
        <v>46054</v>
      </c>
      <c r="C334" t="s">
        <v>4226</v>
      </c>
      <c r="D334" t="s">
        <v>4105</v>
      </c>
      <c r="E334" t="s">
        <v>4227</v>
      </c>
      <c r="F334">
        <v>27</v>
      </c>
      <c r="G334">
        <v>145.80000000000001</v>
      </c>
      <c r="H334" t="s">
        <v>4126</v>
      </c>
      <c r="J334" t="s">
        <v>586</v>
      </c>
    </row>
    <row r="335" spans="1:10" x14ac:dyDescent="0.3">
      <c r="A335" t="s">
        <v>557</v>
      </c>
      <c r="B335" s="452">
        <v>46054</v>
      </c>
      <c r="C335" t="s">
        <v>4240</v>
      </c>
      <c r="D335" t="s">
        <v>4105</v>
      </c>
      <c r="E335" t="s">
        <v>4241</v>
      </c>
      <c r="F335">
        <v>5</v>
      </c>
      <c r="G335">
        <v>25.35</v>
      </c>
      <c r="H335" t="s">
        <v>4126</v>
      </c>
      <c r="J335" t="s">
        <v>586</v>
      </c>
    </row>
    <row r="336" spans="1:10" x14ac:dyDescent="0.3">
      <c r="A336" t="s">
        <v>557</v>
      </c>
      <c r="B336" s="452">
        <v>46054</v>
      </c>
      <c r="C336" t="s">
        <v>4242</v>
      </c>
      <c r="D336" t="s">
        <v>4105</v>
      </c>
      <c r="E336" t="s">
        <v>4243</v>
      </c>
      <c r="F336">
        <v>1</v>
      </c>
      <c r="G336">
        <v>6.3</v>
      </c>
      <c r="H336" t="s">
        <v>4126</v>
      </c>
      <c r="J336" t="s">
        <v>586</v>
      </c>
    </row>
    <row r="337" spans="1:10" x14ac:dyDescent="0.3">
      <c r="A337" t="s">
        <v>557</v>
      </c>
      <c r="B337" s="452">
        <v>46054</v>
      </c>
      <c r="C337" t="s">
        <v>4261</v>
      </c>
      <c r="D337" t="s">
        <v>4105</v>
      </c>
      <c r="E337" t="s">
        <v>4135</v>
      </c>
      <c r="F337">
        <v>1</v>
      </c>
      <c r="G337">
        <v>4.95</v>
      </c>
      <c r="H337" t="s">
        <v>4133</v>
      </c>
      <c r="J337" t="s">
        <v>586</v>
      </c>
    </row>
    <row r="338" spans="1:10" x14ac:dyDescent="0.3">
      <c r="A338" t="s">
        <v>557</v>
      </c>
      <c r="B338" s="452">
        <v>46054</v>
      </c>
      <c r="C338" t="s">
        <v>4151</v>
      </c>
      <c r="D338" t="s">
        <v>4105</v>
      </c>
      <c r="E338" t="s">
        <v>4144</v>
      </c>
      <c r="F338">
        <v>10</v>
      </c>
      <c r="G338">
        <v>108.6</v>
      </c>
      <c r="H338" t="s">
        <v>4126</v>
      </c>
      <c r="J338" t="s">
        <v>586</v>
      </c>
    </row>
    <row r="339" spans="1:10" x14ac:dyDescent="0.3">
      <c r="A339" t="s">
        <v>557</v>
      </c>
      <c r="B339" s="452">
        <v>46054</v>
      </c>
      <c r="C339" t="s">
        <v>4191</v>
      </c>
      <c r="D339" t="s">
        <v>4105</v>
      </c>
      <c r="E339" t="s">
        <v>4135</v>
      </c>
      <c r="F339">
        <v>5</v>
      </c>
      <c r="G339">
        <v>28.5</v>
      </c>
      <c r="H339" t="s">
        <v>4133</v>
      </c>
      <c r="J339" t="s">
        <v>586</v>
      </c>
    </row>
    <row r="340" spans="1:10" x14ac:dyDescent="0.3">
      <c r="A340" t="s">
        <v>557</v>
      </c>
      <c r="B340" s="452">
        <v>46054</v>
      </c>
      <c r="C340" t="s">
        <v>4152</v>
      </c>
      <c r="D340" t="s">
        <v>4105</v>
      </c>
      <c r="E340" t="s">
        <v>4129</v>
      </c>
      <c r="F340">
        <v>3</v>
      </c>
      <c r="G340">
        <v>12.6</v>
      </c>
      <c r="H340" t="s">
        <v>4126</v>
      </c>
      <c r="J340" t="s">
        <v>586</v>
      </c>
    </row>
    <row r="341" spans="1:10" x14ac:dyDescent="0.3">
      <c r="A341" t="s">
        <v>557</v>
      </c>
      <c r="B341" s="452">
        <v>46054</v>
      </c>
      <c r="C341" t="s">
        <v>4192</v>
      </c>
      <c r="D341" t="s">
        <v>4105</v>
      </c>
      <c r="E341" t="s">
        <v>4193</v>
      </c>
      <c r="F341">
        <v>6</v>
      </c>
      <c r="G341">
        <v>100.8</v>
      </c>
      <c r="H341" t="s">
        <v>4133</v>
      </c>
      <c r="J341" t="s">
        <v>586</v>
      </c>
    </row>
    <row r="342" spans="1:10" x14ac:dyDescent="0.3">
      <c r="A342" t="s">
        <v>557</v>
      </c>
      <c r="B342" s="452">
        <v>46054</v>
      </c>
      <c r="C342" t="s">
        <v>4173</v>
      </c>
      <c r="D342" t="s">
        <v>4105</v>
      </c>
      <c r="E342" t="s">
        <v>4174</v>
      </c>
      <c r="F342">
        <v>1</v>
      </c>
      <c r="G342">
        <v>12.6</v>
      </c>
      <c r="H342" t="s">
        <v>4126</v>
      </c>
      <c r="J342" t="s">
        <v>586</v>
      </c>
    </row>
    <row r="343" spans="1:10" x14ac:dyDescent="0.3">
      <c r="A343" t="s">
        <v>557</v>
      </c>
      <c r="B343" s="452">
        <v>46054</v>
      </c>
      <c r="C343" t="s">
        <v>4153</v>
      </c>
      <c r="D343" t="s">
        <v>4105</v>
      </c>
      <c r="E343" t="s">
        <v>4149</v>
      </c>
      <c r="F343">
        <v>2</v>
      </c>
      <c r="G343">
        <v>194.4</v>
      </c>
      <c r="H343" t="s">
        <v>4133</v>
      </c>
      <c r="J343" t="s">
        <v>586</v>
      </c>
    </row>
    <row r="344" spans="1:10" x14ac:dyDescent="0.3">
      <c r="A344" t="s">
        <v>557</v>
      </c>
      <c r="B344" s="452">
        <v>46054</v>
      </c>
      <c r="C344" t="s">
        <v>4224</v>
      </c>
      <c r="D344" t="s">
        <v>4105</v>
      </c>
      <c r="E344" t="s">
        <v>4149</v>
      </c>
      <c r="F344">
        <v>1</v>
      </c>
      <c r="G344">
        <v>50.4</v>
      </c>
      <c r="H344" t="s">
        <v>4133</v>
      </c>
      <c r="J344" t="s">
        <v>586</v>
      </c>
    </row>
    <row r="345" spans="1:10" x14ac:dyDescent="0.3">
      <c r="A345" t="s">
        <v>557</v>
      </c>
      <c r="B345" s="452">
        <v>46054</v>
      </c>
      <c r="C345" t="s">
        <v>4175</v>
      </c>
      <c r="D345" t="s">
        <v>4105</v>
      </c>
      <c r="E345" t="s">
        <v>4149</v>
      </c>
      <c r="F345">
        <v>7</v>
      </c>
      <c r="G345">
        <v>179.4</v>
      </c>
      <c r="H345" t="s">
        <v>4133</v>
      </c>
      <c r="J345" t="s">
        <v>586</v>
      </c>
    </row>
    <row r="346" spans="1:10" x14ac:dyDescent="0.3">
      <c r="A346" t="s">
        <v>557</v>
      </c>
      <c r="B346" s="452">
        <v>46054</v>
      </c>
      <c r="C346" t="s">
        <v>4276</v>
      </c>
      <c r="D346" t="s">
        <v>4105</v>
      </c>
      <c r="E346" t="s">
        <v>4277</v>
      </c>
      <c r="F346">
        <v>4</v>
      </c>
      <c r="G346">
        <v>25.2</v>
      </c>
      <c r="H346" t="s">
        <v>4126</v>
      </c>
      <c r="J346" t="s">
        <v>586</v>
      </c>
    </row>
    <row r="347" spans="1:10" x14ac:dyDescent="0.3">
      <c r="A347" t="s">
        <v>557</v>
      </c>
      <c r="B347" s="452">
        <v>46054</v>
      </c>
      <c r="C347" t="s">
        <v>4194</v>
      </c>
      <c r="D347" t="s">
        <v>4105</v>
      </c>
      <c r="E347" t="s">
        <v>4129</v>
      </c>
      <c r="F347">
        <v>9</v>
      </c>
      <c r="G347">
        <v>48.6</v>
      </c>
      <c r="H347" t="s">
        <v>4126</v>
      </c>
      <c r="J347" t="s">
        <v>586</v>
      </c>
    </row>
    <row r="348" spans="1:10" x14ac:dyDescent="0.3">
      <c r="A348" t="s">
        <v>557</v>
      </c>
      <c r="B348" s="452">
        <v>46054</v>
      </c>
      <c r="C348" t="s">
        <v>4278</v>
      </c>
      <c r="D348" t="s">
        <v>4105</v>
      </c>
      <c r="E348" t="s">
        <v>4144</v>
      </c>
      <c r="F348">
        <v>1</v>
      </c>
      <c r="G348">
        <v>13.2</v>
      </c>
      <c r="H348" t="s">
        <v>4126</v>
      </c>
      <c r="J348" t="s">
        <v>586</v>
      </c>
    </row>
    <row r="349" spans="1:10" x14ac:dyDescent="0.3">
      <c r="A349" t="s">
        <v>557</v>
      </c>
      <c r="B349" s="452">
        <v>46054</v>
      </c>
      <c r="C349" t="s">
        <v>4195</v>
      </c>
      <c r="D349" t="s">
        <v>4105</v>
      </c>
      <c r="E349" t="s">
        <v>4135</v>
      </c>
      <c r="F349">
        <v>1</v>
      </c>
      <c r="G349">
        <v>2.25</v>
      </c>
      <c r="H349" t="s">
        <v>4133</v>
      </c>
      <c r="J349" t="s">
        <v>586</v>
      </c>
    </row>
    <row r="350" spans="1:10" x14ac:dyDescent="0.3">
      <c r="A350" t="s">
        <v>557</v>
      </c>
      <c r="B350" s="452">
        <v>46054</v>
      </c>
      <c r="C350" t="s">
        <v>4259</v>
      </c>
      <c r="D350" t="s">
        <v>4105</v>
      </c>
      <c r="E350" t="s">
        <v>4137</v>
      </c>
      <c r="F350">
        <v>4</v>
      </c>
      <c r="G350">
        <v>78</v>
      </c>
      <c r="H350" t="s">
        <v>4133</v>
      </c>
      <c r="J350" t="s">
        <v>586</v>
      </c>
    </row>
    <row r="351" spans="1:10" x14ac:dyDescent="0.3">
      <c r="A351" t="s">
        <v>557</v>
      </c>
      <c r="B351" s="452">
        <v>46054</v>
      </c>
      <c r="C351" t="s">
        <v>4220</v>
      </c>
      <c r="D351" t="s">
        <v>4105</v>
      </c>
      <c r="E351" t="s">
        <v>4221</v>
      </c>
      <c r="F351">
        <v>2</v>
      </c>
      <c r="G351">
        <v>12.6</v>
      </c>
      <c r="H351" t="s">
        <v>4126</v>
      </c>
      <c r="J351" t="s">
        <v>586</v>
      </c>
    </row>
    <row r="352" spans="1:10" x14ac:dyDescent="0.3">
      <c r="A352" t="s">
        <v>557</v>
      </c>
      <c r="B352" s="452">
        <v>46054</v>
      </c>
      <c r="C352" t="s">
        <v>4228</v>
      </c>
      <c r="D352" t="s">
        <v>4105</v>
      </c>
      <c r="E352" t="s">
        <v>4144</v>
      </c>
      <c r="F352">
        <v>1</v>
      </c>
      <c r="G352">
        <v>9.9</v>
      </c>
      <c r="H352" t="s">
        <v>4126</v>
      </c>
      <c r="J352" t="s">
        <v>586</v>
      </c>
    </row>
    <row r="353" spans="1:10" x14ac:dyDescent="0.3">
      <c r="A353" t="s">
        <v>557</v>
      </c>
      <c r="B353" s="452">
        <v>46054</v>
      </c>
      <c r="C353" t="s">
        <v>4279</v>
      </c>
      <c r="D353" t="s">
        <v>4105</v>
      </c>
      <c r="E353" t="s">
        <v>4280</v>
      </c>
      <c r="F353">
        <v>3</v>
      </c>
      <c r="G353">
        <v>20.7</v>
      </c>
      <c r="J353" t="s">
        <v>586</v>
      </c>
    </row>
    <row r="354" spans="1:10" x14ac:dyDescent="0.3">
      <c r="A354" t="s">
        <v>557</v>
      </c>
      <c r="B354" s="452">
        <v>46054</v>
      </c>
      <c r="C354" t="s">
        <v>4196</v>
      </c>
      <c r="D354" t="s">
        <v>4105</v>
      </c>
      <c r="E354" t="s">
        <v>4184</v>
      </c>
      <c r="F354">
        <v>18</v>
      </c>
      <c r="G354">
        <v>388.26</v>
      </c>
      <c r="H354" t="s">
        <v>4133</v>
      </c>
      <c r="J354" t="s">
        <v>586</v>
      </c>
    </row>
    <row r="355" spans="1:10" x14ac:dyDescent="0.3">
      <c r="A355" t="s">
        <v>557</v>
      </c>
      <c r="B355" s="452">
        <v>46054</v>
      </c>
      <c r="C355" t="s">
        <v>4154</v>
      </c>
      <c r="D355" t="s">
        <v>4105</v>
      </c>
      <c r="E355" t="s">
        <v>4137</v>
      </c>
      <c r="F355">
        <v>1</v>
      </c>
      <c r="G355">
        <v>8.1</v>
      </c>
      <c r="H355" t="s">
        <v>4133</v>
      </c>
      <c r="J355" t="s">
        <v>586</v>
      </c>
    </row>
    <row r="356" spans="1:10" x14ac:dyDescent="0.3">
      <c r="A356" t="s">
        <v>557</v>
      </c>
      <c r="B356" s="452">
        <v>46054</v>
      </c>
      <c r="C356" t="s">
        <v>4186</v>
      </c>
      <c r="D356" t="s">
        <v>4105</v>
      </c>
      <c r="E356" t="s">
        <v>4137</v>
      </c>
      <c r="F356">
        <v>7</v>
      </c>
      <c r="G356">
        <v>88.2</v>
      </c>
      <c r="H356" t="s">
        <v>4133</v>
      </c>
      <c r="J356" t="s">
        <v>586</v>
      </c>
    </row>
    <row r="357" spans="1:10" x14ac:dyDescent="0.3">
      <c r="A357" t="s">
        <v>557</v>
      </c>
      <c r="B357" s="452">
        <v>46054</v>
      </c>
      <c r="C357" t="s">
        <v>4230</v>
      </c>
      <c r="D357" t="s">
        <v>4105</v>
      </c>
      <c r="E357" t="s">
        <v>4137</v>
      </c>
      <c r="F357">
        <v>4</v>
      </c>
      <c r="G357">
        <v>76.8</v>
      </c>
      <c r="H357" t="s">
        <v>4133</v>
      </c>
      <c r="J357" t="s">
        <v>586</v>
      </c>
    </row>
    <row r="358" spans="1:10" x14ac:dyDescent="0.3">
      <c r="A358" t="s">
        <v>557</v>
      </c>
      <c r="B358" s="452">
        <v>46054</v>
      </c>
      <c r="C358" t="s">
        <v>4183</v>
      </c>
      <c r="D358" t="s">
        <v>4105</v>
      </c>
      <c r="E358" t="s">
        <v>4184</v>
      </c>
      <c r="F358">
        <v>2</v>
      </c>
      <c r="G358">
        <v>38.94</v>
      </c>
      <c r="H358" t="s">
        <v>4133</v>
      </c>
      <c r="J358" t="s">
        <v>586</v>
      </c>
    </row>
    <row r="359" spans="1:10" x14ac:dyDescent="0.3">
      <c r="A359" t="s">
        <v>557</v>
      </c>
      <c r="B359" s="452">
        <v>46054</v>
      </c>
      <c r="C359" t="s">
        <v>4215</v>
      </c>
      <c r="D359" t="s">
        <v>4105</v>
      </c>
      <c r="E359" t="s">
        <v>4137</v>
      </c>
      <c r="F359">
        <v>1</v>
      </c>
      <c r="G359">
        <v>19.5</v>
      </c>
      <c r="H359" t="s">
        <v>4133</v>
      </c>
      <c r="J359" t="s">
        <v>586</v>
      </c>
    </row>
    <row r="360" spans="1:10" x14ac:dyDescent="0.3">
      <c r="A360" t="s">
        <v>557</v>
      </c>
      <c r="B360" s="452">
        <v>46054</v>
      </c>
      <c r="C360" t="s">
        <v>4214</v>
      </c>
      <c r="D360" t="s">
        <v>4105</v>
      </c>
      <c r="E360" t="s">
        <v>4137</v>
      </c>
      <c r="F360">
        <v>3</v>
      </c>
      <c r="G360">
        <v>62.1</v>
      </c>
      <c r="H360" t="s">
        <v>4133</v>
      </c>
      <c r="J360" t="s">
        <v>586</v>
      </c>
    </row>
    <row r="361" spans="1:10" x14ac:dyDescent="0.3">
      <c r="A361" t="s">
        <v>557</v>
      </c>
      <c r="B361" s="452">
        <v>46054</v>
      </c>
      <c r="C361" t="s">
        <v>4213</v>
      </c>
      <c r="D361" t="s">
        <v>4105</v>
      </c>
      <c r="E361" t="s">
        <v>4137</v>
      </c>
      <c r="F361">
        <v>2</v>
      </c>
      <c r="G361">
        <v>25.2</v>
      </c>
      <c r="H361" t="s">
        <v>4133</v>
      </c>
      <c r="J361" t="s">
        <v>586</v>
      </c>
    </row>
    <row r="362" spans="1:10" x14ac:dyDescent="0.3">
      <c r="A362" t="s">
        <v>557</v>
      </c>
      <c r="B362" s="452">
        <v>46054</v>
      </c>
      <c r="C362" t="s">
        <v>4182</v>
      </c>
      <c r="D362" t="s">
        <v>4105</v>
      </c>
      <c r="E362" t="s">
        <v>4135</v>
      </c>
      <c r="F362">
        <v>4</v>
      </c>
      <c r="G362">
        <v>33.6</v>
      </c>
      <c r="H362" t="s">
        <v>4133</v>
      </c>
      <c r="J362" t="s">
        <v>586</v>
      </c>
    </row>
    <row r="363" spans="1:10" x14ac:dyDescent="0.3">
      <c r="A363" t="s">
        <v>557</v>
      </c>
      <c r="B363" s="452">
        <v>46054</v>
      </c>
      <c r="C363" t="s">
        <v>4281</v>
      </c>
      <c r="D363" t="s">
        <v>4105</v>
      </c>
      <c r="E363" t="s">
        <v>4282</v>
      </c>
      <c r="F363">
        <v>2</v>
      </c>
      <c r="G363">
        <v>10.8</v>
      </c>
      <c r="H363" t="s">
        <v>4126</v>
      </c>
      <c r="J363" t="s">
        <v>586</v>
      </c>
    </row>
    <row r="364" spans="1:10" x14ac:dyDescent="0.3">
      <c r="A364" t="s">
        <v>557</v>
      </c>
      <c r="B364" s="452">
        <v>46054</v>
      </c>
      <c r="C364" t="s">
        <v>4283</v>
      </c>
      <c r="D364" t="s">
        <v>4105</v>
      </c>
      <c r="E364" t="s">
        <v>4227</v>
      </c>
      <c r="F364">
        <v>1</v>
      </c>
      <c r="G364">
        <v>5.7</v>
      </c>
      <c r="H364" t="s">
        <v>4126</v>
      </c>
      <c r="J364" t="s">
        <v>586</v>
      </c>
    </row>
    <row r="365" spans="1:10" x14ac:dyDescent="0.3">
      <c r="A365" t="s">
        <v>557</v>
      </c>
      <c r="B365" s="452">
        <v>46054</v>
      </c>
      <c r="C365" t="s">
        <v>4263</v>
      </c>
      <c r="D365" t="s">
        <v>4105</v>
      </c>
      <c r="E365" t="s">
        <v>4258</v>
      </c>
      <c r="F365">
        <v>1</v>
      </c>
      <c r="G365">
        <v>0</v>
      </c>
      <c r="H365" t="s">
        <v>4126</v>
      </c>
      <c r="J365" t="s">
        <v>586</v>
      </c>
    </row>
    <row r="366" spans="1:10" x14ac:dyDescent="0.3">
      <c r="A366" t="s">
        <v>557</v>
      </c>
      <c r="B366" s="452">
        <v>46054</v>
      </c>
      <c r="C366" t="s">
        <v>4181</v>
      </c>
      <c r="D366" t="s">
        <v>4105</v>
      </c>
      <c r="E366" t="s">
        <v>4149</v>
      </c>
      <c r="F366">
        <v>1</v>
      </c>
      <c r="G366">
        <v>48</v>
      </c>
      <c r="J366" t="s">
        <v>586</v>
      </c>
    </row>
    <row r="367" spans="1:10" x14ac:dyDescent="0.3">
      <c r="A367" t="s">
        <v>557</v>
      </c>
      <c r="B367" s="452">
        <v>46054</v>
      </c>
      <c r="C367" t="s">
        <v>4170</v>
      </c>
      <c r="D367" t="s">
        <v>4105</v>
      </c>
      <c r="E367" t="s">
        <v>4139</v>
      </c>
      <c r="F367">
        <v>12</v>
      </c>
      <c r="G367">
        <v>104.4</v>
      </c>
      <c r="H367" t="s">
        <v>4133</v>
      </c>
      <c r="J367" t="s">
        <v>586</v>
      </c>
    </row>
    <row r="368" spans="1:10" x14ac:dyDescent="0.3">
      <c r="A368" t="s">
        <v>557</v>
      </c>
      <c r="B368" s="452">
        <v>46054</v>
      </c>
      <c r="C368" t="s">
        <v>4284</v>
      </c>
      <c r="D368" t="s">
        <v>4105</v>
      </c>
      <c r="E368" t="s">
        <v>4169</v>
      </c>
      <c r="F368">
        <v>3</v>
      </c>
      <c r="G368">
        <v>30.6</v>
      </c>
      <c r="J368" t="s">
        <v>586</v>
      </c>
    </row>
    <row r="369" spans="1:10" x14ac:dyDescent="0.3">
      <c r="A369" t="s">
        <v>557</v>
      </c>
      <c r="B369" s="452">
        <v>46054</v>
      </c>
      <c r="C369" t="s">
        <v>4236</v>
      </c>
      <c r="D369" t="s">
        <v>4105</v>
      </c>
      <c r="E369" t="s">
        <v>4237</v>
      </c>
      <c r="F369">
        <v>41</v>
      </c>
      <c r="G369">
        <v>0</v>
      </c>
      <c r="H369" t="s">
        <v>4126</v>
      </c>
      <c r="J369" t="s">
        <v>586</v>
      </c>
    </row>
    <row r="370" spans="1:10" x14ac:dyDescent="0.3">
      <c r="A370" t="s">
        <v>557</v>
      </c>
      <c r="B370" s="452">
        <v>46054</v>
      </c>
      <c r="C370" t="s">
        <v>4148</v>
      </c>
      <c r="D370" t="s">
        <v>4105</v>
      </c>
      <c r="E370" t="s">
        <v>4149</v>
      </c>
      <c r="F370">
        <v>1</v>
      </c>
      <c r="G370">
        <v>26.4</v>
      </c>
      <c r="H370" t="s">
        <v>4133</v>
      </c>
      <c r="J370" t="s">
        <v>586</v>
      </c>
    </row>
    <row r="371" spans="1:10" x14ac:dyDescent="0.3">
      <c r="A371" t="s">
        <v>557</v>
      </c>
      <c r="B371" s="452">
        <v>46054</v>
      </c>
      <c r="C371" t="s">
        <v>4285</v>
      </c>
      <c r="D371" t="s">
        <v>4105</v>
      </c>
      <c r="E371" t="s">
        <v>4277</v>
      </c>
      <c r="F371">
        <v>3</v>
      </c>
      <c r="G371">
        <v>30.6</v>
      </c>
      <c r="H371" t="s">
        <v>4126</v>
      </c>
      <c r="J371" t="s">
        <v>586</v>
      </c>
    </row>
    <row r="372" spans="1:10" x14ac:dyDescent="0.3">
      <c r="A372" t="s">
        <v>557</v>
      </c>
      <c r="B372" s="452">
        <v>46054</v>
      </c>
      <c r="C372" t="s">
        <v>4238</v>
      </c>
      <c r="D372" t="s">
        <v>4105</v>
      </c>
      <c r="E372" t="s">
        <v>4149</v>
      </c>
      <c r="F372">
        <v>1</v>
      </c>
      <c r="G372">
        <v>59.1</v>
      </c>
      <c r="J372" t="s">
        <v>586</v>
      </c>
    </row>
    <row r="373" spans="1:10" x14ac:dyDescent="0.3">
      <c r="A373" t="s">
        <v>557</v>
      </c>
      <c r="B373" s="452">
        <v>46054</v>
      </c>
      <c r="C373" t="s">
        <v>4150</v>
      </c>
      <c r="D373" t="s">
        <v>4105</v>
      </c>
      <c r="E373" t="s">
        <v>4135</v>
      </c>
      <c r="F373">
        <v>6</v>
      </c>
      <c r="G373">
        <v>50.4</v>
      </c>
      <c r="H373" t="s">
        <v>4133</v>
      </c>
      <c r="J373" t="s">
        <v>586</v>
      </c>
    </row>
    <row r="374" spans="1:10" x14ac:dyDescent="0.3">
      <c r="A374" t="s">
        <v>557</v>
      </c>
      <c r="B374" s="452">
        <v>46054</v>
      </c>
      <c r="C374" t="s">
        <v>4171</v>
      </c>
      <c r="D374" t="s">
        <v>4105</v>
      </c>
      <c r="E374" t="s">
        <v>4149</v>
      </c>
      <c r="F374">
        <v>2</v>
      </c>
      <c r="G374">
        <v>124.2</v>
      </c>
      <c r="J374" t="s">
        <v>586</v>
      </c>
    </row>
    <row r="375" spans="1:10" x14ac:dyDescent="0.3">
      <c r="A375" t="s">
        <v>557</v>
      </c>
      <c r="B375" s="452">
        <v>46054</v>
      </c>
      <c r="C375" t="s">
        <v>4185</v>
      </c>
      <c r="D375" t="s">
        <v>4105</v>
      </c>
      <c r="E375" t="s">
        <v>4144</v>
      </c>
      <c r="F375">
        <v>4</v>
      </c>
      <c r="G375">
        <v>42</v>
      </c>
      <c r="H375" t="s">
        <v>4126</v>
      </c>
      <c r="J375" t="s">
        <v>586</v>
      </c>
    </row>
    <row r="376" spans="1:10" x14ac:dyDescent="0.3">
      <c r="A376" t="s">
        <v>557</v>
      </c>
      <c r="B376" s="452">
        <v>46054</v>
      </c>
      <c r="C376" t="s">
        <v>4234</v>
      </c>
      <c r="D376" t="s">
        <v>4105</v>
      </c>
      <c r="E376" t="s">
        <v>4232</v>
      </c>
      <c r="F376">
        <v>2</v>
      </c>
      <c r="G376">
        <v>67.2</v>
      </c>
      <c r="H376" t="s">
        <v>4126</v>
      </c>
      <c r="J376" t="s">
        <v>586</v>
      </c>
    </row>
    <row r="377" spans="1:10" x14ac:dyDescent="0.3">
      <c r="A377" t="s">
        <v>557</v>
      </c>
      <c r="B377" s="452">
        <v>46054</v>
      </c>
      <c r="C377" t="s">
        <v>4187</v>
      </c>
      <c r="D377" t="s">
        <v>4105</v>
      </c>
      <c r="E377" t="s">
        <v>4135</v>
      </c>
      <c r="F377">
        <v>1</v>
      </c>
      <c r="G377">
        <v>3.45</v>
      </c>
      <c r="H377" t="s">
        <v>4133</v>
      </c>
      <c r="J377" t="s">
        <v>586</v>
      </c>
    </row>
    <row r="378" spans="1:10" x14ac:dyDescent="0.3">
      <c r="A378" t="s">
        <v>557</v>
      </c>
      <c r="B378" s="452">
        <v>46054</v>
      </c>
      <c r="C378" t="s">
        <v>4188</v>
      </c>
      <c r="D378" t="s">
        <v>4105</v>
      </c>
      <c r="E378" t="s">
        <v>4137</v>
      </c>
      <c r="F378">
        <v>1</v>
      </c>
      <c r="G378">
        <v>8.6999999999999993</v>
      </c>
      <c r="H378" t="s">
        <v>4133</v>
      </c>
      <c r="J378" t="s">
        <v>586</v>
      </c>
    </row>
    <row r="379" spans="1:10" x14ac:dyDescent="0.3">
      <c r="A379" t="s">
        <v>557</v>
      </c>
      <c r="B379" s="452">
        <v>46054</v>
      </c>
      <c r="C379" t="s">
        <v>4286</v>
      </c>
      <c r="D379" t="s">
        <v>4105</v>
      </c>
      <c r="E379" t="s">
        <v>4277</v>
      </c>
      <c r="F379">
        <v>1</v>
      </c>
      <c r="G379">
        <v>4.2</v>
      </c>
      <c r="H379" t="s">
        <v>4126</v>
      </c>
      <c r="J379" t="s">
        <v>586</v>
      </c>
    </row>
    <row r="380" spans="1:10" x14ac:dyDescent="0.3">
      <c r="A380" t="s">
        <v>557</v>
      </c>
      <c r="B380" s="452">
        <v>46054</v>
      </c>
      <c r="C380" t="s">
        <v>4189</v>
      </c>
      <c r="D380" t="s">
        <v>4105</v>
      </c>
      <c r="E380" t="s">
        <v>4190</v>
      </c>
      <c r="F380">
        <v>3</v>
      </c>
      <c r="G380">
        <v>40.5</v>
      </c>
      <c r="H380" t="s">
        <v>4133</v>
      </c>
      <c r="J380" t="s">
        <v>586</v>
      </c>
    </row>
    <row r="381" spans="1:10" x14ac:dyDescent="0.3">
      <c r="A381" t="s">
        <v>557</v>
      </c>
      <c r="B381" s="452">
        <v>46082</v>
      </c>
      <c r="C381" t="s">
        <v>4141</v>
      </c>
      <c r="D381" t="s">
        <v>4094</v>
      </c>
      <c r="E381" t="s">
        <v>4142</v>
      </c>
      <c r="F381">
        <v>310</v>
      </c>
      <c r="G381">
        <v>4309</v>
      </c>
      <c r="H381" t="s">
        <v>4126</v>
      </c>
      <c r="I381" t="s">
        <v>33</v>
      </c>
      <c r="J381" t="s">
        <v>588</v>
      </c>
    </row>
    <row r="382" spans="1:10" x14ac:dyDescent="0.3">
      <c r="A382" t="s">
        <v>557</v>
      </c>
      <c r="B382" s="452">
        <v>46082</v>
      </c>
      <c r="C382" t="s">
        <v>4287</v>
      </c>
      <c r="D382" t="s">
        <v>4094</v>
      </c>
      <c r="E382" t="s">
        <v>4288</v>
      </c>
      <c r="F382">
        <v>67</v>
      </c>
      <c r="G382">
        <v>0</v>
      </c>
      <c r="H382" t="s">
        <v>4133</v>
      </c>
      <c r="I382" t="s">
        <v>33</v>
      </c>
      <c r="J382" t="s">
        <v>588</v>
      </c>
    </row>
    <row r="383" spans="1:10" x14ac:dyDescent="0.3">
      <c r="A383" t="s">
        <v>557</v>
      </c>
      <c r="B383" s="452">
        <v>46082</v>
      </c>
      <c r="C383" t="s">
        <v>4289</v>
      </c>
      <c r="D383" t="s">
        <v>4094</v>
      </c>
      <c r="E383" t="s">
        <v>4288</v>
      </c>
      <c r="F383">
        <v>76</v>
      </c>
      <c r="G383">
        <v>0</v>
      </c>
      <c r="H383" t="s">
        <v>4133</v>
      </c>
      <c r="I383" t="s">
        <v>33</v>
      </c>
      <c r="J383" t="s">
        <v>588</v>
      </c>
    </row>
    <row r="384" spans="1:10" x14ac:dyDescent="0.3">
      <c r="A384" t="s">
        <v>557</v>
      </c>
      <c r="B384" s="452">
        <v>46082</v>
      </c>
      <c r="C384" t="s">
        <v>4290</v>
      </c>
      <c r="D384" t="s">
        <v>4094</v>
      </c>
      <c r="E384" t="s">
        <v>4288</v>
      </c>
      <c r="F384">
        <v>102</v>
      </c>
      <c r="G384">
        <v>0</v>
      </c>
      <c r="H384" t="s">
        <v>4133</v>
      </c>
      <c r="I384" t="s">
        <v>33</v>
      </c>
      <c r="J384" t="s">
        <v>588</v>
      </c>
    </row>
    <row r="385" spans="1:10" x14ac:dyDescent="0.3">
      <c r="A385" t="s">
        <v>557</v>
      </c>
      <c r="B385" s="452">
        <v>46082</v>
      </c>
      <c r="C385" t="s">
        <v>4291</v>
      </c>
      <c r="D385" t="s">
        <v>4094</v>
      </c>
      <c r="E385" t="s">
        <v>4288</v>
      </c>
      <c r="F385">
        <v>124</v>
      </c>
      <c r="G385">
        <v>0</v>
      </c>
      <c r="H385" t="s">
        <v>4133</v>
      </c>
      <c r="I385" t="s">
        <v>33</v>
      </c>
      <c r="J385" t="s">
        <v>588</v>
      </c>
    </row>
    <row r="386" spans="1:10" x14ac:dyDescent="0.3">
      <c r="A386" t="s">
        <v>557</v>
      </c>
      <c r="B386" s="452">
        <v>46082</v>
      </c>
      <c r="C386" t="s">
        <v>4186</v>
      </c>
      <c r="D386" t="s">
        <v>4096</v>
      </c>
      <c r="E386" t="s">
        <v>4137</v>
      </c>
      <c r="F386">
        <v>24</v>
      </c>
      <c r="G386">
        <v>1008</v>
      </c>
      <c r="H386" t="s">
        <v>4133</v>
      </c>
      <c r="I386" t="s">
        <v>33</v>
      </c>
      <c r="J386" t="s">
        <v>588</v>
      </c>
    </row>
    <row r="387" spans="1:10" x14ac:dyDescent="0.3">
      <c r="A387" t="s">
        <v>557</v>
      </c>
      <c r="B387" s="452">
        <v>46082</v>
      </c>
      <c r="C387" t="s">
        <v>4164</v>
      </c>
      <c r="D387" t="s">
        <v>4096</v>
      </c>
      <c r="E387" t="s">
        <v>4137</v>
      </c>
      <c r="F387">
        <v>8</v>
      </c>
      <c r="G387">
        <v>312</v>
      </c>
      <c r="H387" t="s">
        <v>4133</v>
      </c>
      <c r="I387" t="s">
        <v>33</v>
      </c>
      <c r="J387" t="s">
        <v>588</v>
      </c>
    </row>
    <row r="388" spans="1:10" x14ac:dyDescent="0.3">
      <c r="A388" t="s">
        <v>557</v>
      </c>
      <c r="B388" s="452">
        <v>46082</v>
      </c>
      <c r="C388" t="s">
        <v>4136</v>
      </c>
      <c r="D388" t="s">
        <v>4096</v>
      </c>
      <c r="E388" t="s">
        <v>4137</v>
      </c>
      <c r="F388">
        <v>11</v>
      </c>
      <c r="G388">
        <v>429</v>
      </c>
      <c r="H388" t="s">
        <v>4133</v>
      </c>
      <c r="I388" t="s">
        <v>33</v>
      </c>
      <c r="J388" t="s">
        <v>588</v>
      </c>
    </row>
    <row r="389" spans="1:10" x14ac:dyDescent="0.3">
      <c r="A389" t="s">
        <v>557</v>
      </c>
      <c r="B389" s="452">
        <v>46082</v>
      </c>
      <c r="C389" t="s">
        <v>4158</v>
      </c>
      <c r="D389" t="s">
        <v>4096</v>
      </c>
      <c r="E389" t="s">
        <v>4137</v>
      </c>
      <c r="F389">
        <v>21</v>
      </c>
      <c r="G389">
        <v>945</v>
      </c>
      <c r="H389" t="s">
        <v>4133</v>
      </c>
      <c r="I389" t="s">
        <v>33</v>
      </c>
      <c r="J389" t="s">
        <v>588</v>
      </c>
    </row>
    <row r="390" spans="1:10" x14ac:dyDescent="0.3">
      <c r="A390" t="s">
        <v>557</v>
      </c>
      <c r="B390" s="452">
        <v>46082</v>
      </c>
      <c r="C390" t="s">
        <v>4128</v>
      </c>
      <c r="D390" t="s">
        <v>4096</v>
      </c>
      <c r="E390" t="s">
        <v>4129</v>
      </c>
      <c r="F390">
        <v>2</v>
      </c>
      <c r="G390">
        <v>15</v>
      </c>
      <c r="H390" t="s">
        <v>4126</v>
      </c>
      <c r="I390" t="s">
        <v>33</v>
      </c>
      <c r="J390" t="s">
        <v>588</v>
      </c>
    </row>
    <row r="391" spans="1:10" x14ac:dyDescent="0.3">
      <c r="A391" t="s">
        <v>557</v>
      </c>
      <c r="B391" s="452">
        <v>46082</v>
      </c>
      <c r="C391" t="s">
        <v>4138</v>
      </c>
      <c r="D391" t="s">
        <v>4096</v>
      </c>
      <c r="E391" t="s">
        <v>4139</v>
      </c>
      <c r="F391">
        <v>6</v>
      </c>
      <c r="G391">
        <v>156</v>
      </c>
      <c r="H391" t="s">
        <v>4133</v>
      </c>
      <c r="I391" t="s">
        <v>33</v>
      </c>
      <c r="J391" t="s">
        <v>588</v>
      </c>
    </row>
    <row r="392" spans="1:10" x14ac:dyDescent="0.3">
      <c r="A392" t="s">
        <v>557</v>
      </c>
      <c r="B392" s="452">
        <v>46082</v>
      </c>
      <c r="C392" t="s">
        <v>4147</v>
      </c>
      <c r="D392" t="s">
        <v>4099</v>
      </c>
      <c r="E392" t="s">
        <v>4125</v>
      </c>
      <c r="F392">
        <v>1</v>
      </c>
      <c r="G392">
        <v>8</v>
      </c>
      <c r="H392" t="s">
        <v>4126</v>
      </c>
      <c r="I392" t="s">
        <v>33</v>
      </c>
      <c r="J392" t="s">
        <v>588</v>
      </c>
    </row>
    <row r="393" spans="1:10" x14ac:dyDescent="0.3">
      <c r="A393" t="s">
        <v>557</v>
      </c>
      <c r="B393" s="452">
        <v>46082</v>
      </c>
      <c r="C393" t="s">
        <v>4124</v>
      </c>
      <c r="D393" t="s">
        <v>4099</v>
      </c>
      <c r="E393" t="s">
        <v>4125</v>
      </c>
      <c r="F393">
        <v>1</v>
      </c>
      <c r="G393">
        <v>8</v>
      </c>
      <c r="H393" t="s">
        <v>4126</v>
      </c>
      <c r="I393" t="s">
        <v>33</v>
      </c>
      <c r="J393" t="s">
        <v>588</v>
      </c>
    </row>
    <row r="394" spans="1:10" x14ac:dyDescent="0.3">
      <c r="A394" t="s">
        <v>557</v>
      </c>
      <c r="B394" s="452">
        <v>46082</v>
      </c>
      <c r="C394" t="s">
        <v>4146</v>
      </c>
      <c r="D394" t="s">
        <v>4099</v>
      </c>
      <c r="E394" t="s">
        <v>4129</v>
      </c>
      <c r="F394">
        <v>4</v>
      </c>
      <c r="G394">
        <v>56</v>
      </c>
      <c r="H394" t="s">
        <v>4126</v>
      </c>
      <c r="I394" t="s">
        <v>33</v>
      </c>
      <c r="J394" t="s">
        <v>588</v>
      </c>
    </row>
    <row r="395" spans="1:10" x14ac:dyDescent="0.3">
      <c r="A395" t="s">
        <v>557</v>
      </c>
      <c r="B395" s="452">
        <v>46082</v>
      </c>
      <c r="C395" t="s">
        <v>4145</v>
      </c>
      <c r="D395" t="s">
        <v>4099</v>
      </c>
      <c r="E395" t="s">
        <v>4125</v>
      </c>
      <c r="F395">
        <v>4</v>
      </c>
      <c r="G395">
        <v>32</v>
      </c>
      <c r="H395" t="s">
        <v>4126</v>
      </c>
      <c r="I395" t="s">
        <v>33</v>
      </c>
      <c r="J395" t="s">
        <v>588</v>
      </c>
    </row>
    <row r="396" spans="1:10" x14ac:dyDescent="0.3">
      <c r="A396" t="s">
        <v>557</v>
      </c>
      <c r="B396" s="452">
        <v>46082</v>
      </c>
      <c r="C396" t="s">
        <v>4246</v>
      </c>
      <c r="D396" t="s">
        <v>4099</v>
      </c>
      <c r="E396" t="s">
        <v>4125</v>
      </c>
      <c r="F396">
        <v>1</v>
      </c>
      <c r="G396">
        <v>8</v>
      </c>
      <c r="H396" t="s">
        <v>4126</v>
      </c>
      <c r="I396" t="s">
        <v>33</v>
      </c>
      <c r="J396" t="s">
        <v>588</v>
      </c>
    </row>
    <row r="397" spans="1:10" x14ac:dyDescent="0.3">
      <c r="A397" t="s">
        <v>557</v>
      </c>
      <c r="B397" s="452">
        <v>46082</v>
      </c>
      <c r="C397" t="s">
        <v>4141</v>
      </c>
      <c r="D397" t="s">
        <v>4099</v>
      </c>
      <c r="E397" t="s">
        <v>4142</v>
      </c>
      <c r="F397">
        <v>62</v>
      </c>
      <c r="G397">
        <v>861.8</v>
      </c>
      <c r="H397" t="s">
        <v>4126</v>
      </c>
      <c r="I397" t="s">
        <v>33</v>
      </c>
      <c r="J397" t="s">
        <v>588</v>
      </c>
    </row>
    <row r="398" spans="1:10" x14ac:dyDescent="0.3">
      <c r="A398" t="s">
        <v>557</v>
      </c>
      <c r="B398" s="452">
        <v>46082</v>
      </c>
      <c r="C398" t="s">
        <v>4140</v>
      </c>
      <c r="D398" t="s">
        <v>4099</v>
      </c>
      <c r="E398" t="s">
        <v>4129</v>
      </c>
      <c r="F398">
        <v>1</v>
      </c>
      <c r="G398">
        <v>7.5</v>
      </c>
      <c r="H398" t="s">
        <v>4126</v>
      </c>
      <c r="I398" t="s">
        <v>33</v>
      </c>
      <c r="J398" t="s">
        <v>588</v>
      </c>
    </row>
    <row r="399" spans="1:10" x14ac:dyDescent="0.3">
      <c r="A399" t="s">
        <v>557</v>
      </c>
      <c r="B399" s="452">
        <v>46082</v>
      </c>
      <c r="C399" t="s">
        <v>4128</v>
      </c>
      <c r="D399" t="s">
        <v>4099</v>
      </c>
      <c r="E399" t="s">
        <v>4129</v>
      </c>
      <c r="F399">
        <v>9</v>
      </c>
      <c r="G399">
        <v>67.5</v>
      </c>
      <c r="H399" t="s">
        <v>4126</v>
      </c>
      <c r="I399" t="s">
        <v>33</v>
      </c>
      <c r="J399" t="s">
        <v>588</v>
      </c>
    </row>
    <row r="400" spans="1:10" x14ac:dyDescent="0.3">
      <c r="A400" t="s">
        <v>557</v>
      </c>
      <c r="B400" s="452">
        <v>46082</v>
      </c>
      <c r="C400" t="s">
        <v>4158</v>
      </c>
      <c r="D400" t="s">
        <v>4099</v>
      </c>
      <c r="E400" t="s">
        <v>4137</v>
      </c>
      <c r="F400">
        <v>13</v>
      </c>
      <c r="G400">
        <v>585</v>
      </c>
      <c r="H400" t="s">
        <v>4133</v>
      </c>
      <c r="I400" t="s">
        <v>33</v>
      </c>
      <c r="J400" t="s">
        <v>588</v>
      </c>
    </row>
    <row r="401" spans="1:10" x14ac:dyDescent="0.3">
      <c r="A401" t="s">
        <v>557</v>
      </c>
      <c r="B401" s="452">
        <v>46082</v>
      </c>
      <c r="C401" t="s">
        <v>4164</v>
      </c>
      <c r="D401" t="s">
        <v>4099</v>
      </c>
      <c r="E401" t="s">
        <v>4137</v>
      </c>
      <c r="F401">
        <v>10</v>
      </c>
      <c r="G401">
        <v>390</v>
      </c>
      <c r="H401" t="s">
        <v>4133</v>
      </c>
      <c r="I401" t="s">
        <v>33</v>
      </c>
      <c r="J401" t="s">
        <v>588</v>
      </c>
    </row>
    <row r="402" spans="1:10" x14ac:dyDescent="0.3">
      <c r="A402" t="s">
        <v>557</v>
      </c>
      <c r="B402" s="452">
        <v>46082</v>
      </c>
      <c r="C402" t="s">
        <v>4138</v>
      </c>
      <c r="D402" t="s">
        <v>4099</v>
      </c>
      <c r="E402" t="s">
        <v>4139</v>
      </c>
      <c r="F402">
        <v>8</v>
      </c>
      <c r="G402">
        <v>208</v>
      </c>
      <c r="H402" t="s">
        <v>4133</v>
      </c>
      <c r="I402" t="s">
        <v>33</v>
      </c>
      <c r="J402" t="s">
        <v>588</v>
      </c>
    </row>
    <row r="403" spans="1:10" x14ac:dyDescent="0.3">
      <c r="A403" t="s">
        <v>557</v>
      </c>
      <c r="B403" s="452">
        <v>46082</v>
      </c>
      <c r="C403" t="s">
        <v>4136</v>
      </c>
      <c r="D403" t="s">
        <v>4099</v>
      </c>
      <c r="E403" t="s">
        <v>4137</v>
      </c>
      <c r="F403">
        <v>10</v>
      </c>
      <c r="G403">
        <v>390</v>
      </c>
      <c r="H403" t="s">
        <v>4133</v>
      </c>
      <c r="I403" t="s">
        <v>33</v>
      </c>
      <c r="J403" t="s">
        <v>588</v>
      </c>
    </row>
    <row r="404" spans="1:10" x14ac:dyDescent="0.3">
      <c r="A404" t="s">
        <v>557</v>
      </c>
      <c r="B404" s="452">
        <v>46082</v>
      </c>
      <c r="C404" t="s">
        <v>4186</v>
      </c>
      <c r="D404" t="s">
        <v>4099</v>
      </c>
      <c r="E404" t="s">
        <v>4137</v>
      </c>
      <c r="F404">
        <v>14</v>
      </c>
      <c r="G404">
        <v>588</v>
      </c>
      <c r="H404" t="s">
        <v>4133</v>
      </c>
      <c r="I404" t="s">
        <v>33</v>
      </c>
      <c r="J404" t="s">
        <v>588</v>
      </c>
    </row>
    <row r="405" spans="1:10" x14ac:dyDescent="0.3">
      <c r="A405" t="s">
        <v>557</v>
      </c>
      <c r="B405" s="452">
        <v>46082</v>
      </c>
      <c r="C405" t="s">
        <v>4168</v>
      </c>
      <c r="D405" t="s">
        <v>4101</v>
      </c>
      <c r="E405" t="s">
        <v>4169</v>
      </c>
      <c r="F405">
        <v>10</v>
      </c>
      <c r="G405">
        <v>126</v>
      </c>
      <c r="H405" t="s">
        <v>4126</v>
      </c>
      <c r="J405" t="s">
        <v>588</v>
      </c>
    </row>
    <row r="406" spans="1:10" x14ac:dyDescent="0.3">
      <c r="A406" t="s">
        <v>557</v>
      </c>
      <c r="B406" s="452">
        <v>46082</v>
      </c>
      <c r="C406" t="s">
        <v>4143</v>
      </c>
      <c r="D406" t="s">
        <v>4101</v>
      </c>
      <c r="E406" t="s">
        <v>4144</v>
      </c>
      <c r="F406">
        <v>3</v>
      </c>
      <c r="G406">
        <v>32.4</v>
      </c>
      <c r="H406" t="s">
        <v>4126</v>
      </c>
      <c r="J406" t="s">
        <v>588</v>
      </c>
    </row>
    <row r="407" spans="1:10" x14ac:dyDescent="0.3">
      <c r="A407" t="s">
        <v>557</v>
      </c>
      <c r="B407" s="452">
        <v>46082</v>
      </c>
      <c r="C407" t="s">
        <v>4141</v>
      </c>
      <c r="D407" t="s">
        <v>4101</v>
      </c>
      <c r="E407" t="s">
        <v>4142</v>
      </c>
      <c r="F407">
        <v>3</v>
      </c>
      <c r="G407">
        <v>12.51</v>
      </c>
      <c r="H407" t="s">
        <v>4126</v>
      </c>
      <c r="J407" t="s">
        <v>588</v>
      </c>
    </row>
    <row r="408" spans="1:10" x14ac:dyDescent="0.3">
      <c r="A408" t="s">
        <v>557</v>
      </c>
      <c r="B408" s="452">
        <v>46082</v>
      </c>
      <c r="C408" t="s">
        <v>4140</v>
      </c>
      <c r="D408" t="s">
        <v>4101</v>
      </c>
      <c r="E408" t="s">
        <v>4129</v>
      </c>
      <c r="F408">
        <v>1</v>
      </c>
      <c r="G408">
        <v>2.25</v>
      </c>
      <c r="H408" t="s">
        <v>4126</v>
      </c>
      <c r="J408" t="s">
        <v>588</v>
      </c>
    </row>
    <row r="409" spans="1:10" x14ac:dyDescent="0.3">
      <c r="A409" t="s">
        <v>557</v>
      </c>
      <c r="B409" s="452">
        <v>46082</v>
      </c>
      <c r="C409" t="s">
        <v>4128</v>
      </c>
      <c r="D409" t="s">
        <v>4101</v>
      </c>
      <c r="E409" t="s">
        <v>4129</v>
      </c>
      <c r="F409">
        <v>3</v>
      </c>
      <c r="G409">
        <v>6.75</v>
      </c>
      <c r="H409" t="s">
        <v>4126</v>
      </c>
      <c r="J409" t="s">
        <v>588</v>
      </c>
    </row>
    <row r="410" spans="1:10" x14ac:dyDescent="0.3">
      <c r="A410" t="s">
        <v>557</v>
      </c>
      <c r="B410" s="452">
        <v>46082</v>
      </c>
      <c r="C410" t="s">
        <v>4245</v>
      </c>
      <c r="D410" t="s">
        <v>4101</v>
      </c>
      <c r="E410" t="s">
        <v>4132</v>
      </c>
      <c r="F410">
        <v>1</v>
      </c>
      <c r="G410">
        <v>11.7</v>
      </c>
      <c r="H410" t="s">
        <v>4126</v>
      </c>
      <c r="J410" t="s">
        <v>588</v>
      </c>
    </row>
    <row r="411" spans="1:10" x14ac:dyDescent="0.3">
      <c r="A411" t="s">
        <v>557</v>
      </c>
      <c r="B411" s="452">
        <v>46082</v>
      </c>
      <c r="C411" t="s">
        <v>4173</v>
      </c>
      <c r="D411" t="s">
        <v>4101</v>
      </c>
      <c r="E411" t="s">
        <v>4174</v>
      </c>
      <c r="F411">
        <v>1</v>
      </c>
      <c r="G411">
        <v>12.6</v>
      </c>
      <c r="H411" t="s">
        <v>4126</v>
      </c>
      <c r="J411" t="s">
        <v>588</v>
      </c>
    </row>
    <row r="412" spans="1:10" x14ac:dyDescent="0.3">
      <c r="A412" t="s">
        <v>557</v>
      </c>
      <c r="B412" s="452">
        <v>46082</v>
      </c>
      <c r="C412" t="s">
        <v>4214</v>
      </c>
      <c r="D412" t="s">
        <v>4101</v>
      </c>
      <c r="E412" t="s">
        <v>4137</v>
      </c>
      <c r="F412">
        <v>1</v>
      </c>
      <c r="G412">
        <v>20.7</v>
      </c>
      <c r="H412" t="s">
        <v>4133</v>
      </c>
      <c r="J412" t="s">
        <v>588</v>
      </c>
    </row>
    <row r="413" spans="1:10" x14ac:dyDescent="0.3">
      <c r="A413" t="s">
        <v>557</v>
      </c>
      <c r="B413" s="452">
        <v>46082</v>
      </c>
      <c r="C413" t="s">
        <v>4145</v>
      </c>
      <c r="D413" t="s">
        <v>4101</v>
      </c>
      <c r="E413" t="s">
        <v>4125</v>
      </c>
      <c r="F413">
        <v>1</v>
      </c>
      <c r="G413">
        <v>2.4</v>
      </c>
      <c r="H413" t="s">
        <v>4126</v>
      </c>
      <c r="J413" t="s">
        <v>588</v>
      </c>
    </row>
    <row r="414" spans="1:10" x14ac:dyDescent="0.3">
      <c r="A414" t="s">
        <v>557</v>
      </c>
      <c r="B414" s="452">
        <v>46082</v>
      </c>
      <c r="C414" t="s">
        <v>4292</v>
      </c>
      <c r="D414" t="s">
        <v>4101</v>
      </c>
      <c r="E414" t="s">
        <v>4277</v>
      </c>
      <c r="F414">
        <v>1</v>
      </c>
      <c r="G414">
        <v>8.6999999999999993</v>
      </c>
      <c r="H414" t="s">
        <v>4126</v>
      </c>
      <c r="J414" t="s">
        <v>588</v>
      </c>
    </row>
    <row r="415" spans="1:10" x14ac:dyDescent="0.3">
      <c r="A415" t="s">
        <v>557</v>
      </c>
      <c r="B415" s="452">
        <v>46082</v>
      </c>
      <c r="C415" t="s">
        <v>4170</v>
      </c>
      <c r="D415" t="s">
        <v>4104</v>
      </c>
      <c r="E415" t="s">
        <v>4139</v>
      </c>
      <c r="F415">
        <v>1</v>
      </c>
      <c r="G415">
        <v>8.6999999999999993</v>
      </c>
      <c r="H415" t="s">
        <v>4133</v>
      </c>
      <c r="J415" t="s">
        <v>588</v>
      </c>
    </row>
    <row r="416" spans="1:10" x14ac:dyDescent="0.3">
      <c r="A416" t="s">
        <v>557</v>
      </c>
      <c r="B416" s="452">
        <v>46082</v>
      </c>
      <c r="C416" t="s">
        <v>4239</v>
      </c>
      <c r="D416" t="s">
        <v>4104</v>
      </c>
      <c r="E416" t="s">
        <v>4149</v>
      </c>
      <c r="F416">
        <v>1</v>
      </c>
      <c r="G416">
        <v>41.7</v>
      </c>
      <c r="H416" t="s">
        <v>4133</v>
      </c>
      <c r="J416" t="s">
        <v>588</v>
      </c>
    </row>
    <row r="417" spans="1:10" x14ac:dyDescent="0.3">
      <c r="A417" t="s">
        <v>557</v>
      </c>
      <c r="B417" s="452">
        <v>46082</v>
      </c>
      <c r="C417" t="s">
        <v>4185</v>
      </c>
      <c r="D417" t="s">
        <v>4104</v>
      </c>
      <c r="E417" t="s">
        <v>4144</v>
      </c>
      <c r="F417">
        <v>1</v>
      </c>
      <c r="G417">
        <v>10.5</v>
      </c>
      <c r="H417" t="s">
        <v>4126</v>
      </c>
      <c r="J417" t="s">
        <v>588</v>
      </c>
    </row>
    <row r="418" spans="1:10" x14ac:dyDescent="0.3">
      <c r="A418" t="s">
        <v>557</v>
      </c>
      <c r="B418" s="452">
        <v>46082</v>
      </c>
      <c r="C418" t="s">
        <v>4293</v>
      </c>
      <c r="D418" t="s">
        <v>4104</v>
      </c>
      <c r="E418" t="s">
        <v>4129</v>
      </c>
      <c r="F418">
        <v>1</v>
      </c>
      <c r="G418">
        <v>2.25</v>
      </c>
      <c r="H418" t="s">
        <v>4126</v>
      </c>
      <c r="J418" t="s">
        <v>588</v>
      </c>
    </row>
    <row r="419" spans="1:10" x14ac:dyDescent="0.3">
      <c r="A419" t="s">
        <v>557</v>
      </c>
      <c r="B419" s="452">
        <v>46082</v>
      </c>
      <c r="C419" t="s">
        <v>4171</v>
      </c>
      <c r="D419" t="s">
        <v>4104</v>
      </c>
      <c r="E419" t="s">
        <v>4149</v>
      </c>
      <c r="F419">
        <v>1</v>
      </c>
      <c r="G419">
        <v>62.1</v>
      </c>
      <c r="J419" t="s">
        <v>588</v>
      </c>
    </row>
    <row r="420" spans="1:10" x14ac:dyDescent="0.3">
      <c r="A420" t="s">
        <v>557</v>
      </c>
      <c r="B420" s="452">
        <v>46082</v>
      </c>
      <c r="C420" t="s">
        <v>4150</v>
      </c>
      <c r="D420" t="s">
        <v>4104</v>
      </c>
      <c r="E420" t="s">
        <v>4135</v>
      </c>
      <c r="F420">
        <v>8</v>
      </c>
      <c r="G420">
        <v>67.2</v>
      </c>
      <c r="H420" t="s">
        <v>4133</v>
      </c>
      <c r="J420" t="s">
        <v>588</v>
      </c>
    </row>
    <row r="421" spans="1:10" x14ac:dyDescent="0.3">
      <c r="A421" t="s">
        <v>557</v>
      </c>
      <c r="B421" s="452">
        <v>46082</v>
      </c>
      <c r="C421" t="s">
        <v>4183</v>
      </c>
      <c r="D421" t="s">
        <v>4104</v>
      </c>
      <c r="E421" t="s">
        <v>4184</v>
      </c>
      <c r="F421">
        <v>1</v>
      </c>
      <c r="G421">
        <v>19.47</v>
      </c>
      <c r="H421" t="s">
        <v>4133</v>
      </c>
      <c r="J421" t="s">
        <v>588</v>
      </c>
    </row>
    <row r="422" spans="1:10" x14ac:dyDescent="0.3">
      <c r="A422" t="s">
        <v>557</v>
      </c>
      <c r="B422" s="452">
        <v>46082</v>
      </c>
      <c r="C422" t="s">
        <v>4236</v>
      </c>
      <c r="D422" t="s">
        <v>4104</v>
      </c>
      <c r="E422" t="s">
        <v>4237</v>
      </c>
      <c r="F422">
        <v>3</v>
      </c>
      <c r="G422">
        <v>0</v>
      </c>
      <c r="H422" t="s">
        <v>4126</v>
      </c>
      <c r="J422" t="s">
        <v>588</v>
      </c>
    </row>
    <row r="423" spans="1:10" x14ac:dyDescent="0.3">
      <c r="A423" t="s">
        <v>557</v>
      </c>
      <c r="B423" s="452">
        <v>46082</v>
      </c>
      <c r="C423" t="s">
        <v>4294</v>
      </c>
      <c r="D423" t="s">
        <v>4104</v>
      </c>
      <c r="E423" t="s">
        <v>4295</v>
      </c>
      <c r="F423">
        <v>1</v>
      </c>
      <c r="G423">
        <v>38.700000000000003</v>
      </c>
      <c r="H423" t="s">
        <v>4126</v>
      </c>
      <c r="J423" t="s">
        <v>588</v>
      </c>
    </row>
    <row r="424" spans="1:10" x14ac:dyDescent="0.3">
      <c r="A424" t="s">
        <v>557</v>
      </c>
      <c r="B424" s="452">
        <v>46082</v>
      </c>
      <c r="C424" t="s">
        <v>4284</v>
      </c>
      <c r="D424" t="s">
        <v>4104</v>
      </c>
      <c r="E424" t="s">
        <v>4169</v>
      </c>
      <c r="F424">
        <v>1</v>
      </c>
      <c r="G424">
        <v>10.199999999999999</v>
      </c>
      <c r="J424" t="s">
        <v>588</v>
      </c>
    </row>
    <row r="425" spans="1:10" x14ac:dyDescent="0.3">
      <c r="A425" t="s">
        <v>557</v>
      </c>
      <c r="B425" s="452">
        <v>46082</v>
      </c>
      <c r="C425" t="s">
        <v>4157</v>
      </c>
      <c r="D425" t="s">
        <v>4104</v>
      </c>
      <c r="E425" t="s">
        <v>4135</v>
      </c>
      <c r="F425">
        <v>1</v>
      </c>
      <c r="G425">
        <v>3.75</v>
      </c>
      <c r="H425" t="s">
        <v>4133</v>
      </c>
      <c r="J425" t="s">
        <v>588</v>
      </c>
    </row>
    <row r="426" spans="1:10" x14ac:dyDescent="0.3">
      <c r="A426" t="s">
        <v>557</v>
      </c>
      <c r="B426" s="452">
        <v>46082</v>
      </c>
      <c r="C426" t="s">
        <v>4296</v>
      </c>
      <c r="D426" t="s">
        <v>4104</v>
      </c>
      <c r="E426" t="s">
        <v>4227</v>
      </c>
      <c r="F426">
        <v>2</v>
      </c>
      <c r="G426">
        <v>11.4</v>
      </c>
      <c r="H426" t="s">
        <v>4126</v>
      </c>
      <c r="J426" t="s">
        <v>588</v>
      </c>
    </row>
    <row r="427" spans="1:10" x14ac:dyDescent="0.3">
      <c r="A427" t="s">
        <v>557</v>
      </c>
      <c r="B427" s="452">
        <v>46082</v>
      </c>
      <c r="C427" t="s">
        <v>4182</v>
      </c>
      <c r="D427" t="s">
        <v>4104</v>
      </c>
      <c r="E427" t="s">
        <v>4135</v>
      </c>
      <c r="F427">
        <v>17</v>
      </c>
      <c r="G427">
        <v>142.80000000000001</v>
      </c>
      <c r="H427" t="s">
        <v>4133</v>
      </c>
      <c r="J427" t="s">
        <v>588</v>
      </c>
    </row>
    <row r="428" spans="1:10" x14ac:dyDescent="0.3">
      <c r="A428" t="s">
        <v>557</v>
      </c>
      <c r="B428" s="452">
        <v>46082</v>
      </c>
      <c r="C428" t="s">
        <v>4214</v>
      </c>
      <c r="D428" t="s">
        <v>4104</v>
      </c>
      <c r="E428" t="s">
        <v>4137</v>
      </c>
      <c r="F428">
        <v>2</v>
      </c>
      <c r="G428">
        <v>41.4</v>
      </c>
      <c r="H428" t="s">
        <v>4133</v>
      </c>
      <c r="J428" t="s">
        <v>588</v>
      </c>
    </row>
    <row r="429" spans="1:10" x14ac:dyDescent="0.3">
      <c r="A429" t="s">
        <v>557</v>
      </c>
      <c r="B429" s="452">
        <v>46082</v>
      </c>
      <c r="C429" t="s">
        <v>4215</v>
      </c>
      <c r="D429" t="s">
        <v>4104</v>
      </c>
      <c r="E429" t="s">
        <v>4137</v>
      </c>
      <c r="F429">
        <v>1</v>
      </c>
      <c r="G429">
        <v>19.5</v>
      </c>
      <c r="H429" t="s">
        <v>4133</v>
      </c>
      <c r="J429" t="s">
        <v>588</v>
      </c>
    </row>
    <row r="430" spans="1:10" x14ac:dyDescent="0.3">
      <c r="A430" t="s">
        <v>557</v>
      </c>
      <c r="B430" s="452">
        <v>46082</v>
      </c>
      <c r="C430" t="s">
        <v>4216</v>
      </c>
      <c r="D430" t="s">
        <v>4104</v>
      </c>
      <c r="E430" t="s">
        <v>4149</v>
      </c>
      <c r="F430">
        <v>1</v>
      </c>
      <c r="G430">
        <v>29.4</v>
      </c>
      <c r="H430" t="s">
        <v>4133</v>
      </c>
      <c r="J430" t="s">
        <v>588</v>
      </c>
    </row>
    <row r="431" spans="1:10" x14ac:dyDescent="0.3">
      <c r="A431" t="s">
        <v>557</v>
      </c>
      <c r="B431" s="452">
        <v>46082</v>
      </c>
      <c r="C431" t="s">
        <v>4230</v>
      </c>
      <c r="D431" t="s">
        <v>4104</v>
      </c>
      <c r="E431" t="s">
        <v>4137</v>
      </c>
      <c r="F431">
        <v>1</v>
      </c>
      <c r="G431">
        <v>19.2</v>
      </c>
      <c r="H431" t="s">
        <v>4133</v>
      </c>
      <c r="J431" t="s">
        <v>588</v>
      </c>
    </row>
    <row r="432" spans="1:10" x14ac:dyDescent="0.3">
      <c r="A432" t="s">
        <v>557</v>
      </c>
      <c r="B432" s="452">
        <v>46082</v>
      </c>
      <c r="C432" t="s">
        <v>4192</v>
      </c>
      <c r="D432" t="s">
        <v>4104</v>
      </c>
      <c r="E432" t="s">
        <v>4193</v>
      </c>
      <c r="F432">
        <v>2</v>
      </c>
      <c r="G432">
        <v>33.6</v>
      </c>
      <c r="H432" t="s">
        <v>4133</v>
      </c>
      <c r="J432" t="s">
        <v>588</v>
      </c>
    </row>
    <row r="433" spans="1:10" x14ac:dyDescent="0.3">
      <c r="A433" t="s">
        <v>557</v>
      </c>
      <c r="B433" s="452">
        <v>46082</v>
      </c>
      <c r="C433" t="s">
        <v>4266</v>
      </c>
      <c r="D433" t="s">
        <v>4104</v>
      </c>
      <c r="E433" t="s">
        <v>4149</v>
      </c>
      <c r="F433">
        <v>1</v>
      </c>
      <c r="G433">
        <v>40.5</v>
      </c>
      <c r="H433" t="s">
        <v>4133</v>
      </c>
      <c r="J433" t="s">
        <v>588</v>
      </c>
    </row>
    <row r="434" spans="1:10" x14ac:dyDescent="0.3">
      <c r="A434" t="s">
        <v>557</v>
      </c>
      <c r="B434" s="452">
        <v>46082</v>
      </c>
      <c r="C434" t="s">
        <v>4233</v>
      </c>
      <c r="D434" t="s">
        <v>4104</v>
      </c>
      <c r="E434" t="s">
        <v>4169</v>
      </c>
      <c r="F434">
        <v>1</v>
      </c>
      <c r="G434">
        <v>2.4</v>
      </c>
      <c r="J434" t="s">
        <v>588</v>
      </c>
    </row>
    <row r="435" spans="1:10" x14ac:dyDescent="0.3">
      <c r="A435" t="s">
        <v>557</v>
      </c>
      <c r="B435" s="452">
        <v>46082</v>
      </c>
      <c r="C435" t="s">
        <v>4155</v>
      </c>
      <c r="D435" t="s">
        <v>4104</v>
      </c>
      <c r="E435" t="s">
        <v>4156</v>
      </c>
      <c r="F435">
        <v>3</v>
      </c>
      <c r="G435">
        <v>18.899999999999999</v>
      </c>
      <c r="H435" t="s">
        <v>4126</v>
      </c>
      <c r="J435" t="s">
        <v>588</v>
      </c>
    </row>
    <row r="436" spans="1:10" x14ac:dyDescent="0.3">
      <c r="A436" t="s">
        <v>557</v>
      </c>
      <c r="B436" s="452">
        <v>46082</v>
      </c>
      <c r="C436" t="s">
        <v>4186</v>
      </c>
      <c r="D436" t="s">
        <v>4104</v>
      </c>
      <c r="E436" t="s">
        <v>4137</v>
      </c>
      <c r="F436">
        <v>4</v>
      </c>
      <c r="G436">
        <v>50.4</v>
      </c>
      <c r="H436" t="s">
        <v>4133</v>
      </c>
      <c r="J436" t="s">
        <v>588</v>
      </c>
    </row>
    <row r="437" spans="1:10" x14ac:dyDescent="0.3">
      <c r="A437" t="s">
        <v>557</v>
      </c>
      <c r="B437" s="452">
        <v>46082</v>
      </c>
      <c r="C437" t="s">
        <v>4154</v>
      </c>
      <c r="D437" t="s">
        <v>4104</v>
      </c>
      <c r="E437" t="s">
        <v>4137</v>
      </c>
      <c r="F437">
        <v>1</v>
      </c>
      <c r="G437">
        <v>8.1</v>
      </c>
      <c r="H437" t="s">
        <v>4133</v>
      </c>
      <c r="J437" t="s">
        <v>588</v>
      </c>
    </row>
    <row r="438" spans="1:10" x14ac:dyDescent="0.3">
      <c r="A438" t="s">
        <v>557</v>
      </c>
      <c r="B438" s="452">
        <v>46082</v>
      </c>
      <c r="C438" t="s">
        <v>4196</v>
      </c>
      <c r="D438" t="s">
        <v>4104</v>
      </c>
      <c r="E438" t="s">
        <v>4184</v>
      </c>
      <c r="F438">
        <v>5</v>
      </c>
      <c r="G438">
        <v>107.85</v>
      </c>
      <c r="H438" t="s">
        <v>4133</v>
      </c>
      <c r="J438" t="s">
        <v>588</v>
      </c>
    </row>
    <row r="439" spans="1:10" x14ac:dyDescent="0.3">
      <c r="A439" t="s">
        <v>557</v>
      </c>
      <c r="B439" s="452">
        <v>46082</v>
      </c>
      <c r="C439" t="s">
        <v>4194</v>
      </c>
      <c r="D439" t="s">
        <v>4104</v>
      </c>
      <c r="E439" t="s">
        <v>4129</v>
      </c>
      <c r="F439">
        <v>1</v>
      </c>
      <c r="G439">
        <v>5.4</v>
      </c>
      <c r="H439" t="s">
        <v>4126</v>
      </c>
      <c r="J439" t="s">
        <v>588</v>
      </c>
    </row>
    <row r="440" spans="1:10" x14ac:dyDescent="0.3">
      <c r="A440" t="s">
        <v>557</v>
      </c>
      <c r="B440" s="452">
        <v>46082</v>
      </c>
      <c r="C440" t="s">
        <v>4173</v>
      </c>
      <c r="D440" t="s">
        <v>4104</v>
      </c>
      <c r="E440" t="s">
        <v>4174</v>
      </c>
      <c r="F440">
        <v>2</v>
      </c>
      <c r="G440">
        <v>28.8</v>
      </c>
      <c r="H440" t="s">
        <v>4126</v>
      </c>
      <c r="J440" t="s">
        <v>588</v>
      </c>
    </row>
    <row r="441" spans="1:10" x14ac:dyDescent="0.3">
      <c r="A441" t="s">
        <v>557</v>
      </c>
      <c r="B441" s="452">
        <v>46082</v>
      </c>
      <c r="C441" t="s">
        <v>4179</v>
      </c>
      <c r="D441" t="s">
        <v>4104</v>
      </c>
      <c r="E441" t="s">
        <v>4135</v>
      </c>
      <c r="F441">
        <v>5</v>
      </c>
      <c r="G441">
        <v>18</v>
      </c>
      <c r="H441" t="s">
        <v>4133</v>
      </c>
      <c r="J441" t="s">
        <v>588</v>
      </c>
    </row>
    <row r="442" spans="1:10" x14ac:dyDescent="0.3">
      <c r="A442" t="s">
        <v>557</v>
      </c>
      <c r="B442" s="452">
        <v>46082</v>
      </c>
      <c r="C442" t="s">
        <v>4297</v>
      </c>
      <c r="D442" t="s">
        <v>4104</v>
      </c>
      <c r="E442" t="s">
        <v>4270</v>
      </c>
      <c r="F442">
        <v>2</v>
      </c>
      <c r="G442">
        <v>25.2</v>
      </c>
      <c r="H442" t="s">
        <v>4126</v>
      </c>
      <c r="J442" t="s">
        <v>588</v>
      </c>
    </row>
    <row r="443" spans="1:10" x14ac:dyDescent="0.3">
      <c r="A443" t="s">
        <v>557</v>
      </c>
      <c r="B443" s="452">
        <v>46082</v>
      </c>
      <c r="C443" t="s">
        <v>4152</v>
      </c>
      <c r="D443" t="s">
        <v>4104</v>
      </c>
      <c r="E443" t="s">
        <v>4129</v>
      </c>
      <c r="F443">
        <v>3</v>
      </c>
      <c r="G443">
        <v>12.6</v>
      </c>
      <c r="H443" t="s">
        <v>4126</v>
      </c>
      <c r="J443" t="s">
        <v>588</v>
      </c>
    </row>
    <row r="444" spans="1:10" x14ac:dyDescent="0.3">
      <c r="A444" t="s">
        <v>557</v>
      </c>
      <c r="B444" s="452">
        <v>46082</v>
      </c>
      <c r="C444" t="s">
        <v>4151</v>
      </c>
      <c r="D444" t="s">
        <v>4104</v>
      </c>
      <c r="E444" t="s">
        <v>4144</v>
      </c>
      <c r="F444">
        <v>2</v>
      </c>
      <c r="G444">
        <v>21</v>
      </c>
      <c r="H444" t="s">
        <v>4126</v>
      </c>
      <c r="J444" t="s">
        <v>588</v>
      </c>
    </row>
    <row r="445" spans="1:10" x14ac:dyDescent="0.3">
      <c r="A445" t="s">
        <v>557</v>
      </c>
      <c r="B445" s="452">
        <v>46082</v>
      </c>
      <c r="C445" t="s">
        <v>4261</v>
      </c>
      <c r="D445" t="s">
        <v>4104</v>
      </c>
      <c r="E445" t="s">
        <v>4135</v>
      </c>
      <c r="F445">
        <v>1</v>
      </c>
      <c r="G445">
        <v>4.95</v>
      </c>
      <c r="H445" t="s">
        <v>4133</v>
      </c>
      <c r="J445" t="s">
        <v>588</v>
      </c>
    </row>
    <row r="446" spans="1:10" x14ac:dyDescent="0.3">
      <c r="A446" t="s">
        <v>557</v>
      </c>
      <c r="B446" s="452">
        <v>46082</v>
      </c>
      <c r="C446" t="s">
        <v>4298</v>
      </c>
      <c r="D446" t="s">
        <v>4104</v>
      </c>
      <c r="E446" t="s">
        <v>4299</v>
      </c>
      <c r="F446">
        <v>50</v>
      </c>
      <c r="G446">
        <v>1005</v>
      </c>
      <c r="H446" t="s">
        <v>4133</v>
      </c>
      <c r="J446" t="s">
        <v>588</v>
      </c>
    </row>
    <row r="447" spans="1:10" x14ac:dyDescent="0.3">
      <c r="A447" t="s">
        <v>557</v>
      </c>
      <c r="B447" s="452">
        <v>46082</v>
      </c>
      <c r="C447" t="s">
        <v>4189</v>
      </c>
      <c r="D447" t="s">
        <v>4104</v>
      </c>
      <c r="E447" t="s">
        <v>4190</v>
      </c>
      <c r="F447">
        <v>1</v>
      </c>
      <c r="G447">
        <v>13.5</v>
      </c>
      <c r="H447" t="s">
        <v>4133</v>
      </c>
      <c r="J447" t="s">
        <v>588</v>
      </c>
    </row>
    <row r="448" spans="1:10" x14ac:dyDescent="0.3">
      <c r="A448" t="s">
        <v>557</v>
      </c>
      <c r="B448" s="452">
        <v>46082</v>
      </c>
      <c r="C448" t="s">
        <v>4188</v>
      </c>
      <c r="D448" t="s">
        <v>4104</v>
      </c>
      <c r="E448" t="s">
        <v>4137</v>
      </c>
      <c r="F448">
        <v>1</v>
      </c>
      <c r="G448">
        <v>8.6999999999999993</v>
      </c>
      <c r="H448" t="s">
        <v>4133</v>
      </c>
      <c r="J448" t="s">
        <v>588</v>
      </c>
    </row>
    <row r="449" spans="1:10" x14ac:dyDescent="0.3">
      <c r="A449" t="s">
        <v>557</v>
      </c>
      <c r="B449" s="452">
        <v>46082</v>
      </c>
      <c r="C449" t="s">
        <v>4187</v>
      </c>
      <c r="D449" t="s">
        <v>4104</v>
      </c>
      <c r="E449" t="s">
        <v>4135</v>
      </c>
      <c r="F449">
        <v>10</v>
      </c>
      <c r="G449">
        <v>34.5</v>
      </c>
      <c r="H449" t="s">
        <v>4133</v>
      </c>
      <c r="J449" t="s">
        <v>588</v>
      </c>
    </row>
    <row r="450" spans="1:10" x14ac:dyDescent="0.3">
      <c r="A450" t="s">
        <v>557</v>
      </c>
      <c r="B450" s="452">
        <v>46082</v>
      </c>
      <c r="C450" t="s">
        <v>4161</v>
      </c>
      <c r="D450" t="s">
        <v>4104</v>
      </c>
      <c r="E450" t="s">
        <v>4162</v>
      </c>
      <c r="F450">
        <v>1</v>
      </c>
      <c r="G450">
        <v>14.7</v>
      </c>
      <c r="H450" t="s">
        <v>4133</v>
      </c>
      <c r="J450" t="s">
        <v>588</v>
      </c>
    </row>
    <row r="451" spans="1:10" x14ac:dyDescent="0.3">
      <c r="A451" t="s">
        <v>557</v>
      </c>
      <c r="B451" s="452">
        <v>46082</v>
      </c>
      <c r="C451" t="s">
        <v>4158</v>
      </c>
      <c r="D451" t="s">
        <v>4104</v>
      </c>
      <c r="E451" t="s">
        <v>4137</v>
      </c>
      <c r="F451">
        <v>2</v>
      </c>
      <c r="G451">
        <v>27</v>
      </c>
      <c r="H451" t="s">
        <v>4133</v>
      </c>
      <c r="J451" t="s">
        <v>588</v>
      </c>
    </row>
    <row r="452" spans="1:10" x14ac:dyDescent="0.3">
      <c r="A452" t="s">
        <v>557</v>
      </c>
      <c r="B452" s="452">
        <v>46082</v>
      </c>
      <c r="C452" t="s">
        <v>4198</v>
      </c>
      <c r="D452" t="s">
        <v>4104</v>
      </c>
      <c r="E452" t="s">
        <v>4137</v>
      </c>
      <c r="F452">
        <v>2</v>
      </c>
      <c r="G452">
        <v>41.4</v>
      </c>
      <c r="H452" t="s">
        <v>4133</v>
      </c>
      <c r="J452" t="s">
        <v>588</v>
      </c>
    </row>
    <row r="453" spans="1:10" x14ac:dyDescent="0.3">
      <c r="A453" t="s">
        <v>557</v>
      </c>
      <c r="B453" s="452">
        <v>46082</v>
      </c>
      <c r="C453" t="s">
        <v>4199</v>
      </c>
      <c r="D453" t="s">
        <v>4104</v>
      </c>
      <c r="E453" t="s">
        <v>4137</v>
      </c>
      <c r="F453">
        <v>2</v>
      </c>
      <c r="G453">
        <v>35.4</v>
      </c>
      <c r="H453" t="s">
        <v>4133</v>
      </c>
      <c r="J453" t="s">
        <v>588</v>
      </c>
    </row>
    <row r="454" spans="1:10" x14ac:dyDescent="0.3">
      <c r="A454" t="s">
        <v>557</v>
      </c>
      <c r="B454" s="452">
        <v>46082</v>
      </c>
      <c r="C454" t="s">
        <v>4200</v>
      </c>
      <c r="D454" t="s">
        <v>4104</v>
      </c>
      <c r="E454" t="s">
        <v>4135</v>
      </c>
      <c r="F454">
        <v>3</v>
      </c>
      <c r="G454">
        <v>22.5</v>
      </c>
      <c r="H454" t="s">
        <v>4133</v>
      </c>
      <c r="J454" t="s">
        <v>588</v>
      </c>
    </row>
    <row r="455" spans="1:10" x14ac:dyDescent="0.3">
      <c r="A455" t="s">
        <v>557</v>
      </c>
      <c r="B455" s="452">
        <v>46082</v>
      </c>
      <c r="C455" t="s">
        <v>4159</v>
      </c>
      <c r="D455" t="s">
        <v>4104</v>
      </c>
      <c r="E455" t="s">
        <v>4135</v>
      </c>
      <c r="F455">
        <v>5</v>
      </c>
      <c r="G455">
        <v>43.5</v>
      </c>
      <c r="H455" t="s">
        <v>4133</v>
      </c>
      <c r="J455" t="s">
        <v>588</v>
      </c>
    </row>
    <row r="456" spans="1:10" x14ac:dyDescent="0.3">
      <c r="A456" t="s">
        <v>557</v>
      </c>
      <c r="B456" s="452">
        <v>46082</v>
      </c>
      <c r="C456" t="s">
        <v>4130</v>
      </c>
      <c r="D456" t="s">
        <v>4104</v>
      </c>
      <c r="E456" t="s">
        <v>4125</v>
      </c>
      <c r="F456">
        <v>2</v>
      </c>
      <c r="G456">
        <v>4.8</v>
      </c>
      <c r="H456" t="s">
        <v>4126</v>
      </c>
      <c r="J456" t="s">
        <v>588</v>
      </c>
    </row>
    <row r="457" spans="1:10" x14ac:dyDescent="0.3">
      <c r="A457" t="s">
        <v>557</v>
      </c>
      <c r="B457" s="452">
        <v>46082</v>
      </c>
      <c r="C457" t="s">
        <v>4201</v>
      </c>
      <c r="D457" t="s">
        <v>4104</v>
      </c>
      <c r="E457" t="s">
        <v>4132</v>
      </c>
      <c r="F457">
        <v>1</v>
      </c>
      <c r="G457">
        <v>12</v>
      </c>
      <c r="H457" t="s">
        <v>4126</v>
      </c>
      <c r="J457" t="s">
        <v>588</v>
      </c>
    </row>
    <row r="458" spans="1:10" x14ac:dyDescent="0.3">
      <c r="A458" t="s">
        <v>557</v>
      </c>
      <c r="B458" s="452">
        <v>46082</v>
      </c>
      <c r="C458" t="s">
        <v>4249</v>
      </c>
      <c r="D458" t="s">
        <v>4104</v>
      </c>
      <c r="E458" t="s">
        <v>4139</v>
      </c>
      <c r="F458">
        <v>1</v>
      </c>
      <c r="G458">
        <v>3.6</v>
      </c>
      <c r="H458" t="s">
        <v>4133</v>
      </c>
      <c r="J458" t="s">
        <v>588</v>
      </c>
    </row>
    <row r="459" spans="1:10" x14ac:dyDescent="0.3">
      <c r="A459" t="s">
        <v>557</v>
      </c>
      <c r="B459" s="452">
        <v>46082</v>
      </c>
      <c r="C459" t="s">
        <v>4202</v>
      </c>
      <c r="D459" t="s">
        <v>4104</v>
      </c>
      <c r="E459" t="s">
        <v>4169</v>
      </c>
      <c r="F459">
        <v>21</v>
      </c>
      <c r="G459">
        <v>50.4</v>
      </c>
      <c r="H459" t="s">
        <v>4126</v>
      </c>
      <c r="J459" t="s">
        <v>588</v>
      </c>
    </row>
    <row r="460" spans="1:10" x14ac:dyDescent="0.3">
      <c r="A460" t="s">
        <v>557</v>
      </c>
      <c r="B460" s="452">
        <v>46082</v>
      </c>
      <c r="C460" t="s">
        <v>4128</v>
      </c>
      <c r="D460" t="s">
        <v>4104</v>
      </c>
      <c r="E460" t="s">
        <v>4129</v>
      </c>
      <c r="F460">
        <v>16</v>
      </c>
      <c r="G460">
        <v>36</v>
      </c>
      <c r="H460" t="s">
        <v>4126</v>
      </c>
      <c r="J460" t="s">
        <v>588</v>
      </c>
    </row>
    <row r="461" spans="1:10" x14ac:dyDescent="0.3">
      <c r="A461" t="s">
        <v>557</v>
      </c>
      <c r="B461" s="452">
        <v>46082</v>
      </c>
      <c r="C461" t="s">
        <v>4203</v>
      </c>
      <c r="D461" t="s">
        <v>4104</v>
      </c>
      <c r="E461" t="s">
        <v>4204</v>
      </c>
      <c r="F461">
        <v>1</v>
      </c>
      <c r="G461">
        <v>11.7</v>
      </c>
      <c r="H461" t="s">
        <v>4126</v>
      </c>
      <c r="J461" t="s">
        <v>588</v>
      </c>
    </row>
    <row r="462" spans="1:10" x14ac:dyDescent="0.3">
      <c r="A462" t="s">
        <v>557</v>
      </c>
      <c r="B462" s="452">
        <v>46082</v>
      </c>
      <c r="C462" t="s">
        <v>4127</v>
      </c>
      <c r="D462" t="s">
        <v>4104</v>
      </c>
      <c r="E462" t="s">
        <v>4125</v>
      </c>
      <c r="F462">
        <v>3</v>
      </c>
      <c r="G462">
        <v>7.2</v>
      </c>
      <c r="H462" t="s">
        <v>4126</v>
      </c>
      <c r="J462" t="s">
        <v>588</v>
      </c>
    </row>
    <row r="463" spans="1:10" x14ac:dyDescent="0.3">
      <c r="A463" t="s">
        <v>557</v>
      </c>
      <c r="B463" s="452">
        <v>46082</v>
      </c>
      <c r="C463" t="s">
        <v>4252</v>
      </c>
      <c r="D463" t="s">
        <v>4104</v>
      </c>
      <c r="E463" t="s">
        <v>4184</v>
      </c>
      <c r="F463">
        <v>1</v>
      </c>
      <c r="G463">
        <v>44.7</v>
      </c>
      <c r="H463" t="s">
        <v>4133</v>
      </c>
      <c r="J463" t="s">
        <v>588</v>
      </c>
    </row>
    <row r="464" spans="1:10" x14ac:dyDescent="0.3">
      <c r="A464" t="s">
        <v>557</v>
      </c>
      <c r="B464" s="452">
        <v>46082</v>
      </c>
      <c r="C464" t="s">
        <v>4197</v>
      </c>
      <c r="D464" t="s">
        <v>4104</v>
      </c>
      <c r="E464" t="s">
        <v>4135</v>
      </c>
      <c r="F464">
        <v>6</v>
      </c>
      <c r="G464">
        <v>28.8</v>
      </c>
      <c r="H464" t="s">
        <v>4133</v>
      </c>
      <c r="J464" t="s">
        <v>588</v>
      </c>
    </row>
    <row r="465" spans="1:10" x14ac:dyDescent="0.3">
      <c r="A465" t="s">
        <v>557</v>
      </c>
      <c r="B465" s="452">
        <v>46082</v>
      </c>
      <c r="C465" t="s">
        <v>4140</v>
      </c>
      <c r="D465" t="s">
        <v>4104</v>
      </c>
      <c r="E465" t="s">
        <v>4129</v>
      </c>
      <c r="F465">
        <v>20</v>
      </c>
      <c r="G465">
        <v>45</v>
      </c>
      <c r="H465" t="s">
        <v>4126</v>
      </c>
      <c r="J465" t="s">
        <v>588</v>
      </c>
    </row>
    <row r="466" spans="1:10" x14ac:dyDescent="0.3">
      <c r="A466" t="s">
        <v>557</v>
      </c>
      <c r="B466" s="452">
        <v>46082</v>
      </c>
      <c r="C466" t="s">
        <v>4141</v>
      </c>
      <c r="D466" t="s">
        <v>4104</v>
      </c>
      <c r="E466" t="s">
        <v>4142</v>
      </c>
      <c r="F466">
        <v>12</v>
      </c>
      <c r="G466">
        <v>50.04</v>
      </c>
      <c r="H466" t="s">
        <v>4126</v>
      </c>
      <c r="J466" t="s">
        <v>588</v>
      </c>
    </row>
    <row r="467" spans="1:10" x14ac:dyDescent="0.3">
      <c r="A467" t="s">
        <v>557</v>
      </c>
      <c r="B467" s="452">
        <v>46082</v>
      </c>
      <c r="C467" t="s">
        <v>4246</v>
      </c>
      <c r="D467" t="s">
        <v>4104</v>
      </c>
      <c r="E467" t="s">
        <v>4125</v>
      </c>
      <c r="F467">
        <v>3</v>
      </c>
      <c r="G467">
        <v>7.2</v>
      </c>
      <c r="H467" t="s">
        <v>4126</v>
      </c>
      <c r="J467" t="s">
        <v>588</v>
      </c>
    </row>
    <row r="468" spans="1:10" x14ac:dyDescent="0.3">
      <c r="A468" t="s">
        <v>557</v>
      </c>
      <c r="B468" s="452">
        <v>46082</v>
      </c>
      <c r="C468" t="s">
        <v>4167</v>
      </c>
      <c r="D468" t="s">
        <v>4104</v>
      </c>
      <c r="E468" t="s">
        <v>4137</v>
      </c>
      <c r="F468">
        <v>1</v>
      </c>
      <c r="G468">
        <v>7.5</v>
      </c>
      <c r="H468" t="s">
        <v>4133</v>
      </c>
      <c r="J468" t="s">
        <v>588</v>
      </c>
    </row>
    <row r="469" spans="1:10" x14ac:dyDescent="0.3">
      <c r="A469" t="s">
        <v>557</v>
      </c>
      <c r="B469" s="452">
        <v>46082</v>
      </c>
      <c r="C469" t="s">
        <v>4145</v>
      </c>
      <c r="D469" t="s">
        <v>4104</v>
      </c>
      <c r="E469" t="s">
        <v>4125</v>
      </c>
      <c r="F469">
        <v>21</v>
      </c>
      <c r="G469">
        <v>50.4</v>
      </c>
      <c r="H469" t="s">
        <v>4126</v>
      </c>
      <c r="J469" t="s">
        <v>588</v>
      </c>
    </row>
    <row r="470" spans="1:10" x14ac:dyDescent="0.3">
      <c r="A470" t="s">
        <v>557</v>
      </c>
      <c r="B470" s="452">
        <v>46082</v>
      </c>
      <c r="C470" t="s">
        <v>4300</v>
      </c>
      <c r="D470" t="s">
        <v>4104</v>
      </c>
      <c r="E470" t="s">
        <v>4207</v>
      </c>
      <c r="F470">
        <v>2</v>
      </c>
      <c r="G470">
        <v>6</v>
      </c>
      <c r="H470" t="s">
        <v>3906</v>
      </c>
      <c r="J470" t="s">
        <v>588</v>
      </c>
    </row>
    <row r="471" spans="1:10" x14ac:dyDescent="0.3">
      <c r="A471" t="s">
        <v>557</v>
      </c>
      <c r="B471" s="452">
        <v>46082</v>
      </c>
      <c r="C471" t="s">
        <v>4166</v>
      </c>
      <c r="D471" t="s">
        <v>4104</v>
      </c>
      <c r="E471" t="s">
        <v>4137</v>
      </c>
      <c r="F471">
        <v>1</v>
      </c>
      <c r="G471">
        <v>11.1</v>
      </c>
      <c r="H471" t="s">
        <v>4133</v>
      </c>
      <c r="J471" t="s">
        <v>588</v>
      </c>
    </row>
    <row r="472" spans="1:10" x14ac:dyDescent="0.3">
      <c r="A472" t="s">
        <v>557</v>
      </c>
      <c r="B472" s="452">
        <v>46082</v>
      </c>
      <c r="C472" t="s">
        <v>4301</v>
      </c>
      <c r="D472" t="s">
        <v>4104</v>
      </c>
      <c r="E472" t="s">
        <v>4132</v>
      </c>
      <c r="F472">
        <v>1</v>
      </c>
      <c r="G472">
        <v>14.7</v>
      </c>
      <c r="H472" t="s">
        <v>4126</v>
      </c>
      <c r="J472" t="s">
        <v>588</v>
      </c>
    </row>
    <row r="473" spans="1:10" x14ac:dyDescent="0.3">
      <c r="A473" t="s">
        <v>557</v>
      </c>
      <c r="B473" s="452">
        <v>46082</v>
      </c>
      <c r="C473" t="s">
        <v>4165</v>
      </c>
      <c r="D473" t="s">
        <v>4104</v>
      </c>
      <c r="E473" t="s">
        <v>4129</v>
      </c>
      <c r="F473">
        <v>4</v>
      </c>
      <c r="G473">
        <v>16.8</v>
      </c>
      <c r="H473" t="s">
        <v>4126</v>
      </c>
      <c r="J473" t="s">
        <v>588</v>
      </c>
    </row>
    <row r="474" spans="1:10" x14ac:dyDescent="0.3">
      <c r="A474" t="s">
        <v>557</v>
      </c>
      <c r="B474" s="452">
        <v>46082</v>
      </c>
      <c r="C474" t="s">
        <v>4146</v>
      </c>
      <c r="D474" t="s">
        <v>4104</v>
      </c>
      <c r="E474" t="s">
        <v>4129</v>
      </c>
      <c r="F474">
        <v>8</v>
      </c>
      <c r="G474">
        <v>33.6</v>
      </c>
      <c r="H474" t="s">
        <v>4126</v>
      </c>
      <c r="J474" t="s">
        <v>588</v>
      </c>
    </row>
    <row r="475" spans="1:10" x14ac:dyDescent="0.3">
      <c r="A475" t="s">
        <v>557</v>
      </c>
      <c r="B475" s="452">
        <v>46082</v>
      </c>
      <c r="C475" t="s">
        <v>4147</v>
      </c>
      <c r="D475" t="s">
        <v>4104</v>
      </c>
      <c r="E475" t="s">
        <v>4125</v>
      </c>
      <c r="F475">
        <v>10</v>
      </c>
      <c r="G475">
        <v>24</v>
      </c>
      <c r="H475" t="s">
        <v>4126</v>
      </c>
      <c r="J475" t="s">
        <v>588</v>
      </c>
    </row>
    <row r="476" spans="1:10" x14ac:dyDescent="0.3">
      <c r="A476" t="s">
        <v>557</v>
      </c>
      <c r="B476" s="452">
        <v>46082</v>
      </c>
      <c r="C476" t="s">
        <v>4251</v>
      </c>
      <c r="D476" t="s">
        <v>4104</v>
      </c>
      <c r="E476" t="s">
        <v>4184</v>
      </c>
      <c r="F476">
        <v>1</v>
      </c>
      <c r="G476">
        <v>23.7</v>
      </c>
      <c r="H476" t="s">
        <v>4133</v>
      </c>
      <c r="J476" t="s">
        <v>588</v>
      </c>
    </row>
    <row r="477" spans="1:10" x14ac:dyDescent="0.3">
      <c r="A477" t="s">
        <v>557</v>
      </c>
      <c r="B477" s="452">
        <v>46082</v>
      </c>
      <c r="C477" t="s">
        <v>4205</v>
      </c>
      <c r="D477" t="s">
        <v>4104</v>
      </c>
      <c r="E477" t="s">
        <v>4129</v>
      </c>
      <c r="F477">
        <v>5</v>
      </c>
      <c r="G477">
        <v>24</v>
      </c>
      <c r="H477" t="s">
        <v>4126</v>
      </c>
      <c r="J477" t="s">
        <v>588</v>
      </c>
    </row>
    <row r="478" spans="1:10" x14ac:dyDescent="0.3">
      <c r="A478" t="s">
        <v>557</v>
      </c>
      <c r="B478" s="452">
        <v>46082</v>
      </c>
      <c r="C478" t="s">
        <v>4219</v>
      </c>
      <c r="D478" t="s">
        <v>4104</v>
      </c>
      <c r="E478" t="s">
        <v>4125</v>
      </c>
      <c r="F478">
        <v>6</v>
      </c>
      <c r="G478">
        <v>36</v>
      </c>
      <c r="H478" t="s">
        <v>4126</v>
      </c>
      <c r="J478" t="s">
        <v>588</v>
      </c>
    </row>
    <row r="479" spans="1:10" x14ac:dyDescent="0.3">
      <c r="A479" t="s">
        <v>557</v>
      </c>
      <c r="B479" s="452">
        <v>46082</v>
      </c>
      <c r="C479" t="s">
        <v>4124</v>
      </c>
      <c r="D479" t="s">
        <v>4104</v>
      </c>
      <c r="E479" t="s">
        <v>4125</v>
      </c>
      <c r="F479">
        <v>13</v>
      </c>
      <c r="G479">
        <v>31.2</v>
      </c>
      <c r="H479" t="s">
        <v>4126</v>
      </c>
      <c r="J479" t="s">
        <v>588</v>
      </c>
    </row>
    <row r="480" spans="1:10" x14ac:dyDescent="0.3">
      <c r="A480" t="s">
        <v>557</v>
      </c>
      <c r="B480" s="452">
        <v>46082</v>
      </c>
      <c r="C480" t="s">
        <v>4208</v>
      </c>
      <c r="D480" t="s">
        <v>4104</v>
      </c>
      <c r="E480" t="s">
        <v>4129</v>
      </c>
      <c r="F480">
        <v>3</v>
      </c>
      <c r="G480">
        <v>12.6</v>
      </c>
      <c r="H480" t="s">
        <v>4126</v>
      </c>
      <c r="J480" t="s">
        <v>588</v>
      </c>
    </row>
    <row r="481" spans="1:10" x14ac:dyDescent="0.3">
      <c r="A481" t="s">
        <v>557</v>
      </c>
      <c r="B481" s="452">
        <v>46082</v>
      </c>
      <c r="C481" t="s">
        <v>4268</v>
      </c>
      <c r="D481" t="s">
        <v>4104</v>
      </c>
      <c r="E481" t="s">
        <v>4115</v>
      </c>
      <c r="F481">
        <v>9</v>
      </c>
      <c r="G481">
        <v>0</v>
      </c>
      <c r="H481" t="s">
        <v>4126</v>
      </c>
      <c r="J481" t="s">
        <v>588</v>
      </c>
    </row>
    <row r="482" spans="1:10" x14ac:dyDescent="0.3">
      <c r="A482" t="s">
        <v>557</v>
      </c>
      <c r="B482" s="452">
        <v>46082</v>
      </c>
      <c r="C482" t="s">
        <v>4250</v>
      </c>
      <c r="D482" t="s">
        <v>4104</v>
      </c>
      <c r="E482" t="s">
        <v>4139</v>
      </c>
      <c r="F482">
        <v>1</v>
      </c>
      <c r="G482">
        <v>8.4</v>
      </c>
      <c r="H482" t="s">
        <v>4133</v>
      </c>
      <c r="J482" t="s">
        <v>588</v>
      </c>
    </row>
    <row r="483" spans="1:10" x14ac:dyDescent="0.3">
      <c r="A483" t="s">
        <v>557</v>
      </c>
      <c r="B483" s="452">
        <v>46082</v>
      </c>
      <c r="C483" t="s">
        <v>4209</v>
      </c>
      <c r="D483" t="s">
        <v>4104</v>
      </c>
      <c r="E483" t="s">
        <v>4193</v>
      </c>
      <c r="F483">
        <v>2</v>
      </c>
      <c r="G483">
        <v>29.4</v>
      </c>
      <c r="H483" t="s">
        <v>4133</v>
      </c>
      <c r="J483" t="s">
        <v>588</v>
      </c>
    </row>
    <row r="484" spans="1:10" x14ac:dyDescent="0.3">
      <c r="A484" t="s">
        <v>557</v>
      </c>
      <c r="B484" s="452">
        <v>46082</v>
      </c>
      <c r="C484" t="s">
        <v>4302</v>
      </c>
      <c r="D484" t="s">
        <v>4104</v>
      </c>
      <c r="E484" t="s">
        <v>4132</v>
      </c>
      <c r="F484">
        <v>1</v>
      </c>
      <c r="G484">
        <v>12</v>
      </c>
      <c r="H484" t="s">
        <v>4126</v>
      </c>
      <c r="J484" t="s">
        <v>588</v>
      </c>
    </row>
    <row r="485" spans="1:10" x14ac:dyDescent="0.3">
      <c r="A485" t="s">
        <v>557</v>
      </c>
      <c r="B485" s="452">
        <v>46082</v>
      </c>
      <c r="C485" t="s">
        <v>4264</v>
      </c>
      <c r="D485" t="s">
        <v>4104</v>
      </c>
      <c r="E485" t="s">
        <v>4193</v>
      </c>
      <c r="F485">
        <v>2</v>
      </c>
      <c r="G485">
        <v>34.799999999999997</v>
      </c>
      <c r="H485" t="s">
        <v>4133</v>
      </c>
      <c r="J485" t="s">
        <v>588</v>
      </c>
    </row>
    <row r="486" spans="1:10" x14ac:dyDescent="0.3">
      <c r="A486" t="s">
        <v>557</v>
      </c>
      <c r="B486" s="452">
        <v>46082</v>
      </c>
      <c r="C486" t="s">
        <v>4136</v>
      </c>
      <c r="D486" t="s">
        <v>4104</v>
      </c>
      <c r="E486" t="s">
        <v>4137</v>
      </c>
      <c r="F486">
        <v>1</v>
      </c>
      <c r="G486">
        <v>11.7</v>
      </c>
      <c r="H486" t="s">
        <v>4133</v>
      </c>
      <c r="J486" t="s">
        <v>588</v>
      </c>
    </row>
    <row r="487" spans="1:10" x14ac:dyDescent="0.3">
      <c r="A487" t="s">
        <v>557</v>
      </c>
      <c r="B487" s="452">
        <v>46082</v>
      </c>
      <c r="C487" t="s">
        <v>4164</v>
      </c>
      <c r="D487" t="s">
        <v>4104</v>
      </c>
      <c r="E487" t="s">
        <v>4137</v>
      </c>
      <c r="F487">
        <v>1</v>
      </c>
      <c r="G487">
        <v>11.7</v>
      </c>
      <c r="H487" t="s">
        <v>4133</v>
      </c>
      <c r="J487" t="s">
        <v>588</v>
      </c>
    </row>
    <row r="488" spans="1:10" x14ac:dyDescent="0.3">
      <c r="A488" t="s">
        <v>557</v>
      </c>
      <c r="B488" s="452">
        <v>46082</v>
      </c>
      <c r="C488" t="s">
        <v>4161</v>
      </c>
      <c r="D488" t="s">
        <v>4105</v>
      </c>
      <c r="E488" t="s">
        <v>4162</v>
      </c>
      <c r="F488">
        <v>1</v>
      </c>
      <c r="G488">
        <v>14.7</v>
      </c>
      <c r="H488" t="s">
        <v>4133</v>
      </c>
      <c r="J488" t="s">
        <v>588</v>
      </c>
    </row>
    <row r="489" spans="1:10" x14ac:dyDescent="0.3">
      <c r="A489" t="s">
        <v>557</v>
      </c>
      <c r="B489" s="452">
        <v>46082</v>
      </c>
      <c r="C489" t="s">
        <v>4265</v>
      </c>
      <c r="D489" t="s">
        <v>4105</v>
      </c>
      <c r="E489" t="s">
        <v>4243</v>
      </c>
      <c r="F489">
        <v>9</v>
      </c>
      <c r="G489">
        <v>62.1</v>
      </c>
      <c r="H489" t="s">
        <v>4126</v>
      </c>
      <c r="J489" t="s">
        <v>588</v>
      </c>
    </row>
    <row r="490" spans="1:10" x14ac:dyDescent="0.3">
      <c r="A490" t="s">
        <v>557</v>
      </c>
      <c r="B490" s="452">
        <v>46082</v>
      </c>
      <c r="C490" t="s">
        <v>4231</v>
      </c>
      <c r="D490" t="s">
        <v>4105</v>
      </c>
      <c r="E490" t="s">
        <v>4232</v>
      </c>
      <c r="F490">
        <v>3</v>
      </c>
      <c r="G490">
        <v>100.8</v>
      </c>
      <c r="H490" t="s">
        <v>4126</v>
      </c>
      <c r="J490" t="s">
        <v>588</v>
      </c>
    </row>
    <row r="491" spans="1:10" x14ac:dyDescent="0.3">
      <c r="A491" t="s">
        <v>557</v>
      </c>
      <c r="B491" s="452">
        <v>46082</v>
      </c>
      <c r="C491" t="s">
        <v>4303</v>
      </c>
      <c r="D491" t="s">
        <v>4105</v>
      </c>
      <c r="E491" t="s">
        <v>4304</v>
      </c>
      <c r="F491">
        <v>3</v>
      </c>
      <c r="G491">
        <v>28.8</v>
      </c>
      <c r="H491" t="s">
        <v>4126</v>
      </c>
      <c r="J491" t="s">
        <v>588</v>
      </c>
    </row>
    <row r="492" spans="1:10" x14ac:dyDescent="0.3">
      <c r="A492" t="s">
        <v>557</v>
      </c>
      <c r="B492" s="452">
        <v>46082</v>
      </c>
      <c r="C492" t="s">
        <v>4128</v>
      </c>
      <c r="D492" t="s">
        <v>4105</v>
      </c>
      <c r="E492" t="s">
        <v>4129</v>
      </c>
      <c r="F492">
        <v>20</v>
      </c>
      <c r="G492">
        <v>45</v>
      </c>
      <c r="H492" t="s">
        <v>4126</v>
      </c>
      <c r="J492" t="s">
        <v>588</v>
      </c>
    </row>
    <row r="493" spans="1:10" x14ac:dyDescent="0.3">
      <c r="A493" t="s">
        <v>557</v>
      </c>
      <c r="B493" s="452">
        <v>46082</v>
      </c>
      <c r="C493" t="s">
        <v>4127</v>
      </c>
      <c r="D493" t="s">
        <v>4105</v>
      </c>
      <c r="E493" t="s">
        <v>4125</v>
      </c>
      <c r="F493">
        <v>3</v>
      </c>
      <c r="G493">
        <v>7.2</v>
      </c>
      <c r="H493" t="s">
        <v>4126</v>
      </c>
      <c r="J493" t="s">
        <v>588</v>
      </c>
    </row>
    <row r="494" spans="1:10" x14ac:dyDescent="0.3">
      <c r="A494" t="s">
        <v>557</v>
      </c>
      <c r="B494" s="452">
        <v>46082</v>
      </c>
      <c r="C494" t="s">
        <v>4248</v>
      </c>
      <c r="D494" t="s">
        <v>4105</v>
      </c>
      <c r="E494" t="s">
        <v>4139</v>
      </c>
      <c r="F494">
        <v>1</v>
      </c>
      <c r="G494">
        <v>8.4</v>
      </c>
      <c r="H494" t="s">
        <v>4133</v>
      </c>
      <c r="J494" t="s">
        <v>588</v>
      </c>
    </row>
    <row r="495" spans="1:10" x14ac:dyDescent="0.3">
      <c r="A495" t="s">
        <v>557</v>
      </c>
      <c r="B495" s="452">
        <v>46082</v>
      </c>
      <c r="C495" t="s">
        <v>4163</v>
      </c>
      <c r="D495" t="s">
        <v>4105</v>
      </c>
      <c r="E495" t="s">
        <v>4149</v>
      </c>
      <c r="F495">
        <v>3</v>
      </c>
      <c r="G495">
        <v>92.7</v>
      </c>
      <c r="H495" t="s">
        <v>4133</v>
      </c>
      <c r="J495" t="s">
        <v>588</v>
      </c>
    </row>
    <row r="496" spans="1:10" x14ac:dyDescent="0.3">
      <c r="A496" t="s">
        <v>557</v>
      </c>
      <c r="B496" s="452">
        <v>46082</v>
      </c>
      <c r="C496" t="s">
        <v>4197</v>
      </c>
      <c r="D496" t="s">
        <v>4105</v>
      </c>
      <c r="E496" t="s">
        <v>4135</v>
      </c>
      <c r="F496">
        <v>11</v>
      </c>
      <c r="G496">
        <v>52.8</v>
      </c>
      <c r="H496" t="s">
        <v>4133</v>
      </c>
      <c r="J496" t="s">
        <v>588</v>
      </c>
    </row>
    <row r="497" spans="1:10" x14ac:dyDescent="0.3">
      <c r="A497" t="s">
        <v>557</v>
      </c>
      <c r="B497" s="452">
        <v>46082</v>
      </c>
      <c r="C497" t="s">
        <v>4247</v>
      </c>
      <c r="D497" t="s">
        <v>4105</v>
      </c>
      <c r="E497" t="s">
        <v>4139</v>
      </c>
      <c r="F497">
        <v>4</v>
      </c>
      <c r="G497">
        <v>14.4</v>
      </c>
      <c r="H497" t="s">
        <v>4133</v>
      </c>
      <c r="J497" t="s">
        <v>588</v>
      </c>
    </row>
    <row r="498" spans="1:10" x14ac:dyDescent="0.3">
      <c r="A498" t="s">
        <v>557</v>
      </c>
      <c r="B498" s="452">
        <v>46082</v>
      </c>
      <c r="C498" t="s">
        <v>4140</v>
      </c>
      <c r="D498" t="s">
        <v>4105</v>
      </c>
      <c r="E498" t="s">
        <v>4129</v>
      </c>
      <c r="F498">
        <v>13</v>
      </c>
      <c r="G498">
        <v>29.25</v>
      </c>
      <c r="H498" t="s">
        <v>4126</v>
      </c>
      <c r="J498" t="s">
        <v>588</v>
      </c>
    </row>
    <row r="499" spans="1:10" x14ac:dyDescent="0.3">
      <c r="A499" t="s">
        <v>557</v>
      </c>
      <c r="B499" s="452">
        <v>46082</v>
      </c>
      <c r="C499" t="s">
        <v>4141</v>
      </c>
      <c r="D499" t="s">
        <v>4105</v>
      </c>
      <c r="E499" t="s">
        <v>4142</v>
      </c>
      <c r="F499">
        <v>73</v>
      </c>
      <c r="G499">
        <v>304.41000000000003</v>
      </c>
      <c r="H499" t="s">
        <v>4126</v>
      </c>
      <c r="J499" t="s">
        <v>588</v>
      </c>
    </row>
    <row r="500" spans="1:10" x14ac:dyDescent="0.3">
      <c r="A500" t="s">
        <v>557</v>
      </c>
      <c r="B500" s="452">
        <v>46082</v>
      </c>
      <c r="C500" t="s">
        <v>4155</v>
      </c>
      <c r="D500" t="s">
        <v>4105</v>
      </c>
      <c r="E500" t="s">
        <v>4156</v>
      </c>
      <c r="F500">
        <v>15</v>
      </c>
      <c r="G500">
        <v>94.5</v>
      </c>
      <c r="H500" t="s">
        <v>4126</v>
      </c>
      <c r="J500" t="s">
        <v>588</v>
      </c>
    </row>
    <row r="501" spans="1:10" x14ac:dyDescent="0.3">
      <c r="A501" t="s">
        <v>557</v>
      </c>
      <c r="B501" s="452">
        <v>46082</v>
      </c>
      <c r="C501" t="s">
        <v>4205</v>
      </c>
      <c r="D501" t="s">
        <v>4105</v>
      </c>
      <c r="E501" t="s">
        <v>4129</v>
      </c>
      <c r="F501">
        <v>7</v>
      </c>
      <c r="G501">
        <v>33</v>
      </c>
      <c r="H501" t="s">
        <v>4126</v>
      </c>
      <c r="J501" t="s">
        <v>588</v>
      </c>
    </row>
    <row r="502" spans="1:10" x14ac:dyDescent="0.3">
      <c r="A502" t="s">
        <v>557</v>
      </c>
      <c r="B502" s="452">
        <v>46082</v>
      </c>
      <c r="C502" t="s">
        <v>4219</v>
      </c>
      <c r="D502" t="s">
        <v>4105</v>
      </c>
      <c r="E502" t="s">
        <v>4125</v>
      </c>
      <c r="F502">
        <v>2</v>
      </c>
      <c r="G502">
        <v>12</v>
      </c>
      <c r="H502" t="s">
        <v>4126</v>
      </c>
      <c r="J502" t="s">
        <v>588</v>
      </c>
    </row>
    <row r="503" spans="1:10" x14ac:dyDescent="0.3">
      <c r="A503" t="s">
        <v>557</v>
      </c>
      <c r="B503" s="452">
        <v>46082</v>
      </c>
      <c r="C503" t="s">
        <v>4124</v>
      </c>
      <c r="D503" t="s">
        <v>4105</v>
      </c>
      <c r="E503" t="s">
        <v>4125</v>
      </c>
      <c r="F503">
        <v>5</v>
      </c>
      <c r="G503">
        <v>12</v>
      </c>
      <c r="H503" t="s">
        <v>4126</v>
      </c>
      <c r="J503" t="s">
        <v>588</v>
      </c>
    </row>
    <row r="504" spans="1:10" x14ac:dyDescent="0.3">
      <c r="A504" t="s">
        <v>557</v>
      </c>
      <c r="B504" s="452">
        <v>46082</v>
      </c>
      <c r="C504" t="s">
        <v>4208</v>
      </c>
      <c r="D504" t="s">
        <v>4105</v>
      </c>
      <c r="E504" t="s">
        <v>4129</v>
      </c>
      <c r="F504">
        <v>7</v>
      </c>
      <c r="G504">
        <v>29.4</v>
      </c>
      <c r="H504" t="s">
        <v>4126</v>
      </c>
      <c r="J504" t="s">
        <v>588</v>
      </c>
    </row>
    <row r="505" spans="1:10" x14ac:dyDescent="0.3">
      <c r="A505" t="s">
        <v>557</v>
      </c>
      <c r="B505" s="452">
        <v>46082</v>
      </c>
      <c r="C505" t="s">
        <v>4147</v>
      </c>
      <c r="D505" t="s">
        <v>4105</v>
      </c>
      <c r="E505" t="s">
        <v>4125</v>
      </c>
      <c r="F505">
        <v>6</v>
      </c>
      <c r="G505">
        <v>14.4</v>
      </c>
      <c r="H505" t="s">
        <v>4126</v>
      </c>
      <c r="J505" t="s">
        <v>588</v>
      </c>
    </row>
    <row r="506" spans="1:10" x14ac:dyDescent="0.3">
      <c r="A506" t="s">
        <v>557</v>
      </c>
      <c r="B506" s="452">
        <v>46082</v>
      </c>
      <c r="C506" t="s">
        <v>4146</v>
      </c>
      <c r="D506" t="s">
        <v>4105</v>
      </c>
      <c r="E506" t="s">
        <v>4129</v>
      </c>
      <c r="F506">
        <v>20</v>
      </c>
      <c r="G506">
        <v>84</v>
      </c>
      <c r="H506" t="s">
        <v>4126</v>
      </c>
      <c r="J506" t="s">
        <v>588</v>
      </c>
    </row>
    <row r="507" spans="1:10" x14ac:dyDescent="0.3">
      <c r="A507" t="s">
        <v>557</v>
      </c>
      <c r="B507" s="452">
        <v>46082</v>
      </c>
      <c r="C507" t="s">
        <v>4165</v>
      </c>
      <c r="D507" t="s">
        <v>4105</v>
      </c>
      <c r="E507" t="s">
        <v>4129</v>
      </c>
      <c r="F507">
        <v>11</v>
      </c>
      <c r="G507">
        <v>46.2</v>
      </c>
      <c r="H507" t="s">
        <v>4126</v>
      </c>
      <c r="J507" t="s">
        <v>588</v>
      </c>
    </row>
    <row r="508" spans="1:10" x14ac:dyDescent="0.3">
      <c r="A508" t="s">
        <v>557</v>
      </c>
      <c r="B508" s="452">
        <v>46082</v>
      </c>
      <c r="C508" t="s">
        <v>4301</v>
      </c>
      <c r="D508" t="s">
        <v>4105</v>
      </c>
      <c r="E508" t="s">
        <v>4132</v>
      </c>
      <c r="F508">
        <v>1</v>
      </c>
      <c r="G508">
        <v>14.7</v>
      </c>
      <c r="H508" t="s">
        <v>4126</v>
      </c>
      <c r="J508" t="s">
        <v>588</v>
      </c>
    </row>
    <row r="509" spans="1:10" x14ac:dyDescent="0.3">
      <c r="A509" t="s">
        <v>557</v>
      </c>
      <c r="B509" s="452">
        <v>46082</v>
      </c>
      <c r="C509" t="s">
        <v>4218</v>
      </c>
      <c r="D509" t="s">
        <v>4105</v>
      </c>
      <c r="E509" t="s">
        <v>4162</v>
      </c>
      <c r="F509">
        <v>1</v>
      </c>
      <c r="G509">
        <v>14.7</v>
      </c>
      <c r="H509" t="s">
        <v>4133</v>
      </c>
      <c r="J509" t="s">
        <v>588</v>
      </c>
    </row>
    <row r="510" spans="1:10" x14ac:dyDescent="0.3">
      <c r="A510" t="s">
        <v>557</v>
      </c>
      <c r="B510" s="452">
        <v>46082</v>
      </c>
      <c r="C510" t="s">
        <v>4166</v>
      </c>
      <c r="D510" t="s">
        <v>4105</v>
      </c>
      <c r="E510" t="s">
        <v>4137</v>
      </c>
      <c r="F510">
        <v>4</v>
      </c>
      <c r="G510">
        <v>44.4</v>
      </c>
      <c r="H510" t="s">
        <v>4133</v>
      </c>
      <c r="J510" t="s">
        <v>588</v>
      </c>
    </row>
    <row r="511" spans="1:10" x14ac:dyDescent="0.3">
      <c r="A511" t="s">
        <v>557</v>
      </c>
      <c r="B511" s="452">
        <v>46082</v>
      </c>
      <c r="C511" t="s">
        <v>4305</v>
      </c>
      <c r="D511" t="s">
        <v>4105</v>
      </c>
      <c r="E511" t="s">
        <v>4270</v>
      </c>
      <c r="F511">
        <v>1</v>
      </c>
      <c r="G511">
        <v>12.6</v>
      </c>
      <c r="H511" t="s">
        <v>4126</v>
      </c>
      <c r="J511" t="s">
        <v>588</v>
      </c>
    </row>
    <row r="512" spans="1:10" x14ac:dyDescent="0.3">
      <c r="A512" t="s">
        <v>557</v>
      </c>
      <c r="B512" s="452">
        <v>46082</v>
      </c>
      <c r="C512" t="s">
        <v>4145</v>
      </c>
      <c r="D512" t="s">
        <v>4105</v>
      </c>
      <c r="E512" t="s">
        <v>4125</v>
      </c>
      <c r="F512">
        <v>5</v>
      </c>
      <c r="G512">
        <v>12</v>
      </c>
      <c r="H512" t="s">
        <v>4126</v>
      </c>
      <c r="J512" t="s">
        <v>588</v>
      </c>
    </row>
    <row r="513" spans="1:10" x14ac:dyDescent="0.3">
      <c r="A513" t="s">
        <v>557</v>
      </c>
      <c r="B513" s="452">
        <v>46082</v>
      </c>
      <c r="C513" t="s">
        <v>4167</v>
      </c>
      <c r="D513" t="s">
        <v>4105</v>
      </c>
      <c r="E513" t="s">
        <v>4137</v>
      </c>
      <c r="F513">
        <v>1</v>
      </c>
      <c r="G513">
        <v>7.5</v>
      </c>
      <c r="H513" t="s">
        <v>4133</v>
      </c>
      <c r="J513" t="s">
        <v>588</v>
      </c>
    </row>
    <row r="514" spans="1:10" x14ac:dyDescent="0.3">
      <c r="A514" t="s">
        <v>557</v>
      </c>
      <c r="B514" s="452">
        <v>46082</v>
      </c>
      <c r="C514" t="s">
        <v>4143</v>
      </c>
      <c r="D514" t="s">
        <v>4105</v>
      </c>
      <c r="E514" t="s">
        <v>4144</v>
      </c>
      <c r="F514">
        <v>2</v>
      </c>
      <c r="G514">
        <v>18.899999999999999</v>
      </c>
      <c r="H514" t="s">
        <v>4126</v>
      </c>
      <c r="J514" t="s">
        <v>588</v>
      </c>
    </row>
    <row r="515" spans="1:10" x14ac:dyDescent="0.3">
      <c r="A515" t="s">
        <v>557</v>
      </c>
      <c r="B515" s="452">
        <v>46082</v>
      </c>
      <c r="C515" t="s">
        <v>4246</v>
      </c>
      <c r="D515" t="s">
        <v>4105</v>
      </c>
      <c r="E515" t="s">
        <v>4125</v>
      </c>
      <c r="F515">
        <v>4</v>
      </c>
      <c r="G515">
        <v>9.6</v>
      </c>
      <c r="H515" t="s">
        <v>4126</v>
      </c>
      <c r="J515" t="s">
        <v>588</v>
      </c>
    </row>
    <row r="516" spans="1:10" x14ac:dyDescent="0.3">
      <c r="A516" t="s">
        <v>557</v>
      </c>
      <c r="B516" s="452">
        <v>46082</v>
      </c>
      <c r="C516" t="s">
        <v>4168</v>
      </c>
      <c r="D516" t="s">
        <v>4105</v>
      </c>
      <c r="E516" t="s">
        <v>4169</v>
      </c>
      <c r="F516">
        <v>1</v>
      </c>
      <c r="G516">
        <v>12.6</v>
      </c>
      <c r="H516" t="s">
        <v>4126</v>
      </c>
      <c r="J516" t="s">
        <v>588</v>
      </c>
    </row>
    <row r="517" spans="1:10" x14ac:dyDescent="0.3">
      <c r="A517" t="s">
        <v>557</v>
      </c>
      <c r="B517" s="452">
        <v>46082</v>
      </c>
      <c r="C517" t="s">
        <v>4181</v>
      </c>
      <c r="D517" t="s">
        <v>4105</v>
      </c>
      <c r="E517" t="s">
        <v>4149</v>
      </c>
      <c r="F517">
        <v>2</v>
      </c>
      <c r="G517">
        <v>96</v>
      </c>
      <c r="J517" t="s">
        <v>588</v>
      </c>
    </row>
    <row r="518" spans="1:10" x14ac:dyDescent="0.3">
      <c r="A518" t="s">
        <v>557</v>
      </c>
      <c r="B518" s="452">
        <v>46082</v>
      </c>
      <c r="C518" t="s">
        <v>4216</v>
      </c>
      <c r="D518" t="s">
        <v>4105</v>
      </c>
      <c r="E518" t="s">
        <v>4149</v>
      </c>
      <c r="F518">
        <v>1</v>
      </c>
      <c r="G518">
        <v>29.4</v>
      </c>
      <c r="H518" t="s">
        <v>4133</v>
      </c>
      <c r="J518" t="s">
        <v>588</v>
      </c>
    </row>
    <row r="519" spans="1:10" x14ac:dyDescent="0.3">
      <c r="A519" t="s">
        <v>557</v>
      </c>
      <c r="B519" s="452">
        <v>46082</v>
      </c>
      <c r="C519" t="s">
        <v>4215</v>
      </c>
      <c r="D519" t="s">
        <v>4105</v>
      </c>
      <c r="E519" t="s">
        <v>4137</v>
      </c>
      <c r="F519">
        <v>2</v>
      </c>
      <c r="G519">
        <v>39</v>
      </c>
      <c r="H519" t="s">
        <v>4133</v>
      </c>
      <c r="J519" t="s">
        <v>588</v>
      </c>
    </row>
    <row r="520" spans="1:10" x14ac:dyDescent="0.3">
      <c r="A520" t="s">
        <v>557</v>
      </c>
      <c r="B520" s="452">
        <v>46082</v>
      </c>
      <c r="C520" t="s">
        <v>4214</v>
      </c>
      <c r="D520" t="s">
        <v>4105</v>
      </c>
      <c r="E520" t="s">
        <v>4137</v>
      </c>
      <c r="F520">
        <v>6</v>
      </c>
      <c r="G520">
        <v>124.2</v>
      </c>
      <c r="H520" t="s">
        <v>4133</v>
      </c>
      <c r="J520" t="s">
        <v>588</v>
      </c>
    </row>
    <row r="521" spans="1:10" x14ac:dyDescent="0.3">
      <c r="A521" t="s">
        <v>557</v>
      </c>
      <c r="B521" s="452">
        <v>46082</v>
      </c>
      <c r="C521" t="s">
        <v>4213</v>
      </c>
      <c r="D521" t="s">
        <v>4105</v>
      </c>
      <c r="E521" t="s">
        <v>4137</v>
      </c>
      <c r="F521">
        <v>4</v>
      </c>
      <c r="G521">
        <v>50.4</v>
      </c>
      <c r="H521" t="s">
        <v>4133</v>
      </c>
      <c r="J521" t="s">
        <v>588</v>
      </c>
    </row>
    <row r="522" spans="1:10" x14ac:dyDescent="0.3">
      <c r="A522" t="s">
        <v>557</v>
      </c>
      <c r="B522" s="452">
        <v>46082</v>
      </c>
      <c r="C522" t="s">
        <v>4182</v>
      </c>
      <c r="D522" t="s">
        <v>4105</v>
      </c>
      <c r="E522" t="s">
        <v>4135</v>
      </c>
      <c r="F522">
        <v>11</v>
      </c>
      <c r="G522">
        <v>92.4</v>
      </c>
      <c r="H522" t="s">
        <v>4133</v>
      </c>
      <c r="J522" t="s">
        <v>588</v>
      </c>
    </row>
    <row r="523" spans="1:10" x14ac:dyDescent="0.3">
      <c r="A523" t="s">
        <v>557</v>
      </c>
      <c r="B523" s="452">
        <v>46082</v>
      </c>
      <c r="C523" t="s">
        <v>4296</v>
      </c>
      <c r="D523" t="s">
        <v>4105</v>
      </c>
      <c r="E523" t="s">
        <v>4227</v>
      </c>
      <c r="F523">
        <v>10</v>
      </c>
      <c r="G523">
        <v>57</v>
      </c>
      <c r="H523" t="s">
        <v>4126</v>
      </c>
      <c r="J523" t="s">
        <v>588</v>
      </c>
    </row>
    <row r="524" spans="1:10" x14ac:dyDescent="0.3">
      <c r="A524" t="s">
        <v>557</v>
      </c>
      <c r="B524" s="452">
        <v>46082</v>
      </c>
      <c r="C524" t="s">
        <v>4281</v>
      </c>
      <c r="D524" t="s">
        <v>4105</v>
      </c>
      <c r="E524" t="s">
        <v>4282</v>
      </c>
      <c r="F524">
        <v>2</v>
      </c>
      <c r="G524">
        <v>10.8</v>
      </c>
      <c r="H524" t="s">
        <v>4126</v>
      </c>
      <c r="J524" t="s">
        <v>588</v>
      </c>
    </row>
    <row r="525" spans="1:10" x14ac:dyDescent="0.3">
      <c r="A525" t="s">
        <v>557</v>
      </c>
      <c r="B525" s="452">
        <v>46082</v>
      </c>
      <c r="C525" t="s">
        <v>4283</v>
      </c>
      <c r="D525" t="s">
        <v>4105</v>
      </c>
      <c r="E525" t="s">
        <v>4227</v>
      </c>
      <c r="F525">
        <v>3</v>
      </c>
      <c r="G525">
        <v>17.100000000000001</v>
      </c>
      <c r="H525" t="s">
        <v>4126</v>
      </c>
      <c r="J525" t="s">
        <v>588</v>
      </c>
    </row>
    <row r="526" spans="1:10" x14ac:dyDescent="0.3">
      <c r="A526" t="s">
        <v>557</v>
      </c>
      <c r="B526" s="452">
        <v>46082</v>
      </c>
      <c r="C526" t="s">
        <v>4249</v>
      </c>
      <c r="D526" t="s">
        <v>4105</v>
      </c>
      <c r="E526" t="s">
        <v>4139</v>
      </c>
      <c r="F526">
        <v>8</v>
      </c>
      <c r="G526">
        <v>28.8</v>
      </c>
      <c r="H526" t="s">
        <v>4133</v>
      </c>
      <c r="J526" t="s">
        <v>588</v>
      </c>
    </row>
    <row r="527" spans="1:10" x14ac:dyDescent="0.3">
      <c r="A527" t="s">
        <v>557</v>
      </c>
      <c r="B527" s="452">
        <v>46082</v>
      </c>
      <c r="C527" t="s">
        <v>4170</v>
      </c>
      <c r="D527" t="s">
        <v>4105</v>
      </c>
      <c r="E527" t="s">
        <v>4139</v>
      </c>
      <c r="F527">
        <v>3</v>
      </c>
      <c r="G527">
        <v>26.1</v>
      </c>
      <c r="H527" t="s">
        <v>4133</v>
      </c>
      <c r="J527" t="s">
        <v>588</v>
      </c>
    </row>
    <row r="528" spans="1:10" x14ac:dyDescent="0.3">
      <c r="A528" t="s">
        <v>557</v>
      </c>
      <c r="B528" s="452">
        <v>46082</v>
      </c>
      <c r="C528" t="s">
        <v>4157</v>
      </c>
      <c r="D528" t="s">
        <v>4105</v>
      </c>
      <c r="E528" t="s">
        <v>4135</v>
      </c>
      <c r="F528">
        <v>2</v>
      </c>
      <c r="G528">
        <v>7.5</v>
      </c>
      <c r="H528" t="s">
        <v>4133</v>
      </c>
      <c r="J528" t="s">
        <v>588</v>
      </c>
    </row>
    <row r="529" spans="1:10" x14ac:dyDescent="0.3">
      <c r="A529" t="s">
        <v>557</v>
      </c>
      <c r="B529" s="452">
        <v>46082</v>
      </c>
      <c r="C529" t="s">
        <v>4235</v>
      </c>
      <c r="D529" t="s">
        <v>4105</v>
      </c>
      <c r="E529" t="s">
        <v>4139</v>
      </c>
      <c r="F529">
        <v>3</v>
      </c>
      <c r="G529">
        <v>32.4</v>
      </c>
      <c r="H529" t="s">
        <v>4133</v>
      </c>
      <c r="J529" t="s">
        <v>588</v>
      </c>
    </row>
    <row r="530" spans="1:10" x14ac:dyDescent="0.3">
      <c r="A530" t="s">
        <v>557</v>
      </c>
      <c r="B530" s="452">
        <v>46082</v>
      </c>
      <c r="C530" t="s">
        <v>4236</v>
      </c>
      <c r="D530" t="s">
        <v>4105</v>
      </c>
      <c r="E530" t="s">
        <v>4237</v>
      </c>
      <c r="F530">
        <v>37</v>
      </c>
      <c r="G530">
        <v>0</v>
      </c>
      <c r="H530" t="s">
        <v>4126</v>
      </c>
      <c r="J530" t="s">
        <v>588</v>
      </c>
    </row>
    <row r="531" spans="1:10" x14ac:dyDescent="0.3">
      <c r="A531" t="s">
        <v>557</v>
      </c>
      <c r="B531" s="452">
        <v>46082</v>
      </c>
      <c r="C531" t="s">
        <v>4180</v>
      </c>
      <c r="D531" t="s">
        <v>4105</v>
      </c>
      <c r="E531" t="s">
        <v>4137</v>
      </c>
      <c r="F531">
        <v>4</v>
      </c>
      <c r="G531">
        <v>54</v>
      </c>
      <c r="H531" t="s">
        <v>4133</v>
      </c>
      <c r="J531" t="s">
        <v>588</v>
      </c>
    </row>
    <row r="532" spans="1:10" x14ac:dyDescent="0.3">
      <c r="A532" t="s">
        <v>557</v>
      </c>
      <c r="B532" s="452">
        <v>46082</v>
      </c>
      <c r="C532" t="s">
        <v>4183</v>
      </c>
      <c r="D532" t="s">
        <v>4105</v>
      </c>
      <c r="E532" t="s">
        <v>4184</v>
      </c>
      <c r="F532">
        <v>6</v>
      </c>
      <c r="G532">
        <v>116.82</v>
      </c>
      <c r="H532" t="s">
        <v>4133</v>
      </c>
      <c r="J532" t="s">
        <v>588</v>
      </c>
    </row>
    <row r="533" spans="1:10" x14ac:dyDescent="0.3">
      <c r="A533" t="s">
        <v>557</v>
      </c>
      <c r="B533" s="452">
        <v>46082</v>
      </c>
      <c r="C533" t="s">
        <v>4238</v>
      </c>
      <c r="D533" t="s">
        <v>4105</v>
      </c>
      <c r="E533" t="s">
        <v>4149</v>
      </c>
      <c r="F533">
        <v>1</v>
      </c>
      <c r="G533">
        <v>63.6</v>
      </c>
      <c r="J533" t="s">
        <v>588</v>
      </c>
    </row>
    <row r="534" spans="1:10" x14ac:dyDescent="0.3">
      <c r="A534" t="s">
        <v>557</v>
      </c>
      <c r="B534" s="452">
        <v>46082</v>
      </c>
      <c r="C534" t="s">
        <v>4252</v>
      </c>
      <c r="D534" t="s">
        <v>4105</v>
      </c>
      <c r="E534" t="s">
        <v>4184</v>
      </c>
      <c r="F534">
        <v>3</v>
      </c>
      <c r="G534">
        <v>134.1</v>
      </c>
      <c r="H534" t="s">
        <v>4133</v>
      </c>
      <c r="J534" t="s">
        <v>588</v>
      </c>
    </row>
    <row r="535" spans="1:10" x14ac:dyDescent="0.3">
      <c r="A535" t="s">
        <v>557</v>
      </c>
      <c r="B535" s="452">
        <v>46082</v>
      </c>
      <c r="C535" t="s">
        <v>4306</v>
      </c>
      <c r="D535" t="s">
        <v>4105</v>
      </c>
      <c r="E535" t="s">
        <v>4304</v>
      </c>
      <c r="F535">
        <v>1</v>
      </c>
      <c r="G535">
        <v>9.6</v>
      </c>
      <c r="H535" t="s">
        <v>4126</v>
      </c>
      <c r="J535" t="s">
        <v>588</v>
      </c>
    </row>
    <row r="536" spans="1:10" x14ac:dyDescent="0.3">
      <c r="A536" t="s">
        <v>557</v>
      </c>
      <c r="B536" s="452">
        <v>46082</v>
      </c>
      <c r="C536" t="s">
        <v>4138</v>
      </c>
      <c r="D536" t="s">
        <v>4105</v>
      </c>
      <c r="E536" t="s">
        <v>4139</v>
      </c>
      <c r="F536">
        <v>9</v>
      </c>
      <c r="G536">
        <v>62.4</v>
      </c>
      <c r="H536" t="s">
        <v>4133</v>
      </c>
      <c r="J536" t="s">
        <v>588</v>
      </c>
    </row>
    <row r="537" spans="1:10" x14ac:dyDescent="0.3">
      <c r="A537" t="s">
        <v>557</v>
      </c>
      <c r="B537" s="452">
        <v>46082</v>
      </c>
      <c r="C537" t="s">
        <v>4268</v>
      </c>
      <c r="D537" t="s">
        <v>4105</v>
      </c>
      <c r="E537" t="s">
        <v>4115</v>
      </c>
      <c r="F537">
        <v>4</v>
      </c>
      <c r="G537">
        <v>0</v>
      </c>
      <c r="H537" t="s">
        <v>4126</v>
      </c>
      <c r="J537" t="s">
        <v>588</v>
      </c>
    </row>
    <row r="538" spans="1:10" x14ac:dyDescent="0.3">
      <c r="A538" t="s">
        <v>557</v>
      </c>
      <c r="B538" s="452">
        <v>46082</v>
      </c>
      <c r="C538" t="s">
        <v>4210</v>
      </c>
      <c r="D538" t="s">
        <v>4105</v>
      </c>
      <c r="E538" t="s">
        <v>4149</v>
      </c>
      <c r="F538">
        <v>2</v>
      </c>
      <c r="G538">
        <v>50.4</v>
      </c>
      <c r="H538" t="s">
        <v>4133</v>
      </c>
      <c r="J538" t="s">
        <v>588</v>
      </c>
    </row>
    <row r="539" spans="1:10" x14ac:dyDescent="0.3">
      <c r="A539" t="s">
        <v>557</v>
      </c>
      <c r="B539" s="452">
        <v>46082</v>
      </c>
      <c r="C539" t="s">
        <v>4164</v>
      </c>
      <c r="D539" t="s">
        <v>4105</v>
      </c>
      <c r="E539" t="s">
        <v>4137</v>
      </c>
      <c r="F539">
        <v>2</v>
      </c>
      <c r="G539">
        <v>23.4</v>
      </c>
      <c r="H539" t="s">
        <v>4133</v>
      </c>
      <c r="J539" t="s">
        <v>588</v>
      </c>
    </row>
    <row r="540" spans="1:10" x14ac:dyDescent="0.3">
      <c r="A540" t="s">
        <v>557</v>
      </c>
      <c r="B540" s="452">
        <v>46082</v>
      </c>
      <c r="C540" t="s">
        <v>4209</v>
      </c>
      <c r="D540" t="s">
        <v>4105</v>
      </c>
      <c r="E540" t="s">
        <v>4193</v>
      </c>
      <c r="F540">
        <v>14</v>
      </c>
      <c r="G540">
        <v>205.8</v>
      </c>
      <c r="H540" t="s">
        <v>4133</v>
      </c>
      <c r="J540" t="s">
        <v>588</v>
      </c>
    </row>
    <row r="541" spans="1:10" x14ac:dyDescent="0.3">
      <c r="A541" t="s">
        <v>557</v>
      </c>
      <c r="B541" s="452">
        <v>46082</v>
      </c>
      <c r="C541" t="s">
        <v>4264</v>
      </c>
      <c r="D541" t="s">
        <v>4105</v>
      </c>
      <c r="E541" t="s">
        <v>4193</v>
      </c>
      <c r="F541">
        <v>5</v>
      </c>
      <c r="G541">
        <v>87</v>
      </c>
      <c r="H541" t="s">
        <v>4133</v>
      </c>
      <c r="J541" t="s">
        <v>588</v>
      </c>
    </row>
    <row r="542" spans="1:10" x14ac:dyDescent="0.3">
      <c r="A542" t="s">
        <v>557</v>
      </c>
      <c r="B542" s="452">
        <v>46082</v>
      </c>
      <c r="C542" t="s">
        <v>4136</v>
      </c>
      <c r="D542" t="s">
        <v>4105</v>
      </c>
      <c r="E542" t="s">
        <v>4137</v>
      </c>
      <c r="F542">
        <v>6</v>
      </c>
      <c r="G542">
        <v>70.2</v>
      </c>
      <c r="H542" t="s">
        <v>4133</v>
      </c>
      <c r="J542" t="s">
        <v>588</v>
      </c>
    </row>
    <row r="543" spans="1:10" x14ac:dyDescent="0.3">
      <c r="A543" t="s">
        <v>557</v>
      </c>
      <c r="B543" s="452">
        <v>46082</v>
      </c>
      <c r="C543" t="s">
        <v>4230</v>
      </c>
      <c r="D543" t="s">
        <v>4105</v>
      </c>
      <c r="E543" t="s">
        <v>4137</v>
      </c>
      <c r="F543">
        <v>6</v>
      </c>
      <c r="G543">
        <v>115.2</v>
      </c>
      <c r="H543" t="s">
        <v>4133</v>
      </c>
      <c r="J543" t="s">
        <v>588</v>
      </c>
    </row>
    <row r="544" spans="1:10" x14ac:dyDescent="0.3">
      <c r="A544" t="s">
        <v>557</v>
      </c>
      <c r="B544" s="452">
        <v>46082</v>
      </c>
      <c r="C544" t="s">
        <v>4158</v>
      </c>
      <c r="D544" t="s">
        <v>4105</v>
      </c>
      <c r="E544" t="s">
        <v>4137</v>
      </c>
      <c r="F544">
        <v>2</v>
      </c>
      <c r="G544">
        <v>27</v>
      </c>
      <c r="H544" t="s">
        <v>4133</v>
      </c>
      <c r="J544" t="s">
        <v>588</v>
      </c>
    </row>
    <row r="545" spans="1:10" x14ac:dyDescent="0.3">
      <c r="A545" t="s">
        <v>557</v>
      </c>
      <c r="B545" s="452">
        <v>46082</v>
      </c>
      <c r="C545" t="s">
        <v>4260</v>
      </c>
      <c r="D545" t="s">
        <v>4105</v>
      </c>
      <c r="E545" t="s">
        <v>4132</v>
      </c>
      <c r="F545">
        <v>2</v>
      </c>
      <c r="G545">
        <v>23.4</v>
      </c>
      <c r="H545" t="s">
        <v>4126</v>
      </c>
      <c r="J545" t="s">
        <v>588</v>
      </c>
    </row>
    <row r="546" spans="1:10" x14ac:dyDescent="0.3">
      <c r="A546" t="s">
        <v>557</v>
      </c>
      <c r="B546" s="452">
        <v>46082</v>
      </c>
      <c r="C546" t="s">
        <v>4199</v>
      </c>
      <c r="D546" t="s">
        <v>4105</v>
      </c>
      <c r="E546" t="s">
        <v>4137</v>
      </c>
      <c r="F546">
        <v>1</v>
      </c>
      <c r="G546">
        <v>17.7</v>
      </c>
      <c r="H546" t="s">
        <v>4133</v>
      </c>
      <c r="J546" t="s">
        <v>588</v>
      </c>
    </row>
    <row r="547" spans="1:10" x14ac:dyDescent="0.3">
      <c r="A547" t="s">
        <v>557</v>
      </c>
      <c r="B547" s="452">
        <v>46082</v>
      </c>
      <c r="C547" t="s">
        <v>4200</v>
      </c>
      <c r="D547" t="s">
        <v>4105</v>
      </c>
      <c r="E547" t="s">
        <v>4135</v>
      </c>
      <c r="F547">
        <v>4</v>
      </c>
      <c r="G547">
        <v>30</v>
      </c>
      <c r="H547" t="s">
        <v>4133</v>
      </c>
      <c r="J547" t="s">
        <v>588</v>
      </c>
    </row>
    <row r="548" spans="1:10" x14ac:dyDescent="0.3">
      <c r="A548" t="s">
        <v>557</v>
      </c>
      <c r="B548" s="452">
        <v>46082</v>
      </c>
      <c r="C548" t="s">
        <v>4159</v>
      </c>
      <c r="D548" t="s">
        <v>4105</v>
      </c>
      <c r="E548" t="s">
        <v>4135</v>
      </c>
      <c r="F548">
        <v>7</v>
      </c>
      <c r="G548">
        <v>60.9</v>
      </c>
      <c r="H548" t="s">
        <v>4133</v>
      </c>
      <c r="J548" t="s">
        <v>588</v>
      </c>
    </row>
    <row r="549" spans="1:10" x14ac:dyDescent="0.3">
      <c r="A549" t="s">
        <v>557</v>
      </c>
      <c r="B549" s="452">
        <v>46082</v>
      </c>
      <c r="C549" t="s">
        <v>4275</v>
      </c>
      <c r="D549" t="s">
        <v>4105</v>
      </c>
      <c r="E549" t="s">
        <v>4139</v>
      </c>
      <c r="F549">
        <v>1</v>
      </c>
      <c r="G549">
        <v>4.2</v>
      </c>
      <c r="H549" t="s">
        <v>4133</v>
      </c>
      <c r="J549" t="s">
        <v>588</v>
      </c>
    </row>
    <row r="550" spans="1:10" x14ac:dyDescent="0.3">
      <c r="A550" t="s">
        <v>557</v>
      </c>
      <c r="B550" s="452">
        <v>46082</v>
      </c>
      <c r="C550" t="s">
        <v>4130</v>
      </c>
      <c r="D550" t="s">
        <v>4105</v>
      </c>
      <c r="E550" t="s">
        <v>4125</v>
      </c>
      <c r="F550">
        <v>6</v>
      </c>
      <c r="G550">
        <v>14.4</v>
      </c>
      <c r="H550" t="s">
        <v>4126</v>
      </c>
      <c r="J550" t="s">
        <v>588</v>
      </c>
    </row>
    <row r="551" spans="1:10" x14ac:dyDescent="0.3">
      <c r="A551" t="s">
        <v>557</v>
      </c>
      <c r="B551" s="452">
        <v>46082</v>
      </c>
      <c r="C551" t="s">
        <v>4229</v>
      </c>
      <c r="D551" t="s">
        <v>4105</v>
      </c>
      <c r="E551" t="s">
        <v>4169</v>
      </c>
      <c r="F551">
        <v>1</v>
      </c>
      <c r="G551">
        <v>12.6</v>
      </c>
      <c r="J551" t="s">
        <v>588</v>
      </c>
    </row>
    <row r="552" spans="1:10" x14ac:dyDescent="0.3">
      <c r="A552" t="s">
        <v>557</v>
      </c>
      <c r="B552" s="452">
        <v>46082</v>
      </c>
      <c r="C552" t="s">
        <v>4192</v>
      </c>
      <c r="D552" t="s">
        <v>4105</v>
      </c>
      <c r="E552" t="s">
        <v>4193</v>
      </c>
      <c r="F552">
        <v>14</v>
      </c>
      <c r="G552">
        <v>235.2</v>
      </c>
      <c r="H552" t="s">
        <v>4133</v>
      </c>
      <c r="J552" t="s">
        <v>588</v>
      </c>
    </row>
    <row r="553" spans="1:10" x14ac:dyDescent="0.3">
      <c r="A553" t="s">
        <v>557</v>
      </c>
      <c r="B553" s="452">
        <v>46082</v>
      </c>
      <c r="C553" t="s">
        <v>4173</v>
      </c>
      <c r="D553" t="s">
        <v>4105</v>
      </c>
      <c r="E553" t="s">
        <v>4174</v>
      </c>
      <c r="F553">
        <v>1</v>
      </c>
      <c r="G553">
        <v>12.6</v>
      </c>
      <c r="H553" t="s">
        <v>4126</v>
      </c>
      <c r="J553" t="s">
        <v>588</v>
      </c>
    </row>
    <row r="554" spans="1:10" x14ac:dyDescent="0.3">
      <c r="A554" t="s">
        <v>557</v>
      </c>
      <c r="B554" s="452">
        <v>46082</v>
      </c>
      <c r="C554" t="s">
        <v>4153</v>
      </c>
      <c r="D554" t="s">
        <v>4105</v>
      </c>
      <c r="E554" t="s">
        <v>4149</v>
      </c>
      <c r="F554">
        <v>3</v>
      </c>
      <c r="G554">
        <v>282.60000000000002</v>
      </c>
      <c r="H554" t="s">
        <v>4133</v>
      </c>
      <c r="J554" t="s">
        <v>588</v>
      </c>
    </row>
    <row r="555" spans="1:10" x14ac:dyDescent="0.3">
      <c r="A555" t="s">
        <v>557</v>
      </c>
      <c r="B555" s="452">
        <v>46082</v>
      </c>
      <c r="C555" t="s">
        <v>4224</v>
      </c>
      <c r="D555" t="s">
        <v>4105</v>
      </c>
      <c r="E555" t="s">
        <v>4149</v>
      </c>
      <c r="F555">
        <v>2</v>
      </c>
      <c r="G555">
        <v>105.3</v>
      </c>
      <c r="H555" t="s">
        <v>4133</v>
      </c>
      <c r="J555" t="s">
        <v>588</v>
      </c>
    </row>
    <row r="556" spans="1:10" x14ac:dyDescent="0.3">
      <c r="A556" t="s">
        <v>557</v>
      </c>
      <c r="B556" s="452">
        <v>46082</v>
      </c>
      <c r="C556" t="s">
        <v>4175</v>
      </c>
      <c r="D556" t="s">
        <v>4105</v>
      </c>
      <c r="E556" t="s">
        <v>4149</v>
      </c>
      <c r="F556">
        <v>2</v>
      </c>
      <c r="G556">
        <v>47.4</v>
      </c>
      <c r="H556" t="s">
        <v>4133</v>
      </c>
      <c r="J556" t="s">
        <v>588</v>
      </c>
    </row>
    <row r="557" spans="1:10" x14ac:dyDescent="0.3">
      <c r="A557" t="s">
        <v>557</v>
      </c>
      <c r="B557" s="452">
        <v>46082</v>
      </c>
      <c r="C557" t="s">
        <v>4226</v>
      </c>
      <c r="D557" t="s">
        <v>4105</v>
      </c>
      <c r="E557" t="s">
        <v>4227</v>
      </c>
      <c r="F557">
        <v>24</v>
      </c>
      <c r="G557">
        <v>129.6</v>
      </c>
      <c r="H557" t="s">
        <v>4126</v>
      </c>
      <c r="J557" t="s">
        <v>588</v>
      </c>
    </row>
    <row r="558" spans="1:10" x14ac:dyDescent="0.3">
      <c r="A558" t="s">
        <v>557</v>
      </c>
      <c r="B558" s="452">
        <v>46082</v>
      </c>
      <c r="C558" t="s">
        <v>4307</v>
      </c>
      <c r="D558" t="s">
        <v>4105</v>
      </c>
      <c r="E558" t="s">
        <v>4190</v>
      </c>
      <c r="F558">
        <v>1</v>
      </c>
      <c r="G558">
        <v>13.5</v>
      </c>
      <c r="H558" t="s">
        <v>4133</v>
      </c>
      <c r="J558" t="s">
        <v>588</v>
      </c>
    </row>
    <row r="559" spans="1:10" x14ac:dyDescent="0.3">
      <c r="A559" t="s">
        <v>557</v>
      </c>
      <c r="B559" s="452">
        <v>46082</v>
      </c>
      <c r="C559" t="s">
        <v>4271</v>
      </c>
      <c r="D559" t="s">
        <v>4105</v>
      </c>
      <c r="E559" t="s">
        <v>4190</v>
      </c>
      <c r="F559">
        <v>1</v>
      </c>
      <c r="G559">
        <v>13.5</v>
      </c>
      <c r="H559" t="s">
        <v>4133</v>
      </c>
      <c r="J559" t="s">
        <v>588</v>
      </c>
    </row>
    <row r="560" spans="1:10" x14ac:dyDescent="0.3">
      <c r="A560" t="s">
        <v>557</v>
      </c>
      <c r="B560" s="452">
        <v>46082</v>
      </c>
      <c r="C560" t="s">
        <v>4171</v>
      </c>
      <c r="D560" t="s">
        <v>4105</v>
      </c>
      <c r="E560" t="s">
        <v>4149</v>
      </c>
      <c r="F560">
        <v>2</v>
      </c>
      <c r="G560">
        <v>62.1</v>
      </c>
      <c r="J560" t="s">
        <v>588</v>
      </c>
    </row>
    <row r="561" spans="1:10" x14ac:dyDescent="0.3">
      <c r="A561" t="s">
        <v>557</v>
      </c>
      <c r="B561" s="452">
        <v>46082</v>
      </c>
      <c r="C561" t="s">
        <v>4186</v>
      </c>
      <c r="D561" t="s">
        <v>4105</v>
      </c>
      <c r="E561" t="s">
        <v>4137</v>
      </c>
      <c r="F561">
        <v>4</v>
      </c>
      <c r="G561">
        <v>50.4</v>
      </c>
      <c r="H561" t="s">
        <v>4133</v>
      </c>
      <c r="J561" t="s">
        <v>588</v>
      </c>
    </row>
    <row r="562" spans="1:10" x14ac:dyDescent="0.3">
      <c r="A562" t="s">
        <v>557</v>
      </c>
      <c r="B562" s="452">
        <v>46082</v>
      </c>
      <c r="C562" t="s">
        <v>4202</v>
      </c>
      <c r="D562" t="s">
        <v>4105</v>
      </c>
      <c r="E562" t="s">
        <v>4169</v>
      </c>
      <c r="F562">
        <v>14</v>
      </c>
      <c r="G562">
        <v>33.6</v>
      </c>
      <c r="H562" t="s">
        <v>4126</v>
      </c>
      <c r="J562" t="s">
        <v>588</v>
      </c>
    </row>
    <row r="563" spans="1:10" x14ac:dyDescent="0.3">
      <c r="A563" t="s">
        <v>557</v>
      </c>
      <c r="B563" s="452">
        <v>46082</v>
      </c>
      <c r="C563" t="s">
        <v>4154</v>
      </c>
      <c r="D563" t="s">
        <v>4105</v>
      </c>
      <c r="E563" t="s">
        <v>4137</v>
      </c>
      <c r="F563">
        <v>4</v>
      </c>
      <c r="G563">
        <v>32.4</v>
      </c>
      <c r="H563" t="s">
        <v>4133</v>
      </c>
      <c r="J563" t="s">
        <v>588</v>
      </c>
    </row>
    <row r="564" spans="1:10" x14ac:dyDescent="0.3">
      <c r="A564" t="s">
        <v>557</v>
      </c>
      <c r="B564" s="452">
        <v>46082</v>
      </c>
      <c r="C564" t="s">
        <v>4196</v>
      </c>
      <c r="D564" t="s">
        <v>4105</v>
      </c>
      <c r="E564" t="s">
        <v>4184</v>
      </c>
      <c r="F564">
        <v>21</v>
      </c>
      <c r="G564">
        <v>452.97</v>
      </c>
      <c r="H564" t="s">
        <v>4133</v>
      </c>
      <c r="J564" t="s">
        <v>588</v>
      </c>
    </row>
    <row r="565" spans="1:10" x14ac:dyDescent="0.3">
      <c r="A565" t="s">
        <v>557</v>
      </c>
      <c r="B565" s="452">
        <v>46082</v>
      </c>
      <c r="C565" t="s">
        <v>4259</v>
      </c>
      <c r="D565" t="s">
        <v>4105</v>
      </c>
      <c r="E565" t="s">
        <v>4137</v>
      </c>
      <c r="F565">
        <v>1</v>
      </c>
      <c r="G565">
        <v>19.5</v>
      </c>
      <c r="H565" t="s">
        <v>4133</v>
      </c>
      <c r="J565" t="s">
        <v>588</v>
      </c>
    </row>
    <row r="566" spans="1:10" x14ac:dyDescent="0.3">
      <c r="A566" t="s">
        <v>557</v>
      </c>
      <c r="B566" s="452">
        <v>46082</v>
      </c>
      <c r="C566" t="s">
        <v>4195</v>
      </c>
      <c r="D566" t="s">
        <v>4105</v>
      </c>
      <c r="E566" t="s">
        <v>4135</v>
      </c>
      <c r="F566">
        <v>1</v>
      </c>
      <c r="G566">
        <v>2.5499999999999998</v>
      </c>
      <c r="H566" t="s">
        <v>4133</v>
      </c>
      <c r="J566" t="s">
        <v>588</v>
      </c>
    </row>
    <row r="567" spans="1:10" x14ac:dyDescent="0.3">
      <c r="A567" t="s">
        <v>557</v>
      </c>
      <c r="B567" s="452">
        <v>46082</v>
      </c>
      <c r="C567" t="s">
        <v>4194</v>
      </c>
      <c r="D567" t="s">
        <v>4105</v>
      </c>
      <c r="E567" t="s">
        <v>4129</v>
      </c>
      <c r="F567">
        <v>12</v>
      </c>
      <c r="G567">
        <v>64.8</v>
      </c>
      <c r="H567" t="s">
        <v>4126</v>
      </c>
      <c r="J567" t="s">
        <v>588</v>
      </c>
    </row>
    <row r="568" spans="1:10" x14ac:dyDescent="0.3">
      <c r="A568" t="s">
        <v>557</v>
      </c>
      <c r="B568" s="452">
        <v>46082</v>
      </c>
      <c r="C568" t="s">
        <v>4152</v>
      </c>
      <c r="D568" t="s">
        <v>4105</v>
      </c>
      <c r="E568" t="s">
        <v>4129</v>
      </c>
      <c r="F568">
        <v>7</v>
      </c>
      <c r="G568">
        <v>29.4</v>
      </c>
      <c r="H568" t="s">
        <v>4126</v>
      </c>
      <c r="J568" t="s">
        <v>588</v>
      </c>
    </row>
    <row r="569" spans="1:10" x14ac:dyDescent="0.3">
      <c r="A569" t="s">
        <v>557</v>
      </c>
      <c r="B569" s="452">
        <v>46082</v>
      </c>
      <c r="C569" t="s">
        <v>4293</v>
      </c>
      <c r="D569" t="s">
        <v>4105</v>
      </c>
      <c r="E569" t="s">
        <v>4129</v>
      </c>
      <c r="F569">
        <v>1</v>
      </c>
      <c r="G569">
        <v>2.25</v>
      </c>
      <c r="H569" t="s">
        <v>4126</v>
      </c>
      <c r="J569" t="s">
        <v>588</v>
      </c>
    </row>
    <row r="570" spans="1:10" x14ac:dyDescent="0.3">
      <c r="A570" t="s">
        <v>557</v>
      </c>
      <c r="B570" s="452">
        <v>46082</v>
      </c>
      <c r="C570" t="s">
        <v>4185</v>
      </c>
      <c r="D570" t="s">
        <v>4105</v>
      </c>
      <c r="E570" t="s">
        <v>4144</v>
      </c>
      <c r="F570">
        <v>4</v>
      </c>
      <c r="G570">
        <v>41.1</v>
      </c>
      <c r="H570" t="s">
        <v>4126</v>
      </c>
      <c r="J570" t="s">
        <v>588</v>
      </c>
    </row>
    <row r="571" spans="1:10" x14ac:dyDescent="0.3">
      <c r="A571" t="s">
        <v>557</v>
      </c>
      <c r="B571" s="452">
        <v>46082</v>
      </c>
      <c r="C571" t="s">
        <v>4234</v>
      </c>
      <c r="D571" t="s">
        <v>4105</v>
      </c>
      <c r="E571" t="s">
        <v>4232</v>
      </c>
      <c r="F571">
        <v>5</v>
      </c>
      <c r="G571">
        <v>168</v>
      </c>
      <c r="H571" t="s">
        <v>4126</v>
      </c>
      <c r="J571" t="s">
        <v>588</v>
      </c>
    </row>
    <row r="572" spans="1:10" x14ac:dyDescent="0.3">
      <c r="A572" t="s">
        <v>557</v>
      </c>
      <c r="B572" s="452">
        <v>46082</v>
      </c>
      <c r="C572" t="s">
        <v>4179</v>
      </c>
      <c r="D572" t="s">
        <v>4105</v>
      </c>
      <c r="E572" t="s">
        <v>4135</v>
      </c>
      <c r="F572">
        <v>6</v>
      </c>
      <c r="G572">
        <v>21.6</v>
      </c>
      <c r="H572" t="s">
        <v>4133</v>
      </c>
      <c r="J572" t="s">
        <v>588</v>
      </c>
    </row>
    <row r="573" spans="1:10" x14ac:dyDescent="0.3">
      <c r="A573" t="s">
        <v>557</v>
      </c>
      <c r="B573" s="452">
        <v>46082</v>
      </c>
      <c r="C573" t="s">
        <v>4187</v>
      </c>
      <c r="D573" t="s">
        <v>4105</v>
      </c>
      <c r="E573" t="s">
        <v>4135</v>
      </c>
      <c r="F573">
        <v>5</v>
      </c>
      <c r="G573">
        <v>17.25</v>
      </c>
      <c r="H573" t="s">
        <v>4133</v>
      </c>
      <c r="J573" t="s">
        <v>588</v>
      </c>
    </row>
    <row r="574" spans="1:10" x14ac:dyDescent="0.3">
      <c r="A574" t="s">
        <v>557</v>
      </c>
      <c r="B574" s="452">
        <v>46082</v>
      </c>
      <c r="C574" t="s">
        <v>4188</v>
      </c>
      <c r="D574" t="s">
        <v>4105</v>
      </c>
      <c r="E574" t="s">
        <v>4137</v>
      </c>
      <c r="F574">
        <v>2</v>
      </c>
      <c r="G574">
        <v>17.399999999999999</v>
      </c>
      <c r="H574" t="s">
        <v>4133</v>
      </c>
      <c r="J574" t="s">
        <v>588</v>
      </c>
    </row>
    <row r="575" spans="1:10" x14ac:dyDescent="0.3">
      <c r="A575" t="s">
        <v>557</v>
      </c>
      <c r="B575" s="452">
        <v>46082</v>
      </c>
      <c r="C575" t="s">
        <v>4189</v>
      </c>
      <c r="D575" t="s">
        <v>4105</v>
      </c>
      <c r="E575" t="s">
        <v>4190</v>
      </c>
      <c r="F575">
        <v>5</v>
      </c>
      <c r="G575">
        <v>67.5</v>
      </c>
      <c r="H575" t="s">
        <v>4133</v>
      </c>
      <c r="J575" t="s">
        <v>588</v>
      </c>
    </row>
    <row r="576" spans="1:10" x14ac:dyDescent="0.3">
      <c r="A576" t="s">
        <v>557</v>
      </c>
      <c r="B576" s="452">
        <v>46082</v>
      </c>
      <c r="C576" t="s">
        <v>4244</v>
      </c>
      <c r="D576" t="s">
        <v>4105</v>
      </c>
      <c r="E576" t="s">
        <v>4139</v>
      </c>
      <c r="F576">
        <v>1</v>
      </c>
      <c r="G576">
        <v>13.2</v>
      </c>
      <c r="H576" t="s">
        <v>4133</v>
      </c>
      <c r="J576" t="s">
        <v>588</v>
      </c>
    </row>
    <row r="577" spans="1:10" x14ac:dyDescent="0.3">
      <c r="A577" t="s">
        <v>557</v>
      </c>
      <c r="B577" s="452">
        <v>46082</v>
      </c>
      <c r="C577" t="s">
        <v>4308</v>
      </c>
      <c r="D577" t="s">
        <v>4105</v>
      </c>
      <c r="E577" t="s">
        <v>4309</v>
      </c>
      <c r="F577">
        <v>2</v>
      </c>
      <c r="G577">
        <v>25.2</v>
      </c>
      <c r="J577" t="s">
        <v>588</v>
      </c>
    </row>
    <row r="578" spans="1:10" x14ac:dyDescent="0.3">
      <c r="A578" t="s">
        <v>557</v>
      </c>
      <c r="B578" s="452">
        <v>46082</v>
      </c>
      <c r="C578" t="s">
        <v>4151</v>
      </c>
      <c r="D578" t="s">
        <v>4105</v>
      </c>
      <c r="E578" t="s">
        <v>4144</v>
      </c>
      <c r="F578">
        <v>4</v>
      </c>
      <c r="G578">
        <v>40.200000000000003</v>
      </c>
      <c r="H578" t="s">
        <v>4126</v>
      </c>
      <c r="J578" t="s">
        <v>588</v>
      </c>
    </row>
    <row r="579" spans="1:10" x14ac:dyDescent="0.3">
      <c r="A579" t="s">
        <v>557</v>
      </c>
      <c r="B579" s="452">
        <v>46082</v>
      </c>
      <c r="C579" t="s">
        <v>4310</v>
      </c>
      <c r="D579" t="s">
        <v>4105</v>
      </c>
      <c r="E579" t="s">
        <v>4311</v>
      </c>
      <c r="F579">
        <v>1</v>
      </c>
      <c r="G579">
        <v>15.3</v>
      </c>
      <c r="H579" t="s">
        <v>4133</v>
      </c>
      <c r="J579" t="s">
        <v>588</v>
      </c>
    </row>
    <row r="580" spans="1:10" x14ac:dyDescent="0.3">
      <c r="A580" t="s">
        <v>557</v>
      </c>
      <c r="B580" s="452">
        <v>46082</v>
      </c>
      <c r="C580" t="s">
        <v>4191</v>
      </c>
      <c r="D580" t="s">
        <v>4105</v>
      </c>
      <c r="E580" t="s">
        <v>4135</v>
      </c>
      <c r="F580">
        <v>1</v>
      </c>
      <c r="G580">
        <v>5.7</v>
      </c>
      <c r="H580" t="s">
        <v>4133</v>
      </c>
      <c r="J580" t="s">
        <v>588</v>
      </c>
    </row>
    <row r="581" spans="1:10" x14ac:dyDescent="0.3">
      <c r="A581" t="s">
        <v>557</v>
      </c>
      <c r="B581" s="452">
        <v>46082</v>
      </c>
      <c r="C581" t="s">
        <v>4222</v>
      </c>
      <c r="D581" t="s">
        <v>4105</v>
      </c>
      <c r="E581" t="s">
        <v>4139</v>
      </c>
      <c r="F581">
        <v>1</v>
      </c>
      <c r="G581">
        <v>5.7</v>
      </c>
      <c r="H581" t="s">
        <v>4133</v>
      </c>
      <c r="J581" t="s">
        <v>588</v>
      </c>
    </row>
    <row r="582" spans="1:10" x14ac:dyDescent="0.3">
      <c r="A582" t="s">
        <v>557</v>
      </c>
      <c r="B582" s="452">
        <v>46082</v>
      </c>
      <c r="C582" t="s">
        <v>4254</v>
      </c>
      <c r="D582" t="s">
        <v>4105</v>
      </c>
      <c r="E582" t="s">
        <v>4237</v>
      </c>
      <c r="F582">
        <v>2</v>
      </c>
      <c r="G582">
        <v>53.4</v>
      </c>
      <c r="H582" t="s">
        <v>4126</v>
      </c>
      <c r="J582" t="s">
        <v>588</v>
      </c>
    </row>
    <row r="583" spans="1:10" x14ac:dyDescent="0.3">
      <c r="A583" t="s">
        <v>557</v>
      </c>
      <c r="B583" s="452">
        <v>46113</v>
      </c>
      <c r="C583" t="s">
        <v>4196</v>
      </c>
      <c r="D583" t="s">
        <v>4091</v>
      </c>
      <c r="E583" t="s">
        <v>4184</v>
      </c>
      <c r="F583">
        <v>3</v>
      </c>
      <c r="G583">
        <v>215.7</v>
      </c>
      <c r="H583" t="s">
        <v>4133</v>
      </c>
      <c r="J583" t="s">
        <v>590</v>
      </c>
    </row>
    <row r="584" spans="1:10" x14ac:dyDescent="0.3">
      <c r="A584" t="s">
        <v>557</v>
      </c>
      <c r="B584" s="452">
        <v>46113</v>
      </c>
      <c r="C584" t="s">
        <v>4143</v>
      </c>
      <c r="D584" t="s">
        <v>4091</v>
      </c>
      <c r="E584" t="s">
        <v>4144</v>
      </c>
      <c r="F584">
        <v>2</v>
      </c>
      <c r="G584">
        <v>66</v>
      </c>
      <c r="H584" t="s">
        <v>4126</v>
      </c>
      <c r="J584" t="s">
        <v>590</v>
      </c>
    </row>
    <row r="585" spans="1:10" x14ac:dyDescent="0.3">
      <c r="A585" t="s">
        <v>557</v>
      </c>
      <c r="B585" s="452">
        <v>46113</v>
      </c>
      <c r="C585" t="s">
        <v>4141</v>
      </c>
      <c r="D585" t="s">
        <v>4091</v>
      </c>
      <c r="E585" t="s">
        <v>4142</v>
      </c>
      <c r="F585">
        <v>7</v>
      </c>
      <c r="G585">
        <v>97.3</v>
      </c>
      <c r="H585" t="s">
        <v>4126</v>
      </c>
      <c r="J585" t="s">
        <v>590</v>
      </c>
    </row>
    <row r="586" spans="1:10" x14ac:dyDescent="0.3">
      <c r="A586" t="s">
        <v>557</v>
      </c>
      <c r="B586" s="452">
        <v>46113</v>
      </c>
      <c r="C586" t="s">
        <v>4140</v>
      </c>
      <c r="D586" t="s">
        <v>4091</v>
      </c>
      <c r="E586" t="s">
        <v>4129</v>
      </c>
      <c r="F586">
        <v>1</v>
      </c>
      <c r="G586">
        <v>7.5</v>
      </c>
      <c r="H586" t="s">
        <v>4126</v>
      </c>
      <c r="J586" t="s">
        <v>590</v>
      </c>
    </row>
    <row r="587" spans="1:10" x14ac:dyDescent="0.3">
      <c r="A587" t="s">
        <v>557</v>
      </c>
      <c r="B587" s="452">
        <v>46113</v>
      </c>
      <c r="C587" t="s">
        <v>4128</v>
      </c>
      <c r="D587" t="s">
        <v>4091</v>
      </c>
      <c r="E587" t="s">
        <v>4129</v>
      </c>
      <c r="F587">
        <v>1</v>
      </c>
      <c r="G587">
        <v>7.5</v>
      </c>
      <c r="H587" t="s">
        <v>4126</v>
      </c>
      <c r="J587" t="s">
        <v>590</v>
      </c>
    </row>
    <row r="588" spans="1:10" x14ac:dyDescent="0.3">
      <c r="A588" t="s">
        <v>557</v>
      </c>
      <c r="B588" s="452">
        <v>46113</v>
      </c>
      <c r="C588" t="s">
        <v>4306</v>
      </c>
      <c r="D588" t="s">
        <v>4091</v>
      </c>
      <c r="E588" t="s">
        <v>4304</v>
      </c>
      <c r="F588">
        <v>1</v>
      </c>
      <c r="G588">
        <v>32</v>
      </c>
      <c r="H588" t="s">
        <v>4126</v>
      </c>
      <c r="J588" t="s">
        <v>590</v>
      </c>
    </row>
    <row r="589" spans="1:10" x14ac:dyDescent="0.3">
      <c r="A589" t="s">
        <v>557</v>
      </c>
      <c r="B589" s="452">
        <v>46113</v>
      </c>
      <c r="C589" t="s">
        <v>4214</v>
      </c>
      <c r="D589" t="s">
        <v>4091</v>
      </c>
      <c r="E589" t="s">
        <v>4137</v>
      </c>
      <c r="F589">
        <v>1</v>
      </c>
      <c r="G589">
        <v>69</v>
      </c>
      <c r="H589" t="s">
        <v>4133</v>
      </c>
      <c r="J589" t="s">
        <v>590</v>
      </c>
    </row>
    <row r="590" spans="1:10" x14ac:dyDescent="0.3">
      <c r="A590" t="s">
        <v>557</v>
      </c>
      <c r="B590" s="452">
        <v>46113</v>
      </c>
      <c r="C590" t="s">
        <v>4171</v>
      </c>
      <c r="D590" t="s">
        <v>4091</v>
      </c>
      <c r="E590" t="s">
        <v>4149</v>
      </c>
      <c r="F590">
        <v>1</v>
      </c>
      <c r="G590">
        <v>207</v>
      </c>
      <c r="J590" t="s">
        <v>590</v>
      </c>
    </row>
    <row r="591" spans="1:10" x14ac:dyDescent="0.3">
      <c r="A591" t="s">
        <v>557</v>
      </c>
      <c r="B591" s="452">
        <v>46113</v>
      </c>
      <c r="C591" t="s">
        <v>4185</v>
      </c>
      <c r="D591" t="s">
        <v>4091</v>
      </c>
      <c r="E591" t="s">
        <v>4144</v>
      </c>
      <c r="F591">
        <v>1</v>
      </c>
      <c r="G591">
        <v>35</v>
      </c>
      <c r="H591" t="s">
        <v>4126</v>
      </c>
      <c r="J591" t="s">
        <v>590</v>
      </c>
    </row>
    <row r="592" spans="1:10" x14ac:dyDescent="0.3">
      <c r="A592" t="s">
        <v>557</v>
      </c>
      <c r="B592" s="452">
        <v>46113</v>
      </c>
      <c r="C592" t="s">
        <v>4240</v>
      </c>
      <c r="D592" t="s">
        <v>4091</v>
      </c>
      <c r="E592" t="s">
        <v>4241</v>
      </c>
      <c r="F592">
        <v>1</v>
      </c>
      <c r="G592">
        <v>16.899999999999999</v>
      </c>
      <c r="H592" t="s">
        <v>4126</v>
      </c>
      <c r="J592" t="s">
        <v>590</v>
      </c>
    </row>
    <row r="593" spans="1:10" x14ac:dyDescent="0.3">
      <c r="A593" t="s">
        <v>557</v>
      </c>
      <c r="B593" s="452">
        <v>46113</v>
      </c>
      <c r="C593" t="s">
        <v>4151</v>
      </c>
      <c r="D593" t="s">
        <v>4091</v>
      </c>
      <c r="E593" t="s">
        <v>4144</v>
      </c>
      <c r="F593">
        <v>1</v>
      </c>
      <c r="G593">
        <v>35</v>
      </c>
      <c r="H593" t="s">
        <v>4126</v>
      </c>
      <c r="J593" t="s">
        <v>590</v>
      </c>
    </row>
    <row r="594" spans="1:10" x14ac:dyDescent="0.3">
      <c r="A594" t="s">
        <v>557</v>
      </c>
      <c r="B594" s="452">
        <v>46113</v>
      </c>
      <c r="C594" t="s">
        <v>4173</v>
      </c>
      <c r="D594" t="s">
        <v>4091</v>
      </c>
      <c r="E594" t="s">
        <v>4174</v>
      </c>
      <c r="F594">
        <v>1</v>
      </c>
      <c r="G594">
        <v>42</v>
      </c>
      <c r="H594" t="s">
        <v>4126</v>
      </c>
      <c r="J594" t="s">
        <v>590</v>
      </c>
    </row>
    <row r="595" spans="1:10" x14ac:dyDescent="0.3">
      <c r="A595" t="s">
        <v>557</v>
      </c>
      <c r="B595" s="452">
        <v>46113</v>
      </c>
      <c r="C595" t="s">
        <v>4153</v>
      </c>
      <c r="D595" t="s">
        <v>4091</v>
      </c>
      <c r="E595" t="s">
        <v>4149</v>
      </c>
      <c r="F595">
        <v>1</v>
      </c>
      <c r="G595">
        <v>309</v>
      </c>
      <c r="H595" t="s">
        <v>4133</v>
      </c>
      <c r="J595" t="s">
        <v>590</v>
      </c>
    </row>
    <row r="596" spans="1:10" x14ac:dyDescent="0.3">
      <c r="A596" t="s">
        <v>557</v>
      </c>
      <c r="B596" s="452">
        <v>46113</v>
      </c>
      <c r="C596" t="s">
        <v>4200</v>
      </c>
      <c r="D596" t="s">
        <v>4101</v>
      </c>
      <c r="E596" t="s">
        <v>4135</v>
      </c>
      <c r="F596">
        <v>1</v>
      </c>
      <c r="G596">
        <v>7.5</v>
      </c>
      <c r="H596" t="s">
        <v>4133</v>
      </c>
      <c r="J596" t="s">
        <v>590</v>
      </c>
    </row>
    <row r="597" spans="1:10" x14ac:dyDescent="0.3">
      <c r="A597" t="s">
        <v>557</v>
      </c>
      <c r="B597" s="452">
        <v>46113</v>
      </c>
      <c r="C597" t="s">
        <v>4197</v>
      </c>
      <c r="D597" t="s">
        <v>4101</v>
      </c>
      <c r="E597" t="s">
        <v>4135</v>
      </c>
      <c r="F597">
        <v>1</v>
      </c>
      <c r="G597">
        <v>4.8</v>
      </c>
      <c r="H597" t="s">
        <v>4133</v>
      </c>
      <c r="J597" t="s">
        <v>590</v>
      </c>
    </row>
    <row r="598" spans="1:10" x14ac:dyDescent="0.3">
      <c r="A598" t="s">
        <v>557</v>
      </c>
      <c r="B598" s="452">
        <v>46113</v>
      </c>
      <c r="C598" t="s">
        <v>4182</v>
      </c>
      <c r="D598" t="s">
        <v>4101</v>
      </c>
      <c r="E598" t="s">
        <v>4135</v>
      </c>
      <c r="F598">
        <v>1</v>
      </c>
      <c r="G598">
        <v>8.4</v>
      </c>
      <c r="H598" t="s">
        <v>4133</v>
      </c>
      <c r="J598" t="s">
        <v>590</v>
      </c>
    </row>
    <row r="599" spans="1:10" x14ac:dyDescent="0.3">
      <c r="A599" t="s">
        <v>557</v>
      </c>
      <c r="B599" s="452">
        <v>46113</v>
      </c>
      <c r="C599" t="s">
        <v>4212</v>
      </c>
      <c r="D599" t="s">
        <v>4102</v>
      </c>
      <c r="E599" t="s">
        <v>4125</v>
      </c>
      <c r="F599">
        <v>1</v>
      </c>
      <c r="G599">
        <v>2.25</v>
      </c>
      <c r="H599" t="s">
        <v>4126</v>
      </c>
      <c r="J599" t="s">
        <v>590</v>
      </c>
    </row>
    <row r="600" spans="1:10" x14ac:dyDescent="0.3">
      <c r="A600" t="s">
        <v>557</v>
      </c>
      <c r="B600" s="452">
        <v>46113</v>
      </c>
      <c r="C600" t="s">
        <v>4214</v>
      </c>
      <c r="D600" t="s">
        <v>4102</v>
      </c>
      <c r="E600" t="s">
        <v>4137</v>
      </c>
      <c r="F600">
        <v>4</v>
      </c>
      <c r="G600">
        <v>82.8</v>
      </c>
      <c r="H600" t="s">
        <v>4133</v>
      </c>
      <c r="J600" t="s">
        <v>590</v>
      </c>
    </row>
    <row r="601" spans="1:10" x14ac:dyDescent="0.3">
      <c r="A601" t="s">
        <v>557</v>
      </c>
      <c r="B601" s="452">
        <v>46113</v>
      </c>
      <c r="C601" t="s">
        <v>4236</v>
      </c>
      <c r="D601" t="s">
        <v>4102</v>
      </c>
      <c r="E601" t="s">
        <v>4237</v>
      </c>
      <c r="F601">
        <v>2</v>
      </c>
      <c r="G601">
        <v>0</v>
      </c>
      <c r="H601" t="s">
        <v>4126</v>
      </c>
      <c r="J601" t="s">
        <v>590</v>
      </c>
    </row>
    <row r="602" spans="1:10" x14ac:dyDescent="0.3">
      <c r="A602" t="s">
        <v>557</v>
      </c>
      <c r="B602" s="452">
        <v>46113</v>
      </c>
      <c r="C602" t="s">
        <v>4150</v>
      </c>
      <c r="D602" t="s">
        <v>4102</v>
      </c>
      <c r="E602" t="s">
        <v>4135</v>
      </c>
      <c r="F602">
        <v>1</v>
      </c>
      <c r="G602">
        <v>8.4</v>
      </c>
      <c r="H602" t="s">
        <v>4133</v>
      </c>
      <c r="J602" t="s">
        <v>590</v>
      </c>
    </row>
    <row r="603" spans="1:10" x14ac:dyDescent="0.3">
      <c r="A603" t="s">
        <v>557</v>
      </c>
      <c r="B603" s="452">
        <v>46113</v>
      </c>
      <c r="C603" t="s">
        <v>4312</v>
      </c>
      <c r="D603" t="s">
        <v>4102</v>
      </c>
      <c r="E603" t="s">
        <v>4232</v>
      </c>
      <c r="F603">
        <v>3</v>
      </c>
      <c r="G603">
        <v>131.4</v>
      </c>
      <c r="H603" t="s">
        <v>4126</v>
      </c>
      <c r="J603" t="s">
        <v>590</v>
      </c>
    </row>
    <row r="604" spans="1:10" x14ac:dyDescent="0.3">
      <c r="A604" t="s">
        <v>557</v>
      </c>
      <c r="B604" s="452">
        <v>46113</v>
      </c>
      <c r="C604" t="s">
        <v>4234</v>
      </c>
      <c r="D604" t="s">
        <v>4102</v>
      </c>
      <c r="E604" t="s">
        <v>4232</v>
      </c>
      <c r="F604">
        <v>1</v>
      </c>
      <c r="G604">
        <v>33.6</v>
      </c>
      <c r="H604" t="s">
        <v>4126</v>
      </c>
      <c r="J604" t="s">
        <v>590</v>
      </c>
    </row>
    <row r="605" spans="1:10" x14ac:dyDescent="0.3">
      <c r="A605" t="s">
        <v>557</v>
      </c>
      <c r="B605" s="452">
        <v>46113</v>
      </c>
      <c r="C605" t="s">
        <v>4151</v>
      </c>
      <c r="D605" t="s">
        <v>4102</v>
      </c>
      <c r="E605" t="s">
        <v>4144</v>
      </c>
      <c r="F605">
        <v>1</v>
      </c>
      <c r="G605">
        <v>9.6</v>
      </c>
      <c r="H605" t="s">
        <v>4126</v>
      </c>
      <c r="J605" t="s">
        <v>590</v>
      </c>
    </row>
    <row r="606" spans="1:10" x14ac:dyDescent="0.3">
      <c r="A606" t="s">
        <v>557</v>
      </c>
      <c r="B606" s="452">
        <v>46113</v>
      </c>
      <c r="C606" t="s">
        <v>4254</v>
      </c>
      <c r="D606" t="s">
        <v>4102</v>
      </c>
      <c r="E606" t="s">
        <v>4237</v>
      </c>
      <c r="F606">
        <v>5</v>
      </c>
      <c r="G606">
        <v>133.5</v>
      </c>
      <c r="H606" t="s">
        <v>4126</v>
      </c>
      <c r="J606" t="s">
        <v>590</v>
      </c>
    </row>
    <row r="607" spans="1:10" x14ac:dyDescent="0.3">
      <c r="A607" t="s">
        <v>557</v>
      </c>
      <c r="B607" s="452">
        <v>46113</v>
      </c>
      <c r="C607" t="s">
        <v>4186</v>
      </c>
      <c r="D607" t="s">
        <v>4102</v>
      </c>
      <c r="E607" t="s">
        <v>4137</v>
      </c>
      <c r="F607">
        <v>1</v>
      </c>
      <c r="G607">
        <v>12.6</v>
      </c>
      <c r="H607" t="s">
        <v>4133</v>
      </c>
      <c r="J607" t="s">
        <v>590</v>
      </c>
    </row>
    <row r="608" spans="1:10" x14ac:dyDescent="0.3">
      <c r="A608" t="s">
        <v>557</v>
      </c>
      <c r="B608" s="452">
        <v>46113</v>
      </c>
      <c r="C608" t="s">
        <v>4264</v>
      </c>
      <c r="D608" t="s">
        <v>4102</v>
      </c>
      <c r="E608" t="s">
        <v>4193</v>
      </c>
      <c r="F608">
        <v>2</v>
      </c>
      <c r="G608">
        <v>34.799999999999997</v>
      </c>
      <c r="H608" t="s">
        <v>4133</v>
      </c>
      <c r="J608" t="s">
        <v>590</v>
      </c>
    </row>
    <row r="609" spans="1:10" x14ac:dyDescent="0.3">
      <c r="A609" t="s">
        <v>557</v>
      </c>
      <c r="B609" s="452">
        <v>46113</v>
      </c>
      <c r="C609" t="s">
        <v>4198</v>
      </c>
      <c r="D609" t="s">
        <v>4102</v>
      </c>
      <c r="E609" t="s">
        <v>4137</v>
      </c>
      <c r="F609">
        <v>1</v>
      </c>
      <c r="G609">
        <v>20.7</v>
      </c>
      <c r="H609" t="s">
        <v>4133</v>
      </c>
      <c r="J609" t="s">
        <v>590</v>
      </c>
    </row>
    <row r="610" spans="1:10" x14ac:dyDescent="0.3">
      <c r="A610" t="s">
        <v>557</v>
      </c>
      <c r="B610" s="452">
        <v>46113</v>
      </c>
      <c r="C610" t="s">
        <v>4201</v>
      </c>
      <c r="D610" t="s">
        <v>4102</v>
      </c>
      <c r="E610" t="s">
        <v>4132</v>
      </c>
      <c r="F610">
        <v>3</v>
      </c>
      <c r="G610">
        <v>36</v>
      </c>
      <c r="H610" t="s">
        <v>4126</v>
      </c>
      <c r="J610" t="s">
        <v>590</v>
      </c>
    </row>
    <row r="611" spans="1:10" x14ac:dyDescent="0.3">
      <c r="A611" t="s">
        <v>557</v>
      </c>
      <c r="B611" s="452">
        <v>46113</v>
      </c>
      <c r="C611" t="s">
        <v>4197</v>
      </c>
      <c r="D611" t="s">
        <v>4102</v>
      </c>
      <c r="E611" t="s">
        <v>4135</v>
      </c>
      <c r="F611">
        <v>1</v>
      </c>
      <c r="G611">
        <v>4.8</v>
      </c>
      <c r="H611" t="s">
        <v>4133</v>
      </c>
      <c r="J611" t="s">
        <v>590</v>
      </c>
    </row>
    <row r="612" spans="1:10" x14ac:dyDescent="0.3">
      <c r="A612" t="s">
        <v>557</v>
      </c>
      <c r="B612" s="452">
        <v>46113</v>
      </c>
      <c r="C612" t="s">
        <v>4140</v>
      </c>
      <c r="D612" t="s">
        <v>4102</v>
      </c>
      <c r="E612" t="s">
        <v>4129</v>
      </c>
      <c r="F612">
        <v>1</v>
      </c>
      <c r="G612">
        <v>2.25</v>
      </c>
      <c r="H612" t="s">
        <v>4126</v>
      </c>
      <c r="J612" t="s">
        <v>590</v>
      </c>
    </row>
    <row r="613" spans="1:10" x14ac:dyDescent="0.3">
      <c r="A613" t="s">
        <v>557</v>
      </c>
      <c r="B613" s="452">
        <v>46113</v>
      </c>
      <c r="C613" t="s">
        <v>4141</v>
      </c>
      <c r="D613" t="s">
        <v>4102</v>
      </c>
      <c r="E613" t="s">
        <v>4142</v>
      </c>
      <c r="F613">
        <v>6</v>
      </c>
      <c r="G613">
        <v>25.02</v>
      </c>
      <c r="H613" t="s">
        <v>4126</v>
      </c>
      <c r="J613" t="s">
        <v>590</v>
      </c>
    </row>
    <row r="614" spans="1:10" x14ac:dyDescent="0.3">
      <c r="A614" t="s">
        <v>557</v>
      </c>
      <c r="B614" s="452">
        <v>46113</v>
      </c>
      <c r="C614" t="s">
        <v>4145</v>
      </c>
      <c r="D614" t="s">
        <v>4102</v>
      </c>
      <c r="E614" t="s">
        <v>4125</v>
      </c>
      <c r="F614">
        <v>1</v>
      </c>
      <c r="G614">
        <v>2.4</v>
      </c>
      <c r="H614" t="s">
        <v>4126</v>
      </c>
      <c r="J614" t="s">
        <v>590</v>
      </c>
    </row>
    <row r="615" spans="1:10" x14ac:dyDescent="0.3">
      <c r="A615" t="s">
        <v>557</v>
      </c>
      <c r="B615" s="452">
        <v>46113</v>
      </c>
      <c r="C615" t="s">
        <v>4124</v>
      </c>
      <c r="D615" t="s">
        <v>4102</v>
      </c>
      <c r="E615" t="s">
        <v>4125</v>
      </c>
      <c r="F615">
        <v>5</v>
      </c>
      <c r="G615">
        <v>12</v>
      </c>
      <c r="H615" t="s">
        <v>4126</v>
      </c>
      <c r="J615" t="s">
        <v>590</v>
      </c>
    </row>
    <row r="616" spans="1:10" x14ac:dyDescent="0.3">
      <c r="A616" t="s">
        <v>557</v>
      </c>
      <c r="B616" s="452">
        <v>46113</v>
      </c>
      <c r="C616" t="s">
        <v>4138</v>
      </c>
      <c r="D616" t="s">
        <v>4102</v>
      </c>
      <c r="E616" t="s">
        <v>4139</v>
      </c>
      <c r="F616">
        <v>2</v>
      </c>
      <c r="G616">
        <v>15.6</v>
      </c>
      <c r="H616" t="s">
        <v>4133</v>
      </c>
      <c r="J616" t="s">
        <v>590</v>
      </c>
    </row>
    <row r="617" spans="1:10" x14ac:dyDescent="0.3">
      <c r="A617" t="s">
        <v>557</v>
      </c>
      <c r="B617" s="452">
        <v>46113</v>
      </c>
      <c r="C617" t="s">
        <v>4145</v>
      </c>
      <c r="D617" t="s">
        <v>4104</v>
      </c>
      <c r="E617" t="s">
        <v>4125</v>
      </c>
      <c r="F617">
        <v>16</v>
      </c>
      <c r="G617">
        <v>38.4</v>
      </c>
      <c r="H617" t="s">
        <v>4126</v>
      </c>
      <c r="J617" t="s">
        <v>590</v>
      </c>
    </row>
    <row r="618" spans="1:10" x14ac:dyDescent="0.3">
      <c r="A618" t="s">
        <v>557</v>
      </c>
      <c r="B618" s="452">
        <v>46113</v>
      </c>
      <c r="C618" t="s">
        <v>4124</v>
      </c>
      <c r="D618" t="s">
        <v>4104</v>
      </c>
      <c r="E618" t="s">
        <v>4125</v>
      </c>
      <c r="F618">
        <v>2</v>
      </c>
      <c r="G618">
        <v>4.8</v>
      </c>
      <c r="H618" t="s">
        <v>4126</v>
      </c>
      <c r="J618" t="s">
        <v>590</v>
      </c>
    </row>
    <row r="619" spans="1:10" x14ac:dyDescent="0.3">
      <c r="A619" t="s">
        <v>557</v>
      </c>
      <c r="B619" s="452">
        <v>46113</v>
      </c>
      <c r="C619" t="s">
        <v>4141</v>
      </c>
      <c r="D619" t="s">
        <v>4104</v>
      </c>
      <c r="E619" t="s">
        <v>4142</v>
      </c>
      <c r="F619">
        <v>16</v>
      </c>
      <c r="G619">
        <v>66.72</v>
      </c>
      <c r="H619" t="s">
        <v>4126</v>
      </c>
      <c r="J619" t="s">
        <v>590</v>
      </c>
    </row>
    <row r="620" spans="1:10" x14ac:dyDescent="0.3">
      <c r="A620" t="s">
        <v>557</v>
      </c>
      <c r="B620" s="452">
        <v>46113</v>
      </c>
      <c r="C620" t="s">
        <v>4140</v>
      </c>
      <c r="D620" t="s">
        <v>4104</v>
      </c>
      <c r="E620" t="s">
        <v>4129</v>
      </c>
      <c r="F620">
        <v>5</v>
      </c>
      <c r="G620">
        <v>11.25</v>
      </c>
      <c r="H620" t="s">
        <v>4126</v>
      </c>
      <c r="J620" t="s">
        <v>590</v>
      </c>
    </row>
    <row r="621" spans="1:10" x14ac:dyDescent="0.3">
      <c r="A621" t="s">
        <v>557</v>
      </c>
      <c r="B621" s="452">
        <v>46113</v>
      </c>
      <c r="C621" t="s">
        <v>4197</v>
      </c>
      <c r="D621" t="s">
        <v>4104</v>
      </c>
      <c r="E621" t="s">
        <v>4135</v>
      </c>
      <c r="F621">
        <v>2</v>
      </c>
      <c r="G621">
        <v>9.6</v>
      </c>
      <c r="H621" t="s">
        <v>4133</v>
      </c>
      <c r="J621" t="s">
        <v>590</v>
      </c>
    </row>
    <row r="622" spans="1:10" x14ac:dyDescent="0.3">
      <c r="A622" t="s">
        <v>557</v>
      </c>
      <c r="B622" s="452">
        <v>46113</v>
      </c>
      <c r="C622" t="s">
        <v>4128</v>
      </c>
      <c r="D622" t="s">
        <v>4104</v>
      </c>
      <c r="E622" t="s">
        <v>4129</v>
      </c>
      <c r="F622">
        <v>1</v>
      </c>
      <c r="G622">
        <v>2.25</v>
      </c>
      <c r="H622" t="s">
        <v>4126</v>
      </c>
      <c r="J622" t="s">
        <v>590</v>
      </c>
    </row>
    <row r="623" spans="1:10" x14ac:dyDescent="0.3">
      <c r="A623" t="s">
        <v>557</v>
      </c>
      <c r="B623" s="452">
        <v>46113</v>
      </c>
      <c r="C623" t="s">
        <v>4202</v>
      </c>
      <c r="D623" t="s">
        <v>4104</v>
      </c>
      <c r="E623" t="s">
        <v>4169</v>
      </c>
      <c r="F623">
        <v>2</v>
      </c>
      <c r="G623">
        <v>4.8</v>
      </c>
      <c r="H623" t="s">
        <v>4126</v>
      </c>
      <c r="J623" t="s">
        <v>590</v>
      </c>
    </row>
    <row r="624" spans="1:10" x14ac:dyDescent="0.3">
      <c r="A624" t="s">
        <v>557</v>
      </c>
      <c r="B624" s="452">
        <v>46113</v>
      </c>
      <c r="C624" t="s">
        <v>4159</v>
      </c>
      <c r="D624" t="s">
        <v>4104</v>
      </c>
      <c r="E624" t="s">
        <v>4135</v>
      </c>
      <c r="F624">
        <v>1</v>
      </c>
      <c r="G624">
        <v>8.6999999999999993</v>
      </c>
      <c r="H624" t="s">
        <v>4133</v>
      </c>
      <c r="J624" t="s">
        <v>590</v>
      </c>
    </row>
    <row r="625" spans="1:10" x14ac:dyDescent="0.3">
      <c r="A625" t="s">
        <v>557</v>
      </c>
      <c r="B625" s="452">
        <v>46113</v>
      </c>
      <c r="C625" t="s">
        <v>4166</v>
      </c>
      <c r="D625" t="s">
        <v>4104</v>
      </c>
      <c r="E625" t="s">
        <v>4137</v>
      </c>
      <c r="F625">
        <v>2</v>
      </c>
      <c r="G625">
        <v>22.2</v>
      </c>
      <c r="H625" t="s">
        <v>4133</v>
      </c>
      <c r="J625" t="s">
        <v>590</v>
      </c>
    </row>
    <row r="626" spans="1:10" x14ac:dyDescent="0.3">
      <c r="A626" t="s">
        <v>557</v>
      </c>
      <c r="B626" s="452">
        <v>46113</v>
      </c>
      <c r="C626" t="s">
        <v>4165</v>
      </c>
      <c r="D626" t="s">
        <v>4104</v>
      </c>
      <c r="E626" t="s">
        <v>4129</v>
      </c>
      <c r="F626">
        <v>1</v>
      </c>
      <c r="G626">
        <v>4.2</v>
      </c>
      <c r="H626" t="s">
        <v>4126</v>
      </c>
      <c r="J626" t="s">
        <v>590</v>
      </c>
    </row>
    <row r="627" spans="1:10" x14ac:dyDescent="0.3">
      <c r="A627" t="s">
        <v>557</v>
      </c>
      <c r="B627" s="452">
        <v>46113</v>
      </c>
      <c r="C627" t="s">
        <v>4146</v>
      </c>
      <c r="D627" t="s">
        <v>4104</v>
      </c>
      <c r="E627" t="s">
        <v>4129</v>
      </c>
      <c r="F627">
        <v>5</v>
      </c>
      <c r="G627">
        <v>21</v>
      </c>
      <c r="H627" t="s">
        <v>4126</v>
      </c>
      <c r="J627" t="s">
        <v>590</v>
      </c>
    </row>
    <row r="628" spans="1:10" x14ac:dyDescent="0.3">
      <c r="A628" t="s">
        <v>557</v>
      </c>
      <c r="B628" s="452">
        <v>46113</v>
      </c>
      <c r="C628" t="s">
        <v>4208</v>
      </c>
      <c r="D628" t="s">
        <v>4104</v>
      </c>
      <c r="E628" t="s">
        <v>4129</v>
      </c>
      <c r="F628">
        <v>3</v>
      </c>
      <c r="G628">
        <v>12.6</v>
      </c>
      <c r="H628" t="s">
        <v>4126</v>
      </c>
      <c r="J628" t="s">
        <v>590</v>
      </c>
    </row>
    <row r="629" spans="1:10" x14ac:dyDescent="0.3">
      <c r="A629" t="s">
        <v>557</v>
      </c>
      <c r="B629" s="452">
        <v>46113</v>
      </c>
      <c r="C629" t="s">
        <v>4212</v>
      </c>
      <c r="D629" t="s">
        <v>4104</v>
      </c>
      <c r="E629" t="s">
        <v>4125</v>
      </c>
      <c r="F629">
        <v>2</v>
      </c>
      <c r="G629">
        <v>4.5</v>
      </c>
      <c r="H629" t="s">
        <v>4126</v>
      </c>
      <c r="J629" t="s">
        <v>590</v>
      </c>
    </row>
    <row r="630" spans="1:10" x14ac:dyDescent="0.3">
      <c r="A630" t="s">
        <v>557</v>
      </c>
      <c r="B630" s="452">
        <v>46113</v>
      </c>
      <c r="C630" t="s">
        <v>4214</v>
      </c>
      <c r="D630" t="s">
        <v>4104</v>
      </c>
      <c r="E630" t="s">
        <v>4137</v>
      </c>
      <c r="F630">
        <v>1</v>
      </c>
      <c r="G630">
        <v>20.7</v>
      </c>
      <c r="H630" t="s">
        <v>4133</v>
      </c>
      <c r="J630" t="s">
        <v>590</v>
      </c>
    </row>
    <row r="631" spans="1:10" x14ac:dyDescent="0.3">
      <c r="A631" t="s">
        <v>557</v>
      </c>
      <c r="B631" s="452">
        <v>46113</v>
      </c>
      <c r="C631" t="s">
        <v>4205</v>
      </c>
      <c r="D631" t="s">
        <v>4104</v>
      </c>
      <c r="E631" t="s">
        <v>4129</v>
      </c>
      <c r="F631">
        <v>1</v>
      </c>
      <c r="G631">
        <v>4.8</v>
      </c>
      <c r="H631" t="s">
        <v>4126</v>
      </c>
      <c r="J631" t="s">
        <v>590</v>
      </c>
    </row>
    <row r="632" spans="1:10" x14ac:dyDescent="0.3">
      <c r="A632" t="s">
        <v>557</v>
      </c>
      <c r="B632" s="452">
        <v>46113</v>
      </c>
      <c r="C632" t="s">
        <v>4158</v>
      </c>
      <c r="D632" t="s">
        <v>4104</v>
      </c>
      <c r="E632" t="s">
        <v>4137</v>
      </c>
      <c r="F632">
        <v>1</v>
      </c>
      <c r="G632">
        <v>13.5</v>
      </c>
      <c r="H632" t="s">
        <v>4133</v>
      </c>
      <c r="J632" t="s">
        <v>590</v>
      </c>
    </row>
    <row r="633" spans="1:10" x14ac:dyDescent="0.3">
      <c r="A633" t="s">
        <v>557</v>
      </c>
      <c r="B633" s="452">
        <v>46113</v>
      </c>
      <c r="C633" t="s">
        <v>4313</v>
      </c>
      <c r="D633" t="s">
        <v>4104</v>
      </c>
      <c r="E633" t="s">
        <v>4142</v>
      </c>
      <c r="F633">
        <v>2</v>
      </c>
      <c r="G633">
        <v>19.2</v>
      </c>
      <c r="H633" t="s">
        <v>4126</v>
      </c>
      <c r="J633" t="s">
        <v>590</v>
      </c>
    </row>
    <row r="634" spans="1:10" x14ac:dyDescent="0.3">
      <c r="A634" t="s">
        <v>557</v>
      </c>
      <c r="B634" s="452">
        <v>46113</v>
      </c>
      <c r="C634" t="s">
        <v>4170</v>
      </c>
      <c r="D634" t="s">
        <v>4104</v>
      </c>
      <c r="E634" t="s">
        <v>4139</v>
      </c>
      <c r="F634">
        <v>2</v>
      </c>
      <c r="G634">
        <v>17.399999999999999</v>
      </c>
      <c r="H634" t="s">
        <v>4133</v>
      </c>
      <c r="J634" t="s">
        <v>590</v>
      </c>
    </row>
    <row r="635" spans="1:10" x14ac:dyDescent="0.3">
      <c r="A635" t="s">
        <v>557</v>
      </c>
      <c r="B635" s="452">
        <v>46113</v>
      </c>
      <c r="C635" t="s">
        <v>4236</v>
      </c>
      <c r="D635" t="s">
        <v>4104</v>
      </c>
      <c r="E635" t="s">
        <v>4237</v>
      </c>
      <c r="F635">
        <v>5</v>
      </c>
      <c r="G635">
        <v>0</v>
      </c>
      <c r="H635" t="s">
        <v>4126</v>
      </c>
      <c r="J635" t="s">
        <v>590</v>
      </c>
    </row>
    <row r="636" spans="1:10" x14ac:dyDescent="0.3">
      <c r="A636" t="s">
        <v>557</v>
      </c>
      <c r="B636" s="452">
        <v>46113</v>
      </c>
      <c r="C636" t="s">
        <v>4180</v>
      </c>
      <c r="D636" t="s">
        <v>4104</v>
      </c>
      <c r="E636" t="s">
        <v>4137</v>
      </c>
      <c r="F636">
        <v>1</v>
      </c>
      <c r="G636">
        <v>13.5</v>
      </c>
      <c r="H636" t="s">
        <v>4133</v>
      </c>
      <c r="J636" t="s">
        <v>590</v>
      </c>
    </row>
    <row r="637" spans="1:10" x14ac:dyDescent="0.3">
      <c r="A637" t="s">
        <v>557</v>
      </c>
      <c r="B637" s="452">
        <v>46113</v>
      </c>
      <c r="C637" t="s">
        <v>4314</v>
      </c>
      <c r="D637" t="s">
        <v>4104</v>
      </c>
      <c r="E637" t="s">
        <v>4311</v>
      </c>
      <c r="F637">
        <v>1</v>
      </c>
      <c r="G637">
        <v>13.2</v>
      </c>
      <c r="H637" t="s">
        <v>4133</v>
      </c>
      <c r="J637" t="s">
        <v>590</v>
      </c>
    </row>
    <row r="638" spans="1:10" x14ac:dyDescent="0.3">
      <c r="A638" t="s">
        <v>557</v>
      </c>
      <c r="B638" s="452">
        <v>46113</v>
      </c>
      <c r="C638" t="s">
        <v>4183</v>
      </c>
      <c r="D638" t="s">
        <v>4104</v>
      </c>
      <c r="E638" t="s">
        <v>4184</v>
      </c>
      <c r="F638">
        <v>3</v>
      </c>
      <c r="G638">
        <v>58.41</v>
      </c>
      <c r="H638" t="s">
        <v>4133</v>
      </c>
      <c r="J638" t="s">
        <v>590</v>
      </c>
    </row>
    <row r="639" spans="1:10" x14ac:dyDescent="0.3">
      <c r="A639" t="s">
        <v>557</v>
      </c>
      <c r="B639" s="452">
        <v>46113</v>
      </c>
      <c r="C639" t="s">
        <v>4188</v>
      </c>
      <c r="D639" t="s">
        <v>4104</v>
      </c>
      <c r="E639" t="s">
        <v>4137</v>
      </c>
      <c r="F639">
        <v>1</v>
      </c>
      <c r="G639">
        <v>8.6999999999999993</v>
      </c>
      <c r="H639" t="s">
        <v>4133</v>
      </c>
      <c r="J639" t="s">
        <v>590</v>
      </c>
    </row>
    <row r="640" spans="1:10" x14ac:dyDescent="0.3">
      <c r="A640" t="s">
        <v>557</v>
      </c>
      <c r="B640" s="452">
        <v>46113</v>
      </c>
      <c r="C640" t="s">
        <v>4189</v>
      </c>
      <c r="D640" t="s">
        <v>4104</v>
      </c>
      <c r="E640" t="s">
        <v>4190</v>
      </c>
      <c r="F640">
        <v>2</v>
      </c>
      <c r="G640">
        <v>27</v>
      </c>
      <c r="H640" t="s">
        <v>4133</v>
      </c>
      <c r="J640" t="s">
        <v>590</v>
      </c>
    </row>
    <row r="641" spans="1:10" x14ac:dyDescent="0.3">
      <c r="A641" t="s">
        <v>557</v>
      </c>
      <c r="B641" s="452">
        <v>46113</v>
      </c>
      <c r="C641" t="s">
        <v>4240</v>
      </c>
      <c r="D641" t="s">
        <v>4104</v>
      </c>
      <c r="E641" t="s">
        <v>4241</v>
      </c>
      <c r="F641">
        <v>6</v>
      </c>
      <c r="G641">
        <v>30.42</v>
      </c>
      <c r="H641" t="s">
        <v>4126</v>
      </c>
      <c r="J641" t="s">
        <v>590</v>
      </c>
    </row>
    <row r="642" spans="1:10" x14ac:dyDescent="0.3">
      <c r="A642" t="s">
        <v>557</v>
      </c>
      <c r="B642" s="452">
        <v>46113</v>
      </c>
      <c r="C642" t="s">
        <v>4308</v>
      </c>
      <c r="D642" t="s">
        <v>4104</v>
      </c>
      <c r="E642" t="s">
        <v>4309</v>
      </c>
      <c r="F642">
        <v>3</v>
      </c>
      <c r="G642">
        <v>37.799999999999997</v>
      </c>
      <c r="J642" t="s">
        <v>590</v>
      </c>
    </row>
    <row r="643" spans="1:10" x14ac:dyDescent="0.3">
      <c r="A643" t="s">
        <v>557</v>
      </c>
      <c r="B643" s="452">
        <v>46113</v>
      </c>
      <c r="C643" t="s">
        <v>4151</v>
      </c>
      <c r="D643" t="s">
        <v>4104</v>
      </c>
      <c r="E643" t="s">
        <v>4144</v>
      </c>
      <c r="F643">
        <v>1</v>
      </c>
      <c r="G643">
        <v>10.5</v>
      </c>
      <c r="H643" t="s">
        <v>4126</v>
      </c>
      <c r="J643" t="s">
        <v>590</v>
      </c>
    </row>
    <row r="644" spans="1:10" x14ac:dyDescent="0.3">
      <c r="A644" t="s">
        <v>557</v>
      </c>
      <c r="B644" s="452">
        <v>46113</v>
      </c>
      <c r="C644" t="s">
        <v>4271</v>
      </c>
      <c r="D644" t="s">
        <v>4104</v>
      </c>
      <c r="E644" t="s">
        <v>4190</v>
      </c>
      <c r="F644">
        <v>1</v>
      </c>
      <c r="G644">
        <v>13.5</v>
      </c>
      <c r="H644" t="s">
        <v>4133</v>
      </c>
      <c r="J644" t="s">
        <v>590</v>
      </c>
    </row>
    <row r="645" spans="1:10" x14ac:dyDescent="0.3">
      <c r="A645" t="s">
        <v>557</v>
      </c>
      <c r="B645" s="452">
        <v>46113</v>
      </c>
      <c r="C645" t="s">
        <v>4230</v>
      </c>
      <c r="D645" t="s">
        <v>4104</v>
      </c>
      <c r="E645" t="s">
        <v>4137</v>
      </c>
      <c r="F645">
        <v>2</v>
      </c>
      <c r="G645">
        <v>38.4</v>
      </c>
      <c r="H645" t="s">
        <v>4133</v>
      </c>
      <c r="J645" t="s">
        <v>590</v>
      </c>
    </row>
    <row r="646" spans="1:10" x14ac:dyDescent="0.3">
      <c r="A646" t="s">
        <v>557</v>
      </c>
      <c r="B646" s="452">
        <v>46113</v>
      </c>
      <c r="C646" t="s">
        <v>4186</v>
      </c>
      <c r="D646" t="s">
        <v>4104</v>
      </c>
      <c r="E646" t="s">
        <v>4137</v>
      </c>
      <c r="F646">
        <v>3</v>
      </c>
      <c r="G646">
        <v>37.799999999999997</v>
      </c>
      <c r="H646" t="s">
        <v>4133</v>
      </c>
      <c r="J646" t="s">
        <v>590</v>
      </c>
    </row>
    <row r="647" spans="1:10" x14ac:dyDescent="0.3">
      <c r="A647" t="s">
        <v>557</v>
      </c>
      <c r="B647" s="452">
        <v>46113</v>
      </c>
      <c r="C647" t="s">
        <v>4196</v>
      </c>
      <c r="D647" t="s">
        <v>4104</v>
      </c>
      <c r="E647" t="s">
        <v>4184</v>
      </c>
      <c r="F647">
        <v>8</v>
      </c>
      <c r="G647">
        <v>172.56</v>
      </c>
      <c r="H647" t="s">
        <v>4133</v>
      </c>
      <c r="J647" t="s">
        <v>590</v>
      </c>
    </row>
    <row r="648" spans="1:10" x14ac:dyDescent="0.3">
      <c r="A648" t="s">
        <v>557</v>
      </c>
      <c r="B648" s="452">
        <v>46113</v>
      </c>
      <c r="C648" t="s">
        <v>4194</v>
      </c>
      <c r="D648" t="s">
        <v>4104</v>
      </c>
      <c r="E648" t="s">
        <v>4129</v>
      </c>
      <c r="F648">
        <v>1</v>
      </c>
      <c r="G648">
        <v>5.4</v>
      </c>
      <c r="H648" t="s">
        <v>4126</v>
      </c>
      <c r="J648" t="s">
        <v>590</v>
      </c>
    </row>
    <row r="649" spans="1:10" x14ac:dyDescent="0.3">
      <c r="A649" t="s">
        <v>557</v>
      </c>
      <c r="B649" s="452">
        <v>46113</v>
      </c>
      <c r="C649" t="s">
        <v>4175</v>
      </c>
      <c r="D649" t="s">
        <v>4104</v>
      </c>
      <c r="E649" t="s">
        <v>4149</v>
      </c>
      <c r="F649">
        <v>1</v>
      </c>
      <c r="G649">
        <v>23.7</v>
      </c>
      <c r="H649" t="s">
        <v>4133</v>
      </c>
      <c r="J649" t="s">
        <v>590</v>
      </c>
    </row>
    <row r="650" spans="1:10" x14ac:dyDescent="0.3">
      <c r="A650" t="s">
        <v>557</v>
      </c>
      <c r="B650" s="452">
        <v>46113</v>
      </c>
      <c r="C650" t="s">
        <v>4153</v>
      </c>
      <c r="D650" t="s">
        <v>4104</v>
      </c>
      <c r="E650" t="s">
        <v>4149</v>
      </c>
      <c r="F650">
        <v>1</v>
      </c>
      <c r="G650">
        <v>92.7</v>
      </c>
      <c r="H650" t="s">
        <v>4133</v>
      </c>
      <c r="J650" t="s">
        <v>590</v>
      </c>
    </row>
    <row r="651" spans="1:10" x14ac:dyDescent="0.3">
      <c r="A651" t="s">
        <v>557</v>
      </c>
      <c r="B651" s="452">
        <v>46113</v>
      </c>
      <c r="C651" t="s">
        <v>4254</v>
      </c>
      <c r="D651" t="s">
        <v>4104</v>
      </c>
      <c r="E651" t="s">
        <v>4237</v>
      </c>
      <c r="F651">
        <v>4</v>
      </c>
      <c r="G651">
        <v>106.8</v>
      </c>
      <c r="H651" t="s">
        <v>4126</v>
      </c>
      <c r="J651" t="s">
        <v>590</v>
      </c>
    </row>
    <row r="652" spans="1:10" x14ac:dyDescent="0.3">
      <c r="A652" t="s">
        <v>557</v>
      </c>
      <c r="B652" s="452">
        <v>46113</v>
      </c>
      <c r="C652" t="s">
        <v>4138</v>
      </c>
      <c r="D652" t="s">
        <v>4104</v>
      </c>
      <c r="E652" t="s">
        <v>4139</v>
      </c>
      <c r="F652">
        <v>1</v>
      </c>
      <c r="G652">
        <v>7.8</v>
      </c>
      <c r="H652" t="s">
        <v>4133</v>
      </c>
      <c r="J652" t="s">
        <v>590</v>
      </c>
    </row>
    <row r="653" spans="1:10" x14ac:dyDescent="0.3">
      <c r="A653" t="s">
        <v>557</v>
      </c>
      <c r="B653" s="452">
        <v>46113</v>
      </c>
      <c r="C653" t="s">
        <v>4209</v>
      </c>
      <c r="D653" t="s">
        <v>4104</v>
      </c>
      <c r="E653" t="s">
        <v>4193</v>
      </c>
      <c r="F653">
        <v>8</v>
      </c>
      <c r="G653">
        <v>117.6</v>
      </c>
      <c r="H653" t="s">
        <v>4133</v>
      </c>
      <c r="J653" t="s">
        <v>590</v>
      </c>
    </row>
    <row r="654" spans="1:10" x14ac:dyDescent="0.3">
      <c r="A654" t="s">
        <v>557</v>
      </c>
      <c r="B654" s="452">
        <v>46113</v>
      </c>
      <c r="C654" t="s">
        <v>4136</v>
      </c>
      <c r="D654" t="s">
        <v>4104</v>
      </c>
      <c r="E654" t="s">
        <v>4137</v>
      </c>
      <c r="F654">
        <v>1</v>
      </c>
      <c r="G654">
        <v>11.7</v>
      </c>
      <c r="H654" t="s">
        <v>4133</v>
      </c>
      <c r="J654" t="s">
        <v>590</v>
      </c>
    </row>
    <row r="655" spans="1:10" x14ac:dyDescent="0.3">
      <c r="A655" t="s">
        <v>557</v>
      </c>
      <c r="B655" s="452">
        <v>46113</v>
      </c>
      <c r="C655" t="s">
        <v>4198</v>
      </c>
      <c r="D655" t="s">
        <v>4104</v>
      </c>
      <c r="E655" t="s">
        <v>4137</v>
      </c>
      <c r="F655">
        <v>1</v>
      </c>
      <c r="G655">
        <v>20.7</v>
      </c>
      <c r="H655" t="s">
        <v>4133</v>
      </c>
      <c r="J655" t="s">
        <v>590</v>
      </c>
    </row>
    <row r="656" spans="1:10" x14ac:dyDescent="0.3">
      <c r="A656" t="s">
        <v>557</v>
      </c>
      <c r="B656" s="452">
        <v>46113</v>
      </c>
      <c r="C656" t="s">
        <v>4158</v>
      </c>
      <c r="D656" t="s">
        <v>4105</v>
      </c>
      <c r="E656" t="s">
        <v>4137</v>
      </c>
      <c r="F656">
        <v>2</v>
      </c>
      <c r="G656">
        <v>27</v>
      </c>
      <c r="H656" t="s">
        <v>4133</v>
      </c>
      <c r="J656" t="s">
        <v>590</v>
      </c>
    </row>
    <row r="657" spans="1:10" x14ac:dyDescent="0.3">
      <c r="A657" t="s">
        <v>557</v>
      </c>
      <c r="B657" s="452">
        <v>46113</v>
      </c>
      <c r="C657" t="s">
        <v>4315</v>
      </c>
      <c r="D657" t="s">
        <v>4105</v>
      </c>
      <c r="E657" t="s">
        <v>4237</v>
      </c>
      <c r="F657">
        <v>3</v>
      </c>
      <c r="G657">
        <v>89.1</v>
      </c>
      <c r="H657" t="s">
        <v>4126</v>
      </c>
      <c r="J657" t="s">
        <v>590</v>
      </c>
    </row>
    <row r="658" spans="1:10" x14ac:dyDescent="0.3">
      <c r="A658" t="s">
        <v>557</v>
      </c>
      <c r="B658" s="452">
        <v>46113</v>
      </c>
      <c r="C658" t="s">
        <v>4261</v>
      </c>
      <c r="D658" t="s">
        <v>4105</v>
      </c>
      <c r="E658" t="s">
        <v>4135</v>
      </c>
      <c r="F658">
        <v>4</v>
      </c>
      <c r="G658">
        <v>19.8</v>
      </c>
      <c r="H658" t="s">
        <v>4133</v>
      </c>
      <c r="J658" t="s">
        <v>590</v>
      </c>
    </row>
    <row r="659" spans="1:10" x14ac:dyDescent="0.3">
      <c r="A659" t="s">
        <v>557</v>
      </c>
      <c r="B659" s="452">
        <v>46113</v>
      </c>
      <c r="C659" t="s">
        <v>4240</v>
      </c>
      <c r="D659" t="s">
        <v>4105</v>
      </c>
      <c r="E659" t="s">
        <v>4241</v>
      </c>
      <c r="F659">
        <v>4</v>
      </c>
      <c r="G659">
        <v>20.28</v>
      </c>
      <c r="H659" t="s">
        <v>4126</v>
      </c>
      <c r="J659" t="s">
        <v>590</v>
      </c>
    </row>
    <row r="660" spans="1:10" x14ac:dyDescent="0.3">
      <c r="A660" t="s">
        <v>557</v>
      </c>
      <c r="B660" s="452">
        <v>46113</v>
      </c>
      <c r="C660" t="s">
        <v>4189</v>
      </c>
      <c r="D660" t="s">
        <v>4105</v>
      </c>
      <c r="E660" t="s">
        <v>4190</v>
      </c>
      <c r="F660">
        <v>6</v>
      </c>
      <c r="G660">
        <v>81</v>
      </c>
      <c r="H660" t="s">
        <v>4133</v>
      </c>
      <c r="J660" t="s">
        <v>590</v>
      </c>
    </row>
    <row r="661" spans="1:10" x14ac:dyDescent="0.3">
      <c r="A661" t="s">
        <v>557</v>
      </c>
      <c r="B661" s="452">
        <v>46113</v>
      </c>
      <c r="C661" t="s">
        <v>4188</v>
      </c>
      <c r="D661" t="s">
        <v>4105</v>
      </c>
      <c r="E661" t="s">
        <v>4137</v>
      </c>
      <c r="F661">
        <v>3</v>
      </c>
      <c r="G661">
        <v>26.1</v>
      </c>
      <c r="H661" t="s">
        <v>4133</v>
      </c>
      <c r="J661" t="s">
        <v>590</v>
      </c>
    </row>
    <row r="662" spans="1:10" x14ac:dyDescent="0.3">
      <c r="A662" t="s">
        <v>557</v>
      </c>
      <c r="B662" s="452">
        <v>46113</v>
      </c>
      <c r="C662" t="s">
        <v>4187</v>
      </c>
      <c r="D662" t="s">
        <v>4105</v>
      </c>
      <c r="E662" t="s">
        <v>4135</v>
      </c>
      <c r="F662">
        <v>3</v>
      </c>
      <c r="G662">
        <v>10.35</v>
      </c>
      <c r="H662" t="s">
        <v>4133</v>
      </c>
      <c r="J662" t="s">
        <v>590</v>
      </c>
    </row>
    <row r="663" spans="1:10" x14ac:dyDescent="0.3">
      <c r="A663" t="s">
        <v>557</v>
      </c>
      <c r="B663" s="452">
        <v>46113</v>
      </c>
      <c r="C663" t="s">
        <v>4316</v>
      </c>
      <c r="D663" t="s">
        <v>4105</v>
      </c>
      <c r="E663" t="s">
        <v>4317</v>
      </c>
      <c r="F663">
        <v>1</v>
      </c>
      <c r="G663">
        <v>17.97</v>
      </c>
      <c r="H663" t="s">
        <v>4133</v>
      </c>
      <c r="J663" t="s">
        <v>590</v>
      </c>
    </row>
    <row r="664" spans="1:10" x14ac:dyDescent="0.3">
      <c r="A664" t="s">
        <v>557</v>
      </c>
      <c r="B664" s="452">
        <v>46113</v>
      </c>
      <c r="C664" t="s">
        <v>4179</v>
      </c>
      <c r="D664" t="s">
        <v>4105</v>
      </c>
      <c r="E664" t="s">
        <v>4135</v>
      </c>
      <c r="F664">
        <v>1</v>
      </c>
      <c r="G664">
        <v>3.6</v>
      </c>
      <c r="H664" t="s">
        <v>4133</v>
      </c>
      <c r="J664" t="s">
        <v>590</v>
      </c>
    </row>
    <row r="665" spans="1:10" x14ac:dyDescent="0.3">
      <c r="A665" t="s">
        <v>557</v>
      </c>
      <c r="B665" s="452">
        <v>46113</v>
      </c>
      <c r="C665" t="s">
        <v>4171</v>
      </c>
      <c r="D665" t="s">
        <v>4105</v>
      </c>
      <c r="E665" t="s">
        <v>4149</v>
      </c>
      <c r="F665">
        <v>1</v>
      </c>
      <c r="G665">
        <v>62.1</v>
      </c>
      <c r="J665" t="s">
        <v>590</v>
      </c>
    </row>
    <row r="666" spans="1:10" x14ac:dyDescent="0.3">
      <c r="A666" t="s">
        <v>557</v>
      </c>
      <c r="B666" s="452">
        <v>46113</v>
      </c>
      <c r="C666" t="s">
        <v>4312</v>
      </c>
      <c r="D666" t="s">
        <v>4105</v>
      </c>
      <c r="E666" t="s">
        <v>4232</v>
      </c>
      <c r="F666">
        <v>1</v>
      </c>
      <c r="G666">
        <v>43.8</v>
      </c>
      <c r="H666" t="s">
        <v>4126</v>
      </c>
      <c r="J666" t="s">
        <v>590</v>
      </c>
    </row>
    <row r="667" spans="1:10" x14ac:dyDescent="0.3">
      <c r="A667" t="s">
        <v>557</v>
      </c>
      <c r="B667" s="452">
        <v>46113</v>
      </c>
      <c r="C667" t="s">
        <v>4238</v>
      </c>
      <c r="D667" t="s">
        <v>4105</v>
      </c>
      <c r="E667" t="s">
        <v>4149</v>
      </c>
      <c r="F667">
        <v>3</v>
      </c>
      <c r="G667">
        <v>181.8</v>
      </c>
      <c r="J667" t="s">
        <v>590</v>
      </c>
    </row>
    <row r="668" spans="1:10" x14ac:dyDescent="0.3">
      <c r="A668" t="s">
        <v>557</v>
      </c>
      <c r="B668" s="452">
        <v>46113</v>
      </c>
      <c r="C668" t="s">
        <v>4151</v>
      </c>
      <c r="D668" t="s">
        <v>4105</v>
      </c>
      <c r="E668" t="s">
        <v>4144</v>
      </c>
      <c r="F668">
        <v>1</v>
      </c>
      <c r="G668">
        <v>9.6</v>
      </c>
      <c r="H668" t="s">
        <v>4126</v>
      </c>
      <c r="J668" t="s">
        <v>590</v>
      </c>
    </row>
    <row r="669" spans="1:10" x14ac:dyDescent="0.3">
      <c r="A669" t="s">
        <v>557</v>
      </c>
      <c r="B669" s="452">
        <v>46113</v>
      </c>
      <c r="C669" t="s">
        <v>4148</v>
      </c>
      <c r="D669" t="s">
        <v>4105</v>
      </c>
      <c r="E669" t="s">
        <v>4149</v>
      </c>
      <c r="F669">
        <v>1</v>
      </c>
      <c r="G669">
        <v>26.4</v>
      </c>
      <c r="H669" t="s">
        <v>4133</v>
      </c>
      <c r="J669" t="s">
        <v>590</v>
      </c>
    </row>
    <row r="670" spans="1:10" x14ac:dyDescent="0.3">
      <c r="A670" t="s">
        <v>557</v>
      </c>
      <c r="B670" s="452">
        <v>46113</v>
      </c>
      <c r="C670" t="s">
        <v>4183</v>
      </c>
      <c r="D670" t="s">
        <v>4105</v>
      </c>
      <c r="E670" t="s">
        <v>4184</v>
      </c>
      <c r="F670">
        <v>8</v>
      </c>
      <c r="G670">
        <v>155.76</v>
      </c>
      <c r="H670" t="s">
        <v>4133</v>
      </c>
      <c r="J670" t="s">
        <v>590</v>
      </c>
    </row>
    <row r="671" spans="1:10" x14ac:dyDescent="0.3">
      <c r="A671" t="s">
        <v>557</v>
      </c>
      <c r="B671" s="452">
        <v>46113</v>
      </c>
      <c r="C671" t="s">
        <v>4180</v>
      </c>
      <c r="D671" t="s">
        <v>4105</v>
      </c>
      <c r="E671" t="s">
        <v>4137</v>
      </c>
      <c r="F671">
        <v>2</v>
      </c>
      <c r="G671">
        <v>27</v>
      </c>
      <c r="H671" t="s">
        <v>4133</v>
      </c>
      <c r="J671" t="s">
        <v>590</v>
      </c>
    </row>
    <row r="672" spans="1:10" x14ac:dyDescent="0.3">
      <c r="A672" t="s">
        <v>557</v>
      </c>
      <c r="B672" s="452">
        <v>46113</v>
      </c>
      <c r="C672" t="s">
        <v>4236</v>
      </c>
      <c r="D672" t="s">
        <v>4105</v>
      </c>
      <c r="E672" t="s">
        <v>4237</v>
      </c>
      <c r="F672">
        <v>3</v>
      </c>
      <c r="G672">
        <v>0</v>
      </c>
      <c r="H672" t="s">
        <v>4126</v>
      </c>
      <c r="J672" t="s">
        <v>590</v>
      </c>
    </row>
    <row r="673" spans="1:10" x14ac:dyDescent="0.3">
      <c r="A673" t="s">
        <v>557</v>
      </c>
      <c r="B673" s="452">
        <v>46113</v>
      </c>
      <c r="C673" t="s">
        <v>4235</v>
      </c>
      <c r="D673" t="s">
        <v>4105</v>
      </c>
      <c r="E673" t="s">
        <v>4139</v>
      </c>
      <c r="F673">
        <v>1</v>
      </c>
      <c r="G673">
        <v>10.8</v>
      </c>
      <c r="H673" t="s">
        <v>4133</v>
      </c>
      <c r="J673" t="s">
        <v>590</v>
      </c>
    </row>
    <row r="674" spans="1:10" x14ac:dyDescent="0.3">
      <c r="A674" t="s">
        <v>557</v>
      </c>
      <c r="B674" s="452">
        <v>46113</v>
      </c>
      <c r="C674" t="s">
        <v>4170</v>
      </c>
      <c r="D674" t="s">
        <v>4105</v>
      </c>
      <c r="E674" t="s">
        <v>4139</v>
      </c>
      <c r="F674">
        <v>4</v>
      </c>
      <c r="G674">
        <v>34.799999999999997</v>
      </c>
      <c r="H674" t="s">
        <v>4133</v>
      </c>
      <c r="J674" t="s">
        <v>590</v>
      </c>
    </row>
    <row r="675" spans="1:10" x14ac:dyDescent="0.3">
      <c r="A675" t="s">
        <v>557</v>
      </c>
      <c r="B675" s="452">
        <v>46113</v>
      </c>
      <c r="C675" t="s">
        <v>4283</v>
      </c>
      <c r="D675" t="s">
        <v>4105</v>
      </c>
      <c r="E675" t="s">
        <v>4227</v>
      </c>
      <c r="F675">
        <v>27</v>
      </c>
      <c r="G675">
        <v>153.9</v>
      </c>
      <c r="H675" t="s">
        <v>4126</v>
      </c>
      <c r="J675" t="s">
        <v>590</v>
      </c>
    </row>
    <row r="676" spans="1:10" x14ac:dyDescent="0.3">
      <c r="A676" t="s">
        <v>557</v>
      </c>
      <c r="B676" s="452">
        <v>46113</v>
      </c>
      <c r="C676" t="s">
        <v>4296</v>
      </c>
      <c r="D676" t="s">
        <v>4105</v>
      </c>
      <c r="E676" t="s">
        <v>4227</v>
      </c>
      <c r="F676">
        <v>2</v>
      </c>
      <c r="G676">
        <v>11.4</v>
      </c>
      <c r="H676" t="s">
        <v>4126</v>
      </c>
      <c r="J676" t="s">
        <v>590</v>
      </c>
    </row>
    <row r="677" spans="1:10" x14ac:dyDescent="0.3">
      <c r="A677" t="s">
        <v>557</v>
      </c>
      <c r="B677" s="452">
        <v>46113</v>
      </c>
      <c r="C677" t="s">
        <v>4182</v>
      </c>
      <c r="D677" t="s">
        <v>4105</v>
      </c>
      <c r="E677" t="s">
        <v>4135</v>
      </c>
      <c r="F677">
        <v>6</v>
      </c>
      <c r="G677">
        <v>50.4</v>
      </c>
      <c r="H677" t="s">
        <v>4133</v>
      </c>
      <c r="J677" t="s">
        <v>590</v>
      </c>
    </row>
    <row r="678" spans="1:10" x14ac:dyDescent="0.3">
      <c r="A678" t="s">
        <v>557</v>
      </c>
      <c r="B678" s="452">
        <v>46113</v>
      </c>
      <c r="C678" t="s">
        <v>4226</v>
      </c>
      <c r="D678" t="s">
        <v>4105</v>
      </c>
      <c r="E678" t="s">
        <v>4227</v>
      </c>
      <c r="F678">
        <v>21</v>
      </c>
      <c r="G678">
        <v>113.4</v>
      </c>
      <c r="H678" t="s">
        <v>4126</v>
      </c>
      <c r="J678" t="s">
        <v>590</v>
      </c>
    </row>
    <row r="679" spans="1:10" x14ac:dyDescent="0.3">
      <c r="A679" t="s">
        <v>557</v>
      </c>
      <c r="B679" s="452">
        <v>46113</v>
      </c>
      <c r="C679" t="s">
        <v>4231</v>
      </c>
      <c r="D679" t="s">
        <v>4105</v>
      </c>
      <c r="E679" t="s">
        <v>4232</v>
      </c>
      <c r="F679">
        <v>2</v>
      </c>
      <c r="G679">
        <v>67.2</v>
      </c>
      <c r="H679" t="s">
        <v>4126</v>
      </c>
      <c r="J679" t="s">
        <v>590</v>
      </c>
    </row>
    <row r="680" spans="1:10" x14ac:dyDescent="0.3">
      <c r="A680" t="s">
        <v>557</v>
      </c>
      <c r="B680" s="452">
        <v>46113</v>
      </c>
      <c r="C680" t="s">
        <v>4155</v>
      </c>
      <c r="D680" t="s">
        <v>4105</v>
      </c>
      <c r="E680" t="s">
        <v>4156</v>
      </c>
      <c r="F680">
        <v>13</v>
      </c>
      <c r="G680">
        <v>81.900000000000006</v>
      </c>
      <c r="H680" t="s">
        <v>4126</v>
      </c>
      <c r="J680" t="s">
        <v>590</v>
      </c>
    </row>
    <row r="681" spans="1:10" x14ac:dyDescent="0.3">
      <c r="A681" t="s">
        <v>557</v>
      </c>
      <c r="B681" s="452">
        <v>46113</v>
      </c>
      <c r="C681" t="s">
        <v>4271</v>
      </c>
      <c r="D681" t="s">
        <v>4105</v>
      </c>
      <c r="E681" t="s">
        <v>4190</v>
      </c>
      <c r="F681">
        <v>3</v>
      </c>
      <c r="G681">
        <v>40.5</v>
      </c>
      <c r="H681" t="s">
        <v>4133</v>
      </c>
      <c r="J681" t="s">
        <v>590</v>
      </c>
    </row>
    <row r="682" spans="1:10" x14ac:dyDescent="0.3">
      <c r="A682" t="s">
        <v>557</v>
      </c>
      <c r="B682" s="452">
        <v>46113</v>
      </c>
      <c r="C682" t="s">
        <v>4230</v>
      </c>
      <c r="D682" t="s">
        <v>4105</v>
      </c>
      <c r="E682" t="s">
        <v>4137</v>
      </c>
      <c r="F682">
        <v>4</v>
      </c>
      <c r="G682">
        <v>76.8</v>
      </c>
      <c r="H682" t="s">
        <v>4133</v>
      </c>
      <c r="J682" t="s">
        <v>590</v>
      </c>
    </row>
    <row r="683" spans="1:10" x14ac:dyDescent="0.3">
      <c r="A683" t="s">
        <v>557</v>
      </c>
      <c r="B683" s="452">
        <v>46113</v>
      </c>
      <c r="C683" t="s">
        <v>4186</v>
      </c>
      <c r="D683" t="s">
        <v>4105</v>
      </c>
      <c r="E683" t="s">
        <v>4137</v>
      </c>
      <c r="F683">
        <v>1</v>
      </c>
      <c r="G683">
        <v>12.6</v>
      </c>
      <c r="H683" t="s">
        <v>4133</v>
      </c>
      <c r="J683" t="s">
        <v>590</v>
      </c>
    </row>
    <row r="684" spans="1:10" x14ac:dyDescent="0.3">
      <c r="A684" t="s">
        <v>557</v>
      </c>
      <c r="B684" s="452">
        <v>46113</v>
      </c>
      <c r="C684" t="s">
        <v>4154</v>
      </c>
      <c r="D684" t="s">
        <v>4105</v>
      </c>
      <c r="E684" t="s">
        <v>4137</v>
      </c>
      <c r="F684">
        <v>3</v>
      </c>
      <c r="G684">
        <v>24.3</v>
      </c>
      <c r="H684" t="s">
        <v>4133</v>
      </c>
      <c r="J684" t="s">
        <v>590</v>
      </c>
    </row>
    <row r="685" spans="1:10" x14ac:dyDescent="0.3">
      <c r="A685" t="s">
        <v>557</v>
      </c>
      <c r="B685" s="452">
        <v>46113</v>
      </c>
      <c r="C685" t="s">
        <v>4196</v>
      </c>
      <c r="D685" t="s">
        <v>4105</v>
      </c>
      <c r="E685" t="s">
        <v>4184</v>
      </c>
      <c r="F685">
        <v>25</v>
      </c>
      <c r="G685">
        <v>539.25</v>
      </c>
      <c r="H685" t="s">
        <v>4133</v>
      </c>
      <c r="J685" t="s">
        <v>590</v>
      </c>
    </row>
    <row r="686" spans="1:10" x14ac:dyDescent="0.3">
      <c r="A686" t="s">
        <v>557</v>
      </c>
      <c r="B686" s="452">
        <v>46113</v>
      </c>
      <c r="C686" t="s">
        <v>4259</v>
      </c>
      <c r="D686" t="s">
        <v>4105</v>
      </c>
      <c r="E686" t="s">
        <v>4137</v>
      </c>
      <c r="F686">
        <v>1</v>
      </c>
      <c r="G686">
        <v>19.5</v>
      </c>
      <c r="H686" t="s">
        <v>4133</v>
      </c>
      <c r="J686" t="s">
        <v>590</v>
      </c>
    </row>
    <row r="687" spans="1:10" x14ac:dyDescent="0.3">
      <c r="A687" t="s">
        <v>557</v>
      </c>
      <c r="B687" s="452">
        <v>46113</v>
      </c>
      <c r="C687" t="s">
        <v>4194</v>
      </c>
      <c r="D687" t="s">
        <v>4105</v>
      </c>
      <c r="E687" t="s">
        <v>4129</v>
      </c>
      <c r="F687">
        <v>5</v>
      </c>
      <c r="G687">
        <v>27</v>
      </c>
      <c r="H687" t="s">
        <v>4126</v>
      </c>
      <c r="J687" t="s">
        <v>590</v>
      </c>
    </row>
    <row r="688" spans="1:10" x14ac:dyDescent="0.3">
      <c r="A688" t="s">
        <v>557</v>
      </c>
      <c r="B688" s="452">
        <v>46113</v>
      </c>
      <c r="C688" t="s">
        <v>4124</v>
      </c>
      <c r="D688" t="s">
        <v>4105</v>
      </c>
      <c r="E688" t="s">
        <v>4125</v>
      </c>
      <c r="F688">
        <v>3</v>
      </c>
      <c r="G688">
        <v>7.2</v>
      </c>
      <c r="H688" t="s">
        <v>4126</v>
      </c>
      <c r="J688" t="s">
        <v>590</v>
      </c>
    </row>
    <row r="689" spans="1:10" x14ac:dyDescent="0.3">
      <c r="A689" t="s">
        <v>557</v>
      </c>
      <c r="B689" s="452">
        <v>46113</v>
      </c>
      <c r="C689" t="s">
        <v>4175</v>
      </c>
      <c r="D689" t="s">
        <v>4105</v>
      </c>
      <c r="E689" t="s">
        <v>4149</v>
      </c>
      <c r="F689">
        <v>4</v>
      </c>
      <c r="G689">
        <v>99.3</v>
      </c>
      <c r="H689" t="s">
        <v>4133</v>
      </c>
      <c r="J689" t="s">
        <v>590</v>
      </c>
    </row>
    <row r="690" spans="1:10" x14ac:dyDescent="0.3">
      <c r="A690" t="s">
        <v>557</v>
      </c>
      <c r="B690" s="452">
        <v>46113</v>
      </c>
      <c r="C690" t="s">
        <v>4153</v>
      </c>
      <c r="D690" t="s">
        <v>4105</v>
      </c>
      <c r="E690" t="s">
        <v>4149</v>
      </c>
      <c r="F690">
        <v>1</v>
      </c>
      <c r="G690">
        <v>92.7</v>
      </c>
      <c r="H690" t="s">
        <v>4133</v>
      </c>
      <c r="J690" t="s">
        <v>590</v>
      </c>
    </row>
    <row r="691" spans="1:10" x14ac:dyDescent="0.3">
      <c r="A691" t="s">
        <v>557</v>
      </c>
      <c r="B691" s="452">
        <v>46113</v>
      </c>
      <c r="C691" t="s">
        <v>4173</v>
      </c>
      <c r="D691" t="s">
        <v>4105</v>
      </c>
      <c r="E691" t="s">
        <v>4174</v>
      </c>
      <c r="F691">
        <v>1</v>
      </c>
      <c r="G691">
        <v>12.6</v>
      </c>
      <c r="H691" t="s">
        <v>4126</v>
      </c>
      <c r="J691" t="s">
        <v>590</v>
      </c>
    </row>
    <row r="692" spans="1:10" x14ac:dyDescent="0.3">
      <c r="A692" t="s">
        <v>557</v>
      </c>
      <c r="B692" s="452">
        <v>46113</v>
      </c>
      <c r="C692" t="s">
        <v>4192</v>
      </c>
      <c r="D692" t="s">
        <v>4105</v>
      </c>
      <c r="E692" t="s">
        <v>4193</v>
      </c>
      <c r="F692">
        <v>5</v>
      </c>
      <c r="G692">
        <v>84</v>
      </c>
      <c r="H692" t="s">
        <v>4133</v>
      </c>
      <c r="J692" t="s">
        <v>590</v>
      </c>
    </row>
    <row r="693" spans="1:10" x14ac:dyDescent="0.3">
      <c r="A693" t="s">
        <v>557</v>
      </c>
      <c r="B693" s="452">
        <v>46113</v>
      </c>
      <c r="C693" t="s">
        <v>4254</v>
      </c>
      <c r="D693" t="s">
        <v>4105</v>
      </c>
      <c r="E693" t="s">
        <v>4237</v>
      </c>
      <c r="F693">
        <v>4</v>
      </c>
      <c r="G693">
        <v>106.8</v>
      </c>
      <c r="H693" t="s">
        <v>4126</v>
      </c>
      <c r="J693" t="s">
        <v>590</v>
      </c>
    </row>
    <row r="694" spans="1:10" x14ac:dyDescent="0.3">
      <c r="A694" t="s">
        <v>557</v>
      </c>
      <c r="B694" s="452">
        <v>46113</v>
      </c>
      <c r="C694" t="s">
        <v>4152</v>
      </c>
      <c r="D694" t="s">
        <v>4105</v>
      </c>
      <c r="E694" t="s">
        <v>4129</v>
      </c>
      <c r="F694">
        <v>10</v>
      </c>
      <c r="G694">
        <v>42</v>
      </c>
      <c r="H694" t="s">
        <v>4126</v>
      </c>
      <c r="J694" t="s">
        <v>590</v>
      </c>
    </row>
    <row r="695" spans="1:10" x14ac:dyDescent="0.3">
      <c r="A695" t="s">
        <v>557</v>
      </c>
      <c r="B695" s="452">
        <v>46113</v>
      </c>
      <c r="C695" t="s">
        <v>4223</v>
      </c>
      <c r="D695" t="s">
        <v>4105</v>
      </c>
      <c r="E695" t="s">
        <v>4139</v>
      </c>
      <c r="F695">
        <v>1</v>
      </c>
      <c r="G695">
        <v>7.8</v>
      </c>
      <c r="H695" t="s">
        <v>4133</v>
      </c>
      <c r="J695" t="s">
        <v>590</v>
      </c>
    </row>
    <row r="696" spans="1:10" x14ac:dyDescent="0.3">
      <c r="A696" t="s">
        <v>557</v>
      </c>
      <c r="B696" s="452">
        <v>46113</v>
      </c>
      <c r="C696" t="s">
        <v>4222</v>
      </c>
      <c r="D696" t="s">
        <v>4105</v>
      </c>
      <c r="E696" t="s">
        <v>4139</v>
      </c>
      <c r="F696">
        <v>1</v>
      </c>
      <c r="G696">
        <v>5.7</v>
      </c>
      <c r="H696" t="s">
        <v>4133</v>
      </c>
      <c r="J696" t="s">
        <v>590</v>
      </c>
    </row>
    <row r="697" spans="1:10" x14ac:dyDescent="0.3">
      <c r="A697" t="s">
        <v>557</v>
      </c>
      <c r="B697" s="452">
        <v>46113</v>
      </c>
      <c r="C697" t="s">
        <v>4191</v>
      </c>
      <c r="D697" t="s">
        <v>4105</v>
      </c>
      <c r="E697" t="s">
        <v>4135</v>
      </c>
      <c r="F697">
        <v>4</v>
      </c>
      <c r="G697">
        <v>22.8</v>
      </c>
      <c r="H697" t="s">
        <v>4133</v>
      </c>
      <c r="J697" t="s">
        <v>590</v>
      </c>
    </row>
    <row r="698" spans="1:10" x14ac:dyDescent="0.3">
      <c r="A698" t="s">
        <v>557</v>
      </c>
      <c r="B698" s="452">
        <v>46113</v>
      </c>
      <c r="C698" t="s">
        <v>4300</v>
      </c>
      <c r="D698" t="s">
        <v>4105</v>
      </c>
      <c r="E698" t="s">
        <v>4207</v>
      </c>
      <c r="F698">
        <v>2</v>
      </c>
      <c r="G698">
        <v>6</v>
      </c>
      <c r="H698" t="s">
        <v>3906</v>
      </c>
      <c r="J698" t="s">
        <v>590</v>
      </c>
    </row>
    <row r="699" spans="1:10" x14ac:dyDescent="0.3">
      <c r="A699" t="s">
        <v>557</v>
      </c>
      <c r="B699" s="452">
        <v>46113</v>
      </c>
      <c r="C699" t="s">
        <v>4127</v>
      </c>
      <c r="D699" t="s">
        <v>4105</v>
      </c>
      <c r="E699" t="s">
        <v>4125</v>
      </c>
      <c r="F699">
        <v>2</v>
      </c>
      <c r="G699">
        <v>4.8</v>
      </c>
      <c r="H699" t="s">
        <v>4126</v>
      </c>
      <c r="J699" t="s">
        <v>590</v>
      </c>
    </row>
    <row r="700" spans="1:10" x14ac:dyDescent="0.3">
      <c r="A700" t="s">
        <v>557</v>
      </c>
      <c r="B700" s="452">
        <v>46113</v>
      </c>
      <c r="C700" t="s">
        <v>4161</v>
      </c>
      <c r="D700" t="s">
        <v>4105</v>
      </c>
      <c r="E700" t="s">
        <v>4162</v>
      </c>
      <c r="F700">
        <v>1</v>
      </c>
      <c r="G700">
        <v>14.7</v>
      </c>
      <c r="H700" t="s">
        <v>4133</v>
      </c>
      <c r="J700" t="s">
        <v>590</v>
      </c>
    </row>
    <row r="701" spans="1:10" x14ac:dyDescent="0.3">
      <c r="A701" t="s">
        <v>557</v>
      </c>
      <c r="B701" s="452">
        <v>46113</v>
      </c>
      <c r="C701" t="s">
        <v>4248</v>
      </c>
      <c r="D701" t="s">
        <v>4105</v>
      </c>
      <c r="E701" t="s">
        <v>4139</v>
      </c>
      <c r="F701">
        <v>3</v>
      </c>
      <c r="G701">
        <v>25.2</v>
      </c>
      <c r="H701" t="s">
        <v>4133</v>
      </c>
      <c r="J701" t="s">
        <v>590</v>
      </c>
    </row>
    <row r="702" spans="1:10" x14ac:dyDescent="0.3">
      <c r="A702" t="s">
        <v>557</v>
      </c>
      <c r="B702" s="452">
        <v>46113</v>
      </c>
      <c r="C702" t="s">
        <v>4197</v>
      </c>
      <c r="D702" t="s">
        <v>4105</v>
      </c>
      <c r="E702" t="s">
        <v>4135</v>
      </c>
      <c r="F702">
        <v>5</v>
      </c>
      <c r="G702">
        <v>24</v>
      </c>
      <c r="H702" t="s">
        <v>4133</v>
      </c>
      <c r="J702" t="s">
        <v>590</v>
      </c>
    </row>
    <row r="703" spans="1:10" x14ac:dyDescent="0.3">
      <c r="A703" t="s">
        <v>557</v>
      </c>
      <c r="B703" s="452">
        <v>46113</v>
      </c>
      <c r="C703" t="s">
        <v>4247</v>
      </c>
      <c r="D703" t="s">
        <v>4105</v>
      </c>
      <c r="E703" t="s">
        <v>4139</v>
      </c>
      <c r="F703">
        <v>4</v>
      </c>
      <c r="G703">
        <v>14.4</v>
      </c>
      <c r="H703" t="s">
        <v>4133</v>
      </c>
      <c r="J703" t="s">
        <v>590</v>
      </c>
    </row>
    <row r="704" spans="1:10" x14ac:dyDescent="0.3">
      <c r="A704" t="s">
        <v>557</v>
      </c>
      <c r="B704" s="452">
        <v>46113</v>
      </c>
      <c r="C704" t="s">
        <v>4140</v>
      </c>
      <c r="D704" t="s">
        <v>4105</v>
      </c>
      <c r="E704" t="s">
        <v>4129</v>
      </c>
      <c r="F704">
        <v>13</v>
      </c>
      <c r="G704">
        <v>29.25</v>
      </c>
      <c r="H704" t="s">
        <v>4126</v>
      </c>
      <c r="J704" t="s">
        <v>590</v>
      </c>
    </row>
    <row r="705" spans="1:10" x14ac:dyDescent="0.3">
      <c r="A705" t="s">
        <v>557</v>
      </c>
      <c r="B705" s="452">
        <v>46113</v>
      </c>
      <c r="C705" t="s">
        <v>4141</v>
      </c>
      <c r="D705" t="s">
        <v>4105</v>
      </c>
      <c r="E705" t="s">
        <v>4142</v>
      </c>
      <c r="F705">
        <v>25</v>
      </c>
      <c r="G705">
        <v>104.25</v>
      </c>
      <c r="H705" t="s">
        <v>4126</v>
      </c>
      <c r="J705" t="s">
        <v>590</v>
      </c>
    </row>
    <row r="706" spans="1:10" x14ac:dyDescent="0.3">
      <c r="A706" t="s">
        <v>557</v>
      </c>
      <c r="B706" s="452">
        <v>46113</v>
      </c>
      <c r="C706" t="s">
        <v>4143</v>
      </c>
      <c r="D706" t="s">
        <v>4105</v>
      </c>
      <c r="E706" t="s">
        <v>4144</v>
      </c>
      <c r="F706">
        <v>5</v>
      </c>
      <c r="G706">
        <v>45</v>
      </c>
      <c r="H706" t="s">
        <v>4126</v>
      </c>
      <c r="J706" t="s">
        <v>590</v>
      </c>
    </row>
    <row r="707" spans="1:10" x14ac:dyDescent="0.3">
      <c r="A707" t="s">
        <v>557</v>
      </c>
      <c r="B707" s="452">
        <v>46113</v>
      </c>
      <c r="C707" t="s">
        <v>4246</v>
      </c>
      <c r="D707" t="s">
        <v>4105</v>
      </c>
      <c r="E707" t="s">
        <v>4125</v>
      </c>
      <c r="F707">
        <v>9</v>
      </c>
      <c r="G707">
        <v>21.6</v>
      </c>
      <c r="H707" t="s">
        <v>4126</v>
      </c>
      <c r="J707" t="s">
        <v>590</v>
      </c>
    </row>
    <row r="708" spans="1:10" x14ac:dyDescent="0.3">
      <c r="A708" t="s">
        <v>557</v>
      </c>
      <c r="B708" s="452">
        <v>46113</v>
      </c>
      <c r="C708" t="s">
        <v>4145</v>
      </c>
      <c r="D708" t="s">
        <v>4105</v>
      </c>
      <c r="E708" t="s">
        <v>4125</v>
      </c>
      <c r="F708">
        <v>9</v>
      </c>
      <c r="G708">
        <v>21.6</v>
      </c>
      <c r="H708" t="s">
        <v>4126</v>
      </c>
      <c r="J708" t="s">
        <v>590</v>
      </c>
    </row>
    <row r="709" spans="1:10" x14ac:dyDescent="0.3">
      <c r="A709" t="s">
        <v>557</v>
      </c>
      <c r="B709" s="452">
        <v>46113</v>
      </c>
      <c r="C709" t="s">
        <v>4214</v>
      </c>
      <c r="D709" t="s">
        <v>4105</v>
      </c>
      <c r="E709" t="s">
        <v>4137</v>
      </c>
      <c r="F709">
        <v>8</v>
      </c>
      <c r="G709">
        <v>165.6</v>
      </c>
      <c r="H709" t="s">
        <v>4133</v>
      </c>
      <c r="J709" t="s">
        <v>590</v>
      </c>
    </row>
    <row r="710" spans="1:10" x14ac:dyDescent="0.3">
      <c r="A710" t="s">
        <v>557</v>
      </c>
      <c r="B710" s="452">
        <v>46113</v>
      </c>
      <c r="C710" t="s">
        <v>4318</v>
      </c>
      <c r="D710" t="s">
        <v>4105</v>
      </c>
      <c r="E710" t="s">
        <v>4135</v>
      </c>
      <c r="F710">
        <v>1</v>
      </c>
      <c r="G710">
        <v>4.5</v>
      </c>
      <c r="H710" t="s">
        <v>4133</v>
      </c>
      <c r="J710" t="s">
        <v>590</v>
      </c>
    </row>
    <row r="711" spans="1:10" x14ac:dyDescent="0.3">
      <c r="A711" t="s">
        <v>557</v>
      </c>
      <c r="B711" s="452">
        <v>46113</v>
      </c>
      <c r="C711" t="s">
        <v>4166</v>
      </c>
      <c r="D711" t="s">
        <v>4105</v>
      </c>
      <c r="E711" t="s">
        <v>4137</v>
      </c>
      <c r="F711">
        <v>4</v>
      </c>
      <c r="G711">
        <v>44.4</v>
      </c>
      <c r="H711" t="s">
        <v>4133</v>
      </c>
      <c r="J711" t="s">
        <v>590</v>
      </c>
    </row>
    <row r="712" spans="1:10" x14ac:dyDescent="0.3">
      <c r="A712" t="s">
        <v>557</v>
      </c>
      <c r="B712" s="452">
        <v>46113</v>
      </c>
      <c r="C712" t="s">
        <v>4217</v>
      </c>
      <c r="D712" t="s">
        <v>4105</v>
      </c>
      <c r="E712" t="s">
        <v>4149</v>
      </c>
      <c r="F712">
        <v>1</v>
      </c>
      <c r="G712">
        <v>21.6</v>
      </c>
      <c r="H712" t="s">
        <v>4133</v>
      </c>
      <c r="J712" t="s">
        <v>590</v>
      </c>
    </row>
    <row r="713" spans="1:10" x14ac:dyDescent="0.3">
      <c r="A713" t="s">
        <v>557</v>
      </c>
      <c r="B713" s="452">
        <v>46113</v>
      </c>
      <c r="C713" t="s">
        <v>4218</v>
      </c>
      <c r="D713" t="s">
        <v>4105</v>
      </c>
      <c r="E713" t="s">
        <v>4162</v>
      </c>
      <c r="F713">
        <v>2</v>
      </c>
      <c r="G713">
        <v>29.4</v>
      </c>
      <c r="H713" t="s">
        <v>4133</v>
      </c>
      <c r="J713" t="s">
        <v>590</v>
      </c>
    </row>
    <row r="714" spans="1:10" x14ac:dyDescent="0.3">
      <c r="A714" t="s">
        <v>557</v>
      </c>
      <c r="B714" s="452">
        <v>46113</v>
      </c>
      <c r="C714" t="s">
        <v>4165</v>
      </c>
      <c r="D714" t="s">
        <v>4105</v>
      </c>
      <c r="E714" t="s">
        <v>4129</v>
      </c>
      <c r="F714">
        <v>8</v>
      </c>
      <c r="G714">
        <v>33.6</v>
      </c>
      <c r="H714" t="s">
        <v>4126</v>
      </c>
      <c r="J714" t="s">
        <v>590</v>
      </c>
    </row>
    <row r="715" spans="1:10" x14ac:dyDescent="0.3">
      <c r="A715" t="s">
        <v>557</v>
      </c>
      <c r="B715" s="452">
        <v>46113</v>
      </c>
      <c r="C715" t="s">
        <v>4146</v>
      </c>
      <c r="D715" t="s">
        <v>4105</v>
      </c>
      <c r="E715" t="s">
        <v>4129</v>
      </c>
      <c r="F715">
        <v>13</v>
      </c>
      <c r="G715">
        <v>54.6</v>
      </c>
      <c r="H715" t="s">
        <v>4126</v>
      </c>
      <c r="J715" t="s">
        <v>590</v>
      </c>
    </row>
    <row r="716" spans="1:10" x14ac:dyDescent="0.3">
      <c r="A716" t="s">
        <v>557</v>
      </c>
      <c r="B716" s="452">
        <v>46113</v>
      </c>
      <c r="C716" t="s">
        <v>4147</v>
      </c>
      <c r="D716" t="s">
        <v>4105</v>
      </c>
      <c r="E716" t="s">
        <v>4125</v>
      </c>
      <c r="F716">
        <v>6</v>
      </c>
      <c r="G716">
        <v>14.4</v>
      </c>
      <c r="H716" t="s">
        <v>4126</v>
      </c>
      <c r="J716" t="s">
        <v>590</v>
      </c>
    </row>
    <row r="717" spans="1:10" x14ac:dyDescent="0.3">
      <c r="A717" t="s">
        <v>557</v>
      </c>
      <c r="B717" s="452">
        <v>46113</v>
      </c>
      <c r="C717" t="s">
        <v>4208</v>
      </c>
      <c r="D717" t="s">
        <v>4105</v>
      </c>
      <c r="E717" t="s">
        <v>4129</v>
      </c>
      <c r="F717">
        <v>4</v>
      </c>
      <c r="G717">
        <v>16.8</v>
      </c>
      <c r="H717" t="s">
        <v>4126</v>
      </c>
      <c r="J717" t="s">
        <v>590</v>
      </c>
    </row>
    <row r="718" spans="1:10" x14ac:dyDescent="0.3">
      <c r="A718" t="s">
        <v>557</v>
      </c>
      <c r="B718" s="452">
        <v>46113</v>
      </c>
      <c r="C718" t="s">
        <v>4205</v>
      </c>
      <c r="D718" t="s">
        <v>4105</v>
      </c>
      <c r="E718" t="s">
        <v>4129</v>
      </c>
      <c r="F718">
        <v>9</v>
      </c>
      <c r="G718">
        <v>43.2</v>
      </c>
      <c r="H718" t="s">
        <v>4126</v>
      </c>
      <c r="J718" t="s">
        <v>590</v>
      </c>
    </row>
    <row r="719" spans="1:10" x14ac:dyDescent="0.3">
      <c r="A719" t="s">
        <v>557</v>
      </c>
      <c r="B719" s="452">
        <v>46113</v>
      </c>
      <c r="C719" t="s">
        <v>4128</v>
      </c>
      <c r="D719" t="s">
        <v>4105</v>
      </c>
      <c r="E719" t="s">
        <v>4129</v>
      </c>
      <c r="F719">
        <v>10</v>
      </c>
      <c r="G719">
        <v>22.5</v>
      </c>
      <c r="H719" t="s">
        <v>4126</v>
      </c>
      <c r="J719" t="s">
        <v>590</v>
      </c>
    </row>
    <row r="720" spans="1:10" x14ac:dyDescent="0.3">
      <c r="A720" t="s">
        <v>557</v>
      </c>
      <c r="B720" s="452">
        <v>46113</v>
      </c>
      <c r="C720" t="s">
        <v>4213</v>
      </c>
      <c r="D720" t="s">
        <v>4105</v>
      </c>
      <c r="E720" t="s">
        <v>4137</v>
      </c>
      <c r="F720">
        <v>2</v>
      </c>
      <c r="G720">
        <v>25.2</v>
      </c>
      <c r="H720" t="s">
        <v>4133</v>
      </c>
      <c r="J720" t="s">
        <v>590</v>
      </c>
    </row>
    <row r="721" spans="1:10" x14ac:dyDescent="0.3">
      <c r="A721" t="s">
        <v>557</v>
      </c>
      <c r="B721" s="452">
        <v>46113</v>
      </c>
      <c r="C721" t="s">
        <v>4216</v>
      </c>
      <c r="D721" t="s">
        <v>4105</v>
      </c>
      <c r="E721" t="s">
        <v>4149</v>
      </c>
      <c r="F721">
        <v>1</v>
      </c>
      <c r="G721">
        <v>29.4</v>
      </c>
      <c r="H721" t="s">
        <v>4133</v>
      </c>
      <c r="J721" t="s">
        <v>590</v>
      </c>
    </row>
    <row r="722" spans="1:10" x14ac:dyDescent="0.3">
      <c r="A722" t="s">
        <v>557</v>
      </c>
      <c r="B722" s="452">
        <v>46113</v>
      </c>
      <c r="C722" t="s">
        <v>4178</v>
      </c>
      <c r="D722" t="s">
        <v>4105</v>
      </c>
      <c r="E722" t="s">
        <v>4129</v>
      </c>
      <c r="F722">
        <v>2</v>
      </c>
      <c r="G722">
        <v>9.6</v>
      </c>
      <c r="H722" t="s">
        <v>4126</v>
      </c>
      <c r="J722" t="s">
        <v>590</v>
      </c>
    </row>
    <row r="723" spans="1:10" x14ac:dyDescent="0.3">
      <c r="A723" t="s">
        <v>557</v>
      </c>
      <c r="B723" s="452">
        <v>46113</v>
      </c>
      <c r="C723" t="s">
        <v>4138</v>
      </c>
      <c r="D723" t="s">
        <v>4105</v>
      </c>
      <c r="E723" t="s">
        <v>4139</v>
      </c>
      <c r="F723">
        <v>6</v>
      </c>
      <c r="G723">
        <v>46.8</v>
      </c>
      <c r="H723" t="s">
        <v>4133</v>
      </c>
      <c r="J723" t="s">
        <v>590</v>
      </c>
    </row>
    <row r="724" spans="1:10" x14ac:dyDescent="0.3">
      <c r="A724" t="s">
        <v>557</v>
      </c>
      <c r="B724" s="452">
        <v>46113</v>
      </c>
      <c r="C724" t="s">
        <v>4210</v>
      </c>
      <c r="D724" t="s">
        <v>4105</v>
      </c>
      <c r="E724" t="s">
        <v>4149</v>
      </c>
      <c r="F724">
        <v>2</v>
      </c>
      <c r="G724">
        <v>50.4</v>
      </c>
      <c r="H724" t="s">
        <v>4133</v>
      </c>
      <c r="J724" t="s">
        <v>590</v>
      </c>
    </row>
    <row r="725" spans="1:10" x14ac:dyDescent="0.3">
      <c r="A725" t="s">
        <v>557</v>
      </c>
      <c r="B725" s="452">
        <v>46113</v>
      </c>
      <c r="C725" t="s">
        <v>4250</v>
      </c>
      <c r="D725" t="s">
        <v>4105</v>
      </c>
      <c r="E725" t="s">
        <v>4139</v>
      </c>
      <c r="F725">
        <v>1</v>
      </c>
      <c r="G725">
        <v>8.4</v>
      </c>
      <c r="H725" t="s">
        <v>4133</v>
      </c>
      <c r="J725" t="s">
        <v>590</v>
      </c>
    </row>
    <row r="726" spans="1:10" x14ac:dyDescent="0.3">
      <c r="A726" t="s">
        <v>557</v>
      </c>
      <c r="B726" s="452">
        <v>46113</v>
      </c>
      <c r="C726" t="s">
        <v>4164</v>
      </c>
      <c r="D726" t="s">
        <v>4105</v>
      </c>
      <c r="E726" t="s">
        <v>4137</v>
      </c>
      <c r="F726">
        <v>2</v>
      </c>
      <c r="G726">
        <v>23.4</v>
      </c>
      <c r="H726" t="s">
        <v>4133</v>
      </c>
      <c r="J726" t="s">
        <v>590</v>
      </c>
    </row>
    <row r="727" spans="1:10" x14ac:dyDescent="0.3">
      <c r="A727" t="s">
        <v>557</v>
      </c>
      <c r="B727" s="452">
        <v>46113</v>
      </c>
      <c r="C727" t="s">
        <v>4209</v>
      </c>
      <c r="D727" t="s">
        <v>4105</v>
      </c>
      <c r="E727" t="s">
        <v>4193</v>
      </c>
      <c r="F727">
        <v>2</v>
      </c>
      <c r="G727">
        <v>29.4</v>
      </c>
      <c r="H727" t="s">
        <v>4133</v>
      </c>
      <c r="J727" t="s">
        <v>590</v>
      </c>
    </row>
    <row r="728" spans="1:10" x14ac:dyDescent="0.3">
      <c r="A728" t="s">
        <v>557</v>
      </c>
      <c r="B728" s="452">
        <v>46113</v>
      </c>
      <c r="C728" t="s">
        <v>4302</v>
      </c>
      <c r="D728" t="s">
        <v>4105</v>
      </c>
      <c r="E728" t="s">
        <v>4132</v>
      </c>
      <c r="F728">
        <v>2</v>
      </c>
      <c r="G728">
        <v>24</v>
      </c>
      <c r="H728" t="s">
        <v>4126</v>
      </c>
      <c r="J728" t="s">
        <v>590</v>
      </c>
    </row>
    <row r="729" spans="1:10" x14ac:dyDescent="0.3">
      <c r="A729" t="s">
        <v>557</v>
      </c>
      <c r="B729" s="452">
        <v>46113</v>
      </c>
      <c r="C729" t="s">
        <v>4136</v>
      </c>
      <c r="D729" t="s">
        <v>4105</v>
      </c>
      <c r="E729" t="s">
        <v>4137</v>
      </c>
      <c r="F729">
        <v>4</v>
      </c>
      <c r="G729">
        <v>46.8</v>
      </c>
      <c r="H729" t="s">
        <v>4133</v>
      </c>
      <c r="J729" t="s">
        <v>590</v>
      </c>
    </row>
    <row r="730" spans="1:10" x14ac:dyDescent="0.3">
      <c r="A730" t="s">
        <v>557</v>
      </c>
      <c r="B730" s="452">
        <v>46113</v>
      </c>
      <c r="C730" t="s">
        <v>4198</v>
      </c>
      <c r="D730" t="s">
        <v>4105</v>
      </c>
      <c r="E730" t="s">
        <v>4137</v>
      </c>
      <c r="F730">
        <v>1</v>
      </c>
      <c r="G730">
        <v>20.7</v>
      </c>
      <c r="H730" t="s">
        <v>4133</v>
      </c>
      <c r="J730" t="s">
        <v>590</v>
      </c>
    </row>
    <row r="731" spans="1:10" x14ac:dyDescent="0.3">
      <c r="A731" t="s">
        <v>557</v>
      </c>
      <c r="B731" s="452">
        <v>46113</v>
      </c>
      <c r="C731" t="s">
        <v>4269</v>
      </c>
      <c r="D731" t="s">
        <v>4105</v>
      </c>
      <c r="E731" t="s">
        <v>4270</v>
      </c>
      <c r="F731">
        <v>3</v>
      </c>
      <c r="G731">
        <v>29.7</v>
      </c>
      <c r="H731" t="s">
        <v>4126</v>
      </c>
      <c r="J731" t="s">
        <v>590</v>
      </c>
    </row>
    <row r="732" spans="1:10" x14ac:dyDescent="0.3">
      <c r="A732" t="s">
        <v>557</v>
      </c>
      <c r="B732" s="452">
        <v>46113</v>
      </c>
      <c r="C732" t="s">
        <v>4319</v>
      </c>
      <c r="D732" t="s">
        <v>4105</v>
      </c>
      <c r="E732" t="s">
        <v>4169</v>
      </c>
      <c r="F732">
        <v>3</v>
      </c>
      <c r="G732">
        <v>7.2</v>
      </c>
      <c r="H732" t="s">
        <v>4126</v>
      </c>
      <c r="J732" t="s">
        <v>590</v>
      </c>
    </row>
    <row r="733" spans="1:10" x14ac:dyDescent="0.3">
      <c r="A733" t="s">
        <v>557</v>
      </c>
      <c r="B733" s="452">
        <v>46113</v>
      </c>
      <c r="C733" t="s">
        <v>4199</v>
      </c>
      <c r="D733" t="s">
        <v>4105</v>
      </c>
      <c r="E733" t="s">
        <v>4137</v>
      </c>
      <c r="F733">
        <v>6</v>
      </c>
      <c r="G733">
        <v>106.2</v>
      </c>
      <c r="H733" t="s">
        <v>4133</v>
      </c>
      <c r="J733" t="s">
        <v>590</v>
      </c>
    </row>
    <row r="734" spans="1:10" x14ac:dyDescent="0.3">
      <c r="A734" t="s">
        <v>557</v>
      </c>
      <c r="B734" s="452">
        <v>46113</v>
      </c>
      <c r="C734" t="s">
        <v>4200</v>
      </c>
      <c r="D734" t="s">
        <v>4105</v>
      </c>
      <c r="E734" t="s">
        <v>4135</v>
      </c>
      <c r="F734">
        <v>3</v>
      </c>
      <c r="G734">
        <v>22.5</v>
      </c>
      <c r="H734" t="s">
        <v>4133</v>
      </c>
      <c r="J734" t="s">
        <v>590</v>
      </c>
    </row>
    <row r="735" spans="1:10" x14ac:dyDescent="0.3">
      <c r="A735" t="s">
        <v>557</v>
      </c>
      <c r="B735" s="452">
        <v>46113</v>
      </c>
      <c r="C735" t="s">
        <v>4159</v>
      </c>
      <c r="D735" t="s">
        <v>4105</v>
      </c>
      <c r="E735" t="s">
        <v>4135</v>
      </c>
      <c r="F735">
        <v>7</v>
      </c>
      <c r="G735">
        <v>60.9</v>
      </c>
      <c r="H735" t="s">
        <v>4133</v>
      </c>
      <c r="J735" t="s">
        <v>590</v>
      </c>
    </row>
    <row r="736" spans="1:10" x14ac:dyDescent="0.3">
      <c r="A736" t="s">
        <v>557</v>
      </c>
      <c r="B736" s="452">
        <v>46113</v>
      </c>
      <c r="C736" t="s">
        <v>4249</v>
      </c>
      <c r="D736" t="s">
        <v>4105</v>
      </c>
      <c r="E736" t="s">
        <v>4139</v>
      </c>
      <c r="F736">
        <v>5</v>
      </c>
      <c r="G736">
        <v>18</v>
      </c>
      <c r="H736" t="s">
        <v>4133</v>
      </c>
      <c r="J736" t="s">
        <v>590</v>
      </c>
    </row>
    <row r="737" spans="1:10" x14ac:dyDescent="0.3">
      <c r="A737" t="s">
        <v>557</v>
      </c>
      <c r="B737" s="452">
        <v>46113</v>
      </c>
      <c r="C737" t="s">
        <v>4202</v>
      </c>
      <c r="D737" t="s">
        <v>4105</v>
      </c>
      <c r="E737" t="s">
        <v>4169</v>
      </c>
      <c r="F737">
        <v>14</v>
      </c>
      <c r="G737">
        <v>33.6</v>
      </c>
      <c r="H737" t="s">
        <v>4126</v>
      </c>
      <c r="J737" t="s">
        <v>590</v>
      </c>
    </row>
    <row r="738" spans="1:10" x14ac:dyDescent="0.3">
      <c r="A738" t="s">
        <v>557</v>
      </c>
      <c r="B738" s="452">
        <v>46113</v>
      </c>
      <c r="C738" t="s">
        <v>4203</v>
      </c>
      <c r="D738" t="s">
        <v>4105</v>
      </c>
      <c r="E738" t="s">
        <v>4204</v>
      </c>
      <c r="F738">
        <v>1</v>
      </c>
      <c r="G738">
        <v>11.7</v>
      </c>
      <c r="H738" t="s">
        <v>4126</v>
      </c>
      <c r="J738" t="s">
        <v>590</v>
      </c>
    </row>
    <row r="739" spans="1:10" x14ac:dyDescent="0.3">
      <c r="A739" t="s">
        <v>557</v>
      </c>
      <c r="B739" s="452">
        <v>46143</v>
      </c>
      <c r="C739" t="s">
        <v>4136</v>
      </c>
      <c r="D739" t="s">
        <v>4092</v>
      </c>
      <c r="E739" t="s">
        <v>4137</v>
      </c>
      <c r="F739">
        <v>9</v>
      </c>
      <c r="G739">
        <v>351</v>
      </c>
      <c r="H739" t="s">
        <v>4133</v>
      </c>
      <c r="I739" t="s">
        <v>33</v>
      </c>
      <c r="J739" t="s">
        <v>592</v>
      </c>
    </row>
    <row r="740" spans="1:10" x14ac:dyDescent="0.3">
      <c r="A740" t="s">
        <v>557</v>
      </c>
      <c r="B740" s="452">
        <v>46143</v>
      </c>
      <c r="C740" t="s">
        <v>4141</v>
      </c>
      <c r="D740" t="s">
        <v>4092</v>
      </c>
      <c r="E740" t="s">
        <v>4142</v>
      </c>
      <c r="F740">
        <v>79</v>
      </c>
      <c r="G740">
        <v>1098.0999999999999</v>
      </c>
      <c r="H740" t="s">
        <v>4126</v>
      </c>
      <c r="I740" t="s">
        <v>33</v>
      </c>
      <c r="J740" t="s">
        <v>592</v>
      </c>
    </row>
    <row r="741" spans="1:10" x14ac:dyDescent="0.3">
      <c r="A741" t="s">
        <v>557</v>
      </c>
      <c r="B741" s="452">
        <v>46143</v>
      </c>
      <c r="C741" t="s">
        <v>4138</v>
      </c>
      <c r="D741" t="s">
        <v>4092</v>
      </c>
      <c r="E741" t="s">
        <v>4139</v>
      </c>
      <c r="F741">
        <v>10</v>
      </c>
      <c r="G741">
        <v>260</v>
      </c>
      <c r="H741" t="s">
        <v>4133</v>
      </c>
      <c r="I741" t="s">
        <v>33</v>
      </c>
      <c r="J741" t="s">
        <v>592</v>
      </c>
    </row>
    <row r="742" spans="1:10" x14ac:dyDescent="0.3">
      <c r="A742" t="s">
        <v>557</v>
      </c>
      <c r="B742" s="452">
        <v>46143</v>
      </c>
      <c r="C742" t="s">
        <v>4130</v>
      </c>
      <c r="D742" t="s">
        <v>4095</v>
      </c>
      <c r="E742" t="s">
        <v>4125</v>
      </c>
      <c r="F742">
        <v>2</v>
      </c>
      <c r="G742">
        <v>16</v>
      </c>
      <c r="H742" t="s">
        <v>4126</v>
      </c>
      <c r="I742" t="s">
        <v>33</v>
      </c>
      <c r="J742" t="s">
        <v>592</v>
      </c>
    </row>
    <row r="743" spans="1:10" x14ac:dyDescent="0.3">
      <c r="A743" t="s">
        <v>557</v>
      </c>
      <c r="B743" s="452">
        <v>46143</v>
      </c>
      <c r="C743" t="s">
        <v>4316</v>
      </c>
      <c r="D743" t="s">
        <v>4095</v>
      </c>
      <c r="E743" t="s">
        <v>4317</v>
      </c>
      <c r="F743">
        <v>36</v>
      </c>
      <c r="G743">
        <v>2156.4</v>
      </c>
      <c r="H743" t="s">
        <v>4133</v>
      </c>
      <c r="I743" t="s">
        <v>33</v>
      </c>
      <c r="J743" t="s">
        <v>592</v>
      </c>
    </row>
    <row r="744" spans="1:10" x14ac:dyDescent="0.3">
      <c r="A744" t="s">
        <v>557</v>
      </c>
      <c r="B744" s="452">
        <v>46143</v>
      </c>
      <c r="C744" t="s">
        <v>4128</v>
      </c>
      <c r="D744" t="s">
        <v>4095</v>
      </c>
      <c r="E744" t="s">
        <v>4129</v>
      </c>
      <c r="F744">
        <v>11</v>
      </c>
      <c r="G744">
        <v>82.5</v>
      </c>
      <c r="H744" t="s">
        <v>4126</v>
      </c>
      <c r="I744" t="s">
        <v>33</v>
      </c>
      <c r="J744" t="s">
        <v>592</v>
      </c>
    </row>
    <row r="745" spans="1:10" x14ac:dyDescent="0.3">
      <c r="A745" t="s">
        <v>557</v>
      </c>
      <c r="B745" s="452">
        <v>46143</v>
      </c>
      <c r="C745" t="s">
        <v>4127</v>
      </c>
      <c r="D745" t="s">
        <v>4095</v>
      </c>
      <c r="E745" t="s">
        <v>4125</v>
      </c>
      <c r="F745">
        <v>9</v>
      </c>
      <c r="G745">
        <v>72</v>
      </c>
      <c r="H745" t="s">
        <v>4126</v>
      </c>
      <c r="I745" t="s">
        <v>33</v>
      </c>
      <c r="J745" t="s">
        <v>592</v>
      </c>
    </row>
    <row r="746" spans="1:10" x14ac:dyDescent="0.3">
      <c r="A746" t="s">
        <v>557</v>
      </c>
      <c r="B746" s="452">
        <v>46143</v>
      </c>
      <c r="C746" t="s">
        <v>4140</v>
      </c>
      <c r="D746" t="s">
        <v>4095</v>
      </c>
      <c r="E746" t="s">
        <v>4129</v>
      </c>
      <c r="F746">
        <v>4</v>
      </c>
      <c r="G746">
        <v>30</v>
      </c>
      <c r="H746" t="s">
        <v>4126</v>
      </c>
      <c r="I746" t="s">
        <v>33</v>
      </c>
      <c r="J746" t="s">
        <v>592</v>
      </c>
    </row>
    <row r="747" spans="1:10" x14ac:dyDescent="0.3">
      <c r="A747" t="s">
        <v>557</v>
      </c>
      <c r="B747" s="452">
        <v>46143</v>
      </c>
      <c r="C747" t="s">
        <v>4246</v>
      </c>
      <c r="D747" t="s">
        <v>4095</v>
      </c>
      <c r="E747" t="s">
        <v>4125</v>
      </c>
      <c r="F747">
        <v>12</v>
      </c>
      <c r="G747">
        <v>96</v>
      </c>
      <c r="H747" t="s">
        <v>4126</v>
      </c>
      <c r="I747" t="s">
        <v>33</v>
      </c>
      <c r="J747" t="s">
        <v>592</v>
      </c>
    </row>
    <row r="748" spans="1:10" x14ac:dyDescent="0.3">
      <c r="A748" t="s">
        <v>557</v>
      </c>
      <c r="B748" s="452">
        <v>46143</v>
      </c>
      <c r="C748" t="s">
        <v>4145</v>
      </c>
      <c r="D748" t="s">
        <v>4095</v>
      </c>
      <c r="E748" t="s">
        <v>4125</v>
      </c>
      <c r="F748">
        <v>7</v>
      </c>
      <c r="G748">
        <v>56</v>
      </c>
      <c r="H748" t="s">
        <v>4126</v>
      </c>
      <c r="I748" t="s">
        <v>33</v>
      </c>
      <c r="J748" t="s">
        <v>592</v>
      </c>
    </row>
    <row r="749" spans="1:10" x14ac:dyDescent="0.3">
      <c r="A749" t="s">
        <v>557</v>
      </c>
      <c r="B749" s="452">
        <v>46143</v>
      </c>
      <c r="C749" t="s">
        <v>4147</v>
      </c>
      <c r="D749" t="s">
        <v>4095</v>
      </c>
      <c r="E749" t="s">
        <v>4125</v>
      </c>
      <c r="F749">
        <v>6</v>
      </c>
      <c r="G749">
        <v>48</v>
      </c>
      <c r="H749" t="s">
        <v>4126</v>
      </c>
      <c r="I749" t="s">
        <v>33</v>
      </c>
      <c r="J749" t="s">
        <v>592</v>
      </c>
    </row>
    <row r="750" spans="1:10" x14ac:dyDescent="0.3">
      <c r="A750" t="s">
        <v>557</v>
      </c>
      <c r="B750" s="452">
        <v>46143</v>
      </c>
      <c r="C750" t="s">
        <v>4124</v>
      </c>
      <c r="D750" t="s">
        <v>4095</v>
      </c>
      <c r="E750" t="s">
        <v>4125</v>
      </c>
      <c r="F750">
        <v>10</v>
      </c>
      <c r="G750">
        <v>80</v>
      </c>
      <c r="H750" t="s">
        <v>4126</v>
      </c>
      <c r="I750" t="s">
        <v>33</v>
      </c>
      <c r="J750" t="s">
        <v>592</v>
      </c>
    </row>
    <row r="751" spans="1:10" x14ac:dyDescent="0.3">
      <c r="A751" t="s">
        <v>557</v>
      </c>
      <c r="B751" s="452">
        <v>46143</v>
      </c>
      <c r="C751" t="s">
        <v>4246</v>
      </c>
      <c r="D751" t="s">
        <v>4097</v>
      </c>
      <c r="E751" t="s">
        <v>4125</v>
      </c>
      <c r="F751">
        <v>1</v>
      </c>
      <c r="G751">
        <v>8</v>
      </c>
      <c r="H751" t="s">
        <v>4126</v>
      </c>
      <c r="I751" t="s">
        <v>33</v>
      </c>
      <c r="J751" t="s">
        <v>592</v>
      </c>
    </row>
    <row r="752" spans="1:10" x14ac:dyDescent="0.3">
      <c r="A752" t="s">
        <v>557</v>
      </c>
      <c r="B752" s="452">
        <v>46143</v>
      </c>
      <c r="C752" t="s">
        <v>4138</v>
      </c>
      <c r="D752" t="s">
        <v>4097</v>
      </c>
      <c r="E752" t="s">
        <v>4139</v>
      </c>
      <c r="F752">
        <v>6</v>
      </c>
      <c r="G752">
        <v>156</v>
      </c>
      <c r="H752" t="s">
        <v>4133</v>
      </c>
      <c r="I752" t="s">
        <v>33</v>
      </c>
      <c r="J752" t="s">
        <v>592</v>
      </c>
    </row>
    <row r="753" spans="1:10" x14ac:dyDescent="0.3">
      <c r="A753" t="s">
        <v>557</v>
      </c>
      <c r="B753" s="452">
        <v>46143</v>
      </c>
      <c r="C753" t="s">
        <v>4164</v>
      </c>
      <c r="D753" t="s">
        <v>4097</v>
      </c>
      <c r="E753" t="s">
        <v>4137</v>
      </c>
      <c r="F753">
        <v>6</v>
      </c>
      <c r="G753">
        <v>234</v>
      </c>
      <c r="H753" t="s">
        <v>4133</v>
      </c>
      <c r="I753" t="s">
        <v>33</v>
      </c>
      <c r="J753" t="s">
        <v>592</v>
      </c>
    </row>
    <row r="754" spans="1:10" x14ac:dyDescent="0.3">
      <c r="A754" t="s">
        <v>557</v>
      </c>
      <c r="B754" s="452">
        <v>46143</v>
      </c>
      <c r="C754" t="s">
        <v>4136</v>
      </c>
      <c r="D754" t="s">
        <v>4097</v>
      </c>
      <c r="E754" t="s">
        <v>4137</v>
      </c>
      <c r="F754">
        <v>4</v>
      </c>
      <c r="G754">
        <v>156</v>
      </c>
      <c r="H754" t="s">
        <v>4133</v>
      </c>
      <c r="I754" t="s">
        <v>33</v>
      </c>
      <c r="J754" t="s">
        <v>592</v>
      </c>
    </row>
    <row r="755" spans="1:10" x14ac:dyDescent="0.3">
      <c r="A755" t="s">
        <v>557</v>
      </c>
      <c r="B755" s="452">
        <v>46143</v>
      </c>
      <c r="C755" t="s">
        <v>4158</v>
      </c>
      <c r="D755" t="s">
        <v>4097</v>
      </c>
      <c r="E755" t="s">
        <v>4137</v>
      </c>
      <c r="F755">
        <v>4</v>
      </c>
      <c r="G755">
        <v>180</v>
      </c>
      <c r="H755" t="s">
        <v>4133</v>
      </c>
      <c r="I755" t="s">
        <v>33</v>
      </c>
      <c r="J755" t="s">
        <v>592</v>
      </c>
    </row>
    <row r="756" spans="1:10" x14ac:dyDescent="0.3">
      <c r="A756" t="s">
        <v>557</v>
      </c>
      <c r="B756" s="452">
        <v>46143</v>
      </c>
      <c r="C756" t="s">
        <v>4128</v>
      </c>
      <c r="D756" t="s">
        <v>4097</v>
      </c>
      <c r="E756" t="s">
        <v>4129</v>
      </c>
      <c r="F756">
        <v>7</v>
      </c>
      <c r="G756">
        <v>52.5</v>
      </c>
      <c r="H756" t="s">
        <v>4126</v>
      </c>
      <c r="I756" t="s">
        <v>33</v>
      </c>
      <c r="J756" t="s">
        <v>592</v>
      </c>
    </row>
    <row r="757" spans="1:10" x14ac:dyDescent="0.3">
      <c r="A757" t="s">
        <v>557</v>
      </c>
      <c r="B757" s="452">
        <v>46143</v>
      </c>
      <c r="C757" t="s">
        <v>4141</v>
      </c>
      <c r="D757" t="s">
        <v>4097</v>
      </c>
      <c r="E757" t="s">
        <v>4142</v>
      </c>
      <c r="F757">
        <v>16</v>
      </c>
      <c r="G757">
        <v>222.4</v>
      </c>
      <c r="H757" t="s">
        <v>4126</v>
      </c>
      <c r="I757" t="s">
        <v>33</v>
      </c>
      <c r="J757" t="s">
        <v>592</v>
      </c>
    </row>
    <row r="758" spans="1:10" x14ac:dyDescent="0.3">
      <c r="A758" t="s">
        <v>557</v>
      </c>
      <c r="B758" s="452">
        <v>46143</v>
      </c>
      <c r="C758" t="s">
        <v>4147</v>
      </c>
      <c r="D758" t="s">
        <v>4097</v>
      </c>
      <c r="E758" t="s">
        <v>4125</v>
      </c>
      <c r="F758">
        <v>1</v>
      </c>
      <c r="G758">
        <v>8</v>
      </c>
      <c r="H758" t="s">
        <v>4126</v>
      </c>
      <c r="I758" t="s">
        <v>33</v>
      </c>
      <c r="J758" t="s">
        <v>592</v>
      </c>
    </row>
    <row r="759" spans="1:10" x14ac:dyDescent="0.3">
      <c r="A759" t="s">
        <v>557</v>
      </c>
      <c r="B759" s="452">
        <v>46143</v>
      </c>
      <c r="C759" t="s">
        <v>4124</v>
      </c>
      <c r="D759" t="s">
        <v>4097</v>
      </c>
      <c r="E759" t="s">
        <v>4125</v>
      </c>
      <c r="F759">
        <v>1</v>
      </c>
      <c r="G759">
        <v>8</v>
      </c>
      <c r="H759" t="s">
        <v>4126</v>
      </c>
      <c r="I759" t="s">
        <v>33</v>
      </c>
      <c r="J759" t="s">
        <v>592</v>
      </c>
    </row>
    <row r="760" spans="1:10" x14ac:dyDescent="0.3">
      <c r="A760" t="s">
        <v>557</v>
      </c>
      <c r="B760" s="452">
        <v>46143</v>
      </c>
      <c r="C760" t="s">
        <v>4186</v>
      </c>
      <c r="D760" t="s">
        <v>4097</v>
      </c>
      <c r="E760" t="s">
        <v>4137</v>
      </c>
      <c r="F760">
        <v>6</v>
      </c>
      <c r="G760">
        <v>252</v>
      </c>
      <c r="H760" t="s">
        <v>4133</v>
      </c>
      <c r="I760" t="s">
        <v>33</v>
      </c>
      <c r="J760" t="s">
        <v>592</v>
      </c>
    </row>
    <row r="761" spans="1:10" x14ac:dyDescent="0.3">
      <c r="A761" t="s">
        <v>557</v>
      </c>
      <c r="B761" s="452">
        <v>46143</v>
      </c>
      <c r="C761" t="s">
        <v>4138</v>
      </c>
      <c r="D761" t="s">
        <v>4100</v>
      </c>
      <c r="E761" t="s">
        <v>4139</v>
      </c>
      <c r="F761">
        <v>11</v>
      </c>
      <c r="G761">
        <v>286</v>
      </c>
      <c r="H761" t="s">
        <v>4133</v>
      </c>
      <c r="I761" t="s">
        <v>33</v>
      </c>
      <c r="J761" t="s">
        <v>592</v>
      </c>
    </row>
    <row r="762" spans="1:10" x14ac:dyDescent="0.3">
      <c r="A762" t="s">
        <v>557</v>
      </c>
      <c r="B762" s="452">
        <v>46143</v>
      </c>
      <c r="C762" t="s">
        <v>4164</v>
      </c>
      <c r="D762" t="s">
        <v>4100</v>
      </c>
      <c r="E762" t="s">
        <v>4137</v>
      </c>
      <c r="F762">
        <v>15</v>
      </c>
      <c r="G762">
        <v>585</v>
      </c>
      <c r="H762" t="s">
        <v>4133</v>
      </c>
      <c r="I762" t="s">
        <v>33</v>
      </c>
      <c r="J762" t="s">
        <v>592</v>
      </c>
    </row>
    <row r="763" spans="1:10" x14ac:dyDescent="0.3">
      <c r="A763" t="s">
        <v>557</v>
      </c>
      <c r="B763" s="452">
        <v>46143</v>
      </c>
      <c r="C763" t="s">
        <v>4136</v>
      </c>
      <c r="D763" t="s">
        <v>4100</v>
      </c>
      <c r="E763" t="s">
        <v>4137</v>
      </c>
      <c r="F763">
        <v>14</v>
      </c>
      <c r="G763">
        <v>546</v>
      </c>
      <c r="H763" t="s">
        <v>4133</v>
      </c>
      <c r="I763" t="s">
        <v>33</v>
      </c>
      <c r="J763" t="s">
        <v>592</v>
      </c>
    </row>
    <row r="764" spans="1:10" x14ac:dyDescent="0.3">
      <c r="A764" t="s">
        <v>557</v>
      </c>
      <c r="B764" s="452">
        <v>46143</v>
      </c>
      <c r="C764" t="s">
        <v>4158</v>
      </c>
      <c r="D764" t="s">
        <v>4100</v>
      </c>
      <c r="E764" t="s">
        <v>4137</v>
      </c>
      <c r="F764">
        <v>20</v>
      </c>
      <c r="G764">
        <v>900</v>
      </c>
      <c r="H764" t="s">
        <v>4133</v>
      </c>
      <c r="I764" t="s">
        <v>33</v>
      </c>
      <c r="J764" t="s">
        <v>592</v>
      </c>
    </row>
    <row r="765" spans="1:10" x14ac:dyDescent="0.3">
      <c r="A765" t="s">
        <v>557</v>
      </c>
      <c r="B765" s="452">
        <v>46143</v>
      </c>
      <c r="C765" t="s">
        <v>4186</v>
      </c>
      <c r="D765" t="s">
        <v>4100</v>
      </c>
      <c r="E765" t="s">
        <v>4137</v>
      </c>
      <c r="F765">
        <v>24</v>
      </c>
      <c r="G765">
        <v>1008</v>
      </c>
      <c r="H765" t="s">
        <v>4133</v>
      </c>
      <c r="I765" t="s">
        <v>33</v>
      </c>
      <c r="J765" t="s">
        <v>592</v>
      </c>
    </row>
    <row r="766" spans="1:10" x14ac:dyDescent="0.3">
      <c r="A766" t="s">
        <v>557</v>
      </c>
      <c r="B766" s="452">
        <v>46143</v>
      </c>
      <c r="C766" t="s">
        <v>4212</v>
      </c>
      <c r="D766" t="s">
        <v>4100</v>
      </c>
      <c r="E766" t="s">
        <v>4125</v>
      </c>
      <c r="F766">
        <v>1</v>
      </c>
      <c r="G766">
        <v>7.5</v>
      </c>
      <c r="H766" t="s">
        <v>4126</v>
      </c>
      <c r="I766" t="s">
        <v>33</v>
      </c>
      <c r="J766" t="s">
        <v>592</v>
      </c>
    </row>
    <row r="767" spans="1:10" x14ac:dyDescent="0.3">
      <c r="A767" t="s">
        <v>557</v>
      </c>
      <c r="B767" s="452">
        <v>46143</v>
      </c>
      <c r="C767" t="s">
        <v>4147</v>
      </c>
      <c r="D767" t="s">
        <v>4100</v>
      </c>
      <c r="E767" t="s">
        <v>4125</v>
      </c>
      <c r="F767">
        <v>6</v>
      </c>
      <c r="G767">
        <v>48</v>
      </c>
      <c r="H767" t="s">
        <v>4126</v>
      </c>
      <c r="I767" t="s">
        <v>33</v>
      </c>
      <c r="J767" t="s">
        <v>592</v>
      </c>
    </row>
    <row r="768" spans="1:10" x14ac:dyDescent="0.3">
      <c r="A768" t="s">
        <v>557</v>
      </c>
      <c r="B768" s="452">
        <v>46143</v>
      </c>
      <c r="C768" t="s">
        <v>4145</v>
      </c>
      <c r="D768" t="s">
        <v>4100</v>
      </c>
      <c r="E768" t="s">
        <v>4125</v>
      </c>
      <c r="F768">
        <v>24</v>
      </c>
      <c r="G768">
        <v>192</v>
      </c>
      <c r="H768" t="s">
        <v>4126</v>
      </c>
      <c r="I768" t="s">
        <v>33</v>
      </c>
      <c r="J768" t="s">
        <v>592</v>
      </c>
    </row>
    <row r="769" spans="1:10" x14ac:dyDescent="0.3">
      <c r="A769" t="s">
        <v>557</v>
      </c>
      <c r="B769" s="452">
        <v>46143</v>
      </c>
      <c r="C769" t="s">
        <v>4141</v>
      </c>
      <c r="D769" t="s">
        <v>4100</v>
      </c>
      <c r="E769" t="s">
        <v>4142</v>
      </c>
      <c r="F769">
        <v>110</v>
      </c>
      <c r="G769">
        <v>1529</v>
      </c>
      <c r="H769" t="s">
        <v>4126</v>
      </c>
      <c r="I769" t="s">
        <v>33</v>
      </c>
      <c r="J769" t="s">
        <v>592</v>
      </c>
    </row>
    <row r="770" spans="1:10" x14ac:dyDescent="0.3">
      <c r="A770" t="s">
        <v>557</v>
      </c>
      <c r="B770" s="452">
        <v>46143</v>
      </c>
      <c r="C770" t="s">
        <v>4140</v>
      </c>
      <c r="D770" t="s">
        <v>4100</v>
      </c>
      <c r="E770" t="s">
        <v>4129</v>
      </c>
      <c r="F770">
        <v>1</v>
      </c>
      <c r="G770">
        <v>7.5</v>
      </c>
      <c r="H770" t="s">
        <v>4126</v>
      </c>
      <c r="I770" t="s">
        <v>33</v>
      </c>
      <c r="J770" t="s">
        <v>592</v>
      </c>
    </row>
    <row r="771" spans="1:10" x14ac:dyDescent="0.3">
      <c r="A771" t="s">
        <v>557</v>
      </c>
      <c r="B771" s="452">
        <v>46143</v>
      </c>
      <c r="C771" t="s">
        <v>4128</v>
      </c>
      <c r="D771" t="s">
        <v>4100</v>
      </c>
      <c r="E771" t="s">
        <v>4129</v>
      </c>
      <c r="F771">
        <v>1</v>
      </c>
      <c r="G771">
        <v>7.5</v>
      </c>
      <c r="H771" t="s">
        <v>4126</v>
      </c>
      <c r="I771" t="s">
        <v>33</v>
      </c>
      <c r="J771" t="s">
        <v>592</v>
      </c>
    </row>
    <row r="772" spans="1:10" x14ac:dyDescent="0.3">
      <c r="A772" t="s">
        <v>557</v>
      </c>
      <c r="B772" s="452">
        <v>46143</v>
      </c>
      <c r="C772" t="s">
        <v>4127</v>
      </c>
      <c r="D772" t="s">
        <v>4100</v>
      </c>
      <c r="E772" t="s">
        <v>4125</v>
      </c>
      <c r="F772">
        <v>1</v>
      </c>
      <c r="G772">
        <v>8</v>
      </c>
      <c r="H772" t="s">
        <v>4126</v>
      </c>
      <c r="I772" t="s">
        <v>33</v>
      </c>
      <c r="J772" t="s">
        <v>592</v>
      </c>
    </row>
    <row r="773" spans="1:10" x14ac:dyDescent="0.3">
      <c r="A773" t="s">
        <v>557</v>
      </c>
      <c r="B773" s="452">
        <v>46143</v>
      </c>
      <c r="C773" t="s">
        <v>4140</v>
      </c>
      <c r="D773" t="s">
        <v>4104</v>
      </c>
      <c r="E773" t="s">
        <v>4129</v>
      </c>
      <c r="F773">
        <v>7</v>
      </c>
      <c r="G773">
        <v>15.75</v>
      </c>
      <c r="H773" t="s">
        <v>4126</v>
      </c>
      <c r="J773" t="s">
        <v>592</v>
      </c>
    </row>
    <row r="774" spans="1:10" x14ac:dyDescent="0.3">
      <c r="A774" t="s">
        <v>557</v>
      </c>
      <c r="B774" s="452">
        <v>46143</v>
      </c>
      <c r="C774" t="s">
        <v>4208</v>
      </c>
      <c r="D774" t="s">
        <v>4104</v>
      </c>
      <c r="E774" t="s">
        <v>4129</v>
      </c>
      <c r="F774">
        <v>1</v>
      </c>
      <c r="G774">
        <v>4.2</v>
      </c>
      <c r="H774" t="s">
        <v>4126</v>
      </c>
      <c r="J774" t="s">
        <v>592</v>
      </c>
    </row>
    <row r="775" spans="1:10" x14ac:dyDescent="0.3">
      <c r="A775" t="s">
        <v>557</v>
      </c>
      <c r="B775" s="452">
        <v>46143</v>
      </c>
      <c r="C775" t="s">
        <v>4141</v>
      </c>
      <c r="D775" t="s">
        <v>4104</v>
      </c>
      <c r="E775" t="s">
        <v>4142</v>
      </c>
      <c r="F775">
        <v>13</v>
      </c>
      <c r="G775">
        <v>54.21</v>
      </c>
      <c r="H775" t="s">
        <v>4126</v>
      </c>
      <c r="J775" t="s">
        <v>592</v>
      </c>
    </row>
    <row r="776" spans="1:10" x14ac:dyDescent="0.3">
      <c r="A776" t="s">
        <v>557</v>
      </c>
      <c r="B776" s="452">
        <v>46143</v>
      </c>
      <c r="C776" t="s">
        <v>4143</v>
      </c>
      <c r="D776" t="s">
        <v>4104</v>
      </c>
      <c r="E776" t="s">
        <v>4144</v>
      </c>
      <c r="F776">
        <v>8</v>
      </c>
      <c r="G776">
        <v>79.2</v>
      </c>
      <c r="H776" t="s">
        <v>4126</v>
      </c>
      <c r="J776" t="s">
        <v>592</v>
      </c>
    </row>
    <row r="777" spans="1:10" x14ac:dyDescent="0.3">
      <c r="A777" t="s">
        <v>557</v>
      </c>
      <c r="B777" s="452">
        <v>46143</v>
      </c>
      <c r="C777" t="s">
        <v>4145</v>
      </c>
      <c r="D777" t="s">
        <v>4104</v>
      </c>
      <c r="E777" t="s">
        <v>4125</v>
      </c>
      <c r="F777">
        <v>15</v>
      </c>
      <c r="G777">
        <v>36</v>
      </c>
      <c r="H777" t="s">
        <v>4126</v>
      </c>
      <c r="J777" t="s">
        <v>592</v>
      </c>
    </row>
    <row r="778" spans="1:10" x14ac:dyDescent="0.3">
      <c r="A778" t="s">
        <v>557</v>
      </c>
      <c r="B778" s="452">
        <v>46143</v>
      </c>
      <c r="C778" t="s">
        <v>4217</v>
      </c>
      <c r="D778" t="s">
        <v>4104</v>
      </c>
      <c r="E778" t="s">
        <v>4149</v>
      </c>
      <c r="F778">
        <v>1</v>
      </c>
      <c r="G778">
        <v>21.6</v>
      </c>
      <c r="H778" t="s">
        <v>4133</v>
      </c>
      <c r="J778" t="s">
        <v>592</v>
      </c>
    </row>
    <row r="779" spans="1:10" x14ac:dyDescent="0.3">
      <c r="A779" t="s">
        <v>557</v>
      </c>
      <c r="B779" s="452">
        <v>46143</v>
      </c>
      <c r="C779" t="s">
        <v>4165</v>
      </c>
      <c r="D779" t="s">
        <v>4104</v>
      </c>
      <c r="E779" t="s">
        <v>4129</v>
      </c>
      <c r="F779">
        <v>6</v>
      </c>
      <c r="G779">
        <v>25.2</v>
      </c>
      <c r="H779" t="s">
        <v>4126</v>
      </c>
      <c r="J779" t="s">
        <v>592</v>
      </c>
    </row>
    <row r="780" spans="1:10" x14ac:dyDescent="0.3">
      <c r="A780" t="s">
        <v>557</v>
      </c>
      <c r="B780" s="452">
        <v>46143</v>
      </c>
      <c r="C780" t="s">
        <v>4146</v>
      </c>
      <c r="D780" t="s">
        <v>4104</v>
      </c>
      <c r="E780" t="s">
        <v>4129</v>
      </c>
      <c r="F780">
        <v>3</v>
      </c>
      <c r="G780">
        <v>12.6</v>
      </c>
      <c r="H780" t="s">
        <v>4126</v>
      </c>
      <c r="J780" t="s">
        <v>592</v>
      </c>
    </row>
    <row r="781" spans="1:10" x14ac:dyDescent="0.3">
      <c r="A781" t="s">
        <v>557</v>
      </c>
      <c r="B781" s="452">
        <v>46143</v>
      </c>
      <c r="C781" t="s">
        <v>4147</v>
      </c>
      <c r="D781" t="s">
        <v>4104</v>
      </c>
      <c r="E781" t="s">
        <v>4125</v>
      </c>
      <c r="F781">
        <v>1</v>
      </c>
      <c r="G781">
        <v>2.4</v>
      </c>
      <c r="H781" t="s">
        <v>4126</v>
      </c>
      <c r="J781" t="s">
        <v>592</v>
      </c>
    </row>
    <row r="782" spans="1:10" x14ac:dyDescent="0.3">
      <c r="A782" t="s">
        <v>557</v>
      </c>
      <c r="B782" s="452">
        <v>46143</v>
      </c>
      <c r="C782" t="s">
        <v>4175</v>
      </c>
      <c r="D782" t="s">
        <v>4104</v>
      </c>
      <c r="E782" t="s">
        <v>4149</v>
      </c>
      <c r="F782">
        <v>2</v>
      </c>
      <c r="G782">
        <v>51.9</v>
      </c>
      <c r="H782" t="s">
        <v>4133</v>
      </c>
      <c r="J782" t="s">
        <v>592</v>
      </c>
    </row>
    <row r="783" spans="1:10" x14ac:dyDescent="0.3">
      <c r="A783" t="s">
        <v>557</v>
      </c>
      <c r="B783" s="452">
        <v>46143</v>
      </c>
      <c r="C783" t="s">
        <v>4197</v>
      </c>
      <c r="D783" t="s">
        <v>4104</v>
      </c>
      <c r="E783" t="s">
        <v>4135</v>
      </c>
      <c r="F783">
        <v>4</v>
      </c>
      <c r="G783">
        <v>19.2</v>
      </c>
      <c r="H783" t="s">
        <v>4133</v>
      </c>
      <c r="J783" t="s">
        <v>592</v>
      </c>
    </row>
    <row r="784" spans="1:10" x14ac:dyDescent="0.3">
      <c r="A784" t="s">
        <v>557</v>
      </c>
      <c r="B784" s="452">
        <v>46143</v>
      </c>
      <c r="C784" t="s">
        <v>4128</v>
      </c>
      <c r="D784" t="s">
        <v>4104</v>
      </c>
      <c r="E784" t="s">
        <v>4129</v>
      </c>
      <c r="F784">
        <v>5</v>
      </c>
      <c r="G784">
        <v>11.25</v>
      </c>
      <c r="H784" t="s">
        <v>4126</v>
      </c>
      <c r="J784" t="s">
        <v>592</v>
      </c>
    </row>
    <row r="785" spans="1:10" x14ac:dyDescent="0.3">
      <c r="A785" t="s">
        <v>557</v>
      </c>
      <c r="B785" s="452">
        <v>46143</v>
      </c>
      <c r="C785" t="s">
        <v>4202</v>
      </c>
      <c r="D785" t="s">
        <v>4104</v>
      </c>
      <c r="E785" t="s">
        <v>4169</v>
      </c>
      <c r="F785">
        <v>16</v>
      </c>
      <c r="G785">
        <v>38.4</v>
      </c>
      <c r="H785" t="s">
        <v>4126</v>
      </c>
      <c r="J785" t="s">
        <v>592</v>
      </c>
    </row>
    <row r="786" spans="1:10" x14ac:dyDescent="0.3">
      <c r="A786" t="s">
        <v>557</v>
      </c>
      <c r="B786" s="452">
        <v>46143</v>
      </c>
      <c r="C786" t="s">
        <v>4249</v>
      </c>
      <c r="D786" t="s">
        <v>4104</v>
      </c>
      <c r="E786" t="s">
        <v>4139</v>
      </c>
      <c r="F786">
        <v>2</v>
      </c>
      <c r="G786">
        <v>7.2</v>
      </c>
      <c r="H786" t="s">
        <v>4133</v>
      </c>
      <c r="J786" t="s">
        <v>592</v>
      </c>
    </row>
    <row r="787" spans="1:10" x14ac:dyDescent="0.3">
      <c r="A787" t="s">
        <v>557</v>
      </c>
      <c r="B787" s="452">
        <v>46143</v>
      </c>
      <c r="C787" t="s">
        <v>4130</v>
      </c>
      <c r="D787" t="s">
        <v>4104</v>
      </c>
      <c r="E787" t="s">
        <v>4125</v>
      </c>
      <c r="F787">
        <v>2</v>
      </c>
      <c r="G787">
        <v>4.8</v>
      </c>
      <c r="H787" t="s">
        <v>4126</v>
      </c>
      <c r="J787" t="s">
        <v>592</v>
      </c>
    </row>
    <row r="788" spans="1:10" x14ac:dyDescent="0.3">
      <c r="A788" t="s">
        <v>557</v>
      </c>
      <c r="B788" s="452">
        <v>46143</v>
      </c>
      <c r="C788" t="s">
        <v>4159</v>
      </c>
      <c r="D788" t="s">
        <v>4104</v>
      </c>
      <c r="E788" t="s">
        <v>4135</v>
      </c>
      <c r="F788">
        <v>1</v>
      </c>
      <c r="G788">
        <v>8.6999999999999993</v>
      </c>
      <c r="H788" t="s">
        <v>4133</v>
      </c>
      <c r="J788" t="s">
        <v>592</v>
      </c>
    </row>
    <row r="789" spans="1:10" x14ac:dyDescent="0.3">
      <c r="A789" t="s">
        <v>557</v>
      </c>
      <c r="B789" s="452">
        <v>46143</v>
      </c>
      <c r="C789" t="s">
        <v>4209</v>
      </c>
      <c r="D789" t="s">
        <v>4104</v>
      </c>
      <c r="E789" t="s">
        <v>4193</v>
      </c>
      <c r="F789">
        <v>4</v>
      </c>
      <c r="G789">
        <v>58.8</v>
      </c>
      <c r="H789" t="s">
        <v>4133</v>
      </c>
      <c r="J789" t="s">
        <v>592</v>
      </c>
    </row>
    <row r="790" spans="1:10" x14ac:dyDescent="0.3">
      <c r="A790" t="s">
        <v>557</v>
      </c>
      <c r="B790" s="452">
        <v>46143</v>
      </c>
      <c r="C790" t="s">
        <v>4138</v>
      </c>
      <c r="D790" t="s">
        <v>4104</v>
      </c>
      <c r="E790" t="s">
        <v>4139</v>
      </c>
      <c r="F790">
        <v>1</v>
      </c>
      <c r="G790">
        <v>7.8</v>
      </c>
      <c r="H790" t="s">
        <v>4133</v>
      </c>
      <c r="J790" t="s">
        <v>592</v>
      </c>
    </row>
    <row r="791" spans="1:10" x14ac:dyDescent="0.3">
      <c r="A791" t="s">
        <v>557</v>
      </c>
      <c r="B791" s="452">
        <v>46143</v>
      </c>
      <c r="C791" t="s">
        <v>4182</v>
      </c>
      <c r="D791" t="s">
        <v>4104</v>
      </c>
      <c r="E791" t="s">
        <v>4135</v>
      </c>
      <c r="F791">
        <v>1</v>
      </c>
      <c r="G791">
        <v>8.4</v>
      </c>
      <c r="H791" t="s">
        <v>4133</v>
      </c>
      <c r="J791" t="s">
        <v>592</v>
      </c>
    </row>
    <row r="792" spans="1:10" x14ac:dyDescent="0.3">
      <c r="A792" t="s">
        <v>557</v>
      </c>
      <c r="B792" s="452">
        <v>46143</v>
      </c>
      <c r="C792" t="s">
        <v>4205</v>
      </c>
      <c r="D792" t="s">
        <v>4104</v>
      </c>
      <c r="E792" t="s">
        <v>4129</v>
      </c>
      <c r="F792">
        <v>3</v>
      </c>
      <c r="G792">
        <v>14.4</v>
      </c>
      <c r="H792" t="s">
        <v>4126</v>
      </c>
      <c r="J792" t="s">
        <v>592</v>
      </c>
    </row>
    <row r="793" spans="1:10" x14ac:dyDescent="0.3">
      <c r="A793" t="s">
        <v>557</v>
      </c>
      <c r="B793" s="452">
        <v>46143</v>
      </c>
      <c r="C793" t="s">
        <v>4173</v>
      </c>
      <c r="D793" t="s">
        <v>4104</v>
      </c>
      <c r="E793" t="s">
        <v>4174</v>
      </c>
      <c r="F793">
        <v>2</v>
      </c>
      <c r="G793">
        <v>25.2</v>
      </c>
      <c r="H793" t="s">
        <v>4126</v>
      </c>
      <c r="J793" t="s">
        <v>592</v>
      </c>
    </row>
    <row r="794" spans="1:10" x14ac:dyDescent="0.3">
      <c r="A794" t="s">
        <v>557</v>
      </c>
      <c r="B794" s="452">
        <v>46143</v>
      </c>
      <c r="C794" t="s">
        <v>4228</v>
      </c>
      <c r="D794" t="s">
        <v>4104</v>
      </c>
      <c r="E794" t="s">
        <v>4144</v>
      </c>
      <c r="F794">
        <v>3</v>
      </c>
      <c r="G794">
        <v>28.8</v>
      </c>
      <c r="H794" t="s">
        <v>4126</v>
      </c>
      <c r="J794" t="s">
        <v>592</v>
      </c>
    </row>
    <row r="795" spans="1:10" x14ac:dyDescent="0.3">
      <c r="A795" t="s">
        <v>557</v>
      </c>
      <c r="B795" s="452">
        <v>46143</v>
      </c>
      <c r="C795" t="s">
        <v>4196</v>
      </c>
      <c r="D795" t="s">
        <v>4104</v>
      </c>
      <c r="E795" t="s">
        <v>4184</v>
      </c>
      <c r="F795">
        <v>10</v>
      </c>
      <c r="G795">
        <v>215.7</v>
      </c>
      <c r="H795" t="s">
        <v>4133</v>
      </c>
      <c r="J795" t="s">
        <v>592</v>
      </c>
    </row>
    <row r="796" spans="1:10" x14ac:dyDescent="0.3">
      <c r="A796" t="s">
        <v>557</v>
      </c>
      <c r="B796" s="452">
        <v>46143</v>
      </c>
      <c r="C796" t="s">
        <v>4186</v>
      </c>
      <c r="D796" t="s">
        <v>4104</v>
      </c>
      <c r="E796" t="s">
        <v>4137</v>
      </c>
      <c r="F796">
        <v>1</v>
      </c>
      <c r="G796">
        <v>12.6</v>
      </c>
      <c r="H796" t="s">
        <v>4133</v>
      </c>
      <c r="J796" t="s">
        <v>592</v>
      </c>
    </row>
    <row r="797" spans="1:10" x14ac:dyDescent="0.3">
      <c r="A797" t="s">
        <v>557</v>
      </c>
      <c r="B797" s="452">
        <v>46143</v>
      </c>
      <c r="C797" t="s">
        <v>4230</v>
      </c>
      <c r="D797" t="s">
        <v>4104</v>
      </c>
      <c r="E797" t="s">
        <v>4137</v>
      </c>
      <c r="F797">
        <v>2</v>
      </c>
      <c r="G797">
        <v>38.4</v>
      </c>
      <c r="H797" t="s">
        <v>4133</v>
      </c>
      <c r="J797" t="s">
        <v>592</v>
      </c>
    </row>
    <row r="798" spans="1:10" x14ac:dyDescent="0.3">
      <c r="A798" t="s">
        <v>557</v>
      </c>
      <c r="B798" s="452">
        <v>46143</v>
      </c>
      <c r="C798" t="s">
        <v>4192</v>
      </c>
      <c r="D798" t="s">
        <v>4104</v>
      </c>
      <c r="E798" t="s">
        <v>4193</v>
      </c>
      <c r="F798">
        <v>3</v>
      </c>
      <c r="G798">
        <v>50.4</v>
      </c>
      <c r="H798" t="s">
        <v>4133</v>
      </c>
      <c r="J798" t="s">
        <v>592</v>
      </c>
    </row>
    <row r="799" spans="1:10" x14ac:dyDescent="0.3">
      <c r="A799" t="s">
        <v>557</v>
      </c>
      <c r="B799" s="452">
        <v>46143</v>
      </c>
      <c r="C799" t="s">
        <v>4152</v>
      </c>
      <c r="D799" t="s">
        <v>4104</v>
      </c>
      <c r="E799" t="s">
        <v>4129</v>
      </c>
      <c r="F799">
        <v>1</v>
      </c>
      <c r="G799">
        <v>4.2</v>
      </c>
      <c r="H799" t="s">
        <v>4126</v>
      </c>
      <c r="J799" t="s">
        <v>592</v>
      </c>
    </row>
    <row r="800" spans="1:10" x14ac:dyDescent="0.3">
      <c r="A800" t="s">
        <v>557</v>
      </c>
      <c r="B800" s="452">
        <v>46143</v>
      </c>
      <c r="C800" t="s">
        <v>4310</v>
      </c>
      <c r="D800" t="s">
        <v>4104</v>
      </c>
      <c r="E800" t="s">
        <v>4311</v>
      </c>
      <c r="F800">
        <v>1</v>
      </c>
      <c r="G800">
        <v>15.3</v>
      </c>
      <c r="H800" t="s">
        <v>4133</v>
      </c>
      <c r="J800" t="s">
        <v>592</v>
      </c>
    </row>
    <row r="801" spans="1:10" x14ac:dyDescent="0.3">
      <c r="A801" t="s">
        <v>557</v>
      </c>
      <c r="B801" s="452">
        <v>46143</v>
      </c>
      <c r="C801" t="s">
        <v>4151</v>
      </c>
      <c r="D801" t="s">
        <v>4104</v>
      </c>
      <c r="E801" t="s">
        <v>4144</v>
      </c>
      <c r="F801">
        <v>3</v>
      </c>
      <c r="G801">
        <v>36.9</v>
      </c>
      <c r="H801" t="s">
        <v>4126</v>
      </c>
      <c r="J801" t="s">
        <v>592</v>
      </c>
    </row>
    <row r="802" spans="1:10" x14ac:dyDescent="0.3">
      <c r="A802" t="s">
        <v>557</v>
      </c>
      <c r="B802" s="452">
        <v>46143</v>
      </c>
      <c r="C802" t="s">
        <v>4124</v>
      </c>
      <c r="D802" t="s">
        <v>4104</v>
      </c>
      <c r="E802" t="s">
        <v>4125</v>
      </c>
      <c r="F802">
        <v>2</v>
      </c>
      <c r="G802">
        <v>4.8</v>
      </c>
      <c r="H802" t="s">
        <v>4126</v>
      </c>
      <c r="J802" t="s">
        <v>592</v>
      </c>
    </row>
    <row r="803" spans="1:10" x14ac:dyDescent="0.3">
      <c r="A803" t="s">
        <v>557</v>
      </c>
      <c r="B803" s="452">
        <v>46143</v>
      </c>
      <c r="C803" t="s">
        <v>4189</v>
      </c>
      <c r="D803" t="s">
        <v>4104</v>
      </c>
      <c r="E803" t="s">
        <v>4190</v>
      </c>
      <c r="F803">
        <v>5</v>
      </c>
      <c r="G803">
        <v>67.5</v>
      </c>
      <c r="H803" t="s">
        <v>4133</v>
      </c>
      <c r="J803" t="s">
        <v>592</v>
      </c>
    </row>
    <row r="804" spans="1:10" x14ac:dyDescent="0.3">
      <c r="A804" t="s">
        <v>557</v>
      </c>
      <c r="B804" s="452">
        <v>46143</v>
      </c>
      <c r="C804" t="s">
        <v>4188</v>
      </c>
      <c r="D804" t="s">
        <v>4104</v>
      </c>
      <c r="E804" t="s">
        <v>4137</v>
      </c>
      <c r="F804">
        <v>2</v>
      </c>
      <c r="G804">
        <v>17.399999999999999</v>
      </c>
      <c r="H804" t="s">
        <v>4133</v>
      </c>
      <c r="J804" t="s">
        <v>592</v>
      </c>
    </row>
    <row r="805" spans="1:10" x14ac:dyDescent="0.3">
      <c r="A805" t="s">
        <v>557</v>
      </c>
      <c r="B805" s="452">
        <v>46143</v>
      </c>
      <c r="C805" t="s">
        <v>4150</v>
      </c>
      <c r="D805" t="s">
        <v>4104</v>
      </c>
      <c r="E805" t="s">
        <v>4135</v>
      </c>
      <c r="F805">
        <v>1</v>
      </c>
      <c r="G805">
        <v>8.4</v>
      </c>
      <c r="H805" t="s">
        <v>4133</v>
      </c>
      <c r="J805" t="s">
        <v>592</v>
      </c>
    </row>
    <row r="806" spans="1:10" x14ac:dyDescent="0.3">
      <c r="A806" t="s">
        <v>557</v>
      </c>
      <c r="B806" s="452">
        <v>46143</v>
      </c>
      <c r="C806" t="s">
        <v>4183</v>
      </c>
      <c r="D806" t="s">
        <v>4104</v>
      </c>
      <c r="E806" t="s">
        <v>4184</v>
      </c>
      <c r="F806">
        <v>6</v>
      </c>
      <c r="G806">
        <v>116.82</v>
      </c>
      <c r="H806" t="s">
        <v>4133</v>
      </c>
      <c r="J806" t="s">
        <v>592</v>
      </c>
    </row>
    <row r="807" spans="1:10" x14ac:dyDescent="0.3">
      <c r="A807" t="s">
        <v>557</v>
      </c>
      <c r="B807" s="452">
        <v>46143</v>
      </c>
      <c r="C807" t="s">
        <v>4236</v>
      </c>
      <c r="D807" t="s">
        <v>4104</v>
      </c>
      <c r="E807" t="s">
        <v>4237</v>
      </c>
      <c r="F807">
        <v>67</v>
      </c>
      <c r="G807">
        <v>0</v>
      </c>
      <c r="H807" t="s">
        <v>4126</v>
      </c>
      <c r="J807" t="s">
        <v>592</v>
      </c>
    </row>
    <row r="808" spans="1:10" x14ac:dyDescent="0.3">
      <c r="A808" t="s">
        <v>557</v>
      </c>
      <c r="B808" s="452">
        <v>46143</v>
      </c>
      <c r="C808" t="s">
        <v>4296</v>
      </c>
      <c r="D808" t="s">
        <v>4104</v>
      </c>
      <c r="E808" t="s">
        <v>4227</v>
      </c>
      <c r="F808">
        <v>1</v>
      </c>
      <c r="G808">
        <v>5.7</v>
      </c>
      <c r="H808" t="s">
        <v>4126</v>
      </c>
      <c r="J808" t="s">
        <v>592</v>
      </c>
    </row>
    <row r="809" spans="1:10" x14ac:dyDescent="0.3">
      <c r="A809" t="s">
        <v>557</v>
      </c>
      <c r="B809" s="452">
        <v>46143</v>
      </c>
      <c r="C809" t="s">
        <v>4166</v>
      </c>
      <c r="D809" t="s">
        <v>4105</v>
      </c>
      <c r="E809" t="s">
        <v>4137</v>
      </c>
      <c r="F809">
        <v>2</v>
      </c>
      <c r="G809">
        <v>22.2</v>
      </c>
      <c r="H809" t="s">
        <v>4133</v>
      </c>
      <c r="J809" t="s">
        <v>592</v>
      </c>
    </row>
    <row r="810" spans="1:10" x14ac:dyDescent="0.3">
      <c r="A810" t="s">
        <v>557</v>
      </c>
      <c r="B810" s="452">
        <v>46143</v>
      </c>
      <c r="C810" t="s">
        <v>4245</v>
      </c>
      <c r="D810" t="s">
        <v>4105</v>
      </c>
      <c r="E810" t="s">
        <v>4132</v>
      </c>
      <c r="F810">
        <v>2</v>
      </c>
      <c r="G810">
        <v>23.4</v>
      </c>
      <c r="H810" t="s">
        <v>4126</v>
      </c>
      <c r="J810" t="s">
        <v>592</v>
      </c>
    </row>
    <row r="811" spans="1:10" x14ac:dyDescent="0.3">
      <c r="A811" t="s">
        <v>557</v>
      </c>
      <c r="B811" s="452">
        <v>46143</v>
      </c>
      <c r="C811" t="s">
        <v>4249</v>
      </c>
      <c r="D811" t="s">
        <v>4105</v>
      </c>
      <c r="E811" t="s">
        <v>4139</v>
      </c>
      <c r="F811">
        <v>1</v>
      </c>
      <c r="G811">
        <v>3.6</v>
      </c>
      <c r="H811" t="s">
        <v>4133</v>
      </c>
      <c r="J811" t="s">
        <v>592</v>
      </c>
    </row>
    <row r="812" spans="1:10" x14ac:dyDescent="0.3">
      <c r="A812" t="s">
        <v>557</v>
      </c>
      <c r="B812" s="452">
        <v>46143</v>
      </c>
      <c r="C812" t="s">
        <v>4202</v>
      </c>
      <c r="D812" t="s">
        <v>4105</v>
      </c>
      <c r="E812" t="s">
        <v>4169</v>
      </c>
      <c r="F812">
        <v>17</v>
      </c>
      <c r="G812">
        <v>40.799999999999997</v>
      </c>
      <c r="H812" t="s">
        <v>4126</v>
      </c>
      <c r="J812" t="s">
        <v>592</v>
      </c>
    </row>
    <row r="813" spans="1:10" x14ac:dyDescent="0.3">
      <c r="A813" t="s">
        <v>557</v>
      </c>
      <c r="B813" s="452">
        <v>46143</v>
      </c>
      <c r="C813" t="s">
        <v>4320</v>
      </c>
      <c r="D813" t="s">
        <v>4105</v>
      </c>
      <c r="E813" t="s">
        <v>4321</v>
      </c>
      <c r="F813">
        <v>1</v>
      </c>
      <c r="G813">
        <v>10.5</v>
      </c>
      <c r="H813" t="s">
        <v>4126</v>
      </c>
      <c r="J813" t="s">
        <v>592</v>
      </c>
    </row>
    <row r="814" spans="1:10" x14ac:dyDescent="0.3">
      <c r="A814" t="s">
        <v>557</v>
      </c>
      <c r="B814" s="452">
        <v>46143</v>
      </c>
      <c r="C814" t="s">
        <v>4128</v>
      </c>
      <c r="D814" t="s">
        <v>4105</v>
      </c>
      <c r="E814" t="s">
        <v>4129</v>
      </c>
      <c r="F814">
        <v>13</v>
      </c>
      <c r="G814">
        <v>29.25</v>
      </c>
      <c r="H814" t="s">
        <v>4126</v>
      </c>
      <c r="J814" t="s">
        <v>592</v>
      </c>
    </row>
    <row r="815" spans="1:10" x14ac:dyDescent="0.3">
      <c r="A815" t="s">
        <v>557</v>
      </c>
      <c r="B815" s="452">
        <v>46143</v>
      </c>
      <c r="C815" t="s">
        <v>4198</v>
      </c>
      <c r="D815" t="s">
        <v>4105</v>
      </c>
      <c r="E815" t="s">
        <v>4137</v>
      </c>
      <c r="F815">
        <v>3</v>
      </c>
      <c r="G815">
        <v>62.1</v>
      </c>
      <c r="H815" t="s">
        <v>4133</v>
      </c>
      <c r="J815" t="s">
        <v>592</v>
      </c>
    </row>
    <row r="816" spans="1:10" x14ac:dyDescent="0.3">
      <c r="A816" t="s">
        <v>557</v>
      </c>
      <c r="B816" s="452">
        <v>46143</v>
      </c>
      <c r="C816" t="s">
        <v>4322</v>
      </c>
      <c r="D816" t="s">
        <v>4105</v>
      </c>
      <c r="E816" t="s">
        <v>4323</v>
      </c>
      <c r="F816">
        <v>1</v>
      </c>
      <c r="G816">
        <v>48</v>
      </c>
      <c r="H816" t="s">
        <v>4126</v>
      </c>
      <c r="J816" t="s">
        <v>592</v>
      </c>
    </row>
    <row r="817" spans="1:10" x14ac:dyDescent="0.3">
      <c r="A817" t="s">
        <v>557</v>
      </c>
      <c r="B817" s="452">
        <v>46143</v>
      </c>
      <c r="C817" t="s">
        <v>4127</v>
      </c>
      <c r="D817" t="s">
        <v>4105</v>
      </c>
      <c r="E817" t="s">
        <v>4125</v>
      </c>
      <c r="F817">
        <v>2</v>
      </c>
      <c r="G817">
        <v>4.8</v>
      </c>
      <c r="H817" t="s">
        <v>4126</v>
      </c>
      <c r="J817" t="s">
        <v>592</v>
      </c>
    </row>
    <row r="818" spans="1:10" x14ac:dyDescent="0.3">
      <c r="A818" t="s">
        <v>557</v>
      </c>
      <c r="B818" s="452">
        <v>46143</v>
      </c>
      <c r="C818" t="s">
        <v>4248</v>
      </c>
      <c r="D818" t="s">
        <v>4105</v>
      </c>
      <c r="E818" t="s">
        <v>4139</v>
      </c>
      <c r="F818">
        <v>1</v>
      </c>
      <c r="G818">
        <v>8.4</v>
      </c>
      <c r="H818" t="s">
        <v>4133</v>
      </c>
      <c r="J818" t="s">
        <v>592</v>
      </c>
    </row>
    <row r="819" spans="1:10" x14ac:dyDescent="0.3">
      <c r="A819" t="s">
        <v>557</v>
      </c>
      <c r="B819" s="452">
        <v>46143</v>
      </c>
      <c r="C819" t="s">
        <v>4145</v>
      </c>
      <c r="D819" t="s">
        <v>4105</v>
      </c>
      <c r="E819" t="s">
        <v>4125</v>
      </c>
      <c r="F819">
        <v>7</v>
      </c>
      <c r="G819">
        <v>16.8</v>
      </c>
      <c r="H819" t="s">
        <v>4126</v>
      </c>
      <c r="J819" t="s">
        <v>592</v>
      </c>
    </row>
    <row r="820" spans="1:10" x14ac:dyDescent="0.3">
      <c r="A820" t="s">
        <v>557</v>
      </c>
      <c r="B820" s="452">
        <v>46143</v>
      </c>
      <c r="C820" t="s">
        <v>4246</v>
      </c>
      <c r="D820" t="s">
        <v>4105</v>
      </c>
      <c r="E820" t="s">
        <v>4125</v>
      </c>
      <c r="F820">
        <v>3</v>
      </c>
      <c r="G820">
        <v>7.2</v>
      </c>
      <c r="H820" t="s">
        <v>4126</v>
      </c>
      <c r="J820" t="s">
        <v>592</v>
      </c>
    </row>
    <row r="821" spans="1:10" x14ac:dyDescent="0.3">
      <c r="A821" t="s">
        <v>557</v>
      </c>
      <c r="B821" s="452">
        <v>46143</v>
      </c>
      <c r="C821" t="s">
        <v>4141</v>
      </c>
      <c r="D821" t="s">
        <v>4105</v>
      </c>
      <c r="E821" t="s">
        <v>4142</v>
      </c>
      <c r="F821">
        <v>35</v>
      </c>
      <c r="G821">
        <v>145.94999999999999</v>
      </c>
      <c r="H821" t="s">
        <v>4126</v>
      </c>
      <c r="J821" t="s">
        <v>592</v>
      </c>
    </row>
    <row r="822" spans="1:10" x14ac:dyDescent="0.3">
      <c r="A822" t="s">
        <v>557</v>
      </c>
      <c r="B822" s="452">
        <v>46143</v>
      </c>
      <c r="C822" t="s">
        <v>4140</v>
      </c>
      <c r="D822" t="s">
        <v>4105</v>
      </c>
      <c r="E822" t="s">
        <v>4129</v>
      </c>
      <c r="F822">
        <v>8</v>
      </c>
      <c r="G822">
        <v>18</v>
      </c>
      <c r="H822" t="s">
        <v>4126</v>
      </c>
      <c r="J822" t="s">
        <v>592</v>
      </c>
    </row>
    <row r="823" spans="1:10" x14ac:dyDescent="0.3">
      <c r="A823" t="s">
        <v>557</v>
      </c>
      <c r="B823" s="452">
        <v>46143</v>
      </c>
      <c r="C823" t="s">
        <v>4247</v>
      </c>
      <c r="D823" t="s">
        <v>4105</v>
      </c>
      <c r="E823" t="s">
        <v>4139</v>
      </c>
      <c r="F823">
        <v>2</v>
      </c>
      <c r="G823">
        <v>7.2</v>
      </c>
      <c r="H823" t="s">
        <v>4133</v>
      </c>
      <c r="J823" t="s">
        <v>592</v>
      </c>
    </row>
    <row r="824" spans="1:10" x14ac:dyDescent="0.3">
      <c r="A824" t="s">
        <v>557</v>
      </c>
      <c r="B824" s="452">
        <v>46143</v>
      </c>
      <c r="C824" t="s">
        <v>4197</v>
      </c>
      <c r="D824" t="s">
        <v>4105</v>
      </c>
      <c r="E824" t="s">
        <v>4135</v>
      </c>
      <c r="F824">
        <v>2</v>
      </c>
      <c r="G824">
        <v>9.6</v>
      </c>
      <c r="H824" t="s">
        <v>4133</v>
      </c>
      <c r="J824" t="s">
        <v>592</v>
      </c>
    </row>
    <row r="825" spans="1:10" x14ac:dyDescent="0.3">
      <c r="A825" t="s">
        <v>557</v>
      </c>
      <c r="B825" s="452">
        <v>46143</v>
      </c>
      <c r="C825" t="s">
        <v>4130</v>
      </c>
      <c r="D825" t="s">
        <v>4105</v>
      </c>
      <c r="E825" t="s">
        <v>4125</v>
      </c>
      <c r="F825">
        <v>2</v>
      </c>
      <c r="G825">
        <v>4.8</v>
      </c>
      <c r="H825" t="s">
        <v>4126</v>
      </c>
      <c r="J825" t="s">
        <v>592</v>
      </c>
    </row>
    <row r="826" spans="1:10" x14ac:dyDescent="0.3">
      <c r="A826" t="s">
        <v>557</v>
      </c>
      <c r="B826" s="452">
        <v>46143</v>
      </c>
      <c r="C826" t="s">
        <v>4217</v>
      </c>
      <c r="D826" t="s">
        <v>4105</v>
      </c>
      <c r="E826" t="s">
        <v>4149</v>
      </c>
      <c r="F826">
        <v>2</v>
      </c>
      <c r="G826">
        <v>43.2</v>
      </c>
      <c r="H826" t="s">
        <v>4133</v>
      </c>
      <c r="J826" t="s">
        <v>592</v>
      </c>
    </row>
    <row r="827" spans="1:10" x14ac:dyDescent="0.3">
      <c r="A827" t="s">
        <v>557</v>
      </c>
      <c r="B827" s="452">
        <v>46143</v>
      </c>
      <c r="C827" t="s">
        <v>4165</v>
      </c>
      <c r="D827" t="s">
        <v>4105</v>
      </c>
      <c r="E827" t="s">
        <v>4129</v>
      </c>
      <c r="F827">
        <v>3</v>
      </c>
      <c r="G827">
        <v>12.6</v>
      </c>
      <c r="H827" t="s">
        <v>4126</v>
      </c>
      <c r="J827" t="s">
        <v>592</v>
      </c>
    </row>
    <row r="828" spans="1:10" x14ac:dyDescent="0.3">
      <c r="A828" t="s">
        <v>557</v>
      </c>
      <c r="B828" s="452">
        <v>46143</v>
      </c>
      <c r="C828" t="s">
        <v>4146</v>
      </c>
      <c r="D828" t="s">
        <v>4105</v>
      </c>
      <c r="E828" t="s">
        <v>4129</v>
      </c>
      <c r="F828">
        <v>7</v>
      </c>
      <c r="G828">
        <v>29.4</v>
      </c>
      <c r="H828" t="s">
        <v>4126</v>
      </c>
      <c r="J828" t="s">
        <v>592</v>
      </c>
    </row>
    <row r="829" spans="1:10" x14ac:dyDescent="0.3">
      <c r="A829" t="s">
        <v>557</v>
      </c>
      <c r="B829" s="452">
        <v>46143</v>
      </c>
      <c r="C829" t="s">
        <v>4147</v>
      </c>
      <c r="D829" t="s">
        <v>4105</v>
      </c>
      <c r="E829" t="s">
        <v>4125</v>
      </c>
      <c r="F829">
        <v>4</v>
      </c>
      <c r="G829">
        <v>9.6</v>
      </c>
      <c r="H829" t="s">
        <v>4126</v>
      </c>
      <c r="J829" t="s">
        <v>592</v>
      </c>
    </row>
    <row r="830" spans="1:10" x14ac:dyDescent="0.3">
      <c r="A830" t="s">
        <v>557</v>
      </c>
      <c r="B830" s="452">
        <v>46143</v>
      </c>
      <c r="C830" t="s">
        <v>4208</v>
      </c>
      <c r="D830" t="s">
        <v>4105</v>
      </c>
      <c r="E830" t="s">
        <v>4129</v>
      </c>
      <c r="F830">
        <v>3</v>
      </c>
      <c r="G830">
        <v>12.6</v>
      </c>
      <c r="H830" t="s">
        <v>4126</v>
      </c>
      <c r="J830" t="s">
        <v>592</v>
      </c>
    </row>
    <row r="831" spans="1:10" x14ac:dyDescent="0.3">
      <c r="A831" t="s">
        <v>557</v>
      </c>
      <c r="B831" s="452">
        <v>46143</v>
      </c>
      <c r="C831" t="s">
        <v>4124</v>
      </c>
      <c r="D831" t="s">
        <v>4105</v>
      </c>
      <c r="E831" t="s">
        <v>4125</v>
      </c>
      <c r="F831">
        <v>5</v>
      </c>
      <c r="G831">
        <v>12</v>
      </c>
      <c r="H831" t="s">
        <v>4126</v>
      </c>
      <c r="J831" t="s">
        <v>592</v>
      </c>
    </row>
    <row r="832" spans="1:10" x14ac:dyDescent="0.3">
      <c r="A832" t="s">
        <v>557</v>
      </c>
      <c r="B832" s="452">
        <v>46143</v>
      </c>
      <c r="C832" t="s">
        <v>4205</v>
      </c>
      <c r="D832" t="s">
        <v>4105</v>
      </c>
      <c r="E832" t="s">
        <v>4129</v>
      </c>
      <c r="F832">
        <v>5</v>
      </c>
      <c r="G832">
        <v>23.4</v>
      </c>
      <c r="H832" t="s">
        <v>4126</v>
      </c>
      <c r="J832" t="s">
        <v>592</v>
      </c>
    </row>
    <row r="833" spans="1:10" x14ac:dyDescent="0.3">
      <c r="A833" t="s">
        <v>557</v>
      </c>
      <c r="B833" s="452">
        <v>46143</v>
      </c>
      <c r="C833" t="s">
        <v>4267</v>
      </c>
      <c r="D833" t="s">
        <v>4105</v>
      </c>
      <c r="E833" t="s">
        <v>4232</v>
      </c>
      <c r="F833">
        <v>1</v>
      </c>
      <c r="G833">
        <v>49.2</v>
      </c>
      <c r="H833" t="s">
        <v>4126</v>
      </c>
      <c r="J833" t="s">
        <v>592</v>
      </c>
    </row>
    <row r="834" spans="1:10" x14ac:dyDescent="0.3">
      <c r="A834" t="s">
        <v>557</v>
      </c>
      <c r="B834" s="452">
        <v>46143</v>
      </c>
      <c r="C834" t="s">
        <v>4303</v>
      </c>
      <c r="D834" t="s">
        <v>4105</v>
      </c>
      <c r="E834" t="s">
        <v>4304</v>
      </c>
      <c r="F834">
        <v>1</v>
      </c>
      <c r="G834">
        <v>9.6</v>
      </c>
      <c r="H834" t="s">
        <v>4126</v>
      </c>
      <c r="J834" t="s">
        <v>592</v>
      </c>
    </row>
    <row r="835" spans="1:10" x14ac:dyDescent="0.3">
      <c r="A835" t="s">
        <v>557</v>
      </c>
      <c r="B835" s="452">
        <v>46143</v>
      </c>
      <c r="C835" t="s">
        <v>4231</v>
      </c>
      <c r="D835" t="s">
        <v>4105</v>
      </c>
      <c r="E835" t="s">
        <v>4232</v>
      </c>
      <c r="F835">
        <v>1</v>
      </c>
      <c r="G835">
        <v>33.6</v>
      </c>
      <c r="H835" t="s">
        <v>4126</v>
      </c>
      <c r="J835" t="s">
        <v>592</v>
      </c>
    </row>
    <row r="836" spans="1:10" x14ac:dyDescent="0.3">
      <c r="A836" t="s">
        <v>557</v>
      </c>
      <c r="B836" s="452">
        <v>46143</v>
      </c>
      <c r="C836" t="s">
        <v>4155</v>
      </c>
      <c r="D836" t="s">
        <v>4105</v>
      </c>
      <c r="E836" t="s">
        <v>4156</v>
      </c>
      <c r="F836">
        <v>23</v>
      </c>
      <c r="G836">
        <v>144.9</v>
      </c>
      <c r="H836" t="s">
        <v>4126</v>
      </c>
      <c r="J836" t="s">
        <v>592</v>
      </c>
    </row>
    <row r="837" spans="1:10" x14ac:dyDescent="0.3">
      <c r="A837" t="s">
        <v>557</v>
      </c>
      <c r="B837" s="452">
        <v>46143</v>
      </c>
      <c r="C837" t="s">
        <v>4271</v>
      </c>
      <c r="D837" t="s">
        <v>4105</v>
      </c>
      <c r="E837" t="s">
        <v>4190</v>
      </c>
      <c r="F837">
        <v>1</v>
      </c>
      <c r="G837">
        <v>13.5</v>
      </c>
      <c r="H837" t="s">
        <v>4133</v>
      </c>
      <c r="J837" t="s">
        <v>592</v>
      </c>
    </row>
    <row r="838" spans="1:10" x14ac:dyDescent="0.3">
      <c r="A838" t="s">
        <v>557</v>
      </c>
      <c r="B838" s="452">
        <v>46143</v>
      </c>
      <c r="C838" t="s">
        <v>4230</v>
      </c>
      <c r="D838" t="s">
        <v>4105</v>
      </c>
      <c r="E838" t="s">
        <v>4137</v>
      </c>
      <c r="F838">
        <v>3</v>
      </c>
      <c r="G838">
        <v>57.6</v>
      </c>
      <c r="H838" t="s">
        <v>4133</v>
      </c>
      <c r="J838" t="s">
        <v>592</v>
      </c>
    </row>
    <row r="839" spans="1:10" x14ac:dyDescent="0.3">
      <c r="A839" t="s">
        <v>557</v>
      </c>
      <c r="B839" s="452">
        <v>46143</v>
      </c>
      <c r="C839" t="s">
        <v>4229</v>
      </c>
      <c r="D839" t="s">
        <v>4105</v>
      </c>
      <c r="E839" t="s">
        <v>4169</v>
      </c>
      <c r="F839">
        <v>1</v>
      </c>
      <c r="G839">
        <v>12.6</v>
      </c>
      <c r="J839" t="s">
        <v>592</v>
      </c>
    </row>
    <row r="840" spans="1:10" x14ac:dyDescent="0.3">
      <c r="A840" t="s">
        <v>557</v>
      </c>
      <c r="B840" s="452">
        <v>46143</v>
      </c>
      <c r="C840" t="s">
        <v>4186</v>
      </c>
      <c r="D840" t="s">
        <v>4105</v>
      </c>
      <c r="E840" t="s">
        <v>4137</v>
      </c>
      <c r="F840">
        <v>2</v>
      </c>
      <c r="G840">
        <v>25.2</v>
      </c>
      <c r="H840" t="s">
        <v>4133</v>
      </c>
      <c r="J840" t="s">
        <v>592</v>
      </c>
    </row>
    <row r="841" spans="1:10" x14ac:dyDescent="0.3">
      <c r="A841" t="s">
        <v>557</v>
      </c>
      <c r="B841" s="452">
        <v>46143</v>
      </c>
      <c r="C841" t="s">
        <v>4154</v>
      </c>
      <c r="D841" t="s">
        <v>4105</v>
      </c>
      <c r="E841" t="s">
        <v>4137</v>
      </c>
      <c r="F841">
        <v>4</v>
      </c>
      <c r="G841">
        <v>32.4</v>
      </c>
      <c r="H841" t="s">
        <v>4133</v>
      </c>
      <c r="J841" t="s">
        <v>592</v>
      </c>
    </row>
    <row r="842" spans="1:10" x14ac:dyDescent="0.3">
      <c r="A842" t="s">
        <v>557</v>
      </c>
      <c r="B842" s="452">
        <v>46143</v>
      </c>
      <c r="C842" t="s">
        <v>4181</v>
      </c>
      <c r="D842" t="s">
        <v>4105</v>
      </c>
      <c r="E842" t="s">
        <v>4149</v>
      </c>
      <c r="F842">
        <v>2</v>
      </c>
      <c r="G842">
        <v>87</v>
      </c>
      <c r="J842" t="s">
        <v>592</v>
      </c>
    </row>
    <row r="843" spans="1:10" x14ac:dyDescent="0.3">
      <c r="A843" t="s">
        <v>557</v>
      </c>
      <c r="B843" s="452">
        <v>46143</v>
      </c>
      <c r="C843" t="s">
        <v>4179</v>
      </c>
      <c r="D843" t="s">
        <v>4105</v>
      </c>
      <c r="E843" t="s">
        <v>4135</v>
      </c>
      <c r="F843">
        <v>2</v>
      </c>
      <c r="G843">
        <v>7.2</v>
      </c>
      <c r="H843" t="s">
        <v>4133</v>
      </c>
      <c r="J843" t="s">
        <v>592</v>
      </c>
    </row>
    <row r="844" spans="1:10" x14ac:dyDescent="0.3">
      <c r="A844" t="s">
        <v>557</v>
      </c>
      <c r="B844" s="452">
        <v>46143</v>
      </c>
      <c r="C844" t="s">
        <v>4234</v>
      </c>
      <c r="D844" t="s">
        <v>4105</v>
      </c>
      <c r="E844" t="s">
        <v>4232</v>
      </c>
      <c r="F844">
        <v>1</v>
      </c>
      <c r="G844">
        <v>33.6</v>
      </c>
      <c r="H844" t="s">
        <v>4126</v>
      </c>
      <c r="J844" t="s">
        <v>592</v>
      </c>
    </row>
    <row r="845" spans="1:10" x14ac:dyDescent="0.3">
      <c r="A845" t="s">
        <v>557</v>
      </c>
      <c r="B845" s="452">
        <v>46143</v>
      </c>
      <c r="C845" t="s">
        <v>4185</v>
      </c>
      <c r="D845" t="s">
        <v>4105</v>
      </c>
      <c r="E845" t="s">
        <v>4144</v>
      </c>
      <c r="F845">
        <v>1</v>
      </c>
      <c r="G845">
        <v>9.6</v>
      </c>
      <c r="H845" t="s">
        <v>4126</v>
      </c>
      <c r="J845" t="s">
        <v>592</v>
      </c>
    </row>
    <row r="846" spans="1:10" x14ac:dyDescent="0.3">
      <c r="A846" t="s">
        <v>557</v>
      </c>
      <c r="B846" s="452">
        <v>46143</v>
      </c>
      <c r="C846" t="s">
        <v>4171</v>
      </c>
      <c r="D846" t="s">
        <v>4105</v>
      </c>
      <c r="E846" t="s">
        <v>4149</v>
      </c>
      <c r="F846">
        <v>2</v>
      </c>
      <c r="G846">
        <v>124.2</v>
      </c>
      <c r="J846" t="s">
        <v>592</v>
      </c>
    </row>
    <row r="847" spans="1:10" x14ac:dyDescent="0.3">
      <c r="A847" t="s">
        <v>557</v>
      </c>
      <c r="B847" s="452">
        <v>46143</v>
      </c>
      <c r="C847" t="s">
        <v>4150</v>
      </c>
      <c r="D847" t="s">
        <v>4105</v>
      </c>
      <c r="E847" t="s">
        <v>4135</v>
      </c>
      <c r="F847">
        <v>2</v>
      </c>
      <c r="G847">
        <v>16.8</v>
      </c>
      <c r="H847" t="s">
        <v>4133</v>
      </c>
      <c r="J847" t="s">
        <v>592</v>
      </c>
    </row>
    <row r="848" spans="1:10" x14ac:dyDescent="0.3">
      <c r="A848" t="s">
        <v>557</v>
      </c>
      <c r="B848" s="452">
        <v>46143</v>
      </c>
      <c r="C848" t="s">
        <v>4238</v>
      </c>
      <c r="D848" t="s">
        <v>4105</v>
      </c>
      <c r="E848" t="s">
        <v>4149</v>
      </c>
      <c r="F848">
        <v>1</v>
      </c>
      <c r="G848">
        <v>59.1</v>
      </c>
      <c r="J848" t="s">
        <v>592</v>
      </c>
    </row>
    <row r="849" spans="1:10" x14ac:dyDescent="0.3">
      <c r="A849" t="s">
        <v>557</v>
      </c>
      <c r="B849" s="452">
        <v>46143</v>
      </c>
      <c r="C849" t="s">
        <v>4236</v>
      </c>
      <c r="D849" t="s">
        <v>4105</v>
      </c>
      <c r="E849" t="s">
        <v>4237</v>
      </c>
      <c r="F849">
        <v>7</v>
      </c>
      <c r="G849">
        <v>0</v>
      </c>
      <c r="H849" t="s">
        <v>4126</v>
      </c>
      <c r="J849" t="s">
        <v>592</v>
      </c>
    </row>
    <row r="850" spans="1:10" x14ac:dyDescent="0.3">
      <c r="A850" t="s">
        <v>557</v>
      </c>
      <c r="B850" s="452">
        <v>46143</v>
      </c>
      <c r="C850" t="s">
        <v>4170</v>
      </c>
      <c r="D850" t="s">
        <v>4105</v>
      </c>
      <c r="E850" t="s">
        <v>4139</v>
      </c>
      <c r="F850">
        <v>7</v>
      </c>
      <c r="G850">
        <v>60.9</v>
      </c>
      <c r="H850" t="s">
        <v>4133</v>
      </c>
      <c r="J850" t="s">
        <v>592</v>
      </c>
    </row>
    <row r="851" spans="1:10" x14ac:dyDescent="0.3">
      <c r="A851" t="s">
        <v>557</v>
      </c>
      <c r="B851" s="452">
        <v>46143</v>
      </c>
      <c r="C851" t="s">
        <v>4187</v>
      </c>
      <c r="D851" t="s">
        <v>4105</v>
      </c>
      <c r="E851" t="s">
        <v>4135</v>
      </c>
      <c r="F851">
        <v>5</v>
      </c>
      <c r="G851">
        <v>17.25</v>
      </c>
      <c r="H851" t="s">
        <v>4133</v>
      </c>
      <c r="J851" t="s">
        <v>592</v>
      </c>
    </row>
    <row r="852" spans="1:10" x14ac:dyDescent="0.3">
      <c r="A852" t="s">
        <v>557</v>
      </c>
      <c r="B852" s="452">
        <v>46143</v>
      </c>
      <c r="C852" t="s">
        <v>4281</v>
      </c>
      <c r="D852" t="s">
        <v>4105</v>
      </c>
      <c r="E852" t="s">
        <v>4282</v>
      </c>
      <c r="F852">
        <v>1</v>
      </c>
      <c r="G852">
        <v>5.4</v>
      </c>
      <c r="H852" t="s">
        <v>4126</v>
      </c>
      <c r="J852" t="s">
        <v>592</v>
      </c>
    </row>
    <row r="853" spans="1:10" x14ac:dyDescent="0.3">
      <c r="A853" t="s">
        <v>557</v>
      </c>
      <c r="B853" s="452">
        <v>46143</v>
      </c>
      <c r="C853" t="s">
        <v>4324</v>
      </c>
      <c r="D853" t="s">
        <v>4105</v>
      </c>
      <c r="E853" t="s">
        <v>4125</v>
      </c>
      <c r="F853">
        <v>1</v>
      </c>
      <c r="G853">
        <v>6</v>
      </c>
      <c r="H853" t="s">
        <v>4126</v>
      </c>
      <c r="J853" t="s">
        <v>592</v>
      </c>
    </row>
    <row r="854" spans="1:10" x14ac:dyDescent="0.3">
      <c r="A854" t="s">
        <v>557</v>
      </c>
      <c r="B854" s="452">
        <v>46143</v>
      </c>
      <c r="C854" t="s">
        <v>4296</v>
      </c>
      <c r="D854" t="s">
        <v>4105</v>
      </c>
      <c r="E854" t="s">
        <v>4227</v>
      </c>
      <c r="F854">
        <v>1</v>
      </c>
      <c r="G854">
        <v>5.7</v>
      </c>
      <c r="H854" t="s">
        <v>4126</v>
      </c>
      <c r="J854" t="s">
        <v>592</v>
      </c>
    </row>
    <row r="855" spans="1:10" x14ac:dyDescent="0.3">
      <c r="A855" t="s">
        <v>557</v>
      </c>
      <c r="B855" s="452">
        <v>46143</v>
      </c>
      <c r="C855" t="s">
        <v>4182</v>
      </c>
      <c r="D855" t="s">
        <v>4105</v>
      </c>
      <c r="E855" t="s">
        <v>4135</v>
      </c>
      <c r="F855">
        <v>7</v>
      </c>
      <c r="G855">
        <v>58.8</v>
      </c>
      <c r="H855" t="s">
        <v>4133</v>
      </c>
      <c r="J855" t="s">
        <v>592</v>
      </c>
    </row>
    <row r="856" spans="1:10" x14ac:dyDescent="0.3">
      <c r="A856" t="s">
        <v>557</v>
      </c>
      <c r="B856" s="452">
        <v>46143</v>
      </c>
      <c r="C856" t="s">
        <v>4213</v>
      </c>
      <c r="D856" t="s">
        <v>4105</v>
      </c>
      <c r="E856" t="s">
        <v>4137</v>
      </c>
      <c r="F856">
        <v>1</v>
      </c>
      <c r="G856">
        <v>12.6</v>
      </c>
      <c r="H856" t="s">
        <v>4133</v>
      </c>
      <c r="J856" t="s">
        <v>592</v>
      </c>
    </row>
    <row r="857" spans="1:10" x14ac:dyDescent="0.3">
      <c r="A857" t="s">
        <v>557</v>
      </c>
      <c r="B857" s="452">
        <v>46143</v>
      </c>
      <c r="C857" t="s">
        <v>4214</v>
      </c>
      <c r="D857" t="s">
        <v>4105</v>
      </c>
      <c r="E857" t="s">
        <v>4137</v>
      </c>
      <c r="F857">
        <v>4</v>
      </c>
      <c r="G857">
        <v>82.8</v>
      </c>
      <c r="H857" t="s">
        <v>4133</v>
      </c>
      <c r="J857" t="s">
        <v>592</v>
      </c>
    </row>
    <row r="858" spans="1:10" x14ac:dyDescent="0.3">
      <c r="A858" t="s">
        <v>557</v>
      </c>
      <c r="B858" s="452">
        <v>46143</v>
      </c>
      <c r="C858" t="s">
        <v>4216</v>
      </c>
      <c r="D858" t="s">
        <v>4105</v>
      </c>
      <c r="E858" t="s">
        <v>4149</v>
      </c>
      <c r="F858">
        <v>2</v>
      </c>
      <c r="G858">
        <v>67.8</v>
      </c>
      <c r="H858" t="s">
        <v>4133</v>
      </c>
      <c r="J858" t="s">
        <v>592</v>
      </c>
    </row>
    <row r="859" spans="1:10" x14ac:dyDescent="0.3">
      <c r="A859" t="s">
        <v>557</v>
      </c>
      <c r="B859" s="452">
        <v>46143</v>
      </c>
      <c r="C859" t="s">
        <v>4224</v>
      </c>
      <c r="D859" t="s">
        <v>4105</v>
      </c>
      <c r="E859" t="s">
        <v>4149</v>
      </c>
      <c r="F859">
        <v>1</v>
      </c>
      <c r="G859">
        <v>50.4</v>
      </c>
      <c r="H859" t="s">
        <v>4133</v>
      </c>
      <c r="J859" t="s">
        <v>592</v>
      </c>
    </row>
    <row r="860" spans="1:10" x14ac:dyDescent="0.3">
      <c r="A860" t="s">
        <v>557</v>
      </c>
      <c r="B860" s="452">
        <v>46143</v>
      </c>
      <c r="C860" t="s">
        <v>4228</v>
      </c>
      <c r="D860" t="s">
        <v>4105</v>
      </c>
      <c r="E860" t="s">
        <v>4144</v>
      </c>
      <c r="F860">
        <v>2</v>
      </c>
      <c r="G860">
        <v>18.899999999999999</v>
      </c>
      <c r="H860" t="s">
        <v>4126</v>
      </c>
      <c r="J860" t="s">
        <v>592</v>
      </c>
    </row>
    <row r="861" spans="1:10" x14ac:dyDescent="0.3">
      <c r="A861" t="s">
        <v>557</v>
      </c>
      <c r="B861" s="452">
        <v>46143</v>
      </c>
      <c r="C861" t="s">
        <v>4325</v>
      </c>
      <c r="D861" t="s">
        <v>4105</v>
      </c>
      <c r="E861" t="s">
        <v>4326</v>
      </c>
      <c r="F861">
        <v>1</v>
      </c>
      <c r="G861">
        <v>24.6</v>
      </c>
      <c r="H861" t="s">
        <v>4133</v>
      </c>
      <c r="J861" t="s">
        <v>592</v>
      </c>
    </row>
    <row r="862" spans="1:10" x14ac:dyDescent="0.3">
      <c r="A862" t="s">
        <v>557</v>
      </c>
      <c r="B862" s="452">
        <v>46143</v>
      </c>
      <c r="C862" t="s">
        <v>4259</v>
      </c>
      <c r="D862" t="s">
        <v>4105</v>
      </c>
      <c r="E862" t="s">
        <v>4137</v>
      </c>
      <c r="F862">
        <v>2</v>
      </c>
      <c r="G862">
        <v>39</v>
      </c>
      <c r="H862" t="s">
        <v>4133</v>
      </c>
      <c r="J862" t="s">
        <v>592</v>
      </c>
    </row>
    <row r="863" spans="1:10" x14ac:dyDescent="0.3">
      <c r="A863" t="s">
        <v>557</v>
      </c>
      <c r="B863" s="452">
        <v>46143</v>
      </c>
      <c r="C863" t="s">
        <v>4195</v>
      </c>
      <c r="D863" t="s">
        <v>4105</v>
      </c>
      <c r="E863" t="s">
        <v>4135</v>
      </c>
      <c r="F863">
        <v>1</v>
      </c>
      <c r="G863">
        <v>2.5499999999999998</v>
      </c>
      <c r="H863" t="s">
        <v>4133</v>
      </c>
      <c r="J863" t="s">
        <v>592</v>
      </c>
    </row>
    <row r="864" spans="1:10" x14ac:dyDescent="0.3">
      <c r="A864" t="s">
        <v>557</v>
      </c>
      <c r="B864" s="452">
        <v>46143</v>
      </c>
      <c r="C864" t="s">
        <v>4194</v>
      </c>
      <c r="D864" t="s">
        <v>4105</v>
      </c>
      <c r="E864" t="s">
        <v>4129</v>
      </c>
      <c r="F864">
        <v>3</v>
      </c>
      <c r="G864">
        <v>16.2</v>
      </c>
      <c r="H864" t="s">
        <v>4126</v>
      </c>
      <c r="J864" t="s">
        <v>592</v>
      </c>
    </row>
    <row r="865" spans="1:10" x14ac:dyDescent="0.3">
      <c r="A865" t="s">
        <v>557</v>
      </c>
      <c r="B865" s="452">
        <v>46143</v>
      </c>
      <c r="C865" t="s">
        <v>4226</v>
      </c>
      <c r="D865" t="s">
        <v>4105</v>
      </c>
      <c r="E865" t="s">
        <v>4227</v>
      </c>
      <c r="F865">
        <v>22</v>
      </c>
      <c r="G865">
        <v>118.8</v>
      </c>
      <c r="H865" t="s">
        <v>4126</v>
      </c>
      <c r="J865" t="s">
        <v>592</v>
      </c>
    </row>
    <row r="866" spans="1:10" x14ac:dyDescent="0.3">
      <c r="A866" t="s">
        <v>557</v>
      </c>
      <c r="B866" s="452">
        <v>46143</v>
      </c>
      <c r="C866" t="s">
        <v>4225</v>
      </c>
      <c r="D866" t="s">
        <v>4105</v>
      </c>
      <c r="E866" t="s">
        <v>4139</v>
      </c>
      <c r="F866">
        <v>1</v>
      </c>
      <c r="G866">
        <v>3.6</v>
      </c>
      <c r="H866" t="s">
        <v>4133</v>
      </c>
      <c r="J866" t="s">
        <v>592</v>
      </c>
    </row>
    <row r="867" spans="1:10" x14ac:dyDescent="0.3">
      <c r="A867" t="s">
        <v>557</v>
      </c>
      <c r="B867" s="452">
        <v>46143</v>
      </c>
      <c r="C867" t="s">
        <v>4175</v>
      </c>
      <c r="D867" t="s">
        <v>4105</v>
      </c>
      <c r="E867" t="s">
        <v>4149</v>
      </c>
      <c r="F867">
        <v>4</v>
      </c>
      <c r="G867">
        <v>94.8</v>
      </c>
      <c r="H867" t="s">
        <v>4133</v>
      </c>
      <c r="J867" t="s">
        <v>592</v>
      </c>
    </row>
    <row r="868" spans="1:10" x14ac:dyDescent="0.3">
      <c r="A868" t="s">
        <v>557</v>
      </c>
      <c r="B868" s="452">
        <v>46143</v>
      </c>
      <c r="C868" t="s">
        <v>4200</v>
      </c>
      <c r="D868" t="s">
        <v>4105</v>
      </c>
      <c r="E868" t="s">
        <v>4135</v>
      </c>
      <c r="F868">
        <v>2</v>
      </c>
      <c r="G868">
        <v>15</v>
      </c>
      <c r="H868" t="s">
        <v>4133</v>
      </c>
      <c r="J868" t="s">
        <v>592</v>
      </c>
    </row>
    <row r="869" spans="1:10" x14ac:dyDescent="0.3">
      <c r="A869" t="s">
        <v>557</v>
      </c>
      <c r="B869" s="452">
        <v>46143</v>
      </c>
      <c r="C869" t="s">
        <v>4192</v>
      </c>
      <c r="D869" t="s">
        <v>4105</v>
      </c>
      <c r="E869" t="s">
        <v>4193</v>
      </c>
      <c r="F869">
        <v>4</v>
      </c>
      <c r="G869">
        <v>67.2</v>
      </c>
      <c r="H869" t="s">
        <v>4133</v>
      </c>
      <c r="J869" t="s">
        <v>592</v>
      </c>
    </row>
    <row r="870" spans="1:10" x14ac:dyDescent="0.3">
      <c r="A870" t="s">
        <v>557</v>
      </c>
      <c r="B870" s="452">
        <v>46143</v>
      </c>
      <c r="C870" t="s">
        <v>4222</v>
      </c>
      <c r="D870" t="s">
        <v>4105</v>
      </c>
      <c r="E870" t="s">
        <v>4139</v>
      </c>
      <c r="F870">
        <v>2</v>
      </c>
      <c r="G870">
        <v>11.4</v>
      </c>
      <c r="H870" t="s">
        <v>4133</v>
      </c>
      <c r="J870" t="s">
        <v>592</v>
      </c>
    </row>
    <row r="871" spans="1:10" x14ac:dyDescent="0.3">
      <c r="A871" t="s">
        <v>557</v>
      </c>
      <c r="B871" s="452">
        <v>46143</v>
      </c>
      <c r="C871" t="s">
        <v>4191</v>
      </c>
      <c r="D871" t="s">
        <v>4105</v>
      </c>
      <c r="E871" t="s">
        <v>4135</v>
      </c>
      <c r="F871">
        <v>5</v>
      </c>
      <c r="G871">
        <v>28.5</v>
      </c>
      <c r="H871" t="s">
        <v>4133</v>
      </c>
      <c r="J871" t="s">
        <v>592</v>
      </c>
    </row>
    <row r="872" spans="1:10" x14ac:dyDescent="0.3">
      <c r="A872" t="s">
        <v>557</v>
      </c>
      <c r="B872" s="452">
        <v>46143</v>
      </c>
      <c r="C872" t="s">
        <v>4151</v>
      </c>
      <c r="D872" t="s">
        <v>4105</v>
      </c>
      <c r="E872" t="s">
        <v>4144</v>
      </c>
      <c r="F872">
        <v>5</v>
      </c>
      <c r="G872">
        <v>52.5</v>
      </c>
      <c r="H872" t="s">
        <v>4126</v>
      </c>
      <c r="J872" t="s">
        <v>592</v>
      </c>
    </row>
    <row r="873" spans="1:10" x14ac:dyDescent="0.3">
      <c r="A873" t="s">
        <v>557</v>
      </c>
      <c r="B873" s="452">
        <v>46143</v>
      </c>
      <c r="C873" t="s">
        <v>4261</v>
      </c>
      <c r="D873" t="s">
        <v>4105</v>
      </c>
      <c r="E873" t="s">
        <v>4135</v>
      </c>
      <c r="F873">
        <v>2</v>
      </c>
      <c r="G873">
        <v>9.9</v>
      </c>
      <c r="H873" t="s">
        <v>4133</v>
      </c>
      <c r="J873" t="s">
        <v>592</v>
      </c>
    </row>
    <row r="874" spans="1:10" x14ac:dyDescent="0.3">
      <c r="A874" t="s">
        <v>557</v>
      </c>
      <c r="B874" s="452">
        <v>46143</v>
      </c>
      <c r="C874" t="s">
        <v>4240</v>
      </c>
      <c r="D874" t="s">
        <v>4105</v>
      </c>
      <c r="E874" t="s">
        <v>4241</v>
      </c>
      <c r="F874">
        <v>1</v>
      </c>
      <c r="G874">
        <v>5.07</v>
      </c>
      <c r="H874" t="s">
        <v>4126</v>
      </c>
      <c r="J874" t="s">
        <v>592</v>
      </c>
    </row>
    <row r="875" spans="1:10" x14ac:dyDescent="0.3">
      <c r="A875" t="s">
        <v>557</v>
      </c>
      <c r="B875" s="452">
        <v>46143</v>
      </c>
      <c r="C875" t="s">
        <v>4189</v>
      </c>
      <c r="D875" t="s">
        <v>4105</v>
      </c>
      <c r="E875" t="s">
        <v>4190</v>
      </c>
      <c r="F875">
        <v>10</v>
      </c>
      <c r="G875">
        <v>135</v>
      </c>
      <c r="H875" t="s">
        <v>4133</v>
      </c>
      <c r="J875" t="s">
        <v>592</v>
      </c>
    </row>
    <row r="876" spans="1:10" x14ac:dyDescent="0.3">
      <c r="A876" t="s">
        <v>557</v>
      </c>
      <c r="B876" s="452">
        <v>46143</v>
      </c>
      <c r="C876" t="s">
        <v>4159</v>
      </c>
      <c r="D876" t="s">
        <v>4105</v>
      </c>
      <c r="E876" t="s">
        <v>4135</v>
      </c>
      <c r="F876">
        <v>6</v>
      </c>
      <c r="G876">
        <v>52.2</v>
      </c>
      <c r="H876" t="s">
        <v>4133</v>
      </c>
      <c r="J876" t="s">
        <v>592</v>
      </c>
    </row>
    <row r="877" spans="1:10" x14ac:dyDescent="0.3">
      <c r="A877" t="s">
        <v>557</v>
      </c>
      <c r="B877" s="452">
        <v>46143</v>
      </c>
      <c r="C877" t="s">
        <v>4178</v>
      </c>
      <c r="D877" t="s">
        <v>4105</v>
      </c>
      <c r="E877" t="s">
        <v>4129</v>
      </c>
      <c r="F877">
        <v>5</v>
      </c>
      <c r="G877">
        <v>24</v>
      </c>
      <c r="H877" t="s">
        <v>4126</v>
      </c>
      <c r="J877" t="s">
        <v>592</v>
      </c>
    </row>
    <row r="878" spans="1:10" x14ac:dyDescent="0.3">
      <c r="A878" t="s">
        <v>557</v>
      </c>
      <c r="B878" s="452">
        <v>46143</v>
      </c>
      <c r="C878" t="s">
        <v>4306</v>
      </c>
      <c r="D878" t="s">
        <v>4105</v>
      </c>
      <c r="E878" t="s">
        <v>4304</v>
      </c>
      <c r="F878">
        <v>1</v>
      </c>
      <c r="G878">
        <v>9.6</v>
      </c>
      <c r="H878" t="s">
        <v>4126</v>
      </c>
      <c r="J878" t="s">
        <v>592</v>
      </c>
    </row>
    <row r="879" spans="1:10" x14ac:dyDescent="0.3">
      <c r="A879" t="s">
        <v>557</v>
      </c>
      <c r="B879" s="452">
        <v>46143</v>
      </c>
      <c r="C879" t="s">
        <v>4138</v>
      </c>
      <c r="D879" t="s">
        <v>4105</v>
      </c>
      <c r="E879" t="s">
        <v>4139</v>
      </c>
      <c r="F879">
        <v>6</v>
      </c>
      <c r="G879">
        <v>46.8</v>
      </c>
      <c r="H879" t="s">
        <v>4133</v>
      </c>
      <c r="J879" t="s">
        <v>592</v>
      </c>
    </row>
    <row r="880" spans="1:10" x14ac:dyDescent="0.3">
      <c r="A880" t="s">
        <v>557</v>
      </c>
      <c r="B880" s="452">
        <v>46143</v>
      </c>
      <c r="C880" t="s">
        <v>4250</v>
      </c>
      <c r="D880" t="s">
        <v>4105</v>
      </c>
      <c r="E880" t="s">
        <v>4139</v>
      </c>
      <c r="F880">
        <v>4</v>
      </c>
      <c r="G880">
        <v>33.6</v>
      </c>
      <c r="H880" t="s">
        <v>4133</v>
      </c>
      <c r="J880" t="s">
        <v>592</v>
      </c>
    </row>
    <row r="881" spans="1:10" x14ac:dyDescent="0.3">
      <c r="A881" t="s">
        <v>557</v>
      </c>
      <c r="B881" s="452">
        <v>46143</v>
      </c>
      <c r="C881" t="s">
        <v>4209</v>
      </c>
      <c r="D881" t="s">
        <v>4105</v>
      </c>
      <c r="E881" t="s">
        <v>4193</v>
      </c>
      <c r="F881">
        <v>5</v>
      </c>
      <c r="G881">
        <v>73.5</v>
      </c>
      <c r="H881" t="s">
        <v>4133</v>
      </c>
      <c r="J881" t="s">
        <v>592</v>
      </c>
    </row>
    <row r="882" spans="1:10" x14ac:dyDescent="0.3">
      <c r="A882" t="s">
        <v>557</v>
      </c>
      <c r="B882" s="452">
        <v>46143</v>
      </c>
      <c r="C882" t="s">
        <v>4264</v>
      </c>
      <c r="D882" t="s">
        <v>4105</v>
      </c>
      <c r="E882" t="s">
        <v>4193</v>
      </c>
      <c r="F882">
        <v>1</v>
      </c>
      <c r="G882">
        <v>17.399999999999999</v>
      </c>
      <c r="H882" t="s">
        <v>4133</v>
      </c>
      <c r="J882" t="s">
        <v>592</v>
      </c>
    </row>
    <row r="883" spans="1:10" x14ac:dyDescent="0.3">
      <c r="A883" t="s">
        <v>557</v>
      </c>
      <c r="B883" s="452">
        <v>46143</v>
      </c>
      <c r="C883" t="s">
        <v>4211</v>
      </c>
      <c r="D883" t="s">
        <v>4105</v>
      </c>
      <c r="E883" t="s">
        <v>4162</v>
      </c>
      <c r="F883">
        <v>1</v>
      </c>
      <c r="G883">
        <v>14.1</v>
      </c>
      <c r="H883" t="s">
        <v>4133</v>
      </c>
      <c r="J883" t="s">
        <v>592</v>
      </c>
    </row>
    <row r="884" spans="1:10" x14ac:dyDescent="0.3">
      <c r="A884" t="s">
        <v>557</v>
      </c>
      <c r="B884" s="452">
        <v>46143</v>
      </c>
      <c r="C884" t="s">
        <v>4252</v>
      </c>
      <c r="D884" t="s">
        <v>4105</v>
      </c>
      <c r="E884" t="s">
        <v>4184</v>
      </c>
      <c r="F884">
        <v>2</v>
      </c>
      <c r="G884">
        <v>89.4</v>
      </c>
      <c r="H884" t="s">
        <v>4133</v>
      </c>
      <c r="J884" t="s">
        <v>592</v>
      </c>
    </row>
    <row r="885" spans="1:10" x14ac:dyDescent="0.3">
      <c r="A885" t="s">
        <v>557</v>
      </c>
      <c r="B885" s="452">
        <v>46143</v>
      </c>
      <c r="C885" t="s">
        <v>4327</v>
      </c>
      <c r="D885" t="s">
        <v>4105</v>
      </c>
      <c r="E885" t="s">
        <v>4139</v>
      </c>
      <c r="F885">
        <v>1</v>
      </c>
      <c r="G885">
        <v>4.2</v>
      </c>
      <c r="H885" t="s">
        <v>4133</v>
      </c>
      <c r="J885" t="s">
        <v>592</v>
      </c>
    </row>
    <row r="886" spans="1:10" x14ac:dyDescent="0.3">
      <c r="A886" t="s">
        <v>557</v>
      </c>
      <c r="B886" s="452">
        <v>46143</v>
      </c>
      <c r="C886" t="s">
        <v>4196</v>
      </c>
      <c r="D886" t="s">
        <v>4105</v>
      </c>
      <c r="E886" t="s">
        <v>4184</v>
      </c>
      <c r="F886">
        <v>11</v>
      </c>
      <c r="G886">
        <v>237.27</v>
      </c>
      <c r="H886" t="s">
        <v>4133</v>
      </c>
      <c r="J886" t="s">
        <v>592</v>
      </c>
    </row>
    <row r="887" spans="1:10" x14ac:dyDescent="0.3">
      <c r="A887" t="s">
        <v>557</v>
      </c>
      <c r="B887" s="452">
        <v>46143</v>
      </c>
      <c r="C887" t="s">
        <v>4269</v>
      </c>
      <c r="D887" t="s">
        <v>4105</v>
      </c>
      <c r="E887" t="s">
        <v>4270</v>
      </c>
      <c r="F887">
        <v>2</v>
      </c>
      <c r="G887">
        <v>19.8</v>
      </c>
      <c r="H887" t="s">
        <v>4126</v>
      </c>
      <c r="J887" t="s">
        <v>592</v>
      </c>
    </row>
    <row r="888" spans="1:10" x14ac:dyDescent="0.3">
      <c r="A888" t="s">
        <v>557</v>
      </c>
      <c r="B888" s="452">
        <v>46143</v>
      </c>
      <c r="C888" t="s">
        <v>4319</v>
      </c>
      <c r="D888" t="s">
        <v>4105</v>
      </c>
      <c r="E888" t="s">
        <v>4169</v>
      </c>
      <c r="F888">
        <v>2</v>
      </c>
      <c r="G888">
        <v>4.8</v>
      </c>
      <c r="H888" t="s">
        <v>4126</v>
      </c>
      <c r="J888" t="s">
        <v>592</v>
      </c>
    </row>
    <row r="889" spans="1:10" x14ac:dyDescent="0.3">
      <c r="A889" t="s">
        <v>557</v>
      </c>
      <c r="B889" s="452">
        <v>46143</v>
      </c>
      <c r="C889" t="s">
        <v>4199</v>
      </c>
      <c r="D889" t="s">
        <v>4105</v>
      </c>
      <c r="E889" t="s">
        <v>4137</v>
      </c>
      <c r="F889">
        <v>4</v>
      </c>
      <c r="G889">
        <v>70.8</v>
      </c>
      <c r="H889" t="s">
        <v>4133</v>
      </c>
      <c r="J889" t="s">
        <v>592</v>
      </c>
    </row>
    <row r="890" spans="1:10" x14ac:dyDescent="0.3">
      <c r="A890" t="s">
        <v>557</v>
      </c>
      <c r="B890" s="452">
        <v>46143</v>
      </c>
      <c r="C890" t="s">
        <v>4136</v>
      </c>
      <c r="D890" t="s">
        <v>4105</v>
      </c>
      <c r="E890" t="s">
        <v>4137</v>
      </c>
      <c r="F890">
        <v>9</v>
      </c>
      <c r="G890">
        <v>105.3</v>
      </c>
      <c r="H890" t="s">
        <v>4133</v>
      </c>
      <c r="J890" t="s">
        <v>592</v>
      </c>
    </row>
    <row r="891" spans="1:10" x14ac:dyDescent="0.3">
      <c r="A891" t="s">
        <v>557</v>
      </c>
      <c r="B891" s="452">
        <v>46174</v>
      </c>
      <c r="C891" t="s">
        <v>4328</v>
      </c>
      <c r="D891" t="s">
        <v>4101</v>
      </c>
      <c r="E891" t="s">
        <v>4329</v>
      </c>
      <c r="F891">
        <v>1</v>
      </c>
      <c r="G891">
        <v>10.199999999999999</v>
      </c>
      <c r="H891" t="s">
        <v>4126</v>
      </c>
      <c r="J891" t="s">
        <v>594</v>
      </c>
    </row>
    <row r="892" spans="1:10" x14ac:dyDescent="0.3">
      <c r="A892" t="s">
        <v>557</v>
      </c>
      <c r="B892" s="452">
        <v>46174</v>
      </c>
      <c r="C892" t="s">
        <v>4199</v>
      </c>
      <c r="D892" t="s">
        <v>4101</v>
      </c>
      <c r="E892" t="s">
        <v>4137</v>
      </c>
      <c r="F892">
        <v>1</v>
      </c>
      <c r="G892">
        <v>17.7</v>
      </c>
      <c r="H892" t="s">
        <v>4133</v>
      </c>
      <c r="J892" t="s">
        <v>594</v>
      </c>
    </row>
    <row r="893" spans="1:10" x14ac:dyDescent="0.3">
      <c r="A893" t="s">
        <v>557</v>
      </c>
      <c r="B893" s="452">
        <v>46174</v>
      </c>
      <c r="C893" t="s">
        <v>4128</v>
      </c>
      <c r="D893" t="s">
        <v>4101</v>
      </c>
      <c r="E893" t="s">
        <v>4129</v>
      </c>
      <c r="F893">
        <v>2</v>
      </c>
      <c r="G893">
        <v>4.5</v>
      </c>
      <c r="H893" t="s">
        <v>4126</v>
      </c>
      <c r="J893" t="s">
        <v>594</v>
      </c>
    </row>
    <row r="894" spans="1:10" x14ac:dyDescent="0.3">
      <c r="A894" t="s">
        <v>557</v>
      </c>
      <c r="B894" s="452">
        <v>46174</v>
      </c>
      <c r="C894" t="s">
        <v>4140</v>
      </c>
      <c r="D894" t="s">
        <v>4101</v>
      </c>
      <c r="E894" t="s">
        <v>4129</v>
      </c>
      <c r="F894">
        <v>1</v>
      </c>
      <c r="G894">
        <v>2.25</v>
      </c>
      <c r="H894" t="s">
        <v>4126</v>
      </c>
      <c r="J894" t="s">
        <v>594</v>
      </c>
    </row>
    <row r="895" spans="1:10" x14ac:dyDescent="0.3">
      <c r="A895" t="s">
        <v>557</v>
      </c>
      <c r="B895" s="452">
        <v>46174</v>
      </c>
      <c r="C895" t="s">
        <v>4141</v>
      </c>
      <c r="D895" t="s">
        <v>4101</v>
      </c>
      <c r="E895" t="s">
        <v>4142</v>
      </c>
      <c r="F895">
        <v>2</v>
      </c>
      <c r="G895">
        <v>8.34</v>
      </c>
      <c r="H895" t="s">
        <v>4126</v>
      </c>
      <c r="J895" t="s">
        <v>594</v>
      </c>
    </row>
    <row r="896" spans="1:10" x14ac:dyDescent="0.3">
      <c r="A896" t="s">
        <v>557</v>
      </c>
      <c r="B896" s="452">
        <v>46174</v>
      </c>
      <c r="C896" t="s">
        <v>4168</v>
      </c>
      <c r="D896" t="s">
        <v>4101</v>
      </c>
      <c r="E896" t="s">
        <v>4169</v>
      </c>
      <c r="F896">
        <v>3</v>
      </c>
      <c r="G896">
        <v>37.799999999999997</v>
      </c>
      <c r="H896" t="s">
        <v>4126</v>
      </c>
      <c r="J896" t="s">
        <v>594</v>
      </c>
    </row>
    <row r="897" spans="1:10" x14ac:dyDescent="0.3">
      <c r="A897" t="s">
        <v>557</v>
      </c>
      <c r="B897" s="452">
        <v>46174</v>
      </c>
      <c r="C897" t="s">
        <v>4147</v>
      </c>
      <c r="D897" t="s">
        <v>4101</v>
      </c>
      <c r="E897" t="s">
        <v>4125</v>
      </c>
      <c r="F897">
        <v>1</v>
      </c>
      <c r="G897">
        <v>2.4</v>
      </c>
      <c r="H897" t="s">
        <v>4126</v>
      </c>
      <c r="J897" t="s">
        <v>594</v>
      </c>
    </row>
    <row r="898" spans="1:10" x14ac:dyDescent="0.3">
      <c r="A898" t="s">
        <v>557</v>
      </c>
      <c r="B898" s="452">
        <v>46174</v>
      </c>
      <c r="C898" t="s">
        <v>4173</v>
      </c>
      <c r="D898" t="s">
        <v>4101</v>
      </c>
      <c r="E898" t="s">
        <v>4174</v>
      </c>
      <c r="F898">
        <v>1</v>
      </c>
      <c r="G898">
        <v>12.6</v>
      </c>
      <c r="H898" t="s">
        <v>4126</v>
      </c>
      <c r="J898" t="s">
        <v>594</v>
      </c>
    </row>
    <row r="899" spans="1:10" x14ac:dyDescent="0.3">
      <c r="A899" t="s">
        <v>557</v>
      </c>
      <c r="B899" s="452">
        <v>46174</v>
      </c>
      <c r="C899" t="s">
        <v>4330</v>
      </c>
      <c r="D899" t="s">
        <v>4101</v>
      </c>
      <c r="E899" t="s">
        <v>4331</v>
      </c>
      <c r="F899">
        <v>1</v>
      </c>
      <c r="G899">
        <v>39</v>
      </c>
      <c r="H899" t="s">
        <v>4126</v>
      </c>
      <c r="J899" t="s">
        <v>594</v>
      </c>
    </row>
    <row r="900" spans="1:10" x14ac:dyDescent="0.3">
      <c r="A900" t="s">
        <v>557</v>
      </c>
      <c r="B900" s="452">
        <v>46174</v>
      </c>
      <c r="C900" t="s">
        <v>4175</v>
      </c>
      <c r="D900" t="s">
        <v>4103</v>
      </c>
      <c r="E900" t="s">
        <v>4149</v>
      </c>
      <c r="F900">
        <v>1</v>
      </c>
      <c r="G900">
        <v>28.2</v>
      </c>
      <c r="H900" t="s">
        <v>4133</v>
      </c>
      <c r="J900" t="s">
        <v>594</v>
      </c>
    </row>
    <row r="901" spans="1:10" x14ac:dyDescent="0.3">
      <c r="A901" t="s">
        <v>557</v>
      </c>
      <c r="B901" s="452">
        <v>46174</v>
      </c>
      <c r="C901" t="s">
        <v>4199</v>
      </c>
      <c r="D901" t="s">
        <v>4103</v>
      </c>
      <c r="E901" t="s">
        <v>4137</v>
      </c>
      <c r="F901">
        <v>1</v>
      </c>
      <c r="G901">
        <v>17.7</v>
      </c>
      <c r="H901" t="s">
        <v>4133</v>
      </c>
      <c r="J901" t="s">
        <v>594</v>
      </c>
    </row>
    <row r="902" spans="1:10" x14ac:dyDescent="0.3">
      <c r="A902" t="s">
        <v>557</v>
      </c>
      <c r="B902" s="452">
        <v>46174</v>
      </c>
      <c r="C902" t="s">
        <v>4151</v>
      </c>
      <c r="D902" t="s">
        <v>4103</v>
      </c>
      <c r="E902" t="s">
        <v>4144</v>
      </c>
      <c r="F902">
        <v>1</v>
      </c>
      <c r="G902">
        <v>10.5</v>
      </c>
      <c r="H902" t="s">
        <v>4126</v>
      </c>
      <c r="J902" t="s">
        <v>594</v>
      </c>
    </row>
    <row r="903" spans="1:10" x14ac:dyDescent="0.3">
      <c r="A903" t="s">
        <v>557</v>
      </c>
      <c r="B903" s="452">
        <v>46174</v>
      </c>
      <c r="C903" t="s">
        <v>4246</v>
      </c>
      <c r="D903" t="s">
        <v>4103</v>
      </c>
      <c r="E903" t="s">
        <v>4125</v>
      </c>
      <c r="F903">
        <v>1</v>
      </c>
      <c r="G903">
        <v>2.4</v>
      </c>
      <c r="H903" t="s">
        <v>4126</v>
      </c>
      <c r="J903" t="s">
        <v>594</v>
      </c>
    </row>
    <row r="904" spans="1:10" x14ac:dyDescent="0.3">
      <c r="A904" t="s">
        <v>557</v>
      </c>
      <c r="B904" s="452">
        <v>46174</v>
      </c>
      <c r="C904" t="s">
        <v>4159</v>
      </c>
      <c r="D904" t="s">
        <v>4104</v>
      </c>
      <c r="E904" t="s">
        <v>4135</v>
      </c>
      <c r="F904">
        <v>4</v>
      </c>
      <c r="G904">
        <v>34.799999999999997</v>
      </c>
      <c r="H904" t="s">
        <v>4133</v>
      </c>
      <c r="J904" t="s">
        <v>594</v>
      </c>
    </row>
    <row r="905" spans="1:10" x14ac:dyDescent="0.3">
      <c r="A905" t="s">
        <v>557</v>
      </c>
      <c r="B905" s="452">
        <v>46174</v>
      </c>
      <c r="C905" t="s">
        <v>4314</v>
      </c>
      <c r="D905" t="s">
        <v>4104</v>
      </c>
      <c r="E905" t="s">
        <v>4311</v>
      </c>
      <c r="F905">
        <v>1</v>
      </c>
      <c r="G905">
        <v>13.2</v>
      </c>
      <c r="H905" t="s">
        <v>4133</v>
      </c>
      <c r="J905" t="s">
        <v>594</v>
      </c>
    </row>
    <row r="906" spans="1:10" x14ac:dyDescent="0.3">
      <c r="A906" t="s">
        <v>557</v>
      </c>
      <c r="B906" s="452">
        <v>46174</v>
      </c>
      <c r="C906" t="s">
        <v>4216</v>
      </c>
      <c r="D906" t="s">
        <v>4104</v>
      </c>
      <c r="E906" t="s">
        <v>4149</v>
      </c>
      <c r="F906">
        <v>1</v>
      </c>
      <c r="G906">
        <v>29.4</v>
      </c>
      <c r="H906" t="s">
        <v>4133</v>
      </c>
      <c r="J906" t="s">
        <v>594</v>
      </c>
    </row>
    <row r="907" spans="1:10" x14ac:dyDescent="0.3">
      <c r="A907" t="s">
        <v>557</v>
      </c>
      <c r="B907" s="452">
        <v>46174</v>
      </c>
      <c r="C907" t="s">
        <v>4154</v>
      </c>
      <c r="D907" t="s">
        <v>4104</v>
      </c>
      <c r="E907" t="s">
        <v>4137</v>
      </c>
      <c r="F907">
        <v>1</v>
      </c>
      <c r="G907">
        <v>8.1</v>
      </c>
      <c r="H907" t="s">
        <v>4133</v>
      </c>
      <c r="J907" t="s">
        <v>594</v>
      </c>
    </row>
    <row r="908" spans="1:10" x14ac:dyDescent="0.3">
      <c r="A908" t="s">
        <v>557</v>
      </c>
      <c r="B908" s="452">
        <v>46174</v>
      </c>
      <c r="C908" t="s">
        <v>4185</v>
      </c>
      <c r="D908" t="s">
        <v>4104</v>
      </c>
      <c r="E908" t="s">
        <v>4144</v>
      </c>
      <c r="F908">
        <v>1</v>
      </c>
      <c r="G908">
        <v>10.5</v>
      </c>
      <c r="H908" t="s">
        <v>4126</v>
      </c>
      <c r="J908" t="s">
        <v>594</v>
      </c>
    </row>
    <row r="909" spans="1:10" x14ac:dyDescent="0.3">
      <c r="A909" t="s">
        <v>557</v>
      </c>
      <c r="B909" s="452">
        <v>46174</v>
      </c>
      <c r="C909" t="s">
        <v>4172</v>
      </c>
      <c r="D909" t="s">
        <v>4104</v>
      </c>
      <c r="E909" t="s">
        <v>4139</v>
      </c>
      <c r="F909">
        <v>1</v>
      </c>
      <c r="G909">
        <v>28.2</v>
      </c>
      <c r="J909" t="s">
        <v>594</v>
      </c>
    </row>
    <row r="910" spans="1:10" x14ac:dyDescent="0.3">
      <c r="A910" t="s">
        <v>557</v>
      </c>
      <c r="B910" s="452">
        <v>46174</v>
      </c>
      <c r="C910" t="s">
        <v>4189</v>
      </c>
      <c r="D910" t="s">
        <v>4104</v>
      </c>
      <c r="E910" t="s">
        <v>4190</v>
      </c>
      <c r="F910">
        <v>3</v>
      </c>
      <c r="G910">
        <v>40.5</v>
      </c>
      <c r="H910" t="s">
        <v>4133</v>
      </c>
      <c r="J910" t="s">
        <v>594</v>
      </c>
    </row>
    <row r="911" spans="1:10" x14ac:dyDescent="0.3">
      <c r="A911" t="s">
        <v>557</v>
      </c>
      <c r="B911" s="452">
        <v>46174</v>
      </c>
      <c r="C911" t="s">
        <v>4240</v>
      </c>
      <c r="D911" t="s">
        <v>4104</v>
      </c>
      <c r="E911" t="s">
        <v>4241</v>
      </c>
      <c r="F911">
        <v>7</v>
      </c>
      <c r="G911">
        <v>35.49</v>
      </c>
      <c r="H911" t="s">
        <v>4126</v>
      </c>
      <c r="J911" t="s">
        <v>594</v>
      </c>
    </row>
    <row r="912" spans="1:10" x14ac:dyDescent="0.3">
      <c r="A912" t="s">
        <v>557</v>
      </c>
      <c r="B912" s="452">
        <v>46174</v>
      </c>
      <c r="C912" t="s">
        <v>4310</v>
      </c>
      <c r="D912" t="s">
        <v>4104</v>
      </c>
      <c r="E912" t="s">
        <v>4311</v>
      </c>
      <c r="F912">
        <v>1</v>
      </c>
      <c r="G912">
        <v>15.3</v>
      </c>
      <c r="H912" t="s">
        <v>4133</v>
      </c>
      <c r="J912" t="s">
        <v>594</v>
      </c>
    </row>
    <row r="913" spans="1:10" x14ac:dyDescent="0.3">
      <c r="A913" t="s">
        <v>557</v>
      </c>
      <c r="B913" s="452">
        <v>46174</v>
      </c>
      <c r="C913" t="s">
        <v>4192</v>
      </c>
      <c r="D913" t="s">
        <v>4104</v>
      </c>
      <c r="E913" t="s">
        <v>4193</v>
      </c>
      <c r="F913">
        <v>4</v>
      </c>
      <c r="G913">
        <v>67.2</v>
      </c>
      <c r="H913" t="s">
        <v>4133</v>
      </c>
      <c r="J913" t="s">
        <v>594</v>
      </c>
    </row>
    <row r="914" spans="1:10" x14ac:dyDescent="0.3">
      <c r="A914" t="s">
        <v>557</v>
      </c>
      <c r="B914" s="452">
        <v>46174</v>
      </c>
      <c r="C914" t="s">
        <v>4173</v>
      </c>
      <c r="D914" t="s">
        <v>4104</v>
      </c>
      <c r="E914" t="s">
        <v>4174</v>
      </c>
      <c r="F914">
        <v>1</v>
      </c>
      <c r="G914">
        <v>12.6</v>
      </c>
      <c r="H914" t="s">
        <v>4126</v>
      </c>
      <c r="J914" t="s">
        <v>594</v>
      </c>
    </row>
    <row r="915" spans="1:10" x14ac:dyDescent="0.3">
      <c r="A915" t="s">
        <v>557</v>
      </c>
      <c r="B915" s="452">
        <v>46174</v>
      </c>
      <c r="C915" t="s">
        <v>4153</v>
      </c>
      <c r="D915" t="s">
        <v>4104</v>
      </c>
      <c r="E915" t="s">
        <v>4149</v>
      </c>
      <c r="F915">
        <v>1</v>
      </c>
      <c r="G915">
        <v>92.7</v>
      </c>
      <c r="H915" t="s">
        <v>4133</v>
      </c>
      <c r="J915" t="s">
        <v>594</v>
      </c>
    </row>
    <row r="916" spans="1:10" x14ac:dyDescent="0.3">
      <c r="A916" t="s">
        <v>557</v>
      </c>
      <c r="B916" s="452">
        <v>46174</v>
      </c>
      <c r="C916" t="s">
        <v>4175</v>
      </c>
      <c r="D916" t="s">
        <v>4104</v>
      </c>
      <c r="E916" t="s">
        <v>4149</v>
      </c>
      <c r="F916">
        <v>1</v>
      </c>
      <c r="G916">
        <v>23.7</v>
      </c>
      <c r="H916" t="s">
        <v>4133</v>
      </c>
      <c r="J916" t="s">
        <v>594</v>
      </c>
    </row>
    <row r="917" spans="1:10" x14ac:dyDescent="0.3">
      <c r="A917" t="s">
        <v>557</v>
      </c>
      <c r="B917" s="452">
        <v>46174</v>
      </c>
      <c r="C917" t="s">
        <v>4194</v>
      </c>
      <c r="D917" t="s">
        <v>4104</v>
      </c>
      <c r="E917" t="s">
        <v>4129</v>
      </c>
      <c r="F917">
        <v>1</v>
      </c>
      <c r="G917">
        <v>5.4</v>
      </c>
      <c r="H917" t="s">
        <v>4126</v>
      </c>
      <c r="J917" t="s">
        <v>594</v>
      </c>
    </row>
    <row r="918" spans="1:10" x14ac:dyDescent="0.3">
      <c r="A918" t="s">
        <v>557</v>
      </c>
      <c r="B918" s="452">
        <v>46174</v>
      </c>
      <c r="C918" t="s">
        <v>4259</v>
      </c>
      <c r="D918" t="s">
        <v>4104</v>
      </c>
      <c r="E918" t="s">
        <v>4137</v>
      </c>
      <c r="F918">
        <v>1</v>
      </c>
      <c r="G918">
        <v>19.5</v>
      </c>
      <c r="H918" t="s">
        <v>4133</v>
      </c>
      <c r="J918" t="s">
        <v>594</v>
      </c>
    </row>
    <row r="919" spans="1:10" x14ac:dyDescent="0.3">
      <c r="A919" t="s">
        <v>557</v>
      </c>
      <c r="B919" s="452">
        <v>46174</v>
      </c>
      <c r="C919" t="s">
        <v>4196</v>
      </c>
      <c r="D919" t="s">
        <v>4104</v>
      </c>
      <c r="E919" t="s">
        <v>4184</v>
      </c>
      <c r="F919">
        <v>6</v>
      </c>
      <c r="G919">
        <v>129.41999999999999</v>
      </c>
      <c r="H919" t="s">
        <v>4133</v>
      </c>
      <c r="J919" t="s">
        <v>594</v>
      </c>
    </row>
    <row r="920" spans="1:10" x14ac:dyDescent="0.3">
      <c r="A920" t="s">
        <v>557</v>
      </c>
      <c r="B920" s="452">
        <v>46174</v>
      </c>
      <c r="C920" t="s">
        <v>4214</v>
      </c>
      <c r="D920" t="s">
        <v>4104</v>
      </c>
      <c r="E920" t="s">
        <v>4137</v>
      </c>
      <c r="F920">
        <v>1</v>
      </c>
      <c r="G920">
        <v>20.7</v>
      </c>
      <c r="H920" t="s">
        <v>4133</v>
      </c>
      <c r="J920" t="s">
        <v>594</v>
      </c>
    </row>
    <row r="921" spans="1:10" x14ac:dyDescent="0.3">
      <c r="A921" t="s">
        <v>557</v>
      </c>
      <c r="B921" s="452">
        <v>46174</v>
      </c>
      <c r="C921" t="s">
        <v>4186</v>
      </c>
      <c r="D921" t="s">
        <v>4104</v>
      </c>
      <c r="E921" t="s">
        <v>4137</v>
      </c>
      <c r="F921">
        <v>3</v>
      </c>
      <c r="G921">
        <v>37.799999999999997</v>
      </c>
      <c r="H921" t="s">
        <v>4133</v>
      </c>
      <c r="J921" t="s">
        <v>594</v>
      </c>
    </row>
    <row r="922" spans="1:10" x14ac:dyDescent="0.3">
      <c r="A922" t="s">
        <v>557</v>
      </c>
      <c r="B922" s="452">
        <v>46174</v>
      </c>
      <c r="C922" t="s">
        <v>4229</v>
      </c>
      <c r="D922" t="s">
        <v>4104</v>
      </c>
      <c r="E922" t="s">
        <v>4169</v>
      </c>
      <c r="F922">
        <v>1</v>
      </c>
      <c r="G922">
        <v>12.6</v>
      </c>
      <c r="J922" t="s">
        <v>594</v>
      </c>
    </row>
    <row r="923" spans="1:10" x14ac:dyDescent="0.3">
      <c r="A923" t="s">
        <v>557</v>
      </c>
      <c r="B923" s="452">
        <v>46174</v>
      </c>
      <c r="C923" t="s">
        <v>4265</v>
      </c>
      <c r="D923" t="s">
        <v>4104</v>
      </c>
      <c r="E923" t="s">
        <v>4243</v>
      </c>
      <c r="F923">
        <v>4</v>
      </c>
      <c r="G923">
        <v>27.6</v>
      </c>
      <c r="H923" t="s">
        <v>4126</v>
      </c>
      <c r="J923" t="s">
        <v>594</v>
      </c>
    </row>
    <row r="924" spans="1:10" x14ac:dyDescent="0.3">
      <c r="A924" t="s">
        <v>557</v>
      </c>
      <c r="B924" s="452">
        <v>46174</v>
      </c>
      <c r="C924" t="s">
        <v>4332</v>
      </c>
      <c r="D924" t="s">
        <v>4104</v>
      </c>
      <c r="E924" t="s">
        <v>4333</v>
      </c>
      <c r="F924">
        <v>2</v>
      </c>
      <c r="G924">
        <v>51.6</v>
      </c>
      <c r="H924" t="s">
        <v>4133</v>
      </c>
      <c r="J924" t="s">
        <v>594</v>
      </c>
    </row>
    <row r="925" spans="1:10" x14ac:dyDescent="0.3">
      <c r="A925" t="s">
        <v>557</v>
      </c>
      <c r="B925" s="452">
        <v>46174</v>
      </c>
      <c r="C925" t="s">
        <v>4171</v>
      </c>
      <c r="D925" t="s">
        <v>4104</v>
      </c>
      <c r="E925" t="s">
        <v>4149</v>
      </c>
      <c r="F925">
        <v>1</v>
      </c>
      <c r="G925">
        <v>62.1</v>
      </c>
      <c r="J925" t="s">
        <v>594</v>
      </c>
    </row>
    <row r="926" spans="1:10" x14ac:dyDescent="0.3">
      <c r="A926" t="s">
        <v>557</v>
      </c>
      <c r="B926" s="452">
        <v>46174</v>
      </c>
      <c r="C926" t="s">
        <v>4334</v>
      </c>
      <c r="D926" t="s">
        <v>4104</v>
      </c>
      <c r="E926" t="s">
        <v>4311</v>
      </c>
      <c r="F926">
        <v>1</v>
      </c>
      <c r="G926">
        <v>12</v>
      </c>
      <c r="H926" t="s">
        <v>4133</v>
      </c>
      <c r="J926" t="s">
        <v>594</v>
      </c>
    </row>
    <row r="927" spans="1:10" x14ac:dyDescent="0.3">
      <c r="A927" t="s">
        <v>557</v>
      </c>
      <c r="B927" s="452">
        <v>46174</v>
      </c>
      <c r="C927" t="s">
        <v>4335</v>
      </c>
      <c r="D927" t="s">
        <v>4104</v>
      </c>
      <c r="E927" t="s">
        <v>4336</v>
      </c>
      <c r="F927">
        <v>3</v>
      </c>
      <c r="G927">
        <v>19.8</v>
      </c>
      <c r="H927" t="s">
        <v>4133</v>
      </c>
      <c r="J927" t="s">
        <v>594</v>
      </c>
    </row>
    <row r="928" spans="1:10" x14ac:dyDescent="0.3">
      <c r="A928" t="s">
        <v>557</v>
      </c>
      <c r="B928" s="452">
        <v>46174</v>
      </c>
      <c r="C928" t="s">
        <v>4148</v>
      </c>
      <c r="D928" t="s">
        <v>4104</v>
      </c>
      <c r="E928" t="s">
        <v>4149</v>
      </c>
      <c r="F928">
        <v>1</v>
      </c>
      <c r="G928">
        <v>26.4</v>
      </c>
      <c r="H928" t="s">
        <v>4133</v>
      </c>
      <c r="J928" t="s">
        <v>594</v>
      </c>
    </row>
    <row r="929" spans="1:10" x14ac:dyDescent="0.3">
      <c r="A929" t="s">
        <v>557</v>
      </c>
      <c r="B929" s="452">
        <v>46174</v>
      </c>
      <c r="C929" t="s">
        <v>4183</v>
      </c>
      <c r="D929" t="s">
        <v>4104</v>
      </c>
      <c r="E929" t="s">
        <v>4184</v>
      </c>
      <c r="F929">
        <v>11</v>
      </c>
      <c r="G929">
        <v>214.17</v>
      </c>
      <c r="H929" t="s">
        <v>4133</v>
      </c>
      <c r="J929" t="s">
        <v>594</v>
      </c>
    </row>
    <row r="930" spans="1:10" x14ac:dyDescent="0.3">
      <c r="A930" t="s">
        <v>557</v>
      </c>
      <c r="B930" s="452">
        <v>46174</v>
      </c>
      <c r="C930" t="s">
        <v>4293</v>
      </c>
      <c r="D930" t="s">
        <v>4104</v>
      </c>
      <c r="E930" t="s">
        <v>4129</v>
      </c>
      <c r="F930">
        <v>1</v>
      </c>
      <c r="G930">
        <v>2.25</v>
      </c>
      <c r="H930" t="s">
        <v>4126</v>
      </c>
      <c r="J930" t="s">
        <v>594</v>
      </c>
    </row>
    <row r="931" spans="1:10" x14ac:dyDescent="0.3">
      <c r="A931" t="s">
        <v>557</v>
      </c>
      <c r="B931" s="452">
        <v>46174</v>
      </c>
      <c r="C931" t="s">
        <v>4170</v>
      </c>
      <c r="D931" t="s">
        <v>4104</v>
      </c>
      <c r="E931" t="s">
        <v>4139</v>
      </c>
      <c r="F931">
        <v>3</v>
      </c>
      <c r="G931">
        <v>26.1</v>
      </c>
      <c r="H931" t="s">
        <v>4133</v>
      </c>
      <c r="J931" t="s">
        <v>594</v>
      </c>
    </row>
    <row r="932" spans="1:10" x14ac:dyDescent="0.3">
      <c r="A932" t="s">
        <v>557</v>
      </c>
      <c r="B932" s="452">
        <v>46174</v>
      </c>
      <c r="C932" t="s">
        <v>4217</v>
      </c>
      <c r="D932" t="s">
        <v>4104</v>
      </c>
      <c r="E932" t="s">
        <v>4149</v>
      </c>
      <c r="F932">
        <v>2</v>
      </c>
      <c r="G932">
        <v>43.2</v>
      </c>
      <c r="H932" t="s">
        <v>4133</v>
      </c>
      <c r="J932" t="s">
        <v>594</v>
      </c>
    </row>
    <row r="933" spans="1:10" x14ac:dyDescent="0.3">
      <c r="A933" t="s">
        <v>557</v>
      </c>
      <c r="B933" s="452">
        <v>46174</v>
      </c>
      <c r="C933" t="s">
        <v>4198</v>
      </c>
      <c r="D933" t="s">
        <v>4104</v>
      </c>
      <c r="E933" t="s">
        <v>4137</v>
      </c>
      <c r="F933">
        <v>2</v>
      </c>
      <c r="G933">
        <v>41.4</v>
      </c>
      <c r="H933" t="s">
        <v>4133</v>
      </c>
      <c r="J933" t="s">
        <v>594</v>
      </c>
    </row>
    <row r="934" spans="1:10" x14ac:dyDescent="0.3">
      <c r="A934" t="s">
        <v>557</v>
      </c>
      <c r="B934" s="452">
        <v>46174</v>
      </c>
      <c r="C934" t="s">
        <v>4158</v>
      </c>
      <c r="D934" t="s">
        <v>4104</v>
      </c>
      <c r="E934" t="s">
        <v>4137</v>
      </c>
      <c r="F934">
        <v>1</v>
      </c>
      <c r="G934">
        <v>13.5</v>
      </c>
      <c r="H934" t="s">
        <v>4133</v>
      </c>
      <c r="J934" t="s">
        <v>594</v>
      </c>
    </row>
    <row r="935" spans="1:10" x14ac:dyDescent="0.3">
      <c r="A935" t="s">
        <v>557</v>
      </c>
      <c r="B935" s="452">
        <v>46174</v>
      </c>
      <c r="C935" t="s">
        <v>4202</v>
      </c>
      <c r="D935" t="s">
        <v>4104</v>
      </c>
      <c r="E935" t="s">
        <v>4169</v>
      </c>
      <c r="F935">
        <v>22</v>
      </c>
      <c r="G935">
        <v>52.8</v>
      </c>
      <c r="H935" t="s">
        <v>4126</v>
      </c>
      <c r="J935" t="s">
        <v>594</v>
      </c>
    </row>
    <row r="936" spans="1:10" x14ac:dyDescent="0.3">
      <c r="A936" t="s">
        <v>557</v>
      </c>
      <c r="B936" s="452">
        <v>46174</v>
      </c>
      <c r="C936" t="s">
        <v>4160</v>
      </c>
      <c r="D936" t="s">
        <v>4104</v>
      </c>
      <c r="E936" t="s">
        <v>4144</v>
      </c>
      <c r="F936">
        <v>1</v>
      </c>
      <c r="G936">
        <v>10.5</v>
      </c>
      <c r="H936" t="s">
        <v>4126</v>
      </c>
      <c r="J936" t="s">
        <v>594</v>
      </c>
    </row>
    <row r="937" spans="1:10" x14ac:dyDescent="0.3">
      <c r="A937" t="s">
        <v>557</v>
      </c>
      <c r="B937" s="452">
        <v>46174</v>
      </c>
      <c r="C937" t="s">
        <v>4128</v>
      </c>
      <c r="D937" t="s">
        <v>4104</v>
      </c>
      <c r="E937" t="s">
        <v>4129</v>
      </c>
      <c r="F937">
        <v>4</v>
      </c>
      <c r="G937">
        <v>9</v>
      </c>
      <c r="H937" t="s">
        <v>4126</v>
      </c>
      <c r="J937" t="s">
        <v>594</v>
      </c>
    </row>
    <row r="938" spans="1:10" x14ac:dyDescent="0.3">
      <c r="A938" t="s">
        <v>557</v>
      </c>
      <c r="B938" s="452">
        <v>46174</v>
      </c>
      <c r="C938" t="s">
        <v>4127</v>
      </c>
      <c r="D938" t="s">
        <v>4104</v>
      </c>
      <c r="E938" t="s">
        <v>4125</v>
      </c>
      <c r="F938">
        <v>6</v>
      </c>
      <c r="G938">
        <v>14.4</v>
      </c>
      <c r="H938" t="s">
        <v>4126</v>
      </c>
      <c r="J938" t="s">
        <v>594</v>
      </c>
    </row>
    <row r="939" spans="1:10" x14ac:dyDescent="0.3">
      <c r="A939" t="s">
        <v>557</v>
      </c>
      <c r="B939" s="452">
        <v>46174</v>
      </c>
      <c r="C939" t="s">
        <v>4161</v>
      </c>
      <c r="D939" t="s">
        <v>4104</v>
      </c>
      <c r="E939" t="s">
        <v>4162</v>
      </c>
      <c r="F939">
        <v>1</v>
      </c>
      <c r="G939">
        <v>14.7</v>
      </c>
      <c r="H939" t="s">
        <v>4133</v>
      </c>
      <c r="J939" t="s">
        <v>594</v>
      </c>
    </row>
    <row r="940" spans="1:10" x14ac:dyDescent="0.3">
      <c r="A940" t="s">
        <v>557</v>
      </c>
      <c r="B940" s="452">
        <v>46174</v>
      </c>
      <c r="C940" t="s">
        <v>4163</v>
      </c>
      <c r="D940" t="s">
        <v>4104</v>
      </c>
      <c r="E940" t="s">
        <v>4149</v>
      </c>
      <c r="F940">
        <v>1</v>
      </c>
      <c r="G940">
        <v>30.9</v>
      </c>
      <c r="H940" t="s">
        <v>4133</v>
      </c>
      <c r="J940" t="s">
        <v>594</v>
      </c>
    </row>
    <row r="941" spans="1:10" x14ac:dyDescent="0.3">
      <c r="A941" t="s">
        <v>557</v>
      </c>
      <c r="B941" s="452">
        <v>46174</v>
      </c>
      <c r="C941" t="s">
        <v>4197</v>
      </c>
      <c r="D941" t="s">
        <v>4104</v>
      </c>
      <c r="E941" t="s">
        <v>4135</v>
      </c>
      <c r="F941">
        <v>3</v>
      </c>
      <c r="G941">
        <v>14.4</v>
      </c>
      <c r="H941" t="s">
        <v>4133</v>
      </c>
      <c r="J941" t="s">
        <v>594</v>
      </c>
    </row>
    <row r="942" spans="1:10" x14ac:dyDescent="0.3">
      <c r="A942" t="s">
        <v>557</v>
      </c>
      <c r="B942" s="452">
        <v>46174</v>
      </c>
      <c r="C942" t="s">
        <v>4140</v>
      </c>
      <c r="D942" t="s">
        <v>4104</v>
      </c>
      <c r="E942" t="s">
        <v>4129</v>
      </c>
      <c r="F942">
        <v>17</v>
      </c>
      <c r="G942">
        <v>38.25</v>
      </c>
      <c r="H942" t="s">
        <v>4126</v>
      </c>
      <c r="J942" t="s">
        <v>594</v>
      </c>
    </row>
    <row r="943" spans="1:10" x14ac:dyDescent="0.3">
      <c r="A943" t="s">
        <v>557</v>
      </c>
      <c r="B943" s="452">
        <v>46174</v>
      </c>
      <c r="C943" t="s">
        <v>4141</v>
      </c>
      <c r="D943" t="s">
        <v>4104</v>
      </c>
      <c r="E943" t="s">
        <v>4142</v>
      </c>
      <c r="F943">
        <v>43</v>
      </c>
      <c r="G943">
        <v>179.31</v>
      </c>
      <c r="H943" t="s">
        <v>4126</v>
      </c>
      <c r="J943" t="s">
        <v>594</v>
      </c>
    </row>
    <row r="944" spans="1:10" x14ac:dyDescent="0.3">
      <c r="A944" t="s">
        <v>557</v>
      </c>
      <c r="B944" s="452">
        <v>46174</v>
      </c>
      <c r="C944" t="s">
        <v>4143</v>
      </c>
      <c r="D944" t="s">
        <v>4104</v>
      </c>
      <c r="E944" t="s">
        <v>4144</v>
      </c>
      <c r="F944">
        <v>1</v>
      </c>
      <c r="G944">
        <v>10.8</v>
      </c>
      <c r="H944" t="s">
        <v>4126</v>
      </c>
      <c r="J944" t="s">
        <v>594</v>
      </c>
    </row>
    <row r="945" spans="1:10" x14ac:dyDescent="0.3">
      <c r="A945" t="s">
        <v>557</v>
      </c>
      <c r="B945" s="452">
        <v>46174</v>
      </c>
      <c r="C945" t="s">
        <v>4246</v>
      </c>
      <c r="D945" t="s">
        <v>4104</v>
      </c>
      <c r="E945" t="s">
        <v>4125</v>
      </c>
      <c r="F945">
        <v>1</v>
      </c>
      <c r="G945">
        <v>2.4</v>
      </c>
      <c r="H945" t="s">
        <v>4126</v>
      </c>
      <c r="J945" t="s">
        <v>594</v>
      </c>
    </row>
    <row r="946" spans="1:10" x14ac:dyDescent="0.3">
      <c r="A946" t="s">
        <v>557</v>
      </c>
      <c r="B946" s="452">
        <v>46174</v>
      </c>
      <c r="C946" t="s">
        <v>4145</v>
      </c>
      <c r="D946" t="s">
        <v>4104</v>
      </c>
      <c r="E946" t="s">
        <v>4125</v>
      </c>
      <c r="F946">
        <v>9</v>
      </c>
      <c r="G946">
        <v>21.6</v>
      </c>
      <c r="H946" t="s">
        <v>4126</v>
      </c>
      <c r="J946" t="s">
        <v>594</v>
      </c>
    </row>
    <row r="947" spans="1:10" x14ac:dyDescent="0.3">
      <c r="A947" t="s">
        <v>557</v>
      </c>
      <c r="B947" s="452">
        <v>46174</v>
      </c>
      <c r="C947" t="s">
        <v>4165</v>
      </c>
      <c r="D947" t="s">
        <v>4104</v>
      </c>
      <c r="E947" t="s">
        <v>4129</v>
      </c>
      <c r="F947">
        <v>2</v>
      </c>
      <c r="G947">
        <v>8.4</v>
      </c>
      <c r="H947" t="s">
        <v>4126</v>
      </c>
      <c r="J947" t="s">
        <v>594</v>
      </c>
    </row>
    <row r="948" spans="1:10" x14ac:dyDescent="0.3">
      <c r="A948" t="s">
        <v>557</v>
      </c>
      <c r="B948" s="452">
        <v>46174</v>
      </c>
      <c r="C948" t="s">
        <v>4146</v>
      </c>
      <c r="D948" t="s">
        <v>4104</v>
      </c>
      <c r="E948" t="s">
        <v>4129</v>
      </c>
      <c r="F948">
        <v>4</v>
      </c>
      <c r="G948">
        <v>16.8</v>
      </c>
      <c r="H948" t="s">
        <v>4126</v>
      </c>
      <c r="J948" t="s">
        <v>594</v>
      </c>
    </row>
    <row r="949" spans="1:10" x14ac:dyDescent="0.3">
      <c r="A949" t="s">
        <v>557</v>
      </c>
      <c r="B949" s="452">
        <v>46174</v>
      </c>
      <c r="C949" t="s">
        <v>4147</v>
      </c>
      <c r="D949" t="s">
        <v>4104</v>
      </c>
      <c r="E949" t="s">
        <v>4125</v>
      </c>
      <c r="F949">
        <v>2</v>
      </c>
      <c r="G949">
        <v>4.8</v>
      </c>
      <c r="H949" t="s">
        <v>4126</v>
      </c>
      <c r="J949" t="s">
        <v>594</v>
      </c>
    </row>
    <row r="950" spans="1:10" x14ac:dyDescent="0.3">
      <c r="A950" t="s">
        <v>557</v>
      </c>
      <c r="B950" s="452">
        <v>46174</v>
      </c>
      <c r="C950" t="s">
        <v>4208</v>
      </c>
      <c r="D950" t="s">
        <v>4104</v>
      </c>
      <c r="E950" t="s">
        <v>4129</v>
      </c>
      <c r="F950">
        <v>4</v>
      </c>
      <c r="G950">
        <v>16.8</v>
      </c>
      <c r="H950" t="s">
        <v>4126</v>
      </c>
      <c r="J950" t="s">
        <v>594</v>
      </c>
    </row>
    <row r="951" spans="1:10" x14ac:dyDescent="0.3">
      <c r="A951" t="s">
        <v>557</v>
      </c>
      <c r="B951" s="452">
        <v>46174</v>
      </c>
      <c r="C951" t="s">
        <v>4124</v>
      </c>
      <c r="D951" t="s">
        <v>4104</v>
      </c>
      <c r="E951" t="s">
        <v>4125</v>
      </c>
      <c r="F951">
        <v>6</v>
      </c>
      <c r="G951">
        <v>14.4</v>
      </c>
      <c r="H951" t="s">
        <v>4126</v>
      </c>
      <c r="J951" t="s">
        <v>594</v>
      </c>
    </row>
    <row r="952" spans="1:10" x14ac:dyDescent="0.3">
      <c r="A952" t="s">
        <v>557</v>
      </c>
      <c r="B952" s="452">
        <v>46174</v>
      </c>
      <c r="C952" t="s">
        <v>4219</v>
      </c>
      <c r="D952" t="s">
        <v>4104</v>
      </c>
      <c r="E952" t="s">
        <v>4125</v>
      </c>
      <c r="F952">
        <v>1</v>
      </c>
      <c r="G952">
        <v>6</v>
      </c>
      <c r="H952" t="s">
        <v>4126</v>
      </c>
      <c r="J952" t="s">
        <v>594</v>
      </c>
    </row>
    <row r="953" spans="1:10" x14ac:dyDescent="0.3">
      <c r="A953" t="s">
        <v>557</v>
      </c>
      <c r="B953" s="452">
        <v>46174</v>
      </c>
      <c r="C953" t="s">
        <v>4136</v>
      </c>
      <c r="D953" t="s">
        <v>4104</v>
      </c>
      <c r="E953" t="s">
        <v>4137</v>
      </c>
      <c r="F953">
        <v>2</v>
      </c>
      <c r="G953">
        <v>23.4</v>
      </c>
      <c r="H953" t="s">
        <v>4133</v>
      </c>
      <c r="J953" t="s">
        <v>594</v>
      </c>
    </row>
    <row r="954" spans="1:10" x14ac:dyDescent="0.3">
      <c r="A954" t="s">
        <v>557</v>
      </c>
      <c r="B954" s="452">
        <v>46174</v>
      </c>
      <c r="C954" t="s">
        <v>4211</v>
      </c>
      <c r="D954" t="s">
        <v>4104</v>
      </c>
      <c r="E954" t="s">
        <v>4162</v>
      </c>
      <c r="F954">
        <v>2</v>
      </c>
      <c r="G954">
        <v>28.2</v>
      </c>
      <c r="H954" t="s">
        <v>4133</v>
      </c>
      <c r="J954" t="s">
        <v>594</v>
      </c>
    </row>
    <row r="955" spans="1:10" x14ac:dyDescent="0.3">
      <c r="A955" t="s">
        <v>557</v>
      </c>
      <c r="B955" s="452">
        <v>46174</v>
      </c>
      <c r="C955" t="s">
        <v>4209</v>
      </c>
      <c r="D955" t="s">
        <v>4104</v>
      </c>
      <c r="E955" t="s">
        <v>4193</v>
      </c>
      <c r="F955">
        <v>10</v>
      </c>
      <c r="G955">
        <v>147</v>
      </c>
      <c r="H955" t="s">
        <v>4133</v>
      </c>
      <c r="J955" t="s">
        <v>594</v>
      </c>
    </row>
    <row r="956" spans="1:10" x14ac:dyDescent="0.3">
      <c r="A956" t="s">
        <v>557</v>
      </c>
      <c r="B956" s="452">
        <v>46174</v>
      </c>
      <c r="C956" t="s">
        <v>4164</v>
      </c>
      <c r="D956" t="s">
        <v>4104</v>
      </c>
      <c r="E956" t="s">
        <v>4137</v>
      </c>
      <c r="F956">
        <v>1</v>
      </c>
      <c r="G956">
        <v>11.7</v>
      </c>
      <c r="H956" t="s">
        <v>4133</v>
      </c>
      <c r="J956" t="s">
        <v>594</v>
      </c>
    </row>
    <row r="957" spans="1:10" x14ac:dyDescent="0.3">
      <c r="A957" t="s">
        <v>557</v>
      </c>
      <c r="B957" s="452">
        <v>46174</v>
      </c>
      <c r="C957" t="s">
        <v>4210</v>
      </c>
      <c r="D957" t="s">
        <v>4104</v>
      </c>
      <c r="E957" t="s">
        <v>4149</v>
      </c>
      <c r="F957">
        <v>1</v>
      </c>
      <c r="G957">
        <v>25.2</v>
      </c>
      <c r="H957" t="s">
        <v>4133</v>
      </c>
      <c r="J957" t="s">
        <v>594</v>
      </c>
    </row>
    <row r="958" spans="1:10" x14ac:dyDescent="0.3">
      <c r="A958" t="s">
        <v>557</v>
      </c>
      <c r="B958" s="452">
        <v>46174</v>
      </c>
      <c r="C958" t="s">
        <v>4306</v>
      </c>
      <c r="D958" t="s">
        <v>4104</v>
      </c>
      <c r="E958" t="s">
        <v>4304</v>
      </c>
      <c r="F958">
        <v>1</v>
      </c>
      <c r="G958">
        <v>9.6</v>
      </c>
      <c r="H958" t="s">
        <v>4126</v>
      </c>
      <c r="J958" t="s">
        <v>594</v>
      </c>
    </row>
    <row r="959" spans="1:10" x14ac:dyDescent="0.3">
      <c r="A959" t="s">
        <v>557</v>
      </c>
      <c r="B959" s="452">
        <v>46174</v>
      </c>
      <c r="C959" t="s">
        <v>4337</v>
      </c>
      <c r="D959" t="s">
        <v>4105</v>
      </c>
      <c r="E959" t="s">
        <v>4338</v>
      </c>
      <c r="F959">
        <v>1</v>
      </c>
      <c r="G959">
        <v>7.5</v>
      </c>
      <c r="J959" t="s">
        <v>594</v>
      </c>
    </row>
    <row r="960" spans="1:10" x14ac:dyDescent="0.3">
      <c r="A960" t="s">
        <v>557</v>
      </c>
      <c r="B960" s="452">
        <v>46174</v>
      </c>
      <c r="C960" t="s">
        <v>4273</v>
      </c>
      <c r="D960" t="s">
        <v>4105</v>
      </c>
      <c r="E960" t="s">
        <v>4277</v>
      </c>
      <c r="F960">
        <v>1</v>
      </c>
      <c r="G960">
        <v>10.199999999999999</v>
      </c>
      <c r="H960" t="s">
        <v>4126</v>
      </c>
      <c r="J960" t="s">
        <v>594</v>
      </c>
    </row>
    <row r="961" spans="1:10" x14ac:dyDescent="0.3">
      <c r="A961" t="s">
        <v>557</v>
      </c>
      <c r="B961" s="452">
        <v>46174</v>
      </c>
      <c r="C961" t="s">
        <v>4216</v>
      </c>
      <c r="D961" t="s">
        <v>4105</v>
      </c>
      <c r="E961" t="s">
        <v>4149</v>
      </c>
      <c r="F961">
        <v>1</v>
      </c>
      <c r="G961">
        <v>33.9</v>
      </c>
      <c r="H961" t="s">
        <v>4133</v>
      </c>
      <c r="J961" t="s">
        <v>594</v>
      </c>
    </row>
    <row r="962" spans="1:10" x14ac:dyDescent="0.3">
      <c r="A962" t="s">
        <v>557</v>
      </c>
      <c r="B962" s="452">
        <v>46174</v>
      </c>
      <c r="C962" t="s">
        <v>4194</v>
      </c>
      <c r="D962" t="s">
        <v>4105</v>
      </c>
      <c r="E962" t="s">
        <v>4129</v>
      </c>
      <c r="F962">
        <v>8</v>
      </c>
      <c r="G962">
        <v>43.2</v>
      </c>
      <c r="H962" t="s">
        <v>4126</v>
      </c>
      <c r="J962" t="s">
        <v>594</v>
      </c>
    </row>
    <row r="963" spans="1:10" x14ac:dyDescent="0.3">
      <c r="A963" t="s">
        <v>557</v>
      </c>
      <c r="B963" s="452">
        <v>46174</v>
      </c>
      <c r="C963" t="s">
        <v>4259</v>
      </c>
      <c r="D963" t="s">
        <v>4105</v>
      </c>
      <c r="E963" t="s">
        <v>4137</v>
      </c>
      <c r="F963">
        <v>1</v>
      </c>
      <c r="G963">
        <v>19.5</v>
      </c>
      <c r="H963" t="s">
        <v>4133</v>
      </c>
      <c r="J963" t="s">
        <v>594</v>
      </c>
    </row>
    <row r="964" spans="1:10" x14ac:dyDescent="0.3">
      <c r="A964" t="s">
        <v>557</v>
      </c>
      <c r="B964" s="452">
        <v>46174</v>
      </c>
      <c r="C964" t="s">
        <v>4339</v>
      </c>
      <c r="D964" t="s">
        <v>4105</v>
      </c>
      <c r="E964" t="s">
        <v>4329</v>
      </c>
      <c r="F964">
        <v>1</v>
      </c>
      <c r="G964">
        <v>10.199999999999999</v>
      </c>
      <c r="H964" t="s">
        <v>4126</v>
      </c>
      <c r="J964" t="s">
        <v>594</v>
      </c>
    </row>
    <row r="965" spans="1:10" x14ac:dyDescent="0.3">
      <c r="A965" t="s">
        <v>557</v>
      </c>
      <c r="B965" s="452">
        <v>46174</v>
      </c>
      <c r="C965" t="s">
        <v>4196</v>
      </c>
      <c r="D965" t="s">
        <v>4105</v>
      </c>
      <c r="E965" t="s">
        <v>4184</v>
      </c>
      <c r="F965">
        <v>16</v>
      </c>
      <c r="G965">
        <v>345.12</v>
      </c>
      <c r="H965" t="s">
        <v>4133</v>
      </c>
      <c r="J965" t="s">
        <v>594</v>
      </c>
    </row>
    <row r="966" spans="1:10" x14ac:dyDescent="0.3">
      <c r="A966" t="s">
        <v>557</v>
      </c>
      <c r="B966" s="452">
        <v>46174</v>
      </c>
      <c r="C966" t="s">
        <v>4154</v>
      </c>
      <c r="D966" t="s">
        <v>4105</v>
      </c>
      <c r="E966" t="s">
        <v>4137</v>
      </c>
      <c r="F966">
        <v>3</v>
      </c>
      <c r="G966">
        <v>24.3</v>
      </c>
      <c r="H966" t="s">
        <v>4133</v>
      </c>
      <c r="J966" t="s">
        <v>594</v>
      </c>
    </row>
    <row r="967" spans="1:10" x14ac:dyDescent="0.3">
      <c r="A967" t="s">
        <v>557</v>
      </c>
      <c r="B967" s="452">
        <v>46174</v>
      </c>
      <c r="C967" t="s">
        <v>4340</v>
      </c>
      <c r="D967" t="s">
        <v>4105</v>
      </c>
      <c r="E967" t="s">
        <v>4341</v>
      </c>
      <c r="F967">
        <v>1</v>
      </c>
      <c r="G967">
        <v>5.4</v>
      </c>
      <c r="H967" t="s">
        <v>4126</v>
      </c>
      <c r="J967" t="s">
        <v>594</v>
      </c>
    </row>
    <row r="968" spans="1:10" x14ac:dyDescent="0.3">
      <c r="A968" t="s">
        <v>557</v>
      </c>
      <c r="B968" s="452">
        <v>46174</v>
      </c>
      <c r="C968" t="s">
        <v>4186</v>
      </c>
      <c r="D968" t="s">
        <v>4105</v>
      </c>
      <c r="E968" t="s">
        <v>4137</v>
      </c>
      <c r="F968">
        <v>3</v>
      </c>
      <c r="G968">
        <v>37.799999999999997</v>
      </c>
      <c r="H968" t="s">
        <v>4133</v>
      </c>
      <c r="J968" t="s">
        <v>594</v>
      </c>
    </row>
    <row r="969" spans="1:10" x14ac:dyDescent="0.3">
      <c r="A969" t="s">
        <v>557</v>
      </c>
      <c r="B969" s="452">
        <v>46174</v>
      </c>
      <c r="C969" t="s">
        <v>4151</v>
      </c>
      <c r="D969" t="s">
        <v>4105</v>
      </c>
      <c r="E969" t="s">
        <v>4144</v>
      </c>
      <c r="F969">
        <v>3</v>
      </c>
      <c r="G969">
        <v>34.200000000000003</v>
      </c>
      <c r="H969" t="s">
        <v>4126</v>
      </c>
      <c r="J969" t="s">
        <v>594</v>
      </c>
    </row>
    <row r="970" spans="1:10" x14ac:dyDescent="0.3">
      <c r="A970" t="s">
        <v>557</v>
      </c>
      <c r="B970" s="452">
        <v>46174</v>
      </c>
      <c r="C970" t="s">
        <v>4293</v>
      </c>
      <c r="D970" t="s">
        <v>4105</v>
      </c>
      <c r="E970" t="s">
        <v>4129</v>
      </c>
      <c r="F970">
        <v>2</v>
      </c>
      <c r="G970">
        <v>4.5</v>
      </c>
      <c r="H970" t="s">
        <v>4126</v>
      </c>
      <c r="J970" t="s">
        <v>594</v>
      </c>
    </row>
    <row r="971" spans="1:10" x14ac:dyDescent="0.3">
      <c r="A971" t="s">
        <v>557</v>
      </c>
      <c r="B971" s="452">
        <v>46174</v>
      </c>
      <c r="C971" t="s">
        <v>4185</v>
      </c>
      <c r="D971" t="s">
        <v>4105</v>
      </c>
      <c r="E971" t="s">
        <v>4144</v>
      </c>
      <c r="F971">
        <v>3</v>
      </c>
      <c r="G971">
        <v>34.200000000000003</v>
      </c>
      <c r="H971" t="s">
        <v>4126</v>
      </c>
      <c r="J971" t="s">
        <v>594</v>
      </c>
    </row>
    <row r="972" spans="1:10" x14ac:dyDescent="0.3">
      <c r="A972" t="s">
        <v>557</v>
      </c>
      <c r="B972" s="452">
        <v>46174</v>
      </c>
      <c r="C972" t="s">
        <v>4239</v>
      </c>
      <c r="D972" t="s">
        <v>4105</v>
      </c>
      <c r="E972" t="s">
        <v>4149</v>
      </c>
      <c r="F972">
        <v>1</v>
      </c>
      <c r="G972">
        <v>41.7</v>
      </c>
      <c r="H972" t="s">
        <v>4133</v>
      </c>
      <c r="J972" t="s">
        <v>594</v>
      </c>
    </row>
    <row r="973" spans="1:10" x14ac:dyDescent="0.3">
      <c r="A973" t="s">
        <v>557</v>
      </c>
      <c r="B973" s="452">
        <v>46174</v>
      </c>
      <c r="C973" t="s">
        <v>4179</v>
      </c>
      <c r="D973" t="s">
        <v>4105</v>
      </c>
      <c r="E973" t="s">
        <v>4135</v>
      </c>
      <c r="F973">
        <v>1</v>
      </c>
      <c r="G973">
        <v>3.6</v>
      </c>
      <c r="H973" t="s">
        <v>4133</v>
      </c>
      <c r="J973" t="s">
        <v>594</v>
      </c>
    </row>
    <row r="974" spans="1:10" x14ac:dyDescent="0.3">
      <c r="A974" t="s">
        <v>557</v>
      </c>
      <c r="B974" s="452">
        <v>46174</v>
      </c>
      <c r="C974" t="s">
        <v>4187</v>
      </c>
      <c r="D974" t="s">
        <v>4105</v>
      </c>
      <c r="E974" t="s">
        <v>4135</v>
      </c>
      <c r="F974">
        <v>7</v>
      </c>
      <c r="G974">
        <v>24.15</v>
      </c>
      <c r="H974" t="s">
        <v>4133</v>
      </c>
      <c r="J974" t="s">
        <v>594</v>
      </c>
    </row>
    <row r="975" spans="1:10" x14ac:dyDescent="0.3">
      <c r="A975" t="s">
        <v>557</v>
      </c>
      <c r="B975" s="452">
        <v>46174</v>
      </c>
      <c r="C975" t="s">
        <v>4188</v>
      </c>
      <c r="D975" t="s">
        <v>4105</v>
      </c>
      <c r="E975" t="s">
        <v>4137</v>
      </c>
      <c r="F975">
        <v>4</v>
      </c>
      <c r="G975">
        <v>34.799999999999997</v>
      </c>
      <c r="H975" t="s">
        <v>4133</v>
      </c>
      <c r="J975" t="s">
        <v>594</v>
      </c>
    </row>
    <row r="976" spans="1:10" x14ac:dyDescent="0.3">
      <c r="A976" t="s">
        <v>557</v>
      </c>
      <c r="B976" s="452">
        <v>46174</v>
      </c>
      <c r="C976" t="s">
        <v>4189</v>
      </c>
      <c r="D976" t="s">
        <v>4105</v>
      </c>
      <c r="E976" t="s">
        <v>4190</v>
      </c>
      <c r="F976">
        <v>6</v>
      </c>
      <c r="G976">
        <v>81</v>
      </c>
      <c r="H976" t="s">
        <v>4133</v>
      </c>
      <c r="J976" t="s">
        <v>594</v>
      </c>
    </row>
    <row r="977" spans="1:10" x14ac:dyDescent="0.3">
      <c r="A977" t="s">
        <v>557</v>
      </c>
      <c r="B977" s="452">
        <v>46174</v>
      </c>
      <c r="C977" t="s">
        <v>4240</v>
      </c>
      <c r="D977" t="s">
        <v>4105</v>
      </c>
      <c r="E977" t="s">
        <v>4241</v>
      </c>
      <c r="F977">
        <v>11</v>
      </c>
      <c r="G977">
        <v>55.77</v>
      </c>
      <c r="H977" t="s">
        <v>4126</v>
      </c>
      <c r="J977" t="s">
        <v>594</v>
      </c>
    </row>
    <row r="978" spans="1:10" x14ac:dyDescent="0.3">
      <c r="A978" t="s">
        <v>557</v>
      </c>
      <c r="B978" s="452">
        <v>46174</v>
      </c>
      <c r="C978" t="s">
        <v>4261</v>
      </c>
      <c r="D978" t="s">
        <v>4105</v>
      </c>
      <c r="E978" t="s">
        <v>4135</v>
      </c>
      <c r="F978">
        <v>1</v>
      </c>
      <c r="G978">
        <v>4.95</v>
      </c>
      <c r="H978" t="s">
        <v>4133</v>
      </c>
      <c r="J978" t="s">
        <v>594</v>
      </c>
    </row>
    <row r="979" spans="1:10" x14ac:dyDescent="0.3">
      <c r="A979" t="s">
        <v>557</v>
      </c>
      <c r="B979" s="452">
        <v>46174</v>
      </c>
      <c r="C979" t="s">
        <v>4171</v>
      </c>
      <c r="D979" t="s">
        <v>4105</v>
      </c>
      <c r="E979" t="s">
        <v>4149</v>
      </c>
      <c r="F979">
        <v>2</v>
      </c>
      <c r="G979">
        <v>124.2</v>
      </c>
      <c r="J979" t="s">
        <v>594</v>
      </c>
    </row>
    <row r="980" spans="1:10" x14ac:dyDescent="0.3">
      <c r="A980" t="s">
        <v>557</v>
      </c>
      <c r="B980" s="452">
        <v>46174</v>
      </c>
      <c r="C980" t="s">
        <v>4191</v>
      </c>
      <c r="D980" t="s">
        <v>4105</v>
      </c>
      <c r="E980" t="s">
        <v>4135</v>
      </c>
      <c r="F980">
        <v>1</v>
      </c>
      <c r="G980">
        <v>5.7</v>
      </c>
      <c r="H980" t="s">
        <v>4133</v>
      </c>
      <c r="J980" t="s">
        <v>594</v>
      </c>
    </row>
    <row r="981" spans="1:10" x14ac:dyDescent="0.3">
      <c r="A981" t="s">
        <v>557</v>
      </c>
      <c r="B981" s="452">
        <v>46174</v>
      </c>
      <c r="C981" t="s">
        <v>4342</v>
      </c>
      <c r="D981" t="s">
        <v>4105</v>
      </c>
      <c r="E981" t="s">
        <v>4331</v>
      </c>
      <c r="F981">
        <v>5</v>
      </c>
      <c r="G981">
        <v>150</v>
      </c>
      <c r="H981" t="s">
        <v>4126</v>
      </c>
      <c r="J981" t="s">
        <v>594</v>
      </c>
    </row>
    <row r="982" spans="1:10" x14ac:dyDescent="0.3">
      <c r="A982" t="s">
        <v>557</v>
      </c>
      <c r="B982" s="452">
        <v>46174</v>
      </c>
      <c r="C982" t="s">
        <v>4343</v>
      </c>
      <c r="D982" t="s">
        <v>4105</v>
      </c>
      <c r="E982" t="s">
        <v>4333</v>
      </c>
      <c r="F982">
        <v>4</v>
      </c>
      <c r="G982">
        <v>103.2</v>
      </c>
      <c r="H982" t="s">
        <v>4133</v>
      </c>
      <c r="J982" t="s">
        <v>594</v>
      </c>
    </row>
    <row r="983" spans="1:10" x14ac:dyDescent="0.3">
      <c r="A983" t="s">
        <v>557</v>
      </c>
      <c r="B983" s="452">
        <v>46174</v>
      </c>
      <c r="C983" t="s">
        <v>4152</v>
      </c>
      <c r="D983" t="s">
        <v>4105</v>
      </c>
      <c r="E983" t="s">
        <v>4129</v>
      </c>
      <c r="F983">
        <v>3</v>
      </c>
      <c r="G983">
        <v>12.6</v>
      </c>
      <c r="H983" t="s">
        <v>4126</v>
      </c>
      <c r="J983" t="s">
        <v>594</v>
      </c>
    </row>
    <row r="984" spans="1:10" x14ac:dyDescent="0.3">
      <c r="A984" t="s">
        <v>557</v>
      </c>
      <c r="B984" s="452">
        <v>46174</v>
      </c>
      <c r="C984" t="s">
        <v>4192</v>
      </c>
      <c r="D984" t="s">
        <v>4105</v>
      </c>
      <c r="E984" t="s">
        <v>4193</v>
      </c>
      <c r="F984">
        <v>6</v>
      </c>
      <c r="G984">
        <v>100.8</v>
      </c>
      <c r="H984" t="s">
        <v>4133</v>
      </c>
      <c r="J984" t="s">
        <v>594</v>
      </c>
    </row>
    <row r="985" spans="1:10" x14ac:dyDescent="0.3">
      <c r="A985" t="s">
        <v>557</v>
      </c>
      <c r="B985" s="452">
        <v>46174</v>
      </c>
      <c r="C985" t="s">
        <v>4173</v>
      </c>
      <c r="D985" t="s">
        <v>4105</v>
      </c>
      <c r="E985" t="s">
        <v>4174</v>
      </c>
      <c r="F985">
        <v>3</v>
      </c>
      <c r="G985">
        <v>39.6</v>
      </c>
      <c r="H985" t="s">
        <v>4126</v>
      </c>
      <c r="J985" t="s">
        <v>594</v>
      </c>
    </row>
    <row r="986" spans="1:10" x14ac:dyDescent="0.3">
      <c r="A986" t="s">
        <v>557</v>
      </c>
      <c r="B986" s="452">
        <v>46174</v>
      </c>
      <c r="C986" t="s">
        <v>4153</v>
      </c>
      <c r="D986" t="s">
        <v>4105</v>
      </c>
      <c r="E986" t="s">
        <v>4149</v>
      </c>
      <c r="F986">
        <v>1</v>
      </c>
      <c r="G986">
        <v>97.2</v>
      </c>
      <c r="H986" t="s">
        <v>4133</v>
      </c>
      <c r="J986" t="s">
        <v>594</v>
      </c>
    </row>
    <row r="987" spans="1:10" x14ac:dyDescent="0.3">
      <c r="A987" t="s">
        <v>557</v>
      </c>
      <c r="B987" s="452">
        <v>46174</v>
      </c>
      <c r="C987" t="s">
        <v>4175</v>
      </c>
      <c r="D987" t="s">
        <v>4105</v>
      </c>
      <c r="E987" t="s">
        <v>4149</v>
      </c>
      <c r="F987">
        <v>3</v>
      </c>
      <c r="G987">
        <v>71.099999999999994</v>
      </c>
      <c r="H987" t="s">
        <v>4133</v>
      </c>
      <c r="J987" t="s">
        <v>594</v>
      </c>
    </row>
    <row r="988" spans="1:10" x14ac:dyDescent="0.3">
      <c r="A988" t="s">
        <v>557</v>
      </c>
      <c r="B988" s="452">
        <v>46174</v>
      </c>
      <c r="C988" t="s">
        <v>4236</v>
      </c>
      <c r="D988" t="s">
        <v>4105</v>
      </c>
      <c r="E988" t="s">
        <v>4237</v>
      </c>
      <c r="F988">
        <v>3</v>
      </c>
      <c r="G988">
        <v>0</v>
      </c>
      <c r="H988" t="s">
        <v>4126</v>
      </c>
      <c r="J988" t="s">
        <v>594</v>
      </c>
    </row>
    <row r="989" spans="1:10" x14ac:dyDescent="0.3">
      <c r="A989" t="s">
        <v>557</v>
      </c>
      <c r="B989" s="452">
        <v>46174</v>
      </c>
      <c r="C989" t="s">
        <v>4215</v>
      </c>
      <c r="D989" t="s">
        <v>4105</v>
      </c>
      <c r="E989" t="s">
        <v>4137</v>
      </c>
      <c r="F989">
        <v>1</v>
      </c>
      <c r="G989">
        <v>19.5</v>
      </c>
      <c r="H989" t="s">
        <v>4133</v>
      </c>
      <c r="J989" t="s">
        <v>594</v>
      </c>
    </row>
    <row r="990" spans="1:10" x14ac:dyDescent="0.3">
      <c r="A990" t="s">
        <v>557</v>
      </c>
      <c r="B990" s="452">
        <v>46174</v>
      </c>
      <c r="C990" t="s">
        <v>4214</v>
      </c>
      <c r="D990" t="s">
        <v>4105</v>
      </c>
      <c r="E990" t="s">
        <v>4137</v>
      </c>
      <c r="F990">
        <v>10</v>
      </c>
      <c r="G990">
        <v>207</v>
      </c>
      <c r="H990" t="s">
        <v>4133</v>
      </c>
      <c r="J990" t="s">
        <v>594</v>
      </c>
    </row>
    <row r="991" spans="1:10" x14ac:dyDescent="0.3">
      <c r="A991" t="s">
        <v>557</v>
      </c>
      <c r="B991" s="452">
        <v>46174</v>
      </c>
      <c r="C991" t="s">
        <v>4344</v>
      </c>
      <c r="D991" t="s">
        <v>4105</v>
      </c>
      <c r="E991" t="s">
        <v>4321</v>
      </c>
      <c r="F991">
        <v>2</v>
      </c>
      <c r="G991">
        <v>18</v>
      </c>
      <c r="J991" t="s">
        <v>594</v>
      </c>
    </row>
    <row r="992" spans="1:10" x14ac:dyDescent="0.3">
      <c r="A992" t="s">
        <v>557</v>
      </c>
      <c r="B992" s="452">
        <v>46174</v>
      </c>
      <c r="C992" t="s">
        <v>4182</v>
      </c>
      <c r="D992" t="s">
        <v>4105</v>
      </c>
      <c r="E992" t="s">
        <v>4135</v>
      </c>
      <c r="F992">
        <v>7</v>
      </c>
      <c r="G992">
        <v>58.8</v>
      </c>
      <c r="H992" t="s">
        <v>4133</v>
      </c>
      <c r="J992" t="s">
        <v>594</v>
      </c>
    </row>
    <row r="993" spans="1:10" x14ac:dyDescent="0.3">
      <c r="A993" t="s">
        <v>557</v>
      </c>
      <c r="B993" s="452">
        <v>46174</v>
      </c>
      <c r="C993" t="s">
        <v>4345</v>
      </c>
      <c r="D993" t="s">
        <v>4105</v>
      </c>
      <c r="E993" t="s">
        <v>4329</v>
      </c>
      <c r="F993">
        <v>1</v>
      </c>
      <c r="G993">
        <v>10.199999999999999</v>
      </c>
      <c r="H993" t="s">
        <v>4126</v>
      </c>
      <c r="J993" t="s">
        <v>594</v>
      </c>
    </row>
    <row r="994" spans="1:10" x14ac:dyDescent="0.3">
      <c r="A994" t="s">
        <v>557</v>
      </c>
      <c r="B994" s="452">
        <v>46174</v>
      </c>
      <c r="C994" t="s">
        <v>4181</v>
      </c>
      <c r="D994" t="s">
        <v>4105</v>
      </c>
      <c r="E994" t="s">
        <v>4149</v>
      </c>
      <c r="F994">
        <v>2</v>
      </c>
      <c r="G994">
        <v>91.5</v>
      </c>
      <c r="J994" t="s">
        <v>594</v>
      </c>
    </row>
    <row r="995" spans="1:10" x14ac:dyDescent="0.3">
      <c r="A995" t="s">
        <v>557</v>
      </c>
      <c r="B995" s="452">
        <v>46174</v>
      </c>
      <c r="C995" t="s">
        <v>4170</v>
      </c>
      <c r="D995" t="s">
        <v>4105</v>
      </c>
      <c r="E995" t="s">
        <v>4139</v>
      </c>
      <c r="F995">
        <v>5</v>
      </c>
      <c r="G995">
        <v>43.5</v>
      </c>
      <c r="H995" t="s">
        <v>4133</v>
      </c>
      <c r="J995" t="s">
        <v>594</v>
      </c>
    </row>
    <row r="996" spans="1:10" x14ac:dyDescent="0.3">
      <c r="A996" t="s">
        <v>557</v>
      </c>
      <c r="B996" s="452">
        <v>46174</v>
      </c>
      <c r="C996" t="s">
        <v>4235</v>
      </c>
      <c r="D996" t="s">
        <v>4105</v>
      </c>
      <c r="E996" t="s">
        <v>4139</v>
      </c>
      <c r="F996">
        <v>2</v>
      </c>
      <c r="G996">
        <v>21.6</v>
      </c>
      <c r="H996" t="s">
        <v>4133</v>
      </c>
      <c r="J996" t="s">
        <v>594</v>
      </c>
    </row>
    <row r="997" spans="1:10" x14ac:dyDescent="0.3">
      <c r="A997" t="s">
        <v>557</v>
      </c>
      <c r="B997" s="452">
        <v>46174</v>
      </c>
      <c r="C997" t="s">
        <v>4226</v>
      </c>
      <c r="D997" t="s">
        <v>4105</v>
      </c>
      <c r="E997" t="s">
        <v>4227</v>
      </c>
      <c r="F997">
        <v>10</v>
      </c>
      <c r="G997">
        <v>54</v>
      </c>
      <c r="H997" t="s">
        <v>4126</v>
      </c>
      <c r="J997" t="s">
        <v>594</v>
      </c>
    </row>
    <row r="998" spans="1:10" x14ac:dyDescent="0.3">
      <c r="A998" t="s">
        <v>557</v>
      </c>
      <c r="B998" s="452">
        <v>46174</v>
      </c>
      <c r="C998" t="s">
        <v>4180</v>
      </c>
      <c r="D998" t="s">
        <v>4105</v>
      </c>
      <c r="E998" t="s">
        <v>4137</v>
      </c>
      <c r="F998">
        <v>2</v>
      </c>
      <c r="G998">
        <v>27</v>
      </c>
      <c r="H998" t="s">
        <v>4133</v>
      </c>
      <c r="J998" t="s">
        <v>594</v>
      </c>
    </row>
    <row r="999" spans="1:10" x14ac:dyDescent="0.3">
      <c r="A999" t="s">
        <v>557</v>
      </c>
      <c r="B999" s="452">
        <v>46174</v>
      </c>
      <c r="C999" t="s">
        <v>4183</v>
      </c>
      <c r="D999" t="s">
        <v>4105</v>
      </c>
      <c r="E999" t="s">
        <v>4184</v>
      </c>
      <c r="F999">
        <v>3</v>
      </c>
      <c r="G999">
        <v>58.41</v>
      </c>
      <c r="H999" t="s">
        <v>4133</v>
      </c>
      <c r="J999" t="s">
        <v>594</v>
      </c>
    </row>
    <row r="1000" spans="1:10" x14ac:dyDescent="0.3">
      <c r="A1000" t="s">
        <v>557</v>
      </c>
      <c r="B1000" s="452">
        <v>46174</v>
      </c>
      <c r="C1000" t="s">
        <v>4285</v>
      </c>
      <c r="D1000" t="s">
        <v>4105</v>
      </c>
      <c r="E1000" t="s">
        <v>4277</v>
      </c>
      <c r="F1000">
        <v>1</v>
      </c>
      <c r="G1000">
        <v>10.199999999999999</v>
      </c>
      <c r="H1000" t="s">
        <v>4126</v>
      </c>
      <c r="J1000" t="s">
        <v>594</v>
      </c>
    </row>
    <row r="1001" spans="1:10" x14ac:dyDescent="0.3">
      <c r="A1001" t="s">
        <v>557</v>
      </c>
      <c r="B1001" s="452">
        <v>46174</v>
      </c>
      <c r="C1001" t="s">
        <v>4346</v>
      </c>
      <c r="D1001" t="s">
        <v>4105</v>
      </c>
      <c r="E1001" t="s">
        <v>4336</v>
      </c>
      <c r="F1001">
        <v>2</v>
      </c>
      <c r="G1001">
        <v>0</v>
      </c>
      <c r="H1001" t="s">
        <v>4133</v>
      </c>
      <c r="J1001" t="s">
        <v>594</v>
      </c>
    </row>
    <row r="1002" spans="1:10" x14ac:dyDescent="0.3">
      <c r="A1002" t="s">
        <v>557</v>
      </c>
      <c r="B1002" s="452">
        <v>46174</v>
      </c>
      <c r="C1002" t="s">
        <v>4238</v>
      </c>
      <c r="D1002" t="s">
        <v>4105</v>
      </c>
      <c r="E1002" t="s">
        <v>4149</v>
      </c>
      <c r="F1002">
        <v>1</v>
      </c>
      <c r="G1002">
        <v>59.1</v>
      </c>
      <c r="J1002" t="s">
        <v>594</v>
      </c>
    </row>
    <row r="1003" spans="1:10" x14ac:dyDescent="0.3">
      <c r="A1003" t="s">
        <v>557</v>
      </c>
      <c r="B1003" s="452">
        <v>46174</v>
      </c>
      <c r="C1003" t="s">
        <v>4335</v>
      </c>
      <c r="D1003" t="s">
        <v>4105</v>
      </c>
      <c r="E1003" t="s">
        <v>4336</v>
      </c>
      <c r="F1003">
        <v>3</v>
      </c>
      <c r="G1003">
        <v>19.8</v>
      </c>
      <c r="H1003" t="s">
        <v>4133</v>
      </c>
      <c r="J1003" t="s">
        <v>594</v>
      </c>
    </row>
    <row r="1004" spans="1:10" x14ac:dyDescent="0.3">
      <c r="A1004" t="s">
        <v>557</v>
      </c>
      <c r="B1004" s="452">
        <v>46174</v>
      </c>
      <c r="C1004" t="s">
        <v>4150</v>
      </c>
      <c r="D1004" t="s">
        <v>4105</v>
      </c>
      <c r="E1004" t="s">
        <v>4135</v>
      </c>
      <c r="F1004">
        <v>1</v>
      </c>
      <c r="G1004">
        <v>8.4</v>
      </c>
      <c r="H1004" t="s">
        <v>4133</v>
      </c>
      <c r="J1004" t="s">
        <v>594</v>
      </c>
    </row>
    <row r="1005" spans="1:10" x14ac:dyDescent="0.3">
      <c r="A1005" t="s">
        <v>557</v>
      </c>
      <c r="B1005" s="452">
        <v>46174</v>
      </c>
      <c r="C1005" t="s">
        <v>4134</v>
      </c>
      <c r="D1005" t="s">
        <v>4105</v>
      </c>
      <c r="E1005" t="s">
        <v>4135</v>
      </c>
      <c r="F1005">
        <v>3</v>
      </c>
      <c r="G1005">
        <v>10.8</v>
      </c>
      <c r="H1005" t="s">
        <v>4133</v>
      </c>
      <c r="J1005" t="s">
        <v>594</v>
      </c>
    </row>
    <row r="1006" spans="1:10" x14ac:dyDescent="0.3">
      <c r="A1006" t="s">
        <v>557</v>
      </c>
      <c r="B1006" s="452">
        <v>46174</v>
      </c>
      <c r="C1006" t="s">
        <v>4246</v>
      </c>
      <c r="D1006" t="s">
        <v>4105</v>
      </c>
      <c r="E1006" t="s">
        <v>4125</v>
      </c>
      <c r="F1006">
        <v>10</v>
      </c>
      <c r="G1006">
        <v>24</v>
      </c>
      <c r="H1006" t="s">
        <v>4126</v>
      </c>
      <c r="J1006" t="s">
        <v>594</v>
      </c>
    </row>
    <row r="1007" spans="1:10" x14ac:dyDescent="0.3">
      <c r="A1007" t="s">
        <v>557</v>
      </c>
      <c r="B1007" s="452">
        <v>46174</v>
      </c>
      <c r="C1007" t="s">
        <v>4249</v>
      </c>
      <c r="D1007" t="s">
        <v>4105</v>
      </c>
      <c r="E1007" t="s">
        <v>4139</v>
      </c>
      <c r="F1007">
        <v>1</v>
      </c>
      <c r="G1007">
        <v>3.6</v>
      </c>
      <c r="H1007" t="s">
        <v>4133</v>
      </c>
      <c r="J1007" t="s">
        <v>594</v>
      </c>
    </row>
    <row r="1008" spans="1:10" x14ac:dyDescent="0.3">
      <c r="A1008" t="s">
        <v>557</v>
      </c>
      <c r="B1008" s="452">
        <v>46174</v>
      </c>
      <c r="C1008" t="s">
        <v>4202</v>
      </c>
      <c r="D1008" t="s">
        <v>4105</v>
      </c>
      <c r="E1008" t="s">
        <v>4169</v>
      </c>
      <c r="F1008">
        <v>13</v>
      </c>
      <c r="G1008">
        <v>31.2</v>
      </c>
      <c r="H1008" t="s">
        <v>4126</v>
      </c>
      <c r="J1008" t="s">
        <v>594</v>
      </c>
    </row>
    <row r="1009" spans="1:10" x14ac:dyDescent="0.3">
      <c r="A1009" t="s">
        <v>557</v>
      </c>
      <c r="B1009" s="452">
        <v>46174</v>
      </c>
      <c r="C1009" t="s">
        <v>4128</v>
      </c>
      <c r="D1009" t="s">
        <v>4105</v>
      </c>
      <c r="E1009" t="s">
        <v>4129</v>
      </c>
      <c r="F1009">
        <v>10</v>
      </c>
      <c r="G1009">
        <v>22.5</v>
      </c>
      <c r="H1009" t="s">
        <v>4126</v>
      </c>
      <c r="J1009" t="s">
        <v>594</v>
      </c>
    </row>
    <row r="1010" spans="1:10" x14ac:dyDescent="0.3">
      <c r="A1010" t="s">
        <v>557</v>
      </c>
      <c r="B1010" s="452">
        <v>46174</v>
      </c>
      <c r="C1010" t="s">
        <v>4127</v>
      </c>
      <c r="D1010" t="s">
        <v>4105</v>
      </c>
      <c r="E1010" t="s">
        <v>4125</v>
      </c>
      <c r="F1010">
        <v>2</v>
      </c>
      <c r="G1010">
        <v>4.8</v>
      </c>
      <c r="H1010" t="s">
        <v>4126</v>
      </c>
      <c r="J1010" t="s">
        <v>594</v>
      </c>
    </row>
    <row r="1011" spans="1:10" x14ac:dyDescent="0.3">
      <c r="A1011" t="s">
        <v>557</v>
      </c>
      <c r="B1011" s="452">
        <v>46174</v>
      </c>
      <c r="C1011" t="s">
        <v>4248</v>
      </c>
      <c r="D1011" t="s">
        <v>4105</v>
      </c>
      <c r="E1011" t="s">
        <v>4139</v>
      </c>
      <c r="F1011">
        <v>1</v>
      </c>
      <c r="G1011">
        <v>8.4</v>
      </c>
      <c r="H1011" t="s">
        <v>4133</v>
      </c>
      <c r="J1011" t="s">
        <v>594</v>
      </c>
    </row>
    <row r="1012" spans="1:10" x14ac:dyDescent="0.3">
      <c r="A1012" t="s">
        <v>557</v>
      </c>
      <c r="B1012" s="452">
        <v>46174</v>
      </c>
      <c r="C1012" t="s">
        <v>4163</v>
      </c>
      <c r="D1012" t="s">
        <v>4105</v>
      </c>
      <c r="E1012" t="s">
        <v>4149</v>
      </c>
      <c r="F1012">
        <v>2</v>
      </c>
      <c r="G1012">
        <v>66.3</v>
      </c>
      <c r="H1012" t="s">
        <v>4133</v>
      </c>
      <c r="J1012" t="s">
        <v>594</v>
      </c>
    </row>
    <row r="1013" spans="1:10" x14ac:dyDescent="0.3">
      <c r="A1013" t="s">
        <v>557</v>
      </c>
      <c r="B1013" s="452">
        <v>46174</v>
      </c>
      <c r="C1013" t="s">
        <v>4197</v>
      </c>
      <c r="D1013" t="s">
        <v>4105</v>
      </c>
      <c r="E1013" t="s">
        <v>4135</v>
      </c>
      <c r="F1013">
        <v>7</v>
      </c>
      <c r="G1013">
        <v>33.6</v>
      </c>
      <c r="H1013" t="s">
        <v>4133</v>
      </c>
      <c r="J1013" t="s">
        <v>594</v>
      </c>
    </row>
    <row r="1014" spans="1:10" x14ac:dyDescent="0.3">
      <c r="A1014" t="s">
        <v>557</v>
      </c>
      <c r="B1014" s="452">
        <v>46174</v>
      </c>
      <c r="C1014" t="s">
        <v>4247</v>
      </c>
      <c r="D1014" t="s">
        <v>4105</v>
      </c>
      <c r="E1014" t="s">
        <v>4139</v>
      </c>
      <c r="F1014">
        <v>1</v>
      </c>
      <c r="G1014">
        <v>3.6</v>
      </c>
      <c r="H1014" t="s">
        <v>4133</v>
      </c>
      <c r="J1014" t="s">
        <v>594</v>
      </c>
    </row>
    <row r="1015" spans="1:10" x14ac:dyDescent="0.3">
      <c r="A1015" t="s">
        <v>557</v>
      </c>
      <c r="B1015" s="452">
        <v>46174</v>
      </c>
      <c r="C1015" t="s">
        <v>4140</v>
      </c>
      <c r="D1015" t="s">
        <v>4105</v>
      </c>
      <c r="E1015" t="s">
        <v>4129</v>
      </c>
      <c r="F1015">
        <v>5</v>
      </c>
      <c r="G1015">
        <v>11.25</v>
      </c>
      <c r="H1015" t="s">
        <v>4126</v>
      </c>
      <c r="J1015" t="s">
        <v>594</v>
      </c>
    </row>
    <row r="1016" spans="1:10" x14ac:dyDescent="0.3">
      <c r="A1016" t="s">
        <v>557</v>
      </c>
      <c r="B1016" s="452">
        <v>46174</v>
      </c>
      <c r="C1016" t="s">
        <v>4141</v>
      </c>
      <c r="D1016" t="s">
        <v>4105</v>
      </c>
      <c r="E1016" t="s">
        <v>4142</v>
      </c>
      <c r="F1016">
        <v>30</v>
      </c>
      <c r="G1016">
        <v>125.1</v>
      </c>
      <c r="H1016" t="s">
        <v>4126</v>
      </c>
      <c r="J1016" t="s">
        <v>594</v>
      </c>
    </row>
    <row r="1017" spans="1:10" x14ac:dyDescent="0.3">
      <c r="A1017" t="s">
        <v>557</v>
      </c>
      <c r="B1017" s="452">
        <v>46174</v>
      </c>
      <c r="C1017" t="s">
        <v>4143</v>
      </c>
      <c r="D1017" t="s">
        <v>4105</v>
      </c>
      <c r="E1017" t="s">
        <v>4144</v>
      </c>
      <c r="F1017">
        <v>4</v>
      </c>
      <c r="G1017">
        <v>43.2</v>
      </c>
      <c r="H1017" t="s">
        <v>4126</v>
      </c>
      <c r="J1017" t="s">
        <v>594</v>
      </c>
    </row>
    <row r="1018" spans="1:10" x14ac:dyDescent="0.3">
      <c r="A1018" t="s">
        <v>557</v>
      </c>
      <c r="B1018" s="452">
        <v>46174</v>
      </c>
      <c r="C1018" t="s">
        <v>4245</v>
      </c>
      <c r="D1018" t="s">
        <v>4105</v>
      </c>
      <c r="E1018" t="s">
        <v>4132</v>
      </c>
      <c r="F1018">
        <v>1</v>
      </c>
      <c r="G1018">
        <v>11.7</v>
      </c>
      <c r="H1018" t="s">
        <v>4126</v>
      </c>
      <c r="J1018" t="s">
        <v>594</v>
      </c>
    </row>
    <row r="1019" spans="1:10" x14ac:dyDescent="0.3">
      <c r="A1019" t="s">
        <v>557</v>
      </c>
      <c r="B1019" s="452">
        <v>46174</v>
      </c>
      <c r="C1019" t="s">
        <v>4167</v>
      </c>
      <c r="D1019" t="s">
        <v>4105</v>
      </c>
      <c r="E1019" t="s">
        <v>4137</v>
      </c>
      <c r="F1019">
        <v>1</v>
      </c>
      <c r="G1019">
        <v>7.5</v>
      </c>
      <c r="H1019" t="s">
        <v>4133</v>
      </c>
      <c r="J1019" t="s">
        <v>594</v>
      </c>
    </row>
    <row r="1020" spans="1:10" x14ac:dyDescent="0.3">
      <c r="A1020" t="s">
        <v>557</v>
      </c>
      <c r="B1020" s="452">
        <v>46174</v>
      </c>
      <c r="C1020" t="s">
        <v>4145</v>
      </c>
      <c r="D1020" t="s">
        <v>4105</v>
      </c>
      <c r="E1020" t="s">
        <v>4125</v>
      </c>
      <c r="F1020">
        <v>10</v>
      </c>
      <c r="G1020">
        <v>24</v>
      </c>
      <c r="H1020" t="s">
        <v>4126</v>
      </c>
      <c r="J1020" t="s">
        <v>594</v>
      </c>
    </row>
    <row r="1021" spans="1:10" x14ac:dyDescent="0.3">
      <c r="A1021" t="s">
        <v>557</v>
      </c>
      <c r="B1021" s="452">
        <v>46174</v>
      </c>
      <c r="C1021" t="s">
        <v>4318</v>
      </c>
      <c r="D1021" t="s">
        <v>4105</v>
      </c>
      <c r="E1021" t="s">
        <v>4135</v>
      </c>
      <c r="F1021">
        <v>1</v>
      </c>
      <c r="G1021">
        <v>4.5</v>
      </c>
      <c r="H1021" t="s">
        <v>4133</v>
      </c>
      <c r="J1021" t="s">
        <v>594</v>
      </c>
    </row>
    <row r="1022" spans="1:10" x14ac:dyDescent="0.3">
      <c r="A1022" t="s">
        <v>557</v>
      </c>
      <c r="B1022" s="452">
        <v>46174</v>
      </c>
      <c r="C1022" t="s">
        <v>4166</v>
      </c>
      <c r="D1022" t="s">
        <v>4105</v>
      </c>
      <c r="E1022" t="s">
        <v>4137</v>
      </c>
      <c r="F1022">
        <v>4</v>
      </c>
      <c r="G1022">
        <v>44.4</v>
      </c>
      <c r="H1022" t="s">
        <v>4133</v>
      </c>
      <c r="J1022" t="s">
        <v>594</v>
      </c>
    </row>
    <row r="1023" spans="1:10" x14ac:dyDescent="0.3">
      <c r="A1023" t="s">
        <v>557</v>
      </c>
      <c r="B1023" s="452">
        <v>46174</v>
      </c>
      <c r="C1023" t="s">
        <v>4217</v>
      </c>
      <c r="D1023" t="s">
        <v>4105</v>
      </c>
      <c r="E1023" t="s">
        <v>4149</v>
      </c>
      <c r="F1023">
        <v>1</v>
      </c>
      <c r="G1023">
        <v>21.6</v>
      </c>
      <c r="H1023" t="s">
        <v>4133</v>
      </c>
      <c r="J1023" t="s">
        <v>594</v>
      </c>
    </row>
    <row r="1024" spans="1:10" x14ac:dyDescent="0.3">
      <c r="A1024" t="s">
        <v>557</v>
      </c>
      <c r="B1024" s="452">
        <v>46174</v>
      </c>
      <c r="C1024" t="s">
        <v>4165</v>
      </c>
      <c r="D1024" t="s">
        <v>4105</v>
      </c>
      <c r="E1024" t="s">
        <v>4129</v>
      </c>
      <c r="F1024">
        <v>8</v>
      </c>
      <c r="G1024">
        <v>33.6</v>
      </c>
      <c r="H1024" t="s">
        <v>4126</v>
      </c>
      <c r="J1024" t="s">
        <v>594</v>
      </c>
    </row>
    <row r="1025" spans="1:10" x14ac:dyDescent="0.3">
      <c r="A1025" t="s">
        <v>557</v>
      </c>
      <c r="B1025" s="452">
        <v>46174</v>
      </c>
      <c r="C1025" t="s">
        <v>4146</v>
      </c>
      <c r="D1025" t="s">
        <v>4105</v>
      </c>
      <c r="E1025" t="s">
        <v>4129</v>
      </c>
      <c r="F1025">
        <v>6</v>
      </c>
      <c r="G1025">
        <v>25.2</v>
      </c>
      <c r="H1025" t="s">
        <v>4126</v>
      </c>
      <c r="J1025" t="s">
        <v>594</v>
      </c>
    </row>
    <row r="1026" spans="1:10" x14ac:dyDescent="0.3">
      <c r="A1026" t="s">
        <v>557</v>
      </c>
      <c r="B1026" s="452">
        <v>46174</v>
      </c>
      <c r="C1026" t="s">
        <v>4147</v>
      </c>
      <c r="D1026" t="s">
        <v>4105</v>
      </c>
      <c r="E1026" t="s">
        <v>4125</v>
      </c>
      <c r="F1026">
        <v>5</v>
      </c>
      <c r="G1026">
        <v>12</v>
      </c>
      <c r="H1026" t="s">
        <v>4126</v>
      </c>
      <c r="J1026" t="s">
        <v>594</v>
      </c>
    </row>
    <row r="1027" spans="1:10" x14ac:dyDescent="0.3">
      <c r="A1027" t="s">
        <v>557</v>
      </c>
      <c r="B1027" s="452">
        <v>46174</v>
      </c>
      <c r="C1027" t="s">
        <v>4208</v>
      </c>
      <c r="D1027" t="s">
        <v>4105</v>
      </c>
      <c r="E1027" t="s">
        <v>4129</v>
      </c>
      <c r="F1027">
        <v>5</v>
      </c>
      <c r="G1027">
        <v>21</v>
      </c>
      <c r="H1027" t="s">
        <v>4126</v>
      </c>
      <c r="J1027" t="s">
        <v>594</v>
      </c>
    </row>
    <row r="1028" spans="1:10" x14ac:dyDescent="0.3">
      <c r="A1028" t="s">
        <v>557</v>
      </c>
      <c r="B1028" s="452">
        <v>46174</v>
      </c>
      <c r="C1028" t="s">
        <v>4124</v>
      </c>
      <c r="D1028" t="s">
        <v>4105</v>
      </c>
      <c r="E1028" t="s">
        <v>4125</v>
      </c>
      <c r="F1028">
        <v>6</v>
      </c>
      <c r="G1028">
        <v>14.4</v>
      </c>
      <c r="H1028" t="s">
        <v>4126</v>
      </c>
      <c r="J1028" t="s">
        <v>594</v>
      </c>
    </row>
    <row r="1029" spans="1:10" x14ac:dyDescent="0.3">
      <c r="A1029" t="s">
        <v>557</v>
      </c>
      <c r="B1029" s="452">
        <v>46174</v>
      </c>
      <c r="C1029" t="s">
        <v>4205</v>
      </c>
      <c r="D1029" t="s">
        <v>4105</v>
      </c>
      <c r="E1029" t="s">
        <v>4129</v>
      </c>
      <c r="F1029">
        <v>2</v>
      </c>
      <c r="G1029">
        <v>9</v>
      </c>
      <c r="H1029" t="s">
        <v>4126</v>
      </c>
      <c r="J1029" t="s">
        <v>594</v>
      </c>
    </row>
    <row r="1030" spans="1:10" x14ac:dyDescent="0.3">
      <c r="A1030" t="s">
        <v>557</v>
      </c>
      <c r="B1030" s="452">
        <v>46174</v>
      </c>
      <c r="C1030" t="s">
        <v>4264</v>
      </c>
      <c r="D1030" t="s">
        <v>4105</v>
      </c>
      <c r="E1030" t="s">
        <v>4193</v>
      </c>
      <c r="F1030">
        <v>1</v>
      </c>
      <c r="G1030">
        <v>17.399999999999999</v>
      </c>
      <c r="H1030" t="s">
        <v>4133</v>
      </c>
      <c r="J1030" t="s">
        <v>594</v>
      </c>
    </row>
    <row r="1031" spans="1:10" x14ac:dyDescent="0.3">
      <c r="A1031" t="s">
        <v>557</v>
      </c>
      <c r="B1031" s="452">
        <v>46174</v>
      </c>
      <c r="C1031" t="s">
        <v>4230</v>
      </c>
      <c r="D1031" t="s">
        <v>4105</v>
      </c>
      <c r="E1031" t="s">
        <v>4137</v>
      </c>
      <c r="F1031">
        <v>2</v>
      </c>
      <c r="G1031">
        <v>38.4</v>
      </c>
      <c r="H1031" t="s">
        <v>4133</v>
      </c>
      <c r="J1031" t="s">
        <v>594</v>
      </c>
    </row>
    <row r="1032" spans="1:10" x14ac:dyDescent="0.3">
      <c r="A1032" t="s">
        <v>557</v>
      </c>
      <c r="B1032" s="452">
        <v>46174</v>
      </c>
      <c r="C1032" t="s">
        <v>4347</v>
      </c>
      <c r="D1032" t="s">
        <v>4105</v>
      </c>
      <c r="E1032" t="s">
        <v>4227</v>
      </c>
      <c r="F1032">
        <v>8</v>
      </c>
      <c r="G1032">
        <v>43.2</v>
      </c>
      <c r="H1032" t="s">
        <v>4126</v>
      </c>
      <c r="J1032" t="s">
        <v>594</v>
      </c>
    </row>
    <row r="1033" spans="1:10" x14ac:dyDescent="0.3">
      <c r="A1033" t="s">
        <v>557</v>
      </c>
      <c r="B1033" s="452">
        <v>46174</v>
      </c>
      <c r="C1033" t="s">
        <v>4155</v>
      </c>
      <c r="D1033" t="s">
        <v>4105</v>
      </c>
      <c r="E1033" t="s">
        <v>4156</v>
      </c>
      <c r="F1033">
        <v>8</v>
      </c>
      <c r="G1033">
        <v>50.4</v>
      </c>
      <c r="H1033" t="s">
        <v>4126</v>
      </c>
      <c r="J1033" t="s">
        <v>594</v>
      </c>
    </row>
    <row r="1034" spans="1:10" x14ac:dyDescent="0.3">
      <c r="A1034" t="s">
        <v>557</v>
      </c>
      <c r="B1034" s="452">
        <v>46174</v>
      </c>
      <c r="C1034" t="s">
        <v>4265</v>
      </c>
      <c r="D1034" t="s">
        <v>4105</v>
      </c>
      <c r="E1034" t="s">
        <v>4243</v>
      </c>
      <c r="F1034">
        <v>1</v>
      </c>
      <c r="G1034">
        <v>6.9</v>
      </c>
      <c r="H1034" t="s">
        <v>4126</v>
      </c>
      <c r="J1034" t="s">
        <v>594</v>
      </c>
    </row>
    <row r="1035" spans="1:10" x14ac:dyDescent="0.3">
      <c r="A1035" t="s">
        <v>557</v>
      </c>
      <c r="B1035" s="452">
        <v>46174</v>
      </c>
      <c r="C1035" t="s">
        <v>4231</v>
      </c>
      <c r="D1035" t="s">
        <v>4105</v>
      </c>
      <c r="E1035" t="s">
        <v>4232</v>
      </c>
      <c r="F1035">
        <v>2</v>
      </c>
      <c r="G1035">
        <v>67.2</v>
      </c>
      <c r="H1035" t="s">
        <v>4126</v>
      </c>
      <c r="J1035" t="s">
        <v>594</v>
      </c>
    </row>
    <row r="1036" spans="1:10" x14ac:dyDescent="0.3">
      <c r="A1036" t="s">
        <v>557</v>
      </c>
      <c r="B1036" s="452">
        <v>46174</v>
      </c>
      <c r="C1036" t="s">
        <v>4332</v>
      </c>
      <c r="D1036" t="s">
        <v>4105</v>
      </c>
      <c r="E1036" t="s">
        <v>4333</v>
      </c>
      <c r="F1036">
        <v>3</v>
      </c>
      <c r="G1036">
        <v>77.400000000000006</v>
      </c>
      <c r="H1036" t="s">
        <v>4133</v>
      </c>
      <c r="J1036" t="s">
        <v>594</v>
      </c>
    </row>
    <row r="1037" spans="1:10" x14ac:dyDescent="0.3">
      <c r="A1037" t="s">
        <v>557</v>
      </c>
      <c r="B1037" s="452">
        <v>46174</v>
      </c>
      <c r="C1037" t="s">
        <v>4306</v>
      </c>
      <c r="D1037" t="s">
        <v>4105</v>
      </c>
      <c r="E1037" t="s">
        <v>4304</v>
      </c>
      <c r="F1037">
        <v>3</v>
      </c>
      <c r="G1037">
        <v>28.8</v>
      </c>
      <c r="H1037" t="s">
        <v>4126</v>
      </c>
      <c r="J1037" t="s">
        <v>594</v>
      </c>
    </row>
    <row r="1038" spans="1:10" x14ac:dyDescent="0.3">
      <c r="A1038" t="s">
        <v>557</v>
      </c>
      <c r="B1038" s="452">
        <v>46174</v>
      </c>
      <c r="C1038" t="s">
        <v>4138</v>
      </c>
      <c r="D1038" t="s">
        <v>4105</v>
      </c>
      <c r="E1038" t="s">
        <v>4139</v>
      </c>
      <c r="F1038">
        <v>4</v>
      </c>
      <c r="G1038">
        <v>31.2</v>
      </c>
      <c r="H1038" t="s">
        <v>4133</v>
      </c>
      <c r="J1038" t="s">
        <v>594</v>
      </c>
    </row>
    <row r="1039" spans="1:10" x14ac:dyDescent="0.3">
      <c r="A1039" t="s">
        <v>557</v>
      </c>
      <c r="B1039" s="452">
        <v>46174</v>
      </c>
      <c r="C1039" t="s">
        <v>4348</v>
      </c>
      <c r="D1039" t="s">
        <v>4105</v>
      </c>
      <c r="E1039" t="s">
        <v>4207</v>
      </c>
      <c r="F1039">
        <v>6</v>
      </c>
      <c r="G1039">
        <v>36</v>
      </c>
      <c r="H1039" t="s">
        <v>3906</v>
      </c>
      <c r="J1039" t="s">
        <v>594</v>
      </c>
    </row>
    <row r="1040" spans="1:10" x14ac:dyDescent="0.3">
      <c r="A1040" t="s">
        <v>557</v>
      </c>
      <c r="B1040" s="452">
        <v>46174</v>
      </c>
      <c r="C1040" t="s">
        <v>4250</v>
      </c>
      <c r="D1040" t="s">
        <v>4105</v>
      </c>
      <c r="E1040" t="s">
        <v>4139</v>
      </c>
      <c r="F1040">
        <v>1</v>
      </c>
      <c r="G1040">
        <v>8.4</v>
      </c>
      <c r="H1040" t="s">
        <v>4133</v>
      </c>
      <c r="J1040" t="s">
        <v>594</v>
      </c>
    </row>
    <row r="1041" spans="1:10" x14ac:dyDescent="0.3">
      <c r="A1041" t="s">
        <v>557</v>
      </c>
      <c r="B1041" s="452">
        <v>46174</v>
      </c>
      <c r="C1041" t="s">
        <v>4209</v>
      </c>
      <c r="D1041" t="s">
        <v>4105</v>
      </c>
      <c r="E1041" t="s">
        <v>4193</v>
      </c>
      <c r="F1041">
        <v>7</v>
      </c>
      <c r="G1041">
        <v>102.9</v>
      </c>
      <c r="H1041" t="s">
        <v>4133</v>
      </c>
      <c r="J1041" t="s">
        <v>594</v>
      </c>
    </row>
    <row r="1042" spans="1:10" x14ac:dyDescent="0.3">
      <c r="A1042" t="s">
        <v>557</v>
      </c>
      <c r="B1042" s="452">
        <v>46174</v>
      </c>
      <c r="C1042" t="s">
        <v>4349</v>
      </c>
      <c r="D1042" t="s">
        <v>4105</v>
      </c>
      <c r="E1042" t="s">
        <v>4336</v>
      </c>
      <c r="F1042">
        <v>5</v>
      </c>
      <c r="G1042">
        <v>36</v>
      </c>
      <c r="H1042" t="s">
        <v>4133</v>
      </c>
      <c r="J1042" t="s">
        <v>594</v>
      </c>
    </row>
    <row r="1043" spans="1:10" x14ac:dyDescent="0.3">
      <c r="A1043" t="s">
        <v>557</v>
      </c>
      <c r="B1043" s="452">
        <v>46174</v>
      </c>
      <c r="C1043" t="s">
        <v>4136</v>
      </c>
      <c r="D1043" t="s">
        <v>4105</v>
      </c>
      <c r="E1043" t="s">
        <v>4137</v>
      </c>
      <c r="F1043">
        <v>1</v>
      </c>
      <c r="G1043">
        <v>11.7</v>
      </c>
      <c r="H1043" t="s">
        <v>4133</v>
      </c>
      <c r="J1043" t="s">
        <v>594</v>
      </c>
    </row>
    <row r="1044" spans="1:10" x14ac:dyDescent="0.3">
      <c r="A1044" t="s">
        <v>557</v>
      </c>
      <c r="B1044" s="452">
        <v>46174</v>
      </c>
      <c r="C1044" t="s">
        <v>4251</v>
      </c>
      <c r="D1044" t="s">
        <v>4105</v>
      </c>
      <c r="E1044" t="s">
        <v>4184</v>
      </c>
      <c r="F1044">
        <v>2</v>
      </c>
      <c r="G1044">
        <v>47.4</v>
      </c>
      <c r="H1044" t="s">
        <v>4133</v>
      </c>
      <c r="J1044" t="s">
        <v>594</v>
      </c>
    </row>
    <row r="1045" spans="1:10" x14ac:dyDescent="0.3">
      <c r="A1045" t="s">
        <v>557</v>
      </c>
      <c r="B1045" s="452">
        <v>46174</v>
      </c>
      <c r="C1045" t="s">
        <v>4158</v>
      </c>
      <c r="D1045" t="s">
        <v>4105</v>
      </c>
      <c r="E1045" t="s">
        <v>4137</v>
      </c>
      <c r="F1045">
        <v>4</v>
      </c>
      <c r="G1045">
        <v>54</v>
      </c>
      <c r="H1045" t="s">
        <v>4133</v>
      </c>
      <c r="J1045" t="s">
        <v>594</v>
      </c>
    </row>
    <row r="1046" spans="1:10" x14ac:dyDescent="0.3">
      <c r="A1046" t="s">
        <v>557</v>
      </c>
      <c r="B1046" s="452">
        <v>46174</v>
      </c>
      <c r="C1046" t="s">
        <v>4198</v>
      </c>
      <c r="D1046" t="s">
        <v>4105</v>
      </c>
      <c r="E1046" t="s">
        <v>4137</v>
      </c>
      <c r="F1046">
        <v>4</v>
      </c>
      <c r="G1046">
        <v>82.8</v>
      </c>
      <c r="H1046" t="s">
        <v>4133</v>
      </c>
      <c r="J1046" t="s">
        <v>594</v>
      </c>
    </row>
    <row r="1047" spans="1:10" x14ac:dyDescent="0.3">
      <c r="A1047" t="s">
        <v>557</v>
      </c>
      <c r="B1047" s="452">
        <v>46174</v>
      </c>
      <c r="C1047" t="s">
        <v>4177</v>
      </c>
      <c r="D1047" t="s">
        <v>4105</v>
      </c>
      <c r="E1047" t="s">
        <v>4132</v>
      </c>
      <c r="F1047">
        <v>1</v>
      </c>
      <c r="G1047">
        <v>12.6</v>
      </c>
      <c r="H1047" t="s">
        <v>4126</v>
      </c>
      <c r="J1047" t="s">
        <v>594</v>
      </c>
    </row>
    <row r="1048" spans="1:10" x14ac:dyDescent="0.3">
      <c r="A1048" t="s">
        <v>557</v>
      </c>
      <c r="B1048" s="452">
        <v>46174</v>
      </c>
      <c r="C1048" t="s">
        <v>4319</v>
      </c>
      <c r="D1048" t="s">
        <v>4105</v>
      </c>
      <c r="E1048" t="s">
        <v>4169</v>
      </c>
      <c r="F1048">
        <v>2</v>
      </c>
      <c r="G1048">
        <v>4.8</v>
      </c>
      <c r="H1048" t="s">
        <v>4126</v>
      </c>
      <c r="J1048" t="s">
        <v>594</v>
      </c>
    </row>
    <row r="1049" spans="1:10" x14ac:dyDescent="0.3">
      <c r="A1049" t="s">
        <v>557</v>
      </c>
      <c r="B1049" s="452">
        <v>46174</v>
      </c>
      <c r="C1049" t="s">
        <v>4199</v>
      </c>
      <c r="D1049" t="s">
        <v>4105</v>
      </c>
      <c r="E1049" t="s">
        <v>4137</v>
      </c>
      <c r="F1049">
        <v>4</v>
      </c>
      <c r="G1049">
        <v>70.8</v>
      </c>
      <c r="H1049" t="s">
        <v>4133</v>
      </c>
      <c r="J1049" t="s">
        <v>594</v>
      </c>
    </row>
    <row r="1050" spans="1:10" x14ac:dyDescent="0.3">
      <c r="A1050" t="s">
        <v>557</v>
      </c>
      <c r="B1050" s="452">
        <v>46174</v>
      </c>
      <c r="C1050" t="s">
        <v>4200</v>
      </c>
      <c r="D1050" t="s">
        <v>4105</v>
      </c>
      <c r="E1050" t="s">
        <v>4135</v>
      </c>
      <c r="F1050">
        <v>1</v>
      </c>
      <c r="G1050">
        <v>7.5</v>
      </c>
      <c r="H1050" t="s">
        <v>4133</v>
      </c>
      <c r="J1050" t="s">
        <v>594</v>
      </c>
    </row>
    <row r="1051" spans="1:10" x14ac:dyDescent="0.3">
      <c r="A1051" t="s">
        <v>557</v>
      </c>
      <c r="B1051" s="452">
        <v>46174</v>
      </c>
      <c r="C1051" t="s">
        <v>4159</v>
      </c>
      <c r="D1051" t="s">
        <v>4105</v>
      </c>
      <c r="E1051" t="s">
        <v>4135</v>
      </c>
      <c r="F1051">
        <v>7</v>
      </c>
      <c r="G1051">
        <v>60.9</v>
      </c>
      <c r="H1051" t="s">
        <v>4133</v>
      </c>
      <c r="J1051" t="s">
        <v>594</v>
      </c>
    </row>
    <row r="1052" spans="1:10" x14ac:dyDescent="0.3">
      <c r="A1052" t="s">
        <v>557</v>
      </c>
      <c r="B1052" s="452">
        <v>46174</v>
      </c>
      <c r="C1052" t="s">
        <v>4130</v>
      </c>
      <c r="D1052" t="s">
        <v>4105</v>
      </c>
      <c r="E1052" t="s">
        <v>4125</v>
      </c>
      <c r="F1052">
        <v>4</v>
      </c>
      <c r="G1052">
        <v>9.6</v>
      </c>
      <c r="H1052" t="s">
        <v>4126</v>
      </c>
      <c r="J1052" t="s">
        <v>594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34"/>
  <sheetViews>
    <sheetView workbookViewId="0"/>
  </sheetViews>
  <sheetFormatPr defaultRowHeight="14.4" x14ac:dyDescent="0.3"/>
  <sheetData>
    <row r="1" spans="1:19" x14ac:dyDescent="0.3">
      <c r="A1" t="s">
        <v>4350</v>
      </c>
      <c r="B1" t="s">
        <v>4351</v>
      </c>
      <c r="C1" t="s">
        <v>4352</v>
      </c>
      <c r="D1" t="s">
        <v>761</v>
      </c>
      <c r="E1" t="s">
        <v>762</v>
      </c>
      <c r="F1" t="s">
        <v>4353</v>
      </c>
      <c r="G1" t="s">
        <v>4354</v>
      </c>
      <c r="H1" t="s">
        <v>768</v>
      </c>
      <c r="I1" t="s">
        <v>4355</v>
      </c>
      <c r="J1" t="s">
        <v>4356</v>
      </c>
      <c r="K1" t="s">
        <v>4357</v>
      </c>
      <c r="L1" t="s">
        <v>763</v>
      </c>
      <c r="M1" t="s">
        <v>764</v>
      </c>
      <c r="N1" t="s">
        <v>769</v>
      </c>
      <c r="O1" t="s">
        <v>774</v>
      </c>
      <c r="P1" t="s">
        <v>4358</v>
      </c>
      <c r="Q1" t="s">
        <v>4359</v>
      </c>
      <c r="R1" t="s">
        <v>4360</v>
      </c>
      <c r="S1" t="s">
        <v>4361</v>
      </c>
    </row>
    <row r="2" spans="1:19" x14ac:dyDescent="0.3">
      <c r="A2" t="s">
        <v>4362</v>
      </c>
      <c r="B2" t="s">
        <v>557</v>
      </c>
      <c r="C2" t="s">
        <v>259</v>
      </c>
      <c r="D2" t="s">
        <v>259</v>
      </c>
      <c r="E2" t="s">
        <v>804</v>
      </c>
      <c r="F2" t="s">
        <v>777</v>
      </c>
      <c r="G2" t="s">
        <v>368</v>
      </c>
      <c r="H2">
        <v>4322.5600000000004</v>
      </c>
      <c r="I2" t="s">
        <v>4363</v>
      </c>
      <c r="L2" s="451">
        <v>46515</v>
      </c>
      <c r="M2" s="451">
        <v>46537</v>
      </c>
      <c r="N2">
        <v>4322.5600000000004</v>
      </c>
      <c r="Q2" t="s">
        <v>805</v>
      </c>
      <c r="R2" t="s">
        <v>803</v>
      </c>
    </row>
    <row r="3" spans="1:19" x14ac:dyDescent="0.3">
      <c r="A3" t="s">
        <v>4364</v>
      </c>
      <c r="B3" t="s">
        <v>557</v>
      </c>
      <c r="C3" t="s">
        <v>259</v>
      </c>
      <c r="D3" t="s">
        <v>259</v>
      </c>
      <c r="E3" t="s">
        <v>809</v>
      </c>
      <c r="F3" t="s">
        <v>777</v>
      </c>
      <c r="G3" t="s">
        <v>368</v>
      </c>
      <c r="H3">
        <v>4322.5600000000004</v>
      </c>
      <c r="I3" t="s">
        <v>4363</v>
      </c>
      <c r="L3" s="451">
        <v>46485</v>
      </c>
      <c r="M3" s="451">
        <v>46507</v>
      </c>
      <c r="N3">
        <v>4322.5600000000004</v>
      </c>
      <c r="Q3" t="s">
        <v>805</v>
      </c>
      <c r="R3" t="s">
        <v>808</v>
      </c>
    </row>
    <row r="4" spans="1:19" x14ac:dyDescent="0.3">
      <c r="A4" t="s">
        <v>4365</v>
      </c>
      <c r="B4" t="s">
        <v>557</v>
      </c>
      <c r="C4" t="s">
        <v>259</v>
      </c>
      <c r="D4" t="s">
        <v>259</v>
      </c>
      <c r="E4" t="s">
        <v>812</v>
      </c>
      <c r="F4" t="s">
        <v>777</v>
      </c>
      <c r="G4" t="s">
        <v>368</v>
      </c>
      <c r="H4">
        <v>4322.5600000000004</v>
      </c>
      <c r="I4" t="s">
        <v>4363</v>
      </c>
      <c r="L4" s="451">
        <v>46454</v>
      </c>
      <c r="M4" s="451">
        <v>46476</v>
      </c>
      <c r="N4">
        <v>4322.5600000000004</v>
      </c>
      <c r="Q4" t="s">
        <v>805</v>
      </c>
      <c r="R4" t="s">
        <v>811</v>
      </c>
    </row>
    <row r="5" spans="1:19" x14ac:dyDescent="0.3">
      <c r="A5" t="s">
        <v>4366</v>
      </c>
      <c r="B5" t="s">
        <v>557</v>
      </c>
      <c r="C5" t="s">
        <v>259</v>
      </c>
      <c r="D5" t="s">
        <v>259</v>
      </c>
      <c r="E5" t="s">
        <v>817</v>
      </c>
      <c r="F5" t="s">
        <v>777</v>
      </c>
      <c r="G5" t="s">
        <v>368</v>
      </c>
      <c r="H5">
        <v>4322.5600000000004</v>
      </c>
      <c r="I5" t="s">
        <v>4363</v>
      </c>
      <c r="L5" s="451">
        <v>46426</v>
      </c>
      <c r="M5" s="451">
        <v>46446</v>
      </c>
      <c r="N5">
        <v>4322.5600000000004</v>
      </c>
      <c r="Q5" t="s">
        <v>805</v>
      </c>
      <c r="R5" t="s">
        <v>815</v>
      </c>
    </row>
    <row r="6" spans="1:19" x14ac:dyDescent="0.3">
      <c r="A6" t="s">
        <v>4367</v>
      </c>
      <c r="B6" t="s">
        <v>557</v>
      </c>
      <c r="C6" t="s">
        <v>259</v>
      </c>
      <c r="D6" t="s">
        <v>259</v>
      </c>
      <c r="E6" t="s">
        <v>829</v>
      </c>
      <c r="F6" t="s">
        <v>777</v>
      </c>
      <c r="G6" t="s">
        <v>368</v>
      </c>
      <c r="H6">
        <v>4322.5600000000004</v>
      </c>
      <c r="I6" t="s">
        <v>4363</v>
      </c>
      <c r="L6" s="451">
        <v>46395</v>
      </c>
      <c r="M6" s="451">
        <v>46417</v>
      </c>
      <c r="N6">
        <v>4322.5600000000004</v>
      </c>
      <c r="Q6" t="s">
        <v>805</v>
      </c>
      <c r="R6" t="s">
        <v>828</v>
      </c>
    </row>
    <row r="7" spans="1:19" x14ac:dyDescent="0.3">
      <c r="A7" t="s">
        <v>4368</v>
      </c>
      <c r="B7" t="s">
        <v>557</v>
      </c>
      <c r="C7" t="s">
        <v>259</v>
      </c>
      <c r="D7" t="s">
        <v>259</v>
      </c>
      <c r="E7" t="s">
        <v>865</v>
      </c>
      <c r="F7" t="s">
        <v>777</v>
      </c>
      <c r="G7" t="s">
        <v>368</v>
      </c>
      <c r="H7">
        <v>4322.5600000000004</v>
      </c>
      <c r="I7" t="s">
        <v>4363</v>
      </c>
      <c r="L7" s="451">
        <v>46364</v>
      </c>
      <c r="M7" s="451">
        <v>46386</v>
      </c>
      <c r="N7">
        <v>4322.5600000000004</v>
      </c>
      <c r="Q7" t="s">
        <v>805</v>
      </c>
      <c r="R7" t="s">
        <v>470</v>
      </c>
    </row>
    <row r="8" spans="1:19" x14ac:dyDescent="0.3">
      <c r="A8" t="s">
        <v>4369</v>
      </c>
      <c r="B8" t="s">
        <v>557</v>
      </c>
      <c r="C8" t="s">
        <v>259</v>
      </c>
      <c r="D8" t="s">
        <v>259</v>
      </c>
      <c r="E8" t="s">
        <v>928</v>
      </c>
      <c r="F8" t="s">
        <v>777</v>
      </c>
      <c r="G8" t="s">
        <v>368</v>
      </c>
      <c r="H8">
        <v>4322.5600000000004</v>
      </c>
      <c r="I8" t="s">
        <v>4363</v>
      </c>
      <c r="L8" s="451">
        <v>46334</v>
      </c>
      <c r="M8" s="451">
        <v>46356</v>
      </c>
      <c r="N8">
        <v>4322.5600000000004</v>
      </c>
      <c r="Q8" t="s">
        <v>805</v>
      </c>
      <c r="R8" t="s">
        <v>469</v>
      </c>
    </row>
    <row r="9" spans="1:19" x14ac:dyDescent="0.3">
      <c r="A9" t="s">
        <v>4370</v>
      </c>
      <c r="B9" t="s">
        <v>557</v>
      </c>
      <c r="C9" t="s">
        <v>259</v>
      </c>
      <c r="D9" t="s">
        <v>259</v>
      </c>
      <c r="E9" t="s">
        <v>939</v>
      </c>
      <c r="F9" t="s">
        <v>777</v>
      </c>
      <c r="G9" t="s">
        <v>368</v>
      </c>
      <c r="H9">
        <v>4322.5600000000004</v>
      </c>
      <c r="I9" t="s">
        <v>4363</v>
      </c>
      <c r="L9" s="451">
        <v>46303</v>
      </c>
      <c r="M9" s="451">
        <v>46325</v>
      </c>
      <c r="N9">
        <v>4322.5600000000004</v>
      </c>
      <c r="Q9" t="s">
        <v>805</v>
      </c>
      <c r="R9" t="s">
        <v>468</v>
      </c>
    </row>
    <row r="10" spans="1:19" x14ac:dyDescent="0.3">
      <c r="A10" t="s">
        <v>4371</v>
      </c>
      <c r="B10" t="s">
        <v>557</v>
      </c>
      <c r="C10" t="s">
        <v>259</v>
      </c>
      <c r="D10" t="s">
        <v>259</v>
      </c>
      <c r="E10" t="s">
        <v>942</v>
      </c>
      <c r="F10" t="s">
        <v>777</v>
      </c>
      <c r="G10" t="s">
        <v>368</v>
      </c>
      <c r="H10">
        <v>4322.5600000000004</v>
      </c>
      <c r="I10" t="s">
        <v>4363</v>
      </c>
      <c r="L10" s="451">
        <v>46273</v>
      </c>
      <c r="M10" s="451">
        <v>46295</v>
      </c>
      <c r="N10">
        <v>4322.5600000000004</v>
      </c>
      <c r="Q10" t="s">
        <v>805</v>
      </c>
      <c r="R10" t="s">
        <v>467</v>
      </c>
    </row>
    <row r="11" spans="1:19" x14ac:dyDescent="0.3">
      <c r="A11" t="s">
        <v>4372</v>
      </c>
      <c r="B11" t="s">
        <v>557</v>
      </c>
      <c r="C11" t="s">
        <v>259</v>
      </c>
      <c r="D11" t="s">
        <v>259</v>
      </c>
      <c r="E11" t="s">
        <v>954</v>
      </c>
      <c r="F11" t="s">
        <v>777</v>
      </c>
      <c r="G11" t="s">
        <v>368</v>
      </c>
      <c r="H11">
        <v>4322.5600000000004</v>
      </c>
      <c r="I11" t="s">
        <v>4363</v>
      </c>
      <c r="L11" s="451">
        <v>46242</v>
      </c>
      <c r="M11" s="451">
        <v>46264</v>
      </c>
      <c r="N11">
        <v>4322.5600000000004</v>
      </c>
      <c r="Q11" t="s">
        <v>805</v>
      </c>
      <c r="R11" t="s">
        <v>466</v>
      </c>
    </row>
    <row r="12" spans="1:19" x14ac:dyDescent="0.3">
      <c r="A12" t="s">
        <v>4373</v>
      </c>
      <c r="B12" t="s">
        <v>557</v>
      </c>
      <c r="C12" t="s">
        <v>259</v>
      </c>
      <c r="D12" t="s">
        <v>259</v>
      </c>
      <c r="E12" t="s">
        <v>958</v>
      </c>
      <c r="F12" t="s">
        <v>777</v>
      </c>
      <c r="G12" t="s">
        <v>368</v>
      </c>
      <c r="H12">
        <v>4322.5600000000004</v>
      </c>
      <c r="I12" t="s">
        <v>4363</v>
      </c>
      <c r="L12" s="451">
        <v>46211</v>
      </c>
      <c r="M12" s="451">
        <v>46233</v>
      </c>
      <c r="N12">
        <v>4322.5600000000004</v>
      </c>
      <c r="Q12" t="s">
        <v>805</v>
      </c>
      <c r="R12" t="s">
        <v>465</v>
      </c>
    </row>
    <row r="13" spans="1:19" x14ac:dyDescent="0.3">
      <c r="A13" t="s">
        <v>4374</v>
      </c>
      <c r="B13" t="s">
        <v>557</v>
      </c>
      <c r="C13" t="s">
        <v>259</v>
      </c>
      <c r="D13" t="s">
        <v>259</v>
      </c>
      <c r="E13" t="s">
        <v>1059</v>
      </c>
      <c r="F13" t="s">
        <v>777</v>
      </c>
      <c r="G13" t="s">
        <v>368</v>
      </c>
      <c r="H13">
        <v>4322.5600000000004</v>
      </c>
      <c r="I13" t="s">
        <v>4363</v>
      </c>
      <c r="L13" s="451">
        <v>46181</v>
      </c>
      <c r="M13" s="451">
        <v>46203</v>
      </c>
      <c r="N13">
        <v>4322.5600000000004</v>
      </c>
      <c r="O13" t="s">
        <v>894</v>
      </c>
      <c r="P13" s="451">
        <v>46182</v>
      </c>
      <c r="Q13" t="s">
        <v>805</v>
      </c>
      <c r="R13" t="s">
        <v>464</v>
      </c>
      <c r="S13" t="s">
        <v>464</v>
      </c>
    </row>
    <row r="14" spans="1:19" x14ac:dyDescent="0.3">
      <c r="A14" t="s">
        <v>4375</v>
      </c>
      <c r="B14" t="s">
        <v>557</v>
      </c>
      <c r="C14" t="s">
        <v>259</v>
      </c>
      <c r="D14" t="s">
        <v>259</v>
      </c>
      <c r="E14" t="s">
        <v>804</v>
      </c>
      <c r="F14" t="s">
        <v>777</v>
      </c>
      <c r="G14" t="s">
        <v>368</v>
      </c>
      <c r="H14">
        <v>1356.39</v>
      </c>
      <c r="I14" t="s">
        <v>4363</v>
      </c>
      <c r="L14" s="451">
        <v>46515</v>
      </c>
      <c r="M14" s="451">
        <v>46537</v>
      </c>
      <c r="N14">
        <v>1356.39</v>
      </c>
      <c r="Q14" t="s">
        <v>806</v>
      </c>
      <c r="R14" t="s">
        <v>803</v>
      </c>
    </row>
    <row r="15" spans="1:19" x14ac:dyDescent="0.3">
      <c r="A15" t="s">
        <v>4376</v>
      </c>
      <c r="B15" t="s">
        <v>557</v>
      </c>
      <c r="C15" t="s">
        <v>259</v>
      </c>
      <c r="D15" t="s">
        <v>259</v>
      </c>
      <c r="E15" t="s">
        <v>809</v>
      </c>
      <c r="F15" t="s">
        <v>777</v>
      </c>
      <c r="G15" t="s">
        <v>368</v>
      </c>
      <c r="H15">
        <v>1356.39</v>
      </c>
      <c r="I15" t="s">
        <v>4363</v>
      </c>
      <c r="L15" s="451">
        <v>46485</v>
      </c>
      <c r="M15" s="451">
        <v>46507</v>
      </c>
      <c r="N15">
        <v>1356.39</v>
      </c>
      <c r="Q15" t="s">
        <v>806</v>
      </c>
      <c r="R15" t="s">
        <v>808</v>
      </c>
    </row>
    <row r="16" spans="1:19" x14ac:dyDescent="0.3">
      <c r="A16" t="s">
        <v>4377</v>
      </c>
      <c r="B16" t="s">
        <v>557</v>
      </c>
      <c r="C16" t="s">
        <v>259</v>
      </c>
      <c r="D16" t="s">
        <v>259</v>
      </c>
      <c r="E16" t="s">
        <v>812</v>
      </c>
      <c r="F16" t="s">
        <v>777</v>
      </c>
      <c r="G16" t="s">
        <v>368</v>
      </c>
      <c r="H16">
        <v>1356.39</v>
      </c>
      <c r="I16" t="s">
        <v>4363</v>
      </c>
      <c r="L16" s="451">
        <v>46454</v>
      </c>
      <c r="M16" s="451">
        <v>46476</v>
      </c>
      <c r="N16">
        <v>1356.39</v>
      </c>
      <c r="Q16" t="s">
        <v>813</v>
      </c>
      <c r="R16" t="s">
        <v>811</v>
      </c>
    </row>
    <row r="17" spans="1:19" x14ac:dyDescent="0.3">
      <c r="A17" t="s">
        <v>4378</v>
      </c>
      <c r="B17" t="s">
        <v>557</v>
      </c>
      <c r="C17" t="s">
        <v>259</v>
      </c>
      <c r="D17" t="s">
        <v>259</v>
      </c>
      <c r="E17" t="s">
        <v>817</v>
      </c>
      <c r="F17" t="s">
        <v>777</v>
      </c>
      <c r="G17" t="s">
        <v>368</v>
      </c>
      <c r="H17">
        <v>1356.39</v>
      </c>
      <c r="I17" t="s">
        <v>4363</v>
      </c>
      <c r="L17" s="451">
        <v>46426</v>
      </c>
      <c r="M17" s="451">
        <v>46446</v>
      </c>
      <c r="N17">
        <v>1356.39</v>
      </c>
      <c r="Q17" t="s">
        <v>806</v>
      </c>
      <c r="R17" t="s">
        <v>815</v>
      </c>
    </row>
    <row r="18" spans="1:19" x14ac:dyDescent="0.3">
      <c r="A18" t="s">
        <v>4379</v>
      </c>
      <c r="B18" t="s">
        <v>557</v>
      </c>
      <c r="C18" t="s">
        <v>259</v>
      </c>
      <c r="D18" t="s">
        <v>259</v>
      </c>
      <c r="E18" t="s">
        <v>829</v>
      </c>
      <c r="F18" t="s">
        <v>777</v>
      </c>
      <c r="G18" t="s">
        <v>368</v>
      </c>
      <c r="H18">
        <v>1356.39</v>
      </c>
      <c r="I18" t="s">
        <v>4363</v>
      </c>
      <c r="L18" s="451">
        <v>46395</v>
      </c>
      <c r="M18" s="451">
        <v>46417</v>
      </c>
      <c r="N18">
        <v>1356.39</v>
      </c>
      <c r="Q18" t="s">
        <v>813</v>
      </c>
      <c r="R18" t="s">
        <v>828</v>
      </c>
    </row>
    <row r="19" spans="1:19" x14ac:dyDescent="0.3">
      <c r="A19" t="s">
        <v>4380</v>
      </c>
      <c r="B19" t="s">
        <v>557</v>
      </c>
      <c r="C19" t="s">
        <v>259</v>
      </c>
      <c r="D19" t="s">
        <v>259</v>
      </c>
      <c r="E19" t="s">
        <v>865</v>
      </c>
      <c r="F19" t="s">
        <v>777</v>
      </c>
      <c r="G19" t="s">
        <v>368</v>
      </c>
      <c r="H19">
        <v>1356.39</v>
      </c>
      <c r="I19" t="s">
        <v>4363</v>
      </c>
      <c r="L19" s="451">
        <v>46364</v>
      </c>
      <c r="M19" s="451">
        <v>46386</v>
      </c>
      <c r="N19">
        <v>1356.39</v>
      </c>
      <c r="Q19" t="s">
        <v>806</v>
      </c>
      <c r="R19" t="s">
        <v>470</v>
      </c>
    </row>
    <row r="20" spans="1:19" x14ac:dyDescent="0.3">
      <c r="A20" t="s">
        <v>4381</v>
      </c>
      <c r="B20" t="s">
        <v>557</v>
      </c>
      <c r="C20" t="s">
        <v>259</v>
      </c>
      <c r="D20" t="s">
        <v>259</v>
      </c>
      <c r="E20" t="s">
        <v>928</v>
      </c>
      <c r="F20" t="s">
        <v>777</v>
      </c>
      <c r="G20" t="s">
        <v>368</v>
      </c>
      <c r="H20">
        <v>1356.39</v>
      </c>
      <c r="I20" t="s">
        <v>4363</v>
      </c>
      <c r="L20" s="451">
        <v>46334</v>
      </c>
      <c r="M20" s="451">
        <v>46356</v>
      </c>
      <c r="N20">
        <v>1356.39</v>
      </c>
      <c r="Q20" t="s">
        <v>813</v>
      </c>
      <c r="R20" t="s">
        <v>469</v>
      </c>
    </row>
    <row r="21" spans="1:19" x14ac:dyDescent="0.3">
      <c r="A21" t="s">
        <v>4382</v>
      </c>
      <c r="B21" t="s">
        <v>557</v>
      </c>
      <c r="C21" t="s">
        <v>259</v>
      </c>
      <c r="D21" t="s">
        <v>259</v>
      </c>
      <c r="E21" t="s">
        <v>939</v>
      </c>
      <c r="F21" t="s">
        <v>777</v>
      </c>
      <c r="G21" t="s">
        <v>368</v>
      </c>
      <c r="H21">
        <v>1356.39</v>
      </c>
      <c r="I21" t="s">
        <v>4363</v>
      </c>
      <c r="L21" s="451">
        <v>46303</v>
      </c>
      <c r="M21" s="451">
        <v>46325</v>
      </c>
      <c r="N21">
        <v>1356.39</v>
      </c>
      <c r="Q21" t="s">
        <v>806</v>
      </c>
      <c r="R21" t="s">
        <v>468</v>
      </c>
    </row>
    <row r="22" spans="1:19" x14ac:dyDescent="0.3">
      <c r="A22" t="s">
        <v>4383</v>
      </c>
      <c r="B22" t="s">
        <v>557</v>
      </c>
      <c r="C22" t="s">
        <v>259</v>
      </c>
      <c r="D22" t="s">
        <v>259</v>
      </c>
      <c r="E22" t="s">
        <v>942</v>
      </c>
      <c r="F22" t="s">
        <v>777</v>
      </c>
      <c r="G22" t="s">
        <v>368</v>
      </c>
      <c r="H22">
        <v>1356.39</v>
      </c>
      <c r="I22" t="s">
        <v>4363</v>
      </c>
      <c r="L22" s="451">
        <v>46273</v>
      </c>
      <c r="M22" s="451">
        <v>46295</v>
      </c>
      <c r="N22">
        <v>1356.39</v>
      </c>
      <c r="Q22" t="s">
        <v>813</v>
      </c>
      <c r="R22" t="s">
        <v>467</v>
      </c>
    </row>
    <row r="23" spans="1:19" x14ac:dyDescent="0.3">
      <c r="A23" t="s">
        <v>4384</v>
      </c>
      <c r="B23" t="s">
        <v>557</v>
      </c>
      <c r="C23" t="s">
        <v>259</v>
      </c>
      <c r="D23" t="s">
        <v>259</v>
      </c>
      <c r="E23" t="s">
        <v>954</v>
      </c>
      <c r="F23" t="s">
        <v>777</v>
      </c>
      <c r="G23" t="s">
        <v>368</v>
      </c>
      <c r="H23">
        <v>1356.39</v>
      </c>
      <c r="I23" t="s">
        <v>4363</v>
      </c>
      <c r="L23" s="451">
        <v>46242</v>
      </c>
      <c r="M23" s="451">
        <v>46264</v>
      </c>
      <c r="N23">
        <v>1356.39</v>
      </c>
      <c r="Q23" t="s">
        <v>813</v>
      </c>
      <c r="R23" t="s">
        <v>466</v>
      </c>
    </row>
    <row r="24" spans="1:19" x14ac:dyDescent="0.3">
      <c r="A24" t="s">
        <v>4385</v>
      </c>
      <c r="B24" t="s">
        <v>557</v>
      </c>
      <c r="C24" t="s">
        <v>259</v>
      </c>
      <c r="D24" t="s">
        <v>259</v>
      </c>
      <c r="E24" t="s">
        <v>958</v>
      </c>
      <c r="F24" t="s">
        <v>777</v>
      </c>
      <c r="G24" t="s">
        <v>368</v>
      </c>
      <c r="H24">
        <v>1356.39</v>
      </c>
      <c r="I24" t="s">
        <v>4363</v>
      </c>
      <c r="L24" s="451">
        <v>46211</v>
      </c>
      <c r="M24" s="451">
        <v>46233</v>
      </c>
      <c r="N24">
        <v>1356.39</v>
      </c>
      <c r="Q24" t="s">
        <v>813</v>
      </c>
      <c r="R24" t="s">
        <v>465</v>
      </c>
    </row>
    <row r="25" spans="1:19" x14ac:dyDescent="0.3">
      <c r="A25" t="s">
        <v>4386</v>
      </c>
      <c r="B25" t="s">
        <v>557</v>
      </c>
      <c r="C25" t="s">
        <v>259</v>
      </c>
      <c r="D25" t="s">
        <v>259</v>
      </c>
      <c r="E25" t="s">
        <v>1062</v>
      </c>
      <c r="F25" t="s">
        <v>777</v>
      </c>
      <c r="G25" t="s">
        <v>368</v>
      </c>
      <c r="H25">
        <v>1356.39</v>
      </c>
      <c r="I25" t="s">
        <v>4363</v>
      </c>
      <c r="L25" s="451">
        <v>46181</v>
      </c>
      <c r="M25" s="451">
        <v>46203</v>
      </c>
      <c r="N25">
        <v>1356.39</v>
      </c>
      <c r="O25" t="s">
        <v>894</v>
      </c>
      <c r="P25" s="451">
        <v>46182</v>
      </c>
      <c r="Q25" t="s">
        <v>813</v>
      </c>
      <c r="R25" t="s">
        <v>464</v>
      </c>
      <c r="S25" t="s">
        <v>464</v>
      </c>
    </row>
    <row r="26" spans="1:19" x14ac:dyDescent="0.3">
      <c r="A26" t="s">
        <v>4387</v>
      </c>
      <c r="B26" t="s">
        <v>557</v>
      </c>
      <c r="C26" t="s">
        <v>4388</v>
      </c>
      <c r="D26" t="s">
        <v>4388</v>
      </c>
      <c r="E26" t="s">
        <v>4389</v>
      </c>
      <c r="F26" t="s">
        <v>777</v>
      </c>
      <c r="G26" t="s">
        <v>369</v>
      </c>
      <c r="H26">
        <v>22000</v>
      </c>
      <c r="I26" t="s">
        <v>4390</v>
      </c>
      <c r="J26">
        <v>12</v>
      </c>
      <c r="K26">
        <v>12</v>
      </c>
      <c r="L26" s="451">
        <v>45909</v>
      </c>
      <c r="M26" s="451">
        <v>46251</v>
      </c>
      <c r="N26">
        <v>1833.34</v>
      </c>
      <c r="O26" t="s">
        <v>788</v>
      </c>
      <c r="Q26" t="s">
        <v>4391</v>
      </c>
      <c r="R26" t="s">
        <v>466</v>
      </c>
    </row>
    <row r="27" spans="1:19" x14ac:dyDescent="0.3">
      <c r="A27" t="s">
        <v>4392</v>
      </c>
      <c r="B27" t="s">
        <v>557</v>
      </c>
      <c r="C27" t="s">
        <v>4388</v>
      </c>
      <c r="D27" t="s">
        <v>4388</v>
      </c>
      <c r="E27" t="s">
        <v>4389</v>
      </c>
      <c r="F27" t="s">
        <v>777</v>
      </c>
      <c r="G27" t="s">
        <v>369</v>
      </c>
      <c r="H27">
        <v>22000</v>
      </c>
      <c r="I27" t="s">
        <v>4390</v>
      </c>
      <c r="J27">
        <v>12</v>
      </c>
      <c r="K27">
        <v>11</v>
      </c>
      <c r="L27" s="451">
        <v>45909</v>
      </c>
      <c r="M27" s="451">
        <v>46218</v>
      </c>
      <c r="N27">
        <v>1833.34</v>
      </c>
      <c r="O27" t="s">
        <v>788</v>
      </c>
      <c r="Q27" t="s">
        <v>4391</v>
      </c>
      <c r="R27" t="s">
        <v>465</v>
      </c>
    </row>
    <row r="28" spans="1:19" x14ac:dyDescent="0.3">
      <c r="A28" t="s">
        <v>4393</v>
      </c>
      <c r="B28" t="s">
        <v>557</v>
      </c>
      <c r="C28" t="s">
        <v>4388</v>
      </c>
      <c r="D28" t="s">
        <v>4388</v>
      </c>
      <c r="E28" t="s">
        <v>4389</v>
      </c>
      <c r="F28" t="s">
        <v>777</v>
      </c>
      <c r="G28" t="s">
        <v>369</v>
      </c>
      <c r="H28">
        <v>22000</v>
      </c>
      <c r="I28" t="s">
        <v>4390</v>
      </c>
      <c r="J28">
        <v>12</v>
      </c>
      <c r="K28">
        <v>10</v>
      </c>
      <c r="L28" s="451">
        <v>45909</v>
      </c>
      <c r="M28" s="451">
        <v>46188</v>
      </c>
      <c r="N28">
        <v>1833.34</v>
      </c>
      <c r="O28" t="s">
        <v>894</v>
      </c>
      <c r="P28" s="451">
        <v>46188</v>
      </c>
      <c r="Q28" t="s">
        <v>4391</v>
      </c>
      <c r="R28" t="s">
        <v>464</v>
      </c>
      <c r="S28" t="s">
        <v>464</v>
      </c>
    </row>
    <row r="29" spans="1:19" x14ac:dyDescent="0.3">
      <c r="A29" t="s">
        <v>4394</v>
      </c>
      <c r="B29" t="s">
        <v>557</v>
      </c>
      <c r="C29" t="s">
        <v>4388</v>
      </c>
      <c r="D29" t="s">
        <v>4388</v>
      </c>
      <c r="E29" t="s">
        <v>4389</v>
      </c>
      <c r="F29" t="s">
        <v>777</v>
      </c>
      <c r="G29" t="s">
        <v>369</v>
      </c>
      <c r="H29">
        <v>22000</v>
      </c>
      <c r="I29" t="s">
        <v>4390</v>
      </c>
      <c r="J29">
        <v>12</v>
      </c>
      <c r="K29">
        <v>9</v>
      </c>
      <c r="L29" s="451">
        <v>45909</v>
      </c>
      <c r="M29" s="451">
        <v>46157</v>
      </c>
      <c r="N29">
        <v>1833.34</v>
      </c>
      <c r="O29" t="s">
        <v>894</v>
      </c>
      <c r="P29" s="451">
        <v>46156</v>
      </c>
      <c r="Q29" t="s">
        <v>4391</v>
      </c>
      <c r="R29" t="s">
        <v>463</v>
      </c>
      <c r="S29" t="s">
        <v>463</v>
      </c>
    </row>
    <row r="30" spans="1:19" x14ac:dyDescent="0.3">
      <c r="A30" t="s">
        <v>4395</v>
      </c>
      <c r="B30" t="s">
        <v>557</v>
      </c>
      <c r="C30" t="s">
        <v>4388</v>
      </c>
      <c r="D30" t="s">
        <v>4388</v>
      </c>
      <c r="E30" t="s">
        <v>4389</v>
      </c>
      <c r="F30" t="s">
        <v>777</v>
      </c>
      <c r="G30" t="s">
        <v>369</v>
      </c>
      <c r="H30">
        <v>22000</v>
      </c>
      <c r="I30" t="s">
        <v>4390</v>
      </c>
      <c r="J30">
        <v>12</v>
      </c>
      <c r="K30">
        <v>8</v>
      </c>
      <c r="L30" s="451">
        <v>45909</v>
      </c>
      <c r="M30" s="451">
        <v>46127</v>
      </c>
      <c r="N30">
        <v>1833.34</v>
      </c>
      <c r="O30" t="s">
        <v>894</v>
      </c>
      <c r="P30" s="451">
        <v>46126</v>
      </c>
      <c r="Q30" t="s">
        <v>4391</v>
      </c>
      <c r="R30" t="s">
        <v>462</v>
      </c>
      <c r="S30" t="s">
        <v>462</v>
      </c>
    </row>
    <row r="31" spans="1:19" x14ac:dyDescent="0.3">
      <c r="A31" t="s">
        <v>4396</v>
      </c>
      <c r="B31" t="s">
        <v>557</v>
      </c>
      <c r="C31" t="s">
        <v>4388</v>
      </c>
      <c r="D31" t="s">
        <v>4388</v>
      </c>
      <c r="E31" t="s">
        <v>4389</v>
      </c>
      <c r="F31" t="s">
        <v>777</v>
      </c>
      <c r="G31" t="s">
        <v>369</v>
      </c>
      <c r="H31">
        <v>22000</v>
      </c>
      <c r="I31" t="s">
        <v>4390</v>
      </c>
      <c r="J31">
        <v>12</v>
      </c>
      <c r="K31">
        <v>7</v>
      </c>
      <c r="L31" s="451">
        <v>45909</v>
      </c>
      <c r="M31" s="451">
        <v>46097</v>
      </c>
      <c r="N31">
        <v>1833.34</v>
      </c>
      <c r="O31" t="s">
        <v>894</v>
      </c>
      <c r="P31" s="451">
        <v>46097</v>
      </c>
      <c r="Q31" t="s">
        <v>4391</v>
      </c>
      <c r="R31" t="s">
        <v>461</v>
      </c>
      <c r="S31" t="s">
        <v>461</v>
      </c>
    </row>
    <row r="32" spans="1:19" x14ac:dyDescent="0.3">
      <c r="A32" t="s">
        <v>4397</v>
      </c>
      <c r="B32" t="s">
        <v>557</v>
      </c>
      <c r="C32" t="s">
        <v>4388</v>
      </c>
      <c r="D32" t="s">
        <v>4388</v>
      </c>
      <c r="E32" t="s">
        <v>4389</v>
      </c>
      <c r="F32" t="s">
        <v>777</v>
      </c>
      <c r="G32" t="s">
        <v>369</v>
      </c>
      <c r="H32">
        <v>22000</v>
      </c>
      <c r="I32" t="s">
        <v>4390</v>
      </c>
      <c r="J32">
        <v>12</v>
      </c>
      <c r="K32">
        <v>6</v>
      </c>
      <c r="L32" s="451">
        <v>45909</v>
      </c>
      <c r="M32" s="451">
        <v>46069</v>
      </c>
      <c r="N32">
        <v>1833.34</v>
      </c>
      <c r="O32" t="s">
        <v>894</v>
      </c>
      <c r="P32" s="451">
        <v>46069</v>
      </c>
      <c r="Q32" t="s">
        <v>4391</v>
      </c>
      <c r="R32" t="s">
        <v>460</v>
      </c>
      <c r="S32" t="s">
        <v>460</v>
      </c>
    </row>
    <row r="33" spans="1:19" x14ac:dyDescent="0.3">
      <c r="A33" t="s">
        <v>4398</v>
      </c>
      <c r="B33" t="s">
        <v>557</v>
      </c>
      <c r="C33" t="s">
        <v>4388</v>
      </c>
      <c r="D33" t="s">
        <v>4388</v>
      </c>
      <c r="E33" t="s">
        <v>4389</v>
      </c>
      <c r="F33" t="s">
        <v>777</v>
      </c>
      <c r="G33" t="s">
        <v>369</v>
      </c>
      <c r="H33">
        <v>22000</v>
      </c>
      <c r="I33" t="s">
        <v>4390</v>
      </c>
      <c r="J33">
        <v>12</v>
      </c>
      <c r="K33">
        <v>5</v>
      </c>
      <c r="L33" s="451">
        <v>45909</v>
      </c>
      <c r="M33" s="451">
        <v>46037</v>
      </c>
      <c r="N33">
        <v>1833.34</v>
      </c>
      <c r="O33" t="s">
        <v>894</v>
      </c>
      <c r="P33" s="451">
        <v>46037</v>
      </c>
      <c r="Q33" t="s">
        <v>4391</v>
      </c>
      <c r="R33" t="s">
        <v>459</v>
      </c>
      <c r="S33" t="s">
        <v>459</v>
      </c>
    </row>
    <row r="34" spans="1:19" x14ac:dyDescent="0.3">
      <c r="A34" t="s">
        <v>4399</v>
      </c>
      <c r="B34" t="s">
        <v>557</v>
      </c>
      <c r="C34" t="s">
        <v>4388</v>
      </c>
      <c r="D34" t="s">
        <v>4388</v>
      </c>
      <c r="E34" t="s">
        <v>4389</v>
      </c>
      <c r="F34" t="s">
        <v>777</v>
      </c>
      <c r="G34" t="s">
        <v>369</v>
      </c>
      <c r="H34">
        <v>22000</v>
      </c>
      <c r="I34" t="s">
        <v>4390</v>
      </c>
      <c r="J34">
        <v>12</v>
      </c>
      <c r="K34">
        <v>4</v>
      </c>
      <c r="L34" s="451">
        <v>45909</v>
      </c>
      <c r="M34" s="451">
        <v>46006</v>
      </c>
      <c r="N34">
        <v>1833.34</v>
      </c>
      <c r="O34" t="s">
        <v>894</v>
      </c>
      <c r="P34" s="451">
        <v>46006</v>
      </c>
      <c r="Q34" t="s">
        <v>4391</v>
      </c>
      <c r="R34" t="s">
        <v>458</v>
      </c>
      <c r="S34" t="s">
        <v>458</v>
      </c>
    </row>
    <row r="35" spans="1:19" x14ac:dyDescent="0.3">
      <c r="A35" t="s">
        <v>4400</v>
      </c>
      <c r="B35" t="s">
        <v>557</v>
      </c>
      <c r="C35" t="s">
        <v>4388</v>
      </c>
      <c r="D35" t="s">
        <v>4388</v>
      </c>
      <c r="E35" t="s">
        <v>4389</v>
      </c>
      <c r="F35" t="s">
        <v>777</v>
      </c>
      <c r="G35" t="s">
        <v>369</v>
      </c>
      <c r="H35">
        <v>22000</v>
      </c>
      <c r="I35" t="s">
        <v>4390</v>
      </c>
      <c r="J35">
        <v>12</v>
      </c>
      <c r="K35">
        <v>3</v>
      </c>
      <c r="L35" s="451">
        <v>45909</v>
      </c>
      <c r="M35" s="451">
        <v>45978</v>
      </c>
      <c r="N35">
        <v>1833.34</v>
      </c>
      <c r="O35" t="s">
        <v>894</v>
      </c>
      <c r="P35" s="451">
        <v>45978</v>
      </c>
      <c r="Q35" t="s">
        <v>4391</v>
      </c>
      <c r="R35" t="s">
        <v>753</v>
      </c>
      <c r="S35" t="s">
        <v>753</v>
      </c>
    </row>
    <row r="36" spans="1:19" x14ac:dyDescent="0.3">
      <c r="A36" t="s">
        <v>4401</v>
      </c>
      <c r="B36" t="s">
        <v>557</v>
      </c>
      <c r="C36" t="s">
        <v>4388</v>
      </c>
      <c r="D36" t="s">
        <v>4388</v>
      </c>
      <c r="E36" t="s">
        <v>4389</v>
      </c>
      <c r="F36" t="s">
        <v>777</v>
      </c>
      <c r="G36" t="s">
        <v>369</v>
      </c>
      <c r="H36">
        <v>22000</v>
      </c>
      <c r="I36" t="s">
        <v>4390</v>
      </c>
      <c r="J36">
        <v>12</v>
      </c>
      <c r="K36">
        <v>2</v>
      </c>
      <c r="L36" s="451">
        <v>45909</v>
      </c>
      <c r="M36" s="451">
        <v>45945</v>
      </c>
      <c r="N36">
        <v>1833.34</v>
      </c>
      <c r="O36" t="s">
        <v>894</v>
      </c>
      <c r="P36" s="451">
        <v>45944</v>
      </c>
      <c r="Q36" t="s">
        <v>4391</v>
      </c>
      <c r="R36" t="s">
        <v>751</v>
      </c>
      <c r="S36" t="s">
        <v>751</v>
      </c>
    </row>
    <row r="37" spans="1:19" x14ac:dyDescent="0.3">
      <c r="A37" t="s">
        <v>4402</v>
      </c>
      <c r="B37" t="s">
        <v>557</v>
      </c>
      <c r="C37" t="s">
        <v>4388</v>
      </c>
      <c r="D37" t="s">
        <v>4388</v>
      </c>
      <c r="E37" t="s">
        <v>4389</v>
      </c>
      <c r="F37" t="s">
        <v>777</v>
      </c>
      <c r="G37" t="s">
        <v>369</v>
      </c>
      <c r="H37">
        <v>22000</v>
      </c>
      <c r="I37" t="s">
        <v>4390</v>
      </c>
      <c r="J37">
        <v>12</v>
      </c>
      <c r="K37">
        <v>1</v>
      </c>
      <c r="L37" s="451">
        <v>45909</v>
      </c>
      <c r="M37" s="451">
        <v>45915</v>
      </c>
      <c r="N37">
        <v>1833.34</v>
      </c>
      <c r="O37" t="s">
        <v>894</v>
      </c>
      <c r="P37" s="451">
        <v>45915</v>
      </c>
      <c r="Q37" t="s">
        <v>4391</v>
      </c>
      <c r="R37" t="s">
        <v>3999</v>
      </c>
      <c r="S37" t="s">
        <v>3999</v>
      </c>
    </row>
    <row r="38" spans="1:19" x14ac:dyDescent="0.3">
      <c r="A38" t="s">
        <v>4403</v>
      </c>
      <c r="B38" t="s">
        <v>557</v>
      </c>
      <c r="C38" t="s">
        <v>4404</v>
      </c>
      <c r="D38" t="s">
        <v>4404</v>
      </c>
      <c r="E38" t="s">
        <v>4405</v>
      </c>
      <c r="F38" t="s">
        <v>777</v>
      </c>
      <c r="G38" t="s">
        <v>369</v>
      </c>
      <c r="H38">
        <v>13000</v>
      </c>
      <c r="I38" t="s">
        <v>4390</v>
      </c>
      <c r="J38">
        <v>4</v>
      </c>
      <c r="K38">
        <v>4</v>
      </c>
      <c r="L38" s="451">
        <v>45807</v>
      </c>
      <c r="M38" s="451">
        <v>45909</v>
      </c>
      <c r="N38">
        <v>3250</v>
      </c>
      <c r="O38" t="s">
        <v>894</v>
      </c>
      <c r="P38" s="451">
        <v>45909</v>
      </c>
      <c r="Q38" t="s">
        <v>4406</v>
      </c>
      <c r="R38" t="s">
        <v>3999</v>
      </c>
      <c r="S38" t="s">
        <v>3999</v>
      </c>
    </row>
    <row r="39" spans="1:19" x14ac:dyDescent="0.3">
      <c r="A39" t="s">
        <v>4407</v>
      </c>
      <c r="B39" t="s">
        <v>557</v>
      </c>
      <c r="C39" t="s">
        <v>4404</v>
      </c>
      <c r="D39" t="s">
        <v>4404</v>
      </c>
      <c r="E39" t="s">
        <v>4405</v>
      </c>
      <c r="F39" t="s">
        <v>777</v>
      </c>
      <c r="G39" t="s">
        <v>369</v>
      </c>
      <c r="H39">
        <v>13000</v>
      </c>
      <c r="I39" t="s">
        <v>4390</v>
      </c>
      <c r="J39">
        <v>4</v>
      </c>
      <c r="K39">
        <v>3</v>
      </c>
      <c r="L39" s="451">
        <v>45807</v>
      </c>
      <c r="M39" s="451">
        <v>45880</v>
      </c>
      <c r="N39">
        <v>3250</v>
      </c>
      <c r="O39" t="s">
        <v>894</v>
      </c>
      <c r="P39" s="451">
        <v>45880</v>
      </c>
      <c r="Q39" t="s">
        <v>4406</v>
      </c>
      <c r="R39" t="s">
        <v>4038</v>
      </c>
      <c r="S39" t="s">
        <v>4038</v>
      </c>
    </row>
    <row r="40" spans="1:19" x14ac:dyDescent="0.3">
      <c r="A40" t="s">
        <v>4408</v>
      </c>
      <c r="B40" t="s">
        <v>557</v>
      </c>
      <c r="C40" t="s">
        <v>4404</v>
      </c>
      <c r="D40" t="s">
        <v>4404</v>
      </c>
      <c r="E40" t="s">
        <v>4405</v>
      </c>
      <c r="F40" t="s">
        <v>777</v>
      </c>
      <c r="G40" t="s">
        <v>369</v>
      </c>
      <c r="H40">
        <v>13000</v>
      </c>
      <c r="I40" t="s">
        <v>4390</v>
      </c>
      <c r="J40">
        <v>4</v>
      </c>
      <c r="K40">
        <v>2</v>
      </c>
      <c r="L40" s="451">
        <v>45807</v>
      </c>
      <c r="M40" s="451">
        <v>45847</v>
      </c>
      <c r="N40">
        <v>3250</v>
      </c>
      <c r="O40" t="s">
        <v>894</v>
      </c>
      <c r="P40" s="451">
        <v>45846</v>
      </c>
      <c r="Q40" t="s">
        <v>4406</v>
      </c>
      <c r="R40" t="s">
        <v>4040</v>
      </c>
      <c r="S40" t="s">
        <v>4040</v>
      </c>
    </row>
    <row r="41" spans="1:19" x14ac:dyDescent="0.3">
      <c r="A41" t="s">
        <v>4409</v>
      </c>
      <c r="B41" t="s">
        <v>557</v>
      </c>
      <c r="C41" t="s">
        <v>4404</v>
      </c>
      <c r="D41" t="s">
        <v>4404</v>
      </c>
      <c r="E41" t="s">
        <v>4405</v>
      </c>
      <c r="F41" t="s">
        <v>777</v>
      </c>
      <c r="G41" t="s">
        <v>369</v>
      </c>
      <c r="H41">
        <v>13000</v>
      </c>
      <c r="I41" t="s">
        <v>4390</v>
      </c>
      <c r="J41">
        <v>4</v>
      </c>
      <c r="K41">
        <v>1</v>
      </c>
      <c r="L41" s="451">
        <v>45807</v>
      </c>
      <c r="M41" s="451">
        <v>45817</v>
      </c>
      <c r="N41">
        <v>3250</v>
      </c>
      <c r="O41" t="s">
        <v>894</v>
      </c>
      <c r="P41" s="451">
        <v>45817</v>
      </c>
      <c r="Q41" t="s">
        <v>4406</v>
      </c>
      <c r="R41" t="s">
        <v>3935</v>
      </c>
      <c r="S41" t="s">
        <v>3935</v>
      </c>
    </row>
    <row r="42" spans="1:19" x14ac:dyDescent="0.3">
      <c r="A42" t="s">
        <v>4410</v>
      </c>
      <c r="B42" t="s">
        <v>557</v>
      </c>
      <c r="C42" t="s">
        <v>4411</v>
      </c>
      <c r="D42" t="s">
        <v>4411</v>
      </c>
      <c r="E42" t="s">
        <v>4412</v>
      </c>
      <c r="F42" t="s">
        <v>777</v>
      </c>
      <c r="G42" t="s">
        <v>369</v>
      </c>
      <c r="H42">
        <v>13000</v>
      </c>
      <c r="I42" t="s">
        <v>4390</v>
      </c>
      <c r="J42">
        <v>4</v>
      </c>
      <c r="K42">
        <v>4</v>
      </c>
      <c r="L42" s="451">
        <v>45807</v>
      </c>
      <c r="M42" s="451">
        <v>45902</v>
      </c>
      <c r="N42">
        <v>3250</v>
      </c>
      <c r="O42" t="s">
        <v>894</v>
      </c>
      <c r="P42" s="451">
        <v>45902</v>
      </c>
      <c r="Q42" t="s">
        <v>4413</v>
      </c>
      <c r="R42" t="s">
        <v>3999</v>
      </c>
      <c r="S42" t="s">
        <v>3999</v>
      </c>
    </row>
    <row r="43" spans="1:19" x14ac:dyDescent="0.3">
      <c r="A43" t="s">
        <v>4414</v>
      </c>
      <c r="B43" t="s">
        <v>557</v>
      </c>
      <c r="C43" t="s">
        <v>4411</v>
      </c>
      <c r="D43" t="s">
        <v>4411</v>
      </c>
      <c r="E43" t="s">
        <v>4412</v>
      </c>
      <c r="F43" t="s">
        <v>777</v>
      </c>
      <c r="G43" t="s">
        <v>369</v>
      </c>
      <c r="H43">
        <v>13000</v>
      </c>
      <c r="I43" t="s">
        <v>4390</v>
      </c>
      <c r="J43">
        <v>4</v>
      </c>
      <c r="K43">
        <v>3</v>
      </c>
      <c r="L43" s="451">
        <v>45807</v>
      </c>
      <c r="M43" s="451">
        <v>45873</v>
      </c>
      <c r="N43">
        <v>3250</v>
      </c>
      <c r="O43" t="s">
        <v>894</v>
      </c>
      <c r="P43" s="451">
        <v>45873</v>
      </c>
      <c r="Q43" t="s">
        <v>4413</v>
      </c>
      <c r="R43" t="s">
        <v>4038</v>
      </c>
      <c r="S43" t="s">
        <v>4038</v>
      </c>
    </row>
    <row r="44" spans="1:19" x14ac:dyDescent="0.3">
      <c r="A44" t="s">
        <v>4415</v>
      </c>
      <c r="B44" t="s">
        <v>557</v>
      </c>
      <c r="C44" t="s">
        <v>4411</v>
      </c>
      <c r="D44" t="s">
        <v>4411</v>
      </c>
      <c r="E44" t="s">
        <v>4412</v>
      </c>
      <c r="F44" t="s">
        <v>777</v>
      </c>
      <c r="G44" t="s">
        <v>369</v>
      </c>
      <c r="H44">
        <v>13000</v>
      </c>
      <c r="I44" t="s">
        <v>4390</v>
      </c>
      <c r="J44">
        <v>4</v>
      </c>
      <c r="K44">
        <v>2</v>
      </c>
      <c r="L44" s="451">
        <v>45807</v>
      </c>
      <c r="M44" s="451">
        <v>45840</v>
      </c>
      <c r="N44">
        <v>3250</v>
      </c>
      <c r="O44" t="s">
        <v>894</v>
      </c>
      <c r="P44" s="451">
        <v>45839</v>
      </c>
      <c r="Q44" t="s">
        <v>4413</v>
      </c>
      <c r="R44" t="s">
        <v>4040</v>
      </c>
      <c r="S44" t="s">
        <v>4040</v>
      </c>
    </row>
    <row r="45" spans="1:19" x14ac:dyDescent="0.3">
      <c r="A45" t="s">
        <v>4416</v>
      </c>
      <c r="B45" t="s">
        <v>557</v>
      </c>
      <c r="C45" t="s">
        <v>4411</v>
      </c>
      <c r="D45" t="s">
        <v>4411</v>
      </c>
      <c r="E45" t="s">
        <v>4412</v>
      </c>
      <c r="F45" t="s">
        <v>777</v>
      </c>
      <c r="G45" t="s">
        <v>369</v>
      </c>
      <c r="H45">
        <v>13000</v>
      </c>
      <c r="I45" t="s">
        <v>4390</v>
      </c>
      <c r="J45">
        <v>4</v>
      </c>
      <c r="K45">
        <v>1</v>
      </c>
      <c r="L45" s="451">
        <v>45807</v>
      </c>
      <c r="M45" s="451">
        <v>45810</v>
      </c>
      <c r="N45">
        <v>3250</v>
      </c>
      <c r="O45" t="s">
        <v>894</v>
      </c>
      <c r="P45" s="451">
        <v>45810</v>
      </c>
      <c r="Q45" t="s">
        <v>4413</v>
      </c>
      <c r="R45" t="s">
        <v>3935</v>
      </c>
      <c r="S45" t="s">
        <v>3935</v>
      </c>
    </row>
    <row r="46" spans="1:19" x14ac:dyDescent="0.3">
      <c r="A46" t="s">
        <v>4417</v>
      </c>
      <c r="B46" t="s">
        <v>557</v>
      </c>
      <c r="C46" t="s">
        <v>4418</v>
      </c>
      <c r="D46" t="s">
        <v>4418</v>
      </c>
      <c r="E46" t="s">
        <v>4419</v>
      </c>
      <c r="F46" t="s">
        <v>777</v>
      </c>
      <c r="G46" t="s">
        <v>369</v>
      </c>
      <c r="H46">
        <v>10800</v>
      </c>
      <c r="I46" t="s">
        <v>4390</v>
      </c>
      <c r="J46">
        <v>6</v>
      </c>
      <c r="K46">
        <v>6</v>
      </c>
      <c r="L46" s="451">
        <v>45807</v>
      </c>
      <c r="M46" s="451">
        <v>45971</v>
      </c>
      <c r="N46">
        <v>1800</v>
      </c>
      <c r="O46" t="s">
        <v>894</v>
      </c>
      <c r="P46" s="451">
        <v>45971</v>
      </c>
      <c r="Q46" t="s">
        <v>4420</v>
      </c>
      <c r="R46" t="s">
        <v>753</v>
      </c>
      <c r="S46" t="s">
        <v>753</v>
      </c>
    </row>
    <row r="47" spans="1:19" x14ac:dyDescent="0.3">
      <c r="A47" t="s">
        <v>4421</v>
      </c>
      <c r="B47" t="s">
        <v>557</v>
      </c>
      <c r="C47" t="s">
        <v>4418</v>
      </c>
      <c r="D47" t="s">
        <v>4418</v>
      </c>
      <c r="E47" t="s">
        <v>4419</v>
      </c>
      <c r="F47" t="s">
        <v>777</v>
      </c>
      <c r="G47" t="s">
        <v>369</v>
      </c>
      <c r="H47">
        <v>10800</v>
      </c>
      <c r="I47" t="s">
        <v>4390</v>
      </c>
      <c r="J47">
        <v>6</v>
      </c>
      <c r="K47">
        <v>5</v>
      </c>
      <c r="L47" s="451">
        <v>45807</v>
      </c>
      <c r="M47" s="451">
        <v>45939</v>
      </c>
      <c r="N47">
        <v>1800</v>
      </c>
      <c r="O47" t="s">
        <v>894</v>
      </c>
      <c r="P47" s="451">
        <v>45939</v>
      </c>
      <c r="Q47" t="s">
        <v>4420</v>
      </c>
      <c r="R47" t="s">
        <v>751</v>
      </c>
      <c r="S47" t="s">
        <v>751</v>
      </c>
    </row>
    <row r="48" spans="1:19" x14ac:dyDescent="0.3">
      <c r="A48" t="s">
        <v>4422</v>
      </c>
      <c r="B48" t="s">
        <v>557</v>
      </c>
      <c r="C48" t="s">
        <v>4418</v>
      </c>
      <c r="D48" t="s">
        <v>4418</v>
      </c>
      <c r="E48" t="s">
        <v>4419</v>
      </c>
      <c r="F48" t="s">
        <v>777</v>
      </c>
      <c r="G48" t="s">
        <v>369</v>
      </c>
      <c r="H48">
        <v>10800</v>
      </c>
      <c r="I48" t="s">
        <v>4390</v>
      </c>
      <c r="J48">
        <v>6</v>
      </c>
      <c r="K48">
        <v>4</v>
      </c>
      <c r="L48" s="451">
        <v>45807</v>
      </c>
      <c r="M48" s="451">
        <v>45909</v>
      </c>
      <c r="N48">
        <v>1800</v>
      </c>
      <c r="O48" t="s">
        <v>894</v>
      </c>
      <c r="P48" s="451">
        <v>45909</v>
      </c>
      <c r="Q48" t="s">
        <v>4420</v>
      </c>
      <c r="R48" t="s">
        <v>3999</v>
      </c>
      <c r="S48" t="s">
        <v>3999</v>
      </c>
    </row>
    <row r="49" spans="1:19" x14ac:dyDescent="0.3">
      <c r="A49" t="s">
        <v>4423</v>
      </c>
      <c r="B49" t="s">
        <v>557</v>
      </c>
      <c r="C49" t="s">
        <v>4418</v>
      </c>
      <c r="D49" t="s">
        <v>4418</v>
      </c>
      <c r="E49" t="s">
        <v>4419</v>
      </c>
      <c r="F49" t="s">
        <v>777</v>
      </c>
      <c r="G49" t="s">
        <v>369</v>
      </c>
      <c r="H49">
        <v>10800</v>
      </c>
      <c r="I49" t="s">
        <v>4390</v>
      </c>
      <c r="J49">
        <v>6</v>
      </c>
      <c r="K49">
        <v>3</v>
      </c>
      <c r="L49" s="451">
        <v>45807</v>
      </c>
      <c r="M49" s="451">
        <v>45880</v>
      </c>
      <c r="N49">
        <v>1800</v>
      </c>
      <c r="O49" t="s">
        <v>894</v>
      </c>
      <c r="P49" s="451">
        <v>45880</v>
      </c>
      <c r="Q49" t="s">
        <v>4420</v>
      </c>
      <c r="R49" t="s">
        <v>4038</v>
      </c>
      <c r="S49" t="s">
        <v>4038</v>
      </c>
    </row>
    <row r="50" spans="1:19" x14ac:dyDescent="0.3">
      <c r="A50" t="s">
        <v>4424</v>
      </c>
      <c r="B50" t="s">
        <v>557</v>
      </c>
      <c r="C50" t="s">
        <v>4418</v>
      </c>
      <c r="D50" t="s">
        <v>4418</v>
      </c>
      <c r="E50" t="s">
        <v>4419</v>
      </c>
      <c r="F50" t="s">
        <v>777</v>
      </c>
      <c r="G50" t="s">
        <v>369</v>
      </c>
      <c r="H50">
        <v>10800</v>
      </c>
      <c r="I50" t="s">
        <v>4390</v>
      </c>
      <c r="J50">
        <v>6</v>
      </c>
      <c r="K50">
        <v>2</v>
      </c>
      <c r="L50" s="451">
        <v>45807</v>
      </c>
      <c r="M50" s="451">
        <v>45847</v>
      </c>
      <c r="N50">
        <v>1800</v>
      </c>
      <c r="O50" t="s">
        <v>894</v>
      </c>
      <c r="P50" s="451">
        <v>45846</v>
      </c>
      <c r="Q50" t="s">
        <v>4420</v>
      </c>
      <c r="R50" t="s">
        <v>4040</v>
      </c>
      <c r="S50" t="s">
        <v>4040</v>
      </c>
    </row>
    <row r="51" spans="1:19" x14ac:dyDescent="0.3">
      <c r="A51" t="s">
        <v>4425</v>
      </c>
      <c r="B51" t="s">
        <v>557</v>
      </c>
      <c r="C51" t="s">
        <v>4418</v>
      </c>
      <c r="D51" t="s">
        <v>4418</v>
      </c>
      <c r="E51" t="s">
        <v>4419</v>
      </c>
      <c r="F51" t="s">
        <v>777</v>
      </c>
      <c r="G51" t="s">
        <v>369</v>
      </c>
      <c r="H51">
        <v>10800</v>
      </c>
      <c r="I51" t="s">
        <v>4390</v>
      </c>
      <c r="J51">
        <v>6</v>
      </c>
      <c r="K51">
        <v>1</v>
      </c>
      <c r="L51" s="451">
        <v>45807</v>
      </c>
      <c r="M51" s="451">
        <v>45817</v>
      </c>
      <c r="N51">
        <v>1800</v>
      </c>
      <c r="O51" t="s">
        <v>894</v>
      </c>
      <c r="P51" s="451">
        <v>45817</v>
      </c>
      <c r="Q51" t="s">
        <v>4420</v>
      </c>
      <c r="R51" t="s">
        <v>3935</v>
      </c>
      <c r="S51" t="s">
        <v>3935</v>
      </c>
    </row>
    <row r="52" spans="1:19" x14ac:dyDescent="0.3">
      <c r="A52" t="s">
        <v>4426</v>
      </c>
      <c r="B52" t="s">
        <v>557</v>
      </c>
      <c r="C52" t="s">
        <v>4427</v>
      </c>
      <c r="D52" t="s">
        <v>4427</v>
      </c>
      <c r="E52" t="s">
        <v>4428</v>
      </c>
      <c r="F52" t="s">
        <v>777</v>
      </c>
      <c r="G52" t="s">
        <v>369</v>
      </c>
      <c r="H52">
        <v>15000</v>
      </c>
      <c r="I52" t="s">
        <v>4390</v>
      </c>
      <c r="J52">
        <v>6</v>
      </c>
      <c r="K52">
        <v>6</v>
      </c>
      <c r="L52" s="451">
        <v>45755</v>
      </c>
      <c r="M52" s="451">
        <v>45929</v>
      </c>
      <c r="N52">
        <v>2500</v>
      </c>
      <c r="O52" t="s">
        <v>894</v>
      </c>
      <c r="P52" s="451">
        <v>45929</v>
      </c>
      <c r="Q52" t="s">
        <v>4429</v>
      </c>
      <c r="R52" t="s">
        <v>3999</v>
      </c>
      <c r="S52" t="s">
        <v>3999</v>
      </c>
    </row>
    <row r="53" spans="1:19" x14ac:dyDescent="0.3">
      <c r="A53" t="s">
        <v>4430</v>
      </c>
      <c r="B53" t="s">
        <v>557</v>
      </c>
      <c r="C53" t="s">
        <v>4427</v>
      </c>
      <c r="D53" t="s">
        <v>4427</v>
      </c>
      <c r="E53" t="s">
        <v>4428</v>
      </c>
      <c r="F53" t="s">
        <v>777</v>
      </c>
      <c r="G53" t="s">
        <v>369</v>
      </c>
      <c r="H53">
        <v>15000</v>
      </c>
      <c r="I53" t="s">
        <v>4390</v>
      </c>
      <c r="J53">
        <v>6</v>
      </c>
      <c r="K53">
        <v>5</v>
      </c>
      <c r="L53" s="451">
        <v>45755</v>
      </c>
      <c r="M53" s="451">
        <v>45897</v>
      </c>
      <c r="N53">
        <v>2500</v>
      </c>
      <c r="O53" t="s">
        <v>894</v>
      </c>
      <c r="P53" s="451">
        <v>45897</v>
      </c>
      <c r="Q53" t="s">
        <v>4429</v>
      </c>
      <c r="R53" t="s">
        <v>4038</v>
      </c>
      <c r="S53" t="s">
        <v>4038</v>
      </c>
    </row>
    <row r="54" spans="1:19" x14ac:dyDescent="0.3">
      <c r="A54" t="s">
        <v>4431</v>
      </c>
      <c r="B54" t="s">
        <v>557</v>
      </c>
      <c r="C54" t="s">
        <v>4427</v>
      </c>
      <c r="D54" t="s">
        <v>4427</v>
      </c>
      <c r="E54" t="s">
        <v>4428</v>
      </c>
      <c r="F54" t="s">
        <v>777</v>
      </c>
      <c r="G54" t="s">
        <v>369</v>
      </c>
      <c r="H54">
        <v>15000</v>
      </c>
      <c r="I54" t="s">
        <v>4390</v>
      </c>
      <c r="J54">
        <v>6</v>
      </c>
      <c r="K54">
        <v>4</v>
      </c>
      <c r="L54" s="451">
        <v>45755</v>
      </c>
      <c r="M54" s="451">
        <v>45866</v>
      </c>
      <c r="N54">
        <v>2500</v>
      </c>
      <c r="O54" t="s">
        <v>894</v>
      </c>
      <c r="P54" s="451">
        <v>45866</v>
      </c>
      <c r="Q54" t="s">
        <v>4429</v>
      </c>
      <c r="R54" t="s">
        <v>4040</v>
      </c>
      <c r="S54" t="s">
        <v>4040</v>
      </c>
    </row>
    <row r="55" spans="1:19" x14ac:dyDescent="0.3">
      <c r="A55" t="s">
        <v>4432</v>
      </c>
      <c r="B55" t="s">
        <v>557</v>
      </c>
      <c r="C55" t="s">
        <v>4427</v>
      </c>
      <c r="D55" t="s">
        <v>4427</v>
      </c>
      <c r="E55" t="s">
        <v>4428</v>
      </c>
      <c r="F55" t="s">
        <v>777</v>
      </c>
      <c r="G55" t="s">
        <v>369</v>
      </c>
      <c r="H55">
        <v>15000</v>
      </c>
      <c r="I55" t="s">
        <v>4390</v>
      </c>
      <c r="J55">
        <v>6</v>
      </c>
      <c r="K55">
        <v>3</v>
      </c>
      <c r="L55" s="451">
        <v>45755</v>
      </c>
      <c r="M55" s="451">
        <v>45838</v>
      </c>
      <c r="N55">
        <v>2500</v>
      </c>
      <c r="O55" t="s">
        <v>894</v>
      </c>
      <c r="P55" s="451">
        <v>45838</v>
      </c>
      <c r="Q55" t="s">
        <v>4429</v>
      </c>
      <c r="R55" t="s">
        <v>3935</v>
      </c>
      <c r="S55" t="s">
        <v>3935</v>
      </c>
    </row>
    <row r="56" spans="1:19" x14ac:dyDescent="0.3">
      <c r="A56" t="s">
        <v>4433</v>
      </c>
      <c r="B56" t="s">
        <v>557</v>
      </c>
      <c r="C56" t="s">
        <v>4427</v>
      </c>
      <c r="D56" t="s">
        <v>4427</v>
      </c>
      <c r="E56" t="s">
        <v>4428</v>
      </c>
      <c r="F56" t="s">
        <v>777</v>
      </c>
      <c r="G56" t="s">
        <v>369</v>
      </c>
      <c r="H56">
        <v>15000</v>
      </c>
      <c r="I56" t="s">
        <v>4390</v>
      </c>
      <c r="J56">
        <v>6</v>
      </c>
      <c r="K56">
        <v>2</v>
      </c>
      <c r="L56" s="451">
        <v>45755</v>
      </c>
      <c r="M56" s="451">
        <v>45805</v>
      </c>
      <c r="N56">
        <v>2500</v>
      </c>
      <c r="O56" t="s">
        <v>894</v>
      </c>
      <c r="P56" s="451">
        <v>45804</v>
      </c>
      <c r="Q56" t="s">
        <v>4429</v>
      </c>
      <c r="R56" t="s">
        <v>4434</v>
      </c>
      <c r="S56" t="s">
        <v>4434</v>
      </c>
    </row>
    <row r="57" spans="1:19" x14ac:dyDescent="0.3">
      <c r="A57" t="s">
        <v>4435</v>
      </c>
      <c r="B57" t="s">
        <v>557</v>
      </c>
      <c r="C57" t="s">
        <v>4427</v>
      </c>
      <c r="D57" t="s">
        <v>4427</v>
      </c>
      <c r="E57" t="s">
        <v>4428</v>
      </c>
      <c r="F57" t="s">
        <v>777</v>
      </c>
      <c r="G57" t="s">
        <v>369</v>
      </c>
      <c r="H57">
        <v>15000</v>
      </c>
      <c r="I57" t="s">
        <v>4390</v>
      </c>
      <c r="J57">
        <v>6</v>
      </c>
      <c r="K57">
        <v>1</v>
      </c>
      <c r="L57" s="451">
        <v>45755</v>
      </c>
      <c r="M57" s="451">
        <v>45775</v>
      </c>
      <c r="N57">
        <v>2500</v>
      </c>
      <c r="O57" t="s">
        <v>894</v>
      </c>
      <c r="P57" s="451">
        <v>45775</v>
      </c>
      <c r="Q57" t="s">
        <v>4429</v>
      </c>
      <c r="R57" t="s">
        <v>4436</v>
      </c>
      <c r="S57" t="s">
        <v>4436</v>
      </c>
    </row>
    <row r="58" spans="1:19" x14ac:dyDescent="0.3">
      <c r="A58" t="s">
        <v>4437</v>
      </c>
      <c r="B58" t="s">
        <v>557</v>
      </c>
      <c r="C58" t="s">
        <v>259</v>
      </c>
      <c r="D58" t="s">
        <v>259</v>
      </c>
      <c r="E58" t="s">
        <v>776</v>
      </c>
      <c r="F58" t="s">
        <v>777</v>
      </c>
      <c r="G58" t="s">
        <v>368</v>
      </c>
      <c r="H58">
        <v>1520.61</v>
      </c>
      <c r="I58" t="s">
        <v>4363</v>
      </c>
      <c r="L58" s="451">
        <v>46840</v>
      </c>
      <c r="M58" s="451">
        <v>46840</v>
      </c>
      <c r="N58">
        <v>1520.61</v>
      </c>
      <c r="Q58" t="s">
        <v>778</v>
      </c>
      <c r="R58" t="s">
        <v>780</v>
      </c>
    </row>
    <row r="59" spans="1:19" x14ac:dyDescent="0.3">
      <c r="A59" t="s">
        <v>4438</v>
      </c>
      <c r="B59" t="s">
        <v>557</v>
      </c>
      <c r="C59" t="s">
        <v>259</v>
      </c>
      <c r="D59" t="s">
        <v>259</v>
      </c>
      <c r="E59" t="s">
        <v>776</v>
      </c>
      <c r="F59" t="s">
        <v>777</v>
      </c>
      <c r="G59" t="s">
        <v>368</v>
      </c>
      <c r="H59">
        <v>1520.61</v>
      </c>
      <c r="I59" t="s">
        <v>4363</v>
      </c>
      <c r="L59" s="451">
        <v>46811</v>
      </c>
      <c r="M59" s="451">
        <v>46811</v>
      </c>
      <c r="N59">
        <v>1520.61</v>
      </c>
      <c r="Q59" t="s">
        <v>778</v>
      </c>
      <c r="R59" t="s">
        <v>783</v>
      </c>
    </row>
    <row r="60" spans="1:19" x14ac:dyDescent="0.3">
      <c r="A60" t="s">
        <v>4439</v>
      </c>
      <c r="B60" t="s">
        <v>557</v>
      </c>
      <c r="C60" t="s">
        <v>259</v>
      </c>
      <c r="D60" t="s">
        <v>259</v>
      </c>
      <c r="E60" t="s">
        <v>776</v>
      </c>
      <c r="F60" t="s">
        <v>777</v>
      </c>
      <c r="G60" t="s">
        <v>368</v>
      </c>
      <c r="H60">
        <v>1520.61</v>
      </c>
      <c r="I60" t="s">
        <v>4363</v>
      </c>
      <c r="L60" s="451">
        <v>46780</v>
      </c>
      <c r="M60" s="451">
        <v>46780</v>
      </c>
      <c r="N60">
        <v>1520.61</v>
      </c>
      <c r="Q60" t="s">
        <v>778</v>
      </c>
      <c r="R60" t="s">
        <v>785</v>
      </c>
    </row>
    <row r="61" spans="1:19" x14ac:dyDescent="0.3">
      <c r="A61" t="s">
        <v>4440</v>
      </c>
      <c r="B61" t="s">
        <v>557</v>
      </c>
      <c r="C61" t="s">
        <v>259</v>
      </c>
      <c r="D61" t="s">
        <v>259</v>
      </c>
      <c r="E61" t="s">
        <v>776</v>
      </c>
      <c r="F61" t="s">
        <v>777</v>
      </c>
      <c r="G61" t="s">
        <v>368</v>
      </c>
      <c r="H61">
        <v>1520.61</v>
      </c>
      <c r="I61" t="s">
        <v>4363</v>
      </c>
      <c r="L61" s="451">
        <v>46019</v>
      </c>
      <c r="M61" s="451">
        <v>46019</v>
      </c>
      <c r="N61">
        <v>1520.61</v>
      </c>
      <c r="Q61" t="s">
        <v>2370</v>
      </c>
      <c r="R61" t="s">
        <v>458</v>
      </c>
    </row>
    <row r="62" spans="1:19" x14ac:dyDescent="0.3">
      <c r="A62" t="s">
        <v>4441</v>
      </c>
      <c r="B62" t="s">
        <v>557</v>
      </c>
      <c r="C62" t="s">
        <v>259</v>
      </c>
      <c r="D62" t="s">
        <v>259</v>
      </c>
      <c r="E62" t="s">
        <v>776</v>
      </c>
      <c r="F62" t="s">
        <v>777</v>
      </c>
      <c r="G62" t="s">
        <v>368</v>
      </c>
      <c r="H62">
        <v>1520.61</v>
      </c>
      <c r="I62" t="s">
        <v>4363</v>
      </c>
      <c r="L62" s="451">
        <v>45989</v>
      </c>
      <c r="M62" s="451">
        <v>45989</v>
      </c>
      <c r="N62">
        <v>1520.61</v>
      </c>
      <c r="Q62" t="s">
        <v>4442</v>
      </c>
      <c r="R62" t="s">
        <v>753</v>
      </c>
    </row>
    <row r="63" spans="1:19" x14ac:dyDescent="0.3">
      <c r="A63" t="s">
        <v>4443</v>
      </c>
      <c r="B63" t="s">
        <v>557</v>
      </c>
      <c r="C63" t="s">
        <v>259</v>
      </c>
      <c r="D63" t="s">
        <v>259</v>
      </c>
      <c r="E63" t="s">
        <v>776</v>
      </c>
      <c r="F63" t="s">
        <v>777</v>
      </c>
      <c r="G63" t="s">
        <v>368</v>
      </c>
      <c r="H63">
        <v>1520.61</v>
      </c>
      <c r="I63" t="s">
        <v>4363</v>
      </c>
      <c r="L63" s="451">
        <v>45958</v>
      </c>
      <c r="M63" s="451">
        <v>45958</v>
      </c>
      <c r="N63">
        <v>1520.61</v>
      </c>
      <c r="Q63" t="s">
        <v>4444</v>
      </c>
      <c r="R63" t="s">
        <v>751</v>
      </c>
    </row>
    <row r="64" spans="1:19" x14ac:dyDescent="0.3">
      <c r="A64" t="s">
        <v>4445</v>
      </c>
      <c r="B64" t="s">
        <v>557</v>
      </c>
      <c r="C64" t="s">
        <v>259</v>
      </c>
      <c r="D64" t="s">
        <v>259</v>
      </c>
      <c r="E64" t="s">
        <v>776</v>
      </c>
      <c r="F64" t="s">
        <v>777</v>
      </c>
      <c r="G64" t="s">
        <v>368</v>
      </c>
      <c r="H64">
        <v>1520.61</v>
      </c>
      <c r="I64" t="s">
        <v>4363</v>
      </c>
      <c r="L64" s="451">
        <v>45928</v>
      </c>
      <c r="M64" s="451">
        <v>45928</v>
      </c>
      <c r="N64">
        <v>1520.61</v>
      </c>
      <c r="Q64" t="s">
        <v>4446</v>
      </c>
      <c r="R64" t="s">
        <v>3999</v>
      </c>
    </row>
    <row r="65" spans="1:19" x14ac:dyDescent="0.3">
      <c r="A65" t="s">
        <v>4447</v>
      </c>
      <c r="B65" t="s">
        <v>557</v>
      </c>
      <c r="C65" t="s">
        <v>259</v>
      </c>
      <c r="D65" t="s">
        <v>259</v>
      </c>
      <c r="E65" t="s">
        <v>776</v>
      </c>
      <c r="F65" t="s">
        <v>777</v>
      </c>
      <c r="G65" t="s">
        <v>368</v>
      </c>
      <c r="H65">
        <v>1520.61</v>
      </c>
      <c r="I65" t="s">
        <v>4363</v>
      </c>
      <c r="L65" s="451">
        <v>45897</v>
      </c>
      <c r="M65" s="451">
        <v>45897</v>
      </c>
      <c r="N65">
        <v>1520.61</v>
      </c>
      <c r="Q65" t="s">
        <v>4448</v>
      </c>
      <c r="R65" t="s">
        <v>4038</v>
      </c>
    </row>
    <row r="66" spans="1:19" x14ac:dyDescent="0.3">
      <c r="A66" t="s">
        <v>4449</v>
      </c>
      <c r="B66" t="s">
        <v>557</v>
      </c>
      <c r="C66" t="s">
        <v>259</v>
      </c>
      <c r="D66" t="s">
        <v>259</v>
      </c>
      <c r="E66" t="s">
        <v>776</v>
      </c>
      <c r="F66" t="s">
        <v>777</v>
      </c>
      <c r="G66" t="s">
        <v>368</v>
      </c>
      <c r="H66">
        <v>1520.61</v>
      </c>
      <c r="I66" t="s">
        <v>4363</v>
      </c>
      <c r="L66" s="451">
        <v>45866</v>
      </c>
      <c r="M66" s="451">
        <v>45866</v>
      </c>
      <c r="N66">
        <v>1520.61</v>
      </c>
      <c r="Q66" t="s">
        <v>4450</v>
      </c>
      <c r="R66" t="s">
        <v>4040</v>
      </c>
    </row>
    <row r="67" spans="1:19" x14ac:dyDescent="0.3">
      <c r="A67" t="s">
        <v>4451</v>
      </c>
      <c r="B67" t="s">
        <v>557</v>
      </c>
      <c r="C67" t="s">
        <v>259</v>
      </c>
      <c r="D67" t="s">
        <v>259</v>
      </c>
      <c r="E67" t="s">
        <v>776</v>
      </c>
      <c r="F67" t="s">
        <v>777</v>
      </c>
      <c r="G67" t="s">
        <v>368</v>
      </c>
      <c r="H67">
        <v>1217.21</v>
      </c>
      <c r="I67" t="s">
        <v>4363</v>
      </c>
      <c r="L67" s="451">
        <v>45775</v>
      </c>
      <c r="M67" s="451">
        <v>45777</v>
      </c>
      <c r="N67">
        <v>1217.21</v>
      </c>
      <c r="O67" t="s">
        <v>894</v>
      </c>
      <c r="P67" s="451">
        <v>45776</v>
      </c>
      <c r="Q67" t="s">
        <v>4452</v>
      </c>
      <c r="R67" t="s">
        <v>4436</v>
      </c>
      <c r="S67" t="s">
        <v>4436</v>
      </c>
    </row>
    <row r="68" spans="1:19" x14ac:dyDescent="0.3">
      <c r="A68" t="s">
        <v>4453</v>
      </c>
      <c r="B68" t="s">
        <v>557</v>
      </c>
      <c r="C68" t="s">
        <v>259</v>
      </c>
      <c r="D68" t="s">
        <v>259</v>
      </c>
      <c r="E68" t="s">
        <v>776</v>
      </c>
      <c r="F68" t="s">
        <v>777</v>
      </c>
      <c r="G68" t="s">
        <v>368</v>
      </c>
      <c r="H68">
        <v>1208.81</v>
      </c>
      <c r="I68" t="s">
        <v>4363</v>
      </c>
      <c r="L68" s="451">
        <v>45744</v>
      </c>
      <c r="M68" s="451">
        <v>45744</v>
      </c>
      <c r="N68">
        <v>1208.81</v>
      </c>
      <c r="O68" t="s">
        <v>894</v>
      </c>
      <c r="P68" s="451">
        <v>45776</v>
      </c>
      <c r="Q68" t="s">
        <v>4454</v>
      </c>
      <c r="R68" t="s">
        <v>4455</v>
      </c>
      <c r="S68" t="s">
        <v>4436</v>
      </c>
    </row>
    <row r="69" spans="1:19" x14ac:dyDescent="0.3">
      <c r="A69" t="s">
        <v>4456</v>
      </c>
      <c r="B69" t="s">
        <v>557</v>
      </c>
      <c r="C69" t="s">
        <v>259</v>
      </c>
      <c r="D69" t="s">
        <v>259</v>
      </c>
      <c r="E69" t="s">
        <v>781</v>
      </c>
      <c r="F69" t="s">
        <v>777</v>
      </c>
      <c r="G69" t="s">
        <v>368</v>
      </c>
      <c r="H69">
        <v>416.33</v>
      </c>
      <c r="I69" t="s">
        <v>4363</v>
      </c>
      <c r="L69" s="451">
        <v>46812</v>
      </c>
      <c r="M69" s="451">
        <v>46812</v>
      </c>
      <c r="N69">
        <v>416.33</v>
      </c>
      <c r="Q69" t="s">
        <v>782</v>
      </c>
      <c r="R69" t="s">
        <v>783</v>
      </c>
    </row>
    <row r="70" spans="1:19" x14ac:dyDescent="0.3">
      <c r="A70" t="s">
        <v>4457</v>
      </c>
      <c r="B70" t="s">
        <v>557</v>
      </c>
      <c r="C70" t="s">
        <v>259</v>
      </c>
      <c r="D70" t="s">
        <v>259</v>
      </c>
      <c r="E70" t="s">
        <v>784</v>
      </c>
      <c r="F70" t="s">
        <v>777</v>
      </c>
      <c r="G70" t="s">
        <v>368</v>
      </c>
      <c r="H70">
        <v>416.33</v>
      </c>
      <c r="I70" t="s">
        <v>4363</v>
      </c>
      <c r="L70" s="451">
        <v>46783</v>
      </c>
      <c r="M70" s="451">
        <v>46783</v>
      </c>
      <c r="N70">
        <v>416.33</v>
      </c>
      <c r="Q70" t="s">
        <v>782</v>
      </c>
      <c r="R70" t="s">
        <v>785</v>
      </c>
    </row>
    <row r="71" spans="1:19" x14ac:dyDescent="0.3">
      <c r="A71" t="s">
        <v>4458</v>
      </c>
      <c r="B71" t="s">
        <v>557</v>
      </c>
      <c r="C71" t="s">
        <v>259</v>
      </c>
      <c r="D71" t="s">
        <v>259</v>
      </c>
      <c r="E71" t="s">
        <v>2354</v>
      </c>
      <c r="F71" t="s">
        <v>777</v>
      </c>
      <c r="G71" t="s">
        <v>368</v>
      </c>
      <c r="H71">
        <v>416.33</v>
      </c>
      <c r="I71" t="s">
        <v>4363</v>
      </c>
      <c r="L71" s="451">
        <v>46021</v>
      </c>
      <c r="M71" s="451">
        <v>46021</v>
      </c>
      <c r="N71">
        <v>416.33</v>
      </c>
      <c r="Q71" t="s">
        <v>782</v>
      </c>
      <c r="R71" t="s">
        <v>458</v>
      </c>
    </row>
    <row r="72" spans="1:19" x14ac:dyDescent="0.3">
      <c r="A72" t="s">
        <v>4459</v>
      </c>
      <c r="B72" t="s">
        <v>557</v>
      </c>
      <c r="C72" t="s">
        <v>259</v>
      </c>
      <c r="D72" t="s">
        <v>259</v>
      </c>
      <c r="E72" t="s">
        <v>4460</v>
      </c>
      <c r="F72" t="s">
        <v>777</v>
      </c>
      <c r="G72" t="s">
        <v>368</v>
      </c>
      <c r="H72">
        <v>416.33</v>
      </c>
      <c r="I72" t="s">
        <v>4363</v>
      </c>
      <c r="L72" s="451">
        <v>45991</v>
      </c>
      <c r="M72" s="451">
        <v>45991</v>
      </c>
      <c r="N72">
        <v>416.33</v>
      </c>
      <c r="Q72" t="s">
        <v>782</v>
      </c>
      <c r="R72" t="s">
        <v>753</v>
      </c>
    </row>
    <row r="73" spans="1:19" x14ac:dyDescent="0.3">
      <c r="A73" t="s">
        <v>4461</v>
      </c>
      <c r="B73" t="s">
        <v>557</v>
      </c>
      <c r="C73" t="s">
        <v>259</v>
      </c>
      <c r="D73" t="s">
        <v>259</v>
      </c>
      <c r="E73" t="s">
        <v>4462</v>
      </c>
      <c r="F73" t="s">
        <v>777</v>
      </c>
      <c r="G73" t="s">
        <v>368</v>
      </c>
      <c r="H73">
        <v>416.33</v>
      </c>
      <c r="I73" t="s">
        <v>4363</v>
      </c>
      <c r="L73" s="451">
        <v>45960</v>
      </c>
      <c r="M73" s="451">
        <v>45960</v>
      </c>
      <c r="N73">
        <v>416.33</v>
      </c>
      <c r="Q73" t="s">
        <v>782</v>
      </c>
      <c r="R73" t="s">
        <v>751</v>
      </c>
    </row>
    <row r="74" spans="1:19" x14ac:dyDescent="0.3">
      <c r="A74" t="s">
        <v>4463</v>
      </c>
      <c r="B74" t="s">
        <v>557</v>
      </c>
      <c r="C74" t="s">
        <v>259</v>
      </c>
      <c r="D74" t="s">
        <v>259</v>
      </c>
      <c r="E74" t="s">
        <v>4464</v>
      </c>
      <c r="F74" t="s">
        <v>777</v>
      </c>
      <c r="G74" t="s">
        <v>368</v>
      </c>
      <c r="H74">
        <v>416.33</v>
      </c>
      <c r="I74" t="s">
        <v>4363</v>
      </c>
      <c r="L74" s="451">
        <v>45930</v>
      </c>
      <c r="M74" s="451">
        <v>45930</v>
      </c>
      <c r="N74">
        <v>416.33</v>
      </c>
      <c r="Q74" t="s">
        <v>782</v>
      </c>
      <c r="R74" t="s">
        <v>3999</v>
      </c>
    </row>
    <row r="75" spans="1:19" x14ac:dyDescent="0.3">
      <c r="A75" t="s">
        <v>4465</v>
      </c>
      <c r="B75" t="s">
        <v>557</v>
      </c>
      <c r="C75" t="s">
        <v>259</v>
      </c>
      <c r="D75" t="s">
        <v>259</v>
      </c>
      <c r="E75" t="s">
        <v>4466</v>
      </c>
      <c r="F75" t="s">
        <v>777</v>
      </c>
      <c r="G75" t="s">
        <v>368</v>
      </c>
      <c r="H75">
        <v>416.33</v>
      </c>
      <c r="I75" t="s">
        <v>4363</v>
      </c>
      <c r="L75" s="451">
        <v>45899</v>
      </c>
      <c r="M75" s="451">
        <v>45899</v>
      </c>
      <c r="N75">
        <v>416.33</v>
      </c>
      <c r="Q75" t="s">
        <v>782</v>
      </c>
      <c r="R75" t="s">
        <v>4038</v>
      </c>
    </row>
    <row r="76" spans="1:19" x14ac:dyDescent="0.3">
      <c r="A76" t="s">
        <v>4467</v>
      </c>
      <c r="B76" t="s">
        <v>557</v>
      </c>
      <c r="C76" t="s">
        <v>259</v>
      </c>
      <c r="D76" t="s">
        <v>259</v>
      </c>
      <c r="E76" t="s">
        <v>4468</v>
      </c>
      <c r="F76" t="s">
        <v>777</v>
      </c>
      <c r="G76" t="s">
        <v>368</v>
      </c>
      <c r="H76">
        <v>416.33</v>
      </c>
      <c r="I76" t="s">
        <v>4363</v>
      </c>
      <c r="L76" s="451">
        <v>45868</v>
      </c>
      <c r="M76" s="451">
        <v>45868</v>
      </c>
      <c r="N76">
        <v>416.33</v>
      </c>
      <c r="Q76" t="s">
        <v>782</v>
      </c>
      <c r="R76" t="s">
        <v>4040</v>
      </c>
    </row>
    <row r="77" spans="1:19" x14ac:dyDescent="0.3">
      <c r="A77" t="s">
        <v>4469</v>
      </c>
      <c r="B77" t="s">
        <v>557</v>
      </c>
      <c r="C77" t="s">
        <v>259</v>
      </c>
      <c r="D77" t="s">
        <v>259</v>
      </c>
      <c r="E77" t="s">
        <v>4470</v>
      </c>
      <c r="F77" t="s">
        <v>777</v>
      </c>
      <c r="G77" t="s">
        <v>368</v>
      </c>
      <c r="H77">
        <v>337.88</v>
      </c>
      <c r="I77" t="s">
        <v>4363</v>
      </c>
      <c r="L77" s="451">
        <v>45777</v>
      </c>
      <c r="M77" s="451">
        <v>45777</v>
      </c>
      <c r="N77">
        <v>337.88</v>
      </c>
      <c r="O77" t="s">
        <v>894</v>
      </c>
      <c r="P77" s="451">
        <v>45776</v>
      </c>
      <c r="Q77" t="s">
        <v>4471</v>
      </c>
      <c r="R77" t="s">
        <v>4436</v>
      </c>
      <c r="S77" t="s">
        <v>4436</v>
      </c>
    </row>
    <row r="78" spans="1:19" x14ac:dyDescent="0.3">
      <c r="A78" t="s">
        <v>4472</v>
      </c>
      <c r="B78" t="s">
        <v>557</v>
      </c>
      <c r="C78" t="s">
        <v>259</v>
      </c>
      <c r="D78" t="s">
        <v>259</v>
      </c>
      <c r="E78" t="s">
        <v>4473</v>
      </c>
      <c r="F78" t="s">
        <v>777</v>
      </c>
      <c r="G78" t="s">
        <v>368</v>
      </c>
      <c r="H78">
        <v>331.27</v>
      </c>
      <c r="I78" t="s">
        <v>4363</v>
      </c>
      <c r="L78" s="451">
        <v>45733</v>
      </c>
      <c r="M78" s="451">
        <v>45747</v>
      </c>
      <c r="N78">
        <v>331.27</v>
      </c>
      <c r="O78" t="s">
        <v>894</v>
      </c>
      <c r="P78" s="451">
        <v>45747</v>
      </c>
      <c r="Q78" t="s">
        <v>782</v>
      </c>
      <c r="R78" t="s">
        <v>4455</v>
      </c>
      <c r="S78" t="s">
        <v>4455</v>
      </c>
    </row>
    <row r="79" spans="1:19" x14ac:dyDescent="0.3">
      <c r="A79" t="s">
        <v>4474</v>
      </c>
      <c r="B79" t="s">
        <v>557</v>
      </c>
      <c r="C79" t="s">
        <v>259</v>
      </c>
      <c r="D79" t="s">
        <v>259</v>
      </c>
      <c r="E79" t="s">
        <v>4475</v>
      </c>
      <c r="F79" t="s">
        <v>777</v>
      </c>
      <c r="G79" t="s">
        <v>368</v>
      </c>
      <c r="H79">
        <v>329.03</v>
      </c>
      <c r="I79" t="s">
        <v>4363</v>
      </c>
      <c r="L79" s="451">
        <v>45733</v>
      </c>
      <c r="M79" s="451">
        <v>45716</v>
      </c>
      <c r="N79">
        <v>329.03</v>
      </c>
      <c r="O79" t="s">
        <v>894</v>
      </c>
      <c r="P79" s="451">
        <v>45737</v>
      </c>
      <c r="Q79" t="s">
        <v>782</v>
      </c>
      <c r="R79" t="s">
        <v>4476</v>
      </c>
      <c r="S79" t="s">
        <v>4455</v>
      </c>
    </row>
    <row r="80" spans="1:19" x14ac:dyDescent="0.3">
      <c r="A80" t="s">
        <v>4477</v>
      </c>
      <c r="B80" t="s">
        <v>557</v>
      </c>
      <c r="C80" t="s">
        <v>4478</v>
      </c>
      <c r="D80" t="s">
        <v>4478</v>
      </c>
      <c r="E80" t="s">
        <v>1774</v>
      </c>
      <c r="F80" t="s">
        <v>777</v>
      </c>
      <c r="G80" t="s">
        <v>369</v>
      </c>
      <c r="H80">
        <v>10000</v>
      </c>
      <c r="I80" t="s">
        <v>4390</v>
      </c>
      <c r="J80">
        <v>4</v>
      </c>
      <c r="K80">
        <v>4</v>
      </c>
      <c r="L80" s="451">
        <v>45708</v>
      </c>
      <c r="M80" s="451">
        <v>45814</v>
      </c>
      <c r="N80">
        <v>2500</v>
      </c>
      <c r="O80" t="s">
        <v>894</v>
      </c>
      <c r="P80" s="451">
        <v>45813</v>
      </c>
      <c r="Q80" t="s">
        <v>4479</v>
      </c>
      <c r="R80" t="s">
        <v>3935</v>
      </c>
      <c r="S80" t="s">
        <v>3935</v>
      </c>
    </row>
    <row r="81" spans="1:19" x14ac:dyDescent="0.3">
      <c r="A81" t="s">
        <v>4480</v>
      </c>
      <c r="B81" t="s">
        <v>557</v>
      </c>
      <c r="C81" t="s">
        <v>4478</v>
      </c>
      <c r="D81" t="s">
        <v>4478</v>
      </c>
      <c r="E81" t="s">
        <v>1774</v>
      </c>
      <c r="F81" t="s">
        <v>777</v>
      </c>
      <c r="G81" t="s">
        <v>369</v>
      </c>
      <c r="H81">
        <v>10000</v>
      </c>
      <c r="I81" t="s">
        <v>4390</v>
      </c>
      <c r="J81">
        <v>4</v>
      </c>
      <c r="K81">
        <v>3</v>
      </c>
      <c r="L81" s="451">
        <v>45708</v>
      </c>
      <c r="M81" s="451">
        <v>45783</v>
      </c>
      <c r="N81">
        <v>2500</v>
      </c>
      <c r="O81" t="s">
        <v>894</v>
      </c>
      <c r="P81" s="451">
        <v>45783</v>
      </c>
      <c r="Q81" t="s">
        <v>4479</v>
      </c>
      <c r="R81" t="s">
        <v>4434</v>
      </c>
      <c r="S81" t="s">
        <v>4434</v>
      </c>
    </row>
    <row r="82" spans="1:19" x14ac:dyDescent="0.3">
      <c r="A82" t="s">
        <v>4481</v>
      </c>
      <c r="B82" t="s">
        <v>557</v>
      </c>
      <c r="C82" t="s">
        <v>4478</v>
      </c>
      <c r="D82" t="s">
        <v>4478</v>
      </c>
      <c r="E82" t="s">
        <v>1774</v>
      </c>
      <c r="F82" t="s">
        <v>777</v>
      </c>
      <c r="G82" t="s">
        <v>369</v>
      </c>
      <c r="H82">
        <v>10000</v>
      </c>
      <c r="I82" t="s">
        <v>4390</v>
      </c>
      <c r="J82">
        <v>4</v>
      </c>
      <c r="K82">
        <v>2</v>
      </c>
      <c r="L82" s="451">
        <v>45708</v>
      </c>
      <c r="M82" s="451">
        <v>45754</v>
      </c>
      <c r="N82">
        <v>2500</v>
      </c>
      <c r="O82" t="s">
        <v>894</v>
      </c>
      <c r="P82" s="451">
        <v>45754</v>
      </c>
      <c r="Q82" t="s">
        <v>4479</v>
      </c>
      <c r="R82" t="s">
        <v>4436</v>
      </c>
      <c r="S82" t="s">
        <v>4436</v>
      </c>
    </row>
    <row r="83" spans="1:19" x14ac:dyDescent="0.3">
      <c r="A83" t="s">
        <v>4482</v>
      </c>
      <c r="B83" t="s">
        <v>557</v>
      </c>
      <c r="C83" t="s">
        <v>4478</v>
      </c>
      <c r="D83" t="s">
        <v>4478</v>
      </c>
      <c r="E83" t="s">
        <v>1774</v>
      </c>
      <c r="F83" t="s">
        <v>777</v>
      </c>
      <c r="G83" t="s">
        <v>369</v>
      </c>
      <c r="H83">
        <v>10000</v>
      </c>
      <c r="I83" t="s">
        <v>4390</v>
      </c>
      <c r="J83">
        <v>4</v>
      </c>
      <c r="K83">
        <v>1</v>
      </c>
      <c r="L83" s="451">
        <v>45708</v>
      </c>
      <c r="M83" s="451">
        <v>45722</v>
      </c>
      <c r="N83">
        <v>2500</v>
      </c>
      <c r="O83" t="s">
        <v>894</v>
      </c>
      <c r="P83" s="451">
        <v>45722</v>
      </c>
      <c r="Q83" t="s">
        <v>4479</v>
      </c>
      <c r="R83" t="s">
        <v>4455</v>
      </c>
      <c r="S83" t="s">
        <v>4455</v>
      </c>
    </row>
    <row r="84" spans="1:19" x14ac:dyDescent="0.3">
      <c r="A84" t="s">
        <v>4483</v>
      </c>
      <c r="B84" t="s">
        <v>557</v>
      </c>
      <c r="C84" t="s">
        <v>4484</v>
      </c>
      <c r="D84" t="s">
        <v>4484</v>
      </c>
      <c r="E84" t="s">
        <v>4485</v>
      </c>
      <c r="F84" t="s">
        <v>777</v>
      </c>
      <c r="G84" t="s">
        <v>369</v>
      </c>
      <c r="H84">
        <v>22000</v>
      </c>
      <c r="I84" t="s">
        <v>4390</v>
      </c>
      <c r="J84">
        <v>10</v>
      </c>
      <c r="K84">
        <v>10</v>
      </c>
      <c r="L84" s="451">
        <v>45698</v>
      </c>
      <c r="M84" s="451">
        <v>45985</v>
      </c>
      <c r="N84">
        <v>2200</v>
      </c>
      <c r="O84" t="s">
        <v>894</v>
      </c>
      <c r="P84" s="451">
        <v>45985</v>
      </c>
      <c r="Q84" t="s">
        <v>4486</v>
      </c>
      <c r="R84" t="s">
        <v>753</v>
      </c>
      <c r="S84" t="s">
        <v>753</v>
      </c>
    </row>
    <row r="85" spans="1:19" x14ac:dyDescent="0.3">
      <c r="A85" t="s">
        <v>4487</v>
      </c>
      <c r="B85" t="s">
        <v>557</v>
      </c>
      <c r="C85" t="s">
        <v>4484</v>
      </c>
      <c r="D85" t="s">
        <v>4484</v>
      </c>
      <c r="E85" t="s">
        <v>4485</v>
      </c>
      <c r="F85" t="s">
        <v>777</v>
      </c>
      <c r="G85" t="s">
        <v>369</v>
      </c>
      <c r="H85">
        <v>22000</v>
      </c>
      <c r="I85" t="s">
        <v>4390</v>
      </c>
      <c r="J85">
        <v>10</v>
      </c>
      <c r="K85">
        <v>9</v>
      </c>
      <c r="L85" s="451">
        <v>45698</v>
      </c>
      <c r="M85" s="451">
        <v>45954</v>
      </c>
      <c r="N85">
        <v>2200</v>
      </c>
      <c r="O85" t="s">
        <v>894</v>
      </c>
      <c r="P85" s="451">
        <v>45953</v>
      </c>
      <c r="Q85" t="s">
        <v>4486</v>
      </c>
      <c r="R85" t="s">
        <v>751</v>
      </c>
      <c r="S85" t="s">
        <v>751</v>
      </c>
    </row>
    <row r="86" spans="1:19" x14ac:dyDescent="0.3">
      <c r="A86" t="s">
        <v>4488</v>
      </c>
      <c r="B86" t="s">
        <v>557</v>
      </c>
      <c r="C86" t="s">
        <v>4484</v>
      </c>
      <c r="D86" t="s">
        <v>4484</v>
      </c>
      <c r="E86" t="s">
        <v>4485</v>
      </c>
      <c r="F86" t="s">
        <v>777</v>
      </c>
      <c r="G86" t="s">
        <v>369</v>
      </c>
      <c r="H86">
        <v>22000</v>
      </c>
      <c r="I86" t="s">
        <v>4390</v>
      </c>
      <c r="J86">
        <v>10</v>
      </c>
      <c r="K86">
        <v>8</v>
      </c>
      <c r="L86" s="451">
        <v>45698</v>
      </c>
      <c r="M86" s="451">
        <v>45924</v>
      </c>
      <c r="N86">
        <v>2200</v>
      </c>
      <c r="O86" t="s">
        <v>894</v>
      </c>
      <c r="P86" s="451">
        <v>45923</v>
      </c>
      <c r="Q86" t="s">
        <v>4486</v>
      </c>
      <c r="R86" t="s">
        <v>3999</v>
      </c>
      <c r="S86" t="s">
        <v>3999</v>
      </c>
    </row>
    <row r="87" spans="1:19" x14ac:dyDescent="0.3">
      <c r="A87" t="s">
        <v>4489</v>
      </c>
      <c r="B87" t="s">
        <v>557</v>
      </c>
      <c r="C87" t="s">
        <v>4484</v>
      </c>
      <c r="D87" t="s">
        <v>4484</v>
      </c>
      <c r="E87" t="s">
        <v>4485</v>
      </c>
      <c r="F87" t="s">
        <v>777</v>
      </c>
      <c r="G87" t="s">
        <v>369</v>
      </c>
      <c r="H87">
        <v>22000</v>
      </c>
      <c r="I87" t="s">
        <v>4390</v>
      </c>
      <c r="J87">
        <v>10</v>
      </c>
      <c r="K87">
        <v>7</v>
      </c>
      <c r="L87" s="451">
        <v>45698</v>
      </c>
      <c r="M87" s="451">
        <v>45894</v>
      </c>
      <c r="N87">
        <v>2200</v>
      </c>
      <c r="O87" t="s">
        <v>894</v>
      </c>
      <c r="P87" s="451">
        <v>45894</v>
      </c>
      <c r="Q87" t="s">
        <v>4486</v>
      </c>
      <c r="R87" t="s">
        <v>4038</v>
      </c>
      <c r="S87" t="s">
        <v>4038</v>
      </c>
    </row>
    <row r="88" spans="1:19" x14ac:dyDescent="0.3">
      <c r="A88" t="s">
        <v>4490</v>
      </c>
      <c r="B88" t="s">
        <v>557</v>
      </c>
      <c r="C88" t="s">
        <v>4484</v>
      </c>
      <c r="D88" t="s">
        <v>4484</v>
      </c>
      <c r="E88" t="s">
        <v>4485</v>
      </c>
      <c r="F88" t="s">
        <v>777</v>
      </c>
      <c r="G88" t="s">
        <v>369</v>
      </c>
      <c r="H88">
        <v>22000</v>
      </c>
      <c r="I88" t="s">
        <v>4390</v>
      </c>
      <c r="J88">
        <v>10</v>
      </c>
      <c r="K88">
        <v>6</v>
      </c>
      <c r="L88" s="451">
        <v>45698</v>
      </c>
      <c r="M88" s="451">
        <v>45862</v>
      </c>
      <c r="N88">
        <v>2200</v>
      </c>
      <c r="O88" t="s">
        <v>894</v>
      </c>
      <c r="P88" s="451">
        <v>45862</v>
      </c>
      <c r="Q88" t="s">
        <v>4486</v>
      </c>
      <c r="R88" t="s">
        <v>4040</v>
      </c>
      <c r="S88" t="s">
        <v>4040</v>
      </c>
    </row>
    <row r="89" spans="1:19" x14ac:dyDescent="0.3">
      <c r="A89" t="s">
        <v>4491</v>
      </c>
      <c r="B89" t="s">
        <v>557</v>
      </c>
      <c r="C89" t="s">
        <v>4484</v>
      </c>
      <c r="D89" t="s">
        <v>4484</v>
      </c>
      <c r="E89" t="s">
        <v>4485</v>
      </c>
      <c r="F89" t="s">
        <v>777</v>
      </c>
      <c r="G89" t="s">
        <v>369</v>
      </c>
      <c r="H89">
        <v>22000</v>
      </c>
      <c r="I89" t="s">
        <v>4390</v>
      </c>
      <c r="J89">
        <v>10</v>
      </c>
      <c r="K89">
        <v>5</v>
      </c>
      <c r="L89" s="451">
        <v>45698</v>
      </c>
      <c r="M89" s="451">
        <v>45832</v>
      </c>
      <c r="N89">
        <v>2200</v>
      </c>
      <c r="O89" t="s">
        <v>894</v>
      </c>
      <c r="P89" s="451">
        <v>45832</v>
      </c>
      <c r="Q89" t="s">
        <v>4486</v>
      </c>
      <c r="R89" t="s">
        <v>3935</v>
      </c>
      <c r="S89" t="s">
        <v>3935</v>
      </c>
    </row>
    <row r="90" spans="1:19" x14ac:dyDescent="0.3">
      <c r="A90" t="s">
        <v>4492</v>
      </c>
      <c r="B90" t="s">
        <v>557</v>
      </c>
      <c r="C90" t="s">
        <v>4484</v>
      </c>
      <c r="D90" t="s">
        <v>4484</v>
      </c>
      <c r="E90" t="s">
        <v>4485</v>
      </c>
      <c r="F90" t="s">
        <v>777</v>
      </c>
      <c r="G90" t="s">
        <v>369</v>
      </c>
      <c r="H90">
        <v>22000</v>
      </c>
      <c r="I90" t="s">
        <v>4390</v>
      </c>
      <c r="J90">
        <v>10</v>
      </c>
      <c r="K90">
        <v>4</v>
      </c>
      <c r="L90" s="451">
        <v>45698</v>
      </c>
      <c r="M90" s="451">
        <v>45803</v>
      </c>
      <c r="N90">
        <v>2200</v>
      </c>
      <c r="O90" t="s">
        <v>894</v>
      </c>
      <c r="P90" s="451">
        <v>45803</v>
      </c>
      <c r="Q90" t="s">
        <v>4486</v>
      </c>
      <c r="R90" t="s">
        <v>4434</v>
      </c>
      <c r="S90" t="s">
        <v>4434</v>
      </c>
    </row>
    <row r="91" spans="1:19" x14ac:dyDescent="0.3">
      <c r="A91" t="s">
        <v>4493</v>
      </c>
      <c r="B91" t="s">
        <v>557</v>
      </c>
      <c r="C91" t="s">
        <v>4484</v>
      </c>
      <c r="D91" t="s">
        <v>4484</v>
      </c>
      <c r="E91" t="s">
        <v>4485</v>
      </c>
      <c r="F91" t="s">
        <v>777</v>
      </c>
      <c r="G91" t="s">
        <v>369</v>
      </c>
      <c r="H91">
        <v>22000</v>
      </c>
      <c r="I91" t="s">
        <v>4390</v>
      </c>
      <c r="J91">
        <v>10</v>
      </c>
      <c r="K91">
        <v>3</v>
      </c>
      <c r="L91" s="451">
        <v>45698</v>
      </c>
      <c r="M91" s="451">
        <v>45771</v>
      </c>
      <c r="N91">
        <v>2200</v>
      </c>
      <c r="O91" t="s">
        <v>894</v>
      </c>
      <c r="P91" s="451">
        <v>45771</v>
      </c>
      <c r="Q91" t="s">
        <v>4486</v>
      </c>
      <c r="R91" t="s">
        <v>4436</v>
      </c>
      <c r="S91" t="s">
        <v>4436</v>
      </c>
    </row>
    <row r="92" spans="1:19" x14ac:dyDescent="0.3">
      <c r="A92" t="s">
        <v>4494</v>
      </c>
      <c r="B92" t="s">
        <v>557</v>
      </c>
      <c r="C92" t="s">
        <v>4484</v>
      </c>
      <c r="D92" t="s">
        <v>4484</v>
      </c>
      <c r="E92" t="s">
        <v>4485</v>
      </c>
      <c r="F92" t="s">
        <v>777</v>
      </c>
      <c r="G92" t="s">
        <v>369</v>
      </c>
      <c r="H92">
        <v>22000</v>
      </c>
      <c r="I92" t="s">
        <v>4390</v>
      </c>
      <c r="J92">
        <v>10</v>
      </c>
      <c r="K92">
        <v>2</v>
      </c>
      <c r="L92" s="451">
        <v>45698</v>
      </c>
      <c r="M92" s="451">
        <v>45740</v>
      </c>
      <c r="N92">
        <v>2200</v>
      </c>
      <c r="O92" t="s">
        <v>894</v>
      </c>
      <c r="P92" s="451">
        <v>45740</v>
      </c>
      <c r="Q92" t="s">
        <v>4486</v>
      </c>
      <c r="R92" t="s">
        <v>4455</v>
      </c>
      <c r="S92" t="s">
        <v>4455</v>
      </c>
    </row>
    <row r="93" spans="1:19" x14ac:dyDescent="0.3">
      <c r="A93" t="s">
        <v>4495</v>
      </c>
      <c r="B93" t="s">
        <v>557</v>
      </c>
      <c r="C93" t="s">
        <v>4484</v>
      </c>
      <c r="D93" t="s">
        <v>4484</v>
      </c>
      <c r="E93" t="s">
        <v>4485</v>
      </c>
      <c r="F93" t="s">
        <v>777</v>
      </c>
      <c r="G93" t="s">
        <v>369</v>
      </c>
      <c r="H93">
        <v>22000</v>
      </c>
      <c r="I93" t="s">
        <v>4390</v>
      </c>
      <c r="J93">
        <v>10</v>
      </c>
      <c r="K93">
        <v>1</v>
      </c>
      <c r="L93" s="451">
        <v>45698</v>
      </c>
      <c r="M93" s="451">
        <v>45712</v>
      </c>
      <c r="N93">
        <v>2200</v>
      </c>
      <c r="O93" t="s">
        <v>894</v>
      </c>
      <c r="P93" s="451">
        <v>45712</v>
      </c>
      <c r="Q93" t="s">
        <v>4486</v>
      </c>
      <c r="R93" t="s">
        <v>4476</v>
      </c>
      <c r="S93" t="s">
        <v>4476</v>
      </c>
    </row>
    <row r="94" spans="1:19" x14ac:dyDescent="0.3">
      <c r="A94" t="s">
        <v>4496</v>
      </c>
      <c r="B94" t="s">
        <v>557</v>
      </c>
      <c r="C94" t="s">
        <v>4497</v>
      </c>
      <c r="D94" t="s">
        <v>4497</v>
      </c>
      <c r="E94" t="s">
        <v>1774</v>
      </c>
      <c r="F94" t="s">
        <v>4498</v>
      </c>
      <c r="G94" t="s">
        <v>4499</v>
      </c>
      <c r="H94">
        <v>128.52000000000001</v>
      </c>
      <c r="I94" t="s">
        <v>4363</v>
      </c>
      <c r="L94" s="451">
        <v>45630</v>
      </c>
      <c r="M94" s="451">
        <v>45630</v>
      </c>
      <c r="N94">
        <v>128.52000000000001</v>
      </c>
      <c r="O94" t="s">
        <v>894</v>
      </c>
      <c r="P94" s="451">
        <v>45630</v>
      </c>
      <c r="R94" t="s">
        <v>730</v>
      </c>
      <c r="S94" t="s">
        <v>730</v>
      </c>
    </row>
    <row r="95" spans="1:19" x14ac:dyDescent="0.3">
      <c r="A95" t="s">
        <v>4500</v>
      </c>
      <c r="B95" t="s">
        <v>557</v>
      </c>
      <c r="C95" t="s">
        <v>861</v>
      </c>
      <c r="D95" t="s">
        <v>861</v>
      </c>
      <c r="E95" t="s">
        <v>4501</v>
      </c>
      <c r="F95" t="s">
        <v>4498</v>
      </c>
      <c r="G95" t="s">
        <v>4502</v>
      </c>
      <c r="H95">
        <v>4511.99</v>
      </c>
      <c r="I95" t="s">
        <v>4363</v>
      </c>
      <c r="L95" s="451">
        <v>45593</v>
      </c>
      <c r="M95" s="451">
        <v>45611</v>
      </c>
      <c r="N95">
        <v>4511.99</v>
      </c>
      <c r="O95" t="s">
        <v>894</v>
      </c>
      <c r="P95" s="451">
        <v>45610</v>
      </c>
      <c r="Q95" t="s">
        <v>4503</v>
      </c>
      <c r="R95" t="s">
        <v>728</v>
      </c>
      <c r="S95" t="s">
        <v>728</v>
      </c>
    </row>
    <row r="96" spans="1:19" x14ac:dyDescent="0.3">
      <c r="A96" t="s">
        <v>4504</v>
      </c>
      <c r="B96" t="s">
        <v>557</v>
      </c>
      <c r="C96" t="s">
        <v>861</v>
      </c>
      <c r="D96" t="s">
        <v>861</v>
      </c>
      <c r="E96" t="s">
        <v>4501</v>
      </c>
      <c r="F96" t="s">
        <v>4498</v>
      </c>
      <c r="G96" t="s">
        <v>4502</v>
      </c>
      <c r="H96">
        <v>4511.99</v>
      </c>
      <c r="I96" t="s">
        <v>4363</v>
      </c>
      <c r="L96" s="451">
        <v>45593</v>
      </c>
      <c r="M96" s="451">
        <v>45611</v>
      </c>
      <c r="N96">
        <v>4511.99</v>
      </c>
      <c r="O96" t="s">
        <v>894</v>
      </c>
      <c r="P96" s="451">
        <v>45610</v>
      </c>
      <c r="Q96" t="s">
        <v>4505</v>
      </c>
      <c r="R96" t="s">
        <v>728</v>
      </c>
      <c r="S96" t="s">
        <v>728</v>
      </c>
    </row>
    <row r="97" spans="1:19" x14ac:dyDescent="0.3">
      <c r="A97" t="s">
        <v>4506</v>
      </c>
      <c r="B97" t="s">
        <v>557</v>
      </c>
      <c r="C97" t="s">
        <v>861</v>
      </c>
      <c r="D97" t="s">
        <v>861</v>
      </c>
      <c r="E97" t="s">
        <v>1118</v>
      </c>
      <c r="F97" t="s">
        <v>4498</v>
      </c>
      <c r="G97" t="s">
        <v>4502</v>
      </c>
      <c r="H97">
        <v>4511.99</v>
      </c>
      <c r="I97" t="s">
        <v>4363</v>
      </c>
      <c r="L97" s="451">
        <v>45565</v>
      </c>
      <c r="M97" s="451">
        <v>45580</v>
      </c>
      <c r="N97">
        <v>4511.99</v>
      </c>
      <c r="O97" t="s">
        <v>894</v>
      </c>
      <c r="P97" s="451">
        <v>45580</v>
      </c>
      <c r="Q97" t="s">
        <v>4507</v>
      </c>
      <c r="R97" t="s">
        <v>726</v>
      </c>
      <c r="S97" t="s">
        <v>726</v>
      </c>
    </row>
    <row r="98" spans="1:19" x14ac:dyDescent="0.3">
      <c r="A98" t="s">
        <v>4508</v>
      </c>
      <c r="B98" t="s">
        <v>557</v>
      </c>
      <c r="C98" t="s">
        <v>861</v>
      </c>
      <c r="D98" t="s">
        <v>861</v>
      </c>
      <c r="E98" t="s">
        <v>1118</v>
      </c>
      <c r="F98" t="s">
        <v>4498</v>
      </c>
      <c r="G98" t="s">
        <v>4502</v>
      </c>
      <c r="H98">
        <v>4511.99</v>
      </c>
      <c r="I98" t="s">
        <v>4363</v>
      </c>
      <c r="L98" s="451">
        <v>45565</v>
      </c>
      <c r="M98" s="451">
        <v>45580</v>
      </c>
      <c r="N98">
        <v>4511.99</v>
      </c>
      <c r="O98" t="s">
        <v>894</v>
      </c>
      <c r="P98" s="451">
        <v>45580</v>
      </c>
      <c r="Q98" t="s">
        <v>4509</v>
      </c>
      <c r="R98" t="s">
        <v>726</v>
      </c>
      <c r="S98" t="s">
        <v>726</v>
      </c>
    </row>
    <row r="99" spans="1:19" x14ac:dyDescent="0.3">
      <c r="A99" t="s">
        <v>4510</v>
      </c>
      <c r="B99" t="s">
        <v>557</v>
      </c>
      <c r="C99" t="s">
        <v>861</v>
      </c>
      <c r="D99" t="s">
        <v>861</v>
      </c>
      <c r="E99" t="s">
        <v>1223</v>
      </c>
      <c r="F99" t="s">
        <v>4498</v>
      </c>
      <c r="G99" t="s">
        <v>4502</v>
      </c>
      <c r="H99">
        <v>4511.99</v>
      </c>
      <c r="I99" t="s">
        <v>4363</v>
      </c>
      <c r="L99" s="451">
        <v>45532</v>
      </c>
      <c r="M99" s="451">
        <v>45550</v>
      </c>
      <c r="N99">
        <v>4511.99</v>
      </c>
      <c r="O99" t="s">
        <v>894</v>
      </c>
      <c r="P99" s="451">
        <v>45551</v>
      </c>
      <c r="Q99" t="s">
        <v>4505</v>
      </c>
      <c r="R99" t="s">
        <v>4511</v>
      </c>
      <c r="S99" t="s">
        <v>4511</v>
      </c>
    </row>
    <row r="100" spans="1:19" x14ac:dyDescent="0.3">
      <c r="A100" t="s">
        <v>4512</v>
      </c>
      <c r="B100" t="s">
        <v>557</v>
      </c>
      <c r="C100" t="s">
        <v>861</v>
      </c>
      <c r="D100" t="s">
        <v>861</v>
      </c>
      <c r="E100" t="s">
        <v>1223</v>
      </c>
      <c r="F100" t="s">
        <v>4498</v>
      </c>
      <c r="G100" t="s">
        <v>4502</v>
      </c>
      <c r="H100">
        <v>4511.99</v>
      </c>
      <c r="I100" t="s">
        <v>4363</v>
      </c>
      <c r="L100" s="451">
        <v>45532</v>
      </c>
      <c r="M100" s="451">
        <v>45550</v>
      </c>
      <c r="N100">
        <v>4511.99</v>
      </c>
      <c r="O100" t="s">
        <v>894</v>
      </c>
      <c r="P100" s="451">
        <v>45551</v>
      </c>
      <c r="Q100" t="s">
        <v>4513</v>
      </c>
      <c r="R100" t="s">
        <v>4511</v>
      </c>
      <c r="S100" t="s">
        <v>4511</v>
      </c>
    </row>
    <row r="101" spans="1:19" x14ac:dyDescent="0.3">
      <c r="A101" t="s">
        <v>4514</v>
      </c>
      <c r="B101" t="s">
        <v>557</v>
      </c>
      <c r="C101" t="s">
        <v>4515</v>
      </c>
      <c r="D101" t="s">
        <v>4515</v>
      </c>
      <c r="E101" t="s">
        <v>1774</v>
      </c>
      <c r="F101" t="s">
        <v>777</v>
      </c>
      <c r="G101" t="s">
        <v>369</v>
      </c>
      <c r="H101">
        <v>8000</v>
      </c>
      <c r="I101" t="s">
        <v>4390</v>
      </c>
      <c r="J101">
        <v>4</v>
      </c>
      <c r="K101">
        <v>4</v>
      </c>
      <c r="L101" s="451">
        <v>45505</v>
      </c>
      <c r="M101" s="451">
        <v>45616</v>
      </c>
      <c r="N101">
        <v>2000</v>
      </c>
      <c r="O101" t="s">
        <v>894</v>
      </c>
      <c r="P101" s="451">
        <v>45617</v>
      </c>
      <c r="Q101" t="s">
        <v>4516</v>
      </c>
      <c r="R101" t="s">
        <v>728</v>
      </c>
      <c r="S101" t="s">
        <v>728</v>
      </c>
    </row>
    <row r="102" spans="1:19" x14ac:dyDescent="0.3">
      <c r="A102" t="s">
        <v>4517</v>
      </c>
      <c r="B102" t="s">
        <v>557</v>
      </c>
      <c r="C102" t="s">
        <v>4515</v>
      </c>
      <c r="D102" t="s">
        <v>4515</v>
      </c>
      <c r="E102" t="s">
        <v>1774</v>
      </c>
      <c r="F102" t="s">
        <v>777</v>
      </c>
      <c r="G102" t="s">
        <v>369</v>
      </c>
      <c r="H102">
        <v>8000</v>
      </c>
      <c r="I102" t="s">
        <v>4390</v>
      </c>
      <c r="J102">
        <v>4</v>
      </c>
      <c r="K102">
        <v>3</v>
      </c>
      <c r="L102" s="451">
        <v>45505</v>
      </c>
      <c r="M102" s="451">
        <v>45586</v>
      </c>
      <c r="N102">
        <v>2000</v>
      </c>
      <c r="O102" t="s">
        <v>894</v>
      </c>
      <c r="P102" s="451">
        <v>45586</v>
      </c>
      <c r="Q102" t="s">
        <v>4516</v>
      </c>
      <c r="R102" t="s">
        <v>726</v>
      </c>
      <c r="S102" t="s">
        <v>726</v>
      </c>
    </row>
    <row r="103" spans="1:19" x14ac:dyDescent="0.3">
      <c r="A103" t="s">
        <v>4518</v>
      </c>
      <c r="B103" t="s">
        <v>557</v>
      </c>
      <c r="C103" t="s">
        <v>4515</v>
      </c>
      <c r="D103" t="s">
        <v>4515</v>
      </c>
      <c r="E103" t="s">
        <v>1774</v>
      </c>
      <c r="F103" t="s">
        <v>777</v>
      </c>
      <c r="G103" t="s">
        <v>369</v>
      </c>
      <c r="H103">
        <v>8000</v>
      </c>
      <c r="I103" t="s">
        <v>4390</v>
      </c>
      <c r="J103">
        <v>4</v>
      </c>
      <c r="K103">
        <v>2</v>
      </c>
      <c r="L103" s="451">
        <v>45505</v>
      </c>
      <c r="M103" s="451">
        <v>45555</v>
      </c>
      <c r="N103">
        <v>2000</v>
      </c>
      <c r="O103" t="s">
        <v>894</v>
      </c>
      <c r="P103" s="451">
        <v>45555</v>
      </c>
      <c r="Q103" t="s">
        <v>4516</v>
      </c>
      <c r="R103" t="s">
        <v>4511</v>
      </c>
      <c r="S103" t="s">
        <v>4511</v>
      </c>
    </row>
    <row r="104" spans="1:19" x14ac:dyDescent="0.3">
      <c r="A104" t="s">
        <v>4519</v>
      </c>
      <c r="B104" t="s">
        <v>557</v>
      </c>
      <c r="C104" t="s">
        <v>4515</v>
      </c>
      <c r="D104" t="s">
        <v>4515</v>
      </c>
      <c r="E104" t="s">
        <v>1774</v>
      </c>
      <c r="F104" t="s">
        <v>777</v>
      </c>
      <c r="G104" t="s">
        <v>369</v>
      </c>
      <c r="H104">
        <v>8000</v>
      </c>
      <c r="I104" t="s">
        <v>4390</v>
      </c>
      <c r="J104">
        <v>4</v>
      </c>
      <c r="K104">
        <v>1</v>
      </c>
      <c r="L104" s="451">
        <v>45505</v>
      </c>
      <c r="M104" s="451">
        <v>45524</v>
      </c>
      <c r="N104">
        <v>2000</v>
      </c>
      <c r="O104" t="s">
        <v>894</v>
      </c>
      <c r="P104" s="451">
        <v>45524</v>
      </c>
      <c r="Q104" t="s">
        <v>4516</v>
      </c>
      <c r="R104" t="s">
        <v>4520</v>
      </c>
      <c r="S104" t="s">
        <v>4520</v>
      </c>
    </row>
    <row r="105" spans="1:19" x14ac:dyDescent="0.3">
      <c r="A105" t="s">
        <v>4521</v>
      </c>
      <c r="B105" t="s">
        <v>557</v>
      </c>
      <c r="C105" t="s">
        <v>861</v>
      </c>
      <c r="D105" t="s">
        <v>861</v>
      </c>
      <c r="E105" t="s">
        <v>1426</v>
      </c>
      <c r="F105" t="s">
        <v>4498</v>
      </c>
      <c r="G105" t="s">
        <v>4502</v>
      </c>
      <c r="H105">
        <v>4511.99</v>
      </c>
      <c r="I105" t="s">
        <v>4363</v>
      </c>
      <c r="L105" s="451">
        <v>45502</v>
      </c>
      <c r="M105" s="451">
        <v>45519</v>
      </c>
      <c r="N105">
        <v>4511.99</v>
      </c>
      <c r="O105" t="s">
        <v>894</v>
      </c>
      <c r="P105" s="451">
        <v>45519</v>
      </c>
      <c r="Q105" t="s">
        <v>4522</v>
      </c>
      <c r="R105" t="s">
        <v>4520</v>
      </c>
      <c r="S105" t="s">
        <v>4520</v>
      </c>
    </row>
    <row r="106" spans="1:19" x14ac:dyDescent="0.3">
      <c r="A106" t="s">
        <v>4523</v>
      </c>
      <c r="B106" t="s">
        <v>557</v>
      </c>
      <c r="C106" t="s">
        <v>861</v>
      </c>
      <c r="D106" t="s">
        <v>861</v>
      </c>
      <c r="E106" t="s">
        <v>1426</v>
      </c>
      <c r="F106" t="s">
        <v>4498</v>
      </c>
      <c r="G106" t="s">
        <v>4502</v>
      </c>
      <c r="H106">
        <v>4511.99</v>
      </c>
      <c r="I106" t="s">
        <v>4363</v>
      </c>
      <c r="L106" s="451">
        <v>45502</v>
      </c>
      <c r="M106" s="451">
        <v>45519</v>
      </c>
      <c r="N106">
        <v>4511.99</v>
      </c>
      <c r="O106" t="s">
        <v>894</v>
      </c>
      <c r="P106" s="451">
        <v>45519</v>
      </c>
      <c r="Q106" t="s">
        <v>4524</v>
      </c>
      <c r="R106" t="s">
        <v>4520</v>
      </c>
      <c r="S106" t="s">
        <v>4520</v>
      </c>
    </row>
    <row r="107" spans="1:19" x14ac:dyDescent="0.3">
      <c r="A107" t="s">
        <v>4525</v>
      </c>
      <c r="B107" t="s">
        <v>557</v>
      </c>
      <c r="C107" t="s">
        <v>4526</v>
      </c>
      <c r="D107" t="s">
        <v>4526</v>
      </c>
      <c r="E107" t="s">
        <v>1774</v>
      </c>
      <c r="F107" t="s">
        <v>4498</v>
      </c>
      <c r="G107" t="s">
        <v>4502</v>
      </c>
      <c r="H107">
        <v>300.3</v>
      </c>
      <c r="I107" t="s">
        <v>4363</v>
      </c>
      <c r="L107" s="451">
        <v>45490</v>
      </c>
      <c r="M107" s="451">
        <v>45491</v>
      </c>
      <c r="N107">
        <v>300.3</v>
      </c>
      <c r="O107" t="s">
        <v>894</v>
      </c>
      <c r="P107" s="451">
        <v>45491</v>
      </c>
      <c r="Q107" t="s">
        <v>4527</v>
      </c>
      <c r="R107" t="s">
        <v>4528</v>
      </c>
      <c r="S107" t="s">
        <v>4528</v>
      </c>
    </row>
    <row r="108" spans="1:19" x14ac:dyDescent="0.3">
      <c r="A108" t="s">
        <v>4529</v>
      </c>
      <c r="B108" t="s">
        <v>557</v>
      </c>
      <c r="C108" t="s">
        <v>861</v>
      </c>
      <c r="D108" t="s">
        <v>861</v>
      </c>
      <c r="E108" t="s">
        <v>1633</v>
      </c>
      <c r="F108" t="s">
        <v>4498</v>
      </c>
      <c r="G108" t="s">
        <v>4502</v>
      </c>
      <c r="H108">
        <v>4511.99</v>
      </c>
      <c r="I108" t="s">
        <v>4363</v>
      </c>
      <c r="L108" s="451">
        <v>45470</v>
      </c>
      <c r="M108" s="451">
        <v>45488</v>
      </c>
      <c r="N108">
        <v>4511.99</v>
      </c>
      <c r="O108" t="s">
        <v>894</v>
      </c>
      <c r="P108" s="451">
        <v>45488</v>
      </c>
      <c r="Q108" t="s">
        <v>4505</v>
      </c>
      <c r="R108" t="s">
        <v>4528</v>
      </c>
      <c r="S108" t="s">
        <v>4528</v>
      </c>
    </row>
    <row r="109" spans="1:19" x14ac:dyDescent="0.3">
      <c r="A109" t="s">
        <v>4530</v>
      </c>
      <c r="B109" t="s">
        <v>557</v>
      </c>
      <c r="C109" t="s">
        <v>861</v>
      </c>
      <c r="D109" t="s">
        <v>861</v>
      </c>
      <c r="E109" t="s">
        <v>1633</v>
      </c>
      <c r="F109" t="s">
        <v>4498</v>
      </c>
      <c r="G109" t="s">
        <v>4502</v>
      </c>
      <c r="H109">
        <v>4511.99</v>
      </c>
      <c r="I109" t="s">
        <v>4363</v>
      </c>
      <c r="L109" s="451">
        <v>45470</v>
      </c>
      <c r="M109" s="451">
        <v>45488</v>
      </c>
      <c r="N109">
        <v>4511.99</v>
      </c>
      <c r="O109" t="s">
        <v>894</v>
      </c>
      <c r="P109" s="451">
        <v>45488</v>
      </c>
      <c r="Q109" t="s">
        <v>4531</v>
      </c>
      <c r="R109" t="s">
        <v>4528</v>
      </c>
      <c r="S109" t="s">
        <v>4528</v>
      </c>
    </row>
    <row r="110" spans="1:19" x14ac:dyDescent="0.3">
      <c r="A110" t="s">
        <v>4532</v>
      </c>
      <c r="B110" t="s">
        <v>557</v>
      </c>
      <c r="C110" t="s">
        <v>861</v>
      </c>
      <c r="D110" t="s">
        <v>861</v>
      </c>
      <c r="E110" t="s">
        <v>1885</v>
      </c>
      <c r="F110" t="s">
        <v>4498</v>
      </c>
      <c r="G110" t="s">
        <v>4502</v>
      </c>
      <c r="H110">
        <v>4511.99</v>
      </c>
      <c r="I110" t="s">
        <v>4363</v>
      </c>
      <c r="L110" s="451">
        <v>45435</v>
      </c>
      <c r="M110" s="451">
        <v>45458</v>
      </c>
      <c r="N110">
        <v>4511.99</v>
      </c>
      <c r="O110" t="s">
        <v>894</v>
      </c>
      <c r="P110" s="451">
        <v>45460</v>
      </c>
      <c r="Q110" t="s">
        <v>4533</v>
      </c>
      <c r="R110" t="s">
        <v>4534</v>
      </c>
      <c r="S110" t="s">
        <v>4534</v>
      </c>
    </row>
    <row r="111" spans="1:19" x14ac:dyDescent="0.3">
      <c r="A111" t="s">
        <v>4535</v>
      </c>
      <c r="B111" t="s">
        <v>557</v>
      </c>
      <c r="C111" t="s">
        <v>861</v>
      </c>
      <c r="D111" t="s">
        <v>861</v>
      </c>
      <c r="E111" t="s">
        <v>4536</v>
      </c>
      <c r="F111" t="s">
        <v>4498</v>
      </c>
      <c r="G111" t="s">
        <v>4502</v>
      </c>
      <c r="H111">
        <v>4511.99</v>
      </c>
      <c r="I111" t="s">
        <v>4363</v>
      </c>
      <c r="L111" s="451">
        <v>45435</v>
      </c>
      <c r="M111" s="451">
        <v>45458</v>
      </c>
      <c r="N111">
        <v>4511.99</v>
      </c>
      <c r="O111" t="s">
        <v>894</v>
      </c>
      <c r="P111" s="451">
        <v>45460</v>
      </c>
      <c r="Q111" t="s">
        <v>4537</v>
      </c>
      <c r="R111" t="s">
        <v>4534</v>
      </c>
      <c r="S111" t="s">
        <v>4534</v>
      </c>
    </row>
    <row r="112" spans="1:19" x14ac:dyDescent="0.3">
      <c r="A112" t="s">
        <v>4538</v>
      </c>
      <c r="B112" t="s">
        <v>557</v>
      </c>
      <c r="C112" t="s">
        <v>861</v>
      </c>
      <c r="D112" t="s">
        <v>861</v>
      </c>
      <c r="E112" t="s">
        <v>4539</v>
      </c>
      <c r="F112" t="s">
        <v>4498</v>
      </c>
      <c r="G112" t="s">
        <v>4502</v>
      </c>
      <c r="H112">
        <v>4511.99</v>
      </c>
      <c r="I112" t="s">
        <v>4363</v>
      </c>
      <c r="L112" s="451">
        <v>45405</v>
      </c>
      <c r="M112" s="451">
        <v>45427</v>
      </c>
      <c r="N112">
        <v>4511.99</v>
      </c>
      <c r="O112" t="s">
        <v>894</v>
      </c>
      <c r="P112" s="451">
        <v>45427</v>
      </c>
      <c r="Q112" t="s">
        <v>4540</v>
      </c>
      <c r="R112" t="s">
        <v>4541</v>
      </c>
      <c r="S112" t="s">
        <v>4541</v>
      </c>
    </row>
    <row r="113" spans="1:19" x14ac:dyDescent="0.3">
      <c r="A113" t="s">
        <v>4542</v>
      </c>
      <c r="B113" t="s">
        <v>557</v>
      </c>
      <c r="C113" t="s">
        <v>861</v>
      </c>
      <c r="D113" t="s">
        <v>861</v>
      </c>
      <c r="E113" t="s">
        <v>4539</v>
      </c>
      <c r="F113" t="s">
        <v>4498</v>
      </c>
      <c r="G113" t="s">
        <v>4502</v>
      </c>
      <c r="H113">
        <v>4511.99</v>
      </c>
      <c r="I113" t="s">
        <v>4363</v>
      </c>
      <c r="L113" s="451">
        <v>45405</v>
      </c>
      <c r="M113" s="451">
        <v>45427</v>
      </c>
      <c r="N113">
        <v>4511.99</v>
      </c>
      <c r="O113" t="s">
        <v>894</v>
      </c>
      <c r="P113" s="451">
        <v>45427</v>
      </c>
      <c r="Q113" t="s">
        <v>4543</v>
      </c>
      <c r="R113" t="s">
        <v>4541</v>
      </c>
      <c r="S113" t="s">
        <v>4541</v>
      </c>
    </row>
    <row r="114" spans="1:19" x14ac:dyDescent="0.3">
      <c r="A114" t="s">
        <v>4544</v>
      </c>
      <c r="B114" t="s">
        <v>557</v>
      </c>
      <c r="C114" t="s">
        <v>4515</v>
      </c>
      <c r="D114" t="s">
        <v>4515</v>
      </c>
      <c r="F114" t="s">
        <v>777</v>
      </c>
      <c r="G114" t="s">
        <v>369</v>
      </c>
      <c r="H114">
        <v>3000</v>
      </c>
      <c r="I114" t="s">
        <v>4363</v>
      </c>
      <c r="L114" s="451">
        <v>45327</v>
      </c>
      <c r="M114" s="451">
        <v>45341</v>
      </c>
      <c r="N114">
        <v>3000</v>
      </c>
      <c r="O114" t="s">
        <v>894</v>
      </c>
      <c r="P114" s="451">
        <v>45341</v>
      </c>
      <c r="Q114" t="s">
        <v>4545</v>
      </c>
      <c r="R114" t="s">
        <v>4546</v>
      </c>
      <c r="S114" t="s">
        <v>4546</v>
      </c>
    </row>
    <row r="115" spans="1:19" x14ac:dyDescent="0.3">
      <c r="A115" t="s">
        <v>4547</v>
      </c>
      <c r="B115" t="s">
        <v>557</v>
      </c>
      <c r="C115" t="s">
        <v>259</v>
      </c>
      <c r="D115" t="s">
        <v>259</v>
      </c>
      <c r="E115" t="s">
        <v>776</v>
      </c>
      <c r="F115" t="s">
        <v>777</v>
      </c>
      <c r="G115" t="s">
        <v>368</v>
      </c>
      <c r="H115">
        <v>1520.61</v>
      </c>
      <c r="I115" t="s">
        <v>4363</v>
      </c>
      <c r="L115" s="451">
        <v>46444</v>
      </c>
      <c r="M115" s="451">
        <v>46444</v>
      </c>
      <c r="N115">
        <v>1520.61</v>
      </c>
      <c r="O115" t="s">
        <v>788</v>
      </c>
      <c r="Q115" t="s">
        <v>816</v>
      </c>
      <c r="R115" t="s">
        <v>815</v>
      </c>
    </row>
    <row r="116" spans="1:19" x14ac:dyDescent="0.3">
      <c r="A116" t="s">
        <v>4548</v>
      </c>
      <c r="B116" t="s">
        <v>557</v>
      </c>
      <c r="C116" t="s">
        <v>259</v>
      </c>
      <c r="D116" t="s">
        <v>259</v>
      </c>
      <c r="E116" t="s">
        <v>776</v>
      </c>
      <c r="F116" t="s">
        <v>777</v>
      </c>
      <c r="G116" t="s">
        <v>368</v>
      </c>
      <c r="H116">
        <v>1520.61</v>
      </c>
      <c r="I116" t="s">
        <v>4363</v>
      </c>
      <c r="L116" s="451">
        <v>46533</v>
      </c>
      <c r="M116" s="451">
        <v>46533</v>
      </c>
      <c r="N116">
        <v>1520.61</v>
      </c>
      <c r="O116" t="s">
        <v>788</v>
      </c>
      <c r="Q116" t="s">
        <v>778</v>
      </c>
      <c r="R116" t="s">
        <v>803</v>
      </c>
    </row>
    <row r="117" spans="1:19" x14ac:dyDescent="0.3">
      <c r="A117" t="s">
        <v>4549</v>
      </c>
      <c r="B117" t="s">
        <v>557</v>
      </c>
      <c r="C117" t="s">
        <v>4550</v>
      </c>
      <c r="D117" t="s">
        <v>4550</v>
      </c>
      <c r="F117" t="s">
        <v>777</v>
      </c>
      <c r="G117" t="s">
        <v>369</v>
      </c>
      <c r="H117">
        <v>2000</v>
      </c>
      <c r="I117" t="s">
        <v>4363</v>
      </c>
      <c r="L117" s="451">
        <v>45237</v>
      </c>
      <c r="M117" s="451">
        <v>45378</v>
      </c>
      <c r="N117">
        <v>2000</v>
      </c>
      <c r="O117" t="s">
        <v>894</v>
      </c>
      <c r="P117" s="451">
        <v>45378</v>
      </c>
      <c r="Q117" t="s">
        <v>4551</v>
      </c>
      <c r="R117" t="s">
        <v>4552</v>
      </c>
      <c r="S117" t="s">
        <v>4552</v>
      </c>
    </row>
    <row r="118" spans="1:19" x14ac:dyDescent="0.3">
      <c r="A118" t="s">
        <v>4553</v>
      </c>
      <c r="B118" t="s">
        <v>557</v>
      </c>
      <c r="C118" t="s">
        <v>4515</v>
      </c>
      <c r="D118" t="s">
        <v>4515</v>
      </c>
      <c r="F118" t="s">
        <v>777</v>
      </c>
      <c r="G118" t="s">
        <v>369</v>
      </c>
      <c r="H118">
        <v>3000</v>
      </c>
      <c r="I118" t="s">
        <v>4363</v>
      </c>
      <c r="L118" s="451">
        <v>45327</v>
      </c>
      <c r="M118" s="451">
        <v>45370</v>
      </c>
      <c r="N118">
        <v>3000</v>
      </c>
      <c r="O118" t="s">
        <v>894</v>
      </c>
      <c r="P118" s="451">
        <v>45370</v>
      </c>
      <c r="Q118" t="s">
        <v>4545</v>
      </c>
      <c r="R118" t="s">
        <v>4552</v>
      </c>
      <c r="S118" t="s">
        <v>4552</v>
      </c>
    </row>
    <row r="119" spans="1:19" x14ac:dyDescent="0.3">
      <c r="A119" t="s">
        <v>4554</v>
      </c>
      <c r="B119" t="s">
        <v>557</v>
      </c>
      <c r="C119" t="s">
        <v>4515</v>
      </c>
      <c r="D119" t="s">
        <v>4515</v>
      </c>
      <c r="F119" t="s">
        <v>777</v>
      </c>
      <c r="G119" t="s">
        <v>369</v>
      </c>
      <c r="H119">
        <v>2000</v>
      </c>
      <c r="I119" t="s">
        <v>4363</v>
      </c>
      <c r="L119" s="451">
        <v>45327</v>
      </c>
      <c r="M119" s="451">
        <v>45401</v>
      </c>
      <c r="N119">
        <v>2000</v>
      </c>
      <c r="O119" t="s">
        <v>894</v>
      </c>
      <c r="P119" s="451">
        <v>45401</v>
      </c>
      <c r="Q119" t="s">
        <v>4545</v>
      </c>
      <c r="R119" t="s">
        <v>4555</v>
      </c>
      <c r="S119" t="s">
        <v>4555</v>
      </c>
    </row>
    <row r="120" spans="1:19" x14ac:dyDescent="0.3">
      <c r="A120" t="s">
        <v>4556</v>
      </c>
      <c r="B120" t="s">
        <v>557</v>
      </c>
      <c r="C120" t="s">
        <v>861</v>
      </c>
      <c r="D120" t="s">
        <v>861</v>
      </c>
      <c r="F120" t="s">
        <v>4498</v>
      </c>
      <c r="G120" t="s">
        <v>4502</v>
      </c>
      <c r="H120">
        <v>4511.99</v>
      </c>
      <c r="I120" t="s">
        <v>4363</v>
      </c>
      <c r="L120" s="451">
        <v>45306</v>
      </c>
      <c r="M120" s="451">
        <v>45397</v>
      </c>
      <c r="N120">
        <v>4511.99</v>
      </c>
      <c r="O120" t="s">
        <v>894</v>
      </c>
      <c r="P120" s="451">
        <v>45397</v>
      </c>
      <c r="Q120" t="s">
        <v>4557</v>
      </c>
      <c r="R120" t="s">
        <v>4555</v>
      </c>
      <c r="S120" t="s">
        <v>4555</v>
      </c>
    </row>
    <row r="121" spans="1:19" x14ac:dyDescent="0.3">
      <c r="A121" t="s">
        <v>4558</v>
      </c>
      <c r="B121" t="s">
        <v>557</v>
      </c>
      <c r="C121" t="s">
        <v>259</v>
      </c>
      <c r="D121" t="s">
        <v>259</v>
      </c>
      <c r="E121" t="s">
        <v>776</v>
      </c>
      <c r="F121" t="s">
        <v>777</v>
      </c>
      <c r="G121" t="s">
        <v>368</v>
      </c>
      <c r="H121">
        <v>1168.49</v>
      </c>
      <c r="I121" t="s">
        <v>4363</v>
      </c>
      <c r="L121" s="451">
        <v>45683</v>
      </c>
      <c r="M121" s="451">
        <v>45688</v>
      </c>
      <c r="N121">
        <v>1168.49</v>
      </c>
      <c r="O121" t="s">
        <v>894</v>
      </c>
      <c r="P121" s="451">
        <v>45688</v>
      </c>
      <c r="Q121" t="s">
        <v>4559</v>
      </c>
      <c r="R121" t="s">
        <v>4560</v>
      </c>
      <c r="S121" t="s">
        <v>4560</v>
      </c>
    </row>
    <row r="122" spans="1:19" x14ac:dyDescent="0.3">
      <c r="A122" t="s">
        <v>4561</v>
      </c>
      <c r="B122" t="s">
        <v>557</v>
      </c>
      <c r="C122" t="s">
        <v>259</v>
      </c>
      <c r="D122" t="s">
        <v>259</v>
      </c>
      <c r="E122" t="s">
        <v>776</v>
      </c>
      <c r="F122" t="s">
        <v>777</v>
      </c>
      <c r="G122" t="s">
        <v>368</v>
      </c>
      <c r="H122">
        <v>1520.61</v>
      </c>
      <c r="I122" t="s">
        <v>4363</v>
      </c>
      <c r="L122" s="451">
        <v>46079</v>
      </c>
      <c r="M122" s="451">
        <v>46079</v>
      </c>
      <c r="N122">
        <v>1520.61</v>
      </c>
      <c r="O122" t="s">
        <v>788</v>
      </c>
      <c r="Q122" t="s">
        <v>778</v>
      </c>
      <c r="R122" t="s">
        <v>460</v>
      </c>
    </row>
    <row r="123" spans="1:19" x14ac:dyDescent="0.3">
      <c r="A123" t="s">
        <v>4562</v>
      </c>
      <c r="B123" t="s">
        <v>557</v>
      </c>
      <c r="C123" t="s">
        <v>259</v>
      </c>
      <c r="D123" t="s">
        <v>259</v>
      </c>
      <c r="E123" t="s">
        <v>776</v>
      </c>
      <c r="F123" t="s">
        <v>777</v>
      </c>
      <c r="G123" t="s">
        <v>368</v>
      </c>
      <c r="H123">
        <v>1520.61</v>
      </c>
      <c r="I123" t="s">
        <v>4363</v>
      </c>
      <c r="L123" s="451">
        <v>46168</v>
      </c>
      <c r="M123" s="451">
        <v>46168</v>
      </c>
      <c r="N123">
        <v>1520.61</v>
      </c>
      <c r="O123" t="s">
        <v>788</v>
      </c>
      <c r="Q123" t="s">
        <v>778</v>
      </c>
      <c r="R123" t="s">
        <v>463</v>
      </c>
    </row>
    <row r="124" spans="1:19" x14ac:dyDescent="0.3">
      <c r="A124" t="s">
        <v>4563</v>
      </c>
      <c r="B124" t="s">
        <v>557</v>
      </c>
      <c r="C124" t="s">
        <v>259</v>
      </c>
      <c r="D124" t="s">
        <v>259</v>
      </c>
      <c r="E124" t="s">
        <v>776</v>
      </c>
      <c r="F124" t="s">
        <v>777</v>
      </c>
      <c r="G124" t="s">
        <v>368</v>
      </c>
      <c r="H124">
        <v>1520.61</v>
      </c>
      <c r="I124" t="s">
        <v>4363</v>
      </c>
      <c r="L124" s="451">
        <v>46717</v>
      </c>
      <c r="M124" s="451">
        <v>46717</v>
      </c>
      <c r="N124">
        <v>1520.61</v>
      </c>
      <c r="O124" t="s">
        <v>788</v>
      </c>
      <c r="Q124" t="s">
        <v>778</v>
      </c>
      <c r="R124" t="s">
        <v>790</v>
      </c>
    </row>
    <row r="125" spans="1:19" x14ac:dyDescent="0.3">
      <c r="A125" t="s">
        <v>4564</v>
      </c>
      <c r="B125" t="s">
        <v>557</v>
      </c>
      <c r="C125" t="s">
        <v>259</v>
      </c>
      <c r="D125" t="s">
        <v>259</v>
      </c>
      <c r="E125" t="s">
        <v>776</v>
      </c>
      <c r="F125" t="s">
        <v>777</v>
      </c>
      <c r="G125" t="s">
        <v>368</v>
      </c>
      <c r="H125">
        <v>1520.61</v>
      </c>
      <c r="I125" t="s">
        <v>4363</v>
      </c>
      <c r="L125" s="451">
        <v>46138</v>
      </c>
      <c r="M125" s="451">
        <v>46138</v>
      </c>
      <c r="N125">
        <v>1520.61</v>
      </c>
      <c r="O125" t="s">
        <v>788</v>
      </c>
      <c r="Q125" t="s">
        <v>778</v>
      </c>
      <c r="R125" t="s">
        <v>462</v>
      </c>
    </row>
    <row r="126" spans="1:19" x14ac:dyDescent="0.3">
      <c r="A126" t="s">
        <v>4565</v>
      </c>
      <c r="B126" t="s">
        <v>557</v>
      </c>
      <c r="C126" t="s">
        <v>259</v>
      </c>
      <c r="D126" t="s">
        <v>259</v>
      </c>
      <c r="E126" t="s">
        <v>776</v>
      </c>
      <c r="F126" t="s">
        <v>777</v>
      </c>
      <c r="G126" t="s">
        <v>368</v>
      </c>
      <c r="H126">
        <v>1520.61</v>
      </c>
      <c r="I126" t="s">
        <v>4363</v>
      </c>
      <c r="L126" s="451">
        <v>46260</v>
      </c>
      <c r="M126" s="451">
        <v>46260</v>
      </c>
      <c r="N126">
        <v>1520.61</v>
      </c>
      <c r="O126" t="s">
        <v>788</v>
      </c>
      <c r="Q126" t="s">
        <v>778</v>
      </c>
      <c r="R126" t="s">
        <v>466</v>
      </c>
    </row>
    <row r="127" spans="1:19" x14ac:dyDescent="0.3">
      <c r="A127" t="s">
        <v>4566</v>
      </c>
      <c r="B127" t="s">
        <v>557</v>
      </c>
      <c r="C127" t="s">
        <v>259</v>
      </c>
      <c r="D127" t="s">
        <v>259</v>
      </c>
      <c r="E127" t="s">
        <v>776</v>
      </c>
      <c r="F127" t="s">
        <v>777</v>
      </c>
      <c r="G127" t="s">
        <v>368</v>
      </c>
      <c r="H127">
        <v>1520.61</v>
      </c>
      <c r="I127" t="s">
        <v>4363</v>
      </c>
      <c r="L127" s="451">
        <v>46472</v>
      </c>
      <c r="M127" s="451">
        <v>46472</v>
      </c>
      <c r="N127">
        <v>1520.61</v>
      </c>
      <c r="O127" t="s">
        <v>788</v>
      </c>
      <c r="Q127" t="s">
        <v>778</v>
      </c>
      <c r="R127" t="s">
        <v>811</v>
      </c>
    </row>
    <row r="128" spans="1:19" x14ac:dyDescent="0.3">
      <c r="A128" t="s">
        <v>4567</v>
      </c>
      <c r="B128" t="s">
        <v>557</v>
      </c>
      <c r="C128" t="s">
        <v>259</v>
      </c>
      <c r="D128" t="s">
        <v>259</v>
      </c>
      <c r="E128" t="s">
        <v>776</v>
      </c>
      <c r="F128" t="s">
        <v>777</v>
      </c>
      <c r="G128" t="s">
        <v>368</v>
      </c>
      <c r="H128">
        <v>1520.61</v>
      </c>
      <c r="I128" t="s">
        <v>4363</v>
      </c>
      <c r="L128" s="451">
        <v>46594</v>
      </c>
      <c r="M128" s="451">
        <v>46594</v>
      </c>
      <c r="N128">
        <v>1520.61</v>
      </c>
      <c r="O128" t="s">
        <v>788</v>
      </c>
      <c r="Q128" t="s">
        <v>778</v>
      </c>
      <c r="R128" t="s">
        <v>799</v>
      </c>
    </row>
    <row r="129" spans="1:19" x14ac:dyDescent="0.3">
      <c r="A129" t="s">
        <v>4568</v>
      </c>
      <c r="B129" t="s">
        <v>557</v>
      </c>
      <c r="C129" t="s">
        <v>4550</v>
      </c>
      <c r="D129" t="s">
        <v>4550</v>
      </c>
      <c r="F129" t="s">
        <v>777</v>
      </c>
      <c r="G129" t="s">
        <v>369</v>
      </c>
      <c r="H129">
        <v>2000</v>
      </c>
      <c r="I129" t="s">
        <v>4363</v>
      </c>
      <c r="L129" s="451">
        <v>45237</v>
      </c>
      <c r="M129" s="451">
        <v>45349</v>
      </c>
      <c r="N129">
        <v>2000</v>
      </c>
      <c r="O129" t="s">
        <v>894</v>
      </c>
      <c r="P129" s="451">
        <v>45349</v>
      </c>
      <c r="Q129" t="s">
        <v>4551</v>
      </c>
      <c r="R129" t="s">
        <v>4546</v>
      </c>
      <c r="S129" t="s">
        <v>4546</v>
      </c>
    </row>
    <row r="130" spans="1:19" x14ac:dyDescent="0.3">
      <c r="A130" t="s">
        <v>4569</v>
      </c>
      <c r="B130" t="s">
        <v>557</v>
      </c>
      <c r="C130" t="s">
        <v>4515</v>
      </c>
      <c r="D130" t="s">
        <v>4515</v>
      </c>
      <c r="F130" t="s">
        <v>777</v>
      </c>
      <c r="G130" t="s">
        <v>369</v>
      </c>
      <c r="H130">
        <v>3000</v>
      </c>
      <c r="I130" t="s">
        <v>4363</v>
      </c>
      <c r="L130" s="451">
        <v>45327</v>
      </c>
      <c r="M130" s="451">
        <v>45341</v>
      </c>
      <c r="N130">
        <v>3000</v>
      </c>
      <c r="O130" t="s">
        <v>788</v>
      </c>
      <c r="Q130" t="s">
        <v>4545</v>
      </c>
      <c r="R130" t="s">
        <v>4546</v>
      </c>
    </row>
    <row r="131" spans="1:19" x14ac:dyDescent="0.3">
      <c r="A131" t="s">
        <v>4570</v>
      </c>
      <c r="B131" t="s">
        <v>557</v>
      </c>
      <c r="C131" t="s">
        <v>259</v>
      </c>
      <c r="D131" t="s">
        <v>259</v>
      </c>
      <c r="E131" t="s">
        <v>776</v>
      </c>
      <c r="F131" t="s">
        <v>777</v>
      </c>
      <c r="G131" t="s">
        <v>368</v>
      </c>
      <c r="H131">
        <v>1520.61</v>
      </c>
      <c r="I131" t="s">
        <v>4363</v>
      </c>
      <c r="L131" s="451">
        <v>46199</v>
      </c>
      <c r="M131" s="451">
        <v>46199</v>
      </c>
      <c r="N131">
        <v>1520.61</v>
      </c>
      <c r="O131" t="s">
        <v>788</v>
      </c>
      <c r="Q131" t="s">
        <v>778</v>
      </c>
      <c r="R131" t="s">
        <v>464</v>
      </c>
    </row>
    <row r="132" spans="1:19" x14ac:dyDescent="0.3">
      <c r="A132" t="s">
        <v>4571</v>
      </c>
      <c r="B132" t="s">
        <v>557</v>
      </c>
      <c r="C132" t="s">
        <v>259</v>
      </c>
      <c r="D132" t="s">
        <v>259</v>
      </c>
      <c r="E132" t="s">
        <v>776</v>
      </c>
      <c r="F132" t="s">
        <v>777</v>
      </c>
      <c r="G132" t="s">
        <v>368</v>
      </c>
      <c r="H132">
        <v>1520.61</v>
      </c>
      <c r="I132" t="s">
        <v>4363</v>
      </c>
      <c r="L132" s="451">
        <v>46503</v>
      </c>
      <c r="M132" s="451">
        <v>46503</v>
      </c>
      <c r="N132">
        <v>1520.61</v>
      </c>
      <c r="O132" t="s">
        <v>788</v>
      </c>
      <c r="Q132" t="s">
        <v>778</v>
      </c>
      <c r="R132" t="s">
        <v>808</v>
      </c>
    </row>
    <row r="133" spans="1:19" x14ac:dyDescent="0.3">
      <c r="A133" t="s">
        <v>4572</v>
      </c>
      <c r="B133" t="s">
        <v>557</v>
      </c>
      <c r="C133" t="s">
        <v>259</v>
      </c>
      <c r="D133" t="s">
        <v>259</v>
      </c>
      <c r="E133" t="s">
        <v>776</v>
      </c>
      <c r="F133" t="s">
        <v>777</v>
      </c>
      <c r="G133" t="s">
        <v>368</v>
      </c>
      <c r="H133">
        <v>1520.61</v>
      </c>
      <c r="I133" t="s">
        <v>4363</v>
      </c>
      <c r="L133" s="451">
        <v>46625</v>
      </c>
      <c r="M133" s="451">
        <v>46625</v>
      </c>
      <c r="N133">
        <v>1520.61</v>
      </c>
      <c r="O133" t="s">
        <v>788</v>
      </c>
      <c r="Q133" t="s">
        <v>778</v>
      </c>
      <c r="R133" t="s">
        <v>797</v>
      </c>
    </row>
    <row r="134" spans="1:19" x14ac:dyDescent="0.3">
      <c r="A134" t="s">
        <v>4573</v>
      </c>
      <c r="B134" t="s">
        <v>557</v>
      </c>
      <c r="C134" t="s">
        <v>4550</v>
      </c>
      <c r="D134" t="s">
        <v>4550</v>
      </c>
      <c r="F134" t="s">
        <v>777</v>
      </c>
      <c r="G134" t="s">
        <v>369</v>
      </c>
      <c r="H134">
        <v>2000</v>
      </c>
      <c r="I134" t="s">
        <v>4363</v>
      </c>
      <c r="L134" s="451">
        <v>45237</v>
      </c>
      <c r="M134" s="451">
        <v>45470</v>
      </c>
      <c r="N134">
        <v>2000</v>
      </c>
      <c r="O134" t="s">
        <v>894</v>
      </c>
      <c r="P134" s="451">
        <v>45470</v>
      </c>
      <c r="Q134" t="s">
        <v>4551</v>
      </c>
      <c r="R134" t="s">
        <v>4534</v>
      </c>
      <c r="S134" t="s">
        <v>4534</v>
      </c>
    </row>
    <row r="135" spans="1:19" x14ac:dyDescent="0.3">
      <c r="A135" t="s">
        <v>4574</v>
      </c>
      <c r="B135" t="s">
        <v>557</v>
      </c>
      <c r="C135" t="s">
        <v>4550</v>
      </c>
      <c r="D135" t="s">
        <v>4550</v>
      </c>
      <c r="F135" t="s">
        <v>777</v>
      </c>
      <c r="G135" t="s">
        <v>369</v>
      </c>
      <c r="H135">
        <v>2000</v>
      </c>
      <c r="I135" t="s">
        <v>4363</v>
      </c>
      <c r="L135" s="451">
        <v>45237</v>
      </c>
      <c r="M135" s="451">
        <v>45502</v>
      </c>
      <c r="N135">
        <v>2000</v>
      </c>
      <c r="O135" t="s">
        <v>894</v>
      </c>
      <c r="P135" s="451">
        <v>45502</v>
      </c>
      <c r="Q135" t="s">
        <v>4551</v>
      </c>
      <c r="R135" t="s">
        <v>4528</v>
      </c>
      <c r="S135" t="s">
        <v>4528</v>
      </c>
    </row>
    <row r="136" spans="1:19" x14ac:dyDescent="0.3">
      <c r="A136" t="s">
        <v>4575</v>
      </c>
      <c r="B136" t="s">
        <v>557</v>
      </c>
      <c r="C136" t="s">
        <v>259</v>
      </c>
      <c r="D136" t="s">
        <v>259</v>
      </c>
      <c r="E136" t="s">
        <v>776</v>
      </c>
      <c r="F136" t="s">
        <v>777</v>
      </c>
      <c r="G136" t="s">
        <v>368</v>
      </c>
      <c r="H136">
        <v>1520.61</v>
      </c>
      <c r="I136" t="s">
        <v>4363</v>
      </c>
      <c r="L136" s="451">
        <v>46107</v>
      </c>
      <c r="M136" s="451">
        <v>46107</v>
      </c>
      <c r="N136">
        <v>1520.61</v>
      </c>
      <c r="O136" t="s">
        <v>788</v>
      </c>
      <c r="Q136" t="s">
        <v>778</v>
      </c>
      <c r="R136" t="s">
        <v>461</v>
      </c>
    </row>
    <row r="137" spans="1:19" x14ac:dyDescent="0.3">
      <c r="A137" t="s">
        <v>4576</v>
      </c>
      <c r="B137" t="s">
        <v>557</v>
      </c>
      <c r="C137" t="s">
        <v>259</v>
      </c>
      <c r="D137" t="s">
        <v>259</v>
      </c>
      <c r="E137" t="s">
        <v>776</v>
      </c>
      <c r="F137" t="s">
        <v>777</v>
      </c>
      <c r="G137" t="s">
        <v>368</v>
      </c>
      <c r="H137">
        <v>1520.61</v>
      </c>
      <c r="I137" t="s">
        <v>4363</v>
      </c>
      <c r="L137" s="451">
        <v>46564</v>
      </c>
      <c r="M137" s="451">
        <v>46564</v>
      </c>
      <c r="N137">
        <v>1520.61</v>
      </c>
      <c r="O137" t="s">
        <v>788</v>
      </c>
      <c r="Q137" t="s">
        <v>778</v>
      </c>
      <c r="R137" t="s">
        <v>801</v>
      </c>
    </row>
    <row r="138" spans="1:19" x14ac:dyDescent="0.3">
      <c r="A138" t="s">
        <v>4577</v>
      </c>
      <c r="B138" t="s">
        <v>557</v>
      </c>
      <c r="C138" t="s">
        <v>259</v>
      </c>
      <c r="D138" t="s">
        <v>259</v>
      </c>
      <c r="E138" t="s">
        <v>776</v>
      </c>
      <c r="F138" t="s">
        <v>777</v>
      </c>
      <c r="G138" t="s">
        <v>368</v>
      </c>
      <c r="H138">
        <v>1520.61</v>
      </c>
      <c r="I138" t="s">
        <v>4363</v>
      </c>
      <c r="L138" s="451">
        <v>46656</v>
      </c>
      <c r="M138" s="451">
        <v>46656</v>
      </c>
      <c r="N138">
        <v>1520.61</v>
      </c>
      <c r="O138" t="s">
        <v>788</v>
      </c>
      <c r="Q138" t="s">
        <v>778</v>
      </c>
      <c r="R138" t="s">
        <v>794</v>
      </c>
    </row>
    <row r="139" spans="1:19" x14ac:dyDescent="0.3">
      <c r="A139" t="s">
        <v>4578</v>
      </c>
      <c r="B139" t="s">
        <v>557</v>
      </c>
      <c r="C139" t="s">
        <v>259</v>
      </c>
      <c r="D139" t="s">
        <v>259</v>
      </c>
      <c r="E139" t="s">
        <v>776</v>
      </c>
      <c r="F139" t="s">
        <v>777</v>
      </c>
      <c r="G139" t="s">
        <v>368</v>
      </c>
      <c r="H139">
        <v>1520.61</v>
      </c>
      <c r="I139" t="s">
        <v>4363</v>
      </c>
      <c r="L139" s="451">
        <v>46686</v>
      </c>
      <c r="M139" s="451">
        <v>46686</v>
      </c>
      <c r="N139">
        <v>1520.61</v>
      </c>
      <c r="O139" t="s">
        <v>788</v>
      </c>
      <c r="Q139" t="s">
        <v>778</v>
      </c>
      <c r="R139" t="s">
        <v>793</v>
      </c>
    </row>
    <row r="140" spans="1:19" x14ac:dyDescent="0.3">
      <c r="A140" t="s">
        <v>4579</v>
      </c>
      <c r="B140" t="s">
        <v>557</v>
      </c>
      <c r="C140" t="s">
        <v>861</v>
      </c>
      <c r="D140" t="s">
        <v>861</v>
      </c>
      <c r="F140" t="s">
        <v>4498</v>
      </c>
      <c r="G140" t="s">
        <v>4502</v>
      </c>
      <c r="H140">
        <v>4511.99</v>
      </c>
      <c r="I140" t="s">
        <v>4363</v>
      </c>
      <c r="L140" s="451">
        <v>45306</v>
      </c>
      <c r="M140" s="451">
        <v>45397</v>
      </c>
      <c r="N140">
        <v>4511.99</v>
      </c>
      <c r="O140" t="s">
        <v>894</v>
      </c>
      <c r="P140" s="451">
        <v>45397</v>
      </c>
      <c r="Q140" t="s">
        <v>4580</v>
      </c>
      <c r="R140" t="s">
        <v>4555</v>
      </c>
      <c r="S140" t="s">
        <v>4555</v>
      </c>
    </row>
    <row r="141" spans="1:19" x14ac:dyDescent="0.3">
      <c r="A141" t="s">
        <v>4581</v>
      </c>
      <c r="B141" t="s">
        <v>557</v>
      </c>
      <c r="C141" t="s">
        <v>4550</v>
      </c>
      <c r="D141" t="s">
        <v>4550</v>
      </c>
      <c r="F141" t="s">
        <v>777</v>
      </c>
      <c r="G141" t="s">
        <v>369</v>
      </c>
      <c r="H141">
        <v>2000</v>
      </c>
      <c r="I141" t="s">
        <v>4363</v>
      </c>
      <c r="L141" s="451">
        <v>45237</v>
      </c>
      <c r="M141" s="451">
        <v>45439</v>
      </c>
      <c r="N141">
        <v>2000</v>
      </c>
      <c r="O141" t="s">
        <v>894</v>
      </c>
      <c r="P141" s="451">
        <v>45439</v>
      </c>
      <c r="Q141" t="s">
        <v>4551</v>
      </c>
      <c r="R141" t="s">
        <v>4541</v>
      </c>
      <c r="S141" t="s">
        <v>4541</v>
      </c>
    </row>
    <row r="142" spans="1:19" x14ac:dyDescent="0.3">
      <c r="A142" t="s">
        <v>4582</v>
      </c>
      <c r="B142" t="s">
        <v>557</v>
      </c>
      <c r="C142" t="s">
        <v>259</v>
      </c>
      <c r="D142" t="s">
        <v>259</v>
      </c>
      <c r="E142" t="s">
        <v>776</v>
      </c>
      <c r="F142" t="s">
        <v>777</v>
      </c>
      <c r="G142" t="s">
        <v>368</v>
      </c>
      <c r="H142">
        <v>1520.61</v>
      </c>
      <c r="I142" t="s">
        <v>4363</v>
      </c>
      <c r="L142" s="451">
        <v>46747</v>
      </c>
      <c r="M142" s="451">
        <v>46747</v>
      </c>
      <c r="N142">
        <v>1520.61</v>
      </c>
      <c r="O142" t="s">
        <v>788</v>
      </c>
      <c r="Q142" t="s">
        <v>778</v>
      </c>
      <c r="R142" t="s">
        <v>789</v>
      </c>
    </row>
    <row r="143" spans="1:19" x14ac:dyDescent="0.3">
      <c r="A143" t="s">
        <v>4583</v>
      </c>
      <c r="B143" t="s">
        <v>557</v>
      </c>
      <c r="C143" t="s">
        <v>4550</v>
      </c>
      <c r="D143" t="s">
        <v>4550</v>
      </c>
      <c r="F143" t="s">
        <v>777</v>
      </c>
      <c r="G143" t="s">
        <v>369</v>
      </c>
      <c r="H143">
        <v>2000</v>
      </c>
      <c r="I143" t="s">
        <v>4363</v>
      </c>
      <c r="L143" s="451">
        <v>45237</v>
      </c>
      <c r="M143" s="451">
        <v>45411</v>
      </c>
      <c r="N143">
        <v>2000</v>
      </c>
      <c r="O143" t="s">
        <v>894</v>
      </c>
      <c r="P143" s="451">
        <v>45411</v>
      </c>
      <c r="Q143" t="s">
        <v>4551</v>
      </c>
      <c r="R143" t="s">
        <v>4555</v>
      </c>
      <c r="S143" t="s">
        <v>4555</v>
      </c>
    </row>
    <row r="144" spans="1:19" x14ac:dyDescent="0.3">
      <c r="A144" t="s">
        <v>4584</v>
      </c>
      <c r="B144" t="s">
        <v>557</v>
      </c>
      <c r="C144" t="s">
        <v>259</v>
      </c>
      <c r="D144" t="s">
        <v>259</v>
      </c>
      <c r="E144" t="s">
        <v>4585</v>
      </c>
      <c r="F144" t="s">
        <v>777</v>
      </c>
      <c r="G144" t="s">
        <v>368</v>
      </c>
      <c r="H144">
        <v>1921.92</v>
      </c>
      <c r="I144" t="s">
        <v>4363</v>
      </c>
      <c r="L144" s="451">
        <v>45714</v>
      </c>
      <c r="M144" s="451">
        <v>45707</v>
      </c>
      <c r="N144">
        <v>1953.22</v>
      </c>
      <c r="O144" t="s">
        <v>894</v>
      </c>
      <c r="P144" s="451">
        <v>45712</v>
      </c>
      <c r="Q144" t="s">
        <v>4586</v>
      </c>
      <c r="R144" t="s">
        <v>4476</v>
      </c>
      <c r="S144" t="s">
        <v>4476</v>
      </c>
    </row>
    <row r="145" spans="1:18" x14ac:dyDescent="0.3">
      <c r="A145" t="s">
        <v>4587</v>
      </c>
      <c r="B145" t="s">
        <v>557</v>
      </c>
      <c r="C145" t="s">
        <v>259</v>
      </c>
      <c r="D145" t="s">
        <v>259</v>
      </c>
      <c r="E145" t="s">
        <v>776</v>
      </c>
      <c r="F145" t="s">
        <v>777</v>
      </c>
      <c r="G145" t="s">
        <v>368</v>
      </c>
      <c r="H145">
        <v>1520.61</v>
      </c>
      <c r="I145" t="s">
        <v>4363</v>
      </c>
      <c r="L145" s="451">
        <v>46229</v>
      </c>
      <c r="M145" s="451">
        <v>46229</v>
      </c>
      <c r="N145">
        <v>1520.61</v>
      </c>
      <c r="O145" t="s">
        <v>788</v>
      </c>
      <c r="Q145" t="s">
        <v>778</v>
      </c>
      <c r="R145" t="s">
        <v>465</v>
      </c>
    </row>
    <row r="146" spans="1:18" x14ac:dyDescent="0.3">
      <c r="A146" t="s">
        <v>4588</v>
      </c>
      <c r="B146" t="s">
        <v>557</v>
      </c>
      <c r="C146" t="s">
        <v>259</v>
      </c>
      <c r="D146" t="s">
        <v>259</v>
      </c>
      <c r="E146" t="s">
        <v>776</v>
      </c>
      <c r="F146" t="s">
        <v>777</v>
      </c>
      <c r="G146" t="s">
        <v>368</v>
      </c>
      <c r="H146">
        <v>1520.61</v>
      </c>
      <c r="I146" t="s">
        <v>4363</v>
      </c>
      <c r="L146" s="451">
        <v>46291</v>
      </c>
      <c r="M146" s="451">
        <v>46291</v>
      </c>
      <c r="N146">
        <v>1520.61</v>
      </c>
      <c r="O146" t="s">
        <v>788</v>
      </c>
      <c r="Q146" t="s">
        <v>778</v>
      </c>
      <c r="R146" t="s">
        <v>467</v>
      </c>
    </row>
    <row r="147" spans="1:18" x14ac:dyDescent="0.3">
      <c r="A147" t="s">
        <v>4589</v>
      </c>
      <c r="B147" t="s">
        <v>557</v>
      </c>
      <c r="C147" t="s">
        <v>259</v>
      </c>
      <c r="D147" t="s">
        <v>259</v>
      </c>
      <c r="E147" t="s">
        <v>776</v>
      </c>
      <c r="F147" t="s">
        <v>777</v>
      </c>
      <c r="G147" t="s">
        <v>368</v>
      </c>
      <c r="H147">
        <v>1520.61</v>
      </c>
      <c r="I147" t="s">
        <v>4363</v>
      </c>
      <c r="L147" s="451">
        <v>46382</v>
      </c>
      <c r="M147" s="451">
        <v>46382</v>
      </c>
      <c r="N147">
        <v>1520.61</v>
      </c>
      <c r="O147" t="s">
        <v>788</v>
      </c>
      <c r="Q147" t="s">
        <v>778</v>
      </c>
      <c r="R147" t="s">
        <v>470</v>
      </c>
    </row>
    <row r="148" spans="1:18" x14ac:dyDescent="0.3">
      <c r="A148" t="s">
        <v>4590</v>
      </c>
      <c r="B148" t="s">
        <v>557</v>
      </c>
      <c r="C148" t="s">
        <v>259</v>
      </c>
      <c r="D148" t="s">
        <v>259</v>
      </c>
      <c r="E148" t="s">
        <v>776</v>
      </c>
      <c r="F148" t="s">
        <v>777</v>
      </c>
      <c r="G148" t="s">
        <v>368</v>
      </c>
      <c r="H148">
        <v>1520.61</v>
      </c>
      <c r="I148" t="s">
        <v>4363</v>
      </c>
      <c r="L148" s="451">
        <v>46413</v>
      </c>
      <c r="M148" s="451">
        <v>46413</v>
      </c>
      <c r="N148">
        <v>1520.61</v>
      </c>
      <c r="O148" t="s">
        <v>788</v>
      </c>
      <c r="Q148" t="s">
        <v>778</v>
      </c>
      <c r="R148" t="s">
        <v>828</v>
      </c>
    </row>
    <row r="149" spans="1:18" x14ac:dyDescent="0.3">
      <c r="A149" t="s">
        <v>4591</v>
      </c>
      <c r="B149" t="s">
        <v>557</v>
      </c>
      <c r="C149" t="s">
        <v>259</v>
      </c>
      <c r="D149" t="s">
        <v>259</v>
      </c>
      <c r="E149" t="s">
        <v>776</v>
      </c>
      <c r="F149" t="s">
        <v>777</v>
      </c>
      <c r="G149" t="s">
        <v>368</v>
      </c>
      <c r="H149">
        <v>1520.61</v>
      </c>
      <c r="I149" t="s">
        <v>4363</v>
      </c>
      <c r="L149" s="451">
        <v>46048</v>
      </c>
      <c r="M149" s="451">
        <v>46048</v>
      </c>
      <c r="N149">
        <v>1520.61</v>
      </c>
      <c r="O149" t="s">
        <v>788</v>
      </c>
      <c r="Q149" t="s">
        <v>778</v>
      </c>
      <c r="R149" t="s">
        <v>459</v>
      </c>
    </row>
    <row r="150" spans="1:18" x14ac:dyDescent="0.3">
      <c r="A150" t="s">
        <v>4592</v>
      </c>
      <c r="B150" t="s">
        <v>557</v>
      </c>
      <c r="C150" t="s">
        <v>259</v>
      </c>
      <c r="D150" t="s">
        <v>259</v>
      </c>
      <c r="E150" t="s">
        <v>776</v>
      </c>
      <c r="F150" t="s">
        <v>777</v>
      </c>
      <c r="G150" t="s">
        <v>368</v>
      </c>
      <c r="H150">
        <v>1520.61</v>
      </c>
      <c r="I150" t="s">
        <v>4363</v>
      </c>
      <c r="L150" s="451">
        <v>46321</v>
      </c>
      <c r="M150" s="451">
        <v>46321</v>
      </c>
      <c r="N150">
        <v>1520.61</v>
      </c>
      <c r="O150" t="s">
        <v>788</v>
      </c>
      <c r="Q150" t="s">
        <v>778</v>
      </c>
      <c r="R150" t="s">
        <v>468</v>
      </c>
    </row>
    <row r="151" spans="1:18" x14ac:dyDescent="0.3">
      <c r="A151" t="s">
        <v>4593</v>
      </c>
      <c r="B151" t="s">
        <v>557</v>
      </c>
      <c r="C151" t="s">
        <v>259</v>
      </c>
      <c r="D151" t="s">
        <v>259</v>
      </c>
      <c r="E151" t="s">
        <v>776</v>
      </c>
      <c r="F151" t="s">
        <v>777</v>
      </c>
      <c r="G151" t="s">
        <v>368</v>
      </c>
      <c r="H151">
        <v>1520.61</v>
      </c>
      <c r="I151" t="s">
        <v>4363</v>
      </c>
      <c r="L151" s="451">
        <v>46352</v>
      </c>
      <c r="M151" s="451">
        <v>46352</v>
      </c>
      <c r="N151">
        <v>1520.61</v>
      </c>
      <c r="O151" t="s">
        <v>788</v>
      </c>
      <c r="Q151" t="s">
        <v>778</v>
      </c>
      <c r="R151" t="s">
        <v>469</v>
      </c>
    </row>
    <row r="152" spans="1:18" x14ac:dyDescent="0.3">
      <c r="A152" t="s">
        <v>4594</v>
      </c>
      <c r="B152" t="s">
        <v>557</v>
      </c>
      <c r="C152" t="s">
        <v>861</v>
      </c>
      <c r="D152" t="s">
        <v>861</v>
      </c>
      <c r="F152" t="s">
        <v>4498</v>
      </c>
      <c r="G152" t="s">
        <v>4502</v>
      </c>
      <c r="H152">
        <v>9849</v>
      </c>
      <c r="I152" t="s">
        <v>4363</v>
      </c>
      <c r="L152" s="451">
        <v>44917</v>
      </c>
      <c r="M152" s="451">
        <v>44983</v>
      </c>
      <c r="N152">
        <v>9849</v>
      </c>
      <c r="O152" t="s">
        <v>788</v>
      </c>
      <c r="Q152" t="s">
        <v>4502</v>
      </c>
      <c r="R152" t="s">
        <v>4595</v>
      </c>
    </row>
    <row r="153" spans="1:18" x14ac:dyDescent="0.3">
      <c r="A153" t="s">
        <v>4596</v>
      </c>
      <c r="B153" t="s">
        <v>557</v>
      </c>
      <c r="C153" t="s">
        <v>4515</v>
      </c>
      <c r="D153" t="s">
        <v>4515</v>
      </c>
      <c r="F153" t="s">
        <v>777</v>
      </c>
      <c r="G153" t="s">
        <v>369</v>
      </c>
      <c r="H153">
        <v>3000</v>
      </c>
      <c r="I153" t="s">
        <v>4363</v>
      </c>
      <c r="L153" s="451">
        <v>44986</v>
      </c>
      <c r="M153" s="451">
        <v>44998</v>
      </c>
      <c r="N153">
        <v>3000</v>
      </c>
      <c r="O153" t="s">
        <v>894</v>
      </c>
      <c r="Q153" t="s">
        <v>4597</v>
      </c>
      <c r="R153" t="s">
        <v>4598</v>
      </c>
    </row>
    <row r="154" spans="1:18" x14ac:dyDescent="0.3">
      <c r="A154" t="s">
        <v>4599</v>
      </c>
      <c r="B154" t="s">
        <v>557</v>
      </c>
      <c r="C154" t="s">
        <v>4515</v>
      </c>
      <c r="D154" t="s">
        <v>4515</v>
      </c>
      <c r="F154" t="s">
        <v>777</v>
      </c>
      <c r="G154" t="s">
        <v>369</v>
      </c>
      <c r="H154">
        <v>3000</v>
      </c>
      <c r="I154" t="s">
        <v>4363</v>
      </c>
      <c r="L154" s="451">
        <v>44927</v>
      </c>
      <c r="M154" s="451">
        <v>44939</v>
      </c>
      <c r="N154">
        <v>3000</v>
      </c>
      <c r="O154" t="s">
        <v>788</v>
      </c>
      <c r="Q154" t="s">
        <v>4597</v>
      </c>
      <c r="R154" t="s">
        <v>4600</v>
      </c>
    </row>
    <row r="155" spans="1:18" x14ac:dyDescent="0.3">
      <c r="A155" t="s">
        <v>4601</v>
      </c>
      <c r="B155" t="s">
        <v>557</v>
      </c>
      <c r="C155" t="s">
        <v>4602</v>
      </c>
      <c r="D155" t="s">
        <v>4602</v>
      </c>
      <c r="F155" t="s">
        <v>777</v>
      </c>
      <c r="G155" t="s">
        <v>369</v>
      </c>
      <c r="H155">
        <v>2000</v>
      </c>
      <c r="I155" t="s">
        <v>4363</v>
      </c>
      <c r="L155" s="451">
        <v>45218</v>
      </c>
      <c r="M155" s="451">
        <v>45236</v>
      </c>
      <c r="N155">
        <v>2000</v>
      </c>
      <c r="O155" t="s">
        <v>894</v>
      </c>
      <c r="Q155" t="s">
        <v>4603</v>
      </c>
      <c r="R155" t="s">
        <v>4604</v>
      </c>
    </row>
    <row r="156" spans="1:18" x14ac:dyDescent="0.3">
      <c r="A156" t="s">
        <v>4605</v>
      </c>
      <c r="B156" t="s">
        <v>557</v>
      </c>
      <c r="C156" t="s">
        <v>259</v>
      </c>
      <c r="D156" t="s">
        <v>259</v>
      </c>
      <c r="F156" t="s">
        <v>4498</v>
      </c>
      <c r="G156" t="s">
        <v>4502</v>
      </c>
      <c r="H156">
        <v>1532.84</v>
      </c>
      <c r="I156" t="s">
        <v>4363</v>
      </c>
      <c r="L156" s="451">
        <v>45075</v>
      </c>
      <c r="M156" s="451">
        <v>45107</v>
      </c>
      <c r="N156">
        <v>1532.84</v>
      </c>
      <c r="O156" t="s">
        <v>894</v>
      </c>
      <c r="Q156" t="s">
        <v>4606</v>
      </c>
      <c r="R156" t="s">
        <v>4607</v>
      </c>
    </row>
    <row r="157" spans="1:18" x14ac:dyDescent="0.3">
      <c r="A157" t="s">
        <v>4608</v>
      </c>
      <c r="B157" t="s">
        <v>557</v>
      </c>
      <c r="C157" t="s">
        <v>861</v>
      </c>
      <c r="D157" t="s">
        <v>861</v>
      </c>
      <c r="F157" t="s">
        <v>4498</v>
      </c>
      <c r="G157" t="s">
        <v>4502</v>
      </c>
      <c r="H157">
        <v>4310.2700000000004</v>
      </c>
      <c r="I157" t="s">
        <v>4363</v>
      </c>
      <c r="L157" s="451">
        <v>45122</v>
      </c>
      <c r="M157" s="451">
        <v>45122</v>
      </c>
      <c r="N157">
        <v>4310.2700000000004</v>
      </c>
      <c r="O157" t="s">
        <v>894</v>
      </c>
      <c r="Q157" t="s">
        <v>4609</v>
      </c>
      <c r="R157" t="s">
        <v>4610</v>
      </c>
    </row>
    <row r="158" spans="1:18" x14ac:dyDescent="0.3">
      <c r="A158" t="s">
        <v>4611</v>
      </c>
      <c r="B158" t="s">
        <v>557</v>
      </c>
      <c r="C158" t="s">
        <v>4612</v>
      </c>
      <c r="D158" t="s">
        <v>4612</v>
      </c>
      <c r="F158" t="s">
        <v>4498</v>
      </c>
      <c r="G158" t="s">
        <v>4502</v>
      </c>
      <c r="H158">
        <v>54514.37</v>
      </c>
      <c r="I158" t="s">
        <v>4363</v>
      </c>
      <c r="L158" s="451">
        <v>45107</v>
      </c>
      <c r="M158" s="451">
        <v>45127</v>
      </c>
      <c r="N158">
        <v>54514.37</v>
      </c>
      <c r="O158" t="s">
        <v>788</v>
      </c>
      <c r="Q158" t="s">
        <v>4613</v>
      </c>
      <c r="R158" t="s">
        <v>4610</v>
      </c>
    </row>
    <row r="159" spans="1:18" x14ac:dyDescent="0.3">
      <c r="A159" t="s">
        <v>4614</v>
      </c>
      <c r="B159" t="s">
        <v>557</v>
      </c>
      <c r="C159" t="s">
        <v>259</v>
      </c>
      <c r="D159" t="s">
        <v>259</v>
      </c>
      <c r="F159" t="s">
        <v>4498</v>
      </c>
      <c r="G159" t="s">
        <v>4502</v>
      </c>
      <c r="H159">
        <v>1544.12</v>
      </c>
      <c r="I159" t="s">
        <v>4363</v>
      </c>
      <c r="L159" s="451">
        <v>45133</v>
      </c>
      <c r="M159" s="451">
        <v>45138</v>
      </c>
      <c r="N159">
        <v>1544.12</v>
      </c>
      <c r="O159" t="s">
        <v>894</v>
      </c>
      <c r="Q159" t="s">
        <v>4615</v>
      </c>
      <c r="R159" t="s">
        <v>4610</v>
      </c>
    </row>
    <row r="160" spans="1:18" x14ac:dyDescent="0.3">
      <c r="A160" t="s">
        <v>4616</v>
      </c>
      <c r="B160" t="s">
        <v>557</v>
      </c>
      <c r="C160" t="s">
        <v>861</v>
      </c>
      <c r="D160" t="s">
        <v>861</v>
      </c>
      <c r="F160" t="s">
        <v>4498</v>
      </c>
      <c r="G160" t="s">
        <v>4502</v>
      </c>
      <c r="H160">
        <v>9849</v>
      </c>
      <c r="I160" t="s">
        <v>4363</v>
      </c>
      <c r="L160" s="451">
        <v>44917</v>
      </c>
      <c r="M160" s="451">
        <v>45072</v>
      </c>
      <c r="N160">
        <v>9849</v>
      </c>
      <c r="O160" t="s">
        <v>894</v>
      </c>
      <c r="Q160" t="s">
        <v>4502</v>
      </c>
      <c r="R160" t="s">
        <v>4617</v>
      </c>
    </row>
    <row r="161" spans="1:18" x14ac:dyDescent="0.3">
      <c r="A161" t="s">
        <v>4618</v>
      </c>
      <c r="B161" t="s">
        <v>557</v>
      </c>
      <c r="C161" t="s">
        <v>259</v>
      </c>
      <c r="D161" t="s">
        <v>259</v>
      </c>
      <c r="F161" t="s">
        <v>4498</v>
      </c>
      <c r="G161" t="s">
        <v>4502</v>
      </c>
      <c r="H161">
        <v>1515.72</v>
      </c>
      <c r="I161" t="s">
        <v>4363</v>
      </c>
      <c r="L161" s="451">
        <v>45075</v>
      </c>
      <c r="M161" s="451">
        <v>45077</v>
      </c>
      <c r="N161">
        <v>1515.72</v>
      </c>
      <c r="O161" t="s">
        <v>894</v>
      </c>
      <c r="Q161" t="s">
        <v>4502</v>
      </c>
      <c r="R161" t="s">
        <v>4617</v>
      </c>
    </row>
    <row r="162" spans="1:18" x14ac:dyDescent="0.3">
      <c r="A162" t="s">
        <v>4619</v>
      </c>
      <c r="B162" t="s">
        <v>557</v>
      </c>
      <c r="C162" t="s">
        <v>861</v>
      </c>
      <c r="D162" t="s">
        <v>861</v>
      </c>
      <c r="F162" t="s">
        <v>4498</v>
      </c>
      <c r="G162" t="s">
        <v>4502</v>
      </c>
      <c r="H162">
        <v>4310.2700000000004</v>
      </c>
      <c r="I162" t="s">
        <v>4363</v>
      </c>
      <c r="L162" s="451">
        <v>45275</v>
      </c>
      <c r="M162" s="451">
        <v>45275</v>
      </c>
      <c r="N162">
        <v>4310.2700000000004</v>
      </c>
      <c r="O162" t="s">
        <v>894</v>
      </c>
      <c r="Q162" t="s">
        <v>4557</v>
      </c>
      <c r="R162" t="s">
        <v>4620</v>
      </c>
    </row>
    <row r="163" spans="1:18" x14ac:dyDescent="0.3">
      <c r="A163" t="s">
        <v>4621</v>
      </c>
      <c r="B163" t="s">
        <v>557</v>
      </c>
      <c r="C163" t="s">
        <v>861</v>
      </c>
      <c r="D163" t="s">
        <v>861</v>
      </c>
      <c r="F163" t="s">
        <v>4498</v>
      </c>
      <c r="G163" t="s">
        <v>4502</v>
      </c>
      <c r="H163">
        <v>4310.2700000000004</v>
      </c>
      <c r="I163" t="s">
        <v>4363</v>
      </c>
      <c r="L163" s="451">
        <v>45214</v>
      </c>
      <c r="M163" s="451">
        <v>45214</v>
      </c>
      <c r="N163">
        <v>4310.2700000000004</v>
      </c>
      <c r="O163" t="s">
        <v>894</v>
      </c>
      <c r="Q163" t="s">
        <v>4557</v>
      </c>
      <c r="R163" t="s">
        <v>4622</v>
      </c>
    </row>
    <row r="164" spans="1:18" x14ac:dyDescent="0.3">
      <c r="A164" t="s">
        <v>4623</v>
      </c>
      <c r="B164" t="s">
        <v>557</v>
      </c>
      <c r="C164" t="s">
        <v>861</v>
      </c>
      <c r="D164" t="s">
        <v>861</v>
      </c>
      <c r="F164" t="s">
        <v>4498</v>
      </c>
      <c r="G164" t="s">
        <v>4502</v>
      </c>
      <c r="H164">
        <v>4310.2700000000004</v>
      </c>
      <c r="I164" t="s">
        <v>4363</v>
      </c>
      <c r="L164" s="451">
        <v>45184</v>
      </c>
      <c r="M164" s="451">
        <v>45184</v>
      </c>
      <c r="N164">
        <v>4310.2700000000004</v>
      </c>
      <c r="O164" t="s">
        <v>894</v>
      </c>
      <c r="Q164" t="s">
        <v>4557</v>
      </c>
      <c r="R164" t="s">
        <v>4624</v>
      </c>
    </row>
    <row r="165" spans="1:18" x14ac:dyDescent="0.3">
      <c r="A165" t="s">
        <v>4625</v>
      </c>
      <c r="B165" t="s">
        <v>557</v>
      </c>
      <c r="C165" t="s">
        <v>861</v>
      </c>
      <c r="D165" t="s">
        <v>861</v>
      </c>
      <c r="F165" t="s">
        <v>4498</v>
      </c>
      <c r="G165" t="s">
        <v>4502</v>
      </c>
      <c r="H165">
        <v>4310.2700000000004</v>
      </c>
      <c r="I165" t="s">
        <v>4363</v>
      </c>
      <c r="L165" s="451">
        <v>45184</v>
      </c>
      <c r="M165" s="451">
        <v>45184</v>
      </c>
      <c r="N165">
        <v>4310.2700000000004</v>
      </c>
      <c r="O165" t="s">
        <v>894</v>
      </c>
      <c r="Q165" t="s">
        <v>4580</v>
      </c>
      <c r="R165" t="s">
        <v>4624</v>
      </c>
    </row>
    <row r="166" spans="1:18" x14ac:dyDescent="0.3">
      <c r="A166" t="s">
        <v>4626</v>
      </c>
      <c r="B166" t="s">
        <v>557</v>
      </c>
      <c r="C166" t="s">
        <v>4602</v>
      </c>
      <c r="D166" t="s">
        <v>4602</v>
      </c>
      <c r="F166" t="s">
        <v>777</v>
      </c>
      <c r="G166" t="s">
        <v>369</v>
      </c>
      <c r="H166">
        <v>2000</v>
      </c>
      <c r="I166" t="s">
        <v>4363</v>
      </c>
      <c r="L166" s="451">
        <v>45218</v>
      </c>
      <c r="M166" s="451">
        <v>45328</v>
      </c>
      <c r="N166">
        <v>2000</v>
      </c>
      <c r="O166" t="s">
        <v>894</v>
      </c>
      <c r="Q166" t="s">
        <v>4603</v>
      </c>
      <c r="R166" t="s">
        <v>4546</v>
      </c>
    </row>
    <row r="167" spans="1:18" x14ac:dyDescent="0.3">
      <c r="A167" t="s">
        <v>4627</v>
      </c>
      <c r="B167" t="s">
        <v>557</v>
      </c>
      <c r="C167" t="s">
        <v>4515</v>
      </c>
      <c r="D167" t="s">
        <v>4515</v>
      </c>
      <c r="F167" t="s">
        <v>777</v>
      </c>
      <c r="G167" t="s">
        <v>369</v>
      </c>
      <c r="H167">
        <v>2500</v>
      </c>
      <c r="I167" t="s">
        <v>4363</v>
      </c>
      <c r="L167" s="451">
        <v>44958</v>
      </c>
      <c r="M167" s="451">
        <v>44959</v>
      </c>
      <c r="N167">
        <v>2500</v>
      </c>
      <c r="O167" t="s">
        <v>894</v>
      </c>
      <c r="Q167" t="s">
        <v>4597</v>
      </c>
      <c r="R167" t="s">
        <v>4595</v>
      </c>
    </row>
    <row r="168" spans="1:18" x14ac:dyDescent="0.3">
      <c r="A168" t="s">
        <v>4628</v>
      </c>
      <c r="B168" t="s">
        <v>557</v>
      </c>
      <c r="C168" t="s">
        <v>4602</v>
      </c>
      <c r="D168" t="s">
        <v>4602</v>
      </c>
      <c r="F168" t="s">
        <v>777</v>
      </c>
      <c r="G168" t="s">
        <v>369</v>
      </c>
      <c r="H168">
        <v>2000</v>
      </c>
      <c r="I168" t="s">
        <v>4363</v>
      </c>
      <c r="L168" s="451">
        <v>45218</v>
      </c>
      <c r="M168" s="451">
        <v>45299</v>
      </c>
      <c r="N168">
        <v>2000</v>
      </c>
      <c r="O168" t="s">
        <v>894</v>
      </c>
      <c r="Q168" t="s">
        <v>4603</v>
      </c>
      <c r="R168" t="s">
        <v>4629</v>
      </c>
    </row>
    <row r="169" spans="1:18" x14ac:dyDescent="0.3">
      <c r="A169" t="s">
        <v>4630</v>
      </c>
      <c r="B169" t="s">
        <v>557</v>
      </c>
      <c r="C169" t="s">
        <v>4631</v>
      </c>
      <c r="D169" t="s">
        <v>4631</v>
      </c>
      <c r="F169" t="s">
        <v>777</v>
      </c>
      <c r="G169" t="s">
        <v>369</v>
      </c>
      <c r="H169">
        <v>2000</v>
      </c>
      <c r="I169" t="s">
        <v>4363</v>
      </c>
      <c r="L169" s="451">
        <v>45029</v>
      </c>
      <c r="M169" s="451">
        <v>45048</v>
      </c>
      <c r="N169">
        <v>2000</v>
      </c>
      <c r="O169" t="s">
        <v>894</v>
      </c>
      <c r="Q169" t="s">
        <v>4632</v>
      </c>
      <c r="R169" t="s">
        <v>4617</v>
      </c>
    </row>
    <row r="170" spans="1:18" x14ac:dyDescent="0.3">
      <c r="A170" t="s">
        <v>4633</v>
      </c>
      <c r="B170" t="s">
        <v>557</v>
      </c>
      <c r="C170" t="s">
        <v>4631</v>
      </c>
      <c r="D170" t="s">
        <v>4631</v>
      </c>
      <c r="F170" t="s">
        <v>777</v>
      </c>
      <c r="G170" t="s">
        <v>369</v>
      </c>
      <c r="H170">
        <v>2000</v>
      </c>
      <c r="I170" t="s">
        <v>4363</v>
      </c>
      <c r="L170" s="451">
        <v>45029</v>
      </c>
      <c r="M170" s="451">
        <v>45079</v>
      </c>
      <c r="N170">
        <v>2000</v>
      </c>
      <c r="O170" t="s">
        <v>894</v>
      </c>
      <c r="Q170" t="s">
        <v>4632</v>
      </c>
      <c r="R170" t="s">
        <v>4607</v>
      </c>
    </row>
    <row r="171" spans="1:18" x14ac:dyDescent="0.3">
      <c r="A171" t="s">
        <v>4634</v>
      </c>
      <c r="B171" t="s">
        <v>557</v>
      </c>
      <c r="C171" t="s">
        <v>4635</v>
      </c>
      <c r="D171" t="s">
        <v>4635</v>
      </c>
      <c r="F171" t="s">
        <v>777</v>
      </c>
      <c r="G171" t="s">
        <v>369</v>
      </c>
      <c r="H171">
        <v>10200</v>
      </c>
      <c r="I171" t="s">
        <v>4363</v>
      </c>
      <c r="L171" s="451">
        <v>45091</v>
      </c>
      <c r="M171" s="451">
        <v>45103</v>
      </c>
      <c r="N171">
        <v>10200</v>
      </c>
      <c r="O171" t="s">
        <v>894</v>
      </c>
      <c r="Q171" t="s">
        <v>4636</v>
      </c>
      <c r="R171" t="s">
        <v>4607</v>
      </c>
    </row>
    <row r="172" spans="1:18" x14ac:dyDescent="0.3">
      <c r="A172" t="s">
        <v>4637</v>
      </c>
      <c r="B172" t="s">
        <v>557</v>
      </c>
      <c r="C172" t="s">
        <v>4635</v>
      </c>
      <c r="D172" t="s">
        <v>4635</v>
      </c>
      <c r="F172" t="s">
        <v>777</v>
      </c>
      <c r="G172" t="s">
        <v>369</v>
      </c>
      <c r="H172">
        <v>2000</v>
      </c>
      <c r="I172" t="s">
        <v>4363</v>
      </c>
      <c r="L172" s="451">
        <v>45091</v>
      </c>
      <c r="M172" s="451">
        <v>45133</v>
      </c>
      <c r="N172">
        <v>2000</v>
      </c>
      <c r="O172" t="s">
        <v>894</v>
      </c>
      <c r="Q172" t="s">
        <v>4638</v>
      </c>
      <c r="R172" t="s">
        <v>4610</v>
      </c>
    </row>
    <row r="173" spans="1:18" x14ac:dyDescent="0.3">
      <c r="A173" t="s">
        <v>4639</v>
      </c>
      <c r="B173" t="s">
        <v>557</v>
      </c>
      <c r="C173" t="s">
        <v>4550</v>
      </c>
      <c r="D173" t="s">
        <v>4550</v>
      </c>
      <c r="F173" t="s">
        <v>777</v>
      </c>
      <c r="G173" t="s">
        <v>369</v>
      </c>
      <c r="H173">
        <v>2000</v>
      </c>
      <c r="I173" t="s">
        <v>4363</v>
      </c>
      <c r="L173" s="451">
        <v>45237</v>
      </c>
      <c r="M173" s="451">
        <v>45320</v>
      </c>
      <c r="N173">
        <v>2000</v>
      </c>
      <c r="O173" t="s">
        <v>894</v>
      </c>
      <c r="Q173" t="s">
        <v>4551</v>
      </c>
      <c r="R173" t="s">
        <v>4629</v>
      </c>
    </row>
    <row r="174" spans="1:18" x14ac:dyDescent="0.3">
      <c r="A174" t="s">
        <v>4640</v>
      </c>
      <c r="B174" t="s">
        <v>557</v>
      </c>
      <c r="C174" t="s">
        <v>4515</v>
      </c>
      <c r="D174" t="s">
        <v>4515</v>
      </c>
      <c r="F174" t="s">
        <v>777</v>
      </c>
      <c r="G174" t="s">
        <v>369</v>
      </c>
      <c r="H174">
        <v>2500</v>
      </c>
      <c r="I174" t="s">
        <v>4363</v>
      </c>
      <c r="L174" s="451">
        <v>44958</v>
      </c>
      <c r="M174" s="451">
        <v>44959</v>
      </c>
      <c r="N174">
        <v>2500</v>
      </c>
      <c r="O174" t="s">
        <v>894</v>
      </c>
      <c r="Q174" t="s">
        <v>4597</v>
      </c>
      <c r="R174" t="s">
        <v>4595</v>
      </c>
    </row>
    <row r="175" spans="1:18" x14ac:dyDescent="0.3">
      <c r="A175" t="s">
        <v>4641</v>
      </c>
      <c r="B175" t="s">
        <v>557</v>
      </c>
      <c r="C175" t="s">
        <v>4635</v>
      </c>
      <c r="D175" t="s">
        <v>4635</v>
      </c>
      <c r="F175" t="s">
        <v>777</v>
      </c>
      <c r="G175" t="s">
        <v>369</v>
      </c>
      <c r="H175">
        <v>2000</v>
      </c>
      <c r="I175" t="s">
        <v>4363</v>
      </c>
      <c r="L175" s="451">
        <v>45091</v>
      </c>
      <c r="M175" s="451">
        <v>45317</v>
      </c>
      <c r="N175">
        <v>2000</v>
      </c>
      <c r="O175" t="s">
        <v>894</v>
      </c>
      <c r="Q175" t="s">
        <v>4638</v>
      </c>
      <c r="R175" t="s">
        <v>4629</v>
      </c>
    </row>
    <row r="176" spans="1:18" x14ac:dyDescent="0.3">
      <c r="A176" t="s">
        <v>4642</v>
      </c>
      <c r="B176" t="s">
        <v>557</v>
      </c>
      <c r="C176" t="s">
        <v>259</v>
      </c>
      <c r="D176" t="s">
        <v>259</v>
      </c>
      <c r="F176" t="s">
        <v>4498</v>
      </c>
      <c r="G176" t="s">
        <v>4502</v>
      </c>
      <c r="H176">
        <v>1560.38</v>
      </c>
      <c r="I176" t="s">
        <v>4363</v>
      </c>
      <c r="L176" s="451">
        <v>45195</v>
      </c>
      <c r="M176" s="451">
        <v>45198</v>
      </c>
      <c r="N176">
        <v>1560.38</v>
      </c>
      <c r="O176" t="s">
        <v>894</v>
      </c>
      <c r="Q176" t="s">
        <v>4643</v>
      </c>
      <c r="R176" t="s">
        <v>4624</v>
      </c>
    </row>
    <row r="177" spans="1:18" x14ac:dyDescent="0.3">
      <c r="A177" t="s">
        <v>4644</v>
      </c>
      <c r="B177" t="s">
        <v>557</v>
      </c>
      <c r="C177" t="s">
        <v>259</v>
      </c>
      <c r="D177" t="s">
        <v>259</v>
      </c>
      <c r="F177" t="s">
        <v>4498</v>
      </c>
      <c r="G177" t="s">
        <v>4502</v>
      </c>
      <c r="H177">
        <v>1520.61</v>
      </c>
      <c r="I177" t="s">
        <v>4363</v>
      </c>
      <c r="L177" s="451">
        <v>45195</v>
      </c>
      <c r="M177" s="451">
        <v>45198</v>
      </c>
      <c r="N177">
        <v>1520.61</v>
      </c>
      <c r="O177" t="s">
        <v>788</v>
      </c>
      <c r="Q177" t="s">
        <v>4643</v>
      </c>
      <c r="R177" t="s">
        <v>4624</v>
      </c>
    </row>
    <row r="178" spans="1:18" x14ac:dyDescent="0.3">
      <c r="A178" t="s">
        <v>4645</v>
      </c>
      <c r="B178" t="s">
        <v>557</v>
      </c>
      <c r="C178" t="s">
        <v>4612</v>
      </c>
      <c r="D178" t="s">
        <v>4612</v>
      </c>
      <c r="F178" t="s">
        <v>4498</v>
      </c>
      <c r="G178" t="s">
        <v>4502</v>
      </c>
      <c r="H178">
        <v>49775.32</v>
      </c>
      <c r="I178" t="s">
        <v>4363</v>
      </c>
      <c r="L178" s="451">
        <v>45046</v>
      </c>
      <c r="M178" s="451">
        <v>45068</v>
      </c>
      <c r="N178">
        <v>49775.32</v>
      </c>
      <c r="O178" t="s">
        <v>788</v>
      </c>
      <c r="Q178" t="s">
        <v>4646</v>
      </c>
      <c r="R178" t="s">
        <v>4617</v>
      </c>
    </row>
    <row r="179" spans="1:18" x14ac:dyDescent="0.3">
      <c r="A179" t="s">
        <v>4647</v>
      </c>
      <c r="B179" t="s">
        <v>557</v>
      </c>
      <c r="C179" t="s">
        <v>861</v>
      </c>
      <c r="D179" t="s">
        <v>861</v>
      </c>
      <c r="F179" t="s">
        <v>4498</v>
      </c>
      <c r="G179" t="s">
        <v>4502</v>
      </c>
      <c r="H179">
        <v>9849</v>
      </c>
      <c r="I179" t="s">
        <v>4363</v>
      </c>
      <c r="L179" s="451">
        <v>44917</v>
      </c>
      <c r="M179" s="451">
        <v>45072</v>
      </c>
      <c r="N179">
        <v>9849</v>
      </c>
      <c r="O179" t="s">
        <v>894</v>
      </c>
      <c r="Q179" t="s">
        <v>4502</v>
      </c>
      <c r="R179" t="s">
        <v>4617</v>
      </c>
    </row>
    <row r="180" spans="1:18" x14ac:dyDescent="0.3">
      <c r="A180" t="s">
        <v>4648</v>
      </c>
      <c r="B180" t="s">
        <v>557</v>
      </c>
      <c r="C180" t="s">
        <v>4649</v>
      </c>
      <c r="D180" t="s">
        <v>4649</v>
      </c>
      <c r="F180" t="s">
        <v>4498</v>
      </c>
      <c r="G180" t="s">
        <v>4502</v>
      </c>
      <c r="H180">
        <v>6157.95</v>
      </c>
      <c r="I180" t="s">
        <v>4363</v>
      </c>
      <c r="L180" s="451">
        <v>45069</v>
      </c>
      <c r="M180" s="451">
        <v>45082</v>
      </c>
      <c r="N180">
        <v>6157.95</v>
      </c>
      <c r="O180" t="s">
        <v>894</v>
      </c>
      <c r="Q180" t="s">
        <v>4650</v>
      </c>
      <c r="R180" t="s">
        <v>4607</v>
      </c>
    </row>
    <row r="181" spans="1:18" x14ac:dyDescent="0.3">
      <c r="A181" t="s">
        <v>4651</v>
      </c>
      <c r="B181" t="s">
        <v>557</v>
      </c>
      <c r="C181" t="s">
        <v>4631</v>
      </c>
      <c r="D181" t="s">
        <v>4631</v>
      </c>
      <c r="F181" t="s">
        <v>777</v>
      </c>
      <c r="G181" t="s">
        <v>369</v>
      </c>
      <c r="H181">
        <v>1000</v>
      </c>
      <c r="I181" t="s">
        <v>4363</v>
      </c>
      <c r="L181" s="451">
        <v>45029</v>
      </c>
      <c r="M181" s="451">
        <v>45109</v>
      </c>
      <c r="N181">
        <v>1000</v>
      </c>
      <c r="O181" t="s">
        <v>894</v>
      </c>
      <c r="Q181" t="s">
        <v>4632</v>
      </c>
      <c r="R181" t="s">
        <v>4610</v>
      </c>
    </row>
    <row r="182" spans="1:18" x14ac:dyDescent="0.3">
      <c r="A182" t="s">
        <v>4652</v>
      </c>
      <c r="B182" t="s">
        <v>557</v>
      </c>
      <c r="C182" t="s">
        <v>861</v>
      </c>
      <c r="D182" t="s">
        <v>861</v>
      </c>
      <c r="F182" t="s">
        <v>4498</v>
      </c>
      <c r="G182" t="s">
        <v>4502</v>
      </c>
      <c r="H182">
        <v>4310.2700000000004</v>
      </c>
      <c r="I182" t="s">
        <v>4363</v>
      </c>
      <c r="L182" s="451">
        <v>45050</v>
      </c>
      <c r="M182" s="451">
        <v>45061</v>
      </c>
      <c r="N182">
        <v>4310.2700000000004</v>
      </c>
      <c r="O182" t="s">
        <v>894</v>
      </c>
      <c r="Q182" t="s">
        <v>4653</v>
      </c>
      <c r="R182" t="s">
        <v>4617</v>
      </c>
    </row>
    <row r="183" spans="1:18" x14ac:dyDescent="0.3">
      <c r="A183" t="s">
        <v>4654</v>
      </c>
      <c r="B183" t="s">
        <v>557</v>
      </c>
      <c r="C183" t="s">
        <v>4655</v>
      </c>
      <c r="D183" t="s">
        <v>4655</v>
      </c>
      <c r="F183" t="s">
        <v>4498</v>
      </c>
      <c r="G183" t="s">
        <v>4656</v>
      </c>
      <c r="H183">
        <v>2291.63</v>
      </c>
      <c r="I183" t="s">
        <v>4363</v>
      </c>
      <c r="L183" s="451">
        <v>45146</v>
      </c>
      <c r="M183" s="451">
        <v>45227</v>
      </c>
      <c r="N183">
        <v>2291.63</v>
      </c>
      <c r="O183" t="s">
        <v>894</v>
      </c>
      <c r="Q183" t="s">
        <v>4656</v>
      </c>
      <c r="R183" t="s">
        <v>4622</v>
      </c>
    </row>
    <row r="184" spans="1:18" x14ac:dyDescent="0.3">
      <c r="A184" t="s">
        <v>4657</v>
      </c>
      <c r="B184" t="s">
        <v>557</v>
      </c>
      <c r="C184" t="s">
        <v>861</v>
      </c>
      <c r="D184" t="s">
        <v>861</v>
      </c>
      <c r="F184" t="s">
        <v>4498</v>
      </c>
      <c r="G184" t="s">
        <v>4502</v>
      </c>
      <c r="H184">
        <v>4310.2700000000004</v>
      </c>
      <c r="I184" t="s">
        <v>4363</v>
      </c>
      <c r="L184" s="451">
        <v>45245</v>
      </c>
      <c r="M184" s="451">
        <v>45245</v>
      </c>
      <c r="N184">
        <v>4310.2700000000004</v>
      </c>
      <c r="O184" t="s">
        <v>894</v>
      </c>
      <c r="Q184" t="s">
        <v>4557</v>
      </c>
      <c r="R184" t="s">
        <v>4604</v>
      </c>
    </row>
    <row r="185" spans="1:18" x14ac:dyDescent="0.3">
      <c r="A185" t="s">
        <v>4658</v>
      </c>
      <c r="B185" t="s">
        <v>557</v>
      </c>
      <c r="C185" t="s">
        <v>4635</v>
      </c>
      <c r="D185" t="s">
        <v>4635</v>
      </c>
      <c r="F185" t="s">
        <v>777</v>
      </c>
      <c r="G185" t="s">
        <v>369</v>
      </c>
      <c r="H185">
        <v>2000</v>
      </c>
      <c r="I185" t="s">
        <v>4363</v>
      </c>
      <c r="L185" s="451">
        <v>45091</v>
      </c>
      <c r="M185" s="451">
        <v>45257</v>
      </c>
      <c r="N185">
        <v>2000</v>
      </c>
      <c r="O185" t="s">
        <v>894</v>
      </c>
      <c r="Q185" t="s">
        <v>4638</v>
      </c>
      <c r="R185" t="s">
        <v>4604</v>
      </c>
    </row>
    <row r="186" spans="1:18" x14ac:dyDescent="0.3">
      <c r="A186" t="s">
        <v>4659</v>
      </c>
      <c r="B186" t="s">
        <v>557</v>
      </c>
      <c r="C186" t="s">
        <v>4635</v>
      </c>
      <c r="D186" t="s">
        <v>4635</v>
      </c>
      <c r="F186" t="s">
        <v>777</v>
      </c>
      <c r="G186" t="s">
        <v>369</v>
      </c>
      <c r="H186">
        <v>2000</v>
      </c>
      <c r="I186" t="s">
        <v>4363</v>
      </c>
      <c r="L186" s="451">
        <v>45091</v>
      </c>
      <c r="M186" s="451">
        <v>45286</v>
      </c>
      <c r="N186">
        <v>2000</v>
      </c>
      <c r="O186" t="s">
        <v>894</v>
      </c>
      <c r="Q186" t="s">
        <v>4638</v>
      </c>
      <c r="R186" t="s">
        <v>4620</v>
      </c>
    </row>
    <row r="187" spans="1:18" x14ac:dyDescent="0.3">
      <c r="A187" t="s">
        <v>4660</v>
      </c>
      <c r="B187" t="s">
        <v>557</v>
      </c>
      <c r="C187" t="s">
        <v>4655</v>
      </c>
      <c r="D187" t="s">
        <v>4655</v>
      </c>
      <c r="F187" t="s">
        <v>4498</v>
      </c>
      <c r="G187" t="s">
        <v>4656</v>
      </c>
      <c r="H187">
        <v>2291.63</v>
      </c>
      <c r="I187" t="s">
        <v>4363</v>
      </c>
      <c r="L187" s="451">
        <v>45146</v>
      </c>
      <c r="M187" s="451">
        <v>45197</v>
      </c>
      <c r="N187">
        <v>2291.63</v>
      </c>
      <c r="O187" t="s">
        <v>894</v>
      </c>
      <c r="Q187" t="s">
        <v>4656</v>
      </c>
      <c r="R187" t="s">
        <v>4624</v>
      </c>
    </row>
    <row r="188" spans="1:18" x14ac:dyDescent="0.3">
      <c r="A188" t="s">
        <v>4661</v>
      </c>
      <c r="B188" t="s">
        <v>557</v>
      </c>
      <c r="C188" t="s">
        <v>4662</v>
      </c>
      <c r="D188" t="s">
        <v>4663</v>
      </c>
      <c r="F188" t="s">
        <v>777</v>
      </c>
      <c r="G188" t="s">
        <v>369</v>
      </c>
      <c r="H188">
        <v>2000</v>
      </c>
      <c r="I188" t="s">
        <v>4363</v>
      </c>
      <c r="L188" s="451">
        <v>44949</v>
      </c>
      <c r="M188" s="451">
        <v>44998</v>
      </c>
      <c r="N188">
        <v>2000</v>
      </c>
      <c r="O188" t="s">
        <v>788</v>
      </c>
      <c r="Q188" t="s">
        <v>4664</v>
      </c>
      <c r="R188" t="s">
        <v>4598</v>
      </c>
    </row>
    <row r="189" spans="1:18" x14ac:dyDescent="0.3">
      <c r="A189" t="s">
        <v>4665</v>
      </c>
      <c r="B189" t="s">
        <v>557</v>
      </c>
      <c r="C189" t="s">
        <v>861</v>
      </c>
      <c r="D189" t="s">
        <v>861</v>
      </c>
      <c r="F189" t="s">
        <v>4498</v>
      </c>
      <c r="G189" t="s">
        <v>4502</v>
      </c>
      <c r="H189">
        <v>9849</v>
      </c>
      <c r="I189" t="s">
        <v>4363</v>
      </c>
      <c r="L189" s="451">
        <v>44917</v>
      </c>
      <c r="M189" s="451">
        <v>45011</v>
      </c>
      <c r="N189">
        <v>9849</v>
      </c>
      <c r="O189" t="s">
        <v>894</v>
      </c>
      <c r="Q189" t="s">
        <v>4502</v>
      </c>
      <c r="R189" t="s">
        <v>4598</v>
      </c>
    </row>
    <row r="190" spans="1:18" x14ac:dyDescent="0.3">
      <c r="A190" t="s">
        <v>4666</v>
      </c>
      <c r="B190" t="s">
        <v>557</v>
      </c>
      <c r="C190" t="s">
        <v>4550</v>
      </c>
      <c r="D190" t="s">
        <v>4550</v>
      </c>
      <c r="F190" t="s">
        <v>777</v>
      </c>
      <c r="G190" t="s">
        <v>369</v>
      </c>
      <c r="H190">
        <v>2000</v>
      </c>
      <c r="I190" t="s">
        <v>4363</v>
      </c>
      <c r="L190" s="451">
        <v>45237</v>
      </c>
      <c r="M190" s="451">
        <v>45287</v>
      </c>
      <c r="N190">
        <v>2000</v>
      </c>
      <c r="O190" t="s">
        <v>894</v>
      </c>
      <c r="Q190" t="s">
        <v>4551</v>
      </c>
      <c r="R190" t="s">
        <v>4620</v>
      </c>
    </row>
    <row r="191" spans="1:18" x14ac:dyDescent="0.3">
      <c r="A191" t="s">
        <v>4667</v>
      </c>
      <c r="B191" t="s">
        <v>557</v>
      </c>
      <c r="C191" t="s">
        <v>4602</v>
      </c>
      <c r="D191" t="s">
        <v>4602</v>
      </c>
      <c r="F191" t="s">
        <v>777</v>
      </c>
      <c r="G191" t="s">
        <v>369</v>
      </c>
      <c r="H191">
        <v>2000</v>
      </c>
      <c r="I191" t="s">
        <v>4363</v>
      </c>
      <c r="L191" s="451">
        <v>45218</v>
      </c>
      <c r="M191" s="451">
        <v>45266</v>
      </c>
      <c r="N191">
        <v>2000</v>
      </c>
      <c r="O191" t="s">
        <v>894</v>
      </c>
      <c r="Q191" t="s">
        <v>4603</v>
      </c>
      <c r="R191" t="s">
        <v>4620</v>
      </c>
    </row>
    <row r="192" spans="1:18" x14ac:dyDescent="0.3">
      <c r="A192" t="s">
        <v>4668</v>
      </c>
      <c r="B192" t="s">
        <v>557</v>
      </c>
      <c r="C192" t="s">
        <v>861</v>
      </c>
      <c r="D192" t="s">
        <v>861</v>
      </c>
      <c r="F192" t="s">
        <v>4498</v>
      </c>
      <c r="G192" t="s">
        <v>4502</v>
      </c>
      <c r="H192">
        <v>4310.2700000000004</v>
      </c>
      <c r="I192" t="s">
        <v>4363</v>
      </c>
      <c r="L192" s="451">
        <v>45016</v>
      </c>
      <c r="M192" s="451">
        <v>45031</v>
      </c>
      <c r="N192">
        <v>4310.2700000000004</v>
      </c>
      <c r="O192" t="s">
        <v>788</v>
      </c>
      <c r="Q192" t="s">
        <v>4669</v>
      </c>
      <c r="R192" t="s">
        <v>4670</v>
      </c>
    </row>
    <row r="193" spans="1:18" x14ac:dyDescent="0.3">
      <c r="A193" t="s">
        <v>4671</v>
      </c>
      <c r="B193" t="s">
        <v>557</v>
      </c>
      <c r="C193" t="s">
        <v>861</v>
      </c>
      <c r="D193" t="s">
        <v>861</v>
      </c>
      <c r="F193" t="s">
        <v>4498</v>
      </c>
      <c r="G193" t="s">
        <v>4502</v>
      </c>
      <c r="H193">
        <v>4310.2700000000004</v>
      </c>
      <c r="I193" t="s">
        <v>4363</v>
      </c>
      <c r="L193" s="451">
        <v>45122</v>
      </c>
      <c r="M193" s="451">
        <v>45122</v>
      </c>
      <c r="N193">
        <v>4310.2700000000004</v>
      </c>
      <c r="O193" t="s">
        <v>894</v>
      </c>
      <c r="Q193" t="s">
        <v>4672</v>
      </c>
      <c r="R193" t="s">
        <v>4610</v>
      </c>
    </row>
    <row r="194" spans="1:18" x14ac:dyDescent="0.3">
      <c r="A194" t="s">
        <v>4673</v>
      </c>
      <c r="B194" t="s">
        <v>557</v>
      </c>
      <c r="C194" t="s">
        <v>861</v>
      </c>
      <c r="D194" t="s">
        <v>861</v>
      </c>
      <c r="F194" t="s">
        <v>4498</v>
      </c>
      <c r="G194" t="s">
        <v>4502</v>
      </c>
      <c r="H194">
        <v>11074.79</v>
      </c>
      <c r="I194" t="s">
        <v>4363</v>
      </c>
      <c r="L194" s="451">
        <v>45112</v>
      </c>
      <c r="M194" s="451">
        <v>45133</v>
      </c>
      <c r="N194">
        <v>11074.79</v>
      </c>
      <c r="O194" t="s">
        <v>894</v>
      </c>
      <c r="Q194" t="s">
        <v>4674</v>
      </c>
      <c r="R194" t="s">
        <v>4610</v>
      </c>
    </row>
    <row r="195" spans="1:18" x14ac:dyDescent="0.3">
      <c r="A195" t="s">
        <v>4675</v>
      </c>
      <c r="B195" t="s">
        <v>557</v>
      </c>
      <c r="C195" t="s">
        <v>4612</v>
      </c>
      <c r="D195" t="s">
        <v>4612</v>
      </c>
      <c r="F195" t="s">
        <v>4498</v>
      </c>
      <c r="G195" t="s">
        <v>4502</v>
      </c>
      <c r="H195">
        <v>49775.32</v>
      </c>
      <c r="I195" t="s">
        <v>4363</v>
      </c>
      <c r="L195" s="451">
        <v>45046</v>
      </c>
      <c r="M195" s="451">
        <v>45068</v>
      </c>
      <c r="N195">
        <v>49775.32</v>
      </c>
      <c r="O195" t="s">
        <v>788</v>
      </c>
      <c r="Q195" t="s">
        <v>4646</v>
      </c>
      <c r="R195" t="s">
        <v>4617</v>
      </c>
    </row>
    <row r="196" spans="1:18" x14ac:dyDescent="0.3">
      <c r="A196" t="s">
        <v>4676</v>
      </c>
      <c r="B196" t="s">
        <v>557</v>
      </c>
      <c r="C196" t="s">
        <v>861</v>
      </c>
      <c r="D196" t="s">
        <v>861</v>
      </c>
      <c r="F196" t="s">
        <v>4498</v>
      </c>
      <c r="G196" t="s">
        <v>4502</v>
      </c>
      <c r="H196">
        <v>4310.2700000000004</v>
      </c>
      <c r="I196" t="s">
        <v>4363</v>
      </c>
      <c r="L196" s="451">
        <v>45153</v>
      </c>
      <c r="M196" s="451">
        <v>45153</v>
      </c>
      <c r="N196">
        <v>4310.2700000000004</v>
      </c>
      <c r="O196" t="s">
        <v>894</v>
      </c>
      <c r="Q196" t="s">
        <v>4677</v>
      </c>
      <c r="R196" t="s">
        <v>4678</v>
      </c>
    </row>
    <row r="197" spans="1:18" x14ac:dyDescent="0.3">
      <c r="A197" t="s">
        <v>4679</v>
      </c>
      <c r="B197" t="s">
        <v>557</v>
      </c>
      <c r="C197" t="s">
        <v>861</v>
      </c>
      <c r="D197" t="s">
        <v>861</v>
      </c>
      <c r="F197" t="s">
        <v>4498</v>
      </c>
      <c r="G197" t="s">
        <v>4502</v>
      </c>
      <c r="H197">
        <v>4310.2700000000004</v>
      </c>
      <c r="I197" t="s">
        <v>4363</v>
      </c>
      <c r="L197" s="451">
        <v>45153</v>
      </c>
      <c r="M197" s="451">
        <v>45153</v>
      </c>
      <c r="N197">
        <v>4310.2700000000004</v>
      </c>
      <c r="O197" t="s">
        <v>894</v>
      </c>
      <c r="Q197" t="s">
        <v>4680</v>
      </c>
      <c r="R197" t="s">
        <v>4678</v>
      </c>
    </row>
    <row r="198" spans="1:18" x14ac:dyDescent="0.3">
      <c r="A198" t="s">
        <v>4681</v>
      </c>
      <c r="B198" t="s">
        <v>557</v>
      </c>
      <c r="C198" t="s">
        <v>4635</v>
      </c>
      <c r="D198" t="s">
        <v>4635</v>
      </c>
      <c r="F198" t="s">
        <v>777</v>
      </c>
      <c r="G198" t="s">
        <v>369</v>
      </c>
      <c r="H198">
        <v>2000</v>
      </c>
      <c r="I198" t="s">
        <v>4363</v>
      </c>
      <c r="L198" s="451">
        <v>45091</v>
      </c>
      <c r="M198" s="451">
        <v>45225</v>
      </c>
      <c r="N198">
        <v>2000</v>
      </c>
      <c r="O198" t="s">
        <v>894</v>
      </c>
      <c r="Q198" t="s">
        <v>4638</v>
      </c>
      <c r="R198" t="s">
        <v>4622</v>
      </c>
    </row>
    <row r="199" spans="1:18" x14ac:dyDescent="0.3">
      <c r="A199" t="s">
        <v>4682</v>
      </c>
      <c r="B199" t="s">
        <v>557</v>
      </c>
      <c r="C199" t="s">
        <v>259</v>
      </c>
      <c r="D199" t="s">
        <v>259</v>
      </c>
      <c r="F199" t="s">
        <v>4498</v>
      </c>
      <c r="G199" t="s">
        <v>4502</v>
      </c>
      <c r="H199">
        <v>1520.61</v>
      </c>
      <c r="I199" t="s">
        <v>4363</v>
      </c>
      <c r="L199" s="451">
        <v>45286</v>
      </c>
      <c r="M199" s="451">
        <v>45286</v>
      </c>
      <c r="N199">
        <v>1520.61</v>
      </c>
      <c r="O199" t="s">
        <v>788</v>
      </c>
      <c r="Q199" t="s">
        <v>4643</v>
      </c>
      <c r="R199" t="s">
        <v>4620</v>
      </c>
    </row>
    <row r="200" spans="1:18" x14ac:dyDescent="0.3">
      <c r="A200" t="s">
        <v>4683</v>
      </c>
      <c r="B200" t="s">
        <v>557</v>
      </c>
      <c r="C200" t="s">
        <v>259</v>
      </c>
      <c r="D200" t="s">
        <v>259</v>
      </c>
      <c r="F200" t="s">
        <v>4498</v>
      </c>
      <c r="G200" t="s">
        <v>4502</v>
      </c>
      <c r="H200">
        <v>1595.47</v>
      </c>
      <c r="I200" t="s">
        <v>4363</v>
      </c>
      <c r="L200" s="451">
        <v>45286</v>
      </c>
      <c r="M200" s="451">
        <v>45288</v>
      </c>
      <c r="N200">
        <v>1595.47</v>
      </c>
      <c r="O200" t="s">
        <v>894</v>
      </c>
      <c r="Q200" t="s">
        <v>4643</v>
      </c>
      <c r="R200" t="s">
        <v>4620</v>
      </c>
    </row>
    <row r="201" spans="1:18" x14ac:dyDescent="0.3">
      <c r="A201" t="s">
        <v>4684</v>
      </c>
      <c r="B201" t="s">
        <v>557</v>
      </c>
      <c r="C201" t="s">
        <v>4550</v>
      </c>
      <c r="D201" t="s">
        <v>4550</v>
      </c>
      <c r="F201" t="s">
        <v>777</v>
      </c>
      <c r="G201" t="s">
        <v>369</v>
      </c>
      <c r="H201">
        <v>2000</v>
      </c>
      <c r="I201" t="s">
        <v>4363</v>
      </c>
      <c r="L201" s="451">
        <v>45237</v>
      </c>
      <c r="M201" s="451">
        <v>45257</v>
      </c>
      <c r="N201">
        <v>2000</v>
      </c>
      <c r="O201" t="s">
        <v>894</v>
      </c>
      <c r="Q201" t="s">
        <v>4551</v>
      </c>
      <c r="R201" t="s">
        <v>4604</v>
      </c>
    </row>
    <row r="202" spans="1:18" x14ac:dyDescent="0.3">
      <c r="A202" t="s">
        <v>4685</v>
      </c>
      <c r="B202" t="s">
        <v>557</v>
      </c>
      <c r="C202" t="s">
        <v>259</v>
      </c>
      <c r="D202" t="s">
        <v>259</v>
      </c>
      <c r="F202" t="s">
        <v>4498</v>
      </c>
      <c r="G202" t="s">
        <v>4502</v>
      </c>
      <c r="H202">
        <v>1571.9</v>
      </c>
      <c r="I202" t="s">
        <v>4363</v>
      </c>
      <c r="L202" s="451">
        <v>45225</v>
      </c>
      <c r="M202" s="451">
        <v>45230</v>
      </c>
      <c r="N202">
        <v>1571.9</v>
      </c>
      <c r="O202" t="s">
        <v>894</v>
      </c>
      <c r="Q202" t="s">
        <v>4643</v>
      </c>
      <c r="R202" t="s">
        <v>4622</v>
      </c>
    </row>
    <row r="203" spans="1:18" x14ac:dyDescent="0.3">
      <c r="A203" t="s">
        <v>4686</v>
      </c>
      <c r="B203" t="s">
        <v>557</v>
      </c>
      <c r="C203" t="s">
        <v>861</v>
      </c>
      <c r="D203" t="s">
        <v>861</v>
      </c>
      <c r="F203" t="s">
        <v>4498</v>
      </c>
      <c r="G203" t="s">
        <v>4502</v>
      </c>
      <c r="H203">
        <v>4310.2700000000004</v>
      </c>
      <c r="I203" t="s">
        <v>4363</v>
      </c>
      <c r="L203" s="451">
        <v>45016</v>
      </c>
      <c r="M203" s="451">
        <v>45031</v>
      </c>
      <c r="N203">
        <v>4310.2700000000004</v>
      </c>
      <c r="O203" t="s">
        <v>788</v>
      </c>
      <c r="Q203" t="s">
        <v>4687</v>
      </c>
      <c r="R203" t="s">
        <v>4670</v>
      </c>
    </row>
    <row r="204" spans="1:18" x14ac:dyDescent="0.3">
      <c r="A204" t="s">
        <v>4688</v>
      </c>
      <c r="B204" t="s">
        <v>557</v>
      </c>
      <c r="C204" t="s">
        <v>861</v>
      </c>
      <c r="D204" t="s">
        <v>861</v>
      </c>
      <c r="F204" t="s">
        <v>4498</v>
      </c>
      <c r="G204" t="s">
        <v>4502</v>
      </c>
      <c r="H204">
        <v>9849</v>
      </c>
      <c r="I204" t="s">
        <v>4363</v>
      </c>
      <c r="L204" s="451">
        <v>44917</v>
      </c>
      <c r="M204" s="451">
        <v>45042</v>
      </c>
      <c r="N204">
        <v>9849</v>
      </c>
      <c r="O204" t="s">
        <v>894</v>
      </c>
      <c r="Q204" t="s">
        <v>4502</v>
      </c>
      <c r="R204" t="s">
        <v>4670</v>
      </c>
    </row>
    <row r="205" spans="1:18" x14ac:dyDescent="0.3">
      <c r="A205" t="s">
        <v>4689</v>
      </c>
      <c r="B205" t="s">
        <v>557</v>
      </c>
      <c r="C205" t="s">
        <v>1237</v>
      </c>
      <c r="D205" t="s">
        <v>4690</v>
      </c>
      <c r="F205" t="s">
        <v>4498</v>
      </c>
      <c r="G205" t="s">
        <v>4502</v>
      </c>
      <c r="H205">
        <v>2895.82</v>
      </c>
      <c r="I205" t="s">
        <v>4363</v>
      </c>
      <c r="L205" s="451">
        <v>45042</v>
      </c>
      <c r="M205" s="451">
        <v>45044</v>
      </c>
      <c r="N205">
        <v>2895.82</v>
      </c>
      <c r="O205" t="s">
        <v>894</v>
      </c>
      <c r="Q205" t="s">
        <v>4691</v>
      </c>
      <c r="R205" t="s">
        <v>4670</v>
      </c>
    </row>
    <row r="206" spans="1:18" x14ac:dyDescent="0.3">
      <c r="A206" t="s">
        <v>4692</v>
      </c>
      <c r="B206" t="s">
        <v>557</v>
      </c>
      <c r="C206" t="s">
        <v>861</v>
      </c>
      <c r="D206" t="s">
        <v>861</v>
      </c>
      <c r="F206" t="s">
        <v>4498</v>
      </c>
      <c r="G206" t="s">
        <v>4502</v>
      </c>
      <c r="H206">
        <v>4310.2700000000004</v>
      </c>
      <c r="I206" t="s">
        <v>4363</v>
      </c>
      <c r="L206" s="451">
        <v>45083</v>
      </c>
      <c r="M206" s="451">
        <v>45092</v>
      </c>
      <c r="N206">
        <v>4310.2700000000004</v>
      </c>
      <c r="O206" t="s">
        <v>894</v>
      </c>
      <c r="Q206" t="s">
        <v>4693</v>
      </c>
      <c r="R206" t="s">
        <v>4607</v>
      </c>
    </row>
    <row r="207" spans="1:18" x14ac:dyDescent="0.3">
      <c r="A207" t="s">
        <v>4694</v>
      </c>
      <c r="B207" t="s">
        <v>557</v>
      </c>
      <c r="C207" t="s">
        <v>861</v>
      </c>
      <c r="D207" t="s">
        <v>861</v>
      </c>
      <c r="F207" t="s">
        <v>4498</v>
      </c>
      <c r="G207" t="s">
        <v>4502</v>
      </c>
      <c r="H207">
        <v>11074.79</v>
      </c>
      <c r="I207" t="s">
        <v>4363</v>
      </c>
      <c r="L207" s="451">
        <v>45083</v>
      </c>
      <c r="M207" s="451">
        <v>45103</v>
      </c>
      <c r="N207">
        <v>11074.79</v>
      </c>
      <c r="O207" t="s">
        <v>894</v>
      </c>
      <c r="Q207" t="s">
        <v>4695</v>
      </c>
      <c r="R207" t="s">
        <v>4607</v>
      </c>
    </row>
    <row r="208" spans="1:18" x14ac:dyDescent="0.3">
      <c r="A208" t="s">
        <v>4696</v>
      </c>
      <c r="B208" t="s">
        <v>557</v>
      </c>
      <c r="C208" t="s">
        <v>861</v>
      </c>
      <c r="D208" t="s">
        <v>861</v>
      </c>
      <c r="F208" t="s">
        <v>4498</v>
      </c>
      <c r="G208" t="s">
        <v>4502</v>
      </c>
      <c r="H208">
        <v>4310.2700000000004</v>
      </c>
      <c r="I208" t="s">
        <v>4363</v>
      </c>
      <c r="L208" s="451">
        <v>45050</v>
      </c>
      <c r="M208" s="451">
        <v>45061</v>
      </c>
      <c r="N208">
        <v>4310.2700000000004</v>
      </c>
      <c r="O208" t="s">
        <v>894</v>
      </c>
      <c r="Q208" t="s">
        <v>4653</v>
      </c>
      <c r="R208" t="s">
        <v>4617</v>
      </c>
    </row>
    <row r="209" spans="1:18" x14ac:dyDescent="0.3">
      <c r="A209" t="s">
        <v>4697</v>
      </c>
      <c r="B209" t="s">
        <v>557</v>
      </c>
      <c r="C209" t="s">
        <v>861</v>
      </c>
      <c r="D209" t="s">
        <v>861</v>
      </c>
      <c r="F209" t="s">
        <v>4498</v>
      </c>
      <c r="G209" t="s">
        <v>4502</v>
      </c>
      <c r="H209">
        <v>4310.2700000000004</v>
      </c>
      <c r="I209" t="s">
        <v>4363</v>
      </c>
      <c r="L209" s="451">
        <v>45245</v>
      </c>
      <c r="M209" s="451">
        <v>45245</v>
      </c>
      <c r="N209">
        <v>4310.2700000000004</v>
      </c>
      <c r="O209" t="s">
        <v>894</v>
      </c>
      <c r="Q209" t="s">
        <v>4580</v>
      </c>
      <c r="R209" t="s">
        <v>4604</v>
      </c>
    </row>
    <row r="210" spans="1:18" x14ac:dyDescent="0.3">
      <c r="A210" t="s">
        <v>4698</v>
      </c>
      <c r="B210" t="s">
        <v>557</v>
      </c>
      <c r="C210" t="s">
        <v>259</v>
      </c>
      <c r="D210" t="s">
        <v>259</v>
      </c>
      <c r="F210" t="s">
        <v>4498</v>
      </c>
      <c r="G210" t="s">
        <v>4502</v>
      </c>
      <c r="H210">
        <v>1520.61</v>
      </c>
      <c r="I210" t="s">
        <v>4363</v>
      </c>
      <c r="L210" s="451">
        <v>45256</v>
      </c>
      <c r="M210" s="451">
        <v>45256</v>
      </c>
      <c r="N210">
        <v>1520.61</v>
      </c>
      <c r="O210" t="s">
        <v>788</v>
      </c>
      <c r="Q210" t="s">
        <v>4643</v>
      </c>
      <c r="R210" t="s">
        <v>4604</v>
      </c>
    </row>
    <row r="211" spans="1:18" x14ac:dyDescent="0.3">
      <c r="A211" t="s">
        <v>4699</v>
      </c>
      <c r="B211" t="s">
        <v>557</v>
      </c>
      <c r="C211" t="s">
        <v>4655</v>
      </c>
      <c r="D211" t="s">
        <v>4655</v>
      </c>
      <c r="F211" t="s">
        <v>4498</v>
      </c>
      <c r="G211" t="s">
        <v>4656</v>
      </c>
      <c r="H211">
        <v>2291.64</v>
      </c>
      <c r="I211" t="s">
        <v>4363</v>
      </c>
      <c r="L211" s="451">
        <v>45146</v>
      </c>
      <c r="M211" s="451">
        <v>45258</v>
      </c>
      <c r="N211">
        <v>2291.64</v>
      </c>
      <c r="O211" t="s">
        <v>894</v>
      </c>
      <c r="Q211" t="s">
        <v>4656</v>
      </c>
      <c r="R211" t="s">
        <v>4604</v>
      </c>
    </row>
    <row r="212" spans="1:18" x14ac:dyDescent="0.3">
      <c r="A212" t="s">
        <v>4700</v>
      </c>
      <c r="B212" t="s">
        <v>557</v>
      </c>
      <c r="C212" t="s">
        <v>259</v>
      </c>
      <c r="D212" t="s">
        <v>259</v>
      </c>
      <c r="F212" t="s">
        <v>4498</v>
      </c>
      <c r="G212" t="s">
        <v>4502</v>
      </c>
      <c r="H212">
        <v>1520.61</v>
      </c>
      <c r="I212" t="s">
        <v>4363</v>
      </c>
      <c r="L212" s="451">
        <v>45195</v>
      </c>
      <c r="M212" s="451">
        <v>45195</v>
      </c>
      <c r="N212">
        <v>1520.61</v>
      </c>
      <c r="O212" t="s">
        <v>788</v>
      </c>
      <c r="Q212" t="s">
        <v>4643</v>
      </c>
      <c r="R212" t="s">
        <v>4624</v>
      </c>
    </row>
    <row r="213" spans="1:18" x14ac:dyDescent="0.3">
      <c r="A213" t="s">
        <v>4701</v>
      </c>
      <c r="B213" t="s">
        <v>557</v>
      </c>
      <c r="C213" t="s">
        <v>259</v>
      </c>
      <c r="D213" t="s">
        <v>259</v>
      </c>
      <c r="F213" t="s">
        <v>4498</v>
      </c>
      <c r="G213" t="s">
        <v>4502</v>
      </c>
      <c r="H213">
        <v>1515.72</v>
      </c>
      <c r="I213" t="s">
        <v>4363</v>
      </c>
      <c r="L213" s="451">
        <v>45075</v>
      </c>
      <c r="M213" s="451">
        <v>45077</v>
      </c>
      <c r="N213">
        <v>1515.72</v>
      </c>
      <c r="O213" t="s">
        <v>894</v>
      </c>
      <c r="Q213" t="s">
        <v>4502</v>
      </c>
      <c r="R213" t="s">
        <v>4617</v>
      </c>
    </row>
    <row r="214" spans="1:18" x14ac:dyDescent="0.3">
      <c r="A214" t="s">
        <v>4702</v>
      </c>
      <c r="B214" t="s">
        <v>557</v>
      </c>
      <c r="C214" t="s">
        <v>4631</v>
      </c>
      <c r="D214" t="s">
        <v>4631</v>
      </c>
      <c r="F214" t="s">
        <v>777</v>
      </c>
      <c r="G214" t="s">
        <v>369</v>
      </c>
      <c r="H214">
        <v>2000</v>
      </c>
      <c r="I214" t="s">
        <v>4363</v>
      </c>
      <c r="L214" s="451">
        <v>45029</v>
      </c>
      <c r="M214" s="451">
        <v>45048</v>
      </c>
      <c r="N214">
        <v>2000</v>
      </c>
      <c r="O214" t="s">
        <v>894</v>
      </c>
      <c r="Q214" t="s">
        <v>4632</v>
      </c>
      <c r="R214" t="s">
        <v>4617</v>
      </c>
    </row>
    <row r="215" spans="1:18" x14ac:dyDescent="0.3">
      <c r="A215" t="s">
        <v>4703</v>
      </c>
      <c r="B215" t="s">
        <v>557</v>
      </c>
      <c r="C215" t="s">
        <v>861</v>
      </c>
      <c r="D215" t="s">
        <v>861</v>
      </c>
      <c r="F215" t="s">
        <v>4498</v>
      </c>
      <c r="G215" t="s">
        <v>4502</v>
      </c>
      <c r="H215">
        <v>4310.2700000000004</v>
      </c>
      <c r="I215" t="s">
        <v>4363</v>
      </c>
      <c r="L215" s="451">
        <v>45275</v>
      </c>
      <c r="M215" s="451">
        <v>45275</v>
      </c>
      <c r="N215">
        <v>4310.2700000000004</v>
      </c>
      <c r="O215" t="s">
        <v>788</v>
      </c>
      <c r="Q215" t="s">
        <v>4580</v>
      </c>
      <c r="R215" t="s">
        <v>4620</v>
      </c>
    </row>
    <row r="216" spans="1:18" x14ac:dyDescent="0.3">
      <c r="A216" t="s">
        <v>4704</v>
      </c>
      <c r="B216" t="s">
        <v>557</v>
      </c>
      <c r="F216" t="s">
        <v>777</v>
      </c>
      <c r="G216" t="s">
        <v>369</v>
      </c>
      <c r="H216">
        <v>2500</v>
      </c>
      <c r="I216" t="s">
        <v>4363</v>
      </c>
      <c r="L216" s="451">
        <v>45127</v>
      </c>
      <c r="M216" s="451">
        <v>45183</v>
      </c>
      <c r="N216">
        <v>2500</v>
      </c>
      <c r="O216" t="s">
        <v>894</v>
      </c>
      <c r="Q216" t="s">
        <v>4705</v>
      </c>
      <c r="R216" t="s">
        <v>4624</v>
      </c>
    </row>
    <row r="217" spans="1:18" x14ac:dyDescent="0.3">
      <c r="A217" t="s">
        <v>4706</v>
      </c>
      <c r="B217" t="s">
        <v>557</v>
      </c>
      <c r="C217" t="s">
        <v>4662</v>
      </c>
      <c r="D217" t="s">
        <v>4663</v>
      </c>
      <c r="F217" t="s">
        <v>777</v>
      </c>
      <c r="G217" t="s">
        <v>369</v>
      </c>
      <c r="H217">
        <v>2000</v>
      </c>
      <c r="I217" t="s">
        <v>4363</v>
      </c>
      <c r="L217" s="451">
        <v>44949</v>
      </c>
      <c r="M217" s="451">
        <v>44970</v>
      </c>
      <c r="N217">
        <v>2000</v>
      </c>
      <c r="O217" t="s">
        <v>788</v>
      </c>
      <c r="Q217" t="s">
        <v>4707</v>
      </c>
      <c r="R217" t="s">
        <v>4595</v>
      </c>
    </row>
    <row r="218" spans="1:18" x14ac:dyDescent="0.3">
      <c r="A218" t="s">
        <v>4708</v>
      </c>
      <c r="B218" t="s">
        <v>557</v>
      </c>
      <c r="C218" t="s">
        <v>259</v>
      </c>
      <c r="D218" t="s">
        <v>259</v>
      </c>
      <c r="F218" t="s">
        <v>4498</v>
      </c>
      <c r="G218" t="s">
        <v>4502</v>
      </c>
      <c r="H218">
        <v>1119.04</v>
      </c>
      <c r="I218" t="s">
        <v>4363</v>
      </c>
      <c r="L218" s="451">
        <v>44998</v>
      </c>
      <c r="M218" s="451">
        <v>45016</v>
      </c>
      <c r="N218">
        <v>1119.04</v>
      </c>
      <c r="O218" t="s">
        <v>788</v>
      </c>
      <c r="Q218" t="s">
        <v>4709</v>
      </c>
      <c r="R218" t="s">
        <v>4598</v>
      </c>
    </row>
    <row r="219" spans="1:18" x14ac:dyDescent="0.3">
      <c r="A219" t="s">
        <v>4710</v>
      </c>
      <c r="B219" t="s">
        <v>557</v>
      </c>
      <c r="C219" t="s">
        <v>4515</v>
      </c>
      <c r="D219" t="s">
        <v>4515</v>
      </c>
      <c r="F219" t="s">
        <v>777</v>
      </c>
      <c r="G219" t="s">
        <v>369</v>
      </c>
      <c r="H219">
        <v>2500</v>
      </c>
      <c r="I219" t="s">
        <v>4363</v>
      </c>
      <c r="L219" s="451">
        <v>44927</v>
      </c>
      <c r="M219" s="451">
        <v>44928</v>
      </c>
      <c r="N219">
        <v>2500</v>
      </c>
      <c r="O219" t="s">
        <v>788</v>
      </c>
      <c r="Q219" t="s">
        <v>4597</v>
      </c>
      <c r="R219" t="s">
        <v>4600</v>
      </c>
    </row>
    <row r="220" spans="1:18" x14ac:dyDescent="0.3">
      <c r="A220" t="s">
        <v>4711</v>
      </c>
      <c r="B220" t="s">
        <v>557</v>
      </c>
      <c r="C220" t="s">
        <v>861</v>
      </c>
      <c r="D220" t="s">
        <v>861</v>
      </c>
      <c r="F220" t="s">
        <v>4498</v>
      </c>
      <c r="G220" t="s">
        <v>4502</v>
      </c>
      <c r="H220">
        <v>4310.2700000000004</v>
      </c>
      <c r="I220" t="s">
        <v>4363</v>
      </c>
      <c r="L220" s="451">
        <v>45050</v>
      </c>
      <c r="M220" s="451">
        <v>45061</v>
      </c>
      <c r="N220">
        <v>4310.2700000000004</v>
      </c>
      <c r="O220" t="s">
        <v>894</v>
      </c>
      <c r="Q220" t="s">
        <v>4653</v>
      </c>
      <c r="R220" t="s">
        <v>4617</v>
      </c>
    </row>
    <row r="221" spans="1:18" x14ac:dyDescent="0.3">
      <c r="A221" t="s">
        <v>4712</v>
      </c>
      <c r="B221" t="s">
        <v>557</v>
      </c>
      <c r="C221" t="s">
        <v>861</v>
      </c>
      <c r="D221" t="s">
        <v>861</v>
      </c>
      <c r="F221" t="s">
        <v>4498</v>
      </c>
      <c r="G221" t="s">
        <v>4502</v>
      </c>
      <c r="H221">
        <v>4310.2700000000004</v>
      </c>
      <c r="I221" t="s">
        <v>4363</v>
      </c>
      <c r="L221" s="451">
        <v>45083</v>
      </c>
      <c r="M221" s="451">
        <v>45092</v>
      </c>
      <c r="N221">
        <v>4310.2700000000004</v>
      </c>
      <c r="O221" t="s">
        <v>894</v>
      </c>
      <c r="Q221" t="s">
        <v>4713</v>
      </c>
      <c r="R221" t="s">
        <v>4607</v>
      </c>
    </row>
    <row r="222" spans="1:18" x14ac:dyDescent="0.3">
      <c r="A222" t="s">
        <v>4714</v>
      </c>
      <c r="B222" t="s">
        <v>557</v>
      </c>
      <c r="F222" t="s">
        <v>777</v>
      </c>
      <c r="G222" t="s">
        <v>369</v>
      </c>
      <c r="H222">
        <v>2500</v>
      </c>
      <c r="I222" t="s">
        <v>4363</v>
      </c>
      <c r="L222" s="451">
        <v>45127</v>
      </c>
      <c r="M222" s="451">
        <v>45152</v>
      </c>
      <c r="N222">
        <v>2500</v>
      </c>
      <c r="O222" t="s">
        <v>894</v>
      </c>
      <c r="Q222" t="s">
        <v>4705</v>
      </c>
      <c r="R222" t="s">
        <v>4678</v>
      </c>
    </row>
    <row r="223" spans="1:18" x14ac:dyDescent="0.3">
      <c r="A223" t="s">
        <v>4715</v>
      </c>
      <c r="B223" t="s">
        <v>557</v>
      </c>
      <c r="C223" t="s">
        <v>861</v>
      </c>
      <c r="D223" t="s">
        <v>861</v>
      </c>
      <c r="F223" t="s">
        <v>4498</v>
      </c>
      <c r="G223" t="s">
        <v>4502</v>
      </c>
      <c r="H223">
        <v>4310.2700000000004</v>
      </c>
      <c r="I223" t="s">
        <v>4363</v>
      </c>
      <c r="L223" s="451">
        <v>45214</v>
      </c>
      <c r="M223" s="451">
        <v>45214</v>
      </c>
      <c r="N223">
        <v>4310.2700000000004</v>
      </c>
      <c r="O223" t="s">
        <v>894</v>
      </c>
      <c r="Q223" t="s">
        <v>4580</v>
      </c>
      <c r="R223" t="s">
        <v>4622</v>
      </c>
    </row>
    <row r="224" spans="1:18" x14ac:dyDescent="0.3">
      <c r="A224" t="s">
        <v>4716</v>
      </c>
      <c r="B224" t="s">
        <v>557</v>
      </c>
      <c r="C224" t="s">
        <v>4655</v>
      </c>
      <c r="D224" t="s">
        <v>4655</v>
      </c>
      <c r="F224" t="s">
        <v>4498</v>
      </c>
      <c r="G224" t="s">
        <v>4656</v>
      </c>
      <c r="H224">
        <v>2291.63</v>
      </c>
      <c r="I224" t="s">
        <v>4363</v>
      </c>
      <c r="L224" s="451">
        <v>45146</v>
      </c>
      <c r="M224" s="451">
        <v>45166</v>
      </c>
      <c r="N224">
        <v>2291.63</v>
      </c>
      <c r="O224" t="s">
        <v>894</v>
      </c>
      <c r="Q224" t="s">
        <v>4656</v>
      </c>
      <c r="R224" t="s">
        <v>4678</v>
      </c>
    </row>
    <row r="225" spans="1:18" x14ac:dyDescent="0.3">
      <c r="A225" t="s">
        <v>4717</v>
      </c>
      <c r="B225" t="s">
        <v>557</v>
      </c>
      <c r="C225" t="s">
        <v>259</v>
      </c>
      <c r="D225" t="s">
        <v>259</v>
      </c>
      <c r="F225" t="s">
        <v>4498</v>
      </c>
      <c r="G225" t="s">
        <v>4502</v>
      </c>
      <c r="H225">
        <v>1520.61</v>
      </c>
      <c r="I225" t="s">
        <v>4363</v>
      </c>
      <c r="L225" s="451">
        <v>45164</v>
      </c>
      <c r="M225" s="451">
        <v>45169</v>
      </c>
      <c r="N225">
        <v>1520.61</v>
      </c>
      <c r="O225" t="s">
        <v>894</v>
      </c>
      <c r="Q225" t="s">
        <v>4643</v>
      </c>
      <c r="R225" t="s">
        <v>4678</v>
      </c>
    </row>
    <row r="226" spans="1:18" x14ac:dyDescent="0.3">
      <c r="A226" t="s">
        <v>4718</v>
      </c>
      <c r="B226" t="s">
        <v>557</v>
      </c>
      <c r="C226" t="s">
        <v>4515</v>
      </c>
      <c r="D226" t="s">
        <v>4515</v>
      </c>
      <c r="F226" t="s">
        <v>777</v>
      </c>
      <c r="G226" t="s">
        <v>369</v>
      </c>
      <c r="H226">
        <v>3000</v>
      </c>
      <c r="I226" t="s">
        <v>4363</v>
      </c>
      <c r="L226" s="451">
        <v>44958</v>
      </c>
      <c r="M226" s="451">
        <v>44970</v>
      </c>
      <c r="N226">
        <v>3000</v>
      </c>
      <c r="O226" t="s">
        <v>894</v>
      </c>
      <c r="Q226" t="s">
        <v>4597</v>
      </c>
      <c r="R226" t="s">
        <v>4595</v>
      </c>
    </row>
    <row r="227" spans="1:18" x14ac:dyDescent="0.3">
      <c r="A227" t="s">
        <v>4719</v>
      </c>
      <c r="B227" t="s">
        <v>557</v>
      </c>
      <c r="C227" t="s">
        <v>861</v>
      </c>
      <c r="D227" t="s">
        <v>861</v>
      </c>
      <c r="F227" t="s">
        <v>4498</v>
      </c>
      <c r="G227" t="s">
        <v>4502</v>
      </c>
      <c r="H227">
        <v>4696.72</v>
      </c>
      <c r="I227" t="s">
        <v>4363</v>
      </c>
      <c r="L227" s="451">
        <v>44960</v>
      </c>
      <c r="M227" s="451">
        <v>44972</v>
      </c>
      <c r="N227">
        <v>4696.72</v>
      </c>
      <c r="O227" t="s">
        <v>894</v>
      </c>
      <c r="Q227" t="s">
        <v>4720</v>
      </c>
      <c r="R227" t="s">
        <v>4595</v>
      </c>
    </row>
    <row r="228" spans="1:18" x14ac:dyDescent="0.3">
      <c r="A228" t="s">
        <v>4721</v>
      </c>
      <c r="B228" t="s">
        <v>557</v>
      </c>
      <c r="C228" t="s">
        <v>4515</v>
      </c>
      <c r="D228" t="s">
        <v>4515</v>
      </c>
      <c r="F228" t="s">
        <v>777</v>
      </c>
      <c r="G228" t="s">
        <v>369</v>
      </c>
      <c r="H228">
        <v>2500</v>
      </c>
      <c r="I228" t="s">
        <v>4363</v>
      </c>
      <c r="L228" s="451">
        <v>44927</v>
      </c>
      <c r="M228" s="451">
        <v>44928</v>
      </c>
      <c r="N228">
        <v>2500</v>
      </c>
      <c r="O228" t="s">
        <v>788</v>
      </c>
      <c r="Q228" t="s">
        <v>4597</v>
      </c>
      <c r="R228" t="s">
        <v>4600</v>
      </c>
    </row>
    <row r="229" spans="1:18" x14ac:dyDescent="0.3">
      <c r="A229" t="s">
        <v>4722</v>
      </c>
      <c r="B229" t="s">
        <v>557</v>
      </c>
      <c r="C229" t="s">
        <v>861</v>
      </c>
      <c r="D229" t="s">
        <v>861</v>
      </c>
      <c r="F229" t="s">
        <v>4498</v>
      </c>
      <c r="G229" t="s">
        <v>4502</v>
      </c>
      <c r="H229">
        <v>9849</v>
      </c>
      <c r="I229" t="s">
        <v>4363</v>
      </c>
      <c r="L229" s="451">
        <v>44917</v>
      </c>
      <c r="M229" s="451">
        <v>44952</v>
      </c>
      <c r="N229">
        <v>9849</v>
      </c>
      <c r="O229" t="s">
        <v>788</v>
      </c>
      <c r="Q229" t="s">
        <v>4502</v>
      </c>
      <c r="R229" t="s">
        <v>4600</v>
      </c>
    </row>
    <row r="230" spans="1:18" x14ac:dyDescent="0.3">
      <c r="A230" t="s">
        <v>4723</v>
      </c>
      <c r="B230" t="s">
        <v>557</v>
      </c>
      <c r="C230" t="s">
        <v>259</v>
      </c>
      <c r="D230" t="s">
        <v>259</v>
      </c>
      <c r="F230" t="s">
        <v>4498</v>
      </c>
      <c r="G230" t="s">
        <v>4502</v>
      </c>
      <c r="H230">
        <v>1583.83</v>
      </c>
      <c r="I230" t="s">
        <v>4363</v>
      </c>
      <c r="L230" s="451">
        <v>45256</v>
      </c>
      <c r="M230" s="451">
        <v>45260</v>
      </c>
      <c r="N230">
        <v>1583.83</v>
      </c>
      <c r="O230" t="s">
        <v>894</v>
      </c>
      <c r="Q230" t="s">
        <v>4643</v>
      </c>
      <c r="R230" t="s">
        <v>4604</v>
      </c>
    </row>
    <row r="231" spans="1:18" x14ac:dyDescent="0.3">
      <c r="A231" t="s">
        <v>4724</v>
      </c>
      <c r="B231" t="s">
        <v>557</v>
      </c>
      <c r="C231" t="s">
        <v>4612</v>
      </c>
      <c r="D231" t="s">
        <v>4612</v>
      </c>
      <c r="F231" t="s">
        <v>4498</v>
      </c>
      <c r="G231" t="s">
        <v>4502</v>
      </c>
      <c r="H231">
        <v>48421.09</v>
      </c>
      <c r="I231" t="s">
        <v>4363</v>
      </c>
      <c r="L231" s="451">
        <v>45015</v>
      </c>
      <c r="M231" s="451">
        <v>45036</v>
      </c>
      <c r="N231">
        <v>48421.09</v>
      </c>
      <c r="O231" t="s">
        <v>788</v>
      </c>
      <c r="Q231" t="s">
        <v>4725</v>
      </c>
      <c r="R231" t="s">
        <v>4670</v>
      </c>
    </row>
    <row r="232" spans="1:18" x14ac:dyDescent="0.3">
      <c r="A232" t="s">
        <v>4726</v>
      </c>
      <c r="B232" t="s">
        <v>557</v>
      </c>
      <c r="C232" t="s">
        <v>861</v>
      </c>
      <c r="D232" t="s">
        <v>861</v>
      </c>
      <c r="F232" t="s">
        <v>4498</v>
      </c>
      <c r="G232" t="s">
        <v>4502</v>
      </c>
      <c r="H232">
        <v>4310.2700000000004</v>
      </c>
      <c r="I232" t="s">
        <v>4363</v>
      </c>
      <c r="L232" s="451">
        <v>45050</v>
      </c>
      <c r="M232" s="451">
        <v>45061</v>
      </c>
      <c r="N232">
        <v>4310.2700000000004</v>
      </c>
      <c r="O232" t="s">
        <v>894</v>
      </c>
      <c r="Q232" t="s">
        <v>4653</v>
      </c>
      <c r="R232" t="s">
        <v>4617</v>
      </c>
    </row>
    <row r="233" spans="1:18" x14ac:dyDescent="0.3">
      <c r="A233" t="s">
        <v>4727</v>
      </c>
      <c r="B233" t="s">
        <v>557</v>
      </c>
      <c r="C233" t="s">
        <v>4635</v>
      </c>
      <c r="D233" t="s">
        <v>4635</v>
      </c>
      <c r="F233" t="s">
        <v>777</v>
      </c>
      <c r="G233" t="s">
        <v>369</v>
      </c>
      <c r="H233">
        <v>2000</v>
      </c>
      <c r="I233" t="s">
        <v>4363</v>
      </c>
      <c r="L233" s="451">
        <v>45091</v>
      </c>
      <c r="M233" s="451">
        <v>45195</v>
      </c>
      <c r="N233">
        <v>2000</v>
      </c>
      <c r="O233" t="s">
        <v>894</v>
      </c>
      <c r="Q233" t="s">
        <v>4638</v>
      </c>
      <c r="R233" t="s">
        <v>4624</v>
      </c>
    </row>
    <row r="234" spans="1:18" x14ac:dyDescent="0.3">
      <c r="A234" t="s">
        <v>4728</v>
      </c>
      <c r="B234" t="s">
        <v>557</v>
      </c>
      <c r="C234" t="s">
        <v>4635</v>
      </c>
      <c r="D234" t="s">
        <v>4635</v>
      </c>
      <c r="F234" t="s">
        <v>777</v>
      </c>
      <c r="G234" t="s">
        <v>369</v>
      </c>
      <c r="H234">
        <v>2000</v>
      </c>
      <c r="I234" t="s">
        <v>4363</v>
      </c>
      <c r="L234" s="451">
        <v>45091</v>
      </c>
      <c r="M234" s="451">
        <v>45166</v>
      </c>
      <c r="N234">
        <v>2000</v>
      </c>
      <c r="O234" t="s">
        <v>894</v>
      </c>
      <c r="Q234" t="s">
        <v>4638</v>
      </c>
      <c r="R234" t="s">
        <v>4678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55"/>
  <sheetViews>
    <sheetView workbookViewId="0"/>
  </sheetViews>
  <sheetFormatPr defaultRowHeight="14.4" x14ac:dyDescent="0.3"/>
  <sheetData>
    <row r="1" spans="1:9" x14ac:dyDescent="0.3">
      <c r="A1" t="s">
        <v>4729</v>
      </c>
      <c r="B1" t="s">
        <v>2538</v>
      </c>
      <c r="C1" t="s">
        <v>4730</v>
      </c>
      <c r="D1" t="s">
        <v>2539</v>
      </c>
      <c r="E1" t="s">
        <v>4731</v>
      </c>
      <c r="F1" t="s">
        <v>4732</v>
      </c>
      <c r="G1" t="s">
        <v>4733</v>
      </c>
      <c r="H1" t="s">
        <v>4734</v>
      </c>
      <c r="I1" t="s">
        <v>556</v>
      </c>
    </row>
    <row r="2" spans="1:9" x14ac:dyDescent="0.3">
      <c r="A2">
        <v>62758</v>
      </c>
      <c r="B2">
        <v>105</v>
      </c>
      <c r="C2" s="452">
        <v>45992</v>
      </c>
      <c r="D2" t="s">
        <v>557</v>
      </c>
      <c r="E2">
        <v>22654</v>
      </c>
      <c r="F2" t="s">
        <v>4735</v>
      </c>
      <c r="G2">
        <v>246</v>
      </c>
      <c r="H2" t="s">
        <v>4736</v>
      </c>
      <c r="I2" t="s">
        <v>458</v>
      </c>
    </row>
    <row r="3" spans="1:9" x14ac:dyDescent="0.3">
      <c r="A3">
        <v>62759</v>
      </c>
      <c r="B3">
        <v>105</v>
      </c>
      <c r="C3" s="452">
        <v>45992</v>
      </c>
      <c r="D3" t="s">
        <v>557</v>
      </c>
      <c r="E3">
        <v>27018</v>
      </c>
      <c r="F3" t="s">
        <v>4737</v>
      </c>
      <c r="G3">
        <v>12.75</v>
      </c>
      <c r="H3" t="s">
        <v>4738</v>
      </c>
      <c r="I3" t="s">
        <v>458</v>
      </c>
    </row>
    <row r="4" spans="1:9" x14ac:dyDescent="0.3">
      <c r="A4">
        <v>62760</v>
      </c>
      <c r="B4">
        <v>105</v>
      </c>
      <c r="C4" s="452">
        <v>45992</v>
      </c>
      <c r="D4" t="s">
        <v>557</v>
      </c>
      <c r="E4">
        <v>24011</v>
      </c>
      <c r="F4" t="s">
        <v>4739</v>
      </c>
      <c r="G4">
        <v>116</v>
      </c>
      <c r="H4" t="s">
        <v>4736</v>
      </c>
      <c r="I4" t="s">
        <v>458</v>
      </c>
    </row>
    <row r="5" spans="1:9" x14ac:dyDescent="0.3">
      <c r="A5">
        <v>62761</v>
      </c>
      <c r="B5">
        <v>105</v>
      </c>
      <c r="C5" s="452">
        <v>45992</v>
      </c>
      <c r="D5" t="s">
        <v>557</v>
      </c>
      <c r="E5">
        <v>24129</v>
      </c>
      <c r="F5" t="s">
        <v>4740</v>
      </c>
      <c r="G5">
        <v>115</v>
      </c>
      <c r="H5" t="s">
        <v>4736</v>
      </c>
      <c r="I5" t="s">
        <v>458</v>
      </c>
    </row>
    <row r="6" spans="1:9" x14ac:dyDescent="0.3">
      <c r="A6">
        <v>62762</v>
      </c>
      <c r="B6">
        <v>105</v>
      </c>
      <c r="C6" s="452">
        <v>45992</v>
      </c>
      <c r="D6" t="s">
        <v>557</v>
      </c>
      <c r="E6">
        <v>23095</v>
      </c>
      <c r="F6" t="s">
        <v>4741</v>
      </c>
      <c r="G6">
        <v>110</v>
      </c>
      <c r="H6" t="s">
        <v>4736</v>
      </c>
      <c r="I6" t="s">
        <v>458</v>
      </c>
    </row>
    <row r="7" spans="1:9" x14ac:dyDescent="0.3">
      <c r="A7">
        <v>62763</v>
      </c>
      <c r="B7">
        <v>105</v>
      </c>
      <c r="C7" s="452">
        <v>45992</v>
      </c>
      <c r="D7" t="s">
        <v>557</v>
      </c>
      <c r="E7">
        <v>24409</v>
      </c>
      <c r="F7" t="s">
        <v>4742</v>
      </c>
      <c r="G7">
        <v>94</v>
      </c>
      <c r="H7" t="s">
        <v>4736</v>
      </c>
      <c r="I7" t="s">
        <v>458</v>
      </c>
    </row>
    <row r="8" spans="1:9" x14ac:dyDescent="0.3">
      <c r="A8">
        <v>62764</v>
      </c>
      <c r="B8">
        <v>105</v>
      </c>
      <c r="C8" s="452">
        <v>45992</v>
      </c>
      <c r="D8" t="s">
        <v>557</v>
      </c>
      <c r="E8">
        <v>23268</v>
      </c>
      <c r="F8" t="s">
        <v>4743</v>
      </c>
      <c r="G8">
        <v>92.3</v>
      </c>
      <c r="H8" t="s">
        <v>4744</v>
      </c>
      <c r="I8" t="s">
        <v>458</v>
      </c>
    </row>
    <row r="9" spans="1:9" x14ac:dyDescent="0.3">
      <c r="A9">
        <v>62765</v>
      </c>
      <c r="B9">
        <v>105</v>
      </c>
      <c r="C9" s="452">
        <v>45992</v>
      </c>
      <c r="D9" t="s">
        <v>557</v>
      </c>
      <c r="E9">
        <v>17957</v>
      </c>
      <c r="F9" t="s">
        <v>4745</v>
      </c>
      <c r="G9">
        <v>92</v>
      </c>
      <c r="H9" t="s">
        <v>4736</v>
      </c>
      <c r="I9" t="s">
        <v>458</v>
      </c>
    </row>
    <row r="10" spans="1:9" x14ac:dyDescent="0.3">
      <c r="A10">
        <v>62766</v>
      </c>
      <c r="B10">
        <v>105</v>
      </c>
      <c r="C10" s="452">
        <v>45992</v>
      </c>
      <c r="D10" t="s">
        <v>557</v>
      </c>
      <c r="E10">
        <v>24414</v>
      </c>
      <c r="F10" t="s">
        <v>4746</v>
      </c>
      <c r="G10">
        <v>88</v>
      </c>
      <c r="H10" t="s">
        <v>4736</v>
      </c>
      <c r="I10" t="s">
        <v>458</v>
      </c>
    </row>
    <row r="11" spans="1:9" x14ac:dyDescent="0.3">
      <c r="A11">
        <v>62767</v>
      </c>
      <c r="B11">
        <v>105</v>
      </c>
      <c r="C11" s="452">
        <v>45992</v>
      </c>
      <c r="D11" t="s">
        <v>557</v>
      </c>
      <c r="E11">
        <v>18581</v>
      </c>
      <c r="F11" t="s">
        <v>4747</v>
      </c>
      <c r="G11">
        <v>3.12</v>
      </c>
      <c r="H11" t="s">
        <v>4738</v>
      </c>
      <c r="I11" t="s">
        <v>458</v>
      </c>
    </row>
    <row r="12" spans="1:9" x14ac:dyDescent="0.3">
      <c r="A12">
        <v>62768</v>
      </c>
      <c r="B12">
        <v>105</v>
      </c>
      <c r="C12" s="452">
        <v>45992</v>
      </c>
      <c r="D12" t="s">
        <v>557</v>
      </c>
      <c r="E12">
        <v>17042</v>
      </c>
      <c r="F12" t="s">
        <v>4748</v>
      </c>
      <c r="G12">
        <v>64</v>
      </c>
      <c r="H12" t="s">
        <v>4749</v>
      </c>
      <c r="I12" t="s">
        <v>458</v>
      </c>
    </row>
    <row r="13" spans="1:9" x14ac:dyDescent="0.3">
      <c r="A13">
        <v>62769</v>
      </c>
      <c r="B13">
        <v>105</v>
      </c>
      <c r="C13" s="452">
        <v>45992</v>
      </c>
      <c r="D13" t="s">
        <v>557</v>
      </c>
      <c r="E13">
        <v>26505</v>
      </c>
      <c r="F13" t="s">
        <v>4750</v>
      </c>
      <c r="G13">
        <v>2.58</v>
      </c>
      <c r="H13" t="s">
        <v>4738</v>
      </c>
      <c r="I13" t="s">
        <v>458</v>
      </c>
    </row>
    <row r="14" spans="1:9" x14ac:dyDescent="0.3">
      <c r="A14">
        <v>62770</v>
      </c>
      <c r="B14">
        <v>105</v>
      </c>
      <c r="C14" s="452">
        <v>45992</v>
      </c>
      <c r="D14" t="s">
        <v>557</v>
      </c>
      <c r="E14">
        <v>22623</v>
      </c>
      <c r="F14" t="s">
        <v>4751</v>
      </c>
      <c r="G14">
        <v>54</v>
      </c>
      <c r="H14" t="s">
        <v>4736</v>
      </c>
      <c r="I14" t="s">
        <v>458</v>
      </c>
    </row>
    <row r="15" spans="1:9" x14ac:dyDescent="0.3">
      <c r="A15">
        <v>62771</v>
      </c>
      <c r="B15">
        <v>105</v>
      </c>
      <c r="C15" s="452">
        <v>45992</v>
      </c>
      <c r="D15" t="s">
        <v>557</v>
      </c>
      <c r="E15">
        <v>24470</v>
      </c>
      <c r="F15" t="s">
        <v>4752</v>
      </c>
      <c r="G15">
        <v>48</v>
      </c>
      <c r="H15" t="s">
        <v>4736</v>
      </c>
      <c r="I15" t="s">
        <v>458</v>
      </c>
    </row>
    <row r="16" spans="1:9" x14ac:dyDescent="0.3">
      <c r="A16">
        <v>62772</v>
      </c>
      <c r="B16">
        <v>105</v>
      </c>
      <c r="C16" s="452">
        <v>45992</v>
      </c>
      <c r="D16" t="s">
        <v>557</v>
      </c>
      <c r="E16">
        <v>19532</v>
      </c>
      <c r="F16" t="s">
        <v>4753</v>
      </c>
      <c r="G16">
        <v>46</v>
      </c>
      <c r="H16" t="s">
        <v>4744</v>
      </c>
      <c r="I16" t="s">
        <v>458</v>
      </c>
    </row>
    <row r="17" spans="1:9" x14ac:dyDescent="0.3">
      <c r="A17">
        <v>62773</v>
      </c>
      <c r="B17">
        <v>105</v>
      </c>
      <c r="C17" s="452">
        <v>45992</v>
      </c>
      <c r="D17" t="s">
        <v>557</v>
      </c>
      <c r="E17">
        <v>23361</v>
      </c>
      <c r="F17" t="s">
        <v>4754</v>
      </c>
      <c r="G17">
        <v>45</v>
      </c>
      <c r="H17" t="s">
        <v>4744</v>
      </c>
      <c r="I17" t="s">
        <v>458</v>
      </c>
    </row>
    <row r="18" spans="1:9" x14ac:dyDescent="0.3">
      <c r="A18">
        <v>62774</v>
      </c>
      <c r="B18">
        <v>105</v>
      </c>
      <c r="C18" s="452">
        <v>45992</v>
      </c>
      <c r="D18" t="s">
        <v>557</v>
      </c>
      <c r="E18">
        <v>24307</v>
      </c>
      <c r="F18" t="s">
        <v>4755</v>
      </c>
      <c r="G18">
        <v>45</v>
      </c>
      <c r="H18" t="s">
        <v>4736</v>
      </c>
      <c r="I18" t="s">
        <v>458</v>
      </c>
    </row>
    <row r="19" spans="1:9" x14ac:dyDescent="0.3">
      <c r="A19">
        <v>62775</v>
      </c>
      <c r="B19">
        <v>105</v>
      </c>
      <c r="C19" s="452">
        <v>45992</v>
      </c>
      <c r="D19" t="s">
        <v>557</v>
      </c>
      <c r="E19">
        <v>24029</v>
      </c>
      <c r="F19" t="s">
        <v>4756</v>
      </c>
      <c r="G19">
        <v>43</v>
      </c>
      <c r="H19" t="s">
        <v>4736</v>
      </c>
      <c r="I19" t="s">
        <v>458</v>
      </c>
    </row>
    <row r="20" spans="1:9" x14ac:dyDescent="0.3">
      <c r="A20">
        <v>62776</v>
      </c>
      <c r="B20">
        <v>105</v>
      </c>
      <c r="C20" s="452">
        <v>45992</v>
      </c>
      <c r="D20" t="s">
        <v>557</v>
      </c>
      <c r="E20">
        <v>24308</v>
      </c>
      <c r="F20" t="s">
        <v>4757</v>
      </c>
      <c r="G20">
        <v>43</v>
      </c>
      <c r="H20" t="s">
        <v>4736</v>
      </c>
      <c r="I20" t="s">
        <v>458</v>
      </c>
    </row>
    <row r="21" spans="1:9" x14ac:dyDescent="0.3">
      <c r="A21">
        <v>62777</v>
      </c>
      <c r="B21">
        <v>105</v>
      </c>
      <c r="C21" s="452">
        <v>45992</v>
      </c>
      <c r="D21" t="s">
        <v>557</v>
      </c>
      <c r="E21">
        <v>25167</v>
      </c>
      <c r="F21" t="s">
        <v>4758</v>
      </c>
      <c r="G21">
        <v>35</v>
      </c>
      <c r="H21" t="s">
        <v>4744</v>
      </c>
      <c r="I21" t="s">
        <v>458</v>
      </c>
    </row>
    <row r="22" spans="1:9" x14ac:dyDescent="0.3">
      <c r="A22">
        <v>62778</v>
      </c>
      <c r="B22">
        <v>105</v>
      </c>
      <c r="C22" s="452">
        <v>45992</v>
      </c>
      <c r="D22" t="s">
        <v>557</v>
      </c>
      <c r="E22">
        <v>22652</v>
      </c>
      <c r="F22" t="s">
        <v>4759</v>
      </c>
      <c r="G22">
        <v>33</v>
      </c>
      <c r="H22" t="s">
        <v>4736</v>
      </c>
      <c r="I22" t="s">
        <v>458</v>
      </c>
    </row>
    <row r="23" spans="1:9" x14ac:dyDescent="0.3">
      <c r="A23">
        <v>62779</v>
      </c>
      <c r="B23">
        <v>105</v>
      </c>
      <c r="C23" s="452">
        <v>45992</v>
      </c>
      <c r="D23" t="s">
        <v>557</v>
      </c>
      <c r="E23">
        <v>20501</v>
      </c>
      <c r="F23" t="s">
        <v>4760</v>
      </c>
      <c r="G23">
        <v>28</v>
      </c>
      <c r="H23" t="s">
        <v>4744</v>
      </c>
      <c r="I23" t="s">
        <v>458</v>
      </c>
    </row>
    <row r="24" spans="1:9" x14ac:dyDescent="0.3">
      <c r="A24">
        <v>62780</v>
      </c>
      <c r="B24">
        <v>105</v>
      </c>
      <c r="C24" s="452">
        <v>45992</v>
      </c>
      <c r="D24" t="s">
        <v>557</v>
      </c>
      <c r="E24">
        <v>22636</v>
      </c>
      <c r="F24" t="s">
        <v>4761</v>
      </c>
      <c r="G24">
        <v>27</v>
      </c>
      <c r="H24" t="s">
        <v>4736</v>
      </c>
      <c r="I24" t="s">
        <v>458</v>
      </c>
    </row>
    <row r="25" spans="1:9" x14ac:dyDescent="0.3">
      <c r="A25">
        <v>62781</v>
      </c>
      <c r="B25">
        <v>105</v>
      </c>
      <c r="C25" s="452">
        <v>45992</v>
      </c>
      <c r="D25" t="s">
        <v>557</v>
      </c>
      <c r="E25">
        <v>19041</v>
      </c>
      <c r="F25" t="s">
        <v>4762</v>
      </c>
      <c r="G25">
        <v>25.3</v>
      </c>
      <c r="H25" t="s">
        <v>4744</v>
      </c>
      <c r="I25" t="s">
        <v>458</v>
      </c>
    </row>
    <row r="26" spans="1:9" x14ac:dyDescent="0.3">
      <c r="A26">
        <v>62782</v>
      </c>
      <c r="B26">
        <v>105</v>
      </c>
      <c r="C26" s="452">
        <v>45992</v>
      </c>
      <c r="D26" t="s">
        <v>557</v>
      </c>
      <c r="E26">
        <v>25757</v>
      </c>
      <c r="F26" t="s">
        <v>4763</v>
      </c>
      <c r="G26">
        <v>25</v>
      </c>
      <c r="H26" t="s">
        <v>4736</v>
      </c>
      <c r="I26" t="s">
        <v>458</v>
      </c>
    </row>
    <row r="27" spans="1:9" x14ac:dyDescent="0.3">
      <c r="A27">
        <v>62783</v>
      </c>
      <c r="B27">
        <v>105</v>
      </c>
      <c r="C27" s="452">
        <v>45992</v>
      </c>
      <c r="D27" t="s">
        <v>557</v>
      </c>
      <c r="E27">
        <v>19623</v>
      </c>
      <c r="F27" t="s">
        <v>4764</v>
      </c>
      <c r="G27">
        <v>22.8</v>
      </c>
      <c r="H27" t="s">
        <v>4744</v>
      </c>
      <c r="I27" t="s">
        <v>458</v>
      </c>
    </row>
    <row r="28" spans="1:9" x14ac:dyDescent="0.3">
      <c r="A28">
        <v>62784</v>
      </c>
      <c r="B28">
        <v>105</v>
      </c>
      <c r="C28" s="452">
        <v>45992</v>
      </c>
      <c r="D28" t="s">
        <v>557</v>
      </c>
      <c r="E28">
        <v>22118</v>
      </c>
      <c r="F28" t="s">
        <v>4765</v>
      </c>
      <c r="G28">
        <v>21</v>
      </c>
      <c r="H28" t="s">
        <v>4749</v>
      </c>
      <c r="I28" t="s">
        <v>458</v>
      </c>
    </row>
    <row r="29" spans="1:9" x14ac:dyDescent="0.3">
      <c r="A29">
        <v>62785</v>
      </c>
      <c r="B29">
        <v>105</v>
      </c>
      <c r="C29" s="452">
        <v>45992</v>
      </c>
      <c r="D29" t="s">
        <v>557</v>
      </c>
      <c r="E29">
        <v>24467</v>
      </c>
      <c r="F29" t="s">
        <v>4766</v>
      </c>
      <c r="G29">
        <v>21</v>
      </c>
      <c r="H29" t="s">
        <v>4736</v>
      </c>
      <c r="I29" t="s">
        <v>458</v>
      </c>
    </row>
    <row r="30" spans="1:9" x14ac:dyDescent="0.3">
      <c r="A30">
        <v>62786</v>
      </c>
      <c r="B30">
        <v>105</v>
      </c>
      <c r="C30" s="452">
        <v>45992</v>
      </c>
      <c r="D30" t="s">
        <v>557</v>
      </c>
      <c r="E30">
        <v>23359</v>
      </c>
      <c r="F30" t="s">
        <v>4767</v>
      </c>
      <c r="G30">
        <v>19.7</v>
      </c>
      <c r="H30" t="s">
        <v>4744</v>
      </c>
      <c r="I30" t="s">
        <v>458</v>
      </c>
    </row>
    <row r="31" spans="1:9" x14ac:dyDescent="0.3">
      <c r="A31">
        <v>62787</v>
      </c>
      <c r="B31">
        <v>105</v>
      </c>
      <c r="C31" s="452">
        <v>45992</v>
      </c>
      <c r="D31" t="s">
        <v>557</v>
      </c>
      <c r="E31">
        <v>18945</v>
      </c>
      <c r="F31" t="s">
        <v>4768</v>
      </c>
      <c r="G31">
        <v>18.899999999999999</v>
      </c>
      <c r="H31" t="s">
        <v>4744</v>
      </c>
      <c r="I31" t="s">
        <v>458</v>
      </c>
    </row>
    <row r="32" spans="1:9" x14ac:dyDescent="0.3">
      <c r="A32">
        <v>62788</v>
      </c>
      <c r="B32">
        <v>105</v>
      </c>
      <c r="C32" s="452">
        <v>45992</v>
      </c>
      <c r="D32" t="s">
        <v>557</v>
      </c>
      <c r="E32">
        <v>24954</v>
      </c>
      <c r="F32" t="s">
        <v>4769</v>
      </c>
      <c r="G32">
        <v>18.7</v>
      </c>
      <c r="H32" t="s">
        <v>4744</v>
      </c>
      <c r="I32" t="s">
        <v>458</v>
      </c>
    </row>
    <row r="33" spans="1:9" x14ac:dyDescent="0.3">
      <c r="A33">
        <v>62789</v>
      </c>
      <c r="B33">
        <v>105</v>
      </c>
      <c r="C33" s="452">
        <v>45992</v>
      </c>
      <c r="D33" t="s">
        <v>557</v>
      </c>
      <c r="E33">
        <v>25762</v>
      </c>
      <c r="F33" t="s">
        <v>4770</v>
      </c>
      <c r="G33">
        <v>18</v>
      </c>
      <c r="H33" t="s">
        <v>4736</v>
      </c>
      <c r="I33" t="s">
        <v>458</v>
      </c>
    </row>
    <row r="34" spans="1:9" x14ac:dyDescent="0.3">
      <c r="A34">
        <v>62790</v>
      </c>
      <c r="B34">
        <v>105</v>
      </c>
      <c r="C34" s="452">
        <v>45992</v>
      </c>
      <c r="D34" t="s">
        <v>557</v>
      </c>
      <c r="E34">
        <v>24096</v>
      </c>
      <c r="F34" t="s">
        <v>4771</v>
      </c>
      <c r="G34">
        <v>18</v>
      </c>
      <c r="H34" t="s">
        <v>4744</v>
      </c>
      <c r="I34" t="s">
        <v>458</v>
      </c>
    </row>
    <row r="35" spans="1:9" x14ac:dyDescent="0.3">
      <c r="A35">
        <v>62791</v>
      </c>
      <c r="B35">
        <v>105</v>
      </c>
      <c r="C35" s="452">
        <v>45992</v>
      </c>
      <c r="D35" t="s">
        <v>557</v>
      </c>
      <c r="E35">
        <v>24192</v>
      </c>
      <c r="F35" t="s">
        <v>4772</v>
      </c>
      <c r="G35">
        <v>18</v>
      </c>
      <c r="H35" t="s">
        <v>4736</v>
      </c>
      <c r="I35" t="s">
        <v>458</v>
      </c>
    </row>
    <row r="36" spans="1:9" x14ac:dyDescent="0.3">
      <c r="A36">
        <v>62792</v>
      </c>
      <c r="B36">
        <v>105</v>
      </c>
      <c r="C36" s="452">
        <v>45992</v>
      </c>
      <c r="D36" t="s">
        <v>557</v>
      </c>
      <c r="E36">
        <v>24256</v>
      </c>
      <c r="F36" t="s">
        <v>4773</v>
      </c>
      <c r="G36">
        <v>17.61</v>
      </c>
      <c r="H36" t="s">
        <v>4744</v>
      </c>
      <c r="I36" t="s">
        <v>458</v>
      </c>
    </row>
    <row r="37" spans="1:9" x14ac:dyDescent="0.3">
      <c r="A37">
        <v>62793</v>
      </c>
      <c r="B37">
        <v>105</v>
      </c>
      <c r="C37" s="452">
        <v>45992</v>
      </c>
      <c r="D37" t="s">
        <v>557</v>
      </c>
      <c r="E37">
        <v>25777</v>
      </c>
      <c r="F37" t="s">
        <v>4774</v>
      </c>
      <c r="G37">
        <v>17.25</v>
      </c>
      <c r="H37" t="s">
        <v>4744</v>
      </c>
      <c r="I37" t="s">
        <v>458</v>
      </c>
    </row>
    <row r="38" spans="1:9" x14ac:dyDescent="0.3">
      <c r="A38">
        <v>62794</v>
      </c>
      <c r="B38">
        <v>105</v>
      </c>
      <c r="C38" s="452">
        <v>45992</v>
      </c>
      <c r="D38" t="s">
        <v>557</v>
      </c>
      <c r="E38">
        <v>25758</v>
      </c>
      <c r="F38" t="s">
        <v>4775</v>
      </c>
      <c r="G38">
        <v>17</v>
      </c>
      <c r="H38" t="s">
        <v>4736</v>
      </c>
      <c r="I38" t="s">
        <v>458</v>
      </c>
    </row>
    <row r="39" spans="1:9" x14ac:dyDescent="0.3">
      <c r="A39">
        <v>62795</v>
      </c>
      <c r="B39">
        <v>105</v>
      </c>
      <c r="C39" s="452">
        <v>45992</v>
      </c>
      <c r="D39" t="s">
        <v>557</v>
      </c>
      <c r="E39">
        <v>26103</v>
      </c>
      <c r="F39" t="s">
        <v>4776</v>
      </c>
      <c r="G39">
        <v>17</v>
      </c>
      <c r="H39" t="s">
        <v>4749</v>
      </c>
      <c r="I39" t="s">
        <v>458</v>
      </c>
    </row>
    <row r="40" spans="1:9" x14ac:dyDescent="0.3">
      <c r="A40">
        <v>62796</v>
      </c>
      <c r="B40">
        <v>105</v>
      </c>
      <c r="C40" s="452">
        <v>45992</v>
      </c>
      <c r="D40" t="s">
        <v>557</v>
      </c>
      <c r="E40">
        <v>24116</v>
      </c>
      <c r="F40" t="s">
        <v>4777</v>
      </c>
      <c r="G40">
        <v>17</v>
      </c>
      <c r="H40" t="s">
        <v>4744</v>
      </c>
      <c r="I40" t="s">
        <v>458</v>
      </c>
    </row>
    <row r="41" spans="1:9" x14ac:dyDescent="0.3">
      <c r="A41">
        <v>62797</v>
      </c>
      <c r="B41">
        <v>105</v>
      </c>
      <c r="C41" s="452">
        <v>45992</v>
      </c>
      <c r="D41" t="s">
        <v>557</v>
      </c>
      <c r="E41">
        <v>24217</v>
      </c>
      <c r="F41" t="s">
        <v>4778</v>
      </c>
      <c r="G41">
        <v>16.45</v>
      </c>
      <c r="H41" t="s">
        <v>4744</v>
      </c>
      <c r="I41" t="s">
        <v>458</v>
      </c>
    </row>
    <row r="42" spans="1:9" x14ac:dyDescent="0.3">
      <c r="A42">
        <v>62798</v>
      </c>
      <c r="B42">
        <v>105</v>
      </c>
      <c r="C42" s="452">
        <v>45992</v>
      </c>
      <c r="D42" t="s">
        <v>557</v>
      </c>
      <c r="E42">
        <v>19740</v>
      </c>
      <c r="F42" t="s">
        <v>4779</v>
      </c>
      <c r="G42">
        <v>16.100000000000001</v>
      </c>
      <c r="H42" t="s">
        <v>4744</v>
      </c>
      <c r="I42" t="s">
        <v>458</v>
      </c>
    </row>
    <row r="43" spans="1:9" x14ac:dyDescent="0.3">
      <c r="A43">
        <v>62799</v>
      </c>
      <c r="B43">
        <v>105</v>
      </c>
      <c r="C43" s="452">
        <v>45992</v>
      </c>
      <c r="D43" t="s">
        <v>557</v>
      </c>
      <c r="E43">
        <v>20382</v>
      </c>
      <c r="F43" t="s">
        <v>4780</v>
      </c>
      <c r="G43">
        <v>16</v>
      </c>
      <c r="H43" t="s">
        <v>4738</v>
      </c>
      <c r="I43" t="s">
        <v>458</v>
      </c>
    </row>
    <row r="44" spans="1:9" x14ac:dyDescent="0.3">
      <c r="A44">
        <v>62800</v>
      </c>
      <c r="B44">
        <v>105</v>
      </c>
      <c r="C44" s="452">
        <v>45992</v>
      </c>
      <c r="D44" t="s">
        <v>557</v>
      </c>
      <c r="E44">
        <v>20122</v>
      </c>
      <c r="F44" t="s">
        <v>4781</v>
      </c>
      <c r="G44">
        <v>16</v>
      </c>
      <c r="H44" t="s">
        <v>4738</v>
      </c>
      <c r="I44" t="s">
        <v>458</v>
      </c>
    </row>
    <row r="45" spans="1:9" x14ac:dyDescent="0.3">
      <c r="A45">
        <v>62801</v>
      </c>
      <c r="B45">
        <v>105</v>
      </c>
      <c r="C45" s="452">
        <v>45992</v>
      </c>
      <c r="D45" t="s">
        <v>557</v>
      </c>
      <c r="E45">
        <v>23228</v>
      </c>
      <c r="F45" t="s">
        <v>4782</v>
      </c>
      <c r="G45">
        <v>15.5</v>
      </c>
      <c r="H45" t="s">
        <v>4744</v>
      </c>
      <c r="I45" t="s">
        <v>458</v>
      </c>
    </row>
    <row r="46" spans="1:9" x14ac:dyDescent="0.3">
      <c r="A46">
        <v>62802</v>
      </c>
      <c r="B46">
        <v>105</v>
      </c>
      <c r="C46" s="452">
        <v>45992</v>
      </c>
      <c r="D46" t="s">
        <v>557</v>
      </c>
      <c r="E46">
        <v>24199</v>
      </c>
      <c r="F46" t="s">
        <v>4783</v>
      </c>
      <c r="G46">
        <v>14.6</v>
      </c>
      <c r="H46" t="s">
        <v>4744</v>
      </c>
      <c r="I46" t="s">
        <v>458</v>
      </c>
    </row>
    <row r="47" spans="1:9" x14ac:dyDescent="0.3">
      <c r="A47">
        <v>62803</v>
      </c>
      <c r="B47">
        <v>105</v>
      </c>
      <c r="C47" s="452">
        <v>45992</v>
      </c>
      <c r="D47" t="s">
        <v>557</v>
      </c>
      <c r="E47">
        <v>19658</v>
      </c>
      <c r="F47" t="s">
        <v>4784</v>
      </c>
      <c r="G47">
        <v>14.4</v>
      </c>
      <c r="H47" t="s">
        <v>4744</v>
      </c>
      <c r="I47" t="s">
        <v>458</v>
      </c>
    </row>
    <row r="48" spans="1:9" x14ac:dyDescent="0.3">
      <c r="A48">
        <v>62804</v>
      </c>
      <c r="B48">
        <v>105</v>
      </c>
      <c r="C48" s="452">
        <v>45992</v>
      </c>
      <c r="D48" t="s">
        <v>557</v>
      </c>
      <c r="E48">
        <v>18832</v>
      </c>
      <c r="F48" t="s">
        <v>4785</v>
      </c>
      <c r="G48">
        <v>14.15</v>
      </c>
      <c r="H48" t="s">
        <v>4744</v>
      </c>
      <c r="I48" t="s">
        <v>458</v>
      </c>
    </row>
    <row r="49" spans="1:9" x14ac:dyDescent="0.3">
      <c r="A49">
        <v>62805</v>
      </c>
      <c r="B49">
        <v>105</v>
      </c>
      <c r="C49" s="452">
        <v>45992</v>
      </c>
      <c r="D49" t="s">
        <v>557</v>
      </c>
      <c r="E49">
        <v>19635</v>
      </c>
      <c r="F49" t="s">
        <v>4786</v>
      </c>
      <c r="G49">
        <v>14.04</v>
      </c>
      <c r="H49" t="s">
        <v>4744</v>
      </c>
      <c r="I49" t="s">
        <v>458</v>
      </c>
    </row>
    <row r="50" spans="1:9" x14ac:dyDescent="0.3">
      <c r="A50">
        <v>62806</v>
      </c>
      <c r="B50">
        <v>105</v>
      </c>
      <c r="C50" s="452">
        <v>45992</v>
      </c>
      <c r="D50" t="s">
        <v>557</v>
      </c>
      <c r="E50">
        <v>25760</v>
      </c>
      <c r="F50" t="s">
        <v>4787</v>
      </c>
      <c r="G50">
        <v>14</v>
      </c>
      <c r="H50" t="s">
        <v>4736</v>
      </c>
      <c r="I50" t="s">
        <v>458</v>
      </c>
    </row>
    <row r="51" spans="1:9" x14ac:dyDescent="0.3">
      <c r="A51">
        <v>62807</v>
      </c>
      <c r="B51">
        <v>105</v>
      </c>
      <c r="C51" s="452">
        <v>45992</v>
      </c>
      <c r="D51" t="s">
        <v>557</v>
      </c>
      <c r="E51">
        <v>24509</v>
      </c>
      <c r="F51" t="s">
        <v>4788</v>
      </c>
      <c r="G51">
        <v>13.78</v>
      </c>
      <c r="H51" t="s">
        <v>4744</v>
      </c>
      <c r="I51" t="s">
        <v>458</v>
      </c>
    </row>
    <row r="52" spans="1:9" x14ac:dyDescent="0.3">
      <c r="A52">
        <v>62808</v>
      </c>
      <c r="B52">
        <v>105</v>
      </c>
      <c r="C52" s="452">
        <v>45992</v>
      </c>
      <c r="D52" t="s">
        <v>557</v>
      </c>
      <c r="E52">
        <v>25761</v>
      </c>
      <c r="F52" t="s">
        <v>4789</v>
      </c>
      <c r="G52">
        <v>13</v>
      </c>
      <c r="H52" t="s">
        <v>4736</v>
      </c>
      <c r="I52" t="s">
        <v>458</v>
      </c>
    </row>
    <row r="53" spans="1:9" x14ac:dyDescent="0.3">
      <c r="A53">
        <v>62809</v>
      </c>
      <c r="B53">
        <v>105</v>
      </c>
      <c r="C53" s="452">
        <v>45992</v>
      </c>
      <c r="D53" t="s">
        <v>557</v>
      </c>
      <c r="E53">
        <v>25075</v>
      </c>
      <c r="F53" t="s">
        <v>4790</v>
      </c>
      <c r="G53">
        <v>13</v>
      </c>
      <c r="H53" t="s">
        <v>4738</v>
      </c>
      <c r="I53" t="s">
        <v>458</v>
      </c>
    </row>
    <row r="54" spans="1:9" x14ac:dyDescent="0.3">
      <c r="A54">
        <v>62810</v>
      </c>
      <c r="B54">
        <v>105</v>
      </c>
      <c r="C54" s="452">
        <v>45992</v>
      </c>
      <c r="D54" t="s">
        <v>557</v>
      </c>
      <c r="E54">
        <v>26679</v>
      </c>
      <c r="F54" t="s">
        <v>4791</v>
      </c>
      <c r="G54">
        <v>13</v>
      </c>
      <c r="H54" t="s">
        <v>4744</v>
      </c>
      <c r="I54" t="s">
        <v>458</v>
      </c>
    </row>
    <row r="55" spans="1:9" x14ac:dyDescent="0.3">
      <c r="A55">
        <v>62811</v>
      </c>
      <c r="B55">
        <v>105</v>
      </c>
      <c r="C55" s="452">
        <v>45992</v>
      </c>
      <c r="D55" t="s">
        <v>557</v>
      </c>
      <c r="E55">
        <v>19634</v>
      </c>
      <c r="F55" t="s">
        <v>4792</v>
      </c>
      <c r="G55">
        <v>12.9</v>
      </c>
      <c r="H55" t="s">
        <v>4744</v>
      </c>
      <c r="I55" t="s">
        <v>458</v>
      </c>
    </row>
    <row r="56" spans="1:9" x14ac:dyDescent="0.3">
      <c r="A56">
        <v>62812</v>
      </c>
      <c r="B56">
        <v>105</v>
      </c>
      <c r="C56" s="452">
        <v>45992</v>
      </c>
      <c r="D56" t="s">
        <v>557</v>
      </c>
      <c r="E56">
        <v>19787</v>
      </c>
      <c r="F56" t="s">
        <v>4793</v>
      </c>
      <c r="G56">
        <v>12.1</v>
      </c>
      <c r="H56" t="s">
        <v>4744</v>
      </c>
      <c r="I56" t="s">
        <v>458</v>
      </c>
    </row>
    <row r="57" spans="1:9" x14ac:dyDescent="0.3">
      <c r="A57">
        <v>62813</v>
      </c>
      <c r="B57">
        <v>105</v>
      </c>
      <c r="C57" s="452">
        <v>45992</v>
      </c>
      <c r="D57" t="s">
        <v>557</v>
      </c>
      <c r="E57">
        <v>25747</v>
      </c>
      <c r="F57" t="s">
        <v>4794</v>
      </c>
      <c r="G57">
        <v>12</v>
      </c>
      <c r="H57" t="s">
        <v>4736</v>
      </c>
      <c r="I57" t="s">
        <v>458</v>
      </c>
    </row>
    <row r="58" spans="1:9" x14ac:dyDescent="0.3">
      <c r="A58">
        <v>62814</v>
      </c>
      <c r="B58">
        <v>105</v>
      </c>
      <c r="C58" s="452">
        <v>45992</v>
      </c>
      <c r="D58" t="s">
        <v>557</v>
      </c>
      <c r="E58">
        <v>24226</v>
      </c>
      <c r="F58" t="s">
        <v>4795</v>
      </c>
      <c r="G58">
        <v>12</v>
      </c>
      <c r="H58" t="s">
        <v>4736</v>
      </c>
      <c r="I58" t="s">
        <v>458</v>
      </c>
    </row>
    <row r="59" spans="1:9" x14ac:dyDescent="0.3">
      <c r="A59">
        <v>62815</v>
      </c>
      <c r="B59">
        <v>105</v>
      </c>
      <c r="C59" s="452">
        <v>45992</v>
      </c>
      <c r="D59" t="s">
        <v>557</v>
      </c>
      <c r="E59">
        <v>20365</v>
      </c>
      <c r="F59" t="s">
        <v>4796</v>
      </c>
      <c r="G59">
        <v>11</v>
      </c>
      <c r="H59" t="s">
        <v>4736</v>
      </c>
      <c r="I59" t="s">
        <v>458</v>
      </c>
    </row>
    <row r="60" spans="1:9" x14ac:dyDescent="0.3">
      <c r="A60">
        <v>62816</v>
      </c>
      <c r="B60">
        <v>105</v>
      </c>
      <c r="C60" s="452">
        <v>45992</v>
      </c>
      <c r="D60" t="s">
        <v>557</v>
      </c>
      <c r="E60">
        <v>20521</v>
      </c>
      <c r="F60" t="s">
        <v>4797</v>
      </c>
      <c r="G60">
        <v>11</v>
      </c>
      <c r="H60" t="s">
        <v>4744</v>
      </c>
      <c r="I60" t="s">
        <v>458</v>
      </c>
    </row>
    <row r="61" spans="1:9" x14ac:dyDescent="0.3">
      <c r="A61">
        <v>62817</v>
      </c>
      <c r="B61">
        <v>105</v>
      </c>
      <c r="C61" s="452">
        <v>45992</v>
      </c>
      <c r="D61" t="s">
        <v>557</v>
      </c>
      <c r="E61">
        <v>24468</v>
      </c>
      <c r="F61" t="s">
        <v>4798</v>
      </c>
      <c r="G61">
        <v>11</v>
      </c>
      <c r="H61" t="s">
        <v>4736</v>
      </c>
      <c r="I61" t="s">
        <v>458</v>
      </c>
    </row>
    <row r="62" spans="1:9" x14ac:dyDescent="0.3">
      <c r="A62">
        <v>62818</v>
      </c>
      <c r="B62">
        <v>105</v>
      </c>
      <c r="C62" s="452">
        <v>45992</v>
      </c>
      <c r="D62" t="s">
        <v>557</v>
      </c>
      <c r="E62">
        <v>19356</v>
      </c>
      <c r="F62" t="s">
        <v>4799</v>
      </c>
      <c r="G62">
        <v>10.9</v>
      </c>
      <c r="H62" t="s">
        <v>4744</v>
      </c>
      <c r="I62" t="s">
        <v>458</v>
      </c>
    </row>
    <row r="63" spans="1:9" x14ac:dyDescent="0.3">
      <c r="A63">
        <v>62819</v>
      </c>
      <c r="B63">
        <v>105</v>
      </c>
      <c r="C63" s="452">
        <v>45992</v>
      </c>
      <c r="D63" t="s">
        <v>557</v>
      </c>
      <c r="E63">
        <v>19751</v>
      </c>
      <c r="F63" t="s">
        <v>4800</v>
      </c>
      <c r="G63">
        <v>10.7</v>
      </c>
      <c r="H63" t="s">
        <v>4744</v>
      </c>
      <c r="I63" t="s">
        <v>458</v>
      </c>
    </row>
    <row r="64" spans="1:9" x14ac:dyDescent="0.3">
      <c r="A64">
        <v>62820</v>
      </c>
      <c r="B64">
        <v>105</v>
      </c>
      <c r="C64" s="452">
        <v>45992</v>
      </c>
      <c r="D64" t="s">
        <v>557</v>
      </c>
      <c r="E64">
        <v>26135</v>
      </c>
      <c r="F64" t="s">
        <v>4801</v>
      </c>
      <c r="G64">
        <v>10.32</v>
      </c>
      <c r="H64" t="s">
        <v>4744</v>
      </c>
      <c r="I64" t="s">
        <v>458</v>
      </c>
    </row>
    <row r="65" spans="1:9" x14ac:dyDescent="0.3">
      <c r="A65">
        <v>62821</v>
      </c>
      <c r="B65">
        <v>105</v>
      </c>
      <c r="C65" s="452">
        <v>45992</v>
      </c>
      <c r="D65" t="s">
        <v>557</v>
      </c>
      <c r="E65">
        <v>19907</v>
      </c>
      <c r="F65" t="s">
        <v>4802</v>
      </c>
      <c r="G65">
        <v>10</v>
      </c>
      <c r="H65" t="s">
        <v>4736</v>
      </c>
      <c r="I65" t="s">
        <v>458</v>
      </c>
    </row>
    <row r="66" spans="1:9" x14ac:dyDescent="0.3">
      <c r="A66">
        <v>62822</v>
      </c>
      <c r="B66">
        <v>105</v>
      </c>
      <c r="C66" s="452">
        <v>45992</v>
      </c>
      <c r="D66" t="s">
        <v>557</v>
      </c>
      <c r="E66">
        <v>22721</v>
      </c>
      <c r="F66" t="s">
        <v>4803</v>
      </c>
      <c r="G66">
        <v>10</v>
      </c>
      <c r="H66" t="s">
        <v>4744</v>
      </c>
      <c r="I66" t="s">
        <v>458</v>
      </c>
    </row>
    <row r="67" spans="1:9" x14ac:dyDescent="0.3">
      <c r="A67">
        <v>62823</v>
      </c>
      <c r="B67">
        <v>105</v>
      </c>
      <c r="C67" s="452">
        <v>45992</v>
      </c>
      <c r="D67" t="s">
        <v>557</v>
      </c>
      <c r="E67">
        <v>18172</v>
      </c>
      <c r="F67" t="s">
        <v>4804</v>
      </c>
      <c r="G67">
        <v>10</v>
      </c>
      <c r="H67" t="s">
        <v>4805</v>
      </c>
      <c r="I67" t="s">
        <v>458</v>
      </c>
    </row>
    <row r="68" spans="1:9" x14ac:dyDescent="0.3">
      <c r="A68">
        <v>62824</v>
      </c>
      <c r="B68">
        <v>105</v>
      </c>
      <c r="C68" s="452">
        <v>45992</v>
      </c>
      <c r="D68" t="s">
        <v>557</v>
      </c>
      <c r="E68">
        <v>24227</v>
      </c>
      <c r="F68" t="s">
        <v>4806</v>
      </c>
      <c r="G68">
        <v>10</v>
      </c>
      <c r="H68" t="s">
        <v>4736</v>
      </c>
      <c r="I68" t="s">
        <v>458</v>
      </c>
    </row>
    <row r="69" spans="1:9" x14ac:dyDescent="0.3">
      <c r="A69">
        <v>62825</v>
      </c>
      <c r="B69">
        <v>105</v>
      </c>
      <c r="C69" s="452">
        <v>45992</v>
      </c>
      <c r="D69" t="s">
        <v>557</v>
      </c>
      <c r="E69">
        <v>19752</v>
      </c>
      <c r="F69" t="s">
        <v>4807</v>
      </c>
      <c r="G69">
        <v>9.9</v>
      </c>
      <c r="H69" t="s">
        <v>4744</v>
      </c>
      <c r="I69" t="s">
        <v>458</v>
      </c>
    </row>
    <row r="70" spans="1:9" x14ac:dyDescent="0.3">
      <c r="A70">
        <v>62826</v>
      </c>
      <c r="B70">
        <v>105</v>
      </c>
      <c r="C70" s="452">
        <v>45992</v>
      </c>
      <c r="D70" t="s">
        <v>557</v>
      </c>
      <c r="E70">
        <v>20544</v>
      </c>
      <c r="F70" t="s">
        <v>4808</v>
      </c>
      <c r="G70">
        <v>9.1</v>
      </c>
      <c r="H70" t="s">
        <v>4744</v>
      </c>
      <c r="I70" t="s">
        <v>458</v>
      </c>
    </row>
    <row r="71" spans="1:9" x14ac:dyDescent="0.3">
      <c r="A71">
        <v>62827</v>
      </c>
      <c r="B71">
        <v>105</v>
      </c>
      <c r="C71" s="452">
        <v>45992</v>
      </c>
      <c r="D71" t="s">
        <v>557</v>
      </c>
      <c r="E71">
        <v>19401</v>
      </c>
      <c r="F71" t="s">
        <v>4809</v>
      </c>
      <c r="G71">
        <v>8.93</v>
      </c>
      <c r="H71" t="s">
        <v>4744</v>
      </c>
      <c r="I71" t="s">
        <v>458</v>
      </c>
    </row>
    <row r="72" spans="1:9" x14ac:dyDescent="0.3">
      <c r="A72">
        <v>62828</v>
      </c>
      <c r="B72">
        <v>105</v>
      </c>
      <c r="C72" s="452">
        <v>45992</v>
      </c>
      <c r="D72" t="s">
        <v>557</v>
      </c>
      <c r="E72">
        <v>19003</v>
      </c>
      <c r="F72" t="s">
        <v>4810</v>
      </c>
      <c r="G72">
        <v>8.8000000000000007</v>
      </c>
      <c r="H72" t="s">
        <v>4744</v>
      </c>
      <c r="I72" t="s">
        <v>458</v>
      </c>
    </row>
    <row r="73" spans="1:9" x14ac:dyDescent="0.3">
      <c r="A73">
        <v>62829</v>
      </c>
      <c r="B73">
        <v>105</v>
      </c>
      <c r="C73" s="452">
        <v>45992</v>
      </c>
      <c r="D73" t="s">
        <v>557</v>
      </c>
      <c r="E73">
        <v>18822</v>
      </c>
      <c r="F73" t="s">
        <v>4811</v>
      </c>
      <c r="G73">
        <v>8.4</v>
      </c>
      <c r="H73" t="s">
        <v>4744</v>
      </c>
      <c r="I73" t="s">
        <v>458</v>
      </c>
    </row>
    <row r="74" spans="1:9" x14ac:dyDescent="0.3">
      <c r="A74">
        <v>62830</v>
      </c>
      <c r="B74">
        <v>105</v>
      </c>
      <c r="C74" s="452">
        <v>45992</v>
      </c>
      <c r="D74" t="s">
        <v>557</v>
      </c>
      <c r="E74">
        <v>26040</v>
      </c>
      <c r="F74" t="s">
        <v>4812</v>
      </c>
      <c r="G74">
        <v>8.32</v>
      </c>
      <c r="H74" t="s">
        <v>4805</v>
      </c>
      <c r="I74" t="s">
        <v>458</v>
      </c>
    </row>
    <row r="75" spans="1:9" x14ac:dyDescent="0.3">
      <c r="A75">
        <v>62831</v>
      </c>
      <c r="B75">
        <v>105</v>
      </c>
      <c r="C75" s="452">
        <v>45992</v>
      </c>
      <c r="D75" t="s">
        <v>557</v>
      </c>
      <c r="E75">
        <v>24302</v>
      </c>
      <c r="F75" t="s">
        <v>4813</v>
      </c>
      <c r="G75">
        <v>8.1999999999999993</v>
      </c>
      <c r="H75" t="s">
        <v>4744</v>
      </c>
      <c r="I75" t="s">
        <v>458</v>
      </c>
    </row>
    <row r="76" spans="1:9" x14ac:dyDescent="0.3">
      <c r="A76">
        <v>62832</v>
      </c>
      <c r="B76">
        <v>105</v>
      </c>
      <c r="C76" s="452">
        <v>45992</v>
      </c>
      <c r="D76" t="s">
        <v>557</v>
      </c>
      <c r="E76">
        <v>20623</v>
      </c>
      <c r="F76" t="s">
        <v>4814</v>
      </c>
      <c r="G76">
        <v>8.17</v>
      </c>
      <c r="H76" t="s">
        <v>4736</v>
      </c>
      <c r="I76" t="s">
        <v>458</v>
      </c>
    </row>
    <row r="77" spans="1:9" x14ac:dyDescent="0.3">
      <c r="A77">
        <v>62833</v>
      </c>
      <c r="B77">
        <v>105</v>
      </c>
      <c r="C77" s="452">
        <v>45992</v>
      </c>
      <c r="D77" t="s">
        <v>557</v>
      </c>
      <c r="E77">
        <v>18991</v>
      </c>
      <c r="F77" t="s">
        <v>4815</v>
      </c>
      <c r="G77">
        <v>8.1</v>
      </c>
      <c r="H77" t="s">
        <v>4744</v>
      </c>
      <c r="I77" t="s">
        <v>458</v>
      </c>
    </row>
    <row r="78" spans="1:9" x14ac:dyDescent="0.3">
      <c r="A78">
        <v>62834</v>
      </c>
      <c r="B78">
        <v>105</v>
      </c>
      <c r="C78" s="452">
        <v>45992</v>
      </c>
      <c r="D78" t="s">
        <v>557</v>
      </c>
      <c r="E78">
        <v>23515</v>
      </c>
      <c r="F78" t="s">
        <v>4816</v>
      </c>
      <c r="G78">
        <v>8</v>
      </c>
      <c r="H78" t="s">
        <v>4736</v>
      </c>
      <c r="I78" t="s">
        <v>458</v>
      </c>
    </row>
    <row r="79" spans="1:9" x14ac:dyDescent="0.3">
      <c r="A79">
        <v>62835</v>
      </c>
      <c r="B79">
        <v>105</v>
      </c>
      <c r="C79" s="452">
        <v>45992</v>
      </c>
      <c r="D79" t="s">
        <v>557</v>
      </c>
      <c r="E79">
        <v>19964</v>
      </c>
      <c r="F79" t="s">
        <v>4817</v>
      </c>
      <c r="G79">
        <v>8</v>
      </c>
      <c r="H79" t="s">
        <v>4736</v>
      </c>
      <c r="I79" t="s">
        <v>458</v>
      </c>
    </row>
    <row r="80" spans="1:9" x14ac:dyDescent="0.3">
      <c r="A80">
        <v>62836</v>
      </c>
      <c r="B80">
        <v>105</v>
      </c>
      <c r="C80" s="452">
        <v>45992</v>
      </c>
      <c r="D80" t="s">
        <v>557</v>
      </c>
      <c r="E80">
        <v>21000</v>
      </c>
      <c r="F80" t="s">
        <v>4818</v>
      </c>
      <c r="G80">
        <v>8</v>
      </c>
      <c r="H80" t="s">
        <v>4736</v>
      </c>
      <c r="I80" t="s">
        <v>458</v>
      </c>
    </row>
    <row r="81" spans="1:9" x14ac:dyDescent="0.3">
      <c r="A81">
        <v>62837</v>
      </c>
      <c r="B81">
        <v>105</v>
      </c>
      <c r="C81" s="452">
        <v>45992</v>
      </c>
      <c r="D81" t="s">
        <v>557</v>
      </c>
      <c r="E81">
        <v>24973</v>
      </c>
      <c r="F81" t="s">
        <v>4819</v>
      </c>
      <c r="G81">
        <v>0.67</v>
      </c>
      <c r="H81" t="s">
        <v>4738</v>
      </c>
      <c r="I81" t="s">
        <v>458</v>
      </c>
    </row>
    <row r="82" spans="1:9" x14ac:dyDescent="0.3">
      <c r="A82">
        <v>62838</v>
      </c>
      <c r="B82">
        <v>105</v>
      </c>
      <c r="C82" s="452">
        <v>45992</v>
      </c>
      <c r="D82" t="s">
        <v>557</v>
      </c>
      <c r="E82">
        <v>24200</v>
      </c>
      <c r="F82" t="s">
        <v>4820</v>
      </c>
      <c r="G82">
        <v>7.7</v>
      </c>
      <c r="H82" t="s">
        <v>4744</v>
      </c>
      <c r="I82" t="s">
        <v>458</v>
      </c>
    </row>
    <row r="83" spans="1:9" x14ac:dyDescent="0.3">
      <c r="A83">
        <v>62839</v>
      </c>
      <c r="B83">
        <v>105</v>
      </c>
      <c r="C83" s="452">
        <v>45992</v>
      </c>
      <c r="D83" t="s">
        <v>557</v>
      </c>
      <c r="E83">
        <v>25755</v>
      </c>
      <c r="F83" t="s">
        <v>4821</v>
      </c>
      <c r="G83">
        <v>7</v>
      </c>
      <c r="H83" t="s">
        <v>4749</v>
      </c>
      <c r="I83" t="s">
        <v>458</v>
      </c>
    </row>
    <row r="84" spans="1:9" x14ac:dyDescent="0.3">
      <c r="A84">
        <v>62840</v>
      </c>
      <c r="B84">
        <v>105</v>
      </c>
      <c r="C84" s="452">
        <v>45992</v>
      </c>
      <c r="D84" t="s">
        <v>557</v>
      </c>
      <c r="E84">
        <v>20809</v>
      </c>
      <c r="F84" t="s">
        <v>4822</v>
      </c>
      <c r="G84">
        <v>7</v>
      </c>
      <c r="H84" t="s">
        <v>4738</v>
      </c>
      <c r="I84" t="s">
        <v>458</v>
      </c>
    </row>
    <row r="85" spans="1:9" x14ac:dyDescent="0.3">
      <c r="A85">
        <v>62841</v>
      </c>
      <c r="B85">
        <v>105</v>
      </c>
      <c r="C85" s="452">
        <v>45992</v>
      </c>
      <c r="D85" t="s">
        <v>557</v>
      </c>
      <c r="E85">
        <v>20549</v>
      </c>
      <c r="F85" t="s">
        <v>4823</v>
      </c>
      <c r="G85">
        <v>7</v>
      </c>
      <c r="H85" t="s">
        <v>4744</v>
      </c>
      <c r="I85" t="s">
        <v>458</v>
      </c>
    </row>
    <row r="86" spans="1:9" x14ac:dyDescent="0.3">
      <c r="A86">
        <v>62842</v>
      </c>
      <c r="B86">
        <v>105</v>
      </c>
      <c r="C86" s="452">
        <v>45992</v>
      </c>
      <c r="D86" t="s">
        <v>557</v>
      </c>
      <c r="E86">
        <v>20242</v>
      </c>
      <c r="F86" t="s">
        <v>4824</v>
      </c>
      <c r="G86">
        <v>7</v>
      </c>
      <c r="H86" t="s">
        <v>4738</v>
      </c>
      <c r="I86" t="s">
        <v>458</v>
      </c>
    </row>
    <row r="87" spans="1:9" x14ac:dyDescent="0.3">
      <c r="A87">
        <v>62843</v>
      </c>
      <c r="B87">
        <v>105</v>
      </c>
      <c r="C87" s="452">
        <v>45992</v>
      </c>
      <c r="D87" t="s">
        <v>557</v>
      </c>
      <c r="E87">
        <v>20227</v>
      </c>
      <c r="F87" t="s">
        <v>4825</v>
      </c>
      <c r="G87">
        <v>7</v>
      </c>
      <c r="H87" t="s">
        <v>4738</v>
      </c>
      <c r="I87" t="s">
        <v>458</v>
      </c>
    </row>
    <row r="88" spans="1:9" x14ac:dyDescent="0.3">
      <c r="A88">
        <v>62844</v>
      </c>
      <c r="B88">
        <v>105</v>
      </c>
      <c r="C88" s="452">
        <v>45992</v>
      </c>
      <c r="D88" t="s">
        <v>557</v>
      </c>
      <c r="E88">
        <v>19916</v>
      </c>
      <c r="F88" t="s">
        <v>4826</v>
      </c>
      <c r="G88">
        <v>7</v>
      </c>
      <c r="H88" t="s">
        <v>4738</v>
      </c>
      <c r="I88" t="s">
        <v>458</v>
      </c>
    </row>
    <row r="89" spans="1:9" x14ac:dyDescent="0.3">
      <c r="A89">
        <v>62845</v>
      </c>
      <c r="B89">
        <v>105</v>
      </c>
      <c r="C89" s="452">
        <v>45992</v>
      </c>
      <c r="D89" t="s">
        <v>557</v>
      </c>
      <c r="E89">
        <v>16973</v>
      </c>
      <c r="F89" t="s">
        <v>4827</v>
      </c>
      <c r="G89">
        <v>7</v>
      </c>
      <c r="H89" t="s">
        <v>4749</v>
      </c>
      <c r="I89" t="s">
        <v>458</v>
      </c>
    </row>
    <row r="90" spans="1:9" x14ac:dyDescent="0.3">
      <c r="A90">
        <v>62846</v>
      </c>
      <c r="B90">
        <v>105</v>
      </c>
      <c r="C90" s="452">
        <v>45992</v>
      </c>
      <c r="D90" t="s">
        <v>557</v>
      </c>
      <c r="E90">
        <v>26034</v>
      </c>
      <c r="F90" t="s">
        <v>4828</v>
      </c>
      <c r="G90">
        <v>7</v>
      </c>
      <c r="H90" t="s">
        <v>4805</v>
      </c>
      <c r="I90" t="s">
        <v>458</v>
      </c>
    </row>
    <row r="91" spans="1:9" x14ac:dyDescent="0.3">
      <c r="A91">
        <v>62847</v>
      </c>
      <c r="B91">
        <v>105</v>
      </c>
      <c r="C91" s="452">
        <v>45992</v>
      </c>
      <c r="D91" t="s">
        <v>557</v>
      </c>
      <c r="E91">
        <v>19621</v>
      </c>
      <c r="F91" t="s">
        <v>4829</v>
      </c>
      <c r="G91">
        <v>6.9</v>
      </c>
      <c r="H91" t="s">
        <v>4744</v>
      </c>
      <c r="I91" t="s">
        <v>458</v>
      </c>
    </row>
    <row r="92" spans="1:9" x14ac:dyDescent="0.3">
      <c r="A92">
        <v>62848</v>
      </c>
      <c r="B92">
        <v>105</v>
      </c>
      <c r="C92" s="452">
        <v>45992</v>
      </c>
      <c r="D92" t="s">
        <v>557</v>
      </c>
      <c r="E92">
        <v>19322</v>
      </c>
      <c r="F92" t="s">
        <v>4830</v>
      </c>
      <c r="G92">
        <v>6.75</v>
      </c>
      <c r="H92" t="s">
        <v>4744</v>
      </c>
      <c r="I92" t="s">
        <v>458</v>
      </c>
    </row>
    <row r="93" spans="1:9" x14ac:dyDescent="0.3">
      <c r="A93">
        <v>62849</v>
      </c>
      <c r="B93">
        <v>105</v>
      </c>
      <c r="C93" s="452">
        <v>45992</v>
      </c>
      <c r="D93" t="s">
        <v>557</v>
      </c>
      <c r="E93">
        <v>20105</v>
      </c>
      <c r="F93" t="s">
        <v>4831</v>
      </c>
      <c r="G93">
        <v>6.6</v>
      </c>
      <c r="H93" t="s">
        <v>4744</v>
      </c>
      <c r="I93" t="s">
        <v>458</v>
      </c>
    </row>
    <row r="94" spans="1:9" x14ac:dyDescent="0.3">
      <c r="A94">
        <v>62850</v>
      </c>
      <c r="B94">
        <v>105</v>
      </c>
      <c r="C94" s="452">
        <v>45992</v>
      </c>
      <c r="D94" t="s">
        <v>557</v>
      </c>
      <c r="E94">
        <v>18731</v>
      </c>
      <c r="F94" t="s">
        <v>4832</v>
      </c>
      <c r="G94">
        <v>6.6</v>
      </c>
      <c r="H94" t="s">
        <v>4744</v>
      </c>
      <c r="I94" t="s">
        <v>458</v>
      </c>
    </row>
    <row r="95" spans="1:9" x14ac:dyDescent="0.3">
      <c r="A95">
        <v>62851</v>
      </c>
      <c r="B95">
        <v>105</v>
      </c>
      <c r="C95" s="452">
        <v>45992</v>
      </c>
      <c r="D95" t="s">
        <v>557</v>
      </c>
      <c r="E95">
        <v>19734</v>
      </c>
      <c r="F95" t="s">
        <v>4833</v>
      </c>
      <c r="G95">
        <v>6.5</v>
      </c>
      <c r="H95" t="s">
        <v>4744</v>
      </c>
      <c r="I95" t="s">
        <v>458</v>
      </c>
    </row>
    <row r="96" spans="1:9" x14ac:dyDescent="0.3">
      <c r="A96">
        <v>62852</v>
      </c>
      <c r="B96">
        <v>105</v>
      </c>
      <c r="C96" s="452">
        <v>45992</v>
      </c>
      <c r="D96" t="s">
        <v>557</v>
      </c>
      <c r="E96">
        <v>24081</v>
      </c>
      <c r="F96" t="s">
        <v>4834</v>
      </c>
      <c r="G96">
        <v>6.5</v>
      </c>
      <c r="H96" t="s">
        <v>4744</v>
      </c>
      <c r="I96" t="s">
        <v>458</v>
      </c>
    </row>
    <row r="97" spans="1:9" x14ac:dyDescent="0.3">
      <c r="A97">
        <v>62853</v>
      </c>
      <c r="B97">
        <v>105</v>
      </c>
      <c r="C97" s="452">
        <v>45992</v>
      </c>
      <c r="D97" t="s">
        <v>557</v>
      </c>
      <c r="E97">
        <v>19346</v>
      </c>
      <c r="F97" t="s">
        <v>4835</v>
      </c>
      <c r="G97">
        <v>6.15</v>
      </c>
      <c r="H97" t="s">
        <v>4744</v>
      </c>
      <c r="I97" t="s">
        <v>458</v>
      </c>
    </row>
    <row r="98" spans="1:9" x14ac:dyDescent="0.3">
      <c r="A98">
        <v>62854</v>
      </c>
      <c r="B98">
        <v>105</v>
      </c>
      <c r="C98" s="452">
        <v>45992</v>
      </c>
      <c r="D98" t="s">
        <v>557</v>
      </c>
      <c r="E98">
        <v>20487</v>
      </c>
      <c r="F98" t="s">
        <v>4836</v>
      </c>
      <c r="G98">
        <v>6.1</v>
      </c>
      <c r="H98" t="s">
        <v>4744</v>
      </c>
      <c r="I98" t="s">
        <v>458</v>
      </c>
    </row>
    <row r="99" spans="1:9" x14ac:dyDescent="0.3">
      <c r="A99">
        <v>62855</v>
      </c>
      <c r="B99">
        <v>105</v>
      </c>
      <c r="C99" s="452">
        <v>45992</v>
      </c>
      <c r="D99" t="s">
        <v>557</v>
      </c>
      <c r="E99">
        <v>23635</v>
      </c>
      <c r="F99" t="s">
        <v>4837</v>
      </c>
      <c r="G99">
        <v>6</v>
      </c>
      <c r="H99" t="s">
        <v>4744</v>
      </c>
      <c r="I99" t="s">
        <v>458</v>
      </c>
    </row>
    <row r="100" spans="1:9" x14ac:dyDescent="0.3">
      <c r="A100">
        <v>62856</v>
      </c>
      <c r="B100">
        <v>105</v>
      </c>
      <c r="C100" s="452">
        <v>45992</v>
      </c>
      <c r="D100" t="s">
        <v>557</v>
      </c>
      <c r="E100">
        <v>18518</v>
      </c>
      <c r="F100" t="s">
        <v>4838</v>
      </c>
      <c r="G100">
        <v>6</v>
      </c>
      <c r="H100" t="s">
        <v>4805</v>
      </c>
      <c r="I100" t="s">
        <v>458</v>
      </c>
    </row>
    <row r="101" spans="1:9" x14ac:dyDescent="0.3">
      <c r="A101">
        <v>62857</v>
      </c>
      <c r="B101">
        <v>105</v>
      </c>
      <c r="C101" s="452">
        <v>45992</v>
      </c>
      <c r="D101" t="s">
        <v>557</v>
      </c>
      <c r="E101">
        <v>18491</v>
      </c>
      <c r="F101" t="s">
        <v>4839</v>
      </c>
      <c r="G101">
        <v>6</v>
      </c>
      <c r="H101" t="s">
        <v>4805</v>
      </c>
      <c r="I101" t="s">
        <v>458</v>
      </c>
    </row>
    <row r="102" spans="1:9" x14ac:dyDescent="0.3">
      <c r="A102">
        <v>62858</v>
      </c>
      <c r="B102">
        <v>105</v>
      </c>
      <c r="C102" s="452">
        <v>45992</v>
      </c>
      <c r="D102" t="s">
        <v>557</v>
      </c>
      <c r="E102">
        <v>18030</v>
      </c>
      <c r="F102" t="s">
        <v>4840</v>
      </c>
      <c r="G102">
        <v>6</v>
      </c>
      <c r="H102" t="s">
        <v>4805</v>
      </c>
      <c r="I102" t="s">
        <v>458</v>
      </c>
    </row>
    <row r="103" spans="1:9" x14ac:dyDescent="0.3">
      <c r="A103">
        <v>62859</v>
      </c>
      <c r="B103">
        <v>105</v>
      </c>
      <c r="C103" s="452">
        <v>45992</v>
      </c>
      <c r="D103" t="s">
        <v>557</v>
      </c>
      <c r="E103">
        <v>26036</v>
      </c>
      <c r="F103" t="s">
        <v>4841</v>
      </c>
      <c r="G103">
        <v>6</v>
      </c>
      <c r="H103" t="s">
        <v>4805</v>
      </c>
      <c r="I103" t="s">
        <v>458</v>
      </c>
    </row>
    <row r="104" spans="1:9" x14ac:dyDescent="0.3">
      <c r="A104">
        <v>62860</v>
      </c>
      <c r="B104">
        <v>105</v>
      </c>
      <c r="C104" s="452">
        <v>45992</v>
      </c>
      <c r="D104" t="s">
        <v>557</v>
      </c>
      <c r="E104">
        <v>17578</v>
      </c>
      <c r="F104" t="s">
        <v>4842</v>
      </c>
      <c r="G104">
        <v>6</v>
      </c>
      <c r="H104" t="s">
        <v>4805</v>
      </c>
      <c r="I104" t="s">
        <v>458</v>
      </c>
    </row>
    <row r="105" spans="1:9" x14ac:dyDescent="0.3">
      <c r="A105">
        <v>62861</v>
      </c>
      <c r="B105">
        <v>105</v>
      </c>
      <c r="C105" s="452">
        <v>45992</v>
      </c>
      <c r="D105" t="s">
        <v>557</v>
      </c>
      <c r="E105">
        <v>26044</v>
      </c>
      <c r="F105" t="s">
        <v>4843</v>
      </c>
      <c r="G105">
        <v>6</v>
      </c>
      <c r="H105" t="s">
        <v>4805</v>
      </c>
      <c r="I105" t="s">
        <v>458</v>
      </c>
    </row>
    <row r="106" spans="1:9" x14ac:dyDescent="0.3">
      <c r="A106">
        <v>62862</v>
      </c>
      <c r="B106">
        <v>105</v>
      </c>
      <c r="C106" s="452">
        <v>45992</v>
      </c>
      <c r="D106" t="s">
        <v>557</v>
      </c>
      <c r="E106">
        <v>24323</v>
      </c>
      <c r="F106" t="s">
        <v>4844</v>
      </c>
      <c r="G106">
        <v>5.95</v>
      </c>
      <c r="H106" t="s">
        <v>4744</v>
      </c>
      <c r="I106" t="s">
        <v>458</v>
      </c>
    </row>
    <row r="107" spans="1:9" x14ac:dyDescent="0.3">
      <c r="A107">
        <v>62863</v>
      </c>
      <c r="B107">
        <v>105</v>
      </c>
      <c r="C107" s="452">
        <v>45992</v>
      </c>
      <c r="D107" t="s">
        <v>557</v>
      </c>
      <c r="E107">
        <v>23934</v>
      </c>
      <c r="F107" t="s">
        <v>4845</v>
      </c>
      <c r="G107">
        <v>5.9</v>
      </c>
      <c r="H107" t="s">
        <v>4744</v>
      </c>
      <c r="I107" t="s">
        <v>458</v>
      </c>
    </row>
    <row r="108" spans="1:9" x14ac:dyDescent="0.3">
      <c r="A108">
        <v>62864</v>
      </c>
      <c r="B108">
        <v>105</v>
      </c>
      <c r="C108" s="452">
        <v>45992</v>
      </c>
      <c r="D108" t="s">
        <v>557</v>
      </c>
      <c r="E108">
        <v>24191</v>
      </c>
      <c r="F108" t="s">
        <v>4846</v>
      </c>
      <c r="G108">
        <v>5.8</v>
      </c>
      <c r="H108" t="s">
        <v>4744</v>
      </c>
      <c r="I108" t="s">
        <v>458</v>
      </c>
    </row>
    <row r="109" spans="1:9" x14ac:dyDescent="0.3">
      <c r="A109">
        <v>62865</v>
      </c>
      <c r="B109">
        <v>105</v>
      </c>
      <c r="C109" s="452">
        <v>45992</v>
      </c>
      <c r="D109" t="s">
        <v>557</v>
      </c>
      <c r="E109">
        <v>21047</v>
      </c>
      <c r="F109" t="s">
        <v>4847</v>
      </c>
      <c r="G109">
        <v>5.6</v>
      </c>
      <c r="H109" t="s">
        <v>4848</v>
      </c>
      <c r="I109" t="s">
        <v>458</v>
      </c>
    </row>
    <row r="110" spans="1:9" x14ac:dyDescent="0.3">
      <c r="A110">
        <v>62866</v>
      </c>
      <c r="B110">
        <v>105</v>
      </c>
      <c r="C110" s="452">
        <v>45992</v>
      </c>
      <c r="D110" t="s">
        <v>557</v>
      </c>
      <c r="E110">
        <v>22843</v>
      </c>
      <c r="F110" t="s">
        <v>4849</v>
      </c>
      <c r="G110">
        <v>5.51</v>
      </c>
      <c r="H110" t="s">
        <v>4744</v>
      </c>
      <c r="I110" t="s">
        <v>458</v>
      </c>
    </row>
    <row r="111" spans="1:9" x14ac:dyDescent="0.3">
      <c r="A111">
        <v>62867</v>
      </c>
      <c r="B111">
        <v>105</v>
      </c>
      <c r="C111" s="452">
        <v>45992</v>
      </c>
      <c r="D111" t="s">
        <v>557</v>
      </c>
      <c r="E111">
        <v>25205</v>
      </c>
      <c r="F111" t="s">
        <v>4850</v>
      </c>
      <c r="G111">
        <v>5.4</v>
      </c>
      <c r="H111" t="s">
        <v>4744</v>
      </c>
      <c r="I111" t="s">
        <v>458</v>
      </c>
    </row>
    <row r="112" spans="1:9" x14ac:dyDescent="0.3">
      <c r="A112">
        <v>62868</v>
      </c>
      <c r="B112">
        <v>105</v>
      </c>
      <c r="C112" s="452">
        <v>45992</v>
      </c>
      <c r="D112" t="s">
        <v>557</v>
      </c>
      <c r="E112">
        <v>19353</v>
      </c>
      <c r="F112" t="s">
        <v>4851</v>
      </c>
      <c r="G112">
        <v>5.2</v>
      </c>
      <c r="H112" t="s">
        <v>4744</v>
      </c>
      <c r="I112" t="s">
        <v>458</v>
      </c>
    </row>
    <row r="113" spans="1:9" x14ac:dyDescent="0.3">
      <c r="A113">
        <v>62869</v>
      </c>
      <c r="B113">
        <v>105</v>
      </c>
      <c r="C113" s="452">
        <v>45992</v>
      </c>
      <c r="D113" t="s">
        <v>557</v>
      </c>
      <c r="E113">
        <v>24598</v>
      </c>
      <c r="F113" t="s">
        <v>4852</v>
      </c>
      <c r="G113">
        <v>5.15</v>
      </c>
      <c r="H113" t="s">
        <v>4744</v>
      </c>
      <c r="I113" t="s">
        <v>458</v>
      </c>
    </row>
    <row r="114" spans="1:9" x14ac:dyDescent="0.3">
      <c r="A114">
        <v>62870</v>
      </c>
      <c r="B114">
        <v>105</v>
      </c>
      <c r="C114" s="452">
        <v>45992</v>
      </c>
      <c r="D114" t="s">
        <v>557</v>
      </c>
      <c r="E114">
        <v>19507</v>
      </c>
      <c r="F114" t="s">
        <v>4853</v>
      </c>
      <c r="G114">
        <v>5.0999999999999996</v>
      </c>
      <c r="H114" t="s">
        <v>4744</v>
      </c>
      <c r="I114" t="s">
        <v>458</v>
      </c>
    </row>
    <row r="115" spans="1:9" x14ac:dyDescent="0.3">
      <c r="A115">
        <v>62871</v>
      </c>
      <c r="B115">
        <v>105</v>
      </c>
      <c r="C115" s="452">
        <v>45992</v>
      </c>
      <c r="D115" t="s">
        <v>557</v>
      </c>
      <c r="E115">
        <v>25756</v>
      </c>
      <c r="F115" t="s">
        <v>4854</v>
      </c>
      <c r="G115">
        <v>5</v>
      </c>
      <c r="H115" t="s">
        <v>4749</v>
      </c>
      <c r="I115" t="s">
        <v>458</v>
      </c>
    </row>
    <row r="116" spans="1:9" x14ac:dyDescent="0.3">
      <c r="A116">
        <v>62872</v>
      </c>
      <c r="B116">
        <v>105</v>
      </c>
      <c r="C116" s="452">
        <v>45992</v>
      </c>
      <c r="D116" t="s">
        <v>557</v>
      </c>
      <c r="E116">
        <v>21093</v>
      </c>
      <c r="F116" t="s">
        <v>4855</v>
      </c>
      <c r="G116">
        <v>5</v>
      </c>
      <c r="H116" t="s">
        <v>4744</v>
      </c>
      <c r="I116" t="s">
        <v>458</v>
      </c>
    </row>
    <row r="117" spans="1:9" x14ac:dyDescent="0.3">
      <c r="A117">
        <v>62873</v>
      </c>
      <c r="B117">
        <v>105</v>
      </c>
      <c r="C117" s="452">
        <v>45992</v>
      </c>
      <c r="D117" t="s">
        <v>557</v>
      </c>
      <c r="E117">
        <v>20054</v>
      </c>
      <c r="F117" t="s">
        <v>4856</v>
      </c>
      <c r="G117">
        <v>5</v>
      </c>
      <c r="H117" t="s">
        <v>4736</v>
      </c>
      <c r="I117" t="s">
        <v>458</v>
      </c>
    </row>
    <row r="118" spans="1:9" x14ac:dyDescent="0.3">
      <c r="A118">
        <v>62874</v>
      </c>
      <c r="B118">
        <v>105</v>
      </c>
      <c r="C118" s="452">
        <v>45992</v>
      </c>
      <c r="D118" t="s">
        <v>557</v>
      </c>
      <c r="E118">
        <v>20672</v>
      </c>
      <c r="F118" t="s">
        <v>4857</v>
      </c>
      <c r="G118">
        <v>5</v>
      </c>
      <c r="H118" t="s">
        <v>4738</v>
      </c>
      <c r="I118" t="s">
        <v>458</v>
      </c>
    </row>
    <row r="119" spans="1:9" x14ac:dyDescent="0.3">
      <c r="A119">
        <v>62875</v>
      </c>
      <c r="B119">
        <v>105</v>
      </c>
      <c r="C119" s="452">
        <v>45992</v>
      </c>
      <c r="D119" t="s">
        <v>557</v>
      </c>
      <c r="E119">
        <v>23785</v>
      </c>
      <c r="F119" t="s">
        <v>4858</v>
      </c>
      <c r="G119">
        <v>5</v>
      </c>
      <c r="H119" t="s">
        <v>4744</v>
      </c>
      <c r="I119" t="s">
        <v>458</v>
      </c>
    </row>
    <row r="120" spans="1:9" x14ac:dyDescent="0.3">
      <c r="A120">
        <v>62876</v>
      </c>
      <c r="B120">
        <v>105</v>
      </c>
      <c r="C120" s="452">
        <v>45992</v>
      </c>
      <c r="D120" t="s">
        <v>557</v>
      </c>
      <c r="E120">
        <v>19649</v>
      </c>
      <c r="F120" t="s">
        <v>4859</v>
      </c>
      <c r="G120">
        <v>5</v>
      </c>
      <c r="H120" t="s">
        <v>4744</v>
      </c>
      <c r="I120" t="s">
        <v>458</v>
      </c>
    </row>
    <row r="121" spans="1:9" x14ac:dyDescent="0.3">
      <c r="A121">
        <v>62877</v>
      </c>
      <c r="B121">
        <v>105</v>
      </c>
      <c r="C121" s="452">
        <v>45992</v>
      </c>
      <c r="D121" t="s">
        <v>557</v>
      </c>
      <c r="E121">
        <v>19552</v>
      </c>
      <c r="F121" t="s">
        <v>4860</v>
      </c>
      <c r="G121">
        <v>5</v>
      </c>
      <c r="H121" t="s">
        <v>4744</v>
      </c>
      <c r="I121" t="s">
        <v>458</v>
      </c>
    </row>
    <row r="122" spans="1:9" x14ac:dyDescent="0.3">
      <c r="A122">
        <v>62878</v>
      </c>
      <c r="B122">
        <v>105</v>
      </c>
      <c r="C122" s="452">
        <v>45992</v>
      </c>
      <c r="D122" t="s">
        <v>557</v>
      </c>
      <c r="E122">
        <v>24320</v>
      </c>
      <c r="F122" t="s">
        <v>4861</v>
      </c>
      <c r="G122">
        <v>5</v>
      </c>
      <c r="H122" t="s">
        <v>4744</v>
      </c>
      <c r="I122" t="s">
        <v>458</v>
      </c>
    </row>
    <row r="123" spans="1:9" x14ac:dyDescent="0.3">
      <c r="A123">
        <v>62879</v>
      </c>
      <c r="B123">
        <v>105</v>
      </c>
      <c r="C123" s="452">
        <v>45992</v>
      </c>
      <c r="D123" t="s">
        <v>557</v>
      </c>
      <c r="E123">
        <v>23974</v>
      </c>
      <c r="F123" t="s">
        <v>4862</v>
      </c>
      <c r="G123">
        <v>5</v>
      </c>
      <c r="H123" t="s">
        <v>4736</v>
      </c>
      <c r="I123" t="s">
        <v>458</v>
      </c>
    </row>
    <row r="124" spans="1:9" x14ac:dyDescent="0.3">
      <c r="A124">
        <v>62880</v>
      </c>
      <c r="B124">
        <v>105</v>
      </c>
      <c r="C124" s="452">
        <v>45992</v>
      </c>
      <c r="D124" t="s">
        <v>557</v>
      </c>
      <c r="E124">
        <v>18547</v>
      </c>
      <c r="F124" t="s">
        <v>4863</v>
      </c>
      <c r="G124">
        <v>5</v>
      </c>
      <c r="H124" t="s">
        <v>4805</v>
      </c>
      <c r="I124" t="s">
        <v>458</v>
      </c>
    </row>
    <row r="125" spans="1:9" x14ac:dyDescent="0.3">
      <c r="A125">
        <v>62881</v>
      </c>
      <c r="B125">
        <v>105</v>
      </c>
      <c r="C125" s="452">
        <v>45992</v>
      </c>
      <c r="D125" t="s">
        <v>557</v>
      </c>
      <c r="E125">
        <v>18545</v>
      </c>
      <c r="F125" t="s">
        <v>4864</v>
      </c>
      <c r="G125">
        <v>5</v>
      </c>
      <c r="H125" t="s">
        <v>4805</v>
      </c>
      <c r="I125" t="s">
        <v>458</v>
      </c>
    </row>
    <row r="126" spans="1:9" x14ac:dyDescent="0.3">
      <c r="A126">
        <v>62882</v>
      </c>
      <c r="B126">
        <v>105</v>
      </c>
      <c r="C126" s="452">
        <v>45992</v>
      </c>
      <c r="D126" t="s">
        <v>557</v>
      </c>
      <c r="E126">
        <v>18008</v>
      </c>
      <c r="F126" t="s">
        <v>4865</v>
      </c>
      <c r="G126">
        <v>5</v>
      </c>
      <c r="H126" t="s">
        <v>4805</v>
      </c>
      <c r="I126" t="s">
        <v>458</v>
      </c>
    </row>
    <row r="127" spans="1:9" x14ac:dyDescent="0.3">
      <c r="A127">
        <v>62883</v>
      </c>
      <c r="B127">
        <v>105</v>
      </c>
      <c r="C127" s="452">
        <v>45992</v>
      </c>
      <c r="D127" t="s">
        <v>557</v>
      </c>
      <c r="E127">
        <v>25676</v>
      </c>
      <c r="F127" t="s">
        <v>4866</v>
      </c>
      <c r="G127">
        <v>5</v>
      </c>
      <c r="H127" t="s">
        <v>4805</v>
      </c>
      <c r="I127" t="s">
        <v>458</v>
      </c>
    </row>
    <row r="128" spans="1:9" x14ac:dyDescent="0.3">
      <c r="A128">
        <v>62884</v>
      </c>
      <c r="B128">
        <v>105</v>
      </c>
      <c r="C128" s="452">
        <v>45992</v>
      </c>
      <c r="D128" t="s">
        <v>557</v>
      </c>
      <c r="E128">
        <v>26495</v>
      </c>
      <c r="F128" t="s">
        <v>4867</v>
      </c>
      <c r="G128">
        <v>4.8</v>
      </c>
      <c r="H128" t="s">
        <v>4744</v>
      </c>
      <c r="I128" t="s">
        <v>458</v>
      </c>
    </row>
    <row r="129" spans="1:9" x14ac:dyDescent="0.3">
      <c r="A129">
        <v>62885</v>
      </c>
      <c r="B129">
        <v>105</v>
      </c>
      <c r="C129" s="452">
        <v>45992</v>
      </c>
      <c r="D129" t="s">
        <v>557</v>
      </c>
      <c r="E129">
        <v>19553</v>
      </c>
      <c r="F129" t="s">
        <v>4868</v>
      </c>
      <c r="G129">
        <v>4.7</v>
      </c>
      <c r="H129" t="s">
        <v>4744</v>
      </c>
      <c r="I129" t="s">
        <v>458</v>
      </c>
    </row>
    <row r="130" spans="1:9" x14ac:dyDescent="0.3">
      <c r="A130">
        <v>62886</v>
      </c>
      <c r="B130">
        <v>105</v>
      </c>
      <c r="C130" s="452">
        <v>45992</v>
      </c>
      <c r="D130" t="s">
        <v>557</v>
      </c>
      <c r="E130">
        <v>18992</v>
      </c>
      <c r="F130" t="s">
        <v>4869</v>
      </c>
      <c r="G130">
        <v>4.5</v>
      </c>
      <c r="H130" t="s">
        <v>4744</v>
      </c>
      <c r="I130" t="s">
        <v>458</v>
      </c>
    </row>
    <row r="131" spans="1:9" x14ac:dyDescent="0.3">
      <c r="A131">
        <v>62887</v>
      </c>
      <c r="B131">
        <v>105</v>
      </c>
      <c r="C131" s="452">
        <v>45992</v>
      </c>
      <c r="D131" t="s">
        <v>557</v>
      </c>
      <c r="E131">
        <v>19291</v>
      </c>
      <c r="F131" t="s">
        <v>4870</v>
      </c>
      <c r="G131">
        <v>4.4000000000000004</v>
      </c>
      <c r="H131" t="s">
        <v>4744</v>
      </c>
      <c r="I131" t="s">
        <v>458</v>
      </c>
    </row>
    <row r="132" spans="1:9" x14ac:dyDescent="0.3">
      <c r="A132">
        <v>62888</v>
      </c>
      <c r="B132">
        <v>105</v>
      </c>
      <c r="C132" s="452">
        <v>45992</v>
      </c>
      <c r="D132" t="s">
        <v>557</v>
      </c>
      <c r="E132">
        <v>19502</v>
      </c>
      <c r="F132" t="s">
        <v>4871</v>
      </c>
      <c r="G132">
        <v>4.3499999999999996</v>
      </c>
      <c r="H132" t="s">
        <v>4744</v>
      </c>
      <c r="I132" t="s">
        <v>458</v>
      </c>
    </row>
    <row r="133" spans="1:9" x14ac:dyDescent="0.3">
      <c r="A133">
        <v>62889</v>
      </c>
      <c r="B133">
        <v>105</v>
      </c>
      <c r="C133" s="452">
        <v>45992</v>
      </c>
      <c r="D133" t="s">
        <v>557</v>
      </c>
      <c r="E133">
        <v>19505</v>
      </c>
      <c r="F133" t="s">
        <v>4872</v>
      </c>
      <c r="G133">
        <v>4.3</v>
      </c>
      <c r="H133" t="s">
        <v>4744</v>
      </c>
      <c r="I133" t="s">
        <v>458</v>
      </c>
    </row>
    <row r="134" spans="1:9" x14ac:dyDescent="0.3">
      <c r="A134">
        <v>62890</v>
      </c>
      <c r="B134">
        <v>105</v>
      </c>
      <c r="C134" s="452">
        <v>45992</v>
      </c>
      <c r="D134" t="s">
        <v>557</v>
      </c>
      <c r="E134">
        <v>23390</v>
      </c>
      <c r="F134" t="s">
        <v>4873</v>
      </c>
      <c r="G134">
        <v>4.0999999999999996</v>
      </c>
      <c r="H134" t="s">
        <v>4744</v>
      </c>
      <c r="I134" t="s">
        <v>458</v>
      </c>
    </row>
    <row r="135" spans="1:9" x14ac:dyDescent="0.3">
      <c r="A135">
        <v>62891</v>
      </c>
      <c r="B135">
        <v>105</v>
      </c>
      <c r="C135" s="452">
        <v>45992</v>
      </c>
      <c r="D135" t="s">
        <v>557</v>
      </c>
      <c r="E135">
        <v>19845</v>
      </c>
      <c r="F135" t="s">
        <v>4874</v>
      </c>
      <c r="G135">
        <v>4.05</v>
      </c>
      <c r="H135" t="s">
        <v>4744</v>
      </c>
      <c r="I135" t="s">
        <v>458</v>
      </c>
    </row>
    <row r="136" spans="1:9" x14ac:dyDescent="0.3">
      <c r="A136">
        <v>62892</v>
      </c>
      <c r="B136">
        <v>105</v>
      </c>
      <c r="C136" s="452">
        <v>45992</v>
      </c>
      <c r="D136" t="s">
        <v>557</v>
      </c>
      <c r="E136">
        <v>24259</v>
      </c>
      <c r="F136" t="s">
        <v>4875</v>
      </c>
      <c r="G136">
        <v>4.03</v>
      </c>
      <c r="H136" t="s">
        <v>4744</v>
      </c>
      <c r="I136" t="s">
        <v>458</v>
      </c>
    </row>
    <row r="137" spans="1:9" x14ac:dyDescent="0.3">
      <c r="A137">
        <v>62893</v>
      </c>
      <c r="B137">
        <v>105</v>
      </c>
      <c r="C137" s="452">
        <v>45992</v>
      </c>
      <c r="D137" t="s">
        <v>557</v>
      </c>
      <c r="E137">
        <v>21147</v>
      </c>
      <c r="F137" t="s">
        <v>4876</v>
      </c>
      <c r="G137">
        <v>4</v>
      </c>
      <c r="H137" t="s">
        <v>4736</v>
      </c>
      <c r="I137" t="s">
        <v>458</v>
      </c>
    </row>
    <row r="138" spans="1:9" x14ac:dyDescent="0.3">
      <c r="A138">
        <v>62894</v>
      </c>
      <c r="B138">
        <v>105</v>
      </c>
      <c r="C138" s="452">
        <v>45992</v>
      </c>
      <c r="D138" t="s">
        <v>557</v>
      </c>
      <c r="E138">
        <v>25759</v>
      </c>
      <c r="F138" t="s">
        <v>4877</v>
      </c>
      <c r="G138">
        <v>4</v>
      </c>
      <c r="H138" t="s">
        <v>4736</v>
      </c>
      <c r="I138" t="s">
        <v>458</v>
      </c>
    </row>
    <row r="139" spans="1:9" x14ac:dyDescent="0.3">
      <c r="A139">
        <v>62895</v>
      </c>
      <c r="B139">
        <v>105</v>
      </c>
      <c r="C139" s="452">
        <v>45992</v>
      </c>
      <c r="D139" t="s">
        <v>557</v>
      </c>
      <c r="E139">
        <v>21150</v>
      </c>
      <c r="F139" t="s">
        <v>4878</v>
      </c>
      <c r="G139">
        <v>4</v>
      </c>
      <c r="H139" t="s">
        <v>4879</v>
      </c>
      <c r="I139" t="s">
        <v>458</v>
      </c>
    </row>
    <row r="140" spans="1:9" x14ac:dyDescent="0.3">
      <c r="A140">
        <v>62896</v>
      </c>
      <c r="B140">
        <v>105</v>
      </c>
      <c r="C140" s="452">
        <v>45992</v>
      </c>
      <c r="D140" t="s">
        <v>557</v>
      </c>
      <c r="E140">
        <v>17062</v>
      </c>
      <c r="F140" t="s">
        <v>4880</v>
      </c>
      <c r="G140">
        <v>4</v>
      </c>
      <c r="H140" t="s">
        <v>4879</v>
      </c>
      <c r="I140" t="s">
        <v>458</v>
      </c>
    </row>
    <row r="141" spans="1:9" x14ac:dyDescent="0.3">
      <c r="A141">
        <v>62897</v>
      </c>
      <c r="B141">
        <v>105</v>
      </c>
      <c r="C141" s="452">
        <v>45992</v>
      </c>
      <c r="D141" t="s">
        <v>557</v>
      </c>
      <c r="E141">
        <v>20295</v>
      </c>
      <c r="F141" t="s">
        <v>4881</v>
      </c>
      <c r="G141">
        <v>4</v>
      </c>
      <c r="H141" t="s">
        <v>4736</v>
      </c>
      <c r="I141" t="s">
        <v>458</v>
      </c>
    </row>
    <row r="142" spans="1:9" x14ac:dyDescent="0.3">
      <c r="A142">
        <v>62898</v>
      </c>
      <c r="B142">
        <v>105</v>
      </c>
      <c r="C142" s="452">
        <v>45992</v>
      </c>
      <c r="D142" t="s">
        <v>557</v>
      </c>
      <c r="E142">
        <v>20322</v>
      </c>
      <c r="F142" t="s">
        <v>4882</v>
      </c>
      <c r="G142">
        <v>4</v>
      </c>
      <c r="H142" t="s">
        <v>4738</v>
      </c>
      <c r="I142" t="s">
        <v>458</v>
      </c>
    </row>
    <row r="143" spans="1:9" x14ac:dyDescent="0.3">
      <c r="A143">
        <v>62899</v>
      </c>
      <c r="B143">
        <v>105</v>
      </c>
      <c r="C143" s="452">
        <v>45992</v>
      </c>
      <c r="D143" t="s">
        <v>557</v>
      </c>
      <c r="E143">
        <v>21021</v>
      </c>
      <c r="F143" t="s">
        <v>4883</v>
      </c>
      <c r="G143">
        <v>4</v>
      </c>
      <c r="H143" t="s">
        <v>4884</v>
      </c>
      <c r="I143" t="s">
        <v>458</v>
      </c>
    </row>
    <row r="144" spans="1:9" x14ac:dyDescent="0.3">
      <c r="A144">
        <v>62900</v>
      </c>
      <c r="B144">
        <v>105</v>
      </c>
      <c r="C144" s="452">
        <v>45992</v>
      </c>
      <c r="D144" t="s">
        <v>557</v>
      </c>
      <c r="E144">
        <v>24339</v>
      </c>
      <c r="F144" t="s">
        <v>4885</v>
      </c>
      <c r="G144">
        <v>4</v>
      </c>
      <c r="H144" t="s">
        <v>4744</v>
      </c>
      <c r="I144" t="s">
        <v>458</v>
      </c>
    </row>
    <row r="145" spans="1:9" x14ac:dyDescent="0.3">
      <c r="A145">
        <v>62901</v>
      </c>
      <c r="B145">
        <v>105</v>
      </c>
      <c r="C145" s="452">
        <v>45992</v>
      </c>
      <c r="D145" t="s">
        <v>557</v>
      </c>
      <c r="E145">
        <v>20138</v>
      </c>
      <c r="F145" t="s">
        <v>4886</v>
      </c>
      <c r="G145">
        <v>4</v>
      </c>
      <c r="H145" t="s">
        <v>4738</v>
      </c>
      <c r="I145" t="s">
        <v>458</v>
      </c>
    </row>
    <row r="146" spans="1:9" x14ac:dyDescent="0.3">
      <c r="A146">
        <v>62902</v>
      </c>
      <c r="B146">
        <v>105</v>
      </c>
      <c r="C146" s="452">
        <v>45992</v>
      </c>
      <c r="D146" t="s">
        <v>557</v>
      </c>
      <c r="E146">
        <v>19978</v>
      </c>
      <c r="F146" t="s">
        <v>4887</v>
      </c>
      <c r="G146">
        <v>4</v>
      </c>
      <c r="H146" t="s">
        <v>4888</v>
      </c>
      <c r="I146" t="s">
        <v>458</v>
      </c>
    </row>
    <row r="147" spans="1:9" x14ac:dyDescent="0.3">
      <c r="A147">
        <v>62903</v>
      </c>
      <c r="B147">
        <v>105</v>
      </c>
      <c r="C147" s="452">
        <v>45992</v>
      </c>
      <c r="D147" t="s">
        <v>557</v>
      </c>
      <c r="E147">
        <v>19765</v>
      </c>
      <c r="F147" t="s">
        <v>4889</v>
      </c>
      <c r="G147">
        <v>4</v>
      </c>
      <c r="H147" t="s">
        <v>4744</v>
      </c>
      <c r="I147" t="s">
        <v>458</v>
      </c>
    </row>
    <row r="148" spans="1:9" x14ac:dyDescent="0.3">
      <c r="A148">
        <v>62904</v>
      </c>
      <c r="B148">
        <v>105</v>
      </c>
      <c r="C148" s="452">
        <v>45992</v>
      </c>
      <c r="D148" t="s">
        <v>557</v>
      </c>
      <c r="E148">
        <v>19241</v>
      </c>
      <c r="F148" t="s">
        <v>4890</v>
      </c>
      <c r="G148">
        <v>4</v>
      </c>
      <c r="H148" t="s">
        <v>4736</v>
      </c>
      <c r="I148" t="s">
        <v>458</v>
      </c>
    </row>
    <row r="149" spans="1:9" x14ac:dyDescent="0.3">
      <c r="A149">
        <v>62905</v>
      </c>
      <c r="B149">
        <v>105</v>
      </c>
      <c r="C149" s="452">
        <v>45992</v>
      </c>
      <c r="D149" t="s">
        <v>557</v>
      </c>
      <c r="E149">
        <v>18735</v>
      </c>
      <c r="F149" t="s">
        <v>4891</v>
      </c>
      <c r="G149">
        <v>4</v>
      </c>
      <c r="H149" t="s">
        <v>4744</v>
      </c>
      <c r="I149" t="s">
        <v>458</v>
      </c>
    </row>
    <row r="150" spans="1:9" x14ac:dyDescent="0.3">
      <c r="A150">
        <v>62906</v>
      </c>
      <c r="B150">
        <v>105</v>
      </c>
      <c r="C150" s="452">
        <v>45992</v>
      </c>
      <c r="D150" t="s">
        <v>557</v>
      </c>
      <c r="E150">
        <v>18745</v>
      </c>
      <c r="F150" t="s">
        <v>4892</v>
      </c>
      <c r="G150">
        <v>4</v>
      </c>
      <c r="H150" t="s">
        <v>4736</v>
      </c>
      <c r="I150" t="s">
        <v>458</v>
      </c>
    </row>
    <row r="151" spans="1:9" x14ac:dyDescent="0.3">
      <c r="A151">
        <v>62907</v>
      </c>
      <c r="B151">
        <v>105</v>
      </c>
      <c r="C151" s="452">
        <v>45992</v>
      </c>
      <c r="D151" t="s">
        <v>557</v>
      </c>
      <c r="E151">
        <v>18502</v>
      </c>
      <c r="F151" t="s">
        <v>4893</v>
      </c>
      <c r="G151">
        <v>4</v>
      </c>
      <c r="H151" t="s">
        <v>4805</v>
      </c>
      <c r="I151" t="s">
        <v>458</v>
      </c>
    </row>
    <row r="152" spans="1:9" x14ac:dyDescent="0.3">
      <c r="A152">
        <v>62908</v>
      </c>
      <c r="B152">
        <v>105</v>
      </c>
      <c r="C152" s="452">
        <v>45992</v>
      </c>
      <c r="D152" t="s">
        <v>557</v>
      </c>
      <c r="E152">
        <v>26560</v>
      </c>
      <c r="F152" t="s">
        <v>4894</v>
      </c>
      <c r="G152">
        <v>4</v>
      </c>
      <c r="H152" t="s">
        <v>4805</v>
      </c>
      <c r="I152" t="s">
        <v>458</v>
      </c>
    </row>
    <row r="153" spans="1:9" x14ac:dyDescent="0.3">
      <c r="A153">
        <v>62909</v>
      </c>
      <c r="B153">
        <v>105</v>
      </c>
      <c r="C153" s="452">
        <v>45992</v>
      </c>
      <c r="D153" t="s">
        <v>557</v>
      </c>
      <c r="E153">
        <v>18475</v>
      </c>
      <c r="F153" t="s">
        <v>4895</v>
      </c>
      <c r="G153">
        <v>4</v>
      </c>
      <c r="H153" t="s">
        <v>4805</v>
      </c>
      <c r="I153" t="s">
        <v>458</v>
      </c>
    </row>
    <row r="154" spans="1:9" x14ac:dyDescent="0.3">
      <c r="A154">
        <v>62910</v>
      </c>
      <c r="B154">
        <v>105</v>
      </c>
      <c r="C154" s="452">
        <v>45992</v>
      </c>
      <c r="D154" t="s">
        <v>557</v>
      </c>
      <c r="E154">
        <v>26032</v>
      </c>
      <c r="F154" t="s">
        <v>4896</v>
      </c>
      <c r="G154">
        <v>4</v>
      </c>
      <c r="H154" t="s">
        <v>4805</v>
      </c>
      <c r="I154" t="s">
        <v>458</v>
      </c>
    </row>
    <row r="155" spans="1:9" x14ac:dyDescent="0.3">
      <c r="A155">
        <v>62911</v>
      </c>
      <c r="B155">
        <v>105</v>
      </c>
      <c r="C155" s="452">
        <v>45992</v>
      </c>
      <c r="D155" t="s">
        <v>557</v>
      </c>
      <c r="E155">
        <v>24614</v>
      </c>
      <c r="F155" t="s">
        <v>4897</v>
      </c>
      <c r="G155">
        <v>4</v>
      </c>
      <c r="H155" t="s">
        <v>4805</v>
      </c>
      <c r="I155" t="s">
        <v>458</v>
      </c>
    </row>
    <row r="156" spans="1:9" x14ac:dyDescent="0.3">
      <c r="A156">
        <v>62912</v>
      </c>
      <c r="B156">
        <v>105</v>
      </c>
      <c r="C156" s="452">
        <v>45992</v>
      </c>
      <c r="D156" t="s">
        <v>557</v>
      </c>
      <c r="E156">
        <v>22871</v>
      </c>
      <c r="F156" t="s">
        <v>4898</v>
      </c>
      <c r="G156">
        <v>3.7</v>
      </c>
      <c r="H156" t="s">
        <v>4744</v>
      </c>
      <c r="I156" t="s">
        <v>458</v>
      </c>
    </row>
    <row r="157" spans="1:9" x14ac:dyDescent="0.3">
      <c r="A157">
        <v>62913</v>
      </c>
      <c r="B157">
        <v>105</v>
      </c>
      <c r="C157" s="452">
        <v>45992</v>
      </c>
      <c r="D157" t="s">
        <v>557</v>
      </c>
      <c r="E157">
        <v>26495</v>
      </c>
      <c r="F157" t="s">
        <v>4867</v>
      </c>
      <c r="G157">
        <v>3.67</v>
      </c>
      <c r="H157" t="s">
        <v>4744</v>
      </c>
      <c r="I157" t="s">
        <v>458</v>
      </c>
    </row>
    <row r="158" spans="1:9" x14ac:dyDescent="0.3">
      <c r="A158">
        <v>62914</v>
      </c>
      <c r="B158">
        <v>105</v>
      </c>
      <c r="C158" s="452">
        <v>45992</v>
      </c>
      <c r="D158" t="s">
        <v>557</v>
      </c>
      <c r="E158">
        <v>19652</v>
      </c>
      <c r="F158" t="s">
        <v>4899</v>
      </c>
      <c r="G158">
        <v>3.6</v>
      </c>
      <c r="H158" t="s">
        <v>4744</v>
      </c>
      <c r="I158" t="s">
        <v>458</v>
      </c>
    </row>
    <row r="159" spans="1:9" x14ac:dyDescent="0.3">
      <c r="A159">
        <v>62915</v>
      </c>
      <c r="B159">
        <v>105</v>
      </c>
      <c r="C159" s="452">
        <v>45992</v>
      </c>
      <c r="D159" t="s">
        <v>557</v>
      </c>
      <c r="E159">
        <v>19742</v>
      </c>
      <c r="F159" t="s">
        <v>4900</v>
      </c>
      <c r="G159">
        <v>3.5</v>
      </c>
      <c r="H159" t="s">
        <v>4744</v>
      </c>
      <c r="I159" t="s">
        <v>458</v>
      </c>
    </row>
    <row r="160" spans="1:9" x14ac:dyDescent="0.3">
      <c r="A160">
        <v>62916</v>
      </c>
      <c r="B160">
        <v>105</v>
      </c>
      <c r="C160" s="452">
        <v>45992</v>
      </c>
      <c r="D160" t="s">
        <v>557</v>
      </c>
      <c r="E160">
        <v>24278</v>
      </c>
      <c r="F160" t="s">
        <v>4901</v>
      </c>
      <c r="G160">
        <v>3.5</v>
      </c>
      <c r="H160" t="s">
        <v>4744</v>
      </c>
      <c r="I160" t="s">
        <v>458</v>
      </c>
    </row>
    <row r="161" spans="1:9" x14ac:dyDescent="0.3">
      <c r="A161">
        <v>62917</v>
      </c>
      <c r="B161">
        <v>105</v>
      </c>
      <c r="C161" s="452">
        <v>45992</v>
      </c>
      <c r="D161" t="s">
        <v>557</v>
      </c>
      <c r="E161">
        <v>25789</v>
      </c>
      <c r="F161" t="s">
        <v>4902</v>
      </c>
      <c r="G161">
        <v>3.4</v>
      </c>
      <c r="H161" t="s">
        <v>4744</v>
      </c>
      <c r="I161" t="s">
        <v>458</v>
      </c>
    </row>
    <row r="162" spans="1:9" x14ac:dyDescent="0.3">
      <c r="A162">
        <v>62918</v>
      </c>
      <c r="B162">
        <v>105</v>
      </c>
      <c r="C162" s="452">
        <v>45992</v>
      </c>
      <c r="D162" t="s">
        <v>557</v>
      </c>
      <c r="E162">
        <v>19555</v>
      </c>
      <c r="F162" t="s">
        <v>4903</v>
      </c>
      <c r="G162">
        <v>3.2</v>
      </c>
      <c r="H162" t="s">
        <v>4744</v>
      </c>
      <c r="I162" t="s">
        <v>458</v>
      </c>
    </row>
    <row r="163" spans="1:9" x14ac:dyDescent="0.3">
      <c r="A163">
        <v>62919</v>
      </c>
      <c r="B163">
        <v>105</v>
      </c>
      <c r="C163" s="452">
        <v>45992</v>
      </c>
      <c r="D163" t="s">
        <v>557</v>
      </c>
      <c r="E163">
        <v>23082</v>
      </c>
      <c r="F163" t="s">
        <v>4904</v>
      </c>
      <c r="G163">
        <v>3.12</v>
      </c>
      <c r="H163" t="s">
        <v>4744</v>
      </c>
      <c r="I163" t="s">
        <v>458</v>
      </c>
    </row>
    <row r="164" spans="1:9" x14ac:dyDescent="0.3">
      <c r="A164">
        <v>62920</v>
      </c>
      <c r="B164">
        <v>105</v>
      </c>
      <c r="C164" s="452">
        <v>45992</v>
      </c>
      <c r="D164" t="s">
        <v>557</v>
      </c>
      <c r="E164">
        <v>19551</v>
      </c>
      <c r="F164" t="s">
        <v>4905</v>
      </c>
      <c r="G164">
        <v>3.1</v>
      </c>
      <c r="H164" t="s">
        <v>4744</v>
      </c>
      <c r="I164" t="s">
        <v>458</v>
      </c>
    </row>
    <row r="165" spans="1:9" x14ac:dyDescent="0.3">
      <c r="A165">
        <v>62921</v>
      </c>
      <c r="B165">
        <v>105</v>
      </c>
      <c r="C165" s="452">
        <v>45992</v>
      </c>
      <c r="D165" t="s">
        <v>557</v>
      </c>
      <c r="E165">
        <v>19472</v>
      </c>
      <c r="F165" t="s">
        <v>4906</v>
      </c>
      <c r="G165">
        <v>3.05</v>
      </c>
      <c r="H165" t="s">
        <v>4744</v>
      </c>
      <c r="I165" t="s">
        <v>458</v>
      </c>
    </row>
    <row r="166" spans="1:9" x14ac:dyDescent="0.3">
      <c r="A166">
        <v>62922</v>
      </c>
      <c r="B166">
        <v>105</v>
      </c>
      <c r="C166" s="452">
        <v>45992</v>
      </c>
      <c r="D166" t="s">
        <v>557</v>
      </c>
      <c r="E166">
        <v>26005</v>
      </c>
      <c r="F166" t="s">
        <v>4907</v>
      </c>
      <c r="G166">
        <v>3</v>
      </c>
      <c r="H166" t="s">
        <v>4749</v>
      </c>
      <c r="I166" t="s">
        <v>458</v>
      </c>
    </row>
    <row r="167" spans="1:9" x14ac:dyDescent="0.3">
      <c r="A167">
        <v>62923</v>
      </c>
      <c r="B167">
        <v>105</v>
      </c>
      <c r="C167" s="452">
        <v>45992</v>
      </c>
      <c r="D167" t="s">
        <v>557</v>
      </c>
      <c r="E167">
        <v>25750</v>
      </c>
      <c r="F167" t="s">
        <v>4908</v>
      </c>
      <c r="G167">
        <v>3</v>
      </c>
      <c r="H167" t="s">
        <v>4736</v>
      </c>
      <c r="I167" t="s">
        <v>458</v>
      </c>
    </row>
    <row r="168" spans="1:9" x14ac:dyDescent="0.3">
      <c r="A168">
        <v>62924</v>
      </c>
      <c r="B168">
        <v>105</v>
      </c>
      <c r="C168" s="452">
        <v>45992</v>
      </c>
      <c r="D168" t="s">
        <v>557</v>
      </c>
      <c r="E168">
        <v>20308</v>
      </c>
      <c r="F168" t="s">
        <v>4909</v>
      </c>
      <c r="G168">
        <v>3</v>
      </c>
      <c r="H168" t="s">
        <v>4738</v>
      </c>
      <c r="I168" t="s">
        <v>458</v>
      </c>
    </row>
    <row r="169" spans="1:9" x14ac:dyDescent="0.3">
      <c r="A169">
        <v>62925</v>
      </c>
      <c r="B169">
        <v>105</v>
      </c>
      <c r="C169" s="452">
        <v>45992</v>
      </c>
      <c r="D169" t="s">
        <v>557</v>
      </c>
      <c r="E169">
        <v>20385</v>
      </c>
      <c r="F169" t="s">
        <v>4910</v>
      </c>
      <c r="G169">
        <v>3</v>
      </c>
      <c r="H169" t="s">
        <v>4736</v>
      </c>
      <c r="I169" t="s">
        <v>458</v>
      </c>
    </row>
    <row r="170" spans="1:9" x14ac:dyDescent="0.3">
      <c r="A170">
        <v>62926</v>
      </c>
      <c r="B170">
        <v>105</v>
      </c>
      <c r="C170" s="452">
        <v>45992</v>
      </c>
      <c r="D170" t="s">
        <v>557</v>
      </c>
      <c r="E170">
        <v>20358</v>
      </c>
      <c r="F170" t="s">
        <v>4911</v>
      </c>
      <c r="G170">
        <v>3</v>
      </c>
      <c r="H170" t="s">
        <v>4738</v>
      </c>
      <c r="I170" t="s">
        <v>458</v>
      </c>
    </row>
    <row r="171" spans="1:9" x14ac:dyDescent="0.3">
      <c r="A171">
        <v>62927</v>
      </c>
      <c r="B171">
        <v>105</v>
      </c>
      <c r="C171" s="452">
        <v>45992</v>
      </c>
      <c r="D171" t="s">
        <v>557</v>
      </c>
      <c r="E171">
        <v>25022</v>
      </c>
      <c r="F171" t="s">
        <v>4912</v>
      </c>
      <c r="G171">
        <v>3</v>
      </c>
      <c r="H171" t="s">
        <v>4738</v>
      </c>
      <c r="I171" t="s">
        <v>458</v>
      </c>
    </row>
    <row r="172" spans="1:9" x14ac:dyDescent="0.3">
      <c r="A172">
        <v>62928</v>
      </c>
      <c r="B172">
        <v>105</v>
      </c>
      <c r="C172" s="452">
        <v>45992</v>
      </c>
      <c r="D172" t="s">
        <v>557</v>
      </c>
      <c r="E172">
        <v>27397</v>
      </c>
      <c r="F172" t="s">
        <v>4913</v>
      </c>
      <c r="G172">
        <v>3</v>
      </c>
      <c r="H172" t="s">
        <v>4736</v>
      </c>
      <c r="I172" t="s">
        <v>458</v>
      </c>
    </row>
    <row r="173" spans="1:9" x14ac:dyDescent="0.3">
      <c r="A173">
        <v>62929</v>
      </c>
      <c r="B173">
        <v>105</v>
      </c>
      <c r="C173" s="452">
        <v>45992</v>
      </c>
      <c r="D173" t="s">
        <v>557</v>
      </c>
      <c r="E173">
        <v>20206</v>
      </c>
      <c r="F173" t="s">
        <v>4914</v>
      </c>
      <c r="G173">
        <v>3</v>
      </c>
      <c r="H173" t="s">
        <v>4736</v>
      </c>
      <c r="I173" t="s">
        <v>458</v>
      </c>
    </row>
    <row r="174" spans="1:9" x14ac:dyDescent="0.3">
      <c r="A174">
        <v>62930</v>
      </c>
      <c r="B174">
        <v>105</v>
      </c>
      <c r="C174" s="452">
        <v>45992</v>
      </c>
      <c r="D174" t="s">
        <v>557</v>
      </c>
      <c r="E174">
        <v>19622</v>
      </c>
      <c r="F174" t="s">
        <v>4915</v>
      </c>
      <c r="G174">
        <v>3</v>
      </c>
      <c r="H174" t="s">
        <v>4744</v>
      </c>
      <c r="I174" t="s">
        <v>458</v>
      </c>
    </row>
    <row r="175" spans="1:9" x14ac:dyDescent="0.3">
      <c r="A175">
        <v>62931</v>
      </c>
      <c r="B175">
        <v>105</v>
      </c>
      <c r="C175" s="452">
        <v>45992</v>
      </c>
      <c r="D175" t="s">
        <v>557</v>
      </c>
      <c r="E175">
        <v>23346</v>
      </c>
      <c r="F175" t="s">
        <v>4916</v>
      </c>
      <c r="G175">
        <v>3</v>
      </c>
      <c r="H175" t="s">
        <v>4744</v>
      </c>
      <c r="I175" t="s">
        <v>458</v>
      </c>
    </row>
    <row r="176" spans="1:9" x14ac:dyDescent="0.3">
      <c r="A176">
        <v>62932</v>
      </c>
      <c r="B176">
        <v>105</v>
      </c>
      <c r="C176" s="452">
        <v>45992</v>
      </c>
      <c r="D176" t="s">
        <v>557</v>
      </c>
      <c r="E176">
        <v>19439</v>
      </c>
      <c r="F176" t="s">
        <v>4917</v>
      </c>
      <c r="G176">
        <v>3</v>
      </c>
      <c r="H176" t="s">
        <v>4744</v>
      </c>
      <c r="I176" t="s">
        <v>458</v>
      </c>
    </row>
    <row r="177" spans="1:9" x14ac:dyDescent="0.3">
      <c r="A177">
        <v>62933</v>
      </c>
      <c r="B177">
        <v>105</v>
      </c>
      <c r="C177" s="452">
        <v>45992</v>
      </c>
      <c r="D177" t="s">
        <v>557</v>
      </c>
      <c r="E177">
        <v>19421</v>
      </c>
      <c r="F177" t="s">
        <v>4918</v>
      </c>
      <c r="G177">
        <v>3</v>
      </c>
      <c r="H177" t="s">
        <v>4749</v>
      </c>
      <c r="I177" t="s">
        <v>458</v>
      </c>
    </row>
    <row r="178" spans="1:9" x14ac:dyDescent="0.3">
      <c r="A178">
        <v>62934</v>
      </c>
      <c r="B178">
        <v>105</v>
      </c>
      <c r="C178" s="452">
        <v>45992</v>
      </c>
      <c r="D178" t="s">
        <v>557</v>
      </c>
      <c r="E178">
        <v>19415</v>
      </c>
      <c r="F178" t="s">
        <v>4919</v>
      </c>
      <c r="G178">
        <v>3</v>
      </c>
      <c r="H178" t="s">
        <v>4736</v>
      </c>
      <c r="I178" t="s">
        <v>458</v>
      </c>
    </row>
    <row r="179" spans="1:9" x14ac:dyDescent="0.3">
      <c r="A179">
        <v>62935</v>
      </c>
      <c r="B179">
        <v>105</v>
      </c>
      <c r="C179" s="452">
        <v>45992</v>
      </c>
      <c r="D179" t="s">
        <v>557</v>
      </c>
      <c r="E179">
        <v>18477</v>
      </c>
      <c r="F179" t="s">
        <v>4920</v>
      </c>
      <c r="G179">
        <v>3</v>
      </c>
      <c r="H179" t="s">
        <v>4805</v>
      </c>
      <c r="I179" t="s">
        <v>458</v>
      </c>
    </row>
    <row r="180" spans="1:9" x14ac:dyDescent="0.3">
      <c r="A180">
        <v>62936</v>
      </c>
      <c r="B180">
        <v>105</v>
      </c>
      <c r="C180" s="452">
        <v>45992</v>
      </c>
      <c r="D180" t="s">
        <v>557</v>
      </c>
      <c r="E180">
        <v>18359</v>
      </c>
      <c r="F180" t="s">
        <v>4921</v>
      </c>
      <c r="G180">
        <v>3</v>
      </c>
      <c r="H180" t="s">
        <v>4805</v>
      </c>
      <c r="I180" t="s">
        <v>458</v>
      </c>
    </row>
    <row r="181" spans="1:9" x14ac:dyDescent="0.3">
      <c r="A181">
        <v>62937</v>
      </c>
      <c r="B181">
        <v>105</v>
      </c>
      <c r="C181" s="452">
        <v>45992</v>
      </c>
      <c r="D181" t="s">
        <v>557</v>
      </c>
      <c r="E181">
        <v>18315</v>
      </c>
      <c r="F181" t="s">
        <v>4922</v>
      </c>
      <c r="G181">
        <v>3</v>
      </c>
      <c r="H181" t="s">
        <v>4805</v>
      </c>
      <c r="I181" t="s">
        <v>458</v>
      </c>
    </row>
    <row r="182" spans="1:9" x14ac:dyDescent="0.3">
      <c r="A182">
        <v>62938</v>
      </c>
      <c r="B182">
        <v>105</v>
      </c>
      <c r="C182" s="452">
        <v>45992</v>
      </c>
      <c r="D182" t="s">
        <v>557</v>
      </c>
      <c r="E182">
        <v>18194</v>
      </c>
      <c r="F182" t="s">
        <v>4923</v>
      </c>
      <c r="G182">
        <v>3</v>
      </c>
      <c r="H182" t="s">
        <v>4805</v>
      </c>
      <c r="I182" t="s">
        <v>458</v>
      </c>
    </row>
    <row r="183" spans="1:9" x14ac:dyDescent="0.3">
      <c r="A183">
        <v>62939</v>
      </c>
      <c r="B183">
        <v>105</v>
      </c>
      <c r="C183" s="452">
        <v>45992</v>
      </c>
      <c r="D183" t="s">
        <v>557</v>
      </c>
      <c r="E183">
        <v>18179</v>
      </c>
      <c r="F183" t="s">
        <v>4924</v>
      </c>
      <c r="G183">
        <v>3</v>
      </c>
      <c r="H183" t="s">
        <v>4805</v>
      </c>
      <c r="I183" t="s">
        <v>458</v>
      </c>
    </row>
    <row r="184" spans="1:9" x14ac:dyDescent="0.3">
      <c r="A184">
        <v>62940</v>
      </c>
      <c r="B184">
        <v>105</v>
      </c>
      <c r="C184" s="452">
        <v>45992</v>
      </c>
      <c r="D184" t="s">
        <v>557</v>
      </c>
      <c r="E184">
        <v>17838</v>
      </c>
      <c r="F184" t="s">
        <v>4925</v>
      </c>
      <c r="G184">
        <v>3</v>
      </c>
      <c r="H184" t="s">
        <v>4749</v>
      </c>
      <c r="I184" t="s">
        <v>458</v>
      </c>
    </row>
    <row r="185" spans="1:9" x14ac:dyDescent="0.3">
      <c r="A185">
        <v>62941</v>
      </c>
      <c r="B185">
        <v>105</v>
      </c>
      <c r="C185" s="452">
        <v>45992</v>
      </c>
      <c r="D185" t="s">
        <v>557</v>
      </c>
      <c r="E185">
        <v>17878</v>
      </c>
      <c r="F185" t="s">
        <v>4926</v>
      </c>
      <c r="G185">
        <v>3</v>
      </c>
      <c r="H185" t="s">
        <v>4736</v>
      </c>
      <c r="I185" t="s">
        <v>458</v>
      </c>
    </row>
    <row r="186" spans="1:9" x14ac:dyDescent="0.3">
      <c r="A186">
        <v>62942</v>
      </c>
      <c r="B186">
        <v>105</v>
      </c>
      <c r="C186" s="452">
        <v>45992</v>
      </c>
      <c r="D186" t="s">
        <v>557</v>
      </c>
      <c r="E186">
        <v>25714</v>
      </c>
      <c r="F186" t="s">
        <v>4927</v>
      </c>
      <c r="G186">
        <v>3</v>
      </c>
      <c r="H186" t="s">
        <v>4805</v>
      </c>
      <c r="I186" t="s">
        <v>458</v>
      </c>
    </row>
    <row r="187" spans="1:9" x14ac:dyDescent="0.3">
      <c r="A187">
        <v>62943</v>
      </c>
      <c r="B187">
        <v>105</v>
      </c>
      <c r="C187" s="452">
        <v>45992</v>
      </c>
      <c r="D187" t="s">
        <v>557</v>
      </c>
      <c r="E187">
        <v>25683</v>
      </c>
      <c r="F187" t="s">
        <v>4928</v>
      </c>
      <c r="G187">
        <v>3</v>
      </c>
      <c r="H187" t="s">
        <v>4805</v>
      </c>
      <c r="I187" t="s">
        <v>458</v>
      </c>
    </row>
    <row r="188" spans="1:9" x14ac:dyDescent="0.3">
      <c r="A188">
        <v>62944</v>
      </c>
      <c r="B188">
        <v>105</v>
      </c>
      <c r="C188" s="452">
        <v>45992</v>
      </c>
      <c r="D188" t="s">
        <v>557</v>
      </c>
      <c r="E188">
        <v>20207</v>
      </c>
      <c r="F188" t="s">
        <v>4929</v>
      </c>
      <c r="G188">
        <v>2.6</v>
      </c>
      <c r="H188" t="s">
        <v>4744</v>
      </c>
      <c r="I188" t="s">
        <v>458</v>
      </c>
    </row>
    <row r="189" spans="1:9" x14ac:dyDescent="0.3">
      <c r="A189">
        <v>62945</v>
      </c>
      <c r="B189">
        <v>105</v>
      </c>
      <c r="C189" s="452">
        <v>45992</v>
      </c>
      <c r="D189" t="s">
        <v>557</v>
      </c>
      <c r="E189">
        <v>23502</v>
      </c>
      <c r="F189" t="s">
        <v>4930</v>
      </c>
      <c r="G189">
        <v>2.5</v>
      </c>
      <c r="H189" t="s">
        <v>4736</v>
      </c>
      <c r="I189" t="s">
        <v>458</v>
      </c>
    </row>
    <row r="190" spans="1:9" x14ac:dyDescent="0.3">
      <c r="A190">
        <v>62946</v>
      </c>
      <c r="B190">
        <v>105</v>
      </c>
      <c r="C190" s="452">
        <v>45992</v>
      </c>
      <c r="D190" t="s">
        <v>557</v>
      </c>
      <c r="E190">
        <v>23554</v>
      </c>
      <c r="F190" t="s">
        <v>4931</v>
      </c>
      <c r="G190">
        <v>2.4900000000000002</v>
      </c>
      <c r="H190" t="s">
        <v>4744</v>
      </c>
      <c r="I190" t="s">
        <v>458</v>
      </c>
    </row>
    <row r="191" spans="1:9" x14ac:dyDescent="0.3">
      <c r="A191">
        <v>62947</v>
      </c>
      <c r="B191">
        <v>105</v>
      </c>
      <c r="C191" s="452">
        <v>45992</v>
      </c>
      <c r="D191" t="s">
        <v>557</v>
      </c>
      <c r="E191">
        <v>20044</v>
      </c>
      <c r="F191" t="s">
        <v>4932</v>
      </c>
      <c r="G191">
        <v>2.4500000000000002</v>
      </c>
      <c r="H191" t="s">
        <v>4744</v>
      </c>
      <c r="I191" t="s">
        <v>458</v>
      </c>
    </row>
    <row r="192" spans="1:9" x14ac:dyDescent="0.3">
      <c r="A192">
        <v>62948</v>
      </c>
      <c r="B192">
        <v>105</v>
      </c>
      <c r="C192" s="452">
        <v>45992</v>
      </c>
      <c r="D192" t="s">
        <v>557</v>
      </c>
      <c r="E192">
        <v>24099</v>
      </c>
      <c r="F192" t="s">
        <v>4933</v>
      </c>
      <c r="G192">
        <v>2.4</v>
      </c>
      <c r="H192" t="s">
        <v>4744</v>
      </c>
      <c r="I192" t="s">
        <v>458</v>
      </c>
    </row>
    <row r="193" spans="1:9" x14ac:dyDescent="0.3">
      <c r="A193">
        <v>62949</v>
      </c>
      <c r="B193">
        <v>105</v>
      </c>
      <c r="C193" s="452">
        <v>45992</v>
      </c>
      <c r="D193" t="s">
        <v>557</v>
      </c>
      <c r="E193">
        <v>23238</v>
      </c>
      <c r="F193" t="s">
        <v>4934</v>
      </c>
      <c r="G193">
        <v>2.4</v>
      </c>
      <c r="H193" t="s">
        <v>4744</v>
      </c>
      <c r="I193" t="s">
        <v>458</v>
      </c>
    </row>
    <row r="194" spans="1:9" x14ac:dyDescent="0.3">
      <c r="A194">
        <v>62950</v>
      </c>
      <c r="B194">
        <v>105</v>
      </c>
      <c r="C194" s="452">
        <v>45992</v>
      </c>
      <c r="D194" t="s">
        <v>557</v>
      </c>
      <c r="E194">
        <v>23184</v>
      </c>
      <c r="F194" t="s">
        <v>4935</v>
      </c>
      <c r="G194">
        <v>2.25</v>
      </c>
      <c r="H194" t="s">
        <v>4744</v>
      </c>
      <c r="I194" t="s">
        <v>458</v>
      </c>
    </row>
    <row r="195" spans="1:9" x14ac:dyDescent="0.3">
      <c r="A195">
        <v>62951</v>
      </c>
      <c r="B195">
        <v>105</v>
      </c>
      <c r="C195" s="452">
        <v>45992</v>
      </c>
      <c r="D195" t="s">
        <v>557</v>
      </c>
      <c r="E195">
        <v>19632</v>
      </c>
      <c r="F195" t="s">
        <v>4936</v>
      </c>
      <c r="G195">
        <v>2.25</v>
      </c>
      <c r="H195" t="s">
        <v>4744</v>
      </c>
      <c r="I195" t="s">
        <v>458</v>
      </c>
    </row>
    <row r="196" spans="1:9" x14ac:dyDescent="0.3">
      <c r="A196">
        <v>62952</v>
      </c>
      <c r="B196">
        <v>105</v>
      </c>
      <c r="C196" s="452">
        <v>45992</v>
      </c>
      <c r="D196" t="s">
        <v>557</v>
      </c>
      <c r="E196">
        <v>19492</v>
      </c>
      <c r="F196" t="s">
        <v>4937</v>
      </c>
      <c r="G196">
        <v>2.2000000000000002</v>
      </c>
      <c r="H196" t="s">
        <v>4744</v>
      </c>
      <c r="I196" t="s">
        <v>458</v>
      </c>
    </row>
    <row r="197" spans="1:9" x14ac:dyDescent="0.3">
      <c r="A197">
        <v>62953</v>
      </c>
      <c r="B197">
        <v>105</v>
      </c>
      <c r="C197" s="452">
        <v>45992</v>
      </c>
      <c r="D197" t="s">
        <v>557</v>
      </c>
      <c r="E197">
        <v>23385</v>
      </c>
      <c r="F197" t="s">
        <v>4938</v>
      </c>
      <c r="G197">
        <v>2.1</v>
      </c>
      <c r="H197" t="s">
        <v>4744</v>
      </c>
      <c r="I197" t="s">
        <v>458</v>
      </c>
    </row>
    <row r="198" spans="1:9" x14ac:dyDescent="0.3">
      <c r="A198">
        <v>62954</v>
      </c>
      <c r="B198">
        <v>105</v>
      </c>
      <c r="C198" s="452">
        <v>45992</v>
      </c>
      <c r="D198" t="s">
        <v>557</v>
      </c>
      <c r="E198">
        <v>19562</v>
      </c>
      <c r="F198" t="s">
        <v>4939</v>
      </c>
      <c r="G198">
        <v>2.1</v>
      </c>
      <c r="H198" t="s">
        <v>4744</v>
      </c>
      <c r="I198" t="s">
        <v>458</v>
      </c>
    </row>
    <row r="199" spans="1:9" x14ac:dyDescent="0.3">
      <c r="A199">
        <v>62955</v>
      </c>
      <c r="B199">
        <v>105</v>
      </c>
      <c r="C199" s="452">
        <v>45992</v>
      </c>
      <c r="D199" t="s">
        <v>557</v>
      </c>
      <c r="E199">
        <v>19737</v>
      </c>
      <c r="F199" t="s">
        <v>4940</v>
      </c>
      <c r="G199">
        <v>2.0499999999999998</v>
      </c>
      <c r="H199" t="s">
        <v>4744</v>
      </c>
      <c r="I199" t="s">
        <v>458</v>
      </c>
    </row>
    <row r="200" spans="1:9" x14ac:dyDescent="0.3">
      <c r="A200">
        <v>62956</v>
      </c>
      <c r="B200">
        <v>105</v>
      </c>
      <c r="C200" s="452">
        <v>45992</v>
      </c>
      <c r="D200" t="s">
        <v>557</v>
      </c>
      <c r="E200">
        <v>26006</v>
      </c>
      <c r="F200" t="s">
        <v>4941</v>
      </c>
      <c r="G200">
        <v>2</v>
      </c>
      <c r="H200" t="s">
        <v>4749</v>
      </c>
      <c r="I200" t="s">
        <v>458</v>
      </c>
    </row>
    <row r="201" spans="1:9" x14ac:dyDescent="0.3">
      <c r="A201">
        <v>62957</v>
      </c>
      <c r="B201">
        <v>105</v>
      </c>
      <c r="C201" s="452">
        <v>45992</v>
      </c>
      <c r="D201" t="s">
        <v>557</v>
      </c>
      <c r="E201">
        <v>27757</v>
      </c>
      <c r="F201" t="s">
        <v>4942</v>
      </c>
      <c r="G201">
        <v>2</v>
      </c>
      <c r="H201" t="s">
        <v>4749</v>
      </c>
      <c r="I201" t="s">
        <v>458</v>
      </c>
    </row>
    <row r="202" spans="1:9" x14ac:dyDescent="0.3">
      <c r="A202">
        <v>62958</v>
      </c>
      <c r="B202">
        <v>105</v>
      </c>
      <c r="C202" s="452">
        <v>45992</v>
      </c>
      <c r="D202" t="s">
        <v>557</v>
      </c>
      <c r="E202">
        <v>25763</v>
      </c>
      <c r="F202" t="s">
        <v>4943</v>
      </c>
      <c r="G202">
        <v>2</v>
      </c>
      <c r="H202" t="s">
        <v>4736</v>
      </c>
      <c r="I202" t="s">
        <v>458</v>
      </c>
    </row>
    <row r="203" spans="1:9" x14ac:dyDescent="0.3">
      <c r="A203">
        <v>62959</v>
      </c>
      <c r="B203">
        <v>105</v>
      </c>
      <c r="C203" s="452">
        <v>45992</v>
      </c>
      <c r="D203" t="s">
        <v>557</v>
      </c>
      <c r="E203">
        <v>20301</v>
      </c>
      <c r="F203" t="s">
        <v>4944</v>
      </c>
      <c r="G203">
        <v>2</v>
      </c>
      <c r="H203" t="s">
        <v>4738</v>
      </c>
      <c r="I203" t="s">
        <v>458</v>
      </c>
    </row>
    <row r="204" spans="1:9" x14ac:dyDescent="0.3">
      <c r="A204">
        <v>62960</v>
      </c>
      <c r="B204">
        <v>105</v>
      </c>
      <c r="C204" s="452">
        <v>45992</v>
      </c>
      <c r="D204" t="s">
        <v>557</v>
      </c>
      <c r="E204">
        <v>23656</v>
      </c>
      <c r="F204" t="s">
        <v>4945</v>
      </c>
      <c r="G204">
        <v>2</v>
      </c>
      <c r="H204" t="s">
        <v>4744</v>
      </c>
      <c r="I204" t="s">
        <v>458</v>
      </c>
    </row>
    <row r="205" spans="1:9" x14ac:dyDescent="0.3">
      <c r="A205">
        <v>62961</v>
      </c>
      <c r="B205">
        <v>105</v>
      </c>
      <c r="C205" s="452">
        <v>45992</v>
      </c>
      <c r="D205" t="s">
        <v>557</v>
      </c>
      <c r="E205">
        <v>21060</v>
      </c>
      <c r="F205" t="s">
        <v>4946</v>
      </c>
      <c r="G205">
        <v>2</v>
      </c>
      <c r="H205" t="s">
        <v>4736</v>
      </c>
      <c r="I205" t="s">
        <v>458</v>
      </c>
    </row>
    <row r="206" spans="1:9" x14ac:dyDescent="0.3">
      <c r="A206">
        <v>62962</v>
      </c>
      <c r="B206">
        <v>105</v>
      </c>
      <c r="C206" s="452">
        <v>45992</v>
      </c>
      <c r="D206" t="s">
        <v>557</v>
      </c>
      <c r="E206">
        <v>23819</v>
      </c>
      <c r="F206" t="s">
        <v>4947</v>
      </c>
      <c r="G206">
        <v>2</v>
      </c>
      <c r="H206" t="s">
        <v>4736</v>
      </c>
      <c r="I206" t="s">
        <v>458</v>
      </c>
    </row>
    <row r="207" spans="1:9" x14ac:dyDescent="0.3">
      <c r="A207">
        <v>62963</v>
      </c>
      <c r="B207">
        <v>105</v>
      </c>
      <c r="C207" s="452">
        <v>45992</v>
      </c>
      <c r="D207" t="s">
        <v>557</v>
      </c>
      <c r="E207">
        <v>24638</v>
      </c>
      <c r="F207" t="s">
        <v>4948</v>
      </c>
      <c r="G207">
        <v>2</v>
      </c>
      <c r="H207" t="s">
        <v>4749</v>
      </c>
      <c r="I207" t="s">
        <v>458</v>
      </c>
    </row>
    <row r="208" spans="1:9" x14ac:dyDescent="0.3">
      <c r="A208">
        <v>62964</v>
      </c>
      <c r="B208">
        <v>105</v>
      </c>
      <c r="C208" s="452">
        <v>45992</v>
      </c>
      <c r="D208" t="s">
        <v>557</v>
      </c>
      <c r="E208">
        <v>20057</v>
      </c>
      <c r="F208" t="s">
        <v>4949</v>
      </c>
      <c r="G208">
        <v>2</v>
      </c>
      <c r="H208" t="s">
        <v>4736</v>
      </c>
      <c r="I208" t="s">
        <v>458</v>
      </c>
    </row>
    <row r="209" spans="1:9" x14ac:dyDescent="0.3">
      <c r="A209">
        <v>62965</v>
      </c>
      <c r="B209">
        <v>105</v>
      </c>
      <c r="C209" s="452">
        <v>45992</v>
      </c>
      <c r="D209" t="s">
        <v>557</v>
      </c>
      <c r="E209">
        <v>20928</v>
      </c>
      <c r="F209" t="s">
        <v>4950</v>
      </c>
      <c r="G209">
        <v>2</v>
      </c>
      <c r="H209" t="s">
        <v>4736</v>
      </c>
      <c r="I209" t="s">
        <v>458</v>
      </c>
    </row>
    <row r="210" spans="1:9" x14ac:dyDescent="0.3">
      <c r="A210">
        <v>62966</v>
      </c>
      <c r="B210">
        <v>105</v>
      </c>
      <c r="C210" s="452">
        <v>45992</v>
      </c>
      <c r="D210" t="s">
        <v>557</v>
      </c>
      <c r="E210">
        <v>25807</v>
      </c>
      <c r="F210" t="s">
        <v>4951</v>
      </c>
      <c r="G210">
        <v>2</v>
      </c>
      <c r="H210" t="s">
        <v>4736</v>
      </c>
      <c r="I210" t="s">
        <v>458</v>
      </c>
    </row>
    <row r="211" spans="1:9" x14ac:dyDescent="0.3">
      <c r="A211">
        <v>62967</v>
      </c>
      <c r="B211">
        <v>105</v>
      </c>
      <c r="C211" s="452">
        <v>45992</v>
      </c>
      <c r="D211" t="s">
        <v>557</v>
      </c>
      <c r="E211">
        <v>21257</v>
      </c>
      <c r="F211" t="s">
        <v>4952</v>
      </c>
      <c r="G211">
        <v>2</v>
      </c>
      <c r="H211" t="s">
        <v>4736</v>
      </c>
      <c r="I211" t="s">
        <v>458</v>
      </c>
    </row>
    <row r="212" spans="1:9" x14ac:dyDescent="0.3">
      <c r="A212">
        <v>62968</v>
      </c>
      <c r="B212">
        <v>105</v>
      </c>
      <c r="C212" s="452">
        <v>45992</v>
      </c>
      <c r="D212" t="s">
        <v>557</v>
      </c>
      <c r="E212">
        <v>20887</v>
      </c>
      <c r="F212" t="s">
        <v>4953</v>
      </c>
      <c r="G212">
        <v>2</v>
      </c>
      <c r="H212" t="s">
        <v>4879</v>
      </c>
      <c r="I212" t="s">
        <v>458</v>
      </c>
    </row>
    <row r="213" spans="1:9" x14ac:dyDescent="0.3">
      <c r="A213">
        <v>62969</v>
      </c>
      <c r="B213">
        <v>105</v>
      </c>
      <c r="C213" s="452">
        <v>45992</v>
      </c>
      <c r="D213" t="s">
        <v>557</v>
      </c>
      <c r="E213">
        <v>19993</v>
      </c>
      <c r="F213" t="s">
        <v>4954</v>
      </c>
      <c r="G213">
        <v>2</v>
      </c>
      <c r="H213" t="s">
        <v>4955</v>
      </c>
      <c r="I213" t="s">
        <v>458</v>
      </c>
    </row>
    <row r="214" spans="1:9" x14ac:dyDescent="0.3">
      <c r="A214">
        <v>62970</v>
      </c>
      <c r="B214">
        <v>105</v>
      </c>
      <c r="C214" s="452">
        <v>45992</v>
      </c>
      <c r="D214" t="s">
        <v>557</v>
      </c>
      <c r="E214">
        <v>19967</v>
      </c>
      <c r="F214" t="s">
        <v>4956</v>
      </c>
      <c r="G214">
        <v>2</v>
      </c>
      <c r="H214" t="s">
        <v>4888</v>
      </c>
      <c r="I214" t="s">
        <v>458</v>
      </c>
    </row>
    <row r="215" spans="1:9" x14ac:dyDescent="0.3">
      <c r="A215">
        <v>62971</v>
      </c>
      <c r="B215">
        <v>105</v>
      </c>
      <c r="C215" s="452">
        <v>45992</v>
      </c>
      <c r="D215" t="s">
        <v>557</v>
      </c>
      <c r="E215">
        <v>26242</v>
      </c>
      <c r="F215" t="s">
        <v>4957</v>
      </c>
      <c r="G215">
        <v>2</v>
      </c>
      <c r="H215" t="s">
        <v>4736</v>
      </c>
      <c r="I215" t="s">
        <v>458</v>
      </c>
    </row>
    <row r="216" spans="1:9" x14ac:dyDescent="0.3">
      <c r="A216">
        <v>62972</v>
      </c>
      <c r="B216">
        <v>105</v>
      </c>
      <c r="C216" s="452">
        <v>45992</v>
      </c>
      <c r="D216" t="s">
        <v>557</v>
      </c>
      <c r="E216">
        <v>20614</v>
      </c>
      <c r="F216" t="s">
        <v>4958</v>
      </c>
      <c r="G216">
        <v>2</v>
      </c>
      <c r="H216" t="s">
        <v>4736</v>
      </c>
      <c r="I216" t="s">
        <v>458</v>
      </c>
    </row>
    <row r="217" spans="1:9" x14ac:dyDescent="0.3">
      <c r="A217">
        <v>62973</v>
      </c>
      <c r="B217">
        <v>105</v>
      </c>
      <c r="C217" s="452">
        <v>45992</v>
      </c>
      <c r="D217" t="s">
        <v>557</v>
      </c>
      <c r="E217">
        <v>20955</v>
      </c>
      <c r="F217" t="s">
        <v>4959</v>
      </c>
      <c r="G217">
        <v>2</v>
      </c>
      <c r="H217" t="s">
        <v>4805</v>
      </c>
      <c r="I217" t="s">
        <v>458</v>
      </c>
    </row>
    <row r="218" spans="1:9" x14ac:dyDescent="0.3">
      <c r="A218">
        <v>62974</v>
      </c>
      <c r="B218">
        <v>105</v>
      </c>
      <c r="C218" s="452">
        <v>45992</v>
      </c>
      <c r="D218" t="s">
        <v>557</v>
      </c>
      <c r="E218">
        <v>23389</v>
      </c>
      <c r="F218" t="s">
        <v>4960</v>
      </c>
      <c r="G218">
        <v>2</v>
      </c>
      <c r="H218" t="s">
        <v>4744</v>
      </c>
      <c r="I218" t="s">
        <v>458</v>
      </c>
    </row>
    <row r="219" spans="1:9" x14ac:dyDescent="0.3">
      <c r="A219">
        <v>62975</v>
      </c>
      <c r="B219">
        <v>105</v>
      </c>
      <c r="C219" s="452">
        <v>45992</v>
      </c>
      <c r="D219" t="s">
        <v>557</v>
      </c>
      <c r="E219">
        <v>23335</v>
      </c>
      <c r="F219" t="s">
        <v>4961</v>
      </c>
      <c r="G219">
        <v>2</v>
      </c>
      <c r="H219" t="s">
        <v>4744</v>
      </c>
      <c r="I219" t="s">
        <v>458</v>
      </c>
    </row>
    <row r="220" spans="1:9" x14ac:dyDescent="0.3">
      <c r="A220">
        <v>62976</v>
      </c>
      <c r="B220">
        <v>105</v>
      </c>
      <c r="C220" s="452">
        <v>45992</v>
      </c>
      <c r="D220" t="s">
        <v>557</v>
      </c>
      <c r="E220">
        <v>23198</v>
      </c>
      <c r="F220" t="s">
        <v>4962</v>
      </c>
      <c r="G220">
        <v>2</v>
      </c>
      <c r="H220" t="s">
        <v>4744</v>
      </c>
      <c r="I220" t="s">
        <v>458</v>
      </c>
    </row>
    <row r="221" spans="1:9" x14ac:dyDescent="0.3">
      <c r="A221">
        <v>62977</v>
      </c>
      <c r="B221">
        <v>105</v>
      </c>
      <c r="C221" s="452">
        <v>45992</v>
      </c>
      <c r="D221" t="s">
        <v>557</v>
      </c>
      <c r="E221">
        <v>19710</v>
      </c>
      <c r="F221" t="s">
        <v>4963</v>
      </c>
      <c r="G221">
        <v>2</v>
      </c>
      <c r="H221" t="s">
        <v>4738</v>
      </c>
      <c r="I221" t="s">
        <v>458</v>
      </c>
    </row>
    <row r="222" spans="1:9" x14ac:dyDescent="0.3">
      <c r="A222">
        <v>62978</v>
      </c>
      <c r="B222">
        <v>105</v>
      </c>
      <c r="C222" s="452">
        <v>45992</v>
      </c>
      <c r="D222" t="s">
        <v>557</v>
      </c>
      <c r="E222">
        <v>18636</v>
      </c>
      <c r="F222" t="s">
        <v>4964</v>
      </c>
      <c r="G222">
        <v>2</v>
      </c>
      <c r="H222" t="s">
        <v>4965</v>
      </c>
      <c r="I222" t="s">
        <v>458</v>
      </c>
    </row>
    <row r="223" spans="1:9" x14ac:dyDescent="0.3">
      <c r="A223">
        <v>62979</v>
      </c>
      <c r="B223">
        <v>105</v>
      </c>
      <c r="C223" s="452">
        <v>45992</v>
      </c>
      <c r="D223" t="s">
        <v>557</v>
      </c>
      <c r="E223">
        <v>18586</v>
      </c>
      <c r="F223" t="s">
        <v>4966</v>
      </c>
      <c r="G223">
        <v>2</v>
      </c>
      <c r="H223" t="s">
        <v>4738</v>
      </c>
      <c r="I223" t="s">
        <v>458</v>
      </c>
    </row>
    <row r="224" spans="1:9" x14ac:dyDescent="0.3">
      <c r="A224">
        <v>62980</v>
      </c>
      <c r="B224">
        <v>105</v>
      </c>
      <c r="C224" s="452">
        <v>45992</v>
      </c>
      <c r="D224" t="s">
        <v>557</v>
      </c>
      <c r="E224">
        <v>18550</v>
      </c>
      <c r="F224" t="s">
        <v>4967</v>
      </c>
      <c r="G224">
        <v>2</v>
      </c>
      <c r="H224" t="s">
        <v>4805</v>
      </c>
      <c r="I224" t="s">
        <v>458</v>
      </c>
    </row>
    <row r="225" spans="1:9" x14ac:dyDescent="0.3">
      <c r="A225">
        <v>62981</v>
      </c>
      <c r="B225">
        <v>105</v>
      </c>
      <c r="C225" s="452">
        <v>45992</v>
      </c>
      <c r="D225" t="s">
        <v>557</v>
      </c>
      <c r="E225">
        <v>18295</v>
      </c>
      <c r="F225" t="s">
        <v>4968</v>
      </c>
      <c r="G225">
        <v>2</v>
      </c>
      <c r="H225" t="s">
        <v>4805</v>
      </c>
      <c r="I225" t="s">
        <v>458</v>
      </c>
    </row>
    <row r="226" spans="1:9" x14ac:dyDescent="0.3">
      <c r="A226">
        <v>62982</v>
      </c>
      <c r="B226">
        <v>105</v>
      </c>
      <c r="C226" s="452">
        <v>45992</v>
      </c>
      <c r="D226" t="s">
        <v>557</v>
      </c>
      <c r="E226">
        <v>18253</v>
      </c>
      <c r="F226" t="s">
        <v>4969</v>
      </c>
      <c r="G226">
        <v>2</v>
      </c>
      <c r="H226" t="s">
        <v>4805</v>
      </c>
      <c r="I226" t="s">
        <v>458</v>
      </c>
    </row>
    <row r="227" spans="1:9" x14ac:dyDescent="0.3">
      <c r="A227">
        <v>62983</v>
      </c>
      <c r="B227">
        <v>105</v>
      </c>
      <c r="C227" s="452">
        <v>45992</v>
      </c>
      <c r="D227" t="s">
        <v>557</v>
      </c>
      <c r="E227">
        <v>18233</v>
      </c>
      <c r="F227" t="s">
        <v>4970</v>
      </c>
      <c r="G227">
        <v>2</v>
      </c>
      <c r="H227" t="s">
        <v>4805</v>
      </c>
      <c r="I227" t="s">
        <v>458</v>
      </c>
    </row>
    <row r="228" spans="1:9" x14ac:dyDescent="0.3">
      <c r="A228">
        <v>62984</v>
      </c>
      <c r="B228">
        <v>105</v>
      </c>
      <c r="C228" s="452">
        <v>45992</v>
      </c>
      <c r="D228" t="s">
        <v>557</v>
      </c>
      <c r="E228">
        <v>18232</v>
      </c>
      <c r="F228" t="s">
        <v>4971</v>
      </c>
      <c r="G228">
        <v>2</v>
      </c>
      <c r="H228" t="s">
        <v>4805</v>
      </c>
      <c r="I228" t="s">
        <v>458</v>
      </c>
    </row>
    <row r="229" spans="1:9" x14ac:dyDescent="0.3">
      <c r="A229">
        <v>62985</v>
      </c>
      <c r="B229">
        <v>105</v>
      </c>
      <c r="C229" s="452">
        <v>45992</v>
      </c>
      <c r="D229" t="s">
        <v>557</v>
      </c>
      <c r="E229">
        <v>18219</v>
      </c>
      <c r="F229" t="s">
        <v>4972</v>
      </c>
      <c r="G229">
        <v>2</v>
      </c>
      <c r="H229" t="s">
        <v>4805</v>
      </c>
      <c r="I229" t="s">
        <v>458</v>
      </c>
    </row>
    <row r="230" spans="1:9" x14ac:dyDescent="0.3">
      <c r="A230">
        <v>62986</v>
      </c>
      <c r="B230">
        <v>105</v>
      </c>
      <c r="C230" s="452">
        <v>45992</v>
      </c>
      <c r="D230" t="s">
        <v>557</v>
      </c>
      <c r="E230">
        <v>18085</v>
      </c>
      <c r="F230" t="s">
        <v>4973</v>
      </c>
      <c r="G230">
        <v>2</v>
      </c>
      <c r="H230" t="s">
        <v>4805</v>
      </c>
      <c r="I230" t="s">
        <v>458</v>
      </c>
    </row>
    <row r="231" spans="1:9" x14ac:dyDescent="0.3">
      <c r="A231">
        <v>62987</v>
      </c>
      <c r="B231">
        <v>105</v>
      </c>
      <c r="C231" s="452">
        <v>45992</v>
      </c>
      <c r="D231" t="s">
        <v>557</v>
      </c>
      <c r="E231">
        <v>18073</v>
      </c>
      <c r="F231" t="s">
        <v>4974</v>
      </c>
      <c r="G231">
        <v>2</v>
      </c>
      <c r="H231" t="s">
        <v>4805</v>
      </c>
      <c r="I231" t="s">
        <v>458</v>
      </c>
    </row>
    <row r="232" spans="1:9" x14ac:dyDescent="0.3">
      <c r="A232">
        <v>62988</v>
      </c>
      <c r="B232">
        <v>105</v>
      </c>
      <c r="C232" s="452">
        <v>45992</v>
      </c>
      <c r="D232" t="s">
        <v>557</v>
      </c>
      <c r="E232">
        <v>26210</v>
      </c>
      <c r="F232" t="s">
        <v>4975</v>
      </c>
      <c r="G232">
        <v>2</v>
      </c>
      <c r="H232" t="s">
        <v>4805</v>
      </c>
      <c r="I232" t="s">
        <v>458</v>
      </c>
    </row>
    <row r="233" spans="1:9" x14ac:dyDescent="0.3">
      <c r="A233">
        <v>62989</v>
      </c>
      <c r="B233">
        <v>105</v>
      </c>
      <c r="C233" s="452">
        <v>45992</v>
      </c>
      <c r="D233" t="s">
        <v>557</v>
      </c>
      <c r="E233">
        <v>26038</v>
      </c>
      <c r="F233" t="s">
        <v>4976</v>
      </c>
      <c r="G233">
        <v>2</v>
      </c>
      <c r="H233" t="s">
        <v>4805</v>
      </c>
      <c r="I233" t="s">
        <v>458</v>
      </c>
    </row>
    <row r="234" spans="1:9" x14ac:dyDescent="0.3">
      <c r="A234">
        <v>62990</v>
      </c>
      <c r="B234">
        <v>105</v>
      </c>
      <c r="C234" s="452">
        <v>45992</v>
      </c>
      <c r="D234" t="s">
        <v>557</v>
      </c>
      <c r="E234">
        <v>17721</v>
      </c>
      <c r="F234" t="s">
        <v>4977</v>
      </c>
      <c r="G234">
        <v>2</v>
      </c>
      <c r="H234" t="s">
        <v>4805</v>
      </c>
      <c r="I234" t="s">
        <v>458</v>
      </c>
    </row>
    <row r="235" spans="1:9" x14ac:dyDescent="0.3">
      <c r="A235">
        <v>62991</v>
      </c>
      <c r="B235">
        <v>105</v>
      </c>
      <c r="C235" s="452">
        <v>45992</v>
      </c>
      <c r="D235" t="s">
        <v>557</v>
      </c>
      <c r="E235">
        <v>17658</v>
      </c>
      <c r="F235" t="s">
        <v>4978</v>
      </c>
      <c r="G235">
        <v>2</v>
      </c>
      <c r="H235" t="s">
        <v>4805</v>
      </c>
      <c r="I235" t="s">
        <v>458</v>
      </c>
    </row>
    <row r="236" spans="1:9" x14ac:dyDescent="0.3">
      <c r="A236">
        <v>62992</v>
      </c>
      <c r="B236">
        <v>105</v>
      </c>
      <c r="C236" s="452">
        <v>45992</v>
      </c>
      <c r="D236" t="s">
        <v>557</v>
      </c>
      <c r="E236">
        <v>18450</v>
      </c>
      <c r="F236" t="s">
        <v>4979</v>
      </c>
      <c r="G236">
        <v>2</v>
      </c>
      <c r="H236" t="s">
        <v>4805</v>
      </c>
      <c r="I236" t="s">
        <v>458</v>
      </c>
    </row>
    <row r="237" spans="1:9" x14ac:dyDescent="0.3">
      <c r="A237">
        <v>62993</v>
      </c>
      <c r="B237">
        <v>105</v>
      </c>
      <c r="C237" s="452">
        <v>45992</v>
      </c>
      <c r="D237" t="s">
        <v>557</v>
      </c>
      <c r="E237">
        <v>25358</v>
      </c>
      <c r="F237" t="s">
        <v>4980</v>
      </c>
      <c r="G237">
        <v>1.9</v>
      </c>
      <c r="H237" t="s">
        <v>4744</v>
      </c>
      <c r="I237" t="s">
        <v>458</v>
      </c>
    </row>
    <row r="238" spans="1:9" x14ac:dyDescent="0.3">
      <c r="A238">
        <v>62994</v>
      </c>
      <c r="B238">
        <v>105</v>
      </c>
      <c r="C238" s="452">
        <v>45992</v>
      </c>
      <c r="D238" t="s">
        <v>557</v>
      </c>
      <c r="E238">
        <v>19607</v>
      </c>
      <c r="F238" t="s">
        <v>4981</v>
      </c>
      <c r="G238">
        <v>1.9</v>
      </c>
      <c r="H238" t="s">
        <v>4744</v>
      </c>
      <c r="I238" t="s">
        <v>458</v>
      </c>
    </row>
    <row r="239" spans="1:9" x14ac:dyDescent="0.3">
      <c r="A239">
        <v>62995</v>
      </c>
      <c r="B239">
        <v>105</v>
      </c>
      <c r="C239" s="452">
        <v>45992</v>
      </c>
      <c r="D239" t="s">
        <v>557</v>
      </c>
      <c r="E239">
        <v>23808</v>
      </c>
      <c r="F239" t="s">
        <v>4982</v>
      </c>
      <c r="G239">
        <v>1.89</v>
      </c>
      <c r="H239" t="s">
        <v>4744</v>
      </c>
      <c r="I239" t="s">
        <v>458</v>
      </c>
    </row>
    <row r="240" spans="1:9" x14ac:dyDescent="0.3">
      <c r="A240">
        <v>62996</v>
      </c>
      <c r="B240">
        <v>105</v>
      </c>
      <c r="C240" s="452">
        <v>45992</v>
      </c>
      <c r="D240" t="s">
        <v>557</v>
      </c>
      <c r="E240">
        <v>19589</v>
      </c>
      <c r="F240" t="s">
        <v>4983</v>
      </c>
      <c r="G240">
        <v>1.8</v>
      </c>
      <c r="H240" t="s">
        <v>4744</v>
      </c>
      <c r="I240" t="s">
        <v>458</v>
      </c>
    </row>
    <row r="241" spans="1:9" x14ac:dyDescent="0.3">
      <c r="A241">
        <v>62997</v>
      </c>
      <c r="B241">
        <v>105</v>
      </c>
      <c r="C241" s="452">
        <v>45992</v>
      </c>
      <c r="D241" t="s">
        <v>557</v>
      </c>
      <c r="E241">
        <v>19577</v>
      </c>
      <c r="F241" t="s">
        <v>4984</v>
      </c>
      <c r="G241">
        <v>1.78</v>
      </c>
      <c r="H241" t="s">
        <v>4736</v>
      </c>
      <c r="I241" t="s">
        <v>458</v>
      </c>
    </row>
    <row r="242" spans="1:9" x14ac:dyDescent="0.3">
      <c r="A242">
        <v>62998</v>
      </c>
      <c r="B242">
        <v>105</v>
      </c>
      <c r="C242" s="452">
        <v>45992</v>
      </c>
      <c r="D242" t="s">
        <v>557</v>
      </c>
      <c r="E242">
        <v>19955</v>
      </c>
      <c r="F242" t="s">
        <v>4985</v>
      </c>
      <c r="G242">
        <v>1.7</v>
      </c>
      <c r="H242" t="s">
        <v>4736</v>
      </c>
      <c r="I242" t="s">
        <v>458</v>
      </c>
    </row>
    <row r="243" spans="1:9" x14ac:dyDescent="0.3">
      <c r="A243">
        <v>62999</v>
      </c>
      <c r="B243">
        <v>105</v>
      </c>
      <c r="C243" s="452">
        <v>45992</v>
      </c>
      <c r="D243" t="s">
        <v>557</v>
      </c>
      <c r="E243">
        <v>23234</v>
      </c>
      <c r="F243" t="s">
        <v>4986</v>
      </c>
      <c r="G243">
        <v>1.7</v>
      </c>
      <c r="H243" t="s">
        <v>4744</v>
      </c>
      <c r="I243" t="s">
        <v>458</v>
      </c>
    </row>
    <row r="244" spans="1:9" x14ac:dyDescent="0.3">
      <c r="A244">
        <v>63000</v>
      </c>
      <c r="B244">
        <v>105</v>
      </c>
      <c r="C244" s="452">
        <v>45992</v>
      </c>
      <c r="D244" t="s">
        <v>557</v>
      </c>
      <c r="E244">
        <v>18423</v>
      </c>
      <c r="F244" t="s">
        <v>4987</v>
      </c>
      <c r="G244">
        <v>1.63</v>
      </c>
      <c r="H244" t="s">
        <v>4805</v>
      </c>
      <c r="I244" t="s">
        <v>458</v>
      </c>
    </row>
    <row r="245" spans="1:9" x14ac:dyDescent="0.3">
      <c r="A245">
        <v>63001</v>
      </c>
      <c r="B245">
        <v>105</v>
      </c>
      <c r="C245" s="452">
        <v>45992</v>
      </c>
      <c r="D245" t="s">
        <v>557</v>
      </c>
      <c r="E245">
        <v>23349</v>
      </c>
      <c r="F245" t="s">
        <v>4988</v>
      </c>
      <c r="G245">
        <v>1.6</v>
      </c>
      <c r="H245" t="s">
        <v>4744</v>
      </c>
      <c r="I245" t="s">
        <v>458</v>
      </c>
    </row>
    <row r="246" spans="1:9" x14ac:dyDescent="0.3">
      <c r="A246">
        <v>63002</v>
      </c>
      <c r="B246">
        <v>105</v>
      </c>
      <c r="C246" s="452">
        <v>45992</v>
      </c>
      <c r="D246" t="s">
        <v>557</v>
      </c>
      <c r="E246">
        <v>19572</v>
      </c>
      <c r="F246" t="s">
        <v>4989</v>
      </c>
      <c r="G246">
        <v>1.6</v>
      </c>
      <c r="H246" t="s">
        <v>4744</v>
      </c>
      <c r="I246" t="s">
        <v>458</v>
      </c>
    </row>
    <row r="247" spans="1:9" x14ac:dyDescent="0.3">
      <c r="A247">
        <v>63003</v>
      </c>
      <c r="B247">
        <v>105</v>
      </c>
      <c r="C247" s="452">
        <v>45992</v>
      </c>
      <c r="D247" t="s">
        <v>557</v>
      </c>
      <c r="E247">
        <v>19130</v>
      </c>
      <c r="F247" t="s">
        <v>4990</v>
      </c>
      <c r="G247">
        <v>1.6</v>
      </c>
      <c r="H247" t="s">
        <v>4744</v>
      </c>
      <c r="I247" t="s">
        <v>458</v>
      </c>
    </row>
    <row r="248" spans="1:9" x14ac:dyDescent="0.3">
      <c r="A248">
        <v>63004</v>
      </c>
      <c r="B248">
        <v>105</v>
      </c>
      <c r="C248" s="452">
        <v>45992</v>
      </c>
      <c r="D248" t="s">
        <v>557</v>
      </c>
      <c r="E248">
        <v>23494</v>
      </c>
      <c r="F248" t="s">
        <v>4991</v>
      </c>
      <c r="G248">
        <v>1.54</v>
      </c>
      <c r="H248" t="s">
        <v>4744</v>
      </c>
      <c r="I248" t="s">
        <v>458</v>
      </c>
    </row>
    <row r="249" spans="1:9" x14ac:dyDescent="0.3">
      <c r="A249">
        <v>63005</v>
      </c>
      <c r="B249">
        <v>105</v>
      </c>
      <c r="C249" s="452">
        <v>45992</v>
      </c>
      <c r="D249" t="s">
        <v>557</v>
      </c>
      <c r="E249">
        <v>24444</v>
      </c>
      <c r="F249" t="s">
        <v>4992</v>
      </c>
      <c r="G249">
        <v>1.5</v>
      </c>
      <c r="H249" t="s">
        <v>4744</v>
      </c>
      <c r="I249" t="s">
        <v>458</v>
      </c>
    </row>
    <row r="250" spans="1:9" x14ac:dyDescent="0.3">
      <c r="A250">
        <v>63006</v>
      </c>
      <c r="B250">
        <v>105</v>
      </c>
      <c r="C250" s="452">
        <v>45992</v>
      </c>
      <c r="D250" t="s">
        <v>557</v>
      </c>
      <c r="E250">
        <v>23511</v>
      </c>
      <c r="F250" t="s">
        <v>4993</v>
      </c>
      <c r="G250">
        <v>1.37</v>
      </c>
      <c r="H250" t="s">
        <v>4744</v>
      </c>
      <c r="I250" t="s">
        <v>458</v>
      </c>
    </row>
    <row r="251" spans="1:9" x14ac:dyDescent="0.3">
      <c r="A251">
        <v>63007</v>
      </c>
      <c r="B251">
        <v>105</v>
      </c>
      <c r="C251" s="452">
        <v>45992</v>
      </c>
      <c r="D251" t="s">
        <v>557</v>
      </c>
      <c r="E251">
        <v>19558</v>
      </c>
      <c r="F251" t="s">
        <v>4994</v>
      </c>
      <c r="G251">
        <v>1.35</v>
      </c>
      <c r="H251" t="s">
        <v>4744</v>
      </c>
      <c r="I251" t="s">
        <v>458</v>
      </c>
    </row>
    <row r="252" spans="1:9" x14ac:dyDescent="0.3">
      <c r="A252">
        <v>63008</v>
      </c>
      <c r="B252">
        <v>105</v>
      </c>
      <c r="C252" s="452">
        <v>45992</v>
      </c>
      <c r="D252" t="s">
        <v>557</v>
      </c>
      <c r="E252">
        <v>23539</v>
      </c>
      <c r="F252" t="s">
        <v>4995</v>
      </c>
      <c r="G252">
        <v>1.27</v>
      </c>
      <c r="H252" t="s">
        <v>4744</v>
      </c>
      <c r="I252" t="s">
        <v>458</v>
      </c>
    </row>
    <row r="253" spans="1:9" x14ac:dyDescent="0.3">
      <c r="A253">
        <v>63009</v>
      </c>
      <c r="B253">
        <v>105</v>
      </c>
      <c r="C253" s="452">
        <v>45992</v>
      </c>
      <c r="D253" t="s">
        <v>557</v>
      </c>
      <c r="E253">
        <v>19642</v>
      </c>
      <c r="F253" t="s">
        <v>4996</v>
      </c>
      <c r="G253">
        <v>1.21</v>
      </c>
      <c r="H253" t="s">
        <v>4744</v>
      </c>
      <c r="I253" t="s">
        <v>458</v>
      </c>
    </row>
    <row r="254" spans="1:9" x14ac:dyDescent="0.3">
      <c r="A254">
        <v>63010</v>
      </c>
      <c r="B254">
        <v>105</v>
      </c>
      <c r="C254" s="452">
        <v>45992</v>
      </c>
      <c r="D254" t="s">
        <v>557</v>
      </c>
      <c r="E254">
        <v>18477</v>
      </c>
      <c r="F254" t="s">
        <v>4920</v>
      </c>
      <c r="G254">
        <v>1.19</v>
      </c>
      <c r="H254" t="s">
        <v>4805</v>
      </c>
      <c r="I254" t="s">
        <v>458</v>
      </c>
    </row>
    <row r="255" spans="1:9" x14ac:dyDescent="0.3">
      <c r="A255">
        <v>63011</v>
      </c>
      <c r="B255">
        <v>105</v>
      </c>
      <c r="C255" s="452">
        <v>45992</v>
      </c>
      <c r="D255" t="s">
        <v>557</v>
      </c>
      <c r="E255">
        <v>19526</v>
      </c>
      <c r="F255" t="s">
        <v>4997</v>
      </c>
      <c r="G255">
        <v>1.1000000000000001</v>
      </c>
      <c r="H255" t="s">
        <v>4744</v>
      </c>
      <c r="I255" t="s">
        <v>458</v>
      </c>
    </row>
    <row r="256" spans="1:9" x14ac:dyDescent="0.3">
      <c r="A256">
        <v>63012</v>
      </c>
      <c r="B256">
        <v>105</v>
      </c>
      <c r="C256" s="452">
        <v>45992</v>
      </c>
      <c r="D256" t="s">
        <v>557</v>
      </c>
      <c r="E256">
        <v>21130</v>
      </c>
      <c r="F256" t="s">
        <v>4998</v>
      </c>
      <c r="G256">
        <v>1</v>
      </c>
      <c r="H256" t="s">
        <v>4736</v>
      </c>
      <c r="I256" t="s">
        <v>458</v>
      </c>
    </row>
    <row r="257" spans="1:9" x14ac:dyDescent="0.3">
      <c r="A257">
        <v>63013</v>
      </c>
      <c r="B257">
        <v>105</v>
      </c>
      <c r="C257" s="452">
        <v>45992</v>
      </c>
      <c r="D257" t="s">
        <v>557</v>
      </c>
      <c r="E257">
        <v>25748</v>
      </c>
      <c r="F257" t="s">
        <v>4999</v>
      </c>
      <c r="G257">
        <v>1</v>
      </c>
      <c r="H257" t="s">
        <v>4749</v>
      </c>
      <c r="I257" t="s">
        <v>458</v>
      </c>
    </row>
    <row r="258" spans="1:9" x14ac:dyDescent="0.3">
      <c r="A258">
        <v>63014</v>
      </c>
      <c r="B258">
        <v>105</v>
      </c>
      <c r="C258" s="452">
        <v>45992</v>
      </c>
      <c r="D258" t="s">
        <v>557</v>
      </c>
      <c r="E258">
        <v>25752</v>
      </c>
      <c r="F258" t="s">
        <v>5000</v>
      </c>
      <c r="G258">
        <v>1</v>
      </c>
      <c r="H258" t="s">
        <v>4749</v>
      </c>
      <c r="I258" t="s">
        <v>458</v>
      </c>
    </row>
    <row r="259" spans="1:9" x14ac:dyDescent="0.3">
      <c r="A259">
        <v>63015</v>
      </c>
      <c r="B259">
        <v>105</v>
      </c>
      <c r="C259" s="452">
        <v>45992</v>
      </c>
      <c r="D259" t="s">
        <v>557</v>
      </c>
      <c r="E259">
        <v>20756</v>
      </c>
      <c r="F259" t="s">
        <v>5001</v>
      </c>
      <c r="G259">
        <v>1</v>
      </c>
      <c r="H259" t="s">
        <v>4736</v>
      </c>
      <c r="I259" t="s">
        <v>458</v>
      </c>
    </row>
    <row r="260" spans="1:9" x14ac:dyDescent="0.3">
      <c r="A260">
        <v>63016</v>
      </c>
      <c r="B260">
        <v>105</v>
      </c>
      <c r="C260" s="452">
        <v>45992</v>
      </c>
      <c r="D260" t="s">
        <v>557</v>
      </c>
      <c r="E260">
        <v>24040</v>
      </c>
      <c r="F260" t="s">
        <v>5002</v>
      </c>
      <c r="G260">
        <v>1</v>
      </c>
      <c r="H260" t="s">
        <v>4744</v>
      </c>
      <c r="I260" t="s">
        <v>458</v>
      </c>
    </row>
    <row r="261" spans="1:9" x14ac:dyDescent="0.3">
      <c r="A261">
        <v>63017</v>
      </c>
      <c r="B261">
        <v>105</v>
      </c>
      <c r="C261" s="452">
        <v>45992</v>
      </c>
      <c r="D261" t="s">
        <v>557</v>
      </c>
      <c r="E261">
        <v>25055</v>
      </c>
      <c r="F261" t="s">
        <v>5003</v>
      </c>
      <c r="G261">
        <v>1</v>
      </c>
      <c r="H261" t="s">
        <v>4744</v>
      </c>
      <c r="I261" t="s">
        <v>458</v>
      </c>
    </row>
    <row r="262" spans="1:9" x14ac:dyDescent="0.3">
      <c r="A262">
        <v>63018</v>
      </c>
      <c r="B262">
        <v>105</v>
      </c>
      <c r="C262" s="452">
        <v>45992</v>
      </c>
      <c r="D262" t="s">
        <v>557</v>
      </c>
      <c r="E262">
        <v>20751</v>
      </c>
      <c r="F262" t="s">
        <v>5004</v>
      </c>
      <c r="G262">
        <v>1</v>
      </c>
      <c r="H262" t="s">
        <v>4884</v>
      </c>
      <c r="I262" t="s">
        <v>458</v>
      </c>
    </row>
    <row r="263" spans="1:9" x14ac:dyDescent="0.3">
      <c r="A263">
        <v>63019</v>
      </c>
      <c r="B263">
        <v>105</v>
      </c>
      <c r="C263" s="452">
        <v>45992</v>
      </c>
      <c r="D263" t="s">
        <v>557</v>
      </c>
      <c r="E263">
        <v>20914</v>
      </c>
      <c r="F263" t="s">
        <v>5005</v>
      </c>
      <c r="G263">
        <v>1</v>
      </c>
      <c r="H263" t="s">
        <v>4736</v>
      </c>
      <c r="I263" t="s">
        <v>458</v>
      </c>
    </row>
    <row r="264" spans="1:9" x14ac:dyDescent="0.3">
      <c r="A264">
        <v>63020</v>
      </c>
      <c r="B264">
        <v>105</v>
      </c>
      <c r="C264" s="452">
        <v>45992</v>
      </c>
      <c r="D264" t="s">
        <v>557</v>
      </c>
      <c r="E264">
        <v>25079</v>
      </c>
      <c r="F264" t="s">
        <v>5006</v>
      </c>
      <c r="G264">
        <v>1</v>
      </c>
      <c r="H264" t="s">
        <v>4738</v>
      </c>
      <c r="I264" t="s">
        <v>458</v>
      </c>
    </row>
    <row r="265" spans="1:9" x14ac:dyDescent="0.3">
      <c r="A265">
        <v>63021</v>
      </c>
      <c r="B265">
        <v>105</v>
      </c>
      <c r="C265" s="452">
        <v>45992</v>
      </c>
      <c r="D265" t="s">
        <v>557</v>
      </c>
      <c r="E265">
        <v>20689</v>
      </c>
      <c r="F265" t="s">
        <v>5007</v>
      </c>
      <c r="G265">
        <v>1</v>
      </c>
      <c r="H265" t="s">
        <v>4736</v>
      </c>
      <c r="I265" t="s">
        <v>458</v>
      </c>
    </row>
    <row r="266" spans="1:9" x14ac:dyDescent="0.3">
      <c r="A266">
        <v>63022</v>
      </c>
      <c r="B266">
        <v>105</v>
      </c>
      <c r="C266" s="452">
        <v>45992</v>
      </c>
      <c r="D266" t="s">
        <v>557</v>
      </c>
      <c r="E266">
        <v>20670</v>
      </c>
      <c r="F266" t="s">
        <v>5008</v>
      </c>
      <c r="G266">
        <v>1</v>
      </c>
      <c r="H266" t="s">
        <v>4738</v>
      </c>
      <c r="I266" t="s">
        <v>458</v>
      </c>
    </row>
    <row r="267" spans="1:9" x14ac:dyDescent="0.3">
      <c r="A267">
        <v>63023</v>
      </c>
      <c r="B267">
        <v>105</v>
      </c>
      <c r="C267" s="452">
        <v>45992</v>
      </c>
      <c r="D267" t="s">
        <v>557</v>
      </c>
      <c r="E267">
        <v>20234</v>
      </c>
      <c r="F267" t="s">
        <v>5009</v>
      </c>
      <c r="G267">
        <v>1</v>
      </c>
      <c r="H267" t="s">
        <v>4744</v>
      </c>
      <c r="I267" t="s">
        <v>458</v>
      </c>
    </row>
    <row r="268" spans="1:9" x14ac:dyDescent="0.3">
      <c r="A268">
        <v>63024</v>
      </c>
      <c r="B268">
        <v>105</v>
      </c>
      <c r="C268" s="452">
        <v>45992</v>
      </c>
      <c r="D268" t="s">
        <v>557</v>
      </c>
      <c r="E268">
        <v>20025</v>
      </c>
      <c r="F268" t="s">
        <v>5010</v>
      </c>
      <c r="G268">
        <v>1</v>
      </c>
      <c r="H268" t="s">
        <v>4736</v>
      </c>
      <c r="I268" t="s">
        <v>458</v>
      </c>
    </row>
    <row r="269" spans="1:9" x14ac:dyDescent="0.3">
      <c r="A269">
        <v>63025</v>
      </c>
      <c r="B269">
        <v>105</v>
      </c>
      <c r="C269" s="452">
        <v>45992</v>
      </c>
      <c r="D269" t="s">
        <v>557</v>
      </c>
      <c r="E269">
        <v>20660</v>
      </c>
      <c r="F269" t="s">
        <v>5011</v>
      </c>
      <c r="G269">
        <v>1</v>
      </c>
      <c r="H269" t="s">
        <v>4955</v>
      </c>
      <c r="I269" t="s">
        <v>458</v>
      </c>
    </row>
    <row r="270" spans="1:9" x14ac:dyDescent="0.3">
      <c r="A270">
        <v>63026</v>
      </c>
      <c r="B270">
        <v>105</v>
      </c>
      <c r="C270" s="452">
        <v>45992</v>
      </c>
      <c r="D270" t="s">
        <v>557</v>
      </c>
      <c r="E270">
        <v>20661</v>
      </c>
      <c r="F270" t="s">
        <v>5012</v>
      </c>
      <c r="G270">
        <v>1</v>
      </c>
      <c r="H270" t="s">
        <v>4736</v>
      </c>
      <c r="I270" t="s">
        <v>458</v>
      </c>
    </row>
    <row r="271" spans="1:9" x14ac:dyDescent="0.3">
      <c r="A271">
        <v>63027</v>
      </c>
      <c r="B271">
        <v>105</v>
      </c>
      <c r="C271" s="452">
        <v>45992</v>
      </c>
      <c r="D271" t="s">
        <v>557</v>
      </c>
      <c r="E271">
        <v>20653</v>
      </c>
      <c r="F271" t="s">
        <v>5013</v>
      </c>
      <c r="G271">
        <v>1</v>
      </c>
      <c r="H271" t="s">
        <v>4736</v>
      </c>
      <c r="I271" t="s">
        <v>458</v>
      </c>
    </row>
    <row r="272" spans="1:9" x14ac:dyDescent="0.3">
      <c r="A272">
        <v>63028</v>
      </c>
      <c r="B272">
        <v>105</v>
      </c>
      <c r="C272" s="452">
        <v>45992</v>
      </c>
      <c r="D272" t="s">
        <v>557</v>
      </c>
      <c r="E272">
        <v>24351</v>
      </c>
      <c r="F272" t="s">
        <v>5014</v>
      </c>
      <c r="G272">
        <v>1</v>
      </c>
      <c r="H272" t="s">
        <v>4736</v>
      </c>
      <c r="I272" t="s">
        <v>458</v>
      </c>
    </row>
    <row r="273" spans="1:9" x14ac:dyDescent="0.3">
      <c r="A273">
        <v>63029</v>
      </c>
      <c r="B273">
        <v>105</v>
      </c>
      <c r="C273" s="452">
        <v>45992</v>
      </c>
      <c r="D273" t="s">
        <v>557</v>
      </c>
      <c r="E273">
        <v>20871</v>
      </c>
      <c r="F273" t="s">
        <v>5015</v>
      </c>
      <c r="G273">
        <v>1</v>
      </c>
      <c r="H273" t="s">
        <v>4879</v>
      </c>
      <c r="I273" t="s">
        <v>458</v>
      </c>
    </row>
    <row r="274" spans="1:9" x14ac:dyDescent="0.3">
      <c r="A274">
        <v>63030</v>
      </c>
      <c r="B274">
        <v>105</v>
      </c>
      <c r="C274" s="452">
        <v>45992</v>
      </c>
      <c r="D274" t="s">
        <v>557</v>
      </c>
      <c r="E274">
        <v>20644</v>
      </c>
      <c r="F274" t="s">
        <v>5016</v>
      </c>
      <c r="G274">
        <v>1</v>
      </c>
      <c r="H274" t="s">
        <v>4955</v>
      </c>
      <c r="I274" t="s">
        <v>458</v>
      </c>
    </row>
    <row r="275" spans="1:9" x14ac:dyDescent="0.3">
      <c r="A275">
        <v>63031</v>
      </c>
      <c r="B275">
        <v>105</v>
      </c>
      <c r="C275" s="452">
        <v>45992</v>
      </c>
      <c r="D275" t="s">
        <v>557</v>
      </c>
      <c r="E275">
        <v>19982</v>
      </c>
      <c r="F275" t="s">
        <v>5017</v>
      </c>
      <c r="G275">
        <v>1</v>
      </c>
      <c r="H275" t="s">
        <v>4888</v>
      </c>
      <c r="I275" t="s">
        <v>458</v>
      </c>
    </row>
    <row r="276" spans="1:9" x14ac:dyDescent="0.3">
      <c r="A276">
        <v>63032</v>
      </c>
      <c r="B276">
        <v>105</v>
      </c>
      <c r="C276" s="452">
        <v>45992</v>
      </c>
      <c r="D276" t="s">
        <v>557</v>
      </c>
      <c r="E276">
        <v>19969</v>
      </c>
      <c r="F276" t="s">
        <v>5018</v>
      </c>
      <c r="G276">
        <v>1</v>
      </c>
      <c r="H276" t="s">
        <v>4888</v>
      </c>
      <c r="I276" t="s">
        <v>458</v>
      </c>
    </row>
    <row r="277" spans="1:9" x14ac:dyDescent="0.3">
      <c r="A277">
        <v>63033</v>
      </c>
      <c r="B277">
        <v>105</v>
      </c>
      <c r="C277" s="452">
        <v>45992</v>
      </c>
      <c r="D277" t="s">
        <v>557</v>
      </c>
      <c r="E277">
        <v>20624</v>
      </c>
      <c r="F277" t="s">
        <v>5019</v>
      </c>
      <c r="G277">
        <v>1</v>
      </c>
      <c r="H277" t="s">
        <v>4884</v>
      </c>
      <c r="I277" t="s">
        <v>458</v>
      </c>
    </row>
    <row r="278" spans="1:9" x14ac:dyDescent="0.3">
      <c r="A278">
        <v>63034</v>
      </c>
      <c r="B278">
        <v>105</v>
      </c>
      <c r="C278" s="452">
        <v>45992</v>
      </c>
      <c r="D278" t="s">
        <v>557</v>
      </c>
      <c r="E278">
        <v>20790</v>
      </c>
      <c r="F278" t="s">
        <v>5020</v>
      </c>
      <c r="G278">
        <v>1</v>
      </c>
      <c r="H278" t="s">
        <v>4744</v>
      </c>
      <c r="I278" t="s">
        <v>458</v>
      </c>
    </row>
    <row r="279" spans="1:9" x14ac:dyDescent="0.3">
      <c r="A279">
        <v>63035</v>
      </c>
      <c r="B279">
        <v>105</v>
      </c>
      <c r="C279" s="452">
        <v>45992</v>
      </c>
      <c r="D279" t="s">
        <v>557</v>
      </c>
      <c r="E279">
        <v>20791</v>
      </c>
      <c r="F279" t="s">
        <v>5021</v>
      </c>
      <c r="G279">
        <v>1</v>
      </c>
      <c r="H279" t="s">
        <v>4738</v>
      </c>
      <c r="I279" t="s">
        <v>458</v>
      </c>
    </row>
    <row r="280" spans="1:9" x14ac:dyDescent="0.3">
      <c r="A280">
        <v>63036</v>
      </c>
      <c r="B280">
        <v>105</v>
      </c>
      <c r="C280" s="452">
        <v>45992</v>
      </c>
      <c r="D280" t="s">
        <v>557</v>
      </c>
      <c r="E280">
        <v>20792</v>
      </c>
      <c r="F280" t="s">
        <v>5022</v>
      </c>
      <c r="G280">
        <v>1</v>
      </c>
      <c r="H280" t="s">
        <v>4738</v>
      </c>
      <c r="I280" t="s">
        <v>458</v>
      </c>
    </row>
    <row r="281" spans="1:9" x14ac:dyDescent="0.3">
      <c r="A281">
        <v>63037</v>
      </c>
      <c r="B281">
        <v>105</v>
      </c>
      <c r="C281" s="452">
        <v>45992</v>
      </c>
      <c r="D281" t="s">
        <v>557</v>
      </c>
      <c r="E281">
        <v>20794</v>
      </c>
      <c r="F281" t="s">
        <v>5023</v>
      </c>
      <c r="G281">
        <v>1</v>
      </c>
      <c r="H281" t="s">
        <v>4744</v>
      </c>
      <c r="I281" t="s">
        <v>458</v>
      </c>
    </row>
    <row r="282" spans="1:9" x14ac:dyDescent="0.3">
      <c r="A282">
        <v>63038</v>
      </c>
      <c r="B282">
        <v>105</v>
      </c>
      <c r="C282" s="452">
        <v>45992</v>
      </c>
      <c r="D282" t="s">
        <v>557</v>
      </c>
      <c r="E282">
        <v>20795</v>
      </c>
      <c r="F282" t="s">
        <v>5024</v>
      </c>
      <c r="G282">
        <v>1</v>
      </c>
      <c r="H282" t="s">
        <v>4738</v>
      </c>
      <c r="I282" t="s">
        <v>458</v>
      </c>
    </row>
    <row r="283" spans="1:9" x14ac:dyDescent="0.3">
      <c r="A283">
        <v>63039</v>
      </c>
      <c r="B283">
        <v>105</v>
      </c>
      <c r="C283" s="452">
        <v>45992</v>
      </c>
      <c r="D283" t="s">
        <v>557</v>
      </c>
      <c r="E283">
        <v>20585</v>
      </c>
      <c r="F283" t="s">
        <v>5025</v>
      </c>
      <c r="G283">
        <v>1</v>
      </c>
      <c r="H283" t="s">
        <v>4736</v>
      </c>
      <c r="I283" t="s">
        <v>458</v>
      </c>
    </row>
    <row r="284" spans="1:9" x14ac:dyDescent="0.3">
      <c r="A284">
        <v>63040</v>
      </c>
      <c r="B284">
        <v>105</v>
      </c>
      <c r="C284" s="452">
        <v>45992</v>
      </c>
      <c r="D284" t="s">
        <v>557</v>
      </c>
      <c r="E284">
        <v>20961</v>
      </c>
      <c r="F284" t="s">
        <v>5026</v>
      </c>
      <c r="G284">
        <v>1</v>
      </c>
      <c r="H284" t="s">
        <v>4736</v>
      </c>
      <c r="I284" t="s">
        <v>458</v>
      </c>
    </row>
    <row r="285" spans="1:9" x14ac:dyDescent="0.3">
      <c r="A285">
        <v>63041</v>
      </c>
      <c r="B285">
        <v>105</v>
      </c>
      <c r="C285" s="452">
        <v>45992</v>
      </c>
      <c r="D285" t="s">
        <v>557</v>
      </c>
      <c r="E285">
        <v>23088</v>
      </c>
      <c r="F285" t="s">
        <v>5027</v>
      </c>
      <c r="G285">
        <v>1</v>
      </c>
      <c r="H285" t="s">
        <v>4736</v>
      </c>
      <c r="I285" t="s">
        <v>458</v>
      </c>
    </row>
    <row r="286" spans="1:9" x14ac:dyDescent="0.3">
      <c r="A286">
        <v>63042</v>
      </c>
      <c r="B286">
        <v>105</v>
      </c>
      <c r="C286" s="452">
        <v>45992</v>
      </c>
      <c r="D286" t="s">
        <v>557</v>
      </c>
      <c r="E286">
        <v>27145</v>
      </c>
      <c r="F286" t="s">
        <v>5028</v>
      </c>
      <c r="G286">
        <v>1</v>
      </c>
      <c r="H286" t="s">
        <v>4965</v>
      </c>
      <c r="I286" t="s">
        <v>458</v>
      </c>
    </row>
    <row r="287" spans="1:9" x14ac:dyDescent="0.3">
      <c r="A287">
        <v>63043</v>
      </c>
      <c r="B287">
        <v>105</v>
      </c>
      <c r="C287" s="452">
        <v>45992</v>
      </c>
      <c r="D287" t="s">
        <v>557</v>
      </c>
      <c r="E287">
        <v>18548</v>
      </c>
      <c r="F287" t="s">
        <v>5029</v>
      </c>
      <c r="G287">
        <v>1</v>
      </c>
      <c r="H287" t="s">
        <v>4805</v>
      </c>
      <c r="I287" t="s">
        <v>458</v>
      </c>
    </row>
    <row r="288" spans="1:9" x14ac:dyDescent="0.3">
      <c r="A288">
        <v>63044</v>
      </c>
      <c r="B288">
        <v>105</v>
      </c>
      <c r="C288" s="452">
        <v>45992</v>
      </c>
      <c r="D288" t="s">
        <v>557</v>
      </c>
      <c r="E288">
        <v>18538</v>
      </c>
      <c r="F288" t="s">
        <v>5030</v>
      </c>
      <c r="G288">
        <v>1</v>
      </c>
      <c r="H288" t="s">
        <v>4805</v>
      </c>
      <c r="I288" t="s">
        <v>458</v>
      </c>
    </row>
    <row r="289" spans="1:9" x14ac:dyDescent="0.3">
      <c r="A289">
        <v>63045</v>
      </c>
      <c r="B289">
        <v>105</v>
      </c>
      <c r="C289" s="452">
        <v>45992</v>
      </c>
      <c r="D289" t="s">
        <v>557</v>
      </c>
      <c r="E289">
        <v>18462</v>
      </c>
      <c r="F289" t="s">
        <v>5031</v>
      </c>
      <c r="G289">
        <v>1</v>
      </c>
      <c r="H289" t="s">
        <v>4805</v>
      </c>
      <c r="I289" t="s">
        <v>458</v>
      </c>
    </row>
    <row r="290" spans="1:9" x14ac:dyDescent="0.3">
      <c r="A290">
        <v>63046</v>
      </c>
      <c r="B290">
        <v>105</v>
      </c>
      <c r="C290" s="452">
        <v>45992</v>
      </c>
      <c r="D290" t="s">
        <v>557</v>
      </c>
      <c r="E290">
        <v>18394</v>
      </c>
      <c r="F290" t="s">
        <v>5032</v>
      </c>
      <c r="G290">
        <v>1</v>
      </c>
      <c r="H290" t="s">
        <v>4805</v>
      </c>
      <c r="I290" t="s">
        <v>458</v>
      </c>
    </row>
    <row r="291" spans="1:9" x14ac:dyDescent="0.3">
      <c r="A291">
        <v>63047</v>
      </c>
      <c r="B291">
        <v>105</v>
      </c>
      <c r="C291" s="452">
        <v>45992</v>
      </c>
      <c r="D291" t="s">
        <v>557</v>
      </c>
      <c r="E291">
        <v>18339</v>
      </c>
      <c r="F291" t="s">
        <v>5033</v>
      </c>
      <c r="G291">
        <v>1</v>
      </c>
      <c r="H291" t="s">
        <v>4805</v>
      </c>
      <c r="I291" t="s">
        <v>458</v>
      </c>
    </row>
    <row r="292" spans="1:9" x14ac:dyDescent="0.3">
      <c r="A292">
        <v>63048</v>
      </c>
      <c r="B292">
        <v>105</v>
      </c>
      <c r="C292" s="452">
        <v>45992</v>
      </c>
      <c r="D292" t="s">
        <v>557</v>
      </c>
      <c r="E292">
        <v>18293</v>
      </c>
      <c r="F292" t="s">
        <v>5034</v>
      </c>
      <c r="G292">
        <v>1</v>
      </c>
      <c r="H292" t="s">
        <v>4805</v>
      </c>
      <c r="I292" t="s">
        <v>458</v>
      </c>
    </row>
    <row r="293" spans="1:9" x14ac:dyDescent="0.3">
      <c r="A293">
        <v>63049</v>
      </c>
      <c r="B293">
        <v>105</v>
      </c>
      <c r="C293" s="452">
        <v>45992</v>
      </c>
      <c r="D293" t="s">
        <v>557</v>
      </c>
      <c r="E293">
        <v>18327</v>
      </c>
      <c r="F293" t="s">
        <v>5035</v>
      </c>
      <c r="G293">
        <v>1</v>
      </c>
      <c r="H293" t="s">
        <v>4805</v>
      </c>
      <c r="I293" t="s">
        <v>458</v>
      </c>
    </row>
    <row r="294" spans="1:9" x14ac:dyDescent="0.3">
      <c r="A294">
        <v>63050</v>
      </c>
      <c r="B294">
        <v>105</v>
      </c>
      <c r="C294" s="452">
        <v>45992</v>
      </c>
      <c r="D294" t="s">
        <v>557</v>
      </c>
      <c r="E294">
        <v>18289</v>
      </c>
      <c r="F294" t="s">
        <v>5036</v>
      </c>
      <c r="G294">
        <v>1</v>
      </c>
      <c r="H294" t="s">
        <v>4736</v>
      </c>
      <c r="I294" t="s">
        <v>458</v>
      </c>
    </row>
    <row r="295" spans="1:9" x14ac:dyDescent="0.3">
      <c r="A295">
        <v>63051</v>
      </c>
      <c r="B295">
        <v>105</v>
      </c>
      <c r="C295" s="452">
        <v>45992</v>
      </c>
      <c r="D295" t="s">
        <v>557</v>
      </c>
      <c r="E295">
        <v>18312</v>
      </c>
      <c r="F295" t="s">
        <v>5037</v>
      </c>
      <c r="G295">
        <v>1</v>
      </c>
      <c r="H295" t="s">
        <v>4805</v>
      </c>
      <c r="I295" t="s">
        <v>458</v>
      </c>
    </row>
    <row r="296" spans="1:9" x14ac:dyDescent="0.3">
      <c r="A296">
        <v>63052</v>
      </c>
      <c r="B296">
        <v>105</v>
      </c>
      <c r="C296" s="452">
        <v>45992</v>
      </c>
      <c r="D296" t="s">
        <v>557</v>
      </c>
      <c r="E296">
        <v>18218</v>
      </c>
      <c r="F296" t="s">
        <v>5038</v>
      </c>
      <c r="G296">
        <v>1</v>
      </c>
      <c r="H296" t="s">
        <v>4805</v>
      </c>
      <c r="I296" t="s">
        <v>458</v>
      </c>
    </row>
    <row r="297" spans="1:9" x14ac:dyDescent="0.3">
      <c r="A297">
        <v>63053</v>
      </c>
      <c r="B297">
        <v>105</v>
      </c>
      <c r="C297" s="452">
        <v>45992</v>
      </c>
      <c r="D297" t="s">
        <v>557</v>
      </c>
      <c r="E297">
        <v>18214</v>
      </c>
      <c r="F297" t="s">
        <v>5039</v>
      </c>
      <c r="G297">
        <v>1</v>
      </c>
      <c r="H297" t="s">
        <v>4805</v>
      </c>
      <c r="I297" t="s">
        <v>458</v>
      </c>
    </row>
    <row r="298" spans="1:9" x14ac:dyDescent="0.3">
      <c r="A298">
        <v>63054</v>
      </c>
      <c r="B298">
        <v>105</v>
      </c>
      <c r="C298" s="452">
        <v>45992</v>
      </c>
      <c r="D298" t="s">
        <v>557</v>
      </c>
      <c r="E298">
        <v>18212</v>
      </c>
      <c r="F298" t="s">
        <v>5040</v>
      </c>
      <c r="G298">
        <v>1</v>
      </c>
      <c r="H298" t="s">
        <v>4805</v>
      </c>
      <c r="I298" t="s">
        <v>458</v>
      </c>
    </row>
    <row r="299" spans="1:9" x14ac:dyDescent="0.3">
      <c r="A299">
        <v>63055</v>
      </c>
      <c r="B299">
        <v>105</v>
      </c>
      <c r="C299" s="452">
        <v>45992</v>
      </c>
      <c r="D299" t="s">
        <v>557</v>
      </c>
      <c r="E299">
        <v>18157</v>
      </c>
      <c r="F299" t="s">
        <v>5041</v>
      </c>
      <c r="G299">
        <v>1</v>
      </c>
      <c r="H299" t="s">
        <v>4805</v>
      </c>
      <c r="I299" t="s">
        <v>458</v>
      </c>
    </row>
    <row r="300" spans="1:9" x14ac:dyDescent="0.3">
      <c r="A300">
        <v>63056</v>
      </c>
      <c r="B300">
        <v>105</v>
      </c>
      <c r="C300" s="452">
        <v>45992</v>
      </c>
      <c r="D300" t="s">
        <v>557</v>
      </c>
      <c r="E300">
        <v>18147</v>
      </c>
      <c r="F300" t="s">
        <v>5042</v>
      </c>
      <c r="G300">
        <v>1</v>
      </c>
      <c r="H300" t="s">
        <v>4805</v>
      </c>
      <c r="I300" t="s">
        <v>458</v>
      </c>
    </row>
    <row r="301" spans="1:9" x14ac:dyDescent="0.3">
      <c r="A301">
        <v>63057</v>
      </c>
      <c r="B301">
        <v>105</v>
      </c>
      <c r="C301" s="452">
        <v>45992</v>
      </c>
      <c r="D301" t="s">
        <v>557</v>
      </c>
      <c r="E301">
        <v>18129</v>
      </c>
      <c r="F301" t="s">
        <v>5043</v>
      </c>
      <c r="G301">
        <v>1</v>
      </c>
      <c r="H301" t="s">
        <v>4805</v>
      </c>
      <c r="I301" t="s">
        <v>458</v>
      </c>
    </row>
    <row r="302" spans="1:9" x14ac:dyDescent="0.3">
      <c r="A302">
        <v>63058</v>
      </c>
      <c r="B302">
        <v>105</v>
      </c>
      <c r="C302" s="452">
        <v>45992</v>
      </c>
      <c r="D302" t="s">
        <v>557</v>
      </c>
      <c r="E302">
        <v>18119</v>
      </c>
      <c r="F302" t="s">
        <v>5044</v>
      </c>
      <c r="G302">
        <v>1</v>
      </c>
      <c r="H302" t="s">
        <v>4805</v>
      </c>
      <c r="I302" t="s">
        <v>458</v>
      </c>
    </row>
    <row r="303" spans="1:9" x14ac:dyDescent="0.3">
      <c r="A303">
        <v>63059</v>
      </c>
      <c r="B303">
        <v>105</v>
      </c>
      <c r="C303" s="452">
        <v>45992</v>
      </c>
      <c r="D303" t="s">
        <v>557</v>
      </c>
      <c r="E303">
        <v>18116</v>
      </c>
      <c r="F303" t="s">
        <v>5045</v>
      </c>
      <c r="G303">
        <v>1</v>
      </c>
      <c r="H303" t="s">
        <v>4805</v>
      </c>
      <c r="I303" t="s">
        <v>458</v>
      </c>
    </row>
    <row r="304" spans="1:9" x14ac:dyDescent="0.3">
      <c r="A304">
        <v>63060</v>
      </c>
      <c r="B304">
        <v>105</v>
      </c>
      <c r="C304" s="452">
        <v>45992</v>
      </c>
      <c r="D304" t="s">
        <v>557</v>
      </c>
      <c r="E304">
        <v>18114</v>
      </c>
      <c r="F304" t="s">
        <v>5046</v>
      </c>
      <c r="G304">
        <v>1</v>
      </c>
      <c r="H304" t="s">
        <v>4805</v>
      </c>
      <c r="I304" t="s">
        <v>458</v>
      </c>
    </row>
    <row r="305" spans="1:9" x14ac:dyDescent="0.3">
      <c r="A305">
        <v>63061</v>
      </c>
      <c r="B305">
        <v>105</v>
      </c>
      <c r="C305" s="452">
        <v>45992</v>
      </c>
      <c r="D305" t="s">
        <v>557</v>
      </c>
      <c r="E305">
        <v>19743</v>
      </c>
      <c r="F305" t="s">
        <v>5047</v>
      </c>
      <c r="G305">
        <v>0.95</v>
      </c>
      <c r="H305" t="s">
        <v>4744</v>
      </c>
      <c r="I305" t="s">
        <v>458</v>
      </c>
    </row>
    <row r="306" spans="1:9" x14ac:dyDescent="0.3">
      <c r="A306">
        <v>63062</v>
      </c>
      <c r="B306">
        <v>105</v>
      </c>
      <c r="C306" s="452">
        <v>45992</v>
      </c>
      <c r="D306" t="s">
        <v>557</v>
      </c>
      <c r="E306">
        <v>18194</v>
      </c>
      <c r="F306" t="s">
        <v>4923</v>
      </c>
      <c r="G306">
        <v>0.9</v>
      </c>
      <c r="H306" t="s">
        <v>4805</v>
      </c>
      <c r="I306" t="s">
        <v>458</v>
      </c>
    </row>
    <row r="307" spans="1:9" x14ac:dyDescent="0.3">
      <c r="A307">
        <v>63063</v>
      </c>
      <c r="B307">
        <v>105</v>
      </c>
      <c r="C307" s="452">
        <v>45992</v>
      </c>
      <c r="D307" t="s">
        <v>557</v>
      </c>
      <c r="E307">
        <v>23503</v>
      </c>
      <c r="F307" t="s">
        <v>5048</v>
      </c>
      <c r="G307">
        <v>0.9</v>
      </c>
      <c r="H307" t="s">
        <v>4744</v>
      </c>
      <c r="I307" t="s">
        <v>458</v>
      </c>
    </row>
    <row r="308" spans="1:9" x14ac:dyDescent="0.3">
      <c r="A308">
        <v>63064</v>
      </c>
      <c r="B308">
        <v>105</v>
      </c>
      <c r="C308" s="452">
        <v>45992</v>
      </c>
      <c r="D308" t="s">
        <v>557</v>
      </c>
      <c r="E308">
        <v>18111</v>
      </c>
      <c r="F308" t="s">
        <v>5049</v>
      </c>
      <c r="G308">
        <v>0.84</v>
      </c>
      <c r="H308" t="s">
        <v>4805</v>
      </c>
      <c r="I308" t="s">
        <v>458</v>
      </c>
    </row>
    <row r="309" spans="1:9" x14ac:dyDescent="0.3">
      <c r="A309">
        <v>63065</v>
      </c>
      <c r="B309">
        <v>105</v>
      </c>
      <c r="C309" s="452">
        <v>45992</v>
      </c>
      <c r="D309" t="s">
        <v>557</v>
      </c>
      <c r="E309">
        <v>19647</v>
      </c>
      <c r="F309" t="s">
        <v>5050</v>
      </c>
      <c r="G309">
        <v>0.8</v>
      </c>
      <c r="H309" t="s">
        <v>4744</v>
      </c>
      <c r="I309" t="s">
        <v>458</v>
      </c>
    </row>
    <row r="310" spans="1:9" x14ac:dyDescent="0.3">
      <c r="A310">
        <v>63066</v>
      </c>
      <c r="B310">
        <v>105</v>
      </c>
      <c r="C310" s="452">
        <v>45992</v>
      </c>
      <c r="D310" t="s">
        <v>557</v>
      </c>
      <c r="E310">
        <v>23195</v>
      </c>
      <c r="F310" t="s">
        <v>5051</v>
      </c>
      <c r="G310">
        <v>0.8</v>
      </c>
      <c r="H310" t="s">
        <v>4744</v>
      </c>
      <c r="I310" t="s">
        <v>458</v>
      </c>
    </row>
    <row r="311" spans="1:9" x14ac:dyDescent="0.3">
      <c r="A311">
        <v>63067</v>
      </c>
      <c r="B311">
        <v>105</v>
      </c>
      <c r="C311" s="452">
        <v>45992</v>
      </c>
      <c r="D311" t="s">
        <v>557</v>
      </c>
      <c r="E311">
        <v>24400</v>
      </c>
      <c r="F311" t="s">
        <v>5052</v>
      </c>
      <c r="G311">
        <v>0.77</v>
      </c>
      <c r="H311" t="s">
        <v>4736</v>
      </c>
      <c r="I311" t="s">
        <v>458</v>
      </c>
    </row>
    <row r="312" spans="1:9" x14ac:dyDescent="0.3">
      <c r="A312">
        <v>63068</v>
      </c>
      <c r="B312">
        <v>105</v>
      </c>
      <c r="C312" s="452">
        <v>45992</v>
      </c>
      <c r="D312" t="s">
        <v>557</v>
      </c>
      <c r="E312">
        <v>20716</v>
      </c>
      <c r="F312" t="s">
        <v>5053</v>
      </c>
      <c r="G312">
        <v>0.75</v>
      </c>
      <c r="H312" t="s">
        <v>4744</v>
      </c>
      <c r="I312" t="s">
        <v>458</v>
      </c>
    </row>
    <row r="313" spans="1:9" x14ac:dyDescent="0.3">
      <c r="A313">
        <v>63069</v>
      </c>
      <c r="B313">
        <v>105</v>
      </c>
      <c r="C313" s="452">
        <v>45992</v>
      </c>
      <c r="D313" t="s">
        <v>557</v>
      </c>
      <c r="E313">
        <v>20185</v>
      </c>
      <c r="F313" t="s">
        <v>5054</v>
      </c>
      <c r="G313">
        <v>0.74</v>
      </c>
      <c r="H313" t="s">
        <v>4744</v>
      </c>
      <c r="I313" t="s">
        <v>458</v>
      </c>
    </row>
    <row r="314" spans="1:9" x14ac:dyDescent="0.3">
      <c r="A314">
        <v>63070</v>
      </c>
      <c r="B314">
        <v>105</v>
      </c>
      <c r="C314" s="452">
        <v>45992</v>
      </c>
      <c r="D314" t="s">
        <v>557</v>
      </c>
      <c r="E314">
        <v>18550</v>
      </c>
      <c r="F314" t="s">
        <v>4967</v>
      </c>
      <c r="G314">
        <v>0.74</v>
      </c>
      <c r="H314" t="s">
        <v>4805</v>
      </c>
      <c r="I314" t="s">
        <v>458</v>
      </c>
    </row>
    <row r="315" spans="1:9" x14ac:dyDescent="0.3">
      <c r="A315">
        <v>63071</v>
      </c>
      <c r="B315">
        <v>105</v>
      </c>
      <c r="C315" s="452">
        <v>45992</v>
      </c>
      <c r="D315" t="s">
        <v>557</v>
      </c>
      <c r="E315">
        <v>24685</v>
      </c>
      <c r="F315" t="s">
        <v>5055</v>
      </c>
      <c r="G315">
        <v>0.71</v>
      </c>
      <c r="H315" t="s">
        <v>4805</v>
      </c>
      <c r="I315" t="s">
        <v>458</v>
      </c>
    </row>
    <row r="316" spans="1:9" x14ac:dyDescent="0.3">
      <c r="A316">
        <v>63072</v>
      </c>
      <c r="B316">
        <v>105</v>
      </c>
      <c r="C316" s="452">
        <v>45992</v>
      </c>
      <c r="D316" t="s">
        <v>557</v>
      </c>
      <c r="E316">
        <v>18116</v>
      </c>
      <c r="F316" t="s">
        <v>5045</v>
      </c>
      <c r="G316">
        <v>0.71</v>
      </c>
      <c r="H316" t="s">
        <v>4805</v>
      </c>
      <c r="I316" t="s">
        <v>458</v>
      </c>
    </row>
    <row r="317" spans="1:9" x14ac:dyDescent="0.3">
      <c r="A317">
        <v>63073</v>
      </c>
      <c r="B317">
        <v>105</v>
      </c>
      <c r="C317" s="452">
        <v>45992</v>
      </c>
      <c r="D317" t="s">
        <v>557</v>
      </c>
      <c r="E317">
        <v>18317</v>
      </c>
      <c r="F317" t="s">
        <v>5056</v>
      </c>
      <c r="G317">
        <v>0.7</v>
      </c>
      <c r="H317" t="s">
        <v>4805</v>
      </c>
      <c r="I317" t="s">
        <v>458</v>
      </c>
    </row>
    <row r="318" spans="1:9" x14ac:dyDescent="0.3">
      <c r="A318">
        <v>63074</v>
      </c>
      <c r="B318">
        <v>105</v>
      </c>
      <c r="C318" s="452">
        <v>45992</v>
      </c>
      <c r="D318" t="s">
        <v>557</v>
      </c>
      <c r="E318">
        <v>19939</v>
      </c>
      <c r="F318" t="s">
        <v>5057</v>
      </c>
      <c r="G318">
        <v>0.65</v>
      </c>
      <c r="H318" t="s">
        <v>4744</v>
      </c>
      <c r="I318" t="s">
        <v>458</v>
      </c>
    </row>
    <row r="319" spans="1:9" x14ac:dyDescent="0.3">
      <c r="A319">
        <v>63075</v>
      </c>
      <c r="B319">
        <v>105</v>
      </c>
      <c r="C319" s="452">
        <v>45992</v>
      </c>
      <c r="D319" t="s">
        <v>557</v>
      </c>
      <c r="E319">
        <v>18273</v>
      </c>
      <c r="F319" t="s">
        <v>5058</v>
      </c>
      <c r="G319">
        <v>0.65</v>
      </c>
      <c r="H319" t="s">
        <v>4805</v>
      </c>
      <c r="I319" t="s">
        <v>458</v>
      </c>
    </row>
    <row r="320" spans="1:9" x14ac:dyDescent="0.3">
      <c r="A320">
        <v>63076</v>
      </c>
      <c r="B320">
        <v>105</v>
      </c>
      <c r="C320" s="452">
        <v>45992</v>
      </c>
      <c r="D320" t="s">
        <v>557</v>
      </c>
      <c r="E320">
        <v>18518</v>
      </c>
      <c r="F320" t="s">
        <v>4838</v>
      </c>
      <c r="G320">
        <v>0.63</v>
      </c>
      <c r="H320" t="s">
        <v>4805</v>
      </c>
      <c r="I320" t="s">
        <v>458</v>
      </c>
    </row>
    <row r="321" spans="1:9" x14ac:dyDescent="0.3">
      <c r="A321">
        <v>63077</v>
      </c>
      <c r="B321">
        <v>105</v>
      </c>
      <c r="C321" s="452">
        <v>45992</v>
      </c>
      <c r="D321" t="s">
        <v>557</v>
      </c>
      <c r="E321">
        <v>18475</v>
      </c>
      <c r="F321" t="s">
        <v>4895</v>
      </c>
      <c r="G321">
        <v>0.61</v>
      </c>
      <c r="H321" t="s">
        <v>4805</v>
      </c>
      <c r="I321" t="s">
        <v>458</v>
      </c>
    </row>
    <row r="322" spans="1:9" x14ac:dyDescent="0.3">
      <c r="A322">
        <v>63078</v>
      </c>
      <c r="B322">
        <v>105</v>
      </c>
      <c r="C322" s="452">
        <v>45992</v>
      </c>
      <c r="D322" t="s">
        <v>557</v>
      </c>
      <c r="E322">
        <v>18253</v>
      </c>
      <c r="F322" t="s">
        <v>4969</v>
      </c>
      <c r="G322">
        <v>0.61</v>
      </c>
      <c r="H322" t="s">
        <v>4805</v>
      </c>
      <c r="I322" t="s">
        <v>458</v>
      </c>
    </row>
    <row r="323" spans="1:9" x14ac:dyDescent="0.3">
      <c r="A323">
        <v>63079</v>
      </c>
      <c r="B323">
        <v>105</v>
      </c>
      <c r="C323" s="452">
        <v>45992</v>
      </c>
      <c r="D323" t="s">
        <v>557</v>
      </c>
      <c r="E323">
        <v>24272</v>
      </c>
      <c r="F323" t="s">
        <v>5059</v>
      </c>
      <c r="G323">
        <v>0.6</v>
      </c>
      <c r="H323" t="s">
        <v>4744</v>
      </c>
      <c r="I323" t="s">
        <v>458</v>
      </c>
    </row>
    <row r="324" spans="1:9" x14ac:dyDescent="0.3">
      <c r="A324">
        <v>63080</v>
      </c>
      <c r="B324">
        <v>105</v>
      </c>
      <c r="C324" s="452">
        <v>45992</v>
      </c>
      <c r="D324" t="s">
        <v>557</v>
      </c>
      <c r="E324">
        <v>24674</v>
      </c>
      <c r="F324" t="s">
        <v>5060</v>
      </c>
      <c r="G324">
        <v>0.6</v>
      </c>
      <c r="H324" t="s">
        <v>4744</v>
      </c>
      <c r="I324" t="s">
        <v>458</v>
      </c>
    </row>
    <row r="325" spans="1:9" x14ac:dyDescent="0.3">
      <c r="A325">
        <v>63081</v>
      </c>
      <c r="B325">
        <v>105</v>
      </c>
      <c r="C325" s="452">
        <v>45992</v>
      </c>
      <c r="D325" t="s">
        <v>557</v>
      </c>
      <c r="E325">
        <v>18114</v>
      </c>
      <c r="F325" t="s">
        <v>5046</v>
      </c>
      <c r="G325">
        <v>0.55000000000000004</v>
      </c>
      <c r="H325" t="s">
        <v>4805</v>
      </c>
      <c r="I325" t="s">
        <v>458</v>
      </c>
    </row>
    <row r="326" spans="1:9" x14ac:dyDescent="0.3">
      <c r="A326">
        <v>63082</v>
      </c>
      <c r="B326">
        <v>105</v>
      </c>
      <c r="C326" s="452">
        <v>45992</v>
      </c>
      <c r="D326" t="s">
        <v>557</v>
      </c>
      <c r="E326">
        <v>18359</v>
      </c>
      <c r="F326" t="s">
        <v>4921</v>
      </c>
      <c r="G326">
        <v>0.53</v>
      </c>
      <c r="H326" t="s">
        <v>4805</v>
      </c>
      <c r="I326" t="s">
        <v>458</v>
      </c>
    </row>
    <row r="327" spans="1:9" x14ac:dyDescent="0.3">
      <c r="A327">
        <v>63083</v>
      </c>
      <c r="B327">
        <v>105</v>
      </c>
      <c r="C327" s="452">
        <v>45992</v>
      </c>
      <c r="D327" t="s">
        <v>557</v>
      </c>
      <c r="E327">
        <v>18339</v>
      </c>
      <c r="F327" t="s">
        <v>5033</v>
      </c>
      <c r="G327">
        <v>0.53</v>
      </c>
      <c r="H327" t="s">
        <v>4805</v>
      </c>
      <c r="I327" t="s">
        <v>458</v>
      </c>
    </row>
    <row r="328" spans="1:9" x14ac:dyDescent="0.3">
      <c r="A328">
        <v>63084</v>
      </c>
      <c r="B328">
        <v>105</v>
      </c>
      <c r="C328" s="452">
        <v>45992</v>
      </c>
      <c r="D328" t="s">
        <v>557</v>
      </c>
      <c r="E328">
        <v>20186</v>
      </c>
      <c r="F328" t="s">
        <v>5061</v>
      </c>
      <c r="G328">
        <v>0.5</v>
      </c>
      <c r="H328" t="s">
        <v>4744</v>
      </c>
      <c r="I328" t="s">
        <v>458</v>
      </c>
    </row>
    <row r="329" spans="1:9" x14ac:dyDescent="0.3">
      <c r="A329">
        <v>63085</v>
      </c>
      <c r="B329">
        <v>105</v>
      </c>
      <c r="C329" s="452">
        <v>45992</v>
      </c>
      <c r="D329" t="s">
        <v>557</v>
      </c>
      <c r="E329">
        <v>23236</v>
      </c>
      <c r="F329" t="s">
        <v>5062</v>
      </c>
      <c r="G329">
        <v>0.5</v>
      </c>
      <c r="H329" t="s">
        <v>4744</v>
      </c>
      <c r="I329" t="s">
        <v>458</v>
      </c>
    </row>
    <row r="330" spans="1:9" x14ac:dyDescent="0.3">
      <c r="A330">
        <v>63086</v>
      </c>
      <c r="B330">
        <v>105</v>
      </c>
      <c r="C330" s="452">
        <v>45992</v>
      </c>
      <c r="D330" t="s">
        <v>557</v>
      </c>
      <c r="E330">
        <v>19479</v>
      </c>
      <c r="F330" t="s">
        <v>5063</v>
      </c>
      <c r="G330">
        <v>0.5</v>
      </c>
      <c r="H330" t="s">
        <v>4744</v>
      </c>
      <c r="I330" t="s">
        <v>458</v>
      </c>
    </row>
    <row r="331" spans="1:9" x14ac:dyDescent="0.3">
      <c r="A331">
        <v>63087</v>
      </c>
      <c r="B331">
        <v>105</v>
      </c>
      <c r="C331" s="452">
        <v>45992</v>
      </c>
      <c r="D331" t="s">
        <v>557</v>
      </c>
      <c r="E331">
        <v>18462</v>
      </c>
      <c r="F331" t="s">
        <v>5031</v>
      </c>
      <c r="G331">
        <v>0.5</v>
      </c>
      <c r="H331" t="s">
        <v>4805</v>
      </c>
      <c r="I331" t="s">
        <v>458</v>
      </c>
    </row>
    <row r="332" spans="1:9" x14ac:dyDescent="0.3">
      <c r="A332">
        <v>63088</v>
      </c>
      <c r="B332">
        <v>105</v>
      </c>
      <c r="C332" s="452">
        <v>45992</v>
      </c>
      <c r="D332" t="s">
        <v>557</v>
      </c>
      <c r="E332">
        <v>18179</v>
      </c>
      <c r="F332" t="s">
        <v>4924</v>
      </c>
      <c r="G332">
        <v>0.5</v>
      </c>
      <c r="H332" t="s">
        <v>4805</v>
      </c>
      <c r="I332" t="s">
        <v>458</v>
      </c>
    </row>
    <row r="333" spans="1:9" x14ac:dyDescent="0.3">
      <c r="A333">
        <v>63089</v>
      </c>
      <c r="B333">
        <v>105</v>
      </c>
      <c r="C333" s="452">
        <v>45992</v>
      </c>
      <c r="D333" t="s">
        <v>557</v>
      </c>
      <c r="E333">
        <v>18172</v>
      </c>
      <c r="F333" t="s">
        <v>4804</v>
      </c>
      <c r="G333">
        <v>0.48</v>
      </c>
      <c r="H333" t="s">
        <v>4805</v>
      </c>
      <c r="I333" t="s">
        <v>458</v>
      </c>
    </row>
    <row r="334" spans="1:9" x14ac:dyDescent="0.3">
      <c r="A334">
        <v>63090</v>
      </c>
      <c r="B334">
        <v>105</v>
      </c>
      <c r="C334" s="452">
        <v>45992</v>
      </c>
      <c r="D334" t="s">
        <v>557</v>
      </c>
      <c r="E334">
        <v>18147</v>
      </c>
      <c r="F334" t="s">
        <v>5042</v>
      </c>
      <c r="G334">
        <v>0.45</v>
      </c>
      <c r="H334" t="s">
        <v>4805</v>
      </c>
      <c r="I334" t="s">
        <v>458</v>
      </c>
    </row>
    <row r="335" spans="1:9" x14ac:dyDescent="0.3">
      <c r="A335">
        <v>63091</v>
      </c>
      <c r="B335">
        <v>105</v>
      </c>
      <c r="C335" s="452">
        <v>45992</v>
      </c>
      <c r="D335" t="s">
        <v>557</v>
      </c>
      <c r="E335">
        <v>26560</v>
      </c>
      <c r="F335" t="s">
        <v>4894</v>
      </c>
      <c r="G335">
        <v>0.42</v>
      </c>
      <c r="H335" t="s">
        <v>4805</v>
      </c>
      <c r="I335" t="s">
        <v>458</v>
      </c>
    </row>
    <row r="336" spans="1:9" x14ac:dyDescent="0.3">
      <c r="A336">
        <v>63092</v>
      </c>
      <c r="B336">
        <v>105</v>
      </c>
      <c r="C336" s="452">
        <v>45992</v>
      </c>
      <c r="D336" t="s">
        <v>557</v>
      </c>
      <c r="E336">
        <v>18394</v>
      </c>
      <c r="F336" t="s">
        <v>5032</v>
      </c>
      <c r="G336">
        <v>0.41</v>
      </c>
      <c r="H336" t="s">
        <v>4805</v>
      </c>
      <c r="I336" t="s">
        <v>458</v>
      </c>
    </row>
    <row r="337" spans="1:9" x14ac:dyDescent="0.3">
      <c r="A337">
        <v>63093</v>
      </c>
      <c r="B337">
        <v>105</v>
      </c>
      <c r="C337" s="452">
        <v>45992</v>
      </c>
      <c r="D337" t="s">
        <v>557</v>
      </c>
      <c r="E337">
        <v>18315</v>
      </c>
      <c r="F337" t="s">
        <v>4922</v>
      </c>
      <c r="G337">
        <v>0.4</v>
      </c>
      <c r="H337" t="s">
        <v>4805</v>
      </c>
      <c r="I337" t="s">
        <v>458</v>
      </c>
    </row>
    <row r="338" spans="1:9" x14ac:dyDescent="0.3">
      <c r="A338">
        <v>63094</v>
      </c>
      <c r="B338">
        <v>105</v>
      </c>
      <c r="C338" s="452">
        <v>45992</v>
      </c>
      <c r="D338" t="s">
        <v>557</v>
      </c>
      <c r="E338">
        <v>18119</v>
      </c>
      <c r="F338" t="s">
        <v>5044</v>
      </c>
      <c r="G338">
        <v>0.35</v>
      </c>
      <c r="H338" t="s">
        <v>4805</v>
      </c>
      <c r="I338" t="s">
        <v>458</v>
      </c>
    </row>
    <row r="339" spans="1:9" x14ac:dyDescent="0.3">
      <c r="A339">
        <v>63095</v>
      </c>
      <c r="B339">
        <v>105</v>
      </c>
      <c r="C339" s="452">
        <v>45992</v>
      </c>
      <c r="D339" t="s">
        <v>557</v>
      </c>
      <c r="E339">
        <v>18545</v>
      </c>
      <c r="F339" t="s">
        <v>4864</v>
      </c>
      <c r="G339">
        <v>0.3</v>
      </c>
      <c r="H339" t="s">
        <v>4805</v>
      </c>
      <c r="I339" t="s">
        <v>458</v>
      </c>
    </row>
    <row r="340" spans="1:9" x14ac:dyDescent="0.3">
      <c r="A340">
        <v>63096</v>
      </c>
      <c r="B340">
        <v>105</v>
      </c>
      <c r="C340" s="452">
        <v>45992</v>
      </c>
      <c r="D340" t="s">
        <v>557</v>
      </c>
      <c r="E340">
        <v>18295</v>
      </c>
      <c r="F340" t="s">
        <v>4968</v>
      </c>
      <c r="G340">
        <v>0.3</v>
      </c>
      <c r="H340" t="s">
        <v>4805</v>
      </c>
      <c r="I340" t="s">
        <v>458</v>
      </c>
    </row>
    <row r="341" spans="1:9" x14ac:dyDescent="0.3">
      <c r="A341">
        <v>63097</v>
      </c>
      <c r="B341">
        <v>105</v>
      </c>
      <c r="C341" s="452">
        <v>45992</v>
      </c>
      <c r="D341" t="s">
        <v>557</v>
      </c>
      <c r="E341">
        <v>18327</v>
      </c>
      <c r="F341" t="s">
        <v>5035</v>
      </c>
      <c r="G341">
        <v>0.28999999999999998</v>
      </c>
      <c r="H341" t="s">
        <v>4805</v>
      </c>
      <c r="I341" t="s">
        <v>458</v>
      </c>
    </row>
    <row r="342" spans="1:9" x14ac:dyDescent="0.3">
      <c r="A342">
        <v>63098</v>
      </c>
      <c r="B342">
        <v>105</v>
      </c>
      <c r="C342" s="452">
        <v>45992</v>
      </c>
      <c r="D342" t="s">
        <v>557</v>
      </c>
      <c r="E342">
        <v>18491</v>
      </c>
      <c r="F342" t="s">
        <v>4839</v>
      </c>
      <c r="G342">
        <v>0.24</v>
      </c>
      <c r="H342" t="s">
        <v>4805</v>
      </c>
      <c r="I342" t="s">
        <v>458</v>
      </c>
    </row>
    <row r="343" spans="1:9" x14ac:dyDescent="0.3">
      <c r="A343">
        <v>63099</v>
      </c>
      <c r="B343">
        <v>105</v>
      </c>
      <c r="C343" s="452">
        <v>45992</v>
      </c>
      <c r="D343" t="s">
        <v>557</v>
      </c>
      <c r="E343">
        <v>24322</v>
      </c>
      <c r="F343" t="s">
        <v>5064</v>
      </c>
      <c r="G343">
        <v>0.2</v>
      </c>
      <c r="H343" t="s">
        <v>4744</v>
      </c>
      <c r="I343" t="s">
        <v>458</v>
      </c>
    </row>
    <row r="344" spans="1:9" x14ac:dyDescent="0.3">
      <c r="A344">
        <v>63100</v>
      </c>
      <c r="B344">
        <v>105</v>
      </c>
      <c r="C344" s="452">
        <v>45992</v>
      </c>
      <c r="D344" t="s">
        <v>557</v>
      </c>
      <c r="E344">
        <v>20034</v>
      </c>
      <c r="F344" t="s">
        <v>5065</v>
      </c>
      <c r="G344">
        <v>0.13</v>
      </c>
      <c r="H344" t="s">
        <v>4744</v>
      </c>
      <c r="I344" t="s">
        <v>458</v>
      </c>
    </row>
    <row r="345" spans="1:9" x14ac:dyDescent="0.3">
      <c r="A345">
        <v>63101</v>
      </c>
      <c r="B345">
        <v>105</v>
      </c>
      <c r="C345" s="452">
        <v>45992</v>
      </c>
      <c r="D345" t="s">
        <v>557</v>
      </c>
      <c r="E345">
        <v>18502</v>
      </c>
      <c r="F345" t="s">
        <v>4893</v>
      </c>
      <c r="G345">
        <v>0.12</v>
      </c>
      <c r="H345" t="s">
        <v>4805</v>
      </c>
      <c r="I345" t="s">
        <v>458</v>
      </c>
    </row>
    <row r="346" spans="1:9" x14ac:dyDescent="0.3">
      <c r="A346">
        <v>63102</v>
      </c>
      <c r="B346">
        <v>105</v>
      </c>
      <c r="C346" s="452">
        <v>45992</v>
      </c>
      <c r="D346" t="s">
        <v>557</v>
      </c>
      <c r="E346">
        <v>18289</v>
      </c>
      <c r="F346" t="s">
        <v>5036</v>
      </c>
      <c r="G346">
        <v>0.1</v>
      </c>
      <c r="H346" t="s">
        <v>4736</v>
      </c>
      <c r="I346" t="s">
        <v>458</v>
      </c>
    </row>
    <row r="347" spans="1:9" x14ac:dyDescent="0.3">
      <c r="A347">
        <v>66143</v>
      </c>
      <c r="B347">
        <v>105</v>
      </c>
      <c r="C347" s="452">
        <v>46023</v>
      </c>
      <c r="D347" t="s">
        <v>557</v>
      </c>
      <c r="E347">
        <v>26005</v>
      </c>
      <c r="F347" t="s">
        <v>4907</v>
      </c>
      <c r="G347">
        <v>12</v>
      </c>
      <c r="H347" t="s">
        <v>4749</v>
      </c>
      <c r="I347" t="s">
        <v>459</v>
      </c>
    </row>
    <row r="348" spans="1:9" x14ac:dyDescent="0.3">
      <c r="A348">
        <v>66144</v>
      </c>
      <c r="B348">
        <v>105</v>
      </c>
      <c r="C348" s="452">
        <v>46023</v>
      </c>
      <c r="D348" t="s">
        <v>557</v>
      </c>
      <c r="E348">
        <v>26006</v>
      </c>
      <c r="F348" t="s">
        <v>4941</v>
      </c>
      <c r="G348">
        <v>12</v>
      </c>
      <c r="H348" t="s">
        <v>4749</v>
      </c>
      <c r="I348" t="s">
        <v>459</v>
      </c>
    </row>
    <row r="349" spans="1:9" x14ac:dyDescent="0.3">
      <c r="A349">
        <v>66145</v>
      </c>
      <c r="B349">
        <v>105</v>
      </c>
      <c r="C349" s="452">
        <v>46023</v>
      </c>
      <c r="D349" t="s">
        <v>557</v>
      </c>
      <c r="E349">
        <v>21147</v>
      </c>
      <c r="F349" t="s">
        <v>4876</v>
      </c>
      <c r="G349">
        <v>3</v>
      </c>
      <c r="H349" t="s">
        <v>4736</v>
      </c>
      <c r="I349" t="s">
        <v>459</v>
      </c>
    </row>
    <row r="350" spans="1:9" x14ac:dyDescent="0.3">
      <c r="A350">
        <v>66146</v>
      </c>
      <c r="B350">
        <v>105</v>
      </c>
      <c r="C350" s="452">
        <v>46023</v>
      </c>
      <c r="D350" t="s">
        <v>557</v>
      </c>
      <c r="E350">
        <v>21130</v>
      </c>
      <c r="F350" t="s">
        <v>4998</v>
      </c>
      <c r="G350">
        <v>2</v>
      </c>
      <c r="H350" t="s">
        <v>4736</v>
      </c>
      <c r="I350" t="s">
        <v>459</v>
      </c>
    </row>
    <row r="351" spans="1:9" x14ac:dyDescent="0.3">
      <c r="A351">
        <v>66147</v>
      </c>
      <c r="B351">
        <v>105</v>
      </c>
      <c r="C351" s="452">
        <v>46023</v>
      </c>
      <c r="D351" t="s">
        <v>557</v>
      </c>
      <c r="E351">
        <v>25758</v>
      </c>
      <c r="F351" t="s">
        <v>4775</v>
      </c>
      <c r="G351">
        <v>17</v>
      </c>
      <c r="H351" t="s">
        <v>4736</v>
      </c>
      <c r="I351" t="s">
        <v>459</v>
      </c>
    </row>
    <row r="352" spans="1:9" x14ac:dyDescent="0.3">
      <c r="A352">
        <v>66148</v>
      </c>
      <c r="B352">
        <v>105</v>
      </c>
      <c r="C352" s="452">
        <v>46023</v>
      </c>
      <c r="D352" t="s">
        <v>557</v>
      </c>
      <c r="E352">
        <v>27757</v>
      </c>
      <c r="F352" t="s">
        <v>4942</v>
      </c>
      <c r="G352">
        <v>4</v>
      </c>
      <c r="H352" t="s">
        <v>4749</v>
      </c>
      <c r="I352" t="s">
        <v>459</v>
      </c>
    </row>
    <row r="353" spans="1:9" x14ac:dyDescent="0.3">
      <c r="A353">
        <v>66149</v>
      </c>
      <c r="B353">
        <v>105</v>
      </c>
      <c r="C353" s="452">
        <v>46023</v>
      </c>
      <c r="D353" t="s">
        <v>557</v>
      </c>
      <c r="E353">
        <v>25748</v>
      </c>
      <c r="F353" t="s">
        <v>4999</v>
      </c>
      <c r="G353">
        <v>11</v>
      </c>
      <c r="H353" t="s">
        <v>4749</v>
      </c>
      <c r="I353" t="s">
        <v>459</v>
      </c>
    </row>
    <row r="354" spans="1:9" x14ac:dyDescent="0.3">
      <c r="A354">
        <v>66150</v>
      </c>
      <c r="B354">
        <v>105</v>
      </c>
      <c r="C354" s="452">
        <v>46023</v>
      </c>
      <c r="D354" t="s">
        <v>557</v>
      </c>
      <c r="E354">
        <v>25761</v>
      </c>
      <c r="F354" t="s">
        <v>4789</v>
      </c>
      <c r="G354">
        <v>9</v>
      </c>
      <c r="H354" t="s">
        <v>4736</v>
      </c>
      <c r="I354" t="s">
        <v>459</v>
      </c>
    </row>
    <row r="355" spans="1:9" x14ac:dyDescent="0.3">
      <c r="A355">
        <v>66151</v>
      </c>
      <c r="B355">
        <v>105</v>
      </c>
      <c r="C355" s="452">
        <v>46023</v>
      </c>
      <c r="D355" t="s">
        <v>557</v>
      </c>
      <c r="E355">
        <v>25747</v>
      </c>
      <c r="F355" t="s">
        <v>4794</v>
      </c>
      <c r="G355">
        <v>12</v>
      </c>
      <c r="H355" t="s">
        <v>4736</v>
      </c>
      <c r="I355" t="s">
        <v>459</v>
      </c>
    </row>
    <row r="356" spans="1:9" x14ac:dyDescent="0.3">
      <c r="A356">
        <v>66152</v>
      </c>
      <c r="B356">
        <v>105</v>
      </c>
      <c r="C356" s="452">
        <v>46023</v>
      </c>
      <c r="D356" t="s">
        <v>557</v>
      </c>
      <c r="E356">
        <v>25760</v>
      </c>
      <c r="F356" t="s">
        <v>4787</v>
      </c>
      <c r="G356">
        <v>7</v>
      </c>
      <c r="H356" t="s">
        <v>4736</v>
      </c>
      <c r="I356" t="s">
        <v>459</v>
      </c>
    </row>
    <row r="357" spans="1:9" x14ac:dyDescent="0.3">
      <c r="A357">
        <v>66153</v>
      </c>
      <c r="B357">
        <v>105</v>
      </c>
      <c r="C357" s="452">
        <v>46023</v>
      </c>
      <c r="D357" t="s">
        <v>557</v>
      </c>
      <c r="E357">
        <v>25763</v>
      </c>
      <c r="F357" t="s">
        <v>4943</v>
      </c>
      <c r="G357">
        <v>4</v>
      </c>
      <c r="H357" t="s">
        <v>4736</v>
      </c>
      <c r="I357" t="s">
        <v>459</v>
      </c>
    </row>
    <row r="358" spans="1:9" x14ac:dyDescent="0.3">
      <c r="A358">
        <v>66154</v>
      </c>
      <c r="B358">
        <v>105</v>
      </c>
      <c r="C358" s="452">
        <v>46023</v>
      </c>
      <c r="D358" t="s">
        <v>557</v>
      </c>
      <c r="E358">
        <v>25756</v>
      </c>
      <c r="F358" t="s">
        <v>4854</v>
      </c>
      <c r="G358">
        <v>18</v>
      </c>
      <c r="H358" t="s">
        <v>4749</v>
      </c>
      <c r="I358" t="s">
        <v>459</v>
      </c>
    </row>
    <row r="359" spans="1:9" x14ac:dyDescent="0.3">
      <c r="A359">
        <v>66155</v>
      </c>
      <c r="B359">
        <v>105</v>
      </c>
      <c r="C359" s="452">
        <v>46023</v>
      </c>
      <c r="D359" t="s">
        <v>557</v>
      </c>
      <c r="E359">
        <v>25757</v>
      </c>
      <c r="F359" t="s">
        <v>4763</v>
      </c>
      <c r="G359">
        <v>23</v>
      </c>
      <c r="H359" t="s">
        <v>4736</v>
      </c>
      <c r="I359" t="s">
        <v>459</v>
      </c>
    </row>
    <row r="360" spans="1:9" x14ac:dyDescent="0.3">
      <c r="A360">
        <v>66156</v>
      </c>
      <c r="B360">
        <v>105</v>
      </c>
      <c r="C360" s="452">
        <v>46023</v>
      </c>
      <c r="D360" t="s">
        <v>557</v>
      </c>
      <c r="E360">
        <v>25762</v>
      </c>
      <c r="F360" t="s">
        <v>4770</v>
      </c>
      <c r="G360">
        <v>6</v>
      </c>
      <c r="H360" t="s">
        <v>4736</v>
      </c>
      <c r="I360" t="s">
        <v>459</v>
      </c>
    </row>
    <row r="361" spans="1:9" x14ac:dyDescent="0.3">
      <c r="A361">
        <v>66157</v>
      </c>
      <c r="B361">
        <v>105</v>
      </c>
      <c r="C361" s="452">
        <v>46023</v>
      </c>
      <c r="D361" t="s">
        <v>557</v>
      </c>
      <c r="E361">
        <v>25755</v>
      </c>
      <c r="F361" t="s">
        <v>4821</v>
      </c>
      <c r="G361">
        <v>9</v>
      </c>
      <c r="H361" t="s">
        <v>4749</v>
      </c>
      <c r="I361" t="s">
        <v>459</v>
      </c>
    </row>
    <row r="362" spans="1:9" x14ac:dyDescent="0.3">
      <c r="A362">
        <v>66158</v>
      </c>
      <c r="B362">
        <v>105</v>
      </c>
      <c r="C362" s="452">
        <v>46023</v>
      </c>
      <c r="D362" t="s">
        <v>557</v>
      </c>
      <c r="E362">
        <v>26103</v>
      </c>
      <c r="F362" t="s">
        <v>4776</v>
      </c>
      <c r="G362">
        <v>10</v>
      </c>
      <c r="H362" t="s">
        <v>4749</v>
      </c>
      <c r="I362" t="s">
        <v>459</v>
      </c>
    </row>
    <row r="363" spans="1:9" x14ac:dyDescent="0.3">
      <c r="A363">
        <v>66159</v>
      </c>
      <c r="B363">
        <v>105</v>
      </c>
      <c r="C363" s="452">
        <v>46023</v>
      </c>
      <c r="D363" t="s">
        <v>557</v>
      </c>
      <c r="E363">
        <v>25759</v>
      </c>
      <c r="F363" t="s">
        <v>4877</v>
      </c>
      <c r="G363">
        <v>22</v>
      </c>
      <c r="H363" t="s">
        <v>4736</v>
      </c>
      <c r="I363" t="s">
        <v>459</v>
      </c>
    </row>
    <row r="364" spans="1:9" x14ac:dyDescent="0.3">
      <c r="A364">
        <v>66160</v>
      </c>
      <c r="B364">
        <v>105</v>
      </c>
      <c r="C364" s="452">
        <v>46023</v>
      </c>
      <c r="D364" t="s">
        <v>557</v>
      </c>
      <c r="E364">
        <v>23934</v>
      </c>
      <c r="F364" t="s">
        <v>4845</v>
      </c>
      <c r="G364">
        <v>1.5</v>
      </c>
      <c r="H364" t="s">
        <v>4744</v>
      </c>
      <c r="I364" t="s">
        <v>459</v>
      </c>
    </row>
    <row r="365" spans="1:9" x14ac:dyDescent="0.3">
      <c r="A365">
        <v>66161</v>
      </c>
      <c r="B365">
        <v>105</v>
      </c>
      <c r="C365" s="452">
        <v>46023</v>
      </c>
      <c r="D365" t="s">
        <v>557</v>
      </c>
      <c r="E365">
        <v>21150</v>
      </c>
      <c r="F365" t="s">
        <v>4878</v>
      </c>
      <c r="G365">
        <v>3</v>
      </c>
      <c r="H365" t="s">
        <v>4879</v>
      </c>
      <c r="I365" t="s">
        <v>459</v>
      </c>
    </row>
    <row r="366" spans="1:9" x14ac:dyDescent="0.3">
      <c r="A366">
        <v>66162</v>
      </c>
      <c r="B366">
        <v>105</v>
      </c>
      <c r="C366" s="452">
        <v>46023</v>
      </c>
      <c r="D366" t="s">
        <v>557</v>
      </c>
      <c r="E366">
        <v>17062</v>
      </c>
      <c r="F366" t="s">
        <v>4880</v>
      </c>
      <c r="G366">
        <v>2</v>
      </c>
      <c r="H366" t="s">
        <v>4879</v>
      </c>
      <c r="I366" t="s">
        <v>459</v>
      </c>
    </row>
    <row r="367" spans="1:9" x14ac:dyDescent="0.3">
      <c r="A367">
        <v>66163</v>
      </c>
      <c r="B367">
        <v>105</v>
      </c>
      <c r="C367" s="452">
        <v>46023</v>
      </c>
      <c r="D367" t="s">
        <v>557</v>
      </c>
      <c r="E367">
        <v>21085</v>
      </c>
      <c r="F367" t="s">
        <v>5066</v>
      </c>
      <c r="G367">
        <v>1</v>
      </c>
      <c r="H367" t="s">
        <v>4749</v>
      </c>
      <c r="I367" t="s">
        <v>459</v>
      </c>
    </row>
    <row r="368" spans="1:9" x14ac:dyDescent="0.3">
      <c r="A368">
        <v>66164</v>
      </c>
      <c r="B368">
        <v>105</v>
      </c>
      <c r="C368" s="452">
        <v>46023</v>
      </c>
      <c r="D368" t="s">
        <v>557</v>
      </c>
      <c r="E368">
        <v>20321</v>
      </c>
      <c r="F368" t="s">
        <v>5067</v>
      </c>
      <c r="G368">
        <v>0.5</v>
      </c>
      <c r="H368" t="s">
        <v>4744</v>
      </c>
      <c r="I368" t="s">
        <v>459</v>
      </c>
    </row>
    <row r="369" spans="1:9" x14ac:dyDescent="0.3">
      <c r="A369">
        <v>66165</v>
      </c>
      <c r="B369">
        <v>105</v>
      </c>
      <c r="C369" s="452">
        <v>46023</v>
      </c>
      <c r="D369" t="s">
        <v>557</v>
      </c>
      <c r="E369">
        <v>20756</v>
      </c>
      <c r="F369" t="s">
        <v>5001</v>
      </c>
      <c r="G369">
        <v>1</v>
      </c>
      <c r="H369" t="s">
        <v>4736</v>
      </c>
      <c r="I369" t="s">
        <v>459</v>
      </c>
    </row>
    <row r="370" spans="1:9" x14ac:dyDescent="0.3">
      <c r="A370">
        <v>66166</v>
      </c>
      <c r="B370">
        <v>105</v>
      </c>
      <c r="C370" s="452">
        <v>46023</v>
      </c>
      <c r="D370" t="s">
        <v>557</v>
      </c>
      <c r="E370">
        <v>24040</v>
      </c>
      <c r="F370" t="s">
        <v>5002</v>
      </c>
      <c r="G370">
        <v>1</v>
      </c>
      <c r="H370" t="s">
        <v>4744</v>
      </c>
      <c r="I370" t="s">
        <v>459</v>
      </c>
    </row>
    <row r="371" spans="1:9" x14ac:dyDescent="0.3">
      <c r="A371">
        <v>66167</v>
      </c>
      <c r="B371">
        <v>105</v>
      </c>
      <c r="C371" s="452">
        <v>46023</v>
      </c>
      <c r="D371" t="s">
        <v>557</v>
      </c>
      <c r="E371">
        <v>25055</v>
      </c>
      <c r="F371" t="s">
        <v>5003</v>
      </c>
      <c r="G371">
        <v>1</v>
      </c>
      <c r="H371" t="s">
        <v>4744</v>
      </c>
      <c r="I371" t="s">
        <v>459</v>
      </c>
    </row>
    <row r="372" spans="1:9" x14ac:dyDescent="0.3">
      <c r="A372">
        <v>66168</v>
      </c>
      <c r="B372">
        <v>105</v>
      </c>
      <c r="C372" s="452">
        <v>46023</v>
      </c>
      <c r="D372" t="s">
        <v>557</v>
      </c>
      <c r="E372">
        <v>20308</v>
      </c>
      <c r="F372" t="s">
        <v>4909</v>
      </c>
      <c r="G372">
        <v>6</v>
      </c>
      <c r="H372" t="s">
        <v>4738</v>
      </c>
      <c r="I372" t="s">
        <v>459</v>
      </c>
    </row>
    <row r="373" spans="1:9" x14ac:dyDescent="0.3">
      <c r="A373">
        <v>66169</v>
      </c>
      <c r="B373">
        <v>105</v>
      </c>
      <c r="C373" s="452">
        <v>46023</v>
      </c>
      <c r="D373" t="s">
        <v>557</v>
      </c>
      <c r="E373">
        <v>20301</v>
      </c>
      <c r="F373" t="s">
        <v>4944</v>
      </c>
      <c r="G373">
        <v>7</v>
      </c>
      <c r="H373" t="s">
        <v>4738</v>
      </c>
      <c r="I373" t="s">
        <v>459</v>
      </c>
    </row>
    <row r="374" spans="1:9" x14ac:dyDescent="0.3">
      <c r="A374">
        <v>66170</v>
      </c>
      <c r="B374">
        <v>105</v>
      </c>
      <c r="C374" s="452">
        <v>46023</v>
      </c>
      <c r="D374" t="s">
        <v>557</v>
      </c>
      <c r="E374">
        <v>20295</v>
      </c>
      <c r="F374" t="s">
        <v>4881</v>
      </c>
      <c r="G374">
        <v>6</v>
      </c>
      <c r="H374" t="s">
        <v>4736</v>
      </c>
      <c r="I374" t="s">
        <v>459</v>
      </c>
    </row>
    <row r="375" spans="1:9" x14ac:dyDescent="0.3">
      <c r="A375">
        <v>66171</v>
      </c>
      <c r="B375">
        <v>105</v>
      </c>
      <c r="C375" s="452">
        <v>46023</v>
      </c>
      <c r="D375" t="s">
        <v>557</v>
      </c>
      <c r="E375">
        <v>23656</v>
      </c>
      <c r="F375" t="s">
        <v>4945</v>
      </c>
      <c r="G375">
        <v>2</v>
      </c>
      <c r="H375" t="s">
        <v>4744</v>
      </c>
      <c r="I375" t="s">
        <v>459</v>
      </c>
    </row>
    <row r="376" spans="1:9" x14ac:dyDescent="0.3">
      <c r="A376">
        <v>66172</v>
      </c>
      <c r="B376">
        <v>105</v>
      </c>
      <c r="C376" s="452">
        <v>46023</v>
      </c>
      <c r="D376" t="s">
        <v>557</v>
      </c>
      <c r="E376">
        <v>21060</v>
      </c>
      <c r="F376" t="s">
        <v>4946</v>
      </c>
      <c r="G376">
        <v>1</v>
      </c>
      <c r="H376" t="s">
        <v>4736</v>
      </c>
      <c r="I376" t="s">
        <v>459</v>
      </c>
    </row>
    <row r="377" spans="1:9" x14ac:dyDescent="0.3">
      <c r="A377">
        <v>66173</v>
      </c>
      <c r="B377">
        <v>105</v>
      </c>
      <c r="C377" s="452">
        <v>46023</v>
      </c>
      <c r="D377" t="s">
        <v>557</v>
      </c>
      <c r="E377">
        <v>21047</v>
      </c>
      <c r="F377" t="s">
        <v>4847</v>
      </c>
      <c r="G377">
        <v>3</v>
      </c>
      <c r="H377" t="s">
        <v>4848</v>
      </c>
      <c r="I377" t="s">
        <v>459</v>
      </c>
    </row>
    <row r="378" spans="1:9" x14ac:dyDescent="0.3">
      <c r="A378">
        <v>66174</v>
      </c>
      <c r="B378">
        <v>105</v>
      </c>
      <c r="C378" s="452">
        <v>46023</v>
      </c>
      <c r="D378" t="s">
        <v>557</v>
      </c>
      <c r="E378">
        <v>20751</v>
      </c>
      <c r="F378" t="s">
        <v>5004</v>
      </c>
      <c r="G378">
        <v>1</v>
      </c>
      <c r="H378" t="s">
        <v>4884</v>
      </c>
      <c r="I378" t="s">
        <v>459</v>
      </c>
    </row>
    <row r="379" spans="1:9" x14ac:dyDescent="0.3">
      <c r="A379">
        <v>66175</v>
      </c>
      <c r="B379">
        <v>105</v>
      </c>
      <c r="C379" s="452">
        <v>46023</v>
      </c>
      <c r="D379" t="s">
        <v>557</v>
      </c>
      <c r="E379">
        <v>23808</v>
      </c>
      <c r="F379" t="s">
        <v>4982</v>
      </c>
      <c r="G379">
        <v>1.8</v>
      </c>
      <c r="H379" t="s">
        <v>4744</v>
      </c>
      <c r="I379" t="s">
        <v>459</v>
      </c>
    </row>
    <row r="380" spans="1:9" x14ac:dyDescent="0.3">
      <c r="A380">
        <v>66176</v>
      </c>
      <c r="B380">
        <v>105</v>
      </c>
      <c r="C380" s="452">
        <v>46023</v>
      </c>
      <c r="D380" t="s">
        <v>557</v>
      </c>
      <c r="E380">
        <v>23554</v>
      </c>
      <c r="F380" t="s">
        <v>4931</v>
      </c>
      <c r="G380">
        <v>2</v>
      </c>
      <c r="H380" t="s">
        <v>4744</v>
      </c>
      <c r="I380" t="s">
        <v>459</v>
      </c>
    </row>
    <row r="381" spans="1:9" x14ac:dyDescent="0.3">
      <c r="A381">
        <v>66177</v>
      </c>
      <c r="B381">
        <v>105</v>
      </c>
      <c r="C381" s="452">
        <v>46023</v>
      </c>
      <c r="D381" t="s">
        <v>557</v>
      </c>
      <c r="E381">
        <v>23819</v>
      </c>
      <c r="F381" t="s">
        <v>4947</v>
      </c>
      <c r="G381">
        <v>1</v>
      </c>
      <c r="H381" t="s">
        <v>4736</v>
      </c>
      <c r="I381" t="s">
        <v>459</v>
      </c>
    </row>
    <row r="382" spans="1:9" x14ac:dyDescent="0.3">
      <c r="A382">
        <v>66178</v>
      </c>
      <c r="B382">
        <v>105</v>
      </c>
      <c r="C382" s="452">
        <v>46023</v>
      </c>
      <c r="D382" t="s">
        <v>557</v>
      </c>
      <c r="E382">
        <v>20809</v>
      </c>
      <c r="F382" t="s">
        <v>4822</v>
      </c>
      <c r="G382">
        <v>5</v>
      </c>
      <c r="H382" t="s">
        <v>4738</v>
      </c>
      <c r="I382" t="s">
        <v>459</v>
      </c>
    </row>
    <row r="383" spans="1:9" x14ac:dyDescent="0.3">
      <c r="A383">
        <v>66179</v>
      </c>
      <c r="B383">
        <v>105</v>
      </c>
      <c r="C383" s="452">
        <v>46023</v>
      </c>
      <c r="D383" t="s">
        <v>557</v>
      </c>
      <c r="E383">
        <v>24638</v>
      </c>
      <c r="F383" t="s">
        <v>4948</v>
      </c>
      <c r="G383">
        <v>2</v>
      </c>
      <c r="H383" t="s">
        <v>4749</v>
      </c>
      <c r="I383" t="s">
        <v>459</v>
      </c>
    </row>
    <row r="384" spans="1:9" x14ac:dyDescent="0.3">
      <c r="A384">
        <v>66180</v>
      </c>
      <c r="B384">
        <v>105</v>
      </c>
      <c r="C384" s="452">
        <v>46023</v>
      </c>
      <c r="D384" t="s">
        <v>557</v>
      </c>
      <c r="E384">
        <v>25358</v>
      </c>
      <c r="F384" t="s">
        <v>4980</v>
      </c>
      <c r="G384">
        <v>3</v>
      </c>
      <c r="H384" t="s">
        <v>4744</v>
      </c>
      <c r="I384" t="s">
        <v>459</v>
      </c>
    </row>
    <row r="385" spans="1:9" x14ac:dyDescent="0.3">
      <c r="A385">
        <v>66181</v>
      </c>
      <c r="B385">
        <v>105</v>
      </c>
      <c r="C385" s="452">
        <v>46023</v>
      </c>
      <c r="D385" t="s">
        <v>557</v>
      </c>
      <c r="E385">
        <v>20054</v>
      </c>
      <c r="F385" t="s">
        <v>4856</v>
      </c>
      <c r="G385">
        <v>11</v>
      </c>
      <c r="H385" t="s">
        <v>4736</v>
      </c>
      <c r="I385" t="s">
        <v>459</v>
      </c>
    </row>
    <row r="386" spans="1:9" x14ac:dyDescent="0.3">
      <c r="A386">
        <v>66182</v>
      </c>
      <c r="B386">
        <v>105</v>
      </c>
      <c r="C386" s="452">
        <v>46023</v>
      </c>
      <c r="D386" t="s">
        <v>557</v>
      </c>
      <c r="E386">
        <v>20057</v>
      </c>
      <c r="F386" t="s">
        <v>4949</v>
      </c>
      <c r="G386">
        <v>2</v>
      </c>
      <c r="H386" t="s">
        <v>4736</v>
      </c>
      <c r="I386" t="s">
        <v>459</v>
      </c>
    </row>
    <row r="387" spans="1:9" x14ac:dyDescent="0.3">
      <c r="A387">
        <v>66183</v>
      </c>
      <c r="B387">
        <v>105</v>
      </c>
      <c r="C387" s="452">
        <v>46023</v>
      </c>
      <c r="D387" t="s">
        <v>557</v>
      </c>
      <c r="E387">
        <v>20716</v>
      </c>
      <c r="F387" t="s">
        <v>5053</v>
      </c>
      <c r="G387">
        <v>2.62</v>
      </c>
      <c r="H387" t="s">
        <v>4744</v>
      </c>
      <c r="I387" t="s">
        <v>459</v>
      </c>
    </row>
    <row r="388" spans="1:9" x14ac:dyDescent="0.3">
      <c r="A388">
        <v>66184</v>
      </c>
      <c r="B388">
        <v>105</v>
      </c>
      <c r="C388" s="452">
        <v>46023</v>
      </c>
      <c r="D388" t="s">
        <v>557</v>
      </c>
      <c r="E388">
        <v>20044</v>
      </c>
      <c r="F388" t="s">
        <v>4932</v>
      </c>
      <c r="G388">
        <v>2</v>
      </c>
      <c r="H388" t="s">
        <v>4744</v>
      </c>
      <c r="I388" t="s">
        <v>459</v>
      </c>
    </row>
    <row r="389" spans="1:9" x14ac:dyDescent="0.3">
      <c r="A389">
        <v>66185</v>
      </c>
      <c r="B389">
        <v>105</v>
      </c>
      <c r="C389" s="452">
        <v>46023</v>
      </c>
      <c r="D389" t="s">
        <v>557</v>
      </c>
      <c r="E389">
        <v>20928</v>
      </c>
      <c r="F389" t="s">
        <v>4950</v>
      </c>
      <c r="G389">
        <v>2</v>
      </c>
      <c r="H389" t="s">
        <v>4736</v>
      </c>
      <c r="I389" t="s">
        <v>459</v>
      </c>
    </row>
    <row r="390" spans="1:9" x14ac:dyDescent="0.3">
      <c r="A390">
        <v>66186</v>
      </c>
      <c r="B390">
        <v>105</v>
      </c>
      <c r="C390" s="452">
        <v>46023</v>
      </c>
      <c r="D390" t="s">
        <v>557</v>
      </c>
      <c r="E390">
        <v>25807</v>
      </c>
      <c r="F390" t="s">
        <v>4951</v>
      </c>
      <c r="G390">
        <v>1</v>
      </c>
      <c r="H390" t="s">
        <v>4736</v>
      </c>
      <c r="I390" t="s">
        <v>459</v>
      </c>
    </row>
    <row r="391" spans="1:9" x14ac:dyDescent="0.3">
      <c r="A391">
        <v>66187</v>
      </c>
      <c r="B391">
        <v>105</v>
      </c>
      <c r="C391" s="452">
        <v>46023</v>
      </c>
      <c r="D391" t="s">
        <v>557</v>
      </c>
      <c r="E391">
        <v>25079</v>
      </c>
      <c r="F391" t="s">
        <v>5006</v>
      </c>
      <c r="G391">
        <v>1</v>
      </c>
      <c r="H391" t="s">
        <v>4738</v>
      </c>
      <c r="I391" t="s">
        <v>459</v>
      </c>
    </row>
    <row r="392" spans="1:9" x14ac:dyDescent="0.3">
      <c r="A392">
        <v>66188</v>
      </c>
      <c r="B392">
        <v>105</v>
      </c>
      <c r="C392" s="452">
        <v>46023</v>
      </c>
      <c r="D392" t="s">
        <v>557</v>
      </c>
      <c r="E392">
        <v>23539</v>
      </c>
      <c r="F392" t="s">
        <v>4995</v>
      </c>
      <c r="G392">
        <v>3.5</v>
      </c>
      <c r="H392" t="s">
        <v>4744</v>
      </c>
      <c r="I392" t="s">
        <v>459</v>
      </c>
    </row>
    <row r="393" spans="1:9" x14ac:dyDescent="0.3">
      <c r="A393">
        <v>66189</v>
      </c>
      <c r="B393">
        <v>105</v>
      </c>
      <c r="C393" s="452">
        <v>46023</v>
      </c>
      <c r="D393" t="s">
        <v>557</v>
      </c>
      <c r="E393">
        <v>20549</v>
      </c>
      <c r="F393" t="s">
        <v>4823</v>
      </c>
      <c r="G393">
        <v>40.4</v>
      </c>
      <c r="H393" t="s">
        <v>4744</v>
      </c>
      <c r="I393" t="s">
        <v>459</v>
      </c>
    </row>
    <row r="394" spans="1:9" x14ac:dyDescent="0.3">
      <c r="A394">
        <v>66190</v>
      </c>
      <c r="B394">
        <v>105</v>
      </c>
      <c r="C394" s="452">
        <v>46023</v>
      </c>
      <c r="D394" t="s">
        <v>557</v>
      </c>
      <c r="E394">
        <v>21257</v>
      </c>
      <c r="F394" t="s">
        <v>4952</v>
      </c>
      <c r="G394">
        <v>2</v>
      </c>
      <c r="H394" t="s">
        <v>4736</v>
      </c>
      <c r="I394" t="s">
        <v>459</v>
      </c>
    </row>
    <row r="395" spans="1:9" x14ac:dyDescent="0.3">
      <c r="A395">
        <v>66191</v>
      </c>
      <c r="B395">
        <v>105</v>
      </c>
      <c r="C395" s="452">
        <v>46023</v>
      </c>
      <c r="D395" t="s">
        <v>557</v>
      </c>
      <c r="E395">
        <v>20034</v>
      </c>
      <c r="F395" t="s">
        <v>5065</v>
      </c>
      <c r="G395">
        <v>0.3</v>
      </c>
      <c r="H395" t="s">
        <v>4744</v>
      </c>
      <c r="I395" t="s">
        <v>459</v>
      </c>
    </row>
    <row r="396" spans="1:9" x14ac:dyDescent="0.3">
      <c r="A396">
        <v>66192</v>
      </c>
      <c r="B396">
        <v>105</v>
      </c>
      <c r="C396" s="452">
        <v>46023</v>
      </c>
      <c r="D396" t="s">
        <v>557</v>
      </c>
      <c r="E396">
        <v>20672</v>
      </c>
      <c r="F396" t="s">
        <v>4857</v>
      </c>
      <c r="G396">
        <v>4</v>
      </c>
      <c r="H396" t="s">
        <v>4738</v>
      </c>
      <c r="I396" t="s">
        <v>459</v>
      </c>
    </row>
    <row r="397" spans="1:9" x14ac:dyDescent="0.3">
      <c r="A397">
        <v>66193</v>
      </c>
      <c r="B397">
        <v>105</v>
      </c>
      <c r="C397" s="452">
        <v>46023</v>
      </c>
      <c r="D397" t="s">
        <v>557</v>
      </c>
      <c r="E397">
        <v>25167</v>
      </c>
      <c r="F397" t="s">
        <v>4758</v>
      </c>
      <c r="G397">
        <v>35</v>
      </c>
      <c r="H397" t="s">
        <v>4744</v>
      </c>
      <c r="I397" t="s">
        <v>459</v>
      </c>
    </row>
    <row r="398" spans="1:9" x14ac:dyDescent="0.3">
      <c r="A398">
        <v>66194</v>
      </c>
      <c r="B398">
        <v>105</v>
      </c>
      <c r="C398" s="452">
        <v>46023</v>
      </c>
      <c r="D398" t="s">
        <v>557</v>
      </c>
      <c r="E398">
        <v>20382</v>
      </c>
      <c r="F398" t="s">
        <v>4780</v>
      </c>
      <c r="G398">
        <v>9</v>
      </c>
      <c r="H398" t="s">
        <v>4738</v>
      </c>
      <c r="I398" t="s">
        <v>459</v>
      </c>
    </row>
    <row r="399" spans="1:9" x14ac:dyDescent="0.3">
      <c r="A399">
        <v>66195</v>
      </c>
      <c r="B399">
        <v>105</v>
      </c>
      <c r="C399" s="452">
        <v>46023</v>
      </c>
      <c r="D399" t="s">
        <v>557</v>
      </c>
      <c r="E399">
        <v>20322</v>
      </c>
      <c r="F399" t="s">
        <v>4882</v>
      </c>
      <c r="G399">
        <v>4.0999999999999996</v>
      </c>
      <c r="H399" t="s">
        <v>4738</v>
      </c>
      <c r="I399" t="s">
        <v>459</v>
      </c>
    </row>
    <row r="400" spans="1:9" x14ac:dyDescent="0.3">
      <c r="A400">
        <v>66196</v>
      </c>
      <c r="B400">
        <v>105</v>
      </c>
      <c r="C400" s="452">
        <v>46023</v>
      </c>
      <c r="D400" t="s">
        <v>557</v>
      </c>
      <c r="E400">
        <v>20365</v>
      </c>
      <c r="F400" t="s">
        <v>4796</v>
      </c>
      <c r="G400">
        <v>4.2</v>
      </c>
      <c r="H400" t="s">
        <v>4736</v>
      </c>
      <c r="I400" t="s">
        <v>459</v>
      </c>
    </row>
    <row r="401" spans="1:9" x14ac:dyDescent="0.3">
      <c r="A401">
        <v>66197</v>
      </c>
      <c r="B401">
        <v>105</v>
      </c>
      <c r="C401" s="452">
        <v>46023</v>
      </c>
      <c r="D401" t="s">
        <v>557</v>
      </c>
      <c r="E401">
        <v>20358</v>
      </c>
      <c r="F401" t="s">
        <v>4911</v>
      </c>
      <c r="G401">
        <v>3</v>
      </c>
      <c r="H401" t="s">
        <v>4738</v>
      </c>
      <c r="I401" t="s">
        <v>459</v>
      </c>
    </row>
    <row r="402" spans="1:9" x14ac:dyDescent="0.3">
      <c r="A402">
        <v>66198</v>
      </c>
      <c r="B402">
        <v>105</v>
      </c>
      <c r="C402" s="452">
        <v>46023</v>
      </c>
      <c r="D402" t="s">
        <v>557</v>
      </c>
      <c r="E402">
        <v>20242</v>
      </c>
      <c r="F402" t="s">
        <v>4824</v>
      </c>
      <c r="G402">
        <v>6</v>
      </c>
      <c r="H402" t="s">
        <v>4738</v>
      </c>
      <c r="I402" t="s">
        <v>459</v>
      </c>
    </row>
    <row r="403" spans="1:9" x14ac:dyDescent="0.3">
      <c r="A403">
        <v>66199</v>
      </c>
      <c r="B403">
        <v>105</v>
      </c>
      <c r="C403" s="452">
        <v>46023</v>
      </c>
      <c r="D403" t="s">
        <v>557</v>
      </c>
      <c r="E403">
        <v>23635</v>
      </c>
      <c r="F403" t="s">
        <v>4837</v>
      </c>
      <c r="G403">
        <v>6</v>
      </c>
      <c r="H403" t="s">
        <v>4744</v>
      </c>
      <c r="I403" t="s">
        <v>459</v>
      </c>
    </row>
    <row r="404" spans="1:9" x14ac:dyDescent="0.3">
      <c r="A404">
        <v>66200</v>
      </c>
      <c r="B404">
        <v>105</v>
      </c>
      <c r="C404" s="452">
        <v>46023</v>
      </c>
      <c r="D404" t="s">
        <v>557</v>
      </c>
      <c r="E404">
        <v>20227</v>
      </c>
      <c r="F404" t="s">
        <v>4825</v>
      </c>
      <c r="G404">
        <v>6</v>
      </c>
      <c r="H404" t="s">
        <v>4738</v>
      </c>
      <c r="I404" t="s">
        <v>459</v>
      </c>
    </row>
    <row r="405" spans="1:9" x14ac:dyDescent="0.3">
      <c r="A405">
        <v>66201</v>
      </c>
      <c r="B405">
        <v>105</v>
      </c>
      <c r="C405" s="452">
        <v>46023</v>
      </c>
      <c r="D405" t="s">
        <v>557</v>
      </c>
      <c r="E405">
        <v>20234</v>
      </c>
      <c r="F405" t="s">
        <v>5009</v>
      </c>
      <c r="G405">
        <v>1</v>
      </c>
      <c r="H405" t="s">
        <v>4744</v>
      </c>
      <c r="I405" t="s">
        <v>459</v>
      </c>
    </row>
    <row r="406" spans="1:9" x14ac:dyDescent="0.3">
      <c r="A406">
        <v>66202</v>
      </c>
      <c r="B406">
        <v>105</v>
      </c>
      <c r="C406" s="452">
        <v>46023</v>
      </c>
      <c r="D406" t="s">
        <v>557</v>
      </c>
      <c r="E406">
        <v>20025</v>
      </c>
      <c r="F406" t="s">
        <v>5010</v>
      </c>
      <c r="G406">
        <v>2</v>
      </c>
      <c r="H406" t="s">
        <v>4736</v>
      </c>
      <c r="I406" t="s">
        <v>459</v>
      </c>
    </row>
    <row r="407" spans="1:9" x14ac:dyDescent="0.3">
      <c r="A407">
        <v>66203</v>
      </c>
      <c r="B407">
        <v>105</v>
      </c>
      <c r="C407" s="452">
        <v>46023</v>
      </c>
      <c r="D407" t="s">
        <v>557</v>
      </c>
      <c r="E407">
        <v>24272</v>
      </c>
      <c r="F407" t="s">
        <v>5059</v>
      </c>
      <c r="G407">
        <v>1.5</v>
      </c>
      <c r="H407" t="s">
        <v>4744</v>
      </c>
      <c r="I407" t="s">
        <v>459</v>
      </c>
    </row>
    <row r="408" spans="1:9" x14ac:dyDescent="0.3">
      <c r="A408">
        <v>66204</v>
      </c>
      <c r="B408">
        <v>105</v>
      </c>
      <c r="C408" s="452">
        <v>46023</v>
      </c>
      <c r="D408" t="s">
        <v>557</v>
      </c>
      <c r="E408">
        <v>21021</v>
      </c>
      <c r="F408" t="s">
        <v>4883</v>
      </c>
      <c r="G408">
        <v>2</v>
      </c>
      <c r="H408" t="s">
        <v>4884</v>
      </c>
      <c r="I408" t="s">
        <v>459</v>
      </c>
    </row>
    <row r="409" spans="1:9" x14ac:dyDescent="0.3">
      <c r="A409">
        <v>66205</v>
      </c>
      <c r="B409">
        <v>105</v>
      </c>
      <c r="C409" s="452">
        <v>46023</v>
      </c>
      <c r="D409" t="s">
        <v>557</v>
      </c>
      <c r="E409">
        <v>24302</v>
      </c>
      <c r="F409" t="s">
        <v>4813</v>
      </c>
      <c r="G409">
        <v>6</v>
      </c>
      <c r="H409" t="s">
        <v>4744</v>
      </c>
      <c r="I409" t="s">
        <v>459</v>
      </c>
    </row>
    <row r="410" spans="1:9" x14ac:dyDescent="0.3">
      <c r="A410">
        <v>66206</v>
      </c>
      <c r="B410">
        <v>105</v>
      </c>
      <c r="C410" s="452">
        <v>46023</v>
      </c>
      <c r="D410" t="s">
        <v>557</v>
      </c>
      <c r="E410">
        <v>20660</v>
      </c>
      <c r="F410" t="s">
        <v>5011</v>
      </c>
      <c r="G410">
        <v>2</v>
      </c>
      <c r="H410" t="s">
        <v>4955</v>
      </c>
      <c r="I410" t="s">
        <v>459</v>
      </c>
    </row>
    <row r="411" spans="1:9" x14ac:dyDescent="0.3">
      <c r="A411">
        <v>66207</v>
      </c>
      <c r="B411">
        <v>105</v>
      </c>
      <c r="C411" s="452">
        <v>46023</v>
      </c>
      <c r="D411" t="s">
        <v>557</v>
      </c>
      <c r="E411">
        <v>20653</v>
      </c>
      <c r="F411" t="s">
        <v>5013</v>
      </c>
      <c r="G411">
        <v>1</v>
      </c>
      <c r="H411" t="s">
        <v>4736</v>
      </c>
      <c r="I411" t="s">
        <v>459</v>
      </c>
    </row>
    <row r="412" spans="1:9" x14ac:dyDescent="0.3">
      <c r="A412">
        <v>66208</v>
      </c>
      <c r="B412">
        <v>105</v>
      </c>
      <c r="C412" s="452">
        <v>46023</v>
      </c>
      <c r="D412" t="s">
        <v>557</v>
      </c>
      <c r="E412">
        <v>24323</v>
      </c>
      <c r="F412" t="s">
        <v>4844</v>
      </c>
      <c r="G412">
        <v>5.8</v>
      </c>
      <c r="H412" t="s">
        <v>4744</v>
      </c>
      <c r="I412" t="s">
        <v>459</v>
      </c>
    </row>
    <row r="413" spans="1:9" x14ac:dyDescent="0.3">
      <c r="A413">
        <v>66209</v>
      </c>
      <c r="B413">
        <v>105</v>
      </c>
      <c r="C413" s="452">
        <v>46023</v>
      </c>
      <c r="D413" t="s">
        <v>557</v>
      </c>
      <c r="E413">
        <v>20521</v>
      </c>
      <c r="F413" t="s">
        <v>4797</v>
      </c>
      <c r="G413">
        <v>18.100000000000001</v>
      </c>
      <c r="H413" t="s">
        <v>4744</v>
      </c>
      <c r="I413" t="s">
        <v>459</v>
      </c>
    </row>
    <row r="414" spans="1:9" x14ac:dyDescent="0.3">
      <c r="A414">
        <v>66210</v>
      </c>
      <c r="B414">
        <v>105</v>
      </c>
      <c r="C414" s="452">
        <v>46023</v>
      </c>
      <c r="D414" t="s">
        <v>557</v>
      </c>
      <c r="E414">
        <v>20138</v>
      </c>
      <c r="F414" t="s">
        <v>4886</v>
      </c>
      <c r="G414">
        <v>6</v>
      </c>
      <c r="H414" t="s">
        <v>4738</v>
      </c>
      <c r="I414" t="s">
        <v>459</v>
      </c>
    </row>
    <row r="415" spans="1:9" x14ac:dyDescent="0.3">
      <c r="A415">
        <v>66211</v>
      </c>
      <c r="B415">
        <v>105</v>
      </c>
      <c r="C415" s="452">
        <v>46023</v>
      </c>
      <c r="D415" t="s">
        <v>557</v>
      </c>
      <c r="E415">
        <v>25022</v>
      </c>
      <c r="F415" t="s">
        <v>4912</v>
      </c>
      <c r="G415">
        <v>1</v>
      </c>
      <c r="H415" t="s">
        <v>4738</v>
      </c>
      <c r="I415" t="s">
        <v>459</v>
      </c>
    </row>
    <row r="416" spans="1:9" x14ac:dyDescent="0.3">
      <c r="A416">
        <v>66212</v>
      </c>
      <c r="B416">
        <v>105</v>
      </c>
      <c r="C416" s="452">
        <v>46023</v>
      </c>
      <c r="D416" t="s">
        <v>557</v>
      </c>
      <c r="E416">
        <v>20122</v>
      </c>
      <c r="F416" t="s">
        <v>4781</v>
      </c>
      <c r="G416">
        <v>6</v>
      </c>
      <c r="H416" t="s">
        <v>4738</v>
      </c>
      <c r="I416" t="s">
        <v>459</v>
      </c>
    </row>
    <row r="417" spans="1:9" x14ac:dyDescent="0.3">
      <c r="A417">
        <v>66213</v>
      </c>
      <c r="B417">
        <v>105</v>
      </c>
      <c r="C417" s="452">
        <v>46023</v>
      </c>
      <c r="D417" t="s">
        <v>557</v>
      </c>
      <c r="E417">
        <v>25075</v>
      </c>
      <c r="F417" t="s">
        <v>4790</v>
      </c>
      <c r="G417">
        <v>6</v>
      </c>
      <c r="H417" t="s">
        <v>4738</v>
      </c>
      <c r="I417" t="s">
        <v>459</v>
      </c>
    </row>
    <row r="418" spans="1:9" x14ac:dyDescent="0.3">
      <c r="A418">
        <v>66214</v>
      </c>
      <c r="B418">
        <v>105</v>
      </c>
      <c r="C418" s="452">
        <v>46023</v>
      </c>
      <c r="D418" t="s">
        <v>557</v>
      </c>
      <c r="E418">
        <v>20887</v>
      </c>
      <c r="F418" t="s">
        <v>4953</v>
      </c>
      <c r="G418">
        <v>1</v>
      </c>
      <c r="H418" t="s">
        <v>4879</v>
      </c>
      <c r="I418" t="s">
        <v>459</v>
      </c>
    </row>
    <row r="419" spans="1:9" x14ac:dyDescent="0.3">
      <c r="A419">
        <v>66215</v>
      </c>
      <c r="B419">
        <v>105</v>
      </c>
      <c r="C419" s="452">
        <v>46023</v>
      </c>
      <c r="D419" t="s">
        <v>557</v>
      </c>
      <c r="E419">
        <v>20871</v>
      </c>
      <c r="F419" t="s">
        <v>5015</v>
      </c>
      <c r="G419">
        <v>3</v>
      </c>
      <c r="H419" t="s">
        <v>4879</v>
      </c>
      <c r="I419" t="s">
        <v>459</v>
      </c>
    </row>
    <row r="420" spans="1:9" x14ac:dyDescent="0.3">
      <c r="A420">
        <v>66216</v>
      </c>
      <c r="B420">
        <v>105</v>
      </c>
      <c r="C420" s="452">
        <v>46023</v>
      </c>
      <c r="D420" t="s">
        <v>557</v>
      </c>
      <c r="E420">
        <v>19978</v>
      </c>
      <c r="F420" t="s">
        <v>4887</v>
      </c>
      <c r="G420">
        <v>3</v>
      </c>
      <c r="H420" t="s">
        <v>4888</v>
      </c>
      <c r="I420" t="s">
        <v>459</v>
      </c>
    </row>
    <row r="421" spans="1:9" x14ac:dyDescent="0.3">
      <c r="A421">
        <v>66217</v>
      </c>
      <c r="B421">
        <v>105</v>
      </c>
      <c r="C421" s="452">
        <v>46023</v>
      </c>
      <c r="D421" t="s">
        <v>557</v>
      </c>
      <c r="E421">
        <v>23515</v>
      </c>
      <c r="F421" t="s">
        <v>4816</v>
      </c>
      <c r="G421">
        <v>6</v>
      </c>
      <c r="H421" t="s">
        <v>4736</v>
      </c>
      <c r="I421" t="s">
        <v>459</v>
      </c>
    </row>
    <row r="422" spans="1:9" x14ac:dyDescent="0.3">
      <c r="A422">
        <v>66218</v>
      </c>
      <c r="B422">
        <v>105</v>
      </c>
      <c r="C422" s="452">
        <v>46023</v>
      </c>
      <c r="D422" t="s">
        <v>557</v>
      </c>
      <c r="E422">
        <v>19993</v>
      </c>
      <c r="F422" t="s">
        <v>4954</v>
      </c>
      <c r="G422">
        <v>1</v>
      </c>
      <c r="H422" t="s">
        <v>4955</v>
      </c>
      <c r="I422" t="s">
        <v>459</v>
      </c>
    </row>
    <row r="423" spans="1:9" x14ac:dyDescent="0.3">
      <c r="A423">
        <v>66219</v>
      </c>
      <c r="B423">
        <v>105</v>
      </c>
      <c r="C423" s="452">
        <v>46023</v>
      </c>
      <c r="D423" t="s">
        <v>557</v>
      </c>
      <c r="E423">
        <v>19983</v>
      </c>
      <c r="F423" t="s">
        <v>5068</v>
      </c>
      <c r="G423">
        <v>1</v>
      </c>
      <c r="H423" t="s">
        <v>4888</v>
      </c>
      <c r="I423" t="s">
        <v>459</v>
      </c>
    </row>
    <row r="424" spans="1:9" x14ac:dyDescent="0.3">
      <c r="A424">
        <v>66220</v>
      </c>
      <c r="B424">
        <v>105</v>
      </c>
      <c r="C424" s="452">
        <v>46023</v>
      </c>
      <c r="D424" t="s">
        <v>557</v>
      </c>
      <c r="E424">
        <v>19964</v>
      </c>
      <c r="F424" t="s">
        <v>4817</v>
      </c>
      <c r="G424">
        <v>6</v>
      </c>
      <c r="H424" t="s">
        <v>4736</v>
      </c>
      <c r="I424" t="s">
        <v>459</v>
      </c>
    </row>
    <row r="425" spans="1:9" x14ac:dyDescent="0.3">
      <c r="A425">
        <v>66221</v>
      </c>
      <c r="B425">
        <v>105</v>
      </c>
      <c r="C425" s="452">
        <v>46023</v>
      </c>
      <c r="D425" t="s">
        <v>557</v>
      </c>
      <c r="E425">
        <v>19967</v>
      </c>
      <c r="F425" t="s">
        <v>4956</v>
      </c>
      <c r="G425">
        <v>2</v>
      </c>
      <c r="H425" t="s">
        <v>4888</v>
      </c>
      <c r="I425" t="s">
        <v>459</v>
      </c>
    </row>
    <row r="426" spans="1:9" x14ac:dyDescent="0.3">
      <c r="A426">
        <v>66222</v>
      </c>
      <c r="B426">
        <v>105</v>
      </c>
      <c r="C426" s="452">
        <v>46023</v>
      </c>
      <c r="D426" t="s">
        <v>557</v>
      </c>
      <c r="E426">
        <v>19955</v>
      </c>
      <c r="F426" t="s">
        <v>4985</v>
      </c>
      <c r="G426">
        <v>1</v>
      </c>
      <c r="H426" t="s">
        <v>4736</v>
      </c>
      <c r="I426" t="s">
        <v>459</v>
      </c>
    </row>
    <row r="427" spans="1:9" x14ac:dyDescent="0.3">
      <c r="A427">
        <v>66223</v>
      </c>
      <c r="B427">
        <v>105</v>
      </c>
      <c r="C427" s="452">
        <v>46023</v>
      </c>
      <c r="D427" t="s">
        <v>557</v>
      </c>
      <c r="E427">
        <v>19939</v>
      </c>
      <c r="F427" t="s">
        <v>5057</v>
      </c>
      <c r="G427">
        <v>0.4</v>
      </c>
      <c r="H427" t="s">
        <v>4744</v>
      </c>
      <c r="I427" t="s">
        <v>459</v>
      </c>
    </row>
    <row r="428" spans="1:9" x14ac:dyDescent="0.3">
      <c r="A428">
        <v>66224</v>
      </c>
      <c r="B428">
        <v>105</v>
      </c>
      <c r="C428" s="452">
        <v>46023</v>
      </c>
      <c r="D428" t="s">
        <v>557</v>
      </c>
      <c r="E428">
        <v>27397</v>
      </c>
      <c r="F428" t="s">
        <v>4913</v>
      </c>
      <c r="G428">
        <v>2</v>
      </c>
      <c r="H428" t="s">
        <v>4736</v>
      </c>
      <c r="I428" t="s">
        <v>459</v>
      </c>
    </row>
    <row r="429" spans="1:9" x14ac:dyDescent="0.3">
      <c r="A429">
        <v>66225</v>
      </c>
      <c r="B429">
        <v>105</v>
      </c>
      <c r="C429" s="452">
        <v>46023</v>
      </c>
      <c r="D429" t="s">
        <v>557</v>
      </c>
      <c r="E429">
        <v>21000</v>
      </c>
      <c r="F429" t="s">
        <v>4818</v>
      </c>
      <c r="G429">
        <v>1</v>
      </c>
      <c r="H429" t="s">
        <v>4736</v>
      </c>
      <c r="I429" t="s">
        <v>459</v>
      </c>
    </row>
    <row r="430" spans="1:9" x14ac:dyDescent="0.3">
      <c r="A430">
        <v>66226</v>
      </c>
      <c r="B430">
        <v>105</v>
      </c>
      <c r="C430" s="452">
        <v>46023</v>
      </c>
      <c r="D430" t="s">
        <v>557</v>
      </c>
      <c r="E430">
        <v>23503</v>
      </c>
      <c r="F430" t="s">
        <v>5048</v>
      </c>
      <c r="G430">
        <v>2</v>
      </c>
      <c r="H430" t="s">
        <v>4744</v>
      </c>
      <c r="I430" t="s">
        <v>459</v>
      </c>
    </row>
    <row r="431" spans="1:9" x14ac:dyDescent="0.3">
      <c r="A431">
        <v>66227</v>
      </c>
      <c r="B431">
        <v>105</v>
      </c>
      <c r="C431" s="452">
        <v>46023</v>
      </c>
      <c r="D431" t="s">
        <v>557</v>
      </c>
      <c r="E431">
        <v>23785</v>
      </c>
      <c r="F431" t="s">
        <v>4858</v>
      </c>
      <c r="G431">
        <v>4</v>
      </c>
      <c r="H431" t="s">
        <v>4744</v>
      </c>
      <c r="I431" t="s">
        <v>459</v>
      </c>
    </row>
    <row r="432" spans="1:9" x14ac:dyDescent="0.3">
      <c r="A432">
        <v>66228</v>
      </c>
      <c r="B432">
        <v>105</v>
      </c>
      <c r="C432" s="452">
        <v>46023</v>
      </c>
      <c r="D432" t="s">
        <v>557</v>
      </c>
      <c r="E432">
        <v>20623</v>
      </c>
      <c r="F432" t="s">
        <v>4814</v>
      </c>
      <c r="G432">
        <v>7.3</v>
      </c>
      <c r="H432" t="s">
        <v>4736</v>
      </c>
      <c r="I432" t="s">
        <v>459</v>
      </c>
    </row>
    <row r="433" spans="1:9" x14ac:dyDescent="0.3">
      <c r="A433">
        <v>66229</v>
      </c>
      <c r="B433">
        <v>105</v>
      </c>
      <c r="C433" s="452">
        <v>46023</v>
      </c>
      <c r="D433" t="s">
        <v>557</v>
      </c>
      <c r="E433">
        <v>20624</v>
      </c>
      <c r="F433" t="s">
        <v>5019</v>
      </c>
      <c r="G433">
        <v>1</v>
      </c>
      <c r="H433" t="s">
        <v>4884</v>
      </c>
      <c r="I433" t="s">
        <v>459</v>
      </c>
    </row>
    <row r="434" spans="1:9" x14ac:dyDescent="0.3">
      <c r="A434">
        <v>66230</v>
      </c>
      <c r="B434">
        <v>105</v>
      </c>
      <c r="C434" s="452">
        <v>46023</v>
      </c>
      <c r="D434" t="s">
        <v>557</v>
      </c>
      <c r="E434">
        <v>23502</v>
      </c>
      <c r="F434" t="s">
        <v>4930</v>
      </c>
      <c r="G434">
        <v>2.42</v>
      </c>
      <c r="H434" t="s">
        <v>4736</v>
      </c>
      <c r="I434" t="s">
        <v>459</v>
      </c>
    </row>
    <row r="435" spans="1:9" x14ac:dyDescent="0.3">
      <c r="A435">
        <v>66231</v>
      </c>
      <c r="B435">
        <v>105</v>
      </c>
      <c r="C435" s="452">
        <v>46023</v>
      </c>
      <c r="D435" t="s">
        <v>557</v>
      </c>
      <c r="E435">
        <v>23494</v>
      </c>
      <c r="F435" t="s">
        <v>4991</v>
      </c>
      <c r="G435">
        <v>3</v>
      </c>
      <c r="H435" t="s">
        <v>4744</v>
      </c>
      <c r="I435" t="s">
        <v>459</v>
      </c>
    </row>
    <row r="436" spans="1:9" x14ac:dyDescent="0.3">
      <c r="A436">
        <v>66232</v>
      </c>
      <c r="B436">
        <v>105</v>
      </c>
      <c r="C436" s="452">
        <v>46023</v>
      </c>
      <c r="D436" t="s">
        <v>557</v>
      </c>
      <c r="E436">
        <v>19923</v>
      </c>
      <c r="F436" t="s">
        <v>5069</v>
      </c>
      <c r="G436">
        <v>3</v>
      </c>
      <c r="H436" t="s">
        <v>4738</v>
      </c>
      <c r="I436" t="s">
        <v>459</v>
      </c>
    </row>
    <row r="437" spans="1:9" x14ac:dyDescent="0.3">
      <c r="A437">
        <v>66233</v>
      </c>
      <c r="B437">
        <v>105</v>
      </c>
      <c r="C437" s="452">
        <v>46023</v>
      </c>
      <c r="D437" t="s">
        <v>557</v>
      </c>
      <c r="E437">
        <v>20206</v>
      </c>
      <c r="F437" t="s">
        <v>4914</v>
      </c>
      <c r="G437">
        <v>2</v>
      </c>
      <c r="H437" t="s">
        <v>4736</v>
      </c>
      <c r="I437" t="s">
        <v>459</v>
      </c>
    </row>
    <row r="438" spans="1:9" x14ac:dyDescent="0.3">
      <c r="A438">
        <v>66234</v>
      </c>
      <c r="B438">
        <v>105</v>
      </c>
      <c r="C438" s="452">
        <v>46023</v>
      </c>
      <c r="D438" t="s">
        <v>557</v>
      </c>
      <c r="E438">
        <v>20207</v>
      </c>
      <c r="F438" t="s">
        <v>4929</v>
      </c>
      <c r="G438">
        <v>4.45</v>
      </c>
      <c r="H438" t="s">
        <v>4744</v>
      </c>
      <c r="I438" t="s">
        <v>459</v>
      </c>
    </row>
    <row r="439" spans="1:9" x14ac:dyDescent="0.3">
      <c r="A439">
        <v>66235</v>
      </c>
      <c r="B439">
        <v>105</v>
      </c>
      <c r="C439" s="452">
        <v>46023</v>
      </c>
      <c r="D439" t="s">
        <v>557</v>
      </c>
      <c r="E439">
        <v>19916</v>
      </c>
      <c r="F439" t="s">
        <v>4826</v>
      </c>
      <c r="G439">
        <v>4</v>
      </c>
      <c r="H439" t="s">
        <v>4738</v>
      </c>
      <c r="I439" t="s">
        <v>459</v>
      </c>
    </row>
    <row r="440" spans="1:9" x14ac:dyDescent="0.3">
      <c r="A440">
        <v>66236</v>
      </c>
      <c r="B440">
        <v>105</v>
      </c>
      <c r="C440" s="452">
        <v>46023</v>
      </c>
      <c r="D440" t="s">
        <v>557</v>
      </c>
      <c r="E440">
        <v>19907</v>
      </c>
      <c r="F440" t="s">
        <v>4802</v>
      </c>
      <c r="G440">
        <v>5</v>
      </c>
      <c r="H440" t="s">
        <v>4736</v>
      </c>
      <c r="I440" t="s">
        <v>459</v>
      </c>
    </row>
    <row r="441" spans="1:9" x14ac:dyDescent="0.3">
      <c r="A441">
        <v>66237</v>
      </c>
      <c r="B441">
        <v>105</v>
      </c>
      <c r="C441" s="452">
        <v>46023</v>
      </c>
      <c r="D441" t="s">
        <v>557</v>
      </c>
      <c r="E441">
        <v>20186</v>
      </c>
      <c r="F441" t="s">
        <v>5061</v>
      </c>
      <c r="G441">
        <v>1</v>
      </c>
      <c r="H441" t="s">
        <v>4744</v>
      </c>
      <c r="I441" t="s">
        <v>459</v>
      </c>
    </row>
    <row r="442" spans="1:9" x14ac:dyDescent="0.3">
      <c r="A442">
        <v>66238</v>
      </c>
      <c r="B442">
        <v>105</v>
      </c>
      <c r="C442" s="452">
        <v>46023</v>
      </c>
      <c r="D442" t="s">
        <v>557</v>
      </c>
      <c r="E442">
        <v>20791</v>
      </c>
      <c r="F442" t="s">
        <v>5021</v>
      </c>
      <c r="G442">
        <v>2</v>
      </c>
      <c r="H442" t="s">
        <v>4738</v>
      </c>
      <c r="I442" t="s">
        <v>459</v>
      </c>
    </row>
    <row r="443" spans="1:9" x14ac:dyDescent="0.3">
      <c r="A443">
        <v>66239</v>
      </c>
      <c r="B443">
        <v>105</v>
      </c>
      <c r="C443" s="452">
        <v>46023</v>
      </c>
      <c r="D443" t="s">
        <v>557</v>
      </c>
      <c r="E443">
        <v>20792</v>
      </c>
      <c r="F443" t="s">
        <v>5022</v>
      </c>
      <c r="G443">
        <v>4</v>
      </c>
      <c r="H443" t="s">
        <v>4738</v>
      </c>
      <c r="I443" t="s">
        <v>459</v>
      </c>
    </row>
    <row r="444" spans="1:9" x14ac:dyDescent="0.3">
      <c r="A444">
        <v>66240</v>
      </c>
      <c r="B444">
        <v>105</v>
      </c>
      <c r="C444" s="452">
        <v>46023</v>
      </c>
      <c r="D444" t="s">
        <v>557</v>
      </c>
      <c r="E444">
        <v>20795</v>
      </c>
      <c r="F444" t="s">
        <v>5024</v>
      </c>
      <c r="G444">
        <v>1</v>
      </c>
      <c r="H444" t="s">
        <v>4738</v>
      </c>
      <c r="I444" t="s">
        <v>459</v>
      </c>
    </row>
    <row r="445" spans="1:9" x14ac:dyDescent="0.3">
      <c r="A445">
        <v>66241</v>
      </c>
      <c r="B445">
        <v>105</v>
      </c>
      <c r="C445" s="452">
        <v>46023</v>
      </c>
      <c r="D445" t="s">
        <v>557</v>
      </c>
      <c r="E445">
        <v>20614</v>
      </c>
      <c r="F445" t="s">
        <v>4958</v>
      </c>
      <c r="G445">
        <v>1</v>
      </c>
      <c r="H445" t="s">
        <v>4736</v>
      </c>
      <c r="I445" t="s">
        <v>459</v>
      </c>
    </row>
    <row r="446" spans="1:9" x14ac:dyDescent="0.3">
      <c r="A446">
        <v>66242</v>
      </c>
      <c r="B446">
        <v>105</v>
      </c>
      <c r="C446" s="452">
        <v>46023</v>
      </c>
      <c r="D446" t="s">
        <v>557</v>
      </c>
      <c r="E446">
        <v>20585</v>
      </c>
      <c r="F446" t="s">
        <v>5025</v>
      </c>
      <c r="G446">
        <v>1</v>
      </c>
      <c r="H446" t="s">
        <v>4736</v>
      </c>
      <c r="I446" t="s">
        <v>459</v>
      </c>
    </row>
    <row r="447" spans="1:9" x14ac:dyDescent="0.3">
      <c r="A447">
        <v>66243</v>
      </c>
      <c r="B447">
        <v>105</v>
      </c>
      <c r="C447" s="452">
        <v>46023</v>
      </c>
      <c r="D447" t="s">
        <v>557</v>
      </c>
      <c r="E447">
        <v>20961</v>
      </c>
      <c r="F447" t="s">
        <v>5026</v>
      </c>
      <c r="G447">
        <v>1</v>
      </c>
      <c r="H447" t="s">
        <v>4736</v>
      </c>
      <c r="I447" t="s">
        <v>459</v>
      </c>
    </row>
    <row r="448" spans="1:9" x14ac:dyDescent="0.3">
      <c r="A448">
        <v>66244</v>
      </c>
      <c r="B448">
        <v>105</v>
      </c>
      <c r="C448" s="452">
        <v>46023</v>
      </c>
      <c r="D448" t="s">
        <v>557</v>
      </c>
      <c r="E448">
        <v>23884</v>
      </c>
      <c r="F448" t="s">
        <v>5070</v>
      </c>
      <c r="G448">
        <v>1</v>
      </c>
      <c r="H448" t="s">
        <v>4955</v>
      </c>
      <c r="I448" t="s">
        <v>459</v>
      </c>
    </row>
    <row r="449" spans="1:9" x14ac:dyDescent="0.3">
      <c r="A449">
        <v>66245</v>
      </c>
      <c r="B449">
        <v>105</v>
      </c>
      <c r="C449" s="452">
        <v>46023</v>
      </c>
      <c r="D449" t="s">
        <v>557</v>
      </c>
      <c r="E449">
        <v>20955</v>
      </c>
      <c r="F449" t="s">
        <v>4959</v>
      </c>
      <c r="G449">
        <v>1</v>
      </c>
      <c r="H449" t="s">
        <v>4805</v>
      </c>
      <c r="I449" t="s">
        <v>459</v>
      </c>
    </row>
    <row r="450" spans="1:9" x14ac:dyDescent="0.3">
      <c r="A450">
        <v>66246</v>
      </c>
      <c r="B450">
        <v>105</v>
      </c>
      <c r="C450" s="452">
        <v>46023</v>
      </c>
      <c r="D450" t="s">
        <v>557</v>
      </c>
      <c r="E450">
        <v>19787</v>
      </c>
      <c r="F450" t="s">
        <v>4793</v>
      </c>
      <c r="G450">
        <v>6.54</v>
      </c>
      <c r="H450" t="s">
        <v>4744</v>
      </c>
      <c r="I450" t="s">
        <v>459</v>
      </c>
    </row>
    <row r="451" spans="1:9" x14ac:dyDescent="0.3">
      <c r="A451">
        <v>66247</v>
      </c>
      <c r="B451">
        <v>105</v>
      </c>
      <c r="C451" s="452">
        <v>46023</v>
      </c>
      <c r="D451" t="s">
        <v>557</v>
      </c>
      <c r="E451">
        <v>19658</v>
      </c>
      <c r="F451" t="s">
        <v>4784</v>
      </c>
      <c r="G451">
        <v>0.9</v>
      </c>
      <c r="H451" t="s">
        <v>4744</v>
      </c>
      <c r="I451" t="s">
        <v>459</v>
      </c>
    </row>
    <row r="452" spans="1:9" x14ac:dyDescent="0.3">
      <c r="A452">
        <v>66248</v>
      </c>
      <c r="B452">
        <v>105</v>
      </c>
      <c r="C452" s="452">
        <v>46023</v>
      </c>
      <c r="D452" t="s">
        <v>557</v>
      </c>
      <c r="E452">
        <v>19507</v>
      </c>
      <c r="F452" t="s">
        <v>4853</v>
      </c>
      <c r="G452">
        <v>2.2000000000000002</v>
      </c>
      <c r="H452" t="s">
        <v>4744</v>
      </c>
      <c r="I452" t="s">
        <v>459</v>
      </c>
    </row>
    <row r="453" spans="1:9" x14ac:dyDescent="0.3">
      <c r="A453">
        <v>66249</v>
      </c>
      <c r="B453">
        <v>105</v>
      </c>
      <c r="C453" s="452">
        <v>46023</v>
      </c>
      <c r="D453" t="s">
        <v>557</v>
      </c>
      <c r="E453">
        <v>19649</v>
      </c>
      <c r="F453" t="s">
        <v>4859</v>
      </c>
      <c r="G453">
        <v>3</v>
      </c>
      <c r="H453" t="s">
        <v>4744</v>
      </c>
      <c r="I453" t="s">
        <v>459</v>
      </c>
    </row>
    <row r="454" spans="1:9" x14ac:dyDescent="0.3">
      <c r="A454">
        <v>66250</v>
      </c>
      <c r="B454">
        <v>105</v>
      </c>
      <c r="C454" s="452">
        <v>46023</v>
      </c>
      <c r="D454" t="s">
        <v>557</v>
      </c>
      <c r="E454">
        <v>23389</v>
      </c>
      <c r="F454" t="s">
        <v>4960</v>
      </c>
      <c r="G454">
        <v>2.1</v>
      </c>
      <c r="H454" t="s">
        <v>4744</v>
      </c>
      <c r="I454" t="s">
        <v>459</v>
      </c>
    </row>
    <row r="455" spans="1:9" x14ac:dyDescent="0.3">
      <c r="A455">
        <v>66251</v>
      </c>
      <c r="B455">
        <v>105</v>
      </c>
      <c r="C455" s="452">
        <v>46023</v>
      </c>
      <c r="D455" t="s">
        <v>557</v>
      </c>
      <c r="E455">
        <v>23268</v>
      </c>
      <c r="F455" t="s">
        <v>4743</v>
      </c>
      <c r="G455">
        <v>20.6</v>
      </c>
      <c r="H455" t="s">
        <v>4744</v>
      </c>
      <c r="I455" t="s">
        <v>459</v>
      </c>
    </row>
    <row r="456" spans="1:9" x14ac:dyDescent="0.3">
      <c r="A456">
        <v>66252</v>
      </c>
      <c r="B456">
        <v>105</v>
      </c>
      <c r="C456" s="452">
        <v>46023</v>
      </c>
      <c r="D456" t="s">
        <v>557</v>
      </c>
      <c r="E456">
        <v>19642</v>
      </c>
      <c r="F456" t="s">
        <v>4996</v>
      </c>
      <c r="G456">
        <v>2.1</v>
      </c>
      <c r="H456" t="s">
        <v>4744</v>
      </c>
      <c r="I456" t="s">
        <v>459</v>
      </c>
    </row>
    <row r="457" spans="1:9" x14ac:dyDescent="0.3">
      <c r="A457">
        <v>66253</v>
      </c>
      <c r="B457">
        <v>105</v>
      </c>
      <c r="C457" s="452">
        <v>46023</v>
      </c>
      <c r="D457" t="s">
        <v>557</v>
      </c>
      <c r="E457">
        <v>19634</v>
      </c>
      <c r="F457" t="s">
        <v>4792</v>
      </c>
      <c r="G457">
        <v>3.6</v>
      </c>
      <c r="H457" t="s">
        <v>4744</v>
      </c>
      <c r="I457" t="s">
        <v>459</v>
      </c>
    </row>
    <row r="458" spans="1:9" x14ac:dyDescent="0.3">
      <c r="A458">
        <v>66254</v>
      </c>
      <c r="B458">
        <v>105</v>
      </c>
      <c r="C458" s="452">
        <v>46023</v>
      </c>
      <c r="D458" t="s">
        <v>557</v>
      </c>
      <c r="E458">
        <v>23385</v>
      </c>
      <c r="F458" t="s">
        <v>4938</v>
      </c>
      <c r="G458">
        <v>1.2</v>
      </c>
      <c r="H458" t="s">
        <v>4744</v>
      </c>
      <c r="I458" t="s">
        <v>459</v>
      </c>
    </row>
    <row r="459" spans="1:9" x14ac:dyDescent="0.3">
      <c r="A459">
        <v>66255</v>
      </c>
      <c r="B459">
        <v>105</v>
      </c>
      <c r="C459" s="452">
        <v>46023</v>
      </c>
      <c r="D459" t="s">
        <v>557</v>
      </c>
      <c r="E459">
        <v>24509</v>
      </c>
      <c r="F459" t="s">
        <v>4788</v>
      </c>
      <c r="G459">
        <v>9.8000000000000007</v>
      </c>
      <c r="H459" t="s">
        <v>4744</v>
      </c>
      <c r="I459" t="s">
        <v>459</v>
      </c>
    </row>
    <row r="460" spans="1:9" x14ac:dyDescent="0.3">
      <c r="A460">
        <v>66256</v>
      </c>
      <c r="B460">
        <v>105</v>
      </c>
      <c r="C460" s="452">
        <v>46023</v>
      </c>
      <c r="D460" t="s">
        <v>557</v>
      </c>
      <c r="E460">
        <v>19622</v>
      </c>
      <c r="F460" t="s">
        <v>4915</v>
      </c>
      <c r="G460">
        <v>16.2</v>
      </c>
      <c r="H460" t="s">
        <v>4744</v>
      </c>
      <c r="I460" t="s">
        <v>459</v>
      </c>
    </row>
    <row r="461" spans="1:9" x14ac:dyDescent="0.3">
      <c r="A461">
        <v>66257</v>
      </c>
      <c r="B461">
        <v>105</v>
      </c>
      <c r="C461" s="452">
        <v>46023</v>
      </c>
      <c r="D461" t="s">
        <v>557</v>
      </c>
      <c r="E461">
        <v>19621</v>
      </c>
      <c r="F461" t="s">
        <v>4829</v>
      </c>
      <c r="G461">
        <v>3.6</v>
      </c>
      <c r="H461" t="s">
        <v>4744</v>
      </c>
      <c r="I461" t="s">
        <v>459</v>
      </c>
    </row>
    <row r="462" spans="1:9" x14ac:dyDescent="0.3">
      <c r="A462">
        <v>66258</v>
      </c>
      <c r="B462">
        <v>105</v>
      </c>
      <c r="C462" s="452">
        <v>46023</v>
      </c>
      <c r="D462" t="s">
        <v>557</v>
      </c>
      <c r="E462">
        <v>19617</v>
      </c>
      <c r="F462" t="s">
        <v>5071</v>
      </c>
      <c r="G462">
        <v>0.3</v>
      </c>
      <c r="H462" t="s">
        <v>4744</v>
      </c>
      <c r="I462" t="s">
        <v>459</v>
      </c>
    </row>
    <row r="463" spans="1:9" x14ac:dyDescent="0.3">
      <c r="A463">
        <v>66259</v>
      </c>
      <c r="B463">
        <v>105</v>
      </c>
      <c r="C463" s="452">
        <v>46023</v>
      </c>
      <c r="D463" t="s">
        <v>557</v>
      </c>
      <c r="E463">
        <v>23238</v>
      </c>
      <c r="F463" t="s">
        <v>4934</v>
      </c>
      <c r="G463">
        <v>1.95</v>
      </c>
      <c r="H463" t="s">
        <v>4744</v>
      </c>
      <c r="I463" t="s">
        <v>459</v>
      </c>
    </row>
    <row r="464" spans="1:9" x14ac:dyDescent="0.3">
      <c r="A464">
        <v>66260</v>
      </c>
      <c r="B464">
        <v>105</v>
      </c>
      <c r="C464" s="452">
        <v>46023</v>
      </c>
      <c r="D464" t="s">
        <v>557</v>
      </c>
      <c r="E464">
        <v>23234</v>
      </c>
      <c r="F464" t="s">
        <v>4986</v>
      </c>
      <c r="G464">
        <v>2</v>
      </c>
      <c r="H464" t="s">
        <v>4744</v>
      </c>
      <c r="I464" t="s">
        <v>459</v>
      </c>
    </row>
    <row r="465" spans="1:9" x14ac:dyDescent="0.3">
      <c r="A465">
        <v>66261</v>
      </c>
      <c r="B465">
        <v>105</v>
      </c>
      <c r="C465" s="452">
        <v>46023</v>
      </c>
      <c r="D465" t="s">
        <v>557</v>
      </c>
      <c r="E465">
        <v>24522</v>
      </c>
      <c r="F465" t="s">
        <v>5072</v>
      </c>
      <c r="G465">
        <v>2</v>
      </c>
      <c r="H465" t="s">
        <v>4744</v>
      </c>
      <c r="I465" t="s">
        <v>459</v>
      </c>
    </row>
    <row r="466" spans="1:9" x14ac:dyDescent="0.3">
      <c r="A466">
        <v>66262</v>
      </c>
      <c r="B466">
        <v>105</v>
      </c>
      <c r="C466" s="452">
        <v>46023</v>
      </c>
      <c r="D466" t="s">
        <v>557</v>
      </c>
      <c r="E466">
        <v>19765</v>
      </c>
      <c r="F466" t="s">
        <v>4889</v>
      </c>
      <c r="G466">
        <v>3</v>
      </c>
      <c r="H466" t="s">
        <v>4744</v>
      </c>
      <c r="I466" t="s">
        <v>459</v>
      </c>
    </row>
    <row r="467" spans="1:9" x14ac:dyDescent="0.3">
      <c r="A467">
        <v>66263</v>
      </c>
      <c r="B467">
        <v>105</v>
      </c>
      <c r="C467" s="452">
        <v>46023</v>
      </c>
      <c r="D467" t="s">
        <v>557</v>
      </c>
      <c r="E467">
        <v>19607</v>
      </c>
      <c r="F467" t="s">
        <v>4981</v>
      </c>
      <c r="G467">
        <v>2</v>
      </c>
      <c r="H467" t="s">
        <v>4744</v>
      </c>
      <c r="I467" t="s">
        <v>459</v>
      </c>
    </row>
    <row r="468" spans="1:9" x14ac:dyDescent="0.3">
      <c r="A468">
        <v>66264</v>
      </c>
      <c r="B468">
        <v>105</v>
      </c>
      <c r="C468" s="452">
        <v>46023</v>
      </c>
      <c r="D468" t="s">
        <v>557</v>
      </c>
      <c r="E468">
        <v>23361</v>
      </c>
      <c r="F468" t="s">
        <v>4754</v>
      </c>
      <c r="G468">
        <v>39.6</v>
      </c>
      <c r="H468" t="s">
        <v>4744</v>
      </c>
      <c r="I468" t="s">
        <v>459</v>
      </c>
    </row>
    <row r="469" spans="1:9" x14ac:dyDescent="0.3">
      <c r="A469">
        <v>66265</v>
      </c>
      <c r="B469">
        <v>105</v>
      </c>
      <c r="C469" s="452">
        <v>46023</v>
      </c>
      <c r="D469" t="s">
        <v>557</v>
      </c>
      <c r="E469">
        <v>19752</v>
      </c>
      <c r="F469" t="s">
        <v>4807</v>
      </c>
      <c r="G469">
        <v>2</v>
      </c>
      <c r="H469" t="s">
        <v>4744</v>
      </c>
      <c r="I469" t="s">
        <v>459</v>
      </c>
    </row>
    <row r="470" spans="1:9" x14ac:dyDescent="0.3">
      <c r="A470">
        <v>66266</v>
      </c>
      <c r="B470">
        <v>105</v>
      </c>
      <c r="C470" s="452">
        <v>46023</v>
      </c>
      <c r="D470" t="s">
        <v>557</v>
      </c>
      <c r="E470">
        <v>19751</v>
      </c>
      <c r="F470" t="s">
        <v>4800</v>
      </c>
      <c r="G470">
        <v>3</v>
      </c>
      <c r="H470" t="s">
        <v>4744</v>
      </c>
      <c r="I470" t="s">
        <v>459</v>
      </c>
    </row>
    <row r="471" spans="1:9" x14ac:dyDescent="0.3">
      <c r="A471">
        <v>66267</v>
      </c>
      <c r="B471">
        <v>105</v>
      </c>
      <c r="C471" s="452">
        <v>46023</v>
      </c>
      <c r="D471" t="s">
        <v>557</v>
      </c>
      <c r="E471">
        <v>23359</v>
      </c>
      <c r="F471" t="s">
        <v>4767</v>
      </c>
      <c r="G471">
        <v>14.56</v>
      </c>
      <c r="H471" t="s">
        <v>4744</v>
      </c>
      <c r="I471" t="s">
        <v>459</v>
      </c>
    </row>
    <row r="472" spans="1:9" x14ac:dyDescent="0.3">
      <c r="A472">
        <v>66268</v>
      </c>
      <c r="B472">
        <v>105</v>
      </c>
      <c r="C472" s="452">
        <v>46023</v>
      </c>
      <c r="D472" t="s">
        <v>557</v>
      </c>
      <c r="E472">
        <v>19742</v>
      </c>
      <c r="F472" t="s">
        <v>4900</v>
      </c>
      <c r="G472">
        <v>1.3</v>
      </c>
      <c r="H472" t="s">
        <v>4744</v>
      </c>
      <c r="I472" t="s">
        <v>459</v>
      </c>
    </row>
    <row r="473" spans="1:9" x14ac:dyDescent="0.3">
      <c r="A473">
        <v>66269</v>
      </c>
      <c r="B473">
        <v>105</v>
      </c>
      <c r="C473" s="452">
        <v>46023</v>
      </c>
      <c r="D473" t="s">
        <v>557</v>
      </c>
      <c r="E473">
        <v>23346</v>
      </c>
      <c r="F473" t="s">
        <v>4916</v>
      </c>
      <c r="G473">
        <v>4.0999999999999996</v>
      </c>
      <c r="H473" t="s">
        <v>4744</v>
      </c>
      <c r="I473" t="s">
        <v>459</v>
      </c>
    </row>
    <row r="474" spans="1:9" x14ac:dyDescent="0.3">
      <c r="A474">
        <v>66270</v>
      </c>
      <c r="B474">
        <v>105</v>
      </c>
      <c r="C474" s="452">
        <v>46023</v>
      </c>
      <c r="D474" t="s">
        <v>557</v>
      </c>
      <c r="E474">
        <v>19740</v>
      </c>
      <c r="F474" t="s">
        <v>4779</v>
      </c>
      <c r="G474">
        <v>6.75</v>
      </c>
      <c r="H474" t="s">
        <v>4744</v>
      </c>
      <c r="I474" t="s">
        <v>459</v>
      </c>
    </row>
    <row r="475" spans="1:9" x14ac:dyDescent="0.3">
      <c r="A475">
        <v>66271</v>
      </c>
      <c r="B475">
        <v>105</v>
      </c>
      <c r="C475" s="452">
        <v>46023</v>
      </c>
      <c r="D475" t="s">
        <v>557</v>
      </c>
      <c r="E475">
        <v>19734</v>
      </c>
      <c r="F475" t="s">
        <v>4833</v>
      </c>
      <c r="G475">
        <v>2.1</v>
      </c>
      <c r="H475" t="s">
        <v>4744</v>
      </c>
      <c r="I475" t="s">
        <v>459</v>
      </c>
    </row>
    <row r="476" spans="1:9" x14ac:dyDescent="0.3">
      <c r="A476">
        <v>66272</v>
      </c>
      <c r="B476">
        <v>105</v>
      </c>
      <c r="C476" s="452">
        <v>46023</v>
      </c>
      <c r="D476" t="s">
        <v>557</v>
      </c>
      <c r="E476">
        <v>23335</v>
      </c>
      <c r="F476" t="s">
        <v>4961</v>
      </c>
      <c r="G476">
        <v>1.4</v>
      </c>
      <c r="H476" t="s">
        <v>4744</v>
      </c>
      <c r="I476" t="s">
        <v>459</v>
      </c>
    </row>
    <row r="477" spans="1:9" x14ac:dyDescent="0.3">
      <c r="A477">
        <v>66273</v>
      </c>
      <c r="B477">
        <v>105</v>
      </c>
      <c r="C477" s="452">
        <v>46023</v>
      </c>
      <c r="D477" t="s">
        <v>557</v>
      </c>
      <c r="E477">
        <v>23095</v>
      </c>
      <c r="F477" t="s">
        <v>4741</v>
      </c>
      <c r="G477">
        <v>24</v>
      </c>
      <c r="H477" t="s">
        <v>4736</v>
      </c>
      <c r="I477" t="s">
        <v>459</v>
      </c>
    </row>
    <row r="478" spans="1:9" x14ac:dyDescent="0.3">
      <c r="A478">
        <v>66274</v>
      </c>
      <c r="B478">
        <v>105</v>
      </c>
      <c r="C478" s="452">
        <v>46023</v>
      </c>
      <c r="D478" t="s">
        <v>557</v>
      </c>
      <c r="E478">
        <v>19589</v>
      </c>
      <c r="F478" t="s">
        <v>4983</v>
      </c>
      <c r="G478">
        <v>1.9</v>
      </c>
      <c r="H478" t="s">
        <v>4744</v>
      </c>
      <c r="I478" t="s">
        <v>459</v>
      </c>
    </row>
    <row r="479" spans="1:9" x14ac:dyDescent="0.3">
      <c r="A479">
        <v>66275</v>
      </c>
      <c r="B479">
        <v>105</v>
      </c>
      <c r="C479" s="452">
        <v>46023</v>
      </c>
      <c r="D479" t="s">
        <v>557</v>
      </c>
      <c r="E479">
        <v>19577</v>
      </c>
      <c r="F479" t="s">
        <v>4984</v>
      </c>
      <c r="G479">
        <v>3.25</v>
      </c>
      <c r="H479" t="s">
        <v>4736</v>
      </c>
      <c r="I479" t="s">
        <v>459</v>
      </c>
    </row>
    <row r="480" spans="1:9" x14ac:dyDescent="0.3">
      <c r="A480">
        <v>66276</v>
      </c>
      <c r="B480">
        <v>105</v>
      </c>
      <c r="C480" s="452">
        <v>46023</v>
      </c>
      <c r="D480" t="s">
        <v>557</v>
      </c>
      <c r="E480">
        <v>19562</v>
      </c>
      <c r="F480" t="s">
        <v>4939</v>
      </c>
      <c r="G480">
        <v>1.45</v>
      </c>
      <c r="H480" t="s">
        <v>4744</v>
      </c>
      <c r="I480" t="s">
        <v>459</v>
      </c>
    </row>
    <row r="481" spans="1:9" x14ac:dyDescent="0.3">
      <c r="A481">
        <v>66277</v>
      </c>
      <c r="B481">
        <v>105</v>
      </c>
      <c r="C481" s="452">
        <v>46023</v>
      </c>
      <c r="D481" t="s">
        <v>557</v>
      </c>
      <c r="E481">
        <v>19790</v>
      </c>
      <c r="F481" t="s">
        <v>5073</v>
      </c>
      <c r="G481">
        <v>4</v>
      </c>
      <c r="H481" t="s">
        <v>4744</v>
      </c>
      <c r="I481" t="s">
        <v>459</v>
      </c>
    </row>
    <row r="482" spans="1:9" x14ac:dyDescent="0.3">
      <c r="A482">
        <v>66278</v>
      </c>
      <c r="B482">
        <v>105</v>
      </c>
      <c r="C482" s="452">
        <v>46023</v>
      </c>
      <c r="D482" t="s">
        <v>557</v>
      </c>
      <c r="E482">
        <v>23195</v>
      </c>
      <c r="F482" t="s">
        <v>5051</v>
      </c>
      <c r="G482">
        <v>4.3</v>
      </c>
      <c r="H482" t="s">
        <v>4744</v>
      </c>
      <c r="I482" t="s">
        <v>459</v>
      </c>
    </row>
    <row r="483" spans="1:9" x14ac:dyDescent="0.3">
      <c r="A483">
        <v>66279</v>
      </c>
      <c r="B483">
        <v>105</v>
      </c>
      <c r="C483" s="452">
        <v>46023</v>
      </c>
      <c r="D483" t="s">
        <v>557</v>
      </c>
      <c r="E483">
        <v>19553</v>
      </c>
      <c r="F483" t="s">
        <v>4868</v>
      </c>
      <c r="G483">
        <v>3.5</v>
      </c>
      <c r="H483" t="s">
        <v>4744</v>
      </c>
      <c r="I483" t="s">
        <v>459</v>
      </c>
    </row>
    <row r="484" spans="1:9" x14ac:dyDescent="0.3">
      <c r="A484">
        <v>66280</v>
      </c>
      <c r="B484">
        <v>105</v>
      </c>
      <c r="C484" s="452">
        <v>46023</v>
      </c>
      <c r="D484" t="s">
        <v>557</v>
      </c>
      <c r="E484">
        <v>19552</v>
      </c>
      <c r="F484" t="s">
        <v>4860</v>
      </c>
      <c r="G484">
        <v>2.7</v>
      </c>
      <c r="H484" t="s">
        <v>4744</v>
      </c>
      <c r="I484" t="s">
        <v>459</v>
      </c>
    </row>
    <row r="485" spans="1:9" x14ac:dyDescent="0.3">
      <c r="A485">
        <v>66281</v>
      </c>
      <c r="B485">
        <v>105</v>
      </c>
      <c r="C485" s="452">
        <v>46023</v>
      </c>
      <c r="D485" t="s">
        <v>557</v>
      </c>
      <c r="E485">
        <v>19472</v>
      </c>
      <c r="F485" t="s">
        <v>4906</v>
      </c>
      <c r="G485">
        <v>0.6</v>
      </c>
      <c r="H485" t="s">
        <v>4744</v>
      </c>
      <c r="I485" t="s">
        <v>459</v>
      </c>
    </row>
    <row r="486" spans="1:9" x14ac:dyDescent="0.3">
      <c r="A486">
        <v>66282</v>
      </c>
      <c r="B486">
        <v>105</v>
      </c>
      <c r="C486" s="452">
        <v>46023</v>
      </c>
      <c r="D486" t="s">
        <v>557</v>
      </c>
      <c r="E486">
        <v>23113</v>
      </c>
      <c r="F486" t="s">
        <v>5074</v>
      </c>
      <c r="G486">
        <v>4.2</v>
      </c>
      <c r="H486" t="s">
        <v>4744</v>
      </c>
      <c r="I486" t="s">
        <v>459</v>
      </c>
    </row>
    <row r="487" spans="1:9" x14ac:dyDescent="0.3">
      <c r="A487">
        <v>66283</v>
      </c>
      <c r="B487">
        <v>105</v>
      </c>
      <c r="C487" s="452">
        <v>46023</v>
      </c>
      <c r="D487" t="s">
        <v>557</v>
      </c>
      <c r="E487">
        <v>23184</v>
      </c>
      <c r="F487" t="s">
        <v>4935</v>
      </c>
      <c r="G487">
        <v>1.1499999999999999</v>
      </c>
      <c r="H487" t="s">
        <v>4744</v>
      </c>
      <c r="I487" t="s">
        <v>459</v>
      </c>
    </row>
    <row r="488" spans="1:9" x14ac:dyDescent="0.3">
      <c r="A488">
        <v>66284</v>
      </c>
      <c r="B488">
        <v>105</v>
      </c>
      <c r="C488" s="452">
        <v>46023</v>
      </c>
      <c r="D488" t="s">
        <v>557</v>
      </c>
      <c r="E488">
        <v>19532</v>
      </c>
      <c r="F488" t="s">
        <v>4753</v>
      </c>
      <c r="G488">
        <v>6</v>
      </c>
      <c r="H488" t="s">
        <v>4744</v>
      </c>
      <c r="I488" t="s">
        <v>459</v>
      </c>
    </row>
    <row r="489" spans="1:9" x14ac:dyDescent="0.3">
      <c r="A489">
        <v>66285</v>
      </c>
      <c r="B489">
        <v>105</v>
      </c>
      <c r="C489" s="452">
        <v>46023</v>
      </c>
      <c r="D489" t="s">
        <v>557</v>
      </c>
      <c r="E489">
        <v>19710</v>
      </c>
      <c r="F489" t="s">
        <v>4963</v>
      </c>
      <c r="G489">
        <v>1</v>
      </c>
      <c r="H489" t="s">
        <v>4738</v>
      </c>
      <c r="I489" t="s">
        <v>459</v>
      </c>
    </row>
    <row r="490" spans="1:9" x14ac:dyDescent="0.3">
      <c r="A490">
        <v>66286</v>
      </c>
      <c r="B490">
        <v>105</v>
      </c>
      <c r="C490" s="452">
        <v>46023</v>
      </c>
      <c r="D490" t="s">
        <v>557</v>
      </c>
      <c r="E490">
        <v>26495</v>
      </c>
      <c r="F490" t="s">
        <v>4867</v>
      </c>
      <c r="G490">
        <v>13.3</v>
      </c>
      <c r="H490" t="s">
        <v>4744</v>
      </c>
      <c r="I490" t="s">
        <v>459</v>
      </c>
    </row>
    <row r="491" spans="1:9" x14ac:dyDescent="0.3">
      <c r="A491">
        <v>66287</v>
      </c>
      <c r="B491">
        <v>105</v>
      </c>
      <c r="C491" s="452">
        <v>46023</v>
      </c>
      <c r="D491" t="s">
        <v>557</v>
      </c>
      <c r="E491">
        <v>19439</v>
      </c>
      <c r="F491" t="s">
        <v>4917</v>
      </c>
      <c r="G491">
        <v>1</v>
      </c>
      <c r="H491" t="s">
        <v>4744</v>
      </c>
      <c r="I491" t="s">
        <v>459</v>
      </c>
    </row>
    <row r="492" spans="1:9" x14ac:dyDescent="0.3">
      <c r="A492">
        <v>66288</v>
      </c>
      <c r="B492">
        <v>105</v>
      </c>
      <c r="C492" s="452">
        <v>46023</v>
      </c>
      <c r="D492" t="s">
        <v>557</v>
      </c>
      <c r="E492">
        <v>19353</v>
      </c>
      <c r="F492" t="s">
        <v>4851</v>
      </c>
      <c r="G492">
        <v>1.2</v>
      </c>
      <c r="H492" t="s">
        <v>4744</v>
      </c>
      <c r="I492" t="s">
        <v>459</v>
      </c>
    </row>
    <row r="493" spans="1:9" x14ac:dyDescent="0.3">
      <c r="A493">
        <v>66289</v>
      </c>
      <c r="B493">
        <v>105</v>
      </c>
      <c r="C493" s="452">
        <v>46023</v>
      </c>
      <c r="D493" t="s">
        <v>557</v>
      </c>
      <c r="E493">
        <v>19421</v>
      </c>
      <c r="F493" t="s">
        <v>4918</v>
      </c>
      <c r="G493">
        <v>1</v>
      </c>
      <c r="H493" t="s">
        <v>4749</v>
      </c>
      <c r="I493" t="s">
        <v>459</v>
      </c>
    </row>
    <row r="494" spans="1:9" x14ac:dyDescent="0.3">
      <c r="A494">
        <v>66290</v>
      </c>
      <c r="B494">
        <v>105</v>
      </c>
      <c r="C494" s="452">
        <v>46023</v>
      </c>
      <c r="D494" t="s">
        <v>557</v>
      </c>
      <c r="E494">
        <v>23088</v>
      </c>
      <c r="F494" t="s">
        <v>5027</v>
      </c>
      <c r="G494">
        <v>1</v>
      </c>
      <c r="H494" t="s">
        <v>4736</v>
      </c>
      <c r="I494" t="s">
        <v>459</v>
      </c>
    </row>
    <row r="495" spans="1:9" x14ac:dyDescent="0.3">
      <c r="A495">
        <v>66291</v>
      </c>
      <c r="B495">
        <v>105</v>
      </c>
      <c r="C495" s="452">
        <v>46023</v>
      </c>
      <c r="D495" t="s">
        <v>557</v>
      </c>
      <c r="E495">
        <v>19401</v>
      </c>
      <c r="F495" t="s">
        <v>4809</v>
      </c>
      <c r="G495">
        <v>5</v>
      </c>
      <c r="H495" t="s">
        <v>4744</v>
      </c>
      <c r="I495" t="s">
        <v>459</v>
      </c>
    </row>
    <row r="496" spans="1:9" x14ac:dyDescent="0.3">
      <c r="A496">
        <v>66292</v>
      </c>
      <c r="B496">
        <v>105</v>
      </c>
      <c r="C496" s="452">
        <v>46023</v>
      </c>
      <c r="D496" t="s">
        <v>557</v>
      </c>
      <c r="E496">
        <v>19415</v>
      </c>
      <c r="F496" t="s">
        <v>4919</v>
      </c>
      <c r="G496">
        <v>3</v>
      </c>
      <c r="H496" t="s">
        <v>4736</v>
      </c>
      <c r="I496" t="s">
        <v>459</v>
      </c>
    </row>
    <row r="497" spans="1:9" x14ac:dyDescent="0.3">
      <c r="A497">
        <v>66293</v>
      </c>
      <c r="B497">
        <v>105</v>
      </c>
      <c r="C497" s="452">
        <v>46023</v>
      </c>
      <c r="D497" t="s">
        <v>557</v>
      </c>
      <c r="E497">
        <v>23082</v>
      </c>
      <c r="F497" t="s">
        <v>4904</v>
      </c>
      <c r="G497">
        <v>1.5</v>
      </c>
      <c r="H497" t="s">
        <v>4744</v>
      </c>
      <c r="I497" t="s">
        <v>459</v>
      </c>
    </row>
    <row r="498" spans="1:9" x14ac:dyDescent="0.3">
      <c r="A498">
        <v>66294</v>
      </c>
      <c r="B498">
        <v>105</v>
      </c>
      <c r="C498" s="452">
        <v>46023</v>
      </c>
      <c r="D498" t="s">
        <v>557</v>
      </c>
      <c r="E498">
        <v>19346</v>
      </c>
      <c r="F498" t="s">
        <v>4835</v>
      </c>
      <c r="G498">
        <v>5</v>
      </c>
      <c r="H498" t="s">
        <v>4744</v>
      </c>
      <c r="I498" t="s">
        <v>459</v>
      </c>
    </row>
    <row r="499" spans="1:9" x14ac:dyDescent="0.3">
      <c r="A499">
        <v>66295</v>
      </c>
      <c r="B499">
        <v>105</v>
      </c>
      <c r="C499" s="452">
        <v>46023</v>
      </c>
      <c r="D499" t="s">
        <v>557</v>
      </c>
      <c r="E499">
        <v>19291</v>
      </c>
      <c r="F499" t="s">
        <v>4870</v>
      </c>
      <c r="G499">
        <v>10</v>
      </c>
      <c r="H499" t="s">
        <v>4744</v>
      </c>
      <c r="I499" t="s">
        <v>459</v>
      </c>
    </row>
    <row r="500" spans="1:9" x14ac:dyDescent="0.3">
      <c r="A500">
        <v>66296</v>
      </c>
      <c r="B500">
        <v>105</v>
      </c>
      <c r="C500" s="452">
        <v>46023</v>
      </c>
      <c r="D500" t="s">
        <v>557</v>
      </c>
      <c r="E500">
        <v>17042</v>
      </c>
      <c r="F500" t="s">
        <v>4748</v>
      </c>
      <c r="G500">
        <v>214</v>
      </c>
      <c r="H500" t="s">
        <v>4749</v>
      </c>
      <c r="I500" t="s">
        <v>459</v>
      </c>
    </row>
    <row r="501" spans="1:9" x14ac:dyDescent="0.3">
      <c r="A501">
        <v>66297</v>
      </c>
      <c r="B501">
        <v>105</v>
      </c>
      <c r="C501" s="452">
        <v>46023</v>
      </c>
      <c r="D501" t="s">
        <v>557</v>
      </c>
      <c r="E501">
        <v>22871</v>
      </c>
      <c r="F501" t="s">
        <v>4898</v>
      </c>
      <c r="G501">
        <v>7.6</v>
      </c>
      <c r="H501" t="s">
        <v>4744</v>
      </c>
      <c r="I501" t="s">
        <v>459</v>
      </c>
    </row>
    <row r="502" spans="1:9" x14ac:dyDescent="0.3">
      <c r="A502">
        <v>66298</v>
      </c>
      <c r="B502">
        <v>105</v>
      </c>
      <c r="C502" s="452">
        <v>46023</v>
      </c>
      <c r="D502" t="s">
        <v>557</v>
      </c>
      <c r="E502">
        <v>24096</v>
      </c>
      <c r="F502" t="s">
        <v>4771</v>
      </c>
      <c r="G502">
        <v>8</v>
      </c>
      <c r="H502" t="s">
        <v>4744</v>
      </c>
      <c r="I502" t="s">
        <v>459</v>
      </c>
    </row>
    <row r="503" spans="1:9" x14ac:dyDescent="0.3">
      <c r="A503">
        <v>66299</v>
      </c>
      <c r="B503">
        <v>105</v>
      </c>
      <c r="C503" s="452">
        <v>46023</v>
      </c>
      <c r="D503" t="s">
        <v>557</v>
      </c>
      <c r="E503">
        <v>24954</v>
      </c>
      <c r="F503" t="s">
        <v>4769</v>
      </c>
      <c r="G503">
        <v>12.75</v>
      </c>
      <c r="H503" t="s">
        <v>4744</v>
      </c>
      <c r="I503" t="s">
        <v>459</v>
      </c>
    </row>
    <row r="504" spans="1:9" x14ac:dyDescent="0.3">
      <c r="A504">
        <v>66300</v>
      </c>
      <c r="B504">
        <v>105</v>
      </c>
      <c r="C504" s="452">
        <v>46023</v>
      </c>
      <c r="D504" t="s">
        <v>557</v>
      </c>
      <c r="E504">
        <v>22721</v>
      </c>
      <c r="F504" t="s">
        <v>4803</v>
      </c>
      <c r="G504">
        <v>17.649999999999999</v>
      </c>
      <c r="H504" t="s">
        <v>4744</v>
      </c>
      <c r="I504" t="s">
        <v>459</v>
      </c>
    </row>
    <row r="505" spans="1:9" x14ac:dyDescent="0.3">
      <c r="A505">
        <v>66301</v>
      </c>
      <c r="B505">
        <v>105</v>
      </c>
      <c r="C505" s="452">
        <v>46023</v>
      </c>
      <c r="D505" t="s">
        <v>557</v>
      </c>
      <c r="E505">
        <v>24081</v>
      </c>
      <c r="F505" t="s">
        <v>4834</v>
      </c>
      <c r="G505">
        <v>5.7</v>
      </c>
      <c r="H505" t="s">
        <v>4744</v>
      </c>
      <c r="I505" t="s">
        <v>459</v>
      </c>
    </row>
    <row r="506" spans="1:9" x14ac:dyDescent="0.3">
      <c r="A506">
        <v>66302</v>
      </c>
      <c r="B506">
        <v>105</v>
      </c>
      <c r="C506" s="452">
        <v>46023</v>
      </c>
      <c r="D506" t="s">
        <v>557</v>
      </c>
      <c r="E506">
        <v>24116</v>
      </c>
      <c r="F506" t="s">
        <v>4777</v>
      </c>
      <c r="G506">
        <v>14.1</v>
      </c>
      <c r="H506" t="s">
        <v>4744</v>
      </c>
      <c r="I506" t="s">
        <v>459</v>
      </c>
    </row>
    <row r="507" spans="1:9" x14ac:dyDescent="0.3">
      <c r="A507">
        <v>66303</v>
      </c>
      <c r="B507">
        <v>105</v>
      </c>
      <c r="C507" s="452">
        <v>46023</v>
      </c>
      <c r="D507" t="s">
        <v>557</v>
      </c>
      <c r="E507">
        <v>26135</v>
      </c>
      <c r="F507" t="s">
        <v>4801</v>
      </c>
      <c r="G507">
        <v>23.6</v>
      </c>
      <c r="H507" t="s">
        <v>4744</v>
      </c>
      <c r="I507" t="s">
        <v>459</v>
      </c>
    </row>
    <row r="508" spans="1:9" x14ac:dyDescent="0.3">
      <c r="A508">
        <v>66304</v>
      </c>
      <c r="B508">
        <v>105</v>
      </c>
      <c r="C508" s="452">
        <v>46023</v>
      </c>
      <c r="D508" t="s">
        <v>557</v>
      </c>
      <c r="E508">
        <v>24191</v>
      </c>
      <c r="F508" t="s">
        <v>4846</v>
      </c>
      <c r="G508">
        <v>1</v>
      </c>
      <c r="H508" t="s">
        <v>4744</v>
      </c>
      <c r="I508" t="s">
        <v>459</v>
      </c>
    </row>
    <row r="509" spans="1:9" x14ac:dyDescent="0.3">
      <c r="A509">
        <v>66305</v>
      </c>
      <c r="B509">
        <v>105</v>
      </c>
      <c r="C509" s="452">
        <v>46023</v>
      </c>
      <c r="D509" t="s">
        <v>557</v>
      </c>
      <c r="E509">
        <v>26679</v>
      </c>
      <c r="F509" t="s">
        <v>4791</v>
      </c>
      <c r="G509">
        <v>81.95</v>
      </c>
      <c r="H509" t="s">
        <v>4744</v>
      </c>
      <c r="I509" t="s">
        <v>459</v>
      </c>
    </row>
    <row r="510" spans="1:9" x14ac:dyDescent="0.3">
      <c r="A510">
        <v>66306</v>
      </c>
      <c r="B510">
        <v>105</v>
      </c>
      <c r="C510" s="452">
        <v>46023</v>
      </c>
      <c r="D510" t="s">
        <v>557</v>
      </c>
      <c r="E510">
        <v>24200</v>
      </c>
      <c r="F510" t="s">
        <v>4820</v>
      </c>
      <c r="G510">
        <v>7.8</v>
      </c>
      <c r="H510" t="s">
        <v>4744</v>
      </c>
      <c r="I510" t="s">
        <v>459</v>
      </c>
    </row>
    <row r="511" spans="1:9" x14ac:dyDescent="0.3">
      <c r="A511">
        <v>66307</v>
      </c>
      <c r="B511">
        <v>105</v>
      </c>
      <c r="C511" s="452">
        <v>46023</v>
      </c>
      <c r="D511" t="s">
        <v>557</v>
      </c>
      <c r="E511">
        <v>24199</v>
      </c>
      <c r="F511" t="s">
        <v>4783</v>
      </c>
      <c r="G511">
        <v>11.85</v>
      </c>
      <c r="H511" t="s">
        <v>4744</v>
      </c>
      <c r="I511" t="s">
        <v>459</v>
      </c>
    </row>
    <row r="512" spans="1:9" x14ac:dyDescent="0.3">
      <c r="A512">
        <v>66308</v>
      </c>
      <c r="B512">
        <v>105</v>
      </c>
      <c r="C512" s="452">
        <v>46023</v>
      </c>
      <c r="D512" t="s">
        <v>557</v>
      </c>
      <c r="E512">
        <v>19041</v>
      </c>
      <c r="F512" t="s">
        <v>4762</v>
      </c>
      <c r="G512">
        <v>5</v>
      </c>
      <c r="H512" t="s">
        <v>4744</v>
      </c>
      <c r="I512" t="s">
        <v>459</v>
      </c>
    </row>
    <row r="513" spans="1:9" x14ac:dyDescent="0.3">
      <c r="A513">
        <v>66309</v>
      </c>
      <c r="B513">
        <v>105</v>
      </c>
      <c r="C513" s="452">
        <v>46023</v>
      </c>
      <c r="D513" t="s">
        <v>557</v>
      </c>
      <c r="E513">
        <v>22843</v>
      </c>
      <c r="F513" t="s">
        <v>4849</v>
      </c>
      <c r="G513">
        <v>18.8</v>
      </c>
      <c r="H513" t="s">
        <v>4744</v>
      </c>
      <c r="I513" t="s">
        <v>459</v>
      </c>
    </row>
    <row r="514" spans="1:9" x14ac:dyDescent="0.3">
      <c r="A514">
        <v>66310</v>
      </c>
      <c r="B514">
        <v>105</v>
      </c>
      <c r="C514" s="452">
        <v>46023</v>
      </c>
      <c r="D514" t="s">
        <v>557</v>
      </c>
      <c r="E514">
        <v>24217</v>
      </c>
      <c r="F514" t="s">
        <v>4778</v>
      </c>
      <c r="G514">
        <v>24.2</v>
      </c>
      <c r="H514" t="s">
        <v>4744</v>
      </c>
      <c r="I514" t="s">
        <v>459</v>
      </c>
    </row>
    <row r="515" spans="1:9" x14ac:dyDescent="0.3">
      <c r="A515">
        <v>66311</v>
      </c>
      <c r="B515">
        <v>105</v>
      </c>
      <c r="C515" s="452">
        <v>46023</v>
      </c>
      <c r="D515" t="s">
        <v>557</v>
      </c>
      <c r="E515">
        <v>18945</v>
      </c>
      <c r="F515" t="s">
        <v>4768</v>
      </c>
      <c r="G515">
        <v>42.4</v>
      </c>
      <c r="H515" t="s">
        <v>4744</v>
      </c>
      <c r="I515" t="s">
        <v>459</v>
      </c>
    </row>
    <row r="516" spans="1:9" x14ac:dyDescent="0.3">
      <c r="A516">
        <v>66312</v>
      </c>
      <c r="B516">
        <v>105</v>
      </c>
      <c r="C516" s="452">
        <v>46023</v>
      </c>
      <c r="D516" t="s">
        <v>557</v>
      </c>
      <c r="E516">
        <v>18991</v>
      </c>
      <c r="F516" t="s">
        <v>4815</v>
      </c>
      <c r="G516">
        <v>14.4</v>
      </c>
      <c r="H516" t="s">
        <v>4744</v>
      </c>
      <c r="I516" t="s">
        <v>459</v>
      </c>
    </row>
    <row r="517" spans="1:9" x14ac:dyDescent="0.3">
      <c r="A517">
        <v>66313</v>
      </c>
      <c r="B517">
        <v>105</v>
      </c>
      <c r="C517" s="452">
        <v>46023</v>
      </c>
      <c r="D517" t="s">
        <v>557</v>
      </c>
      <c r="E517">
        <v>24256</v>
      </c>
      <c r="F517" t="s">
        <v>4773</v>
      </c>
      <c r="G517">
        <v>12.25</v>
      </c>
      <c r="H517" t="s">
        <v>4744</v>
      </c>
      <c r="I517" t="s">
        <v>459</v>
      </c>
    </row>
    <row r="518" spans="1:9" x14ac:dyDescent="0.3">
      <c r="A518">
        <v>66314</v>
      </c>
      <c r="B518">
        <v>105</v>
      </c>
      <c r="C518" s="452">
        <v>46023</v>
      </c>
      <c r="D518" t="s">
        <v>557</v>
      </c>
      <c r="E518">
        <v>24259</v>
      </c>
      <c r="F518" t="s">
        <v>4875</v>
      </c>
      <c r="G518">
        <v>2.5</v>
      </c>
      <c r="H518" t="s">
        <v>4744</v>
      </c>
      <c r="I518" t="s">
        <v>459</v>
      </c>
    </row>
    <row r="519" spans="1:9" x14ac:dyDescent="0.3">
      <c r="A519">
        <v>66315</v>
      </c>
      <c r="B519">
        <v>105</v>
      </c>
      <c r="C519" s="452">
        <v>46023</v>
      </c>
      <c r="D519" t="s">
        <v>557</v>
      </c>
      <c r="E519">
        <v>25777</v>
      </c>
      <c r="F519" t="s">
        <v>4774</v>
      </c>
      <c r="G519">
        <v>15.05</v>
      </c>
      <c r="H519" t="s">
        <v>4744</v>
      </c>
      <c r="I519" t="s">
        <v>459</v>
      </c>
    </row>
    <row r="520" spans="1:9" x14ac:dyDescent="0.3">
      <c r="A520">
        <v>66316</v>
      </c>
      <c r="B520">
        <v>105</v>
      </c>
      <c r="C520" s="452">
        <v>46023</v>
      </c>
      <c r="D520" t="s">
        <v>557</v>
      </c>
      <c r="E520">
        <v>19003</v>
      </c>
      <c r="F520" t="s">
        <v>4810</v>
      </c>
      <c r="G520">
        <v>11.9</v>
      </c>
      <c r="H520" t="s">
        <v>4744</v>
      </c>
      <c r="I520" t="s">
        <v>459</v>
      </c>
    </row>
    <row r="521" spans="1:9" x14ac:dyDescent="0.3">
      <c r="A521">
        <v>66317</v>
      </c>
      <c r="B521">
        <v>105</v>
      </c>
      <c r="C521" s="452">
        <v>46023</v>
      </c>
      <c r="D521" t="s">
        <v>557</v>
      </c>
      <c r="E521">
        <v>24320</v>
      </c>
      <c r="F521" t="s">
        <v>4861</v>
      </c>
      <c r="G521">
        <v>4</v>
      </c>
      <c r="H521" t="s">
        <v>4744</v>
      </c>
      <c r="I521" t="s">
        <v>459</v>
      </c>
    </row>
    <row r="522" spans="1:9" x14ac:dyDescent="0.3">
      <c r="A522">
        <v>66318</v>
      </c>
      <c r="B522">
        <v>105</v>
      </c>
      <c r="C522" s="452">
        <v>46023</v>
      </c>
      <c r="D522" t="s">
        <v>557</v>
      </c>
      <c r="E522">
        <v>18832</v>
      </c>
      <c r="F522" t="s">
        <v>4785</v>
      </c>
      <c r="G522">
        <v>26</v>
      </c>
      <c r="H522" t="s">
        <v>4744</v>
      </c>
      <c r="I522" t="s">
        <v>459</v>
      </c>
    </row>
    <row r="523" spans="1:9" x14ac:dyDescent="0.3">
      <c r="A523">
        <v>66319</v>
      </c>
      <c r="B523">
        <v>105</v>
      </c>
      <c r="C523" s="452">
        <v>46023</v>
      </c>
      <c r="D523" t="s">
        <v>557</v>
      </c>
      <c r="E523">
        <v>18992</v>
      </c>
      <c r="F523" t="s">
        <v>4869</v>
      </c>
      <c r="G523">
        <v>4</v>
      </c>
      <c r="H523" t="s">
        <v>4744</v>
      </c>
      <c r="I523" t="s">
        <v>459</v>
      </c>
    </row>
    <row r="524" spans="1:9" x14ac:dyDescent="0.3">
      <c r="A524">
        <v>66320</v>
      </c>
      <c r="B524">
        <v>105</v>
      </c>
      <c r="C524" s="452">
        <v>46023</v>
      </c>
      <c r="D524" t="s">
        <v>557</v>
      </c>
      <c r="E524">
        <v>18735</v>
      </c>
      <c r="F524" t="s">
        <v>4891</v>
      </c>
      <c r="G524">
        <v>5.0999999999999996</v>
      </c>
      <c r="H524" t="s">
        <v>4744</v>
      </c>
      <c r="I524" t="s">
        <v>459</v>
      </c>
    </row>
    <row r="525" spans="1:9" x14ac:dyDescent="0.3">
      <c r="A525">
        <v>66321</v>
      </c>
      <c r="B525">
        <v>105</v>
      </c>
      <c r="C525" s="452">
        <v>46023</v>
      </c>
      <c r="D525" t="s">
        <v>557</v>
      </c>
      <c r="E525">
        <v>18822</v>
      </c>
      <c r="F525" t="s">
        <v>4811</v>
      </c>
      <c r="G525">
        <v>12.86</v>
      </c>
      <c r="H525" t="s">
        <v>4744</v>
      </c>
      <c r="I525" t="s">
        <v>459</v>
      </c>
    </row>
    <row r="526" spans="1:9" x14ac:dyDescent="0.3">
      <c r="A526">
        <v>66322</v>
      </c>
      <c r="B526">
        <v>105</v>
      </c>
      <c r="C526" s="452">
        <v>46023</v>
      </c>
      <c r="D526" t="s">
        <v>557</v>
      </c>
      <c r="E526">
        <v>18731</v>
      </c>
      <c r="F526" t="s">
        <v>4832</v>
      </c>
      <c r="G526">
        <v>5</v>
      </c>
      <c r="H526" t="s">
        <v>4744</v>
      </c>
      <c r="I526" t="s">
        <v>459</v>
      </c>
    </row>
    <row r="527" spans="1:9" x14ac:dyDescent="0.3">
      <c r="A527">
        <v>66323</v>
      </c>
      <c r="B527">
        <v>105</v>
      </c>
      <c r="C527" s="452">
        <v>46023</v>
      </c>
      <c r="D527" t="s">
        <v>557</v>
      </c>
      <c r="E527">
        <v>18745</v>
      </c>
      <c r="F527" t="s">
        <v>4892</v>
      </c>
      <c r="G527">
        <v>2</v>
      </c>
      <c r="H527" t="s">
        <v>4736</v>
      </c>
      <c r="I527" t="s">
        <v>459</v>
      </c>
    </row>
    <row r="528" spans="1:9" x14ac:dyDescent="0.3">
      <c r="A528">
        <v>66324</v>
      </c>
      <c r="B528">
        <v>105</v>
      </c>
      <c r="C528" s="452">
        <v>46023</v>
      </c>
      <c r="D528" t="s">
        <v>557</v>
      </c>
      <c r="E528">
        <v>25205</v>
      </c>
      <c r="F528" t="s">
        <v>4850</v>
      </c>
      <c r="G528">
        <v>4.5</v>
      </c>
      <c r="H528" t="s">
        <v>4744</v>
      </c>
      <c r="I528" t="s">
        <v>459</v>
      </c>
    </row>
    <row r="529" spans="1:9" x14ac:dyDescent="0.3">
      <c r="A529">
        <v>66325</v>
      </c>
      <c r="B529">
        <v>105</v>
      </c>
      <c r="C529" s="452">
        <v>46023</v>
      </c>
      <c r="D529" t="s">
        <v>557</v>
      </c>
      <c r="E529">
        <v>27264</v>
      </c>
      <c r="F529" t="s">
        <v>5075</v>
      </c>
      <c r="G529">
        <v>6.55</v>
      </c>
      <c r="H529" t="s">
        <v>4744</v>
      </c>
      <c r="I529" t="s">
        <v>459</v>
      </c>
    </row>
    <row r="530" spans="1:9" x14ac:dyDescent="0.3">
      <c r="A530">
        <v>66326</v>
      </c>
      <c r="B530">
        <v>105</v>
      </c>
      <c r="C530" s="452">
        <v>46023</v>
      </c>
      <c r="D530" t="s">
        <v>557</v>
      </c>
      <c r="E530">
        <v>24129</v>
      </c>
      <c r="F530" t="s">
        <v>4740</v>
      </c>
      <c r="G530">
        <v>79</v>
      </c>
      <c r="H530" t="s">
        <v>4736</v>
      </c>
      <c r="I530" t="s">
        <v>459</v>
      </c>
    </row>
    <row r="531" spans="1:9" x14ac:dyDescent="0.3">
      <c r="A531">
        <v>66327</v>
      </c>
      <c r="B531">
        <v>105</v>
      </c>
      <c r="C531" s="452">
        <v>46023</v>
      </c>
      <c r="D531" t="s">
        <v>557</v>
      </c>
      <c r="E531">
        <v>26505</v>
      </c>
      <c r="F531" t="s">
        <v>4750</v>
      </c>
      <c r="G531">
        <v>0.33</v>
      </c>
      <c r="H531" t="s">
        <v>4738</v>
      </c>
      <c r="I531" t="s">
        <v>459</v>
      </c>
    </row>
    <row r="532" spans="1:9" x14ac:dyDescent="0.3">
      <c r="A532">
        <v>66328</v>
      </c>
      <c r="B532">
        <v>105</v>
      </c>
      <c r="C532" s="452">
        <v>46023</v>
      </c>
      <c r="D532" t="s">
        <v>557</v>
      </c>
      <c r="E532">
        <v>22654</v>
      </c>
      <c r="F532" t="s">
        <v>4735</v>
      </c>
      <c r="G532">
        <v>328</v>
      </c>
      <c r="H532" t="s">
        <v>4736</v>
      </c>
      <c r="I532" t="s">
        <v>459</v>
      </c>
    </row>
    <row r="533" spans="1:9" x14ac:dyDescent="0.3">
      <c r="A533">
        <v>66329</v>
      </c>
      <c r="B533">
        <v>105</v>
      </c>
      <c r="C533" s="452">
        <v>46023</v>
      </c>
      <c r="D533" t="s">
        <v>557</v>
      </c>
      <c r="E533">
        <v>27018</v>
      </c>
      <c r="F533" t="s">
        <v>4737</v>
      </c>
      <c r="G533">
        <v>8.83</v>
      </c>
      <c r="H533" t="s">
        <v>4738</v>
      </c>
      <c r="I533" t="s">
        <v>459</v>
      </c>
    </row>
    <row r="534" spans="1:9" x14ac:dyDescent="0.3">
      <c r="A534">
        <v>66330</v>
      </c>
      <c r="B534">
        <v>105</v>
      </c>
      <c r="C534" s="452">
        <v>46023</v>
      </c>
      <c r="D534" t="s">
        <v>557</v>
      </c>
      <c r="E534">
        <v>22652</v>
      </c>
      <c r="F534" t="s">
        <v>4759</v>
      </c>
      <c r="G534">
        <v>159</v>
      </c>
      <c r="H534" t="s">
        <v>4736</v>
      </c>
      <c r="I534" t="s">
        <v>459</v>
      </c>
    </row>
    <row r="535" spans="1:9" x14ac:dyDescent="0.3">
      <c r="A535">
        <v>66331</v>
      </c>
      <c r="B535">
        <v>105</v>
      </c>
      <c r="C535" s="452">
        <v>46023</v>
      </c>
      <c r="D535" t="s">
        <v>557</v>
      </c>
      <c r="E535">
        <v>22623</v>
      </c>
      <c r="F535" t="s">
        <v>4751</v>
      </c>
      <c r="G535">
        <v>155</v>
      </c>
      <c r="H535" t="s">
        <v>4736</v>
      </c>
      <c r="I535" t="s">
        <v>459</v>
      </c>
    </row>
    <row r="536" spans="1:9" x14ac:dyDescent="0.3">
      <c r="A536">
        <v>66332</v>
      </c>
      <c r="B536">
        <v>105</v>
      </c>
      <c r="C536" s="452">
        <v>46023</v>
      </c>
      <c r="D536" t="s">
        <v>557</v>
      </c>
      <c r="E536">
        <v>18581</v>
      </c>
      <c r="F536" t="s">
        <v>4747</v>
      </c>
      <c r="G536">
        <v>1.83</v>
      </c>
      <c r="H536" t="s">
        <v>4738</v>
      </c>
      <c r="I536" t="s">
        <v>459</v>
      </c>
    </row>
    <row r="537" spans="1:9" x14ac:dyDescent="0.3">
      <c r="A537">
        <v>66333</v>
      </c>
      <c r="B537">
        <v>105</v>
      </c>
      <c r="C537" s="452">
        <v>46023</v>
      </c>
      <c r="D537" t="s">
        <v>557</v>
      </c>
      <c r="E537">
        <v>18636</v>
      </c>
      <c r="F537" t="s">
        <v>4964</v>
      </c>
      <c r="G537">
        <v>2</v>
      </c>
      <c r="H537" t="s">
        <v>4965</v>
      </c>
      <c r="I537" t="s">
        <v>459</v>
      </c>
    </row>
    <row r="538" spans="1:9" x14ac:dyDescent="0.3">
      <c r="A538">
        <v>66334</v>
      </c>
      <c r="B538">
        <v>105</v>
      </c>
      <c r="C538" s="452">
        <v>46023</v>
      </c>
      <c r="D538" t="s">
        <v>557</v>
      </c>
      <c r="E538">
        <v>22636</v>
      </c>
      <c r="F538" t="s">
        <v>4761</v>
      </c>
      <c r="G538">
        <v>66</v>
      </c>
      <c r="H538" t="s">
        <v>4736</v>
      </c>
      <c r="I538" t="s">
        <v>459</v>
      </c>
    </row>
    <row r="539" spans="1:9" x14ac:dyDescent="0.3">
      <c r="A539">
        <v>66335</v>
      </c>
      <c r="B539">
        <v>105</v>
      </c>
      <c r="C539" s="452">
        <v>46023</v>
      </c>
      <c r="D539" t="s">
        <v>557</v>
      </c>
      <c r="E539">
        <v>24192</v>
      </c>
      <c r="F539" t="s">
        <v>4772</v>
      </c>
      <c r="G539">
        <v>9</v>
      </c>
      <c r="H539" t="s">
        <v>4736</v>
      </c>
      <c r="I539" t="s">
        <v>459</v>
      </c>
    </row>
    <row r="540" spans="1:9" x14ac:dyDescent="0.3">
      <c r="A540">
        <v>66336</v>
      </c>
      <c r="B540">
        <v>105</v>
      </c>
      <c r="C540" s="452">
        <v>46023</v>
      </c>
      <c r="D540" t="s">
        <v>557</v>
      </c>
      <c r="E540">
        <v>24470</v>
      </c>
      <c r="F540" t="s">
        <v>4752</v>
      </c>
      <c r="G540">
        <v>45</v>
      </c>
      <c r="H540" t="s">
        <v>4736</v>
      </c>
      <c r="I540" t="s">
        <v>459</v>
      </c>
    </row>
    <row r="541" spans="1:9" x14ac:dyDescent="0.3">
      <c r="A541">
        <v>66337</v>
      </c>
      <c r="B541">
        <v>105</v>
      </c>
      <c r="C541" s="452">
        <v>46023</v>
      </c>
      <c r="D541" t="s">
        <v>557</v>
      </c>
      <c r="E541">
        <v>18586</v>
      </c>
      <c r="F541" t="s">
        <v>4966</v>
      </c>
      <c r="G541">
        <v>1.25</v>
      </c>
      <c r="H541" t="s">
        <v>4738</v>
      </c>
      <c r="I541" t="s">
        <v>459</v>
      </c>
    </row>
    <row r="542" spans="1:9" x14ac:dyDescent="0.3">
      <c r="A542">
        <v>66338</v>
      </c>
      <c r="B542">
        <v>105</v>
      </c>
      <c r="C542" s="452">
        <v>46023</v>
      </c>
      <c r="D542" t="s">
        <v>557</v>
      </c>
      <c r="E542">
        <v>18548</v>
      </c>
      <c r="F542" t="s">
        <v>5029</v>
      </c>
      <c r="G542">
        <v>1</v>
      </c>
      <c r="H542" t="s">
        <v>4805</v>
      </c>
      <c r="I542" t="s">
        <v>459</v>
      </c>
    </row>
    <row r="543" spans="1:9" x14ac:dyDescent="0.3">
      <c r="A543">
        <v>66339</v>
      </c>
      <c r="B543">
        <v>105</v>
      </c>
      <c r="C543" s="452">
        <v>46023</v>
      </c>
      <c r="D543" t="s">
        <v>557</v>
      </c>
      <c r="E543">
        <v>18550</v>
      </c>
      <c r="F543" t="s">
        <v>4967</v>
      </c>
      <c r="G543">
        <v>2</v>
      </c>
      <c r="H543" t="s">
        <v>4805</v>
      </c>
      <c r="I543" t="s">
        <v>459</v>
      </c>
    </row>
    <row r="544" spans="1:9" x14ac:dyDescent="0.3">
      <c r="A544">
        <v>66340</v>
      </c>
      <c r="B544">
        <v>105</v>
      </c>
      <c r="C544" s="452">
        <v>46023</v>
      </c>
      <c r="D544" t="s">
        <v>557</v>
      </c>
      <c r="E544">
        <v>18547</v>
      </c>
      <c r="F544" t="s">
        <v>4863</v>
      </c>
      <c r="G544">
        <v>4</v>
      </c>
      <c r="H544" t="s">
        <v>4805</v>
      </c>
      <c r="I544" t="s">
        <v>459</v>
      </c>
    </row>
    <row r="545" spans="1:9" x14ac:dyDescent="0.3">
      <c r="A545">
        <v>66341</v>
      </c>
      <c r="B545">
        <v>105</v>
      </c>
      <c r="C545" s="452">
        <v>46023</v>
      </c>
      <c r="D545" t="s">
        <v>557</v>
      </c>
      <c r="E545">
        <v>18545</v>
      </c>
      <c r="F545" t="s">
        <v>4864</v>
      </c>
      <c r="G545">
        <v>2</v>
      </c>
      <c r="H545" t="s">
        <v>4805</v>
      </c>
      <c r="I545" t="s">
        <v>459</v>
      </c>
    </row>
    <row r="546" spans="1:9" x14ac:dyDescent="0.3">
      <c r="A546">
        <v>66342</v>
      </c>
      <c r="B546">
        <v>105</v>
      </c>
      <c r="C546" s="452">
        <v>46023</v>
      </c>
      <c r="D546" t="s">
        <v>557</v>
      </c>
      <c r="E546">
        <v>18518</v>
      </c>
      <c r="F546" t="s">
        <v>4838</v>
      </c>
      <c r="G546">
        <v>2</v>
      </c>
      <c r="H546" t="s">
        <v>4805</v>
      </c>
      <c r="I546" t="s">
        <v>459</v>
      </c>
    </row>
    <row r="547" spans="1:9" x14ac:dyDescent="0.3">
      <c r="A547">
        <v>66343</v>
      </c>
      <c r="B547">
        <v>105</v>
      </c>
      <c r="C547" s="452">
        <v>46023</v>
      </c>
      <c r="D547" t="s">
        <v>557</v>
      </c>
      <c r="E547">
        <v>18502</v>
      </c>
      <c r="F547" t="s">
        <v>4893</v>
      </c>
      <c r="G547">
        <v>4</v>
      </c>
      <c r="H547" t="s">
        <v>4805</v>
      </c>
      <c r="I547" t="s">
        <v>459</v>
      </c>
    </row>
    <row r="548" spans="1:9" x14ac:dyDescent="0.3">
      <c r="A548">
        <v>66344</v>
      </c>
      <c r="B548">
        <v>105</v>
      </c>
      <c r="C548" s="452">
        <v>46023</v>
      </c>
      <c r="D548" t="s">
        <v>557</v>
      </c>
      <c r="E548">
        <v>18450</v>
      </c>
      <c r="F548" t="s">
        <v>4979</v>
      </c>
      <c r="G548">
        <v>2</v>
      </c>
      <c r="H548" t="s">
        <v>4805</v>
      </c>
      <c r="I548" t="s">
        <v>459</v>
      </c>
    </row>
    <row r="549" spans="1:9" x14ac:dyDescent="0.3">
      <c r="A549">
        <v>66345</v>
      </c>
      <c r="B549">
        <v>105</v>
      </c>
      <c r="C549" s="452">
        <v>46023</v>
      </c>
      <c r="D549" t="s">
        <v>557</v>
      </c>
      <c r="E549">
        <v>18491</v>
      </c>
      <c r="F549" t="s">
        <v>4839</v>
      </c>
      <c r="G549">
        <v>6</v>
      </c>
      <c r="H549" t="s">
        <v>4805</v>
      </c>
      <c r="I549" t="s">
        <v>459</v>
      </c>
    </row>
    <row r="550" spans="1:9" x14ac:dyDescent="0.3">
      <c r="A550">
        <v>66346</v>
      </c>
      <c r="B550">
        <v>105</v>
      </c>
      <c r="C550" s="452">
        <v>46023</v>
      </c>
      <c r="D550" t="s">
        <v>557</v>
      </c>
      <c r="E550">
        <v>18477</v>
      </c>
      <c r="F550" t="s">
        <v>4920</v>
      </c>
      <c r="G550">
        <v>3</v>
      </c>
      <c r="H550" t="s">
        <v>4805</v>
      </c>
      <c r="I550" t="s">
        <v>459</v>
      </c>
    </row>
    <row r="551" spans="1:9" x14ac:dyDescent="0.3">
      <c r="A551">
        <v>66347</v>
      </c>
      <c r="B551">
        <v>105</v>
      </c>
      <c r="C551" s="452">
        <v>46023</v>
      </c>
      <c r="D551" t="s">
        <v>557</v>
      </c>
      <c r="E551">
        <v>18475</v>
      </c>
      <c r="F551" t="s">
        <v>4895</v>
      </c>
      <c r="G551">
        <v>5</v>
      </c>
      <c r="H551" t="s">
        <v>4805</v>
      </c>
      <c r="I551" t="s">
        <v>459</v>
      </c>
    </row>
    <row r="552" spans="1:9" x14ac:dyDescent="0.3">
      <c r="A552">
        <v>66348</v>
      </c>
      <c r="B552">
        <v>105</v>
      </c>
      <c r="C552" s="452">
        <v>46023</v>
      </c>
      <c r="D552" t="s">
        <v>557</v>
      </c>
      <c r="E552">
        <v>18462</v>
      </c>
      <c r="F552" t="s">
        <v>5031</v>
      </c>
      <c r="G552">
        <v>2</v>
      </c>
      <c r="H552" t="s">
        <v>4805</v>
      </c>
      <c r="I552" t="s">
        <v>459</v>
      </c>
    </row>
    <row r="553" spans="1:9" x14ac:dyDescent="0.3">
      <c r="A553">
        <v>66349</v>
      </c>
      <c r="B553">
        <v>105</v>
      </c>
      <c r="C553" s="452">
        <v>46023</v>
      </c>
      <c r="D553" t="s">
        <v>557</v>
      </c>
      <c r="E553">
        <v>18423</v>
      </c>
      <c r="F553" t="s">
        <v>4987</v>
      </c>
      <c r="G553">
        <v>2</v>
      </c>
      <c r="H553" t="s">
        <v>4805</v>
      </c>
      <c r="I553" t="s">
        <v>459</v>
      </c>
    </row>
    <row r="554" spans="1:9" x14ac:dyDescent="0.3">
      <c r="A554">
        <v>66350</v>
      </c>
      <c r="B554">
        <v>105</v>
      </c>
      <c r="C554" s="452">
        <v>46023</v>
      </c>
      <c r="D554" t="s">
        <v>557</v>
      </c>
      <c r="E554">
        <v>18394</v>
      </c>
      <c r="F554" t="s">
        <v>5032</v>
      </c>
      <c r="G554">
        <v>1</v>
      </c>
      <c r="H554" t="s">
        <v>4805</v>
      </c>
      <c r="I554" t="s">
        <v>459</v>
      </c>
    </row>
    <row r="555" spans="1:9" x14ac:dyDescent="0.3">
      <c r="A555">
        <v>66351</v>
      </c>
      <c r="B555">
        <v>105</v>
      </c>
      <c r="C555" s="452">
        <v>46023</v>
      </c>
      <c r="D555" t="s">
        <v>557</v>
      </c>
      <c r="E555">
        <v>18359</v>
      </c>
      <c r="F555" t="s">
        <v>4921</v>
      </c>
      <c r="G555">
        <v>3</v>
      </c>
      <c r="H555" t="s">
        <v>4805</v>
      </c>
      <c r="I555" t="s">
        <v>459</v>
      </c>
    </row>
    <row r="556" spans="1:9" x14ac:dyDescent="0.3">
      <c r="A556">
        <v>66352</v>
      </c>
      <c r="B556">
        <v>105</v>
      </c>
      <c r="C556" s="452">
        <v>46023</v>
      </c>
      <c r="D556" t="s">
        <v>557</v>
      </c>
      <c r="E556">
        <v>18339</v>
      </c>
      <c r="F556" t="s">
        <v>5033</v>
      </c>
      <c r="G556">
        <v>1</v>
      </c>
      <c r="H556" t="s">
        <v>4805</v>
      </c>
      <c r="I556" t="s">
        <v>459</v>
      </c>
    </row>
    <row r="557" spans="1:9" x14ac:dyDescent="0.3">
      <c r="A557">
        <v>66353</v>
      </c>
      <c r="B557">
        <v>105</v>
      </c>
      <c r="C557" s="452">
        <v>46023</v>
      </c>
      <c r="D557" t="s">
        <v>557</v>
      </c>
      <c r="E557">
        <v>18293</v>
      </c>
      <c r="F557" t="s">
        <v>5034</v>
      </c>
      <c r="G557">
        <v>1</v>
      </c>
      <c r="H557" t="s">
        <v>4805</v>
      </c>
      <c r="I557" t="s">
        <v>459</v>
      </c>
    </row>
    <row r="558" spans="1:9" x14ac:dyDescent="0.3">
      <c r="A558">
        <v>66354</v>
      </c>
      <c r="B558">
        <v>105</v>
      </c>
      <c r="C558" s="452">
        <v>46023</v>
      </c>
      <c r="D558" t="s">
        <v>557</v>
      </c>
      <c r="E558">
        <v>18327</v>
      </c>
      <c r="F558" t="s">
        <v>5035</v>
      </c>
      <c r="G558">
        <v>1</v>
      </c>
      <c r="H558" t="s">
        <v>4805</v>
      </c>
      <c r="I558" t="s">
        <v>459</v>
      </c>
    </row>
    <row r="559" spans="1:9" x14ac:dyDescent="0.3">
      <c r="A559">
        <v>66355</v>
      </c>
      <c r="B559">
        <v>105</v>
      </c>
      <c r="C559" s="452">
        <v>46023</v>
      </c>
      <c r="D559" t="s">
        <v>557</v>
      </c>
      <c r="E559">
        <v>24685</v>
      </c>
      <c r="F559" t="s">
        <v>5055</v>
      </c>
      <c r="G559">
        <v>1</v>
      </c>
      <c r="H559" t="s">
        <v>4805</v>
      </c>
      <c r="I559" t="s">
        <v>459</v>
      </c>
    </row>
    <row r="560" spans="1:9" x14ac:dyDescent="0.3">
      <c r="A560">
        <v>66356</v>
      </c>
      <c r="B560">
        <v>105</v>
      </c>
      <c r="C560" s="452">
        <v>46023</v>
      </c>
      <c r="D560" t="s">
        <v>557</v>
      </c>
      <c r="E560">
        <v>18315</v>
      </c>
      <c r="F560" t="s">
        <v>4922</v>
      </c>
      <c r="G560">
        <v>4</v>
      </c>
      <c r="H560" t="s">
        <v>4805</v>
      </c>
      <c r="I560" t="s">
        <v>459</v>
      </c>
    </row>
    <row r="561" spans="1:9" x14ac:dyDescent="0.3">
      <c r="A561">
        <v>66357</v>
      </c>
      <c r="B561">
        <v>105</v>
      </c>
      <c r="C561" s="452">
        <v>46023</v>
      </c>
      <c r="D561" t="s">
        <v>557</v>
      </c>
      <c r="E561">
        <v>18312</v>
      </c>
      <c r="F561" t="s">
        <v>5037</v>
      </c>
      <c r="G561">
        <v>1</v>
      </c>
      <c r="H561" t="s">
        <v>4805</v>
      </c>
      <c r="I561" t="s">
        <v>459</v>
      </c>
    </row>
    <row r="562" spans="1:9" x14ac:dyDescent="0.3">
      <c r="A562">
        <v>66358</v>
      </c>
      <c r="B562">
        <v>105</v>
      </c>
      <c r="C562" s="452">
        <v>46023</v>
      </c>
      <c r="D562" t="s">
        <v>557</v>
      </c>
      <c r="E562">
        <v>18295</v>
      </c>
      <c r="F562" t="s">
        <v>4968</v>
      </c>
      <c r="G562">
        <v>2</v>
      </c>
      <c r="H562" t="s">
        <v>4805</v>
      </c>
      <c r="I562" t="s">
        <v>459</v>
      </c>
    </row>
    <row r="563" spans="1:9" x14ac:dyDescent="0.3">
      <c r="A563">
        <v>66359</v>
      </c>
      <c r="B563">
        <v>105</v>
      </c>
      <c r="C563" s="452">
        <v>46023</v>
      </c>
      <c r="D563" t="s">
        <v>557</v>
      </c>
      <c r="E563">
        <v>18253</v>
      </c>
      <c r="F563" t="s">
        <v>4969</v>
      </c>
      <c r="G563">
        <v>3</v>
      </c>
      <c r="H563" t="s">
        <v>4805</v>
      </c>
      <c r="I563" t="s">
        <v>459</v>
      </c>
    </row>
    <row r="564" spans="1:9" x14ac:dyDescent="0.3">
      <c r="A564">
        <v>66360</v>
      </c>
      <c r="B564">
        <v>105</v>
      </c>
      <c r="C564" s="452">
        <v>46023</v>
      </c>
      <c r="D564" t="s">
        <v>557</v>
      </c>
      <c r="E564">
        <v>18233</v>
      </c>
      <c r="F564" t="s">
        <v>4970</v>
      </c>
      <c r="G564">
        <v>2</v>
      </c>
      <c r="H564" t="s">
        <v>4805</v>
      </c>
      <c r="I564" t="s">
        <v>459</v>
      </c>
    </row>
    <row r="565" spans="1:9" x14ac:dyDescent="0.3">
      <c r="A565">
        <v>66361</v>
      </c>
      <c r="B565">
        <v>105</v>
      </c>
      <c r="C565" s="452">
        <v>46023</v>
      </c>
      <c r="D565" t="s">
        <v>557</v>
      </c>
      <c r="E565">
        <v>18232</v>
      </c>
      <c r="F565" t="s">
        <v>4971</v>
      </c>
      <c r="G565">
        <v>1</v>
      </c>
      <c r="H565" t="s">
        <v>4805</v>
      </c>
      <c r="I565" t="s">
        <v>459</v>
      </c>
    </row>
    <row r="566" spans="1:9" x14ac:dyDescent="0.3">
      <c r="A566">
        <v>66362</v>
      </c>
      <c r="B566">
        <v>105</v>
      </c>
      <c r="C566" s="452">
        <v>46023</v>
      </c>
      <c r="D566" t="s">
        <v>557</v>
      </c>
      <c r="E566">
        <v>18219</v>
      </c>
      <c r="F566" t="s">
        <v>4972</v>
      </c>
      <c r="G566">
        <v>2</v>
      </c>
      <c r="H566" t="s">
        <v>4805</v>
      </c>
      <c r="I566" t="s">
        <v>459</v>
      </c>
    </row>
    <row r="567" spans="1:9" x14ac:dyDescent="0.3">
      <c r="A567">
        <v>66363</v>
      </c>
      <c r="B567">
        <v>105</v>
      </c>
      <c r="C567" s="452">
        <v>46023</v>
      </c>
      <c r="D567" t="s">
        <v>557</v>
      </c>
      <c r="E567">
        <v>18214</v>
      </c>
      <c r="F567" t="s">
        <v>5039</v>
      </c>
      <c r="G567">
        <v>1</v>
      </c>
      <c r="H567" t="s">
        <v>4805</v>
      </c>
      <c r="I567" t="s">
        <v>459</v>
      </c>
    </row>
    <row r="568" spans="1:9" x14ac:dyDescent="0.3">
      <c r="A568">
        <v>66364</v>
      </c>
      <c r="B568">
        <v>105</v>
      </c>
      <c r="C568" s="452">
        <v>46023</v>
      </c>
      <c r="D568" t="s">
        <v>557</v>
      </c>
      <c r="E568">
        <v>18194</v>
      </c>
      <c r="F568" t="s">
        <v>4923</v>
      </c>
      <c r="G568">
        <v>4</v>
      </c>
      <c r="H568" t="s">
        <v>4805</v>
      </c>
      <c r="I568" t="s">
        <v>459</v>
      </c>
    </row>
    <row r="569" spans="1:9" x14ac:dyDescent="0.3">
      <c r="A569">
        <v>66365</v>
      </c>
      <c r="B569">
        <v>105</v>
      </c>
      <c r="C569" s="452">
        <v>46023</v>
      </c>
      <c r="D569" t="s">
        <v>557</v>
      </c>
      <c r="E569">
        <v>18179</v>
      </c>
      <c r="F569" t="s">
        <v>4924</v>
      </c>
      <c r="G569">
        <v>6</v>
      </c>
      <c r="H569" t="s">
        <v>4805</v>
      </c>
      <c r="I569" t="s">
        <v>459</v>
      </c>
    </row>
    <row r="570" spans="1:9" x14ac:dyDescent="0.3">
      <c r="A570">
        <v>66366</v>
      </c>
      <c r="B570">
        <v>105</v>
      </c>
      <c r="C570" s="452">
        <v>46023</v>
      </c>
      <c r="D570" t="s">
        <v>557</v>
      </c>
      <c r="E570">
        <v>18172</v>
      </c>
      <c r="F570" t="s">
        <v>4804</v>
      </c>
      <c r="G570">
        <v>10</v>
      </c>
      <c r="H570" t="s">
        <v>4805</v>
      </c>
      <c r="I570" t="s">
        <v>459</v>
      </c>
    </row>
    <row r="571" spans="1:9" x14ac:dyDescent="0.3">
      <c r="A571">
        <v>66367</v>
      </c>
      <c r="B571">
        <v>105</v>
      </c>
      <c r="C571" s="452">
        <v>46023</v>
      </c>
      <c r="D571" t="s">
        <v>557</v>
      </c>
      <c r="E571">
        <v>18129</v>
      </c>
      <c r="F571" t="s">
        <v>5043</v>
      </c>
      <c r="G571">
        <v>1</v>
      </c>
      <c r="H571" t="s">
        <v>4805</v>
      </c>
      <c r="I571" t="s">
        <v>459</v>
      </c>
    </row>
    <row r="572" spans="1:9" x14ac:dyDescent="0.3">
      <c r="A572">
        <v>66368</v>
      </c>
      <c r="B572">
        <v>105</v>
      </c>
      <c r="C572" s="452">
        <v>46023</v>
      </c>
      <c r="D572" t="s">
        <v>557</v>
      </c>
      <c r="E572">
        <v>18119</v>
      </c>
      <c r="F572" t="s">
        <v>5044</v>
      </c>
      <c r="G572">
        <v>1</v>
      </c>
      <c r="H572" t="s">
        <v>4805</v>
      </c>
      <c r="I572" t="s">
        <v>459</v>
      </c>
    </row>
    <row r="573" spans="1:9" x14ac:dyDescent="0.3">
      <c r="A573">
        <v>66369</v>
      </c>
      <c r="B573">
        <v>105</v>
      </c>
      <c r="C573" s="452">
        <v>46023</v>
      </c>
      <c r="D573" t="s">
        <v>557</v>
      </c>
      <c r="E573">
        <v>18116</v>
      </c>
      <c r="F573" t="s">
        <v>5045</v>
      </c>
      <c r="G573">
        <v>1</v>
      </c>
      <c r="H573" t="s">
        <v>4805</v>
      </c>
      <c r="I573" t="s">
        <v>459</v>
      </c>
    </row>
    <row r="574" spans="1:9" x14ac:dyDescent="0.3">
      <c r="A574">
        <v>66370</v>
      </c>
      <c r="B574">
        <v>105</v>
      </c>
      <c r="C574" s="452">
        <v>46023</v>
      </c>
      <c r="D574" t="s">
        <v>557</v>
      </c>
      <c r="E574">
        <v>18114</v>
      </c>
      <c r="F574" t="s">
        <v>5046</v>
      </c>
      <c r="G574">
        <v>1</v>
      </c>
      <c r="H574" t="s">
        <v>4805</v>
      </c>
      <c r="I574" t="s">
        <v>459</v>
      </c>
    </row>
    <row r="575" spans="1:9" x14ac:dyDescent="0.3">
      <c r="A575">
        <v>66371</v>
      </c>
      <c r="B575">
        <v>105</v>
      </c>
      <c r="C575" s="452">
        <v>46023</v>
      </c>
      <c r="D575" t="s">
        <v>557</v>
      </c>
      <c r="E575">
        <v>18111</v>
      </c>
      <c r="F575" t="s">
        <v>5049</v>
      </c>
      <c r="G575">
        <v>2</v>
      </c>
      <c r="H575" t="s">
        <v>4805</v>
      </c>
      <c r="I575" t="s">
        <v>459</v>
      </c>
    </row>
    <row r="576" spans="1:9" x14ac:dyDescent="0.3">
      <c r="A576">
        <v>66372</v>
      </c>
      <c r="B576">
        <v>105</v>
      </c>
      <c r="C576" s="452">
        <v>46023</v>
      </c>
      <c r="D576" t="s">
        <v>557</v>
      </c>
      <c r="E576">
        <v>18085</v>
      </c>
      <c r="F576" t="s">
        <v>4973</v>
      </c>
      <c r="G576">
        <v>1</v>
      </c>
      <c r="H576" t="s">
        <v>4805</v>
      </c>
      <c r="I576" t="s">
        <v>459</v>
      </c>
    </row>
    <row r="577" spans="1:9" x14ac:dyDescent="0.3">
      <c r="A577">
        <v>66373</v>
      </c>
      <c r="B577">
        <v>105</v>
      </c>
      <c r="C577" s="452">
        <v>46023</v>
      </c>
      <c r="D577" t="s">
        <v>557</v>
      </c>
      <c r="E577">
        <v>18073</v>
      </c>
      <c r="F577" t="s">
        <v>4974</v>
      </c>
      <c r="G577">
        <v>2</v>
      </c>
      <c r="H577" t="s">
        <v>4805</v>
      </c>
      <c r="I577" t="s">
        <v>459</v>
      </c>
    </row>
    <row r="578" spans="1:9" x14ac:dyDescent="0.3">
      <c r="A578">
        <v>66374</v>
      </c>
      <c r="B578">
        <v>105</v>
      </c>
      <c r="C578" s="452">
        <v>46023</v>
      </c>
      <c r="D578" t="s">
        <v>557</v>
      </c>
      <c r="E578">
        <v>26210</v>
      </c>
      <c r="F578" t="s">
        <v>4975</v>
      </c>
      <c r="G578">
        <v>2</v>
      </c>
      <c r="H578" t="s">
        <v>4805</v>
      </c>
      <c r="I578" t="s">
        <v>459</v>
      </c>
    </row>
    <row r="579" spans="1:9" x14ac:dyDescent="0.3">
      <c r="A579">
        <v>66375</v>
      </c>
      <c r="B579">
        <v>105</v>
      </c>
      <c r="C579" s="452">
        <v>46023</v>
      </c>
      <c r="D579" t="s">
        <v>557</v>
      </c>
      <c r="E579">
        <v>18030</v>
      </c>
      <c r="F579" t="s">
        <v>4840</v>
      </c>
      <c r="G579">
        <v>2</v>
      </c>
      <c r="H579" t="s">
        <v>4805</v>
      </c>
      <c r="I579" t="s">
        <v>459</v>
      </c>
    </row>
    <row r="580" spans="1:9" x14ac:dyDescent="0.3">
      <c r="A580">
        <v>66376</v>
      </c>
      <c r="B580">
        <v>105</v>
      </c>
      <c r="C580" s="452">
        <v>46023</v>
      </c>
      <c r="D580" t="s">
        <v>557</v>
      </c>
      <c r="E580">
        <v>24011</v>
      </c>
      <c r="F580" t="s">
        <v>4739</v>
      </c>
      <c r="G580">
        <v>147</v>
      </c>
      <c r="H580" t="s">
        <v>4736</v>
      </c>
      <c r="I580" t="s">
        <v>459</v>
      </c>
    </row>
    <row r="581" spans="1:9" x14ac:dyDescent="0.3">
      <c r="A581">
        <v>66377</v>
      </c>
      <c r="B581">
        <v>105</v>
      </c>
      <c r="C581" s="452">
        <v>46023</v>
      </c>
      <c r="D581" t="s">
        <v>557</v>
      </c>
      <c r="E581">
        <v>17958</v>
      </c>
      <c r="F581" t="s">
        <v>5076</v>
      </c>
      <c r="G581">
        <v>12.83</v>
      </c>
      <c r="H581" t="s">
        <v>4738</v>
      </c>
      <c r="I581" t="s">
        <v>459</v>
      </c>
    </row>
    <row r="582" spans="1:9" x14ac:dyDescent="0.3">
      <c r="A582">
        <v>66378</v>
      </c>
      <c r="B582">
        <v>105</v>
      </c>
      <c r="C582" s="452">
        <v>46023</v>
      </c>
      <c r="D582" t="s">
        <v>557</v>
      </c>
      <c r="E582">
        <v>24029</v>
      </c>
      <c r="F582" t="s">
        <v>4756</v>
      </c>
      <c r="G582">
        <v>61</v>
      </c>
      <c r="H582" t="s">
        <v>4736</v>
      </c>
      <c r="I582" t="s">
        <v>459</v>
      </c>
    </row>
    <row r="583" spans="1:9" x14ac:dyDescent="0.3">
      <c r="A583">
        <v>66379</v>
      </c>
      <c r="B583">
        <v>105</v>
      </c>
      <c r="C583" s="452">
        <v>46023</v>
      </c>
      <c r="D583" t="s">
        <v>557</v>
      </c>
      <c r="E583">
        <v>22118</v>
      </c>
      <c r="F583" t="s">
        <v>4765</v>
      </c>
      <c r="G583">
        <v>9</v>
      </c>
      <c r="H583" t="s">
        <v>4749</v>
      </c>
      <c r="I583" t="s">
        <v>459</v>
      </c>
    </row>
    <row r="584" spans="1:9" x14ac:dyDescent="0.3">
      <c r="A584">
        <v>66380</v>
      </c>
      <c r="B584">
        <v>105</v>
      </c>
      <c r="C584" s="452">
        <v>46023</v>
      </c>
      <c r="D584" t="s">
        <v>557</v>
      </c>
      <c r="E584">
        <v>16973</v>
      </c>
      <c r="F584" t="s">
        <v>4827</v>
      </c>
      <c r="G584">
        <v>2</v>
      </c>
      <c r="H584" t="s">
        <v>4749</v>
      </c>
      <c r="I584" t="s">
        <v>459</v>
      </c>
    </row>
    <row r="585" spans="1:9" x14ac:dyDescent="0.3">
      <c r="A585">
        <v>66381</v>
      </c>
      <c r="B585">
        <v>105</v>
      </c>
      <c r="C585" s="452">
        <v>46023</v>
      </c>
      <c r="D585" t="s">
        <v>557</v>
      </c>
      <c r="E585">
        <v>17838</v>
      </c>
      <c r="F585" t="s">
        <v>4925</v>
      </c>
      <c r="G585">
        <v>1</v>
      </c>
      <c r="H585" t="s">
        <v>4749</v>
      </c>
      <c r="I585" t="s">
        <v>459</v>
      </c>
    </row>
    <row r="586" spans="1:9" x14ac:dyDescent="0.3">
      <c r="A586">
        <v>66382</v>
      </c>
      <c r="B586">
        <v>105</v>
      </c>
      <c r="C586" s="452">
        <v>46023</v>
      </c>
      <c r="D586" t="s">
        <v>557</v>
      </c>
      <c r="E586">
        <v>24226</v>
      </c>
      <c r="F586" t="s">
        <v>4795</v>
      </c>
      <c r="G586">
        <v>15</v>
      </c>
      <c r="H586" t="s">
        <v>4736</v>
      </c>
      <c r="I586" t="s">
        <v>459</v>
      </c>
    </row>
    <row r="587" spans="1:9" x14ac:dyDescent="0.3">
      <c r="A587">
        <v>66383</v>
      </c>
      <c r="B587">
        <v>105</v>
      </c>
      <c r="C587" s="452">
        <v>46023</v>
      </c>
      <c r="D587" t="s">
        <v>557</v>
      </c>
      <c r="E587">
        <v>24227</v>
      </c>
      <c r="F587" t="s">
        <v>4806</v>
      </c>
      <c r="G587">
        <v>21</v>
      </c>
      <c r="H587" t="s">
        <v>4736</v>
      </c>
      <c r="I587" t="s">
        <v>459</v>
      </c>
    </row>
    <row r="588" spans="1:9" x14ac:dyDescent="0.3">
      <c r="A588">
        <v>66384</v>
      </c>
      <c r="B588">
        <v>105</v>
      </c>
      <c r="C588" s="452">
        <v>46023</v>
      </c>
      <c r="D588" t="s">
        <v>557</v>
      </c>
      <c r="E588">
        <v>24307</v>
      </c>
      <c r="F588" t="s">
        <v>4755</v>
      </c>
      <c r="G588">
        <v>67</v>
      </c>
      <c r="H588" t="s">
        <v>4736</v>
      </c>
      <c r="I588" t="s">
        <v>459</v>
      </c>
    </row>
    <row r="589" spans="1:9" x14ac:dyDescent="0.3">
      <c r="A589">
        <v>66385</v>
      </c>
      <c r="B589">
        <v>105</v>
      </c>
      <c r="C589" s="452">
        <v>46023</v>
      </c>
      <c r="D589" t="s">
        <v>557</v>
      </c>
      <c r="E589">
        <v>24308</v>
      </c>
      <c r="F589" t="s">
        <v>4757</v>
      </c>
      <c r="G589">
        <v>14</v>
      </c>
      <c r="H589" t="s">
        <v>4736</v>
      </c>
      <c r="I589" t="s">
        <v>459</v>
      </c>
    </row>
    <row r="590" spans="1:9" x14ac:dyDescent="0.3">
      <c r="A590">
        <v>66386</v>
      </c>
      <c r="B590">
        <v>105</v>
      </c>
      <c r="C590" s="452">
        <v>46023</v>
      </c>
      <c r="D590" t="s">
        <v>557</v>
      </c>
      <c r="E590">
        <v>24409</v>
      </c>
      <c r="F590" t="s">
        <v>4742</v>
      </c>
      <c r="G590">
        <v>148</v>
      </c>
      <c r="H590" t="s">
        <v>4736</v>
      </c>
      <c r="I590" t="s">
        <v>459</v>
      </c>
    </row>
    <row r="591" spans="1:9" x14ac:dyDescent="0.3">
      <c r="A591">
        <v>66387</v>
      </c>
      <c r="B591">
        <v>105</v>
      </c>
      <c r="C591" s="452">
        <v>46023</v>
      </c>
      <c r="D591" t="s">
        <v>557</v>
      </c>
      <c r="E591">
        <v>24414</v>
      </c>
      <c r="F591" t="s">
        <v>4746</v>
      </c>
      <c r="G591">
        <v>14</v>
      </c>
      <c r="H591" t="s">
        <v>4736</v>
      </c>
      <c r="I591" t="s">
        <v>459</v>
      </c>
    </row>
    <row r="592" spans="1:9" x14ac:dyDescent="0.3">
      <c r="A592">
        <v>66388</v>
      </c>
      <c r="B592">
        <v>105</v>
      </c>
      <c r="C592" s="452">
        <v>46023</v>
      </c>
      <c r="D592" t="s">
        <v>557</v>
      </c>
      <c r="E592">
        <v>17878</v>
      </c>
      <c r="F592" t="s">
        <v>4926</v>
      </c>
      <c r="G592">
        <v>3</v>
      </c>
      <c r="H592" t="s">
        <v>4736</v>
      </c>
      <c r="I592" t="s">
        <v>459</v>
      </c>
    </row>
    <row r="593" spans="1:9" x14ac:dyDescent="0.3">
      <c r="A593">
        <v>66389</v>
      </c>
      <c r="B593">
        <v>105</v>
      </c>
      <c r="C593" s="452">
        <v>46023</v>
      </c>
      <c r="D593" t="s">
        <v>557</v>
      </c>
      <c r="E593">
        <v>25676</v>
      </c>
      <c r="F593" t="s">
        <v>4866</v>
      </c>
      <c r="G593">
        <v>5</v>
      </c>
      <c r="H593" t="s">
        <v>4805</v>
      </c>
      <c r="I593" t="s">
        <v>459</v>
      </c>
    </row>
    <row r="594" spans="1:9" x14ac:dyDescent="0.3">
      <c r="A594">
        <v>66390</v>
      </c>
      <c r="B594">
        <v>105</v>
      </c>
      <c r="C594" s="452">
        <v>46023</v>
      </c>
      <c r="D594" t="s">
        <v>557</v>
      </c>
      <c r="E594">
        <v>25683</v>
      </c>
      <c r="F594" t="s">
        <v>4928</v>
      </c>
      <c r="G594">
        <v>3</v>
      </c>
      <c r="H594" t="s">
        <v>4805</v>
      </c>
      <c r="I594" t="s">
        <v>459</v>
      </c>
    </row>
    <row r="595" spans="1:9" x14ac:dyDescent="0.3">
      <c r="A595">
        <v>66391</v>
      </c>
      <c r="B595">
        <v>105</v>
      </c>
      <c r="C595" s="452">
        <v>46023</v>
      </c>
      <c r="D595" t="s">
        <v>557</v>
      </c>
      <c r="E595">
        <v>26036</v>
      </c>
      <c r="F595" t="s">
        <v>4841</v>
      </c>
      <c r="G595">
        <v>8</v>
      </c>
      <c r="H595" t="s">
        <v>4805</v>
      </c>
      <c r="I595" t="s">
        <v>459</v>
      </c>
    </row>
    <row r="596" spans="1:9" x14ac:dyDescent="0.3">
      <c r="A596">
        <v>66392</v>
      </c>
      <c r="B596">
        <v>105</v>
      </c>
      <c r="C596" s="452">
        <v>46023</v>
      </c>
      <c r="D596" t="s">
        <v>557</v>
      </c>
      <c r="E596">
        <v>26032</v>
      </c>
      <c r="F596" t="s">
        <v>4896</v>
      </c>
      <c r="G596">
        <v>2</v>
      </c>
      <c r="H596" t="s">
        <v>4805</v>
      </c>
      <c r="I596" t="s">
        <v>459</v>
      </c>
    </row>
    <row r="597" spans="1:9" x14ac:dyDescent="0.3">
      <c r="A597">
        <v>66393</v>
      </c>
      <c r="B597">
        <v>105</v>
      </c>
      <c r="C597" s="452">
        <v>46023</v>
      </c>
      <c r="D597" t="s">
        <v>557</v>
      </c>
      <c r="E597">
        <v>26034</v>
      </c>
      <c r="F597" t="s">
        <v>4828</v>
      </c>
      <c r="G597">
        <v>3</v>
      </c>
      <c r="H597" t="s">
        <v>4805</v>
      </c>
      <c r="I597" t="s">
        <v>459</v>
      </c>
    </row>
    <row r="598" spans="1:9" x14ac:dyDescent="0.3">
      <c r="A598">
        <v>66394</v>
      </c>
      <c r="B598">
        <v>105</v>
      </c>
      <c r="C598" s="452">
        <v>46023</v>
      </c>
      <c r="D598" t="s">
        <v>557</v>
      </c>
      <c r="E598">
        <v>24614</v>
      </c>
      <c r="F598" t="s">
        <v>4897</v>
      </c>
      <c r="G598">
        <v>5</v>
      </c>
      <c r="H598" t="s">
        <v>4805</v>
      </c>
      <c r="I598" t="s">
        <v>459</v>
      </c>
    </row>
    <row r="599" spans="1:9" x14ac:dyDescent="0.3">
      <c r="A599">
        <v>66395</v>
      </c>
      <c r="B599">
        <v>105</v>
      </c>
      <c r="C599" s="452">
        <v>46023</v>
      </c>
      <c r="D599" t="s">
        <v>557</v>
      </c>
      <c r="E599">
        <v>26038</v>
      </c>
      <c r="F599" t="s">
        <v>4976</v>
      </c>
      <c r="G599">
        <v>4</v>
      </c>
      <c r="H599" t="s">
        <v>4805</v>
      </c>
      <c r="I599" t="s">
        <v>459</v>
      </c>
    </row>
    <row r="600" spans="1:9" x14ac:dyDescent="0.3">
      <c r="A600">
        <v>66396</v>
      </c>
      <c r="B600">
        <v>105</v>
      </c>
      <c r="C600" s="452">
        <v>46023</v>
      </c>
      <c r="D600" t="s">
        <v>557</v>
      </c>
      <c r="E600">
        <v>17578</v>
      </c>
      <c r="F600" t="s">
        <v>4842</v>
      </c>
      <c r="G600">
        <v>6</v>
      </c>
      <c r="H600" t="s">
        <v>4805</v>
      </c>
      <c r="I600" t="s">
        <v>459</v>
      </c>
    </row>
    <row r="601" spans="1:9" x14ac:dyDescent="0.3">
      <c r="A601">
        <v>66397</v>
      </c>
      <c r="B601">
        <v>105</v>
      </c>
      <c r="C601" s="452">
        <v>46023</v>
      </c>
      <c r="D601" t="s">
        <v>557</v>
      </c>
      <c r="E601">
        <v>26040</v>
      </c>
      <c r="F601" t="s">
        <v>4812</v>
      </c>
      <c r="G601">
        <v>2</v>
      </c>
      <c r="H601" t="s">
        <v>4805</v>
      </c>
      <c r="I601" t="s">
        <v>459</v>
      </c>
    </row>
    <row r="602" spans="1:9" x14ac:dyDescent="0.3">
      <c r="A602">
        <v>66398</v>
      </c>
      <c r="B602">
        <v>105</v>
      </c>
      <c r="C602" s="452">
        <v>46023</v>
      </c>
      <c r="D602" t="s">
        <v>557</v>
      </c>
      <c r="E602">
        <v>26044</v>
      </c>
      <c r="F602" t="s">
        <v>4843</v>
      </c>
      <c r="G602">
        <v>6</v>
      </c>
      <c r="H602" t="s">
        <v>4805</v>
      </c>
      <c r="I602" t="s">
        <v>459</v>
      </c>
    </row>
    <row r="603" spans="1:9" x14ac:dyDescent="0.3">
      <c r="A603">
        <v>66399</v>
      </c>
      <c r="B603">
        <v>105</v>
      </c>
      <c r="C603" s="452">
        <v>46023</v>
      </c>
      <c r="D603" t="s">
        <v>557</v>
      </c>
      <c r="E603">
        <v>26236</v>
      </c>
      <c r="F603" t="s">
        <v>5077</v>
      </c>
      <c r="G603">
        <v>2</v>
      </c>
      <c r="H603" t="s">
        <v>4805</v>
      </c>
      <c r="I603" t="s">
        <v>459</v>
      </c>
    </row>
    <row r="604" spans="1:9" x14ac:dyDescent="0.3">
      <c r="A604">
        <v>66400</v>
      </c>
      <c r="B604">
        <v>105</v>
      </c>
      <c r="C604" s="452">
        <v>46023</v>
      </c>
      <c r="D604" t="s">
        <v>557</v>
      </c>
      <c r="E604">
        <v>17658</v>
      </c>
      <c r="F604" t="s">
        <v>4978</v>
      </c>
      <c r="G604">
        <v>2</v>
      </c>
      <c r="H604" t="s">
        <v>4805</v>
      </c>
      <c r="I604" t="s">
        <v>459</v>
      </c>
    </row>
    <row r="605" spans="1:9" x14ac:dyDescent="0.3">
      <c r="A605">
        <v>66401</v>
      </c>
      <c r="B605">
        <v>105</v>
      </c>
      <c r="C605" s="452">
        <v>46023</v>
      </c>
      <c r="D605" t="s">
        <v>557</v>
      </c>
      <c r="E605">
        <v>19434</v>
      </c>
      <c r="F605" t="s">
        <v>5078</v>
      </c>
      <c r="G605">
        <v>2</v>
      </c>
      <c r="H605" t="s">
        <v>4738</v>
      </c>
      <c r="I605" t="s">
        <v>459</v>
      </c>
    </row>
    <row r="606" spans="1:9" x14ac:dyDescent="0.3">
      <c r="A606">
        <v>66402</v>
      </c>
      <c r="B606">
        <v>105</v>
      </c>
      <c r="C606" s="452">
        <v>46023</v>
      </c>
      <c r="D606" t="s">
        <v>557</v>
      </c>
      <c r="E606">
        <v>24458</v>
      </c>
      <c r="F606" t="s">
        <v>5079</v>
      </c>
      <c r="G606">
        <v>0.15</v>
      </c>
      <c r="H606" t="s">
        <v>4744</v>
      </c>
      <c r="I606" t="s">
        <v>459</v>
      </c>
    </row>
    <row r="607" spans="1:9" x14ac:dyDescent="0.3">
      <c r="A607">
        <v>66403</v>
      </c>
      <c r="B607">
        <v>105</v>
      </c>
      <c r="C607" s="452">
        <v>46023</v>
      </c>
      <c r="D607" t="s">
        <v>557</v>
      </c>
      <c r="E607">
        <v>20544</v>
      </c>
      <c r="F607" t="s">
        <v>4808</v>
      </c>
      <c r="G607">
        <v>3</v>
      </c>
      <c r="H607" t="s">
        <v>4744</v>
      </c>
      <c r="I607" t="s">
        <v>459</v>
      </c>
    </row>
    <row r="608" spans="1:9" x14ac:dyDescent="0.3">
      <c r="A608">
        <v>66404</v>
      </c>
      <c r="B608">
        <v>105</v>
      </c>
      <c r="C608" s="452">
        <v>46023</v>
      </c>
      <c r="D608" t="s">
        <v>557</v>
      </c>
      <c r="E608">
        <v>19895</v>
      </c>
      <c r="F608" t="s">
        <v>5080</v>
      </c>
      <c r="G608">
        <v>1</v>
      </c>
      <c r="H608" t="s">
        <v>4888</v>
      </c>
      <c r="I608" t="s">
        <v>459</v>
      </c>
    </row>
    <row r="609" spans="1:9" x14ac:dyDescent="0.3">
      <c r="A609">
        <v>66405</v>
      </c>
      <c r="B609">
        <v>105</v>
      </c>
      <c r="C609" s="452">
        <v>46023</v>
      </c>
      <c r="D609" t="s">
        <v>557</v>
      </c>
      <c r="E609">
        <v>23893</v>
      </c>
      <c r="F609" t="s">
        <v>5081</v>
      </c>
      <c r="G609">
        <v>0.7</v>
      </c>
      <c r="H609" t="s">
        <v>4955</v>
      </c>
      <c r="I609" t="s">
        <v>459</v>
      </c>
    </row>
    <row r="610" spans="1:9" x14ac:dyDescent="0.3">
      <c r="A610">
        <v>66406</v>
      </c>
      <c r="B610">
        <v>105</v>
      </c>
      <c r="C610" s="452">
        <v>46023</v>
      </c>
      <c r="D610" t="s">
        <v>557</v>
      </c>
      <c r="E610">
        <v>27808</v>
      </c>
      <c r="F610" t="s">
        <v>5082</v>
      </c>
      <c r="G610">
        <v>0.05</v>
      </c>
      <c r="H610" t="s">
        <v>4736</v>
      </c>
      <c r="I610" t="s">
        <v>459</v>
      </c>
    </row>
    <row r="611" spans="1:9" x14ac:dyDescent="0.3">
      <c r="A611">
        <v>66407</v>
      </c>
      <c r="B611">
        <v>105</v>
      </c>
      <c r="C611" s="452">
        <v>46023</v>
      </c>
      <c r="D611" t="s">
        <v>557</v>
      </c>
      <c r="E611">
        <v>18547</v>
      </c>
      <c r="F611" t="s">
        <v>4863</v>
      </c>
      <c r="G611">
        <v>0.22</v>
      </c>
      <c r="H611" t="s">
        <v>4805</v>
      </c>
      <c r="I611" t="s">
        <v>459</v>
      </c>
    </row>
    <row r="612" spans="1:9" x14ac:dyDescent="0.3">
      <c r="A612">
        <v>66408</v>
      </c>
      <c r="B612">
        <v>105</v>
      </c>
      <c r="C612" s="452">
        <v>46023</v>
      </c>
      <c r="D612" t="s">
        <v>557</v>
      </c>
      <c r="E612">
        <v>18212</v>
      </c>
      <c r="F612" t="s">
        <v>5040</v>
      </c>
      <c r="G612">
        <v>0.65</v>
      </c>
      <c r="H612" t="s">
        <v>4805</v>
      </c>
      <c r="I612" t="s">
        <v>459</v>
      </c>
    </row>
    <row r="613" spans="1:9" x14ac:dyDescent="0.3">
      <c r="A613">
        <v>66409</v>
      </c>
      <c r="B613">
        <v>105</v>
      </c>
      <c r="C613" s="452">
        <v>46023</v>
      </c>
      <c r="D613" t="s">
        <v>557</v>
      </c>
      <c r="E613">
        <v>18502</v>
      </c>
      <c r="F613" t="s">
        <v>4893</v>
      </c>
      <c r="G613">
        <v>0.82</v>
      </c>
      <c r="H613" t="s">
        <v>4805</v>
      </c>
      <c r="I613" t="s">
        <v>459</v>
      </c>
    </row>
    <row r="614" spans="1:9" x14ac:dyDescent="0.3">
      <c r="A614">
        <v>66410</v>
      </c>
      <c r="B614">
        <v>105</v>
      </c>
      <c r="C614" s="452">
        <v>46023</v>
      </c>
      <c r="D614" t="s">
        <v>557</v>
      </c>
      <c r="E614">
        <v>18491</v>
      </c>
      <c r="F614" t="s">
        <v>4839</v>
      </c>
      <c r="G614">
        <v>0.25</v>
      </c>
      <c r="H614" t="s">
        <v>4805</v>
      </c>
      <c r="I614" t="s">
        <v>459</v>
      </c>
    </row>
    <row r="615" spans="1:9" x14ac:dyDescent="0.3">
      <c r="A615">
        <v>66411</v>
      </c>
      <c r="B615">
        <v>105</v>
      </c>
      <c r="C615" s="452">
        <v>46023</v>
      </c>
      <c r="D615" t="s">
        <v>557</v>
      </c>
      <c r="E615">
        <v>18477</v>
      </c>
      <c r="F615" t="s">
        <v>4920</v>
      </c>
      <c r="G615">
        <v>0.65</v>
      </c>
      <c r="H615" t="s">
        <v>4805</v>
      </c>
      <c r="I615" t="s">
        <v>459</v>
      </c>
    </row>
    <row r="616" spans="1:9" x14ac:dyDescent="0.3">
      <c r="A616">
        <v>66412</v>
      </c>
      <c r="B616">
        <v>105</v>
      </c>
      <c r="C616" s="452">
        <v>46023</v>
      </c>
      <c r="D616" t="s">
        <v>557</v>
      </c>
      <c r="E616">
        <v>18394</v>
      </c>
      <c r="F616" t="s">
        <v>5032</v>
      </c>
      <c r="G616">
        <v>0.41</v>
      </c>
      <c r="H616" t="s">
        <v>4805</v>
      </c>
      <c r="I616" t="s">
        <v>459</v>
      </c>
    </row>
    <row r="617" spans="1:9" x14ac:dyDescent="0.3">
      <c r="A617">
        <v>66413</v>
      </c>
      <c r="B617">
        <v>105</v>
      </c>
      <c r="C617" s="452">
        <v>46023</v>
      </c>
      <c r="D617" t="s">
        <v>557</v>
      </c>
      <c r="E617">
        <v>18293</v>
      </c>
      <c r="F617" t="s">
        <v>5034</v>
      </c>
      <c r="G617">
        <v>0.65</v>
      </c>
      <c r="H617" t="s">
        <v>4805</v>
      </c>
      <c r="I617" t="s">
        <v>459</v>
      </c>
    </row>
    <row r="618" spans="1:9" x14ac:dyDescent="0.3">
      <c r="A618">
        <v>66414</v>
      </c>
      <c r="B618">
        <v>105</v>
      </c>
      <c r="C618" s="452">
        <v>46023</v>
      </c>
      <c r="D618" t="s">
        <v>557</v>
      </c>
      <c r="E618">
        <v>18289</v>
      </c>
      <c r="F618" t="s">
        <v>5036</v>
      </c>
      <c r="G618">
        <v>0.65</v>
      </c>
      <c r="H618" t="s">
        <v>4736</v>
      </c>
      <c r="I618" t="s">
        <v>459</v>
      </c>
    </row>
    <row r="619" spans="1:9" x14ac:dyDescent="0.3">
      <c r="A619">
        <v>66415</v>
      </c>
      <c r="B619">
        <v>105</v>
      </c>
      <c r="C619" s="452">
        <v>46023</v>
      </c>
      <c r="D619" t="s">
        <v>557</v>
      </c>
      <c r="E619">
        <v>18339</v>
      </c>
      <c r="F619" t="s">
        <v>5033</v>
      </c>
      <c r="G619">
        <v>0.45</v>
      </c>
      <c r="H619" t="s">
        <v>4805</v>
      </c>
      <c r="I619" t="s">
        <v>459</v>
      </c>
    </row>
    <row r="620" spans="1:9" x14ac:dyDescent="0.3">
      <c r="A620">
        <v>66416</v>
      </c>
      <c r="B620">
        <v>105</v>
      </c>
      <c r="C620" s="452">
        <v>46023</v>
      </c>
      <c r="D620" t="s">
        <v>557</v>
      </c>
      <c r="E620">
        <v>18315</v>
      </c>
      <c r="F620" t="s">
        <v>4922</v>
      </c>
      <c r="G620">
        <v>0.2</v>
      </c>
      <c r="H620" t="s">
        <v>4805</v>
      </c>
      <c r="I620" t="s">
        <v>459</v>
      </c>
    </row>
    <row r="621" spans="1:9" x14ac:dyDescent="0.3">
      <c r="A621">
        <v>66417</v>
      </c>
      <c r="B621">
        <v>105</v>
      </c>
      <c r="C621" s="452">
        <v>46023</v>
      </c>
      <c r="D621" t="s">
        <v>557</v>
      </c>
      <c r="E621">
        <v>24685</v>
      </c>
      <c r="F621" t="s">
        <v>5055</v>
      </c>
      <c r="G621">
        <v>0.65</v>
      </c>
      <c r="H621" t="s">
        <v>4805</v>
      </c>
      <c r="I621" t="s">
        <v>459</v>
      </c>
    </row>
    <row r="622" spans="1:9" x14ac:dyDescent="0.3">
      <c r="A622">
        <v>66418</v>
      </c>
      <c r="B622">
        <v>105</v>
      </c>
      <c r="C622" s="452">
        <v>46023</v>
      </c>
      <c r="D622" t="s">
        <v>557</v>
      </c>
      <c r="E622">
        <v>18317</v>
      </c>
      <c r="F622" t="s">
        <v>5056</v>
      </c>
      <c r="G622">
        <v>0.7</v>
      </c>
      <c r="H622" t="s">
        <v>4805</v>
      </c>
      <c r="I622" t="s">
        <v>459</v>
      </c>
    </row>
    <row r="623" spans="1:9" x14ac:dyDescent="0.3">
      <c r="A623">
        <v>66419</v>
      </c>
      <c r="B623">
        <v>105</v>
      </c>
      <c r="C623" s="452">
        <v>46023</v>
      </c>
      <c r="D623" t="s">
        <v>557</v>
      </c>
      <c r="E623">
        <v>18538</v>
      </c>
      <c r="F623" t="s">
        <v>5030</v>
      </c>
      <c r="G623">
        <v>0.91</v>
      </c>
      <c r="H623" t="s">
        <v>4805</v>
      </c>
      <c r="I623" t="s">
        <v>459</v>
      </c>
    </row>
    <row r="624" spans="1:9" x14ac:dyDescent="0.3">
      <c r="A624">
        <v>66420</v>
      </c>
      <c r="B624">
        <v>105</v>
      </c>
      <c r="C624" s="452">
        <v>46023</v>
      </c>
      <c r="D624" t="s">
        <v>557</v>
      </c>
      <c r="E624">
        <v>18273</v>
      </c>
      <c r="F624" t="s">
        <v>5058</v>
      </c>
      <c r="G624">
        <v>0.7</v>
      </c>
      <c r="H624" t="s">
        <v>4805</v>
      </c>
      <c r="I624" t="s">
        <v>459</v>
      </c>
    </row>
    <row r="625" spans="1:9" x14ac:dyDescent="0.3">
      <c r="A625">
        <v>66421</v>
      </c>
      <c r="B625">
        <v>105</v>
      </c>
      <c r="C625" s="452">
        <v>46023</v>
      </c>
      <c r="D625" t="s">
        <v>557</v>
      </c>
      <c r="E625">
        <v>18295</v>
      </c>
      <c r="F625" t="s">
        <v>4968</v>
      </c>
      <c r="G625">
        <v>0.3</v>
      </c>
      <c r="H625" t="s">
        <v>4805</v>
      </c>
      <c r="I625" t="s">
        <v>459</v>
      </c>
    </row>
    <row r="626" spans="1:9" x14ac:dyDescent="0.3">
      <c r="A626">
        <v>66422</v>
      </c>
      <c r="B626">
        <v>105</v>
      </c>
      <c r="C626" s="452">
        <v>46023</v>
      </c>
      <c r="D626" t="s">
        <v>557</v>
      </c>
      <c r="E626">
        <v>18233</v>
      </c>
      <c r="F626" t="s">
        <v>4970</v>
      </c>
      <c r="G626">
        <v>0.2</v>
      </c>
      <c r="H626" t="s">
        <v>4805</v>
      </c>
      <c r="I626" t="s">
        <v>459</v>
      </c>
    </row>
    <row r="627" spans="1:9" x14ac:dyDescent="0.3">
      <c r="A627">
        <v>66423</v>
      </c>
      <c r="B627">
        <v>105</v>
      </c>
      <c r="C627" s="452">
        <v>46023</v>
      </c>
      <c r="D627" t="s">
        <v>557</v>
      </c>
      <c r="E627">
        <v>18232</v>
      </c>
      <c r="F627" t="s">
        <v>4971</v>
      </c>
      <c r="G627">
        <v>0.4</v>
      </c>
      <c r="H627" t="s">
        <v>4805</v>
      </c>
      <c r="I627" t="s">
        <v>459</v>
      </c>
    </row>
    <row r="628" spans="1:9" x14ac:dyDescent="0.3">
      <c r="A628">
        <v>66424</v>
      </c>
      <c r="B628">
        <v>105</v>
      </c>
      <c r="C628" s="452">
        <v>46023</v>
      </c>
      <c r="D628" t="s">
        <v>557</v>
      </c>
      <c r="E628">
        <v>18157</v>
      </c>
      <c r="F628" t="s">
        <v>5041</v>
      </c>
      <c r="G628">
        <v>0.4</v>
      </c>
      <c r="H628" t="s">
        <v>4805</v>
      </c>
      <c r="I628" t="s">
        <v>459</v>
      </c>
    </row>
    <row r="629" spans="1:9" x14ac:dyDescent="0.3">
      <c r="A629">
        <v>66425</v>
      </c>
      <c r="B629">
        <v>105</v>
      </c>
      <c r="C629" s="452">
        <v>46023</v>
      </c>
      <c r="D629" t="s">
        <v>557</v>
      </c>
      <c r="E629">
        <v>18114</v>
      </c>
      <c r="F629" t="s">
        <v>5046</v>
      </c>
      <c r="G629">
        <v>0.6</v>
      </c>
      <c r="H629" t="s">
        <v>4805</v>
      </c>
      <c r="I629" t="s">
        <v>459</v>
      </c>
    </row>
    <row r="630" spans="1:9" x14ac:dyDescent="0.3">
      <c r="A630">
        <v>66426</v>
      </c>
      <c r="B630">
        <v>105</v>
      </c>
      <c r="C630" s="452">
        <v>46023</v>
      </c>
      <c r="D630" t="s">
        <v>557</v>
      </c>
      <c r="E630">
        <v>18119</v>
      </c>
      <c r="F630" t="s">
        <v>5044</v>
      </c>
      <c r="G630">
        <v>0.4</v>
      </c>
      <c r="H630" t="s">
        <v>4805</v>
      </c>
      <c r="I630" t="s">
        <v>459</v>
      </c>
    </row>
    <row r="631" spans="1:9" x14ac:dyDescent="0.3">
      <c r="A631">
        <v>66427</v>
      </c>
      <c r="B631">
        <v>105</v>
      </c>
      <c r="C631" s="452">
        <v>46023</v>
      </c>
      <c r="D631" t="s">
        <v>557</v>
      </c>
      <c r="E631">
        <v>18111</v>
      </c>
      <c r="F631" t="s">
        <v>5049</v>
      </c>
      <c r="G631">
        <v>0.42</v>
      </c>
      <c r="H631" t="s">
        <v>4805</v>
      </c>
      <c r="I631" t="s">
        <v>459</v>
      </c>
    </row>
    <row r="632" spans="1:9" x14ac:dyDescent="0.3">
      <c r="A632">
        <v>73032</v>
      </c>
      <c r="B632">
        <v>105</v>
      </c>
      <c r="C632" s="452">
        <v>46054</v>
      </c>
      <c r="D632" t="s">
        <v>557</v>
      </c>
      <c r="E632">
        <v>17886</v>
      </c>
      <c r="F632" t="s">
        <v>5083</v>
      </c>
      <c r="G632">
        <v>26.25</v>
      </c>
      <c r="H632" t="s">
        <v>4738</v>
      </c>
      <c r="I632" t="s">
        <v>460</v>
      </c>
    </row>
    <row r="633" spans="1:9" x14ac:dyDescent="0.3">
      <c r="A633">
        <v>73033</v>
      </c>
      <c r="B633">
        <v>105</v>
      </c>
      <c r="C633" s="452">
        <v>46054</v>
      </c>
      <c r="D633" t="s">
        <v>557</v>
      </c>
      <c r="E633">
        <v>17903</v>
      </c>
      <c r="F633" t="s">
        <v>5084</v>
      </c>
      <c r="G633">
        <v>22.25</v>
      </c>
      <c r="H633" t="s">
        <v>4738</v>
      </c>
      <c r="I633" t="s">
        <v>460</v>
      </c>
    </row>
    <row r="634" spans="1:9" x14ac:dyDescent="0.3">
      <c r="A634">
        <v>73034</v>
      </c>
      <c r="B634">
        <v>105</v>
      </c>
      <c r="C634" s="452">
        <v>46054</v>
      </c>
      <c r="D634" t="s">
        <v>557</v>
      </c>
      <c r="E634">
        <v>17905</v>
      </c>
      <c r="F634" t="s">
        <v>5085</v>
      </c>
      <c r="G634">
        <v>21.17</v>
      </c>
      <c r="H634" t="s">
        <v>4738</v>
      </c>
      <c r="I634" t="s">
        <v>460</v>
      </c>
    </row>
    <row r="635" spans="1:9" x14ac:dyDescent="0.3">
      <c r="A635">
        <v>73035</v>
      </c>
      <c r="B635">
        <v>105</v>
      </c>
      <c r="C635" s="452">
        <v>46054</v>
      </c>
      <c r="D635" t="s">
        <v>557</v>
      </c>
      <c r="E635">
        <v>17895</v>
      </c>
      <c r="F635" t="s">
        <v>5086</v>
      </c>
      <c r="G635">
        <v>20</v>
      </c>
      <c r="H635" t="s">
        <v>4738</v>
      </c>
      <c r="I635" t="s">
        <v>460</v>
      </c>
    </row>
    <row r="636" spans="1:9" x14ac:dyDescent="0.3">
      <c r="A636">
        <v>73036</v>
      </c>
      <c r="B636">
        <v>105</v>
      </c>
      <c r="C636" s="452">
        <v>46054</v>
      </c>
      <c r="D636" t="s">
        <v>557</v>
      </c>
      <c r="E636">
        <v>18579</v>
      </c>
      <c r="F636" t="s">
        <v>5087</v>
      </c>
      <c r="G636">
        <v>7.71</v>
      </c>
      <c r="H636" t="s">
        <v>4749</v>
      </c>
      <c r="I636" t="s">
        <v>460</v>
      </c>
    </row>
    <row r="637" spans="1:9" x14ac:dyDescent="0.3">
      <c r="A637">
        <v>73037</v>
      </c>
      <c r="B637">
        <v>105</v>
      </c>
      <c r="C637" s="452">
        <v>46054</v>
      </c>
      <c r="D637" t="s">
        <v>557</v>
      </c>
      <c r="E637">
        <v>24141</v>
      </c>
      <c r="F637" t="s">
        <v>5088</v>
      </c>
      <c r="G637">
        <v>7.58</v>
      </c>
      <c r="H637" t="s">
        <v>4749</v>
      </c>
      <c r="I637" t="s">
        <v>460</v>
      </c>
    </row>
    <row r="638" spans="1:9" x14ac:dyDescent="0.3">
      <c r="A638">
        <v>73038</v>
      </c>
      <c r="B638">
        <v>105</v>
      </c>
      <c r="C638" s="452">
        <v>46054</v>
      </c>
      <c r="D638" t="s">
        <v>557</v>
      </c>
      <c r="E638">
        <v>17042</v>
      </c>
      <c r="F638" t="s">
        <v>4748</v>
      </c>
      <c r="G638">
        <v>160</v>
      </c>
      <c r="H638" t="s">
        <v>4749</v>
      </c>
      <c r="I638" t="s">
        <v>460</v>
      </c>
    </row>
    <row r="639" spans="1:9" x14ac:dyDescent="0.3">
      <c r="A639">
        <v>73039</v>
      </c>
      <c r="B639">
        <v>105</v>
      </c>
      <c r="C639" s="452">
        <v>46054</v>
      </c>
      <c r="D639" t="s">
        <v>557</v>
      </c>
      <c r="E639">
        <v>23095</v>
      </c>
      <c r="F639" t="s">
        <v>4741</v>
      </c>
      <c r="G639">
        <v>138</v>
      </c>
      <c r="H639" t="s">
        <v>4736</v>
      </c>
      <c r="I639" t="s">
        <v>460</v>
      </c>
    </row>
    <row r="640" spans="1:9" x14ac:dyDescent="0.3">
      <c r="A640">
        <v>73040</v>
      </c>
      <c r="B640">
        <v>105</v>
      </c>
      <c r="C640" s="452">
        <v>46054</v>
      </c>
      <c r="D640" t="s">
        <v>557</v>
      </c>
      <c r="E640">
        <v>18589</v>
      </c>
      <c r="F640" t="s">
        <v>5089</v>
      </c>
      <c r="G640">
        <v>5.71</v>
      </c>
      <c r="H640" t="s">
        <v>4738</v>
      </c>
      <c r="I640" t="s">
        <v>460</v>
      </c>
    </row>
    <row r="641" spans="1:9" x14ac:dyDescent="0.3">
      <c r="A641">
        <v>73041</v>
      </c>
      <c r="B641">
        <v>105</v>
      </c>
      <c r="C641" s="452">
        <v>46054</v>
      </c>
      <c r="D641" t="s">
        <v>557</v>
      </c>
      <c r="E641">
        <v>24142</v>
      </c>
      <c r="F641" t="s">
        <v>5090</v>
      </c>
      <c r="G641">
        <v>3.75</v>
      </c>
      <c r="H641" t="s">
        <v>4749</v>
      </c>
      <c r="I641" t="s">
        <v>460</v>
      </c>
    </row>
    <row r="642" spans="1:9" x14ac:dyDescent="0.3">
      <c r="A642">
        <v>73042</v>
      </c>
      <c r="B642">
        <v>105</v>
      </c>
      <c r="C642" s="452">
        <v>46054</v>
      </c>
      <c r="D642" t="s">
        <v>557</v>
      </c>
      <c r="E642">
        <v>17950</v>
      </c>
      <c r="F642" t="s">
        <v>5091</v>
      </c>
      <c r="G642">
        <v>6.75</v>
      </c>
      <c r="H642" t="s">
        <v>4738</v>
      </c>
      <c r="I642" t="s">
        <v>460</v>
      </c>
    </row>
    <row r="643" spans="1:9" x14ac:dyDescent="0.3">
      <c r="A643">
        <v>73043</v>
      </c>
      <c r="B643">
        <v>105</v>
      </c>
      <c r="C643" s="452">
        <v>46054</v>
      </c>
      <c r="D643" t="s">
        <v>557</v>
      </c>
      <c r="E643">
        <v>23361</v>
      </c>
      <c r="F643" t="s">
        <v>4754</v>
      </c>
      <c r="G643">
        <v>72</v>
      </c>
      <c r="H643" t="s">
        <v>4744</v>
      </c>
      <c r="I643" t="s">
        <v>460</v>
      </c>
    </row>
    <row r="644" spans="1:9" x14ac:dyDescent="0.3">
      <c r="A644">
        <v>73044</v>
      </c>
      <c r="B644">
        <v>105</v>
      </c>
      <c r="C644" s="452">
        <v>46054</v>
      </c>
      <c r="D644" t="s">
        <v>557</v>
      </c>
      <c r="E644">
        <v>18595</v>
      </c>
      <c r="F644" t="s">
        <v>5092</v>
      </c>
      <c r="G644">
        <v>2.83</v>
      </c>
      <c r="H644" t="s">
        <v>4738</v>
      </c>
      <c r="I644" t="s">
        <v>460</v>
      </c>
    </row>
    <row r="645" spans="1:9" x14ac:dyDescent="0.3">
      <c r="A645">
        <v>73045</v>
      </c>
      <c r="B645">
        <v>105</v>
      </c>
      <c r="C645" s="452">
        <v>46054</v>
      </c>
      <c r="D645" t="s">
        <v>557</v>
      </c>
      <c r="E645">
        <v>18004</v>
      </c>
      <c r="F645" t="s">
        <v>5093</v>
      </c>
      <c r="G645">
        <v>5.5</v>
      </c>
      <c r="H645" t="s">
        <v>4738</v>
      </c>
      <c r="I645" t="s">
        <v>460</v>
      </c>
    </row>
    <row r="646" spans="1:9" x14ac:dyDescent="0.3">
      <c r="A646">
        <v>73046</v>
      </c>
      <c r="B646">
        <v>105</v>
      </c>
      <c r="C646" s="452">
        <v>46054</v>
      </c>
      <c r="D646" t="s">
        <v>557</v>
      </c>
      <c r="E646">
        <v>26505</v>
      </c>
      <c r="F646" t="s">
        <v>4750</v>
      </c>
      <c r="G646">
        <v>2.46</v>
      </c>
      <c r="H646" t="s">
        <v>4738</v>
      </c>
      <c r="I646" t="s">
        <v>460</v>
      </c>
    </row>
    <row r="647" spans="1:9" x14ac:dyDescent="0.3">
      <c r="A647">
        <v>73047</v>
      </c>
      <c r="B647">
        <v>105</v>
      </c>
      <c r="C647" s="452">
        <v>46054</v>
      </c>
      <c r="D647" t="s">
        <v>557</v>
      </c>
      <c r="E647">
        <v>23268</v>
      </c>
      <c r="F647" t="s">
        <v>4743</v>
      </c>
      <c r="G647">
        <v>51.1</v>
      </c>
      <c r="H647" t="s">
        <v>4744</v>
      </c>
      <c r="I647" t="s">
        <v>460</v>
      </c>
    </row>
    <row r="648" spans="1:9" x14ac:dyDescent="0.3">
      <c r="A648">
        <v>73048</v>
      </c>
      <c r="B648">
        <v>105</v>
      </c>
      <c r="C648" s="452">
        <v>46054</v>
      </c>
      <c r="D648" t="s">
        <v>557</v>
      </c>
      <c r="E648">
        <v>18006</v>
      </c>
      <c r="F648" t="s">
        <v>5094</v>
      </c>
      <c r="G648">
        <v>4.25</v>
      </c>
      <c r="H648" t="s">
        <v>4738</v>
      </c>
      <c r="I648" t="s">
        <v>460</v>
      </c>
    </row>
    <row r="649" spans="1:9" x14ac:dyDescent="0.3">
      <c r="A649">
        <v>73049</v>
      </c>
      <c r="B649">
        <v>105</v>
      </c>
      <c r="C649" s="452">
        <v>46054</v>
      </c>
      <c r="D649" t="s">
        <v>557</v>
      </c>
      <c r="E649">
        <v>26679</v>
      </c>
      <c r="F649" t="s">
        <v>4791</v>
      </c>
      <c r="G649">
        <v>49.26</v>
      </c>
      <c r="H649" t="s">
        <v>4744</v>
      </c>
      <c r="I649" t="s">
        <v>460</v>
      </c>
    </row>
    <row r="650" spans="1:9" x14ac:dyDescent="0.3">
      <c r="A650">
        <v>73050</v>
      </c>
      <c r="B650">
        <v>105</v>
      </c>
      <c r="C650" s="452">
        <v>46054</v>
      </c>
      <c r="D650" t="s">
        <v>557</v>
      </c>
      <c r="E650">
        <v>25561</v>
      </c>
      <c r="F650" t="s">
        <v>5095</v>
      </c>
      <c r="G650">
        <v>1.88</v>
      </c>
      <c r="H650" t="s">
        <v>4738</v>
      </c>
      <c r="I650" t="s">
        <v>460</v>
      </c>
    </row>
    <row r="651" spans="1:9" x14ac:dyDescent="0.3">
      <c r="A651">
        <v>73051</v>
      </c>
      <c r="B651">
        <v>105</v>
      </c>
      <c r="C651" s="452">
        <v>46054</v>
      </c>
      <c r="D651" t="s">
        <v>557</v>
      </c>
      <c r="E651">
        <v>18632</v>
      </c>
      <c r="F651" t="s">
        <v>5096</v>
      </c>
      <c r="G651">
        <v>1.21</v>
      </c>
      <c r="H651" t="s">
        <v>4749</v>
      </c>
      <c r="I651" t="s">
        <v>460</v>
      </c>
    </row>
    <row r="652" spans="1:9" x14ac:dyDescent="0.3">
      <c r="A652">
        <v>73052</v>
      </c>
      <c r="B652">
        <v>105</v>
      </c>
      <c r="C652" s="452">
        <v>46054</v>
      </c>
      <c r="D652" t="s">
        <v>557</v>
      </c>
      <c r="E652">
        <v>18579</v>
      </c>
      <c r="F652" t="s">
        <v>5087</v>
      </c>
      <c r="G652">
        <v>1.17</v>
      </c>
      <c r="H652" t="s">
        <v>4749</v>
      </c>
      <c r="I652" t="s">
        <v>460</v>
      </c>
    </row>
    <row r="653" spans="1:9" x14ac:dyDescent="0.3">
      <c r="A653">
        <v>73053</v>
      </c>
      <c r="B653">
        <v>105</v>
      </c>
      <c r="C653" s="452">
        <v>46054</v>
      </c>
      <c r="D653" t="s">
        <v>557</v>
      </c>
      <c r="E653">
        <v>18822</v>
      </c>
      <c r="F653" t="s">
        <v>4811</v>
      </c>
      <c r="G653">
        <v>27.67</v>
      </c>
      <c r="H653" t="s">
        <v>4744</v>
      </c>
      <c r="I653" t="s">
        <v>460</v>
      </c>
    </row>
    <row r="654" spans="1:9" x14ac:dyDescent="0.3">
      <c r="A654">
        <v>73054</v>
      </c>
      <c r="B654">
        <v>105</v>
      </c>
      <c r="C654" s="452">
        <v>46054</v>
      </c>
      <c r="D654" t="s">
        <v>557</v>
      </c>
      <c r="E654">
        <v>21093</v>
      </c>
      <c r="F654" t="s">
        <v>4855</v>
      </c>
      <c r="G654">
        <v>27</v>
      </c>
      <c r="H654" t="s">
        <v>4744</v>
      </c>
      <c r="I654" t="s">
        <v>460</v>
      </c>
    </row>
    <row r="655" spans="1:9" x14ac:dyDescent="0.3">
      <c r="A655">
        <v>73055</v>
      </c>
      <c r="B655">
        <v>105</v>
      </c>
      <c r="C655" s="452">
        <v>46054</v>
      </c>
      <c r="D655" t="s">
        <v>557</v>
      </c>
      <c r="E655">
        <v>24096</v>
      </c>
      <c r="F655" t="s">
        <v>4771</v>
      </c>
      <c r="G655">
        <v>26.95</v>
      </c>
      <c r="H655" t="s">
        <v>4744</v>
      </c>
      <c r="I655" t="s">
        <v>460</v>
      </c>
    </row>
    <row r="656" spans="1:9" x14ac:dyDescent="0.3">
      <c r="A656">
        <v>73056</v>
      </c>
      <c r="B656">
        <v>105</v>
      </c>
      <c r="C656" s="452">
        <v>46054</v>
      </c>
      <c r="D656" t="s">
        <v>557</v>
      </c>
      <c r="E656">
        <v>25777</v>
      </c>
      <c r="F656" t="s">
        <v>4774</v>
      </c>
      <c r="G656">
        <v>26.16</v>
      </c>
      <c r="H656" t="s">
        <v>4744</v>
      </c>
      <c r="I656" t="s">
        <v>460</v>
      </c>
    </row>
    <row r="657" spans="1:9" x14ac:dyDescent="0.3">
      <c r="A657">
        <v>73057</v>
      </c>
      <c r="B657">
        <v>105</v>
      </c>
      <c r="C657" s="452">
        <v>46054</v>
      </c>
      <c r="D657" t="s">
        <v>557</v>
      </c>
      <c r="E657">
        <v>24259</v>
      </c>
      <c r="F657" t="s">
        <v>4875</v>
      </c>
      <c r="G657">
        <v>25.11</v>
      </c>
      <c r="H657" t="s">
        <v>4744</v>
      </c>
      <c r="I657" t="s">
        <v>460</v>
      </c>
    </row>
    <row r="658" spans="1:9" x14ac:dyDescent="0.3">
      <c r="A658">
        <v>73058</v>
      </c>
      <c r="B658">
        <v>105</v>
      </c>
      <c r="C658" s="452">
        <v>46054</v>
      </c>
      <c r="D658" t="s">
        <v>557</v>
      </c>
      <c r="E658">
        <v>19532</v>
      </c>
      <c r="F658" t="s">
        <v>4753</v>
      </c>
      <c r="G658">
        <v>25</v>
      </c>
      <c r="H658" t="s">
        <v>4744</v>
      </c>
      <c r="I658" t="s">
        <v>460</v>
      </c>
    </row>
    <row r="659" spans="1:9" x14ac:dyDescent="0.3">
      <c r="A659">
        <v>73059</v>
      </c>
      <c r="B659">
        <v>105</v>
      </c>
      <c r="C659" s="452">
        <v>46054</v>
      </c>
      <c r="D659" t="s">
        <v>557</v>
      </c>
      <c r="E659">
        <v>24217</v>
      </c>
      <c r="F659" t="s">
        <v>4778</v>
      </c>
      <c r="G659">
        <v>24.06</v>
      </c>
      <c r="H659" t="s">
        <v>4744</v>
      </c>
      <c r="I659" t="s">
        <v>460</v>
      </c>
    </row>
    <row r="660" spans="1:9" x14ac:dyDescent="0.3">
      <c r="A660">
        <v>73060</v>
      </c>
      <c r="B660">
        <v>105</v>
      </c>
      <c r="C660" s="452">
        <v>46054</v>
      </c>
      <c r="D660" t="s">
        <v>557</v>
      </c>
      <c r="E660">
        <v>24351</v>
      </c>
      <c r="F660" t="s">
        <v>5014</v>
      </c>
      <c r="G660">
        <v>22.8</v>
      </c>
      <c r="H660" t="s">
        <v>4736</v>
      </c>
      <c r="I660" t="s">
        <v>460</v>
      </c>
    </row>
    <row r="661" spans="1:9" x14ac:dyDescent="0.3">
      <c r="A661">
        <v>73061</v>
      </c>
      <c r="B661">
        <v>105</v>
      </c>
      <c r="C661" s="452">
        <v>46054</v>
      </c>
      <c r="D661" t="s">
        <v>557</v>
      </c>
      <c r="E661">
        <v>19787</v>
      </c>
      <c r="F661" t="s">
        <v>4793</v>
      </c>
      <c r="G661">
        <v>22.62</v>
      </c>
      <c r="H661" t="s">
        <v>4744</v>
      </c>
      <c r="I661" t="s">
        <v>460</v>
      </c>
    </row>
    <row r="662" spans="1:9" x14ac:dyDescent="0.3">
      <c r="A662">
        <v>73062</v>
      </c>
      <c r="B662">
        <v>105</v>
      </c>
      <c r="C662" s="452">
        <v>46054</v>
      </c>
      <c r="D662" t="s">
        <v>557</v>
      </c>
      <c r="E662">
        <v>19003</v>
      </c>
      <c r="F662" t="s">
        <v>4810</v>
      </c>
      <c r="G662">
        <v>22.53</v>
      </c>
      <c r="H662" t="s">
        <v>4744</v>
      </c>
      <c r="I662" t="s">
        <v>460</v>
      </c>
    </row>
    <row r="663" spans="1:9" x14ac:dyDescent="0.3">
      <c r="A663">
        <v>73063</v>
      </c>
      <c r="B663">
        <v>105</v>
      </c>
      <c r="C663" s="452">
        <v>46054</v>
      </c>
      <c r="D663" t="s">
        <v>557</v>
      </c>
      <c r="E663">
        <v>23980</v>
      </c>
      <c r="F663" t="s">
        <v>5097</v>
      </c>
      <c r="G663">
        <v>22.32</v>
      </c>
      <c r="H663" t="s">
        <v>4744</v>
      </c>
      <c r="I663" t="s">
        <v>460</v>
      </c>
    </row>
    <row r="664" spans="1:9" x14ac:dyDescent="0.3">
      <c r="A664">
        <v>73064</v>
      </c>
      <c r="B664">
        <v>105</v>
      </c>
      <c r="C664" s="452">
        <v>46054</v>
      </c>
      <c r="D664" t="s">
        <v>557</v>
      </c>
      <c r="E664">
        <v>27018</v>
      </c>
      <c r="F664" t="s">
        <v>4737</v>
      </c>
      <c r="G664">
        <v>1.75</v>
      </c>
      <c r="H664" t="s">
        <v>4738</v>
      </c>
      <c r="I664" t="s">
        <v>460</v>
      </c>
    </row>
    <row r="665" spans="1:9" x14ac:dyDescent="0.3">
      <c r="A665">
        <v>73065</v>
      </c>
      <c r="B665">
        <v>105</v>
      </c>
      <c r="C665" s="452">
        <v>46054</v>
      </c>
      <c r="D665" t="s">
        <v>557</v>
      </c>
      <c r="E665">
        <v>26135</v>
      </c>
      <c r="F665" t="s">
        <v>4801</v>
      </c>
      <c r="G665">
        <v>20.9</v>
      </c>
      <c r="H665" t="s">
        <v>4744</v>
      </c>
      <c r="I665" t="s">
        <v>460</v>
      </c>
    </row>
    <row r="666" spans="1:9" x14ac:dyDescent="0.3">
      <c r="A666">
        <v>73066</v>
      </c>
      <c r="B666">
        <v>105</v>
      </c>
      <c r="C666" s="452">
        <v>46054</v>
      </c>
      <c r="D666" t="s">
        <v>557</v>
      </c>
      <c r="E666">
        <v>24509</v>
      </c>
      <c r="F666" t="s">
        <v>4788</v>
      </c>
      <c r="G666">
        <v>20.77</v>
      </c>
      <c r="H666" t="s">
        <v>4744</v>
      </c>
      <c r="I666" t="s">
        <v>460</v>
      </c>
    </row>
    <row r="667" spans="1:9" x14ac:dyDescent="0.3">
      <c r="A667">
        <v>73067</v>
      </c>
      <c r="B667">
        <v>105</v>
      </c>
      <c r="C667" s="452">
        <v>46054</v>
      </c>
      <c r="D667" t="s">
        <v>557</v>
      </c>
      <c r="E667">
        <v>19623</v>
      </c>
      <c r="F667" t="s">
        <v>4764</v>
      </c>
      <c r="G667">
        <v>18.84</v>
      </c>
      <c r="H667" t="s">
        <v>4744</v>
      </c>
      <c r="I667" t="s">
        <v>460</v>
      </c>
    </row>
    <row r="668" spans="1:9" x14ac:dyDescent="0.3">
      <c r="A668">
        <v>73068</v>
      </c>
      <c r="B668">
        <v>105</v>
      </c>
      <c r="C668" s="452">
        <v>46054</v>
      </c>
      <c r="D668" t="s">
        <v>557</v>
      </c>
      <c r="E668">
        <v>19634</v>
      </c>
      <c r="F668" t="s">
        <v>4792</v>
      </c>
      <c r="G668">
        <v>18.7</v>
      </c>
      <c r="H668" t="s">
        <v>4744</v>
      </c>
      <c r="I668" t="s">
        <v>460</v>
      </c>
    </row>
    <row r="669" spans="1:9" x14ac:dyDescent="0.3">
      <c r="A669">
        <v>73069</v>
      </c>
      <c r="B669">
        <v>105</v>
      </c>
      <c r="C669" s="452">
        <v>46054</v>
      </c>
      <c r="D669" t="s">
        <v>557</v>
      </c>
      <c r="E669">
        <v>23359</v>
      </c>
      <c r="F669" t="s">
        <v>4767</v>
      </c>
      <c r="G669">
        <v>17.5</v>
      </c>
      <c r="H669" t="s">
        <v>4744</v>
      </c>
      <c r="I669" t="s">
        <v>460</v>
      </c>
    </row>
    <row r="670" spans="1:9" x14ac:dyDescent="0.3">
      <c r="A670">
        <v>73070</v>
      </c>
      <c r="B670">
        <v>105</v>
      </c>
      <c r="C670" s="452">
        <v>46054</v>
      </c>
      <c r="D670" t="s">
        <v>557</v>
      </c>
      <c r="E670">
        <v>18586</v>
      </c>
      <c r="F670" t="s">
        <v>4966</v>
      </c>
      <c r="G670">
        <v>0.71</v>
      </c>
      <c r="H670" t="s">
        <v>4738</v>
      </c>
      <c r="I670" t="s">
        <v>460</v>
      </c>
    </row>
    <row r="671" spans="1:9" x14ac:dyDescent="0.3">
      <c r="A671">
        <v>73071</v>
      </c>
      <c r="B671">
        <v>105</v>
      </c>
      <c r="C671" s="452">
        <v>46054</v>
      </c>
      <c r="D671" t="s">
        <v>557</v>
      </c>
      <c r="E671">
        <v>19322</v>
      </c>
      <c r="F671" t="s">
        <v>4830</v>
      </c>
      <c r="G671">
        <v>16.100000000000001</v>
      </c>
      <c r="H671" t="s">
        <v>4744</v>
      </c>
      <c r="I671" t="s">
        <v>460</v>
      </c>
    </row>
    <row r="672" spans="1:9" x14ac:dyDescent="0.3">
      <c r="A672">
        <v>73072</v>
      </c>
      <c r="B672">
        <v>105</v>
      </c>
      <c r="C672" s="452">
        <v>46054</v>
      </c>
      <c r="D672" t="s">
        <v>557</v>
      </c>
      <c r="E672">
        <v>25167</v>
      </c>
      <c r="F672" t="s">
        <v>4758</v>
      </c>
      <c r="G672">
        <v>15</v>
      </c>
      <c r="H672" t="s">
        <v>4744</v>
      </c>
      <c r="I672" t="s">
        <v>460</v>
      </c>
    </row>
    <row r="673" spans="1:9" x14ac:dyDescent="0.3">
      <c r="A673">
        <v>73073</v>
      </c>
      <c r="B673">
        <v>105</v>
      </c>
      <c r="C673" s="452">
        <v>46054</v>
      </c>
      <c r="D673" t="s">
        <v>557</v>
      </c>
      <c r="E673">
        <v>17917</v>
      </c>
      <c r="F673" t="s">
        <v>5098</v>
      </c>
      <c r="G673">
        <v>0.62</v>
      </c>
      <c r="H673" t="s">
        <v>4738</v>
      </c>
      <c r="I673" t="s">
        <v>460</v>
      </c>
    </row>
    <row r="674" spans="1:9" x14ac:dyDescent="0.3">
      <c r="A674">
        <v>73074</v>
      </c>
      <c r="B674">
        <v>105</v>
      </c>
      <c r="C674" s="452">
        <v>46054</v>
      </c>
      <c r="D674" t="s">
        <v>557</v>
      </c>
      <c r="E674">
        <v>22843</v>
      </c>
      <c r="F674" t="s">
        <v>4849</v>
      </c>
      <c r="G674">
        <v>14.68</v>
      </c>
      <c r="H674" t="s">
        <v>4744</v>
      </c>
      <c r="I674" t="s">
        <v>460</v>
      </c>
    </row>
    <row r="675" spans="1:9" x14ac:dyDescent="0.3">
      <c r="A675">
        <v>73075</v>
      </c>
      <c r="B675">
        <v>105</v>
      </c>
      <c r="C675" s="452">
        <v>46054</v>
      </c>
      <c r="D675" t="s">
        <v>557</v>
      </c>
      <c r="E675">
        <v>17958</v>
      </c>
      <c r="F675" t="s">
        <v>5076</v>
      </c>
      <c r="G675">
        <v>14.1</v>
      </c>
      <c r="H675" t="s">
        <v>4738</v>
      </c>
      <c r="I675" t="s">
        <v>460</v>
      </c>
    </row>
    <row r="676" spans="1:9" x14ac:dyDescent="0.3">
      <c r="A676">
        <v>73076</v>
      </c>
      <c r="B676">
        <v>105</v>
      </c>
      <c r="C676" s="452">
        <v>46054</v>
      </c>
      <c r="D676" t="s">
        <v>557</v>
      </c>
      <c r="E676">
        <v>25762</v>
      </c>
      <c r="F676" t="s">
        <v>4770</v>
      </c>
      <c r="G676">
        <v>14</v>
      </c>
      <c r="H676" t="s">
        <v>4736</v>
      </c>
      <c r="I676" t="s">
        <v>460</v>
      </c>
    </row>
    <row r="677" spans="1:9" x14ac:dyDescent="0.3">
      <c r="A677">
        <v>73077</v>
      </c>
      <c r="B677">
        <v>105</v>
      </c>
      <c r="C677" s="452">
        <v>46054</v>
      </c>
      <c r="D677" t="s">
        <v>557</v>
      </c>
      <c r="E677">
        <v>26103</v>
      </c>
      <c r="F677" t="s">
        <v>4776</v>
      </c>
      <c r="G677">
        <v>14</v>
      </c>
      <c r="H677" t="s">
        <v>4749</v>
      </c>
      <c r="I677" t="s">
        <v>460</v>
      </c>
    </row>
    <row r="678" spans="1:9" x14ac:dyDescent="0.3">
      <c r="A678">
        <v>73078</v>
      </c>
      <c r="B678">
        <v>105</v>
      </c>
      <c r="C678" s="452">
        <v>46054</v>
      </c>
      <c r="D678" t="s">
        <v>557</v>
      </c>
      <c r="E678">
        <v>18172</v>
      </c>
      <c r="F678" t="s">
        <v>4804</v>
      </c>
      <c r="G678">
        <v>14</v>
      </c>
      <c r="H678" t="s">
        <v>4805</v>
      </c>
      <c r="I678" t="s">
        <v>460</v>
      </c>
    </row>
    <row r="679" spans="1:9" x14ac:dyDescent="0.3">
      <c r="A679">
        <v>73079</v>
      </c>
      <c r="B679">
        <v>105</v>
      </c>
      <c r="C679" s="452">
        <v>46054</v>
      </c>
      <c r="D679" t="s">
        <v>557</v>
      </c>
      <c r="E679">
        <v>19658</v>
      </c>
      <c r="F679" t="s">
        <v>4784</v>
      </c>
      <c r="G679">
        <v>13.88</v>
      </c>
      <c r="H679" t="s">
        <v>4744</v>
      </c>
      <c r="I679" t="s">
        <v>460</v>
      </c>
    </row>
    <row r="680" spans="1:9" x14ac:dyDescent="0.3">
      <c r="A680">
        <v>73080</v>
      </c>
      <c r="B680">
        <v>105</v>
      </c>
      <c r="C680" s="452">
        <v>46054</v>
      </c>
      <c r="D680" t="s">
        <v>557</v>
      </c>
      <c r="E680">
        <v>18832</v>
      </c>
      <c r="F680" t="s">
        <v>4785</v>
      </c>
      <c r="G680">
        <v>13.86</v>
      </c>
      <c r="H680" t="s">
        <v>4744</v>
      </c>
      <c r="I680" t="s">
        <v>460</v>
      </c>
    </row>
    <row r="681" spans="1:9" x14ac:dyDescent="0.3">
      <c r="A681">
        <v>73081</v>
      </c>
      <c r="B681">
        <v>105</v>
      </c>
      <c r="C681" s="452">
        <v>46054</v>
      </c>
      <c r="D681" t="s">
        <v>557</v>
      </c>
      <c r="E681">
        <v>27264</v>
      </c>
      <c r="F681" t="s">
        <v>5075</v>
      </c>
      <c r="G681">
        <v>12.51</v>
      </c>
      <c r="H681" t="s">
        <v>4744</v>
      </c>
      <c r="I681" t="s">
        <v>460</v>
      </c>
    </row>
    <row r="682" spans="1:9" x14ac:dyDescent="0.3">
      <c r="A682">
        <v>73082</v>
      </c>
      <c r="B682">
        <v>105</v>
      </c>
      <c r="C682" s="452">
        <v>46054</v>
      </c>
      <c r="D682" t="s">
        <v>557</v>
      </c>
      <c r="E682">
        <v>18475</v>
      </c>
      <c r="F682" t="s">
        <v>4895</v>
      </c>
      <c r="G682">
        <v>12.5</v>
      </c>
      <c r="H682" t="s">
        <v>4805</v>
      </c>
      <c r="I682" t="s">
        <v>460</v>
      </c>
    </row>
    <row r="683" spans="1:9" x14ac:dyDescent="0.3">
      <c r="A683">
        <v>73083</v>
      </c>
      <c r="B683">
        <v>105</v>
      </c>
      <c r="C683" s="452">
        <v>46054</v>
      </c>
      <c r="D683" t="s">
        <v>557</v>
      </c>
      <c r="E683">
        <v>25758</v>
      </c>
      <c r="F683" t="s">
        <v>4775</v>
      </c>
      <c r="G683">
        <v>12</v>
      </c>
      <c r="H683" t="s">
        <v>4736</v>
      </c>
      <c r="I683" t="s">
        <v>460</v>
      </c>
    </row>
    <row r="684" spans="1:9" x14ac:dyDescent="0.3">
      <c r="A684">
        <v>73084</v>
      </c>
      <c r="B684">
        <v>105</v>
      </c>
      <c r="C684" s="452">
        <v>46054</v>
      </c>
      <c r="D684" t="s">
        <v>557</v>
      </c>
      <c r="E684">
        <v>25757</v>
      </c>
      <c r="F684" t="s">
        <v>4763</v>
      </c>
      <c r="G684">
        <v>12</v>
      </c>
      <c r="H684" t="s">
        <v>4736</v>
      </c>
      <c r="I684" t="s">
        <v>460</v>
      </c>
    </row>
    <row r="685" spans="1:9" x14ac:dyDescent="0.3">
      <c r="A685">
        <v>73085</v>
      </c>
      <c r="B685">
        <v>105</v>
      </c>
      <c r="C685" s="452">
        <v>46054</v>
      </c>
      <c r="D685" t="s">
        <v>557</v>
      </c>
      <c r="E685">
        <v>20809</v>
      </c>
      <c r="F685" t="s">
        <v>4822</v>
      </c>
      <c r="G685">
        <v>12</v>
      </c>
      <c r="H685" t="s">
        <v>4738</v>
      </c>
      <c r="I685" t="s">
        <v>460</v>
      </c>
    </row>
    <row r="686" spans="1:9" x14ac:dyDescent="0.3">
      <c r="A686">
        <v>73086</v>
      </c>
      <c r="B686">
        <v>105</v>
      </c>
      <c r="C686" s="452">
        <v>46054</v>
      </c>
      <c r="D686" t="s">
        <v>557</v>
      </c>
      <c r="E686">
        <v>19964</v>
      </c>
      <c r="F686" t="s">
        <v>4817</v>
      </c>
      <c r="G686">
        <v>12</v>
      </c>
      <c r="H686" t="s">
        <v>4736</v>
      </c>
      <c r="I686" t="s">
        <v>460</v>
      </c>
    </row>
    <row r="687" spans="1:9" x14ac:dyDescent="0.3">
      <c r="A687">
        <v>73087</v>
      </c>
      <c r="B687">
        <v>105</v>
      </c>
      <c r="C687" s="452">
        <v>46054</v>
      </c>
      <c r="D687" t="s">
        <v>557</v>
      </c>
      <c r="E687">
        <v>24199</v>
      </c>
      <c r="F687" t="s">
        <v>4783</v>
      </c>
      <c r="G687">
        <v>11.65</v>
      </c>
      <c r="H687" t="s">
        <v>4744</v>
      </c>
      <c r="I687" t="s">
        <v>460</v>
      </c>
    </row>
    <row r="688" spans="1:9" x14ac:dyDescent="0.3">
      <c r="A688">
        <v>73088</v>
      </c>
      <c r="B688">
        <v>105</v>
      </c>
      <c r="C688" s="452">
        <v>46054</v>
      </c>
      <c r="D688" t="s">
        <v>557</v>
      </c>
      <c r="E688">
        <v>26034</v>
      </c>
      <c r="F688" t="s">
        <v>4828</v>
      </c>
      <c r="G688">
        <v>11.65</v>
      </c>
      <c r="H688" t="s">
        <v>4805</v>
      </c>
      <c r="I688" t="s">
        <v>460</v>
      </c>
    </row>
    <row r="689" spans="1:9" x14ac:dyDescent="0.3">
      <c r="A689">
        <v>73089</v>
      </c>
      <c r="B689">
        <v>105</v>
      </c>
      <c r="C689" s="452">
        <v>46054</v>
      </c>
      <c r="D689" t="s">
        <v>557</v>
      </c>
      <c r="E689">
        <v>20054</v>
      </c>
      <c r="F689" t="s">
        <v>4856</v>
      </c>
      <c r="G689">
        <v>11</v>
      </c>
      <c r="H689" t="s">
        <v>4736</v>
      </c>
      <c r="I689" t="s">
        <v>460</v>
      </c>
    </row>
    <row r="690" spans="1:9" x14ac:dyDescent="0.3">
      <c r="A690">
        <v>73090</v>
      </c>
      <c r="B690">
        <v>105</v>
      </c>
      <c r="C690" s="452">
        <v>46054</v>
      </c>
      <c r="D690" t="s">
        <v>557</v>
      </c>
      <c r="E690">
        <v>20521</v>
      </c>
      <c r="F690" t="s">
        <v>4797</v>
      </c>
      <c r="G690">
        <v>11</v>
      </c>
      <c r="H690" t="s">
        <v>4744</v>
      </c>
      <c r="I690" t="s">
        <v>460</v>
      </c>
    </row>
    <row r="691" spans="1:9" x14ac:dyDescent="0.3">
      <c r="A691">
        <v>73091</v>
      </c>
      <c r="B691">
        <v>105</v>
      </c>
      <c r="C691" s="452">
        <v>46054</v>
      </c>
      <c r="D691" t="s">
        <v>557</v>
      </c>
      <c r="E691">
        <v>19654</v>
      </c>
      <c r="F691" t="s">
        <v>5099</v>
      </c>
      <c r="G691">
        <v>11</v>
      </c>
      <c r="H691" t="s">
        <v>4744</v>
      </c>
      <c r="I691" t="s">
        <v>460</v>
      </c>
    </row>
    <row r="692" spans="1:9" x14ac:dyDescent="0.3">
      <c r="A692">
        <v>73092</v>
      </c>
      <c r="B692">
        <v>105</v>
      </c>
      <c r="C692" s="452">
        <v>46054</v>
      </c>
      <c r="D692" t="s">
        <v>557</v>
      </c>
      <c r="E692">
        <v>19751</v>
      </c>
      <c r="F692" t="s">
        <v>4800</v>
      </c>
      <c r="G692">
        <v>10.86</v>
      </c>
      <c r="H692" t="s">
        <v>4744</v>
      </c>
      <c r="I692" t="s">
        <v>460</v>
      </c>
    </row>
    <row r="693" spans="1:9" x14ac:dyDescent="0.3">
      <c r="A693">
        <v>73093</v>
      </c>
      <c r="B693">
        <v>105</v>
      </c>
      <c r="C693" s="452">
        <v>46054</v>
      </c>
      <c r="D693" t="s">
        <v>557</v>
      </c>
      <c r="E693">
        <v>26495</v>
      </c>
      <c r="F693" t="s">
        <v>4867</v>
      </c>
      <c r="G693">
        <v>10.61</v>
      </c>
      <c r="H693" t="s">
        <v>4744</v>
      </c>
      <c r="I693" t="s">
        <v>460</v>
      </c>
    </row>
    <row r="694" spans="1:9" x14ac:dyDescent="0.3">
      <c r="A694">
        <v>73094</v>
      </c>
      <c r="B694">
        <v>105</v>
      </c>
      <c r="C694" s="452">
        <v>46054</v>
      </c>
      <c r="D694" t="s">
        <v>557</v>
      </c>
      <c r="E694">
        <v>20549</v>
      </c>
      <c r="F694" t="s">
        <v>4823</v>
      </c>
      <c r="G694">
        <v>10.6</v>
      </c>
      <c r="H694" t="s">
        <v>4744</v>
      </c>
      <c r="I694" t="s">
        <v>460</v>
      </c>
    </row>
    <row r="695" spans="1:9" x14ac:dyDescent="0.3">
      <c r="A695">
        <v>73095</v>
      </c>
      <c r="B695">
        <v>105</v>
      </c>
      <c r="C695" s="452">
        <v>46054</v>
      </c>
      <c r="D695" t="s">
        <v>557</v>
      </c>
      <c r="E695">
        <v>19740</v>
      </c>
      <c r="F695" t="s">
        <v>4779</v>
      </c>
      <c r="G695">
        <v>10.3</v>
      </c>
      <c r="H695" t="s">
        <v>4744</v>
      </c>
      <c r="I695" t="s">
        <v>460</v>
      </c>
    </row>
    <row r="696" spans="1:9" x14ac:dyDescent="0.3">
      <c r="A696">
        <v>73096</v>
      </c>
      <c r="B696">
        <v>105</v>
      </c>
      <c r="C696" s="452">
        <v>46054</v>
      </c>
      <c r="D696" t="s">
        <v>557</v>
      </c>
      <c r="E696">
        <v>20301</v>
      </c>
      <c r="F696" t="s">
        <v>4944</v>
      </c>
      <c r="G696">
        <v>10</v>
      </c>
      <c r="H696" t="s">
        <v>4738</v>
      </c>
      <c r="I696" t="s">
        <v>460</v>
      </c>
    </row>
    <row r="697" spans="1:9" x14ac:dyDescent="0.3">
      <c r="A697">
        <v>73097</v>
      </c>
      <c r="B697">
        <v>105</v>
      </c>
      <c r="C697" s="452">
        <v>46054</v>
      </c>
      <c r="D697" t="s">
        <v>557</v>
      </c>
      <c r="E697">
        <v>19224</v>
      </c>
      <c r="F697" t="s">
        <v>5100</v>
      </c>
      <c r="G697">
        <v>2</v>
      </c>
      <c r="H697" t="s">
        <v>4736</v>
      </c>
      <c r="I697" t="s">
        <v>460</v>
      </c>
    </row>
    <row r="698" spans="1:9" x14ac:dyDescent="0.3">
      <c r="A698">
        <v>73098</v>
      </c>
      <c r="B698">
        <v>105</v>
      </c>
      <c r="C698" s="452">
        <v>46054</v>
      </c>
      <c r="D698" t="s">
        <v>557</v>
      </c>
      <c r="E698">
        <v>27018</v>
      </c>
      <c r="F698" t="s">
        <v>4737</v>
      </c>
      <c r="G698">
        <v>0.83</v>
      </c>
      <c r="H698" t="s">
        <v>4738</v>
      </c>
      <c r="I698" t="s">
        <v>460</v>
      </c>
    </row>
    <row r="699" spans="1:9" x14ac:dyDescent="0.3">
      <c r="A699">
        <v>73099</v>
      </c>
      <c r="B699">
        <v>105</v>
      </c>
      <c r="C699" s="452">
        <v>46054</v>
      </c>
      <c r="D699" t="s">
        <v>557</v>
      </c>
      <c r="E699">
        <v>18735</v>
      </c>
      <c r="F699" t="s">
        <v>4891</v>
      </c>
      <c r="G699">
        <v>9.59</v>
      </c>
      <c r="H699" t="s">
        <v>4744</v>
      </c>
      <c r="I699" t="s">
        <v>460</v>
      </c>
    </row>
    <row r="700" spans="1:9" x14ac:dyDescent="0.3">
      <c r="A700">
        <v>73100</v>
      </c>
      <c r="B700">
        <v>105</v>
      </c>
      <c r="C700" s="452">
        <v>46054</v>
      </c>
      <c r="D700" t="s">
        <v>557</v>
      </c>
      <c r="E700">
        <v>18518</v>
      </c>
      <c r="F700" t="s">
        <v>4838</v>
      </c>
      <c r="G700">
        <v>9.3000000000000007</v>
      </c>
      <c r="H700" t="s">
        <v>4805</v>
      </c>
      <c r="I700" t="s">
        <v>460</v>
      </c>
    </row>
    <row r="701" spans="1:9" x14ac:dyDescent="0.3">
      <c r="A701">
        <v>73101</v>
      </c>
      <c r="B701">
        <v>105</v>
      </c>
      <c r="C701" s="452">
        <v>46054</v>
      </c>
      <c r="D701" t="s">
        <v>557</v>
      </c>
      <c r="E701">
        <v>19041</v>
      </c>
      <c r="F701" t="s">
        <v>4762</v>
      </c>
      <c r="G701">
        <v>9.1999999999999993</v>
      </c>
      <c r="H701" t="s">
        <v>4744</v>
      </c>
      <c r="I701" t="s">
        <v>460</v>
      </c>
    </row>
    <row r="702" spans="1:9" x14ac:dyDescent="0.3">
      <c r="A702">
        <v>73102</v>
      </c>
      <c r="B702">
        <v>105</v>
      </c>
      <c r="C702" s="452">
        <v>46054</v>
      </c>
      <c r="D702" t="s">
        <v>557</v>
      </c>
      <c r="E702">
        <v>19291</v>
      </c>
      <c r="F702" t="s">
        <v>4870</v>
      </c>
      <c r="G702">
        <v>9.18</v>
      </c>
      <c r="H702" t="s">
        <v>4744</v>
      </c>
      <c r="I702" t="s">
        <v>460</v>
      </c>
    </row>
    <row r="703" spans="1:9" x14ac:dyDescent="0.3">
      <c r="A703">
        <v>73103</v>
      </c>
      <c r="B703">
        <v>105</v>
      </c>
      <c r="C703" s="452">
        <v>46054</v>
      </c>
      <c r="D703" t="s">
        <v>557</v>
      </c>
      <c r="E703">
        <v>25756</v>
      </c>
      <c r="F703" t="s">
        <v>4854</v>
      </c>
      <c r="G703">
        <v>9</v>
      </c>
      <c r="H703" t="s">
        <v>4749</v>
      </c>
      <c r="I703" t="s">
        <v>460</v>
      </c>
    </row>
    <row r="704" spans="1:9" x14ac:dyDescent="0.3">
      <c r="A704">
        <v>73104</v>
      </c>
      <c r="B704">
        <v>105</v>
      </c>
      <c r="C704" s="452">
        <v>46054</v>
      </c>
      <c r="D704" t="s">
        <v>557</v>
      </c>
      <c r="E704">
        <v>25755</v>
      </c>
      <c r="F704" t="s">
        <v>4821</v>
      </c>
      <c r="G704">
        <v>9</v>
      </c>
      <c r="H704" t="s">
        <v>4749</v>
      </c>
      <c r="I704" t="s">
        <v>460</v>
      </c>
    </row>
    <row r="705" spans="1:9" x14ac:dyDescent="0.3">
      <c r="A705">
        <v>73105</v>
      </c>
      <c r="B705">
        <v>105</v>
      </c>
      <c r="C705" s="452">
        <v>46054</v>
      </c>
      <c r="D705" t="s">
        <v>557</v>
      </c>
      <c r="E705">
        <v>20365</v>
      </c>
      <c r="F705" t="s">
        <v>4796</v>
      </c>
      <c r="G705">
        <v>9</v>
      </c>
      <c r="H705" t="s">
        <v>4736</v>
      </c>
      <c r="I705" t="s">
        <v>460</v>
      </c>
    </row>
    <row r="706" spans="1:9" x14ac:dyDescent="0.3">
      <c r="A706">
        <v>73106</v>
      </c>
      <c r="B706">
        <v>105</v>
      </c>
      <c r="C706" s="452">
        <v>46054</v>
      </c>
      <c r="D706" t="s">
        <v>557</v>
      </c>
      <c r="E706">
        <v>20242</v>
      </c>
      <c r="F706" t="s">
        <v>4824</v>
      </c>
      <c r="G706">
        <v>9</v>
      </c>
      <c r="H706" t="s">
        <v>4738</v>
      </c>
      <c r="I706" t="s">
        <v>460</v>
      </c>
    </row>
    <row r="707" spans="1:9" x14ac:dyDescent="0.3">
      <c r="A707">
        <v>73107</v>
      </c>
      <c r="B707">
        <v>105</v>
      </c>
      <c r="C707" s="452">
        <v>46054</v>
      </c>
      <c r="D707" t="s">
        <v>557</v>
      </c>
      <c r="E707">
        <v>18030</v>
      </c>
      <c r="F707" t="s">
        <v>4840</v>
      </c>
      <c r="G707">
        <v>8.5</v>
      </c>
      <c r="H707" t="s">
        <v>4805</v>
      </c>
      <c r="I707" t="s">
        <v>460</v>
      </c>
    </row>
    <row r="708" spans="1:9" x14ac:dyDescent="0.3">
      <c r="A708">
        <v>73108</v>
      </c>
      <c r="B708">
        <v>105</v>
      </c>
      <c r="C708" s="452">
        <v>46054</v>
      </c>
      <c r="D708" t="s">
        <v>557</v>
      </c>
      <c r="E708">
        <v>19734</v>
      </c>
      <c r="F708" t="s">
        <v>4833</v>
      </c>
      <c r="G708">
        <v>8.1999999999999993</v>
      </c>
      <c r="H708" t="s">
        <v>4744</v>
      </c>
      <c r="I708" t="s">
        <v>460</v>
      </c>
    </row>
    <row r="709" spans="1:9" x14ac:dyDescent="0.3">
      <c r="A709">
        <v>73109</v>
      </c>
      <c r="B709">
        <v>105</v>
      </c>
      <c r="C709" s="452">
        <v>46054</v>
      </c>
      <c r="D709" t="s">
        <v>557</v>
      </c>
      <c r="E709">
        <v>20623</v>
      </c>
      <c r="F709" t="s">
        <v>4814</v>
      </c>
      <c r="G709">
        <v>8.02</v>
      </c>
      <c r="H709" t="s">
        <v>4736</v>
      </c>
      <c r="I709" t="s">
        <v>460</v>
      </c>
    </row>
    <row r="710" spans="1:9" x14ac:dyDescent="0.3">
      <c r="A710">
        <v>73110</v>
      </c>
      <c r="B710">
        <v>105</v>
      </c>
      <c r="C710" s="452">
        <v>46054</v>
      </c>
      <c r="D710" t="s">
        <v>557</v>
      </c>
      <c r="E710">
        <v>21257</v>
      </c>
      <c r="F710" t="s">
        <v>4952</v>
      </c>
      <c r="G710">
        <v>8</v>
      </c>
      <c r="H710" t="s">
        <v>4736</v>
      </c>
      <c r="I710" t="s">
        <v>460</v>
      </c>
    </row>
    <row r="711" spans="1:9" x14ac:dyDescent="0.3">
      <c r="A711">
        <v>73111</v>
      </c>
      <c r="B711">
        <v>105</v>
      </c>
      <c r="C711" s="452">
        <v>46054</v>
      </c>
      <c r="D711" t="s">
        <v>557</v>
      </c>
      <c r="E711">
        <v>20227</v>
      </c>
      <c r="F711" t="s">
        <v>4825</v>
      </c>
      <c r="G711">
        <v>8</v>
      </c>
      <c r="H711" t="s">
        <v>4738</v>
      </c>
      <c r="I711" t="s">
        <v>460</v>
      </c>
    </row>
    <row r="712" spans="1:9" x14ac:dyDescent="0.3">
      <c r="A712">
        <v>73112</v>
      </c>
      <c r="B712">
        <v>105</v>
      </c>
      <c r="C712" s="452">
        <v>46054</v>
      </c>
      <c r="D712" t="s">
        <v>557</v>
      </c>
      <c r="E712">
        <v>20122</v>
      </c>
      <c r="F712" t="s">
        <v>4781</v>
      </c>
      <c r="G712">
        <v>8</v>
      </c>
      <c r="H712" t="s">
        <v>4738</v>
      </c>
      <c r="I712" t="s">
        <v>460</v>
      </c>
    </row>
    <row r="713" spans="1:9" x14ac:dyDescent="0.3">
      <c r="A713">
        <v>73113</v>
      </c>
      <c r="B713">
        <v>105</v>
      </c>
      <c r="C713" s="452">
        <v>46054</v>
      </c>
      <c r="D713" t="s">
        <v>557</v>
      </c>
      <c r="E713">
        <v>25075</v>
      </c>
      <c r="F713" t="s">
        <v>4790</v>
      </c>
      <c r="G713">
        <v>8</v>
      </c>
      <c r="H713" t="s">
        <v>4738</v>
      </c>
      <c r="I713" t="s">
        <v>460</v>
      </c>
    </row>
    <row r="714" spans="1:9" x14ac:dyDescent="0.3">
      <c r="A714">
        <v>73114</v>
      </c>
      <c r="B714">
        <v>105</v>
      </c>
      <c r="C714" s="452">
        <v>46054</v>
      </c>
      <c r="D714" t="s">
        <v>557</v>
      </c>
      <c r="E714">
        <v>23515</v>
      </c>
      <c r="F714" t="s">
        <v>4816</v>
      </c>
      <c r="G714">
        <v>8</v>
      </c>
      <c r="H714" t="s">
        <v>4736</v>
      </c>
      <c r="I714" t="s">
        <v>460</v>
      </c>
    </row>
    <row r="715" spans="1:9" x14ac:dyDescent="0.3">
      <c r="A715">
        <v>73115</v>
      </c>
      <c r="B715">
        <v>105</v>
      </c>
      <c r="C715" s="452">
        <v>46054</v>
      </c>
      <c r="D715" t="s">
        <v>557</v>
      </c>
      <c r="E715">
        <v>26040</v>
      </c>
      <c r="F715" t="s">
        <v>4812</v>
      </c>
      <c r="G715">
        <v>8</v>
      </c>
      <c r="H715" t="s">
        <v>4805</v>
      </c>
      <c r="I715" t="s">
        <v>460</v>
      </c>
    </row>
    <row r="716" spans="1:9" x14ac:dyDescent="0.3">
      <c r="A716">
        <v>73116</v>
      </c>
      <c r="B716">
        <v>105</v>
      </c>
      <c r="C716" s="452">
        <v>46054</v>
      </c>
      <c r="D716" t="s">
        <v>557</v>
      </c>
      <c r="E716">
        <v>23934</v>
      </c>
      <c r="F716" t="s">
        <v>4845</v>
      </c>
      <c r="G716">
        <v>7.9</v>
      </c>
      <c r="H716" t="s">
        <v>4744</v>
      </c>
      <c r="I716" t="s">
        <v>460</v>
      </c>
    </row>
    <row r="717" spans="1:9" x14ac:dyDescent="0.3">
      <c r="A717">
        <v>73117</v>
      </c>
      <c r="B717">
        <v>105</v>
      </c>
      <c r="C717" s="452">
        <v>46054</v>
      </c>
      <c r="D717" t="s">
        <v>557</v>
      </c>
      <c r="E717">
        <v>20105</v>
      </c>
      <c r="F717" t="s">
        <v>4831</v>
      </c>
      <c r="G717">
        <v>7.5</v>
      </c>
      <c r="H717" t="s">
        <v>4744</v>
      </c>
      <c r="I717" t="s">
        <v>460</v>
      </c>
    </row>
    <row r="718" spans="1:9" x14ac:dyDescent="0.3">
      <c r="A718">
        <v>73118</v>
      </c>
      <c r="B718">
        <v>105</v>
      </c>
      <c r="C718" s="452">
        <v>46054</v>
      </c>
      <c r="D718" t="s">
        <v>557</v>
      </c>
      <c r="E718">
        <v>20887</v>
      </c>
      <c r="F718" t="s">
        <v>4953</v>
      </c>
      <c r="G718">
        <v>7.5</v>
      </c>
      <c r="H718" t="s">
        <v>4879</v>
      </c>
      <c r="I718" t="s">
        <v>460</v>
      </c>
    </row>
    <row r="719" spans="1:9" x14ac:dyDescent="0.3">
      <c r="A719">
        <v>73119</v>
      </c>
      <c r="B719">
        <v>105</v>
      </c>
      <c r="C719" s="452">
        <v>46054</v>
      </c>
      <c r="D719" t="s">
        <v>557</v>
      </c>
      <c r="E719">
        <v>22721</v>
      </c>
      <c r="F719" t="s">
        <v>4803</v>
      </c>
      <c r="G719">
        <v>7.26</v>
      </c>
      <c r="H719" t="s">
        <v>4744</v>
      </c>
      <c r="I719" t="s">
        <v>460</v>
      </c>
    </row>
    <row r="720" spans="1:9" x14ac:dyDescent="0.3">
      <c r="A720">
        <v>73120</v>
      </c>
      <c r="B720">
        <v>105</v>
      </c>
      <c r="C720" s="452">
        <v>46054</v>
      </c>
      <c r="D720" t="s">
        <v>557</v>
      </c>
      <c r="E720">
        <v>19356</v>
      </c>
      <c r="F720" t="s">
        <v>4799</v>
      </c>
      <c r="G720">
        <v>7.16</v>
      </c>
      <c r="H720" t="s">
        <v>4744</v>
      </c>
      <c r="I720" t="s">
        <v>460</v>
      </c>
    </row>
    <row r="721" spans="1:9" x14ac:dyDescent="0.3">
      <c r="A721">
        <v>73121</v>
      </c>
      <c r="B721">
        <v>105</v>
      </c>
      <c r="C721" s="452">
        <v>46054</v>
      </c>
      <c r="D721" t="s">
        <v>557</v>
      </c>
      <c r="E721">
        <v>19502</v>
      </c>
      <c r="F721" t="s">
        <v>4871</v>
      </c>
      <c r="G721">
        <v>7.11</v>
      </c>
      <c r="H721" t="s">
        <v>4744</v>
      </c>
      <c r="I721" t="s">
        <v>460</v>
      </c>
    </row>
    <row r="722" spans="1:9" x14ac:dyDescent="0.3">
      <c r="A722">
        <v>73122</v>
      </c>
      <c r="B722">
        <v>105</v>
      </c>
      <c r="C722" s="452">
        <v>46054</v>
      </c>
      <c r="D722" t="s">
        <v>557</v>
      </c>
      <c r="E722">
        <v>25748</v>
      </c>
      <c r="F722" t="s">
        <v>4999</v>
      </c>
      <c r="G722">
        <v>7</v>
      </c>
      <c r="H722" t="s">
        <v>4749</v>
      </c>
      <c r="I722" t="s">
        <v>460</v>
      </c>
    </row>
    <row r="723" spans="1:9" x14ac:dyDescent="0.3">
      <c r="A723">
        <v>73123</v>
      </c>
      <c r="B723">
        <v>105</v>
      </c>
      <c r="C723" s="452">
        <v>46054</v>
      </c>
      <c r="D723" t="s">
        <v>557</v>
      </c>
      <c r="E723">
        <v>25759</v>
      </c>
      <c r="F723" t="s">
        <v>4877</v>
      </c>
      <c r="G723">
        <v>7</v>
      </c>
      <c r="H723" t="s">
        <v>4736</v>
      </c>
      <c r="I723" t="s">
        <v>460</v>
      </c>
    </row>
    <row r="724" spans="1:9" x14ac:dyDescent="0.3">
      <c r="A724">
        <v>73124</v>
      </c>
      <c r="B724">
        <v>105</v>
      </c>
      <c r="C724" s="452">
        <v>46054</v>
      </c>
      <c r="D724" t="s">
        <v>557</v>
      </c>
      <c r="E724">
        <v>23785</v>
      </c>
      <c r="F724" t="s">
        <v>4858</v>
      </c>
      <c r="G724">
        <v>7</v>
      </c>
      <c r="H724" t="s">
        <v>4744</v>
      </c>
      <c r="I724" t="s">
        <v>460</v>
      </c>
    </row>
    <row r="725" spans="1:9" x14ac:dyDescent="0.3">
      <c r="A725">
        <v>73125</v>
      </c>
      <c r="B725">
        <v>105</v>
      </c>
      <c r="C725" s="452">
        <v>46054</v>
      </c>
      <c r="D725" t="s">
        <v>557</v>
      </c>
      <c r="E725">
        <v>19907</v>
      </c>
      <c r="F725" t="s">
        <v>4802</v>
      </c>
      <c r="G725">
        <v>7</v>
      </c>
      <c r="H725" t="s">
        <v>4736</v>
      </c>
      <c r="I725" t="s">
        <v>460</v>
      </c>
    </row>
    <row r="726" spans="1:9" x14ac:dyDescent="0.3">
      <c r="A726">
        <v>73126</v>
      </c>
      <c r="B726">
        <v>105</v>
      </c>
      <c r="C726" s="452">
        <v>46054</v>
      </c>
      <c r="D726" t="s">
        <v>557</v>
      </c>
      <c r="E726">
        <v>26036</v>
      </c>
      <c r="F726" t="s">
        <v>4841</v>
      </c>
      <c r="G726">
        <v>7</v>
      </c>
      <c r="H726" t="s">
        <v>4805</v>
      </c>
      <c r="I726" t="s">
        <v>460</v>
      </c>
    </row>
    <row r="727" spans="1:9" x14ac:dyDescent="0.3">
      <c r="A727">
        <v>73127</v>
      </c>
      <c r="B727">
        <v>105</v>
      </c>
      <c r="C727" s="452">
        <v>46054</v>
      </c>
      <c r="D727" t="s">
        <v>557</v>
      </c>
      <c r="E727">
        <v>26038</v>
      </c>
      <c r="F727" t="s">
        <v>4976</v>
      </c>
      <c r="G727">
        <v>7</v>
      </c>
      <c r="H727" t="s">
        <v>4805</v>
      </c>
      <c r="I727" t="s">
        <v>460</v>
      </c>
    </row>
    <row r="728" spans="1:9" x14ac:dyDescent="0.3">
      <c r="A728">
        <v>73128</v>
      </c>
      <c r="B728">
        <v>105</v>
      </c>
      <c r="C728" s="452">
        <v>46054</v>
      </c>
      <c r="D728" t="s">
        <v>557</v>
      </c>
      <c r="E728">
        <v>18179</v>
      </c>
      <c r="F728" t="s">
        <v>4924</v>
      </c>
      <c r="G728">
        <v>6.4</v>
      </c>
      <c r="H728" t="s">
        <v>4805</v>
      </c>
      <c r="I728" t="s">
        <v>460</v>
      </c>
    </row>
    <row r="729" spans="1:9" x14ac:dyDescent="0.3">
      <c r="A729">
        <v>73129</v>
      </c>
      <c r="B729">
        <v>105</v>
      </c>
      <c r="C729" s="452">
        <v>46054</v>
      </c>
      <c r="D729" t="s">
        <v>557</v>
      </c>
      <c r="E729">
        <v>25205</v>
      </c>
      <c r="F729" t="s">
        <v>4850</v>
      </c>
      <c r="G729">
        <v>6.34</v>
      </c>
      <c r="H729" t="s">
        <v>4744</v>
      </c>
      <c r="I729" t="s">
        <v>460</v>
      </c>
    </row>
    <row r="730" spans="1:9" x14ac:dyDescent="0.3">
      <c r="A730">
        <v>73130</v>
      </c>
      <c r="B730">
        <v>105</v>
      </c>
      <c r="C730" s="452">
        <v>46054</v>
      </c>
      <c r="D730" t="s">
        <v>557</v>
      </c>
      <c r="E730">
        <v>18491</v>
      </c>
      <c r="F730" t="s">
        <v>4839</v>
      </c>
      <c r="G730">
        <v>6.25</v>
      </c>
      <c r="H730" t="s">
        <v>4805</v>
      </c>
      <c r="I730" t="s">
        <v>460</v>
      </c>
    </row>
    <row r="731" spans="1:9" x14ac:dyDescent="0.3">
      <c r="A731">
        <v>73131</v>
      </c>
      <c r="B731">
        <v>105</v>
      </c>
      <c r="C731" s="452">
        <v>46054</v>
      </c>
      <c r="D731" t="s">
        <v>557</v>
      </c>
      <c r="E731">
        <v>25761</v>
      </c>
      <c r="F731" t="s">
        <v>4789</v>
      </c>
      <c r="G731">
        <v>6</v>
      </c>
      <c r="H731" t="s">
        <v>4736</v>
      </c>
      <c r="I731" t="s">
        <v>460</v>
      </c>
    </row>
    <row r="732" spans="1:9" x14ac:dyDescent="0.3">
      <c r="A732">
        <v>73132</v>
      </c>
      <c r="B732">
        <v>105</v>
      </c>
      <c r="C732" s="452">
        <v>46054</v>
      </c>
      <c r="D732" t="s">
        <v>557</v>
      </c>
      <c r="E732">
        <v>25760</v>
      </c>
      <c r="F732" t="s">
        <v>4787</v>
      </c>
      <c r="G732">
        <v>6</v>
      </c>
      <c r="H732" t="s">
        <v>4736</v>
      </c>
      <c r="I732" t="s">
        <v>460</v>
      </c>
    </row>
    <row r="733" spans="1:9" x14ac:dyDescent="0.3">
      <c r="A733">
        <v>73133</v>
      </c>
      <c r="B733">
        <v>105</v>
      </c>
      <c r="C733" s="452">
        <v>46054</v>
      </c>
      <c r="D733" t="s">
        <v>557</v>
      </c>
      <c r="E733">
        <v>20295</v>
      </c>
      <c r="F733" t="s">
        <v>4881</v>
      </c>
      <c r="G733">
        <v>6</v>
      </c>
      <c r="H733" t="s">
        <v>4736</v>
      </c>
      <c r="I733" t="s">
        <v>460</v>
      </c>
    </row>
    <row r="734" spans="1:9" x14ac:dyDescent="0.3">
      <c r="A734">
        <v>73134</v>
      </c>
      <c r="B734">
        <v>105</v>
      </c>
      <c r="C734" s="452">
        <v>46054</v>
      </c>
      <c r="D734" t="s">
        <v>557</v>
      </c>
      <c r="E734">
        <v>21047</v>
      </c>
      <c r="F734" t="s">
        <v>4847</v>
      </c>
      <c r="G734">
        <v>6</v>
      </c>
      <c r="H734" t="s">
        <v>4848</v>
      </c>
      <c r="I734" t="s">
        <v>460</v>
      </c>
    </row>
    <row r="735" spans="1:9" x14ac:dyDescent="0.3">
      <c r="A735">
        <v>73135</v>
      </c>
      <c r="B735">
        <v>105</v>
      </c>
      <c r="C735" s="452">
        <v>46054</v>
      </c>
      <c r="D735" t="s">
        <v>557</v>
      </c>
      <c r="E735">
        <v>20382</v>
      </c>
      <c r="F735" t="s">
        <v>4780</v>
      </c>
      <c r="G735">
        <v>6</v>
      </c>
      <c r="H735" t="s">
        <v>4738</v>
      </c>
      <c r="I735" t="s">
        <v>460</v>
      </c>
    </row>
    <row r="736" spans="1:9" x14ac:dyDescent="0.3">
      <c r="A736">
        <v>73136</v>
      </c>
      <c r="B736">
        <v>105</v>
      </c>
      <c r="C736" s="452">
        <v>46054</v>
      </c>
      <c r="D736" t="s">
        <v>557</v>
      </c>
      <c r="E736">
        <v>20138</v>
      </c>
      <c r="F736" t="s">
        <v>4886</v>
      </c>
      <c r="G736">
        <v>6</v>
      </c>
      <c r="H736" t="s">
        <v>4738</v>
      </c>
      <c r="I736" t="s">
        <v>460</v>
      </c>
    </row>
    <row r="737" spans="1:9" x14ac:dyDescent="0.3">
      <c r="A737">
        <v>73137</v>
      </c>
      <c r="B737">
        <v>105</v>
      </c>
      <c r="C737" s="452">
        <v>46054</v>
      </c>
      <c r="D737" t="s">
        <v>557</v>
      </c>
      <c r="E737">
        <v>25022</v>
      </c>
      <c r="F737" t="s">
        <v>4912</v>
      </c>
      <c r="G737">
        <v>6</v>
      </c>
      <c r="H737" t="s">
        <v>4738</v>
      </c>
      <c r="I737" t="s">
        <v>460</v>
      </c>
    </row>
    <row r="738" spans="1:9" x14ac:dyDescent="0.3">
      <c r="A738">
        <v>73138</v>
      </c>
      <c r="B738">
        <v>105</v>
      </c>
      <c r="C738" s="452">
        <v>46054</v>
      </c>
      <c r="D738" t="s">
        <v>557</v>
      </c>
      <c r="E738">
        <v>20007</v>
      </c>
      <c r="F738" t="s">
        <v>5101</v>
      </c>
      <c r="G738">
        <v>6</v>
      </c>
      <c r="H738" t="s">
        <v>4884</v>
      </c>
      <c r="I738" t="s">
        <v>460</v>
      </c>
    </row>
    <row r="739" spans="1:9" x14ac:dyDescent="0.3">
      <c r="A739">
        <v>73139</v>
      </c>
      <c r="B739">
        <v>105</v>
      </c>
      <c r="C739" s="452">
        <v>46054</v>
      </c>
      <c r="D739" t="s">
        <v>557</v>
      </c>
      <c r="E739">
        <v>17578</v>
      </c>
      <c r="F739" t="s">
        <v>4842</v>
      </c>
      <c r="G739">
        <v>6</v>
      </c>
      <c r="H739" t="s">
        <v>4805</v>
      </c>
      <c r="I739" t="s">
        <v>460</v>
      </c>
    </row>
    <row r="740" spans="1:9" x14ac:dyDescent="0.3">
      <c r="A740">
        <v>73140</v>
      </c>
      <c r="B740">
        <v>105</v>
      </c>
      <c r="C740" s="452">
        <v>46054</v>
      </c>
      <c r="D740" t="s">
        <v>557</v>
      </c>
      <c r="E740">
        <v>19589</v>
      </c>
      <c r="F740" t="s">
        <v>4983</v>
      </c>
      <c r="G740">
        <v>5.42</v>
      </c>
      <c r="H740" t="s">
        <v>4744</v>
      </c>
      <c r="I740" t="s">
        <v>460</v>
      </c>
    </row>
    <row r="741" spans="1:9" x14ac:dyDescent="0.3">
      <c r="A741">
        <v>73141</v>
      </c>
      <c r="B741">
        <v>105</v>
      </c>
      <c r="C741" s="452">
        <v>46054</v>
      </c>
      <c r="D741" t="s">
        <v>557</v>
      </c>
      <c r="E741">
        <v>20501</v>
      </c>
      <c r="F741" t="s">
        <v>4760</v>
      </c>
      <c r="G741">
        <v>5.4</v>
      </c>
      <c r="H741" t="s">
        <v>4744</v>
      </c>
      <c r="I741" t="s">
        <v>460</v>
      </c>
    </row>
    <row r="742" spans="1:9" x14ac:dyDescent="0.3">
      <c r="A742">
        <v>73142</v>
      </c>
      <c r="B742">
        <v>105</v>
      </c>
      <c r="C742" s="452">
        <v>46054</v>
      </c>
      <c r="D742" t="s">
        <v>557</v>
      </c>
      <c r="E742">
        <v>18477</v>
      </c>
      <c r="F742" t="s">
        <v>4920</v>
      </c>
      <c r="G742">
        <v>5.4</v>
      </c>
      <c r="H742" t="s">
        <v>4805</v>
      </c>
      <c r="I742" t="s">
        <v>460</v>
      </c>
    </row>
    <row r="743" spans="1:9" x14ac:dyDescent="0.3">
      <c r="A743">
        <v>73143</v>
      </c>
      <c r="B743">
        <v>105</v>
      </c>
      <c r="C743" s="452">
        <v>46054</v>
      </c>
      <c r="D743" t="s">
        <v>557</v>
      </c>
      <c r="E743">
        <v>19505</v>
      </c>
      <c r="F743" t="s">
        <v>4872</v>
      </c>
      <c r="G743">
        <v>5.3</v>
      </c>
      <c r="H743" t="s">
        <v>4744</v>
      </c>
      <c r="I743" t="s">
        <v>460</v>
      </c>
    </row>
    <row r="744" spans="1:9" x14ac:dyDescent="0.3">
      <c r="A744">
        <v>73144</v>
      </c>
      <c r="B744">
        <v>105</v>
      </c>
      <c r="C744" s="452">
        <v>46054</v>
      </c>
      <c r="D744" t="s">
        <v>557</v>
      </c>
      <c r="E744">
        <v>18991</v>
      </c>
      <c r="F744" t="s">
        <v>4815</v>
      </c>
      <c r="G744">
        <v>5.0999999999999996</v>
      </c>
      <c r="H744" t="s">
        <v>4744</v>
      </c>
      <c r="I744" t="s">
        <v>460</v>
      </c>
    </row>
    <row r="745" spans="1:9" x14ac:dyDescent="0.3">
      <c r="A745">
        <v>73145</v>
      </c>
      <c r="B745">
        <v>105</v>
      </c>
      <c r="C745" s="452">
        <v>46054</v>
      </c>
      <c r="D745" t="s">
        <v>557</v>
      </c>
      <c r="E745">
        <v>26020</v>
      </c>
      <c r="F745" t="s">
        <v>5102</v>
      </c>
      <c r="G745">
        <v>5</v>
      </c>
      <c r="H745" t="s">
        <v>4736</v>
      </c>
      <c r="I745" t="s">
        <v>460</v>
      </c>
    </row>
    <row r="746" spans="1:9" x14ac:dyDescent="0.3">
      <c r="A746">
        <v>73146</v>
      </c>
      <c r="B746">
        <v>105</v>
      </c>
      <c r="C746" s="452">
        <v>46054</v>
      </c>
      <c r="D746" t="s">
        <v>557</v>
      </c>
      <c r="E746">
        <v>27397</v>
      </c>
      <c r="F746" t="s">
        <v>4913</v>
      </c>
      <c r="G746">
        <v>5</v>
      </c>
      <c r="H746" t="s">
        <v>4736</v>
      </c>
      <c r="I746" t="s">
        <v>460</v>
      </c>
    </row>
    <row r="747" spans="1:9" x14ac:dyDescent="0.3">
      <c r="A747">
        <v>73147</v>
      </c>
      <c r="B747">
        <v>105</v>
      </c>
      <c r="C747" s="452">
        <v>46054</v>
      </c>
      <c r="D747" t="s">
        <v>557</v>
      </c>
      <c r="E747">
        <v>19439</v>
      </c>
      <c r="F747" t="s">
        <v>4917</v>
      </c>
      <c r="G747">
        <v>5</v>
      </c>
      <c r="H747" t="s">
        <v>4744</v>
      </c>
      <c r="I747" t="s">
        <v>460</v>
      </c>
    </row>
    <row r="748" spans="1:9" x14ac:dyDescent="0.3">
      <c r="A748">
        <v>73148</v>
      </c>
      <c r="B748">
        <v>105</v>
      </c>
      <c r="C748" s="452">
        <v>46054</v>
      </c>
      <c r="D748" t="s">
        <v>557</v>
      </c>
      <c r="E748">
        <v>19415</v>
      </c>
      <c r="F748" t="s">
        <v>4919</v>
      </c>
      <c r="G748">
        <v>5</v>
      </c>
      <c r="H748" t="s">
        <v>4736</v>
      </c>
      <c r="I748" t="s">
        <v>460</v>
      </c>
    </row>
    <row r="749" spans="1:9" x14ac:dyDescent="0.3">
      <c r="A749">
        <v>73149</v>
      </c>
      <c r="B749">
        <v>105</v>
      </c>
      <c r="C749" s="452">
        <v>46054</v>
      </c>
      <c r="D749" t="s">
        <v>557</v>
      </c>
      <c r="E749">
        <v>17881</v>
      </c>
      <c r="F749" t="s">
        <v>5103</v>
      </c>
      <c r="G749">
        <v>0.42</v>
      </c>
      <c r="H749" t="s">
        <v>4738</v>
      </c>
      <c r="I749" t="s">
        <v>460</v>
      </c>
    </row>
    <row r="750" spans="1:9" x14ac:dyDescent="0.3">
      <c r="A750">
        <v>73150</v>
      </c>
      <c r="B750">
        <v>105</v>
      </c>
      <c r="C750" s="452">
        <v>46054</v>
      </c>
      <c r="D750" t="s">
        <v>557</v>
      </c>
      <c r="E750">
        <v>25676</v>
      </c>
      <c r="F750" t="s">
        <v>4866</v>
      </c>
      <c r="G750">
        <v>5</v>
      </c>
      <c r="H750" t="s">
        <v>4805</v>
      </c>
      <c r="I750" t="s">
        <v>460</v>
      </c>
    </row>
    <row r="751" spans="1:9" x14ac:dyDescent="0.3">
      <c r="A751">
        <v>73151</v>
      </c>
      <c r="B751">
        <v>105</v>
      </c>
      <c r="C751" s="452">
        <v>46054</v>
      </c>
      <c r="D751" t="s">
        <v>557</v>
      </c>
      <c r="E751">
        <v>26032</v>
      </c>
      <c r="F751" t="s">
        <v>4896</v>
      </c>
      <c r="G751">
        <v>5</v>
      </c>
      <c r="H751" t="s">
        <v>4805</v>
      </c>
      <c r="I751" t="s">
        <v>460</v>
      </c>
    </row>
    <row r="752" spans="1:9" x14ac:dyDescent="0.3">
      <c r="A752">
        <v>73152</v>
      </c>
      <c r="B752">
        <v>105</v>
      </c>
      <c r="C752" s="452">
        <v>46054</v>
      </c>
      <c r="D752" t="s">
        <v>557</v>
      </c>
      <c r="E752">
        <v>24614</v>
      </c>
      <c r="F752" t="s">
        <v>4897</v>
      </c>
      <c r="G752">
        <v>5</v>
      </c>
      <c r="H752" t="s">
        <v>4805</v>
      </c>
      <c r="I752" t="s">
        <v>460</v>
      </c>
    </row>
    <row r="753" spans="1:9" x14ac:dyDescent="0.3">
      <c r="A753">
        <v>73153</v>
      </c>
      <c r="B753">
        <v>105</v>
      </c>
      <c r="C753" s="452">
        <v>46054</v>
      </c>
      <c r="D753" t="s">
        <v>557</v>
      </c>
      <c r="E753">
        <v>26044</v>
      </c>
      <c r="F753" t="s">
        <v>4843</v>
      </c>
      <c r="G753">
        <v>5</v>
      </c>
      <c r="H753" t="s">
        <v>4805</v>
      </c>
      <c r="I753" t="s">
        <v>460</v>
      </c>
    </row>
    <row r="754" spans="1:9" x14ac:dyDescent="0.3">
      <c r="A754">
        <v>73154</v>
      </c>
      <c r="B754">
        <v>105</v>
      </c>
      <c r="C754" s="452">
        <v>46054</v>
      </c>
      <c r="D754" t="s">
        <v>557</v>
      </c>
      <c r="E754">
        <v>24302</v>
      </c>
      <c r="F754" t="s">
        <v>4813</v>
      </c>
      <c r="G754">
        <v>4.9000000000000004</v>
      </c>
      <c r="H754" t="s">
        <v>4744</v>
      </c>
      <c r="I754" t="s">
        <v>460</v>
      </c>
    </row>
    <row r="755" spans="1:9" x14ac:dyDescent="0.3">
      <c r="A755">
        <v>73155</v>
      </c>
      <c r="B755">
        <v>105</v>
      </c>
      <c r="C755" s="452">
        <v>46054</v>
      </c>
      <c r="D755" t="s">
        <v>557</v>
      </c>
      <c r="E755">
        <v>24320</v>
      </c>
      <c r="F755" t="s">
        <v>4861</v>
      </c>
      <c r="G755">
        <v>4.9000000000000004</v>
      </c>
      <c r="H755" t="s">
        <v>4744</v>
      </c>
      <c r="I755" t="s">
        <v>460</v>
      </c>
    </row>
    <row r="756" spans="1:9" x14ac:dyDescent="0.3">
      <c r="A756">
        <v>73156</v>
      </c>
      <c r="B756">
        <v>105</v>
      </c>
      <c r="C756" s="452">
        <v>46054</v>
      </c>
      <c r="D756" t="s">
        <v>557</v>
      </c>
      <c r="E756">
        <v>18502</v>
      </c>
      <c r="F756" t="s">
        <v>4893</v>
      </c>
      <c r="G756">
        <v>4.8899999999999997</v>
      </c>
      <c r="H756" t="s">
        <v>4805</v>
      </c>
      <c r="I756" t="s">
        <v>460</v>
      </c>
    </row>
    <row r="757" spans="1:9" x14ac:dyDescent="0.3">
      <c r="A757">
        <v>73157</v>
      </c>
      <c r="B757">
        <v>105</v>
      </c>
      <c r="C757" s="452">
        <v>46054</v>
      </c>
      <c r="D757" t="s">
        <v>557</v>
      </c>
      <c r="E757">
        <v>18547</v>
      </c>
      <c r="F757" t="s">
        <v>4863</v>
      </c>
      <c r="G757">
        <v>4.76</v>
      </c>
      <c r="H757" t="s">
        <v>4805</v>
      </c>
      <c r="I757" t="s">
        <v>460</v>
      </c>
    </row>
    <row r="758" spans="1:9" x14ac:dyDescent="0.3">
      <c r="A758">
        <v>73158</v>
      </c>
      <c r="B758">
        <v>105</v>
      </c>
      <c r="C758" s="452">
        <v>46054</v>
      </c>
      <c r="D758" t="s">
        <v>557</v>
      </c>
      <c r="E758">
        <v>19472</v>
      </c>
      <c r="F758" t="s">
        <v>4906</v>
      </c>
      <c r="G758">
        <v>4.75</v>
      </c>
      <c r="H758" t="s">
        <v>4744</v>
      </c>
      <c r="I758" t="s">
        <v>460</v>
      </c>
    </row>
    <row r="759" spans="1:9" x14ac:dyDescent="0.3">
      <c r="A759">
        <v>73159</v>
      </c>
      <c r="B759">
        <v>105</v>
      </c>
      <c r="C759" s="452">
        <v>46054</v>
      </c>
      <c r="D759" t="s">
        <v>557</v>
      </c>
      <c r="E759">
        <v>18359</v>
      </c>
      <c r="F759" t="s">
        <v>4921</v>
      </c>
      <c r="G759">
        <v>4.6500000000000004</v>
      </c>
      <c r="H759" t="s">
        <v>4805</v>
      </c>
      <c r="I759" t="s">
        <v>460</v>
      </c>
    </row>
    <row r="760" spans="1:9" x14ac:dyDescent="0.3">
      <c r="A760">
        <v>73160</v>
      </c>
      <c r="B760">
        <v>105</v>
      </c>
      <c r="C760" s="452">
        <v>46054</v>
      </c>
      <c r="D760" t="s">
        <v>557</v>
      </c>
      <c r="E760">
        <v>19507</v>
      </c>
      <c r="F760" t="s">
        <v>4853</v>
      </c>
      <c r="G760">
        <v>4.45</v>
      </c>
      <c r="H760" t="s">
        <v>4744</v>
      </c>
      <c r="I760" t="s">
        <v>460</v>
      </c>
    </row>
    <row r="761" spans="1:9" x14ac:dyDescent="0.3">
      <c r="A761">
        <v>73161</v>
      </c>
      <c r="B761">
        <v>105</v>
      </c>
      <c r="C761" s="452">
        <v>46054</v>
      </c>
      <c r="D761" t="s">
        <v>557</v>
      </c>
      <c r="E761">
        <v>19632</v>
      </c>
      <c r="F761" t="s">
        <v>4936</v>
      </c>
      <c r="G761">
        <v>4.3499999999999996</v>
      </c>
      <c r="H761" t="s">
        <v>4744</v>
      </c>
      <c r="I761" t="s">
        <v>460</v>
      </c>
    </row>
    <row r="762" spans="1:9" x14ac:dyDescent="0.3">
      <c r="A762">
        <v>73162</v>
      </c>
      <c r="B762">
        <v>105</v>
      </c>
      <c r="C762" s="452">
        <v>46054</v>
      </c>
      <c r="D762" t="s">
        <v>557</v>
      </c>
      <c r="E762">
        <v>19635</v>
      </c>
      <c r="F762" t="s">
        <v>4786</v>
      </c>
      <c r="G762">
        <v>4.2300000000000004</v>
      </c>
      <c r="H762" t="s">
        <v>4744</v>
      </c>
      <c r="I762" t="s">
        <v>460</v>
      </c>
    </row>
    <row r="763" spans="1:9" x14ac:dyDescent="0.3">
      <c r="A763">
        <v>73163</v>
      </c>
      <c r="B763">
        <v>105</v>
      </c>
      <c r="C763" s="452">
        <v>46054</v>
      </c>
      <c r="D763" t="s">
        <v>557</v>
      </c>
      <c r="E763">
        <v>19577</v>
      </c>
      <c r="F763" t="s">
        <v>4984</v>
      </c>
      <c r="G763">
        <v>4.21</v>
      </c>
      <c r="H763" t="s">
        <v>4736</v>
      </c>
      <c r="I763" t="s">
        <v>460</v>
      </c>
    </row>
    <row r="764" spans="1:9" x14ac:dyDescent="0.3">
      <c r="A764">
        <v>73164</v>
      </c>
      <c r="B764">
        <v>105</v>
      </c>
      <c r="C764" s="452">
        <v>46054</v>
      </c>
      <c r="D764" t="s">
        <v>557</v>
      </c>
      <c r="E764">
        <v>24323</v>
      </c>
      <c r="F764" t="s">
        <v>4844</v>
      </c>
      <c r="G764">
        <v>4.18</v>
      </c>
      <c r="H764" t="s">
        <v>4744</v>
      </c>
      <c r="I764" t="s">
        <v>460</v>
      </c>
    </row>
    <row r="765" spans="1:9" x14ac:dyDescent="0.3">
      <c r="A765">
        <v>73165</v>
      </c>
      <c r="B765">
        <v>105</v>
      </c>
      <c r="C765" s="452">
        <v>46054</v>
      </c>
      <c r="D765" t="s">
        <v>557</v>
      </c>
      <c r="E765">
        <v>19346</v>
      </c>
      <c r="F765" t="s">
        <v>4835</v>
      </c>
      <c r="G765">
        <v>4.1500000000000004</v>
      </c>
      <c r="H765" t="s">
        <v>4744</v>
      </c>
      <c r="I765" t="s">
        <v>460</v>
      </c>
    </row>
    <row r="766" spans="1:9" x14ac:dyDescent="0.3">
      <c r="A766">
        <v>73166</v>
      </c>
      <c r="B766">
        <v>105</v>
      </c>
      <c r="C766" s="452">
        <v>46054</v>
      </c>
      <c r="D766" t="s">
        <v>557</v>
      </c>
      <c r="E766">
        <v>20689</v>
      </c>
      <c r="F766" t="s">
        <v>5007</v>
      </c>
      <c r="G766">
        <v>4</v>
      </c>
      <c r="H766" t="s">
        <v>4736</v>
      </c>
      <c r="I766" t="s">
        <v>460</v>
      </c>
    </row>
    <row r="767" spans="1:9" x14ac:dyDescent="0.3">
      <c r="A767">
        <v>73167</v>
      </c>
      <c r="B767">
        <v>105</v>
      </c>
      <c r="C767" s="452">
        <v>46054</v>
      </c>
      <c r="D767" t="s">
        <v>557</v>
      </c>
      <c r="E767">
        <v>20322</v>
      </c>
      <c r="F767" t="s">
        <v>4882</v>
      </c>
      <c r="G767">
        <v>4</v>
      </c>
      <c r="H767" t="s">
        <v>4738</v>
      </c>
      <c r="I767" t="s">
        <v>460</v>
      </c>
    </row>
    <row r="768" spans="1:9" x14ac:dyDescent="0.3">
      <c r="A768">
        <v>73168</v>
      </c>
      <c r="B768">
        <v>105</v>
      </c>
      <c r="C768" s="452">
        <v>46054</v>
      </c>
      <c r="D768" t="s">
        <v>557</v>
      </c>
      <c r="E768">
        <v>21021</v>
      </c>
      <c r="F768" t="s">
        <v>4883</v>
      </c>
      <c r="G768">
        <v>4</v>
      </c>
      <c r="H768" t="s">
        <v>4884</v>
      </c>
      <c r="I768" t="s">
        <v>460</v>
      </c>
    </row>
    <row r="769" spans="1:9" x14ac:dyDescent="0.3">
      <c r="A769">
        <v>73169</v>
      </c>
      <c r="B769">
        <v>105</v>
      </c>
      <c r="C769" s="452">
        <v>46054</v>
      </c>
      <c r="D769" t="s">
        <v>557</v>
      </c>
      <c r="E769">
        <v>19978</v>
      </c>
      <c r="F769" t="s">
        <v>4887</v>
      </c>
      <c r="G769">
        <v>4</v>
      </c>
      <c r="H769" t="s">
        <v>4888</v>
      </c>
      <c r="I769" t="s">
        <v>460</v>
      </c>
    </row>
    <row r="770" spans="1:9" x14ac:dyDescent="0.3">
      <c r="A770">
        <v>73170</v>
      </c>
      <c r="B770">
        <v>105</v>
      </c>
      <c r="C770" s="452">
        <v>46054</v>
      </c>
      <c r="D770" t="s">
        <v>557</v>
      </c>
      <c r="E770">
        <v>20792</v>
      </c>
      <c r="F770" t="s">
        <v>5022</v>
      </c>
      <c r="G770">
        <v>4</v>
      </c>
      <c r="H770" t="s">
        <v>4738</v>
      </c>
      <c r="I770" t="s">
        <v>460</v>
      </c>
    </row>
    <row r="771" spans="1:9" x14ac:dyDescent="0.3">
      <c r="A771">
        <v>73171</v>
      </c>
      <c r="B771">
        <v>105</v>
      </c>
      <c r="C771" s="452">
        <v>46054</v>
      </c>
      <c r="D771" t="s">
        <v>557</v>
      </c>
      <c r="E771">
        <v>19765</v>
      </c>
      <c r="F771" t="s">
        <v>4889</v>
      </c>
      <c r="G771">
        <v>4</v>
      </c>
      <c r="H771" t="s">
        <v>4744</v>
      </c>
      <c r="I771" t="s">
        <v>460</v>
      </c>
    </row>
    <row r="772" spans="1:9" x14ac:dyDescent="0.3">
      <c r="A772">
        <v>73172</v>
      </c>
      <c r="B772">
        <v>105</v>
      </c>
      <c r="C772" s="452">
        <v>46054</v>
      </c>
      <c r="D772" t="s">
        <v>557</v>
      </c>
      <c r="E772">
        <v>27808</v>
      </c>
      <c r="F772" t="s">
        <v>5082</v>
      </c>
      <c r="G772">
        <v>4</v>
      </c>
      <c r="H772" t="s">
        <v>4736</v>
      </c>
      <c r="I772" t="s">
        <v>460</v>
      </c>
    </row>
    <row r="773" spans="1:9" x14ac:dyDescent="0.3">
      <c r="A773">
        <v>73173</v>
      </c>
      <c r="B773">
        <v>105</v>
      </c>
      <c r="C773" s="452">
        <v>46054</v>
      </c>
      <c r="D773" t="s">
        <v>557</v>
      </c>
      <c r="E773">
        <v>16973</v>
      </c>
      <c r="F773" t="s">
        <v>4827</v>
      </c>
      <c r="G773">
        <v>4</v>
      </c>
      <c r="H773" t="s">
        <v>4749</v>
      </c>
      <c r="I773" t="s">
        <v>460</v>
      </c>
    </row>
    <row r="774" spans="1:9" x14ac:dyDescent="0.3">
      <c r="A774">
        <v>73174</v>
      </c>
      <c r="B774">
        <v>105</v>
      </c>
      <c r="C774" s="452">
        <v>46054</v>
      </c>
      <c r="D774" t="s">
        <v>557</v>
      </c>
      <c r="E774">
        <v>17915</v>
      </c>
      <c r="F774" t="s">
        <v>5104</v>
      </c>
      <c r="G774">
        <v>0.17</v>
      </c>
      <c r="H774" t="s">
        <v>4738</v>
      </c>
      <c r="I774" t="s">
        <v>460</v>
      </c>
    </row>
    <row r="775" spans="1:9" x14ac:dyDescent="0.3">
      <c r="A775">
        <v>73175</v>
      </c>
      <c r="B775">
        <v>105</v>
      </c>
      <c r="C775" s="452">
        <v>46054</v>
      </c>
      <c r="D775" t="s">
        <v>557</v>
      </c>
      <c r="E775">
        <v>17878</v>
      </c>
      <c r="F775" t="s">
        <v>4926</v>
      </c>
      <c r="G775">
        <v>4</v>
      </c>
      <c r="H775" t="s">
        <v>4736</v>
      </c>
      <c r="I775" t="s">
        <v>460</v>
      </c>
    </row>
    <row r="776" spans="1:9" x14ac:dyDescent="0.3">
      <c r="A776">
        <v>73176</v>
      </c>
      <c r="B776">
        <v>105</v>
      </c>
      <c r="C776" s="452">
        <v>46054</v>
      </c>
      <c r="D776" t="s">
        <v>557</v>
      </c>
      <c r="E776">
        <v>19553</v>
      </c>
      <c r="F776" t="s">
        <v>4868</v>
      </c>
      <c r="G776">
        <v>3.86</v>
      </c>
      <c r="H776" t="s">
        <v>4744</v>
      </c>
      <c r="I776" t="s">
        <v>460</v>
      </c>
    </row>
    <row r="777" spans="1:9" x14ac:dyDescent="0.3">
      <c r="A777">
        <v>73177</v>
      </c>
      <c r="B777">
        <v>105</v>
      </c>
      <c r="C777" s="452">
        <v>46054</v>
      </c>
      <c r="D777" t="s">
        <v>557</v>
      </c>
      <c r="E777">
        <v>18194</v>
      </c>
      <c r="F777" t="s">
        <v>4923</v>
      </c>
      <c r="G777">
        <v>3.6</v>
      </c>
      <c r="H777" t="s">
        <v>4805</v>
      </c>
      <c r="I777" t="s">
        <v>460</v>
      </c>
    </row>
    <row r="778" spans="1:9" x14ac:dyDescent="0.3">
      <c r="A778">
        <v>73178</v>
      </c>
      <c r="B778">
        <v>105</v>
      </c>
      <c r="C778" s="452">
        <v>46054</v>
      </c>
      <c r="D778" t="s">
        <v>557</v>
      </c>
      <c r="E778">
        <v>23346</v>
      </c>
      <c r="F778" t="s">
        <v>4916</v>
      </c>
      <c r="G778">
        <v>3.5</v>
      </c>
      <c r="H778" t="s">
        <v>4744</v>
      </c>
      <c r="I778" t="s">
        <v>460</v>
      </c>
    </row>
    <row r="779" spans="1:9" x14ac:dyDescent="0.3">
      <c r="A779">
        <v>73179</v>
      </c>
      <c r="B779">
        <v>105</v>
      </c>
      <c r="C779" s="452">
        <v>46054</v>
      </c>
      <c r="D779" t="s">
        <v>557</v>
      </c>
      <c r="E779">
        <v>18315</v>
      </c>
      <c r="F779" t="s">
        <v>4922</v>
      </c>
      <c r="G779">
        <v>3.5</v>
      </c>
      <c r="H779" t="s">
        <v>4805</v>
      </c>
      <c r="I779" t="s">
        <v>460</v>
      </c>
    </row>
    <row r="780" spans="1:9" x14ac:dyDescent="0.3">
      <c r="A780">
        <v>73180</v>
      </c>
      <c r="B780">
        <v>105</v>
      </c>
      <c r="C780" s="452">
        <v>46054</v>
      </c>
      <c r="D780" t="s">
        <v>557</v>
      </c>
      <c r="E780">
        <v>18253</v>
      </c>
      <c r="F780" t="s">
        <v>4969</v>
      </c>
      <c r="G780">
        <v>3.5</v>
      </c>
      <c r="H780" t="s">
        <v>4805</v>
      </c>
      <c r="I780" t="s">
        <v>460</v>
      </c>
    </row>
    <row r="781" spans="1:9" x14ac:dyDescent="0.3">
      <c r="A781">
        <v>73181</v>
      </c>
      <c r="B781">
        <v>105</v>
      </c>
      <c r="C781" s="452">
        <v>46054</v>
      </c>
      <c r="D781" t="s">
        <v>557</v>
      </c>
      <c r="E781">
        <v>23195</v>
      </c>
      <c r="F781" t="s">
        <v>5051</v>
      </c>
      <c r="G781">
        <v>3.44</v>
      </c>
      <c r="H781" t="s">
        <v>4744</v>
      </c>
      <c r="I781" t="s">
        <v>460</v>
      </c>
    </row>
    <row r="782" spans="1:9" x14ac:dyDescent="0.3">
      <c r="A782">
        <v>73182</v>
      </c>
      <c r="B782">
        <v>105</v>
      </c>
      <c r="C782" s="452">
        <v>46054</v>
      </c>
      <c r="D782" t="s">
        <v>557</v>
      </c>
      <c r="E782">
        <v>19621</v>
      </c>
      <c r="F782" t="s">
        <v>4829</v>
      </c>
      <c r="G782">
        <v>3.29</v>
      </c>
      <c r="H782" t="s">
        <v>4744</v>
      </c>
      <c r="I782" t="s">
        <v>460</v>
      </c>
    </row>
    <row r="783" spans="1:9" x14ac:dyDescent="0.3">
      <c r="A783">
        <v>73183</v>
      </c>
      <c r="B783">
        <v>105</v>
      </c>
      <c r="C783" s="452">
        <v>46054</v>
      </c>
      <c r="D783" t="s">
        <v>557</v>
      </c>
      <c r="E783">
        <v>23236</v>
      </c>
      <c r="F783" t="s">
        <v>5062</v>
      </c>
      <c r="G783">
        <v>3.11</v>
      </c>
      <c r="H783" t="s">
        <v>4744</v>
      </c>
      <c r="I783" t="s">
        <v>460</v>
      </c>
    </row>
    <row r="784" spans="1:9" x14ac:dyDescent="0.3">
      <c r="A784">
        <v>73184</v>
      </c>
      <c r="B784">
        <v>105</v>
      </c>
      <c r="C784" s="452">
        <v>46054</v>
      </c>
      <c r="D784" t="s">
        <v>557</v>
      </c>
      <c r="E784">
        <v>23184</v>
      </c>
      <c r="F784" t="s">
        <v>4935</v>
      </c>
      <c r="G784">
        <v>3.1</v>
      </c>
      <c r="H784" t="s">
        <v>4744</v>
      </c>
      <c r="I784" t="s">
        <v>460</v>
      </c>
    </row>
    <row r="785" spans="1:9" x14ac:dyDescent="0.3">
      <c r="A785">
        <v>73185</v>
      </c>
      <c r="B785">
        <v>105</v>
      </c>
      <c r="C785" s="452">
        <v>46054</v>
      </c>
      <c r="D785" t="s">
        <v>557</v>
      </c>
      <c r="E785">
        <v>24081</v>
      </c>
      <c r="F785" t="s">
        <v>4834</v>
      </c>
      <c r="G785">
        <v>3.1</v>
      </c>
      <c r="H785" t="s">
        <v>4744</v>
      </c>
      <c r="I785" t="s">
        <v>460</v>
      </c>
    </row>
    <row r="786" spans="1:9" x14ac:dyDescent="0.3">
      <c r="A786">
        <v>73186</v>
      </c>
      <c r="B786">
        <v>105</v>
      </c>
      <c r="C786" s="452">
        <v>46054</v>
      </c>
      <c r="D786" t="s">
        <v>557</v>
      </c>
      <c r="E786">
        <v>19737</v>
      </c>
      <c r="F786" t="s">
        <v>4940</v>
      </c>
      <c r="G786">
        <v>3.06</v>
      </c>
      <c r="H786" t="s">
        <v>4744</v>
      </c>
      <c r="I786" t="s">
        <v>460</v>
      </c>
    </row>
    <row r="787" spans="1:9" x14ac:dyDescent="0.3">
      <c r="A787">
        <v>73187</v>
      </c>
      <c r="B787">
        <v>105</v>
      </c>
      <c r="C787" s="452">
        <v>46054</v>
      </c>
      <c r="D787" t="s">
        <v>557</v>
      </c>
      <c r="E787">
        <v>27757</v>
      </c>
      <c r="F787" t="s">
        <v>4942</v>
      </c>
      <c r="G787">
        <v>3</v>
      </c>
      <c r="H787" t="s">
        <v>4749</v>
      </c>
      <c r="I787" t="s">
        <v>460</v>
      </c>
    </row>
    <row r="788" spans="1:9" x14ac:dyDescent="0.3">
      <c r="A788">
        <v>73188</v>
      </c>
      <c r="B788">
        <v>105</v>
      </c>
      <c r="C788" s="452">
        <v>46054</v>
      </c>
      <c r="D788" t="s">
        <v>557</v>
      </c>
      <c r="E788">
        <v>21150</v>
      </c>
      <c r="F788" t="s">
        <v>4878</v>
      </c>
      <c r="G788">
        <v>3</v>
      </c>
      <c r="H788" t="s">
        <v>4879</v>
      </c>
      <c r="I788" t="s">
        <v>460</v>
      </c>
    </row>
    <row r="789" spans="1:9" x14ac:dyDescent="0.3">
      <c r="A789">
        <v>73189</v>
      </c>
      <c r="B789">
        <v>105</v>
      </c>
      <c r="C789" s="452">
        <v>46054</v>
      </c>
      <c r="D789" t="s">
        <v>557</v>
      </c>
      <c r="E789">
        <v>17062</v>
      </c>
      <c r="F789" t="s">
        <v>4880</v>
      </c>
      <c r="G789">
        <v>3</v>
      </c>
      <c r="H789" t="s">
        <v>4879</v>
      </c>
      <c r="I789" t="s">
        <v>460</v>
      </c>
    </row>
    <row r="790" spans="1:9" x14ac:dyDescent="0.3">
      <c r="A790">
        <v>73190</v>
      </c>
      <c r="B790">
        <v>105</v>
      </c>
      <c r="C790" s="452">
        <v>46054</v>
      </c>
      <c r="D790" t="s">
        <v>557</v>
      </c>
      <c r="E790">
        <v>20308</v>
      </c>
      <c r="F790" t="s">
        <v>4909</v>
      </c>
      <c r="G790">
        <v>3</v>
      </c>
      <c r="H790" t="s">
        <v>4738</v>
      </c>
      <c r="I790" t="s">
        <v>460</v>
      </c>
    </row>
    <row r="791" spans="1:9" x14ac:dyDescent="0.3">
      <c r="A791">
        <v>73191</v>
      </c>
      <c r="B791">
        <v>105</v>
      </c>
      <c r="C791" s="452">
        <v>46054</v>
      </c>
      <c r="D791" t="s">
        <v>557</v>
      </c>
      <c r="E791">
        <v>20057</v>
      </c>
      <c r="F791" t="s">
        <v>4949</v>
      </c>
      <c r="G791">
        <v>3</v>
      </c>
      <c r="H791" t="s">
        <v>4736</v>
      </c>
      <c r="I791" t="s">
        <v>460</v>
      </c>
    </row>
    <row r="792" spans="1:9" x14ac:dyDescent="0.3">
      <c r="A792">
        <v>73192</v>
      </c>
      <c r="B792">
        <v>105</v>
      </c>
      <c r="C792" s="452">
        <v>46054</v>
      </c>
      <c r="D792" t="s">
        <v>557</v>
      </c>
      <c r="E792">
        <v>23539</v>
      </c>
      <c r="F792" t="s">
        <v>4995</v>
      </c>
      <c r="G792">
        <v>3</v>
      </c>
      <c r="H792" t="s">
        <v>4744</v>
      </c>
      <c r="I792" t="s">
        <v>460</v>
      </c>
    </row>
    <row r="793" spans="1:9" x14ac:dyDescent="0.3">
      <c r="A793">
        <v>73193</v>
      </c>
      <c r="B793">
        <v>105</v>
      </c>
      <c r="C793" s="452">
        <v>46054</v>
      </c>
      <c r="D793" t="s">
        <v>557</v>
      </c>
      <c r="E793">
        <v>19895</v>
      </c>
      <c r="F793" t="s">
        <v>5080</v>
      </c>
      <c r="G793">
        <v>3</v>
      </c>
      <c r="H793" t="s">
        <v>4888</v>
      </c>
      <c r="I793" t="s">
        <v>460</v>
      </c>
    </row>
    <row r="794" spans="1:9" x14ac:dyDescent="0.3">
      <c r="A794">
        <v>73194</v>
      </c>
      <c r="B794">
        <v>105</v>
      </c>
      <c r="C794" s="452">
        <v>46054</v>
      </c>
      <c r="D794" t="s">
        <v>557</v>
      </c>
      <c r="E794">
        <v>19967</v>
      </c>
      <c r="F794" t="s">
        <v>4956</v>
      </c>
      <c r="G794">
        <v>3</v>
      </c>
      <c r="H794" t="s">
        <v>4888</v>
      </c>
      <c r="I794" t="s">
        <v>460</v>
      </c>
    </row>
    <row r="795" spans="1:9" x14ac:dyDescent="0.3">
      <c r="A795">
        <v>73195</v>
      </c>
      <c r="B795">
        <v>105</v>
      </c>
      <c r="C795" s="452">
        <v>46054</v>
      </c>
      <c r="D795" t="s">
        <v>557</v>
      </c>
      <c r="E795">
        <v>23234</v>
      </c>
      <c r="F795" t="s">
        <v>4986</v>
      </c>
      <c r="G795">
        <v>3</v>
      </c>
      <c r="H795" t="s">
        <v>4744</v>
      </c>
      <c r="I795" t="s">
        <v>460</v>
      </c>
    </row>
    <row r="796" spans="1:9" x14ac:dyDescent="0.3">
      <c r="A796">
        <v>73196</v>
      </c>
      <c r="B796">
        <v>105</v>
      </c>
      <c r="C796" s="452">
        <v>46054</v>
      </c>
      <c r="D796" t="s">
        <v>557</v>
      </c>
      <c r="E796">
        <v>24522</v>
      </c>
      <c r="F796" t="s">
        <v>5072</v>
      </c>
      <c r="G796">
        <v>3</v>
      </c>
      <c r="H796" t="s">
        <v>4744</v>
      </c>
      <c r="I796" t="s">
        <v>460</v>
      </c>
    </row>
    <row r="797" spans="1:9" x14ac:dyDescent="0.3">
      <c r="A797">
        <v>73197</v>
      </c>
      <c r="B797">
        <v>105</v>
      </c>
      <c r="C797" s="452">
        <v>46054</v>
      </c>
      <c r="D797" t="s">
        <v>557</v>
      </c>
      <c r="E797">
        <v>23349</v>
      </c>
      <c r="F797" t="s">
        <v>4988</v>
      </c>
      <c r="G797">
        <v>3</v>
      </c>
      <c r="H797" t="s">
        <v>4744</v>
      </c>
      <c r="I797" t="s">
        <v>460</v>
      </c>
    </row>
    <row r="798" spans="1:9" x14ac:dyDescent="0.3">
      <c r="A798">
        <v>73198</v>
      </c>
      <c r="B798">
        <v>105</v>
      </c>
      <c r="C798" s="452">
        <v>46054</v>
      </c>
      <c r="D798" t="s">
        <v>557</v>
      </c>
      <c r="E798">
        <v>18111</v>
      </c>
      <c r="F798" t="s">
        <v>5049</v>
      </c>
      <c r="G798">
        <v>3</v>
      </c>
      <c r="H798" t="s">
        <v>4805</v>
      </c>
      <c r="I798" t="s">
        <v>460</v>
      </c>
    </row>
    <row r="799" spans="1:9" x14ac:dyDescent="0.3">
      <c r="A799">
        <v>73199</v>
      </c>
      <c r="B799">
        <v>105</v>
      </c>
      <c r="C799" s="452">
        <v>46054</v>
      </c>
      <c r="D799" t="s">
        <v>557</v>
      </c>
      <c r="E799">
        <v>17658</v>
      </c>
      <c r="F799" t="s">
        <v>4978</v>
      </c>
      <c r="G799">
        <v>3</v>
      </c>
      <c r="H799" t="s">
        <v>4805</v>
      </c>
      <c r="I799" t="s">
        <v>460</v>
      </c>
    </row>
    <row r="800" spans="1:9" x14ac:dyDescent="0.3">
      <c r="A800">
        <v>73200</v>
      </c>
      <c r="B800">
        <v>105</v>
      </c>
      <c r="C800" s="452">
        <v>46054</v>
      </c>
      <c r="D800" t="s">
        <v>557</v>
      </c>
      <c r="E800">
        <v>23635</v>
      </c>
      <c r="F800" t="s">
        <v>4837</v>
      </c>
      <c r="G800">
        <v>2.89</v>
      </c>
      <c r="H800" t="s">
        <v>4744</v>
      </c>
      <c r="I800" t="s">
        <v>460</v>
      </c>
    </row>
    <row r="801" spans="1:9" x14ac:dyDescent="0.3">
      <c r="A801">
        <v>73201</v>
      </c>
      <c r="B801">
        <v>105</v>
      </c>
      <c r="C801" s="452">
        <v>46054</v>
      </c>
      <c r="D801" t="s">
        <v>557</v>
      </c>
      <c r="E801">
        <v>23494</v>
      </c>
      <c r="F801" t="s">
        <v>4991</v>
      </c>
      <c r="G801">
        <v>2.5</v>
      </c>
      <c r="H801" t="s">
        <v>4744</v>
      </c>
      <c r="I801" t="s">
        <v>460</v>
      </c>
    </row>
    <row r="802" spans="1:9" x14ac:dyDescent="0.3">
      <c r="A802">
        <v>73202</v>
      </c>
      <c r="B802">
        <v>105</v>
      </c>
      <c r="C802" s="452">
        <v>46054</v>
      </c>
      <c r="D802" t="s">
        <v>557</v>
      </c>
      <c r="E802">
        <v>24322</v>
      </c>
      <c r="F802" t="s">
        <v>5064</v>
      </c>
      <c r="G802">
        <v>2.42</v>
      </c>
      <c r="H802" t="s">
        <v>4744</v>
      </c>
      <c r="I802" t="s">
        <v>460</v>
      </c>
    </row>
    <row r="803" spans="1:9" x14ac:dyDescent="0.3">
      <c r="A803">
        <v>73203</v>
      </c>
      <c r="B803">
        <v>105</v>
      </c>
      <c r="C803" s="452">
        <v>46054</v>
      </c>
      <c r="D803" t="s">
        <v>557</v>
      </c>
      <c r="E803">
        <v>19401</v>
      </c>
      <c r="F803" t="s">
        <v>4809</v>
      </c>
      <c r="G803">
        <v>2.33</v>
      </c>
      <c r="H803" t="s">
        <v>4744</v>
      </c>
      <c r="I803" t="s">
        <v>460</v>
      </c>
    </row>
    <row r="804" spans="1:9" x14ac:dyDescent="0.3">
      <c r="A804">
        <v>73204</v>
      </c>
      <c r="B804">
        <v>105</v>
      </c>
      <c r="C804" s="452">
        <v>46054</v>
      </c>
      <c r="D804" t="s">
        <v>557</v>
      </c>
      <c r="E804">
        <v>19572</v>
      </c>
      <c r="F804" t="s">
        <v>4989</v>
      </c>
      <c r="G804">
        <v>2.2999999999999998</v>
      </c>
      <c r="H804" t="s">
        <v>4744</v>
      </c>
      <c r="I804" t="s">
        <v>460</v>
      </c>
    </row>
    <row r="805" spans="1:9" x14ac:dyDescent="0.3">
      <c r="A805">
        <v>73205</v>
      </c>
      <c r="B805">
        <v>105</v>
      </c>
      <c r="C805" s="452">
        <v>46054</v>
      </c>
      <c r="D805" t="s">
        <v>557</v>
      </c>
      <c r="E805">
        <v>23503</v>
      </c>
      <c r="F805" t="s">
        <v>5048</v>
      </c>
      <c r="G805">
        <v>2.2000000000000002</v>
      </c>
      <c r="H805" t="s">
        <v>4744</v>
      </c>
      <c r="I805" t="s">
        <v>460</v>
      </c>
    </row>
    <row r="806" spans="1:9" x14ac:dyDescent="0.3">
      <c r="A806">
        <v>73206</v>
      </c>
      <c r="B806">
        <v>105</v>
      </c>
      <c r="C806" s="452">
        <v>46054</v>
      </c>
      <c r="D806" t="s">
        <v>557</v>
      </c>
      <c r="E806">
        <v>23082</v>
      </c>
      <c r="F806" t="s">
        <v>4904</v>
      </c>
      <c r="G806">
        <v>2.2000000000000002</v>
      </c>
      <c r="H806" t="s">
        <v>4744</v>
      </c>
      <c r="I806" t="s">
        <v>460</v>
      </c>
    </row>
    <row r="807" spans="1:9" x14ac:dyDescent="0.3">
      <c r="A807">
        <v>73207</v>
      </c>
      <c r="B807">
        <v>105</v>
      </c>
      <c r="C807" s="452">
        <v>46054</v>
      </c>
      <c r="D807" t="s">
        <v>557</v>
      </c>
      <c r="E807">
        <v>18119</v>
      </c>
      <c r="F807" t="s">
        <v>5044</v>
      </c>
      <c r="G807">
        <v>2.2000000000000002</v>
      </c>
      <c r="H807" t="s">
        <v>4805</v>
      </c>
      <c r="I807" t="s">
        <v>460</v>
      </c>
    </row>
    <row r="808" spans="1:9" x14ac:dyDescent="0.3">
      <c r="A808">
        <v>73208</v>
      </c>
      <c r="B808">
        <v>105</v>
      </c>
      <c r="C808" s="452">
        <v>46054</v>
      </c>
      <c r="D808" t="s">
        <v>557</v>
      </c>
      <c r="E808">
        <v>23113</v>
      </c>
      <c r="F808" t="s">
        <v>5074</v>
      </c>
      <c r="G808">
        <v>2.13</v>
      </c>
      <c r="H808" t="s">
        <v>4744</v>
      </c>
      <c r="I808" t="s">
        <v>460</v>
      </c>
    </row>
    <row r="809" spans="1:9" x14ac:dyDescent="0.3">
      <c r="A809">
        <v>73209</v>
      </c>
      <c r="B809">
        <v>105</v>
      </c>
      <c r="C809" s="452">
        <v>46054</v>
      </c>
      <c r="D809" t="s">
        <v>557</v>
      </c>
      <c r="E809">
        <v>18233</v>
      </c>
      <c r="F809" t="s">
        <v>4970</v>
      </c>
      <c r="G809">
        <v>2.12</v>
      </c>
      <c r="H809" t="s">
        <v>4805</v>
      </c>
      <c r="I809" t="s">
        <v>460</v>
      </c>
    </row>
    <row r="810" spans="1:9" x14ac:dyDescent="0.3">
      <c r="A810">
        <v>73210</v>
      </c>
      <c r="B810">
        <v>105</v>
      </c>
      <c r="C810" s="452">
        <v>46054</v>
      </c>
      <c r="D810" t="s">
        <v>557</v>
      </c>
      <c r="E810">
        <v>18945</v>
      </c>
      <c r="F810" t="s">
        <v>4768</v>
      </c>
      <c r="G810">
        <v>2.1</v>
      </c>
      <c r="H810" t="s">
        <v>4744</v>
      </c>
      <c r="I810" t="s">
        <v>460</v>
      </c>
    </row>
    <row r="811" spans="1:9" x14ac:dyDescent="0.3">
      <c r="A811">
        <v>73211</v>
      </c>
      <c r="B811">
        <v>105</v>
      </c>
      <c r="C811" s="452">
        <v>46054</v>
      </c>
      <c r="D811" t="s">
        <v>557</v>
      </c>
      <c r="E811">
        <v>19353</v>
      </c>
      <c r="F811" t="s">
        <v>4851</v>
      </c>
      <c r="G811">
        <v>2.0299999999999998</v>
      </c>
      <c r="H811" t="s">
        <v>4744</v>
      </c>
      <c r="I811" t="s">
        <v>460</v>
      </c>
    </row>
    <row r="812" spans="1:9" x14ac:dyDescent="0.3">
      <c r="A812">
        <v>73212</v>
      </c>
      <c r="B812">
        <v>105</v>
      </c>
      <c r="C812" s="452">
        <v>46054</v>
      </c>
      <c r="D812" t="s">
        <v>557</v>
      </c>
      <c r="E812">
        <v>26006</v>
      </c>
      <c r="F812" t="s">
        <v>4941</v>
      </c>
      <c r="G812">
        <v>2</v>
      </c>
      <c r="H812" t="s">
        <v>4749</v>
      </c>
      <c r="I812" t="s">
        <v>460</v>
      </c>
    </row>
    <row r="813" spans="1:9" x14ac:dyDescent="0.3">
      <c r="A813">
        <v>73213</v>
      </c>
      <c r="B813">
        <v>105</v>
      </c>
      <c r="C813" s="452">
        <v>46054</v>
      </c>
      <c r="D813" t="s">
        <v>557</v>
      </c>
      <c r="E813">
        <v>20756</v>
      </c>
      <c r="F813" t="s">
        <v>5001</v>
      </c>
      <c r="G813">
        <v>2</v>
      </c>
      <c r="H813" t="s">
        <v>4736</v>
      </c>
      <c r="I813" t="s">
        <v>460</v>
      </c>
    </row>
    <row r="814" spans="1:9" x14ac:dyDescent="0.3">
      <c r="A814">
        <v>73214</v>
      </c>
      <c r="B814">
        <v>105</v>
      </c>
      <c r="C814" s="452">
        <v>46054</v>
      </c>
      <c r="D814" t="s">
        <v>557</v>
      </c>
      <c r="E814">
        <v>23656</v>
      </c>
      <c r="F814" t="s">
        <v>4945</v>
      </c>
      <c r="G814">
        <v>2</v>
      </c>
      <c r="H814" t="s">
        <v>4744</v>
      </c>
      <c r="I814" t="s">
        <v>460</v>
      </c>
    </row>
    <row r="815" spans="1:9" x14ac:dyDescent="0.3">
      <c r="A815">
        <v>73215</v>
      </c>
      <c r="B815">
        <v>105</v>
      </c>
      <c r="C815" s="452">
        <v>46054</v>
      </c>
      <c r="D815" t="s">
        <v>557</v>
      </c>
      <c r="E815">
        <v>21060</v>
      </c>
      <c r="F815" t="s">
        <v>4946</v>
      </c>
      <c r="G815">
        <v>2</v>
      </c>
      <c r="H815" t="s">
        <v>4736</v>
      </c>
      <c r="I815" t="s">
        <v>460</v>
      </c>
    </row>
    <row r="816" spans="1:9" x14ac:dyDescent="0.3">
      <c r="A816">
        <v>73216</v>
      </c>
      <c r="B816">
        <v>105</v>
      </c>
      <c r="C816" s="452">
        <v>46054</v>
      </c>
      <c r="D816" t="s">
        <v>557</v>
      </c>
      <c r="E816">
        <v>23808</v>
      </c>
      <c r="F816" t="s">
        <v>4982</v>
      </c>
      <c r="G816">
        <v>2</v>
      </c>
      <c r="H816" t="s">
        <v>4744</v>
      </c>
      <c r="I816" t="s">
        <v>460</v>
      </c>
    </row>
    <row r="817" spans="1:9" x14ac:dyDescent="0.3">
      <c r="A817">
        <v>73217</v>
      </c>
      <c r="B817">
        <v>105</v>
      </c>
      <c r="C817" s="452">
        <v>46054</v>
      </c>
      <c r="D817" t="s">
        <v>557</v>
      </c>
      <c r="E817">
        <v>23554</v>
      </c>
      <c r="F817" t="s">
        <v>4931</v>
      </c>
      <c r="G817">
        <v>2</v>
      </c>
      <c r="H817" t="s">
        <v>4744</v>
      </c>
      <c r="I817" t="s">
        <v>460</v>
      </c>
    </row>
    <row r="818" spans="1:9" x14ac:dyDescent="0.3">
      <c r="A818">
        <v>73218</v>
      </c>
      <c r="B818">
        <v>105</v>
      </c>
      <c r="C818" s="452">
        <v>46054</v>
      </c>
      <c r="D818" t="s">
        <v>557</v>
      </c>
      <c r="E818">
        <v>20928</v>
      </c>
      <c r="F818" t="s">
        <v>4950</v>
      </c>
      <c r="G818">
        <v>2</v>
      </c>
      <c r="H818" t="s">
        <v>4736</v>
      </c>
      <c r="I818" t="s">
        <v>460</v>
      </c>
    </row>
    <row r="819" spans="1:9" x14ac:dyDescent="0.3">
      <c r="A819">
        <v>73219</v>
      </c>
      <c r="B819">
        <v>105</v>
      </c>
      <c r="C819" s="452">
        <v>46054</v>
      </c>
      <c r="D819" t="s">
        <v>557</v>
      </c>
      <c r="E819">
        <v>25807</v>
      </c>
      <c r="F819" t="s">
        <v>4951</v>
      </c>
      <c r="G819">
        <v>2</v>
      </c>
      <c r="H819" t="s">
        <v>4736</v>
      </c>
      <c r="I819" t="s">
        <v>460</v>
      </c>
    </row>
    <row r="820" spans="1:9" x14ac:dyDescent="0.3">
      <c r="A820">
        <v>73220</v>
      </c>
      <c r="B820">
        <v>105</v>
      </c>
      <c r="C820" s="452">
        <v>46054</v>
      </c>
      <c r="D820" t="s">
        <v>557</v>
      </c>
      <c r="E820">
        <v>20672</v>
      </c>
      <c r="F820" t="s">
        <v>4857</v>
      </c>
      <c r="G820">
        <v>2</v>
      </c>
      <c r="H820" t="s">
        <v>4738</v>
      </c>
      <c r="I820" t="s">
        <v>460</v>
      </c>
    </row>
    <row r="821" spans="1:9" x14ac:dyDescent="0.3">
      <c r="A821">
        <v>73221</v>
      </c>
      <c r="B821">
        <v>105</v>
      </c>
      <c r="C821" s="452">
        <v>46054</v>
      </c>
      <c r="D821" t="s">
        <v>557</v>
      </c>
      <c r="E821">
        <v>20025</v>
      </c>
      <c r="F821" t="s">
        <v>5010</v>
      </c>
      <c r="G821">
        <v>2</v>
      </c>
      <c r="H821" t="s">
        <v>4736</v>
      </c>
      <c r="I821" t="s">
        <v>460</v>
      </c>
    </row>
    <row r="822" spans="1:9" x14ac:dyDescent="0.3">
      <c r="A822">
        <v>73222</v>
      </c>
      <c r="B822">
        <v>105</v>
      </c>
      <c r="C822" s="452">
        <v>46054</v>
      </c>
      <c r="D822" t="s">
        <v>557</v>
      </c>
      <c r="E822">
        <v>20660</v>
      </c>
      <c r="F822" t="s">
        <v>5011</v>
      </c>
      <c r="G822">
        <v>2</v>
      </c>
      <c r="H822" t="s">
        <v>4955</v>
      </c>
      <c r="I822" t="s">
        <v>460</v>
      </c>
    </row>
    <row r="823" spans="1:9" x14ac:dyDescent="0.3">
      <c r="A823">
        <v>73223</v>
      </c>
      <c r="B823">
        <v>105</v>
      </c>
      <c r="C823" s="452">
        <v>46054</v>
      </c>
      <c r="D823" t="s">
        <v>557</v>
      </c>
      <c r="E823">
        <v>20871</v>
      </c>
      <c r="F823" t="s">
        <v>5015</v>
      </c>
      <c r="G823">
        <v>2</v>
      </c>
      <c r="H823" t="s">
        <v>4879</v>
      </c>
      <c r="I823" t="s">
        <v>460</v>
      </c>
    </row>
    <row r="824" spans="1:9" x14ac:dyDescent="0.3">
      <c r="A824">
        <v>73224</v>
      </c>
      <c r="B824">
        <v>105</v>
      </c>
      <c r="C824" s="452">
        <v>46054</v>
      </c>
      <c r="D824" t="s">
        <v>557</v>
      </c>
      <c r="E824">
        <v>19983</v>
      </c>
      <c r="F824" t="s">
        <v>5068</v>
      </c>
      <c r="G824">
        <v>2</v>
      </c>
      <c r="H824" t="s">
        <v>4888</v>
      </c>
      <c r="I824" t="s">
        <v>460</v>
      </c>
    </row>
    <row r="825" spans="1:9" x14ac:dyDescent="0.3">
      <c r="A825">
        <v>73225</v>
      </c>
      <c r="B825">
        <v>105</v>
      </c>
      <c r="C825" s="452">
        <v>46054</v>
      </c>
      <c r="D825" t="s">
        <v>557</v>
      </c>
      <c r="E825">
        <v>19969</v>
      </c>
      <c r="F825" t="s">
        <v>5018</v>
      </c>
      <c r="G825">
        <v>2</v>
      </c>
      <c r="H825" t="s">
        <v>4888</v>
      </c>
      <c r="I825" t="s">
        <v>460</v>
      </c>
    </row>
    <row r="826" spans="1:9" x14ac:dyDescent="0.3">
      <c r="A826">
        <v>73226</v>
      </c>
      <c r="B826">
        <v>105</v>
      </c>
      <c r="C826" s="452">
        <v>46054</v>
      </c>
      <c r="D826" t="s">
        <v>557</v>
      </c>
      <c r="E826">
        <v>21000</v>
      </c>
      <c r="F826" t="s">
        <v>4818</v>
      </c>
      <c r="G826">
        <v>2</v>
      </c>
      <c r="H826" t="s">
        <v>4736</v>
      </c>
      <c r="I826" t="s">
        <v>460</v>
      </c>
    </row>
    <row r="827" spans="1:9" x14ac:dyDescent="0.3">
      <c r="A827">
        <v>73227</v>
      </c>
      <c r="B827">
        <v>105</v>
      </c>
      <c r="C827" s="452">
        <v>46054</v>
      </c>
      <c r="D827" t="s">
        <v>557</v>
      </c>
      <c r="E827">
        <v>20624</v>
      </c>
      <c r="F827" t="s">
        <v>5019</v>
      </c>
      <c r="G827">
        <v>2</v>
      </c>
      <c r="H827" t="s">
        <v>4884</v>
      </c>
      <c r="I827" t="s">
        <v>460</v>
      </c>
    </row>
    <row r="828" spans="1:9" x14ac:dyDescent="0.3">
      <c r="A828">
        <v>73228</v>
      </c>
      <c r="B828">
        <v>105</v>
      </c>
      <c r="C828" s="452">
        <v>46054</v>
      </c>
      <c r="D828" t="s">
        <v>557</v>
      </c>
      <c r="E828">
        <v>23502</v>
      </c>
      <c r="F828" t="s">
        <v>4930</v>
      </c>
      <c r="G828">
        <v>2</v>
      </c>
      <c r="H828" t="s">
        <v>4736</v>
      </c>
      <c r="I828" t="s">
        <v>460</v>
      </c>
    </row>
    <row r="829" spans="1:9" x14ac:dyDescent="0.3">
      <c r="A829">
        <v>73229</v>
      </c>
      <c r="B829">
        <v>105</v>
      </c>
      <c r="C829" s="452">
        <v>46054</v>
      </c>
      <c r="D829" t="s">
        <v>557</v>
      </c>
      <c r="E829">
        <v>19916</v>
      </c>
      <c r="F829" t="s">
        <v>4826</v>
      </c>
      <c r="G829">
        <v>2</v>
      </c>
      <c r="H829" t="s">
        <v>4738</v>
      </c>
      <c r="I829" t="s">
        <v>460</v>
      </c>
    </row>
    <row r="830" spans="1:9" x14ac:dyDescent="0.3">
      <c r="A830">
        <v>73230</v>
      </c>
      <c r="B830">
        <v>105</v>
      </c>
      <c r="C830" s="452">
        <v>46054</v>
      </c>
      <c r="D830" t="s">
        <v>557</v>
      </c>
      <c r="E830">
        <v>20961</v>
      </c>
      <c r="F830" t="s">
        <v>5026</v>
      </c>
      <c r="G830">
        <v>2</v>
      </c>
      <c r="H830" t="s">
        <v>4736</v>
      </c>
      <c r="I830" t="s">
        <v>460</v>
      </c>
    </row>
    <row r="831" spans="1:9" x14ac:dyDescent="0.3">
      <c r="A831">
        <v>73231</v>
      </c>
      <c r="B831">
        <v>105</v>
      </c>
      <c r="C831" s="452">
        <v>46054</v>
      </c>
      <c r="D831" t="s">
        <v>557</v>
      </c>
      <c r="E831">
        <v>19649</v>
      </c>
      <c r="F831" t="s">
        <v>4859</v>
      </c>
      <c r="G831">
        <v>2</v>
      </c>
      <c r="H831" t="s">
        <v>4744</v>
      </c>
      <c r="I831" t="s">
        <v>460</v>
      </c>
    </row>
    <row r="832" spans="1:9" x14ac:dyDescent="0.3">
      <c r="A832">
        <v>73232</v>
      </c>
      <c r="B832">
        <v>105</v>
      </c>
      <c r="C832" s="452">
        <v>46054</v>
      </c>
      <c r="D832" t="s">
        <v>557</v>
      </c>
      <c r="E832">
        <v>23238</v>
      </c>
      <c r="F832" t="s">
        <v>4934</v>
      </c>
      <c r="G832">
        <v>2</v>
      </c>
      <c r="H832" t="s">
        <v>4744</v>
      </c>
      <c r="I832" t="s">
        <v>460</v>
      </c>
    </row>
    <row r="833" spans="1:9" x14ac:dyDescent="0.3">
      <c r="A833">
        <v>73233</v>
      </c>
      <c r="B833">
        <v>105</v>
      </c>
      <c r="C833" s="452">
        <v>46054</v>
      </c>
      <c r="D833" t="s">
        <v>557</v>
      </c>
      <c r="E833">
        <v>19790</v>
      </c>
      <c r="F833" t="s">
        <v>5073</v>
      </c>
      <c r="G833">
        <v>2</v>
      </c>
      <c r="H833" t="s">
        <v>4744</v>
      </c>
      <c r="I833" t="s">
        <v>460</v>
      </c>
    </row>
    <row r="834" spans="1:9" x14ac:dyDescent="0.3">
      <c r="A834">
        <v>73234</v>
      </c>
      <c r="B834">
        <v>105</v>
      </c>
      <c r="C834" s="452">
        <v>46054</v>
      </c>
      <c r="D834" t="s">
        <v>557</v>
      </c>
      <c r="E834">
        <v>19710</v>
      </c>
      <c r="F834" t="s">
        <v>4963</v>
      </c>
      <c r="G834">
        <v>2</v>
      </c>
      <c r="H834" t="s">
        <v>4738</v>
      </c>
      <c r="I834" t="s">
        <v>460</v>
      </c>
    </row>
    <row r="835" spans="1:9" x14ac:dyDescent="0.3">
      <c r="A835">
        <v>73235</v>
      </c>
      <c r="B835">
        <v>105</v>
      </c>
      <c r="C835" s="452">
        <v>46054</v>
      </c>
      <c r="D835" t="s">
        <v>557</v>
      </c>
      <c r="E835">
        <v>19421</v>
      </c>
      <c r="F835" t="s">
        <v>4918</v>
      </c>
      <c r="G835">
        <v>2</v>
      </c>
      <c r="H835" t="s">
        <v>4749</v>
      </c>
      <c r="I835" t="s">
        <v>460</v>
      </c>
    </row>
    <row r="836" spans="1:9" x14ac:dyDescent="0.3">
      <c r="A836">
        <v>73236</v>
      </c>
      <c r="B836">
        <v>105</v>
      </c>
      <c r="C836" s="452">
        <v>46054</v>
      </c>
      <c r="D836" t="s">
        <v>557</v>
      </c>
      <c r="E836">
        <v>24973</v>
      </c>
      <c r="F836" t="s">
        <v>4819</v>
      </c>
      <c r="G836">
        <v>2</v>
      </c>
      <c r="H836" t="s">
        <v>4738</v>
      </c>
      <c r="I836" t="s">
        <v>460</v>
      </c>
    </row>
    <row r="837" spans="1:9" x14ac:dyDescent="0.3">
      <c r="A837">
        <v>73237</v>
      </c>
      <c r="B837">
        <v>105</v>
      </c>
      <c r="C837" s="452">
        <v>46054</v>
      </c>
      <c r="D837" t="s">
        <v>557</v>
      </c>
      <c r="E837">
        <v>18586</v>
      </c>
      <c r="F837" t="s">
        <v>4966</v>
      </c>
      <c r="G837">
        <v>2</v>
      </c>
      <c r="H837" t="s">
        <v>4738</v>
      </c>
      <c r="I837" t="s">
        <v>460</v>
      </c>
    </row>
    <row r="838" spans="1:9" x14ac:dyDescent="0.3">
      <c r="A838">
        <v>73238</v>
      </c>
      <c r="B838">
        <v>105</v>
      </c>
      <c r="C838" s="452">
        <v>46054</v>
      </c>
      <c r="D838" t="s">
        <v>557</v>
      </c>
      <c r="E838">
        <v>17838</v>
      </c>
      <c r="F838" t="s">
        <v>4925</v>
      </c>
      <c r="G838">
        <v>2</v>
      </c>
      <c r="H838" t="s">
        <v>4749</v>
      </c>
      <c r="I838" t="s">
        <v>460</v>
      </c>
    </row>
    <row r="839" spans="1:9" x14ac:dyDescent="0.3">
      <c r="A839">
        <v>73239</v>
      </c>
      <c r="B839">
        <v>105</v>
      </c>
      <c r="C839" s="452">
        <v>46054</v>
      </c>
      <c r="D839" t="s">
        <v>557</v>
      </c>
      <c r="E839">
        <v>26505</v>
      </c>
      <c r="F839" t="s">
        <v>4750</v>
      </c>
      <c r="G839">
        <v>2</v>
      </c>
      <c r="H839" t="s">
        <v>4738</v>
      </c>
      <c r="I839" t="s">
        <v>460</v>
      </c>
    </row>
    <row r="840" spans="1:9" x14ac:dyDescent="0.3">
      <c r="A840">
        <v>73240</v>
      </c>
      <c r="B840">
        <v>105</v>
      </c>
      <c r="C840" s="452">
        <v>46054</v>
      </c>
      <c r="D840" t="s">
        <v>557</v>
      </c>
      <c r="E840">
        <v>19642</v>
      </c>
      <c r="F840" t="s">
        <v>4996</v>
      </c>
      <c r="G840">
        <v>1.98</v>
      </c>
      <c r="H840" t="s">
        <v>4744</v>
      </c>
      <c r="I840" t="s">
        <v>460</v>
      </c>
    </row>
    <row r="841" spans="1:9" x14ac:dyDescent="0.3">
      <c r="A841">
        <v>73241</v>
      </c>
      <c r="B841">
        <v>105</v>
      </c>
      <c r="C841" s="452">
        <v>46054</v>
      </c>
      <c r="D841" t="s">
        <v>557</v>
      </c>
      <c r="E841">
        <v>19562</v>
      </c>
      <c r="F841" t="s">
        <v>4939</v>
      </c>
      <c r="G841">
        <v>1.89</v>
      </c>
      <c r="H841" t="s">
        <v>4744</v>
      </c>
      <c r="I841" t="s">
        <v>460</v>
      </c>
    </row>
    <row r="842" spans="1:9" x14ac:dyDescent="0.3">
      <c r="A842">
        <v>73242</v>
      </c>
      <c r="B842">
        <v>105</v>
      </c>
      <c r="C842" s="452">
        <v>46054</v>
      </c>
      <c r="D842" t="s">
        <v>557</v>
      </c>
      <c r="E842">
        <v>26150</v>
      </c>
      <c r="F842" t="s">
        <v>5105</v>
      </c>
      <c r="G842">
        <v>1.78</v>
      </c>
      <c r="H842" t="s">
        <v>4805</v>
      </c>
      <c r="I842" t="s">
        <v>460</v>
      </c>
    </row>
    <row r="843" spans="1:9" x14ac:dyDescent="0.3">
      <c r="A843">
        <v>73243</v>
      </c>
      <c r="B843">
        <v>105</v>
      </c>
      <c r="C843" s="452">
        <v>46054</v>
      </c>
      <c r="D843" t="s">
        <v>557</v>
      </c>
      <c r="E843">
        <v>18538</v>
      </c>
      <c r="F843" t="s">
        <v>5030</v>
      </c>
      <c r="G843">
        <v>1.75</v>
      </c>
      <c r="H843" t="s">
        <v>4805</v>
      </c>
      <c r="I843" t="s">
        <v>460</v>
      </c>
    </row>
    <row r="844" spans="1:9" x14ac:dyDescent="0.3">
      <c r="A844">
        <v>73244</v>
      </c>
      <c r="B844">
        <v>105</v>
      </c>
      <c r="C844" s="452">
        <v>46054</v>
      </c>
      <c r="D844" t="s">
        <v>557</v>
      </c>
      <c r="E844">
        <v>23198</v>
      </c>
      <c r="F844" t="s">
        <v>4962</v>
      </c>
      <c r="G844">
        <v>1.66</v>
      </c>
      <c r="H844" t="s">
        <v>4744</v>
      </c>
      <c r="I844" t="s">
        <v>460</v>
      </c>
    </row>
    <row r="845" spans="1:9" x14ac:dyDescent="0.3">
      <c r="A845">
        <v>73245</v>
      </c>
      <c r="B845">
        <v>105</v>
      </c>
      <c r="C845" s="452">
        <v>46054</v>
      </c>
      <c r="D845" t="s">
        <v>557</v>
      </c>
      <c r="E845">
        <v>18116</v>
      </c>
      <c r="F845" t="s">
        <v>5045</v>
      </c>
      <c r="G845">
        <v>1.6</v>
      </c>
      <c r="H845" t="s">
        <v>4805</v>
      </c>
      <c r="I845" t="s">
        <v>460</v>
      </c>
    </row>
    <row r="846" spans="1:9" x14ac:dyDescent="0.3">
      <c r="A846">
        <v>73246</v>
      </c>
      <c r="B846">
        <v>105</v>
      </c>
      <c r="C846" s="452">
        <v>46054</v>
      </c>
      <c r="D846" t="s">
        <v>557</v>
      </c>
      <c r="E846">
        <v>19647</v>
      </c>
      <c r="F846" t="s">
        <v>5050</v>
      </c>
      <c r="G846">
        <v>1.6</v>
      </c>
      <c r="H846" t="s">
        <v>4744</v>
      </c>
      <c r="I846" t="s">
        <v>460</v>
      </c>
    </row>
    <row r="847" spans="1:9" x14ac:dyDescent="0.3">
      <c r="A847">
        <v>73247</v>
      </c>
      <c r="B847">
        <v>105</v>
      </c>
      <c r="C847" s="452">
        <v>46054</v>
      </c>
      <c r="D847" t="s">
        <v>557</v>
      </c>
      <c r="E847">
        <v>19728</v>
      </c>
      <c r="F847" t="s">
        <v>5106</v>
      </c>
      <c r="G847">
        <v>1.56</v>
      </c>
      <c r="H847" t="s">
        <v>4744</v>
      </c>
      <c r="I847" t="s">
        <v>460</v>
      </c>
    </row>
    <row r="848" spans="1:9" x14ac:dyDescent="0.3">
      <c r="A848">
        <v>73248</v>
      </c>
      <c r="B848">
        <v>105</v>
      </c>
      <c r="C848" s="452">
        <v>46054</v>
      </c>
      <c r="D848" t="s">
        <v>557</v>
      </c>
      <c r="E848">
        <v>18462</v>
      </c>
      <c r="F848" t="s">
        <v>5031</v>
      </c>
      <c r="G848">
        <v>1.55</v>
      </c>
      <c r="H848" t="s">
        <v>4805</v>
      </c>
      <c r="I848" t="s">
        <v>460</v>
      </c>
    </row>
    <row r="849" spans="1:9" x14ac:dyDescent="0.3">
      <c r="A849">
        <v>73249</v>
      </c>
      <c r="B849">
        <v>105</v>
      </c>
      <c r="C849" s="452">
        <v>46054</v>
      </c>
      <c r="D849" t="s">
        <v>557</v>
      </c>
      <c r="E849">
        <v>18114</v>
      </c>
      <c r="F849" t="s">
        <v>5046</v>
      </c>
      <c r="G849">
        <v>1.55</v>
      </c>
      <c r="H849" t="s">
        <v>4805</v>
      </c>
      <c r="I849" t="s">
        <v>460</v>
      </c>
    </row>
    <row r="850" spans="1:9" x14ac:dyDescent="0.3">
      <c r="A850">
        <v>73250</v>
      </c>
      <c r="B850">
        <v>105</v>
      </c>
      <c r="C850" s="452">
        <v>46054</v>
      </c>
      <c r="D850" t="s">
        <v>557</v>
      </c>
      <c r="E850">
        <v>20751</v>
      </c>
      <c r="F850" t="s">
        <v>5004</v>
      </c>
      <c r="G850">
        <v>1.5</v>
      </c>
      <c r="H850" t="s">
        <v>4884</v>
      </c>
      <c r="I850" t="s">
        <v>460</v>
      </c>
    </row>
    <row r="851" spans="1:9" x14ac:dyDescent="0.3">
      <c r="A851">
        <v>73251</v>
      </c>
      <c r="B851">
        <v>105</v>
      </c>
      <c r="C851" s="452">
        <v>46054</v>
      </c>
      <c r="D851" t="s">
        <v>557</v>
      </c>
      <c r="E851">
        <v>24339</v>
      </c>
      <c r="F851" t="s">
        <v>4885</v>
      </c>
      <c r="G851">
        <v>1.5</v>
      </c>
      <c r="H851" t="s">
        <v>4744</v>
      </c>
      <c r="I851" t="s">
        <v>460</v>
      </c>
    </row>
    <row r="852" spans="1:9" x14ac:dyDescent="0.3">
      <c r="A852">
        <v>73252</v>
      </c>
      <c r="B852">
        <v>105</v>
      </c>
      <c r="C852" s="452">
        <v>46054</v>
      </c>
      <c r="D852" t="s">
        <v>557</v>
      </c>
      <c r="E852">
        <v>19752</v>
      </c>
      <c r="F852" t="s">
        <v>4807</v>
      </c>
      <c r="G852">
        <v>1.5</v>
      </c>
      <c r="H852" t="s">
        <v>4744</v>
      </c>
      <c r="I852" t="s">
        <v>460</v>
      </c>
    </row>
    <row r="853" spans="1:9" x14ac:dyDescent="0.3">
      <c r="A853">
        <v>73253</v>
      </c>
      <c r="B853">
        <v>105</v>
      </c>
      <c r="C853" s="452">
        <v>46054</v>
      </c>
      <c r="D853" t="s">
        <v>557</v>
      </c>
      <c r="E853">
        <v>24685</v>
      </c>
      <c r="F853" t="s">
        <v>5055</v>
      </c>
      <c r="G853">
        <v>1.5</v>
      </c>
      <c r="H853" t="s">
        <v>4805</v>
      </c>
      <c r="I853" t="s">
        <v>460</v>
      </c>
    </row>
    <row r="854" spans="1:9" x14ac:dyDescent="0.3">
      <c r="A854">
        <v>73254</v>
      </c>
      <c r="B854">
        <v>105</v>
      </c>
      <c r="C854" s="452">
        <v>46054</v>
      </c>
      <c r="D854" t="s">
        <v>557</v>
      </c>
      <c r="E854">
        <v>23389</v>
      </c>
      <c r="F854" t="s">
        <v>4960</v>
      </c>
      <c r="G854">
        <v>1.45</v>
      </c>
      <c r="H854" t="s">
        <v>4744</v>
      </c>
      <c r="I854" t="s">
        <v>460</v>
      </c>
    </row>
    <row r="855" spans="1:9" x14ac:dyDescent="0.3">
      <c r="A855">
        <v>73255</v>
      </c>
      <c r="B855">
        <v>105</v>
      </c>
      <c r="C855" s="452">
        <v>46054</v>
      </c>
      <c r="D855" t="s">
        <v>557</v>
      </c>
      <c r="E855">
        <v>18423</v>
      </c>
      <c r="F855" t="s">
        <v>4987</v>
      </c>
      <c r="G855">
        <v>1.45</v>
      </c>
      <c r="H855" t="s">
        <v>4805</v>
      </c>
      <c r="I855" t="s">
        <v>460</v>
      </c>
    </row>
    <row r="856" spans="1:9" x14ac:dyDescent="0.3">
      <c r="A856">
        <v>73256</v>
      </c>
      <c r="B856">
        <v>105</v>
      </c>
      <c r="C856" s="452">
        <v>46054</v>
      </c>
      <c r="D856" t="s">
        <v>557</v>
      </c>
      <c r="E856">
        <v>18339</v>
      </c>
      <c r="F856" t="s">
        <v>5033</v>
      </c>
      <c r="G856">
        <v>1.45</v>
      </c>
      <c r="H856" t="s">
        <v>4805</v>
      </c>
      <c r="I856" t="s">
        <v>460</v>
      </c>
    </row>
    <row r="857" spans="1:9" x14ac:dyDescent="0.3">
      <c r="A857">
        <v>73257</v>
      </c>
      <c r="B857">
        <v>105</v>
      </c>
      <c r="C857" s="452">
        <v>46054</v>
      </c>
      <c r="D857" t="s">
        <v>557</v>
      </c>
      <c r="E857">
        <v>19551</v>
      </c>
      <c r="F857" t="s">
        <v>4905</v>
      </c>
      <c r="G857">
        <v>1.41</v>
      </c>
      <c r="H857" t="s">
        <v>4744</v>
      </c>
      <c r="I857" t="s">
        <v>460</v>
      </c>
    </row>
    <row r="858" spans="1:9" x14ac:dyDescent="0.3">
      <c r="A858">
        <v>73258</v>
      </c>
      <c r="B858">
        <v>105</v>
      </c>
      <c r="C858" s="452">
        <v>46054</v>
      </c>
      <c r="D858" t="s">
        <v>557</v>
      </c>
      <c r="E858">
        <v>18394</v>
      </c>
      <c r="F858" t="s">
        <v>5032</v>
      </c>
      <c r="G858">
        <v>1.4</v>
      </c>
      <c r="H858" t="s">
        <v>4805</v>
      </c>
      <c r="I858" t="s">
        <v>460</v>
      </c>
    </row>
    <row r="859" spans="1:9" x14ac:dyDescent="0.3">
      <c r="A859">
        <v>73259</v>
      </c>
      <c r="B859">
        <v>105</v>
      </c>
      <c r="C859" s="452">
        <v>46054</v>
      </c>
      <c r="D859" t="s">
        <v>557</v>
      </c>
      <c r="E859">
        <v>18129</v>
      </c>
      <c r="F859" t="s">
        <v>5043</v>
      </c>
      <c r="G859">
        <v>1.4</v>
      </c>
      <c r="H859" t="s">
        <v>4805</v>
      </c>
      <c r="I859" t="s">
        <v>460</v>
      </c>
    </row>
    <row r="860" spans="1:9" x14ac:dyDescent="0.3">
      <c r="A860">
        <v>73260</v>
      </c>
      <c r="B860">
        <v>105</v>
      </c>
      <c r="C860" s="452">
        <v>46054</v>
      </c>
      <c r="D860" t="s">
        <v>557</v>
      </c>
      <c r="E860">
        <v>18548</v>
      </c>
      <c r="F860" t="s">
        <v>5029</v>
      </c>
      <c r="G860">
        <v>1.34</v>
      </c>
      <c r="H860" t="s">
        <v>4805</v>
      </c>
      <c r="I860" t="s">
        <v>460</v>
      </c>
    </row>
    <row r="861" spans="1:9" x14ac:dyDescent="0.3">
      <c r="A861">
        <v>73261</v>
      </c>
      <c r="B861">
        <v>105</v>
      </c>
      <c r="C861" s="452">
        <v>46054</v>
      </c>
      <c r="D861" t="s">
        <v>557</v>
      </c>
      <c r="E861">
        <v>26210</v>
      </c>
      <c r="F861" t="s">
        <v>4975</v>
      </c>
      <c r="G861">
        <v>1.33</v>
      </c>
      <c r="H861" t="s">
        <v>4805</v>
      </c>
      <c r="I861" t="s">
        <v>460</v>
      </c>
    </row>
    <row r="862" spans="1:9" x14ac:dyDescent="0.3">
      <c r="A862">
        <v>73262</v>
      </c>
      <c r="B862">
        <v>105</v>
      </c>
      <c r="C862" s="452">
        <v>46054</v>
      </c>
      <c r="D862" t="s">
        <v>557</v>
      </c>
      <c r="E862">
        <v>23335</v>
      </c>
      <c r="F862" t="s">
        <v>4961</v>
      </c>
      <c r="G862">
        <v>1.27</v>
      </c>
      <c r="H862" t="s">
        <v>4744</v>
      </c>
      <c r="I862" t="s">
        <v>460</v>
      </c>
    </row>
    <row r="863" spans="1:9" x14ac:dyDescent="0.3">
      <c r="A863">
        <v>73263</v>
      </c>
      <c r="B863">
        <v>105</v>
      </c>
      <c r="C863" s="452">
        <v>46054</v>
      </c>
      <c r="D863" t="s">
        <v>557</v>
      </c>
      <c r="E863">
        <v>18157</v>
      </c>
      <c r="F863" t="s">
        <v>5041</v>
      </c>
      <c r="G863">
        <v>1.25</v>
      </c>
      <c r="H863" t="s">
        <v>4805</v>
      </c>
      <c r="I863" t="s">
        <v>460</v>
      </c>
    </row>
    <row r="864" spans="1:9" x14ac:dyDescent="0.3">
      <c r="A864">
        <v>73264</v>
      </c>
      <c r="B864">
        <v>105</v>
      </c>
      <c r="C864" s="452">
        <v>46054</v>
      </c>
      <c r="D864" t="s">
        <v>557</v>
      </c>
      <c r="E864">
        <v>19488</v>
      </c>
      <c r="F864" t="s">
        <v>5107</v>
      </c>
      <c r="G864">
        <v>1.25</v>
      </c>
      <c r="H864" t="s">
        <v>4744</v>
      </c>
      <c r="I864" t="s">
        <v>460</v>
      </c>
    </row>
    <row r="865" spans="1:9" x14ac:dyDescent="0.3">
      <c r="A865">
        <v>73265</v>
      </c>
      <c r="B865">
        <v>105</v>
      </c>
      <c r="C865" s="452">
        <v>46054</v>
      </c>
      <c r="D865" t="s">
        <v>557</v>
      </c>
      <c r="E865">
        <v>18327</v>
      </c>
      <c r="F865" t="s">
        <v>5035</v>
      </c>
      <c r="G865">
        <v>1.2</v>
      </c>
      <c r="H865" t="s">
        <v>4805</v>
      </c>
      <c r="I865" t="s">
        <v>460</v>
      </c>
    </row>
    <row r="866" spans="1:9" x14ac:dyDescent="0.3">
      <c r="A866">
        <v>73266</v>
      </c>
      <c r="B866">
        <v>105</v>
      </c>
      <c r="C866" s="452">
        <v>46054</v>
      </c>
      <c r="D866" t="s">
        <v>557</v>
      </c>
      <c r="E866">
        <v>18295</v>
      </c>
      <c r="F866" t="s">
        <v>4968</v>
      </c>
      <c r="G866">
        <v>1.2</v>
      </c>
      <c r="H866" t="s">
        <v>4805</v>
      </c>
      <c r="I866" t="s">
        <v>460</v>
      </c>
    </row>
    <row r="867" spans="1:9" x14ac:dyDescent="0.3">
      <c r="A867">
        <v>73267</v>
      </c>
      <c r="B867">
        <v>105</v>
      </c>
      <c r="C867" s="452">
        <v>46054</v>
      </c>
      <c r="D867" t="s">
        <v>557</v>
      </c>
      <c r="E867">
        <v>18073</v>
      </c>
      <c r="F867" t="s">
        <v>4974</v>
      </c>
      <c r="G867">
        <v>1.1499999999999999</v>
      </c>
      <c r="H867" t="s">
        <v>4805</v>
      </c>
      <c r="I867" t="s">
        <v>460</v>
      </c>
    </row>
    <row r="868" spans="1:9" x14ac:dyDescent="0.3">
      <c r="A868">
        <v>73268</v>
      </c>
      <c r="B868">
        <v>105</v>
      </c>
      <c r="C868" s="452">
        <v>46054</v>
      </c>
      <c r="D868" t="s">
        <v>557</v>
      </c>
      <c r="E868">
        <v>18293</v>
      </c>
      <c r="F868" t="s">
        <v>5034</v>
      </c>
      <c r="G868">
        <v>1.1000000000000001</v>
      </c>
      <c r="H868" t="s">
        <v>4805</v>
      </c>
      <c r="I868" t="s">
        <v>460</v>
      </c>
    </row>
    <row r="869" spans="1:9" x14ac:dyDescent="0.3">
      <c r="A869">
        <v>73269</v>
      </c>
      <c r="B869">
        <v>105</v>
      </c>
      <c r="C869" s="452">
        <v>46054</v>
      </c>
      <c r="D869" t="s">
        <v>557</v>
      </c>
      <c r="E869">
        <v>23365</v>
      </c>
      <c r="F869" t="s">
        <v>5108</v>
      </c>
      <c r="G869">
        <v>1.08</v>
      </c>
      <c r="H869" t="s">
        <v>4744</v>
      </c>
      <c r="I869" t="s">
        <v>460</v>
      </c>
    </row>
    <row r="870" spans="1:9" x14ac:dyDescent="0.3">
      <c r="A870">
        <v>73270</v>
      </c>
      <c r="B870">
        <v>105</v>
      </c>
      <c r="C870" s="452">
        <v>46054</v>
      </c>
      <c r="D870" t="s">
        <v>557</v>
      </c>
      <c r="E870">
        <v>24099</v>
      </c>
      <c r="F870" t="s">
        <v>4933</v>
      </c>
      <c r="G870">
        <v>1.05</v>
      </c>
      <c r="H870" t="s">
        <v>4744</v>
      </c>
      <c r="I870" t="s">
        <v>460</v>
      </c>
    </row>
    <row r="871" spans="1:9" x14ac:dyDescent="0.3">
      <c r="A871">
        <v>73271</v>
      </c>
      <c r="B871">
        <v>105</v>
      </c>
      <c r="C871" s="452">
        <v>46054</v>
      </c>
      <c r="D871" t="s">
        <v>557</v>
      </c>
      <c r="E871">
        <v>24272</v>
      </c>
      <c r="F871" t="s">
        <v>5059</v>
      </c>
      <c r="G871">
        <v>1.03</v>
      </c>
      <c r="H871" t="s">
        <v>4744</v>
      </c>
      <c r="I871" t="s">
        <v>460</v>
      </c>
    </row>
    <row r="872" spans="1:9" x14ac:dyDescent="0.3">
      <c r="A872">
        <v>73272</v>
      </c>
      <c r="B872">
        <v>105</v>
      </c>
      <c r="C872" s="452">
        <v>46054</v>
      </c>
      <c r="D872" t="s">
        <v>557</v>
      </c>
      <c r="E872">
        <v>26005</v>
      </c>
      <c r="F872" t="s">
        <v>4907</v>
      </c>
      <c r="G872">
        <v>1</v>
      </c>
      <c r="H872" t="s">
        <v>4749</v>
      </c>
      <c r="I872" t="s">
        <v>460</v>
      </c>
    </row>
    <row r="873" spans="1:9" x14ac:dyDescent="0.3">
      <c r="A873">
        <v>73273</v>
      </c>
      <c r="B873">
        <v>105</v>
      </c>
      <c r="C873" s="452">
        <v>46054</v>
      </c>
      <c r="D873" t="s">
        <v>557</v>
      </c>
      <c r="E873">
        <v>21147</v>
      </c>
      <c r="F873" t="s">
        <v>4876</v>
      </c>
      <c r="G873">
        <v>1</v>
      </c>
      <c r="H873" t="s">
        <v>4736</v>
      </c>
      <c r="I873" t="s">
        <v>460</v>
      </c>
    </row>
    <row r="874" spans="1:9" x14ac:dyDescent="0.3">
      <c r="A874">
        <v>73274</v>
      </c>
      <c r="B874">
        <v>105</v>
      </c>
      <c r="C874" s="452">
        <v>46054</v>
      </c>
      <c r="D874" t="s">
        <v>557</v>
      </c>
      <c r="E874">
        <v>21130</v>
      </c>
      <c r="F874" t="s">
        <v>4998</v>
      </c>
      <c r="G874">
        <v>1</v>
      </c>
      <c r="H874" t="s">
        <v>4736</v>
      </c>
      <c r="I874" t="s">
        <v>460</v>
      </c>
    </row>
    <row r="875" spans="1:9" x14ac:dyDescent="0.3">
      <c r="A875">
        <v>73275</v>
      </c>
      <c r="B875">
        <v>105</v>
      </c>
      <c r="C875" s="452">
        <v>46054</v>
      </c>
      <c r="D875" t="s">
        <v>557</v>
      </c>
      <c r="E875">
        <v>21085</v>
      </c>
      <c r="F875" t="s">
        <v>5066</v>
      </c>
      <c r="G875">
        <v>1</v>
      </c>
      <c r="H875" t="s">
        <v>4749</v>
      </c>
      <c r="I875" t="s">
        <v>460</v>
      </c>
    </row>
    <row r="876" spans="1:9" x14ac:dyDescent="0.3">
      <c r="A876">
        <v>73276</v>
      </c>
      <c r="B876">
        <v>105</v>
      </c>
      <c r="C876" s="452">
        <v>46054</v>
      </c>
      <c r="D876" t="s">
        <v>557</v>
      </c>
      <c r="E876">
        <v>25055</v>
      </c>
      <c r="F876" t="s">
        <v>5003</v>
      </c>
      <c r="G876">
        <v>1</v>
      </c>
      <c r="H876" t="s">
        <v>4744</v>
      </c>
      <c r="I876" t="s">
        <v>460</v>
      </c>
    </row>
    <row r="877" spans="1:9" x14ac:dyDescent="0.3">
      <c r="A877">
        <v>73277</v>
      </c>
      <c r="B877">
        <v>105</v>
      </c>
      <c r="C877" s="452">
        <v>46054</v>
      </c>
      <c r="D877" t="s">
        <v>557</v>
      </c>
      <c r="E877">
        <v>23819</v>
      </c>
      <c r="F877" t="s">
        <v>4947</v>
      </c>
      <c r="G877">
        <v>1</v>
      </c>
      <c r="H877" t="s">
        <v>4736</v>
      </c>
      <c r="I877" t="s">
        <v>460</v>
      </c>
    </row>
    <row r="878" spans="1:9" x14ac:dyDescent="0.3">
      <c r="A878">
        <v>73278</v>
      </c>
      <c r="B878">
        <v>105</v>
      </c>
      <c r="C878" s="452">
        <v>46054</v>
      </c>
      <c r="D878" t="s">
        <v>557</v>
      </c>
      <c r="E878">
        <v>20358</v>
      </c>
      <c r="F878" t="s">
        <v>4911</v>
      </c>
      <c r="G878">
        <v>1</v>
      </c>
      <c r="H878" t="s">
        <v>4738</v>
      </c>
      <c r="I878" t="s">
        <v>460</v>
      </c>
    </row>
    <row r="879" spans="1:9" x14ac:dyDescent="0.3">
      <c r="A879">
        <v>73279</v>
      </c>
      <c r="B879">
        <v>105</v>
      </c>
      <c r="C879" s="452">
        <v>46054</v>
      </c>
      <c r="D879" t="s">
        <v>557</v>
      </c>
      <c r="E879">
        <v>20234</v>
      </c>
      <c r="F879" t="s">
        <v>5009</v>
      </c>
      <c r="G879">
        <v>1</v>
      </c>
      <c r="H879" t="s">
        <v>4744</v>
      </c>
      <c r="I879" t="s">
        <v>460</v>
      </c>
    </row>
    <row r="880" spans="1:9" x14ac:dyDescent="0.3">
      <c r="A880">
        <v>73280</v>
      </c>
      <c r="B880">
        <v>105</v>
      </c>
      <c r="C880" s="452">
        <v>46054</v>
      </c>
      <c r="D880" t="s">
        <v>557</v>
      </c>
      <c r="E880">
        <v>20657</v>
      </c>
      <c r="F880" t="s">
        <v>5109</v>
      </c>
      <c r="G880">
        <v>1</v>
      </c>
      <c r="H880" t="s">
        <v>4736</v>
      </c>
      <c r="I880" t="s">
        <v>460</v>
      </c>
    </row>
    <row r="881" spans="1:9" x14ac:dyDescent="0.3">
      <c r="A881">
        <v>73281</v>
      </c>
      <c r="B881">
        <v>105</v>
      </c>
      <c r="C881" s="452">
        <v>46054</v>
      </c>
      <c r="D881" t="s">
        <v>557</v>
      </c>
      <c r="E881">
        <v>20653</v>
      </c>
      <c r="F881" t="s">
        <v>5013</v>
      </c>
      <c r="G881">
        <v>1</v>
      </c>
      <c r="H881" t="s">
        <v>4736</v>
      </c>
      <c r="I881" t="s">
        <v>460</v>
      </c>
    </row>
    <row r="882" spans="1:9" x14ac:dyDescent="0.3">
      <c r="A882">
        <v>73282</v>
      </c>
      <c r="B882">
        <v>105</v>
      </c>
      <c r="C882" s="452">
        <v>46054</v>
      </c>
      <c r="D882" t="s">
        <v>557</v>
      </c>
      <c r="E882">
        <v>20644</v>
      </c>
      <c r="F882" t="s">
        <v>5016</v>
      </c>
      <c r="G882">
        <v>1</v>
      </c>
      <c r="H882" t="s">
        <v>4955</v>
      </c>
      <c r="I882" t="s">
        <v>460</v>
      </c>
    </row>
    <row r="883" spans="1:9" x14ac:dyDescent="0.3">
      <c r="A883">
        <v>73283</v>
      </c>
      <c r="B883">
        <v>105</v>
      </c>
      <c r="C883" s="452">
        <v>46054</v>
      </c>
      <c r="D883" t="s">
        <v>557</v>
      </c>
      <c r="E883">
        <v>19955</v>
      </c>
      <c r="F883" t="s">
        <v>4985</v>
      </c>
      <c r="G883">
        <v>1</v>
      </c>
      <c r="H883" t="s">
        <v>4736</v>
      </c>
      <c r="I883" t="s">
        <v>460</v>
      </c>
    </row>
    <row r="884" spans="1:9" x14ac:dyDescent="0.3">
      <c r="A884">
        <v>73284</v>
      </c>
      <c r="B884">
        <v>105</v>
      </c>
      <c r="C884" s="452">
        <v>46054</v>
      </c>
      <c r="D884" t="s">
        <v>557</v>
      </c>
      <c r="E884">
        <v>20186</v>
      </c>
      <c r="F884" t="s">
        <v>5061</v>
      </c>
      <c r="G884">
        <v>1</v>
      </c>
      <c r="H884" t="s">
        <v>4744</v>
      </c>
      <c r="I884" t="s">
        <v>460</v>
      </c>
    </row>
    <row r="885" spans="1:9" x14ac:dyDescent="0.3">
      <c r="A885">
        <v>73285</v>
      </c>
      <c r="B885">
        <v>105</v>
      </c>
      <c r="C885" s="452">
        <v>46054</v>
      </c>
      <c r="D885" t="s">
        <v>557</v>
      </c>
      <c r="E885">
        <v>20791</v>
      </c>
      <c r="F885" t="s">
        <v>5021</v>
      </c>
      <c r="G885">
        <v>1</v>
      </c>
      <c r="H885" t="s">
        <v>4738</v>
      </c>
      <c r="I885" t="s">
        <v>460</v>
      </c>
    </row>
    <row r="886" spans="1:9" x14ac:dyDescent="0.3">
      <c r="A886">
        <v>73286</v>
      </c>
      <c r="B886">
        <v>105</v>
      </c>
      <c r="C886" s="452">
        <v>46054</v>
      </c>
      <c r="D886" t="s">
        <v>557</v>
      </c>
      <c r="E886">
        <v>20795</v>
      </c>
      <c r="F886" t="s">
        <v>5024</v>
      </c>
      <c r="G886">
        <v>1</v>
      </c>
      <c r="H886" t="s">
        <v>4738</v>
      </c>
      <c r="I886" t="s">
        <v>460</v>
      </c>
    </row>
    <row r="887" spans="1:9" x14ac:dyDescent="0.3">
      <c r="A887">
        <v>73287</v>
      </c>
      <c r="B887">
        <v>105</v>
      </c>
      <c r="C887" s="452">
        <v>46054</v>
      </c>
      <c r="D887" t="s">
        <v>557</v>
      </c>
      <c r="E887">
        <v>20614</v>
      </c>
      <c r="F887" t="s">
        <v>4958</v>
      </c>
      <c r="G887">
        <v>1</v>
      </c>
      <c r="H887" t="s">
        <v>4736</v>
      </c>
      <c r="I887" t="s">
        <v>460</v>
      </c>
    </row>
    <row r="888" spans="1:9" x14ac:dyDescent="0.3">
      <c r="A888">
        <v>73288</v>
      </c>
      <c r="B888">
        <v>105</v>
      </c>
      <c r="C888" s="452">
        <v>46054</v>
      </c>
      <c r="D888" t="s">
        <v>557</v>
      </c>
      <c r="E888">
        <v>20585</v>
      </c>
      <c r="F888" t="s">
        <v>5025</v>
      </c>
      <c r="G888">
        <v>1</v>
      </c>
      <c r="H888" t="s">
        <v>4736</v>
      </c>
      <c r="I888" t="s">
        <v>460</v>
      </c>
    </row>
    <row r="889" spans="1:9" x14ac:dyDescent="0.3">
      <c r="A889">
        <v>73289</v>
      </c>
      <c r="B889">
        <v>105</v>
      </c>
      <c r="C889" s="452">
        <v>46054</v>
      </c>
      <c r="D889" t="s">
        <v>557</v>
      </c>
      <c r="E889">
        <v>20955</v>
      </c>
      <c r="F889" t="s">
        <v>4959</v>
      </c>
      <c r="G889">
        <v>1</v>
      </c>
      <c r="H889" t="s">
        <v>4805</v>
      </c>
      <c r="I889" t="s">
        <v>460</v>
      </c>
    </row>
    <row r="890" spans="1:9" x14ac:dyDescent="0.3">
      <c r="A890">
        <v>73290</v>
      </c>
      <c r="B890">
        <v>105</v>
      </c>
      <c r="C890" s="452">
        <v>46054</v>
      </c>
      <c r="D890" t="s">
        <v>557</v>
      </c>
      <c r="E890">
        <v>19526</v>
      </c>
      <c r="F890" t="s">
        <v>4997</v>
      </c>
      <c r="G890">
        <v>1</v>
      </c>
      <c r="H890" t="s">
        <v>4744</v>
      </c>
      <c r="I890" t="s">
        <v>460</v>
      </c>
    </row>
    <row r="891" spans="1:9" x14ac:dyDescent="0.3">
      <c r="A891">
        <v>73291</v>
      </c>
      <c r="B891">
        <v>105</v>
      </c>
      <c r="C891" s="452">
        <v>46054</v>
      </c>
      <c r="D891" t="s">
        <v>557</v>
      </c>
      <c r="E891">
        <v>24598</v>
      </c>
      <c r="F891" t="s">
        <v>4852</v>
      </c>
      <c r="G891">
        <v>1</v>
      </c>
      <c r="H891" t="s">
        <v>4744</v>
      </c>
      <c r="I891" t="s">
        <v>460</v>
      </c>
    </row>
    <row r="892" spans="1:9" x14ac:dyDescent="0.3">
      <c r="A892">
        <v>73292</v>
      </c>
      <c r="B892">
        <v>105</v>
      </c>
      <c r="C892" s="452">
        <v>46054</v>
      </c>
      <c r="D892" t="s">
        <v>557</v>
      </c>
      <c r="E892">
        <v>19434</v>
      </c>
      <c r="F892" t="s">
        <v>5078</v>
      </c>
      <c r="G892">
        <v>1</v>
      </c>
      <c r="H892" t="s">
        <v>4738</v>
      </c>
      <c r="I892" t="s">
        <v>460</v>
      </c>
    </row>
    <row r="893" spans="1:9" x14ac:dyDescent="0.3">
      <c r="A893">
        <v>73293</v>
      </c>
      <c r="B893">
        <v>105</v>
      </c>
      <c r="C893" s="452">
        <v>46054</v>
      </c>
      <c r="D893" t="s">
        <v>557</v>
      </c>
      <c r="E893">
        <v>23088</v>
      </c>
      <c r="F893" t="s">
        <v>5027</v>
      </c>
      <c r="G893">
        <v>1</v>
      </c>
      <c r="H893" t="s">
        <v>4736</v>
      </c>
      <c r="I893" t="s">
        <v>460</v>
      </c>
    </row>
    <row r="894" spans="1:9" x14ac:dyDescent="0.3">
      <c r="A894">
        <v>73294</v>
      </c>
      <c r="B894">
        <v>105</v>
      </c>
      <c r="C894" s="452">
        <v>46054</v>
      </c>
      <c r="D894" t="s">
        <v>557</v>
      </c>
      <c r="E894">
        <v>25050</v>
      </c>
      <c r="F894" t="s">
        <v>5110</v>
      </c>
      <c r="G894">
        <v>1</v>
      </c>
      <c r="H894" t="s">
        <v>4744</v>
      </c>
      <c r="I894" t="s">
        <v>460</v>
      </c>
    </row>
    <row r="895" spans="1:9" x14ac:dyDescent="0.3">
      <c r="A895">
        <v>73295</v>
      </c>
      <c r="B895">
        <v>105</v>
      </c>
      <c r="C895" s="452">
        <v>46054</v>
      </c>
      <c r="D895" t="s">
        <v>557</v>
      </c>
      <c r="E895">
        <v>19306</v>
      </c>
      <c r="F895" t="s">
        <v>5111</v>
      </c>
      <c r="G895">
        <v>1</v>
      </c>
      <c r="H895" t="s">
        <v>4738</v>
      </c>
      <c r="I895" t="s">
        <v>460</v>
      </c>
    </row>
    <row r="896" spans="1:9" x14ac:dyDescent="0.3">
      <c r="A896">
        <v>73296</v>
      </c>
      <c r="B896">
        <v>105</v>
      </c>
      <c r="C896" s="452">
        <v>46054</v>
      </c>
      <c r="D896" t="s">
        <v>557</v>
      </c>
      <c r="E896">
        <v>18545</v>
      </c>
      <c r="F896" t="s">
        <v>4864</v>
      </c>
      <c r="G896">
        <v>1</v>
      </c>
      <c r="H896" t="s">
        <v>4805</v>
      </c>
      <c r="I896" t="s">
        <v>460</v>
      </c>
    </row>
    <row r="897" spans="1:9" x14ac:dyDescent="0.3">
      <c r="A897">
        <v>73297</v>
      </c>
      <c r="B897">
        <v>105</v>
      </c>
      <c r="C897" s="452">
        <v>46054</v>
      </c>
      <c r="D897" t="s">
        <v>557</v>
      </c>
      <c r="E897">
        <v>18317</v>
      </c>
      <c r="F897" t="s">
        <v>5056</v>
      </c>
      <c r="G897">
        <v>1</v>
      </c>
      <c r="H897" t="s">
        <v>4805</v>
      </c>
      <c r="I897" t="s">
        <v>460</v>
      </c>
    </row>
    <row r="898" spans="1:9" x14ac:dyDescent="0.3">
      <c r="A898">
        <v>73298</v>
      </c>
      <c r="B898">
        <v>105</v>
      </c>
      <c r="C898" s="452">
        <v>46054</v>
      </c>
      <c r="D898" t="s">
        <v>557</v>
      </c>
      <c r="E898">
        <v>18312</v>
      </c>
      <c r="F898" t="s">
        <v>5037</v>
      </c>
      <c r="G898">
        <v>1</v>
      </c>
      <c r="H898" t="s">
        <v>4805</v>
      </c>
      <c r="I898" t="s">
        <v>460</v>
      </c>
    </row>
    <row r="899" spans="1:9" x14ac:dyDescent="0.3">
      <c r="A899">
        <v>73299</v>
      </c>
      <c r="B899">
        <v>105</v>
      </c>
      <c r="C899" s="452">
        <v>46054</v>
      </c>
      <c r="D899" t="s">
        <v>557</v>
      </c>
      <c r="E899">
        <v>18214</v>
      </c>
      <c r="F899" t="s">
        <v>5039</v>
      </c>
      <c r="G899">
        <v>1</v>
      </c>
      <c r="H899" t="s">
        <v>4805</v>
      </c>
      <c r="I899" t="s">
        <v>460</v>
      </c>
    </row>
    <row r="900" spans="1:9" x14ac:dyDescent="0.3">
      <c r="A900">
        <v>73300</v>
      </c>
      <c r="B900">
        <v>105</v>
      </c>
      <c r="C900" s="452">
        <v>46054</v>
      </c>
      <c r="D900" t="s">
        <v>557</v>
      </c>
      <c r="E900">
        <v>18146</v>
      </c>
      <c r="F900" t="s">
        <v>5112</v>
      </c>
      <c r="G900">
        <v>1</v>
      </c>
      <c r="H900" t="s">
        <v>4805</v>
      </c>
      <c r="I900" t="s">
        <v>460</v>
      </c>
    </row>
    <row r="901" spans="1:9" x14ac:dyDescent="0.3">
      <c r="A901">
        <v>73301</v>
      </c>
      <c r="B901">
        <v>105</v>
      </c>
      <c r="C901" s="452">
        <v>46054</v>
      </c>
      <c r="D901" t="s">
        <v>557</v>
      </c>
      <c r="E901">
        <v>18085</v>
      </c>
      <c r="F901" t="s">
        <v>4973</v>
      </c>
      <c r="G901">
        <v>1</v>
      </c>
      <c r="H901" t="s">
        <v>4805</v>
      </c>
      <c r="I901" t="s">
        <v>460</v>
      </c>
    </row>
    <row r="902" spans="1:9" x14ac:dyDescent="0.3">
      <c r="A902">
        <v>73302</v>
      </c>
      <c r="B902">
        <v>105</v>
      </c>
      <c r="C902" s="452">
        <v>46054</v>
      </c>
      <c r="D902" t="s">
        <v>557</v>
      </c>
      <c r="E902">
        <v>17883</v>
      </c>
      <c r="F902" t="s">
        <v>5113</v>
      </c>
      <c r="G902">
        <v>1</v>
      </c>
      <c r="H902" t="s">
        <v>4738</v>
      </c>
      <c r="I902" t="s">
        <v>460</v>
      </c>
    </row>
    <row r="903" spans="1:9" x14ac:dyDescent="0.3">
      <c r="A903">
        <v>73303</v>
      </c>
      <c r="B903">
        <v>105</v>
      </c>
      <c r="C903" s="452">
        <v>46054</v>
      </c>
      <c r="D903" t="s">
        <v>557</v>
      </c>
      <c r="E903">
        <v>26236</v>
      </c>
      <c r="F903" t="s">
        <v>5077</v>
      </c>
      <c r="G903">
        <v>1</v>
      </c>
      <c r="H903" t="s">
        <v>4805</v>
      </c>
      <c r="I903" t="s">
        <v>460</v>
      </c>
    </row>
    <row r="904" spans="1:9" x14ac:dyDescent="0.3">
      <c r="A904">
        <v>73304</v>
      </c>
      <c r="B904">
        <v>105</v>
      </c>
      <c r="C904" s="452">
        <v>46054</v>
      </c>
      <c r="D904" t="s">
        <v>557</v>
      </c>
      <c r="E904">
        <v>19465</v>
      </c>
      <c r="F904" t="s">
        <v>5114</v>
      </c>
      <c r="G904">
        <v>0.74</v>
      </c>
      <c r="H904" t="s">
        <v>4744</v>
      </c>
      <c r="I904" t="s">
        <v>460</v>
      </c>
    </row>
    <row r="905" spans="1:9" x14ac:dyDescent="0.3">
      <c r="A905">
        <v>73305</v>
      </c>
      <c r="B905">
        <v>105</v>
      </c>
      <c r="C905" s="452">
        <v>46054</v>
      </c>
      <c r="D905" t="s">
        <v>557</v>
      </c>
      <c r="E905">
        <v>19476</v>
      </c>
      <c r="F905" t="s">
        <v>5115</v>
      </c>
      <c r="G905">
        <v>0.74</v>
      </c>
      <c r="H905" t="s">
        <v>4744</v>
      </c>
      <c r="I905" t="s">
        <v>460</v>
      </c>
    </row>
    <row r="906" spans="1:9" x14ac:dyDescent="0.3">
      <c r="A906">
        <v>73306</v>
      </c>
      <c r="B906">
        <v>105</v>
      </c>
      <c r="C906" s="452">
        <v>46054</v>
      </c>
      <c r="D906" t="s">
        <v>557</v>
      </c>
      <c r="E906">
        <v>19490</v>
      </c>
      <c r="F906" t="s">
        <v>5116</v>
      </c>
      <c r="G906">
        <v>0.64</v>
      </c>
      <c r="H906" t="s">
        <v>4744</v>
      </c>
      <c r="I906" t="s">
        <v>460</v>
      </c>
    </row>
    <row r="907" spans="1:9" x14ac:dyDescent="0.3">
      <c r="A907">
        <v>73307</v>
      </c>
      <c r="B907">
        <v>105</v>
      </c>
      <c r="C907" s="452">
        <v>46054</v>
      </c>
      <c r="D907" t="s">
        <v>557</v>
      </c>
      <c r="E907">
        <v>23108</v>
      </c>
      <c r="F907" t="s">
        <v>5117</v>
      </c>
      <c r="G907">
        <v>0.64</v>
      </c>
      <c r="H907" t="s">
        <v>4744</v>
      </c>
      <c r="I907" t="s">
        <v>460</v>
      </c>
    </row>
    <row r="908" spans="1:9" x14ac:dyDescent="0.3">
      <c r="A908">
        <v>73308</v>
      </c>
      <c r="B908">
        <v>105</v>
      </c>
      <c r="C908" s="452">
        <v>46054</v>
      </c>
      <c r="D908" t="s">
        <v>557</v>
      </c>
      <c r="E908">
        <v>19743</v>
      </c>
      <c r="F908" t="s">
        <v>5047</v>
      </c>
      <c r="G908">
        <v>0.63</v>
      </c>
      <c r="H908" t="s">
        <v>4744</v>
      </c>
      <c r="I908" t="s">
        <v>460</v>
      </c>
    </row>
    <row r="909" spans="1:9" x14ac:dyDescent="0.3">
      <c r="A909">
        <v>73309</v>
      </c>
      <c r="B909">
        <v>105</v>
      </c>
      <c r="C909" s="452">
        <v>46054</v>
      </c>
      <c r="D909" t="s">
        <v>557</v>
      </c>
      <c r="E909">
        <v>19742</v>
      </c>
      <c r="F909" t="s">
        <v>4900</v>
      </c>
      <c r="G909">
        <v>0.62</v>
      </c>
      <c r="H909" t="s">
        <v>4744</v>
      </c>
      <c r="I909" t="s">
        <v>460</v>
      </c>
    </row>
    <row r="910" spans="1:9" x14ac:dyDescent="0.3">
      <c r="A910">
        <v>73310</v>
      </c>
      <c r="B910">
        <v>105</v>
      </c>
      <c r="C910" s="452">
        <v>46054</v>
      </c>
      <c r="D910" t="s">
        <v>557</v>
      </c>
      <c r="E910">
        <v>24191</v>
      </c>
      <c r="F910" t="s">
        <v>4846</v>
      </c>
      <c r="G910">
        <v>0.62</v>
      </c>
      <c r="H910" t="s">
        <v>4744</v>
      </c>
      <c r="I910" t="s">
        <v>460</v>
      </c>
    </row>
    <row r="911" spans="1:9" x14ac:dyDescent="0.3">
      <c r="A911">
        <v>73311</v>
      </c>
      <c r="B911">
        <v>105</v>
      </c>
      <c r="C911" s="452">
        <v>46054</v>
      </c>
      <c r="D911" t="s">
        <v>557</v>
      </c>
      <c r="E911">
        <v>18212</v>
      </c>
      <c r="F911" t="s">
        <v>5040</v>
      </c>
      <c r="G911">
        <v>0.56999999999999995</v>
      </c>
      <c r="H911" t="s">
        <v>4805</v>
      </c>
      <c r="I911" t="s">
        <v>460</v>
      </c>
    </row>
    <row r="912" spans="1:9" x14ac:dyDescent="0.3">
      <c r="A912">
        <v>73312</v>
      </c>
      <c r="B912">
        <v>105</v>
      </c>
      <c r="C912" s="452">
        <v>46054</v>
      </c>
      <c r="D912" t="s">
        <v>557</v>
      </c>
      <c r="E912">
        <v>20224</v>
      </c>
      <c r="F912" t="s">
        <v>5118</v>
      </c>
      <c r="G912">
        <v>0.5</v>
      </c>
      <c r="H912" t="s">
        <v>4744</v>
      </c>
      <c r="I912" t="s">
        <v>460</v>
      </c>
    </row>
    <row r="913" spans="1:9" x14ac:dyDescent="0.3">
      <c r="A913">
        <v>73313</v>
      </c>
      <c r="B913">
        <v>105</v>
      </c>
      <c r="C913" s="452">
        <v>46054</v>
      </c>
      <c r="D913" t="s">
        <v>557</v>
      </c>
      <c r="E913">
        <v>19558</v>
      </c>
      <c r="F913" t="s">
        <v>4994</v>
      </c>
      <c r="G913">
        <v>0.45</v>
      </c>
      <c r="H913" t="s">
        <v>4744</v>
      </c>
      <c r="I913" t="s">
        <v>460</v>
      </c>
    </row>
    <row r="914" spans="1:9" x14ac:dyDescent="0.3">
      <c r="A914">
        <v>73314</v>
      </c>
      <c r="B914">
        <v>105</v>
      </c>
      <c r="C914" s="452">
        <v>46054</v>
      </c>
      <c r="D914" t="s">
        <v>557</v>
      </c>
      <c r="E914">
        <v>19552</v>
      </c>
      <c r="F914" t="s">
        <v>4860</v>
      </c>
      <c r="G914">
        <v>0.45</v>
      </c>
      <c r="H914" t="s">
        <v>4744</v>
      </c>
      <c r="I914" t="s">
        <v>460</v>
      </c>
    </row>
    <row r="915" spans="1:9" x14ac:dyDescent="0.3">
      <c r="A915">
        <v>73315</v>
      </c>
      <c r="B915">
        <v>105</v>
      </c>
      <c r="C915" s="452">
        <v>46054</v>
      </c>
      <c r="D915" t="s">
        <v>557</v>
      </c>
      <c r="E915">
        <v>19480</v>
      </c>
      <c r="F915" t="s">
        <v>5119</v>
      </c>
      <c r="G915">
        <v>0.4</v>
      </c>
      <c r="H915" t="s">
        <v>4744</v>
      </c>
      <c r="I915" t="s">
        <v>460</v>
      </c>
    </row>
    <row r="916" spans="1:9" x14ac:dyDescent="0.3">
      <c r="A916">
        <v>73316</v>
      </c>
      <c r="B916">
        <v>105</v>
      </c>
      <c r="C916" s="452">
        <v>46054</v>
      </c>
      <c r="D916" t="s">
        <v>557</v>
      </c>
      <c r="E916">
        <v>19575</v>
      </c>
      <c r="F916" t="s">
        <v>5120</v>
      </c>
      <c r="G916">
        <v>0.32</v>
      </c>
      <c r="H916" t="s">
        <v>4744</v>
      </c>
      <c r="I916" t="s">
        <v>460</v>
      </c>
    </row>
    <row r="917" spans="1:9" x14ac:dyDescent="0.3">
      <c r="A917">
        <v>73317</v>
      </c>
      <c r="B917">
        <v>105</v>
      </c>
      <c r="C917" s="452">
        <v>46054</v>
      </c>
      <c r="D917" t="s">
        <v>557</v>
      </c>
      <c r="E917">
        <v>18273</v>
      </c>
      <c r="F917" t="s">
        <v>5058</v>
      </c>
      <c r="G917">
        <v>0.32</v>
      </c>
      <c r="H917" t="s">
        <v>4805</v>
      </c>
      <c r="I917" t="s">
        <v>460</v>
      </c>
    </row>
    <row r="918" spans="1:9" x14ac:dyDescent="0.3">
      <c r="A918">
        <v>73318</v>
      </c>
      <c r="B918">
        <v>105</v>
      </c>
      <c r="C918" s="452">
        <v>46054</v>
      </c>
      <c r="D918" t="s">
        <v>557</v>
      </c>
      <c r="E918">
        <v>19607</v>
      </c>
      <c r="F918" t="s">
        <v>4981</v>
      </c>
      <c r="G918">
        <v>0.3</v>
      </c>
      <c r="H918" t="s">
        <v>4744</v>
      </c>
      <c r="I918" t="s">
        <v>460</v>
      </c>
    </row>
    <row r="919" spans="1:9" x14ac:dyDescent="0.3">
      <c r="A919">
        <v>73319</v>
      </c>
      <c r="B919">
        <v>105</v>
      </c>
      <c r="C919" s="452">
        <v>46054</v>
      </c>
      <c r="D919" t="s">
        <v>557</v>
      </c>
      <c r="E919">
        <v>23390</v>
      </c>
      <c r="F919" t="s">
        <v>4873</v>
      </c>
      <c r="G919">
        <v>0.3</v>
      </c>
      <c r="H919" t="s">
        <v>4744</v>
      </c>
      <c r="I919" t="s">
        <v>460</v>
      </c>
    </row>
    <row r="920" spans="1:9" x14ac:dyDescent="0.3">
      <c r="A920">
        <v>73320</v>
      </c>
      <c r="B920">
        <v>105</v>
      </c>
      <c r="C920" s="452">
        <v>46054</v>
      </c>
      <c r="D920" t="s">
        <v>557</v>
      </c>
      <c r="E920">
        <v>24489</v>
      </c>
      <c r="F920" t="s">
        <v>5121</v>
      </c>
      <c r="G920">
        <v>0.3</v>
      </c>
      <c r="H920" t="s">
        <v>4744</v>
      </c>
      <c r="I920" t="s">
        <v>460</v>
      </c>
    </row>
    <row r="921" spans="1:9" x14ac:dyDescent="0.3">
      <c r="A921">
        <v>73321</v>
      </c>
      <c r="B921">
        <v>105</v>
      </c>
      <c r="C921" s="452">
        <v>46054</v>
      </c>
      <c r="D921" t="s">
        <v>557</v>
      </c>
      <c r="E921">
        <v>18289</v>
      </c>
      <c r="F921" t="s">
        <v>5036</v>
      </c>
      <c r="G921">
        <v>0.3</v>
      </c>
      <c r="H921" t="s">
        <v>4736</v>
      </c>
      <c r="I921" t="s">
        <v>460</v>
      </c>
    </row>
    <row r="922" spans="1:9" x14ac:dyDescent="0.3">
      <c r="A922">
        <v>73322</v>
      </c>
      <c r="B922">
        <v>105</v>
      </c>
      <c r="C922" s="452">
        <v>46054</v>
      </c>
      <c r="D922" t="s">
        <v>557</v>
      </c>
      <c r="E922">
        <v>19617</v>
      </c>
      <c r="F922" t="s">
        <v>5071</v>
      </c>
      <c r="G922">
        <v>0.27</v>
      </c>
      <c r="H922" t="s">
        <v>4744</v>
      </c>
      <c r="I922" t="s">
        <v>460</v>
      </c>
    </row>
    <row r="923" spans="1:9" x14ac:dyDescent="0.3">
      <c r="A923">
        <v>73323</v>
      </c>
      <c r="B923">
        <v>105</v>
      </c>
      <c r="C923" s="452">
        <v>46054</v>
      </c>
      <c r="D923" t="s">
        <v>557</v>
      </c>
      <c r="E923">
        <v>19939</v>
      </c>
      <c r="F923" t="s">
        <v>5057</v>
      </c>
      <c r="G923">
        <v>0.23</v>
      </c>
      <c r="H923" t="s">
        <v>4744</v>
      </c>
      <c r="I923" t="s">
        <v>460</v>
      </c>
    </row>
    <row r="924" spans="1:9" x14ac:dyDescent="0.3">
      <c r="A924">
        <v>73324</v>
      </c>
      <c r="B924">
        <v>105</v>
      </c>
      <c r="C924" s="452">
        <v>46054</v>
      </c>
      <c r="D924" t="s">
        <v>557</v>
      </c>
      <c r="E924">
        <v>18232</v>
      </c>
      <c r="F924" t="s">
        <v>4971</v>
      </c>
      <c r="G924">
        <v>0.2</v>
      </c>
      <c r="H924" t="s">
        <v>4805</v>
      </c>
      <c r="I924" t="s">
        <v>460</v>
      </c>
    </row>
    <row r="925" spans="1:9" x14ac:dyDescent="0.3">
      <c r="A925">
        <v>73325</v>
      </c>
      <c r="B925">
        <v>105</v>
      </c>
      <c r="C925" s="452">
        <v>46054</v>
      </c>
      <c r="D925" t="s">
        <v>557</v>
      </c>
      <c r="E925">
        <v>19506</v>
      </c>
      <c r="F925" t="s">
        <v>5122</v>
      </c>
      <c r="G925">
        <v>0.12</v>
      </c>
      <c r="H925" t="s">
        <v>4744</v>
      </c>
      <c r="I925" t="s">
        <v>460</v>
      </c>
    </row>
    <row r="926" spans="1:9" x14ac:dyDescent="0.3">
      <c r="A926">
        <v>73326</v>
      </c>
      <c r="B926">
        <v>105</v>
      </c>
      <c r="C926" s="452">
        <v>46054</v>
      </c>
      <c r="D926" t="s">
        <v>557</v>
      </c>
      <c r="E926">
        <v>25079</v>
      </c>
      <c r="F926" t="s">
        <v>5006</v>
      </c>
      <c r="G926">
        <v>0.1</v>
      </c>
      <c r="H926" t="s">
        <v>4738</v>
      </c>
      <c r="I926" t="s">
        <v>460</v>
      </c>
    </row>
    <row r="927" spans="1:9" x14ac:dyDescent="0.3">
      <c r="A927">
        <v>73327</v>
      </c>
      <c r="B927">
        <v>105</v>
      </c>
      <c r="C927" s="452">
        <v>46054</v>
      </c>
      <c r="D927" t="s">
        <v>557</v>
      </c>
      <c r="E927">
        <v>27475</v>
      </c>
      <c r="F927" t="s">
        <v>5123</v>
      </c>
      <c r="G927">
        <v>1</v>
      </c>
      <c r="H927" t="s">
        <v>4736</v>
      </c>
      <c r="I927" t="s">
        <v>460</v>
      </c>
    </row>
    <row r="928" spans="1:9" x14ac:dyDescent="0.3">
      <c r="A928">
        <v>73328</v>
      </c>
      <c r="B928">
        <v>105</v>
      </c>
      <c r="C928" s="452">
        <v>46054</v>
      </c>
      <c r="D928" t="s">
        <v>557</v>
      </c>
      <c r="E928">
        <v>21079</v>
      </c>
      <c r="F928" t="s">
        <v>5124</v>
      </c>
      <c r="G928">
        <v>1</v>
      </c>
      <c r="H928" t="s">
        <v>4736</v>
      </c>
      <c r="I928" t="s">
        <v>460</v>
      </c>
    </row>
    <row r="929" spans="1:9" x14ac:dyDescent="0.3">
      <c r="A929">
        <v>73329</v>
      </c>
      <c r="B929">
        <v>105</v>
      </c>
      <c r="C929" s="452">
        <v>46054</v>
      </c>
      <c r="D929" t="s">
        <v>557</v>
      </c>
      <c r="E929">
        <v>20030</v>
      </c>
      <c r="F929" t="s">
        <v>5125</v>
      </c>
      <c r="G929">
        <v>1</v>
      </c>
      <c r="H929" t="s">
        <v>4736</v>
      </c>
      <c r="I929" t="s">
        <v>460</v>
      </c>
    </row>
    <row r="930" spans="1:9" x14ac:dyDescent="0.3">
      <c r="A930">
        <v>73330</v>
      </c>
      <c r="B930">
        <v>105</v>
      </c>
      <c r="C930" s="452">
        <v>46054</v>
      </c>
      <c r="D930" t="s">
        <v>557</v>
      </c>
      <c r="E930">
        <v>19241</v>
      </c>
      <c r="F930" t="s">
        <v>4890</v>
      </c>
      <c r="G930">
        <v>3</v>
      </c>
      <c r="H930" t="s">
        <v>4736</v>
      </c>
      <c r="I930" t="s">
        <v>460</v>
      </c>
    </row>
    <row r="931" spans="1:9" x14ac:dyDescent="0.3">
      <c r="A931">
        <v>73331</v>
      </c>
      <c r="B931">
        <v>105</v>
      </c>
      <c r="C931" s="452">
        <v>46054</v>
      </c>
      <c r="D931" t="s">
        <v>557</v>
      </c>
      <c r="E931">
        <v>19652</v>
      </c>
      <c r="F931" t="s">
        <v>4899</v>
      </c>
      <c r="G931">
        <v>1.95</v>
      </c>
      <c r="H931" t="s">
        <v>4744</v>
      </c>
      <c r="I931" t="s">
        <v>460</v>
      </c>
    </row>
    <row r="932" spans="1:9" x14ac:dyDescent="0.3">
      <c r="A932">
        <v>73332</v>
      </c>
      <c r="B932">
        <v>105</v>
      </c>
      <c r="C932" s="452">
        <v>46054</v>
      </c>
      <c r="D932" t="s">
        <v>557</v>
      </c>
      <c r="E932">
        <v>23124</v>
      </c>
      <c r="F932" t="s">
        <v>5126</v>
      </c>
      <c r="G932">
        <v>0.3</v>
      </c>
      <c r="H932" t="s">
        <v>4744</v>
      </c>
      <c r="I932" t="s">
        <v>460</v>
      </c>
    </row>
    <row r="933" spans="1:9" x14ac:dyDescent="0.3">
      <c r="A933">
        <v>73333</v>
      </c>
      <c r="B933">
        <v>105</v>
      </c>
      <c r="C933" s="452">
        <v>46054</v>
      </c>
      <c r="D933" t="s">
        <v>557</v>
      </c>
      <c r="E933">
        <v>18642</v>
      </c>
      <c r="F933" t="s">
        <v>5127</v>
      </c>
      <c r="G933">
        <v>7.31</v>
      </c>
      <c r="H933" t="s">
        <v>4744</v>
      </c>
      <c r="I933" t="s">
        <v>460</v>
      </c>
    </row>
    <row r="934" spans="1:9" x14ac:dyDescent="0.3">
      <c r="A934">
        <v>73334</v>
      </c>
      <c r="B934">
        <v>105</v>
      </c>
      <c r="C934" s="452">
        <v>46054</v>
      </c>
      <c r="D934" t="s">
        <v>557</v>
      </c>
      <c r="E934">
        <v>19130</v>
      </c>
      <c r="F934" t="s">
        <v>4990</v>
      </c>
      <c r="G934">
        <v>1.4</v>
      </c>
      <c r="H934" t="s">
        <v>4744</v>
      </c>
      <c r="I934" t="s">
        <v>460</v>
      </c>
    </row>
    <row r="935" spans="1:9" x14ac:dyDescent="0.3">
      <c r="A935">
        <v>73335</v>
      </c>
      <c r="B935">
        <v>105</v>
      </c>
      <c r="C935" s="452">
        <v>46054</v>
      </c>
      <c r="D935" t="s">
        <v>557</v>
      </c>
      <c r="E935">
        <v>26014</v>
      </c>
      <c r="F935" t="s">
        <v>5128</v>
      </c>
      <c r="G935">
        <v>2</v>
      </c>
      <c r="H935" t="s">
        <v>4805</v>
      </c>
      <c r="I935" t="s">
        <v>460</v>
      </c>
    </row>
    <row r="936" spans="1:9" x14ac:dyDescent="0.3">
      <c r="A936">
        <v>73861</v>
      </c>
      <c r="B936">
        <v>105</v>
      </c>
      <c r="C936" s="452">
        <v>46082</v>
      </c>
      <c r="D936" t="s">
        <v>557</v>
      </c>
      <c r="E936">
        <v>16973</v>
      </c>
      <c r="F936" t="s">
        <v>4827</v>
      </c>
      <c r="G936">
        <v>6</v>
      </c>
      <c r="H936" t="s">
        <v>4749</v>
      </c>
      <c r="I936" t="s">
        <v>461</v>
      </c>
    </row>
    <row r="937" spans="1:9" x14ac:dyDescent="0.3">
      <c r="A937">
        <v>73862</v>
      </c>
      <c r="B937">
        <v>105</v>
      </c>
      <c r="C937" s="452">
        <v>46082</v>
      </c>
      <c r="D937" t="s">
        <v>557</v>
      </c>
      <c r="E937">
        <v>17042</v>
      </c>
      <c r="F937" t="s">
        <v>4748</v>
      </c>
      <c r="G937">
        <v>1.1200000000000001</v>
      </c>
      <c r="H937" t="s">
        <v>4749</v>
      </c>
      <c r="I937" t="s">
        <v>461</v>
      </c>
    </row>
    <row r="938" spans="1:9" x14ac:dyDescent="0.3">
      <c r="A938">
        <v>73863</v>
      </c>
      <c r="B938">
        <v>105</v>
      </c>
      <c r="C938" s="452">
        <v>46082</v>
      </c>
      <c r="D938" t="s">
        <v>557</v>
      </c>
      <c r="E938">
        <v>17062</v>
      </c>
      <c r="F938" t="s">
        <v>4880</v>
      </c>
      <c r="G938">
        <v>2</v>
      </c>
      <c r="H938" t="s">
        <v>4879</v>
      </c>
      <c r="I938" t="s">
        <v>461</v>
      </c>
    </row>
    <row r="939" spans="1:9" x14ac:dyDescent="0.3">
      <c r="A939">
        <v>73864</v>
      </c>
      <c r="B939">
        <v>105</v>
      </c>
      <c r="C939" s="452">
        <v>46082</v>
      </c>
      <c r="D939" t="s">
        <v>557</v>
      </c>
      <c r="E939">
        <v>17578</v>
      </c>
      <c r="F939" t="s">
        <v>4842</v>
      </c>
      <c r="G939">
        <v>6</v>
      </c>
      <c r="H939" t="s">
        <v>4805</v>
      </c>
      <c r="I939" t="s">
        <v>461</v>
      </c>
    </row>
    <row r="940" spans="1:9" x14ac:dyDescent="0.3">
      <c r="A940">
        <v>73865</v>
      </c>
      <c r="B940">
        <v>105</v>
      </c>
      <c r="C940" s="452">
        <v>46082</v>
      </c>
      <c r="D940" t="s">
        <v>557</v>
      </c>
      <c r="E940">
        <v>17658</v>
      </c>
      <c r="F940" t="s">
        <v>4978</v>
      </c>
      <c r="G940">
        <v>2</v>
      </c>
      <c r="H940" t="s">
        <v>4805</v>
      </c>
      <c r="I940" t="s">
        <v>461</v>
      </c>
    </row>
    <row r="941" spans="1:9" x14ac:dyDescent="0.3">
      <c r="A941">
        <v>73866</v>
      </c>
      <c r="B941">
        <v>105</v>
      </c>
      <c r="C941" s="452">
        <v>46082</v>
      </c>
      <c r="D941" t="s">
        <v>557</v>
      </c>
      <c r="E941">
        <v>17878</v>
      </c>
      <c r="F941" t="s">
        <v>4926</v>
      </c>
      <c r="G941">
        <v>4</v>
      </c>
      <c r="H941" t="s">
        <v>4736</v>
      </c>
      <c r="I941" t="s">
        <v>461</v>
      </c>
    </row>
    <row r="942" spans="1:9" x14ac:dyDescent="0.3">
      <c r="A942">
        <v>73867</v>
      </c>
      <c r="B942">
        <v>105</v>
      </c>
      <c r="C942" s="452">
        <v>46082</v>
      </c>
      <c r="D942" t="s">
        <v>557</v>
      </c>
      <c r="E942">
        <v>17881</v>
      </c>
      <c r="F942" t="s">
        <v>5103</v>
      </c>
      <c r="G942">
        <v>2.33</v>
      </c>
      <c r="H942" t="s">
        <v>4738</v>
      </c>
      <c r="I942" t="s">
        <v>461</v>
      </c>
    </row>
    <row r="943" spans="1:9" x14ac:dyDescent="0.3">
      <c r="A943">
        <v>73868</v>
      </c>
      <c r="B943">
        <v>105</v>
      </c>
      <c r="C943" s="452">
        <v>46082</v>
      </c>
      <c r="D943" t="s">
        <v>557</v>
      </c>
      <c r="E943">
        <v>17883</v>
      </c>
      <c r="F943" t="s">
        <v>5113</v>
      </c>
      <c r="G943">
        <v>5.08</v>
      </c>
      <c r="H943" t="s">
        <v>4738</v>
      </c>
      <c r="I943" t="s">
        <v>461</v>
      </c>
    </row>
    <row r="944" spans="1:9" x14ac:dyDescent="0.3">
      <c r="A944">
        <v>73869</v>
      </c>
      <c r="B944">
        <v>105</v>
      </c>
      <c r="C944" s="452">
        <v>46082</v>
      </c>
      <c r="D944" t="s">
        <v>557</v>
      </c>
      <c r="E944">
        <v>17886</v>
      </c>
      <c r="F944" t="s">
        <v>5083</v>
      </c>
      <c r="G944">
        <v>9.08</v>
      </c>
      <c r="H944" t="s">
        <v>4738</v>
      </c>
      <c r="I944" t="s">
        <v>461</v>
      </c>
    </row>
    <row r="945" spans="1:9" x14ac:dyDescent="0.3">
      <c r="A945">
        <v>73870</v>
      </c>
      <c r="B945">
        <v>105</v>
      </c>
      <c r="C945" s="452">
        <v>46082</v>
      </c>
      <c r="D945" t="s">
        <v>557</v>
      </c>
      <c r="E945">
        <v>17895</v>
      </c>
      <c r="F945" t="s">
        <v>5086</v>
      </c>
      <c r="G945">
        <v>15.83</v>
      </c>
      <c r="H945" t="s">
        <v>4738</v>
      </c>
      <c r="I945" t="s">
        <v>461</v>
      </c>
    </row>
    <row r="946" spans="1:9" x14ac:dyDescent="0.3">
      <c r="A946">
        <v>73871</v>
      </c>
      <c r="B946">
        <v>105</v>
      </c>
      <c r="C946" s="452">
        <v>46082</v>
      </c>
      <c r="D946" t="s">
        <v>557</v>
      </c>
      <c r="E946">
        <v>17903</v>
      </c>
      <c r="F946" t="s">
        <v>5084</v>
      </c>
      <c r="G946">
        <v>13.83</v>
      </c>
      <c r="H946" t="s">
        <v>4738</v>
      </c>
      <c r="I946" t="s">
        <v>461</v>
      </c>
    </row>
    <row r="947" spans="1:9" x14ac:dyDescent="0.3">
      <c r="A947">
        <v>73872</v>
      </c>
      <c r="B947">
        <v>105</v>
      </c>
      <c r="C947" s="452">
        <v>46082</v>
      </c>
      <c r="D947" t="s">
        <v>557</v>
      </c>
      <c r="E947">
        <v>17905</v>
      </c>
      <c r="F947" t="s">
        <v>5085</v>
      </c>
      <c r="G947">
        <v>10</v>
      </c>
      <c r="H947" t="s">
        <v>4738</v>
      </c>
      <c r="I947" t="s">
        <v>461</v>
      </c>
    </row>
    <row r="948" spans="1:9" x14ac:dyDescent="0.3">
      <c r="A948">
        <v>73873</v>
      </c>
      <c r="B948">
        <v>105</v>
      </c>
      <c r="C948" s="452">
        <v>46082</v>
      </c>
      <c r="D948" t="s">
        <v>557</v>
      </c>
      <c r="E948">
        <v>17915</v>
      </c>
      <c r="F948" t="s">
        <v>5104</v>
      </c>
      <c r="G948">
        <v>0.92</v>
      </c>
      <c r="H948" t="s">
        <v>4738</v>
      </c>
      <c r="I948" t="s">
        <v>461</v>
      </c>
    </row>
    <row r="949" spans="1:9" x14ac:dyDescent="0.3">
      <c r="A949">
        <v>73874</v>
      </c>
      <c r="B949">
        <v>105</v>
      </c>
      <c r="C949" s="452">
        <v>46082</v>
      </c>
      <c r="D949" t="s">
        <v>557</v>
      </c>
      <c r="E949">
        <v>17917</v>
      </c>
      <c r="F949" t="s">
        <v>5098</v>
      </c>
      <c r="G949">
        <v>0.79</v>
      </c>
      <c r="H949" t="s">
        <v>4738</v>
      </c>
      <c r="I949" t="s">
        <v>461</v>
      </c>
    </row>
    <row r="950" spans="1:9" x14ac:dyDescent="0.3">
      <c r="A950">
        <v>73875</v>
      </c>
      <c r="B950">
        <v>105</v>
      </c>
      <c r="C950" s="452">
        <v>46082</v>
      </c>
      <c r="D950" t="s">
        <v>557</v>
      </c>
      <c r="E950">
        <v>17951</v>
      </c>
      <c r="F950" t="s">
        <v>5129</v>
      </c>
      <c r="G950">
        <v>9.58</v>
      </c>
      <c r="H950" t="s">
        <v>4738</v>
      </c>
      <c r="I950" t="s">
        <v>461</v>
      </c>
    </row>
    <row r="951" spans="1:9" x14ac:dyDescent="0.3">
      <c r="A951">
        <v>73876</v>
      </c>
      <c r="B951">
        <v>105</v>
      </c>
      <c r="C951" s="452">
        <v>46082</v>
      </c>
      <c r="D951" t="s">
        <v>557</v>
      </c>
      <c r="E951">
        <v>17958</v>
      </c>
      <c r="F951" t="s">
        <v>5076</v>
      </c>
      <c r="G951">
        <v>9.92</v>
      </c>
      <c r="H951" t="s">
        <v>4738</v>
      </c>
      <c r="I951" t="s">
        <v>461</v>
      </c>
    </row>
    <row r="952" spans="1:9" x14ac:dyDescent="0.3">
      <c r="A952">
        <v>73877</v>
      </c>
      <c r="B952">
        <v>105</v>
      </c>
      <c r="C952" s="452">
        <v>46082</v>
      </c>
      <c r="D952" t="s">
        <v>557</v>
      </c>
      <c r="E952">
        <v>18004</v>
      </c>
      <c r="F952" t="s">
        <v>5093</v>
      </c>
      <c r="G952">
        <v>6</v>
      </c>
      <c r="H952" t="s">
        <v>4738</v>
      </c>
      <c r="I952" t="s">
        <v>461</v>
      </c>
    </row>
    <row r="953" spans="1:9" x14ac:dyDescent="0.3">
      <c r="A953">
        <v>73878</v>
      </c>
      <c r="B953">
        <v>105</v>
      </c>
      <c r="C953" s="452">
        <v>46082</v>
      </c>
      <c r="D953" t="s">
        <v>557</v>
      </c>
      <c r="E953">
        <v>18006</v>
      </c>
      <c r="F953" t="s">
        <v>5094</v>
      </c>
      <c r="G953">
        <v>3.5</v>
      </c>
      <c r="H953" t="s">
        <v>4738</v>
      </c>
      <c r="I953" t="s">
        <v>461</v>
      </c>
    </row>
    <row r="954" spans="1:9" x14ac:dyDescent="0.3">
      <c r="A954">
        <v>73879</v>
      </c>
      <c r="B954">
        <v>105</v>
      </c>
      <c r="C954" s="452">
        <v>46082</v>
      </c>
      <c r="D954" t="s">
        <v>557</v>
      </c>
      <c r="E954">
        <v>18030</v>
      </c>
      <c r="F954" t="s">
        <v>4840</v>
      </c>
      <c r="G954">
        <v>8.5500000000000007</v>
      </c>
      <c r="H954" t="s">
        <v>4805</v>
      </c>
      <c r="I954" t="s">
        <v>461</v>
      </c>
    </row>
    <row r="955" spans="1:9" x14ac:dyDescent="0.3">
      <c r="A955">
        <v>73880</v>
      </c>
      <c r="B955">
        <v>105</v>
      </c>
      <c r="C955" s="452">
        <v>46082</v>
      </c>
      <c r="D955" t="s">
        <v>557</v>
      </c>
      <c r="E955">
        <v>18073</v>
      </c>
      <c r="F955" t="s">
        <v>4974</v>
      </c>
      <c r="G955">
        <v>0.75</v>
      </c>
      <c r="H955" t="s">
        <v>4805</v>
      </c>
      <c r="I955" t="s">
        <v>461</v>
      </c>
    </row>
    <row r="956" spans="1:9" x14ac:dyDescent="0.3">
      <c r="A956">
        <v>73881</v>
      </c>
      <c r="B956">
        <v>105</v>
      </c>
      <c r="C956" s="452">
        <v>46082</v>
      </c>
      <c r="D956" t="s">
        <v>557</v>
      </c>
      <c r="E956">
        <v>18085</v>
      </c>
      <c r="F956" t="s">
        <v>4973</v>
      </c>
      <c r="G956">
        <v>2.77</v>
      </c>
      <c r="H956" t="s">
        <v>4805</v>
      </c>
      <c r="I956" t="s">
        <v>461</v>
      </c>
    </row>
    <row r="957" spans="1:9" x14ac:dyDescent="0.3">
      <c r="A957">
        <v>73882</v>
      </c>
      <c r="B957">
        <v>105</v>
      </c>
      <c r="C957" s="452">
        <v>46082</v>
      </c>
      <c r="D957" t="s">
        <v>557</v>
      </c>
      <c r="E957">
        <v>18111</v>
      </c>
      <c r="F957" t="s">
        <v>5049</v>
      </c>
      <c r="G957">
        <v>2.56</v>
      </c>
      <c r="H957" t="s">
        <v>4805</v>
      </c>
      <c r="I957" t="s">
        <v>461</v>
      </c>
    </row>
    <row r="958" spans="1:9" x14ac:dyDescent="0.3">
      <c r="A958">
        <v>73883</v>
      </c>
      <c r="B958">
        <v>105</v>
      </c>
      <c r="C958" s="452">
        <v>46082</v>
      </c>
      <c r="D958" t="s">
        <v>557</v>
      </c>
      <c r="E958">
        <v>18114</v>
      </c>
      <c r="F958" t="s">
        <v>5046</v>
      </c>
      <c r="G958">
        <v>1.55</v>
      </c>
      <c r="H958" t="s">
        <v>4805</v>
      </c>
      <c r="I958" t="s">
        <v>461</v>
      </c>
    </row>
    <row r="959" spans="1:9" x14ac:dyDescent="0.3">
      <c r="A959">
        <v>73884</v>
      </c>
      <c r="B959">
        <v>105</v>
      </c>
      <c r="C959" s="452">
        <v>46082</v>
      </c>
      <c r="D959" t="s">
        <v>557</v>
      </c>
      <c r="E959">
        <v>18116</v>
      </c>
      <c r="F959" t="s">
        <v>5045</v>
      </c>
      <c r="G959">
        <v>1.2</v>
      </c>
      <c r="H959" t="s">
        <v>4805</v>
      </c>
      <c r="I959" t="s">
        <v>461</v>
      </c>
    </row>
    <row r="960" spans="1:9" x14ac:dyDescent="0.3">
      <c r="A960">
        <v>73885</v>
      </c>
      <c r="B960">
        <v>105</v>
      </c>
      <c r="C960" s="452">
        <v>46082</v>
      </c>
      <c r="D960" t="s">
        <v>557</v>
      </c>
      <c r="E960">
        <v>18129</v>
      </c>
      <c r="F960" t="s">
        <v>5043</v>
      </c>
      <c r="G960">
        <v>1.54</v>
      </c>
      <c r="H960" t="s">
        <v>4805</v>
      </c>
      <c r="I960" t="s">
        <v>461</v>
      </c>
    </row>
    <row r="961" spans="1:9" x14ac:dyDescent="0.3">
      <c r="A961">
        <v>73886</v>
      </c>
      <c r="B961">
        <v>105</v>
      </c>
      <c r="C961" s="452">
        <v>46082</v>
      </c>
      <c r="D961" t="s">
        <v>557</v>
      </c>
      <c r="E961">
        <v>18146</v>
      </c>
      <c r="F961" t="s">
        <v>5112</v>
      </c>
      <c r="G961">
        <v>0.65</v>
      </c>
      <c r="H961" t="s">
        <v>4805</v>
      </c>
      <c r="I961" t="s">
        <v>461</v>
      </c>
    </row>
    <row r="962" spans="1:9" x14ac:dyDescent="0.3">
      <c r="A962">
        <v>73887</v>
      </c>
      <c r="B962">
        <v>105</v>
      </c>
      <c r="C962" s="452">
        <v>46082</v>
      </c>
      <c r="D962" t="s">
        <v>557</v>
      </c>
      <c r="E962">
        <v>18157</v>
      </c>
      <c r="F962" t="s">
        <v>5041</v>
      </c>
      <c r="G962">
        <v>1.3</v>
      </c>
      <c r="H962" t="s">
        <v>4805</v>
      </c>
      <c r="I962" t="s">
        <v>461</v>
      </c>
    </row>
    <row r="963" spans="1:9" x14ac:dyDescent="0.3">
      <c r="A963">
        <v>73888</v>
      </c>
      <c r="B963">
        <v>105</v>
      </c>
      <c r="C963" s="452">
        <v>46082</v>
      </c>
      <c r="D963" t="s">
        <v>557</v>
      </c>
      <c r="E963">
        <v>18172</v>
      </c>
      <c r="F963" t="s">
        <v>4804</v>
      </c>
      <c r="G963">
        <v>12.89</v>
      </c>
      <c r="H963" t="s">
        <v>4805</v>
      </c>
      <c r="I963" t="s">
        <v>461</v>
      </c>
    </row>
    <row r="964" spans="1:9" x14ac:dyDescent="0.3">
      <c r="A964">
        <v>73889</v>
      </c>
      <c r="B964">
        <v>105</v>
      </c>
      <c r="C964" s="452">
        <v>46082</v>
      </c>
      <c r="D964" t="s">
        <v>557</v>
      </c>
      <c r="E964">
        <v>18179</v>
      </c>
      <c r="F964" t="s">
        <v>4924</v>
      </c>
      <c r="G964">
        <v>5.6</v>
      </c>
      <c r="H964" t="s">
        <v>4805</v>
      </c>
      <c r="I964" t="s">
        <v>461</v>
      </c>
    </row>
    <row r="965" spans="1:9" x14ac:dyDescent="0.3">
      <c r="A965">
        <v>73890</v>
      </c>
      <c r="B965">
        <v>105</v>
      </c>
      <c r="C965" s="452">
        <v>46082</v>
      </c>
      <c r="D965" t="s">
        <v>557</v>
      </c>
      <c r="E965">
        <v>18194</v>
      </c>
      <c r="F965" t="s">
        <v>4923</v>
      </c>
      <c r="G965">
        <v>2.5</v>
      </c>
      <c r="H965" t="s">
        <v>4805</v>
      </c>
      <c r="I965" t="s">
        <v>461</v>
      </c>
    </row>
    <row r="966" spans="1:9" x14ac:dyDescent="0.3">
      <c r="A966">
        <v>73891</v>
      </c>
      <c r="B966">
        <v>105</v>
      </c>
      <c r="C966" s="452">
        <v>46082</v>
      </c>
      <c r="D966" t="s">
        <v>557</v>
      </c>
      <c r="E966">
        <v>18212</v>
      </c>
      <c r="F966" t="s">
        <v>5040</v>
      </c>
      <c r="G966">
        <v>0.5</v>
      </c>
      <c r="H966" t="s">
        <v>4805</v>
      </c>
      <c r="I966" t="s">
        <v>461</v>
      </c>
    </row>
    <row r="967" spans="1:9" x14ac:dyDescent="0.3">
      <c r="A967">
        <v>73892</v>
      </c>
      <c r="B967">
        <v>105</v>
      </c>
      <c r="C967" s="452">
        <v>46082</v>
      </c>
      <c r="D967" t="s">
        <v>557</v>
      </c>
      <c r="E967">
        <v>18214</v>
      </c>
      <c r="F967" t="s">
        <v>5039</v>
      </c>
      <c r="G967">
        <v>1</v>
      </c>
      <c r="H967" t="s">
        <v>4805</v>
      </c>
      <c r="I967" t="s">
        <v>461</v>
      </c>
    </row>
    <row r="968" spans="1:9" x14ac:dyDescent="0.3">
      <c r="A968">
        <v>73893</v>
      </c>
      <c r="B968">
        <v>105</v>
      </c>
      <c r="C968" s="452">
        <v>46082</v>
      </c>
      <c r="D968" t="s">
        <v>557</v>
      </c>
      <c r="E968">
        <v>18232</v>
      </c>
      <c r="F968" t="s">
        <v>4971</v>
      </c>
      <c r="G968">
        <v>1.5</v>
      </c>
      <c r="H968" t="s">
        <v>4805</v>
      </c>
      <c r="I968" t="s">
        <v>461</v>
      </c>
    </row>
    <row r="969" spans="1:9" x14ac:dyDescent="0.3">
      <c r="A969">
        <v>73894</v>
      </c>
      <c r="B969">
        <v>105</v>
      </c>
      <c r="C969" s="452">
        <v>46082</v>
      </c>
      <c r="D969" t="s">
        <v>557</v>
      </c>
      <c r="E969">
        <v>18233</v>
      </c>
      <c r="F969" t="s">
        <v>4970</v>
      </c>
      <c r="G969">
        <v>1.7</v>
      </c>
      <c r="H969" t="s">
        <v>4805</v>
      </c>
      <c r="I969" t="s">
        <v>461</v>
      </c>
    </row>
    <row r="970" spans="1:9" x14ac:dyDescent="0.3">
      <c r="A970">
        <v>73895</v>
      </c>
      <c r="B970">
        <v>105</v>
      </c>
      <c r="C970" s="452">
        <v>46082</v>
      </c>
      <c r="D970" t="s">
        <v>557</v>
      </c>
      <c r="E970">
        <v>18253</v>
      </c>
      <c r="F970" t="s">
        <v>4969</v>
      </c>
      <c r="G970">
        <v>4.2</v>
      </c>
      <c r="H970" t="s">
        <v>4805</v>
      </c>
      <c r="I970" t="s">
        <v>461</v>
      </c>
    </row>
    <row r="971" spans="1:9" x14ac:dyDescent="0.3">
      <c r="A971">
        <v>73896</v>
      </c>
      <c r="B971">
        <v>105</v>
      </c>
      <c r="C971" s="452">
        <v>46082</v>
      </c>
      <c r="D971" t="s">
        <v>557</v>
      </c>
      <c r="E971">
        <v>18273</v>
      </c>
      <c r="F971" t="s">
        <v>5058</v>
      </c>
      <c r="G971">
        <v>1.22</v>
      </c>
      <c r="H971" t="s">
        <v>4805</v>
      </c>
      <c r="I971" t="s">
        <v>461</v>
      </c>
    </row>
    <row r="972" spans="1:9" x14ac:dyDescent="0.3">
      <c r="A972">
        <v>73897</v>
      </c>
      <c r="B972">
        <v>105</v>
      </c>
      <c r="C972" s="452">
        <v>46082</v>
      </c>
      <c r="D972" t="s">
        <v>557</v>
      </c>
      <c r="E972">
        <v>18289</v>
      </c>
      <c r="F972" t="s">
        <v>5036</v>
      </c>
      <c r="G972">
        <v>1.2</v>
      </c>
      <c r="H972" t="s">
        <v>4736</v>
      </c>
      <c r="I972" t="s">
        <v>461</v>
      </c>
    </row>
    <row r="973" spans="1:9" x14ac:dyDescent="0.3">
      <c r="A973">
        <v>73898</v>
      </c>
      <c r="B973">
        <v>105</v>
      </c>
      <c r="C973" s="452">
        <v>46082</v>
      </c>
      <c r="D973" t="s">
        <v>557</v>
      </c>
      <c r="E973">
        <v>18293</v>
      </c>
      <c r="F973" t="s">
        <v>5034</v>
      </c>
      <c r="G973">
        <v>1.5</v>
      </c>
      <c r="H973" t="s">
        <v>4805</v>
      </c>
      <c r="I973" t="s">
        <v>461</v>
      </c>
    </row>
    <row r="974" spans="1:9" x14ac:dyDescent="0.3">
      <c r="A974">
        <v>73899</v>
      </c>
      <c r="B974">
        <v>105</v>
      </c>
      <c r="C974" s="452">
        <v>46082</v>
      </c>
      <c r="D974" t="s">
        <v>557</v>
      </c>
      <c r="E974">
        <v>18295</v>
      </c>
      <c r="F974" t="s">
        <v>4968</v>
      </c>
      <c r="G974">
        <v>2.12</v>
      </c>
      <c r="H974" t="s">
        <v>4805</v>
      </c>
      <c r="I974" t="s">
        <v>461</v>
      </c>
    </row>
    <row r="975" spans="1:9" x14ac:dyDescent="0.3">
      <c r="A975">
        <v>73900</v>
      </c>
      <c r="B975">
        <v>105</v>
      </c>
      <c r="C975" s="452">
        <v>46082</v>
      </c>
      <c r="D975" t="s">
        <v>557</v>
      </c>
      <c r="E975">
        <v>18312</v>
      </c>
      <c r="F975" t="s">
        <v>5037</v>
      </c>
      <c r="G975">
        <v>1</v>
      </c>
      <c r="H975" t="s">
        <v>4805</v>
      </c>
      <c r="I975" t="s">
        <v>461</v>
      </c>
    </row>
    <row r="976" spans="1:9" x14ac:dyDescent="0.3">
      <c r="A976">
        <v>73901</v>
      </c>
      <c r="B976">
        <v>105</v>
      </c>
      <c r="C976" s="452">
        <v>46082</v>
      </c>
      <c r="D976" t="s">
        <v>557</v>
      </c>
      <c r="E976">
        <v>18315</v>
      </c>
      <c r="F976" t="s">
        <v>4922</v>
      </c>
      <c r="G976">
        <v>2.7</v>
      </c>
      <c r="H976" t="s">
        <v>4805</v>
      </c>
      <c r="I976" t="s">
        <v>461</v>
      </c>
    </row>
    <row r="977" spans="1:9" x14ac:dyDescent="0.3">
      <c r="A977">
        <v>73902</v>
      </c>
      <c r="B977">
        <v>105</v>
      </c>
      <c r="C977" s="452">
        <v>46082</v>
      </c>
      <c r="D977" t="s">
        <v>557</v>
      </c>
      <c r="E977">
        <v>18317</v>
      </c>
      <c r="F977" t="s">
        <v>5056</v>
      </c>
      <c r="G977">
        <v>0.7</v>
      </c>
      <c r="H977" t="s">
        <v>4805</v>
      </c>
      <c r="I977" t="s">
        <v>461</v>
      </c>
    </row>
    <row r="978" spans="1:9" x14ac:dyDescent="0.3">
      <c r="A978">
        <v>73903</v>
      </c>
      <c r="B978">
        <v>105</v>
      </c>
      <c r="C978" s="452">
        <v>46082</v>
      </c>
      <c r="D978" t="s">
        <v>557</v>
      </c>
      <c r="E978">
        <v>18327</v>
      </c>
      <c r="F978" t="s">
        <v>5035</v>
      </c>
      <c r="G978">
        <v>0.2</v>
      </c>
      <c r="H978" t="s">
        <v>4805</v>
      </c>
      <c r="I978" t="s">
        <v>461</v>
      </c>
    </row>
    <row r="979" spans="1:9" x14ac:dyDescent="0.3">
      <c r="A979">
        <v>73904</v>
      </c>
      <c r="B979">
        <v>105</v>
      </c>
      <c r="C979" s="452">
        <v>46082</v>
      </c>
      <c r="D979" t="s">
        <v>557</v>
      </c>
      <c r="E979">
        <v>18339</v>
      </c>
      <c r="F979" t="s">
        <v>5033</v>
      </c>
      <c r="G979">
        <v>1.4</v>
      </c>
      <c r="H979" t="s">
        <v>4805</v>
      </c>
      <c r="I979" t="s">
        <v>461</v>
      </c>
    </row>
    <row r="980" spans="1:9" x14ac:dyDescent="0.3">
      <c r="A980">
        <v>73905</v>
      </c>
      <c r="B980">
        <v>105</v>
      </c>
      <c r="C980" s="452">
        <v>46082</v>
      </c>
      <c r="D980" t="s">
        <v>557</v>
      </c>
      <c r="E980">
        <v>18359</v>
      </c>
      <c r="F980" t="s">
        <v>4921</v>
      </c>
      <c r="G980">
        <v>3.81</v>
      </c>
      <c r="H980" t="s">
        <v>4805</v>
      </c>
      <c r="I980" t="s">
        <v>461</v>
      </c>
    </row>
    <row r="981" spans="1:9" x14ac:dyDescent="0.3">
      <c r="A981">
        <v>73906</v>
      </c>
      <c r="B981">
        <v>105</v>
      </c>
      <c r="C981" s="452">
        <v>46082</v>
      </c>
      <c r="D981" t="s">
        <v>557</v>
      </c>
      <c r="E981">
        <v>18394</v>
      </c>
      <c r="F981" t="s">
        <v>5032</v>
      </c>
      <c r="G981">
        <v>1.36</v>
      </c>
      <c r="H981" t="s">
        <v>4805</v>
      </c>
      <c r="I981" t="s">
        <v>461</v>
      </c>
    </row>
    <row r="982" spans="1:9" x14ac:dyDescent="0.3">
      <c r="A982">
        <v>73907</v>
      </c>
      <c r="B982">
        <v>105</v>
      </c>
      <c r="C982" s="452">
        <v>46082</v>
      </c>
      <c r="D982" t="s">
        <v>557</v>
      </c>
      <c r="E982">
        <v>18423</v>
      </c>
      <c r="F982" t="s">
        <v>4987</v>
      </c>
      <c r="G982">
        <v>1.6</v>
      </c>
      <c r="H982" t="s">
        <v>4805</v>
      </c>
      <c r="I982" t="s">
        <v>461</v>
      </c>
    </row>
    <row r="983" spans="1:9" x14ac:dyDescent="0.3">
      <c r="A983">
        <v>73908</v>
      </c>
      <c r="B983">
        <v>105</v>
      </c>
      <c r="C983" s="452">
        <v>46082</v>
      </c>
      <c r="D983" t="s">
        <v>557</v>
      </c>
      <c r="E983">
        <v>18462</v>
      </c>
      <c r="F983" t="s">
        <v>5031</v>
      </c>
      <c r="G983">
        <v>1.5</v>
      </c>
      <c r="H983" t="s">
        <v>4805</v>
      </c>
      <c r="I983" t="s">
        <v>461</v>
      </c>
    </row>
    <row r="984" spans="1:9" x14ac:dyDescent="0.3">
      <c r="A984">
        <v>73909</v>
      </c>
      <c r="B984">
        <v>105</v>
      </c>
      <c r="C984" s="452">
        <v>46082</v>
      </c>
      <c r="D984" t="s">
        <v>557</v>
      </c>
      <c r="E984">
        <v>18475</v>
      </c>
      <c r="F984" t="s">
        <v>4895</v>
      </c>
      <c r="G984">
        <v>15.2</v>
      </c>
      <c r="H984" t="s">
        <v>4805</v>
      </c>
      <c r="I984" t="s">
        <v>461</v>
      </c>
    </row>
    <row r="985" spans="1:9" x14ac:dyDescent="0.3">
      <c r="A985">
        <v>73910</v>
      </c>
      <c r="B985">
        <v>105</v>
      </c>
      <c r="C985" s="452">
        <v>46082</v>
      </c>
      <c r="D985" t="s">
        <v>557</v>
      </c>
      <c r="E985">
        <v>18477</v>
      </c>
      <c r="F985" t="s">
        <v>4920</v>
      </c>
      <c r="G985">
        <v>5.4</v>
      </c>
      <c r="H985" t="s">
        <v>4805</v>
      </c>
      <c r="I985" t="s">
        <v>461</v>
      </c>
    </row>
    <row r="986" spans="1:9" x14ac:dyDescent="0.3">
      <c r="A986">
        <v>73911</v>
      </c>
      <c r="B986">
        <v>105</v>
      </c>
      <c r="C986" s="452">
        <v>46082</v>
      </c>
      <c r="D986" t="s">
        <v>557</v>
      </c>
      <c r="E986">
        <v>18491</v>
      </c>
      <c r="F986" t="s">
        <v>4839</v>
      </c>
      <c r="G986">
        <v>6.25</v>
      </c>
      <c r="H986" t="s">
        <v>4805</v>
      </c>
      <c r="I986" t="s">
        <v>461</v>
      </c>
    </row>
    <row r="987" spans="1:9" x14ac:dyDescent="0.3">
      <c r="A987">
        <v>73912</v>
      </c>
      <c r="B987">
        <v>105</v>
      </c>
      <c r="C987" s="452">
        <v>46082</v>
      </c>
      <c r="D987" t="s">
        <v>557</v>
      </c>
      <c r="E987">
        <v>18502</v>
      </c>
      <c r="F987" t="s">
        <v>4893</v>
      </c>
      <c r="G987">
        <v>4.8099999999999996</v>
      </c>
      <c r="H987" t="s">
        <v>4805</v>
      </c>
      <c r="I987" t="s">
        <v>461</v>
      </c>
    </row>
    <row r="988" spans="1:9" x14ac:dyDescent="0.3">
      <c r="A988">
        <v>73913</v>
      </c>
      <c r="B988">
        <v>105</v>
      </c>
      <c r="C988" s="452">
        <v>46082</v>
      </c>
      <c r="D988" t="s">
        <v>557</v>
      </c>
      <c r="E988">
        <v>18518</v>
      </c>
      <c r="F988" t="s">
        <v>4838</v>
      </c>
      <c r="G988">
        <v>6.2</v>
      </c>
      <c r="H988" t="s">
        <v>4805</v>
      </c>
      <c r="I988" t="s">
        <v>461</v>
      </c>
    </row>
    <row r="989" spans="1:9" x14ac:dyDescent="0.3">
      <c r="A989">
        <v>73914</v>
      </c>
      <c r="B989">
        <v>105</v>
      </c>
      <c r="C989" s="452">
        <v>46082</v>
      </c>
      <c r="D989" t="s">
        <v>557</v>
      </c>
      <c r="E989">
        <v>18545</v>
      </c>
      <c r="F989" t="s">
        <v>4864</v>
      </c>
      <c r="G989">
        <v>1</v>
      </c>
      <c r="H989" t="s">
        <v>4805</v>
      </c>
      <c r="I989" t="s">
        <v>461</v>
      </c>
    </row>
    <row r="990" spans="1:9" x14ac:dyDescent="0.3">
      <c r="A990">
        <v>73915</v>
      </c>
      <c r="B990">
        <v>105</v>
      </c>
      <c r="C990" s="452">
        <v>46082</v>
      </c>
      <c r="D990" t="s">
        <v>557</v>
      </c>
      <c r="E990">
        <v>18547</v>
      </c>
      <c r="F990" t="s">
        <v>4863</v>
      </c>
      <c r="G990">
        <v>5.6</v>
      </c>
      <c r="H990" t="s">
        <v>4805</v>
      </c>
      <c r="I990" t="s">
        <v>461</v>
      </c>
    </row>
    <row r="991" spans="1:9" x14ac:dyDescent="0.3">
      <c r="A991">
        <v>73916</v>
      </c>
      <c r="B991">
        <v>105</v>
      </c>
      <c r="C991" s="452">
        <v>46082</v>
      </c>
      <c r="D991" t="s">
        <v>557</v>
      </c>
      <c r="E991">
        <v>18579</v>
      </c>
      <c r="F991" t="s">
        <v>5087</v>
      </c>
      <c r="G991">
        <v>7.45</v>
      </c>
      <c r="H991" t="s">
        <v>4749</v>
      </c>
      <c r="I991" t="s">
        <v>461</v>
      </c>
    </row>
    <row r="992" spans="1:9" x14ac:dyDescent="0.3">
      <c r="A992">
        <v>73917</v>
      </c>
      <c r="B992">
        <v>105</v>
      </c>
      <c r="C992" s="452">
        <v>46082</v>
      </c>
      <c r="D992" t="s">
        <v>557</v>
      </c>
      <c r="E992">
        <v>18586</v>
      </c>
      <c r="F992" t="s">
        <v>4966</v>
      </c>
      <c r="G992">
        <v>1</v>
      </c>
      <c r="H992" t="s">
        <v>4738</v>
      </c>
      <c r="I992" t="s">
        <v>461</v>
      </c>
    </row>
    <row r="993" spans="1:9" x14ac:dyDescent="0.3">
      <c r="A993">
        <v>73918</v>
      </c>
      <c r="B993">
        <v>105</v>
      </c>
      <c r="C993" s="452">
        <v>46082</v>
      </c>
      <c r="D993" t="s">
        <v>557</v>
      </c>
      <c r="E993">
        <v>18589</v>
      </c>
      <c r="F993" t="s">
        <v>5089</v>
      </c>
      <c r="G993">
        <v>2</v>
      </c>
      <c r="H993" t="s">
        <v>4738</v>
      </c>
      <c r="I993" t="s">
        <v>461</v>
      </c>
    </row>
    <row r="994" spans="1:9" x14ac:dyDescent="0.3">
      <c r="A994">
        <v>73919</v>
      </c>
      <c r="B994">
        <v>105</v>
      </c>
      <c r="C994" s="452">
        <v>46082</v>
      </c>
      <c r="D994" t="s">
        <v>557</v>
      </c>
      <c r="E994">
        <v>18595</v>
      </c>
      <c r="F994" t="s">
        <v>5092</v>
      </c>
      <c r="G994">
        <v>1.04</v>
      </c>
      <c r="H994" t="s">
        <v>4738</v>
      </c>
      <c r="I994" t="s">
        <v>461</v>
      </c>
    </row>
    <row r="995" spans="1:9" x14ac:dyDescent="0.3">
      <c r="A995">
        <v>73920</v>
      </c>
      <c r="B995">
        <v>105</v>
      </c>
      <c r="C995" s="452">
        <v>46082</v>
      </c>
      <c r="D995" t="s">
        <v>557</v>
      </c>
      <c r="E995">
        <v>18632</v>
      </c>
      <c r="F995" t="s">
        <v>5096</v>
      </c>
      <c r="G995">
        <v>3.21</v>
      </c>
      <c r="H995" t="s">
        <v>4749</v>
      </c>
      <c r="I995" t="s">
        <v>461</v>
      </c>
    </row>
    <row r="996" spans="1:9" x14ac:dyDescent="0.3">
      <c r="A996">
        <v>73921</v>
      </c>
      <c r="B996">
        <v>105</v>
      </c>
      <c r="C996" s="452">
        <v>46082</v>
      </c>
      <c r="D996" t="s">
        <v>557</v>
      </c>
      <c r="E996">
        <v>18636</v>
      </c>
      <c r="F996" t="s">
        <v>4964</v>
      </c>
      <c r="G996">
        <v>4.09</v>
      </c>
      <c r="H996" t="s">
        <v>4965</v>
      </c>
      <c r="I996" t="s">
        <v>461</v>
      </c>
    </row>
    <row r="997" spans="1:9" x14ac:dyDescent="0.3">
      <c r="A997">
        <v>73922</v>
      </c>
      <c r="B997">
        <v>105</v>
      </c>
      <c r="C997" s="452">
        <v>46082</v>
      </c>
      <c r="D997" t="s">
        <v>557</v>
      </c>
      <c r="E997">
        <v>18642</v>
      </c>
      <c r="F997" t="s">
        <v>5127</v>
      </c>
      <c r="G997">
        <v>5.4</v>
      </c>
      <c r="H997" t="s">
        <v>4744</v>
      </c>
      <c r="I997" t="s">
        <v>461</v>
      </c>
    </row>
    <row r="998" spans="1:9" x14ac:dyDescent="0.3">
      <c r="A998">
        <v>73923</v>
      </c>
      <c r="B998">
        <v>105</v>
      </c>
      <c r="C998" s="452">
        <v>46082</v>
      </c>
      <c r="D998" t="s">
        <v>557</v>
      </c>
      <c r="E998">
        <v>18731</v>
      </c>
      <c r="F998" t="s">
        <v>4832</v>
      </c>
      <c r="G998">
        <v>11.95</v>
      </c>
      <c r="H998" t="s">
        <v>4744</v>
      </c>
      <c r="I998" t="s">
        <v>461</v>
      </c>
    </row>
    <row r="999" spans="1:9" x14ac:dyDescent="0.3">
      <c r="A999">
        <v>73924</v>
      </c>
      <c r="B999">
        <v>105</v>
      </c>
      <c r="C999" s="452">
        <v>46082</v>
      </c>
      <c r="D999" t="s">
        <v>557</v>
      </c>
      <c r="E999">
        <v>18735</v>
      </c>
      <c r="F999" t="s">
        <v>4891</v>
      </c>
      <c r="G999">
        <v>3.4</v>
      </c>
      <c r="H999" t="s">
        <v>4744</v>
      </c>
      <c r="I999" t="s">
        <v>461</v>
      </c>
    </row>
    <row r="1000" spans="1:9" x14ac:dyDescent="0.3">
      <c r="A1000">
        <v>73925</v>
      </c>
      <c r="B1000">
        <v>105</v>
      </c>
      <c r="C1000" s="452">
        <v>46082</v>
      </c>
      <c r="D1000" t="s">
        <v>557</v>
      </c>
      <c r="E1000">
        <v>18991</v>
      </c>
      <c r="F1000" t="s">
        <v>4815</v>
      </c>
      <c r="G1000">
        <v>5.3</v>
      </c>
      <c r="H1000" t="s">
        <v>4744</v>
      </c>
      <c r="I1000" t="s">
        <v>461</v>
      </c>
    </row>
    <row r="1001" spans="1:9" x14ac:dyDescent="0.3">
      <c r="A1001">
        <v>73926</v>
      </c>
      <c r="B1001">
        <v>105</v>
      </c>
      <c r="C1001" s="452">
        <v>46082</v>
      </c>
      <c r="D1001" t="s">
        <v>557</v>
      </c>
      <c r="E1001">
        <v>18996</v>
      </c>
      <c r="F1001" t="s">
        <v>5130</v>
      </c>
      <c r="G1001">
        <v>4.55</v>
      </c>
      <c r="H1001" t="s">
        <v>4744</v>
      </c>
      <c r="I1001" t="s">
        <v>461</v>
      </c>
    </row>
    <row r="1002" spans="1:9" x14ac:dyDescent="0.3">
      <c r="A1002">
        <v>73927</v>
      </c>
      <c r="B1002">
        <v>105</v>
      </c>
      <c r="C1002" s="452">
        <v>46082</v>
      </c>
      <c r="D1002" t="s">
        <v>557</v>
      </c>
      <c r="E1002">
        <v>19003</v>
      </c>
      <c r="F1002" t="s">
        <v>4810</v>
      </c>
      <c r="G1002">
        <v>24.4</v>
      </c>
      <c r="H1002" t="s">
        <v>4744</v>
      </c>
      <c r="I1002" t="s">
        <v>461</v>
      </c>
    </row>
    <row r="1003" spans="1:9" x14ac:dyDescent="0.3">
      <c r="A1003">
        <v>73928</v>
      </c>
      <c r="B1003">
        <v>105</v>
      </c>
      <c r="C1003" s="452">
        <v>46082</v>
      </c>
      <c r="D1003" t="s">
        <v>557</v>
      </c>
      <c r="E1003">
        <v>19041</v>
      </c>
      <c r="F1003" t="s">
        <v>4762</v>
      </c>
      <c r="G1003">
        <v>26.1</v>
      </c>
      <c r="H1003" t="s">
        <v>4744</v>
      </c>
      <c r="I1003" t="s">
        <v>461</v>
      </c>
    </row>
    <row r="1004" spans="1:9" x14ac:dyDescent="0.3">
      <c r="A1004">
        <v>73929</v>
      </c>
      <c r="B1004">
        <v>105</v>
      </c>
      <c r="C1004" s="452">
        <v>46082</v>
      </c>
      <c r="D1004" t="s">
        <v>557</v>
      </c>
      <c r="E1004">
        <v>19130</v>
      </c>
      <c r="F1004" t="s">
        <v>4990</v>
      </c>
      <c r="G1004">
        <v>3.1</v>
      </c>
      <c r="H1004" t="s">
        <v>4744</v>
      </c>
      <c r="I1004" t="s">
        <v>461</v>
      </c>
    </row>
    <row r="1005" spans="1:9" x14ac:dyDescent="0.3">
      <c r="A1005">
        <v>73930</v>
      </c>
      <c r="B1005">
        <v>105</v>
      </c>
      <c r="C1005" s="452">
        <v>46082</v>
      </c>
      <c r="D1005" t="s">
        <v>557</v>
      </c>
      <c r="E1005">
        <v>19241</v>
      </c>
      <c r="F1005" t="s">
        <v>4890</v>
      </c>
      <c r="G1005">
        <v>3</v>
      </c>
      <c r="H1005" t="s">
        <v>4736</v>
      </c>
      <c r="I1005" t="s">
        <v>461</v>
      </c>
    </row>
    <row r="1006" spans="1:9" x14ac:dyDescent="0.3">
      <c r="A1006">
        <v>73931</v>
      </c>
      <c r="B1006">
        <v>105</v>
      </c>
      <c r="C1006" s="452">
        <v>46082</v>
      </c>
      <c r="D1006" t="s">
        <v>557</v>
      </c>
      <c r="E1006">
        <v>19291</v>
      </c>
      <c r="F1006" t="s">
        <v>4870</v>
      </c>
      <c r="G1006">
        <v>3.4</v>
      </c>
      <c r="H1006" t="s">
        <v>4744</v>
      </c>
      <c r="I1006" t="s">
        <v>461</v>
      </c>
    </row>
    <row r="1007" spans="1:9" x14ac:dyDescent="0.3">
      <c r="A1007">
        <v>73932</v>
      </c>
      <c r="B1007">
        <v>105</v>
      </c>
      <c r="C1007" s="452">
        <v>46082</v>
      </c>
      <c r="D1007" t="s">
        <v>557</v>
      </c>
      <c r="E1007">
        <v>19306</v>
      </c>
      <c r="F1007" t="s">
        <v>5111</v>
      </c>
      <c r="G1007">
        <v>1</v>
      </c>
      <c r="H1007" t="s">
        <v>4738</v>
      </c>
      <c r="I1007" t="s">
        <v>461</v>
      </c>
    </row>
    <row r="1008" spans="1:9" x14ac:dyDescent="0.3">
      <c r="A1008">
        <v>73933</v>
      </c>
      <c r="B1008">
        <v>105</v>
      </c>
      <c r="C1008" s="452">
        <v>46082</v>
      </c>
      <c r="D1008" t="s">
        <v>557</v>
      </c>
      <c r="E1008">
        <v>19322</v>
      </c>
      <c r="F1008" t="s">
        <v>4830</v>
      </c>
      <c r="G1008">
        <v>1.49</v>
      </c>
      <c r="H1008" t="s">
        <v>4744</v>
      </c>
      <c r="I1008" t="s">
        <v>461</v>
      </c>
    </row>
    <row r="1009" spans="1:9" x14ac:dyDescent="0.3">
      <c r="A1009">
        <v>73934</v>
      </c>
      <c r="B1009">
        <v>105</v>
      </c>
      <c r="C1009" s="452">
        <v>46082</v>
      </c>
      <c r="D1009" t="s">
        <v>557</v>
      </c>
      <c r="E1009">
        <v>19353</v>
      </c>
      <c r="F1009" t="s">
        <v>4851</v>
      </c>
      <c r="G1009">
        <v>2.15</v>
      </c>
      <c r="H1009" t="s">
        <v>4744</v>
      </c>
      <c r="I1009" t="s">
        <v>461</v>
      </c>
    </row>
    <row r="1010" spans="1:9" x14ac:dyDescent="0.3">
      <c r="A1010">
        <v>73935</v>
      </c>
      <c r="B1010">
        <v>105</v>
      </c>
      <c r="C1010" s="452">
        <v>46082</v>
      </c>
      <c r="D1010" t="s">
        <v>557</v>
      </c>
      <c r="E1010">
        <v>19415</v>
      </c>
      <c r="F1010" t="s">
        <v>4919</v>
      </c>
      <c r="G1010">
        <v>2</v>
      </c>
      <c r="H1010" t="s">
        <v>4736</v>
      </c>
      <c r="I1010" t="s">
        <v>461</v>
      </c>
    </row>
    <row r="1011" spans="1:9" x14ac:dyDescent="0.3">
      <c r="A1011">
        <v>73936</v>
      </c>
      <c r="B1011">
        <v>105</v>
      </c>
      <c r="C1011" s="452">
        <v>46082</v>
      </c>
      <c r="D1011" t="s">
        <v>557</v>
      </c>
      <c r="E1011">
        <v>19421</v>
      </c>
      <c r="F1011" t="s">
        <v>4918</v>
      </c>
      <c r="G1011">
        <v>2</v>
      </c>
      <c r="H1011" t="s">
        <v>4749</v>
      </c>
      <c r="I1011" t="s">
        <v>461</v>
      </c>
    </row>
    <row r="1012" spans="1:9" x14ac:dyDescent="0.3">
      <c r="A1012">
        <v>73937</v>
      </c>
      <c r="B1012">
        <v>105</v>
      </c>
      <c r="C1012" s="452">
        <v>46082</v>
      </c>
      <c r="D1012" t="s">
        <v>557</v>
      </c>
      <c r="E1012">
        <v>19421</v>
      </c>
      <c r="F1012" t="s">
        <v>4918</v>
      </c>
      <c r="G1012">
        <v>1</v>
      </c>
      <c r="H1012" t="s">
        <v>4749</v>
      </c>
      <c r="I1012" t="s">
        <v>461</v>
      </c>
    </row>
    <row r="1013" spans="1:9" x14ac:dyDescent="0.3">
      <c r="A1013">
        <v>73938</v>
      </c>
      <c r="B1013">
        <v>105</v>
      </c>
      <c r="C1013" s="452">
        <v>46082</v>
      </c>
      <c r="D1013" t="s">
        <v>557</v>
      </c>
      <c r="E1013">
        <v>19439</v>
      </c>
      <c r="F1013" t="s">
        <v>4917</v>
      </c>
      <c r="G1013">
        <v>4.4000000000000004</v>
      </c>
      <c r="H1013" t="s">
        <v>4744</v>
      </c>
      <c r="I1013" t="s">
        <v>461</v>
      </c>
    </row>
    <row r="1014" spans="1:9" x14ac:dyDescent="0.3">
      <c r="A1014">
        <v>73939</v>
      </c>
      <c r="B1014">
        <v>105</v>
      </c>
      <c r="C1014" s="452">
        <v>46082</v>
      </c>
      <c r="D1014" t="s">
        <v>557</v>
      </c>
      <c r="E1014">
        <v>19465</v>
      </c>
      <c r="F1014" t="s">
        <v>5114</v>
      </c>
      <c r="G1014">
        <v>0.27</v>
      </c>
      <c r="H1014" t="s">
        <v>4744</v>
      </c>
      <c r="I1014" t="s">
        <v>461</v>
      </c>
    </row>
    <row r="1015" spans="1:9" x14ac:dyDescent="0.3">
      <c r="A1015">
        <v>73940</v>
      </c>
      <c r="B1015">
        <v>105</v>
      </c>
      <c r="C1015" s="452">
        <v>46082</v>
      </c>
      <c r="D1015" t="s">
        <v>557</v>
      </c>
      <c r="E1015">
        <v>19472</v>
      </c>
      <c r="F1015" t="s">
        <v>4906</v>
      </c>
      <c r="G1015">
        <v>3.85</v>
      </c>
      <c r="H1015" t="s">
        <v>4744</v>
      </c>
      <c r="I1015" t="s">
        <v>461</v>
      </c>
    </row>
    <row r="1016" spans="1:9" x14ac:dyDescent="0.3">
      <c r="A1016">
        <v>73941</v>
      </c>
      <c r="B1016">
        <v>105</v>
      </c>
      <c r="C1016" s="452">
        <v>46082</v>
      </c>
      <c r="D1016" t="s">
        <v>557</v>
      </c>
      <c r="E1016">
        <v>19476</v>
      </c>
      <c r="F1016" t="s">
        <v>5115</v>
      </c>
      <c r="G1016">
        <v>0.55000000000000004</v>
      </c>
      <c r="H1016" t="s">
        <v>4744</v>
      </c>
      <c r="I1016" t="s">
        <v>461</v>
      </c>
    </row>
    <row r="1017" spans="1:9" x14ac:dyDescent="0.3">
      <c r="A1017">
        <v>73942</v>
      </c>
      <c r="B1017">
        <v>105</v>
      </c>
      <c r="C1017" s="452">
        <v>46082</v>
      </c>
      <c r="D1017" t="s">
        <v>557</v>
      </c>
      <c r="E1017">
        <v>19480</v>
      </c>
      <c r="F1017" t="s">
        <v>5119</v>
      </c>
      <c r="G1017">
        <v>0.34</v>
      </c>
      <c r="H1017" t="s">
        <v>4744</v>
      </c>
      <c r="I1017" t="s">
        <v>461</v>
      </c>
    </row>
    <row r="1018" spans="1:9" x14ac:dyDescent="0.3">
      <c r="A1018">
        <v>73943</v>
      </c>
      <c r="B1018">
        <v>105</v>
      </c>
      <c r="C1018" s="452">
        <v>46082</v>
      </c>
      <c r="D1018" t="s">
        <v>557</v>
      </c>
      <c r="E1018">
        <v>19488</v>
      </c>
      <c r="F1018" t="s">
        <v>5107</v>
      </c>
      <c r="G1018">
        <v>0.15</v>
      </c>
      <c r="H1018" t="s">
        <v>4744</v>
      </c>
      <c r="I1018" t="s">
        <v>461</v>
      </c>
    </row>
    <row r="1019" spans="1:9" x14ac:dyDescent="0.3">
      <c r="A1019">
        <v>73944</v>
      </c>
      <c r="B1019">
        <v>105</v>
      </c>
      <c r="C1019" s="452">
        <v>46082</v>
      </c>
      <c r="D1019" t="s">
        <v>557</v>
      </c>
      <c r="E1019">
        <v>19490</v>
      </c>
      <c r="F1019" t="s">
        <v>5116</v>
      </c>
      <c r="G1019">
        <v>0.37</v>
      </c>
      <c r="H1019" t="s">
        <v>4744</v>
      </c>
      <c r="I1019" t="s">
        <v>461</v>
      </c>
    </row>
    <row r="1020" spans="1:9" x14ac:dyDescent="0.3">
      <c r="A1020">
        <v>73945</v>
      </c>
      <c r="B1020">
        <v>105</v>
      </c>
      <c r="C1020" s="452">
        <v>46082</v>
      </c>
      <c r="D1020" t="s">
        <v>557</v>
      </c>
      <c r="E1020">
        <v>19492</v>
      </c>
      <c r="F1020" t="s">
        <v>4937</v>
      </c>
      <c r="G1020">
        <v>0.5</v>
      </c>
      <c r="H1020" t="s">
        <v>4744</v>
      </c>
      <c r="I1020" t="s">
        <v>461</v>
      </c>
    </row>
    <row r="1021" spans="1:9" x14ac:dyDescent="0.3">
      <c r="A1021">
        <v>73946</v>
      </c>
      <c r="B1021">
        <v>105</v>
      </c>
      <c r="C1021" s="452">
        <v>46082</v>
      </c>
      <c r="D1021" t="s">
        <v>557</v>
      </c>
      <c r="E1021">
        <v>19502</v>
      </c>
      <c r="F1021" t="s">
        <v>4871</v>
      </c>
      <c r="G1021">
        <v>5.55</v>
      </c>
      <c r="H1021" t="s">
        <v>4744</v>
      </c>
      <c r="I1021" t="s">
        <v>461</v>
      </c>
    </row>
    <row r="1022" spans="1:9" x14ac:dyDescent="0.3">
      <c r="A1022">
        <v>73947</v>
      </c>
      <c r="B1022">
        <v>105</v>
      </c>
      <c r="C1022" s="452">
        <v>46082</v>
      </c>
      <c r="D1022" t="s">
        <v>557</v>
      </c>
      <c r="E1022">
        <v>19506</v>
      </c>
      <c r="F1022" t="s">
        <v>5122</v>
      </c>
      <c r="G1022">
        <v>0.6</v>
      </c>
      <c r="H1022" t="s">
        <v>4744</v>
      </c>
      <c r="I1022" t="s">
        <v>461</v>
      </c>
    </row>
    <row r="1023" spans="1:9" x14ac:dyDescent="0.3">
      <c r="A1023">
        <v>73948</v>
      </c>
      <c r="B1023">
        <v>105</v>
      </c>
      <c r="C1023" s="452">
        <v>46082</v>
      </c>
      <c r="D1023" t="s">
        <v>557</v>
      </c>
      <c r="E1023">
        <v>19507</v>
      </c>
      <c r="F1023" t="s">
        <v>4853</v>
      </c>
      <c r="G1023">
        <v>4.5999999999999996</v>
      </c>
      <c r="H1023" t="s">
        <v>4744</v>
      </c>
      <c r="I1023" t="s">
        <v>461</v>
      </c>
    </row>
    <row r="1024" spans="1:9" x14ac:dyDescent="0.3">
      <c r="A1024">
        <v>73949</v>
      </c>
      <c r="B1024">
        <v>105</v>
      </c>
      <c r="C1024" s="452">
        <v>46082</v>
      </c>
      <c r="D1024" t="s">
        <v>557</v>
      </c>
      <c r="E1024">
        <v>19526</v>
      </c>
      <c r="F1024" t="s">
        <v>4997</v>
      </c>
      <c r="G1024">
        <v>0.6</v>
      </c>
      <c r="H1024" t="s">
        <v>4744</v>
      </c>
      <c r="I1024" t="s">
        <v>461</v>
      </c>
    </row>
    <row r="1025" spans="1:9" x14ac:dyDescent="0.3">
      <c r="A1025">
        <v>73950</v>
      </c>
      <c r="B1025">
        <v>105</v>
      </c>
      <c r="C1025" s="452">
        <v>46082</v>
      </c>
      <c r="D1025" t="s">
        <v>557</v>
      </c>
      <c r="E1025">
        <v>19532</v>
      </c>
      <c r="F1025" t="s">
        <v>4753</v>
      </c>
      <c r="G1025">
        <v>34</v>
      </c>
      <c r="H1025" t="s">
        <v>4744</v>
      </c>
      <c r="I1025" t="s">
        <v>461</v>
      </c>
    </row>
    <row r="1026" spans="1:9" x14ac:dyDescent="0.3">
      <c r="A1026">
        <v>73951</v>
      </c>
      <c r="B1026">
        <v>105</v>
      </c>
      <c r="C1026" s="452">
        <v>46082</v>
      </c>
      <c r="D1026" t="s">
        <v>557</v>
      </c>
      <c r="E1026">
        <v>19551</v>
      </c>
      <c r="F1026" t="s">
        <v>4905</v>
      </c>
      <c r="G1026">
        <v>1</v>
      </c>
      <c r="H1026" t="s">
        <v>4744</v>
      </c>
      <c r="I1026" t="s">
        <v>461</v>
      </c>
    </row>
    <row r="1027" spans="1:9" x14ac:dyDescent="0.3">
      <c r="A1027">
        <v>73952</v>
      </c>
      <c r="B1027">
        <v>105</v>
      </c>
      <c r="C1027" s="452">
        <v>46082</v>
      </c>
      <c r="D1027" t="s">
        <v>557</v>
      </c>
      <c r="E1027">
        <v>19552</v>
      </c>
      <c r="F1027" t="s">
        <v>4860</v>
      </c>
      <c r="G1027">
        <v>1.25</v>
      </c>
      <c r="H1027" t="s">
        <v>4744</v>
      </c>
      <c r="I1027" t="s">
        <v>461</v>
      </c>
    </row>
    <row r="1028" spans="1:9" x14ac:dyDescent="0.3">
      <c r="A1028">
        <v>73953</v>
      </c>
      <c r="B1028">
        <v>105</v>
      </c>
      <c r="C1028" s="452">
        <v>46082</v>
      </c>
      <c r="D1028" t="s">
        <v>557</v>
      </c>
      <c r="E1028">
        <v>19553</v>
      </c>
      <c r="F1028" t="s">
        <v>4868</v>
      </c>
      <c r="G1028">
        <v>4.05</v>
      </c>
      <c r="H1028" t="s">
        <v>4744</v>
      </c>
      <c r="I1028" t="s">
        <v>461</v>
      </c>
    </row>
    <row r="1029" spans="1:9" x14ac:dyDescent="0.3">
      <c r="A1029">
        <v>73954</v>
      </c>
      <c r="B1029">
        <v>105</v>
      </c>
      <c r="C1029" s="452">
        <v>46082</v>
      </c>
      <c r="D1029" t="s">
        <v>557</v>
      </c>
      <c r="E1029">
        <v>19555</v>
      </c>
      <c r="F1029" t="s">
        <v>4903</v>
      </c>
      <c r="G1029">
        <v>2.35</v>
      </c>
      <c r="H1029" t="s">
        <v>4744</v>
      </c>
      <c r="I1029" t="s">
        <v>461</v>
      </c>
    </row>
    <row r="1030" spans="1:9" x14ac:dyDescent="0.3">
      <c r="A1030">
        <v>73955</v>
      </c>
      <c r="B1030">
        <v>105</v>
      </c>
      <c r="C1030" s="452">
        <v>46082</v>
      </c>
      <c r="D1030" t="s">
        <v>557</v>
      </c>
      <c r="E1030">
        <v>19558</v>
      </c>
      <c r="F1030" t="s">
        <v>4994</v>
      </c>
      <c r="G1030">
        <v>1.55</v>
      </c>
      <c r="H1030" t="s">
        <v>4744</v>
      </c>
      <c r="I1030" t="s">
        <v>461</v>
      </c>
    </row>
    <row r="1031" spans="1:9" x14ac:dyDescent="0.3">
      <c r="A1031">
        <v>73956</v>
      </c>
      <c r="B1031">
        <v>105</v>
      </c>
      <c r="C1031" s="452">
        <v>46082</v>
      </c>
      <c r="D1031" t="s">
        <v>557</v>
      </c>
      <c r="E1031">
        <v>19562</v>
      </c>
      <c r="F1031" t="s">
        <v>4939</v>
      </c>
      <c r="G1031">
        <v>1.3</v>
      </c>
      <c r="H1031" t="s">
        <v>4744</v>
      </c>
      <c r="I1031" t="s">
        <v>461</v>
      </c>
    </row>
    <row r="1032" spans="1:9" x14ac:dyDescent="0.3">
      <c r="A1032">
        <v>73957</v>
      </c>
      <c r="B1032">
        <v>105</v>
      </c>
      <c r="C1032" s="452">
        <v>46082</v>
      </c>
      <c r="D1032" t="s">
        <v>557</v>
      </c>
      <c r="E1032">
        <v>19575</v>
      </c>
      <c r="F1032" t="s">
        <v>5120</v>
      </c>
      <c r="G1032">
        <v>0.2</v>
      </c>
      <c r="H1032" t="s">
        <v>4744</v>
      </c>
      <c r="I1032" t="s">
        <v>461</v>
      </c>
    </row>
    <row r="1033" spans="1:9" x14ac:dyDescent="0.3">
      <c r="A1033">
        <v>73958</v>
      </c>
      <c r="B1033">
        <v>105</v>
      </c>
      <c r="C1033" s="452">
        <v>46082</v>
      </c>
      <c r="D1033" t="s">
        <v>557</v>
      </c>
      <c r="E1033">
        <v>19577</v>
      </c>
      <c r="F1033" t="s">
        <v>4984</v>
      </c>
      <c r="G1033">
        <v>0.82</v>
      </c>
      <c r="H1033" t="s">
        <v>4736</v>
      </c>
      <c r="I1033" t="s">
        <v>461</v>
      </c>
    </row>
    <row r="1034" spans="1:9" x14ac:dyDescent="0.3">
      <c r="A1034">
        <v>73959</v>
      </c>
      <c r="B1034">
        <v>105</v>
      </c>
      <c r="C1034" s="452">
        <v>46082</v>
      </c>
      <c r="D1034" t="s">
        <v>557</v>
      </c>
      <c r="E1034">
        <v>19589</v>
      </c>
      <c r="F1034" t="s">
        <v>4983</v>
      </c>
      <c r="G1034">
        <v>0.31</v>
      </c>
      <c r="H1034" t="s">
        <v>4744</v>
      </c>
      <c r="I1034" t="s">
        <v>461</v>
      </c>
    </row>
    <row r="1035" spans="1:9" x14ac:dyDescent="0.3">
      <c r="A1035">
        <v>73960</v>
      </c>
      <c r="B1035">
        <v>105</v>
      </c>
      <c r="C1035" s="452">
        <v>46082</v>
      </c>
      <c r="D1035" t="s">
        <v>557</v>
      </c>
      <c r="E1035">
        <v>19607</v>
      </c>
      <c r="F1035" t="s">
        <v>4981</v>
      </c>
      <c r="G1035">
        <v>1.19</v>
      </c>
      <c r="H1035" t="s">
        <v>4744</v>
      </c>
      <c r="I1035" t="s">
        <v>461</v>
      </c>
    </row>
    <row r="1036" spans="1:9" x14ac:dyDescent="0.3">
      <c r="A1036">
        <v>73961</v>
      </c>
      <c r="B1036">
        <v>105</v>
      </c>
      <c r="C1036" s="452">
        <v>46082</v>
      </c>
      <c r="D1036" t="s">
        <v>557</v>
      </c>
      <c r="E1036">
        <v>19617</v>
      </c>
      <c r="F1036" t="s">
        <v>5071</v>
      </c>
      <c r="G1036">
        <v>0.65</v>
      </c>
      <c r="H1036" t="s">
        <v>4744</v>
      </c>
      <c r="I1036" t="s">
        <v>461</v>
      </c>
    </row>
    <row r="1037" spans="1:9" x14ac:dyDescent="0.3">
      <c r="A1037">
        <v>73962</v>
      </c>
      <c r="B1037">
        <v>105</v>
      </c>
      <c r="C1037" s="452">
        <v>46082</v>
      </c>
      <c r="D1037" t="s">
        <v>557</v>
      </c>
      <c r="E1037">
        <v>19621</v>
      </c>
      <c r="F1037" t="s">
        <v>4829</v>
      </c>
      <c r="G1037">
        <v>3.25</v>
      </c>
      <c r="H1037" t="s">
        <v>4744</v>
      </c>
      <c r="I1037" t="s">
        <v>461</v>
      </c>
    </row>
    <row r="1038" spans="1:9" x14ac:dyDescent="0.3">
      <c r="A1038">
        <v>73963</v>
      </c>
      <c r="B1038">
        <v>105</v>
      </c>
      <c r="C1038" s="452">
        <v>46082</v>
      </c>
      <c r="D1038" t="s">
        <v>557</v>
      </c>
      <c r="E1038">
        <v>19622</v>
      </c>
      <c r="F1038" t="s">
        <v>4915</v>
      </c>
      <c r="G1038">
        <v>2.4</v>
      </c>
      <c r="H1038" t="s">
        <v>4744</v>
      </c>
      <c r="I1038" t="s">
        <v>461</v>
      </c>
    </row>
    <row r="1039" spans="1:9" x14ac:dyDescent="0.3">
      <c r="A1039">
        <v>73964</v>
      </c>
      <c r="B1039">
        <v>105</v>
      </c>
      <c r="C1039" s="452">
        <v>46082</v>
      </c>
      <c r="D1039" t="s">
        <v>557</v>
      </c>
      <c r="E1039">
        <v>19623</v>
      </c>
      <c r="F1039" t="s">
        <v>4764</v>
      </c>
      <c r="G1039">
        <v>8.25</v>
      </c>
      <c r="H1039" t="s">
        <v>4744</v>
      </c>
      <c r="I1039" t="s">
        <v>461</v>
      </c>
    </row>
    <row r="1040" spans="1:9" x14ac:dyDescent="0.3">
      <c r="A1040">
        <v>73965</v>
      </c>
      <c r="B1040">
        <v>105</v>
      </c>
      <c r="C1040" s="452">
        <v>46082</v>
      </c>
      <c r="D1040" t="s">
        <v>557</v>
      </c>
      <c r="E1040">
        <v>19632</v>
      </c>
      <c r="F1040" t="s">
        <v>4936</v>
      </c>
      <c r="G1040">
        <v>3.3</v>
      </c>
      <c r="H1040" t="s">
        <v>4744</v>
      </c>
      <c r="I1040" t="s">
        <v>461</v>
      </c>
    </row>
    <row r="1041" spans="1:9" x14ac:dyDescent="0.3">
      <c r="A1041">
        <v>73966</v>
      </c>
      <c r="B1041">
        <v>105</v>
      </c>
      <c r="C1041" s="452">
        <v>46082</v>
      </c>
      <c r="D1041" t="s">
        <v>557</v>
      </c>
      <c r="E1041">
        <v>19634</v>
      </c>
      <c r="F1041" t="s">
        <v>4792</v>
      </c>
      <c r="G1041">
        <v>3.7</v>
      </c>
      <c r="H1041" t="s">
        <v>4744</v>
      </c>
      <c r="I1041" t="s">
        <v>461</v>
      </c>
    </row>
    <row r="1042" spans="1:9" x14ac:dyDescent="0.3">
      <c r="A1042">
        <v>73967</v>
      </c>
      <c r="B1042">
        <v>105</v>
      </c>
      <c r="C1042" s="452">
        <v>46082</v>
      </c>
      <c r="D1042" t="s">
        <v>557</v>
      </c>
      <c r="E1042">
        <v>19635</v>
      </c>
      <c r="F1042" t="s">
        <v>4786</v>
      </c>
      <c r="G1042">
        <v>15.1</v>
      </c>
      <c r="H1042" t="s">
        <v>4744</v>
      </c>
      <c r="I1042" t="s">
        <v>461</v>
      </c>
    </row>
    <row r="1043" spans="1:9" x14ac:dyDescent="0.3">
      <c r="A1043">
        <v>73968</v>
      </c>
      <c r="B1043">
        <v>105</v>
      </c>
      <c r="C1043" s="452">
        <v>46082</v>
      </c>
      <c r="D1043" t="s">
        <v>557</v>
      </c>
      <c r="E1043">
        <v>19642</v>
      </c>
      <c r="F1043" t="s">
        <v>4996</v>
      </c>
      <c r="G1043">
        <v>1.3</v>
      </c>
      <c r="H1043" t="s">
        <v>4744</v>
      </c>
      <c r="I1043" t="s">
        <v>461</v>
      </c>
    </row>
    <row r="1044" spans="1:9" x14ac:dyDescent="0.3">
      <c r="A1044">
        <v>73969</v>
      </c>
      <c r="B1044">
        <v>105</v>
      </c>
      <c r="C1044" s="452">
        <v>46082</v>
      </c>
      <c r="D1044" t="s">
        <v>557</v>
      </c>
      <c r="E1044">
        <v>19647</v>
      </c>
      <c r="F1044" t="s">
        <v>5050</v>
      </c>
      <c r="G1044">
        <v>3.35</v>
      </c>
      <c r="H1044" t="s">
        <v>4744</v>
      </c>
      <c r="I1044" t="s">
        <v>461</v>
      </c>
    </row>
    <row r="1045" spans="1:9" x14ac:dyDescent="0.3">
      <c r="A1045">
        <v>73970</v>
      </c>
      <c r="B1045">
        <v>105</v>
      </c>
      <c r="C1045" s="452">
        <v>46082</v>
      </c>
      <c r="D1045" t="s">
        <v>557</v>
      </c>
      <c r="E1045">
        <v>19649</v>
      </c>
      <c r="F1045" t="s">
        <v>4859</v>
      </c>
      <c r="G1045">
        <v>4</v>
      </c>
      <c r="H1045" t="s">
        <v>4744</v>
      </c>
      <c r="I1045" t="s">
        <v>461</v>
      </c>
    </row>
    <row r="1046" spans="1:9" x14ac:dyDescent="0.3">
      <c r="A1046">
        <v>73971</v>
      </c>
      <c r="B1046">
        <v>105</v>
      </c>
      <c r="C1046" s="452">
        <v>46082</v>
      </c>
      <c r="D1046" t="s">
        <v>557</v>
      </c>
      <c r="E1046">
        <v>19652</v>
      </c>
      <c r="F1046" t="s">
        <v>4899</v>
      </c>
      <c r="G1046">
        <v>3.25</v>
      </c>
      <c r="H1046" t="s">
        <v>4744</v>
      </c>
      <c r="I1046" t="s">
        <v>461</v>
      </c>
    </row>
    <row r="1047" spans="1:9" x14ac:dyDescent="0.3">
      <c r="A1047">
        <v>73972</v>
      </c>
      <c r="B1047">
        <v>105</v>
      </c>
      <c r="C1047" s="452">
        <v>46082</v>
      </c>
      <c r="D1047" t="s">
        <v>557</v>
      </c>
      <c r="E1047">
        <v>19654</v>
      </c>
      <c r="F1047" t="s">
        <v>5099</v>
      </c>
      <c r="G1047">
        <v>9.9</v>
      </c>
      <c r="H1047" t="s">
        <v>4744</v>
      </c>
      <c r="I1047" t="s">
        <v>461</v>
      </c>
    </row>
    <row r="1048" spans="1:9" x14ac:dyDescent="0.3">
      <c r="A1048">
        <v>73973</v>
      </c>
      <c r="B1048">
        <v>105</v>
      </c>
      <c r="C1048" s="452">
        <v>46082</v>
      </c>
      <c r="D1048" t="s">
        <v>557</v>
      </c>
      <c r="E1048">
        <v>19658</v>
      </c>
      <c r="F1048" t="s">
        <v>4784</v>
      </c>
      <c r="G1048">
        <v>21.2</v>
      </c>
      <c r="H1048" t="s">
        <v>4744</v>
      </c>
      <c r="I1048" t="s">
        <v>461</v>
      </c>
    </row>
    <row r="1049" spans="1:9" x14ac:dyDescent="0.3">
      <c r="A1049">
        <v>73974</v>
      </c>
      <c r="B1049">
        <v>105</v>
      </c>
      <c r="C1049" s="452">
        <v>46082</v>
      </c>
      <c r="D1049" t="s">
        <v>557</v>
      </c>
      <c r="E1049">
        <v>19710</v>
      </c>
      <c r="F1049" t="s">
        <v>4963</v>
      </c>
      <c r="G1049">
        <v>1.5</v>
      </c>
      <c r="H1049" t="s">
        <v>4738</v>
      </c>
      <c r="I1049" t="s">
        <v>461</v>
      </c>
    </row>
    <row r="1050" spans="1:9" x14ac:dyDescent="0.3">
      <c r="A1050">
        <v>73975</v>
      </c>
      <c r="B1050">
        <v>105</v>
      </c>
      <c r="C1050" s="452">
        <v>46082</v>
      </c>
      <c r="D1050" t="s">
        <v>557</v>
      </c>
      <c r="E1050">
        <v>19728</v>
      </c>
      <c r="F1050" t="s">
        <v>5106</v>
      </c>
      <c r="G1050">
        <v>1.6</v>
      </c>
      <c r="H1050" t="s">
        <v>4744</v>
      </c>
      <c r="I1050" t="s">
        <v>461</v>
      </c>
    </row>
    <row r="1051" spans="1:9" x14ac:dyDescent="0.3">
      <c r="A1051">
        <v>73976</v>
      </c>
      <c r="B1051">
        <v>105</v>
      </c>
      <c r="C1051" s="452">
        <v>46082</v>
      </c>
      <c r="D1051" t="s">
        <v>557</v>
      </c>
      <c r="E1051">
        <v>19734</v>
      </c>
      <c r="F1051" t="s">
        <v>4833</v>
      </c>
      <c r="G1051">
        <v>10.199999999999999</v>
      </c>
      <c r="H1051" t="s">
        <v>4744</v>
      </c>
      <c r="I1051" t="s">
        <v>461</v>
      </c>
    </row>
    <row r="1052" spans="1:9" x14ac:dyDescent="0.3">
      <c r="A1052">
        <v>73977</v>
      </c>
      <c r="B1052">
        <v>105</v>
      </c>
      <c r="C1052" s="452">
        <v>46082</v>
      </c>
      <c r="D1052" t="s">
        <v>557</v>
      </c>
      <c r="E1052">
        <v>19737</v>
      </c>
      <c r="F1052" t="s">
        <v>4940</v>
      </c>
      <c r="G1052">
        <v>2.15</v>
      </c>
      <c r="H1052" t="s">
        <v>4744</v>
      </c>
      <c r="I1052" t="s">
        <v>461</v>
      </c>
    </row>
    <row r="1053" spans="1:9" x14ac:dyDescent="0.3">
      <c r="A1053">
        <v>73978</v>
      </c>
      <c r="B1053">
        <v>105</v>
      </c>
      <c r="C1053" s="452">
        <v>46082</v>
      </c>
      <c r="D1053" t="s">
        <v>557</v>
      </c>
      <c r="E1053">
        <v>19740</v>
      </c>
      <c r="F1053" t="s">
        <v>4779</v>
      </c>
      <c r="G1053">
        <v>22.4</v>
      </c>
      <c r="H1053" t="s">
        <v>4744</v>
      </c>
      <c r="I1053" t="s">
        <v>461</v>
      </c>
    </row>
    <row r="1054" spans="1:9" x14ac:dyDescent="0.3">
      <c r="A1054">
        <v>73979</v>
      </c>
      <c r="B1054">
        <v>105</v>
      </c>
      <c r="C1054" s="452">
        <v>46082</v>
      </c>
      <c r="D1054" t="s">
        <v>557</v>
      </c>
      <c r="E1054">
        <v>19742</v>
      </c>
      <c r="F1054" t="s">
        <v>4900</v>
      </c>
      <c r="G1054">
        <v>1.25</v>
      </c>
      <c r="H1054" t="s">
        <v>4744</v>
      </c>
      <c r="I1054" t="s">
        <v>461</v>
      </c>
    </row>
    <row r="1055" spans="1:9" x14ac:dyDescent="0.3">
      <c r="A1055">
        <v>73980</v>
      </c>
      <c r="B1055">
        <v>105</v>
      </c>
      <c r="C1055" s="452">
        <v>46082</v>
      </c>
      <c r="D1055" t="s">
        <v>557</v>
      </c>
      <c r="E1055">
        <v>19751</v>
      </c>
      <c r="F1055" t="s">
        <v>4800</v>
      </c>
      <c r="G1055">
        <v>6.07</v>
      </c>
      <c r="H1055" t="s">
        <v>4744</v>
      </c>
      <c r="I1055" t="s">
        <v>461</v>
      </c>
    </row>
    <row r="1056" spans="1:9" x14ac:dyDescent="0.3">
      <c r="A1056">
        <v>73981</v>
      </c>
      <c r="B1056">
        <v>105</v>
      </c>
      <c r="C1056" s="452">
        <v>46082</v>
      </c>
      <c r="D1056" t="s">
        <v>557</v>
      </c>
      <c r="E1056">
        <v>19765</v>
      </c>
      <c r="F1056" t="s">
        <v>4889</v>
      </c>
      <c r="G1056">
        <v>2.78</v>
      </c>
      <c r="H1056" t="s">
        <v>4744</v>
      </c>
      <c r="I1056" t="s">
        <v>461</v>
      </c>
    </row>
    <row r="1057" spans="1:9" x14ac:dyDescent="0.3">
      <c r="A1057">
        <v>73982</v>
      </c>
      <c r="B1057">
        <v>105</v>
      </c>
      <c r="C1057" s="452">
        <v>46082</v>
      </c>
      <c r="D1057" t="s">
        <v>557</v>
      </c>
      <c r="E1057">
        <v>19787</v>
      </c>
      <c r="F1057" t="s">
        <v>4793</v>
      </c>
      <c r="G1057">
        <v>13.7</v>
      </c>
      <c r="H1057" t="s">
        <v>4744</v>
      </c>
      <c r="I1057" t="s">
        <v>461</v>
      </c>
    </row>
    <row r="1058" spans="1:9" x14ac:dyDescent="0.3">
      <c r="A1058">
        <v>73983</v>
      </c>
      <c r="B1058">
        <v>105</v>
      </c>
      <c r="C1058" s="452">
        <v>46082</v>
      </c>
      <c r="D1058" t="s">
        <v>557</v>
      </c>
      <c r="E1058">
        <v>19790</v>
      </c>
      <c r="F1058" t="s">
        <v>5073</v>
      </c>
      <c r="G1058">
        <v>3</v>
      </c>
      <c r="H1058" t="s">
        <v>4744</v>
      </c>
      <c r="I1058" t="s">
        <v>461</v>
      </c>
    </row>
    <row r="1059" spans="1:9" x14ac:dyDescent="0.3">
      <c r="A1059">
        <v>73984</v>
      </c>
      <c r="B1059">
        <v>105</v>
      </c>
      <c r="C1059" s="452">
        <v>46082</v>
      </c>
      <c r="D1059" t="s">
        <v>557</v>
      </c>
      <c r="E1059">
        <v>19895</v>
      </c>
      <c r="F1059" t="s">
        <v>5080</v>
      </c>
      <c r="G1059">
        <v>3</v>
      </c>
      <c r="H1059" t="s">
        <v>4888</v>
      </c>
      <c r="I1059" t="s">
        <v>461</v>
      </c>
    </row>
    <row r="1060" spans="1:9" x14ac:dyDescent="0.3">
      <c r="A1060">
        <v>73985</v>
      </c>
      <c r="B1060">
        <v>105</v>
      </c>
      <c r="C1060" s="452">
        <v>46082</v>
      </c>
      <c r="D1060" t="s">
        <v>557</v>
      </c>
      <c r="E1060">
        <v>19907</v>
      </c>
      <c r="F1060" t="s">
        <v>4802</v>
      </c>
      <c r="G1060">
        <v>8.1</v>
      </c>
      <c r="H1060" t="s">
        <v>4736</v>
      </c>
      <c r="I1060" t="s">
        <v>461</v>
      </c>
    </row>
    <row r="1061" spans="1:9" x14ac:dyDescent="0.3">
      <c r="A1061">
        <v>73986</v>
      </c>
      <c r="B1061">
        <v>105</v>
      </c>
      <c r="C1061" s="452">
        <v>46082</v>
      </c>
      <c r="D1061" t="s">
        <v>557</v>
      </c>
      <c r="E1061">
        <v>19917</v>
      </c>
      <c r="F1061" t="s">
        <v>5131</v>
      </c>
      <c r="G1061">
        <v>10.32</v>
      </c>
      <c r="H1061" t="s">
        <v>4738</v>
      </c>
      <c r="I1061" t="s">
        <v>461</v>
      </c>
    </row>
    <row r="1062" spans="1:9" x14ac:dyDescent="0.3">
      <c r="A1062">
        <v>73987</v>
      </c>
      <c r="B1062">
        <v>105</v>
      </c>
      <c r="C1062" s="452">
        <v>46082</v>
      </c>
      <c r="D1062" t="s">
        <v>557</v>
      </c>
      <c r="E1062">
        <v>19939</v>
      </c>
      <c r="F1062" t="s">
        <v>5057</v>
      </c>
      <c r="G1062">
        <v>0.25</v>
      </c>
      <c r="H1062" t="s">
        <v>4744</v>
      </c>
      <c r="I1062" t="s">
        <v>461</v>
      </c>
    </row>
    <row r="1063" spans="1:9" x14ac:dyDescent="0.3">
      <c r="A1063">
        <v>73988</v>
      </c>
      <c r="B1063">
        <v>105</v>
      </c>
      <c r="C1063" s="452">
        <v>46082</v>
      </c>
      <c r="D1063" t="s">
        <v>557</v>
      </c>
      <c r="E1063">
        <v>19955</v>
      </c>
      <c r="F1063" t="s">
        <v>4985</v>
      </c>
      <c r="G1063">
        <v>1</v>
      </c>
      <c r="H1063" t="s">
        <v>4736</v>
      </c>
      <c r="I1063" t="s">
        <v>461</v>
      </c>
    </row>
    <row r="1064" spans="1:9" x14ac:dyDescent="0.3">
      <c r="A1064">
        <v>73989</v>
      </c>
      <c r="B1064">
        <v>105</v>
      </c>
      <c r="C1064" s="452">
        <v>46082</v>
      </c>
      <c r="D1064" t="s">
        <v>557</v>
      </c>
      <c r="E1064">
        <v>19964</v>
      </c>
      <c r="F1064" t="s">
        <v>4817</v>
      </c>
      <c r="G1064">
        <v>11</v>
      </c>
      <c r="H1064" t="s">
        <v>4736</v>
      </c>
      <c r="I1064" t="s">
        <v>461</v>
      </c>
    </row>
    <row r="1065" spans="1:9" x14ac:dyDescent="0.3">
      <c r="A1065">
        <v>73990</v>
      </c>
      <c r="B1065">
        <v>105</v>
      </c>
      <c r="C1065" s="452">
        <v>46082</v>
      </c>
      <c r="D1065" t="s">
        <v>557</v>
      </c>
      <c r="E1065">
        <v>19967</v>
      </c>
      <c r="F1065" t="s">
        <v>4956</v>
      </c>
      <c r="G1065">
        <v>1</v>
      </c>
      <c r="H1065" t="s">
        <v>4888</v>
      </c>
      <c r="I1065" t="s">
        <v>461</v>
      </c>
    </row>
    <row r="1066" spans="1:9" x14ac:dyDescent="0.3">
      <c r="A1066">
        <v>73991</v>
      </c>
      <c r="B1066">
        <v>105</v>
      </c>
      <c r="C1066" s="452">
        <v>46082</v>
      </c>
      <c r="D1066" t="s">
        <v>557</v>
      </c>
      <c r="E1066">
        <v>19969</v>
      </c>
      <c r="F1066" t="s">
        <v>5018</v>
      </c>
      <c r="G1066">
        <v>1</v>
      </c>
      <c r="H1066" t="s">
        <v>4888</v>
      </c>
      <c r="I1066" t="s">
        <v>461</v>
      </c>
    </row>
    <row r="1067" spans="1:9" x14ac:dyDescent="0.3">
      <c r="A1067">
        <v>73992</v>
      </c>
      <c r="B1067">
        <v>105</v>
      </c>
      <c r="C1067" s="452">
        <v>46082</v>
      </c>
      <c r="D1067" t="s">
        <v>557</v>
      </c>
      <c r="E1067">
        <v>19978</v>
      </c>
      <c r="F1067" t="s">
        <v>4887</v>
      </c>
      <c r="G1067">
        <v>2</v>
      </c>
      <c r="H1067" t="s">
        <v>4888</v>
      </c>
      <c r="I1067" t="s">
        <v>461</v>
      </c>
    </row>
    <row r="1068" spans="1:9" x14ac:dyDescent="0.3">
      <c r="A1068">
        <v>73993</v>
      </c>
      <c r="B1068">
        <v>105</v>
      </c>
      <c r="C1068" s="452">
        <v>46082</v>
      </c>
      <c r="D1068" t="s">
        <v>557</v>
      </c>
      <c r="E1068">
        <v>19983</v>
      </c>
      <c r="F1068" t="s">
        <v>5068</v>
      </c>
      <c r="G1068">
        <v>1</v>
      </c>
      <c r="H1068" t="s">
        <v>4888</v>
      </c>
      <c r="I1068" t="s">
        <v>461</v>
      </c>
    </row>
    <row r="1069" spans="1:9" x14ac:dyDescent="0.3">
      <c r="A1069">
        <v>73994</v>
      </c>
      <c r="B1069">
        <v>105</v>
      </c>
      <c r="C1069" s="452">
        <v>46082</v>
      </c>
      <c r="D1069" t="s">
        <v>557</v>
      </c>
      <c r="E1069">
        <v>20007</v>
      </c>
      <c r="F1069" t="s">
        <v>5101</v>
      </c>
      <c r="G1069">
        <v>2</v>
      </c>
      <c r="H1069" t="s">
        <v>4884</v>
      </c>
      <c r="I1069" t="s">
        <v>461</v>
      </c>
    </row>
    <row r="1070" spans="1:9" x14ac:dyDescent="0.3">
      <c r="A1070">
        <v>73995</v>
      </c>
      <c r="B1070">
        <v>105</v>
      </c>
      <c r="C1070" s="452">
        <v>46082</v>
      </c>
      <c r="D1070" t="s">
        <v>557</v>
      </c>
      <c r="E1070">
        <v>20025</v>
      </c>
      <c r="F1070" t="s">
        <v>5010</v>
      </c>
      <c r="G1070">
        <v>1</v>
      </c>
      <c r="H1070" t="s">
        <v>4736</v>
      </c>
      <c r="I1070" t="s">
        <v>461</v>
      </c>
    </row>
    <row r="1071" spans="1:9" x14ac:dyDescent="0.3">
      <c r="A1071">
        <v>73996</v>
      </c>
      <c r="B1071">
        <v>105</v>
      </c>
      <c r="C1071" s="452">
        <v>46082</v>
      </c>
      <c r="D1071" t="s">
        <v>557</v>
      </c>
      <c r="E1071">
        <v>20030</v>
      </c>
      <c r="F1071" t="s">
        <v>5125</v>
      </c>
      <c r="G1071">
        <v>0.5</v>
      </c>
      <c r="H1071" t="s">
        <v>4736</v>
      </c>
      <c r="I1071" t="s">
        <v>461</v>
      </c>
    </row>
    <row r="1072" spans="1:9" x14ac:dyDescent="0.3">
      <c r="A1072">
        <v>73997</v>
      </c>
      <c r="B1072">
        <v>105</v>
      </c>
      <c r="C1072" s="452">
        <v>46082</v>
      </c>
      <c r="D1072" t="s">
        <v>557</v>
      </c>
      <c r="E1072">
        <v>20054</v>
      </c>
      <c r="F1072" t="s">
        <v>4856</v>
      </c>
      <c r="G1072">
        <v>14</v>
      </c>
      <c r="H1072" t="s">
        <v>4736</v>
      </c>
      <c r="I1072" t="s">
        <v>461</v>
      </c>
    </row>
    <row r="1073" spans="1:9" x14ac:dyDescent="0.3">
      <c r="A1073">
        <v>73998</v>
      </c>
      <c r="B1073">
        <v>105</v>
      </c>
      <c r="C1073" s="452">
        <v>46082</v>
      </c>
      <c r="D1073" t="s">
        <v>557</v>
      </c>
      <c r="E1073">
        <v>20057</v>
      </c>
      <c r="F1073" t="s">
        <v>4949</v>
      </c>
      <c r="G1073">
        <v>4.0999999999999996</v>
      </c>
      <c r="H1073" t="s">
        <v>4736</v>
      </c>
      <c r="I1073" t="s">
        <v>461</v>
      </c>
    </row>
    <row r="1074" spans="1:9" x14ac:dyDescent="0.3">
      <c r="A1074">
        <v>73999</v>
      </c>
      <c r="B1074">
        <v>105</v>
      </c>
      <c r="C1074" s="452">
        <v>46082</v>
      </c>
      <c r="D1074" t="s">
        <v>557</v>
      </c>
      <c r="E1074">
        <v>20105</v>
      </c>
      <c r="F1074" t="s">
        <v>4831</v>
      </c>
      <c r="G1074">
        <v>6</v>
      </c>
      <c r="H1074" t="s">
        <v>4744</v>
      </c>
      <c r="I1074" t="s">
        <v>461</v>
      </c>
    </row>
    <row r="1075" spans="1:9" x14ac:dyDescent="0.3">
      <c r="A1075">
        <v>74000</v>
      </c>
      <c r="B1075">
        <v>105</v>
      </c>
      <c r="C1075" s="452">
        <v>46082</v>
      </c>
      <c r="D1075" t="s">
        <v>557</v>
      </c>
      <c r="E1075">
        <v>20122</v>
      </c>
      <c r="F1075" t="s">
        <v>4781</v>
      </c>
      <c r="G1075">
        <v>4</v>
      </c>
      <c r="H1075" t="s">
        <v>4738</v>
      </c>
      <c r="I1075" t="s">
        <v>461</v>
      </c>
    </row>
    <row r="1076" spans="1:9" x14ac:dyDescent="0.3">
      <c r="A1076">
        <v>74001</v>
      </c>
      <c r="B1076">
        <v>105</v>
      </c>
      <c r="C1076" s="452">
        <v>46082</v>
      </c>
      <c r="D1076" t="s">
        <v>557</v>
      </c>
      <c r="E1076">
        <v>20138</v>
      </c>
      <c r="F1076" t="s">
        <v>4886</v>
      </c>
      <c r="G1076">
        <v>2</v>
      </c>
      <c r="H1076" t="s">
        <v>4738</v>
      </c>
      <c r="I1076" t="s">
        <v>461</v>
      </c>
    </row>
    <row r="1077" spans="1:9" x14ac:dyDescent="0.3">
      <c r="A1077">
        <v>74002</v>
      </c>
      <c r="B1077">
        <v>105</v>
      </c>
      <c r="C1077" s="452">
        <v>46082</v>
      </c>
      <c r="D1077" t="s">
        <v>557</v>
      </c>
      <c r="E1077">
        <v>20227</v>
      </c>
      <c r="F1077" t="s">
        <v>4825</v>
      </c>
      <c r="G1077">
        <v>2</v>
      </c>
      <c r="H1077" t="s">
        <v>4738</v>
      </c>
      <c r="I1077" t="s">
        <v>461</v>
      </c>
    </row>
    <row r="1078" spans="1:9" x14ac:dyDescent="0.3">
      <c r="A1078">
        <v>74003</v>
      </c>
      <c r="B1078">
        <v>105</v>
      </c>
      <c r="C1078" s="452">
        <v>46082</v>
      </c>
      <c r="D1078" t="s">
        <v>557</v>
      </c>
      <c r="E1078">
        <v>20234</v>
      </c>
      <c r="F1078" t="s">
        <v>5009</v>
      </c>
      <c r="G1078">
        <v>1</v>
      </c>
      <c r="H1078" t="s">
        <v>4744</v>
      </c>
      <c r="I1078" t="s">
        <v>461</v>
      </c>
    </row>
    <row r="1079" spans="1:9" x14ac:dyDescent="0.3">
      <c r="A1079">
        <v>74004</v>
      </c>
      <c r="B1079">
        <v>105</v>
      </c>
      <c r="C1079" s="452">
        <v>46082</v>
      </c>
      <c r="D1079" t="s">
        <v>557</v>
      </c>
      <c r="E1079">
        <v>20242</v>
      </c>
      <c r="F1079" t="s">
        <v>4824</v>
      </c>
      <c r="G1079">
        <v>1</v>
      </c>
      <c r="H1079" t="s">
        <v>4738</v>
      </c>
      <c r="I1079" t="s">
        <v>461</v>
      </c>
    </row>
    <row r="1080" spans="1:9" x14ac:dyDescent="0.3">
      <c r="A1080">
        <v>74005</v>
      </c>
      <c r="B1080">
        <v>105</v>
      </c>
      <c r="C1080" s="452">
        <v>46082</v>
      </c>
      <c r="D1080" t="s">
        <v>557</v>
      </c>
      <c r="E1080">
        <v>20295</v>
      </c>
      <c r="F1080" t="s">
        <v>4881</v>
      </c>
      <c r="G1080">
        <v>2</v>
      </c>
      <c r="H1080" t="s">
        <v>4736</v>
      </c>
      <c r="I1080" t="s">
        <v>461</v>
      </c>
    </row>
    <row r="1081" spans="1:9" x14ac:dyDescent="0.3">
      <c r="A1081">
        <v>74006</v>
      </c>
      <c r="B1081">
        <v>105</v>
      </c>
      <c r="C1081" s="452">
        <v>46082</v>
      </c>
      <c r="D1081" t="s">
        <v>557</v>
      </c>
      <c r="E1081">
        <v>20301</v>
      </c>
      <c r="F1081" t="s">
        <v>4944</v>
      </c>
      <c r="G1081">
        <v>7</v>
      </c>
      <c r="H1081" t="s">
        <v>4738</v>
      </c>
      <c r="I1081" t="s">
        <v>461</v>
      </c>
    </row>
    <row r="1082" spans="1:9" x14ac:dyDescent="0.3">
      <c r="A1082">
        <v>74007</v>
      </c>
      <c r="B1082">
        <v>105</v>
      </c>
      <c r="C1082" s="452">
        <v>46082</v>
      </c>
      <c r="D1082" t="s">
        <v>557</v>
      </c>
      <c r="E1082">
        <v>20308</v>
      </c>
      <c r="F1082" t="s">
        <v>4909</v>
      </c>
      <c r="G1082">
        <v>3</v>
      </c>
      <c r="H1082" t="s">
        <v>4738</v>
      </c>
      <c r="I1082" t="s">
        <v>461</v>
      </c>
    </row>
    <row r="1083" spans="1:9" x14ac:dyDescent="0.3">
      <c r="A1083">
        <v>74008</v>
      </c>
      <c r="B1083">
        <v>105</v>
      </c>
      <c r="C1083" s="452">
        <v>46082</v>
      </c>
      <c r="D1083" t="s">
        <v>557</v>
      </c>
      <c r="E1083">
        <v>20322</v>
      </c>
      <c r="F1083" t="s">
        <v>4882</v>
      </c>
      <c r="G1083">
        <v>5</v>
      </c>
      <c r="H1083" t="s">
        <v>4738</v>
      </c>
      <c r="I1083" t="s">
        <v>461</v>
      </c>
    </row>
    <row r="1084" spans="1:9" x14ac:dyDescent="0.3">
      <c r="A1084">
        <v>74009</v>
      </c>
      <c r="B1084">
        <v>105</v>
      </c>
      <c r="C1084" s="452">
        <v>46082</v>
      </c>
      <c r="D1084" t="s">
        <v>557</v>
      </c>
      <c r="E1084">
        <v>20358</v>
      </c>
      <c r="F1084" t="s">
        <v>4911</v>
      </c>
      <c r="G1084">
        <v>5</v>
      </c>
      <c r="H1084" t="s">
        <v>4738</v>
      </c>
      <c r="I1084" t="s">
        <v>461</v>
      </c>
    </row>
    <row r="1085" spans="1:9" x14ac:dyDescent="0.3">
      <c r="A1085">
        <v>74010</v>
      </c>
      <c r="B1085">
        <v>105</v>
      </c>
      <c r="C1085" s="452">
        <v>46082</v>
      </c>
      <c r="D1085" t="s">
        <v>557</v>
      </c>
      <c r="E1085">
        <v>20365</v>
      </c>
      <c r="F1085" t="s">
        <v>4796</v>
      </c>
      <c r="G1085">
        <v>9.65</v>
      </c>
      <c r="H1085" t="s">
        <v>4736</v>
      </c>
      <c r="I1085" t="s">
        <v>461</v>
      </c>
    </row>
    <row r="1086" spans="1:9" x14ac:dyDescent="0.3">
      <c r="A1086">
        <v>74011</v>
      </c>
      <c r="B1086">
        <v>105</v>
      </c>
      <c r="C1086" s="452">
        <v>46082</v>
      </c>
      <c r="D1086" t="s">
        <v>557</v>
      </c>
      <c r="E1086">
        <v>20382</v>
      </c>
      <c r="F1086" t="s">
        <v>4780</v>
      </c>
      <c r="G1086">
        <v>10</v>
      </c>
      <c r="H1086" t="s">
        <v>4738</v>
      </c>
      <c r="I1086" t="s">
        <v>461</v>
      </c>
    </row>
    <row r="1087" spans="1:9" x14ac:dyDescent="0.3">
      <c r="A1087">
        <v>74012</v>
      </c>
      <c r="B1087">
        <v>105</v>
      </c>
      <c r="C1087" s="452">
        <v>46082</v>
      </c>
      <c r="D1087" t="s">
        <v>557</v>
      </c>
      <c r="E1087">
        <v>20501</v>
      </c>
      <c r="F1087" t="s">
        <v>4760</v>
      </c>
      <c r="G1087">
        <v>31.1</v>
      </c>
      <c r="H1087" t="s">
        <v>4744</v>
      </c>
      <c r="I1087" t="s">
        <v>461</v>
      </c>
    </row>
    <row r="1088" spans="1:9" x14ac:dyDescent="0.3">
      <c r="A1088">
        <v>74013</v>
      </c>
      <c r="B1088">
        <v>105</v>
      </c>
      <c r="C1088" s="452">
        <v>46082</v>
      </c>
      <c r="D1088" t="s">
        <v>557</v>
      </c>
      <c r="E1088">
        <v>20521</v>
      </c>
      <c r="F1088" t="s">
        <v>4797</v>
      </c>
      <c r="G1088">
        <v>12.9</v>
      </c>
      <c r="H1088" t="s">
        <v>4744</v>
      </c>
      <c r="I1088" t="s">
        <v>461</v>
      </c>
    </row>
    <row r="1089" spans="1:9" x14ac:dyDescent="0.3">
      <c r="A1089">
        <v>74014</v>
      </c>
      <c r="B1089">
        <v>105</v>
      </c>
      <c r="C1089" s="452">
        <v>46082</v>
      </c>
      <c r="D1089" t="s">
        <v>557</v>
      </c>
      <c r="E1089">
        <v>20549</v>
      </c>
      <c r="F1089" t="s">
        <v>4823</v>
      </c>
      <c r="G1089">
        <v>16.899999999999999</v>
      </c>
      <c r="H1089" t="s">
        <v>4744</v>
      </c>
      <c r="I1089" t="s">
        <v>461</v>
      </c>
    </row>
    <row r="1090" spans="1:9" x14ac:dyDescent="0.3">
      <c r="A1090">
        <v>74015</v>
      </c>
      <c r="B1090">
        <v>105</v>
      </c>
      <c r="C1090" s="452">
        <v>46082</v>
      </c>
      <c r="D1090" t="s">
        <v>557</v>
      </c>
      <c r="E1090">
        <v>20585</v>
      </c>
      <c r="F1090" t="s">
        <v>5025</v>
      </c>
      <c r="G1090">
        <v>2</v>
      </c>
      <c r="H1090" t="s">
        <v>4736</v>
      </c>
      <c r="I1090" t="s">
        <v>461</v>
      </c>
    </row>
    <row r="1091" spans="1:9" x14ac:dyDescent="0.3">
      <c r="A1091">
        <v>74016</v>
      </c>
      <c r="B1091">
        <v>105</v>
      </c>
      <c r="C1091" s="452">
        <v>46082</v>
      </c>
      <c r="D1091" t="s">
        <v>557</v>
      </c>
      <c r="E1091">
        <v>20614</v>
      </c>
      <c r="F1091" t="s">
        <v>4958</v>
      </c>
      <c r="G1091">
        <v>1</v>
      </c>
      <c r="H1091" t="s">
        <v>4736</v>
      </c>
      <c r="I1091" t="s">
        <v>461</v>
      </c>
    </row>
    <row r="1092" spans="1:9" x14ac:dyDescent="0.3">
      <c r="A1092">
        <v>74017</v>
      </c>
      <c r="B1092">
        <v>105</v>
      </c>
      <c r="C1092" s="452">
        <v>46082</v>
      </c>
      <c r="D1092" t="s">
        <v>557</v>
      </c>
      <c r="E1092">
        <v>20623</v>
      </c>
      <c r="F1092" t="s">
        <v>4814</v>
      </c>
      <c r="G1092">
        <v>5.65</v>
      </c>
      <c r="H1092" t="s">
        <v>4736</v>
      </c>
      <c r="I1092" t="s">
        <v>461</v>
      </c>
    </row>
    <row r="1093" spans="1:9" x14ac:dyDescent="0.3">
      <c r="A1093">
        <v>74018</v>
      </c>
      <c r="B1093">
        <v>105</v>
      </c>
      <c r="C1093" s="452">
        <v>46082</v>
      </c>
      <c r="D1093" t="s">
        <v>557</v>
      </c>
      <c r="E1093">
        <v>20624</v>
      </c>
      <c r="F1093" t="s">
        <v>5019</v>
      </c>
      <c r="G1093">
        <v>1</v>
      </c>
      <c r="H1093" t="s">
        <v>4884</v>
      </c>
      <c r="I1093" t="s">
        <v>461</v>
      </c>
    </row>
    <row r="1094" spans="1:9" x14ac:dyDescent="0.3">
      <c r="A1094">
        <v>74019</v>
      </c>
      <c r="B1094">
        <v>105</v>
      </c>
      <c r="C1094" s="452">
        <v>46082</v>
      </c>
      <c r="D1094" t="s">
        <v>557</v>
      </c>
      <c r="E1094">
        <v>20653</v>
      </c>
      <c r="F1094" t="s">
        <v>5013</v>
      </c>
      <c r="G1094">
        <v>2</v>
      </c>
      <c r="H1094" t="s">
        <v>4736</v>
      </c>
      <c r="I1094" t="s">
        <v>461</v>
      </c>
    </row>
    <row r="1095" spans="1:9" x14ac:dyDescent="0.3">
      <c r="A1095">
        <v>74020</v>
      </c>
      <c r="B1095">
        <v>105</v>
      </c>
      <c r="C1095" s="452">
        <v>46082</v>
      </c>
      <c r="D1095" t="s">
        <v>557</v>
      </c>
      <c r="E1095">
        <v>20657</v>
      </c>
      <c r="F1095" t="s">
        <v>5109</v>
      </c>
      <c r="G1095">
        <v>4</v>
      </c>
      <c r="H1095" t="s">
        <v>4736</v>
      </c>
      <c r="I1095" t="s">
        <v>461</v>
      </c>
    </row>
    <row r="1096" spans="1:9" x14ac:dyDescent="0.3">
      <c r="A1096">
        <v>74021</v>
      </c>
      <c r="B1096">
        <v>105</v>
      </c>
      <c r="C1096" s="452">
        <v>46082</v>
      </c>
      <c r="D1096" t="s">
        <v>557</v>
      </c>
      <c r="E1096">
        <v>20661</v>
      </c>
      <c r="F1096" t="s">
        <v>5012</v>
      </c>
      <c r="G1096">
        <v>4</v>
      </c>
      <c r="H1096" t="s">
        <v>4736</v>
      </c>
      <c r="I1096" t="s">
        <v>461</v>
      </c>
    </row>
    <row r="1097" spans="1:9" x14ac:dyDescent="0.3">
      <c r="A1097">
        <v>74022</v>
      </c>
      <c r="B1097">
        <v>105</v>
      </c>
      <c r="C1097" s="452">
        <v>46082</v>
      </c>
      <c r="D1097" t="s">
        <v>557</v>
      </c>
      <c r="E1097">
        <v>20673</v>
      </c>
      <c r="F1097" t="s">
        <v>5132</v>
      </c>
      <c r="G1097">
        <v>2</v>
      </c>
      <c r="H1097" t="s">
        <v>4955</v>
      </c>
      <c r="I1097" t="s">
        <v>461</v>
      </c>
    </row>
    <row r="1098" spans="1:9" x14ac:dyDescent="0.3">
      <c r="A1098">
        <v>74023</v>
      </c>
      <c r="B1098">
        <v>105</v>
      </c>
      <c r="C1098" s="452">
        <v>46082</v>
      </c>
      <c r="D1098" t="s">
        <v>557</v>
      </c>
      <c r="E1098">
        <v>20689</v>
      </c>
      <c r="F1098" t="s">
        <v>5007</v>
      </c>
      <c r="G1098">
        <v>3</v>
      </c>
      <c r="H1098" t="s">
        <v>4736</v>
      </c>
      <c r="I1098" t="s">
        <v>461</v>
      </c>
    </row>
    <row r="1099" spans="1:9" x14ac:dyDescent="0.3">
      <c r="A1099">
        <v>74024</v>
      </c>
      <c r="B1099">
        <v>105</v>
      </c>
      <c r="C1099" s="452">
        <v>46082</v>
      </c>
      <c r="D1099" t="s">
        <v>557</v>
      </c>
      <c r="E1099">
        <v>20751</v>
      </c>
      <c r="F1099" t="s">
        <v>5004</v>
      </c>
      <c r="G1099">
        <v>1</v>
      </c>
      <c r="H1099" t="s">
        <v>4884</v>
      </c>
      <c r="I1099" t="s">
        <v>461</v>
      </c>
    </row>
    <row r="1100" spans="1:9" x14ac:dyDescent="0.3">
      <c r="A1100">
        <v>74025</v>
      </c>
      <c r="B1100">
        <v>105</v>
      </c>
      <c r="C1100" s="452">
        <v>46082</v>
      </c>
      <c r="D1100" t="s">
        <v>557</v>
      </c>
      <c r="E1100">
        <v>20756</v>
      </c>
      <c r="F1100" t="s">
        <v>5001</v>
      </c>
      <c r="G1100">
        <v>1</v>
      </c>
      <c r="H1100" t="s">
        <v>4736</v>
      </c>
      <c r="I1100" t="s">
        <v>461</v>
      </c>
    </row>
    <row r="1101" spans="1:9" x14ac:dyDescent="0.3">
      <c r="A1101">
        <v>74026</v>
      </c>
      <c r="B1101">
        <v>105</v>
      </c>
      <c r="C1101" s="452">
        <v>46082</v>
      </c>
      <c r="D1101" t="s">
        <v>557</v>
      </c>
      <c r="E1101">
        <v>20791</v>
      </c>
      <c r="F1101" t="s">
        <v>5021</v>
      </c>
      <c r="G1101">
        <v>2</v>
      </c>
      <c r="H1101" t="s">
        <v>4738</v>
      </c>
      <c r="I1101" t="s">
        <v>461</v>
      </c>
    </row>
    <row r="1102" spans="1:9" x14ac:dyDescent="0.3">
      <c r="A1102">
        <v>74027</v>
      </c>
      <c r="B1102">
        <v>105</v>
      </c>
      <c r="C1102" s="452">
        <v>46082</v>
      </c>
      <c r="D1102" t="s">
        <v>557</v>
      </c>
      <c r="E1102">
        <v>20792</v>
      </c>
      <c r="F1102" t="s">
        <v>5022</v>
      </c>
      <c r="G1102">
        <v>2</v>
      </c>
      <c r="H1102" t="s">
        <v>4738</v>
      </c>
      <c r="I1102" t="s">
        <v>461</v>
      </c>
    </row>
    <row r="1103" spans="1:9" x14ac:dyDescent="0.3">
      <c r="A1103">
        <v>74028</v>
      </c>
      <c r="B1103">
        <v>105</v>
      </c>
      <c r="C1103" s="452">
        <v>46082</v>
      </c>
      <c r="D1103" t="s">
        <v>557</v>
      </c>
      <c r="E1103">
        <v>20795</v>
      </c>
      <c r="F1103" t="s">
        <v>5024</v>
      </c>
      <c r="G1103">
        <v>3</v>
      </c>
      <c r="H1103" t="s">
        <v>4738</v>
      </c>
      <c r="I1103" t="s">
        <v>461</v>
      </c>
    </row>
    <row r="1104" spans="1:9" x14ac:dyDescent="0.3">
      <c r="A1104">
        <v>74029</v>
      </c>
      <c r="B1104">
        <v>105</v>
      </c>
      <c r="C1104" s="452">
        <v>46082</v>
      </c>
      <c r="D1104" t="s">
        <v>557</v>
      </c>
      <c r="E1104">
        <v>20809</v>
      </c>
      <c r="F1104" t="s">
        <v>4822</v>
      </c>
      <c r="G1104">
        <v>13</v>
      </c>
      <c r="H1104" t="s">
        <v>4738</v>
      </c>
      <c r="I1104" t="s">
        <v>461</v>
      </c>
    </row>
    <row r="1105" spans="1:9" x14ac:dyDescent="0.3">
      <c r="A1105">
        <v>74030</v>
      </c>
      <c r="B1105">
        <v>105</v>
      </c>
      <c r="C1105" s="452">
        <v>46082</v>
      </c>
      <c r="D1105" t="s">
        <v>557</v>
      </c>
      <c r="E1105">
        <v>20871</v>
      </c>
      <c r="F1105" t="s">
        <v>5015</v>
      </c>
      <c r="G1105">
        <v>1</v>
      </c>
      <c r="H1105" t="s">
        <v>4879</v>
      </c>
      <c r="I1105" t="s">
        <v>461</v>
      </c>
    </row>
    <row r="1106" spans="1:9" x14ac:dyDescent="0.3">
      <c r="A1106">
        <v>74031</v>
      </c>
      <c r="B1106">
        <v>105</v>
      </c>
      <c r="C1106" s="452">
        <v>46082</v>
      </c>
      <c r="D1106" t="s">
        <v>557</v>
      </c>
      <c r="E1106">
        <v>20887</v>
      </c>
      <c r="F1106" t="s">
        <v>4953</v>
      </c>
      <c r="G1106">
        <v>4</v>
      </c>
      <c r="H1106" t="s">
        <v>4879</v>
      </c>
      <c r="I1106" t="s">
        <v>461</v>
      </c>
    </row>
    <row r="1107" spans="1:9" x14ac:dyDescent="0.3">
      <c r="A1107">
        <v>74032</v>
      </c>
      <c r="B1107">
        <v>105</v>
      </c>
      <c r="C1107" s="452">
        <v>46082</v>
      </c>
      <c r="D1107" t="s">
        <v>557</v>
      </c>
      <c r="E1107">
        <v>20928</v>
      </c>
      <c r="F1107" t="s">
        <v>4950</v>
      </c>
      <c r="G1107">
        <v>2.75</v>
      </c>
      <c r="H1107" t="s">
        <v>4736</v>
      </c>
      <c r="I1107" t="s">
        <v>461</v>
      </c>
    </row>
    <row r="1108" spans="1:9" x14ac:dyDescent="0.3">
      <c r="A1108">
        <v>74033</v>
      </c>
      <c r="B1108">
        <v>105</v>
      </c>
      <c r="C1108" s="452">
        <v>46082</v>
      </c>
      <c r="D1108" t="s">
        <v>557</v>
      </c>
      <c r="E1108">
        <v>20955</v>
      </c>
      <c r="F1108" t="s">
        <v>4959</v>
      </c>
      <c r="G1108">
        <v>2</v>
      </c>
      <c r="H1108" t="s">
        <v>4805</v>
      </c>
      <c r="I1108" t="s">
        <v>461</v>
      </c>
    </row>
    <row r="1109" spans="1:9" x14ac:dyDescent="0.3">
      <c r="A1109">
        <v>74034</v>
      </c>
      <c r="B1109">
        <v>105</v>
      </c>
      <c r="C1109" s="452">
        <v>46082</v>
      </c>
      <c r="D1109" t="s">
        <v>557</v>
      </c>
      <c r="E1109">
        <v>20961</v>
      </c>
      <c r="F1109" t="s">
        <v>5026</v>
      </c>
      <c r="G1109">
        <v>3</v>
      </c>
      <c r="H1109" t="s">
        <v>4736</v>
      </c>
      <c r="I1109" t="s">
        <v>461</v>
      </c>
    </row>
    <row r="1110" spans="1:9" x14ac:dyDescent="0.3">
      <c r="A1110">
        <v>74035</v>
      </c>
      <c r="B1110">
        <v>105</v>
      </c>
      <c r="C1110" s="452">
        <v>46082</v>
      </c>
      <c r="D1110" t="s">
        <v>557</v>
      </c>
      <c r="E1110">
        <v>20984</v>
      </c>
      <c r="F1110" t="s">
        <v>5133</v>
      </c>
      <c r="G1110">
        <v>22</v>
      </c>
      <c r="H1110" t="s">
        <v>4888</v>
      </c>
      <c r="I1110" t="s">
        <v>461</v>
      </c>
    </row>
    <row r="1111" spans="1:9" x14ac:dyDescent="0.3">
      <c r="A1111">
        <v>74036</v>
      </c>
      <c r="B1111">
        <v>105</v>
      </c>
      <c r="C1111" s="452">
        <v>46082</v>
      </c>
      <c r="D1111" t="s">
        <v>557</v>
      </c>
      <c r="E1111">
        <v>21021</v>
      </c>
      <c r="F1111" t="s">
        <v>4883</v>
      </c>
      <c r="G1111">
        <v>4</v>
      </c>
      <c r="H1111" t="s">
        <v>4884</v>
      </c>
      <c r="I1111" t="s">
        <v>461</v>
      </c>
    </row>
    <row r="1112" spans="1:9" x14ac:dyDescent="0.3">
      <c r="A1112">
        <v>74037</v>
      </c>
      <c r="B1112">
        <v>105</v>
      </c>
      <c r="C1112" s="452">
        <v>46082</v>
      </c>
      <c r="D1112" t="s">
        <v>557</v>
      </c>
      <c r="E1112">
        <v>21047</v>
      </c>
      <c r="F1112" t="s">
        <v>4847</v>
      </c>
      <c r="G1112">
        <v>4.2</v>
      </c>
      <c r="H1112" t="s">
        <v>4848</v>
      </c>
      <c r="I1112" t="s">
        <v>461</v>
      </c>
    </row>
    <row r="1113" spans="1:9" x14ac:dyDescent="0.3">
      <c r="A1113">
        <v>74038</v>
      </c>
      <c r="B1113">
        <v>105</v>
      </c>
      <c r="C1113" s="452">
        <v>46082</v>
      </c>
      <c r="D1113" t="s">
        <v>557</v>
      </c>
      <c r="E1113">
        <v>21060</v>
      </c>
      <c r="F1113" t="s">
        <v>4946</v>
      </c>
      <c r="G1113">
        <v>1</v>
      </c>
      <c r="H1113" t="s">
        <v>4736</v>
      </c>
      <c r="I1113" t="s">
        <v>461</v>
      </c>
    </row>
    <row r="1114" spans="1:9" x14ac:dyDescent="0.3">
      <c r="A1114">
        <v>74039</v>
      </c>
      <c r="B1114">
        <v>105</v>
      </c>
      <c r="C1114" s="452">
        <v>46082</v>
      </c>
      <c r="D1114" t="s">
        <v>557</v>
      </c>
      <c r="E1114">
        <v>21085</v>
      </c>
      <c r="F1114" t="s">
        <v>5066</v>
      </c>
      <c r="G1114">
        <v>1</v>
      </c>
      <c r="H1114" t="s">
        <v>4749</v>
      </c>
      <c r="I1114" t="s">
        <v>461</v>
      </c>
    </row>
    <row r="1115" spans="1:9" x14ac:dyDescent="0.3">
      <c r="A1115">
        <v>74040</v>
      </c>
      <c r="B1115">
        <v>105</v>
      </c>
      <c r="C1115" s="452">
        <v>46082</v>
      </c>
      <c r="D1115" t="s">
        <v>557</v>
      </c>
      <c r="E1115">
        <v>21093</v>
      </c>
      <c r="F1115" t="s">
        <v>4855</v>
      </c>
      <c r="G1115">
        <v>27</v>
      </c>
      <c r="H1115" t="s">
        <v>4744</v>
      </c>
      <c r="I1115" t="s">
        <v>461</v>
      </c>
    </row>
    <row r="1116" spans="1:9" x14ac:dyDescent="0.3">
      <c r="A1116">
        <v>74041</v>
      </c>
      <c r="B1116">
        <v>105</v>
      </c>
      <c r="C1116" s="452">
        <v>46082</v>
      </c>
      <c r="D1116" t="s">
        <v>557</v>
      </c>
      <c r="E1116">
        <v>21130</v>
      </c>
      <c r="F1116" t="s">
        <v>4998</v>
      </c>
      <c r="G1116">
        <v>1.76</v>
      </c>
      <c r="H1116" t="s">
        <v>4736</v>
      </c>
      <c r="I1116" t="s">
        <v>461</v>
      </c>
    </row>
    <row r="1117" spans="1:9" x14ac:dyDescent="0.3">
      <c r="A1117">
        <v>74042</v>
      </c>
      <c r="B1117">
        <v>105</v>
      </c>
      <c r="C1117" s="452">
        <v>46082</v>
      </c>
      <c r="D1117" t="s">
        <v>557</v>
      </c>
      <c r="E1117">
        <v>21147</v>
      </c>
      <c r="F1117" t="s">
        <v>4876</v>
      </c>
      <c r="G1117">
        <v>4</v>
      </c>
      <c r="H1117" t="s">
        <v>4736</v>
      </c>
      <c r="I1117" t="s">
        <v>461</v>
      </c>
    </row>
    <row r="1118" spans="1:9" x14ac:dyDescent="0.3">
      <c r="A1118">
        <v>74043</v>
      </c>
      <c r="B1118">
        <v>105</v>
      </c>
      <c r="C1118" s="452">
        <v>46082</v>
      </c>
      <c r="D1118" t="s">
        <v>557</v>
      </c>
      <c r="E1118">
        <v>21150</v>
      </c>
      <c r="F1118" t="s">
        <v>4878</v>
      </c>
      <c r="G1118">
        <v>2</v>
      </c>
      <c r="H1118" t="s">
        <v>4879</v>
      </c>
      <c r="I1118" t="s">
        <v>461</v>
      </c>
    </row>
    <row r="1119" spans="1:9" x14ac:dyDescent="0.3">
      <c r="A1119">
        <v>74044</v>
      </c>
      <c r="B1119">
        <v>105</v>
      </c>
      <c r="C1119" s="452">
        <v>46082</v>
      </c>
      <c r="D1119" t="s">
        <v>557</v>
      </c>
      <c r="E1119">
        <v>21257</v>
      </c>
      <c r="F1119" t="s">
        <v>4952</v>
      </c>
      <c r="G1119">
        <v>0.5</v>
      </c>
      <c r="H1119" t="s">
        <v>4736</v>
      </c>
      <c r="I1119" t="s">
        <v>461</v>
      </c>
    </row>
    <row r="1120" spans="1:9" x14ac:dyDescent="0.3">
      <c r="A1120">
        <v>74045</v>
      </c>
      <c r="B1120">
        <v>105</v>
      </c>
      <c r="C1120" s="452">
        <v>46082</v>
      </c>
      <c r="D1120" t="s">
        <v>557</v>
      </c>
      <c r="E1120">
        <v>22721</v>
      </c>
      <c r="F1120" t="s">
        <v>4803</v>
      </c>
      <c r="G1120">
        <v>7.45</v>
      </c>
      <c r="H1120" t="s">
        <v>4744</v>
      </c>
      <c r="I1120" t="s">
        <v>461</v>
      </c>
    </row>
    <row r="1121" spans="1:9" x14ac:dyDescent="0.3">
      <c r="A1121">
        <v>74046</v>
      </c>
      <c r="B1121">
        <v>105</v>
      </c>
      <c r="C1121" s="452">
        <v>46082</v>
      </c>
      <c r="D1121" t="s">
        <v>557</v>
      </c>
      <c r="E1121">
        <v>22843</v>
      </c>
      <c r="F1121" t="s">
        <v>4849</v>
      </c>
      <c r="G1121">
        <v>3</v>
      </c>
      <c r="H1121" t="s">
        <v>4744</v>
      </c>
      <c r="I1121" t="s">
        <v>461</v>
      </c>
    </row>
    <row r="1122" spans="1:9" x14ac:dyDescent="0.3">
      <c r="A1122">
        <v>74047</v>
      </c>
      <c r="B1122">
        <v>105</v>
      </c>
      <c r="C1122" s="452">
        <v>46082</v>
      </c>
      <c r="D1122" t="s">
        <v>557</v>
      </c>
      <c r="E1122">
        <v>23095</v>
      </c>
      <c r="F1122" t="s">
        <v>4741</v>
      </c>
      <c r="G1122">
        <v>60</v>
      </c>
      <c r="H1122" t="s">
        <v>4736</v>
      </c>
      <c r="I1122" t="s">
        <v>461</v>
      </c>
    </row>
    <row r="1123" spans="1:9" x14ac:dyDescent="0.3">
      <c r="A1123">
        <v>74048</v>
      </c>
      <c r="B1123">
        <v>105</v>
      </c>
      <c r="C1123" s="452">
        <v>46082</v>
      </c>
      <c r="D1123" t="s">
        <v>557</v>
      </c>
      <c r="E1123">
        <v>23108</v>
      </c>
      <c r="F1123" t="s">
        <v>5117</v>
      </c>
      <c r="G1123">
        <v>0.3</v>
      </c>
      <c r="H1123" t="s">
        <v>4744</v>
      </c>
      <c r="I1123" t="s">
        <v>461</v>
      </c>
    </row>
    <row r="1124" spans="1:9" x14ac:dyDescent="0.3">
      <c r="A1124">
        <v>74049</v>
      </c>
      <c r="B1124">
        <v>105</v>
      </c>
      <c r="C1124" s="452">
        <v>46082</v>
      </c>
      <c r="D1124" t="s">
        <v>557</v>
      </c>
      <c r="E1124">
        <v>23124</v>
      </c>
      <c r="F1124" t="s">
        <v>5126</v>
      </c>
      <c r="G1124">
        <v>0.2</v>
      </c>
      <c r="H1124" t="s">
        <v>4744</v>
      </c>
      <c r="I1124" t="s">
        <v>461</v>
      </c>
    </row>
    <row r="1125" spans="1:9" x14ac:dyDescent="0.3">
      <c r="A1125">
        <v>74050</v>
      </c>
      <c r="B1125">
        <v>105</v>
      </c>
      <c r="C1125" s="452">
        <v>46082</v>
      </c>
      <c r="D1125" t="s">
        <v>557</v>
      </c>
      <c r="E1125">
        <v>23184</v>
      </c>
      <c r="F1125" t="s">
        <v>4935</v>
      </c>
      <c r="G1125">
        <v>0.23</v>
      </c>
      <c r="H1125" t="s">
        <v>4744</v>
      </c>
      <c r="I1125" t="s">
        <v>461</v>
      </c>
    </row>
    <row r="1126" spans="1:9" x14ac:dyDescent="0.3">
      <c r="A1126">
        <v>74051</v>
      </c>
      <c r="B1126">
        <v>105</v>
      </c>
      <c r="C1126" s="452">
        <v>46082</v>
      </c>
      <c r="D1126" t="s">
        <v>557</v>
      </c>
      <c r="E1126">
        <v>23195</v>
      </c>
      <c r="F1126" t="s">
        <v>5051</v>
      </c>
      <c r="G1126">
        <v>0.55000000000000004</v>
      </c>
      <c r="H1126" t="s">
        <v>4744</v>
      </c>
      <c r="I1126" t="s">
        <v>461</v>
      </c>
    </row>
    <row r="1127" spans="1:9" x14ac:dyDescent="0.3">
      <c r="A1127">
        <v>74052</v>
      </c>
      <c r="B1127">
        <v>105</v>
      </c>
      <c r="C1127" s="452">
        <v>46082</v>
      </c>
      <c r="D1127" t="s">
        <v>557</v>
      </c>
      <c r="E1127">
        <v>23198</v>
      </c>
      <c r="F1127" t="s">
        <v>4962</v>
      </c>
      <c r="G1127">
        <v>1.1000000000000001</v>
      </c>
      <c r="H1127" t="s">
        <v>4744</v>
      </c>
      <c r="I1127" t="s">
        <v>461</v>
      </c>
    </row>
    <row r="1128" spans="1:9" x14ac:dyDescent="0.3">
      <c r="A1128">
        <v>74053</v>
      </c>
      <c r="B1128">
        <v>105</v>
      </c>
      <c r="C1128" s="452">
        <v>46082</v>
      </c>
      <c r="D1128" t="s">
        <v>557</v>
      </c>
      <c r="E1128">
        <v>23228</v>
      </c>
      <c r="F1128" t="s">
        <v>4782</v>
      </c>
      <c r="G1128">
        <v>3.3</v>
      </c>
      <c r="H1128" t="s">
        <v>4744</v>
      </c>
      <c r="I1128" t="s">
        <v>461</v>
      </c>
    </row>
    <row r="1129" spans="1:9" x14ac:dyDescent="0.3">
      <c r="A1129">
        <v>74054</v>
      </c>
      <c r="B1129">
        <v>105</v>
      </c>
      <c r="C1129" s="452">
        <v>46082</v>
      </c>
      <c r="D1129" t="s">
        <v>557</v>
      </c>
      <c r="E1129">
        <v>23234</v>
      </c>
      <c r="F1129" t="s">
        <v>4986</v>
      </c>
      <c r="G1129">
        <v>1</v>
      </c>
      <c r="H1129" t="s">
        <v>4744</v>
      </c>
      <c r="I1129" t="s">
        <v>461</v>
      </c>
    </row>
    <row r="1130" spans="1:9" x14ac:dyDescent="0.3">
      <c r="A1130">
        <v>74055</v>
      </c>
      <c r="B1130">
        <v>105</v>
      </c>
      <c r="C1130" s="452">
        <v>46082</v>
      </c>
      <c r="D1130" t="s">
        <v>557</v>
      </c>
      <c r="E1130">
        <v>23236</v>
      </c>
      <c r="F1130" t="s">
        <v>5062</v>
      </c>
      <c r="G1130">
        <v>1.05</v>
      </c>
      <c r="H1130" t="s">
        <v>4744</v>
      </c>
      <c r="I1130" t="s">
        <v>461</v>
      </c>
    </row>
    <row r="1131" spans="1:9" x14ac:dyDescent="0.3">
      <c r="A1131">
        <v>74056</v>
      </c>
      <c r="B1131">
        <v>105</v>
      </c>
      <c r="C1131" s="452">
        <v>46082</v>
      </c>
      <c r="D1131" t="s">
        <v>557</v>
      </c>
      <c r="E1131">
        <v>23238</v>
      </c>
      <c r="F1131" t="s">
        <v>4934</v>
      </c>
      <c r="G1131">
        <v>2.8</v>
      </c>
      <c r="H1131" t="s">
        <v>4744</v>
      </c>
      <c r="I1131" t="s">
        <v>461</v>
      </c>
    </row>
    <row r="1132" spans="1:9" x14ac:dyDescent="0.3">
      <c r="A1132">
        <v>74057</v>
      </c>
      <c r="B1132">
        <v>105</v>
      </c>
      <c r="C1132" s="452">
        <v>46082</v>
      </c>
      <c r="D1132" t="s">
        <v>557</v>
      </c>
      <c r="E1132">
        <v>23268</v>
      </c>
      <c r="F1132" t="s">
        <v>4743</v>
      </c>
      <c r="G1132">
        <v>91.23</v>
      </c>
      <c r="H1132" t="s">
        <v>4744</v>
      </c>
      <c r="I1132" t="s">
        <v>461</v>
      </c>
    </row>
    <row r="1133" spans="1:9" x14ac:dyDescent="0.3">
      <c r="A1133">
        <v>74058</v>
      </c>
      <c r="B1133">
        <v>105</v>
      </c>
      <c r="C1133" s="452">
        <v>46082</v>
      </c>
      <c r="D1133" t="s">
        <v>557</v>
      </c>
      <c r="E1133">
        <v>23335</v>
      </c>
      <c r="F1133" t="s">
        <v>4961</v>
      </c>
      <c r="G1133">
        <v>2.5499999999999998</v>
      </c>
      <c r="H1133" t="s">
        <v>4744</v>
      </c>
      <c r="I1133" t="s">
        <v>461</v>
      </c>
    </row>
    <row r="1134" spans="1:9" x14ac:dyDescent="0.3">
      <c r="A1134">
        <v>74059</v>
      </c>
      <c r="B1134">
        <v>105</v>
      </c>
      <c r="C1134" s="452">
        <v>46082</v>
      </c>
      <c r="D1134" t="s">
        <v>557</v>
      </c>
      <c r="E1134">
        <v>23346</v>
      </c>
      <c r="F1134" t="s">
        <v>4916</v>
      </c>
      <c r="G1134">
        <v>2.1</v>
      </c>
      <c r="H1134" t="s">
        <v>4744</v>
      </c>
      <c r="I1134" t="s">
        <v>461</v>
      </c>
    </row>
    <row r="1135" spans="1:9" x14ac:dyDescent="0.3">
      <c r="A1135">
        <v>74060</v>
      </c>
      <c r="B1135">
        <v>105</v>
      </c>
      <c r="C1135" s="452">
        <v>46082</v>
      </c>
      <c r="D1135" t="s">
        <v>557</v>
      </c>
      <c r="E1135">
        <v>23359</v>
      </c>
      <c r="F1135" t="s">
        <v>4767</v>
      </c>
      <c r="G1135">
        <v>22.7</v>
      </c>
      <c r="H1135" t="s">
        <v>4744</v>
      </c>
      <c r="I1135" t="s">
        <v>461</v>
      </c>
    </row>
    <row r="1136" spans="1:9" x14ac:dyDescent="0.3">
      <c r="A1136">
        <v>74061</v>
      </c>
      <c r="B1136">
        <v>105</v>
      </c>
      <c r="C1136" s="452">
        <v>46082</v>
      </c>
      <c r="D1136" t="s">
        <v>557</v>
      </c>
      <c r="E1136">
        <v>23361</v>
      </c>
      <c r="F1136" t="s">
        <v>4754</v>
      </c>
      <c r="G1136">
        <v>54</v>
      </c>
      <c r="H1136" t="s">
        <v>4744</v>
      </c>
      <c r="I1136" t="s">
        <v>461</v>
      </c>
    </row>
    <row r="1137" spans="1:9" x14ac:dyDescent="0.3">
      <c r="A1137">
        <v>74062</v>
      </c>
      <c r="B1137">
        <v>105</v>
      </c>
      <c r="C1137" s="452">
        <v>46082</v>
      </c>
      <c r="D1137" t="s">
        <v>557</v>
      </c>
      <c r="E1137">
        <v>23365</v>
      </c>
      <c r="F1137" t="s">
        <v>5108</v>
      </c>
      <c r="G1137">
        <v>1.25</v>
      </c>
      <c r="H1137" t="s">
        <v>4744</v>
      </c>
      <c r="I1137" t="s">
        <v>461</v>
      </c>
    </row>
    <row r="1138" spans="1:9" x14ac:dyDescent="0.3">
      <c r="A1138">
        <v>74063</v>
      </c>
      <c r="B1138">
        <v>105</v>
      </c>
      <c r="C1138" s="452">
        <v>46082</v>
      </c>
      <c r="D1138" t="s">
        <v>557</v>
      </c>
      <c r="E1138">
        <v>23385</v>
      </c>
      <c r="F1138" t="s">
        <v>4938</v>
      </c>
      <c r="G1138">
        <v>7</v>
      </c>
      <c r="H1138" t="s">
        <v>4744</v>
      </c>
      <c r="I1138" t="s">
        <v>461</v>
      </c>
    </row>
    <row r="1139" spans="1:9" x14ac:dyDescent="0.3">
      <c r="A1139">
        <v>74064</v>
      </c>
      <c r="B1139">
        <v>105</v>
      </c>
      <c r="C1139" s="452">
        <v>46082</v>
      </c>
      <c r="D1139" t="s">
        <v>557</v>
      </c>
      <c r="E1139">
        <v>23389</v>
      </c>
      <c r="F1139" t="s">
        <v>4960</v>
      </c>
      <c r="G1139">
        <v>7.35</v>
      </c>
      <c r="H1139" t="s">
        <v>4744</v>
      </c>
      <c r="I1139" t="s">
        <v>461</v>
      </c>
    </row>
    <row r="1140" spans="1:9" x14ac:dyDescent="0.3">
      <c r="A1140">
        <v>74065</v>
      </c>
      <c r="B1140">
        <v>105</v>
      </c>
      <c r="C1140" s="452">
        <v>46082</v>
      </c>
      <c r="D1140" t="s">
        <v>557</v>
      </c>
      <c r="E1140">
        <v>23494</v>
      </c>
      <c r="F1140" t="s">
        <v>4991</v>
      </c>
      <c r="G1140">
        <v>2.89</v>
      </c>
      <c r="H1140" t="s">
        <v>4744</v>
      </c>
      <c r="I1140" t="s">
        <v>461</v>
      </c>
    </row>
    <row r="1141" spans="1:9" x14ac:dyDescent="0.3">
      <c r="A1141">
        <v>74066</v>
      </c>
      <c r="B1141">
        <v>105</v>
      </c>
      <c r="C1141" s="452">
        <v>46082</v>
      </c>
      <c r="D1141" t="s">
        <v>557</v>
      </c>
      <c r="E1141">
        <v>23502</v>
      </c>
      <c r="F1141" t="s">
        <v>4930</v>
      </c>
      <c r="G1141">
        <v>1.73</v>
      </c>
      <c r="H1141" t="s">
        <v>4736</v>
      </c>
      <c r="I1141" t="s">
        <v>461</v>
      </c>
    </row>
    <row r="1142" spans="1:9" x14ac:dyDescent="0.3">
      <c r="A1142">
        <v>74067</v>
      </c>
      <c r="B1142">
        <v>105</v>
      </c>
      <c r="C1142" s="452">
        <v>46082</v>
      </c>
      <c r="D1142" t="s">
        <v>557</v>
      </c>
      <c r="E1142">
        <v>23503</v>
      </c>
      <c r="F1142" t="s">
        <v>5048</v>
      </c>
      <c r="G1142">
        <v>1.68</v>
      </c>
      <c r="H1142" t="s">
        <v>4744</v>
      </c>
      <c r="I1142" t="s">
        <v>461</v>
      </c>
    </row>
    <row r="1143" spans="1:9" x14ac:dyDescent="0.3">
      <c r="A1143">
        <v>74068</v>
      </c>
      <c r="B1143">
        <v>105</v>
      </c>
      <c r="C1143" s="452">
        <v>46082</v>
      </c>
      <c r="D1143" t="s">
        <v>557</v>
      </c>
      <c r="E1143">
        <v>23515</v>
      </c>
      <c r="F1143" t="s">
        <v>4816</v>
      </c>
      <c r="G1143">
        <v>4</v>
      </c>
      <c r="H1143" t="s">
        <v>4736</v>
      </c>
      <c r="I1143" t="s">
        <v>461</v>
      </c>
    </row>
    <row r="1144" spans="1:9" x14ac:dyDescent="0.3">
      <c r="A1144">
        <v>74069</v>
      </c>
      <c r="B1144">
        <v>105</v>
      </c>
      <c r="C1144" s="452">
        <v>46082</v>
      </c>
      <c r="D1144" t="s">
        <v>557</v>
      </c>
      <c r="E1144">
        <v>23539</v>
      </c>
      <c r="F1144" t="s">
        <v>4995</v>
      </c>
      <c r="G1144">
        <v>2.02</v>
      </c>
      <c r="H1144" t="s">
        <v>4744</v>
      </c>
      <c r="I1144" t="s">
        <v>461</v>
      </c>
    </row>
    <row r="1145" spans="1:9" x14ac:dyDescent="0.3">
      <c r="A1145">
        <v>74070</v>
      </c>
      <c r="B1145">
        <v>105</v>
      </c>
      <c r="C1145" s="452">
        <v>46082</v>
      </c>
      <c r="D1145" t="s">
        <v>557</v>
      </c>
      <c r="E1145">
        <v>23554</v>
      </c>
      <c r="F1145" t="s">
        <v>4931</v>
      </c>
      <c r="G1145">
        <v>1.8</v>
      </c>
      <c r="H1145" t="s">
        <v>4744</v>
      </c>
      <c r="I1145" t="s">
        <v>461</v>
      </c>
    </row>
    <row r="1146" spans="1:9" x14ac:dyDescent="0.3">
      <c r="A1146">
        <v>74071</v>
      </c>
      <c r="B1146">
        <v>105</v>
      </c>
      <c r="C1146" s="452">
        <v>46082</v>
      </c>
      <c r="D1146" t="s">
        <v>557</v>
      </c>
      <c r="E1146">
        <v>23635</v>
      </c>
      <c r="F1146" t="s">
        <v>4837</v>
      </c>
      <c r="G1146">
        <v>2</v>
      </c>
      <c r="H1146" t="s">
        <v>4744</v>
      </c>
      <c r="I1146" t="s">
        <v>461</v>
      </c>
    </row>
    <row r="1147" spans="1:9" x14ac:dyDescent="0.3">
      <c r="A1147">
        <v>74072</v>
      </c>
      <c r="B1147">
        <v>105</v>
      </c>
      <c r="C1147" s="452">
        <v>46082</v>
      </c>
      <c r="D1147" t="s">
        <v>557</v>
      </c>
      <c r="E1147">
        <v>23656</v>
      </c>
      <c r="F1147" t="s">
        <v>4945</v>
      </c>
      <c r="G1147">
        <v>2</v>
      </c>
      <c r="H1147" t="s">
        <v>4744</v>
      </c>
      <c r="I1147" t="s">
        <v>461</v>
      </c>
    </row>
    <row r="1148" spans="1:9" x14ac:dyDescent="0.3">
      <c r="A1148">
        <v>74073</v>
      </c>
      <c r="B1148">
        <v>105</v>
      </c>
      <c r="C1148" s="452">
        <v>46082</v>
      </c>
      <c r="D1148" t="s">
        <v>557</v>
      </c>
      <c r="E1148">
        <v>23785</v>
      </c>
      <c r="F1148" t="s">
        <v>4858</v>
      </c>
      <c r="G1148">
        <v>5</v>
      </c>
      <c r="H1148" t="s">
        <v>4744</v>
      </c>
      <c r="I1148" t="s">
        <v>461</v>
      </c>
    </row>
    <row r="1149" spans="1:9" x14ac:dyDescent="0.3">
      <c r="A1149">
        <v>74074</v>
      </c>
      <c r="B1149">
        <v>105</v>
      </c>
      <c r="C1149" s="452">
        <v>46082</v>
      </c>
      <c r="D1149" t="s">
        <v>557</v>
      </c>
      <c r="E1149">
        <v>23808</v>
      </c>
      <c r="F1149" t="s">
        <v>4982</v>
      </c>
      <c r="G1149">
        <v>3.2</v>
      </c>
      <c r="H1149" t="s">
        <v>4744</v>
      </c>
      <c r="I1149" t="s">
        <v>461</v>
      </c>
    </row>
    <row r="1150" spans="1:9" x14ac:dyDescent="0.3">
      <c r="A1150">
        <v>74075</v>
      </c>
      <c r="B1150">
        <v>105</v>
      </c>
      <c r="C1150" s="452">
        <v>46082</v>
      </c>
      <c r="D1150" t="s">
        <v>557</v>
      </c>
      <c r="E1150">
        <v>23819</v>
      </c>
      <c r="F1150" t="s">
        <v>4947</v>
      </c>
      <c r="G1150">
        <v>5</v>
      </c>
      <c r="H1150" t="s">
        <v>4736</v>
      </c>
      <c r="I1150" t="s">
        <v>461</v>
      </c>
    </row>
    <row r="1151" spans="1:9" x14ac:dyDescent="0.3">
      <c r="A1151">
        <v>74076</v>
      </c>
      <c r="B1151">
        <v>105</v>
      </c>
      <c r="C1151" s="452">
        <v>46082</v>
      </c>
      <c r="D1151" t="s">
        <v>557</v>
      </c>
      <c r="E1151">
        <v>23934</v>
      </c>
      <c r="F1151" t="s">
        <v>4845</v>
      </c>
      <c r="G1151">
        <v>3</v>
      </c>
      <c r="H1151" t="s">
        <v>4744</v>
      </c>
      <c r="I1151" t="s">
        <v>461</v>
      </c>
    </row>
    <row r="1152" spans="1:9" x14ac:dyDescent="0.3">
      <c r="A1152">
        <v>74077</v>
      </c>
      <c r="B1152">
        <v>105</v>
      </c>
      <c r="C1152" s="452">
        <v>46082</v>
      </c>
      <c r="D1152" t="s">
        <v>557</v>
      </c>
      <c r="E1152">
        <v>23980</v>
      </c>
      <c r="F1152" t="s">
        <v>5097</v>
      </c>
      <c r="G1152">
        <v>11.35</v>
      </c>
      <c r="H1152" t="s">
        <v>4744</v>
      </c>
      <c r="I1152" t="s">
        <v>461</v>
      </c>
    </row>
    <row r="1153" spans="1:9" x14ac:dyDescent="0.3">
      <c r="A1153">
        <v>74078</v>
      </c>
      <c r="B1153">
        <v>105</v>
      </c>
      <c r="C1153" s="452">
        <v>46082</v>
      </c>
      <c r="D1153" t="s">
        <v>557</v>
      </c>
      <c r="E1153">
        <v>24081</v>
      </c>
      <c r="F1153" t="s">
        <v>4834</v>
      </c>
      <c r="G1153">
        <v>12.6</v>
      </c>
      <c r="H1153" t="s">
        <v>4744</v>
      </c>
      <c r="I1153" t="s">
        <v>461</v>
      </c>
    </row>
    <row r="1154" spans="1:9" x14ac:dyDescent="0.3">
      <c r="A1154">
        <v>74079</v>
      </c>
      <c r="B1154">
        <v>105</v>
      </c>
      <c r="C1154" s="452">
        <v>46082</v>
      </c>
      <c r="D1154" t="s">
        <v>557</v>
      </c>
      <c r="E1154">
        <v>24096</v>
      </c>
      <c r="F1154" t="s">
        <v>4771</v>
      </c>
      <c r="G1154">
        <v>42</v>
      </c>
      <c r="H1154" t="s">
        <v>4744</v>
      </c>
      <c r="I1154" t="s">
        <v>461</v>
      </c>
    </row>
    <row r="1155" spans="1:9" x14ac:dyDescent="0.3">
      <c r="A1155">
        <v>74080</v>
      </c>
      <c r="B1155">
        <v>105</v>
      </c>
      <c r="C1155" s="452">
        <v>46082</v>
      </c>
      <c r="D1155" t="s">
        <v>557</v>
      </c>
      <c r="E1155">
        <v>24099</v>
      </c>
      <c r="F1155" t="s">
        <v>4933</v>
      </c>
      <c r="G1155">
        <v>1.1000000000000001</v>
      </c>
      <c r="H1155" t="s">
        <v>4744</v>
      </c>
      <c r="I1155" t="s">
        <v>461</v>
      </c>
    </row>
    <row r="1156" spans="1:9" x14ac:dyDescent="0.3">
      <c r="A1156">
        <v>74081</v>
      </c>
      <c r="B1156">
        <v>105</v>
      </c>
      <c r="C1156" s="452">
        <v>46082</v>
      </c>
      <c r="D1156" t="s">
        <v>557</v>
      </c>
      <c r="E1156">
        <v>24116</v>
      </c>
      <c r="F1156" t="s">
        <v>4777</v>
      </c>
      <c r="G1156">
        <v>4.1500000000000004</v>
      </c>
      <c r="H1156" t="s">
        <v>4744</v>
      </c>
      <c r="I1156" t="s">
        <v>461</v>
      </c>
    </row>
    <row r="1157" spans="1:9" x14ac:dyDescent="0.3">
      <c r="A1157">
        <v>74082</v>
      </c>
      <c r="B1157">
        <v>105</v>
      </c>
      <c r="C1157" s="452">
        <v>46082</v>
      </c>
      <c r="D1157" t="s">
        <v>557</v>
      </c>
      <c r="E1157">
        <v>24141</v>
      </c>
      <c r="F1157" t="s">
        <v>5088</v>
      </c>
      <c r="G1157">
        <v>8.33</v>
      </c>
      <c r="H1157" t="s">
        <v>4749</v>
      </c>
      <c r="I1157" t="s">
        <v>461</v>
      </c>
    </row>
    <row r="1158" spans="1:9" x14ac:dyDescent="0.3">
      <c r="A1158">
        <v>74083</v>
      </c>
      <c r="B1158">
        <v>105</v>
      </c>
      <c r="C1158" s="452">
        <v>46082</v>
      </c>
      <c r="D1158" t="s">
        <v>557</v>
      </c>
      <c r="E1158">
        <v>24141</v>
      </c>
      <c r="F1158" t="s">
        <v>5088</v>
      </c>
      <c r="G1158">
        <v>0.5</v>
      </c>
      <c r="H1158" t="s">
        <v>4749</v>
      </c>
      <c r="I1158" t="s">
        <v>461</v>
      </c>
    </row>
    <row r="1159" spans="1:9" x14ac:dyDescent="0.3">
      <c r="A1159">
        <v>74084</v>
      </c>
      <c r="B1159">
        <v>105</v>
      </c>
      <c r="C1159" s="452">
        <v>46082</v>
      </c>
      <c r="D1159" t="s">
        <v>557</v>
      </c>
      <c r="E1159">
        <v>24142</v>
      </c>
      <c r="F1159" t="s">
        <v>5090</v>
      </c>
      <c r="G1159">
        <v>3</v>
      </c>
      <c r="H1159" t="s">
        <v>4749</v>
      </c>
      <c r="I1159" t="s">
        <v>461</v>
      </c>
    </row>
    <row r="1160" spans="1:9" x14ac:dyDescent="0.3">
      <c r="A1160">
        <v>74085</v>
      </c>
      <c r="B1160">
        <v>105</v>
      </c>
      <c r="C1160" s="452">
        <v>46082</v>
      </c>
      <c r="D1160" t="s">
        <v>557</v>
      </c>
      <c r="E1160">
        <v>24191</v>
      </c>
      <c r="F1160" t="s">
        <v>4846</v>
      </c>
      <c r="G1160">
        <v>1.2</v>
      </c>
      <c r="H1160" t="s">
        <v>4744</v>
      </c>
      <c r="I1160" t="s">
        <v>461</v>
      </c>
    </row>
    <row r="1161" spans="1:9" x14ac:dyDescent="0.3">
      <c r="A1161">
        <v>74086</v>
      </c>
      <c r="B1161">
        <v>105</v>
      </c>
      <c r="C1161" s="452">
        <v>46082</v>
      </c>
      <c r="D1161" t="s">
        <v>557</v>
      </c>
      <c r="E1161">
        <v>24199</v>
      </c>
      <c r="F1161" t="s">
        <v>4783</v>
      </c>
      <c r="G1161">
        <v>1.5</v>
      </c>
      <c r="H1161" t="s">
        <v>4744</v>
      </c>
      <c r="I1161" t="s">
        <v>461</v>
      </c>
    </row>
    <row r="1162" spans="1:9" x14ac:dyDescent="0.3">
      <c r="A1162">
        <v>74087</v>
      </c>
      <c r="B1162">
        <v>105</v>
      </c>
      <c r="C1162" s="452">
        <v>46082</v>
      </c>
      <c r="D1162" t="s">
        <v>557</v>
      </c>
      <c r="E1162">
        <v>24200</v>
      </c>
      <c r="F1162" t="s">
        <v>4820</v>
      </c>
      <c r="G1162">
        <v>5.9</v>
      </c>
      <c r="H1162" t="s">
        <v>4744</v>
      </c>
      <c r="I1162" t="s">
        <v>461</v>
      </c>
    </row>
    <row r="1163" spans="1:9" x14ac:dyDescent="0.3">
      <c r="A1163">
        <v>74088</v>
      </c>
      <c r="B1163">
        <v>105</v>
      </c>
      <c r="C1163" s="452">
        <v>46082</v>
      </c>
      <c r="D1163" t="s">
        <v>557</v>
      </c>
      <c r="E1163">
        <v>24217</v>
      </c>
      <c r="F1163" t="s">
        <v>4778</v>
      </c>
      <c r="G1163">
        <v>39.799999999999997</v>
      </c>
      <c r="H1163" t="s">
        <v>4744</v>
      </c>
      <c r="I1163" t="s">
        <v>461</v>
      </c>
    </row>
    <row r="1164" spans="1:9" x14ac:dyDescent="0.3">
      <c r="A1164">
        <v>74089</v>
      </c>
      <c r="B1164">
        <v>105</v>
      </c>
      <c r="C1164" s="452">
        <v>46082</v>
      </c>
      <c r="D1164" t="s">
        <v>557</v>
      </c>
      <c r="E1164">
        <v>24256</v>
      </c>
      <c r="F1164" t="s">
        <v>4773</v>
      </c>
      <c r="G1164">
        <v>17.7</v>
      </c>
      <c r="H1164" t="s">
        <v>4744</v>
      </c>
      <c r="I1164" t="s">
        <v>461</v>
      </c>
    </row>
    <row r="1165" spans="1:9" x14ac:dyDescent="0.3">
      <c r="A1165">
        <v>74090</v>
      </c>
      <c r="B1165">
        <v>105</v>
      </c>
      <c r="C1165" s="452">
        <v>46082</v>
      </c>
      <c r="D1165" t="s">
        <v>557</v>
      </c>
      <c r="E1165">
        <v>24259</v>
      </c>
      <c r="F1165" t="s">
        <v>4875</v>
      </c>
      <c r="G1165">
        <v>4.2</v>
      </c>
      <c r="H1165" t="s">
        <v>4744</v>
      </c>
      <c r="I1165" t="s">
        <v>461</v>
      </c>
    </row>
    <row r="1166" spans="1:9" x14ac:dyDescent="0.3">
      <c r="A1166">
        <v>74091</v>
      </c>
      <c r="B1166">
        <v>105</v>
      </c>
      <c r="C1166" s="452">
        <v>46082</v>
      </c>
      <c r="D1166" t="s">
        <v>557</v>
      </c>
      <c r="E1166">
        <v>24302</v>
      </c>
      <c r="F1166" t="s">
        <v>4813</v>
      </c>
      <c r="G1166">
        <v>7</v>
      </c>
      <c r="H1166" t="s">
        <v>4744</v>
      </c>
      <c r="I1166" t="s">
        <v>461</v>
      </c>
    </row>
    <row r="1167" spans="1:9" x14ac:dyDescent="0.3">
      <c r="A1167">
        <v>74092</v>
      </c>
      <c r="B1167">
        <v>105</v>
      </c>
      <c r="C1167" s="452">
        <v>46082</v>
      </c>
      <c r="D1167" t="s">
        <v>557</v>
      </c>
      <c r="E1167">
        <v>24320</v>
      </c>
      <c r="F1167" t="s">
        <v>4861</v>
      </c>
      <c r="G1167">
        <v>7</v>
      </c>
      <c r="H1167" t="s">
        <v>4744</v>
      </c>
      <c r="I1167" t="s">
        <v>461</v>
      </c>
    </row>
    <row r="1168" spans="1:9" x14ac:dyDescent="0.3">
      <c r="A1168">
        <v>74093</v>
      </c>
      <c r="B1168">
        <v>105</v>
      </c>
      <c r="C1168" s="452">
        <v>46082</v>
      </c>
      <c r="D1168" t="s">
        <v>557</v>
      </c>
      <c r="E1168">
        <v>24322</v>
      </c>
      <c r="F1168" t="s">
        <v>5064</v>
      </c>
      <c r="G1168">
        <v>0.5</v>
      </c>
      <c r="H1168" t="s">
        <v>4744</v>
      </c>
      <c r="I1168" t="s">
        <v>461</v>
      </c>
    </row>
    <row r="1169" spans="1:9" x14ac:dyDescent="0.3">
      <c r="A1169">
        <v>74094</v>
      </c>
      <c r="B1169">
        <v>105</v>
      </c>
      <c r="C1169" s="452">
        <v>46082</v>
      </c>
      <c r="D1169" t="s">
        <v>557</v>
      </c>
      <c r="E1169">
        <v>24323</v>
      </c>
      <c r="F1169" t="s">
        <v>4844</v>
      </c>
      <c r="G1169">
        <v>4.5999999999999996</v>
      </c>
      <c r="H1169" t="s">
        <v>4744</v>
      </c>
      <c r="I1169" t="s">
        <v>461</v>
      </c>
    </row>
    <row r="1170" spans="1:9" x14ac:dyDescent="0.3">
      <c r="A1170">
        <v>74095</v>
      </c>
      <c r="B1170">
        <v>105</v>
      </c>
      <c r="C1170" s="452">
        <v>46082</v>
      </c>
      <c r="D1170" t="s">
        <v>557</v>
      </c>
      <c r="E1170">
        <v>24339</v>
      </c>
      <c r="F1170" t="s">
        <v>4885</v>
      </c>
      <c r="G1170">
        <v>2.65</v>
      </c>
      <c r="H1170" t="s">
        <v>4744</v>
      </c>
      <c r="I1170" t="s">
        <v>461</v>
      </c>
    </row>
    <row r="1171" spans="1:9" x14ac:dyDescent="0.3">
      <c r="A1171">
        <v>74096</v>
      </c>
      <c r="B1171">
        <v>105</v>
      </c>
      <c r="C1171" s="452">
        <v>46082</v>
      </c>
      <c r="D1171" t="s">
        <v>557</v>
      </c>
      <c r="E1171">
        <v>24351</v>
      </c>
      <c r="F1171" t="s">
        <v>5014</v>
      </c>
      <c r="G1171">
        <v>14.5</v>
      </c>
      <c r="H1171" t="s">
        <v>4736</v>
      </c>
      <c r="I1171" t="s">
        <v>461</v>
      </c>
    </row>
    <row r="1172" spans="1:9" x14ac:dyDescent="0.3">
      <c r="A1172">
        <v>74097</v>
      </c>
      <c r="B1172">
        <v>105</v>
      </c>
      <c r="C1172" s="452">
        <v>46082</v>
      </c>
      <c r="D1172" t="s">
        <v>557</v>
      </c>
      <c r="E1172">
        <v>24489</v>
      </c>
      <c r="F1172" t="s">
        <v>5121</v>
      </c>
      <c r="G1172">
        <v>0.3</v>
      </c>
      <c r="H1172" t="s">
        <v>4744</v>
      </c>
      <c r="I1172" t="s">
        <v>461</v>
      </c>
    </row>
    <row r="1173" spans="1:9" x14ac:dyDescent="0.3">
      <c r="A1173">
        <v>74098</v>
      </c>
      <c r="B1173">
        <v>105</v>
      </c>
      <c r="C1173" s="452">
        <v>46082</v>
      </c>
      <c r="D1173" t="s">
        <v>557</v>
      </c>
      <c r="E1173">
        <v>24509</v>
      </c>
      <c r="F1173" t="s">
        <v>4788</v>
      </c>
      <c r="G1173">
        <v>8.4499999999999993</v>
      </c>
      <c r="H1173" t="s">
        <v>4744</v>
      </c>
      <c r="I1173" t="s">
        <v>461</v>
      </c>
    </row>
    <row r="1174" spans="1:9" x14ac:dyDescent="0.3">
      <c r="A1174">
        <v>74099</v>
      </c>
      <c r="B1174">
        <v>105</v>
      </c>
      <c r="C1174" s="452">
        <v>46082</v>
      </c>
      <c r="D1174" t="s">
        <v>557</v>
      </c>
      <c r="E1174">
        <v>24522</v>
      </c>
      <c r="F1174" t="s">
        <v>5072</v>
      </c>
      <c r="G1174">
        <v>3</v>
      </c>
      <c r="H1174" t="s">
        <v>4744</v>
      </c>
      <c r="I1174" t="s">
        <v>461</v>
      </c>
    </row>
    <row r="1175" spans="1:9" x14ac:dyDescent="0.3">
      <c r="A1175">
        <v>74100</v>
      </c>
      <c r="B1175">
        <v>105</v>
      </c>
      <c r="C1175" s="452">
        <v>46082</v>
      </c>
      <c r="D1175" t="s">
        <v>557</v>
      </c>
      <c r="E1175">
        <v>24574</v>
      </c>
      <c r="F1175" t="s">
        <v>5134</v>
      </c>
      <c r="G1175">
        <v>3</v>
      </c>
      <c r="H1175" t="s">
        <v>4736</v>
      </c>
      <c r="I1175" t="s">
        <v>461</v>
      </c>
    </row>
    <row r="1176" spans="1:9" x14ac:dyDescent="0.3">
      <c r="A1176">
        <v>74101</v>
      </c>
      <c r="B1176">
        <v>105</v>
      </c>
      <c r="C1176" s="452">
        <v>46082</v>
      </c>
      <c r="D1176" t="s">
        <v>557</v>
      </c>
      <c r="E1176">
        <v>24614</v>
      </c>
      <c r="F1176" t="s">
        <v>4897</v>
      </c>
      <c r="G1176">
        <v>4</v>
      </c>
      <c r="H1176" t="s">
        <v>4805</v>
      </c>
      <c r="I1176" t="s">
        <v>461</v>
      </c>
    </row>
    <row r="1177" spans="1:9" x14ac:dyDescent="0.3">
      <c r="A1177">
        <v>74102</v>
      </c>
      <c r="B1177">
        <v>105</v>
      </c>
      <c r="C1177" s="452">
        <v>46082</v>
      </c>
      <c r="D1177" t="s">
        <v>557</v>
      </c>
      <c r="E1177">
        <v>24685</v>
      </c>
      <c r="F1177" t="s">
        <v>5055</v>
      </c>
      <c r="G1177">
        <v>1.3</v>
      </c>
      <c r="H1177" t="s">
        <v>4805</v>
      </c>
      <c r="I1177" t="s">
        <v>461</v>
      </c>
    </row>
    <row r="1178" spans="1:9" x14ac:dyDescent="0.3">
      <c r="A1178">
        <v>74103</v>
      </c>
      <c r="B1178">
        <v>105</v>
      </c>
      <c r="C1178" s="452">
        <v>46082</v>
      </c>
      <c r="D1178" t="s">
        <v>557</v>
      </c>
      <c r="E1178">
        <v>24973</v>
      </c>
      <c r="F1178" t="s">
        <v>4819</v>
      </c>
      <c r="G1178">
        <v>1</v>
      </c>
      <c r="H1178" t="s">
        <v>4738</v>
      </c>
      <c r="I1178" t="s">
        <v>461</v>
      </c>
    </row>
    <row r="1179" spans="1:9" x14ac:dyDescent="0.3">
      <c r="A1179">
        <v>74104</v>
      </c>
      <c r="B1179">
        <v>105</v>
      </c>
      <c r="C1179" s="452">
        <v>46082</v>
      </c>
      <c r="D1179" t="s">
        <v>557</v>
      </c>
      <c r="E1179">
        <v>25022</v>
      </c>
      <c r="F1179" t="s">
        <v>4912</v>
      </c>
      <c r="G1179">
        <v>2</v>
      </c>
      <c r="H1179" t="s">
        <v>4738</v>
      </c>
      <c r="I1179" t="s">
        <v>461</v>
      </c>
    </row>
    <row r="1180" spans="1:9" x14ac:dyDescent="0.3">
      <c r="A1180">
        <v>74105</v>
      </c>
      <c r="B1180">
        <v>105</v>
      </c>
      <c r="C1180" s="452">
        <v>46082</v>
      </c>
      <c r="D1180" t="s">
        <v>557</v>
      </c>
      <c r="E1180">
        <v>25050</v>
      </c>
      <c r="F1180" t="s">
        <v>5110</v>
      </c>
      <c r="G1180">
        <v>3.2</v>
      </c>
      <c r="H1180" t="s">
        <v>4744</v>
      </c>
      <c r="I1180" t="s">
        <v>461</v>
      </c>
    </row>
    <row r="1181" spans="1:9" x14ac:dyDescent="0.3">
      <c r="A1181">
        <v>74106</v>
      </c>
      <c r="B1181">
        <v>105</v>
      </c>
      <c r="C1181" s="452">
        <v>46082</v>
      </c>
      <c r="D1181" t="s">
        <v>557</v>
      </c>
      <c r="E1181">
        <v>25055</v>
      </c>
      <c r="F1181" t="s">
        <v>5003</v>
      </c>
      <c r="G1181">
        <v>1</v>
      </c>
      <c r="H1181" t="s">
        <v>4744</v>
      </c>
      <c r="I1181" t="s">
        <v>461</v>
      </c>
    </row>
    <row r="1182" spans="1:9" x14ac:dyDescent="0.3">
      <c r="A1182">
        <v>74107</v>
      </c>
      <c r="B1182">
        <v>105</v>
      </c>
      <c r="C1182" s="452">
        <v>46082</v>
      </c>
      <c r="D1182" t="s">
        <v>557</v>
      </c>
      <c r="E1182">
        <v>25075</v>
      </c>
      <c r="F1182" t="s">
        <v>4790</v>
      </c>
      <c r="G1182">
        <v>7</v>
      </c>
      <c r="H1182" t="s">
        <v>4738</v>
      </c>
      <c r="I1182" t="s">
        <v>461</v>
      </c>
    </row>
    <row r="1183" spans="1:9" x14ac:dyDescent="0.3">
      <c r="A1183">
        <v>74108</v>
      </c>
      <c r="B1183">
        <v>105</v>
      </c>
      <c r="C1183" s="452">
        <v>46082</v>
      </c>
      <c r="D1183" t="s">
        <v>557</v>
      </c>
      <c r="E1183">
        <v>25079</v>
      </c>
      <c r="F1183" t="s">
        <v>5006</v>
      </c>
      <c r="G1183">
        <v>1</v>
      </c>
      <c r="H1183" t="s">
        <v>4738</v>
      </c>
      <c r="I1183" t="s">
        <v>461</v>
      </c>
    </row>
    <row r="1184" spans="1:9" x14ac:dyDescent="0.3">
      <c r="A1184">
        <v>74109</v>
      </c>
      <c r="B1184">
        <v>105</v>
      </c>
      <c r="C1184" s="452">
        <v>46082</v>
      </c>
      <c r="D1184" t="s">
        <v>557</v>
      </c>
      <c r="E1184">
        <v>25167</v>
      </c>
      <c r="F1184" t="s">
        <v>4758</v>
      </c>
      <c r="G1184">
        <v>20.7</v>
      </c>
      <c r="H1184" t="s">
        <v>4744</v>
      </c>
      <c r="I1184" t="s">
        <v>461</v>
      </c>
    </row>
    <row r="1185" spans="1:9" x14ac:dyDescent="0.3">
      <c r="A1185">
        <v>74110</v>
      </c>
      <c r="B1185">
        <v>105</v>
      </c>
      <c r="C1185" s="452">
        <v>46082</v>
      </c>
      <c r="D1185" t="s">
        <v>557</v>
      </c>
      <c r="E1185">
        <v>25205</v>
      </c>
      <c r="F1185" t="s">
        <v>4850</v>
      </c>
      <c r="G1185">
        <v>5.55</v>
      </c>
      <c r="H1185" t="s">
        <v>4744</v>
      </c>
      <c r="I1185" t="s">
        <v>461</v>
      </c>
    </row>
    <row r="1186" spans="1:9" x14ac:dyDescent="0.3">
      <c r="A1186">
        <v>74111</v>
      </c>
      <c r="B1186">
        <v>105</v>
      </c>
      <c r="C1186" s="452">
        <v>46082</v>
      </c>
      <c r="D1186" t="s">
        <v>557</v>
      </c>
      <c r="E1186">
        <v>25358</v>
      </c>
      <c r="F1186" t="s">
        <v>4980</v>
      </c>
      <c r="G1186">
        <v>1</v>
      </c>
      <c r="H1186" t="s">
        <v>4744</v>
      </c>
      <c r="I1186" t="s">
        <v>461</v>
      </c>
    </row>
    <row r="1187" spans="1:9" x14ac:dyDescent="0.3">
      <c r="A1187">
        <v>74112</v>
      </c>
      <c r="B1187">
        <v>105</v>
      </c>
      <c r="C1187" s="452">
        <v>46082</v>
      </c>
      <c r="D1187" t="s">
        <v>557</v>
      </c>
      <c r="E1187">
        <v>25561</v>
      </c>
      <c r="F1187" t="s">
        <v>5095</v>
      </c>
      <c r="G1187">
        <v>0.08</v>
      </c>
      <c r="H1187" t="s">
        <v>4738</v>
      </c>
      <c r="I1187" t="s">
        <v>461</v>
      </c>
    </row>
    <row r="1188" spans="1:9" x14ac:dyDescent="0.3">
      <c r="A1188">
        <v>74113</v>
      </c>
      <c r="B1188">
        <v>105</v>
      </c>
      <c r="C1188" s="452">
        <v>46082</v>
      </c>
      <c r="D1188" t="s">
        <v>557</v>
      </c>
      <c r="E1188">
        <v>25702</v>
      </c>
      <c r="F1188" t="s">
        <v>5135</v>
      </c>
      <c r="G1188">
        <v>3</v>
      </c>
      <c r="H1188" t="s">
        <v>4805</v>
      </c>
      <c r="I1188" t="s">
        <v>461</v>
      </c>
    </row>
    <row r="1189" spans="1:9" x14ac:dyDescent="0.3">
      <c r="A1189">
        <v>74114</v>
      </c>
      <c r="B1189">
        <v>105</v>
      </c>
      <c r="C1189" s="452">
        <v>46082</v>
      </c>
      <c r="D1189" t="s">
        <v>557</v>
      </c>
      <c r="E1189">
        <v>25748</v>
      </c>
      <c r="F1189" t="s">
        <v>4999</v>
      </c>
      <c r="G1189">
        <v>5</v>
      </c>
      <c r="H1189" t="s">
        <v>4749</v>
      </c>
      <c r="I1189" t="s">
        <v>461</v>
      </c>
    </row>
    <row r="1190" spans="1:9" x14ac:dyDescent="0.3">
      <c r="A1190">
        <v>74115</v>
      </c>
      <c r="B1190">
        <v>105</v>
      </c>
      <c r="C1190" s="452">
        <v>46082</v>
      </c>
      <c r="D1190" t="s">
        <v>557</v>
      </c>
      <c r="E1190">
        <v>25755</v>
      </c>
      <c r="F1190" t="s">
        <v>4821</v>
      </c>
      <c r="G1190">
        <v>4</v>
      </c>
      <c r="H1190" t="s">
        <v>4749</v>
      </c>
      <c r="I1190" t="s">
        <v>461</v>
      </c>
    </row>
    <row r="1191" spans="1:9" x14ac:dyDescent="0.3">
      <c r="A1191">
        <v>74116</v>
      </c>
      <c r="B1191">
        <v>105</v>
      </c>
      <c r="C1191" s="452">
        <v>46082</v>
      </c>
      <c r="D1191" t="s">
        <v>557</v>
      </c>
      <c r="E1191">
        <v>25757</v>
      </c>
      <c r="F1191" t="s">
        <v>4763</v>
      </c>
      <c r="G1191">
        <v>10</v>
      </c>
      <c r="H1191" t="s">
        <v>4736</v>
      </c>
      <c r="I1191" t="s">
        <v>461</v>
      </c>
    </row>
    <row r="1192" spans="1:9" x14ac:dyDescent="0.3">
      <c r="A1192">
        <v>74117</v>
      </c>
      <c r="B1192">
        <v>105</v>
      </c>
      <c r="C1192" s="452">
        <v>46082</v>
      </c>
      <c r="D1192" t="s">
        <v>557</v>
      </c>
      <c r="E1192">
        <v>25758</v>
      </c>
      <c r="F1192" t="s">
        <v>4775</v>
      </c>
      <c r="G1192">
        <v>5</v>
      </c>
      <c r="H1192" t="s">
        <v>4736</v>
      </c>
      <c r="I1192" t="s">
        <v>461</v>
      </c>
    </row>
    <row r="1193" spans="1:9" x14ac:dyDescent="0.3">
      <c r="A1193">
        <v>74118</v>
      </c>
      <c r="B1193">
        <v>105</v>
      </c>
      <c r="C1193" s="452">
        <v>46082</v>
      </c>
      <c r="D1193" t="s">
        <v>557</v>
      </c>
      <c r="E1193">
        <v>25759</v>
      </c>
      <c r="F1193" t="s">
        <v>4877</v>
      </c>
      <c r="G1193">
        <v>4</v>
      </c>
      <c r="H1193" t="s">
        <v>4736</v>
      </c>
      <c r="I1193" t="s">
        <v>461</v>
      </c>
    </row>
    <row r="1194" spans="1:9" x14ac:dyDescent="0.3">
      <c r="A1194">
        <v>74119</v>
      </c>
      <c r="B1194">
        <v>105</v>
      </c>
      <c r="C1194" s="452">
        <v>46082</v>
      </c>
      <c r="D1194" t="s">
        <v>557</v>
      </c>
      <c r="E1194">
        <v>25760</v>
      </c>
      <c r="F1194" t="s">
        <v>4787</v>
      </c>
      <c r="G1194">
        <v>8</v>
      </c>
      <c r="H1194" t="s">
        <v>4736</v>
      </c>
      <c r="I1194" t="s">
        <v>461</v>
      </c>
    </row>
    <row r="1195" spans="1:9" x14ac:dyDescent="0.3">
      <c r="A1195">
        <v>74120</v>
      </c>
      <c r="B1195">
        <v>105</v>
      </c>
      <c r="C1195" s="452">
        <v>46082</v>
      </c>
      <c r="D1195" t="s">
        <v>557</v>
      </c>
      <c r="E1195">
        <v>25777</v>
      </c>
      <c r="F1195" t="s">
        <v>4774</v>
      </c>
      <c r="G1195">
        <v>16.899999999999999</v>
      </c>
      <c r="H1195" t="s">
        <v>4744</v>
      </c>
      <c r="I1195" t="s">
        <v>461</v>
      </c>
    </row>
    <row r="1196" spans="1:9" x14ac:dyDescent="0.3">
      <c r="A1196">
        <v>74121</v>
      </c>
      <c r="B1196">
        <v>105</v>
      </c>
      <c r="C1196" s="452">
        <v>46082</v>
      </c>
      <c r="D1196" t="s">
        <v>557</v>
      </c>
      <c r="E1196">
        <v>25807</v>
      </c>
      <c r="F1196" t="s">
        <v>4951</v>
      </c>
      <c r="G1196">
        <v>1</v>
      </c>
      <c r="H1196" t="s">
        <v>4736</v>
      </c>
      <c r="I1196" t="s">
        <v>461</v>
      </c>
    </row>
    <row r="1197" spans="1:9" x14ac:dyDescent="0.3">
      <c r="A1197">
        <v>74122</v>
      </c>
      <c r="B1197">
        <v>105</v>
      </c>
      <c r="C1197" s="452">
        <v>46082</v>
      </c>
      <c r="D1197" t="s">
        <v>557</v>
      </c>
      <c r="E1197">
        <v>26005</v>
      </c>
      <c r="F1197" t="s">
        <v>4907</v>
      </c>
      <c r="G1197">
        <v>7</v>
      </c>
      <c r="H1197" t="s">
        <v>4749</v>
      </c>
      <c r="I1197" t="s">
        <v>461</v>
      </c>
    </row>
    <row r="1198" spans="1:9" x14ac:dyDescent="0.3">
      <c r="A1198">
        <v>74123</v>
      </c>
      <c r="B1198">
        <v>105</v>
      </c>
      <c r="C1198" s="452">
        <v>46082</v>
      </c>
      <c r="D1198" t="s">
        <v>557</v>
      </c>
      <c r="E1198">
        <v>26006</v>
      </c>
      <c r="F1198" t="s">
        <v>4941</v>
      </c>
      <c r="G1198">
        <v>6</v>
      </c>
      <c r="H1198" t="s">
        <v>4749</v>
      </c>
      <c r="I1198" t="s">
        <v>461</v>
      </c>
    </row>
    <row r="1199" spans="1:9" x14ac:dyDescent="0.3">
      <c r="A1199">
        <v>74124</v>
      </c>
      <c r="B1199">
        <v>105</v>
      </c>
      <c r="C1199" s="452">
        <v>46082</v>
      </c>
      <c r="D1199" t="s">
        <v>557</v>
      </c>
      <c r="E1199">
        <v>26014</v>
      </c>
      <c r="F1199" t="s">
        <v>5128</v>
      </c>
      <c r="G1199">
        <v>2</v>
      </c>
      <c r="H1199" t="s">
        <v>4805</v>
      </c>
      <c r="I1199" t="s">
        <v>461</v>
      </c>
    </row>
    <row r="1200" spans="1:9" x14ac:dyDescent="0.3">
      <c r="A1200">
        <v>74125</v>
      </c>
      <c r="B1200">
        <v>105</v>
      </c>
      <c r="C1200" s="452">
        <v>46082</v>
      </c>
      <c r="D1200" t="s">
        <v>557</v>
      </c>
      <c r="E1200">
        <v>26020</v>
      </c>
      <c r="F1200" t="s">
        <v>5102</v>
      </c>
      <c r="G1200">
        <v>1</v>
      </c>
      <c r="H1200" t="s">
        <v>4736</v>
      </c>
      <c r="I1200" t="s">
        <v>461</v>
      </c>
    </row>
    <row r="1201" spans="1:9" x14ac:dyDescent="0.3">
      <c r="A1201">
        <v>74126</v>
      </c>
      <c r="B1201">
        <v>105</v>
      </c>
      <c r="C1201" s="452">
        <v>46082</v>
      </c>
      <c r="D1201" t="s">
        <v>557</v>
      </c>
      <c r="E1201">
        <v>26030</v>
      </c>
      <c r="F1201" t="s">
        <v>5136</v>
      </c>
      <c r="G1201">
        <v>1</v>
      </c>
      <c r="H1201" t="s">
        <v>4805</v>
      </c>
      <c r="I1201" t="s">
        <v>461</v>
      </c>
    </row>
    <row r="1202" spans="1:9" x14ac:dyDescent="0.3">
      <c r="A1202">
        <v>74127</v>
      </c>
      <c r="B1202">
        <v>105</v>
      </c>
      <c r="C1202" s="452">
        <v>46082</v>
      </c>
      <c r="D1202" t="s">
        <v>557</v>
      </c>
      <c r="E1202">
        <v>26036</v>
      </c>
      <c r="F1202" t="s">
        <v>4841</v>
      </c>
      <c r="G1202">
        <v>6</v>
      </c>
      <c r="H1202" t="s">
        <v>4805</v>
      </c>
      <c r="I1202" t="s">
        <v>461</v>
      </c>
    </row>
    <row r="1203" spans="1:9" x14ac:dyDescent="0.3">
      <c r="A1203">
        <v>74128</v>
      </c>
      <c r="B1203">
        <v>105</v>
      </c>
      <c r="C1203" s="452">
        <v>46082</v>
      </c>
      <c r="D1203" t="s">
        <v>557</v>
      </c>
      <c r="E1203">
        <v>26038</v>
      </c>
      <c r="F1203" t="s">
        <v>4976</v>
      </c>
      <c r="G1203">
        <v>2</v>
      </c>
      <c r="H1203" t="s">
        <v>4805</v>
      </c>
      <c r="I1203" t="s">
        <v>461</v>
      </c>
    </row>
    <row r="1204" spans="1:9" x14ac:dyDescent="0.3">
      <c r="A1204">
        <v>74129</v>
      </c>
      <c r="B1204">
        <v>105</v>
      </c>
      <c r="C1204" s="452">
        <v>46082</v>
      </c>
      <c r="D1204" t="s">
        <v>557</v>
      </c>
      <c r="E1204">
        <v>26040</v>
      </c>
      <c r="F1204" t="s">
        <v>4812</v>
      </c>
      <c r="G1204">
        <v>8.5</v>
      </c>
      <c r="H1204" t="s">
        <v>4805</v>
      </c>
      <c r="I1204" t="s">
        <v>461</v>
      </c>
    </row>
    <row r="1205" spans="1:9" x14ac:dyDescent="0.3">
      <c r="A1205">
        <v>74130</v>
      </c>
      <c r="B1205">
        <v>105</v>
      </c>
      <c r="C1205" s="452">
        <v>46082</v>
      </c>
      <c r="D1205" t="s">
        <v>557</v>
      </c>
      <c r="E1205">
        <v>26044</v>
      </c>
      <c r="F1205" t="s">
        <v>4843</v>
      </c>
      <c r="G1205">
        <v>5</v>
      </c>
      <c r="H1205" t="s">
        <v>4805</v>
      </c>
      <c r="I1205" t="s">
        <v>461</v>
      </c>
    </row>
    <row r="1206" spans="1:9" x14ac:dyDescent="0.3">
      <c r="A1206">
        <v>74131</v>
      </c>
      <c r="B1206">
        <v>105</v>
      </c>
      <c r="C1206" s="452">
        <v>46082</v>
      </c>
      <c r="D1206" t="s">
        <v>557</v>
      </c>
      <c r="E1206">
        <v>26135</v>
      </c>
      <c r="F1206" t="s">
        <v>4801</v>
      </c>
      <c r="G1206">
        <v>25.85</v>
      </c>
      <c r="H1206" t="s">
        <v>4744</v>
      </c>
      <c r="I1206" t="s">
        <v>461</v>
      </c>
    </row>
    <row r="1207" spans="1:9" x14ac:dyDescent="0.3">
      <c r="A1207">
        <v>74132</v>
      </c>
      <c r="B1207">
        <v>105</v>
      </c>
      <c r="C1207" s="452">
        <v>46082</v>
      </c>
      <c r="D1207" t="s">
        <v>557</v>
      </c>
      <c r="E1207">
        <v>26150</v>
      </c>
      <c r="F1207" t="s">
        <v>5105</v>
      </c>
      <c r="G1207">
        <v>0.81</v>
      </c>
      <c r="H1207" t="s">
        <v>4805</v>
      </c>
      <c r="I1207" t="s">
        <v>461</v>
      </c>
    </row>
    <row r="1208" spans="1:9" x14ac:dyDescent="0.3">
      <c r="A1208">
        <v>74133</v>
      </c>
      <c r="B1208">
        <v>105</v>
      </c>
      <c r="C1208" s="452">
        <v>46082</v>
      </c>
      <c r="D1208" t="s">
        <v>557</v>
      </c>
      <c r="E1208">
        <v>26210</v>
      </c>
      <c r="F1208" t="s">
        <v>4975</v>
      </c>
      <c r="G1208">
        <v>0.21</v>
      </c>
      <c r="H1208" t="s">
        <v>4805</v>
      </c>
      <c r="I1208" t="s">
        <v>461</v>
      </c>
    </row>
    <row r="1209" spans="1:9" x14ac:dyDescent="0.3">
      <c r="A1209">
        <v>74134</v>
      </c>
      <c r="B1209">
        <v>105</v>
      </c>
      <c r="C1209" s="452">
        <v>46082</v>
      </c>
      <c r="D1209" t="s">
        <v>557</v>
      </c>
      <c r="E1209">
        <v>26236</v>
      </c>
      <c r="F1209" t="s">
        <v>5077</v>
      </c>
      <c r="G1209">
        <v>5</v>
      </c>
      <c r="H1209" t="s">
        <v>4805</v>
      </c>
      <c r="I1209" t="s">
        <v>461</v>
      </c>
    </row>
    <row r="1210" spans="1:9" x14ac:dyDescent="0.3">
      <c r="A1210">
        <v>74135</v>
      </c>
      <c r="B1210">
        <v>105</v>
      </c>
      <c r="C1210" s="452">
        <v>46082</v>
      </c>
      <c r="D1210" t="s">
        <v>557</v>
      </c>
      <c r="E1210">
        <v>26505</v>
      </c>
      <c r="F1210" t="s">
        <v>4750</v>
      </c>
      <c r="G1210">
        <v>2.7</v>
      </c>
      <c r="H1210" t="s">
        <v>4738</v>
      </c>
      <c r="I1210" t="s">
        <v>461</v>
      </c>
    </row>
    <row r="1211" spans="1:9" x14ac:dyDescent="0.3">
      <c r="A1211">
        <v>74136</v>
      </c>
      <c r="B1211">
        <v>105</v>
      </c>
      <c r="C1211" s="452">
        <v>46082</v>
      </c>
      <c r="D1211" t="s">
        <v>557</v>
      </c>
      <c r="E1211">
        <v>26679</v>
      </c>
      <c r="F1211" t="s">
        <v>4791</v>
      </c>
      <c r="G1211">
        <v>67.849999999999994</v>
      </c>
      <c r="H1211" t="s">
        <v>4744</v>
      </c>
      <c r="I1211" t="s">
        <v>461</v>
      </c>
    </row>
    <row r="1212" spans="1:9" x14ac:dyDescent="0.3">
      <c r="A1212">
        <v>74137</v>
      </c>
      <c r="B1212">
        <v>105</v>
      </c>
      <c r="C1212" s="452">
        <v>46082</v>
      </c>
      <c r="D1212" t="s">
        <v>557</v>
      </c>
      <c r="E1212">
        <v>27018</v>
      </c>
      <c r="F1212" t="s">
        <v>4737</v>
      </c>
      <c r="G1212">
        <v>7</v>
      </c>
      <c r="H1212" t="s">
        <v>4738</v>
      </c>
      <c r="I1212" t="s">
        <v>461</v>
      </c>
    </row>
    <row r="1213" spans="1:9" x14ac:dyDescent="0.3">
      <c r="A1213">
        <v>74138</v>
      </c>
      <c r="B1213">
        <v>105</v>
      </c>
      <c r="C1213" s="452">
        <v>46082</v>
      </c>
      <c r="D1213" t="s">
        <v>557</v>
      </c>
      <c r="E1213">
        <v>27264</v>
      </c>
      <c r="F1213" t="s">
        <v>5075</v>
      </c>
      <c r="G1213">
        <v>7.6</v>
      </c>
      <c r="H1213" t="s">
        <v>4744</v>
      </c>
      <c r="I1213" t="s">
        <v>461</v>
      </c>
    </row>
    <row r="1214" spans="1:9" x14ac:dyDescent="0.3">
      <c r="A1214">
        <v>74139</v>
      </c>
      <c r="B1214">
        <v>105</v>
      </c>
      <c r="C1214" s="452">
        <v>46082</v>
      </c>
      <c r="D1214" t="s">
        <v>557</v>
      </c>
      <c r="E1214">
        <v>27397</v>
      </c>
      <c r="F1214" t="s">
        <v>4913</v>
      </c>
      <c r="G1214">
        <v>2</v>
      </c>
      <c r="H1214" t="s">
        <v>4736</v>
      </c>
      <c r="I1214" t="s">
        <v>461</v>
      </c>
    </row>
    <row r="1215" spans="1:9" x14ac:dyDescent="0.3">
      <c r="A1215">
        <v>74140</v>
      </c>
      <c r="B1215">
        <v>105</v>
      </c>
      <c r="C1215" s="452">
        <v>46082</v>
      </c>
      <c r="D1215" t="s">
        <v>557</v>
      </c>
      <c r="E1215">
        <v>27475</v>
      </c>
      <c r="F1215" t="s">
        <v>5123</v>
      </c>
      <c r="G1215">
        <v>1</v>
      </c>
      <c r="H1215" t="s">
        <v>4736</v>
      </c>
      <c r="I1215" t="s">
        <v>461</v>
      </c>
    </row>
    <row r="1216" spans="1:9" x14ac:dyDescent="0.3">
      <c r="A1216">
        <v>74141</v>
      </c>
      <c r="B1216">
        <v>105</v>
      </c>
      <c r="C1216" s="452">
        <v>46082</v>
      </c>
      <c r="D1216" t="s">
        <v>557</v>
      </c>
      <c r="E1216">
        <v>27657</v>
      </c>
      <c r="F1216" t="s">
        <v>5137</v>
      </c>
      <c r="G1216">
        <v>14.49</v>
      </c>
      <c r="H1216" t="s">
        <v>4744</v>
      </c>
      <c r="I1216" t="s">
        <v>461</v>
      </c>
    </row>
    <row r="1217" spans="1:9" x14ac:dyDescent="0.3">
      <c r="A1217">
        <v>74142</v>
      </c>
      <c r="B1217">
        <v>105</v>
      </c>
      <c r="C1217" s="452">
        <v>46082</v>
      </c>
      <c r="D1217" t="s">
        <v>557</v>
      </c>
      <c r="E1217">
        <v>27757</v>
      </c>
      <c r="F1217" t="s">
        <v>4942</v>
      </c>
      <c r="G1217">
        <v>5</v>
      </c>
      <c r="H1217" t="s">
        <v>4749</v>
      </c>
      <c r="I1217" t="s">
        <v>461</v>
      </c>
    </row>
    <row r="1218" spans="1:9" x14ac:dyDescent="0.3">
      <c r="A1218">
        <v>74143</v>
      </c>
      <c r="B1218">
        <v>105</v>
      </c>
      <c r="C1218" s="452">
        <v>46082</v>
      </c>
      <c r="D1218" t="s">
        <v>557</v>
      </c>
      <c r="E1218">
        <v>28761</v>
      </c>
      <c r="F1218" t="s">
        <v>5138</v>
      </c>
      <c r="G1218">
        <v>22.25</v>
      </c>
      <c r="H1218" t="s">
        <v>4744</v>
      </c>
      <c r="I1218" t="s">
        <v>461</v>
      </c>
    </row>
    <row r="1219" spans="1:9" x14ac:dyDescent="0.3">
      <c r="A1219">
        <v>78905</v>
      </c>
      <c r="B1219">
        <v>105</v>
      </c>
      <c r="C1219" s="452">
        <v>46113</v>
      </c>
      <c r="D1219" t="s">
        <v>557</v>
      </c>
      <c r="E1219">
        <v>23095</v>
      </c>
      <c r="F1219" t="s">
        <v>4741</v>
      </c>
      <c r="G1219">
        <v>168</v>
      </c>
      <c r="H1219" t="s">
        <v>4736</v>
      </c>
      <c r="I1219" t="s">
        <v>462</v>
      </c>
    </row>
    <row r="1220" spans="1:9" x14ac:dyDescent="0.3">
      <c r="A1220">
        <v>78906</v>
      </c>
      <c r="B1220">
        <v>105</v>
      </c>
      <c r="C1220" s="452">
        <v>46113</v>
      </c>
      <c r="D1220" t="s">
        <v>557</v>
      </c>
      <c r="E1220">
        <v>27689</v>
      </c>
      <c r="F1220" t="s">
        <v>5139</v>
      </c>
      <c r="G1220">
        <v>1.76</v>
      </c>
      <c r="H1220" t="s">
        <v>4749</v>
      </c>
      <c r="I1220" t="s">
        <v>462</v>
      </c>
    </row>
    <row r="1221" spans="1:9" x14ac:dyDescent="0.3">
      <c r="A1221">
        <v>78907</v>
      </c>
      <c r="B1221">
        <v>105</v>
      </c>
      <c r="C1221" s="452">
        <v>46113</v>
      </c>
      <c r="D1221" t="s">
        <v>557</v>
      </c>
      <c r="E1221">
        <v>17895</v>
      </c>
      <c r="F1221" t="s">
        <v>5086</v>
      </c>
      <c r="G1221">
        <v>10.67</v>
      </c>
      <c r="H1221" t="s">
        <v>4738</v>
      </c>
      <c r="I1221" t="s">
        <v>462</v>
      </c>
    </row>
    <row r="1222" spans="1:9" x14ac:dyDescent="0.3">
      <c r="A1222">
        <v>78908</v>
      </c>
      <c r="B1222">
        <v>105</v>
      </c>
      <c r="C1222" s="452">
        <v>46113</v>
      </c>
      <c r="D1222" t="s">
        <v>557</v>
      </c>
      <c r="E1222">
        <v>17905</v>
      </c>
      <c r="F1222" t="s">
        <v>5085</v>
      </c>
      <c r="G1222">
        <v>8.17</v>
      </c>
      <c r="H1222" t="s">
        <v>4738</v>
      </c>
      <c r="I1222" t="s">
        <v>462</v>
      </c>
    </row>
    <row r="1223" spans="1:9" x14ac:dyDescent="0.3">
      <c r="A1223">
        <v>78909</v>
      </c>
      <c r="B1223">
        <v>105</v>
      </c>
      <c r="C1223" s="452">
        <v>46113</v>
      </c>
      <c r="D1223" t="s">
        <v>557</v>
      </c>
      <c r="E1223">
        <v>24096</v>
      </c>
      <c r="F1223" t="s">
        <v>4771</v>
      </c>
      <c r="G1223">
        <v>87.1</v>
      </c>
      <c r="H1223" t="s">
        <v>4744</v>
      </c>
      <c r="I1223" t="s">
        <v>462</v>
      </c>
    </row>
    <row r="1224" spans="1:9" x14ac:dyDescent="0.3">
      <c r="A1224">
        <v>78910</v>
      </c>
      <c r="B1224">
        <v>105</v>
      </c>
      <c r="C1224" s="452">
        <v>46113</v>
      </c>
      <c r="D1224" t="s">
        <v>557</v>
      </c>
      <c r="E1224">
        <v>26679</v>
      </c>
      <c r="F1224" t="s">
        <v>4791</v>
      </c>
      <c r="G1224">
        <v>84.7</v>
      </c>
      <c r="H1224" t="s">
        <v>4744</v>
      </c>
      <c r="I1224" t="s">
        <v>462</v>
      </c>
    </row>
    <row r="1225" spans="1:9" x14ac:dyDescent="0.3">
      <c r="A1225">
        <v>78911</v>
      </c>
      <c r="B1225">
        <v>105</v>
      </c>
      <c r="C1225" s="452">
        <v>46113</v>
      </c>
      <c r="D1225" t="s">
        <v>557</v>
      </c>
      <c r="E1225">
        <v>17886</v>
      </c>
      <c r="F1225" t="s">
        <v>5083</v>
      </c>
      <c r="G1225">
        <v>6.25</v>
      </c>
      <c r="H1225" t="s">
        <v>4738</v>
      </c>
      <c r="I1225" t="s">
        <v>462</v>
      </c>
    </row>
    <row r="1226" spans="1:9" x14ac:dyDescent="0.3">
      <c r="A1226">
        <v>78912</v>
      </c>
      <c r="B1226">
        <v>105</v>
      </c>
      <c r="C1226" s="452">
        <v>46113</v>
      </c>
      <c r="D1226" t="s">
        <v>557</v>
      </c>
      <c r="E1226">
        <v>18004</v>
      </c>
      <c r="F1226" t="s">
        <v>5093</v>
      </c>
      <c r="G1226">
        <v>6.08</v>
      </c>
      <c r="H1226" t="s">
        <v>4738</v>
      </c>
      <c r="I1226" t="s">
        <v>462</v>
      </c>
    </row>
    <row r="1227" spans="1:9" x14ac:dyDescent="0.3">
      <c r="A1227">
        <v>78913</v>
      </c>
      <c r="B1227">
        <v>105</v>
      </c>
      <c r="C1227" s="452">
        <v>46113</v>
      </c>
      <c r="D1227" t="s">
        <v>557</v>
      </c>
      <c r="E1227">
        <v>17903</v>
      </c>
      <c r="F1227" t="s">
        <v>5084</v>
      </c>
      <c r="G1227">
        <v>5.42</v>
      </c>
      <c r="H1227" t="s">
        <v>4738</v>
      </c>
      <c r="I1227" t="s">
        <v>462</v>
      </c>
    </row>
    <row r="1228" spans="1:9" x14ac:dyDescent="0.3">
      <c r="A1228">
        <v>78914</v>
      </c>
      <c r="B1228">
        <v>105</v>
      </c>
      <c r="C1228" s="452">
        <v>46113</v>
      </c>
      <c r="D1228" t="s">
        <v>557</v>
      </c>
      <c r="E1228">
        <v>19041</v>
      </c>
      <c r="F1228" t="s">
        <v>4762</v>
      </c>
      <c r="G1228">
        <v>56</v>
      </c>
      <c r="H1228" t="s">
        <v>4744</v>
      </c>
      <c r="I1228" t="s">
        <v>462</v>
      </c>
    </row>
    <row r="1229" spans="1:9" x14ac:dyDescent="0.3">
      <c r="A1229">
        <v>78915</v>
      </c>
      <c r="B1229">
        <v>105</v>
      </c>
      <c r="C1229" s="452">
        <v>46113</v>
      </c>
      <c r="D1229" t="s">
        <v>557</v>
      </c>
      <c r="E1229">
        <v>17881</v>
      </c>
      <c r="F1229" t="s">
        <v>5103</v>
      </c>
      <c r="G1229">
        <v>4.17</v>
      </c>
      <c r="H1229" t="s">
        <v>4738</v>
      </c>
      <c r="I1229" t="s">
        <v>462</v>
      </c>
    </row>
    <row r="1230" spans="1:9" x14ac:dyDescent="0.3">
      <c r="A1230">
        <v>78916</v>
      </c>
      <c r="B1230">
        <v>105</v>
      </c>
      <c r="C1230" s="452">
        <v>46113</v>
      </c>
      <c r="D1230" t="s">
        <v>557</v>
      </c>
      <c r="E1230">
        <v>21093</v>
      </c>
      <c r="F1230" t="s">
        <v>4855</v>
      </c>
      <c r="G1230">
        <v>46</v>
      </c>
      <c r="H1230" t="s">
        <v>4744</v>
      </c>
      <c r="I1230" t="s">
        <v>462</v>
      </c>
    </row>
    <row r="1231" spans="1:9" x14ac:dyDescent="0.3">
      <c r="A1231">
        <v>78917</v>
      </c>
      <c r="B1231">
        <v>105</v>
      </c>
      <c r="C1231" s="452">
        <v>46113</v>
      </c>
      <c r="D1231" t="s">
        <v>557</v>
      </c>
      <c r="E1231">
        <v>24217</v>
      </c>
      <c r="F1231" t="s">
        <v>4778</v>
      </c>
      <c r="G1231">
        <v>38.049999999999997</v>
      </c>
      <c r="H1231" t="s">
        <v>4744</v>
      </c>
      <c r="I1231" t="s">
        <v>462</v>
      </c>
    </row>
    <row r="1232" spans="1:9" x14ac:dyDescent="0.3">
      <c r="A1232">
        <v>78918</v>
      </c>
      <c r="B1232">
        <v>105</v>
      </c>
      <c r="C1232" s="452">
        <v>46113</v>
      </c>
      <c r="D1232" t="s">
        <v>557</v>
      </c>
      <c r="E1232">
        <v>20501</v>
      </c>
      <c r="F1232" t="s">
        <v>4760</v>
      </c>
      <c r="G1232">
        <v>38</v>
      </c>
      <c r="H1232" t="s">
        <v>4744</v>
      </c>
      <c r="I1232" t="s">
        <v>462</v>
      </c>
    </row>
    <row r="1233" spans="1:9" x14ac:dyDescent="0.3">
      <c r="A1233">
        <v>78919</v>
      </c>
      <c r="B1233">
        <v>105</v>
      </c>
      <c r="C1233" s="452">
        <v>46113</v>
      </c>
      <c r="D1233" t="s">
        <v>557</v>
      </c>
      <c r="E1233">
        <v>23361</v>
      </c>
      <c r="F1233" t="s">
        <v>4754</v>
      </c>
      <c r="G1233">
        <v>35.700000000000003</v>
      </c>
      <c r="H1233" t="s">
        <v>4744</v>
      </c>
      <c r="I1233" t="s">
        <v>462</v>
      </c>
    </row>
    <row r="1234" spans="1:9" x14ac:dyDescent="0.3">
      <c r="A1234">
        <v>78920</v>
      </c>
      <c r="B1234">
        <v>105</v>
      </c>
      <c r="C1234" s="452">
        <v>46113</v>
      </c>
      <c r="D1234" t="s">
        <v>557</v>
      </c>
      <c r="E1234">
        <v>19003</v>
      </c>
      <c r="F1234" t="s">
        <v>4810</v>
      </c>
      <c r="G1234">
        <v>34.18</v>
      </c>
      <c r="H1234" t="s">
        <v>4744</v>
      </c>
      <c r="I1234" t="s">
        <v>462</v>
      </c>
    </row>
    <row r="1235" spans="1:9" x14ac:dyDescent="0.3">
      <c r="A1235">
        <v>78921</v>
      </c>
      <c r="B1235">
        <v>105</v>
      </c>
      <c r="C1235" s="452">
        <v>46113</v>
      </c>
      <c r="D1235" t="s">
        <v>557</v>
      </c>
      <c r="E1235">
        <v>17958</v>
      </c>
      <c r="F1235" t="s">
        <v>5076</v>
      </c>
      <c r="G1235">
        <v>33.25</v>
      </c>
      <c r="H1235" t="s">
        <v>4738</v>
      </c>
      <c r="I1235" t="s">
        <v>462</v>
      </c>
    </row>
    <row r="1236" spans="1:9" x14ac:dyDescent="0.3">
      <c r="A1236">
        <v>78922</v>
      </c>
      <c r="B1236">
        <v>105</v>
      </c>
      <c r="C1236" s="452">
        <v>46113</v>
      </c>
      <c r="D1236" t="s">
        <v>557</v>
      </c>
      <c r="E1236">
        <v>18006</v>
      </c>
      <c r="F1236" t="s">
        <v>5094</v>
      </c>
      <c r="G1236">
        <v>2.67</v>
      </c>
      <c r="H1236" t="s">
        <v>4738</v>
      </c>
      <c r="I1236" t="s">
        <v>462</v>
      </c>
    </row>
    <row r="1237" spans="1:9" x14ac:dyDescent="0.3">
      <c r="A1237">
        <v>78923</v>
      </c>
      <c r="B1237">
        <v>105</v>
      </c>
      <c r="C1237" s="452">
        <v>46113</v>
      </c>
      <c r="D1237" t="s">
        <v>557</v>
      </c>
      <c r="E1237">
        <v>23268</v>
      </c>
      <c r="F1237" t="s">
        <v>4743</v>
      </c>
      <c r="G1237">
        <v>29.73</v>
      </c>
      <c r="H1237" t="s">
        <v>4744</v>
      </c>
      <c r="I1237" t="s">
        <v>462</v>
      </c>
    </row>
    <row r="1238" spans="1:9" x14ac:dyDescent="0.3">
      <c r="A1238">
        <v>78924</v>
      </c>
      <c r="B1238">
        <v>105</v>
      </c>
      <c r="C1238" s="452">
        <v>46113</v>
      </c>
      <c r="D1238" t="s">
        <v>557</v>
      </c>
      <c r="E1238">
        <v>17950</v>
      </c>
      <c r="F1238" t="s">
        <v>5091</v>
      </c>
      <c r="G1238">
        <v>29.41</v>
      </c>
      <c r="H1238" t="s">
        <v>4738</v>
      </c>
      <c r="I1238" t="s">
        <v>462</v>
      </c>
    </row>
    <row r="1239" spans="1:9" x14ac:dyDescent="0.3">
      <c r="A1239">
        <v>78925</v>
      </c>
      <c r="B1239">
        <v>105</v>
      </c>
      <c r="C1239" s="452">
        <v>46113</v>
      </c>
      <c r="D1239" t="s">
        <v>557</v>
      </c>
      <c r="E1239">
        <v>23228</v>
      </c>
      <c r="F1239" t="s">
        <v>4782</v>
      </c>
      <c r="G1239">
        <v>27</v>
      </c>
      <c r="H1239" t="s">
        <v>4744</v>
      </c>
      <c r="I1239" t="s">
        <v>462</v>
      </c>
    </row>
    <row r="1240" spans="1:9" x14ac:dyDescent="0.3">
      <c r="A1240">
        <v>78926</v>
      </c>
      <c r="B1240">
        <v>105</v>
      </c>
      <c r="C1240" s="452">
        <v>46113</v>
      </c>
      <c r="D1240" t="s">
        <v>557</v>
      </c>
      <c r="E1240">
        <v>17915</v>
      </c>
      <c r="F1240" t="s">
        <v>5104</v>
      </c>
      <c r="G1240">
        <v>1.08</v>
      </c>
      <c r="H1240" t="s">
        <v>4738</v>
      </c>
      <c r="I1240" t="s">
        <v>462</v>
      </c>
    </row>
    <row r="1241" spans="1:9" x14ac:dyDescent="0.3">
      <c r="A1241">
        <v>78927</v>
      </c>
      <c r="B1241">
        <v>105</v>
      </c>
      <c r="C1241" s="452">
        <v>46113</v>
      </c>
      <c r="D1241" t="s">
        <v>557</v>
      </c>
      <c r="E1241">
        <v>17917</v>
      </c>
      <c r="F1241" t="s">
        <v>5098</v>
      </c>
      <c r="G1241">
        <v>1.08</v>
      </c>
      <c r="H1241" t="s">
        <v>4738</v>
      </c>
      <c r="I1241" t="s">
        <v>462</v>
      </c>
    </row>
    <row r="1242" spans="1:9" x14ac:dyDescent="0.3">
      <c r="A1242">
        <v>78928</v>
      </c>
      <c r="B1242">
        <v>105</v>
      </c>
      <c r="C1242" s="452">
        <v>46113</v>
      </c>
      <c r="D1242" t="s">
        <v>557</v>
      </c>
      <c r="E1242">
        <v>17883</v>
      </c>
      <c r="F1242" t="s">
        <v>5113</v>
      </c>
      <c r="G1242">
        <v>1.08</v>
      </c>
      <c r="H1242" t="s">
        <v>4738</v>
      </c>
      <c r="I1242" t="s">
        <v>462</v>
      </c>
    </row>
    <row r="1243" spans="1:9" x14ac:dyDescent="0.3">
      <c r="A1243">
        <v>78929</v>
      </c>
      <c r="B1243">
        <v>105</v>
      </c>
      <c r="C1243" s="452">
        <v>46113</v>
      </c>
      <c r="D1243" t="s">
        <v>557</v>
      </c>
      <c r="E1243">
        <v>19635</v>
      </c>
      <c r="F1243" t="s">
        <v>4786</v>
      </c>
      <c r="G1243">
        <v>22.3</v>
      </c>
      <c r="H1243" t="s">
        <v>4744</v>
      </c>
      <c r="I1243" t="s">
        <v>462</v>
      </c>
    </row>
    <row r="1244" spans="1:9" x14ac:dyDescent="0.3">
      <c r="A1244">
        <v>78930</v>
      </c>
      <c r="B1244">
        <v>105</v>
      </c>
      <c r="C1244" s="452">
        <v>46113</v>
      </c>
      <c r="D1244" t="s">
        <v>557</v>
      </c>
      <c r="E1244">
        <v>23359</v>
      </c>
      <c r="F1244" t="s">
        <v>4767</v>
      </c>
      <c r="G1244">
        <v>22.3</v>
      </c>
      <c r="H1244" t="s">
        <v>4744</v>
      </c>
      <c r="I1244" t="s">
        <v>462</v>
      </c>
    </row>
    <row r="1245" spans="1:9" x14ac:dyDescent="0.3">
      <c r="A1245">
        <v>78931</v>
      </c>
      <c r="B1245">
        <v>105</v>
      </c>
      <c r="C1245" s="452">
        <v>46113</v>
      </c>
      <c r="D1245" t="s">
        <v>557</v>
      </c>
      <c r="E1245">
        <v>25777</v>
      </c>
      <c r="F1245" t="s">
        <v>4774</v>
      </c>
      <c r="G1245">
        <v>21.3</v>
      </c>
      <c r="H1245" t="s">
        <v>4744</v>
      </c>
      <c r="I1245" t="s">
        <v>462</v>
      </c>
    </row>
    <row r="1246" spans="1:9" x14ac:dyDescent="0.3">
      <c r="A1246">
        <v>78932</v>
      </c>
      <c r="B1246">
        <v>105</v>
      </c>
      <c r="C1246" s="452">
        <v>46113</v>
      </c>
      <c r="D1246" t="s">
        <v>557</v>
      </c>
      <c r="E1246">
        <v>19532</v>
      </c>
      <c r="F1246" t="s">
        <v>4753</v>
      </c>
      <c r="G1246">
        <v>21</v>
      </c>
      <c r="H1246" t="s">
        <v>4744</v>
      </c>
      <c r="I1246" t="s">
        <v>462</v>
      </c>
    </row>
    <row r="1247" spans="1:9" x14ac:dyDescent="0.3">
      <c r="A1247">
        <v>78933</v>
      </c>
      <c r="B1247">
        <v>105</v>
      </c>
      <c r="C1247" s="452">
        <v>46113</v>
      </c>
      <c r="D1247" t="s">
        <v>557</v>
      </c>
      <c r="E1247">
        <v>20623</v>
      </c>
      <c r="F1247" t="s">
        <v>4814</v>
      </c>
      <c r="G1247">
        <v>21</v>
      </c>
      <c r="H1247" t="s">
        <v>4736</v>
      </c>
      <c r="I1247" t="s">
        <v>462</v>
      </c>
    </row>
    <row r="1248" spans="1:9" x14ac:dyDescent="0.3">
      <c r="A1248">
        <v>78934</v>
      </c>
      <c r="B1248">
        <v>105</v>
      </c>
      <c r="C1248" s="452">
        <v>46113</v>
      </c>
      <c r="D1248" t="s">
        <v>557</v>
      </c>
      <c r="E1248">
        <v>25167</v>
      </c>
      <c r="F1248" t="s">
        <v>4758</v>
      </c>
      <c r="G1248">
        <v>20</v>
      </c>
      <c r="H1248" t="s">
        <v>4744</v>
      </c>
      <c r="I1248" t="s">
        <v>462</v>
      </c>
    </row>
    <row r="1249" spans="1:9" x14ac:dyDescent="0.3">
      <c r="A1249">
        <v>78935</v>
      </c>
      <c r="B1249">
        <v>105</v>
      </c>
      <c r="C1249" s="452">
        <v>46113</v>
      </c>
      <c r="D1249" t="s">
        <v>557</v>
      </c>
      <c r="E1249">
        <v>20809</v>
      </c>
      <c r="F1249" t="s">
        <v>4822</v>
      </c>
      <c r="G1249">
        <v>19</v>
      </c>
      <c r="H1249" t="s">
        <v>4738</v>
      </c>
      <c r="I1249" t="s">
        <v>462</v>
      </c>
    </row>
    <row r="1250" spans="1:9" x14ac:dyDescent="0.3">
      <c r="A1250">
        <v>78936</v>
      </c>
      <c r="B1250">
        <v>105</v>
      </c>
      <c r="C1250" s="452">
        <v>46113</v>
      </c>
      <c r="D1250" t="s">
        <v>557</v>
      </c>
      <c r="E1250">
        <v>19734</v>
      </c>
      <c r="F1250" t="s">
        <v>4833</v>
      </c>
      <c r="G1250">
        <v>18.5</v>
      </c>
      <c r="H1250" t="s">
        <v>4744</v>
      </c>
      <c r="I1250" t="s">
        <v>462</v>
      </c>
    </row>
    <row r="1251" spans="1:9" x14ac:dyDescent="0.3">
      <c r="A1251">
        <v>78937</v>
      </c>
      <c r="B1251">
        <v>105</v>
      </c>
      <c r="C1251" s="452">
        <v>46113</v>
      </c>
      <c r="D1251" t="s">
        <v>557</v>
      </c>
      <c r="E1251">
        <v>18172</v>
      </c>
      <c r="F1251" t="s">
        <v>4804</v>
      </c>
      <c r="G1251">
        <v>17</v>
      </c>
      <c r="H1251" t="s">
        <v>4805</v>
      </c>
      <c r="I1251" t="s">
        <v>462</v>
      </c>
    </row>
    <row r="1252" spans="1:9" x14ac:dyDescent="0.3">
      <c r="A1252">
        <v>78938</v>
      </c>
      <c r="B1252">
        <v>105</v>
      </c>
      <c r="C1252" s="452">
        <v>46113</v>
      </c>
      <c r="D1252" t="s">
        <v>557</v>
      </c>
      <c r="E1252">
        <v>19322</v>
      </c>
      <c r="F1252" t="s">
        <v>4830</v>
      </c>
      <c r="G1252">
        <v>16.05</v>
      </c>
      <c r="H1252" t="s">
        <v>4744</v>
      </c>
      <c r="I1252" t="s">
        <v>462</v>
      </c>
    </row>
    <row r="1253" spans="1:9" x14ac:dyDescent="0.3">
      <c r="A1253">
        <v>78939</v>
      </c>
      <c r="B1253">
        <v>105</v>
      </c>
      <c r="C1253" s="452">
        <v>46113</v>
      </c>
      <c r="D1253" t="s">
        <v>557</v>
      </c>
      <c r="E1253">
        <v>19623</v>
      </c>
      <c r="F1253" t="s">
        <v>4764</v>
      </c>
      <c r="G1253">
        <v>16</v>
      </c>
      <c r="H1253" t="s">
        <v>4744</v>
      </c>
      <c r="I1253" t="s">
        <v>462</v>
      </c>
    </row>
    <row r="1254" spans="1:9" x14ac:dyDescent="0.3">
      <c r="A1254">
        <v>78940</v>
      </c>
      <c r="B1254">
        <v>105</v>
      </c>
      <c r="C1254" s="452">
        <v>46113</v>
      </c>
      <c r="D1254" t="s">
        <v>557</v>
      </c>
      <c r="E1254">
        <v>24509</v>
      </c>
      <c r="F1254" t="s">
        <v>4788</v>
      </c>
      <c r="G1254">
        <v>16</v>
      </c>
      <c r="H1254" t="s">
        <v>4744</v>
      </c>
      <c r="I1254" t="s">
        <v>462</v>
      </c>
    </row>
    <row r="1255" spans="1:9" x14ac:dyDescent="0.3">
      <c r="A1255">
        <v>78941</v>
      </c>
      <c r="B1255">
        <v>105</v>
      </c>
      <c r="C1255" s="452">
        <v>46113</v>
      </c>
      <c r="D1255" t="s">
        <v>557</v>
      </c>
      <c r="E1255">
        <v>25075</v>
      </c>
      <c r="F1255" t="s">
        <v>4790</v>
      </c>
      <c r="G1255">
        <v>16</v>
      </c>
      <c r="H1255" t="s">
        <v>4738</v>
      </c>
      <c r="I1255" t="s">
        <v>462</v>
      </c>
    </row>
    <row r="1256" spans="1:9" x14ac:dyDescent="0.3">
      <c r="A1256">
        <v>78942</v>
      </c>
      <c r="B1256">
        <v>105</v>
      </c>
      <c r="C1256" s="452">
        <v>46113</v>
      </c>
      <c r="D1256" t="s">
        <v>557</v>
      </c>
      <c r="E1256">
        <v>25758</v>
      </c>
      <c r="F1256" t="s">
        <v>4775</v>
      </c>
      <c r="G1256">
        <v>16</v>
      </c>
      <c r="H1256" t="s">
        <v>4736</v>
      </c>
      <c r="I1256" t="s">
        <v>462</v>
      </c>
    </row>
    <row r="1257" spans="1:9" x14ac:dyDescent="0.3">
      <c r="A1257">
        <v>78943</v>
      </c>
      <c r="B1257">
        <v>105</v>
      </c>
      <c r="C1257" s="452">
        <v>46113</v>
      </c>
      <c r="D1257" t="s">
        <v>557</v>
      </c>
      <c r="E1257">
        <v>18579</v>
      </c>
      <c r="F1257" t="s">
        <v>5087</v>
      </c>
      <c r="G1257">
        <v>0.67</v>
      </c>
      <c r="H1257" t="s">
        <v>4749</v>
      </c>
      <c r="I1257" t="s">
        <v>462</v>
      </c>
    </row>
    <row r="1258" spans="1:9" x14ac:dyDescent="0.3">
      <c r="A1258">
        <v>78944</v>
      </c>
      <c r="B1258">
        <v>105</v>
      </c>
      <c r="C1258" s="452">
        <v>46113</v>
      </c>
      <c r="D1258" t="s">
        <v>557</v>
      </c>
      <c r="E1258">
        <v>25752</v>
      </c>
      <c r="F1258" t="s">
        <v>5000</v>
      </c>
      <c r="G1258">
        <v>16</v>
      </c>
      <c r="H1258" t="s">
        <v>4749</v>
      </c>
      <c r="I1258" t="s">
        <v>462</v>
      </c>
    </row>
    <row r="1259" spans="1:9" x14ac:dyDescent="0.3">
      <c r="A1259">
        <v>78945</v>
      </c>
      <c r="B1259">
        <v>105</v>
      </c>
      <c r="C1259" s="452">
        <v>46113</v>
      </c>
      <c r="D1259" t="s">
        <v>557</v>
      </c>
      <c r="E1259">
        <v>25756</v>
      </c>
      <c r="F1259" t="s">
        <v>4854</v>
      </c>
      <c r="G1259">
        <v>16</v>
      </c>
      <c r="H1259" t="s">
        <v>4749</v>
      </c>
      <c r="I1259" t="s">
        <v>462</v>
      </c>
    </row>
    <row r="1260" spans="1:9" x14ac:dyDescent="0.3">
      <c r="A1260">
        <v>78946</v>
      </c>
      <c r="B1260">
        <v>105</v>
      </c>
      <c r="C1260" s="452">
        <v>46113</v>
      </c>
      <c r="D1260" t="s">
        <v>557</v>
      </c>
      <c r="E1260">
        <v>24256</v>
      </c>
      <c r="F1260" t="s">
        <v>4773</v>
      </c>
      <c r="G1260">
        <v>15.5</v>
      </c>
      <c r="H1260" t="s">
        <v>4744</v>
      </c>
      <c r="I1260" t="s">
        <v>462</v>
      </c>
    </row>
    <row r="1261" spans="1:9" x14ac:dyDescent="0.3">
      <c r="A1261">
        <v>78947</v>
      </c>
      <c r="B1261">
        <v>105</v>
      </c>
      <c r="C1261" s="452">
        <v>46113</v>
      </c>
      <c r="D1261" t="s">
        <v>557</v>
      </c>
      <c r="E1261">
        <v>19658</v>
      </c>
      <c r="F1261" t="s">
        <v>4784</v>
      </c>
      <c r="G1261">
        <v>15.3</v>
      </c>
      <c r="H1261" t="s">
        <v>4744</v>
      </c>
      <c r="I1261" t="s">
        <v>462</v>
      </c>
    </row>
    <row r="1262" spans="1:9" x14ac:dyDescent="0.3">
      <c r="A1262">
        <v>78948</v>
      </c>
      <c r="B1262">
        <v>105</v>
      </c>
      <c r="C1262" s="452">
        <v>46113</v>
      </c>
      <c r="D1262" t="s">
        <v>557</v>
      </c>
      <c r="E1262">
        <v>26006</v>
      </c>
      <c r="F1262" t="s">
        <v>4941</v>
      </c>
      <c r="G1262">
        <v>1.25</v>
      </c>
      <c r="H1262" t="s">
        <v>4749</v>
      </c>
      <c r="I1262" t="s">
        <v>462</v>
      </c>
    </row>
    <row r="1263" spans="1:9" x14ac:dyDescent="0.3">
      <c r="A1263">
        <v>78949</v>
      </c>
      <c r="B1263">
        <v>105</v>
      </c>
      <c r="C1263" s="452">
        <v>46113</v>
      </c>
      <c r="D1263" t="s">
        <v>557</v>
      </c>
      <c r="E1263">
        <v>24981</v>
      </c>
      <c r="F1263" t="s">
        <v>5140</v>
      </c>
      <c r="G1263">
        <v>0.5</v>
      </c>
      <c r="H1263" t="s">
        <v>4965</v>
      </c>
      <c r="I1263" t="s">
        <v>462</v>
      </c>
    </row>
    <row r="1264" spans="1:9" x14ac:dyDescent="0.3">
      <c r="A1264">
        <v>78950</v>
      </c>
      <c r="B1264">
        <v>105</v>
      </c>
      <c r="C1264" s="452">
        <v>46113</v>
      </c>
      <c r="D1264" t="s">
        <v>557</v>
      </c>
      <c r="E1264">
        <v>26592</v>
      </c>
      <c r="F1264" t="s">
        <v>5141</v>
      </c>
      <c r="G1264">
        <v>14.4</v>
      </c>
      <c r="H1264" t="s">
        <v>4744</v>
      </c>
      <c r="I1264" t="s">
        <v>462</v>
      </c>
    </row>
    <row r="1265" spans="1:9" x14ac:dyDescent="0.3">
      <c r="A1265">
        <v>78951</v>
      </c>
      <c r="B1265">
        <v>105</v>
      </c>
      <c r="C1265" s="452">
        <v>46113</v>
      </c>
      <c r="D1265" t="s">
        <v>557</v>
      </c>
      <c r="E1265">
        <v>19634</v>
      </c>
      <c r="F1265" t="s">
        <v>4792</v>
      </c>
      <c r="G1265">
        <v>14.3</v>
      </c>
      <c r="H1265" t="s">
        <v>4744</v>
      </c>
      <c r="I1265" t="s">
        <v>462</v>
      </c>
    </row>
    <row r="1266" spans="1:9" x14ac:dyDescent="0.3">
      <c r="A1266">
        <v>78952</v>
      </c>
      <c r="B1266">
        <v>105</v>
      </c>
      <c r="C1266" s="452">
        <v>46113</v>
      </c>
      <c r="D1266" t="s">
        <v>557</v>
      </c>
      <c r="E1266">
        <v>19787</v>
      </c>
      <c r="F1266" t="s">
        <v>4793</v>
      </c>
      <c r="G1266">
        <v>14.1</v>
      </c>
      <c r="H1266" t="s">
        <v>4744</v>
      </c>
      <c r="I1266" t="s">
        <v>462</v>
      </c>
    </row>
    <row r="1267" spans="1:9" x14ac:dyDescent="0.3">
      <c r="A1267">
        <v>78953</v>
      </c>
      <c r="B1267">
        <v>105</v>
      </c>
      <c r="C1267" s="452">
        <v>46113</v>
      </c>
      <c r="D1267" t="s">
        <v>557</v>
      </c>
      <c r="E1267">
        <v>18475</v>
      </c>
      <c r="F1267" t="s">
        <v>4895</v>
      </c>
      <c r="G1267">
        <v>14</v>
      </c>
      <c r="H1267" t="s">
        <v>4805</v>
      </c>
      <c r="I1267" t="s">
        <v>462</v>
      </c>
    </row>
    <row r="1268" spans="1:9" x14ac:dyDescent="0.3">
      <c r="A1268">
        <v>78954</v>
      </c>
      <c r="B1268">
        <v>105</v>
      </c>
      <c r="C1268" s="452">
        <v>46113</v>
      </c>
      <c r="D1268" t="s">
        <v>557</v>
      </c>
      <c r="E1268">
        <v>19751</v>
      </c>
      <c r="F1268" t="s">
        <v>4800</v>
      </c>
      <c r="G1268">
        <v>14</v>
      </c>
      <c r="H1268" t="s">
        <v>4744</v>
      </c>
      <c r="I1268" t="s">
        <v>462</v>
      </c>
    </row>
    <row r="1269" spans="1:9" x14ac:dyDescent="0.3">
      <c r="A1269">
        <v>78955</v>
      </c>
      <c r="B1269">
        <v>105</v>
      </c>
      <c r="C1269" s="452">
        <v>46113</v>
      </c>
      <c r="D1269" t="s">
        <v>557</v>
      </c>
      <c r="E1269">
        <v>20301</v>
      </c>
      <c r="F1269" t="s">
        <v>4944</v>
      </c>
      <c r="G1269">
        <v>14</v>
      </c>
      <c r="H1269" t="s">
        <v>4738</v>
      </c>
      <c r="I1269" t="s">
        <v>462</v>
      </c>
    </row>
    <row r="1270" spans="1:9" x14ac:dyDescent="0.3">
      <c r="A1270">
        <v>78956</v>
      </c>
      <c r="B1270">
        <v>105</v>
      </c>
      <c r="C1270" s="452">
        <v>46113</v>
      </c>
      <c r="D1270" t="s">
        <v>557</v>
      </c>
      <c r="E1270">
        <v>25748</v>
      </c>
      <c r="F1270" t="s">
        <v>4999</v>
      </c>
      <c r="G1270">
        <v>14</v>
      </c>
      <c r="H1270" t="s">
        <v>4749</v>
      </c>
      <c r="I1270" t="s">
        <v>462</v>
      </c>
    </row>
    <row r="1271" spans="1:9" x14ac:dyDescent="0.3">
      <c r="A1271">
        <v>78957</v>
      </c>
      <c r="B1271">
        <v>105</v>
      </c>
      <c r="C1271" s="452">
        <v>46113</v>
      </c>
      <c r="D1271" t="s">
        <v>557</v>
      </c>
      <c r="E1271">
        <v>25755</v>
      </c>
      <c r="F1271" t="s">
        <v>4821</v>
      </c>
      <c r="G1271">
        <v>14</v>
      </c>
      <c r="H1271" t="s">
        <v>4749</v>
      </c>
      <c r="I1271" t="s">
        <v>462</v>
      </c>
    </row>
    <row r="1272" spans="1:9" x14ac:dyDescent="0.3">
      <c r="A1272">
        <v>78958</v>
      </c>
      <c r="B1272">
        <v>105</v>
      </c>
      <c r="C1272" s="452">
        <v>46113</v>
      </c>
      <c r="D1272" t="s">
        <v>557</v>
      </c>
      <c r="E1272">
        <v>27757</v>
      </c>
      <c r="F1272" t="s">
        <v>4942</v>
      </c>
      <c r="G1272">
        <v>14</v>
      </c>
      <c r="H1272" t="s">
        <v>4749</v>
      </c>
      <c r="I1272" t="s">
        <v>462</v>
      </c>
    </row>
    <row r="1273" spans="1:9" x14ac:dyDescent="0.3">
      <c r="A1273">
        <v>78959</v>
      </c>
      <c r="B1273">
        <v>105</v>
      </c>
      <c r="C1273" s="452">
        <v>46113</v>
      </c>
      <c r="D1273" t="s">
        <v>557</v>
      </c>
      <c r="E1273">
        <v>25750</v>
      </c>
      <c r="F1273" t="s">
        <v>4908</v>
      </c>
      <c r="G1273">
        <v>14</v>
      </c>
      <c r="H1273" t="s">
        <v>4736</v>
      </c>
      <c r="I1273" t="s">
        <v>462</v>
      </c>
    </row>
    <row r="1274" spans="1:9" x14ac:dyDescent="0.3">
      <c r="A1274">
        <v>78960</v>
      </c>
      <c r="B1274">
        <v>105</v>
      </c>
      <c r="C1274" s="452">
        <v>46113</v>
      </c>
      <c r="D1274" t="s">
        <v>557</v>
      </c>
      <c r="E1274">
        <v>25754</v>
      </c>
      <c r="F1274" t="s">
        <v>5142</v>
      </c>
      <c r="G1274">
        <v>14</v>
      </c>
      <c r="H1274" t="s">
        <v>4736</v>
      </c>
      <c r="I1274" t="s">
        <v>462</v>
      </c>
    </row>
    <row r="1275" spans="1:9" x14ac:dyDescent="0.3">
      <c r="A1275">
        <v>78961</v>
      </c>
      <c r="B1275">
        <v>105</v>
      </c>
      <c r="C1275" s="452">
        <v>46113</v>
      </c>
      <c r="D1275" t="s">
        <v>557</v>
      </c>
      <c r="E1275">
        <v>25762</v>
      </c>
      <c r="F1275" t="s">
        <v>4770</v>
      </c>
      <c r="G1275">
        <v>14</v>
      </c>
      <c r="H1275" t="s">
        <v>4736</v>
      </c>
      <c r="I1275" t="s">
        <v>462</v>
      </c>
    </row>
    <row r="1276" spans="1:9" x14ac:dyDescent="0.3">
      <c r="A1276">
        <v>78962</v>
      </c>
      <c r="B1276">
        <v>105</v>
      </c>
      <c r="C1276" s="452">
        <v>46113</v>
      </c>
      <c r="D1276" t="s">
        <v>557</v>
      </c>
      <c r="E1276">
        <v>19740</v>
      </c>
      <c r="F1276" t="s">
        <v>4779</v>
      </c>
      <c r="G1276">
        <v>13</v>
      </c>
      <c r="H1276" t="s">
        <v>4744</v>
      </c>
      <c r="I1276" t="s">
        <v>462</v>
      </c>
    </row>
    <row r="1277" spans="1:9" x14ac:dyDescent="0.3">
      <c r="A1277">
        <v>78963</v>
      </c>
      <c r="B1277">
        <v>105</v>
      </c>
      <c r="C1277" s="452">
        <v>46113</v>
      </c>
      <c r="D1277" t="s">
        <v>557</v>
      </c>
      <c r="E1277">
        <v>25237</v>
      </c>
      <c r="F1277" t="s">
        <v>5143</v>
      </c>
      <c r="G1277">
        <v>13</v>
      </c>
      <c r="H1277" t="s">
        <v>4736</v>
      </c>
      <c r="I1277" t="s">
        <v>462</v>
      </c>
    </row>
    <row r="1278" spans="1:9" x14ac:dyDescent="0.3">
      <c r="A1278">
        <v>78964</v>
      </c>
      <c r="B1278">
        <v>105</v>
      </c>
      <c r="C1278" s="452">
        <v>46113</v>
      </c>
      <c r="D1278" t="s">
        <v>557</v>
      </c>
      <c r="E1278">
        <v>25759</v>
      </c>
      <c r="F1278" t="s">
        <v>4877</v>
      </c>
      <c r="G1278">
        <v>13</v>
      </c>
      <c r="H1278" t="s">
        <v>4736</v>
      </c>
      <c r="I1278" t="s">
        <v>462</v>
      </c>
    </row>
    <row r="1279" spans="1:9" x14ac:dyDescent="0.3">
      <c r="A1279">
        <v>78965</v>
      </c>
      <c r="B1279">
        <v>105</v>
      </c>
      <c r="C1279" s="452">
        <v>46113</v>
      </c>
      <c r="D1279" t="s">
        <v>557</v>
      </c>
      <c r="E1279">
        <v>18945</v>
      </c>
      <c r="F1279" t="s">
        <v>4768</v>
      </c>
      <c r="G1279">
        <v>13</v>
      </c>
      <c r="H1279" t="s">
        <v>4744</v>
      </c>
      <c r="I1279" t="s">
        <v>462</v>
      </c>
    </row>
    <row r="1280" spans="1:9" x14ac:dyDescent="0.3">
      <c r="A1280">
        <v>78966</v>
      </c>
      <c r="B1280">
        <v>105</v>
      </c>
      <c r="C1280" s="452">
        <v>46113</v>
      </c>
      <c r="D1280" t="s">
        <v>557</v>
      </c>
      <c r="E1280">
        <v>19356</v>
      </c>
      <c r="F1280" t="s">
        <v>4799</v>
      </c>
      <c r="G1280">
        <v>12.57</v>
      </c>
      <c r="H1280" t="s">
        <v>4744</v>
      </c>
      <c r="I1280" t="s">
        <v>462</v>
      </c>
    </row>
    <row r="1281" spans="1:9" x14ac:dyDescent="0.3">
      <c r="A1281">
        <v>78967</v>
      </c>
      <c r="B1281">
        <v>105</v>
      </c>
      <c r="C1281" s="452">
        <v>46113</v>
      </c>
      <c r="D1281" t="s">
        <v>557</v>
      </c>
      <c r="E1281">
        <v>18030</v>
      </c>
      <c r="F1281" t="s">
        <v>4840</v>
      </c>
      <c r="G1281">
        <v>12.5</v>
      </c>
      <c r="H1281" t="s">
        <v>4805</v>
      </c>
      <c r="I1281" t="s">
        <v>462</v>
      </c>
    </row>
    <row r="1282" spans="1:9" x14ac:dyDescent="0.3">
      <c r="A1282">
        <v>78968</v>
      </c>
      <c r="B1282">
        <v>105</v>
      </c>
      <c r="C1282" s="452">
        <v>46113</v>
      </c>
      <c r="D1282" t="s">
        <v>557</v>
      </c>
      <c r="E1282">
        <v>20521</v>
      </c>
      <c r="F1282" t="s">
        <v>4797</v>
      </c>
      <c r="G1282">
        <v>12.5</v>
      </c>
      <c r="H1282" t="s">
        <v>4744</v>
      </c>
      <c r="I1282" t="s">
        <v>462</v>
      </c>
    </row>
    <row r="1283" spans="1:9" x14ac:dyDescent="0.3">
      <c r="A1283">
        <v>78969</v>
      </c>
      <c r="B1283">
        <v>105</v>
      </c>
      <c r="C1283" s="452">
        <v>46113</v>
      </c>
      <c r="D1283" t="s">
        <v>557</v>
      </c>
      <c r="E1283">
        <v>18991</v>
      </c>
      <c r="F1283" t="s">
        <v>4815</v>
      </c>
      <c r="G1283">
        <v>12</v>
      </c>
      <c r="H1283" t="s">
        <v>4744</v>
      </c>
      <c r="I1283" t="s">
        <v>462</v>
      </c>
    </row>
    <row r="1284" spans="1:9" x14ac:dyDescent="0.3">
      <c r="A1284">
        <v>78970</v>
      </c>
      <c r="B1284">
        <v>105</v>
      </c>
      <c r="C1284" s="452">
        <v>46113</v>
      </c>
      <c r="D1284" t="s">
        <v>557</v>
      </c>
      <c r="E1284">
        <v>26040</v>
      </c>
      <c r="F1284" t="s">
        <v>4812</v>
      </c>
      <c r="G1284">
        <v>12</v>
      </c>
      <c r="H1284" t="s">
        <v>4805</v>
      </c>
      <c r="I1284" t="s">
        <v>462</v>
      </c>
    </row>
    <row r="1285" spans="1:9" x14ac:dyDescent="0.3">
      <c r="A1285">
        <v>78971</v>
      </c>
      <c r="B1285">
        <v>105</v>
      </c>
      <c r="C1285" s="452">
        <v>46113</v>
      </c>
      <c r="D1285" t="s">
        <v>557</v>
      </c>
      <c r="E1285">
        <v>25753</v>
      </c>
      <c r="F1285" t="s">
        <v>5144</v>
      </c>
      <c r="G1285">
        <v>12</v>
      </c>
      <c r="H1285" t="s">
        <v>4736</v>
      </c>
      <c r="I1285" t="s">
        <v>462</v>
      </c>
    </row>
    <row r="1286" spans="1:9" x14ac:dyDescent="0.3">
      <c r="A1286">
        <v>78972</v>
      </c>
      <c r="B1286">
        <v>105</v>
      </c>
      <c r="C1286" s="452">
        <v>46113</v>
      </c>
      <c r="D1286" t="s">
        <v>557</v>
      </c>
      <c r="E1286">
        <v>25763</v>
      </c>
      <c r="F1286" t="s">
        <v>4943</v>
      </c>
      <c r="G1286">
        <v>12</v>
      </c>
      <c r="H1286" t="s">
        <v>4736</v>
      </c>
      <c r="I1286" t="s">
        <v>462</v>
      </c>
    </row>
    <row r="1287" spans="1:9" x14ac:dyDescent="0.3">
      <c r="A1287">
        <v>78973</v>
      </c>
      <c r="B1287">
        <v>105</v>
      </c>
      <c r="C1287" s="452">
        <v>46113</v>
      </c>
      <c r="D1287" t="s">
        <v>557</v>
      </c>
      <c r="E1287">
        <v>26103</v>
      </c>
      <c r="F1287" t="s">
        <v>4776</v>
      </c>
      <c r="G1287">
        <v>12</v>
      </c>
      <c r="H1287" t="s">
        <v>4749</v>
      </c>
      <c r="I1287" t="s">
        <v>462</v>
      </c>
    </row>
    <row r="1288" spans="1:9" x14ac:dyDescent="0.3">
      <c r="A1288">
        <v>78974</v>
      </c>
      <c r="B1288">
        <v>105</v>
      </c>
      <c r="C1288" s="452">
        <v>46113</v>
      </c>
      <c r="D1288" t="s">
        <v>557</v>
      </c>
      <c r="E1288">
        <v>19621</v>
      </c>
      <c r="F1288" t="s">
        <v>4829</v>
      </c>
      <c r="G1288">
        <v>11.75</v>
      </c>
      <c r="H1288" t="s">
        <v>4744</v>
      </c>
      <c r="I1288" t="s">
        <v>462</v>
      </c>
    </row>
    <row r="1289" spans="1:9" x14ac:dyDescent="0.3">
      <c r="A1289">
        <v>78975</v>
      </c>
      <c r="B1289">
        <v>105</v>
      </c>
      <c r="C1289" s="452">
        <v>46113</v>
      </c>
      <c r="D1289" t="s">
        <v>557</v>
      </c>
      <c r="E1289">
        <v>19654</v>
      </c>
      <c r="F1289" t="s">
        <v>5099</v>
      </c>
      <c r="G1289">
        <v>11.55</v>
      </c>
      <c r="H1289" t="s">
        <v>4744</v>
      </c>
      <c r="I1289" t="s">
        <v>462</v>
      </c>
    </row>
    <row r="1290" spans="1:9" x14ac:dyDescent="0.3">
      <c r="A1290">
        <v>78976</v>
      </c>
      <c r="B1290">
        <v>105</v>
      </c>
      <c r="C1290" s="452">
        <v>46113</v>
      </c>
      <c r="D1290" t="s">
        <v>557</v>
      </c>
      <c r="E1290">
        <v>26005</v>
      </c>
      <c r="F1290" t="s">
        <v>4907</v>
      </c>
      <c r="G1290">
        <v>0.92</v>
      </c>
      <c r="H1290" t="s">
        <v>4749</v>
      </c>
      <c r="I1290" t="s">
        <v>462</v>
      </c>
    </row>
    <row r="1291" spans="1:9" x14ac:dyDescent="0.3">
      <c r="A1291">
        <v>78977</v>
      </c>
      <c r="B1291">
        <v>105</v>
      </c>
      <c r="C1291" s="452">
        <v>46113</v>
      </c>
      <c r="D1291" t="s">
        <v>557</v>
      </c>
      <c r="E1291">
        <v>20544</v>
      </c>
      <c r="F1291" t="s">
        <v>4808</v>
      </c>
      <c r="G1291">
        <v>10.95</v>
      </c>
      <c r="H1291" t="s">
        <v>4744</v>
      </c>
      <c r="I1291" t="s">
        <v>462</v>
      </c>
    </row>
    <row r="1292" spans="1:9" x14ac:dyDescent="0.3">
      <c r="A1292">
        <v>78978</v>
      </c>
      <c r="B1292">
        <v>105</v>
      </c>
      <c r="C1292" s="452">
        <v>46113</v>
      </c>
      <c r="D1292" t="s">
        <v>557</v>
      </c>
      <c r="E1292">
        <v>24259</v>
      </c>
      <c r="F1292" t="s">
        <v>4875</v>
      </c>
      <c r="G1292">
        <v>10.9</v>
      </c>
      <c r="H1292" t="s">
        <v>4744</v>
      </c>
      <c r="I1292" t="s">
        <v>462</v>
      </c>
    </row>
    <row r="1293" spans="1:9" x14ac:dyDescent="0.3">
      <c r="A1293">
        <v>78979</v>
      </c>
      <c r="B1293">
        <v>105</v>
      </c>
      <c r="C1293" s="452">
        <v>46113</v>
      </c>
      <c r="D1293" t="s">
        <v>557</v>
      </c>
      <c r="E1293">
        <v>19752</v>
      </c>
      <c r="F1293" t="s">
        <v>4807</v>
      </c>
      <c r="G1293">
        <v>10.7</v>
      </c>
      <c r="H1293" t="s">
        <v>4744</v>
      </c>
      <c r="I1293" t="s">
        <v>462</v>
      </c>
    </row>
    <row r="1294" spans="1:9" x14ac:dyDescent="0.3">
      <c r="A1294">
        <v>78980</v>
      </c>
      <c r="B1294">
        <v>105</v>
      </c>
      <c r="C1294" s="452">
        <v>46113</v>
      </c>
      <c r="D1294" t="s">
        <v>557</v>
      </c>
      <c r="E1294">
        <v>24351</v>
      </c>
      <c r="F1294" t="s">
        <v>5014</v>
      </c>
      <c r="G1294">
        <v>10.1</v>
      </c>
      <c r="H1294" t="s">
        <v>4736</v>
      </c>
      <c r="I1294" t="s">
        <v>462</v>
      </c>
    </row>
    <row r="1295" spans="1:9" x14ac:dyDescent="0.3">
      <c r="A1295">
        <v>78981</v>
      </c>
      <c r="B1295">
        <v>105</v>
      </c>
      <c r="C1295" s="452">
        <v>46113</v>
      </c>
      <c r="D1295" t="s">
        <v>557</v>
      </c>
      <c r="E1295">
        <v>24141</v>
      </c>
      <c r="F1295" t="s">
        <v>5088</v>
      </c>
      <c r="G1295">
        <v>0.42</v>
      </c>
      <c r="H1295" t="s">
        <v>4749</v>
      </c>
      <c r="I1295" t="s">
        <v>462</v>
      </c>
    </row>
    <row r="1296" spans="1:9" x14ac:dyDescent="0.3">
      <c r="A1296">
        <v>78982</v>
      </c>
      <c r="B1296">
        <v>105</v>
      </c>
      <c r="C1296" s="452">
        <v>46113</v>
      </c>
      <c r="D1296" t="s">
        <v>557</v>
      </c>
      <c r="E1296">
        <v>23389</v>
      </c>
      <c r="F1296" t="s">
        <v>4960</v>
      </c>
      <c r="G1296">
        <v>10</v>
      </c>
      <c r="H1296" t="s">
        <v>4744</v>
      </c>
      <c r="I1296" t="s">
        <v>462</v>
      </c>
    </row>
    <row r="1297" spans="1:9" x14ac:dyDescent="0.3">
      <c r="A1297">
        <v>78983</v>
      </c>
      <c r="B1297">
        <v>105</v>
      </c>
      <c r="C1297" s="452">
        <v>46113</v>
      </c>
      <c r="D1297" t="s">
        <v>557</v>
      </c>
      <c r="E1297">
        <v>18822</v>
      </c>
      <c r="F1297" t="s">
        <v>4811</v>
      </c>
      <c r="G1297">
        <v>9.4</v>
      </c>
      <c r="H1297" t="s">
        <v>4744</v>
      </c>
      <c r="I1297" t="s">
        <v>462</v>
      </c>
    </row>
    <row r="1298" spans="1:9" x14ac:dyDescent="0.3">
      <c r="A1298">
        <v>78984</v>
      </c>
      <c r="B1298">
        <v>105</v>
      </c>
      <c r="C1298" s="452">
        <v>46113</v>
      </c>
      <c r="D1298" t="s">
        <v>557</v>
      </c>
      <c r="E1298">
        <v>26135</v>
      </c>
      <c r="F1298" t="s">
        <v>4801</v>
      </c>
      <c r="G1298">
        <v>9.4</v>
      </c>
      <c r="H1298" t="s">
        <v>4744</v>
      </c>
      <c r="I1298" t="s">
        <v>462</v>
      </c>
    </row>
    <row r="1299" spans="1:9" x14ac:dyDescent="0.3">
      <c r="A1299">
        <v>78985</v>
      </c>
      <c r="B1299">
        <v>105</v>
      </c>
      <c r="C1299" s="452">
        <v>46113</v>
      </c>
      <c r="D1299" t="s">
        <v>557</v>
      </c>
      <c r="E1299">
        <v>27657</v>
      </c>
      <c r="F1299" t="s">
        <v>5137</v>
      </c>
      <c r="G1299">
        <v>9.1999999999999993</v>
      </c>
      <c r="H1299" t="s">
        <v>4744</v>
      </c>
      <c r="I1299" t="s">
        <v>462</v>
      </c>
    </row>
    <row r="1300" spans="1:9" x14ac:dyDescent="0.3">
      <c r="A1300">
        <v>78986</v>
      </c>
      <c r="B1300">
        <v>105</v>
      </c>
      <c r="C1300" s="452">
        <v>46113</v>
      </c>
      <c r="D1300" t="s">
        <v>557</v>
      </c>
      <c r="E1300">
        <v>18253</v>
      </c>
      <c r="F1300" t="s">
        <v>4969</v>
      </c>
      <c r="G1300">
        <v>9</v>
      </c>
      <c r="H1300" t="s">
        <v>4805</v>
      </c>
      <c r="I1300" t="s">
        <v>462</v>
      </c>
    </row>
    <row r="1301" spans="1:9" x14ac:dyDescent="0.3">
      <c r="A1301">
        <v>78987</v>
      </c>
      <c r="B1301">
        <v>105</v>
      </c>
      <c r="C1301" s="452">
        <v>46113</v>
      </c>
      <c r="D1301" t="s">
        <v>557</v>
      </c>
      <c r="E1301">
        <v>20242</v>
      </c>
      <c r="F1301" t="s">
        <v>4824</v>
      </c>
      <c r="G1301">
        <v>9</v>
      </c>
      <c r="H1301" t="s">
        <v>4738</v>
      </c>
      <c r="I1301" t="s">
        <v>462</v>
      </c>
    </row>
    <row r="1302" spans="1:9" x14ac:dyDescent="0.3">
      <c r="A1302">
        <v>78988</v>
      </c>
      <c r="B1302">
        <v>105</v>
      </c>
      <c r="C1302" s="452">
        <v>46113</v>
      </c>
      <c r="D1302" t="s">
        <v>557</v>
      </c>
      <c r="E1302">
        <v>24339</v>
      </c>
      <c r="F1302" t="s">
        <v>4885</v>
      </c>
      <c r="G1302">
        <v>9</v>
      </c>
      <c r="H1302" t="s">
        <v>4744</v>
      </c>
      <c r="I1302" t="s">
        <v>462</v>
      </c>
    </row>
    <row r="1303" spans="1:9" x14ac:dyDescent="0.3">
      <c r="A1303">
        <v>78989</v>
      </c>
      <c r="B1303">
        <v>105</v>
      </c>
      <c r="C1303" s="452">
        <v>46113</v>
      </c>
      <c r="D1303" t="s">
        <v>557</v>
      </c>
      <c r="E1303">
        <v>21030</v>
      </c>
      <c r="F1303" t="s">
        <v>5145</v>
      </c>
      <c r="G1303">
        <v>9</v>
      </c>
      <c r="H1303" t="s">
        <v>4736</v>
      </c>
      <c r="I1303" t="s">
        <v>462</v>
      </c>
    </row>
    <row r="1304" spans="1:9" x14ac:dyDescent="0.3">
      <c r="A1304">
        <v>78990</v>
      </c>
      <c r="B1304">
        <v>105</v>
      </c>
      <c r="C1304" s="452">
        <v>46113</v>
      </c>
      <c r="D1304" t="s">
        <v>557</v>
      </c>
      <c r="E1304">
        <v>23785</v>
      </c>
      <c r="F1304" t="s">
        <v>4858</v>
      </c>
      <c r="G1304">
        <v>8.5</v>
      </c>
      <c r="H1304" t="s">
        <v>4744</v>
      </c>
      <c r="I1304" t="s">
        <v>462</v>
      </c>
    </row>
    <row r="1305" spans="1:9" x14ac:dyDescent="0.3">
      <c r="A1305">
        <v>78991</v>
      </c>
      <c r="B1305">
        <v>105</v>
      </c>
      <c r="C1305" s="452">
        <v>46113</v>
      </c>
      <c r="D1305" t="s">
        <v>557</v>
      </c>
      <c r="E1305">
        <v>18996</v>
      </c>
      <c r="F1305" t="s">
        <v>5130</v>
      </c>
      <c r="G1305">
        <v>8.1999999999999993</v>
      </c>
      <c r="H1305" t="s">
        <v>4744</v>
      </c>
      <c r="I1305" t="s">
        <v>462</v>
      </c>
    </row>
    <row r="1306" spans="1:9" x14ac:dyDescent="0.3">
      <c r="A1306">
        <v>78992</v>
      </c>
      <c r="B1306">
        <v>105</v>
      </c>
      <c r="C1306" s="452">
        <v>46113</v>
      </c>
      <c r="D1306" t="s">
        <v>557</v>
      </c>
      <c r="E1306">
        <v>21047</v>
      </c>
      <c r="F1306" t="s">
        <v>4847</v>
      </c>
      <c r="G1306">
        <v>8.1999999999999993</v>
      </c>
      <c r="H1306" t="s">
        <v>4848</v>
      </c>
      <c r="I1306" t="s">
        <v>462</v>
      </c>
    </row>
    <row r="1307" spans="1:9" x14ac:dyDescent="0.3">
      <c r="A1307">
        <v>78993</v>
      </c>
      <c r="B1307">
        <v>105</v>
      </c>
      <c r="C1307" s="452">
        <v>46113</v>
      </c>
      <c r="D1307" t="s">
        <v>557</v>
      </c>
      <c r="E1307">
        <v>19346</v>
      </c>
      <c r="F1307" t="s">
        <v>4835</v>
      </c>
      <c r="G1307">
        <v>8.1999999999999993</v>
      </c>
      <c r="H1307" t="s">
        <v>4744</v>
      </c>
      <c r="I1307" t="s">
        <v>462</v>
      </c>
    </row>
    <row r="1308" spans="1:9" x14ac:dyDescent="0.3">
      <c r="A1308">
        <v>78994</v>
      </c>
      <c r="B1308">
        <v>105</v>
      </c>
      <c r="C1308" s="452">
        <v>46113</v>
      </c>
      <c r="D1308" t="s">
        <v>557</v>
      </c>
      <c r="E1308">
        <v>19917</v>
      </c>
      <c r="F1308" t="s">
        <v>5131</v>
      </c>
      <c r="G1308">
        <v>8</v>
      </c>
      <c r="H1308" t="s">
        <v>4738</v>
      </c>
      <c r="I1308" t="s">
        <v>462</v>
      </c>
    </row>
    <row r="1309" spans="1:9" x14ac:dyDescent="0.3">
      <c r="A1309">
        <v>78995</v>
      </c>
      <c r="B1309">
        <v>105</v>
      </c>
      <c r="C1309" s="452">
        <v>46113</v>
      </c>
      <c r="D1309" t="s">
        <v>557</v>
      </c>
      <c r="E1309">
        <v>20382</v>
      </c>
      <c r="F1309" t="s">
        <v>4780</v>
      </c>
      <c r="G1309">
        <v>8</v>
      </c>
      <c r="H1309" t="s">
        <v>4738</v>
      </c>
      <c r="I1309" t="s">
        <v>462</v>
      </c>
    </row>
    <row r="1310" spans="1:9" x14ac:dyDescent="0.3">
      <c r="A1310">
        <v>78996</v>
      </c>
      <c r="B1310">
        <v>105</v>
      </c>
      <c r="C1310" s="452">
        <v>46113</v>
      </c>
      <c r="D1310" t="s">
        <v>557</v>
      </c>
      <c r="E1310">
        <v>18547</v>
      </c>
      <c r="F1310" t="s">
        <v>4863</v>
      </c>
      <c r="G1310">
        <v>7.6</v>
      </c>
      <c r="H1310" t="s">
        <v>4805</v>
      </c>
      <c r="I1310" t="s">
        <v>462</v>
      </c>
    </row>
    <row r="1311" spans="1:9" x14ac:dyDescent="0.3">
      <c r="A1311">
        <v>78997</v>
      </c>
      <c r="B1311">
        <v>105</v>
      </c>
      <c r="C1311" s="452">
        <v>46113</v>
      </c>
      <c r="D1311" t="s">
        <v>557</v>
      </c>
      <c r="E1311">
        <v>19505</v>
      </c>
      <c r="F1311" t="s">
        <v>4872</v>
      </c>
      <c r="G1311">
        <v>7.2</v>
      </c>
      <c r="H1311" t="s">
        <v>4744</v>
      </c>
      <c r="I1311" t="s">
        <v>462</v>
      </c>
    </row>
    <row r="1312" spans="1:9" x14ac:dyDescent="0.3">
      <c r="A1312">
        <v>78998</v>
      </c>
      <c r="B1312">
        <v>105</v>
      </c>
      <c r="C1312" s="452">
        <v>46113</v>
      </c>
      <c r="D1312" t="s">
        <v>557</v>
      </c>
      <c r="E1312">
        <v>19291</v>
      </c>
      <c r="F1312" t="s">
        <v>4870</v>
      </c>
      <c r="G1312">
        <v>7</v>
      </c>
      <c r="H1312" t="s">
        <v>4744</v>
      </c>
      <c r="I1312" t="s">
        <v>462</v>
      </c>
    </row>
    <row r="1313" spans="1:9" x14ac:dyDescent="0.3">
      <c r="A1313">
        <v>78999</v>
      </c>
      <c r="B1313">
        <v>105</v>
      </c>
      <c r="C1313" s="452">
        <v>46113</v>
      </c>
      <c r="D1313" t="s">
        <v>557</v>
      </c>
      <c r="E1313">
        <v>19649</v>
      </c>
      <c r="F1313" t="s">
        <v>4859</v>
      </c>
      <c r="G1313">
        <v>7</v>
      </c>
      <c r="H1313" t="s">
        <v>4744</v>
      </c>
      <c r="I1313" t="s">
        <v>462</v>
      </c>
    </row>
    <row r="1314" spans="1:9" x14ac:dyDescent="0.3">
      <c r="A1314">
        <v>79000</v>
      </c>
      <c r="B1314">
        <v>105</v>
      </c>
      <c r="C1314" s="452">
        <v>46113</v>
      </c>
      <c r="D1314" t="s">
        <v>557</v>
      </c>
      <c r="E1314">
        <v>20054</v>
      </c>
      <c r="F1314" t="s">
        <v>4856</v>
      </c>
      <c r="G1314">
        <v>7</v>
      </c>
      <c r="H1314" t="s">
        <v>4736</v>
      </c>
      <c r="I1314" t="s">
        <v>462</v>
      </c>
    </row>
    <row r="1315" spans="1:9" x14ac:dyDescent="0.3">
      <c r="A1315">
        <v>79001</v>
      </c>
      <c r="B1315">
        <v>105</v>
      </c>
      <c r="C1315" s="452">
        <v>46113</v>
      </c>
      <c r="D1315" t="s">
        <v>557</v>
      </c>
      <c r="E1315">
        <v>20227</v>
      </c>
      <c r="F1315" t="s">
        <v>4825</v>
      </c>
      <c r="G1315">
        <v>7</v>
      </c>
      <c r="H1315" t="s">
        <v>4738</v>
      </c>
      <c r="I1315" t="s">
        <v>462</v>
      </c>
    </row>
    <row r="1316" spans="1:9" x14ac:dyDescent="0.3">
      <c r="A1316">
        <v>79002</v>
      </c>
      <c r="B1316">
        <v>105</v>
      </c>
      <c r="C1316" s="452">
        <v>46113</v>
      </c>
      <c r="D1316" t="s">
        <v>557</v>
      </c>
      <c r="E1316">
        <v>20657</v>
      </c>
      <c r="F1316" t="s">
        <v>5109</v>
      </c>
      <c r="G1316">
        <v>7</v>
      </c>
      <c r="H1316" t="s">
        <v>4736</v>
      </c>
      <c r="I1316" t="s">
        <v>462</v>
      </c>
    </row>
    <row r="1317" spans="1:9" x14ac:dyDescent="0.3">
      <c r="A1317">
        <v>79003</v>
      </c>
      <c r="B1317">
        <v>105</v>
      </c>
      <c r="C1317" s="452">
        <v>46113</v>
      </c>
      <c r="D1317" t="s">
        <v>557</v>
      </c>
      <c r="E1317">
        <v>17092</v>
      </c>
      <c r="F1317" t="s">
        <v>5146</v>
      </c>
      <c r="G1317">
        <v>7</v>
      </c>
      <c r="H1317" t="s">
        <v>4736</v>
      </c>
      <c r="I1317" t="s">
        <v>462</v>
      </c>
    </row>
    <row r="1318" spans="1:9" x14ac:dyDescent="0.3">
      <c r="A1318">
        <v>79004</v>
      </c>
      <c r="B1318">
        <v>105</v>
      </c>
      <c r="C1318" s="452">
        <v>46113</v>
      </c>
      <c r="D1318" t="s">
        <v>557</v>
      </c>
      <c r="E1318">
        <v>24320</v>
      </c>
      <c r="F1318" t="s">
        <v>4861</v>
      </c>
      <c r="G1318">
        <v>6.84</v>
      </c>
      <c r="H1318" t="s">
        <v>4744</v>
      </c>
      <c r="I1318" t="s">
        <v>462</v>
      </c>
    </row>
    <row r="1319" spans="1:9" x14ac:dyDescent="0.3">
      <c r="A1319">
        <v>79005</v>
      </c>
      <c r="B1319">
        <v>105</v>
      </c>
      <c r="C1319" s="452">
        <v>46113</v>
      </c>
      <c r="D1319" t="s">
        <v>557</v>
      </c>
      <c r="E1319">
        <v>18315</v>
      </c>
      <c r="F1319" t="s">
        <v>4922</v>
      </c>
      <c r="G1319">
        <v>6.5</v>
      </c>
      <c r="H1319" t="s">
        <v>4805</v>
      </c>
      <c r="I1319" t="s">
        <v>462</v>
      </c>
    </row>
    <row r="1320" spans="1:9" x14ac:dyDescent="0.3">
      <c r="A1320">
        <v>79006</v>
      </c>
      <c r="B1320">
        <v>105</v>
      </c>
      <c r="C1320" s="452">
        <v>46113</v>
      </c>
      <c r="D1320" t="s">
        <v>557</v>
      </c>
      <c r="E1320">
        <v>20549</v>
      </c>
      <c r="F1320" t="s">
        <v>4823</v>
      </c>
      <c r="G1320">
        <v>6.5</v>
      </c>
      <c r="H1320" t="s">
        <v>4744</v>
      </c>
      <c r="I1320" t="s">
        <v>462</v>
      </c>
    </row>
    <row r="1321" spans="1:9" x14ac:dyDescent="0.3">
      <c r="A1321">
        <v>79007</v>
      </c>
      <c r="B1321">
        <v>105</v>
      </c>
      <c r="C1321" s="452">
        <v>46113</v>
      </c>
      <c r="D1321" t="s">
        <v>557</v>
      </c>
      <c r="E1321">
        <v>18491</v>
      </c>
      <c r="F1321" t="s">
        <v>4839</v>
      </c>
      <c r="G1321">
        <v>6.3</v>
      </c>
      <c r="H1321" t="s">
        <v>4805</v>
      </c>
      <c r="I1321" t="s">
        <v>462</v>
      </c>
    </row>
    <row r="1322" spans="1:9" x14ac:dyDescent="0.3">
      <c r="A1322">
        <v>79008</v>
      </c>
      <c r="B1322">
        <v>105</v>
      </c>
      <c r="C1322" s="452">
        <v>46113</v>
      </c>
      <c r="D1322" t="s">
        <v>557</v>
      </c>
      <c r="E1322">
        <v>20122</v>
      </c>
      <c r="F1322" t="s">
        <v>4781</v>
      </c>
      <c r="G1322">
        <v>6</v>
      </c>
      <c r="H1322" t="s">
        <v>4738</v>
      </c>
      <c r="I1322" t="s">
        <v>462</v>
      </c>
    </row>
    <row r="1323" spans="1:9" x14ac:dyDescent="0.3">
      <c r="A1323">
        <v>79009</v>
      </c>
      <c r="B1323">
        <v>105</v>
      </c>
      <c r="C1323" s="452">
        <v>46113</v>
      </c>
      <c r="D1323" t="s">
        <v>557</v>
      </c>
      <c r="E1323">
        <v>21257</v>
      </c>
      <c r="F1323" t="s">
        <v>4952</v>
      </c>
      <c r="G1323">
        <v>6</v>
      </c>
      <c r="H1323" t="s">
        <v>4736</v>
      </c>
      <c r="I1323" t="s">
        <v>462</v>
      </c>
    </row>
    <row r="1324" spans="1:9" x14ac:dyDescent="0.3">
      <c r="A1324">
        <v>79010</v>
      </c>
      <c r="B1324">
        <v>105</v>
      </c>
      <c r="C1324" s="452">
        <v>46113</v>
      </c>
      <c r="D1324" t="s">
        <v>557</v>
      </c>
      <c r="E1324">
        <v>26038</v>
      </c>
      <c r="F1324" t="s">
        <v>4976</v>
      </c>
      <c r="G1324">
        <v>6</v>
      </c>
      <c r="H1324" t="s">
        <v>4805</v>
      </c>
      <c r="I1324" t="s">
        <v>462</v>
      </c>
    </row>
    <row r="1325" spans="1:9" x14ac:dyDescent="0.3">
      <c r="A1325">
        <v>79011</v>
      </c>
      <c r="B1325">
        <v>105</v>
      </c>
      <c r="C1325" s="452">
        <v>46113</v>
      </c>
      <c r="D1325" t="s">
        <v>557</v>
      </c>
      <c r="E1325">
        <v>18735</v>
      </c>
      <c r="F1325" t="s">
        <v>4891</v>
      </c>
      <c r="G1325">
        <v>5.8</v>
      </c>
      <c r="H1325" t="s">
        <v>4744</v>
      </c>
      <c r="I1325" t="s">
        <v>462</v>
      </c>
    </row>
    <row r="1326" spans="1:9" x14ac:dyDescent="0.3">
      <c r="A1326">
        <v>79012</v>
      </c>
      <c r="B1326">
        <v>105</v>
      </c>
      <c r="C1326" s="452">
        <v>46113</v>
      </c>
      <c r="D1326" t="s">
        <v>557</v>
      </c>
      <c r="E1326">
        <v>20138</v>
      </c>
      <c r="F1326" t="s">
        <v>4886</v>
      </c>
      <c r="G1326">
        <v>5.5</v>
      </c>
      <c r="H1326" t="s">
        <v>4738</v>
      </c>
      <c r="I1326" t="s">
        <v>462</v>
      </c>
    </row>
    <row r="1327" spans="1:9" x14ac:dyDescent="0.3">
      <c r="A1327">
        <v>79013</v>
      </c>
      <c r="B1327">
        <v>105</v>
      </c>
      <c r="C1327" s="452">
        <v>46113</v>
      </c>
      <c r="D1327" t="s">
        <v>557</v>
      </c>
      <c r="E1327">
        <v>24200</v>
      </c>
      <c r="F1327" t="s">
        <v>4820</v>
      </c>
      <c r="G1327">
        <v>5.5</v>
      </c>
      <c r="H1327" t="s">
        <v>4744</v>
      </c>
      <c r="I1327" t="s">
        <v>462</v>
      </c>
    </row>
    <row r="1328" spans="1:9" x14ac:dyDescent="0.3">
      <c r="A1328">
        <v>79014</v>
      </c>
      <c r="B1328">
        <v>105</v>
      </c>
      <c r="C1328" s="452">
        <v>46113</v>
      </c>
      <c r="D1328" t="s">
        <v>557</v>
      </c>
      <c r="E1328">
        <v>18359</v>
      </c>
      <c r="F1328" t="s">
        <v>4921</v>
      </c>
      <c r="G1328">
        <v>5.2</v>
      </c>
      <c r="H1328" t="s">
        <v>4805</v>
      </c>
      <c r="I1328" t="s">
        <v>462</v>
      </c>
    </row>
    <row r="1329" spans="1:9" x14ac:dyDescent="0.3">
      <c r="A1329">
        <v>79015</v>
      </c>
      <c r="B1329">
        <v>105</v>
      </c>
      <c r="C1329" s="452">
        <v>46113</v>
      </c>
      <c r="D1329" t="s">
        <v>557</v>
      </c>
      <c r="E1329">
        <v>19439</v>
      </c>
      <c r="F1329" t="s">
        <v>4917</v>
      </c>
      <c r="G1329">
        <v>5</v>
      </c>
      <c r="H1329" t="s">
        <v>4744</v>
      </c>
      <c r="I1329" t="s">
        <v>462</v>
      </c>
    </row>
    <row r="1330" spans="1:9" x14ac:dyDescent="0.3">
      <c r="A1330">
        <v>79016</v>
      </c>
      <c r="B1330">
        <v>105</v>
      </c>
      <c r="C1330" s="452">
        <v>46113</v>
      </c>
      <c r="D1330" t="s">
        <v>557</v>
      </c>
      <c r="E1330">
        <v>20887</v>
      </c>
      <c r="F1330" t="s">
        <v>4953</v>
      </c>
      <c r="G1330">
        <v>5</v>
      </c>
      <c r="H1330" t="s">
        <v>4879</v>
      </c>
      <c r="I1330" t="s">
        <v>462</v>
      </c>
    </row>
    <row r="1331" spans="1:9" x14ac:dyDescent="0.3">
      <c r="A1331">
        <v>79017</v>
      </c>
      <c r="B1331">
        <v>105</v>
      </c>
      <c r="C1331" s="452">
        <v>46113</v>
      </c>
      <c r="D1331" t="s">
        <v>557</v>
      </c>
      <c r="E1331">
        <v>21021</v>
      </c>
      <c r="F1331" t="s">
        <v>4883</v>
      </c>
      <c r="G1331">
        <v>5</v>
      </c>
      <c r="H1331" t="s">
        <v>4884</v>
      </c>
      <c r="I1331" t="s">
        <v>462</v>
      </c>
    </row>
    <row r="1332" spans="1:9" x14ac:dyDescent="0.3">
      <c r="A1332">
        <v>79018</v>
      </c>
      <c r="B1332">
        <v>105</v>
      </c>
      <c r="C1332" s="452">
        <v>46113</v>
      </c>
      <c r="D1332" t="s">
        <v>557</v>
      </c>
      <c r="E1332">
        <v>24278</v>
      </c>
      <c r="F1332" t="s">
        <v>4901</v>
      </c>
      <c r="G1332">
        <v>5</v>
      </c>
      <c r="H1332" t="s">
        <v>4744</v>
      </c>
      <c r="I1332" t="s">
        <v>462</v>
      </c>
    </row>
    <row r="1333" spans="1:9" x14ac:dyDescent="0.3">
      <c r="A1333">
        <v>79019</v>
      </c>
      <c r="B1333">
        <v>105</v>
      </c>
      <c r="C1333" s="452">
        <v>46113</v>
      </c>
      <c r="D1333" t="s">
        <v>557</v>
      </c>
      <c r="E1333">
        <v>26036</v>
      </c>
      <c r="F1333" t="s">
        <v>4841</v>
      </c>
      <c r="G1333">
        <v>5</v>
      </c>
      <c r="H1333" t="s">
        <v>4805</v>
      </c>
      <c r="I1333" t="s">
        <v>462</v>
      </c>
    </row>
    <row r="1334" spans="1:9" x14ac:dyDescent="0.3">
      <c r="A1334">
        <v>79020</v>
      </c>
      <c r="B1334">
        <v>105</v>
      </c>
      <c r="C1334" s="452">
        <v>46113</v>
      </c>
      <c r="D1334" t="s">
        <v>557</v>
      </c>
      <c r="E1334">
        <v>18502</v>
      </c>
      <c r="F1334" t="s">
        <v>4893</v>
      </c>
      <c r="G1334">
        <v>4.9000000000000004</v>
      </c>
      <c r="H1334" t="s">
        <v>4805</v>
      </c>
      <c r="I1334" t="s">
        <v>462</v>
      </c>
    </row>
    <row r="1335" spans="1:9" x14ac:dyDescent="0.3">
      <c r="A1335">
        <v>79021</v>
      </c>
      <c r="B1335">
        <v>105</v>
      </c>
      <c r="C1335" s="452">
        <v>46113</v>
      </c>
      <c r="D1335" t="s">
        <v>557</v>
      </c>
      <c r="E1335">
        <v>19742</v>
      </c>
      <c r="F1335" t="s">
        <v>4900</v>
      </c>
      <c r="G1335">
        <v>4.71</v>
      </c>
      <c r="H1335" t="s">
        <v>4744</v>
      </c>
      <c r="I1335" t="s">
        <v>462</v>
      </c>
    </row>
    <row r="1336" spans="1:9" x14ac:dyDescent="0.3">
      <c r="A1336">
        <v>79022</v>
      </c>
      <c r="B1336">
        <v>105</v>
      </c>
      <c r="C1336" s="452">
        <v>46113</v>
      </c>
      <c r="D1336" t="s">
        <v>557</v>
      </c>
      <c r="E1336">
        <v>18179</v>
      </c>
      <c r="F1336" t="s">
        <v>4924</v>
      </c>
      <c r="G1336">
        <v>4.7</v>
      </c>
      <c r="H1336" t="s">
        <v>4805</v>
      </c>
      <c r="I1336" t="s">
        <v>462</v>
      </c>
    </row>
    <row r="1337" spans="1:9" x14ac:dyDescent="0.3">
      <c r="A1337">
        <v>79023</v>
      </c>
      <c r="B1337">
        <v>105</v>
      </c>
      <c r="C1337" s="452">
        <v>46113</v>
      </c>
      <c r="D1337" t="s">
        <v>557</v>
      </c>
      <c r="E1337">
        <v>20322</v>
      </c>
      <c r="F1337" t="s">
        <v>4882</v>
      </c>
      <c r="G1337">
        <v>4.5</v>
      </c>
      <c r="H1337" t="s">
        <v>4738</v>
      </c>
      <c r="I1337" t="s">
        <v>462</v>
      </c>
    </row>
    <row r="1338" spans="1:9" x14ac:dyDescent="0.3">
      <c r="A1338">
        <v>79024</v>
      </c>
      <c r="B1338">
        <v>105</v>
      </c>
      <c r="C1338" s="452">
        <v>46113</v>
      </c>
      <c r="D1338" t="s">
        <v>557</v>
      </c>
      <c r="E1338">
        <v>23335</v>
      </c>
      <c r="F1338" t="s">
        <v>4961</v>
      </c>
      <c r="G1338">
        <v>4.5</v>
      </c>
      <c r="H1338" t="s">
        <v>4744</v>
      </c>
      <c r="I1338" t="s">
        <v>462</v>
      </c>
    </row>
    <row r="1339" spans="1:9" x14ac:dyDescent="0.3">
      <c r="A1339">
        <v>79025</v>
      </c>
      <c r="B1339">
        <v>105</v>
      </c>
      <c r="C1339" s="452">
        <v>46113</v>
      </c>
      <c r="D1339" t="s">
        <v>557</v>
      </c>
      <c r="E1339">
        <v>24191</v>
      </c>
      <c r="F1339" t="s">
        <v>4846</v>
      </c>
      <c r="G1339">
        <v>4.5</v>
      </c>
      <c r="H1339" t="s">
        <v>4744</v>
      </c>
      <c r="I1339" t="s">
        <v>462</v>
      </c>
    </row>
    <row r="1340" spans="1:9" x14ac:dyDescent="0.3">
      <c r="A1340">
        <v>79026</v>
      </c>
      <c r="B1340">
        <v>105</v>
      </c>
      <c r="C1340" s="452">
        <v>46113</v>
      </c>
      <c r="D1340" t="s">
        <v>557</v>
      </c>
      <c r="E1340">
        <v>18220</v>
      </c>
      <c r="F1340" t="s">
        <v>5147</v>
      </c>
      <c r="G1340">
        <v>4.3499999999999996</v>
      </c>
      <c r="H1340" t="s">
        <v>4805</v>
      </c>
      <c r="I1340" t="s">
        <v>462</v>
      </c>
    </row>
    <row r="1341" spans="1:9" x14ac:dyDescent="0.3">
      <c r="A1341">
        <v>79027</v>
      </c>
      <c r="B1341">
        <v>105</v>
      </c>
      <c r="C1341" s="452">
        <v>46113</v>
      </c>
      <c r="D1341" t="s">
        <v>557</v>
      </c>
      <c r="E1341">
        <v>27264</v>
      </c>
      <c r="F1341" t="s">
        <v>5075</v>
      </c>
      <c r="G1341">
        <v>4.3099999999999996</v>
      </c>
      <c r="H1341" t="s">
        <v>4744</v>
      </c>
      <c r="I1341" t="s">
        <v>462</v>
      </c>
    </row>
    <row r="1342" spans="1:9" x14ac:dyDescent="0.3">
      <c r="A1342">
        <v>79028</v>
      </c>
      <c r="B1342">
        <v>105</v>
      </c>
      <c r="C1342" s="452">
        <v>46113</v>
      </c>
      <c r="D1342" t="s">
        <v>557</v>
      </c>
      <c r="E1342">
        <v>19589</v>
      </c>
      <c r="F1342" t="s">
        <v>4983</v>
      </c>
      <c r="G1342">
        <v>4.3</v>
      </c>
      <c r="H1342" t="s">
        <v>4744</v>
      </c>
      <c r="I1342" t="s">
        <v>462</v>
      </c>
    </row>
    <row r="1343" spans="1:9" x14ac:dyDescent="0.3">
      <c r="A1343">
        <v>79029</v>
      </c>
      <c r="B1343">
        <v>105</v>
      </c>
      <c r="C1343" s="452">
        <v>46113</v>
      </c>
      <c r="D1343" t="s">
        <v>557</v>
      </c>
      <c r="E1343">
        <v>19967</v>
      </c>
      <c r="F1343" t="s">
        <v>4956</v>
      </c>
      <c r="G1343">
        <v>4.3</v>
      </c>
      <c r="H1343" t="s">
        <v>4888</v>
      </c>
      <c r="I1343" t="s">
        <v>462</v>
      </c>
    </row>
    <row r="1344" spans="1:9" x14ac:dyDescent="0.3">
      <c r="A1344">
        <v>79030</v>
      </c>
      <c r="B1344">
        <v>105</v>
      </c>
      <c r="C1344" s="452">
        <v>46113</v>
      </c>
      <c r="D1344" t="s">
        <v>557</v>
      </c>
      <c r="E1344">
        <v>26505</v>
      </c>
      <c r="F1344" t="s">
        <v>4750</v>
      </c>
      <c r="G1344">
        <v>4.3</v>
      </c>
      <c r="H1344" t="s">
        <v>4738</v>
      </c>
      <c r="I1344" t="s">
        <v>462</v>
      </c>
    </row>
    <row r="1345" spans="1:9" x14ac:dyDescent="0.3">
      <c r="A1345">
        <v>79031</v>
      </c>
      <c r="B1345">
        <v>105</v>
      </c>
      <c r="C1345" s="452">
        <v>46113</v>
      </c>
      <c r="D1345" t="s">
        <v>557</v>
      </c>
      <c r="E1345">
        <v>18636</v>
      </c>
      <c r="F1345" t="s">
        <v>4964</v>
      </c>
      <c r="G1345">
        <v>4.2</v>
      </c>
      <c r="H1345" t="s">
        <v>4965</v>
      </c>
      <c r="I1345" t="s">
        <v>462</v>
      </c>
    </row>
    <row r="1346" spans="1:9" x14ac:dyDescent="0.3">
      <c r="A1346">
        <v>79032</v>
      </c>
      <c r="B1346">
        <v>105</v>
      </c>
      <c r="C1346" s="452">
        <v>46113</v>
      </c>
      <c r="D1346" t="s">
        <v>557</v>
      </c>
      <c r="E1346">
        <v>25205</v>
      </c>
      <c r="F1346" t="s">
        <v>4850</v>
      </c>
      <c r="G1346">
        <v>4.2</v>
      </c>
      <c r="H1346" t="s">
        <v>4744</v>
      </c>
      <c r="I1346" t="s">
        <v>462</v>
      </c>
    </row>
    <row r="1347" spans="1:9" x14ac:dyDescent="0.3">
      <c r="A1347">
        <v>79033</v>
      </c>
      <c r="B1347">
        <v>105</v>
      </c>
      <c r="C1347" s="452">
        <v>46113</v>
      </c>
      <c r="D1347" t="s">
        <v>557</v>
      </c>
      <c r="E1347">
        <v>22721</v>
      </c>
      <c r="F1347" t="s">
        <v>4803</v>
      </c>
      <c r="G1347">
        <v>4.18</v>
      </c>
      <c r="H1347" t="s">
        <v>4744</v>
      </c>
      <c r="I1347" t="s">
        <v>462</v>
      </c>
    </row>
    <row r="1348" spans="1:9" x14ac:dyDescent="0.3">
      <c r="A1348">
        <v>79034</v>
      </c>
      <c r="B1348">
        <v>105</v>
      </c>
      <c r="C1348" s="452">
        <v>46113</v>
      </c>
      <c r="D1348" t="s">
        <v>557</v>
      </c>
      <c r="E1348">
        <v>20007</v>
      </c>
      <c r="F1348" t="s">
        <v>5101</v>
      </c>
      <c r="G1348">
        <v>4.0999999999999996</v>
      </c>
      <c r="H1348" t="s">
        <v>4884</v>
      </c>
      <c r="I1348" t="s">
        <v>462</v>
      </c>
    </row>
    <row r="1349" spans="1:9" x14ac:dyDescent="0.3">
      <c r="A1349">
        <v>79035</v>
      </c>
      <c r="B1349">
        <v>105</v>
      </c>
      <c r="C1349" s="452">
        <v>46113</v>
      </c>
      <c r="D1349" t="s">
        <v>557</v>
      </c>
      <c r="E1349">
        <v>18518</v>
      </c>
      <c r="F1349" t="s">
        <v>4838</v>
      </c>
      <c r="G1349">
        <v>4</v>
      </c>
      <c r="H1349" t="s">
        <v>4805</v>
      </c>
      <c r="I1349" t="s">
        <v>462</v>
      </c>
    </row>
    <row r="1350" spans="1:9" x14ac:dyDescent="0.3">
      <c r="A1350">
        <v>79036</v>
      </c>
      <c r="B1350">
        <v>105</v>
      </c>
      <c r="C1350" s="452">
        <v>46113</v>
      </c>
      <c r="D1350" t="s">
        <v>557</v>
      </c>
      <c r="E1350">
        <v>19241</v>
      </c>
      <c r="F1350" t="s">
        <v>4890</v>
      </c>
      <c r="G1350">
        <v>4</v>
      </c>
      <c r="H1350" t="s">
        <v>4736</v>
      </c>
      <c r="I1350" t="s">
        <v>462</v>
      </c>
    </row>
    <row r="1351" spans="1:9" x14ac:dyDescent="0.3">
      <c r="A1351">
        <v>79037</v>
      </c>
      <c r="B1351">
        <v>105</v>
      </c>
      <c r="C1351" s="452">
        <v>46113</v>
      </c>
      <c r="D1351" t="s">
        <v>557</v>
      </c>
      <c r="E1351">
        <v>20057</v>
      </c>
      <c r="F1351" t="s">
        <v>4949</v>
      </c>
      <c r="G1351">
        <v>4</v>
      </c>
      <c r="H1351" t="s">
        <v>4736</v>
      </c>
      <c r="I1351" t="s">
        <v>462</v>
      </c>
    </row>
    <row r="1352" spans="1:9" x14ac:dyDescent="0.3">
      <c r="A1352">
        <v>79038</v>
      </c>
      <c r="B1352">
        <v>105</v>
      </c>
      <c r="C1352" s="452">
        <v>46113</v>
      </c>
      <c r="D1352" t="s">
        <v>557</v>
      </c>
      <c r="E1352">
        <v>20644</v>
      </c>
      <c r="F1352" t="s">
        <v>5016</v>
      </c>
      <c r="G1352">
        <v>4</v>
      </c>
      <c r="H1352" t="s">
        <v>4955</v>
      </c>
      <c r="I1352" t="s">
        <v>462</v>
      </c>
    </row>
    <row r="1353" spans="1:9" x14ac:dyDescent="0.3">
      <c r="A1353">
        <v>79039</v>
      </c>
      <c r="B1353">
        <v>105</v>
      </c>
      <c r="C1353" s="452">
        <v>46113</v>
      </c>
      <c r="D1353" t="s">
        <v>557</v>
      </c>
      <c r="E1353">
        <v>20661</v>
      </c>
      <c r="F1353" t="s">
        <v>5012</v>
      </c>
      <c r="G1353">
        <v>4</v>
      </c>
      <c r="H1353" t="s">
        <v>4736</v>
      </c>
      <c r="I1353" t="s">
        <v>462</v>
      </c>
    </row>
    <row r="1354" spans="1:9" x14ac:dyDescent="0.3">
      <c r="A1354">
        <v>79040</v>
      </c>
      <c r="B1354">
        <v>105</v>
      </c>
      <c r="C1354" s="452">
        <v>46113</v>
      </c>
      <c r="D1354" t="s">
        <v>557</v>
      </c>
      <c r="E1354">
        <v>23515</v>
      </c>
      <c r="F1354" t="s">
        <v>4816</v>
      </c>
      <c r="G1354">
        <v>4</v>
      </c>
      <c r="H1354" t="s">
        <v>4736</v>
      </c>
      <c r="I1354" t="s">
        <v>462</v>
      </c>
    </row>
    <row r="1355" spans="1:9" x14ac:dyDescent="0.3">
      <c r="A1355">
        <v>79041</v>
      </c>
      <c r="B1355">
        <v>105</v>
      </c>
      <c r="C1355" s="452">
        <v>46113</v>
      </c>
      <c r="D1355" t="s">
        <v>557</v>
      </c>
      <c r="E1355">
        <v>23635</v>
      </c>
      <c r="F1355" t="s">
        <v>4837</v>
      </c>
      <c r="G1355">
        <v>4</v>
      </c>
      <c r="H1355" t="s">
        <v>4744</v>
      </c>
      <c r="I1355" t="s">
        <v>462</v>
      </c>
    </row>
    <row r="1356" spans="1:9" x14ac:dyDescent="0.3">
      <c r="A1356">
        <v>79042</v>
      </c>
      <c r="B1356">
        <v>105</v>
      </c>
      <c r="C1356" s="452">
        <v>46113</v>
      </c>
      <c r="D1356" t="s">
        <v>557</v>
      </c>
      <c r="E1356">
        <v>24614</v>
      </c>
      <c r="F1356" t="s">
        <v>4897</v>
      </c>
      <c r="G1356">
        <v>4</v>
      </c>
      <c r="H1356" t="s">
        <v>4805</v>
      </c>
      <c r="I1356" t="s">
        <v>462</v>
      </c>
    </row>
    <row r="1357" spans="1:9" x14ac:dyDescent="0.3">
      <c r="A1357">
        <v>79043</v>
      </c>
      <c r="B1357">
        <v>105</v>
      </c>
      <c r="C1357" s="452">
        <v>46113</v>
      </c>
      <c r="D1357" t="s">
        <v>557</v>
      </c>
      <c r="E1357">
        <v>25702</v>
      </c>
      <c r="F1357" t="s">
        <v>5135</v>
      </c>
      <c r="G1357">
        <v>4</v>
      </c>
      <c r="H1357" t="s">
        <v>4805</v>
      </c>
      <c r="I1357" t="s">
        <v>462</v>
      </c>
    </row>
    <row r="1358" spans="1:9" x14ac:dyDescent="0.3">
      <c r="A1358">
        <v>79044</v>
      </c>
      <c r="B1358">
        <v>105</v>
      </c>
      <c r="C1358" s="452">
        <v>46113</v>
      </c>
      <c r="D1358" t="s">
        <v>557</v>
      </c>
      <c r="E1358">
        <v>26044</v>
      </c>
      <c r="F1358" t="s">
        <v>4843</v>
      </c>
      <c r="G1358">
        <v>4</v>
      </c>
      <c r="H1358" t="s">
        <v>4805</v>
      </c>
      <c r="I1358" t="s">
        <v>462</v>
      </c>
    </row>
    <row r="1359" spans="1:9" x14ac:dyDescent="0.3">
      <c r="A1359">
        <v>79045</v>
      </c>
      <c r="B1359">
        <v>105</v>
      </c>
      <c r="C1359" s="452">
        <v>46113</v>
      </c>
      <c r="D1359" t="s">
        <v>557</v>
      </c>
      <c r="E1359">
        <v>26236</v>
      </c>
      <c r="F1359" t="s">
        <v>5077</v>
      </c>
      <c r="G1359">
        <v>4</v>
      </c>
      <c r="H1359" t="s">
        <v>4805</v>
      </c>
      <c r="I1359" t="s">
        <v>462</v>
      </c>
    </row>
    <row r="1360" spans="1:9" x14ac:dyDescent="0.3">
      <c r="A1360">
        <v>79046</v>
      </c>
      <c r="B1360">
        <v>105</v>
      </c>
      <c r="C1360" s="452">
        <v>46113</v>
      </c>
      <c r="D1360" t="s">
        <v>557</v>
      </c>
      <c r="E1360">
        <v>17578</v>
      </c>
      <c r="F1360" t="s">
        <v>4842</v>
      </c>
      <c r="G1360">
        <v>4</v>
      </c>
      <c r="H1360" t="s">
        <v>4805</v>
      </c>
      <c r="I1360" t="s">
        <v>462</v>
      </c>
    </row>
    <row r="1361" spans="1:9" x14ac:dyDescent="0.3">
      <c r="A1361">
        <v>79047</v>
      </c>
      <c r="B1361">
        <v>105</v>
      </c>
      <c r="C1361" s="452">
        <v>46113</v>
      </c>
      <c r="D1361" t="s">
        <v>557</v>
      </c>
      <c r="E1361">
        <v>26046</v>
      </c>
      <c r="F1361" t="s">
        <v>5148</v>
      </c>
      <c r="G1361">
        <v>4</v>
      </c>
      <c r="H1361" t="s">
        <v>4805</v>
      </c>
      <c r="I1361" t="s">
        <v>462</v>
      </c>
    </row>
    <row r="1362" spans="1:9" x14ac:dyDescent="0.3">
      <c r="A1362">
        <v>79048</v>
      </c>
      <c r="B1362">
        <v>105</v>
      </c>
      <c r="C1362" s="452">
        <v>46113</v>
      </c>
      <c r="D1362" t="s">
        <v>557</v>
      </c>
      <c r="E1362">
        <v>19642</v>
      </c>
      <c r="F1362" t="s">
        <v>4996</v>
      </c>
      <c r="G1362">
        <v>3.9</v>
      </c>
      <c r="H1362" t="s">
        <v>4744</v>
      </c>
      <c r="I1362" t="s">
        <v>462</v>
      </c>
    </row>
    <row r="1363" spans="1:9" x14ac:dyDescent="0.3">
      <c r="A1363">
        <v>79049</v>
      </c>
      <c r="B1363">
        <v>105</v>
      </c>
      <c r="C1363" s="452">
        <v>46113</v>
      </c>
      <c r="D1363" t="s">
        <v>557</v>
      </c>
      <c r="E1363">
        <v>18545</v>
      </c>
      <c r="F1363" t="s">
        <v>4864</v>
      </c>
      <c r="G1363">
        <v>3.9</v>
      </c>
      <c r="H1363" t="s">
        <v>4805</v>
      </c>
      <c r="I1363" t="s">
        <v>462</v>
      </c>
    </row>
    <row r="1364" spans="1:9" x14ac:dyDescent="0.3">
      <c r="A1364">
        <v>79050</v>
      </c>
      <c r="B1364">
        <v>105</v>
      </c>
      <c r="C1364" s="452">
        <v>46113</v>
      </c>
      <c r="D1364" t="s">
        <v>557</v>
      </c>
      <c r="E1364">
        <v>24323</v>
      </c>
      <c r="F1364" t="s">
        <v>4844</v>
      </c>
      <c r="G1364">
        <v>3.9</v>
      </c>
      <c r="H1364" t="s">
        <v>4744</v>
      </c>
      <c r="I1364" t="s">
        <v>462</v>
      </c>
    </row>
    <row r="1365" spans="1:9" x14ac:dyDescent="0.3">
      <c r="A1365">
        <v>79051</v>
      </c>
      <c r="B1365">
        <v>105</v>
      </c>
      <c r="C1365" s="452">
        <v>46113</v>
      </c>
      <c r="D1365" t="s">
        <v>557</v>
      </c>
      <c r="E1365">
        <v>24099</v>
      </c>
      <c r="F1365" t="s">
        <v>4933</v>
      </c>
      <c r="G1365">
        <v>3.85</v>
      </c>
      <c r="H1365" t="s">
        <v>4744</v>
      </c>
      <c r="I1365" t="s">
        <v>462</v>
      </c>
    </row>
    <row r="1366" spans="1:9" x14ac:dyDescent="0.3">
      <c r="A1366">
        <v>79052</v>
      </c>
      <c r="B1366">
        <v>105</v>
      </c>
      <c r="C1366" s="452">
        <v>46113</v>
      </c>
      <c r="D1366" t="s">
        <v>557</v>
      </c>
      <c r="E1366">
        <v>18477</v>
      </c>
      <c r="F1366" t="s">
        <v>4920</v>
      </c>
      <c r="G1366">
        <v>3.7</v>
      </c>
      <c r="H1366" t="s">
        <v>4805</v>
      </c>
      <c r="I1366" t="s">
        <v>462</v>
      </c>
    </row>
    <row r="1367" spans="1:9" x14ac:dyDescent="0.3">
      <c r="A1367">
        <v>79053</v>
      </c>
      <c r="B1367">
        <v>105</v>
      </c>
      <c r="C1367" s="452">
        <v>46113</v>
      </c>
      <c r="D1367" t="s">
        <v>557</v>
      </c>
      <c r="E1367">
        <v>23934</v>
      </c>
      <c r="F1367" t="s">
        <v>4845</v>
      </c>
      <c r="G1367">
        <v>3.7</v>
      </c>
      <c r="H1367" t="s">
        <v>4744</v>
      </c>
      <c r="I1367" t="s">
        <v>462</v>
      </c>
    </row>
    <row r="1368" spans="1:9" x14ac:dyDescent="0.3">
      <c r="A1368">
        <v>79054</v>
      </c>
      <c r="B1368">
        <v>105</v>
      </c>
      <c r="C1368" s="452">
        <v>46113</v>
      </c>
      <c r="D1368" t="s">
        <v>557</v>
      </c>
      <c r="E1368">
        <v>23184</v>
      </c>
      <c r="F1368" t="s">
        <v>4935</v>
      </c>
      <c r="G1368">
        <v>3.63</v>
      </c>
      <c r="H1368" t="s">
        <v>4744</v>
      </c>
      <c r="I1368" t="s">
        <v>462</v>
      </c>
    </row>
    <row r="1369" spans="1:9" x14ac:dyDescent="0.3">
      <c r="A1369">
        <v>79055</v>
      </c>
      <c r="B1369">
        <v>105</v>
      </c>
      <c r="C1369" s="452">
        <v>46113</v>
      </c>
      <c r="D1369" t="s">
        <v>557</v>
      </c>
      <c r="E1369">
        <v>18632</v>
      </c>
      <c r="F1369" t="s">
        <v>5096</v>
      </c>
      <c r="G1369">
        <v>3.59</v>
      </c>
      <c r="H1369" t="s">
        <v>4749</v>
      </c>
      <c r="I1369" t="s">
        <v>462</v>
      </c>
    </row>
    <row r="1370" spans="1:9" x14ac:dyDescent="0.3">
      <c r="A1370">
        <v>79056</v>
      </c>
      <c r="B1370">
        <v>105</v>
      </c>
      <c r="C1370" s="452">
        <v>46113</v>
      </c>
      <c r="D1370" t="s">
        <v>557</v>
      </c>
      <c r="E1370">
        <v>18073</v>
      </c>
      <c r="F1370" t="s">
        <v>4974</v>
      </c>
      <c r="G1370">
        <v>3.58</v>
      </c>
      <c r="H1370" t="s">
        <v>4805</v>
      </c>
      <c r="I1370" t="s">
        <v>462</v>
      </c>
    </row>
    <row r="1371" spans="1:9" x14ac:dyDescent="0.3">
      <c r="A1371">
        <v>79057</v>
      </c>
      <c r="B1371">
        <v>105</v>
      </c>
      <c r="C1371" s="452">
        <v>46113</v>
      </c>
      <c r="D1371" t="s">
        <v>557</v>
      </c>
      <c r="E1371">
        <v>24142</v>
      </c>
      <c r="F1371" t="s">
        <v>5090</v>
      </c>
      <c r="G1371">
        <v>3.58</v>
      </c>
      <c r="H1371" t="s">
        <v>4749</v>
      </c>
      <c r="I1371" t="s">
        <v>462</v>
      </c>
    </row>
    <row r="1372" spans="1:9" x14ac:dyDescent="0.3">
      <c r="A1372">
        <v>79058</v>
      </c>
      <c r="B1372">
        <v>105</v>
      </c>
      <c r="C1372" s="452">
        <v>46113</v>
      </c>
      <c r="D1372" t="s">
        <v>557</v>
      </c>
      <c r="E1372">
        <v>19353</v>
      </c>
      <c r="F1372" t="s">
        <v>4851</v>
      </c>
      <c r="G1372">
        <v>3.5</v>
      </c>
      <c r="H1372" t="s">
        <v>4744</v>
      </c>
      <c r="I1372" t="s">
        <v>462</v>
      </c>
    </row>
    <row r="1373" spans="1:9" x14ac:dyDescent="0.3">
      <c r="A1373">
        <v>79059</v>
      </c>
      <c r="B1373">
        <v>105</v>
      </c>
      <c r="C1373" s="452">
        <v>46113</v>
      </c>
      <c r="D1373" t="s">
        <v>557</v>
      </c>
      <c r="E1373">
        <v>23808</v>
      </c>
      <c r="F1373" t="s">
        <v>4982</v>
      </c>
      <c r="G1373">
        <v>3.33</v>
      </c>
      <c r="H1373" t="s">
        <v>4744</v>
      </c>
      <c r="I1373" t="s">
        <v>462</v>
      </c>
    </row>
    <row r="1374" spans="1:9" x14ac:dyDescent="0.3">
      <c r="A1374">
        <v>79060</v>
      </c>
      <c r="B1374">
        <v>105</v>
      </c>
      <c r="C1374" s="452">
        <v>46113</v>
      </c>
      <c r="D1374" t="s">
        <v>557</v>
      </c>
      <c r="E1374">
        <v>26020</v>
      </c>
      <c r="F1374" t="s">
        <v>5102</v>
      </c>
      <c r="G1374">
        <v>3.25</v>
      </c>
      <c r="H1374" t="s">
        <v>4736</v>
      </c>
      <c r="I1374" t="s">
        <v>462</v>
      </c>
    </row>
    <row r="1375" spans="1:9" x14ac:dyDescent="0.3">
      <c r="A1375">
        <v>79061</v>
      </c>
      <c r="B1375">
        <v>105</v>
      </c>
      <c r="C1375" s="452">
        <v>46113</v>
      </c>
      <c r="D1375" t="s">
        <v>557</v>
      </c>
      <c r="E1375">
        <v>20358</v>
      </c>
      <c r="F1375" t="s">
        <v>4911</v>
      </c>
      <c r="G1375">
        <v>3.2</v>
      </c>
      <c r="H1375" t="s">
        <v>4738</v>
      </c>
      <c r="I1375" t="s">
        <v>462</v>
      </c>
    </row>
    <row r="1376" spans="1:9" x14ac:dyDescent="0.3">
      <c r="A1376">
        <v>79062</v>
      </c>
      <c r="B1376">
        <v>105</v>
      </c>
      <c r="C1376" s="452">
        <v>46113</v>
      </c>
      <c r="D1376" t="s">
        <v>557</v>
      </c>
      <c r="E1376">
        <v>18579</v>
      </c>
      <c r="F1376" t="s">
        <v>5087</v>
      </c>
      <c r="G1376">
        <v>3.1</v>
      </c>
      <c r="H1376" t="s">
        <v>4749</v>
      </c>
      <c r="I1376" t="s">
        <v>462</v>
      </c>
    </row>
    <row r="1377" spans="1:9" x14ac:dyDescent="0.3">
      <c r="A1377">
        <v>79063</v>
      </c>
      <c r="B1377">
        <v>105</v>
      </c>
      <c r="C1377" s="452">
        <v>46113</v>
      </c>
      <c r="D1377" t="s">
        <v>557</v>
      </c>
      <c r="E1377">
        <v>19765</v>
      </c>
      <c r="F1377" t="s">
        <v>4889</v>
      </c>
      <c r="G1377">
        <v>3.1</v>
      </c>
      <c r="H1377" t="s">
        <v>4744</v>
      </c>
      <c r="I1377" t="s">
        <v>462</v>
      </c>
    </row>
    <row r="1378" spans="1:9" x14ac:dyDescent="0.3">
      <c r="A1378">
        <v>79064</v>
      </c>
      <c r="B1378">
        <v>105</v>
      </c>
      <c r="C1378" s="452">
        <v>46113</v>
      </c>
      <c r="D1378" t="s">
        <v>557</v>
      </c>
      <c r="E1378">
        <v>23234</v>
      </c>
      <c r="F1378" t="s">
        <v>4986</v>
      </c>
      <c r="G1378">
        <v>3.1</v>
      </c>
      <c r="H1378" t="s">
        <v>4744</v>
      </c>
      <c r="I1378" t="s">
        <v>462</v>
      </c>
    </row>
    <row r="1379" spans="1:9" x14ac:dyDescent="0.3">
      <c r="A1379">
        <v>79065</v>
      </c>
      <c r="B1379">
        <v>105</v>
      </c>
      <c r="C1379" s="452">
        <v>46113</v>
      </c>
      <c r="D1379" t="s">
        <v>557</v>
      </c>
      <c r="E1379">
        <v>17578</v>
      </c>
      <c r="F1379" t="s">
        <v>4842</v>
      </c>
      <c r="G1379">
        <v>3</v>
      </c>
      <c r="H1379" t="s">
        <v>4805</v>
      </c>
      <c r="I1379" t="s">
        <v>462</v>
      </c>
    </row>
    <row r="1380" spans="1:9" x14ac:dyDescent="0.3">
      <c r="A1380">
        <v>79066</v>
      </c>
      <c r="B1380">
        <v>105</v>
      </c>
      <c r="C1380" s="452">
        <v>46113</v>
      </c>
      <c r="D1380" t="s">
        <v>557</v>
      </c>
      <c r="E1380">
        <v>17658</v>
      </c>
      <c r="F1380" t="s">
        <v>4978</v>
      </c>
      <c r="G1380">
        <v>3</v>
      </c>
      <c r="H1380" t="s">
        <v>4805</v>
      </c>
      <c r="I1380" t="s">
        <v>462</v>
      </c>
    </row>
    <row r="1381" spans="1:9" x14ac:dyDescent="0.3">
      <c r="A1381">
        <v>79067</v>
      </c>
      <c r="B1381">
        <v>105</v>
      </c>
      <c r="C1381" s="452">
        <v>46113</v>
      </c>
      <c r="D1381" t="s">
        <v>557</v>
      </c>
      <c r="E1381">
        <v>17838</v>
      </c>
      <c r="F1381" t="s">
        <v>4925</v>
      </c>
      <c r="G1381">
        <v>3</v>
      </c>
      <c r="H1381" t="s">
        <v>4749</v>
      </c>
      <c r="I1381" t="s">
        <v>462</v>
      </c>
    </row>
    <row r="1382" spans="1:9" x14ac:dyDescent="0.3">
      <c r="A1382">
        <v>79068</v>
      </c>
      <c r="B1382">
        <v>105</v>
      </c>
      <c r="C1382" s="452">
        <v>46113</v>
      </c>
      <c r="D1382" t="s">
        <v>557</v>
      </c>
      <c r="E1382">
        <v>18194</v>
      </c>
      <c r="F1382" t="s">
        <v>4923</v>
      </c>
      <c r="G1382">
        <v>3</v>
      </c>
      <c r="H1382" t="s">
        <v>4805</v>
      </c>
      <c r="I1382" t="s">
        <v>462</v>
      </c>
    </row>
    <row r="1383" spans="1:9" x14ac:dyDescent="0.3">
      <c r="A1383">
        <v>79069</v>
      </c>
      <c r="B1383">
        <v>105</v>
      </c>
      <c r="C1383" s="452">
        <v>46113</v>
      </c>
      <c r="D1383" t="s">
        <v>557</v>
      </c>
      <c r="E1383">
        <v>19421</v>
      </c>
      <c r="F1383" t="s">
        <v>4918</v>
      </c>
      <c r="G1383">
        <v>3</v>
      </c>
      <c r="H1383" t="s">
        <v>4749</v>
      </c>
      <c r="I1383" t="s">
        <v>462</v>
      </c>
    </row>
    <row r="1384" spans="1:9" x14ac:dyDescent="0.3">
      <c r="A1384">
        <v>79070</v>
      </c>
      <c r="B1384">
        <v>105</v>
      </c>
      <c r="C1384" s="452">
        <v>46113</v>
      </c>
      <c r="D1384" t="s">
        <v>557</v>
      </c>
      <c r="E1384">
        <v>19895</v>
      </c>
      <c r="F1384" t="s">
        <v>5080</v>
      </c>
      <c r="G1384">
        <v>3</v>
      </c>
      <c r="H1384" t="s">
        <v>4888</v>
      </c>
      <c r="I1384" t="s">
        <v>462</v>
      </c>
    </row>
    <row r="1385" spans="1:9" x14ac:dyDescent="0.3">
      <c r="A1385">
        <v>79071</v>
      </c>
      <c r="B1385">
        <v>105</v>
      </c>
      <c r="C1385" s="452">
        <v>46113</v>
      </c>
      <c r="D1385" t="s">
        <v>557</v>
      </c>
      <c r="E1385">
        <v>19978</v>
      </c>
      <c r="F1385" t="s">
        <v>4887</v>
      </c>
      <c r="G1385">
        <v>3</v>
      </c>
      <c r="H1385" t="s">
        <v>4888</v>
      </c>
      <c r="I1385" t="s">
        <v>462</v>
      </c>
    </row>
    <row r="1386" spans="1:9" x14ac:dyDescent="0.3">
      <c r="A1386">
        <v>79072</v>
      </c>
      <c r="B1386">
        <v>105</v>
      </c>
      <c r="C1386" s="452">
        <v>46113</v>
      </c>
      <c r="D1386" t="s">
        <v>557</v>
      </c>
      <c r="E1386">
        <v>20295</v>
      </c>
      <c r="F1386" t="s">
        <v>4881</v>
      </c>
      <c r="G1386">
        <v>3</v>
      </c>
      <c r="H1386" t="s">
        <v>4736</v>
      </c>
      <c r="I1386" t="s">
        <v>462</v>
      </c>
    </row>
    <row r="1387" spans="1:9" x14ac:dyDescent="0.3">
      <c r="A1387">
        <v>79073</v>
      </c>
      <c r="B1387">
        <v>105</v>
      </c>
      <c r="C1387" s="452">
        <v>46113</v>
      </c>
      <c r="D1387" t="s">
        <v>557</v>
      </c>
      <c r="E1387">
        <v>20308</v>
      </c>
      <c r="F1387" t="s">
        <v>4909</v>
      </c>
      <c r="G1387">
        <v>3</v>
      </c>
      <c r="H1387" t="s">
        <v>4738</v>
      </c>
      <c r="I1387" t="s">
        <v>462</v>
      </c>
    </row>
    <row r="1388" spans="1:9" x14ac:dyDescent="0.3">
      <c r="A1388">
        <v>79074</v>
      </c>
      <c r="B1388">
        <v>105</v>
      </c>
      <c r="C1388" s="452">
        <v>46113</v>
      </c>
      <c r="D1388" t="s">
        <v>557</v>
      </c>
      <c r="E1388">
        <v>20689</v>
      </c>
      <c r="F1388" t="s">
        <v>5007</v>
      </c>
      <c r="G1388">
        <v>3</v>
      </c>
      <c r="H1388" t="s">
        <v>4736</v>
      </c>
      <c r="I1388" t="s">
        <v>462</v>
      </c>
    </row>
    <row r="1389" spans="1:9" x14ac:dyDescent="0.3">
      <c r="A1389">
        <v>79075</v>
      </c>
      <c r="B1389">
        <v>105</v>
      </c>
      <c r="C1389" s="452">
        <v>46113</v>
      </c>
      <c r="D1389" t="s">
        <v>557</v>
      </c>
      <c r="E1389">
        <v>20955</v>
      </c>
      <c r="F1389" t="s">
        <v>4959</v>
      </c>
      <c r="G1389">
        <v>3</v>
      </c>
      <c r="H1389" t="s">
        <v>4805</v>
      </c>
      <c r="I1389" t="s">
        <v>462</v>
      </c>
    </row>
    <row r="1390" spans="1:9" x14ac:dyDescent="0.3">
      <c r="A1390">
        <v>79076</v>
      </c>
      <c r="B1390">
        <v>105</v>
      </c>
      <c r="C1390" s="452">
        <v>46113</v>
      </c>
      <c r="D1390" t="s">
        <v>557</v>
      </c>
      <c r="E1390">
        <v>23819</v>
      </c>
      <c r="F1390" t="s">
        <v>4947</v>
      </c>
      <c r="G1390">
        <v>3</v>
      </c>
      <c r="H1390" t="s">
        <v>4736</v>
      </c>
      <c r="I1390" t="s">
        <v>462</v>
      </c>
    </row>
    <row r="1391" spans="1:9" x14ac:dyDescent="0.3">
      <c r="A1391">
        <v>79077</v>
      </c>
      <c r="B1391">
        <v>105</v>
      </c>
      <c r="C1391" s="452">
        <v>46113</v>
      </c>
      <c r="D1391" t="s">
        <v>557</v>
      </c>
      <c r="E1391">
        <v>24403</v>
      </c>
      <c r="F1391" t="s">
        <v>5149</v>
      </c>
      <c r="G1391">
        <v>3</v>
      </c>
      <c r="H1391" t="s">
        <v>4744</v>
      </c>
      <c r="I1391" t="s">
        <v>462</v>
      </c>
    </row>
    <row r="1392" spans="1:9" x14ac:dyDescent="0.3">
      <c r="A1392">
        <v>79078</v>
      </c>
      <c r="B1392">
        <v>105</v>
      </c>
      <c r="C1392" s="452">
        <v>46113</v>
      </c>
      <c r="D1392" t="s">
        <v>557</v>
      </c>
      <c r="E1392">
        <v>27018</v>
      </c>
      <c r="F1392" t="s">
        <v>4737</v>
      </c>
      <c r="G1392">
        <v>3</v>
      </c>
      <c r="H1392" t="s">
        <v>4738</v>
      </c>
      <c r="I1392" t="s">
        <v>462</v>
      </c>
    </row>
    <row r="1393" spans="1:9" x14ac:dyDescent="0.3">
      <c r="A1393">
        <v>79079</v>
      </c>
      <c r="B1393">
        <v>105</v>
      </c>
      <c r="C1393" s="452">
        <v>46113</v>
      </c>
      <c r="D1393" t="s">
        <v>557</v>
      </c>
      <c r="E1393">
        <v>27397</v>
      </c>
      <c r="F1393" t="s">
        <v>4913</v>
      </c>
      <c r="G1393">
        <v>3</v>
      </c>
      <c r="H1393" t="s">
        <v>4736</v>
      </c>
      <c r="I1393" t="s">
        <v>462</v>
      </c>
    </row>
    <row r="1394" spans="1:9" x14ac:dyDescent="0.3">
      <c r="A1394">
        <v>79080</v>
      </c>
      <c r="B1394">
        <v>105</v>
      </c>
      <c r="C1394" s="452">
        <v>46113</v>
      </c>
      <c r="D1394" t="s">
        <v>557</v>
      </c>
      <c r="E1394">
        <v>22871</v>
      </c>
      <c r="F1394" t="s">
        <v>4898</v>
      </c>
      <c r="G1394">
        <v>3</v>
      </c>
      <c r="H1394" t="s">
        <v>4744</v>
      </c>
      <c r="I1394" t="s">
        <v>462</v>
      </c>
    </row>
    <row r="1395" spans="1:9" x14ac:dyDescent="0.3">
      <c r="A1395">
        <v>79081</v>
      </c>
      <c r="B1395">
        <v>105</v>
      </c>
      <c r="C1395" s="452">
        <v>46113</v>
      </c>
      <c r="D1395" t="s">
        <v>557</v>
      </c>
      <c r="E1395">
        <v>19553</v>
      </c>
      <c r="F1395" t="s">
        <v>4868</v>
      </c>
      <c r="G1395">
        <v>2.95</v>
      </c>
      <c r="H1395" t="s">
        <v>4744</v>
      </c>
      <c r="I1395" t="s">
        <v>462</v>
      </c>
    </row>
    <row r="1396" spans="1:9" x14ac:dyDescent="0.3">
      <c r="A1396">
        <v>79082</v>
      </c>
      <c r="B1396">
        <v>105</v>
      </c>
      <c r="C1396" s="452">
        <v>46113</v>
      </c>
      <c r="D1396" t="s">
        <v>557</v>
      </c>
      <c r="E1396">
        <v>18642</v>
      </c>
      <c r="F1396" t="s">
        <v>5127</v>
      </c>
      <c r="G1396">
        <v>2.9</v>
      </c>
      <c r="H1396" t="s">
        <v>4744</v>
      </c>
      <c r="I1396" t="s">
        <v>462</v>
      </c>
    </row>
    <row r="1397" spans="1:9" x14ac:dyDescent="0.3">
      <c r="A1397">
        <v>79083</v>
      </c>
      <c r="B1397">
        <v>105</v>
      </c>
      <c r="C1397" s="452">
        <v>46113</v>
      </c>
      <c r="D1397" t="s">
        <v>557</v>
      </c>
      <c r="E1397">
        <v>20928</v>
      </c>
      <c r="F1397" t="s">
        <v>4950</v>
      </c>
      <c r="G1397">
        <v>2.75</v>
      </c>
      <c r="H1397" t="s">
        <v>4736</v>
      </c>
      <c r="I1397" t="s">
        <v>462</v>
      </c>
    </row>
    <row r="1398" spans="1:9" x14ac:dyDescent="0.3">
      <c r="A1398">
        <v>79084</v>
      </c>
      <c r="B1398">
        <v>105</v>
      </c>
      <c r="C1398" s="452">
        <v>46113</v>
      </c>
      <c r="D1398" t="s">
        <v>557</v>
      </c>
      <c r="E1398">
        <v>24322</v>
      </c>
      <c r="F1398" t="s">
        <v>5064</v>
      </c>
      <c r="G1398">
        <v>2.7</v>
      </c>
      <c r="H1398" t="s">
        <v>4744</v>
      </c>
      <c r="I1398" t="s">
        <v>462</v>
      </c>
    </row>
    <row r="1399" spans="1:9" x14ac:dyDescent="0.3">
      <c r="A1399">
        <v>79085</v>
      </c>
      <c r="B1399">
        <v>105</v>
      </c>
      <c r="C1399" s="452">
        <v>46113</v>
      </c>
      <c r="D1399" t="s">
        <v>557</v>
      </c>
      <c r="E1399">
        <v>23346</v>
      </c>
      <c r="F1399" t="s">
        <v>4916</v>
      </c>
      <c r="G1399">
        <v>2.67</v>
      </c>
      <c r="H1399" t="s">
        <v>4744</v>
      </c>
      <c r="I1399" t="s">
        <v>462</v>
      </c>
    </row>
    <row r="1400" spans="1:9" x14ac:dyDescent="0.3">
      <c r="A1400">
        <v>79086</v>
      </c>
      <c r="B1400">
        <v>105</v>
      </c>
      <c r="C1400" s="452">
        <v>46113</v>
      </c>
      <c r="D1400" t="s">
        <v>557</v>
      </c>
      <c r="E1400">
        <v>19472</v>
      </c>
      <c r="F1400" t="s">
        <v>4906</v>
      </c>
      <c r="G1400">
        <v>2.62</v>
      </c>
      <c r="H1400" t="s">
        <v>4744</v>
      </c>
      <c r="I1400" t="s">
        <v>462</v>
      </c>
    </row>
    <row r="1401" spans="1:9" x14ac:dyDescent="0.3">
      <c r="A1401">
        <v>79087</v>
      </c>
      <c r="B1401">
        <v>105</v>
      </c>
      <c r="C1401" s="452">
        <v>46113</v>
      </c>
      <c r="D1401" t="s">
        <v>557</v>
      </c>
      <c r="E1401">
        <v>26014</v>
      </c>
      <c r="F1401" t="s">
        <v>5128</v>
      </c>
      <c r="G1401">
        <v>2.5</v>
      </c>
      <c r="H1401" t="s">
        <v>4805</v>
      </c>
      <c r="I1401" t="s">
        <v>462</v>
      </c>
    </row>
    <row r="1402" spans="1:9" x14ac:dyDescent="0.3">
      <c r="A1402">
        <v>79088</v>
      </c>
      <c r="B1402">
        <v>105</v>
      </c>
      <c r="C1402" s="452">
        <v>46113</v>
      </c>
      <c r="D1402" t="s">
        <v>557</v>
      </c>
      <c r="E1402">
        <v>19465</v>
      </c>
      <c r="F1402" t="s">
        <v>5114</v>
      </c>
      <c r="G1402">
        <v>2.4700000000000002</v>
      </c>
      <c r="H1402" t="s">
        <v>4744</v>
      </c>
      <c r="I1402" t="s">
        <v>462</v>
      </c>
    </row>
    <row r="1403" spans="1:9" x14ac:dyDescent="0.3">
      <c r="A1403">
        <v>79089</v>
      </c>
      <c r="B1403">
        <v>105</v>
      </c>
      <c r="C1403" s="452">
        <v>46113</v>
      </c>
      <c r="D1403" t="s">
        <v>557</v>
      </c>
      <c r="E1403">
        <v>16973</v>
      </c>
      <c r="F1403" t="s">
        <v>4827</v>
      </c>
      <c r="G1403">
        <v>2.4</v>
      </c>
      <c r="H1403" t="s">
        <v>4749</v>
      </c>
      <c r="I1403" t="s">
        <v>462</v>
      </c>
    </row>
    <row r="1404" spans="1:9" x14ac:dyDescent="0.3">
      <c r="A1404">
        <v>79090</v>
      </c>
      <c r="B1404">
        <v>105</v>
      </c>
      <c r="C1404" s="452">
        <v>46113</v>
      </c>
      <c r="D1404" t="s">
        <v>557</v>
      </c>
      <c r="E1404">
        <v>17062</v>
      </c>
      <c r="F1404" t="s">
        <v>4880</v>
      </c>
      <c r="G1404">
        <v>2.4</v>
      </c>
      <c r="H1404" t="s">
        <v>4879</v>
      </c>
      <c r="I1404" t="s">
        <v>462</v>
      </c>
    </row>
    <row r="1405" spans="1:9" x14ac:dyDescent="0.3">
      <c r="A1405">
        <v>79091</v>
      </c>
      <c r="B1405">
        <v>105</v>
      </c>
      <c r="C1405" s="452">
        <v>46113</v>
      </c>
      <c r="D1405" t="s">
        <v>557</v>
      </c>
      <c r="E1405">
        <v>19507</v>
      </c>
      <c r="F1405" t="s">
        <v>4853</v>
      </c>
      <c r="G1405">
        <v>2.4</v>
      </c>
      <c r="H1405" t="s">
        <v>4744</v>
      </c>
      <c r="I1405" t="s">
        <v>462</v>
      </c>
    </row>
    <row r="1406" spans="1:9" x14ac:dyDescent="0.3">
      <c r="A1406">
        <v>79092</v>
      </c>
      <c r="B1406">
        <v>105</v>
      </c>
      <c r="C1406" s="452">
        <v>46113</v>
      </c>
      <c r="D1406" t="s">
        <v>557</v>
      </c>
      <c r="E1406">
        <v>21060</v>
      </c>
      <c r="F1406" t="s">
        <v>4946</v>
      </c>
      <c r="G1406">
        <v>2.4</v>
      </c>
      <c r="H1406" t="s">
        <v>4736</v>
      </c>
      <c r="I1406" t="s">
        <v>462</v>
      </c>
    </row>
    <row r="1407" spans="1:9" x14ac:dyDescent="0.3">
      <c r="A1407">
        <v>79093</v>
      </c>
      <c r="B1407">
        <v>105</v>
      </c>
      <c r="C1407" s="452">
        <v>46113</v>
      </c>
      <c r="D1407" t="s">
        <v>557</v>
      </c>
      <c r="E1407">
        <v>18295</v>
      </c>
      <c r="F1407" t="s">
        <v>4968</v>
      </c>
      <c r="G1407">
        <v>2.2999999999999998</v>
      </c>
      <c r="H1407" t="s">
        <v>4805</v>
      </c>
      <c r="I1407" t="s">
        <v>462</v>
      </c>
    </row>
    <row r="1408" spans="1:9" x14ac:dyDescent="0.3">
      <c r="A1408">
        <v>79094</v>
      </c>
      <c r="B1408">
        <v>105</v>
      </c>
      <c r="C1408" s="452">
        <v>46113</v>
      </c>
      <c r="D1408" t="s">
        <v>557</v>
      </c>
      <c r="E1408">
        <v>19652</v>
      </c>
      <c r="F1408" t="s">
        <v>4899</v>
      </c>
      <c r="G1408">
        <v>2.2999999999999998</v>
      </c>
      <c r="H1408" t="s">
        <v>4744</v>
      </c>
      <c r="I1408" t="s">
        <v>462</v>
      </c>
    </row>
    <row r="1409" spans="1:9" x14ac:dyDescent="0.3">
      <c r="A1409">
        <v>79095</v>
      </c>
      <c r="B1409">
        <v>105</v>
      </c>
      <c r="C1409" s="452">
        <v>46113</v>
      </c>
      <c r="D1409" t="s">
        <v>557</v>
      </c>
      <c r="E1409">
        <v>19306</v>
      </c>
      <c r="F1409" t="s">
        <v>5111</v>
      </c>
      <c r="G1409">
        <v>2.2000000000000002</v>
      </c>
      <c r="H1409" t="s">
        <v>4738</v>
      </c>
      <c r="I1409" t="s">
        <v>462</v>
      </c>
    </row>
    <row r="1410" spans="1:9" x14ac:dyDescent="0.3">
      <c r="A1410">
        <v>79096</v>
      </c>
      <c r="B1410">
        <v>105</v>
      </c>
      <c r="C1410" s="452">
        <v>46113</v>
      </c>
      <c r="D1410" t="s">
        <v>557</v>
      </c>
      <c r="E1410">
        <v>19562</v>
      </c>
      <c r="F1410" t="s">
        <v>4939</v>
      </c>
      <c r="G1410">
        <v>2.2000000000000002</v>
      </c>
      <c r="H1410" t="s">
        <v>4744</v>
      </c>
      <c r="I1410" t="s">
        <v>462</v>
      </c>
    </row>
    <row r="1411" spans="1:9" x14ac:dyDescent="0.3">
      <c r="A1411">
        <v>79097</v>
      </c>
      <c r="B1411">
        <v>105</v>
      </c>
      <c r="C1411" s="452">
        <v>46113</v>
      </c>
      <c r="D1411" t="s">
        <v>557</v>
      </c>
      <c r="E1411">
        <v>21150</v>
      </c>
      <c r="F1411" t="s">
        <v>4878</v>
      </c>
      <c r="G1411">
        <v>2.2000000000000002</v>
      </c>
      <c r="H1411" t="s">
        <v>4879</v>
      </c>
      <c r="I1411" t="s">
        <v>462</v>
      </c>
    </row>
    <row r="1412" spans="1:9" x14ac:dyDescent="0.3">
      <c r="A1412">
        <v>79098</v>
      </c>
      <c r="B1412">
        <v>105</v>
      </c>
      <c r="C1412" s="452">
        <v>46113</v>
      </c>
      <c r="D1412" t="s">
        <v>557</v>
      </c>
      <c r="E1412">
        <v>18232</v>
      </c>
      <c r="F1412" t="s">
        <v>4971</v>
      </c>
      <c r="G1412">
        <v>2.1800000000000002</v>
      </c>
      <c r="H1412" t="s">
        <v>4805</v>
      </c>
      <c r="I1412" t="s">
        <v>462</v>
      </c>
    </row>
    <row r="1413" spans="1:9" x14ac:dyDescent="0.3">
      <c r="A1413">
        <v>79099</v>
      </c>
      <c r="B1413">
        <v>105</v>
      </c>
      <c r="C1413" s="452">
        <v>46113</v>
      </c>
      <c r="D1413" t="s">
        <v>557</v>
      </c>
      <c r="E1413">
        <v>24199</v>
      </c>
      <c r="F1413" t="s">
        <v>4783</v>
      </c>
      <c r="G1413">
        <v>2.13</v>
      </c>
      <c r="H1413" t="s">
        <v>4744</v>
      </c>
      <c r="I1413" t="s">
        <v>462</v>
      </c>
    </row>
    <row r="1414" spans="1:9" x14ac:dyDescent="0.3">
      <c r="A1414">
        <v>79100</v>
      </c>
      <c r="B1414">
        <v>105</v>
      </c>
      <c r="C1414" s="452">
        <v>46113</v>
      </c>
      <c r="D1414" t="s">
        <v>557</v>
      </c>
      <c r="E1414">
        <v>25561</v>
      </c>
      <c r="F1414" t="s">
        <v>5095</v>
      </c>
      <c r="G1414">
        <v>2.0099999999999998</v>
      </c>
      <c r="H1414" t="s">
        <v>4738</v>
      </c>
      <c r="I1414" t="s">
        <v>462</v>
      </c>
    </row>
    <row r="1415" spans="1:9" x14ac:dyDescent="0.3">
      <c r="A1415">
        <v>79101</v>
      </c>
      <c r="B1415">
        <v>105</v>
      </c>
      <c r="C1415" s="452">
        <v>46113</v>
      </c>
      <c r="D1415" t="s">
        <v>557</v>
      </c>
      <c r="E1415">
        <v>17878</v>
      </c>
      <c r="F1415" t="s">
        <v>4926</v>
      </c>
      <c r="G1415">
        <v>2</v>
      </c>
      <c r="H1415" t="s">
        <v>4736</v>
      </c>
      <c r="I1415" t="s">
        <v>462</v>
      </c>
    </row>
    <row r="1416" spans="1:9" x14ac:dyDescent="0.3">
      <c r="A1416">
        <v>79102</v>
      </c>
      <c r="B1416">
        <v>105</v>
      </c>
      <c r="C1416" s="452">
        <v>46113</v>
      </c>
      <c r="D1416" t="s">
        <v>557</v>
      </c>
      <c r="E1416">
        <v>18586</v>
      </c>
      <c r="F1416" t="s">
        <v>4966</v>
      </c>
      <c r="G1416">
        <v>2</v>
      </c>
      <c r="H1416" t="s">
        <v>4738</v>
      </c>
      <c r="I1416" t="s">
        <v>462</v>
      </c>
    </row>
    <row r="1417" spans="1:9" x14ac:dyDescent="0.3">
      <c r="A1417">
        <v>79103</v>
      </c>
      <c r="B1417">
        <v>105</v>
      </c>
      <c r="C1417" s="452">
        <v>46113</v>
      </c>
      <c r="D1417" t="s">
        <v>557</v>
      </c>
      <c r="E1417">
        <v>18731</v>
      </c>
      <c r="F1417" t="s">
        <v>4832</v>
      </c>
      <c r="G1417">
        <v>2</v>
      </c>
      <c r="H1417" t="s">
        <v>4744</v>
      </c>
      <c r="I1417" t="s">
        <v>462</v>
      </c>
    </row>
    <row r="1418" spans="1:9" x14ac:dyDescent="0.3">
      <c r="A1418">
        <v>79104</v>
      </c>
      <c r="B1418">
        <v>105</v>
      </c>
      <c r="C1418" s="452">
        <v>46113</v>
      </c>
      <c r="D1418" t="s">
        <v>557</v>
      </c>
      <c r="E1418">
        <v>19577</v>
      </c>
      <c r="F1418" t="s">
        <v>4984</v>
      </c>
      <c r="G1418">
        <v>2</v>
      </c>
      <c r="H1418" t="s">
        <v>4736</v>
      </c>
      <c r="I1418" t="s">
        <v>462</v>
      </c>
    </row>
    <row r="1419" spans="1:9" x14ac:dyDescent="0.3">
      <c r="A1419">
        <v>79105</v>
      </c>
      <c r="B1419">
        <v>105</v>
      </c>
      <c r="C1419" s="452">
        <v>46113</v>
      </c>
      <c r="D1419" t="s">
        <v>557</v>
      </c>
      <c r="E1419">
        <v>19622</v>
      </c>
      <c r="F1419" t="s">
        <v>4915</v>
      </c>
      <c r="G1419">
        <v>2</v>
      </c>
      <c r="H1419" t="s">
        <v>4744</v>
      </c>
      <c r="I1419" t="s">
        <v>462</v>
      </c>
    </row>
    <row r="1420" spans="1:9" x14ac:dyDescent="0.3">
      <c r="A1420">
        <v>79106</v>
      </c>
      <c r="B1420">
        <v>105</v>
      </c>
      <c r="C1420" s="452">
        <v>46113</v>
      </c>
      <c r="D1420" t="s">
        <v>557</v>
      </c>
      <c r="E1420">
        <v>19632</v>
      </c>
      <c r="F1420" t="s">
        <v>4936</v>
      </c>
      <c r="G1420">
        <v>2</v>
      </c>
      <c r="H1420" t="s">
        <v>4744</v>
      </c>
      <c r="I1420" t="s">
        <v>462</v>
      </c>
    </row>
    <row r="1421" spans="1:9" x14ac:dyDescent="0.3">
      <c r="A1421">
        <v>79107</v>
      </c>
      <c r="B1421">
        <v>105</v>
      </c>
      <c r="C1421" s="452">
        <v>46113</v>
      </c>
      <c r="D1421" t="s">
        <v>557</v>
      </c>
      <c r="E1421">
        <v>19969</v>
      </c>
      <c r="F1421" t="s">
        <v>5018</v>
      </c>
      <c r="G1421">
        <v>2</v>
      </c>
      <c r="H1421" t="s">
        <v>4888</v>
      </c>
      <c r="I1421" t="s">
        <v>462</v>
      </c>
    </row>
    <row r="1422" spans="1:9" x14ac:dyDescent="0.3">
      <c r="A1422">
        <v>79108</v>
      </c>
      <c r="B1422">
        <v>105</v>
      </c>
      <c r="C1422" s="452">
        <v>46113</v>
      </c>
      <c r="D1422" t="s">
        <v>557</v>
      </c>
      <c r="E1422">
        <v>20025</v>
      </c>
      <c r="F1422" t="s">
        <v>5010</v>
      </c>
      <c r="G1422">
        <v>2</v>
      </c>
      <c r="H1422" t="s">
        <v>4736</v>
      </c>
      <c r="I1422" t="s">
        <v>462</v>
      </c>
    </row>
    <row r="1423" spans="1:9" x14ac:dyDescent="0.3">
      <c r="A1423">
        <v>79109</v>
      </c>
      <c r="B1423">
        <v>105</v>
      </c>
      <c r="C1423" s="452">
        <v>46113</v>
      </c>
      <c r="D1423" t="s">
        <v>557</v>
      </c>
      <c r="E1423">
        <v>20653</v>
      </c>
      <c r="F1423" t="s">
        <v>5013</v>
      </c>
      <c r="G1423">
        <v>2</v>
      </c>
      <c r="H1423" t="s">
        <v>4736</v>
      </c>
      <c r="I1423" t="s">
        <v>462</v>
      </c>
    </row>
    <row r="1424" spans="1:9" x14ac:dyDescent="0.3">
      <c r="A1424">
        <v>79110</v>
      </c>
      <c r="B1424">
        <v>105</v>
      </c>
      <c r="C1424" s="452">
        <v>46113</v>
      </c>
      <c r="D1424" t="s">
        <v>557</v>
      </c>
      <c r="E1424">
        <v>21147</v>
      </c>
      <c r="F1424" t="s">
        <v>4876</v>
      </c>
      <c r="G1424">
        <v>2</v>
      </c>
      <c r="H1424" t="s">
        <v>4736</v>
      </c>
      <c r="I1424" t="s">
        <v>462</v>
      </c>
    </row>
    <row r="1425" spans="1:9" x14ac:dyDescent="0.3">
      <c r="A1425">
        <v>79111</v>
      </c>
      <c r="B1425">
        <v>105</v>
      </c>
      <c r="C1425" s="452">
        <v>46113</v>
      </c>
      <c r="D1425" t="s">
        <v>557</v>
      </c>
      <c r="E1425">
        <v>23656</v>
      </c>
      <c r="F1425" t="s">
        <v>4945</v>
      </c>
      <c r="G1425">
        <v>2</v>
      </c>
      <c r="H1425" t="s">
        <v>4744</v>
      </c>
      <c r="I1425" t="s">
        <v>462</v>
      </c>
    </row>
    <row r="1426" spans="1:9" x14ac:dyDescent="0.3">
      <c r="A1426">
        <v>79112</v>
      </c>
      <c r="B1426">
        <v>105</v>
      </c>
      <c r="C1426" s="452">
        <v>46113</v>
      </c>
      <c r="D1426" t="s">
        <v>557</v>
      </c>
      <c r="E1426">
        <v>24081</v>
      </c>
      <c r="F1426" t="s">
        <v>4834</v>
      </c>
      <c r="G1426">
        <v>2</v>
      </c>
      <c r="H1426" t="s">
        <v>4744</v>
      </c>
      <c r="I1426" t="s">
        <v>462</v>
      </c>
    </row>
    <row r="1427" spans="1:9" x14ac:dyDescent="0.3">
      <c r="A1427">
        <v>79113</v>
      </c>
      <c r="B1427">
        <v>105</v>
      </c>
      <c r="C1427" s="452">
        <v>46113</v>
      </c>
      <c r="D1427" t="s">
        <v>557</v>
      </c>
      <c r="E1427">
        <v>25022</v>
      </c>
      <c r="F1427" t="s">
        <v>4912</v>
      </c>
      <c r="G1427">
        <v>2</v>
      </c>
      <c r="H1427" t="s">
        <v>4738</v>
      </c>
      <c r="I1427" t="s">
        <v>462</v>
      </c>
    </row>
    <row r="1428" spans="1:9" x14ac:dyDescent="0.3">
      <c r="A1428">
        <v>79114</v>
      </c>
      <c r="B1428">
        <v>105</v>
      </c>
      <c r="C1428" s="452">
        <v>46113</v>
      </c>
      <c r="D1428" t="s">
        <v>557</v>
      </c>
      <c r="E1428">
        <v>25807</v>
      </c>
      <c r="F1428" t="s">
        <v>4951</v>
      </c>
      <c r="G1428">
        <v>2</v>
      </c>
      <c r="H1428" t="s">
        <v>4736</v>
      </c>
      <c r="I1428" t="s">
        <v>462</v>
      </c>
    </row>
    <row r="1429" spans="1:9" x14ac:dyDescent="0.3">
      <c r="A1429">
        <v>79115</v>
      </c>
      <c r="B1429">
        <v>105</v>
      </c>
      <c r="C1429" s="452">
        <v>46113</v>
      </c>
      <c r="D1429" t="s">
        <v>557</v>
      </c>
      <c r="E1429">
        <v>18111</v>
      </c>
      <c r="F1429" t="s">
        <v>5049</v>
      </c>
      <c r="G1429">
        <v>1.95</v>
      </c>
      <c r="H1429" t="s">
        <v>4805</v>
      </c>
      <c r="I1429" t="s">
        <v>462</v>
      </c>
    </row>
    <row r="1430" spans="1:9" x14ac:dyDescent="0.3">
      <c r="A1430">
        <v>79116</v>
      </c>
      <c r="B1430">
        <v>105</v>
      </c>
      <c r="C1430" s="452">
        <v>46113</v>
      </c>
      <c r="D1430" t="s">
        <v>557</v>
      </c>
      <c r="E1430">
        <v>18116</v>
      </c>
      <c r="F1430" t="s">
        <v>5045</v>
      </c>
      <c r="G1430">
        <v>1.9</v>
      </c>
      <c r="H1430" t="s">
        <v>4805</v>
      </c>
      <c r="I1430" t="s">
        <v>462</v>
      </c>
    </row>
    <row r="1431" spans="1:9" x14ac:dyDescent="0.3">
      <c r="A1431">
        <v>79117</v>
      </c>
      <c r="B1431">
        <v>105</v>
      </c>
      <c r="C1431" s="452">
        <v>46113</v>
      </c>
      <c r="D1431" t="s">
        <v>557</v>
      </c>
      <c r="E1431">
        <v>24674</v>
      </c>
      <c r="F1431" t="s">
        <v>5060</v>
      </c>
      <c r="G1431">
        <v>1.76</v>
      </c>
      <c r="H1431" t="s">
        <v>4744</v>
      </c>
      <c r="I1431" t="s">
        <v>462</v>
      </c>
    </row>
    <row r="1432" spans="1:9" x14ac:dyDescent="0.3">
      <c r="A1432">
        <v>79118</v>
      </c>
      <c r="B1432">
        <v>105</v>
      </c>
      <c r="C1432" s="452">
        <v>46113</v>
      </c>
      <c r="D1432" t="s">
        <v>557</v>
      </c>
      <c r="E1432">
        <v>25079</v>
      </c>
      <c r="F1432" t="s">
        <v>5006</v>
      </c>
      <c r="G1432">
        <v>1.75</v>
      </c>
      <c r="H1432" t="s">
        <v>4738</v>
      </c>
      <c r="I1432" t="s">
        <v>462</v>
      </c>
    </row>
    <row r="1433" spans="1:9" x14ac:dyDescent="0.3">
      <c r="A1433">
        <v>79119</v>
      </c>
      <c r="B1433">
        <v>105</v>
      </c>
      <c r="C1433" s="452">
        <v>46113</v>
      </c>
      <c r="D1433" t="s">
        <v>557</v>
      </c>
      <c r="E1433">
        <v>23539</v>
      </c>
      <c r="F1433" t="s">
        <v>4995</v>
      </c>
      <c r="G1433">
        <v>1.7</v>
      </c>
      <c r="H1433" t="s">
        <v>4744</v>
      </c>
      <c r="I1433" t="s">
        <v>462</v>
      </c>
    </row>
    <row r="1434" spans="1:9" x14ac:dyDescent="0.3">
      <c r="A1434">
        <v>79120</v>
      </c>
      <c r="B1434">
        <v>105</v>
      </c>
      <c r="C1434" s="452">
        <v>46113</v>
      </c>
      <c r="D1434" t="s">
        <v>557</v>
      </c>
      <c r="E1434">
        <v>18233</v>
      </c>
      <c r="F1434" t="s">
        <v>4970</v>
      </c>
      <c r="G1434">
        <v>1.65</v>
      </c>
      <c r="H1434" t="s">
        <v>4805</v>
      </c>
      <c r="I1434" t="s">
        <v>462</v>
      </c>
    </row>
    <row r="1435" spans="1:9" x14ac:dyDescent="0.3">
      <c r="A1435">
        <v>79121</v>
      </c>
      <c r="B1435">
        <v>105</v>
      </c>
      <c r="C1435" s="452">
        <v>46113</v>
      </c>
      <c r="D1435" t="s">
        <v>557</v>
      </c>
      <c r="E1435">
        <v>18538</v>
      </c>
      <c r="F1435" t="s">
        <v>5030</v>
      </c>
      <c r="G1435">
        <v>1.54</v>
      </c>
      <c r="H1435" t="s">
        <v>4805</v>
      </c>
      <c r="I1435" t="s">
        <v>462</v>
      </c>
    </row>
    <row r="1436" spans="1:9" x14ac:dyDescent="0.3">
      <c r="A1436">
        <v>79122</v>
      </c>
      <c r="B1436">
        <v>105</v>
      </c>
      <c r="C1436" s="452">
        <v>46113</v>
      </c>
      <c r="D1436" t="s">
        <v>557</v>
      </c>
      <c r="E1436">
        <v>18595</v>
      </c>
      <c r="F1436" t="s">
        <v>5092</v>
      </c>
      <c r="G1436">
        <v>1.5</v>
      </c>
      <c r="H1436" t="s">
        <v>4738</v>
      </c>
      <c r="I1436" t="s">
        <v>462</v>
      </c>
    </row>
    <row r="1437" spans="1:9" x14ac:dyDescent="0.3">
      <c r="A1437">
        <v>79123</v>
      </c>
      <c r="B1437">
        <v>105</v>
      </c>
      <c r="C1437" s="452">
        <v>46113</v>
      </c>
      <c r="D1437" t="s">
        <v>557</v>
      </c>
      <c r="E1437">
        <v>19502</v>
      </c>
      <c r="F1437" t="s">
        <v>4871</v>
      </c>
      <c r="G1437">
        <v>1.5</v>
      </c>
      <c r="H1437" t="s">
        <v>4744</v>
      </c>
      <c r="I1437" t="s">
        <v>462</v>
      </c>
    </row>
    <row r="1438" spans="1:9" x14ac:dyDescent="0.3">
      <c r="A1438">
        <v>79124</v>
      </c>
      <c r="B1438">
        <v>105</v>
      </c>
      <c r="C1438" s="452">
        <v>46113</v>
      </c>
      <c r="D1438" t="s">
        <v>557</v>
      </c>
      <c r="E1438">
        <v>19983</v>
      </c>
      <c r="F1438" t="s">
        <v>5068</v>
      </c>
      <c r="G1438">
        <v>1.5</v>
      </c>
      <c r="H1438" t="s">
        <v>4888</v>
      </c>
      <c r="I1438" t="s">
        <v>462</v>
      </c>
    </row>
    <row r="1439" spans="1:9" x14ac:dyDescent="0.3">
      <c r="A1439">
        <v>79125</v>
      </c>
      <c r="B1439">
        <v>105</v>
      </c>
      <c r="C1439" s="452">
        <v>46113</v>
      </c>
      <c r="D1439" t="s">
        <v>557</v>
      </c>
      <c r="E1439">
        <v>25055</v>
      </c>
      <c r="F1439" t="s">
        <v>5003</v>
      </c>
      <c r="G1439">
        <v>1.5</v>
      </c>
      <c r="H1439" t="s">
        <v>4744</v>
      </c>
      <c r="I1439" t="s">
        <v>462</v>
      </c>
    </row>
    <row r="1440" spans="1:9" x14ac:dyDescent="0.3">
      <c r="A1440">
        <v>79126</v>
      </c>
      <c r="B1440">
        <v>105</v>
      </c>
      <c r="C1440" s="452">
        <v>46113</v>
      </c>
      <c r="D1440" t="s">
        <v>557</v>
      </c>
      <c r="E1440">
        <v>19572</v>
      </c>
      <c r="F1440" t="s">
        <v>4989</v>
      </c>
      <c r="G1440">
        <v>1.47</v>
      </c>
      <c r="H1440" t="s">
        <v>4744</v>
      </c>
      <c r="I1440" t="s">
        <v>462</v>
      </c>
    </row>
    <row r="1441" spans="1:9" x14ac:dyDescent="0.3">
      <c r="A1441">
        <v>79127</v>
      </c>
      <c r="B1441">
        <v>105</v>
      </c>
      <c r="C1441" s="452">
        <v>46113</v>
      </c>
      <c r="D1441" t="s">
        <v>557</v>
      </c>
      <c r="E1441">
        <v>18589</v>
      </c>
      <c r="F1441" t="s">
        <v>5089</v>
      </c>
      <c r="G1441">
        <v>1.45</v>
      </c>
      <c r="H1441" t="s">
        <v>4738</v>
      </c>
      <c r="I1441" t="s">
        <v>462</v>
      </c>
    </row>
    <row r="1442" spans="1:9" x14ac:dyDescent="0.3">
      <c r="A1442">
        <v>79128</v>
      </c>
      <c r="B1442">
        <v>105</v>
      </c>
      <c r="C1442" s="452">
        <v>46113</v>
      </c>
      <c r="D1442" t="s">
        <v>557</v>
      </c>
      <c r="E1442">
        <v>18339</v>
      </c>
      <c r="F1442" t="s">
        <v>5033</v>
      </c>
      <c r="G1442">
        <v>1.4</v>
      </c>
      <c r="H1442" t="s">
        <v>4805</v>
      </c>
      <c r="I1442" t="s">
        <v>462</v>
      </c>
    </row>
    <row r="1443" spans="1:9" x14ac:dyDescent="0.3">
      <c r="A1443">
        <v>79129</v>
      </c>
      <c r="B1443">
        <v>105</v>
      </c>
      <c r="C1443" s="452">
        <v>46113</v>
      </c>
      <c r="D1443" t="s">
        <v>557</v>
      </c>
      <c r="E1443">
        <v>24489</v>
      </c>
      <c r="F1443" t="s">
        <v>5121</v>
      </c>
      <c r="G1443">
        <v>1.4</v>
      </c>
      <c r="H1443" t="s">
        <v>4744</v>
      </c>
      <c r="I1443" t="s">
        <v>462</v>
      </c>
    </row>
    <row r="1444" spans="1:9" x14ac:dyDescent="0.3">
      <c r="A1444">
        <v>79130</v>
      </c>
      <c r="B1444">
        <v>105</v>
      </c>
      <c r="C1444" s="452">
        <v>46113</v>
      </c>
      <c r="D1444" t="s">
        <v>557</v>
      </c>
      <c r="E1444">
        <v>19607</v>
      </c>
      <c r="F1444" t="s">
        <v>4981</v>
      </c>
      <c r="G1444">
        <v>1.35</v>
      </c>
      <c r="H1444" t="s">
        <v>4744</v>
      </c>
      <c r="I1444" t="s">
        <v>462</v>
      </c>
    </row>
    <row r="1445" spans="1:9" x14ac:dyDescent="0.3">
      <c r="A1445">
        <v>79131</v>
      </c>
      <c r="B1445">
        <v>105</v>
      </c>
      <c r="C1445" s="452">
        <v>46113</v>
      </c>
      <c r="D1445" t="s">
        <v>557</v>
      </c>
      <c r="E1445">
        <v>18394</v>
      </c>
      <c r="F1445" t="s">
        <v>5032</v>
      </c>
      <c r="G1445">
        <v>1.3</v>
      </c>
      <c r="H1445" t="s">
        <v>4805</v>
      </c>
      <c r="I1445" t="s">
        <v>462</v>
      </c>
    </row>
    <row r="1446" spans="1:9" x14ac:dyDescent="0.3">
      <c r="A1446">
        <v>79132</v>
      </c>
      <c r="B1446">
        <v>105</v>
      </c>
      <c r="C1446" s="452">
        <v>46113</v>
      </c>
      <c r="D1446" t="s">
        <v>557</v>
      </c>
      <c r="E1446">
        <v>19916</v>
      </c>
      <c r="F1446" t="s">
        <v>4826</v>
      </c>
      <c r="G1446">
        <v>1.3</v>
      </c>
      <c r="H1446" t="s">
        <v>4738</v>
      </c>
      <c r="I1446" t="s">
        <v>462</v>
      </c>
    </row>
    <row r="1447" spans="1:9" x14ac:dyDescent="0.3">
      <c r="A1447">
        <v>79133</v>
      </c>
      <c r="B1447">
        <v>105</v>
      </c>
      <c r="C1447" s="452">
        <v>46113</v>
      </c>
      <c r="D1447" t="s">
        <v>557</v>
      </c>
      <c r="E1447">
        <v>23503</v>
      </c>
      <c r="F1447" t="s">
        <v>5048</v>
      </c>
      <c r="G1447">
        <v>1.3</v>
      </c>
      <c r="H1447" t="s">
        <v>4744</v>
      </c>
      <c r="I1447" t="s">
        <v>462</v>
      </c>
    </row>
    <row r="1448" spans="1:9" x14ac:dyDescent="0.3">
      <c r="A1448">
        <v>79134</v>
      </c>
      <c r="B1448">
        <v>105</v>
      </c>
      <c r="C1448" s="452">
        <v>46113</v>
      </c>
      <c r="D1448" t="s">
        <v>557</v>
      </c>
      <c r="E1448">
        <v>18119</v>
      </c>
      <c r="F1448" t="s">
        <v>5044</v>
      </c>
      <c r="G1448">
        <v>1.3</v>
      </c>
      <c r="H1448" t="s">
        <v>4805</v>
      </c>
      <c r="I1448" t="s">
        <v>462</v>
      </c>
    </row>
    <row r="1449" spans="1:9" x14ac:dyDescent="0.3">
      <c r="A1449">
        <v>79135</v>
      </c>
      <c r="B1449">
        <v>105</v>
      </c>
      <c r="C1449" s="452">
        <v>46113</v>
      </c>
      <c r="D1449" t="s">
        <v>557</v>
      </c>
      <c r="E1449">
        <v>26210</v>
      </c>
      <c r="F1449" t="s">
        <v>4975</v>
      </c>
      <c r="G1449">
        <v>1.17</v>
      </c>
      <c r="H1449" t="s">
        <v>4805</v>
      </c>
      <c r="I1449" t="s">
        <v>462</v>
      </c>
    </row>
    <row r="1450" spans="1:9" x14ac:dyDescent="0.3">
      <c r="A1450">
        <v>79136</v>
      </c>
      <c r="B1450">
        <v>105</v>
      </c>
      <c r="C1450" s="452">
        <v>46113</v>
      </c>
      <c r="D1450" t="s">
        <v>557</v>
      </c>
      <c r="E1450">
        <v>19130</v>
      </c>
      <c r="F1450" t="s">
        <v>4990</v>
      </c>
      <c r="G1450">
        <v>1.1000000000000001</v>
      </c>
      <c r="H1450" t="s">
        <v>4744</v>
      </c>
      <c r="I1450" t="s">
        <v>462</v>
      </c>
    </row>
    <row r="1451" spans="1:9" x14ac:dyDescent="0.3">
      <c r="A1451">
        <v>79137</v>
      </c>
      <c r="B1451">
        <v>105</v>
      </c>
      <c r="C1451" s="452">
        <v>46113</v>
      </c>
      <c r="D1451" t="s">
        <v>557</v>
      </c>
      <c r="E1451">
        <v>18157</v>
      </c>
      <c r="F1451" t="s">
        <v>5041</v>
      </c>
      <c r="G1451">
        <v>1.07</v>
      </c>
      <c r="H1451" t="s">
        <v>4805</v>
      </c>
      <c r="I1451" t="s">
        <v>462</v>
      </c>
    </row>
    <row r="1452" spans="1:9" x14ac:dyDescent="0.3">
      <c r="A1452">
        <v>79138</v>
      </c>
      <c r="B1452">
        <v>105</v>
      </c>
      <c r="C1452" s="452">
        <v>46113</v>
      </c>
      <c r="D1452" t="s">
        <v>557</v>
      </c>
      <c r="E1452">
        <v>18293</v>
      </c>
      <c r="F1452" t="s">
        <v>5034</v>
      </c>
      <c r="G1452">
        <v>1.05</v>
      </c>
      <c r="H1452" t="s">
        <v>4805</v>
      </c>
      <c r="I1452" t="s">
        <v>462</v>
      </c>
    </row>
    <row r="1453" spans="1:9" x14ac:dyDescent="0.3">
      <c r="A1453">
        <v>79139</v>
      </c>
      <c r="B1453">
        <v>105</v>
      </c>
      <c r="C1453" s="452">
        <v>46113</v>
      </c>
      <c r="D1453" t="s">
        <v>557</v>
      </c>
      <c r="E1453">
        <v>19552</v>
      </c>
      <c r="F1453" t="s">
        <v>4860</v>
      </c>
      <c r="G1453">
        <v>1.05</v>
      </c>
      <c r="H1453" t="s">
        <v>4744</v>
      </c>
      <c r="I1453" t="s">
        <v>462</v>
      </c>
    </row>
    <row r="1454" spans="1:9" x14ac:dyDescent="0.3">
      <c r="A1454">
        <v>79140</v>
      </c>
      <c r="B1454">
        <v>105</v>
      </c>
      <c r="C1454" s="452">
        <v>46113</v>
      </c>
      <c r="D1454" t="s">
        <v>557</v>
      </c>
      <c r="E1454">
        <v>18214</v>
      </c>
      <c r="F1454" t="s">
        <v>5039</v>
      </c>
      <c r="G1454">
        <v>1</v>
      </c>
      <c r="H1454" t="s">
        <v>4805</v>
      </c>
      <c r="I1454" t="s">
        <v>462</v>
      </c>
    </row>
    <row r="1455" spans="1:9" x14ac:dyDescent="0.3">
      <c r="A1455">
        <v>79141</v>
      </c>
      <c r="B1455">
        <v>105</v>
      </c>
      <c r="C1455" s="452">
        <v>46113</v>
      </c>
      <c r="D1455" t="s">
        <v>557</v>
      </c>
      <c r="E1455">
        <v>19434</v>
      </c>
      <c r="F1455" t="s">
        <v>5078</v>
      </c>
      <c r="G1455">
        <v>1</v>
      </c>
      <c r="H1455" t="s">
        <v>4738</v>
      </c>
      <c r="I1455" t="s">
        <v>462</v>
      </c>
    </row>
    <row r="1456" spans="1:9" x14ac:dyDescent="0.3">
      <c r="A1456">
        <v>79142</v>
      </c>
      <c r="B1456">
        <v>105</v>
      </c>
      <c r="C1456" s="452">
        <v>46113</v>
      </c>
      <c r="D1456" t="s">
        <v>557</v>
      </c>
      <c r="E1456">
        <v>19558</v>
      </c>
      <c r="F1456" t="s">
        <v>4994</v>
      </c>
      <c r="G1456">
        <v>1</v>
      </c>
      <c r="H1456" t="s">
        <v>4744</v>
      </c>
      <c r="I1456" t="s">
        <v>462</v>
      </c>
    </row>
    <row r="1457" spans="1:9" x14ac:dyDescent="0.3">
      <c r="A1457">
        <v>79143</v>
      </c>
      <c r="B1457">
        <v>105</v>
      </c>
      <c r="C1457" s="452">
        <v>46113</v>
      </c>
      <c r="D1457" t="s">
        <v>557</v>
      </c>
      <c r="E1457">
        <v>20105</v>
      </c>
      <c r="F1457" t="s">
        <v>4831</v>
      </c>
      <c r="G1457">
        <v>1</v>
      </c>
      <c r="H1457" t="s">
        <v>4744</v>
      </c>
      <c r="I1457" t="s">
        <v>462</v>
      </c>
    </row>
    <row r="1458" spans="1:9" x14ac:dyDescent="0.3">
      <c r="A1458">
        <v>79144</v>
      </c>
      <c r="B1458">
        <v>105</v>
      </c>
      <c r="C1458" s="452">
        <v>46113</v>
      </c>
      <c r="D1458" t="s">
        <v>557</v>
      </c>
      <c r="E1458">
        <v>20585</v>
      </c>
      <c r="F1458" t="s">
        <v>5025</v>
      </c>
      <c r="G1458">
        <v>1</v>
      </c>
      <c r="H1458" t="s">
        <v>4736</v>
      </c>
      <c r="I1458" t="s">
        <v>462</v>
      </c>
    </row>
    <row r="1459" spans="1:9" x14ac:dyDescent="0.3">
      <c r="A1459">
        <v>79145</v>
      </c>
      <c r="B1459">
        <v>105</v>
      </c>
      <c r="C1459" s="452">
        <v>46113</v>
      </c>
      <c r="D1459" t="s">
        <v>557</v>
      </c>
      <c r="E1459">
        <v>20614</v>
      </c>
      <c r="F1459" t="s">
        <v>4958</v>
      </c>
      <c r="G1459">
        <v>1</v>
      </c>
      <c r="H1459" t="s">
        <v>4736</v>
      </c>
      <c r="I1459" t="s">
        <v>462</v>
      </c>
    </row>
    <row r="1460" spans="1:9" x14ac:dyDescent="0.3">
      <c r="A1460">
        <v>79146</v>
      </c>
      <c r="B1460">
        <v>105</v>
      </c>
      <c r="C1460" s="452">
        <v>46113</v>
      </c>
      <c r="D1460" t="s">
        <v>557</v>
      </c>
      <c r="E1460">
        <v>20673</v>
      </c>
      <c r="F1460" t="s">
        <v>5132</v>
      </c>
      <c r="G1460">
        <v>1</v>
      </c>
      <c r="H1460" t="s">
        <v>4955</v>
      </c>
      <c r="I1460" t="s">
        <v>462</v>
      </c>
    </row>
    <row r="1461" spans="1:9" x14ac:dyDescent="0.3">
      <c r="A1461">
        <v>79147</v>
      </c>
      <c r="B1461">
        <v>105</v>
      </c>
      <c r="C1461" s="452">
        <v>46113</v>
      </c>
      <c r="D1461" t="s">
        <v>557</v>
      </c>
      <c r="E1461">
        <v>20792</v>
      </c>
      <c r="F1461" t="s">
        <v>5022</v>
      </c>
      <c r="G1461">
        <v>1</v>
      </c>
      <c r="H1461" t="s">
        <v>4738</v>
      </c>
      <c r="I1461" t="s">
        <v>462</v>
      </c>
    </row>
    <row r="1462" spans="1:9" x14ac:dyDescent="0.3">
      <c r="A1462">
        <v>79148</v>
      </c>
      <c r="B1462">
        <v>105</v>
      </c>
      <c r="C1462" s="452">
        <v>46113</v>
      </c>
      <c r="D1462" t="s">
        <v>557</v>
      </c>
      <c r="E1462">
        <v>20871</v>
      </c>
      <c r="F1462" t="s">
        <v>5015</v>
      </c>
      <c r="G1462">
        <v>1</v>
      </c>
      <c r="H1462" t="s">
        <v>4879</v>
      </c>
      <c r="I1462" t="s">
        <v>462</v>
      </c>
    </row>
    <row r="1463" spans="1:9" x14ac:dyDescent="0.3">
      <c r="A1463">
        <v>79149</v>
      </c>
      <c r="B1463">
        <v>105</v>
      </c>
      <c r="C1463" s="452">
        <v>46113</v>
      </c>
      <c r="D1463" t="s">
        <v>557</v>
      </c>
      <c r="E1463">
        <v>20984</v>
      </c>
      <c r="F1463" t="s">
        <v>5133</v>
      </c>
      <c r="G1463">
        <v>1</v>
      </c>
      <c r="H1463" t="s">
        <v>4888</v>
      </c>
      <c r="I1463" t="s">
        <v>462</v>
      </c>
    </row>
    <row r="1464" spans="1:9" x14ac:dyDescent="0.3">
      <c r="A1464">
        <v>79150</v>
      </c>
      <c r="B1464">
        <v>105</v>
      </c>
      <c r="C1464" s="452">
        <v>46113</v>
      </c>
      <c r="D1464" t="s">
        <v>557</v>
      </c>
      <c r="E1464">
        <v>23088</v>
      </c>
      <c r="F1464" t="s">
        <v>5027</v>
      </c>
      <c r="G1464">
        <v>1</v>
      </c>
      <c r="H1464" t="s">
        <v>4736</v>
      </c>
      <c r="I1464" t="s">
        <v>462</v>
      </c>
    </row>
    <row r="1465" spans="1:9" x14ac:dyDescent="0.3">
      <c r="A1465">
        <v>79151</v>
      </c>
      <c r="B1465">
        <v>105</v>
      </c>
      <c r="C1465" s="452">
        <v>46113</v>
      </c>
      <c r="D1465" t="s">
        <v>557</v>
      </c>
      <c r="E1465">
        <v>23113</v>
      </c>
      <c r="F1465" t="s">
        <v>5074</v>
      </c>
      <c r="G1465">
        <v>1</v>
      </c>
      <c r="H1465" t="s">
        <v>4744</v>
      </c>
      <c r="I1465" t="s">
        <v>462</v>
      </c>
    </row>
    <row r="1466" spans="1:9" x14ac:dyDescent="0.3">
      <c r="A1466">
        <v>79152</v>
      </c>
      <c r="B1466">
        <v>105</v>
      </c>
      <c r="C1466" s="452">
        <v>46113</v>
      </c>
      <c r="D1466" t="s">
        <v>557</v>
      </c>
      <c r="E1466">
        <v>23124</v>
      </c>
      <c r="F1466" t="s">
        <v>5126</v>
      </c>
      <c r="G1466">
        <v>1</v>
      </c>
      <c r="H1466" t="s">
        <v>4744</v>
      </c>
      <c r="I1466" t="s">
        <v>462</v>
      </c>
    </row>
    <row r="1467" spans="1:9" x14ac:dyDescent="0.3">
      <c r="A1467">
        <v>79153</v>
      </c>
      <c r="B1467">
        <v>105</v>
      </c>
      <c r="C1467" s="452">
        <v>46113</v>
      </c>
      <c r="D1467" t="s">
        <v>557</v>
      </c>
      <c r="E1467">
        <v>24522</v>
      </c>
      <c r="F1467" t="s">
        <v>5072</v>
      </c>
      <c r="G1467">
        <v>1</v>
      </c>
      <c r="H1467" t="s">
        <v>4744</v>
      </c>
      <c r="I1467" t="s">
        <v>462</v>
      </c>
    </row>
    <row r="1468" spans="1:9" x14ac:dyDescent="0.3">
      <c r="A1468">
        <v>79154</v>
      </c>
      <c r="B1468">
        <v>105</v>
      </c>
      <c r="C1468" s="452">
        <v>46113</v>
      </c>
      <c r="D1468" t="s">
        <v>557</v>
      </c>
      <c r="E1468">
        <v>24598</v>
      </c>
      <c r="F1468" t="s">
        <v>4852</v>
      </c>
      <c r="G1468">
        <v>1</v>
      </c>
      <c r="H1468" t="s">
        <v>4744</v>
      </c>
      <c r="I1468" t="s">
        <v>462</v>
      </c>
    </row>
    <row r="1469" spans="1:9" x14ac:dyDescent="0.3">
      <c r="A1469">
        <v>79155</v>
      </c>
      <c r="B1469">
        <v>105</v>
      </c>
      <c r="C1469" s="452">
        <v>46113</v>
      </c>
      <c r="D1469" t="s">
        <v>557</v>
      </c>
      <c r="E1469">
        <v>25358</v>
      </c>
      <c r="F1469" t="s">
        <v>4980</v>
      </c>
      <c r="G1469">
        <v>1</v>
      </c>
      <c r="H1469" t="s">
        <v>4744</v>
      </c>
      <c r="I1469" t="s">
        <v>462</v>
      </c>
    </row>
    <row r="1470" spans="1:9" x14ac:dyDescent="0.3">
      <c r="A1470">
        <v>79156</v>
      </c>
      <c r="B1470">
        <v>105</v>
      </c>
      <c r="C1470" s="452">
        <v>46113</v>
      </c>
      <c r="D1470" t="s">
        <v>557</v>
      </c>
      <c r="E1470">
        <v>26030</v>
      </c>
      <c r="F1470" t="s">
        <v>5136</v>
      </c>
      <c r="G1470">
        <v>1</v>
      </c>
      <c r="H1470" t="s">
        <v>4805</v>
      </c>
      <c r="I1470" t="s">
        <v>462</v>
      </c>
    </row>
    <row r="1471" spans="1:9" x14ac:dyDescent="0.3">
      <c r="A1471">
        <v>79157</v>
      </c>
      <c r="B1471">
        <v>105</v>
      </c>
      <c r="C1471" s="452">
        <v>46113</v>
      </c>
      <c r="D1471" t="s">
        <v>557</v>
      </c>
      <c r="E1471">
        <v>26150</v>
      </c>
      <c r="F1471" t="s">
        <v>5105</v>
      </c>
      <c r="G1471">
        <v>1</v>
      </c>
      <c r="H1471" t="s">
        <v>4805</v>
      </c>
      <c r="I1471" t="s">
        <v>462</v>
      </c>
    </row>
    <row r="1472" spans="1:9" x14ac:dyDescent="0.3">
      <c r="A1472">
        <v>79158</v>
      </c>
      <c r="B1472">
        <v>105</v>
      </c>
      <c r="C1472" s="452">
        <v>46113</v>
      </c>
      <c r="D1472" t="s">
        <v>557</v>
      </c>
      <c r="E1472">
        <v>24400</v>
      </c>
      <c r="F1472" t="s">
        <v>5052</v>
      </c>
      <c r="G1472">
        <v>1</v>
      </c>
      <c r="H1472" t="s">
        <v>4736</v>
      </c>
      <c r="I1472" t="s">
        <v>462</v>
      </c>
    </row>
    <row r="1473" spans="1:9" x14ac:dyDescent="0.3">
      <c r="A1473">
        <v>79159</v>
      </c>
      <c r="B1473">
        <v>105</v>
      </c>
      <c r="C1473" s="452">
        <v>46113</v>
      </c>
      <c r="D1473" t="s">
        <v>557</v>
      </c>
      <c r="E1473">
        <v>19892</v>
      </c>
      <c r="F1473" t="s">
        <v>5150</v>
      </c>
      <c r="G1473">
        <v>0.9</v>
      </c>
      <c r="H1473" t="s">
        <v>4744</v>
      </c>
      <c r="I1473" t="s">
        <v>462</v>
      </c>
    </row>
    <row r="1474" spans="1:9" x14ac:dyDescent="0.3">
      <c r="A1474">
        <v>79160</v>
      </c>
      <c r="B1474">
        <v>105</v>
      </c>
      <c r="C1474" s="452">
        <v>46113</v>
      </c>
      <c r="D1474" t="s">
        <v>557</v>
      </c>
      <c r="E1474">
        <v>18129</v>
      </c>
      <c r="F1474" t="s">
        <v>5043</v>
      </c>
      <c r="G1474">
        <v>0.88</v>
      </c>
      <c r="H1474" t="s">
        <v>4805</v>
      </c>
      <c r="I1474" t="s">
        <v>462</v>
      </c>
    </row>
    <row r="1475" spans="1:9" x14ac:dyDescent="0.3">
      <c r="A1475">
        <v>79161</v>
      </c>
      <c r="B1475">
        <v>105</v>
      </c>
      <c r="C1475" s="452">
        <v>46113</v>
      </c>
      <c r="D1475" t="s">
        <v>557</v>
      </c>
      <c r="E1475">
        <v>17042</v>
      </c>
      <c r="F1475" t="s">
        <v>4748</v>
      </c>
      <c r="G1475">
        <v>0.8</v>
      </c>
      <c r="H1475" t="s">
        <v>4749</v>
      </c>
      <c r="I1475" t="s">
        <v>462</v>
      </c>
    </row>
    <row r="1476" spans="1:9" x14ac:dyDescent="0.3">
      <c r="A1476">
        <v>79162</v>
      </c>
      <c r="B1476">
        <v>105</v>
      </c>
      <c r="C1476" s="452">
        <v>46113</v>
      </c>
      <c r="D1476" t="s">
        <v>557</v>
      </c>
      <c r="E1476">
        <v>18273</v>
      </c>
      <c r="F1476" t="s">
        <v>5058</v>
      </c>
      <c r="G1476">
        <v>0.8</v>
      </c>
      <c r="H1476" t="s">
        <v>4805</v>
      </c>
      <c r="I1476" t="s">
        <v>462</v>
      </c>
    </row>
    <row r="1477" spans="1:9" x14ac:dyDescent="0.3">
      <c r="A1477">
        <v>79163</v>
      </c>
      <c r="B1477">
        <v>105</v>
      </c>
      <c r="C1477" s="452">
        <v>46113</v>
      </c>
      <c r="D1477" t="s">
        <v>557</v>
      </c>
      <c r="E1477">
        <v>23365</v>
      </c>
      <c r="F1477" t="s">
        <v>5108</v>
      </c>
      <c r="G1477">
        <v>0.8</v>
      </c>
      <c r="H1477" t="s">
        <v>4744</v>
      </c>
      <c r="I1477" t="s">
        <v>462</v>
      </c>
    </row>
    <row r="1478" spans="1:9" x14ac:dyDescent="0.3">
      <c r="A1478">
        <v>79164</v>
      </c>
      <c r="B1478">
        <v>105</v>
      </c>
      <c r="C1478" s="452">
        <v>46113</v>
      </c>
      <c r="D1478" t="s">
        <v>557</v>
      </c>
      <c r="E1478">
        <v>24973</v>
      </c>
      <c r="F1478" t="s">
        <v>4819</v>
      </c>
      <c r="G1478">
        <v>0.8</v>
      </c>
      <c r="H1478" t="s">
        <v>4738</v>
      </c>
      <c r="I1478" t="s">
        <v>462</v>
      </c>
    </row>
    <row r="1479" spans="1:9" x14ac:dyDescent="0.3">
      <c r="A1479">
        <v>79165</v>
      </c>
      <c r="B1479">
        <v>105</v>
      </c>
      <c r="C1479" s="452">
        <v>46113</v>
      </c>
      <c r="D1479" t="s">
        <v>557</v>
      </c>
      <c r="E1479">
        <v>18317</v>
      </c>
      <c r="F1479" t="s">
        <v>5056</v>
      </c>
      <c r="G1479">
        <v>0.7</v>
      </c>
      <c r="H1479" t="s">
        <v>4805</v>
      </c>
      <c r="I1479" t="s">
        <v>462</v>
      </c>
    </row>
    <row r="1480" spans="1:9" x14ac:dyDescent="0.3">
      <c r="A1480">
        <v>79166</v>
      </c>
      <c r="B1480">
        <v>105</v>
      </c>
      <c r="C1480" s="452">
        <v>46113</v>
      </c>
      <c r="D1480" t="s">
        <v>557</v>
      </c>
      <c r="E1480">
        <v>19506</v>
      </c>
      <c r="F1480" t="s">
        <v>5122</v>
      </c>
      <c r="G1480">
        <v>0.7</v>
      </c>
      <c r="H1480" t="s">
        <v>4744</v>
      </c>
      <c r="I1480" t="s">
        <v>462</v>
      </c>
    </row>
    <row r="1481" spans="1:9" x14ac:dyDescent="0.3">
      <c r="A1481">
        <v>79167</v>
      </c>
      <c r="B1481">
        <v>105</v>
      </c>
      <c r="C1481" s="452">
        <v>46113</v>
      </c>
      <c r="D1481" t="s">
        <v>557</v>
      </c>
      <c r="E1481">
        <v>28751</v>
      </c>
      <c r="F1481" t="s">
        <v>5151</v>
      </c>
      <c r="G1481">
        <v>0.69</v>
      </c>
      <c r="H1481" t="s">
        <v>4736</v>
      </c>
      <c r="I1481" t="s">
        <v>462</v>
      </c>
    </row>
    <row r="1482" spans="1:9" x14ac:dyDescent="0.3">
      <c r="A1482">
        <v>79168</v>
      </c>
      <c r="B1482">
        <v>105</v>
      </c>
      <c r="C1482" s="452">
        <v>46113</v>
      </c>
      <c r="D1482" t="s">
        <v>557</v>
      </c>
      <c r="E1482">
        <v>20751</v>
      </c>
      <c r="F1482" t="s">
        <v>5004</v>
      </c>
      <c r="G1482">
        <v>0.65</v>
      </c>
      <c r="H1482" t="s">
        <v>4884</v>
      </c>
      <c r="I1482" t="s">
        <v>462</v>
      </c>
    </row>
    <row r="1483" spans="1:9" x14ac:dyDescent="0.3">
      <c r="A1483">
        <v>79169</v>
      </c>
      <c r="B1483">
        <v>105</v>
      </c>
      <c r="C1483" s="452">
        <v>46113</v>
      </c>
      <c r="D1483" t="s">
        <v>557</v>
      </c>
      <c r="E1483">
        <v>18146</v>
      </c>
      <c r="F1483" t="s">
        <v>5112</v>
      </c>
      <c r="G1483">
        <v>0.64</v>
      </c>
      <c r="H1483" t="s">
        <v>4805</v>
      </c>
      <c r="I1483" t="s">
        <v>462</v>
      </c>
    </row>
    <row r="1484" spans="1:9" x14ac:dyDescent="0.3">
      <c r="A1484">
        <v>79170</v>
      </c>
      <c r="B1484">
        <v>105</v>
      </c>
      <c r="C1484" s="452">
        <v>46113</v>
      </c>
      <c r="D1484" t="s">
        <v>557</v>
      </c>
      <c r="E1484">
        <v>18312</v>
      </c>
      <c r="F1484" t="s">
        <v>5037</v>
      </c>
      <c r="G1484">
        <v>0.6</v>
      </c>
      <c r="H1484" t="s">
        <v>4805</v>
      </c>
      <c r="I1484" t="s">
        <v>462</v>
      </c>
    </row>
    <row r="1485" spans="1:9" x14ac:dyDescent="0.3">
      <c r="A1485">
        <v>79171</v>
      </c>
      <c r="B1485">
        <v>105</v>
      </c>
      <c r="C1485" s="452">
        <v>46113</v>
      </c>
      <c r="D1485" t="s">
        <v>557</v>
      </c>
      <c r="E1485">
        <v>18423</v>
      </c>
      <c r="F1485" t="s">
        <v>4987</v>
      </c>
      <c r="G1485">
        <v>0.6</v>
      </c>
      <c r="H1485" t="s">
        <v>4805</v>
      </c>
      <c r="I1485" t="s">
        <v>462</v>
      </c>
    </row>
    <row r="1486" spans="1:9" x14ac:dyDescent="0.3">
      <c r="A1486">
        <v>79172</v>
      </c>
      <c r="B1486">
        <v>105</v>
      </c>
      <c r="C1486" s="452">
        <v>46113</v>
      </c>
      <c r="D1486" t="s">
        <v>557</v>
      </c>
      <c r="E1486">
        <v>24685</v>
      </c>
      <c r="F1486" t="s">
        <v>5055</v>
      </c>
      <c r="G1486">
        <v>0.6</v>
      </c>
      <c r="H1486" t="s">
        <v>4805</v>
      </c>
      <c r="I1486" t="s">
        <v>462</v>
      </c>
    </row>
    <row r="1487" spans="1:9" x14ac:dyDescent="0.3">
      <c r="A1487">
        <v>79173</v>
      </c>
      <c r="B1487">
        <v>105</v>
      </c>
      <c r="C1487" s="452">
        <v>46113</v>
      </c>
      <c r="D1487" t="s">
        <v>557</v>
      </c>
      <c r="E1487">
        <v>18289</v>
      </c>
      <c r="F1487" t="s">
        <v>5036</v>
      </c>
      <c r="G1487">
        <v>0.57999999999999996</v>
      </c>
      <c r="H1487" t="s">
        <v>4736</v>
      </c>
      <c r="I1487" t="s">
        <v>462</v>
      </c>
    </row>
    <row r="1488" spans="1:9" x14ac:dyDescent="0.3">
      <c r="A1488">
        <v>79174</v>
      </c>
      <c r="B1488">
        <v>105</v>
      </c>
      <c r="C1488" s="452">
        <v>46113</v>
      </c>
      <c r="D1488" t="s">
        <v>557</v>
      </c>
      <c r="E1488">
        <v>18085</v>
      </c>
      <c r="F1488" t="s">
        <v>4973</v>
      </c>
      <c r="G1488">
        <v>0.56000000000000005</v>
      </c>
      <c r="H1488" t="s">
        <v>4805</v>
      </c>
      <c r="I1488" t="s">
        <v>462</v>
      </c>
    </row>
    <row r="1489" spans="1:9" x14ac:dyDescent="0.3">
      <c r="A1489">
        <v>79175</v>
      </c>
      <c r="B1489">
        <v>105</v>
      </c>
      <c r="C1489" s="452">
        <v>46113</v>
      </c>
      <c r="D1489" t="s">
        <v>557</v>
      </c>
      <c r="E1489">
        <v>24116</v>
      </c>
      <c r="F1489" t="s">
        <v>4777</v>
      </c>
      <c r="G1489">
        <v>0.52</v>
      </c>
      <c r="H1489" t="s">
        <v>4744</v>
      </c>
      <c r="I1489" t="s">
        <v>462</v>
      </c>
    </row>
    <row r="1490" spans="1:9" x14ac:dyDescent="0.3">
      <c r="A1490">
        <v>79176</v>
      </c>
      <c r="B1490">
        <v>105</v>
      </c>
      <c r="C1490" s="452">
        <v>46113</v>
      </c>
      <c r="D1490" t="s">
        <v>557</v>
      </c>
      <c r="E1490">
        <v>19647</v>
      </c>
      <c r="F1490" t="s">
        <v>5050</v>
      </c>
      <c r="G1490">
        <v>0.5</v>
      </c>
      <c r="H1490" t="s">
        <v>4744</v>
      </c>
      <c r="I1490" t="s">
        <v>462</v>
      </c>
    </row>
    <row r="1491" spans="1:9" x14ac:dyDescent="0.3">
      <c r="A1491">
        <v>79177</v>
      </c>
      <c r="B1491">
        <v>105</v>
      </c>
      <c r="C1491" s="452">
        <v>46113</v>
      </c>
      <c r="D1491" t="s">
        <v>557</v>
      </c>
      <c r="E1491">
        <v>19939</v>
      </c>
      <c r="F1491" t="s">
        <v>5057</v>
      </c>
      <c r="G1491">
        <v>0.5</v>
      </c>
      <c r="H1491" t="s">
        <v>4744</v>
      </c>
      <c r="I1491" t="s">
        <v>462</v>
      </c>
    </row>
    <row r="1492" spans="1:9" x14ac:dyDescent="0.3">
      <c r="A1492">
        <v>79178</v>
      </c>
      <c r="B1492">
        <v>105</v>
      </c>
      <c r="C1492" s="452">
        <v>46113</v>
      </c>
      <c r="D1492" t="s">
        <v>557</v>
      </c>
      <c r="E1492">
        <v>23502</v>
      </c>
      <c r="F1492" t="s">
        <v>4930</v>
      </c>
      <c r="G1492">
        <v>0.5</v>
      </c>
      <c r="H1492" t="s">
        <v>4736</v>
      </c>
      <c r="I1492" t="s">
        <v>462</v>
      </c>
    </row>
    <row r="1493" spans="1:9" x14ac:dyDescent="0.3">
      <c r="A1493">
        <v>79179</v>
      </c>
      <c r="B1493">
        <v>105</v>
      </c>
      <c r="C1493" s="452">
        <v>46113</v>
      </c>
      <c r="D1493" t="s">
        <v>557</v>
      </c>
      <c r="E1493">
        <v>23554</v>
      </c>
      <c r="F1493" t="s">
        <v>4931</v>
      </c>
      <c r="G1493">
        <v>0.5</v>
      </c>
      <c r="H1493" t="s">
        <v>4744</v>
      </c>
      <c r="I1493" t="s">
        <v>462</v>
      </c>
    </row>
    <row r="1494" spans="1:9" x14ac:dyDescent="0.3">
      <c r="A1494">
        <v>79180</v>
      </c>
      <c r="B1494">
        <v>105</v>
      </c>
      <c r="C1494" s="452">
        <v>46113</v>
      </c>
      <c r="D1494" t="s">
        <v>557</v>
      </c>
      <c r="E1494">
        <v>25050</v>
      </c>
      <c r="F1494" t="s">
        <v>5110</v>
      </c>
      <c r="G1494">
        <v>0.5</v>
      </c>
      <c r="H1494" t="s">
        <v>4744</v>
      </c>
      <c r="I1494" t="s">
        <v>462</v>
      </c>
    </row>
    <row r="1495" spans="1:9" x14ac:dyDescent="0.3">
      <c r="A1495">
        <v>79181</v>
      </c>
      <c r="B1495">
        <v>105</v>
      </c>
      <c r="C1495" s="452">
        <v>46113</v>
      </c>
      <c r="D1495" t="s">
        <v>557</v>
      </c>
      <c r="E1495">
        <v>20186</v>
      </c>
      <c r="F1495" t="s">
        <v>5061</v>
      </c>
      <c r="G1495">
        <v>0.5</v>
      </c>
      <c r="H1495" t="s">
        <v>4744</v>
      </c>
      <c r="I1495" t="s">
        <v>462</v>
      </c>
    </row>
    <row r="1496" spans="1:9" x14ac:dyDescent="0.3">
      <c r="A1496">
        <v>79182</v>
      </c>
      <c r="B1496">
        <v>105</v>
      </c>
      <c r="C1496" s="452">
        <v>46113</v>
      </c>
      <c r="D1496" t="s">
        <v>557</v>
      </c>
      <c r="E1496">
        <v>20207</v>
      </c>
      <c r="F1496" t="s">
        <v>4929</v>
      </c>
      <c r="G1496">
        <v>0.5</v>
      </c>
      <c r="H1496" t="s">
        <v>4744</v>
      </c>
      <c r="I1496" t="s">
        <v>462</v>
      </c>
    </row>
    <row r="1497" spans="1:9" x14ac:dyDescent="0.3">
      <c r="A1497">
        <v>79183</v>
      </c>
      <c r="B1497">
        <v>105</v>
      </c>
      <c r="C1497" s="452">
        <v>46113</v>
      </c>
      <c r="D1497" t="s">
        <v>557</v>
      </c>
      <c r="E1497">
        <v>23195</v>
      </c>
      <c r="F1497" t="s">
        <v>5051</v>
      </c>
      <c r="G1497">
        <v>0.45</v>
      </c>
      <c r="H1497" t="s">
        <v>4744</v>
      </c>
      <c r="I1497" t="s">
        <v>462</v>
      </c>
    </row>
    <row r="1498" spans="1:9" x14ac:dyDescent="0.3">
      <c r="A1498">
        <v>79184</v>
      </c>
      <c r="B1498">
        <v>105</v>
      </c>
      <c r="C1498" s="452">
        <v>46113</v>
      </c>
      <c r="D1498" t="s">
        <v>557</v>
      </c>
      <c r="E1498">
        <v>19490</v>
      </c>
      <c r="F1498" t="s">
        <v>5116</v>
      </c>
      <c r="G1498">
        <v>0.42</v>
      </c>
      <c r="H1498" t="s">
        <v>4744</v>
      </c>
      <c r="I1498" t="s">
        <v>462</v>
      </c>
    </row>
    <row r="1499" spans="1:9" x14ac:dyDescent="0.3">
      <c r="A1499">
        <v>79185</v>
      </c>
      <c r="B1499">
        <v>105</v>
      </c>
      <c r="C1499" s="452">
        <v>46113</v>
      </c>
      <c r="D1499" t="s">
        <v>557</v>
      </c>
      <c r="E1499">
        <v>18327</v>
      </c>
      <c r="F1499" t="s">
        <v>5035</v>
      </c>
      <c r="G1499">
        <v>0.42</v>
      </c>
      <c r="H1499" t="s">
        <v>4805</v>
      </c>
      <c r="I1499" t="s">
        <v>462</v>
      </c>
    </row>
    <row r="1500" spans="1:9" x14ac:dyDescent="0.3">
      <c r="A1500">
        <v>79186</v>
      </c>
      <c r="B1500">
        <v>105</v>
      </c>
      <c r="C1500" s="452">
        <v>46113</v>
      </c>
      <c r="D1500" t="s">
        <v>557</v>
      </c>
      <c r="E1500">
        <v>19617</v>
      </c>
      <c r="F1500" t="s">
        <v>5071</v>
      </c>
      <c r="G1500">
        <v>0.4</v>
      </c>
      <c r="H1500" t="s">
        <v>4744</v>
      </c>
      <c r="I1500" t="s">
        <v>462</v>
      </c>
    </row>
    <row r="1501" spans="1:9" x14ac:dyDescent="0.3">
      <c r="A1501">
        <v>79187</v>
      </c>
      <c r="B1501">
        <v>105</v>
      </c>
      <c r="C1501" s="452">
        <v>46113</v>
      </c>
      <c r="D1501" t="s">
        <v>557</v>
      </c>
      <c r="E1501">
        <v>19728</v>
      </c>
      <c r="F1501" t="s">
        <v>5106</v>
      </c>
      <c r="G1501">
        <v>0.4</v>
      </c>
      <c r="H1501" t="s">
        <v>4744</v>
      </c>
      <c r="I1501" t="s">
        <v>462</v>
      </c>
    </row>
    <row r="1502" spans="1:9" x14ac:dyDescent="0.3">
      <c r="A1502">
        <v>79188</v>
      </c>
      <c r="B1502">
        <v>105</v>
      </c>
      <c r="C1502" s="452">
        <v>46113</v>
      </c>
      <c r="D1502" t="s">
        <v>557</v>
      </c>
      <c r="E1502">
        <v>20624</v>
      </c>
      <c r="F1502" t="s">
        <v>5019</v>
      </c>
      <c r="G1502">
        <v>0.4</v>
      </c>
      <c r="H1502" t="s">
        <v>4884</v>
      </c>
      <c r="I1502" t="s">
        <v>462</v>
      </c>
    </row>
    <row r="1503" spans="1:9" x14ac:dyDescent="0.3">
      <c r="A1503">
        <v>79189</v>
      </c>
      <c r="B1503">
        <v>105</v>
      </c>
      <c r="C1503" s="452">
        <v>46113</v>
      </c>
      <c r="D1503" t="s">
        <v>557</v>
      </c>
      <c r="E1503">
        <v>23390</v>
      </c>
      <c r="F1503" t="s">
        <v>4873</v>
      </c>
      <c r="G1503">
        <v>0.4</v>
      </c>
      <c r="H1503" t="s">
        <v>4744</v>
      </c>
      <c r="I1503" t="s">
        <v>462</v>
      </c>
    </row>
    <row r="1504" spans="1:9" x14ac:dyDescent="0.3">
      <c r="A1504">
        <v>79190</v>
      </c>
      <c r="B1504">
        <v>105</v>
      </c>
      <c r="C1504" s="452">
        <v>46113</v>
      </c>
      <c r="D1504" t="s">
        <v>557</v>
      </c>
      <c r="E1504">
        <v>23494</v>
      </c>
      <c r="F1504" t="s">
        <v>4991</v>
      </c>
      <c r="G1504">
        <v>0.4</v>
      </c>
      <c r="H1504" t="s">
        <v>4744</v>
      </c>
      <c r="I1504" t="s">
        <v>462</v>
      </c>
    </row>
    <row r="1505" spans="1:9" x14ac:dyDescent="0.3">
      <c r="A1505">
        <v>79191</v>
      </c>
      <c r="B1505">
        <v>105</v>
      </c>
      <c r="C1505" s="452">
        <v>46113</v>
      </c>
      <c r="D1505" t="s">
        <v>557</v>
      </c>
      <c r="E1505">
        <v>18114</v>
      </c>
      <c r="F1505" t="s">
        <v>5046</v>
      </c>
      <c r="G1505">
        <v>0.36</v>
      </c>
      <c r="H1505" t="s">
        <v>4805</v>
      </c>
      <c r="I1505" t="s">
        <v>462</v>
      </c>
    </row>
    <row r="1506" spans="1:9" x14ac:dyDescent="0.3">
      <c r="A1506">
        <v>79192</v>
      </c>
      <c r="B1506">
        <v>105</v>
      </c>
      <c r="C1506" s="452">
        <v>46113</v>
      </c>
      <c r="D1506" t="s">
        <v>557</v>
      </c>
      <c r="E1506">
        <v>18212</v>
      </c>
      <c r="F1506" t="s">
        <v>5040</v>
      </c>
      <c r="G1506">
        <v>0.3</v>
      </c>
      <c r="H1506" t="s">
        <v>4805</v>
      </c>
      <c r="I1506" t="s">
        <v>462</v>
      </c>
    </row>
    <row r="1507" spans="1:9" x14ac:dyDescent="0.3">
      <c r="A1507">
        <v>79193</v>
      </c>
      <c r="B1507">
        <v>105</v>
      </c>
      <c r="C1507" s="452">
        <v>46113</v>
      </c>
      <c r="D1507" t="s">
        <v>557</v>
      </c>
      <c r="E1507">
        <v>19476</v>
      </c>
      <c r="F1507" t="s">
        <v>5115</v>
      </c>
      <c r="G1507">
        <v>0.25</v>
      </c>
      <c r="H1507" t="s">
        <v>4744</v>
      </c>
      <c r="I1507" t="s">
        <v>462</v>
      </c>
    </row>
    <row r="1508" spans="1:9" x14ac:dyDescent="0.3">
      <c r="A1508">
        <v>79194</v>
      </c>
      <c r="B1508">
        <v>105</v>
      </c>
      <c r="C1508" s="452">
        <v>46113</v>
      </c>
      <c r="D1508" t="s">
        <v>557</v>
      </c>
      <c r="E1508">
        <v>23108</v>
      </c>
      <c r="F1508" t="s">
        <v>5117</v>
      </c>
      <c r="G1508">
        <v>0.15</v>
      </c>
      <c r="H1508" t="s">
        <v>4744</v>
      </c>
      <c r="I1508" t="s">
        <v>462</v>
      </c>
    </row>
    <row r="1509" spans="1:9" x14ac:dyDescent="0.3">
      <c r="A1509">
        <v>79195</v>
      </c>
      <c r="B1509">
        <v>105</v>
      </c>
      <c r="C1509" s="452">
        <v>46113</v>
      </c>
      <c r="D1509" t="s">
        <v>557</v>
      </c>
      <c r="E1509">
        <v>29081</v>
      </c>
      <c r="F1509" t="s">
        <v>5152</v>
      </c>
      <c r="G1509">
        <v>1.07</v>
      </c>
      <c r="H1509" t="s">
        <v>4749</v>
      </c>
      <c r="I1509" t="s">
        <v>462</v>
      </c>
    </row>
    <row r="1510" spans="1:9" x14ac:dyDescent="0.3">
      <c r="A1510">
        <v>79196</v>
      </c>
      <c r="B1510">
        <v>105</v>
      </c>
      <c r="C1510" s="452">
        <v>46113</v>
      </c>
      <c r="D1510" t="s">
        <v>557</v>
      </c>
      <c r="E1510">
        <v>29083</v>
      </c>
      <c r="F1510" t="s">
        <v>5153</v>
      </c>
      <c r="G1510">
        <v>1.08</v>
      </c>
      <c r="H1510" t="s">
        <v>4736</v>
      </c>
      <c r="I1510" t="s">
        <v>462</v>
      </c>
    </row>
    <row r="1511" spans="1:9" x14ac:dyDescent="0.3">
      <c r="A1511">
        <v>79197</v>
      </c>
      <c r="B1511">
        <v>105</v>
      </c>
      <c r="C1511" s="452">
        <v>46113</v>
      </c>
      <c r="D1511" t="s">
        <v>557</v>
      </c>
      <c r="E1511">
        <v>29084</v>
      </c>
      <c r="F1511" t="s">
        <v>5154</v>
      </c>
      <c r="G1511">
        <v>1</v>
      </c>
      <c r="H1511" t="s">
        <v>4736</v>
      </c>
      <c r="I1511" t="s">
        <v>462</v>
      </c>
    </row>
    <row r="1512" spans="1:9" x14ac:dyDescent="0.3">
      <c r="A1512">
        <v>79198</v>
      </c>
      <c r="B1512">
        <v>105</v>
      </c>
      <c r="C1512" s="452">
        <v>46113</v>
      </c>
      <c r="D1512" t="s">
        <v>557</v>
      </c>
      <c r="E1512">
        <v>29087</v>
      </c>
      <c r="F1512" t="s">
        <v>5155</v>
      </c>
      <c r="G1512">
        <v>1.07</v>
      </c>
      <c r="H1512" t="s">
        <v>4736</v>
      </c>
      <c r="I1512" t="s">
        <v>462</v>
      </c>
    </row>
    <row r="1513" spans="1:9" x14ac:dyDescent="0.3">
      <c r="A1513">
        <v>85136</v>
      </c>
      <c r="B1513">
        <v>105</v>
      </c>
      <c r="C1513" s="452">
        <v>46143</v>
      </c>
      <c r="D1513" t="s">
        <v>557</v>
      </c>
      <c r="E1513">
        <v>16973</v>
      </c>
      <c r="F1513" t="s">
        <v>4827</v>
      </c>
      <c r="G1513">
        <v>2</v>
      </c>
      <c r="H1513" t="s">
        <v>4749</v>
      </c>
      <c r="I1513" t="s">
        <v>463</v>
      </c>
    </row>
    <row r="1514" spans="1:9" x14ac:dyDescent="0.3">
      <c r="A1514">
        <v>85137</v>
      </c>
      <c r="B1514">
        <v>105</v>
      </c>
      <c r="C1514" s="452">
        <v>46143</v>
      </c>
      <c r="D1514" t="s">
        <v>557</v>
      </c>
      <c r="E1514">
        <v>17042</v>
      </c>
      <c r="F1514" t="s">
        <v>4748</v>
      </c>
      <c r="G1514">
        <v>0.5</v>
      </c>
      <c r="H1514" t="s">
        <v>4749</v>
      </c>
      <c r="I1514" t="s">
        <v>463</v>
      </c>
    </row>
    <row r="1515" spans="1:9" x14ac:dyDescent="0.3">
      <c r="A1515">
        <v>85138</v>
      </c>
      <c r="B1515">
        <v>105</v>
      </c>
      <c r="C1515" s="452">
        <v>46143</v>
      </c>
      <c r="D1515" t="s">
        <v>557</v>
      </c>
      <c r="E1515">
        <v>17062</v>
      </c>
      <c r="F1515" t="s">
        <v>4880</v>
      </c>
      <c r="G1515">
        <v>2</v>
      </c>
      <c r="H1515" t="s">
        <v>4879</v>
      </c>
      <c r="I1515" t="s">
        <v>463</v>
      </c>
    </row>
    <row r="1516" spans="1:9" x14ac:dyDescent="0.3">
      <c r="A1516">
        <v>85139</v>
      </c>
      <c r="B1516">
        <v>105</v>
      </c>
      <c r="C1516" s="452">
        <v>46143</v>
      </c>
      <c r="D1516" t="s">
        <v>557</v>
      </c>
      <c r="E1516">
        <v>17092</v>
      </c>
      <c r="F1516" t="s">
        <v>5146</v>
      </c>
      <c r="G1516">
        <v>4</v>
      </c>
      <c r="H1516" t="s">
        <v>4736</v>
      </c>
      <c r="I1516" t="s">
        <v>463</v>
      </c>
    </row>
    <row r="1517" spans="1:9" x14ac:dyDescent="0.3">
      <c r="A1517">
        <v>85140</v>
      </c>
      <c r="B1517">
        <v>105</v>
      </c>
      <c r="C1517" s="452">
        <v>46143</v>
      </c>
      <c r="D1517" t="s">
        <v>557</v>
      </c>
      <c r="E1517">
        <v>17578</v>
      </c>
      <c r="F1517" t="s">
        <v>4842</v>
      </c>
      <c r="G1517">
        <v>3</v>
      </c>
      <c r="H1517" t="s">
        <v>4805</v>
      </c>
      <c r="I1517" t="s">
        <v>463</v>
      </c>
    </row>
    <row r="1518" spans="1:9" x14ac:dyDescent="0.3">
      <c r="A1518">
        <v>85141</v>
      </c>
      <c r="B1518">
        <v>105</v>
      </c>
      <c r="C1518" s="452">
        <v>46143</v>
      </c>
      <c r="D1518" t="s">
        <v>557</v>
      </c>
      <c r="E1518">
        <v>17658</v>
      </c>
      <c r="F1518" t="s">
        <v>4978</v>
      </c>
      <c r="G1518">
        <v>2</v>
      </c>
      <c r="H1518" t="s">
        <v>4805</v>
      </c>
      <c r="I1518" t="s">
        <v>463</v>
      </c>
    </row>
    <row r="1519" spans="1:9" x14ac:dyDescent="0.3">
      <c r="A1519">
        <v>85142</v>
      </c>
      <c r="B1519">
        <v>105</v>
      </c>
      <c r="C1519" s="452">
        <v>46143</v>
      </c>
      <c r="D1519" t="s">
        <v>557</v>
      </c>
      <c r="E1519">
        <v>17721</v>
      </c>
      <c r="F1519" t="s">
        <v>4977</v>
      </c>
      <c r="G1519">
        <v>2</v>
      </c>
      <c r="H1519" t="s">
        <v>4805</v>
      </c>
      <c r="I1519" t="s">
        <v>463</v>
      </c>
    </row>
    <row r="1520" spans="1:9" x14ac:dyDescent="0.3">
      <c r="A1520">
        <v>85143</v>
      </c>
      <c r="B1520">
        <v>105</v>
      </c>
      <c r="C1520" s="452">
        <v>46143</v>
      </c>
      <c r="D1520" t="s">
        <v>557</v>
      </c>
      <c r="E1520">
        <v>17838</v>
      </c>
      <c r="F1520" t="s">
        <v>4925</v>
      </c>
      <c r="G1520">
        <v>2</v>
      </c>
      <c r="H1520" t="s">
        <v>4749</v>
      </c>
      <c r="I1520" t="s">
        <v>463</v>
      </c>
    </row>
    <row r="1521" spans="1:9" x14ac:dyDescent="0.3">
      <c r="A1521">
        <v>85144</v>
      </c>
      <c r="B1521">
        <v>105</v>
      </c>
      <c r="C1521" s="452">
        <v>46143</v>
      </c>
      <c r="D1521" t="s">
        <v>557</v>
      </c>
      <c r="E1521">
        <v>17878</v>
      </c>
      <c r="F1521" t="s">
        <v>4926</v>
      </c>
      <c r="G1521">
        <v>4</v>
      </c>
      <c r="H1521" t="s">
        <v>4736</v>
      </c>
      <c r="I1521" t="s">
        <v>463</v>
      </c>
    </row>
    <row r="1522" spans="1:9" x14ac:dyDescent="0.3">
      <c r="A1522">
        <v>85145</v>
      </c>
      <c r="B1522">
        <v>105</v>
      </c>
      <c r="C1522" s="452">
        <v>46143</v>
      </c>
      <c r="D1522" t="s">
        <v>557</v>
      </c>
      <c r="E1522">
        <v>17881</v>
      </c>
      <c r="F1522" t="s">
        <v>5103</v>
      </c>
      <c r="G1522">
        <v>6.17</v>
      </c>
      <c r="H1522" t="s">
        <v>4738</v>
      </c>
      <c r="I1522" t="s">
        <v>463</v>
      </c>
    </row>
    <row r="1523" spans="1:9" x14ac:dyDescent="0.3">
      <c r="A1523">
        <v>85146</v>
      </c>
      <c r="B1523">
        <v>105</v>
      </c>
      <c r="C1523" s="452">
        <v>46143</v>
      </c>
      <c r="D1523" t="s">
        <v>557</v>
      </c>
      <c r="E1523">
        <v>17883</v>
      </c>
      <c r="F1523" t="s">
        <v>5113</v>
      </c>
      <c r="G1523">
        <v>3.75</v>
      </c>
      <c r="H1523" t="s">
        <v>4738</v>
      </c>
      <c r="I1523" t="s">
        <v>463</v>
      </c>
    </row>
    <row r="1524" spans="1:9" x14ac:dyDescent="0.3">
      <c r="A1524">
        <v>85147</v>
      </c>
      <c r="B1524">
        <v>105</v>
      </c>
      <c r="C1524" s="452">
        <v>46143</v>
      </c>
      <c r="D1524" t="s">
        <v>557</v>
      </c>
      <c r="E1524">
        <v>17886</v>
      </c>
      <c r="F1524" t="s">
        <v>5083</v>
      </c>
      <c r="G1524">
        <v>5.42</v>
      </c>
      <c r="H1524" t="s">
        <v>4738</v>
      </c>
      <c r="I1524" t="s">
        <v>463</v>
      </c>
    </row>
    <row r="1525" spans="1:9" x14ac:dyDescent="0.3">
      <c r="A1525">
        <v>85148</v>
      </c>
      <c r="B1525">
        <v>105</v>
      </c>
      <c r="C1525" s="452">
        <v>46143</v>
      </c>
      <c r="D1525" t="s">
        <v>557</v>
      </c>
      <c r="E1525">
        <v>17895</v>
      </c>
      <c r="F1525" t="s">
        <v>5086</v>
      </c>
      <c r="G1525">
        <v>5</v>
      </c>
      <c r="H1525" t="s">
        <v>4738</v>
      </c>
      <c r="I1525" t="s">
        <v>463</v>
      </c>
    </row>
    <row r="1526" spans="1:9" x14ac:dyDescent="0.3">
      <c r="A1526">
        <v>85149</v>
      </c>
      <c r="B1526">
        <v>105</v>
      </c>
      <c r="C1526" s="452">
        <v>46143</v>
      </c>
      <c r="D1526" t="s">
        <v>557</v>
      </c>
      <c r="E1526">
        <v>17903</v>
      </c>
      <c r="F1526" t="s">
        <v>5084</v>
      </c>
      <c r="G1526">
        <v>10.25</v>
      </c>
      <c r="H1526" t="s">
        <v>4738</v>
      </c>
      <c r="I1526" t="s">
        <v>463</v>
      </c>
    </row>
    <row r="1527" spans="1:9" x14ac:dyDescent="0.3">
      <c r="A1527">
        <v>85150</v>
      </c>
      <c r="B1527">
        <v>105</v>
      </c>
      <c r="C1527" s="452">
        <v>46143</v>
      </c>
      <c r="D1527" t="s">
        <v>557</v>
      </c>
      <c r="E1527">
        <v>17905</v>
      </c>
      <c r="F1527" t="s">
        <v>5085</v>
      </c>
      <c r="G1527">
        <v>6.1</v>
      </c>
      <c r="H1527" t="s">
        <v>4738</v>
      </c>
      <c r="I1527" t="s">
        <v>463</v>
      </c>
    </row>
    <row r="1528" spans="1:9" x14ac:dyDescent="0.3">
      <c r="A1528">
        <v>85151</v>
      </c>
      <c r="B1528">
        <v>105</v>
      </c>
      <c r="C1528" s="452">
        <v>46143</v>
      </c>
      <c r="D1528" t="s">
        <v>557</v>
      </c>
      <c r="E1528">
        <v>17915</v>
      </c>
      <c r="F1528" t="s">
        <v>5104</v>
      </c>
      <c r="G1528">
        <v>0.99</v>
      </c>
      <c r="H1528" t="s">
        <v>4738</v>
      </c>
      <c r="I1528" t="s">
        <v>463</v>
      </c>
    </row>
    <row r="1529" spans="1:9" x14ac:dyDescent="0.3">
      <c r="A1529">
        <v>85152</v>
      </c>
      <c r="B1529">
        <v>105</v>
      </c>
      <c r="C1529" s="452">
        <v>46143</v>
      </c>
      <c r="D1529" t="s">
        <v>557</v>
      </c>
      <c r="E1529">
        <v>17917</v>
      </c>
      <c r="F1529" t="s">
        <v>5098</v>
      </c>
      <c r="G1529">
        <v>2.4700000000000002</v>
      </c>
      <c r="H1529" t="s">
        <v>4738</v>
      </c>
      <c r="I1529" t="s">
        <v>463</v>
      </c>
    </row>
    <row r="1530" spans="1:9" x14ac:dyDescent="0.3">
      <c r="A1530">
        <v>85153</v>
      </c>
      <c r="B1530">
        <v>105</v>
      </c>
      <c r="C1530" s="452">
        <v>46143</v>
      </c>
      <c r="D1530" t="s">
        <v>557</v>
      </c>
      <c r="E1530">
        <v>17950</v>
      </c>
      <c r="F1530" t="s">
        <v>5091</v>
      </c>
      <c r="G1530">
        <v>16.09</v>
      </c>
      <c r="H1530" t="s">
        <v>4738</v>
      </c>
      <c r="I1530" t="s">
        <v>463</v>
      </c>
    </row>
    <row r="1531" spans="1:9" x14ac:dyDescent="0.3">
      <c r="A1531">
        <v>85154</v>
      </c>
      <c r="B1531">
        <v>105</v>
      </c>
      <c r="C1531" s="452">
        <v>46143</v>
      </c>
      <c r="D1531" t="s">
        <v>557</v>
      </c>
      <c r="E1531">
        <v>17958</v>
      </c>
      <c r="F1531" t="s">
        <v>5076</v>
      </c>
      <c r="G1531">
        <v>26.09</v>
      </c>
      <c r="H1531" t="s">
        <v>4738</v>
      </c>
      <c r="I1531" t="s">
        <v>463</v>
      </c>
    </row>
    <row r="1532" spans="1:9" x14ac:dyDescent="0.3">
      <c r="A1532">
        <v>85155</v>
      </c>
      <c r="B1532">
        <v>105</v>
      </c>
      <c r="C1532" s="452">
        <v>46143</v>
      </c>
      <c r="D1532" t="s">
        <v>557</v>
      </c>
      <c r="E1532">
        <v>18004</v>
      </c>
      <c r="F1532" t="s">
        <v>5093</v>
      </c>
      <c r="G1532">
        <v>5.6</v>
      </c>
      <c r="H1532" t="s">
        <v>4738</v>
      </c>
      <c r="I1532" t="s">
        <v>463</v>
      </c>
    </row>
    <row r="1533" spans="1:9" x14ac:dyDescent="0.3">
      <c r="A1533">
        <v>85156</v>
      </c>
      <c r="B1533">
        <v>105</v>
      </c>
      <c r="C1533" s="452">
        <v>46143</v>
      </c>
      <c r="D1533" t="s">
        <v>557</v>
      </c>
      <c r="E1533">
        <v>18006</v>
      </c>
      <c r="F1533" t="s">
        <v>5094</v>
      </c>
      <c r="G1533">
        <v>6</v>
      </c>
      <c r="H1533" t="s">
        <v>4738</v>
      </c>
      <c r="I1533" t="s">
        <v>463</v>
      </c>
    </row>
    <row r="1534" spans="1:9" x14ac:dyDescent="0.3">
      <c r="A1534">
        <v>85157</v>
      </c>
      <c r="B1534">
        <v>105</v>
      </c>
      <c r="C1534" s="452">
        <v>46143</v>
      </c>
      <c r="D1534" t="s">
        <v>557</v>
      </c>
      <c r="E1534">
        <v>18030</v>
      </c>
      <c r="F1534" t="s">
        <v>4840</v>
      </c>
      <c r="G1534">
        <v>8.8000000000000007</v>
      </c>
      <c r="H1534" t="s">
        <v>4805</v>
      </c>
      <c r="I1534" t="s">
        <v>463</v>
      </c>
    </row>
    <row r="1535" spans="1:9" x14ac:dyDescent="0.3">
      <c r="A1535">
        <v>85158</v>
      </c>
      <c r="B1535">
        <v>105</v>
      </c>
      <c r="C1535" s="452">
        <v>46143</v>
      </c>
      <c r="D1535" t="s">
        <v>557</v>
      </c>
      <c r="E1535">
        <v>18073</v>
      </c>
      <c r="F1535" t="s">
        <v>4974</v>
      </c>
      <c r="G1535">
        <v>1.1200000000000001</v>
      </c>
      <c r="H1535" t="s">
        <v>4805</v>
      </c>
      <c r="I1535" t="s">
        <v>463</v>
      </c>
    </row>
    <row r="1536" spans="1:9" x14ac:dyDescent="0.3">
      <c r="A1536">
        <v>85159</v>
      </c>
      <c r="B1536">
        <v>105</v>
      </c>
      <c r="C1536" s="452">
        <v>46143</v>
      </c>
      <c r="D1536" t="s">
        <v>557</v>
      </c>
      <c r="E1536">
        <v>18085</v>
      </c>
      <c r="F1536" t="s">
        <v>4973</v>
      </c>
      <c r="G1536">
        <v>1.1200000000000001</v>
      </c>
      <c r="H1536" t="s">
        <v>4805</v>
      </c>
      <c r="I1536" t="s">
        <v>463</v>
      </c>
    </row>
    <row r="1537" spans="1:9" x14ac:dyDescent="0.3">
      <c r="A1537">
        <v>85160</v>
      </c>
      <c r="B1537">
        <v>105</v>
      </c>
      <c r="C1537" s="452">
        <v>46143</v>
      </c>
      <c r="D1537" t="s">
        <v>557</v>
      </c>
      <c r="E1537">
        <v>18111</v>
      </c>
      <c r="F1537" t="s">
        <v>5049</v>
      </c>
      <c r="G1537">
        <v>0.65</v>
      </c>
      <c r="H1537" t="s">
        <v>4805</v>
      </c>
      <c r="I1537" t="s">
        <v>463</v>
      </c>
    </row>
    <row r="1538" spans="1:9" x14ac:dyDescent="0.3">
      <c r="A1538">
        <v>85161</v>
      </c>
      <c r="B1538">
        <v>105</v>
      </c>
      <c r="C1538" s="452">
        <v>46143</v>
      </c>
      <c r="D1538" t="s">
        <v>557</v>
      </c>
      <c r="E1538">
        <v>18114</v>
      </c>
      <c r="F1538" t="s">
        <v>5046</v>
      </c>
      <c r="G1538">
        <v>1.48</v>
      </c>
      <c r="H1538" t="s">
        <v>4805</v>
      </c>
      <c r="I1538" t="s">
        <v>463</v>
      </c>
    </row>
    <row r="1539" spans="1:9" x14ac:dyDescent="0.3">
      <c r="A1539">
        <v>85162</v>
      </c>
      <c r="B1539">
        <v>105</v>
      </c>
      <c r="C1539" s="452">
        <v>46143</v>
      </c>
      <c r="D1539" t="s">
        <v>557</v>
      </c>
      <c r="E1539">
        <v>18116</v>
      </c>
      <c r="F1539" t="s">
        <v>5045</v>
      </c>
      <c r="G1539">
        <v>0.66</v>
      </c>
      <c r="H1539" t="s">
        <v>4805</v>
      </c>
      <c r="I1539" t="s">
        <v>463</v>
      </c>
    </row>
    <row r="1540" spans="1:9" x14ac:dyDescent="0.3">
      <c r="A1540">
        <v>85163</v>
      </c>
      <c r="B1540">
        <v>105</v>
      </c>
      <c r="C1540" s="452">
        <v>46143</v>
      </c>
      <c r="D1540" t="s">
        <v>557</v>
      </c>
      <c r="E1540">
        <v>18119</v>
      </c>
      <c r="F1540" t="s">
        <v>5044</v>
      </c>
      <c r="G1540">
        <v>1.7</v>
      </c>
      <c r="H1540" t="s">
        <v>4805</v>
      </c>
      <c r="I1540" t="s">
        <v>463</v>
      </c>
    </row>
    <row r="1541" spans="1:9" x14ac:dyDescent="0.3">
      <c r="A1541">
        <v>85164</v>
      </c>
      <c r="B1541">
        <v>105</v>
      </c>
      <c r="C1541" s="452">
        <v>46143</v>
      </c>
      <c r="D1541" t="s">
        <v>557</v>
      </c>
      <c r="E1541">
        <v>18129</v>
      </c>
      <c r="F1541" t="s">
        <v>5043</v>
      </c>
      <c r="G1541">
        <v>1.53</v>
      </c>
      <c r="H1541" t="s">
        <v>4805</v>
      </c>
      <c r="I1541" t="s">
        <v>463</v>
      </c>
    </row>
    <row r="1542" spans="1:9" x14ac:dyDescent="0.3">
      <c r="A1542">
        <v>85165</v>
      </c>
      <c r="B1542">
        <v>105</v>
      </c>
      <c r="C1542" s="452">
        <v>46143</v>
      </c>
      <c r="D1542" t="s">
        <v>557</v>
      </c>
      <c r="E1542">
        <v>18146</v>
      </c>
      <c r="F1542" t="s">
        <v>5112</v>
      </c>
      <c r="G1542">
        <v>1.63</v>
      </c>
      <c r="H1542" t="s">
        <v>4805</v>
      </c>
      <c r="I1542" t="s">
        <v>463</v>
      </c>
    </row>
    <row r="1543" spans="1:9" x14ac:dyDescent="0.3">
      <c r="A1543">
        <v>85166</v>
      </c>
      <c r="B1543">
        <v>105</v>
      </c>
      <c r="C1543" s="452">
        <v>46143</v>
      </c>
      <c r="D1543" t="s">
        <v>557</v>
      </c>
      <c r="E1543">
        <v>18157</v>
      </c>
      <c r="F1543" t="s">
        <v>5041</v>
      </c>
      <c r="G1543">
        <v>1</v>
      </c>
      <c r="H1543" t="s">
        <v>4805</v>
      </c>
      <c r="I1543" t="s">
        <v>463</v>
      </c>
    </row>
    <row r="1544" spans="1:9" x14ac:dyDescent="0.3">
      <c r="A1544">
        <v>85167</v>
      </c>
      <c r="B1544">
        <v>105</v>
      </c>
      <c r="C1544" s="452">
        <v>46143</v>
      </c>
      <c r="D1544" t="s">
        <v>557</v>
      </c>
      <c r="E1544">
        <v>18172</v>
      </c>
      <c r="F1544" t="s">
        <v>4804</v>
      </c>
      <c r="G1544">
        <v>12</v>
      </c>
      <c r="H1544" t="s">
        <v>4805</v>
      </c>
      <c r="I1544" t="s">
        <v>463</v>
      </c>
    </row>
    <row r="1545" spans="1:9" x14ac:dyDescent="0.3">
      <c r="A1545">
        <v>85168</v>
      </c>
      <c r="B1545">
        <v>105</v>
      </c>
      <c r="C1545" s="452">
        <v>46143</v>
      </c>
      <c r="D1545" t="s">
        <v>557</v>
      </c>
      <c r="E1545">
        <v>18179</v>
      </c>
      <c r="F1545" t="s">
        <v>4924</v>
      </c>
      <c r="G1545">
        <v>3.6</v>
      </c>
      <c r="H1545" t="s">
        <v>4805</v>
      </c>
      <c r="I1545" t="s">
        <v>463</v>
      </c>
    </row>
    <row r="1546" spans="1:9" x14ac:dyDescent="0.3">
      <c r="A1546">
        <v>85169</v>
      </c>
      <c r="B1546">
        <v>105</v>
      </c>
      <c r="C1546" s="452">
        <v>46143</v>
      </c>
      <c r="D1546" t="s">
        <v>557</v>
      </c>
      <c r="E1546">
        <v>18194</v>
      </c>
      <c r="F1546" t="s">
        <v>4923</v>
      </c>
      <c r="G1546">
        <v>3.1</v>
      </c>
      <c r="H1546" t="s">
        <v>4805</v>
      </c>
      <c r="I1546" t="s">
        <v>463</v>
      </c>
    </row>
    <row r="1547" spans="1:9" x14ac:dyDescent="0.3">
      <c r="A1547">
        <v>85170</v>
      </c>
      <c r="B1547">
        <v>105</v>
      </c>
      <c r="C1547" s="452">
        <v>46143</v>
      </c>
      <c r="D1547" t="s">
        <v>557</v>
      </c>
      <c r="E1547">
        <v>18212</v>
      </c>
      <c r="F1547" t="s">
        <v>5040</v>
      </c>
      <c r="G1547">
        <v>0.19</v>
      </c>
      <c r="H1547" t="s">
        <v>4805</v>
      </c>
      <c r="I1547" t="s">
        <v>463</v>
      </c>
    </row>
    <row r="1548" spans="1:9" x14ac:dyDescent="0.3">
      <c r="A1548">
        <v>85171</v>
      </c>
      <c r="B1548">
        <v>105</v>
      </c>
      <c r="C1548" s="452">
        <v>46143</v>
      </c>
      <c r="D1548" t="s">
        <v>557</v>
      </c>
      <c r="E1548">
        <v>18214</v>
      </c>
      <c r="F1548" t="s">
        <v>5039</v>
      </c>
      <c r="G1548">
        <v>1</v>
      </c>
      <c r="H1548" t="s">
        <v>4805</v>
      </c>
      <c r="I1548" t="s">
        <v>463</v>
      </c>
    </row>
    <row r="1549" spans="1:9" x14ac:dyDescent="0.3">
      <c r="A1549">
        <v>85172</v>
      </c>
      <c r="B1549">
        <v>105</v>
      </c>
      <c r="C1549" s="452">
        <v>46143</v>
      </c>
      <c r="D1549" t="s">
        <v>557</v>
      </c>
      <c r="E1549">
        <v>18220</v>
      </c>
      <c r="F1549" t="s">
        <v>5147</v>
      </c>
      <c r="G1549">
        <v>2.4500000000000002</v>
      </c>
      <c r="H1549" t="s">
        <v>4805</v>
      </c>
      <c r="I1549" t="s">
        <v>463</v>
      </c>
    </row>
    <row r="1550" spans="1:9" x14ac:dyDescent="0.3">
      <c r="A1550">
        <v>85173</v>
      </c>
      <c r="B1550">
        <v>105</v>
      </c>
      <c r="C1550" s="452">
        <v>46143</v>
      </c>
      <c r="D1550" t="s">
        <v>557</v>
      </c>
      <c r="E1550">
        <v>18232</v>
      </c>
      <c r="F1550" t="s">
        <v>4971</v>
      </c>
      <c r="G1550">
        <v>1.27</v>
      </c>
      <c r="H1550" t="s">
        <v>4805</v>
      </c>
      <c r="I1550" t="s">
        <v>463</v>
      </c>
    </row>
    <row r="1551" spans="1:9" x14ac:dyDescent="0.3">
      <c r="A1551">
        <v>85174</v>
      </c>
      <c r="B1551">
        <v>105</v>
      </c>
      <c r="C1551" s="452">
        <v>46143</v>
      </c>
      <c r="D1551" t="s">
        <v>557</v>
      </c>
      <c r="E1551">
        <v>18233</v>
      </c>
      <c r="F1551" t="s">
        <v>4970</v>
      </c>
      <c r="G1551">
        <v>1.58</v>
      </c>
      <c r="H1551" t="s">
        <v>4805</v>
      </c>
      <c r="I1551" t="s">
        <v>463</v>
      </c>
    </row>
    <row r="1552" spans="1:9" x14ac:dyDescent="0.3">
      <c r="A1552">
        <v>85175</v>
      </c>
      <c r="B1552">
        <v>105</v>
      </c>
      <c r="C1552" s="452">
        <v>46143</v>
      </c>
      <c r="D1552" t="s">
        <v>557</v>
      </c>
      <c r="E1552">
        <v>18253</v>
      </c>
      <c r="F1552" t="s">
        <v>4969</v>
      </c>
      <c r="G1552">
        <v>6.15</v>
      </c>
      <c r="H1552" t="s">
        <v>4805</v>
      </c>
      <c r="I1552" t="s">
        <v>463</v>
      </c>
    </row>
    <row r="1553" spans="1:9" x14ac:dyDescent="0.3">
      <c r="A1553">
        <v>85176</v>
      </c>
      <c r="B1553">
        <v>105</v>
      </c>
      <c r="C1553" s="452">
        <v>46143</v>
      </c>
      <c r="D1553" t="s">
        <v>557</v>
      </c>
      <c r="E1553">
        <v>18273</v>
      </c>
      <c r="F1553" t="s">
        <v>5058</v>
      </c>
      <c r="G1553">
        <v>0.8</v>
      </c>
      <c r="H1553" t="s">
        <v>4805</v>
      </c>
      <c r="I1553" t="s">
        <v>463</v>
      </c>
    </row>
    <row r="1554" spans="1:9" x14ac:dyDescent="0.3">
      <c r="A1554">
        <v>85177</v>
      </c>
      <c r="B1554">
        <v>105</v>
      </c>
      <c r="C1554" s="452">
        <v>46143</v>
      </c>
      <c r="D1554" t="s">
        <v>557</v>
      </c>
      <c r="E1554">
        <v>18289</v>
      </c>
      <c r="F1554" t="s">
        <v>5036</v>
      </c>
      <c r="G1554">
        <v>0.57999999999999996</v>
      </c>
      <c r="H1554" t="s">
        <v>4736</v>
      </c>
      <c r="I1554" t="s">
        <v>463</v>
      </c>
    </row>
    <row r="1555" spans="1:9" x14ac:dyDescent="0.3">
      <c r="A1555">
        <v>85178</v>
      </c>
      <c r="B1555">
        <v>105</v>
      </c>
      <c r="C1555" s="452">
        <v>46143</v>
      </c>
      <c r="D1555" t="s">
        <v>557</v>
      </c>
      <c r="E1555">
        <v>18293</v>
      </c>
      <c r="F1555" t="s">
        <v>5034</v>
      </c>
      <c r="G1555">
        <v>1</v>
      </c>
      <c r="H1555" t="s">
        <v>4805</v>
      </c>
      <c r="I1555" t="s">
        <v>463</v>
      </c>
    </row>
    <row r="1556" spans="1:9" x14ac:dyDescent="0.3">
      <c r="A1556">
        <v>85179</v>
      </c>
      <c r="B1556">
        <v>105</v>
      </c>
      <c r="C1556" s="452">
        <v>46143</v>
      </c>
      <c r="D1556" t="s">
        <v>557</v>
      </c>
      <c r="E1556">
        <v>18295</v>
      </c>
      <c r="F1556" t="s">
        <v>4968</v>
      </c>
      <c r="G1556">
        <v>2.1800000000000002</v>
      </c>
      <c r="H1556" t="s">
        <v>4805</v>
      </c>
      <c r="I1556" t="s">
        <v>463</v>
      </c>
    </row>
    <row r="1557" spans="1:9" x14ac:dyDescent="0.3">
      <c r="A1557">
        <v>85180</v>
      </c>
      <c r="B1557">
        <v>105</v>
      </c>
      <c r="C1557" s="452">
        <v>46143</v>
      </c>
      <c r="D1557" t="s">
        <v>557</v>
      </c>
      <c r="E1557">
        <v>18312</v>
      </c>
      <c r="F1557" t="s">
        <v>5037</v>
      </c>
      <c r="G1557">
        <v>0.68</v>
      </c>
      <c r="H1557" t="s">
        <v>4805</v>
      </c>
      <c r="I1557" t="s">
        <v>463</v>
      </c>
    </row>
    <row r="1558" spans="1:9" x14ac:dyDescent="0.3">
      <c r="A1558">
        <v>85181</v>
      </c>
      <c r="B1558">
        <v>105</v>
      </c>
      <c r="C1558" s="452">
        <v>46143</v>
      </c>
      <c r="D1558" t="s">
        <v>557</v>
      </c>
      <c r="E1558">
        <v>18315</v>
      </c>
      <c r="F1558" t="s">
        <v>4922</v>
      </c>
      <c r="G1558">
        <v>4.2</v>
      </c>
      <c r="H1558" t="s">
        <v>4805</v>
      </c>
      <c r="I1558" t="s">
        <v>463</v>
      </c>
    </row>
    <row r="1559" spans="1:9" x14ac:dyDescent="0.3">
      <c r="A1559">
        <v>85182</v>
      </c>
      <c r="B1559">
        <v>105</v>
      </c>
      <c r="C1559" s="452">
        <v>46143</v>
      </c>
      <c r="D1559" t="s">
        <v>557</v>
      </c>
      <c r="E1559">
        <v>18317</v>
      </c>
      <c r="F1559" t="s">
        <v>5056</v>
      </c>
      <c r="G1559">
        <v>0.7</v>
      </c>
      <c r="H1559" t="s">
        <v>4805</v>
      </c>
      <c r="I1559" t="s">
        <v>463</v>
      </c>
    </row>
    <row r="1560" spans="1:9" x14ac:dyDescent="0.3">
      <c r="A1560">
        <v>85183</v>
      </c>
      <c r="B1560">
        <v>105</v>
      </c>
      <c r="C1560" s="452">
        <v>46143</v>
      </c>
      <c r="D1560" t="s">
        <v>557</v>
      </c>
      <c r="E1560">
        <v>18327</v>
      </c>
      <c r="F1560" t="s">
        <v>5035</v>
      </c>
      <c r="G1560">
        <v>0.46</v>
      </c>
      <c r="H1560" t="s">
        <v>4805</v>
      </c>
      <c r="I1560" t="s">
        <v>463</v>
      </c>
    </row>
    <row r="1561" spans="1:9" x14ac:dyDescent="0.3">
      <c r="A1561">
        <v>85184</v>
      </c>
      <c r="B1561">
        <v>105</v>
      </c>
      <c r="C1561" s="452">
        <v>46143</v>
      </c>
      <c r="D1561" t="s">
        <v>557</v>
      </c>
      <c r="E1561">
        <v>18339</v>
      </c>
      <c r="F1561" t="s">
        <v>5033</v>
      </c>
      <c r="G1561">
        <v>1.35</v>
      </c>
      <c r="H1561" t="s">
        <v>4805</v>
      </c>
      <c r="I1561" t="s">
        <v>463</v>
      </c>
    </row>
    <row r="1562" spans="1:9" x14ac:dyDescent="0.3">
      <c r="A1562">
        <v>85185</v>
      </c>
      <c r="B1562">
        <v>105</v>
      </c>
      <c r="C1562" s="452">
        <v>46143</v>
      </c>
      <c r="D1562" t="s">
        <v>557</v>
      </c>
      <c r="E1562">
        <v>18359</v>
      </c>
      <c r="F1562" t="s">
        <v>4921</v>
      </c>
      <c r="G1562">
        <v>3.6</v>
      </c>
      <c r="H1562" t="s">
        <v>4805</v>
      </c>
      <c r="I1562" t="s">
        <v>463</v>
      </c>
    </row>
    <row r="1563" spans="1:9" x14ac:dyDescent="0.3">
      <c r="A1563">
        <v>85186</v>
      </c>
      <c r="B1563">
        <v>105</v>
      </c>
      <c r="C1563" s="452">
        <v>46143</v>
      </c>
      <c r="D1563" t="s">
        <v>557</v>
      </c>
      <c r="E1563">
        <v>18394</v>
      </c>
      <c r="F1563" t="s">
        <v>5032</v>
      </c>
      <c r="G1563">
        <v>1.27</v>
      </c>
      <c r="H1563" t="s">
        <v>4805</v>
      </c>
      <c r="I1563" t="s">
        <v>463</v>
      </c>
    </row>
    <row r="1564" spans="1:9" x14ac:dyDescent="0.3">
      <c r="A1564">
        <v>85187</v>
      </c>
      <c r="B1564">
        <v>105</v>
      </c>
      <c r="C1564" s="452">
        <v>46143</v>
      </c>
      <c r="D1564" t="s">
        <v>557</v>
      </c>
      <c r="E1564">
        <v>18423</v>
      </c>
      <c r="F1564" t="s">
        <v>4987</v>
      </c>
      <c r="G1564">
        <v>1.5</v>
      </c>
      <c r="H1564" t="s">
        <v>4805</v>
      </c>
      <c r="I1564" t="s">
        <v>463</v>
      </c>
    </row>
    <row r="1565" spans="1:9" x14ac:dyDescent="0.3">
      <c r="A1565">
        <v>85188</v>
      </c>
      <c r="B1565">
        <v>105</v>
      </c>
      <c r="C1565" s="452">
        <v>46143</v>
      </c>
      <c r="D1565" t="s">
        <v>557</v>
      </c>
      <c r="E1565">
        <v>18462</v>
      </c>
      <c r="F1565" t="s">
        <v>5031</v>
      </c>
      <c r="G1565">
        <v>1</v>
      </c>
      <c r="H1565" t="s">
        <v>4805</v>
      </c>
      <c r="I1565" t="s">
        <v>463</v>
      </c>
    </row>
    <row r="1566" spans="1:9" x14ac:dyDescent="0.3">
      <c r="A1566">
        <v>85189</v>
      </c>
      <c r="B1566">
        <v>105</v>
      </c>
      <c r="C1566" s="452">
        <v>46143</v>
      </c>
      <c r="D1566" t="s">
        <v>557</v>
      </c>
      <c r="E1566">
        <v>18475</v>
      </c>
      <c r="F1566" t="s">
        <v>4895</v>
      </c>
      <c r="G1566">
        <v>21</v>
      </c>
      <c r="H1566" t="s">
        <v>4805</v>
      </c>
      <c r="I1566" t="s">
        <v>463</v>
      </c>
    </row>
    <row r="1567" spans="1:9" x14ac:dyDescent="0.3">
      <c r="A1567">
        <v>85190</v>
      </c>
      <c r="B1567">
        <v>105</v>
      </c>
      <c r="C1567" s="452">
        <v>46143</v>
      </c>
      <c r="D1567" t="s">
        <v>557</v>
      </c>
      <c r="E1567">
        <v>18477</v>
      </c>
      <c r="F1567" t="s">
        <v>4920</v>
      </c>
      <c r="G1567">
        <v>3</v>
      </c>
      <c r="H1567" t="s">
        <v>4805</v>
      </c>
      <c r="I1567" t="s">
        <v>463</v>
      </c>
    </row>
    <row r="1568" spans="1:9" x14ac:dyDescent="0.3">
      <c r="A1568">
        <v>85191</v>
      </c>
      <c r="B1568">
        <v>105</v>
      </c>
      <c r="C1568" s="452">
        <v>46143</v>
      </c>
      <c r="D1568" t="s">
        <v>557</v>
      </c>
      <c r="E1568">
        <v>18491</v>
      </c>
      <c r="F1568" t="s">
        <v>4839</v>
      </c>
      <c r="G1568">
        <v>5.3</v>
      </c>
      <c r="H1568" t="s">
        <v>4805</v>
      </c>
      <c r="I1568" t="s">
        <v>463</v>
      </c>
    </row>
    <row r="1569" spans="1:9" x14ac:dyDescent="0.3">
      <c r="A1569">
        <v>85192</v>
      </c>
      <c r="B1569">
        <v>105</v>
      </c>
      <c r="C1569" s="452">
        <v>46143</v>
      </c>
      <c r="D1569" t="s">
        <v>557</v>
      </c>
      <c r="E1569">
        <v>18502</v>
      </c>
      <c r="F1569" t="s">
        <v>4893</v>
      </c>
      <c r="G1569">
        <v>4.7</v>
      </c>
      <c r="H1569" t="s">
        <v>4805</v>
      </c>
      <c r="I1569" t="s">
        <v>463</v>
      </c>
    </row>
    <row r="1570" spans="1:9" x14ac:dyDescent="0.3">
      <c r="A1570">
        <v>85193</v>
      </c>
      <c r="B1570">
        <v>105</v>
      </c>
      <c r="C1570" s="452">
        <v>46143</v>
      </c>
      <c r="D1570" t="s">
        <v>557</v>
      </c>
      <c r="E1570">
        <v>18538</v>
      </c>
      <c r="F1570" t="s">
        <v>5030</v>
      </c>
      <c r="G1570">
        <v>1.1499999999999999</v>
      </c>
      <c r="H1570" t="s">
        <v>4805</v>
      </c>
      <c r="I1570" t="s">
        <v>463</v>
      </c>
    </row>
    <row r="1571" spans="1:9" x14ac:dyDescent="0.3">
      <c r="A1571">
        <v>85194</v>
      </c>
      <c r="B1571">
        <v>105</v>
      </c>
      <c r="C1571" s="452">
        <v>46143</v>
      </c>
      <c r="D1571" t="s">
        <v>557</v>
      </c>
      <c r="E1571">
        <v>18545</v>
      </c>
      <c r="F1571" t="s">
        <v>4864</v>
      </c>
      <c r="G1571">
        <v>1.58</v>
      </c>
      <c r="H1571" t="s">
        <v>4805</v>
      </c>
      <c r="I1571" t="s">
        <v>463</v>
      </c>
    </row>
    <row r="1572" spans="1:9" x14ac:dyDescent="0.3">
      <c r="A1572">
        <v>85195</v>
      </c>
      <c r="B1572">
        <v>105</v>
      </c>
      <c r="C1572" s="452">
        <v>46143</v>
      </c>
      <c r="D1572" t="s">
        <v>557</v>
      </c>
      <c r="E1572">
        <v>18547</v>
      </c>
      <c r="F1572" t="s">
        <v>4863</v>
      </c>
      <c r="G1572">
        <v>6</v>
      </c>
      <c r="H1572" t="s">
        <v>4805</v>
      </c>
      <c r="I1572" t="s">
        <v>463</v>
      </c>
    </row>
    <row r="1573" spans="1:9" x14ac:dyDescent="0.3">
      <c r="A1573">
        <v>85196</v>
      </c>
      <c r="B1573">
        <v>105</v>
      </c>
      <c r="C1573" s="452">
        <v>46143</v>
      </c>
      <c r="D1573" t="s">
        <v>557</v>
      </c>
      <c r="E1573">
        <v>18579</v>
      </c>
      <c r="F1573" t="s">
        <v>5087</v>
      </c>
      <c r="G1573">
        <v>1.97</v>
      </c>
      <c r="H1573" t="s">
        <v>4749</v>
      </c>
      <c r="I1573" t="s">
        <v>463</v>
      </c>
    </row>
    <row r="1574" spans="1:9" x14ac:dyDescent="0.3">
      <c r="A1574">
        <v>85197</v>
      </c>
      <c r="B1574">
        <v>105</v>
      </c>
      <c r="C1574" s="452">
        <v>46143</v>
      </c>
      <c r="D1574" t="s">
        <v>557</v>
      </c>
      <c r="E1574">
        <v>18586</v>
      </c>
      <c r="F1574" t="s">
        <v>4966</v>
      </c>
      <c r="G1574">
        <v>1.05</v>
      </c>
      <c r="H1574" t="s">
        <v>4738</v>
      </c>
      <c r="I1574" t="s">
        <v>463</v>
      </c>
    </row>
    <row r="1575" spans="1:9" x14ac:dyDescent="0.3">
      <c r="A1575">
        <v>85198</v>
      </c>
      <c r="B1575">
        <v>105</v>
      </c>
      <c r="C1575" s="452">
        <v>46143</v>
      </c>
      <c r="D1575" t="s">
        <v>557</v>
      </c>
      <c r="E1575">
        <v>18589</v>
      </c>
      <c r="F1575" t="s">
        <v>5089</v>
      </c>
      <c r="G1575">
        <v>2.2999999999999998</v>
      </c>
      <c r="H1575" t="s">
        <v>4738</v>
      </c>
      <c r="I1575" t="s">
        <v>463</v>
      </c>
    </row>
    <row r="1576" spans="1:9" x14ac:dyDescent="0.3">
      <c r="A1576">
        <v>85199</v>
      </c>
      <c r="B1576">
        <v>105</v>
      </c>
      <c r="C1576" s="452">
        <v>46143</v>
      </c>
      <c r="D1576" t="s">
        <v>557</v>
      </c>
      <c r="E1576">
        <v>18595</v>
      </c>
      <c r="F1576" t="s">
        <v>5092</v>
      </c>
      <c r="G1576">
        <v>1.5</v>
      </c>
      <c r="H1576" t="s">
        <v>4738</v>
      </c>
      <c r="I1576" t="s">
        <v>463</v>
      </c>
    </row>
    <row r="1577" spans="1:9" x14ac:dyDescent="0.3">
      <c r="A1577">
        <v>85200</v>
      </c>
      <c r="B1577">
        <v>105</v>
      </c>
      <c r="C1577" s="452">
        <v>46143</v>
      </c>
      <c r="D1577" t="s">
        <v>557</v>
      </c>
      <c r="E1577">
        <v>18636</v>
      </c>
      <c r="F1577" t="s">
        <v>4964</v>
      </c>
      <c r="G1577">
        <v>6</v>
      </c>
      <c r="H1577" t="s">
        <v>4965</v>
      </c>
      <c r="I1577" t="s">
        <v>463</v>
      </c>
    </row>
    <row r="1578" spans="1:9" x14ac:dyDescent="0.3">
      <c r="A1578">
        <v>85201</v>
      </c>
      <c r="B1578">
        <v>105</v>
      </c>
      <c r="C1578" s="452">
        <v>46143</v>
      </c>
      <c r="D1578" t="s">
        <v>557</v>
      </c>
      <c r="E1578">
        <v>18642</v>
      </c>
      <c r="F1578" t="s">
        <v>5127</v>
      </c>
      <c r="G1578">
        <v>1.55</v>
      </c>
      <c r="H1578" t="s">
        <v>4744</v>
      </c>
      <c r="I1578" t="s">
        <v>463</v>
      </c>
    </row>
    <row r="1579" spans="1:9" x14ac:dyDescent="0.3">
      <c r="A1579">
        <v>85202</v>
      </c>
      <c r="B1579">
        <v>105</v>
      </c>
      <c r="C1579" s="452">
        <v>46143</v>
      </c>
      <c r="D1579" t="s">
        <v>557</v>
      </c>
      <c r="E1579">
        <v>18731</v>
      </c>
      <c r="F1579" t="s">
        <v>4832</v>
      </c>
      <c r="G1579">
        <v>2.1</v>
      </c>
      <c r="H1579" t="s">
        <v>4744</v>
      </c>
      <c r="I1579" t="s">
        <v>463</v>
      </c>
    </row>
    <row r="1580" spans="1:9" x14ac:dyDescent="0.3">
      <c r="A1580">
        <v>85203</v>
      </c>
      <c r="B1580">
        <v>105</v>
      </c>
      <c r="C1580" s="452">
        <v>46143</v>
      </c>
      <c r="D1580" t="s">
        <v>557</v>
      </c>
      <c r="E1580">
        <v>18732</v>
      </c>
      <c r="F1580" t="s">
        <v>5156</v>
      </c>
      <c r="G1580">
        <v>2.1</v>
      </c>
      <c r="H1580" t="s">
        <v>4744</v>
      </c>
      <c r="I1580" t="s">
        <v>463</v>
      </c>
    </row>
    <row r="1581" spans="1:9" x14ac:dyDescent="0.3">
      <c r="A1581">
        <v>85204</v>
      </c>
      <c r="B1581">
        <v>105</v>
      </c>
      <c r="C1581" s="452">
        <v>46143</v>
      </c>
      <c r="D1581" t="s">
        <v>557</v>
      </c>
      <c r="E1581">
        <v>18735</v>
      </c>
      <c r="F1581" t="s">
        <v>4891</v>
      </c>
      <c r="G1581">
        <v>5.95</v>
      </c>
      <c r="H1581" t="s">
        <v>4744</v>
      </c>
      <c r="I1581" t="s">
        <v>463</v>
      </c>
    </row>
    <row r="1582" spans="1:9" x14ac:dyDescent="0.3">
      <c r="A1582">
        <v>85205</v>
      </c>
      <c r="B1582">
        <v>105</v>
      </c>
      <c r="C1582" s="452">
        <v>46143</v>
      </c>
      <c r="D1582" t="s">
        <v>557</v>
      </c>
      <c r="E1582">
        <v>18822</v>
      </c>
      <c r="F1582" t="s">
        <v>4811</v>
      </c>
      <c r="G1582">
        <v>37.28</v>
      </c>
      <c r="H1582" t="s">
        <v>4744</v>
      </c>
      <c r="I1582" t="s">
        <v>463</v>
      </c>
    </row>
    <row r="1583" spans="1:9" x14ac:dyDescent="0.3">
      <c r="A1583">
        <v>85206</v>
      </c>
      <c r="B1583">
        <v>105</v>
      </c>
      <c r="C1583" s="452">
        <v>46143</v>
      </c>
      <c r="D1583" t="s">
        <v>557</v>
      </c>
      <c r="E1583">
        <v>18945</v>
      </c>
      <c r="F1583" t="s">
        <v>4768</v>
      </c>
      <c r="G1583">
        <v>10.8</v>
      </c>
      <c r="H1583" t="s">
        <v>4744</v>
      </c>
      <c r="I1583" t="s">
        <v>463</v>
      </c>
    </row>
    <row r="1584" spans="1:9" x14ac:dyDescent="0.3">
      <c r="A1584">
        <v>85207</v>
      </c>
      <c r="B1584">
        <v>105</v>
      </c>
      <c r="C1584" s="452">
        <v>46143</v>
      </c>
      <c r="D1584" t="s">
        <v>557</v>
      </c>
      <c r="E1584">
        <v>18991</v>
      </c>
      <c r="F1584" t="s">
        <v>4815</v>
      </c>
      <c r="G1584">
        <v>10.8</v>
      </c>
      <c r="H1584" t="s">
        <v>4744</v>
      </c>
      <c r="I1584" t="s">
        <v>463</v>
      </c>
    </row>
    <row r="1585" spans="1:9" x14ac:dyDescent="0.3">
      <c r="A1585">
        <v>85208</v>
      </c>
      <c r="B1585">
        <v>105</v>
      </c>
      <c r="C1585" s="452">
        <v>46143</v>
      </c>
      <c r="D1585" t="s">
        <v>557</v>
      </c>
      <c r="E1585">
        <v>19003</v>
      </c>
      <c r="F1585" t="s">
        <v>4810</v>
      </c>
      <c r="G1585">
        <v>27.01</v>
      </c>
      <c r="H1585" t="s">
        <v>4744</v>
      </c>
      <c r="I1585" t="s">
        <v>463</v>
      </c>
    </row>
    <row r="1586" spans="1:9" x14ac:dyDescent="0.3">
      <c r="A1586">
        <v>85209</v>
      </c>
      <c r="B1586">
        <v>105</v>
      </c>
      <c r="C1586" s="452">
        <v>46143</v>
      </c>
      <c r="D1586" t="s">
        <v>557</v>
      </c>
      <c r="E1586">
        <v>19041</v>
      </c>
      <c r="F1586" t="s">
        <v>4762</v>
      </c>
      <c r="G1586">
        <v>27.53</v>
      </c>
      <c r="H1586" t="s">
        <v>4744</v>
      </c>
      <c r="I1586" t="s">
        <v>463</v>
      </c>
    </row>
    <row r="1587" spans="1:9" x14ac:dyDescent="0.3">
      <c r="A1587">
        <v>85210</v>
      </c>
      <c r="B1587">
        <v>105</v>
      </c>
      <c r="C1587" s="452">
        <v>46143</v>
      </c>
      <c r="D1587" t="s">
        <v>557</v>
      </c>
      <c r="E1587">
        <v>19130</v>
      </c>
      <c r="F1587" t="s">
        <v>4990</v>
      </c>
      <c r="G1587">
        <v>1.73</v>
      </c>
      <c r="H1587" t="s">
        <v>4744</v>
      </c>
      <c r="I1587" t="s">
        <v>463</v>
      </c>
    </row>
    <row r="1588" spans="1:9" x14ac:dyDescent="0.3">
      <c r="A1588">
        <v>85211</v>
      </c>
      <c r="B1588">
        <v>105</v>
      </c>
      <c r="C1588" s="452">
        <v>46143</v>
      </c>
      <c r="D1588" t="s">
        <v>557</v>
      </c>
      <c r="E1588">
        <v>19241</v>
      </c>
      <c r="F1588" t="s">
        <v>4890</v>
      </c>
      <c r="G1588">
        <v>2</v>
      </c>
      <c r="H1588" t="s">
        <v>4736</v>
      </c>
      <c r="I1588" t="s">
        <v>463</v>
      </c>
    </row>
    <row r="1589" spans="1:9" x14ac:dyDescent="0.3">
      <c r="A1589">
        <v>85212</v>
      </c>
      <c r="B1589">
        <v>105</v>
      </c>
      <c r="C1589" s="452">
        <v>46143</v>
      </c>
      <c r="D1589" t="s">
        <v>557</v>
      </c>
      <c r="E1589">
        <v>19291</v>
      </c>
      <c r="F1589" t="s">
        <v>4870</v>
      </c>
      <c r="G1589">
        <v>2.9</v>
      </c>
      <c r="H1589" t="s">
        <v>4744</v>
      </c>
      <c r="I1589" t="s">
        <v>463</v>
      </c>
    </row>
    <row r="1590" spans="1:9" x14ac:dyDescent="0.3">
      <c r="A1590">
        <v>85213</v>
      </c>
      <c r="B1590">
        <v>105</v>
      </c>
      <c r="C1590" s="452">
        <v>46143</v>
      </c>
      <c r="D1590" t="s">
        <v>557</v>
      </c>
      <c r="E1590">
        <v>19306</v>
      </c>
      <c r="F1590" t="s">
        <v>5111</v>
      </c>
      <c r="G1590">
        <v>1.1000000000000001</v>
      </c>
      <c r="H1590" t="s">
        <v>4738</v>
      </c>
      <c r="I1590" t="s">
        <v>463</v>
      </c>
    </row>
    <row r="1591" spans="1:9" x14ac:dyDescent="0.3">
      <c r="A1591">
        <v>85214</v>
      </c>
      <c r="B1591">
        <v>105</v>
      </c>
      <c r="C1591" s="452">
        <v>46143</v>
      </c>
      <c r="D1591" t="s">
        <v>557</v>
      </c>
      <c r="E1591">
        <v>19322</v>
      </c>
      <c r="F1591" t="s">
        <v>4830</v>
      </c>
      <c r="G1591">
        <v>10.55</v>
      </c>
      <c r="H1591" t="s">
        <v>4744</v>
      </c>
      <c r="I1591" t="s">
        <v>463</v>
      </c>
    </row>
    <row r="1592" spans="1:9" x14ac:dyDescent="0.3">
      <c r="A1592">
        <v>85215</v>
      </c>
      <c r="B1592">
        <v>105</v>
      </c>
      <c r="C1592" s="452">
        <v>46143</v>
      </c>
      <c r="D1592" t="s">
        <v>557</v>
      </c>
      <c r="E1592">
        <v>19324</v>
      </c>
      <c r="F1592" t="s">
        <v>5157</v>
      </c>
      <c r="G1592">
        <v>3.75</v>
      </c>
      <c r="H1592" t="s">
        <v>4744</v>
      </c>
      <c r="I1592" t="s">
        <v>463</v>
      </c>
    </row>
    <row r="1593" spans="1:9" x14ac:dyDescent="0.3">
      <c r="A1593">
        <v>85216</v>
      </c>
      <c r="B1593">
        <v>105</v>
      </c>
      <c r="C1593" s="452">
        <v>46143</v>
      </c>
      <c r="D1593" t="s">
        <v>557</v>
      </c>
      <c r="E1593">
        <v>19346</v>
      </c>
      <c r="F1593" t="s">
        <v>4835</v>
      </c>
      <c r="G1593">
        <v>1.3</v>
      </c>
      <c r="H1593" t="s">
        <v>4744</v>
      </c>
      <c r="I1593" t="s">
        <v>463</v>
      </c>
    </row>
    <row r="1594" spans="1:9" x14ac:dyDescent="0.3">
      <c r="A1594">
        <v>85217</v>
      </c>
      <c r="B1594">
        <v>105</v>
      </c>
      <c r="C1594" s="452">
        <v>46143</v>
      </c>
      <c r="D1594" t="s">
        <v>557</v>
      </c>
      <c r="E1594">
        <v>19353</v>
      </c>
      <c r="F1594" t="s">
        <v>4851</v>
      </c>
      <c r="G1594">
        <v>2.7</v>
      </c>
      <c r="H1594" t="s">
        <v>4744</v>
      </c>
      <c r="I1594" t="s">
        <v>463</v>
      </c>
    </row>
    <row r="1595" spans="1:9" x14ac:dyDescent="0.3">
      <c r="A1595">
        <v>85218</v>
      </c>
      <c r="B1595">
        <v>105</v>
      </c>
      <c r="C1595" s="452">
        <v>46143</v>
      </c>
      <c r="D1595" t="s">
        <v>557</v>
      </c>
      <c r="E1595">
        <v>19356</v>
      </c>
      <c r="F1595" t="s">
        <v>4799</v>
      </c>
      <c r="G1595">
        <v>5.68</v>
      </c>
      <c r="H1595" t="s">
        <v>4744</v>
      </c>
      <c r="I1595" t="s">
        <v>463</v>
      </c>
    </row>
    <row r="1596" spans="1:9" x14ac:dyDescent="0.3">
      <c r="A1596">
        <v>85219</v>
      </c>
      <c r="B1596">
        <v>105</v>
      </c>
      <c r="C1596" s="452">
        <v>46143</v>
      </c>
      <c r="D1596" t="s">
        <v>557</v>
      </c>
      <c r="E1596">
        <v>19401</v>
      </c>
      <c r="F1596" t="s">
        <v>4809</v>
      </c>
      <c r="G1596">
        <v>3.5</v>
      </c>
      <c r="H1596" t="s">
        <v>4744</v>
      </c>
      <c r="I1596" t="s">
        <v>463</v>
      </c>
    </row>
    <row r="1597" spans="1:9" x14ac:dyDescent="0.3">
      <c r="A1597">
        <v>85220</v>
      </c>
      <c r="B1597">
        <v>105</v>
      </c>
      <c r="C1597" s="452">
        <v>46143</v>
      </c>
      <c r="D1597" t="s">
        <v>557</v>
      </c>
      <c r="E1597">
        <v>19405</v>
      </c>
      <c r="F1597" t="s">
        <v>5158</v>
      </c>
      <c r="G1597">
        <v>8.25</v>
      </c>
      <c r="H1597" t="s">
        <v>4744</v>
      </c>
      <c r="I1597" t="s">
        <v>463</v>
      </c>
    </row>
    <row r="1598" spans="1:9" x14ac:dyDescent="0.3">
      <c r="A1598">
        <v>85221</v>
      </c>
      <c r="B1598">
        <v>105</v>
      </c>
      <c r="C1598" s="452">
        <v>46143</v>
      </c>
      <c r="D1598" t="s">
        <v>557</v>
      </c>
      <c r="E1598">
        <v>19415</v>
      </c>
      <c r="F1598" t="s">
        <v>4919</v>
      </c>
      <c r="G1598">
        <v>3</v>
      </c>
      <c r="H1598" t="s">
        <v>4736</v>
      </c>
      <c r="I1598" t="s">
        <v>463</v>
      </c>
    </row>
    <row r="1599" spans="1:9" x14ac:dyDescent="0.3">
      <c r="A1599">
        <v>85222</v>
      </c>
      <c r="B1599">
        <v>105</v>
      </c>
      <c r="C1599" s="452">
        <v>46143</v>
      </c>
      <c r="D1599" t="s">
        <v>557</v>
      </c>
      <c r="E1599">
        <v>19421</v>
      </c>
      <c r="F1599" t="s">
        <v>4918</v>
      </c>
      <c r="G1599">
        <v>3.2</v>
      </c>
      <c r="H1599" t="s">
        <v>4749</v>
      </c>
      <c r="I1599" t="s">
        <v>463</v>
      </c>
    </row>
    <row r="1600" spans="1:9" x14ac:dyDescent="0.3">
      <c r="A1600">
        <v>85223</v>
      </c>
      <c r="B1600">
        <v>105</v>
      </c>
      <c r="C1600" s="452">
        <v>46143</v>
      </c>
      <c r="D1600" t="s">
        <v>557</v>
      </c>
      <c r="E1600">
        <v>19434</v>
      </c>
      <c r="F1600" t="s">
        <v>5078</v>
      </c>
      <c r="G1600">
        <v>1.3</v>
      </c>
      <c r="H1600" t="s">
        <v>4738</v>
      </c>
      <c r="I1600" t="s">
        <v>463</v>
      </c>
    </row>
    <row r="1601" spans="1:9" x14ac:dyDescent="0.3">
      <c r="A1601">
        <v>85224</v>
      </c>
      <c r="B1601">
        <v>105</v>
      </c>
      <c r="C1601" s="452">
        <v>46143</v>
      </c>
      <c r="D1601" t="s">
        <v>557</v>
      </c>
      <c r="E1601">
        <v>19439</v>
      </c>
      <c r="F1601" t="s">
        <v>4917</v>
      </c>
      <c r="G1601">
        <v>3.4</v>
      </c>
      <c r="H1601" t="s">
        <v>4744</v>
      </c>
      <c r="I1601" t="s">
        <v>463</v>
      </c>
    </row>
    <row r="1602" spans="1:9" x14ac:dyDescent="0.3">
      <c r="A1602">
        <v>85225</v>
      </c>
      <c r="B1602">
        <v>105</v>
      </c>
      <c r="C1602" s="452">
        <v>46143</v>
      </c>
      <c r="D1602" t="s">
        <v>557</v>
      </c>
      <c r="E1602">
        <v>19465</v>
      </c>
      <c r="F1602" t="s">
        <v>5114</v>
      </c>
      <c r="G1602">
        <v>0.53</v>
      </c>
      <c r="H1602" t="s">
        <v>4744</v>
      </c>
      <c r="I1602" t="s">
        <v>463</v>
      </c>
    </row>
    <row r="1603" spans="1:9" x14ac:dyDescent="0.3">
      <c r="A1603">
        <v>85226</v>
      </c>
      <c r="B1603">
        <v>105</v>
      </c>
      <c r="C1603" s="452">
        <v>46143</v>
      </c>
      <c r="D1603" t="s">
        <v>557</v>
      </c>
      <c r="E1603">
        <v>19472</v>
      </c>
      <c r="F1603" t="s">
        <v>4906</v>
      </c>
      <c r="G1603">
        <v>4.92</v>
      </c>
      <c r="H1603" t="s">
        <v>4744</v>
      </c>
      <c r="I1603" t="s">
        <v>463</v>
      </c>
    </row>
    <row r="1604" spans="1:9" x14ac:dyDescent="0.3">
      <c r="A1604">
        <v>85227</v>
      </c>
      <c r="B1604">
        <v>105</v>
      </c>
      <c r="C1604" s="452">
        <v>46143</v>
      </c>
      <c r="D1604" t="s">
        <v>557</v>
      </c>
      <c r="E1604">
        <v>19476</v>
      </c>
      <c r="F1604" t="s">
        <v>5115</v>
      </c>
      <c r="G1604">
        <v>0.41</v>
      </c>
      <c r="H1604" t="s">
        <v>4744</v>
      </c>
      <c r="I1604" t="s">
        <v>463</v>
      </c>
    </row>
    <row r="1605" spans="1:9" x14ac:dyDescent="0.3">
      <c r="A1605">
        <v>85228</v>
      </c>
      <c r="B1605">
        <v>105</v>
      </c>
      <c r="C1605" s="452">
        <v>46143</v>
      </c>
      <c r="D1605" t="s">
        <v>557</v>
      </c>
      <c r="E1605">
        <v>19480</v>
      </c>
      <c r="F1605" t="s">
        <v>5119</v>
      </c>
      <c r="G1605">
        <v>0.99</v>
      </c>
      <c r="H1605" t="s">
        <v>4744</v>
      </c>
      <c r="I1605" t="s">
        <v>463</v>
      </c>
    </row>
    <row r="1606" spans="1:9" x14ac:dyDescent="0.3">
      <c r="A1606">
        <v>85229</v>
      </c>
      <c r="B1606">
        <v>105</v>
      </c>
      <c r="C1606" s="452">
        <v>46143</v>
      </c>
      <c r="D1606" t="s">
        <v>557</v>
      </c>
      <c r="E1606">
        <v>19488</v>
      </c>
      <c r="F1606" t="s">
        <v>5107</v>
      </c>
      <c r="G1606">
        <v>0.6</v>
      </c>
      <c r="H1606" t="s">
        <v>4744</v>
      </c>
      <c r="I1606" t="s">
        <v>463</v>
      </c>
    </row>
    <row r="1607" spans="1:9" x14ac:dyDescent="0.3">
      <c r="A1607">
        <v>85230</v>
      </c>
      <c r="B1607">
        <v>105</v>
      </c>
      <c r="C1607" s="452">
        <v>46143</v>
      </c>
      <c r="D1607" t="s">
        <v>557</v>
      </c>
      <c r="E1607">
        <v>19490</v>
      </c>
      <c r="F1607" t="s">
        <v>5116</v>
      </c>
      <c r="G1607">
        <v>0.25</v>
      </c>
      <c r="H1607" t="s">
        <v>4744</v>
      </c>
      <c r="I1607" t="s">
        <v>463</v>
      </c>
    </row>
    <row r="1608" spans="1:9" x14ac:dyDescent="0.3">
      <c r="A1608">
        <v>85231</v>
      </c>
      <c r="B1608">
        <v>105</v>
      </c>
      <c r="C1608" s="452">
        <v>46143</v>
      </c>
      <c r="D1608" t="s">
        <v>557</v>
      </c>
      <c r="E1608">
        <v>19492</v>
      </c>
      <c r="F1608" t="s">
        <v>4937</v>
      </c>
      <c r="G1608">
        <v>1.01</v>
      </c>
      <c r="H1608" t="s">
        <v>4744</v>
      </c>
      <c r="I1608" t="s">
        <v>463</v>
      </c>
    </row>
    <row r="1609" spans="1:9" x14ac:dyDescent="0.3">
      <c r="A1609">
        <v>85232</v>
      </c>
      <c r="B1609">
        <v>105</v>
      </c>
      <c r="C1609" s="452">
        <v>46143</v>
      </c>
      <c r="D1609" t="s">
        <v>557</v>
      </c>
      <c r="E1609">
        <v>19502</v>
      </c>
      <c r="F1609" t="s">
        <v>4871</v>
      </c>
      <c r="G1609">
        <v>2.8</v>
      </c>
      <c r="H1609" t="s">
        <v>4744</v>
      </c>
      <c r="I1609" t="s">
        <v>463</v>
      </c>
    </row>
    <row r="1610" spans="1:9" x14ac:dyDescent="0.3">
      <c r="A1610">
        <v>85233</v>
      </c>
      <c r="B1610">
        <v>105</v>
      </c>
      <c r="C1610" s="452">
        <v>46143</v>
      </c>
      <c r="D1610" t="s">
        <v>557</v>
      </c>
      <c r="E1610">
        <v>19505</v>
      </c>
      <c r="F1610" t="s">
        <v>4872</v>
      </c>
      <c r="G1610">
        <v>9.3000000000000007</v>
      </c>
      <c r="H1610" t="s">
        <v>4744</v>
      </c>
      <c r="I1610" t="s">
        <v>463</v>
      </c>
    </row>
    <row r="1611" spans="1:9" x14ac:dyDescent="0.3">
      <c r="A1611">
        <v>85234</v>
      </c>
      <c r="B1611">
        <v>105</v>
      </c>
      <c r="C1611" s="452">
        <v>46143</v>
      </c>
      <c r="D1611" t="s">
        <v>557</v>
      </c>
      <c r="E1611">
        <v>19506</v>
      </c>
      <c r="F1611" t="s">
        <v>5122</v>
      </c>
      <c r="G1611">
        <v>0.4</v>
      </c>
      <c r="H1611" t="s">
        <v>4744</v>
      </c>
      <c r="I1611" t="s">
        <v>463</v>
      </c>
    </row>
    <row r="1612" spans="1:9" x14ac:dyDescent="0.3">
      <c r="A1612">
        <v>85235</v>
      </c>
      <c r="B1612">
        <v>105</v>
      </c>
      <c r="C1612" s="452">
        <v>46143</v>
      </c>
      <c r="D1612" t="s">
        <v>557</v>
      </c>
      <c r="E1612">
        <v>19507</v>
      </c>
      <c r="F1612" t="s">
        <v>4853</v>
      </c>
      <c r="G1612">
        <v>5.9</v>
      </c>
      <c r="H1612" t="s">
        <v>4744</v>
      </c>
      <c r="I1612" t="s">
        <v>463</v>
      </c>
    </row>
    <row r="1613" spans="1:9" x14ac:dyDescent="0.3">
      <c r="A1613">
        <v>85236</v>
      </c>
      <c r="B1613">
        <v>105</v>
      </c>
      <c r="C1613" s="452">
        <v>46143</v>
      </c>
      <c r="D1613" t="s">
        <v>557</v>
      </c>
      <c r="E1613">
        <v>19526</v>
      </c>
      <c r="F1613" t="s">
        <v>4997</v>
      </c>
      <c r="G1613">
        <v>4.5</v>
      </c>
      <c r="H1613" t="s">
        <v>4744</v>
      </c>
      <c r="I1613" t="s">
        <v>463</v>
      </c>
    </row>
    <row r="1614" spans="1:9" x14ac:dyDescent="0.3">
      <c r="A1614">
        <v>85237</v>
      </c>
      <c r="B1614">
        <v>105</v>
      </c>
      <c r="C1614" s="452">
        <v>46143</v>
      </c>
      <c r="D1614" t="s">
        <v>557</v>
      </c>
      <c r="E1614">
        <v>19532</v>
      </c>
      <c r="F1614" t="s">
        <v>4753</v>
      </c>
      <c r="G1614">
        <v>22.4</v>
      </c>
      <c r="H1614" t="s">
        <v>4744</v>
      </c>
      <c r="I1614" t="s">
        <v>463</v>
      </c>
    </row>
    <row r="1615" spans="1:9" x14ac:dyDescent="0.3">
      <c r="A1615">
        <v>85238</v>
      </c>
      <c r="B1615">
        <v>105</v>
      </c>
      <c r="C1615" s="452">
        <v>46143</v>
      </c>
      <c r="D1615" t="s">
        <v>557</v>
      </c>
      <c r="E1615">
        <v>19551</v>
      </c>
      <c r="F1615" t="s">
        <v>4905</v>
      </c>
      <c r="G1615">
        <v>2.2799999999999998</v>
      </c>
      <c r="H1615" t="s">
        <v>4744</v>
      </c>
      <c r="I1615" t="s">
        <v>463</v>
      </c>
    </row>
    <row r="1616" spans="1:9" x14ac:dyDescent="0.3">
      <c r="A1616">
        <v>85239</v>
      </c>
      <c r="B1616">
        <v>105</v>
      </c>
      <c r="C1616" s="452">
        <v>46143</v>
      </c>
      <c r="D1616" t="s">
        <v>557</v>
      </c>
      <c r="E1616">
        <v>19552</v>
      </c>
      <c r="F1616" t="s">
        <v>4860</v>
      </c>
      <c r="G1616">
        <v>2.35</v>
      </c>
      <c r="H1616" t="s">
        <v>4744</v>
      </c>
      <c r="I1616" t="s">
        <v>463</v>
      </c>
    </row>
    <row r="1617" spans="1:9" x14ac:dyDescent="0.3">
      <c r="A1617">
        <v>85240</v>
      </c>
      <c r="B1617">
        <v>105</v>
      </c>
      <c r="C1617" s="452">
        <v>46143</v>
      </c>
      <c r="D1617" t="s">
        <v>557</v>
      </c>
      <c r="E1617">
        <v>19553</v>
      </c>
      <c r="F1617" t="s">
        <v>4868</v>
      </c>
      <c r="G1617">
        <v>4.5999999999999996</v>
      </c>
      <c r="H1617" t="s">
        <v>4744</v>
      </c>
      <c r="I1617" t="s">
        <v>463</v>
      </c>
    </row>
    <row r="1618" spans="1:9" x14ac:dyDescent="0.3">
      <c r="A1618">
        <v>85241</v>
      </c>
      <c r="B1618">
        <v>105</v>
      </c>
      <c r="C1618" s="452">
        <v>46143</v>
      </c>
      <c r="D1618" t="s">
        <v>557</v>
      </c>
      <c r="E1618">
        <v>19558</v>
      </c>
      <c r="F1618" t="s">
        <v>4994</v>
      </c>
      <c r="G1618">
        <v>1</v>
      </c>
      <c r="H1618" t="s">
        <v>4744</v>
      </c>
      <c r="I1618" t="s">
        <v>463</v>
      </c>
    </row>
    <row r="1619" spans="1:9" x14ac:dyDescent="0.3">
      <c r="A1619">
        <v>85242</v>
      </c>
      <c r="B1619">
        <v>105</v>
      </c>
      <c r="C1619" s="452">
        <v>46143</v>
      </c>
      <c r="D1619" t="s">
        <v>557</v>
      </c>
      <c r="E1619">
        <v>19562</v>
      </c>
      <c r="F1619" t="s">
        <v>4939</v>
      </c>
      <c r="G1619">
        <v>1.8</v>
      </c>
      <c r="H1619" t="s">
        <v>4744</v>
      </c>
      <c r="I1619" t="s">
        <v>463</v>
      </c>
    </row>
    <row r="1620" spans="1:9" x14ac:dyDescent="0.3">
      <c r="A1620">
        <v>85243</v>
      </c>
      <c r="B1620">
        <v>105</v>
      </c>
      <c r="C1620" s="452">
        <v>46143</v>
      </c>
      <c r="D1620" t="s">
        <v>557</v>
      </c>
      <c r="E1620">
        <v>19572</v>
      </c>
      <c r="F1620" t="s">
        <v>4989</v>
      </c>
      <c r="G1620">
        <v>3.97</v>
      </c>
      <c r="H1620" t="s">
        <v>4744</v>
      </c>
      <c r="I1620" t="s">
        <v>463</v>
      </c>
    </row>
    <row r="1621" spans="1:9" x14ac:dyDescent="0.3">
      <c r="A1621">
        <v>85244</v>
      </c>
      <c r="B1621">
        <v>105</v>
      </c>
      <c r="C1621" s="452">
        <v>46143</v>
      </c>
      <c r="D1621" t="s">
        <v>557</v>
      </c>
      <c r="E1621">
        <v>19577</v>
      </c>
      <c r="F1621" t="s">
        <v>4984</v>
      </c>
      <c r="G1621">
        <v>4.5</v>
      </c>
      <c r="H1621" t="s">
        <v>4736</v>
      </c>
      <c r="I1621" t="s">
        <v>463</v>
      </c>
    </row>
    <row r="1622" spans="1:9" x14ac:dyDescent="0.3">
      <c r="A1622">
        <v>85245</v>
      </c>
      <c r="B1622">
        <v>105</v>
      </c>
      <c r="C1622" s="452">
        <v>46143</v>
      </c>
      <c r="D1622" t="s">
        <v>557</v>
      </c>
      <c r="E1622">
        <v>19589</v>
      </c>
      <c r="F1622" t="s">
        <v>4983</v>
      </c>
      <c r="G1622">
        <v>0.83</v>
      </c>
      <c r="H1622" t="s">
        <v>4744</v>
      </c>
      <c r="I1622" t="s">
        <v>463</v>
      </c>
    </row>
    <row r="1623" spans="1:9" x14ac:dyDescent="0.3">
      <c r="A1623">
        <v>85246</v>
      </c>
      <c r="B1623">
        <v>105</v>
      </c>
      <c r="C1623" s="452">
        <v>46143</v>
      </c>
      <c r="D1623" t="s">
        <v>557</v>
      </c>
      <c r="E1623">
        <v>19607</v>
      </c>
      <c r="F1623" t="s">
        <v>4981</v>
      </c>
      <c r="G1623">
        <v>1.3</v>
      </c>
      <c r="H1623" t="s">
        <v>4744</v>
      </c>
      <c r="I1623" t="s">
        <v>463</v>
      </c>
    </row>
    <row r="1624" spans="1:9" x14ac:dyDescent="0.3">
      <c r="A1624">
        <v>85247</v>
      </c>
      <c r="B1624">
        <v>105</v>
      </c>
      <c r="C1624" s="452">
        <v>46143</v>
      </c>
      <c r="D1624" t="s">
        <v>557</v>
      </c>
      <c r="E1624">
        <v>19617</v>
      </c>
      <c r="F1624" t="s">
        <v>5071</v>
      </c>
      <c r="G1624">
        <v>0.8</v>
      </c>
      <c r="H1624" t="s">
        <v>4744</v>
      </c>
      <c r="I1624" t="s">
        <v>463</v>
      </c>
    </row>
    <row r="1625" spans="1:9" x14ac:dyDescent="0.3">
      <c r="A1625">
        <v>85248</v>
      </c>
      <c r="B1625">
        <v>105</v>
      </c>
      <c r="C1625" s="452">
        <v>46143</v>
      </c>
      <c r="D1625" t="s">
        <v>557</v>
      </c>
      <c r="E1625">
        <v>19621</v>
      </c>
      <c r="F1625" t="s">
        <v>4829</v>
      </c>
      <c r="G1625">
        <v>4.92</v>
      </c>
      <c r="H1625" t="s">
        <v>4744</v>
      </c>
      <c r="I1625" t="s">
        <v>463</v>
      </c>
    </row>
    <row r="1626" spans="1:9" x14ac:dyDescent="0.3">
      <c r="A1626">
        <v>85249</v>
      </c>
      <c r="B1626">
        <v>105</v>
      </c>
      <c r="C1626" s="452">
        <v>46143</v>
      </c>
      <c r="D1626" t="s">
        <v>557</v>
      </c>
      <c r="E1626">
        <v>19622</v>
      </c>
      <c r="F1626" t="s">
        <v>4915</v>
      </c>
      <c r="G1626">
        <v>1.55</v>
      </c>
      <c r="H1626" t="s">
        <v>4744</v>
      </c>
      <c r="I1626" t="s">
        <v>463</v>
      </c>
    </row>
    <row r="1627" spans="1:9" x14ac:dyDescent="0.3">
      <c r="A1627">
        <v>85250</v>
      </c>
      <c r="B1627">
        <v>105</v>
      </c>
      <c r="C1627" s="452">
        <v>46143</v>
      </c>
      <c r="D1627" t="s">
        <v>557</v>
      </c>
      <c r="E1627">
        <v>19623</v>
      </c>
      <c r="F1627" t="s">
        <v>4764</v>
      </c>
      <c r="G1627">
        <v>20.329999999999998</v>
      </c>
      <c r="H1627" t="s">
        <v>4744</v>
      </c>
      <c r="I1627" t="s">
        <v>463</v>
      </c>
    </row>
    <row r="1628" spans="1:9" x14ac:dyDescent="0.3">
      <c r="A1628">
        <v>85251</v>
      </c>
      <c r="B1628">
        <v>105</v>
      </c>
      <c r="C1628" s="452">
        <v>46143</v>
      </c>
      <c r="D1628" t="s">
        <v>557</v>
      </c>
      <c r="E1628">
        <v>19632</v>
      </c>
      <c r="F1628" t="s">
        <v>4936</v>
      </c>
      <c r="G1628">
        <v>0.75</v>
      </c>
      <c r="H1628" t="s">
        <v>4744</v>
      </c>
      <c r="I1628" t="s">
        <v>463</v>
      </c>
    </row>
    <row r="1629" spans="1:9" x14ac:dyDescent="0.3">
      <c r="A1629">
        <v>85252</v>
      </c>
      <c r="B1629">
        <v>105</v>
      </c>
      <c r="C1629" s="452">
        <v>46143</v>
      </c>
      <c r="D1629" t="s">
        <v>557</v>
      </c>
      <c r="E1629">
        <v>19634</v>
      </c>
      <c r="F1629" t="s">
        <v>4792</v>
      </c>
      <c r="G1629">
        <v>6.84</v>
      </c>
      <c r="H1629" t="s">
        <v>4744</v>
      </c>
      <c r="I1629" t="s">
        <v>463</v>
      </c>
    </row>
    <row r="1630" spans="1:9" x14ac:dyDescent="0.3">
      <c r="A1630">
        <v>85253</v>
      </c>
      <c r="B1630">
        <v>105</v>
      </c>
      <c r="C1630" s="452">
        <v>46143</v>
      </c>
      <c r="D1630" t="s">
        <v>557</v>
      </c>
      <c r="E1630">
        <v>19635</v>
      </c>
      <c r="F1630" t="s">
        <v>4786</v>
      </c>
      <c r="G1630">
        <v>17.39</v>
      </c>
      <c r="H1630" t="s">
        <v>4744</v>
      </c>
      <c r="I1630" t="s">
        <v>463</v>
      </c>
    </row>
    <row r="1631" spans="1:9" x14ac:dyDescent="0.3">
      <c r="A1631">
        <v>85254</v>
      </c>
      <c r="B1631">
        <v>105</v>
      </c>
      <c r="C1631" s="452">
        <v>46143</v>
      </c>
      <c r="D1631" t="s">
        <v>557</v>
      </c>
      <c r="E1631">
        <v>19642</v>
      </c>
      <c r="F1631" t="s">
        <v>4996</v>
      </c>
      <c r="G1631">
        <v>1.38</v>
      </c>
      <c r="H1631" t="s">
        <v>4744</v>
      </c>
      <c r="I1631" t="s">
        <v>463</v>
      </c>
    </row>
    <row r="1632" spans="1:9" x14ac:dyDescent="0.3">
      <c r="A1632">
        <v>85255</v>
      </c>
      <c r="B1632">
        <v>105</v>
      </c>
      <c r="C1632" s="452">
        <v>46143</v>
      </c>
      <c r="D1632" t="s">
        <v>557</v>
      </c>
      <c r="E1632">
        <v>19647</v>
      </c>
      <c r="F1632" t="s">
        <v>5050</v>
      </c>
      <c r="G1632">
        <v>0.81</v>
      </c>
      <c r="H1632" t="s">
        <v>4744</v>
      </c>
      <c r="I1632" t="s">
        <v>463</v>
      </c>
    </row>
    <row r="1633" spans="1:9" x14ac:dyDescent="0.3">
      <c r="A1633">
        <v>85256</v>
      </c>
      <c r="B1633">
        <v>105</v>
      </c>
      <c r="C1633" s="452">
        <v>46143</v>
      </c>
      <c r="D1633" t="s">
        <v>557</v>
      </c>
      <c r="E1633">
        <v>19649</v>
      </c>
      <c r="F1633" t="s">
        <v>4859</v>
      </c>
      <c r="G1633">
        <v>2</v>
      </c>
      <c r="H1633" t="s">
        <v>4744</v>
      </c>
      <c r="I1633" t="s">
        <v>463</v>
      </c>
    </row>
    <row r="1634" spans="1:9" x14ac:dyDescent="0.3">
      <c r="A1634">
        <v>85257</v>
      </c>
      <c r="B1634">
        <v>105</v>
      </c>
      <c r="C1634" s="452">
        <v>46143</v>
      </c>
      <c r="D1634" t="s">
        <v>557</v>
      </c>
      <c r="E1634">
        <v>19652</v>
      </c>
      <c r="F1634" t="s">
        <v>4899</v>
      </c>
      <c r="G1634">
        <v>1.7</v>
      </c>
      <c r="H1634" t="s">
        <v>4744</v>
      </c>
      <c r="I1634" t="s">
        <v>463</v>
      </c>
    </row>
    <row r="1635" spans="1:9" x14ac:dyDescent="0.3">
      <c r="A1635">
        <v>85258</v>
      </c>
      <c r="B1635">
        <v>105</v>
      </c>
      <c r="C1635" s="452">
        <v>46143</v>
      </c>
      <c r="D1635" t="s">
        <v>557</v>
      </c>
      <c r="E1635">
        <v>19654</v>
      </c>
      <c r="F1635" t="s">
        <v>5099</v>
      </c>
      <c r="G1635">
        <v>3.15</v>
      </c>
      <c r="H1635" t="s">
        <v>4744</v>
      </c>
      <c r="I1635" t="s">
        <v>463</v>
      </c>
    </row>
    <row r="1636" spans="1:9" x14ac:dyDescent="0.3">
      <c r="A1636">
        <v>85259</v>
      </c>
      <c r="B1636">
        <v>105</v>
      </c>
      <c r="C1636" s="452">
        <v>46143</v>
      </c>
      <c r="D1636" t="s">
        <v>557</v>
      </c>
      <c r="E1636">
        <v>19658</v>
      </c>
      <c r="F1636" t="s">
        <v>4784</v>
      </c>
      <c r="G1636">
        <v>19.010000000000002</v>
      </c>
      <c r="H1636" t="s">
        <v>4744</v>
      </c>
      <c r="I1636" t="s">
        <v>463</v>
      </c>
    </row>
    <row r="1637" spans="1:9" x14ac:dyDescent="0.3">
      <c r="A1637">
        <v>85260</v>
      </c>
      <c r="B1637">
        <v>105</v>
      </c>
      <c r="C1637" s="452">
        <v>46143</v>
      </c>
      <c r="D1637" t="s">
        <v>557</v>
      </c>
      <c r="E1637">
        <v>19710</v>
      </c>
      <c r="F1637" t="s">
        <v>4963</v>
      </c>
      <c r="G1637">
        <v>1.39</v>
      </c>
      <c r="H1637" t="s">
        <v>4738</v>
      </c>
      <c r="I1637" t="s">
        <v>463</v>
      </c>
    </row>
    <row r="1638" spans="1:9" x14ac:dyDescent="0.3">
      <c r="A1638">
        <v>85261</v>
      </c>
      <c r="B1638">
        <v>105</v>
      </c>
      <c r="C1638" s="452">
        <v>46143</v>
      </c>
      <c r="D1638" t="s">
        <v>557</v>
      </c>
      <c r="E1638">
        <v>19728</v>
      </c>
      <c r="F1638" t="s">
        <v>5106</v>
      </c>
      <c r="G1638">
        <v>0.89</v>
      </c>
      <c r="H1638" t="s">
        <v>4744</v>
      </c>
      <c r="I1638" t="s">
        <v>463</v>
      </c>
    </row>
    <row r="1639" spans="1:9" x14ac:dyDescent="0.3">
      <c r="A1639">
        <v>85262</v>
      </c>
      <c r="B1639">
        <v>105</v>
      </c>
      <c r="C1639" s="452">
        <v>46143</v>
      </c>
      <c r="D1639" t="s">
        <v>557</v>
      </c>
      <c r="E1639">
        <v>19734</v>
      </c>
      <c r="F1639" t="s">
        <v>4833</v>
      </c>
      <c r="G1639">
        <v>13.03</v>
      </c>
      <c r="H1639" t="s">
        <v>4744</v>
      </c>
      <c r="I1639" t="s">
        <v>463</v>
      </c>
    </row>
    <row r="1640" spans="1:9" x14ac:dyDescent="0.3">
      <c r="A1640">
        <v>85263</v>
      </c>
      <c r="B1640">
        <v>105</v>
      </c>
      <c r="C1640" s="452">
        <v>46143</v>
      </c>
      <c r="D1640" t="s">
        <v>557</v>
      </c>
      <c r="E1640">
        <v>19737</v>
      </c>
      <c r="F1640" t="s">
        <v>4940</v>
      </c>
      <c r="G1640">
        <v>4.8</v>
      </c>
      <c r="H1640" t="s">
        <v>4744</v>
      </c>
      <c r="I1640" t="s">
        <v>463</v>
      </c>
    </row>
    <row r="1641" spans="1:9" x14ac:dyDescent="0.3">
      <c r="A1641">
        <v>85264</v>
      </c>
      <c r="B1641">
        <v>105</v>
      </c>
      <c r="C1641" s="452">
        <v>46143</v>
      </c>
      <c r="D1641" t="s">
        <v>557</v>
      </c>
      <c r="E1641">
        <v>19740</v>
      </c>
      <c r="F1641" t="s">
        <v>4779</v>
      </c>
      <c r="G1641">
        <v>14.22</v>
      </c>
      <c r="H1641" t="s">
        <v>4744</v>
      </c>
      <c r="I1641" t="s">
        <v>463</v>
      </c>
    </row>
    <row r="1642" spans="1:9" x14ac:dyDescent="0.3">
      <c r="A1642">
        <v>85265</v>
      </c>
      <c r="B1642">
        <v>105</v>
      </c>
      <c r="C1642" s="452">
        <v>46143</v>
      </c>
      <c r="D1642" t="s">
        <v>557</v>
      </c>
      <c r="E1642">
        <v>19742</v>
      </c>
      <c r="F1642" t="s">
        <v>4900</v>
      </c>
      <c r="G1642">
        <v>2</v>
      </c>
      <c r="H1642" t="s">
        <v>4744</v>
      </c>
      <c r="I1642" t="s">
        <v>463</v>
      </c>
    </row>
    <row r="1643" spans="1:9" x14ac:dyDescent="0.3">
      <c r="A1643">
        <v>85266</v>
      </c>
      <c r="B1643">
        <v>105</v>
      </c>
      <c r="C1643" s="452">
        <v>46143</v>
      </c>
      <c r="D1643" t="s">
        <v>557</v>
      </c>
      <c r="E1643">
        <v>19743</v>
      </c>
      <c r="F1643" t="s">
        <v>5047</v>
      </c>
      <c r="G1643">
        <v>2.2000000000000002</v>
      </c>
      <c r="H1643" t="s">
        <v>4744</v>
      </c>
      <c r="I1643" t="s">
        <v>463</v>
      </c>
    </row>
    <row r="1644" spans="1:9" x14ac:dyDescent="0.3">
      <c r="A1644">
        <v>85267</v>
      </c>
      <c r="B1644">
        <v>105</v>
      </c>
      <c r="C1644" s="452">
        <v>46143</v>
      </c>
      <c r="D1644" t="s">
        <v>557</v>
      </c>
      <c r="E1644">
        <v>19751</v>
      </c>
      <c r="F1644" t="s">
        <v>4800</v>
      </c>
      <c r="G1644">
        <v>14.54</v>
      </c>
      <c r="H1644" t="s">
        <v>4744</v>
      </c>
      <c r="I1644" t="s">
        <v>463</v>
      </c>
    </row>
    <row r="1645" spans="1:9" x14ac:dyDescent="0.3">
      <c r="A1645">
        <v>85268</v>
      </c>
      <c r="B1645">
        <v>105</v>
      </c>
      <c r="C1645" s="452">
        <v>46143</v>
      </c>
      <c r="D1645" t="s">
        <v>557</v>
      </c>
      <c r="E1645">
        <v>19752</v>
      </c>
      <c r="F1645" t="s">
        <v>4807</v>
      </c>
      <c r="G1645">
        <v>6.45</v>
      </c>
      <c r="H1645" t="s">
        <v>4744</v>
      </c>
      <c r="I1645" t="s">
        <v>463</v>
      </c>
    </row>
    <row r="1646" spans="1:9" x14ac:dyDescent="0.3">
      <c r="A1646">
        <v>85269</v>
      </c>
      <c r="B1646">
        <v>105</v>
      </c>
      <c r="C1646" s="452">
        <v>46143</v>
      </c>
      <c r="D1646" t="s">
        <v>557</v>
      </c>
      <c r="E1646">
        <v>19765</v>
      </c>
      <c r="F1646" t="s">
        <v>4889</v>
      </c>
      <c r="G1646">
        <v>4</v>
      </c>
      <c r="H1646" t="s">
        <v>4744</v>
      </c>
      <c r="I1646" t="s">
        <v>463</v>
      </c>
    </row>
    <row r="1647" spans="1:9" x14ac:dyDescent="0.3">
      <c r="A1647">
        <v>85270</v>
      </c>
      <c r="B1647">
        <v>105</v>
      </c>
      <c r="C1647" s="452">
        <v>46143</v>
      </c>
      <c r="D1647" t="s">
        <v>557</v>
      </c>
      <c r="E1647">
        <v>19787</v>
      </c>
      <c r="F1647" t="s">
        <v>4793</v>
      </c>
      <c r="G1647">
        <v>15.6</v>
      </c>
      <c r="H1647" t="s">
        <v>4744</v>
      </c>
      <c r="I1647" t="s">
        <v>463</v>
      </c>
    </row>
    <row r="1648" spans="1:9" x14ac:dyDescent="0.3">
      <c r="A1648">
        <v>85271</v>
      </c>
      <c r="B1648">
        <v>105</v>
      </c>
      <c r="C1648" s="452">
        <v>46143</v>
      </c>
      <c r="D1648" t="s">
        <v>557</v>
      </c>
      <c r="E1648">
        <v>19790</v>
      </c>
      <c r="F1648" t="s">
        <v>5073</v>
      </c>
      <c r="G1648">
        <v>4.2</v>
      </c>
      <c r="H1648" t="s">
        <v>4744</v>
      </c>
      <c r="I1648" t="s">
        <v>463</v>
      </c>
    </row>
    <row r="1649" spans="1:9" x14ac:dyDescent="0.3">
      <c r="A1649">
        <v>85272</v>
      </c>
      <c r="B1649">
        <v>105</v>
      </c>
      <c r="C1649" s="452">
        <v>46143</v>
      </c>
      <c r="D1649" t="s">
        <v>557</v>
      </c>
      <c r="E1649">
        <v>19892</v>
      </c>
      <c r="F1649" t="s">
        <v>5150</v>
      </c>
      <c r="G1649">
        <v>0.92</v>
      </c>
      <c r="H1649" t="s">
        <v>4744</v>
      </c>
      <c r="I1649" t="s">
        <v>463</v>
      </c>
    </row>
    <row r="1650" spans="1:9" x14ac:dyDescent="0.3">
      <c r="A1650">
        <v>85273</v>
      </c>
      <c r="B1650">
        <v>105</v>
      </c>
      <c r="C1650" s="452">
        <v>46143</v>
      </c>
      <c r="D1650" t="s">
        <v>557</v>
      </c>
      <c r="E1650">
        <v>19895</v>
      </c>
      <c r="F1650" t="s">
        <v>5080</v>
      </c>
      <c r="G1650">
        <v>3</v>
      </c>
      <c r="H1650" t="s">
        <v>4888</v>
      </c>
      <c r="I1650" t="s">
        <v>463</v>
      </c>
    </row>
    <row r="1651" spans="1:9" x14ac:dyDescent="0.3">
      <c r="A1651">
        <v>85274</v>
      </c>
      <c r="B1651">
        <v>105</v>
      </c>
      <c r="C1651" s="452">
        <v>46143</v>
      </c>
      <c r="D1651" t="s">
        <v>557</v>
      </c>
      <c r="E1651">
        <v>19906</v>
      </c>
      <c r="F1651" t="s">
        <v>5159</v>
      </c>
      <c r="G1651">
        <v>1</v>
      </c>
      <c r="H1651" t="s">
        <v>4738</v>
      </c>
      <c r="I1651" t="s">
        <v>463</v>
      </c>
    </row>
    <row r="1652" spans="1:9" x14ac:dyDescent="0.3">
      <c r="A1652">
        <v>85275</v>
      </c>
      <c r="B1652">
        <v>105</v>
      </c>
      <c r="C1652" s="452">
        <v>46143</v>
      </c>
      <c r="D1652" t="s">
        <v>557</v>
      </c>
      <c r="E1652">
        <v>19917</v>
      </c>
      <c r="F1652" t="s">
        <v>5131</v>
      </c>
      <c r="G1652">
        <v>19</v>
      </c>
      <c r="H1652" t="s">
        <v>4738</v>
      </c>
      <c r="I1652" t="s">
        <v>463</v>
      </c>
    </row>
    <row r="1653" spans="1:9" x14ac:dyDescent="0.3">
      <c r="A1653">
        <v>85276</v>
      </c>
      <c r="B1653">
        <v>105</v>
      </c>
      <c r="C1653" s="452">
        <v>46143</v>
      </c>
      <c r="D1653" t="s">
        <v>557</v>
      </c>
      <c r="E1653">
        <v>19939</v>
      </c>
      <c r="F1653" t="s">
        <v>5057</v>
      </c>
      <c r="G1653">
        <v>0.5</v>
      </c>
      <c r="H1653" t="s">
        <v>4744</v>
      </c>
      <c r="I1653" t="s">
        <v>463</v>
      </c>
    </row>
    <row r="1654" spans="1:9" x14ac:dyDescent="0.3">
      <c r="A1654">
        <v>85277</v>
      </c>
      <c r="B1654">
        <v>105</v>
      </c>
      <c r="C1654" s="452">
        <v>46143</v>
      </c>
      <c r="D1654" t="s">
        <v>557</v>
      </c>
      <c r="E1654">
        <v>19967</v>
      </c>
      <c r="F1654" t="s">
        <v>4956</v>
      </c>
      <c r="G1654">
        <v>2.2999999999999998</v>
      </c>
      <c r="H1654" t="s">
        <v>4888</v>
      </c>
      <c r="I1654" t="s">
        <v>463</v>
      </c>
    </row>
    <row r="1655" spans="1:9" x14ac:dyDescent="0.3">
      <c r="A1655">
        <v>85278</v>
      </c>
      <c r="B1655">
        <v>105</v>
      </c>
      <c r="C1655" s="452">
        <v>46143</v>
      </c>
      <c r="D1655" t="s">
        <v>557</v>
      </c>
      <c r="E1655">
        <v>19969</v>
      </c>
      <c r="F1655" t="s">
        <v>5018</v>
      </c>
      <c r="G1655">
        <v>1</v>
      </c>
      <c r="H1655" t="s">
        <v>4888</v>
      </c>
      <c r="I1655" t="s">
        <v>463</v>
      </c>
    </row>
    <row r="1656" spans="1:9" x14ac:dyDescent="0.3">
      <c r="A1656">
        <v>85279</v>
      </c>
      <c r="B1656">
        <v>105</v>
      </c>
      <c r="C1656" s="452">
        <v>46143</v>
      </c>
      <c r="D1656" t="s">
        <v>557</v>
      </c>
      <c r="E1656">
        <v>19978</v>
      </c>
      <c r="F1656" t="s">
        <v>4887</v>
      </c>
      <c r="G1656">
        <v>5</v>
      </c>
      <c r="H1656" t="s">
        <v>4888</v>
      </c>
      <c r="I1656" t="s">
        <v>463</v>
      </c>
    </row>
    <row r="1657" spans="1:9" x14ac:dyDescent="0.3">
      <c r="A1657">
        <v>85280</v>
      </c>
      <c r="B1657">
        <v>105</v>
      </c>
      <c r="C1657" s="452">
        <v>46143</v>
      </c>
      <c r="D1657" t="s">
        <v>557</v>
      </c>
      <c r="E1657">
        <v>19982</v>
      </c>
      <c r="F1657" t="s">
        <v>5017</v>
      </c>
      <c r="G1657">
        <v>1</v>
      </c>
      <c r="H1657" t="s">
        <v>4888</v>
      </c>
      <c r="I1657" t="s">
        <v>463</v>
      </c>
    </row>
    <row r="1658" spans="1:9" x14ac:dyDescent="0.3">
      <c r="A1658">
        <v>85281</v>
      </c>
      <c r="B1658">
        <v>105</v>
      </c>
      <c r="C1658" s="452">
        <v>46143</v>
      </c>
      <c r="D1658" t="s">
        <v>557</v>
      </c>
      <c r="E1658">
        <v>20007</v>
      </c>
      <c r="F1658" t="s">
        <v>5101</v>
      </c>
      <c r="G1658">
        <v>3.17</v>
      </c>
      <c r="H1658" t="s">
        <v>4884</v>
      </c>
      <c r="I1658" t="s">
        <v>463</v>
      </c>
    </row>
    <row r="1659" spans="1:9" x14ac:dyDescent="0.3">
      <c r="A1659">
        <v>85282</v>
      </c>
      <c r="B1659">
        <v>105</v>
      </c>
      <c r="C1659" s="452">
        <v>46143</v>
      </c>
      <c r="D1659" t="s">
        <v>557</v>
      </c>
      <c r="E1659">
        <v>20025</v>
      </c>
      <c r="F1659" t="s">
        <v>5010</v>
      </c>
      <c r="G1659">
        <v>1.03</v>
      </c>
      <c r="H1659" t="s">
        <v>4736</v>
      </c>
      <c r="I1659" t="s">
        <v>463</v>
      </c>
    </row>
    <row r="1660" spans="1:9" x14ac:dyDescent="0.3">
      <c r="A1660">
        <v>85283</v>
      </c>
      <c r="B1660">
        <v>105</v>
      </c>
      <c r="C1660" s="452">
        <v>46143</v>
      </c>
      <c r="D1660" t="s">
        <v>557</v>
      </c>
      <c r="E1660">
        <v>20054</v>
      </c>
      <c r="F1660" t="s">
        <v>4856</v>
      </c>
      <c r="G1660">
        <v>8</v>
      </c>
      <c r="H1660" t="s">
        <v>4736</v>
      </c>
      <c r="I1660" t="s">
        <v>463</v>
      </c>
    </row>
    <row r="1661" spans="1:9" x14ac:dyDescent="0.3">
      <c r="A1661">
        <v>85284</v>
      </c>
      <c r="B1661">
        <v>105</v>
      </c>
      <c r="C1661" s="452">
        <v>46143</v>
      </c>
      <c r="D1661" t="s">
        <v>557</v>
      </c>
      <c r="E1661">
        <v>20057</v>
      </c>
      <c r="F1661" t="s">
        <v>4949</v>
      </c>
      <c r="G1661">
        <v>3.12</v>
      </c>
      <c r="H1661" t="s">
        <v>4736</v>
      </c>
      <c r="I1661" t="s">
        <v>463</v>
      </c>
    </row>
    <row r="1662" spans="1:9" x14ac:dyDescent="0.3">
      <c r="A1662">
        <v>85285</v>
      </c>
      <c r="B1662">
        <v>105</v>
      </c>
      <c r="C1662" s="452">
        <v>46143</v>
      </c>
      <c r="D1662" t="s">
        <v>557</v>
      </c>
      <c r="E1662">
        <v>20105</v>
      </c>
      <c r="F1662" t="s">
        <v>4831</v>
      </c>
      <c r="G1662">
        <v>2</v>
      </c>
      <c r="H1662" t="s">
        <v>4744</v>
      </c>
      <c r="I1662" t="s">
        <v>463</v>
      </c>
    </row>
    <row r="1663" spans="1:9" x14ac:dyDescent="0.3">
      <c r="A1663">
        <v>85286</v>
      </c>
      <c r="B1663">
        <v>105</v>
      </c>
      <c r="C1663" s="452">
        <v>46143</v>
      </c>
      <c r="D1663" t="s">
        <v>557</v>
      </c>
      <c r="E1663">
        <v>20122</v>
      </c>
      <c r="F1663" t="s">
        <v>4781</v>
      </c>
      <c r="G1663">
        <v>10</v>
      </c>
      <c r="H1663" t="s">
        <v>4738</v>
      </c>
      <c r="I1663" t="s">
        <v>463</v>
      </c>
    </row>
    <row r="1664" spans="1:9" x14ac:dyDescent="0.3">
      <c r="A1664">
        <v>85287</v>
      </c>
      <c r="B1664">
        <v>105</v>
      </c>
      <c r="C1664" s="452">
        <v>46143</v>
      </c>
      <c r="D1664" t="s">
        <v>557</v>
      </c>
      <c r="E1664">
        <v>20138</v>
      </c>
      <c r="F1664" t="s">
        <v>4886</v>
      </c>
      <c r="G1664">
        <v>9</v>
      </c>
      <c r="H1664" t="s">
        <v>4738</v>
      </c>
      <c r="I1664" t="s">
        <v>463</v>
      </c>
    </row>
    <row r="1665" spans="1:9" x14ac:dyDescent="0.3">
      <c r="A1665">
        <v>85288</v>
      </c>
      <c r="B1665">
        <v>105</v>
      </c>
      <c r="C1665" s="452">
        <v>46143</v>
      </c>
      <c r="D1665" t="s">
        <v>557</v>
      </c>
      <c r="E1665">
        <v>20186</v>
      </c>
      <c r="F1665" t="s">
        <v>5061</v>
      </c>
      <c r="G1665">
        <v>0.5</v>
      </c>
      <c r="H1665" t="s">
        <v>4744</v>
      </c>
      <c r="I1665" t="s">
        <v>463</v>
      </c>
    </row>
    <row r="1666" spans="1:9" x14ac:dyDescent="0.3">
      <c r="A1666">
        <v>85289</v>
      </c>
      <c r="B1666">
        <v>105</v>
      </c>
      <c r="C1666" s="452">
        <v>46143</v>
      </c>
      <c r="D1666" t="s">
        <v>557</v>
      </c>
      <c r="E1666">
        <v>20213</v>
      </c>
      <c r="F1666" t="s">
        <v>5160</v>
      </c>
      <c r="G1666">
        <v>2</v>
      </c>
      <c r="H1666" t="s">
        <v>4738</v>
      </c>
      <c r="I1666" t="s">
        <v>463</v>
      </c>
    </row>
    <row r="1667" spans="1:9" x14ac:dyDescent="0.3">
      <c r="A1667">
        <v>85290</v>
      </c>
      <c r="B1667">
        <v>105</v>
      </c>
      <c r="C1667" s="452">
        <v>46143</v>
      </c>
      <c r="D1667" t="s">
        <v>557</v>
      </c>
      <c r="E1667">
        <v>20224</v>
      </c>
      <c r="F1667" t="s">
        <v>5118</v>
      </c>
      <c r="G1667">
        <v>1.5</v>
      </c>
      <c r="H1667" t="s">
        <v>4744</v>
      </c>
      <c r="I1667" t="s">
        <v>463</v>
      </c>
    </row>
    <row r="1668" spans="1:9" x14ac:dyDescent="0.3">
      <c r="A1668">
        <v>85291</v>
      </c>
      <c r="B1668">
        <v>105</v>
      </c>
      <c r="C1668" s="452">
        <v>46143</v>
      </c>
      <c r="D1668" t="s">
        <v>557</v>
      </c>
      <c r="E1668">
        <v>20227</v>
      </c>
      <c r="F1668" t="s">
        <v>4825</v>
      </c>
      <c r="G1668">
        <v>6</v>
      </c>
      <c r="H1668" t="s">
        <v>4738</v>
      </c>
      <c r="I1668" t="s">
        <v>463</v>
      </c>
    </row>
    <row r="1669" spans="1:9" x14ac:dyDescent="0.3">
      <c r="A1669">
        <v>85292</v>
      </c>
      <c r="B1669">
        <v>105</v>
      </c>
      <c r="C1669" s="452">
        <v>46143</v>
      </c>
      <c r="D1669" t="s">
        <v>557</v>
      </c>
      <c r="E1669">
        <v>20242</v>
      </c>
      <c r="F1669" t="s">
        <v>4824</v>
      </c>
      <c r="G1669">
        <v>7</v>
      </c>
      <c r="H1669" t="s">
        <v>4738</v>
      </c>
      <c r="I1669" t="s">
        <v>463</v>
      </c>
    </row>
    <row r="1670" spans="1:9" x14ac:dyDescent="0.3">
      <c r="A1670">
        <v>85293</v>
      </c>
      <c r="B1670">
        <v>105</v>
      </c>
      <c r="C1670" s="452">
        <v>46143</v>
      </c>
      <c r="D1670" t="s">
        <v>557</v>
      </c>
      <c r="E1670">
        <v>20301</v>
      </c>
      <c r="F1670" t="s">
        <v>4944</v>
      </c>
      <c r="G1670">
        <v>19.100000000000001</v>
      </c>
      <c r="H1670" t="s">
        <v>4738</v>
      </c>
      <c r="I1670" t="s">
        <v>463</v>
      </c>
    </row>
    <row r="1671" spans="1:9" x14ac:dyDescent="0.3">
      <c r="A1671">
        <v>85294</v>
      </c>
      <c r="B1671">
        <v>105</v>
      </c>
      <c r="C1671" s="452">
        <v>46143</v>
      </c>
      <c r="D1671" t="s">
        <v>557</v>
      </c>
      <c r="E1671">
        <v>20308</v>
      </c>
      <c r="F1671" t="s">
        <v>4909</v>
      </c>
      <c r="G1671">
        <v>2.5</v>
      </c>
      <c r="H1671" t="s">
        <v>4738</v>
      </c>
      <c r="I1671" t="s">
        <v>463</v>
      </c>
    </row>
    <row r="1672" spans="1:9" x14ac:dyDescent="0.3">
      <c r="A1672">
        <v>85295</v>
      </c>
      <c r="B1672">
        <v>105</v>
      </c>
      <c r="C1672" s="452">
        <v>46143</v>
      </c>
      <c r="D1672" t="s">
        <v>557</v>
      </c>
      <c r="E1672">
        <v>20322</v>
      </c>
      <c r="F1672" t="s">
        <v>4882</v>
      </c>
      <c r="G1672">
        <v>4.5</v>
      </c>
      <c r="H1672" t="s">
        <v>4738</v>
      </c>
      <c r="I1672" t="s">
        <v>463</v>
      </c>
    </row>
    <row r="1673" spans="1:9" x14ac:dyDescent="0.3">
      <c r="A1673">
        <v>85296</v>
      </c>
      <c r="B1673">
        <v>105</v>
      </c>
      <c r="C1673" s="452">
        <v>46143</v>
      </c>
      <c r="D1673" t="s">
        <v>557</v>
      </c>
      <c r="E1673">
        <v>20358</v>
      </c>
      <c r="F1673" t="s">
        <v>4911</v>
      </c>
      <c r="G1673">
        <v>5</v>
      </c>
      <c r="H1673" t="s">
        <v>4738</v>
      </c>
      <c r="I1673" t="s">
        <v>463</v>
      </c>
    </row>
    <row r="1674" spans="1:9" x14ac:dyDescent="0.3">
      <c r="A1674">
        <v>85297</v>
      </c>
      <c r="B1674">
        <v>105</v>
      </c>
      <c r="C1674" s="452">
        <v>46143</v>
      </c>
      <c r="D1674" t="s">
        <v>557</v>
      </c>
      <c r="E1674">
        <v>20365</v>
      </c>
      <c r="F1674" t="s">
        <v>4796</v>
      </c>
      <c r="G1674">
        <v>5.0199999999999996</v>
      </c>
      <c r="H1674" t="s">
        <v>4736</v>
      </c>
      <c r="I1674" t="s">
        <v>463</v>
      </c>
    </row>
    <row r="1675" spans="1:9" x14ac:dyDescent="0.3">
      <c r="A1675">
        <v>85298</v>
      </c>
      <c r="B1675">
        <v>105</v>
      </c>
      <c r="C1675" s="452">
        <v>46143</v>
      </c>
      <c r="D1675" t="s">
        <v>557</v>
      </c>
      <c r="E1675">
        <v>20382</v>
      </c>
      <c r="F1675" t="s">
        <v>4780</v>
      </c>
      <c r="G1675">
        <v>11</v>
      </c>
      <c r="H1675" t="s">
        <v>4738</v>
      </c>
      <c r="I1675" t="s">
        <v>463</v>
      </c>
    </row>
    <row r="1676" spans="1:9" x14ac:dyDescent="0.3">
      <c r="A1676">
        <v>85299</v>
      </c>
      <c r="B1676">
        <v>105</v>
      </c>
      <c r="C1676" s="452">
        <v>46143</v>
      </c>
      <c r="D1676" t="s">
        <v>557</v>
      </c>
      <c r="E1676">
        <v>20501</v>
      </c>
      <c r="F1676" t="s">
        <v>4760</v>
      </c>
      <c r="G1676">
        <v>28.87</v>
      </c>
      <c r="H1676" t="s">
        <v>4744</v>
      </c>
      <c r="I1676" t="s">
        <v>463</v>
      </c>
    </row>
    <row r="1677" spans="1:9" x14ac:dyDescent="0.3">
      <c r="A1677">
        <v>85300</v>
      </c>
      <c r="B1677">
        <v>105</v>
      </c>
      <c r="C1677" s="452">
        <v>46143</v>
      </c>
      <c r="D1677" t="s">
        <v>557</v>
      </c>
      <c r="E1677">
        <v>20544</v>
      </c>
      <c r="F1677" t="s">
        <v>4808</v>
      </c>
      <c r="G1677">
        <v>12.33</v>
      </c>
      <c r="H1677" t="s">
        <v>4744</v>
      </c>
      <c r="I1677" t="s">
        <v>463</v>
      </c>
    </row>
    <row r="1678" spans="1:9" x14ac:dyDescent="0.3">
      <c r="A1678">
        <v>85301</v>
      </c>
      <c r="B1678">
        <v>105</v>
      </c>
      <c r="C1678" s="452">
        <v>46143</v>
      </c>
      <c r="D1678" t="s">
        <v>557</v>
      </c>
      <c r="E1678">
        <v>20549</v>
      </c>
      <c r="F1678" t="s">
        <v>4823</v>
      </c>
      <c r="G1678">
        <v>12.7</v>
      </c>
      <c r="H1678" t="s">
        <v>4744</v>
      </c>
      <c r="I1678" t="s">
        <v>463</v>
      </c>
    </row>
    <row r="1679" spans="1:9" x14ac:dyDescent="0.3">
      <c r="A1679">
        <v>85302</v>
      </c>
      <c r="B1679">
        <v>105</v>
      </c>
      <c r="C1679" s="452">
        <v>46143</v>
      </c>
      <c r="D1679" t="s">
        <v>557</v>
      </c>
      <c r="E1679">
        <v>20585</v>
      </c>
      <c r="F1679" t="s">
        <v>5025</v>
      </c>
      <c r="G1679">
        <v>1</v>
      </c>
      <c r="H1679" t="s">
        <v>4736</v>
      </c>
      <c r="I1679" t="s">
        <v>463</v>
      </c>
    </row>
    <row r="1680" spans="1:9" x14ac:dyDescent="0.3">
      <c r="A1680">
        <v>85303</v>
      </c>
      <c r="B1680">
        <v>105</v>
      </c>
      <c r="C1680" s="452">
        <v>46143</v>
      </c>
      <c r="D1680" t="s">
        <v>557</v>
      </c>
      <c r="E1680">
        <v>20614</v>
      </c>
      <c r="F1680" t="s">
        <v>4958</v>
      </c>
      <c r="G1680">
        <v>0.32</v>
      </c>
      <c r="H1680" t="s">
        <v>4736</v>
      </c>
      <c r="I1680" t="s">
        <v>463</v>
      </c>
    </row>
    <row r="1681" spans="1:9" x14ac:dyDescent="0.3">
      <c r="A1681">
        <v>85304</v>
      </c>
      <c r="B1681">
        <v>105</v>
      </c>
      <c r="C1681" s="452">
        <v>46143</v>
      </c>
      <c r="D1681" t="s">
        <v>557</v>
      </c>
      <c r="E1681">
        <v>20623</v>
      </c>
      <c r="F1681" t="s">
        <v>4814</v>
      </c>
      <c r="G1681">
        <v>33</v>
      </c>
      <c r="H1681" t="s">
        <v>4736</v>
      </c>
      <c r="I1681" t="s">
        <v>463</v>
      </c>
    </row>
    <row r="1682" spans="1:9" x14ac:dyDescent="0.3">
      <c r="A1682">
        <v>85305</v>
      </c>
      <c r="B1682">
        <v>105</v>
      </c>
      <c r="C1682" s="452">
        <v>46143</v>
      </c>
      <c r="D1682" t="s">
        <v>557</v>
      </c>
      <c r="E1682">
        <v>20624</v>
      </c>
      <c r="F1682" t="s">
        <v>5019</v>
      </c>
      <c r="G1682">
        <v>1</v>
      </c>
      <c r="H1682" t="s">
        <v>4884</v>
      </c>
      <c r="I1682" t="s">
        <v>463</v>
      </c>
    </row>
    <row r="1683" spans="1:9" x14ac:dyDescent="0.3">
      <c r="A1683">
        <v>85306</v>
      </c>
      <c r="B1683">
        <v>105</v>
      </c>
      <c r="C1683" s="452">
        <v>46143</v>
      </c>
      <c r="D1683" t="s">
        <v>557</v>
      </c>
      <c r="E1683">
        <v>20644</v>
      </c>
      <c r="F1683" t="s">
        <v>5016</v>
      </c>
      <c r="G1683">
        <v>2</v>
      </c>
      <c r="H1683" t="s">
        <v>4955</v>
      </c>
      <c r="I1683" t="s">
        <v>463</v>
      </c>
    </row>
    <row r="1684" spans="1:9" x14ac:dyDescent="0.3">
      <c r="A1684">
        <v>85307</v>
      </c>
      <c r="B1684">
        <v>105</v>
      </c>
      <c r="C1684" s="452">
        <v>46143</v>
      </c>
      <c r="D1684" t="s">
        <v>557</v>
      </c>
      <c r="E1684">
        <v>20653</v>
      </c>
      <c r="F1684" t="s">
        <v>5013</v>
      </c>
      <c r="G1684">
        <v>2</v>
      </c>
      <c r="H1684" t="s">
        <v>4736</v>
      </c>
      <c r="I1684" t="s">
        <v>463</v>
      </c>
    </row>
    <row r="1685" spans="1:9" x14ac:dyDescent="0.3">
      <c r="A1685">
        <v>85308</v>
      </c>
      <c r="B1685">
        <v>105</v>
      </c>
      <c r="C1685" s="452">
        <v>46143</v>
      </c>
      <c r="D1685" t="s">
        <v>557</v>
      </c>
      <c r="E1685">
        <v>20657</v>
      </c>
      <c r="F1685" t="s">
        <v>5109</v>
      </c>
      <c r="G1685">
        <v>3</v>
      </c>
      <c r="H1685" t="s">
        <v>4736</v>
      </c>
      <c r="I1685" t="s">
        <v>463</v>
      </c>
    </row>
    <row r="1686" spans="1:9" x14ac:dyDescent="0.3">
      <c r="A1686">
        <v>85309</v>
      </c>
      <c r="B1686">
        <v>105</v>
      </c>
      <c r="C1686" s="452">
        <v>46143</v>
      </c>
      <c r="D1686" t="s">
        <v>557</v>
      </c>
      <c r="E1686">
        <v>20661</v>
      </c>
      <c r="F1686" t="s">
        <v>5012</v>
      </c>
      <c r="G1686">
        <v>2</v>
      </c>
      <c r="H1686" t="s">
        <v>4736</v>
      </c>
      <c r="I1686" t="s">
        <v>463</v>
      </c>
    </row>
    <row r="1687" spans="1:9" x14ac:dyDescent="0.3">
      <c r="A1687">
        <v>85310</v>
      </c>
      <c r="B1687">
        <v>105</v>
      </c>
      <c r="C1687" s="452">
        <v>46143</v>
      </c>
      <c r="D1687" t="s">
        <v>557</v>
      </c>
      <c r="E1687">
        <v>20672</v>
      </c>
      <c r="F1687" t="s">
        <v>4857</v>
      </c>
      <c r="G1687">
        <v>2</v>
      </c>
      <c r="H1687" t="s">
        <v>4738</v>
      </c>
      <c r="I1687" t="s">
        <v>463</v>
      </c>
    </row>
    <row r="1688" spans="1:9" x14ac:dyDescent="0.3">
      <c r="A1688">
        <v>85311</v>
      </c>
      <c r="B1688">
        <v>105</v>
      </c>
      <c r="C1688" s="452">
        <v>46143</v>
      </c>
      <c r="D1688" t="s">
        <v>557</v>
      </c>
      <c r="E1688">
        <v>20689</v>
      </c>
      <c r="F1688" t="s">
        <v>5007</v>
      </c>
      <c r="G1688">
        <v>3</v>
      </c>
      <c r="H1688" t="s">
        <v>4736</v>
      </c>
      <c r="I1688" t="s">
        <v>463</v>
      </c>
    </row>
    <row r="1689" spans="1:9" x14ac:dyDescent="0.3">
      <c r="A1689">
        <v>85312</v>
      </c>
      <c r="B1689">
        <v>105</v>
      </c>
      <c r="C1689" s="452">
        <v>46143</v>
      </c>
      <c r="D1689" t="s">
        <v>557</v>
      </c>
      <c r="E1689">
        <v>20751</v>
      </c>
      <c r="F1689" t="s">
        <v>5004</v>
      </c>
      <c r="G1689">
        <v>0.43</v>
      </c>
      <c r="H1689" t="s">
        <v>4884</v>
      </c>
      <c r="I1689" t="s">
        <v>463</v>
      </c>
    </row>
    <row r="1690" spans="1:9" x14ac:dyDescent="0.3">
      <c r="A1690">
        <v>85313</v>
      </c>
      <c r="B1690">
        <v>105</v>
      </c>
      <c r="C1690" s="452">
        <v>46143</v>
      </c>
      <c r="D1690" t="s">
        <v>557</v>
      </c>
      <c r="E1690">
        <v>20792</v>
      </c>
      <c r="F1690" t="s">
        <v>5022</v>
      </c>
      <c r="G1690">
        <v>3</v>
      </c>
      <c r="H1690" t="s">
        <v>4738</v>
      </c>
      <c r="I1690" t="s">
        <v>463</v>
      </c>
    </row>
    <row r="1691" spans="1:9" x14ac:dyDescent="0.3">
      <c r="A1691">
        <v>85314</v>
      </c>
      <c r="B1691">
        <v>105</v>
      </c>
      <c r="C1691" s="452">
        <v>46143</v>
      </c>
      <c r="D1691" t="s">
        <v>557</v>
      </c>
      <c r="E1691">
        <v>20809</v>
      </c>
      <c r="F1691" t="s">
        <v>4822</v>
      </c>
      <c r="G1691">
        <v>9.4</v>
      </c>
      <c r="H1691" t="s">
        <v>4738</v>
      </c>
      <c r="I1691" t="s">
        <v>463</v>
      </c>
    </row>
    <row r="1692" spans="1:9" x14ac:dyDescent="0.3">
      <c r="A1692">
        <v>85315</v>
      </c>
      <c r="B1692">
        <v>105</v>
      </c>
      <c r="C1692" s="452">
        <v>46143</v>
      </c>
      <c r="D1692" t="s">
        <v>557</v>
      </c>
      <c r="E1692">
        <v>20871</v>
      </c>
      <c r="F1692" t="s">
        <v>5015</v>
      </c>
      <c r="G1692">
        <v>7.68</v>
      </c>
      <c r="H1692" t="s">
        <v>4879</v>
      </c>
      <c r="I1692" t="s">
        <v>463</v>
      </c>
    </row>
    <row r="1693" spans="1:9" x14ac:dyDescent="0.3">
      <c r="A1693">
        <v>85316</v>
      </c>
      <c r="B1693">
        <v>105</v>
      </c>
      <c r="C1693" s="452">
        <v>46143</v>
      </c>
      <c r="D1693" t="s">
        <v>557</v>
      </c>
      <c r="E1693">
        <v>20887</v>
      </c>
      <c r="F1693" t="s">
        <v>4953</v>
      </c>
      <c r="G1693">
        <v>1.9</v>
      </c>
      <c r="H1693" t="s">
        <v>4879</v>
      </c>
      <c r="I1693" t="s">
        <v>463</v>
      </c>
    </row>
    <row r="1694" spans="1:9" x14ac:dyDescent="0.3">
      <c r="A1694">
        <v>85317</v>
      </c>
      <c r="B1694">
        <v>105</v>
      </c>
      <c r="C1694" s="452">
        <v>46143</v>
      </c>
      <c r="D1694" t="s">
        <v>557</v>
      </c>
      <c r="E1694">
        <v>20928</v>
      </c>
      <c r="F1694" t="s">
        <v>4950</v>
      </c>
      <c r="G1694">
        <v>1.1000000000000001</v>
      </c>
      <c r="H1694" t="s">
        <v>4736</v>
      </c>
      <c r="I1694" t="s">
        <v>463</v>
      </c>
    </row>
    <row r="1695" spans="1:9" x14ac:dyDescent="0.3">
      <c r="A1695">
        <v>85318</v>
      </c>
      <c r="B1695">
        <v>105</v>
      </c>
      <c r="C1695" s="452">
        <v>46143</v>
      </c>
      <c r="D1695" t="s">
        <v>557</v>
      </c>
      <c r="E1695">
        <v>20955</v>
      </c>
      <c r="F1695" t="s">
        <v>4959</v>
      </c>
      <c r="G1695">
        <v>5.5</v>
      </c>
      <c r="H1695" t="s">
        <v>4805</v>
      </c>
      <c r="I1695" t="s">
        <v>463</v>
      </c>
    </row>
    <row r="1696" spans="1:9" x14ac:dyDescent="0.3">
      <c r="A1696">
        <v>85319</v>
      </c>
      <c r="B1696">
        <v>105</v>
      </c>
      <c r="C1696" s="452">
        <v>46143</v>
      </c>
      <c r="D1696" t="s">
        <v>557</v>
      </c>
      <c r="E1696">
        <v>20984</v>
      </c>
      <c r="F1696" t="s">
        <v>5133</v>
      </c>
      <c r="G1696">
        <v>7</v>
      </c>
      <c r="H1696" t="s">
        <v>4888</v>
      </c>
      <c r="I1696" t="s">
        <v>463</v>
      </c>
    </row>
    <row r="1697" spans="1:9" x14ac:dyDescent="0.3">
      <c r="A1697">
        <v>85320</v>
      </c>
      <c r="B1697">
        <v>105</v>
      </c>
      <c r="C1697" s="452">
        <v>46143</v>
      </c>
      <c r="D1697" t="s">
        <v>557</v>
      </c>
      <c r="E1697">
        <v>21005</v>
      </c>
      <c r="F1697" t="s">
        <v>5161</v>
      </c>
      <c r="G1697">
        <v>0.45</v>
      </c>
      <c r="H1697" t="s">
        <v>4888</v>
      </c>
      <c r="I1697" t="s">
        <v>463</v>
      </c>
    </row>
    <row r="1698" spans="1:9" x14ac:dyDescent="0.3">
      <c r="A1698">
        <v>85321</v>
      </c>
      <c r="B1698">
        <v>105</v>
      </c>
      <c r="C1698" s="452">
        <v>46143</v>
      </c>
      <c r="D1698" t="s">
        <v>557</v>
      </c>
      <c r="E1698">
        <v>21021</v>
      </c>
      <c r="F1698" t="s">
        <v>4883</v>
      </c>
      <c r="G1698">
        <v>7</v>
      </c>
      <c r="H1698" t="s">
        <v>4884</v>
      </c>
      <c r="I1698" t="s">
        <v>463</v>
      </c>
    </row>
    <row r="1699" spans="1:9" x14ac:dyDescent="0.3">
      <c r="A1699">
        <v>85322</v>
      </c>
      <c r="B1699">
        <v>105</v>
      </c>
      <c r="C1699" s="452">
        <v>46143</v>
      </c>
      <c r="D1699" t="s">
        <v>557</v>
      </c>
      <c r="E1699">
        <v>21030</v>
      </c>
      <c r="F1699" t="s">
        <v>5145</v>
      </c>
      <c r="G1699">
        <v>8</v>
      </c>
      <c r="H1699" t="s">
        <v>4736</v>
      </c>
      <c r="I1699" t="s">
        <v>463</v>
      </c>
    </row>
    <row r="1700" spans="1:9" x14ac:dyDescent="0.3">
      <c r="A1700">
        <v>85323</v>
      </c>
      <c r="B1700">
        <v>105</v>
      </c>
      <c r="C1700" s="452">
        <v>46143</v>
      </c>
      <c r="D1700" t="s">
        <v>557</v>
      </c>
      <c r="E1700">
        <v>21047</v>
      </c>
      <c r="F1700" t="s">
        <v>4847</v>
      </c>
      <c r="G1700">
        <v>7.7</v>
      </c>
      <c r="H1700" t="s">
        <v>4848</v>
      </c>
      <c r="I1700" t="s">
        <v>463</v>
      </c>
    </row>
    <row r="1701" spans="1:9" x14ac:dyDescent="0.3">
      <c r="A1701">
        <v>85324</v>
      </c>
      <c r="B1701">
        <v>105</v>
      </c>
      <c r="C1701" s="452">
        <v>46143</v>
      </c>
      <c r="D1701" t="s">
        <v>557</v>
      </c>
      <c r="E1701">
        <v>21060</v>
      </c>
      <c r="F1701" t="s">
        <v>4946</v>
      </c>
      <c r="G1701">
        <v>2.0099999999999998</v>
      </c>
      <c r="H1701" t="s">
        <v>4736</v>
      </c>
      <c r="I1701" t="s">
        <v>463</v>
      </c>
    </row>
    <row r="1702" spans="1:9" x14ac:dyDescent="0.3">
      <c r="A1702">
        <v>85325</v>
      </c>
      <c r="B1702">
        <v>105</v>
      </c>
      <c r="C1702" s="452">
        <v>46143</v>
      </c>
      <c r="D1702" t="s">
        <v>557</v>
      </c>
      <c r="E1702">
        <v>21078</v>
      </c>
      <c r="F1702" t="s">
        <v>5162</v>
      </c>
      <c r="G1702">
        <v>1</v>
      </c>
      <c r="H1702" t="s">
        <v>4749</v>
      </c>
      <c r="I1702" t="s">
        <v>463</v>
      </c>
    </row>
    <row r="1703" spans="1:9" x14ac:dyDescent="0.3">
      <c r="A1703">
        <v>85326</v>
      </c>
      <c r="B1703">
        <v>105</v>
      </c>
      <c r="C1703" s="452">
        <v>46143</v>
      </c>
      <c r="D1703" t="s">
        <v>557</v>
      </c>
      <c r="E1703">
        <v>21085</v>
      </c>
      <c r="F1703" t="s">
        <v>5066</v>
      </c>
      <c r="G1703">
        <v>1</v>
      </c>
      <c r="H1703" t="s">
        <v>4749</v>
      </c>
      <c r="I1703" t="s">
        <v>463</v>
      </c>
    </row>
    <row r="1704" spans="1:9" x14ac:dyDescent="0.3">
      <c r="A1704">
        <v>85327</v>
      </c>
      <c r="B1704">
        <v>105</v>
      </c>
      <c r="C1704" s="452">
        <v>46143</v>
      </c>
      <c r="D1704" t="s">
        <v>557</v>
      </c>
      <c r="E1704">
        <v>21093</v>
      </c>
      <c r="F1704" t="s">
        <v>4855</v>
      </c>
      <c r="G1704">
        <v>19</v>
      </c>
      <c r="H1704" t="s">
        <v>4744</v>
      </c>
      <c r="I1704" t="s">
        <v>463</v>
      </c>
    </row>
    <row r="1705" spans="1:9" x14ac:dyDescent="0.3">
      <c r="A1705">
        <v>85328</v>
      </c>
      <c r="B1705">
        <v>105</v>
      </c>
      <c r="C1705" s="452">
        <v>46143</v>
      </c>
      <c r="D1705" t="s">
        <v>557</v>
      </c>
      <c r="E1705">
        <v>21147</v>
      </c>
      <c r="F1705" t="s">
        <v>4876</v>
      </c>
      <c r="G1705">
        <v>1.78</v>
      </c>
      <c r="H1705" t="s">
        <v>4736</v>
      </c>
      <c r="I1705" t="s">
        <v>463</v>
      </c>
    </row>
    <row r="1706" spans="1:9" x14ac:dyDescent="0.3">
      <c r="A1706">
        <v>85329</v>
      </c>
      <c r="B1706">
        <v>105</v>
      </c>
      <c r="C1706" s="452">
        <v>46143</v>
      </c>
      <c r="D1706" t="s">
        <v>557</v>
      </c>
      <c r="E1706">
        <v>21150</v>
      </c>
      <c r="F1706" t="s">
        <v>4878</v>
      </c>
      <c r="G1706">
        <v>1.28</v>
      </c>
      <c r="H1706" t="s">
        <v>4879</v>
      </c>
      <c r="I1706" t="s">
        <v>463</v>
      </c>
    </row>
    <row r="1707" spans="1:9" x14ac:dyDescent="0.3">
      <c r="A1707">
        <v>85330</v>
      </c>
      <c r="B1707">
        <v>105</v>
      </c>
      <c r="C1707" s="452">
        <v>46143</v>
      </c>
      <c r="D1707" t="s">
        <v>557</v>
      </c>
      <c r="E1707">
        <v>21257</v>
      </c>
      <c r="F1707" t="s">
        <v>4952</v>
      </c>
      <c r="G1707">
        <v>1</v>
      </c>
      <c r="H1707" t="s">
        <v>4736</v>
      </c>
      <c r="I1707" t="s">
        <v>463</v>
      </c>
    </row>
    <row r="1708" spans="1:9" x14ac:dyDescent="0.3">
      <c r="A1708">
        <v>85331</v>
      </c>
      <c r="B1708">
        <v>105</v>
      </c>
      <c r="C1708" s="452">
        <v>46143</v>
      </c>
      <c r="D1708" t="s">
        <v>557</v>
      </c>
      <c r="E1708">
        <v>22721</v>
      </c>
      <c r="F1708" t="s">
        <v>4803</v>
      </c>
      <c r="G1708">
        <v>1.81</v>
      </c>
      <c r="H1708" t="s">
        <v>4744</v>
      </c>
      <c r="I1708" t="s">
        <v>463</v>
      </c>
    </row>
    <row r="1709" spans="1:9" x14ac:dyDescent="0.3">
      <c r="A1709">
        <v>85332</v>
      </c>
      <c r="B1709">
        <v>105</v>
      </c>
      <c r="C1709" s="452">
        <v>46143</v>
      </c>
      <c r="D1709" t="s">
        <v>557</v>
      </c>
      <c r="E1709">
        <v>22734</v>
      </c>
      <c r="F1709" t="s">
        <v>5163</v>
      </c>
      <c r="G1709">
        <v>3.75</v>
      </c>
      <c r="H1709" t="s">
        <v>4744</v>
      </c>
      <c r="I1709" t="s">
        <v>463</v>
      </c>
    </row>
    <row r="1710" spans="1:9" x14ac:dyDescent="0.3">
      <c r="A1710">
        <v>85333</v>
      </c>
      <c r="B1710">
        <v>105</v>
      </c>
      <c r="C1710" s="452">
        <v>46143</v>
      </c>
      <c r="D1710" t="s">
        <v>557</v>
      </c>
      <c r="E1710">
        <v>22843</v>
      </c>
      <c r="F1710" t="s">
        <v>4849</v>
      </c>
      <c r="G1710">
        <v>7.15</v>
      </c>
      <c r="H1710" t="s">
        <v>4744</v>
      </c>
      <c r="I1710" t="s">
        <v>463</v>
      </c>
    </row>
    <row r="1711" spans="1:9" x14ac:dyDescent="0.3">
      <c r="A1711">
        <v>85334</v>
      </c>
      <c r="B1711">
        <v>105</v>
      </c>
      <c r="C1711" s="452">
        <v>46143</v>
      </c>
      <c r="D1711" t="s">
        <v>557</v>
      </c>
      <c r="E1711">
        <v>22871</v>
      </c>
      <c r="F1711" t="s">
        <v>4898</v>
      </c>
      <c r="G1711">
        <v>5</v>
      </c>
      <c r="H1711" t="s">
        <v>4744</v>
      </c>
      <c r="I1711" t="s">
        <v>463</v>
      </c>
    </row>
    <row r="1712" spans="1:9" x14ac:dyDescent="0.3">
      <c r="A1712">
        <v>85335</v>
      </c>
      <c r="B1712">
        <v>105</v>
      </c>
      <c r="C1712" s="452">
        <v>46143</v>
      </c>
      <c r="D1712" t="s">
        <v>557</v>
      </c>
      <c r="E1712">
        <v>23088</v>
      </c>
      <c r="F1712" t="s">
        <v>5027</v>
      </c>
      <c r="G1712">
        <v>1.5</v>
      </c>
      <c r="H1712" t="s">
        <v>4736</v>
      </c>
      <c r="I1712" t="s">
        <v>463</v>
      </c>
    </row>
    <row r="1713" spans="1:9" x14ac:dyDescent="0.3">
      <c r="A1713">
        <v>85336</v>
      </c>
      <c r="B1713">
        <v>105</v>
      </c>
      <c r="C1713" s="452">
        <v>46143</v>
      </c>
      <c r="D1713" t="s">
        <v>557</v>
      </c>
      <c r="E1713">
        <v>23096</v>
      </c>
      <c r="F1713" t="s">
        <v>5164</v>
      </c>
      <c r="G1713">
        <v>202</v>
      </c>
      <c r="H1713" t="s">
        <v>4736</v>
      </c>
      <c r="I1713" t="s">
        <v>463</v>
      </c>
    </row>
    <row r="1714" spans="1:9" x14ac:dyDescent="0.3">
      <c r="A1714">
        <v>85337</v>
      </c>
      <c r="B1714">
        <v>105</v>
      </c>
      <c r="C1714" s="452">
        <v>46143</v>
      </c>
      <c r="D1714" t="s">
        <v>557</v>
      </c>
      <c r="E1714">
        <v>23108</v>
      </c>
      <c r="F1714" t="s">
        <v>5117</v>
      </c>
      <c r="G1714">
        <v>0.3</v>
      </c>
      <c r="H1714" t="s">
        <v>4744</v>
      </c>
      <c r="I1714" t="s">
        <v>463</v>
      </c>
    </row>
    <row r="1715" spans="1:9" x14ac:dyDescent="0.3">
      <c r="A1715">
        <v>85338</v>
      </c>
      <c r="B1715">
        <v>105</v>
      </c>
      <c r="C1715" s="452">
        <v>46143</v>
      </c>
      <c r="D1715" t="s">
        <v>557</v>
      </c>
      <c r="E1715">
        <v>23113</v>
      </c>
      <c r="F1715" t="s">
        <v>5074</v>
      </c>
      <c r="G1715">
        <v>2.4500000000000002</v>
      </c>
      <c r="H1715" t="s">
        <v>4744</v>
      </c>
      <c r="I1715" t="s">
        <v>463</v>
      </c>
    </row>
    <row r="1716" spans="1:9" x14ac:dyDescent="0.3">
      <c r="A1716">
        <v>85339</v>
      </c>
      <c r="B1716">
        <v>105</v>
      </c>
      <c r="C1716" s="452">
        <v>46143</v>
      </c>
      <c r="D1716" t="s">
        <v>557</v>
      </c>
      <c r="E1716">
        <v>23124</v>
      </c>
      <c r="F1716" t="s">
        <v>5126</v>
      </c>
      <c r="G1716">
        <v>0.25</v>
      </c>
      <c r="H1716" t="s">
        <v>4744</v>
      </c>
      <c r="I1716" t="s">
        <v>463</v>
      </c>
    </row>
    <row r="1717" spans="1:9" x14ac:dyDescent="0.3">
      <c r="A1717">
        <v>85340</v>
      </c>
      <c r="B1717">
        <v>105</v>
      </c>
      <c r="C1717" s="452">
        <v>46143</v>
      </c>
      <c r="D1717" t="s">
        <v>557</v>
      </c>
      <c r="E1717">
        <v>23184</v>
      </c>
      <c r="F1717" t="s">
        <v>4935</v>
      </c>
      <c r="G1717">
        <v>3.04</v>
      </c>
      <c r="H1717" t="s">
        <v>4744</v>
      </c>
      <c r="I1717" t="s">
        <v>463</v>
      </c>
    </row>
    <row r="1718" spans="1:9" x14ac:dyDescent="0.3">
      <c r="A1718">
        <v>85341</v>
      </c>
      <c r="B1718">
        <v>105</v>
      </c>
      <c r="C1718" s="452">
        <v>46143</v>
      </c>
      <c r="D1718" t="s">
        <v>557</v>
      </c>
      <c r="E1718">
        <v>23195</v>
      </c>
      <c r="F1718" t="s">
        <v>5051</v>
      </c>
      <c r="G1718">
        <v>0.5</v>
      </c>
      <c r="H1718" t="s">
        <v>4744</v>
      </c>
      <c r="I1718" t="s">
        <v>463</v>
      </c>
    </row>
    <row r="1719" spans="1:9" x14ac:dyDescent="0.3">
      <c r="A1719">
        <v>85342</v>
      </c>
      <c r="B1719">
        <v>105</v>
      </c>
      <c r="C1719" s="452">
        <v>46143</v>
      </c>
      <c r="D1719" t="s">
        <v>557</v>
      </c>
      <c r="E1719">
        <v>23198</v>
      </c>
      <c r="F1719" t="s">
        <v>4962</v>
      </c>
      <c r="G1719">
        <v>2</v>
      </c>
      <c r="H1719" t="s">
        <v>4744</v>
      </c>
      <c r="I1719" t="s">
        <v>463</v>
      </c>
    </row>
    <row r="1720" spans="1:9" x14ac:dyDescent="0.3">
      <c r="A1720">
        <v>85343</v>
      </c>
      <c r="B1720">
        <v>105</v>
      </c>
      <c r="C1720" s="452">
        <v>46143</v>
      </c>
      <c r="D1720" t="s">
        <v>557</v>
      </c>
      <c r="E1720">
        <v>23228</v>
      </c>
      <c r="F1720" t="s">
        <v>4782</v>
      </c>
      <c r="G1720">
        <v>10.77</v>
      </c>
      <c r="H1720" t="s">
        <v>4744</v>
      </c>
      <c r="I1720" t="s">
        <v>463</v>
      </c>
    </row>
    <row r="1721" spans="1:9" x14ac:dyDescent="0.3">
      <c r="A1721">
        <v>85344</v>
      </c>
      <c r="B1721">
        <v>105</v>
      </c>
      <c r="C1721" s="452">
        <v>46143</v>
      </c>
      <c r="D1721" t="s">
        <v>557</v>
      </c>
      <c r="E1721">
        <v>23234</v>
      </c>
      <c r="F1721" t="s">
        <v>4986</v>
      </c>
      <c r="G1721">
        <v>2</v>
      </c>
      <c r="H1721" t="s">
        <v>4744</v>
      </c>
      <c r="I1721" t="s">
        <v>463</v>
      </c>
    </row>
    <row r="1722" spans="1:9" x14ac:dyDescent="0.3">
      <c r="A1722">
        <v>85345</v>
      </c>
      <c r="B1722">
        <v>105</v>
      </c>
      <c r="C1722" s="452">
        <v>46143</v>
      </c>
      <c r="D1722" t="s">
        <v>557</v>
      </c>
      <c r="E1722">
        <v>23236</v>
      </c>
      <c r="F1722" t="s">
        <v>5062</v>
      </c>
      <c r="G1722">
        <v>0.95</v>
      </c>
      <c r="H1722" t="s">
        <v>4744</v>
      </c>
      <c r="I1722" t="s">
        <v>463</v>
      </c>
    </row>
    <row r="1723" spans="1:9" x14ac:dyDescent="0.3">
      <c r="A1723">
        <v>85346</v>
      </c>
      <c r="B1723">
        <v>105</v>
      </c>
      <c r="C1723" s="452">
        <v>46143</v>
      </c>
      <c r="D1723" t="s">
        <v>557</v>
      </c>
      <c r="E1723">
        <v>23238</v>
      </c>
      <c r="F1723" t="s">
        <v>4934</v>
      </c>
      <c r="G1723">
        <v>1.1000000000000001</v>
      </c>
      <c r="H1723" t="s">
        <v>4744</v>
      </c>
      <c r="I1723" t="s">
        <v>463</v>
      </c>
    </row>
    <row r="1724" spans="1:9" x14ac:dyDescent="0.3">
      <c r="A1724">
        <v>85347</v>
      </c>
      <c r="B1724">
        <v>105</v>
      </c>
      <c r="C1724" s="452">
        <v>46143</v>
      </c>
      <c r="D1724" t="s">
        <v>557</v>
      </c>
      <c r="E1724">
        <v>23268</v>
      </c>
      <c r="F1724" t="s">
        <v>4743</v>
      </c>
      <c r="G1724">
        <v>7.82</v>
      </c>
      <c r="H1724" t="s">
        <v>4744</v>
      </c>
      <c r="I1724" t="s">
        <v>463</v>
      </c>
    </row>
    <row r="1725" spans="1:9" x14ac:dyDescent="0.3">
      <c r="A1725">
        <v>85348</v>
      </c>
      <c r="B1725">
        <v>105</v>
      </c>
      <c r="C1725" s="452">
        <v>46143</v>
      </c>
      <c r="D1725" t="s">
        <v>557</v>
      </c>
      <c r="E1725">
        <v>23335</v>
      </c>
      <c r="F1725" t="s">
        <v>4961</v>
      </c>
      <c r="G1725">
        <v>1.6</v>
      </c>
      <c r="H1725" t="s">
        <v>4744</v>
      </c>
      <c r="I1725" t="s">
        <v>463</v>
      </c>
    </row>
    <row r="1726" spans="1:9" x14ac:dyDescent="0.3">
      <c r="A1726">
        <v>85349</v>
      </c>
      <c r="B1726">
        <v>105</v>
      </c>
      <c r="C1726" s="452">
        <v>46143</v>
      </c>
      <c r="D1726" t="s">
        <v>557</v>
      </c>
      <c r="E1726">
        <v>23346</v>
      </c>
      <c r="F1726" t="s">
        <v>4916</v>
      </c>
      <c r="G1726">
        <v>1.95</v>
      </c>
      <c r="H1726" t="s">
        <v>4744</v>
      </c>
      <c r="I1726" t="s">
        <v>463</v>
      </c>
    </row>
    <row r="1727" spans="1:9" x14ac:dyDescent="0.3">
      <c r="A1727">
        <v>85350</v>
      </c>
      <c r="B1727">
        <v>105</v>
      </c>
      <c r="C1727" s="452">
        <v>46143</v>
      </c>
      <c r="D1727" t="s">
        <v>557</v>
      </c>
      <c r="E1727">
        <v>23349</v>
      </c>
      <c r="F1727" t="s">
        <v>4988</v>
      </c>
      <c r="G1727">
        <v>0.2</v>
      </c>
      <c r="H1727" t="s">
        <v>4744</v>
      </c>
      <c r="I1727" t="s">
        <v>463</v>
      </c>
    </row>
    <row r="1728" spans="1:9" x14ac:dyDescent="0.3">
      <c r="A1728">
        <v>85351</v>
      </c>
      <c r="B1728">
        <v>105</v>
      </c>
      <c r="C1728" s="452">
        <v>46143</v>
      </c>
      <c r="D1728" t="s">
        <v>557</v>
      </c>
      <c r="E1728">
        <v>23359</v>
      </c>
      <c r="F1728" t="s">
        <v>4767</v>
      </c>
      <c r="G1728">
        <v>15.76</v>
      </c>
      <c r="H1728" t="s">
        <v>4744</v>
      </c>
      <c r="I1728" t="s">
        <v>463</v>
      </c>
    </row>
    <row r="1729" spans="1:9" x14ac:dyDescent="0.3">
      <c r="A1729">
        <v>85352</v>
      </c>
      <c r="B1729">
        <v>105</v>
      </c>
      <c r="C1729" s="452">
        <v>46143</v>
      </c>
      <c r="D1729" t="s">
        <v>557</v>
      </c>
      <c r="E1729">
        <v>23361</v>
      </c>
      <c r="F1729" t="s">
        <v>4754</v>
      </c>
      <c r="G1729">
        <v>54.14</v>
      </c>
      <c r="H1729" t="s">
        <v>4744</v>
      </c>
      <c r="I1729" t="s">
        <v>463</v>
      </c>
    </row>
    <row r="1730" spans="1:9" x14ac:dyDescent="0.3">
      <c r="A1730">
        <v>85353</v>
      </c>
      <c r="B1730">
        <v>105</v>
      </c>
      <c r="C1730" s="452">
        <v>46143</v>
      </c>
      <c r="D1730" t="s">
        <v>557</v>
      </c>
      <c r="E1730">
        <v>23365</v>
      </c>
      <c r="F1730" t="s">
        <v>5108</v>
      </c>
      <c r="G1730">
        <v>1.7</v>
      </c>
      <c r="H1730" t="s">
        <v>4744</v>
      </c>
      <c r="I1730" t="s">
        <v>463</v>
      </c>
    </row>
    <row r="1731" spans="1:9" x14ac:dyDescent="0.3">
      <c r="A1731">
        <v>85354</v>
      </c>
      <c r="B1731">
        <v>105</v>
      </c>
      <c r="C1731" s="452">
        <v>46143</v>
      </c>
      <c r="D1731" t="s">
        <v>557</v>
      </c>
      <c r="E1731">
        <v>23385</v>
      </c>
      <c r="F1731" t="s">
        <v>4938</v>
      </c>
      <c r="G1731">
        <v>0.79</v>
      </c>
      <c r="H1731" t="s">
        <v>4744</v>
      </c>
      <c r="I1731" t="s">
        <v>463</v>
      </c>
    </row>
    <row r="1732" spans="1:9" x14ac:dyDescent="0.3">
      <c r="A1732">
        <v>85355</v>
      </c>
      <c r="B1732">
        <v>105</v>
      </c>
      <c r="C1732" s="452">
        <v>46143</v>
      </c>
      <c r="D1732" t="s">
        <v>557</v>
      </c>
      <c r="E1732">
        <v>23389</v>
      </c>
      <c r="F1732" t="s">
        <v>4960</v>
      </c>
      <c r="G1732">
        <v>6.9</v>
      </c>
      <c r="H1732" t="s">
        <v>4744</v>
      </c>
      <c r="I1732" t="s">
        <v>463</v>
      </c>
    </row>
    <row r="1733" spans="1:9" x14ac:dyDescent="0.3">
      <c r="A1733">
        <v>85356</v>
      </c>
      <c r="B1733">
        <v>105</v>
      </c>
      <c r="C1733" s="452">
        <v>46143</v>
      </c>
      <c r="D1733" t="s">
        <v>557</v>
      </c>
      <c r="E1733">
        <v>23390</v>
      </c>
      <c r="F1733" t="s">
        <v>4873</v>
      </c>
      <c r="G1733">
        <v>1.4</v>
      </c>
      <c r="H1733" t="s">
        <v>4744</v>
      </c>
      <c r="I1733" t="s">
        <v>463</v>
      </c>
    </row>
    <row r="1734" spans="1:9" x14ac:dyDescent="0.3">
      <c r="A1734">
        <v>85357</v>
      </c>
      <c r="B1734">
        <v>105</v>
      </c>
      <c r="C1734" s="452">
        <v>46143</v>
      </c>
      <c r="D1734" t="s">
        <v>557</v>
      </c>
      <c r="E1734">
        <v>23494</v>
      </c>
      <c r="F1734" t="s">
        <v>4991</v>
      </c>
      <c r="G1734">
        <v>0.9</v>
      </c>
      <c r="H1734" t="s">
        <v>4744</v>
      </c>
      <c r="I1734" t="s">
        <v>463</v>
      </c>
    </row>
    <row r="1735" spans="1:9" x14ac:dyDescent="0.3">
      <c r="A1735">
        <v>85358</v>
      </c>
      <c r="B1735">
        <v>105</v>
      </c>
      <c r="C1735" s="452">
        <v>46143</v>
      </c>
      <c r="D1735" t="s">
        <v>557</v>
      </c>
      <c r="E1735">
        <v>23502</v>
      </c>
      <c r="F1735" t="s">
        <v>4930</v>
      </c>
      <c r="G1735">
        <v>2.2000000000000002</v>
      </c>
      <c r="H1735" t="s">
        <v>4736</v>
      </c>
      <c r="I1735" t="s">
        <v>463</v>
      </c>
    </row>
    <row r="1736" spans="1:9" x14ac:dyDescent="0.3">
      <c r="A1736">
        <v>85359</v>
      </c>
      <c r="B1736">
        <v>105</v>
      </c>
      <c r="C1736" s="452">
        <v>46143</v>
      </c>
      <c r="D1736" t="s">
        <v>557</v>
      </c>
      <c r="E1736">
        <v>23503</v>
      </c>
      <c r="F1736" t="s">
        <v>5048</v>
      </c>
      <c r="G1736">
        <v>0.94</v>
      </c>
      <c r="H1736" t="s">
        <v>4744</v>
      </c>
      <c r="I1736" t="s">
        <v>463</v>
      </c>
    </row>
    <row r="1737" spans="1:9" x14ac:dyDescent="0.3">
      <c r="A1737">
        <v>85360</v>
      </c>
      <c r="B1737">
        <v>105</v>
      </c>
      <c r="C1737" s="452">
        <v>46143</v>
      </c>
      <c r="D1737" t="s">
        <v>557</v>
      </c>
      <c r="E1737">
        <v>23515</v>
      </c>
      <c r="F1737" t="s">
        <v>4816</v>
      </c>
      <c r="G1737">
        <v>9</v>
      </c>
      <c r="H1737" t="s">
        <v>4736</v>
      </c>
      <c r="I1737" t="s">
        <v>463</v>
      </c>
    </row>
    <row r="1738" spans="1:9" x14ac:dyDescent="0.3">
      <c r="A1738">
        <v>85361</v>
      </c>
      <c r="B1738">
        <v>105</v>
      </c>
      <c r="C1738" s="452">
        <v>46143</v>
      </c>
      <c r="D1738" t="s">
        <v>557</v>
      </c>
      <c r="E1738">
        <v>23539</v>
      </c>
      <c r="F1738" t="s">
        <v>4995</v>
      </c>
      <c r="G1738">
        <v>2.5299999999999998</v>
      </c>
      <c r="H1738" t="s">
        <v>4744</v>
      </c>
      <c r="I1738" t="s">
        <v>463</v>
      </c>
    </row>
    <row r="1739" spans="1:9" x14ac:dyDescent="0.3">
      <c r="A1739">
        <v>85362</v>
      </c>
      <c r="B1739">
        <v>105</v>
      </c>
      <c r="C1739" s="452">
        <v>46143</v>
      </c>
      <c r="D1739" t="s">
        <v>557</v>
      </c>
      <c r="E1739">
        <v>23554</v>
      </c>
      <c r="F1739" t="s">
        <v>4931</v>
      </c>
      <c r="G1739">
        <v>1.48</v>
      </c>
      <c r="H1739" t="s">
        <v>4744</v>
      </c>
      <c r="I1739" t="s">
        <v>463</v>
      </c>
    </row>
    <row r="1740" spans="1:9" x14ac:dyDescent="0.3">
      <c r="A1740">
        <v>85363</v>
      </c>
      <c r="B1740">
        <v>105</v>
      </c>
      <c r="C1740" s="452">
        <v>46143</v>
      </c>
      <c r="D1740" t="s">
        <v>557</v>
      </c>
      <c r="E1740">
        <v>23635</v>
      </c>
      <c r="F1740" t="s">
        <v>4837</v>
      </c>
      <c r="G1740">
        <v>1.8</v>
      </c>
      <c r="H1740" t="s">
        <v>4744</v>
      </c>
      <c r="I1740" t="s">
        <v>463</v>
      </c>
    </row>
    <row r="1741" spans="1:9" x14ac:dyDescent="0.3">
      <c r="A1741">
        <v>85364</v>
      </c>
      <c r="B1741">
        <v>105</v>
      </c>
      <c r="C1741" s="452">
        <v>46143</v>
      </c>
      <c r="D1741" t="s">
        <v>557</v>
      </c>
      <c r="E1741">
        <v>23656</v>
      </c>
      <c r="F1741" t="s">
        <v>4945</v>
      </c>
      <c r="G1741">
        <v>2</v>
      </c>
      <c r="H1741" t="s">
        <v>4744</v>
      </c>
      <c r="I1741" t="s">
        <v>463</v>
      </c>
    </row>
    <row r="1742" spans="1:9" x14ac:dyDescent="0.3">
      <c r="A1742">
        <v>85365</v>
      </c>
      <c r="B1742">
        <v>105</v>
      </c>
      <c r="C1742" s="452">
        <v>46143</v>
      </c>
      <c r="D1742" t="s">
        <v>557</v>
      </c>
      <c r="E1742">
        <v>23785</v>
      </c>
      <c r="F1742" t="s">
        <v>4858</v>
      </c>
      <c r="G1742">
        <v>3</v>
      </c>
      <c r="H1742" t="s">
        <v>4744</v>
      </c>
      <c r="I1742" t="s">
        <v>463</v>
      </c>
    </row>
    <row r="1743" spans="1:9" x14ac:dyDescent="0.3">
      <c r="A1743">
        <v>85366</v>
      </c>
      <c r="B1743">
        <v>105</v>
      </c>
      <c r="C1743" s="452">
        <v>46143</v>
      </c>
      <c r="D1743" t="s">
        <v>557</v>
      </c>
      <c r="E1743">
        <v>23808</v>
      </c>
      <c r="F1743" t="s">
        <v>4982</v>
      </c>
      <c r="G1743">
        <v>1.8</v>
      </c>
      <c r="H1743" t="s">
        <v>4744</v>
      </c>
      <c r="I1743" t="s">
        <v>463</v>
      </c>
    </row>
    <row r="1744" spans="1:9" x14ac:dyDescent="0.3">
      <c r="A1744">
        <v>85367</v>
      </c>
      <c r="B1744">
        <v>105</v>
      </c>
      <c r="C1744" s="452">
        <v>46143</v>
      </c>
      <c r="D1744" t="s">
        <v>557</v>
      </c>
      <c r="E1744">
        <v>23819</v>
      </c>
      <c r="F1744" t="s">
        <v>4947</v>
      </c>
      <c r="G1744">
        <v>2</v>
      </c>
      <c r="H1744" t="s">
        <v>4736</v>
      </c>
      <c r="I1744" t="s">
        <v>463</v>
      </c>
    </row>
    <row r="1745" spans="1:9" x14ac:dyDescent="0.3">
      <c r="A1745">
        <v>85368</v>
      </c>
      <c r="B1745">
        <v>105</v>
      </c>
      <c r="C1745" s="452">
        <v>46143</v>
      </c>
      <c r="D1745" t="s">
        <v>557</v>
      </c>
      <c r="E1745">
        <v>23934</v>
      </c>
      <c r="F1745" t="s">
        <v>4845</v>
      </c>
      <c r="G1745">
        <v>4</v>
      </c>
      <c r="H1745" t="s">
        <v>4744</v>
      </c>
      <c r="I1745" t="s">
        <v>463</v>
      </c>
    </row>
    <row r="1746" spans="1:9" x14ac:dyDescent="0.3">
      <c r="A1746">
        <v>85369</v>
      </c>
      <c r="B1746">
        <v>105</v>
      </c>
      <c r="C1746" s="452">
        <v>46143</v>
      </c>
      <c r="D1746" t="s">
        <v>557</v>
      </c>
      <c r="E1746">
        <v>24081</v>
      </c>
      <c r="F1746" t="s">
        <v>4834</v>
      </c>
      <c r="G1746">
        <v>27.7</v>
      </c>
      <c r="H1746" t="s">
        <v>4744</v>
      </c>
      <c r="I1746" t="s">
        <v>463</v>
      </c>
    </row>
    <row r="1747" spans="1:9" x14ac:dyDescent="0.3">
      <c r="A1747">
        <v>85370</v>
      </c>
      <c r="B1747">
        <v>105</v>
      </c>
      <c r="C1747" s="452">
        <v>46143</v>
      </c>
      <c r="D1747" t="s">
        <v>557</v>
      </c>
      <c r="E1747">
        <v>24083</v>
      </c>
      <c r="F1747" t="s">
        <v>5165</v>
      </c>
      <c r="G1747">
        <v>14.3</v>
      </c>
      <c r="H1747" t="s">
        <v>4744</v>
      </c>
      <c r="I1747" t="s">
        <v>463</v>
      </c>
    </row>
    <row r="1748" spans="1:9" x14ac:dyDescent="0.3">
      <c r="A1748">
        <v>85371</v>
      </c>
      <c r="B1748">
        <v>105</v>
      </c>
      <c r="C1748" s="452">
        <v>46143</v>
      </c>
      <c r="D1748" t="s">
        <v>557</v>
      </c>
      <c r="E1748">
        <v>24096</v>
      </c>
      <c r="F1748" t="s">
        <v>4771</v>
      </c>
      <c r="G1748">
        <v>70.95</v>
      </c>
      <c r="H1748" t="s">
        <v>4744</v>
      </c>
      <c r="I1748" t="s">
        <v>463</v>
      </c>
    </row>
    <row r="1749" spans="1:9" x14ac:dyDescent="0.3">
      <c r="A1749">
        <v>85372</v>
      </c>
      <c r="B1749">
        <v>105</v>
      </c>
      <c r="C1749" s="452">
        <v>46143</v>
      </c>
      <c r="D1749" t="s">
        <v>557</v>
      </c>
      <c r="E1749">
        <v>24099</v>
      </c>
      <c r="F1749" t="s">
        <v>4933</v>
      </c>
      <c r="G1749">
        <v>3.25</v>
      </c>
      <c r="H1749" t="s">
        <v>4744</v>
      </c>
      <c r="I1749" t="s">
        <v>463</v>
      </c>
    </row>
    <row r="1750" spans="1:9" x14ac:dyDescent="0.3">
      <c r="A1750">
        <v>85373</v>
      </c>
      <c r="B1750">
        <v>105</v>
      </c>
      <c r="C1750" s="452">
        <v>46143</v>
      </c>
      <c r="D1750" t="s">
        <v>557</v>
      </c>
      <c r="E1750">
        <v>24116</v>
      </c>
      <c r="F1750" t="s">
        <v>4777</v>
      </c>
      <c r="G1750">
        <v>1.4</v>
      </c>
      <c r="H1750" t="s">
        <v>4744</v>
      </c>
      <c r="I1750" t="s">
        <v>463</v>
      </c>
    </row>
    <row r="1751" spans="1:9" x14ac:dyDescent="0.3">
      <c r="A1751">
        <v>85374</v>
      </c>
      <c r="B1751">
        <v>105</v>
      </c>
      <c r="C1751" s="452">
        <v>46143</v>
      </c>
      <c r="D1751" t="s">
        <v>557</v>
      </c>
      <c r="E1751">
        <v>24141</v>
      </c>
      <c r="F1751" t="s">
        <v>5088</v>
      </c>
      <c r="G1751">
        <v>9.7100000000000009</v>
      </c>
      <c r="H1751" t="s">
        <v>4749</v>
      </c>
      <c r="I1751" t="s">
        <v>463</v>
      </c>
    </row>
    <row r="1752" spans="1:9" x14ac:dyDescent="0.3">
      <c r="A1752">
        <v>85375</v>
      </c>
      <c r="B1752">
        <v>105</v>
      </c>
      <c r="C1752" s="452">
        <v>46143</v>
      </c>
      <c r="D1752" t="s">
        <v>557</v>
      </c>
      <c r="E1752">
        <v>24142</v>
      </c>
      <c r="F1752" t="s">
        <v>5090</v>
      </c>
      <c r="G1752">
        <v>4.96</v>
      </c>
      <c r="H1752" t="s">
        <v>4749</v>
      </c>
      <c r="I1752" t="s">
        <v>463</v>
      </c>
    </row>
    <row r="1753" spans="1:9" x14ac:dyDescent="0.3">
      <c r="A1753">
        <v>85376</v>
      </c>
      <c r="B1753">
        <v>105</v>
      </c>
      <c r="C1753" s="452">
        <v>46143</v>
      </c>
      <c r="D1753" t="s">
        <v>557</v>
      </c>
      <c r="E1753">
        <v>24191</v>
      </c>
      <c r="F1753" t="s">
        <v>4846</v>
      </c>
      <c r="G1753">
        <v>2.4</v>
      </c>
      <c r="H1753" t="s">
        <v>4744</v>
      </c>
      <c r="I1753" t="s">
        <v>463</v>
      </c>
    </row>
    <row r="1754" spans="1:9" x14ac:dyDescent="0.3">
      <c r="A1754">
        <v>85377</v>
      </c>
      <c r="B1754">
        <v>105</v>
      </c>
      <c r="C1754" s="452">
        <v>46143</v>
      </c>
      <c r="D1754" t="s">
        <v>557</v>
      </c>
      <c r="E1754">
        <v>24199</v>
      </c>
      <c r="F1754" t="s">
        <v>4783</v>
      </c>
      <c r="G1754">
        <v>12.75</v>
      </c>
      <c r="H1754" t="s">
        <v>4744</v>
      </c>
      <c r="I1754" t="s">
        <v>463</v>
      </c>
    </row>
    <row r="1755" spans="1:9" x14ac:dyDescent="0.3">
      <c r="A1755">
        <v>85378</v>
      </c>
      <c r="B1755">
        <v>105</v>
      </c>
      <c r="C1755" s="452">
        <v>46143</v>
      </c>
      <c r="D1755" t="s">
        <v>557</v>
      </c>
      <c r="E1755">
        <v>24217</v>
      </c>
      <c r="F1755" t="s">
        <v>4778</v>
      </c>
      <c r="G1755">
        <v>15.57</v>
      </c>
      <c r="H1755" t="s">
        <v>4744</v>
      </c>
      <c r="I1755" t="s">
        <v>463</v>
      </c>
    </row>
    <row r="1756" spans="1:9" x14ac:dyDescent="0.3">
      <c r="A1756">
        <v>85379</v>
      </c>
      <c r="B1756">
        <v>105</v>
      </c>
      <c r="C1756" s="452">
        <v>46143</v>
      </c>
      <c r="D1756" t="s">
        <v>557</v>
      </c>
      <c r="E1756">
        <v>24256</v>
      </c>
      <c r="F1756" t="s">
        <v>4773</v>
      </c>
      <c r="G1756">
        <v>14.8</v>
      </c>
      <c r="H1756" t="s">
        <v>4744</v>
      </c>
      <c r="I1756" t="s">
        <v>463</v>
      </c>
    </row>
    <row r="1757" spans="1:9" x14ac:dyDescent="0.3">
      <c r="A1757">
        <v>85380</v>
      </c>
      <c r="B1757">
        <v>105</v>
      </c>
      <c r="C1757" s="452">
        <v>46143</v>
      </c>
      <c r="D1757" t="s">
        <v>557</v>
      </c>
      <c r="E1757">
        <v>24259</v>
      </c>
      <c r="F1757" t="s">
        <v>4875</v>
      </c>
      <c r="G1757">
        <v>11.35</v>
      </c>
      <c r="H1757" t="s">
        <v>4744</v>
      </c>
      <c r="I1757" t="s">
        <v>463</v>
      </c>
    </row>
    <row r="1758" spans="1:9" x14ac:dyDescent="0.3">
      <c r="A1758">
        <v>85381</v>
      </c>
      <c r="B1758">
        <v>105</v>
      </c>
      <c r="C1758" s="452">
        <v>46143</v>
      </c>
      <c r="D1758" t="s">
        <v>557</v>
      </c>
      <c r="E1758">
        <v>24320</v>
      </c>
      <c r="F1758" t="s">
        <v>4861</v>
      </c>
      <c r="G1758">
        <v>10.9</v>
      </c>
      <c r="H1758" t="s">
        <v>4744</v>
      </c>
      <c r="I1758" t="s">
        <v>463</v>
      </c>
    </row>
    <row r="1759" spans="1:9" x14ac:dyDescent="0.3">
      <c r="A1759">
        <v>85382</v>
      </c>
      <c r="B1759">
        <v>105</v>
      </c>
      <c r="C1759" s="452">
        <v>46143</v>
      </c>
      <c r="D1759" t="s">
        <v>557</v>
      </c>
      <c r="E1759">
        <v>24322</v>
      </c>
      <c r="F1759" t="s">
        <v>5064</v>
      </c>
      <c r="G1759">
        <v>2</v>
      </c>
      <c r="H1759" t="s">
        <v>4744</v>
      </c>
      <c r="I1759" t="s">
        <v>463</v>
      </c>
    </row>
    <row r="1760" spans="1:9" x14ac:dyDescent="0.3">
      <c r="A1760">
        <v>85383</v>
      </c>
      <c r="B1760">
        <v>105</v>
      </c>
      <c r="C1760" s="452">
        <v>46143</v>
      </c>
      <c r="D1760" t="s">
        <v>557</v>
      </c>
      <c r="E1760">
        <v>24323</v>
      </c>
      <c r="F1760" t="s">
        <v>4844</v>
      </c>
      <c r="G1760">
        <v>3.2</v>
      </c>
      <c r="H1760" t="s">
        <v>4744</v>
      </c>
      <c r="I1760" t="s">
        <v>463</v>
      </c>
    </row>
    <row r="1761" spans="1:9" x14ac:dyDescent="0.3">
      <c r="A1761">
        <v>85384</v>
      </c>
      <c r="B1761">
        <v>105</v>
      </c>
      <c r="C1761" s="452">
        <v>46143</v>
      </c>
      <c r="D1761" t="s">
        <v>557</v>
      </c>
      <c r="E1761">
        <v>24331</v>
      </c>
      <c r="F1761" t="s">
        <v>5166</v>
      </c>
      <c r="G1761">
        <v>24</v>
      </c>
      <c r="H1761" t="s">
        <v>4744</v>
      </c>
      <c r="I1761" t="s">
        <v>463</v>
      </c>
    </row>
    <row r="1762" spans="1:9" x14ac:dyDescent="0.3">
      <c r="A1762">
        <v>85385</v>
      </c>
      <c r="B1762">
        <v>105</v>
      </c>
      <c r="C1762" s="452">
        <v>46143</v>
      </c>
      <c r="D1762" t="s">
        <v>557</v>
      </c>
      <c r="E1762">
        <v>24339</v>
      </c>
      <c r="F1762" t="s">
        <v>4885</v>
      </c>
      <c r="G1762">
        <v>2.9</v>
      </c>
      <c r="H1762" t="s">
        <v>4744</v>
      </c>
      <c r="I1762" t="s">
        <v>463</v>
      </c>
    </row>
    <row r="1763" spans="1:9" x14ac:dyDescent="0.3">
      <c r="A1763">
        <v>85386</v>
      </c>
      <c r="B1763">
        <v>105</v>
      </c>
      <c r="C1763" s="452">
        <v>46143</v>
      </c>
      <c r="D1763" t="s">
        <v>557</v>
      </c>
      <c r="E1763">
        <v>24351</v>
      </c>
      <c r="F1763" t="s">
        <v>5014</v>
      </c>
      <c r="G1763">
        <v>45.44</v>
      </c>
      <c r="H1763" t="s">
        <v>4736</v>
      </c>
      <c r="I1763" t="s">
        <v>463</v>
      </c>
    </row>
    <row r="1764" spans="1:9" x14ac:dyDescent="0.3">
      <c r="A1764">
        <v>85387</v>
      </c>
      <c r="B1764">
        <v>105</v>
      </c>
      <c r="C1764" s="452">
        <v>46143</v>
      </c>
      <c r="D1764" t="s">
        <v>557</v>
      </c>
      <c r="E1764">
        <v>24403</v>
      </c>
      <c r="F1764" t="s">
        <v>5149</v>
      </c>
      <c r="G1764">
        <v>7.8</v>
      </c>
      <c r="H1764" t="s">
        <v>4744</v>
      </c>
      <c r="I1764" t="s">
        <v>463</v>
      </c>
    </row>
    <row r="1765" spans="1:9" x14ac:dyDescent="0.3">
      <c r="A1765">
        <v>85388</v>
      </c>
      <c r="B1765">
        <v>105</v>
      </c>
      <c r="C1765" s="452">
        <v>46143</v>
      </c>
      <c r="D1765" t="s">
        <v>557</v>
      </c>
      <c r="E1765">
        <v>24509</v>
      </c>
      <c r="F1765" t="s">
        <v>4788</v>
      </c>
      <c r="G1765">
        <v>24.14</v>
      </c>
      <c r="H1765" t="s">
        <v>4744</v>
      </c>
      <c r="I1765" t="s">
        <v>463</v>
      </c>
    </row>
    <row r="1766" spans="1:9" x14ac:dyDescent="0.3">
      <c r="A1766">
        <v>85389</v>
      </c>
      <c r="B1766">
        <v>105</v>
      </c>
      <c r="C1766" s="452">
        <v>46143</v>
      </c>
      <c r="D1766" t="s">
        <v>557</v>
      </c>
      <c r="E1766">
        <v>24614</v>
      </c>
      <c r="F1766" t="s">
        <v>4897</v>
      </c>
      <c r="G1766">
        <v>4</v>
      </c>
      <c r="H1766" t="s">
        <v>4805</v>
      </c>
      <c r="I1766" t="s">
        <v>463</v>
      </c>
    </row>
    <row r="1767" spans="1:9" x14ac:dyDescent="0.3">
      <c r="A1767">
        <v>85390</v>
      </c>
      <c r="B1767">
        <v>105</v>
      </c>
      <c r="C1767" s="452">
        <v>46143</v>
      </c>
      <c r="D1767" t="s">
        <v>557</v>
      </c>
      <c r="E1767">
        <v>24683</v>
      </c>
      <c r="F1767" t="s">
        <v>5167</v>
      </c>
      <c r="G1767">
        <v>2</v>
      </c>
      <c r="H1767" t="s">
        <v>4879</v>
      </c>
      <c r="I1767" t="s">
        <v>463</v>
      </c>
    </row>
    <row r="1768" spans="1:9" x14ac:dyDescent="0.3">
      <c r="A1768">
        <v>85391</v>
      </c>
      <c r="B1768">
        <v>105</v>
      </c>
      <c r="C1768" s="452">
        <v>46143</v>
      </c>
      <c r="D1768" t="s">
        <v>557</v>
      </c>
      <c r="E1768">
        <v>24685</v>
      </c>
      <c r="F1768" t="s">
        <v>5055</v>
      </c>
      <c r="G1768">
        <v>0.81</v>
      </c>
      <c r="H1768" t="s">
        <v>4805</v>
      </c>
      <c r="I1768" t="s">
        <v>463</v>
      </c>
    </row>
    <row r="1769" spans="1:9" x14ac:dyDescent="0.3">
      <c r="A1769">
        <v>85392</v>
      </c>
      <c r="B1769">
        <v>105</v>
      </c>
      <c r="C1769" s="452">
        <v>46143</v>
      </c>
      <c r="D1769" t="s">
        <v>557</v>
      </c>
      <c r="E1769">
        <v>24690</v>
      </c>
      <c r="F1769" t="s">
        <v>5168</v>
      </c>
      <c r="G1769">
        <v>3</v>
      </c>
      <c r="H1769" t="s">
        <v>4749</v>
      </c>
      <c r="I1769" t="s">
        <v>463</v>
      </c>
    </row>
    <row r="1770" spans="1:9" x14ac:dyDescent="0.3">
      <c r="A1770">
        <v>85393</v>
      </c>
      <c r="B1770">
        <v>105</v>
      </c>
      <c r="C1770" s="452">
        <v>46143</v>
      </c>
      <c r="D1770" t="s">
        <v>557</v>
      </c>
      <c r="E1770">
        <v>24973</v>
      </c>
      <c r="F1770" t="s">
        <v>4819</v>
      </c>
      <c r="G1770">
        <v>1.5</v>
      </c>
      <c r="H1770" t="s">
        <v>4738</v>
      </c>
      <c r="I1770" t="s">
        <v>463</v>
      </c>
    </row>
    <row r="1771" spans="1:9" x14ac:dyDescent="0.3">
      <c r="A1771">
        <v>85394</v>
      </c>
      <c r="B1771">
        <v>105</v>
      </c>
      <c r="C1771" s="452">
        <v>46143</v>
      </c>
      <c r="D1771" t="s">
        <v>557</v>
      </c>
      <c r="E1771">
        <v>24981</v>
      </c>
      <c r="F1771" t="s">
        <v>5140</v>
      </c>
      <c r="G1771">
        <v>1.5</v>
      </c>
      <c r="H1771" t="s">
        <v>4965</v>
      </c>
      <c r="I1771" t="s">
        <v>463</v>
      </c>
    </row>
    <row r="1772" spans="1:9" x14ac:dyDescent="0.3">
      <c r="A1772">
        <v>85395</v>
      </c>
      <c r="B1772">
        <v>105</v>
      </c>
      <c r="C1772" s="452">
        <v>46143</v>
      </c>
      <c r="D1772" t="s">
        <v>557</v>
      </c>
      <c r="E1772">
        <v>25022</v>
      </c>
      <c r="F1772" t="s">
        <v>4912</v>
      </c>
      <c r="G1772">
        <v>12</v>
      </c>
      <c r="H1772" t="s">
        <v>4738</v>
      </c>
      <c r="I1772" t="s">
        <v>463</v>
      </c>
    </row>
    <row r="1773" spans="1:9" x14ac:dyDescent="0.3">
      <c r="A1773">
        <v>85396</v>
      </c>
      <c r="B1773">
        <v>105</v>
      </c>
      <c r="C1773" s="452">
        <v>46143</v>
      </c>
      <c r="D1773" t="s">
        <v>557</v>
      </c>
      <c r="E1773">
        <v>25050</v>
      </c>
      <c r="F1773" t="s">
        <v>5110</v>
      </c>
      <c r="G1773">
        <v>1.61</v>
      </c>
      <c r="H1773" t="s">
        <v>4744</v>
      </c>
      <c r="I1773" t="s">
        <v>463</v>
      </c>
    </row>
    <row r="1774" spans="1:9" x14ac:dyDescent="0.3">
      <c r="A1774">
        <v>85397</v>
      </c>
      <c r="B1774">
        <v>105</v>
      </c>
      <c r="C1774" s="452">
        <v>46143</v>
      </c>
      <c r="D1774" t="s">
        <v>557</v>
      </c>
      <c r="E1774">
        <v>25055</v>
      </c>
      <c r="F1774" t="s">
        <v>5003</v>
      </c>
      <c r="G1774">
        <v>1</v>
      </c>
      <c r="H1774" t="s">
        <v>4744</v>
      </c>
      <c r="I1774" t="s">
        <v>463</v>
      </c>
    </row>
    <row r="1775" spans="1:9" x14ac:dyDescent="0.3">
      <c r="A1775">
        <v>85398</v>
      </c>
      <c r="B1775">
        <v>105</v>
      </c>
      <c r="C1775" s="452">
        <v>46143</v>
      </c>
      <c r="D1775" t="s">
        <v>557</v>
      </c>
      <c r="E1775">
        <v>25075</v>
      </c>
      <c r="F1775" t="s">
        <v>4790</v>
      </c>
      <c r="G1775">
        <v>2</v>
      </c>
      <c r="H1775" t="s">
        <v>4738</v>
      </c>
      <c r="I1775" t="s">
        <v>463</v>
      </c>
    </row>
    <row r="1776" spans="1:9" x14ac:dyDescent="0.3">
      <c r="A1776">
        <v>85399</v>
      </c>
      <c r="B1776">
        <v>105</v>
      </c>
      <c r="C1776" s="452">
        <v>46143</v>
      </c>
      <c r="D1776" t="s">
        <v>557</v>
      </c>
      <c r="E1776">
        <v>25079</v>
      </c>
      <c r="F1776" t="s">
        <v>5006</v>
      </c>
      <c r="G1776">
        <v>1.34</v>
      </c>
      <c r="H1776" t="s">
        <v>4738</v>
      </c>
      <c r="I1776" t="s">
        <v>463</v>
      </c>
    </row>
    <row r="1777" spans="1:9" x14ac:dyDescent="0.3">
      <c r="A1777">
        <v>85400</v>
      </c>
      <c r="B1777">
        <v>105</v>
      </c>
      <c r="C1777" s="452">
        <v>46143</v>
      </c>
      <c r="D1777" t="s">
        <v>557</v>
      </c>
      <c r="E1777">
        <v>25167</v>
      </c>
      <c r="F1777" t="s">
        <v>4758</v>
      </c>
      <c r="G1777">
        <v>20</v>
      </c>
      <c r="H1777" t="s">
        <v>4744</v>
      </c>
      <c r="I1777" t="s">
        <v>463</v>
      </c>
    </row>
    <row r="1778" spans="1:9" x14ac:dyDescent="0.3">
      <c r="A1778">
        <v>85401</v>
      </c>
      <c r="B1778">
        <v>105</v>
      </c>
      <c r="C1778" s="452">
        <v>46143</v>
      </c>
      <c r="D1778" t="s">
        <v>557</v>
      </c>
      <c r="E1778">
        <v>25205</v>
      </c>
      <c r="F1778" t="s">
        <v>4850</v>
      </c>
      <c r="G1778">
        <v>4.4000000000000004</v>
      </c>
      <c r="H1778" t="s">
        <v>4744</v>
      </c>
      <c r="I1778" t="s">
        <v>463</v>
      </c>
    </row>
    <row r="1779" spans="1:9" x14ac:dyDescent="0.3">
      <c r="A1779">
        <v>85402</v>
      </c>
      <c r="B1779">
        <v>105</v>
      </c>
      <c r="C1779" s="452">
        <v>46143</v>
      </c>
      <c r="D1779" t="s">
        <v>557</v>
      </c>
      <c r="E1779">
        <v>25358</v>
      </c>
      <c r="F1779" t="s">
        <v>4980</v>
      </c>
      <c r="G1779">
        <v>1</v>
      </c>
      <c r="H1779" t="s">
        <v>4744</v>
      </c>
      <c r="I1779" t="s">
        <v>463</v>
      </c>
    </row>
    <row r="1780" spans="1:9" x14ac:dyDescent="0.3">
      <c r="A1780">
        <v>85403</v>
      </c>
      <c r="B1780">
        <v>105</v>
      </c>
      <c r="C1780" s="452">
        <v>46143</v>
      </c>
      <c r="D1780" t="s">
        <v>557</v>
      </c>
      <c r="E1780">
        <v>25561</v>
      </c>
      <c r="F1780" t="s">
        <v>5095</v>
      </c>
      <c r="G1780">
        <v>4.67</v>
      </c>
      <c r="H1780" t="s">
        <v>4738</v>
      </c>
      <c r="I1780" t="s">
        <v>463</v>
      </c>
    </row>
    <row r="1781" spans="1:9" x14ac:dyDescent="0.3">
      <c r="A1781">
        <v>85404</v>
      </c>
      <c r="B1781">
        <v>105</v>
      </c>
      <c r="C1781" s="452">
        <v>46143</v>
      </c>
      <c r="D1781" t="s">
        <v>557</v>
      </c>
      <c r="E1781">
        <v>25683</v>
      </c>
      <c r="F1781" t="s">
        <v>4928</v>
      </c>
      <c r="G1781">
        <v>4</v>
      </c>
      <c r="H1781" t="s">
        <v>4805</v>
      </c>
      <c r="I1781" t="s">
        <v>463</v>
      </c>
    </row>
    <row r="1782" spans="1:9" x14ac:dyDescent="0.3">
      <c r="A1782">
        <v>85405</v>
      </c>
      <c r="B1782">
        <v>105</v>
      </c>
      <c r="C1782" s="452">
        <v>46143</v>
      </c>
      <c r="D1782" t="s">
        <v>557</v>
      </c>
      <c r="E1782">
        <v>25702</v>
      </c>
      <c r="F1782" t="s">
        <v>5135</v>
      </c>
      <c r="G1782">
        <v>4</v>
      </c>
      <c r="H1782" t="s">
        <v>4805</v>
      </c>
      <c r="I1782" t="s">
        <v>463</v>
      </c>
    </row>
    <row r="1783" spans="1:9" x14ac:dyDescent="0.3">
      <c r="A1783">
        <v>85406</v>
      </c>
      <c r="B1783">
        <v>105</v>
      </c>
      <c r="C1783" s="452">
        <v>46143</v>
      </c>
      <c r="D1783" t="s">
        <v>557</v>
      </c>
      <c r="E1783">
        <v>25748</v>
      </c>
      <c r="F1783" t="s">
        <v>4999</v>
      </c>
      <c r="G1783">
        <v>0.72</v>
      </c>
      <c r="H1783" t="s">
        <v>4749</v>
      </c>
      <c r="I1783" t="s">
        <v>463</v>
      </c>
    </row>
    <row r="1784" spans="1:9" x14ac:dyDescent="0.3">
      <c r="A1784">
        <v>85407</v>
      </c>
      <c r="B1784">
        <v>105</v>
      </c>
      <c r="C1784" s="452">
        <v>46143</v>
      </c>
      <c r="D1784" t="s">
        <v>557</v>
      </c>
      <c r="E1784">
        <v>25750</v>
      </c>
      <c r="F1784" t="s">
        <v>4908</v>
      </c>
      <c r="G1784">
        <v>1</v>
      </c>
      <c r="H1784" t="s">
        <v>4736</v>
      </c>
      <c r="I1784" t="s">
        <v>463</v>
      </c>
    </row>
    <row r="1785" spans="1:9" x14ac:dyDescent="0.3">
      <c r="A1785">
        <v>85408</v>
      </c>
      <c r="B1785">
        <v>105</v>
      </c>
      <c r="C1785" s="452">
        <v>46143</v>
      </c>
      <c r="D1785" t="s">
        <v>557</v>
      </c>
      <c r="E1785">
        <v>25751</v>
      </c>
      <c r="F1785" t="s">
        <v>5169</v>
      </c>
      <c r="G1785">
        <v>14</v>
      </c>
      <c r="H1785" t="s">
        <v>4736</v>
      </c>
      <c r="I1785" t="s">
        <v>463</v>
      </c>
    </row>
    <row r="1786" spans="1:9" x14ac:dyDescent="0.3">
      <c r="A1786">
        <v>85409</v>
      </c>
      <c r="B1786">
        <v>105</v>
      </c>
      <c r="C1786" s="452">
        <v>46143</v>
      </c>
      <c r="D1786" t="s">
        <v>557</v>
      </c>
      <c r="E1786">
        <v>25752</v>
      </c>
      <c r="F1786" t="s">
        <v>5000</v>
      </c>
      <c r="G1786">
        <v>1.1399999999999999</v>
      </c>
      <c r="H1786" t="s">
        <v>4749</v>
      </c>
      <c r="I1786" t="s">
        <v>463</v>
      </c>
    </row>
    <row r="1787" spans="1:9" x14ac:dyDescent="0.3">
      <c r="A1787">
        <v>85410</v>
      </c>
      <c r="B1787">
        <v>105</v>
      </c>
      <c r="C1787" s="452">
        <v>46143</v>
      </c>
      <c r="D1787" t="s">
        <v>557</v>
      </c>
      <c r="E1787">
        <v>25753</v>
      </c>
      <c r="F1787" t="s">
        <v>5144</v>
      </c>
      <c r="G1787">
        <v>14</v>
      </c>
      <c r="H1787" t="s">
        <v>4736</v>
      </c>
      <c r="I1787" t="s">
        <v>463</v>
      </c>
    </row>
    <row r="1788" spans="1:9" x14ac:dyDescent="0.3">
      <c r="A1788">
        <v>85411</v>
      </c>
      <c r="B1788">
        <v>105</v>
      </c>
      <c r="C1788" s="452">
        <v>46143</v>
      </c>
      <c r="D1788" t="s">
        <v>557</v>
      </c>
      <c r="E1788">
        <v>25754</v>
      </c>
      <c r="F1788" t="s">
        <v>5142</v>
      </c>
      <c r="G1788">
        <v>11</v>
      </c>
      <c r="H1788" t="s">
        <v>4736</v>
      </c>
      <c r="I1788" t="s">
        <v>463</v>
      </c>
    </row>
    <row r="1789" spans="1:9" x14ac:dyDescent="0.3">
      <c r="A1789">
        <v>85412</v>
      </c>
      <c r="B1789">
        <v>105</v>
      </c>
      <c r="C1789" s="452">
        <v>46143</v>
      </c>
      <c r="D1789" t="s">
        <v>557</v>
      </c>
      <c r="E1789">
        <v>25755</v>
      </c>
      <c r="F1789" t="s">
        <v>4821</v>
      </c>
      <c r="G1789">
        <v>0.88</v>
      </c>
      <c r="H1789" t="s">
        <v>4749</v>
      </c>
      <c r="I1789" t="s">
        <v>463</v>
      </c>
    </row>
    <row r="1790" spans="1:9" x14ac:dyDescent="0.3">
      <c r="A1790">
        <v>85413</v>
      </c>
      <c r="B1790">
        <v>105</v>
      </c>
      <c r="C1790" s="452">
        <v>46143</v>
      </c>
      <c r="D1790" t="s">
        <v>557</v>
      </c>
      <c r="E1790">
        <v>25756</v>
      </c>
      <c r="F1790" t="s">
        <v>4854</v>
      </c>
      <c r="G1790">
        <v>0.8</v>
      </c>
      <c r="H1790" t="s">
        <v>4749</v>
      </c>
      <c r="I1790" t="s">
        <v>463</v>
      </c>
    </row>
    <row r="1791" spans="1:9" x14ac:dyDescent="0.3">
      <c r="A1791">
        <v>85414</v>
      </c>
      <c r="B1791">
        <v>105</v>
      </c>
      <c r="C1791" s="452">
        <v>46143</v>
      </c>
      <c r="D1791" t="s">
        <v>557</v>
      </c>
      <c r="E1791">
        <v>25758</v>
      </c>
      <c r="F1791" t="s">
        <v>4775</v>
      </c>
      <c r="G1791">
        <v>0.65</v>
      </c>
      <c r="H1791" t="s">
        <v>4736</v>
      </c>
      <c r="I1791" t="s">
        <v>463</v>
      </c>
    </row>
    <row r="1792" spans="1:9" x14ac:dyDescent="0.3">
      <c r="A1792">
        <v>85415</v>
      </c>
      <c r="B1792">
        <v>105</v>
      </c>
      <c r="C1792" s="452">
        <v>46143</v>
      </c>
      <c r="D1792" t="s">
        <v>557</v>
      </c>
      <c r="E1792">
        <v>25763</v>
      </c>
      <c r="F1792" t="s">
        <v>4943</v>
      </c>
      <c r="G1792">
        <v>1</v>
      </c>
      <c r="H1792" t="s">
        <v>4736</v>
      </c>
      <c r="I1792" t="s">
        <v>463</v>
      </c>
    </row>
    <row r="1793" spans="1:9" x14ac:dyDescent="0.3">
      <c r="A1793">
        <v>85416</v>
      </c>
      <c r="B1793">
        <v>105</v>
      </c>
      <c r="C1793" s="452">
        <v>46143</v>
      </c>
      <c r="D1793" t="s">
        <v>557</v>
      </c>
      <c r="E1793">
        <v>25777</v>
      </c>
      <c r="F1793" t="s">
        <v>4774</v>
      </c>
      <c r="G1793">
        <v>26.73</v>
      </c>
      <c r="H1793" t="s">
        <v>4744</v>
      </c>
      <c r="I1793" t="s">
        <v>463</v>
      </c>
    </row>
    <row r="1794" spans="1:9" x14ac:dyDescent="0.3">
      <c r="A1794">
        <v>85417</v>
      </c>
      <c r="B1794">
        <v>105</v>
      </c>
      <c r="C1794" s="452">
        <v>46143</v>
      </c>
      <c r="D1794" t="s">
        <v>557</v>
      </c>
      <c r="E1794">
        <v>25807</v>
      </c>
      <c r="F1794" t="s">
        <v>4951</v>
      </c>
      <c r="G1794">
        <v>1.05</v>
      </c>
      <c r="H1794" t="s">
        <v>4736</v>
      </c>
      <c r="I1794" t="s">
        <v>463</v>
      </c>
    </row>
    <row r="1795" spans="1:9" x14ac:dyDescent="0.3">
      <c r="A1795">
        <v>85418</v>
      </c>
      <c r="B1795">
        <v>105</v>
      </c>
      <c r="C1795" s="452">
        <v>46143</v>
      </c>
      <c r="D1795" t="s">
        <v>557</v>
      </c>
      <c r="E1795">
        <v>26005</v>
      </c>
      <c r="F1795" t="s">
        <v>4907</v>
      </c>
      <c r="G1795">
        <v>3</v>
      </c>
      <c r="H1795" t="s">
        <v>4749</v>
      </c>
      <c r="I1795" t="s">
        <v>463</v>
      </c>
    </row>
    <row r="1796" spans="1:9" x14ac:dyDescent="0.3">
      <c r="A1796">
        <v>85419</v>
      </c>
      <c r="B1796">
        <v>105</v>
      </c>
      <c r="C1796" s="452">
        <v>46143</v>
      </c>
      <c r="D1796" t="s">
        <v>557</v>
      </c>
      <c r="E1796">
        <v>26006</v>
      </c>
      <c r="F1796" t="s">
        <v>4941</v>
      </c>
      <c r="G1796">
        <v>6</v>
      </c>
      <c r="H1796" t="s">
        <v>4749</v>
      </c>
      <c r="I1796" t="s">
        <v>463</v>
      </c>
    </row>
    <row r="1797" spans="1:9" x14ac:dyDescent="0.3">
      <c r="A1797">
        <v>85420</v>
      </c>
      <c r="B1797">
        <v>105</v>
      </c>
      <c r="C1797" s="452">
        <v>46143</v>
      </c>
      <c r="D1797" t="s">
        <v>557</v>
      </c>
      <c r="E1797">
        <v>26014</v>
      </c>
      <c r="F1797" t="s">
        <v>5128</v>
      </c>
      <c r="G1797">
        <v>2.73</v>
      </c>
      <c r="H1797" t="s">
        <v>4805</v>
      </c>
      <c r="I1797" t="s">
        <v>463</v>
      </c>
    </row>
    <row r="1798" spans="1:9" x14ac:dyDescent="0.3">
      <c r="A1798">
        <v>85421</v>
      </c>
      <c r="B1798">
        <v>105</v>
      </c>
      <c r="C1798" s="452">
        <v>46143</v>
      </c>
      <c r="D1798" t="s">
        <v>557</v>
      </c>
      <c r="E1798">
        <v>26020</v>
      </c>
      <c r="F1798" t="s">
        <v>5102</v>
      </c>
      <c r="G1798">
        <v>8</v>
      </c>
      <c r="H1798" t="s">
        <v>4736</v>
      </c>
      <c r="I1798" t="s">
        <v>463</v>
      </c>
    </row>
    <row r="1799" spans="1:9" x14ac:dyDescent="0.3">
      <c r="A1799">
        <v>85422</v>
      </c>
      <c r="B1799">
        <v>105</v>
      </c>
      <c r="C1799" s="452">
        <v>46143</v>
      </c>
      <c r="D1799" t="s">
        <v>557</v>
      </c>
      <c r="E1799">
        <v>26034</v>
      </c>
      <c r="F1799" t="s">
        <v>4828</v>
      </c>
      <c r="G1799">
        <v>7</v>
      </c>
      <c r="H1799" t="s">
        <v>4805</v>
      </c>
      <c r="I1799" t="s">
        <v>463</v>
      </c>
    </row>
    <row r="1800" spans="1:9" x14ac:dyDescent="0.3">
      <c r="A1800">
        <v>85423</v>
      </c>
      <c r="B1800">
        <v>105</v>
      </c>
      <c r="C1800" s="452">
        <v>46143</v>
      </c>
      <c r="D1800" t="s">
        <v>557</v>
      </c>
      <c r="E1800">
        <v>26036</v>
      </c>
      <c r="F1800" t="s">
        <v>4841</v>
      </c>
      <c r="G1800">
        <v>5</v>
      </c>
      <c r="H1800" t="s">
        <v>4805</v>
      </c>
      <c r="I1800" t="s">
        <v>463</v>
      </c>
    </row>
    <row r="1801" spans="1:9" x14ac:dyDescent="0.3">
      <c r="A1801">
        <v>85424</v>
      </c>
      <c r="B1801">
        <v>105</v>
      </c>
      <c r="C1801" s="452">
        <v>46143</v>
      </c>
      <c r="D1801" t="s">
        <v>557</v>
      </c>
      <c r="E1801">
        <v>26038</v>
      </c>
      <c r="F1801" t="s">
        <v>4976</v>
      </c>
      <c r="G1801">
        <v>2</v>
      </c>
      <c r="H1801" t="s">
        <v>4805</v>
      </c>
      <c r="I1801" t="s">
        <v>463</v>
      </c>
    </row>
    <row r="1802" spans="1:9" x14ac:dyDescent="0.3">
      <c r="A1802">
        <v>85425</v>
      </c>
      <c r="B1802">
        <v>105</v>
      </c>
      <c r="C1802" s="452">
        <v>46143</v>
      </c>
      <c r="D1802" t="s">
        <v>557</v>
      </c>
      <c r="E1802">
        <v>26040</v>
      </c>
      <c r="F1802" t="s">
        <v>4812</v>
      </c>
      <c r="G1802">
        <v>8.3000000000000007</v>
      </c>
      <c r="H1802" t="s">
        <v>4805</v>
      </c>
      <c r="I1802" t="s">
        <v>463</v>
      </c>
    </row>
    <row r="1803" spans="1:9" x14ac:dyDescent="0.3">
      <c r="A1803">
        <v>85426</v>
      </c>
      <c r="B1803">
        <v>105</v>
      </c>
      <c r="C1803" s="452">
        <v>46143</v>
      </c>
      <c r="D1803" t="s">
        <v>557</v>
      </c>
      <c r="E1803">
        <v>26044</v>
      </c>
      <c r="F1803" t="s">
        <v>4843</v>
      </c>
      <c r="G1803">
        <v>3</v>
      </c>
      <c r="H1803" t="s">
        <v>4805</v>
      </c>
      <c r="I1803" t="s">
        <v>463</v>
      </c>
    </row>
    <row r="1804" spans="1:9" x14ac:dyDescent="0.3">
      <c r="A1804">
        <v>85427</v>
      </c>
      <c r="B1804">
        <v>105</v>
      </c>
      <c r="C1804" s="452">
        <v>46143</v>
      </c>
      <c r="D1804" t="s">
        <v>557</v>
      </c>
      <c r="E1804">
        <v>26046</v>
      </c>
      <c r="F1804" t="s">
        <v>5148</v>
      </c>
      <c r="G1804">
        <v>3</v>
      </c>
      <c r="H1804" t="s">
        <v>4805</v>
      </c>
      <c r="I1804" t="s">
        <v>463</v>
      </c>
    </row>
    <row r="1805" spans="1:9" x14ac:dyDescent="0.3">
      <c r="A1805">
        <v>85428</v>
      </c>
      <c r="B1805">
        <v>105</v>
      </c>
      <c r="C1805" s="452">
        <v>46143</v>
      </c>
      <c r="D1805" t="s">
        <v>557</v>
      </c>
      <c r="E1805">
        <v>26103</v>
      </c>
      <c r="F1805" t="s">
        <v>4776</v>
      </c>
      <c r="G1805">
        <v>0.9</v>
      </c>
      <c r="H1805" t="s">
        <v>4749</v>
      </c>
      <c r="I1805" t="s">
        <v>463</v>
      </c>
    </row>
    <row r="1806" spans="1:9" x14ac:dyDescent="0.3">
      <c r="A1806">
        <v>85429</v>
      </c>
      <c r="B1806">
        <v>105</v>
      </c>
      <c r="C1806" s="452">
        <v>46143</v>
      </c>
      <c r="D1806" t="s">
        <v>557</v>
      </c>
      <c r="E1806">
        <v>26135</v>
      </c>
      <c r="F1806" t="s">
        <v>4801</v>
      </c>
      <c r="G1806">
        <v>6.78</v>
      </c>
      <c r="H1806" t="s">
        <v>4744</v>
      </c>
      <c r="I1806" t="s">
        <v>463</v>
      </c>
    </row>
    <row r="1807" spans="1:9" x14ac:dyDescent="0.3">
      <c r="A1807">
        <v>85430</v>
      </c>
      <c r="B1807">
        <v>105</v>
      </c>
      <c r="C1807" s="452">
        <v>46143</v>
      </c>
      <c r="D1807" t="s">
        <v>557</v>
      </c>
      <c r="E1807">
        <v>26210</v>
      </c>
      <c r="F1807" t="s">
        <v>4975</v>
      </c>
      <c r="G1807">
        <v>2.04</v>
      </c>
      <c r="H1807" t="s">
        <v>4805</v>
      </c>
      <c r="I1807" t="s">
        <v>463</v>
      </c>
    </row>
    <row r="1808" spans="1:9" x14ac:dyDescent="0.3">
      <c r="A1808">
        <v>85431</v>
      </c>
      <c r="B1808">
        <v>105</v>
      </c>
      <c r="C1808" s="452">
        <v>46143</v>
      </c>
      <c r="D1808" t="s">
        <v>557</v>
      </c>
      <c r="E1808">
        <v>26236</v>
      </c>
      <c r="F1808" t="s">
        <v>5077</v>
      </c>
      <c r="G1808">
        <v>3</v>
      </c>
      <c r="H1808" t="s">
        <v>4805</v>
      </c>
      <c r="I1808" t="s">
        <v>463</v>
      </c>
    </row>
    <row r="1809" spans="1:9" x14ac:dyDescent="0.3">
      <c r="A1809">
        <v>85432</v>
      </c>
      <c r="B1809">
        <v>105</v>
      </c>
      <c r="C1809" s="452">
        <v>46143</v>
      </c>
      <c r="D1809" t="s">
        <v>557</v>
      </c>
      <c r="E1809">
        <v>26505</v>
      </c>
      <c r="F1809" t="s">
        <v>4750</v>
      </c>
      <c r="G1809">
        <v>4.55</v>
      </c>
      <c r="H1809" t="s">
        <v>4738</v>
      </c>
      <c r="I1809" t="s">
        <v>463</v>
      </c>
    </row>
    <row r="1810" spans="1:9" x14ac:dyDescent="0.3">
      <c r="A1810">
        <v>85433</v>
      </c>
      <c r="B1810">
        <v>105</v>
      </c>
      <c r="C1810" s="452">
        <v>46143</v>
      </c>
      <c r="D1810" t="s">
        <v>557</v>
      </c>
      <c r="E1810">
        <v>26592</v>
      </c>
      <c r="F1810" t="s">
        <v>5141</v>
      </c>
      <c r="G1810">
        <v>15.89</v>
      </c>
      <c r="H1810" t="s">
        <v>4744</v>
      </c>
      <c r="I1810" t="s">
        <v>463</v>
      </c>
    </row>
    <row r="1811" spans="1:9" x14ac:dyDescent="0.3">
      <c r="A1811">
        <v>85434</v>
      </c>
      <c r="B1811">
        <v>105</v>
      </c>
      <c r="C1811" s="452">
        <v>46143</v>
      </c>
      <c r="D1811" t="s">
        <v>557</v>
      </c>
      <c r="E1811">
        <v>26679</v>
      </c>
      <c r="F1811" t="s">
        <v>4791</v>
      </c>
      <c r="G1811">
        <v>52.83</v>
      </c>
      <c r="H1811" t="s">
        <v>4744</v>
      </c>
      <c r="I1811" t="s">
        <v>463</v>
      </c>
    </row>
    <row r="1812" spans="1:9" x14ac:dyDescent="0.3">
      <c r="A1812">
        <v>85435</v>
      </c>
      <c r="B1812">
        <v>105</v>
      </c>
      <c r="C1812" s="452">
        <v>46143</v>
      </c>
      <c r="D1812" t="s">
        <v>557</v>
      </c>
      <c r="E1812">
        <v>27018</v>
      </c>
      <c r="F1812" t="s">
        <v>4737</v>
      </c>
      <c r="G1812">
        <v>1.45</v>
      </c>
      <c r="H1812" t="s">
        <v>4738</v>
      </c>
      <c r="I1812" t="s">
        <v>463</v>
      </c>
    </row>
    <row r="1813" spans="1:9" x14ac:dyDescent="0.3">
      <c r="A1813">
        <v>85436</v>
      </c>
      <c r="B1813">
        <v>105</v>
      </c>
      <c r="C1813" s="452">
        <v>46143</v>
      </c>
      <c r="D1813" t="s">
        <v>557</v>
      </c>
      <c r="E1813">
        <v>27264</v>
      </c>
      <c r="F1813" t="s">
        <v>5075</v>
      </c>
      <c r="G1813">
        <v>19.649999999999999</v>
      </c>
      <c r="H1813" t="s">
        <v>4744</v>
      </c>
      <c r="I1813" t="s">
        <v>463</v>
      </c>
    </row>
    <row r="1814" spans="1:9" x14ac:dyDescent="0.3">
      <c r="A1814">
        <v>85437</v>
      </c>
      <c r="B1814">
        <v>105</v>
      </c>
      <c r="C1814" s="452">
        <v>46143</v>
      </c>
      <c r="D1814" t="s">
        <v>557</v>
      </c>
      <c r="E1814">
        <v>27397</v>
      </c>
      <c r="F1814" t="s">
        <v>4913</v>
      </c>
      <c r="G1814">
        <v>4</v>
      </c>
      <c r="H1814" t="s">
        <v>4736</v>
      </c>
      <c r="I1814" t="s">
        <v>463</v>
      </c>
    </row>
    <row r="1815" spans="1:9" x14ac:dyDescent="0.3">
      <c r="A1815">
        <v>85438</v>
      </c>
      <c r="B1815">
        <v>105</v>
      </c>
      <c r="C1815" s="452">
        <v>46143</v>
      </c>
      <c r="D1815" t="s">
        <v>557</v>
      </c>
      <c r="E1815">
        <v>27689</v>
      </c>
      <c r="F1815" t="s">
        <v>5139</v>
      </c>
      <c r="G1815">
        <v>1.25</v>
      </c>
      <c r="H1815" t="s">
        <v>4749</v>
      </c>
      <c r="I1815" t="s">
        <v>463</v>
      </c>
    </row>
    <row r="1816" spans="1:9" x14ac:dyDescent="0.3">
      <c r="A1816">
        <v>85439</v>
      </c>
      <c r="B1816">
        <v>105</v>
      </c>
      <c r="C1816" s="452">
        <v>46143</v>
      </c>
      <c r="D1816" t="s">
        <v>557</v>
      </c>
      <c r="E1816">
        <v>27757</v>
      </c>
      <c r="F1816" t="s">
        <v>4942</v>
      </c>
      <c r="G1816">
        <v>1</v>
      </c>
      <c r="H1816" t="s">
        <v>4749</v>
      </c>
      <c r="I1816" t="s">
        <v>463</v>
      </c>
    </row>
    <row r="1817" spans="1:9" x14ac:dyDescent="0.3">
      <c r="A1817">
        <v>85440</v>
      </c>
      <c r="B1817">
        <v>105</v>
      </c>
      <c r="C1817" s="452">
        <v>46143</v>
      </c>
      <c r="D1817" t="s">
        <v>557</v>
      </c>
      <c r="E1817">
        <v>28222</v>
      </c>
      <c r="F1817" t="s">
        <v>5170</v>
      </c>
      <c r="G1817">
        <v>0.15</v>
      </c>
      <c r="H1817" t="s">
        <v>4744</v>
      </c>
      <c r="I1817" t="s">
        <v>463</v>
      </c>
    </row>
    <row r="1818" spans="1:9" x14ac:dyDescent="0.3">
      <c r="A1818">
        <v>85441</v>
      </c>
      <c r="B1818">
        <v>105</v>
      </c>
      <c r="C1818" s="452">
        <v>46143</v>
      </c>
      <c r="D1818" t="s">
        <v>557</v>
      </c>
      <c r="E1818">
        <v>29081</v>
      </c>
      <c r="F1818" t="s">
        <v>5152</v>
      </c>
      <c r="G1818">
        <v>1</v>
      </c>
      <c r="H1818" t="s">
        <v>4749</v>
      </c>
      <c r="I1818" t="s">
        <v>463</v>
      </c>
    </row>
    <row r="1819" spans="1:9" x14ac:dyDescent="0.3">
      <c r="A1819">
        <v>85442</v>
      </c>
      <c r="B1819">
        <v>105</v>
      </c>
      <c r="C1819" s="452">
        <v>46143</v>
      </c>
      <c r="D1819" t="s">
        <v>557</v>
      </c>
      <c r="E1819">
        <v>29082</v>
      </c>
      <c r="F1819" t="s">
        <v>5171</v>
      </c>
      <c r="G1819">
        <v>4</v>
      </c>
      <c r="H1819" t="s">
        <v>4736</v>
      </c>
      <c r="I1819" t="s">
        <v>463</v>
      </c>
    </row>
    <row r="1820" spans="1:9" x14ac:dyDescent="0.3">
      <c r="A1820">
        <v>85443</v>
      </c>
      <c r="B1820">
        <v>105</v>
      </c>
      <c r="C1820" s="452">
        <v>46143</v>
      </c>
      <c r="D1820" t="s">
        <v>557</v>
      </c>
      <c r="E1820">
        <v>29083</v>
      </c>
      <c r="F1820" t="s">
        <v>5153</v>
      </c>
      <c r="G1820">
        <v>1</v>
      </c>
      <c r="H1820" t="s">
        <v>4736</v>
      </c>
      <c r="I1820" t="s">
        <v>463</v>
      </c>
    </row>
    <row r="1821" spans="1:9" x14ac:dyDescent="0.3">
      <c r="A1821">
        <v>85444</v>
      </c>
      <c r="B1821">
        <v>105</v>
      </c>
      <c r="C1821" s="452">
        <v>46143</v>
      </c>
      <c r="D1821" t="s">
        <v>557</v>
      </c>
      <c r="E1821">
        <v>29084</v>
      </c>
      <c r="F1821" t="s">
        <v>5154</v>
      </c>
      <c r="G1821">
        <v>0.75</v>
      </c>
      <c r="H1821" t="s">
        <v>4736</v>
      </c>
      <c r="I1821" t="s">
        <v>463</v>
      </c>
    </row>
    <row r="1822" spans="1:9" x14ac:dyDescent="0.3">
      <c r="A1822">
        <v>85445</v>
      </c>
      <c r="B1822">
        <v>105</v>
      </c>
      <c r="C1822" s="452">
        <v>46143</v>
      </c>
      <c r="D1822" t="s">
        <v>557</v>
      </c>
      <c r="E1822">
        <v>29086</v>
      </c>
      <c r="F1822" t="s">
        <v>5172</v>
      </c>
      <c r="G1822">
        <v>9</v>
      </c>
      <c r="H1822" t="s">
        <v>4736</v>
      </c>
      <c r="I1822" t="s">
        <v>463</v>
      </c>
    </row>
    <row r="1823" spans="1:9" x14ac:dyDescent="0.3">
      <c r="A1823">
        <v>85446</v>
      </c>
      <c r="B1823">
        <v>105</v>
      </c>
      <c r="C1823" s="452">
        <v>46143</v>
      </c>
      <c r="D1823" t="s">
        <v>557</v>
      </c>
      <c r="E1823">
        <v>29087</v>
      </c>
      <c r="F1823" t="s">
        <v>5155</v>
      </c>
      <c r="G1823">
        <v>1.71</v>
      </c>
      <c r="H1823" t="s">
        <v>4736</v>
      </c>
      <c r="I1823" t="s">
        <v>463</v>
      </c>
    </row>
    <row r="1824" spans="1:9" x14ac:dyDescent="0.3">
      <c r="A1824">
        <v>85447</v>
      </c>
      <c r="B1824">
        <v>105</v>
      </c>
      <c r="C1824" s="452">
        <v>46143</v>
      </c>
      <c r="D1824" t="s">
        <v>557</v>
      </c>
      <c r="E1824">
        <v>29225</v>
      </c>
      <c r="F1824" t="s">
        <v>5173</v>
      </c>
      <c r="G1824">
        <v>4.91</v>
      </c>
      <c r="H1824" t="s">
        <v>4736</v>
      </c>
      <c r="I1824" t="s">
        <v>463</v>
      </c>
    </row>
    <row r="1825" spans="1:9" x14ac:dyDescent="0.3">
      <c r="A1825">
        <v>90404</v>
      </c>
      <c r="B1825">
        <v>105</v>
      </c>
      <c r="C1825" s="452">
        <v>46174</v>
      </c>
      <c r="D1825" t="s">
        <v>557</v>
      </c>
      <c r="E1825">
        <v>16973</v>
      </c>
      <c r="F1825" t="s">
        <v>4827</v>
      </c>
      <c r="G1825">
        <v>4</v>
      </c>
      <c r="H1825" t="s">
        <v>4749</v>
      </c>
      <c r="I1825" t="s">
        <v>464</v>
      </c>
    </row>
    <row r="1826" spans="1:9" x14ac:dyDescent="0.3">
      <c r="A1826">
        <v>90405</v>
      </c>
      <c r="B1826">
        <v>105</v>
      </c>
      <c r="C1826" s="452">
        <v>46174</v>
      </c>
      <c r="D1826" t="s">
        <v>557</v>
      </c>
      <c r="E1826">
        <v>17062</v>
      </c>
      <c r="F1826" t="s">
        <v>4880</v>
      </c>
      <c r="G1826">
        <v>4.3</v>
      </c>
      <c r="H1826" t="s">
        <v>4879</v>
      </c>
      <c r="I1826" t="s">
        <v>464</v>
      </c>
    </row>
    <row r="1827" spans="1:9" x14ac:dyDescent="0.3">
      <c r="A1827">
        <v>90406</v>
      </c>
      <c r="B1827">
        <v>105</v>
      </c>
      <c r="C1827" s="452">
        <v>46174</v>
      </c>
      <c r="D1827" t="s">
        <v>557</v>
      </c>
      <c r="E1827">
        <v>17092</v>
      </c>
      <c r="F1827" t="s">
        <v>5146</v>
      </c>
      <c r="G1827">
        <v>3</v>
      </c>
      <c r="H1827" t="s">
        <v>4736</v>
      </c>
      <c r="I1827" t="s">
        <v>464</v>
      </c>
    </row>
    <row r="1828" spans="1:9" x14ac:dyDescent="0.3">
      <c r="A1828">
        <v>90407</v>
      </c>
      <c r="B1828">
        <v>105</v>
      </c>
      <c r="C1828" s="452">
        <v>46174</v>
      </c>
      <c r="D1828" t="s">
        <v>557</v>
      </c>
      <c r="E1828">
        <v>17578</v>
      </c>
      <c r="F1828" t="s">
        <v>4842</v>
      </c>
      <c r="G1828">
        <v>4</v>
      </c>
      <c r="H1828" t="s">
        <v>4805</v>
      </c>
      <c r="I1828" t="s">
        <v>464</v>
      </c>
    </row>
    <row r="1829" spans="1:9" x14ac:dyDescent="0.3">
      <c r="A1829">
        <v>90408</v>
      </c>
      <c r="B1829">
        <v>105</v>
      </c>
      <c r="C1829" s="452">
        <v>46174</v>
      </c>
      <c r="D1829" t="s">
        <v>557</v>
      </c>
      <c r="E1829">
        <v>17658</v>
      </c>
      <c r="F1829" t="s">
        <v>4978</v>
      </c>
      <c r="G1829">
        <v>4</v>
      </c>
      <c r="H1829" t="s">
        <v>4805</v>
      </c>
      <c r="I1829" t="s">
        <v>464</v>
      </c>
    </row>
    <row r="1830" spans="1:9" x14ac:dyDescent="0.3">
      <c r="A1830">
        <v>90409</v>
      </c>
      <c r="B1830">
        <v>105</v>
      </c>
      <c r="C1830" s="452">
        <v>46174</v>
      </c>
      <c r="D1830" t="s">
        <v>557</v>
      </c>
      <c r="E1830">
        <v>17721</v>
      </c>
      <c r="F1830" t="s">
        <v>4977</v>
      </c>
      <c r="G1830">
        <v>1</v>
      </c>
      <c r="H1830" t="s">
        <v>4805</v>
      </c>
      <c r="I1830" t="s">
        <v>464</v>
      </c>
    </row>
    <row r="1831" spans="1:9" x14ac:dyDescent="0.3">
      <c r="A1831">
        <v>90410</v>
      </c>
      <c r="B1831">
        <v>105</v>
      </c>
      <c r="C1831" s="452">
        <v>46174</v>
      </c>
      <c r="D1831" t="s">
        <v>557</v>
      </c>
      <c r="E1831">
        <v>17878</v>
      </c>
      <c r="F1831" t="s">
        <v>4926</v>
      </c>
      <c r="G1831">
        <v>2</v>
      </c>
      <c r="H1831" t="s">
        <v>4736</v>
      </c>
      <c r="I1831" t="s">
        <v>464</v>
      </c>
    </row>
    <row r="1832" spans="1:9" x14ac:dyDescent="0.3">
      <c r="A1832">
        <v>90411</v>
      </c>
      <c r="B1832">
        <v>105</v>
      </c>
      <c r="C1832" s="452">
        <v>46174</v>
      </c>
      <c r="D1832" t="s">
        <v>557</v>
      </c>
      <c r="E1832">
        <v>17881</v>
      </c>
      <c r="F1832" t="s">
        <v>5103</v>
      </c>
      <c r="G1832">
        <v>6.75</v>
      </c>
      <c r="H1832" t="s">
        <v>4738</v>
      </c>
      <c r="I1832" t="s">
        <v>464</v>
      </c>
    </row>
    <row r="1833" spans="1:9" x14ac:dyDescent="0.3">
      <c r="A1833">
        <v>90412</v>
      </c>
      <c r="B1833">
        <v>105</v>
      </c>
      <c r="C1833" s="452">
        <v>46174</v>
      </c>
      <c r="D1833" t="s">
        <v>557</v>
      </c>
      <c r="E1833">
        <v>17883</v>
      </c>
      <c r="F1833" t="s">
        <v>5113</v>
      </c>
      <c r="G1833">
        <v>5.5</v>
      </c>
      <c r="H1833" t="s">
        <v>4738</v>
      </c>
      <c r="I1833" t="s">
        <v>464</v>
      </c>
    </row>
    <row r="1834" spans="1:9" x14ac:dyDescent="0.3">
      <c r="A1834">
        <v>90413</v>
      </c>
      <c r="B1834">
        <v>105</v>
      </c>
      <c r="C1834" s="452">
        <v>46174</v>
      </c>
      <c r="D1834" t="s">
        <v>557</v>
      </c>
      <c r="E1834">
        <v>17886</v>
      </c>
      <c r="F1834" t="s">
        <v>5083</v>
      </c>
      <c r="G1834">
        <v>7.6</v>
      </c>
      <c r="H1834" t="s">
        <v>4738</v>
      </c>
      <c r="I1834" t="s">
        <v>464</v>
      </c>
    </row>
    <row r="1835" spans="1:9" x14ac:dyDescent="0.3">
      <c r="A1835">
        <v>90414</v>
      </c>
      <c r="B1835">
        <v>105</v>
      </c>
      <c r="C1835" s="452">
        <v>46174</v>
      </c>
      <c r="D1835" t="s">
        <v>557</v>
      </c>
      <c r="E1835">
        <v>17895</v>
      </c>
      <c r="F1835" t="s">
        <v>5086</v>
      </c>
      <c r="G1835">
        <v>10.75</v>
      </c>
      <c r="H1835" t="s">
        <v>4738</v>
      </c>
      <c r="I1835" t="s">
        <v>464</v>
      </c>
    </row>
    <row r="1836" spans="1:9" x14ac:dyDescent="0.3">
      <c r="A1836">
        <v>90415</v>
      </c>
      <c r="B1836">
        <v>105</v>
      </c>
      <c r="C1836" s="452">
        <v>46174</v>
      </c>
      <c r="D1836" t="s">
        <v>557</v>
      </c>
      <c r="E1836">
        <v>17903</v>
      </c>
      <c r="F1836" t="s">
        <v>5084</v>
      </c>
      <c r="G1836">
        <v>11.6</v>
      </c>
      <c r="H1836" t="s">
        <v>4738</v>
      </c>
      <c r="I1836" t="s">
        <v>464</v>
      </c>
    </row>
    <row r="1837" spans="1:9" x14ac:dyDescent="0.3">
      <c r="A1837">
        <v>90416</v>
      </c>
      <c r="B1837">
        <v>105</v>
      </c>
      <c r="C1837" s="452">
        <v>46174</v>
      </c>
      <c r="D1837" t="s">
        <v>557</v>
      </c>
      <c r="E1837">
        <v>17905</v>
      </c>
      <c r="F1837" t="s">
        <v>5085</v>
      </c>
      <c r="G1837">
        <v>17.420000000000002</v>
      </c>
      <c r="H1837" t="s">
        <v>4738</v>
      </c>
      <c r="I1837" t="s">
        <v>464</v>
      </c>
    </row>
    <row r="1838" spans="1:9" x14ac:dyDescent="0.3">
      <c r="A1838">
        <v>90417</v>
      </c>
      <c r="B1838">
        <v>105</v>
      </c>
      <c r="C1838" s="452">
        <v>46174</v>
      </c>
      <c r="D1838" t="s">
        <v>557</v>
      </c>
      <c r="E1838">
        <v>17915</v>
      </c>
      <c r="F1838" t="s">
        <v>5104</v>
      </c>
      <c r="G1838">
        <v>1</v>
      </c>
      <c r="H1838" t="s">
        <v>4738</v>
      </c>
      <c r="I1838" t="s">
        <v>464</v>
      </c>
    </row>
    <row r="1839" spans="1:9" x14ac:dyDescent="0.3">
      <c r="A1839">
        <v>90418</v>
      </c>
      <c r="B1839">
        <v>105</v>
      </c>
      <c r="C1839" s="452">
        <v>46174</v>
      </c>
      <c r="D1839" t="s">
        <v>557</v>
      </c>
      <c r="E1839">
        <v>17917</v>
      </c>
      <c r="F1839" t="s">
        <v>5098</v>
      </c>
      <c r="G1839">
        <v>2.42</v>
      </c>
      <c r="H1839" t="s">
        <v>4738</v>
      </c>
      <c r="I1839" t="s">
        <v>464</v>
      </c>
    </row>
    <row r="1840" spans="1:9" x14ac:dyDescent="0.3">
      <c r="A1840">
        <v>90419</v>
      </c>
      <c r="B1840">
        <v>105</v>
      </c>
      <c r="C1840" s="452">
        <v>46174</v>
      </c>
      <c r="D1840" t="s">
        <v>557</v>
      </c>
      <c r="E1840">
        <v>17950</v>
      </c>
      <c r="F1840" t="s">
        <v>5091</v>
      </c>
      <c r="G1840">
        <v>25.16</v>
      </c>
      <c r="H1840" t="s">
        <v>4738</v>
      </c>
      <c r="I1840" t="s">
        <v>464</v>
      </c>
    </row>
    <row r="1841" spans="1:9" x14ac:dyDescent="0.3">
      <c r="A1841">
        <v>90420</v>
      </c>
      <c r="B1841">
        <v>105</v>
      </c>
      <c r="C1841" s="452">
        <v>46174</v>
      </c>
      <c r="D1841" t="s">
        <v>557</v>
      </c>
      <c r="E1841">
        <v>17958</v>
      </c>
      <c r="F1841" t="s">
        <v>5076</v>
      </c>
      <c r="G1841">
        <v>27.33</v>
      </c>
      <c r="H1841" t="s">
        <v>4738</v>
      </c>
      <c r="I1841" t="s">
        <v>464</v>
      </c>
    </row>
    <row r="1842" spans="1:9" x14ac:dyDescent="0.3">
      <c r="A1842">
        <v>90421</v>
      </c>
      <c r="B1842">
        <v>105</v>
      </c>
      <c r="C1842" s="452">
        <v>46174</v>
      </c>
      <c r="D1842" t="s">
        <v>557</v>
      </c>
      <c r="E1842">
        <v>18004</v>
      </c>
      <c r="F1842" t="s">
        <v>5093</v>
      </c>
      <c r="G1842">
        <v>6.92</v>
      </c>
      <c r="H1842" t="s">
        <v>4738</v>
      </c>
      <c r="I1842" t="s">
        <v>464</v>
      </c>
    </row>
    <row r="1843" spans="1:9" x14ac:dyDescent="0.3">
      <c r="A1843">
        <v>90422</v>
      </c>
      <c r="B1843">
        <v>105</v>
      </c>
      <c r="C1843" s="452">
        <v>46174</v>
      </c>
      <c r="D1843" t="s">
        <v>557</v>
      </c>
      <c r="E1843">
        <v>18006</v>
      </c>
      <c r="F1843" t="s">
        <v>5094</v>
      </c>
      <c r="G1843">
        <v>5.66</v>
      </c>
      <c r="H1843" t="s">
        <v>4738</v>
      </c>
      <c r="I1843" t="s">
        <v>464</v>
      </c>
    </row>
    <row r="1844" spans="1:9" x14ac:dyDescent="0.3">
      <c r="A1844">
        <v>90423</v>
      </c>
      <c r="B1844">
        <v>105</v>
      </c>
      <c r="C1844" s="452">
        <v>46174</v>
      </c>
      <c r="D1844" t="s">
        <v>557</v>
      </c>
      <c r="E1844">
        <v>18030</v>
      </c>
      <c r="F1844" t="s">
        <v>4840</v>
      </c>
      <c r="G1844">
        <v>12.01</v>
      </c>
      <c r="H1844" t="s">
        <v>4805</v>
      </c>
      <c r="I1844" t="s">
        <v>464</v>
      </c>
    </row>
    <row r="1845" spans="1:9" x14ac:dyDescent="0.3">
      <c r="A1845">
        <v>90424</v>
      </c>
      <c r="B1845">
        <v>105</v>
      </c>
      <c r="C1845" s="452">
        <v>46174</v>
      </c>
      <c r="D1845" t="s">
        <v>557</v>
      </c>
      <c r="E1845">
        <v>18073</v>
      </c>
      <c r="F1845" t="s">
        <v>4974</v>
      </c>
      <c r="G1845">
        <v>1.1399999999999999</v>
      </c>
      <c r="H1845" t="s">
        <v>4805</v>
      </c>
      <c r="I1845" t="s">
        <v>464</v>
      </c>
    </row>
    <row r="1846" spans="1:9" x14ac:dyDescent="0.3">
      <c r="A1846">
        <v>90425</v>
      </c>
      <c r="B1846">
        <v>105</v>
      </c>
      <c r="C1846" s="452">
        <v>46174</v>
      </c>
      <c r="D1846" t="s">
        <v>557</v>
      </c>
      <c r="E1846">
        <v>18085</v>
      </c>
      <c r="F1846" t="s">
        <v>4973</v>
      </c>
      <c r="G1846">
        <v>1.28</v>
      </c>
      <c r="H1846" t="s">
        <v>4805</v>
      </c>
      <c r="I1846" t="s">
        <v>464</v>
      </c>
    </row>
    <row r="1847" spans="1:9" x14ac:dyDescent="0.3">
      <c r="A1847">
        <v>90426</v>
      </c>
      <c r="B1847">
        <v>105</v>
      </c>
      <c r="C1847" s="452">
        <v>46174</v>
      </c>
      <c r="D1847" t="s">
        <v>557</v>
      </c>
      <c r="E1847">
        <v>18111</v>
      </c>
      <c r="F1847" t="s">
        <v>5049</v>
      </c>
      <c r="G1847">
        <v>1.9</v>
      </c>
      <c r="H1847" t="s">
        <v>4805</v>
      </c>
      <c r="I1847" t="s">
        <v>464</v>
      </c>
    </row>
    <row r="1848" spans="1:9" x14ac:dyDescent="0.3">
      <c r="A1848">
        <v>90427</v>
      </c>
      <c r="B1848">
        <v>105</v>
      </c>
      <c r="C1848" s="452">
        <v>46174</v>
      </c>
      <c r="D1848" t="s">
        <v>557</v>
      </c>
      <c r="E1848">
        <v>18114</v>
      </c>
      <c r="F1848" t="s">
        <v>5046</v>
      </c>
      <c r="G1848">
        <v>1</v>
      </c>
      <c r="H1848" t="s">
        <v>4805</v>
      </c>
      <c r="I1848" t="s">
        <v>464</v>
      </c>
    </row>
    <row r="1849" spans="1:9" x14ac:dyDescent="0.3">
      <c r="A1849">
        <v>90428</v>
      </c>
      <c r="B1849">
        <v>105</v>
      </c>
      <c r="C1849" s="452">
        <v>46174</v>
      </c>
      <c r="D1849" t="s">
        <v>557</v>
      </c>
      <c r="E1849">
        <v>18116</v>
      </c>
      <c r="F1849" t="s">
        <v>5045</v>
      </c>
      <c r="G1849">
        <v>1.26</v>
      </c>
      <c r="H1849" t="s">
        <v>4805</v>
      </c>
      <c r="I1849" t="s">
        <v>464</v>
      </c>
    </row>
    <row r="1850" spans="1:9" x14ac:dyDescent="0.3">
      <c r="A1850">
        <v>90429</v>
      </c>
      <c r="B1850">
        <v>105</v>
      </c>
      <c r="C1850" s="452">
        <v>46174</v>
      </c>
      <c r="D1850" t="s">
        <v>557</v>
      </c>
      <c r="E1850">
        <v>18119</v>
      </c>
      <c r="F1850" t="s">
        <v>5044</v>
      </c>
      <c r="G1850">
        <v>1.1000000000000001</v>
      </c>
      <c r="H1850" t="s">
        <v>4805</v>
      </c>
      <c r="I1850" t="s">
        <v>464</v>
      </c>
    </row>
    <row r="1851" spans="1:9" x14ac:dyDescent="0.3">
      <c r="A1851">
        <v>90430</v>
      </c>
      <c r="B1851">
        <v>105</v>
      </c>
      <c r="C1851" s="452">
        <v>46174</v>
      </c>
      <c r="D1851" t="s">
        <v>557</v>
      </c>
      <c r="E1851">
        <v>18129</v>
      </c>
      <c r="F1851" t="s">
        <v>5043</v>
      </c>
      <c r="G1851">
        <v>1.55</v>
      </c>
      <c r="H1851" t="s">
        <v>4805</v>
      </c>
      <c r="I1851" t="s">
        <v>464</v>
      </c>
    </row>
    <row r="1852" spans="1:9" x14ac:dyDescent="0.3">
      <c r="A1852">
        <v>90431</v>
      </c>
      <c r="B1852">
        <v>105</v>
      </c>
      <c r="C1852" s="452">
        <v>46174</v>
      </c>
      <c r="D1852" t="s">
        <v>557</v>
      </c>
      <c r="E1852">
        <v>18146</v>
      </c>
      <c r="F1852" t="s">
        <v>5112</v>
      </c>
      <c r="G1852">
        <v>1.55</v>
      </c>
      <c r="H1852" t="s">
        <v>4805</v>
      </c>
      <c r="I1852" t="s">
        <v>464</v>
      </c>
    </row>
    <row r="1853" spans="1:9" x14ac:dyDescent="0.3">
      <c r="A1853">
        <v>90432</v>
      </c>
      <c r="B1853">
        <v>105</v>
      </c>
      <c r="C1853" s="452">
        <v>46174</v>
      </c>
      <c r="D1853" t="s">
        <v>557</v>
      </c>
      <c r="E1853">
        <v>18157</v>
      </c>
      <c r="F1853" t="s">
        <v>5041</v>
      </c>
      <c r="G1853">
        <v>0.87</v>
      </c>
      <c r="H1853" t="s">
        <v>4805</v>
      </c>
      <c r="I1853" t="s">
        <v>464</v>
      </c>
    </row>
    <row r="1854" spans="1:9" x14ac:dyDescent="0.3">
      <c r="A1854">
        <v>90433</v>
      </c>
      <c r="B1854">
        <v>105</v>
      </c>
      <c r="C1854" s="452">
        <v>46174</v>
      </c>
      <c r="D1854" t="s">
        <v>557</v>
      </c>
      <c r="E1854">
        <v>18172</v>
      </c>
      <c r="F1854" t="s">
        <v>4804</v>
      </c>
      <c r="G1854">
        <v>16.02</v>
      </c>
      <c r="H1854" t="s">
        <v>4805</v>
      </c>
      <c r="I1854" t="s">
        <v>464</v>
      </c>
    </row>
    <row r="1855" spans="1:9" x14ac:dyDescent="0.3">
      <c r="A1855">
        <v>90434</v>
      </c>
      <c r="B1855">
        <v>105</v>
      </c>
      <c r="C1855" s="452">
        <v>46174</v>
      </c>
      <c r="D1855" t="s">
        <v>557</v>
      </c>
      <c r="E1855">
        <v>18179</v>
      </c>
      <c r="F1855" t="s">
        <v>4924</v>
      </c>
      <c r="G1855">
        <v>2</v>
      </c>
      <c r="H1855" t="s">
        <v>4805</v>
      </c>
      <c r="I1855" t="s">
        <v>464</v>
      </c>
    </row>
    <row r="1856" spans="1:9" x14ac:dyDescent="0.3">
      <c r="A1856">
        <v>90435</v>
      </c>
      <c r="B1856">
        <v>105</v>
      </c>
      <c r="C1856" s="452">
        <v>46174</v>
      </c>
      <c r="D1856" t="s">
        <v>557</v>
      </c>
      <c r="E1856">
        <v>18194</v>
      </c>
      <c r="F1856" t="s">
        <v>4923</v>
      </c>
      <c r="G1856">
        <v>2.5</v>
      </c>
      <c r="H1856" t="s">
        <v>4805</v>
      </c>
      <c r="I1856" t="s">
        <v>464</v>
      </c>
    </row>
    <row r="1857" spans="1:9" x14ac:dyDescent="0.3">
      <c r="A1857">
        <v>90436</v>
      </c>
      <c r="B1857">
        <v>105</v>
      </c>
      <c r="C1857" s="452">
        <v>46174</v>
      </c>
      <c r="D1857" t="s">
        <v>557</v>
      </c>
      <c r="E1857">
        <v>18212</v>
      </c>
      <c r="F1857" t="s">
        <v>5040</v>
      </c>
      <c r="G1857">
        <v>0.26</v>
      </c>
      <c r="H1857" t="s">
        <v>4805</v>
      </c>
      <c r="I1857" t="s">
        <v>464</v>
      </c>
    </row>
    <row r="1858" spans="1:9" x14ac:dyDescent="0.3">
      <c r="A1858">
        <v>90437</v>
      </c>
      <c r="B1858">
        <v>105</v>
      </c>
      <c r="C1858" s="452">
        <v>46174</v>
      </c>
      <c r="D1858" t="s">
        <v>557</v>
      </c>
      <c r="E1858">
        <v>18214</v>
      </c>
      <c r="F1858" t="s">
        <v>5039</v>
      </c>
      <c r="G1858">
        <v>1</v>
      </c>
      <c r="H1858" t="s">
        <v>4805</v>
      </c>
      <c r="I1858" t="s">
        <v>464</v>
      </c>
    </row>
    <row r="1859" spans="1:9" x14ac:dyDescent="0.3">
      <c r="A1859">
        <v>90438</v>
      </c>
      <c r="B1859">
        <v>105</v>
      </c>
      <c r="C1859" s="452">
        <v>46174</v>
      </c>
      <c r="D1859" t="s">
        <v>557</v>
      </c>
      <c r="E1859">
        <v>18220</v>
      </c>
      <c r="F1859" t="s">
        <v>5147</v>
      </c>
      <c r="G1859">
        <v>2.6</v>
      </c>
      <c r="H1859" t="s">
        <v>4805</v>
      </c>
      <c r="I1859" t="s">
        <v>464</v>
      </c>
    </row>
    <row r="1860" spans="1:9" x14ac:dyDescent="0.3">
      <c r="A1860">
        <v>90439</v>
      </c>
      <c r="B1860">
        <v>105</v>
      </c>
      <c r="C1860" s="452">
        <v>46174</v>
      </c>
      <c r="D1860" t="s">
        <v>557</v>
      </c>
      <c r="E1860">
        <v>18232</v>
      </c>
      <c r="F1860" t="s">
        <v>4971</v>
      </c>
      <c r="G1860">
        <v>1.86</v>
      </c>
      <c r="H1860" t="s">
        <v>4805</v>
      </c>
      <c r="I1860" t="s">
        <v>464</v>
      </c>
    </row>
    <row r="1861" spans="1:9" x14ac:dyDescent="0.3">
      <c r="A1861">
        <v>90440</v>
      </c>
      <c r="B1861">
        <v>105</v>
      </c>
      <c r="C1861" s="452">
        <v>46174</v>
      </c>
      <c r="D1861" t="s">
        <v>557</v>
      </c>
      <c r="E1861">
        <v>18233</v>
      </c>
      <c r="F1861" t="s">
        <v>4970</v>
      </c>
      <c r="G1861">
        <v>1.66</v>
      </c>
      <c r="H1861" t="s">
        <v>4805</v>
      </c>
      <c r="I1861" t="s">
        <v>464</v>
      </c>
    </row>
    <row r="1862" spans="1:9" x14ac:dyDescent="0.3">
      <c r="A1862">
        <v>90441</v>
      </c>
      <c r="B1862">
        <v>105</v>
      </c>
      <c r="C1862" s="452">
        <v>46174</v>
      </c>
      <c r="D1862" t="s">
        <v>557</v>
      </c>
      <c r="E1862">
        <v>18253</v>
      </c>
      <c r="F1862" t="s">
        <v>4969</v>
      </c>
      <c r="G1862">
        <v>5.3</v>
      </c>
      <c r="H1862" t="s">
        <v>4805</v>
      </c>
      <c r="I1862" t="s">
        <v>464</v>
      </c>
    </row>
    <row r="1863" spans="1:9" x14ac:dyDescent="0.3">
      <c r="A1863">
        <v>90442</v>
      </c>
      <c r="B1863">
        <v>105</v>
      </c>
      <c r="C1863" s="452">
        <v>46174</v>
      </c>
      <c r="D1863" t="s">
        <v>557</v>
      </c>
      <c r="E1863">
        <v>18273</v>
      </c>
      <c r="F1863" t="s">
        <v>5058</v>
      </c>
      <c r="G1863">
        <v>1.25</v>
      </c>
      <c r="H1863" t="s">
        <v>4805</v>
      </c>
      <c r="I1863" t="s">
        <v>464</v>
      </c>
    </row>
    <row r="1864" spans="1:9" x14ac:dyDescent="0.3">
      <c r="A1864">
        <v>90443</v>
      </c>
      <c r="B1864">
        <v>105</v>
      </c>
      <c r="C1864" s="452">
        <v>46174</v>
      </c>
      <c r="D1864" t="s">
        <v>557</v>
      </c>
      <c r="E1864">
        <v>18289</v>
      </c>
      <c r="F1864" t="s">
        <v>5036</v>
      </c>
      <c r="G1864">
        <v>1.1399999999999999</v>
      </c>
      <c r="H1864" t="s">
        <v>4736</v>
      </c>
      <c r="I1864" t="s">
        <v>464</v>
      </c>
    </row>
    <row r="1865" spans="1:9" x14ac:dyDescent="0.3">
      <c r="A1865">
        <v>90444</v>
      </c>
      <c r="B1865">
        <v>105</v>
      </c>
      <c r="C1865" s="452">
        <v>46174</v>
      </c>
      <c r="D1865" t="s">
        <v>557</v>
      </c>
      <c r="E1865">
        <v>18293</v>
      </c>
      <c r="F1865" t="s">
        <v>5034</v>
      </c>
      <c r="G1865">
        <v>1</v>
      </c>
      <c r="H1865" t="s">
        <v>4805</v>
      </c>
      <c r="I1865" t="s">
        <v>464</v>
      </c>
    </row>
    <row r="1866" spans="1:9" x14ac:dyDescent="0.3">
      <c r="A1866">
        <v>90445</v>
      </c>
      <c r="B1866">
        <v>105</v>
      </c>
      <c r="C1866" s="452">
        <v>46174</v>
      </c>
      <c r="D1866" t="s">
        <v>557</v>
      </c>
      <c r="E1866">
        <v>18295</v>
      </c>
      <c r="F1866" t="s">
        <v>4968</v>
      </c>
      <c r="G1866">
        <v>2.2799999999999998</v>
      </c>
      <c r="H1866" t="s">
        <v>4805</v>
      </c>
      <c r="I1866" t="s">
        <v>464</v>
      </c>
    </row>
    <row r="1867" spans="1:9" x14ac:dyDescent="0.3">
      <c r="A1867">
        <v>90446</v>
      </c>
      <c r="B1867">
        <v>105</v>
      </c>
      <c r="C1867" s="452">
        <v>46174</v>
      </c>
      <c r="D1867" t="s">
        <v>557</v>
      </c>
      <c r="E1867">
        <v>18312</v>
      </c>
      <c r="F1867" t="s">
        <v>5037</v>
      </c>
      <c r="G1867">
        <v>0.85</v>
      </c>
      <c r="H1867" t="s">
        <v>4805</v>
      </c>
      <c r="I1867" t="s">
        <v>464</v>
      </c>
    </row>
    <row r="1868" spans="1:9" x14ac:dyDescent="0.3">
      <c r="A1868">
        <v>90447</v>
      </c>
      <c r="B1868">
        <v>105</v>
      </c>
      <c r="C1868" s="452">
        <v>46174</v>
      </c>
      <c r="D1868" t="s">
        <v>557</v>
      </c>
      <c r="E1868">
        <v>18315</v>
      </c>
      <c r="F1868" t="s">
        <v>4922</v>
      </c>
      <c r="G1868">
        <v>3</v>
      </c>
      <c r="H1868" t="s">
        <v>4805</v>
      </c>
      <c r="I1868" t="s">
        <v>464</v>
      </c>
    </row>
    <row r="1869" spans="1:9" x14ac:dyDescent="0.3">
      <c r="A1869">
        <v>90448</v>
      </c>
      <c r="B1869">
        <v>105</v>
      </c>
      <c r="C1869" s="452">
        <v>46174</v>
      </c>
      <c r="D1869" t="s">
        <v>557</v>
      </c>
      <c r="E1869">
        <v>18317</v>
      </c>
      <c r="F1869" t="s">
        <v>5056</v>
      </c>
      <c r="G1869">
        <v>0.5</v>
      </c>
      <c r="H1869" t="s">
        <v>4805</v>
      </c>
      <c r="I1869" t="s">
        <v>464</v>
      </c>
    </row>
    <row r="1870" spans="1:9" x14ac:dyDescent="0.3">
      <c r="A1870">
        <v>90449</v>
      </c>
      <c r="B1870">
        <v>105</v>
      </c>
      <c r="C1870" s="452">
        <v>46174</v>
      </c>
      <c r="D1870" t="s">
        <v>557</v>
      </c>
      <c r="E1870">
        <v>18327</v>
      </c>
      <c r="F1870" t="s">
        <v>5035</v>
      </c>
      <c r="G1870">
        <v>1</v>
      </c>
      <c r="H1870" t="s">
        <v>4805</v>
      </c>
      <c r="I1870" t="s">
        <v>464</v>
      </c>
    </row>
    <row r="1871" spans="1:9" x14ac:dyDescent="0.3">
      <c r="A1871">
        <v>90450</v>
      </c>
      <c r="B1871">
        <v>105</v>
      </c>
      <c r="C1871" s="452">
        <v>46174</v>
      </c>
      <c r="D1871" t="s">
        <v>557</v>
      </c>
      <c r="E1871">
        <v>18339</v>
      </c>
      <c r="F1871" t="s">
        <v>5033</v>
      </c>
      <c r="G1871">
        <v>1.42</v>
      </c>
      <c r="H1871" t="s">
        <v>4805</v>
      </c>
      <c r="I1871" t="s">
        <v>464</v>
      </c>
    </row>
    <row r="1872" spans="1:9" x14ac:dyDescent="0.3">
      <c r="A1872">
        <v>90451</v>
      </c>
      <c r="B1872">
        <v>105</v>
      </c>
      <c r="C1872" s="452">
        <v>46174</v>
      </c>
      <c r="D1872" t="s">
        <v>557</v>
      </c>
      <c r="E1872">
        <v>18359</v>
      </c>
      <c r="F1872" t="s">
        <v>4921</v>
      </c>
      <c r="G1872">
        <v>3.1</v>
      </c>
      <c r="H1872" t="s">
        <v>4805</v>
      </c>
      <c r="I1872" t="s">
        <v>464</v>
      </c>
    </row>
    <row r="1873" spans="1:9" x14ac:dyDescent="0.3">
      <c r="A1873">
        <v>90452</v>
      </c>
      <c r="B1873">
        <v>105</v>
      </c>
      <c r="C1873" s="452">
        <v>46174</v>
      </c>
      <c r="D1873" t="s">
        <v>557</v>
      </c>
      <c r="E1873">
        <v>18394</v>
      </c>
      <c r="F1873" t="s">
        <v>5032</v>
      </c>
      <c r="G1873">
        <v>1</v>
      </c>
      <c r="H1873" t="s">
        <v>4805</v>
      </c>
      <c r="I1873" t="s">
        <v>464</v>
      </c>
    </row>
    <row r="1874" spans="1:9" x14ac:dyDescent="0.3">
      <c r="A1874">
        <v>90453</v>
      </c>
      <c r="B1874">
        <v>105</v>
      </c>
      <c r="C1874" s="452">
        <v>46174</v>
      </c>
      <c r="D1874" t="s">
        <v>557</v>
      </c>
      <c r="E1874">
        <v>18423</v>
      </c>
      <c r="F1874" t="s">
        <v>4987</v>
      </c>
      <c r="G1874">
        <v>2</v>
      </c>
      <c r="H1874" t="s">
        <v>4805</v>
      </c>
      <c r="I1874" t="s">
        <v>464</v>
      </c>
    </row>
    <row r="1875" spans="1:9" x14ac:dyDescent="0.3">
      <c r="A1875">
        <v>90454</v>
      </c>
      <c r="B1875">
        <v>105</v>
      </c>
      <c r="C1875" s="452">
        <v>46174</v>
      </c>
      <c r="D1875" t="s">
        <v>557</v>
      </c>
      <c r="E1875">
        <v>18475</v>
      </c>
      <c r="F1875" t="s">
        <v>4895</v>
      </c>
      <c r="G1875">
        <v>14.03</v>
      </c>
      <c r="H1875" t="s">
        <v>4805</v>
      </c>
      <c r="I1875" t="s">
        <v>464</v>
      </c>
    </row>
    <row r="1876" spans="1:9" x14ac:dyDescent="0.3">
      <c r="A1876">
        <v>90455</v>
      </c>
      <c r="B1876">
        <v>105</v>
      </c>
      <c r="C1876" s="452">
        <v>46174</v>
      </c>
      <c r="D1876" t="s">
        <v>557</v>
      </c>
      <c r="E1876">
        <v>18477</v>
      </c>
      <c r="F1876" t="s">
        <v>4920</v>
      </c>
      <c r="G1876">
        <v>8.1999999999999993</v>
      </c>
      <c r="H1876" t="s">
        <v>4805</v>
      </c>
      <c r="I1876" t="s">
        <v>464</v>
      </c>
    </row>
    <row r="1877" spans="1:9" x14ac:dyDescent="0.3">
      <c r="A1877">
        <v>90456</v>
      </c>
      <c r="B1877">
        <v>105</v>
      </c>
      <c r="C1877" s="452">
        <v>46174</v>
      </c>
      <c r="D1877" t="s">
        <v>557</v>
      </c>
      <c r="E1877">
        <v>18491</v>
      </c>
      <c r="F1877" t="s">
        <v>4839</v>
      </c>
      <c r="G1877">
        <v>5.0999999999999996</v>
      </c>
      <c r="H1877" t="s">
        <v>4805</v>
      </c>
      <c r="I1877" t="s">
        <v>464</v>
      </c>
    </row>
    <row r="1878" spans="1:9" x14ac:dyDescent="0.3">
      <c r="A1878">
        <v>90457</v>
      </c>
      <c r="B1878">
        <v>105</v>
      </c>
      <c r="C1878" s="452">
        <v>46174</v>
      </c>
      <c r="D1878" t="s">
        <v>557</v>
      </c>
      <c r="E1878">
        <v>18502</v>
      </c>
      <c r="F1878" t="s">
        <v>4893</v>
      </c>
      <c r="G1878">
        <v>3.86</v>
      </c>
      <c r="H1878" t="s">
        <v>4805</v>
      </c>
      <c r="I1878" t="s">
        <v>464</v>
      </c>
    </row>
    <row r="1879" spans="1:9" x14ac:dyDescent="0.3">
      <c r="A1879">
        <v>90458</v>
      </c>
      <c r="B1879">
        <v>105</v>
      </c>
      <c r="C1879" s="452">
        <v>46174</v>
      </c>
      <c r="D1879" t="s">
        <v>557</v>
      </c>
      <c r="E1879">
        <v>18518</v>
      </c>
      <c r="F1879" t="s">
        <v>4838</v>
      </c>
      <c r="G1879">
        <v>10</v>
      </c>
      <c r="H1879" t="s">
        <v>4805</v>
      </c>
      <c r="I1879" t="s">
        <v>464</v>
      </c>
    </row>
    <row r="1880" spans="1:9" x14ac:dyDescent="0.3">
      <c r="A1880">
        <v>90459</v>
      </c>
      <c r="B1880">
        <v>105</v>
      </c>
      <c r="C1880" s="452">
        <v>46174</v>
      </c>
      <c r="D1880" t="s">
        <v>557</v>
      </c>
      <c r="E1880">
        <v>18538</v>
      </c>
      <c r="F1880" t="s">
        <v>5030</v>
      </c>
      <c r="G1880">
        <v>1.28</v>
      </c>
      <c r="H1880" t="s">
        <v>4805</v>
      </c>
      <c r="I1880" t="s">
        <v>464</v>
      </c>
    </row>
    <row r="1881" spans="1:9" x14ac:dyDescent="0.3">
      <c r="A1881">
        <v>90460</v>
      </c>
      <c r="B1881">
        <v>105</v>
      </c>
      <c r="C1881" s="452">
        <v>46174</v>
      </c>
      <c r="D1881" t="s">
        <v>557</v>
      </c>
      <c r="E1881">
        <v>18545</v>
      </c>
      <c r="F1881" t="s">
        <v>4864</v>
      </c>
      <c r="G1881">
        <v>2</v>
      </c>
      <c r="H1881" t="s">
        <v>4805</v>
      </c>
      <c r="I1881" t="s">
        <v>464</v>
      </c>
    </row>
    <row r="1882" spans="1:9" x14ac:dyDescent="0.3">
      <c r="A1882">
        <v>90461</v>
      </c>
      <c r="B1882">
        <v>105</v>
      </c>
      <c r="C1882" s="452">
        <v>46174</v>
      </c>
      <c r="D1882" t="s">
        <v>557</v>
      </c>
      <c r="E1882">
        <v>18547</v>
      </c>
      <c r="F1882" t="s">
        <v>4863</v>
      </c>
      <c r="G1882">
        <v>10.53</v>
      </c>
      <c r="H1882" t="s">
        <v>4805</v>
      </c>
      <c r="I1882" t="s">
        <v>464</v>
      </c>
    </row>
    <row r="1883" spans="1:9" x14ac:dyDescent="0.3">
      <c r="A1883">
        <v>90462</v>
      </c>
      <c r="B1883">
        <v>105</v>
      </c>
      <c r="C1883" s="452">
        <v>46174</v>
      </c>
      <c r="D1883" t="s">
        <v>557</v>
      </c>
      <c r="E1883">
        <v>18579</v>
      </c>
      <c r="F1883" t="s">
        <v>5087</v>
      </c>
      <c r="G1883">
        <v>5.75</v>
      </c>
      <c r="H1883" t="s">
        <v>4749</v>
      </c>
      <c r="I1883" t="s">
        <v>464</v>
      </c>
    </row>
    <row r="1884" spans="1:9" x14ac:dyDescent="0.3">
      <c r="A1884">
        <v>90463</v>
      </c>
      <c r="B1884">
        <v>105</v>
      </c>
      <c r="C1884" s="452">
        <v>46174</v>
      </c>
      <c r="D1884" t="s">
        <v>557</v>
      </c>
      <c r="E1884">
        <v>18586</v>
      </c>
      <c r="F1884" t="s">
        <v>4966</v>
      </c>
      <c r="G1884">
        <v>1.8</v>
      </c>
      <c r="H1884" t="s">
        <v>4738</v>
      </c>
      <c r="I1884" t="s">
        <v>464</v>
      </c>
    </row>
    <row r="1885" spans="1:9" x14ac:dyDescent="0.3">
      <c r="A1885">
        <v>90464</v>
      </c>
      <c r="B1885">
        <v>105</v>
      </c>
      <c r="C1885" s="452">
        <v>46174</v>
      </c>
      <c r="D1885" t="s">
        <v>557</v>
      </c>
      <c r="E1885">
        <v>18589</v>
      </c>
      <c r="F1885" t="s">
        <v>5089</v>
      </c>
      <c r="G1885">
        <v>2</v>
      </c>
      <c r="H1885" t="s">
        <v>4738</v>
      </c>
      <c r="I1885" t="s">
        <v>464</v>
      </c>
    </row>
    <row r="1886" spans="1:9" x14ac:dyDescent="0.3">
      <c r="A1886">
        <v>90465</v>
      </c>
      <c r="B1886">
        <v>105</v>
      </c>
      <c r="C1886" s="452">
        <v>46174</v>
      </c>
      <c r="D1886" t="s">
        <v>557</v>
      </c>
      <c r="E1886">
        <v>18595</v>
      </c>
      <c r="F1886" t="s">
        <v>5092</v>
      </c>
      <c r="G1886">
        <v>2.66</v>
      </c>
      <c r="H1886" t="s">
        <v>4738</v>
      </c>
      <c r="I1886" t="s">
        <v>464</v>
      </c>
    </row>
    <row r="1887" spans="1:9" x14ac:dyDescent="0.3">
      <c r="A1887">
        <v>90466</v>
      </c>
      <c r="B1887">
        <v>105</v>
      </c>
      <c r="C1887" s="452">
        <v>46174</v>
      </c>
      <c r="D1887" t="s">
        <v>557</v>
      </c>
      <c r="E1887">
        <v>18636</v>
      </c>
      <c r="F1887" t="s">
        <v>4964</v>
      </c>
      <c r="G1887">
        <v>4.05</v>
      </c>
      <c r="H1887" t="s">
        <v>4965</v>
      </c>
      <c r="I1887" t="s">
        <v>464</v>
      </c>
    </row>
    <row r="1888" spans="1:9" x14ac:dyDescent="0.3">
      <c r="A1888">
        <v>90467</v>
      </c>
      <c r="B1888">
        <v>105</v>
      </c>
      <c r="C1888" s="452">
        <v>46174</v>
      </c>
      <c r="D1888" t="s">
        <v>557</v>
      </c>
      <c r="E1888">
        <v>18642</v>
      </c>
      <c r="F1888" t="s">
        <v>5127</v>
      </c>
      <c r="G1888">
        <v>7.1</v>
      </c>
      <c r="H1888" t="s">
        <v>4744</v>
      </c>
      <c r="I1888" t="s">
        <v>464</v>
      </c>
    </row>
    <row r="1889" spans="1:9" x14ac:dyDescent="0.3">
      <c r="A1889">
        <v>90468</v>
      </c>
      <c r="B1889">
        <v>105</v>
      </c>
      <c r="C1889" s="452">
        <v>46174</v>
      </c>
      <c r="D1889" t="s">
        <v>557</v>
      </c>
      <c r="E1889">
        <v>18731</v>
      </c>
      <c r="F1889" t="s">
        <v>4832</v>
      </c>
      <c r="G1889">
        <v>1</v>
      </c>
      <c r="H1889" t="s">
        <v>4744</v>
      </c>
      <c r="I1889" t="s">
        <v>464</v>
      </c>
    </row>
    <row r="1890" spans="1:9" x14ac:dyDescent="0.3">
      <c r="A1890">
        <v>90469</v>
      </c>
      <c r="B1890">
        <v>105</v>
      </c>
      <c r="C1890" s="452">
        <v>46174</v>
      </c>
      <c r="D1890" t="s">
        <v>557</v>
      </c>
      <c r="E1890">
        <v>18735</v>
      </c>
      <c r="F1890" t="s">
        <v>4891</v>
      </c>
      <c r="G1890">
        <v>7.15</v>
      </c>
      <c r="H1890" t="s">
        <v>4744</v>
      </c>
      <c r="I1890" t="s">
        <v>464</v>
      </c>
    </row>
    <row r="1891" spans="1:9" x14ac:dyDescent="0.3">
      <c r="A1891">
        <v>90470</v>
      </c>
      <c r="B1891">
        <v>105</v>
      </c>
      <c r="C1891" s="452">
        <v>46174</v>
      </c>
      <c r="D1891" t="s">
        <v>557</v>
      </c>
      <c r="E1891">
        <v>18822</v>
      </c>
      <c r="F1891" t="s">
        <v>4811</v>
      </c>
      <c r="G1891">
        <v>18.45</v>
      </c>
      <c r="H1891" t="s">
        <v>4744</v>
      </c>
      <c r="I1891" t="s">
        <v>464</v>
      </c>
    </row>
    <row r="1892" spans="1:9" x14ac:dyDescent="0.3">
      <c r="A1892">
        <v>90471</v>
      </c>
      <c r="B1892">
        <v>105</v>
      </c>
      <c r="C1892" s="452">
        <v>46174</v>
      </c>
      <c r="D1892" t="s">
        <v>557</v>
      </c>
      <c r="E1892">
        <v>18945</v>
      </c>
      <c r="F1892" t="s">
        <v>4768</v>
      </c>
      <c r="G1892">
        <v>15.6</v>
      </c>
      <c r="H1892" t="s">
        <v>4744</v>
      </c>
      <c r="I1892" t="s">
        <v>464</v>
      </c>
    </row>
    <row r="1893" spans="1:9" x14ac:dyDescent="0.3">
      <c r="A1893">
        <v>90472</v>
      </c>
      <c r="B1893">
        <v>105</v>
      </c>
      <c r="C1893" s="452">
        <v>46174</v>
      </c>
      <c r="D1893" t="s">
        <v>557</v>
      </c>
      <c r="E1893">
        <v>18991</v>
      </c>
      <c r="F1893" t="s">
        <v>4815</v>
      </c>
      <c r="G1893">
        <v>18</v>
      </c>
      <c r="H1893" t="s">
        <v>4744</v>
      </c>
      <c r="I1893" t="s">
        <v>464</v>
      </c>
    </row>
    <row r="1894" spans="1:9" x14ac:dyDescent="0.3">
      <c r="A1894">
        <v>90473</v>
      </c>
      <c r="B1894">
        <v>105</v>
      </c>
      <c r="C1894" s="452">
        <v>46174</v>
      </c>
      <c r="D1894" t="s">
        <v>557</v>
      </c>
      <c r="E1894">
        <v>19003</v>
      </c>
      <c r="F1894" t="s">
        <v>4810</v>
      </c>
      <c r="G1894">
        <v>15.35</v>
      </c>
      <c r="H1894" t="s">
        <v>4744</v>
      </c>
      <c r="I1894" t="s">
        <v>464</v>
      </c>
    </row>
    <row r="1895" spans="1:9" x14ac:dyDescent="0.3">
      <c r="A1895">
        <v>90474</v>
      </c>
      <c r="B1895">
        <v>105</v>
      </c>
      <c r="C1895" s="452">
        <v>46174</v>
      </c>
      <c r="D1895" t="s">
        <v>557</v>
      </c>
      <c r="E1895">
        <v>19017</v>
      </c>
      <c r="F1895" t="s">
        <v>5174</v>
      </c>
      <c r="G1895">
        <v>2</v>
      </c>
      <c r="H1895" t="s">
        <v>4744</v>
      </c>
      <c r="I1895" t="s">
        <v>464</v>
      </c>
    </row>
    <row r="1896" spans="1:9" x14ac:dyDescent="0.3">
      <c r="A1896">
        <v>90475</v>
      </c>
      <c r="B1896">
        <v>105</v>
      </c>
      <c r="C1896" s="452">
        <v>46174</v>
      </c>
      <c r="D1896" t="s">
        <v>557</v>
      </c>
      <c r="E1896">
        <v>19041</v>
      </c>
      <c r="F1896" t="s">
        <v>4762</v>
      </c>
      <c r="G1896">
        <v>27.15</v>
      </c>
      <c r="H1896" t="s">
        <v>4744</v>
      </c>
      <c r="I1896" t="s">
        <v>464</v>
      </c>
    </row>
    <row r="1897" spans="1:9" x14ac:dyDescent="0.3">
      <c r="A1897">
        <v>90476</v>
      </c>
      <c r="B1897">
        <v>105</v>
      </c>
      <c r="C1897" s="452">
        <v>46174</v>
      </c>
      <c r="D1897" t="s">
        <v>557</v>
      </c>
      <c r="E1897">
        <v>19130</v>
      </c>
      <c r="F1897" t="s">
        <v>4990</v>
      </c>
      <c r="G1897">
        <v>3.28</v>
      </c>
      <c r="H1897" t="s">
        <v>4744</v>
      </c>
      <c r="I1897" t="s">
        <v>464</v>
      </c>
    </row>
    <row r="1898" spans="1:9" x14ac:dyDescent="0.3">
      <c r="A1898">
        <v>90477</v>
      </c>
      <c r="B1898">
        <v>105</v>
      </c>
      <c r="C1898" s="452">
        <v>46174</v>
      </c>
      <c r="D1898" t="s">
        <v>557</v>
      </c>
      <c r="E1898">
        <v>19241</v>
      </c>
      <c r="F1898" t="s">
        <v>4890</v>
      </c>
      <c r="G1898">
        <v>2</v>
      </c>
      <c r="H1898" t="s">
        <v>4736</v>
      </c>
      <c r="I1898" t="s">
        <v>464</v>
      </c>
    </row>
    <row r="1899" spans="1:9" x14ac:dyDescent="0.3">
      <c r="A1899">
        <v>90478</v>
      </c>
      <c r="B1899">
        <v>105</v>
      </c>
      <c r="C1899" s="452">
        <v>46174</v>
      </c>
      <c r="D1899" t="s">
        <v>557</v>
      </c>
      <c r="E1899">
        <v>19291</v>
      </c>
      <c r="F1899" t="s">
        <v>4870</v>
      </c>
      <c r="G1899">
        <v>7.7</v>
      </c>
      <c r="H1899" t="s">
        <v>4744</v>
      </c>
      <c r="I1899" t="s">
        <v>464</v>
      </c>
    </row>
    <row r="1900" spans="1:9" x14ac:dyDescent="0.3">
      <c r="A1900">
        <v>90479</v>
      </c>
      <c r="B1900">
        <v>105</v>
      </c>
      <c r="C1900" s="452">
        <v>46174</v>
      </c>
      <c r="D1900" t="s">
        <v>557</v>
      </c>
      <c r="E1900">
        <v>19306</v>
      </c>
      <c r="F1900" t="s">
        <v>5111</v>
      </c>
      <c r="G1900">
        <v>2.2000000000000002</v>
      </c>
      <c r="H1900" t="s">
        <v>4738</v>
      </c>
      <c r="I1900" t="s">
        <v>464</v>
      </c>
    </row>
    <row r="1901" spans="1:9" x14ac:dyDescent="0.3">
      <c r="A1901">
        <v>90480</v>
      </c>
      <c r="B1901">
        <v>105</v>
      </c>
      <c r="C1901" s="452">
        <v>46174</v>
      </c>
      <c r="D1901" t="s">
        <v>557</v>
      </c>
      <c r="E1901">
        <v>19322</v>
      </c>
      <c r="F1901" t="s">
        <v>4830</v>
      </c>
      <c r="G1901">
        <v>9.9600000000000009</v>
      </c>
      <c r="H1901" t="s">
        <v>4744</v>
      </c>
      <c r="I1901" t="s">
        <v>464</v>
      </c>
    </row>
    <row r="1902" spans="1:9" x14ac:dyDescent="0.3">
      <c r="A1902">
        <v>90481</v>
      </c>
      <c r="B1902">
        <v>105</v>
      </c>
      <c r="C1902" s="452">
        <v>46174</v>
      </c>
      <c r="D1902" t="s">
        <v>557</v>
      </c>
      <c r="E1902">
        <v>19346</v>
      </c>
      <c r="F1902" t="s">
        <v>4835</v>
      </c>
      <c r="G1902">
        <v>2.44</v>
      </c>
      <c r="H1902" t="s">
        <v>4744</v>
      </c>
      <c r="I1902" t="s">
        <v>464</v>
      </c>
    </row>
    <row r="1903" spans="1:9" x14ac:dyDescent="0.3">
      <c r="A1903">
        <v>90482</v>
      </c>
      <c r="B1903">
        <v>105</v>
      </c>
      <c r="C1903" s="452">
        <v>46174</v>
      </c>
      <c r="D1903" t="s">
        <v>557</v>
      </c>
      <c r="E1903">
        <v>19353</v>
      </c>
      <c r="F1903" t="s">
        <v>4851</v>
      </c>
      <c r="G1903">
        <v>3.8</v>
      </c>
      <c r="H1903" t="s">
        <v>4744</v>
      </c>
      <c r="I1903" t="s">
        <v>464</v>
      </c>
    </row>
    <row r="1904" spans="1:9" x14ac:dyDescent="0.3">
      <c r="A1904">
        <v>90483</v>
      </c>
      <c r="B1904">
        <v>105</v>
      </c>
      <c r="C1904" s="452">
        <v>46174</v>
      </c>
      <c r="D1904" t="s">
        <v>557</v>
      </c>
      <c r="E1904">
        <v>19356</v>
      </c>
      <c r="F1904" t="s">
        <v>4799</v>
      </c>
      <c r="G1904">
        <v>9.3800000000000008</v>
      </c>
      <c r="H1904" t="s">
        <v>4744</v>
      </c>
      <c r="I1904" t="s">
        <v>464</v>
      </c>
    </row>
    <row r="1905" spans="1:9" x14ac:dyDescent="0.3">
      <c r="A1905">
        <v>90484</v>
      </c>
      <c r="B1905">
        <v>105</v>
      </c>
      <c r="C1905" s="452">
        <v>46174</v>
      </c>
      <c r="D1905" t="s">
        <v>557</v>
      </c>
      <c r="E1905">
        <v>19401</v>
      </c>
      <c r="F1905" t="s">
        <v>4809</v>
      </c>
      <c r="G1905">
        <v>3.55</v>
      </c>
      <c r="H1905" t="s">
        <v>4744</v>
      </c>
      <c r="I1905" t="s">
        <v>464</v>
      </c>
    </row>
    <row r="1906" spans="1:9" x14ac:dyDescent="0.3">
      <c r="A1906">
        <v>90485</v>
      </c>
      <c r="B1906">
        <v>105</v>
      </c>
      <c r="C1906" s="452">
        <v>46174</v>
      </c>
      <c r="D1906" t="s">
        <v>557</v>
      </c>
      <c r="E1906">
        <v>19405</v>
      </c>
      <c r="F1906" t="s">
        <v>5158</v>
      </c>
      <c r="G1906">
        <v>2</v>
      </c>
      <c r="H1906" t="s">
        <v>4744</v>
      </c>
      <c r="I1906" t="s">
        <v>464</v>
      </c>
    </row>
    <row r="1907" spans="1:9" x14ac:dyDescent="0.3">
      <c r="A1907">
        <v>90486</v>
      </c>
      <c r="B1907">
        <v>105</v>
      </c>
      <c r="C1907" s="452">
        <v>46174</v>
      </c>
      <c r="D1907" t="s">
        <v>557</v>
      </c>
      <c r="E1907">
        <v>19415</v>
      </c>
      <c r="F1907" t="s">
        <v>4919</v>
      </c>
      <c r="G1907">
        <v>3</v>
      </c>
      <c r="H1907" t="s">
        <v>4736</v>
      </c>
      <c r="I1907" t="s">
        <v>464</v>
      </c>
    </row>
    <row r="1908" spans="1:9" x14ac:dyDescent="0.3">
      <c r="A1908">
        <v>90487</v>
      </c>
      <c r="B1908">
        <v>105</v>
      </c>
      <c r="C1908" s="452">
        <v>46174</v>
      </c>
      <c r="D1908" t="s">
        <v>557</v>
      </c>
      <c r="E1908">
        <v>19421</v>
      </c>
      <c r="F1908" t="s">
        <v>4918</v>
      </c>
      <c r="G1908">
        <v>3.65</v>
      </c>
      <c r="H1908" t="s">
        <v>4749</v>
      </c>
      <c r="I1908" t="s">
        <v>464</v>
      </c>
    </row>
    <row r="1909" spans="1:9" x14ac:dyDescent="0.3">
      <c r="A1909">
        <v>90488</v>
      </c>
      <c r="B1909">
        <v>105</v>
      </c>
      <c r="C1909" s="452">
        <v>46174</v>
      </c>
      <c r="D1909" t="s">
        <v>557</v>
      </c>
      <c r="E1909">
        <v>19434</v>
      </c>
      <c r="F1909" t="s">
        <v>5078</v>
      </c>
      <c r="G1909">
        <v>1</v>
      </c>
      <c r="H1909" t="s">
        <v>4738</v>
      </c>
      <c r="I1909" t="s">
        <v>464</v>
      </c>
    </row>
    <row r="1910" spans="1:9" x14ac:dyDescent="0.3">
      <c r="A1910">
        <v>90489</v>
      </c>
      <c r="B1910">
        <v>105</v>
      </c>
      <c r="C1910" s="452">
        <v>46174</v>
      </c>
      <c r="D1910" t="s">
        <v>557</v>
      </c>
      <c r="E1910">
        <v>19439</v>
      </c>
      <c r="F1910" t="s">
        <v>4917</v>
      </c>
      <c r="G1910">
        <v>4</v>
      </c>
      <c r="H1910" t="s">
        <v>4744</v>
      </c>
      <c r="I1910" t="s">
        <v>464</v>
      </c>
    </row>
    <row r="1911" spans="1:9" x14ac:dyDescent="0.3">
      <c r="A1911">
        <v>90490</v>
      </c>
      <c r="B1911">
        <v>105</v>
      </c>
      <c r="C1911" s="452">
        <v>46174</v>
      </c>
      <c r="D1911" t="s">
        <v>557</v>
      </c>
      <c r="E1911">
        <v>19465</v>
      </c>
      <c r="F1911" t="s">
        <v>5114</v>
      </c>
      <c r="G1911">
        <v>1.5</v>
      </c>
      <c r="H1911" t="s">
        <v>4744</v>
      </c>
      <c r="I1911" t="s">
        <v>464</v>
      </c>
    </row>
    <row r="1912" spans="1:9" x14ac:dyDescent="0.3">
      <c r="A1912">
        <v>90491</v>
      </c>
      <c r="B1912">
        <v>105</v>
      </c>
      <c r="C1912" s="452">
        <v>46174</v>
      </c>
      <c r="D1912" t="s">
        <v>557</v>
      </c>
      <c r="E1912">
        <v>19472</v>
      </c>
      <c r="F1912" t="s">
        <v>4906</v>
      </c>
      <c r="G1912">
        <v>0.44</v>
      </c>
      <c r="H1912" t="s">
        <v>4744</v>
      </c>
      <c r="I1912" t="s">
        <v>464</v>
      </c>
    </row>
    <row r="1913" spans="1:9" x14ac:dyDescent="0.3">
      <c r="A1913">
        <v>90492</v>
      </c>
      <c r="B1913">
        <v>105</v>
      </c>
      <c r="C1913" s="452">
        <v>46174</v>
      </c>
      <c r="D1913" t="s">
        <v>557</v>
      </c>
      <c r="E1913">
        <v>19476</v>
      </c>
      <c r="F1913" t="s">
        <v>5115</v>
      </c>
      <c r="G1913">
        <v>1.3</v>
      </c>
      <c r="H1913" t="s">
        <v>4744</v>
      </c>
      <c r="I1913" t="s">
        <v>464</v>
      </c>
    </row>
    <row r="1914" spans="1:9" x14ac:dyDescent="0.3">
      <c r="A1914">
        <v>90493</v>
      </c>
      <c r="B1914">
        <v>105</v>
      </c>
      <c r="C1914" s="452">
        <v>46174</v>
      </c>
      <c r="D1914" t="s">
        <v>557</v>
      </c>
      <c r="E1914">
        <v>19480</v>
      </c>
      <c r="F1914" t="s">
        <v>5119</v>
      </c>
      <c r="G1914">
        <v>0.42</v>
      </c>
      <c r="H1914" t="s">
        <v>4744</v>
      </c>
      <c r="I1914" t="s">
        <v>464</v>
      </c>
    </row>
    <row r="1915" spans="1:9" x14ac:dyDescent="0.3">
      <c r="A1915">
        <v>90494</v>
      </c>
      <c r="B1915">
        <v>105</v>
      </c>
      <c r="C1915" s="452">
        <v>46174</v>
      </c>
      <c r="D1915" t="s">
        <v>557</v>
      </c>
      <c r="E1915">
        <v>19488</v>
      </c>
      <c r="F1915" t="s">
        <v>5107</v>
      </c>
      <c r="G1915">
        <v>0.2</v>
      </c>
      <c r="H1915" t="s">
        <v>4744</v>
      </c>
      <c r="I1915" t="s">
        <v>464</v>
      </c>
    </row>
    <row r="1916" spans="1:9" x14ac:dyDescent="0.3">
      <c r="A1916">
        <v>90495</v>
      </c>
      <c r="B1916">
        <v>105</v>
      </c>
      <c r="C1916" s="452">
        <v>46174</v>
      </c>
      <c r="D1916" t="s">
        <v>557</v>
      </c>
      <c r="E1916">
        <v>19490</v>
      </c>
      <c r="F1916" t="s">
        <v>5116</v>
      </c>
      <c r="G1916">
        <v>0.47</v>
      </c>
      <c r="H1916" t="s">
        <v>4744</v>
      </c>
      <c r="I1916" t="s">
        <v>464</v>
      </c>
    </row>
    <row r="1917" spans="1:9" x14ac:dyDescent="0.3">
      <c r="A1917">
        <v>90496</v>
      </c>
      <c r="B1917">
        <v>105</v>
      </c>
      <c r="C1917" s="452">
        <v>46174</v>
      </c>
      <c r="D1917" t="s">
        <v>557</v>
      </c>
      <c r="E1917">
        <v>19492</v>
      </c>
      <c r="F1917" t="s">
        <v>4937</v>
      </c>
      <c r="G1917">
        <v>2.1</v>
      </c>
      <c r="H1917" t="s">
        <v>4744</v>
      </c>
      <c r="I1917" t="s">
        <v>464</v>
      </c>
    </row>
    <row r="1918" spans="1:9" x14ac:dyDescent="0.3">
      <c r="A1918">
        <v>90497</v>
      </c>
      <c r="B1918">
        <v>105</v>
      </c>
      <c r="C1918" s="452">
        <v>46174</v>
      </c>
      <c r="D1918" t="s">
        <v>557</v>
      </c>
      <c r="E1918">
        <v>19502</v>
      </c>
      <c r="F1918" t="s">
        <v>4871</v>
      </c>
      <c r="G1918">
        <v>7.2</v>
      </c>
      <c r="H1918" t="s">
        <v>4744</v>
      </c>
      <c r="I1918" t="s">
        <v>464</v>
      </c>
    </row>
    <row r="1919" spans="1:9" x14ac:dyDescent="0.3">
      <c r="A1919">
        <v>90498</v>
      </c>
      <c r="B1919">
        <v>105</v>
      </c>
      <c r="C1919" s="452">
        <v>46174</v>
      </c>
      <c r="D1919" t="s">
        <v>557</v>
      </c>
      <c r="E1919">
        <v>19505</v>
      </c>
      <c r="F1919" t="s">
        <v>4872</v>
      </c>
      <c r="G1919">
        <v>9.65</v>
      </c>
      <c r="H1919" t="s">
        <v>4744</v>
      </c>
      <c r="I1919" t="s">
        <v>464</v>
      </c>
    </row>
    <row r="1920" spans="1:9" x14ac:dyDescent="0.3">
      <c r="A1920">
        <v>90499</v>
      </c>
      <c r="B1920">
        <v>105</v>
      </c>
      <c r="C1920" s="452">
        <v>46174</v>
      </c>
      <c r="D1920" t="s">
        <v>557</v>
      </c>
      <c r="E1920">
        <v>19506</v>
      </c>
      <c r="F1920" t="s">
        <v>5122</v>
      </c>
      <c r="G1920">
        <v>0.3</v>
      </c>
      <c r="H1920" t="s">
        <v>4744</v>
      </c>
      <c r="I1920" t="s">
        <v>464</v>
      </c>
    </row>
    <row r="1921" spans="1:9" x14ac:dyDescent="0.3">
      <c r="A1921">
        <v>90500</v>
      </c>
      <c r="B1921">
        <v>105</v>
      </c>
      <c r="C1921" s="452">
        <v>46174</v>
      </c>
      <c r="D1921" t="s">
        <v>557</v>
      </c>
      <c r="E1921">
        <v>19507</v>
      </c>
      <c r="F1921" t="s">
        <v>4853</v>
      </c>
      <c r="G1921">
        <v>5.45</v>
      </c>
      <c r="H1921" t="s">
        <v>4744</v>
      </c>
      <c r="I1921" t="s">
        <v>464</v>
      </c>
    </row>
    <row r="1922" spans="1:9" x14ac:dyDescent="0.3">
      <c r="A1922">
        <v>90501</v>
      </c>
      <c r="B1922">
        <v>105</v>
      </c>
      <c r="C1922" s="452">
        <v>46174</v>
      </c>
      <c r="D1922" t="s">
        <v>557</v>
      </c>
      <c r="E1922">
        <v>19526</v>
      </c>
      <c r="F1922" t="s">
        <v>4997</v>
      </c>
      <c r="G1922">
        <v>0.6</v>
      </c>
      <c r="H1922" t="s">
        <v>4744</v>
      </c>
      <c r="I1922" t="s">
        <v>464</v>
      </c>
    </row>
    <row r="1923" spans="1:9" x14ac:dyDescent="0.3">
      <c r="A1923">
        <v>90502</v>
      </c>
      <c r="B1923">
        <v>105</v>
      </c>
      <c r="C1923" s="452">
        <v>46174</v>
      </c>
      <c r="D1923" t="s">
        <v>557</v>
      </c>
      <c r="E1923">
        <v>19532</v>
      </c>
      <c r="F1923" t="s">
        <v>4753</v>
      </c>
      <c r="G1923">
        <v>20.350000000000001</v>
      </c>
      <c r="H1923" t="s">
        <v>4744</v>
      </c>
      <c r="I1923" t="s">
        <v>464</v>
      </c>
    </row>
    <row r="1924" spans="1:9" x14ac:dyDescent="0.3">
      <c r="A1924">
        <v>90503</v>
      </c>
      <c r="B1924">
        <v>105</v>
      </c>
      <c r="C1924" s="452">
        <v>46174</v>
      </c>
      <c r="D1924" t="s">
        <v>557</v>
      </c>
      <c r="E1924">
        <v>19551</v>
      </c>
      <c r="F1924" t="s">
        <v>4905</v>
      </c>
      <c r="G1924">
        <v>3.51</v>
      </c>
      <c r="H1924" t="s">
        <v>4744</v>
      </c>
      <c r="I1924" t="s">
        <v>464</v>
      </c>
    </row>
    <row r="1925" spans="1:9" x14ac:dyDescent="0.3">
      <c r="A1925">
        <v>90504</v>
      </c>
      <c r="B1925">
        <v>105</v>
      </c>
      <c r="C1925" s="452">
        <v>46174</v>
      </c>
      <c r="D1925" t="s">
        <v>557</v>
      </c>
      <c r="E1925">
        <v>19552</v>
      </c>
      <c r="F1925" t="s">
        <v>4860</v>
      </c>
      <c r="G1925">
        <v>3</v>
      </c>
      <c r="H1925" t="s">
        <v>4744</v>
      </c>
      <c r="I1925" t="s">
        <v>464</v>
      </c>
    </row>
    <row r="1926" spans="1:9" x14ac:dyDescent="0.3">
      <c r="A1926">
        <v>90505</v>
      </c>
      <c r="B1926">
        <v>105</v>
      </c>
      <c r="C1926" s="452">
        <v>46174</v>
      </c>
      <c r="D1926" t="s">
        <v>557</v>
      </c>
      <c r="E1926">
        <v>19553</v>
      </c>
      <c r="F1926" t="s">
        <v>4868</v>
      </c>
      <c r="G1926">
        <v>1.55</v>
      </c>
      <c r="H1926" t="s">
        <v>4744</v>
      </c>
      <c r="I1926" t="s">
        <v>464</v>
      </c>
    </row>
    <row r="1927" spans="1:9" x14ac:dyDescent="0.3">
      <c r="A1927">
        <v>90506</v>
      </c>
      <c r="B1927">
        <v>105</v>
      </c>
      <c r="C1927" s="452">
        <v>46174</v>
      </c>
      <c r="D1927" t="s">
        <v>557</v>
      </c>
      <c r="E1927">
        <v>19555</v>
      </c>
      <c r="F1927" t="s">
        <v>4903</v>
      </c>
      <c r="G1927">
        <v>2.42</v>
      </c>
      <c r="H1927" t="s">
        <v>4744</v>
      </c>
      <c r="I1927" t="s">
        <v>464</v>
      </c>
    </row>
    <row r="1928" spans="1:9" x14ac:dyDescent="0.3">
      <c r="A1928">
        <v>90507</v>
      </c>
      <c r="B1928">
        <v>105</v>
      </c>
      <c r="C1928" s="452">
        <v>46174</v>
      </c>
      <c r="D1928" t="s">
        <v>557</v>
      </c>
      <c r="E1928">
        <v>19558</v>
      </c>
      <c r="F1928" t="s">
        <v>4994</v>
      </c>
      <c r="G1928">
        <v>1.45</v>
      </c>
      <c r="H1928" t="s">
        <v>4744</v>
      </c>
      <c r="I1928" t="s">
        <v>464</v>
      </c>
    </row>
    <row r="1929" spans="1:9" x14ac:dyDescent="0.3">
      <c r="A1929">
        <v>90508</v>
      </c>
      <c r="B1929">
        <v>105</v>
      </c>
      <c r="C1929" s="452">
        <v>46174</v>
      </c>
      <c r="D1929" t="s">
        <v>557</v>
      </c>
      <c r="E1929">
        <v>19562</v>
      </c>
      <c r="F1929" t="s">
        <v>4939</v>
      </c>
      <c r="G1929">
        <v>2.15</v>
      </c>
      <c r="H1929" t="s">
        <v>4744</v>
      </c>
      <c r="I1929" t="s">
        <v>464</v>
      </c>
    </row>
    <row r="1930" spans="1:9" x14ac:dyDescent="0.3">
      <c r="A1930">
        <v>90509</v>
      </c>
      <c r="B1930">
        <v>105</v>
      </c>
      <c r="C1930" s="452">
        <v>46174</v>
      </c>
      <c r="D1930" t="s">
        <v>557</v>
      </c>
      <c r="E1930">
        <v>19572</v>
      </c>
      <c r="F1930" t="s">
        <v>4989</v>
      </c>
      <c r="G1930">
        <v>2.65</v>
      </c>
      <c r="H1930" t="s">
        <v>4744</v>
      </c>
      <c r="I1930" t="s">
        <v>464</v>
      </c>
    </row>
    <row r="1931" spans="1:9" x14ac:dyDescent="0.3">
      <c r="A1931">
        <v>90510</v>
      </c>
      <c r="B1931">
        <v>105</v>
      </c>
      <c r="C1931" s="452">
        <v>46174</v>
      </c>
      <c r="D1931" t="s">
        <v>557</v>
      </c>
      <c r="E1931">
        <v>19577</v>
      </c>
      <c r="F1931" t="s">
        <v>4984</v>
      </c>
      <c r="G1931">
        <v>3.14</v>
      </c>
      <c r="H1931" t="s">
        <v>4736</v>
      </c>
      <c r="I1931" t="s">
        <v>464</v>
      </c>
    </row>
    <row r="1932" spans="1:9" x14ac:dyDescent="0.3">
      <c r="A1932">
        <v>90511</v>
      </c>
      <c r="B1932">
        <v>105</v>
      </c>
      <c r="C1932" s="452">
        <v>46174</v>
      </c>
      <c r="D1932" t="s">
        <v>557</v>
      </c>
      <c r="E1932">
        <v>19589</v>
      </c>
      <c r="F1932" t="s">
        <v>4983</v>
      </c>
      <c r="G1932">
        <v>0.55000000000000004</v>
      </c>
      <c r="H1932" t="s">
        <v>4744</v>
      </c>
      <c r="I1932" t="s">
        <v>464</v>
      </c>
    </row>
    <row r="1933" spans="1:9" x14ac:dyDescent="0.3">
      <c r="A1933">
        <v>90512</v>
      </c>
      <c r="B1933">
        <v>105</v>
      </c>
      <c r="C1933" s="452">
        <v>46174</v>
      </c>
      <c r="D1933" t="s">
        <v>557</v>
      </c>
      <c r="E1933">
        <v>19607</v>
      </c>
      <c r="F1933" t="s">
        <v>4981</v>
      </c>
      <c r="G1933">
        <v>0.75</v>
      </c>
      <c r="H1933" t="s">
        <v>4744</v>
      </c>
      <c r="I1933" t="s">
        <v>464</v>
      </c>
    </row>
    <row r="1934" spans="1:9" x14ac:dyDescent="0.3">
      <c r="A1934">
        <v>90513</v>
      </c>
      <c r="B1934">
        <v>105</v>
      </c>
      <c r="C1934" s="452">
        <v>46174</v>
      </c>
      <c r="D1934" t="s">
        <v>557</v>
      </c>
      <c r="E1934">
        <v>19617</v>
      </c>
      <c r="F1934" t="s">
        <v>5071</v>
      </c>
      <c r="G1934">
        <v>0.6</v>
      </c>
      <c r="H1934" t="s">
        <v>4744</v>
      </c>
      <c r="I1934" t="s">
        <v>464</v>
      </c>
    </row>
    <row r="1935" spans="1:9" x14ac:dyDescent="0.3">
      <c r="A1935">
        <v>90514</v>
      </c>
      <c r="B1935">
        <v>105</v>
      </c>
      <c r="C1935" s="452">
        <v>46174</v>
      </c>
      <c r="D1935" t="s">
        <v>557</v>
      </c>
      <c r="E1935">
        <v>19621</v>
      </c>
      <c r="F1935" t="s">
        <v>4829</v>
      </c>
      <c r="G1935">
        <v>4.2</v>
      </c>
      <c r="H1935" t="s">
        <v>4744</v>
      </c>
      <c r="I1935" t="s">
        <v>464</v>
      </c>
    </row>
    <row r="1936" spans="1:9" x14ac:dyDescent="0.3">
      <c r="A1936">
        <v>90515</v>
      </c>
      <c r="B1936">
        <v>105</v>
      </c>
      <c r="C1936" s="452">
        <v>46174</v>
      </c>
      <c r="D1936" t="s">
        <v>557</v>
      </c>
      <c r="E1936">
        <v>19622</v>
      </c>
      <c r="F1936" t="s">
        <v>4915</v>
      </c>
      <c r="G1936">
        <v>3.79</v>
      </c>
      <c r="H1936" t="s">
        <v>4744</v>
      </c>
      <c r="I1936" t="s">
        <v>464</v>
      </c>
    </row>
    <row r="1937" spans="1:9" x14ac:dyDescent="0.3">
      <c r="A1937">
        <v>90516</v>
      </c>
      <c r="B1937">
        <v>105</v>
      </c>
      <c r="C1937" s="452">
        <v>46174</v>
      </c>
      <c r="D1937" t="s">
        <v>557</v>
      </c>
      <c r="E1937">
        <v>19623</v>
      </c>
      <c r="F1937" t="s">
        <v>4764</v>
      </c>
      <c r="G1937">
        <v>19.93</v>
      </c>
      <c r="H1937" t="s">
        <v>4744</v>
      </c>
      <c r="I1937" t="s">
        <v>464</v>
      </c>
    </row>
    <row r="1938" spans="1:9" x14ac:dyDescent="0.3">
      <c r="A1938">
        <v>90517</v>
      </c>
      <c r="B1938">
        <v>105</v>
      </c>
      <c r="C1938" s="452">
        <v>46174</v>
      </c>
      <c r="D1938" t="s">
        <v>557</v>
      </c>
      <c r="E1938">
        <v>19632</v>
      </c>
      <c r="F1938" t="s">
        <v>4936</v>
      </c>
      <c r="G1938">
        <v>1.9</v>
      </c>
      <c r="H1938" t="s">
        <v>4744</v>
      </c>
      <c r="I1938" t="s">
        <v>464</v>
      </c>
    </row>
    <row r="1939" spans="1:9" x14ac:dyDescent="0.3">
      <c r="A1939">
        <v>90518</v>
      </c>
      <c r="B1939">
        <v>105</v>
      </c>
      <c r="C1939" s="452">
        <v>46174</v>
      </c>
      <c r="D1939" t="s">
        <v>557</v>
      </c>
      <c r="E1939">
        <v>19634</v>
      </c>
      <c r="F1939" t="s">
        <v>4792</v>
      </c>
      <c r="G1939">
        <v>9.42</v>
      </c>
      <c r="H1939" t="s">
        <v>4744</v>
      </c>
      <c r="I1939" t="s">
        <v>464</v>
      </c>
    </row>
    <row r="1940" spans="1:9" x14ac:dyDescent="0.3">
      <c r="A1940">
        <v>90519</v>
      </c>
      <c r="B1940">
        <v>105</v>
      </c>
      <c r="C1940" s="452">
        <v>46174</v>
      </c>
      <c r="D1940" t="s">
        <v>557</v>
      </c>
      <c r="E1940">
        <v>19635</v>
      </c>
      <c r="F1940" t="s">
        <v>4786</v>
      </c>
      <c r="G1940">
        <v>15.46</v>
      </c>
      <c r="H1940" t="s">
        <v>4744</v>
      </c>
      <c r="I1940" t="s">
        <v>464</v>
      </c>
    </row>
    <row r="1941" spans="1:9" x14ac:dyDescent="0.3">
      <c r="A1941">
        <v>90520</v>
      </c>
      <c r="B1941">
        <v>105</v>
      </c>
      <c r="C1941" s="452">
        <v>46174</v>
      </c>
      <c r="D1941" t="s">
        <v>557</v>
      </c>
      <c r="E1941">
        <v>19642</v>
      </c>
      <c r="F1941" t="s">
        <v>4996</v>
      </c>
      <c r="G1941">
        <v>4.5</v>
      </c>
      <c r="H1941" t="s">
        <v>4744</v>
      </c>
      <c r="I1941" t="s">
        <v>464</v>
      </c>
    </row>
    <row r="1942" spans="1:9" x14ac:dyDescent="0.3">
      <c r="A1942">
        <v>90521</v>
      </c>
      <c r="B1942">
        <v>105</v>
      </c>
      <c r="C1942" s="452">
        <v>46174</v>
      </c>
      <c r="D1942" t="s">
        <v>557</v>
      </c>
      <c r="E1942">
        <v>19647</v>
      </c>
      <c r="F1942" t="s">
        <v>5050</v>
      </c>
      <c r="G1942">
        <v>0.5</v>
      </c>
      <c r="H1942" t="s">
        <v>4744</v>
      </c>
      <c r="I1942" t="s">
        <v>464</v>
      </c>
    </row>
    <row r="1943" spans="1:9" x14ac:dyDescent="0.3">
      <c r="A1943">
        <v>90522</v>
      </c>
      <c r="B1943">
        <v>105</v>
      </c>
      <c r="C1943" s="452">
        <v>46174</v>
      </c>
      <c r="D1943" t="s">
        <v>557</v>
      </c>
      <c r="E1943">
        <v>19649</v>
      </c>
      <c r="F1943" t="s">
        <v>4859</v>
      </c>
      <c r="G1943">
        <v>3</v>
      </c>
      <c r="H1943" t="s">
        <v>4744</v>
      </c>
      <c r="I1943" t="s">
        <v>464</v>
      </c>
    </row>
    <row r="1944" spans="1:9" x14ac:dyDescent="0.3">
      <c r="A1944">
        <v>90523</v>
      </c>
      <c r="B1944">
        <v>105</v>
      </c>
      <c r="C1944" s="452">
        <v>46174</v>
      </c>
      <c r="D1944" t="s">
        <v>557</v>
      </c>
      <c r="E1944">
        <v>19652</v>
      </c>
      <c r="F1944" t="s">
        <v>4899</v>
      </c>
      <c r="G1944">
        <v>1.25</v>
      </c>
      <c r="H1944" t="s">
        <v>4744</v>
      </c>
      <c r="I1944" t="s">
        <v>464</v>
      </c>
    </row>
    <row r="1945" spans="1:9" x14ac:dyDescent="0.3">
      <c r="A1945">
        <v>90524</v>
      </c>
      <c r="B1945">
        <v>105</v>
      </c>
      <c r="C1945" s="452">
        <v>46174</v>
      </c>
      <c r="D1945" t="s">
        <v>557</v>
      </c>
      <c r="E1945">
        <v>19654</v>
      </c>
      <c r="F1945" t="s">
        <v>5099</v>
      </c>
      <c r="G1945">
        <v>10.85</v>
      </c>
      <c r="H1945" t="s">
        <v>4744</v>
      </c>
      <c r="I1945" t="s">
        <v>464</v>
      </c>
    </row>
    <row r="1946" spans="1:9" x14ac:dyDescent="0.3">
      <c r="A1946">
        <v>90525</v>
      </c>
      <c r="B1946">
        <v>105</v>
      </c>
      <c r="C1946" s="452">
        <v>46174</v>
      </c>
      <c r="D1946" t="s">
        <v>557</v>
      </c>
      <c r="E1946">
        <v>19658</v>
      </c>
      <c r="F1946" t="s">
        <v>4784</v>
      </c>
      <c r="G1946">
        <v>13.3</v>
      </c>
      <c r="H1946" t="s">
        <v>4744</v>
      </c>
      <c r="I1946" t="s">
        <v>464</v>
      </c>
    </row>
    <row r="1947" spans="1:9" x14ac:dyDescent="0.3">
      <c r="A1947">
        <v>90526</v>
      </c>
      <c r="B1947">
        <v>105</v>
      </c>
      <c r="C1947" s="452">
        <v>46174</v>
      </c>
      <c r="D1947" t="s">
        <v>557</v>
      </c>
      <c r="E1947">
        <v>19710</v>
      </c>
      <c r="F1947" t="s">
        <v>4963</v>
      </c>
      <c r="G1947">
        <v>1.2</v>
      </c>
      <c r="H1947" t="s">
        <v>4738</v>
      </c>
      <c r="I1947" t="s">
        <v>464</v>
      </c>
    </row>
    <row r="1948" spans="1:9" x14ac:dyDescent="0.3">
      <c r="A1948">
        <v>90527</v>
      </c>
      <c r="B1948">
        <v>105</v>
      </c>
      <c r="C1948" s="452">
        <v>46174</v>
      </c>
      <c r="D1948" t="s">
        <v>557</v>
      </c>
      <c r="E1948">
        <v>19728</v>
      </c>
      <c r="F1948" t="s">
        <v>5106</v>
      </c>
      <c r="G1948">
        <v>3.3</v>
      </c>
      <c r="H1948" t="s">
        <v>4744</v>
      </c>
      <c r="I1948" t="s">
        <v>464</v>
      </c>
    </row>
    <row r="1949" spans="1:9" x14ac:dyDescent="0.3">
      <c r="A1949">
        <v>90528</v>
      </c>
      <c r="B1949">
        <v>105</v>
      </c>
      <c r="C1949" s="452">
        <v>46174</v>
      </c>
      <c r="D1949" t="s">
        <v>557</v>
      </c>
      <c r="E1949">
        <v>19734</v>
      </c>
      <c r="F1949" t="s">
        <v>4833</v>
      </c>
      <c r="G1949">
        <v>9.3800000000000008</v>
      </c>
      <c r="H1949" t="s">
        <v>4744</v>
      </c>
      <c r="I1949" t="s">
        <v>464</v>
      </c>
    </row>
    <row r="1950" spans="1:9" x14ac:dyDescent="0.3">
      <c r="A1950">
        <v>90529</v>
      </c>
      <c r="B1950">
        <v>105</v>
      </c>
      <c r="C1950" s="452">
        <v>46174</v>
      </c>
      <c r="D1950" t="s">
        <v>557</v>
      </c>
      <c r="E1950">
        <v>19737</v>
      </c>
      <c r="F1950" t="s">
        <v>4940</v>
      </c>
      <c r="G1950">
        <v>1.7</v>
      </c>
      <c r="H1950" t="s">
        <v>4744</v>
      </c>
      <c r="I1950" t="s">
        <v>464</v>
      </c>
    </row>
    <row r="1951" spans="1:9" x14ac:dyDescent="0.3">
      <c r="A1951">
        <v>90530</v>
      </c>
      <c r="B1951">
        <v>105</v>
      </c>
      <c r="C1951" s="452">
        <v>46174</v>
      </c>
      <c r="D1951" t="s">
        <v>557</v>
      </c>
      <c r="E1951">
        <v>19740</v>
      </c>
      <c r="F1951" t="s">
        <v>4779</v>
      </c>
      <c r="G1951">
        <v>11</v>
      </c>
      <c r="H1951" t="s">
        <v>4744</v>
      </c>
      <c r="I1951" t="s">
        <v>464</v>
      </c>
    </row>
    <row r="1952" spans="1:9" x14ac:dyDescent="0.3">
      <c r="A1952">
        <v>90531</v>
      </c>
      <c r="B1952">
        <v>105</v>
      </c>
      <c r="C1952" s="452">
        <v>46174</v>
      </c>
      <c r="D1952" t="s">
        <v>557</v>
      </c>
      <c r="E1952">
        <v>19742</v>
      </c>
      <c r="F1952" t="s">
        <v>4900</v>
      </c>
      <c r="G1952">
        <v>1.2</v>
      </c>
      <c r="H1952" t="s">
        <v>4744</v>
      </c>
      <c r="I1952" t="s">
        <v>464</v>
      </c>
    </row>
    <row r="1953" spans="1:9" x14ac:dyDescent="0.3">
      <c r="A1953">
        <v>90532</v>
      </c>
      <c r="B1953">
        <v>105</v>
      </c>
      <c r="C1953" s="452">
        <v>46174</v>
      </c>
      <c r="D1953" t="s">
        <v>557</v>
      </c>
      <c r="E1953">
        <v>19743</v>
      </c>
      <c r="F1953" t="s">
        <v>5047</v>
      </c>
      <c r="G1953">
        <v>0.18</v>
      </c>
      <c r="H1953" t="s">
        <v>4744</v>
      </c>
      <c r="I1953" t="s">
        <v>464</v>
      </c>
    </row>
    <row r="1954" spans="1:9" x14ac:dyDescent="0.3">
      <c r="A1954">
        <v>90533</v>
      </c>
      <c r="B1954">
        <v>105</v>
      </c>
      <c r="C1954" s="452">
        <v>46174</v>
      </c>
      <c r="D1954" t="s">
        <v>557</v>
      </c>
      <c r="E1954">
        <v>19751</v>
      </c>
      <c r="F1954" t="s">
        <v>4800</v>
      </c>
      <c r="G1954">
        <v>11.3</v>
      </c>
      <c r="H1954" t="s">
        <v>4744</v>
      </c>
      <c r="I1954" t="s">
        <v>464</v>
      </c>
    </row>
    <row r="1955" spans="1:9" x14ac:dyDescent="0.3">
      <c r="A1955">
        <v>90534</v>
      </c>
      <c r="B1955">
        <v>105</v>
      </c>
      <c r="C1955" s="452">
        <v>46174</v>
      </c>
      <c r="D1955" t="s">
        <v>557</v>
      </c>
      <c r="E1955">
        <v>19752</v>
      </c>
      <c r="F1955" t="s">
        <v>4807</v>
      </c>
      <c r="G1955">
        <v>6.05</v>
      </c>
      <c r="H1955" t="s">
        <v>4744</v>
      </c>
      <c r="I1955" t="s">
        <v>464</v>
      </c>
    </row>
    <row r="1956" spans="1:9" x14ac:dyDescent="0.3">
      <c r="A1956">
        <v>90535</v>
      </c>
      <c r="B1956">
        <v>105</v>
      </c>
      <c r="C1956" s="452">
        <v>46174</v>
      </c>
      <c r="D1956" t="s">
        <v>557</v>
      </c>
      <c r="E1956">
        <v>19765</v>
      </c>
      <c r="F1956" t="s">
        <v>4889</v>
      </c>
      <c r="G1956">
        <v>1</v>
      </c>
      <c r="H1956" t="s">
        <v>4744</v>
      </c>
      <c r="I1956" t="s">
        <v>464</v>
      </c>
    </row>
    <row r="1957" spans="1:9" x14ac:dyDescent="0.3">
      <c r="A1957">
        <v>90536</v>
      </c>
      <c r="B1957">
        <v>105</v>
      </c>
      <c r="C1957" s="452">
        <v>46174</v>
      </c>
      <c r="D1957" t="s">
        <v>557</v>
      </c>
      <c r="E1957">
        <v>19787</v>
      </c>
      <c r="F1957" t="s">
        <v>4793</v>
      </c>
      <c r="G1957">
        <v>6.83</v>
      </c>
      <c r="H1957" t="s">
        <v>4744</v>
      </c>
      <c r="I1957" t="s">
        <v>464</v>
      </c>
    </row>
    <row r="1958" spans="1:9" x14ac:dyDescent="0.3">
      <c r="A1958">
        <v>90537</v>
      </c>
      <c r="B1958">
        <v>105</v>
      </c>
      <c r="C1958" s="452">
        <v>46174</v>
      </c>
      <c r="D1958" t="s">
        <v>557</v>
      </c>
      <c r="E1958">
        <v>19790</v>
      </c>
      <c r="F1958" t="s">
        <v>5073</v>
      </c>
      <c r="G1958">
        <v>3</v>
      </c>
      <c r="H1958" t="s">
        <v>4744</v>
      </c>
      <c r="I1958" t="s">
        <v>464</v>
      </c>
    </row>
    <row r="1959" spans="1:9" x14ac:dyDescent="0.3">
      <c r="A1959">
        <v>90538</v>
      </c>
      <c r="B1959">
        <v>105</v>
      </c>
      <c r="C1959" s="452">
        <v>46174</v>
      </c>
      <c r="D1959" t="s">
        <v>557</v>
      </c>
      <c r="E1959">
        <v>19892</v>
      </c>
      <c r="F1959" t="s">
        <v>5150</v>
      </c>
      <c r="G1959">
        <v>0.97</v>
      </c>
      <c r="H1959" t="s">
        <v>4744</v>
      </c>
      <c r="I1959" t="s">
        <v>464</v>
      </c>
    </row>
    <row r="1960" spans="1:9" x14ac:dyDescent="0.3">
      <c r="A1960">
        <v>90539</v>
      </c>
      <c r="B1960">
        <v>105</v>
      </c>
      <c r="C1960" s="452">
        <v>46174</v>
      </c>
      <c r="D1960" t="s">
        <v>557</v>
      </c>
      <c r="E1960">
        <v>19895</v>
      </c>
      <c r="F1960" t="s">
        <v>5080</v>
      </c>
      <c r="G1960">
        <v>1</v>
      </c>
      <c r="H1960" t="s">
        <v>4888</v>
      </c>
      <c r="I1960" t="s">
        <v>464</v>
      </c>
    </row>
    <row r="1961" spans="1:9" x14ac:dyDescent="0.3">
      <c r="A1961">
        <v>90540</v>
      </c>
      <c r="B1961">
        <v>105</v>
      </c>
      <c r="C1961" s="452">
        <v>46174</v>
      </c>
      <c r="D1961" t="s">
        <v>557</v>
      </c>
      <c r="E1961">
        <v>19906</v>
      </c>
      <c r="F1961" t="s">
        <v>5159</v>
      </c>
      <c r="G1961">
        <v>1.07</v>
      </c>
      <c r="H1961" t="s">
        <v>4738</v>
      </c>
      <c r="I1961" t="s">
        <v>464</v>
      </c>
    </row>
    <row r="1962" spans="1:9" x14ac:dyDescent="0.3">
      <c r="A1962">
        <v>90541</v>
      </c>
      <c r="B1962">
        <v>105</v>
      </c>
      <c r="C1962" s="452">
        <v>46174</v>
      </c>
      <c r="D1962" t="s">
        <v>557</v>
      </c>
      <c r="E1962">
        <v>19917</v>
      </c>
      <c r="F1962" t="s">
        <v>5131</v>
      </c>
      <c r="G1962">
        <v>16.3</v>
      </c>
      <c r="H1962" t="s">
        <v>4738</v>
      </c>
      <c r="I1962" t="s">
        <v>464</v>
      </c>
    </row>
    <row r="1963" spans="1:9" x14ac:dyDescent="0.3">
      <c r="A1963">
        <v>90542</v>
      </c>
      <c r="B1963">
        <v>105</v>
      </c>
      <c r="C1963" s="452">
        <v>46174</v>
      </c>
      <c r="D1963" t="s">
        <v>557</v>
      </c>
      <c r="E1963">
        <v>19939</v>
      </c>
      <c r="F1963" t="s">
        <v>5057</v>
      </c>
      <c r="G1963">
        <v>0.5</v>
      </c>
      <c r="H1963" t="s">
        <v>4744</v>
      </c>
      <c r="I1963" t="s">
        <v>464</v>
      </c>
    </row>
    <row r="1964" spans="1:9" x14ac:dyDescent="0.3">
      <c r="A1964">
        <v>90543</v>
      </c>
      <c r="B1964">
        <v>105</v>
      </c>
      <c r="C1964" s="452">
        <v>46174</v>
      </c>
      <c r="D1964" t="s">
        <v>557</v>
      </c>
      <c r="E1964">
        <v>19967</v>
      </c>
      <c r="F1964" t="s">
        <v>4956</v>
      </c>
      <c r="G1964">
        <v>8</v>
      </c>
      <c r="H1964" t="s">
        <v>4888</v>
      </c>
      <c r="I1964" t="s">
        <v>464</v>
      </c>
    </row>
    <row r="1965" spans="1:9" x14ac:dyDescent="0.3">
      <c r="A1965">
        <v>90544</v>
      </c>
      <c r="B1965">
        <v>105</v>
      </c>
      <c r="C1965" s="452">
        <v>46174</v>
      </c>
      <c r="D1965" t="s">
        <v>557</v>
      </c>
      <c r="E1965">
        <v>19969</v>
      </c>
      <c r="F1965" t="s">
        <v>5018</v>
      </c>
      <c r="G1965">
        <v>2</v>
      </c>
      <c r="H1965" t="s">
        <v>4888</v>
      </c>
      <c r="I1965" t="s">
        <v>464</v>
      </c>
    </row>
    <row r="1966" spans="1:9" x14ac:dyDescent="0.3">
      <c r="A1966">
        <v>90545</v>
      </c>
      <c r="B1966">
        <v>105</v>
      </c>
      <c r="C1966" s="452">
        <v>46174</v>
      </c>
      <c r="D1966" t="s">
        <v>557</v>
      </c>
      <c r="E1966">
        <v>19978</v>
      </c>
      <c r="F1966" t="s">
        <v>4887</v>
      </c>
      <c r="G1966">
        <v>1</v>
      </c>
      <c r="H1966" t="s">
        <v>4888</v>
      </c>
      <c r="I1966" t="s">
        <v>464</v>
      </c>
    </row>
    <row r="1967" spans="1:9" x14ac:dyDescent="0.3">
      <c r="A1967">
        <v>90546</v>
      </c>
      <c r="B1967">
        <v>105</v>
      </c>
      <c r="C1967" s="452">
        <v>46174</v>
      </c>
      <c r="D1967" t="s">
        <v>557</v>
      </c>
      <c r="E1967">
        <v>19982</v>
      </c>
      <c r="F1967" t="s">
        <v>5017</v>
      </c>
      <c r="G1967">
        <v>1</v>
      </c>
      <c r="H1967" t="s">
        <v>4888</v>
      </c>
      <c r="I1967" t="s">
        <v>464</v>
      </c>
    </row>
    <row r="1968" spans="1:9" x14ac:dyDescent="0.3">
      <c r="A1968">
        <v>90547</v>
      </c>
      <c r="B1968">
        <v>105</v>
      </c>
      <c r="C1968" s="452">
        <v>46174</v>
      </c>
      <c r="D1968" t="s">
        <v>557</v>
      </c>
      <c r="E1968">
        <v>20007</v>
      </c>
      <c r="F1968" t="s">
        <v>5101</v>
      </c>
      <c r="G1968">
        <v>3</v>
      </c>
      <c r="H1968" t="s">
        <v>4884</v>
      </c>
      <c r="I1968" t="s">
        <v>464</v>
      </c>
    </row>
    <row r="1969" spans="1:9" x14ac:dyDescent="0.3">
      <c r="A1969">
        <v>90548</v>
      </c>
      <c r="B1969">
        <v>105</v>
      </c>
      <c r="C1969" s="452">
        <v>46174</v>
      </c>
      <c r="D1969" t="s">
        <v>557</v>
      </c>
      <c r="E1969">
        <v>20025</v>
      </c>
      <c r="F1969" t="s">
        <v>5010</v>
      </c>
      <c r="G1969">
        <v>1</v>
      </c>
      <c r="H1969" t="s">
        <v>4736</v>
      </c>
      <c r="I1969" t="s">
        <v>464</v>
      </c>
    </row>
    <row r="1970" spans="1:9" x14ac:dyDescent="0.3">
      <c r="A1970">
        <v>90549</v>
      </c>
      <c r="B1970">
        <v>105</v>
      </c>
      <c r="C1970" s="452">
        <v>46174</v>
      </c>
      <c r="D1970" t="s">
        <v>557</v>
      </c>
      <c r="E1970">
        <v>20054</v>
      </c>
      <c r="F1970" t="s">
        <v>4856</v>
      </c>
      <c r="G1970">
        <v>16</v>
      </c>
      <c r="H1970" t="s">
        <v>4736</v>
      </c>
      <c r="I1970" t="s">
        <v>464</v>
      </c>
    </row>
    <row r="1971" spans="1:9" x14ac:dyDescent="0.3">
      <c r="A1971">
        <v>90550</v>
      </c>
      <c r="B1971">
        <v>105</v>
      </c>
      <c r="C1971" s="452">
        <v>46174</v>
      </c>
      <c r="D1971" t="s">
        <v>557</v>
      </c>
      <c r="E1971">
        <v>20057</v>
      </c>
      <c r="F1971" t="s">
        <v>4949</v>
      </c>
      <c r="G1971">
        <v>2.5</v>
      </c>
      <c r="H1971" t="s">
        <v>4736</v>
      </c>
      <c r="I1971" t="s">
        <v>464</v>
      </c>
    </row>
    <row r="1972" spans="1:9" x14ac:dyDescent="0.3">
      <c r="A1972">
        <v>90551</v>
      </c>
      <c r="B1972">
        <v>105</v>
      </c>
      <c r="C1972" s="452">
        <v>46174</v>
      </c>
      <c r="D1972" t="s">
        <v>557</v>
      </c>
      <c r="E1972">
        <v>20105</v>
      </c>
      <c r="F1972" t="s">
        <v>4831</v>
      </c>
      <c r="G1972">
        <v>2.5</v>
      </c>
      <c r="H1972" t="s">
        <v>4744</v>
      </c>
      <c r="I1972" t="s">
        <v>464</v>
      </c>
    </row>
    <row r="1973" spans="1:9" x14ac:dyDescent="0.3">
      <c r="A1973">
        <v>90552</v>
      </c>
      <c r="B1973">
        <v>105</v>
      </c>
      <c r="C1973" s="452">
        <v>46174</v>
      </c>
      <c r="D1973" t="s">
        <v>557</v>
      </c>
      <c r="E1973">
        <v>20122</v>
      </c>
      <c r="F1973" t="s">
        <v>4781</v>
      </c>
      <c r="G1973">
        <v>2</v>
      </c>
      <c r="H1973" t="s">
        <v>4738</v>
      </c>
      <c r="I1973" t="s">
        <v>464</v>
      </c>
    </row>
    <row r="1974" spans="1:9" x14ac:dyDescent="0.3">
      <c r="A1974">
        <v>90553</v>
      </c>
      <c r="B1974">
        <v>105</v>
      </c>
      <c r="C1974" s="452">
        <v>46174</v>
      </c>
      <c r="D1974" t="s">
        <v>557</v>
      </c>
      <c r="E1974">
        <v>20138</v>
      </c>
      <c r="F1974" t="s">
        <v>4886</v>
      </c>
      <c r="G1974">
        <v>5</v>
      </c>
      <c r="H1974" t="s">
        <v>4738</v>
      </c>
      <c r="I1974" t="s">
        <v>464</v>
      </c>
    </row>
    <row r="1975" spans="1:9" x14ac:dyDescent="0.3">
      <c r="A1975">
        <v>90554</v>
      </c>
      <c r="B1975">
        <v>105</v>
      </c>
      <c r="C1975" s="452">
        <v>46174</v>
      </c>
      <c r="D1975" t="s">
        <v>557</v>
      </c>
      <c r="E1975">
        <v>20176</v>
      </c>
      <c r="F1975" t="s">
        <v>5175</v>
      </c>
      <c r="G1975">
        <v>1</v>
      </c>
      <c r="H1975" t="s">
        <v>4736</v>
      </c>
      <c r="I1975" t="s">
        <v>464</v>
      </c>
    </row>
    <row r="1976" spans="1:9" x14ac:dyDescent="0.3">
      <c r="A1976">
        <v>90555</v>
      </c>
      <c r="B1976">
        <v>105</v>
      </c>
      <c r="C1976" s="452">
        <v>46174</v>
      </c>
      <c r="D1976" t="s">
        <v>557</v>
      </c>
      <c r="E1976">
        <v>20186</v>
      </c>
      <c r="F1976" t="s">
        <v>5061</v>
      </c>
      <c r="G1976">
        <v>1</v>
      </c>
      <c r="H1976" t="s">
        <v>4744</v>
      </c>
      <c r="I1976" t="s">
        <v>464</v>
      </c>
    </row>
    <row r="1977" spans="1:9" x14ac:dyDescent="0.3">
      <c r="A1977">
        <v>90556</v>
      </c>
      <c r="B1977">
        <v>105</v>
      </c>
      <c r="C1977" s="452">
        <v>46174</v>
      </c>
      <c r="D1977" t="s">
        <v>557</v>
      </c>
      <c r="E1977">
        <v>20213</v>
      </c>
      <c r="F1977" t="s">
        <v>5160</v>
      </c>
      <c r="G1977">
        <v>2</v>
      </c>
      <c r="H1977" t="s">
        <v>4738</v>
      </c>
      <c r="I1977" t="s">
        <v>464</v>
      </c>
    </row>
    <row r="1978" spans="1:9" x14ac:dyDescent="0.3">
      <c r="A1978">
        <v>90557</v>
      </c>
      <c r="B1978">
        <v>105</v>
      </c>
      <c r="C1978" s="452">
        <v>46174</v>
      </c>
      <c r="D1978" t="s">
        <v>557</v>
      </c>
      <c r="E1978">
        <v>20224</v>
      </c>
      <c r="F1978" t="s">
        <v>5118</v>
      </c>
      <c r="G1978">
        <v>1.5</v>
      </c>
      <c r="H1978" t="s">
        <v>4744</v>
      </c>
      <c r="I1978" t="s">
        <v>464</v>
      </c>
    </row>
    <row r="1979" spans="1:9" x14ac:dyDescent="0.3">
      <c r="A1979">
        <v>90558</v>
      </c>
      <c r="B1979">
        <v>105</v>
      </c>
      <c r="C1979" s="452">
        <v>46174</v>
      </c>
      <c r="D1979" t="s">
        <v>557</v>
      </c>
      <c r="E1979">
        <v>20227</v>
      </c>
      <c r="F1979" t="s">
        <v>4825</v>
      </c>
      <c r="G1979">
        <v>1</v>
      </c>
      <c r="H1979" t="s">
        <v>4738</v>
      </c>
      <c r="I1979" t="s">
        <v>464</v>
      </c>
    </row>
    <row r="1980" spans="1:9" x14ac:dyDescent="0.3">
      <c r="A1980">
        <v>90559</v>
      </c>
      <c r="B1980">
        <v>105</v>
      </c>
      <c r="C1980" s="452">
        <v>46174</v>
      </c>
      <c r="D1980" t="s">
        <v>557</v>
      </c>
      <c r="E1980">
        <v>20242</v>
      </c>
      <c r="F1980" t="s">
        <v>4824</v>
      </c>
      <c r="G1980">
        <v>4</v>
      </c>
      <c r="H1980" t="s">
        <v>4738</v>
      </c>
      <c r="I1980" t="s">
        <v>464</v>
      </c>
    </row>
    <row r="1981" spans="1:9" x14ac:dyDescent="0.3">
      <c r="A1981">
        <v>90560</v>
      </c>
      <c r="B1981">
        <v>105</v>
      </c>
      <c r="C1981" s="452">
        <v>46174</v>
      </c>
      <c r="D1981" t="s">
        <v>557</v>
      </c>
      <c r="E1981">
        <v>20295</v>
      </c>
      <c r="F1981" t="s">
        <v>4881</v>
      </c>
      <c r="G1981">
        <v>2.0499999999999998</v>
      </c>
      <c r="H1981" t="s">
        <v>4736</v>
      </c>
      <c r="I1981" t="s">
        <v>464</v>
      </c>
    </row>
    <row r="1982" spans="1:9" x14ac:dyDescent="0.3">
      <c r="A1982">
        <v>90561</v>
      </c>
      <c r="B1982">
        <v>105</v>
      </c>
      <c r="C1982" s="452">
        <v>46174</v>
      </c>
      <c r="D1982" t="s">
        <v>557</v>
      </c>
      <c r="E1982">
        <v>20301</v>
      </c>
      <c r="F1982" t="s">
        <v>4944</v>
      </c>
      <c r="G1982">
        <v>7</v>
      </c>
      <c r="H1982" t="s">
        <v>4738</v>
      </c>
      <c r="I1982" t="s">
        <v>464</v>
      </c>
    </row>
    <row r="1983" spans="1:9" x14ac:dyDescent="0.3">
      <c r="A1983">
        <v>90562</v>
      </c>
      <c r="B1983">
        <v>105</v>
      </c>
      <c r="C1983" s="452">
        <v>46174</v>
      </c>
      <c r="D1983" t="s">
        <v>557</v>
      </c>
      <c r="E1983">
        <v>20308</v>
      </c>
      <c r="F1983" t="s">
        <v>4909</v>
      </c>
      <c r="G1983">
        <v>2.5299999999999998</v>
      </c>
      <c r="H1983" t="s">
        <v>4738</v>
      </c>
      <c r="I1983" t="s">
        <v>464</v>
      </c>
    </row>
    <row r="1984" spans="1:9" x14ac:dyDescent="0.3">
      <c r="A1984">
        <v>90563</v>
      </c>
      <c r="B1984">
        <v>105</v>
      </c>
      <c r="C1984" s="452">
        <v>46174</v>
      </c>
      <c r="D1984" t="s">
        <v>557</v>
      </c>
      <c r="E1984">
        <v>20322</v>
      </c>
      <c r="F1984" t="s">
        <v>4882</v>
      </c>
      <c r="G1984">
        <v>3</v>
      </c>
      <c r="H1984" t="s">
        <v>4738</v>
      </c>
      <c r="I1984" t="s">
        <v>464</v>
      </c>
    </row>
    <row r="1985" spans="1:9" x14ac:dyDescent="0.3">
      <c r="A1985">
        <v>90564</v>
      </c>
      <c r="B1985">
        <v>105</v>
      </c>
      <c r="C1985" s="452">
        <v>46174</v>
      </c>
      <c r="D1985" t="s">
        <v>557</v>
      </c>
      <c r="E1985">
        <v>20358</v>
      </c>
      <c r="F1985" t="s">
        <v>4911</v>
      </c>
      <c r="G1985">
        <v>3.17</v>
      </c>
      <c r="H1985" t="s">
        <v>4738</v>
      </c>
      <c r="I1985" t="s">
        <v>464</v>
      </c>
    </row>
    <row r="1986" spans="1:9" x14ac:dyDescent="0.3">
      <c r="A1986">
        <v>90565</v>
      </c>
      <c r="B1986">
        <v>105</v>
      </c>
      <c r="C1986" s="452">
        <v>46174</v>
      </c>
      <c r="D1986" t="s">
        <v>557</v>
      </c>
      <c r="E1986">
        <v>20365</v>
      </c>
      <c r="F1986" t="s">
        <v>4796</v>
      </c>
      <c r="G1986">
        <v>17.63</v>
      </c>
      <c r="H1986" t="s">
        <v>4736</v>
      </c>
      <c r="I1986" t="s">
        <v>464</v>
      </c>
    </row>
    <row r="1987" spans="1:9" x14ac:dyDescent="0.3">
      <c r="A1987">
        <v>90566</v>
      </c>
      <c r="B1987">
        <v>105</v>
      </c>
      <c r="C1987" s="452">
        <v>46174</v>
      </c>
      <c r="D1987" t="s">
        <v>557</v>
      </c>
      <c r="E1987">
        <v>20382</v>
      </c>
      <c r="F1987" t="s">
        <v>4780</v>
      </c>
      <c r="G1987">
        <v>15</v>
      </c>
      <c r="H1987" t="s">
        <v>4738</v>
      </c>
      <c r="I1987" t="s">
        <v>464</v>
      </c>
    </row>
    <row r="1988" spans="1:9" x14ac:dyDescent="0.3">
      <c r="A1988">
        <v>90567</v>
      </c>
      <c r="B1988">
        <v>105</v>
      </c>
      <c r="C1988" s="452">
        <v>46174</v>
      </c>
      <c r="D1988" t="s">
        <v>557</v>
      </c>
      <c r="E1988">
        <v>20501</v>
      </c>
      <c r="F1988" t="s">
        <v>4760</v>
      </c>
      <c r="G1988">
        <v>36</v>
      </c>
      <c r="H1988" t="s">
        <v>4744</v>
      </c>
      <c r="I1988" t="s">
        <v>464</v>
      </c>
    </row>
    <row r="1989" spans="1:9" x14ac:dyDescent="0.3">
      <c r="A1989">
        <v>90568</v>
      </c>
      <c r="B1989">
        <v>105</v>
      </c>
      <c r="C1989" s="452">
        <v>46174</v>
      </c>
      <c r="D1989" t="s">
        <v>557</v>
      </c>
      <c r="E1989">
        <v>20544</v>
      </c>
      <c r="F1989" t="s">
        <v>4808</v>
      </c>
      <c r="G1989">
        <v>35.119999999999997</v>
      </c>
      <c r="H1989" t="s">
        <v>4744</v>
      </c>
      <c r="I1989" t="s">
        <v>464</v>
      </c>
    </row>
    <row r="1990" spans="1:9" x14ac:dyDescent="0.3">
      <c r="A1990">
        <v>90569</v>
      </c>
      <c r="B1990">
        <v>105</v>
      </c>
      <c r="C1990" s="452">
        <v>46174</v>
      </c>
      <c r="D1990" t="s">
        <v>557</v>
      </c>
      <c r="E1990">
        <v>20549</v>
      </c>
      <c r="F1990" t="s">
        <v>4823</v>
      </c>
      <c r="G1990">
        <v>11.45</v>
      </c>
      <c r="H1990" t="s">
        <v>4744</v>
      </c>
      <c r="I1990" t="s">
        <v>464</v>
      </c>
    </row>
    <row r="1991" spans="1:9" x14ac:dyDescent="0.3">
      <c r="A1991">
        <v>90570</v>
      </c>
      <c r="B1991">
        <v>105</v>
      </c>
      <c r="C1991" s="452">
        <v>46174</v>
      </c>
      <c r="D1991" t="s">
        <v>557</v>
      </c>
      <c r="E1991">
        <v>20585</v>
      </c>
      <c r="F1991" t="s">
        <v>5025</v>
      </c>
      <c r="G1991">
        <v>1</v>
      </c>
      <c r="H1991" t="s">
        <v>4736</v>
      </c>
      <c r="I1991" t="s">
        <v>464</v>
      </c>
    </row>
    <row r="1992" spans="1:9" x14ac:dyDescent="0.3">
      <c r="A1992">
        <v>90571</v>
      </c>
      <c r="B1992">
        <v>105</v>
      </c>
      <c r="C1992" s="452">
        <v>46174</v>
      </c>
      <c r="D1992" t="s">
        <v>557</v>
      </c>
      <c r="E1992">
        <v>20614</v>
      </c>
      <c r="F1992" t="s">
        <v>4958</v>
      </c>
      <c r="G1992">
        <v>0.23</v>
      </c>
      <c r="H1992" t="s">
        <v>4736</v>
      </c>
      <c r="I1992" t="s">
        <v>464</v>
      </c>
    </row>
    <row r="1993" spans="1:9" x14ac:dyDescent="0.3">
      <c r="A1993">
        <v>90572</v>
      </c>
      <c r="B1993">
        <v>105</v>
      </c>
      <c r="C1993" s="452">
        <v>46174</v>
      </c>
      <c r="D1993" t="s">
        <v>557</v>
      </c>
      <c r="E1993">
        <v>20623</v>
      </c>
      <c r="F1993" t="s">
        <v>4814</v>
      </c>
      <c r="G1993">
        <v>30</v>
      </c>
      <c r="H1993" t="s">
        <v>4736</v>
      </c>
      <c r="I1993" t="s">
        <v>464</v>
      </c>
    </row>
    <row r="1994" spans="1:9" x14ac:dyDescent="0.3">
      <c r="A1994">
        <v>90573</v>
      </c>
      <c r="B1994">
        <v>105</v>
      </c>
      <c r="C1994" s="452">
        <v>46174</v>
      </c>
      <c r="D1994" t="s">
        <v>557</v>
      </c>
      <c r="E1994">
        <v>20624</v>
      </c>
      <c r="F1994" t="s">
        <v>5019</v>
      </c>
      <c r="G1994">
        <v>1</v>
      </c>
      <c r="H1994" t="s">
        <v>4884</v>
      </c>
      <c r="I1994" t="s">
        <v>464</v>
      </c>
    </row>
    <row r="1995" spans="1:9" x14ac:dyDescent="0.3">
      <c r="A1995">
        <v>90574</v>
      </c>
      <c r="B1995">
        <v>105</v>
      </c>
      <c r="C1995" s="452">
        <v>46174</v>
      </c>
      <c r="D1995" t="s">
        <v>557</v>
      </c>
      <c r="E1995">
        <v>20653</v>
      </c>
      <c r="F1995" t="s">
        <v>5013</v>
      </c>
      <c r="G1995">
        <v>1</v>
      </c>
      <c r="H1995" t="s">
        <v>4736</v>
      </c>
      <c r="I1995" t="s">
        <v>464</v>
      </c>
    </row>
    <row r="1996" spans="1:9" x14ac:dyDescent="0.3">
      <c r="A1996">
        <v>90575</v>
      </c>
      <c r="B1996">
        <v>105</v>
      </c>
      <c r="C1996" s="452">
        <v>46174</v>
      </c>
      <c r="D1996" t="s">
        <v>557</v>
      </c>
      <c r="E1996">
        <v>20661</v>
      </c>
      <c r="F1996" t="s">
        <v>5012</v>
      </c>
      <c r="G1996">
        <v>4</v>
      </c>
      <c r="H1996" t="s">
        <v>4736</v>
      </c>
      <c r="I1996" t="s">
        <v>464</v>
      </c>
    </row>
    <row r="1997" spans="1:9" x14ac:dyDescent="0.3">
      <c r="A1997">
        <v>90576</v>
      </c>
      <c r="B1997">
        <v>105</v>
      </c>
      <c r="C1997" s="452">
        <v>46174</v>
      </c>
      <c r="D1997" t="s">
        <v>557</v>
      </c>
      <c r="E1997">
        <v>20672</v>
      </c>
      <c r="F1997" t="s">
        <v>4857</v>
      </c>
      <c r="G1997">
        <v>1</v>
      </c>
      <c r="H1997" t="s">
        <v>4738</v>
      </c>
      <c r="I1997" t="s">
        <v>464</v>
      </c>
    </row>
    <row r="1998" spans="1:9" x14ac:dyDescent="0.3">
      <c r="A1998">
        <v>90577</v>
      </c>
      <c r="B1998">
        <v>105</v>
      </c>
      <c r="C1998" s="452">
        <v>46174</v>
      </c>
      <c r="D1998" t="s">
        <v>557</v>
      </c>
      <c r="E1998">
        <v>20689</v>
      </c>
      <c r="F1998" t="s">
        <v>5007</v>
      </c>
      <c r="G1998">
        <v>2.2200000000000002</v>
      </c>
      <c r="H1998" t="s">
        <v>4736</v>
      </c>
      <c r="I1998" t="s">
        <v>464</v>
      </c>
    </row>
    <row r="1999" spans="1:9" x14ac:dyDescent="0.3">
      <c r="A1999">
        <v>90578</v>
      </c>
      <c r="B1999">
        <v>105</v>
      </c>
      <c r="C1999" s="452">
        <v>46174</v>
      </c>
      <c r="D1999" t="s">
        <v>557</v>
      </c>
      <c r="E1999">
        <v>20751</v>
      </c>
      <c r="F1999" t="s">
        <v>5004</v>
      </c>
      <c r="G1999">
        <v>1.56</v>
      </c>
      <c r="H1999" t="s">
        <v>4884</v>
      </c>
      <c r="I1999" t="s">
        <v>464</v>
      </c>
    </row>
    <row r="2000" spans="1:9" x14ac:dyDescent="0.3">
      <c r="A2000">
        <v>90579</v>
      </c>
      <c r="B2000">
        <v>105</v>
      </c>
      <c r="C2000" s="452">
        <v>46174</v>
      </c>
      <c r="D2000" t="s">
        <v>557</v>
      </c>
      <c r="E2000">
        <v>20757</v>
      </c>
      <c r="F2000" t="s">
        <v>5176</v>
      </c>
      <c r="G2000">
        <v>1.5</v>
      </c>
      <c r="H2000" t="s">
        <v>4884</v>
      </c>
      <c r="I2000" t="s">
        <v>464</v>
      </c>
    </row>
    <row r="2001" spans="1:9" x14ac:dyDescent="0.3">
      <c r="A2001">
        <v>90580</v>
      </c>
      <c r="B2001">
        <v>105</v>
      </c>
      <c r="C2001" s="452">
        <v>46174</v>
      </c>
      <c r="D2001" t="s">
        <v>557</v>
      </c>
      <c r="E2001">
        <v>20792</v>
      </c>
      <c r="F2001" t="s">
        <v>5022</v>
      </c>
      <c r="G2001">
        <v>4</v>
      </c>
      <c r="H2001" t="s">
        <v>4738</v>
      </c>
      <c r="I2001" t="s">
        <v>464</v>
      </c>
    </row>
    <row r="2002" spans="1:9" x14ac:dyDescent="0.3">
      <c r="A2002">
        <v>90581</v>
      </c>
      <c r="B2002">
        <v>105</v>
      </c>
      <c r="C2002" s="452">
        <v>46174</v>
      </c>
      <c r="D2002" t="s">
        <v>557</v>
      </c>
      <c r="E2002">
        <v>20809</v>
      </c>
      <c r="F2002" t="s">
        <v>4822</v>
      </c>
      <c r="G2002">
        <v>11.3</v>
      </c>
      <c r="H2002" t="s">
        <v>4738</v>
      </c>
      <c r="I2002" t="s">
        <v>464</v>
      </c>
    </row>
    <row r="2003" spans="1:9" x14ac:dyDescent="0.3">
      <c r="A2003">
        <v>90582</v>
      </c>
      <c r="B2003">
        <v>105</v>
      </c>
      <c r="C2003" s="452">
        <v>46174</v>
      </c>
      <c r="D2003" t="s">
        <v>557</v>
      </c>
      <c r="E2003">
        <v>20871</v>
      </c>
      <c r="F2003" t="s">
        <v>5015</v>
      </c>
      <c r="G2003">
        <v>5.7</v>
      </c>
      <c r="H2003" t="s">
        <v>4879</v>
      </c>
      <c r="I2003" t="s">
        <v>464</v>
      </c>
    </row>
    <row r="2004" spans="1:9" x14ac:dyDescent="0.3">
      <c r="A2004">
        <v>90583</v>
      </c>
      <c r="B2004">
        <v>105</v>
      </c>
      <c r="C2004" s="452">
        <v>46174</v>
      </c>
      <c r="D2004" t="s">
        <v>557</v>
      </c>
      <c r="E2004">
        <v>20887</v>
      </c>
      <c r="F2004" t="s">
        <v>4953</v>
      </c>
      <c r="G2004">
        <v>3.5</v>
      </c>
      <c r="H2004" t="s">
        <v>4879</v>
      </c>
      <c r="I2004" t="s">
        <v>464</v>
      </c>
    </row>
    <row r="2005" spans="1:9" x14ac:dyDescent="0.3">
      <c r="A2005">
        <v>90584</v>
      </c>
      <c r="B2005">
        <v>105</v>
      </c>
      <c r="C2005" s="452">
        <v>46174</v>
      </c>
      <c r="D2005" t="s">
        <v>557</v>
      </c>
      <c r="E2005">
        <v>20928</v>
      </c>
      <c r="F2005" t="s">
        <v>4950</v>
      </c>
      <c r="G2005">
        <v>0.35</v>
      </c>
      <c r="H2005" t="s">
        <v>4736</v>
      </c>
      <c r="I2005" t="s">
        <v>464</v>
      </c>
    </row>
    <row r="2006" spans="1:9" x14ac:dyDescent="0.3">
      <c r="A2006">
        <v>90585</v>
      </c>
      <c r="B2006">
        <v>105</v>
      </c>
      <c r="C2006" s="452">
        <v>46174</v>
      </c>
      <c r="D2006" t="s">
        <v>557</v>
      </c>
      <c r="E2006">
        <v>20955</v>
      </c>
      <c r="F2006" t="s">
        <v>4959</v>
      </c>
      <c r="G2006">
        <v>4</v>
      </c>
      <c r="H2006" t="s">
        <v>4805</v>
      </c>
      <c r="I2006" t="s">
        <v>464</v>
      </c>
    </row>
    <row r="2007" spans="1:9" x14ac:dyDescent="0.3">
      <c r="A2007">
        <v>90586</v>
      </c>
      <c r="B2007">
        <v>105</v>
      </c>
      <c r="C2007" s="452">
        <v>46174</v>
      </c>
      <c r="D2007" t="s">
        <v>557</v>
      </c>
      <c r="E2007">
        <v>20984</v>
      </c>
      <c r="F2007" t="s">
        <v>5133</v>
      </c>
      <c r="G2007">
        <v>16.05</v>
      </c>
      <c r="H2007" t="s">
        <v>4888</v>
      </c>
      <c r="I2007" t="s">
        <v>464</v>
      </c>
    </row>
    <row r="2008" spans="1:9" x14ac:dyDescent="0.3">
      <c r="A2008">
        <v>90587</v>
      </c>
      <c r="B2008">
        <v>105</v>
      </c>
      <c r="C2008" s="452">
        <v>46174</v>
      </c>
      <c r="D2008" t="s">
        <v>557</v>
      </c>
      <c r="E2008">
        <v>21005</v>
      </c>
      <c r="F2008" t="s">
        <v>5161</v>
      </c>
      <c r="G2008">
        <v>0.5</v>
      </c>
      <c r="H2008" t="s">
        <v>4888</v>
      </c>
      <c r="I2008" t="s">
        <v>464</v>
      </c>
    </row>
    <row r="2009" spans="1:9" x14ac:dyDescent="0.3">
      <c r="A2009">
        <v>90588</v>
      </c>
      <c r="B2009">
        <v>105</v>
      </c>
      <c r="C2009" s="452">
        <v>46174</v>
      </c>
      <c r="D2009" t="s">
        <v>557</v>
      </c>
      <c r="E2009">
        <v>21021</v>
      </c>
      <c r="F2009" t="s">
        <v>4883</v>
      </c>
      <c r="G2009">
        <v>2</v>
      </c>
      <c r="H2009" t="s">
        <v>4884</v>
      </c>
      <c r="I2009" t="s">
        <v>464</v>
      </c>
    </row>
    <row r="2010" spans="1:9" x14ac:dyDescent="0.3">
      <c r="A2010">
        <v>90589</v>
      </c>
      <c r="B2010">
        <v>105</v>
      </c>
      <c r="C2010" s="452">
        <v>46174</v>
      </c>
      <c r="D2010" t="s">
        <v>557</v>
      </c>
      <c r="E2010">
        <v>21030</v>
      </c>
      <c r="F2010" t="s">
        <v>5145</v>
      </c>
      <c r="G2010">
        <v>8</v>
      </c>
      <c r="H2010" t="s">
        <v>4736</v>
      </c>
      <c r="I2010" t="s">
        <v>464</v>
      </c>
    </row>
    <row r="2011" spans="1:9" x14ac:dyDescent="0.3">
      <c r="A2011">
        <v>90590</v>
      </c>
      <c r="B2011">
        <v>105</v>
      </c>
      <c r="C2011" s="452">
        <v>46174</v>
      </c>
      <c r="D2011" t="s">
        <v>557</v>
      </c>
      <c r="E2011">
        <v>21047</v>
      </c>
      <c r="F2011" t="s">
        <v>4847</v>
      </c>
      <c r="G2011">
        <v>5.78</v>
      </c>
      <c r="H2011" t="s">
        <v>4848</v>
      </c>
      <c r="I2011" t="s">
        <v>464</v>
      </c>
    </row>
    <row r="2012" spans="1:9" x14ac:dyDescent="0.3">
      <c r="A2012">
        <v>90591</v>
      </c>
      <c r="B2012">
        <v>105</v>
      </c>
      <c r="C2012" s="452">
        <v>46174</v>
      </c>
      <c r="D2012" t="s">
        <v>557</v>
      </c>
      <c r="E2012">
        <v>21060</v>
      </c>
      <c r="F2012" t="s">
        <v>4946</v>
      </c>
      <c r="G2012">
        <v>1.04</v>
      </c>
      <c r="H2012" t="s">
        <v>4736</v>
      </c>
      <c r="I2012" t="s">
        <v>464</v>
      </c>
    </row>
    <row r="2013" spans="1:9" x14ac:dyDescent="0.3">
      <c r="A2013">
        <v>90592</v>
      </c>
      <c r="B2013">
        <v>105</v>
      </c>
      <c r="C2013" s="452">
        <v>46174</v>
      </c>
      <c r="D2013" t="s">
        <v>557</v>
      </c>
      <c r="E2013">
        <v>21078</v>
      </c>
      <c r="F2013" t="s">
        <v>5162</v>
      </c>
      <c r="G2013">
        <v>1</v>
      </c>
      <c r="H2013" t="s">
        <v>4749</v>
      </c>
      <c r="I2013" t="s">
        <v>464</v>
      </c>
    </row>
    <row r="2014" spans="1:9" x14ac:dyDescent="0.3">
      <c r="A2014">
        <v>90593</v>
      </c>
      <c r="B2014">
        <v>105</v>
      </c>
      <c r="C2014" s="452">
        <v>46174</v>
      </c>
      <c r="D2014" t="s">
        <v>557</v>
      </c>
      <c r="E2014">
        <v>21085</v>
      </c>
      <c r="F2014" t="s">
        <v>5066</v>
      </c>
      <c r="G2014">
        <v>1</v>
      </c>
      <c r="H2014" t="s">
        <v>4749</v>
      </c>
      <c r="I2014" t="s">
        <v>464</v>
      </c>
    </row>
    <row r="2015" spans="1:9" x14ac:dyDescent="0.3">
      <c r="A2015">
        <v>90594</v>
      </c>
      <c r="B2015">
        <v>105</v>
      </c>
      <c r="C2015" s="452">
        <v>46174</v>
      </c>
      <c r="D2015" t="s">
        <v>557</v>
      </c>
      <c r="E2015">
        <v>21093</v>
      </c>
      <c r="F2015" t="s">
        <v>4855</v>
      </c>
      <c r="G2015">
        <v>32.5</v>
      </c>
      <c r="H2015" t="s">
        <v>4744</v>
      </c>
      <c r="I2015" t="s">
        <v>464</v>
      </c>
    </row>
    <row r="2016" spans="1:9" x14ac:dyDescent="0.3">
      <c r="A2016">
        <v>90595</v>
      </c>
      <c r="B2016">
        <v>105</v>
      </c>
      <c r="C2016" s="452">
        <v>46174</v>
      </c>
      <c r="D2016" t="s">
        <v>557</v>
      </c>
      <c r="E2016">
        <v>21147</v>
      </c>
      <c r="F2016" t="s">
        <v>4876</v>
      </c>
      <c r="G2016">
        <v>6</v>
      </c>
      <c r="H2016" t="s">
        <v>4736</v>
      </c>
      <c r="I2016" t="s">
        <v>464</v>
      </c>
    </row>
    <row r="2017" spans="1:9" x14ac:dyDescent="0.3">
      <c r="A2017">
        <v>90596</v>
      </c>
      <c r="B2017">
        <v>105</v>
      </c>
      <c r="C2017" s="452">
        <v>46174</v>
      </c>
      <c r="D2017" t="s">
        <v>557</v>
      </c>
      <c r="E2017">
        <v>21150</v>
      </c>
      <c r="F2017" t="s">
        <v>4878</v>
      </c>
      <c r="G2017">
        <v>3</v>
      </c>
      <c r="H2017" t="s">
        <v>4879</v>
      </c>
      <c r="I2017" t="s">
        <v>464</v>
      </c>
    </row>
    <row r="2018" spans="1:9" x14ac:dyDescent="0.3">
      <c r="A2018">
        <v>90597</v>
      </c>
      <c r="B2018">
        <v>105</v>
      </c>
      <c r="C2018" s="452">
        <v>46174</v>
      </c>
      <c r="D2018" t="s">
        <v>557</v>
      </c>
      <c r="E2018">
        <v>21257</v>
      </c>
      <c r="F2018" t="s">
        <v>4952</v>
      </c>
      <c r="G2018">
        <v>3</v>
      </c>
      <c r="H2018" t="s">
        <v>4736</v>
      </c>
      <c r="I2018" t="s">
        <v>464</v>
      </c>
    </row>
    <row r="2019" spans="1:9" x14ac:dyDescent="0.3">
      <c r="A2019">
        <v>90598</v>
      </c>
      <c r="B2019">
        <v>105</v>
      </c>
      <c r="C2019" s="452">
        <v>46174</v>
      </c>
      <c r="D2019" t="s">
        <v>557</v>
      </c>
      <c r="E2019">
        <v>22721</v>
      </c>
      <c r="F2019" t="s">
        <v>4803</v>
      </c>
      <c r="G2019">
        <v>1.53</v>
      </c>
      <c r="H2019" t="s">
        <v>4744</v>
      </c>
      <c r="I2019" t="s">
        <v>464</v>
      </c>
    </row>
    <row r="2020" spans="1:9" x14ac:dyDescent="0.3">
      <c r="A2020">
        <v>90599</v>
      </c>
      <c r="B2020">
        <v>105</v>
      </c>
      <c r="C2020" s="452">
        <v>46174</v>
      </c>
      <c r="D2020" t="s">
        <v>557</v>
      </c>
      <c r="E2020">
        <v>23088</v>
      </c>
      <c r="F2020" t="s">
        <v>5027</v>
      </c>
      <c r="G2020">
        <v>1</v>
      </c>
      <c r="H2020" t="s">
        <v>4736</v>
      </c>
      <c r="I2020" t="s">
        <v>464</v>
      </c>
    </row>
    <row r="2021" spans="1:9" x14ac:dyDescent="0.3">
      <c r="A2021">
        <v>90600</v>
      </c>
      <c r="B2021">
        <v>105</v>
      </c>
      <c r="C2021" s="452">
        <v>46174</v>
      </c>
      <c r="D2021" t="s">
        <v>557</v>
      </c>
      <c r="E2021">
        <v>23096</v>
      </c>
      <c r="F2021" t="s">
        <v>5164</v>
      </c>
      <c r="G2021">
        <v>62</v>
      </c>
      <c r="H2021" t="s">
        <v>4736</v>
      </c>
      <c r="I2021" t="s">
        <v>464</v>
      </c>
    </row>
    <row r="2022" spans="1:9" x14ac:dyDescent="0.3">
      <c r="A2022">
        <v>90601</v>
      </c>
      <c r="B2022">
        <v>105</v>
      </c>
      <c r="C2022" s="452">
        <v>46174</v>
      </c>
      <c r="D2022" t="s">
        <v>557</v>
      </c>
      <c r="E2022">
        <v>23113</v>
      </c>
      <c r="F2022" t="s">
        <v>5074</v>
      </c>
      <c r="G2022">
        <v>0.25</v>
      </c>
      <c r="H2022" t="s">
        <v>4744</v>
      </c>
      <c r="I2022" t="s">
        <v>464</v>
      </c>
    </row>
    <row r="2023" spans="1:9" x14ac:dyDescent="0.3">
      <c r="A2023">
        <v>90602</v>
      </c>
      <c r="B2023">
        <v>105</v>
      </c>
      <c r="C2023" s="452">
        <v>46174</v>
      </c>
      <c r="D2023" t="s">
        <v>557</v>
      </c>
      <c r="E2023">
        <v>23124</v>
      </c>
      <c r="F2023" t="s">
        <v>5126</v>
      </c>
      <c r="G2023">
        <v>0.13</v>
      </c>
      <c r="H2023" t="s">
        <v>4744</v>
      </c>
      <c r="I2023" t="s">
        <v>464</v>
      </c>
    </row>
    <row r="2024" spans="1:9" x14ac:dyDescent="0.3">
      <c r="A2024">
        <v>90603</v>
      </c>
      <c r="B2024">
        <v>105</v>
      </c>
      <c r="C2024" s="452">
        <v>46174</v>
      </c>
      <c r="D2024" t="s">
        <v>557</v>
      </c>
      <c r="E2024">
        <v>23184</v>
      </c>
      <c r="F2024" t="s">
        <v>4935</v>
      </c>
      <c r="G2024">
        <v>0.8</v>
      </c>
      <c r="H2024" t="s">
        <v>4744</v>
      </c>
      <c r="I2024" t="s">
        <v>464</v>
      </c>
    </row>
    <row r="2025" spans="1:9" x14ac:dyDescent="0.3">
      <c r="A2025">
        <v>90604</v>
      </c>
      <c r="B2025">
        <v>105</v>
      </c>
      <c r="C2025" s="452">
        <v>46174</v>
      </c>
      <c r="D2025" t="s">
        <v>557</v>
      </c>
      <c r="E2025">
        <v>23195</v>
      </c>
      <c r="F2025" t="s">
        <v>5051</v>
      </c>
      <c r="G2025">
        <v>0.9</v>
      </c>
      <c r="H2025" t="s">
        <v>4744</v>
      </c>
      <c r="I2025" t="s">
        <v>464</v>
      </c>
    </row>
    <row r="2026" spans="1:9" x14ac:dyDescent="0.3">
      <c r="A2026">
        <v>90605</v>
      </c>
      <c r="B2026">
        <v>105</v>
      </c>
      <c r="C2026" s="452">
        <v>46174</v>
      </c>
      <c r="D2026" t="s">
        <v>557</v>
      </c>
      <c r="E2026">
        <v>23198</v>
      </c>
      <c r="F2026" t="s">
        <v>4962</v>
      </c>
      <c r="G2026">
        <v>1.55</v>
      </c>
      <c r="H2026" t="s">
        <v>4744</v>
      </c>
      <c r="I2026" t="s">
        <v>464</v>
      </c>
    </row>
    <row r="2027" spans="1:9" x14ac:dyDescent="0.3">
      <c r="A2027">
        <v>90606</v>
      </c>
      <c r="B2027">
        <v>105</v>
      </c>
      <c r="C2027" s="452">
        <v>46174</v>
      </c>
      <c r="D2027" t="s">
        <v>557</v>
      </c>
      <c r="E2027">
        <v>23228</v>
      </c>
      <c r="F2027" t="s">
        <v>4782</v>
      </c>
      <c r="G2027">
        <v>4.07</v>
      </c>
      <c r="H2027" t="s">
        <v>4744</v>
      </c>
      <c r="I2027" t="s">
        <v>464</v>
      </c>
    </row>
    <row r="2028" spans="1:9" x14ac:dyDescent="0.3">
      <c r="A2028">
        <v>90607</v>
      </c>
      <c r="B2028">
        <v>105</v>
      </c>
      <c r="C2028" s="452">
        <v>46174</v>
      </c>
      <c r="D2028" t="s">
        <v>557</v>
      </c>
      <c r="E2028">
        <v>23234</v>
      </c>
      <c r="F2028" t="s">
        <v>4986</v>
      </c>
      <c r="G2028">
        <v>4.5999999999999996</v>
      </c>
      <c r="H2028" t="s">
        <v>4744</v>
      </c>
      <c r="I2028" t="s">
        <v>464</v>
      </c>
    </row>
    <row r="2029" spans="1:9" x14ac:dyDescent="0.3">
      <c r="A2029">
        <v>90608</v>
      </c>
      <c r="B2029">
        <v>105</v>
      </c>
      <c r="C2029" s="452">
        <v>46174</v>
      </c>
      <c r="D2029" t="s">
        <v>557</v>
      </c>
      <c r="E2029">
        <v>23236</v>
      </c>
      <c r="F2029" t="s">
        <v>5062</v>
      </c>
      <c r="G2029">
        <v>1</v>
      </c>
      <c r="H2029" t="s">
        <v>4744</v>
      </c>
      <c r="I2029" t="s">
        <v>464</v>
      </c>
    </row>
    <row r="2030" spans="1:9" x14ac:dyDescent="0.3">
      <c r="A2030">
        <v>90609</v>
      </c>
      <c r="B2030">
        <v>105</v>
      </c>
      <c r="C2030" s="452">
        <v>46174</v>
      </c>
      <c r="D2030" t="s">
        <v>557</v>
      </c>
      <c r="E2030">
        <v>23238</v>
      </c>
      <c r="F2030" t="s">
        <v>4934</v>
      </c>
      <c r="G2030">
        <v>1</v>
      </c>
      <c r="H2030" t="s">
        <v>4744</v>
      </c>
      <c r="I2030" t="s">
        <v>464</v>
      </c>
    </row>
    <row r="2031" spans="1:9" x14ac:dyDescent="0.3">
      <c r="A2031">
        <v>90610</v>
      </c>
      <c r="B2031">
        <v>105</v>
      </c>
      <c r="C2031" s="452">
        <v>46174</v>
      </c>
      <c r="D2031" t="s">
        <v>557</v>
      </c>
      <c r="E2031">
        <v>23268</v>
      </c>
      <c r="F2031" t="s">
        <v>4743</v>
      </c>
      <c r="G2031">
        <v>110.6</v>
      </c>
      <c r="H2031" t="s">
        <v>4744</v>
      </c>
      <c r="I2031" t="s">
        <v>464</v>
      </c>
    </row>
    <row r="2032" spans="1:9" x14ac:dyDescent="0.3">
      <c r="A2032">
        <v>90611</v>
      </c>
      <c r="B2032">
        <v>105</v>
      </c>
      <c r="C2032" s="452">
        <v>46174</v>
      </c>
      <c r="D2032" t="s">
        <v>557</v>
      </c>
      <c r="E2032">
        <v>23335</v>
      </c>
      <c r="F2032" t="s">
        <v>4961</v>
      </c>
      <c r="G2032">
        <v>0.5</v>
      </c>
      <c r="H2032" t="s">
        <v>4744</v>
      </c>
      <c r="I2032" t="s">
        <v>464</v>
      </c>
    </row>
    <row r="2033" spans="1:9" x14ac:dyDescent="0.3">
      <c r="A2033">
        <v>90612</v>
      </c>
      <c r="B2033">
        <v>105</v>
      </c>
      <c r="C2033" s="452">
        <v>46174</v>
      </c>
      <c r="D2033" t="s">
        <v>557</v>
      </c>
      <c r="E2033">
        <v>23346</v>
      </c>
      <c r="F2033" t="s">
        <v>4916</v>
      </c>
      <c r="G2033">
        <v>1.8</v>
      </c>
      <c r="H2033" t="s">
        <v>4744</v>
      </c>
      <c r="I2033" t="s">
        <v>464</v>
      </c>
    </row>
    <row r="2034" spans="1:9" x14ac:dyDescent="0.3">
      <c r="A2034">
        <v>90613</v>
      </c>
      <c r="B2034">
        <v>105</v>
      </c>
      <c r="C2034" s="452">
        <v>46174</v>
      </c>
      <c r="D2034" t="s">
        <v>557</v>
      </c>
      <c r="E2034">
        <v>23359</v>
      </c>
      <c r="F2034" t="s">
        <v>4767</v>
      </c>
      <c r="G2034">
        <v>14.24</v>
      </c>
      <c r="H2034" t="s">
        <v>4744</v>
      </c>
      <c r="I2034" t="s">
        <v>464</v>
      </c>
    </row>
    <row r="2035" spans="1:9" x14ac:dyDescent="0.3">
      <c r="A2035">
        <v>90614</v>
      </c>
      <c r="B2035">
        <v>105</v>
      </c>
      <c r="C2035" s="452">
        <v>46174</v>
      </c>
      <c r="D2035" t="s">
        <v>557</v>
      </c>
      <c r="E2035">
        <v>23361</v>
      </c>
      <c r="F2035" t="s">
        <v>4754</v>
      </c>
      <c r="G2035">
        <v>58.54</v>
      </c>
      <c r="H2035" t="s">
        <v>4744</v>
      </c>
      <c r="I2035" t="s">
        <v>464</v>
      </c>
    </row>
    <row r="2036" spans="1:9" x14ac:dyDescent="0.3">
      <c r="A2036">
        <v>90615</v>
      </c>
      <c r="B2036">
        <v>105</v>
      </c>
      <c r="C2036" s="452">
        <v>46174</v>
      </c>
      <c r="D2036" t="s">
        <v>557</v>
      </c>
      <c r="E2036">
        <v>23365</v>
      </c>
      <c r="F2036" t="s">
        <v>5108</v>
      </c>
      <c r="G2036">
        <v>0.4</v>
      </c>
      <c r="H2036" t="s">
        <v>4744</v>
      </c>
      <c r="I2036" t="s">
        <v>464</v>
      </c>
    </row>
    <row r="2037" spans="1:9" x14ac:dyDescent="0.3">
      <c r="A2037">
        <v>90616</v>
      </c>
      <c r="B2037">
        <v>105</v>
      </c>
      <c r="C2037" s="452">
        <v>46174</v>
      </c>
      <c r="D2037" t="s">
        <v>557</v>
      </c>
      <c r="E2037">
        <v>23389</v>
      </c>
      <c r="F2037" t="s">
        <v>4960</v>
      </c>
      <c r="G2037">
        <v>1.65</v>
      </c>
      <c r="H2037" t="s">
        <v>4744</v>
      </c>
      <c r="I2037" t="s">
        <v>464</v>
      </c>
    </row>
    <row r="2038" spans="1:9" x14ac:dyDescent="0.3">
      <c r="A2038">
        <v>90617</v>
      </c>
      <c r="B2038">
        <v>105</v>
      </c>
      <c r="C2038" s="452">
        <v>46174</v>
      </c>
      <c r="D2038" t="s">
        <v>557</v>
      </c>
      <c r="E2038">
        <v>23390</v>
      </c>
      <c r="F2038" t="s">
        <v>4873</v>
      </c>
      <c r="G2038">
        <v>0.6</v>
      </c>
      <c r="H2038" t="s">
        <v>4744</v>
      </c>
      <c r="I2038" t="s">
        <v>464</v>
      </c>
    </row>
    <row r="2039" spans="1:9" x14ac:dyDescent="0.3">
      <c r="A2039">
        <v>90618</v>
      </c>
      <c r="B2039">
        <v>105</v>
      </c>
      <c r="C2039" s="452">
        <v>46174</v>
      </c>
      <c r="D2039" t="s">
        <v>557</v>
      </c>
      <c r="E2039">
        <v>23494</v>
      </c>
      <c r="F2039" t="s">
        <v>4991</v>
      </c>
      <c r="G2039">
        <v>1</v>
      </c>
      <c r="H2039" t="s">
        <v>4744</v>
      </c>
      <c r="I2039" t="s">
        <v>464</v>
      </c>
    </row>
    <row r="2040" spans="1:9" x14ac:dyDescent="0.3">
      <c r="A2040">
        <v>90619</v>
      </c>
      <c r="B2040">
        <v>105</v>
      </c>
      <c r="C2040" s="452">
        <v>46174</v>
      </c>
      <c r="D2040" t="s">
        <v>557</v>
      </c>
      <c r="E2040">
        <v>23502</v>
      </c>
      <c r="F2040" t="s">
        <v>4930</v>
      </c>
      <c r="G2040">
        <v>1.73</v>
      </c>
      <c r="H2040" t="s">
        <v>4736</v>
      </c>
      <c r="I2040" t="s">
        <v>464</v>
      </c>
    </row>
    <row r="2041" spans="1:9" x14ac:dyDescent="0.3">
      <c r="A2041">
        <v>90620</v>
      </c>
      <c r="B2041">
        <v>105</v>
      </c>
      <c r="C2041" s="452">
        <v>46174</v>
      </c>
      <c r="D2041" t="s">
        <v>557</v>
      </c>
      <c r="E2041">
        <v>23503</v>
      </c>
      <c r="F2041" t="s">
        <v>5048</v>
      </c>
      <c r="G2041">
        <v>0.56999999999999995</v>
      </c>
      <c r="H2041" t="s">
        <v>4744</v>
      </c>
      <c r="I2041" t="s">
        <v>464</v>
      </c>
    </row>
    <row r="2042" spans="1:9" x14ac:dyDescent="0.3">
      <c r="A2042">
        <v>90621</v>
      </c>
      <c r="B2042">
        <v>105</v>
      </c>
      <c r="C2042" s="452">
        <v>46174</v>
      </c>
      <c r="D2042" t="s">
        <v>557</v>
      </c>
      <c r="E2042">
        <v>23515</v>
      </c>
      <c r="F2042" t="s">
        <v>4816</v>
      </c>
      <c r="G2042">
        <v>5</v>
      </c>
      <c r="H2042" t="s">
        <v>4736</v>
      </c>
      <c r="I2042" t="s">
        <v>464</v>
      </c>
    </row>
    <row r="2043" spans="1:9" x14ac:dyDescent="0.3">
      <c r="A2043">
        <v>90622</v>
      </c>
      <c r="B2043">
        <v>105</v>
      </c>
      <c r="C2043" s="452">
        <v>46174</v>
      </c>
      <c r="D2043" t="s">
        <v>557</v>
      </c>
      <c r="E2043">
        <v>23539</v>
      </c>
      <c r="F2043" t="s">
        <v>4995</v>
      </c>
      <c r="G2043">
        <v>2.5299999999999998</v>
      </c>
      <c r="H2043" t="s">
        <v>4744</v>
      </c>
      <c r="I2043" t="s">
        <v>464</v>
      </c>
    </row>
    <row r="2044" spans="1:9" x14ac:dyDescent="0.3">
      <c r="A2044">
        <v>90623</v>
      </c>
      <c r="B2044">
        <v>105</v>
      </c>
      <c r="C2044" s="452">
        <v>46174</v>
      </c>
      <c r="D2044" t="s">
        <v>557</v>
      </c>
      <c r="E2044">
        <v>23554</v>
      </c>
      <c r="F2044" t="s">
        <v>4931</v>
      </c>
      <c r="G2044">
        <v>0.72</v>
      </c>
      <c r="H2044" t="s">
        <v>4744</v>
      </c>
      <c r="I2044" t="s">
        <v>464</v>
      </c>
    </row>
    <row r="2045" spans="1:9" x14ac:dyDescent="0.3">
      <c r="A2045">
        <v>90624</v>
      </c>
      <c r="B2045">
        <v>105</v>
      </c>
      <c r="C2045" s="452">
        <v>46174</v>
      </c>
      <c r="D2045" t="s">
        <v>557</v>
      </c>
      <c r="E2045">
        <v>23635</v>
      </c>
      <c r="F2045" t="s">
        <v>4837</v>
      </c>
      <c r="G2045">
        <v>2</v>
      </c>
      <c r="H2045" t="s">
        <v>4744</v>
      </c>
      <c r="I2045" t="s">
        <v>464</v>
      </c>
    </row>
    <row r="2046" spans="1:9" x14ac:dyDescent="0.3">
      <c r="A2046">
        <v>90625</v>
      </c>
      <c r="B2046">
        <v>105</v>
      </c>
      <c r="C2046" s="452">
        <v>46174</v>
      </c>
      <c r="D2046" t="s">
        <v>557</v>
      </c>
      <c r="E2046">
        <v>23656</v>
      </c>
      <c r="F2046" t="s">
        <v>4945</v>
      </c>
      <c r="G2046">
        <v>1</v>
      </c>
      <c r="H2046" t="s">
        <v>4744</v>
      </c>
      <c r="I2046" t="s">
        <v>464</v>
      </c>
    </row>
    <row r="2047" spans="1:9" x14ac:dyDescent="0.3">
      <c r="A2047">
        <v>90626</v>
      </c>
      <c r="B2047">
        <v>105</v>
      </c>
      <c r="C2047" s="452">
        <v>46174</v>
      </c>
      <c r="D2047" t="s">
        <v>557</v>
      </c>
      <c r="E2047">
        <v>23785</v>
      </c>
      <c r="F2047" t="s">
        <v>4858</v>
      </c>
      <c r="G2047">
        <v>8</v>
      </c>
      <c r="H2047" t="s">
        <v>4744</v>
      </c>
      <c r="I2047" t="s">
        <v>464</v>
      </c>
    </row>
    <row r="2048" spans="1:9" x14ac:dyDescent="0.3">
      <c r="A2048">
        <v>90627</v>
      </c>
      <c r="B2048">
        <v>105</v>
      </c>
      <c r="C2048" s="452">
        <v>46174</v>
      </c>
      <c r="D2048" t="s">
        <v>557</v>
      </c>
      <c r="E2048">
        <v>23808</v>
      </c>
      <c r="F2048" t="s">
        <v>4982</v>
      </c>
      <c r="G2048">
        <v>2.86</v>
      </c>
      <c r="H2048" t="s">
        <v>4744</v>
      </c>
      <c r="I2048" t="s">
        <v>464</v>
      </c>
    </row>
    <row r="2049" spans="1:9" x14ac:dyDescent="0.3">
      <c r="A2049">
        <v>90628</v>
      </c>
      <c r="B2049">
        <v>105</v>
      </c>
      <c r="C2049" s="452">
        <v>46174</v>
      </c>
      <c r="D2049" t="s">
        <v>557</v>
      </c>
      <c r="E2049">
        <v>23819</v>
      </c>
      <c r="F2049" t="s">
        <v>4947</v>
      </c>
      <c r="G2049">
        <v>7.5</v>
      </c>
      <c r="H2049" t="s">
        <v>4736</v>
      </c>
      <c r="I2049" t="s">
        <v>464</v>
      </c>
    </row>
    <row r="2050" spans="1:9" x14ac:dyDescent="0.3">
      <c r="A2050">
        <v>90629</v>
      </c>
      <c r="B2050">
        <v>105</v>
      </c>
      <c r="C2050" s="452">
        <v>46174</v>
      </c>
      <c r="D2050" t="s">
        <v>557</v>
      </c>
      <c r="E2050">
        <v>23884</v>
      </c>
      <c r="F2050" t="s">
        <v>5070</v>
      </c>
      <c r="G2050">
        <v>1.67</v>
      </c>
      <c r="H2050" t="s">
        <v>4955</v>
      </c>
      <c r="I2050" t="s">
        <v>464</v>
      </c>
    </row>
    <row r="2051" spans="1:9" x14ac:dyDescent="0.3">
      <c r="A2051">
        <v>90630</v>
      </c>
      <c r="B2051">
        <v>105</v>
      </c>
      <c r="C2051" s="452">
        <v>46174</v>
      </c>
      <c r="D2051" t="s">
        <v>557</v>
      </c>
      <c r="E2051">
        <v>23934</v>
      </c>
      <c r="F2051" t="s">
        <v>4845</v>
      </c>
      <c r="G2051">
        <v>6.8</v>
      </c>
      <c r="H2051" t="s">
        <v>4744</v>
      </c>
      <c r="I2051" t="s">
        <v>464</v>
      </c>
    </row>
    <row r="2052" spans="1:9" x14ac:dyDescent="0.3">
      <c r="A2052">
        <v>90631</v>
      </c>
      <c r="B2052">
        <v>105</v>
      </c>
      <c r="C2052" s="452">
        <v>46174</v>
      </c>
      <c r="D2052" t="s">
        <v>557</v>
      </c>
      <c r="E2052">
        <v>24081</v>
      </c>
      <c r="F2052" t="s">
        <v>4834</v>
      </c>
      <c r="G2052">
        <v>8.4499999999999993</v>
      </c>
      <c r="H2052" t="s">
        <v>4744</v>
      </c>
      <c r="I2052" t="s">
        <v>464</v>
      </c>
    </row>
    <row r="2053" spans="1:9" x14ac:dyDescent="0.3">
      <c r="A2053">
        <v>90632</v>
      </c>
      <c r="B2053">
        <v>105</v>
      </c>
      <c r="C2053" s="452">
        <v>46174</v>
      </c>
      <c r="D2053" t="s">
        <v>557</v>
      </c>
      <c r="E2053">
        <v>24096</v>
      </c>
      <c r="F2053" t="s">
        <v>4771</v>
      </c>
      <c r="G2053">
        <v>35.549999999999997</v>
      </c>
      <c r="H2053" t="s">
        <v>4744</v>
      </c>
      <c r="I2053" t="s">
        <v>464</v>
      </c>
    </row>
    <row r="2054" spans="1:9" x14ac:dyDescent="0.3">
      <c r="A2054">
        <v>90633</v>
      </c>
      <c r="B2054">
        <v>105</v>
      </c>
      <c r="C2054" s="452">
        <v>46174</v>
      </c>
      <c r="D2054" t="s">
        <v>557</v>
      </c>
      <c r="E2054">
        <v>24099</v>
      </c>
      <c r="F2054" t="s">
        <v>4933</v>
      </c>
      <c r="G2054">
        <v>3.13</v>
      </c>
      <c r="H2054" t="s">
        <v>4744</v>
      </c>
      <c r="I2054" t="s">
        <v>464</v>
      </c>
    </row>
    <row r="2055" spans="1:9" x14ac:dyDescent="0.3">
      <c r="A2055">
        <v>90634</v>
      </c>
      <c r="B2055">
        <v>105</v>
      </c>
      <c r="C2055" s="452">
        <v>46174</v>
      </c>
      <c r="D2055" t="s">
        <v>557</v>
      </c>
      <c r="E2055">
        <v>24116</v>
      </c>
      <c r="F2055" t="s">
        <v>4777</v>
      </c>
      <c r="G2055">
        <v>5</v>
      </c>
      <c r="H2055" t="s">
        <v>4744</v>
      </c>
      <c r="I2055" t="s">
        <v>464</v>
      </c>
    </row>
    <row r="2056" spans="1:9" x14ac:dyDescent="0.3">
      <c r="A2056">
        <v>90635</v>
      </c>
      <c r="B2056">
        <v>105</v>
      </c>
      <c r="C2056" s="452">
        <v>46174</v>
      </c>
      <c r="D2056" t="s">
        <v>557</v>
      </c>
      <c r="E2056">
        <v>24141</v>
      </c>
      <c r="F2056" t="s">
        <v>5088</v>
      </c>
      <c r="G2056">
        <v>10.88</v>
      </c>
      <c r="H2056" t="s">
        <v>4749</v>
      </c>
      <c r="I2056" t="s">
        <v>464</v>
      </c>
    </row>
    <row r="2057" spans="1:9" x14ac:dyDescent="0.3">
      <c r="A2057">
        <v>90636</v>
      </c>
      <c r="B2057">
        <v>105</v>
      </c>
      <c r="C2057" s="452">
        <v>46174</v>
      </c>
      <c r="D2057" t="s">
        <v>557</v>
      </c>
      <c r="E2057">
        <v>24142</v>
      </c>
      <c r="F2057" t="s">
        <v>5090</v>
      </c>
      <c r="G2057">
        <v>4.8</v>
      </c>
      <c r="H2057" t="s">
        <v>4749</v>
      </c>
      <c r="I2057" t="s">
        <v>464</v>
      </c>
    </row>
    <row r="2058" spans="1:9" x14ac:dyDescent="0.3">
      <c r="A2058">
        <v>90637</v>
      </c>
      <c r="B2058">
        <v>105</v>
      </c>
      <c r="C2058" s="452">
        <v>46174</v>
      </c>
      <c r="D2058" t="s">
        <v>557</v>
      </c>
      <c r="E2058">
        <v>24191</v>
      </c>
      <c r="F2058" t="s">
        <v>4846</v>
      </c>
      <c r="G2058">
        <v>4.5999999999999996</v>
      </c>
      <c r="H2058" t="s">
        <v>4744</v>
      </c>
      <c r="I2058" t="s">
        <v>464</v>
      </c>
    </row>
    <row r="2059" spans="1:9" x14ac:dyDescent="0.3">
      <c r="A2059">
        <v>90638</v>
      </c>
      <c r="B2059">
        <v>105</v>
      </c>
      <c r="C2059" s="452">
        <v>46174</v>
      </c>
      <c r="D2059" t="s">
        <v>557</v>
      </c>
      <c r="E2059">
        <v>24199</v>
      </c>
      <c r="F2059" t="s">
        <v>4783</v>
      </c>
      <c r="G2059">
        <v>2.58</v>
      </c>
      <c r="H2059" t="s">
        <v>4744</v>
      </c>
      <c r="I2059" t="s">
        <v>464</v>
      </c>
    </row>
    <row r="2060" spans="1:9" x14ac:dyDescent="0.3">
      <c r="A2060">
        <v>90639</v>
      </c>
      <c r="B2060">
        <v>105</v>
      </c>
      <c r="C2060" s="452">
        <v>46174</v>
      </c>
      <c r="D2060" t="s">
        <v>557</v>
      </c>
      <c r="E2060">
        <v>24200</v>
      </c>
      <c r="F2060" t="s">
        <v>4820</v>
      </c>
      <c r="G2060">
        <v>5.0999999999999996</v>
      </c>
      <c r="H2060" t="s">
        <v>4744</v>
      </c>
      <c r="I2060" t="s">
        <v>464</v>
      </c>
    </row>
    <row r="2061" spans="1:9" x14ac:dyDescent="0.3">
      <c r="A2061">
        <v>90640</v>
      </c>
      <c r="B2061">
        <v>105</v>
      </c>
      <c r="C2061" s="452">
        <v>46174</v>
      </c>
      <c r="D2061" t="s">
        <v>557</v>
      </c>
      <c r="E2061">
        <v>24217</v>
      </c>
      <c r="F2061" t="s">
        <v>4778</v>
      </c>
      <c r="G2061">
        <v>24.08</v>
      </c>
      <c r="H2061" t="s">
        <v>4744</v>
      </c>
      <c r="I2061" t="s">
        <v>464</v>
      </c>
    </row>
    <row r="2062" spans="1:9" x14ac:dyDescent="0.3">
      <c r="A2062">
        <v>90641</v>
      </c>
      <c r="B2062">
        <v>105</v>
      </c>
      <c r="C2062" s="452">
        <v>46174</v>
      </c>
      <c r="D2062" t="s">
        <v>557</v>
      </c>
      <c r="E2062">
        <v>24256</v>
      </c>
      <c r="F2062" t="s">
        <v>4773</v>
      </c>
      <c r="G2062">
        <v>9.93</v>
      </c>
      <c r="H2062" t="s">
        <v>4744</v>
      </c>
      <c r="I2062" t="s">
        <v>464</v>
      </c>
    </row>
    <row r="2063" spans="1:9" x14ac:dyDescent="0.3">
      <c r="A2063">
        <v>90642</v>
      </c>
      <c r="B2063">
        <v>105</v>
      </c>
      <c r="C2063" s="452">
        <v>46174</v>
      </c>
      <c r="D2063" t="s">
        <v>557</v>
      </c>
      <c r="E2063">
        <v>24259</v>
      </c>
      <c r="F2063" t="s">
        <v>4875</v>
      </c>
      <c r="G2063">
        <v>28.2</v>
      </c>
      <c r="H2063" t="s">
        <v>4744</v>
      </c>
      <c r="I2063" t="s">
        <v>464</v>
      </c>
    </row>
    <row r="2064" spans="1:9" x14ac:dyDescent="0.3">
      <c r="A2064">
        <v>90643</v>
      </c>
      <c r="B2064">
        <v>105</v>
      </c>
      <c r="C2064" s="452">
        <v>46174</v>
      </c>
      <c r="D2064" t="s">
        <v>557</v>
      </c>
      <c r="E2064">
        <v>24320</v>
      </c>
      <c r="F2064" t="s">
        <v>4861</v>
      </c>
      <c r="G2064">
        <v>8.6</v>
      </c>
      <c r="H2064" t="s">
        <v>4744</v>
      </c>
      <c r="I2064" t="s">
        <v>464</v>
      </c>
    </row>
    <row r="2065" spans="1:9" x14ac:dyDescent="0.3">
      <c r="A2065">
        <v>90644</v>
      </c>
      <c r="B2065">
        <v>105</v>
      </c>
      <c r="C2065" s="452">
        <v>46174</v>
      </c>
      <c r="D2065" t="s">
        <v>557</v>
      </c>
      <c r="E2065">
        <v>24322</v>
      </c>
      <c r="F2065" t="s">
        <v>5064</v>
      </c>
      <c r="G2065">
        <v>2.44</v>
      </c>
      <c r="H2065" t="s">
        <v>4744</v>
      </c>
      <c r="I2065" t="s">
        <v>464</v>
      </c>
    </row>
    <row r="2066" spans="1:9" x14ac:dyDescent="0.3">
      <c r="A2066">
        <v>90645</v>
      </c>
      <c r="B2066">
        <v>105</v>
      </c>
      <c r="C2066" s="452">
        <v>46174</v>
      </c>
      <c r="D2066" t="s">
        <v>557</v>
      </c>
      <c r="E2066">
        <v>24331</v>
      </c>
      <c r="F2066" t="s">
        <v>5166</v>
      </c>
      <c r="G2066">
        <v>5</v>
      </c>
      <c r="H2066" t="s">
        <v>4744</v>
      </c>
      <c r="I2066" t="s">
        <v>464</v>
      </c>
    </row>
    <row r="2067" spans="1:9" x14ac:dyDescent="0.3">
      <c r="A2067">
        <v>90646</v>
      </c>
      <c r="B2067">
        <v>105</v>
      </c>
      <c r="C2067" s="452">
        <v>46174</v>
      </c>
      <c r="D2067" t="s">
        <v>557</v>
      </c>
      <c r="E2067">
        <v>24351</v>
      </c>
      <c r="F2067" t="s">
        <v>5014</v>
      </c>
      <c r="G2067">
        <v>19.5</v>
      </c>
      <c r="H2067" t="s">
        <v>4736</v>
      </c>
      <c r="I2067" t="s">
        <v>464</v>
      </c>
    </row>
    <row r="2068" spans="1:9" x14ac:dyDescent="0.3">
      <c r="A2068">
        <v>90647</v>
      </c>
      <c r="B2068">
        <v>105</v>
      </c>
      <c r="C2068" s="452">
        <v>46174</v>
      </c>
      <c r="D2068" t="s">
        <v>557</v>
      </c>
      <c r="E2068">
        <v>24403</v>
      </c>
      <c r="F2068" t="s">
        <v>5149</v>
      </c>
      <c r="G2068">
        <v>2.1</v>
      </c>
      <c r="H2068" t="s">
        <v>4744</v>
      </c>
      <c r="I2068" t="s">
        <v>464</v>
      </c>
    </row>
    <row r="2069" spans="1:9" x14ac:dyDescent="0.3">
      <c r="A2069">
        <v>90648</v>
      </c>
      <c r="B2069">
        <v>105</v>
      </c>
      <c r="C2069" s="452">
        <v>46174</v>
      </c>
      <c r="D2069" t="s">
        <v>557</v>
      </c>
      <c r="E2069">
        <v>24509</v>
      </c>
      <c r="F2069" t="s">
        <v>4788</v>
      </c>
      <c r="G2069">
        <v>21.4</v>
      </c>
      <c r="H2069" t="s">
        <v>4744</v>
      </c>
      <c r="I2069" t="s">
        <v>464</v>
      </c>
    </row>
    <row r="2070" spans="1:9" x14ac:dyDescent="0.3">
      <c r="A2070">
        <v>90649</v>
      </c>
      <c r="B2070">
        <v>105</v>
      </c>
      <c r="C2070" s="452">
        <v>46174</v>
      </c>
      <c r="D2070" t="s">
        <v>557</v>
      </c>
      <c r="E2070">
        <v>24522</v>
      </c>
      <c r="F2070" t="s">
        <v>5072</v>
      </c>
      <c r="G2070">
        <v>4.05</v>
      </c>
      <c r="H2070" t="s">
        <v>4744</v>
      </c>
      <c r="I2070" t="s">
        <v>464</v>
      </c>
    </row>
    <row r="2071" spans="1:9" x14ac:dyDescent="0.3">
      <c r="A2071">
        <v>90650</v>
      </c>
      <c r="B2071">
        <v>105</v>
      </c>
      <c r="C2071" s="452">
        <v>46174</v>
      </c>
      <c r="D2071" t="s">
        <v>557</v>
      </c>
      <c r="E2071">
        <v>24598</v>
      </c>
      <c r="F2071" t="s">
        <v>4852</v>
      </c>
      <c r="G2071">
        <v>1.35</v>
      </c>
      <c r="H2071" t="s">
        <v>4744</v>
      </c>
      <c r="I2071" t="s">
        <v>464</v>
      </c>
    </row>
    <row r="2072" spans="1:9" x14ac:dyDescent="0.3">
      <c r="A2072">
        <v>90651</v>
      </c>
      <c r="B2072">
        <v>105</v>
      </c>
      <c r="C2072" s="452">
        <v>46174</v>
      </c>
      <c r="D2072" t="s">
        <v>557</v>
      </c>
      <c r="E2072">
        <v>24614</v>
      </c>
      <c r="F2072" t="s">
        <v>4897</v>
      </c>
      <c r="G2072">
        <v>4</v>
      </c>
      <c r="H2072" t="s">
        <v>4805</v>
      </c>
      <c r="I2072" t="s">
        <v>464</v>
      </c>
    </row>
    <row r="2073" spans="1:9" x14ac:dyDescent="0.3">
      <c r="A2073">
        <v>90652</v>
      </c>
      <c r="B2073">
        <v>105</v>
      </c>
      <c r="C2073" s="452">
        <v>46174</v>
      </c>
      <c r="D2073" t="s">
        <v>557</v>
      </c>
      <c r="E2073">
        <v>24683</v>
      </c>
      <c r="F2073" t="s">
        <v>5167</v>
      </c>
      <c r="G2073">
        <v>0.25</v>
      </c>
      <c r="H2073" t="s">
        <v>4879</v>
      </c>
      <c r="I2073" t="s">
        <v>464</v>
      </c>
    </row>
    <row r="2074" spans="1:9" x14ac:dyDescent="0.3">
      <c r="A2074">
        <v>90653</v>
      </c>
      <c r="B2074">
        <v>105</v>
      </c>
      <c r="C2074" s="452">
        <v>46174</v>
      </c>
      <c r="D2074" t="s">
        <v>557</v>
      </c>
      <c r="E2074">
        <v>24685</v>
      </c>
      <c r="F2074" t="s">
        <v>5055</v>
      </c>
      <c r="G2074">
        <v>0.85</v>
      </c>
      <c r="H2074" t="s">
        <v>4805</v>
      </c>
      <c r="I2074" t="s">
        <v>464</v>
      </c>
    </row>
    <row r="2075" spans="1:9" x14ac:dyDescent="0.3">
      <c r="A2075">
        <v>90654</v>
      </c>
      <c r="B2075">
        <v>105</v>
      </c>
      <c r="C2075" s="452">
        <v>46174</v>
      </c>
      <c r="D2075" t="s">
        <v>557</v>
      </c>
      <c r="E2075">
        <v>24690</v>
      </c>
      <c r="F2075" t="s">
        <v>5168</v>
      </c>
      <c r="G2075">
        <v>4</v>
      </c>
      <c r="H2075" t="s">
        <v>4749</v>
      </c>
      <c r="I2075" t="s">
        <v>464</v>
      </c>
    </row>
    <row r="2076" spans="1:9" x14ac:dyDescent="0.3">
      <c r="A2076">
        <v>90655</v>
      </c>
      <c r="B2076">
        <v>105</v>
      </c>
      <c r="C2076" s="452">
        <v>46174</v>
      </c>
      <c r="D2076" t="s">
        <v>557</v>
      </c>
      <c r="E2076">
        <v>24973</v>
      </c>
      <c r="F2076" t="s">
        <v>4819</v>
      </c>
      <c r="G2076">
        <v>0.66</v>
      </c>
      <c r="H2076" t="s">
        <v>4738</v>
      </c>
      <c r="I2076" t="s">
        <v>464</v>
      </c>
    </row>
    <row r="2077" spans="1:9" x14ac:dyDescent="0.3">
      <c r="A2077">
        <v>90656</v>
      </c>
      <c r="B2077">
        <v>105</v>
      </c>
      <c r="C2077" s="452">
        <v>46174</v>
      </c>
      <c r="D2077" t="s">
        <v>557</v>
      </c>
      <c r="E2077">
        <v>25022</v>
      </c>
      <c r="F2077" t="s">
        <v>4912</v>
      </c>
      <c r="G2077">
        <v>2</v>
      </c>
      <c r="H2077" t="s">
        <v>4738</v>
      </c>
      <c r="I2077" t="s">
        <v>464</v>
      </c>
    </row>
    <row r="2078" spans="1:9" x14ac:dyDescent="0.3">
      <c r="A2078">
        <v>90657</v>
      </c>
      <c r="B2078">
        <v>105</v>
      </c>
      <c r="C2078" s="452">
        <v>46174</v>
      </c>
      <c r="D2078" t="s">
        <v>557</v>
      </c>
      <c r="E2078">
        <v>25050</v>
      </c>
      <c r="F2078" t="s">
        <v>5110</v>
      </c>
      <c r="G2078">
        <v>1.44</v>
      </c>
      <c r="H2078" t="s">
        <v>4744</v>
      </c>
      <c r="I2078" t="s">
        <v>464</v>
      </c>
    </row>
    <row r="2079" spans="1:9" x14ac:dyDescent="0.3">
      <c r="A2079">
        <v>90658</v>
      </c>
      <c r="B2079">
        <v>105</v>
      </c>
      <c r="C2079" s="452">
        <v>46174</v>
      </c>
      <c r="D2079" t="s">
        <v>557</v>
      </c>
      <c r="E2079">
        <v>25055</v>
      </c>
      <c r="F2079" t="s">
        <v>5003</v>
      </c>
      <c r="G2079">
        <v>1.79</v>
      </c>
      <c r="H2079" t="s">
        <v>4744</v>
      </c>
      <c r="I2079" t="s">
        <v>464</v>
      </c>
    </row>
    <row r="2080" spans="1:9" x14ac:dyDescent="0.3">
      <c r="A2080">
        <v>90659</v>
      </c>
      <c r="B2080">
        <v>105</v>
      </c>
      <c r="C2080" s="452">
        <v>46174</v>
      </c>
      <c r="D2080" t="s">
        <v>557</v>
      </c>
      <c r="E2080">
        <v>25075</v>
      </c>
      <c r="F2080" t="s">
        <v>4790</v>
      </c>
      <c r="G2080">
        <v>9</v>
      </c>
      <c r="H2080" t="s">
        <v>4738</v>
      </c>
      <c r="I2080" t="s">
        <v>464</v>
      </c>
    </row>
    <row r="2081" spans="1:9" x14ac:dyDescent="0.3">
      <c r="A2081">
        <v>90660</v>
      </c>
      <c r="B2081">
        <v>105</v>
      </c>
      <c r="C2081" s="452">
        <v>46174</v>
      </c>
      <c r="D2081" t="s">
        <v>557</v>
      </c>
      <c r="E2081">
        <v>25079</v>
      </c>
      <c r="F2081" t="s">
        <v>5006</v>
      </c>
      <c r="G2081">
        <v>1</v>
      </c>
      <c r="H2081" t="s">
        <v>4738</v>
      </c>
      <c r="I2081" t="s">
        <v>464</v>
      </c>
    </row>
    <row r="2082" spans="1:9" x14ac:dyDescent="0.3">
      <c r="A2082">
        <v>90661</v>
      </c>
      <c r="B2082">
        <v>105</v>
      </c>
      <c r="C2082" s="452">
        <v>46174</v>
      </c>
      <c r="D2082" t="s">
        <v>557</v>
      </c>
      <c r="E2082">
        <v>25167</v>
      </c>
      <c r="F2082" t="s">
        <v>4758</v>
      </c>
      <c r="G2082">
        <v>35</v>
      </c>
      <c r="H2082" t="s">
        <v>4744</v>
      </c>
      <c r="I2082" t="s">
        <v>464</v>
      </c>
    </row>
    <row r="2083" spans="1:9" x14ac:dyDescent="0.3">
      <c r="A2083">
        <v>90662</v>
      </c>
      <c r="B2083">
        <v>105</v>
      </c>
      <c r="C2083" s="452">
        <v>46174</v>
      </c>
      <c r="D2083" t="s">
        <v>557</v>
      </c>
      <c r="E2083">
        <v>25205</v>
      </c>
      <c r="F2083" t="s">
        <v>4850</v>
      </c>
      <c r="G2083">
        <v>6.7</v>
      </c>
      <c r="H2083" t="s">
        <v>4744</v>
      </c>
      <c r="I2083" t="s">
        <v>464</v>
      </c>
    </row>
    <row r="2084" spans="1:9" x14ac:dyDescent="0.3">
      <c r="A2084">
        <v>90663</v>
      </c>
      <c r="B2084">
        <v>105</v>
      </c>
      <c r="C2084" s="452">
        <v>46174</v>
      </c>
      <c r="D2084" t="s">
        <v>557</v>
      </c>
      <c r="E2084">
        <v>25358</v>
      </c>
      <c r="F2084" t="s">
        <v>4980</v>
      </c>
      <c r="G2084">
        <v>1.71</v>
      </c>
      <c r="H2084" t="s">
        <v>4744</v>
      </c>
      <c r="I2084" t="s">
        <v>464</v>
      </c>
    </row>
    <row r="2085" spans="1:9" x14ac:dyDescent="0.3">
      <c r="A2085">
        <v>90664</v>
      </c>
      <c r="B2085">
        <v>105</v>
      </c>
      <c r="C2085" s="452">
        <v>46174</v>
      </c>
      <c r="D2085" t="s">
        <v>557</v>
      </c>
      <c r="E2085">
        <v>25561</v>
      </c>
      <c r="F2085" t="s">
        <v>5095</v>
      </c>
      <c r="G2085">
        <v>3.04</v>
      </c>
      <c r="H2085" t="s">
        <v>4738</v>
      </c>
      <c r="I2085" t="s">
        <v>464</v>
      </c>
    </row>
    <row r="2086" spans="1:9" x14ac:dyDescent="0.3">
      <c r="A2086">
        <v>90665</v>
      </c>
      <c r="B2086">
        <v>105</v>
      </c>
      <c r="C2086" s="452">
        <v>46174</v>
      </c>
      <c r="D2086" t="s">
        <v>557</v>
      </c>
      <c r="E2086">
        <v>25683</v>
      </c>
      <c r="F2086" t="s">
        <v>4928</v>
      </c>
      <c r="G2086">
        <v>3</v>
      </c>
      <c r="H2086" t="s">
        <v>4805</v>
      </c>
      <c r="I2086" t="s">
        <v>464</v>
      </c>
    </row>
    <row r="2087" spans="1:9" x14ac:dyDescent="0.3">
      <c r="A2087">
        <v>90666</v>
      </c>
      <c r="B2087">
        <v>105</v>
      </c>
      <c r="C2087" s="452">
        <v>46174</v>
      </c>
      <c r="D2087" t="s">
        <v>557</v>
      </c>
      <c r="E2087">
        <v>25748</v>
      </c>
      <c r="F2087" t="s">
        <v>4999</v>
      </c>
      <c r="G2087">
        <v>0.5</v>
      </c>
      <c r="H2087" t="s">
        <v>4749</v>
      </c>
      <c r="I2087" t="s">
        <v>464</v>
      </c>
    </row>
    <row r="2088" spans="1:9" x14ac:dyDescent="0.3">
      <c r="A2088">
        <v>90667</v>
      </c>
      <c r="B2088">
        <v>105</v>
      </c>
      <c r="C2088" s="452">
        <v>46174</v>
      </c>
      <c r="D2088" t="s">
        <v>557</v>
      </c>
      <c r="E2088">
        <v>25750</v>
      </c>
      <c r="F2088" t="s">
        <v>4908</v>
      </c>
      <c r="G2088">
        <v>1</v>
      </c>
      <c r="H2088" t="s">
        <v>4736</v>
      </c>
      <c r="I2088" t="s">
        <v>464</v>
      </c>
    </row>
    <row r="2089" spans="1:9" x14ac:dyDescent="0.3">
      <c r="A2089">
        <v>90668</v>
      </c>
      <c r="B2089">
        <v>105</v>
      </c>
      <c r="C2089" s="452">
        <v>46174</v>
      </c>
      <c r="D2089" t="s">
        <v>557</v>
      </c>
      <c r="E2089">
        <v>25752</v>
      </c>
      <c r="F2089" t="s">
        <v>5000</v>
      </c>
      <c r="G2089">
        <v>1</v>
      </c>
      <c r="H2089" t="s">
        <v>4749</v>
      </c>
      <c r="I2089" t="s">
        <v>464</v>
      </c>
    </row>
    <row r="2090" spans="1:9" x14ac:dyDescent="0.3">
      <c r="A2090">
        <v>90669</v>
      </c>
      <c r="B2090">
        <v>105</v>
      </c>
      <c r="C2090" s="452">
        <v>46174</v>
      </c>
      <c r="D2090" t="s">
        <v>557</v>
      </c>
      <c r="E2090">
        <v>25753</v>
      </c>
      <c r="F2090" t="s">
        <v>5144</v>
      </c>
      <c r="G2090">
        <v>12</v>
      </c>
      <c r="H2090" t="s">
        <v>4736</v>
      </c>
      <c r="I2090" t="s">
        <v>464</v>
      </c>
    </row>
    <row r="2091" spans="1:9" x14ac:dyDescent="0.3">
      <c r="A2091">
        <v>90670</v>
      </c>
      <c r="B2091">
        <v>105</v>
      </c>
      <c r="C2091" s="452">
        <v>46174</v>
      </c>
      <c r="D2091" t="s">
        <v>557</v>
      </c>
      <c r="E2091">
        <v>25754</v>
      </c>
      <c r="F2091" t="s">
        <v>5142</v>
      </c>
      <c r="G2091">
        <v>7</v>
      </c>
      <c r="H2091" t="s">
        <v>4736</v>
      </c>
      <c r="I2091" t="s">
        <v>464</v>
      </c>
    </row>
    <row r="2092" spans="1:9" x14ac:dyDescent="0.3">
      <c r="A2092">
        <v>90671</v>
      </c>
      <c r="B2092">
        <v>105</v>
      </c>
      <c r="C2092" s="452">
        <v>46174</v>
      </c>
      <c r="D2092" t="s">
        <v>557</v>
      </c>
      <c r="E2092">
        <v>25755</v>
      </c>
      <c r="F2092" t="s">
        <v>4821</v>
      </c>
      <c r="G2092">
        <v>0.36</v>
      </c>
      <c r="H2092" t="s">
        <v>4749</v>
      </c>
      <c r="I2092" t="s">
        <v>464</v>
      </c>
    </row>
    <row r="2093" spans="1:9" x14ac:dyDescent="0.3">
      <c r="A2093">
        <v>90672</v>
      </c>
      <c r="B2093">
        <v>105</v>
      </c>
      <c r="C2093" s="452">
        <v>46174</v>
      </c>
      <c r="D2093" t="s">
        <v>557</v>
      </c>
      <c r="E2093">
        <v>25756</v>
      </c>
      <c r="F2093" t="s">
        <v>4854</v>
      </c>
      <c r="G2093">
        <v>0.56999999999999995</v>
      </c>
      <c r="H2093" t="s">
        <v>4749</v>
      </c>
      <c r="I2093" t="s">
        <v>464</v>
      </c>
    </row>
    <row r="2094" spans="1:9" x14ac:dyDescent="0.3">
      <c r="A2094">
        <v>90673</v>
      </c>
      <c r="B2094">
        <v>105</v>
      </c>
      <c r="C2094" s="452">
        <v>46174</v>
      </c>
      <c r="D2094" t="s">
        <v>557</v>
      </c>
      <c r="E2094">
        <v>25758</v>
      </c>
      <c r="F2094" t="s">
        <v>4775</v>
      </c>
      <c r="G2094">
        <v>11</v>
      </c>
      <c r="H2094" t="s">
        <v>4736</v>
      </c>
      <c r="I2094" t="s">
        <v>464</v>
      </c>
    </row>
    <row r="2095" spans="1:9" x14ac:dyDescent="0.3">
      <c r="A2095">
        <v>90674</v>
      </c>
      <c r="B2095">
        <v>105</v>
      </c>
      <c r="C2095" s="452">
        <v>46174</v>
      </c>
      <c r="D2095" t="s">
        <v>557</v>
      </c>
      <c r="E2095">
        <v>25762</v>
      </c>
      <c r="F2095" t="s">
        <v>4770</v>
      </c>
      <c r="G2095">
        <v>0.28999999999999998</v>
      </c>
      <c r="H2095" t="s">
        <v>4736</v>
      </c>
      <c r="I2095" t="s">
        <v>464</v>
      </c>
    </row>
    <row r="2096" spans="1:9" x14ac:dyDescent="0.3">
      <c r="A2096">
        <v>90675</v>
      </c>
      <c r="B2096">
        <v>105</v>
      </c>
      <c r="C2096" s="452">
        <v>46174</v>
      </c>
      <c r="D2096" t="s">
        <v>557</v>
      </c>
      <c r="E2096">
        <v>25763</v>
      </c>
      <c r="F2096" t="s">
        <v>4943</v>
      </c>
      <c r="G2096">
        <v>0.5</v>
      </c>
      <c r="H2096" t="s">
        <v>4736</v>
      </c>
      <c r="I2096" t="s">
        <v>464</v>
      </c>
    </row>
    <row r="2097" spans="1:9" x14ac:dyDescent="0.3">
      <c r="A2097">
        <v>90676</v>
      </c>
      <c r="B2097">
        <v>105</v>
      </c>
      <c r="C2097" s="452">
        <v>46174</v>
      </c>
      <c r="D2097" t="s">
        <v>557</v>
      </c>
      <c r="E2097">
        <v>25777</v>
      </c>
      <c r="F2097" t="s">
        <v>4774</v>
      </c>
      <c r="G2097">
        <v>20</v>
      </c>
      <c r="H2097" t="s">
        <v>4744</v>
      </c>
      <c r="I2097" t="s">
        <v>464</v>
      </c>
    </row>
    <row r="2098" spans="1:9" x14ac:dyDescent="0.3">
      <c r="A2098">
        <v>90677</v>
      </c>
      <c r="B2098">
        <v>105</v>
      </c>
      <c r="C2098" s="452">
        <v>46174</v>
      </c>
      <c r="D2098" t="s">
        <v>557</v>
      </c>
      <c r="E2098">
        <v>25807</v>
      </c>
      <c r="F2098" t="s">
        <v>4951</v>
      </c>
      <c r="G2098">
        <v>0.56000000000000005</v>
      </c>
      <c r="H2098" t="s">
        <v>4736</v>
      </c>
      <c r="I2098" t="s">
        <v>464</v>
      </c>
    </row>
    <row r="2099" spans="1:9" x14ac:dyDescent="0.3">
      <c r="A2099">
        <v>90678</v>
      </c>
      <c r="B2099">
        <v>105</v>
      </c>
      <c r="C2099" s="452">
        <v>46174</v>
      </c>
      <c r="D2099" t="s">
        <v>557</v>
      </c>
      <c r="E2099">
        <v>26006</v>
      </c>
      <c r="F2099" t="s">
        <v>4941</v>
      </c>
      <c r="G2099">
        <v>0.5</v>
      </c>
      <c r="H2099" t="s">
        <v>4749</v>
      </c>
      <c r="I2099" t="s">
        <v>464</v>
      </c>
    </row>
    <row r="2100" spans="1:9" x14ac:dyDescent="0.3">
      <c r="A2100">
        <v>90679</v>
      </c>
      <c r="B2100">
        <v>105</v>
      </c>
      <c r="C2100" s="452">
        <v>46174</v>
      </c>
      <c r="D2100" t="s">
        <v>557</v>
      </c>
      <c r="E2100">
        <v>26014</v>
      </c>
      <c r="F2100" t="s">
        <v>5128</v>
      </c>
      <c r="G2100">
        <v>2.0499999999999998</v>
      </c>
      <c r="H2100" t="s">
        <v>4805</v>
      </c>
      <c r="I2100" t="s">
        <v>464</v>
      </c>
    </row>
    <row r="2101" spans="1:9" x14ac:dyDescent="0.3">
      <c r="A2101">
        <v>90680</v>
      </c>
      <c r="B2101">
        <v>105</v>
      </c>
      <c r="C2101" s="452">
        <v>46174</v>
      </c>
      <c r="D2101" t="s">
        <v>557</v>
      </c>
      <c r="E2101">
        <v>26020</v>
      </c>
      <c r="F2101" t="s">
        <v>5102</v>
      </c>
      <c r="G2101">
        <v>4</v>
      </c>
      <c r="H2101" t="s">
        <v>4736</v>
      </c>
      <c r="I2101" t="s">
        <v>464</v>
      </c>
    </row>
    <row r="2102" spans="1:9" x14ac:dyDescent="0.3">
      <c r="A2102">
        <v>90681</v>
      </c>
      <c r="B2102">
        <v>105</v>
      </c>
      <c r="C2102" s="452">
        <v>46174</v>
      </c>
      <c r="D2102" t="s">
        <v>557</v>
      </c>
      <c r="E2102">
        <v>26034</v>
      </c>
      <c r="F2102" t="s">
        <v>4828</v>
      </c>
      <c r="G2102">
        <v>7.2</v>
      </c>
      <c r="H2102" t="s">
        <v>4805</v>
      </c>
      <c r="I2102" t="s">
        <v>464</v>
      </c>
    </row>
    <row r="2103" spans="1:9" x14ac:dyDescent="0.3">
      <c r="A2103">
        <v>90682</v>
      </c>
      <c r="B2103">
        <v>105</v>
      </c>
      <c r="C2103" s="452">
        <v>46174</v>
      </c>
      <c r="D2103" t="s">
        <v>557</v>
      </c>
      <c r="E2103">
        <v>26036</v>
      </c>
      <c r="F2103" t="s">
        <v>4841</v>
      </c>
      <c r="G2103">
        <v>10</v>
      </c>
      <c r="H2103" t="s">
        <v>4805</v>
      </c>
      <c r="I2103" t="s">
        <v>464</v>
      </c>
    </row>
    <row r="2104" spans="1:9" x14ac:dyDescent="0.3">
      <c r="A2104">
        <v>90683</v>
      </c>
      <c r="B2104">
        <v>105</v>
      </c>
      <c r="C2104" s="452">
        <v>46174</v>
      </c>
      <c r="D2104" t="s">
        <v>557</v>
      </c>
      <c r="E2104">
        <v>26038</v>
      </c>
      <c r="F2104" t="s">
        <v>4976</v>
      </c>
      <c r="G2104">
        <v>3</v>
      </c>
      <c r="H2104" t="s">
        <v>4805</v>
      </c>
      <c r="I2104" t="s">
        <v>464</v>
      </c>
    </row>
    <row r="2105" spans="1:9" x14ac:dyDescent="0.3">
      <c r="A2105">
        <v>90684</v>
      </c>
      <c r="B2105">
        <v>105</v>
      </c>
      <c r="C2105" s="452">
        <v>46174</v>
      </c>
      <c r="D2105" t="s">
        <v>557</v>
      </c>
      <c r="E2105">
        <v>26040</v>
      </c>
      <c r="F2105" t="s">
        <v>4812</v>
      </c>
      <c r="G2105">
        <v>7</v>
      </c>
      <c r="H2105" t="s">
        <v>4805</v>
      </c>
      <c r="I2105" t="s">
        <v>464</v>
      </c>
    </row>
    <row r="2106" spans="1:9" x14ac:dyDescent="0.3">
      <c r="A2106">
        <v>90685</v>
      </c>
      <c r="B2106">
        <v>105</v>
      </c>
      <c r="C2106" s="452">
        <v>46174</v>
      </c>
      <c r="D2106" t="s">
        <v>557</v>
      </c>
      <c r="E2106">
        <v>26044</v>
      </c>
      <c r="F2106" t="s">
        <v>4843</v>
      </c>
      <c r="G2106">
        <v>4</v>
      </c>
      <c r="H2106" t="s">
        <v>4805</v>
      </c>
      <c r="I2106" t="s">
        <v>464</v>
      </c>
    </row>
    <row r="2107" spans="1:9" x14ac:dyDescent="0.3">
      <c r="A2107">
        <v>90686</v>
      </c>
      <c r="B2107">
        <v>105</v>
      </c>
      <c r="C2107" s="452">
        <v>46174</v>
      </c>
      <c r="D2107" t="s">
        <v>557</v>
      </c>
      <c r="E2107">
        <v>26046</v>
      </c>
      <c r="F2107" t="s">
        <v>5148</v>
      </c>
      <c r="G2107">
        <v>3</v>
      </c>
      <c r="H2107" t="s">
        <v>4805</v>
      </c>
      <c r="I2107" t="s">
        <v>464</v>
      </c>
    </row>
    <row r="2108" spans="1:9" x14ac:dyDescent="0.3">
      <c r="A2108">
        <v>90687</v>
      </c>
      <c r="B2108">
        <v>105</v>
      </c>
      <c r="C2108" s="452">
        <v>46174</v>
      </c>
      <c r="D2108" t="s">
        <v>557</v>
      </c>
      <c r="E2108">
        <v>26103</v>
      </c>
      <c r="F2108" t="s">
        <v>4776</v>
      </c>
      <c r="G2108">
        <v>0.5</v>
      </c>
      <c r="H2108" t="s">
        <v>4749</v>
      </c>
      <c r="I2108" t="s">
        <v>464</v>
      </c>
    </row>
    <row r="2109" spans="1:9" x14ac:dyDescent="0.3">
      <c r="A2109">
        <v>90688</v>
      </c>
      <c r="B2109">
        <v>105</v>
      </c>
      <c r="C2109" s="452">
        <v>46174</v>
      </c>
      <c r="D2109" t="s">
        <v>557</v>
      </c>
      <c r="E2109">
        <v>26135</v>
      </c>
      <c r="F2109" t="s">
        <v>4801</v>
      </c>
      <c r="G2109">
        <v>3</v>
      </c>
      <c r="H2109" t="s">
        <v>4744</v>
      </c>
      <c r="I2109" t="s">
        <v>464</v>
      </c>
    </row>
    <row r="2110" spans="1:9" x14ac:dyDescent="0.3">
      <c r="A2110">
        <v>90689</v>
      </c>
      <c r="B2110">
        <v>105</v>
      </c>
      <c r="C2110" s="452">
        <v>46174</v>
      </c>
      <c r="D2110" t="s">
        <v>557</v>
      </c>
      <c r="E2110">
        <v>26210</v>
      </c>
      <c r="F2110" t="s">
        <v>4975</v>
      </c>
      <c r="G2110">
        <v>1.85</v>
      </c>
      <c r="H2110" t="s">
        <v>4805</v>
      </c>
      <c r="I2110" t="s">
        <v>464</v>
      </c>
    </row>
    <row r="2111" spans="1:9" x14ac:dyDescent="0.3">
      <c r="A2111">
        <v>90690</v>
      </c>
      <c r="B2111">
        <v>105</v>
      </c>
      <c r="C2111" s="452">
        <v>46174</v>
      </c>
      <c r="D2111" t="s">
        <v>557</v>
      </c>
      <c r="E2111">
        <v>26236</v>
      </c>
      <c r="F2111" t="s">
        <v>5077</v>
      </c>
      <c r="G2111">
        <v>3</v>
      </c>
      <c r="H2111" t="s">
        <v>4805</v>
      </c>
      <c r="I2111" t="s">
        <v>464</v>
      </c>
    </row>
    <row r="2112" spans="1:9" x14ac:dyDescent="0.3">
      <c r="A2112">
        <v>90691</v>
      </c>
      <c r="B2112">
        <v>105</v>
      </c>
      <c r="C2112" s="452">
        <v>46174</v>
      </c>
      <c r="D2112" t="s">
        <v>557</v>
      </c>
      <c r="E2112">
        <v>26505</v>
      </c>
      <c r="F2112" t="s">
        <v>4750</v>
      </c>
      <c r="G2112">
        <v>2.66</v>
      </c>
      <c r="H2112" t="s">
        <v>4738</v>
      </c>
      <c r="I2112" t="s">
        <v>464</v>
      </c>
    </row>
    <row r="2113" spans="1:9" x14ac:dyDescent="0.3">
      <c r="A2113">
        <v>90692</v>
      </c>
      <c r="B2113">
        <v>105</v>
      </c>
      <c r="C2113" s="452">
        <v>46174</v>
      </c>
      <c r="D2113" t="s">
        <v>557</v>
      </c>
      <c r="E2113">
        <v>26679</v>
      </c>
      <c r="F2113" t="s">
        <v>4791</v>
      </c>
      <c r="G2113">
        <v>43.08</v>
      </c>
      <c r="H2113" t="s">
        <v>4744</v>
      </c>
      <c r="I2113" t="s">
        <v>464</v>
      </c>
    </row>
    <row r="2114" spans="1:9" x14ac:dyDescent="0.3">
      <c r="A2114">
        <v>90693</v>
      </c>
      <c r="B2114">
        <v>105</v>
      </c>
      <c r="C2114" s="452">
        <v>46174</v>
      </c>
      <c r="D2114" t="s">
        <v>557</v>
      </c>
      <c r="E2114">
        <v>27264</v>
      </c>
      <c r="F2114" t="s">
        <v>5075</v>
      </c>
      <c r="G2114">
        <v>9.82</v>
      </c>
      <c r="H2114" t="s">
        <v>4744</v>
      </c>
      <c r="I2114" t="s">
        <v>464</v>
      </c>
    </row>
    <row r="2115" spans="1:9" x14ac:dyDescent="0.3">
      <c r="A2115">
        <v>90694</v>
      </c>
      <c r="B2115">
        <v>105</v>
      </c>
      <c r="C2115" s="452">
        <v>46174</v>
      </c>
      <c r="D2115" t="s">
        <v>557</v>
      </c>
      <c r="E2115">
        <v>27397</v>
      </c>
      <c r="F2115" t="s">
        <v>4913</v>
      </c>
      <c r="G2115">
        <v>5</v>
      </c>
      <c r="H2115" t="s">
        <v>4736</v>
      </c>
      <c r="I2115" t="s">
        <v>464</v>
      </c>
    </row>
    <row r="2116" spans="1:9" x14ac:dyDescent="0.3">
      <c r="A2116">
        <v>90695</v>
      </c>
      <c r="B2116">
        <v>105</v>
      </c>
      <c r="C2116" s="452">
        <v>46174</v>
      </c>
      <c r="D2116" t="s">
        <v>557</v>
      </c>
      <c r="E2116">
        <v>27475</v>
      </c>
      <c r="F2116" t="s">
        <v>5123</v>
      </c>
      <c r="G2116">
        <v>6</v>
      </c>
      <c r="H2116" t="s">
        <v>4736</v>
      </c>
      <c r="I2116" t="s">
        <v>464</v>
      </c>
    </row>
    <row r="2117" spans="1:9" x14ac:dyDescent="0.3">
      <c r="A2117">
        <v>90696</v>
      </c>
      <c r="B2117">
        <v>105</v>
      </c>
      <c r="C2117" s="452">
        <v>46174</v>
      </c>
      <c r="D2117" t="s">
        <v>557</v>
      </c>
      <c r="E2117">
        <v>27689</v>
      </c>
      <c r="F2117" t="s">
        <v>5139</v>
      </c>
      <c r="G2117">
        <v>0.25</v>
      </c>
      <c r="H2117" t="s">
        <v>4749</v>
      </c>
      <c r="I2117" t="s">
        <v>464</v>
      </c>
    </row>
    <row r="2118" spans="1:9" x14ac:dyDescent="0.3">
      <c r="A2118">
        <v>90697</v>
      </c>
      <c r="B2118">
        <v>105</v>
      </c>
      <c r="C2118" s="452">
        <v>46174</v>
      </c>
      <c r="D2118" t="s">
        <v>557</v>
      </c>
      <c r="E2118">
        <v>27757</v>
      </c>
      <c r="F2118" t="s">
        <v>4942</v>
      </c>
      <c r="G2118">
        <v>1</v>
      </c>
      <c r="H2118" t="s">
        <v>4749</v>
      </c>
      <c r="I2118" t="s">
        <v>464</v>
      </c>
    </row>
    <row r="2119" spans="1:9" x14ac:dyDescent="0.3">
      <c r="A2119">
        <v>90698</v>
      </c>
      <c r="B2119">
        <v>105</v>
      </c>
      <c r="C2119" s="452">
        <v>46174</v>
      </c>
      <c r="D2119" t="s">
        <v>557</v>
      </c>
      <c r="E2119">
        <v>28568</v>
      </c>
      <c r="F2119" t="s">
        <v>5177</v>
      </c>
      <c r="G2119">
        <v>1.92</v>
      </c>
      <c r="H2119" t="s">
        <v>4749</v>
      </c>
      <c r="I2119" t="s">
        <v>464</v>
      </c>
    </row>
    <row r="2120" spans="1:9" x14ac:dyDescent="0.3">
      <c r="A2120">
        <v>90699</v>
      </c>
      <c r="B2120">
        <v>105</v>
      </c>
      <c r="C2120" s="452">
        <v>46174</v>
      </c>
      <c r="D2120" t="s">
        <v>557</v>
      </c>
      <c r="E2120">
        <v>29081</v>
      </c>
      <c r="F2120" t="s">
        <v>5152</v>
      </c>
      <c r="G2120">
        <v>1</v>
      </c>
      <c r="H2120" t="s">
        <v>4749</v>
      </c>
      <c r="I2120" t="s">
        <v>464</v>
      </c>
    </row>
    <row r="2121" spans="1:9" x14ac:dyDescent="0.3">
      <c r="A2121">
        <v>90700</v>
      </c>
      <c r="B2121">
        <v>105</v>
      </c>
      <c r="C2121" s="452">
        <v>46174</v>
      </c>
      <c r="D2121" t="s">
        <v>557</v>
      </c>
      <c r="E2121">
        <v>29082</v>
      </c>
      <c r="F2121" t="s">
        <v>5171</v>
      </c>
      <c r="G2121">
        <v>4</v>
      </c>
      <c r="H2121" t="s">
        <v>4736</v>
      </c>
      <c r="I2121" t="s">
        <v>464</v>
      </c>
    </row>
    <row r="2122" spans="1:9" x14ac:dyDescent="0.3">
      <c r="A2122">
        <v>90701</v>
      </c>
      <c r="B2122">
        <v>105</v>
      </c>
      <c r="C2122" s="452">
        <v>46174</v>
      </c>
      <c r="D2122" t="s">
        <v>557</v>
      </c>
      <c r="E2122">
        <v>29083</v>
      </c>
      <c r="F2122" t="s">
        <v>5153</v>
      </c>
      <c r="G2122">
        <v>1</v>
      </c>
      <c r="H2122" t="s">
        <v>4736</v>
      </c>
      <c r="I2122" t="s">
        <v>464</v>
      </c>
    </row>
    <row r="2123" spans="1:9" x14ac:dyDescent="0.3">
      <c r="A2123">
        <v>90702</v>
      </c>
      <c r="B2123">
        <v>105</v>
      </c>
      <c r="C2123" s="452">
        <v>46174</v>
      </c>
      <c r="D2123" t="s">
        <v>557</v>
      </c>
      <c r="E2123">
        <v>29084</v>
      </c>
      <c r="F2123" t="s">
        <v>5154</v>
      </c>
      <c r="G2123">
        <v>0.5</v>
      </c>
      <c r="H2123" t="s">
        <v>4736</v>
      </c>
      <c r="I2123" t="s">
        <v>464</v>
      </c>
    </row>
    <row r="2124" spans="1:9" x14ac:dyDescent="0.3">
      <c r="A2124">
        <v>90703</v>
      </c>
      <c r="B2124">
        <v>105</v>
      </c>
      <c r="C2124" s="452">
        <v>46174</v>
      </c>
      <c r="D2124" t="s">
        <v>557</v>
      </c>
      <c r="E2124">
        <v>29086</v>
      </c>
      <c r="F2124" t="s">
        <v>5172</v>
      </c>
      <c r="G2124">
        <v>9</v>
      </c>
      <c r="H2124" t="s">
        <v>4736</v>
      </c>
      <c r="I2124" t="s">
        <v>464</v>
      </c>
    </row>
    <row r="2125" spans="1:9" x14ac:dyDescent="0.3">
      <c r="A2125">
        <v>90704</v>
      </c>
      <c r="B2125">
        <v>105</v>
      </c>
      <c r="C2125" s="452">
        <v>46174</v>
      </c>
      <c r="D2125" t="s">
        <v>557</v>
      </c>
      <c r="E2125">
        <v>29087</v>
      </c>
      <c r="F2125" t="s">
        <v>5155</v>
      </c>
      <c r="G2125">
        <v>0.79</v>
      </c>
      <c r="H2125" t="s">
        <v>4736</v>
      </c>
      <c r="I2125" t="s">
        <v>464</v>
      </c>
    </row>
    <row r="2126" spans="1:9" x14ac:dyDescent="0.3">
      <c r="A2126">
        <v>90705</v>
      </c>
      <c r="B2126">
        <v>105</v>
      </c>
      <c r="C2126" s="452">
        <v>46174</v>
      </c>
      <c r="D2126" t="s">
        <v>557</v>
      </c>
      <c r="E2126">
        <v>29210</v>
      </c>
      <c r="F2126" t="s">
        <v>5178</v>
      </c>
      <c r="G2126">
        <v>6.6</v>
      </c>
      <c r="H2126" t="s">
        <v>4736</v>
      </c>
      <c r="I2126" t="s">
        <v>464</v>
      </c>
    </row>
    <row r="2127" spans="1:9" x14ac:dyDescent="0.3">
      <c r="A2127">
        <v>95087</v>
      </c>
      <c r="B2127">
        <v>105</v>
      </c>
      <c r="C2127" s="452">
        <v>46204</v>
      </c>
      <c r="D2127" t="s">
        <v>557</v>
      </c>
      <c r="E2127">
        <v>24278</v>
      </c>
      <c r="F2127" t="s">
        <v>4901</v>
      </c>
      <c r="G2127">
        <v>13</v>
      </c>
      <c r="H2127" t="s">
        <v>4744</v>
      </c>
      <c r="I2127" t="s">
        <v>465</v>
      </c>
    </row>
    <row r="2128" spans="1:9" x14ac:dyDescent="0.3">
      <c r="A2128">
        <v>95088</v>
      </c>
      <c r="B2128">
        <v>105</v>
      </c>
      <c r="C2128" s="452">
        <v>46204</v>
      </c>
      <c r="D2128" t="s">
        <v>557</v>
      </c>
      <c r="E2128">
        <v>19041</v>
      </c>
      <c r="F2128" t="s">
        <v>4762</v>
      </c>
      <c r="G2128">
        <v>39.880000000000003</v>
      </c>
      <c r="H2128" t="s">
        <v>4744</v>
      </c>
      <c r="I2128" t="s">
        <v>465</v>
      </c>
    </row>
    <row r="2129" spans="1:9" x14ac:dyDescent="0.3">
      <c r="A2129">
        <v>95089</v>
      </c>
      <c r="B2129">
        <v>105</v>
      </c>
      <c r="C2129" s="452">
        <v>46204</v>
      </c>
      <c r="D2129" t="s">
        <v>557</v>
      </c>
      <c r="E2129">
        <v>25777</v>
      </c>
      <c r="F2129" t="s">
        <v>4774</v>
      </c>
      <c r="G2129">
        <v>28.52</v>
      </c>
      <c r="H2129" t="s">
        <v>4744</v>
      </c>
      <c r="I2129" t="s">
        <v>465</v>
      </c>
    </row>
    <row r="2130" spans="1:9" x14ac:dyDescent="0.3">
      <c r="A2130">
        <v>95090</v>
      </c>
      <c r="B2130">
        <v>105</v>
      </c>
      <c r="C2130" s="452">
        <v>46204</v>
      </c>
      <c r="D2130" t="s">
        <v>557</v>
      </c>
      <c r="E2130">
        <v>24320</v>
      </c>
      <c r="F2130" t="s">
        <v>4861</v>
      </c>
      <c r="G2130">
        <v>6.3</v>
      </c>
      <c r="H2130" t="s">
        <v>4744</v>
      </c>
      <c r="I2130" t="s">
        <v>465</v>
      </c>
    </row>
    <row r="2131" spans="1:9" x14ac:dyDescent="0.3">
      <c r="A2131">
        <v>95091</v>
      </c>
      <c r="B2131">
        <v>105</v>
      </c>
      <c r="C2131" s="452">
        <v>46204</v>
      </c>
      <c r="D2131" t="s">
        <v>557</v>
      </c>
      <c r="E2131">
        <v>25205</v>
      </c>
      <c r="F2131" t="s">
        <v>4850</v>
      </c>
      <c r="G2131">
        <v>10.7</v>
      </c>
      <c r="H2131" t="s">
        <v>4744</v>
      </c>
      <c r="I2131" t="s">
        <v>465</v>
      </c>
    </row>
    <row r="2132" spans="1:9" x14ac:dyDescent="0.3">
      <c r="A2132">
        <v>95092</v>
      </c>
      <c r="B2132">
        <v>105</v>
      </c>
      <c r="C2132" s="452">
        <v>46204</v>
      </c>
      <c r="D2132" t="s">
        <v>557</v>
      </c>
      <c r="E2132">
        <v>18822</v>
      </c>
      <c r="F2132" t="s">
        <v>4811</v>
      </c>
      <c r="G2132">
        <v>25.45</v>
      </c>
      <c r="H2132" t="s">
        <v>4744</v>
      </c>
      <c r="I2132" t="s">
        <v>465</v>
      </c>
    </row>
    <row r="2133" spans="1:9" x14ac:dyDescent="0.3">
      <c r="A2133">
        <v>95093</v>
      </c>
      <c r="B2133">
        <v>105</v>
      </c>
      <c r="C2133" s="452">
        <v>46204</v>
      </c>
      <c r="D2133" t="s">
        <v>557</v>
      </c>
      <c r="E2133">
        <v>24081</v>
      </c>
      <c r="F2133" t="s">
        <v>4834</v>
      </c>
      <c r="G2133">
        <v>22.78</v>
      </c>
      <c r="H2133" t="s">
        <v>4744</v>
      </c>
      <c r="I2133" t="s">
        <v>465</v>
      </c>
    </row>
    <row r="2134" spans="1:9" x14ac:dyDescent="0.3">
      <c r="A2134">
        <v>95094</v>
      </c>
      <c r="B2134">
        <v>105</v>
      </c>
      <c r="C2134" s="452">
        <v>46204</v>
      </c>
      <c r="D2134" t="s">
        <v>557</v>
      </c>
      <c r="E2134">
        <v>18764</v>
      </c>
      <c r="F2134" t="s">
        <v>5179</v>
      </c>
      <c r="G2134">
        <v>2.9</v>
      </c>
      <c r="H2134" t="s">
        <v>4744</v>
      </c>
      <c r="I2134" t="s">
        <v>465</v>
      </c>
    </row>
    <row r="2135" spans="1:9" x14ac:dyDescent="0.3">
      <c r="A2135">
        <v>95095</v>
      </c>
      <c r="B2135">
        <v>105</v>
      </c>
      <c r="C2135" s="452">
        <v>46204</v>
      </c>
      <c r="D2135" t="s">
        <v>557</v>
      </c>
      <c r="E2135">
        <v>24256</v>
      </c>
      <c r="F2135" t="s">
        <v>4773</v>
      </c>
      <c r="G2135">
        <v>18.350000000000001</v>
      </c>
      <c r="H2135" t="s">
        <v>4744</v>
      </c>
      <c r="I2135" t="s">
        <v>465</v>
      </c>
    </row>
    <row r="2136" spans="1:9" x14ac:dyDescent="0.3">
      <c r="A2136">
        <v>95096</v>
      </c>
      <c r="B2136">
        <v>105</v>
      </c>
      <c r="C2136" s="452">
        <v>46204</v>
      </c>
      <c r="D2136" t="s">
        <v>557</v>
      </c>
      <c r="E2136">
        <v>26679</v>
      </c>
      <c r="F2136" t="s">
        <v>4791</v>
      </c>
      <c r="G2136">
        <v>66.849999999999994</v>
      </c>
      <c r="H2136" t="s">
        <v>4744</v>
      </c>
      <c r="I2136" t="s">
        <v>465</v>
      </c>
    </row>
    <row r="2137" spans="1:9" x14ac:dyDescent="0.3">
      <c r="A2137">
        <v>95097</v>
      </c>
      <c r="B2137">
        <v>105</v>
      </c>
      <c r="C2137" s="452">
        <v>46204</v>
      </c>
      <c r="D2137" t="s">
        <v>557</v>
      </c>
      <c r="E2137">
        <v>24116</v>
      </c>
      <c r="F2137" t="s">
        <v>4777</v>
      </c>
      <c r="G2137">
        <v>5</v>
      </c>
      <c r="H2137" t="s">
        <v>4744</v>
      </c>
      <c r="I2137" t="s">
        <v>465</v>
      </c>
    </row>
    <row r="2138" spans="1:9" x14ac:dyDescent="0.3">
      <c r="A2138">
        <v>95098</v>
      </c>
      <c r="B2138">
        <v>105</v>
      </c>
      <c r="C2138" s="452">
        <v>46204</v>
      </c>
      <c r="D2138" t="s">
        <v>557</v>
      </c>
      <c r="E2138">
        <v>24217</v>
      </c>
      <c r="F2138" t="s">
        <v>4778</v>
      </c>
      <c r="G2138">
        <v>49.42</v>
      </c>
      <c r="H2138" t="s">
        <v>4744</v>
      </c>
      <c r="I2138" t="s">
        <v>465</v>
      </c>
    </row>
    <row r="2139" spans="1:9" x14ac:dyDescent="0.3">
      <c r="A2139">
        <v>95099</v>
      </c>
      <c r="B2139">
        <v>105</v>
      </c>
      <c r="C2139" s="452">
        <v>46204</v>
      </c>
      <c r="D2139" t="s">
        <v>557</v>
      </c>
      <c r="E2139">
        <v>24090</v>
      </c>
      <c r="F2139" t="s">
        <v>5180</v>
      </c>
      <c r="G2139">
        <v>32.200000000000003</v>
      </c>
      <c r="H2139" t="s">
        <v>4744</v>
      </c>
      <c r="I2139" t="s">
        <v>465</v>
      </c>
    </row>
    <row r="2140" spans="1:9" x14ac:dyDescent="0.3">
      <c r="A2140">
        <v>95100</v>
      </c>
      <c r="B2140">
        <v>105</v>
      </c>
      <c r="C2140" s="452">
        <v>46204</v>
      </c>
      <c r="D2140" t="s">
        <v>557</v>
      </c>
      <c r="E2140">
        <v>18731</v>
      </c>
      <c r="F2140" t="s">
        <v>4832</v>
      </c>
      <c r="G2140">
        <v>22.6</v>
      </c>
      <c r="H2140" t="s">
        <v>4744</v>
      </c>
      <c r="I2140" t="s">
        <v>465</v>
      </c>
    </row>
    <row r="2141" spans="1:9" x14ac:dyDescent="0.3">
      <c r="A2141">
        <v>95101</v>
      </c>
      <c r="B2141">
        <v>105</v>
      </c>
      <c r="C2141" s="452">
        <v>46204</v>
      </c>
      <c r="D2141" t="s">
        <v>557</v>
      </c>
      <c r="E2141">
        <v>19003</v>
      </c>
      <c r="F2141" t="s">
        <v>4810</v>
      </c>
      <c r="G2141">
        <v>26.33</v>
      </c>
      <c r="H2141" t="s">
        <v>4744</v>
      </c>
      <c r="I2141" t="s">
        <v>465</v>
      </c>
    </row>
    <row r="2142" spans="1:9" x14ac:dyDescent="0.3">
      <c r="A2142">
        <v>95102</v>
      </c>
      <c r="B2142">
        <v>105</v>
      </c>
      <c r="C2142" s="452">
        <v>46204</v>
      </c>
      <c r="D2142" t="s">
        <v>557</v>
      </c>
      <c r="E2142">
        <v>28213</v>
      </c>
      <c r="F2142" t="s">
        <v>5181</v>
      </c>
      <c r="G2142">
        <v>18.8</v>
      </c>
      <c r="H2142" t="s">
        <v>4744</v>
      </c>
      <c r="I2142" t="s">
        <v>465</v>
      </c>
    </row>
    <row r="2143" spans="1:9" x14ac:dyDescent="0.3">
      <c r="A2143">
        <v>95103</v>
      </c>
      <c r="B2143">
        <v>105</v>
      </c>
      <c r="C2143" s="452">
        <v>46204</v>
      </c>
      <c r="D2143" t="s">
        <v>557</v>
      </c>
      <c r="E2143">
        <v>18992</v>
      </c>
      <c r="F2143" t="s">
        <v>4869</v>
      </c>
      <c r="G2143">
        <v>8.3000000000000007</v>
      </c>
      <c r="H2143" t="s">
        <v>4744</v>
      </c>
      <c r="I2143" t="s">
        <v>465</v>
      </c>
    </row>
    <row r="2144" spans="1:9" x14ac:dyDescent="0.3">
      <c r="A2144">
        <v>95104</v>
      </c>
      <c r="B2144">
        <v>105</v>
      </c>
      <c r="C2144" s="452">
        <v>46204</v>
      </c>
      <c r="D2144" t="s">
        <v>557</v>
      </c>
      <c r="E2144">
        <v>18735</v>
      </c>
      <c r="F2144" t="s">
        <v>4891</v>
      </c>
      <c r="G2144">
        <v>12.35</v>
      </c>
      <c r="H2144" t="s">
        <v>4744</v>
      </c>
      <c r="I2144" t="s">
        <v>465</v>
      </c>
    </row>
    <row r="2145" spans="1:9" x14ac:dyDescent="0.3">
      <c r="A2145">
        <v>95105</v>
      </c>
      <c r="B2145">
        <v>105</v>
      </c>
      <c r="C2145" s="452">
        <v>46204</v>
      </c>
      <c r="D2145" t="s">
        <v>557</v>
      </c>
      <c r="E2145">
        <v>24200</v>
      </c>
      <c r="F2145" t="s">
        <v>4820</v>
      </c>
      <c r="G2145">
        <v>14.55</v>
      </c>
      <c r="H2145" t="s">
        <v>4744</v>
      </c>
      <c r="I2145" t="s">
        <v>465</v>
      </c>
    </row>
    <row r="2146" spans="1:9" x14ac:dyDescent="0.3">
      <c r="A2146">
        <v>95106</v>
      </c>
      <c r="B2146">
        <v>105</v>
      </c>
      <c r="C2146" s="452">
        <v>46204</v>
      </c>
      <c r="D2146" t="s">
        <v>557</v>
      </c>
      <c r="E2146">
        <v>26592</v>
      </c>
      <c r="F2146" t="s">
        <v>5141</v>
      </c>
      <c r="G2146">
        <v>22.56</v>
      </c>
      <c r="H2146" t="s">
        <v>4744</v>
      </c>
      <c r="I2146" t="s">
        <v>465</v>
      </c>
    </row>
    <row r="2147" spans="1:9" x14ac:dyDescent="0.3">
      <c r="A2147">
        <v>95107</v>
      </c>
      <c r="B2147">
        <v>105</v>
      </c>
      <c r="C2147" s="452">
        <v>46204</v>
      </c>
      <c r="D2147" t="s">
        <v>557</v>
      </c>
      <c r="E2147">
        <v>22721</v>
      </c>
      <c r="F2147" t="s">
        <v>4803</v>
      </c>
      <c r="G2147">
        <v>13.65</v>
      </c>
      <c r="H2147" t="s">
        <v>4744</v>
      </c>
      <c r="I2147" t="s">
        <v>465</v>
      </c>
    </row>
    <row r="2148" spans="1:9" x14ac:dyDescent="0.3">
      <c r="A2148">
        <v>95108</v>
      </c>
      <c r="B2148">
        <v>105</v>
      </c>
      <c r="C2148" s="452">
        <v>46204</v>
      </c>
      <c r="D2148" t="s">
        <v>557</v>
      </c>
      <c r="E2148">
        <v>24096</v>
      </c>
      <c r="F2148" t="s">
        <v>4771</v>
      </c>
      <c r="G2148">
        <v>79.92</v>
      </c>
      <c r="H2148" t="s">
        <v>4744</v>
      </c>
      <c r="I2148" t="s">
        <v>465</v>
      </c>
    </row>
    <row r="2149" spans="1:9" x14ac:dyDescent="0.3">
      <c r="A2149">
        <v>95109</v>
      </c>
      <c r="B2149">
        <v>105</v>
      </c>
      <c r="C2149" s="452">
        <v>46204</v>
      </c>
      <c r="D2149" t="s">
        <v>557</v>
      </c>
      <c r="E2149">
        <v>18945</v>
      </c>
      <c r="F2149" t="s">
        <v>4768</v>
      </c>
      <c r="G2149">
        <v>8.1</v>
      </c>
      <c r="H2149" t="s">
        <v>4744</v>
      </c>
      <c r="I2149" t="s">
        <v>465</v>
      </c>
    </row>
    <row r="2150" spans="1:9" x14ac:dyDescent="0.3">
      <c r="A2150">
        <v>95110</v>
      </c>
      <c r="B2150">
        <v>105</v>
      </c>
      <c r="C2150" s="452">
        <v>46204</v>
      </c>
      <c r="D2150" t="s">
        <v>557</v>
      </c>
      <c r="E2150">
        <v>24259</v>
      </c>
      <c r="F2150" t="s">
        <v>4875</v>
      </c>
      <c r="G2150">
        <v>35.5</v>
      </c>
      <c r="H2150" t="s">
        <v>4744</v>
      </c>
      <c r="I2150" t="s">
        <v>465</v>
      </c>
    </row>
    <row r="2151" spans="1:9" x14ac:dyDescent="0.3">
      <c r="A2151">
        <v>95111</v>
      </c>
      <c r="B2151">
        <v>105</v>
      </c>
      <c r="C2151" s="452">
        <v>46204</v>
      </c>
      <c r="D2151" t="s">
        <v>557</v>
      </c>
      <c r="E2151">
        <v>18991</v>
      </c>
      <c r="F2151" t="s">
        <v>4815</v>
      </c>
      <c r="G2151">
        <v>11.4</v>
      </c>
      <c r="H2151" t="s">
        <v>4744</v>
      </c>
      <c r="I2151" t="s">
        <v>465</v>
      </c>
    </row>
    <row r="2152" spans="1:9" x14ac:dyDescent="0.3">
      <c r="A2152">
        <v>95112</v>
      </c>
      <c r="B2152">
        <v>105</v>
      </c>
      <c r="C2152" s="452">
        <v>46204</v>
      </c>
      <c r="D2152" t="s">
        <v>557</v>
      </c>
      <c r="E2152">
        <v>26135</v>
      </c>
      <c r="F2152" t="s">
        <v>4801</v>
      </c>
      <c r="G2152">
        <v>10.050000000000001</v>
      </c>
      <c r="H2152" t="s">
        <v>4744</v>
      </c>
      <c r="I2152" t="s">
        <v>465</v>
      </c>
    </row>
    <row r="2153" spans="1:9" x14ac:dyDescent="0.3">
      <c r="A2153">
        <v>95113</v>
      </c>
      <c r="B2153">
        <v>105</v>
      </c>
      <c r="C2153" s="452">
        <v>46204</v>
      </c>
      <c r="D2153" t="s">
        <v>557</v>
      </c>
      <c r="E2153">
        <v>24191</v>
      </c>
      <c r="F2153" t="s">
        <v>4846</v>
      </c>
      <c r="G2153">
        <v>6.08</v>
      </c>
      <c r="H2153" t="s">
        <v>4744</v>
      </c>
      <c r="I2153" t="s">
        <v>465</v>
      </c>
    </row>
    <row r="2154" spans="1:9" x14ac:dyDescent="0.3">
      <c r="A2154">
        <v>95114</v>
      </c>
      <c r="B2154">
        <v>105</v>
      </c>
      <c r="C2154" s="452">
        <v>46204</v>
      </c>
      <c r="D2154" t="s">
        <v>557</v>
      </c>
      <c r="E2154">
        <v>24199</v>
      </c>
      <c r="F2154" t="s">
        <v>4783</v>
      </c>
      <c r="G2154">
        <v>41</v>
      </c>
      <c r="H2154" t="s">
        <v>4744</v>
      </c>
      <c r="I2154" t="s">
        <v>465</v>
      </c>
    </row>
    <row r="2155" spans="1:9" x14ac:dyDescent="0.3">
      <c r="A2155">
        <v>95115</v>
      </c>
      <c r="B2155">
        <v>105</v>
      </c>
      <c r="C2155" s="452">
        <v>46204</v>
      </c>
      <c r="D2155" t="s">
        <v>557</v>
      </c>
      <c r="E2155">
        <v>24403</v>
      </c>
      <c r="F2155" t="s">
        <v>5149</v>
      </c>
      <c r="G2155">
        <v>3.7</v>
      </c>
      <c r="H2155" t="s">
        <v>4744</v>
      </c>
      <c r="I2155" t="s">
        <v>465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070"/>
  <sheetViews>
    <sheetView workbookViewId="0"/>
  </sheetViews>
  <sheetFormatPr defaultRowHeight="14.4" x14ac:dyDescent="0.3"/>
  <sheetData>
    <row r="1" spans="1:15" x14ac:dyDescent="0.3">
      <c r="A1" t="s">
        <v>760</v>
      </c>
      <c r="B1" t="s">
        <v>2538</v>
      </c>
      <c r="C1" t="s">
        <v>2539</v>
      </c>
      <c r="D1" t="s">
        <v>761</v>
      </c>
      <c r="E1" t="s">
        <v>762</v>
      </c>
      <c r="F1" t="s">
        <v>763</v>
      </c>
      <c r="G1" t="s">
        <v>5182</v>
      </c>
      <c r="H1" t="s">
        <v>5183</v>
      </c>
      <c r="I1" t="s">
        <v>5184</v>
      </c>
      <c r="J1" t="s">
        <v>4733</v>
      </c>
      <c r="K1" t="s">
        <v>4734</v>
      </c>
      <c r="L1" t="s">
        <v>5185</v>
      </c>
      <c r="M1" t="s">
        <v>5186</v>
      </c>
      <c r="N1" t="s">
        <v>767</v>
      </c>
      <c r="O1" t="s">
        <v>556</v>
      </c>
    </row>
    <row r="2" spans="1:15" x14ac:dyDescent="0.3">
      <c r="A2">
        <v>243385</v>
      </c>
      <c r="B2">
        <v>105</v>
      </c>
      <c r="C2" t="s">
        <v>557</v>
      </c>
      <c r="D2" t="s">
        <v>2548</v>
      </c>
      <c r="E2" t="s">
        <v>2549</v>
      </c>
      <c r="F2" s="451">
        <v>46189</v>
      </c>
      <c r="G2">
        <v>17564</v>
      </c>
      <c r="H2" t="s">
        <v>5187</v>
      </c>
      <c r="I2" t="s">
        <v>5188</v>
      </c>
      <c r="J2">
        <v>1</v>
      </c>
      <c r="K2" t="s">
        <v>4736</v>
      </c>
      <c r="L2">
        <v>109.1</v>
      </c>
      <c r="M2">
        <v>109.1</v>
      </c>
      <c r="O2" t="s">
        <v>464</v>
      </c>
    </row>
    <row r="3" spans="1:15" x14ac:dyDescent="0.3">
      <c r="A3">
        <v>242761</v>
      </c>
      <c r="B3">
        <v>105</v>
      </c>
      <c r="C3" t="s">
        <v>557</v>
      </c>
      <c r="D3" t="s">
        <v>2550</v>
      </c>
      <c r="E3" t="s">
        <v>2551</v>
      </c>
      <c r="F3" s="451">
        <v>46203</v>
      </c>
      <c r="G3">
        <v>29206</v>
      </c>
      <c r="H3" t="s">
        <v>5189</v>
      </c>
      <c r="I3" t="s">
        <v>5188</v>
      </c>
      <c r="J3">
        <v>6</v>
      </c>
      <c r="K3" t="s">
        <v>4736</v>
      </c>
      <c r="L3">
        <v>582</v>
      </c>
      <c r="M3">
        <v>97</v>
      </c>
      <c r="O3" t="s">
        <v>464</v>
      </c>
    </row>
    <row r="4" spans="1:15" x14ac:dyDescent="0.3">
      <c r="A4">
        <v>242760</v>
      </c>
      <c r="B4">
        <v>105</v>
      </c>
      <c r="C4" t="s">
        <v>557</v>
      </c>
      <c r="D4" t="s">
        <v>2552</v>
      </c>
      <c r="E4" t="s">
        <v>2553</v>
      </c>
      <c r="F4" s="451">
        <v>46204</v>
      </c>
      <c r="G4">
        <v>26627</v>
      </c>
      <c r="H4" t="s">
        <v>5190</v>
      </c>
      <c r="I4" t="s">
        <v>5191</v>
      </c>
      <c r="J4">
        <v>20</v>
      </c>
      <c r="K4" t="s">
        <v>4744</v>
      </c>
      <c r="L4">
        <v>158</v>
      </c>
      <c r="M4">
        <v>7.9</v>
      </c>
      <c r="O4" t="s">
        <v>465</v>
      </c>
    </row>
    <row r="5" spans="1:15" x14ac:dyDescent="0.3">
      <c r="A5">
        <v>242758</v>
      </c>
      <c r="B5">
        <v>105</v>
      </c>
      <c r="C5" t="s">
        <v>557</v>
      </c>
      <c r="D5" t="s">
        <v>2554</v>
      </c>
      <c r="E5" t="s">
        <v>2555</v>
      </c>
      <c r="F5" s="451">
        <v>46204</v>
      </c>
      <c r="G5">
        <v>17266</v>
      </c>
      <c r="H5" t="s">
        <v>5192</v>
      </c>
      <c r="I5" t="s">
        <v>5188</v>
      </c>
      <c r="J5">
        <v>3</v>
      </c>
      <c r="K5" t="s">
        <v>4736</v>
      </c>
      <c r="L5">
        <v>13.95</v>
      </c>
      <c r="M5">
        <v>4.6500000000000004</v>
      </c>
      <c r="O5" t="s">
        <v>465</v>
      </c>
    </row>
    <row r="6" spans="1:15" x14ac:dyDescent="0.3">
      <c r="A6">
        <v>242758</v>
      </c>
      <c r="B6">
        <v>105</v>
      </c>
      <c r="C6" t="s">
        <v>557</v>
      </c>
      <c r="D6" t="s">
        <v>2554</v>
      </c>
      <c r="E6" t="s">
        <v>2555</v>
      </c>
      <c r="F6" s="451">
        <v>46204</v>
      </c>
      <c r="G6">
        <v>17190</v>
      </c>
      <c r="H6" t="s">
        <v>5193</v>
      </c>
      <c r="I6" t="s">
        <v>5188</v>
      </c>
      <c r="J6">
        <v>2</v>
      </c>
      <c r="K6" t="s">
        <v>4738</v>
      </c>
      <c r="L6">
        <v>16.2</v>
      </c>
      <c r="M6">
        <v>8.1</v>
      </c>
      <c r="O6" t="s">
        <v>465</v>
      </c>
    </row>
    <row r="7" spans="1:15" x14ac:dyDescent="0.3">
      <c r="A7">
        <v>242758</v>
      </c>
      <c r="B7">
        <v>105</v>
      </c>
      <c r="C7" t="s">
        <v>557</v>
      </c>
      <c r="D7" t="s">
        <v>2554</v>
      </c>
      <c r="E7" t="s">
        <v>2555</v>
      </c>
      <c r="F7" s="451">
        <v>46204</v>
      </c>
      <c r="G7">
        <v>17046</v>
      </c>
      <c r="H7" t="s">
        <v>5194</v>
      </c>
      <c r="I7" t="s">
        <v>5188</v>
      </c>
      <c r="J7">
        <v>2</v>
      </c>
      <c r="K7" t="s">
        <v>4736</v>
      </c>
      <c r="L7">
        <v>69</v>
      </c>
      <c r="M7">
        <v>34.5</v>
      </c>
      <c r="O7" t="s">
        <v>465</v>
      </c>
    </row>
    <row r="8" spans="1:15" x14ac:dyDescent="0.3">
      <c r="A8">
        <v>242758</v>
      </c>
      <c r="B8">
        <v>105</v>
      </c>
      <c r="C8" t="s">
        <v>557</v>
      </c>
      <c r="D8" t="s">
        <v>2554</v>
      </c>
      <c r="E8" t="s">
        <v>2555</v>
      </c>
      <c r="F8" s="451">
        <v>46204</v>
      </c>
      <c r="G8">
        <v>17304</v>
      </c>
      <c r="H8" t="s">
        <v>5195</v>
      </c>
      <c r="I8" t="s">
        <v>5188</v>
      </c>
      <c r="J8">
        <v>2</v>
      </c>
      <c r="K8" t="s">
        <v>4848</v>
      </c>
      <c r="L8">
        <v>13.18</v>
      </c>
      <c r="M8">
        <v>6.59</v>
      </c>
      <c r="O8" t="s">
        <v>465</v>
      </c>
    </row>
    <row r="9" spans="1:15" x14ac:dyDescent="0.3">
      <c r="A9">
        <v>242758</v>
      </c>
      <c r="B9">
        <v>105</v>
      </c>
      <c r="C9" t="s">
        <v>557</v>
      </c>
      <c r="D9" t="s">
        <v>2554</v>
      </c>
      <c r="E9" t="s">
        <v>2555</v>
      </c>
      <c r="F9" s="451">
        <v>46204</v>
      </c>
      <c r="G9">
        <v>17019</v>
      </c>
      <c r="H9" t="s">
        <v>5196</v>
      </c>
      <c r="I9" t="s">
        <v>5188</v>
      </c>
      <c r="J9">
        <v>2</v>
      </c>
      <c r="K9" t="s">
        <v>4736</v>
      </c>
      <c r="L9">
        <v>6</v>
      </c>
      <c r="M9">
        <v>3</v>
      </c>
      <c r="O9" t="s">
        <v>465</v>
      </c>
    </row>
    <row r="10" spans="1:15" x14ac:dyDescent="0.3">
      <c r="A10">
        <v>242758</v>
      </c>
      <c r="B10">
        <v>105</v>
      </c>
      <c r="C10" t="s">
        <v>557</v>
      </c>
      <c r="D10" t="s">
        <v>2554</v>
      </c>
      <c r="E10" t="s">
        <v>2555</v>
      </c>
      <c r="F10" s="451">
        <v>46204</v>
      </c>
      <c r="G10">
        <v>24596</v>
      </c>
      <c r="H10" t="s">
        <v>5197</v>
      </c>
      <c r="I10" t="s">
        <v>5188</v>
      </c>
      <c r="J10">
        <v>2</v>
      </c>
      <c r="K10" t="s">
        <v>4736</v>
      </c>
      <c r="L10">
        <v>30</v>
      </c>
      <c r="M10">
        <v>15</v>
      </c>
      <c r="O10" t="s">
        <v>465</v>
      </c>
    </row>
    <row r="11" spans="1:15" x14ac:dyDescent="0.3">
      <c r="A11">
        <v>242758</v>
      </c>
      <c r="B11">
        <v>105</v>
      </c>
      <c r="C11" t="s">
        <v>557</v>
      </c>
      <c r="D11" t="s">
        <v>2554</v>
      </c>
      <c r="E11" t="s">
        <v>2555</v>
      </c>
      <c r="F11" s="451">
        <v>46204</v>
      </c>
      <c r="G11">
        <v>24505</v>
      </c>
      <c r="H11" t="s">
        <v>5198</v>
      </c>
      <c r="I11" t="s">
        <v>5188</v>
      </c>
      <c r="J11">
        <v>3</v>
      </c>
      <c r="K11" t="s">
        <v>4738</v>
      </c>
      <c r="L11">
        <v>14.94</v>
      </c>
      <c r="M11">
        <v>4.9800000000000004</v>
      </c>
      <c r="O11" t="s">
        <v>465</v>
      </c>
    </row>
    <row r="12" spans="1:15" x14ac:dyDescent="0.3">
      <c r="A12">
        <v>242758</v>
      </c>
      <c r="B12">
        <v>105</v>
      </c>
      <c r="C12" t="s">
        <v>557</v>
      </c>
      <c r="D12" t="s">
        <v>2554</v>
      </c>
      <c r="E12" t="s">
        <v>2555</v>
      </c>
      <c r="F12" s="451">
        <v>46204</v>
      </c>
      <c r="G12">
        <v>17017</v>
      </c>
      <c r="H12" t="s">
        <v>5199</v>
      </c>
      <c r="I12" t="s">
        <v>5188</v>
      </c>
      <c r="J12">
        <v>1</v>
      </c>
      <c r="K12" t="s">
        <v>4738</v>
      </c>
      <c r="L12">
        <v>3</v>
      </c>
      <c r="M12">
        <v>3</v>
      </c>
      <c r="O12" t="s">
        <v>465</v>
      </c>
    </row>
    <row r="13" spans="1:15" x14ac:dyDescent="0.3">
      <c r="A13">
        <v>242758</v>
      </c>
      <c r="B13">
        <v>105</v>
      </c>
      <c r="C13" t="s">
        <v>557</v>
      </c>
      <c r="D13" t="s">
        <v>2554</v>
      </c>
      <c r="E13" t="s">
        <v>2555</v>
      </c>
      <c r="F13" s="451">
        <v>46204</v>
      </c>
      <c r="G13">
        <v>17405</v>
      </c>
      <c r="H13" t="s">
        <v>5200</v>
      </c>
      <c r="I13" t="s">
        <v>5188</v>
      </c>
      <c r="J13">
        <v>1</v>
      </c>
      <c r="K13" t="s">
        <v>4736</v>
      </c>
      <c r="L13">
        <v>9.26</v>
      </c>
      <c r="M13">
        <v>9.26</v>
      </c>
      <c r="O13" t="s">
        <v>465</v>
      </c>
    </row>
    <row r="14" spans="1:15" x14ac:dyDescent="0.3">
      <c r="A14">
        <v>242758</v>
      </c>
      <c r="B14">
        <v>105</v>
      </c>
      <c r="C14" t="s">
        <v>557</v>
      </c>
      <c r="D14" t="s">
        <v>2554</v>
      </c>
      <c r="E14" t="s">
        <v>2555</v>
      </c>
      <c r="F14" s="451">
        <v>46204</v>
      </c>
      <c r="G14">
        <v>17182</v>
      </c>
      <c r="H14" t="s">
        <v>5201</v>
      </c>
      <c r="I14" t="s">
        <v>5188</v>
      </c>
      <c r="J14">
        <v>1</v>
      </c>
      <c r="K14" t="s">
        <v>4848</v>
      </c>
      <c r="L14">
        <v>38.89</v>
      </c>
      <c r="M14">
        <v>38.89</v>
      </c>
      <c r="O14" t="s">
        <v>465</v>
      </c>
    </row>
    <row r="15" spans="1:15" x14ac:dyDescent="0.3">
      <c r="A15">
        <v>242758</v>
      </c>
      <c r="B15">
        <v>105</v>
      </c>
      <c r="C15" t="s">
        <v>557</v>
      </c>
      <c r="D15" t="s">
        <v>2554</v>
      </c>
      <c r="E15" t="s">
        <v>2555</v>
      </c>
      <c r="F15" s="451">
        <v>46204</v>
      </c>
      <c r="G15">
        <v>17129</v>
      </c>
      <c r="H15" t="s">
        <v>5202</v>
      </c>
      <c r="I15" t="s">
        <v>5188</v>
      </c>
      <c r="J15">
        <v>1</v>
      </c>
      <c r="K15" t="s">
        <v>4738</v>
      </c>
      <c r="L15">
        <v>26.61</v>
      </c>
      <c r="M15">
        <v>26.61</v>
      </c>
      <c r="O15" t="s">
        <v>465</v>
      </c>
    </row>
    <row r="16" spans="1:15" x14ac:dyDescent="0.3">
      <c r="A16">
        <v>242758</v>
      </c>
      <c r="B16">
        <v>105</v>
      </c>
      <c r="C16" t="s">
        <v>557</v>
      </c>
      <c r="D16" t="s">
        <v>2554</v>
      </c>
      <c r="E16" t="s">
        <v>2555</v>
      </c>
      <c r="F16" s="451">
        <v>46204</v>
      </c>
      <c r="G16">
        <v>17437</v>
      </c>
      <c r="H16" t="s">
        <v>5203</v>
      </c>
      <c r="I16" t="s">
        <v>5188</v>
      </c>
      <c r="J16">
        <v>15</v>
      </c>
      <c r="K16" t="s">
        <v>4736</v>
      </c>
      <c r="L16">
        <v>34.5</v>
      </c>
      <c r="M16">
        <v>2.2999999999999998</v>
      </c>
      <c r="O16" t="s">
        <v>465</v>
      </c>
    </row>
    <row r="17" spans="1:15" x14ac:dyDescent="0.3">
      <c r="A17">
        <v>242758</v>
      </c>
      <c r="B17">
        <v>105</v>
      </c>
      <c r="C17" t="s">
        <v>557</v>
      </c>
      <c r="D17" t="s">
        <v>2554</v>
      </c>
      <c r="E17" t="s">
        <v>2555</v>
      </c>
      <c r="F17" s="451">
        <v>46204</v>
      </c>
      <c r="G17">
        <v>24750</v>
      </c>
      <c r="H17" t="s">
        <v>5204</v>
      </c>
      <c r="I17" t="s">
        <v>5205</v>
      </c>
      <c r="J17">
        <v>1</v>
      </c>
      <c r="K17" t="s">
        <v>5206</v>
      </c>
      <c r="L17">
        <v>9.9</v>
      </c>
      <c r="M17">
        <v>9.9</v>
      </c>
      <c r="O17" t="s">
        <v>465</v>
      </c>
    </row>
    <row r="18" spans="1:15" x14ac:dyDescent="0.3">
      <c r="A18">
        <v>242758</v>
      </c>
      <c r="B18">
        <v>105</v>
      </c>
      <c r="C18" t="s">
        <v>557</v>
      </c>
      <c r="D18" t="s">
        <v>2554</v>
      </c>
      <c r="E18" t="s">
        <v>2555</v>
      </c>
      <c r="F18" s="451">
        <v>46204</v>
      </c>
      <c r="G18">
        <v>17418</v>
      </c>
      <c r="H18" t="s">
        <v>5207</v>
      </c>
      <c r="I18" t="s">
        <v>5188</v>
      </c>
      <c r="J18">
        <v>2</v>
      </c>
      <c r="K18" t="s">
        <v>4749</v>
      </c>
      <c r="L18">
        <v>117.8</v>
      </c>
      <c r="M18">
        <v>58.9</v>
      </c>
      <c r="O18" t="s">
        <v>465</v>
      </c>
    </row>
    <row r="19" spans="1:15" x14ac:dyDescent="0.3">
      <c r="A19">
        <v>242758</v>
      </c>
      <c r="B19">
        <v>105</v>
      </c>
      <c r="C19" t="s">
        <v>557</v>
      </c>
      <c r="D19" t="s">
        <v>2554</v>
      </c>
      <c r="E19" t="s">
        <v>2555</v>
      </c>
      <c r="F19" s="451">
        <v>46204</v>
      </c>
      <c r="G19">
        <v>17314</v>
      </c>
      <c r="H19" t="s">
        <v>5208</v>
      </c>
      <c r="I19" t="s">
        <v>5188</v>
      </c>
      <c r="J19">
        <v>2</v>
      </c>
      <c r="K19" t="s">
        <v>4848</v>
      </c>
      <c r="L19">
        <v>11.78</v>
      </c>
      <c r="M19">
        <v>5.89</v>
      </c>
      <c r="O19" t="s">
        <v>465</v>
      </c>
    </row>
    <row r="20" spans="1:15" x14ac:dyDescent="0.3">
      <c r="A20">
        <v>242758</v>
      </c>
      <c r="B20">
        <v>105</v>
      </c>
      <c r="C20" t="s">
        <v>557</v>
      </c>
      <c r="D20" t="s">
        <v>2554</v>
      </c>
      <c r="E20" t="s">
        <v>2555</v>
      </c>
      <c r="F20" s="451">
        <v>46204</v>
      </c>
      <c r="G20">
        <v>17416</v>
      </c>
      <c r="H20" t="s">
        <v>5209</v>
      </c>
      <c r="I20" t="s">
        <v>5188</v>
      </c>
      <c r="J20">
        <v>2</v>
      </c>
      <c r="K20" t="s">
        <v>4749</v>
      </c>
      <c r="L20">
        <v>97.16</v>
      </c>
      <c r="M20">
        <v>48.58</v>
      </c>
      <c r="O20" t="s">
        <v>465</v>
      </c>
    </row>
    <row r="21" spans="1:15" x14ac:dyDescent="0.3">
      <c r="A21">
        <v>242758</v>
      </c>
      <c r="B21">
        <v>105</v>
      </c>
      <c r="C21" t="s">
        <v>557</v>
      </c>
      <c r="D21" t="s">
        <v>2554</v>
      </c>
      <c r="E21" t="s">
        <v>2555</v>
      </c>
      <c r="F21" s="451">
        <v>46204</v>
      </c>
      <c r="G21">
        <v>21783</v>
      </c>
      <c r="H21" t="s">
        <v>5210</v>
      </c>
      <c r="I21" t="s">
        <v>5205</v>
      </c>
      <c r="J21">
        <v>3</v>
      </c>
      <c r="K21" t="s">
        <v>4736</v>
      </c>
      <c r="L21">
        <v>48</v>
      </c>
      <c r="M21">
        <v>16</v>
      </c>
      <c r="O21" t="s">
        <v>465</v>
      </c>
    </row>
    <row r="22" spans="1:15" x14ac:dyDescent="0.3">
      <c r="A22">
        <v>242758</v>
      </c>
      <c r="B22">
        <v>105</v>
      </c>
      <c r="C22" t="s">
        <v>557</v>
      </c>
      <c r="D22" t="s">
        <v>2554</v>
      </c>
      <c r="E22" t="s">
        <v>2555</v>
      </c>
      <c r="F22" s="451">
        <v>46204</v>
      </c>
      <c r="G22">
        <v>17333</v>
      </c>
      <c r="H22" t="s">
        <v>5211</v>
      </c>
      <c r="I22" t="s">
        <v>5188</v>
      </c>
      <c r="J22">
        <v>1</v>
      </c>
      <c r="K22" t="s">
        <v>4738</v>
      </c>
      <c r="L22">
        <v>68.64</v>
      </c>
      <c r="M22">
        <v>68.64</v>
      </c>
      <c r="O22" t="s">
        <v>465</v>
      </c>
    </row>
    <row r="23" spans="1:15" x14ac:dyDescent="0.3">
      <c r="A23">
        <v>242758</v>
      </c>
      <c r="B23">
        <v>105</v>
      </c>
      <c r="C23" t="s">
        <v>557</v>
      </c>
      <c r="D23" t="s">
        <v>2554</v>
      </c>
      <c r="E23" t="s">
        <v>2555</v>
      </c>
      <c r="F23" s="451">
        <v>46204</v>
      </c>
      <c r="G23">
        <v>24787</v>
      </c>
      <c r="H23" t="s">
        <v>5212</v>
      </c>
      <c r="I23" t="s">
        <v>5188</v>
      </c>
      <c r="J23">
        <v>3</v>
      </c>
      <c r="K23" t="s">
        <v>4738</v>
      </c>
      <c r="L23">
        <v>246.63</v>
      </c>
      <c r="M23">
        <v>82.21</v>
      </c>
      <c r="O23" t="s">
        <v>465</v>
      </c>
    </row>
    <row r="24" spans="1:15" x14ac:dyDescent="0.3">
      <c r="A24">
        <v>242758</v>
      </c>
      <c r="B24">
        <v>105</v>
      </c>
      <c r="C24" t="s">
        <v>557</v>
      </c>
      <c r="D24" t="s">
        <v>2554</v>
      </c>
      <c r="E24" t="s">
        <v>2555</v>
      </c>
      <c r="F24" s="451">
        <v>46204</v>
      </c>
      <c r="G24">
        <v>17474</v>
      </c>
      <c r="H24" t="s">
        <v>5213</v>
      </c>
      <c r="I24" t="s">
        <v>5188</v>
      </c>
      <c r="J24">
        <v>1</v>
      </c>
      <c r="K24" t="s">
        <v>4749</v>
      </c>
      <c r="L24">
        <v>75</v>
      </c>
      <c r="M24">
        <v>75</v>
      </c>
      <c r="O24" t="s">
        <v>465</v>
      </c>
    </row>
    <row r="25" spans="1:15" x14ac:dyDescent="0.3">
      <c r="A25">
        <v>242758</v>
      </c>
      <c r="B25">
        <v>105</v>
      </c>
      <c r="C25" t="s">
        <v>557</v>
      </c>
      <c r="D25" t="s">
        <v>2554</v>
      </c>
      <c r="E25" t="s">
        <v>2555</v>
      </c>
      <c r="F25" s="451">
        <v>46204</v>
      </c>
      <c r="G25">
        <v>26224</v>
      </c>
      <c r="H25" t="s">
        <v>5214</v>
      </c>
      <c r="I25" t="s">
        <v>5215</v>
      </c>
      <c r="J25">
        <v>2</v>
      </c>
      <c r="K25" t="s">
        <v>4736</v>
      </c>
      <c r="L25">
        <v>15.8</v>
      </c>
      <c r="M25">
        <v>7.9</v>
      </c>
      <c r="O25" t="s">
        <v>465</v>
      </c>
    </row>
    <row r="26" spans="1:15" x14ac:dyDescent="0.3">
      <c r="A26">
        <v>242756</v>
      </c>
      <c r="B26">
        <v>105</v>
      </c>
      <c r="C26" t="s">
        <v>557</v>
      </c>
      <c r="D26" t="s">
        <v>2554</v>
      </c>
      <c r="E26" t="s">
        <v>2556</v>
      </c>
      <c r="F26" s="451">
        <v>46199</v>
      </c>
      <c r="G26">
        <v>24787</v>
      </c>
      <c r="H26" t="s">
        <v>5212</v>
      </c>
      <c r="I26" t="s">
        <v>5188</v>
      </c>
      <c r="J26">
        <v>2</v>
      </c>
      <c r="K26" t="s">
        <v>4738</v>
      </c>
      <c r="L26">
        <v>164.42</v>
      </c>
      <c r="M26">
        <v>82.21</v>
      </c>
      <c r="O26" t="s">
        <v>464</v>
      </c>
    </row>
    <row r="27" spans="1:15" x14ac:dyDescent="0.3">
      <c r="A27">
        <v>242754</v>
      </c>
      <c r="B27">
        <v>105</v>
      </c>
      <c r="C27" t="s">
        <v>557</v>
      </c>
      <c r="D27" t="s">
        <v>2557</v>
      </c>
      <c r="E27" t="s">
        <v>2558</v>
      </c>
      <c r="F27" s="451">
        <v>46195</v>
      </c>
      <c r="G27">
        <v>29949</v>
      </c>
      <c r="H27" t="s">
        <v>5216</v>
      </c>
      <c r="I27" t="s">
        <v>5205</v>
      </c>
      <c r="J27">
        <v>250</v>
      </c>
      <c r="K27" t="s">
        <v>4736</v>
      </c>
      <c r="L27">
        <v>165</v>
      </c>
      <c r="M27">
        <v>0.66</v>
      </c>
      <c r="O27" t="s">
        <v>464</v>
      </c>
    </row>
    <row r="28" spans="1:15" x14ac:dyDescent="0.3">
      <c r="A28">
        <v>242754</v>
      </c>
      <c r="B28">
        <v>105</v>
      </c>
      <c r="C28" t="s">
        <v>557</v>
      </c>
      <c r="D28" t="s">
        <v>2557</v>
      </c>
      <c r="E28" t="s">
        <v>2558</v>
      </c>
      <c r="F28" s="451">
        <v>46195</v>
      </c>
      <c r="G28">
        <v>29948</v>
      </c>
      <c r="H28" t="s">
        <v>5217</v>
      </c>
      <c r="I28" t="s">
        <v>5215</v>
      </c>
      <c r="J28">
        <v>250</v>
      </c>
      <c r="K28" t="s">
        <v>4736</v>
      </c>
      <c r="L28">
        <v>245</v>
      </c>
      <c r="M28">
        <v>0.98</v>
      </c>
      <c r="O28" t="s">
        <v>464</v>
      </c>
    </row>
    <row r="29" spans="1:15" x14ac:dyDescent="0.3">
      <c r="A29">
        <v>242754</v>
      </c>
      <c r="B29">
        <v>105</v>
      </c>
      <c r="C29" t="s">
        <v>557</v>
      </c>
      <c r="D29" t="s">
        <v>2557</v>
      </c>
      <c r="E29" t="s">
        <v>2558</v>
      </c>
      <c r="F29" s="451">
        <v>46195</v>
      </c>
      <c r="G29">
        <v>29951</v>
      </c>
      <c r="H29" t="s">
        <v>5218</v>
      </c>
      <c r="I29" t="s">
        <v>5205</v>
      </c>
      <c r="J29">
        <v>250</v>
      </c>
      <c r="K29" t="s">
        <v>4736</v>
      </c>
      <c r="L29">
        <v>322.5</v>
      </c>
      <c r="M29">
        <v>1.29</v>
      </c>
      <c r="O29" t="s">
        <v>464</v>
      </c>
    </row>
    <row r="30" spans="1:15" x14ac:dyDescent="0.3">
      <c r="A30">
        <v>242754</v>
      </c>
      <c r="B30">
        <v>105</v>
      </c>
      <c r="C30" t="s">
        <v>557</v>
      </c>
      <c r="D30" t="s">
        <v>2557</v>
      </c>
      <c r="E30" t="s">
        <v>2558</v>
      </c>
      <c r="F30" s="451">
        <v>46195</v>
      </c>
      <c r="G30">
        <v>29950</v>
      </c>
      <c r="H30" t="s">
        <v>5219</v>
      </c>
      <c r="I30" t="s">
        <v>5205</v>
      </c>
      <c r="J30">
        <v>250</v>
      </c>
      <c r="K30" t="s">
        <v>4736</v>
      </c>
      <c r="L30">
        <v>370</v>
      </c>
      <c r="M30">
        <v>1.48</v>
      </c>
      <c r="O30" t="s">
        <v>464</v>
      </c>
    </row>
    <row r="31" spans="1:15" x14ac:dyDescent="0.3">
      <c r="A31">
        <v>242754</v>
      </c>
      <c r="B31">
        <v>105</v>
      </c>
      <c r="C31" t="s">
        <v>557</v>
      </c>
      <c r="D31" t="s">
        <v>2557</v>
      </c>
      <c r="E31" t="s">
        <v>2558</v>
      </c>
      <c r="F31" s="451">
        <v>46195</v>
      </c>
      <c r="G31">
        <v>29952</v>
      </c>
      <c r="H31" t="s">
        <v>5220</v>
      </c>
      <c r="I31" t="s">
        <v>5205</v>
      </c>
      <c r="J31">
        <v>250</v>
      </c>
      <c r="K31" t="s">
        <v>4736</v>
      </c>
      <c r="L31">
        <v>595</v>
      </c>
      <c r="M31">
        <v>2.38</v>
      </c>
      <c r="O31" t="s">
        <v>464</v>
      </c>
    </row>
    <row r="32" spans="1:15" x14ac:dyDescent="0.3">
      <c r="A32">
        <v>242754</v>
      </c>
      <c r="B32">
        <v>105</v>
      </c>
      <c r="C32" t="s">
        <v>557</v>
      </c>
      <c r="D32" t="s">
        <v>2557</v>
      </c>
      <c r="E32" t="s">
        <v>2558</v>
      </c>
      <c r="F32" s="451">
        <v>46195</v>
      </c>
      <c r="G32">
        <v>29953</v>
      </c>
      <c r="H32" t="s">
        <v>5221</v>
      </c>
      <c r="I32" t="s">
        <v>5205</v>
      </c>
      <c r="J32">
        <v>250</v>
      </c>
      <c r="K32" t="s">
        <v>4736</v>
      </c>
      <c r="L32">
        <v>422.5</v>
      </c>
      <c r="M32">
        <v>1.69</v>
      </c>
      <c r="O32" t="s">
        <v>464</v>
      </c>
    </row>
    <row r="33" spans="1:15" x14ac:dyDescent="0.3">
      <c r="A33">
        <v>242753</v>
      </c>
      <c r="B33">
        <v>105</v>
      </c>
      <c r="C33" t="s">
        <v>557</v>
      </c>
      <c r="D33" t="s">
        <v>2559</v>
      </c>
      <c r="E33" t="s">
        <v>2560</v>
      </c>
      <c r="F33" s="451">
        <v>46203</v>
      </c>
      <c r="G33">
        <v>19765</v>
      </c>
      <c r="H33" t="s">
        <v>4889</v>
      </c>
      <c r="I33" t="s">
        <v>5191</v>
      </c>
      <c r="J33">
        <v>1</v>
      </c>
      <c r="K33" t="s">
        <v>4744</v>
      </c>
      <c r="L33">
        <v>50</v>
      </c>
      <c r="M33">
        <v>50</v>
      </c>
      <c r="O33" t="s">
        <v>464</v>
      </c>
    </row>
    <row r="34" spans="1:15" x14ac:dyDescent="0.3">
      <c r="A34">
        <v>242752</v>
      </c>
      <c r="B34">
        <v>105</v>
      </c>
      <c r="C34" t="s">
        <v>557</v>
      </c>
      <c r="D34" t="s">
        <v>2561</v>
      </c>
      <c r="E34" t="s">
        <v>2562</v>
      </c>
      <c r="F34" s="451">
        <v>46204</v>
      </c>
      <c r="G34">
        <v>19041</v>
      </c>
      <c r="H34" t="s">
        <v>4762</v>
      </c>
      <c r="I34" t="s">
        <v>5191</v>
      </c>
      <c r="J34">
        <v>33.5</v>
      </c>
      <c r="K34" t="s">
        <v>4744</v>
      </c>
      <c r="L34">
        <v>512.21</v>
      </c>
      <c r="M34">
        <v>15.289851000000001</v>
      </c>
      <c r="O34" t="s">
        <v>465</v>
      </c>
    </row>
    <row r="35" spans="1:15" x14ac:dyDescent="0.3">
      <c r="A35">
        <v>242751</v>
      </c>
      <c r="B35">
        <v>105</v>
      </c>
      <c r="C35" t="s">
        <v>557</v>
      </c>
      <c r="D35" t="s">
        <v>2563</v>
      </c>
      <c r="E35" t="s">
        <v>2564</v>
      </c>
      <c r="F35" s="451">
        <v>46203</v>
      </c>
      <c r="G35">
        <v>19480</v>
      </c>
      <c r="H35" t="s">
        <v>5119</v>
      </c>
      <c r="I35" t="s">
        <v>5191</v>
      </c>
      <c r="J35">
        <v>0.4</v>
      </c>
      <c r="K35" t="s">
        <v>4744</v>
      </c>
      <c r="L35">
        <v>9.83</v>
      </c>
      <c r="M35">
        <v>24.574999999999999</v>
      </c>
      <c r="O35" t="s">
        <v>464</v>
      </c>
    </row>
    <row r="36" spans="1:15" x14ac:dyDescent="0.3">
      <c r="A36">
        <v>242751</v>
      </c>
      <c r="B36">
        <v>105</v>
      </c>
      <c r="C36" t="s">
        <v>557</v>
      </c>
      <c r="D36" t="s">
        <v>2563</v>
      </c>
      <c r="E36" t="s">
        <v>2564</v>
      </c>
      <c r="F36" s="451">
        <v>46203</v>
      </c>
      <c r="G36">
        <v>23389</v>
      </c>
      <c r="H36" t="s">
        <v>4960</v>
      </c>
      <c r="I36" t="s">
        <v>5191</v>
      </c>
      <c r="J36">
        <v>2.0699999999999998</v>
      </c>
      <c r="K36" t="s">
        <v>4744</v>
      </c>
      <c r="L36">
        <v>9.67</v>
      </c>
      <c r="M36">
        <v>4.6714979999999997</v>
      </c>
      <c r="O36" t="s">
        <v>464</v>
      </c>
    </row>
    <row r="37" spans="1:15" x14ac:dyDescent="0.3">
      <c r="A37">
        <v>242751</v>
      </c>
      <c r="B37">
        <v>105</v>
      </c>
      <c r="C37" t="s">
        <v>557</v>
      </c>
      <c r="D37" t="s">
        <v>2563</v>
      </c>
      <c r="E37" t="s">
        <v>2564</v>
      </c>
      <c r="F37" s="451">
        <v>46203</v>
      </c>
      <c r="G37">
        <v>19623</v>
      </c>
      <c r="H37" t="s">
        <v>4764</v>
      </c>
      <c r="I37" t="s">
        <v>5191</v>
      </c>
      <c r="J37">
        <v>10</v>
      </c>
      <c r="K37" t="s">
        <v>4744</v>
      </c>
      <c r="L37">
        <v>70.8</v>
      </c>
      <c r="M37">
        <v>7.08</v>
      </c>
      <c r="O37" t="s">
        <v>464</v>
      </c>
    </row>
    <row r="38" spans="1:15" x14ac:dyDescent="0.3">
      <c r="A38">
        <v>242751</v>
      </c>
      <c r="B38">
        <v>105</v>
      </c>
      <c r="C38" t="s">
        <v>557</v>
      </c>
      <c r="D38" t="s">
        <v>2563</v>
      </c>
      <c r="E38" t="s">
        <v>2564</v>
      </c>
      <c r="F38" s="451">
        <v>46203</v>
      </c>
      <c r="G38">
        <v>23195</v>
      </c>
      <c r="H38" t="s">
        <v>5051</v>
      </c>
      <c r="I38" t="s">
        <v>5191</v>
      </c>
      <c r="J38">
        <v>0.3</v>
      </c>
      <c r="K38" t="s">
        <v>4744</v>
      </c>
      <c r="L38">
        <v>2.97</v>
      </c>
      <c r="M38">
        <v>9.9</v>
      </c>
      <c r="O38" t="s">
        <v>464</v>
      </c>
    </row>
    <row r="39" spans="1:15" x14ac:dyDescent="0.3">
      <c r="A39">
        <v>242751</v>
      </c>
      <c r="B39">
        <v>105</v>
      </c>
      <c r="C39" t="s">
        <v>557</v>
      </c>
      <c r="D39" t="s">
        <v>2563</v>
      </c>
      <c r="E39" t="s">
        <v>2564</v>
      </c>
      <c r="F39" s="451">
        <v>46203</v>
      </c>
      <c r="G39">
        <v>23346</v>
      </c>
      <c r="H39" t="s">
        <v>4916</v>
      </c>
      <c r="I39" t="s">
        <v>5191</v>
      </c>
      <c r="J39">
        <v>2.14</v>
      </c>
      <c r="K39" t="s">
        <v>4744</v>
      </c>
      <c r="L39">
        <v>13.99</v>
      </c>
      <c r="M39">
        <v>6.5373830000000002</v>
      </c>
      <c r="O39" t="s">
        <v>464</v>
      </c>
    </row>
    <row r="40" spans="1:15" x14ac:dyDescent="0.3">
      <c r="A40">
        <v>242751</v>
      </c>
      <c r="B40">
        <v>105</v>
      </c>
      <c r="C40" t="s">
        <v>557</v>
      </c>
      <c r="D40" t="s">
        <v>2563</v>
      </c>
      <c r="E40" t="s">
        <v>2564</v>
      </c>
      <c r="F40" s="451">
        <v>46203</v>
      </c>
      <c r="G40">
        <v>19551</v>
      </c>
      <c r="H40" t="s">
        <v>4905</v>
      </c>
      <c r="I40" t="s">
        <v>5191</v>
      </c>
      <c r="J40">
        <v>2</v>
      </c>
      <c r="K40" t="s">
        <v>4744</v>
      </c>
      <c r="L40">
        <v>35.520000000000003</v>
      </c>
      <c r="M40">
        <v>17.760000000000002</v>
      </c>
      <c r="O40" t="s">
        <v>464</v>
      </c>
    </row>
    <row r="41" spans="1:15" x14ac:dyDescent="0.3">
      <c r="A41">
        <v>242751</v>
      </c>
      <c r="B41">
        <v>105</v>
      </c>
      <c r="C41" t="s">
        <v>557</v>
      </c>
      <c r="D41" t="s">
        <v>2563</v>
      </c>
      <c r="E41" t="s">
        <v>2564</v>
      </c>
      <c r="F41" s="451">
        <v>46203</v>
      </c>
      <c r="G41">
        <v>24489</v>
      </c>
      <c r="H41" t="s">
        <v>5121</v>
      </c>
      <c r="I41" t="s">
        <v>5191</v>
      </c>
      <c r="J41">
        <v>1.1000000000000001</v>
      </c>
      <c r="K41" t="s">
        <v>4744</v>
      </c>
      <c r="L41">
        <v>23.61</v>
      </c>
      <c r="M41">
        <v>21.463636000000001</v>
      </c>
      <c r="O41" t="s">
        <v>464</v>
      </c>
    </row>
    <row r="42" spans="1:15" x14ac:dyDescent="0.3">
      <c r="A42">
        <v>242751</v>
      </c>
      <c r="B42">
        <v>105</v>
      </c>
      <c r="C42" t="s">
        <v>557</v>
      </c>
      <c r="D42" t="s">
        <v>2563</v>
      </c>
      <c r="E42" t="s">
        <v>2564</v>
      </c>
      <c r="F42" s="451">
        <v>46203</v>
      </c>
      <c r="G42">
        <v>23228</v>
      </c>
      <c r="H42" t="s">
        <v>4782</v>
      </c>
      <c r="I42" t="s">
        <v>5191</v>
      </c>
      <c r="J42">
        <v>5</v>
      </c>
      <c r="K42" t="s">
        <v>4744</v>
      </c>
      <c r="L42">
        <v>34.1</v>
      </c>
      <c r="M42">
        <v>6.82</v>
      </c>
      <c r="O42" t="s">
        <v>464</v>
      </c>
    </row>
    <row r="43" spans="1:15" x14ac:dyDescent="0.3">
      <c r="A43">
        <v>242751</v>
      </c>
      <c r="B43">
        <v>105</v>
      </c>
      <c r="C43" t="s">
        <v>557</v>
      </c>
      <c r="D43" t="s">
        <v>2563</v>
      </c>
      <c r="E43" t="s">
        <v>2564</v>
      </c>
      <c r="F43" s="451">
        <v>46203</v>
      </c>
      <c r="G43">
        <v>23349</v>
      </c>
      <c r="H43" t="s">
        <v>4988</v>
      </c>
      <c r="I43" t="s">
        <v>5191</v>
      </c>
      <c r="J43">
        <v>0.6</v>
      </c>
      <c r="K43" t="s">
        <v>4744</v>
      </c>
      <c r="L43">
        <v>3.44</v>
      </c>
      <c r="M43">
        <v>5.733333</v>
      </c>
      <c r="O43" t="s">
        <v>464</v>
      </c>
    </row>
    <row r="44" spans="1:15" x14ac:dyDescent="0.3">
      <c r="A44">
        <v>242751</v>
      </c>
      <c r="B44">
        <v>105</v>
      </c>
      <c r="C44" t="s">
        <v>557</v>
      </c>
      <c r="D44" t="s">
        <v>2563</v>
      </c>
      <c r="E44" t="s">
        <v>2564</v>
      </c>
      <c r="F44" s="451">
        <v>46203</v>
      </c>
      <c r="G44">
        <v>19734</v>
      </c>
      <c r="H44" t="s">
        <v>4833</v>
      </c>
      <c r="I44" t="s">
        <v>5191</v>
      </c>
      <c r="J44">
        <v>3.05</v>
      </c>
      <c r="K44" t="s">
        <v>4744</v>
      </c>
      <c r="L44">
        <v>41.97</v>
      </c>
      <c r="M44">
        <v>13.760656000000001</v>
      </c>
      <c r="O44" t="s">
        <v>464</v>
      </c>
    </row>
    <row r="45" spans="1:15" x14ac:dyDescent="0.3">
      <c r="A45">
        <v>242749</v>
      </c>
      <c r="B45">
        <v>105</v>
      </c>
      <c r="C45" t="s">
        <v>557</v>
      </c>
      <c r="D45" t="s">
        <v>2565</v>
      </c>
      <c r="E45" t="s">
        <v>2566</v>
      </c>
      <c r="F45" s="451">
        <v>46203</v>
      </c>
      <c r="G45">
        <v>18359</v>
      </c>
      <c r="H45" t="s">
        <v>4921</v>
      </c>
      <c r="I45" t="s">
        <v>5222</v>
      </c>
      <c r="J45">
        <v>3</v>
      </c>
      <c r="K45" t="s">
        <v>4805</v>
      </c>
      <c r="L45">
        <v>266.7</v>
      </c>
      <c r="M45">
        <v>88.9</v>
      </c>
      <c r="O45" t="s">
        <v>464</v>
      </c>
    </row>
    <row r="46" spans="1:15" x14ac:dyDescent="0.3">
      <c r="A46">
        <v>242749</v>
      </c>
      <c r="B46">
        <v>105</v>
      </c>
      <c r="C46" t="s">
        <v>557</v>
      </c>
      <c r="D46" t="s">
        <v>2565</v>
      </c>
      <c r="E46" t="s">
        <v>2566</v>
      </c>
      <c r="F46" s="451">
        <v>46203</v>
      </c>
      <c r="G46">
        <v>18111</v>
      </c>
      <c r="H46" t="s">
        <v>5049</v>
      </c>
      <c r="I46" t="s">
        <v>5222</v>
      </c>
      <c r="J46">
        <v>2</v>
      </c>
      <c r="K46" t="s">
        <v>4805</v>
      </c>
      <c r="L46">
        <v>167.78</v>
      </c>
      <c r="M46">
        <v>83.89</v>
      </c>
      <c r="O46" t="s">
        <v>464</v>
      </c>
    </row>
    <row r="47" spans="1:15" x14ac:dyDescent="0.3">
      <c r="A47">
        <v>242748</v>
      </c>
      <c r="B47">
        <v>105</v>
      </c>
      <c r="C47" t="s">
        <v>557</v>
      </c>
      <c r="D47" t="s">
        <v>2567</v>
      </c>
      <c r="E47" t="s">
        <v>2568</v>
      </c>
      <c r="F47" s="451">
        <v>46199</v>
      </c>
      <c r="G47">
        <v>28712</v>
      </c>
      <c r="H47" t="s">
        <v>5223</v>
      </c>
      <c r="I47" t="s">
        <v>5215</v>
      </c>
      <c r="J47">
        <v>1</v>
      </c>
      <c r="K47" t="s">
        <v>4749</v>
      </c>
      <c r="L47">
        <v>239.9</v>
      </c>
      <c r="M47">
        <v>239.9</v>
      </c>
      <c r="O47" t="s">
        <v>464</v>
      </c>
    </row>
    <row r="48" spans="1:15" x14ac:dyDescent="0.3">
      <c r="A48">
        <v>242748</v>
      </c>
      <c r="B48">
        <v>105</v>
      </c>
      <c r="C48" t="s">
        <v>557</v>
      </c>
      <c r="D48" t="s">
        <v>2567</v>
      </c>
      <c r="E48" t="s">
        <v>2568</v>
      </c>
      <c r="F48" s="451">
        <v>46199</v>
      </c>
      <c r="G48">
        <v>28711</v>
      </c>
      <c r="H48" t="s">
        <v>5224</v>
      </c>
      <c r="I48" t="s">
        <v>5215</v>
      </c>
      <c r="J48">
        <v>1</v>
      </c>
      <c r="K48" t="s">
        <v>4749</v>
      </c>
      <c r="L48">
        <v>288.83999999999997</v>
      </c>
      <c r="M48">
        <v>288.83999999999997</v>
      </c>
      <c r="O48" t="s">
        <v>464</v>
      </c>
    </row>
    <row r="49" spans="1:15" x14ac:dyDescent="0.3">
      <c r="A49">
        <v>242748</v>
      </c>
      <c r="B49">
        <v>105</v>
      </c>
      <c r="C49" t="s">
        <v>557</v>
      </c>
      <c r="D49" t="s">
        <v>2567</v>
      </c>
      <c r="E49" t="s">
        <v>2568</v>
      </c>
      <c r="F49" s="451">
        <v>46199</v>
      </c>
      <c r="G49">
        <v>28719</v>
      </c>
      <c r="H49" t="s">
        <v>5225</v>
      </c>
      <c r="I49" t="s">
        <v>5215</v>
      </c>
      <c r="J49">
        <v>1</v>
      </c>
      <c r="K49" t="s">
        <v>4749</v>
      </c>
      <c r="L49">
        <v>398.18</v>
      </c>
      <c r="M49">
        <v>398.18</v>
      </c>
      <c r="O49" t="s">
        <v>464</v>
      </c>
    </row>
    <row r="50" spans="1:15" x14ac:dyDescent="0.3">
      <c r="A50">
        <v>242748</v>
      </c>
      <c r="B50">
        <v>105</v>
      </c>
      <c r="C50" t="s">
        <v>557</v>
      </c>
      <c r="D50" t="s">
        <v>2567</v>
      </c>
      <c r="E50" t="s">
        <v>2568</v>
      </c>
      <c r="F50" s="451">
        <v>46199</v>
      </c>
      <c r="G50">
        <v>28720</v>
      </c>
      <c r="H50" t="s">
        <v>5226</v>
      </c>
      <c r="I50" t="s">
        <v>5215</v>
      </c>
      <c r="J50">
        <v>1</v>
      </c>
      <c r="K50" t="s">
        <v>5227</v>
      </c>
      <c r="L50">
        <v>380</v>
      </c>
      <c r="M50">
        <v>380</v>
      </c>
      <c r="O50" t="s">
        <v>464</v>
      </c>
    </row>
    <row r="51" spans="1:15" x14ac:dyDescent="0.3">
      <c r="A51">
        <v>242747</v>
      </c>
      <c r="B51">
        <v>105</v>
      </c>
      <c r="C51" t="s">
        <v>557</v>
      </c>
      <c r="D51" t="s">
        <v>2569</v>
      </c>
      <c r="E51" t="s">
        <v>2570</v>
      </c>
      <c r="F51" s="451">
        <v>46204</v>
      </c>
      <c r="G51">
        <v>17950</v>
      </c>
      <c r="H51" t="s">
        <v>5091</v>
      </c>
      <c r="I51" t="s">
        <v>5222</v>
      </c>
      <c r="J51">
        <v>10</v>
      </c>
      <c r="K51" t="s">
        <v>4738</v>
      </c>
      <c r="L51">
        <v>145.19999999999999</v>
      </c>
      <c r="M51">
        <v>14.52</v>
      </c>
      <c r="O51" t="s">
        <v>465</v>
      </c>
    </row>
    <row r="52" spans="1:15" x14ac:dyDescent="0.3">
      <c r="A52">
        <v>242747</v>
      </c>
      <c r="B52">
        <v>105</v>
      </c>
      <c r="C52" t="s">
        <v>557</v>
      </c>
      <c r="D52" t="s">
        <v>2569</v>
      </c>
      <c r="E52" t="s">
        <v>2570</v>
      </c>
      <c r="F52" s="451">
        <v>46204</v>
      </c>
      <c r="G52">
        <v>17958</v>
      </c>
      <c r="H52" t="s">
        <v>5076</v>
      </c>
      <c r="I52" t="s">
        <v>5222</v>
      </c>
      <c r="J52">
        <v>10</v>
      </c>
      <c r="K52" t="s">
        <v>4738</v>
      </c>
      <c r="L52">
        <v>138</v>
      </c>
      <c r="M52">
        <v>13.8</v>
      </c>
      <c r="O52" t="s">
        <v>465</v>
      </c>
    </row>
    <row r="53" spans="1:15" x14ac:dyDescent="0.3">
      <c r="A53">
        <v>242746</v>
      </c>
      <c r="B53">
        <v>105</v>
      </c>
      <c r="C53" t="s">
        <v>557</v>
      </c>
      <c r="D53" t="s">
        <v>2571</v>
      </c>
      <c r="E53" t="s">
        <v>2572</v>
      </c>
      <c r="F53" s="451">
        <v>46203</v>
      </c>
      <c r="G53">
        <v>20672</v>
      </c>
      <c r="H53" t="s">
        <v>4857</v>
      </c>
      <c r="I53" t="s">
        <v>5191</v>
      </c>
      <c r="J53">
        <v>1</v>
      </c>
      <c r="K53" t="s">
        <v>4738</v>
      </c>
      <c r="L53">
        <v>29.55</v>
      </c>
      <c r="M53">
        <v>29.55</v>
      </c>
      <c r="O53" t="s">
        <v>464</v>
      </c>
    </row>
    <row r="54" spans="1:15" x14ac:dyDescent="0.3">
      <c r="A54">
        <v>242746</v>
      </c>
      <c r="B54">
        <v>105</v>
      </c>
      <c r="C54" t="s">
        <v>557</v>
      </c>
      <c r="D54" t="s">
        <v>2571</v>
      </c>
      <c r="E54" t="s">
        <v>2572</v>
      </c>
      <c r="F54" s="451">
        <v>46203</v>
      </c>
      <c r="G54">
        <v>19967</v>
      </c>
      <c r="H54" t="s">
        <v>4956</v>
      </c>
      <c r="I54" t="s">
        <v>5191</v>
      </c>
      <c r="J54">
        <v>2</v>
      </c>
      <c r="K54" t="s">
        <v>4736</v>
      </c>
      <c r="L54">
        <v>98.56</v>
      </c>
      <c r="M54">
        <v>49.28</v>
      </c>
      <c r="O54" t="s">
        <v>464</v>
      </c>
    </row>
    <row r="55" spans="1:15" x14ac:dyDescent="0.3">
      <c r="A55">
        <v>242746</v>
      </c>
      <c r="B55">
        <v>105</v>
      </c>
      <c r="C55" t="s">
        <v>557</v>
      </c>
      <c r="D55" t="s">
        <v>2571</v>
      </c>
      <c r="E55" t="s">
        <v>2572</v>
      </c>
      <c r="F55" s="451">
        <v>46203</v>
      </c>
      <c r="G55">
        <v>20213</v>
      </c>
      <c r="H55" t="s">
        <v>5160</v>
      </c>
      <c r="I55" t="s">
        <v>5191</v>
      </c>
      <c r="J55">
        <v>1</v>
      </c>
      <c r="K55" t="s">
        <v>5228</v>
      </c>
      <c r="L55">
        <v>31.6</v>
      </c>
      <c r="M55">
        <v>31.6</v>
      </c>
      <c r="O55" t="s">
        <v>464</v>
      </c>
    </row>
    <row r="56" spans="1:15" x14ac:dyDescent="0.3">
      <c r="A56">
        <v>242746</v>
      </c>
      <c r="B56">
        <v>105</v>
      </c>
      <c r="C56" t="s">
        <v>557</v>
      </c>
      <c r="D56" t="s">
        <v>2571</v>
      </c>
      <c r="E56" t="s">
        <v>2572</v>
      </c>
      <c r="F56" s="451">
        <v>46203</v>
      </c>
      <c r="G56">
        <v>20358</v>
      </c>
      <c r="H56" t="s">
        <v>4911</v>
      </c>
      <c r="I56" t="s">
        <v>5191</v>
      </c>
      <c r="J56">
        <v>2</v>
      </c>
      <c r="K56" t="s">
        <v>4738</v>
      </c>
      <c r="L56">
        <v>28.5</v>
      </c>
      <c r="M56">
        <v>14.25</v>
      </c>
      <c r="O56" t="s">
        <v>464</v>
      </c>
    </row>
    <row r="57" spans="1:15" x14ac:dyDescent="0.3">
      <c r="A57">
        <v>242746</v>
      </c>
      <c r="B57">
        <v>105</v>
      </c>
      <c r="C57" t="s">
        <v>557</v>
      </c>
      <c r="D57" t="s">
        <v>2571</v>
      </c>
      <c r="E57" t="s">
        <v>2572</v>
      </c>
      <c r="F57" s="451">
        <v>46203</v>
      </c>
      <c r="G57">
        <v>20809</v>
      </c>
      <c r="H57" t="s">
        <v>4822</v>
      </c>
      <c r="I57" t="s">
        <v>5191</v>
      </c>
      <c r="J57">
        <v>8</v>
      </c>
      <c r="K57" t="s">
        <v>4736</v>
      </c>
      <c r="L57">
        <v>239.2</v>
      </c>
      <c r="M57">
        <v>29.9</v>
      </c>
      <c r="O57" t="s">
        <v>464</v>
      </c>
    </row>
    <row r="58" spans="1:15" x14ac:dyDescent="0.3">
      <c r="A58">
        <v>242746</v>
      </c>
      <c r="B58">
        <v>105</v>
      </c>
      <c r="C58" t="s">
        <v>557</v>
      </c>
      <c r="D58" t="s">
        <v>2571</v>
      </c>
      <c r="E58" t="s">
        <v>2572</v>
      </c>
      <c r="F58" s="451">
        <v>46203</v>
      </c>
      <c r="G58">
        <v>21021</v>
      </c>
      <c r="H58" t="s">
        <v>4883</v>
      </c>
      <c r="I58" t="s">
        <v>5191</v>
      </c>
      <c r="J58">
        <v>2</v>
      </c>
      <c r="K58" t="s">
        <v>4736</v>
      </c>
      <c r="L58">
        <v>375.52</v>
      </c>
      <c r="M58">
        <v>187.76</v>
      </c>
      <c r="O58" t="s">
        <v>464</v>
      </c>
    </row>
    <row r="59" spans="1:15" x14ac:dyDescent="0.3">
      <c r="A59">
        <v>242744</v>
      </c>
      <c r="B59">
        <v>105</v>
      </c>
      <c r="C59" t="s">
        <v>557</v>
      </c>
      <c r="D59" t="s">
        <v>2573</v>
      </c>
      <c r="E59" t="s">
        <v>2574</v>
      </c>
      <c r="F59" s="451">
        <v>46203</v>
      </c>
      <c r="G59">
        <v>27214</v>
      </c>
      <c r="H59" t="s">
        <v>5229</v>
      </c>
      <c r="I59" t="s">
        <v>5205</v>
      </c>
      <c r="J59">
        <v>1</v>
      </c>
      <c r="K59" t="s">
        <v>4749</v>
      </c>
      <c r="L59">
        <v>92.15</v>
      </c>
      <c r="M59">
        <v>92.15</v>
      </c>
      <c r="O59" t="s">
        <v>464</v>
      </c>
    </row>
    <row r="60" spans="1:15" x14ac:dyDescent="0.3">
      <c r="A60">
        <v>242744</v>
      </c>
      <c r="B60">
        <v>105</v>
      </c>
      <c r="C60" t="s">
        <v>557</v>
      </c>
      <c r="D60" t="s">
        <v>2573</v>
      </c>
      <c r="E60" t="s">
        <v>2574</v>
      </c>
      <c r="F60" s="451">
        <v>46203</v>
      </c>
      <c r="G60">
        <v>27212</v>
      </c>
      <c r="H60" t="s">
        <v>5230</v>
      </c>
      <c r="I60" t="s">
        <v>5205</v>
      </c>
      <c r="J60">
        <v>1</v>
      </c>
      <c r="K60" t="s">
        <v>4749</v>
      </c>
      <c r="L60">
        <v>95.12</v>
      </c>
      <c r="M60">
        <v>95.12</v>
      </c>
      <c r="O60" t="s">
        <v>464</v>
      </c>
    </row>
    <row r="61" spans="1:15" x14ac:dyDescent="0.3">
      <c r="A61">
        <v>242743</v>
      </c>
      <c r="B61">
        <v>105</v>
      </c>
      <c r="C61" t="s">
        <v>557</v>
      </c>
      <c r="D61" t="s">
        <v>2575</v>
      </c>
      <c r="E61" t="s">
        <v>2576</v>
      </c>
      <c r="F61" s="451">
        <v>46204</v>
      </c>
      <c r="G61">
        <v>18030</v>
      </c>
      <c r="H61" t="s">
        <v>4840</v>
      </c>
      <c r="I61" t="s">
        <v>5222</v>
      </c>
      <c r="J61">
        <v>6</v>
      </c>
      <c r="K61" t="s">
        <v>4805</v>
      </c>
      <c r="L61">
        <v>165</v>
      </c>
      <c r="M61">
        <v>27.5</v>
      </c>
      <c r="O61" t="s">
        <v>465</v>
      </c>
    </row>
    <row r="62" spans="1:15" x14ac:dyDescent="0.3">
      <c r="A62">
        <v>242743</v>
      </c>
      <c r="B62">
        <v>105</v>
      </c>
      <c r="C62" t="s">
        <v>557</v>
      </c>
      <c r="D62" t="s">
        <v>2575</v>
      </c>
      <c r="E62" t="s">
        <v>2576</v>
      </c>
      <c r="F62" s="451">
        <v>46204</v>
      </c>
      <c r="G62">
        <v>18547</v>
      </c>
      <c r="H62" t="s">
        <v>4863</v>
      </c>
      <c r="I62" t="s">
        <v>5222</v>
      </c>
      <c r="J62">
        <v>6</v>
      </c>
      <c r="K62" t="s">
        <v>4805</v>
      </c>
      <c r="L62">
        <v>222</v>
      </c>
      <c r="M62">
        <v>37</v>
      </c>
      <c r="O62" t="s">
        <v>465</v>
      </c>
    </row>
    <row r="63" spans="1:15" x14ac:dyDescent="0.3">
      <c r="A63">
        <v>242743</v>
      </c>
      <c r="B63">
        <v>105</v>
      </c>
      <c r="C63" t="s">
        <v>557</v>
      </c>
      <c r="D63" t="s">
        <v>2575</v>
      </c>
      <c r="E63" t="s">
        <v>2576</v>
      </c>
      <c r="F63" s="451">
        <v>46204</v>
      </c>
      <c r="G63">
        <v>18545</v>
      </c>
      <c r="H63" t="s">
        <v>4864</v>
      </c>
      <c r="I63" t="s">
        <v>5222</v>
      </c>
      <c r="J63">
        <v>1</v>
      </c>
      <c r="K63" t="s">
        <v>4805</v>
      </c>
      <c r="L63">
        <v>42</v>
      </c>
      <c r="M63">
        <v>42</v>
      </c>
      <c r="O63" t="s">
        <v>465</v>
      </c>
    </row>
    <row r="64" spans="1:15" x14ac:dyDescent="0.3">
      <c r="A64">
        <v>242743</v>
      </c>
      <c r="B64">
        <v>105</v>
      </c>
      <c r="C64" t="s">
        <v>557</v>
      </c>
      <c r="D64" t="s">
        <v>2575</v>
      </c>
      <c r="E64" t="s">
        <v>2576</v>
      </c>
      <c r="F64" s="451">
        <v>46204</v>
      </c>
      <c r="G64">
        <v>18253</v>
      </c>
      <c r="H64" t="s">
        <v>4969</v>
      </c>
      <c r="I64" t="s">
        <v>5222</v>
      </c>
      <c r="J64">
        <v>6</v>
      </c>
      <c r="K64" t="s">
        <v>4805</v>
      </c>
      <c r="L64">
        <v>173.4</v>
      </c>
      <c r="M64">
        <v>28.9</v>
      </c>
      <c r="O64" t="s">
        <v>465</v>
      </c>
    </row>
    <row r="65" spans="1:15" x14ac:dyDescent="0.3">
      <c r="A65">
        <v>242743</v>
      </c>
      <c r="B65">
        <v>105</v>
      </c>
      <c r="C65" t="s">
        <v>557</v>
      </c>
      <c r="D65" t="s">
        <v>2575</v>
      </c>
      <c r="E65" t="s">
        <v>2576</v>
      </c>
      <c r="F65" s="451">
        <v>46204</v>
      </c>
      <c r="G65">
        <v>18327</v>
      </c>
      <c r="H65" t="s">
        <v>5035</v>
      </c>
      <c r="I65" t="s">
        <v>5222</v>
      </c>
      <c r="J65">
        <v>1</v>
      </c>
      <c r="K65" t="s">
        <v>4805</v>
      </c>
      <c r="L65">
        <v>96</v>
      </c>
      <c r="M65">
        <v>96</v>
      </c>
      <c r="O65" t="s">
        <v>465</v>
      </c>
    </row>
    <row r="66" spans="1:15" x14ac:dyDescent="0.3">
      <c r="A66">
        <v>242741</v>
      </c>
      <c r="B66">
        <v>105</v>
      </c>
      <c r="C66" t="s">
        <v>557</v>
      </c>
      <c r="D66" t="s">
        <v>2577</v>
      </c>
      <c r="E66" t="s">
        <v>2578</v>
      </c>
      <c r="F66" s="451">
        <v>46203</v>
      </c>
      <c r="G66">
        <v>24497</v>
      </c>
      <c r="H66" t="s">
        <v>5231</v>
      </c>
      <c r="I66" t="s">
        <v>5232</v>
      </c>
      <c r="J66">
        <v>2</v>
      </c>
      <c r="K66" t="s">
        <v>4736</v>
      </c>
      <c r="L66">
        <v>278.04000000000002</v>
      </c>
      <c r="M66">
        <v>139.02000000000001</v>
      </c>
      <c r="O66" t="s">
        <v>464</v>
      </c>
    </row>
    <row r="67" spans="1:15" x14ac:dyDescent="0.3">
      <c r="A67">
        <v>242740</v>
      </c>
      <c r="B67">
        <v>105</v>
      </c>
      <c r="C67" t="s">
        <v>557</v>
      </c>
      <c r="D67" t="s">
        <v>2579</v>
      </c>
      <c r="E67" t="s">
        <v>2580</v>
      </c>
      <c r="F67" s="451">
        <v>46203</v>
      </c>
      <c r="G67">
        <v>23184</v>
      </c>
      <c r="H67" t="s">
        <v>4935</v>
      </c>
      <c r="I67" t="s">
        <v>5191</v>
      </c>
      <c r="J67">
        <v>1</v>
      </c>
      <c r="K67" t="s">
        <v>4744</v>
      </c>
      <c r="L67">
        <v>15.6</v>
      </c>
      <c r="M67">
        <v>15.6</v>
      </c>
      <c r="O67" t="s">
        <v>464</v>
      </c>
    </row>
    <row r="68" spans="1:15" x14ac:dyDescent="0.3">
      <c r="A68">
        <v>242740</v>
      </c>
      <c r="B68">
        <v>105</v>
      </c>
      <c r="C68" t="s">
        <v>557</v>
      </c>
      <c r="D68" t="s">
        <v>2579</v>
      </c>
      <c r="E68" t="s">
        <v>2580</v>
      </c>
      <c r="F68" s="451">
        <v>46203</v>
      </c>
      <c r="G68">
        <v>19740</v>
      </c>
      <c r="H68" t="s">
        <v>4779</v>
      </c>
      <c r="I68" t="s">
        <v>5191</v>
      </c>
      <c r="J68">
        <v>8</v>
      </c>
      <c r="K68" t="s">
        <v>4744</v>
      </c>
      <c r="L68">
        <v>67.599999999999994</v>
      </c>
      <c r="M68">
        <v>8.4499999999999993</v>
      </c>
      <c r="O68" t="s">
        <v>464</v>
      </c>
    </row>
    <row r="69" spans="1:15" x14ac:dyDescent="0.3">
      <c r="A69">
        <v>242740</v>
      </c>
      <c r="B69">
        <v>105</v>
      </c>
      <c r="C69" t="s">
        <v>557</v>
      </c>
      <c r="D69" t="s">
        <v>2579</v>
      </c>
      <c r="E69" t="s">
        <v>2580</v>
      </c>
      <c r="F69" s="451">
        <v>46203</v>
      </c>
      <c r="G69">
        <v>19532</v>
      </c>
      <c r="H69" t="s">
        <v>4753</v>
      </c>
      <c r="I69" t="s">
        <v>5191</v>
      </c>
      <c r="J69">
        <v>15</v>
      </c>
      <c r="K69" t="s">
        <v>4744</v>
      </c>
      <c r="L69">
        <v>136.5</v>
      </c>
      <c r="M69">
        <v>9.1</v>
      </c>
      <c r="O69" t="s">
        <v>464</v>
      </c>
    </row>
    <row r="70" spans="1:15" x14ac:dyDescent="0.3">
      <c r="A70">
        <v>242740</v>
      </c>
      <c r="B70">
        <v>105</v>
      </c>
      <c r="C70" t="s">
        <v>557</v>
      </c>
      <c r="D70" t="s">
        <v>2579</v>
      </c>
      <c r="E70" t="s">
        <v>2580</v>
      </c>
      <c r="F70" s="451">
        <v>46203</v>
      </c>
      <c r="G70">
        <v>23096</v>
      </c>
      <c r="H70" t="s">
        <v>5164</v>
      </c>
      <c r="I70" t="s">
        <v>5191</v>
      </c>
      <c r="J70">
        <v>30</v>
      </c>
      <c r="K70" t="s">
        <v>4736</v>
      </c>
      <c r="L70">
        <v>17.7</v>
      </c>
      <c r="M70">
        <v>0.59</v>
      </c>
      <c r="O70" t="s">
        <v>464</v>
      </c>
    </row>
    <row r="71" spans="1:15" x14ac:dyDescent="0.3">
      <c r="A71">
        <v>242740</v>
      </c>
      <c r="B71">
        <v>105</v>
      </c>
      <c r="C71" t="s">
        <v>557</v>
      </c>
      <c r="D71" t="s">
        <v>2579</v>
      </c>
      <c r="E71" t="s">
        <v>2580</v>
      </c>
      <c r="F71" s="451">
        <v>46203</v>
      </c>
      <c r="G71">
        <v>23198</v>
      </c>
      <c r="H71" t="s">
        <v>4962</v>
      </c>
      <c r="I71" t="s">
        <v>5191</v>
      </c>
      <c r="J71">
        <v>0.6</v>
      </c>
      <c r="K71" t="s">
        <v>4744</v>
      </c>
      <c r="L71">
        <v>9.36</v>
      </c>
      <c r="M71">
        <v>15.6</v>
      </c>
      <c r="O71" t="s">
        <v>464</v>
      </c>
    </row>
    <row r="72" spans="1:15" x14ac:dyDescent="0.3">
      <c r="A72">
        <v>242739</v>
      </c>
      <c r="B72">
        <v>105</v>
      </c>
      <c r="C72" t="s">
        <v>557</v>
      </c>
      <c r="D72" t="s">
        <v>2581</v>
      </c>
      <c r="E72" t="s">
        <v>2582</v>
      </c>
      <c r="F72" s="451">
        <v>46205</v>
      </c>
      <c r="G72">
        <v>19589</v>
      </c>
      <c r="H72" t="s">
        <v>4983</v>
      </c>
      <c r="I72" t="s">
        <v>5191</v>
      </c>
      <c r="J72">
        <v>3</v>
      </c>
      <c r="K72" t="s">
        <v>4744</v>
      </c>
      <c r="L72">
        <v>28.5</v>
      </c>
      <c r="M72">
        <v>9.5</v>
      </c>
      <c r="O72" t="s">
        <v>465</v>
      </c>
    </row>
    <row r="73" spans="1:15" x14ac:dyDescent="0.3">
      <c r="A73">
        <v>242739</v>
      </c>
      <c r="B73">
        <v>105</v>
      </c>
      <c r="C73" t="s">
        <v>557</v>
      </c>
      <c r="D73" t="s">
        <v>2581</v>
      </c>
      <c r="E73" t="s">
        <v>2582</v>
      </c>
      <c r="F73" s="451">
        <v>46205</v>
      </c>
      <c r="G73">
        <v>19752</v>
      </c>
      <c r="H73" t="s">
        <v>4807</v>
      </c>
      <c r="I73" t="s">
        <v>5191</v>
      </c>
      <c r="J73">
        <v>2</v>
      </c>
      <c r="K73" t="s">
        <v>4744</v>
      </c>
      <c r="L73">
        <v>10</v>
      </c>
      <c r="M73">
        <v>5</v>
      </c>
      <c r="O73" t="s">
        <v>465</v>
      </c>
    </row>
    <row r="74" spans="1:15" x14ac:dyDescent="0.3">
      <c r="A74">
        <v>242739</v>
      </c>
      <c r="B74">
        <v>105</v>
      </c>
      <c r="C74" t="s">
        <v>557</v>
      </c>
      <c r="D74" t="s">
        <v>2581</v>
      </c>
      <c r="E74" t="s">
        <v>2582</v>
      </c>
      <c r="F74" s="451">
        <v>46205</v>
      </c>
      <c r="G74">
        <v>24037</v>
      </c>
      <c r="H74" t="s">
        <v>5233</v>
      </c>
      <c r="I74" t="s">
        <v>5191</v>
      </c>
      <c r="J74">
        <v>3</v>
      </c>
      <c r="K74" t="s">
        <v>4744</v>
      </c>
      <c r="L74">
        <v>52.5</v>
      </c>
      <c r="M74">
        <v>17.5</v>
      </c>
      <c r="O74" t="s">
        <v>465</v>
      </c>
    </row>
    <row r="75" spans="1:15" x14ac:dyDescent="0.3">
      <c r="A75">
        <v>242739</v>
      </c>
      <c r="B75">
        <v>105</v>
      </c>
      <c r="C75" t="s">
        <v>557</v>
      </c>
      <c r="D75" t="s">
        <v>2581</v>
      </c>
      <c r="E75" t="s">
        <v>2582</v>
      </c>
      <c r="F75" s="451">
        <v>46205</v>
      </c>
      <c r="G75">
        <v>19506</v>
      </c>
      <c r="H75" t="s">
        <v>5122</v>
      </c>
      <c r="I75" t="s">
        <v>5191</v>
      </c>
      <c r="J75">
        <v>0.5</v>
      </c>
      <c r="K75" t="s">
        <v>4744</v>
      </c>
      <c r="L75">
        <v>25</v>
      </c>
      <c r="M75">
        <v>50</v>
      </c>
      <c r="O75" t="s">
        <v>465</v>
      </c>
    </row>
    <row r="76" spans="1:15" x14ac:dyDescent="0.3">
      <c r="A76">
        <v>242739</v>
      </c>
      <c r="B76">
        <v>105</v>
      </c>
      <c r="C76" t="s">
        <v>557</v>
      </c>
      <c r="D76" t="s">
        <v>2581</v>
      </c>
      <c r="E76" t="s">
        <v>2582</v>
      </c>
      <c r="F76" s="451">
        <v>46205</v>
      </c>
      <c r="G76">
        <v>19558</v>
      </c>
      <c r="H76" t="s">
        <v>4994</v>
      </c>
      <c r="I76" t="s">
        <v>5191</v>
      </c>
      <c r="J76">
        <v>1</v>
      </c>
      <c r="K76" t="s">
        <v>4744</v>
      </c>
      <c r="L76">
        <v>18</v>
      </c>
      <c r="M76">
        <v>18</v>
      </c>
      <c r="O76" t="s">
        <v>465</v>
      </c>
    </row>
    <row r="77" spans="1:15" x14ac:dyDescent="0.3">
      <c r="A77">
        <v>242739</v>
      </c>
      <c r="B77">
        <v>105</v>
      </c>
      <c r="C77" t="s">
        <v>557</v>
      </c>
      <c r="D77" t="s">
        <v>2581</v>
      </c>
      <c r="E77" t="s">
        <v>2582</v>
      </c>
      <c r="F77" s="451">
        <v>46205</v>
      </c>
      <c r="G77">
        <v>19734</v>
      </c>
      <c r="H77" t="s">
        <v>4833</v>
      </c>
      <c r="I77" t="s">
        <v>5191</v>
      </c>
      <c r="J77">
        <v>3</v>
      </c>
      <c r="K77" t="s">
        <v>4744</v>
      </c>
      <c r="L77">
        <v>33</v>
      </c>
      <c r="M77">
        <v>11</v>
      </c>
      <c r="O77" t="s">
        <v>465</v>
      </c>
    </row>
    <row r="78" spans="1:15" x14ac:dyDescent="0.3">
      <c r="A78">
        <v>242739</v>
      </c>
      <c r="B78">
        <v>105</v>
      </c>
      <c r="C78" t="s">
        <v>557</v>
      </c>
      <c r="D78" t="s">
        <v>2581</v>
      </c>
      <c r="E78" t="s">
        <v>2582</v>
      </c>
      <c r="F78" s="451">
        <v>46205</v>
      </c>
      <c r="G78">
        <v>19621</v>
      </c>
      <c r="H78" t="s">
        <v>4829</v>
      </c>
      <c r="I78" t="s">
        <v>5191</v>
      </c>
      <c r="J78">
        <v>3</v>
      </c>
      <c r="K78" t="s">
        <v>4744</v>
      </c>
      <c r="L78">
        <v>20.399999999999999</v>
      </c>
      <c r="M78">
        <v>6.8</v>
      </c>
      <c r="O78" t="s">
        <v>465</v>
      </c>
    </row>
    <row r="79" spans="1:15" x14ac:dyDescent="0.3">
      <c r="A79">
        <v>242739</v>
      </c>
      <c r="B79">
        <v>105</v>
      </c>
      <c r="C79" t="s">
        <v>557</v>
      </c>
      <c r="D79" t="s">
        <v>2581</v>
      </c>
      <c r="E79" t="s">
        <v>2582</v>
      </c>
      <c r="F79" s="451">
        <v>46205</v>
      </c>
      <c r="G79">
        <v>19472</v>
      </c>
      <c r="H79" t="s">
        <v>4906</v>
      </c>
      <c r="I79" t="s">
        <v>5191</v>
      </c>
      <c r="J79">
        <v>2</v>
      </c>
      <c r="K79" t="s">
        <v>4744</v>
      </c>
      <c r="L79">
        <v>28</v>
      </c>
      <c r="M79">
        <v>14</v>
      </c>
      <c r="O79" t="s">
        <v>465</v>
      </c>
    </row>
    <row r="80" spans="1:15" x14ac:dyDescent="0.3">
      <c r="A80">
        <v>242739</v>
      </c>
      <c r="B80">
        <v>105</v>
      </c>
      <c r="C80" t="s">
        <v>557</v>
      </c>
      <c r="D80" t="s">
        <v>2581</v>
      </c>
      <c r="E80" t="s">
        <v>2582</v>
      </c>
      <c r="F80" s="451">
        <v>46205</v>
      </c>
      <c r="G80">
        <v>23361</v>
      </c>
      <c r="H80" t="s">
        <v>4754</v>
      </c>
      <c r="I80" t="s">
        <v>5191</v>
      </c>
      <c r="J80">
        <v>40</v>
      </c>
      <c r="K80" t="s">
        <v>4744</v>
      </c>
      <c r="L80">
        <v>104</v>
      </c>
      <c r="M80">
        <v>2.6</v>
      </c>
      <c r="O80" t="s">
        <v>465</v>
      </c>
    </row>
    <row r="81" spans="1:15" x14ac:dyDescent="0.3">
      <c r="A81">
        <v>242739</v>
      </c>
      <c r="B81">
        <v>105</v>
      </c>
      <c r="C81" t="s">
        <v>557</v>
      </c>
      <c r="D81" t="s">
        <v>2581</v>
      </c>
      <c r="E81" t="s">
        <v>2582</v>
      </c>
      <c r="F81" s="451">
        <v>46205</v>
      </c>
      <c r="G81">
        <v>19505</v>
      </c>
      <c r="H81" t="s">
        <v>4872</v>
      </c>
      <c r="I81" t="s">
        <v>5191</v>
      </c>
      <c r="J81">
        <v>6</v>
      </c>
      <c r="K81" t="s">
        <v>4744</v>
      </c>
      <c r="L81">
        <v>84</v>
      </c>
      <c r="M81">
        <v>14</v>
      </c>
      <c r="O81" t="s">
        <v>465</v>
      </c>
    </row>
    <row r="82" spans="1:15" x14ac:dyDescent="0.3">
      <c r="A82">
        <v>242739</v>
      </c>
      <c r="B82">
        <v>105</v>
      </c>
      <c r="C82" t="s">
        <v>557</v>
      </c>
      <c r="D82" t="s">
        <v>2581</v>
      </c>
      <c r="E82" t="s">
        <v>2582</v>
      </c>
      <c r="F82" s="451">
        <v>46205</v>
      </c>
      <c r="G82">
        <v>19787</v>
      </c>
      <c r="H82" t="s">
        <v>4793</v>
      </c>
      <c r="I82" t="s">
        <v>5191</v>
      </c>
      <c r="J82">
        <v>10</v>
      </c>
      <c r="K82" t="s">
        <v>4744</v>
      </c>
      <c r="L82">
        <v>56</v>
      </c>
      <c r="M82">
        <v>5.6</v>
      </c>
      <c r="O82" t="s">
        <v>465</v>
      </c>
    </row>
    <row r="83" spans="1:15" x14ac:dyDescent="0.3">
      <c r="A83">
        <v>242739</v>
      </c>
      <c r="B83">
        <v>105</v>
      </c>
      <c r="C83" t="s">
        <v>557</v>
      </c>
      <c r="D83" t="s">
        <v>2581</v>
      </c>
      <c r="E83" t="s">
        <v>2582</v>
      </c>
      <c r="F83" s="451">
        <v>46205</v>
      </c>
      <c r="G83">
        <v>23236</v>
      </c>
      <c r="H83" t="s">
        <v>5062</v>
      </c>
      <c r="I83" t="s">
        <v>5191</v>
      </c>
      <c r="J83">
        <v>2.5</v>
      </c>
      <c r="K83" t="s">
        <v>4744</v>
      </c>
      <c r="L83">
        <v>20</v>
      </c>
      <c r="M83">
        <v>8</v>
      </c>
      <c r="O83" t="s">
        <v>465</v>
      </c>
    </row>
    <row r="84" spans="1:15" x14ac:dyDescent="0.3">
      <c r="A84">
        <v>242739</v>
      </c>
      <c r="B84">
        <v>105</v>
      </c>
      <c r="C84" t="s">
        <v>557</v>
      </c>
      <c r="D84" t="s">
        <v>2581</v>
      </c>
      <c r="E84" t="s">
        <v>2582</v>
      </c>
      <c r="F84" s="451">
        <v>46205</v>
      </c>
      <c r="G84">
        <v>19728</v>
      </c>
      <c r="H84" t="s">
        <v>5106</v>
      </c>
      <c r="I84" t="s">
        <v>5191</v>
      </c>
      <c r="J84">
        <v>2</v>
      </c>
      <c r="K84" t="s">
        <v>4744</v>
      </c>
      <c r="L84">
        <v>22</v>
      </c>
      <c r="M84">
        <v>11</v>
      </c>
      <c r="O84" t="s">
        <v>465</v>
      </c>
    </row>
    <row r="85" spans="1:15" x14ac:dyDescent="0.3">
      <c r="A85">
        <v>242739</v>
      </c>
      <c r="B85">
        <v>105</v>
      </c>
      <c r="C85" t="s">
        <v>557</v>
      </c>
      <c r="D85" t="s">
        <v>2581</v>
      </c>
      <c r="E85" t="s">
        <v>2582</v>
      </c>
      <c r="F85" s="451">
        <v>46205</v>
      </c>
      <c r="G85">
        <v>19555</v>
      </c>
      <c r="H85" t="s">
        <v>4903</v>
      </c>
      <c r="I85" t="s">
        <v>5191</v>
      </c>
      <c r="J85">
        <v>1</v>
      </c>
      <c r="K85" t="s">
        <v>4744</v>
      </c>
      <c r="L85">
        <v>17</v>
      </c>
      <c r="M85">
        <v>17</v>
      </c>
      <c r="O85" t="s">
        <v>465</v>
      </c>
    </row>
    <row r="86" spans="1:15" x14ac:dyDescent="0.3">
      <c r="A86">
        <v>242739</v>
      </c>
      <c r="B86">
        <v>105</v>
      </c>
      <c r="C86" t="s">
        <v>557</v>
      </c>
      <c r="D86" t="s">
        <v>2581</v>
      </c>
      <c r="E86" t="s">
        <v>2582</v>
      </c>
      <c r="F86" s="451">
        <v>46205</v>
      </c>
      <c r="G86">
        <v>23365</v>
      </c>
      <c r="H86" t="s">
        <v>5108</v>
      </c>
      <c r="I86" t="s">
        <v>5191</v>
      </c>
      <c r="J86">
        <v>2</v>
      </c>
      <c r="K86" t="s">
        <v>4744</v>
      </c>
      <c r="L86">
        <v>40</v>
      </c>
      <c r="M86">
        <v>20</v>
      </c>
      <c r="O86" t="s">
        <v>465</v>
      </c>
    </row>
    <row r="87" spans="1:15" x14ac:dyDescent="0.3">
      <c r="A87">
        <v>242739</v>
      </c>
      <c r="B87">
        <v>105</v>
      </c>
      <c r="C87" t="s">
        <v>557</v>
      </c>
      <c r="D87" t="s">
        <v>2581</v>
      </c>
      <c r="E87" t="s">
        <v>2582</v>
      </c>
      <c r="F87" s="451">
        <v>46205</v>
      </c>
      <c r="G87">
        <v>23113</v>
      </c>
      <c r="H87" t="s">
        <v>5074</v>
      </c>
      <c r="I87" t="s">
        <v>5191</v>
      </c>
      <c r="J87">
        <v>1</v>
      </c>
      <c r="K87" t="s">
        <v>4744</v>
      </c>
      <c r="L87">
        <v>7.5</v>
      </c>
      <c r="M87">
        <v>7.5</v>
      </c>
      <c r="O87" t="s">
        <v>465</v>
      </c>
    </row>
    <row r="88" spans="1:15" x14ac:dyDescent="0.3">
      <c r="A88">
        <v>242739</v>
      </c>
      <c r="B88">
        <v>105</v>
      </c>
      <c r="C88" t="s">
        <v>557</v>
      </c>
      <c r="D88" t="s">
        <v>2581</v>
      </c>
      <c r="E88" t="s">
        <v>2582</v>
      </c>
      <c r="F88" s="451">
        <v>46205</v>
      </c>
      <c r="G88">
        <v>19623</v>
      </c>
      <c r="H88" t="s">
        <v>4764</v>
      </c>
      <c r="I88" t="s">
        <v>5191</v>
      </c>
      <c r="J88">
        <v>10</v>
      </c>
      <c r="K88" t="s">
        <v>4744</v>
      </c>
      <c r="L88">
        <v>69</v>
      </c>
      <c r="M88">
        <v>6.9</v>
      </c>
      <c r="O88" t="s">
        <v>465</v>
      </c>
    </row>
    <row r="89" spans="1:15" x14ac:dyDescent="0.3">
      <c r="A89">
        <v>242739</v>
      </c>
      <c r="B89">
        <v>105</v>
      </c>
      <c r="C89" t="s">
        <v>557</v>
      </c>
      <c r="D89" t="s">
        <v>2581</v>
      </c>
      <c r="E89" t="s">
        <v>2582</v>
      </c>
      <c r="F89" s="451">
        <v>46205</v>
      </c>
      <c r="G89">
        <v>24099</v>
      </c>
      <c r="H89" t="s">
        <v>4933</v>
      </c>
      <c r="I89" t="s">
        <v>5191</v>
      </c>
      <c r="J89">
        <v>2.5</v>
      </c>
      <c r="K89" t="s">
        <v>4744</v>
      </c>
      <c r="L89">
        <v>31.25</v>
      </c>
      <c r="M89">
        <v>12.5</v>
      </c>
      <c r="O89" t="s">
        <v>465</v>
      </c>
    </row>
    <row r="90" spans="1:15" x14ac:dyDescent="0.3">
      <c r="A90">
        <v>242739</v>
      </c>
      <c r="B90">
        <v>105</v>
      </c>
      <c r="C90" t="s">
        <v>557</v>
      </c>
      <c r="D90" t="s">
        <v>2581</v>
      </c>
      <c r="E90" t="s">
        <v>2582</v>
      </c>
      <c r="F90" s="451">
        <v>46205</v>
      </c>
      <c r="G90">
        <v>24598</v>
      </c>
      <c r="H90" t="s">
        <v>4852</v>
      </c>
      <c r="I90" t="s">
        <v>5191</v>
      </c>
      <c r="J90">
        <v>1</v>
      </c>
      <c r="K90" t="s">
        <v>4744</v>
      </c>
      <c r="L90">
        <v>11</v>
      </c>
      <c r="M90">
        <v>11</v>
      </c>
      <c r="O90" t="s">
        <v>465</v>
      </c>
    </row>
    <row r="91" spans="1:15" x14ac:dyDescent="0.3">
      <c r="A91">
        <v>242739</v>
      </c>
      <c r="B91">
        <v>105</v>
      </c>
      <c r="C91" t="s">
        <v>557</v>
      </c>
      <c r="D91" t="s">
        <v>2581</v>
      </c>
      <c r="E91" t="s">
        <v>2582</v>
      </c>
      <c r="F91" s="451">
        <v>46205</v>
      </c>
      <c r="G91">
        <v>19635</v>
      </c>
      <c r="H91" t="s">
        <v>4786</v>
      </c>
      <c r="I91" t="s">
        <v>5191</v>
      </c>
      <c r="J91">
        <v>5</v>
      </c>
      <c r="K91" t="s">
        <v>4744</v>
      </c>
      <c r="L91">
        <v>20</v>
      </c>
      <c r="M91">
        <v>4</v>
      </c>
      <c r="O91" t="s">
        <v>465</v>
      </c>
    </row>
    <row r="92" spans="1:15" x14ac:dyDescent="0.3">
      <c r="A92">
        <v>242739</v>
      </c>
      <c r="B92">
        <v>105</v>
      </c>
      <c r="C92" t="s">
        <v>557</v>
      </c>
      <c r="D92" t="s">
        <v>2581</v>
      </c>
      <c r="E92" t="s">
        <v>2582</v>
      </c>
      <c r="F92" s="451">
        <v>46205</v>
      </c>
      <c r="G92">
        <v>19492</v>
      </c>
      <c r="H92" t="s">
        <v>4937</v>
      </c>
      <c r="I92" t="s">
        <v>5191</v>
      </c>
      <c r="J92">
        <v>2</v>
      </c>
      <c r="K92" t="s">
        <v>4744</v>
      </c>
      <c r="L92">
        <v>36</v>
      </c>
      <c r="M92">
        <v>18</v>
      </c>
      <c r="O92" t="s">
        <v>465</v>
      </c>
    </row>
    <row r="93" spans="1:15" x14ac:dyDescent="0.3">
      <c r="A93">
        <v>242739</v>
      </c>
      <c r="B93">
        <v>105</v>
      </c>
      <c r="C93" t="s">
        <v>557</v>
      </c>
      <c r="D93" t="s">
        <v>2581</v>
      </c>
      <c r="E93" t="s">
        <v>2582</v>
      </c>
      <c r="F93" s="451">
        <v>46205</v>
      </c>
      <c r="G93">
        <v>19488</v>
      </c>
      <c r="H93" t="s">
        <v>5107</v>
      </c>
      <c r="I93" t="s">
        <v>5191</v>
      </c>
      <c r="J93">
        <v>0.3</v>
      </c>
      <c r="K93" t="s">
        <v>4744</v>
      </c>
      <c r="L93">
        <v>4.2</v>
      </c>
      <c r="M93">
        <v>14</v>
      </c>
      <c r="O93" t="s">
        <v>465</v>
      </c>
    </row>
    <row r="94" spans="1:15" x14ac:dyDescent="0.3">
      <c r="A94">
        <v>242739</v>
      </c>
      <c r="B94">
        <v>105</v>
      </c>
      <c r="C94" t="s">
        <v>557</v>
      </c>
      <c r="D94" t="s">
        <v>2581</v>
      </c>
      <c r="E94" t="s">
        <v>2582</v>
      </c>
      <c r="F94" s="451">
        <v>46205</v>
      </c>
      <c r="G94">
        <v>19553</v>
      </c>
      <c r="H94" t="s">
        <v>4868</v>
      </c>
      <c r="I94" t="s">
        <v>5191</v>
      </c>
      <c r="J94">
        <v>1</v>
      </c>
      <c r="K94" t="s">
        <v>4744</v>
      </c>
      <c r="L94">
        <v>5.2</v>
      </c>
      <c r="M94">
        <v>5.2</v>
      </c>
      <c r="O94" t="s">
        <v>465</v>
      </c>
    </row>
    <row r="95" spans="1:15" x14ac:dyDescent="0.3">
      <c r="A95">
        <v>242739</v>
      </c>
      <c r="B95">
        <v>105</v>
      </c>
      <c r="C95" t="s">
        <v>557</v>
      </c>
      <c r="D95" t="s">
        <v>2581</v>
      </c>
      <c r="E95" t="s">
        <v>2582</v>
      </c>
      <c r="F95" s="451">
        <v>46205</v>
      </c>
      <c r="G95">
        <v>19502</v>
      </c>
      <c r="H95" t="s">
        <v>4871</v>
      </c>
      <c r="I95" t="s">
        <v>5191</v>
      </c>
      <c r="J95">
        <v>4</v>
      </c>
      <c r="K95" t="s">
        <v>4744</v>
      </c>
      <c r="L95">
        <v>68</v>
      </c>
      <c r="M95">
        <v>17</v>
      </c>
      <c r="O95" t="s">
        <v>465</v>
      </c>
    </row>
    <row r="96" spans="1:15" x14ac:dyDescent="0.3">
      <c r="A96">
        <v>242739</v>
      </c>
      <c r="B96">
        <v>105</v>
      </c>
      <c r="C96" t="s">
        <v>557</v>
      </c>
      <c r="D96" t="s">
        <v>2581</v>
      </c>
      <c r="E96" t="s">
        <v>2582</v>
      </c>
      <c r="F96" s="451">
        <v>46205</v>
      </c>
      <c r="G96">
        <v>19737</v>
      </c>
      <c r="H96" t="s">
        <v>4940</v>
      </c>
      <c r="I96" t="s">
        <v>5191</v>
      </c>
      <c r="J96">
        <v>1</v>
      </c>
      <c r="K96" t="s">
        <v>4744</v>
      </c>
      <c r="L96">
        <v>5.4</v>
      </c>
      <c r="M96">
        <v>5.4</v>
      </c>
      <c r="O96" t="s">
        <v>465</v>
      </c>
    </row>
    <row r="97" spans="1:15" x14ac:dyDescent="0.3">
      <c r="A97">
        <v>242739</v>
      </c>
      <c r="B97">
        <v>105</v>
      </c>
      <c r="C97" t="s">
        <v>557</v>
      </c>
      <c r="D97" t="s">
        <v>2581</v>
      </c>
      <c r="E97" t="s">
        <v>2582</v>
      </c>
      <c r="F97" s="451">
        <v>46205</v>
      </c>
      <c r="G97">
        <v>24083</v>
      </c>
      <c r="H97" t="s">
        <v>5165</v>
      </c>
      <c r="I97" t="s">
        <v>5191</v>
      </c>
      <c r="J97">
        <v>120</v>
      </c>
      <c r="K97" t="s">
        <v>4744</v>
      </c>
      <c r="L97">
        <v>996</v>
      </c>
      <c r="M97">
        <v>8.3000000000000007</v>
      </c>
      <c r="O97" t="s">
        <v>465</v>
      </c>
    </row>
    <row r="98" spans="1:15" x14ac:dyDescent="0.3">
      <c r="A98">
        <v>242739</v>
      </c>
      <c r="B98">
        <v>105</v>
      </c>
      <c r="C98" t="s">
        <v>557</v>
      </c>
      <c r="D98" t="s">
        <v>2581</v>
      </c>
      <c r="E98" t="s">
        <v>2582</v>
      </c>
      <c r="F98" s="451">
        <v>46205</v>
      </c>
      <c r="G98">
        <v>19751</v>
      </c>
      <c r="H98" t="s">
        <v>4800</v>
      </c>
      <c r="I98" t="s">
        <v>5191</v>
      </c>
      <c r="J98">
        <v>3</v>
      </c>
      <c r="K98" t="s">
        <v>4744</v>
      </c>
      <c r="L98">
        <v>28.5</v>
      </c>
      <c r="M98">
        <v>9.5</v>
      </c>
      <c r="O98" t="s">
        <v>465</v>
      </c>
    </row>
    <row r="99" spans="1:15" x14ac:dyDescent="0.3">
      <c r="A99">
        <v>242739</v>
      </c>
      <c r="B99">
        <v>105</v>
      </c>
      <c r="C99" t="s">
        <v>557</v>
      </c>
      <c r="D99" t="s">
        <v>2581</v>
      </c>
      <c r="E99" t="s">
        <v>2582</v>
      </c>
      <c r="F99" s="451">
        <v>46205</v>
      </c>
      <c r="G99">
        <v>19632</v>
      </c>
      <c r="H99" t="s">
        <v>4936</v>
      </c>
      <c r="I99" t="s">
        <v>5191</v>
      </c>
      <c r="J99">
        <v>3</v>
      </c>
      <c r="K99" t="s">
        <v>4744</v>
      </c>
      <c r="L99">
        <v>12</v>
      </c>
      <c r="M99">
        <v>4</v>
      </c>
      <c r="O99" t="s">
        <v>465</v>
      </c>
    </row>
    <row r="100" spans="1:15" x14ac:dyDescent="0.3">
      <c r="A100">
        <v>242739</v>
      </c>
      <c r="B100">
        <v>105</v>
      </c>
      <c r="C100" t="s">
        <v>557</v>
      </c>
      <c r="D100" t="s">
        <v>2581</v>
      </c>
      <c r="E100" t="s">
        <v>2582</v>
      </c>
      <c r="F100" s="451">
        <v>46205</v>
      </c>
      <c r="G100">
        <v>19476</v>
      </c>
      <c r="H100" t="s">
        <v>5115</v>
      </c>
      <c r="I100" t="s">
        <v>5191</v>
      </c>
      <c r="J100">
        <v>0.3</v>
      </c>
      <c r="K100" t="s">
        <v>4744</v>
      </c>
      <c r="L100">
        <v>18</v>
      </c>
      <c r="M100">
        <v>60</v>
      </c>
      <c r="O100" t="s">
        <v>465</v>
      </c>
    </row>
    <row r="101" spans="1:15" x14ac:dyDescent="0.3">
      <c r="A101">
        <v>242737</v>
      </c>
      <c r="B101">
        <v>105</v>
      </c>
      <c r="C101" t="s">
        <v>557</v>
      </c>
      <c r="D101" t="s">
        <v>2581</v>
      </c>
      <c r="E101" t="s">
        <v>2583</v>
      </c>
      <c r="F101" s="451">
        <v>46204</v>
      </c>
      <c r="G101">
        <v>19623</v>
      </c>
      <c r="H101" t="s">
        <v>4764</v>
      </c>
      <c r="I101" t="s">
        <v>5191</v>
      </c>
      <c r="J101">
        <v>10</v>
      </c>
      <c r="K101" t="s">
        <v>4744</v>
      </c>
      <c r="L101">
        <v>70</v>
      </c>
      <c r="M101">
        <v>7</v>
      </c>
      <c r="O101" t="s">
        <v>465</v>
      </c>
    </row>
    <row r="102" spans="1:15" x14ac:dyDescent="0.3">
      <c r="A102">
        <v>242737</v>
      </c>
      <c r="B102">
        <v>105</v>
      </c>
      <c r="C102" t="s">
        <v>557</v>
      </c>
      <c r="D102" t="s">
        <v>2581</v>
      </c>
      <c r="E102" t="s">
        <v>2583</v>
      </c>
      <c r="F102" s="451">
        <v>46204</v>
      </c>
      <c r="G102">
        <v>19505</v>
      </c>
      <c r="H102" t="s">
        <v>4872</v>
      </c>
      <c r="I102" t="s">
        <v>5191</v>
      </c>
      <c r="J102">
        <v>5</v>
      </c>
      <c r="K102" t="s">
        <v>4744</v>
      </c>
      <c r="L102">
        <v>60</v>
      </c>
      <c r="M102">
        <v>12</v>
      </c>
      <c r="O102" t="s">
        <v>465</v>
      </c>
    </row>
    <row r="103" spans="1:15" x14ac:dyDescent="0.3">
      <c r="A103">
        <v>242737</v>
      </c>
      <c r="B103">
        <v>105</v>
      </c>
      <c r="C103" t="s">
        <v>557</v>
      </c>
      <c r="D103" t="s">
        <v>2581</v>
      </c>
      <c r="E103" t="s">
        <v>2583</v>
      </c>
      <c r="F103" s="451">
        <v>46204</v>
      </c>
      <c r="G103">
        <v>19635</v>
      </c>
      <c r="H103" t="s">
        <v>4786</v>
      </c>
      <c r="I103" t="s">
        <v>5191</v>
      </c>
      <c r="J103">
        <v>10</v>
      </c>
      <c r="K103" t="s">
        <v>4744</v>
      </c>
      <c r="L103">
        <v>45</v>
      </c>
      <c r="M103">
        <v>4.5</v>
      </c>
      <c r="O103" t="s">
        <v>465</v>
      </c>
    </row>
    <row r="104" spans="1:15" x14ac:dyDescent="0.3">
      <c r="A104">
        <v>242737</v>
      </c>
      <c r="B104">
        <v>105</v>
      </c>
      <c r="C104" t="s">
        <v>557</v>
      </c>
      <c r="D104" t="s">
        <v>2581</v>
      </c>
      <c r="E104" t="s">
        <v>2583</v>
      </c>
      <c r="F104" s="451">
        <v>46204</v>
      </c>
      <c r="G104">
        <v>19472</v>
      </c>
      <c r="H104" t="s">
        <v>4906</v>
      </c>
      <c r="I104" t="s">
        <v>5191</v>
      </c>
      <c r="J104">
        <v>2</v>
      </c>
      <c r="K104" t="s">
        <v>4744</v>
      </c>
      <c r="L104">
        <v>26</v>
      </c>
      <c r="M104">
        <v>13</v>
      </c>
      <c r="O104" t="s">
        <v>465</v>
      </c>
    </row>
    <row r="105" spans="1:15" x14ac:dyDescent="0.3">
      <c r="A105">
        <v>242732</v>
      </c>
      <c r="B105">
        <v>105</v>
      </c>
      <c r="C105" t="s">
        <v>557</v>
      </c>
      <c r="D105" t="s">
        <v>2581</v>
      </c>
      <c r="E105" t="s">
        <v>2584</v>
      </c>
      <c r="F105" s="451">
        <v>46203</v>
      </c>
      <c r="G105">
        <v>19505</v>
      </c>
      <c r="H105" t="s">
        <v>4872</v>
      </c>
      <c r="I105" t="s">
        <v>5191</v>
      </c>
      <c r="J105">
        <v>4</v>
      </c>
      <c r="K105" t="s">
        <v>4744</v>
      </c>
      <c r="L105">
        <v>48</v>
      </c>
      <c r="M105">
        <v>12</v>
      </c>
      <c r="O105" t="s">
        <v>464</v>
      </c>
    </row>
    <row r="106" spans="1:15" x14ac:dyDescent="0.3">
      <c r="A106">
        <v>242732</v>
      </c>
      <c r="B106">
        <v>105</v>
      </c>
      <c r="C106" t="s">
        <v>557</v>
      </c>
      <c r="D106" t="s">
        <v>2581</v>
      </c>
      <c r="E106" t="s">
        <v>2584</v>
      </c>
      <c r="F106" s="451">
        <v>46203</v>
      </c>
      <c r="G106">
        <v>23234</v>
      </c>
      <c r="H106" t="s">
        <v>4986</v>
      </c>
      <c r="I106" t="s">
        <v>5191</v>
      </c>
      <c r="J106">
        <v>1</v>
      </c>
      <c r="K106" t="s">
        <v>4744</v>
      </c>
      <c r="L106">
        <v>25</v>
      </c>
      <c r="M106">
        <v>25</v>
      </c>
      <c r="O106" t="s">
        <v>464</v>
      </c>
    </row>
    <row r="107" spans="1:15" x14ac:dyDescent="0.3">
      <c r="A107">
        <v>242732</v>
      </c>
      <c r="B107">
        <v>105</v>
      </c>
      <c r="C107" t="s">
        <v>557</v>
      </c>
      <c r="D107" t="s">
        <v>2581</v>
      </c>
      <c r="E107" t="s">
        <v>2584</v>
      </c>
      <c r="F107" s="451">
        <v>46203</v>
      </c>
      <c r="G107">
        <v>19476</v>
      </c>
      <c r="H107" t="s">
        <v>5115</v>
      </c>
      <c r="I107" t="s">
        <v>5191</v>
      </c>
      <c r="J107">
        <v>0.3</v>
      </c>
      <c r="K107" t="s">
        <v>4744</v>
      </c>
      <c r="L107">
        <v>18</v>
      </c>
      <c r="M107">
        <v>60</v>
      </c>
      <c r="O107" t="s">
        <v>464</v>
      </c>
    </row>
    <row r="108" spans="1:15" x14ac:dyDescent="0.3">
      <c r="A108">
        <v>242732</v>
      </c>
      <c r="B108">
        <v>105</v>
      </c>
      <c r="C108" t="s">
        <v>557</v>
      </c>
      <c r="D108" t="s">
        <v>2581</v>
      </c>
      <c r="E108" t="s">
        <v>2584</v>
      </c>
      <c r="F108" s="451">
        <v>46203</v>
      </c>
      <c r="G108">
        <v>19621</v>
      </c>
      <c r="H108" t="s">
        <v>4829</v>
      </c>
      <c r="I108" t="s">
        <v>5191</v>
      </c>
      <c r="J108">
        <v>4</v>
      </c>
      <c r="K108" t="s">
        <v>4744</v>
      </c>
      <c r="L108">
        <v>30</v>
      </c>
      <c r="M108">
        <v>7.5</v>
      </c>
      <c r="O108" t="s">
        <v>464</v>
      </c>
    </row>
    <row r="109" spans="1:15" x14ac:dyDescent="0.3">
      <c r="A109">
        <v>242732</v>
      </c>
      <c r="B109">
        <v>105</v>
      </c>
      <c r="C109" t="s">
        <v>557</v>
      </c>
      <c r="D109" t="s">
        <v>2581</v>
      </c>
      <c r="E109" t="s">
        <v>2584</v>
      </c>
      <c r="F109" s="451">
        <v>46203</v>
      </c>
      <c r="G109">
        <v>19553</v>
      </c>
      <c r="H109" t="s">
        <v>4868</v>
      </c>
      <c r="I109" t="s">
        <v>5191</v>
      </c>
      <c r="J109">
        <v>1</v>
      </c>
      <c r="K109" t="s">
        <v>4744</v>
      </c>
      <c r="L109">
        <v>5.5</v>
      </c>
      <c r="M109">
        <v>5.5</v>
      </c>
      <c r="O109" t="s">
        <v>464</v>
      </c>
    </row>
    <row r="110" spans="1:15" x14ac:dyDescent="0.3">
      <c r="A110">
        <v>242732</v>
      </c>
      <c r="B110">
        <v>105</v>
      </c>
      <c r="C110" t="s">
        <v>557</v>
      </c>
      <c r="D110" t="s">
        <v>2581</v>
      </c>
      <c r="E110" t="s">
        <v>2584</v>
      </c>
      <c r="F110" s="451">
        <v>46203</v>
      </c>
      <c r="G110">
        <v>19506</v>
      </c>
      <c r="H110" t="s">
        <v>5122</v>
      </c>
      <c r="I110" t="s">
        <v>5191</v>
      </c>
      <c r="J110">
        <v>0.4</v>
      </c>
      <c r="K110" t="s">
        <v>4744</v>
      </c>
      <c r="L110">
        <v>16</v>
      </c>
      <c r="M110">
        <v>40</v>
      </c>
      <c r="O110" t="s">
        <v>464</v>
      </c>
    </row>
    <row r="111" spans="1:15" x14ac:dyDescent="0.3">
      <c r="A111">
        <v>242732</v>
      </c>
      <c r="B111">
        <v>105</v>
      </c>
      <c r="C111" t="s">
        <v>557</v>
      </c>
      <c r="D111" t="s">
        <v>2581</v>
      </c>
      <c r="E111" t="s">
        <v>2584</v>
      </c>
      <c r="F111" s="451">
        <v>46203</v>
      </c>
      <c r="G111">
        <v>19558</v>
      </c>
      <c r="H111" t="s">
        <v>4994</v>
      </c>
      <c r="I111" t="s">
        <v>5191</v>
      </c>
      <c r="J111">
        <v>1</v>
      </c>
      <c r="K111" t="s">
        <v>4744</v>
      </c>
      <c r="L111">
        <v>20</v>
      </c>
      <c r="M111">
        <v>20</v>
      </c>
      <c r="O111" t="s">
        <v>464</v>
      </c>
    </row>
    <row r="112" spans="1:15" x14ac:dyDescent="0.3">
      <c r="A112">
        <v>242732</v>
      </c>
      <c r="B112">
        <v>105</v>
      </c>
      <c r="C112" t="s">
        <v>557</v>
      </c>
      <c r="D112" t="s">
        <v>2581</v>
      </c>
      <c r="E112" t="s">
        <v>2584</v>
      </c>
      <c r="F112" s="451">
        <v>46203</v>
      </c>
      <c r="G112">
        <v>24083</v>
      </c>
      <c r="H112" t="s">
        <v>5165</v>
      </c>
      <c r="I112" t="s">
        <v>5191</v>
      </c>
      <c r="J112">
        <v>20</v>
      </c>
      <c r="K112" t="s">
        <v>4744</v>
      </c>
      <c r="L112">
        <v>170</v>
      </c>
      <c r="M112">
        <v>8.5</v>
      </c>
      <c r="O112" t="s">
        <v>464</v>
      </c>
    </row>
    <row r="113" spans="1:15" x14ac:dyDescent="0.3">
      <c r="A113">
        <v>242732</v>
      </c>
      <c r="B113">
        <v>105</v>
      </c>
      <c r="C113" t="s">
        <v>557</v>
      </c>
      <c r="D113" t="s">
        <v>2581</v>
      </c>
      <c r="E113" t="s">
        <v>2584</v>
      </c>
      <c r="F113" s="451">
        <v>46203</v>
      </c>
      <c r="G113">
        <v>19589</v>
      </c>
      <c r="H113" t="s">
        <v>4983</v>
      </c>
      <c r="I113" t="s">
        <v>5191</v>
      </c>
      <c r="J113">
        <v>4</v>
      </c>
      <c r="K113" t="s">
        <v>4744</v>
      </c>
      <c r="L113">
        <v>42</v>
      </c>
      <c r="M113">
        <v>10.5</v>
      </c>
      <c r="O113" t="s">
        <v>464</v>
      </c>
    </row>
    <row r="114" spans="1:15" x14ac:dyDescent="0.3">
      <c r="A114">
        <v>242732</v>
      </c>
      <c r="B114">
        <v>105</v>
      </c>
      <c r="C114" t="s">
        <v>557</v>
      </c>
      <c r="D114" t="s">
        <v>2581</v>
      </c>
      <c r="E114" t="s">
        <v>2584</v>
      </c>
      <c r="F114" s="451">
        <v>46203</v>
      </c>
      <c r="G114">
        <v>19526</v>
      </c>
      <c r="H114" t="s">
        <v>4997</v>
      </c>
      <c r="I114" t="s">
        <v>5191</v>
      </c>
      <c r="J114">
        <v>1</v>
      </c>
      <c r="K114" t="s">
        <v>4744</v>
      </c>
      <c r="L114">
        <v>46</v>
      </c>
      <c r="M114">
        <v>46</v>
      </c>
      <c r="O114" t="s">
        <v>464</v>
      </c>
    </row>
    <row r="115" spans="1:15" x14ac:dyDescent="0.3">
      <c r="A115">
        <v>242732</v>
      </c>
      <c r="B115">
        <v>105</v>
      </c>
      <c r="C115" t="s">
        <v>557</v>
      </c>
      <c r="D115" t="s">
        <v>2581</v>
      </c>
      <c r="E115" t="s">
        <v>2584</v>
      </c>
      <c r="F115" s="451">
        <v>46203</v>
      </c>
      <c r="G115">
        <v>19787</v>
      </c>
      <c r="H115" t="s">
        <v>4793</v>
      </c>
      <c r="I115" t="s">
        <v>5191</v>
      </c>
      <c r="J115">
        <v>4</v>
      </c>
      <c r="K115" t="s">
        <v>4744</v>
      </c>
      <c r="L115">
        <v>22.8</v>
      </c>
      <c r="M115">
        <v>5.7</v>
      </c>
      <c r="O115" t="s">
        <v>464</v>
      </c>
    </row>
    <row r="116" spans="1:15" x14ac:dyDescent="0.3">
      <c r="A116">
        <v>242732</v>
      </c>
      <c r="B116">
        <v>105</v>
      </c>
      <c r="C116" t="s">
        <v>557</v>
      </c>
      <c r="D116" t="s">
        <v>2581</v>
      </c>
      <c r="E116" t="s">
        <v>2584</v>
      </c>
      <c r="F116" s="451">
        <v>46203</v>
      </c>
      <c r="G116">
        <v>19490</v>
      </c>
      <c r="H116" t="s">
        <v>5116</v>
      </c>
      <c r="I116" t="s">
        <v>5191</v>
      </c>
      <c r="J116">
        <v>0.3</v>
      </c>
      <c r="K116" t="s">
        <v>4744</v>
      </c>
      <c r="L116">
        <v>16.5</v>
      </c>
      <c r="M116">
        <v>55</v>
      </c>
      <c r="O116" t="s">
        <v>464</v>
      </c>
    </row>
    <row r="117" spans="1:15" x14ac:dyDescent="0.3">
      <c r="A117">
        <v>242732</v>
      </c>
      <c r="B117">
        <v>105</v>
      </c>
      <c r="C117" t="s">
        <v>557</v>
      </c>
      <c r="D117" t="s">
        <v>2581</v>
      </c>
      <c r="E117" t="s">
        <v>2584</v>
      </c>
      <c r="F117" s="451">
        <v>46203</v>
      </c>
      <c r="G117">
        <v>23365</v>
      </c>
      <c r="H117" t="s">
        <v>5108</v>
      </c>
      <c r="I117" t="s">
        <v>5191</v>
      </c>
      <c r="J117">
        <v>0.5</v>
      </c>
      <c r="K117" t="s">
        <v>4744</v>
      </c>
      <c r="L117">
        <v>11</v>
      </c>
      <c r="M117">
        <v>22</v>
      </c>
      <c r="O117" t="s">
        <v>464</v>
      </c>
    </row>
    <row r="118" spans="1:15" x14ac:dyDescent="0.3">
      <c r="A118">
        <v>242732</v>
      </c>
      <c r="B118">
        <v>105</v>
      </c>
      <c r="C118" t="s">
        <v>557</v>
      </c>
      <c r="D118" t="s">
        <v>2581</v>
      </c>
      <c r="E118" t="s">
        <v>2584</v>
      </c>
      <c r="F118" s="451">
        <v>46203</v>
      </c>
      <c r="G118">
        <v>19728</v>
      </c>
      <c r="H118" t="s">
        <v>5106</v>
      </c>
      <c r="I118" t="s">
        <v>5191</v>
      </c>
      <c r="J118">
        <v>2</v>
      </c>
      <c r="K118" t="s">
        <v>4744</v>
      </c>
      <c r="L118">
        <v>22</v>
      </c>
      <c r="M118">
        <v>11</v>
      </c>
      <c r="O118" t="s">
        <v>464</v>
      </c>
    </row>
    <row r="119" spans="1:15" x14ac:dyDescent="0.3">
      <c r="A119">
        <v>242732</v>
      </c>
      <c r="B119">
        <v>105</v>
      </c>
      <c r="C119" t="s">
        <v>557</v>
      </c>
      <c r="D119" t="s">
        <v>2581</v>
      </c>
      <c r="E119" t="s">
        <v>2584</v>
      </c>
      <c r="F119" s="451">
        <v>46203</v>
      </c>
      <c r="G119">
        <v>19751</v>
      </c>
      <c r="H119" t="s">
        <v>4800</v>
      </c>
      <c r="I119" t="s">
        <v>5191</v>
      </c>
      <c r="J119">
        <v>2</v>
      </c>
      <c r="K119" t="s">
        <v>4744</v>
      </c>
      <c r="L119">
        <v>19</v>
      </c>
      <c r="M119">
        <v>9.5</v>
      </c>
      <c r="O119" t="s">
        <v>464</v>
      </c>
    </row>
    <row r="120" spans="1:15" x14ac:dyDescent="0.3">
      <c r="A120">
        <v>242732</v>
      </c>
      <c r="B120">
        <v>105</v>
      </c>
      <c r="C120" t="s">
        <v>557</v>
      </c>
      <c r="D120" t="s">
        <v>2581</v>
      </c>
      <c r="E120" t="s">
        <v>2584</v>
      </c>
      <c r="F120" s="451">
        <v>46203</v>
      </c>
      <c r="G120">
        <v>19502</v>
      </c>
      <c r="H120" t="s">
        <v>4871</v>
      </c>
      <c r="I120" t="s">
        <v>5191</v>
      </c>
      <c r="J120">
        <v>1.5</v>
      </c>
      <c r="K120" t="s">
        <v>4744</v>
      </c>
      <c r="L120">
        <v>22.5</v>
      </c>
      <c r="M120">
        <v>15</v>
      </c>
      <c r="O120" t="s">
        <v>464</v>
      </c>
    </row>
    <row r="121" spans="1:15" x14ac:dyDescent="0.3">
      <c r="A121">
        <v>242732</v>
      </c>
      <c r="B121">
        <v>105</v>
      </c>
      <c r="C121" t="s">
        <v>557</v>
      </c>
      <c r="D121" t="s">
        <v>2581</v>
      </c>
      <c r="E121" t="s">
        <v>2584</v>
      </c>
      <c r="F121" s="451">
        <v>46203</v>
      </c>
      <c r="G121">
        <v>19737</v>
      </c>
      <c r="H121" t="s">
        <v>4940</v>
      </c>
      <c r="I121" t="s">
        <v>5191</v>
      </c>
      <c r="J121">
        <v>2</v>
      </c>
      <c r="K121" t="s">
        <v>4744</v>
      </c>
      <c r="L121">
        <v>11</v>
      </c>
      <c r="M121">
        <v>5.5</v>
      </c>
      <c r="O121" t="s">
        <v>464</v>
      </c>
    </row>
    <row r="122" spans="1:15" x14ac:dyDescent="0.3">
      <c r="A122">
        <v>242730</v>
      </c>
      <c r="B122">
        <v>105</v>
      </c>
      <c r="C122" t="s">
        <v>557</v>
      </c>
      <c r="D122" t="s">
        <v>2585</v>
      </c>
      <c r="E122" t="s">
        <v>2586</v>
      </c>
      <c r="F122" s="451">
        <v>46201</v>
      </c>
      <c r="G122">
        <v>27264</v>
      </c>
      <c r="H122" t="s">
        <v>5075</v>
      </c>
      <c r="I122" t="s">
        <v>5191</v>
      </c>
      <c r="J122">
        <v>23.72</v>
      </c>
      <c r="K122" t="s">
        <v>4744</v>
      </c>
      <c r="L122">
        <v>1209.82</v>
      </c>
      <c r="M122">
        <v>51.004216</v>
      </c>
      <c r="O122" t="s">
        <v>464</v>
      </c>
    </row>
    <row r="123" spans="1:15" x14ac:dyDescent="0.3">
      <c r="A123">
        <v>242730</v>
      </c>
      <c r="B123">
        <v>105</v>
      </c>
      <c r="C123" t="s">
        <v>557</v>
      </c>
      <c r="D123" t="s">
        <v>2585</v>
      </c>
      <c r="E123" t="s">
        <v>2586</v>
      </c>
      <c r="F123" s="451">
        <v>46201</v>
      </c>
      <c r="G123">
        <v>18822</v>
      </c>
      <c r="H123" t="s">
        <v>4811</v>
      </c>
      <c r="I123" t="s">
        <v>5191</v>
      </c>
      <c r="J123">
        <v>23.72</v>
      </c>
      <c r="K123" t="s">
        <v>4744</v>
      </c>
      <c r="L123">
        <v>1319.18</v>
      </c>
      <c r="M123">
        <v>55.614671000000001</v>
      </c>
      <c r="O123" t="s">
        <v>464</v>
      </c>
    </row>
    <row r="124" spans="1:15" x14ac:dyDescent="0.3">
      <c r="A124">
        <v>242726</v>
      </c>
      <c r="B124">
        <v>105</v>
      </c>
      <c r="C124" t="s">
        <v>557</v>
      </c>
      <c r="D124" t="s">
        <v>2585</v>
      </c>
      <c r="E124" t="s">
        <v>2587</v>
      </c>
      <c r="F124" s="451">
        <v>46188</v>
      </c>
      <c r="G124">
        <v>27264</v>
      </c>
      <c r="H124" t="s">
        <v>5075</v>
      </c>
      <c r="I124" t="s">
        <v>5191</v>
      </c>
      <c r="J124">
        <v>2</v>
      </c>
      <c r="K124" t="s">
        <v>4744</v>
      </c>
      <c r="L124">
        <v>1291.74</v>
      </c>
      <c r="M124">
        <v>645.87</v>
      </c>
      <c r="O124" t="s">
        <v>464</v>
      </c>
    </row>
    <row r="125" spans="1:15" x14ac:dyDescent="0.3">
      <c r="A125">
        <v>242726</v>
      </c>
      <c r="B125">
        <v>105</v>
      </c>
      <c r="C125" t="s">
        <v>557</v>
      </c>
      <c r="D125" t="s">
        <v>2585</v>
      </c>
      <c r="E125" t="s">
        <v>2587</v>
      </c>
      <c r="F125" s="451">
        <v>46188</v>
      </c>
      <c r="G125">
        <v>18822</v>
      </c>
      <c r="H125" t="s">
        <v>4811</v>
      </c>
      <c r="I125" t="s">
        <v>5191</v>
      </c>
      <c r="J125">
        <v>3</v>
      </c>
      <c r="K125" t="s">
        <v>4744</v>
      </c>
      <c r="L125">
        <v>3460.95</v>
      </c>
      <c r="M125">
        <v>1153.6500000000001</v>
      </c>
      <c r="O125" t="s">
        <v>464</v>
      </c>
    </row>
    <row r="126" spans="1:15" x14ac:dyDescent="0.3">
      <c r="A126">
        <v>242724</v>
      </c>
      <c r="B126">
        <v>105</v>
      </c>
      <c r="C126" t="s">
        <v>557</v>
      </c>
      <c r="D126" t="s">
        <v>2588</v>
      </c>
      <c r="E126" t="s">
        <v>2589</v>
      </c>
      <c r="F126" s="451">
        <v>46202</v>
      </c>
      <c r="G126">
        <v>20301</v>
      </c>
      <c r="H126" t="s">
        <v>4944</v>
      </c>
      <c r="I126" t="s">
        <v>5191</v>
      </c>
      <c r="J126">
        <v>13</v>
      </c>
      <c r="K126" t="s">
        <v>4738</v>
      </c>
      <c r="L126">
        <v>273</v>
      </c>
      <c r="M126">
        <v>21</v>
      </c>
      <c r="O126" t="s">
        <v>464</v>
      </c>
    </row>
    <row r="127" spans="1:15" x14ac:dyDescent="0.3">
      <c r="A127">
        <v>242724</v>
      </c>
      <c r="B127">
        <v>105</v>
      </c>
      <c r="C127" t="s">
        <v>557</v>
      </c>
      <c r="D127" t="s">
        <v>2588</v>
      </c>
      <c r="E127" t="s">
        <v>2589</v>
      </c>
      <c r="F127" s="451">
        <v>46202</v>
      </c>
      <c r="G127">
        <v>29895</v>
      </c>
      <c r="H127" t="s">
        <v>5234</v>
      </c>
      <c r="I127" t="s">
        <v>5191</v>
      </c>
      <c r="J127">
        <v>3</v>
      </c>
      <c r="K127" t="s">
        <v>4736</v>
      </c>
      <c r="L127">
        <v>146.69999999999999</v>
      </c>
      <c r="M127">
        <v>48.9</v>
      </c>
      <c r="O127" t="s">
        <v>464</v>
      </c>
    </row>
    <row r="128" spans="1:15" x14ac:dyDescent="0.3">
      <c r="A128">
        <v>242721</v>
      </c>
      <c r="B128">
        <v>105</v>
      </c>
      <c r="C128" t="s">
        <v>557</v>
      </c>
      <c r="D128" t="s">
        <v>2590</v>
      </c>
      <c r="E128" t="s">
        <v>2591</v>
      </c>
      <c r="F128" s="451">
        <v>46203</v>
      </c>
      <c r="G128">
        <v>17895</v>
      </c>
      <c r="H128" t="s">
        <v>5086</v>
      </c>
      <c r="I128" t="s">
        <v>5222</v>
      </c>
      <c r="J128">
        <v>3</v>
      </c>
      <c r="K128" t="s">
        <v>4738</v>
      </c>
      <c r="L128">
        <v>84.96</v>
      </c>
      <c r="M128">
        <v>28.32</v>
      </c>
      <c r="O128" t="s">
        <v>464</v>
      </c>
    </row>
    <row r="129" spans="1:15" x14ac:dyDescent="0.3">
      <c r="A129">
        <v>242721</v>
      </c>
      <c r="B129">
        <v>105</v>
      </c>
      <c r="C129" t="s">
        <v>557</v>
      </c>
      <c r="D129" t="s">
        <v>2590</v>
      </c>
      <c r="E129" t="s">
        <v>2591</v>
      </c>
      <c r="F129" s="451">
        <v>46203</v>
      </c>
      <c r="G129">
        <v>18636</v>
      </c>
      <c r="H129" t="s">
        <v>4964</v>
      </c>
      <c r="I129" t="s">
        <v>5222</v>
      </c>
      <c r="J129">
        <v>5</v>
      </c>
      <c r="K129" t="s">
        <v>4965</v>
      </c>
      <c r="L129">
        <v>2414</v>
      </c>
      <c r="M129">
        <v>482.8</v>
      </c>
      <c r="O129" t="s">
        <v>464</v>
      </c>
    </row>
    <row r="130" spans="1:15" x14ac:dyDescent="0.3">
      <c r="A130">
        <v>242721</v>
      </c>
      <c r="B130">
        <v>105</v>
      </c>
      <c r="C130" t="s">
        <v>557</v>
      </c>
      <c r="D130" t="s">
        <v>2590</v>
      </c>
      <c r="E130" t="s">
        <v>2591</v>
      </c>
      <c r="F130" s="451">
        <v>46203</v>
      </c>
      <c r="G130">
        <v>18004</v>
      </c>
      <c r="H130" t="s">
        <v>5093</v>
      </c>
      <c r="I130" t="s">
        <v>5222</v>
      </c>
      <c r="J130">
        <v>4</v>
      </c>
      <c r="K130" t="s">
        <v>4738</v>
      </c>
      <c r="L130">
        <v>102.12</v>
      </c>
      <c r="M130">
        <v>25.53</v>
      </c>
      <c r="O130" t="s">
        <v>464</v>
      </c>
    </row>
    <row r="131" spans="1:15" x14ac:dyDescent="0.3">
      <c r="A131">
        <v>242721</v>
      </c>
      <c r="B131">
        <v>105</v>
      </c>
      <c r="C131" t="s">
        <v>557</v>
      </c>
      <c r="D131" t="s">
        <v>2590</v>
      </c>
      <c r="E131" t="s">
        <v>2591</v>
      </c>
      <c r="F131" s="451">
        <v>46203</v>
      </c>
      <c r="G131">
        <v>26505</v>
      </c>
      <c r="H131" t="s">
        <v>4750</v>
      </c>
      <c r="I131" t="s">
        <v>5222</v>
      </c>
      <c r="J131">
        <v>3</v>
      </c>
      <c r="K131" t="s">
        <v>4738</v>
      </c>
      <c r="L131">
        <v>648</v>
      </c>
      <c r="M131">
        <v>216</v>
      </c>
      <c r="O131" t="s">
        <v>464</v>
      </c>
    </row>
    <row r="132" spans="1:15" x14ac:dyDescent="0.3">
      <c r="A132">
        <v>242721</v>
      </c>
      <c r="B132">
        <v>105</v>
      </c>
      <c r="C132" t="s">
        <v>557</v>
      </c>
      <c r="D132" t="s">
        <v>2590</v>
      </c>
      <c r="E132" t="s">
        <v>2591</v>
      </c>
      <c r="F132" s="451">
        <v>46203</v>
      </c>
      <c r="G132">
        <v>17883</v>
      </c>
      <c r="H132" t="s">
        <v>5113</v>
      </c>
      <c r="I132" t="s">
        <v>5222</v>
      </c>
      <c r="J132">
        <v>3</v>
      </c>
      <c r="K132" t="s">
        <v>4738</v>
      </c>
      <c r="L132">
        <v>84.96</v>
      </c>
      <c r="M132">
        <v>28.32</v>
      </c>
      <c r="O132" t="s">
        <v>464</v>
      </c>
    </row>
    <row r="133" spans="1:15" x14ac:dyDescent="0.3">
      <c r="A133">
        <v>242721</v>
      </c>
      <c r="B133">
        <v>105</v>
      </c>
      <c r="C133" t="s">
        <v>557</v>
      </c>
      <c r="D133" t="s">
        <v>2590</v>
      </c>
      <c r="E133" t="s">
        <v>2591</v>
      </c>
      <c r="F133" s="451">
        <v>46203</v>
      </c>
      <c r="G133">
        <v>18589</v>
      </c>
      <c r="H133" t="s">
        <v>5089</v>
      </c>
      <c r="I133" t="s">
        <v>5222</v>
      </c>
      <c r="J133">
        <v>1</v>
      </c>
      <c r="K133" t="s">
        <v>4738</v>
      </c>
      <c r="L133">
        <v>96.64</v>
      </c>
      <c r="M133">
        <v>96.64</v>
      </c>
      <c r="O133" t="s">
        <v>464</v>
      </c>
    </row>
    <row r="134" spans="1:15" x14ac:dyDescent="0.3">
      <c r="A134">
        <v>242721</v>
      </c>
      <c r="B134">
        <v>105</v>
      </c>
      <c r="C134" t="s">
        <v>557</v>
      </c>
      <c r="D134" t="s">
        <v>2590</v>
      </c>
      <c r="E134" t="s">
        <v>2591</v>
      </c>
      <c r="F134" s="451">
        <v>46203</v>
      </c>
      <c r="G134">
        <v>18595</v>
      </c>
      <c r="H134" t="s">
        <v>5092</v>
      </c>
      <c r="I134" t="s">
        <v>5222</v>
      </c>
      <c r="J134">
        <v>1</v>
      </c>
      <c r="K134" t="s">
        <v>4738</v>
      </c>
      <c r="L134">
        <v>132</v>
      </c>
      <c r="M134">
        <v>132</v>
      </c>
      <c r="O134" t="s">
        <v>464</v>
      </c>
    </row>
    <row r="135" spans="1:15" x14ac:dyDescent="0.3">
      <c r="A135">
        <v>242721</v>
      </c>
      <c r="B135">
        <v>105</v>
      </c>
      <c r="C135" t="s">
        <v>557</v>
      </c>
      <c r="D135" t="s">
        <v>2590</v>
      </c>
      <c r="E135" t="s">
        <v>2591</v>
      </c>
      <c r="F135" s="451">
        <v>46203</v>
      </c>
      <c r="G135">
        <v>18579</v>
      </c>
      <c r="H135" t="s">
        <v>5087</v>
      </c>
      <c r="I135" t="s">
        <v>5222</v>
      </c>
      <c r="J135">
        <v>3</v>
      </c>
      <c r="K135" t="s">
        <v>4749</v>
      </c>
      <c r="L135">
        <v>491.76</v>
      </c>
      <c r="M135">
        <v>163.92</v>
      </c>
      <c r="O135" t="s">
        <v>464</v>
      </c>
    </row>
    <row r="136" spans="1:15" x14ac:dyDescent="0.3">
      <c r="A136">
        <v>242721</v>
      </c>
      <c r="B136">
        <v>105</v>
      </c>
      <c r="C136" t="s">
        <v>557</v>
      </c>
      <c r="D136" t="s">
        <v>2590</v>
      </c>
      <c r="E136" t="s">
        <v>2591</v>
      </c>
      <c r="F136" s="451">
        <v>46203</v>
      </c>
      <c r="G136">
        <v>18586</v>
      </c>
      <c r="H136" t="s">
        <v>4966</v>
      </c>
      <c r="I136" t="s">
        <v>5222</v>
      </c>
      <c r="J136">
        <v>1</v>
      </c>
      <c r="K136" t="s">
        <v>4738</v>
      </c>
      <c r="L136">
        <v>132.07</v>
      </c>
      <c r="M136">
        <v>132.07</v>
      </c>
      <c r="O136" t="s">
        <v>464</v>
      </c>
    </row>
    <row r="137" spans="1:15" x14ac:dyDescent="0.3">
      <c r="A137">
        <v>242721</v>
      </c>
      <c r="B137">
        <v>105</v>
      </c>
      <c r="C137" t="s">
        <v>557</v>
      </c>
      <c r="D137" t="s">
        <v>2590</v>
      </c>
      <c r="E137" t="s">
        <v>2591</v>
      </c>
      <c r="F137" s="451">
        <v>46203</v>
      </c>
      <c r="G137">
        <v>24141</v>
      </c>
      <c r="H137" t="s">
        <v>5088</v>
      </c>
      <c r="I137" t="s">
        <v>5222</v>
      </c>
      <c r="J137">
        <v>6</v>
      </c>
      <c r="K137" t="s">
        <v>4749</v>
      </c>
      <c r="L137">
        <v>908.7</v>
      </c>
      <c r="M137">
        <v>151.44999999999999</v>
      </c>
      <c r="O137" t="s">
        <v>464</v>
      </c>
    </row>
    <row r="138" spans="1:15" x14ac:dyDescent="0.3">
      <c r="A138">
        <v>242721</v>
      </c>
      <c r="B138">
        <v>105</v>
      </c>
      <c r="C138" t="s">
        <v>557</v>
      </c>
      <c r="D138" t="s">
        <v>2590</v>
      </c>
      <c r="E138" t="s">
        <v>2591</v>
      </c>
      <c r="F138" s="451">
        <v>46203</v>
      </c>
      <c r="G138">
        <v>24981</v>
      </c>
      <c r="H138" t="s">
        <v>5140</v>
      </c>
      <c r="I138" t="s">
        <v>5222</v>
      </c>
      <c r="J138">
        <v>1</v>
      </c>
      <c r="K138" t="s">
        <v>4965</v>
      </c>
      <c r="L138">
        <v>435</v>
      </c>
      <c r="M138">
        <v>435</v>
      </c>
      <c r="O138" t="s">
        <v>464</v>
      </c>
    </row>
    <row r="139" spans="1:15" x14ac:dyDescent="0.3">
      <c r="A139">
        <v>242721</v>
      </c>
      <c r="B139">
        <v>105</v>
      </c>
      <c r="C139" t="s">
        <v>557</v>
      </c>
      <c r="D139" t="s">
        <v>2590</v>
      </c>
      <c r="E139" t="s">
        <v>2591</v>
      </c>
      <c r="F139" s="451">
        <v>46203</v>
      </c>
      <c r="G139">
        <v>17916</v>
      </c>
      <c r="H139" t="s">
        <v>5235</v>
      </c>
      <c r="I139" t="s">
        <v>5222</v>
      </c>
      <c r="J139">
        <v>4</v>
      </c>
      <c r="K139" t="s">
        <v>4738</v>
      </c>
      <c r="L139">
        <v>115.2</v>
      </c>
      <c r="M139">
        <v>28.8</v>
      </c>
      <c r="O139" t="s">
        <v>464</v>
      </c>
    </row>
    <row r="140" spans="1:15" x14ac:dyDescent="0.3">
      <c r="A140">
        <v>242721</v>
      </c>
      <c r="B140">
        <v>105</v>
      </c>
      <c r="C140" t="s">
        <v>557</v>
      </c>
      <c r="D140" t="s">
        <v>2590</v>
      </c>
      <c r="E140" t="s">
        <v>2591</v>
      </c>
      <c r="F140" s="451">
        <v>46203</v>
      </c>
      <c r="G140">
        <v>27018</v>
      </c>
      <c r="H140" t="s">
        <v>4737</v>
      </c>
      <c r="I140" t="s">
        <v>5222</v>
      </c>
      <c r="J140">
        <v>1</v>
      </c>
      <c r="K140" t="s">
        <v>4738</v>
      </c>
      <c r="L140">
        <v>79.64</v>
      </c>
      <c r="M140">
        <v>79.64</v>
      </c>
      <c r="O140" t="s">
        <v>464</v>
      </c>
    </row>
    <row r="141" spans="1:15" x14ac:dyDescent="0.3">
      <c r="A141">
        <v>242721</v>
      </c>
      <c r="B141">
        <v>105</v>
      </c>
      <c r="C141" t="s">
        <v>557</v>
      </c>
      <c r="D141" t="s">
        <v>2590</v>
      </c>
      <c r="E141" t="s">
        <v>2591</v>
      </c>
      <c r="F141" s="451">
        <v>46203</v>
      </c>
      <c r="G141">
        <v>25561</v>
      </c>
      <c r="H141" t="s">
        <v>5095</v>
      </c>
      <c r="I141" t="s">
        <v>5222</v>
      </c>
      <c r="J141">
        <v>1</v>
      </c>
      <c r="K141" t="s">
        <v>4738</v>
      </c>
      <c r="L141">
        <v>132</v>
      </c>
      <c r="M141">
        <v>132</v>
      </c>
      <c r="O141" t="s">
        <v>464</v>
      </c>
    </row>
    <row r="142" spans="1:15" x14ac:dyDescent="0.3">
      <c r="A142">
        <v>242721</v>
      </c>
      <c r="B142">
        <v>105</v>
      </c>
      <c r="C142" t="s">
        <v>557</v>
      </c>
      <c r="D142" t="s">
        <v>2590</v>
      </c>
      <c r="E142" t="s">
        <v>2591</v>
      </c>
      <c r="F142" s="451">
        <v>46203</v>
      </c>
      <c r="G142">
        <v>17886</v>
      </c>
      <c r="H142" t="s">
        <v>5083</v>
      </c>
      <c r="I142" t="s">
        <v>5222</v>
      </c>
      <c r="J142">
        <v>5</v>
      </c>
      <c r="K142" t="s">
        <v>4738</v>
      </c>
      <c r="L142">
        <v>141.6</v>
      </c>
      <c r="M142">
        <v>28.32</v>
      </c>
      <c r="O142" t="s">
        <v>464</v>
      </c>
    </row>
    <row r="143" spans="1:15" x14ac:dyDescent="0.3">
      <c r="A143">
        <v>242310</v>
      </c>
      <c r="B143">
        <v>105</v>
      </c>
      <c r="C143" t="s">
        <v>557</v>
      </c>
      <c r="D143" t="s">
        <v>2563</v>
      </c>
      <c r="E143" t="s">
        <v>2592</v>
      </c>
      <c r="F143" s="451">
        <v>46202</v>
      </c>
      <c r="G143">
        <v>19634</v>
      </c>
      <c r="H143" t="s">
        <v>4792</v>
      </c>
      <c r="I143" t="s">
        <v>5191</v>
      </c>
      <c r="J143">
        <v>3</v>
      </c>
      <c r="K143" t="s">
        <v>4744</v>
      </c>
      <c r="L143">
        <v>20.88</v>
      </c>
      <c r="M143">
        <v>6.96</v>
      </c>
      <c r="O143" t="s">
        <v>464</v>
      </c>
    </row>
    <row r="144" spans="1:15" x14ac:dyDescent="0.3">
      <c r="A144">
        <v>242310</v>
      </c>
      <c r="B144">
        <v>105</v>
      </c>
      <c r="C144" t="s">
        <v>557</v>
      </c>
      <c r="D144" t="s">
        <v>2563</v>
      </c>
      <c r="E144" t="s">
        <v>2592</v>
      </c>
      <c r="F144" s="451">
        <v>46202</v>
      </c>
      <c r="G144">
        <v>19658</v>
      </c>
      <c r="H144" t="s">
        <v>4784</v>
      </c>
      <c r="I144" t="s">
        <v>5191</v>
      </c>
      <c r="J144">
        <v>3.9</v>
      </c>
      <c r="K144" t="s">
        <v>4744</v>
      </c>
      <c r="L144">
        <v>14.43</v>
      </c>
      <c r="M144">
        <v>3.7</v>
      </c>
      <c r="O144" t="s">
        <v>464</v>
      </c>
    </row>
    <row r="145" spans="1:15" x14ac:dyDescent="0.3">
      <c r="A145">
        <v>242310</v>
      </c>
      <c r="B145">
        <v>105</v>
      </c>
      <c r="C145" t="s">
        <v>557</v>
      </c>
      <c r="D145" t="s">
        <v>2563</v>
      </c>
      <c r="E145" t="s">
        <v>2592</v>
      </c>
      <c r="F145" s="451">
        <v>46202</v>
      </c>
      <c r="G145">
        <v>19734</v>
      </c>
      <c r="H145" t="s">
        <v>4833</v>
      </c>
      <c r="I145" t="s">
        <v>5191</v>
      </c>
      <c r="J145">
        <v>3</v>
      </c>
      <c r="K145" t="s">
        <v>4744</v>
      </c>
      <c r="L145">
        <v>41.34</v>
      </c>
      <c r="M145">
        <v>13.78</v>
      </c>
      <c r="O145" t="s">
        <v>464</v>
      </c>
    </row>
    <row r="146" spans="1:15" x14ac:dyDescent="0.3">
      <c r="A146">
        <v>242310</v>
      </c>
      <c r="B146">
        <v>105</v>
      </c>
      <c r="C146" t="s">
        <v>557</v>
      </c>
      <c r="D146" t="s">
        <v>2563</v>
      </c>
      <c r="E146" t="s">
        <v>2592</v>
      </c>
      <c r="F146" s="451">
        <v>46202</v>
      </c>
      <c r="G146">
        <v>19480</v>
      </c>
      <c r="H146" t="s">
        <v>5119</v>
      </c>
      <c r="I146" t="s">
        <v>5191</v>
      </c>
      <c r="J146">
        <v>0.3</v>
      </c>
      <c r="K146" t="s">
        <v>4744</v>
      </c>
      <c r="L146">
        <v>7.37</v>
      </c>
      <c r="M146">
        <v>24.566666999999999</v>
      </c>
      <c r="O146" t="s">
        <v>464</v>
      </c>
    </row>
    <row r="147" spans="1:15" x14ac:dyDescent="0.3">
      <c r="A147">
        <v>242310</v>
      </c>
      <c r="B147">
        <v>105</v>
      </c>
      <c r="C147" t="s">
        <v>557</v>
      </c>
      <c r="D147" t="s">
        <v>2563</v>
      </c>
      <c r="E147" t="s">
        <v>2592</v>
      </c>
      <c r="F147" s="451">
        <v>46202</v>
      </c>
      <c r="G147">
        <v>24037</v>
      </c>
      <c r="H147" t="s">
        <v>5233</v>
      </c>
      <c r="I147" t="s">
        <v>5191</v>
      </c>
      <c r="J147">
        <v>3</v>
      </c>
      <c r="K147" t="s">
        <v>4744</v>
      </c>
      <c r="L147">
        <v>52.5</v>
      </c>
      <c r="M147">
        <v>17.5</v>
      </c>
      <c r="O147" t="s">
        <v>464</v>
      </c>
    </row>
    <row r="148" spans="1:15" x14ac:dyDescent="0.3">
      <c r="A148">
        <v>242310</v>
      </c>
      <c r="B148">
        <v>105</v>
      </c>
      <c r="C148" t="s">
        <v>557</v>
      </c>
      <c r="D148" t="s">
        <v>2563</v>
      </c>
      <c r="E148" t="s">
        <v>2592</v>
      </c>
      <c r="F148" s="451">
        <v>46202</v>
      </c>
      <c r="G148">
        <v>23359</v>
      </c>
      <c r="H148" t="s">
        <v>4767</v>
      </c>
      <c r="I148" t="s">
        <v>5191</v>
      </c>
      <c r="J148">
        <v>8</v>
      </c>
      <c r="K148" t="s">
        <v>4744</v>
      </c>
      <c r="L148">
        <v>23.2</v>
      </c>
      <c r="M148">
        <v>2.9</v>
      </c>
      <c r="O148" t="s">
        <v>464</v>
      </c>
    </row>
    <row r="149" spans="1:15" x14ac:dyDescent="0.3">
      <c r="A149">
        <v>242309</v>
      </c>
      <c r="B149">
        <v>105</v>
      </c>
      <c r="C149" t="s">
        <v>557</v>
      </c>
      <c r="D149" t="s">
        <v>2593</v>
      </c>
      <c r="E149" t="s">
        <v>2594</v>
      </c>
      <c r="F149" s="451">
        <v>46199</v>
      </c>
      <c r="G149">
        <v>18732</v>
      </c>
      <c r="H149" t="s">
        <v>5156</v>
      </c>
      <c r="I149" t="s">
        <v>5191</v>
      </c>
      <c r="J149">
        <v>12</v>
      </c>
      <c r="K149" t="s">
        <v>4744</v>
      </c>
      <c r="L149">
        <v>826.8</v>
      </c>
      <c r="M149">
        <v>68.900000000000006</v>
      </c>
      <c r="O149" t="s">
        <v>464</v>
      </c>
    </row>
    <row r="150" spans="1:15" x14ac:dyDescent="0.3">
      <c r="A150">
        <v>242307</v>
      </c>
      <c r="B150">
        <v>105</v>
      </c>
      <c r="C150" t="s">
        <v>557</v>
      </c>
      <c r="D150" t="s">
        <v>2595</v>
      </c>
      <c r="E150" t="s">
        <v>2596</v>
      </c>
      <c r="F150" s="451">
        <v>46202</v>
      </c>
      <c r="G150">
        <v>25777</v>
      </c>
      <c r="H150" t="s">
        <v>4774</v>
      </c>
      <c r="I150" t="s">
        <v>5191</v>
      </c>
      <c r="J150">
        <v>27.04</v>
      </c>
      <c r="K150" t="s">
        <v>4744</v>
      </c>
      <c r="L150">
        <v>2419.81</v>
      </c>
      <c r="M150">
        <v>89.490015</v>
      </c>
      <c r="O150" t="s">
        <v>464</v>
      </c>
    </row>
    <row r="151" spans="1:15" x14ac:dyDescent="0.3">
      <c r="A151">
        <v>242307</v>
      </c>
      <c r="B151">
        <v>105</v>
      </c>
      <c r="C151" t="s">
        <v>557</v>
      </c>
      <c r="D151" t="s">
        <v>2595</v>
      </c>
      <c r="E151" t="s">
        <v>2596</v>
      </c>
      <c r="F151" s="451">
        <v>46202</v>
      </c>
      <c r="G151">
        <v>24259</v>
      </c>
      <c r="H151" t="s">
        <v>4875</v>
      </c>
      <c r="I151" t="s">
        <v>5191</v>
      </c>
      <c r="J151">
        <v>24.68</v>
      </c>
      <c r="K151" t="s">
        <v>4744</v>
      </c>
      <c r="L151">
        <v>1900.11</v>
      </c>
      <c r="M151">
        <v>76.989869999999996</v>
      </c>
      <c r="O151" t="s">
        <v>464</v>
      </c>
    </row>
    <row r="152" spans="1:15" x14ac:dyDescent="0.3">
      <c r="A152">
        <v>242306</v>
      </c>
      <c r="B152">
        <v>105</v>
      </c>
      <c r="C152" t="s">
        <v>557</v>
      </c>
      <c r="D152" t="s">
        <v>2597</v>
      </c>
      <c r="E152" t="s">
        <v>2598</v>
      </c>
      <c r="F152" s="451">
        <v>46203</v>
      </c>
      <c r="G152">
        <v>19017</v>
      </c>
      <c r="H152" t="s">
        <v>5174</v>
      </c>
      <c r="I152" t="s">
        <v>5191</v>
      </c>
      <c r="J152">
        <v>7</v>
      </c>
      <c r="K152" t="s">
        <v>4744</v>
      </c>
      <c r="L152">
        <v>106.4</v>
      </c>
      <c r="M152">
        <v>15.2</v>
      </c>
      <c r="O152" t="s">
        <v>464</v>
      </c>
    </row>
    <row r="153" spans="1:15" x14ac:dyDescent="0.3">
      <c r="A153">
        <v>242306</v>
      </c>
      <c r="B153">
        <v>105</v>
      </c>
      <c r="C153" t="s">
        <v>557</v>
      </c>
      <c r="D153" t="s">
        <v>2597</v>
      </c>
      <c r="E153" t="s">
        <v>2598</v>
      </c>
      <c r="F153" s="451">
        <v>46203</v>
      </c>
      <c r="G153">
        <v>24278</v>
      </c>
      <c r="H153" t="s">
        <v>4901</v>
      </c>
      <c r="I153" t="s">
        <v>5191</v>
      </c>
      <c r="J153">
        <v>6.8</v>
      </c>
      <c r="K153" t="s">
        <v>4744</v>
      </c>
      <c r="L153">
        <v>64.599999999999994</v>
      </c>
      <c r="M153">
        <v>9.5</v>
      </c>
      <c r="O153" t="s">
        <v>464</v>
      </c>
    </row>
    <row r="154" spans="1:15" x14ac:dyDescent="0.3">
      <c r="A154">
        <v>242306</v>
      </c>
      <c r="B154">
        <v>105</v>
      </c>
      <c r="C154" t="s">
        <v>557</v>
      </c>
      <c r="D154" t="s">
        <v>2597</v>
      </c>
      <c r="E154" t="s">
        <v>2598</v>
      </c>
      <c r="F154" s="451">
        <v>46203</v>
      </c>
      <c r="G154">
        <v>24116</v>
      </c>
      <c r="H154" t="s">
        <v>4777</v>
      </c>
      <c r="I154" t="s">
        <v>5191</v>
      </c>
      <c r="J154">
        <v>5</v>
      </c>
      <c r="K154" t="s">
        <v>4744</v>
      </c>
      <c r="L154">
        <v>224.5</v>
      </c>
      <c r="M154">
        <v>44.9</v>
      </c>
      <c r="O154" t="s">
        <v>464</v>
      </c>
    </row>
    <row r="155" spans="1:15" x14ac:dyDescent="0.3">
      <c r="A155">
        <v>242306</v>
      </c>
      <c r="B155">
        <v>105</v>
      </c>
      <c r="C155" t="s">
        <v>557</v>
      </c>
      <c r="D155" t="s">
        <v>2597</v>
      </c>
      <c r="E155" t="s">
        <v>2598</v>
      </c>
      <c r="F155" s="451">
        <v>46203</v>
      </c>
      <c r="G155">
        <v>20501</v>
      </c>
      <c r="H155" t="s">
        <v>4760</v>
      </c>
      <c r="I155" t="s">
        <v>5191</v>
      </c>
      <c r="J155">
        <v>25</v>
      </c>
      <c r="K155" t="s">
        <v>4744</v>
      </c>
      <c r="L155">
        <v>547.5</v>
      </c>
      <c r="M155">
        <v>21.9</v>
      </c>
      <c r="O155" t="s">
        <v>464</v>
      </c>
    </row>
    <row r="156" spans="1:15" x14ac:dyDescent="0.3">
      <c r="A156">
        <v>242305</v>
      </c>
      <c r="B156">
        <v>105</v>
      </c>
      <c r="C156" t="s">
        <v>557</v>
      </c>
      <c r="D156" t="s">
        <v>2597</v>
      </c>
      <c r="E156" t="s">
        <v>2599</v>
      </c>
      <c r="F156" s="451">
        <v>46188</v>
      </c>
      <c r="G156">
        <v>24117</v>
      </c>
      <c r="H156" t="s">
        <v>5236</v>
      </c>
      <c r="I156" t="s">
        <v>5191</v>
      </c>
      <c r="J156">
        <v>5</v>
      </c>
      <c r="K156" t="s">
        <v>4744</v>
      </c>
      <c r="L156">
        <v>224.5</v>
      </c>
      <c r="M156">
        <v>44.9</v>
      </c>
      <c r="O156" t="s">
        <v>464</v>
      </c>
    </row>
    <row r="157" spans="1:15" x14ac:dyDescent="0.3">
      <c r="A157">
        <v>242305</v>
      </c>
      <c r="B157">
        <v>105</v>
      </c>
      <c r="C157" t="s">
        <v>557</v>
      </c>
      <c r="D157" t="s">
        <v>2597</v>
      </c>
      <c r="E157" t="s">
        <v>2599</v>
      </c>
      <c r="F157" s="451">
        <v>46188</v>
      </c>
      <c r="G157">
        <v>24278</v>
      </c>
      <c r="H157" t="s">
        <v>4901</v>
      </c>
      <c r="I157" t="s">
        <v>5191</v>
      </c>
      <c r="J157">
        <v>5.8</v>
      </c>
      <c r="K157" t="s">
        <v>4744</v>
      </c>
      <c r="L157">
        <v>55.1</v>
      </c>
      <c r="M157">
        <v>9.5</v>
      </c>
      <c r="O157" t="s">
        <v>464</v>
      </c>
    </row>
    <row r="158" spans="1:15" x14ac:dyDescent="0.3">
      <c r="A158">
        <v>242305</v>
      </c>
      <c r="B158">
        <v>105</v>
      </c>
      <c r="C158" t="s">
        <v>557</v>
      </c>
      <c r="D158" t="s">
        <v>2597</v>
      </c>
      <c r="E158" t="s">
        <v>2599</v>
      </c>
      <c r="F158" s="451">
        <v>46188</v>
      </c>
      <c r="G158">
        <v>25205</v>
      </c>
      <c r="H158" t="s">
        <v>4850</v>
      </c>
      <c r="I158" t="s">
        <v>5191</v>
      </c>
      <c r="J158">
        <v>10</v>
      </c>
      <c r="K158" t="s">
        <v>4744</v>
      </c>
      <c r="L158">
        <v>219.9</v>
      </c>
      <c r="M158">
        <v>21.99</v>
      </c>
      <c r="O158" t="s">
        <v>464</v>
      </c>
    </row>
    <row r="159" spans="1:15" x14ac:dyDescent="0.3">
      <c r="A159">
        <v>242305</v>
      </c>
      <c r="B159">
        <v>105</v>
      </c>
      <c r="C159" t="s">
        <v>557</v>
      </c>
      <c r="D159" t="s">
        <v>2597</v>
      </c>
      <c r="E159" t="s">
        <v>2599</v>
      </c>
      <c r="F159" s="451">
        <v>46188</v>
      </c>
      <c r="G159">
        <v>24096</v>
      </c>
      <c r="H159" t="s">
        <v>4771</v>
      </c>
      <c r="I159" t="s">
        <v>5191</v>
      </c>
      <c r="J159">
        <v>76.2</v>
      </c>
      <c r="K159" t="s">
        <v>4744</v>
      </c>
      <c r="L159">
        <v>2956.56</v>
      </c>
      <c r="M159">
        <v>38.799999999999997</v>
      </c>
      <c r="O159" t="s">
        <v>464</v>
      </c>
    </row>
    <row r="160" spans="1:15" x14ac:dyDescent="0.3">
      <c r="A160">
        <v>242305</v>
      </c>
      <c r="B160">
        <v>105</v>
      </c>
      <c r="C160" t="s">
        <v>557</v>
      </c>
      <c r="D160" t="s">
        <v>2597</v>
      </c>
      <c r="E160" t="s">
        <v>2599</v>
      </c>
      <c r="F160" s="451">
        <v>46188</v>
      </c>
      <c r="G160">
        <v>24217</v>
      </c>
      <c r="H160" t="s">
        <v>4778</v>
      </c>
      <c r="I160" t="s">
        <v>5191</v>
      </c>
      <c r="J160">
        <v>31.5</v>
      </c>
      <c r="K160" t="s">
        <v>4744</v>
      </c>
      <c r="L160">
        <v>1130.8499999999999</v>
      </c>
      <c r="M160">
        <v>35.9</v>
      </c>
      <c r="O160" t="s">
        <v>464</v>
      </c>
    </row>
    <row r="161" spans="1:15" x14ac:dyDescent="0.3">
      <c r="A161">
        <v>242304</v>
      </c>
      <c r="B161">
        <v>105</v>
      </c>
      <c r="C161" t="s">
        <v>557</v>
      </c>
      <c r="D161" t="s">
        <v>2600</v>
      </c>
      <c r="E161" t="s">
        <v>2601</v>
      </c>
      <c r="F161" s="451">
        <v>46203</v>
      </c>
      <c r="G161">
        <v>24197</v>
      </c>
      <c r="H161" t="s">
        <v>5237</v>
      </c>
      <c r="I161" t="s">
        <v>5191</v>
      </c>
      <c r="J161">
        <v>8.9</v>
      </c>
      <c r="K161" t="s">
        <v>4744</v>
      </c>
      <c r="L161">
        <v>177.91</v>
      </c>
      <c r="M161">
        <v>19.989888000000001</v>
      </c>
      <c r="O161" t="s">
        <v>464</v>
      </c>
    </row>
    <row r="162" spans="1:15" x14ac:dyDescent="0.3">
      <c r="A162">
        <v>242303</v>
      </c>
      <c r="B162">
        <v>105</v>
      </c>
      <c r="C162" t="s">
        <v>557</v>
      </c>
      <c r="D162" t="s">
        <v>2593</v>
      </c>
      <c r="E162" t="s">
        <v>2602</v>
      </c>
      <c r="F162" s="451">
        <v>46198</v>
      </c>
      <c r="G162">
        <v>24256</v>
      </c>
      <c r="H162" t="s">
        <v>4773</v>
      </c>
      <c r="I162" t="s">
        <v>5191</v>
      </c>
      <c r="J162">
        <v>20</v>
      </c>
      <c r="K162" t="s">
        <v>4744</v>
      </c>
      <c r="L162">
        <v>750</v>
      </c>
      <c r="M162">
        <v>37.5</v>
      </c>
      <c r="O162" t="s">
        <v>464</v>
      </c>
    </row>
    <row r="163" spans="1:15" x14ac:dyDescent="0.3">
      <c r="A163">
        <v>242302</v>
      </c>
      <c r="B163">
        <v>105</v>
      </c>
      <c r="C163" t="s">
        <v>557</v>
      </c>
      <c r="D163" t="s">
        <v>2603</v>
      </c>
      <c r="E163" t="s">
        <v>2604</v>
      </c>
      <c r="F163" s="451">
        <v>46203</v>
      </c>
      <c r="G163">
        <v>26679</v>
      </c>
      <c r="H163" t="s">
        <v>4791</v>
      </c>
      <c r="I163" t="s">
        <v>5191</v>
      </c>
      <c r="J163">
        <v>37.549999999999997</v>
      </c>
      <c r="K163" t="s">
        <v>4744</v>
      </c>
      <c r="L163">
        <v>1122.74</v>
      </c>
      <c r="M163">
        <v>29.899867</v>
      </c>
      <c r="O163" t="s">
        <v>464</v>
      </c>
    </row>
    <row r="164" spans="1:15" x14ac:dyDescent="0.3">
      <c r="A164">
        <v>242302</v>
      </c>
      <c r="B164">
        <v>105</v>
      </c>
      <c r="C164" t="s">
        <v>557</v>
      </c>
      <c r="D164" t="s">
        <v>2603</v>
      </c>
      <c r="E164" t="s">
        <v>2604</v>
      </c>
      <c r="F164" s="451">
        <v>46203</v>
      </c>
      <c r="G164">
        <v>19003</v>
      </c>
      <c r="H164" t="s">
        <v>4810</v>
      </c>
      <c r="I164" t="s">
        <v>5191</v>
      </c>
      <c r="J164">
        <v>16.149999999999999</v>
      </c>
      <c r="K164" t="s">
        <v>4744</v>
      </c>
      <c r="L164">
        <v>644.38</v>
      </c>
      <c r="M164">
        <v>39.89969</v>
      </c>
      <c r="O164" t="s">
        <v>464</v>
      </c>
    </row>
    <row r="165" spans="1:15" x14ac:dyDescent="0.3">
      <c r="A165">
        <v>242300</v>
      </c>
      <c r="B165">
        <v>105</v>
      </c>
      <c r="C165" t="s">
        <v>557</v>
      </c>
      <c r="D165" t="s">
        <v>2605</v>
      </c>
      <c r="E165" t="s">
        <v>2606</v>
      </c>
      <c r="F165" s="451">
        <v>46199</v>
      </c>
      <c r="G165">
        <v>19291</v>
      </c>
      <c r="H165" t="s">
        <v>4870</v>
      </c>
      <c r="I165" t="s">
        <v>5191</v>
      </c>
      <c r="J165">
        <v>8.58</v>
      </c>
      <c r="K165" t="s">
        <v>5238</v>
      </c>
      <c r="L165">
        <v>608.32000000000005</v>
      </c>
      <c r="M165">
        <v>70.899766999999997</v>
      </c>
      <c r="O165" t="s">
        <v>464</v>
      </c>
    </row>
    <row r="166" spans="1:15" x14ac:dyDescent="0.3">
      <c r="A166">
        <v>242300</v>
      </c>
      <c r="B166">
        <v>105</v>
      </c>
      <c r="C166" t="s">
        <v>557</v>
      </c>
      <c r="D166" t="s">
        <v>2605</v>
      </c>
      <c r="E166" t="s">
        <v>2606</v>
      </c>
      <c r="F166" s="451">
        <v>46199</v>
      </c>
      <c r="G166">
        <v>20689</v>
      </c>
      <c r="H166" t="s">
        <v>5007</v>
      </c>
      <c r="I166" t="s">
        <v>5191</v>
      </c>
      <c r="J166">
        <v>3</v>
      </c>
      <c r="K166" t="s">
        <v>4736</v>
      </c>
      <c r="L166">
        <v>96</v>
      </c>
      <c r="M166">
        <v>32</v>
      </c>
      <c r="O166" t="s">
        <v>464</v>
      </c>
    </row>
    <row r="167" spans="1:15" x14ac:dyDescent="0.3">
      <c r="A167">
        <v>242300</v>
      </c>
      <c r="B167">
        <v>105</v>
      </c>
      <c r="C167" t="s">
        <v>557</v>
      </c>
      <c r="D167" t="s">
        <v>2605</v>
      </c>
      <c r="E167" t="s">
        <v>2606</v>
      </c>
      <c r="F167" s="451">
        <v>46199</v>
      </c>
      <c r="G167">
        <v>23502</v>
      </c>
      <c r="H167" t="s">
        <v>4930</v>
      </c>
      <c r="I167" t="s">
        <v>5191</v>
      </c>
      <c r="J167">
        <v>4</v>
      </c>
      <c r="K167" t="s">
        <v>4744</v>
      </c>
      <c r="L167">
        <v>24.8</v>
      </c>
      <c r="M167">
        <v>6.2</v>
      </c>
      <c r="O167" t="s">
        <v>464</v>
      </c>
    </row>
    <row r="168" spans="1:15" x14ac:dyDescent="0.3">
      <c r="A168">
        <v>242300</v>
      </c>
      <c r="B168">
        <v>105</v>
      </c>
      <c r="C168" t="s">
        <v>557</v>
      </c>
      <c r="D168" t="s">
        <v>2605</v>
      </c>
      <c r="E168" t="s">
        <v>2606</v>
      </c>
      <c r="F168" s="451">
        <v>46199</v>
      </c>
      <c r="G168">
        <v>20122</v>
      </c>
      <c r="H168" t="s">
        <v>4781</v>
      </c>
      <c r="I168" t="s">
        <v>5191</v>
      </c>
      <c r="J168">
        <v>6</v>
      </c>
      <c r="K168" t="s">
        <v>4738</v>
      </c>
      <c r="L168">
        <v>86.28</v>
      </c>
      <c r="M168">
        <v>14.38</v>
      </c>
      <c r="O168" t="s">
        <v>464</v>
      </c>
    </row>
    <row r="169" spans="1:15" x14ac:dyDescent="0.3">
      <c r="A169">
        <v>242299</v>
      </c>
      <c r="B169">
        <v>105</v>
      </c>
      <c r="C169" t="s">
        <v>557</v>
      </c>
      <c r="D169" t="s">
        <v>2607</v>
      </c>
      <c r="E169" t="s">
        <v>2608</v>
      </c>
      <c r="F169" s="451">
        <v>46202</v>
      </c>
      <c r="G169">
        <v>24096</v>
      </c>
      <c r="H169" t="s">
        <v>4771</v>
      </c>
      <c r="I169" t="s">
        <v>5191</v>
      </c>
      <c r="J169">
        <v>40.770000000000003</v>
      </c>
      <c r="K169" t="s">
        <v>4744</v>
      </c>
      <c r="L169">
        <v>1590.03</v>
      </c>
      <c r="M169">
        <v>39</v>
      </c>
      <c r="O169" t="s">
        <v>464</v>
      </c>
    </row>
    <row r="170" spans="1:15" x14ac:dyDescent="0.3">
      <c r="A170">
        <v>242298</v>
      </c>
      <c r="B170">
        <v>105</v>
      </c>
      <c r="C170" t="s">
        <v>557</v>
      </c>
      <c r="D170" t="s">
        <v>2579</v>
      </c>
      <c r="E170" t="s">
        <v>2609</v>
      </c>
      <c r="F170" s="451">
        <v>46202</v>
      </c>
      <c r="G170">
        <v>23096</v>
      </c>
      <c r="H170" t="s">
        <v>5164</v>
      </c>
      <c r="I170" t="s">
        <v>5191</v>
      </c>
      <c r="J170">
        <v>120</v>
      </c>
      <c r="K170" t="s">
        <v>4736</v>
      </c>
      <c r="L170">
        <v>70.8</v>
      </c>
      <c r="M170">
        <v>0.59</v>
      </c>
      <c r="O170" t="s">
        <v>464</v>
      </c>
    </row>
    <row r="171" spans="1:15" x14ac:dyDescent="0.3">
      <c r="A171">
        <v>242298</v>
      </c>
      <c r="B171">
        <v>105</v>
      </c>
      <c r="C171" t="s">
        <v>557</v>
      </c>
      <c r="D171" t="s">
        <v>2579</v>
      </c>
      <c r="E171" t="s">
        <v>2609</v>
      </c>
      <c r="F171" s="451">
        <v>46202</v>
      </c>
      <c r="G171">
        <v>24509</v>
      </c>
      <c r="H171" t="s">
        <v>4788</v>
      </c>
      <c r="I171" t="s">
        <v>5191</v>
      </c>
      <c r="J171">
        <v>10</v>
      </c>
      <c r="K171" t="s">
        <v>4744</v>
      </c>
      <c r="L171">
        <v>53.3</v>
      </c>
      <c r="M171">
        <v>5.33</v>
      </c>
      <c r="O171" t="s">
        <v>464</v>
      </c>
    </row>
    <row r="172" spans="1:15" x14ac:dyDescent="0.3">
      <c r="A172">
        <v>242298</v>
      </c>
      <c r="B172">
        <v>105</v>
      </c>
      <c r="C172" t="s">
        <v>557</v>
      </c>
      <c r="D172" t="s">
        <v>2579</v>
      </c>
      <c r="E172" t="s">
        <v>2609</v>
      </c>
      <c r="F172" s="451">
        <v>46202</v>
      </c>
      <c r="G172">
        <v>23184</v>
      </c>
      <c r="H172" t="s">
        <v>4935</v>
      </c>
      <c r="I172" t="s">
        <v>5191</v>
      </c>
      <c r="J172">
        <v>2</v>
      </c>
      <c r="K172" t="s">
        <v>4744</v>
      </c>
      <c r="L172">
        <v>31.2</v>
      </c>
      <c r="M172">
        <v>15.6</v>
      </c>
      <c r="O172" t="s">
        <v>464</v>
      </c>
    </row>
    <row r="173" spans="1:15" x14ac:dyDescent="0.3">
      <c r="A173">
        <v>242298</v>
      </c>
      <c r="B173">
        <v>105</v>
      </c>
      <c r="C173" t="s">
        <v>557</v>
      </c>
      <c r="D173" t="s">
        <v>2579</v>
      </c>
      <c r="E173" t="s">
        <v>2609</v>
      </c>
      <c r="F173" s="451">
        <v>46202</v>
      </c>
      <c r="G173">
        <v>19532</v>
      </c>
      <c r="H173" t="s">
        <v>4753</v>
      </c>
      <c r="I173" t="s">
        <v>5191</v>
      </c>
      <c r="J173">
        <v>15</v>
      </c>
      <c r="K173" t="s">
        <v>4744</v>
      </c>
      <c r="L173">
        <v>136.5</v>
      </c>
      <c r="M173">
        <v>9.1</v>
      </c>
      <c r="O173" t="s">
        <v>464</v>
      </c>
    </row>
    <row r="174" spans="1:15" x14ac:dyDescent="0.3">
      <c r="A174">
        <v>242297</v>
      </c>
      <c r="B174">
        <v>105</v>
      </c>
      <c r="C174" t="s">
        <v>557</v>
      </c>
      <c r="D174" t="s">
        <v>2610</v>
      </c>
      <c r="E174" t="s">
        <v>2611</v>
      </c>
      <c r="F174" s="451">
        <v>46202</v>
      </c>
      <c r="G174">
        <v>27397</v>
      </c>
      <c r="H174" t="s">
        <v>4913</v>
      </c>
      <c r="I174" t="s">
        <v>5191</v>
      </c>
      <c r="J174">
        <v>6</v>
      </c>
      <c r="K174" t="s">
        <v>4736</v>
      </c>
      <c r="L174">
        <v>349.2</v>
      </c>
      <c r="M174">
        <v>58.2</v>
      </c>
      <c r="O174" t="s">
        <v>464</v>
      </c>
    </row>
    <row r="175" spans="1:15" x14ac:dyDescent="0.3">
      <c r="A175">
        <v>242297</v>
      </c>
      <c r="B175">
        <v>105</v>
      </c>
      <c r="C175" t="s">
        <v>557</v>
      </c>
      <c r="D175" t="s">
        <v>2610</v>
      </c>
      <c r="E175" t="s">
        <v>2611</v>
      </c>
      <c r="F175" s="451">
        <v>46202</v>
      </c>
      <c r="G175">
        <v>21257</v>
      </c>
      <c r="H175" t="s">
        <v>4952</v>
      </c>
      <c r="I175" t="s">
        <v>5191</v>
      </c>
      <c r="J175">
        <v>3</v>
      </c>
      <c r="K175" t="s">
        <v>4736</v>
      </c>
      <c r="L175">
        <v>53.94</v>
      </c>
      <c r="M175">
        <v>17.98</v>
      </c>
      <c r="O175" t="s">
        <v>464</v>
      </c>
    </row>
    <row r="176" spans="1:15" x14ac:dyDescent="0.3">
      <c r="A176">
        <v>242296</v>
      </c>
      <c r="B176">
        <v>105</v>
      </c>
      <c r="C176" t="s">
        <v>557</v>
      </c>
      <c r="D176" t="s">
        <v>2581</v>
      </c>
      <c r="E176" t="s">
        <v>2612</v>
      </c>
      <c r="F176" s="451">
        <v>46202</v>
      </c>
      <c r="G176">
        <v>23236</v>
      </c>
      <c r="H176" t="s">
        <v>5062</v>
      </c>
      <c r="I176" t="s">
        <v>5191</v>
      </c>
      <c r="J176">
        <v>2</v>
      </c>
      <c r="K176" t="s">
        <v>4744</v>
      </c>
      <c r="L176">
        <v>16</v>
      </c>
      <c r="M176">
        <v>8</v>
      </c>
      <c r="O176" t="s">
        <v>464</v>
      </c>
    </row>
    <row r="177" spans="1:15" x14ac:dyDescent="0.3">
      <c r="A177">
        <v>242296</v>
      </c>
      <c r="B177">
        <v>105</v>
      </c>
      <c r="C177" t="s">
        <v>557</v>
      </c>
      <c r="D177" t="s">
        <v>2581</v>
      </c>
      <c r="E177" t="s">
        <v>2612</v>
      </c>
      <c r="F177" s="451">
        <v>46202</v>
      </c>
      <c r="G177">
        <v>19787</v>
      </c>
      <c r="H177" t="s">
        <v>4793</v>
      </c>
      <c r="I177" t="s">
        <v>5191</v>
      </c>
      <c r="J177">
        <v>5</v>
      </c>
      <c r="K177" t="s">
        <v>4744</v>
      </c>
      <c r="L177">
        <v>28</v>
      </c>
      <c r="M177">
        <v>5.6</v>
      </c>
      <c r="O177" t="s">
        <v>464</v>
      </c>
    </row>
    <row r="178" spans="1:15" x14ac:dyDescent="0.3">
      <c r="A178">
        <v>242296</v>
      </c>
      <c r="B178">
        <v>105</v>
      </c>
      <c r="C178" t="s">
        <v>557</v>
      </c>
      <c r="D178" t="s">
        <v>2581</v>
      </c>
      <c r="E178" t="s">
        <v>2612</v>
      </c>
      <c r="F178" s="451">
        <v>46202</v>
      </c>
      <c r="G178">
        <v>23361</v>
      </c>
      <c r="H178" t="s">
        <v>4754</v>
      </c>
      <c r="I178" t="s">
        <v>5191</v>
      </c>
      <c r="J178">
        <v>15</v>
      </c>
      <c r="K178" t="s">
        <v>4744</v>
      </c>
      <c r="L178">
        <v>39</v>
      </c>
      <c r="M178">
        <v>2.6</v>
      </c>
      <c r="O178" t="s">
        <v>464</v>
      </c>
    </row>
    <row r="179" spans="1:15" x14ac:dyDescent="0.3">
      <c r="A179">
        <v>242296</v>
      </c>
      <c r="B179">
        <v>105</v>
      </c>
      <c r="C179" t="s">
        <v>557</v>
      </c>
      <c r="D179" t="s">
        <v>2581</v>
      </c>
      <c r="E179" t="s">
        <v>2612</v>
      </c>
      <c r="F179" s="451">
        <v>46202</v>
      </c>
      <c r="G179">
        <v>19465</v>
      </c>
      <c r="H179" t="s">
        <v>5114</v>
      </c>
      <c r="I179" t="s">
        <v>5191</v>
      </c>
      <c r="J179">
        <v>1</v>
      </c>
      <c r="K179" t="s">
        <v>4744</v>
      </c>
      <c r="L179">
        <v>7.25</v>
      </c>
      <c r="M179">
        <v>7.25</v>
      </c>
      <c r="O179" t="s">
        <v>464</v>
      </c>
    </row>
    <row r="180" spans="1:15" x14ac:dyDescent="0.3">
      <c r="A180">
        <v>242296</v>
      </c>
      <c r="B180">
        <v>105</v>
      </c>
      <c r="C180" t="s">
        <v>557</v>
      </c>
      <c r="D180" t="s">
        <v>2581</v>
      </c>
      <c r="E180" t="s">
        <v>2612</v>
      </c>
      <c r="F180" s="451">
        <v>46202</v>
      </c>
      <c r="G180">
        <v>19737</v>
      </c>
      <c r="H180" t="s">
        <v>4940</v>
      </c>
      <c r="I180" t="s">
        <v>5191</v>
      </c>
      <c r="J180">
        <v>2</v>
      </c>
      <c r="K180" t="s">
        <v>4744</v>
      </c>
      <c r="L180">
        <v>10.8</v>
      </c>
      <c r="M180">
        <v>5.4</v>
      </c>
      <c r="O180" t="s">
        <v>464</v>
      </c>
    </row>
    <row r="181" spans="1:15" x14ac:dyDescent="0.3">
      <c r="A181">
        <v>242296</v>
      </c>
      <c r="B181">
        <v>105</v>
      </c>
      <c r="C181" t="s">
        <v>557</v>
      </c>
      <c r="D181" t="s">
        <v>2581</v>
      </c>
      <c r="E181" t="s">
        <v>2612</v>
      </c>
      <c r="F181" s="451">
        <v>46202</v>
      </c>
      <c r="G181">
        <v>23389</v>
      </c>
      <c r="H181" t="s">
        <v>4960</v>
      </c>
      <c r="I181" t="s">
        <v>5191</v>
      </c>
      <c r="J181">
        <v>3</v>
      </c>
      <c r="K181" t="s">
        <v>4744</v>
      </c>
      <c r="L181">
        <v>15</v>
      </c>
      <c r="M181">
        <v>5</v>
      </c>
      <c r="O181" t="s">
        <v>464</v>
      </c>
    </row>
    <row r="182" spans="1:15" x14ac:dyDescent="0.3">
      <c r="A182">
        <v>242296</v>
      </c>
      <c r="B182">
        <v>105</v>
      </c>
      <c r="C182" t="s">
        <v>557</v>
      </c>
      <c r="D182" t="s">
        <v>2581</v>
      </c>
      <c r="E182" t="s">
        <v>2612</v>
      </c>
      <c r="F182" s="451">
        <v>46202</v>
      </c>
      <c r="G182">
        <v>19505</v>
      </c>
      <c r="H182" t="s">
        <v>4872</v>
      </c>
      <c r="I182" t="s">
        <v>5191</v>
      </c>
      <c r="J182">
        <v>4</v>
      </c>
      <c r="K182" t="s">
        <v>4744</v>
      </c>
      <c r="L182">
        <v>42</v>
      </c>
      <c r="M182">
        <v>10.5</v>
      </c>
      <c r="O182" t="s">
        <v>464</v>
      </c>
    </row>
    <row r="183" spans="1:15" x14ac:dyDescent="0.3">
      <c r="A183">
        <v>242295</v>
      </c>
      <c r="B183">
        <v>105</v>
      </c>
      <c r="C183" t="s">
        <v>557</v>
      </c>
      <c r="D183" t="s">
        <v>2613</v>
      </c>
      <c r="E183" t="s">
        <v>2614</v>
      </c>
      <c r="F183" s="451">
        <v>46202</v>
      </c>
      <c r="G183">
        <v>29210</v>
      </c>
      <c r="H183" t="s">
        <v>5178</v>
      </c>
      <c r="I183" t="s">
        <v>5191</v>
      </c>
      <c r="J183">
        <v>11.38</v>
      </c>
      <c r="K183" t="s">
        <v>4744</v>
      </c>
      <c r="L183">
        <v>443.63</v>
      </c>
      <c r="M183">
        <v>38.983303999999997</v>
      </c>
      <c r="O183" t="s">
        <v>464</v>
      </c>
    </row>
    <row r="184" spans="1:15" x14ac:dyDescent="0.3">
      <c r="A184">
        <v>242294</v>
      </c>
      <c r="B184">
        <v>105</v>
      </c>
      <c r="C184" t="s">
        <v>557</v>
      </c>
      <c r="D184" t="s">
        <v>2615</v>
      </c>
      <c r="E184" t="s">
        <v>2616</v>
      </c>
      <c r="F184" s="451">
        <v>46203</v>
      </c>
      <c r="G184">
        <v>20623</v>
      </c>
      <c r="H184" t="s">
        <v>4814</v>
      </c>
      <c r="I184" t="s">
        <v>5191</v>
      </c>
      <c r="J184">
        <v>10</v>
      </c>
      <c r="K184" t="s">
        <v>4736</v>
      </c>
      <c r="L184">
        <v>123.9</v>
      </c>
      <c r="M184">
        <v>12.39</v>
      </c>
      <c r="O184" t="s">
        <v>464</v>
      </c>
    </row>
    <row r="185" spans="1:15" x14ac:dyDescent="0.3">
      <c r="A185">
        <v>242048</v>
      </c>
      <c r="B185">
        <v>105</v>
      </c>
      <c r="C185" t="s">
        <v>557</v>
      </c>
      <c r="D185" t="s">
        <v>2573</v>
      </c>
      <c r="E185" t="s">
        <v>2617</v>
      </c>
      <c r="F185" s="451">
        <v>46188</v>
      </c>
      <c r="G185">
        <v>21618</v>
      </c>
      <c r="H185" t="s">
        <v>5239</v>
      </c>
      <c r="I185" t="s">
        <v>5188</v>
      </c>
      <c r="J185">
        <v>10</v>
      </c>
      <c r="K185" t="s">
        <v>5240</v>
      </c>
      <c r="L185">
        <v>257.10000000000002</v>
      </c>
      <c r="M185">
        <v>25.71</v>
      </c>
      <c r="O185" t="s">
        <v>464</v>
      </c>
    </row>
    <row r="186" spans="1:15" x14ac:dyDescent="0.3">
      <c r="A186">
        <v>242046</v>
      </c>
      <c r="B186">
        <v>105</v>
      </c>
      <c r="C186" t="s">
        <v>557</v>
      </c>
      <c r="D186" t="s">
        <v>2569</v>
      </c>
      <c r="E186" t="s">
        <v>2618</v>
      </c>
      <c r="F186" s="451">
        <v>46182</v>
      </c>
      <c r="G186">
        <v>17950</v>
      </c>
      <c r="H186" t="s">
        <v>5091</v>
      </c>
      <c r="I186" t="s">
        <v>5222</v>
      </c>
      <c r="J186">
        <v>10</v>
      </c>
      <c r="K186" t="s">
        <v>4738</v>
      </c>
      <c r="L186">
        <v>145.19999999999999</v>
      </c>
      <c r="M186">
        <v>14.52</v>
      </c>
      <c r="O186" t="s">
        <v>464</v>
      </c>
    </row>
    <row r="187" spans="1:15" x14ac:dyDescent="0.3">
      <c r="A187">
        <v>242046</v>
      </c>
      <c r="B187">
        <v>105</v>
      </c>
      <c r="C187" t="s">
        <v>557</v>
      </c>
      <c r="D187" t="s">
        <v>2569</v>
      </c>
      <c r="E187" t="s">
        <v>2618</v>
      </c>
      <c r="F187" s="451">
        <v>46182</v>
      </c>
      <c r="G187">
        <v>17958</v>
      </c>
      <c r="H187" t="s">
        <v>5076</v>
      </c>
      <c r="I187" t="s">
        <v>5222</v>
      </c>
      <c r="J187">
        <v>8</v>
      </c>
      <c r="K187" t="s">
        <v>4738</v>
      </c>
      <c r="L187">
        <v>110.4</v>
      </c>
      <c r="M187">
        <v>13.8</v>
      </c>
      <c r="O187" t="s">
        <v>464</v>
      </c>
    </row>
    <row r="188" spans="1:15" x14ac:dyDescent="0.3">
      <c r="A188">
        <v>242045</v>
      </c>
      <c r="B188">
        <v>105</v>
      </c>
      <c r="C188" t="s">
        <v>557</v>
      </c>
      <c r="D188" t="s">
        <v>2548</v>
      </c>
      <c r="E188" t="s">
        <v>2619</v>
      </c>
      <c r="F188" s="451">
        <v>46188</v>
      </c>
      <c r="G188">
        <v>19983</v>
      </c>
      <c r="H188" t="s">
        <v>5068</v>
      </c>
      <c r="I188" t="s">
        <v>5191</v>
      </c>
      <c r="J188">
        <v>2</v>
      </c>
      <c r="K188" t="s">
        <v>5241</v>
      </c>
      <c r="L188">
        <v>39.6</v>
      </c>
      <c r="M188">
        <v>19.8</v>
      </c>
      <c r="O188" t="s">
        <v>464</v>
      </c>
    </row>
    <row r="189" spans="1:15" x14ac:dyDescent="0.3">
      <c r="A189">
        <v>242045</v>
      </c>
      <c r="B189">
        <v>105</v>
      </c>
      <c r="C189" t="s">
        <v>557</v>
      </c>
      <c r="D189" t="s">
        <v>2548</v>
      </c>
      <c r="E189" t="s">
        <v>2619</v>
      </c>
      <c r="F189" s="451">
        <v>46188</v>
      </c>
      <c r="G189">
        <v>25075</v>
      </c>
      <c r="H189" t="s">
        <v>4790</v>
      </c>
      <c r="I189" t="s">
        <v>5191</v>
      </c>
      <c r="J189">
        <v>5</v>
      </c>
      <c r="K189" t="s">
        <v>5228</v>
      </c>
      <c r="L189">
        <v>69.5</v>
      </c>
      <c r="M189">
        <v>13.9</v>
      </c>
      <c r="O189" t="s">
        <v>464</v>
      </c>
    </row>
    <row r="190" spans="1:15" x14ac:dyDescent="0.3">
      <c r="A190">
        <v>242045</v>
      </c>
      <c r="B190">
        <v>105</v>
      </c>
      <c r="C190" t="s">
        <v>557</v>
      </c>
      <c r="D190" t="s">
        <v>2548</v>
      </c>
      <c r="E190" t="s">
        <v>2619</v>
      </c>
      <c r="F190" s="451">
        <v>46188</v>
      </c>
      <c r="G190">
        <v>20624</v>
      </c>
      <c r="H190" t="s">
        <v>5019</v>
      </c>
      <c r="I190" t="s">
        <v>5191</v>
      </c>
      <c r="J190">
        <v>1</v>
      </c>
      <c r="K190" t="s">
        <v>4736</v>
      </c>
      <c r="L190">
        <v>70.900000000000006</v>
      </c>
      <c r="M190">
        <v>70.900000000000006</v>
      </c>
      <c r="O190" t="s">
        <v>464</v>
      </c>
    </row>
    <row r="191" spans="1:15" x14ac:dyDescent="0.3">
      <c r="A191">
        <v>242045</v>
      </c>
      <c r="B191">
        <v>105</v>
      </c>
      <c r="C191" t="s">
        <v>557</v>
      </c>
      <c r="D191" t="s">
        <v>2548</v>
      </c>
      <c r="E191" t="s">
        <v>2619</v>
      </c>
      <c r="F191" s="451">
        <v>46188</v>
      </c>
      <c r="G191">
        <v>20105</v>
      </c>
      <c r="H191" t="s">
        <v>4831</v>
      </c>
      <c r="I191" t="s">
        <v>5191</v>
      </c>
      <c r="J191">
        <v>1</v>
      </c>
      <c r="K191" t="s">
        <v>4744</v>
      </c>
      <c r="L191">
        <v>26</v>
      </c>
      <c r="M191">
        <v>26</v>
      </c>
      <c r="O191" t="s">
        <v>464</v>
      </c>
    </row>
    <row r="192" spans="1:15" x14ac:dyDescent="0.3">
      <c r="A192">
        <v>242044</v>
      </c>
      <c r="B192">
        <v>105</v>
      </c>
      <c r="C192" t="s">
        <v>557</v>
      </c>
      <c r="D192" t="s">
        <v>2573</v>
      </c>
      <c r="E192" t="s">
        <v>2620</v>
      </c>
      <c r="F192" s="451">
        <v>46192</v>
      </c>
      <c r="G192">
        <v>21618</v>
      </c>
      <c r="H192" t="s">
        <v>5239</v>
      </c>
      <c r="I192" t="s">
        <v>5188</v>
      </c>
      <c r="J192">
        <v>10</v>
      </c>
      <c r="K192" t="s">
        <v>5240</v>
      </c>
      <c r="L192">
        <v>257.10000000000002</v>
      </c>
      <c r="M192">
        <v>25.71</v>
      </c>
      <c r="O192" t="s">
        <v>464</v>
      </c>
    </row>
    <row r="193" spans="1:15" x14ac:dyDescent="0.3">
      <c r="A193">
        <v>242042</v>
      </c>
      <c r="B193">
        <v>105</v>
      </c>
      <c r="C193" t="s">
        <v>557</v>
      </c>
      <c r="D193" t="s">
        <v>2569</v>
      </c>
      <c r="E193" t="s">
        <v>2621</v>
      </c>
      <c r="F193" s="451">
        <v>46188</v>
      </c>
      <c r="G193">
        <v>17950</v>
      </c>
      <c r="H193" t="s">
        <v>5091</v>
      </c>
      <c r="I193" t="s">
        <v>5222</v>
      </c>
      <c r="J193">
        <v>10</v>
      </c>
      <c r="K193" t="s">
        <v>4738</v>
      </c>
      <c r="L193">
        <v>145.19999999999999</v>
      </c>
      <c r="M193">
        <v>14.52</v>
      </c>
      <c r="O193" t="s">
        <v>464</v>
      </c>
    </row>
    <row r="194" spans="1:15" x14ac:dyDescent="0.3">
      <c r="A194">
        <v>242042</v>
      </c>
      <c r="B194">
        <v>105</v>
      </c>
      <c r="C194" t="s">
        <v>557</v>
      </c>
      <c r="D194" t="s">
        <v>2569</v>
      </c>
      <c r="E194" t="s">
        <v>2621</v>
      </c>
      <c r="F194" s="451">
        <v>46188</v>
      </c>
      <c r="G194">
        <v>17958</v>
      </c>
      <c r="H194" t="s">
        <v>5076</v>
      </c>
      <c r="I194" t="s">
        <v>5222</v>
      </c>
      <c r="J194">
        <v>10</v>
      </c>
      <c r="K194" t="s">
        <v>4738</v>
      </c>
      <c r="L194">
        <v>138</v>
      </c>
      <c r="M194">
        <v>13.8</v>
      </c>
      <c r="O194" t="s">
        <v>464</v>
      </c>
    </row>
    <row r="195" spans="1:15" x14ac:dyDescent="0.3">
      <c r="A195">
        <v>242041</v>
      </c>
      <c r="B195">
        <v>105</v>
      </c>
      <c r="C195" t="s">
        <v>557</v>
      </c>
      <c r="D195" t="s">
        <v>2571</v>
      </c>
      <c r="E195" t="s">
        <v>2622</v>
      </c>
      <c r="F195" s="451">
        <v>46196</v>
      </c>
      <c r="G195">
        <v>20644</v>
      </c>
      <c r="H195" t="s">
        <v>5016</v>
      </c>
      <c r="I195" t="s">
        <v>5191</v>
      </c>
      <c r="J195">
        <v>4</v>
      </c>
      <c r="K195" t="s">
        <v>4736</v>
      </c>
      <c r="L195">
        <v>14.76</v>
      </c>
      <c r="M195">
        <v>3.69</v>
      </c>
      <c r="O195" t="s">
        <v>464</v>
      </c>
    </row>
    <row r="196" spans="1:15" x14ac:dyDescent="0.3">
      <c r="A196">
        <v>242041</v>
      </c>
      <c r="B196">
        <v>105</v>
      </c>
      <c r="C196" t="s">
        <v>557</v>
      </c>
      <c r="D196" t="s">
        <v>2571</v>
      </c>
      <c r="E196" t="s">
        <v>2622</v>
      </c>
      <c r="F196" s="451">
        <v>46196</v>
      </c>
      <c r="G196">
        <v>23884</v>
      </c>
      <c r="H196" t="s">
        <v>5070</v>
      </c>
      <c r="I196" t="s">
        <v>5191</v>
      </c>
      <c r="J196">
        <v>1</v>
      </c>
      <c r="K196" t="s">
        <v>4736</v>
      </c>
      <c r="L196">
        <v>9.1</v>
      </c>
      <c r="M196">
        <v>9.1</v>
      </c>
      <c r="O196" t="s">
        <v>464</v>
      </c>
    </row>
    <row r="197" spans="1:15" x14ac:dyDescent="0.3">
      <c r="A197">
        <v>242041</v>
      </c>
      <c r="B197">
        <v>105</v>
      </c>
      <c r="C197" t="s">
        <v>557</v>
      </c>
      <c r="D197" t="s">
        <v>2571</v>
      </c>
      <c r="E197" t="s">
        <v>2622</v>
      </c>
      <c r="F197" s="451">
        <v>46196</v>
      </c>
      <c r="G197">
        <v>19434</v>
      </c>
      <c r="H197" t="s">
        <v>5078</v>
      </c>
      <c r="I197" t="s">
        <v>5191</v>
      </c>
      <c r="J197">
        <v>1</v>
      </c>
      <c r="K197" t="s">
        <v>5242</v>
      </c>
      <c r="L197">
        <v>22.02</v>
      </c>
      <c r="M197">
        <v>22.02</v>
      </c>
      <c r="O197" t="s">
        <v>464</v>
      </c>
    </row>
    <row r="198" spans="1:15" x14ac:dyDescent="0.3">
      <c r="A198">
        <v>242041</v>
      </c>
      <c r="B198">
        <v>105</v>
      </c>
      <c r="C198" t="s">
        <v>557</v>
      </c>
      <c r="D198" t="s">
        <v>2571</v>
      </c>
      <c r="E198" t="s">
        <v>2622</v>
      </c>
      <c r="F198" s="451">
        <v>46196</v>
      </c>
      <c r="G198">
        <v>20227</v>
      </c>
      <c r="H198" t="s">
        <v>4825</v>
      </c>
      <c r="I198" t="s">
        <v>5191</v>
      </c>
      <c r="J198">
        <v>10</v>
      </c>
      <c r="K198" t="s">
        <v>4738</v>
      </c>
      <c r="L198">
        <v>151.19999999999999</v>
      </c>
      <c r="M198">
        <v>15.12</v>
      </c>
      <c r="O198" t="s">
        <v>464</v>
      </c>
    </row>
    <row r="199" spans="1:15" x14ac:dyDescent="0.3">
      <c r="A199">
        <v>242041</v>
      </c>
      <c r="B199">
        <v>105</v>
      </c>
      <c r="C199" t="s">
        <v>557</v>
      </c>
      <c r="D199" t="s">
        <v>2571</v>
      </c>
      <c r="E199" t="s">
        <v>2622</v>
      </c>
      <c r="F199" s="451">
        <v>46196</v>
      </c>
      <c r="G199">
        <v>23819</v>
      </c>
      <c r="H199" t="s">
        <v>4947</v>
      </c>
      <c r="I199" t="s">
        <v>5191</v>
      </c>
      <c r="J199">
        <v>3</v>
      </c>
      <c r="K199" t="s">
        <v>4736</v>
      </c>
      <c r="L199">
        <v>27.45</v>
      </c>
      <c r="M199">
        <v>9.15</v>
      </c>
      <c r="O199" t="s">
        <v>464</v>
      </c>
    </row>
    <row r="200" spans="1:15" x14ac:dyDescent="0.3">
      <c r="A200">
        <v>242041</v>
      </c>
      <c r="B200">
        <v>105</v>
      </c>
      <c r="C200" t="s">
        <v>557</v>
      </c>
      <c r="D200" t="s">
        <v>2571</v>
      </c>
      <c r="E200" t="s">
        <v>2622</v>
      </c>
      <c r="F200" s="451">
        <v>46196</v>
      </c>
      <c r="G200">
        <v>20322</v>
      </c>
      <c r="H200" t="s">
        <v>4882</v>
      </c>
      <c r="I200" t="s">
        <v>5191</v>
      </c>
      <c r="J200">
        <v>2</v>
      </c>
      <c r="K200" t="s">
        <v>5238</v>
      </c>
      <c r="L200">
        <v>19</v>
      </c>
      <c r="M200">
        <v>9.5</v>
      </c>
      <c r="O200" t="s">
        <v>464</v>
      </c>
    </row>
    <row r="201" spans="1:15" x14ac:dyDescent="0.3">
      <c r="A201">
        <v>242041</v>
      </c>
      <c r="B201">
        <v>105</v>
      </c>
      <c r="C201" t="s">
        <v>557</v>
      </c>
      <c r="D201" t="s">
        <v>2571</v>
      </c>
      <c r="E201" t="s">
        <v>2622</v>
      </c>
      <c r="F201" s="451">
        <v>46196</v>
      </c>
      <c r="G201">
        <v>27397</v>
      </c>
      <c r="H201" t="s">
        <v>4913</v>
      </c>
      <c r="I201" t="s">
        <v>5191</v>
      </c>
      <c r="J201">
        <v>2</v>
      </c>
      <c r="K201" t="s">
        <v>4736</v>
      </c>
      <c r="L201">
        <v>119.78</v>
      </c>
      <c r="M201">
        <v>59.89</v>
      </c>
      <c r="O201" t="s">
        <v>464</v>
      </c>
    </row>
    <row r="202" spans="1:15" x14ac:dyDescent="0.3">
      <c r="A202">
        <v>242041</v>
      </c>
      <c r="B202">
        <v>105</v>
      </c>
      <c r="C202" t="s">
        <v>557</v>
      </c>
      <c r="D202" t="s">
        <v>2571</v>
      </c>
      <c r="E202" t="s">
        <v>2622</v>
      </c>
      <c r="F202" s="451">
        <v>46196</v>
      </c>
      <c r="G202">
        <v>19923</v>
      </c>
      <c r="H202" t="s">
        <v>5069</v>
      </c>
      <c r="I202" t="s">
        <v>5191</v>
      </c>
      <c r="J202">
        <v>1</v>
      </c>
      <c r="K202" t="s">
        <v>4736</v>
      </c>
      <c r="L202">
        <v>38.9</v>
      </c>
      <c r="M202">
        <v>38.9</v>
      </c>
      <c r="O202" t="s">
        <v>464</v>
      </c>
    </row>
    <row r="203" spans="1:15" x14ac:dyDescent="0.3">
      <c r="A203">
        <v>242041</v>
      </c>
      <c r="B203">
        <v>105</v>
      </c>
      <c r="C203" t="s">
        <v>557</v>
      </c>
      <c r="D203" t="s">
        <v>2571</v>
      </c>
      <c r="E203" t="s">
        <v>2622</v>
      </c>
      <c r="F203" s="451">
        <v>46196</v>
      </c>
      <c r="G203">
        <v>20054</v>
      </c>
      <c r="H203" t="s">
        <v>4856</v>
      </c>
      <c r="I203" t="s">
        <v>5191</v>
      </c>
      <c r="J203">
        <v>6</v>
      </c>
      <c r="K203" t="s">
        <v>5206</v>
      </c>
      <c r="L203">
        <v>70.680000000000007</v>
      </c>
      <c r="M203">
        <v>11.78</v>
      </c>
      <c r="O203" t="s">
        <v>464</v>
      </c>
    </row>
    <row r="204" spans="1:15" x14ac:dyDescent="0.3">
      <c r="A204">
        <v>242041</v>
      </c>
      <c r="B204">
        <v>105</v>
      </c>
      <c r="C204" t="s">
        <v>557</v>
      </c>
      <c r="D204" t="s">
        <v>2571</v>
      </c>
      <c r="E204" t="s">
        <v>2622</v>
      </c>
      <c r="F204" s="451">
        <v>46196</v>
      </c>
      <c r="G204">
        <v>20928</v>
      </c>
      <c r="H204" t="s">
        <v>4950</v>
      </c>
      <c r="I204" t="s">
        <v>5191</v>
      </c>
      <c r="J204">
        <v>1</v>
      </c>
      <c r="K204" t="s">
        <v>4736</v>
      </c>
      <c r="L204">
        <v>199.3</v>
      </c>
      <c r="M204">
        <v>199.3</v>
      </c>
      <c r="O204" t="s">
        <v>464</v>
      </c>
    </row>
    <row r="205" spans="1:15" x14ac:dyDescent="0.3">
      <c r="A205">
        <v>242041</v>
      </c>
      <c r="B205">
        <v>105</v>
      </c>
      <c r="C205" t="s">
        <v>557</v>
      </c>
      <c r="D205" t="s">
        <v>2571</v>
      </c>
      <c r="E205" t="s">
        <v>2622</v>
      </c>
      <c r="F205" s="451">
        <v>46196</v>
      </c>
      <c r="G205">
        <v>20242</v>
      </c>
      <c r="H205" t="s">
        <v>4824</v>
      </c>
      <c r="I205" t="s">
        <v>5191</v>
      </c>
      <c r="J205">
        <v>10</v>
      </c>
      <c r="K205" t="s">
        <v>4738</v>
      </c>
      <c r="L205">
        <v>215.8</v>
      </c>
      <c r="M205">
        <v>21.58</v>
      </c>
      <c r="O205" t="s">
        <v>464</v>
      </c>
    </row>
    <row r="206" spans="1:15" x14ac:dyDescent="0.3">
      <c r="A206">
        <v>242041</v>
      </c>
      <c r="B206">
        <v>105</v>
      </c>
      <c r="C206" t="s">
        <v>557</v>
      </c>
      <c r="D206" t="s">
        <v>2571</v>
      </c>
      <c r="E206" t="s">
        <v>2622</v>
      </c>
      <c r="F206" s="451">
        <v>46196</v>
      </c>
      <c r="G206">
        <v>20138</v>
      </c>
      <c r="H206" t="s">
        <v>4886</v>
      </c>
      <c r="I206" t="s">
        <v>5191</v>
      </c>
      <c r="J206">
        <v>5</v>
      </c>
      <c r="K206" t="s">
        <v>4738</v>
      </c>
      <c r="L206">
        <v>25.5</v>
      </c>
      <c r="M206">
        <v>5.0999999999999996</v>
      </c>
      <c r="O206" t="s">
        <v>464</v>
      </c>
    </row>
    <row r="207" spans="1:15" x14ac:dyDescent="0.3">
      <c r="A207">
        <v>242039</v>
      </c>
      <c r="B207">
        <v>105</v>
      </c>
      <c r="C207" t="s">
        <v>557</v>
      </c>
      <c r="D207" t="s">
        <v>2548</v>
      </c>
      <c r="E207" t="s">
        <v>2623</v>
      </c>
      <c r="F207" s="451">
        <v>46189</v>
      </c>
      <c r="G207">
        <v>17401</v>
      </c>
      <c r="H207" t="s">
        <v>5243</v>
      </c>
      <c r="I207" t="s">
        <v>5188</v>
      </c>
      <c r="J207">
        <v>1</v>
      </c>
      <c r="K207" t="s">
        <v>4738</v>
      </c>
      <c r="L207">
        <v>162.9</v>
      </c>
      <c r="M207">
        <v>162.9</v>
      </c>
      <c r="O207" t="s">
        <v>464</v>
      </c>
    </row>
    <row r="208" spans="1:15" x14ac:dyDescent="0.3">
      <c r="A208">
        <v>242039</v>
      </c>
      <c r="B208">
        <v>105</v>
      </c>
      <c r="C208" t="s">
        <v>557</v>
      </c>
      <c r="D208" t="s">
        <v>2548</v>
      </c>
      <c r="E208" t="s">
        <v>2623</v>
      </c>
      <c r="F208" s="451">
        <v>46189</v>
      </c>
      <c r="G208">
        <v>17399</v>
      </c>
      <c r="H208" t="s">
        <v>5244</v>
      </c>
      <c r="I208" t="s">
        <v>5188</v>
      </c>
      <c r="J208">
        <v>1</v>
      </c>
      <c r="K208" t="s">
        <v>5245</v>
      </c>
      <c r="L208">
        <v>19.670000000000002</v>
      </c>
      <c r="M208">
        <v>19.670000000000002</v>
      </c>
      <c r="O208" t="s">
        <v>464</v>
      </c>
    </row>
    <row r="209" spans="1:15" x14ac:dyDescent="0.3">
      <c r="A209">
        <v>242039</v>
      </c>
      <c r="B209">
        <v>105</v>
      </c>
      <c r="C209" t="s">
        <v>557</v>
      </c>
      <c r="D209" t="s">
        <v>2548</v>
      </c>
      <c r="E209" t="s">
        <v>2623</v>
      </c>
      <c r="F209" s="451">
        <v>46189</v>
      </c>
      <c r="G209">
        <v>17397</v>
      </c>
      <c r="H209" t="s">
        <v>5246</v>
      </c>
      <c r="I209" t="s">
        <v>5188</v>
      </c>
      <c r="J209">
        <v>2</v>
      </c>
      <c r="K209" t="s">
        <v>5245</v>
      </c>
      <c r="L209">
        <v>66.2</v>
      </c>
      <c r="M209">
        <v>33.1</v>
      </c>
      <c r="O209" t="s">
        <v>464</v>
      </c>
    </row>
    <row r="210" spans="1:15" x14ac:dyDescent="0.3">
      <c r="A210">
        <v>242039</v>
      </c>
      <c r="B210">
        <v>105</v>
      </c>
      <c r="C210" t="s">
        <v>557</v>
      </c>
      <c r="D210" t="s">
        <v>2548</v>
      </c>
      <c r="E210" t="s">
        <v>2623</v>
      </c>
      <c r="F210" s="451">
        <v>46189</v>
      </c>
      <c r="G210">
        <v>17565</v>
      </c>
      <c r="H210" t="s">
        <v>5247</v>
      </c>
      <c r="I210" t="s">
        <v>5188</v>
      </c>
      <c r="J210">
        <v>1</v>
      </c>
      <c r="K210" t="s">
        <v>4736</v>
      </c>
      <c r="L210">
        <v>162.9</v>
      </c>
      <c r="M210">
        <v>162.9</v>
      </c>
      <c r="O210" t="s">
        <v>464</v>
      </c>
    </row>
    <row r="211" spans="1:15" x14ac:dyDescent="0.3">
      <c r="A211">
        <v>242039</v>
      </c>
      <c r="B211">
        <v>105</v>
      </c>
      <c r="C211" t="s">
        <v>557</v>
      </c>
      <c r="D211" t="s">
        <v>2548</v>
      </c>
      <c r="E211" t="s">
        <v>2623</v>
      </c>
      <c r="F211" s="451">
        <v>46189</v>
      </c>
      <c r="G211">
        <v>21423</v>
      </c>
      <c r="H211" t="s">
        <v>5248</v>
      </c>
      <c r="I211" t="s">
        <v>5188</v>
      </c>
      <c r="J211">
        <v>1</v>
      </c>
      <c r="K211" t="s">
        <v>5245</v>
      </c>
      <c r="L211">
        <v>33.1</v>
      </c>
      <c r="M211">
        <v>33.1</v>
      </c>
      <c r="O211" t="s">
        <v>464</v>
      </c>
    </row>
    <row r="212" spans="1:15" x14ac:dyDescent="0.3">
      <c r="A212">
        <v>242039</v>
      </c>
      <c r="B212">
        <v>105</v>
      </c>
      <c r="C212" t="s">
        <v>557</v>
      </c>
      <c r="D212" t="s">
        <v>2548</v>
      </c>
      <c r="E212" t="s">
        <v>2623</v>
      </c>
      <c r="F212" s="451">
        <v>46189</v>
      </c>
      <c r="G212">
        <v>17384</v>
      </c>
      <c r="H212" t="s">
        <v>5249</v>
      </c>
      <c r="I212" t="s">
        <v>5188</v>
      </c>
      <c r="J212">
        <v>1</v>
      </c>
      <c r="K212" t="s">
        <v>4738</v>
      </c>
      <c r="L212">
        <v>162.9</v>
      </c>
      <c r="M212">
        <v>162.9</v>
      </c>
      <c r="O212" t="s">
        <v>464</v>
      </c>
    </row>
    <row r="213" spans="1:15" x14ac:dyDescent="0.3">
      <c r="A213">
        <v>242038</v>
      </c>
      <c r="B213">
        <v>105</v>
      </c>
      <c r="C213" t="s">
        <v>557</v>
      </c>
      <c r="D213" t="s">
        <v>2548</v>
      </c>
      <c r="E213" t="s">
        <v>2624</v>
      </c>
      <c r="F213" s="451">
        <v>46195</v>
      </c>
      <c r="G213">
        <v>17401</v>
      </c>
      <c r="H213" t="s">
        <v>5243</v>
      </c>
      <c r="I213" t="s">
        <v>5188</v>
      </c>
      <c r="J213">
        <v>1</v>
      </c>
      <c r="K213" t="s">
        <v>4738</v>
      </c>
      <c r="L213">
        <v>162.9</v>
      </c>
      <c r="M213">
        <v>162.9</v>
      </c>
      <c r="O213" t="s">
        <v>464</v>
      </c>
    </row>
    <row r="214" spans="1:15" x14ac:dyDescent="0.3">
      <c r="A214">
        <v>242038</v>
      </c>
      <c r="B214">
        <v>105</v>
      </c>
      <c r="C214" t="s">
        <v>557</v>
      </c>
      <c r="D214" t="s">
        <v>2548</v>
      </c>
      <c r="E214" t="s">
        <v>2624</v>
      </c>
      <c r="F214" s="451">
        <v>46195</v>
      </c>
      <c r="G214">
        <v>21433</v>
      </c>
      <c r="H214" t="s">
        <v>5250</v>
      </c>
      <c r="I214" t="s">
        <v>5188</v>
      </c>
      <c r="J214">
        <v>1</v>
      </c>
      <c r="K214" t="s">
        <v>4738</v>
      </c>
      <c r="L214">
        <v>162.9</v>
      </c>
      <c r="M214">
        <v>162.9</v>
      </c>
      <c r="O214" t="s">
        <v>464</v>
      </c>
    </row>
    <row r="215" spans="1:15" x14ac:dyDescent="0.3">
      <c r="A215">
        <v>242038</v>
      </c>
      <c r="B215">
        <v>105</v>
      </c>
      <c r="C215" t="s">
        <v>557</v>
      </c>
      <c r="D215" t="s">
        <v>2548</v>
      </c>
      <c r="E215" t="s">
        <v>2624</v>
      </c>
      <c r="F215" s="451">
        <v>46195</v>
      </c>
      <c r="G215">
        <v>21423</v>
      </c>
      <c r="H215" t="s">
        <v>5248</v>
      </c>
      <c r="I215" t="s">
        <v>5188</v>
      </c>
      <c r="J215">
        <v>2</v>
      </c>
      <c r="K215" t="s">
        <v>5245</v>
      </c>
      <c r="L215">
        <v>66.2</v>
      </c>
      <c r="M215">
        <v>33.1</v>
      </c>
      <c r="O215" t="s">
        <v>464</v>
      </c>
    </row>
    <row r="216" spans="1:15" x14ac:dyDescent="0.3">
      <c r="A216">
        <v>242037</v>
      </c>
      <c r="B216">
        <v>105</v>
      </c>
      <c r="C216" t="s">
        <v>557</v>
      </c>
      <c r="D216" t="s">
        <v>2605</v>
      </c>
      <c r="E216" t="s">
        <v>2625</v>
      </c>
      <c r="F216" s="451">
        <v>46195</v>
      </c>
      <c r="G216">
        <v>20689</v>
      </c>
      <c r="H216" t="s">
        <v>5007</v>
      </c>
      <c r="I216" t="s">
        <v>5191</v>
      </c>
      <c r="J216">
        <v>3</v>
      </c>
      <c r="K216" t="s">
        <v>5227</v>
      </c>
      <c r="L216">
        <v>97.2</v>
      </c>
      <c r="M216">
        <v>32.4</v>
      </c>
      <c r="O216" t="s">
        <v>464</v>
      </c>
    </row>
    <row r="217" spans="1:15" x14ac:dyDescent="0.3">
      <c r="A217">
        <v>242037</v>
      </c>
      <c r="B217">
        <v>105</v>
      </c>
      <c r="C217" t="s">
        <v>557</v>
      </c>
      <c r="D217" t="s">
        <v>2605</v>
      </c>
      <c r="E217" t="s">
        <v>2625</v>
      </c>
      <c r="F217" s="451">
        <v>46195</v>
      </c>
      <c r="G217">
        <v>24322</v>
      </c>
      <c r="H217" t="s">
        <v>5064</v>
      </c>
      <c r="I217" t="s">
        <v>5191</v>
      </c>
      <c r="J217">
        <v>2</v>
      </c>
      <c r="K217" t="s">
        <v>5238</v>
      </c>
      <c r="L217">
        <v>44</v>
      </c>
      <c r="M217">
        <v>22</v>
      </c>
      <c r="O217" t="s">
        <v>464</v>
      </c>
    </row>
    <row r="218" spans="1:15" x14ac:dyDescent="0.3">
      <c r="A218">
        <v>242037</v>
      </c>
      <c r="B218">
        <v>105</v>
      </c>
      <c r="C218" t="s">
        <v>557</v>
      </c>
      <c r="D218" t="s">
        <v>2605</v>
      </c>
      <c r="E218" t="s">
        <v>2625</v>
      </c>
      <c r="F218" s="451">
        <v>46195</v>
      </c>
      <c r="G218">
        <v>19969</v>
      </c>
      <c r="H218" t="s">
        <v>5018</v>
      </c>
      <c r="I218" t="s">
        <v>5191</v>
      </c>
      <c r="J218">
        <v>1</v>
      </c>
      <c r="K218" t="s">
        <v>4888</v>
      </c>
      <c r="L218">
        <v>11.15</v>
      </c>
      <c r="M218">
        <v>11.15</v>
      </c>
      <c r="O218" t="s">
        <v>464</v>
      </c>
    </row>
    <row r="219" spans="1:15" x14ac:dyDescent="0.3">
      <c r="A219">
        <v>242037</v>
      </c>
      <c r="B219">
        <v>105</v>
      </c>
      <c r="C219" t="s">
        <v>557</v>
      </c>
      <c r="D219" t="s">
        <v>2605</v>
      </c>
      <c r="E219" t="s">
        <v>2625</v>
      </c>
      <c r="F219" s="451">
        <v>46195</v>
      </c>
      <c r="G219">
        <v>24272</v>
      </c>
      <c r="H219" t="s">
        <v>5059</v>
      </c>
      <c r="I219" t="s">
        <v>5191</v>
      </c>
      <c r="J219">
        <v>2</v>
      </c>
      <c r="K219" t="s">
        <v>5227</v>
      </c>
      <c r="L219">
        <v>51.8</v>
      </c>
      <c r="M219">
        <v>25.9</v>
      </c>
      <c r="O219" t="s">
        <v>464</v>
      </c>
    </row>
    <row r="220" spans="1:15" x14ac:dyDescent="0.3">
      <c r="A220">
        <v>242037</v>
      </c>
      <c r="B220">
        <v>105</v>
      </c>
      <c r="C220" t="s">
        <v>557</v>
      </c>
      <c r="D220" t="s">
        <v>2605</v>
      </c>
      <c r="E220" t="s">
        <v>2625</v>
      </c>
      <c r="F220" s="451">
        <v>46195</v>
      </c>
      <c r="G220">
        <v>19241</v>
      </c>
      <c r="H220" t="s">
        <v>4890</v>
      </c>
      <c r="I220" t="s">
        <v>5191</v>
      </c>
      <c r="J220">
        <v>2</v>
      </c>
      <c r="K220" t="s">
        <v>5206</v>
      </c>
      <c r="L220">
        <v>3.84</v>
      </c>
      <c r="M220">
        <v>1.92</v>
      </c>
      <c r="O220" t="s">
        <v>464</v>
      </c>
    </row>
    <row r="221" spans="1:15" x14ac:dyDescent="0.3">
      <c r="A221">
        <v>242037</v>
      </c>
      <c r="B221">
        <v>105</v>
      </c>
      <c r="C221" t="s">
        <v>557</v>
      </c>
      <c r="D221" t="s">
        <v>2605</v>
      </c>
      <c r="E221" t="s">
        <v>2625</v>
      </c>
      <c r="F221" s="451">
        <v>46195</v>
      </c>
      <c r="G221">
        <v>25358</v>
      </c>
      <c r="H221" t="s">
        <v>4980</v>
      </c>
      <c r="I221" t="s">
        <v>5191</v>
      </c>
      <c r="J221">
        <v>1</v>
      </c>
      <c r="K221" t="s">
        <v>5238</v>
      </c>
      <c r="L221">
        <v>84.6</v>
      </c>
      <c r="M221">
        <v>84.6</v>
      </c>
      <c r="O221" t="s">
        <v>464</v>
      </c>
    </row>
    <row r="222" spans="1:15" x14ac:dyDescent="0.3">
      <c r="A222">
        <v>242037</v>
      </c>
      <c r="B222">
        <v>105</v>
      </c>
      <c r="C222" t="s">
        <v>557</v>
      </c>
      <c r="D222" t="s">
        <v>2605</v>
      </c>
      <c r="E222" t="s">
        <v>2625</v>
      </c>
      <c r="F222" s="451">
        <v>46195</v>
      </c>
      <c r="G222">
        <v>20206</v>
      </c>
      <c r="H222" t="s">
        <v>4914</v>
      </c>
      <c r="I222" t="s">
        <v>5191</v>
      </c>
      <c r="J222">
        <v>1</v>
      </c>
      <c r="K222" t="s">
        <v>4736</v>
      </c>
      <c r="L222">
        <v>25.9</v>
      </c>
      <c r="M222">
        <v>25.9</v>
      </c>
      <c r="O222" t="s">
        <v>464</v>
      </c>
    </row>
    <row r="223" spans="1:15" x14ac:dyDescent="0.3">
      <c r="A223">
        <v>242037</v>
      </c>
      <c r="B223">
        <v>105</v>
      </c>
      <c r="C223" t="s">
        <v>557</v>
      </c>
      <c r="D223" t="s">
        <v>2605</v>
      </c>
      <c r="E223" t="s">
        <v>2625</v>
      </c>
      <c r="F223" s="451">
        <v>46195</v>
      </c>
      <c r="G223">
        <v>20176</v>
      </c>
      <c r="H223" t="s">
        <v>5175</v>
      </c>
      <c r="I223" t="s">
        <v>5191</v>
      </c>
      <c r="J223">
        <v>2</v>
      </c>
      <c r="K223" t="s">
        <v>4736</v>
      </c>
      <c r="L223">
        <v>69.08</v>
      </c>
      <c r="M223">
        <v>34.54</v>
      </c>
      <c r="O223" t="s">
        <v>464</v>
      </c>
    </row>
    <row r="224" spans="1:15" x14ac:dyDescent="0.3">
      <c r="A224">
        <v>242037</v>
      </c>
      <c r="B224">
        <v>105</v>
      </c>
      <c r="C224" t="s">
        <v>557</v>
      </c>
      <c r="D224" t="s">
        <v>2605</v>
      </c>
      <c r="E224" t="s">
        <v>2625</v>
      </c>
      <c r="F224" s="451">
        <v>46195</v>
      </c>
      <c r="G224">
        <v>25022</v>
      </c>
      <c r="H224" t="s">
        <v>4912</v>
      </c>
      <c r="I224" t="s">
        <v>5191</v>
      </c>
      <c r="J224">
        <v>4</v>
      </c>
      <c r="K224" t="s">
        <v>4738</v>
      </c>
      <c r="L224">
        <v>16.8</v>
      </c>
      <c r="M224">
        <v>4.2</v>
      </c>
      <c r="O224" t="s">
        <v>464</v>
      </c>
    </row>
    <row r="225" spans="1:15" x14ac:dyDescent="0.3">
      <c r="A225">
        <v>242036</v>
      </c>
      <c r="B225">
        <v>105</v>
      </c>
      <c r="C225" t="s">
        <v>557</v>
      </c>
      <c r="D225" t="s">
        <v>2579</v>
      </c>
      <c r="E225" t="s">
        <v>2626</v>
      </c>
      <c r="F225" s="451">
        <v>46198</v>
      </c>
      <c r="G225">
        <v>19634</v>
      </c>
      <c r="H225" t="s">
        <v>4792</v>
      </c>
      <c r="I225" t="s">
        <v>5191</v>
      </c>
      <c r="J225">
        <v>4</v>
      </c>
      <c r="K225" t="s">
        <v>4744</v>
      </c>
      <c r="L225">
        <v>26</v>
      </c>
      <c r="M225">
        <v>6.5</v>
      </c>
      <c r="O225" t="s">
        <v>464</v>
      </c>
    </row>
    <row r="226" spans="1:15" x14ac:dyDescent="0.3">
      <c r="A226">
        <v>242036</v>
      </c>
      <c r="B226">
        <v>105</v>
      </c>
      <c r="C226" t="s">
        <v>557</v>
      </c>
      <c r="D226" t="s">
        <v>2579</v>
      </c>
      <c r="E226" t="s">
        <v>2626</v>
      </c>
      <c r="F226" s="451">
        <v>46198</v>
      </c>
      <c r="G226">
        <v>19742</v>
      </c>
      <c r="H226" t="s">
        <v>4900</v>
      </c>
      <c r="I226" t="s">
        <v>5191</v>
      </c>
      <c r="J226">
        <v>1.2</v>
      </c>
      <c r="K226" t="s">
        <v>4744</v>
      </c>
      <c r="L226">
        <v>10.92</v>
      </c>
      <c r="M226">
        <v>9.1</v>
      </c>
      <c r="O226" t="s">
        <v>464</v>
      </c>
    </row>
    <row r="227" spans="1:15" x14ac:dyDescent="0.3">
      <c r="A227">
        <v>242036</v>
      </c>
      <c r="B227">
        <v>105</v>
      </c>
      <c r="C227" t="s">
        <v>557</v>
      </c>
      <c r="D227" t="s">
        <v>2579</v>
      </c>
      <c r="E227" t="s">
        <v>2626</v>
      </c>
      <c r="F227" s="451">
        <v>46198</v>
      </c>
      <c r="G227">
        <v>23184</v>
      </c>
      <c r="H227" t="s">
        <v>4935</v>
      </c>
      <c r="I227" t="s">
        <v>5191</v>
      </c>
      <c r="J227">
        <v>1.5</v>
      </c>
      <c r="K227" t="s">
        <v>4744</v>
      </c>
      <c r="L227">
        <v>23.4</v>
      </c>
      <c r="M227">
        <v>15.6</v>
      </c>
      <c r="O227" t="s">
        <v>464</v>
      </c>
    </row>
    <row r="228" spans="1:15" x14ac:dyDescent="0.3">
      <c r="A228">
        <v>242036</v>
      </c>
      <c r="B228">
        <v>105</v>
      </c>
      <c r="C228" t="s">
        <v>557</v>
      </c>
      <c r="D228" t="s">
        <v>2579</v>
      </c>
      <c r="E228" t="s">
        <v>2626</v>
      </c>
      <c r="F228" s="451">
        <v>46198</v>
      </c>
      <c r="G228">
        <v>19532</v>
      </c>
      <c r="H228" t="s">
        <v>4753</v>
      </c>
      <c r="I228" t="s">
        <v>5191</v>
      </c>
      <c r="J228">
        <v>10</v>
      </c>
      <c r="K228" t="s">
        <v>4744</v>
      </c>
      <c r="L228">
        <v>65</v>
      </c>
      <c r="M228">
        <v>6.5</v>
      </c>
      <c r="O228" t="s">
        <v>464</v>
      </c>
    </row>
    <row r="229" spans="1:15" x14ac:dyDescent="0.3">
      <c r="A229">
        <v>242035</v>
      </c>
      <c r="B229">
        <v>105</v>
      </c>
      <c r="C229" t="s">
        <v>557</v>
      </c>
      <c r="D229" t="s">
        <v>2627</v>
      </c>
      <c r="E229" t="s">
        <v>2628</v>
      </c>
      <c r="F229" s="451">
        <v>46195</v>
      </c>
      <c r="G229">
        <v>19965</v>
      </c>
      <c r="H229" t="s">
        <v>5251</v>
      </c>
      <c r="I229" t="s">
        <v>5191</v>
      </c>
      <c r="J229">
        <v>5</v>
      </c>
      <c r="K229" t="s">
        <v>4736</v>
      </c>
      <c r="L229">
        <v>67.5</v>
      </c>
      <c r="M229">
        <v>13.5</v>
      </c>
      <c r="O229" t="s">
        <v>464</v>
      </c>
    </row>
    <row r="230" spans="1:15" x14ac:dyDescent="0.3">
      <c r="A230">
        <v>242035</v>
      </c>
      <c r="B230">
        <v>105</v>
      </c>
      <c r="C230" t="s">
        <v>557</v>
      </c>
      <c r="D230" t="s">
        <v>2627</v>
      </c>
      <c r="E230" t="s">
        <v>2628</v>
      </c>
      <c r="F230" s="451">
        <v>46195</v>
      </c>
      <c r="G230">
        <v>20105</v>
      </c>
      <c r="H230" t="s">
        <v>4831</v>
      </c>
      <c r="I230" t="s">
        <v>5191</v>
      </c>
      <c r="J230">
        <v>6</v>
      </c>
      <c r="K230" t="s">
        <v>4744</v>
      </c>
      <c r="L230">
        <v>107.4</v>
      </c>
      <c r="M230">
        <v>17.899999999999999</v>
      </c>
      <c r="O230" t="s">
        <v>464</v>
      </c>
    </row>
    <row r="231" spans="1:15" x14ac:dyDescent="0.3">
      <c r="A231">
        <v>242035</v>
      </c>
      <c r="B231">
        <v>105</v>
      </c>
      <c r="C231" t="s">
        <v>557</v>
      </c>
      <c r="D231" t="s">
        <v>2627</v>
      </c>
      <c r="E231" t="s">
        <v>2628</v>
      </c>
      <c r="F231" s="451">
        <v>46195</v>
      </c>
      <c r="G231">
        <v>25075</v>
      </c>
      <c r="H231" t="s">
        <v>4790</v>
      </c>
      <c r="I231" t="s">
        <v>5191</v>
      </c>
      <c r="J231">
        <v>6</v>
      </c>
      <c r="K231" t="s">
        <v>5228</v>
      </c>
      <c r="L231">
        <v>53.7</v>
      </c>
      <c r="M231">
        <v>8.9499999999999993</v>
      </c>
      <c r="O231" t="s">
        <v>464</v>
      </c>
    </row>
    <row r="232" spans="1:15" x14ac:dyDescent="0.3">
      <c r="A232">
        <v>242034</v>
      </c>
      <c r="B232">
        <v>105</v>
      </c>
      <c r="C232" t="s">
        <v>557</v>
      </c>
      <c r="D232" t="s">
        <v>2569</v>
      </c>
      <c r="E232" t="s">
        <v>2629</v>
      </c>
      <c r="F232" s="451">
        <v>46195</v>
      </c>
      <c r="G232">
        <v>17958</v>
      </c>
      <c r="H232" t="s">
        <v>5076</v>
      </c>
      <c r="I232" t="s">
        <v>5222</v>
      </c>
      <c r="J232">
        <v>15</v>
      </c>
      <c r="K232" t="s">
        <v>4738</v>
      </c>
      <c r="L232">
        <v>207</v>
      </c>
      <c r="M232">
        <v>13.8</v>
      </c>
      <c r="O232" t="s">
        <v>464</v>
      </c>
    </row>
    <row r="233" spans="1:15" x14ac:dyDescent="0.3">
      <c r="A233">
        <v>242034</v>
      </c>
      <c r="B233">
        <v>105</v>
      </c>
      <c r="C233" t="s">
        <v>557</v>
      </c>
      <c r="D233" t="s">
        <v>2569</v>
      </c>
      <c r="E233" t="s">
        <v>2629</v>
      </c>
      <c r="F233" s="451">
        <v>46195</v>
      </c>
      <c r="G233">
        <v>17950</v>
      </c>
      <c r="H233" t="s">
        <v>5091</v>
      </c>
      <c r="I233" t="s">
        <v>5222</v>
      </c>
      <c r="J233">
        <v>15</v>
      </c>
      <c r="K233" t="s">
        <v>4738</v>
      </c>
      <c r="L233">
        <v>217.8</v>
      </c>
      <c r="M233">
        <v>14.52</v>
      </c>
      <c r="O233" t="s">
        <v>464</v>
      </c>
    </row>
    <row r="234" spans="1:15" x14ac:dyDescent="0.3">
      <c r="A234">
        <v>242032</v>
      </c>
      <c r="B234">
        <v>105</v>
      </c>
      <c r="C234" t="s">
        <v>557</v>
      </c>
      <c r="D234" t="s">
        <v>2579</v>
      </c>
      <c r="E234" t="s">
        <v>2630</v>
      </c>
      <c r="F234" s="451">
        <v>46195</v>
      </c>
      <c r="G234">
        <v>23361</v>
      </c>
      <c r="H234" t="s">
        <v>4754</v>
      </c>
      <c r="I234" t="s">
        <v>5191</v>
      </c>
      <c r="J234">
        <v>20</v>
      </c>
      <c r="K234" t="s">
        <v>4744</v>
      </c>
      <c r="L234">
        <v>50</v>
      </c>
      <c r="M234">
        <v>2.5</v>
      </c>
      <c r="O234" t="s">
        <v>464</v>
      </c>
    </row>
    <row r="235" spans="1:15" x14ac:dyDescent="0.3">
      <c r="A235">
        <v>242032</v>
      </c>
      <c r="B235">
        <v>105</v>
      </c>
      <c r="C235" t="s">
        <v>557</v>
      </c>
      <c r="D235" t="s">
        <v>2579</v>
      </c>
      <c r="E235" t="s">
        <v>2630</v>
      </c>
      <c r="F235" s="451">
        <v>46195</v>
      </c>
      <c r="G235">
        <v>19634</v>
      </c>
      <c r="H235" t="s">
        <v>4792</v>
      </c>
      <c r="I235" t="s">
        <v>5191</v>
      </c>
      <c r="J235">
        <v>3</v>
      </c>
      <c r="K235" t="s">
        <v>4744</v>
      </c>
      <c r="L235">
        <v>19.5</v>
      </c>
      <c r="M235">
        <v>6.5</v>
      </c>
      <c r="O235" t="s">
        <v>464</v>
      </c>
    </row>
    <row r="236" spans="1:15" x14ac:dyDescent="0.3">
      <c r="A236">
        <v>242032</v>
      </c>
      <c r="B236">
        <v>105</v>
      </c>
      <c r="C236" t="s">
        <v>557</v>
      </c>
      <c r="D236" t="s">
        <v>2579</v>
      </c>
      <c r="E236" t="s">
        <v>2630</v>
      </c>
      <c r="F236" s="451">
        <v>46195</v>
      </c>
      <c r="G236">
        <v>19765</v>
      </c>
      <c r="H236" t="s">
        <v>4889</v>
      </c>
      <c r="I236" t="s">
        <v>5191</v>
      </c>
      <c r="J236">
        <v>1</v>
      </c>
      <c r="K236" t="s">
        <v>4744</v>
      </c>
      <c r="L236">
        <v>35.9</v>
      </c>
      <c r="M236">
        <v>35.9</v>
      </c>
      <c r="O236" t="s">
        <v>464</v>
      </c>
    </row>
    <row r="237" spans="1:15" x14ac:dyDescent="0.3">
      <c r="A237">
        <v>242032</v>
      </c>
      <c r="B237">
        <v>105</v>
      </c>
      <c r="C237" t="s">
        <v>557</v>
      </c>
      <c r="D237" t="s">
        <v>2579</v>
      </c>
      <c r="E237" t="s">
        <v>2630</v>
      </c>
      <c r="F237" s="451">
        <v>46195</v>
      </c>
      <c r="G237">
        <v>19635</v>
      </c>
      <c r="H237" t="s">
        <v>4786</v>
      </c>
      <c r="I237" t="s">
        <v>5191</v>
      </c>
      <c r="J237">
        <v>4</v>
      </c>
      <c r="K237" t="s">
        <v>4744</v>
      </c>
      <c r="L237">
        <v>18.2</v>
      </c>
      <c r="M237">
        <v>4.55</v>
      </c>
      <c r="O237" t="s">
        <v>464</v>
      </c>
    </row>
    <row r="238" spans="1:15" x14ac:dyDescent="0.3">
      <c r="A238">
        <v>242032</v>
      </c>
      <c r="B238">
        <v>105</v>
      </c>
      <c r="C238" t="s">
        <v>557</v>
      </c>
      <c r="D238" t="s">
        <v>2579</v>
      </c>
      <c r="E238" t="s">
        <v>2630</v>
      </c>
      <c r="F238" s="451">
        <v>46195</v>
      </c>
      <c r="G238">
        <v>23096</v>
      </c>
      <c r="H238" t="s">
        <v>5164</v>
      </c>
      <c r="I238" t="s">
        <v>5191</v>
      </c>
      <c r="J238">
        <v>120</v>
      </c>
      <c r="K238" t="s">
        <v>4736</v>
      </c>
      <c r="L238">
        <v>78</v>
      </c>
      <c r="M238">
        <v>0.65</v>
      </c>
      <c r="O238" t="s">
        <v>464</v>
      </c>
    </row>
    <row r="239" spans="1:15" x14ac:dyDescent="0.3">
      <c r="A239">
        <v>242032</v>
      </c>
      <c r="B239">
        <v>105</v>
      </c>
      <c r="C239" t="s">
        <v>557</v>
      </c>
      <c r="D239" t="s">
        <v>2579</v>
      </c>
      <c r="E239" t="s">
        <v>2630</v>
      </c>
      <c r="F239" s="451">
        <v>46195</v>
      </c>
      <c r="G239">
        <v>19507</v>
      </c>
      <c r="H239" t="s">
        <v>4853</v>
      </c>
      <c r="I239" t="s">
        <v>5191</v>
      </c>
      <c r="J239">
        <v>2</v>
      </c>
      <c r="K239" t="s">
        <v>4744</v>
      </c>
      <c r="L239">
        <v>39.86</v>
      </c>
      <c r="M239">
        <v>19.93</v>
      </c>
      <c r="O239" t="s">
        <v>464</v>
      </c>
    </row>
    <row r="240" spans="1:15" x14ac:dyDescent="0.3">
      <c r="A240">
        <v>242032</v>
      </c>
      <c r="B240">
        <v>105</v>
      </c>
      <c r="C240" t="s">
        <v>557</v>
      </c>
      <c r="D240" t="s">
        <v>2579</v>
      </c>
      <c r="E240" t="s">
        <v>2630</v>
      </c>
      <c r="F240" s="451">
        <v>46195</v>
      </c>
      <c r="G240">
        <v>19589</v>
      </c>
      <c r="H240" t="s">
        <v>4983</v>
      </c>
      <c r="I240" t="s">
        <v>5191</v>
      </c>
      <c r="J240">
        <v>2.5</v>
      </c>
      <c r="K240" t="s">
        <v>4744</v>
      </c>
      <c r="L240">
        <v>19.5</v>
      </c>
      <c r="M240">
        <v>7.8</v>
      </c>
      <c r="O240" t="s">
        <v>464</v>
      </c>
    </row>
    <row r="241" spans="1:15" x14ac:dyDescent="0.3">
      <c r="A241">
        <v>242032</v>
      </c>
      <c r="B241">
        <v>105</v>
      </c>
      <c r="C241" t="s">
        <v>557</v>
      </c>
      <c r="D241" t="s">
        <v>2579</v>
      </c>
      <c r="E241" t="s">
        <v>2630</v>
      </c>
      <c r="F241" s="451">
        <v>46195</v>
      </c>
      <c r="G241">
        <v>23108</v>
      </c>
      <c r="H241" t="s">
        <v>5117</v>
      </c>
      <c r="I241" t="s">
        <v>5191</v>
      </c>
      <c r="J241">
        <v>0.3</v>
      </c>
      <c r="K241" t="s">
        <v>4744</v>
      </c>
      <c r="L241">
        <v>23.4</v>
      </c>
      <c r="M241">
        <v>78</v>
      </c>
      <c r="O241" t="s">
        <v>464</v>
      </c>
    </row>
    <row r="242" spans="1:15" x14ac:dyDescent="0.3">
      <c r="A242">
        <v>242032</v>
      </c>
      <c r="B242">
        <v>105</v>
      </c>
      <c r="C242" t="s">
        <v>557</v>
      </c>
      <c r="D242" t="s">
        <v>2579</v>
      </c>
      <c r="E242" t="s">
        <v>2630</v>
      </c>
      <c r="F242" s="451">
        <v>46195</v>
      </c>
      <c r="G242">
        <v>19532</v>
      </c>
      <c r="H242" t="s">
        <v>4753</v>
      </c>
      <c r="I242" t="s">
        <v>5191</v>
      </c>
      <c r="J242">
        <v>15</v>
      </c>
      <c r="K242" t="s">
        <v>4744</v>
      </c>
      <c r="L242">
        <v>97.5</v>
      </c>
      <c r="M242">
        <v>6.5</v>
      </c>
      <c r="O242" t="s">
        <v>464</v>
      </c>
    </row>
    <row r="243" spans="1:15" x14ac:dyDescent="0.3">
      <c r="A243">
        <v>242032</v>
      </c>
      <c r="B243">
        <v>105</v>
      </c>
      <c r="C243" t="s">
        <v>557</v>
      </c>
      <c r="D243" t="s">
        <v>2579</v>
      </c>
      <c r="E243" t="s">
        <v>2630</v>
      </c>
      <c r="F243" s="451">
        <v>46195</v>
      </c>
      <c r="G243">
        <v>19490</v>
      </c>
      <c r="H243" t="s">
        <v>5116</v>
      </c>
      <c r="I243" t="s">
        <v>5191</v>
      </c>
      <c r="J243">
        <v>0.36</v>
      </c>
      <c r="K243" t="s">
        <v>4744</v>
      </c>
      <c r="L243">
        <v>16.38</v>
      </c>
      <c r="M243">
        <v>45.5</v>
      </c>
      <c r="O243" t="s">
        <v>464</v>
      </c>
    </row>
    <row r="244" spans="1:15" x14ac:dyDescent="0.3">
      <c r="A244">
        <v>242032</v>
      </c>
      <c r="B244">
        <v>105</v>
      </c>
      <c r="C244" t="s">
        <v>557</v>
      </c>
      <c r="D244" t="s">
        <v>2579</v>
      </c>
      <c r="E244" t="s">
        <v>2630</v>
      </c>
      <c r="F244" s="451">
        <v>46195</v>
      </c>
      <c r="G244">
        <v>23238</v>
      </c>
      <c r="H244" t="s">
        <v>4934</v>
      </c>
      <c r="I244" t="s">
        <v>5191</v>
      </c>
      <c r="J244">
        <v>2</v>
      </c>
      <c r="K244" t="s">
        <v>4744</v>
      </c>
      <c r="L244">
        <v>33.799999999999997</v>
      </c>
      <c r="M244">
        <v>16.899999999999999</v>
      </c>
      <c r="O244" t="s">
        <v>464</v>
      </c>
    </row>
    <row r="245" spans="1:15" x14ac:dyDescent="0.3">
      <c r="A245">
        <v>242028</v>
      </c>
      <c r="B245">
        <v>105</v>
      </c>
      <c r="C245" t="s">
        <v>557</v>
      </c>
      <c r="D245" t="s">
        <v>2581</v>
      </c>
      <c r="E245" t="s">
        <v>2631</v>
      </c>
      <c r="F245" s="451">
        <v>46198</v>
      </c>
      <c r="G245">
        <v>23113</v>
      </c>
      <c r="H245" t="s">
        <v>5074</v>
      </c>
      <c r="I245" t="s">
        <v>5191</v>
      </c>
      <c r="J245">
        <v>1.5</v>
      </c>
      <c r="K245" t="s">
        <v>4744</v>
      </c>
      <c r="L245">
        <v>12.75</v>
      </c>
      <c r="M245">
        <v>8.5</v>
      </c>
      <c r="O245" t="s">
        <v>464</v>
      </c>
    </row>
    <row r="246" spans="1:15" x14ac:dyDescent="0.3">
      <c r="A246">
        <v>242028</v>
      </c>
      <c r="B246">
        <v>105</v>
      </c>
      <c r="C246" t="s">
        <v>557</v>
      </c>
      <c r="D246" t="s">
        <v>2581</v>
      </c>
      <c r="E246" t="s">
        <v>2631</v>
      </c>
      <c r="F246" s="451">
        <v>46198</v>
      </c>
      <c r="G246">
        <v>19472</v>
      </c>
      <c r="H246" t="s">
        <v>4906</v>
      </c>
      <c r="I246" t="s">
        <v>5191</v>
      </c>
      <c r="J246">
        <v>1</v>
      </c>
      <c r="K246" t="s">
        <v>4744</v>
      </c>
      <c r="L246">
        <v>13</v>
      </c>
      <c r="M246">
        <v>13</v>
      </c>
      <c r="O246" t="s">
        <v>464</v>
      </c>
    </row>
    <row r="247" spans="1:15" x14ac:dyDescent="0.3">
      <c r="A247">
        <v>242028</v>
      </c>
      <c r="B247">
        <v>105</v>
      </c>
      <c r="C247" t="s">
        <v>557</v>
      </c>
      <c r="D247" t="s">
        <v>2581</v>
      </c>
      <c r="E247" t="s">
        <v>2631</v>
      </c>
      <c r="F247" s="451">
        <v>46198</v>
      </c>
      <c r="G247">
        <v>19506</v>
      </c>
      <c r="H247" t="s">
        <v>5122</v>
      </c>
      <c r="I247" t="s">
        <v>5191</v>
      </c>
      <c r="J247">
        <v>0.5</v>
      </c>
      <c r="K247" t="s">
        <v>4744</v>
      </c>
      <c r="L247">
        <v>25</v>
      </c>
      <c r="M247">
        <v>50</v>
      </c>
      <c r="O247" t="s">
        <v>464</v>
      </c>
    </row>
    <row r="248" spans="1:15" x14ac:dyDescent="0.3">
      <c r="A248">
        <v>242028</v>
      </c>
      <c r="B248">
        <v>105</v>
      </c>
      <c r="C248" t="s">
        <v>557</v>
      </c>
      <c r="D248" t="s">
        <v>2581</v>
      </c>
      <c r="E248" t="s">
        <v>2631</v>
      </c>
      <c r="F248" s="451">
        <v>46198</v>
      </c>
      <c r="G248">
        <v>19632</v>
      </c>
      <c r="H248" t="s">
        <v>4936</v>
      </c>
      <c r="I248" t="s">
        <v>5191</v>
      </c>
      <c r="J248">
        <v>1</v>
      </c>
      <c r="K248" t="s">
        <v>4744</v>
      </c>
      <c r="L248">
        <v>3.9</v>
      </c>
      <c r="M248">
        <v>3.9</v>
      </c>
      <c r="O248" t="s">
        <v>464</v>
      </c>
    </row>
    <row r="249" spans="1:15" x14ac:dyDescent="0.3">
      <c r="A249">
        <v>242028</v>
      </c>
      <c r="B249">
        <v>105</v>
      </c>
      <c r="C249" t="s">
        <v>557</v>
      </c>
      <c r="D249" t="s">
        <v>2581</v>
      </c>
      <c r="E249" t="s">
        <v>2631</v>
      </c>
      <c r="F249" s="451">
        <v>46198</v>
      </c>
      <c r="G249">
        <v>19734</v>
      </c>
      <c r="H249" t="s">
        <v>4833</v>
      </c>
      <c r="I249" t="s">
        <v>5191</v>
      </c>
      <c r="J249">
        <v>3</v>
      </c>
      <c r="K249" t="s">
        <v>4744</v>
      </c>
      <c r="L249">
        <v>39</v>
      </c>
      <c r="M249">
        <v>13</v>
      </c>
      <c r="O249" t="s">
        <v>464</v>
      </c>
    </row>
    <row r="250" spans="1:15" x14ac:dyDescent="0.3">
      <c r="A250">
        <v>242028</v>
      </c>
      <c r="B250">
        <v>105</v>
      </c>
      <c r="C250" t="s">
        <v>557</v>
      </c>
      <c r="D250" t="s">
        <v>2581</v>
      </c>
      <c r="E250" t="s">
        <v>2631</v>
      </c>
      <c r="F250" s="451">
        <v>46198</v>
      </c>
      <c r="G250">
        <v>19743</v>
      </c>
      <c r="H250" t="s">
        <v>5047</v>
      </c>
      <c r="I250" t="s">
        <v>5191</v>
      </c>
      <c r="J250">
        <v>3</v>
      </c>
      <c r="K250" t="s">
        <v>4744</v>
      </c>
      <c r="L250">
        <v>45</v>
      </c>
      <c r="M250">
        <v>15</v>
      </c>
      <c r="O250" t="s">
        <v>464</v>
      </c>
    </row>
    <row r="251" spans="1:15" x14ac:dyDescent="0.3">
      <c r="A251">
        <v>242028</v>
      </c>
      <c r="B251">
        <v>105</v>
      </c>
      <c r="C251" t="s">
        <v>557</v>
      </c>
      <c r="D251" t="s">
        <v>2581</v>
      </c>
      <c r="E251" t="s">
        <v>2631</v>
      </c>
      <c r="F251" s="451">
        <v>46198</v>
      </c>
      <c r="G251">
        <v>19622</v>
      </c>
      <c r="H251" t="s">
        <v>4915</v>
      </c>
      <c r="I251" t="s">
        <v>5191</v>
      </c>
      <c r="J251">
        <v>2</v>
      </c>
      <c r="K251" t="s">
        <v>4744</v>
      </c>
      <c r="L251">
        <v>11</v>
      </c>
      <c r="M251">
        <v>5.5</v>
      </c>
      <c r="O251" t="s">
        <v>464</v>
      </c>
    </row>
    <row r="252" spans="1:15" x14ac:dyDescent="0.3">
      <c r="A252">
        <v>242028</v>
      </c>
      <c r="B252">
        <v>105</v>
      </c>
      <c r="C252" t="s">
        <v>557</v>
      </c>
      <c r="D252" t="s">
        <v>2581</v>
      </c>
      <c r="E252" t="s">
        <v>2631</v>
      </c>
      <c r="F252" s="451">
        <v>46198</v>
      </c>
      <c r="G252">
        <v>19562</v>
      </c>
      <c r="H252" t="s">
        <v>4939</v>
      </c>
      <c r="I252" t="s">
        <v>5191</v>
      </c>
      <c r="J252">
        <v>2</v>
      </c>
      <c r="K252" t="s">
        <v>4744</v>
      </c>
      <c r="L252">
        <v>26</v>
      </c>
      <c r="M252">
        <v>13</v>
      </c>
      <c r="O252" t="s">
        <v>464</v>
      </c>
    </row>
    <row r="253" spans="1:15" x14ac:dyDescent="0.3">
      <c r="A253">
        <v>242028</v>
      </c>
      <c r="B253">
        <v>105</v>
      </c>
      <c r="C253" t="s">
        <v>557</v>
      </c>
      <c r="D253" t="s">
        <v>2581</v>
      </c>
      <c r="E253" t="s">
        <v>2631</v>
      </c>
      <c r="F253" s="451">
        <v>46198</v>
      </c>
      <c r="G253">
        <v>19752</v>
      </c>
      <c r="H253" t="s">
        <v>4807</v>
      </c>
      <c r="I253" t="s">
        <v>5191</v>
      </c>
      <c r="J253">
        <v>2</v>
      </c>
      <c r="K253" t="s">
        <v>4744</v>
      </c>
      <c r="L253">
        <v>10</v>
      </c>
      <c r="M253">
        <v>5</v>
      </c>
      <c r="O253" t="s">
        <v>464</v>
      </c>
    </row>
    <row r="254" spans="1:15" x14ac:dyDescent="0.3">
      <c r="A254">
        <v>242028</v>
      </c>
      <c r="B254">
        <v>105</v>
      </c>
      <c r="C254" t="s">
        <v>557</v>
      </c>
      <c r="D254" t="s">
        <v>2581</v>
      </c>
      <c r="E254" t="s">
        <v>2631</v>
      </c>
      <c r="F254" s="451">
        <v>46198</v>
      </c>
      <c r="G254">
        <v>23390</v>
      </c>
      <c r="H254" t="s">
        <v>4873</v>
      </c>
      <c r="I254" t="s">
        <v>5191</v>
      </c>
      <c r="J254">
        <v>1</v>
      </c>
      <c r="K254" t="s">
        <v>4744</v>
      </c>
      <c r="L254">
        <v>8</v>
      </c>
      <c r="M254">
        <v>8</v>
      </c>
      <c r="O254" t="s">
        <v>464</v>
      </c>
    </row>
    <row r="255" spans="1:15" x14ac:dyDescent="0.3">
      <c r="A255">
        <v>242028</v>
      </c>
      <c r="B255">
        <v>105</v>
      </c>
      <c r="C255" t="s">
        <v>557</v>
      </c>
      <c r="D255" t="s">
        <v>2581</v>
      </c>
      <c r="E255" t="s">
        <v>2631</v>
      </c>
      <c r="F255" s="451">
        <v>46198</v>
      </c>
      <c r="G255">
        <v>19488</v>
      </c>
      <c r="H255" t="s">
        <v>5107</v>
      </c>
      <c r="I255" t="s">
        <v>5191</v>
      </c>
      <c r="J255">
        <v>0.3</v>
      </c>
      <c r="K255" t="s">
        <v>4744</v>
      </c>
      <c r="L255">
        <v>4.2</v>
      </c>
      <c r="M255">
        <v>14</v>
      </c>
      <c r="O255" t="s">
        <v>464</v>
      </c>
    </row>
    <row r="256" spans="1:15" x14ac:dyDescent="0.3">
      <c r="A256">
        <v>242028</v>
      </c>
      <c r="B256">
        <v>105</v>
      </c>
      <c r="C256" t="s">
        <v>557</v>
      </c>
      <c r="D256" t="s">
        <v>2581</v>
      </c>
      <c r="E256" t="s">
        <v>2631</v>
      </c>
      <c r="F256" s="451">
        <v>46198</v>
      </c>
      <c r="G256">
        <v>24099</v>
      </c>
      <c r="H256" t="s">
        <v>4933</v>
      </c>
      <c r="I256" t="s">
        <v>5191</v>
      </c>
      <c r="J256">
        <v>1</v>
      </c>
      <c r="K256" t="s">
        <v>4744</v>
      </c>
      <c r="L256">
        <v>12</v>
      </c>
      <c r="M256">
        <v>12</v>
      </c>
      <c r="O256" t="s">
        <v>464</v>
      </c>
    </row>
    <row r="257" spans="1:15" x14ac:dyDescent="0.3">
      <c r="A257">
        <v>242028</v>
      </c>
      <c r="B257">
        <v>105</v>
      </c>
      <c r="C257" t="s">
        <v>557</v>
      </c>
      <c r="D257" t="s">
        <v>2581</v>
      </c>
      <c r="E257" t="s">
        <v>2631</v>
      </c>
      <c r="F257" s="451">
        <v>46198</v>
      </c>
      <c r="G257">
        <v>19492</v>
      </c>
      <c r="H257" t="s">
        <v>4937</v>
      </c>
      <c r="I257" t="s">
        <v>5191</v>
      </c>
      <c r="J257">
        <v>1</v>
      </c>
      <c r="K257" t="s">
        <v>4744</v>
      </c>
      <c r="L257">
        <v>16</v>
      </c>
      <c r="M257">
        <v>16</v>
      </c>
      <c r="O257" t="s">
        <v>464</v>
      </c>
    </row>
    <row r="258" spans="1:15" x14ac:dyDescent="0.3">
      <c r="A258">
        <v>242028</v>
      </c>
      <c r="B258">
        <v>105</v>
      </c>
      <c r="C258" t="s">
        <v>557</v>
      </c>
      <c r="D258" t="s">
        <v>2581</v>
      </c>
      <c r="E258" t="s">
        <v>2631</v>
      </c>
      <c r="F258" s="451">
        <v>46198</v>
      </c>
      <c r="G258">
        <v>19507</v>
      </c>
      <c r="H258" t="s">
        <v>4853</v>
      </c>
      <c r="I258" t="s">
        <v>5191</v>
      </c>
      <c r="J258">
        <v>1.5</v>
      </c>
      <c r="K258" t="s">
        <v>4744</v>
      </c>
      <c r="L258">
        <v>25.5</v>
      </c>
      <c r="M258">
        <v>17</v>
      </c>
      <c r="O258" t="s">
        <v>464</v>
      </c>
    </row>
    <row r="259" spans="1:15" x14ac:dyDescent="0.3">
      <c r="A259">
        <v>242028</v>
      </c>
      <c r="B259">
        <v>105</v>
      </c>
      <c r="C259" t="s">
        <v>557</v>
      </c>
      <c r="D259" t="s">
        <v>2581</v>
      </c>
      <c r="E259" t="s">
        <v>2631</v>
      </c>
      <c r="F259" s="451">
        <v>46198</v>
      </c>
      <c r="G259">
        <v>24083</v>
      </c>
      <c r="H259" t="s">
        <v>5165</v>
      </c>
      <c r="I259" t="s">
        <v>5191</v>
      </c>
      <c r="J259">
        <v>70</v>
      </c>
      <c r="K259" t="s">
        <v>4744</v>
      </c>
      <c r="L259">
        <v>609</v>
      </c>
      <c r="M259">
        <v>8.6999999999999993</v>
      </c>
      <c r="O259" t="s">
        <v>464</v>
      </c>
    </row>
    <row r="260" spans="1:15" x14ac:dyDescent="0.3">
      <c r="A260">
        <v>242028</v>
      </c>
      <c r="B260">
        <v>105</v>
      </c>
      <c r="C260" t="s">
        <v>557</v>
      </c>
      <c r="D260" t="s">
        <v>2581</v>
      </c>
      <c r="E260" t="s">
        <v>2631</v>
      </c>
      <c r="F260" s="451">
        <v>46198</v>
      </c>
      <c r="G260">
        <v>23236</v>
      </c>
      <c r="H260" t="s">
        <v>5062</v>
      </c>
      <c r="I260" t="s">
        <v>5191</v>
      </c>
      <c r="J260">
        <v>2</v>
      </c>
      <c r="K260" t="s">
        <v>4744</v>
      </c>
      <c r="L260">
        <v>17</v>
      </c>
      <c r="M260">
        <v>8.5</v>
      </c>
      <c r="O260" t="s">
        <v>464</v>
      </c>
    </row>
    <row r="261" spans="1:15" x14ac:dyDescent="0.3">
      <c r="A261">
        <v>242028</v>
      </c>
      <c r="B261">
        <v>105</v>
      </c>
      <c r="C261" t="s">
        <v>557</v>
      </c>
      <c r="D261" t="s">
        <v>2581</v>
      </c>
      <c r="E261" t="s">
        <v>2631</v>
      </c>
      <c r="F261" s="451">
        <v>46198</v>
      </c>
      <c r="G261">
        <v>23198</v>
      </c>
      <c r="H261" t="s">
        <v>4962</v>
      </c>
      <c r="I261" t="s">
        <v>5191</v>
      </c>
      <c r="J261">
        <v>0.5</v>
      </c>
      <c r="K261" t="s">
        <v>4744</v>
      </c>
      <c r="L261">
        <v>6</v>
      </c>
      <c r="M261">
        <v>12</v>
      </c>
      <c r="O261" t="s">
        <v>464</v>
      </c>
    </row>
    <row r="262" spans="1:15" x14ac:dyDescent="0.3">
      <c r="A262">
        <v>242028</v>
      </c>
      <c r="B262">
        <v>105</v>
      </c>
      <c r="C262" t="s">
        <v>557</v>
      </c>
      <c r="D262" t="s">
        <v>2581</v>
      </c>
      <c r="E262" t="s">
        <v>2631</v>
      </c>
      <c r="F262" s="451">
        <v>46198</v>
      </c>
      <c r="G262">
        <v>19502</v>
      </c>
      <c r="H262" t="s">
        <v>4871</v>
      </c>
      <c r="I262" t="s">
        <v>5191</v>
      </c>
      <c r="J262">
        <v>2</v>
      </c>
      <c r="K262" t="s">
        <v>4744</v>
      </c>
      <c r="L262">
        <v>26</v>
      </c>
      <c r="M262">
        <v>13</v>
      </c>
      <c r="O262" t="s">
        <v>464</v>
      </c>
    </row>
    <row r="263" spans="1:15" x14ac:dyDescent="0.3">
      <c r="A263">
        <v>242028</v>
      </c>
      <c r="B263">
        <v>105</v>
      </c>
      <c r="C263" t="s">
        <v>557</v>
      </c>
      <c r="D263" t="s">
        <v>2581</v>
      </c>
      <c r="E263" t="s">
        <v>2631</v>
      </c>
      <c r="F263" s="451">
        <v>46198</v>
      </c>
      <c r="G263">
        <v>19565</v>
      </c>
      <c r="H263" t="s">
        <v>5252</v>
      </c>
      <c r="I263" t="s">
        <v>5191</v>
      </c>
      <c r="J263">
        <v>1</v>
      </c>
      <c r="K263" t="s">
        <v>4744</v>
      </c>
      <c r="L263">
        <v>50</v>
      </c>
      <c r="M263">
        <v>50</v>
      </c>
      <c r="O263" t="s">
        <v>464</v>
      </c>
    </row>
    <row r="264" spans="1:15" x14ac:dyDescent="0.3">
      <c r="A264">
        <v>242028</v>
      </c>
      <c r="B264">
        <v>105</v>
      </c>
      <c r="C264" t="s">
        <v>557</v>
      </c>
      <c r="D264" t="s">
        <v>2581</v>
      </c>
      <c r="E264" t="s">
        <v>2631</v>
      </c>
      <c r="F264" s="451">
        <v>46198</v>
      </c>
      <c r="G264">
        <v>19505</v>
      </c>
      <c r="H264" t="s">
        <v>4872</v>
      </c>
      <c r="I264" t="s">
        <v>5191</v>
      </c>
      <c r="J264">
        <v>3</v>
      </c>
      <c r="K264" t="s">
        <v>4744</v>
      </c>
      <c r="L264">
        <v>30</v>
      </c>
      <c r="M264">
        <v>10</v>
      </c>
      <c r="O264" t="s">
        <v>464</v>
      </c>
    </row>
    <row r="265" spans="1:15" x14ac:dyDescent="0.3">
      <c r="A265">
        <v>242028</v>
      </c>
      <c r="B265">
        <v>105</v>
      </c>
      <c r="C265" t="s">
        <v>557</v>
      </c>
      <c r="D265" t="s">
        <v>2581</v>
      </c>
      <c r="E265" t="s">
        <v>2631</v>
      </c>
      <c r="F265" s="451">
        <v>46198</v>
      </c>
      <c r="G265">
        <v>19751</v>
      </c>
      <c r="H265" t="s">
        <v>4800</v>
      </c>
      <c r="I265" t="s">
        <v>5191</v>
      </c>
      <c r="J265">
        <v>3</v>
      </c>
      <c r="K265" t="s">
        <v>4744</v>
      </c>
      <c r="L265">
        <v>26.1</v>
      </c>
      <c r="M265">
        <v>8.6999999999999993</v>
      </c>
      <c r="O265" t="s">
        <v>464</v>
      </c>
    </row>
    <row r="266" spans="1:15" x14ac:dyDescent="0.3">
      <c r="A266">
        <v>242028</v>
      </c>
      <c r="B266">
        <v>105</v>
      </c>
      <c r="C266" t="s">
        <v>557</v>
      </c>
      <c r="D266" t="s">
        <v>2581</v>
      </c>
      <c r="E266" t="s">
        <v>2631</v>
      </c>
      <c r="F266" s="451">
        <v>46198</v>
      </c>
      <c r="G266">
        <v>23096</v>
      </c>
      <c r="H266" t="s">
        <v>5164</v>
      </c>
      <c r="I266" t="s">
        <v>5191</v>
      </c>
      <c r="J266">
        <v>120</v>
      </c>
      <c r="K266" t="s">
        <v>4736</v>
      </c>
      <c r="L266">
        <v>78</v>
      </c>
      <c r="M266">
        <v>0.65</v>
      </c>
      <c r="O266" t="s">
        <v>464</v>
      </c>
    </row>
    <row r="267" spans="1:15" x14ac:dyDescent="0.3">
      <c r="A267">
        <v>242028</v>
      </c>
      <c r="B267">
        <v>105</v>
      </c>
      <c r="C267" t="s">
        <v>557</v>
      </c>
      <c r="D267" t="s">
        <v>2581</v>
      </c>
      <c r="E267" t="s">
        <v>2631</v>
      </c>
      <c r="F267" s="451">
        <v>46198</v>
      </c>
      <c r="G267">
        <v>19617</v>
      </c>
      <c r="H267" t="s">
        <v>5071</v>
      </c>
      <c r="I267" t="s">
        <v>5191</v>
      </c>
      <c r="J267">
        <v>0.5</v>
      </c>
      <c r="K267" t="s">
        <v>4744</v>
      </c>
      <c r="L267">
        <v>11.5</v>
      </c>
      <c r="M267">
        <v>23</v>
      </c>
      <c r="O267" t="s">
        <v>464</v>
      </c>
    </row>
    <row r="268" spans="1:15" x14ac:dyDescent="0.3">
      <c r="A268">
        <v>242028</v>
      </c>
      <c r="B268">
        <v>105</v>
      </c>
      <c r="C268" t="s">
        <v>557</v>
      </c>
      <c r="D268" t="s">
        <v>2581</v>
      </c>
      <c r="E268" t="s">
        <v>2631</v>
      </c>
      <c r="F268" s="451">
        <v>46198</v>
      </c>
      <c r="G268">
        <v>23365</v>
      </c>
      <c r="H268" t="s">
        <v>5108</v>
      </c>
      <c r="I268" t="s">
        <v>5191</v>
      </c>
      <c r="J268">
        <v>2</v>
      </c>
      <c r="K268" t="s">
        <v>4744</v>
      </c>
      <c r="L268">
        <v>40</v>
      </c>
      <c r="M268">
        <v>20</v>
      </c>
      <c r="O268" t="s">
        <v>464</v>
      </c>
    </row>
    <row r="269" spans="1:15" x14ac:dyDescent="0.3">
      <c r="A269">
        <v>242028</v>
      </c>
      <c r="B269">
        <v>105</v>
      </c>
      <c r="C269" t="s">
        <v>557</v>
      </c>
      <c r="D269" t="s">
        <v>2581</v>
      </c>
      <c r="E269" t="s">
        <v>2631</v>
      </c>
      <c r="F269" s="451">
        <v>46198</v>
      </c>
      <c r="G269">
        <v>19635</v>
      </c>
      <c r="H269" t="s">
        <v>4786</v>
      </c>
      <c r="I269" t="s">
        <v>5191</v>
      </c>
      <c r="J269">
        <v>8</v>
      </c>
      <c r="K269" t="s">
        <v>4744</v>
      </c>
      <c r="L269">
        <v>36</v>
      </c>
      <c r="M269">
        <v>4.5</v>
      </c>
      <c r="O269" t="s">
        <v>464</v>
      </c>
    </row>
    <row r="270" spans="1:15" x14ac:dyDescent="0.3">
      <c r="A270">
        <v>242027</v>
      </c>
      <c r="B270">
        <v>105</v>
      </c>
      <c r="C270" t="s">
        <v>557</v>
      </c>
      <c r="D270" t="s">
        <v>2581</v>
      </c>
      <c r="E270" t="s">
        <v>2632</v>
      </c>
      <c r="F270" s="451">
        <v>46200</v>
      </c>
      <c r="G270">
        <v>19505</v>
      </c>
      <c r="H270" t="s">
        <v>4872</v>
      </c>
      <c r="I270" t="s">
        <v>5191</v>
      </c>
      <c r="J270">
        <v>2</v>
      </c>
      <c r="K270" t="s">
        <v>4744</v>
      </c>
      <c r="L270">
        <v>20</v>
      </c>
      <c r="M270">
        <v>10</v>
      </c>
      <c r="O270" t="s">
        <v>464</v>
      </c>
    </row>
    <row r="271" spans="1:15" x14ac:dyDescent="0.3">
      <c r="A271">
        <v>242027</v>
      </c>
      <c r="B271">
        <v>105</v>
      </c>
      <c r="C271" t="s">
        <v>557</v>
      </c>
      <c r="D271" t="s">
        <v>2581</v>
      </c>
      <c r="E271" t="s">
        <v>2632</v>
      </c>
      <c r="F271" s="451">
        <v>46200</v>
      </c>
      <c r="G271">
        <v>19617</v>
      </c>
      <c r="H271" t="s">
        <v>5071</v>
      </c>
      <c r="I271" t="s">
        <v>5191</v>
      </c>
      <c r="J271">
        <v>0.3</v>
      </c>
      <c r="K271" t="s">
        <v>4744</v>
      </c>
      <c r="L271">
        <v>7.5</v>
      </c>
      <c r="M271">
        <v>25</v>
      </c>
      <c r="O271" t="s">
        <v>464</v>
      </c>
    </row>
    <row r="272" spans="1:15" x14ac:dyDescent="0.3">
      <c r="A272">
        <v>242027</v>
      </c>
      <c r="B272">
        <v>105</v>
      </c>
      <c r="C272" t="s">
        <v>557</v>
      </c>
      <c r="D272" t="s">
        <v>2581</v>
      </c>
      <c r="E272" t="s">
        <v>2632</v>
      </c>
      <c r="F272" s="451">
        <v>46200</v>
      </c>
      <c r="G272">
        <v>24037</v>
      </c>
      <c r="H272" t="s">
        <v>5233</v>
      </c>
      <c r="I272" t="s">
        <v>5191</v>
      </c>
      <c r="J272">
        <v>2</v>
      </c>
      <c r="K272" t="s">
        <v>4744</v>
      </c>
      <c r="L272">
        <v>35</v>
      </c>
      <c r="M272">
        <v>17.5</v>
      </c>
      <c r="O272" t="s">
        <v>464</v>
      </c>
    </row>
    <row r="273" spans="1:15" x14ac:dyDescent="0.3">
      <c r="A273">
        <v>242027</v>
      </c>
      <c r="B273">
        <v>105</v>
      </c>
      <c r="C273" t="s">
        <v>557</v>
      </c>
      <c r="D273" t="s">
        <v>2581</v>
      </c>
      <c r="E273" t="s">
        <v>2632</v>
      </c>
      <c r="F273" s="451">
        <v>46200</v>
      </c>
      <c r="G273">
        <v>19621</v>
      </c>
      <c r="H273" t="s">
        <v>4829</v>
      </c>
      <c r="I273" t="s">
        <v>5191</v>
      </c>
      <c r="J273">
        <v>3</v>
      </c>
      <c r="K273" t="s">
        <v>4744</v>
      </c>
      <c r="L273">
        <v>19.5</v>
      </c>
      <c r="M273">
        <v>6.5</v>
      </c>
      <c r="O273" t="s">
        <v>464</v>
      </c>
    </row>
    <row r="274" spans="1:15" x14ac:dyDescent="0.3">
      <c r="A274">
        <v>242027</v>
      </c>
      <c r="B274">
        <v>105</v>
      </c>
      <c r="C274" t="s">
        <v>557</v>
      </c>
      <c r="D274" t="s">
        <v>2581</v>
      </c>
      <c r="E274" t="s">
        <v>2632</v>
      </c>
      <c r="F274" s="451">
        <v>46200</v>
      </c>
      <c r="G274">
        <v>19492</v>
      </c>
      <c r="H274" t="s">
        <v>4937</v>
      </c>
      <c r="I274" t="s">
        <v>5191</v>
      </c>
      <c r="J274">
        <v>1</v>
      </c>
      <c r="K274" t="s">
        <v>4744</v>
      </c>
      <c r="L274">
        <v>16</v>
      </c>
      <c r="M274">
        <v>16</v>
      </c>
      <c r="O274" t="s">
        <v>464</v>
      </c>
    </row>
    <row r="275" spans="1:15" x14ac:dyDescent="0.3">
      <c r="A275">
        <v>242027</v>
      </c>
      <c r="B275">
        <v>105</v>
      </c>
      <c r="C275" t="s">
        <v>557</v>
      </c>
      <c r="D275" t="s">
        <v>2581</v>
      </c>
      <c r="E275" t="s">
        <v>2632</v>
      </c>
      <c r="F275" s="451">
        <v>46200</v>
      </c>
      <c r="G275">
        <v>19647</v>
      </c>
      <c r="H275" t="s">
        <v>5050</v>
      </c>
      <c r="I275" t="s">
        <v>5191</v>
      </c>
      <c r="J275">
        <v>0.5</v>
      </c>
      <c r="K275" t="s">
        <v>4744</v>
      </c>
      <c r="L275">
        <v>5.75</v>
      </c>
      <c r="M275">
        <v>11.5</v>
      </c>
      <c r="O275" t="s">
        <v>464</v>
      </c>
    </row>
    <row r="276" spans="1:15" x14ac:dyDescent="0.3">
      <c r="A276">
        <v>242027</v>
      </c>
      <c r="B276">
        <v>105</v>
      </c>
      <c r="C276" t="s">
        <v>557</v>
      </c>
      <c r="D276" t="s">
        <v>2581</v>
      </c>
      <c r="E276" t="s">
        <v>2632</v>
      </c>
      <c r="F276" s="451">
        <v>46200</v>
      </c>
      <c r="G276">
        <v>19502</v>
      </c>
      <c r="H276" t="s">
        <v>4871</v>
      </c>
      <c r="I276" t="s">
        <v>5191</v>
      </c>
      <c r="J276">
        <v>1.5</v>
      </c>
      <c r="K276" t="s">
        <v>4744</v>
      </c>
      <c r="L276">
        <v>19.5</v>
      </c>
      <c r="M276">
        <v>13</v>
      </c>
      <c r="O276" t="s">
        <v>464</v>
      </c>
    </row>
    <row r="277" spans="1:15" x14ac:dyDescent="0.3">
      <c r="A277">
        <v>242027</v>
      </c>
      <c r="B277">
        <v>105</v>
      </c>
      <c r="C277" t="s">
        <v>557</v>
      </c>
      <c r="D277" t="s">
        <v>2581</v>
      </c>
      <c r="E277" t="s">
        <v>2632</v>
      </c>
      <c r="F277" s="451">
        <v>46200</v>
      </c>
      <c r="G277">
        <v>23390</v>
      </c>
      <c r="H277" t="s">
        <v>4873</v>
      </c>
      <c r="I277" t="s">
        <v>5191</v>
      </c>
      <c r="J277">
        <v>1</v>
      </c>
      <c r="K277" t="s">
        <v>4744</v>
      </c>
      <c r="L277">
        <v>8</v>
      </c>
      <c r="M277">
        <v>8</v>
      </c>
      <c r="O277" t="s">
        <v>464</v>
      </c>
    </row>
    <row r="278" spans="1:15" x14ac:dyDescent="0.3">
      <c r="A278">
        <v>242027</v>
      </c>
      <c r="B278">
        <v>105</v>
      </c>
      <c r="C278" t="s">
        <v>557</v>
      </c>
      <c r="D278" t="s">
        <v>2581</v>
      </c>
      <c r="E278" t="s">
        <v>2632</v>
      </c>
      <c r="F278" s="451">
        <v>46200</v>
      </c>
      <c r="G278">
        <v>24099</v>
      </c>
      <c r="H278" t="s">
        <v>4933</v>
      </c>
      <c r="I278" t="s">
        <v>5191</v>
      </c>
      <c r="J278">
        <v>1</v>
      </c>
      <c r="K278" t="s">
        <v>4744</v>
      </c>
      <c r="L278">
        <v>12</v>
      </c>
      <c r="M278">
        <v>12</v>
      </c>
      <c r="O278" t="s">
        <v>464</v>
      </c>
    </row>
    <row r="279" spans="1:15" x14ac:dyDescent="0.3">
      <c r="A279">
        <v>242027</v>
      </c>
      <c r="B279">
        <v>105</v>
      </c>
      <c r="C279" t="s">
        <v>557</v>
      </c>
      <c r="D279" t="s">
        <v>2581</v>
      </c>
      <c r="E279" t="s">
        <v>2632</v>
      </c>
      <c r="F279" s="451">
        <v>46200</v>
      </c>
      <c r="G279">
        <v>19507</v>
      </c>
      <c r="H279" t="s">
        <v>4853</v>
      </c>
      <c r="I279" t="s">
        <v>5191</v>
      </c>
      <c r="J279">
        <v>1.5</v>
      </c>
      <c r="K279" t="s">
        <v>4744</v>
      </c>
      <c r="L279">
        <v>27</v>
      </c>
      <c r="M279">
        <v>18</v>
      </c>
      <c r="O279" t="s">
        <v>464</v>
      </c>
    </row>
    <row r="280" spans="1:15" x14ac:dyDescent="0.3">
      <c r="A280">
        <v>242027</v>
      </c>
      <c r="B280">
        <v>105</v>
      </c>
      <c r="C280" t="s">
        <v>557</v>
      </c>
      <c r="D280" t="s">
        <v>2581</v>
      </c>
      <c r="E280" t="s">
        <v>2632</v>
      </c>
      <c r="F280" s="451">
        <v>46200</v>
      </c>
      <c r="G280">
        <v>23096</v>
      </c>
      <c r="H280" t="s">
        <v>5164</v>
      </c>
      <c r="I280" t="s">
        <v>5191</v>
      </c>
      <c r="J280">
        <v>60</v>
      </c>
      <c r="K280" t="s">
        <v>4736</v>
      </c>
      <c r="L280">
        <v>39</v>
      </c>
      <c r="M280">
        <v>0.65</v>
      </c>
      <c r="O280" t="s">
        <v>464</v>
      </c>
    </row>
    <row r="281" spans="1:15" x14ac:dyDescent="0.3">
      <c r="A281">
        <v>242027</v>
      </c>
      <c r="B281">
        <v>105</v>
      </c>
      <c r="C281" t="s">
        <v>557</v>
      </c>
      <c r="D281" t="s">
        <v>2581</v>
      </c>
      <c r="E281" t="s">
        <v>2632</v>
      </c>
      <c r="F281" s="451">
        <v>46200</v>
      </c>
      <c r="G281">
        <v>23113</v>
      </c>
      <c r="H281" t="s">
        <v>5074</v>
      </c>
      <c r="I281" t="s">
        <v>5191</v>
      </c>
      <c r="J281">
        <v>2</v>
      </c>
      <c r="K281" t="s">
        <v>4744</v>
      </c>
      <c r="L281">
        <v>18</v>
      </c>
      <c r="M281">
        <v>9</v>
      </c>
      <c r="O281" t="s">
        <v>464</v>
      </c>
    </row>
    <row r="282" spans="1:15" x14ac:dyDescent="0.3">
      <c r="A282">
        <v>242027</v>
      </c>
      <c r="B282">
        <v>105</v>
      </c>
      <c r="C282" t="s">
        <v>557</v>
      </c>
      <c r="D282" t="s">
        <v>2581</v>
      </c>
      <c r="E282" t="s">
        <v>2632</v>
      </c>
      <c r="F282" s="451">
        <v>46200</v>
      </c>
      <c r="G282">
        <v>19472</v>
      </c>
      <c r="H282" t="s">
        <v>4906</v>
      </c>
      <c r="I282" t="s">
        <v>5191</v>
      </c>
      <c r="J282">
        <v>1.5</v>
      </c>
      <c r="K282" t="s">
        <v>4744</v>
      </c>
      <c r="L282">
        <v>22.5</v>
      </c>
      <c r="M282">
        <v>15</v>
      </c>
      <c r="O282" t="s">
        <v>464</v>
      </c>
    </row>
    <row r="283" spans="1:15" x14ac:dyDescent="0.3">
      <c r="A283">
        <v>242027</v>
      </c>
      <c r="B283">
        <v>105</v>
      </c>
      <c r="C283" t="s">
        <v>557</v>
      </c>
      <c r="D283" t="s">
        <v>2581</v>
      </c>
      <c r="E283" t="s">
        <v>2632</v>
      </c>
      <c r="F283" s="451">
        <v>46200</v>
      </c>
      <c r="G283">
        <v>24083</v>
      </c>
      <c r="H283" t="s">
        <v>5165</v>
      </c>
      <c r="I283" t="s">
        <v>5191</v>
      </c>
      <c r="J283">
        <v>20</v>
      </c>
      <c r="K283" t="s">
        <v>4744</v>
      </c>
      <c r="L283">
        <v>180</v>
      </c>
      <c r="M283">
        <v>9</v>
      </c>
      <c r="O283" t="s">
        <v>464</v>
      </c>
    </row>
    <row r="284" spans="1:15" x14ac:dyDescent="0.3">
      <c r="A284">
        <v>242026</v>
      </c>
      <c r="B284">
        <v>105</v>
      </c>
      <c r="C284" t="s">
        <v>557</v>
      </c>
      <c r="D284" t="s">
        <v>2581</v>
      </c>
      <c r="E284" t="s">
        <v>2633</v>
      </c>
      <c r="F284" s="451">
        <v>46197</v>
      </c>
      <c r="G284">
        <v>19505</v>
      </c>
      <c r="H284" t="s">
        <v>4872</v>
      </c>
      <c r="I284" t="s">
        <v>5191</v>
      </c>
      <c r="J284">
        <v>3</v>
      </c>
      <c r="K284" t="s">
        <v>4744</v>
      </c>
      <c r="L284">
        <v>34.5</v>
      </c>
      <c r="M284">
        <v>11.5</v>
      </c>
      <c r="O284" t="s">
        <v>464</v>
      </c>
    </row>
    <row r="285" spans="1:15" x14ac:dyDescent="0.3">
      <c r="A285">
        <v>242026</v>
      </c>
      <c r="B285">
        <v>105</v>
      </c>
      <c r="C285" t="s">
        <v>557</v>
      </c>
      <c r="D285" t="s">
        <v>2581</v>
      </c>
      <c r="E285" t="s">
        <v>2633</v>
      </c>
      <c r="F285" s="451">
        <v>46197</v>
      </c>
      <c r="G285">
        <v>19507</v>
      </c>
      <c r="H285" t="s">
        <v>4853</v>
      </c>
      <c r="I285" t="s">
        <v>5191</v>
      </c>
      <c r="J285">
        <v>2</v>
      </c>
      <c r="K285" t="s">
        <v>4744</v>
      </c>
      <c r="L285">
        <v>36</v>
      </c>
      <c r="M285">
        <v>18</v>
      </c>
      <c r="O285" t="s">
        <v>464</v>
      </c>
    </row>
    <row r="286" spans="1:15" x14ac:dyDescent="0.3">
      <c r="A286">
        <v>242025</v>
      </c>
      <c r="B286">
        <v>105</v>
      </c>
      <c r="C286" t="s">
        <v>557</v>
      </c>
      <c r="D286" t="s">
        <v>2581</v>
      </c>
      <c r="E286" t="s">
        <v>2634</v>
      </c>
      <c r="F286" s="451">
        <v>46195</v>
      </c>
      <c r="G286">
        <v>19623</v>
      </c>
      <c r="H286" t="s">
        <v>4764</v>
      </c>
      <c r="I286" t="s">
        <v>5191</v>
      </c>
      <c r="J286">
        <v>6</v>
      </c>
      <c r="K286" t="s">
        <v>4744</v>
      </c>
      <c r="L286">
        <v>36</v>
      </c>
      <c r="M286">
        <v>6</v>
      </c>
      <c r="O286" t="s">
        <v>464</v>
      </c>
    </row>
    <row r="287" spans="1:15" x14ac:dyDescent="0.3">
      <c r="A287">
        <v>242025</v>
      </c>
      <c r="B287">
        <v>105</v>
      </c>
      <c r="C287" t="s">
        <v>557</v>
      </c>
      <c r="D287" t="s">
        <v>2581</v>
      </c>
      <c r="E287" t="s">
        <v>2634</v>
      </c>
      <c r="F287" s="451">
        <v>46195</v>
      </c>
      <c r="G287">
        <v>19552</v>
      </c>
      <c r="H287" t="s">
        <v>4860</v>
      </c>
      <c r="I287" t="s">
        <v>5191</v>
      </c>
      <c r="J287">
        <v>2</v>
      </c>
      <c r="K287" t="s">
        <v>4744</v>
      </c>
      <c r="L287">
        <v>19.600000000000001</v>
      </c>
      <c r="M287">
        <v>9.8000000000000007</v>
      </c>
      <c r="O287" t="s">
        <v>464</v>
      </c>
    </row>
    <row r="288" spans="1:15" x14ac:dyDescent="0.3">
      <c r="A288">
        <v>242025</v>
      </c>
      <c r="B288">
        <v>105</v>
      </c>
      <c r="C288" t="s">
        <v>557</v>
      </c>
      <c r="D288" t="s">
        <v>2581</v>
      </c>
      <c r="E288" t="s">
        <v>2634</v>
      </c>
      <c r="F288" s="451">
        <v>46195</v>
      </c>
      <c r="G288">
        <v>19472</v>
      </c>
      <c r="H288" t="s">
        <v>4906</v>
      </c>
      <c r="I288" t="s">
        <v>5191</v>
      </c>
      <c r="J288">
        <v>2</v>
      </c>
      <c r="K288" t="s">
        <v>4744</v>
      </c>
      <c r="L288">
        <v>34</v>
      </c>
      <c r="M288">
        <v>17</v>
      </c>
      <c r="O288" t="s">
        <v>464</v>
      </c>
    </row>
    <row r="289" spans="1:15" x14ac:dyDescent="0.3">
      <c r="A289">
        <v>242025</v>
      </c>
      <c r="B289">
        <v>105</v>
      </c>
      <c r="C289" t="s">
        <v>557</v>
      </c>
      <c r="D289" t="s">
        <v>2581</v>
      </c>
      <c r="E289" t="s">
        <v>2634</v>
      </c>
      <c r="F289" s="451">
        <v>46195</v>
      </c>
      <c r="G289">
        <v>19632</v>
      </c>
      <c r="H289" t="s">
        <v>4936</v>
      </c>
      <c r="I289" t="s">
        <v>5191</v>
      </c>
      <c r="J289">
        <v>2</v>
      </c>
      <c r="K289" t="s">
        <v>4744</v>
      </c>
      <c r="L289">
        <v>8.4</v>
      </c>
      <c r="M289">
        <v>4.2</v>
      </c>
      <c r="O289" t="s">
        <v>464</v>
      </c>
    </row>
    <row r="290" spans="1:15" x14ac:dyDescent="0.3">
      <c r="A290">
        <v>242025</v>
      </c>
      <c r="B290">
        <v>105</v>
      </c>
      <c r="C290" t="s">
        <v>557</v>
      </c>
      <c r="D290" t="s">
        <v>2581</v>
      </c>
      <c r="E290" t="s">
        <v>2634</v>
      </c>
      <c r="F290" s="451">
        <v>46195</v>
      </c>
      <c r="G290">
        <v>23198</v>
      </c>
      <c r="H290" t="s">
        <v>4962</v>
      </c>
      <c r="I290" t="s">
        <v>5191</v>
      </c>
      <c r="J290">
        <v>1</v>
      </c>
      <c r="K290" t="s">
        <v>4744</v>
      </c>
      <c r="L290">
        <v>12.5</v>
      </c>
      <c r="M290">
        <v>12.5</v>
      </c>
      <c r="O290" t="s">
        <v>464</v>
      </c>
    </row>
    <row r="291" spans="1:15" x14ac:dyDescent="0.3">
      <c r="A291">
        <v>242025</v>
      </c>
      <c r="B291">
        <v>105</v>
      </c>
      <c r="C291" t="s">
        <v>557</v>
      </c>
      <c r="D291" t="s">
        <v>2581</v>
      </c>
      <c r="E291" t="s">
        <v>2634</v>
      </c>
      <c r="F291" s="451">
        <v>46195</v>
      </c>
      <c r="G291">
        <v>23236</v>
      </c>
      <c r="H291" t="s">
        <v>5062</v>
      </c>
      <c r="I291" t="s">
        <v>5191</v>
      </c>
      <c r="J291">
        <v>2</v>
      </c>
      <c r="K291" t="s">
        <v>4744</v>
      </c>
      <c r="L291">
        <v>20</v>
      </c>
      <c r="M291">
        <v>10</v>
      </c>
      <c r="O291" t="s">
        <v>464</v>
      </c>
    </row>
    <row r="292" spans="1:15" x14ac:dyDescent="0.3">
      <c r="A292">
        <v>242025</v>
      </c>
      <c r="B292">
        <v>105</v>
      </c>
      <c r="C292" t="s">
        <v>557</v>
      </c>
      <c r="D292" t="s">
        <v>2581</v>
      </c>
      <c r="E292" t="s">
        <v>2634</v>
      </c>
      <c r="F292" s="451">
        <v>46195</v>
      </c>
      <c r="G292">
        <v>19505</v>
      </c>
      <c r="H292" t="s">
        <v>4872</v>
      </c>
      <c r="I292" t="s">
        <v>5191</v>
      </c>
      <c r="J292">
        <v>3</v>
      </c>
      <c r="K292" t="s">
        <v>4744</v>
      </c>
      <c r="L292">
        <v>36</v>
      </c>
      <c r="M292">
        <v>12</v>
      </c>
      <c r="O292" t="s">
        <v>464</v>
      </c>
    </row>
    <row r="293" spans="1:15" x14ac:dyDescent="0.3">
      <c r="A293">
        <v>242025</v>
      </c>
      <c r="B293">
        <v>105</v>
      </c>
      <c r="C293" t="s">
        <v>557</v>
      </c>
      <c r="D293" t="s">
        <v>2581</v>
      </c>
      <c r="E293" t="s">
        <v>2634</v>
      </c>
      <c r="F293" s="451">
        <v>46195</v>
      </c>
      <c r="G293">
        <v>19751</v>
      </c>
      <c r="H293" t="s">
        <v>4800</v>
      </c>
      <c r="I293" t="s">
        <v>5191</v>
      </c>
      <c r="J293">
        <v>5</v>
      </c>
      <c r="K293" t="s">
        <v>4744</v>
      </c>
      <c r="L293">
        <v>42.5</v>
      </c>
      <c r="M293">
        <v>8.5</v>
      </c>
      <c r="O293" t="s">
        <v>464</v>
      </c>
    </row>
    <row r="294" spans="1:15" x14ac:dyDescent="0.3">
      <c r="A294">
        <v>242025</v>
      </c>
      <c r="B294">
        <v>105</v>
      </c>
      <c r="C294" t="s">
        <v>557</v>
      </c>
      <c r="D294" t="s">
        <v>2581</v>
      </c>
      <c r="E294" t="s">
        <v>2634</v>
      </c>
      <c r="F294" s="451">
        <v>46195</v>
      </c>
      <c r="G294">
        <v>19562</v>
      </c>
      <c r="H294" t="s">
        <v>4939</v>
      </c>
      <c r="I294" t="s">
        <v>5191</v>
      </c>
      <c r="J294">
        <v>0.5</v>
      </c>
      <c r="K294" t="s">
        <v>4744</v>
      </c>
      <c r="L294">
        <v>6.75</v>
      </c>
      <c r="M294">
        <v>13.5</v>
      </c>
      <c r="O294" t="s">
        <v>464</v>
      </c>
    </row>
    <row r="295" spans="1:15" x14ac:dyDescent="0.3">
      <c r="A295">
        <v>242025</v>
      </c>
      <c r="B295">
        <v>105</v>
      </c>
      <c r="C295" t="s">
        <v>557</v>
      </c>
      <c r="D295" t="s">
        <v>2581</v>
      </c>
      <c r="E295" t="s">
        <v>2634</v>
      </c>
      <c r="F295" s="451">
        <v>46195</v>
      </c>
      <c r="G295">
        <v>19480</v>
      </c>
      <c r="H295" t="s">
        <v>5119</v>
      </c>
      <c r="I295" t="s">
        <v>5191</v>
      </c>
      <c r="J295">
        <v>0.3</v>
      </c>
      <c r="K295" t="s">
        <v>4744</v>
      </c>
      <c r="L295">
        <v>6</v>
      </c>
      <c r="M295">
        <v>20</v>
      </c>
      <c r="O295" t="s">
        <v>464</v>
      </c>
    </row>
    <row r="296" spans="1:15" x14ac:dyDescent="0.3">
      <c r="A296">
        <v>242025</v>
      </c>
      <c r="B296">
        <v>105</v>
      </c>
      <c r="C296" t="s">
        <v>557</v>
      </c>
      <c r="D296" t="s">
        <v>2581</v>
      </c>
      <c r="E296" t="s">
        <v>2634</v>
      </c>
      <c r="F296" s="451">
        <v>46195</v>
      </c>
      <c r="G296">
        <v>19621</v>
      </c>
      <c r="H296" t="s">
        <v>4829</v>
      </c>
      <c r="I296" t="s">
        <v>5191</v>
      </c>
      <c r="J296">
        <v>2</v>
      </c>
      <c r="K296" t="s">
        <v>4744</v>
      </c>
      <c r="L296">
        <v>15</v>
      </c>
      <c r="M296">
        <v>7.5</v>
      </c>
      <c r="O296" t="s">
        <v>464</v>
      </c>
    </row>
    <row r="297" spans="1:15" x14ac:dyDescent="0.3">
      <c r="A297">
        <v>242022</v>
      </c>
      <c r="B297">
        <v>105</v>
      </c>
      <c r="C297" t="s">
        <v>557</v>
      </c>
      <c r="D297" t="s">
        <v>2581</v>
      </c>
      <c r="E297" t="s">
        <v>2635</v>
      </c>
      <c r="F297" s="451">
        <v>46192</v>
      </c>
      <c r="G297">
        <v>23113</v>
      </c>
      <c r="H297" t="s">
        <v>5074</v>
      </c>
      <c r="I297" t="s">
        <v>5191</v>
      </c>
      <c r="J297">
        <v>2</v>
      </c>
      <c r="K297" t="s">
        <v>4744</v>
      </c>
      <c r="L297">
        <v>13.5</v>
      </c>
      <c r="M297">
        <v>6.75</v>
      </c>
      <c r="O297" t="s">
        <v>464</v>
      </c>
    </row>
    <row r="298" spans="1:15" x14ac:dyDescent="0.3">
      <c r="A298">
        <v>242018</v>
      </c>
      <c r="B298">
        <v>105</v>
      </c>
      <c r="C298" t="s">
        <v>557</v>
      </c>
      <c r="D298" t="s">
        <v>2581</v>
      </c>
      <c r="E298" t="s">
        <v>2636</v>
      </c>
      <c r="F298" s="451">
        <v>46191</v>
      </c>
      <c r="G298">
        <v>23195</v>
      </c>
      <c r="H298" t="s">
        <v>5051</v>
      </c>
      <c r="I298" t="s">
        <v>5191</v>
      </c>
      <c r="J298">
        <v>0.2</v>
      </c>
      <c r="K298" t="s">
        <v>4744</v>
      </c>
      <c r="L298">
        <v>1.8</v>
      </c>
      <c r="M298">
        <v>9</v>
      </c>
      <c r="O298" t="s">
        <v>464</v>
      </c>
    </row>
    <row r="299" spans="1:15" x14ac:dyDescent="0.3">
      <c r="A299">
        <v>242018</v>
      </c>
      <c r="B299">
        <v>105</v>
      </c>
      <c r="C299" t="s">
        <v>557</v>
      </c>
      <c r="D299" t="s">
        <v>2581</v>
      </c>
      <c r="E299" t="s">
        <v>2636</v>
      </c>
      <c r="F299" s="451">
        <v>46191</v>
      </c>
      <c r="G299">
        <v>23236</v>
      </c>
      <c r="H299" t="s">
        <v>5062</v>
      </c>
      <c r="I299" t="s">
        <v>5191</v>
      </c>
      <c r="J299">
        <v>2</v>
      </c>
      <c r="K299" t="s">
        <v>4744</v>
      </c>
      <c r="L299">
        <v>18</v>
      </c>
      <c r="M299">
        <v>9</v>
      </c>
      <c r="O299" t="s">
        <v>464</v>
      </c>
    </row>
    <row r="300" spans="1:15" x14ac:dyDescent="0.3">
      <c r="A300">
        <v>242018</v>
      </c>
      <c r="B300">
        <v>105</v>
      </c>
      <c r="C300" t="s">
        <v>557</v>
      </c>
      <c r="D300" t="s">
        <v>2581</v>
      </c>
      <c r="E300" t="s">
        <v>2636</v>
      </c>
      <c r="F300" s="451">
        <v>46191</v>
      </c>
      <c r="G300">
        <v>24099</v>
      </c>
      <c r="H300" t="s">
        <v>4933</v>
      </c>
      <c r="I300" t="s">
        <v>5191</v>
      </c>
      <c r="J300">
        <v>1</v>
      </c>
      <c r="K300" t="s">
        <v>4744</v>
      </c>
      <c r="L300">
        <v>12.5</v>
      </c>
      <c r="M300">
        <v>12.5</v>
      </c>
      <c r="O300" t="s">
        <v>464</v>
      </c>
    </row>
    <row r="301" spans="1:15" x14ac:dyDescent="0.3">
      <c r="A301">
        <v>242018</v>
      </c>
      <c r="B301">
        <v>105</v>
      </c>
      <c r="C301" t="s">
        <v>557</v>
      </c>
      <c r="D301" t="s">
        <v>2581</v>
      </c>
      <c r="E301" t="s">
        <v>2636</v>
      </c>
      <c r="F301" s="451">
        <v>46191</v>
      </c>
      <c r="G301">
        <v>19505</v>
      </c>
      <c r="H301" t="s">
        <v>4872</v>
      </c>
      <c r="I301" t="s">
        <v>5191</v>
      </c>
      <c r="J301">
        <v>4.5</v>
      </c>
      <c r="K301" t="s">
        <v>4744</v>
      </c>
      <c r="L301">
        <v>45</v>
      </c>
      <c r="M301">
        <v>10</v>
      </c>
      <c r="O301" t="s">
        <v>464</v>
      </c>
    </row>
    <row r="302" spans="1:15" x14ac:dyDescent="0.3">
      <c r="A302">
        <v>242018</v>
      </c>
      <c r="B302">
        <v>105</v>
      </c>
      <c r="C302" t="s">
        <v>557</v>
      </c>
      <c r="D302" t="s">
        <v>2581</v>
      </c>
      <c r="E302" t="s">
        <v>2636</v>
      </c>
      <c r="F302" s="451">
        <v>46191</v>
      </c>
      <c r="G302">
        <v>19488</v>
      </c>
      <c r="H302" t="s">
        <v>5107</v>
      </c>
      <c r="I302" t="s">
        <v>5191</v>
      </c>
      <c r="J302">
        <v>0.3</v>
      </c>
      <c r="K302" t="s">
        <v>4744</v>
      </c>
      <c r="L302">
        <v>3.9</v>
      </c>
      <c r="M302">
        <v>13</v>
      </c>
      <c r="O302" t="s">
        <v>464</v>
      </c>
    </row>
    <row r="303" spans="1:15" x14ac:dyDescent="0.3">
      <c r="A303">
        <v>242018</v>
      </c>
      <c r="B303">
        <v>105</v>
      </c>
      <c r="C303" t="s">
        <v>557</v>
      </c>
      <c r="D303" t="s">
        <v>2581</v>
      </c>
      <c r="E303" t="s">
        <v>2636</v>
      </c>
      <c r="F303" s="451">
        <v>46191</v>
      </c>
      <c r="G303">
        <v>19623</v>
      </c>
      <c r="H303" t="s">
        <v>4764</v>
      </c>
      <c r="I303" t="s">
        <v>5191</v>
      </c>
      <c r="J303">
        <v>12</v>
      </c>
      <c r="K303" t="s">
        <v>4744</v>
      </c>
      <c r="L303">
        <v>69.599999999999994</v>
      </c>
      <c r="M303">
        <v>5.8</v>
      </c>
      <c r="O303" t="s">
        <v>464</v>
      </c>
    </row>
    <row r="304" spans="1:15" x14ac:dyDescent="0.3">
      <c r="A304">
        <v>242018</v>
      </c>
      <c r="B304">
        <v>105</v>
      </c>
      <c r="C304" t="s">
        <v>557</v>
      </c>
      <c r="D304" t="s">
        <v>2581</v>
      </c>
      <c r="E304" t="s">
        <v>2636</v>
      </c>
      <c r="F304" s="451">
        <v>46191</v>
      </c>
      <c r="G304">
        <v>23390</v>
      </c>
      <c r="H304" t="s">
        <v>4873</v>
      </c>
      <c r="I304" t="s">
        <v>5191</v>
      </c>
      <c r="J304">
        <v>0.5</v>
      </c>
      <c r="K304" t="s">
        <v>4744</v>
      </c>
      <c r="L304">
        <v>4</v>
      </c>
      <c r="M304">
        <v>8</v>
      </c>
      <c r="O304" t="s">
        <v>464</v>
      </c>
    </row>
    <row r="305" spans="1:15" x14ac:dyDescent="0.3">
      <c r="A305">
        <v>242018</v>
      </c>
      <c r="B305">
        <v>105</v>
      </c>
      <c r="C305" t="s">
        <v>557</v>
      </c>
      <c r="D305" t="s">
        <v>2581</v>
      </c>
      <c r="E305" t="s">
        <v>2636</v>
      </c>
      <c r="F305" s="451">
        <v>46191</v>
      </c>
      <c r="G305">
        <v>19476</v>
      </c>
      <c r="H305" t="s">
        <v>5115</v>
      </c>
      <c r="I305" t="s">
        <v>5191</v>
      </c>
      <c r="J305">
        <v>0.2</v>
      </c>
      <c r="K305" t="s">
        <v>4744</v>
      </c>
      <c r="L305">
        <v>13</v>
      </c>
      <c r="M305">
        <v>65</v>
      </c>
      <c r="O305" t="s">
        <v>464</v>
      </c>
    </row>
    <row r="306" spans="1:15" x14ac:dyDescent="0.3">
      <c r="A306">
        <v>242018</v>
      </c>
      <c r="B306">
        <v>105</v>
      </c>
      <c r="C306" t="s">
        <v>557</v>
      </c>
      <c r="D306" t="s">
        <v>2581</v>
      </c>
      <c r="E306" t="s">
        <v>2636</v>
      </c>
      <c r="F306" s="451">
        <v>46191</v>
      </c>
      <c r="G306">
        <v>19492</v>
      </c>
      <c r="H306" t="s">
        <v>4937</v>
      </c>
      <c r="I306" t="s">
        <v>5191</v>
      </c>
      <c r="J306">
        <v>1</v>
      </c>
      <c r="K306" t="s">
        <v>4744</v>
      </c>
      <c r="L306">
        <v>17</v>
      </c>
      <c r="M306">
        <v>17</v>
      </c>
      <c r="O306" t="s">
        <v>464</v>
      </c>
    </row>
    <row r="307" spans="1:15" x14ac:dyDescent="0.3">
      <c r="A307">
        <v>242018</v>
      </c>
      <c r="B307">
        <v>105</v>
      </c>
      <c r="C307" t="s">
        <v>557</v>
      </c>
      <c r="D307" t="s">
        <v>2581</v>
      </c>
      <c r="E307" t="s">
        <v>2636</v>
      </c>
      <c r="F307" s="451">
        <v>46191</v>
      </c>
      <c r="G307">
        <v>19617</v>
      </c>
      <c r="H307" t="s">
        <v>5071</v>
      </c>
      <c r="I307" t="s">
        <v>5191</v>
      </c>
      <c r="J307">
        <v>0.5</v>
      </c>
      <c r="K307" t="s">
        <v>4744</v>
      </c>
      <c r="L307">
        <v>17.5</v>
      </c>
      <c r="M307">
        <v>35</v>
      </c>
      <c r="O307" t="s">
        <v>464</v>
      </c>
    </row>
    <row r="308" spans="1:15" x14ac:dyDescent="0.3">
      <c r="A308">
        <v>242018</v>
      </c>
      <c r="B308">
        <v>105</v>
      </c>
      <c r="C308" t="s">
        <v>557</v>
      </c>
      <c r="D308" t="s">
        <v>2581</v>
      </c>
      <c r="E308" t="s">
        <v>2636</v>
      </c>
      <c r="F308" s="451">
        <v>46191</v>
      </c>
      <c r="G308">
        <v>19502</v>
      </c>
      <c r="H308" t="s">
        <v>4871</v>
      </c>
      <c r="I308" t="s">
        <v>5191</v>
      </c>
      <c r="J308">
        <v>3</v>
      </c>
      <c r="K308" t="s">
        <v>4744</v>
      </c>
      <c r="L308">
        <v>42</v>
      </c>
      <c r="M308">
        <v>14</v>
      </c>
      <c r="O308" t="s">
        <v>464</v>
      </c>
    </row>
    <row r="309" spans="1:15" x14ac:dyDescent="0.3">
      <c r="A309">
        <v>242018</v>
      </c>
      <c r="B309">
        <v>105</v>
      </c>
      <c r="C309" t="s">
        <v>557</v>
      </c>
      <c r="D309" t="s">
        <v>2581</v>
      </c>
      <c r="E309" t="s">
        <v>2636</v>
      </c>
      <c r="F309" s="451">
        <v>46191</v>
      </c>
      <c r="G309">
        <v>19589</v>
      </c>
      <c r="H309" t="s">
        <v>4983</v>
      </c>
      <c r="I309" t="s">
        <v>5191</v>
      </c>
      <c r="J309">
        <v>2</v>
      </c>
      <c r="K309" t="s">
        <v>4744</v>
      </c>
      <c r="L309">
        <v>18</v>
      </c>
      <c r="M309">
        <v>9</v>
      </c>
      <c r="O309" t="s">
        <v>464</v>
      </c>
    </row>
    <row r="310" spans="1:15" x14ac:dyDescent="0.3">
      <c r="A310">
        <v>242018</v>
      </c>
      <c r="B310">
        <v>105</v>
      </c>
      <c r="C310" t="s">
        <v>557</v>
      </c>
      <c r="D310" t="s">
        <v>2581</v>
      </c>
      <c r="E310" t="s">
        <v>2636</v>
      </c>
      <c r="F310" s="451">
        <v>46191</v>
      </c>
      <c r="G310">
        <v>19472</v>
      </c>
      <c r="H310" t="s">
        <v>4906</v>
      </c>
      <c r="I310" t="s">
        <v>5191</v>
      </c>
      <c r="J310">
        <v>1.5</v>
      </c>
      <c r="K310" t="s">
        <v>4744</v>
      </c>
      <c r="L310">
        <v>21</v>
      </c>
      <c r="M310">
        <v>14</v>
      </c>
      <c r="O310" t="s">
        <v>464</v>
      </c>
    </row>
    <row r="311" spans="1:15" x14ac:dyDescent="0.3">
      <c r="A311">
        <v>242018</v>
      </c>
      <c r="B311">
        <v>105</v>
      </c>
      <c r="C311" t="s">
        <v>557</v>
      </c>
      <c r="D311" t="s">
        <v>2581</v>
      </c>
      <c r="E311" t="s">
        <v>2636</v>
      </c>
      <c r="F311" s="451">
        <v>46191</v>
      </c>
      <c r="G311">
        <v>19562</v>
      </c>
      <c r="H311" t="s">
        <v>4939</v>
      </c>
      <c r="I311" t="s">
        <v>5191</v>
      </c>
      <c r="J311">
        <v>0.5</v>
      </c>
      <c r="K311" t="s">
        <v>4744</v>
      </c>
      <c r="L311">
        <v>7</v>
      </c>
      <c r="M311">
        <v>14</v>
      </c>
      <c r="O311" t="s">
        <v>464</v>
      </c>
    </row>
    <row r="312" spans="1:15" x14ac:dyDescent="0.3">
      <c r="A312">
        <v>242018</v>
      </c>
      <c r="B312">
        <v>105</v>
      </c>
      <c r="C312" t="s">
        <v>557</v>
      </c>
      <c r="D312" t="s">
        <v>2581</v>
      </c>
      <c r="E312" t="s">
        <v>2636</v>
      </c>
      <c r="F312" s="451">
        <v>46191</v>
      </c>
      <c r="G312">
        <v>19607</v>
      </c>
      <c r="H312" t="s">
        <v>4981</v>
      </c>
      <c r="I312" t="s">
        <v>5191</v>
      </c>
      <c r="J312">
        <v>0.3</v>
      </c>
      <c r="K312" t="s">
        <v>4744</v>
      </c>
      <c r="L312">
        <v>2.1</v>
      </c>
      <c r="M312">
        <v>7</v>
      </c>
      <c r="O312" t="s">
        <v>464</v>
      </c>
    </row>
    <row r="313" spans="1:15" x14ac:dyDescent="0.3">
      <c r="A313">
        <v>242018</v>
      </c>
      <c r="B313">
        <v>105</v>
      </c>
      <c r="C313" t="s">
        <v>557</v>
      </c>
      <c r="D313" t="s">
        <v>2581</v>
      </c>
      <c r="E313" t="s">
        <v>2636</v>
      </c>
      <c r="F313" s="451">
        <v>46191</v>
      </c>
      <c r="G313">
        <v>19621</v>
      </c>
      <c r="H313" t="s">
        <v>4829</v>
      </c>
      <c r="I313" t="s">
        <v>5191</v>
      </c>
      <c r="J313">
        <v>4</v>
      </c>
      <c r="K313" t="s">
        <v>4744</v>
      </c>
      <c r="L313">
        <v>26</v>
      </c>
      <c r="M313">
        <v>6.5</v>
      </c>
      <c r="O313" t="s">
        <v>464</v>
      </c>
    </row>
    <row r="314" spans="1:15" x14ac:dyDescent="0.3">
      <c r="A314">
        <v>242018</v>
      </c>
      <c r="B314">
        <v>105</v>
      </c>
      <c r="C314" t="s">
        <v>557</v>
      </c>
      <c r="D314" t="s">
        <v>2581</v>
      </c>
      <c r="E314" t="s">
        <v>2636</v>
      </c>
      <c r="F314" s="451">
        <v>46191</v>
      </c>
      <c r="G314">
        <v>23361</v>
      </c>
      <c r="H314" t="s">
        <v>4754</v>
      </c>
      <c r="I314" t="s">
        <v>5191</v>
      </c>
      <c r="J314">
        <v>30</v>
      </c>
      <c r="K314" t="s">
        <v>4744</v>
      </c>
      <c r="L314">
        <v>78</v>
      </c>
      <c r="M314">
        <v>2.6</v>
      </c>
      <c r="O314" t="s">
        <v>464</v>
      </c>
    </row>
    <row r="315" spans="1:15" x14ac:dyDescent="0.3">
      <c r="A315">
        <v>242018</v>
      </c>
      <c r="B315">
        <v>105</v>
      </c>
      <c r="C315" t="s">
        <v>557</v>
      </c>
      <c r="D315" t="s">
        <v>2581</v>
      </c>
      <c r="E315" t="s">
        <v>2636</v>
      </c>
      <c r="F315" s="451">
        <v>46191</v>
      </c>
      <c r="G315">
        <v>19632</v>
      </c>
      <c r="H315" t="s">
        <v>4936</v>
      </c>
      <c r="I315" t="s">
        <v>5191</v>
      </c>
      <c r="J315">
        <v>1.3</v>
      </c>
      <c r="K315" t="s">
        <v>4744</v>
      </c>
      <c r="L315">
        <v>5.2</v>
      </c>
      <c r="M315">
        <v>4</v>
      </c>
      <c r="O315" t="s">
        <v>464</v>
      </c>
    </row>
    <row r="316" spans="1:15" x14ac:dyDescent="0.3">
      <c r="A316">
        <v>242018</v>
      </c>
      <c r="B316">
        <v>105</v>
      </c>
      <c r="C316" t="s">
        <v>557</v>
      </c>
      <c r="D316" t="s">
        <v>2581</v>
      </c>
      <c r="E316" t="s">
        <v>2636</v>
      </c>
      <c r="F316" s="451">
        <v>46191</v>
      </c>
      <c r="G316">
        <v>23389</v>
      </c>
      <c r="H316" t="s">
        <v>4960</v>
      </c>
      <c r="I316" t="s">
        <v>5191</v>
      </c>
      <c r="J316">
        <v>5</v>
      </c>
      <c r="K316" t="s">
        <v>4744</v>
      </c>
      <c r="L316">
        <v>22.5</v>
      </c>
      <c r="M316">
        <v>4.5</v>
      </c>
      <c r="O316" t="s">
        <v>464</v>
      </c>
    </row>
    <row r="317" spans="1:15" x14ac:dyDescent="0.3">
      <c r="A317">
        <v>242018</v>
      </c>
      <c r="B317">
        <v>105</v>
      </c>
      <c r="C317" t="s">
        <v>557</v>
      </c>
      <c r="D317" t="s">
        <v>2581</v>
      </c>
      <c r="E317" t="s">
        <v>2636</v>
      </c>
      <c r="F317" s="451">
        <v>46191</v>
      </c>
      <c r="G317">
        <v>23365</v>
      </c>
      <c r="H317" t="s">
        <v>5108</v>
      </c>
      <c r="I317" t="s">
        <v>5191</v>
      </c>
      <c r="J317">
        <v>1</v>
      </c>
      <c r="K317" t="s">
        <v>4744</v>
      </c>
      <c r="L317">
        <v>20</v>
      </c>
      <c r="M317">
        <v>20</v>
      </c>
      <c r="O317" t="s">
        <v>464</v>
      </c>
    </row>
    <row r="318" spans="1:15" x14ac:dyDescent="0.3">
      <c r="A318">
        <v>242018</v>
      </c>
      <c r="B318">
        <v>105</v>
      </c>
      <c r="C318" t="s">
        <v>557</v>
      </c>
      <c r="D318" t="s">
        <v>2581</v>
      </c>
      <c r="E318" t="s">
        <v>2636</v>
      </c>
      <c r="F318" s="451">
        <v>46191</v>
      </c>
      <c r="G318">
        <v>19647</v>
      </c>
      <c r="H318" t="s">
        <v>5050</v>
      </c>
      <c r="I318" t="s">
        <v>5191</v>
      </c>
      <c r="J318">
        <v>1</v>
      </c>
      <c r="K318" t="s">
        <v>4744</v>
      </c>
      <c r="L318">
        <v>12</v>
      </c>
      <c r="M318">
        <v>12</v>
      </c>
      <c r="O318" t="s">
        <v>464</v>
      </c>
    </row>
    <row r="319" spans="1:15" x14ac:dyDescent="0.3">
      <c r="A319">
        <v>242018</v>
      </c>
      <c r="B319">
        <v>105</v>
      </c>
      <c r="C319" t="s">
        <v>557</v>
      </c>
      <c r="D319" t="s">
        <v>2581</v>
      </c>
      <c r="E319" t="s">
        <v>2636</v>
      </c>
      <c r="F319" s="451">
        <v>46191</v>
      </c>
      <c r="G319">
        <v>19742</v>
      </c>
      <c r="H319" t="s">
        <v>4900</v>
      </c>
      <c r="I319" t="s">
        <v>5191</v>
      </c>
      <c r="J319">
        <v>1.5</v>
      </c>
      <c r="K319" t="s">
        <v>4744</v>
      </c>
      <c r="L319">
        <v>15</v>
      </c>
      <c r="M319">
        <v>10</v>
      </c>
      <c r="O319" t="s">
        <v>464</v>
      </c>
    </row>
    <row r="320" spans="1:15" x14ac:dyDescent="0.3">
      <c r="A320">
        <v>242018</v>
      </c>
      <c r="B320">
        <v>105</v>
      </c>
      <c r="C320" t="s">
        <v>557</v>
      </c>
      <c r="D320" t="s">
        <v>2581</v>
      </c>
      <c r="E320" t="s">
        <v>2636</v>
      </c>
      <c r="F320" s="451">
        <v>46191</v>
      </c>
      <c r="G320">
        <v>19728</v>
      </c>
      <c r="H320" t="s">
        <v>5106</v>
      </c>
      <c r="I320" t="s">
        <v>5191</v>
      </c>
      <c r="J320">
        <v>1</v>
      </c>
      <c r="K320" t="s">
        <v>4744</v>
      </c>
      <c r="L320">
        <v>11</v>
      </c>
      <c r="M320">
        <v>11</v>
      </c>
      <c r="O320" t="s">
        <v>464</v>
      </c>
    </row>
    <row r="321" spans="1:15" x14ac:dyDescent="0.3">
      <c r="A321">
        <v>242018</v>
      </c>
      <c r="B321">
        <v>105</v>
      </c>
      <c r="C321" t="s">
        <v>557</v>
      </c>
      <c r="D321" t="s">
        <v>2581</v>
      </c>
      <c r="E321" t="s">
        <v>2636</v>
      </c>
      <c r="F321" s="451">
        <v>46191</v>
      </c>
      <c r="G321">
        <v>23198</v>
      </c>
      <c r="H321" t="s">
        <v>4962</v>
      </c>
      <c r="I321" t="s">
        <v>5191</v>
      </c>
      <c r="J321">
        <v>0.5</v>
      </c>
      <c r="K321" t="s">
        <v>4744</v>
      </c>
      <c r="L321">
        <v>7</v>
      </c>
      <c r="M321">
        <v>14</v>
      </c>
      <c r="O321" t="s">
        <v>464</v>
      </c>
    </row>
    <row r="322" spans="1:15" x14ac:dyDescent="0.3">
      <c r="A322">
        <v>242018</v>
      </c>
      <c r="B322">
        <v>105</v>
      </c>
      <c r="C322" t="s">
        <v>557</v>
      </c>
      <c r="D322" t="s">
        <v>2581</v>
      </c>
      <c r="E322" t="s">
        <v>2636</v>
      </c>
      <c r="F322" s="451">
        <v>46191</v>
      </c>
      <c r="G322">
        <v>19787</v>
      </c>
      <c r="H322" t="s">
        <v>4793</v>
      </c>
      <c r="I322" t="s">
        <v>5191</v>
      </c>
      <c r="J322">
        <v>6</v>
      </c>
      <c r="K322" t="s">
        <v>4744</v>
      </c>
      <c r="L322">
        <v>33</v>
      </c>
      <c r="M322">
        <v>5.5</v>
      </c>
      <c r="O322" t="s">
        <v>464</v>
      </c>
    </row>
    <row r="323" spans="1:15" x14ac:dyDescent="0.3">
      <c r="A323">
        <v>242016</v>
      </c>
      <c r="B323">
        <v>105</v>
      </c>
      <c r="C323" t="s">
        <v>557</v>
      </c>
      <c r="D323" t="s">
        <v>2637</v>
      </c>
      <c r="E323" t="s">
        <v>2638</v>
      </c>
      <c r="F323" s="451">
        <v>46195</v>
      </c>
      <c r="G323">
        <v>18475</v>
      </c>
      <c r="H323" t="s">
        <v>4895</v>
      </c>
      <c r="I323" t="s">
        <v>5222</v>
      </c>
      <c r="J323">
        <v>12</v>
      </c>
      <c r="K323" t="s">
        <v>4805</v>
      </c>
      <c r="L323">
        <v>394.8</v>
      </c>
      <c r="M323">
        <v>32.9</v>
      </c>
      <c r="O323" t="s">
        <v>464</v>
      </c>
    </row>
    <row r="324" spans="1:15" x14ac:dyDescent="0.3">
      <c r="A324">
        <v>242012</v>
      </c>
      <c r="B324">
        <v>105</v>
      </c>
      <c r="C324" t="s">
        <v>557</v>
      </c>
      <c r="D324" t="s">
        <v>2585</v>
      </c>
      <c r="E324" t="s">
        <v>2639</v>
      </c>
      <c r="F324" s="451">
        <v>46196</v>
      </c>
      <c r="G324">
        <v>18822</v>
      </c>
      <c r="H324" t="s">
        <v>4811</v>
      </c>
      <c r="I324" t="s">
        <v>5191</v>
      </c>
      <c r="J324">
        <v>24.7</v>
      </c>
      <c r="K324" t="s">
        <v>4744</v>
      </c>
      <c r="L324">
        <v>2697.84</v>
      </c>
      <c r="M324">
        <v>109.22429099999999</v>
      </c>
      <c r="O324" t="s">
        <v>464</v>
      </c>
    </row>
    <row r="325" spans="1:15" x14ac:dyDescent="0.3">
      <c r="A325">
        <v>242009</v>
      </c>
      <c r="B325">
        <v>105</v>
      </c>
      <c r="C325" t="s">
        <v>557</v>
      </c>
      <c r="D325" t="s">
        <v>2607</v>
      </c>
      <c r="E325" t="s">
        <v>2640</v>
      </c>
      <c r="F325" s="451">
        <v>46195</v>
      </c>
      <c r="G325">
        <v>24191</v>
      </c>
      <c r="H325" t="s">
        <v>4846</v>
      </c>
      <c r="I325" t="s">
        <v>5191</v>
      </c>
      <c r="J325">
        <v>7.4</v>
      </c>
      <c r="K325" t="s">
        <v>4744</v>
      </c>
      <c r="L325">
        <v>210.9</v>
      </c>
      <c r="M325">
        <v>28.5</v>
      </c>
      <c r="O325" t="s">
        <v>464</v>
      </c>
    </row>
    <row r="326" spans="1:15" x14ac:dyDescent="0.3">
      <c r="A326">
        <v>242009</v>
      </c>
      <c r="B326">
        <v>105</v>
      </c>
      <c r="C326" t="s">
        <v>557</v>
      </c>
      <c r="D326" t="s">
        <v>2607</v>
      </c>
      <c r="E326" t="s">
        <v>2640</v>
      </c>
      <c r="F326" s="451">
        <v>46195</v>
      </c>
      <c r="G326">
        <v>24096</v>
      </c>
      <c r="H326" t="s">
        <v>4771</v>
      </c>
      <c r="I326" t="s">
        <v>5191</v>
      </c>
      <c r="J326">
        <v>41.95</v>
      </c>
      <c r="K326" t="s">
        <v>4744</v>
      </c>
      <c r="L326">
        <v>1631.86</v>
      </c>
      <c r="M326">
        <v>38.900118999999997</v>
      </c>
      <c r="O326" t="s">
        <v>464</v>
      </c>
    </row>
    <row r="327" spans="1:15" x14ac:dyDescent="0.3">
      <c r="A327">
        <v>242007</v>
      </c>
      <c r="B327">
        <v>105</v>
      </c>
      <c r="C327" t="s">
        <v>557</v>
      </c>
      <c r="D327" t="s">
        <v>2588</v>
      </c>
      <c r="E327" t="s">
        <v>2641</v>
      </c>
      <c r="F327" s="451">
        <v>46195</v>
      </c>
      <c r="G327">
        <v>20301</v>
      </c>
      <c r="H327" t="s">
        <v>4944</v>
      </c>
      <c r="I327" t="s">
        <v>5191</v>
      </c>
      <c r="J327">
        <v>10</v>
      </c>
      <c r="K327" t="s">
        <v>4738</v>
      </c>
      <c r="L327">
        <v>210</v>
      </c>
      <c r="M327">
        <v>21</v>
      </c>
      <c r="O327" t="s">
        <v>464</v>
      </c>
    </row>
    <row r="328" spans="1:15" x14ac:dyDescent="0.3">
      <c r="A328">
        <v>242007</v>
      </c>
      <c r="B328">
        <v>105</v>
      </c>
      <c r="C328" t="s">
        <v>557</v>
      </c>
      <c r="D328" t="s">
        <v>2588</v>
      </c>
      <c r="E328" t="s">
        <v>2641</v>
      </c>
      <c r="F328" s="451">
        <v>46195</v>
      </c>
      <c r="G328">
        <v>20984</v>
      </c>
      <c r="H328" t="s">
        <v>5133</v>
      </c>
      <c r="I328" t="s">
        <v>5191</v>
      </c>
      <c r="J328">
        <v>24</v>
      </c>
      <c r="K328" t="s">
        <v>4888</v>
      </c>
      <c r="L328">
        <v>195.6</v>
      </c>
      <c r="M328">
        <v>8.15</v>
      </c>
      <c r="O328" t="s">
        <v>464</v>
      </c>
    </row>
    <row r="329" spans="1:15" x14ac:dyDescent="0.3">
      <c r="A329">
        <v>241984</v>
      </c>
      <c r="B329">
        <v>105</v>
      </c>
      <c r="C329" t="s">
        <v>557</v>
      </c>
      <c r="D329" t="s">
        <v>2642</v>
      </c>
      <c r="E329" t="s">
        <v>2643</v>
      </c>
      <c r="F329" s="451">
        <v>46195</v>
      </c>
      <c r="G329">
        <v>18194</v>
      </c>
      <c r="H329" t="s">
        <v>4923</v>
      </c>
      <c r="I329" t="s">
        <v>5222</v>
      </c>
      <c r="J329">
        <v>2</v>
      </c>
      <c r="K329" t="s">
        <v>4805</v>
      </c>
      <c r="L329">
        <v>115.98</v>
      </c>
      <c r="M329">
        <v>57.99</v>
      </c>
      <c r="O329" t="s">
        <v>464</v>
      </c>
    </row>
    <row r="330" spans="1:15" x14ac:dyDescent="0.3">
      <c r="A330">
        <v>241984</v>
      </c>
      <c r="B330">
        <v>105</v>
      </c>
      <c r="C330" t="s">
        <v>557</v>
      </c>
      <c r="D330" t="s">
        <v>2642</v>
      </c>
      <c r="E330" t="s">
        <v>2643</v>
      </c>
      <c r="F330" s="451">
        <v>46195</v>
      </c>
      <c r="G330">
        <v>18030</v>
      </c>
      <c r="H330" t="s">
        <v>4840</v>
      </c>
      <c r="I330" t="s">
        <v>5222</v>
      </c>
      <c r="J330">
        <v>6</v>
      </c>
      <c r="K330" t="s">
        <v>4805</v>
      </c>
      <c r="L330">
        <v>165</v>
      </c>
      <c r="M330">
        <v>27.5</v>
      </c>
      <c r="O330" t="s">
        <v>464</v>
      </c>
    </row>
    <row r="331" spans="1:15" x14ac:dyDescent="0.3">
      <c r="A331">
        <v>241983</v>
      </c>
      <c r="B331">
        <v>105</v>
      </c>
      <c r="C331" t="s">
        <v>557</v>
      </c>
      <c r="D331" t="s">
        <v>2644</v>
      </c>
      <c r="E331" t="s">
        <v>2645</v>
      </c>
      <c r="F331" s="451">
        <v>46195</v>
      </c>
      <c r="G331">
        <v>20382</v>
      </c>
      <c r="H331" t="s">
        <v>4780</v>
      </c>
      <c r="I331" t="s">
        <v>5191</v>
      </c>
      <c r="J331">
        <v>18</v>
      </c>
      <c r="K331" t="s">
        <v>5238</v>
      </c>
      <c r="L331">
        <v>161.82</v>
      </c>
      <c r="M331">
        <v>8.99</v>
      </c>
      <c r="O331" t="s">
        <v>464</v>
      </c>
    </row>
    <row r="332" spans="1:15" x14ac:dyDescent="0.3">
      <c r="A332">
        <v>241981</v>
      </c>
      <c r="B332">
        <v>105</v>
      </c>
      <c r="C332" t="s">
        <v>557</v>
      </c>
      <c r="D332" t="s">
        <v>2590</v>
      </c>
      <c r="E332" t="s">
        <v>2646</v>
      </c>
      <c r="F332" s="451">
        <v>46196</v>
      </c>
      <c r="G332">
        <v>17905</v>
      </c>
      <c r="H332" t="s">
        <v>5085</v>
      </c>
      <c r="I332" t="s">
        <v>5222</v>
      </c>
      <c r="J332">
        <v>12</v>
      </c>
      <c r="K332" t="s">
        <v>4738</v>
      </c>
      <c r="L332">
        <v>306.36</v>
      </c>
      <c r="M332">
        <v>25.53</v>
      </c>
      <c r="O332" t="s">
        <v>464</v>
      </c>
    </row>
    <row r="333" spans="1:15" x14ac:dyDescent="0.3">
      <c r="A333">
        <v>241981</v>
      </c>
      <c r="B333">
        <v>105</v>
      </c>
      <c r="C333" t="s">
        <v>557</v>
      </c>
      <c r="D333" t="s">
        <v>2590</v>
      </c>
      <c r="E333" t="s">
        <v>2646</v>
      </c>
      <c r="F333" s="451">
        <v>46196</v>
      </c>
      <c r="G333">
        <v>18636</v>
      </c>
      <c r="H333" t="s">
        <v>4964</v>
      </c>
      <c r="I333" t="s">
        <v>5222</v>
      </c>
      <c r="J333">
        <v>2</v>
      </c>
      <c r="K333" t="s">
        <v>4965</v>
      </c>
      <c r="L333">
        <v>703.48</v>
      </c>
      <c r="M333">
        <v>351.74</v>
      </c>
      <c r="O333" t="s">
        <v>464</v>
      </c>
    </row>
    <row r="334" spans="1:15" x14ac:dyDescent="0.3">
      <c r="A334">
        <v>241981</v>
      </c>
      <c r="B334">
        <v>105</v>
      </c>
      <c r="C334" t="s">
        <v>557</v>
      </c>
      <c r="D334" t="s">
        <v>2590</v>
      </c>
      <c r="E334" t="s">
        <v>2646</v>
      </c>
      <c r="F334" s="451">
        <v>46196</v>
      </c>
      <c r="G334">
        <v>18595</v>
      </c>
      <c r="H334" t="s">
        <v>5092</v>
      </c>
      <c r="I334" t="s">
        <v>5222</v>
      </c>
      <c r="J334">
        <v>1</v>
      </c>
      <c r="K334" t="s">
        <v>4738</v>
      </c>
      <c r="L334">
        <v>104.48</v>
      </c>
      <c r="M334">
        <v>104.48</v>
      </c>
      <c r="O334" t="s">
        <v>464</v>
      </c>
    </row>
    <row r="335" spans="1:15" x14ac:dyDescent="0.3">
      <c r="A335">
        <v>241981</v>
      </c>
      <c r="B335">
        <v>105</v>
      </c>
      <c r="C335" t="s">
        <v>557</v>
      </c>
      <c r="D335" t="s">
        <v>2590</v>
      </c>
      <c r="E335" t="s">
        <v>2646</v>
      </c>
      <c r="F335" s="451">
        <v>46196</v>
      </c>
      <c r="G335">
        <v>17883</v>
      </c>
      <c r="H335" t="s">
        <v>5113</v>
      </c>
      <c r="I335" t="s">
        <v>5222</v>
      </c>
      <c r="J335">
        <v>2</v>
      </c>
      <c r="K335" t="s">
        <v>4738</v>
      </c>
      <c r="L335">
        <v>56.64</v>
      </c>
      <c r="M335">
        <v>28.32</v>
      </c>
      <c r="O335" t="s">
        <v>464</v>
      </c>
    </row>
    <row r="336" spans="1:15" x14ac:dyDescent="0.3">
      <c r="A336">
        <v>241981</v>
      </c>
      <c r="B336">
        <v>105</v>
      </c>
      <c r="C336" t="s">
        <v>557</v>
      </c>
      <c r="D336" t="s">
        <v>2590</v>
      </c>
      <c r="E336" t="s">
        <v>2646</v>
      </c>
      <c r="F336" s="451">
        <v>46196</v>
      </c>
      <c r="G336">
        <v>17903</v>
      </c>
      <c r="H336" t="s">
        <v>5084</v>
      </c>
      <c r="I336" t="s">
        <v>5222</v>
      </c>
      <c r="J336">
        <v>7</v>
      </c>
      <c r="K336" t="s">
        <v>4738</v>
      </c>
      <c r="L336">
        <v>178.71</v>
      </c>
      <c r="M336">
        <v>25.53</v>
      </c>
      <c r="O336" t="s">
        <v>464</v>
      </c>
    </row>
    <row r="337" spans="1:15" x14ac:dyDescent="0.3">
      <c r="A337">
        <v>241981</v>
      </c>
      <c r="B337">
        <v>105</v>
      </c>
      <c r="C337" t="s">
        <v>557</v>
      </c>
      <c r="D337" t="s">
        <v>2590</v>
      </c>
      <c r="E337" t="s">
        <v>2646</v>
      </c>
      <c r="F337" s="451">
        <v>46196</v>
      </c>
      <c r="G337">
        <v>17886</v>
      </c>
      <c r="H337" t="s">
        <v>5083</v>
      </c>
      <c r="I337" t="s">
        <v>5222</v>
      </c>
      <c r="J337">
        <v>15</v>
      </c>
      <c r="K337" t="s">
        <v>4738</v>
      </c>
      <c r="L337">
        <v>424.8</v>
      </c>
      <c r="M337">
        <v>28.32</v>
      </c>
      <c r="O337" t="s">
        <v>464</v>
      </c>
    </row>
    <row r="338" spans="1:15" x14ac:dyDescent="0.3">
      <c r="A338">
        <v>241981</v>
      </c>
      <c r="B338">
        <v>105</v>
      </c>
      <c r="C338" t="s">
        <v>557</v>
      </c>
      <c r="D338" t="s">
        <v>2590</v>
      </c>
      <c r="E338" t="s">
        <v>2646</v>
      </c>
      <c r="F338" s="451">
        <v>46196</v>
      </c>
      <c r="G338">
        <v>24141</v>
      </c>
      <c r="H338" t="s">
        <v>5088</v>
      </c>
      <c r="I338" t="s">
        <v>5222</v>
      </c>
      <c r="J338">
        <v>8</v>
      </c>
      <c r="K338" t="s">
        <v>4749</v>
      </c>
      <c r="L338">
        <v>788.16</v>
      </c>
      <c r="M338">
        <v>98.52</v>
      </c>
      <c r="O338" t="s">
        <v>464</v>
      </c>
    </row>
    <row r="339" spans="1:15" x14ac:dyDescent="0.3">
      <c r="A339">
        <v>241981</v>
      </c>
      <c r="B339">
        <v>105</v>
      </c>
      <c r="C339" t="s">
        <v>557</v>
      </c>
      <c r="D339" t="s">
        <v>2590</v>
      </c>
      <c r="E339" t="s">
        <v>2646</v>
      </c>
      <c r="F339" s="451">
        <v>46196</v>
      </c>
      <c r="G339">
        <v>27018</v>
      </c>
      <c r="H339" t="s">
        <v>4737</v>
      </c>
      <c r="I339" t="s">
        <v>5222</v>
      </c>
      <c r="J339">
        <v>2</v>
      </c>
      <c r="K339" t="s">
        <v>4738</v>
      </c>
      <c r="L339">
        <v>159.28</v>
      </c>
      <c r="M339">
        <v>79.64</v>
      </c>
      <c r="O339" t="s">
        <v>464</v>
      </c>
    </row>
    <row r="340" spans="1:15" x14ac:dyDescent="0.3">
      <c r="A340">
        <v>241981</v>
      </c>
      <c r="B340">
        <v>105</v>
      </c>
      <c r="C340" t="s">
        <v>557</v>
      </c>
      <c r="D340" t="s">
        <v>2590</v>
      </c>
      <c r="E340" t="s">
        <v>2646</v>
      </c>
      <c r="F340" s="451">
        <v>46196</v>
      </c>
      <c r="G340">
        <v>24973</v>
      </c>
      <c r="H340" t="s">
        <v>4819</v>
      </c>
      <c r="I340" t="s">
        <v>5222</v>
      </c>
      <c r="J340">
        <v>1</v>
      </c>
      <c r="K340" t="s">
        <v>4738</v>
      </c>
      <c r="L340">
        <v>79.64</v>
      </c>
      <c r="M340">
        <v>79.64</v>
      </c>
      <c r="O340" t="s">
        <v>464</v>
      </c>
    </row>
    <row r="341" spans="1:15" x14ac:dyDescent="0.3">
      <c r="A341">
        <v>241981</v>
      </c>
      <c r="B341">
        <v>105</v>
      </c>
      <c r="C341" t="s">
        <v>557</v>
      </c>
      <c r="D341" t="s">
        <v>2590</v>
      </c>
      <c r="E341" t="s">
        <v>2646</v>
      </c>
      <c r="F341" s="451">
        <v>46196</v>
      </c>
      <c r="G341">
        <v>17916</v>
      </c>
      <c r="H341" t="s">
        <v>5235</v>
      </c>
      <c r="I341" t="s">
        <v>5222</v>
      </c>
      <c r="J341">
        <v>1</v>
      </c>
      <c r="K341" t="s">
        <v>4738</v>
      </c>
      <c r="L341">
        <v>28.8</v>
      </c>
      <c r="M341">
        <v>28.8</v>
      </c>
      <c r="O341" t="s">
        <v>464</v>
      </c>
    </row>
    <row r="342" spans="1:15" x14ac:dyDescent="0.3">
      <c r="A342">
        <v>241981</v>
      </c>
      <c r="B342">
        <v>105</v>
      </c>
      <c r="C342" t="s">
        <v>557</v>
      </c>
      <c r="D342" t="s">
        <v>2590</v>
      </c>
      <c r="E342" t="s">
        <v>2646</v>
      </c>
      <c r="F342" s="451">
        <v>46196</v>
      </c>
      <c r="G342">
        <v>18586</v>
      </c>
      <c r="H342" t="s">
        <v>4966</v>
      </c>
      <c r="I342" t="s">
        <v>5222</v>
      </c>
      <c r="J342">
        <v>1</v>
      </c>
      <c r="K342" t="s">
        <v>4738</v>
      </c>
      <c r="L342">
        <v>132.07</v>
      </c>
      <c r="M342">
        <v>132.07</v>
      </c>
      <c r="O342" t="s">
        <v>464</v>
      </c>
    </row>
    <row r="343" spans="1:15" x14ac:dyDescent="0.3">
      <c r="A343">
        <v>241981</v>
      </c>
      <c r="B343">
        <v>105</v>
      </c>
      <c r="C343" t="s">
        <v>557</v>
      </c>
      <c r="D343" t="s">
        <v>2590</v>
      </c>
      <c r="E343" t="s">
        <v>2646</v>
      </c>
      <c r="F343" s="451">
        <v>46196</v>
      </c>
      <c r="G343">
        <v>25561</v>
      </c>
      <c r="H343" t="s">
        <v>5095</v>
      </c>
      <c r="I343" t="s">
        <v>5222</v>
      </c>
      <c r="J343">
        <v>2</v>
      </c>
      <c r="K343" t="s">
        <v>4738</v>
      </c>
      <c r="L343">
        <v>264</v>
      </c>
      <c r="M343">
        <v>132</v>
      </c>
      <c r="O343" t="s">
        <v>464</v>
      </c>
    </row>
    <row r="344" spans="1:15" x14ac:dyDescent="0.3">
      <c r="A344">
        <v>241979</v>
      </c>
      <c r="B344">
        <v>105</v>
      </c>
      <c r="C344" t="s">
        <v>557</v>
      </c>
      <c r="D344" t="s">
        <v>2550</v>
      </c>
      <c r="E344" t="s">
        <v>2647</v>
      </c>
      <c r="F344" s="451">
        <v>46188</v>
      </c>
      <c r="G344">
        <v>25676</v>
      </c>
      <c r="H344" t="s">
        <v>4866</v>
      </c>
      <c r="I344" t="s">
        <v>5222</v>
      </c>
      <c r="J344">
        <v>3</v>
      </c>
      <c r="K344" t="s">
        <v>4805</v>
      </c>
      <c r="L344">
        <v>226.2</v>
      </c>
      <c r="M344">
        <v>75.400000000000006</v>
      </c>
      <c r="O344" t="s">
        <v>464</v>
      </c>
    </row>
    <row r="345" spans="1:15" x14ac:dyDescent="0.3">
      <c r="A345">
        <v>241979</v>
      </c>
      <c r="B345">
        <v>105</v>
      </c>
      <c r="C345" t="s">
        <v>557</v>
      </c>
      <c r="D345" t="s">
        <v>2550</v>
      </c>
      <c r="E345" t="s">
        <v>2647</v>
      </c>
      <c r="F345" s="451">
        <v>46188</v>
      </c>
      <c r="G345">
        <v>17578</v>
      </c>
      <c r="H345" t="s">
        <v>4842</v>
      </c>
      <c r="I345" t="s">
        <v>5222</v>
      </c>
      <c r="J345">
        <v>3</v>
      </c>
      <c r="K345" t="s">
        <v>4805</v>
      </c>
      <c r="L345">
        <v>317.85000000000002</v>
      </c>
      <c r="M345">
        <v>105.95</v>
      </c>
      <c r="O345" t="s">
        <v>464</v>
      </c>
    </row>
    <row r="346" spans="1:15" x14ac:dyDescent="0.3">
      <c r="A346">
        <v>241979</v>
      </c>
      <c r="B346">
        <v>105</v>
      </c>
      <c r="C346" t="s">
        <v>557</v>
      </c>
      <c r="D346" t="s">
        <v>2550</v>
      </c>
      <c r="E346" t="s">
        <v>2647</v>
      </c>
      <c r="F346" s="451">
        <v>46188</v>
      </c>
      <c r="G346">
        <v>25687</v>
      </c>
      <c r="H346" t="s">
        <v>5253</v>
      </c>
      <c r="I346" t="s">
        <v>5222</v>
      </c>
      <c r="J346">
        <v>3</v>
      </c>
      <c r="K346" t="s">
        <v>4805</v>
      </c>
      <c r="L346">
        <v>226.2</v>
      </c>
      <c r="M346">
        <v>75.400000000000006</v>
      </c>
      <c r="O346" t="s">
        <v>464</v>
      </c>
    </row>
    <row r="347" spans="1:15" x14ac:dyDescent="0.3">
      <c r="A347">
        <v>241978</v>
      </c>
      <c r="B347">
        <v>105</v>
      </c>
      <c r="C347" t="s">
        <v>557</v>
      </c>
      <c r="D347" t="s">
        <v>2550</v>
      </c>
      <c r="E347" t="s">
        <v>2648</v>
      </c>
      <c r="F347" s="451">
        <v>46182</v>
      </c>
      <c r="G347">
        <v>26034</v>
      </c>
      <c r="H347" t="s">
        <v>4828</v>
      </c>
      <c r="I347" t="s">
        <v>5222</v>
      </c>
      <c r="J347">
        <v>6</v>
      </c>
      <c r="K347" t="s">
        <v>4805</v>
      </c>
      <c r="L347">
        <v>284.7</v>
      </c>
      <c r="M347">
        <v>47.45</v>
      </c>
      <c r="O347" t="s">
        <v>464</v>
      </c>
    </row>
    <row r="348" spans="1:15" x14ac:dyDescent="0.3">
      <c r="A348">
        <v>241978</v>
      </c>
      <c r="B348">
        <v>105</v>
      </c>
      <c r="C348" t="s">
        <v>557</v>
      </c>
      <c r="D348" t="s">
        <v>2550</v>
      </c>
      <c r="E348" t="s">
        <v>2648</v>
      </c>
      <c r="F348" s="451">
        <v>46182</v>
      </c>
      <c r="G348">
        <v>26040</v>
      </c>
      <c r="H348" t="s">
        <v>4812</v>
      </c>
      <c r="I348" t="s">
        <v>5222</v>
      </c>
      <c r="J348">
        <v>6</v>
      </c>
      <c r="K348" t="s">
        <v>4805</v>
      </c>
      <c r="L348">
        <v>284.7</v>
      </c>
      <c r="M348">
        <v>47.45</v>
      </c>
      <c r="O348" t="s">
        <v>464</v>
      </c>
    </row>
    <row r="349" spans="1:15" x14ac:dyDescent="0.3">
      <c r="A349">
        <v>241978</v>
      </c>
      <c r="B349">
        <v>105</v>
      </c>
      <c r="C349" t="s">
        <v>557</v>
      </c>
      <c r="D349" t="s">
        <v>2550</v>
      </c>
      <c r="E349" t="s">
        <v>2648</v>
      </c>
      <c r="F349" s="451">
        <v>46182</v>
      </c>
      <c r="G349">
        <v>26038</v>
      </c>
      <c r="H349" t="s">
        <v>4976</v>
      </c>
      <c r="I349" t="s">
        <v>5222</v>
      </c>
      <c r="J349">
        <v>6</v>
      </c>
      <c r="K349" t="s">
        <v>4805</v>
      </c>
      <c r="L349">
        <v>284.7</v>
      </c>
      <c r="M349">
        <v>47.45</v>
      </c>
      <c r="O349" t="s">
        <v>464</v>
      </c>
    </row>
    <row r="350" spans="1:15" x14ac:dyDescent="0.3">
      <c r="A350">
        <v>241978</v>
      </c>
      <c r="B350">
        <v>105</v>
      </c>
      <c r="C350" t="s">
        <v>557</v>
      </c>
      <c r="D350" t="s">
        <v>2550</v>
      </c>
      <c r="E350" t="s">
        <v>2648</v>
      </c>
      <c r="F350" s="451">
        <v>46182</v>
      </c>
      <c r="G350">
        <v>26044</v>
      </c>
      <c r="H350" t="s">
        <v>4843</v>
      </c>
      <c r="I350" t="s">
        <v>5222</v>
      </c>
      <c r="J350">
        <v>1</v>
      </c>
      <c r="K350" t="s">
        <v>4805</v>
      </c>
      <c r="L350">
        <v>55.25</v>
      </c>
      <c r="M350">
        <v>55.25</v>
      </c>
      <c r="O350" t="s">
        <v>464</v>
      </c>
    </row>
    <row r="351" spans="1:15" x14ac:dyDescent="0.3">
      <c r="A351">
        <v>241977</v>
      </c>
      <c r="B351">
        <v>105</v>
      </c>
      <c r="C351" t="s">
        <v>557</v>
      </c>
      <c r="D351" t="s">
        <v>2597</v>
      </c>
      <c r="E351" t="s">
        <v>2649</v>
      </c>
      <c r="F351" s="451">
        <v>46183</v>
      </c>
      <c r="G351">
        <v>22843</v>
      </c>
      <c r="H351" t="s">
        <v>4849</v>
      </c>
      <c r="I351" t="s">
        <v>5191</v>
      </c>
      <c r="J351">
        <v>8.4</v>
      </c>
      <c r="K351" t="s">
        <v>4744</v>
      </c>
      <c r="L351">
        <v>326.76</v>
      </c>
      <c r="M351">
        <v>38.9</v>
      </c>
      <c r="O351" t="s">
        <v>464</v>
      </c>
    </row>
    <row r="352" spans="1:15" x14ac:dyDescent="0.3">
      <c r="A352">
        <v>241976</v>
      </c>
      <c r="B352">
        <v>105</v>
      </c>
      <c r="C352" t="s">
        <v>557</v>
      </c>
      <c r="D352" t="s">
        <v>2597</v>
      </c>
      <c r="E352" t="s">
        <v>2650</v>
      </c>
      <c r="F352" s="451">
        <v>46195</v>
      </c>
      <c r="G352">
        <v>20501</v>
      </c>
      <c r="H352" t="s">
        <v>4760</v>
      </c>
      <c r="I352" t="s">
        <v>5191</v>
      </c>
      <c r="J352">
        <v>30</v>
      </c>
      <c r="K352" t="s">
        <v>4744</v>
      </c>
      <c r="L352">
        <v>657</v>
      </c>
      <c r="M352">
        <v>21.9</v>
      </c>
      <c r="O352" t="s">
        <v>464</v>
      </c>
    </row>
    <row r="353" spans="1:15" x14ac:dyDescent="0.3">
      <c r="A353">
        <v>241976</v>
      </c>
      <c r="B353">
        <v>105</v>
      </c>
      <c r="C353" t="s">
        <v>557</v>
      </c>
      <c r="D353" t="s">
        <v>2597</v>
      </c>
      <c r="E353" t="s">
        <v>2650</v>
      </c>
      <c r="F353" s="451">
        <v>46195</v>
      </c>
      <c r="G353">
        <v>24278</v>
      </c>
      <c r="H353" t="s">
        <v>4901</v>
      </c>
      <c r="I353" t="s">
        <v>5191</v>
      </c>
      <c r="J353">
        <v>6.6</v>
      </c>
      <c r="K353" t="s">
        <v>4744</v>
      </c>
      <c r="L353">
        <v>62.7</v>
      </c>
      <c r="M353">
        <v>9.5</v>
      </c>
      <c r="O353" t="s">
        <v>464</v>
      </c>
    </row>
    <row r="354" spans="1:15" x14ac:dyDescent="0.3">
      <c r="A354">
        <v>241976</v>
      </c>
      <c r="B354">
        <v>105</v>
      </c>
      <c r="C354" t="s">
        <v>557</v>
      </c>
      <c r="D354" t="s">
        <v>2597</v>
      </c>
      <c r="E354" t="s">
        <v>2650</v>
      </c>
      <c r="F354" s="451">
        <v>46195</v>
      </c>
      <c r="G354">
        <v>19041</v>
      </c>
      <c r="H354" t="s">
        <v>4762</v>
      </c>
      <c r="I354" t="s">
        <v>5191</v>
      </c>
      <c r="J354">
        <v>30</v>
      </c>
      <c r="K354" t="s">
        <v>4744</v>
      </c>
      <c r="L354">
        <v>480</v>
      </c>
      <c r="M354">
        <v>16</v>
      </c>
      <c r="O354" t="s">
        <v>464</v>
      </c>
    </row>
    <row r="355" spans="1:15" x14ac:dyDescent="0.3">
      <c r="A355">
        <v>241976</v>
      </c>
      <c r="B355">
        <v>105</v>
      </c>
      <c r="C355" t="s">
        <v>557</v>
      </c>
      <c r="D355" t="s">
        <v>2597</v>
      </c>
      <c r="E355" t="s">
        <v>2650</v>
      </c>
      <c r="F355" s="451">
        <v>46195</v>
      </c>
      <c r="G355">
        <v>19017</v>
      </c>
      <c r="H355" t="s">
        <v>5174</v>
      </c>
      <c r="I355" t="s">
        <v>5191</v>
      </c>
      <c r="J355">
        <v>5.3</v>
      </c>
      <c r="K355" t="s">
        <v>4744</v>
      </c>
      <c r="L355">
        <v>80.56</v>
      </c>
      <c r="M355">
        <v>15.2</v>
      </c>
      <c r="O355" t="s">
        <v>464</v>
      </c>
    </row>
    <row r="356" spans="1:15" x14ac:dyDescent="0.3">
      <c r="A356">
        <v>241976</v>
      </c>
      <c r="B356">
        <v>105</v>
      </c>
      <c r="C356" t="s">
        <v>557</v>
      </c>
      <c r="D356" t="s">
        <v>2597</v>
      </c>
      <c r="E356" t="s">
        <v>2650</v>
      </c>
      <c r="F356" s="451">
        <v>46195</v>
      </c>
      <c r="G356">
        <v>22843</v>
      </c>
      <c r="H356" t="s">
        <v>4849</v>
      </c>
      <c r="I356" t="s">
        <v>5191</v>
      </c>
      <c r="J356">
        <v>7.9</v>
      </c>
      <c r="K356" t="s">
        <v>4744</v>
      </c>
      <c r="L356">
        <v>301.77999999999997</v>
      </c>
      <c r="M356">
        <v>38.200000000000003</v>
      </c>
      <c r="O356" t="s">
        <v>464</v>
      </c>
    </row>
    <row r="357" spans="1:15" x14ac:dyDescent="0.3">
      <c r="A357">
        <v>241975</v>
      </c>
      <c r="B357">
        <v>105</v>
      </c>
      <c r="C357" t="s">
        <v>557</v>
      </c>
      <c r="D357" t="s">
        <v>2552</v>
      </c>
      <c r="E357" t="s">
        <v>2651</v>
      </c>
      <c r="F357" s="451">
        <v>46197</v>
      </c>
      <c r="G357">
        <v>26627</v>
      </c>
      <c r="H357" t="s">
        <v>5190</v>
      </c>
      <c r="I357" t="s">
        <v>5191</v>
      </c>
      <c r="J357">
        <v>30</v>
      </c>
      <c r="K357" t="s">
        <v>4744</v>
      </c>
      <c r="L357">
        <v>237</v>
      </c>
      <c r="M357">
        <v>7.9</v>
      </c>
      <c r="O357" t="s">
        <v>464</v>
      </c>
    </row>
    <row r="358" spans="1:15" x14ac:dyDescent="0.3">
      <c r="A358">
        <v>241974</v>
      </c>
      <c r="B358">
        <v>105</v>
      </c>
      <c r="C358" t="s">
        <v>557</v>
      </c>
      <c r="D358" t="s">
        <v>2554</v>
      </c>
      <c r="E358" t="s">
        <v>2652</v>
      </c>
      <c r="F358" s="451">
        <v>46195</v>
      </c>
      <c r="G358">
        <v>17314</v>
      </c>
      <c r="H358" t="s">
        <v>5208</v>
      </c>
      <c r="I358" t="s">
        <v>5188</v>
      </c>
      <c r="J358">
        <v>2</v>
      </c>
      <c r="K358" t="s">
        <v>4848</v>
      </c>
      <c r="L358">
        <v>11.78</v>
      </c>
      <c r="M358">
        <v>5.89</v>
      </c>
      <c r="O358" t="s">
        <v>464</v>
      </c>
    </row>
    <row r="359" spans="1:15" x14ac:dyDescent="0.3">
      <c r="A359">
        <v>241974</v>
      </c>
      <c r="B359">
        <v>105</v>
      </c>
      <c r="C359" t="s">
        <v>557</v>
      </c>
      <c r="D359" t="s">
        <v>2554</v>
      </c>
      <c r="E359" t="s">
        <v>2652</v>
      </c>
      <c r="F359" s="451">
        <v>46195</v>
      </c>
      <c r="G359">
        <v>17391</v>
      </c>
      <c r="H359" t="s">
        <v>5254</v>
      </c>
      <c r="I359" t="s">
        <v>5188</v>
      </c>
      <c r="J359">
        <v>1</v>
      </c>
      <c r="K359" t="s">
        <v>4738</v>
      </c>
      <c r="L359">
        <v>58.55</v>
      </c>
      <c r="M359">
        <v>58.55</v>
      </c>
      <c r="O359" t="s">
        <v>464</v>
      </c>
    </row>
    <row r="360" spans="1:15" x14ac:dyDescent="0.3">
      <c r="A360">
        <v>241974</v>
      </c>
      <c r="B360">
        <v>105</v>
      </c>
      <c r="C360" t="s">
        <v>557</v>
      </c>
      <c r="D360" t="s">
        <v>2554</v>
      </c>
      <c r="E360" t="s">
        <v>2652</v>
      </c>
      <c r="F360" s="451">
        <v>46195</v>
      </c>
      <c r="G360">
        <v>17162</v>
      </c>
      <c r="H360" t="s">
        <v>5255</v>
      </c>
      <c r="I360" t="s">
        <v>5188</v>
      </c>
      <c r="J360">
        <v>1</v>
      </c>
      <c r="K360" t="s">
        <v>4736</v>
      </c>
      <c r="L360">
        <v>54</v>
      </c>
      <c r="M360">
        <v>54</v>
      </c>
      <c r="O360" t="s">
        <v>464</v>
      </c>
    </row>
    <row r="361" spans="1:15" x14ac:dyDescent="0.3">
      <c r="A361">
        <v>241974</v>
      </c>
      <c r="B361">
        <v>105</v>
      </c>
      <c r="C361" t="s">
        <v>557</v>
      </c>
      <c r="D361" t="s">
        <v>2554</v>
      </c>
      <c r="E361" t="s">
        <v>2652</v>
      </c>
      <c r="F361" s="451">
        <v>46195</v>
      </c>
      <c r="G361">
        <v>17473</v>
      </c>
      <c r="H361" t="s">
        <v>5256</v>
      </c>
      <c r="I361" t="s">
        <v>5215</v>
      </c>
      <c r="J361">
        <v>1</v>
      </c>
      <c r="K361" t="s">
        <v>4749</v>
      </c>
      <c r="L361">
        <v>85</v>
      </c>
      <c r="M361">
        <v>85</v>
      </c>
      <c r="O361" t="s">
        <v>464</v>
      </c>
    </row>
    <row r="362" spans="1:15" x14ac:dyDescent="0.3">
      <c r="A362">
        <v>241974</v>
      </c>
      <c r="B362">
        <v>105</v>
      </c>
      <c r="C362" t="s">
        <v>557</v>
      </c>
      <c r="D362" t="s">
        <v>2554</v>
      </c>
      <c r="E362" t="s">
        <v>2652</v>
      </c>
      <c r="F362" s="451">
        <v>46195</v>
      </c>
      <c r="G362">
        <v>17437</v>
      </c>
      <c r="H362" t="s">
        <v>5203</v>
      </c>
      <c r="I362" t="s">
        <v>5188</v>
      </c>
      <c r="J362">
        <v>15</v>
      </c>
      <c r="K362" t="s">
        <v>4736</v>
      </c>
      <c r="L362">
        <v>34.5</v>
      </c>
      <c r="M362">
        <v>2.2999999999999998</v>
      </c>
      <c r="O362" t="s">
        <v>464</v>
      </c>
    </row>
    <row r="363" spans="1:15" x14ac:dyDescent="0.3">
      <c r="A363">
        <v>241974</v>
      </c>
      <c r="B363">
        <v>105</v>
      </c>
      <c r="C363" t="s">
        <v>557</v>
      </c>
      <c r="D363" t="s">
        <v>2554</v>
      </c>
      <c r="E363" t="s">
        <v>2652</v>
      </c>
      <c r="F363" s="451">
        <v>46195</v>
      </c>
      <c r="G363">
        <v>21783</v>
      </c>
      <c r="H363" t="s">
        <v>5210</v>
      </c>
      <c r="I363" t="s">
        <v>5205</v>
      </c>
      <c r="J363">
        <v>1</v>
      </c>
      <c r="K363" t="s">
        <v>4736</v>
      </c>
      <c r="L363">
        <v>16</v>
      </c>
      <c r="M363">
        <v>16</v>
      </c>
      <c r="O363" t="s">
        <v>464</v>
      </c>
    </row>
    <row r="364" spans="1:15" x14ac:dyDescent="0.3">
      <c r="A364">
        <v>241974</v>
      </c>
      <c r="B364">
        <v>105</v>
      </c>
      <c r="C364" t="s">
        <v>557</v>
      </c>
      <c r="D364" t="s">
        <v>2554</v>
      </c>
      <c r="E364" t="s">
        <v>2652</v>
      </c>
      <c r="F364" s="451">
        <v>46195</v>
      </c>
      <c r="G364">
        <v>17418</v>
      </c>
      <c r="H364" t="s">
        <v>5207</v>
      </c>
      <c r="I364" t="s">
        <v>5188</v>
      </c>
      <c r="J364">
        <v>3</v>
      </c>
      <c r="K364" t="s">
        <v>4749</v>
      </c>
      <c r="L364">
        <v>176.7</v>
      </c>
      <c r="M364">
        <v>58.9</v>
      </c>
      <c r="O364" t="s">
        <v>464</v>
      </c>
    </row>
    <row r="365" spans="1:15" x14ac:dyDescent="0.3">
      <c r="A365">
        <v>241974</v>
      </c>
      <c r="B365">
        <v>105</v>
      </c>
      <c r="C365" t="s">
        <v>557</v>
      </c>
      <c r="D365" t="s">
        <v>2554</v>
      </c>
      <c r="E365" t="s">
        <v>2652</v>
      </c>
      <c r="F365" s="451">
        <v>46195</v>
      </c>
      <c r="G365">
        <v>27798</v>
      </c>
      <c r="H365" t="s">
        <v>5257</v>
      </c>
      <c r="I365" t="s">
        <v>5215</v>
      </c>
      <c r="J365">
        <v>2</v>
      </c>
      <c r="K365" t="s">
        <v>5245</v>
      </c>
      <c r="L365">
        <v>350</v>
      </c>
      <c r="M365">
        <v>175</v>
      </c>
      <c r="O365" t="s">
        <v>464</v>
      </c>
    </row>
    <row r="366" spans="1:15" x14ac:dyDescent="0.3">
      <c r="A366">
        <v>241974</v>
      </c>
      <c r="B366">
        <v>105</v>
      </c>
      <c r="C366" t="s">
        <v>557</v>
      </c>
      <c r="D366" t="s">
        <v>2554</v>
      </c>
      <c r="E366" t="s">
        <v>2652</v>
      </c>
      <c r="F366" s="451">
        <v>46195</v>
      </c>
      <c r="G366">
        <v>17196</v>
      </c>
      <c r="H366" t="s">
        <v>5258</v>
      </c>
      <c r="I366" t="s">
        <v>5188</v>
      </c>
      <c r="J366">
        <v>1</v>
      </c>
      <c r="K366" t="s">
        <v>4738</v>
      </c>
      <c r="L366">
        <v>6.38</v>
      </c>
      <c r="M366">
        <v>6.38</v>
      </c>
      <c r="O366" t="s">
        <v>464</v>
      </c>
    </row>
    <row r="367" spans="1:15" x14ac:dyDescent="0.3">
      <c r="A367">
        <v>241974</v>
      </c>
      <c r="B367">
        <v>105</v>
      </c>
      <c r="C367" t="s">
        <v>557</v>
      </c>
      <c r="D367" t="s">
        <v>2554</v>
      </c>
      <c r="E367" t="s">
        <v>2652</v>
      </c>
      <c r="F367" s="451">
        <v>46195</v>
      </c>
      <c r="G367">
        <v>17017</v>
      </c>
      <c r="H367" t="s">
        <v>5199</v>
      </c>
      <c r="I367" t="s">
        <v>5188</v>
      </c>
      <c r="J367">
        <v>3</v>
      </c>
      <c r="K367" t="s">
        <v>4738</v>
      </c>
      <c r="L367">
        <v>9</v>
      </c>
      <c r="M367">
        <v>3</v>
      </c>
      <c r="O367" t="s">
        <v>464</v>
      </c>
    </row>
    <row r="368" spans="1:15" x14ac:dyDescent="0.3">
      <c r="A368">
        <v>241974</v>
      </c>
      <c r="B368">
        <v>105</v>
      </c>
      <c r="C368" t="s">
        <v>557</v>
      </c>
      <c r="D368" t="s">
        <v>2554</v>
      </c>
      <c r="E368" t="s">
        <v>2652</v>
      </c>
      <c r="F368" s="451">
        <v>46195</v>
      </c>
      <c r="G368">
        <v>24505</v>
      </c>
      <c r="H368" t="s">
        <v>5198</v>
      </c>
      <c r="I368" t="s">
        <v>5188</v>
      </c>
      <c r="J368">
        <v>3</v>
      </c>
      <c r="K368" t="s">
        <v>4738</v>
      </c>
      <c r="L368">
        <v>14.94</v>
      </c>
      <c r="M368">
        <v>4.9800000000000004</v>
      </c>
      <c r="O368" t="s">
        <v>464</v>
      </c>
    </row>
    <row r="369" spans="1:15" x14ac:dyDescent="0.3">
      <c r="A369">
        <v>241974</v>
      </c>
      <c r="B369">
        <v>105</v>
      </c>
      <c r="C369" t="s">
        <v>557</v>
      </c>
      <c r="D369" t="s">
        <v>2554</v>
      </c>
      <c r="E369" t="s">
        <v>2652</v>
      </c>
      <c r="F369" s="451">
        <v>46195</v>
      </c>
      <c r="G369">
        <v>17532</v>
      </c>
      <c r="H369" t="s">
        <v>5259</v>
      </c>
      <c r="I369" t="s">
        <v>5188</v>
      </c>
      <c r="J369">
        <v>1</v>
      </c>
      <c r="K369" t="s">
        <v>4749</v>
      </c>
      <c r="L369">
        <v>98</v>
      </c>
      <c r="M369">
        <v>98</v>
      </c>
      <c r="O369" t="s">
        <v>464</v>
      </c>
    </row>
    <row r="370" spans="1:15" x14ac:dyDescent="0.3">
      <c r="A370">
        <v>241974</v>
      </c>
      <c r="B370">
        <v>105</v>
      </c>
      <c r="C370" t="s">
        <v>557</v>
      </c>
      <c r="D370" t="s">
        <v>2554</v>
      </c>
      <c r="E370" t="s">
        <v>2652</v>
      </c>
      <c r="F370" s="451">
        <v>46195</v>
      </c>
      <c r="G370">
        <v>17504</v>
      </c>
      <c r="H370" t="s">
        <v>5260</v>
      </c>
      <c r="I370" t="s">
        <v>5205</v>
      </c>
      <c r="J370">
        <v>2</v>
      </c>
      <c r="K370" t="s">
        <v>4736</v>
      </c>
      <c r="L370">
        <v>54</v>
      </c>
      <c r="M370">
        <v>27</v>
      </c>
      <c r="O370" t="s">
        <v>464</v>
      </c>
    </row>
    <row r="371" spans="1:15" x14ac:dyDescent="0.3">
      <c r="A371">
        <v>241974</v>
      </c>
      <c r="B371">
        <v>105</v>
      </c>
      <c r="C371" t="s">
        <v>557</v>
      </c>
      <c r="D371" t="s">
        <v>2554</v>
      </c>
      <c r="E371" t="s">
        <v>2652</v>
      </c>
      <c r="F371" s="451">
        <v>46195</v>
      </c>
      <c r="G371">
        <v>17304</v>
      </c>
      <c r="H371" t="s">
        <v>5195</v>
      </c>
      <c r="I371" t="s">
        <v>5188</v>
      </c>
      <c r="J371">
        <v>2</v>
      </c>
      <c r="K371" t="s">
        <v>4848</v>
      </c>
      <c r="L371">
        <v>13.18</v>
      </c>
      <c r="M371">
        <v>6.59</v>
      </c>
      <c r="O371" t="s">
        <v>464</v>
      </c>
    </row>
    <row r="372" spans="1:15" x14ac:dyDescent="0.3">
      <c r="A372">
        <v>241974</v>
      </c>
      <c r="B372">
        <v>105</v>
      </c>
      <c r="C372" t="s">
        <v>557</v>
      </c>
      <c r="D372" t="s">
        <v>2554</v>
      </c>
      <c r="E372" t="s">
        <v>2652</v>
      </c>
      <c r="F372" s="451">
        <v>46195</v>
      </c>
      <c r="G372">
        <v>17266</v>
      </c>
      <c r="H372" t="s">
        <v>5192</v>
      </c>
      <c r="I372" t="s">
        <v>5188</v>
      </c>
      <c r="J372">
        <v>3</v>
      </c>
      <c r="K372" t="s">
        <v>4736</v>
      </c>
      <c r="L372">
        <v>15.6</v>
      </c>
      <c r="M372">
        <v>5.2</v>
      </c>
      <c r="O372" t="s">
        <v>464</v>
      </c>
    </row>
    <row r="373" spans="1:15" x14ac:dyDescent="0.3">
      <c r="A373">
        <v>241974</v>
      </c>
      <c r="B373">
        <v>105</v>
      </c>
      <c r="C373" t="s">
        <v>557</v>
      </c>
      <c r="D373" t="s">
        <v>2554</v>
      </c>
      <c r="E373" t="s">
        <v>2652</v>
      </c>
      <c r="F373" s="451">
        <v>46195</v>
      </c>
      <c r="G373">
        <v>28298</v>
      </c>
      <c r="H373" t="s">
        <v>5261</v>
      </c>
      <c r="I373" t="s">
        <v>5188</v>
      </c>
      <c r="J373">
        <v>2</v>
      </c>
      <c r="K373" t="s">
        <v>4749</v>
      </c>
      <c r="L373">
        <v>137.28</v>
      </c>
      <c r="M373">
        <v>68.64</v>
      </c>
      <c r="O373" t="s">
        <v>464</v>
      </c>
    </row>
    <row r="374" spans="1:15" x14ac:dyDescent="0.3">
      <c r="A374">
        <v>241974</v>
      </c>
      <c r="B374">
        <v>105</v>
      </c>
      <c r="C374" t="s">
        <v>557</v>
      </c>
      <c r="D374" t="s">
        <v>2554</v>
      </c>
      <c r="E374" t="s">
        <v>2652</v>
      </c>
      <c r="F374" s="451">
        <v>46195</v>
      </c>
      <c r="G374">
        <v>17381</v>
      </c>
      <c r="H374" t="s">
        <v>5262</v>
      </c>
      <c r="I374" t="s">
        <v>5188</v>
      </c>
      <c r="J374">
        <v>2</v>
      </c>
      <c r="K374" t="s">
        <v>4736</v>
      </c>
      <c r="L374">
        <v>90</v>
      </c>
      <c r="M374">
        <v>45</v>
      </c>
      <c r="O374" t="s">
        <v>464</v>
      </c>
    </row>
    <row r="375" spans="1:15" x14ac:dyDescent="0.3">
      <c r="A375">
        <v>241973</v>
      </c>
      <c r="B375">
        <v>105</v>
      </c>
      <c r="C375" t="s">
        <v>557</v>
      </c>
      <c r="D375" t="s">
        <v>2653</v>
      </c>
      <c r="E375" t="s">
        <v>2654</v>
      </c>
      <c r="F375" s="451">
        <v>46196</v>
      </c>
      <c r="G375">
        <v>24200</v>
      </c>
      <c r="H375" t="s">
        <v>4820</v>
      </c>
      <c r="I375" t="s">
        <v>5191</v>
      </c>
      <c r="J375">
        <v>10.6</v>
      </c>
      <c r="K375" t="s">
        <v>4744</v>
      </c>
      <c r="L375">
        <v>348.74</v>
      </c>
      <c r="M375">
        <v>32.9</v>
      </c>
      <c r="O375" t="s">
        <v>464</v>
      </c>
    </row>
    <row r="376" spans="1:15" x14ac:dyDescent="0.3">
      <c r="A376">
        <v>241972</v>
      </c>
      <c r="B376">
        <v>105</v>
      </c>
      <c r="C376" t="s">
        <v>557</v>
      </c>
      <c r="D376" t="s">
        <v>2655</v>
      </c>
      <c r="E376" t="s">
        <v>2656</v>
      </c>
      <c r="F376" s="451">
        <v>46188</v>
      </c>
      <c r="G376">
        <v>28658</v>
      </c>
      <c r="H376" t="s">
        <v>5263</v>
      </c>
      <c r="I376" t="s">
        <v>5188</v>
      </c>
      <c r="J376">
        <v>2</v>
      </c>
      <c r="K376" t="s">
        <v>4749</v>
      </c>
      <c r="L376">
        <v>494</v>
      </c>
      <c r="M376">
        <v>247</v>
      </c>
      <c r="O376" t="s">
        <v>464</v>
      </c>
    </row>
    <row r="377" spans="1:15" x14ac:dyDescent="0.3">
      <c r="A377">
        <v>241971</v>
      </c>
      <c r="B377">
        <v>105</v>
      </c>
      <c r="C377" t="s">
        <v>557</v>
      </c>
      <c r="D377" t="s">
        <v>2593</v>
      </c>
      <c r="E377" t="s">
        <v>2657</v>
      </c>
      <c r="F377" s="451">
        <v>46185</v>
      </c>
      <c r="G377">
        <v>24256</v>
      </c>
      <c r="H377" t="s">
        <v>4773</v>
      </c>
      <c r="I377" t="s">
        <v>5191</v>
      </c>
      <c r="J377">
        <v>20</v>
      </c>
      <c r="K377" t="s">
        <v>4744</v>
      </c>
      <c r="L377">
        <v>750</v>
      </c>
      <c r="M377">
        <v>37.5</v>
      </c>
      <c r="O377" t="s">
        <v>464</v>
      </c>
    </row>
    <row r="378" spans="1:15" x14ac:dyDescent="0.3">
      <c r="A378">
        <v>241970</v>
      </c>
      <c r="B378">
        <v>105</v>
      </c>
      <c r="C378" t="s">
        <v>557</v>
      </c>
      <c r="D378" t="s">
        <v>836</v>
      </c>
      <c r="E378" t="s">
        <v>2658</v>
      </c>
      <c r="F378" s="451">
        <v>46189</v>
      </c>
      <c r="G378">
        <v>17205</v>
      </c>
      <c r="H378" t="s">
        <v>5264</v>
      </c>
      <c r="I378" t="s">
        <v>5188</v>
      </c>
      <c r="J378">
        <v>1</v>
      </c>
      <c r="K378" t="s">
        <v>5265</v>
      </c>
      <c r="L378">
        <v>170</v>
      </c>
      <c r="M378">
        <v>170</v>
      </c>
      <c r="O378" t="s">
        <v>464</v>
      </c>
    </row>
    <row r="379" spans="1:15" x14ac:dyDescent="0.3">
      <c r="A379">
        <v>241969</v>
      </c>
      <c r="B379">
        <v>105</v>
      </c>
      <c r="C379" t="s">
        <v>557</v>
      </c>
      <c r="D379" t="s">
        <v>2603</v>
      </c>
      <c r="E379" t="s">
        <v>2659</v>
      </c>
      <c r="F379" s="451">
        <v>46196</v>
      </c>
      <c r="G379">
        <v>19003</v>
      </c>
      <c r="H379" t="s">
        <v>4810</v>
      </c>
      <c r="I379" t="s">
        <v>5191</v>
      </c>
      <c r="J379">
        <v>21.32</v>
      </c>
      <c r="K379" t="s">
        <v>4744</v>
      </c>
      <c r="L379">
        <v>850.67</v>
      </c>
      <c r="M379">
        <v>39.900094000000003</v>
      </c>
      <c r="O379" t="s">
        <v>464</v>
      </c>
    </row>
    <row r="380" spans="1:15" x14ac:dyDescent="0.3">
      <c r="A380">
        <v>241969</v>
      </c>
      <c r="B380">
        <v>105</v>
      </c>
      <c r="C380" t="s">
        <v>557</v>
      </c>
      <c r="D380" t="s">
        <v>2603</v>
      </c>
      <c r="E380" t="s">
        <v>2659</v>
      </c>
      <c r="F380" s="451">
        <v>46196</v>
      </c>
      <c r="G380">
        <v>26679</v>
      </c>
      <c r="H380" t="s">
        <v>4791</v>
      </c>
      <c r="I380" t="s">
        <v>5191</v>
      </c>
      <c r="J380">
        <v>35.130000000000003</v>
      </c>
      <c r="K380" t="s">
        <v>4744</v>
      </c>
      <c r="L380">
        <v>1050.24</v>
      </c>
      <c r="M380">
        <v>29.895816</v>
      </c>
      <c r="O380" t="s">
        <v>464</v>
      </c>
    </row>
    <row r="381" spans="1:15" x14ac:dyDescent="0.3">
      <c r="A381">
        <v>241968</v>
      </c>
      <c r="B381">
        <v>105</v>
      </c>
      <c r="C381" t="s">
        <v>557</v>
      </c>
      <c r="D381" t="s">
        <v>2613</v>
      </c>
      <c r="E381" t="s">
        <v>2660</v>
      </c>
      <c r="F381" s="451">
        <v>46195</v>
      </c>
      <c r="G381">
        <v>29210</v>
      </c>
      <c r="H381" t="s">
        <v>5178</v>
      </c>
      <c r="I381" t="s">
        <v>5191</v>
      </c>
      <c r="J381">
        <v>10.54</v>
      </c>
      <c r="K381" t="s">
        <v>4744</v>
      </c>
      <c r="L381">
        <v>411.06</v>
      </c>
      <c r="M381">
        <v>39</v>
      </c>
      <c r="O381" t="s">
        <v>464</v>
      </c>
    </row>
    <row r="382" spans="1:15" x14ac:dyDescent="0.3">
      <c r="A382">
        <v>241966</v>
      </c>
      <c r="B382">
        <v>105</v>
      </c>
      <c r="C382" t="s">
        <v>557</v>
      </c>
      <c r="D382" t="s">
        <v>2595</v>
      </c>
      <c r="E382" t="s">
        <v>2661</v>
      </c>
      <c r="F382" s="451">
        <v>46195</v>
      </c>
      <c r="G382">
        <v>24217</v>
      </c>
      <c r="H382" t="s">
        <v>4778</v>
      </c>
      <c r="I382" t="s">
        <v>5191</v>
      </c>
      <c r="J382">
        <v>25.89</v>
      </c>
      <c r="K382" t="s">
        <v>4744</v>
      </c>
      <c r="L382">
        <v>931.78</v>
      </c>
      <c r="M382">
        <v>35.989958000000001</v>
      </c>
      <c r="O382" t="s">
        <v>464</v>
      </c>
    </row>
    <row r="383" spans="1:15" x14ac:dyDescent="0.3">
      <c r="A383">
        <v>241964</v>
      </c>
      <c r="B383">
        <v>105</v>
      </c>
      <c r="C383" t="s">
        <v>557</v>
      </c>
      <c r="D383" t="s">
        <v>2563</v>
      </c>
      <c r="E383" t="s">
        <v>2662</v>
      </c>
      <c r="F383" s="451">
        <v>46198</v>
      </c>
      <c r="G383">
        <v>24489</v>
      </c>
      <c r="H383" t="s">
        <v>5121</v>
      </c>
      <c r="I383" t="s">
        <v>5191</v>
      </c>
      <c r="J383">
        <v>1.05</v>
      </c>
      <c r="K383" t="s">
        <v>4744</v>
      </c>
      <c r="L383">
        <v>22.53</v>
      </c>
      <c r="M383">
        <v>21.457142999999999</v>
      </c>
      <c r="O383" t="s">
        <v>464</v>
      </c>
    </row>
    <row r="384" spans="1:15" x14ac:dyDescent="0.3">
      <c r="A384">
        <v>241964</v>
      </c>
      <c r="B384">
        <v>105</v>
      </c>
      <c r="C384" t="s">
        <v>557</v>
      </c>
      <c r="D384" t="s">
        <v>2563</v>
      </c>
      <c r="E384" t="s">
        <v>2662</v>
      </c>
      <c r="F384" s="451">
        <v>46198</v>
      </c>
      <c r="G384">
        <v>23346</v>
      </c>
      <c r="H384" t="s">
        <v>4916</v>
      </c>
      <c r="I384" t="s">
        <v>5191</v>
      </c>
      <c r="J384">
        <v>3.4</v>
      </c>
      <c r="K384" t="s">
        <v>4744</v>
      </c>
      <c r="L384">
        <v>22.2</v>
      </c>
      <c r="M384">
        <v>6.5294119999999998</v>
      </c>
      <c r="O384" t="s">
        <v>464</v>
      </c>
    </row>
    <row r="385" spans="1:15" x14ac:dyDescent="0.3">
      <c r="A385">
        <v>241964</v>
      </c>
      <c r="B385">
        <v>105</v>
      </c>
      <c r="C385" t="s">
        <v>557</v>
      </c>
      <c r="D385" t="s">
        <v>2563</v>
      </c>
      <c r="E385" t="s">
        <v>2662</v>
      </c>
      <c r="F385" s="451">
        <v>46198</v>
      </c>
      <c r="G385">
        <v>23389</v>
      </c>
      <c r="H385" t="s">
        <v>4960</v>
      </c>
      <c r="I385" t="s">
        <v>5191</v>
      </c>
      <c r="J385">
        <v>4</v>
      </c>
      <c r="K385" t="s">
        <v>4744</v>
      </c>
      <c r="L385">
        <v>18.68</v>
      </c>
      <c r="M385">
        <v>4.67</v>
      </c>
      <c r="O385" t="s">
        <v>464</v>
      </c>
    </row>
    <row r="386" spans="1:15" x14ac:dyDescent="0.3">
      <c r="A386">
        <v>241964</v>
      </c>
      <c r="B386">
        <v>105</v>
      </c>
      <c r="C386" t="s">
        <v>557</v>
      </c>
      <c r="D386" t="s">
        <v>2563</v>
      </c>
      <c r="E386" t="s">
        <v>2662</v>
      </c>
      <c r="F386" s="451">
        <v>46198</v>
      </c>
      <c r="G386">
        <v>19551</v>
      </c>
      <c r="H386" t="s">
        <v>4905</v>
      </c>
      <c r="I386" t="s">
        <v>5191</v>
      </c>
      <c r="J386">
        <v>1.35</v>
      </c>
      <c r="K386" t="s">
        <v>4744</v>
      </c>
      <c r="L386">
        <v>23.98</v>
      </c>
      <c r="M386">
        <v>17.762962999999999</v>
      </c>
      <c r="O386" t="s">
        <v>464</v>
      </c>
    </row>
    <row r="387" spans="1:15" x14ac:dyDescent="0.3">
      <c r="A387">
        <v>241964</v>
      </c>
      <c r="B387">
        <v>105</v>
      </c>
      <c r="C387" t="s">
        <v>557</v>
      </c>
      <c r="D387" t="s">
        <v>2563</v>
      </c>
      <c r="E387" t="s">
        <v>2662</v>
      </c>
      <c r="F387" s="451">
        <v>46198</v>
      </c>
      <c r="G387">
        <v>23228</v>
      </c>
      <c r="H387" t="s">
        <v>4782</v>
      </c>
      <c r="I387" t="s">
        <v>5191</v>
      </c>
      <c r="J387">
        <v>7</v>
      </c>
      <c r="K387" t="s">
        <v>4744</v>
      </c>
      <c r="L387">
        <v>47.74</v>
      </c>
      <c r="M387">
        <v>6.82</v>
      </c>
      <c r="O387" t="s">
        <v>464</v>
      </c>
    </row>
    <row r="388" spans="1:15" x14ac:dyDescent="0.3">
      <c r="A388">
        <v>241964</v>
      </c>
      <c r="B388">
        <v>105</v>
      </c>
      <c r="C388" t="s">
        <v>557</v>
      </c>
      <c r="D388" t="s">
        <v>2563</v>
      </c>
      <c r="E388" t="s">
        <v>2662</v>
      </c>
      <c r="F388" s="451">
        <v>46198</v>
      </c>
      <c r="G388">
        <v>19658</v>
      </c>
      <c r="H388" t="s">
        <v>4784</v>
      </c>
      <c r="I388" t="s">
        <v>5191</v>
      </c>
      <c r="J388">
        <v>3.9</v>
      </c>
      <c r="K388" t="s">
        <v>4744</v>
      </c>
      <c r="L388">
        <v>14.43</v>
      </c>
      <c r="M388">
        <v>3.7</v>
      </c>
      <c r="O388" t="s">
        <v>464</v>
      </c>
    </row>
    <row r="389" spans="1:15" x14ac:dyDescent="0.3">
      <c r="A389">
        <v>241964</v>
      </c>
      <c r="B389">
        <v>105</v>
      </c>
      <c r="C389" t="s">
        <v>557</v>
      </c>
      <c r="D389" t="s">
        <v>2563</v>
      </c>
      <c r="E389" t="s">
        <v>2662</v>
      </c>
      <c r="F389" s="451">
        <v>46198</v>
      </c>
      <c r="G389">
        <v>19787</v>
      </c>
      <c r="H389" t="s">
        <v>4793</v>
      </c>
      <c r="I389" t="s">
        <v>5191</v>
      </c>
      <c r="J389">
        <v>7.5</v>
      </c>
      <c r="K389" t="s">
        <v>4744</v>
      </c>
      <c r="L389">
        <v>43.5</v>
      </c>
      <c r="M389">
        <v>5.8</v>
      </c>
      <c r="O389" t="s">
        <v>464</v>
      </c>
    </row>
    <row r="390" spans="1:15" x14ac:dyDescent="0.3">
      <c r="A390">
        <v>241964</v>
      </c>
      <c r="B390">
        <v>105</v>
      </c>
      <c r="C390" t="s">
        <v>557</v>
      </c>
      <c r="D390" t="s">
        <v>2563</v>
      </c>
      <c r="E390" t="s">
        <v>2662</v>
      </c>
      <c r="F390" s="451">
        <v>46198</v>
      </c>
      <c r="G390">
        <v>23359</v>
      </c>
      <c r="H390" t="s">
        <v>4767</v>
      </c>
      <c r="I390" t="s">
        <v>5191</v>
      </c>
      <c r="J390">
        <v>15.05</v>
      </c>
      <c r="K390" t="s">
        <v>4744</v>
      </c>
      <c r="L390">
        <v>43.65</v>
      </c>
      <c r="M390">
        <v>2.9003320000000001</v>
      </c>
      <c r="O390" t="s">
        <v>464</v>
      </c>
    </row>
    <row r="391" spans="1:15" x14ac:dyDescent="0.3">
      <c r="A391">
        <v>241963</v>
      </c>
      <c r="B391">
        <v>105</v>
      </c>
      <c r="C391" t="s">
        <v>557</v>
      </c>
      <c r="D391" t="s">
        <v>2563</v>
      </c>
      <c r="E391" t="s">
        <v>2663</v>
      </c>
      <c r="F391" s="451">
        <v>46196</v>
      </c>
      <c r="G391">
        <v>19526</v>
      </c>
      <c r="H391" t="s">
        <v>4997</v>
      </c>
      <c r="I391" t="s">
        <v>5191</v>
      </c>
      <c r="J391">
        <v>1</v>
      </c>
      <c r="K391" t="s">
        <v>4744</v>
      </c>
      <c r="L391">
        <v>47.85</v>
      </c>
      <c r="M391">
        <v>47.85</v>
      </c>
      <c r="O391" t="s">
        <v>464</v>
      </c>
    </row>
    <row r="392" spans="1:15" x14ac:dyDescent="0.3">
      <c r="A392">
        <v>241963</v>
      </c>
      <c r="B392">
        <v>105</v>
      </c>
      <c r="C392" t="s">
        <v>557</v>
      </c>
      <c r="D392" t="s">
        <v>2563</v>
      </c>
      <c r="E392" t="s">
        <v>2663</v>
      </c>
      <c r="F392" s="451">
        <v>46196</v>
      </c>
      <c r="G392">
        <v>19551</v>
      </c>
      <c r="H392" t="s">
        <v>4905</v>
      </c>
      <c r="I392" t="s">
        <v>5191</v>
      </c>
      <c r="J392">
        <v>2.2999999999999998</v>
      </c>
      <c r="K392" t="s">
        <v>4744</v>
      </c>
      <c r="L392">
        <v>40.85</v>
      </c>
      <c r="M392">
        <v>17.760870000000001</v>
      </c>
      <c r="O392" t="s">
        <v>464</v>
      </c>
    </row>
    <row r="393" spans="1:15" x14ac:dyDescent="0.3">
      <c r="A393">
        <v>241963</v>
      </c>
      <c r="B393">
        <v>105</v>
      </c>
      <c r="C393" t="s">
        <v>557</v>
      </c>
      <c r="D393" t="s">
        <v>2563</v>
      </c>
      <c r="E393" t="s">
        <v>2663</v>
      </c>
      <c r="F393" s="451">
        <v>46196</v>
      </c>
      <c r="G393">
        <v>23359</v>
      </c>
      <c r="H393" t="s">
        <v>4767</v>
      </c>
      <c r="I393" t="s">
        <v>5191</v>
      </c>
      <c r="J393">
        <v>5.05</v>
      </c>
      <c r="K393" t="s">
        <v>4744</v>
      </c>
      <c r="L393">
        <v>14.64</v>
      </c>
      <c r="M393">
        <v>2.8990100000000001</v>
      </c>
      <c r="O393" t="s">
        <v>464</v>
      </c>
    </row>
    <row r="394" spans="1:15" x14ac:dyDescent="0.3">
      <c r="A394">
        <v>241963</v>
      </c>
      <c r="B394">
        <v>105</v>
      </c>
      <c r="C394" t="s">
        <v>557</v>
      </c>
      <c r="D394" t="s">
        <v>2563</v>
      </c>
      <c r="E394" t="s">
        <v>2663</v>
      </c>
      <c r="F394" s="451">
        <v>46196</v>
      </c>
      <c r="G394">
        <v>24509</v>
      </c>
      <c r="H394" t="s">
        <v>4788</v>
      </c>
      <c r="I394" t="s">
        <v>5191</v>
      </c>
      <c r="J394">
        <v>10</v>
      </c>
      <c r="K394" t="s">
        <v>4744</v>
      </c>
      <c r="L394">
        <v>55.9</v>
      </c>
      <c r="M394">
        <v>5.59</v>
      </c>
      <c r="O394" t="s">
        <v>464</v>
      </c>
    </row>
    <row r="395" spans="1:15" x14ac:dyDescent="0.3">
      <c r="A395">
        <v>241963</v>
      </c>
      <c r="B395">
        <v>105</v>
      </c>
      <c r="C395" t="s">
        <v>557</v>
      </c>
      <c r="D395" t="s">
        <v>2563</v>
      </c>
      <c r="E395" t="s">
        <v>2663</v>
      </c>
      <c r="F395" s="451">
        <v>46196</v>
      </c>
      <c r="G395">
        <v>19787</v>
      </c>
      <c r="H395" t="s">
        <v>4793</v>
      </c>
      <c r="I395" t="s">
        <v>5191</v>
      </c>
      <c r="J395">
        <v>5.45</v>
      </c>
      <c r="K395" t="s">
        <v>4744</v>
      </c>
      <c r="L395">
        <v>31.61</v>
      </c>
      <c r="M395">
        <v>5.8</v>
      </c>
      <c r="O395" t="s">
        <v>464</v>
      </c>
    </row>
    <row r="396" spans="1:15" x14ac:dyDescent="0.3">
      <c r="A396">
        <v>241963</v>
      </c>
      <c r="B396">
        <v>105</v>
      </c>
      <c r="C396" t="s">
        <v>557</v>
      </c>
      <c r="D396" t="s">
        <v>2563</v>
      </c>
      <c r="E396" t="s">
        <v>2663</v>
      </c>
      <c r="F396" s="451">
        <v>46196</v>
      </c>
      <c r="G396">
        <v>24489</v>
      </c>
      <c r="H396" t="s">
        <v>5121</v>
      </c>
      <c r="I396" t="s">
        <v>5191</v>
      </c>
      <c r="J396">
        <v>1</v>
      </c>
      <c r="K396" t="s">
        <v>4744</v>
      </c>
      <c r="L396">
        <v>21.46</v>
      </c>
      <c r="M396">
        <v>21.46</v>
      </c>
      <c r="O396" t="s">
        <v>464</v>
      </c>
    </row>
    <row r="397" spans="1:15" x14ac:dyDescent="0.3">
      <c r="A397">
        <v>241963</v>
      </c>
      <c r="B397">
        <v>105</v>
      </c>
      <c r="C397" t="s">
        <v>557</v>
      </c>
      <c r="D397" t="s">
        <v>2563</v>
      </c>
      <c r="E397" t="s">
        <v>2663</v>
      </c>
      <c r="F397" s="451">
        <v>46196</v>
      </c>
      <c r="G397">
        <v>19658</v>
      </c>
      <c r="H397" t="s">
        <v>4784</v>
      </c>
      <c r="I397" t="s">
        <v>5191</v>
      </c>
      <c r="J397">
        <v>5</v>
      </c>
      <c r="K397" t="s">
        <v>4744</v>
      </c>
      <c r="L397">
        <v>18.5</v>
      </c>
      <c r="M397">
        <v>3.7</v>
      </c>
      <c r="O397" t="s">
        <v>464</v>
      </c>
    </row>
    <row r="398" spans="1:15" x14ac:dyDescent="0.3">
      <c r="A398">
        <v>241963</v>
      </c>
      <c r="B398">
        <v>105</v>
      </c>
      <c r="C398" t="s">
        <v>557</v>
      </c>
      <c r="D398" t="s">
        <v>2563</v>
      </c>
      <c r="E398" t="s">
        <v>2663</v>
      </c>
      <c r="F398" s="451">
        <v>46196</v>
      </c>
      <c r="G398">
        <v>23346</v>
      </c>
      <c r="H398" t="s">
        <v>4916</v>
      </c>
      <c r="I398" t="s">
        <v>5191</v>
      </c>
      <c r="J398">
        <v>1.8</v>
      </c>
      <c r="K398" t="s">
        <v>4744</v>
      </c>
      <c r="L398">
        <v>11.75</v>
      </c>
      <c r="M398">
        <v>6.5277779999999996</v>
      </c>
      <c r="O398" t="s">
        <v>464</v>
      </c>
    </row>
    <row r="399" spans="1:15" x14ac:dyDescent="0.3">
      <c r="A399">
        <v>241963</v>
      </c>
      <c r="B399">
        <v>105</v>
      </c>
      <c r="C399" t="s">
        <v>557</v>
      </c>
      <c r="D399" t="s">
        <v>2563</v>
      </c>
      <c r="E399" t="s">
        <v>2663</v>
      </c>
      <c r="F399" s="451">
        <v>46196</v>
      </c>
      <c r="G399">
        <v>19607</v>
      </c>
      <c r="H399" t="s">
        <v>4981</v>
      </c>
      <c r="I399" t="s">
        <v>5191</v>
      </c>
      <c r="J399">
        <v>1</v>
      </c>
      <c r="K399" t="s">
        <v>4744</v>
      </c>
      <c r="L399">
        <v>7.99</v>
      </c>
      <c r="M399">
        <v>7.99</v>
      </c>
      <c r="O399" t="s">
        <v>464</v>
      </c>
    </row>
    <row r="400" spans="1:15" x14ac:dyDescent="0.3">
      <c r="A400">
        <v>241962</v>
      </c>
      <c r="B400">
        <v>105</v>
      </c>
      <c r="C400" t="s">
        <v>557</v>
      </c>
      <c r="D400" t="s">
        <v>2563</v>
      </c>
      <c r="E400" t="s">
        <v>2664</v>
      </c>
      <c r="F400" s="451">
        <v>46191</v>
      </c>
      <c r="G400">
        <v>19658</v>
      </c>
      <c r="H400" t="s">
        <v>4784</v>
      </c>
      <c r="I400" t="s">
        <v>5191</v>
      </c>
      <c r="J400">
        <v>6</v>
      </c>
      <c r="K400" t="s">
        <v>4744</v>
      </c>
      <c r="L400">
        <v>22.2</v>
      </c>
      <c r="M400">
        <v>3.7</v>
      </c>
      <c r="O400" t="s">
        <v>464</v>
      </c>
    </row>
    <row r="401" spans="1:15" x14ac:dyDescent="0.3">
      <c r="A401">
        <v>241962</v>
      </c>
      <c r="B401">
        <v>105</v>
      </c>
      <c r="C401" t="s">
        <v>557</v>
      </c>
      <c r="D401" t="s">
        <v>2563</v>
      </c>
      <c r="E401" t="s">
        <v>2664</v>
      </c>
      <c r="F401" s="451">
        <v>46191</v>
      </c>
      <c r="G401">
        <v>23228</v>
      </c>
      <c r="H401" t="s">
        <v>4782</v>
      </c>
      <c r="I401" t="s">
        <v>5191</v>
      </c>
      <c r="J401">
        <v>7</v>
      </c>
      <c r="K401" t="s">
        <v>4744</v>
      </c>
      <c r="L401">
        <v>47.74</v>
      </c>
      <c r="M401">
        <v>6.82</v>
      </c>
      <c r="O401" t="s">
        <v>464</v>
      </c>
    </row>
    <row r="402" spans="1:15" x14ac:dyDescent="0.3">
      <c r="A402">
        <v>241962</v>
      </c>
      <c r="B402">
        <v>105</v>
      </c>
      <c r="C402" t="s">
        <v>557</v>
      </c>
      <c r="D402" t="s">
        <v>2563</v>
      </c>
      <c r="E402" t="s">
        <v>2664</v>
      </c>
      <c r="F402" s="451">
        <v>46191</v>
      </c>
      <c r="G402">
        <v>23346</v>
      </c>
      <c r="H402" t="s">
        <v>4916</v>
      </c>
      <c r="I402" t="s">
        <v>5191</v>
      </c>
      <c r="J402">
        <v>3.2</v>
      </c>
      <c r="K402" t="s">
        <v>4744</v>
      </c>
      <c r="L402">
        <v>20.9</v>
      </c>
      <c r="M402">
        <v>6.53125</v>
      </c>
      <c r="O402" t="s">
        <v>464</v>
      </c>
    </row>
    <row r="403" spans="1:15" x14ac:dyDescent="0.3">
      <c r="A403">
        <v>241962</v>
      </c>
      <c r="B403">
        <v>105</v>
      </c>
      <c r="C403" t="s">
        <v>557</v>
      </c>
      <c r="D403" t="s">
        <v>2563</v>
      </c>
      <c r="E403" t="s">
        <v>2664</v>
      </c>
      <c r="F403" s="451">
        <v>46191</v>
      </c>
      <c r="G403">
        <v>23359</v>
      </c>
      <c r="H403" t="s">
        <v>4767</v>
      </c>
      <c r="I403" t="s">
        <v>5191</v>
      </c>
      <c r="J403">
        <v>15.2</v>
      </c>
      <c r="K403" t="s">
        <v>4744</v>
      </c>
      <c r="L403">
        <v>44.08</v>
      </c>
      <c r="M403">
        <v>2.9</v>
      </c>
      <c r="O403" t="s">
        <v>464</v>
      </c>
    </row>
    <row r="404" spans="1:15" x14ac:dyDescent="0.3">
      <c r="A404">
        <v>241962</v>
      </c>
      <c r="B404">
        <v>105</v>
      </c>
      <c r="C404" t="s">
        <v>557</v>
      </c>
      <c r="D404" t="s">
        <v>2563</v>
      </c>
      <c r="E404" t="s">
        <v>2664</v>
      </c>
      <c r="F404" s="451">
        <v>46191</v>
      </c>
      <c r="G404">
        <v>24509</v>
      </c>
      <c r="H404" t="s">
        <v>4788</v>
      </c>
      <c r="I404" t="s">
        <v>5191</v>
      </c>
      <c r="J404">
        <v>10.25</v>
      </c>
      <c r="K404" t="s">
        <v>4744</v>
      </c>
      <c r="L404">
        <v>54.22</v>
      </c>
      <c r="M404">
        <v>5.2897559999999997</v>
      </c>
      <c r="O404" t="s">
        <v>464</v>
      </c>
    </row>
    <row r="405" spans="1:15" x14ac:dyDescent="0.3">
      <c r="A405">
        <v>241962</v>
      </c>
      <c r="B405">
        <v>105</v>
      </c>
      <c r="C405" t="s">
        <v>557</v>
      </c>
      <c r="D405" t="s">
        <v>2563</v>
      </c>
      <c r="E405" t="s">
        <v>2664</v>
      </c>
      <c r="F405" s="451">
        <v>46191</v>
      </c>
      <c r="G405">
        <v>19734</v>
      </c>
      <c r="H405" t="s">
        <v>4833</v>
      </c>
      <c r="I405" t="s">
        <v>5191</v>
      </c>
      <c r="J405">
        <v>4.05</v>
      </c>
      <c r="K405" t="s">
        <v>4744</v>
      </c>
      <c r="L405">
        <v>55.81</v>
      </c>
      <c r="M405">
        <v>13.780246999999999</v>
      </c>
      <c r="O405" t="s">
        <v>464</v>
      </c>
    </row>
    <row r="406" spans="1:15" x14ac:dyDescent="0.3">
      <c r="A406">
        <v>241962</v>
      </c>
      <c r="B406">
        <v>105</v>
      </c>
      <c r="C406" t="s">
        <v>557</v>
      </c>
      <c r="D406" t="s">
        <v>2563</v>
      </c>
      <c r="E406" t="s">
        <v>2664</v>
      </c>
      <c r="F406" s="451">
        <v>46191</v>
      </c>
      <c r="G406">
        <v>19480</v>
      </c>
      <c r="H406" t="s">
        <v>5119</v>
      </c>
      <c r="I406" t="s">
        <v>5191</v>
      </c>
      <c r="J406">
        <v>0.35</v>
      </c>
      <c r="K406" t="s">
        <v>4744</v>
      </c>
      <c r="L406">
        <v>8.6</v>
      </c>
      <c r="M406">
        <v>24.571428999999998</v>
      </c>
      <c r="O406" t="s">
        <v>464</v>
      </c>
    </row>
    <row r="407" spans="1:15" x14ac:dyDescent="0.3">
      <c r="A407">
        <v>241962</v>
      </c>
      <c r="B407">
        <v>105</v>
      </c>
      <c r="C407" t="s">
        <v>557</v>
      </c>
      <c r="D407" t="s">
        <v>2563</v>
      </c>
      <c r="E407" t="s">
        <v>2664</v>
      </c>
      <c r="F407" s="451">
        <v>46191</v>
      </c>
      <c r="G407">
        <v>19532</v>
      </c>
      <c r="H407" t="s">
        <v>4753</v>
      </c>
      <c r="I407" t="s">
        <v>5191</v>
      </c>
      <c r="J407">
        <v>30.15</v>
      </c>
      <c r="K407" t="s">
        <v>4744</v>
      </c>
      <c r="L407">
        <v>331.35</v>
      </c>
      <c r="M407">
        <v>10.99005</v>
      </c>
      <c r="O407" t="s">
        <v>464</v>
      </c>
    </row>
    <row r="408" spans="1:15" x14ac:dyDescent="0.3">
      <c r="A408">
        <v>241962</v>
      </c>
      <c r="B408">
        <v>105</v>
      </c>
      <c r="C408" t="s">
        <v>557</v>
      </c>
      <c r="D408" t="s">
        <v>2563</v>
      </c>
      <c r="E408" t="s">
        <v>2664</v>
      </c>
      <c r="F408" s="451">
        <v>46191</v>
      </c>
      <c r="G408">
        <v>19740</v>
      </c>
      <c r="H408" t="s">
        <v>4779</v>
      </c>
      <c r="I408" t="s">
        <v>5191</v>
      </c>
      <c r="J408">
        <v>8</v>
      </c>
      <c r="K408" t="s">
        <v>4744</v>
      </c>
      <c r="L408">
        <v>81.2</v>
      </c>
      <c r="M408">
        <v>10.15</v>
      </c>
      <c r="O408" t="s">
        <v>464</v>
      </c>
    </row>
    <row r="409" spans="1:15" x14ac:dyDescent="0.3">
      <c r="A409">
        <v>241962</v>
      </c>
      <c r="B409">
        <v>105</v>
      </c>
      <c r="C409" t="s">
        <v>557</v>
      </c>
      <c r="D409" t="s">
        <v>2563</v>
      </c>
      <c r="E409" t="s">
        <v>2664</v>
      </c>
      <c r="F409" s="451">
        <v>46191</v>
      </c>
      <c r="G409">
        <v>19634</v>
      </c>
      <c r="H409" t="s">
        <v>4792</v>
      </c>
      <c r="I409" t="s">
        <v>5191</v>
      </c>
      <c r="J409">
        <v>3.7</v>
      </c>
      <c r="K409" t="s">
        <v>4744</v>
      </c>
      <c r="L409">
        <v>25.75</v>
      </c>
      <c r="M409">
        <v>6.9594589999999998</v>
      </c>
      <c r="O409" t="s">
        <v>464</v>
      </c>
    </row>
    <row r="410" spans="1:15" x14ac:dyDescent="0.3">
      <c r="A410">
        <v>241961</v>
      </c>
      <c r="B410">
        <v>105</v>
      </c>
      <c r="C410" t="s">
        <v>557</v>
      </c>
      <c r="D410" t="s">
        <v>2563</v>
      </c>
      <c r="E410" t="s">
        <v>2665</v>
      </c>
      <c r="F410" s="451">
        <v>46190</v>
      </c>
      <c r="G410">
        <v>23359</v>
      </c>
      <c r="H410" t="s">
        <v>4767</v>
      </c>
      <c r="I410" t="s">
        <v>5191</v>
      </c>
      <c r="J410">
        <v>6</v>
      </c>
      <c r="K410" t="s">
        <v>4744</v>
      </c>
      <c r="L410">
        <v>17.399999999999999</v>
      </c>
      <c r="M410">
        <v>2.9</v>
      </c>
      <c r="O410" t="s">
        <v>464</v>
      </c>
    </row>
    <row r="411" spans="1:15" x14ac:dyDescent="0.3">
      <c r="A411">
        <v>241961</v>
      </c>
      <c r="B411">
        <v>105</v>
      </c>
      <c r="C411" t="s">
        <v>557</v>
      </c>
      <c r="D411" t="s">
        <v>2563</v>
      </c>
      <c r="E411" t="s">
        <v>2665</v>
      </c>
      <c r="F411" s="451">
        <v>46190</v>
      </c>
      <c r="G411">
        <v>24489</v>
      </c>
      <c r="H411" t="s">
        <v>5121</v>
      </c>
      <c r="I411" t="s">
        <v>5191</v>
      </c>
      <c r="J411">
        <v>1</v>
      </c>
      <c r="K411" t="s">
        <v>4744</v>
      </c>
      <c r="L411">
        <v>21.46</v>
      </c>
      <c r="M411">
        <v>21.46</v>
      </c>
      <c r="O411" t="s">
        <v>464</v>
      </c>
    </row>
    <row r="412" spans="1:15" x14ac:dyDescent="0.3">
      <c r="A412">
        <v>241961</v>
      </c>
      <c r="B412">
        <v>105</v>
      </c>
      <c r="C412" t="s">
        <v>557</v>
      </c>
      <c r="D412" t="s">
        <v>2563</v>
      </c>
      <c r="E412" t="s">
        <v>2665</v>
      </c>
      <c r="F412" s="451">
        <v>46190</v>
      </c>
      <c r="G412">
        <v>23228</v>
      </c>
      <c r="H412" t="s">
        <v>4782</v>
      </c>
      <c r="I412" t="s">
        <v>5191</v>
      </c>
      <c r="J412">
        <v>8</v>
      </c>
      <c r="K412" t="s">
        <v>4744</v>
      </c>
      <c r="L412">
        <v>54.56</v>
      </c>
      <c r="M412">
        <v>6.82</v>
      </c>
      <c r="O412" t="s">
        <v>464</v>
      </c>
    </row>
    <row r="413" spans="1:15" x14ac:dyDescent="0.3">
      <c r="A413">
        <v>241961</v>
      </c>
      <c r="B413">
        <v>105</v>
      </c>
      <c r="C413" t="s">
        <v>557</v>
      </c>
      <c r="D413" t="s">
        <v>2563</v>
      </c>
      <c r="E413" t="s">
        <v>2665</v>
      </c>
      <c r="F413" s="451">
        <v>46190</v>
      </c>
      <c r="G413">
        <v>23096</v>
      </c>
      <c r="H413" t="s">
        <v>5164</v>
      </c>
      <c r="I413" t="s">
        <v>5191</v>
      </c>
      <c r="J413">
        <v>30</v>
      </c>
      <c r="K413" t="s">
        <v>4736</v>
      </c>
      <c r="L413">
        <v>20.100000000000001</v>
      </c>
      <c r="M413">
        <v>0.67</v>
      </c>
      <c r="O413" t="s">
        <v>464</v>
      </c>
    </row>
    <row r="414" spans="1:15" x14ac:dyDescent="0.3">
      <c r="A414">
        <v>241961</v>
      </c>
      <c r="B414">
        <v>105</v>
      </c>
      <c r="C414" t="s">
        <v>557</v>
      </c>
      <c r="D414" t="s">
        <v>2563</v>
      </c>
      <c r="E414" t="s">
        <v>2665</v>
      </c>
      <c r="F414" s="451">
        <v>46190</v>
      </c>
      <c r="G414">
        <v>19707</v>
      </c>
      <c r="H414" t="s">
        <v>5266</v>
      </c>
      <c r="I414" t="s">
        <v>5191</v>
      </c>
      <c r="J414">
        <v>0.5</v>
      </c>
      <c r="K414" t="s">
        <v>4744</v>
      </c>
      <c r="L414">
        <v>7.97</v>
      </c>
      <c r="M414">
        <v>15.94</v>
      </c>
      <c r="O414" t="s">
        <v>464</v>
      </c>
    </row>
    <row r="415" spans="1:15" x14ac:dyDescent="0.3">
      <c r="A415">
        <v>241961</v>
      </c>
      <c r="B415">
        <v>105</v>
      </c>
      <c r="C415" t="s">
        <v>557</v>
      </c>
      <c r="D415" t="s">
        <v>2563</v>
      </c>
      <c r="E415" t="s">
        <v>2665</v>
      </c>
      <c r="F415" s="451">
        <v>46190</v>
      </c>
      <c r="G415">
        <v>19526</v>
      </c>
      <c r="H415" t="s">
        <v>4997</v>
      </c>
      <c r="I415" t="s">
        <v>5191</v>
      </c>
      <c r="J415">
        <v>1</v>
      </c>
      <c r="K415" t="s">
        <v>4744</v>
      </c>
      <c r="L415">
        <v>47.85</v>
      </c>
      <c r="M415">
        <v>47.85</v>
      </c>
      <c r="O415" t="s">
        <v>464</v>
      </c>
    </row>
    <row r="416" spans="1:15" x14ac:dyDescent="0.3">
      <c r="A416">
        <v>241961</v>
      </c>
      <c r="B416">
        <v>105</v>
      </c>
      <c r="C416" t="s">
        <v>557</v>
      </c>
      <c r="D416" t="s">
        <v>2563</v>
      </c>
      <c r="E416" t="s">
        <v>2665</v>
      </c>
      <c r="F416" s="451">
        <v>46190</v>
      </c>
      <c r="G416">
        <v>19532</v>
      </c>
      <c r="H416" t="s">
        <v>4753</v>
      </c>
      <c r="I416" t="s">
        <v>5191</v>
      </c>
      <c r="J416">
        <v>20</v>
      </c>
      <c r="K416" t="s">
        <v>4744</v>
      </c>
      <c r="L416">
        <v>219.8</v>
      </c>
      <c r="M416">
        <v>10.99</v>
      </c>
      <c r="O416" t="s">
        <v>464</v>
      </c>
    </row>
    <row r="417" spans="1:15" x14ac:dyDescent="0.3">
      <c r="A417">
        <v>241960</v>
      </c>
      <c r="B417">
        <v>105</v>
      </c>
      <c r="C417" t="s">
        <v>557</v>
      </c>
      <c r="D417" t="s">
        <v>2563</v>
      </c>
      <c r="E417" t="s">
        <v>2666</v>
      </c>
      <c r="F417" s="451">
        <v>46188</v>
      </c>
      <c r="G417">
        <v>24037</v>
      </c>
      <c r="H417" t="s">
        <v>5233</v>
      </c>
      <c r="I417" t="s">
        <v>5191</v>
      </c>
      <c r="J417">
        <v>2</v>
      </c>
      <c r="K417" t="s">
        <v>4744</v>
      </c>
      <c r="L417">
        <v>35</v>
      </c>
      <c r="M417">
        <v>17.5</v>
      </c>
      <c r="O417" t="s">
        <v>464</v>
      </c>
    </row>
    <row r="418" spans="1:15" x14ac:dyDescent="0.3">
      <c r="A418">
        <v>241960</v>
      </c>
      <c r="B418">
        <v>105</v>
      </c>
      <c r="C418" t="s">
        <v>557</v>
      </c>
      <c r="D418" t="s">
        <v>2563</v>
      </c>
      <c r="E418" t="s">
        <v>2666</v>
      </c>
      <c r="F418" s="451">
        <v>46188</v>
      </c>
      <c r="G418">
        <v>23389</v>
      </c>
      <c r="H418" t="s">
        <v>4960</v>
      </c>
      <c r="I418" t="s">
        <v>5191</v>
      </c>
      <c r="J418">
        <v>4</v>
      </c>
      <c r="K418" t="s">
        <v>4744</v>
      </c>
      <c r="L418">
        <v>18.68</v>
      </c>
      <c r="M418">
        <v>4.67</v>
      </c>
      <c r="O418" t="s">
        <v>464</v>
      </c>
    </row>
    <row r="419" spans="1:15" x14ac:dyDescent="0.3">
      <c r="A419">
        <v>241960</v>
      </c>
      <c r="B419">
        <v>105</v>
      </c>
      <c r="C419" t="s">
        <v>557</v>
      </c>
      <c r="D419" t="s">
        <v>2563</v>
      </c>
      <c r="E419" t="s">
        <v>2666</v>
      </c>
      <c r="F419" s="451">
        <v>46188</v>
      </c>
      <c r="G419">
        <v>19476</v>
      </c>
      <c r="H419" t="s">
        <v>5115</v>
      </c>
      <c r="I419" t="s">
        <v>5191</v>
      </c>
      <c r="J419">
        <v>0.3</v>
      </c>
      <c r="K419" t="s">
        <v>4744</v>
      </c>
      <c r="L419">
        <v>22.62</v>
      </c>
      <c r="M419">
        <v>75.400000000000006</v>
      </c>
      <c r="O419" t="s">
        <v>464</v>
      </c>
    </row>
    <row r="420" spans="1:15" x14ac:dyDescent="0.3">
      <c r="A420">
        <v>241960</v>
      </c>
      <c r="B420">
        <v>105</v>
      </c>
      <c r="C420" t="s">
        <v>557</v>
      </c>
      <c r="D420" t="s">
        <v>2563</v>
      </c>
      <c r="E420" t="s">
        <v>2666</v>
      </c>
      <c r="F420" s="451">
        <v>46188</v>
      </c>
      <c r="G420">
        <v>19532</v>
      </c>
      <c r="H420" t="s">
        <v>4753</v>
      </c>
      <c r="I420" t="s">
        <v>5191</v>
      </c>
      <c r="J420">
        <v>10</v>
      </c>
      <c r="K420" t="s">
        <v>4744</v>
      </c>
      <c r="L420">
        <v>109.9</v>
      </c>
      <c r="M420">
        <v>10.99</v>
      </c>
      <c r="O420" t="s">
        <v>464</v>
      </c>
    </row>
    <row r="421" spans="1:15" x14ac:dyDescent="0.3">
      <c r="A421">
        <v>241960</v>
      </c>
      <c r="B421">
        <v>105</v>
      </c>
      <c r="C421" t="s">
        <v>557</v>
      </c>
      <c r="D421" t="s">
        <v>2563</v>
      </c>
      <c r="E421" t="s">
        <v>2666</v>
      </c>
      <c r="F421" s="451">
        <v>46188</v>
      </c>
      <c r="G421">
        <v>19623</v>
      </c>
      <c r="H421" t="s">
        <v>4764</v>
      </c>
      <c r="I421" t="s">
        <v>5191</v>
      </c>
      <c r="J421">
        <v>7</v>
      </c>
      <c r="K421" t="s">
        <v>4744</v>
      </c>
      <c r="L421">
        <v>43.61</v>
      </c>
      <c r="M421">
        <v>6.23</v>
      </c>
      <c r="O421" t="s">
        <v>464</v>
      </c>
    </row>
    <row r="422" spans="1:15" x14ac:dyDescent="0.3">
      <c r="A422">
        <v>241960</v>
      </c>
      <c r="B422">
        <v>105</v>
      </c>
      <c r="C422" t="s">
        <v>557</v>
      </c>
      <c r="D422" t="s">
        <v>2563</v>
      </c>
      <c r="E422" t="s">
        <v>2666</v>
      </c>
      <c r="F422" s="451">
        <v>46188</v>
      </c>
      <c r="G422">
        <v>19743</v>
      </c>
      <c r="H422" t="s">
        <v>5047</v>
      </c>
      <c r="I422" t="s">
        <v>5191</v>
      </c>
      <c r="J422">
        <v>1</v>
      </c>
      <c r="K422" t="s">
        <v>4744</v>
      </c>
      <c r="L422">
        <v>15.3</v>
      </c>
      <c r="M422">
        <v>15.3</v>
      </c>
      <c r="O422" t="s">
        <v>464</v>
      </c>
    </row>
    <row r="423" spans="1:15" x14ac:dyDescent="0.3">
      <c r="A423">
        <v>241960</v>
      </c>
      <c r="B423">
        <v>105</v>
      </c>
      <c r="C423" t="s">
        <v>557</v>
      </c>
      <c r="D423" t="s">
        <v>2563</v>
      </c>
      <c r="E423" t="s">
        <v>2666</v>
      </c>
      <c r="F423" s="451">
        <v>46188</v>
      </c>
      <c r="G423">
        <v>23349</v>
      </c>
      <c r="H423" t="s">
        <v>4988</v>
      </c>
      <c r="I423" t="s">
        <v>5191</v>
      </c>
      <c r="J423">
        <v>1</v>
      </c>
      <c r="K423" t="s">
        <v>4744</v>
      </c>
      <c r="L423">
        <v>5.73</v>
      </c>
      <c r="M423">
        <v>5.73</v>
      </c>
      <c r="O423" t="s">
        <v>464</v>
      </c>
    </row>
    <row r="424" spans="1:15" x14ac:dyDescent="0.3">
      <c r="A424">
        <v>241960</v>
      </c>
      <c r="B424">
        <v>105</v>
      </c>
      <c r="C424" t="s">
        <v>557</v>
      </c>
      <c r="D424" t="s">
        <v>2563</v>
      </c>
      <c r="E424" t="s">
        <v>2666</v>
      </c>
      <c r="F424" s="451">
        <v>46188</v>
      </c>
      <c r="G424">
        <v>23359</v>
      </c>
      <c r="H424" t="s">
        <v>4767</v>
      </c>
      <c r="I424" t="s">
        <v>5191</v>
      </c>
      <c r="J424">
        <v>10</v>
      </c>
      <c r="K424" t="s">
        <v>4744</v>
      </c>
      <c r="L424">
        <v>29</v>
      </c>
      <c r="M424">
        <v>2.9</v>
      </c>
      <c r="O424" t="s">
        <v>464</v>
      </c>
    </row>
    <row r="425" spans="1:15" x14ac:dyDescent="0.3">
      <c r="A425">
        <v>241960</v>
      </c>
      <c r="B425">
        <v>105</v>
      </c>
      <c r="C425" t="s">
        <v>557</v>
      </c>
      <c r="D425" t="s">
        <v>2563</v>
      </c>
      <c r="E425" t="s">
        <v>2666</v>
      </c>
      <c r="F425" s="451">
        <v>46188</v>
      </c>
      <c r="G425">
        <v>24509</v>
      </c>
      <c r="H425" t="s">
        <v>4788</v>
      </c>
      <c r="I425" t="s">
        <v>5191</v>
      </c>
      <c r="J425">
        <v>10</v>
      </c>
      <c r="K425" t="s">
        <v>4744</v>
      </c>
      <c r="L425">
        <v>38.700000000000003</v>
      </c>
      <c r="M425">
        <v>3.87</v>
      </c>
      <c r="O425" t="s">
        <v>464</v>
      </c>
    </row>
    <row r="426" spans="1:15" x14ac:dyDescent="0.3">
      <c r="A426">
        <v>241960</v>
      </c>
      <c r="B426">
        <v>105</v>
      </c>
      <c r="C426" t="s">
        <v>557</v>
      </c>
      <c r="D426" t="s">
        <v>2563</v>
      </c>
      <c r="E426" t="s">
        <v>2666</v>
      </c>
      <c r="F426" s="451">
        <v>46188</v>
      </c>
      <c r="G426">
        <v>19658</v>
      </c>
      <c r="H426" t="s">
        <v>4784</v>
      </c>
      <c r="I426" t="s">
        <v>5191</v>
      </c>
      <c r="J426">
        <v>4.4000000000000004</v>
      </c>
      <c r="K426" t="s">
        <v>4744</v>
      </c>
      <c r="L426">
        <v>16.28</v>
      </c>
      <c r="M426">
        <v>3.7</v>
      </c>
      <c r="O426" t="s">
        <v>464</v>
      </c>
    </row>
    <row r="427" spans="1:15" x14ac:dyDescent="0.3">
      <c r="A427">
        <v>241960</v>
      </c>
      <c r="B427">
        <v>105</v>
      </c>
      <c r="C427" t="s">
        <v>557</v>
      </c>
      <c r="D427" t="s">
        <v>2563</v>
      </c>
      <c r="E427" t="s">
        <v>2666</v>
      </c>
      <c r="F427" s="451">
        <v>46188</v>
      </c>
      <c r="G427">
        <v>19480</v>
      </c>
      <c r="H427" t="s">
        <v>5119</v>
      </c>
      <c r="I427" t="s">
        <v>5191</v>
      </c>
      <c r="J427">
        <v>0.4</v>
      </c>
      <c r="K427" t="s">
        <v>4744</v>
      </c>
      <c r="L427">
        <v>9.83</v>
      </c>
      <c r="M427">
        <v>24.574999999999999</v>
      </c>
      <c r="O427" t="s">
        <v>464</v>
      </c>
    </row>
    <row r="428" spans="1:15" x14ac:dyDescent="0.3">
      <c r="A428">
        <v>241959</v>
      </c>
      <c r="B428">
        <v>105</v>
      </c>
      <c r="C428" t="s">
        <v>557</v>
      </c>
      <c r="D428" t="s">
        <v>2563</v>
      </c>
      <c r="E428" t="s">
        <v>2667</v>
      </c>
      <c r="F428" s="451">
        <v>46184</v>
      </c>
      <c r="G428">
        <v>19634</v>
      </c>
      <c r="H428" t="s">
        <v>4792</v>
      </c>
      <c r="I428" t="s">
        <v>5191</v>
      </c>
      <c r="J428">
        <v>3</v>
      </c>
      <c r="K428" t="s">
        <v>4744</v>
      </c>
      <c r="L428">
        <v>20.88</v>
      </c>
      <c r="M428">
        <v>6.96</v>
      </c>
      <c r="O428" t="s">
        <v>464</v>
      </c>
    </row>
    <row r="429" spans="1:15" x14ac:dyDescent="0.3">
      <c r="A429">
        <v>241959</v>
      </c>
      <c r="B429">
        <v>105</v>
      </c>
      <c r="C429" t="s">
        <v>557</v>
      </c>
      <c r="D429" t="s">
        <v>2563</v>
      </c>
      <c r="E429" t="s">
        <v>2667</v>
      </c>
      <c r="F429" s="451">
        <v>46184</v>
      </c>
      <c r="G429">
        <v>24083</v>
      </c>
      <c r="H429" t="s">
        <v>5165</v>
      </c>
      <c r="I429" t="s">
        <v>5191</v>
      </c>
      <c r="J429">
        <v>140</v>
      </c>
      <c r="K429" t="s">
        <v>4744</v>
      </c>
      <c r="L429">
        <v>1316</v>
      </c>
      <c r="M429">
        <v>9.4</v>
      </c>
      <c r="O429" t="s">
        <v>464</v>
      </c>
    </row>
    <row r="430" spans="1:15" x14ac:dyDescent="0.3">
      <c r="A430">
        <v>241959</v>
      </c>
      <c r="B430">
        <v>105</v>
      </c>
      <c r="C430" t="s">
        <v>557</v>
      </c>
      <c r="D430" t="s">
        <v>2563</v>
      </c>
      <c r="E430" t="s">
        <v>2667</v>
      </c>
      <c r="F430" s="451">
        <v>46184</v>
      </c>
      <c r="G430">
        <v>19658</v>
      </c>
      <c r="H430" t="s">
        <v>4784</v>
      </c>
      <c r="I430" t="s">
        <v>5191</v>
      </c>
      <c r="J430">
        <v>4</v>
      </c>
      <c r="K430" t="s">
        <v>4744</v>
      </c>
      <c r="L430">
        <v>14.8</v>
      </c>
      <c r="M430">
        <v>3.7</v>
      </c>
      <c r="O430" t="s">
        <v>464</v>
      </c>
    </row>
    <row r="431" spans="1:15" x14ac:dyDescent="0.3">
      <c r="A431">
        <v>241959</v>
      </c>
      <c r="B431">
        <v>105</v>
      </c>
      <c r="C431" t="s">
        <v>557</v>
      </c>
      <c r="D431" t="s">
        <v>2563</v>
      </c>
      <c r="E431" t="s">
        <v>2667</v>
      </c>
      <c r="F431" s="451">
        <v>46184</v>
      </c>
      <c r="G431">
        <v>23335</v>
      </c>
      <c r="H431" t="s">
        <v>4961</v>
      </c>
      <c r="I431" t="s">
        <v>5191</v>
      </c>
      <c r="J431">
        <v>1.5</v>
      </c>
      <c r="K431" t="s">
        <v>4744</v>
      </c>
      <c r="L431">
        <v>60</v>
      </c>
      <c r="M431">
        <v>40</v>
      </c>
      <c r="O431" t="s">
        <v>464</v>
      </c>
    </row>
    <row r="432" spans="1:15" x14ac:dyDescent="0.3">
      <c r="A432">
        <v>241959</v>
      </c>
      <c r="B432">
        <v>105</v>
      </c>
      <c r="C432" t="s">
        <v>557</v>
      </c>
      <c r="D432" t="s">
        <v>2563</v>
      </c>
      <c r="E432" t="s">
        <v>2667</v>
      </c>
      <c r="F432" s="451">
        <v>46184</v>
      </c>
      <c r="G432">
        <v>19607</v>
      </c>
      <c r="H432" t="s">
        <v>4981</v>
      </c>
      <c r="I432" t="s">
        <v>5191</v>
      </c>
      <c r="J432">
        <v>0.4</v>
      </c>
      <c r="K432" t="s">
        <v>4744</v>
      </c>
      <c r="L432">
        <v>3.2</v>
      </c>
      <c r="M432">
        <v>8</v>
      </c>
      <c r="O432" t="s">
        <v>464</v>
      </c>
    </row>
    <row r="433" spans="1:15" x14ac:dyDescent="0.3">
      <c r="A433">
        <v>241959</v>
      </c>
      <c r="B433">
        <v>105</v>
      </c>
      <c r="C433" t="s">
        <v>557</v>
      </c>
      <c r="D433" t="s">
        <v>2563</v>
      </c>
      <c r="E433" t="s">
        <v>2667</v>
      </c>
      <c r="F433" s="451">
        <v>46184</v>
      </c>
      <c r="G433">
        <v>23227</v>
      </c>
      <c r="H433" t="s">
        <v>5267</v>
      </c>
      <c r="I433" t="s">
        <v>5191</v>
      </c>
      <c r="J433">
        <v>15</v>
      </c>
      <c r="K433" t="s">
        <v>4744</v>
      </c>
      <c r="L433">
        <v>108.3</v>
      </c>
      <c r="M433">
        <v>7.22</v>
      </c>
      <c r="O433" t="s">
        <v>464</v>
      </c>
    </row>
    <row r="434" spans="1:15" x14ac:dyDescent="0.3">
      <c r="A434">
        <v>241959</v>
      </c>
      <c r="B434">
        <v>105</v>
      </c>
      <c r="C434" t="s">
        <v>557</v>
      </c>
      <c r="D434" t="s">
        <v>2563</v>
      </c>
      <c r="E434" t="s">
        <v>2667</v>
      </c>
      <c r="F434" s="451">
        <v>46184</v>
      </c>
      <c r="G434">
        <v>19734</v>
      </c>
      <c r="H434" t="s">
        <v>4833</v>
      </c>
      <c r="I434" t="s">
        <v>5191</v>
      </c>
      <c r="J434">
        <v>6</v>
      </c>
      <c r="K434" t="s">
        <v>4744</v>
      </c>
      <c r="L434">
        <v>82.68</v>
      </c>
      <c r="M434">
        <v>13.78</v>
      </c>
      <c r="O434" t="s">
        <v>464</v>
      </c>
    </row>
    <row r="435" spans="1:15" x14ac:dyDescent="0.3">
      <c r="A435">
        <v>241959</v>
      </c>
      <c r="B435">
        <v>105</v>
      </c>
      <c r="C435" t="s">
        <v>557</v>
      </c>
      <c r="D435" t="s">
        <v>2563</v>
      </c>
      <c r="E435" t="s">
        <v>2667</v>
      </c>
      <c r="F435" s="451">
        <v>46184</v>
      </c>
      <c r="G435">
        <v>23346</v>
      </c>
      <c r="H435" t="s">
        <v>4916</v>
      </c>
      <c r="I435" t="s">
        <v>5191</v>
      </c>
      <c r="J435">
        <v>4</v>
      </c>
      <c r="K435" t="s">
        <v>4744</v>
      </c>
      <c r="L435">
        <v>26.12</v>
      </c>
      <c r="M435">
        <v>6.53</v>
      </c>
      <c r="O435" t="s">
        <v>464</v>
      </c>
    </row>
    <row r="436" spans="1:15" x14ac:dyDescent="0.3">
      <c r="A436">
        <v>241959</v>
      </c>
      <c r="B436">
        <v>105</v>
      </c>
      <c r="C436" t="s">
        <v>557</v>
      </c>
      <c r="D436" t="s">
        <v>2563</v>
      </c>
      <c r="E436" t="s">
        <v>2667</v>
      </c>
      <c r="F436" s="451">
        <v>46184</v>
      </c>
      <c r="G436">
        <v>19787</v>
      </c>
      <c r="H436" t="s">
        <v>4793</v>
      </c>
      <c r="I436" t="s">
        <v>5191</v>
      </c>
      <c r="J436">
        <v>10</v>
      </c>
      <c r="K436" t="s">
        <v>4744</v>
      </c>
      <c r="L436">
        <v>58</v>
      </c>
      <c r="M436">
        <v>5.8</v>
      </c>
      <c r="O436" t="s">
        <v>464</v>
      </c>
    </row>
    <row r="437" spans="1:15" x14ac:dyDescent="0.3">
      <c r="A437">
        <v>241959</v>
      </c>
      <c r="B437">
        <v>105</v>
      </c>
      <c r="C437" t="s">
        <v>557</v>
      </c>
      <c r="D437" t="s">
        <v>2563</v>
      </c>
      <c r="E437" t="s">
        <v>2667</v>
      </c>
      <c r="F437" s="451">
        <v>46184</v>
      </c>
      <c r="G437">
        <v>19558</v>
      </c>
      <c r="H437" t="s">
        <v>4994</v>
      </c>
      <c r="I437" t="s">
        <v>5191</v>
      </c>
      <c r="J437">
        <v>0.6</v>
      </c>
      <c r="K437" t="s">
        <v>4744</v>
      </c>
      <c r="L437">
        <v>13.9</v>
      </c>
      <c r="M437">
        <v>23.166667</v>
      </c>
      <c r="O437" t="s">
        <v>464</v>
      </c>
    </row>
    <row r="438" spans="1:15" x14ac:dyDescent="0.3">
      <c r="A438">
        <v>241959</v>
      </c>
      <c r="B438">
        <v>105</v>
      </c>
      <c r="C438" t="s">
        <v>557</v>
      </c>
      <c r="D438" t="s">
        <v>2563</v>
      </c>
      <c r="E438" t="s">
        <v>2667</v>
      </c>
      <c r="F438" s="451">
        <v>46184</v>
      </c>
      <c r="G438">
        <v>23359</v>
      </c>
      <c r="H438" t="s">
        <v>4767</v>
      </c>
      <c r="I438" t="s">
        <v>5191</v>
      </c>
      <c r="J438">
        <v>25</v>
      </c>
      <c r="K438" t="s">
        <v>4744</v>
      </c>
      <c r="L438">
        <v>54.75</v>
      </c>
      <c r="M438">
        <v>2.19</v>
      </c>
      <c r="O438" t="s">
        <v>464</v>
      </c>
    </row>
    <row r="439" spans="1:15" x14ac:dyDescent="0.3">
      <c r="A439">
        <v>241959</v>
      </c>
      <c r="B439">
        <v>105</v>
      </c>
      <c r="C439" t="s">
        <v>557</v>
      </c>
      <c r="D439" t="s">
        <v>2563</v>
      </c>
      <c r="E439" t="s">
        <v>2667</v>
      </c>
      <c r="F439" s="451">
        <v>46184</v>
      </c>
      <c r="G439">
        <v>23389</v>
      </c>
      <c r="H439" t="s">
        <v>4960</v>
      </c>
      <c r="I439" t="s">
        <v>5191</v>
      </c>
      <c r="J439">
        <v>6</v>
      </c>
      <c r="K439" t="s">
        <v>4744</v>
      </c>
      <c r="L439">
        <v>28.02</v>
      </c>
      <c r="M439">
        <v>4.67</v>
      </c>
      <c r="O439" t="s">
        <v>464</v>
      </c>
    </row>
    <row r="440" spans="1:15" x14ac:dyDescent="0.3">
      <c r="A440">
        <v>241959</v>
      </c>
      <c r="B440">
        <v>105</v>
      </c>
      <c r="C440" t="s">
        <v>557</v>
      </c>
      <c r="D440" t="s">
        <v>2563</v>
      </c>
      <c r="E440" t="s">
        <v>2667</v>
      </c>
      <c r="F440" s="451">
        <v>46184</v>
      </c>
      <c r="G440">
        <v>19572</v>
      </c>
      <c r="H440" t="s">
        <v>4989</v>
      </c>
      <c r="I440" t="s">
        <v>5191</v>
      </c>
      <c r="J440">
        <v>0.8</v>
      </c>
      <c r="K440" t="s">
        <v>4744</v>
      </c>
      <c r="L440">
        <v>7.94</v>
      </c>
      <c r="M440">
        <v>9.9250000000000007</v>
      </c>
      <c r="O440" t="s">
        <v>464</v>
      </c>
    </row>
    <row r="441" spans="1:15" x14ac:dyDescent="0.3">
      <c r="A441">
        <v>241959</v>
      </c>
      <c r="B441">
        <v>105</v>
      </c>
      <c r="C441" t="s">
        <v>557</v>
      </c>
      <c r="D441" t="s">
        <v>2563</v>
      </c>
      <c r="E441" t="s">
        <v>2667</v>
      </c>
      <c r="F441" s="451">
        <v>46184</v>
      </c>
      <c r="G441">
        <v>19742</v>
      </c>
      <c r="H441" t="s">
        <v>4900</v>
      </c>
      <c r="I441" t="s">
        <v>5191</v>
      </c>
      <c r="J441">
        <v>1</v>
      </c>
      <c r="K441" t="s">
        <v>4744</v>
      </c>
      <c r="L441">
        <v>12.83</v>
      </c>
      <c r="M441">
        <v>12.83</v>
      </c>
      <c r="O441" t="s">
        <v>464</v>
      </c>
    </row>
    <row r="442" spans="1:15" x14ac:dyDescent="0.3">
      <c r="A442">
        <v>241959</v>
      </c>
      <c r="B442">
        <v>105</v>
      </c>
      <c r="C442" t="s">
        <v>557</v>
      </c>
      <c r="D442" t="s">
        <v>2563</v>
      </c>
      <c r="E442" t="s">
        <v>2667</v>
      </c>
      <c r="F442" s="451">
        <v>46184</v>
      </c>
      <c r="G442">
        <v>24509</v>
      </c>
      <c r="H442" t="s">
        <v>4788</v>
      </c>
      <c r="I442" t="s">
        <v>5191</v>
      </c>
      <c r="J442">
        <v>12</v>
      </c>
      <c r="K442" t="s">
        <v>4744</v>
      </c>
      <c r="L442">
        <v>46.44</v>
      </c>
      <c r="M442">
        <v>3.87</v>
      </c>
      <c r="O442" t="s">
        <v>464</v>
      </c>
    </row>
    <row r="443" spans="1:15" x14ac:dyDescent="0.3">
      <c r="A443">
        <v>241959</v>
      </c>
      <c r="B443">
        <v>105</v>
      </c>
      <c r="C443" t="s">
        <v>557</v>
      </c>
      <c r="D443" t="s">
        <v>2563</v>
      </c>
      <c r="E443" t="s">
        <v>2667</v>
      </c>
      <c r="F443" s="451">
        <v>46184</v>
      </c>
      <c r="G443">
        <v>19642</v>
      </c>
      <c r="H443" t="s">
        <v>4996</v>
      </c>
      <c r="I443" t="s">
        <v>5191</v>
      </c>
      <c r="J443">
        <v>1</v>
      </c>
      <c r="K443" t="s">
        <v>4744</v>
      </c>
      <c r="L443">
        <v>5.51</v>
      </c>
      <c r="M443">
        <v>5.51</v>
      </c>
      <c r="O443" t="s">
        <v>464</v>
      </c>
    </row>
    <row r="444" spans="1:15" x14ac:dyDescent="0.3">
      <c r="A444">
        <v>241959</v>
      </c>
      <c r="B444">
        <v>105</v>
      </c>
      <c r="C444" t="s">
        <v>557</v>
      </c>
      <c r="D444" t="s">
        <v>2563</v>
      </c>
      <c r="E444" t="s">
        <v>2667</v>
      </c>
      <c r="F444" s="451">
        <v>46184</v>
      </c>
      <c r="G444">
        <v>19623</v>
      </c>
      <c r="H444" t="s">
        <v>4764</v>
      </c>
      <c r="I444" t="s">
        <v>5191</v>
      </c>
      <c r="J444">
        <v>12</v>
      </c>
      <c r="K444" t="s">
        <v>4744</v>
      </c>
      <c r="L444">
        <v>74.760000000000005</v>
      </c>
      <c r="M444">
        <v>6.23</v>
      </c>
      <c r="O444" t="s">
        <v>464</v>
      </c>
    </row>
    <row r="445" spans="1:15" x14ac:dyDescent="0.3">
      <c r="A445">
        <v>241959</v>
      </c>
      <c r="B445">
        <v>105</v>
      </c>
      <c r="C445" t="s">
        <v>557</v>
      </c>
      <c r="D445" t="s">
        <v>2563</v>
      </c>
      <c r="E445" t="s">
        <v>2667</v>
      </c>
      <c r="F445" s="451">
        <v>46184</v>
      </c>
      <c r="G445">
        <v>19707</v>
      </c>
      <c r="H445" t="s">
        <v>5266</v>
      </c>
      <c r="I445" t="s">
        <v>5191</v>
      </c>
      <c r="J445">
        <v>0.5</v>
      </c>
      <c r="K445" t="s">
        <v>4744</v>
      </c>
      <c r="L445">
        <v>7.97</v>
      </c>
      <c r="M445">
        <v>15.94</v>
      </c>
      <c r="O445" t="s">
        <v>464</v>
      </c>
    </row>
    <row r="446" spans="1:15" x14ac:dyDescent="0.3">
      <c r="A446">
        <v>241958</v>
      </c>
      <c r="B446">
        <v>105</v>
      </c>
      <c r="C446" t="s">
        <v>557</v>
      </c>
      <c r="D446" t="s">
        <v>2563</v>
      </c>
      <c r="E446" t="s">
        <v>2668</v>
      </c>
      <c r="F446" s="451">
        <v>46197</v>
      </c>
      <c r="G446">
        <v>23359</v>
      </c>
      <c r="H446" t="s">
        <v>4767</v>
      </c>
      <c r="I446" t="s">
        <v>5191</v>
      </c>
      <c r="J446">
        <v>8.1300000000000008</v>
      </c>
      <c r="K446" t="s">
        <v>4744</v>
      </c>
      <c r="L446">
        <v>23.58</v>
      </c>
      <c r="M446">
        <v>2.900369</v>
      </c>
      <c r="O446" t="s">
        <v>464</v>
      </c>
    </row>
    <row r="447" spans="1:15" x14ac:dyDescent="0.3">
      <c r="A447">
        <v>241958</v>
      </c>
      <c r="B447">
        <v>105</v>
      </c>
      <c r="C447" t="s">
        <v>557</v>
      </c>
      <c r="D447" t="s">
        <v>2563</v>
      </c>
      <c r="E447" t="s">
        <v>2668</v>
      </c>
      <c r="F447" s="451">
        <v>46197</v>
      </c>
      <c r="G447">
        <v>19551</v>
      </c>
      <c r="H447" t="s">
        <v>4905</v>
      </c>
      <c r="I447" t="s">
        <v>5191</v>
      </c>
      <c r="J447">
        <v>1.07</v>
      </c>
      <c r="K447" t="s">
        <v>4744</v>
      </c>
      <c r="L447">
        <v>19</v>
      </c>
      <c r="M447">
        <v>17.757009</v>
      </c>
      <c r="O447" t="s">
        <v>464</v>
      </c>
    </row>
    <row r="448" spans="1:15" x14ac:dyDescent="0.3">
      <c r="A448">
        <v>241958</v>
      </c>
      <c r="B448">
        <v>105</v>
      </c>
      <c r="C448" t="s">
        <v>557</v>
      </c>
      <c r="D448" t="s">
        <v>2563</v>
      </c>
      <c r="E448" t="s">
        <v>2668</v>
      </c>
      <c r="F448" s="451">
        <v>46197</v>
      </c>
      <c r="G448">
        <v>19572</v>
      </c>
      <c r="H448" t="s">
        <v>4989</v>
      </c>
      <c r="I448" t="s">
        <v>5191</v>
      </c>
      <c r="J448">
        <v>1.07</v>
      </c>
      <c r="K448" t="s">
        <v>4744</v>
      </c>
      <c r="L448">
        <v>10.63</v>
      </c>
      <c r="M448">
        <v>9.9345789999999994</v>
      </c>
      <c r="O448" t="s">
        <v>464</v>
      </c>
    </row>
    <row r="449" spans="1:15" x14ac:dyDescent="0.3">
      <c r="A449">
        <v>241958</v>
      </c>
      <c r="B449">
        <v>105</v>
      </c>
      <c r="C449" t="s">
        <v>557</v>
      </c>
      <c r="D449" t="s">
        <v>2563</v>
      </c>
      <c r="E449" t="s">
        <v>2668</v>
      </c>
      <c r="F449" s="451">
        <v>46197</v>
      </c>
      <c r="G449">
        <v>23389</v>
      </c>
      <c r="H449" t="s">
        <v>4960</v>
      </c>
      <c r="I449" t="s">
        <v>5191</v>
      </c>
      <c r="J449">
        <v>3.64</v>
      </c>
      <c r="K449" t="s">
        <v>4744</v>
      </c>
      <c r="L449">
        <v>17</v>
      </c>
      <c r="M449">
        <v>4.6703299999999999</v>
      </c>
      <c r="O449" t="s">
        <v>464</v>
      </c>
    </row>
    <row r="450" spans="1:15" x14ac:dyDescent="0.3">
      <c r="A450">
        <v>241958</v>
      </c>
      <c r="B450">
        <v>105</v>
      </c>
      <c r="C450" t="s">
        <v>557</v>
      </c>
      <c r="D450" t="s">
        <v>2563</v>
      </c>
      <c r="E450" t="s">
        <v>2668</v>
      </c>
      <c r="F450" s="451">
        <v>46197</v>
      </c>
      <c r="G450">
        <v>19658</v>
      </c>
      <c r="H450" t="s">
        <v>4784</v>
      </c>
      <c r="I450" t="s">
        <v>5191</v>
      </c>
      <c r="J450">
        <v>6.57</v>
      </c>
      <c r="K450" t="s">
        <v>4744</v>
      </c>
      <c r="L450">
        <v>24.31</v>
      </c>
      <c r="M450">
        <v>3.7001520000000001</v>
      </c>
      <c r="O450" t="s">
        <v>464</v>
      </c>
    </row>
    <row r="451" spans="1:15" x14ac:dyDescent="0.3">
      <c r="A451">
        <v>241958</v>
      </c>
      <c r="B451">
        <v>105</v>
      </c>
      <c r="C451" t="s">
        <v>557</v>
      </c>
      <c r="D451" t="s">
        <v>2563</v>
      </c>
      <c r="E451" t="s">
        <v>2668</v>
      </c>
      <c r="F451" s="451">
        <v>46197</v>
      </c>
      <c r="G451">
        <v>19787</v>
      </c>
      <c r="H451" t="s">
        <v>4793</v>
      </c>
      <c r="I451" t="s">
        <v>5191</v>
      </c>
      <c r="J451">
        <v>6.08</v>
      </c>
      <c r="K451" t="s">
        <v>4744</v>
      </c>
      <c r="L451">
        <v>35.26</v>
      </c>
      <c r="M451">
        <v>5.7993420000000002</v>
      </c>
      <c r="O451" t="s">
        <v>464</v>
      </c>
    </row>
    <row r="452" spans="1:15" x14ac:dyDescent="0.3">
      <c r="A452">
        <v>241958</v>
      </c>
      <c r="B452">
        <v>105</v>
      </c>
      <c r="C452" t="s">
        <v>557</v>
      </c>
      <c r="D452" t="s">
        <v>2563</v>
      </c>
      <c r="E452" t="s">
        <v>2668</v>
      </c>
      <c r="F452" s="451">
        <v>46197</v>
      </c>
      <c r="G452">
        <v>19734</v>
      </c>
      <c r="H452" t="s">
        <v>4833</v>
      </c>
      <c r="I452" t="s">
        <v>5191</v>
      </c>
      <c r="J452">
        <v>2.0299999999999998</v>
      </c>
      <c r="K452" t="s">
        <v>4744</v>
      </c>
      <c r="L452">
        <v>27.97</v>
      </c>
      <c r="M452">
        <v>13.778325000000001</v>
      </c>
      <c r="O452" t="s">
        <v>464</v>
      </c>
    </row>
    <row r="453" spans="1:15" x14ac:dyDescent="0.3">
      <c r="A453">
        <v>241958</v>
      </c>
      <c r="B453">
        <v>105</v>
      </c>
      <c r="C453" t="s">
        <v>557</v>
      </c>
      <c r="D453" t="s">
        <v>2563</v>
      </c>
      <c r="E453" t="s">
        <v>2668</v>
      </c>
      <c r="F453" s="451">
        <v>46197</v>
      </c>
      <c r="G453">
        <v>23228</v>
      </c>
      <c r="H453" t="s">
        <v>4782</v>
      </c>
      <c r="I453" t="s">
        <v>5191</v>
      </c>
      <c r="J453">
        <v>5</v>
      </c>
      <c r="K453" t="s">
        <v>4744</v>
      </c>
      <c r="L453">
        <v>34.1</v>
      </c>
      <c r="M453">
        <v>6.82</v>
      </c>
      <c r="O453" t="s">
        <v>464</v>
      </c>
    </row>
    <row r="454" spans="1:15" x14ac:dyDescent="0.3">
      <c r="A454">
        <v>241957</v>
      </c>
      <c r="B454">
        <v>105</v>
      </c>
      <c r="C454" t="s">
        <v>557</v>
      </c>
      <c r="D454" t="s">
        <v>2563</v>
      </c>
      <c r="E454" t="s">
        <v>2669</v>
      </c>
      <c r="F454" s="451">
        <v>46185</v>
      </c>
      <c r="G454">
        <v>19763</v>
      </c>
      <c r="H454" t="s">
        <v>5268</v>
      </c>
      <c r="I454" t="s">
        <v>5191</v>
      </c>
      <c r="J454">
        <v>1.6</v>
      </c>
      <c r="K454" t="s">
        <v>4744</v>
      </c>
      <c r="L454">
        <v>18.559999999999999</v>
      </c>
      <c r="M454">
        <v>11.6</v>
      </c>
      <c r="O454" t="s">
        <v>464</v>
      </c>
    </row>
    <row r="455" spans="1:15" x14ac:dyDescent="0.3">
      <c r="A455">
        <v>241957</v>
      </c>
      <c r="B455">
        <v>105</v>
      </c>
      <c r="C455" t="s">
        <v>557</v>
      </c>
      <c r="D455" t="s">
        <v>2563</v>
      </c>
      <c r="E455" t="s">
        <v>2669</v>
      </c>
      <c r="F455" s="451">
        <v>46185</v>
      </c>
      <c r="G455">
        <v>19551</v>
      </c>
      <c r="H455" t="s">
        <v>4905</v>
      </c>
      <c r="I455" t="s">
        <v>5191</v>
      </c>
      <c r="J455">
        <v>2</v>
      </c>
      <c r="K455" t="s">
        <v>4744</v>
      </c>
      <c r="L455">
        <v>35.520000000000003</v>
      </c>
      <c r="M455">
        <v>17.760000000000002</v>
      </c>
      <c r="O455" t="s">
        <v>464</v>
      </c>
    </row>
    <row r="456" spans="1:15" x14ac:dyDescent="0.3">
      <c r="A456">
        <v>241956</v>
      </c>
      <c r="B456">
        <v>105</v>
      </c>
      <c r="C456" t="s">
        <v>557</v>
      </c>
      <c r="D456" t="s">
        <v>2563</v>
      </c>
      <c r="E456" t="s">
        <v>2670</v>
      </c>
      <c r="F456" s="451">
        <v>46183</v>
      </c>
      <c r="G456">
        <v>23227</v>
      </c>
      <c r="H456" t="s">
        <v>5267</v>
      </c>
      <c r="I456" t="s">
        <v>5191</v>
      </c>
      <c r="J456">
        <v>3</v>
      </c>
      <c r="K456" t="s">
        <v>4744</v>
      </c>
      <c r="L456">
        <v>21.66</v>
      </c>
      <c r="M456">
        <v>7.22</v>
      </c>
      <c r="O456" t="s">
        <v>464</v>
      </c>
    </row>
    <row r="457" spans="1:15" x14ac:dyDescent="0.3">
      <c r="A457">
        <v>241956</v>
      </c>
      <c r="B457">
        <v>105</v>
      </c>
      <c r="C457" t="s">
        <v>557</v>
      </c>
      <c r="D457" t="s">
        <v>2563</v>
      </c>
      <c r="E457" t="s">
        <v>2670</v>
      </c>
      <c r="F457" s="451">
        <v>46183</v>
      </c>
      <c r="G457">
        <v>19763</v>
      </c>
      <c r="H457" t="s">
        <v>5268</v>
      </c>
      <c r="I457" t="s">
        <v>5191</v>
      </c>
      <c r="J457">
        <v>1</v>
      </c>
      <c r="K457" t="s">
        <v>4744</v>
      </c>
      <c r="L457">
        <v>11.6</v>
      </c>
      <c r="M457">
        <v>11.6</v>
      </c>
      <c r="O457" t="s">
        <v>464</v>
      </c>
    </row>
    <row r="458" spans="1:15" x14ac:dyDescent="0.3">
      <c r="A458">
        <v>241956</v>
      </c>
      <c r="B458">
        <v>105</v>
      </c>
      <c r="C458" t="s">
        <v>557</v>
      </c>
      <c r="D458" t="s">
        <v>2563</v>
      </c>
      <c r="E458" t="s">
        <v>2670</v>
      </c>
      <c r="F458" s="451">
        <v>46183</v>
      </c>
      <c r="G458">
        <v>19502</v>
      </c>
      <c r="H458" t="s">
        <v>4871</v>
      </c>
      <c r="I458" t="s">
        <v>5191</v>
      </c>
      <c r="J458">
        <v>1.5</v>
      </c>
      <c r="K458" t="s">
        <v>4744</v>
      </c>
      <c r="L458">
        <v>26.1</v>
      </c>
      <c r="M458">
        <v>17.399999999999999</v>
      </c>
      <c r="O458" t="s">
        <v>464</v>
      </c>
    </row>
    <row r="459" spans="1:15" x14ac:dyDescent="0.3">
      <c r="A459">
        <v>241956</v>
      </c>
      <c r="B459">
        <v>105</v>
      </c>
      <c r="C459" t="s">
        <v>557</v>
      </c>
      <c r="D459" t="s">
        <v>2563</v>
      </c>
      <c r="E459" t="s">
        <v>2670</v>
      </c>
      <c r="F459" s="451">
        <v>46183</v>
      </c>
      <c r="G459">
        <v>19652</v>
      </c>
      <c r="H459" t="s">
        <v>4899</v>
      </c>
      <c r="I459" t="s">
        <v>5191</v>
      </c>
      <c r="J459">
        <v>3</v>
      </c>
      <c r="K459" t="s">
        <v>4744</v>
      </c>
      <c r="L459">
        <v>55.86</v>
      </c>
      <c r="M459">
        <v>18.62</v>
      </c>
      <c r="O459" t="s">
        <v>464</v>
      </c>
    </row>
    <row r="460" spans="1:15" x14ac:dyDescent="0.3">
      <c r="A460">
        <v>241956</v>
      </c>
      <c r="B460">
        <v>105</v>
      </c>
      <c r="C460" t="s">
        <v>557</v>
      </c>
      <c r="D460" t="s">
        <v>2563</v>
      </c>
      <c r="E460" t="s">
        <v>2670</v>
      </c>
      <c r="F460" s="451">
        <v>46183</v>
      </c>
      <c r="G460">
        <v>19634</v>
      </c>
      <c r="H460" t="s">
        <v>4792</v>
      </c>
      <c r="I460" t="s">
        <v>5191</v>
      </c>
      <c r="J460">
        <v>3.3</v>
      </c>
      <c r="K460" t="s">
        <v>4744</v>
      </c>
      <c r="L460">
        <v>22.97</v>
      </c>
      <c r="M460">
        <v>6.9606060000000003</v>
      </c>
      <c r="O460" t="s">
        <v>464</v>
      </c>
    </row>
    <row r="461" spans="1:15" x14ac:dyDescent="0.3">
      <c r="A461">
        <v>241956</v>
      </c>
      <c r="B461">
        <v>105</v>
      </c>
      <c r="C461" t="s">
        <v>557</v>
      </c>
      <c r="D461" t="s">
        <v>2563</v>
      </c>
      <c r="E461" t="s">
        <v>2670</v>
      </c>
      <c r="F461" s="451">
        <v>46183</v>
      </c>
      <c r="G461">
        <v>19734</v>
      </c>
      <c r="H461" t="s">
        <v>4833</v>
      </c>
      <c r="I461" t="s">
        <v>5191</v>
      </c>
      <c r="J461">
        <v>3</v>
      </c>
      <c r="K461" t="s">
        <v>4744</v>
      </c>
      <c r="L461">
        <v>41.34</v>
      </c>
      <c r="M461">
        <v>13.78</v>
      </c>
      <c r="O461" t="s">
        <v>464</v>
      </c>
    </row>
    <row r="462" spans="1:15" x14ac:dyDescent="0.3">
      <c r="A462">
        <v>241956</v>
      </c>
      <c r="B462">
        <v>105</v>
      </c>
      <c r="C462" t="s">
        <v>557</v>
      </c>
      <c r="D462" t="s">
        <v>2563</v>
      </c>
      <c r="E462" t="s">
        <v>2670</v>
      </c>
      <c r="F462" s="451">
        <v>46183</v>
      </c>
      <c r="G462">
        <v>23389</v>
      </c>
      <c r="H462" t="s">
        <v>4960</v>
      </c>
      <c r="I462" t="s">
        <v>5191</v>
      </c>
      <c r="J462">
        <v>3</v>
      </c>
      <c r="K462" t="s">
        <v>4744</v>
      </c>
      <c r="L462">
        <v>14.01</v>
      </c>
      <c r="M462">
        <v>4.67</v>
      </c>
      <c r="O462" t="s">
        <v>464</v>
      </c>
    </row>
    <row r="463" spans="1:15" x14ac:dyDescent="0.3">
      <c r="A463">
        <v>241956</v>
      </c>
      <c r="B463">
        <v>105</v>
      </c>
      <c r="C463" t="s">
        <v>557</v>
      </c>
      <c r="D463" t="s">
        <v>2563</v>
      </c>
      <c r="E463" t="s">
        <v>2670</v>
      </c>
      <c r="F463" s="451">
        <v>46183</v>
      </c>
      <c r="G463">
        <v>19492</v>
      </c>
      <c r="H463" t="s">
        <v>4937</v>
      </c>
      <c r="I463" t="s">
        <v>5191</v>
      </c>
      <c r="J463">
        <v>1</v>
      </c>
      <c r="K463" t="s">
        <v>4744</v>
      </c>
      <c r="L463">
        <v>21.02</v>
      </c>
      <c r="M463">
        <v>21.02</v>
      </c>
      <c r="O463" t="s">
        <v>464</v>
      </c>
    </row>
    <row r="464" spans="1:15" x14ac:dyDescent="0.3">
      <c r="A464">
        <v>241955</v>
      </c>
      <c r="B464">
        <v>105</v>
      </c>
      <c r="C464" t="s">
        <v>557</v>
      </c>
      <c r="D464" t="s">
        <v>2600</v>
      </c>
      <c r="E464" t="s">
        <v>2671</v>
      </c>
      <c r="F464" s="451">
        <v>46198</v>
      </c>
      <c r="G464">
        <v>20549</v>
      </c>
      <c r="H464" t="s">
        <v>4823</v>
      </c>
      <c r="I464" t="s">
        <v>5191</v>
      </c>
      <c r="J464">
        <v>16</v>
      </c>
      <c r="K464" t="s">
        <v>4744</v>
      </c>
      <c r="L464">
        <v>319.83999999999997</v>
      </c>
      <c r="M464">
        <v>19.989999999999998</v>
      </c>
      <c r="O464" t="s">
        <v>464</v>
      </c>
    </row>
    <row r="465" spans="1:15" x14ac:dyDescent="0.3">
      <c r="A465">
        <v>241955</v>
      </c>
      <c r="B465">
        <v>105</v>
      </c>
      <c r="C465" t="s">
        <v>557</v>
      </c>
      <c r="D465" t="s">
        <v>2600</v>
      </c>
      <c r="E465" t="s">
        <v>2671</v>
      </c>
      <c r="F465" s="451">
        <v>46198</v>
      </c>
      <c r="G465">
        <v>24197</v>
      </c>
      <c r="H465" t="s">
        <v>5237</v>
      </c>
      <c r="I465" t="s">
        <v>5191</v>
      </c>
      <c r="J465">
        <v>16.8</v>
      </c>
      <c r="K465" t="s">
        <v>4744</v>
      </c>
      <c r="L465">
        <v>470.23</v>
      </c>
      <c r="M465">
        <v>27.989881</v>
      </c>
      <c r="O465" t="s">
        <v>464</v>
      </c>
    </row>
    <row r="466" spans="1:15" x14ac:dyDescent="0.3">
      <c r="A466">
        <v>241955</v>
      </c>
      <c r="B466">
        <v>105</v>
      </c>
      <c r="C466" t="s">
        <v>557</v>
      </c>
      <c r="D466" t="s">
        <v>2600</v>
      </c>
      <c r="E466" t="s">
        <v>2671</v>
      </c>
      <c r="F466" s="451">
        <v>46198</v>
      </c>
      <c r="G466">
        <v>24403</v>
      </c>
      <c r="H466" t="s">
        <v>5149</v>
      </c>
      <c r="I466" t="s">
        <v>5191</v>
      </c>
      <c r="J466">
        <v>3.4</v>
      </c>
      <c r="K466" t="s">
        <v>4744</v>
      </c>
      <c r="L466">
        <v>44.17</v>
      </c>
      <c r="M466">
        <v>12.991175999999999</v>
      </c>
      <c r="O466" t="s">
        <v>464</v>
      </c>
    </row>
    <row r="467" spans="1:15" x14ac:dyDescent="0.3">
      <c r="A467">
        <v>241953</v>
      </c>
      <c r="B467">
        <v>105</v>
      </c>
      <c r="C467" t="s">
        <v>557</v>
      </c>
      <c r="D467" t="s">
        <v>2600</v>
      </c>
      <c r="E467" t="s">
        <v>2672</v>
      </c>
      <c r="F467" s="451">
        <v>46191</v>
      </c>
      <c r="G467">
        <v>24197</v>
      </c>
      <c r="H467" t="s">
        <v>5237</v>
      </c>
      <c r="I467" t="s">
        <v>5191</v>
      </c>
      <c r="J467">
        <v>15</v>
      </c>
      <c r="K467" t="s">
        <v>4744</v>
      </c>
      <c r="L467">
        <v>299.85000000000002</v>
      </c>
      <c r="M467">
        <v>19.989999999999998</v>
      </c>
      <c r="O467" t="s">
        <v>464</v>
      </c>
    </row>
    <row r="468" spans="1:15" x14ac:dyDescent="0.3">
      <c r="A468">
        <v>241952</v>
      </c>
      <c r="B468">
        <v>105</v>
      </c>
      <c r="C468" t="s">
        <v>557</v>
      </c>
      <c r="D468" t="s">
        <v>2600</v>
      </c>
      <c r="E468" t="s">
        <v>2673</v>
      </c>
      <c r="F468" s="451">
        <v>46190</v>
      </c>
      <c r="G468">
        <v>20549</v>
      </c>
      <c r="H468" t="s">
        <v>4823</v>
      </c>
      <c r="I468" t="s">
        <v>5191</v>
      </c>
      <c r="J468">
        <v>5</v>
      </c>
      <c r="K468" t="s">
        <v>4744</v>
      </c>
      <c r="L468">
        <v>99.95</v>
      </c>
      <c r="M468">
        <v>19.989999999999998</v>
      </c>
      <c r="O468" t="s">
        <v>464</v>
      </c>
    </row>
    <row r="469" spans="1:15" x14ac:dyDescent="0.3">
      <c r="A469">
        <v>241952</v>
      </c>
      <c r="B469">
        <v>105</v>
      </c>
      <c r="C469" t="s">
        <v>557</v>
      </c>
      <c r="D469" t="s">
        <v>2600</v>
      </c>
      <c r="E469" t="s">
        <v>2673</v>
      </c>
      <c r="F469" s="451">
        <v>46190</v>
      </c>
      <c r="G469">
        <v>24197</v>
      </c>
      <c r="H469" t="s">
        <v>5237</v>
      </c>
      <c r="I469" t="s">
        <v>5191</v>
      </c>
      <c r="J469">
        <v>10</v>
      </c>
      <c r="K469" t="s">
        <v>4744</v>
      </c>
      <c r="L469">
        <v>199.9</v>
      </c>
      <c r="M469">
        <v>19.989999999999998</v>
      </c>
      <c r="O469" t="s">
        <v>464</v>
      </c>
    </row>
    <row r="470" spans="1:15" x14ac:dyDescent="0.3">
      <c r="A470">
        <v>241952</v>
      </c>
      <c r="B470">
        <v>105</v>
      </c>
      <c r="C470" t="s">
        <v>557</v>
      </c>
      <c r="D470" t="s">
        <v>2600</v>
      </c>
      <c r="E470" t="s">
        <v>2673</v>
      </c>
      <c r="F470" s="451">
        <v>46190</v>
      </c>
      <c r="G470">
        <v>24403</v>
      </c>
      <c r="H470" t="s">
        <v>5149</v>
      </c>
      <c r="I470" t="s">
        <v>5191</v>
      </c>
      <c r="J470">
        <v>3</v>
      </c>
      <c r="K470" t="s">
        <v>4744</v>
      </c>
      <c r="L470">
        <v>36</v>
      </c>
      <c r="M470">
        <v>12</v>
      </c>
      <c r="O470" t="s">
        <v>464</v>
      </c>
    </row>
    <row r="471" spans="1:15" x14ac:dyDescent="0.3">
      <c r="A471">
        <v>241950</v>
      </c>
      <c r="B471">
        <v>105</v>
      </c>
      <c r="C471" t="s">
        <v>557</v>
      </c>
      <c r="D471" t="s">
        <v>2600</v>
      </c>
      <c r="E471" t="s">
        <v>2674</v>
      </c>
      <c r="F471" s="451">
        <v>46181</v>
      </c>
      <c r="G471">
        <v>20549</v>
      </c>
      <c r="H471" t="s">
        <v>4823</v>
      </c>
      <c r="I471" t="s">
        <v>5191</v>
      </c>
      <c r="J471">
        <v>11.8</v>
      </c>
      <c r="K471" t="s">
        <v>4744</v>
      </c>
      <c r="L471">
        <v>235.88</v>
      </c>
      <c r="M471">
        <v>19.989830999999999</v>
      </c>
      <c r="O471" t="s">
        <v>464</v>
      </c>
    </row>
    <row r="472" spans="1:15" x14ac:dyDescent="0.3">
      <c r="A472">
        <v>241950</v>
      </c>
      <c r="B472">
        <v>105</v>
      </c>
      <c r="C472" t="s">
        <v>557</v>
      </c>
      <c r="D472" t="s">
        <v>2600</v>
      </c>
      <c r="E472" t="s">
        <v>2674</v>
      </c>
      <c r="F472" s="451">
        <v>46181</v>
      </c>
      <c r="G472">
        <v>24197</v>
      </c>
      <c r="H472" t="s">
        <v>5237</v>
      </c>
      <c r="I472" t="s">
        <v>5191</v>
      </c>
      <c r="J472">
        <v>10</v>
      </c>
      <c r="K472" t="s">
        <v>4744</v>
      </c>
      <c r="L472">
        <v>199.9</v>
      </c>
      <c r="M472">
        <v>19.989999999999998</v>
      </c>
      <c r="O472" t="s">
        <v>464</v>
      </c>
    </row>
    <row r="473" spans="1:15" x14ac:dyDescent="0.3">
      <c r="A473">
        <v>241948</v>
      </c>
      <c r="B473">
        <v>105</v>
      </c>
      <c r="C473" t="s">
        <v>557</v>
      </c>
      <c r="D473" t="s">
        <v>2675</v>
      </c>
      <c r="E473" t="s">
        <v>2676</v>
      </c>
      <c r="F473" s="451">
        <v>46192</v>
      </c>
      <c r="G473">
        <v>23980</v>
      </c>
      <c r="H473" t="s">
        <v>5097</v>
      </c>
      <c r="I473" t="s">
        <v>5191</v>
      </c>
      <c r="J473">
        <v>18.7</v>
      </c>
      <c r="K473" t="s">
        <v>4744</v>
      </c>
      <c r="L473">
        <v>729.3</v>
      </c>
      <c r="M473">
        <v>39</v>
      </c>
      <c r="O473" t="s">
        <v>464</v>
      </c>
    </row>
    <row r="474" spans="1:15" x14ac:dyDescent="0.3">
      <c r="A474">
        <v>241947</v>
      </c>
      <c r="B474">
        <v>105</v>
      </c>
      <c r="C474" t="s">
        <v>557</v>
      </c>
      <c r="D474" t="s">
        <v>2675</v>
      </c>
      <c r="E474" t="s">
        <v>2677</v>
      </c>
      <c r="F474" s="451">
        <v>46185</v>
      </c>
      <c r="G474">
        <v>23980</v>
      </c>
      <c r="H474" t="s">
        <v>5097</v>
      </c>
      <c r="I474" t="s">
        <v>5191</v>
      </c>
      <c r="J474">
        <v>15</v>
      </c>
      <c r="K474" t="s">
        <v>4744</v>
      </c>
      <c r="L474">
        <v>585</v>
      </c>
      <c r="M474">
        <v>39</v>
      </c>
      <c r="O474" t="s">
        <v>464</v>
      </c>
    </row>
    <row r="475" spans="1:15" x14ac:dyDescent="0.3">
      <c r="A475">
        <v>241945</v>
      </c>
      <c r="B475">
        <v>105</v>
      </c>
      <c r="C475" t="s">
        <v>557</v>
      </c>
      <c r="D475" t="s">
        <v>2678</v>
      </c>
      <c r="E475" t="s">
        <v>2679</v>
      </c>
      <c r="F475" s="451">
        <v>46195</v>
      </c>
      <c r="G475">
        <v>28568</v>
      </c>
      <c r="H475" t="s">
        <v>5177</v>
      </c>
      <c r="I475" t="s">
        <v>5191</v>
      </c>
      <c r="J475">
        <v>2</v>
      </c>
      <c r="K475" t="s">
        <v>4749</v>
      </c>
      <c r="L475">
        <v>141.6</v>
      </c>
      <c r="M475">
        <v>70.8</v>
      </c>
      <c r="O475" t="s">
        <v>464</v>
      </c>
    </row>
    <row r="476" spans="1:15" x14ac:dyDescent="0.3">
      <c r="A476">
        <v>241944</v>
      </c>
      <c r="B476">
        <v>105</v>
      </c>
      <c r="C476" t="s">
        <v>557</v>
      </c>
      <c r="D476" t="s">
        <v>2680</v>
      </c>
      <c r="E476" t="s">
        <v>2681</v>
      </c>
      <c r="F476" s="451">
        <v>46188</v>
      </c>
      <c r="G476">
        <v>24685</v>
      </c>
      <c r="H476" t="s">
        <v>5055</v>
      </c>
      <c r="I476" t="s">
        <v>5222</v>
      </c>
      <c r="J476">
        <v>1</v>
      </c>
      <c r="K476" t="s">
        <v>4805</v>
      </c>
      <c r="L476">
        <v>230</v>
      </c>
      <c r="M476">
        <v>230</v>
      </c>
      <c r="O476" t="s">
        <v>464</v>
      </c>
    </row>
    <row r="477" spans="1:15" x14ac:dyDescent="0.3">
      <c r="A477">
        <v>241944</v>
      </c>
      <c r="B477">
        <v>105</v>
      </c>
      <c r="C477" t="s">
        <v>557</v>
      </c>
      <c r="D477" t="s">
        <v>2680</v>
      </c>
      <c r="E477" t="s">
        <v>2681</v>
      </c>
      <c r="F477" s="451">
        <v>46188</v>
      </c>
      <c r="G477">
        <v>17878</v>
      </c>
      <c r="H477" t="s">
        <v>4926</v>
      </c>
      <c r="I477" t="s">
        <v>5222</v>
      </c>
      <c r="J477">
        <v>4</v>
      </c>
      <c r="K477" t="s">
        <v>4736</v>
      </c>
      <c r="L477">
        <v>120</v>
      </c>
      <c r="M477">
        <v>30</v>
      </c>
      <c r="O477" t="s">
        <v>464</v>
      </c>
    </row>
    <row r="478" spans="1:15" x14ac:dyDescent="0.3">
      <c r="A478">
        <v>241943</v>
      </c>
      <c r="B478">
        <v>105</v>
      </c>
      <c r="C478" t="s">
        <v>557</v>
      </c>
      <c r="D478" t="s">
        <v>2682</v>
      </c>
      <c r="E478" t="s">
        <v>2683</v>
      </c>
      <c r="F478" s="451">
        <v>46186</v>
      </c>
      <c r="G478">
        <v>19322</v>
      </c>
      <c r="H478" t="s">
        <v>4830</v>
      </c>
      <c r="I478" t="s">
        <v>5191</v>
      </c>
      <c r="J478">
        <v>12.08</v>
      </c>
      <c r="K478" t="s">
        <v>4744</v>
      </c>
      <c r="L478">
        <v>574.04</v>
      </c>
      <c r="M478">
        <v>47.519868000000002</v>
      </c>
      <c r="O478" t="s">
        <v>464</v>
      </c>
    </row>
    <row r="479" spans="1:15" x14ac:dyDescent="0.3">
      <c r="A479">
        <v>241943</v>
      </c>
      <c r="B479">
        <v>105</v>
      </c>
      <c r="C479" t="s">
        <v>557</v>
      </c>
      <c r="D479" t="s">
        <v>2682</v>
      </c>
      <c r="E479" t="s">
        <v>2683</v>
      </c>
      <c r="F479" s="451">
        <v>46186</v>
      </c>
      <c r="G479">
        <v>19439</v>
      </c>
      <c r="H479" t="s">
        <v>4917</v>
      </c>
      <c r="I479" t="s">
        <v>5191</v>
      </c>
      <c r="J479">
        <v>4</v>
      </c>
      <c r="K479" t="s">
        <v>4738</v>
      </c>
      <c r="L479">
        <v>111.6</v>
      </c>
      <c r="M479">
        <v>27.9</v>
      </c>
      <c r="O479" t="s">
        <v>464</v>
      </c>
    </row>
    <row r="480" spans="1:15" x14ac:dyDescent="0.3">
      <c r="A480">
        <v>241943</v>
      </c>
      <c r="B480">
        <v>105</v>
      </c>
      <c r="C480" t="s">
        <v>557</v>
      </c>
      <c r="D480" t="s">
        <v>2682</v>
      </c>
      <c r="E480" t="s">
        <v>2683</v>
      </c>
      <c r="F480" s="451">
        <v>46186</v>
      </c>
      <c r="G480">
        <v>20007</v>
      </c>
      <c r="H480" t="s">
        <v>5101</v>
      </c>
      <c r="I480" t="s">
        <v>5191</v>
      </c>
      <c r="J480">
        <v>3</v>
      </c>
      <c r="K480" t="s">
        <v>4884</v>
      </c>
      <c r="L480">
        <v>148.80000000000001</v>
      </c>
      <c r="M480">
        <v>49.6</v>
      </c>
      <c r="O480" t="s">
        <v>464</v>
      </c>
    </row>
    <row r="481" spans="1:15" x14ac:dyDescent="0.3">
      <c r="A481">
        <v>241940</v>
      </c>
      <c r="B481">
        <v>105</v>
      </c>
      <c r="C481" t="s">
        <v>557</v>
      </c>
      <c r="D481" t="s">
        <v>2579</v>
      </c>
      <c r="E481" t="s">
        <v>2684</v>
      </c>
      <c r="F481" s="451">
        <v>46198</v>
      </c>
      <c r="G481">
        <v>19654</v>
      </c>
      <c r="H481" t="s">
        <v>5099</v>
      </c>
      <c r="I481" t="s">
        <v>5191</v>
      </c>
      <c r="J481">
        <v>4.2</v>
      </c>
      <c r="K481" t="s">
        <v>4744</v>
      </c>
      <c r="L481">
        <v>16.38</v>
      </c>
      <c r="M481">
        <v>3.9</v>
      </c>
      <c r="O481" t="s">
        <v>464</v>
      </c>
    </row>
    <row r="482" spans="1:15" x14ac:dyDescent="0.3">
      <c r="A482">
        <v>241940</v>
      </c>
      <c r="B482">
        <v>105</v>
      </c>
      <c r="C482" t="s">
        <v>557</v>
      </c>
      <c r="D482" t="s">
        <v>2579</v>
      </c>
      <c r="E482" t="s">
        <v>2684</v>
      </c>
      <c r="F482" s="451">
        <v>46198</v>
      </c>
      <c r="G482">
        <v>19742</v>
      </c>
      <c r="H482" t="s">
        <v>4900</v>
      </c>
      <c r="I482" t="s">
        <v>5191</v>
      </c>
      <c r="J482">
        <v>2.5</v>
      </c>
      <c r="K482" t="s">
        <v>4744</v>
      </c>
      <c r="L482">
        <v>22.75</v>
      </c>
      <c r="M482">
        <v>9.1</v>
      </c>
      <c r="O482" t="s">
        <v>464</v>
      </c>
    </row>
    <row r="483" spans="1:15" x14ac:dyDescent="0.3">
      <c r="A483">
        <v>241940</v>
      </c>
      <c r="B483">
        <v>105</v>
      </c>
      <c r="C483" t="s">
        <v>557</v>
      </c>
      <c r="D483" t="s">
        <v>2579</v>
      </c>
      <c r="E483" t="s">
        <v>2684</v>
      </c>
      <c r="F483" s="451">
        <v>46198</v>
      </c>
      <c r="G483">
        <v>23385</v>
      </c>
      <c r="H483" t="s">
        <v>4938</v>
      </c>
      <c r="I483" t="s">
        <v>5191</v>
      </c>
      <c r="J483">
        <v>1.6</v>
      </c>
      <c r="K483" t="s">
        <v>4744</v>
      </c>
      <c r="L483">
        <v>59.28</v>
      </c>
      <c r="M483">
        <v>37.049999999999997</v>
      </c>
      <c r="O483" t="s">
        <v>464</v>
      </c>
    </row>
    <row r="484" spans="1:15" x14ac:dyDescent="0.3">
      <c r="A484">
        <v>241940</v>
      </c>
      <c r="B484">
        <v>105</v>
      </c>
      <c r="C484" t="s">
        <v>557</v>
      </c>
      <c r="D484" t="s">
        <v>2579</v>
      </c>
      <c r="E484" t="s">
        <v>2684</v>
      </c>
      <c r="F484" s="451">
        <v>46198</v>
      </c>
      <c r="G484">
        <v>19740</v>
      </c>
      <c r="H484" t="s">
        <v>4779</v>
      </c>
      <c r="I484" t="s">
        <v>5191</v>
      </c>
      <c r="J484">
        <v>5</v>
      </c>
      <c r="K484" t="s">
        <v>4744</v>
      </c>
      <c r="L484">
        <v>48.75</v>
      </c>
      <c r="M484">
        <v>9.75</v>
      </c>
      <c r="O484" t="s">
        <v>464</v>
      </c>
    </row>
    <row r="485" spans="1:15" x14ac:dyDescent="0.3">
      <c r="A485">
        <v>241940</v>
      </c>
      <c r="B485">
        <v>105</v>
      </c>
      <c r="C485" t="s">
        <v>557</v>
      </c>
      <c r="D485" t="s">
        <v>2579</v>
      </c>
      <c r="E485" t="s">
        <v>2684</v>
      </c>
      <c r="F485" s="451">
        <v>46198</v>
      </c>
      <c r="G485">
        <v>19532</v>
      </c>
      <c r="H485" t="s">
        <v>4753</v>
      </c>
      <c r="I485" t="s">
        <v>5191</v>
      </c>
      <c r="J485">
        <v>15</v>
      </c>
      <c r="K485" t="s">
        <v>4744</v>
      </c>
      <c r="L485">
        <v>97.5</v>
      </c>
      <c r="M485">
        <v>6.5</v>
      </c>
      <c r="O485" t="s">
        <v>464</v>
      </c>
    </row>
    <row r="486" spans="1:15" x14ac:dyDescent="0.3">
      <c r="A486">
        <v>241940</v>
      </c>
      <c r="B486">
        <v>105</v>
      </c>
      <c r="C486" t="s">
        <v>557</v>
      </c>
      <c r="D486" t="s">
        <v>2579</v>
      </c>
      <c r="E486" t="s">
        <v>2684</v>
      </c>
      <c r="F486" s="451">
        <v>46198</v>
      </c>
      <c r="G486">
        <v>19642</v>
      </c>
      <c r="H486" t="s">
        <v>4996</v>
      </c>
      <c r="I486" t="s">
        <v>5191</v>
      </c>
      <c r="J486">
        <v>2</v>
      </c>
      <c r="K486" t="s">
        <v>4744</v>
      </c>
      <c r="L486">
        <v>10.4</v>
      </c>
      <c r="M486">
        <v>5.2</v>
      </c>
      <c r="O486" t="s">
        <v>464</v>
      </c>
    </row>
    <row r="487" spans="1:15" x14ac:dyDescent="0.3">
      <c r="A487">
        <v>241940</v>
      </c>
      <c r="B487">
        <v>105</v>
      </c>
      <c r="C487" t="s">
        <v>557</v>
      </c>
      <c r="D487" t="s">
        <v>2579</v>
      </c>
      <c r="E487" t="s">
        <v>2684</v>
      </c>
      <c r="F487" s="451">
        <v>46198</v>
      </c>
      <c r="G487">
        <v>24509</v>
      </c>
      <c r="H487" t="s">
        <v>4788</v>
      </c>
      <c r="I487" t="s">
        <v>5191</v>
      </c>
      <c r="J487">
        <v>10</v>
      </c>
      <c r="K487" t="s">
        <v>4744</v>
      </c>
      <c r="L487">
        <v>52</v>
      </c>
      <c r="M487">
        <v>5.2</v>
      </c>
      <c r="O487" t="s">
        <v>464</v>
      </c>
    </row>
    <row r="488" spans="1:15" x14ac:dyDescent="0.3">
      <c r="A488">
        <v>241940</v>
      </c>
      <c r="B488">
        <v>105</v>
      </c>
      <c r="C488" t="s">
        <v>557</v>
      </c>
      <c r="D488" t="s">
        <v>2579</v>
      </c>
      <c r="E488" t="s">
        <v>2684</v>
      </c>
      <c r="F488" s="451">
        <v>46198</v>
      </c>
      <c r="G488">
        <v>23361</v>
      </c>
      <c r="H488" t="s">
        <v>4754</v>
      </c>
      <c r="I488" t="s">
        <v>5191</v>
      </c>
      <c r="J488">
        <v>20</v>
      </c>
      <c r="K488" t="s">
        <v>4744</v>
      </c>
      <c r="L488">
        <v>50</v>
      </c>
      <c r="M488">
        <v>2.5</v>
      </c>
      <c r="O488" t="s">
        <v>464</v>
      </c>
    </row>
    <row r="489" spans="1:15" x14ac:dyDescent="0.3">
      <c r="A489">
        <v>241940</v>
      </c>
      <c r="B489">
        <v>105</v>
      </c>
      <c r="C489" t="s">
        <v>557</v>
      </c>
      <c r="D489" t="s">
        <v>2579</v>
      </c>
      <c r="E489" t="s">
        <v>2684</v>
      </c>
      <c r="F489" s="451">
        <v>46198</v>
      </c>
      <c r="G489">
        <v>23184</v>
      </c>
      <c r="H489" t="s">
        <v>4935</v>
      </c>
      <c r="I489" t="s">
        <v>5191</v>
      </c>
      <c r="J489">
        <v>3</v>
      </c>
      <c r="K489" t="s">
        <v>4744</v>
      </c>
      <c r="L489">
        <v>46.8</v>
      </c>
      <c r="M489">
        <v>15.6</v>
      </c>
      <c r="O489" t="s">
        <v>464</v>
      </c>
    </row>
    <row r="490" spans="1:15" x14ac:dyDescent="0.3">
      <c r="A490">
        <v>241940</v>
      </c>
      <c r="B490">
        <v>105</v>
      </c>
      <c r="C490" t="s">
        <v>557</v>
      </c>
      <c r="D490" t="s">
        <v>2579</v>
      </c>
      <c r="E490" t="s">
        <v>2684</v>
      </c>
      <c r="F490" s="451">
        <v>46198</v>
      </c>
      <c r="G490">
        <v>19623</v>
      </c>
      <c r="H490" t="s">
        <v>4764</v>
      </c>
      <c r="I490" t="s">
        <v>5191</v>
      </c>
      <c r="J490">
        <v>10</v>
      </c>
      <c r="K490" t="s">
        <v>4744</v>
      </c>
      <c r="L490">
        <v>58.5</v>
      </c>
      <c r="M490">
        <v>5.85</v>
      </c>
      <c r="O490" t="s">
        <v>464</v>
      </c>
    </row>
    <row r="491" spans="1:15" x14ac:dyDescent="0.3">
      <c r="A491">
        <v>241940</v>
      </c>
      <c r="B491">
        <v>105</v>
      </c>
      <c r="C491" t="s">
        <v>557</v>
      </c>
      <c r="D491" t="s">
        <v>2579</v>
      </c>
      <c r="E491" t="s">
        <v>2684</v>
      </c>
      <c r="F491" s="451">
        <v>46198</v>
      </c>
      <c r="G491">
        <v>19634</v>
      </c>
      <c r="H491" t="s">
        <v>4792</v>
      </c>
      <c r="I491" t="s">
        <v>5191</v>
      </c>
      <c r="J491">
        <v>3</v>
      </c>
      <c r="K491" t="s">
        <v>4744</v>
      </c>
      <c r="L491">
        <v>19.5</v>
      </c>
      <c r="M491">
        <v>6.5</v>
      </c>
      <c r="O491" t="s">
        <v>464</v>
      </c>
    </row>
    <row r="492" spans="1:15" x14ac:dyDescent="0.3">
      <c r="A492">
        <v>241938</v>
      </c>
      <c r="B492">
        <v>105</v>
      </c>
      <c r="C492" t="s">
        <v>557</v>
      </c>
      <c r="D492" t="s">
        <v>2579</v>
      </c>
      <c r="E492" t="s">
        <v>2685</v>
      </c>
      <c r="F492" s="451">
        <v>46191</v>
      </c>
      <c r="G492">
        <v>19654</v>
      </c>
      <c r="H492" t="s">
        <v>5099</v>
      </c>
      <c r="I492" t="s">
        <v>5191</v>
      </c>
      <c r="J492">
        <v>3</v>
      </c>
      <c r="K492" t="s">
        <v>4744</v>
      </c>
      <c r="L492">
        <v>14.82</v>
      </c>
      <c r="M492">
        <v>4.9400000000000004</v>
      </c>
      <c r="O492" t="s">
        <v>464</v>
      </c>
    </row>
    <row r="493" spans="1:15" x14ac:dyDescent="0.3">
      <c r="A493">
        <v>241938</v>
      </c>
      <c r="B493">
        <v>105</v>
      </c>
      <c r="C493" t="s">
        <v>557</v>
      </c>
      <c r="D493" t="s">
        <v>2579</v>
      </c>
      <c r="E493" t="s">
        <v>2685</v>
      </c>
      <c r="F493" s="451">
        <v>46191</v>
      </c>
      <c r="G493">
        <v>23096</v>
      </c>
      <c r="H493" t="s">
        <v>5164</v>
      </c>
      <c r="I493" t="s">
        <v>5191</v>
      </c>
      <c r="J493">
        <v>90</v>
      </c>
      <c r="K493" t="s">
        <v>4736</v>
      </c>
      <c r="L493">
        <v>58.5</v>
      </c>
      <c r="M493">
        <v>0.65</v>
      </c>
      <c r="O493" t="s">
        <v>464</v>
      </c>
    </row>
    <row r="494" spans="1:15" x14ac:dyDescent="0.3">
      <c r="A494">
        <v>241938</v>
      </c>
      <c r="B494">
        <v>105</v>
      </c>
      <c r="C494" t="s">
        <v>557</v>
      </c>
      <c r="D494" t="s">
        <v>2579</v>
      </c>
      <c r="E494" t="s">
        <v>2685</v>
      </c>
      <c r="F494" s="451">
        <v>46191</v>
      </c>
      <c r="G494">
        <v>23335</v>
      </c>
      <c r="H494" t="s">
        <v>4961</v>
      </c>
      <c r="I494" t="s">
        <v>5191</v>
      </c>
      <c r="J494">
        <v>1.2</v>
      </c>
      <c r="K494" t="s">
        <v>4744</v>
      </c>
      <c r="L494">
        <v>34.32</v>
      </c>
      <c r="M494">
        <v>28.6</v>
      </c>
      <c r="O494" t="s">
        <v>464</v>
      </c>
    </row>
    <row r="495" spans="1:15" x14ac:dyDescent="0.3">
      <c r="A495">
        <v>241938</v>
      </c>
      <c r="B495">
        <v>105</v>
      </c>
      <c r="C495" t="s">
        <v>557</v>
      </c>
      <c r="D495" t="s">
        <v>2579</v>
      </c>
      <c r="E495" t="s">
        <v>2685</v>
      </c>
      <c r="F495" s="451">
        <v>46191</v>
      </c>
      <c r="G495">
        <v>19790</v>
      </c>
      <c r="H495" t="s">
        <v>5073</v>
      </c>
      <c r="I495" t="s">
        <v>5191</v>
      </c>
      <c r="J495">
        <v>1</v>
      </c>
      <c r="K495" t="s">
        <v>4744</v>
      </c>
      <c r="L495">
        <v>48</v>
      </c>
      <c r="M495">
        <v>48</v>
      </c>
      <c r="O495" t="s">
        <v>464</v>
      </c>
    </row>
    <row r="496" spans="1:15" x14ac:dyDescent="0.3">
      <c r="A496">
        <v>241938</v>
      </c>
      <c r="B496">
        <v>105</v>
      </c>
      <c r="C496" t="s">
        <v>557</v>
      </c>
      <c r="D496" t="s">
        <v>2579</v>
      </c>
      <c r="E496" t="s">
        <v>2685</v>
      </c>
      <c r="F496" s="451">
        <v>46191</v>
      </c>
      <c r="G496">
        <v>24522</v>
      </c>
      <c r="H496" t="s">
        <v>5072</v>
      </c>
      <c r="I496" t="s">
        <v>5191</v>
      </c>
      <c r="J496">
        <v>1</v>
      </c>
      <c r="K496" t="s">
        <v>4744</v>
      </c>
      <c r="L496">
        <v>25</v>
      </c>
      <c r="M496">
        <v>25</v>
      </c>
      <c r="O496" t="s">
        <v>464</v>
      </c>
    </row>
    <row r="497" spans="1:15" x14ac:dyDescent="0.3">
      <c r="A497">
        <v>241938</v>
      </c>
      <c r="B497">
        <v>105</v>
      </c>
      <c r="C497" t="s">
        <v>557</v>
      </c>
      <c r="D497" t="s">
        <v>2579</v>
      </c>
      <c r="E497" t="s">
        <v>2685</v>
      </c>
      <c r="F497" s="451">
        <v>46191</v>
      </c>
      <c r="G497">
        <v>23385</v>
      </c>
      <c r="H497" t="s">
        <v>4938</v>
      </c>
      <c r="I497" t="s">
        <v>5191</v>
      </c>
      <c r="J497">
        <v>1.6</v>
      </c>
      <c r="K497" t="s">
        <v>4744</v>
      </c>
      <c r="L497">
        <v>52</v>
      </c>
      <c r="M497">
        <v>32.5</v>
      </c>
      <c r="O497" t="s">
        <v>464</v>
      </c>
    </row>
    <row r="498" spans="1:15" x14ac:dyDescent="0.3">
      <c r="A498">
        <v>241938</v>
      </c>
      <c r="B498">
        <v>105</v>
      </c>
      <c r="C498" t="s">
        <v>557</v>
      </c>
      <c r="D498" t="s">
        <v>2579</v>
      </c>
      <c r="E498" t="s">
        <v>2685</v>
      </c>
      <c r="F498" s="451">
        <v>46191</v>
      </c>
      <c r="G498">
        <v>23238</v>
      </c>
      <c r="H498" t="s">
        <v>4934</v>
      </c>
      <c r="I498" t="s">
        <v>5191</v>
      </c>
      <c r="J498">
        <v>1.35</v>
      </c>
      <c r="K498" t="s">
        <v>4744</v>
      </c>
      <c r="L498">
        <v>22.82</v>
      </c>
      <c r="M498">
        <v>16.903704000000001</v>
      </c>
      <c r="O498" t="s">
        <v>464</v>
      </c>
    </row>
    <row r="499" spans="1:15" x14ac:dyDescent="0.3">
      <c r="A499">
        <v>241938</v>
      </c>
      <c r="B499">
        <v>105</v>
      </c>
      <c r="C499" t="s">
        <v>557</v>
      </c>
      <c r="D499" t="s">
        <v>2579</v>
      </c>
      <c r="E499" t="s">
        <v>2685</v>
      </c>
      <c r="F499" s="451">
        <v>46191</v>
      </c>
      <c r="G499">
        <v>19635</v>
      </c>
      <c r="H499" t="s">
        <v>4786</v>
      </c>
      <c r="I499" t="s">
        <v>5191</v>
      </c>
      <c r="J499">
        <v>12</v>
      </c>
      <c r="K499" t="s">
        <v>4744</v>
      </c>
      <c r="L499">
        <v>54.6</v>
      </c>
      <c r="M499">
        <v>4.55</v>
      </c>
      <c r="O499" t="s">
        <v>464</v>
      </c>
    </row>
    <row r="500" spans="1:15" x14ac:dyDescent="0.3">
      <c r="A500">
        <v>241936</v>
      </c>
      <c r="B500">
        <v>105</v>
      </c>
      <c r="C500" t="s">
        <v>557</v>
      </c>
      <c r="D500" t="s">
        <v>1786</v>
      </c>
      <c r="E500" t="s">
        <v>2686</v>
      </c>
      <c r="F500" s="451">
        <v>46198</v>
      </c>
      <c r="G500">
        <v>24331</v>
      </c>
      <c r="H500" t="s">
        <v>5166</v>
      </c>
      <c r="I500" t="s">
        <v>5191</v>
      </c>
      <c r="J500">
        <v>10</v>
      </c>
      <c r="K500" t="s">
        <v>4744</v>
      </c>
      <c r="L500">
        <v>217.2</v>
      </c>
      <c r="M500">
        <v>21.72</v>
      </c>
      <c r="O500" t="s">
        <v>464</v>
      </c>
    </row>
    <row r="501" spans="1:15" x14ac:dyDescent="0.3">
      <c r="A501">
        <v>241936</v>
      </c>
      <c r="B501">
        <v>105</v>
      </c>
      <c r="C501" t="s">
        <v>557</v>
      </c>
      <c r="D501" t="s">
        <v>1786</v>
      </c>
      <c r="E501" t="s">
        <v>2686</v>
      </c>
      <c r="F501" s="451">
        <v>46198</v>
      </c>
      <c r="G501">
        <v>24339</v>
      </c>
      <c r="H501" t="s">
        <v>4885</v>
      </c>
      <c r="I501" t="s">
        <v>5191</v>
      </c>
      <c r="J501">
        <v>10</v>
      </c>
      <c r="K501" t="s">
        <v>4744</v>
      </c>
      <c r="L501">
        <v>249</v>
      </c>
      <c r="M501">
        <v>24.9</v>
      </c>
      <c r="O501" t="s">
        <v>464</v>
      </c>
    </row>
    <row r="502" spans="1:15" x14ac:dyDescent="0.3">
      <c r="A502">
        <v>241934</v>
      </c>
      <c r="B502">
        <v>105</v>
      </c>
      <c r="C502" t="s">
        <v>557</v>
      </c>
      <c r="D502" t="s">
        <v>1786</v>
      </c>
      <c r="E502" t="s">
        <v>2687</v>
      </c>
      <c r="F502" s="451">
        <v>46192</v>
      </c>
      <c r="G502">
        <v>19306</v>
      </c>
      <c r="H502" t="s">
        <v>5111</v>
      </c>
      <c r="I502" t="s">
        <v>5191</v>
      </c>
      <c r="J502">
        <v>5</v>
      </c>
      <c r="K502" t="s">
        <v>5228</v>
      </c>
      <c r="L502">
        <v>90.5</v>
      </c>
      <c r="M502">
        <v>18.100000000000001</v>
      </c>
      <c r="O502" t="s">
        <v>464</v>
      </c>
    </row>
    <row r="503" spans="1:15" x14ac:dyDescent="0.3">
      <c r="A503">
        <v>241934</v>
      </c>
      <c r="B503">
        <v>105</v>
      </c>
      <c r="C503" t="s">
        <v>557</v>
      </c>
      <c r="D503" t="s">
        <v>1786</v>
      </c>
      <c r="E503" t="s">
        <v>2687</v>
      </c>
      <c r="F503" s="451">
        <v>46192</v>
      </c>
      <c r="G503">
        <v>23785</v>
      </c>
      <c r="H503" t="s">
        <v>4858</v>
      </c>
      <c r="I503" t="s">
        <v>5191</v>
      </c>
      <c r="J503">
        <v>9</v>
      </c>
      <c r="K503" t="s">
        <v>4744</v>
      </c>
      <c r="L503">
        <v>287.91000000000003</v>
      </c>
      <c r="M503">
        <v>31.99</v>
      </c>
      <c r="O503" t="s">
        <v>464</v>
      </c>
    </row>
    <row r="504" spans="1:15" x14ac:dyDescent="0.3">
      <c r="A504">
        <v>241934</v>
      </c>
      <c r="B504">
        <v>105</v>
      </c>
      <c r="C504" t="s">
        <v>557</v>
      </c>
      <c r="D504" t="s">
        <v>1786</v>
      </c>
      <c r="E504" t="s">
        <v>2687</v>
      </c>
      <c r="F504" s="451">
        <v>46192</v>
      </c>
      <c r="G504">
        <v>19415</v>
      </c>
      <c r="H504" t="s">
        <v>4919</v>
      </c>
      <c r="I504" t="s">
        <v>5191</v>
      </c>
      <c r="J504">
        <v>5</v>
      </c>
      <c r="K504" t="s">
        <v>4736</v>
      </c>
      <c r="L504">
        <v>41.8</v>
      </c>
      <c r="M504">
        <v>8.36</v>
      </c>
      <c r="O504" t="s">
        <v>464</v>
      </c>
    </row>
    <row r="505" spans="1:15" x14ac:dyDescent="0.3">
      <c r="A505">
        <v>241931</v>
      </c>
      <c r="B505">
        <v>105</v>
      </c>
      <c r="C505" t="s">
        <v>557</v>
      </c>
      <c r="D505" t="s">
        <v>1786</v>
      </c>
      <c r="E505" t="s">
        <v>2688</v>
      </c>
      <c r="F505" s="451">
        <v>46188</v>
      </c>
      <c r="G505">
        <v>20501</v>
      </c>
      <c r="H505" t="s">
        <v>4760</v>
      </c>
      <c r="I505" t="s">
        <v>5191</v>
      </c>
      <c r="J505">
        <v>35</v>
      </c>
      <c r="K505" t="s">
        <v>4744</v>
      </c>
      <c r="L505">
        <v>661.5</v>
      </c>
      <c r="M505">
        <v>18.899999999999999</v>
      </c>
      <c r="O505" t="s">
        <v>464</v>
      </c>
    </row>
    <row r="506" spans="1:15" x14ac:dyDescent="0.3">
      <c r="A506">
        <v>241929</v>
      </c>
      <c r="B506">
        <v>105</v>
      </c>
      <c r="C506" t="s">
        <v>557</v>
      </c>
      <c r="D506" t="s">
        <v>1786</v>
      </c>
      <c r="E506" t="s">
        <v>2689</v>
      </c>
      <c r="F506" s="451">
        <v>46185</v>
      </c>
      <c r="G506">
        <v>19415</v>
      </c>
      <c r="H506" t="s">
        <v>4919</v>
      </c>
      <c r="I506" t="s">
        <v>5191</v>
      </c>
      <c r="J506">
        <v>2</v>
      </c>
      <c r="K506" t="s">
        <v>4736</v>
      </c>
      <c r="L506">
        <v>16.72</v>
      </c>
      <c r="M506">
        <v>8.36</v>
      </c>
      <c r="O506" t="s">
        <v>464</v>
      </c>
    </row>
    <row r="507" spans="1:15" x14ac:dyDescent="0.3">
      <c r="A507">
        <v>241929</v>
      </c>
      <c r="B507">
        <v>105</v>
      </c>
      <c r="C507" t="s">
        <v>557</v>
      </c>
      <c r="D507" t="s">
        <v>1786</v>
      </c>
      <c r="E507" t="s">
        <v>2689</v>
      </c>
      <c r="F507" s="451">
        <v>46185</v>
      </c>
      <c r="G507">
        <v>23785</v>
      </c>
      <c r="H507" t="s">
        <v>4858</v>
      </c>
      <c r="I507" t="s">
        <v>5191</v>
      </c>
      <c r="J507">
        <v>4</v>
      </c>
      <c r="K507" t="s">
        <v>4744</v>
      </c>
      <c r="L507">
        <v>127.96</v>
      </c>
      <c r="M507">
        <v>31.99</v>
      </c>
      <c r="O507" t="s">
        <v>464</v>
      </c>
    </row>
    <row r="508" spans="1:15" x14ac:dyDescent="0.3">
      <c r="A508">
        <v>241929</v>
      </c>
      <c r="B508">
        <v>105</v>
      </c>
      <c r="C508" t="s">
        <v>557</v>
      </c>
      <c r="D508" t="s">
        <v>1786</v>
      </c>
      <c r="E508" t="s">
        <v>2689</v>
      </c>
      <c r="F508" s="451">
        <v>46185</v>
      </c>
      <c r="G508">
        <v>19401</v>
      </c>
      <c r="H508" t="s">
        <v>4809</v>
      </c>
      <c r="I508" t="s">
        <v>5191</v>
      </c>
      <c r="J508">
        <v>2</v>
      </c>
      <c r="K508" t="s">
        <v>4879</v>
      </c>
      <c r="L508">
        <v>380.04</v>
      </c>
      <c r="M508">
        <v>190.02</v>
      </c>
      <c r="O508" t="s">
        <v>464</v>
      </c>
    </row>
    <row r="509" spans="1:15" x14ac:dyDescent="0.3">
      <c r="A509">
        <v>241929</v>
      </c>
      <c r="B509">
        <v>105</v>
      </c>
      <c r="C509" t="s">
        <v>557</v>
      </c>
      <c r="D509" t="s">
        <v>1786</v>
      </c>
      <c r="E509" t="s">
        <v>2689</v>
      </c>
      <c r="F509" s="451">
        <v>46185</v>
      </c>
      <c r="G509">
        <v>19306</v>
      </c>
      <c r="H509" t="s">
        <v>5111</v>
      </c>
      <c r="I509" t="s">
        <v>5191</v>
      </c>
      <c r="J509">
        <v>1</v>
      </c>
      <c r="K509" t="s">
        <v>5228</v>
      </c>
      <c r="L509">
        <v>18.2</v>
      </c>
      <c r="M509">
        <v>18.2</v>
      </c>
      <c r="O509" t="s">
        <v>464</v>
      </c>
    </row>
    <row r="510" spans="1:15" x14ac:dyDescent="0.3">
      <c r="A510">
        <v>241927</v>
      </c>
      <c r="B510">
        <v>105</v>
      </c>
      <c r="C510" t="s">
        <v>557</v>
      </c>
      <c r="D510" t="s">
        <v>2690</v>
      </c>
      <c r="E510" t="s">
        <v>2691</v>
      </c>
      <c r="F510" s="451">
        <v>46196</v>
      </c>
      <c r="G510">
        <v>24690</v>
      </c>
      <c r="H510" t="s">
        <v>5168</v>
      </c>
      <c r="I510" t="s">
        <v>5222</v>
      </c>
      <c r="J510">
        <v>1</v>
      </c>
      <c r="K510" t="s">
        <v>5269</v>
      </c>
      <c r="L510">
        <v>18.75</v>
      </c>
      <c r="M510">
        <v>18.75</v>
      </c>
      <c r="O510" t="s">
        <v>464</v>
      </c>
    </row>
    <row r="511" spans="1:15" x14ac:dyDescent="0.3">
      <c r="A511">
        <v>241925</v>
      </c>
      <c r="B511">
        <v>105</v>
      </c>
      <c r="C511" t="s">
        <v>557</v>
      </c>
      <c r="D511" t="s">
        <v>2605</v>
      </c>
      <c r="E511" t="s">
        <v>2692</v>
      </c>
      <c r="F511" s="451">
        <v>46188</v>
      </c>
      <c r="G511">
        <v>21047</v>
      </c>
      <c r="H511" t="s">
        <v>4847</v>
      </c>
      <c r="I511" t="s">
        <v>5191</v>
      </c>
      <c r="J511">
        <v>1</v>
      </c>
      <c r="K511" t="s">
        <v>4848</v>
      </c>
      <c r="L511">
        <v>122.8</v>
      </c>
      <c r="M511">
        <v>122.8</v>
      </c>
      <c r="O511" t="s">
        <v>464</v>
      </c>
    </row>
    <row r="512" spans="1:15" x14ac:dyDescent="0.3">
      <c r="A512">
        <v>241925</v>
      </c>
      <c r="B512">
        <v>105</v>
      </c>
      <c r="C512" t="s">
        <v>557</v>
      </c>
      <c r="D512" t="s">
        <v>2605</v>
      </c>
      <c r="E512" t="s">
        <v>2692</v>
      </c>
      <c r="F512" s="451">
        <v>46188</v>
      </c>
      <c r="G512">
        <v>19979</v>
      </c>
      <c r="H512" t="s">
        <v>5270</v>
      </c>
      <c r="I512" t="s">
        <v>5191</v>
      </c>
      <c r="J512">
        <v>3</v>
      </c>
      <c r="K512" t="s">
        <v>4888</v>
      </c>
      <c r="L512">
        <v>64.349999999999994</v>
      </c>
      <c r="M512">
        <v>21.45</v>
      </c>
      <c r="O512" t="s">
        <v>464</v>
      </c>
    </row>
    <row r="513" spans="1:15" x14ac:dyDescent="0.3">
      <c r="A513">
        <v>241925</v>
      </c>
      <c r="B513">
        <v>105</v>
      </c>
      <c r="C513" t="s">
        <v>557</v>
      </c>
      <c r="D513" t="s">
        <v>2605</v>
      </c>
      <c r="E513" t="s">
        <v>2692</v>
      </c>
      <c r="F513" s="451">
        <v>46188</v>
      </c>
      <c r="G513">
        <v>19978</v>
      </c>
      <c r="H513" t="s">
        <v>4887</v>
      </c>
      <c r="I513" t="s">
        <v>5191</v>
      </c>
      <c r="J513">
        <v>3</v>
      </c>
      <c r="K513" t="s">
        <v>4736</v>
      </c>
      <c r="L513">
        <v>64.349999999999994</v>
      </c>
      <c r="M513">
        <v>21.45</v>
      </c>
      <c r="O513" t="s">
        <v>464</v>
      </c>
    </row>
    <row r="514" spans="1:15" x14ac:dyDescent="0.3">
      <c r="A514">
        <v>241925</v>
      </c>
      <c r="B514">
        <v>105</v>
      </c>
      <c r="C514" t="s">
        <v>557</v>
      </c>
      <c r="D514" t="s">
        <v>2605</v>
      </c>
      <c r="E514" t="s">
        <v>2692</v>
      </c>
      <c r="F514" s="451">
        <v>46188</v>
      </c>
      <c r="G514">
        <v>20122</v>
      </c>
      <c r="H514" t="s">
        <v>4781</v>
      </c>
      <c r="I514" t="s">
        <v>5191</v>
      </c>
      <c r="J514">
        <v>5</v>
      </c>
      <c r="K514" t="s">
        <v>4738</v>
      </c>
      <c r="L514">
        <v>71.900000000000006</v>
      </c>
      <c r="M514">
        <v>14.38</v>
      </c>
      <c r="O514" t="s">
        <v>464</v>
      </c>
    </row>
    <row r="515" spans="1:15" x14ac:dyDescent="0.3">
      <c r="A515">
        <v>241923</v>
      </c>
      <c r="B515">
        <v>105</v>
      </c>
      <c r="C515" t="s">
        <v>557</v>
      </c>
      <c r="D515" t="s">
        <v>2605</v>
      </c>
      <c r="E515" t="s">
        <v>2693</v>
      </c>
      <c r="F515" s="451">
        <v>46188</v>
      </c>
      <c r="G515">
        <v>22721</v>
      </c>
      <c r="H515" t="s">
        <v>4803</v>
      </c>
      <c r="I515" t="s">
        <v>5191</v>
      </c>
      <c r="J515">
        <v>10.199999999999999</v>
      </c>
      <c r="K515" t="s">
        <v>4744</v>
      </c>
      <c r="L515">
        <v>300.89999999999998</v>
      </c>
      <c r="M515">
        <v>29.5</v>
      </c>
      <c r="O515" t="s">
        <v>464</v>
      </c>
    </row>
    <row r="516" spans="1:15" x14ac:dyDescent="0.3">
      <c r="A516">
        <v>241922</v>
      </c>
      <c r="B516">
        <v>105</v>
      </c>
      <c r="C516" t="s">
        <v>557</v>
      </c>
      <c r="D516" t="s">
        <v>2605</v>
      </c>
      <c r="E516" t="s">
        <v>2694</v>
      </c>
      <c r="F516" s="451">
        <v>46188</v>
      </c>
      <c r="G516">
        <v>19969</v>
      </c>
      <c r="H516" t="s">
        <v>5018</v>
      </c>
      <c r="I516" t="s">
        <v>5191</v>
      </c>
      <c r="J516">
        <v>2</v>
      </c>
      <c r="K516" t="s">
        <v>4888</v>
      </c>
      <c r="L516">
        <v>22.3</v>
      </c>
      <c r="M516">
        <v>11.15</v>
      </c>
      <c r="O516" t="s">
        <v>464</v>
      </c>
    </row>
    <row r="517" spans="1:15" x14ac:dyDescent="0.3">
      <c r="A517">
        <v>241922</v>
      </c>
      <c r="B517">
        <v>105</v>
      </c>
      <c r="C517" t="s">
        <v>557</v>
      </c>
      <c r="D517" t="s">
        <v>2605</v>
      </c>
      <c r="E517" t="s">
        <v>2694</v>
      </c>
      <c r="F517" s="451">
        <v>46188</v>
      </c>
      <c r="G517">
        <v>20657</v>
      </c>
      <c r="H517" t="s">
        <v>5109</v>
      </c>
      <c r="I517" t="s">
        <v>5191</v>
      </c>
      <c r="J517">
        <v>12</v>
      </c>
      <c r="K517" t="s">
        <v>5206</v>
      </c>
      <c r="L517">
        <v>79.92</v>
      </c>
      <c r="M517">
        <v>6.66</v>
      </c>
      <c r="O517" t="s">
        <v>464</v>
      </c>
    </row>
    <row r="518" spans="1:15" x14ac:dyDescent="0.3">
      <c r="A518">
        <v>241922</v>
      </c>
      <c r="B518">
        <v>105</v>
      </c>
      <c r="C518" t="s">
        <v>557</v>
      </c>
      <c r="D518" t="s">
        <v>2605</v>
      </c>
      <c r="E518" t="s">
        <v>2694</v>
      </c>
      <c r="F518" s="451">
        <v>46188</v>
      </c>
      <c r="G518">
        <v>19434</v>
      </c>
      <c r="H518" t="s">
        <v>5078</v>
      </c>
      <c r="I518" t="s">
        <v>5191</v>
      </c>
      <c r="J518">
        <v>1</v>
      </c>
      <c r="K518" t="s">
        <v>5242</v>
      </c>
      <c r="L518">
        <v>23.3</v>
      </c>
      <c r="M518">
        <v>23.3</v>
      </c>
      <c r="O518" t="s">
        <v>464</v>
      </c>
    </row>
    <row r="519" spans="1:15" x14ac:dyDescent="0.3">
      <c r="A519">
        <v>241922</v>
      </c>
      <c r="B519">
        <v>105</v>
      </c>
      <c r="C519" t="s">
        <v>557</v>
      </c>
      <c r="D519" t="s">
        <v>2605</v>
      </c>
      <c r="E519" t="s">
        <v>2694</v>
      </c>
      <c r="F519" s="451">
        <v>46188</v>
      </c>
      <c r="G519">
        <v>23808</v>
      </c>
      <c r="H519" t="s">
        <v>4982</v>
      </c>
      <c r="I519" t="s">
        <v>5191</v>
      </c>
      <c r="J519">
        <v>4</v>
      </c>
      <c r="K519" t="s">
        <v>4744</v>
      </c>
      <c r="L519">
        <v>134.19999999999999</v>
      </c>
      <c r="M519">
        <v>33.549999999999997</v>
      </c>
      <c r="O519" t="s">
        <v>464</v>
      </c>
    </row>
    <row r="520" spans="1:15" x14ac:dyDescent="0.3">
      <c r="A520">
        <v>241922</v>
      </c>
      <c r="B520">
        <v>105</v>
      </c>
      <c r="C520" t="s">
        <v>557</v>
      </c>
      <c r="D520" t="s">
        <v>2605</v>
      </c>
      <c r="E520" t="s">
        <v>2694</v>
      </c>
      <c r="F520" s="451">
        <v>46188</v>
      </c>
      <c r="G520">
        <v>20295</v>
      </c>
      <c r="H520" t="s">
        <v>4881</v>
      </c>
      <c r="I520" t="s">
        <v>5191</v>
      </c>
      <c r="J520">
        <v>4</v>
      </c>
      <c r="K520" t="s">
        <v>4738</v>
      </c>
      <c r="L520">
        <v>44.8</v>
      </c>
      <c r="M520">
        <v>11.2</v>
      </c>
      <c r="O520" t="s">
        <v>464</v>
      </c>
    </row>
    <row r="521" spans="1:15" x14ac:dyDescent="0.3">
      <c r="A521">
        <v>241730</v>
      </c>
      <c r="B521">
        <v>105</v>
      </c>
      <c r="C521" t="s">
        <v>557</v>
      </c>
      <c r="D521" t="s">
        <v>2565</v>
      </c>
      <c r="E521" t="s">
        <v>2695</v>
      </c>
      <c r="F521" s="451">
        <v>46195</v>
      </c>
      <c r="G521">
        <v>18172</v>
      </c>
      <c r="H521" t="s">
        <v>4804</v>
      </c>
      <c r="I521" t="s">
        <v>5222</v>
      </c>
      <c r="J521">
        <v>10</v>
      </c>
      <c r="K521" t="s">
        <v>4805</v>
      </c>
      <c r="L521">
        <v>313.60000000000002</v>
      </c>
      <c r="M521">
        <v>31.36</v>
      </c>
      <c r="N521" t="s">
        <v>5222</v>
      </c>
      <c r="O521" t="s">
        <v>464</v>
      </c>
    </row>
    <row r="522" spans="1:15" x14ac:dyDescent="0.3">
      <c r="A522">
        <v>241728</v>
      </c>
      <c r="B522">
        <v>105</v>
      </c>
      <c r="C522" t="s">
        <v>557</v>
      </c>
      <c r="D522" t="s">
        <v>2680</v>
      </c>
      <c r="E522" t="s">
        <v>2696</v>
      </c>
      <c r="F522" s="451">
        <v>46183</v>
      </c>
      <c r="G522">
        <v>17878</v>
      </c>
      <c r="H522" t="s">
        <v>4926</v>
      </c>
      <c r="I522" t="s">
        <v>5222</v>
      </c>
      <c r="J522">
        <v>8</v>
      </c>
      <c r="K522" t="s">
        <v>4736</v>
      </c>
      <c r="L522">
        <v>240</v>
      </c>
      <c r="M522">
        <v>30</v>
      </c>
      <c r="N522" t="s">
        <v>5271</v>
      </c>
      <c r="O522" t="s">
        <v>464</v>
      </c>
    </row>
    <row r="523" spans="1:15" x14ac:dyDescent="0.3">
      <c r="A523">
        <v>241725</v>
      </c>
      <c r="B523">
        <v>105</v>
      </c>
      <c r="C523" t="s">
        <v>557</v>
      </c>
      <c r="D523" t="s">
        <v>2697</v>
      </c>
      <c r="E523" t="s">
        <v>2698</v>
      </c>
      <c r="F523" s="451">
        <v>46196</v>
      </c>
      <c r="G523">
        <v>23974</v>
      </c>
      <c r="H523" t="s">
        <v>4862</v>
      </c>
      <c r="I523" t="s">
        <v>5222</v>
      </c>
      <c r="J523">
        <v>3</v>
      </c>
      <c r="K523" t="s">
        <v>4736</v>
      </c>
      <c r="L523">
        <v>168.48</v>
      </c>
      <c r="M523">
        <v>56.16</v>
      </c>
      <c r="N523" t="s">
        <v>5271</v>
      </c>
      <c r="O523" t="s">
        <v>464</v>
      </c>
    </row>
    <row r="524" spans="1:15" x14ac:dyDescent="0.3">
      <c r="A524">
        <v>241722</v>
      </c>
      <c r="B524">
        <v>105</v>
      </c>
      <c r="C524" t="s">
        <v>557</v>
      </c>
      <c r="D524" t="s">
        <v>2699</v>
      </c>
      <c r="E524" t="s">
        <v>2700</v>
      </c>
      <c r="F524" s="451">
        <v>46182</v>
      </c>
      <c r="G524">
        <v>17721</v>
      </c>
      <c r="H524" t="s">
        <v>4977</v>
      </c>
      <c r="I524" t="s">
        <v>5222</v>
      </c>
      <c r="J524">
        <v>2</v>
      </c>
      <c r="K524" t="s">
        <v>4805</v>
      </c>
      <c r="L524">
        <v>27.8</v>
      </c>
      <c r="M524">
        <v>13.9</v>
      </c>
      <c r="N524" t="s">
        <v>5222</v>
      </c>
      <c r="O524" t="s">
        <v>464</v>
      </c>
    </row>
    <row r="525" spans="1:15" x14ac:dyDescent="0.3">
      <c r="A525">
        <v>241722</v>
      </c>
      <c r="B525">
        <v>105</v>
      </c>
      <c r="C525" t="s">
        <v>557</v>
      </c>
      <c r="D525" t="s">
        <v>2699</v>
      </c>
      <c r="E525" t="s">
        <v>2700</v>
      </c>
      <c r="F525" s="451">
        <v>46182</v>
      </c>
      <c r="G525">
        <v>18116</v>
      </c>
      <c r="H525" t="s">
        <v>5045</v>
      </c>
      <c r="I525" t="s">
        <v>5222</v>
      </c>
      <c r="J525">
        <v>2</v>
      </c>
      <c r="K525" t="s">
        <v>4805</v>
      </c>
      <c r="L525">
        <v>173.2</v>
      </c>
      <c r="M525">
        <v>86.6</v>
      </c>
      <c r="N525" t="s">
        <v>5222</v>
      </c>
      <c r="O525" t="s">
        <v>464</v>
      </c>
    </row>
    <row r="526" spans="1:15" x14ac:dyDescent="0.3">
      <c r="A526">
        <v>241716</v>
      </c>
      <c r="B526">
        <v>105</v>
      </c>
      <c r="C526" t="s">
        <v>557</v>
      </c>
      <c r="D526" t="s">
        <v>1786</v>
      </c>
      <c r="E526" t="s">
        <v>2701</v>
      </c>
      <c r="F526" s="451">
        <v>46181</v>
      </c>
      <c r="G526">
        <v>24217</v>
      </c>
      <c r="H526" t="s">
        <v>4778</v>
      </c>
      <c r="I526" t="s">
        <v>5191</v>
      </c>
      <c r="J526">
        <v>29.5</v>
      </c>
      <c r="K526" t="s">
        <v>4744</v>
      </c>
      <c r="L526">
        <v>1056.98</v>
      </c>
      <c r="M526">
        <v>35.829830999999999</v>
      </c>
      <c r="N526" t="s">
        <v>5272</v>
      </c>
      <c r="O526" t="s">
        <v>464</v>
      </c>
    </row>
    <row r="527" spans="1:15" x14ac:dyDescent="0.3">
      <c r="A527">
        <v>241716</v>
      </c>
      <c r="B527">
        <v>105</v>
      </c>
      <c r="C527" t="s">
        <v>557</v>
      </c>
      <c r="D527" t="s">
        <v>1786</v>
      </c>
      <c r="E527" t="s">
        <v>2701</v>
      </c>
      <c r="F527" s="451">
        <v>46181</v>
      </c>
      <c r="G527">
        <v>24339</v>
      </c>
      <c r="H527" t="s">
        <v>4885</v>
      </c>
      <c r="I527" t="s">
        <v>5191</v>
      </c>
      <c r="J527">
        <v>2.5</v>
      </c>
      <c r="K527" t="s">
        <v>4744</v>
      </c>
      <c r="L527">
        <v>61.25</v>
      </c>
      <c r="M527">
        <v>24.5</v>
      </c>
      <c r="N527" t="s">
        <v>5272</v>
      </c>
      <c r="O527" t="s">
        <v>464</v>
      </c>
    </row>
    <row r="528" spans="1:15" x14ac:dyDescent="0.3">
      <c r="A528">
        <v>241716</v>
      </c>
      <c r="B528">
        <v>105</v>
      </c>
      <c r="C528" t="s">
        <v>557</v>
      </c>
      <c r="D528" t="s">
        <v>1786</v>
      </c>
      <c r="E528" t="s">
        <v>2701</v>
      </c>
      <c r="F528" s="451">
        <v>46181</v>
      </c>
      <c r="G528">
        <v>20501</v>
      </c>
      <c r="H528" t="s">
        <v>4760</v>
      </c>
      <c r="I528" t="s">
        <v>5191</v>
      </c>
      <c r="J528">
        <v>3.5</v>
      </c>
      <c r="K528" t="s">
        <v>4744</v>
      </c>
      <c r="L528">
        <v>106.08</v>
      </c>
      <c r="M528">
        <v>30.308571000000001</v>
      </c>
      <c r="N528" t="s">
        <v>5272</v>
      </c>
      <c r="O528" t="s">
        <v>464</v>
      </c>
    </row>
    <row r="529" spans="1:15" x14ac:dyDescent="0.3">
      <c r="A529">
        <v>241705</v>
      </c>
      <c r="B529">
        <v>105</v>
      </c>
      <c r="C529" t="s">
        <v>557</v>
      </c>
      <c r="D529" t="s">
        <v>2605</v>
      </c>
      <c r="E529" t="s">
        <v>2702</v>
      </c>
      <c r="F529" s="451">
        <v>46181</v>
      </c>
      <c r="G529">
        <v>20122</v>
      </c>
      <c r="H529" t="s">
        <v>4781</v>
      </c>
      <c r="I529" t="s">
        <v>5191</v>
      </c>
      <c r="J529">
        <v>5</v>
      </c>
      <c r="K529" t="s">
        <v>4738</v>
      </c>
      <c r="L529">
        <v>71.900000000000006</v>
      </c>
      <c r="M529">
        <v>14.38</v>
      </c>
      <c r="N529" t="s">
        <v>5272</v>
      </c>
      <c r="O529" t="s">
        <v>464</v>
      </c>
    </row>
    <row r="530" spans="1:15" x14ac:dyDescent="0.3">
      <c r="A530">
        <v>241705</v>
      </c>
      <c r="B530">
        <v>105</v>
      </c>
      <c r="C530" t="s">
        <v>557</v>
      </c>
      <c r="D530" t="s">
        <v>2605</v>
      </c>
      <c r="E530" t="s">
        <v>2702</v>
      </c>
      <c r="F530" s="451">
        <v>46181</v>
      </c>
      <c r="G530">
        <v>19291</v>
      </c>
      <c r="H530" t="s">
        <v>4870</v>
      </c>
      <c r="I530" t="s">
        <v>5191</v>
      </c>
      <c r="J530">
        <v>7.56</v>
      </c>
      <c r="K530" t="s">
        <v>5238</v>
      </c>
      <c r="L530">
        <v>566.16999999999996</v>
      </c>
      <c r="M530">
        <v>74.890212000000005</v>
      </c>
      <c r="N530" t="s">
        <v>5272</v>
      </c>
      <c r="O530" t="s">
        <v>464</v>
      </c>
    </row>
    <row r="531" spans="1:15" x14ac:dyDescent="0.3">
      <c r="A531">
        <v>241705</v>
      </c>
      <c r="B531">
        <v>105</v>
      </c>
      <c r="C531" t="s">
        <v>557</v>
      </c>
      <c r="D531" t="s">
        <v>2605</v>
      </c>
      <c r="E531" t="s">
        <v>2702</v>
      </c>
      <c r="F531" s="451">
        <v>46181</v>
      </c>
      <c r="G531">
        <v>20887</v>
      </c>
      <c r="H531" t="s">
        <v>4953</v>
      </c>
      <c r="I531" t="s">
        <v>5191</v>
      </c>
      <c r="J531">
        <v>1</v>
      </c>
      <c r="K531" t="s">
        <v>4879</v>
      </c>
      <c r="L531">
        <v>36.9</v>
      </c>
      <c r="M531">
        <v>36.9</v>
      </c>
      <c r="N531" t="s">
        <v>5272</v>
      </c>
      <c r="O531" t="s">
        <v>464</v>
      </c>
    </row>
    <row r="532" spans="1:15" x14ac:dyDescent="0.3">
      <c r="A532">
        <v>241705</v>
      </c>
      <c r="B532">
        <v>105</v>
      </c>
      <c r="C532" t="s">
        <v>557</v>
      </c>
      <c r="D532" t="s">
        <v>2605</v>
      </c>
      <c r="E532" t="s">
        <v>2702</v>
      </c>
      <c r="F532" s="451">
        <v>46181</v>
      </c>
      <c r="G532">
        <v>21047</v>
      </c>
      <c r="H532" t="s">
        <v>4847</v>
      </c>
      <c r="I532" t="s">
        <v>5191</v>
      </c>
      <c r="J532">
        <v>1</v>
      </c>
      <c r="K532" t="s">
        <v>4848</v>
      </c>
      <c r="L532">
        <v>122.8</v>
      </c>
      <c r="M532">
        <v>122.8</v>
      </c>
      <c r="N532" t="s">
        <v>5272</v>
      </c>
      <c r="O532" t="s">
        <v>464</v>
      </c>
    </row>
    <row r="533" spans="1:15" x14ac:dyDescent="0.3">
      <c r="A533">
        <v>241705</v>
      </c>
      <c r="B533">
        <v>105</v>
      </c>
      <c r="C533" t="s">
        <v>557</v>
      </c>
      <c r="D533" t="s">
        <v>2605</v>
      </c>
      <c r="E533" t="s">
        <v>2702</v>
      </c>
      <c r="F533" s="451">
        <v>46181</v>
      </c>
      <c r="G533">
        <v>19346</v>
      </c>
      <c r="H533" t="s">
        <v>4835</v>
      </c>
      <c r="I533" t="s">
        <v>5191</v>
      </c>
      <c r="J533">
        <v>3</v>
      </c>
      <c r="K533" t="s">
        <v>4744</v>
      </c>
      <c r="L533">
        <v>180</v>
      </c>
      <c r="M533">
        <v>60</v>
      </c>
      <c r="N533" t="s">
        <v>5272</v>
      </c>
      <c r="O533" t="s">
        <v>464</v>
      </c>
    </row>
    <row r="534" spans="1:15" x14ac:dyDescent="0.3">
      <c r="A534">
        <v>241698</v>
      </c>
      <c r="B534">
        <v>105</v>
      </c>
      <c r="C534" t="s">
        <v>557</v>
      </c>
      <c r="D534" t="s">
        <v>2571</v>
      </c>
      <c r="E534" t="s">
        <v>2703</v>
      </c>
      <c r="F534" s="451">
        <v>46192</v>
      </c>
      <c r="G534">
        <v>23502</v>
      </c>
      <c r="H534" t="s">
        <v>4930</v>
      </c>
      <c r="I534" t="s">
        <v>5191</v>
      </c>
      <c r="J534">
        <v>1</v>
      </c>
      <c r="K534" t="s">
        <v>4744</v>
      </c>
      <c r="L534">
        <v>14.9</v>
      </c>
      <c r="M534">
        <v>14.9</v>
      </c>
      <c r="N534" t="s">
        <v>5272</v>
      </c>
      <c r="O534" t="s">
        <v>464</v>
      </c>
    </row>
    <row r="535" spans="1:15" x14ac:dyDescent="0.3">
      <c r="A535">
        <v>241698</v>
      </c>
      <c r="B535">
        <v>105</v>
      </c>
      <c r="C535" t="s">
        <v>557</v>
      </c>
      <c r="D535" t="s">
        <v>2571</v>
      </c>
      <c r="E535" t="s">
        <v>2703</v>
      </c>
      <c r="F535" s="451">
        <v>46192</v>
      </c>
      <c r="G535">
        <v>20358</v>
      </c>
      <c r="H535" t="s">
        <v>4911</v>
      </c>
      <c r="I535" t="s">
        <v>5191</v>
      </c>
      <c r="J535">
        <v>2</v>
      </c>
      <c r="K535" t="s">
        <v>4738</v>
      </c>
      <c r="L535">
        <v>28.5</v>
      </c>
      <c r="M535">
        <v>14.25</v>
      </c>
      <c r="N535" t="s">
        <v>5272</v>
      </c>
      <c r="O535" t="s">
        <v>464</v>
      </c>
    </row>
    <row r="536" spans="1:15" x14ac:dyDescent="0.3">
      <c r="A536">
        <v>241698</v>
      </c>
      <c r="B536">
        <v>105</v>
      </c>
      <c r="C536" t="s">
        <v>557</v>
      </c>
      <c r="D536" t="s">
        <v>2571</v>
      </c>
      <c r="E536" t="s">
        <v>2703</v>
      </c>
      <c r="F536" s="451">
        <v>46192</v>
      </c>
      <c r="G536">
        <v>21021</v>
      </c>
      <c r="H536" t="s">
        <v>4883</v>
      </c>
      <c r="I536" t="s">
        <v>5191</v>
      </c>
      <c r="J536">
        <v>3</v>
      </c>
      <c r="K536" t="s">
        <v>4736</v>
      </c>
      <c r="L536">
        <v>563.28</v>
      </c>
      <c r="M536">
        <v>187.76</v>
      </c>
      <c r="N536" t="s">
        <v>5272</v>
      </c>
      <c r="O536" t="s">
        <v>464</v>
      </c>
    </row>
    <row r="537" spans="1:15" x14ac:dyDescent="0.3">
      <c r="A537">
        <v>241698</v>
      </c>
      <c r="B537">
        <v>105</v>
      </c>
      <c r="C537" t="s">
        <v>557</v>
      </c>
      <c r="D537" t="s">
        <v>2571</v>
      </c>
      <c r="E537" t="s">
        <v>2703</v>
      </c>
      <c r="F537" s="451">
        <v>46192</v>
      </c>
      <c r="G537">
        <v>19967</v>
      </c>
      <c r="H537" t="s">
        <v>4956</v>
      </c>
      <c r="I537" t="s">
        <v>5191</v>
      </c>
      <c r="J537">
        <v>2</v>
      </c>
      <c r="K537" t="s">
        <v>4736</v>
      </c>
      <c r="L537">
        <v>98.56</v>
      </c>
      <c r="M537">
        <v>49.28</v>
      </c>
      <c r="N537" t="s">
        <v>5272</v>
      </c>
      <c r="O537" t="s">
        <v>464</v>
      </c>
    </row>
    <row r="538" spans="1:15" x14ac:dyDescent="0.3">
      <c r="A538">
        <v>241698</v>
      </c>
      <c r="B538">
        <v>105</v>
      </c>
      <c r="C538" t="s">
        <v>557</v>
      </c>
      <c r="D538" t="s">
        <v>2571</v>
      </c>
      <c r="E538" t="s">
        <v>2703</v>
      </c>
      <c r="F538" s="451">
        <v>46192</v>
      </c>
      <c r="G538">
        <v>20809</v>
      </c>
      <c r="H538" t="s">
        <v>4822</v>
      </c>
      <c r="I538" t="s">
        <v>5191</v>
      </c>
      <c r="J538">
        <v>8</v>
      </c>
      <c r="K538" t="s">
        <v>4736</v>
      </c>
      <c r="L538">
        <v>239.2</v>
      </c>
      <c r="M538">
        <v>29.9</v>
      </c>
      <c r="N538" t="s">
        <v>5272</v>
      </c>
      <c r="O538" t="s">
        <v>464</v>
      </c>
    </row>
    <row r="539" spans="1:15" x14ac:dyDescent="0.3">
      <c r="A539">
        <v>241698</v>
      </c>
      <c r="B539">
        <v>105</v>
      </c>
      <c r="C539" t="s">
        <v>557</v>
      </c>
      <c r="D539" t="s">
        <v>2571</v>
      </c>
      <c r="E539" t="s">
        <v>2703</v>
      </c>
      <c r="F539" s="451">
        <v>46192</v>
      </c>
      <c r="G539">
        <v>20672</v>
      </c>
      <c r="H539" t="s">
        <v>4857</v>
      </c>
      <c r="I539" t="s">
        <v>5191</v>
      </c>
      <c r="J539">
        <v>1</v>
      </c>
      <c r="K539" t="s">
        <v>4738</v>
      </c>
      <c r="L539">
        <v>29.55</v>
      </c>
      <c r="M539">
        <v>29.55</v>
      </c>
      <c r="N539" t="s">
        <v>5272</v>
      </c>
      <c r="O539" t="s">
        <v>464</v>
      </c>
    </row>
    <row r="540" spans="1:15" x14ac:dyDescent="0.3">
      <c r="A540">
        <v>241698</v>
      </c>
      <c r="B540">
        <v>105</v>
      </c>
      <c r="C540" t="s">
        <v>557</v>
      </c>
      <c r="D540" t="s">
        <v>2571</v>
      </c>
      <c r="E540" t="s">
        <v>2703</v>
      </c>
      <c r="F540" s="451">
        <v>46192</v>
      </c>
      <c r="G540">
        <v>21093</v>
      </c>
      <c r="H540" t="s">
        <v>4855</v>
      </c>
      <c r="I540" t="s">
        <v>5191</v>
      </c>
      <c r="J540">
        <v>20</v>
      </c>
      <c r="K540" t="s">
        <v>4736</v>
      </c>
      <c r="L540">
        <v>87.8</v>
      </c>
      <c r="M540">
        <v>4.3899999999999997</v>
      </c>
      <c r="N540" t="s">
        <v>5272</v>
      </c>
      <c r="O540" t="s">
        <v>464</v>
      </c>
    </row>
    <row r="541" spans="1:15" x14ac:dyDescent="0.3">
      <c r="A541">
        <v>241698</v>
      </c>
      <c r="B541">
        <v>105</v>
      </c>
      <c r="C541" t="s">
        <v>557</v>
      </c>
      <c r="D541" t="s">
        <v>2571</v>
      </c>
      <c r="E541" t="s">
        <v>2703</v>
      </c>
      <c r="F541" s="451">
        <v>46192</v>
      </c>
      <c r="G541">
        <v>20653</v>
      </c>
      <c r="H541" t="s">
        <v>5013</v>
      </c>
      <c r="I541" t="s">
        <v>5191</v>
      </c>
      <c r="J541">
        <v>1</v>
      </c>
      <c r="K541" t="s">
        <v>4736</v>
      </c>
      <c r="L541">
        <v>25.96</v>
      </c>
      <c r="M541">
        <v>25.96</v>
      </c>
      <c r="N541" t="s">
        <v>5272</v>
      </c>
      <c r="O541" t="s">
        <v>464</v>
      </c>
    </row>
    <row r="542" spans="1:15" x14ac:dyDescent="0.3">
      <c r="A542">
        <v>241698</v>
      </c>
      <c r="B542">
        <v>105</v>
      </c>
      <c r="C542" t="s">
        <v>557</v>
      </c>
      <c r="D542" t="s">
        <v>2571</v>
      </c>
      <c r="E542" t="s">
        <v>2703</v>
      </c>
      <c r="F542" s="451">
        <v>46192</v>
      </c>
      <c r="G542">
        <v>19982</v>
      </c>
      <c r="H542" t="s">
        <v>5017</v>
      </c>
      <c r="I542" t="s">
        <v>5191</v>
      </c>
      <c r="J542">
        <v>1</v>
      </c>
      <c r="K542" t="s">
        <v>4888</v>
      </c>
      <c r="L542">
        <v>7.29</v>
      </c>
      <c r="M542">
        <v>7.29</v>
      </c>
      <c r="N542" t="s">
        <v>5272</v>
      </c>
      <c r="O542" t="s">
        <v>464</v>
      </c>
    </row>
    <row r="543" spans="1:15" x14ac:dyDescent="0.3">
      <c r="A543">
        <v>241695</v>
      </c>
      <c r="B543">
        <v>105</v>
      </c>
      <c r="C543" t="s">
        <v>557</v>
      </c>
      <c r="D543" t="s">
        <v>2571</v>
      </c>
      <c r="E543" t="s">
        <v>2704</v>
      </c>
      <c r="F543" s="451">
        <v>46189</v>
      </c>
      <c r="G543">
        <v>20661</v>
      </c>
      <c r="H543" t="s">
        <v>5012</v>
      </c>
      <c r="I543" t="s">
        <v>5191</v>
      </c>
      <c r="J543">
        <v>6</v>
      </c>
      <c r="K543" t="s">
        <v>4736</v>
      </c>
      <c r="L543">
        <v>51.54</v>
      </c>
      <c r="M543">
        <v>8.59</v>
      </c>
      <c r="N543" t="s">
        <v>5191</v>
      </c>
      <c r="O543" t="s">
        <v>464</v>
      </c>
    </row>
    <row r="544" spans="1:15" x14ac:dyDescent="0.3">
      <c r="A544">
        <v>241695</v>
      </c>
      <c r="B544">
        <v>105</v>
      </c>
      <c r="C544" t="s">
        <v>557</v>
      </c>
      <c r="D544" t="s">
        <v>2571</v>
      </c>
      <c r="E544" t="s">
        <v>2704</v>
      </c>
      <c r="F544" s="451">
        <v>46189</v>
      </c>
      <c r="G544">
        <v>20242</v>
      </c>
      <c r="H544" t="s">
        <v>4824</v>
      </c>
      <c r="I544" t="s">
        <v>5191</v>
      </c>
      <c r="J544">
        <v>10</v>
      </c>
      <c r="K544" t="s">
        <v>4738</v>
      </c>
      <c r="L544">
        <v>206.8</v>
      </c>
      <c r="M544">
        <v>20.68</v>
      </c>
      <c r="N544" t="s">
        <v>5191</v>
      </c>
      <c r="O544" t="s">
        <v>464</v>
      </c>
    </row>
    <row r="545" spans="1:15" x14ac:dyDescent="0.3">
      <c r="A545">
        <v>241695</v>
      </c>
      <c r="B545">
        <v>105</v>
      </c>
      <c r="C545" t="s">
        <v>557</v>
      </c>
      <c r="D545" t="s">
        <v>2571</v>
      </c>
      <c r="E545" t="s">
        <v>2704</v>
      </c>
      <c r="F545" s="451">
        <v>46189</v>
      </c>
      <c r="G545">
        <v>25022</v>
      </c>
      <c r="H545" t="s">
        <v>4912</v>
      </c>
      <c r="I545" t="s">
        <v>5191</v>
      </c>
      <c r="J545">
        <v>3</v>
      </c>
      <c r="K545" t="s">
        <v>4738</v>
      </c>
      <c r="L545">
        <v>12.6</v>
      </c>
      <c r="M545">
        <v>4.2</v>
      </c>
      <c r="N545" t="s">
        <v>5191</v>
      </c>
      <c r="O545" t="s">
        <v>464</v>
      </c>
    </row>
    <row r="546" spans="1:15" x14ac:dyDescent="0.3">
      <c r="A546">
        <v>241695</v>
      </c>
      <c r="B546">
        <v>105</v>
      </c>
      <c r="C546" t="s">
        <v>557</v>
      </c>
      <c r="D546" t="s">
        <v>2571</v>
      </c>
      <c r="E546" t="s">
        <v>2704</v>
      </c>
      <c r="F546" s="451">
        <v>46189</v>
      </c>
      <c r="G546">
        <v>23884</v>
      </c>
      <c r="H546" t="s">
        <v>5070</v>
      </c>
      <c r="I546" t="s">
        <v>5191</v>
      </c>
      <c r="J546">
        <v>2</v>
      </c>
      <c r="K546" t="s">
        <v>4736</v>
      </c>
      <c r="L546">
        <v>18.2</v>
      </c>
      <c r="M546">
        <v>9.1</v>
      </c>
      <c r="N546" t="s">
        <v>5191</v>
      </c>
      <c r="O546" t="s">
        <v>464</v>
      </c>
    </row>
    <row r="547" spans="1:15" x14ac:dyDescent="0.3">
      <c r="A547">
        <v>241695</v>
      </c>
      <c r="B547">
        <v>105</v>
      </c>
      <c r="C547" t="s">
        <v>557</v>
      </c>
      <c r="D547" t="s">
        <v>2571</v>
      </c>
      <c r="E547" t="s">
        <v>2704</v>
      </c>
      <c r="F547" s="451">
        <v>46189</v>
      </c>
      <c r="G547">
        <v>20231</v>
      </c>
      <c r="H547" t="s">
        <v>5273</v>
      </c>
      <c r="I547" t="s">
        <v>5191</v>
      </c>
      <c r="J547">
        <v>2</v>
      </c>
      <c r="K547" t="s">
        <v>4738</v>
      </c>
      <c r="L547">
        <v>33.92</v>
      </c>
      <c r="M547">
        <v>16.96</v>
      </c>
      <c r="N547" t="s">
        <v>5191</v>
      </c>
      <c r="O547" t="s">
        <v>464</v>
      </c>
    </row>
    <row r="548" spans="1:15" x14ac:dyDescent="0.3">
      <c r="A548">
        <v>241695</v>
      </c>
      <c r="B548">
        <v>105</v>
      </c>
      <c r="C548" t="s">
        <v>557</v>
      </c>
      <c r="D548" t="s">
        <v>2571</v>
      </c>
      <c r="E548" t="s">
        <v>2704</v>
      </c>
      <c r="F548" s="451">
        <v>46189</v>
      </c>
      <c r="G548">
        <v>25237</v>
      </c>
      <c r="H548" t="s">
        <v>5143</v>
      </c>
      <c r="I548" t="s">
        <v>5191</v>
      </c>
      <c r="J548">
        <v>10</v>
      </c>
      <c r="K548" t="s">
        <v>4738</v>
      </c>
      <c r="L548">
        <v>52.9</v>
      </c>
      <c r="M548">
        <v>5.29</v>
      </c>
      <c r="N548" t="s">
        <v>5191</v>
      </c>
      <c r="O548" t="s">
        <v>464</v>
      </c>
    </row>
    <row r="549" spans="1:15" x14ac:dyDescent="0.3">
      <c r="A549">
        <v>241695</v>
      </c>
      <c r="B549">
        <v>105</v>
      </c>
      <c r="C549" t="s">
        <v>557</v>
      </c>
      <c r="D549" t="s">
        <v>2571</v>
      </c>
      <c r="E549" t="s">
        <v>2704</v>
      </c>
      <c r="F549" s="451">
        <v>46189</v>
      </c>
      <c r="G549">
        <v>21257</v>
      </c>
      <c r="H549" t="s">
        <v>4952</v>
      </c>
      <c r="I549" t="s">
        <v>5191</v>
      </c>
      <c r="J549">
        <v>2</v>
      </c>
      <c r="K549" t="s">
        <v>4736</v>
      </c>
      <c r="L549">
        <v>37.880000000000003</v>
      </c>
      <c r="M549">
        <v>18.940000000000001</v>
      </c>
      <c r="N549" t="s">
        <v>5191</v>
      </c>
      <c r="O549" t="s">
        <v>464</v>
      </c>
    </row>
    <row r="550" spans="1:15" x14ac:dyDescent="0.3">
      <c r="A550">
        <v>241695</v>
      </c>
      <c r="B550">
        <v>105</v>
      </c>
      <c r="C550" t="s">
        <v>557</v>
      </c>
      <c r="D550" t="s">
        <v>2571</v>
      </c>
      <c r="E550" t="s">
        <v>2704</v>
      </c>
      <c r="F550" s="451">
        <v>46189</v>
      </c>
      <c r="G550">
        <v>27397</v>
      </c>
      <c r="H550" t="s">
        <v>4913</v>
      </c>
      <c r="I550" t="s">
        <v>5191</v>
      </c>
      <c r="J550">
        <v>4</v>
      </c>
      <c r="K550" t="s">
        <v>4736</v>
      </c>
      <c r="L550">
        <v>239.56</v>
      </c>
      <c r="M550">
        <v>59.89</v>
      </c>
      <c r="N550" t="s">
        <v>5191</v>
      </c>
      <c r="O550" t="s">
        <v>464</v>
      </c>
    </row>
    <row r="551" spans="1:15" x14ac:dyDescent="0.3">
      <c r="A551">
        <v>241695</v>
      </c>
      <c r="B551">
        <v>105</v>
      </c>
      <c r="C551" t="s">
        <v>557</v>
      </c>
      <c r="D551" t="s">
        <v>2571</v>
      </c>
      <c r="E551" t="s">
        <v>2704</v>
      </c>
      <c r="F551" s="451">
        <v>46189</v>
      </c>
      <c r="G551">
        <v>20138</v>
      </c>
      <c r="H551" t="s">
        <v>4886</v>
      </c>
      <c r="I551" t="s">
        <v>5191</v>
      </c>
      <c r="J551">
        <v>3</v>
      </c>
      <c r="K551" t="s">
        <v>4738</v>
      </c>
      <c r="L551">
        <v>15.3</v>
      </c>
      <c r="M551">
        <v>5.0999999999999996</v>
      </c>
      <c r="N551" t="s">
        <v>5191</v>
      </c>
      <c r="O551" t="s">
        <v>464</v>
      </c>
    </row>
    <row r="552" spans="1:15" x14ac:dyDescent="0.3">
      <c r="A552">
        <v>241695</v>
      </c>
      <c r="B552">
        <v>105</v>
      </c>
      <c r="C552" t="s">
        <v>557</v>
      </c>
      <c r="D552" t="s">
        <v>2571</v>
      </c>
      <c r="E552" t="s">
        <v>2704</v>
      </c>
      <c r="F552" s="451">
        <v>46189</v>
      </c>
      <c r="G552">
        <v>26020</v>
      </c>
      <c r="H552" t="s">
        <v>5102</v>
      </c>
      <c r="I552" t="s">
        <v>5191</v>
      </c>
      <c r="J552">
        <v>3</v>
      </c>
      <c r="K552" t="s">
        <v>4736</v>
      </c>
      <c r="L552">
        <v>39.33</v>
      </c>
      <c r="M552">
        <v>13.11</v>
      </c>
      <c r="N552" t="s">
        <v>5191</v>
      </c>
      <c r="O552" t="s">
        <v>464</v>
      </c>
    </row>
    <row r="553" spans="1:15" x14ac:dyDescent="0.3">
      <c r="A553">
        <v>241693</v>
      </c>
      <c r="B553">
        <v>105</v>
      </c>
      <c r="C553" t="s">
        <v>557</v>
      </c>
      <c r="D553" t="s">
        <v>2705</v>
      </c>
      <c r="E553" t="s">
        <v>2706</v>
      </c>
      <c r="F553" s="451">
        <v>46196</v>
      </c>
      <c r="G553">
        <v>24658</v>
      </c>
      <c r="H553" t="s">
        <v>5274</v>
      </c>
      <c r="I553" t="s">
        <v>5232</v>
      </c>
      <c r="J553">
        <v>25</v>
      </c>
      <c r="K553" t="s">
        <v>4738</v>
      </c>
      <c r="L553">
        <v>865</v>
      </c>
      <c r="M553">
        <v>34.6</v>
      </c>
      <c r="N553" t="s">
        <v>5275</v>
      </c>
      <c r="O553" t="s">
        <v>464</v>
      </c>
    </row>
    <row r="554" spans="1:15" x14ac:dyDescent="0.3">
      <c r="A554">
        <v>241689</v>
      </c>
      <c r="B554">
        <v>105</v>
      </c>
      <c r="C554" t="s">
        <v>557</v>
      </c>
      <c r="D554" t="s">
        <v>2707</v>
      </c>
      <c r="E554" t="s">
        <v>2708</v>
      </c>
      <c r="F554" s="451">
        <v>46195</v>
      </c>
      <c r="G554">
        <v>24081</v>
      </c>
      <c r="H554" t="s">
        <v>4834</v>
      </c>
      <c r="I554" t="s">
        <v>5191</v>
      </c>
      <c r="J554">
        <v>15.8</v>
      </c>
      <c r="K554" t="s">
        <v>4744</v>
      </c>
      <c r="L554">
        <v>376.04</v>
      </c>
      <c r="M554">
        <v>23.8</v>
      </c>
      <c r="N554" t="s">
        <v>5272</v>
      </c>
      <c r="O554" t="s">
        <v>464</v>
      </c>
    </row>
    <row r="555" spans="1:15" x14ac:dyDescent="0.3">
      <c r="A555">
        <v>241686</v>
      </c>
      <c r="B555">
        <v>105</v>
      </c>
      <c r="C555" t="s">
        <v>557</v>
      </c>
      <c r="D555" t="s">
        <v>2615</v>
      </c>
      <c r="E555" t="s">
        <v>2709</v>
      </c>
      <c r="F555" s="451">
        <v>46191</v>
      </c>
      <c r="G555">
        <v>20623</v>
      </c>
      <c r="H555" t="s">
        <v>4814</v>
      </c>
      <c r="I555" t="s">
        <v>5191</v>
      </c>
      <c r="J555">
        <v>10</v>
      </c>
      <c r="K555" t="s">
        <v>4736</v>
      </c>
      <c r="L555">
        <v>123.9</v>
      </c>
      <c r="M555">
        <v>12.39</v>
      </c>
      <c r="N555" t="s">
        <v>5272</v>
      </c>
      <c r="O555" t="s">
        <v>464</v>
      </c>
    </row>
    <row r="556" spans="1:15" x14ac:dyDescent="0.3">
      <c r="A556">
        <v>240892</v>
      </c>
      <c r="B556">
        <v>105</v>
      </c>
      <c r="C556" t="s">
        <v>557</v>
      </c>
      <c r="D556" t="s">
        <v>2710</v>
      </c>
      <c r="E556" t="s">
        <v>2711</v>
      </c>
      <c r="F556" s="451">
        <v>46174</v>
      </c>
      <c r="G556">
        <v>25050</v>
      </c>
      <c r="H556" t="s">
        <v>5110</v>
      </c>
      <c r="I556" t="s">
        <v>5191</v>
      </c>
      <c r="J556">
        <v>2</v>
      </c>
      <c r="K556" t="s">
        <v>4744</v>
      </c>
      <c r="L556">
        <v>163.80000000000001</v>
      </c>
      <c r="M556">
        <v>81.900000000000006</v>
      </c>
      <c r="N556" t="s">
        <v>5276</v>
      </c>
      <c r="O556" t="s">
        <v>464</v>
      </c>
    </row>
    <row r="557" spans="1:15" x14ac:dyDescent="0.3">
      <c r="A557">
        <v>240736</v>
      </c>
      <c r="B557">
        <v>105</v>
      </c>
      <c r="C557" t="s">
        <v>557</v>
      </c>
      <c r="D557" t="s">
        <v>2571</v>
      </c>
      <c r="E557" t="s">
        <v>2712</v>
      </c>
      <c r="F557" s="451">
        <v>46184</v>
      </c>
      <c r="G557">
        <v>23884</v>
      </c>
      <c r="H557" t="s">
        <v>5070</v>
      </c>
      <c r="I557" t="s">
        <v>5191</v>
      </c>
      <c r="J557">
        <v>2</v>
      </c>
      <c r="K557" t="s">
        <v>4736</v>
      </c>
      <c r="L557">
        <v>17.8</v>
      </c>
      <c r="M557">
        <v>8.9</v>
      </c>
      <c r="N557" t="s">
        <v>5272</v>
      </c>
      <c r="O557" t="s">
        <v>464</v>
      </c>
    </row>
    <row r="558" spans="1:15" x14ac:dyDescent="0.3">
      <c r="A558">
        <v>240736</v>
      </c>
      <c r="B558">
        <v>105</v>
      </c>
      <c r="C558" t="s">
        <v>557</v>
      </c>
      <c r="D558" t="s">
        <v>2571</v>
      </c>
      <c r="E558" t="s">
        <v>2712</v>
      </c>
      <c r="F558" s="451">
        <v>46184</v>
      </c>
      <c r="G558">
        <v>20242</v>
      </c>
      <c r="H558" t="s">
        <v>4824</v>
      </c>
      <c r="I558" t="s">
        <v>5191</v>
      </c>
      <c r="J558">
        <v>10</v>
      </c>
      <c r="K558" t="s">
        <v>4738</v>
      </c>
      <c r="L558">
        <v>188.9</v>
      </c>
      <c r="M558">
        <v>18.89</v>
      </c>
      <c r="N558" t="s">
        <v>5272</v>
      </c>
      <c r="O558" t="s">
        <v>464</v>
      </c>
    </row>
    <row r="559" spans="1:15" x14ac:dyDescent="0.3">
      <c r="A559">
        <v>240736</v>
      </c>
      <c r="B559">
        <v>105</v>
      </c>
      <c r="C559" t="s">
        <v>557</v>
      </c>
      <c r="D559" t="s">
        <v>2571</v>
      </c>
      <c r="E559" t="s">
        <v>2712</v>
      </c>
      <c r="F559" s="451">
        <v>46184</v>
      </c>
      <c r="G559">
        <v>20138</v>
      </c>
      <c r="H559" t="s">
        <v>4886</v>
      </c>
      <c r="I559" t="s">
        <v>5191</v>
      </c>
      <c r="J559">
        <v>3</v>
      </c>
      <c r="K559" t="s">
        <v>4738</v>
      </c>
      <c r="L559">
        <v>15.3</v>
      </c>
      <c r="M559">
        <v>5.0999999999999996</v>
      </c>
      <c r="N559" t="s">
        <v>5272</v>
      </c>
      <c r="O559" t="s">
        <v>464</v>
      </c>
    </row>
    <row r="560" spans="1:15" x14ac:dyDescent="0.3">
      <c r="A560">
        <v>240736</v>
      </c>
      <c r="B560">
        <v>105</v>
      </c>
      <c r="C560" t="s">
        <v>557</v>
      </c>
      <c r="D560" t="s">
        <v>2571</v>
      </c>
      <c r="E560" t="s">
        <v>2712</v>
      </c>
      <c r="F560" s="451">
        <v>46184</v>
      </c>
      <c r="G560">
        <v>25237</v>
      </c>
      <c r="H560" t="s">
        <v>5143</v>
      </c>
      <c r="I560" t="s">
        <v>5191</v>
      </c>
      <c r="J560">
        <v>10</v>
      </c>
      <c r="K560" t="s">
        <v>4738</v>
      </c>
      <c r="L560">
        <v>52.9</v>
      </c>
      <c r="M560">
        <v>5.29</v>
      </c>
      <c r="N560" t="s">
        <v>5272</v>
      </c>
      <c r="O560" t="s">
        <v>464</v>
      </c>
    </row>
    <row r="561" spans="1:15" x14ac:dyDescent="0.3">
      <c r="A561">
        <v>240736</v>
      </c>
      <c r="B561">
        <v>105</v>
      </c>
      <c r="C561" t="s">
        <v>557</v>
      </c>
      <c r="D561" t="s">
        <v>2571</v>
      </c>
      <c r="E561" t="s">
        <v>2712</v>
      </c>
      <c r="F561" s="451">
        <v>46184</v>
      </c>
      <c r="G561">
        <v>25075</v>
      </c>
      <c r="H561" t="s">
        <v>4790</v>
      </c>
      <c r="I561" t="s">
        <v>5191</v>
      </c>
      <c r="J561">
        <v>6</v>
      </c>
      <c r="K561" t="s">
        <v>5228</v>
      </c>
      <c r="L561">
        <v>35.4</v>
      </c>
      <c r="M561">
        <v>5.9</v>
      </c>
      <c r="N561" t="s">
        <v>5272</v>
      </c>
      <c r="O561" t="s">
        <v>464</v>
      </c>
    </row>
    <row r="562" spans="1:15" x14ac:dyDescent="0.3">
      <c r="A562">
        <v>240736</v>
      </c>
      <c r="B562">
        <v>105</v>
      </c>
      <c r="C562" t="s">
        <v>557</v>
      </c>
      <c r="D562" t="s">
        <v>2571</v>
      </c>
      <c r="E562" t="s">
        <v>2712</v>
      </c>
      <c r="F562" s="451">
        <v>46184</v>
      </c>
      <c r="G562">
        <v>26020</v>
      </c>
      <c r="H562" t="s">
        <v>5102</v>
      </c>
      <c r="I562" t="s">
        <v>5191</v>
      </c>
      <c r="J562">
        <v>2</v>
      </c>
      <c r="K562" t="s">
        <v>4736</v>
      </c>
      <c r="L562">
        <v>27.9</v>
      </c>
      <c r="M562">
        <v>13.95</v>
      </c>
      <c r="N562" t="s">
        <v>5272</v>
      </c>
      <c r="O562" t="s">
        <v>464</v>
      </c>
    </row>
    <row r="563" spans="1:15" x14ac:dyDescent="0.3">
      <c r="A563">
        <v>240736</v>
      </c>
      <c r="B563">
        <v>105</v>
      </c>
      <c r="C563" t="s">
        <v>557</v>
      </c>
      <c r="D563" t="s">
        <v>2571</v>
      </c>
      <c r="E563" t="s">
        <v>2712</v>
      </c>
      <c r="F563" s="451">
        <v>46184</v>
      </c>
      <c r="G563">
        <v>19434</v>
      </c>
      <c r="H563" t="s">
        <v>5078</v>
      </c>
      <c r="I563" t="s">
        <v>5191</v>
      </c>
      <c r="J563">
        <v>1</v>
      </c>
      <c r="K563" t="s">
        <v>5242</v>
      </c>
      <c r="L563">
        <v>23.05</v>
      </c>
      <c r="M563">
        <v>23.05</v>
      </c>
      <c r="N563" t="s">
        <v>5272</v>
      </c>
      <c r="O563" t="s">
        <v>464</v>
      </c>
    </row>
    <row r="564" spans="1:15" x14ac:dyDescent="0.3">
      <c r="A564">
        <v>240736</v>
      </c>
      <c r="B564">
        <v>105</v>
      </c>
      <c r="C564" t="s">
        <v>557</v>
      </c>
      <c r="D564" t="s">
        <v>2571</v>
      </c>
      <c r="E564" t="s">
        <v>2712</v>
      </c>
      <c r="F564" s="451">
        <v>46184</v>
      </c>
      <c r="G564">
        <v>19969</v>
      </c>
      <c r="H564" t="s">
        <v>5018</v>
      </c>
      <c r="I564" t="s">
        <v>5191</v>
      </c>
      <c r="J564">
        <v>1</v>
      </c>
      <c r="K564" t="s">
        <v>4888</v>
      </c>
      <c r="L564">
        <v>10.65</v>
      </c>
      <c r="M564">
        <v>10.65</v>
      </c>
      <c r="N564" t="s">
        <v>5272</v>
      </c>
      <c r="O564" t="s">
        <v>464</v>
      </c>
    </row>
    <row r="565" spans="1:15" x14ac:dyDescent="0.3">
      <c r="A565">
        <v>240733</v>
      </c>
      <c r="B565">
        <v>105</v>
      </c>
      <c r="C565" t="s">
        <v>557</v>
      </c>
      <c r="D565" t="s">
        <v>2573</v>
      </c>
      <c r="E565" t="s">
        <v>2713</v>
      </c>
      <c r="F565" s="451">
        <v>46181</v>
      </c>
      <c r="G565">
        <v>21618</v>
      </c>
      <c r="H565" t="s">
        <v>5239</v>
      </c>
      <c r="I565" t="s">
        <v>5188</v>
      </c>
      <c r="J565">
        <v>10</v>
      </c>
      <c r="K565" t="s">
        <v>5240</v>
      </c>
      <c r="L565">
        <v>257.10000000000002</v>
      </c>
      <c r="M565">
        <v>25.71</v>
      </c>
      <c r="N565" t="s">
        <v>5277</v>
      </c>
      <c r="O565" t="s">
        <v>464</v>
      </c>
    </row>
    <row r="566" spans="1:15" x14ac:dyDescent="0.3">
      <c r="A566">
        <v>240731</v>
      </c>
      <c r="B566">
        <v>105</v>
      </c>
      <c r="C566" t="s">
        <v>557</v>
      </c>
      <c r="D566" t="s">
        <v>2690</v>
      </c>
      <c r="E566" t="s">
        <v>2714</v>
      </c>
      <c r="F566" s="451">
        <v>46185</v>
      </c>
      <c r="G566">
        <v>18129</v>
      </c>
      <c r="H566" t="s">
        <v>5043</v>
      </c>
      <c r="I566" t="s">
        <v>5222</v>
      </c>
      <c r="J566">
        <v>2</v>
      </c>
      <c r="K566" t="s">
        <v>4805</v>
      </c>
      <c r="L566">
        <v>233.8</v>
      </c>
      <c r="M566">
        <v>116.9</v>
      </c>
      <c r="N566" t="s">
        <v>5222</v>
      </c>
      <c r="O566" t="s">
        <v>464</v>
      </c>
    </row>
    <row r="567" spans="1:15" x14ac:dyDescent="0.3">
      <c r="A567">
        <v>240729</v>
      </c>
      <c r="B567">
        <v>105</v>
      </c>
      <c r="C567" t="s">
        <v>557</v>
      </c>
      <c r="D567" t="s">
        <v>2613</v>
      </c>
      <c r="E567" t="s">
        <v>2715</v>
      </c>
      <c r="F567" s="451">
        <v>46188</v>
      </c>
      <c r="G567">
        <v>29210</v>
      </c>
      <c r="H567" t="s">
        <v>5178</v>
      </c>
      <c r="I567" t="s">
        <v>5191</v>
      </c>
      <c r="J567">
        <v>10.35</v>
      </c>
      <c r="K567" t="s">
        <v>4744</v>
      </c>
      <c r="L567">
        <v>403.77</v>
      </c>
      <c r="M567">
        <v>39.011594000000002</v>
      </c>
      <c r="N567" t="s">
        <v>5191</v>
      </c>
      <c r="O567" t="s">
        <v>464</v>
      </c>
    </row>
    <row r="568" spans="1:15" x14ac:dyDescent="0.3">
      <c r="A568">
        <v>240728</v>
      </c>
      <c r="B568">
        <v>105</v>
      </c>
      <c r="C568" t="s">
        <v>557</v>
      </c>
      <c r="D568" t="s">
        <v>2716</v>
      </c>
      <c r="E568" t="s">
        <v>2717</v>
      </c>
      <c r="F568" s="451">
        <v>46188</v>
      </c>
      <c r="G568">
        <v>24351</v>
      </c>
      <c r="H568" t="s">
        <v>5014</v>
      </c>
      <c r="I568" t="s">
        <v>5191</v>
      </c>
      <c r="J568">
        <v>20</v>
      </c>
      <c r="K568" t="s">
        <v>4736</v>
      </c>
      <c r="L568">
        <v>650</v>
      </c>
      <c r="M568">
        <v>32.5</v>
      </c>
      <c r="N568" t="s">
        <v>5272</v>
      </c>
      <c r="O568" t="s">
        <v>464</v>
      </c>
    </row>
    <row r="569" spans="1:15" x14ac:dyDescent="0.3">
      <c r="A569">
        <v>240726</v>
      </c>
      <c r="B569">
        <v>105</v>
      </c>
      <c r="C569" t="s">
        <v>557</v>
      </c>
      <c r="D569" t="s">
        <v>2682</v>
      </c>
      <c r="E569" t="s">
        <v>2718</v>
      </c>
      <c r="F569" s="451">
        <v>46193</v>
      </c>
      <c r="G569">
        <v>19710</v>
      </c>
      <c r="H569" t="s">
        <v>4963</v>
      </c>
      <c r="I569" t="s">
        <v>5191</v>
      </c>
      <c r="J569">
        <v>1</v>
      </c>
      <c r="K569" t="s">
        <v>5228</v>
      </c>
      <c r="L569">
        <v>20.079999999999998</v>
      </c>
      <c r="M569">
        <v>20.079999999999998</v>
      </c>
      <c r="N569" t="s">
        <v>5272</v>
      </c>
      <c r="O569" t="s">
        <v>464</v>
      </c>
    </row>
    <row r="570" spans="1:15" x14ac:dyDescent="0.3">
      <c r="A570">
        <v>240726</v>
      </c>
      <c r="B570">
        <v>105</v>
      </c>
      <c r="C570" t="s">
        <v>557</v>
      </c>
      <c r="D570" t="s">
        <v>2682</v>
      </c>
      <c r="E570" t="s">
        <v>2718</v>
      </c>
      <c r="F570" s="451">
        <v>46193</v>
      </c>
      <c r="G570">
        <v>26020</v>
      </c>
      <c r="H570" t="s">
        <v>5102</v>
      </c>
      <c r="I570" t="s">
        <v>5191</v>
      </c>
      <c r="J570">
        <v>2</v>
      </c>
      <c r="K570" t="s">
        <v>4736</v>
      </c>
      <c r="L570">
        <v>23.8</v>
      </c>
      <c r="M570">
        <v>11.9</v>
      </c>
      <c r="N570" t="s">
        <v>5272</v>
      </c>
      <c r="O570" t="s">
        <v>464</v>
      </c>
    </row>
    <row r="571" spans="1:15" x14ac:dyDescent="0.3">
      <c r="A571">
        <v>240726</v>
      </c>
      <c r="B571">
        <v>105</v>
      </c>
      <c r="C571" t="s">
        <v>557</v>
      </c>
      <c r="D571" t="s">
        <v>2682</v>
      </c>
      <c r="E571" t="s">
        <v>2718</v>
      </c>
      <c r="F571" s="451">
        <v>46193</v>
      </c>
      <c r="G571">
        <v>25807</v>
      </c>
      <c r="H571" t="s">
        <v>4951</v>
      </c>
      <c r="I571" t="s">
        <v>5191</v>
      </c>
      <c r="J571">
        <v>1</v>
      </c>
      <c r="K571" t="s">
        <v>4736</v>
      </c>
      <c r="L571">
        <v>186.38</v>
      </c>
      <c r="M571">
        <v>186.38</v>
      </c>
      <c r="N571" t="s">
        <v>5272</v>
      </c>
      <c r="O571" t="s">
        <v>464</v>
      </c>
    </row>
    <row r="572" spans="1:15" x14ac:dyDescent="0.3">
      <c r="A572">
        <v>240726</v>
      </c>
      <c r="B572">
        <v>105</v>
      </c>
      <c r="C572" t="s">
        <v>557</v>
      </c>
      <c r="D572" t="s">
        <v>2682</v>
      </c>
      <c r="E572" t="s">
        <v>2718</v>
      </c>
      <c r="F572" s="451">
        <v>46193</v>
      </c>
      <c r="G572">
        <v>24040</v>
      </c>
      <c r="H572" t="s">
        <v>5002</v>
      </c>
      <c r="I572" t="s">
        <v>5191</v>
      </c>
      <c r="J572">
        <v>2</v>
      </c>
      <c r="K572" t="s">
        <v>4744</v>
      </c>
      <c r="L572">
        <v>154.08000000000001</v>
      </c>
      <c r="M572">
        <v>77.040000000000006</v>
      </c>
      <c r="N572" t="s">
        <v>5272</v>
      </c>
      <c r="O572" t="s">
        <v>464</v>
      </c>
    </row>
    <row r="573" spans="1:15" x14ac:dyDescent="0.3">
      <c r="A573">
        <v>240726</v>
      </c>
      <c r="B573">
        <v>105</v>
      </c>
      <c r="C573" t="s">
        <v>557</v>
      </c>
      <c r="D573" t="s">
        <v>2682</v>
      </c>
      <c r="E573" t="s">
        <v>2718</v>
      </c>
      <c r="F573" s="451">
        <v>46193</v>
      </c>
      <c r="G573">
        <v>20751</v>
      </c>
      <c r="H573" t="s">
        <v>5004</v>
      </c>
      <c r="I573" t="s">
        <v>5191</v>
      </c>
      <c r="J573">
        <v>1</v>
      </c>
      <c r="K573" t="s">
        <v>4884</v>
      </c>
      <c r="L573">
        <v>95.78</v>
      </c>
      <c r="M573">
        <v>95.78</v>
      </c>
      <c r="N573" t="s">
        <v>5272</v>
      </c>
      <c r="O573" t="s">
        <v>464</v>
      </c>
    </row>
    <row r="574" spans="1:15" x14ac:dyDescent="0.3">
      <c r="A574">
        <v>240726</v>
      </c>
      <c r="B574">
        <v>105</v>
      </c>
      <c r="C574" t="s">
        <v>557</v>
      </c>
      <c r="D574" t="s">
        <v>2682</v>
      </c>
      <c r="E574" t="s">
        <v>2718</v>
      </c>
      <c r="F574" s="451">
        <v>46193</v>
      </c>
      <c r="G574">
        <v>20007</v>
      </c>
      <c r="H574" t="s">
        <v>5101</v>
      </c>
      <c r="I574" t="s">
        <v>5191</v>
      </c>
      <c r="J574">
        <v>4</v>
      </c>
      <c r="K574" t="s">
        <v>4884</v>
      </c>
      <c r="L574">
        <v>198.4</v>
      </c>
      <c r="M574">
        <v>49.6</v>
      </c>
      <c r="N574" t="s">
        <v>5272</v>
      </c>
      <c r="O574" t="s">
        <v>464</v>
      </c>
    </row>
    <row r="575" spans="1:15" x14ac:dyDescent="0.3">
      <c r="A575">
        <v>240726</v>
      </c>
      <c r="B575">
        <v>105</v>
      </c>
      <c r="C575" t="s">
        <v>557</v>
      </c>
      <c r="D575" t="s">
        <v>2682</v>
      </c>
      <c r="E575" t="s">
        <v>2718</v>
      </c>
      <c r="F575" s="451">
        <v>46193</v>
      </c>
      <c r="G575">
        <v>20585</v>
      </c>
      <c r="H575" t="s">
        <v>5025</v>
      </c>
      <c r="I575" t="s">
        <v>5191</v>
      </c>
      <c r="J575">
        <v>1</v>
      </c>
      <c r="K575" t="s">
        <v>4736</v>
      </c>
      <c r="L575">
        <v>28.71</v>
      </c>
      <c r="M575">
        <v>28.71</v>
      </c>
      <c r="N575" t="s">
        <v>5272</v>
      </c>
      <c r="O575" t="s">
        <v>464</v>
      </c>
    </row>
    <row r="576" spans="1:15" x14ac:dyDescent="0.3">
      <c r="A576">
        <v>240725</v>
      </c>
      <c r="B576">
        <v>105</v>
      </c>
      <c r="C576" t="s">
        <v>557</v>
      </c>
      <c r="D576" t="s">
        <v>2610</v>
      </c>
      <c r="E576" t="s">
        <v>2719</v>
      </c>
      <c r="F576" s="451">
        <v>46178</v>
      </c>
      <c r="G576">
        <v>20322</v>
      </c>
      <c r="H576" t="s">
        <v>4882</v>
      </c>
      <c r="I576" t="s">
        <v>5191</v>
      </c>
      <c r="J576">
        <v>2</v>
      </c>
      <c r="K576" t="s">
        <v>5238</v>
      </c>
      <c r="L576">
        <v>16.399999999999999</v>
      </c>
      <c r="M576">
        <v>8.1999999999999993</v>
      </c>
      <c r="N576" t="s">
        <v>5191</v>
      </c>
      <c r="O576" t="s">
        <v>464</v>
      </c>
    </row>
    <row r="577" spans="1:15" x14ac:dyDescent="0.3">
      <c r="A577">
        <v>240725</v>
      </c>
      <c r="B577">
        <v>105</v>
      </c>
      <c r="C577" t="s">
        <v>557</v>
      </c>
      <c r="D577" t="s">
        <v>2610</v>
      </c>
      <c r="E577" t="s">
        <v>2719</v>
      </c>
      <c r="F577" s="451">
        <v>46178</v>
      </c>
      <c r="G577">
        <v>27397</v>
      </c>
      <c r="H577" t="s">
        <v>4913</v>
      </c>
      <c r="I577" t="s">
        <v>5191</v>
      </c>
      <c r="J577">
        <v>5</v>
      </c>
      <c r="K577" t="s">
        <v>4736</v>
      </c>
      <c r="L577">
        <v>299.5</v>
      </c>
      <c r="M577">
        <v>59.9</v>
      </c>
      <c r="N577" t="s">
        <v>5191</v>
      </c>
      <c r="O577" t="s">
        <v>464</v>
      </c>
    </row>
    <row r="578" spans="1:15" x14ac:dyDescent="0.3">
      <c r="A578">
        <v>240724</v>
      </c>
      <c r="B578">
        <v>105</v>
      </c>
      <c r="C578" t="s">
        <v>557</v>
      </c>
      <c r="D578" t="s">
        <v>2565</v>
      </c>
      <c r="E578" t="s">
        <v>2720</v>
      </c>
      <c r="F578" s="451">
        <v>46189</v>
      </c>
      <c r="G578">
        <v>18119</v>
      </c>
      <c r="H578" t="s">
        <v>5044</v>
      </c>
      <c r="I578" t="s">
        <v>5222</v>
      </c>
      <c r="J578">
        <v>1</v>
      </c>
      <c r="K578" t="s">
        <v>4805</v>
      </c>
      <c r="L578">
        <v>166.62</v>
      </c>
      <c r="M578">
        <v>166.62</v>
      </c>
      <c r="N578" t="s">
        <v>5271</v>
      </c>
      <c r="O578" t="s">
        <v>464</v>
      </c>
    </row>
    <row r="579" spans="1:15" x14ac:dyDescent="0.3">
      <c r="A579">
        <v>240722</v>
      </c>
      <c r="B579">
        <v>105</v>
      </c>
      <c r="C579" t="s">
        <v>557</v>
      </c>
      <c r="D579" t="s">
        <v>2710</v>
      </c>
      <c r="E579" t="s">
        <v>2721</v>
      </c>
      <c r="F579" s="451">
        <v>46178</v>
      </c>
      <c r="G579">
        <v>25050</v>
      </c>
      <c r="H579" t="s">
        <v>5110</v>
      </c>
      <c r="I579" t="s">
        <v>5191</v>
      </c>
      <c r="J579">
        <v>2</v>
      </c>
      <c r="K579" t="s">
        <v>4744</v>
      </c>
      <c r="L579">
        <v>163.80000000000001</v>
      </c>
      <c r="M579">
        <v>81.900000000000006</v>
      </c>
      <c r="N579" t="s">
        <v>5272</v>
      </c>
      <c r="O579" t="s">
        <v>464</v>
      </c>
    </row>
    <row r="580" spans="1:15" x14ac:dyDescent="0.3">
      <c r="A580">
        <v>240720</v>
      </c>
      <c r="B580">
        <v>105</v>
      </c>
      <c r="C580" t="s">
        <v>557</v>
      </c>
      <c r="D580" t="s">
        <v>2563</v>
      </c>
      <c r="E580" t="s">
        <v>2722</v>
      </c>
      <c r="F580" s="451">
        <v>46176</v>
      </c>
      <c r="G580">
        <v>19607</v>
      </c>
      <c r="H580" t="s">
        <v>4981</v>
      </c>
      <c r="I580" t="s">
        <v>5191</v>
      </c>
      <c r="J580">
        <v>0.44</v>
      </c>
      <c r="K580" t="s">
        <v>4744</v>
      </c>
      <c r="L580">
        <v>3.94</v>
      </c>
      <c r="M580">
        <v>8.9545449999999995</v>
      </c>
      <c r="N580" t="s">
        <v>5272</v>
      </c>
      <c r="O580" t="s">
        <v>464</v>
      </c>
    </row>
    <row r="581" spans="1:15" x14ac:dyDescent="0.3">
      <c r="A581">
        <v>240720</v>
      </c>
      <c r="B581">
        <v>105</v>
      </c>
      <c r="C581" t="s">
        <v>557</v>
      </c>
      <c r="D581" t="s">
        <v>2563</v>
      </c>
      <c r="E581" t="s">
        <v>2722</v>
      </c>
      <c r="F581" s="451">
        <v>46176</v>
      </c>
      <c r="G581">
        <v>19658</v>
      </c>
      <c r="H581" t="s">
        <v>4784</v>
      </c>
      <c r="I581" t="s">
        <v>5191</v>
      </c>
      <c r="J581">
        <v>7.5</v>
      </c>
      <c r="K581" t="s">
        <v>4744</v>
      </c>
      <c r="L581">
        <v>27.75</v>
      </c>
      <c r="M581">
        <v>3.7</v>
      </c>
      <c r="N581" t="s">
        <v>5272</v>
      </c>
      <c r="O581" t="s">
        <v>464</v>
      </c>
    </row>
    <row r="582" spans="1:15" x14ac:dyDescent="0.3">
      <c r="A582">
        <v>240720</v>
      </c>
      <c r="B582">
        <v>105</v>
      </c>
      <c r="C582" t="s">
        <v>557</v>
      </c>
      <c r="D582" t="s">
        <v>2563</v>
      </c>
      <c r="E582" t="s">
        <v>2722</v>
      </c>
      <c r="F582" s="451">
        <v>46176</v>
      </c>
      <c r="G582">
        <v>19532</v>
      </c>
      <c r="H582" t="s">
        <v>4753</v>
      </c>
      <c r="I582" t="s">
        <v>5191</v>
      </c>
      <c r="J582">
        <v>10.8</v>
      </c>
      <c r="K582" t="s">
        <v>4744</v>
      </c>
      <c r="L582">
        <v>140.94</v>
      </c>
      <c r="M582">
        <v>13.05</v>
      </c>
      <c r="N582" t="s">
        <v>5272</v>
      </c>
      <c r="O582" t="s">
        <v>464</v>
      </c>
    </row>
    <row r="583" spans="1:15" x14ac:dyDescent="0.3">
      <c r="A583">
        <v>240720</v>
      </c>
      <c r="B583">
        <v>105</v>
      </c>
      <c r="C583" t="s">
        <v>557</v>
      </c>
      <c r="D583" t="s">
        <v>2563</v>
      </c>
      <c r="E583" t="s">
        <v>2722</v>
      </c>
      <c r="F583" s="451">
        <v>46176</v>
      </c>
      <c r="G583">
        <v>23346</v>
      </c>
      <c r="H583" t="s">
        <v>4916</v>
      </c>
      <c r="I583" t="s">
        <v>5191</v>
      </c>
      <c r="J583">
        <v>2.4</v>
      </c>
      <c r="K583" t="s">
        <v>4744</v>
      </c>
      <c r="L583">
        <v>16.100000000000001</v>
      </c>
      <c r="M583">
        <v>6.7083329999999997</v>
      </c>
      <c r="N583" t="s">
        <v>5272</v>
      </c>
      <c r="O583" t="s">
        <v>464</v>
      </c>
    </row>
    <row r="584" spans="1:15" x14ac:dyDescent="0.3">
      <c r="A584">
        <v>240720</v>
      </c>
      <c r="B584">
        <v>105</v>
      </c>
      <c r="C584" t="s">
        <v>557</v>
      </c>
      <c r="D584" t="s">
        <v>2563</v>
      </c>
      <c r="E584" t="s">
        <v>2722</v>
      </c>
      <c r="F584" s="451">
        <v>46176</v>
      </c>
      <c r="G584">
        <v>23389</v>
      </c>
      <c r="H584" t="s">
        <v>4960</v>
      </c>
      <c r="I584" t="s">
        <v>5191</v>
      </c>
      <c r="J584">
        <v>3.7</v>
      </c>
      <c r="K584" t="s">
        <v>4744</v>
      </c>
      <c r="L584">
        <v>17.28</v>
      </c>
      <c r="M584">
        <v>4.6702700000000004</v>
      </c>
      <c r="N584" t="s">
        <v>5272</v>
      </c>
      <c r="O584" t="s">
        <v>464</v>
      </c>
    </row>
    <row r="585" spans="1:15" x14ac:dyDescent="0.3">
      <c r="A585">
        <v>240718</v>
      </c>
      <c r="B585">
        <v>105</v>
      </c>
      <c r="C585" t="s">
        <v>557</v>
      </c>
      <c r="D585" t="s">
        <v>2563</v>
      </c>
      <c r="E585" t="s">
        <v>2723</v>
      </c>
      <c r="F585" s="451">
        <v>46177</v>
      </c>
      <c r="G585">
        <v>19572</v>
      </c>
      <c r="H585" t="s">
        <v>4989</v>
      </c>
      <c r="I585" t="s">
        <v>5191</v>
      </c>
      <c r="J585">
        <v>1</v>
      </c>
      <c r="K585" t="s">
        <v>4744</v>
      </c>
      <c r="L585">
        <v>8.6300000000000008</v>
      </c>
      <c r="M585">
        <v>8.6300000000000008</v>
      </c>
      <c r="N585" t="s">
        <v>5272</v>
      </c>
      <c r="O585" t="s">
        <v>464</v>
      </c>
    </row>
    <row r="586" spans="1:15" x14ac:dyDescent="0.3">
      <c r="A586">
        <v>240718</v>
      </c>
      <c r="B586">
        <v>105</v>
      </c>
      <c r="C586" t="s">
        <v>557</v>
      </c>
      <c r="D586" t="s">
        <v>2563</v>
      </c>
      <c r="E586" t="s">
        <v>2723</v>
      </c>
      <c r="F586" s="451">
        <v>46177</v>
      </c>
      <c r="G586">
        <v>19607</v>
      </c>
      <c r="H586" t="s">
        <v>4981</v>
      </c>
      <c r="I586" t="s">
        <v>5191</v>
      </c>
      <c r="J586">
        <v>0.35</v>
      </c>
      <c r="K586" t="s">
        <v>4744</v>
      </c>
      <c r="L586">
        <v>3.15</v>
      </c>
      <c r="M586">
        <v>9</v>
      </c>
      <c r="N586" t="s">
        <v>5272</v>
      </c>
      <c r="O586" t="s">
        <v>464</v>
      </c>
    </row>
    <row r="587" spans="1:15" x14ac:dyDescent="0.3">
      <c r="A587">
        <v>240718</v>
      </c>
      <c r="B587">
        <v>105</v>
      </c>
      <c r="C587" t="s">
        <v>557</v>
      </c>
      <c r="D587" t="s">
        <v>2563</v>
      </c>
      <c r="E587" t="s">
        <v>2723</v>
      </c>
      <c r="F587" s="451">
        <v>46177</v>
      </c>
      <c r="G587">
        <v>24083</v>
      </c>
      <c r="H587" t="s">
        <v>5165</v>
      </c>
      <c r="I587" t="s">
        <v>5191</v>
      </c>
      <c r="J587">
        <v>60</v>
      </c>
      <c r="K587" t="s">
        <v>4744</v>
      </c>
      <c r="L587">
        <v>607.20000000000005</v>
      </c>
      <c r="M587">
        <v>10.119999999999999</v>
      </c>
      <c r="N587" t="s">
        <v>5272</v>
      </c>
      <c r="O587" t="s">
        <v>464</v>
      </c>
    </row>
    <row r="588" spans="1:15" x14ac:dyDescent="0.3">
      <c r="A588">
        <v>240718</v>
      </c>
      <c r="B588">
        <v>105</v>
      </c>
      <c r="C588" t="s">
        <v>557</v>
      </c>
      <c r="D588" t="s">
        <v>2563</v>
      </c>
      <c r="E588" t="s">
        <v>2723</v>
      </c>
      <c r="F588" s="451">
        <v>46177</v>
      </c>
      <c r="G588">
        <v>19472</v>
      </c>
      <c r="H588" t="s">
        <v>4906</v>
      </c>
      <c r="I588" t="s">
        <v>5191</v>
      </c>
      <c r="J588">
        <v>2</v>
      </c>
      <c r="K588" t="s">
        <v>4744</v>
      </c>
      <c r="L588">
        <v>46.4</v>
      </c>
      <c r="M588">
        <v>23.2</v>
      </c>
      <c r="N588" t="s">
        <v>5272</v>
      </c>
      <c r="O588" t="s">
        <v>464</v>
      </c>
    </row>
    <row r="589" spans="1:15" x14ac:dyDescent="0.3">
      <c r="A589">
        <v>240718</v>
      </c>
      <c r="B589">
        <v>105</v>
      </c>
      <c r="C589" t="s">
        <v>557</v>
      </c>
      <c r="D589" t="s">
        <v>2563</v>
      </c>
      <c r="E589" t="s">
        <v>2723</v>
      </c>
      <c r="F589" s="451">
        <v>46177</v>
      </c>
      <c r="G589">
        <v>19488</v>
      </c>
      <c r="H589" t="s">
        <v>5107</v>
      </c>
      <c r="I589" t="s">
        <v>5191</v>
      </c>
      <c r="J589">
        <v>0.35</v>
      </c>
      <c r="K589" t="s">
        <v>4744</v>
      </c>
      <c r="L589">
        <v>5.07</v>
      </c>
      <c r="M589">
        <v>14.485714</v>
      </c>
      <c r="N589" t="s">
        <v>5272</v>
      </c>
      <c r="O589" t="s">
        <v>464</v>
      </c>
    </row>
    <row r="590" spans="1:15" x14ac:dyDescent="0.3">
      <c r="A590">
        <v>240718</v>
      </c>
      <c r="B590">
        <v>105</v>
      </c>
      <c r="C590" t="s">
        <v>557</v>
      </c>
      <c r="D590" t="s">
        <v>2563</v>
      </c>
      <c r="E590" t="s">
        <v>2723</v>
      </c>
      <c r="F590" s="451">
        <v>46177</v>
      </c>
      <c r="G590">
        <v>19532</v>
      </c>
      <c r="H590" t="s">
        <v>4753</v>
      </c>
      <c r="I590" t="s">
        <v>5191</v>
      </c>
      <c r="J590">
        <v>10</v>
      </c>
      <c r="K590" t="s">
        <v>4744</v>
      </c>
      <c r="L590">
        <v>130.5</v>
      </c>
      <c r="M590">
        <v>13.05</v>
      </c>
      <c r="N590" t="s">
        <v>5272</v>
      </c>
      <c r="O590" t="s">
        <v>464</v>
      </c>
    </row>
    <row r="591" spans="1:15" x14ac:dyDescent="0.3">
      <c r="A591">
        <v>240718</v>
      </c>
      <c r="B591">
        <v>105</v>
      </c>
      <c r="C591" t="s">
        <v>557</v>
      </c>
      <c r="D591" t="s">
        <v>2563</v>
      </c>
      <c r="E591" t="s">
        <v>2723</v>
      </c>
      <c r="F591" s="451">
        <v>46177</v>
      </c>
      <c r="G591">
        <v>19623</v>
      </c>
      <c r="H591" t="s">
        <v>4764</v>
      </c>
      <c r="I591" t="s">
        <v>5191</v>
      </c>
      <c r="J591">
        <v>4</v>
      </c>
      <c r="K591" t="s">
        <v>4744</v>
      </c>
      <c r="L591">
        <v>22.56</v>
      </c>
      <c r="M591">
        <v>5.64</v>
      </c>
      <c r="N591" t="s">
        <v>5272</v>
      </c>
      <c r="O591" t="s">
        <v>464</v>
      </c>
    </row>
    <row r="592" spans="1:15" x14ac:dyDescent="0.3">
      <c r="A592">
        <v>240718</v>
      </c>
      <c r="B592">
        <v>105</v>
      </c>
      <c r="C592" t="s">
        <v>557</v>
      </c>
      <c r="D592" t="s">
        <v>2563</v>
      </c>
      <c r="E592" t="s">
        <v>2723</v>
      </c>
      <c r="F592" s="451">
        <v>46177</v>
      </c>
      <c r="G592">
        <v>23228</v>
      </c>
      <c r="H592" t="s">
        <v>4782</v>
      </c>
      <c r="I592" t="s">
        <v>5191</v>
      </c>
      <c r="J592">
        <v>8</v>
      </c>
      <c r="K592" t="s">
        <v>4744</v>
      </c>
      <c r="L592">
        <v>54.56</v>
      </c>
      <c r="M592">
        <v>6.82</v>
      </c>
      <c r="N592" t="s">
        <v>5272</v>
      </c>
      <c r="O592" t="s">
        <v>464</v>
      </c>
    </row>
    <row r="593" spans="1:15" x14ac:dyDescent="0.3">
      <c r="A593">
        <v>240718</v>
      </c>
      <c r="B593">
        <v>105</v>
      </c>
      <c r="C593" t="s">
        <v>557</v>
      </c>
      <c r="D593" t="s">
        <v>2563</v>
      </c>
      <c r="E593" t="s">
        <v>2723</v>
      </c>
      <c r="F593" s="451">
        <v>46177</v>
      </c>
      <c r="G593">
        <v>24489</v>
      </c>
      <c r="H593" t="s">
        <v>5121</v>
      </c>
      <c r="I593" t="s">
        <v>5191</v>
      </c>
      <c r="J593">
        <v>1.1000000000000001</v>
      </c>
      <c r="K593" t="s">
        <v>4744</v>
      </c>
      <c r="L593">
        <v>21.77</v>
      </c>
      <c r="M593">
        <v>19.790908999999999</v>
      </c>
      <c r="N593" t="s">
        <v>5272</v>
      </c>
      <c r="O593" t="s">
        <v>464</v>
      </c>
    </row>
    <row r="594" spans="1:15" x14ac:dyDescent="0.3">
      <c r="A594">
        <v>240718</v>
      </c>
      <c r="B594">
        <v>105</v>
      </c>
      <c r="C594" t="s">
        <v>557</v>
      </c>
      <c r="D594" t="s">
        <v>2563</v>
      </c>
      <c r="E594" t="s">
        <v>2723</v>
      </c>
      <c r="F594" s="451">
        <v>46177</v>
      </c>
      <c r="G594">
        <v>19502</v>
      </c>
      <c r="H594" t="s">
        <v>4871</v>
      </c>
      <c r="I594" t="s">
        <v>5191</v>
      </c>
      <c r="J594">
        <v>1.1000000000000001</v>
      </c>
      <c r="K594" t="s">
        <v>4744</v>
      </c>
      <c r="L594">
        <v>19.14</v>
      </c>
      <c r="M594">
        <v>17.399999999999999</v>
      </c>
      <c r="N594" t="s">
        <v>5272</v>
      </c>
      <c r="O594" t="s">
        <v>464</v>
      </c>
    </row>
    <row r="595" spans="1:15" x14ac:dyDescent="0.3">
      <c r="A595">
        <v>240718</v>
      </c>
      <c r="B595">
        <v>105</v>
      </c>
      <c r="C595" t="s">
        <v>557</v>
      </c>
      <c r="D595" t="s">
        <v>2563</v>
      </c>
      <c r="E595" t="s">
        <v>2723</v>
      </c>
      <c r="F595" s="451">
        <v>46177</v>
      </c>
      <c r="G595">
        <v>19634</v>
      </c>
      <c r="H595" t="s">
        <v>4792</v>
      </c>
      <c r="I595" t="s">
        <v>5191</v>
      </c>
      <c r="J595">
        <v>3.1</v>
      </c>
      <c r="K595" t="s">
        <v>4744</v>
      </c>
      <c r="L595">
        <v>21.58</v>
      </c>
      <c r="M595">
        <v>6.96129</v>
      </c>
      <c r="N595" t="s">
        <v>5272</v>
      </c>
      <c r="O595" t="s">
        <v>464</v>
      </c>
    </row>
    <row r="596" spans="1:15" x14ac:dyDescent="0.3">
      <c r="A596">
        <v>240718</v>
      </c>
      <c r="B596">
        <v>105</v>
      </c>
      <c r="C596" t="s">
        <v>557</v>
      </c>
      <c r="D596" t="s">
        <v>2563</v>
      </c>
      <c r="E596" t="s">
        <v>2723</v>
      </c>
      <c r="F596" s="451">
        <v>46177</v>
      </c>
      <c r="G596">
        <v>19507</v>
      </c>
      <c r="H596" t="s">
        <v>4853</v>
      </c>
      <c r="I596" t="s">
        <v>5191</v>
      </c>
      <c r="J596">
        <v>1.5</v>
      </c>
      <c r="K596" t="s">
        <v>4744</v>
      </c>
      <c r="L596">
        <v>24.36</v>
      </c>
      <c r="M596">
        <v>16.239999999999998</v>
      </c>
      <c r="N596" t="s">
        <v>5272</v>
      </c>
      <c r="O596" t="s">
        <v>464</v>
      </c>
    </row>
    <row r="597" spans="1:15" x14ac:dyDescent="0.3">
      <c r="A597">
        <v>240718</v>
      </c>
      <c r="B597">
        <v>105</v>
      </c>
      <c r="C597" t="s">
        <v>557</v>
      </c>
      <c r="D597" t="s">
        <v>2563</v>
      </c>
      <c r="E597" t="s">
        <v>2723</v>
      </c>
      <c r="F597" s="451">
        <v>46177</v>
      </c>
      <c r="G597">
        <v>23113</v>
      </c>
      <c r="H597" t="s">
        <v>5074</v>
      </c>
      <c r="I597" t="s">
        <v>5191</v>
      </c>
      <c r="J597">
        <v>1.05</v>
      </c>
      <c r="K597" t="s">
        <v>4744</v>
      </c>
      <c r="L597">
        <v>11.42</v>
      </c>
      <c r="M597">
        <v>10.876189999999999</v>
      </c>
      <c r="N597" t="s">
        <v>5272</v>
      </c>
      <c r="O597" t="s">
        <v>464</v>
      </c>
    </row>
    <row r="598" spans="1:15" x14ac:dyDescent="0.3">
      <c r="A598">
        <v>240718</v>
      </c>
      <c r="B598">
        <v>105</v>
      </c>
      <c r="C598" t="s">
        <v>557</v>
      </c>
      <c r="D598" t="s">
        <v>2563</v>
      </c>
      <c r="E598" t="s">
        <v>2723</v>
      </c>
      <c r="F598" s="451">
        <v>46177</v>
      </c>
      <c r="G598">
        <v>24037</v>
      </c>
      <c r="H598" t="s">
        <v>5233</v>
      </c>
      <c r="I598" t="s">
        <v>5191</v>
      </c>
      <c r="J598">
        <v>2</v>
      </c>
      <c r="K598" t="s">
        <v>4744</v>
      </c>
      <c r="L598">
        <v>35.380000000000003</v>
      </c>
      <c r="M598">
        <v>17.690000000000001</v>
      </c>
      <c r="N598" t="s">
        <v>5272</v>
      </c>
      <c r="O598" t="s">
        <v>464</v>
      </c>
    </row>
    <row r="599" spans="1:15" x14ac:dyDescent="0.3">
      <c r="A599">
        <v>240716</v>
      </c>
      <c r="B599">
        <v>105</v>
      </c>
      <c r="C599" t="s">
        <v>557</v>
      </c>
      <c r="D599" t="s">
        <v>2563</v>
      </c>
      <c r="E599" t="s">
        <v>2724</v>
      </c>
      <c r="F599" s="451">
        <v>46181</v>
      </c>
      <c r="G599">
        <v>19623</v>
      </c>
      <c r="H599" t="s">
        <v>4764</v>
      </c>
      <c r="I599" t="s">
        <v>5191</v>
      </c>
      <c r="J599">
        <v>10</v>
      </c>
      <c r="K599" t="s">
        <v>4744</v>
      </c>
      <c r="L599">
        <v>56.4</v>
      </c>
      <c r="M599">
        <v>5.64</v>
      </c>
      <c r="N599" t="s">
        <v>5272</v>
      </c>
      <c r="O599" t="s">
        <v>464</v>
      </c>
    </row>
    <row r="600" spans="1:15" x14ac:dyDescent="0.3">
      <c r="A600">
        <v>240716</v>
      </c>
      <c r="B600">
        <v>105</v>
      </c>
      <c r="C600" t="s">
        <v>557</v>
      </c>
      <c r="D600" t="s">
        <v>2563</v>
      </c>
      <c r="E600" t="s">
        <v>2724</v>
      </c>
      <c r="F600" s="451">
        <v>46181</v>
      </c>
      <c r="G600">
        <v>23238</v>
      </c>
      <c r="H600" t="s">
        <v>4934</v>
      </c>
      <c r="I600" t="s">
        <v>5191</v>
      </c>
      <c r="J600">
        <v>2.2000000000000002</v>
      </c>
      <c r="K600" t="s">
        <v>4744</v>
      </c>
      <c r="L600">
        <v>37.159999999999997</v>
      </c>
      <c r="M600">
        <v>16.890909000000001</v>
      </c>
      <c r="N600" t="s">
        <v>5272</v>
      </c>
      <c r="O600" t="s">
        <v>464</v>
      </c>
    </row>
    <row r="601" spans="1:15" x14ac:dyDescent="0.3">
      <c r="A601">
        <v>240716</v>
      </c>
      <c r="B601">
        <v>105</v>
      </c>
      <c r="C601" t="s">
        <v>557</v>
      </c>
      <c r="D601" t="s">
        <v>2563</v>
      </c>
      <c r="E601" t="s">
        <v>2724</v>
      </c>
      <c r="F601" s="451">
        <v>46181</v>
      </c>
      <c r="G601">
        <v>23389</v>
      </c>
      <c r="H601" t="s">
        <v>4960</v>
      </c>
      <c r="I601" t="s">
        <v>5191</v>
      </c>
      <c r="J601">
        <v>2.0499999999999998</v>
      </c>
      <c r="K601" t="s">
        <v>4744</v>
      </c>
      <c r="L601">
        <v>9.57</v>
      </c>
      <c r="M601">
        <v>4.6682930000000002</v>
      </c>
      <c r="N601" t="s">
        <v>5272</v>
      </c>
      <c r="O601" t="s">
        <v>464</v>
      </c>
    </row>
    <row r="602" spans="1:15" x14ac:dyDescent="0.3">
      <c r="A602">
        <v>240716</v>
      </c>
      <c r="B602">
        <v>105</v>
      </c>
      <c r="C602" t="s">
        <v>557</v>
      </c>
      <c r="D602" t="s">
        <v>2563</v>
      </c>
      <c r="E602" t="s">
        <v>2724</v>
      </c>
      <c r="F602" s="451">
        <v>46181</v>
      </c>
      <c r="G602">
        <v>19465</v>
      </c>
      <c r="H602" t="s">
        <v>5114</v>
      </c>
      <c r="I602" t="s">
        <v>5191</v>
      </c>
      <c r="J602">
        <v>1.1000000000000001</v>
      </c>
      <c r="K602" t="s">
        <v>4744</v>
      </c>
      <c r="L602">
        <v>7.18</v>
      </c>
      <c r="M602">
        <v>6.5272730000000001</v>
      </c>
      <c r="N602" t="s">
        <v>5272</v>
      </c>
      <c r="O602" t="s">
        <v>464</v>
      </c>
    </row>
    <row r="603" spans="1:15" x14ac:dyDescent="0.3">
      <c r="A603">
        <v>240716</v>
      </c>
      <c r="B603">
        <v>105</v>
      </c>
      <c r="C603" t="s">
        <v>557</v>
      </c>
      <c r="D603" t="s">
        <v>2563</v>
      </c>
      <c r="E603" t="s">
        <v>2724</v>
      </c>
      <c r="F603" s="451">
        <v>46181</v>
      </c>
      <c r="G603">
        <v>23113</v>
      </c>
      <c r="H603" t="s">
        <v>5074</v>
      </c>
      <c r="I603" t="s">
        <v>5191</v>
      </c>
      <c r="J603">
        <v>1</v>
      </c>
      <c r="K603" t="s">
        <v>4744</v>
      </c>
      <c r="L603">
        <v>10.88</v>
      </c>
      <c r="M603">
        <v>10.88</v>
      </c>
      <c r="N603" t="s">
        <v>5272</v>
      </c>
      <c r="O603" t="s">
        <v>464</v>
      </c>
    </row>
    <row r="604" spans="1:15" x14ac:dyDescent="0.3">
      <c r="A604">
        <v>240716</v>
      </c>
      <c r="B604">
        <v>105</v>
      </c>
      <c r="C604" t="s">
        <v>557</v>
      </c>
      <c r="D604" t="s">
        <v>2563</v>
      </c>
      <c r="E604" t="s">
        <v>2724</v>
      </c>
      <c r="F604" s="451">
        <v>46181</v>
      </c>
      <c r="G604">
        <v>23346</v>
      </c>
      <c r="H604" t="s">
        <v>4916</v>
      </c>
      <c r="I604" t="s">
        <v>5191</v>
      </c>
      <c r="J604">
        <v>2.2000000000000002</v>
      </c>
      <c r="K604" t="s">
        <v>4744</v>
      </c>
      <c r="L604">
        <v>14.76</v>
      </c>
      <c r="M604">
        <v>6.7090909999999999</v>
      </c>
      <c r="N604" t="s">
        <v>5272</v>
      </c>
      <c r="O604" t="s">
        <v>464</v>
      </c>
    </row>
    <row r="605" spans="1:15" x14ac:dyDescent="0.3">
      <c r="A605">
        <v>240716</v>
      </c>
      <c r="B605">
        <v>105</v>
      </c>
      <c r="C605" t="s">
        <v>557</v>
      </c>
      <c r="D605" t="s">
        <v>2563</v>
      </c>
      <c r="E605" t="s">
        <v>2724</v>
      </c>
      <c r="F605" s="451">
        <v>46181</v>
      </c>
      <c r="G605">
        <v>19558</v>
      </c>
      <c r="H605" t="s">
        <v>4994</v>
      </c>
      <c r="I605" t="s">
        <v>5191</v>
      </c>
      <c r="J605">
        <v>1.05</v>
      </c>
      <c r="K605" t="s">
        <v>4744</v>
      </c>
      <c r="L605">
        <v>21.69</v>
      </c>
      <c r="M605">
        <v>20.657143000000001</v>
      </c>
      <c r="N605" t="s">
        <v>5272</v>
      </c>
      <c r="O605" t="s">
        <v>464</v>
      </c>
    </row>
    <row r="606" spans="1:15" x14ac:dyDescent="0.3">
      <c r="A606">
        <v>240716</v>
      </c>
      <c r="B606">
        <v>105</v>
      </c>
      <c r="C606" t="s">
        <v>557</v>
      </c>
      <c r="D606" t="s">
        <v>2563</v>
      </c>
      <c r="E606" t="s">
        <v>2724</v>
      </c>
      <c r="F606" s="451">
        <v>46181</v>
      </c>
      <c r="G606">
        <v>19740</v>
      </c>
      <c r="H606" t="s">
        <v>4779</v>
      </c>
      <c r="I606" t="s">
        <v>5191</v>
      </c>
      <c r="J606">
        <v>10.4</v>
      </c>
      <c r="K606" t="s">
        <v>4744</v>
      </c>
      <c r="L606">
        <v>90.48</v>
      </c>
      <c r="M606">
        <v>8.6999999999999993</v>
      </c>
      <c r="N606" t="s">
        <v>5272</v>
      </c>
      <c r="O606" t="s">
        <v>464</v>
      </c>
    </row>
    <row r="607" spans="1:15" x14ac:dyDescent="0.3">
      <c r="A607">
        <v>240716</v>
      </c>
      <c r="B607">
        <v>105</v>
      </c>
      <c r="C607" t="s">
        <v>557</v>
      </c>
      <c r="D607" t="s">
        <v>2563</v>
      </c>
      <c r="E607" t="s">
        <v>2724</v>
      </c>
      <c r="F607" s="451">
        <v>46181</v>
      </c>
      <c r="G607">
        <v>19502</v>
      </c>
      <c r="H607" t="s">
        <v>4871</v>
      </c>
      <c r="I607" t="s">
        <v>5191</v>
      </c>
      <c r="J607">
        <v>2</v>
      </c>
      <c r="K607" t="s">
        <v>4744</v>
      </c>
      <c r="L607">
        <v>34.799999999999997</v>
      </c>
      <c r="M607">
        <v>17.399999999999999</v>
      </c>
      <c r="N607" t="s">
        <v>5272</v>
      </c>
      <c r="O607" t="s">
        <v>464</v>
      </c>
    </row>
    <row r="608" spans="1:15" x14ac:dyDescent="0.3">
      <c r="A608">
        <v>240716</v>
      </c>
      <c r="B608">
        <v>105</v>
      </c>
      <c r="C608" t="s">
        <v>557</v>
      </c>
      <c r="D608" t="s">
        <v>2563</v>
      </c>
      <c r="E608" t="s">
        <v>2724</v>
      </c>
      <c r="F608" s="451">
        <v>46181</v>
      </c>
      <c r="G608">
        <v>19658</v>
      </c>
      <c r="H608" t="s">
        <v>4784</v>
      </c>
      <c r="I608" t="s">
        <v>5191</v>
      </c>
      <c r="J608">
        <v>5</v>
      </c>
      <c r="K608" t="s">
        <v>4744</v>
      </c>
      <c r="L608">
        <v>18.7</v>
      </c>
      <c r="M608">
        <v>3.74</v>
      </c>
      <c r="N608" t="s">
        <v>5272</v>
      </c>
      <c r="O608" t="s">
        <v>464</v>
      </c>
    </row>
    <row r="609" spans="1:15" x14ac:dyDescent="0.3">
      <c r="A609">
        <v>240716</v>
      </c>
      <c r="B609">
        <v>105</v>
      </c>
      <c r="C609" t="s">
        <v>557</v>
      </c>
      <c r="D609" t="s">
        <v>2563</v>
      </c>
      <c r="E609" t="s">
        <v>2724</v>
      </c>
      <c r="F609" s="451">
        <v>46181</v>
      </c>
      <c r="G609">
        <v>19634</v>
      </c>
      <c r="H609" t="s">
        <v>4792</v>
      </c>
      <c r="I609" t="s">
        <v>5191</v>
      </c>
      <c r="J609">
        <v>3</v>
      </c>
      <c r="K609" t="s">
        <v>4744</v>
      </c>
      <c r="L609">
        <v>20.88</v>
      </c>
      <c r="M609">
        <v>6.96</v>
      </c>
      <c r="N609" t="s">
        <v>5272</v>
      </c>
      <c r="O609" t="s">
        <v>464</v>
      </c>
    </row>
    <row r="610" spans="1:15" x14ac:dyDescent="0.3">
      <c r="A610">
        <v>240715</v>
      </c>
      <c r="B610">
        <v>105</v>
      </c>
      <c r="C610" t="s">
        <v>557</v>
      </c>
      <c r="D610" t="s">
        <v>2603</v>
      </c>
      <c r="E610" t="s">
        <v>2725</v>
      </c>
      <c r="F610" s="451">
        <v>46189</v>
      </c>
      <c r="G610">
        <v>26679</v>
      </c>
      <c r="H610" t="s">
        <v>4791</v>
      </c>
      <c r="I610" t="s">
        <v>5191</v>
      </c>
      <c r="J610">
        <v>29.29</v>
      </c>
      <c r="K610" t="s">
        <v>4744</v>
      </c>
      <c r="L610">
        <v>875.77</v>
      </c>
      <c r="M610">
        <v>29.899965999999999</v>
      </c>
      <c r="N610" t="s">
        <v>5272</v>
      </c>
      <c r="O610" t="s">
        <v>464</v>
      </c>
    </row>
    <row r="611" spans="1:15" x14ac:dyDescent="0.3">
      <c r="A611">
        <v>240715</v>
      </c>
      <c r="B611">
        <v>105</v>
      </c>
      <c r="C611" t="s">
        <v>557</v>
      </c>
      <c r="D611" t="s">
        <v>2603</v>
      </c>
      <c r="E611" t="s">
        <v>2725</v>
      </c>
      <c r="F611" s="451">
        <v>46189</v>
      </c>
      <c r="G611">
        <v>19003</v>
      </c>
      <c r="H611" t="s">
        <v>4810</v>
      </c>
      <c r="I611" t="s">
        <v>5191</v>
      </c>
      <c r="J611">
        <v>21.35</v>
      </c>
      <c r="K611" t="s">
        <v>4744</v>
      </c>
      <c r="L611">
        <v>851.87</v>
      </c>
      <c r="M611">
        <v>39.900233999999998</v>
      </c>
      <c r="N611" t="s">
        <v>5272</v>
      </c>
      <c r="O611" t="s">
        <v>464</v>
      </c>
    </row>
    <row r="612" spans="1:15" x14ac:dyDescent="0.3">
      <c r="A612">
        <v>240713</v>
      </c>
      <c r="B612">
        <v>105</v>
      </c>
      <c r="C612" t="s">
        <v>557</v>
      </c>
      <c r="D612" t="s">
        <v>2593</v>
      </c>
      <c r="E612" t="s">
        <v>2726</v>
      </c>
      <c r="F612" s="451">
        <v>46178</v>
      </c>
      <c r="G612">
        <v>24256</v>
      </c>
      <c r="H612" t="s">
        <v>4773</v>
      </c>
      <c r="I612" t="s">
        <v>5191</v>
      </c>
      <c r="J612">
        <v>20</v>
      </c>
      <c r="K612" t="s">
        <v>4744</v>
      </c>
      <c r="L612">
        <v>750</v>
      </c>
      <c r="M612">
        <v>37.5</v>
      </c>
      <c r="N612" t="s">
        <v>5272</v>
      </c>
      <c r="O612" t="s">
        <v>464</v>
      </c>
    </row>
    <row r="613" spans="1:15" x14ac:dyDescent="0.3">
      <c r="A613">
        <v>240711</v>
      </c>
      <c r="B613">
        <v>105</v>
      </c>
      <c r="C613" t="s">
        <v>557</v>
      </c>
      <c r="D613" t="s">
        <v>2593</v>
      </c>
      <c r="E613" t="s">
        <v>2727</v>
      </c>
      <c r="F613" s="451">
        <v>46181</v>
      </c>
      <c r="G613">
        <v>18732</v>
      </c>
      <c r="H613" t="s">
        <v>5156</v>
      </c>
      <c r="I613" t="s">
        <v>5191</v>
      </c>
      <c r="J613">
        <v>10</v>
      </c>
      <c r="K613" t="s">
        <v>4744</v>
      </c>
      <c r="L613">
        <v>739</v>
      </c>
      <c r="M613">
        <v>73.900000000000006</v>
      </c>
      <c r="N613" t="s">
        <v>5272</v>
      </c>
      <c r="O613" t="s">
        <v>464</v>
      </c>
    </row>
    <row r="614" spans="1:15" x14ac:dyDescent="0.3">
      <c r="A614">
        <v>240710</v>
      </c>
      <c r="B614">
        <v>105</v>
      </c>
      <c r="C614" t="s">
        <v>557</v>
      </c>
      <c r="D614" t="s">
        <v>2593</v>
      </c>
      <c r="E614" t="s">
        <v>2728</v>
      </c>
      <c r="F614" s="451">
        <v>46192</v>
      </c>
      <c r="G614">
        <v>18732</v>
      </c>
      <c r="H614" t="s">
        <v>5156</v>
      </c>
      <c r="I614" t="s">
        <v>5191</v>
      </c>
      <c r="J614">
        <v>10</v>
      </c>
      <c r="K614" t="s">
        <v>4744</v>
      </c>
      <c r="L614">
        <v>689</v>
      </c>
      <c r="M614">
        <v>68.900000000000006</v>
      </c>
      <c r="N614" t="s">
        <v>5272</v>
      </c>
      <c r="O614" t="s">
        <v>464</v>
      </c>
    </row>
    <row r="615" spans="1:15" x14ac:dyDescent="0.3">
      <c r="A615">
        <v>240708</v>
      </c>
      <c r="B615">
        <v>105</v>
      </c>
      <c r="C615" t="s">
        <v>557</v>
      </c>
      <c r="D615" t="s">
        <v>2729</v>
      </c>
      <c r="E615" t="s">
        <v>2730</v>
      </c>
      <c r="F615" s="451">
        <v>46188</v>
      </c>
      <c r="G615">
        <v>19428</v>
      </c>
      <c r="H615" t="s">
        <v>5278</v>
      </c>
      <c r="I615" t="s">
        <v>5191</v>
      </c>
      <c r="J615">
        <v>48</v>
      </c>
      <c r="K615" t="s">
        <v>4736</v>
      </c>
      <c r="L615">
        <v>259.2</v>
      </c>
      <c r="M615">
        <v>5.4</v>
      </c>
      <c r="N615" t="s">
        <v>5191</v>
      </c>
      <c r="O615" t="s">
        <v>464</v>
      </c>
    </row>
    <row r="616" spans="1:15" x14ac:dyDescent="0.3">
      <c r="A616">
        <v>240704</v>
      </c>
      <c r="B616">
        <v>105</v>
      </c>
      <c r="C616" t="s">
        <v>557</v>
      </c>
      <c r="D616" t="s">
        <v>2729</v>
      </c>
      <c r="E616" t="s">
        <v>2731</v>
      </c>
      <c r="F616" s="451">
        <v>46188</v>
      </c>
      <c r="G616">
        <v>19356</v>
      </c>
      <c r="H616" t="s">
        <v>4799</v>
      </c>
      <c r="I616" t="s">
        <v>5191</v>
      </c>
      <c r="J616">
        <v>12.04</v>
      </c>
      <c r="K616" t="s">
        <v>4744</v>
      </c>
      <c r="L616">
        <v>664.73</v>
      </c>
      <c r="M616">
        <v>55.210132999999999</v>
      </c>
      <c r="N616" t="s">
        <v>5272</v>
      </c>
      <c r="O616" t="s">
        <v>464</v>
      </c>
    </row>
    <row r="617" spans="1:15" x14ac:dyDescent="0.3">
      <c r="A617">
        <v>240702</v>
      </c>
      <c r="B617">
        <v>105</v>
      </c>
      <c r="C617" t="s">
        <v>557</v>
      </c>
      <c r="D617" t="s">
        <v>2732</v>
      </c>
      <c r="E617" t="s">
        <v>2733</v>
      </c>
      <c r="F617" s="451">
        <v>46188</v>
      </c>
      <c r="G617">
        <v>18992</v>
      </c>
      <c r="H617" t="s">
        <v>4869</v>
      </c>
      <c r="I617" t="s">
        <v>5191</v>
      </c>
      <c r="J617">
        <v>6.2</v>
      </c>
      <c r="K617" t="s">
        <v>4744</v>
      </c>
      <c r="L617">
        <v>89.9</v>
      </c>
      <c r="M617">
        <v>14.5</v>
      </c>
      <c r="N617" t="s">
        <v>5272</v>
      </c>
      <c r="O617" t="s">
        <v>464</v>
      </c>
    </row>
    <row r="618" spans="1:15" x14ac:dyDescent="0.3">
      <c r="A618">
        <v>240702</v>
      </c>
      <c r="B618">
        <v>105</v>
      </c>
      <c r="C618" t="s">
        <v>557</v>
      </c>
      <c r="D618" t="s">
        <v>2732</v>
      </c>
      <c r="E618" t="s">
        <v>2733</v>
      </c>
      <c r="F618" s="451">
        <v>46188</v>
      </c>
      <c r="G618">
        <v>19041</v>
      </c>
      <c r="H618" t="s">
        <v>4762</v>
      </c>
      <c r="I618" t="s">
        <v>5191</v>
      </c>
      <c r="J618">
        <v>40</v>
      </c>
      <c r="K618" t="s">
        <v>4744</v>
      </c>
      <c r="L618">
        <v>540</v>
      </c>
      <c r="M618">
        <v>13.5</v>
      </c>
      <c r="N618" t="s">
        <v>5272</v>
      </c>
      <c r="O618" t="s">
        <v>464</v>
      </c>
    </row>
    <row r="619" spans="1:15" x14ac:dyDescent="0.3">
      <c r="A619">
        <v>240697</v>
      </c>
      <c r="B619">
        <v>105</v>
      </c>
      <c r="C619" t="s">
        <v>557</v>
      </c>
      <c r="D619" t="s">
        <v>2732</v>
      </c>
      <c r="E619" t="s">
        <v>2734</v>
      </c>
      <c r="F619" s="451">
        <v>46195</v>
      </c>
      <c r="G619">
        <v>25777</v>
      </c>
      <c r="H619" t="s">
        <v>4774</v>
      </c>
      <c r="I619" t="s">
        <v>5191</v>
      </c>
      <c r="J619">
        <v>15.9</v>
      </c>
      <c r="K619" t="s">
        <v>4744</v>
      </c>
      <c r="L619">
        <v>1413.51</v>
      </c>
      <c r="M619">
        <v>88.9</v>
      </c>
      <c r="N619" t="s">
        <v>5272</v>
      </c>
      <c r="O619" t="s">
        <v>464</v>
      </c>
    </row>
    <row r="620" spans="1:15" x14ac:dyDescent="0.3">
      <c r="A620">
        <v>240696</v>
      </c>
      <c r="B620">
        <v>105</v>
      </c>
      <c r="C620" t="s">
        <v>557</v>
      </c>
      <c r="D620" t="s">
        <v>2653</v>
      </c>
      <c r="E620" t="s">
        <v>2735</v>
      </c>
      <c r="F620" s="451">
        <v>46189</v>
      </c>
      <c r="G620">
        <v>24200</v>
      </c>
      <c r="H620" t="s">
        <v>4820</v>
      </c>
      <c r="I620" t="s">
        <v>5191</v>
      </c>
      <c r="J620">
        <v>5.2</v>
      </c>
      <c r="K620" t="s">
        <v>4744</v>
      </c>
      <c r="L620">
        <v>171.08</v>
      </c>
      <c r="M620">
        <v>32.9</v>
      </c>
      <c r="N620" t="s">
        <v>5272</v>
      </c>
      <c r="O620" t="s">
        <v>464</v>
      </c>
    </row>
    <row r="621" spans="1:15" x14ac:dyDescent="0.3">
      <c r="A621">
        <v>240695</v>
      </c>
      <c r="B621">
        <v>105</v>
      </c>
      <c r="C621" t="s">
        <v>557</v>
      </c>
      <c r="D621" t="s">
        <v>2557</v>
      </c>
      <c r="E621" t="s">
        <v>2736</v>
      </c>
      <c r="F621" s="451">
        <v>46206</v>
      </c>
      <c r="G621">
        <v>17465</v>
      </c>
      <c r="H621" t="s">
        <v>5279</v>
      </c>
      <c r="I621" t="s">
        <v>5215</v>
      </c>
      <c r="J621">
        <v>1</v>
      </c>
      <c r="K621" t="s">
        <v>4749</v>
      </c>
      <c r="L621">
        <v>761.13</v>
      </c>
      <c r="M621">
        <v>761.13</v>
      </c>
      <c r="N621" t="s">
        <v>5280</v>
      </c>
      <c r="O621" t="s">
        <v>465</v>
      </c>
    </row>
    <row r="622" spans="1:15" x14ac:dyDescent="0.3">
      <c r="A622">
        <v>240695</v>
      </c>
      <c r="B622">
        <v>105</v>
      </c>
      <c r="C622" t="s">
        <v>557</v>
      </c>
      <c r="D622" t="s">
        <v>2557</v>
      </c>
      <c r="E622" t="s">
        <v>2736</v>
      </c>
      <c r="F622" s="451">
        <v>46206</v>
      </c>
      <c r="G622">
        <v>21716</v>
      </c>
      <c r="H622" t="s">
        <v>5281</v>
      </c>
      <c r="I622" t="s">
        <v>5215</v>
      </c>
      <c r="J622">
        <v>1</v>
      </c>
      <c r="K622" t="s">
        <v>4749</v>
      </c>
      <c r="L622">
        <v>455</v>
      </c>
      <c r="M622">
        <v>455</v>
      </c>
      <c r="N622" t="s">
        <v>5280</v>
      </c>
      <c r="O622" t="s">
        <v>465</v>
      </c>
    </row>
    <row r="623" spans="1:15" x14ac:dyDescent="0.3">
      <c r="A623">
        <v>240692</v>
      </c>
      <c r="B623">
        <v>105</v>
      </c>
      <c r="C623" t="s">
        <v>557</v>
      </c>
      <c r="D623" t="s">
        <v>2554</v>
      </c>
      <c r="E623" t="s">
        <v>2737</v>
      </c>
      <c r="F623" s="451">
        <v>46189</v>
      </c>
      <c r="G623">
        <v>17304</v>
      </c>
      <c r="H623" t="s">
        <v>5195</v>
      </c>
      <c r="I623" t="s">
        <v>5188</v>
      </c>
      <c r="J623">
        <v>2</v>
      </c>
      <c r="K623" t="s">
        <v>4848</v>
      </c>
      <c r="L623">
        <v>13.18</v>
      </c>
      <c r="M623">
        <v>6.59</v>
      </c>
      <c r="N623" t="s">
        <v>5277</v>
      </c>
      <c r="O623" t="s">
        <v>464</v>
      </c>
    </row>
    <row r="624" spans="1:15" x14ac:dyDescent="0.3">
      <c r="A624">
        <v>240692</v>
      </c>
      <c r="B624">
        <v>105</v>
      </c>
      <c r="C624" t="s">
        <v>557</v>
      </c>
      <c r="D624" t="s">
        <v>2554</v>
      </c>
      <c r="E624" t="s">
        <v>2737</v>
      </c>
      <c r="F624" s="451">
        <v>46189</v>
      </c>
      <c r="G624">
        <v>17017</v>
      </c>
      <c r="H624" t="s">
        <v>5199</v>
      </c>
      <c r="I624" t="s">
        <v>5188</v>
      </c>
      <c r="J624">
        <v>3</v>
      </c>
      <c r="K624" t="s">
        <v>4738</v>
      </c>
      <c r="L624">
        <v>9</v>
      </c>
      <c r="M624">
        <v>3</v>
      </c>
      <c r="N624" t="s">
        <v>5277</v>
      </c>
      <c r="O624" t="s">
        <v>464</v>
      </c>
    </row>
    <row r="625" spans="1:15" x14ac:dyDescent="0.3">
      <c r="A625">
        <v>240692</v>
      </c>
      <c r="B625">
        <v>105</v>
      </c>
      <c r="C625" t="s">
        <v>557</v>
      </c>
      <c r="D625" t="s">
        <v>2554</v>
      </c>
      <c r="E625" t="s">
        <v>2737</v>
      </c>
      <c r="F625" s="451">
        <v>46189</v>
      </c>
      <c r="G625">
        <v>27798</v>
      </c>
      <c r="H625" t="s">
        <v>5257</v>
      </c>
      <c r="I625" t="s">
        <v>5215</v>
      </c>
      <c r="J625">
        <v>2</v>
      </c>
      <c r="K625" t="s">
        <v>5245</v>
      </c>
      <c r="L625">
        <v>350</v>
      </c>
      <c r="M625">
        <v>175</v>
      </c>
      <c r="N625" t="s">
        <v>5277</v>
      </c>
      <c r="O625" t="s">
        <v>464</v>
      </c>
    </row>
    <row r="626" spans="1:15" x14ac:dyDescent="0.3">
      <c r="A626">
        <v>240692</v>
      </c>
      <c r="B626">
        <v>105</v>
      </c>
      <c r="C626" t="s">
        <v>557</v>
      </c>
      <c r="D626" t="s">
        <v>2554</v>
      </c>
      <c r="E626" t="s">
        <v>2737</v>
      </c>
      <c r="F626" s="451">
        <v>46189</v>
      </c>
      <c r="G626">
        <v>17314</v>
      </c>
      <c r="H626" t="s">
        <v>5208</v>
      </c>
      <c r="I626" t="s">
        <v>5188</v>
      </c>
      <c r="J626">
        <v>2</v>
      </c>
      <c r="K626" t="s">
        <v>4848</v>
      </c>
      <c r="L626">
        <v>11.78</v>
      </c>
      <c r="M626">
        <v>5.89</v>
      </c>
      <c r="N626" t="s">
        <v>5277</v>
      </c>
      <c r="O626" t="s">
        <v>464</v>
      </c>
    </row>
    <row r="627" spans="1:15" x14ac:dyDescent="0.3">
      <c r="A627">
        <v>240692</v>
      </c>
      <c r="B627">
        <v>105</v>
      </c>
      <c r="C627" t="s">
        <v>557</v>
      </c>
      <c r="D627" t="s">
        <v>2554</v>
      </c>
      <c r="E627" t="s">
        <v>2737</v>
      </c>
      <c r="F627" s="451">
        <v>46189</v>
      </c>
      <c r="G627">
        <v>17322</v>
      </c>
      <c r="H627" t="s">
        <v>5282</v>
      </c>
      <c r="I627" t="s">
        <v>5188</v>
      </c>
      <c r="J627">
        <v>1</v>
      </c>
      <c r="K627" t="s">
        <v>4848</v>
      </c>
      <c r="L627">
        <v>15.05</v>
      </c>
      <c r="M627">
        <v>15.05</v>
      </c>
      <c r="N627" t="s">
        <v>5277</v>
      </c>
      <c r="O627" t="s">
        <v>464</v>
      </c>
    </row>
    <row r="628" spans="1:15" x14ac:dyDescent="0.3">
      <c r="A628">
        <v>240692</v>
      </c>
      <c r="B628">
        <v>105</v>
      </c>
      <c r="C628" t="s">
        <v>557</v>
      </c>
      <c r="D628" t="s">
        <v>2554</v>
      </c>
      <c r="E628" t="s">
        <v>2737</v>
      </c>
      <c r="F628" s="451">
        <v>46189</v>
      </c>
      <c r="G628">
        <v>17437</v>
      </c>
      <c r="H628" t="s">
        <v>5203</v>
      </c>
      <c r="I628" t="s">
        <v>5188</v>
      </c>
      <c r="J628">
        <v>15</v>
      </c>
      <c r="K628" t="s">
        <v>4736</v>
      </c>
      <c r="L628">
        <v>34.5</v>
      </c>
      <c r="M628">
        <v>2.2999999999999998</v>
      </c>
      <c r="N628" t="s">
        <v>5277</v>
      </c>
      <c r="O628" t="s">
        <v>464</v>
      </c>
    </row>
    <row r="629" spans="1:15" x14ac:dyDescent="0.3">
      <c r="A629">
        <v>240692</v>
      </c>
      <c r="B629">
        <v>105</v>
      </c>
      <c r="C629" t="s">
        <v>557</v>
      </c>
      <c r="D629" t="s">
        <v>2554</v>
      </c>
      <c r="E629" t="s">
        <v>2737</v>
      </c>
      <c r="F629" s="451">
        <v>46189</v>
      </c>
      <c r="G629">
        <v>24787</v>
      </c>
      <c r="H629" t="s">
        <v>5212</v>
      </c>
      <c r="I629" t="s">
        <v>5188</v>
      </c>
      <c r="J629">
        <v>2</v>
      </c>
      <c r="K629" t="s">
        <v>4738</v>
      </c>
      <c r="L629">
        <v>164.42</v>
      </c>
      <c r="M629">
        <v>82.21</v>
      </c>
      <c r="N629" t="s">
        <v>5277</v>
      </c>
      <c r="O629" t="s">
        <v>464</v>
      </c>
    </row>
    <row r="630" spans="1:15" x14ac:dyDescent="0.3">
      <c r="A630">
        <v>240692</v>
      </c>
      <c r="B630">
        <v>105</v>
      </c>
      <c r="C630" t="s">
        <v>557</v>
      </c>
      <c r="D630" t="s">
        <v>2554</v>
      </c>
      <c r="E630" t="s">
        <v>2737</v>
      </c>
      <c r="F630" s="451">
        <v>46189</v>
      </c>
      <c r="G630">
        <v>17418</v>
      </c>
      <c r="H630" t="s">
        <v>5207</v>
      </c>
      <c r="I630" t="s">
        <v>5188</v>
      </c>
      <c r="J630">
        <v>2</v>
      </c>
      <c r="K630" t="s">
        <v>4749</v>
      </c>
      <c r="L630">
        <v>117.8</v>
      </c>
      <c r="M630">
        <v>58.9</v>
      </c>
      <c r="N630" t="s">
        <v>5277</v>
      </c>
      <c r="O630" t="s">
        <v>464</v>
      </c>
    </row>
    <row r="631" spans="1:15" x14ac:dyDescent="0.3">
      <c r="A631">
        <v>240692</v>
      </c>
      <c r="B631">
        <v>105</v>
      </c>
      <c r="C631" t="s">
        <v>557</v>
      </c>
      <c r="D631" t="s">
        <v>2554</v>
      </c>
      <c r="E631" t="s">
        <v>2737</v>
      </c>
      <c r="F631" s="451">
        <v>46189</v>
      </c>
      <c r="G631">
        <v>17416</v>
      </c>
      <c r="H631" t="s">
        <v>5209</v>
      </c>
      <c r="I631" t="s">
        <v>5188</v>
      </c>
      <c r="J631">
        <v>2</v>
      </c>
      <c r="K631" t="s">
        <v>4749</v>
      </c>
      <c r="L631">
        <v>97.16</v>
      </c>
      <c r="M631">
        <v>48.58</v>
      </c>
      <c r="N631" t="s">
        <v>5277</v>
      </c>
      <c r="O631" t="s">
        <v>464</v>
      </c>
    </row>
    <row r="632" spans="1:15" x14ac:dyDescent="0.3">
      <c r="A632">
        <v>240691</v>
      </c>
      <c r="B632">
        <v>105</v>
      </c>
      <c r="C632" t="s">
        <v>557</v>
      </c>
      <c r="D632" t="s">
        <v>2552</v>
      </c>
      <c r="E632" t="s">
        <v>2738</v>
      </c>
      <c r="F632" s="451">
        <v>46189</v>
      </c>
      <c r="G632">
        <v>26627</v>
      </c>
      <c r="H632" t="s">
        <v>5190</v>
      </c>
      <c r="I632" t="s">
        <v>5191</v>
      </c>
      <c r="J632">
        <v>20</v>
      </c>
      <c r="K632" t="s">
        <v>4744</v>
      </c>
      <c r="L632">
        <v>158</v>
      </c>
      <c r="M632">
        <v>7.9</v>
      </c>
      <c r="N632" t="s">
        <v>5272</v>
      </c>
      <c r="O632" t="s">
        <v>464</v>
      </c>
    </row>
    <row r="633" spans="1:15" x14ac:dyDescent="0.3">
      <c r="A633">
        <v>240689</v>
      </c>
      <c r="B633">
        <v>105</v>
      </c>
      <c r="C633" t="s">
        <v>557</v>
      </c>
      <c r="D633" t="s">
        <v>2597</v>
      </c>
      <c r="E633" t="s">
        <v>2739</v>
      </c>
      <c r="F633" s="451">
        <v>46182</v>
      </c>
      <c r="G633">
        <v>24259</v>
      </c>
      <c r="H633" t="s">
        <v>4875</v>
      </c>
      <c r="I633" t="s">
        <v>5191</v>
      </c>
      <c r="J633">
        <v>15.2</v>
      </c>
      <c r="K633" t="s">
        <v>4744</v>
      </c>
      <c r="L633">
        <v>1231.05</v>
      </c>
      <c r="M633">
        <v>80.990132000000003</v>
      </c>
      <c r="N633" t="s">
        <v>5191</v>
      </c>
      <c r="O633" t="s">
        <v>464</v>
      </c>
    </row>
    <row r="634" spans="1:15" x14ac:dyDescent="0.3">
      <c r="A634">
        <v>240689</v>
      </c>
      <c r="B634">
        <v>105</v>
      </c>
      <c r="C634" t="s">
        <v>557</v>
      </c>
      <c r="D634" t="s">
        <v>2597</v>
      </c>
      <c r="E634" t="s">
        <v>2739</v>
      </c>
      <c r="F634" s="451">
        <v>46182</v>
      </c>
      <c r="G634">
        <v>19041</v>
      </c>
      <c r="H634" t="s">
        <v>4762</v>
      </c>
      <c r="I634" t="s">
        <v>5191</v>
      </c>
      <c r="J634">
        <v>40</v>
      </c>
      <c r="K634" t="s">
        <v>4744</v>
      </c>
      <c r="L634">
        <v>640</v>
      </c>
      <c r="M634">
        <v>16</v>
      </c>
      <c r="N634" t="s">
        <v>5191</v>
      </c>
      <c r="O634" t="s">
        <v>464</v>
      </c>
    </row>
    <row r="635" spans="1:15" x14ac:dyDescent="0.3">
      <c r="A635">
        <v>240689</v>
      </c>
      <c r="B635">
        <v>105</v>
      </c>
      <c r="C635" t="s">
        <v>557</v>
      </c>
      <c r="D635" t="s">
        <v>2597</v>
      </c>
      <c r="E635" t="s">
        <v>2739</v>
      </c>
      <c r="F635" s="451">
        <v>46182</v>
      </c>
      <c r="G635">
        <v>24096</v>
      </c>
      <c r="H635" t="s">
        <v>4771</v>
      </c>
      <c r="I635" t="s">
        <v>5191</v>
      </c>
      <c r="J635">
        <v>66.2</v>
      </c>
      <c r="K635" t="s">
        <v>4744</v>
      </c>
      <c r="L635">
        <v>2780.4</v>
      </c>
      <c r="M635">
        <v>42</v>
      </c>
      <c r="N635" t="s">
        <v>5191</v>
      </c>
      <c r="O635" t="s">
        <v>464</v>
      </c>
    </row>
    <row r="636" spans="1:15" x14ac:dyDescent="0.3">
      <c r="A636">
        <v>240687</v>
      </c>
      <c r="B636">
        <v>105</v>
      </c>
      <c r="C636" t="s">
        <v>557</v>
      </c>
      <c r="D636" t="s">
        <v>2550</v>
      </c>
      <c r="E636" t="s">
        <v>2740</v>
      </c>
      <c r="F636" s="451">
        <v>46174</v>
      </c>
      <c r="G636">
        <v>25683</v>
      </c>
      <c r="H636" t="s">
        <v>4928</v>
      </c>
      <c r="I636" t="s">
        <v>5222</v>
      </c>
      <c r="J636">
        <v>1</v>
      </c>
      <c r="K636" t="s">
        <v>4805</v>
      </c>
      <c r="L636">
        <v>105.95</v>
      </c>
      <c r="M636">
        <v>105.95</v>
      </c>
      <c r="N636" t="s">
        <v>5222</v>
      </c>
      <c r="O636" t="s">
        <v>464</v>
      </c>
    </row>
    <row r="637" spans="1:15" x14ac:dyDescent="0.3">
      <c r="A637">
        <v>240687</v>
      </c>
      <c r="B637">
        <v>105</v>
      </c>
      <c r="C637" t="s">
        <v>557</v>
      </c>
      <c r="D637" t="s">
        <v>2550</v>
      </c>
      <c r="E637" t="s">
        <v>2740</v>
      </c>
      <c r="F637" s="451">
        <v>46174</v>
      </c>
      <c r="G637">
        <v>26034</v>
      </c>
      <c r="H637" t="s">
        <v>4828</v>
      </c>
      <c r="I637" t="s">
        <v>5222</v>
      </c>
      <c r="J637">
        <v>3</v>
      </c>
      <c r="K637" t="s">
        <v>4805</v>
      </c>
      <c r="L637">
        <v>142.35</v>
      </c>
      <c r="M637">
        <v>47.45</v>
      </c>
      <c r="N637" t="s">
        <v>5222</v>
      </c>
      <c r="O637" t="s">
        <v>464</v>
      </c>
    </row>
    <row r="638" spans="1:15" x14ac:dyDescent="0.3">
      <c r="A638">
        <v>240687</v>
      </c>
      <c r="B638">
        <v>105</v>
      </c>
      <c r="C638" t="s">
        <v>557</v>
      </c>
      <c r="D638" t="s">
        <v>2550</v>
      </c>
      <c r="E638" t="s">
        <v>2740</v>
      </c>
      <c r="F638" s="451">
        <v>46174</v>
      </c>
      <c r="G638">
        <v>25714</v>
      </c>
      <c r="H638" t="s">
        <v>4927</v>
      </c>
      <c r="I638" t="s">
        <v>5222</v>
      </c>
      <c r="J638">
        <v>1</v>
      </c>
      <c r="K638" t="s">
        <v>4805</v>
      </c>
      <c r="L638">
        <v>133.9</v>
      </c>
      <c r="M638">
        <v>133.9</v>
      </c>
      <c r="N638" t="s">
        <v>5222</v>
      </c>
      <c r="O638" t="s">
        <v>464</v>
      </c>
    </row>
    <row r="639" spans="1:15" x14ac:dyDescent="0.3">
      <c r="A639">
        <v>240687</v>
      </c>
      <c r="B639">
        <v>105</v>
      </c>
      <c r="C639" t="s">
        <v>557</v>
      </c>
      <c r="D639" t="s">
        <v>2550</v>
      </c>
      <c r="E639" t="s">
        <v>2740</v>
      </c>
      <c r="F639" s="451">
        <v>46174</v>
      </c>
      <c r="G639">
        <v>26040</v>
      </c>
      <c r="H639" t="s">
        <v>4812</v>
      </c>
      <c r="I639" t="s">
        <v>5222</v>
      </c>
      <c r="J639">
        <v>8</v>
      </c>
      <c r="K639" t="s">
        <v>4805</v>
      </c>
      <c r="L639">
        <v>379.6</v>
      </c>
      <c r="M639">
        <v>47.45</v>
      </c>
      <c r="N639" t="s">
        <v>5222</v>
      </c>
      <c r="O639" t="s">
        <v>464</v>
      </c>
    </row>
    <row r="640" spans="1:15" x14ac:dyDescent="0.3">
      <c r="A640">
        <v>240031</v>
      </c>
      <c r="B640">
        <v>105</v>
      </c>
      <c r="C640" t="s">
        <v>557</v>
      </c>
      <c r="D640" t="s">
        <v>2579</v>
      </c>
      <c r="E640" t="s">
        <v>2741</v>
      </c>
      <c r="F640" s="451">
        <v>46188</v>
      </c>
      <c r="G640">
        <v>19506</v>
      </c>
      <c r="H640" t="s">
        <v>5122</v>
      </c>
      <c r="I640" t="s">
        <v>5191</v>
      </c>
      <c r="J640">
        <v>0.3</v>
      </c>
      <c r="K640" t="s">
        <v>4744</v>
      </c>
      <c r="L640">
        <v>15.6</v>
      </c>
      <c r="M640">
        <v>52</v>
      </c>
      <c r="N640" t="s">
        <v>5272</v>
      </c>
      <c r="O640" t="s">
        <v>464</v>
      </c>
    </row>
    <row r="641" spans="1:15" x14ac:dyDescent="0.3">
      <c r="A641">
        <v>240031</v>
      </c>
      <c r="B641">
        <v>105</v>
      </c>
      <c r="C641" t="s">
        <v>557</v>
      </c>
      <c r="D641" t="s">
        <v>2579</v>
      </c>
      <c r="E641" t="s">
        <v>2741</v>
      </c>
      <c r="F641" s="451">
        <v>46188</v>
      </c>
      <c r="G641">
        <v>19635</v>
      </c>
      <c r="H641" t="s">
        <v>4786</v>
      </c>
      <c r="I641" t="s">
        <v>5191</v>
      </c>
      <c r="J641">
        <v>5.6</v>
      </c>
      <c r="K641" t="s">
        <v>4744</v>
      </c>
      <c r="L641">
        <v>25.48</v>
      </c>
      <c r="M641">
        <v>4.55</v>
      </c>
      <c r="N641" t="s">
        <v>5272</v>
      </c>
      <c r="O641" t="s">
        <v>464</v>
      </c>
    </row>
    <row r="642" spans="1:15" x14ac:dyDescent="0.3">
      <c r="A642">
        <v>240031</v>
      </c>
      <c r="B642">
        <v>105</v>
      </c>
      <c r="C642" t="s">
        <v>557</v>
      </c>
      <c r="D642" t="s">
        <v>2579</v>
      </c>
      <c r="E642" t="s">
        <v>2741</v>
      </c>
      <c r="F642" s="451">
        <v>46188</v>
      </c>
      <c r="G642">
        <v>23096</v>
      </c>
      <c r="H642" t="s">
        <v>5164</v>
      </c>
      <c r="I642" t="s">
        <v>5191</v>
      </c>
      <c r="J642">
        <v>60</v>
      </c>
      <c r="K642" t="s">
        <v>4736</v>
      </c>
      <c r="L642">
        <v>39</v>
      </c>
      <c r="M642">
        <v>0.65</v>
      </c>
      <c r="N642" t="s">
        <v>5272</v>
      </c>
      <c r="O642" t="s">
        <v>464</v>
      </c>
    </row>
    <row r="643" spans="1:15" x14ac:dyDescent="0.3">
      <c r="A643">
        <v>240031</v>
      </c>
      <c r="B643">
        <v>105</v>
      </c>
      <c r="C643" t="s">
        <v>557</v>
      </c>
      <c r="D643" t="s">
        <v>2579</v>
      </c>
      <c r="E643" t="s">
        <v>2741</v>
      </c>
      <c r="F643" s="451">
        <v>46188</v>
      </c>
      <c r="G643">
        <v>19562</v>
      </c>
      <c r="H643" t="s">
        <v>4939</v>
      </c>
      <c r="I643" t="s">
        <v>5191</v>
      </c>
      <c r="J643">
        <v>0.7</v>
      </c>
      <c r="K643" t="s">
        <v>4744</v>
      </c>
      <c r="L643">
        <v>11.83</v>
      </c>
      <c r="M643">
        <v>16.899999999999999</v>
      </c>
      <c r="N643" t="s">
        <v>5272</v>
      </c>
      <c r="O643" t="s">
        <v>464</v>
      </c>
    </row>
    <row r="644" spans="1:15" x14ac:dyDescent="0.3">
      <c r="A644">
        <v>240031</v>
      </c>
      <c r="B644">
        <v>105</v>
      </c>
      <c r="C644" t="s">
        <v>557</v>
      </c>
      <c r="D644" t="s">
        <v>2579</v>
      </c>
      <c r="E644" t="s">
        <v>2741</v>
      </c>
      <c r="F644" s="451">
        <v>46188</v>
      </c>
      <c r="G644">
        <v>23198</v>
      </c>
      <c r="H644" t="s">
        <v>4962</v>
      </c>
      <c r="I644" t="s">
        <v>5191</v>
      </c>
      <c r="J644">
        <v>0.6</v>
      </c>
      <c r="K644" t="s">
        <v>4744</v>
      </c>
      <c r="L644">
        <v>9.36</v>
      </c>
      <c r="M644">
        <v>15.6</v>
      </c>
      <c r="N644" t="s">
        <v>5272</v>
      </c>
      <c r="O644" t="s">
        <v>464</v>
      </c>
    </row>
    <row r="645" spans="1:15" x14ac:dyDescent="0.3">
      <c r="A645">
        <v>240030</v>
      </c>
      <c r="B645">
        <v>105</v>
      </c>
      <c r="C645" t="s">
        <v>557</v>
      </c>
      <c r="D645" t="s">
        <v>2579</v>
      </c>
      <c r="E645" t="s">
        <v>2742</v>
      </c>
      <c r="F645" s="451">
        <v>46185</v>
      </c>
      <c r="G645">
        <v>19763</v>
      </c>
      <c r="H645" t="s">
        <v>5268</v>
      </c>
      <c r="I645" t="s">
        <v>5191</v>
      </c>
      <c r="J645">
        <v>2</v>
      </c>
      <c r="K645" t="s">
        <v>4744</v>
      </c>
      <c r="L645">
        <v>23.4</v>
      </c>
      <c r="M645">
        <v>11.7</v>
      </c>
      <c r="N645" t="s">
        <v>5191</v>
      </c>
      <c r="O645" t="s">
        <v>464</v>
      </c>
    </row>
    <row r="646" spans="1:15" x14ac:dyDescent="0.3">
      <c r="A646">
        <v>240030</v>
      </c>
      <c r="B646">
        <v>105</v>
      </c>
      <c r="C646" t="s">
        <v>557</v>
      </c>
      <c r="D646" t="s">
        <v>2579</v>
      </c>
      <c r="E646" t="s">
        <v>2742</v>
      </c>
      <c r="F646" s="451">
        <v>46185</v>
      </c>
      <c r="G646">
        <v>23385</v>
      </c>
      <c r="H646" t="s">
        <v>4938</v>
      </c>
      <c r="I646" t="s">
        <v>5191</v>
      </c>
      <c r="J646">
        <v>2</v>
      </c>
      <c r="K646" t="s">
        <v>4744</v>
      </c>
      <c r="L646">
        <v>109.2</v>
      </c>
      <c r="M646">
        <v>54.6</v>
      </c>
      <c r="N646" t="s">
        <v>5191</v>
      </c>
      <c r="O646" t="s">
        <v>464</v>
      </c>
    </row>
    <row r="647" spans="1:15" x14ac:dyDescent="0.3">
      <c r="A647">
        <v>240030</v>
      </c>
      <c r="B647">
        <v>105</v>
      </c>
      <c r="C647" t="s">
        <v>557</v>
      </c>
      <c r="D647" t="s">
        <v>2579</v>
      </c>
      <c r="E647" t="s">
        <v>2742</v>
      </c>
      <c r="F647" s="451">
        <v>46185</v>
      </c>
      <c r="G647">
        <v>19490</v>
      </c>
      <c r="H647" t="s">
        <v>5116</v>
      </c>
      <c r="I647" t="s">
        <v>5191</v>
      </c>
      <c r="J647">
        <v>0.5</v>
      </c>
      <c r="K647" t="s">
        <v>4744</v>
      </c>
      <c r="L647">
        <v>22.75</v>
      </c>
      <c r="M647">
        <v>45.5</v>
      </c>
      <c r="N647" t="s">
        <v>5191</v>
      </c>
      <c r="O647" t="s">
        <v>464</v>
      </c>
    </row>
    <row r="648" spans="1:15" x14ac:dyDescent="0.3">
      <c r="A648">
        <v>240015</v>
      </c>
      <c r="B648">
        <v>105</v>
      </c>
      <c r="C648" t="s">
        <v>557</v>
      </c>
      <c r="D648" t="s">
        <v>2579</v>
      </c>
      <c r="E648" t="s">
        <v>2743</v>
      </c>
      <c r="F648" s="451">
        <v>46184</v>
      </c>
      <c r="G648">
        <v>23096</v>
      </c>
      <c r="H648" t="s">
        <v>5164</v>
      </c>
      <c r="I648" t="s">
        <v>5191</v>
      </c>
      <c r="J648">
        <v>120</v>
      </c>
      <c r="K648" t="s">
        <v>4736</v>
      </c>
      <c r="L648">
        <v>74.400000000000006</v>
      </c>
      <c r="M648">
        <v>0.62</v>
      </c>
      <c r="N648" t="s">
        <v>5191</v>
      </c>
      <c r="O648" t="s">
        <v>464</v>
      </c>
    </row>
    <row r="649" spans="1:15" x14ac:dyDescent="0.3">
      <c r="A649">
        <v>240015</v>
      </c>
      <c r="B649">
        <v>105</v>
      </c>
      <c r="C649" t="s">
        <v>557</v>
      </c>
      <c r="D649" t="s">
        <v>2579</v>
      </c>
      <c r="E649" t="s">
        <v>2743</v>
      </c>
      <c r="F649" s="451">
        <v>46184</v>
      </c>
      <c r="G649">
        <v>23361</v>
      </c>
      <c r="H649" t="s">
        <v>4754</v>
      </c>
      <c r="I649" t="s">
        <v>5191</v>
      </c>
      <c r="J649">
        <v>40</v>
      </c>
      <c r="K649" t="s">
        <v>4744</v>
      </c>
      <c r="L649">
        <v>104</v>
      </c>
      <c r="M649">
        <v>2.6</v>
      </c>
      <c r="N649" t="s">
        <v>5191</v>
      </c>
      <c r="O649" t="s">
        <v>464</v>
      </c>
    </row>
    <row r="650" spans="1:15" x14ac:dyDescent="0.3">
      <c r="A650">
        <v>240015</v>
      </c>
      <c r="B650">
        <v>105</v>
      </c>
      <c r="C650" t="s">
        <v>557</v>
      </c>
      <c r="D650" t="s">
        <v>2579</v>
      </c>
      <c r="E650" t="s">
        <v>2743</v>
      </c>
      <c r="F650" s="451">
        <v>46184</v>
      </c>
      <c r="G650">
        <v>19506</v>
      </c>
      <c r="H650" t="s">
        <v>5122</v>
      </c>
      <c r="I650" t="s">
        <v>5191</v>
      </c>
      <c r="J650">
        <v>0.4</v>
      </c>
      <c r="K650" t="s">
        <v>4744</v>
      </c>
      <c r="L650">
        <v>20.8</v>
      </c>
      <c r="M650">
        <v>52</v>
      </c>
      <c r="N650" t="s">
        <v>5191</v>
      </c>
      <c r="O650" t="s">
        <v>464</v>
      </c>
    </row>
    <row r="651" spans="1:15" x14ac:dyDescent="0.3">
      <c r="A651">
        <v>240015</v>
      </c>
      <c r="B651">
        <v>105</v>
      </c>
      <c r="C651" t="s">
        <v>557</v>
      </c>
      <c r="D651" t="s">
        <v>2579</v>
      </c>
      <c r="E651" t="s">
        <v>2743</v>
      </c>
      <c r="F651" s="451">
        <v>46184</v>
      </c>
      <c r="G651">
        <v>19617</v>
      </c>
      <c r="H651" t="s">
        <v>5071</v>
      </c>
      <c r="I651" t="s">
        <v>5191</v>
      </c>
      <c r="J651">
        <v>0.4</v>
      </c>
      <c r="K651" t="s">
        <v>4744</v>
      </c>
      <c r="L651">
        <v>18.57</v>
      </c>
      <c r="M651">
        <v>46.424999999999997</v>
      </c>
      <c r="N651" t="s">
        <v>5191</v>
      </c>
      <c r="O651" t="s">
        <v>464</v>
      </c>
    </row>
    <row r="652" spans="1:15" x14ac:dyDescent="0.3">
      <c r="A652">
        <v>240015</v>
      </c>
      <c r="B652">
        <v>105</v>
      </c>
      <c r="C652" t="s">
        <v>557</v>
      </c>
      <c r="D652" t="s">
        <v>2579</v>
      </c>
      <c r="E652" t="s">
        <v>2743</v>
      </c>
      <c r="F652" s="451">
        <v>46184</v>
      </c>
      <c r="G652">
        <v>23184</v>
      </c>
      <c r="H652" t="s">
        <v>4935</v>
      </c>
      <c r="I652" t="s">
        <v>5191</v>
      </c>
      <c r="J652">
        <v>4</v>
      </c>
      <c r="K652" t="s">
        <v>4744</v>
      </c>
      <c r="L652">
        <v>78</v>
      </c>
      <c r="M652">
        <v>19.5</v>
      </c>
      <c r="N652" t="s">
        <v>5191</v>
      </c>
      <c r="O652" t="s">
        <v>464</v>
      </c>
    </row>
    <row r="653" spans="1:15" x14ac:dyDescent="0.3">
      <c r="A653">
        <v>240015</v>
      </c>
      <c r="B653">
        <v>105</v>
      </c>
      <c r="C653" t="s">
        <v>557</v>
      </c>
      <c r="D653" t="s">
        <v>2579</v>
      </c>
      <c r="E653" t="s">
        <v>2743</v>
      </c>
      <c r="F653" s="451">
        <v>46184</v>
      </c>
      <c r="G653">
        <v>23108</v>
      </c>
      <c r="H653" t="s">
        <v>5117</v>
      </c>
      <c r="I653" t="s">
        <v>5191</v>
      </c>
      <c r="J653">
        <v>0.3</v>
      </c>
      <c r="K653" t="s">
        <v>4744</v>
      </c>
      <c r="L653">
        <v>23.4</v>
      </c>
      <c r="M653">
        <v>78</v>
      </c>
      <c r="N653" t="s">
        <v>5191</v>
      </c>
      <c r="O653" t="s">
        <v>464</v>
      </c>
    </row>
    <row r="654" spans="1:15" x14ac:dyDescent="0.3">
      <c r="A654">
        <v>240015</v>
      </c>
      <c r="B654">
        <v>105</v>
      </c>
      <c r="C654" t="s">
        <v>557</v>
      </c>
      <c r="D654" t="s">
        <v>2579</v>
      </c>
      <c r="E654" t="s">
        <v>2743</v>
      </c>
      <c r="F654" s="451">
        <v>46184</v>
      </c>
      <c r="G654">
        <v>19740</v>
      </c>
      <c r="H654" t="s">
        <v>4779</v>
      </c>
      <c r="I654" t="s">
        <v>5191</v>
      </c>
      <c r="J654">
        <v>12</v>
      </c>
      <c r="K654" t="s">
        <v>4744</v>
      </c>
      <c r="L654">
        <v>109.2</v>
      </c>
      <c r="M654">
        <v>9.1</v>
      </c>
      <c r="N654" t="s">
        <v>5191</v>
      </c>
      <c r="O654" t="s">
        <v>464</v>
      </c>
    </row>
    <row r="655" spans="1:15" x14ac:dyDescent="0.3">
      <c r="A655">
        <v>240010</v>
      </c>
      <c r="B655">
        <v>105</v>
      </c>
      <c r="C655" t="s">
        <v>557</v>
      </c>
      <c r="D655" t="s">
        <v>2579</v>
      </c>
      <c r="E655" t="s">
        <v>2744</v>
      </c>
      <c r="F655" s="451">
        <v>46181</v>
      </c>
      <c r="G655">
        <v>24489</v>
      </c>
      <c r="H655" t="s">
        <v>5121</v>
      </c>
      <c r="I655" t="s">
        <v>5191</v>
      </c>
      <c r="J655">
        <v>1</v>
      </c>
      <c r="K655" t="s">
        <v>4744</v>
      </c>
      <c r="L655">
        <v>39</v>
      </c>
      <c r="M655">
        <v>39</v>
      </c>
      <c r="N655" t="s">
        <v>5272</v>
      </c>
      <c r="O655" t="s">
        <v>464</v>
      </c>
    </row>
    <row r="656" spans="1:15" x14ac:dyDescent="0.3">
      <c r="A656">
        <v>240010</v>
      </c>
      <c r="B656">
        <v>105</v>
      </c>
      <c r="C656" t="s">
        <v>557</v>
      </c>
      <c r="D656" t="s">
        <v>2579</v>
      </c>
      <c r="E656" t="s">
        <v>2744</v>
      </c>
      <c r="F656" s="451">
        <v>46181</v>
      </c>
      <c r="G656">
        <v>23096</v>
      </c>
      <c r="H656" t="s">
        <v>5164</v>
      </c>
      <c r="I656" t="s">
        <v>5191</v>
      </c>
      <c r="J656">
        <v>60</v>
      </c>
      <c r="K656" t="s">
        <v>4736</v>
      </c>
      <c r="L656">
        <v>37.200000000000003</v>
      </c>
      <c r="M656">
        <v>0.62</v>
      </c>
      <c r="N656" t="s">
        <v>5272</v>
      </c>
      <c r="O656" t="s">
        <v>464</v>
      </c>
    </row>
    <row r="657" spans="1:15" x14ac:dyDescent="0.3">
      <c r="A657">
        <v>240010</v>
      </c>
      <c r="B657">
        <v>105</v>
      </c>
      <c r="C657" t="s">
        <v>557</v>
      </c>
      <c r="D657" t="s">
        <v>2579</v>
      </c>
      <c r="E657" t="s">
        <v>2744</v>
      </c>
      <c r="F657" s="451">
        <v>46181</v>
      </c>
      <c r="G657">
        <v>19478</v>
      </c>
      <c r="H657" t="s">
        <v>5283</v>
      </c>
      <c r="I657" t="s">
        <v>5191</v>
      </c>
      <c r="J657">
        <v>1</v>
      </c>
      <c r="K657" t="s">
        <v>4744</v>
      </c>
      <c r="L657">
        <v>56.33</v>
      </c>
      <c r="M657">
        <v>56.33</v>
      </c>
      <c r="N657" t="s">
        <v>5272</v>
      </c>
      <c r="O657" t="s">
        <v>464</v>
      </c>
    </row>
    <row r="658" spans="1:15" x14ac:dyDescent="0.3">
      <c r="A658">
        <v>240010</v>
      </c>
      <c r="B658">
        <v>105</v>
      </c>
      <c r="C658" t="s">
        <v>557</v>
      </c>
      <c r="D658" t="s">
        <v>2579</v>
      </c>
      <c r="E658" t="s">
        <v>2744</v>
      </c>
      <c r="F658" s="451">
        <v>46181</v>
      </c>
      <c r="G658">
        <v>19526</v>
      </c>
      <c r="H658" t="s">
        <v>4997</v>
      </c>
      <c r="I658" t="s">
        <v>5191</v>
      </c>
      <c r="J658">
        <v>1</v>
      </c>
      <c r="K658" t="s">
        <v>4744</v>
      </c>
      <c r="L658">
        <v>67.599999999999994</v>
      </c>
      <c r="M658">
        <v>67.599999999999994</v>
      </c>
      <c r="N658" t="s">
        <v>5272</v>
      </c>
      <c r="O658" t="s">
        <v>464</v>
      </c>
    </row>
    <row r="659" spans="1:15" x14ac:dyDescent="0.3">
      <c r="A659">
        <v>240010</v>
      </c>
      <c r="B659">
        <v>105</v>
      </c>
      <c r="C659" t="s">
        <v>557</v>
      </c>
      <c r="D659" t="s">
        <v>2579</v>
      </c>
      <c r="E659" t="s">
        <v>2744</v>
      </c>
      <c r="F659" s="451">
        <v>46181</v>
      </c>
      <c r="G659">
        <v>19480</v>
      </c>
      <c r="H659" t="s">
        <v>5119</v>
      </c>
      <c r="I659" t="s">
        <v>5191</v>
      </c>
      <c r="J659">
        <v>0.3</v>
      </c>
      <c r="K659" t="s">
        <v>4744</v>
      </c>
      <c r="L659">
        <v>5.46</v>
      </c>
      <c r="M659">
        <v>18.2</v>
      </c>
      <c r="N659" t="s">
        <v>5272</v>
      </c>
      <c r="O659" t="s">
        <v>464</v>
      </c>
    </row>
    <row r="660" spans="1:15" x14ac:dyDescent="0.3">
      <c r="A660">
        <v>240010</v>
      </c>
      <c r="B660">
        <v>105</v>
      </c>
      <c r="C660" t="s">
        <v>557</v>
      </c>
      <c r="D660" t="s">
        <v>2579</v>
      </c>
      <c r="E660" t="s">
        <v>2744</v>
      </c>
      <c r="F660" s="451">
        <v>46181</v>
      </c>
      <c r="G660">
        <v>19551</v>
      </c>
      <c r="H660" t="s">
        <v>4905</v>
      </c>
      <c r="I660" t="s">
        <v>5191</v>
      </c>
      <c r="J660">
        <v>2</v>
      </c>
      <c r="K660" t="s">
        <v>4744</v>
      </c>
      <c r="L660">
        <v>39</v>
      </c>
      <c r="M660">
        <v>19.5</v>
      </c>
      <c r="N660" t="s">
        <v>5272</v>
      </c>
      <c r="O660" t="s">
        <v>464</v>
      </c>
    </row>
    <row r="661" spans="1:15" x14ac:dyDescent="0.3">
      <c r="A661">
        <v>240008</v>
      </c>
      <c r="B661">
        <v>105</v>
      </c>
      <c r="C661" t="s">
        <v>557</v>
      </c>
      <c r="D661" t="s">
        <v>2579</v>
      </c>
      <c r="E661" t="s">
        <v>2745</v>
      </c>
      <c r="F661" s="451">
        <v>46178</v>
      </c>
      <c r="G661">
        <v>23096</v>
      </c>
      <c r="H661" t="s">
        <v>5164</v>
      </c>
      <c r="I661" t="s">
        <v>5191</v>
      </c>
      <c r="J661">
        <v>60</v>
      </c>
      <c r="K661" t="s">
        <v>4736</v>
      </c>
      <c r="L661">
        <v>37.200000000000003</v>
      </c>
      <c r="M661">
        <v>0.62</v>
      </c>
      <c r="N661" t="s">
        <v>5191</v>
      </c>
      <c r="O661" t="s">
        <v>464</v>
      </c>
    </row>
    <row r="662" spans="1:15" x14ac:dyDescent="0.3">
      <c r="A662">
        <v>240008</v>
      </c>
      <c r="B662">
        <v>105</v>
      </c>
      <c r="C662" t="s">
        <v>557</v>
      </c>
      <c r="D662" t="s">
        <v>2579</v>
      </c>
      <c r="E662" t="s">
        <v>2745</v>
      </c>
      <c r="F662" s="451">
        <v>46178</v>
      </c>
      <c r="G662">
        <v>19743</v>
      </c>
      <c r="H662" t="s">
        <v>5047</v>
      </c>
      <c r="I662" t="s">
        <v>5191</v>
      </c>
      <c r="J662">
        <v>2</v>
      </c>
      <c r="K662" t="s">
        <v>4744</v>
      </c>
      <c r="L662">
        <v>29.9</v>
      </c>
      <c r="M662">
        <v>14.95</v>
      </c>
      <c r="N662" t="s">
        <v>5191</v>
      </c>
      <c r="O662" t="s">
        <v>464</v>
      </c>
    </row>
    <row r="663" spans="1:15" x14ac:dyDescent="0.3">
      <c r="A663">
        <v>240008</v>
      </c>
      <c r="B663">
        <v>105</v>
      </c>
      <c r="C663" t="s">
        <v>557</v>
      </c>
      <c r="D663" t="s">
        <v>2579</v>
      </c>
      <c r="E663" t="s">
        <v>2745</v>
      </c>
      <c r="F663" s="451">
        <v>46178</v>
      </c>
      <c r="G663">
        <v>23361</v>
      </c>
      <c r="H663" t="s">
        <v>4754</v>
      </c>
      <c r="I663" t="s">
        <v>5191</v>
      </c>
      <c r="J663">
        <v>20</v>
      </c>
      <c r="K663" t="s">
        <v>4744</v>
      </c>
      <c r="L663">
        <v>52</v>
      </c>
      <c r="M663">
        <v>2.6</v>
      </c>
      <c r="N663" t="s">
        <v>5191</v>
      </c>
      <c r="O663" t="s">
        <v>464</v>
      </c>
    </row>
    <row r="664" spans="1:15" x14ac:dyDescent="0.3">
      <c r="A664">
        <v>240008</v>
      </c>
      <c r="B664">
        <v>105</v>
      </c>
      <c r="C664" t="s">
        <v>557</v>
      </c>
      <c r="D664" t="s">
        <v>2579</v>
      </c>
      <c r="E664" t="s">
        <v>2745</v>
      </c>
      <c r="F664" s="451">
        <v>46178</v>
      </c>
      <c r="G664">
        <v>19562</v>
      </c>
      <c r="H664" t="s">
        <v>4939</v>
      </c>
      <c r="I664" t="s">
        <v>5191</v>
      </c>
      <c r="J664">
        <v>0.5</v>
      </c>
      <c r="K664" t="s">
        <v>4744</v>
      </c>
      <c r="L664">
        <v>8.4499999999999993</v>
      </c>
      <c r="M664">
        <v>16.899999999999999</v>
      </c>
      <c r="N664" t="s">
        <v>5191</v>
      </c>
      <c r="O664" t="s">
        <v>464</v>
      </c>
    </row>
    <row r="665" spans="1:15" x14ac:dyDescent="0.3">
      <c r="A665">
        <v>240008</v>
      </c>
      <c r="B665">
        <v>105</v>
      </c>
      <c r="C665" t="s">
        <v>557</v>
      </c>
      <c r="D665" t="s">
        <v>2579</v>
      </c>
      <c r="E665" t="s">
        <v>2745</v>
      </c>
      <c r="F665" s="451">
        <v>46178</v>
      </c>
      <c r="G665">
        <v>23335</v>
      </c>
      <c r="H665" t="s">
        <v>4961</v>
      </c>
      <c r="I665" t="s">
        <v>5191</v>
      </c>
      <c r="J665">
        <v>1</v>
      </c>
      <c r="K665" t="s">
        <v>4744</v>
      </c>
      <c r="L665">
        <v>47.25</v>
      </c>
      <c r="M665">
        <v>47.25</v>
      </c>
      <c r="N665" t="s">
        <v>5191</v>
      </c>
      <c r="O665" t="s">
        <v>464</v>
      </c>
    </row>
    <row r="666" spans="1:15" x14ac:dyDescent="0.3">
      <c r="A666">
        <v>240008</v>
      </c>
      <c r="B666">
        <v>105</v>
      </c>
      <c r="C666" t="s">
        <v>557</v>
      </c>
      <c r="D666" t="s">
        <v>2579</v>
      </c>
      <c r="E666" t="s">
        <v>2745</v>
      </c>
      <c r="F666" s="451">
        <v>46178</v>
      </c>
      <c r="G666">
        <v>19734</v>
      </c>
      <c r="H666" t="s">
        <v>4833</v>
      </c>
      <c r="I666" t="s">
        <v>5191</v>
      </c>
      <c r="J666">
        <v>3</v>
      </c>
      <c r="K666" t="s">
        <v>4744</v>
      </c>
      <c r="L666">
        <v>39</v>
      </c>
      <c r="M666">
        <v>13</v>
      </c>
      <c r="N666" t="s">
        <v>5191</v>
      </c>
      <c r="O666" t="s">
        <v>464</v>
      </c>
    </row>
    <row r="667" spans="1:15" x14ac:dyDescent="0.3">
      <c r="A667">
        <v>240008</v>
      </c>
      <c r="B667">
        <v>105</v>
      </c>
      <c r="C667" t="s">
        <v>557</v>
      </c>
      <c r="D667" t="s">
        <v>2579</v>
      </c>
      <c r="E667" t="s">
        <v>2745</v>
      </c>
      <c r="F667" s="451">
        <v>46178</v>
      </c>
      <c r="G667">
        <v>23198</v>
      </c>
      <c r="H667" t="s">
        <v>4962</v>
      </c>
      <c r="I667" t="s">
        <v>5191</v>
      </c>
      <c r="J667">
        <v>0.7</v>
      </c>
      <c r="K667" t="s">
        <v>4744</v>
      </c>
      <c r="L667">
        <v>11.83</v>
      </c>
      <c r="M667">
        <v>16.899999999999999</v>
      </c>
      <c r="N667" t="s">
        <v>5191</v>
      </c>
      <c r="O667" t="s">
        <v>464</v>
      </c>
    </row>
    <row r="668" spans="1:15" x14ac:dyDescent="0.3">
      <c r="A668">
        <v>240008</v>
      </c>
      <c r="B668">
        <v>105</v>
      </c>
      <c r="C668" t="s">
        <v>557</v>
      </c>
      <c r="D668" t="s">
        <v>2579</v>
      </c>
      <c r="E668" t="s">
        <v>2745</v>
      </c>
      <c r="F668" s="451">
        <v>46178</v>
      </c>
      <c r="G668">
        <v>19635</v>
      </c>
      <c r="H668" t="s">
        <v>4786</v>
      </c>
      <c r="I668" t="s">
        <v>5191</v>
      </c>
      <c r="J668">
        <v>8</v>
      </c>
      <c r="K668" t="s">
        <v>4744</v>
      </c>
      <c r="L668">
        <v>36.4</v>
      </c>
      <c r="M668">
        <v>4.55</v>
      </c>
      <c r="N668" t="s">
        <v>5191</v>
      </c>
      <c r="O668" t="s">
        <v>464</v>
      </c>
    </row>
    <row r="669" spans="1:15" x14ac:dyDescent="0.3">
      <c r="A669">
        <v>240008</v>
      </c>
      <c r="B669">
        <v>105</v>
      </c>
      <c r="C669" t="s">
        <v>557</v>
      </c>
      <c r="D669" t="s">
        <v>2579</v>
      </c>
      <c r="E669" t="s">
        <v>2745</v>
      </c>
      <c r="F669" s="451">
        <v>46178</v>
      </c>
      <c r="G669">
        <v>19589</v>
      </c>
      <c r="H669" t="s">
        <v>4983</v>
      </c>
      <c r="I669" t="s">
        <v>5191</v>
      </c>
      <c r="J669">
        <v>1</v>
      </c>
      <c r="K669" t="s">
        <v>4744</v>
      </c>
      <c r="L669">
        <v>14.82</v>
      </c>
      <c r="M669">
        <v>14.82</v>
      </c>
      <c r="N669" t="s">
        <v>5191</v>
      </c>
      <c r="O669" t="s">
        <v>464</v>
      </c>
    </row>
    <row r="670" spans="1:15" x14ac:dyDescent="0.3">
      <c r="A670">
        <v>240008</v>
      </c>
      <c r="B670">
        <v>105</v>
      </c>
      <c r="C670" t="s">
        <v>557</v>
      </c>
      <c r="D670" t="s">
        <v>2579</v>
      </c>
      <c r="E670" t="s">
        <v>2745</v>
      </c>
      <c r="F670" s="451">
        <v>46178</v>
      </c>
      <c r="G670">
        <v>19506</v>
      </c>
      <c r="H670" t="s">
        <v>5122</v>
      </c>
      <c r="I670" t="s">
        <v>5191</v>
      </c>
      <c r="J670">
        <v>0.4</v>
      </c>
      <c r="K670" t="s">
        <v>4744</v>
      </c>
      <c r="L670">
        <v>20.8</v>
      </c>
      <c r="M670">
        <v>52</v>
      </c>
      <c r="N670" t="s">
        <v>5191</v>
      </c>
      <c r="O670" t="s">
        <v>464</v>
      </c>
    </row>
    <row r="671" spans="1:15" x14ac:dyDescent="0.3">
      <c r="A671">
        <v>240008</v>
      </c>
      <c r="B671">
        <v>105</v>
      </c>
      <c r="C671" t="s">
        <v>557</v>
      </c>
      <c r="D671" t="s">
        <v>2579</v>
      </c>
      <c r="E671" t="s">
        <v>2745</v>
      </c>
      <c r="F671" s="451">
        <v>46178</v>
      </c>
      <c r="G671">
        <v>19553</v>
      </c>
      <c r="H671" t="s">
        <v>4868</v>
      </c>
      <c r="I671" t="s">
        <v>5191</v>
      </c>
      <c r="J671">
        <v>1.8</v>
      </c>
      <c r="K671" t="s">
        <v>4744</v>
      </c>
      <c r="L671">
        <v>11.7</v>
      </c>
      <c r="M671">
        <v>6.5</v>
      </c>
      <c r="N671" t="s">
        <v>5191</v>
      </c>
      <c r="O671" t="s">
        <v>464</v>
      </c>
    </row>
    <row r="672" spans="1:15" x14ac:dyDescent="0.3">
      <c r="A672">
        <v>240008</v>
      </c>
      <c r="B672">
        <v>105</v>
      </c>
      <c r="C672" t="s">
        <v>557</v>
      </c>
      <c r="D672" t="s">
        <v>2579</v>
      </c>
      <c r="E672" t="s">
        <v>2745</v>
      </c>
      <c r="F672" s="451">
        <v>46178</v>
      </c>
      <c r="G672">
        <v>19740</v>
      </c>
      <c r="H672" t="s">
        <v>4779</v>
      </c>
      <c r="I672" t="s">
        <v>5191</v>
      </c>
      <c r="J672">
        <v>6</v>
      </c>
      <c r="K672" t="s">
        <v>4744</v>
      </c>
      <c r="L672">
        <v>46.8</v>
      </c>
      <c r="M672">
        <v>7.8</v>
      </c>
      <c r="N672" t="s">
        <v>5191</v>
      </c>
      <c r="O672" t="s">
        <v>464</v>
      </c>
    </row>
    <row r="673" spans="1:15" x14ac:dyDescent="0.3">
      <c r="A673">
        <v>240008</v>
      </c>
      <c r="B673">
        <v>105</v>
      </c>
      <c r="C673" t="s">
        <v>557</v>
      </c>
      <c r="D673" t="s">
        <v>2579</v>
      </c>
      <c r="E673" t="s">
        <v>2745</v>
      </c>
      <c r="F673" s="451">
        <v>46178</v>
      </c>
      <c r="G673">
        <v>23385</v>
      </c>
      <c r="H673" t="s">
        <v>4938</v>
      </c>
      <c r="I673" t="s">
        <v>5191</v>
      </c>
      <c r="J673">
        <v>2</v>
      </c>
      <c r="K673" t="s">
        <v>4744</v>
      </c>
      <c r="L673">
        <v>72.8</v>
      </c>
      <c r="M673">
        <v>36.4</v>
      </c>
      <c r="N673" t="s">
        <v>5191</v>
      </c>
      <c r="O673" t="s">
        <v>464</v>
      </c>
    </row>
    <row r="674" spans="1:15" x14ac:dyDescent="0.3">
      <c r="A674">
        <v>240007</v>
      </c>
      <c r="B674">
        <v>105</v>
      </c>
      <c r="C674" t="s">
        <v>557</v>
      </c>
      <c r="D674" t="s">
        <v>2746</v>
      </c>
      <c r="E674" t="s">
        <v>2747</v>
      </c>
      <c r="F674" s="451">
        <v>46174</v>
      </c>
      <c r="G674">
        <v>28856</v>
      </c>
      <c r="H674" t="s">
        <v>5284</v>
      </c>
      <c r="J674">
        <v>1</v>
      </c>
      <c r="K674" t="s">
        <v>4736</v>
      </c>
      <c r="L674">
        <v>1850</v>
      </c>
      <c r="M674">
        <v>1850</v>
      </c>
      <c r="N674" t="s">
        <v>5285</v>
      </c>
      <c r="O674" t="s">
        <v>464</v>
      </c>
    </row>
    <row r="675" spans="1:15" x14ac:dyDescent="0.3">
      <c r="A675">
        <v>240001</v>
      </c>
      <c r="B675">
        <v>105</v>
      </c>
      <c r="C675" t="s">
        <v>557</v>
      </c>
      <c r="D675" t="s">
        <v>2579</v>
      </c>
      <c r="E675" t="s">
        <v>2748</v>
      </c>
      <c r="F675" s="451">
        <v>46176</v>
      </c>
      <c r="G675">
        <v>19490</v>
      </c>
      <c r="H675" t="s">
        <v>5116</v>
      </c>
      <c r="I675" t="s">
        <v>5191</v>
      </c>
      <c r="J675">
        <v>0.2</v>
      </c>
      <c r="K675" t="s">
        <v>4744</v>
      </c>
      <c r="L675">
        <v>9.1</v>
      </c>
      <c r="M675">
        <v>45.5</v>
      </c>
      <c r="N675" t="s">
        <v>5191</v>
      </c>
      <c r="O675" t="s">
        <v>464</v>
      </c>
    </row>
    <row r="676" spans="1:15" x14ac:dyDescent="0.3">
      <c r="A676">
        <v>240001</v>
      </c>
      <c r="B676">
        <v>105</v>
      </c>
      <c r="C676" t="s">
        <v>557</v>
      </c>
      <c r="D676" t="s">
        <v>2579</v>
      </c>
      <c r="E676" t="s">
        <v>2748</v>
      </c>
      <c r="F676" s="451">
        <v>46176</v>
      </c>
      <c r="G676">
        <v>19734</v>
      </c>
      <c r="H676" t="s">
        <v>4833</v>
      </c>
      <c r="I676" t="s">
        <v>5191</v>
      </c>
      <c r="J676">
        <v>5</v>
      </c>
      <c r="K676" t="s">
        <v>4744</v>
      </c>
      <c r="L676">
        <v>65</v>
      </c>
      <c r="M676">
        <v>13</v>
      </c>
      <c r="N676" t="s">
        <v>5191</v>
      </c>
      <c r="O676" t="s">
        <v>464</v>
      </c>
    </row>
    <row r="677" spans="1:15" x14ac:dyDescent="0.3">
      <c r="A677">
        <v>240001</v>
      </c>
      <c r="B677">
        <v>105</v>
      </c>
      <c r="C677" t="s">
        <v>557</v>
      </c>
      <c r="D677" t="s">
        <v>2579</v>
      </c>
      <c r="E677" t="s">
        <v>2748</v>
      </c>
      <c r="F677" s="451">
        <v>46176</v>
      </c>
      <c r="G677">
        <v>19654</v>
      </c>
      <c r="H677" t="s">
        <v>5099</v>
      </c>
      <c r="I677" t="s">
        <v>5191</v>
      </c>
      <c r="J677">
        <v>2</v>
      </c>
      <c r="K677" t="s">
        <v>4744</v>
      </c>
      <c r="L677">
        <v>10.4</v>
      </c>
      <c r="M677">
        <v>5.2</v>
      </c>
      <c r="N677" t="s">
        <v>5191</v>
      </c>
      <c r="O677" t="s">
        <v>464</v>
      </c>
    </row>
    <row r="678" spans="1:15" x14ac:dyDescent="0.3">
      <c r="A678">
        <v>240001</v>
      </c>
      <c r="B678">
        <v>105</v>
      </c>
      <c r="C678" t="s">
        <v>557</v>
      </c>
      <c r="D678" t="s">
        <v>2579</v>
      </c>
      <c r="E678" t="s">
        <v>2748</v>
      </c>
      <c r="F678" s="451">
        <v>46176</v>
      </c>
      <c r="G678">
        <v>23096</v>
      </c>
      <c r="H678" t="s">
        <v>5164</v>
      </c>
      <c r="I678" t="s">
        <v>5191</v>
      </c>
      <c r="J678">
        <v>30</v>
      </c>
      <c r="K678" t="s">
        <v>4736</v>
      </c>
      <c r="L678">
        <v>18.600000000000001</v>
      </c>
      <c r="M678">
        <v>0.62</v>
      </c>
      <c r="N678" t="s">
        <v>5191</v>
      </c>
      <c r="O678" t="s">
        <v>464</v>
      </c>
    </row>
    <row r="679" spans="1:15" x14ac:dyDescent="0.3">
      <c r="A679">
        <v>240000</v>
      </c>
      <c r="B679">
        <v>105</v>
      </c>
      <c r="C679" t="s">
        <v>557</v>
      </c>
      <c r="D679" t="s">
        <v>2585</v>
      </c>
      <c r="E679" t="s">
        <v>2749</v>
      </c>
      <c r="F679" s="451">
        <v>46177</v>
      </c>
      <c r="G679">
        <v>18822</v>
      </c>
      <c r="H679" t="s">
        <v>4811</v>
      </c>
      <c r="I679" t="s">
        <v>5191</v>
      </c>
      <c r="J679">
        <v>11.5</v>
      </c>
      <c r="K679" t="s">
        <v>4744</v>
      </c>
      <c r="L679">
        <v>1220.77</v>
      </c>
      <c r="M679">
        <v>106.153913</v>
      </c>
      <c r="N679" t="s">
        <v>5272</v>
      </c>
      <c r="O679" t="s">
        <v>464</v>
      </c>
    </row>
    <row r="680" spans="1:15" x14ac:dyDescent="0.3">
      <c r="A680">
        <v>239958</v>
      </c>
      <c r="B680">
        <v>105</v>
      </c>
      <c r="C680" t="s">
        <v>557</v>
      </c>
      <c r="D680" t="s">
        <v>2577</v>
      </c>
      <c r="E680" t="s">
        <v>2750</v>
      </c>
      <c r="F680" s="451">
        <v>46182</v>
      </c>
      <c r="G680">
        <v>24497</v>
      </c>
      <c r="H680" t="s">
        <v>5231</v>
      </c>
      <c r="I680" t="s">
        <v>5232</v>
      </c>
      <c r="J680">
        <v>1</v>
      </c>
      <c r="K680" t="s">
        <v>4736</v>
      </c>
      <c r="L680">
        <v>120.96</v>
      </c>
      <c r="M680">
        <v>120.96</v>
      </c>
      <c r="N680" t="s">
        <v>5286</v>
      </c>
      <c r="O680" t="s">
        <v>464</v>
      </c>
    </row>
    <row r="681" spans="1:15" x14ac:dyDescent="0.3">
      <c r="A681">
        <v>239955</v>
      </c>
      <c r="B681">
        <v>105</v>
      </c>
      <c r="C681" t="s">
        <v>557</v>
      </c>
      <c r="D681" t="s">
        <v>2581</v>
      </c>
      <c r="E681" t="s">
        <v>2751</v>
      </c>
      <c r="F681" s="451">
        <v>46190</v>
      </c>
      <c r="G681">
        <v>19737</v>
      </c>
      <c r="H681" t="s">
        <v>4940</v>
      </c>
      <c r="I681" t="s">
        <v>5191</v>
      </c>
      <c r="J681">
        <v>2</v>
      </c>
      <c r="K681" t="s">
        <v>4744</v>
      </c>
      <c r="L681">
        <v>11.4</v>
      </c>
      <c r="M681">
        <v>5.7</v>
      </c>
      <c r="N681" t="s">
        <v>5191</v>
      </c>
      <c r="O681" t="s">
        <v>464</v>
      </c>
    </row>
    <row r="682" spans="1:15" x14ac:dyDescent="0.3">
      <c r="A682">
        <v>239955</v>
      </c>
      <c r="B682">
        <v>105</v>
      </c>
      <c r="C682" t="s">
        <v>557</v>
      </c>
      <c r="D682" t="s">
        <v>2581</v>
      </c>
      <c r="E682" t="s">
        <v>2751</v>
      </c>
      <c r="F682" s="451">
        <v>46190</v>
      </c>
      <c r="G682">
        <v>19787</v>
      </c>
      <c r="H682" t="s">
        <v>4793</v>
      </c>
      <c r="I682" t="s">
        <v>5191</v>
      </c>
      <c r="J682">
        <v>10</v>
      </c>
      <c r="K682" t="s">
        <v>4744</v>
      </c>
      <c r="L682">
        <v>55</v>
      </c>
      <c r="M682">
        <v>5.5</v>
      </c>
      <c r="N682" t="s">
        <v>5191</v>
      </c>
      <c r="O682" t="s">
        <v>464</v>
      </c>
    </row>
    <row r="683" spans="1:15" x14ac:dyDescent="0.3">
      <c r="A683">
        <v>239955</v>
      </c>
      <c r="B683">
        <v>105</v>
      </c>
      <c r="C683" t="s">
        <v>557</v>
      </c>
      <c r="D683" t="s">
        <v>2581</v>
      </c>
      <c r="E683" t="s">
        <v>2751</v>
      </c>
      <c r="F683" s="451">
        <v>46190</v>
      </c>
      <c r="G683">
        <v>19502</v>
      </c>
      <c r="H683" t="s">
        <v>4871</v>
      </c>
      <c r="I683" t="s">
        <v>5191</v>
      </c>
      <c r="J683">
        <v>2</v>
      </c>
      <c r="K683" t="s">
        <v>4744</v>
      </c>
      <c r="L683">
        <v>28</v>
      </c>
      <c r="M683">
        <v>14</v>
      </c>
      <c r="N683" t="s">
        <v>5191</v>
      </c>
      <c r="O683" t="s">
        <v>464</v>
      </c>
    </row>
    <row r="684" spans="1:15" x14ac:dyDescent="0.3">
      <c r="A684">
        <v>239955</v>
      </c>
      <c r="B684">
        <v>105</v>
      </c>
      <c r="C684" t="s">
        <v>557</v>
      </c>
      <c r="D684" t="s">
        <v>2581</v>
      </c>
      <c r="E684" t="s">
        <v>2751</v>
      </c>
      <c r="F684" s="451">
        <v>46190</v>
      </c>
      <c r="G684">
        <v>23113</v>
      </c>
      <c r="H684" t="s">
        <v>5074</v>
      </c>
      <c r="I684" t="s">
        <v>5191</v>
      </c>
      <c r="J684">
        <v>1</v>
      </c>
      <c r="K684" t="s">
        <v>4744</v>
      </c>
      <c r="L684">
        <v>7.5</v>
      </c>
      <c r="M684">
        <v>7.5</v>
      </c>
      <c r="N684" t="s">
        <v>5191</v>
      </c>
      <c r="O684" t="s">
        <v>464</v>
      </c>
    </row>
    <row r="685" spans="1:15" x14ac:dyDescent="0.3">
      <c r="A685">
        <v>239955</v>
      </c>
      <c r="B685">
        <v>105</v>
      </c>
      <c r="C685" t="s">
        <v>557</v>
      </c>
      <c r="D685" t="s">
        <v>2581</v>
      </c>
      <c r="E685" t="s">
        <v>2751</v>
      </c>
      <c r="F685" s="451">
        <v>46190</v>
      </c>
      <c r="G685">
        <v>19472</v>
      </c>
      <c r="H685" t="s">
        <v>4906</v>
      </c>
      <c r="I685" t="s">
        <v>5191</v>
      </c>
      <c r="J685">
        <v>2</v>
      </c>
      <c r="K685" t="s">
        <v>4744</v>
      </c>
      <c r="L685">
        <v>29</v>
      </c>
      <c r="M685">
        <v>14.5</v>
      </c>
      <c r="N685" t="s">
        <v>5191</v>
      </c>
      <c r="O685" t="s">
        <v>464</v>
      </c>
    </row>
    <row r="686" spans="1:15" x14ac:dyDescent="0.3">
      <c r="A686">
        <v>239955</v>
      </c>
      <c r="B686">
        <v>105</v>
      </c>
      <c r="C686" t="s">
        <v>557</v>
      </c>
      <c r="D686" t="s">
        <v>2581</v>
      </c>
      <c r="E686" t="s">
        <v>2751</v>
      </c>
      <c r="F686" s="451">
        <v>46190</v>
      </c>
      <c r="G686">
        <v>19507</v>
      </c>
      <c r="H686" t="s">
        <v>4853</v>
      </c>
      <c r="I686" t="s">
        <v>5191</v>
      </c>
      <c r="J686">
        <v>1</v>
      </c>
      <c r="K686" t="s">
        <v>4744</v>
      </c>
      <c r="L686">
        <v>14</v>
      </c>
      <c r="M686">
        <v>14</v>
      </c>
      <c r="N686" t="s">
        <v>5191</v>
      </c>
      <c r="O686" t="s">
        <v>464</v>
      </c>
    </row>
    <row r="687" spans="1:15" x14ac:dyDescent="0.3">
      <c r="A687">
        <v>239953</v>
      </c>
      <c r="B687">
        <v>105</v>
      </c>
      <c r="C687" t="s">
        <v>557</v>
      </c>
      <c r="D687" t="s">
        <v>2581</v>
      </c>
      <c r="E687" t="s">
        <v>2752</v>
      </c>
      <c r="F687" s="451">
        <v>46189</v>
      </c>
      <c r="G687">
        <v>23346</v>
      </c>
      <c r="H687" t="s">
        <v>4916</v>
      </c>
      <c r="I687" t="s">
        <v>5191</v>
      </c>
      <c r="J687">
        <v>2</v>
      </c>
      <c r="K687" t="s">
        <v>4744</v>
      </c>
      <c r="L687">
        <v>15</v>
      </c>
      <c r="M687">
        <v>7.5</v>
      </c>
      <c r="N687" t="s">
        <v>5272</v>
      </c>
      <c r="O687" t="s">
        <v>464</v>
      </c>
    </row>
    <row r="688" spans="1:15" x14ac:dyDescent="0.3">
      <c r="A688">
        <v>239953</v>
      </c>
      <c r="B688">
        <v>105</v>
      </c>
      <c r="C688" t="s">
        <v>557</v>
      </c>
      <c r="D688" t="s">
        <v>2581</v>
      </c>
      <c r="E688" t="s">
        <v>2752</v>
      </c>
      <c r="F688" s="451">
        <v>46189</v>
      </c>
      <c r="G688">
        <v>19492</v>
      </c>
      <c r="H688" t="s">
        <v>4937</v>
      </c>
      <c r="I688" t="s">
        <v>5191</v>
      </c>
      <c r="J688">
        <v>2</v>
      </c>
      <c r="K688" t="s">
        <v>4744</v>
      </c>
      <c r="L688">
        <v>40</v>
      </c>
      <c r="M688">
        <v>20</v>
      </c>
      <c r="N688" t="s">
        <v>5272</v>
      </c>
      <c r="O688" t="s">
        <v>464</v>
      </c>
    </row>
    <row r="689" spans="1:15" x14ac:dyDescent="0.3">
      <c r="A689">
        <v>239953</v>
      </c>
      <c r="B689">
        <v>105</v>
      </c>
      <c r="C689" t="s">
        <v>557</v>
      </c>
      <c r="D689" t="s">
        <v>2581</v>
      </c>
      <c r="E689" t="s">
        <v>2752</v>
      </c>
      <c r="F689" s="451">
        <v>46189</v>
      </c>
      <c r="G689">
        <v>24099</v>
      </c>
      <c r="H689" t="s">
        <v>4933</v>
      </c>
      <c r="I689" t="s">
        <v>5191</v>
      </c>
      <c r="J689">
        <v>2</v>
      </c>
      <c r="K689" t="s">
        <v>4744</v>
      </c>
      <c r="L689">
        <v>32</v>
      </c>
      <c r="M689">
        <v>16</v>
      </c>
      <c r="N689" t="s">
        <v>5272</v>
      </c>
      <c r="O689" t="s">
        <v>464</v>
      </c>
    </row>
    <row r="690" spans="1:15" x14ac:dyDescent="0.3">
      <c r="A690">
        <v>239953</v>
      </c>
      <c r="B690">
        <v>105</v>
      </c>
      <c r="C690" t="s">
        <v>557</v>
      </c>
      <c r="D690" t="s">
        <v>2581</v>
      </c>
      <c r="E690" t="s">
        <v>2752</v>
      </c>
      <c r="F690" s="451">
        <v>46189</v>
      </c>
      <c r="G690">
        <v>23236</v>
      </c>
      <c r="H690" t="s">
        <v>5062</v>
      </c>
      <c r="I690" t="s">
        <v>5191</v>
      </c>
      <c r="J690">
        <v>3</v>
      </c>
      <c r="K690" t="s">
        <v>4744</v>
      </c>
      <c r="L690">
        <v>33</v>
      </c>
      <c r="M690">
        <v>11</v>
      </c>
      <c r="N690" t="s">
        <v>5272</v>
      </c>
      <c r="O690" t="s">
        <v>464</v>
      </c>
    </row>
    <row r="691" spans="1:15" x14ac:dyDescent="0.3">
      <c r="A691">
        <v>239951</v>
      </c>
      <c r="B691">
        <v>105</v>
      </c>
      <c r="C691" t="s">
        <v>557</v>
      </c>
      <c r="D691" t="s">
        <v>2581</v>
      </c>
      <c r="E691" t="s">
        <v>2753</v>
      </c>
      <c r="F691" s="451">
        <v>46188</v>
      </c>
      <c r="G691">
        <v>19632</v>
      </c>
      <c r="H691" t="s">
        <v>4936</v>
      </c>
      <c r="I691" t="s">
        <v>5191</v>
      </c>
      <c r="J691">
        <v>2</v>
      </c>
      <c r="K691" t="s">
        <v>4744</v>
      </c>
      <c r="L691">
        <v>9</v>
      </c>
      <c r="M691">
        <v>4.5</v>
      </c>
      <c r="N691" t="s">
        <v>5272</v>
      </c>
      <c r="O691" t="s">
        <v>464</v>
      </c>
    </row>
    <row r="692" spans="1:15" x14ac:dyDescent="0.3">
      <c r="A692">
        <v>239951</v>
      </c>
      <c r="B692">
        <v>105</v>
      </c>
      <c r="C692" t="s">
        <v>557</v>
      </c>
      <c r="D692" t="s">
        <v>2581</v>
      </c>
      <c r="E692" t="s">
        <v>2753</v>
      </c>
      <c r="F692" s="451">
        <v>46188</v>
      </c>
      <c r="G692">
        <v>19502</v>
      </c>
      <c r="H692" t="s">
        <v>4871</v>
      </c>
      <c r="I692" t="s">
        <v>5191</v>
      </c>
      <c r="J692">
        <v>1.4</v>
      </c>
      <c r="K692" t="s">
        <v>4744</v>
      </c>
      <c r="L692">
        <v>22.4</v>
      </c>
      <c r="M692">
        <v>16</v>
      </c>
      <c r="N692" t="s">
        <v>5272</v>
      </c>
      <c r="O692" t="s">
        <v>464</v>
      </c>
    </row>
    <row r="693" spans="1:15" x14ac:dyDescent="0.3">
      <c r="A693">
        <v>239951</v>
      </c>
      <c r="B693">
        <v>105</v>
      </c>
      <c r="C693" t="s">
        <v>557</v>
      </c>
      <c r="D693" t="s">
        <v>2581</v>
      </c>
      <c r="E693" t="s">
        <v>2753</v>
      </c>
      <c r="F693" s="451">
        <v>46188</v>
      </c>
      <c r="G693">
        <v>19634</v>
      </c>
      <c r="H693" t="s">
        <v>4792</v>
      </c>
      <c r="I693" t="s">
        <v>5191</v>
      </c>
      <c r="J693">
        <v>4</v>
      </c>
      <c r="K693" t="s">
        <v>4744</v>
      </c>
      <c r="L693">
        <v>34</v>
      </c>
      <c r="M693">
        <v>8.5</v>
      </c>
      <c r="N693" t="s">
        <v>5272</v>
      </c>
      <c r="O693" t="s">
        <v>464</v>
      </c>
    </row>
    <row r="694" spans="1:15" x14ac:dyDescent="0.3">
      <c r="A694">
        <v>239951</v>
      </c>
      <c r="B694">
        <v>105</v>
      </c>
      <c r="C694" t="s">
        <v>557</v>
      </c>
      <c r="D694" t="s">
        <v>2581</v>
      </c>
      <c r="E694" t="s">
        <v>2753</v>
      </c>
      <c r="F694" s="451">
        <v>46188</v>
      </c>
      <c r="G694">
        <v>19621</v>
      </c>
      <c r="H694" t="s">
        <v>4829</v>
      </c>
      <c r="I694" t="s">
        <v>5191</v>
      </c>
      <c r="J694">
        <v>3</v>
      </c>
      <c r="K694" t="s">
        <v>4744</v>
      </c>
      <c r="L694">
        <v>22.5</v>
      </c>
      <c r="M694">
        <v>7.5</v>
      </c>
      <c r="N694" t="s">
        <v>5272</v>
      </c>
      <c r="O694" t="s">
        <v>464</v>
      </c>
    </row>
    <row r="695" spans="1:15" x14ac:dyDescent="0.3">
      <c r="A695">
        <v>239951</v>
      </c>
      <c r="B695">
        <v>105</v>
      </c>
      <c r="C695" t="s">
        <v>557</v>
      </c>
      <c r="D695" t="s">
        <v>2581</v>
      </c>
      <c r="E695" t="s">
        <v>2753</v>
      </c>
      <c r="F695" s="451">
        <v>46188</v>
      </c>
      <c r="G695">
        <v>19553</v>
      </c>
      <c r="H695" t="s">
        <v>4868</v>
      </c>
      <c r="I695" t="s">
        <v>5191</v>
      </c>
      <c r="J695">
        <v>1</v>
      </c>
      <c r="K695" t="s">
        <v>4744</v>
      </c>
      <c r="L695">
        <v>5.5</v>
      </c>
      <c r="M695">
        <v>5.5</v>
      </c>
      <c r="N695" t="s">
        <v>5272</v>
      </c>
      <c r="O695" t="s">
        <v>464</v>
      </c>
    </row>
    <row r="696" spans="1:15" x14ac:dyDescent="0.3">
      <c r="A696">
        <v>239951</v>
      </c>
      <c r="B696">
        <v>105</v>
      </c>
      <c r="C696" t="s">
        <v>557</v>
      </c>
      <c r="D696" t="s">
        <v>2581</v>
      </c>
      <c r="E696" t="s">
        <v>2753</v>
      </c>
      <c r="F696" s="451">
        <v>46188</v>
      </c>
      <c r="G696">
        <v>19728</v>
      </c>
      <c r="H696" t="s">
        <v>5106</v>
      </c>
      <c r="I696" t="s">
        <v>5191</v>
      </c>
      <c r="J696">
        <v>2</v>
      </c>
      <c r="K696" t="s">
        <v>4744</v>
      </c>
      <c r="L696">
        <v>22</v>
      </c>
      <c r="M696">
        <v>11</v>
      </c>
      <c r="N696" t="s">
        <v>5272</v>
      </c>
      <c r="O696" t="s">
        <v>464</v>
      </c>
    </row>
    <row r="697" spans="1:15" x14ac:dyDescent="0.3">
      <c r="A697">
        <v>239948</v>
      </c>
      <c r="B697">
        <v>105</v>
      </c>
      <c r="C697" t="s">
        <v>557</v>
      </c>
      <c r="D697" t="s">
        <v>2581</v>
      </c>
      <c r="E697" t="s">
        <v>2754</v>
      </c>
      <c r="F697" s="451">
        <v>46184</v>
      </c>
      <c r="G697">
        <v>19507</v>
      </c>
      <c r="H697" t="s">
        <v>4853</v>
      </c>
      <c r="I697" t="s">
        <v>5191</v>
      </c>
      <c r="J697">
        <v>1</v>
      </c>
      <c r="K697" t="s">
        <v>4744</v>
      </c>
      <c r="L697">
        <v>19</v>
      </c>
      <c r="M697">
        <v>19</v>
      </c>
      <c r="N697" t="s">
        <v>5272</v>
      </c>
      <c r="O697" t="s">
        <v>464</v>
      </c>
    </row>
    <row r="698" spans="1:15" x14ac:dyDescent="0.3">
      <c r="A698">
        <v>239948</v>
      </c>
      <c r="B698">
        <v>105</v>
      </c>
      <c r="C698" t="s">
        <v>557</v>
      </c>
      <c r="D698" t="s">
        <v>2581</v>
      </c>
      <c r="E698" t="s">
        <v>2754</v>
      </c>
      <c r="F698" s="451">
        <v>46184</v>
      </c>
      <c r="G698">
        <v>19532</v>
      </c>
      <c r="H698" t="s">
        <v>4753</v>
      </c>
      <c r="I698" t="s">
        <v>5191</v>
      </c>
      <c r="J698">
        <v>35</v>
      </c>
      <c r="K698" t="s">
        <v>4744</v>
      </c>
      <c r="L698">
        <v>385</v>
      </c>
      <c r="M698">
        <v>11</v>
      </c>
      <c r="N698" t="s">
        <v>5272</v>
      </c>
      <c r="O698" t="s">
        <v>464</v>
      </c>
    </row>
    <row r="699" spans="1:15" x14ac:dyDescent="0.3">
      <c r="A699">
        <v>239948</v>
      </c>
      <c r="B699">
        <v>105</v>
      </c>
      <c r="C699" t="s">
        <v>557</v>
      </c>
      <c r="D699" t="s">
        <v>2581</v>
      </c>
      <c r="E699" t="s">
        <v>2754</v>
      </c>
      <c r="F699" s="451">
        <v>46184</v>
      </c>
      <c r="G699">
        <v>19751</v>
      </c>
      <c r="H699" t="s">
        <v>4800</v>
      </c>
      <c r="I699" t="s">
        <v>5191</v>
      </c>
      <c r="J699">
        <v>3</v>
      </c>
      <c r="K699" t="s">
        <v>4744</v>
      </c>
      <c r="L699">
        <v>25.5</v>
      </c>
      <c r="M699">
        <v>8.5</v>
      </c>
      <c r="N699" t="s">
        <v>5272</v>
      </c>
      <c r="O699" t="s">
        <v>464</v>
      </c>
    </row>
    <row r="700" spans="1:15" x14ac:dyDescent="0.3">
      <c r="A700">
        <v>239948</v>
      </c>
      <c r="B700">
        <v>105</v>
      </c>
      <c r="C700" t="s">
        <v>557</v>
      </c>
      <c r="D700" t="s">
        <v>2581</v>
      </c>
      <c r="E700" t="s">
        <v>2754</v>
      </c>
      <c r="F700" s="451">
        <v>46184</v>
      </c>
      <c r="G700">
        <v>19647</v>
      </c>
      <c r="H700" t="s">
        <v>5050</v>
      </c>
      <c r="I700" t="s">
        <v>5191</v>
      </c>
      <c r="J700">
        <v>1</v>
      </c>
      <c r="K700" t="s">
        <v>4744</v>
      </c>
      <c r="L700">
        <v>16</v>
      </c>
      <c r="M700">
        <v>16</v>
      </c>
      <c r="N700" t="s">
        <v>5272</v>
      </c>
      <c r="O700" t="s">
        <v>464</v>
      </c>
    </row>
    <row r="701" spans="1:15" x14ac:dyDescent="0.3">
      <c r="A701">
        <v>239948</v>
      </c>
      <c r="B701">
        <v>105</v>
      </c>
      <c r="C701" t="s">
        <v>557</v>
      </c>
      <c r="D701" t="s">
        <v>2581</v>
      </c>
      <c r="E701" t="s">
        <v>2754</v>
      </c>
      <c r="F701" s="451">
        <v>46184</v>
      </c>
      <c r="G701">
        <v>19480</v>
      </c>
      <c r="H701" t="s">
        <v>5119</v>
      </c>
      <c r="I701" t="s">
        <v>5191</v>
      </c>
      <c r="J701">
        <v>0.5</v>
      </c>
      <c r="K701" t="s">
        <v>4744</v>
      </c>
      <c r="L701">
        <v>11.5</v>
      </c>
      <c r="M701">
        <v>23</v>
      </c>
      <c r="N701" t="s">
        <v>5272</v>
      </c>
      <c r="O701" t="s">
        <v>464</v>
      </c>
    </row>
    <row r="702" spans="1:15" x14ac:dyDescent="0.3">
      <c r="A702">
        <v>239948</v>
      </c>
      <c r="B702">
        <v>105</v>
      </c>
      <c r="C702" t="s">
        <v>557</v>
      </c>
      <c r="D702" t="s">
        <v>2581</v>
      </c>
      <c r="E702" t="s">
        <v>2754</v>
      </c>
      <c r="F702" s="451">
        <v>46184</v>
      </c>
      <c r="G702">
        <v>23365</v>
      </c>
      <c r="H702" t="s">
        <v>5108</v>
      </c>
      <c r="I702" t="s">
        <v>5191</v>
      </c>
      <c r="J702">
        <v>1</v>
      </c>
      <c r="K702" t="s">
        <v>4744</v>
      </c>
      <c r="L702">
        <v>21</v>
      </c>
      <c r="M702">
        <v>21</v>
      </c>
      <c r="N702" t="s">
        <v>5272</v>
      </c>
      <c r="O702" t="s">
        <v>464</v>
      </c>
    </row>
    <row r="703" spans="1:15" x14ac:dyDescent="0.3">
      <c r="A703">
        <v>239948</v>
      </c>
      <c r="B703">
        <v>105</v>
      </c>
      <c r="C703" t="s">
        <v>557</v>
      </c>
      <c r="D703" t="s">
        <v>2581</v>
      </c>
      <c r="E703" t="s">
        <v>2754</v>
      </c>
      <c r="F703" s="451">
        <v>46184</v>
      </c>
      <c r="G703">
        <v>19589</v>
      </c>
      <c r="H703" t="s">
        <v>4983</v>
      </c>
      <c r="I703" t="s">
        <v>5191</v>
      </c>
      <c r="J703">
        <v>3</v>
      </c>
      <c r="K703" t="s">
        <v>4744</v>
      </c>
      <c r="L703">
        <v>28.5</v>
      </c>
      <c r="M703">
        <v>9.5</v>
      </c>
      <c r="N703" t="s">
        <v>5272</v>
      </c>
      <c r="O703" t="s">
        <v>464</v>
      </c>
    </row>
    <row r="704" spans="1:15" x14ac:dyDescent="0.3">
      <c r="A704">
        <v>239948</v>
      </c>
      <c r="B704">
        <v>105</v>
      </c>
      <c r="C704" t="s">
        <v>557</v>
      </c>
      <c r="D704" t="s">
        <v>2581</v>
      </c>
      <c r="E704" t="s">
        <v>2754</v>
      </c>
      <c r="F704" s="451">
        <v>46184</v>
      </c>
      <c r="G704">
        <v>23113</v>
      </c>
      <c r="H704" t="s">
        <v>5074</v>
      </c>
      <c r="I704" t="s">
        <v>5191</v>
      </c>
      <c r="J704">
        <v>1.5</v>
      </c>
      <c r="K704" t="s">
        <v>4744</v>
      </c>
      <c r="L704">
        <v>11.25</v>
      </c>
      <c r="M704">
        <v>7.5</v>
      </c>
      <c r="N704" t="s">
        <v>5272</v>
      </c>
      <c r="O704" t="s">
        <v>464</v>
      </c>
    </row>
    <row r="705" spans="1:15" x14ac:dyDescent="0.3">
      <c r="A705">
        <v>239948</v>
      </c>
      <c r="B705">
        <v>105</v>
      </c>
      <c r="C705" t="s">
        <v>557</v>
      </c>
      <c r="D705" t="s">
        <v>2581</v>
      </c>
      <c r="E705" t="s">
        <v>2754</v>
      </c>
      <c r="F705" s="451">
        <v>46184</v>
      </c>
      <c r="G705">
        <v>19505</v>
      </c>
      <c r="H705" t="s">
        <v>4872</v>
      </c>
      <c r="I705" t="s">
        <v>5191</v>
      </c>
      <c r="J705">
        <v>4.5</v>
      </c>
      <c r="K705" t="s">
        <v>4744</v>
      </c>
      <c r="L705">
        <v>49.5</v>
      </c>
      <c r="M705">
        <v>11</v>
      </c>
      <c r="N705" t="s">
        <v>5272</v>
      </c>
      <c r="O705" t="s">
        <v>464</v>
      </c>
    </row>
    <row r="706" spans="1:15" x14ac:dyDescent="0.3">
      <c r="A706">
        <v>239948</v>
      </c>
      <c r="B706">
        <v>105</v>
      </c>
      <c r="C706" t="s">
        <v>557</v>
      </c>
      <c r="D706" t="s">
        <v>2581</v>
      </c>
      <c r="E706" t="s">
        <v>2754</v>
      </c>
      <c r="F706" s="451">
        <v>46184</v>
      </c>
      <c r="G706">
        <v>19621</v>
      </c>
      <c r="H706" t="s">
        <v>4829</v>
      </c>
      <c r="I706" t="s">
        <v>5191</v>
      </c>
      <c r="J706">
        <v>4</v>
      </c>
      <c r="K706" t="s">
        <v>4744</v>
      </c>
      <c r="L706">
        <v>32</v>
      </c>
      <c r="M706">
        <v>8</v>
      </c>
      <c r="N706" t="s">
        <v>5272</v>
      </c>
      <c r="O706" t="s">
        <v>464</v>
      </c>
    </row>
    <row r="707" spans="1:15" x14ac:dyDescent="0.3">
      <c r="A707">
        <v>239948</v>
      </c>
      <c r="B707">
        <v>105</v>
      </c>
      <c r="C707" t="s">
        <v>557</v>
      </c>
      <c r="D707" t="s">
        <v>2581</v>
      </c>
      <c r="E707" t="s">
        <v>2754</v>
      </c>
      <c r="F707" s="451">
        <v>46184</v>
      </c>
      <c r="G707">
        <v>19488</v>
      </c>
      <c r="H707" t="s">
        <v>5107</v>
      </c>
      <c r="I707" t="s">
        <v>5191</v>
      </c>
      <c r="J707">
        <v>0.4</v>
      </c>
      <c r="K707" t="s">
        <v>4744</v>
      </c>
      <c r="L707">
        <v>5.2</v>
      </c>
      <c r="M707">
        <v>13</v>
      </c>
      <c r="N707" t="s">
        <v>5272</v>
      </c>
      <c r="O707" t="s">
        <v>464</v>
      </c>
    </row>
    <row r="708" spans="1:15" x14ac:dyDescent="0.3">
      <c r="A708">
        <v>239948</v>
      </c>
      <c r="B708">
        <v>105</v>
      </c>
      <c r="C708" t="s">
        <v>557</v>
      </c>
      <c r="D708" t="s">
        <v>2581</v>
      </c>
      <c r="E708" t="s">
        <v>2754</v>
      </c>
      <c r="F708" s="451">
        <v>46184</v>
      </c>
      <c r="G708">
        <v>23228</v>
      </c>
      <c r="H708" t="s">
        <v>4782</v>
      </c>
      <c r="I708" t="s">
        <v>5191</v>
      </c>
      <c r="J708">
        <v>5</v>
      </c>
      <c r="K708" t="s">
        <v>4744</v>
      </c>
      <c r="L708">
        <v>38.5</v>
      </c>
      <c r="M708">
        <v>7.7</v>
      </c>
      <c r="N708" t="s">
        <v>5272</v>
      </c>
      <c r="O708" t="s">
        <v>464</v>
      </c>
    </row>
    <row r="709" spans="1:15" x14ac:dyDescent="0.3">
      <c r="A709">
        <v>239948</v>
      </c>
      <c r="B709">
        <v>105</v>
      </c>
      <c r="C709" t="s">
        <v>557</v>
      </c>
      <c r="D709" t="s">
        <v>2581</v>
      </c>
      <c r="E709" t="s">
        <v>2754</v>
      </c>
      <c r="F709" s="451">
        <v>46184</v>
      </c>
      <c r="G709">
        <v>19737</v>
      </c>
      <c r="H709" t="s">
        <v>4940</v>
      </c>
      <c r="I709" t="s">
        <v>5191</v>
      </c>
      <c r="J709">
        <v>1</v>
      </c>
      <c r="K709" t="s">
        <v>4744</v>
      </c>
      <c r="L709">
        <v>6.2</v>
      </c>
      <c r="M709">
        <v>6.2</v>
      </c>
      <c r="N709" t="s">
        <v>5272</v>
      </c>
      <c r="O709" t="s">
        <v>464</v>
      </c>
    </row>
    <row r="710" spans="1:15" x14ac:dyDescent="0.3">
      <c r="A710">
        <v>239948</v>
      </c>
      <c r="B710">
        <v>105</v>
      </c>
      <c r="C710" t="s">
        <v>557</v>
      </c>
      <c r="D710" t="s">
        <v>2581</v>
      </c>
      <c r="E710" t="s">
        <v>2754</v>
      </c>
      <c r="F710" s="451">
        <v>46184</v>
      </c>
      <c r="G710">
        <v>19632</v>
      </c>
      <c r="H710" t="s">
        <v>4936</v>
      </c>
      <c r="I710" t="s">
        <v>5191</v>
      </c>
      <c r="J710">
        <v>1</v>
      </c>
      <c r="K710" t="s">
        <v>4744</v>
      </c>
      <c r="L710">
        <v>4.5</v>
      </c>
      <c r="M710">
        <v>4.5</v>
      </c>
      <c r="N710" t="s">
        <v>5272</v>
      </c>
      <c r="O710" t="s">
        <v>464</v>
      </c>
    </row>
    <row r="711" spans="1:15" x14ac:dyDescent="0.3">
      <c r="A711">
        <v>239948</v>
      </c>
      <c r="B711">
        <v>105</v>
      </c>
      <c r="C711" t="s">
        <v>557</v>
      </c>
      <c r="D711" t="s">
        <v>2581</v>
      </c>
      <c r="E711" t="s">
        <v>2754</v>
      </c>
      <c r="F711" s="451">
        <v>46184</v>
      </c>
      <c r="G711">
        <v>19654</v>
      </c>
      <c r="H711" t="s">
        <v>5099</v>
      </c>
      <c r="I711" t="s">
        <v>5191</v>
      </c>
      <c r="J711">
        <v>3</v>
      </c>
      <c r="K711" t="s">
        <v>4744</v>
      </c>
      <c r="L711">
        <v>16.5</v>
      </c>
      <c r="M711">
        <v>5.5</v>
      </c>
      <c r="N711" t="s">
        <v>5272</v>
      </c>
      <c r="O711" t="s">
        <v>464</v>
      </c>
    </row>
    <row r="712" spans="1:15" x14ac:dyDescent="0.3">
      <c r="A712">
        <v>239948</v>
      </c>
      <c r="B712">
        <v>105</v>
      </c>
      <c r="C712" t="s">
        <v>557</v>
      </c>
      <c r="D712" t="s">
        <v>2581</v>
      </c>
      <c r="E712" t="s">
        <v>2754</v>
      </c>
      <c r="F712" s="451">
        <v>46184</v>
      </c>
      <c r="G712">
        <v>19752</v>
      </c>
      <c r="H712" t="s">
        <v>4807</v>
      </c>
      <c r="I712" t="s">
        <v>5191</v>
      </c>
      <c r="J712">
        <v>2</v>
      </c>
      <c r="K712" t="s">
        <v>4744</v>
      </c>
      <c r="L712">
        <v>12</v>
      </c>
      <c r="M712">
        <v>6</v>
      </c>
      <c r="N712" t="s">
        <v>5272</v>
      </c>
      <c r="O712" t="s">
        <v>464</v>
      </c>
    </row>
    <row r="713" spans="1:15" x14ac:dyDescent="0.3">
      <c r="A713">
        <v>239948</v>
      </c>
      <c r="B713">
        <v>105</v>
      </c>
      <c r="C713" t="s">
        <v>557</v>
      </c>
      <c r="D713" t="s">
        <v>2581</v>
      </c>
      <c r="E713" t="s">
        <v>2754</v>
      </c>
      <c r="F713" s="451">
        <v>46184</v>
      </c>
      <c r="G713">
        <v>23390</v>
      </c>
      <c r="H713" t="s">
        <v>4873</v>
      </c>
      <c r="I713" t="s">
        <v>5191</v>
      </c>
      <c r="J713">
        <v>1</v>
      </c>
      <c r="K713" t="s">
        <v>4744</v>
      </c>
      <c r="L713">
        <v>8</v>
      </c>
      <c r="M713">
        <v>8</v>
      </c>
      <c r="N713" t="s">
        <v>5272</v>
      </c>
      <c r="O713" t="s">
        <v>464</v>
      </c>
    </row>
    <row r="714" spans="1:15" x14ac:dyDescent="0.3">
      <c r="A714">
        <v>239948</v>
      </c>
      <c r="B714">
        <v>105</v>
      </c>
      <c r="C714" t="s">
        <v>557</v>
      </c>
      <c r="D714" t="s">
        <v>2581</v>
      </c>
      <c r="E714" t="s">
        <v>2754</v>
      </c>
      <c r="F714" s="451">
        <v>46184</v>
      </c>
      <c r="G714">
        <v>19476</v>
      </c>
      <c r="H714" t="s">
        <v>5115</v>
      </c>
      <c r="I714" t="s">
        <v>5191</v>
      </c>
      <c r="J714">
        <v>0.3</v>
      </c>
      <c r="K714" t="s">
        <v>4744</v>
      </c>
      <c r="L714">
        <v>19.5</v>
      </c>
      <c r="M714">
        <v>65</v>
      </c>
      <c r="N714" t="s">
        <v>5272</v>
      </c>
      <c r="O714" t="s">
        <v>464</v>
      </c>
    </row>
    <row r="715" spans="1:15" x14ac:dyDescent="0.3">
      <c r="A715">
        <v>239938</v>
      </c>
      <c r="B715">
        <v>105</v>
      </c>
      <c r="C715" t="s">
        <v>557</v>
      </c>
      <c r="D715" t="s">
        <v>2581</v>
      </c>
      <c r="E715" t="s">
        <v>2755</v>
      </c>
      <c r="F715" s="451">
        <v>46183</v>
      </c>
      <c r="G715">
        <v>19532</v>
      </c>
      <c r="H715" t="s">
        <v>4753</v>
      </c>
      <c r="I715" t="s">
        <v>5191</v>
      </c>
      <c r="J715">
        <v>15</v>
      </c>
      <c r="K715" t="s">
        <v>4744</v>
      </c>
      <c r="L715">
        <v>180</v>
      </c>
      <c r="M715">
        <v>12</v>
      </c>
      <c r="N715" t="s">
        <v>5272</v>
      </c>
      <c r="O715" t="s">
        <v>464</v>
      </c>
    </row>
    <row r="716" spans="1:15" x14ac:dyDescent="0.3">
      <c r="A716">
        <v>239938</v>
      </c>
      <c r="B716">
        <v>105</v>
      </c>
      <c r="C716" t="s">
        <v>557</v>
      </c>
      <c r="D716" t="s">
        <v>2581</v>
      </c>
      <c r="E716" t="s">
        <v>2755</v>
      </c>
      <c r="F716" s="451">
        <v>46183</v>
      </c>
      <c r="G716">
        <v>19505</v>
      </c>
      <c r="H716" t="s">
        <v>4872</v>
      </c>
      <c r="I716" t="s">
        <v>5191</v>
      </c>
      <c r="J716">
        <v>3</v>
      </c>
      <c r="K716" t="s">
        <v>4744</v>
      </c>
      <c r="L716">
        <v>33</v>
      </c>
      <c r="M716">
        <v>11</v>
      </c>
      <c r="N716" t="s">
        <v>5272</v>
      </c>
      <c r="O716" t="s">
        <v>464</v>
      </c>
    </row>
    <row r="717" spans="1:15" x14ac:dyDescent="0.3">
      <c r="A717">
        <v>239934</v>
      </c>
      <c r="B717">
        <v>105</v>
      </c>
      <c r="C717" t="s">
        <v>557</v>
      </c>
      <c r="D717" t="s">
        <v>2581</v>
      </c>
      <c r="E717" t="s">
        <v>2756</v>
      </c>
      <c r="F717" s="451">
        <v>46182</v>
      </c>
      <c r="G717">
        <v>24099</v>
      </c>
      <c r="H717" t="s">
        <v>4933</v>
      </c>
      <c r="I717" t="s">
        <v>5191</v>
      </c>
      <c r="J717">
        <v>1</v>
      </c>
      <c r="K717" t="s">
        <v>4744</v>
      </c>
      <c r="L717">
        <v>16.5</v>
      </c>
      <c r="M717">
        <v>16.5</v>
      </c>
      <c r="N717" t="s">
        <v>5272</v>
      </c>
      <c r="O717" t="s">
        <v>464</v>
      </c>
    </row>
    <row r="718" spans="1:15" x14ac:dyDescent="0.3">
      <c r="A718">
        <v>239934</v>
      </c>
      <c r="B718">
        <v>105</v>
      </c>
      <c r="C718" t="s">
        <v>557</v>
      </c>
      <c r="D718" t="s">
        <v>2581</v>
      </c>
      <c r="E718" t="s">
        <v>2756</v>
      </c>
      <c r="F718" s="451">
        <v>46182</v>
      </c>
      <c r="G718">
        <v>19589</v>
      </c>
      <c r="H718" t="s">
        <v>4983</v>
      </c>
      <c r="I718" t="s">
        <v>5191</v>
      </c>
      <c r="J718">
        <v>2</v>
      </c>
      <c r="K718" t="s">
        <v>4744</v>
      </c>
      <c r="L718">
        <v>21</v>
      </c>
      <c r="M718">
        <v>10.5</v>
      </c>
      <c r="N718" t="s">
        <v>5272</v>
      </c>
      <c r="O718" t="s">
        <v>464</v>
      </c>
    </row>
    <row r="719" spans="1:15" x14ac:dyDescent="0.3">
      <c r="A719">
        <v>239934</v>
      </c>
      <c r="B719">
        <v>105</v>
      </c>
      <c r="C719" t="s">
        <v>557</v>
      </c>
      <c r="D719" t="s">
        <v>2581</v>
      </c>
      <c r="E719" t="s">
        <v>2756</v>
      </c>
      <c r="F719" s="451">
        <v>46182</v>
      </c>
      <c r="G719">
        <v>23390</v>
      </c>
      <c r="H719" t="s">
        <v>4873</v>
      </c>
      <c r="I719" t="s">
        <v>5191</v>
      </c>
      <c r="J719">
        <v>0.5</v>
      </c>
      <c r="K719" t="s">
        <v>4744</v>
      </c>
      <c r="L719">
        <v>4</v>
      </c>
      <c r="M719">
        <v>8</v>
      </c>
      <c r="N719" t="s">
        <v>5272</v>
      </c>
      <c r="O719" t="s">
        <v>464</v>
      </c>
    </row>
    <row r="720" spans="1:15" x14ac:dyDescent="0.3">
      <c r="A720">
        <v>239934</v>
      </c>
      <c r="B720">
        <v>105</v>
      </c>
      <c r="C720" t="s">
        <v>557</v>
      </c>
      <c r="D720" t="s">
        <v>2581</v>
      </c>
      <c r="E720" t="s">
        <v>2756</v>
      </c>
      <c r="F720" s="451">
        <v>46182</v>
      </c>
      <c r="G720">
        <v>19472</v>
      </c>
      <c r="H720" t="s">
        <v>4906</v>
      </c>
      <c r="I720" t="s">
        <v>5191</v>
      </c>
      <c r="J720">
        <v>1.5</v>
      </c>
      <c r="K720" t="s">
        <v>4744</v>
      </c>
      <c r="L720">
        <v>34.5</v>
      </c>
      <c r="M720">
        <v>23</v>
      </c>
      <c r="N720" t="s">
        <v>5272</v>
      </c>
      <c r="O720" t="s">
        <v>464</v>
      </c>
    </row>
    <row r="721" spans="1:15" x14ac:dyDescent="0.3">
      <c r="A721">
        <v>239934</v>
      </c>
      <c r="B721">
        <v>105</v>
      </c>
      <c r="C721" t="s">
        <v>557</v>
      </c>
      <c r="D721" t="s">
        <v>2581</v>
      </c>
      <c r="E721" t="s">
        <v>2756</v>
      </c>
      <c r="F721" s="451">
        <v>46182</v>
      </c>
      <c r="G721">
        <v>19505</v>
      </c>
      <c r="H721" t="s">
        <v>4872</v>
      </c>
      <c r="I721" t="s">
        <v>5191</v>
      </c>
      <c r="J721">
        <v>3.8</v>
      </c>
      <c r="K721" t="s">
        <v>4744</v>
      </c>
      <c r="L721">
        <v>43.7</v>
      </c>
      <c r="M721">
        <v>11.5</v>
      </c>
      <c r="N721" t="s">
        <v>5272</v>
      </c>
      <c r="O721" t="s">
        <v>464</v>
      </c>
    </row>
    <row r="722" spans="1:15" x14ac:dyDescent="0.3">
      <c r="A722">
        <v>239934</v>
      </c>
      <c r="B722">
        <v>105</v>
      </c>
      <c r="C722" t="s">
        <v>557</v>
      </c>
      <c r="D722" t="s">
        <v>2581</v>
      </c>
      <c r="E722" t="s">
        <v>2756</v>
      </c>
      <c r="F722" s="451">
        <v>46182</v>
      </c>
      <c r="G722">
        <v>23365</v>
      </c>
      <c r="H722" t="s">
        <v>5108</v>
      </c>
      <c r="I722" t="s">
        <v>5191</v>
      </c>
      <c r="J722">
        <v>1</v>
      </c>
      <c r="K722" t="s">
        <v>4744</v>
      </c>
      <c r="L722">
        <v>20</v>
      </c>
      <c r="M722">
        <v>20</v>
      </c>
      <c r="N722" t="s">
        <v>5272</v>
      </c>
      <c r="O722" t="s">
        <v>464</v>
      </c>
    </row>
    <row r="723" spans="1:15" x14ac:dyDescent="0.3">
      <c r="A723">
        <v>239934</v>
      </c>
      <c r="B723">
        <v>105</v>
      </c>
      <c r="C723" t="s">
        <v>557</v>
      </c>
      <c r="D723" t="s">
        <v>2581</v>
      </c>
      <c r="E723" t="s">
        <v>2756</v>
      </c>
      <c r="F723" s="451">
        <v>46182</v>
      </c>
      <c r="G723">
        <v>19787</v>
      </c>
      <c r="H723" t="s">
        <v>4793</v>
      </c>
      <c r="I723" t="s">
        <v>5191</v>
      </c>
      <c r="J723">
        <v>5</v>
      </c>
      <c r="K723" t="s">
        <v>4744</v>
      </c>
      <c r="L723">
        <v>29.25</v>
      </c>
      <c r="M723">
        <v>5.85</v>
      </c>
      <c r="N723" t="s">
        <v>5272</v>
      </c>
      <c r="O723" t="s">
        <v>464</v>
      </c>
    </row>
    <row r="724" spans="1:15" x14ac:dyDescent="0.3">
      <c r="A724">
        <v>239932</v>
      </c>
      <c r="B724">
        <v>105</v>
      </c>
      <c r="C724" t="s">
        <v>557</v>
      </c>
      <c r="D724" t="s">
        <v>2581</v>
      </c>
      <c r="E724" t="s">
        <v>2757</v>
      </c>
      <c r="F724" s="451">
        <v>46181</v>
      </c>
      <c r="G724">
        <v>23236</v>
      </c>
      <c r="H724" t="s">
        <v>5062</v>
      </c>
      <c r="I724" t="s">
        <v>5191</v>
      </c>
      <c r="J724">
        <v>3</v>
      </c>
      <c r="K724" t="s">
        <v>4744</v>
      </c>
      <c r="L724">
        <v>36</v>
      </c>
      <c r="M724">
        <v>12</v>
      </c>
      <c r="N724" t="s">
        <v>5272</v>
      </c>
      <c r="O724" t="s">
        <v>464</v>
      </c>
    </row>
    <row r="725" spans="1:15" x14ac:dyDescent="0.3">
      <c r="A725">
        <v>239932</v>
      </c>
      <c r="B725">
        <v>105</v>
      </c>
      <c r="C725" t="s">
        <v>557</v>
      </c>
      <c r="D725" t="s">
        <v>2581</v>
      </c>
      <c r="E725" t="s">
        <v>2757</v>
      </c>
      <c r="F725" s="451">
        <v>46181</v>
      </c>
      <c r="G725">
        <v>23361</v>
      </c>
      <c r="H725" t="s">
        <v>4754</v>
      </c>
      <c r="I725" t="s">
        <v>5191</v>
      </c>
      <c r="J725">
        <v>20</v>
      </c>
      <c r="K725" t="s">
        <v>4744</v>
      </c>
      <c r="L725">
        <v>57</v>
      </c>
      <c r="M725">
        <v>2.85</v>
      </c>
      <c r="N725" t="s">
        <v>5272</v>
      </c>
      <c r="O725" t="s">
        <v>464</v>
      </c>
    </row>
    <row r="726" spans="1:15" x14ac:dyDescent="0.3">
      <c r="A726">
        <v>239932</v>
      </c>
      <c r="B726">
        <v>105</v>
      </c>
      <c r="C726" t="s">
        <v>557</v>
      </c>
      <c r="D726" t="s">
        <v>2581</v>
      </c>
      <c r="E726" t="s">
        <v>2757</v>
      </c>
      <c r="F726" s="451">
        <v>46181</v>
      </c>
      <c r="G726">
        <v>19476</v>
      </c>
      <c r="H726" t="s">
        <v>5115</v>
      </c>
      <c r="I726" t="s">
        <v>5191</v>
      </c>
      <c r="J726">
        <v>0.3</v>
      </c>
      <c r="K726" t="s">
        <v>4744</v>
      </c>
      <c r="L726">
        <v>19.5</v>
      </c>
      <c r="M726">
        <v>65</v>
      </c>
      <c r="N726" t="s">
        <v>5272</v>
      </c>
      <c r="O726" t="s">
        <v>464</v>
      </c>
    </row>
    <row r="727" spans="1:15" x14ac:dyDescent="0.3">
      <c r="A727">
        <v>239932</v>
      </c>
      <c r="B727">
        <v>105</v>
      </c>
      <c r="C727" t="s">
        <v>557</v>
      </c>
      <c r="D727" t="s">
        <v>2581</v>
      </c>
      <c r="E727" t="s">
        <v>2757</v>
      </c>
      <c r="F727" s="451">
        <v>46181</v>
      </c>
      <c r="G727">
        <v>19742</v>
      </c>
      <c r="H727" t="s">
        <v>4900</v>
      </c>
      <c r="I727" t="s">
        <v>5191</v>
      </c>
      <c r="J727">
        <v>2</v>
      </c>
      <c r="K727" t="s">
        <v>4744</v>
      </c>
      <c r="L727">
        <v>28</v>
      </c>
      <c r="M727">
        <v>14</v>
      </c>
      <c r="N727" t="s">
        <v>5272</v>
      </c>
      <c r="O727" t="s">
        <v>464</v>
      </c>
    </row>
    <row r="728" spans="1:15" x14ac:dyDescent="0.3">
      <c r="A728">
        <v>239932</v>
      </c>
      <c r="B728">
        <v>105</v>
      </c>
      <c r="C728" t="s">
        <v>557</v>
      </c>
      <c r="D728" t="s">
        <v>2581</v>
      </c>
      <c r="E728" t="s">
        <v>2757</v>
      </c>
      <c r="F728" s="451">
        <v>46181</v>
      </c>
      <c r="G728">
        <v>19505</v>
      </c>
      <c r="H728" t="s">
        <v>4872</v>
      </c>
      <c r="I728" t="s">
        <v>5191</v>
      </c>
      <c r="J728">
        <v>3</v>
      </c>
      <c r="K728" t="s">
        <v>4744</v>
      </c>
      <c r="L728">
        <v>34.5</v>
      </c>
      <c r="M728">
        <v>11.5</v>
      </c>
      <c r="N728" t="s">
        <v>5272</v>
      </c>
      <c r="O728" t="s">
        <v>464</v>
      </c>
    </row>
    <row r="729" spans="1:15" x14ac:dyDescent="0.3">
      <c r="A729">
        <v>239932</v>
      </c>
      <c r="B729">
        <v>105</v>
      </c>
      <c r="C729" t="s">
        <v>557</v>
      </c>
      <c r="D729" t="s">
        <v>2581</v>
      </c>
      <c r="E729" t="s">
        <v>2757</v>
      </c>
      <c r="F729" s="451">
        <v>46181</v>
      </c>
      <c r="G729">
        <v>19654</v>
      </c>
      <c r="H729" t="s">
        <v>5099</v>
      </c>
      <c r="I729" t="s">
        <v>5191</v>
      </c>
      <c r="J729">
        <v>2</v>
      </c>
      <c r="K729" t="s">
        <v>4744</v>
      </c>
      <c r="L729">
        <v>13</v>
      </c>
      <c r="M729">
        <v>6.5</v>
      </c>
      <c r="N729" t="s">
        <v>5272</v>
      </c>
      <c r="O729" t="s">
        <v>464</v>
      </c>
    </row>
    <row r="730" spans="1:15" x14ac:dyDescent="0.3">
      <c r="A730">
        <v>239932</v>
      </c>
      <c r="B730">
        <v>105</v>
      </c>
      <c r="C730" t="s">
        <v>557</v>
      </c>
      <c r="D730" t="s">
        <v>2581</v>
      </c>
      <c r="E730" t="s">
        <v>2757</v>
      </c>
      <c r="F730" s="451">
        <v>46181</v>
      </c>
      <c r="G730">
        <v>19621</v>
      </c>
      <c r="H730" t="s">
        <v>4829</v>
      </c>
      <c r="I730" t="s">
        <v>5191</v>
      </c>
      <c r="J730">
        <v>3</v>
      </c>
      <c r="K730" t="s">
        <v>4744</v>
      </c>
      <c r="L730">
        <v>25.5</v>
      </c>
      <c r="M730">
        <v>8.5</v>
      </c>
      <c r="N730" t="s">
        <v>5272</v>
      </c>
      <c r="O730" t="s">
        <v>464</v>
      </c>
    </row>
    <row r="731" spans="1:15" x14ac:dyDescent="0.3">
      <c r="A731">
        <v>239932</v>
      </c>
      <c r="B731">
        <v>105</v>
      </c>
      <c r="C731" t="s">
        <v>557</v>
      </c>
      <c r="D731" t="s">
        <v>2581</v>
      </c>
      <c r="E731" t="s">
        <v>2757</v>
      </c>
      <c r="F731" s="451">
        <v>46181</v>
      </c>
      <c r="G731">
        <v>19635</v>
      </c>
      <c r="H731" t="s">
        <v>4786</v>
      </c>
      <c r="I731" t="s">
        <v>5191</v>
      </c>
      <c r="J731">
        <v>6</v>
      </c>
      <c r="K731" t="s">
        <v>4744</v>
      </c>
      <c r="L731">
        <v>25.2</v>
      </c>
      <c r="M731">
        <v>4.2</v>
      </c>
      <c r="N731" t="s">
        <v>5272</v>
      </c>
      <c r="O731" t="s">
        <v>464</v>
      </c>
    </row>
    <row r="732" spans="1:15" x14ac:dyDescent="0.3">
      <c r="A732">
        <v>239932</v>
      </c>
      <c r="B732">
        <v>105</v>
      </c>
      <c r="C732" t="s">
        <v>557</v>
      </c>
      <c r="D732" t="s">
        <v>2581</v>
      </c>
      <c r="E732" t="s">
        <v>2757</v>
      </c>
      <c r="F732" s="451">
        <v>46181</v>
      </c>
      <c r="G732">
        <v>19617</v>
      </c>
      <c r="H732" t="s">
        <v>5071</v>
      </c>
      <c r="I732" t="s">
        <v>5191</v>
      </c>
      <c r="J732">
        <v>0.5</v>
      </c>
      <c r="K732" t="s">
        <v>4744</v>
      </c>
      <c r="L732">
        <v>19.5</v>
      </c>
      <c r="M732">
        <v>39</v>
      </c>
      <c r="N732" t="s">
        <v>5272</v>
      </c>
      <c r="O732" t="s">
        <v>464</v>
      </c>
    </row>
    <row r="733" spans="1:15" x14ac:dyDescent="0.3">
      <c r="A733">
        <v>239932</v>
      </c>
      <c r="B733">
        <v>105</v>
      </c>
      <c r="C733" t="s">
        <v>557</v>
      </c>
      <c r="D733" t="s">
        <v>2581</v>
      </c>
      <c r="E733" t="s">
        <v>2757</v>
      </c>
      <c r="F733" s="451">
        <v>46181</v>
      </c>
      <c r="G733">
        <v>19507</v>
      </c>
      <c r="H733" t="s">
        <v>4853</v>
      </c>
      <c r="I733" t="s">
        <v>5191</v>
      </c>
      <c r="J733">
        <v>1.3</v>
      </c>
      <c r="K733" t="s">
        <v>4744</v>
      </c>
      <c r="L733">
        <v>24.7</v>
      </c>
      <c r="M733">
        <v>19</v>
      </c>
      <c r="N733" t="s">
        <v>5272</v>
      </c>
      <c r="O733" t="s">
        <v>464</v>
      </c>
    </row>
    <row r="734" spans="1:15" x14ac:dyDescent="0.3">
      <c r="A734">
        <v>239932</v>
      </c>
      <c r="B734">
        <v>105</v>
      </c>
      <c r="C734" t="s">
        <v>557</v>
      </c>
      <c r="D734" t="s">
        <v>2581</v>
      </c>
      <c r="E734" t="s">
        <v>2757</v>
      </c>
      <c r="F734" s="451">
        <v>46181</v>
      </c>
      <c r="G734">
        <v>19737</v>
      </c>
      <c r="H734" t="s">
        <v>4940</v>
      </c>
      <c r="I734" t="s">
        <v>5191</v>
      </c>
      <c r="J734">
        <v>1</v>
      </c>
      <c r="K734" t="s">
        <v>4744</v>
      </c>
      <c r="L734">
        <v>6.4</v>
      </c>
      <c r="M734">
        <v>6.4</v>
      </c>
      <c r="N734" t="s">
        <v>5272</v>
      </c>
      <c r="O734" t="s">
        <v>464</v>
      </c>
    </row>
    <row r="735" spans="1:15" x14ac:dyDescent="0.3">
      <c r="A735">
        <v>239932</v>
      </c>
      <c r="B735">
        <v>105</v>
      </c>
      <c r="C735" t="s">
        <v>557</v>
      </c>
      <c r="D735" t="s">
        <v>2581</v>
      </c>
      <c r="E735" t="s">
        <v>2757</v>
      </c>
      <c r="F735" s="451">
        <v>46181</v>
      </c>
      <c r="G735">
        <v>19589</v>
      </c>
      <c r="H735" t="s">
        <v>4983</v>
      </c>
      <c r="I735" t="s">
        <v>5191</v>
      </c>
      <c r="J735">
        <v>2</v>
      </c>
      <c r="K735" t="s">
        <v>4744</v>
      </c>
      <c r="L735">
        <v>21</v>
      </c>
      <c r="M735">
        <v>10.5</v>
      </c>
      <c r="N735" t="s">
        <v>5272</v>
      </c>
      <c r="O735" t="s">
        <v>464</v>
      </c>
    </row>
    <row r="736" spans="1:15" x14ac:dyDescent="0.3">
      <c r="A736">
        <v>239932</v>
      </c>
      <c r="B736">
        <v>105</v>
      </c>
      <c r="C736" t="s">
        <v>557</v>
      </c>
      <c r="D736" t="s">
        <v>2581</v>
      </c>
      <c r="E736" t="s">
        <v>2757</v>
      </c>
      <c r="F736" s="451">
        <v>46181</v>
      </c>
      <c r="G736">
        <v>19787</v>
      </c>
      <c r="H736" t="s">
        <v>4793</v>
      </c>
      <c r="I736" t="s">
        <v>5191</v>
      </c>
      <c r="J736">
        <v>6</v>
      </c>
      <c r="K736" t="s">
        <v>4744</v>
      </c>
      <c r="L736">
        <v>34.799999999999997</v>
      </c>
      <c r="M736">
        <v>5.8</v>
      </c>
      <c r="N736" t="s">
        <v>5272</v>
      </c>
      <c r="O736" t="s">
        <v>464</v>
      </c>
    </row>
    <row r="737" spans="1:15" x14ac:dyDescent="0.3">
      <c r="A737">
        <v>239932</v>
      </c>
      <c r="B737">
        <v>105</v>
      </c>
      <c r="C737" t="s">
        <v>557</v>
      </c>
      <c r="D737" t="s">
        <v>2581</v>
      </c>
      <c r="E737" t="s">
        <v>2757</v>
      </c>
      <c r="F737" s="451">
        <v>46181</v>
      </c>
      <c r="G737">
        <v>19632</v>
      </c>
      <c r="H737" t="s">
        <v>4936</v>
      </c>
      <c r="I737" t="s">
        <v>5191</v>
      </c>
      <c r="J737">
        <v>1.5</v>
      </c>
      <c r="K737" t="s">
        <v>4744</v>
      </c>
      <c r="L737">
        <v>6.75</v>
      </c>
      <c r="M737">
        <v>4.5</v>
      </c>
      <c r="N737" t="s">
        <v>5272</v>
      </c>
      <c r="O737" t="s">
        <v>464</v>
      </c>
    </row>
    <row r="738" spans="1:15" x14ac:dyDescent="0.3">
      <c r="A738">
        <v>239932</v>
      </c>
      <c r="B738">
        <v>105</v>
      </c>
      <c r="C738" t="s">
        <v>557</v>
      </c>
      <c r="D738" t="s">
        <v>2581</v>
      </c>
      <c r="E738" t="s">
        <v>2757</v>
      </c>
      <c r="F738" s="451">
        <v>46181</v>
      </c>
      <c r="G738">
        <v>23365</v>
      </c>
      <c r="H738" t="s">
        <v>5108</v>
      </c>
      <c r="I738" t="s">
        <v>5191</v>
      </c>
      <c r="J738">
        <v>0.5</v>
      </c>
      <c r="K738" t="s">
        <v>4744</v>
      </c>
      <c r="L738">
        <v>10</v>
      </c>
      <c r="M738">
        <v>20</v>
      </c>
      <c r="N738" t="s">
        <v>5272</v>
      </c>
      <c r="O738" t="s">
        <v>464</v>
      </c>
    </row>
    <row r="739" spans="1:15" x14ac:dyDescent="0.3">
      <c r="A739">
        <v>239932</v>
      </c>
      <c r="B739">
        <v>105</v>
      </c>
      <c r="C739" t="s">
        <v>557</v>
      </c>
      <c r="D739" t="s">
        <v>2581</v>
      </c>
      <c r="E739" t="s">
        <v>2757</v>
      </c>
      <c r="F739" s="451">
        <v>46181</v>
      </c>
      <c r="G739">
        <v>23195</v>
      </c>
      <c r="H739" t="s">
        <v>5051</v>
      </c>
      <c r="I739" t="s">
        <v>5191</v>
      </c>
      <c r="J739">
        <v>0.4</v>
      </c>
      <c r="K739" t="s">
        <v>4744</v>
      </c>
      <c r="L739">
        <v>4</v>
      </c>
      <c r="M739">
        <v>10</v>
      </c>
      <c r="N739" t="s">
        <v>5272</v>
      </c>
      <c r="O739" t="s">
        <v>464</v>
      </c>
    </row>
    <row r="740" spans="1:15" x14ac:dyDescent="0.3">
      <c r="A740">
        <v>239932</v>
      </c>
      <c r="B740">
        <v>105</v>
      </c>
      <c r="C740" t="s">
        <v>557</v>
      </c>
      <c r="D740" t="s">
        <v>2581</v>
      </c>
      <c r="E740" t="s">
        <v>2757</v>
      </c>
      <c r="F740" s="451">
        <v>46181</v>
      </c>
      <c r="G740">
        <v>19532</v>
      </c>
      <c r="H740" t="s">
        <v>4753</v>
      </c>
      <c r="I740" t="s">
        <v>5191</v>
      </c>
      <c r="J740">
        <v>10</v>
      </c>
      <c r="K740" t="s">
        <v>4744</v>
      </c>
      <c r="L740">
        <v>130</v>
      </c>
      <c r="M740">
        <v>13</v>
      </c>
      <c r="N740" t="s">
        <v>5272</v>
      </c>
      <c r="O740" t="s">
        <v>464</v>
      </c>
    </row>
    <row r="741" spans="1:15" x14ac:dyDescent="0.3">
      <c r="A741">
        <v>239932</v>
      </c>
      <c r="B741">
        <v>105</v>
      </c>
      <c r="C741" t="s">
        <v>557</v>
      </c>
      <c r="D741" t="s">
        <v>2581</v>
      </c>
      <c r="E741" t="s">
        <v>2757</v>
      </c>
      <c r="F741" s="451">
        <v>46181</v>
      </c>
      <c r="G741">
        <v>19472</v>
      </c>
      <c r="H741" t="s">
        <v>4906</v>
      </c>
      <c r="I741" t="s">
        <v>5191</v>
      </c>
      <c r="J741">
        <v>2</v>
      </c>
      <c r="K741" t="s">
        <v>4744</v>
      </c>
      <c r="L741">
        <v>48</v>
      </c>
      <c r="M741">
        <v>24</v>
      </c>
      <c r="N741" t="s">
        <v>5272</v>
      </c>
      <c r="O741" t="s">
        <v>464</v>
      </c>
    </row>
    <row r="742" spans="1:15" x14ac:dyDescent="0.3">
      <c r="A742">
        <v>239932</v>
      </c>
      <c r="B742">
        <v>105</v>
      </c>
      <c r="C742" t="s">
        <v>557</v>
      </c>
      <c r="D742" t="s">
        <v>2581</v>
      </c>
      <c r="E742" t="s">
        <v>2757</v>
      </c>
      <c r="F742" s="451">
        <v>46181</v>
      </c>
      <c r="G742">
        <v>24509</v>
      </c>
      <c r="H742" t="s">
        <v>4788</v>
      </c>
      <c r="I742" t="s">
        <v>5191</v>
      </c>
      <c r="J742">
        <v>8</v>
      </c>
      <c r="K742" t="s">
        <v>4744</v>
      </c>
      <c r="L742">
        <v>36</v>
      </c>
      <c r="M742">
        <v>4.5</v>
      </c>
      <c r="N742" t="s">
        <v>5272</v>
      </c>
      <c r="O742" t="s">
        <v>464</v>
      </c>
    </row>
    <row r="743" spans="1:15" x14ac:dyDescent="0.3">
      <c r="A743">
        <v>239932</v>
      </c>
      <c r="B743">
        <v>105</v>
      </c>
      <c r="C743" t="s">
        <v>557</v>
      </c>
      <c r="D743" t="s">
        <v>2581</v>
      </c>
      <c r="E743" t="s">
        <v>2757</v>
      </c>
      <c r="F743" s="451">
        <v>46181</v>
      </c>
      <c r="G743">
        <v>23359</v>
      </c>
      <c r="H743" t="s">
        <v>4767</v>
      </c>
      <c r="I743" t="s">
        <v>5191</v>
      </c>
      <c r="J743">
        <v>15</v>
      </c>
      <c r="K743" t="s">
        <v>4744</v>
      </c>
      <c r="L743">
        <v>34.5</v>
      </c>
      <c r="M743">
        <v>2.2999999999999998</v>
      </c>
      <c r="N743" t="s">
        <v>5272</v>
      </c>
      <c r="O743" t="s">
        <v>464</v>
      </c>
    </row>
    <row r="744" spans="1:15" x14ac:dyDescent="0.3">
      <c r="A744">
        <v>239931</v>
      </c>
      <c r="B744">
        <v>105</v>
      </c>
      <c r="C744" t="s">
        <v>557</v>
      </c>
      <c r="D744" t="s">
        <v>2581</v>
      </c>
      <c r="E744" t="s">
        <v>2758</v>
      </c>
      <c r="F744" s="451">
        <v>46178</v>
      </c>
      <c r="G744">
        <v>19472</v>
      </c>
      <c r="H744" t="s">
        <v>4906</v>
      </c>
      <c r="I744" t="s">
        <v>5191</v>
      </c>
      <c r="J744">
        <v>2</v>
      </c>
      <c r="K744" t="s">
        <v>4744</v>
      </c>
      <c r="L744">
        <v>52</v>
      </c>
      <c r="M744">
        <v>26</v>
      </c>
      <c r="N744" t="s">
        <v>5272</v>
      </c>
      <c r="O744" t="s">
        <v>464</v>
      </c>
    </row>
    <row r="745" spans="1:15" x14ac:dyDescent="0.3">
      <c r="A745">
        <v>239931</v>
      </c>
      <c r="B745">
        <v>105</v>
      </c>
      <c r="C745" t="s">
        <v>557</v>
      </c>
      <c r="D745" t="s">
        <v>2581</v>
      </c>
      <c r="E745" t="s">
        <v>2758</v>
      </c>
      <c r="F745" s="451">
        <v>46178</v>
      </c>
      <c r="G745">
        <v>19507</v>
      </c>
      <c r="H745" t="s">
        <v>4853</v>
      </c>
      <c r="I745" t="s">
        <v>5191</v>
      </c>
      <c r="J745">
        <v>2</v>
      </c>
      <c r="K745" t="s">
        <v>4744</v>
      </c>
      <c r="L745">
        <v>38</v>
      </c>
      <c r="M745">
        <v>19</v>
      </c>
      <c r="N745" t="s">
        <v>5272</v>
      </c>
      <c r="O745" t="s">
        <v>464</v>
      </c>
    </row>
    <row r="746" spans="1:15" x14ac:dyDescent="0.3">
      <c r="A746">
        <v>239931</v>
      </c>
      <c r="B746">
        <v>105</v>
      </c>
      <c r="C746" t="s">
        <v>557</v>
      </c>
      <c r="D746" t="s">
        <v>2581</v>
      </c>
      <c r="E746" t="s">
        <v>2758</v>
      </c>
      <c r="F746" s="451">
        <v>46178</v>
      </c>
      <c r="G746">
        <v>23389</v>
      </c>
      <c r="H746" t="s">
        <v>4960</v>
      </c>
      <c r="I746" t="s">
        <v>5191</v>
      </c>
      <c r="J746">
        <v>5</v>
      </c>
      <c r="K746" t="s">
        <v>4744</v>
      </c>
      <c r="L746">
        <v>22.5</v>
      </c>
      <c r="M746">
        <v>4.5</v>
      </c>
      <c r="N746" t="s">
        <v>5272</v>
      </c>
      <c r="O746" t="s">
        <v>464</v>
      </c>
    </row>
    <row r="747" spans="1:15" x14ac:dyDescent="0.3">
      <c r="A747">
        <v>239929</v>
      </c>
      <c r="B747">
        <v>105</v>
      </c>
      <c r="C747" t="s">
        <v>557</v>
      </c>
      <c r="D747" t="s">
        <v>2581</v>
      </c>
      <c r="E747" t="s">
        <v>2759</v>
      </c>
      <c r="F747" s="451">
        <v>46177</v>
      </c>
      <c r="G747">
        <v>19505</v>
      </c>
      <c r="H747" t="s">
        <v>4872</v>
      </c>
      <c r="I747" t="s">
        <v>5191</v>
      </c>
      <c r="J747">
        <v>4</v>
      </c>
      <c r="K747" t="s">
        <v>4744</v>
      </c>
      <c r="L747">
        <v>46</v>
      </c>
      <c r="M747">
        <v>11.5</v>
      </c>
      <c r="N747" t="s">
        <v>5272</v>
      </c>
      <c r="O747" t="s">
        <v>464</v>
      </c>
    </row>
    <row r="748" spans="1:15" x14ac:dyDescent="0.3">
      <c r="A748">
        <v>239929</v>
      </c>
      <c r="B748">
        <v>105</v>
      </c>
      <c r="C748" t="s">
        <v>557</v>
      </c>
      <c r="D748" t="s">
        <v>2581</v>
      </c>
      <c r="E748" t="s">
        <v>2759</v>
      </c>
      <c r="F748" s="451">
        <v>46177</v>
      </c>
      <c r="G748">
        <v>19751</v>
      </c>
      <c r="H748" t="s">
        <v>4800</v>
      </c>
      <c r="I748" t="s">
        <v>5191</v>
      </c>
      <c r="J748">
        <v>3</v>
      </c>
      <c r="K748" t="s">
        <v>4744</v>
      </c>
      <c r="L748">
        <v>26.7</v>
      </c>
      <c r="M748">
        <v>8.9</v>
      </c>
      <c r="N748" t="s">
        <v>5272</v>
      </c>
      <c r="O748" t="s">
        <v>464</v>
      </c>
    </row>
    <row r="749" spans="1:15" x14ac:dyDescent="0.3">
      <c r="A749">
        <v>239929</v>
      </c>
      <c r="B749">
        <v>105</v>
      </c>
      <c r="C749" t="s">
        <v>557</v>
      </c>
      <c r="D749" t="s">
        <v>2581</v>
      </c>
      <c r="E749" t="s">
        <v>2759</v>
      </c>
      <c r="F749" s="451">
        <v>46177</v>
      </c>
      <c r="G749">
        <v>23236</v>
      </c>
      <c r="H749" t="s">
        <v>5062</v>
      </c>
      <c r="I749" t="s">
        <v>5191</v>
      </c>
      <c r="J749">
        <v>2</v>
      </c>
      <c r="K749" t="s">
        <v>4744</v>
      </c>
      <c r="L749">
        <v>24</v>
      </c>
      <c r="M749">
        <v>12</v>
      </c>
      <c r="N749" t="s">
        <v>5272</v>
      </c>
      <c r="O749" t="s">
        <v>464</v>
      </c>
    </row>
    <row r="750" spans="1:15" x14ac:dyDescent="0.3">
      <c r="A750">
        <v>239929</v>
      </c>
      <c r="B750">
        <v>105</v>
      </c>
      <c r="C750" t="s">
        <v>557</v>
      </c>
      <c r="D750" t="s">
        <v>2581</v>
      </c>
      <c r="E750" t="s">
        <v>2759</v>
      </c>
      <c r="F750" s="451">
        <v>46177</v>
      </c>
      <c r="G750">
        <v>24509</v>
      </c>
      <c r="H750" t="s">
        <v>4788</v>
      </c>
      <c r="I750" t="s">
        <v>5191</v>
      </c>
      <c r="J750">
        <v>4</v>
      </c>
      <c r="K750" t="s">
        <v>4744</v>
      </c>
      <c r="L750">
        <v>18</v>
      </c>
      <c r="M750">
        <v>4.5</v>
      </c>
      <c r="N750" t="s">
        <v>5272</v>
      </c>
      <c r="O750" t="s">
        <v>464</v>
      </c>
    </row>
    <row r="751" spans="1:15" x14ac:dyDescent="0.3">
      <c r="A751">
        <v>239929</v>
      </c>
      <c r="B751">
        <v>105</v>
      </c>
      <c r="C751" t="s">
        <v>557</v>
      </c>
      <c r="D751" t="s">
        <v>2581</v>
      </c>
      <c r="E751" t="s">
        <v>2759</v>
      </c>
      <c r="F751" s="451">
        <v>46177</v>
      </c>
      <c r="G751">
        <v>19617</v>
      </c>
      <c r="H751" t="s">
        <v>5071</v>
      </c>
      <c r="I751" t="s">
        <v>5191</v>
      </c>
      <c r="J751">
        <v>0.5</v>
      </c>
      <c r="K751" t="s">
        <v>4744</v>
      </c>
      <c r="L751">
        <v>21</v>
      </c>
      <c r="M751">
        <v>42</v>
      </c>
      <c r="N751" t="s">
        <v>5272</v>
      </c>
      <c r="O751" t="s">
        <v>464</v>
      </c>
    </row>
    <row r="752" spans="1:15" x14ac:dyDescent="0.3">
      <c r="A752">
        <v>239929</v>
      </c>
      <c r="B752">
        <v>105</v>
      </c>
      <c r="C752" t="s">
        <v>557</v>
      </c>
      <c r="D752" t="s">
        <v>2581</v>
      </c>
      <c r="E752" t="s">
        <v>2759</v>
      </c>
      <c r="F752" s="451">
        <v>46177</v>
      </c>
      <c r="G752">
        <v>19752</v>
      </c>
      <c r="H752" t="s">
        <v>4807</v>
      </c>
      <c r="I752" t="s">
        <v>5191</v>
      </c>
      <c r="J752">
        <v>2</v>
      </c>
      <c r="K752" t="s">
        <v>4744</v>
      </c>
      <c r="L752">
        <v>12</v>
      </c>
      <c r="M752">
        <v>6</v>
      </c>
      <c r="N752" t="s">
        <v>5272</v>
      </c>
      <c r="O752" t="s">
        <v>464</v>
      </c>
    </row>
    <row r="753" spans="1:15" x14ac:dyDescent="0.3">
      <c r="A753">
        <v>239929</v>
      </c>
      <c r="B753">
        <v>105</v>
      </c>
      <c r="C753" t="s">
        <v>557</v>
      </c>
      <c r="D753" t="s">
        <v>2581</v>
      </c>
      <c r="E753" t="s">
        <v>2759</v>
      </c>
      <c r="F753" s="451">
        <v>46177</v>
      </c>
      <c r="G753">
        <v>19787</v>
      </c>
      <c r="H753" t="s">
        <v>4793</v>
      </c>
      <c r="I753" t="s">
        <v>5191</v>
      </c>
      <c r="J753">
        <v>5</v>
      </c>
      <c r="K753" t="s">
        <v>4744</v>
      </c>
      <c r="L753">
        <v>29</v>
      </c>
      <c r="M753">
        <v>5.8</v>
      </c>
      <c r="N753" t="s">
        <v>5272</v>
      </c>
      <c r="O753" t="s">
        <v>464</v>
      </c>
    </row>
    <row r="754" spans="1:15" x14ac:dyDescent="0.3">
      <c r="A754">
        <v>239927</v>
      </c>
      <c r="B754">
        <v>105</v>
      </c>
      <c r="C754" t="s">
        <v>557</v>
      </c>
      <c r="D754" t="s">
        <v>2581</v>
      </c>
      <c r="E754" t="s">
        <v>2760</v>
      </c>
      <c r="F754" s="451">
        <v>46176</v>
      </c>
      <c r="G754">
        <v>19505</v>
      </c>
      <c r="H754" t="s">
        <v>4872</v>
      </c>
      <c r="I754" t="s">
        <v>5191</v>
      </c>
      <c r="J754">
        <v>3.5</v>
      </c>
      <c r="K754" t="s">
        <v>4744</v>
      </c>
      <c r="L754">
        <v>40.25</v>
      </c>
      <c r="M754">
        <v>11.5</v>
      </c>
      <c r="N754" t="s">
        <v>5272</v>
      </c>
      <c r="O754" t="s">
        <v>464</v>
      </c>
    </row>
    <row r="755" spans="1:15" x14ac:dyDescent="0.3">
      <c r="A755">
        <v>239927</v>
      </c>
      <c r="B755">
        <v>105</v>
      </c>
      <c r="C755" t="s">
        <v>557</v>
      </c>
      <c r="D755" t="s">
        <v>2581</v>
      </c>
      <c r="E755" t="s">
        <v>2760</v>
      </c>
      <c r="F755" s="451">
        <v>46176</v>
      </c>
      <c r="G755">
        <v>19480</v>
      </c>
      <c r="H755" t="s">
        <v>5119</v>
      </c>
      <c r="I755" t="s">
        <v>5191</v>
      </c>
      <c r="J755">
        <v>0.3</v>
      </c>
      <c r="K755" t="s">
        <v>4744</v>
      </c>
      <c r="L755">
        <v>5.4</v>
      </c>
      <c r="M755">
        <v>18</v>
      </c>
      <c r="N755" t="s">
        <v>5272</v>
      </c>
      <c r="O755" t="s">
        <v>464</v>
      </c>
    </row>
    <row r="756" spans="1:15" x14ac:dyDescent="0.3">
      <c r="A756">
        <v>239927</v>
      </c>
      <c r="B756">
        <v>105</v>
      </c>
      <c r="C756" t="s">
        <v>557</v>
      </c>
      <c r="D756" t="s">
        <v>2581</v>
      </c>
      <c r="E756" t="s">
        <v>2760</v>
      </c>
      <c r="F756" s="451">
        <v>46176</v>
      </c>
      <c r="G756">
        <v>19737</v>
      </c>
      <c r="H756" t="s">
        <v>4940</v>
      </c>
      <c r="I756" t="s">
        <v>5191</v>
      </c>
      <c r="J756">
        <v>1.5</v>
      </c>
      <c r="K756" t="s">
        <v>4744</v>
      </c>
      <c r="L756">
        <v>9.3000000000000007</v>
      </c>
      <c r="M756">
        <v>6.2</v>
      </c>
      <c r="N756" t="s">
        <v>5272</v>
      </c>
      <c r="O756" t="s">
        <v>464</v>
      </c>
    </row>
    <row r="757" spans="1:15" x14ac:dyDescent="0.3">
      <c r="A757">
        <v>239927</v>
      </c>
      <c r="B757">
        <v>105</v>
      </c>
      <c r="C757" t="s">
        <v>557</v>
      </c>
      <c r="D757" t="s">
        <v>2581</v>
      </c>
      <c r="E757" t="s">
        <v>2760</v>
      </c>
      <c r="F757" s="451">
        <v>46176</v>
      </c>
      <c r="G757">
        <v>19787</v>
      </c>
      <c r="H757" t="s">
        <v>4793</v>
      </c>
      <c r="I757" t="s">
        <v>5191</v>
      </c>
      <c r="J757">
        <v>5</v>
      </c>
      <c r="K757" t="s">
        <v>4744</v>
      </c>
      <c r="L757">
        <v>29</v>
      </c>
      <c r="M757">
        <v>5.8</v>
      </c>
      <c r="N757" t="s">
        <v>5272</v>
      </c>
      <c r="O757" t="s">
        <v>464</v>
      </c>
    </row>
    <row r="758" spans="1:15" x14ac:dyDescent="0.3">
      <c r="A758">
        <v>239927</v>
      </c>
      <c r="B758">
        <v>105</v>
      </c>
      <c r="C758" t="s">
        <v>557</v>
      </c>
      <c r="D758" t="s">
        <v>2581</v>
      </c>
      <c r="E758" t="s">
        <v>2760</v>
      </c>
      <c r="F758" s="451">
        <v>46176</v>
      </c>
      <c r="G758">
        <v>23359</v>
      </c>
      <c r="H758" t="s">
        <v>4767</v>
      </c>
      <c r="I758" t="s">
        <v>5191</v>
      </c>
      <c r="J758">
        <v>6</v>
      </c>
      <c r="K758" t="s">
        <v>4744</v>
      </c>
      <c r="L758">
        <v>15</v>
      </c>
      <c r="M758">
        <v>2.5</v>
      </c>
      <c r="N758" t="s">
        <v>5272</v>
      </c>
      <c r="O758" t="s">
        <v>464</v>
      </c>
    </row>
    <row r="759" spans="1:15" x14ac:dyDescent="0.3">
      <c r="A759">
        <v>239926</v>
      </c>
      <c r="B759">
        <v>105</v>
      </c>
      <c r="C759" t="s">
        <v>557</v>
      </c>
      <c r="D759" t="s">
        <v>2637</v>
      </c>
      <c r="E759" t="s">
        <v>2761</v>
      </c>
      <c r="F759" s="451">
        <v>46182</v>
      </c>
      <c r="G759">
        <v>18475</v>
      </c>
      <c r="H759" t="s">
        <v>4895</v>
      </c>
      <c r="I759" t="s">
        <v>5222</v>
      </c>
      <c r="J759">
        <v>12</v>
      </c>
      <c r="K759" t="s">
        <v>4805</v>
      </c>
      <c r="L759">
        <v>394.8</v>
      </c>
      <c r="M759">
        <v>32.9</v>
      </c>
      <c r="N759" t="s">
        <v>5222</v>
      </c>
      <c r="O759" t="s">
        <v>464</v>
      </c>
    </row>
    <row r="760" spans="1:15" x14ac:dyDescent="0.3">
      <c r="A760">
        <v>239925</v>
      </c>
      <c r="B760">
        <v>105</v>
      </c>
      <c r="C760" t="s">
        <v>557</v>
      </c>
      <c r="D760" t="s">
        <v>2607</v>
      </c>
      <c r="E760" t="s">
        <v>2762</v>
      </c>
      <c r="F760" s="451">
        <v>46188</v>
      </c>
      <c r="G760">
        <v>24259</v>
      </c>
      <c r="H760" t="s">
        <v>4875</v>
      </c>
      <c r="I760" t="s">
        <v>5191</v>
      </c>
      <c r="J760">
        <v>12.6</v>
      </c>
      <c r="K760" t="s">
        <v>4744</v>
      </c>
      <c r="L760">
        <v>995.4</v>
      </c>
      <c r="M760">
        <v>79</v>
      </c>
      <c r="N760" t="s">
        <v>5272</v>
      </c>
      <c r="O760" t="s">
        <v>464</v>
      </c>
    </row>
    <row r="761" spans="1:15" x14ac:dyDescent="0.3">
      <c r="A761">
        <v>239924</v>
      </c>
      <c r="B761">
        <v>105</v>
      </c>
      <c r="C761" t="s">
        <v>557</v>
      </c>
      <c r="D761" t="s">
        <v>2607</v>
      </c>
      <c r="E761" t="s">
        <v>2763</v>
      </c>
      <c r="F761" s="451">
        <v>46188</v>
      </c>
      <c r="G761">
        <v>25777</v>
      </c>
      <c r="H761" t="s">
        <v>4774</v>
      </c>
      <c r="I761" t="s">
        <v>5191</v>
      </c>
      <c r="J761">
        <v>20.100000000000001</v>
      </c>
      <c r="K761" t="s">
        <v>4744</v>
      </c>
      <c r="L761">
        <v>1869.3</v>
      </c>
      <c r="M761">
        <v>93</v>
      </c>
      <c r="N761" t="s">
        <v>5272</v>
      </c>
      <c r="O761" t="s">
        <v>464</v>
      </c>
    </row>
    <row r="762" spans="1:15" x14ac:dyDescent="0.3">
      <c r="A762">
        <v>239924</v>
      </c>
      <c r="B762">
        <v>105</v>
      </c>
      <c r="C762" t="s">
        <v>557</v>
      </c>
      <c r="D762" t="s">
        <v>2607</v>
      </c>
      <c r="E762" t="s">
        <v>2763</v>
      </c>
      <c r="F762" s="451">
        <v>46188</v>
      </c>
      <c r="G762">
        <v>26135</v>
      </c>
      <c r="H762" t="s">
        <v>4801</v>
      </c>
      <c r="I762" t="s">
        <v>5191</v>
      </c>
      <c r="J762">
        <v>12.9</v>
      </c>
      <c r="K762" t="s">
        <v>4744</v>
      </c>
      <c r="L762">
        <v>1159.71</v>
      </c>
      <c r="M762">
        <v>89.9</v>
      </c>
      <c r="N762" t="s">
        <v>5272</v>
      </c>
      <c r="O762" t="s">
        <v>464</v>
      </c>
    </row>
    <row r="763" spans="1:15" x14ac:dyDescent="0.3">
      <c r="A763">
        <v>239923</v>
      </c>
      <c r="B763">
        <v>105</v>
      </c>
      <c r="C763" t="s">
        <v>557</v>
      </c>
      <c r="D763" t="s">
        <v>2607</v>
      </c>
      <c r="E763" t="s">
        <v>2764</v>
      </c>
      <c r="F763" s="451">
        <v>46182</v>
      </c>
      <c r="G763">
        <v>24191</v>
      </c>
      <c r="H763" t="s">
        <v>4846</v>
      </c>
      <c r="I763" t="s">
        <v>5191</v>
      </c>
      <c r="J763">
        <v>5</v>
      </c>
      <c r="K763" t="s">
        <v>4744</v>
      </c>
      <c r="L763">
        <v>145</v>
      </c>
      <c r="M763">
        <v>29</v>
      </c>
      <c r="N763" t="s">
        <v>5191</v>
      </c>
      <c r="O763" t="s">
        <v>464</v>
      </c>
    </row>
    <row r="764" spans="1:15" x14ac:dyDescent="0.3">
      <c r="A764">
        <v>239922</v>
      </c>
      <c r="B764">
        <v>105</v>
      </c>
      <c r="C764" t="s">
        <v>557</v>
      </c>
      <c r="D764" t="s">
        <v>2607</v>
      </c>
      <c r="E764" t="s">
        <v>2765</v>
      </c>
      <c r="F764" s="451">
        <v>46181</v>
      </c>
      <c r="G764">
        <v>26135</v>
      </c>
      <c r="H764" t="s">
        <v>4801</v>
      </c>
      <c r="I764" t="s">
        <v>5191</v>
      </c>
      <c r="J764">
        <v>10</v>
      </c>
      <c r="K764" t="s">
        <v>4744</v>
      </c>
      <c r="L764">
        <v>899</v>
      </c>
      <c r="M764">
        <v>89.9</v>
      </c>
      <c r="N764" t="s">
        <v>5272</v>
      </c>
      <c r="O764" t="s">
        <v>464</v>
      </c>
    </row>
    <row r="765" spans="1:15" x14ac:dyDescent="0.3">
      <c r="A765">
        <v>239922</v>
      </c>
      <c r="B765">
        <v>105</v>
      </c>
      <c r="C765" t="s">
        <v>557</v>
      </c>
      <c r="D765" t="s">
        <v>2607</v>
      </c>
      <c r="E765" t="s">
        <v>2765</v>
      </c>
      <c r="F765" s="451">
        <v>46181</v>
      </c>
      <c r="G765">
        <v>25777</v>
      </c>
      <c r="H765" t="s">
        <v>4774</v>
      </c>
      <c r="I765" t="s">
        <v>5191</v>
      </c>
      <c r="J765">
        <v>20.9</v>
      </c>
      <c r="K765" t="s">
        <v>4744</v>
      </c>
      <c r="L765">
        <v>1878.91</v>
      </c>
      <c r="M765">
        <v>89.9</v>
      </c>
      <c r="N765" t="s">
        <v>5272</v>
      </c>
      <c r="O765" t="s">
        <v>464</v>
      </c>
    </row>
    <row r="766" spans="1:15" x14ac:dyDescent="0.3">
      <c r="A766">
        <v>239920</v>
      </c>
      <c r="B766">
        <v>105</v>
      </c>
      <c r="C766" t="s">
        <v>557</v>
      </c>
      <c r="D766" t="s">
        <v>2588</v>
      </c>
      <c r="E766" t="s">
        <v>2766</v>
      </c>
      <c r="F766" s="451">
        <v>46178</v>
      </c>
      <c r="G766">
        <v>20301</v>
      </c>
      <c r="H766" t="s">
        <v>4944</v>
      </c>
      <c r="I766" t="s">
        <v>5191</v>
      </c>
      <c r="J766">
        <v>20</v>
      </c>
      <c r="K766" t="s">
        <v>4738</v>
      </c>
      <c r="L766">
        <v>420</v>
      </c>
      <c r="M766">
        <v>21</v>
      </c>
      <c r="N766" t="s">
        <v>5272</v>
      </c>
      <c r="O766" t="s">
        <v>464</v>
      </c>
    </row>
    <row r="767" spans="1:15" x14ac:dyDescent="0.3">
      <c r="A767">
        <v>239920</v>
      </c>
      <c r="B767">
        <v>105</v>
      </c>
      <c r="C767" t="s">
        <v>557</v>
      </c>
      <c r="D767" t="s">
        <v>2588</v>
      </c>
      <c r="E767" t="s">
        <v>2766</v>
      </c>
      <c r="F767" s="451">
        <v>46178</v>
      </c>
      <c r="G767">
        <v>20984</v>
      </c>
      <c r="H767" t="s">
        <v>5133</v>
      </c>
      <c r="I767" t="s">
        <v>5191</v>
      </c>
      <c r="J767">
        <v>12</v>
      </c>
      <c r="K767" t="s">
        <v>4888</v>
      </c>
      <c r="L767">
        <v>97.8</v>
      </c>
      <c r="M767">
        <v>8.15</v>
      </c>
      <c r="N767" t="s">
        <v>5272</v>
      </c>
      <c r="O767" t="s">
        <v>464</v>
      </c>
    </row>
    <row r="768" spans="1:15" x14ac:dyDescent="0.3">
      <c r="A768">
        <v>239908</v>
      </c>
      <c r="B768">
        <v>105</v>
      </c>
      <c r="C768" t="s">
        <v>557</v>
      </c>
      <c r="D768" t="s">
        <v>2642</v>
      </c>
      <c r="E768" t="s">
        <v>2767</v>
      </c>
      <c r="F768" s="451">
        <v>46182</v>
      </c>
      <c r="G768">
        <v>18545</v>
      </c>
      <c r="H768" t="s">
        <v>4864</v>
      </c>
      <c r="I768" t="s">
        <v>5222</v>
      </c>
      <c r="J768">
        <v>1</v>
      </c>
      <c r="K768" t="s">
        <v>4805</v>
      </c>
      <c r="L768">
        <v>44</v>
      </c>
      <c r="M768">
        <v>44</v>
      </c>
      <c r="N768" t="s">
        <v>5222</v>
      </c>
      <c r="O768" t="s">
        <v>464</v>
      </c>
    </row>
    <row r="769" spans="1:15" x14ac:dyDescent="0.3">
      <c r="A769">
        <v>239908</v>
      </c>
      <c r="B769">
        <v>105</v>
      </c>
      <c r="C769" t="s">
        <v>557</v>
      </c>
      <c r="D769" t="s">
        <v>2642</v>
      </c>
      <c r="E769" t="s">
        <v>2767</v>
      </c>
      <c r="F769" s="451">
        <v>46182</v>
      </c>
      <c r="G769">
        <v>18315</v>
      </c>
      <c r="H769" t="s">
        <v>4922</v>
      </c>
      <c r="I769" t="s">
        <v>5222</v>
      </c>
      <c r="J769">
        <v>3</v>
      </c>
      <c r="K769" t="s">
        <v>4805</v>
      </c>
      <c r="L769">
        <v>372</v>
      </c>
      <c r="M769">
        <v>124</v>
      </c>
      <c r="N769" t="s">
        <v>5222</v>
      </c>
      <c r="O769" t="s">
        <v>464</v>
      </c>
    </row>
    <row r="770" spans="1:15" x14ac:dyDescent="0.3">
      <c r="A770">
        <v>239907</v>
      </c>
      <c r="B770">
        <v>105</v>
      </c>
      <c r="C770" t="s">
        <v>557</v>
      </c>
      <c r="D770" t="s">
        <v>2644</v>
      </c>
      <c r="E770" t="s">
        <v>2768</v>
      </c>
      <c r="F770" s="451">
        <v>46181</v>
      </c>
      <c r="G770">
        <v>17565</v>
      </c>
      <c r="H770" t="s">
        <v>5247</v>
      </c>
      <c r="I770" t="s">
        <v>5188</v>
      </c>
      <c r="J770">
        <v>1</v>
      </c>
      <c r="K770" t="s">
        <v>4736</v>
      </c>
      <c r="L770">
        <v>109.1</v>
      </c>
      <c r="M770">
        <v>109.1</v>
      </c>
      <c r="N770" t="s">
        <v>5277</v>
      </c>
      <c r="O770" t="s">
        <v>464</v>
      </c>
    </row>
    <row r="771" spans="1:15" x14ac:dyDescent="0.3">
      <c r="A771">
        <v>239906</v>
      </c>
      <c r="B771">
        <v>105</v>
      </c>
      <c r="C771" t="s">
        <v>557</v>
      </c>
      <c r="D771" t="s">
        <v>2644</v>
      </c>
      <c r="E771" t="s">
        <v>2769</v>
      </c>
      <c r="F771" s="451">
        <v>46181</v>
      </c>
      <c r="G771">
        <v>23088</v>
      </c>
      <c r="H771" t="s">
        <v>5027</v>
      </c>
      <c r="I771" t="s">
        <v>5191</v>
      </c>
      <c r="J771">
        <v>3</v>
      </c>
      <c r="K771" t="s">
        <v>4736</v>
      </c>
      <c r="L771">
        <v>74.7</v>
      </c>
      <c r="M771">
        <v>24.9</v>
      </c>
      <c r="N771" t="s">
        <v>5191</v>
      </c>
      <c r="O771" t="s">
        <v>464</v>
      </c>
    </row>
    <row r="772" spans="1:15" x14ac:dyDescent="0.3">
      <c r="A772">
        <v>239906</v>
      </c>
      <c r="B772">
        <v>105</v>
      </c>
      <c r="C772" t="s">
        <v>557</v>
      </c>
      <c r="D772" t="s">
        <v>2644</v>
      </c>
      <c r="E772" t="s">
        <v>2769</v>
      </c>
      <c r="F772" s="451">
        <v>46181</v>
      </c>
      <c r="G772">
        <v>20105</v>
      </c>
      <c r="H772" t="s">
        <v>4831</v>
      </c>
      <c r="I772" t="s">
        <v>5191</v>
      </c>
      <c r="J772">
        <v>5</v>
      </c>
      <c r="K772" t="s">
        <v>4744</v>
      </c>
      <c r="L772">
        <v>130</v>
      </c>
      <c r="M772">
        <v>26</v>
      </c>
      <c r="N772" t="s">
        <v>5191</v>
      </c>
      <c r="O772" t="s">
        <v>464</v>
      </c>
    </row>
    <row r="773" spans="1:15" x14ac:dyDescent="0.3">
      <c r="A773">
        <v>239903</v>
      </c>
      <c r="B773">
        <v>105</v>
      </c>
      <c r="C773" t="s">
        <v>557</v>
      </c>
      <c r="D773" t="s">
        <v>2590</v>
      </c>
      <c r="E773" t="s">
        <v>2770</v>
      </c>
      <c r="F773" s="451">
        <v>46186</v>
      </c>
      <c r="G773">
        <v>18636</v>
      </c>
      <c r="H773" t="s">
        <v>4964</v>
      </c>
      <c r="I773" t="s">
        <v>5222</v>
      </c>
      <c r="J773">
        <v>6</v>
      </c>
      <c r="K773" t="s">
        <v>4965</v>
      </c>
      <c r="L773">
        <v>2896.8</v>
      </c>
      <c r="M773">
        <v>482.8</v>
      </c>
      <c r="N773" t="s">
        <v>5222</v>
      </c>
      <c r="O773" t="s">
        <v>464</v>
      </c>
    </row>
    <row r="774" spans="1:15" x14ac:dyDescent="0.3">
      <c r="A774">
        <v>239901</v>
      </c>
      <c r="B774">
        <v>105</v>
      </c>
      <c r="C774" t="s">
        <v>557</v>
      </c>
      <c r="D774" t="s">
        <v>2590</v>
      </c>
      <c r="E774" t="s">
        <v>2771</v>
      </c>
      <c r="F774" s="451">
        <v>46186</v>
      </c>
      <c r="G774">
        <v>17895</v>
      </c>
      <c r="H774" t="s">
        <v>5086</v>
      </c>
      <c r="I774" t="s">
        <v>5222</v>
      </c>
      <c r="J774">
        <v>5</v>
      </c>
      <c r="K774" t="s">
        <v>4738</v>
      </c>
      <c r="L774">
        <v>141.6</v>
      </c>
      <c r="M774">
        <v>28.32</v>
      </c>
      <c r="N774" t="s">
        <v>5271</v>
      </c>
      <c r="O774" t="s">
        <v>464</v>
      </c>
    </row>
    <row r="775" spans="1:15" x14ac:dyDescent="0.3">
      <c r="A775">
        <v>239901</v>
      </c>
      <c r="B775">
        <v>105</v>
      </c>
      <c r="C775" t="s">
        <v>557</v>
      </c>
      <c r="D775" t="s">
        <v>2590</v>
      </c>
      <c r="E775" t="s">
        <v>2771</v>
      </c>
      <c r="F775" s="451">
        <v>46186</v>
      </c>
      <c r="G775">
        <v>18636</v>
      </c>
      <c r="H775" t="s">
        <v>4964</v>
      </c>
      <c r="I775" t="s">
        <v>5222</v>
      </c>
      <c r="J775">
        <v>8</v>
      </c>
      <c r="K775" t="s">
        <v>4965</v>
      </c>
      <c r="L775">
        <v>3862.4</v>
      </c>
      <c r="M775">
        <v>482.8</v>
      </c>
      <c r="N775" t="s">
        <v>5271</v>
      </c>
      <c r="O775" t="s">
        <v>464</v>
      </c>
    </row>
    <row r="776" spans="1:15" x14ac:dyDescent="0.3">
      <c r="A776">
        <v>239901</v>
      </c>
      <c r="B776">
        <v>105</v>
      </c>
      <c r="C776" t="s">
        <v>557</v>
      </c>
      <c r="D776" t="s">
        <v>2590</v>
      </c>
      <c r="E776" t="s">
        <v>2771</v>
      </c>
      <c r="F776" s="451">
        <v>46186</v>
      </c>
      <c r="G776">
        <v>17886</v>
      </c>
      <c r="H776" t="s">
        <v>5083</v>
      </c>
      <c r="I776" t="s">
        <v>5222</v>
      </c>
      <c r="J776">
        <v>5</v>
      </c>
      <c r="K776" t="s">
        <v>4738</v>
      </c>
      <c r="L776">
        <v>141.6</v>
      </c>
      <c r="M776">
        <v>28.32</v>
      </c>
      <c r="N776" t="s">
        <v>5271</v>
      </c>
      <c r="O776" t="s">
        <v>464</v>
      </c>
    </row>
    <row r="777" spans="1:15" x14ac:dyDescent="0.3">
      <c r="A777">
        <v>239901</v>
      </c>
      <c r="B777">
        <v>105</v>
      </c>
      <c r="C777" t="s">
        <v>557</v>
      </c>
      <c r="D777" t="s">
        <v>2590</v>
      </c>
      <c r="E777" t="s">
        <v>2771</v>
      </c>
      <c r="F777" s="451">
        <v>46186</v>
      </c>
      <c r="G777">
        <v>17905</v>
      </c>
      <c r="H777" t="s">
        <v>5085</v>
      </c>
      <c r="I777" t="s">
        <v>5222</v>
      </c>
      <c r="J777">
        <v>5</v>
      </c>
      <c r="K777" t="s">
        <v>4738</v>
      </c>
      <c r="L777">
        <v>127.65</v>
      </c>
      <c r="M777">
        <v>25.53</v>
      </c>
      <c r="N777" t="s">
        <v>5271</v>
      </c>
      <c r="O777" t="s">
        <v>464</v>
      </c>
    </row>
    <row r="778" spans="1:15" x14ac:dyDescent="0.3">
      <c r="A778">
        <v>239901</v>
      </c>
      <c r="B778">
        <v>105</v>
      </c>
      <c r="C778" t="s">
        <v>557</v>
      </c>
      <c r="D778" t="s">
        <v>2590</v>
      </c>
      <c r="E778" t="s">
        <v>2771</v>
      </c>
      <c r="F778" s="451">
        <v>46186</v>
      </c>
      <c r="G778">
        <v>24141</v>
      </c>
      <c r="H778" t="s">
        <v>5088</v>
      </c>
      <c r="I778" t="s">
        <v>5222</v>
      </c>
      <c r="J778">
        <v>4</v>
      </c>
      <c r="K778" t="s">
        <v>4749</v>
      </c>
      <c r="L778">
        <v>605.79999999999995</v>
      </c>
      <c r="M778">
        <v>151.44999999999999</v>
      </c>
      <c r="N778" t="s">
        <v>5271</v>
      </c>
      <c r="O778" t="s">
        <v>464</v>
      </c>
    </row>
    <row r="779" spans="1:15" x14ac:dyDescent="0.3">
      <c r="A779">
        <v>239901</v>
      </c>
      <c r="B779">
        <v>105</v>
      </c>
      <c r="C779" t="s">
        <v>557</v>
      </c>
      <c r="D779" t="s">
        <v>2590</v>
      </c>
      <c r="E779" t="s">
        <v>2771</v>
      </c>
      <c r="F779" s="451">
        <v>46186</v>
      </c>
      <c r="G779">
        <v>24142</v>
      </c>
      <c r="H779" t="s">
        <v>5090</v>
      </c>
      <c r="I779" t="s">
        <v>5222</v>
      </c>
      <c r="J779">
        <v>1</v>
      </c>
      <c r="K779" t="s">
        <v>4749</v>
      </c>
      <c r="L779">
        <v>161.52000000000001</v>
      </c>
      <c r="M779">
        <v>161.52000000000001</v>
      </c>
      <c r="N779" t="s">
        <v>5271</v>
      </c>
      <c r="O779" t="s">
        <v>464</v>
      </c>
    </row>
    <row r="780" spans="1:15" x14ac:dyDescent="0.3">
      <c r="A780">
        <v>239901</v>
      </c>
      <c r="B780">
        <v>105</v>
      </c>
      <c r="C780" t="s">
        <v>557</v>
      </c>
      <c r="D780" t="s">
        <v>2590</v>
      </c>
      <c r="E780" t="s">
        <v>2771</v>
      </c>
      <c r="F780" s="451">
        <v>46186</v>
      </c>
      <c r="G780">
        <v>27018</v>
      </c>
      <c r="H780" t="s">
        <v>4737</v>
      </c>
      <c r="I780" t="s">
        <v>5222</v>
      </c>
      <c r="J780">
        <v>2</v>
      </c>
      <c r="K780" t="s">
        <v>4738</v>
      </c>
      <c r="L780">
        <v>159.28</v>
      </c>
      <c r="M780">
        <v>79.64</v>
      </c>
      <c r="N780" t="s">
        <v>5271</v>
      </c>
      <c r="O780" t="s">
        <v>464</v>
      </c>
    </row>
    <row r="781" spans="1:15" x14ac:dyDescent="0.3">
      <c r="A781">
        <v>239901</v>
      </c>
      <c r="B781">
        <v>105</v>
      </c>
      <c r="C781" t="s">
        <v>557</v>
      </c>
      <c r="D781" t="s">
        <v>2590</v>
      </c>
      <c r="E781" t="s">
        <v>2771</v>
      </c>
      <c r="F781" s="451">
        <v>46186</v>
      </c>
      <c r="G781">
        <v>26505</v>
      </c>
      <c r="H781" t="s">
        <v>4750</v>
      </c>
      <c r="I781" t="s">
        <v>5222</v>
      </c>
      <c r="J781">
        <v>3</v>
      </c>
      <c r="K781" t="s">
        <v>4738</v>
      </c>
      <c r="L781">
        <v>648</v>
      </c>
      <c r="M781">
        <v>216</v>
      </c>
      <c r="N781" t="s">
        <v>5271</v>
      </c>
      <c r="O781" t="s">
        <v>464</v>
      </c>
    </row>
    <row r="782" spans="1:15" x14ac:dyDescent="0.3">
      <c r="A782">
        <v>239901</v>
      </c>
      <c r="B782">
        <v>105</v>
      </c>
      <c r="C782" t="s">
        <v>557</v>
      </c>
      <c r="D782" t="s">
        <v>2590</v>
      </c>
      <c r="E782" t="s">
        <v>2771</v>
      </c>
      <c r="F782" s="451">
        <v>46186</v>
      </c>
      <c r="G782">
        <v>24973</v>
      </c>
      <c r="H782" t="s">
        <v>4819</v>
      </c>
      <c r="I782" t="s">
        <v>5222</v>
      </c>
      <c r="J782">
        <v>1</v>
      </c>
      <c r="K782" t="s">
        <v>4738</v>
      </c>
      <c r="L782">
        <v>79.64</v>
      </c>
      <c r="M782">
        <v>79.64</v>
      </c>
      <c r="N782" t="s">
        <v>5271</v>
      </c>
      <c r="O782" t="s">
        <v>464</v>
      </c>
    </row>
    <row r="783" spans="1:15" x14ac:dyDescent="0.3">
      <c r="A783">
        <v>239900</v>
      </c>
      <c r="B783">
        <v>105</v>
      </c>
      <c r="C783" t="s">
        <v>557</v>
      </c>
      <c r="D783" t="s">
        <v>2590</v>
      </c>
      <c r="E783" t="s">
        <v>2772</v>
      </c>
      <c r="F783" s="451">
        <v>46184</v>
      </c>
      <c r="G783">
        <v>18636</v>
      </c>
      <c r="H783" t="s">
        <v>4964</v>
      </c>
      <c r="I783" t="s">
        <v>5222</v>
      </c>
      <c r="J783">
        <v>8</v>
      </c>
      <c r="K783" t="s">
        <v>4965</v>
      </c>
      <c r="L783">
        <v>3862.4</v>
      </c>
      <c r="M783">
        <v>482.8</v>
      </c>
      <c r="N783" t="s">
        <v>5222</v>
      </c>
      <c r="O783" t="s">
        <v>464</v>
      </c>
    </row>
    <row r="784" spans="1:15" x14ac:dyDescent="0.3">
      <c r="A784">
        <v>239900</v>
      </c>
      <c r="B784">
        <v>105</v>
      </c>
      <c r="C784" t="s">
        <v>557</v>
      </c>
      <c r="D784" t="s">
        <v>2590</v>
      </c>
      <c r="E784" t="s">
        <v>2772</v>
      </c>
      <c r="F784" s="451">
        <v>46184</v>
      </c>
      <c r="G784">
        <v>17895</v>
      </c>
      <c r="H784" t="s">
        <v>5086</v>
      </c>
      <c r="I784" t="s">
        <v>5222</v>
      </c>
      <c r="J784">
        <v>5</v>
      </c>
      <c r="K784" t="s">
        <v>4738</v>
      </c>
      <c r="L784">
        <v>141.6</v>
      </c>
      <c r="M784">
        <v>28.32</v>
      </c>
      <c r="N784" t="s">
        <v>5222</v>
      </c>
      <c r="O784" t="s">
        <v>464</v>
      </c>
    </row>
    <row r="785" spans="1:15" x14ac:dyDescent="0.3">
      <c r="A785">
        <v>239900</v>
      </c>
      <c r="B785">
        <v>105</v>
      </c>
      <c r="C785" t="s">
        <v>557</v>
      </c>
      <c r="D785" t="s">
        <v>2590</v>
      </c>
      <c r="E785" t="s">
        <v>2772</v>
      </c>
      <c r="F785" s="451">
        <v>46184</v>
      </c>
      <c r="G785">
        <v>24973</v>
      </c>
      <c r="H785" t="s">
        <v>4819</v>
      </c>
      <c r="I785" t="s">
        <v>5222</v>
      </c>
      <c r="J785">
        <v>1</v>
      </c>
      <c r="K785" t="s">
        <v>4738</v>
      </c>
      <c r="L785">
        <v>79.64</v>
      </c>
      <c r="M785">
        <v>79.64</v>
      </c>
      <c r="N785" t="s">
        <v>5222</v>
      </c>
      <c r="O785" t="s">
        <v>464</v>
      </c>
    </row>
    <row r="786" spans="1:15" x14ac:dyDescent="0.3">
      <c r="A786">
        <v>239900</v>
      </c>
      <c r="B786">
        <v>105</v>
      </c>
      <c r="C786" t="s">
        <v>557</v>
      </c>
      <c r="D786" t="s">
        <v>2590</v>
      </c>
      <c r="E786" t="s">
        <v>2772</v>
      </c>
      <c r="F786" s="451">
        <v>46184</v>
      </c>
      <c r="G786">
        <v>24141</v>
      </c>
      <c r="H786" t="s">
        <v>5088</v>
      </c>
      <c r="I786" t="s">
        <v>5222</v>
      </c>
      <c r="J786">
        <v>4</v>
      </c>
      <c r="K786" t="s">
        <v>4749</v>
      </c>
      <c r="L786">
        <v>605.79999999999995</v>
      </c>
      <c r="M786">
        <v>151.44999999999999</v>
      </c>
      <c r="N786" t="s">
        <v>5222</v>
      </c>
      <c r="O786" t="s">
        <v>464</v>
      </c>
    </row>
    <row r="787" spans="1:15" x14ac:dyDescent="0.3">
      <c r="A787">
        <v>239900</v>
      </c>
      <c r="B787">
        <v>105</v>
      </c>
      <c r="C787" t="s">
        <v>557</v>
      </c>
      <c r="D787" t="s">
        <v>2590</v>
      </c>
      <c r="E787" t="s">
        <v>2772</v>
      </c>
      <c r="F787" s="451">
        <v>46184</v>
      </c>
      <c r="G787">
        <v>17905</v>
      </c>
      <c r="H787" t="s">
        <v>5085</v>
      </c>
      <c r="I787" t="s">
        <v>5222</v>
      </c>
      <c r="J787">
        <v>5</v>
      </c>
      <c r="K787" t="s">
        <v>4738</v>
      </c>
      <c r="L787">
        <v>127.65</v>
      </c>
      <c r="M787">
        <v>25.53</v>
      </c>
      <c r="N787" t="s">
        <v>5222</v>
      </c>
      <c r="O787" t="s">
        <v>464</v>
      </c>
    </row>
    <row r="788" spans="1:15" x14ac:dyDescent="0.3">
      <c r="A788">
        <v>239900</v>
      </c>
      <c r="B788">
        <v>105</v>
      </c>
      <c r="C788" t="s">
        <v>557</v>
      </c>
      <c r="D788" t="s">
        <v>2590</v>
      </c>
      <c r="E788" t="s">
        <v>2772</v>
      </c>
      <c r="F788" s="451">
        <v>46184</v>
      </c>
      <c r="G788">
        <v>17886</v>
      </c>
      <c r="H788" t="s">
        <v>5083</v>
      </c>
      <c r="I788" t="s">
        <v>5222</v>
      </c>
      <c r="J788">
        <v>5</v>
      </c>
      <c r="K788" t="s">
        <v>4738</v>
      </c>
      <c r="L788">
        <v>141.6</v>
      </c>
      <c r="M788">
        <v>28.32</v>
      </c>
      <c r="N788" t="s">
        <v>5222</v>
      </c>
      <c r="O788" t="s">
        <v>464</v>
      </c>
    </row>
    <row r="789" spans="1:15" x14ac:dyDescent="0.3">
      <c r="A789">
        <v>239900</v>
      </c>
      <c r="B789">
        <v>105</v>
      </c>
      <c r="C789" t="s">
        <v>557</v>
      </c>
      <c r="D789" t="s">
        <v>2590</v>
      </c>
      <c r="E789" t="s">
        <v>2772</v>
      </c>
      <c r="F789" s="451">
        <v>46184</v>
      </c>
      <c r="G789">
        <v>26505</v>
      </c>
      <c r="H789" t="s">
        <v>4750</v>
      </c>
      <c r="I789" t="s">
        <v>5222</v>
      </c>
      <c r="J789">
        <v>3</v>
      </c>
      <c r="K789" t="s">
        <v>4738</v>
      </c>
      <c r="L789">
        <v>648</v>
      </c>
      <c r="M789">
        <v>216</v>
      </c>
      <c r="N789" t="s">
        <v>5222</v>
      </c>
      <c r="O789" t="s">
        <v>464</v>
      </c>
    </row>
    <row r="790" spans="1:15" x14ac:dyDescent="0.3">
      <c r="A790">
        <v>239900</v>
      </c>
      <c r="B790">
        <v>105</v>
      </c>
      <c r="C790" t="s">
        <v>557</v>
      </c>
      <c r="D790" t="s">
        <v>2590</v>
      </c>
      <c r="E790" t="s">
        <v>2772</v>
      </c>
      <c r="F790" s="451">
        <v>46184</v>
      </c>
      <c r="G790">
        <v>27018</v>
      </c>
      <c r="H790" t="s">
        <v>4737</v>
      </c>
      <c r="I790" t="s">
        <v>5222</v>
      </c>
      <c r="J790">
        <v>2</v>
      </c>
      <c r="K790" t="s">
        <v>4738</v>
      </c>
      <c r="L790">
        <v>159.28</v>
      </c>
      <c r="M790">
        <v>79.64</v>
      </c>
      <c r="N790" t="s">
        <v>5222</v>
      </c>
      <c r="O790" t="s">
        <v>464</v>
      </c>
    </row>
    <row r="791" spans="1:15" x14ac:dyDescent="0.3">
      <c r="A791">
        <v>239900</v>
      </c>
      <c r="B791">
        <v>105</v>
      </c>
      <c r="C791" t="s">
        <v>557</v>
      </c>
      <c r="D791" t="s">
        <v>2590</v>
      </c>
      <c r="E791" t="s">
        <v>2772</v>
      </c>
      <c r="F791" s="451">
        <v>46184</v>
      </c>
      <c r="G791">
        <v>24142</v>
      </c>
      <c r="H791" t="s">
        <v>5090</v>
      </c>
      <c r="I791" t="s">
        <v>5222</v>
      </c>
      <c r="J791">
        <v>1</v>
      </c>
      <c r="K791" t="s">
        <v>4749</v>
      </c>
      <c r="L791">
        <v>161.52000000000001</v>
      </c>
      <c r="M791">
        <v>161.52000000000001</v>
      </c>
      <c r="N791" t="s">
        <v>5222</v>
      </c>
      <c r="O791" t="s">
        <v>464</v>
      </c>
    </row>
    <row r="792" spans="1:15" x14ac:dyDescent="0.3">
      <c r="A792">
        <v>239532</v>
      </c>
      <c r="B792">
        <v>105</v>
      </c>
      <c r="C792" t="s">
        <v>557</v>
      </c>
      <c r="D792" t="s">
        <v>2615</v>
      </c>
      <c r="E792" t="s">
        <v>2773</v>
      </c>
      <c r="F792" s="451">
        <v>46182</v>
      </c>
      <c r="G792">
        <v>20623</v>
      </c>
      <c r="H792" t="s">
        <v>4814</v>
      </c>
      <c r="I792" t="s">
        <v>5191</v>
      </c>
      <c r="J792">
        <v>10</v>
      </c>
      <c r="K792" t="s">
        <v>4736</v>
      </c>
      <c r="L792">
        <v>123.9</v>
      </c>
      <c r="M792">
        <v>12.39</v>
      </c>
      <c r="N792" t="s">
        <v>5191</v>
      </c>
      <c r="O792" t="s">
        <v>464</v>
      </c>
    </row>
    <row r="793" spans="1:15" x14ac:dyDescent="0.3">
      <c r="A793">
        <v>239531</v>
      </c>
      <c r="B793">
        <v>105</v>
      </c>
      <c r="C793" t="s">
        <v>557</v>
      </c>
      <c r="D793" t="s">
        <v>2607</v>
      </c>
      <c r="E793" t="s">
        <v>2774</v>
      </c>
      <c r="F793" s="451">
        <v>46174</v>
      </c>
      <c r="G793">
        <v>26135</v>
      </c>
      <c r="H793" t="s">
        <v>4801</v>
      </c>
      <c r="I793" t="s">
        <v>5191</v>
      </c>
      <c r="J793">
        <v>5.7</v>
      </c>
      <c r="K793" t="s">
        <v>4744</v>
      </c>
      <c r="L793">
        <v>512.42999999999995</v>
      </c>
      <c r="M793">
        <v>89.9</v>
      </c>
      <c r="N793" t="s">
        <v>5191</v>
      </c>
      <c r="O793" t="s">
        <v>464</v>
      </c>
    </row>
    <row r="794" spans="1:15" x14ac:dyDescent="0.3">
      <c r="A794">
        <v>239531</v>
      </c>
      <c r="B794">
        <v>105</v>
      </c>
      <c r="C794" t="s">
        <v>557</v>
      </c>
      <c r="D794" t="s">
        <v>2607</v>
      </c>
      <c r="E794" t="s">
        <v>2774</v>
      </c>
      <c r="F794" s="451">
        <v>46174</v>
      </c>
      <c r="G794">
        <v>25777</v>
      </c>
      <c r="H794" t="s">
        <v>4774</v>
      </c>
      <c r="I794" t="s">
        <v>5191</v>
      </c>
      <c r="J794">
        <v>20.9</v>
      </c>
      <c r="K794" t="s">
        <v>4744</v>
      </c>
      <c r="L794">
        <v>1876.82</v>
      </c>
      <c r="M794">
        <v>89.8</v>
      </c>
      <c r="N794" t="s">
        <v>5191</v>
      </c>
      <c r="O794" t="s">
        <v>464</v>
      </c>
    </row>
    <row r="795" spans="1:15" x14ac:dyDescent="0.3">
      <c r="A795">
        <v>239530</v>
      </c>
      <c r="B795">
        <v>105</v>
      </c>
      <c r="C795" t="s">
        <v>557</v>
      </c>
      <c r="D795" t="s">
        <v>2707</v>
      </c>
      <c r="E795" t="s">
        <v>2775</v>
      </c>
      <c r="F795" s="451">
        <v>46181</v>
      </c>
      <c r="G795">
        <v>24081</v>
      </c>
      <c r="H795" t="s">
        <v>4834</v>
      </c>
      <c r="I795" t="s">
        <v>5191</v>
      </c>
      <c r="J795">
        <v>10.6</v>
      </c>
      <c r="K795" t="s">
        <v>4744</v>
      </c>
      <c r="L795">
        <v>252.28</v>
      </c>
      <c r="M795">
        <v>23.8</v>
      </c>
      <c r="N795" t="s">
        <v>5191</v>
      </c>
      <c r="O795" t="s">
        <v>464</v>
      </c>
    </row>
    <row r="796" spans="1:15" x14ac:dyDescent="0.3">
      <c r="A796">
        <v>239529</v>
      </c>
      <c r="B796">
        <v>105</v>
      </c>
      <c r="C796" t="s">
        <v>557</v>
      </c>
      <c r="D796" t="s">
        <v>2707</v>
      </c>
      <c r="E796" t="s">
        <v>2776</v>
      </c>
      <c r="F796" s="451">
        <v>46188</v>
      </c>
      <c r="G796">
        <v>24081</v>
      </c>
      <c r="H796" t="s">
        <v>4834</v>
      </c>
      <c r="I796" t="s">
        <v>5191</v>
      </c>
      <c r="J796">
        <v>5.8</v>
      </c>
      <c r="K796" t="s">
        <v>4744</v>
      </c>
      <c r="L796">
        <v>138.04</v>
      </c>
      <c r="M796">
        <v>23.8</v>
      </c>
      <c r="N796" t="s">
        <v>5191</v>
      </c>
      <c r="O796" t="s">
        <v>464</v>
      </c>
    </row>
    <row r="797" spans="1:15" x14ac:dyDescent="0.3">
      <c r="A797">
        <v>239528</v>
      </c>
      <c r="B797">
        <v>105</v>
      </c>
      <c r="C797" t="s">
        <v>557</v>
      </c>
      <c r="D797" t="s">
        <v>2705</v>
      </c>
      <c r="E797" t="s">
        <v>2777</v>
      </c>
      <c r="F797" s="451">
        <v>46182</v>
      </c>
      <c r="G797">
        <v>24658</v>
      </c>
      <c r="H797" t="s">
        <v>5274</v>
      </c>
      <c r="I797" t="s">
        <v>5232</v>
      </c>
      <c r="J797">
        <v>20</v>
      </c>
      <c r="K797" t="s">
        <v>4738</v>
      </c>
      <c r="L797">
        <v>692</v>
      </c>
      <c r="M797">
        <v>34.6</v>
      </c>
      <c r="N797" t="s">
        <v>5287</v>
      </c>
      <c r="O797" t="s">
        <v>464</v>
      </c>
    </row>
    <row r="798" spans="1:15" x14ac:dyDescent="0.3">
      <c r="A798">
        <v>239527</v>
      </c>
      <c r="B798">
        <v>105</v>
      </c>
      <c r="C798" t="s">
        <v>557</v>
      </c>
      <c r="D798" t="s">
        <v>2705</v>
      </c>
      <c r="E798" t="s">
        <v>2778</v>
      </c>
      <c r="F798" s="451">
        <v>46188</v>
      </c>
      <c r="G798">
        <v>24658</v>
      </c>
      <c r="H798" t="s">
        <v>5274</v>
      </c>
      <c r="I798" t="s">
        <v>5232</v>
      </c>
      <c r="J798">
        <v>20</v>
      </c>
      <c r="K798" t="s">
        <v>4738</v>
      </c>
      <c r="L798">
        <v>692</v>
      </c>
      <c r="M798">
        <v>34.6</v>
      </c>
      <c r="N798" t="s">
        <v>5287</v>
      </c>
      <c r="O798" t="s">
        <v>464</v>
      </c>
    </row>
    <row r="799" spans="1:15" x14ac:dyDescent="0.3">
      <c r="A799">
        <v>239526</v>
      </c>
      <c r="B799">
        <v>105</v>
      </c>
      <c r="C799" t="s">
        <v>557</v>
      </c>
      <c r="D799" t="s">
        <v>2779</v>
      </c>
      <c r="E799" t="s">
        <v>2780</v>
      </c>
      <c r="F799" s="451">
        <v>46182</v>
      </c>
      <c r="G799">
        <v>19003</v>
      </c>
      <c r="H799" t="s">
        <v>4810</v>
      </c>
      <c r="I799" t="s">
        <v>5191</v>
      </c>
      <c r="J799">
        <v>20.18</v>
      </c>
      <c r="K799" t="s">
        <v>4744</v>
      </c>
      <c r="L799">
        <v>804.98</v>
      </c>
      <c r="M799">
        <v>39.889989999999997</v>
      </c>
      <c r="N799" t="s">
        <v>5191</v>
      </c>
      <c r="O799" t="s">
        <v>464</v>
      </c>
    </row>
    <row r="800" spans="1:15" x14ac:dyDescent="0.3">
      <c r="A800">
        <v>239526</v>
      </c>
      <c r="B800">
        <v>105</v>
      </c>
      <c r="C800" t="s">
        <v>557</v>
      </c>
      <c r="D800" t="s">
        <v>2779</v>
      </c>
      <c r="E800" t="s">
        <v>2780</v>
      </c>
      <c r="F800" s="451">
        <v>46182</v>
      </c>
      <c r="G800">
        <v>26679</v>
      </c>
      <c r="H800" t="s">
        <v>4791</v>
      </c>
      <c r="I800" t="s">
        <v>5191</v>
      </c>
      <c r="J800">
        <v>20.55</v>
      </c>
      <c r="K800" t="s">
        <v>4744</v>
      </c>
      <c r="L800">
        <v>614.44000000000005</v>
      </c>
      <c r="M800">
        <v>29.899757000000001</v>
      </c>
      <c r="N800" t="s">
        <v>5191</v>
      </c>
      <c r="O800" t="s">
        <v>464</v>
      </c>
    </row>
    <row r="801" spans="1:15" x14ac:dyDescent="0.3">
      <c r="A801">
        <v>239525</v>
      </c>
      <c r="B801">
        <v>105</v>
      </c>
      <c r="C801" t="s">
        <v>557</v>
      </c>
      <c r="D801" t="s">
        <v>2581</v>
      </c>
      <c r="E801" t="s">
        <v>2781</v>
      </c>
      <c r="F801" s="451">
        <v>46174</v>
      </c>
      <c r="G801">
        <v>19654</v>
      </c>
      <c r="H801" t="s">
        <v>5099</v>
      </c>
      <c r="I801" t="s">
        <v>5191</v>
      </c>
      <c r="J801">
        <v>3</v>
      </c>
      <c r="K801" t="s">
        <v>4744</v>
      </c>
      <c r="L801">
        <v>16.5</v>
      </c>
      <c r="M801">
        <v>5.5</v>
      </c>
      <c r="N801" t="s">
        <v>5191</v>
      </c>
      <c r="O801" t="s">
        <v>464</v>
      </c>
    </row>
    <row r="802" spans="1:15" x14ac:dyDescent="0.3">
      <c r="A802">
        <v>239525</v>
      </c>
      <c r="B802">
        <v>105</v>
      </c>
      <c r="C802" t="s">
        <v>557</v>
      </c>
      <c r="D802" t="s">
        <v>2581</v>
      </c>
      <c r="E802" t="s">
        <v>2781</v>
      </c>
      <c r="F802" s="451">
        <v>46174</v>
      </c>
      <c r="G802">
        <v>19787</v>
      </c>
      <c r="H802" t="s">
        <v>4793</v>
      </c>
      <c r="I802" t="s">
        <v>5191</v>
      </c>
      <c r="J802">
        <v>8</v>
      </c>
      <c r="K802" t="s">
        <v>4744</v>
      </c>
      <c r="L802">
        <v>47.2</v>
      </c>
      <c r="M802">
        <v>5.9</v>
      </c>
      <c r="N802" t="s">
        <v>5191</v>
      </c>
      <c r="O802" t="s">
        <v>464</v>
      </c>
    </row>
    <row r="803" spans="1:15" x14ac:dyDescent="0.3">
      <c r="A803">
        <v>239525</v>
      </c>
      <c r="B803">
        <v>105</v>
      </c>
      <c r="C803" t="s">
        <v>557</v>
      </c>
      <c r="D803" t="s">
        <v>2581</v>
      </c>
      <c r="E803" t="s">
        <v>2781</v>
      </c>
      <c r="F803" s="451">
        <v>46174</v>
      </c>
      <c r="G803">
        <v>23389</v>
      </c>
      <c r="H803" t="s">
        <v>4960</v>
      </c>
      <c r="I803" t="s">
        <v>5191</v>
      </c>
      <c r="J803">
        <v>4</v>
      </c>
      <c r="K803" t="s">
        <v>4744</v>
      </c>
      <c r="L803">
        <v>20</v>
      </c>
      <c r="M803">
        <v>5</v>
      </c>
      <c r="N803" t="s">
        <v>5191</v>
      </c>
      <c r="O803" t="s">
        <v>464</v>
      </c>
    </row>
    <row r="804" spans="1:15" x14ac:dyDescent="0.3">
      <c r="A804">
        <v>239525</v>
      </c>
      <c r="B804">
        <v>105</v>
      </c>
      <c r="C804" t="s">
        <v>557</v>
      </c>
      <c r="D804" t="s">
        <v>2581</v>
      </c>
      <c r="E804" t="s">
        <v>2781</v>
      </c>
      <c r="F804" s="451">
        <v>46174</v>
      </c>
      <c r="G804">
        <v>23236</v>
      </c>
      <c r="H804" t="s">
        <v>5062</v>
      </c>
      <c r="I804" t="s">
        <v>5191</v>
      </c>
      <c r="J804">
        <v>3</v>
      </c>
      <c r="K804" t="s">
        <v>4744</v>
      </c>
      <c r="L804">
        <v>39</v>
      </c>
      <c r="M804">
        <v>13</v>
      </c>
      <c r="N804" t="s">
        <v>5191</v>
      </c>
      <c r="O804" t="s">
        <v>464</v>
      </c>
    </row>
    <row r="805" spans="1:15" x14ac:dyDescent="0.3">
      <c r="A805">
        <v>239525</v>
      </c>
      <c r="B805">
        <v>105</v>
      </c>
      <c r="C805" t="s">
        <v>557</v>
      </c>
      <c r="D805" t="s">
        <v>2581</v>
      </c>
      <c r="E805" t="s">
        <v>2781</v>
      </c>
      <c r="F805" s="451">
        <v>46174</v>
      </c>
      <c r="G805">
        <v>19621</v>
      </c>
      <c r="H805" t="s">
        <v>4829</v>
      </c>
      <c r="I805" t="s">
        <v>5191</v>
      </c>
      <c r="J805">
        <v>2</v>
      </c>
      <c r="K805" t="s">
        <v>4744</v>
      </c>
      <c r="L805">
        <v>17</v>
      </c>
      <c r="M805">
        <v>8.5</v>
      </c>
      <c r="N805" t="s">
        <v>5191</v>
      </c>
      <c r="O805" t="s">
        <v>464</v>
      </c>
    </row>
    <row r="806" spans="1:15" x14ac:dyDescent="0.3">
      <c r="A806">
        <v>239525</v>
      </c>
      <c r="B806">
        <v>105</v>
      </c>
      <c r="C806" t="s">
        <v>557</v>
      </c>
      <c r="D806" t="s">
        <v>2581</v>
      </c>
      <c r="E806" t="s">
        <v>2781</v>
      </c>
      <c r="F806" s="451">
        <v>46174</v>
      </c>
      <c r="G806">
        <v>19480</v>
      </c>
      <c r="H806" t="s">
        <v>5119</v>
      </c>
      <c r="I806" t="s">
        <v>5191</v>
      </c>
      <c r="J806">
        <v>0.3</v>
      </c>
      <c r="K806" t="s">
        <v>4744</v>
      </c>
      <c r="L806">
        <v>5.4</v>
      </c>
      <c r="M806">
        <v>18</v>
      </c>
      <c r="N806" t="s">
        <v>5191</v>
      </c>
      <c r="O806" t="s">
        <v>464</v>
      </c>
    </row>
    <row r="807" spans="1:15" x14ac:dyDescent="0.3">
      <c r="A807">
        <v>239524</v>
      </c>
      <c r="B807">
        <v>105</v>
      </c>
      <c r="C807" t="s">
        <v>557</v>
      </c>
      <c r="D807" t="s">
        <v>2627</v>
      </c>
      <c r="E807" t="s">
        <v>2782</v>
      </c>
      <c r="F807" s="451">
        <v>46182</v>
      </c>
      <c r="G807">
        <v>24458</v>
      </c>
      <c r="H807" t="s">
        <v>5079</v>
      </c>
      <c r="I807" t="s">
        <v>5191</v>
      </c>
      <c r="J807">
        <v>2</v>
      </c>
      <c r="K807" t="s">
        <v>4744</v>
      </c>
      <c r="L807">
        <v>145.80000000000001</v>
      </c>
      <c r="M807">
        <v>72.900000000000006</v>
      </c>
      <c r="N807" t="s">
        <v>5191</v>
      </c>
      <c r="O807" t="s">
        <v>464</v>
      </c>
    </row>
    <row r="808" spans="1:15" x14ac:dyDescent="0.3">
      <c r="A808">
        <v>239524</v>
      </c>
      <c r="B808">
        <v>105</v>
      </c>
      <c r="C808" t="s">
        <v>557</v>
      </c>
      <c r="D808" t="s">
        <v>2627</v>
      </c>
      <c r="E808" t="s">
        <v>2782</v>
      </c>
      <c r="F808" s="451">
        <v>46182</v>
      </c>
      <c r="G808">
        <v>20644</v>
      </c>
      <c r="H808" t="s">
        <v>5016</v>
      </c>
      <c r="I808" t="s">
        <v>5191</v>
      </c>
      <c r="J808">
        <v>3</v>
      </c>
      <c r="K808" t="s">
        <v>4736</v>
      </c>
      <c r="L808">
        <v>11.1</v>
      </c>
      <c r="M808">
        <v>3.7</v>
      </c>
      <c r="N808" t="s">
        <v>5191</v>
      </c>
      <c r="O808" t="s">
        <v>464</v>
      </c>
    </row>
    <row r="809" spans="1:15" x14ac:dyDescent="0.3">
      <c r="A809">
        <v>239524</v>
      </c>
      <c r="B809">
        <v>105</v>
      </c>
      <c r="C809" t="s">
        <v>557</v>
      </c>
      <c r="D809" t="s">
        <v>2627</v>
      </c>
      <c r="E809" t="s">
        <v>2782</v>
      </c>
      <c r="F809" s="451">
        <v>46182</v>
      </c>
      <c r="G809">
        <v>19322</v>
      </c>
      <c r="H809" t="s">
        <v>4830</v>
      </c>
      <c r="I809" t="s">
        <v>5191</v>
      </c>
      <c r="J809">
        <v>12</v>
      </c>
      <c r="K809" t="s">
        <v>4744</v>
      </c>
      <c r="L809">
        <v>594</v>
      </c>
      <c r="M809">
        <v>49.5</v>
      </c>
      <c r="N809" t="s">
        <v>5191</v>
      </c>
      <c r="O809" t="s">
        <v>464</v>
      </c>
    </row>
    <row r="810" spans="1:15" x14ac:dyDescent="0.3">
      <c r="A810">
        <v>239524</v>
      </c>
      <c r="B810">
        <v>105</v>
      </c>
      <c r="C810" t="s">
        <v>557</v>
      </c>
      <c r="D810" t="s">
        <v>2627</v>
      </c>
      <c r="E810" t="s">
        <v>2782</v>
      </c>
      <c r="F810" s="451">
        <v>46182</v>
      </c>
      <c r="G810">
        <v>25358</v>
      </c>
      <c r="H810" t="s">
        <v>4980</v>
      </c>
      <c r="I810" t="s">
        <v>5191</v>
      </c>
      <c r="J810">
        <v>1</v>
      </c>
      <c r="K810" t="s">
        <v>5238</v>
      </c>
      <c r="L810">
        <v>78.900000000000006</v>
      </c>
      <c r="M810">
        <v>78.900000000000006</v>
      </c>
      <c r="N810" t="s">
        <v>5191</v>
      </c>
      <c r="O810" t="s">
        <v>464</v>
      </c>
    </row>
    <row r="811" spans="1:15" x14ac:dyDescent="0.3">
      <c r="A811">
        <v>239524</v>
      </c>
      <c r="B811">
        <v>105</v>
      </c>
      <c r="C811" t="s">
        <v>557</v>
      </c>
      <c r="D811" t="s">
        <v>2627</v>
      </c>
      <c r="E811" t="s">
        <v>2782</v>
      </c>
      <c r="F811" s="451">
        <v>46182</v>
      </c>
      <c r="G811">
        <v>19906</v>
      </c>
      <c r="H811" t="s">
        <v>5159</v>
      </c>
      <c r="I811" t="s">
        <v>5191</v>
      </c>
      <c r="J811">
        <v>1</v>
      </c>
      <c r="K811" t="s">
        <v>4738</v>
      </c>
      <c r="L811">
        <v>35</v>
      </c>
      <c r="M811">
        <v>35</v>
      </c>
      <c r="N811" t="s">
        <v>5191</v>
      </c>
      <c r="O811" t="s">
        <v>464</v>
      </c>
    </row>
    <row r="812" spans="1:15" x14ac:dyDescent="0.3">
      <c r="A812">
        <v>239523</v>
      </c>
      <c r="B812">
        <v>105</v>
      </c>
      <c r="C812" t="s">
        <v>557</v>
      </c>
      <c r="D812" t="s">
        <v>2605</v>
      </c>
      <c r="E812" t="s">
        <v>2783</v>
      </c>
      <c r="F812" s="451">
        <v>46174</v>
      </c>
      <c r="G812">
        <v>20689</v>
      </c>
      <c r="H812" t="s">
        <v>5007</v>
      </c>
      <c r="I812" t="s">
        <v>5191</v>
      </c>
      <c r="J812">
        <v>2</v>
      </c>
      <c r="K812" t="s">
        <v>4736</v>
      </c>
      <c r="L812">
        <v>64.8</v>
      </c>
      <c r="M812">
        <v>32.4</v>
      </c>
      <c r="N812" t="s">
        <v>5191</v>
      </c>
      <c r="O812" t="s">
        <v>464</v>
      </c>
    </row>
    <row r="813" spans="1:15" x14ac:dyDescent="0.3">
      <c r="A813">
        <v>239523</v>
      </c>
      <c r="B813">
        <v>105</v>
      </c>
      <c r="C813" t="s">
        <v>557</v>
      </c>
      <c r="D813" t="s">
        <v>2605</v>
      </c>
      <c r="E813" t="s">
        <v>2783</v>
      </c>
      <c r="F813" s="451">
        <v>46174</v>
      </c>
      <c r="G813">
        <v>19291</v>
      </c>
      <c r="H813" t="s">
        <v>4870</v>
      </c>
      <c r="I813" t="s">
        <v>5191</v>
      </c>
      <c r="J813">
        <v>5</v>
      </c>
      <c r="K813" t="s">
        <v>5238</v>
      </c>
      <c r="L813">
        <v>575.25</v>
      </c>
      <c r="M813">
        <v>115.05</v>
      </c>
      <c r="N813" t="s">
        <v>5191</v>
      </c>
      <c r="O813" t="s">
        <v>464</v>
      </c>
    </row>
    <row r="814" spans="1:15" x14ac:dyDescent="0.3">
      <c r="A814">
        <v>239523</v>
      </c>
      <c r="B814">
        <v>105</v>
      </c>
      <c r="C814" t="s">
        <v>557</v>
      </c>
      <c r="D814" t="s">
        <v>2605</v>
      </c>
      <c r="E814" t="s">
        <v>2783</v>
      </c>
      <c r="F814" s="451">
        <v>46174</v>
      </c>
      <c r="G814">
        <v>20122</v>
      </c>
      <c r="H814" t="s">
        <v>4781</v>
      </c>
      <c r="I814" t="s">
        <v>5191</v>
      </c>
      <c r="J814">
        <v>3</v>
      </c>
      <c r="K814" t="s">
        <v>4738</v>
      </c>
      <c r="L814">
        <v>43.14</v>
      </c>
      <c r="M814">
        <v>14.38</v>
      </c>
      <c r="N814" t="s">
        <v>5191</v>
      </c>
      <c r="O814" t="s">
        <v>464</v>
      </c>
    </row>
    <row r="815" spans="1:15" x14ac:dyDescent="0.3">
      <c r="A815">
        <v>239522</v>
      </c>
      <c r="B815">
        <v>105</v>
      </c>
      <c r="C815" t="s">
        <v>557</v>
      </c>
      <c r="D815" t="s">
        <v>2577</v>
      </c>
      <c r="E815" t="s">
        <v>2784</v>
      </c>
      <c r="F815" s="451">
        <v>46188</v>
      </c>
      <c r="G815">
        <v>24497</v>
      </c>
      <c r="H815" t="s">
        <v>5231</v>
      </c>
      <c r="I815" t="s">
        <v>5232</v>
      </c>
      <c r="J815">
        <v>1</v>
      </c>
      <c r="K815" t="s">
        <v>4736</v>
      </c>
      <c r="L815">
        <v>139.02000000000001</v>
      </c>
      <c r="M815">
        <v>139.02000000000001</v>
      </c>
      <c r="N815" t="s">
        <v>5288</v>
      </c>
      <c r="O815" t="s">
        <v>464</v>
      </c>
    </row>
    <row r="816" spans="1:15" x14ac:dyDescent="0.3">
      <c r="A816">
        <v>239521</v>
      </c>
      <c r="B816">
        <v>105</v>
      </c>
      <c r="C816" t="s">
        <v>557</v>
      </c>
      <c r="D816" t="s">
        <v>2579</v>
      </c>
      <c r="E816" t="s">
        <v>1893</v>
      </c>
      <c r="F816" s="451">
        <v>46174</v>
      </c>
      <c r="G816">
        <v>19635</v>
      </c>
      <c r="H816" t="s">
        <v>4786</v>
      </c>
      <c r="I816" t="s">
        <v>5191</v>
      </c>
      <c r="J816">
        <v>8</v>
      </c>
      <c r="K816" t="s">
        <v>4744</v>
      </c>
      <c r="L816">
        <v>36.4</v>
      </c>
      <c r="M816">
        <v>4.55</v>
      </c>
      <c r="N816" t="s">
        <v>5191</v>
      </c>
      <c r="O816" t="s">
        <v>464</v>
      </c>
    </row>
    <row r="817" spans="1:15" x14ac:dyDescent="0.3">
      <c r="A817">
        <v>239521</v>
      </c>
      <c r="B817">
        <v>105</v>
      </c>
      <c r="C817" t="s">
        <v>557</v>
      </c>
      <c r="D817" t="s">
        <v>2579</v>
      </c>
      <c r="E817" t="s">
        <v>1893</v>
      </c>
      <c r="F817" s="451">
        <v>46174</v>
      </c>
      <c r="G817">
        <v>23184</v>
      </c>
      <c r="H817" t="s">
        <v>4935</v>
      </c>
      <c r="I817" t="s">
        <v>5191</v>
      </c>
      <c r="J817">
        <v>2</v>
      </c>
      <c r="K817" t="s">
        <v>4744</v>
      </c>
      <c r="L817">
        <v>46.8</v>
      </c>
      <c r="M817">
        <v>23.4</v>
      </c>
      <c r="N817" t="s">
        <v>5191</v>
      </c>
      <c r="O817" t="s">
        <v>464</v>
      </c>
    </row>
    <row r="818" spans="1:15" x14ac:dyDescent="0.3">
      <c r="A818">
        <v>239521</v>
      </c>
      <c r="B818">
        <v>105</v>
      </c>
      <c r="C818" t="s">
        <v>557</v>
      </c>
      <c r="D818" t="s">
        <v>2579</v>
      </c>
      <c r="E818" t="s">
        <v>1893</v>
      </c>
      <c r="F818" s="451">
        <v>46174</v>
      </c>
      <c r="G818">
        <v>19765</v>
      </c>
      <c r="H818" t="s">
        <v>4889</v>
      </c>
      <c r="I818" t="s">
        <v>5191</v>
      </c>
      <c r="J818">
        <v>2</v>
      </c>
      <c r="K818" t="s">
        <v>4744</v>
      </c>
      <c r="L818">
        <v>71.8</v>
      </c>
      <c r="M818">
        <v>35.9</v>
      </c>
      <c r="N818" t="s">
        <v>5191</v>
      </c>
      <c r="O818" t="s">
        <v>464</v>
      </c>
    </row>
    <row r="819" spans="1:15" x14ac:dyDescent="0.3">
      <c r="A819">
        <v>239521</v>
      </c>
      <c r="B819">
        <v>105</v>
      </c>
      <c r="C819" t="s">
        <v>557</v>
      </c>
      <c r="D819" t="s">
        <v>2579</v>
      </c>
      <c r="E819" t="s">
        <v>1893</v>
      </c>
      <c r="F819" s="451">
        <v>46174</v>
      </c>
      <c r="G819">
        <v>19476</v>
      </c>
      <c r="H819" t="s">
        <v>5115</v>
      </c>
      <c r="I819" t="s">
        <v>5191</v>
      </c>
      <c r="J819">
        <v>0.2</v>
      </c>
      <c r="K819" t="s">
        <v>4744</v>
      </c>
      <c r="L819">
        <v>13</v>
      </c>
      <c r="M819">
        <v>65</v>
      </c>
      <c r="N819" t="s">
        <v>5191</v>
      </c>
      <c r="O819" t="s">
        <v>464</v>
      </c>
    </row>
    <row r="820" spans="1:15" x14ac:dyDescent="0.3">
      <c r="A820">
        <v>239521</v>
      </c>
      <c r="B820">
        <v>105</v>
      </c>
      <c r="C820" t="s">
        <v>557</v>
      </c>
      <c r="D820" t="s">
        <v>2579</v>
      </c>
      <c r="E820" t="s">
        <v>1893</v>
      </c>
      <c r="F820" s="451">
        <v>46174</v>
      </c>
      <c r="G820">
        <v>23108</v>
      </c>
      <c r="H820" t="s">
        <v>5117</v>
      </c>
      <c r="I820" t="s">
        <v>5191</v>
      </c>
      <c r="J820">
        <v>0.2</v>
      </c>
      <c r="K820" t="s">
        <v>4744</v>
      </c>
      <c r="L820">
        <v>15.6</v>
      </c>
      <c r="M820">
        <v>78</v>
      </c>
      <c r="N820" t="s">
        <v>5191</v>
      </c>
      <c r="O820" t="s">
        <v>464</v>
      </c>
    </row>
    <row r="821" spans="1:15" x14ac:dyDescent="0.3">
      <c r="A821">
        <v>239521</v>
      </c>
      <c r="B821">
        <v>105</v>
      </c>
      <c r="C821" t="s">
        <v>557</v>
      </c>
      <c r="D821" t="s">
        <v>2579</v>
      </c>
      <c r="E821" t="s">
        <v>1893</v>
      </c>
      <c r="F821" s="451">
        <v>46174</v>
      </c>
      <c r="G821">
        <v>19589</v>
      </c>
      <c r="H821" t="s">
        <v>4983</v>
      </c>
      <c r="I821" t="s">
        <v>5191</v>
      </c>
      <c r="J821">
        <v>3</v>
      </c>
      <c r="K821" t="s">
        <v>4744</v>
      </c>
      <c r="L821">
        <v>28.86</v>
      </c>
      <c r="M821">
        <v>9.6199999999999992</v>
      </c>
      <c r="N821" t="s">
        <v>5191</v>
      </c>
      <c r="O821" t="s">
        <v>464</v>
      </c>
    </row>
    <row r="822" spans="1:15" x14ac:dyDescent="0.3">
      <c r="A822">
        <v>239521</v>
      </c>
      <c r="B822">
        <v>105</v>
      </c>
      <c r="C822" t="s">
        <v>557</v>
      </c>
      <c r="D822" t="s">
        <v>2579</v>
      </c>
      <c r="E822" t="s">
        <v>1893</v>
      </c>
      <c r="F822" s="451">
        <v>46174</v>
      </c>
      <c r="G822">
        <v>19532</v>
      </c>
      <c r="H822" t="s">
        <v>4753</v>
      </c>
      <c r="I822" t="s">
        <v>5191</v>
      </c>
      <c r="J822">
        <v>8</v>
      </c>
      <c r="K822" t="s">
        <v>4744</v>
      </c>
      <c r="L822">
        <v>93.6</v>
      </c>
      <c r="M822">
        <v>11.7</v>
      </c>
      <c r="N822" t="s">
        <v>5191</v>
      </c>
      <c r="O822" t="s">
        <v>464</v>
      </c>
    </row>
    <row r="823" spans="1:15" x14ac:dyDescent="0.3">
      <c r="A823">
        <v>239521</v>
      </c>
      <c r="B823">
        <v>105</v>
      </c>
      <c r="C823" t="s">
        <v>557</v>
      </c>
      <c r="D823" t="s">
        <v>2579</v>
      </c>
      <c r="E823" t="s">
        <v>1893</v>
      </c>
      <c r="F823" s="451">
        <v>46174</v>
      </c>
      <c r="G823">
        <v>24489</v>
      </c>
      <c r="H823" t="s">
        <v>5121</v>
      </c>
      <c r="I823" t="s">
        <v>5191</v>
      </c>
      <c r="J823">
        <v>1</v>
      </c>
      <c r="K823" t="s">
        <v>4744</v>
      </c>
      <c r="L823">
        <v>26</v>
      </c>
      <c r="M823">
        <v>26</v>
      </c>
      <c r="N823" t="s">
        <v>5191</v>
      </c>
      <c r="O823" t="s">
        <v>464</v>
      </c>
    </row>
    <row r="824" spans="1:15" x14ac:dyDescent="0.3">
      <c r="A824">
        <v>239521</v>
      </c>
      <c r="B824">
        <v>105</v>
      </c>
      <c r="C824" t="s">
        <v>557</v>
      </c>
      <c r="D824" t="s">
        <v>2579</v>
      </c>
      <c r="E824" t="s">
        <v>1893</v>
      </c>
      <c r="F824" s="451">
        <v>46174</v>
      </c>
      <c r="G824">
        <v>23096</v>
      </c>
      <c r="H824" t="s">
        <v>5164</v>
      </c>
      <c r="I824" t="s">
        <v>5191</v>
      </c>
      <c r="J824">
        <v>60</v>
      </c>
      <c r="K824" t="s">
        <v>4736</v>
      </c>
      <c r="L824">
        <v>37.200000000000003</v>
      </c>
      <c r="M824">
        <v>0.62</v>
      </c>
      <c r="N824" t="s">
        <v>5191</v>
      </c>
      <c r="O824" t="s">
        <v>464</v>
      </c>
    </row>
    <row r="825" spans="1:15" x14ac:dyDescent="0.3">
      <c r="A825">
        <v>239521</v>
      </c>
      <c r="B825">
        <v>105</v>
      </c>
      <c r="C825" t="s">
        <v>557</v>
      </c>
      <c r="D825" t="s">
        <v>2579</v>
      </c>
      <c r="E825" t="s">
        <v>1893</v>
      </c>
      <c r="F825" s="451">
        <v>46174</v>
      </c>
      <c r="G825">
        <v>19734</v>
      </c>
      <c r="H825" t="s">
        <v>4833</v>
      </c>
      <c r="I825" t="s">
        <v>5191</v>
      </c>
      <c r="J825">
        <v>3</v>
      </c>
      <c r="K825" t="s">
        <v>4744</v>
      </c>
      <c r="L825">
        <v>39</v>
      </c>
      <c r="M825">
        <v>13</v>
      </c>
      <c r="N825" t="s">
        <v>5191</v>
      </c>
      <c r="O825" t="s">
        <v>464</v>
      </c>
    </row>
    <row r="826" spans="1:15" x14ac:dyDescent="0.3">
      <c r="A826">
        <v>239520</v>
      </c>
      <c r="B826">
        <v>105</v>
      </c>
      <c r="C826" t="s">
        <v>557</v>
      </c>
      <c r="D826" t="s">
        <v>2571</v>
      </c>
      <c r="E826" t="s">
        <v>2785</v>
      </c>
      <c r="F826" s="451">
        <v>46175</v>
      </c>
      <c r="G826">
        <v>27397</v>
      </c>
      <c r="H826" t="s">
        <v>4913</v>
      </c>
      <c r="I826" t="s">
        <v>5191</v>
      </c>
      <c r="J826">
        <v>4</v>
      </c>
      <c r="K826" t="s">
        <v>4736</v>
      </c>
      <c r="L826">
        <v>247.36</v>
      </c>
      <c r="M826">
        <v>61.84</v>
      </c>
      <c r="N826" t="s">
        <v>5191</v>
      </c>
      <c r="O826" t="s">
        <v>464</v>
      </c>
    </row>
    <row r="827" spans="1:15" x14ac:dyDescent="0.3">
      <c r="A827">
        <v>239520</v>
      </c>
      <c r="B827">
        <v>105</v>
      </c>
      <c r="C827" t="s">
        <v>557</v>
      </c>
      <c r="D827" t="s">
        <v>2571</v>
      </c>
      <c r="E827" t="s">
        <v>2785</v>
      </c>
      <c r="F827" s="451">
        <v>46175</v>
      </c>
      <c r="G827">
        <v>20242</v>
      </c>
      <c r="H827" t="s">
        <v>4824</v>
      </c>
      <c r="I827" t="s">
        <v>5191</v>
      </c>
      <c r="J827">
        <v>5</v>
      </c>
      <c r="K827" t="s">
        <v>4738</v>
      </c>
      <c r="L827">
        <v>110.75</v>
      </c>
      <c r="M827">
        <v>22.15</v>
      </c>
      <c r="N827" t="s">
        <v>5191</v>
      </c>
      <c r="O827" t="s">
        <v>464</v>
      </c>
    </row>
    <row r="828" spans="1:15" x14ac:dyDescent="0.3">
      <c r="A828">
        <v>239520</v>
      </c>
      <c r="B828">
        <v>105</v>
      </c>
      <c r="C828" t="s">
        <v>557</v>
      </c>
      <c r="D828" t="s">
        <v>2571</v>
      </c>
      <c r="E828" t="s">
        <v>2785</v>
      </c>
      <c r="F828" s="451">
        <v>46175</v>
      </c>
      <c r="G828">
        <v>20928</v>
      </c>
      <c r="H828" t="s">
        <v>4950</v>
      </c>
      <c r="I828" t="s">
        <v>5191</v>
      </c>
      <c r="J828">
        <v>1</v>
      </c>
      <c r="K828" t="s">
        <v>4736</v>
      </c>
      <c r="L828">
        <v>214.13</v>
      </c>
      <c r="M828">
        <v>214.13</v>
      </c>
      <c r="N828" t="s">
        <v>5191</v>
      </c>
      <c r="O828" t="s">
        <v>464</v>
      </c>
    </row>
    <row r="829" spans="1:15" x14ac:dyDescent="0.3">
      <c r="A829">
        <v>239520</v>
      </c>
      <c r="B829">
        <v>105</v>
      </c>
      <c r="C829" t="s">
        <v>557</v>
      </c>
      <c r="D829" t="s">
        <v>2571</v>
      </c>
      <c r="E829" t="s">
        <v>2785</v>
      </c>
      <c r="F829" s="451">
        <v>46175</v>
      </c>
      <c r="G829">
        <v>20138</v>
      </c>
      <c r="H829" t="s">
        <v>4886</v>
      </c>
      <c r="I829" t="s">
        <v>5191</v>
      </c>
      <c r="J829">
        <v>3</v>
      </c>
      <c r="K829" t="s">
        <v>4738</v>
      </c>
      <c r="L829">
        <v>15.3</v>
      </c>
      <c r="M829">
        <v>5.0999999999999996</v>
      </c>
      <c r="N829" t="s">
        <v>5191</v>
      </c>
      <c r="O829" t="s">
        <v>464</v>
      </c>
    </row>
    <row r="830" spans="1:15" x14ac:dyDescent="0.3">
      <c r="A830">
        <v>239519</v>
      </c>
      <c r="B830">
        <v>105</v>
      </c>
      <c r="C830" t="s">
        <v>557</v>
      </c>
      <c r="D830" t="s">
        <v>2571</v>
      </c>
      <c r="E830" t="s">
        <v>2786</v>
      </c>
      <c r="F830" s="451">
        <v>46182</v>
      </c>
      <c r="G830">
        <v>23502</v>
      </c>
      <c r="H830" t="s">
        <v>4930</v>
      </c>
      <c r="I830" t="s">
        <v>5191</v>
      </c>
      <c r="J830">
        <v>1</v>
      </c>
      <c r="K830" t="s">
        <v>4744</v>
      </c>
      <c r="L830">
        <v>14.9</v>
      </c>
      <c r="M830">
        <v>14.9</v>
      </c>
      <c r="N830" t="s">
        <v>5191</v>
      </c>
      <c r="O830" t="s">
        <v>464</v>
      </c>
    </row>
    <row r="831" spans="1:15" x14ac:dyDescent="0.3">
      <c r="A831">
        <v>239519</v>
      </c>
      <c r="B831">
        <v>105</v>
      </c>
      <c r="C831" t="s">
        <v>557</v>
      </c>
      <c r="D831" t="s">
        <v>2571</v>
      </c>
      <c r="E831" t="s">
        <v>2786</v>
      </c>
      <c r="F831" s="451">
        <v>46182</v>
      </c>
      <c r="G831">
        <v>20672</v>
      </c>
      <c r="H831" t="s">
        <v>4857</v>
      </c>
      <c r="I831" t="s">
        <v>5191</v>
      </c>
      <c r="J831">
        <v>1</v>
      </c>
      <c r="K831" t="s">
        <v>4738</v>
      </c>
      <c r="L831">
        <v>29.55</v>
      </c>
      <c r="M831">
        <v>29.55</v>
      </c>
      <c r="N831" t="s">
        <v>5191</v>
      </c>
      <c r="O831" t="s">
        <v>464</v>
      </c>
    </row>
    <row r="832" spans="1:15" x14ac:dyDescent="0.3">
      <c r="A832">
        <v>239519</v>
      </c>
      <c r="B832">
        <v>105</v>
      </c>
      <c r="C832" t="s">
        <v>557</v>
      </c>
      <c r="D832" t="s">
        <v>2571</v>
      </c>
      <c r="E832" t="s">
        <v>2786</v>
      </c>
      <c r="F832" s="451">
        <v>46182</v>
      </c>
      <c r="G832">
        <v>20213</v>
      </c>
      <c r="H832" t="s">
        <v>5160</v>
      </c>
      <c r="I832" t="s">
        <v>5191</v>
      </c>
      <c r="J832">
        <v>2</v>
      </c>
      <c r="K832" t="s">
        <v>5228</v>
      </c>
      <c r="L832">
        <v>63.2</v>
      </c>
      <c r="M832">
        <v>31.6</v>
      </c>
      <c r="N832" t="s">
        <v>5191</v>
      </c>
      <c r="O832" t="s">
        <v>464</v>
      </c>
    </row>
    <row r="833" spans="1:15" x14ac:dyDescent="0.3">
      <c r="A833">
        <v>239519</v>
      </c>
      <c r="B833">
        <v>105</v>
      </c>
      <c r="C833" t="s">
        <v>557</v>
      </c>
      <c r="D833" t="s">
        <v>2571</v>
      </c>
      <c r="E833" t="s">
        <v>2786</v>
      </c>
      <c r="F833" s="451">
        <v>46182</v>
      </c>
      <c r="G833">
        <v>19967</v>
      </c>
      <c r="H833" t="s">
        <v>4956</v>
      </c>
      <c r="I833" t="s">
        <v>5191</v>
      </c>
      <c r="J833">
        <v>2</v>
      </c>
      <c r="K833" t="s">
        <v>4736</v>
      </c>
      <c r="L833">
        <v>98.56</v>
      </c>
      <c r="M833">
        <v>49.28</v>
      </c>
      <c r="N833" t="s">
        <v>5191</v>
      </c>
      <c r="O833" t="s">
        <v>464</v>
      </c>
    </row>
    <row r="834" spans="1:15" x14ac:dyDescent="0.3">
      <c r="A834">
        <v>239519</v>
      </c>
      <c r="B834">
        <v>105</v>
      </c>
      <c r="C834" t="s">
        <v>557</v>
      </c>
      <c r="D834" t="s">
        <v>2571</v>
      </c>
      <c r="E834" t="s">
        <v>2786</v>
      </c>
      <c r="F834" s="451">
        <v>46182</v>
      </c>
      <c r="G834">
        <v>20809</v>
      </c>
      <c r="H834" t="s">
        <v>4822</v>
      </c>
      <c r="I834" t="s">
        <v>5191</v>
      </c>
      <c r="J834">
        <v>8</v>
      </c>
      <c r="K834" t="s">
        <v>4736</v>
      </c>
      <c r="L834">
        <v>239.2</v>
      </c>
      <c r="M834">
        <v>29.9</v>
      </c>
      <c r="N834" t="s">
        <v>5191</v>
      </c>
      <c r="O834" t="s">
        <v>464</v>
      </c>
    </row>
    <row r="835" spans="1:15" x14ac:dyDescent="0.3">
      <c r="A835">
        <v>239519</v>
      </c>
      <c r="B835">
        <v>105</v>
      </c>
      <c r="C835" t="s">
        <v>557</v>
      </c>
      <c r="D835" t="s">
        <v>2571</v>
      </c>
      <c r="E835" t="s">
        <v>2786</v>
      </c>
      <c r="F835" s="451">
        <v>46182</v>
      </c>
      <c r="G835">
        <v>21021</v>
      </c>
      <c r="H835" t="s">
        <v>4883</v>
      </c>
      <c r="I835" t="s">
        <v>5191</v>
      </c>
      <c r="J835">
        <v>3</v>
      </c>
      <c r="K835" t="s">
        <v>4736</v>
      </c>
      <c r="L835">
        <v>563.28</v>
      </c>
      <c r="M835">
        <v>187.76</v>
      </c>
      <c r="N835" t="s">
        <v>5191</v>
      </c>
      <c r="O835" t="s">
        <v>464</v>
      </c>
    </row>
    <row r="836" spans="1:15" x14ac:dyDescent="0.3">
      <c r="A836">
        <v>239519</v>
      </c>
      <c r="B836">
        <v>105</v>
      </c>
      <c r="C836" t="s">
        <v>557</v>
      </c>
      <c r="D836" t="s">
        <v>2571</v>
      </c>
      <c r="E836" t="s">
        <v>2786</v>
      </c>
      <c r="F836" s="451">
        <v>46182</v>
      </c>
      <c r="G836">
        <v>20653</v>
      </c>
      <c r="H836" t="s">
        <v>5013</v>
      </c>
      <c r="I836" t="s">
        <v>5191</v>
      </c>
      <c r="J836">
        <v>1</v>
      </c>
      <c r="K836" t="s">
        <v>4736</v>
      </c>
      <c r="L836">
        <v>25.96</v>
      </c>
      <c r="M836">
        <v>25.96</v>
      </c>
      <c r="N836" t="s">
        <v>5191</v>
      </c>
      <c r="O836" t="s">
        <v>464</v>
      </c>
    </row>
    <row r="837" spans="1:15" x14ac:dyDescent="0.3">
      <c r="A837">
        <v>239518</v>
      </c>
      <c r="B837">
        <v>105</v>
      </c>
      <c r="C837" t="s">
        <v>557</v>
      </c>
      <c r="D837" t="s">
        <v>1786</v>
      </c>
      <c r="E837" t="s">
        <v>2787</v>
      </c>
      <c r="F837" s="451">
        <v>46174</v>
      </c>
      <c r="G837">
        <v>19401</v>
      </c>
      <c r="H837" t="s">
        <v>4809</v>
      </c>
      <c r="I837" t="s">
        <v>5191</v>
      </c>
      <c r="J837">
        <v>1</v>
      </c>
      <c r="K837" t="s">
        <v>4879</v>
      </c>
      <c r="L837">
        <v>194.9</v>
      </c>
      <c r="M837">
        <v>194.9</v>
      </c>
      <c r="N837" t="s">
        <v>5191</v>
      </c>
      <c r="O837" t="s">
        <v>464</v>
      </c>
    </row>
    <row r="838" spans="1:15" x14ac:dyDescent="0.3">
      <c r="A838">
        <v>239518</v>
      </c>
      <c r="B838">
        <v>105</v>
      </c>
      <c r="C838" t="s">
        <v>557</v>
      </c>
      <c r="D838" t="s">
        <v>1786</v>
      </c>
      <c r="E838" t="s">
        <v>2787</v>
      </c>
      <c r="F838" s="451">
        <v>46174</v>
      </c>
      <c r="G838">
        <v>23785</v>
      </c>
      <c r="H838" t="s">
        <v>4858</v>
      </c>
      <c r="I838" t="s">
        <v>5191</v>
      </c>
      <c r="J838">
        <v>8</v>
      </c>
      <c r="K838" t="s">
        <v>4744</v>
      </c>
      <c r="L838">
        <v>251.2</v>
      </c>
      <c r="M838">
        <v>31.4</v>
      </c>
      <c r="N838" t="s">
        <v>5191</v>
      </c>
      <c r="O838" t="s">
        <v>464</v>
      </c>
    </row>
    <row r="839" spans="1:15" x14ac:dyDescent="0.3">
      <c r="A839">
        <v>239517</v>
      </c>
      <c r="B839">
        <v>105</v>
      </c>
      <c r="C839" t="s">
        <v>557</v>
      </c>
      <c r="D839" t="s">
        <v>2613</v>
      </c>
      <c r="E839" t="s">
        <v>2788</v>
      </c>
      <c r="F839" s="451">
        <v>46181</v>
      </c>
      <c r="G839">
        <v>29210</v>
      </c>
      <c r="H839" t="s">
        <v>5178</v>
      </c>
      <c r="I839" t="s">
        <v>5191</v>
      </c>
      <c r="J839">
        <v>5.85</v>
      </c>
      <c r="K839" t="s">
        <v>4744</v>
      </c>
      <c r="L839">
        <v>228.07</v>
      </c>
      <c r="M839">
        <v>38.986325000000001</v>
      </c>
      <c r="N839" t="s">
        <v>5191</v>
      </c>
      <c r="O839" t="s">
        <v>464</v>
      </c>
    </row>
    <row r="840" spans="1:15" x14ac:dyDescent="0.3">
      <c r="A840">
        <v>239516</v>
      </c>
      <c r="B840">
        <v>105</v>
      </c>
      <c r="C840" t="s">
        <v>557</v>
      </c>
      <c r="D840" t="s">
        <v>2565</v>
      </c>
      <c r="E840" t="s">
        <v>2789</v>
      </c>
      <c r="F840" s="451">
        <v>46174</v>
      </c>
      <c r="G840">
        <v>18179</v>
      </c>
      <c r="H840" t="s">
        <v>4924</v>
      </c>
      <c r="I840" t="s">
        <v>5222</v>
      </c>
      <c r="J840">
        <v>2</v>
      </c>
      <c r="K840" t="s">
        <v>4805</v>
      </c>
      <c r="L840">
        <v>232.82</v>
      </c>
      <c r="M840">
        <v>116.41</v>
      </c>
      <c r="N840" t="s">
        <v>5222</v>
      </c>
      <c r="O840" t="s">
        <v>464</v>
      </c>
    </row>
    <row r="841" spans="1:15" x14ac:dyDescent="0.3">
      <c r="A841">
        <v>239516</v>
      </c>
      <c r="B841">
        <v>105</v>
      </c>
      <c r="C841" t="s">
        <v>557</v>
      </c>
      <c r="D841" t="s">
        <v>2565</v>
      </c>
      <c r="E841" t="s">
        <v>2789</v>
      </c>
      <c r="F841" s="451">
        <v>46174</v>
      </c>
      <c r="G841">
        <v>18359</v>
      </c>
      <c r="H841" t="s">
        <v>4921</v>
      </c>
      <c r="I841" t="s">
        <v>5222</v>
      </c>
      <c r="J841">
        <v>3</v>
      </c>
      <c r="K841" t="s">
        <v>4805</v>
      </c>
      <c r="L841">
        <v>269.39999999999998</v>
      </c>
      <c r="M841">
        <v>89.8</v>
      </c>
      <c r="N841" t="s">
        <v>5222</v>
      </c>
      <c r="O841" t="s">
        <v>464</v>
      </c>
    </row>
    <row r="842" spans="1:15" x14ac:dyDescent="0.3">
      <c r="A842">
        <v>239515</v>
      </c>
      <c r="B842">
        <v>105</v>
      </c>
      <c r="C842" t="s">
        <v>557</v>
      </c>
      <c r="D842" t="s">
        <v>2678</v>
      </c>
      <c r="E842" t="s">
        <v>2790</v>
      </c>
      <c r="F842" s="451">
        <v>46181</v>
      </c>
      <c r="G842">
        <v>27689</v>
      </c>
      <c r="H842" t="s">
        <v>5139</v>
      </c>
      <c r="I842" t="s">
        <v>5191</v>
      </c>
      <c r="J842">
        <v>100</v>
      </c>
      <c r="K842" t="s">
        <v>4749</v>
      </c>
      <c r="L842">
        <v>95</v>
      </c>
      <c r="M842">
        <v>0.95</v>
      </c>
      <c r="N842" t="s">
        <v>5191</v>
      </c>
      <c r="O842" t="s">
        <v>464</v>
      </c>
    </row>
    <row r="843" spans="1:15" x14ac:dyDescent="0.3">
      <c r="A843">
        <v>239515</v>
      </c>
      <c r="B843">
        <v>105</v>
      </c>
      <c r="C843" t="s">
        <v>557</v>
      </c>
      <c r="D843" t="s">
        <v>2678</v>
      </c>
      <c r="E843" t="s">
        <v>2790</v>
      </c>
      <c r="F843" s="451">
        <v>46181</v>
      </c>
      <c r="G843">
        <v>28568</v>
      </c>
      <c r="H843" t="s">
        <v>5177</v>
      </c>
      <c r="I843" t="s">
        <v>5191</v>
      </c>
      <c r="J843">
        <v>2</v>
      </c>
      <c r="K843" t="s">
        <v>4736</v>
      </c>
      <c r="L843">
        <v>141.6</v>
      </c>
      <c r="M843">
        <v>70.8</v>
      </c>
      <c r="N843" t="s">
        <v>5191</v>
      </c>
      <c r="O843" t="s">
        <v>464</v>
      </c>
    </row>
    <row r="844" spans="1:15" x14ac:dyDescent="0.3">
      <c r="A844">
        <v>239514</v>
      </c>
      <c r="B844">
        <v>105</v>
      </c>
      <c r="C844" t="s">
        <v>557</v>
      </c>
      <c r="D844" t="s">
        <v>2552</v>
      </c>
      <c r="E844" t="s">
        <v>2791</v>
      </c>
      <c r="F844" s="451">
        <v>46181</v>
      </c>
      <c r="G844">
        <v>26627</v>
      </c>
      <c r="H844" t="s">
        <v>5190</v>
      </c>
      <c r="I844" t="s">
        <v>5191</v>
      </c>
      <c r="J844">
        <v>10</v>
      </c>
      <c r="K844" t="s">
        <v>4744</v>
      </c>
      <c r="L844">
        <v>79</v>
      </c>
      <c r="M844">
        <v>7.9</v>
      </c>
      <c r="N844" t="s">
        <v>5272</v>
      </c>
      <c r="O844" t="s">
        <v>464</v>
      </c>
    </row>
    <row r="845" spans="1:15" x14ac:dyDescent="0.3">
      <c r="A845">
        <v>239513</v>
      </c>
      <c r="B845">
        <v>105</v>
      </c>
      <c r="C845" t="s">
        <v>557</v>
      </c>
      <c r="D845" t="s">
        <v>2792</v>
      </c>
      <c r="E845" t="s">
        <v>2793</v>
      </c>
      <c r="F845" s="451">
        <v>46182</v>
      </c>
      <c r="G845">
        <v>22763</v>
      </c>
      <c r="H845" t="s">
        <v>5289</v>
      </c>
      <c r="I845" t="s">
        <v>5191</v>
      </c>
      <c r="J845">
        <v>5.8</v>
      </c>
      <c r="K845" t="s">
        <v>4744</v>
      </c>
      <c r="L845">
        <v>568.4</v>
      </c>
      <c r="M845">
        <v>98</v>
      </c>
      <c r="N845" t="s">
        <v>5191</v>
      </c>
      <c r="O845" t="s">
        <v>464</v>
      </c>
    </row>
    <row r="846" spans="1:15" x14ac:dyDescent="0.3">
      <c r="A846">
        <v>239512</v>
      </c>
      <c r="B846">
        <v>105</v>
      </c>
      <c r="C846" t="s">
        <v>557</v>
      </c>
      <c r="D846" t="s">
        <v>2600</v>
      </c>
      <c r="E846" t="s">
        <v>2794</v>
      </c>
      <c r="F846" s="451">
        <v>46175</v>
      </c>
      <c r="G846">
        <v>24197</v>
      </c>
      <c r="H846" t="s">
        <v>5237</v>
      </c>
      <c r="I846" t="s">
        <v>5191</v>
      </c>
      <c r="J846">
        <v>10.5</v>
      </c>
      <c r="K846" t="s">
        <v>4744</v>
      </c>
      <c r="L846">
        <v>209.89</v>
      </c>
      <c r="M846">
        <v>19.989523999999999</v>
      </c>
      <c r="N846" t="s">
        <v>5191</v>
      </c>
      <c r="O846" t="s">
        <v>464</v>
      </c>
    </row>
    <row r="847" spans="1:15" x14ac:dyDescent="0.3">
      <c r="A847">
        <v>239511</v>
      </c>
      <c r="B847">
        <v>105</v>
      </c>
      <c r="C847" t="s">
        <v>557</v>
      </c>
      <c r="D847" t="s">
        <v>2563</v>
      </c>
      <c r="E847" t="s">
        <v>2795</v>
      </c>
      <c r="F847" s="451">
        <v>46174</v>
      </c>
      <c r="G847">
        <v>19658</v>
      </c>
      <c r="H847" t="s">
        <v>4784</v>
      </c>
      <c r="I847" t="s">
        <v>5191</v>
      </c>
      <c r="J847">
        <v>6.6</v>
      </c>
      <c r="K847" t="s">
        <v>4744</v>
      </c>
      <c r="L847">
        <v>24.42</v>
      </c>
      <c r="M847">
        <v>3.7</v>
      </c>
      <c r="N847" t="s">
        <v>5191</v>
      </c>
      <c r="O847" t="s">
        <v>464</v>
      </c>
    </row>
    <row r="848" spans="1:15" x14ac:dyDescent="0.3">
      <c r="A848">
        <v>239511</v>
      </c>
      <c r="B848">
        <v>105</v>
      </c>
      <c r="C848" t="s">
        <v>557</v>
      </c>
      <c r="D848" t="s">
        <v>2563</v>
      </c>
      <c r="E848" t="s">
        <v>2795</v>
      </c>
      <c r="F848" s="451">
        <v>46174</v>
      </c>
      <c r="G848">
        <v>19551</v>
      </c>
      <c r="H848" t="s">
        <v>4905</v>
      </c>
      <c r="I848" t="s">
        <v>5191</v>
      </c>
      <c r="J848">
        <v>2</v>
      </c>
      <c r="K848" t="s">
        <v>4744</v>
      </c>
      <c r="L848">
        <v>35.520000000000003</v>
      </c>
      <c r="M848">
        <v>17.760000000000002</v>
      </c>
      <c r="N848" t="s">
        <v>5191</v>
      </c>
      <c r="O848" t="s">
        <v>464</v>
      </c>
    </row>
    <row r="849" spans="1:15" x14ac:dyDescent="0.3">
      <c r="A849">
        <v>239511</v>
      </c>
      <c r="B849">
        <v>105</v>
      </c>
      <c r="C849" t="s">
        <v>557</v>
      </c>
      <c r="D849" t="s">
        <v>2563</v>
      </c>
      <c r="E849" t="s">
        <v>2795</v>
      </c>
      <c r="F849" s="451">
        <v>46174</v>
      </c>
      <c r="G849">
        <v>23228</v>
      </c>
      <c r="H849" t="s">
        <v>4782</v>
      </c>
      <c r="I849" t="s">
        <v>5191</v>
      </c>
      <c r="J849">
        <v>2</v>
      </c>
      <c r="K849" t="s">
        <v>4744</v>
      </c>
      <c r="L849">
        <v>15</v>
      </c>
      <c r="M849">
        <v>7.5</v>
      </c>
      <c r="N849" t="s">
        <v>5191</v>
      </c>
      <c r="O849" t="s">
        <v>464</v>
      </c>
    </row>
    <row r="850" spans="1:15" x14ac:dyDescent="0.3">
      <c r="A850">
        <v>239511</v>
      </c>
      <c r="B850">
        <v>105</v>
      </c>
      <c r="C850" t="s">
        <v>557</v>
      </c>
      <c r="D850" t="s">
        <v>2563</v>
      </c>
      <c r="E850" t="s">
        <v>2795</v>
      </c>
      <c r="F850" s="451">
        <v>46174</v>
      </c>
      <c r="G850">
        <v>23359</v>
      </c>
      <c r="H850" t="s">
        <v>4767</v>
      </c>
      <c r="I850" t="s">
        <v>5191</v>
      </c>
      <c r="J850">
        <v>10</v>
      </c>
      <c r="K850" t="s">
        <v>4744</v>
      </c>
      <c r="L850">
        <v>29</v>
      </c>
      <c r="M850">
        <v>2.9</v>
      </c>
      <c r="N850" t="s">
        <v>5191</v>
      </c>
      <c r="O850" t="s">
        <v>464</v>
      </c>
    </row>
    <row r="851" spans="1:15" x14ac:dyDescent="0.3">
      <c r="A851">
        <v>239511</v>
      </c>
      <c r="B851">
        <v>105</v>
      </c>
      <c r="C851" t="s">
        <v>557</v>
      </c>
      <c r="D851" t="s">
        <v>2563</v>
      </c>
      <c r="E851" t="s">
        <v>2795</v>
      </c>
      <c r="F851" s="451">
        <v>46174</v>
      </c>
      <c r="G851">
        <v>19472</v>
      </c>
      <c r="H851" t="s">
        <v>4906</v>
      </c>
      <c r="I851" t="s">
        <v>5191</v>
      </c>
      <c r="J851">
        <v>2</v>
      </c>
      <c r="K851" t="s">
        <v>4744</v>
      </c>
      <c r="L851">
        <v>46.4</v>
      </c>
      <c r="M851">
        <v>23.2</v>
      </c>
      <c r="N851" t="s">
        <v>5191</v>
      </c>
      <c r="O851" t="s">
        <v>464</v>
      </c>
    </row>
    <row r="852" spans="1:15" x14ac:dyDescent="0.3">
      <c r="A852">
        <v>239510</v>
      </c>
      <c r="B852">
        <v>105</v>
      </c>
      <c r="C852" t="s">
        <v>557</v>
      </c>
      <c r="D852" t="s">
        <v>2729</v>
      </c>
      <c r="E852" t="s">
        <v>2796</v>
      </c>
      <c r="F852" s="451">
        <v>46182</v>
      </c>
      <c r="G852">
        <v>19356</v>
      </c>
      <c r="H852" t="s">
        <v>4799</v>
      </c>
      <c r="I852" t="s">
        <v>5191</v>
      </c>
      <c r="J852">
        <v>12.76</v>
      </c>
      <c r="K852" t="s">
        <v>4744</v>
      </c>
      <c r="L852">
        <v>704.48</v>
      </c>
      <c r="M852">
        <v>55.210031000000001</v>
      </c>
      <c r="N852" t="s">
        <v>5191</v>
      </c>
      <c r="O852" t="s">
        <v>464</v>
      </c>
    </row>
    <row r="853" spans="1:15" x14ac:dyDescent="0.3">
      <c r="A853">
        <v>239509</v>
      </c>
      <c r="B853">
        <v>105</v>
      </c>
      <c r="C853" t="s">
        <v>557</v>
      </c>
      <c r="D853" t="s">
        <v>2554</v>
      </c>
      <c r="E853" t="s">
        <v>2797</v>
      </c>
      <c r="F853" s="451">
        <v>46182</v>
      </c>
      <c r="G853">
        <v>17304</v>
      </c>
      <c r="H853" t="s">
        <v>5195</v>
      </c>
      <c r="I853" t="s">
        <v>5188</v>
      </c>
      <c r="J853">
        <v>2</v>
      </c>
      <c r="K853" t="s">
        <v>4848</v>
      </c>
      <c r="L853">
        <v>13.18</v>
      </c>
      <c r="M853">
        <v>6.59</v>
      </c>
      <c r="N853" t="s">
        <v>5277</v>
      </c>
      <c r="O853" t="s">
        <v>464</v>
      </c>
    </row>
    <row r="854" spans="1:15" x14ac:dyDescent="0.3">
      <c r="A854">
        <v>239509</v>
      </c>
      <c r="B854">
        <v>105</v>
      </c>
      <c r="C854" t="s">
        <v>557</v>
      </c>
      <c r="D854" t="s">
        <v>2554</v>
      </c>
      <c r="E854" t="s">
        <v>2797</v>
      </c>
      <c r="F854" s="451">
        <v>46182</v>
      </c>
      <c r="G854">
        <v>17196</v>
      </c>
      <c r="H854" t="s">
        <v>5258</v>
      </c>
      <c r="I854" t="s">
        <v>5188</v>
      </c>
      <c r="J854">
        <v>1</v>
      </c>
      <c r="K854" t="s">
        <v>4738</v>
      </c>
      <c r="L854">
        <v>6.38</v>
      </c>
      <c r="M854">
        <v>6.38</v>
      </c>
      <c r="N854" t="s">
        <v>5277</v>
      </c>
      <c r="O854" t="s">
        <v>464</v>
      </c>
    </row>
    <row r="855" spans="1:15" x14ac:dyDescent="0.3">
      <c r="A855">
        <v>239509</v>
      </c>
      <c r="B855">
        <v>105</v>
      </c>
      <c r="C855" t="s">
        <v>557</v>
      </c>
      <c r="D855" t="s">
        <v>2554</v>
      </c>
      <c r="E855" t="s">
        <v>2797</v>
      </c>
      <c r="F855" s="451">
        <v>46182</v>
      </c>
      <c r="G855">
        <v>24787</v>
      </c>
      <c r="H855" t="s">
        <v>5212</v>
      </c>
      <c r="I855" t="s">
        <v>5188</v>
      </c>
      <c r="J855">
        <v>1</v>
      </c>
      <c r="K855" t="s">
        <v>4738</v>
      </c>
      <c r="L855">
        <v>82.21</v>
      </c>
      <c r="M855">
        <v>82.21</v>
      </c>
      <c r="N855" t="s">
        <v>5277</v>
      </c>
      <c r="O855" t="s">
        <v>464</v>
      </c>
    </row>
    <row r="856" spans="1:15" x14ac:dyDescent="0.3">
      <c r="A856">
        <v>239509</v>
      </c>
      <c r="B856">
        <v>105</v>
      </c>
      <c r="C856" t="s">
        <v>557</v>
      </c>
      <c r="D856" t="s">
        <v>2554</v>
      </c>
      <c r="E856" t="s">
        <v>2797</v>
      </c>
      <c r="F856" s="451">
        <v>46182</v>
      </c>
      <c r="G856">
        <v>17437</v>
      </c>
      <c r="H856" t="s">
        <v>5203</v>
      </c>
      <c r="I856" t="s">
        <v>5188</v>
      </c>
      <c r="J856">
        <v>14</v>
      </c>
      <c r="K856" t="s">
        <v>4736</v>
      </c>
      <c r="L856">
        <v>32.200000000000003</v>
      </c>
      <c r="M856">
        <v>2.2999999999999998</v>
      </c>
      <c r="N856" t="s">
        <v>5277</v>
      </c>
      <c r="O856" t="s">
        <v>464</v>
      </c>
    </row>
    <row r="857" spans="1:15" x14ac:dyDescent="0.3">
      <c r="A857">
        <v>239509</v>
      </c>
      <c r="B857">
        <v>105</v>
      </c>
      <c r="C857" t="s">
        <v>557</v>
      </c>
      <c r="D857" t="s">
        <v>2554</v>
      </c>
      <c r="E857" t="s">
        <v>2797</v>
      </c>
      <c r="F857" s="451">
        <v>46182</v>
      </c>
      <c r="G857">
        <v>17455</v>
      </c>
      <c r="H857" t="s">
        <v>5290</v>
      </c>
      <c r="I857" t="s">
        <v>5188</v>
      </c>
      <c r="J857">
        <v>1</v>
      </c>
      <c r="K857" t="s">
        <v>4736</v>
      </c>
      <c r="L857">
        <v>35.270000000000003</v>
      </c>
      <c r="M857">
        <v>35.270000000000003</v>
      </c>
      <c r="N857" t="s">
        <v>5277</v>
      </c>
      <c r="O857" t="s">
        <v>464</v>
      </c>
    </row>
    <row r="858" spans="1:15" x14ac:dyDescent="0.3">
      <c r="A858">
        <v>239509</v>
      </c>
      <c r="B858">
        <v>105</v>
      </c>
      <c r="C858" t="s">
        <v>557</v>
      </c>
      <c r="D858" t="s">
        <v>2554</v>
      </c>
      <c r="E858" t="s">
        <v>2797</v>
      </c>
      <c r="F858" s="451">
        <v>46182</v>
      </c>
      <c r="G858">
        <v>17504</v>
      </c>
      <c r="H858" t="s">
        <v>5260</v>
      </c>
      <c r="I858" t="s">
        <v>5205</v>
      </c>
      <c r="J858">
        <v>2</v>
      </c>
      <c r="K858" t="s">
        <v>4736</v>
      </c>
      <c r="L858">
        <v>42</v>
      </c>
      <c r="M858">
        <v>21</v>
      </c>
      <c r="N858" t="s">
        <v>5277</v>
      </c>
      <c r="O858" t="s">
        <v>464</v>
      </c>
    </row>
    <row r="859" spans="1:15" x14ac:dyDescent="0.3">
      <c r="A859">
        <v>239509</v>
      </c>
      <c r="B859">
        <v>105</v>
      </c>
      <c r="C859" t="s">
        <v>557</v>
      </c>
      <c r="D859" t="s">
        <v>2554</v>
      </c>
      <c r="E859" t="s">
        <v>2797</v>
      </c>
      <c r="F859" s="451">
        <v>46182</v>
      </c>
      <c r="G859">
        <v>17314</v>
      </c>
      <c r="H859" t="s">
        <v>5208</v>
      </c>
      <c r="I859" t="s">
        <v>5188</v>
      </c>
      <c r="J859">
        <v>3</v>
      </c>
      <c r="K859" t="s">
        <v>4848</v>
      </c>
      <c r="L859">
        <v>17.670000000000002</v>
      </c>
      <c r="M859">
        <v>5.89</v>
      </c>
      <c r="N859" t="s">
        <v>5277</v>
      </c>
      <c r="O859" t="s">
        <v>464</v>
      </c>
    </row>
    <row r="860" spans="1:15" x14ac:dyDescent="0.3">
      <c r="A860">
        <v>239509</v>
      </c>
      <c r="B860">
        <v>105</v>
      </c>
      <c r="C860" t="s">
        <v>557</v>
      </c>
      <c r="D860" t="s">
        <v>2554</v>
      </c>
      <c r="E860" t="s">
        <v>2797</v>
      </c>
      <c r="F860" s="451">
        <v>46182</v>
      </c>
      <c r="G860">
        <v>17017</v>
      </c>
      <c r="H860" t="s">
        <v>5199</v>
      </c>
      <c r="I860" t="s">
        <v>5188</v>
      </c>
      <c r="J860">
        <v>3</v>
      </c>
      <c r="K860" t="s">
        <v>4738</v>
      </c>
      <c r="L860">
        <v>9</v>
      </c>
      <c r="M860">
        <v>3</v>
      </c>
      <c r="N860" t="s">
        <v>5277</v>
      </c>
      <c r="O860" t="s">
        <v>464</v>
      </c>
    </row>
    <row r="861" spans="1:15" x14ac:dyDescent="0.3">
      <c r="A861">
        <v>239509</v>
      </c>
      <c r="B861">
        <v>105</v>
      </c>
      <c r="C861" t="s">
        <v>557</v>
      </c>
      <c r="D861" t="s">
        <v>2554</v>
      </c>
      <c r="E861" t="s">
        <v>2797</v>
      </c>
      <c r="F861" s="451">
        <v>46182</v>
      </c>
      <c r="G861">
        <v>17418</v>
      </c>
      <c r="H861" t="s">
        <v>5207</v>
      </c>
      <c r="I861" t="s">
        <v>5188</v>
      </c>
      <c r="J861">
        <v>3</v>
      </c>
      <c r="K861" t="s">
        <v>4749</v>
      </c>
      <c r="L861">
        <v>176.7</v>
      </c>
      <c r="M861">
        <v>58.9</v>
      </c>
      <c r="N861" t="s">
        <v>5277</v>
      </c>
      <c r="O861" t="s">
        <v>464</v>
      </c>
    </row>
    <row r="862" spans="1:15" x14ac:dyDescent="0.3">
      <c r="A862">
        <v>239509</v>
      </c>
      <c r="B862">
        <v>105</v>
      </c>
      <c r="C862" t="s">
        <v>557</v>
      </c>
      <c r="D862" t="s">
        <v>2554</v>
      </c>
      <c r="E862" t="s">
        <v>2797</v>
      </c>
      <c r="F862" s="451">
        <v>46182</v>
      </c>
      <c r="G862">
        <v>17381</v>
      </c>
      <c r="H862" t="s">
        <v>5262</v>
      </c>
      <c r="I862" t="s">
        <v>5188</v>
      </c>
      <c r="J862">
        <v>1</v>
      </c>
      <c r="K862" t="s">
        <v>4736</v>
      </c>
      <c r="L862">
        <v>38.89</v>
      </c>
      <c r="M862">
        <v>38.89</v>
      </c>
      <c r="N862" t="s">
        <v>5277</v>
      </c>
      <c r="O862" t="s">
        <v>464</v>
      </c>
    </row>
    <row r="863" spans="1:15" x14ac:dyDescent="0.3">
      <c r="A863">
        <v>239509</v>
      </c>
      <c r="B863">
        <v>105</v>
      </c>
      <c r="C863" t="s">
        <v>557</v>
      </c>
      <c r="D863" t="s">
        <v>2554</v>
      </c>
      <c r="E863" t="s">
        <v>2797</v>
      </c>
      <c r="F863" s="451">
        <v>46182</v>
      </c>
      <c r="G863">
        <v>17416</v>
      </c>
      <c r="H863" t="s">
        <v>5209</v>
      </c>
      <c r="I863" t="s">
        <v>5188</v>
      </c>
      <c r="J863">
        <v>3</v>
      </c>
      <c r="K863" t="s">
        <v>4749</v>
      </c>
      <c r="L863">
        <v>145.74</v>
      </c>
      <c r="M863">
        <v>48.58</v>
      </c>
      <c r="N863" t="s">
        <v>5277</v>
      </c>
      <c r="O863" t="s">
        <v>464</v>
      </c>
    </row>
    <row r="864" spans="1:15" x14ac:dyDescent="0.3">
      <c r="A864">
        <v>239509</v>
      </c>
      <c r="B864">
        <v>105</v>
      </c>
      <c r="C864" t="s">
        <v>557</v>
      </c>
      <c r="D864" t="s">
        <v>2554</v>
      </c>
      <c r="E864" t="s">
        <v>2797</v>
      </c>
      <c r="F864" s="451">
        <v>46182</v>
      </c>
      <c r="G864">
        <v>17129</v>
      </c>
      <c r="H864" t="s">
        <v>5202</v>
      </c>
      <c r="I864" t="s">
        <v>5188</v>
      </c>
      <c r="J864">
        <v>2</v>
      </c>
      <c r="K864" t="s">
        <v>4738</v>
      </c>
      <c r="L864">
        <v>53.22</v>
      </c>
      <c r="M864">
        <v>26.61</v>
      </c>
      <c r="N864" t="s">
        <v>5277</v>
      </c>
      <c r="O864" t="s">
        <v>464</v>
      </c>
    </row>
    <row r="865" spans="1:15" x14ac:dyDescent="0.3">
      <c r="A865">
        <v>239509</v>
      </c>
      <c r="B865">
        <v>105</v>
      </c>
      <c r="C865" t="s">
        <v>557</v>
      </c>
      <c r="D865" t="s">
        <v>2554</v>
      </c>
      <c r="E865" t="s">
        <v>2797</v>
      </c>
      <c r="F865" s="451">
        <v>46182</v>
      </c>
      <c r="G865">
        <v>17190</v>
      </c>
      <c r="H865" t="s">
        <v>5193</v>
      </c>
      <c r="I865" t="s">
        <v>5188</v>
      </c>
      <c r="J865">
        <v>1</v>
      </c>
      <c r="K865" t="s">
        <v>4738</v>
      </c>
      <c r="L865">
        <v>8.1</v>
      </c>
      <c r="M865">
        <v>8.1</v>
      </c>
      <c r="N865" t="s">
        <v>5277</v>
      </c>
      <c r="O865" t="s">
        <v>464</v>
      </c>
    </row>
    <row r="866" spans="1:15" x14ac:dyDescent="0.3">
      <c r="A866">
        <v>239509</v>
      </c>
      <c r="B866">
        <v>105</v>
      </c>
      <c r="C866" t="s">
        <v>557</v>
      </c>
      <c r="D866" t="s">
        <v>2554</v>
      </c>
      <c r="E866" t="s">
        <v>2797</v>
      </c>
      <c r="F866" s="451">
        <v>46182</v>
      </c>
      <c r="G866">
        <v>17266</v>
      </c>
      <c r="H866" t="s">
        <v>5192</v>
      </c>
      <c r="I866" t="s">
        <v>5188</v>
      </c>
      <c r="J866">
        <v>3</v>
      </c>
      <c r="K866" t="s">
        <v>4736</v>
      </c>
      <c r="L866">
        <v>13.95</v>
      </c>
      <c r="M866">
        <v>4.6500000000000004</v>
      </c>
      <c r="N866" t="s">
        <v>5277</v>
      </c>
      <c r="O866" t="s">
        <v>464</v>
      </c>
    </row>
    <row r="867" spans="1:15" x14ac:dyDescent="0.3">
      <c r="A867">
        <v>239509</v>
      </c>
      <c r="B867">
        <v>105</v>
      </c>
      <c r="C867" t="s">
        <v>557</v>
      </c>
      <c r="D867" t="s">
        <v>2554</v>
      </c>
      <c r="E867" t="s">
        <v>2797</v>
      </c>
      <c r="F867" s="451">
        <v>46182</v>
      </c>
      <c r="G867">
        <v>17341</v>
      </c>
      <c r="H867" t="s">
        <v>5291</v>
      </c>
      <c r="I867" t="s">
        <v>5188</v>
      </c>
      <c r="J867">
        <v>1</v>
      </c>
      <c r="K867" t="s">
        <v>4888</v>
      </c>
      <c r="L867">
        <v>74.8</v>
      </c>
      <c r="M867">
        <v>74.8</v>
      </c>
      <c r="N867" t="s">
        <v>5277</v>
      </c>
      <c r="O867" t="s">
        <v>464</v>
      </c>
    </row>
    <row r="868" spans="1:15" x14ac:dyDescent="0.3">
      <c r="A868">
        <v>239509</v>
      </c>
      <c r="B868">
        <v>105</v>
      </c>
      <c r="C868" t="s">
        <v>557</v>
      </c>
      <c r="D868" t="s">
        <v>2554</v>
      </c>
      <c r="E868" t="s">
        <v>2797</v>
      </c>
      <c r="F868" s="451">
        <v>46182</v>
      </c>
      <c r="G868">
        <v>24596</v>
      </c>
      <c r="H868" t="s">
        <v>5197</v>
      </c>
      <c r="I868" t="s">
        <v>5188</v>
      </c>
      <c r="J868">
        <v>2</v>
      </c>
      <c r="K868" t="s">
        <v>4736</v>
      </c>
      <c r="L868">
        <v>30</v>
      </c>
      <c r="M868">
        <v>15</v>
      </c>
      <c r="N868" t="s">
        <v>5277</v>
      </c>
      <c r="O868" t="s">
        <v>464</v>
      </c>
    </row>
    <row r="869" spans="1:15" x14ac:dyDescent="0.3">
      <c r="A869">
        <v>239509</v>
      </c>
      <c r="B869">
        <v>105</v>
      </c>
      <c r="C869" t="s">
        <v>557</v>
      </c>
      <c r="D869" t="s">
        <v>2554</v>
      </c>
      <c r="E869" t="s">
        <v>2797</v>
      </c>
      <c r="F869" s="451">
        <v>46182</v>
      </c>
      <c r="G869">
        <v>24505</v>
      </c>
      <c r="H869" t="s">
        <v>5198</v>
      </c>
      <c r="I869" t="s">
        <v>5188</v>
      </c>
      <c r="J869">
        <v>6</v>
      </c>
      <c r="K869" t="s">
        <v>4738</v>
      </c>
      <c r="L869">
        <v>29.88</v>
      </c>
      <c r="M869">
        <v>4.9800000000000004</v>
      </c>
      <c r="N869" t="s">
        <v>5277</v>
      </c>
      <c r="O869" t="s">
        <v>464</v>
      </c>
    </row>
    <row r="870" spans="1:15" x14ac:dyDescent="0.3">
      <c r="A870">
        <v>239508</v>
      </c>
      <c r="B870">
        <v>105</v>
      </c>
      <c r="C870" t="s">
        <v>557</v>
      </c>
      <c r="D870" t="s">
        <v>2798</v>
      </c>
      <c r="E870" t="s">
        <v>2799</v>
      </c>
      <c r="F870" s="451">
        <v>46189</v>
      </c>
      <c r="G870">
        <v>18945</v>
      </c>
      <c r="H870" t="s">
        <v>4768</v>
      </c>
      <c r="I870" t="s">
        <v>5191</v>
      </c>
      <c r="J870">
        <v>6</v>
      </c>
      <c r="K870" t="s">
        <v>4744</v>
      </c>
      <c r="L870">
        <v>370.08</v>
      </c>
      <c r="M870">
        <v>61.68</v>
      </c>
      <c r="N870" t="s">
        <v>5191</v>
      </c>
      <c r="O870" t="s">
        <v>464</v>
      </c>
    </row>
    <row r="871" spans="1:15" x14ac:dyDescent="0.3">
      <c r="A871">
        <v>239508</v>
      </c>
      <c r="B871">
        <v>105</v>
      </c>
      <c r="C871" t="s">
        <v>557</v>
      </c>
      <c r="D871" t="s">
        <v>2798</v>
      </c>
      <c r="E871" t="s">
        <v>2799</v>
      </c>
      <c r="F871" s="451">
        <v>46189</v>
      </c>
      <c r="G871">
        <v>27545</v>
      </c>
      <c r="H871" t="s">
        <v>5292</v>
      </c>
      <c r="I871" t="s">
        <v>5191</v>
      </c>
      <c r="J871">
        <v>6</v>
      </c>
      <c r="K871" t="s">
        <v>4744</v>
      </c>
      <c r="L871">
        <v>224.52</v>
      </c>
      <c r="M871">
        <v>37.42</v>
      </c>
      <c r="N871" t="s">
        <v>5191</v>
      </c>
      <c r="O871" t="s">
        <v>464</v>
      </c>
    </row>
    <row r="872" spans="1:15" x14ac:dyDescent="0.3">
      <c r="A872">
        <v>239508</v>
      </c>
      <c r="B872">
        <v>105</v>
      </c>
      <c r="C872" t="s">
        <v>557</v>
      </c>
      <c r="D872" t="s">
        <v>2798</v>
      </c>
      <c r="E872" t="s">
        <v>2799</v>
      </c>
      <c r="F872" s="451">
        <v>46189</v>
      </c>
      <c r="G872">
        <v>19353</v>
      </c>
      <c r="H872" t="s">
        <v>4851</v>
      </c>
      <c r="I872" t="s">
        <v>5191</v>
      </c>
      <c r="J872">
        <v>5</v>
      </c>
      <c r="K872" t="s">
        <v>4744</v>
      </c>
      <c r="L872">
        <v>127.8</v>
      </c>
      <c r="M872">
        <v>25.56</v>
      </c>
      <c r="N872" t="s">
        <v>5191</v>
      </c>
      <c r="O872" t="s">
        <v>464</v>
      </c>
    </row>
    <row r="873" spans="1:15" x14ac:dyDescent="0.3">
      <c r="A873">
        <v>239387</v>
      </c>
      <c r="B873">
        <v>105</v>
      </c>
      <c r="C873" t="s">
        <v>557</v>
      </c>
      <c r="D873" t="s">
        <v>2577</v>
      </c>
      <c r="E873" t="s">
        <v>2800</v>
      </c>
      <c r="F873" s="451">
        <v>46174</v>
      </c>
      <c r="G873">
        <v>24497</v>
      </c>
      <c r="H873" t="s">
        <v>5231</v>
      </c>
      <c r="I873" t="s">
        <v>5232</v>
      </c>
      <c r="J873">
        <v>7</v>
      </c>
      <c r="K873" t="s">
        <v>4736</v>
      </c>
      <c r="L873">
        <v>139.02000000000001</v>
      </c>
      <c r="M873">
        <v>19.86</v>
      </c>
      <c r="N873" t="s">
        <v>5293</v>
      </c>
      <c r="O873" t="s">
        <v>464</v>
      </c>
    </row>
    <row r="874" spans="1:15" x14ac:dyDescent="0.3">
      <c r="A874">
        <v>239289</v>
      </c>
      <c r="B874">
        <v>105</v>
      </c>
      <c r="C874" t="s">
        <v>557</v>
      </c>
      <c r="D874" t="s">
        <v>2653</v>
      </c>
      <c r="E874" t="s">
        <v>2801</v>
      </c>
      <c r="F874" s="451">
        <v>46174</v>
      </c>
      <c r="G874">
        <v>24200</v>
      </c>
      <c r="H874" t="s">
        <v>4820</v>
      </c>
      <c r="I874" t="s">
        <v>5191</v>
      </c>
      <c r="J874">
        <v>5.4</v>
      </c>
      <c r="K874" t="s">
        <v>4744</v>
      </c>
      <c r="L874">
        <v>177.66</v>
      </c>
      <c r="M874">
        <v>32.9</v>
      </c>
      <c r="N874" t="s">
        <v>5294</v>
      </c>
      <c r="O874" t="s">
        <v>464</v>
      </c>
    </row>
    <row r="875" spans="1:15" x14ac:dyDescent="0.3">
      <c r="A875">
        <v>238791</v>
      </c>
      <c r="B875">
        <v>105</v>
      </c>
      <c r="C875" t="s">
        <v>557</v>
      </c>
      <c r="D875" t="s">
        <v>2603</v>
      </c>
      <c r="E875" t="s">
        <v>2802</v>
      </c>
      <c r="F875" s="451">
        <v>46175</v>
      </c>
      <c r="G875">
        <v>19003</v>
      </c>
      <c r="H875" t="s">
        <v>4810</v>
      </c>
      <c r="I875" t="s">
        <v>5191</v>
      </c>
      <c r="J875">
        <v>16.79</v>
      </c>
      <c r="K875" t="s">
        <v>4744</v>
      </c>
      <c r="L875">
        <v>669.92</v>
      </c>
      <c r="M875">
        <v>39.899940000000001</v>
      </c>
      <c r="N875" t="s">
        <v>5272</v>
      </c>
      <c r="O875" t="s">
        <v>464</v>
      </c>
    </row>
    <row r="876" spans="1:15" x14ac:dyDescent="0.3">
      <c r="A876">
        <v>238791</v>
      </c>
      <c r="B876">
        <v>105</v>
      </c>
      <c r="C876" t="s">
        <v>557</v>
      </c>
      <c r="D876" t="s">
        <v>2603</v>
      </c>
      <c r="E876" t="s">
        <v>2802</v>
      </c>
      <c r="F876" s="451">
        <v>46175</v>
      </c>
      <c r="G876">
        <v>26679</v>
      </c>
      <c r="H876" t="s">
        <v>4791</v>
      </c>
      <c r="I876" t="s">
        <v>5191</v>
      </c>
      <c r="J876">
        <v>30.12</v>
      </c>
      <c r="K876" t="s">
        <v>4744</v>
      </c>
      <c r="L876">
        <v>900.59</v>
      </c>
      <c r="M876">
        <v>29.900065999999999</v>
      </c>
      <c r="N876" t="s">
        <v>5272</v>
      </c>
      <c r="O876" t="s">
        <v>464</v>
      </c>
    </row>
    <row r="877" spans="1:15" x14ac:dyDescent="0.3">
      <c r="A877">
        <v>238789</v>
      </c>
      <c r="B877">
        <v>105</v>
      </c>
      <c r="C877" t="s">
        <v>557</v>
      </c>
      <c r="D877" t="s">
        <v>2552</v>
      </c>
      <c r="E877" t="s">
        <v>2803</v>
      </c>
      <c r="F877" s="451">
        <v>46174</v>
      </c>
      <c r="G877">
        <v>26627</v>
      </c>
      <c r="H877" t="s">
        <v>5190</v>
      </c>
      <c r="I877" t="s">
        <v>5191</v>
      </c>
      <c r="J877">
        <v>25</v>
      </c>
      <c r="K877" t="s">
        <v>4744</v>
      </c>
      <c r="L877">
        <v>197.5</v>
      </c>
      <c r="M877">
        <v>7.9</v>
      </c>
      <c r="N877" t="s">
        <v>5272</v>
      </c>
      <c r="O877" t="s">
        <v>464</v>
      </c>
    </row>
    <row r="878" spans="1:15" x14ac:dyDescent="0.3">
      <c r="A878">
        <v>238787</v>
      </c>
      <c r="B878">
        <v>105</v>
      </c>
      <c r="C878" t="s">
        <v>557</v>
      </c>
      <c r="D878" t="s">
        <v>2705</v>
      </c>
      <c r="E878" t="s">
        <v>2804</v>
      </c>
      <c r="F878" s="451">
        <v>46174</v>
      </c>
      <c r="G878">
        <v>24658</v>
      </c>
      <c r="H878" t="s">
        <v>5274</v>
      </c>
      <c r="I878" t="s">
        <v>5232</v>
      </c>
      <c r="J878">
        <v>20</v>
      </c>
      <c r="K878" t="s">
        <v>4738</v>
      </c>
      <c r="L878">
        <v>692</v>
      </c>
      <c r="M878">
        <v>34.6</v>
      </c>
      <c r="N878" t="s">
        <v>5275</v>
      </c>
      <c r="O878" t="s">
        <v>464</v>
      </c>
    </row>
    <row r="879" spans="1:15" x14ac:dyDescent="0.3">
      <c r="A879">
        <v>237749</v>
      </c>
      <c r="B879">
        <v>105</v>
      </c>
      <c r="C879" t="s">
        <v>557</v>
      </c>
      <c r="D879" t="s">
        <v>2554</v>
      </c>
      <c r="E879" t="s">
        <v>2051</v>
      </c>
      <c r="F879" s="451">
        <v>46176</v>
      </c>
      <c r="G879">
        <v>17046</v>
      </c>
      <c r="H879" t="s">
        <v>5194</v>
      </c>
      <c r="I879" t="s">
        <v>5188</v>
      </c>
      <c r="J879">
        <v>2</v>
      </c>
      <c r="K879" t="s">
        <v>4736</v>
      </c>
      <c r="L879">
        <v>69</v>
      </c>
      <c r="M879">
        <v>34.5</v>
      </c>
      <c r="N879" t="s">
        <v>5277</v>
      </c>
      <c r="O879" t="s">
        <v>464</v>
      </c>
    </row>
    <row r="880" spans="1:15" x14ac:dyDescent="0.3">
      <c r="A880">
        <v>237749</v>
      </c>
      <c r="B880">
        <v>105</v>
      </c>
      <c r="C880" t="s">
        <v>557</v>
      </c>
      <c r="D880" t="s">
        <v>2554</v>
      </c>
      <c r="E880" t="s">
        <v>2051</v>
      </c>
      <c r="F880" s="451">
        <v>46176</v>
      </c>
      <c r="G880">
        <v>24787</v>
      </c>
      <c r="H880" t="s">
        <v>5212</v>
      </c>
      <c r="I880" t="s">
        <v>5188</v>
      </c>
      <c r="J880">
        <v>2</v>
      </c>
      <c r="K880" t="s">
        <v>4738</v>
      </c>
      <c r="L880">
        <v>164.42</v>
      </c>
      <c r="M880">
        <v>82.21</v>
      </c>
      <c r="N880" t="s">
        <v>5277</v>
      </c>
      <c r="O880" t="s">
        <v>464</v>
      </c>
    </row>
    <row r="881" spans="1:15" x14ac:dyDescent="0.3">
      <c r="A881">
        <v>237749</v>
      </c>
      <c r="B881">
        <v>105</v>
      </c>
      <c r="C881" t="s">
        <v>557</v>
      </c>
      <c r="D881" t="s">
        <v>2554</v>
      </c>
      <c r="E881" t="s">
        <v>2051</v>
      </c>
      <c r="F881" s="451">
        <v>46176</v>
      </c>
      <c r="G881">
        <v>24505</v>
      </c>
      <c r="H881" t="s">
        <v>5198</v>
      </c>
      <c r="I881" t="s">
        <v>5188</v>
      </c>
      <c r="J881">
        <v>6</v>
      </c>
      <c r="K881" t="s">
        <v>4738</v>
      </c>
      <c r="L881">
        <v>29.88</v>
      </c>
      <c r="M881">
        <v>4.9800000000000004</v>
      </c>
      <c r="N881" t="s">
        <v>5277</v>
      </c>
      <c r="O881" t="s">
        <v>464</v>
      </c>
    </row>
    <row r="882" spans="1:15" x14ac:dyDescent="0.3">
      <c r="A882">
        <v>237749</v>
      </c>
      <c r="B882">
        <v>105</v>
      </c>
      <c r="C882" t="s">
        <v>557</v>
      </c>
      <c r="D882" t="s">
        <v>2554</v>
      </c>
      <c r="E882" t="s">
        <v>2051</v>
      </c>
      <c r="F882" s="451">
        <v>46176</v>
      </c>
      <c r="G882">
        <v>17404</v>
      </c>
      <c r="H882" t="s">
        <v>5295</v>
      </c>
      <c r="I882" t="s">
        <v>5188</v>
      </c>
      <c r="J882">
        <v>1</v>
      </c>
      <c r="K882" t="s">
        <v>4736</v>
      </c>
      <c r="L882">
        <v>27</v>
      </c>
      <c r="M882">
        <v>27</v>
      </c>
      <c r="N882" t="s">
        <v>5277</v>
      </c>
      <c r="O882" t="s">
        <v>464</v>
      </c>
    </row>
    <row r="883" spans="1:15" x14ac:dyDescent="0.3">
      <c r="A883">
        <v>237749</v>
      </c>
      <c r="B883">
        <v>105</v>
      </c>
      <c r="C883" t="s">
        <v>557</v>
      </c>
      <c r="D883" t="s">
        <v>2554</v>
      </c>
      <c r="E883" t="s">
        <v>2051</v>
      </c>
      <c r="F883" s="451">
        <v>46176</v>
      </c>
      <c r="G883">
        <v>17314</v>
      </c>
      <c r="H883" t="s">
        <v>5208</v>
      </c>
      <c r="I883" t="s">
        <v>5188</v>
      </c>
      <c r="J883">
        <v>3</v>
      </c>
      <c r="K883" t="s">
        <v>4848</v>
      </c>
      <c r="L883">
        <v>17.670000000000002</v>
      </c>
      <c r="M883">
        <v>5.89</v>
      </c>
      <c r="N883" t="s">
        <v>5277</v>
      </c>
      <c r="O883" t="s">
        <v>464</v>
      </c>
    </row>
    <row r="884" spans="1:15" x14ac:dyDescent="0.3">
      <c r="A884">
        <v>237749</v>
      </c>
      <c r="B884">
        <v>105</v>
      </c>
      <c r="C884" t="s">
        <v>557</v>
      </c>
      <c r="D884" t="s">
        <v>2554</v>
      </c>
      <c r="E884" t="s">
        <v>2051</v>
      </c>
      <c r="F884" s="451">
        <v>46176</v>
      </c>
      <c r="G884">
        <v>17473</v>
      </c>
      <c r="H884" t="s">
        <v>5256</v>
      </c>
      <c r="I884" t="s">
        <v>5215</v>
      </c>
      <c r="J884">
        <v>1</v>
      </c>
      <c r="K884" t="s">
        <v>4749</v>
      </c>
      <c r="L884">
        <v>85</v>
      </c>
      <c r="M884">
        <v>85</v>
      </c>
      <c r="N884" t="s">
        <v>5277</v>
      </c>
      <c r="O884" t="s">
        <v>464</v>
      </c>
    </row>
    <row r="885" spans="1:15" x14ac:dyDescent="0.3">
      <c r="A885">
        <v>237749</v>
      </c>
      <c r="B885">
        <v>105</v>
      </c>
      <c r="C885" t="s">
        <v>557</v>
      </c>
      <c r="D885" t="s">
        <v>2554</v>
      </c>
      <c r="E885" t="s">
        <v>2051</v>
      </c>
      <c r="F885" s="451">
        <v>46176</v>
      </c>
      <c r="G885">
        <v>17437</v>
      </c>
      <c r="H885" t="s">
        <v>5203</v>
      </c>
      <c r="I885" t="s">
        <v>5188</v>
      </c>
      <c r="J885">
        <v>15</v>
      </c>
      <c r="K885" t="s">
        <v>4736</v>
      </c>
      <c r="L885">
        <v>34.5</v>
      </c>
      <c r="M885">
        <v>2.2999999999999998</v>
      </c>
      <c r="N885" t="s">
        <v>5277</v>
      </c>
      <c r="O885" t="s">
        <v>464</v>
      </c>
    </row>
    <row r="886" spans="1:15" x14ac:dyDescent="0.3">
      <c r="A886">
        <v>237749</v>
      </c>
      <c r="B886">
        <v>105</v>
      </c>
      <c r="C886" t="s">
        <v>557</v>
      </c>
      <c r="D886" t="s">
        <v>2554</v>
      </c>
      <c r="E886" t="s">
        <v>2051</v>
      </c>
      <c r="F886" s="451">
        <v>46176</v>
      </c>
      <c r="G886">
        <v>23971</v>
      </c>
      <c r="H886" t="s">
        <v>5296</v>
      </c>
      <c r="I886" t="s">
        <v>5232</v>
      </c>
      <c r="J886">
        <v>2</v>
      </c>
      <c r="K886" t="s">
        <v>4736</v>
      </c>
      <c r="L886">
        <v>21</v>
      </c>
      <c r="M886">
        <v>10.5</v>
      </c>
      <c r="N886" t="s">
        <v>5277</v>
      </c>
      <c r="O886" t="s">
        <v>464</v>
      </c>
    </row>
    <row r="887" spans="1:15" x14ac:dyDescent="0.3">
      <c r="A887">
        <v>237749</v>
      </c>
      <c r="B887">
        <v>105</v>
      </c>
      <c r="C887" t="s">
        <v>557</v>
      </c>
      <c r="D887" t="s">
        <v>2554</v>
      </c>
      <c r="E887" t="s">
        <v>2051</v>
      </c>
      <c r="F887" s="451">
        <v>46176</v>
      </c>
      <c r="G887">
        <v>17504</v>
      </c>
      <c r="H887" t="s">
        <v>5260</v>
      </c>
      <c r="I887" t="s">
        <v>5205</v>
      </c>
      <c r="J887">
        <v>2</v>
      </c>
      <c r="K887" t="s">
        <v>4736</v>
      </c>
      <c r="L887">
        <v>54</v>
      </c>
      <c r="M887">
        <v>27</v>
      </c>
      <c r="N887" t="s">
        <v>5277</v>
      </c>
      <c r="O887" t="s">
        <v>464</v>
      </c>
    </row>
    <row r="888" spans="1:15" x14ac:dyDescent="0.3">
      <c r="A888">
        <v>237749</v>
      </c>
      <c r="B888">
        <v>105</v>
      </c>
      <c r="C888" t="s">
        <v>557</v>
      </c>
      <c r="D888" t="s">
        <v>2554</v>
      </c>
      <c r="E888" t="s">
        <v>2051</v>
      </c>
      <c r="F888" s="451">
        <v>46176</v>
      </c>
      <c r="G888">
        <v>17138</v>
      </c>
      <c r="H888" t="s">
        <v>5297</v>
      </c>
      <c r="I888" t="s">
        <v>5188</v>
      </c>
      <c r="J888">
        <v>2</v>
      </c>
      <c r="K888" t="s">
        <v>4736</v>
      </c>
      <c r="L888">
        <v>17.2</v>
      </c>
      <c r="M888">
        <v>8.6</v>
      </c>
      <c r="N888" t="s">
        <v>5277</v>
      </c>
      <c r="O888" t="s">
        <v>464</v>
      </c>
    </row>
    <row r="889" spans="1:15" x14ac:dyDescent="0.3">
      <c r="A889">
        <v>237749</v>
      </c>
      <c r="B889">
        <v>105</v>
      </c>
      <c r="C889" t="s">
        <v>557</v>
      </c>
      <c r="D889" t="s">
        <v>2554</v>
      </c>
      <c r="E889" t="s">
        <v>2051</v>
      </c>
      <c r="F889" s="451">
        <v>46176</v>
      </c>
      <c r="G889">
        <v>17333</v>
      </c>
      <c r="H889" t="s">
        <v>5211</v>
      </c>
      <c r="I889" t="s">
        <v>5188</v>
      </c>
      <c r="J889">
        <v>1</v>
      </c>
      <c r="K889" t="s">
        <v>4738</v>
      </c>
      <c r="L889">
        <v>75</v>
      </c>
      <c r="M889">
        <v>75</v>
      </c>
      <c r="N889" t="s">
        <v>5277</v>
      </c>
      <c r="O889" t="s">
        <v>464</v>
      </c>
    </row>
    <row r="890" spans="1:15" x14ac:dyDescent="0.3">
      <c r="A890">
        <v>237749</v>
      </c>
      <c r="B890">
        <v>105</v>
      </c>
      <c r="C890" t="s">
        <v>557</v>
      </c>
      <c r="D890" t="s">
        <v>2554</v>
      </c>
      <c r="E890" t="s">
        <v>2051</v>
      </c>
      <c r="F890" s="451">
        <v>46176</v>
      </c>
      <c r="G890">
        <v>17418</v>
      </c>
      <c r="H890" t="s">
        <v>5207</v>
      </c>
      <c r="I890" t="s">
        <v>5188</v>
      </c>
      <c r="J890">
        <v>3</v>
      </c>
      <c r="K890" t="s">
        <v>4749</v>
      </c>
      <c r="L890">
        <v>176.7</v>
      </c>
      <c r="M890">
        <v>58.9</v>
      </c>
      <c r="N890" t="s">
        <v>5277</v>
      </c>
      <c r="O890" t="s">
        <v>464</v>
      </c>
    </row>
    <row r="891" spans="1:15" x14ac:dyDescent="0.3">
      <c r="A891">
        <v>237749</v>
      </c>
      <c r="B891">
        <v>105</v>
      </c>
      <c r="C891" t="s">
        <v>557</v>
      </c>
      <c r="D891" t="s">
        <v>2554</v>
      </c>
      <c r="E891" t="s">
        <v>2051</v>
      </c>
      <c r="F891" s="451">
        <v>46176</v>
      </c>
      <c r="G891">
        <v>17129</v>
      </c>
      <c r="H891" t="s">
        <v>5202</v>
      </c>
      <c r="I891" t="s">
        <v>5188</v>
      </c>
      <c r="J891">
        <v>2</v>
      </c>
      <c r="K891" t="s">
        <v>4738</v>
      </c>
      <c r="L891">
        <v>53.22</v>
      </c>
      <c r="M891">
        <v>26.61</v>
      </c>
      <c r="N891" t="s">
        <v>5277</v>
      </c>
      <c r="O891" t="s">
        <v>464</v>
      </c>
    </row>
    <row r="892" spans="1:15" x14ac:dyDescent="0.3">
      <c r="A892">
        <v>237749</v>
      </c>
      <c r="B892">
        <v>105</v>
      </c>
      <c r="C892" t="s">
        <v>557</v>
      </c>
      <c r="D892" t="s">
        <v>2554</v>
      </c>
      <c r="E892" t="s">
        <v>2051</v>
      </c>
      <c r="F892" s="451">
        <v>46176</v>
      </c>
      <c r="G892">
        <v>17196</v>
      </c>
      <c r="H892" t="s">
        <v>5258</v>
      </c>
      <c r="I892" t="s">
        <v>5188</v>
      </c>
      <c r="J892">
        <v>1</v>
      </c>
      <c r="K892" t="s">
        <v>4738</v>
      </c>
      <c r="L892">
        <v>6.38</v>
      </c>
      <c r="M892">
        <v>6.38</v>
      </c>
      <c r="N892" t="s">
        <v>5277</v>
      </c>
      <c r="O892" t="s">
        <v>464</v>
      </c>
    </row>
    <row r="893" spans="1:15" x14ac:dyDescent="0.3">
      <c r="A893">
        <v>237749</v>
      </c>
      <c r="B893">
        <v>105</v>
      </c>
      <c r="C893" t="s">
        <v>557</v>
      </c>
      <c r="D893" t="s">
        <v>2554</v>
      </c>
      <c r="E893" t="s">
        <v>2051</v>
      </c>
      <c r="F893" s="451">
        <v>46176</v>
      </c>
      <c r="G893">
        <v>17120</v>
      </c>
      <c r="H893" t="s">
        <v>5298</v>
      </c>
      <c r="I893" t="s">
        <v>5188</v>
      </c>
      <c r="J893">
        <v>3</v>
      </c>
      <c r="K893" t="s">
        <v>4736</v>
      </c>
      <c r="L893">
        <v>28.62</v>
      </c>
      <c r="M893">
        <v>9.5399999999999991</v>
      </c>
      <c r="N893" t="s">
        <v>5277</v>
      </c>
      <c r="O893" t="s">
        <v>464</v>
      </c>
    </row>
    <row r="894" spans="1:15" x14ac:dyDescent="0.3">
      <c r="A894">
        <v>237749</v>
      </c>
      <c r="B894">
        <v>105</v>
      </c>
      <c r="C894" t="s">
        <v>557</v>
      </c>
      <c r="D894" t="s">
        <v>2554</v>
      </c>
      <c r="E894" t="s">
        <v>2051</v>
      </c>
      <c r="F894" s="451">
        <v>46176</v>
      </c>
      <c r="G894">
        <v>17474</v>
      </c>
      <c r="H894" t="s">
        <v>5213</v>
      </c>
      <c r="I894" t="s">
        <v>5188</v>
      </c>
      <c r="J894">
        <v>1</v>
      </c>
      <c r="K894" t="s">
        <v>4749</v>
      </c>
      <c r="L894">
        <v>75</v>
      </c>
      <c r="M894">
        <v>75</v>
      </c>
      <c r="N894" t="s">
        <v>5277</v>
      </c>
      <c r="O894" t="s">
        <v>464</v>
      </c>
    </row>
    <row r="895" spans="1:15" x14ac:dyDescent="0.3">
      <c r="A895">
        <v>237749</v>
      </c>
      <c r="B895">
        <v>105</v>
      </c>
      <c r="C895" t="s">
        <v>557</v>
      </c>
      <c r="D895" t="s">
        <v>2554</v>
      </c>
      <c r="E895" t="s">
        <v>2051</v>
      </c>
      <c r="F895" s="451">
        <v>46176</v>
      </c>
      <c r="G895">
        <v>17381</v>
      </c>
      <c r="H895" t="s">
        <v>5262</v>
      </c>
      <c r="I895" t="s">
        <v>5188</v>
      </c>
      <c r="J895">
        <v>1</v>
      </c>
      <c r="K895" t="s">
        <v>4736</v>
      </c>
      <c r="L895">
        <v>45</v>
      </c>
      <c r="M895">
        <v>45</v>
      </c>
      <c r="N895" t="s">
        <v>5277</v>
      </c>
      <c r="O895" t="s">
        <v>464</v>
      </c>
    </row>
    <row r="896" spans="1:15" x14ac:dyDescent="0.3">
      <c r="A896">
        <v>237749</v>
      </c>
      <c r="B896">
        <v>105</v>
      </c>
      <c r="C896" t="s">
        <v>557</v>
      </c>
      <c r="D896" t="s">
        <v>2554</v>
      </c>
      <c r="E896" t="s">
        <v>2051</v>
      </c>
      <c r="F896" s="451">
        <v>46176</v>
      </c>
      <c r="G896">
        <v>17215</v>
      </c>
      <c r="H896" t="s">
        <v>5299</v>
      </c>
      <c r="I896" t="s">
        <v>5188</v>
      </c>
      <c r="J896">
        <v>6</v>
      </c>
      <c r="K896" t="s">
        <v>4848</v>
      </c>
      <c r="L896">
        <v>155.4</v>
      </c>
      <c r="M896">
        <v>25.9</v>
      </c>
      <c r="N896" t="s">
        <v>5277</v>
      </c>
      <c r="O896" t="s">
        <v>464</v>
      </c>
    </row>
    <row r="897" spans="1:15" x14ac:dyDescent="0.3">
      <c r="A897">
        <v>237749</v>
      </c>
      <c r="B897">
        <v>105</v>
      </c>
      <c r="C897" t="s">
        <v>557</v>
      </c>
      <c r="D897" t="s">
        <v>2554</v>
      </c>
      <c r="E897" t="s">
        <v>2051</v>
      </c>
      <c r="F897" s="451">
        <v>46176</v>
      </c>
      <c r="G897">
        <v>17266</v>
      </c>
      <c r="H897" t="s">
        <v>5192</v>
      </c>
      <c r="I897" t="s">
        <v>5188</v>
      </c>
      <c r="J897">
        <v>3</v>
      </c>
      <c r="K897" t="s">
        <v>4736</v>
      </c>
      <c r="L897">
        <v>14.67</v>
      </c>
      <c r="M897">
        <v>4.8899999999999997</v>
      </c>
      <c r="N897" t="s">
        <v>5277</v>
      </c>
      <c r="O897" t="s">
        <v>464</v>
      </c>
    </row>
    <row r="898" spans="1:15" x14ac:dyDescent="0.3">
      <c r="A898">
        <v>237749</v>
      </c>
      <c r="B898">
        <v>105</v>
      </c>
      <c r="C898" t="s">
        <v>557</v>
      </c>
      <c r="D898" t="s">
        <v>2554</v>
      </c>
      <c r="E898" t="s">
        <v>2051</v>
      </c>
      <c r="F898" s="451">
        <v>46176</v>
      </c>
      <c r="G898">
        <v>17017</v>
      </c>
      <c r="H898" t="s">
        <v>5199</v>
      </c>
      <c r="I898" t="s">
        <v>5188</v>
      </c>
      <c r="J898">
        <v>2</v>
      </c>
      <c r="K898" t="s">
        <v>4738</v>
      </c>
      <c r="L898">
        <v>6</v>
      </c>
      <c r="M898">
        <v>3</v>
      </c>
      <c r="N898" t="s">
        <v>5277</v>
      </c>
      <c r="O898" t="s">
        <v>464</v>
      </c>
    </row>
    <row r="899" spans="1:15" x14ac:dyDescent="0.3">
      <c r="A899">
        <v>237749</v>
      </c>
      <c r="B899">
        <v>105</v>
      </c>
      <c r="C899" t="s">
        <v>557</v>
      </c>
      <c r="D899" t="s">
        <v>2554</v>
      </c>
      <c r="E899" t="s">
        <v>2051</v>
      </c>
      <c r="F899" s="451">
        <v>46176</v>
      </c>
      <c r="G899">
        <v>17190</v>
      </c>
      <c r="H899" t="s">
        <v>5193</v>
      </c>
      <c r="I899" t="s">
        <v>5188</v>
      </c>
      <c r="J899">
        <v>1</v>
      </c>
      <c r="K899" t="s">
        <v>4738</v>
      </c>
      <c r="L899">
        <v>8.1</v>
      </c>
      <c r="M899">
        <v>8.1</v>
      </c>
      <c r="N899" t="s">
        <v>5277</v>
      </c>
      <c r="O899" t="s">
        <v>464</v>
      </c>
    </row>
    <row r="900" spans="1:15" x14ac:dyDescent="0.3">
      <c r="A900">
        <v>237749</v>
      </c>
      <c r="B900">
        <v>105</v>
      </c>
      <c r="C900" t="s">
        <v>557</v>
      </c>
      <c r="D900" t="s">
        <v>2554</v>
      </c>
      <c r="E900" t="s">
        <v>2051</v>
      </c>
      <c r="F900" s="451">
        <v>46176</v>
      </c>
      <c r="G900">
        <v>17304</v>
      </c>
      <c r="H900" t="s">
        <v>5195</v>
      </c>
      <c r="I900" t="s">
        <v>5188</v>
      </c>
      <c r="J900">
        <v>2</v>
      </c>
      <c r="K900" t="s">
        <v>4848</v>
      </c>
      <c r="L900">
        <v>13.18</v>
      </c>
      <c r="M900">
        <v>6.59</v>
      </c>
      <c r="N900" t="s">
        <v>5277</v>
      </c>
      <c r="O900" t="s">
        <v>464</v>
      </c>
    </row>
    <row r="901" spans="1:15" x14ac:dyDescent="0.3">
      <c r="A901">
        <v>237745</v>
      </c>
      <c r="B901">
        <v>105</v>
      </c>
      <c r="C901" t="s">
        <v>557</v>
      </c>
      <c r="D901" t="s">
        <v>2559</v>
      </c>
      <c r="E901" t="s">
        <v>2805</v>
      </c>
      <c r="F901" s="451">
        <v>46178</v>
      </c>
      <c r="G901">
        <v>19765</v>
      </c>
      <c r="H901" t="s">
        <v>4889</v>
      </c>
      <c r="I901" t="s">
        <v>5191</v>
      </c>
      <c r="J901">
        <v>2</v>
      </c>
      <c r="K901" t="s">
        <v>4744</v>
      </c>
      <c r="L901">
        <v>70</v>
      </c>
      <c r="M901">
        <v>35</v>
      </c>
      <c r="N901" t="s">
        <v>5191</v>
      </c>
      <c r="O901" t="s">
        <v>464</v>
      </c>
    </row>
    <row r="902" spans="1:15" x14ac:dyDescent="0.3">
      <c r="A902">
        <v>237742</v>
      </c>
      <c r="B902">
        <v>105</v>
      </c>
      <c r="C902" t="s">
        <v>557</v>
      </c>
      <c r="D902" t="s">
        <v>2682</v>
      </c>
      <c r="E902" t="s">
        <v>2806</v>
      </c>
      <c r="F902" s="451">
        <v>46181</v>
      </c>
      <c r="G902">
        <v>20007</v>
      </c>
      <c r="H902" t="s">
        <v>5101</v>
      </c>
      <c r="I902" t="s">
        <v>5191</v>
      </c>
      <c r="J902">
        <v>3</v>
      </c>
      <c r="K902" t="s">
        <v>4884</v>
      </c>
      <c r="L902">
        <v>148.80000000000001</v>
      </c>
      <c r="M902">
        <v>49.6</v>
      </c>
      <c r="N902" t="s">
        <v>5191</v>
      </c>
      <c r="O902" t="s">
        <v>464</v>
      </c>
    </row>
    <row r="903" spans="1:15" x14ac:dyDescent="0.3">
      <c r="A903">
        <v>237742</v>
      </c>
      <c r="B903">
        <v>105</v>
      </c>
      <c r="C903" t="s">
        <v>557</v>
      </c>
      <c r="D903" t="s">
        <v>2682</v>
      </c>
      <c r="E903" t="s">
        <v>2806</v>
      </c>
      <c r="F903" s="451">
        <v>46181</v>
      </c>
      <c r="G903">
        <v>20751</v>
      </c>
      <c r="H903" t="s">
        <v>5004</v>
      </c>
      <c r="I903" t="s">
        <v>5191</v>
      </c>
      <c r="J903">
        <v>1</v>
      </c>
      <c r="K903" t="s">
        <v>4884</v>
      </c>
      <c r="L903">
        <v>99.65</v>
      </c>
      <c r="M903">
        <v>99.65</v>
      </c>
      <c r="N903" t="s">
        <v>5191</v>
      </c>
      <c r="O903" t="s">
        <v>464</v>
      </c>
    </row>
    <row r="904" spans="1:15" x14ac:dyDescent="0.3">
      <c r="A904">
        <v>237742</v>
      </c>
      <c r="B904">
        <v>105</v>
      </c>
      <c r="C904" t="s">
        <v>557</v>
      </c>
      <c r="D904" t="s">
        <v>2682</v>
      </c>
      <c r="E904" t="s">
        <v>2806</v>
      </c>
      <c r="F904" s="451">
        <v>46181</v>
      </c>
      <c r="G904">
        <v>19401</v>
      </c>
      <c r="H904" t="s">
        <v>4809</v>
      </c>
      <c r="I904" t="s">
        <v>5191</v>
      </c>
      <c r="J904">
        <v>5</v>
      </c>
      <c r="K904" t="s">
        <v>4879</v>
      </c>
      <c r="L904">
        <v>928.25</v>
      </c>
      <c r="M904">
        <v>185.65</v>
      </c>
      <c r="N904" t="s">
        <v>5191</v>
      </c>
      <c r="O904" t="s">
        <v>464</v>
      </c>
    </row>
    <row r="905" spans="1:15" x14ac:dyDescent="0.3">
      <c r="A905">
        <v>237719</v>
      </c>
      <c r="B905">
        <v>105</v>
      </c>
      <c r="C905" t="s">
        <v>557</v>
      </c>
      <c r="D905" t="s">
        <v>2563</v>
      </c>
      <c r="E905" t="s">
        <v>2807</v>
      </c>
      <c r="F905" s="451">
        <v>46174</v>
      </c>
      <c r="G905">
        <v>19845</v>
      </c>
      <c r="H905" t="s">
        <v>4874</v>
      </c>
      <c r="I905" t="s">
        <v>5191</v>
      </c>
      <c r="J905">
        <v>2</v>
      </c>
      <c r="K905" t="s">
        <v>4744</v>
      </c>
      <c r="L905">
        <v>110.2</v>
      </c>
      <c r="M905">
        <v>55.1</v>
      </c>
      <c r="N905" t="s">
        <v>5191</v>
      </c>
      <c r="O905" t="s">
        <v>464</v>
      </c>
    </row>
    <row r="906" spans="1:15" x14ac:dyDescent="0.3">
      <c r="A906">
        <v>237719</v>
      </c>
      <c r="B906">
        <v>105</v>
      </c>
      <c r="C906" t="s">
        <v>557</v>
      </c>
      <c r="D906" t="s">
        <v>2563</v>
      </c>
      <c r="E906" t="s">
        <v>2807</v>
      </c>
      <c r="F906" s="451">
        <v>46174</v>
      </c>
      <c r="G906">
        <v>19842</v>
      </c>
      <c r="H906" t="s">
        <v>5300</v>
      </c>
      <c r="I906" t="s">
        <v>5191</v>
      </c>
      <c r="J906">
        <v>2</v>
      </c>
      <c r="K906" t="s">
        <v>4744</v>
      </c>
      <c r="L906">
        <v>130.5</v>
      </c>
      <c r="M906">
        <v>65.25</v>
      </c>
      <c r="N906" t="s">
        <v>5191</v>
      </c>
      <c r="O906" t="s">
        <v>464</v>
      </c>
    </row>
    <row r="907" spans="1:15" x14ac:dyDescent="0.3">
      <c r="A907">
        <v>237718</v>
      </c>
      <c r="B907">
        <v>105</v>
      </c>
      <c r="C907" t="s">
        <v>557</v>
      </c>
      <c r="D907" t="s">
        <v>2563</v>
      </c>
      <c r="E907" t="s">
        <v>2808</v>
      </c>
      <c r="F907" s="451">
        <v>46174</v>
      </c>
      <c r="G907">
        <v>19635</v>
      </c>
      <c r="H907" t="s">
        <v>4786</v>
      </c>
      <c r="I907" t="s">
        <v>5191</v>
      </c>
      <c r="J907">
        <v>3</v>
      </c>
      <c r="K907" t="s">
        <v>4744</v>
      </c>
      <c r="L907">
        <v>16.739999999999998</v>
      </c>
      <c r="M907">
        <v>5.58</v>
      </c>
      <c r="N907" t="s">
        <v>5272</v>
      </c>
      <c r="O907" t="s">
        <v>464</v>
      </c>
    </row>
    <row r="908" spans="1:15" x14ac:dyDescent="0.3">
      <c r="A908">
        <v>237718</v>
      </c>
      <c r="B908">
        <v>105</v>
      </c>
      <c r="C908" t="s">
        <v>557</v>
      </c>
      <c r="D908" t="s">
        <v>2563</v>
      </c>
      <c r="E908" t="s">
        <v>2808</v>
      </c>
      <c r="F908" s="451">
        <v>46174</v>
      </c>
      <c r="G908">
        <v>19634</v>
      </c>
      <c r="H908" t="s">
        <v>4792</v>
      </c>
      <c r="I908" t="s">
        <v>5191</v>
      </c>
      <c r="J908">
        <v>4.2</v>
      </c>
      <c r="K908" t="s">
        <v>4744</v>
      </c>
      <c r="L908">
        <v>31.96</v>
      </c>
      <c r="M908">
        <v>7.6095240000000004</v>
      </c>
      <c r="N908" t="s">
        <v>5272</v>
      </c>
      <c r="O908" t="s">
        <v>464</v>
      </c>
    </row>
    <row r="909" spans="1:15" x14ac:dyDescent="0.3">
      <c r="A909">
        <v>237718</v>
      </c>
      <c r="B909">
        <v>105</v>
      </c>
      <c r="C909" t="s">
        <v>557</v>
      </c>
      <c r="D909" t="s">
        <v>2563</v>
      </c>
      <c r="E909" t="s">
        <v>2808</v>
      </c>
      <c r="F909" s="451">
        <v>46174</v>
      </c>
      <c r="G909">
        <v>23349</v>
      </c>
      <c r="H909" t="s">
        <v>4988</v>
      </c>
      <c r="I909" t="s">
        <v>5191</v>
      </c>
      <c r="J909">
        <v>1</v>
      </c>
      <c r="K909" t="s">
        <v>4744</v>
      </c>
      <c r="L909">
        <v>7.25</v>
      </c>
      <c r="M909">
        <v>7.25</v>
      </c>
      <c r="N909" t="s">
        <v>5272</v>
      </c>
      <c r="O909" t="s">
        <v>464</v>
      </c>
    </row>
    <row r="910" spans="1:15" x14ac:dyDescent="0.3">
      <c r="A910">
        <v>237718</v>
      </c>
      <c r="B910">
        <v>105</v>
      </c>
      <c r="C910" t="s">
        <v>557</v>
      </c>
      <c r="D910" t="s">
        <v>2563</v>
      </c>
      <c r="E910" t="s">
        <v>2808</v>
      </c>
      <c r="F910" s="451">
        <v>46174</v>
      </c>
      <c r="G910">
        <v>19621</v>
      </c>
      <c r="H910" t="s">
        <v>4829</v>
      </c>
      <c r="I910" t="s">
        <v>5191</v>
      </c>
      <c r="J910">
        <v>4</v>
      </c>
      <c r="K910" t="s">
        <v>4744</v>
      </c>
      <c r="L910">
        <v>33.36</v>
      </c>
      <c r="M910">
        <v>8.34</v>
      </c>
      <c r="N910" t="s">
        <v>5272</v>
      </c>
      <c r="O910" t="s">
        <v>464</v>
      </c>
    </row>
    <row r="911" spans="1:15" x14ac:dyDescent="0.3">
      <c r="A911">
        <v>237718</v>
      </c>
      <c r="B911">
        <v>105</v>
      </c>
      <c r="C911" t="s">
        <v>557</v>
      </c>
      <c r="D911" t="s">
        <v>2563</v>
      </c>
      <c r="E911" t="s">
        <v>2808</v>
      </c>
      <c r="F911" s="451">
        <v>46174</v>
      </c>
      <c r="G911">
        <v>19589</v>
      </c>
      <c r="H911" t="s">
        <v>4983</v>
      </c>
      <c r="I911" t="s">
        <v>5191</v>
      </c>
      <c r="J911">
        <v>3.8</v>
      </c>
      <c r="K911" t="s">
        <v>4744</v>
      </c>
      <c r="L911">
        <v>32.79</v>
      </c>
      <c r="M911">
        <v>8.6289470000000001</v>
      </c>
      <c r="N911" t="s">
        <v>5272</v>
      </c>
      <c r="O911" t="s">
        <v>464</v>
      </c>
    </row>
    <row r="912" spans="1:15" x14ac:dyDescent="0.3">
      <c r="A912">
        <v>237718</v>
      </c>
      <c r="B912">
        <v>105</v>
      </c>
      <c r="C912" t="s">
        <v>557</v>
      </c>
      <c r="D912" t="s">
        <v>2563</v>
      </c>
      <c r="E912" t="s">
        <v>2808</v>
      </c>
      <c r="F912" s="451">
        <v>46174</v>
      </c>
      <c r="G912">
        <v>19728</v>
      </c>
      <c r="H912" t="s">
        <v>5106</v>
      </c>
      <c r="I912" t="s">
        <v>5191</v>
      </c>
      <c r="J912">
        <v>1.3</v>
      </c>
      <c r="K912" t="s">
        <v>4744</v>
      </c>
      <c r="L912">
        <v>14.66</v>
      </c>
      <c r="M912">
        <v>11.276923</v>
      </c>
      <c r="N912" t="s">
        <v>5272</v>
      </c>
      <c r="O912" t="s">
        <v>464</v>
      </c>
    </row>
    <row r="913" spans="1:15" x14ac:dyDescent="0.3">
      <c r="A913">
        <v>237718</v>
      </c>
      <c r="B913">
        <v>105</v>
      </c>
      <c r="C913" t="s">
        <v>557</v>
      </c>
      <c r="D913" t="s">
        <v>2563</v>
      </c>
      <c r="E913" t="s">
        <v>2808</v>
      </c>
      <c r="F913" s="451">
        <v>46174</v>
      </c>
      <c r="G913">
        <v>23198</v>
      </c>
      <c r="H913" t="s">
        <v>4962</v>
      </c>
      <c r="I913" t="s">
        <v>5191</v>
      </c>
      <c r="J913">
        <v>0.6</v>
      </c>
      <c r="K913" t="s">
        <v>4744</v>
      </c>
      <c r="L913">
        <v>10.44</v>
      </c>
      <c r="M913">
        <v>17.399999999999999</v>
      </c>
      <c r="N913" t="s">
        <v>5272</v>
      </c>
      <c r="O913" t="s">
        <v>464</v>
      </c>
    </row>
    <row r="914" spans="1:15" x14ac:dyDescent="0.3">
      <c r="A914">
        <v>237718</v>
      </c>
      <c r="B914">
        <v>105</v>
      </c>
      <c r="C914" t="s">
        <v>557</v>
      </c>
      <c r="D914" t="s">
        <v>2563</v>
      </c>
      <c r="E914" t="s">
        <v>2808</v>
      </c>
      <c r="F914" s="451">
        <v>46174</v>
      </c>
      <c r="G914">
        <v>19654</v>
      </c>
      <c r="H914" t="s">
        <v>5099</v>
      </c>
      <c r="I914" t="s">
        <v>5191</v>
      </c>
      <c r="J914">
        <v>4</v>
      </c>
      <c r="K914" t="s">
        <v>4744</v>
      </c>
      <c r="L914">
        <v>18.84</v>
      </c>
      <c r="M914">
        <v>4.71</v>
      </c>
      <c r="N914" t="s">
        <v>5272</v>
      </c>
      <c r="O914" t="s">
        <v>464</v>
      </c>
    </row>
    <row r="915" spans="1:15" x14ac:dyDescent="0.3">
      <c r="A915">
        <v>237718</v>
      </c>
      <c r="B915">
        <v>105</v>
      </c>
      <c r="C915" t="s">
        <v>557</v>
      </c>
      <c r="D915" t="s">
        <v>2563</v>
      </c>
      <c r="E915" t="s">
        <v>2808</v>
      </c>
      <c r="F915" s="451">
        <v>46174</v>
      </c>
      <c r="G915">
        <v>19532</v>
      </c>
      <c r="H915" t="s">
        <v>4753</v>
      </c>
      <c r="I915" t="s">
        <v>5191</v>
      </c>
      <c r="J915">
        <v>10.199999999999999</v>
      </c>
      <c r="K915" t="s">
        <v>4744</v>
      </c>
      <c r="L915">
        <v>96.19</v>
      </c>
      <c r="M915">
        <v>9.4303919999999994</v>
      </c>
      <c r="N915" t="s">
        <v>5272</v>
      </c>
      <c r="O915" t="s">
        <v>464</v>
      </c>
    </row>
    <row r="916" spans="1:15" x14ac:dyDescent="0.3">
      <c r="A916">
        <v>237717</v>
      </c>
      <c r="B916">
        <v>105</v>
      </c>
      <c r="C916" t="s">
        <v>557</v>
      </c>
      <c r="D916" t="s">
        <v>2565</v>
      </c>
      <c r="E916" t="s">
        <v>2809</v>
      </c>
      <c r="F916" s="451">
        <v>46174</v>
      </c>
      <c r="G916">
        <v>18359</v>
      </c>
      <c r="H916" t="s">
        <v>4921</v>
      </c>
      <c r="I916" t="s">
        <v>5222</v>
      </c>
      <c r="J916">
        <v>2</v>
      </c>
      <c r="K916" t="s">
        <v>4805</v>
      </c>
      <c r="L916">
        <v>189.8</v>
      </c>
      <c r="M916">
        <v>94.9</v>
      </c>
      <c r="N916" t="s">
        <v>5271</v>
      </c>
      <c r="O916" t="s">
        <v>464</v>
      </c>
    </row>
    <row r="917" spans="1:15" x14ac:dyDescent="0.3">
      <c r="A917">
        <v>237717</v>
      </c>
      <c r="B917">
        <v>105</v>
      </c>
      <c r="C917" t="s">
        <v>557</v>
      </c>
      <c r="D917" t="s">
        <v>2565</v>
      </c>
      <c r="E917" t="s">
        <v>2809</v>
      </c>
      <c r="F917" s="451">
        <v>46174</v>
      </c>
      <c r="G917">
        <v>18116</v>
      </c>
      <c r="H917" t="s">
        <v>5045</v>
      </c>
      <c r="I917" t="s">
        <v>5222</v>
      </c>
      <c r="J917">
        <v>1</v>
      </c>
      <c r="K917" t="s">
        <v>4805</v>
      </c>
      <c r="L917">
        <v>88.02</v>
      </c>
      <c r="M917">
        <v>88.02</v>
      </c>
      <c r="N917" t="s">
        <v>5271</v>
      </c>
      <c r="O917" t="s">
        <v>464</v>
      </c>
    </row>
    <row r="918" spans="1:15" x14ac:dyDescent="0.3">
      <c r="A918">
        <v>237717</v>
      </c>
      <c r="B918">
        <v>105</v>
      </c>
      <c r="C918" t="s">
        <v>557</v>
      </c>
      <c r="D918" t="s">
        <v>2565</v>
      </c>
      <c r="E918" t="s">
        <v>2809</v>
      </c>
      <c r="F918" s="451">
        <v>46174</v>
      </c>
      <c r="G918">
        <v>18172</v>
      </c>
      <c r="H918" t="s">
        <v>4804</v>
      </c>
      <c r="I918" t="s">
        <v>5222</v>
      </c>
      <c r="J918">
        <v>12</v>
      </c>
      <c r="K918" t="s">
        <v>4805</v>
      </c>
      <c r="L918">
        <v>325.32</v>
      </c>
      <c r="M918">
        <v>27.11</v>
      </c>
      <c r="N918" t="s">
        <v>5271</v>
      </c>
      <c r="O918" t="s">
        <v>464</v>
      </c>
    </row>
    <row r="919" spans="1:15" x14ac:dyDescent="0.3">
      <c r="A919">
        <v>237716</v>
      </c>
      <c r="B919">
        <v>105</v>
      </c>
      <c r="C919" t="s">
        <v>557</v>
      </c>
      <c r="D919" t="s">
        <v>2581</v>
      </c>
      <c r="E919" t="s">
        <v>2810</v>
      </c>
      <c r="F919" s="451">
        <v>46174</v>
      </c>
      <c r="G919">
        <v>23096</v>
      </c>
      <c r="H919" t="s">
        <v>5164</v>
      </c>
      <c r="I919" t="s">
        <v>5191</v>
      </c>
      <c r="J919">
        <v>30</v>
      </c>
      <c r="K919" t="s">
        <v>4736</v>
      </c>
      <c r="L919">
        <v>21.6</v>
      </c>
      <c r="M919">
        <v>0.72</v>
      </c>
      <c r="N919" t="s">
        <v>5191</v>
      </c>
      <c r="O919" t="s">
        <v>464</v>
      </c>
    </row>
    <row r="920" spans="1:15" x14ac:dyDescent="0.3">
      <c r="A920">
        <v>237716</v>
      </c>
      <c r="B920">
        <v>105</v>
      </c>
      <c r="C920" t="s">
        <v>557</v>
      </c>
      <c r="D920" t="s">
        <v>2581</v>
      </c>
      <c r="E920" t="s">
        <v>2810</v>
      </c>
      <c r="F920" s="451">
        <v>46174</v>
      </c>
      <c r="G920">
        <v>23184</v>
      </c>
      <c r="H920" t="s">
        <v>4935</v>
      </c>
      <c r="I920" t="s">
        <v>5191</v>
      </c>
      <c r="J920">
        <v>1</v>
      </c>
      <c r="K920" t="s">
        <v>4744</v>
      </c>
      <c r="L920">
        <v>35</v>
      </c>
      <c r="M920">
        <v>35</v>
      </c>
      <c r="N920" t="s">
        <v>5191</v>
      </c>
      <c r="O920" t="s">
        <v>464</v>
      </c>
    </row>
    <row r="921" spans="1:15" x14ac:dyDescent="0.3">
      <c r="A921">
        <v>237714</v>
      </c>
      <c r="B921">
        <v>105</v>
      </c>
      <c r="C921" t="s">
        <v>557</v>
      </c>
      <c r="D921" t="s">
        <v>2581</v>
      </c>
      <c r="E921" t="s">
        <v>2811</v>
      </c>
      <c r="F921" s="451">
        <v>46174</v>
      </c>
      <c r="G921">
        <v>19623</v>
      </c>
      <c r="H921" t="s">
        <v>4764</v>
      </c>
      <c r="I921" t="s">
        <v>5191</v>
      </c>
      <c r="J921">
        <v>8</v>
      </c>
      <c r="K921" t="s">
        <v>4744</v>
      </c>
      <c r="L921">
        <v>46.4</v>
      </c>
      <c r="M921">
        <v>5.8</v>
      </c>
      <c r="N921" t="s">
        <v>5272</v>
      </c>
      <c r="O921" t="s">
        <v>464</v>
      </c>
    </row>
    <row r="922" spans="1:15" x14ac:dyDescent="0.3">
      <c r="A922">
        <v>237714</v>
      </c>
      <c r="B922">
        <v>105</v>
      </c>
      <c r="C922" t="s">
        <v>557</v>
      </c>
      <c r="D922" t="s">
        <v>2581</v>
      </c>
      <c r="E922" t="s">
        <v>2811</v>
      </c>
      <c r="F922" s="451">
        <v>46174</v>
      </c>
      <c r="G922">
        <v>19647</v>
      </c>
      <c r="H922" t="s">
        <v>5050</v>
      </c>
      <c r="I922" t="s">
        <v>5191</v>
      </c>
      <c r="J922">
        <v>1</v>
      </c>
      <c r="K922" t="s">
        <v>4744</v>
      </c>
      <c r="L922">
        <v>15</v>
      </c>
      <c r="M922">
        <v>15</v>
      </c>
      <c r="N922" t="s">
        <v>5272</v>
      </c>
      <c r="O922" t="s">
        <v>464</v>
      </c>
    </row>
    <row r="923" spans="1:15" x14ac:dyDescent="0.3">
      <c r="A923">
        <v>237714</v>
      </c>
      <c r="B923">
        <v>105</v>
      </c>
      <c r="C923" t="s">
        <v>557</v>
      </c>
      <c r="D923" t="s">
        <v>2581</v>
      </c>
      <c r="E923" t="s">
        <v>2811</v>
      </c>
      <c r="F923" s="451">
        <v>46174</v>
      </c>
      <c r="G923">
        <v>23389</v>
      </c>
      <c r="H923" t="s">
        <v>4960</v>
      </c>
      <c r="I923" t="s">
        <v>5191</v>
      </c>
      <c r="J923">
        <v>4</v>
      </c>
      <c r="K923" t="s">
        <v>4744</v>
      </c>
      <c r="L923">
        <v>19.2</v>
      </c>
      <c r="M923">
        <v>4.8</v>
      </c>
      <c r="N923" t="s">
        <v>5272</v>
      </c>
      <c r="O923" t="s">
        <v>464</v>
      </c>
    </row>
    <row r="924" spans="1:15" x14ac:dyDescent="0.3">
      <c r="A924">
        <v>237714</v>
      </c>
      <c r="B924">
        <v>105</v>
      </c>
      <c r="C924" t="s">
        <v>557</v>
      </c>
      <c r="D924" t="s">
        <v>2581</v>
      </c>
      <c r="E924" t="s">
        <v>2811</v>
      </c>
      <c r="F924" s="451">
        <v>46174</v>
      </c>
      <c r="G924">
        <v>24037</v>
      </c>
      <c r="H924" t="s">
        <v>5233</v>
      </c>
      <c r="I924" t="s">
        <v>5191</v>
      </c>
      <c r="J924">
        <v>2</v>
      </c>
      <c r="K924" t="s">
        <v>4744</v>
      </c>
      <c r="L924">
        <v>35.6</v>
      </c>
      <c r="M924">
        <v>17.8</v>
      </c>
      <c r="N924" t="s">
        <v>5272</v>
      </c>
      <c r="O924" t="s">
        <v>464</v>
      </c>
    </row>
    <row r="925" spans="1:15" x14ac:dyDescent="0.3">
      <c r="A925">
        <v>237714</v>
      </c>
      <c r="B925">
        <v>105</v>
      </c>
      <c r="C925" t="s">
        <v>557</v>
      </c>
      <c r="D925" t="s">
        <v>2581</v>
      </c>
      <c r="E925" t="s">
        <v>2811</v>
      </c>
      <c r="F925" s="451">
        <v>46174</v>
      </c>
      <c r="G925">
        <v>19787</v>
      </c>
      <c r="H925" t="s">
        <v>4793</v>
      </c>
      <c r="I925" t="s">
        <v>5191</v>
      </c>
      <c r="J925">
        <v>6</v>
      </c>
      <c r="K925" t="s">
        <v>4744</v>
      </c>
      <c r="L925">
        <v>37.200000000000003</v>
      </c>
      <c r="M925">
        <v>6.2</v>
      </c>
      <c r="N925" t="s">
        <v>5272</v>
      </c>
      <c r="O925" t="s">
        <v>464</v>
      </c>
    </row>
    <row r="926" spans="1:15" x14ac:dyDescent="0.3">
      <c r="A926">
        <v>237714</v>
      </c>
      <c r="B926">
        <v>105</v>
      </c>
      <c r="C926" t="s">
        <v>557</v>
      </c>
      <c r="D926" t="s">
        <v>2581</v>
      </c>
      <c r="E926" t="s">
        <v>2811</v>
      </c>
      <c r="F926" s="451">
        <v>46174</v>
      </c>
      <c r="G926">
        <v>19505</v>
      </c>
      <c r="H926" t="s">
        <v>4872</v>
      </c>
      <c r="I926" t="s">
        <v>5191</v>
      </c>
      <c r="J926">
        <v>5</v>
      </c>
      <c r="K926" t="s">
        <v>4744</v>
      </c>
      <c r="L926">
        <v>55</v>
      </c>
      <c r="M926">
        <v>11</v>
      </c>
      <c r="N926" t="s">
        <v>5272</v>
      </c>
      <c r="O926" t="s">
        <v>464</v>
      </c>
    </row>
    <row r="927" spans="1:15" x14ac:dyDescent="0.3">
      <c r="A927">
        <v>237714</v>
      </c>
      <c r="B927">
        <v>105</v>
      </c>
      <c r="C927" t="s">
        <v>557</v>
      </c>
      <c r="D927" t="s">
        <v>2581</v>
      </c>
      <c r="E927" t="s">
        <v>2811</v>
      </c>
      <c r="F927" s="451">
        <v>46174</v>
      </c>
      <c r="G927">
        <v>19617</v>
      </c>
      <c r="H927" t="s">
        <v>5071</v>
      </c>
      <c r="I927" t="s">
        <v>5191</v>
      </c>
      <c r="J927">
        <v>0.5</v>
      </c>
      <c r="K927" t="s">
        <v>4744</v>
      </c>
      <c r="L927">
        <v>17</v>
      </c>
      <c r="M927">
        <v>34</v>
      </c>
      <c r="N927" t="s">
        <v>5272</v>
      </c>
      <c r="O927" t="s">
        <v>464</v>
      </c>
    </row>
    <row r="928" spans="1:15" x14ac:dyDescent="0.3">
      <c r="A928">
        <v>237714</v>
      </c>
      <c r="B928">
        <v>105</v>
      </c>
      <c r="C928" t="s">
        <v>557</v>
      </c>
      <c r="D928" t="s">
        <v>2581</v>
      </c>
      <c r="E928" t="s">
        <v>2811</v>
      </c>
      <c r="F928" s="451">
        <v>46174</v>
      </c>
      <c r="G928">
        <v>23195</v>
      </c>
      <c r="H928" t="s">
        <v>5051</v>
      </c>
      <c r="I928" t="s">
        <v>5191</v>
      </c>
      <c r="J928">
        <v>0.4</v>
      </c>
      <c r="K928" t="s">
        <v>4744</v>
      </c>
      <c r="L928">
        <v>3.4</v>
      </c>
      <c r="M928">
        <v>8.5</v>
      </c>
      <c r="N928" t="s">
        <v>5272</v>
      </c>
      <c r="O928" t="s">
        <v>464</v>
      </c>
    </row>
    <row r="929" spans="1:15" x14ac:dyDescent="0.3">
      <c r="A929">
        <v>237714</v>
      </c>
      <c r="B929">
        <v>105</v>
      </c>
      <c r="C929" t="s">
        <v>557</v>
      </c>
      <c r="D929" t="s">
        <v>2581</v>
      </c>
      <c r="E929" t="s">
        <v>2811</v>
      </c>
      <c r="F929" s="451">
        <v>46174</v>
      </c>
      <c r="G929">
        <v>19502</v>
      </c>
      <c r="H929" t="s">
        <v>4871</v>
      </c>
      <c r="I929" t="s">
        <v>5191</v>
      </c>
      <c r="J929">
        <v>2</v>
      </c>
      <c r="K929" t="s">
        <v>4744</v>
      </c>
      <c r="L929">
        <v>30</v>
      </c>
      <c r="M929">
        <v>15</v>
      </c>
      <c r="N929" t="s">
        <v>5272</v>
      </c>
      <c r="O929" t="s">
        <v>464</v>
      </c>
    </row>
    <row r="930" spans="1:15" x14ac:dyDescent="0.3">
      <c r="A930">
        <v>237714</v>
      </c>
      <c r="B930">
        <v>105</v>
      </c>
      <c r="C930" t="s">
        <v>557</v>
      </c>
      <c r="D930" t="s">
        <v>2581</v>
      </c>
      <c r="E930" t="s">
        <v>2811</v>
      </c>
      <c r="F930" s="451">
        <v>46174</v>
      </c>
      <c r="G930">
        <v>23113</v>
      </c>
      <c r="H930" t="s">
        <v>5074</v>
      </c>
      <c r="I930" t="s">
        <v>5191</v>
      </c>
      <c r="J930">
        <v>0.5</v>
      </c>
      <c r="K930" t="s">
        <v>4744</v>
      </c>
      <c r="L930">
        <v>7.5</v>
      </c>
      <c r="M930">
        <v>15</v>
      </c>
      <c r="N930" t="s">
        <v>5272</v>
      </c>
      <c r="O930" t="s">
        <v>464</v>
      </c>
    </row>
    <row r="931" spans="1:15" x14ac:dyDescent="0.3">
      <c r="A931">
        <v>237714</v>
      </c>
      <c r="B931">
        <v>105</v>
      </c>
      <c r="C931" t="s">
        <v>557</v>
      </c>
      <c r="D931" t="s">
        <v>2581</v>
      </c>
      <c r="E931" t="s">
        <v>2811</v>
      </c>
      <c r="F931" s="451">
        <v>46174</v>
      </c>
      <c r="G931">
        <v>19507</v>
      </c>
      <c r="H931" t="s">
        <v>4853</v>
      </c>
      <c r="I931" t="s">
        <v>5191</v>
      </c>
      <c r="J931">
        <v>1.4</v>
      </c>
      <c r="K931" t="s">
        <v>4744</v>
      </c>
      <c r="L931">
        <v>21</v>
      </c>
      <c r="M931">
        <v>15</v>
      </c>
      <c r="N931" t="s">
        <v>5272</v>
      </c>
      <c r="O931" t="s">
        <v>464</v>
      </c>
    </row>
    <row r="932" spans="1:15" x14ac:dyDescent="0.3">
      <c r="A932">
        <v>237714</v>
      </c>
      <c r="B932">
        <v>105</v>
      </c>
      <c r="C932" t="s">
        <v>557</v>
      </c>
      <c r="D932" t="s">
        <v>2581</v>
      </c>
      <c r="E932" t="s">
        <v>2811</v>
      </c>
      <c r="F932" s="451">
        <v>46174</v>
      </c>
      <c r="G932">
        <v>19472</v>
      </c>
      <c r="H932" t="s">
        <v>4906</v>
      </c>
      <c r="I932" t="s">
        <v>5191</v>
      </c>
      <c r="J932">
        <v>2</v>
      </c>
      <c r="K932" t="s">
        <v>4744</v>
      </c>
      <c r="L932">
        <v>36</v>
      </c>
      <c r="M932">
        <v>18</v>
      </c>
      <c r="N932" t="s">
        <v>5272</v>
      </c>
      <c r="O932" t="s">
        <v>464</v>
      </c>
    </row>
    <row r="933" spans="1:15" x14ac:dyDescent="0.3">
      <c r="A933">
        <v>237714</v>
      </c>
      <c r="B933">
        <v>105</v>
      </c>
      <c r="C933" t="s">
        <v>557</v>
      </c>
      <c r="D933" t="s">
        <v>2581</v>
      </c>
      <c r="E933" t="s">
        <v>2811</v>
      </c>
      <c r="F933" s="451">
        <v>46174</v>
      </c>
      <c r="G933">
        <v>23359</v>
      </c>
      <c r="H933" t="s">
        <v>4767</v>
      </c>
      <c r="I933" t="s">
        <v>5191</v>
      </c>
      <c r="J933">
        <v>5</v>
      </c>
      <c r="K933" t="s">
        <v>4744</v>
      </c>
      <c r="L933">
        <v>11</v>
      </c>
      <c r="M933">
        <v>2.2000000000000002</v>
      </c>
      <c r="N933" t="s">
        <v>5272</v>
      </c>
      <c r="O933" t="s">
        <v>464</v>
      </c>
    </row>
    <row r="934" spans="1:15" x14ac:dyDescent="0.3">
      <c r="A934">
        <v>237714</v>
      </c>
      <c r="B934">
        <v>105</v>
      </c>
      <c r="C934" t="s">
        <v>557</v>
      </c>
      <c r="D934" t="s">
        <v>2581</v>
      </c>
      <c r="E934" t="s">
        <v>2811</v>
      </c>
      <c r="F934" s="451">
        <v>46174</v>
      </c>
      <c r="G934">
        <v>19480</v>
      </c>
      <c r="H934" t="s">
        <v>5119</v>
      </c>
      <c r="I934" t="s">
        <v>5191</v>
      </c>
      <c r="J934">
        <v>1</v>
      </c>
      <c r="K934" t="s">
        <v>4744</v>
      </c>
      <c r="L934">
        <v>17</v>
      </c>
      <c r="M934">
        <v>17</v>
      </c>
      <c r="N934" t="s">
        <v>5272</v>
      </c>
      <c r="O934" t="s">
        <v>464</v>
      </c>
    </row>
    <row r="935" spans="1:15" x14ac:dyDescent="0.3">
      <c r="A935">
        <v>237712</v>
      </c>
      <c r="B935">
        <v>105</v>
      </c>
      <c r="C935" t="s">
        <v>557</v>
      </c>
      <c r="D935" t="s">
        <v>2812</v>
      </c>
      <c r="E935" t="s">
        <v>2813</v>
      </c>
      <c r="F935" s="451">
        <v>46174</v>
      </c>
      <c r="G935">
        <v>26366</v>
      </c>
      <c r="H935" t="s">
        <v>5301</v>
      </c>
      <c r="I935" t="s">
        <v>5215</v>
      </c>
      <c r="J935">
        <v>6</v>
      </c>
      <c r="K935" t="s">
        <v>4736</v>
      </c>
      <c r="L935">
        <v>414</v>
      </c>
      <c r="M935">
        <v>69</v>
      </c>
      <c r="N935" t="s">
        <v>5302</v>
      </c>
      <c r="O935" t="s">
        <v>464</v>
      </c>
    </row>
    <row r="936" spans="1:15" x14ac:dyDescent="0.3">
      <c r="A936">
        <v>237702</v>
      </c>
      <c r="B936">
        <v>105</v>
      </c>
      <c r="C936" t="s">
        <v>557</v>
      </c>
      <c r="D936" t="s">
        <v>2605</v>
      </c>
      <c r="E936" t="s">
        <v>2814</v>
      </c>
      <c r="F936" s="451">
        <v>46174</v>
      </c>
      <c r="G936">
        <v>18085</v>
      </c>
      <c r="H936" t="s">
        <v>4973</v>
      </c>
      <c r="I936" t="s">
        <v>5222</v>
      </c>
      <c r="J936">
        <v>1</v>
      </c>
      <c r="K936" t="s">
        <v>4805</v>
      </c>
      <c r="L936">
        <v>47.6</v>
      </c>
      <c r="M936">
        <v>47.6</v>
      </c>
      <c r="N936" t="s">
        <v>5303</v>
      </c>
      <c r="O936" t="s">
        <v>464</v>
      </c>
    </row>
    <row r="937" spans="1:15" x14ac:dyDescent="0.3">
      <c r="A937">
        <v>237702</v>
      </c>
      <c r="B937">
        <v>105</v>
      </c>
      <c r="C937" t="s">
        <v>557</v>
      </c>
      <c r="D937" t="s">
        <v>2605</v>
      </c>
      <c r="E937" t="s">
        <v>2814</v>
      </c>
      <c r="F937" s="451">
        <v>46174</v>
      </c>
      <c r="G937">
        <v>18253</v>
      </c>
      <c r="H937" t="s">
        <v>4969</v>
      </c>
      <c r="I937" t="s">
        <v>5222</v>
      </c>
      <c r="J937">
        <v>6</v>
      </c>
      <c r="K937" t="s">
        <v>4805</v>
      </c>
      <c r="L937">
        <v>166.2</v>
      </c>
      <c r="M937">
        <v>27.7</v>
      </c>
      <c r="N937" t="s">
        <v>5303</v>
      </c>
      <c r="O937" t="s">
        <v>464</v>
      </c>
    </row>
    <row r="938" spans="1:15" x14ac:dyDescent="0.3">
      <c r="A938">
        <v>237702</v>
      </c>
      <c r="B938">
        <v>105</v>
      </c>
      <c r="C938" t="s">
        <v>557</v>
      </c>
      <c r="D938" t="s">
        <v>2605</v>
      </c>
      <c r="E938" t="s">
        <v>2814</v>
      </c>
      <c r="F938" s="451">
        <v>46174</v>
      </c>
      <c r="G938">
        <v>17878</v>
      </c>
      <c r="H938" t="s">
        <v>4926</v>
      </c>
      <c r="I938" t="s">
        <v>5222</v>
      </c>
      <c r="J938">
        <v>2</v>
      </c>
      <c r="K938" t="s">
        <v>4736</v>
      </c>
      <c r="L938">
        <v>71.8</v>
      </c>
      <c r="M938">
        <v>35.9</v>
      </c>
      <c r="N938" t="s">
        <v>5303</v>
      </c>
      <c r="O938" t="s">
        <v>464</v>
      </c>
    </row>
    <row r="939" spans="1:15" x14ac:dyDescent="0.3">
      <c r="A939">
        <v>237699</v>
      </c>
      <c r="B939">
        <v>105</v>
      </c>
      <c r="C939" t="s">
        <v>557</v>
      </c>
      <c r="D939" t="s">
        <v>2607</v>
      </c>
      <c r="E939" t="s">
        <v>2815</v>
      </c>
      <c r="F939" s="451">
        <v>46174</v>
      </c>
      <c r="G939">
        <v>26135</v>
      </c>
      <c r="H939" t="s">
        <v>4801</v>
      </c>
      <c r="I939" t="s">
        <v>5191</v>
      </c>
      <c r="J939">
        <v>11.3</v>
      </c>
      <c r="K939" t="s">
        <v>4744</v>
      </c>
      <c r="L939">
        <v>1015.87</v>
      </c>
      <c r="M939">
        <v>89.9</v>
      </c>
      <c r="N939" t="s">
        <v>5304</v>
      </c>
      <c r="O939" t="s">
        <v>464</v>
      </c>
    </row>
    <row r="940" spans="1:15" x14ac:dyDescent="0.3">
      <c r="A940">
        <v>237698</v>
      </c>
      <c r="B940">
        <v>105</v>
      </c>
      <c r="C940" t="s">
        <v>557</v>
      </c>
      <c r="D940" t="s">
        <v>2577</v>
      </c>
      <c r="E940" t="s">
        <v>2816</v>
      </c>
      <c r="F940" s="451">
        <v>46174</v>
      </c>
      <c r="G940">
        <v>24497</v>
      </c>
      <c r="H940" t="s">
        <v>5231</v>
      </c>
      <c r="I940" t="s">
        <v>5232</v>
      </c>
      <c r="J940">
        <v>1</v>
      </c>
      <c r="K940" t="s">
        <v>4736</v>
      </c>
      <c r="L940">
        <v>139.02000000000001</v>
      </c>
      <c r="M940">
        <v>139.02000000000001</v>
      </c>
      <c r="N940" t="s">
        <v>5305</v>
      </c>
      <c r="O940" t="s">
        <v>464</v>
      </c>
    </row>
    <row r="941" spans="1:15" x14ac:dyDescent="0.3">
      <c r="A941">
        <v>237516</v>
      </c>
      <c r="B941">
        <v>105</v>
      </c>
      <c r="C941" t="s">
        <v>557</v>
      </c>
      <c r="D941" t="s">
        <v>2590</v>
      </c>
      <c r="E941" t="s">
        <v>2817</v>
      </c>
      <c r="F941" s="451">
        <v>46181</v>
      </c>
      <c r="G941">
        <v>18595</v>
      </c>
      <c r="H941" t="s">
        <v>5092</v>
      </c>
      <c r="I941" t="s">
        <v>5222</v>
      </c>
      <c r="J941">
        <v>1</v>
      </c>
      <c r="K941" t="s">
        <v>4738</v>
      </c>
      <c r="L941">
        <v>150.47999999999999</v>
      </c>
      <c r="M941">
        <v>150.47999999999999</v>
      </c>
      <c r="N941" t="s">
        <v>5222</v>
      </c>
      <c r="O941" t="s">
        <v>464</v>
      </c>
    </row>
    <row r="942" spans="1:15" x14ac:dyDescent="0.3">
      <c r="A942">
        <v>237516</v>
      </c>
      <c r="B942">
        <v>105</v>
      </c>
      <c r="C942" t="s">
        <v>557</v>
      </c>
      <c r="D942" t="s">
        <v>2590</v>
      </c>
      <c r="E942" t="s">
        <v>2817</v>
      </c>
      <c r="F942" s="451">
        <v>46181</v>
      </c>
      <c r="G942">
        <v>18636</v>
      </c>
      <c r="H942" t="s">
        <v>4964</v>
      </c>
      <c r="I942" t="s">
        <v>5222</v>
      </c>
      <c r="J942">
        <v>2</v>
      </c>
      <c r="K942" t="s">
        <v>4965</v>
      </c>
      <c r="L942">
        <v>703.48</v>
      </c>
      <c r="M942">
        <v>351.74</v>
      </c>
      <c r="N942" t="s">
        <v>5222</v>
      </c>
      <c r="O942" t="s">
        <v>464</v>
      </c>
    </row>
    <row r="943" spans="1:15" x14ac:dyDescent="0.3">
      <c r="A943">
        <v>237516</v>
      </c>
      <c r="B943">
        <v>105</v>
      </c>
      <c r="C943" t="s">
        <v>557</v>
      </c>
      <c r="D943" t="s">
        <v>2590</v>
      </c>
      <c r="E943" t="s">
        <v>2817</v>
      </c>
      <c r="F943" s="451">
        <v>46181</v>
      </c>
      <c r="G943">
        <v>17905</v>
      </c>
      <c r="H943" t="s">
        <v>5085</v>
      </c>
      <c r="I943" t="s">
        <v>5222</v>
      </c>
      <c r="J943">
        <v>6</v>
      </c>
      <c r="K943" t="s">
        <v>4738</v>
      </c>
      <c r="L943">
        <v>119.82</v>
      </c>
      <c r="M943">
        <v>19.97</v>
      </c>
      <c r="N943" t="s">
        <v>5222</v>
      </c>
      <c r="O943" t="s">
        <v>464</v>
      </c>
    </row>
    <row r="944" spans="1:15" x14ac:dyDescent="0.3">
      <c r="A944">
        <v>237516</v>
      </c>
      <c r="B944">
        <v>105</v>
      </c>
      <c r="C944" t="s">
        <v>557</v>
      </c>
      <c r="D944" t="s">
        <v>2590</v>
      </c>
      <c r="E944" t="s">
        <v>2817</v>
      </c>
      <c r="F944" s="451">
        <v>46181</v>
      </c>
      <c r="G944">
        <v>17886</v>
      </c>
      <c r="H944" t="s">
        <v>5083</v>
      </c>
      <c r="I944" t="s">
        <v>5222</v>
      </c>
      <c r="J944">
        <v>5</v>
      </c>
      <c r="K944" t="s">
        <v>4738</v>
      </c>
      <c r="L944">
        <v>138.35</v>
      </c>
      <c r="M944">
        <v>27.67</v>
      </c>
      <c r="N944" t="s">
        <v>5222</v>
      </c>
      <c r="O944" t="s">
        <v>464</v>
      </c>
    </row>
    <row r="945" spans="1:15" x14ac:dyDescent="0.3">
      <c r="A945">
        <v>237292</v>
      </c>
      <c r="B945">
        <v>105</v>
      </c>
      <c r="C945" t="s">
        <v>557</v>
      </c>
      <c r="D945" t="s">
        <v>2678</v>
      </c>
      <c r="E945" t="s">
        <v>2818</v>
      </c>
      <c r="F945" s="451">
        <v>46174</v>
      </c>
      <c r="G945">
        <v>27689</v>
      </c>
      <c r="H945" t="s">
        <v>5139</v>
      </c>
      <c r="I945" t="s">
        <v>5191</v>
      </c>
      <c r="J945">
        <v>150</v>
      </c>
      <c r="K945" t="s">
        <v>4749</v>
      </c>
      <c r="L945">
        <v>142.5</v>
      </c>
      <c r="M945">
        <v>0.95</v>
      </c>
      <c r="N945" t="s">
        <v>5272</v>
      </c>
      <c r="O945" t="s">
        <v>464</v>
      </c>
    </row>
    <row r="946" spans="1:15" x14ac:dyDescent="0.3">
      <c r="A946">
        <v>236935</v>
      </c>
      <c r="B946">
        <v>105</v>
      </c>
      <c r="C946" t="s">
        <v>557</v>
      </c>
      <c r="D946" t="s">
        <v>2597</v>
      </c>
      <c r="E946" t="s">
        <v>2819</v>
      </c>
      <c r="F946" s="451">
        <v>46174</v>
      </c>
      <c r="G946">
        <v>19017</v>
      </c>
      <c r="H946" t="s">
        <v>5174</v>
      </c>
      <c r="I946" t="s">
        <v>5191</v>
      </c>
      <c r="J946">
        <v>5.7</v>
      </c>
      <c r="K946" t="s">
        <v>4744</v>
      </c>
      <c r="L946">
        <v>91.2</v>
      </c>
      <c r="M946">
        <v>16</v>
      </c>
      <c r="N946" t="s">
        <v>5272</v>
      </c>
      <c r="O946" t="s">
        <v>464</v>
      </c>
    </row>
    <row r="947" spans="1:15" x14ac:dyDescent="0.3">
      <c r="A947">
        <v>236935</v>
      </c>
      <c r="B947">
        <v>105</v>
      </c>
      <c r="C947" t="s">
        <v>557</v>
      </c>
      <c r="D947" t="s">
        <v>2597</v>
      </c>
      <c r="E947" t="s">
        <v>2819</v>
      </c>
      <c r="F947" s="451">
        <v>46174</v>
      </c>
      <c r="G947">
        <v>24116</v>
      </c>
      <c r="H947" t="s">
        <v>4777</v>
      </c>
      <c r="I947" t="s">
        <v>5191</v>
      </c>
      <c r="J947">
        <v>5</v>
      </c>
      <c r="K947" t="s">
        <v>4744</v>
      </c>
      <c r="L947">
        <v>219.5</v>
      </c>
      <c r="M947">
        <v>43.9</v>
      </c>
      <c r="N947" t="s">
        <v>5272</v>
      </c>
      <c r="O947" t="s">
        <v>464</v>
      </c>
    </row>
    <row r="948" spans="1:15" x14ac:dyDescent="0.3">
      <c r="A948">
        <v>236935</v>
      </c>
      <c r="B948">
        <v>105</v>
      </c>
      <c r="C948" t="s">
        <v>557</v>
      </c>
      <c r="D948" t="s">
        <v>2597</v>
      </c>
      <c r="E948" t="s">
        <v>2819</v>
      </c>
      <c r="F948" s="451">
        <v>46174</v>
      </c>
      <c r="G948">
        <v>19041</v>
      </c>
      <c r="H948" t="s">
        <v>4762</v>
      </c>
      <c r="I948" t="s">
        <v>5191</v>
      </c>
      <c r="J948">
        <v>25.5</v>
      </c>
      <c r="K948" t="s">
        <v>4744</v>
      </c>
      <c r="L948">
        <v>379.95</v>
      </c>
      <c r="M948">
        <v>14.9</v>
      </c>
      <c r="N948" t="s">
        <v>5272</v>
      </c>
      <c r="O948" t="s">
        <v>464</v>
      </c>
    </row>
    <row r="949" spans="1:15" x14ac:dyDescent="0.3">
      <c r="A949">
        <v>236935</v>
      </c>
      <c r="B949">
        <v>105</v>
      </c>
      <c r="C949" t="s">
        <v>557</v>
      </c>
      <c r="D949" t="s">
        <v>2597</v>
      </c>
      <c r="E949" t="s">
        <v>2819</v>
      </c>
      <c r="F949" s="451">
        <v>46174</v>
      </c>
      <c r="G949">
        <v>24278</v>
      </c>
      <c r="H949" t="s">
        <v>4901</v>
      </c>
      <c r="I949" t="s">
        <v>5191</v>
      </c>
      <c r="J949">
        <v>6.5</v>
      </c>
      <c r="K949" t="s">
        <v>4744</v>
      </c>
      <c r="L949">
        <v>61.75</v>
      </c>
      <c r="M949">
        <v>9.5</v>
      </c>
      <c r="N949" t="s">
        <v>5272</v>
      </c>
      <c r="O949" t="s">
        <v>464</v>
      </c>
    </row>
    <row r="950" spans="1:15" x14ac:dyDescent="0.3">
      <c r="A950">
        <v>236935</v>
      </c>
      <c r="B950">
        <v>105</v>
      </c>
      <c r="C950" t="s">
        <v>557</v>
      </c>
      <c r="D950" t="s">
        <v>2597</v>
      </c>
      <c r="E950" t="s">
        <v>2819</v>
      </c>
      <c r="F950" s="451">
        <v>46174</v>
      </c>
      <c r="G950">
        <v>24096</v>
      </c>
      <c r="H950" t="s">
        <v>4771</v>
      </c>
      <c r="I950" t="s">
        <v>5191</v>
      </c>
      <c r="J950">
        <v>51.3</v>
      </c>
      <c r="K950" t="s">
        <v>4744</v>
      </c>
      <c r="L950">
        <v>2154.6</v>
      </c>
      <c r="M950">
        <v>42</v>
      </c>
      <c r="N950" t="s">
        <v>5272</v>
      </c>
      <c r="O950" t="s">
        <v>464</v>
      </c>
    </row>
    <row r="951" spans="1:15" x14ac:dyDescent="0.3">
      <c r="A951">
        <v>236934</v>
      </c>
      <c r="B951">
        <v>105</v>
      </c>
      <c r="C951" t="s">
        <v>557</v>
      </c>
      <c r="D951" t="s">
        <v>2561</v>
      </c>
      <c r="E951" t="s">
        <v>2820</v>
      </c>
      <c r="F951" s="451">
        <v>46174</v>
      </c>
      <c r="G951">
        <v>20501</v>
      </c>
      <c r="H951" t="s">
        <v>4760</v>
      </c>
      <c r="I951" t="s">
        <v>5191</v>
      </c>
      <c r="J951">
        <v>30</v>
      </c>
      <c r="K951" t="s">
        <v>4744</v>
      </c>
      <c r="L951">
        <v>659.7</v>
      </c>
      <c r="M951">
        <v>21.99</v>
      </c>
      <c r="N951" t="s">
        <v>5272</v>
      </c>
      <c r="O951" t="s">
        <v>464</v>
      </c>
    </row>
    <row r="952" spans="1:15" x14ac:dyDescent="0.3">
      <c r="A952">
        <v>236933</v>
      </c>
      <c r="B952">
        <v>105</v>
      </c>
      <c r="C952" t="s">
        <v>557</v>
      </c>
      <c r="D952" t="s">
        <v>2563</v>
      </c>
      <c r="E952" t="s">
        <v>2821</v>
      </c>
      <c r="F952" s="451">
        <v>46175</v>
      </c>
      <c r="G952">
        <v>19634</v>
      </c>
      <c r="H952" t="s">
        <v>4792</v>
      </c>
      <c r="I952" t="s">
        <v>5191</v>
      </c>
      <c r="J952">
        <v>3.2</v>
      </c>
      <c r="K952" t="s">
        <v>4744</v>
      </c>
      <c r="L952">
        <v>22.27</v>
      </c>
      <c r="M952">
        <v>6.9593749999999996</v>
      </c>
      <c r="N952" t="s">
        <v>5272</v>
      </c>
      <c r="O952" t="s">
        <v>464</v>
      </c>
    </row>
    <row r="953" spans="1:15" x14ac:dyDescent="0.3">
      <c r="A953">
        <v>236933</v>
      </c>
      <c r="B953">
        <v>105</v>
      </c>
      <c r="C953" t="s">
        <v>557</v>
      </c>
      <c r="D953" t="s">
        <v>2563</v>
      </c>
      <c r="E953" t="s">
        <v>2821</v>
      </c>
      <c r="F953" s="451">
        <v>46175</v>
      </c>
      <c r="G953">
        <v>23113</v>
      </c>
      <c r="H953" t="s">
        <v>5074</v>
      </c>
      <c r="I953" t="s">
        <v>5191</v>
      </c>
      <c r="J953">
        <v>1.1000000000000001</v>
      </c>
      <c r="K953" t="s">
        <v>4744</v>
      </c>
      <c r="L953">
        <v>11.97</v>
      </c>
      <c r="M953">
        <v>10.881818000000001</v>
      </c>
      <c r="N953" t="s">
        <v>5272</v>
      </c>
      <c r="O953" t="s">
        <v>464</v>
      </c>
    </row>
    <row r="954" spans="1:15" x14ac:dyDescent="0.3">
      <c r="A954">
        <v>236933</v>
      </c>
      <c r="B954">
        <v>105</v>
      </c>
      <c r="C954" t="s">
        <v>557</v>
      </c>
      <c r="D954" t="s">
        <v>2563</v>
      </c>
      <c r="E954" t="s">
        <v>2821</v>
      </c>
      <c r="F954" s="451">
        <v>46175</v>
      </c>
      <c r="G954">
        <v>19623</v>
      </c>
      <c r="H954" t="s">
        <v>4764</v>
      </c>
      <c r="I954" t="s">
        <v>5191</v>
      </c>
      <c r="J954">
        <v>8.1</v>
      </c>
      <c r="K954" t="s">
        <v>4744</v>
      </c>
      <c r="L954">
        <v>45.68</v>
      </c>
      <c r="M954">
        <v>5.6395059999999999</v>
      </c>
      <c r="N954" t="s">
        <v>5272</v>
      </c>
      <c r="O954" t="s">
        <v>464</v>
      </c>
    </row>
    <row r="955" spans="1:15" x14ac:dyDescent="0.3">
      <c r="A955">
        <v>236933</v>
      </c>
      <c r="B955">
        <v>105</v>
      </c>
      <c r="C955" t="s">
        <v>557</v>
      </c>
      <c r="D955" t="s">
        <v>2563</v>
      </c>
      <c r="E955" t="s">
        <v>2821</v>
      </c>
      <c r="F955" s="451">
        <v>46175</v>
      </c>
      <c r="G955">
        <v>19472</v>
      </c>
      <c r="H955" t="s">
        <v>4906</v>
      </c>
      <c r="I955" t="s">
        <v>5191</v>
      </c>
      <c r="J955">
        <v>1.6</v>
      </c>
      <c r="K955" t="s">
        <v>4744</v>
      </c>
      <c r="L955">
        <v>37.119999999999997</v>
      </c>
      <c r="M955">
        <v>23.2</v>
      </c>
      <c r="N955" t="s">
        <v>5272</v>
      </c>
      <c r="O955" t="s">
        <v>464</v>
      </c>
    </row>
    <row r="956" spans="1:15" x14ac:dyDescent="0.3">
      <c r="A956">
        <v>236933</v>
      </c>
      <c r="B956">
        <v>105</v>
      </c>
      <c r="C956" t="s">
        <v>557</v>
      </c>
      <c r="D956" t="s">
        <v>2563</v>
      </c>
      <c r="E956" t="s">
        <v>2821</v>
      </c>
      <c r="F956" s="451">
        <v>46175</v>
      </c>
      <c r="G956">
        <v>19492</v>
      </c>
      <c r="H956" t="s">
        <v>4937</v>
      </c>
      <c r="I956" t="s">
        <v>5191</v>
      </c>
      <c r="J956">
        <v>1.5</v>
      </c>
      <c r="K956" t="s">
        <v>4744</v>
      </c>
      <c r="L956">
        <v>31.53</v>
      </c>
      <c r="M956">
        <v>21.02</v>
      </c>
      <c r="N956" t="s">
        <v>5272</v>
      </c>
      <c r="O956" t="s">
        <v>464</v>
      </c>
    </row>
    <row r="957" spans="1:15" x14ac:dyDescent="0.3">
      <c r="A957">
        <v>236931</v>
      </c>
      <c r="B957">
        <v>105</v>
      </c>
      <c r="C957" t="s">
        <v>557</v>
      </c>
      <c r="D957" t="s">
        <v>2680</v>
      </c>
      <c r="E957" t="s">
        <v>2822</v>
      </c>
      <c r="F957" s="451">
        <v>46175</v>
      </c>
      <c r="G957">
        <v>24685</v>
      </c>
      <c r="H957" t="s">
        <v>5055</v>
      </c>
      <c r="I957" t="s">
        <v>5222</v>
      </c>
      <c r="J957">
        <v>1</v>
      </c>
      <c r="K957" t="s">
        <v>4805</v>
      </c>
      <c r="L957">
        <v>230</v>
      </c>
      <c r="M957">
        <v>230</v>
      </c>
      <c r="N957" t="s">
        <v>5222</v>
      </c>
      <c r="O957" t="s">
        <v>464</v>
      </c>
    </row>
    <row r="958" spans="1:15" x14ac:dyDescent="0.3">
      <c r="A958">
        <v>236929</v>
      </c>
      <c r="B958">
        <v>105</v>
      </c>
      <c r="C958" t="s">
        <v>557</v>
      </c>
      <c r="D958" t="s">
        <v>2605</v>
      </c>
      <c r="E958" t="s">
        <v>2823</v>
      </c>
      <c r="F958" s="451">
        <v>46175</v>
      </c>
      <c r="G958">
        <v>18085</v>
      </c>
      <c r="H958" t="s">
        <v>4973</v>
      </c>
      <c r="I958" t="s">
        <v>5222</v>
      </c>
      <c r="J958">
        <v>1</v>
      </c>
      <c r="K958" t="s">
        <v>4805</v>
      </c>
      <c r="L958">
        <v>47.6</v>
      </c>
      <c r="M958">
        <v>47.6</v>
      </c>
      <c r="N958" t="s">
        <v>5222</v>
      </c>
      <c r="O958" t="s">
        <v>464</v>
      </c>
    </row>
    <row r="959" spans="1:15" x14ac:dyDescent="0.3">
      <c r="A959">
        <v>236929</v>
      </c>
      <c r="B959">
        <v>105</v>
      </c>
      <c r="C959" t="s">
        <v>557</v>
      </c>
      <c r="D959" t="s">
        <v>2605</v>
      </c>
      <c r="E959" t="s">
        <v>2823</v>
      </c>
      <c r="F959" s="451">
        <v>46175</v>
      </c>
      <c r="G959">
        <v>18073</v>
      </c>
      <c r="H959" t="s">
        <v>4974</v>
      </c>
      <c r="I959" t="s">
        <v>5222</v>
      </c>
      <c r="J959">
        <v>1</v>
      </c>
      <c r="K959" t="s">
        <v>4805</v>
      </c>
      <c r="L959">
        <v>47.6</v>
      </c>
      <c r="M959">
        <v>47.6</v>
      </c>
      <c r="N959" t="s">
        <v>5222</v>
      </c>
      <c r="O959" t="s">
        <v>464</v>
      </c>
    </row>
    <row r="960" spans="1:15" x14ac:dyDescent="0.3">
      <c r="A960">
        <v>236929</v>
      </c>
      <c r="B960">
        <v>105</v>
      </c>
      <c r="C960" t="s">
        <v>557</v>
      </c>
      <c r="D960" t="s">
        <v>2605</v>
      </c>
      <c r="E960" t="s">
        <v>2823</v>
      </c>
      <c r="F960" s="451">
        <v>46175</v>
      </c>
      <c r="G960">
        <v>18293</v>
      </c>
      <c r="H960" t="s">
        <v>5034</v>
      </c>
      <c r="I960" t="s">
        <v>5222</v>
      </c>
      <c r="J960">
        <v>1</v>
      </c>
      <c r="K960" t="s">
        <v>4805</v>
      </c>
      <c r="L960">
        <v>119.9</v>
      </c>
      <c r="M960">
        <v>119.9</v>
      </c>
      <c r="N960" t="s">
        <v>5222</v>
      </c>
      <c r="O960" t="s">
        <v>464</v>
      </c>
    </row>
    <row r="961" spans="1:15" x14ac:dyDescent="0.3">
      <c r="A961">
        <v>236929</v>
      </c>
      <c r="B961">
        <v>105</v>
      </c>
      <c r="C961" t="s">
        <v>557</v>
      </c>
      <c r="D961" t="s">
        <v>2605</v>
      </c>
      <c r="E961" t="s">
        <v>2823</v>
      </c>
      <c r="F961" s="451">
        <v>46175</v>
      </c>
      <c r="G961">
        <v>18194</v>
      </c>
      <c r="H961" t="s">
        <v>4923</v>
      </c>
      <c r="I961" t="s">
        <v>5222</v>
      </c>
      <c r="J961">
        <v>1</v>
      </c>
      <c r="K961" t="s">
        <v>4805</v>
      </c>
      <c r="L961">
        <v>65.5</v>
      </c>
      <c r="M961">
        <v>65.5</v>
      </c>
      <c r="N961" t="s">
        <v>5222</v>
      </c>
      <c r="O961" t="s">
        <v>464</v>
      </c>
    </row>
    <row r="962" spans="1:15" x14ac:dyDescent="0.3">
      <c r="A962">
        <v>236929</v>
      </c>
      <c r="B962">
        <v>105</v>
      </c>
      <c r="C962" t="s">
        <v>557</v>
      </c>
      <c r="D962" t="s">
        <v>2605</v>
      </c>
      <c r="E962" t="s">
        <v>2823</v>
      </c>
      <c r="F962" s="451">
        <v>46175</v>
      </c>
      <c r="G962">
        <v>18253</v>
      </c>
      <c r="H962" t="s">
        <v>4969</v>
      </c>
      <c r="I962" t="s">
        <v>5222</v>
      </c>
      <c r="J962">
        <v>2</v>
      </c>
      <c r="K962" t="s">
        <v>4805</v>
      </c>
      <c r="L962">
        <v>55.2</v>
      </c>
      <c r="M962">
        <v>27.6</v>
      </c>
      <c r="N962" t="s">
        <v>5222</v>
      </c>
      <c r="O962" t="s">
        <v>464</v>
      </c>
    </row>
    <row r="963" spans="1:15" x14ac:dyDescent="0.3">
      <c r="A963">
        <v>236928</v>
      </c>
      <c r="B963">
        <v>105</v>
      </c>
      <c r="C963" t="s">
        <v>557</v>
      </c>
      <c r="D963" t="s">
        <v>2548</v>
      </c>
      <c r="E963" t="s">
        <v>2824</v>
      </c>
      <c r="F963" s="451">
        <v>46174</v>
      </c>
      <c r="G963">
        <v>20382</v>
      </c>
      <c r="H963" t="s">
        <v>4780</v>
      </c>
      <c r="I963" t="s">
        <v>5191</v>
      </c>
      <c r="J963">
        <v>20</v>
      </c>
      <c r="K963" t="s">
        <v>5238</v>
      </c>
      <c r="L963">
        <v>179.8</v>
      </c>
      <c r="M963">
        <v>8.99</v>
      </c>
      <c r="N963" t="s">
        <v>5272</v>
      </c>
      <c r="O963" t="s">
        <v>464</v>
      </c>
    </row>
    <row r="964" spans="1:15" x14ac:dyDescent="0.3">
      <c r="A964">
        <v>236927</v>
      </c>
      <c r="B964">
        <v>105</v>
      </c>
      <c r="C964" t="s">
        <v>557</v>
      </c>
      <c r="D964" t="s">
        <v>2548</v>
      </c>
      <c r="E964" t="s">
        <v>2825</v>
      </c>
      <c r="F964" s="451">
        <v>46174</v>
      </c>
      <c r="G964">
        <v>17573</v>
      </c>
      <c r="H964" t="s">
        <v>5306</v>
      </c>
      <c r="I964" t="s">
        <v>5188</v>
      </c>
      <c r="J964">
        <v>1</v>
      </c>
      <c r="K964" t="s">
        <v>4749</v>
      </c>
      <c r="L964">
        <v>74.900000000000006</v>
      </c>
      <c r="M964">
        <v>74.900000000000006</v>
      </c>
      <c r="N964" t="s">
        <v>5277</v>
      </c>
      <c r="O964" t="s">
        <v>464</v>
      </c>
    </row>
    <row r="965" spans="1:15" x14ac:dyDescent="0.3">
      <c r="A965">
        <v>236925</v>
      </c>
      <c r="B965">
        <v>105</v>
      </c>
      <c r="C965" t="s">
        <v>557</v>
      </c>
      <c r="D965" t="s">
        <v>2581</v>
      </c>
      <c r="E965" t="s">
        <v>2826</v>
      </c>
      <c r="F965" s="451">
        <v>46175</v>
      </c>
      <c r="G965">
        <v>23096</v>
      </c>
      <c r="H965" t="s">
        <v>5164</v>
      </c>
      <c r="I965" t="s">
        <v>5191</v>
      </c>
      <c r="J965">
        <v>60</v>
      </c>
      <c r="K965" t="s">
        <v>4736</v>
      </c>
      <c r="L965">
        <v>40.200000000000003</v>
      </c>
      <c r="M965">
        <v>0.67</v>
      </c>
      <c r="N965" t="s">
        <v>5272</v>
      </c>
      <c r="O965" t="s">
        <v>464</v>
      </c>
    </row>
    <row r="966" spans="1:15" x14ac:dyDescent="0.3">
      <c r="A966">
        <v>236925</v>
      </c>
      <c r="B966">
        <v>105</v>
      </c>
      <c r="C966" t="s">
        <v>557</v>
      </c>
      <c r="D966" t="s">
        <v>2581</v>
      </c>
      <c r="E966" t="s">
        <v>2826</v>
      </c>
      <c r="F966" s="451">
        <v>46175</v>
      </c>
      <c r="G966">
        <v>24099</v>
      </c>
      <c r="H966" t="s">
        <v>4933</v>
      </c>
      <c r="I966" t="s">
        <v>5191</v>
      </c>
      <c r="J966">
        <v>2</v>
      </c>
      <c r="K966" t="s">
        <v>4744</v>
      </c>
      <c r="L966">
        <v>36</v>
      </c>
      <c r="M966">
        <v>18</v>
      </c>
      <c r="N966" t="s">
        <v>5272</v>
      </c>
      <c r="O966" t="s">
        <v>464</v>
      </c>
    </row>
    <row r="967" spans="1:15" x14ac:dyDescent="0.3">
      <c r="A967">
        <v>236925</v>
      </c>
      <c r="B967">
        <v>105</v>
      </c>
      <c r="C967" t="s">
        <v>557</v>
      </c>
      <c r="D967" t="s">
        <v>2581</v>
      </c>
      <c r="E967" t="s">
        <v>2826</v>
      </c>
      <c r="F967" s="451">
        <v>46175</v>
      </c>
      <c r="G967">
        <v>19506</v>
      </c>
      <c r="H967" t="s">
        <v>5122</v>
      </c>
      <c r="I967" t="s">
        <v>5191</v>
      </c>
      <c r="J967">
        <v>0.4</v>
      </c>
      <c r="K967" t="s">
        <v>4744</v>
      </c>
      <c r="L967">
        <v>22</v>
      </c>
      <c r="M967">
        <v>55</v>
      </c>
      <c r="N967" t="s">
        <v>5272</v>
      </c>
      <c r="O967" t="s">
        <v>464</v>
      </c>
    </row>
    <row r="968" spans="1:15" x14ac:dyDescent="0.3">
      <c r="A968">
        <v>236925</v>
      </c>
      <c r="B968">
        <v>105</v>
      </c>
      <c r="C968" t="s">
        <v>557</v>
      </c>
      <c r="D968" t="s">
        <v>2581</v>
      </c>
      <c r="E968" t="s">
        <v>2826</v>
      </c>
      <c r="F968" s="451">
        <v>46175</v>
      </c>
      <c r="G968">
        <v>19632</v>
      </c>
      <c r="H968" t="s">
        <v>4936</v>
      </c>
      <c r="I968" t="s">
        <v>5191</v>
      </c>
      <c r="J968">
        <v>2</v>
      </c>
      <c r="K968" t="s">
        <v>4744</v>
      </c>
      <c r="L968">
        <v>9.8000000000000007</v>
      </c>
      <c r="M968">
        <v>4.9000000000000004</v>
      </c>
      <c r="N968" t="s">
        <v>5272</v>
      </c>
      <c r="O968" t="s">
        <v>464</v>
      </c>
    </row>
    <row r="969" spans="1:15" x14ac:dyDescent="0.3">
      <c r="A969">
        <v>236925</v>
      </c>
      <c r="B969">
        <v>105</v>
      </c>
      <c r="C969" t="s">
        <v>557</v>
      </c>
      <c r="D969" t="s">
        <v>2581</v>
      </c>
      <c r="E969" t="s">
        <v>2826</v>
      </c>
      <c r="F969" s="451">
        <v>46175</v>
      </c>
      <c r="G969">
        <v>19505</v>
      </c>
      <c r="H969" t="s">
        <v>4872</v>
      </c>
      <c r="I969" t="s">
        <v>5191</v>
      </c>
      <c r="J969">
        <v>4.5</v>
      </c>
      <c r="K969" t="s">
        <v>4744</v>
      </c>
      <c r="L969">
        <v>51.75</v>
      </c>
      <c r="M969">
        <v>11.5</v>
      </c>
      <c r="N969" t="s">
        <v>5272</v>
      </c>
      <c r="O969" t="s">
        <v>464</v>
      </c>
    </row>
    <row r="970" spans="1:15" x14ac:dyDescent="0.3">
      <c r="A970">
        <v>236925</v>
      </c>
      <c r="B970">
        <v>105</v>
      </c>
      <c r="C970" t="s">
        <v>557</v>
      </c>
      <c r="D970" t="s">
        <v>2581</v>
      </c>
      <c r="E970" t="s">
        <v>2826</v>
      </c>
      <c r="F970" s="451">
        <v>46175</v>
      </c>
      <c r="G970">
        <v>23390</v>
      </c>
      <c r="H970" t="s">
        <v>4873</v>
      </c>
      <c r="I970" t="s">
        <v>5191</v>
      </c>
      <c r="J970">
        <v>1</v>
      </c>
      <c r="K970" t="s">
        <v>4744</v>
      </c>
      <c r="L970">
        <v>8.5</v>
      </c>
      <c r="M970">
        <v>8.5</v>
      </c>
      <c r="N970" t="s">
        <v>5272</v>
      </c>
      <c r="O970" t="s">
        <v>464</v>
      </c>
    </row>
    <row r="971" spans="1:15" x14ac:dyDescent="0.3">
      <c r="A971">
        <v>236925</v>
      </c>
      <c r="B971">
        <v>105</v>
      </c>
      <c r="C971" t="s">
        <v>557</v>
      </c>
      <c r="D971" t="s">
        <v>2581</v>
      </c>
      <c r="E971" t="s">
        <v>2826</v>
      </c>
      <c r="F971" s="451">
        <v>46175</v>
      </c>
      <c r="G971">
        <v>24509</v>
      </c>
      <c r="H971" t="s">
        <v>4788</v>
      </c>
      <c r="I971" t="s">
        <v>5191</v>
      </c>
      <c r="J971">
        <v>7</v>
      </c>
      <c r="K971" t="s">
        <v>4744</v>
      </c>
      <c r="L971">
        <v>31.5</v>
      </c>
      <c r="M971">
        <v>4.5</v>
      </c>
      <c r="N971" t="s">
        <v>5272</v>
      </c>
      <c r="O971" t="s">
        <v>464</v>
      </c>
    </row>
    <row r="972" spans="1:15" x14ac:dyDescent="0.3">
      <c r="A972">
        <v>236925</v>
      </c>
      <c r="B972">
        <v>105</v>
      </c>
      <c r="C972" t="s">
        <v>557</v>
      </c>
      <c r="D972" t="s">
        <v>2581</v>
      </c>
      <c r="E972" t="s">
        <v>2826</v>
      </c>
      <c r="F972" s="451">
        <v>46175</v>
      </c>
      <c r="G972">
        <v>19589</v>
      </c>
      <c r="H972" t="s">
        <v>4983</v>
      </c>
      <c r="I972" t="s">
        <v>5191</v>
      </c>
      <c r="J972">
        <v>3</v>
      </c>
      <c r="K972" t="s">
        <v>4744</v>
      </c>
      <c r="L972">
        <v>29.97</v>
      </c>
      <c r="M972">
        <v>9.99</v>
      </c>
      <c r="N972" t="s">
        <v>5272</v>
      </c>
      <c r="O972" t="s">
        <v>464</v>
      </c>
    </row>
    <row r="973" spans="1:15" x14ac:dyDescent="0.3">
      <c r="A973">
        <v>236924</v>
      </c>
      <c r="B973">
        <v>105</v>
      </c>
      <c r="C973" t="s">
        <v>557</v>
      </c>
      <c r="D973" t="s">
        <v>2707</v>
      </c>
      <c r="E973" t="s">
        <v>2827</v>
      </c>
      <c r="F973" s="451">
        <v>46174</v>
      </c>
      <c r="G973">
        <v>24081</v>
      </c>
      <c r="H973" t="s">
        <v>4834</v>
      </c>
      <c r="I973" t="s">
        <v>5191</v>
      </c>
      <c r="J973">
        <v>10.9</v>
      </c>
      <c r="K973" t="s">
        <v>4744</v>
      </c>
      <c r="L973">
        <v>259.42</v>
      </c>
      <c r="M973">
        <v>23.8</v>
      </c>
      <c r="N973" t="s">
        <v>5272</v>
      </c>
      <c r="O973" t="s">
        <v>464</v>
      </c>
    </row>
    <row r="974" spans="1:15" x14ac:dyDescent="0.3">
      <c r="A974">
        <v>236525</v>
      </c>
      <c r="B974">
        <v>105</v>
      </c>
      <c r="C974" t="s">
        <v>557</v>
      </c>
      <c r="D974" t="s">
        <v>2828</v>
      </c>
      <c r="E974" t="s">
        <v>2829</v>
      </c>
      <c r="F974" s="451">
        <v>46156</v>
      </c>
      <c r="G974">
        <v>24083</v>
      </c>
      <c r="H974" t="s">
        <v>5165</v>
      </c>
      <c r="I974" t="s">
        <v>5191</v>
      </c>
      <c r="J974">
        <v>100</v>
      </c>
      <c r="K974" t="s">
        <v>4744</v>
      </c>
      <c r="L974">
        <v>840</v>
      </c>
      <c r="M974">
        <v>8.4</v>
      </c>
      <c r="N974" t="s">
        <v>5307</v>
      </c>
      <c r="O974" t="s">
        <v>463</v>
      </c>
    </row>
    <row r="975" spans="1:15" x14ac:dyDescent="0.3">
      <c r="A975">
        <v>236524</v>
      </c>
      <c r="B975">
        <v>105</v>
      </c>
      <c r="C975" t="s">
        <v>557</v>
      </c>
      <c r="D975" t="s">
        <v>2690</v>
      </c>
      <c r="E975" t="s">
        <v>2830</v>
      </c>
      <c r="F975" s="451">
        <v>46163</v>
      </c>
      <c r="G975">
        <v>18538</v>
      </c>
      <c r="H975" t="s">
        <v>5030</v>
      </c>
      <c r="I975" t="s">
        <v>5222</v>
      </c>
      <c r="J975">
        <v>1</v>
      </c>
      <c r="K975" t="s">
        <v>4805</v>
      </c>
      <c r="L975">
        <v>102.9</v>
      </c>
      <c r="M975">
        <v>102.9</v>
      </c>
      <c r="N975" t="s">
        <v>5222</v>
      </c>
      <c r="O975" t="s">
        <v>463</v>
      </c>
    </row>
    <row r="976" spans="1:15" x14ac:dyDescent="0.3">
      <c r="A976">
        <v>236524</v>
      </c>
      <c r="B976">
        <v>105</v>
      </c>
      <c r="C976" t="s">
        <v>557</v>
      </c>
      <c r="D976" t="s">
        <v>2690</v>
      </c>
      <c r="E976" t="s">
        <v>2830</v>
      </c>
      <c r="F976" s="451">
        <v>46163</v>
      </c>
      <c r="G976">
        <v>18273</v>
      </c>
      <c r="H976" t="s">
        <v>5058</v>
      </c>
      <c r="I976" t="s">
        <v>5222</v>
      </c>
      <c r="J976">
        <v>1</v>
      </c>
      <c r="K976" t="s">
        <v>4805</v>
      </c>
      <c r="L976">
        <v>37.21</v>
      </c>
      <c r="M976">
        <v>37.21</v>
      </c>
      <c r="N976" t="s">
        <v>5222</v>
      </c>
      <c r="O976" t="s">
        <v>463</v>
      </c>
    </row>
    <row r="977" spans="1:15" x14ac:dyDescent="0.3">
      <c r="A977">
        <v>236520</v>
      </c>
      <c r="B977">
        <v>105</v>
      </c>
      <c r="C977" t="s">
        <v>557</v>
      </c>
      <c r="D977" t="s">
        <v>2585</v>
      </c>
      <c r="E977" t="s">
        <v>2831</v>
      </c>
      <c r="F977" s="451">
        <v>46173</v>
      </c>
      <c r="G977">
        <v>18822</v>
      </c>
      <c r="H977" t="s">
        <v>4811</v>
      </c>
      <c r="I977" t="s">
        <v>5191</v>
      </c>
      <c r="J977">
        <v>0</v>
      </c>
      <c r="K977" t="s">
        <v>4744</v>
      </c>
      <c r="L977">
        <v>0</v>
      </c>
      <c r="N977" t="s">
        <v>5272</v>
      </c>
      <c r="O977" t="s">
        <v>463</v>
      </c>
    </row>
    <row r="978" spans="1:15" x14ac:dyDescent="0.3">
      <c r="A978">
        <v>236520</v>
      </c>
      <c r="B978">
        <v>105</v>
      </c>
      <c r="C978" t="s">
        <v>557</v>
      </c>
      <c r="D978" t="s">
        <v>2585</v>
      </c>
      <c r="E978" t="s">
        <v>2831</v>
      </c>
      <c r="F978" s="451">
        <v>46173</v>
      </c>
      <c r="G978">
        <v>27264</v>
      </c>
      <c r="H978" t="s">
        <v>5075</v>
      </c>
      <c r="I978" t="s">
        <v>5191</v>
      </c>
      <c r="J978">
        <v>11.86</v>
      </c>
      <c r="K978" t="s">
        <v>4744</v>
      </c>
      <c r="L978">
        <v>655.04</v>
      </c>
      <c r="M978">
        <v>55.231028999999999</v>
      </c>
      <c r="N978" t="s">
        <v>5272</v>
      </c>
      <c r="O978" t="s">
        <v>463</v>
      </c>
    </row>
    <row r="979" spans="1:15" x14ac:dyDescent="0.3">
      <c r="A979">
        <v>236517</v>
      </c>
      <c r="B979">
        <v>105</v>
      </c>
      <c r="C979" t="s">
        <v>557</v>
      </c>
      <c r="D979" t="s">
        <v>2571</v>
      </c>
      <c r="E979" t="s">
        <v>2832</v>
      </c>
      <c r="F979" s="451">
        <v>46172</v>
      </c>
      <c r="G979">
        <v>24331</v>
      </c>
      <c r="H979" t="s">
        <v>5166</v>
      </c>
      <c r="I979" t="s">
        <v>5191</v>
      </c>
      <c r="J979">
        <v>5</v>
      </c>
      <c r="K979" t="s">
        <v>4744</v>
      </c>
      <c r="L979">
        <v>104.25</v>
      </c>
      <c r="M979">
        <v>20.85</v>
      </c>
      <c r="N979" t="s">
        <v>5191</v>
      </c>
      <c r="O979" t="s">
        <v>463</v>
      </c>
    </row>
    <row r="980" spans="1:15" x14ac:dyDescent="0.3">
      <c r="A980">
        <v>236501</v>
      </c>
      <c r="B980">
        <v>105</v>
      </c>
      <c r="C980" t="s">
        <v>557</v>
      </c>
      <c r="D980" t="s">
        <v>2682</v>
      </c>
      <c r="E980" t="s">
        <v>2833</v>
      </c>
      <c r="F980" s="451">
        <v>46172</v>
      </c>
      <c r="G980">
        <v>19322</v>
      </c>
      <c r="H980" t="s">
        <v>4830</v>
      </c>
      <c r="I980" t="s">
        <v>5191</v>
      </c>
      <c r="J980">
        <v>12.01</v>
      </c>
      <c r="K980" t="s">
        <v>4744</v>
      </c>
      <c r="L980">
        <v>615.51</v>
      </c>
      <c r="M980">
        <v>51.249791999999999</v>
      </c>
      <c r="N980" t="s">
        <v>5272</v>
      </c>
      <c r="O980" t="s">
        <v>463</v>
      </c>
    </row>
    <row r="981" spans="1:15" x14ac:dyDescent="0.3">
      <c r="A981">
        <v>236501</v>
      </c>
      <c r="B981">
        <v>105</v>
      </c>
      <c r="C981" t="s">
        <v>557</v>
      </c>
      <c r="D981" t="s">
        <v>2682</v>
      </c>
      <c r="E981" t="s">
        <v>2833</v>
      </c>
      <c r="F981" s="451">
        <v>46172</v>
      </c>
      <c r="G981">
        <v>19439</v>
      </c>
      <c r="H981" t="s">
        <v>4917</v>
      </c>
      <c r="I981" t="s">
        <v>5191</v>
      </c>
      <c r="J981">
        <v>4</v>
      </c>
      <c r="K981" t="s">
        <v>4738</v>
      </c>
      <c r="L981">
        <v>113.28</v>
      </c>
      <c r="M981">
        <v>28.32</v>
      </c>
      <c r="N981" t="s">
        <v>5272</v>
      </c>
      <c r="O981" t="s">
        <v>463</v>
      </c>
    </row>
    <row r="982" spans="1:15" x14ac:dyDescent="0.3">
      <c r="A982">
        <v>236493</v>
      </c>
      <c r="B982">
        <v>105</v>
      </c>
      <c r="C982" t="s">
        <v>557</v>
      </c>
      <c r="D982" t="s">
        <v>2590</v>
      </c>
      <c r="E982" t="s">
        <v>2834</v>
      </c>
      <c r="F982" s="451">
        <v>46161</v>
      </c>
      <c r="G982">
        <v>26505</v>
      </c>
      <c r="H982" t="s">
        <v>4750</v>
      </c>
      <c r="I982" t="s">
        <v>5222</v>
      </c>
      <c r="J982">
        <v>2</v>
      </c>
      <c r="K982" t="s">
        <v>4738</v>
      </c>
      <c r="L982">
        <v>432</v>
      </c>
      <c r="M982">
        <v>216</v>
      </c>
      <c r="N982" t="s">
        <v>5222</v>
      </c>
      <c r="O982" t="s">
        <v>463</v>
      </c>
    </row>
    <row r="983" spans="1:15" x14ac:dyDescent="0.3">
      <c r="A983">
        <v>236493</v>
      </c>
      <c r="B983">
        <v>105</v>
      </c>
      <c r="C983" t="s">
        <v>557</v>
      </c>
      <c r="D983" t="s">
        <v>2590</v>
      </c>
      <c r="E983" t="s">
        <v>2834</v>
      </c>
      <c r="F983" s="451">
        <v>46161</v>
      </c>
      <c r="G983">
        <v>18636</v>
      </c>
      <c r="H983" t="s">
        <v>4964</v>
      </c>
      <c r="I983" t="s">
        <v>5222</v>
      </c>
      <c r="J983">
        <v>2</v>
      </c>
      <c r="K983" t="s">
        <v>4965</v>
      </c>
      <c r="L983">
        <v>965.6</v>
      </c>
      <c r="M983">
        <v>482.8</v>
      </c>
      <c r="N983" t="s">
        <v>5222</v>
      </c>
      <c r="O983" t="s">
        <v>463</v>
      </c>
    </row>
    <row r="984" spans="1:15" x14ac:dyDescent="0.3">
      <c r="A984">
        <v>236493</v>
      </c>
      <c r="B984">
        <v>105</v>
      </c>
      <c r="C984" t="s">
        <v>557</v>
      </c>
      <c r="D984" t="s">
        <v>2590</v>
      </c>
      <c r="E984" t="s">
        <v>2834</v>
      </c>
      <c r="F984" s="451">
        <v>46161</v>
      </c>
      <c r="G984">
        <v>24142</v>
      </c>
      <c r="H984" t="s">
        <v>5090</v>
      </c>
      <c r="I984" t="s">
        <v>5222</v>
      </c>
      <c r="J984">
        <v>3</v>
      </c>
      <c r="K984" t="s">
        <v>4749</v>
      </c>
      <c r="L984">
        <v>484.56</v>
      </c>
      <c r="M984">
        <v>161.52000000000001</v>
      </c>
      <c r="N984" t="s">
        <v>5222</v>
      </c>
      <c r="O984" t="s">
        <v>463</v>
      </c>
    </row>
    <row r="985" spans="1:15" x14ac:dyDescent="0.3">
      <c r="A985">
        <v>236493</v>
      </c>
      <c r="B985">
        <v>105</v>
      </c>
      <c r="C985" t="s">
        <v>557</v>
      </c>
      <c r="D985" t="s">
        <v>2590</v>
      </c>
      <c r="E985" t="s">
        <v>2834</v>
      </c>
      <c r="F985" s="451">
        <v>46161</v>
      </c>
      <c r="G985">
        <v>18589</v>
      </c>
      <c r="H985" t="s">
        <v>5089</v>
      </c>
      <c r="I985" t="s">
        <v>5222</v>
      </c>
      <c r="J985">
        <v>1</v>
      </c>
      <c r="K985" t="s">
        <v>4738</v>
      </c>
      <c r="L985">
        <v>96.64</v>
      </c>
      <c r="M985">
        <v>96.64</v>
      </c>
      <c r="N985" t="s">
        <v>5222</v>
      </c>
      <c r="O985" t="s">
        <v>463</v>
      </c>
    </row>
    <row r="986" spans="1:15" x14ac:dyDescent="0.3">
      <c r="A986">
        <v>236493</v>
      </c>
      <c r="B986">
        <v>105</v>
      </c>
      <c r="C986" t="s">
        <v>557</v>
      </c>
      <c r="D986" t="s">
        <v>2590</v>
      </c>
      <c r="E986" t="s">
        <v>2834</v>
      </c>
      <c r="F986" s="451">
        <v>46161</v>
      </c>
      <c r="G986">
        <v>24141</v>
      </c>
      <c r="H986" t="s">
        <v>5088</v>
      </c>
      <c r="I986" t="s">
        <v>5222</v>
      </c>
      <c r="J986">
        <v>5</v>
      </c>
      <c r="K986" t="s">
        <v>4749</v>
      </c>
      <c r="L986">
        <v>757.25</v>
      </c>
      <c r="M986">
        <v>151.44999999999999</v>
      </c>
      <c r="N986" t="s">
        <v>5222</v>
      </c>
      <c r="O986" t="s">
        <v>463</v>
      </c>
    </row>
    <row r="987" spans="1:15" x14ac:dyDescent="0.3">
      <c r="A987">
        <v>236493</v>
      </c>
      <c r="B987">
        <v>105</v>
      </c>
      <c r="C987" t="s">
        <v>557</v>
      </c>
      <c r="D987" t="s">
        <v>2590</v>
      </c>
      <c r="E987" t="s">
        <v>2834</v>
      </c>
      <c r="F987" s="451">
        <v>46161</v>
      </c>
      <c r="G987">
        <v>24981</v>
      </c>
      <c r="H987" t="s">
        <v>5140</v>
      </c>
      <c r="I987" t="s">
        <v>5222</v>
      </c>
      <c r="J987">
        <v>1</v>
      </c>
      <c r="K987" t="s">
        <v>4965</v>
      </c>
      <c r="L987">
        <v>435</v>
      </c>
      <c r="M987">
        <v>435</v>
      </c>
      <c r="N987" t="s">
        <v>5222</v>
      </c>
      <c r="O987" t="s">
        <v>463</v>
      </c>
    </row>
    <row r="988" spans="1:15" x14ac:dyDescent="0.3">
      <c r="A988">
        <v>236493</v>
      </c>
      <c r="B988">
        <v>105</v>
      </c>
      <c r="C988" t="s">
        <v>557</v>
      </c>
      <c r="D988" t="s">
        <v>2590</v>
      </c>
      <c r="E988" t="s">
        <v>2834</v>
      </c>
      <c r="F988" s="451">
        <v>46161</v>
      </c>
      <c r="G988">
        <v>17886</v>
      </c>
      <c r="H988" t="s">
        <v>5083</v>
      </c>
      <c r="I988" t="s">
        <v>5222</v>
      </c>
      <c r="J988">
        <v>6</v>
      </c>
      <c r="K988" t="s">
        <v>4738</v>
      </c>
      <c r="L988">
        <v>169.92</v>
      </c>
      <c r="M988">
        <v>28.32</v>
      </c>
      <c r="N988" t="s">
        <v>5222</v>
      </c>
      <c r="O988" t="s">
        <v>463</v>
      </c>
    </row>
    <row r="989" spans="1:15" x14ac:dyDescent="0.3">
      <c r="A989">
        <v>236493</v>
      </c>
      <c r="B989">
        <v>105</v>
      </c>
      <c r="C989" t="s">
        <v>557</v>
      </c>
      <c r="D989" t="s">
        <v>2590</v>
      </c>
      <c r="E989" t="s">
        <v>2834</v>
      </c>
      <c r="F989" s="451">
        <v>46161</v>
      </c>
      <c r="G989">
        <v>17905</v>
      </c>
      <c r="H989" t="s">
        <v>5085</v>
      </c>
      <c r="I989" t="s">
        <v>5222</v>
      </c>
      <c r="J989">
        <v>6</v>
      </c>
      <c r="K989" t="s">
        <v>4738</v>
      </c>
      <c r="L989">
        <v>153.18</v>
      </c>
      <c r="M989">
        <v>25.53</v>
      </c>
      <c r="N989" t="s">
        <v>5222</v>
      </c>
      <c r="O989" t="s">
        <v>463</v>
      </c>
    </row>
    <row r="990" spans="1:15" x14ac:dyDescent="0.3">
      <c r="A990">
        <v>236493</v>
      </c>
      <c r="B990">
        <v>105</v>
      </c>
      <c r="C990" t="s">
        <v>557</v>
      </c>
      <c r="D990" t="s">
        <v>2590</v>
      </c>
      <c r="E990" t="s">
        <v>2834</v>
      </c>
      <c r="F990" s="451">
        <v>46161</v>
      </c>
      <c r="G990">
        <v>18595</v>
      </c>
      <c r="H990" t="s">
        <v>5092</v>
      </c>
      <c r="I990" t="s">
        <v>5222</v>
      </c>
      <c r="J990">
        <v>2</v>
      </c>
      <c r="K990" t="s">
        <v>4738</v>
      </c>
      <c r="L990">
        <v>300.95999999999998</v>
      </c>
      <c r="M990">
        <v>150.47999999999999</v>
      </c>
      <c r="N990" t="s">
        <v>5222</v>
      </c>
      <c r="O990" t="s">
        <v>463</v>
      </c>
    </row>
    <row r="991" spans="1:15" x14ac:dyDescent="0.3">
      <c r="A991">
        <v>236491</v>
      </c>
      <c r="B991">
        <v>105</v>
      </c>
      <c r="C991" t="s">
        <v>557</v>
      </c>
      <c r="D991" t="s">
        <v>2590</v>
      </c>
      <c r="E991" t="s">
        <v>2835</v>
      </c>
      <c r="F991" s="451">
        <v>46160</v>
      </c>
      <c r="G991">
        <v>18589</v>
      </c>
      <c r="H991" t="s">
        <v>5089</v>
      </c>
      <c r="I991" t="s">
        <v>5222</v>
      </c>
      <c r="J991">
        <v>1</v>
      </c>
      <c r="K991" t="s">
        <v>4738</v>
      </c>
      <c r="L991">
        <v>96.64</v>
      </c>
      <c r="M991">
        <v>96.64</v>
      </c>
      <c r="N991" t="s">
        <v>5222</v>
      </c>
      <c r="O991" t="s">
        <v>463</v>
      </c>
    </row>
    <row r="992" spans="1:15" x14ac:dyDescent="0.3">
      <c r="A992">
        <v>236491</v>
      </c>
      <c r="B992">
        <v>105</v>
      </c>
      <c r="C992" t="s">
        <v>557</v>
      </c>
      <c r="D992" t="s">
        <v>2590</v>
      </c>
      <c r="E992" t="s">
        <v>2835</v>
      </c>
      <c r="F992" s="451">
        <v>46160</v>
      </c>
      <c r="G992">
        <v>17905</v>
      </c>
      <c r="H992" t="s">
        <v>5085</v>
      </c>
      <c r="I992" t="s">
        <v>5222</v>
      </c>
      <c r="J992">
        <v>6</v>
      </c>
      <c r="K992" t="s">
        <v>4738</v>
      </c>
      <c r="L992">
        <v>153.18</v>
      </c>
      <c r="M992">
        <v>25.53</v>
      </c>
      <c r="N992" t="s">
        <v>5222</v>
      </c>
      <c r="O992" t="s">
        <v>463</v>
      </c>
    </row>
    <row r="993" spans="1:15" x14ac:dyDescent="0.3">
      <c r="A993">
        <v>236491</v>
      </c>
      <c r="B993">
        <v>105</v>
      </c>
      <c r="C993" t="s">
        <v>557</v>
      </c>
      <c r="D993" t="s">
        <v>2590</v>
      </c>
      <c r="E993" t="s">
        <v>2835</v>
      </c>
      <c r="F993" s="451">
        <v>46160</v>
      </c>
      <c r="G993">
        <v>24981</v>
      </c>
      <c r="H993" t="s">
        <v>5140</v>
      </c>
      <c r="I993" t="s">
        <v>5222</v>
      </c>
      <c r="J993">
        <v>1</v>
      </c>
      <c r="K993" t="s">
        <v>4965</v>
      </c>
      <c r="L993">
        <v>435</v>
      </c>
      <c r="M993">
        <v>435</v>
      </c>
      <c r="N993" t="s">
        <v>5222</v>
      </c>
      <c r="O993" t="s">
        <v>463</v>
      </c>
    </row>
    <row r="994" spans="1:15" x14ac:dyDescent="0.3">
      <c r="A994">
        <v>236491</v>
      </c>
      <c r="B994">
        <v>105</v>
      </c>
      <c r="C994" t="s">
        <v>557</v>
      </c>
      <c r="D994" t="s">
        <v>2590</v>
      </c>
      <c r="E994" t="s">
        <v>2835</v>
      </c>
      <c r="F994" s="451">
        <v>46160</v>
      </c>
      <c r="G994">
        <v>24141</v>
      </c>
      <c r="H994" t="s">
        <v>5088</v>
      </c>
      <c r="I994" t="s">
        <v>5222</v>
      </c>
      <c r="J994">
        <v>5</v>
      </c>
      <c r="K994" t="s">
        <v>4749</v>
      </c>
      <c r="L994">
        <v>757.25</v>
      </c>
      <c r="M994">
        <v>151.44999999999999</v>
      </c>
      <c r="N994" t="s">
        <v>5222</v>
      </c>
      <c r="O994" t="s">
        <v>463</v>
      </c>
    </row>
    <row r="995" spans="1:15" x14ac:dyDescent="0.3">
      <c r="A995">
        <v>236491</v>
      </c>
      <c r="B995">
        <v>105</v>
      </c>
      <c r="C995" t="s">
        <v>557</v>
      </c>
      <c r="D995" t="s">
        <v>2590</v>
      </c>
      <c r="E995" t="s">
        <v>2835</v>
      </c>
      <c r="F995" s="451">
        <v>46160</v>
      </c>
      <c r="G995">
        <v>24142</v>
      </c>
      <c r="H995" t="s">
        <v>5090</v>
      </c>
      <c r="I995" t="s">
        <v>5222</v>
      </c>
      <c r="J995">
        <v>3</v>
      </c>
      <c r="K995" t="s">
        <v>4749</v>
      </c>
      <c r="L995">
        <v>484.56</v>
      </c>
      <c r="M995">
        <v>161.52000000000001</v>
      </c>
      <c r="N995" t="s">
        <v>5222</v>
      </c>
      <c r="O995" t="s">
        <v>463</v>
      </c>
    </row>
    <row r="996" spans="1:15" x14ac:dyDescent="0.3">
      <c r="A996">
        <v>236491</v>
      </c>
      <c r="B996">
        <v>105</v>
      </c>
      <c r="C996" t="s">
        <v>557</v>
      </c>
      <c r="D996" t="s">
        <v>2590</v>
      </c>
      <c r="E996" t="s">
        <v>2835</v>
      </c>
      <c r="F996" s="451">
        <v>46160</v>
      </c>
      <c r="G996">
        <v>26505</v>
      </c>
      <c r="H996" t="s">
        <v>4750</v>
      </c>
      <c r="I996" t="s">
        <v>5222</v>
      </c>
      <c r="J996">
        <v>2</v>
      </c>
      <c r="K996" t="s">
        <v>4738</v>
      </c>
      <c r="L996">
        <v>432</v>
      </c>
      <c r="M996">
        <v>216</v>
      </c>
      <c r="N996" t="s">
        <v>5222</v>
      </c>
      <c r="O996" t="s">
        <v>463</v>
      </c>
    </row>
    <row r="997" spans="1:15" x14ac:dyDescent="0.3">
      <c r="A997">
        <v>236491</v>
      </c>
      <c r="B997">
        <v>105</v>
      </c>
      <c r="C997" t="s">
        <v>557</v>
      </c>
      <c r="D997" t="s">
        <v>2590</v>
      </c>
      <c r="E997" t="s">
        <v>2835</v>
      </c>
      <c r="F997" s="451">
        <v>46160</v>
      </c>
      <c r="G997">
        <v>18595</v>
      </c>
      <c r="H997" t="s">
        <v>5092</v>
      </c>
      <c r="I997" t="s">
        <v>5222</v>
      </c>
      <c r="J997">
        <v>2</v>
      </c>
      <c r="K997" t="s">
        <v>4738</v>
      </c>
      <c r="L997">
        <v>300.95999999999998</v>
      </c>
      <c r="M997">
        <v>150.47999999999999</v>
      </c>
      <c r="N997" t="s">
        <v>5222</v>
      </c>
      <c r="O997" t="s">
        <v>463</v>
      </c>
    </row>
    <row r="998" spans="1:15" x14ac:dyDescent="0.3">
      <c r="A998">
        <v>236491</v>
      </c>
      <c r="B998">
        <v>105</v>
      </c>
      <c r="C998" t="s">
        <v>557</v>
      </c>
      <c r="D998" t="s">
        <v>2590</v>
      </c>
      <c r="E998" t="s">
        <v>2835</v>
      </c>
      <c r="F998" s="451">
        <v>46160</v>
      </c>
      <c r="G998">
        <v>17886</v>
      </c>
      <c r="H998" t="s">
        <v>5083</v>
      </c>
      <c r="I998" t="s">
        <v>5222</v>
      </c>
      <c r="J998">
        <v>6</v>
      </c>
      <c r="K998" t="s">
        <v>4738</v>
      </c>
      <c r="L998">
        <v>169.92</v>
      </c>
      <c r="M998">
        <v>28.32</v>
      </c>
      <c r="N998" t="s">
        <v>5222</v>
      </c>
      <c r="O998" t="s">
        <v>463</v>
      </c>
    </row>
    <row r="999" spans="1:15" x14ac:dyDescent="0.3">
      <c r="A999">
        <v>236491</v>
      </c>
      <c r="B999">
        <v>105</v>
      </c>
      <c r="C999" t="s">
        <v>557</v>
      </c>
      <c r="D999" t="s">
        <v>2590</v>
      </c>
      <c r="E999" t="s">
        <v>2835</v>
      </c>
      <c r="F999" s="451">
        <v>46160</v>
      </c>
      <c r="G999">
        <v>18636</v>
      </c>
      <c r="H999" t="s">
        <v>4964</v>
      </c>
      <c r="I999" t="s">
        <v>5222</v>
      </c>
      <c r="J999">
        <v>2</v>
      </c>
      <c r="K999" t="s">
        <v>4965</v>
      </c>
      <c r="L999">
        <v>965.6</v>
      </c>
      <c r="M999">
        <v>482.8</v>
      </c>
      <c r="N999" t="s">
        <v>5222</v>
      </c>
      <c r="O999" t="s">
        <v>463</v>
      </c>
    </row>
    <row r="1000" spans="1:15" x14ac:dyDescent="0.3">
      <c r="A1000">
        <v>236489</v>
      </c>
      <c r="B1000">
        <v>105</v>
      </c>
      <c r="C1000" t="s">
        <v>557</v>
      </c>
      <c r="D1000" t="s">
        <v>2590</v>
      </c>
      <c r="E1000" t="s">
        <v>2836</v>
      </c>
      <c r="F1000" s="451">
        <v>46153</v>
      </c>
      <c r="G1000">
        <v>24141</v>
      </c>
      <c r="H1000" t="s">
        <v>5088</v>
      </c>
      <c r="I1000" t="s">
        <v>5222</v>
      </c>
      <c r="J1000">
        <v>5</v>
      </c>
      <c r="K1000" t="s">
        <v>4749</v>
      </c>
      <c r="L1000">
        <v>985.2</v>
      </c>
      <c r="M1000">
        <v>197.04</v>
      </c>
      <c r="N1000" t="s">
        <v>5222</v>
      </c>
      <c r="O1000" t="s">
        <v>463</v>
      </c>
    </row>
    <row r="1001" spans="1:15" x14ac:dyDescent="0.3">
      <c r="A1001">
        <v>236489</v>
      </c>
      <c r="B1001">
        <v>105</v>
      </c>
      <c r="C1001" t="s">
        <v>557</v>
      </c>
      <c r="D1001" t="s">
        <v>2590</v>
      </c>
      <c r="E1001" t="s">
        <v>2836</v>
      </c>
      <c r="F1001" s="451">
        <v>46153</v>
      </c>
      <c r="G1001">
        <v>18579</v>
      </c>
      <c r="H1001" t="s">
        <v>5087</v>
      </c>
      <c r="I1001" t="s">
        <v>5222</v>
      </c>
      <c r="J1001">
        <v>4</v>
      </c>
      <c r="K1001" t="s">
        <v>4749</v>
      </c>
      <c r="L1001">
        <v>527</v>
      </c>
      <c r="M1001">
        <v>131.75</v>
      </c>
      <c r="N1001" t="s">
        <v>5222</v>
      </c>
      <c r="O1001" t="s">
        <v>463</v>
      </c>
    </row>
    <row r="1002" spans="1:15" x14ac:dyDescent="0.3">
      <c r="A1002">
        <v>236489</v>
      </c>
      <c r="B1002">
        <v>105</v>
      </c>
      <c r="C1002" t="s">
        <v>557</v>
      </c>
      <c r="D1002" t="s">
        <v>2590</v>
      </c>
      <c r="E1002" t="s">
        <v>2836</v>
      </c>
      <c r="F1002" s="451">
        <v>46153</v>
      </c>
      <c r="G1002">
        <v>24981</v>
      </c>
      <c r="H1002" t="s">
        <v>5140</v>
      </c>
      <c r="I1002" t="s">
        <v>5222</v>
      </c>
      <c r="J1002">
        <v>1</v>
      </c>
      <c r="K1002" t="s">
        <v>4965</v>
      </c>
      <c r="L1002">
        <v>316.91000000000003</v>
      </c>
      <c r="M1002">
        <v>316.91000000000003</v>
      </c>
      <c r="N1002" t="s">
        <v>5222</v>
      </c>
      <c r="O1002" t="s">
        <v>463</v>
      </c>
    </row>
    <row r="1003" spans="1:15" x14ac:dyDescent="0.3">
      <c r="A1003">
        <v>236489</v>
      </c>
      <c r="B1003">
        <v>105</v>
      </c>
      <c r="C1003" t="s">
        <v>557</v>
      </c>
      <c r="D1003" t="s">
        <v>2590</v>
      </c>
      <c r="E1003" t="s">
        <v>2836</v>
      </c>
      <c r="F1003" s="451">
        <v>46153</v>
      </c>
      <c r="G1003">
        <v>17886</v>
      </c>
      <c r="H1003" t="s">
        <v>5083</v>
      </c>
      <c r="I1003" t="s">
        <v>5222</v>
      </c>
      <c r="J1003">
        <v>8</v>
      </c>
      <c r="K1003" t="s">
        <v>4738</v>
      </c>
      <c r="L1003">
        <v>184.48</v>
      </c>
      <c r="M1003">
        <v>23.06</v>
      </c>
      <c r="N1003" t="s">
        <v>5222</v>
      </c>
      <c r="O1003" t="s">
        <v>463</v>
      </c>
    </row>
    <row r="1004" spans="1:15" x14ac:dyDescent="0.3">
      <c r="A1004">
        <v>236489</v>
      </c>
      <c r="B1004">
        <v>105</v>
      </c>
      <c r="C1004" t="s">
        <v>557</v>
      </c>
      <c r="D1004" t="s">
        <v>2590</v>
      </c>
      <c r="E1004" t="s">
        <v>2836</v>
      </c>
      <c r="F1004" s="451">
        <v>46153</v>
      </c>
      <c r="G1004">
        <v>17883</v>
      </c>
      <c r="H1004" t="s">
        <v>5113</v>
      </c>
      <c r="I1004" t="s">
        <v>5222</v>
      </c>
      <c r="J1004">
        <v>7</v>
      </c>
      <c r="K1004" t="s">
        <v>4738</v>
      </c>
      <c r="L1004">
        <v>164.15</v>
      </c>
      <c r="M1004">
        <v>23.45</v>
      </c>
      <c r="N1004" t="s">
        <v>5222</v>
      </c>
      <c r="O1004" t="s">
        <v>463</v>
      </c>
    </row>
    <row r="1005" spans="1:15" x14ac:dyDescent="0.3">
      <c r="A1005">
        <v>236489</v>
      </c>
      <c r="B1005">
        <v>105</v>
      </c>
      <c r="C1005" t="s">
        <v>557</v>
      </c>
      <c r="D1005" t="s">
        <v>2590</v>
      </c>
      <c r="E1005" t="s">
        <v>2836</v>
      </c>
      <c r="F1005" s="451">
        <v>46153</v>
      </c>
      <c r="G1005">
        <v>18636</v>
      </c>
      <c r="H1005" t="s">
        <v>4964</v>
      </c>
      <c r="I1005" t="s">
        <v>5222</v>
      </c>
      <c r="J1005">
        <v>4</v>
      </c>
      <c r="K1005" t="s">
        <v>4965</v>
      </c>
      <c r="L1005">
        <v>1406.96</v>
      </c>
      <c r="M1005">
        <v>351.74</v>
      </c>
      <c r="N1005" t="s">
        <v>5222</v>
      </c>
      <c r="O1005" t="s">
        <v>463</v>
      </c>
    </row>
    <row r="1006" spans="1:15" x14ac:dyDescent="0.3">
      <c r="A1006">
        <v>236489</v>
      </c>
      <c r="B1006">
        <v>105</v>
      </c>
      <c r="C1006" t="s">
        <v>557</v>
      </c>
      <c r="D1006" t="s">
        <v>2590</v>
      </c>
      <c r="E1006" t="s">
        <v>2836</v>
      </c>
      <c r="F1006" s="451">
        <v>46153</v>
      </c>
      <c r="G1006">
        <v>18586</v>
      </c>
      <c r="H1006" t="s">
        <v>4966</v>
      </c>
      <c r="I1006" t="s">
        <v>5222</v>
      </c>
      <c r="J1006">
        <v>3</v>
      </c>
      <c r="K1006" t="s">
        <v>4738</v>
      </c>
      <c r="L1006">
        <v>322.64999999999998</v>
      </c>
      <c r="M1006">
        <v>107.55</v>
      </c>
      <c r="N1006" t="s">
        <v>5222</v>
      </c>
      <c r="O1006" t="s">
        <v>463</v>
      </c>
    </row>
    <row r="1007" spans="1:15" x14ac:dyDescent="0.3">
      <c r="A1007">
        <v>236489</v>
      </c>
      <c r="B1007">
        <v>105</v>
      </c>
      <c r="C1007" t="s">
        <v>557</v>
      </c>
      <c r="D1007" t="s">
        <v>2590</v>
      </c>
      <c r="E1007" t="s">
        <v>2836</v>
      </c>
      <c r="F1007" s="451">
        <v>46153</v>
      </c>
      <c r="G1007">
        <v>18006</v>
      </c>
      <c r="H1007" t="s">
        <v>5094</v>
      </c>
      <c r="I1007" t="s">
        <v>5222</v>
      </c>
      <c r="J1007">
        <v>4</v>
      </c>
      <c r="K1007" t="s">
        <v>4738</v>
      </c>
      <c r="L1007">
        <v>96.36</v>
      </c>
      <c r="M1007">
        <v>24.09</v>
      </c>
      <c r="N1007" t="s">
        <v>5222</v>
      </c>
      <c r="O1007" t="s">
        <v>463</v>
      </c>
    </row>
    <row r="1008" spans="1:15" x14ac:dyDescent="0.3">
      <c r="A1008">
        <v>236489</v>
      </c>
      <c r="B1008">
        <v>105</v>
      </c>
      <c r="C1008" t="s">
        <v>557</v>
      </c>
      <c r="D1008" t="s">
        <v>2590</v>
      </c>
      <c r="E1008" t="s">
        <v>2836</v>
      </c>
      <c r="F1008" s="451">
        <v>46153</v>
      </c>
      <c r="G1008">
        <v>18004</v>
      </c>
      <c r="H1008" t="s">
        <v>5093</v>
      </c>
      <c r="I1008" t="s">
        <v>5222</v>
      </c>
      <c r="J1008">
        <v>4</v>
      </c>
      <c r="K1008" t="s">
        <v>4738</v>
      </c>
      <c r="L1008">
        <v>76.760000000000005</v>
      </c>
      <c r="M1008">
        <v>19.190000000000001</v>
      </c>
      <c r="N1008" t="s">
        <v>5222</v>
      </c>
      <c r="O1008" t="s">
        <v>463</v>
      </c>
    </row>
    <row r="1009" spans="1:15" x14ac:dyDescent="0.3">
      <c r="A1009">
        <v>236489</v>
      </c>
      <c r="B1009">
        <v>105</v>
      </c>
      <c r="C1009" t="s">
        <v>557</v>
      </c>
      <c r="D1009" t="s">
        <v>2590</v>
      </c>
      <c r="E1009" t="s">
        <v>2836</v>
      </c>
      <c r="F1009" s="451">
        <v>46153</v>
      </c>
      <c r="G1009">
        <v>17905</v>
      </c>
      <c r="H1009" t="s">
        <v>5085</v>
      </c>
      <c r="I1009" t="s">
        <v>5222</v>
      </c>
      <c r="J1009">
        <v>8</v>
      </c>
      <c r="K1009" t="s">
        <v>4738</v>
      </c>
      <c r="L1009">
        <v>204.24</v>
      </c>
      <c r="M1009">
        <v>25.53</v>
      </c>
      <c r="N1009" t="s">
        <v>5222</v>
      </c>
      <c r="O1009" t="s">
        <v>463</v>
      </c>
    </row>
    <row r="1010" spans="1:15" x14ac:dyDescent="0.3">
      <c r="A1010">
        <v>236484</v>
      </c>
      <c r="B1010">
        <v>105</v>
      </c>
      <c r="C1010" t="s">
        <v>557</v>
      </c>
      <c r="D1010" t="s">
        <v>2590</v>
      </c>
      <c r="E1010" t="s">
        <v>2837</v>
      </c>
      <c r="F1010" s="451">
        <v>46153</v>
      </c>
      <c r="G1010">
        <v>24141</v>
      </c>
      <c r="H1010" t="s">
        <v>5088</v>
      </c>
      <c r="I1010" t="s">
        <v>5222</v>
      </c>
      <c r="J1010">
        <v>5</v>
      </c>
      <c r="K1010" t="s">
        <v>4749</v>
      </c>
      <c r="L1010">
        <v>757.25</v>
      </c>
      <c r="M1010">
        <v>151.44999999999999</v>
      </c>
      <c r="N1010" t="s">
        <v>5222</v>
      </c>
      <c r="O1010" t="s">
        <v>463</v>
      </c>
    </row>
    <row r="1011" spans="1:15" x14ac:dyDescent="0.3">
      <c r="A1011">
        <v>236477</v>
      </c>
      <c r="B1011">
        <v>105</v>
      </c>
      <c r="C1011" t="s">
        <v>557</v>
      </c>
      <c r="D1011" t="s">
        <v>2559</v>
      </c>
      <c r="E1011" t="s">
        <v>2838</v>
      </c>
      <c r="F1011" s="451">
        <v>46157</v>
      </c>
      <c r="G1011">
        <v>19765</v>
      </c>
      <c r="H1011" t="s">
        <v>4889</v>
      </c>
      <c r="I1011" t="s">
        <v>5191</v>
      </c>
      <c r="J1011">
        <v>1</v>
      </c>
      <c r="K1011" t="s">
        <v>4744</v>
      </c>
      <c r="L1011">
        <v>35</v>
      </c>
      <c r="M1011">
        <v>35</v>
      </c>
      <c r="N1011" t="s">
        <v>5272</v>
      </c>
      <c r="O1011" t="s">
        <v>463</v>
      </c>
    </row>
    <row r="1012" spans="1:15" x14ac:dyDescent="0.3">
      <c r="A1012">
        <v>235356</v>
      </c>
      <c r="B1012">
        <v>105</v>
      </c>
      <c r="C1012" t="s">
        <v>557</v>
      </c>
      <c r="D1012" t="s">
        <v>2590</v>
      </c>
      <c r="E1012" t="s">
        <v>2839</v>
      </c>
      <c r="F1012" s="451">
        <v>46167</v>
      </c>
      <c r="G1012">
        <v>18636</v>
      </c>
      <c r="H1012" t="s">
        <v>4964</v>
      </c>
      <c r="I1012" t="s">
        <v>5222</v>
      </c>
      <c r="J1012">
        <v>3</v>
      </c>
      <c r="K1012" t="s">
        <v>4965</v>
      </c>
      <c r="L1012">
        <v>1448.4</v>
      </c>
      <c r="M1012">
        <v>482.8</v>
      </c>
      <c r="N1012" t="s">
        <v>5271</v>
      </c>
      <c r="O1012" t="s">
        <v>463</v>
      </c>
    </row>
    <row r="1013" spans="1:15" x14ac:dyDescent="0.3">
      <c r="A1013">
        <v>235356</v>
      </c>
      <c r="B1013">
        <v>105</v>
      </c>
      <c r="C1013" t="s">
        <v>557</v>
      </c>
      <c r="D1013" t="s">
        <v>2590</v>
      </c>
      <c r="E1013" t="s">
        <v>2839</v>
      </c>
      <c r="F1013" s="451">
        <v>46167</v>
      </c>
      <c r="G1013">
        <v>17883</v>
      </c>
      <c r="H1013" t="s">
        <v>5113</v>
      </c>
      <c r="I1013" t="s">
        <v>5222</v>
      </c>
      <c r="J1013">
        <v>2</v>
      </c>
      <c r="K1013" t="s">
        <v>4738</v>
      </c>
      <c r="L1013">
        <v>56.64</v>
      </c>
      <c r="M1013">
        <v>28.32</v>
      </c>
      <c r="N1013" t="s">
        <v>5271</v>
      </c>
      <c r="O1013" t="s">
        <v>463</v>
      </c>
    </row>
    <row r="1014" spans="1:15" x14ac:dyDescent="0.3">
      <c r="A1014">
        <v>235356</v>
      </c>
      <c r="B1014">
        <v>105</v>
      </c>
      <c r="C1014" t="s">
        <v>557</v>
      </c>
      <c r="D1014" t="s">
        <v>2590</v>
      </c>
      <c r="E1014" t="s">
        <v>2839</v>
      </c>
      <c r="F1014" s="451">
        <v>46167</v>
      </c>
      <c r="G1014">
        <v>17881</v>
      </c>
      <c r="H1014" t="s">
        <v>5103</v>
      </c>
      <c r="I1014" t="s">
        <v>5222</v>
      </c>
      <c r="J1014">
        <v>2</v>
      </c>
      <c r="K1014" t="s">
        <v>4738</v>
      </c>
      <c r="L1014">
        <v>51.06</v>
      </c>
      <c r="M1014">
        <v>25.53</v>
      </c>
      <c r="N1014" t="s">
        <v>5271</v>
      </c>
      <c r="O1014" t="s">
        <v>463</v>
      </c>
    </row>
    <row r="1015" spans="1:15" x14ac:dyDescent="0.3">
      <c r="A1015">
        <v>235356</v>
      </c>
      <c r="B1015">
        <v>105</v>
      </c>
      <c r="C1015" t="s">
        <v>557</v>
      </c>
      <c r="D1015" t="s">
        <v>2590</v>
      </c>
      <c r="E1015" t="s">
        <v>2839</v>
      </c>
      <c r="F1015" s="451">
        <v>46167</v>
      </c>
      <c r="G1015">
        <v>18579</v>
      </c>
      <c r="H1015" t="s">
        <v>5087</v>
      </c>
      <c r="I1015" t="s">
        <v>5222</v>
      </c>
      <c r="J1015">
        <v>3</v>
      </c>
      <c r="K1015" t="s">
        <v>4749</v>
      </c>
      <c r="L1015">
        <v>491.76</v>
      </c>
      <c r="M1015">
        <v>163.92</v>
      </c>
      <c r="N1015" t="s">
        <v>5271</v>
      </c>
      <c r="O1015" t="s">
        <v>463</v>
      </c>
    </row>
    <row r="1016" spans="1:15" x14ac:dyDescent="0.3">
      <c r="A1016">
        <v>235356</v>
      </c>
      <c r="B1016">
        <v>105</v>
      </c>
      <c r="C1016" t="s">
        <v>557</v>
      </c>
      <c r="D1016" t="s">
        <v>2590</v>
      </c>
      <c r="E1016" t="s">
        <v>2839</v>
      </c>
      <c r="F1016" s="451">
        <v>46167</v>
      </c>
      <c r="G1016">
        <v>17905</v>
      </c>
      <c r="H1016" t="s">
        <v>5085</v>
      </c>
      <c r="I1016" t="s">
        <v>5222</v>
      </c>
      <c r="J1016">
        <v>7</v>
      </c>
      <c r="K1016" t="s">
        <v>4738</v>
      </c>
      <c r="L1016">
        <v>178.71</v>
      </c>
      <c r="M1016">
        <v>25.53</v>
      </c>
      <c r="N1016" t="s">
        <v>5271</v>
      </c>
      <c r="O1016" t="s">
        <v>463</v>
      </c>
    </row>
    <row r="1017" spans="1:15" x14ac:dyDescent="0.3">
      <c r="A1017">
        <v>235356</v>
      </c>
      <c r="B1017">
        <v>105</v>
      </c>
      <c r="C1017" t="s">
        <v>557</v>
      </c>
      <c r="D1017" t="s">
        <v>2590</v>
      </c>
      <c r="E1017" t="s">
        <v>2839</v>
      </c>
      <c r="F1017" s="451">
        <v>46167</v>
      </c>
      <c r="G1017">
        <v>25561</v>
      </c>
      <c r="H1017" t="s">
        <v>5095</v>
      </c>
      <c r="I1017" t="s">
        <v>5222</v>
      </c>
      <c r="J1017">
        <v>1</v>
      </c>
      <c r="K1017" t="s">
        <v>4738</v>
      </c>
      <c r="L1017">
        <v>132</v>
      </c>
      <c r="M1017">
        <v>132</v>
      </c>
      <c r="N1017" t="s">
        <v>5271</v>
      </c>
      <c r="O1017" t="s">
        <v>463</v>
      </c>
    </row>
    <row r="1018" spans="1:15" x14ac:dyDescent="0.3">
      <c r="A1018">
        <v>235356</v>
      </c>
      <c r="B1018">
        <v>105</v>
      </c>
      <c r="C1018" t="s">
        <v>557</v>
      </c>
      <c r="D1018" t="s">
        <v>2590</v>
      </c>
      <c r="E1018" t="s">
        <v>2839</v>
      </c>
      <c r="F1018" s="451">
        <v>46167</v>
      </c>
      <c r="G1018">
        <v>18595</v>
      </c>
      <c r="H1018" t="s">
        <v>5092</v>
      </c>
      <c r="I1018" t="s">
        <v>5222</v>
      </c>
      <c r="J1018">
        <v>1</v>
      </c>
      <c r="K1018" t="s">
        <v>4738</v>
      </c>
      <c r="L1018">
        <v>150.47999999999999</v>
      </c>
      <c r="M1018">
        <v>150.47999999999999</v>
      </c>
      <c r="N1018" t="s">
        <v>5271</v>
      </c>
      <c r="O1018" t="s">
        <v>463</v>
      </c>
    </row>
    <row r="1019" spans="1:15" x14ac:dyDescent="0.3">
      <c r="A1019">
        <v>235356</v>
      </c>
      <c r="B1019">
        <v>105</v>
      </c>
      <c r="C1019" t="s">
        <v>557</v>
      </c>
      <c r="D1019" t="s">
        <v>2590</v>
      </c>
      <c r="E1019" t="s">
        <v>2839</v>
      </c>
      <c r="F1019" s="451">
        <v>46167</v>
      </c>
      <c r="G1019">
        <v>17886</v>
      </c>
      <c r="H1019" t="s">
        <v>5083</v>
      </c>
      <c r="I1019" t="s">
        <v>5222</v>
      </c>
      <c r="J1019">
        <v>7</v>
      </c>
      <c r="K1019" t="s">
        <v>4738</v>
      </c>
      <c r="L1019">
        <v>198.24</v>
      </c>
      <c r="M1019">
        <v>28.32</v>
      </c>
      <c r="N1019" t="s">
        <v>5271</v>
      </c>
      <c r="O1019" t="s">
        <v>463</v>
      </c>
    </row>
    <row r="1020" spans="1:15" x14ac:dyDescent="0.3">
      <c r="A1020">
        <v>235354</v>
      </c>
      <c r="B1020">
        <v>105</v>
      </c>
      <c r="C1020" t="s">
        <v>557</v>
      </c>
      <c r="D1020" t="s">
        <v>2642</v>
      </c>
      <c r="E1020" t="s">
        <v>2840</v>
      </c>
      <c r="F1020" s="451">
        <v>46168</v>
      </c>
      <c r="G1020">
        <v>18547</v>
      </c>
      <c r="H1020" t="s">
        <v>4863</v>
      </c>
      <c r="I1020" t="s">
        <v>5222</v>
      </c>
      <c r="J1020">
        <v>3</v>
      </c>
      <c r="K1020" t="s">
        <v>4805</v>
      </c>
      <c r="L1020">
        <v>112.5</v>
      </c>
      <c r="M1020">
        <v>37.5</v>
      </c>
      <c r="N1020" t="s">
        <v>5222</v>
      </c>
      <c r="O1020" t="s">
        <v>463</v>
      </c>
    </row>
    <row r="1021" spans="1:15" x14ac:dyDescent="0.3">
      <c r="A1021">
        <v>235354</v>
      </c>
      <c r="B1021">
        <v>105</v>
      </c>
      <c r="C1021" t="s">
        <v>557</v>
      </c>
      <c r="D1021" t="s">
        <v>2642</v>
      </c>
      <c r="E1021" t="s">
        <v>2840</v>
      </c>
      <c r="F1021" s="451">
        <v>46168</v>
      </c>
      <c r="G1021">
        <v>18545</v>
      </c>
      <c r="H1021" t="s">
        <v>4864</v>
      </c>
      <c r="I1021" t="s">
        <v>5222</v>
      </c>
      <c r="J1021">
        <v>2</v>
      </c>
      <c r="K1021" t="s">
        <v>4805</v>
      </c>
      <c r="L1021">
        <v>89</v>
      </c>
      <c r="M1021">
        <v>44.5</v>
      </c>
      <c r="N1021" t="s">
        <v>5222</v>
      </c>
      <c r="O1021" t="s">
        <v>463</v>
      </c>
    </row>
    <row r="1022" spans="1:15" x14ac:dyDescent="0.3">
      <c r="A1022">
        <v>235354</v>
      </c>
      <c r="B1022">
        <v>105</v>
      </c>
      <c r="C1022" t="s">
        <v>557</v>
      </c>
      <c r="D1022" t="s">
        <v>2642</v>
      </c>
      <c r="E1022" t="s">
        <v>2840</v>
      </c>
      <c r="F1022" s="451">
        <v>46168</v>
      </c>
      <c r="G1022">
        <v>18030</v>
      </c>
      <c r="H1022" t="s">
        <v>4840</v>
      </c>
      <c r="I1022" t="s">
        <v>5222</v>
      </c>
      <c r="J1022">
        <v>5</v>
      </c>
      <c r="K1022" t="s">
        <v>4805</v>
      </c>
      <c r="L1022">
        <v>140</v>
      </c>
      <c r="M1022">
        <v>28</v>
      </c>
      <c r="N1022" t="s">
        <v>5222</v>
      </c>
      <c r="O1022" t="s">
        <v>463</v>
      </c>
    </row>
    <row r="1023" spans="1:15" x14ac:dyDescent="0.3">
      <c r="A1023">
        <v>235353</v>
      </c>
      <c r="B1023">
        <v>105</v>
      </c>
      <c r="C1023" t="s">
        <v>557</v>
      </c>
      <c r="D1023" t="s">
        <v>2588</v>
      </c>
      <c r="E1023" t="s">
        <v>2841</v>
      </c>
      <c r="F1023" s="451">
        <v>46167</v>
      </c>
      <c r="G1023">
        <v>20301</v>
      </c>
      <c r="H1023" t="s">
        <v>4944</v>
      </c>
      <c r="I1023" t="s">
        <v>5191</v>
      </c>
      <c r="J1023">
        <v>12</v>
      </c>
      <c r="K1023" t="s">
        <v>4738</v>
      </c>
      <c r="L1023">
        <v>252</v>
      </c>
      <c r="M1023">
        <v>21</v>
      </c>
      <c r="N1023" t="s">
        <v>5191</v>
      </c>
      <c r="O1023" t="s">
        <v>463</v>
      </c>
    </row>
    <row r="1024" spans="1:15" x14ac:dyDescent="0.3">
      <c r="A1024">
        <v>235353</v>
      </c>
      <c r="B1024">
        <v>105</v>
      </c>
      <c r="C1024" t="s">
        <v>557</v>
      </c>
      <c r="D1024" t="s">
        <v>2588</v>
      </c>
      <c r="E1024" t="s">
        <v>2841</v>
      </c>
      <c r="F1024" s="451">
        <v>46167</v>
      </c>
      <c r="G1024">
        <v>20984</v>
      </c>
      <c r="H1024" t="s">
        <v>5133</v>
      </c>
      <c r="I1024" t="s">
        <v>5191</v>
      </c>
      <c r="J1024">
        <v>24</v>
      </c>
      <c r="K1024" t="s">
        <v>4888</v>
      </c>
      <c r="L1024">
        <v>195.6</v>
      </c>
      <c r="M1024">
        <v>8.15</v>
      </c>
      <c r="N1024" t="s">
        <v>5191</v>
      </c>
      <c r="O1024" t="s">
        <v>463</v>
      </c>
    </row>
    <row r="1025" spans="1:15" x14ac:dyDescent="0.3">
      <c r="A1025">
        <v>235351</v>
      </c>
      <c r="B1025">
        <v>105</v>
      </c>
      <c r="C1025" t="s">
        <v>557</v>
      </c>
      <c r="D1025" t="s">
        <v>2607</v>
      </c>
      <c r="E1025" t="s">
        <v>2842</v>
      </c>
      <c r="F1025" s="451">
        <v>46156</v>
      </c>
      <c r="G1025">
        <v>28761</v>
      </c>
      <c r="H1025" t="s">
        <v>5138</v>
      </c>
      <c r="I1025" t="s">
        <v>5191</v>
      </c>
      <c r="J1025">
        <v>15</v>
      </c>
      <c r="K1025" t="s">
        <v>4744</v>
      </c>
      <c r="L1025">
        <v>1650</v>
      </c>
      <c r="M1025">
        <v>110</v>
      </c>
      <c r="N1025" t="s">
        <v>5272</v>
      </c>
      <c r="O1025" t="s">
        <v>463</v>
      </c>
    </row>
    <row r="1026" spans="1:15" x14ac:dyDescent="0.3">
      <c r="A1026">
        <v>235350</v>
      </c>
      <c r="B1026">
        <v>105</v>
      </c>
      <c r="C1026" t="s">
        <v>557</v>
      </c>
      <c r="D1026" t="s">
        <v>2607</v>
      </c>
      <c r="E1026" t="s">
        <v>2843</v>
      </c>
      <c r="F1026" s="451">
        <v>46164</v>
      </c>
      <c r="G1026">
        <v>25777</v>
      </c>
      <c r="H1026" t="s">
        <v>4774</v>
      </c>
      <c r="I1026" t="s">
        <v>5191</v>
      </c>
      <c r="J1026">
        <v>21.18</v>
      </c>
      <c r="K1026" t="s">
        <v>4744</v>
      </c>
      <c r="L1026">
        <v>1901.96</v>
      </c>
      <c r="M1026">
        <v>89.799811000000005</v>
      </c>
      <c r="N1026" t="s">
        <v>5191</v>
      </c>
      <c r="O1026" t="s">
        <v>463</v>
      </c>
    </row>
    <row r="1027" spans="1:15" x14ac:dyDescent="0.3">
      <c r="A1027">
        <v>235349</v>
      </c>
      <c r="B1027">
        <v>105</v>
      </c>
      <c r="C1027" t="s">
        <v>557</v>
      </c>
      <c r="D1027" t="s">
        <v>2585</v>
      </c>
      <c r="E1027" t="s">
        <v>2844</v>
      </c>
      <c r="F1027" s="451">
        <v>46164</v>
      </c>
      <c r="G1027">
        <v>27264</v>
      </c>
      <c r="H1027" t="s">
        <v>5075</v>
      </c>
      <c r="I1027" t="s">
        <v>5191</v>
      </c>
      <c r="J1027">
        <v>12.49</v>
      </c>
      <c r="K1027" t="s">
        <v>4744</v>
      </c>
      <c r="L1027">
        <v>690.02</v>
      </c>
      <c r="M1027">
        <v>55.245797000000003</v>
      </c>
      <c r="N1027" t="s">
        <v>5272</v>
      </c>
      <c r="O1027" t="s">
        <v>463</v>
      </c>
    </row>
    <row r="1028" spans="1:15" x14ac:dyDescent="0.3">
      <c r="A1028">
        <v>235349</v>
      </c>
      <c r="B1028">
        <v>105</v>
      </c>
      <c r="C1028" t="s">
        <v>557</v>
      </c>
      <c r="D1028" t="s">
        <v>2585</v>
      </c>
      <c r="E1028" t="s">
        <v>2844</v>
      </c>
      <c r="F1028" s="451">
        <v>46164</v>
      </c>
      <c r="G1028">
        <v>18822</v>
      </c>
      <c r="H1028" t="s">
        <v>4811</v>
      </c>
      <c r="I1028" t="s">
        <v>5191</v>
      </c>
      <c r="J1028">
        <v>23.46</v>
      </c>
      <c r="K1028" t="s">
        <v>4744</v>
      </c>
      <c r="L1028">
        <v>2396.2199999999998</v>
      </c>
      <c r="M1028">
        <v>102.140665</v>
      </c>
      <c r="N1028" t="s">
        <v>5272</v>
      </c>
      <c r="O1028" t="s">
        <v>463</v>
      </c>
    </row>
    <row r="1029" spans="1:15" x14ac:dyDescent="0.3">
      <c r="A1029">
        <v>235347</v>
      </c>
      <c r="B1029">
        <v>105</v>
      </c>
      <c r="C1029" t="s">
        <v>557</v>
      </c>
      <c r="D1029" t="s">
        <v>2845</v>
      </c>
      <c r="E1029" t="s">
        <v>2846</v>
      </c>
      <c r="F1029" s="451">
        <v>46155</v>
      </c>
      <c r="G1029">
        <v>18642</v>
      </c>
      <c r="H1029" t="s">
        <v>5127</v>
      </c>
      <c r="I1029" t="s">
        <v>5191</v>
      </c>
      <c r="J1029">
        <v>6</v>
      </c>
      <c r="K1029" t="s">
        <v>4744</v>
      </c>
      <c r="L1029">
        <v>1155.06</v>
      </c>
      <c r="M1029">
        <v>192.51</v>
      </c>
      <c r="N1029" t="s">
        <v>5272</v>
      </c>
      <c r="O1029" t="s">
        <v>463</v>
      </c>
    </row>
    <row r="1030" spans="1:15" x14ac:dyDescent="0.3">
      <c r="A1030">
        <v>235345</v>
      </c>
      <c r="B1030">
        <v>105</v>
      </c>
      <c r="C1030" t="s">
        <v>557</v>
      </c>
      <c r="D1030" t="s">
        <v>2707</v>
      </c>
      <c r="E1030" t="s">
        <v>2847</v>
      </c>
      <c r="F1030" s="451">
        <v>46169</v>
      </c>
      <c r="G1030">
        <v>24081</v>
      </c>
      <c r="H1030" t="s">
        <v>4834</v>
      </c>
      <c r="I1030" t="s">
        <v>5191</v>
      </c>
      <c r="J1030">
        <v>11.8</v>
      </c>
      <c r="K1030" t="s">
        <v>4744</v>
      </c>
      <c r="L1030">
        <v>280.83999999999997</v>
      </c>
      <c r="M1030">
        <v>23.8</v>
      </c>
      <c r="N1030" t="s">
        <v>5272</v>
      </c>
      <c r="O1030" t="s">
        <v>463</v>
      </c>
    </row>
    <row r="1031" spans="1:15" x14ac:dyDescent="0.3">
      <c r="A1031">
        <v>235343</v>
      </c>
      <c r="B1031">
        <v>105</v>
      </c>
      <c r="C1031" t="s">
        <v>557</v>
      </c>
      <c r="D1031" t="s">
        <v>2637</v>
      </c>
      <c r="E1031" t="s">
        <v>2848</v>
      </c>
      <c r="F1031" s="451">
        <v>46168</v>
      </c>
      <c r="G1031">
        <v>18475</v>
      </c>
      <c r="H1031" t="s">
        <v>4895</v>
      </c>
      <c r="I1031" t="s">
        <v>5222</v>
      </c>
      <c r="J1031">
        <v>12</v>
      </c>
      <c r="K1031" t="s">
        <v>4805</v>
      </c>
      <c r="L1031">
        <v>394.8</v>
      </c>
      <c r="M1031">
        <v>32.9</v>
      </c>
      <c r="N1031" t="s">
        <v>5271</v>
      </c>
      <c r="O1031" t="s">
        <v>463</v>
      </c>
    </row>
    <row r="1032" spans="1:15" x14ac:dyDescent="0.3">
      <c r="A1032">
        <v>235342</v>
      </c>
      <c r="B1032">
        <v>105</v>
      </c>
      <c r="C1032" t="s">
        <v>557</v>
      </c>
      <c r="D1032" t="s">
        <v>2581</v>
      </c>
      <c r="E1032" t="s">
        <v>2849</v>
      </c>
      <c r="F1032" s="451">
        <v>46163</v>
      </c>
      <c r="G1032">
        <v>23236</v>
      </c>
      <c r="H1032" t="s">
        <v>5062</v>
      </c>
      <c r="I1032" t="s">
        <v>5191</v>
      </c>
      <c r="J1032">
        <v>2.2999999999999998</v>
      </c>
      <c r="K1032" t="s">
        <v>4744</v>
      </c>
      <c r="L1032">
        <v>28.75</v>
      </c>
      <c r="M1032">
        <v>12.5</v>
      </c>
      <c r="N1032" t="s">
        <v>5191</v>
      </c>
      <c r="O1032" t="s">
        <v>463</v>
      </c>
    </row>
    <row r="1033" spans="1:15" x14ac:dyDescent="0.3">
      <c r="A1033">
        <v>235342</v>
      </c>
      <c r="B1033">
        <v>105</v>
      </c>
      <c r="C1033" t="s">
        <v>557</v>
      </c>
      <c r="D1033" t="s">
        <v>2581</v>
      </c>
      <c r="E1033" t="s">
        <v>2849</v>
      </c>
      <c r="F1033" s="451">
        <v>46163</v>
      </c>
      <c r="G1033">
        <v>19472</v>
      </c>
      <c r="H1033" t="s">
        <v>4906</v>
      </c>
      <c r="I1033" t="s">
        <v>5191</v>
      </c>
      <c r="J1033">
        <v>2</v>
      </c>
      <c r="K1033" t="s">
        <v>4744</v>
      </c>
      <c r="L1033">
        <v>37</v>
      </c>
      <c r="M1033">
        <v>18.5</v>
      </c>
      <c r="N1033" t="s">
        <v>5191</v>
      </c>
      <c r="O1033" t="s">
        <v>463</v>
      </c>
    </row>
    <row r="1034" spans="1:15" x14ac:dyDescent="0.3">
      <c r="A1034">
        <v>235342</v>
      </c>
      <c r="B1034">
        <v>105</v>
      </c>
      <c r="C1034" t="s">
        <v>557</v>
      </c>
      <c r="D1034" t="s">
        <v>2581</v>
      </c>
      <c r="E1034" t="s">
        <v>2849</v>
      </c>
      <c r="F1034" s="451">
        <v>46163</v>
      </c>
      <c r="G1034">
        <v>19623</v>
      </c>
      <c r="H1034" t="s">
        <v>4764</v>
      </c>
      <c r="I1034" t="s">
        <v>5191</v>
      </c>
      <c r="J1034">
        <v>12</v>
      </c>
      <c r="K1034" t="s">
        <v>4744</v>
      </c>
      <c r="L1034">
        <v>74.400000000000006</v>
      </c>
      <c r="M1034">
        <v>6.2</v>
      </c>
      <c r="N1034" t="s">
        <v>5191</v>
      </c>
      <c r="O1034" t="s">
        <v>463</v>
      </c>
    </row>
    <row r="1035" spans="1:15" x14ac:dyDescent="0.3">
      <c r="A1035">
        <v>235342</v>
      </c>
      <c r="B1035">
        <v>105</v>
      </c>
      <c r="C1035" t="s">
        <v>557</v>
      </c>
      <c r="D1035" t="s">
        <v>2581</v>
      </c>
      <c r="E1035" t="s">
        <v>2849</v>
      </c>
      <c r="F1035" s="451">
        <v>46163</v>
      </c>
      <c r="G1035">
        <v>24509</v>
      </c>
      <c r="H1035" t="s">
        <v>4788</v>
      </c>
      <c r="I1035" t="s">
        <v>5191</v>
      </c>
      <c r="J1035">
        <v>8</v>
      </c>
      <c r="K1035" t="s">
        <v>4744</v>
      </c>
      <c r="L1035">
        <v>38.4</v>
      </c>
      <c r="M1035">
        <v>4.8</v>
      </c>
      <c r="N1035" t="s">
        <v>5191</v>
      </c>
      <c r="O1035" t="s">
        <v>463</v>
      </c>
    </row>
    <row r="1036" spans="1:15" x14ac:dyDescent="0.3">
      <c r="A1036">
        <v>235342</v>
      </c>
      <c r="B1036">
        <v>105</v>
      </c>
      <c r="C1036" t="s">
        <v>557</v>
      </c>
      <c r="D1036" t="s">
        <v>2581</v>
      </c>
      <c r="E1036" t="s">
        <v>2849</v>
      </c>
      <c r="F1036" s="451">
        <v>46163</v>
      </c>
      <c r="G1036">
        <v>19553</v>
      </c>
      <c r="H1036" t="s">
        <v>4868</v>
      </c>
      <c r="I1036" t="s">
        <v>5191</v>
      </c>
      <c r="J1036">
        <v>1</v>
      </c>
      <c r="K1036" t="s">
        <v>4744</v>
      </c>
      <c r="L1036">
        <v>4.8</v>
      </c>
      <c r="M1036">
        <v>4.8</v>
      </c>
      <c r="N1036" t="s">
        <v>5191</v>
      </c>
      <c r="O1036" t="s">
        <v>463</v>
      </c>
    </row>
    <row r="1037" spans="1:15" x14ac:dyDescent="0.3">
      <c r="A1037">
        <v>235342</v>
      </c>
      <c r="B1037">
        <v>105</v>
      </c>
      <c r="C1037" t="s">
        <v>557</v>
      </c>
      <c r="D1037" t="s">
        <v>2581</v>
      </c>
      <c r="E1037" t="s">
        <v>2849</v>
      </c>
      <c r="F1037" s="451">
        <v>46163</v>
      </c>
      <c r="G1037">
        <v>19617</v>
      </c>
      <c r="H1037" t="s">
        <v>5071</v>
      </c>
      <c r="I1037" t="s">
        <v>5191</v>
      </c>
      <c r="J1037">
        <v>1</v>
      </c>
      <c r="K1037" t="s">
        <v>4744</v>
      </c>
      <c r="L1037">
        <v>30</v>
      </c>
      <c r="M1037">
        <v>30</v>
      </c>
      <c r="N1037" t="s">
        <v>5191</v>
      </c>
      <c r="O1037" t="s">
        <v>463</v>
      </c>
    </row>
    <row r="1038" spans="1:15" x14ac:dyDescent="0.3">
      <c r="A1038">
        <v>235342</v>
      </c>
      <c r="B1038">
        <v>105</v>
      </c>
      <c r="C1038" t="s">
        <v>557</v>
      </c>
      <c r="D1038" t="s">
        <v>2581</v>
      </c>
      <c r="E1038" t="s">
        <v>2849</v>
      </c>
      <c r="F1038" s="451">
        <v>46163</v>
      </c>
      <c r="G1038">
        <v>23390</v>
      </c>
      <c r="H1038" t="s">
        <v>4873</v>
      </c>
      <c r="I1038" t="s">
        <v>5191</v>
      </c>
      <c r="J1038">
        <v>1</v>
      </c>
      <c r="K1038" t="s">
        <v>4744</v>
      </c>
      <c r="L1038">
        <v>8</v>
      </c>
      <c r="M1038">
        <v>8</v>
      </c>
      <c r="N1038" t="s">
        <v>5191</v>
      </c>
      <c r="O1038" t="s">
        <v>463</v>
      </c>
    </row>
    <row r="1039" spans="1:15" x14ac:dyDescent="0.3">
      <c r="A1039">
        <v>235342</v>
      </c>
      <c r="B1039">
        <v>105</v>
      </c>
      <c r="C1039" t="s">
        <v>557</v>
      </c>
      <c r="D1039" t="s">
        <v>2581</v>
      </c>
      <c r="E1039" t="s">
        <v>2849</v>
      </c>
      <c r="F1039" s="451">
        <v>46163</v>
      </c>
      <c r="G1039">
        <v>19752</v>
      </c>
      <c r="H1039" t="s">
        <v>4807</v>
      </c>
      <c r="I1039" t="s">
        <v>5191</v>
      </c>
      <c r="J1039">
        <v>2</v>
      </c>
      <c r="K1039" t="s">
        <v>4744</v>
      </c>
      <c r="L1039">
        <v>14</v>
      </c>
      <c r="M1039">
        <v>7</v>
      </c>
      <c r="N1039" t="s">
        <v>5191</v>
      </c>
      <c r="O1039" t="s">
        <v>463</v>
      </c>
    </row>
    <row r="1040" spans="1:15" x14ac:dyDescent="0.3">
      <c r="A1040">
        <v>235342</v>
      </c>
      <c r="B1040">
        <v>105</v>
      </c>
      <c r="C1040" t="s">
        <v>557</v>
      </c>
      <c r="D1040" t="s">
        <v>2581</v>
      </c>
      <c r="E1040" t="s">
        <v>2849</v>
      </c>
      <c r="F1040" s="451">
        <v>46163</v>
      </c>
      <c r="G1040">
        <v>19647</v>
      </c>
      <c r="H1040" t="s">
        <v>5050</v>
      </c>
      <c r="I1040" t="s">
        <v>5191</v>
      </c>
      <c r="J1040">
        <v>0.5</v>
      </c>
      <c r="K1040" t="s">
        <v>4744</v>
      </c>
      <c r="L1040">
        <v>8</v>
      </c>
      <c r="M1040">
        <v>16</v>
      </c>
      <c r="N1040" t="s">
        <v>5191</v>
      </c>
      <c r="O1040" t="s">
        <v>463</v>
      </c>
    </row>
    <row r="1041" spans="1:15" x14ac:dyDescent="0.3">
      <c r="A1041">
        <v>235342</v>
      </c>
      <c r="B1041">
        <v>105</v>
      </c>
      <c r="C1041" t="s">
        <v>557</v>
      </c>
      <c r="D1041" t="s">
        <v>2581</v>
      </c>
      <c r="E1041" t="s">
        <v>2849</v>
      </c>
      <c r="F1041" s="451">
        <v>46163</v>
      </c>
      <c r="G1041">
        <v>23195</v>
      </c>
      <c r="H1041" t="s">
        <v>5051</v>
      </c>
      <c r="I1041" t="s">
        <v>5191</v>
      </c>
      <c r="J1041">
        <v>0.3</v>
      </c>
      <c r="K1041" t="s">
        <v>4744</v>
      </c>
      <c r="L1041">
        <v>3</v>
      </c>
      <c r="M1041">
        <v>10</v>
      </c>
      <c r="N1041" t="s">
        <v>5191</v>
      </c>
      <c r="O1041" t="s">
        <v>463</v>
      </c>
    </row>
    <row r="1042" spans="1:15" x14ac:dyDescent="0.3">
      <c r="A1042">
        <v>235342</v>
      </c>
      <c r="B1042">
        <v>105</v>
      </c>
      <c r="C1042" t="s">
        <v>557</v>
      </c>
      <c r="D1042" t="s">
        <v>2581</v>
      </c>
      <c r="E1042" t="s">
        <v>2849</v>
      </c>
      <c r="F1042" s="451">
        <v>46163</v>
      </c>
      <c r="G1042">
        <v>23108</v>
      </c>
      <c r="H1042" t="s">
        <v>5117</v>
      </c>
      <c r="I1042" t="s">
        <v>5191</v>
      </c>
      <c r="J1042">
        <v>0.2</v>
      </c>
      <c r="K1042" t="s">
        <v>4744</v>
      </c>
      <c r="L1042">
        <v>18</v>
      </c>
      <c r="M1042">
        <v>90</v>
      </c>
      <c r="N1042" t="s">
        <v>5191</v>
      </c>
      <c r="O1042" t="s">
        <v>463</v>
      </c>
    </row>
    <row r="1043" spans="1:15" x14ac:dyDescent="0.3">
      <c r="A1043">
        <v>235342</v>
      </c>
      <c r="B1043">
        <v>105</v>
      </c>
      <c r="C1043" t="s">
        <v>557</v>
      </c>
      <c r="D1043" t="s">
        <v>2581</v>
      </c>
      <c r="E1043" t="s">
        <v>2849</v>
      </c>
      <c r="F1043" s="451">
        <v>46163</v>
      </c>
      <c r="G1043">
        <v>23359</v>
      </c>
      <c r="H1043" t="s">
        <v>4767</v>
      </c>
      <c r="I1043" t="s">
        <v>5191</v>
      </c>
      <c r="J1043">
        <v>15</v>
      </c>
      <c r="K1043" t="s">
        <v>4744</v>
      </c>
      <c r="L1043">
        <v>33</v>
      </c>
      <c r="M1043">
        <v>2.2000000000000002</v>
      </c>
      <c r="N1043" t="s">
        <v>5191</v>
      </c>
      <c r="O1043" t="s">
        <v>463</v>
      </c>
    </row>
    <row r="1044" spans="1:15" x14ac:dyDescent="0.3">
      <c r="A1044">
        <v>235342</v>
      </c>
      <c r="B1044">
        <v>105</v>
      </c>
      <c r="C1044" t="s">
        <v>557</v>
      </c>
      <c r="D1044" t="s">
        <v>2581</v>
      </c>
      <c r="E1044" t="s">
        <v>2849</v>
      </c>
      <c r="F1044" s="451">
        <v>46163</v>
      </c>
      <c r="G1044">
        <v>19465</v>
      </c>
      <c r="H1044" t="s">
        <v>5114</v>
      </c>
      <c r="I1044" t="s">
        <v>5191</v>
      </c>
      <c r="J1044">
        <v>0.5</v>
      </c>
      <c r="K1044" t="s">
        <v>4744</v>
      </c>
      <c r="L1044">
        <v>3.25</v>
      </c>
      <c r="M1044">
        <v>6.5</v>
      </c>
      <c r="N1044" t="s">
        <v>5191</v>
      </c>
      <c r="O1044" t="s">
        <v>463</v>
      </c>
    </row>
    <row r="1045" spans="1:15" x14ac:dyDescent="0.3">
      <c r="A1045">
        <v>235342</v>
      </c>
      <c r="B1045">
        <v>105</v>
      </c>
      <c r="C1045" t="s">
        <v>557</v>
      </c>
      <c r="D1045" t="s">
        <v>2581</v>
      </c>
      <c r="E1045" t="s">
        <v>2849</v>
      </c>
      <c r="F1045" s="451">
        <v>46163</v>
      </c>
      <c r="G1045">
        <v>19654</v>
      </c>
      <c r="H1045" t="s">
        <v>5099</v>
      </c>
      <c r="I1045" t="s">
        <v>5191</v>
      </c>
      <c r="J1045">
        <v>4</v>
      </c>
      <c r="K1045" t="s">
        <v>4744</v>
      </c>
      <c r="L1045">
        <v>28</v>
      </c>
      <c r="M1045">
        <v>7</v>
      </c>
      <c r="N1045" t="s">
        <v>5191</v>
      </c>
      <c r="O1045" t="s">
        <v>463</v>
      </c>
    </row>
    <row r="1046" spans="1:15" x14ac:dyDescent="0.3">
      <c r="A1046">
        <v>235342</v>
      </c>
      <c r="B1046">
        <v>105</v>
      </c>
      <c r="C1046" t="s">
        <v>557</v>
      </c>
      <c r="D1046" t="s">
        <v>2581</v>
      </c>
      <c r="E1046" t="s">
        <v>2849</v>
      </c>
      <c r="F1046" s="451">
        <v>46163</v>
      </c>
      <c r="G1046">
        <v>23113</v>
      </c>
      <c r="H1046" t="s">
        <v>5074</v>
      </c>
      <c r="I1046" t="s">
        <v>5191</v>
      </c>
      <c r="J1046">
        <v>1</v>
      </c>
      <c r="K1046" t="s">
        <v>4744</v>
      </c>
      <c r="L1046">
        <v>13</v>
      </c>
      <c r="M1046">
        <v>13</v>
      </c>
      <c r="N1046" t="s">
        <v>5191</v>
      </c>
      <c r="O1046" t="s">
        <v>463</v>
      </c>
    </row>
    <row r="1047" spans="1:15" x14ac:dyDescent="0.3">
      <c r="A1047">
        <v>235342</v>
      </c>
      <c r="B1047">
        <v>105</v>
      </c>
      <c r="C1047" t="s">
        <v>557</v>
      </c>
      <c r="D1047" t="s">
        <v>2581</v>
      </c>
      <c r="E1047" t="s">
        <v>2849</v>
      </c>
      <c r="F1047" s="451">
        <v>46163</v>
      </c>
      <c r="G1047">
        <v>19507</v>
      </c>
      <c r="H1047" t="s">
        <v>4853</v>
      </c>
      <c r="I1047" t="s">
        <v>5191</v>
      </c>
      <c r="J1047">
        <v>2</v>
      </c>
      <c r="K1047" t="s">
        <v>4744</v>
      </c>
      <c r="L1047">
        <v>30</v>
      </c>
      <c r="M1047">
        <v>15</v>
      </c>
      <c r="N1047" t="s">
        <v>5191</v>
      </c>
      <c r="O1047" t="s">
        <v>463</v>
      </c>
    </row>
    <row r="1048" spans="1:15" x14ac:dyDescent="0.3">
      <c r="A1048">
        <v>235342</v>
      </c>
      <c r="B1048">
        <v>105</v>
      </c>
      <c r="C1048" t="s">
        <v>557</v>
      </c>
      <c r="D1048" t="s">
        <v>2581</v>
      </c>
      <c r="E1048" t="s">
        <v>2849</v>
      </c>
      <c r="F1048" s="451">
        <v>46163</v>
      </c>
      <c r="G1048">
        <v>23361</v>
      </c>
      <c r="H1048" t="s">
        <v>4754</v>
      </c>
      <c r="I1048" t="s">
        <v>5191</v>
      </c>
      <c r="J1048">
        <v>30</v>
      </c>
      <c r="K1048" t="s">
        <v>4744</v>
      </c>
      <c r="L1048">
        <v>87</v>
      </c>
      <c r="M1048">
        <v>2.9</v>
      </c>
      <c r="N1048" t="s">
        <v>5191</v>
      </c>
      <c r="O1048" t="s">
        <v>463</v>
      </c>
    </row>
    <row r="1049" spans="1:15" x14ac:dyDescent="0.3">
      <c r="A1049">
        <v>235342</v>
      </c>
      <c r="B1049">
        <v>105</v>
      </c>
      <c r="C1049" t="s">
        <v>557</v>
      </c>
      <c r="D1049" t="s">
        <v>2581</v>
      </c>
      <c r="E1049" t="s">
        <v>2849</v>
      </c>
      <c r="F1049" s="451">
        <v>46163</v>
      </c>
      <c r="G1049">
        <v>19552</v>
      </c>
      <c r="H1049" t="s">
        <v>4860</v>
      </c>
      <c r="I1049" t="s">
        <v>5191</v>
      </c>
      <c r="J1049">
        <v>1</v>
      </c>
      <c r="K1049" t="s">
        <v>4744</v>
      </c>
      <c r="L1049">
        <v>8</v>
      </c>
      <c r="M1049">
        <v>8</v>
      </c>
      <c r="N1049" t="s">
        <v>5191</v>
      </c>
      <c r="O1049" t="s">
        <v>463</v>
      </c>
    </row>
    <row r="1050" spans="1:15" x14ac:dyDescent="0.3">
      <c r="A1050">
        <v>235342</v>
      </c>
      <c r="B1050">
        <v>105</v>
      </c>
      <c r="C1050" t="s">
        <v>557</v>
      </c>
      <c r="D1050" t="s">
        <v>2581</v>
      </c>
      <c r="E1050" t="s">
        <v>2849</v>
      </c>
      <c r="F1050" s="451">
        <v>46163</v>
      </c>
      <c r="G1050">
        <v>19502</v>
      </c>
      <c r="H1050" t="s">
        <v>4871</v>
      </c>
      <c r="I1050" t="s">
        <v>5191</v>
      </c>
      <c r="J1050">
        <v>1.8</v>
      </c>
      <c r="K1050" t="s">
        <v>4744</v>
      </c>
      <c r="L1050">
        <v>24.3</v>
      </c>
      <c r="M1050">
        <v>13.5</v>
      </c>
      <c r="N1050" t="s">
        <v>5191</v>
      </c>
      <c r="O1050" t="s">
        <v>463</v>
      </c>
    </row>
    <row r="1051" spans="1:15" x14ac:dyDescent="0.3">
      <c r="A1051">
        <v>235342</v>
      </c>
      <c r="B1051">
        <v>105</v>
      </c>
      <c r="C1051" t="s">
        <v>557</v>
      </c>
      <c r="D1051" t="s">
        <v>2581</v>
      </c>
      <c r="E1051" t="s">
        <v>2849</v>
      </c>
      <c r="F1051" s="451">
        <v>46163</v>
      </c>
      <c r="G1051">
        <v>19751</v>
      </c>
      <c r="H1051" t="s">
        <v>4800</v>
      </c>
      <c r="I1051" t="s">
        <v>5191</v>
      </c>
      <c r="J1051">
        <v>2</v>
      </c>
      <c r="K1051" t="s">
        <v>4744</v>
      </c>
      <c r="L1051">
        <v>17.600000000000001</v>
      </c>
      <c r="M1051">
        <v>8.8000000000000007</v>
      </c>
      <c r="N1051" t="s">
        <v>5191</v>
      </c>
      <c r="O1051" t="s">
        <v>463</v>
      </c>
    </row>
    <row r="1052" spans="1:15" x14ac:dyDescent="0.3">
      <c r="A1052">
        <v>235342</v>
      </c>
      <c r="B1052">
        <v>105</v>
      </c>
      <c r="C1052" t="s">
        <v>557</v>
      </c>
      <c r="D1052" t="s">
        <v>2581</v>
      </c>
      <c r="E1052" t="s">
        <v>2849</v>
      </c>
      <c r="F1052" s="451">
        <v>46163</v>
      </c>
      <c r="G1052">
        <v>19787</v>
      </c>
      <c r="H1052" t="s">
        <v>4793</v>
      </c>
      <c r="I1052" t="s">
        <v>5191</v>
      </c>
      <c r="J1052">
        <v>10</v>
      </c>
      <c r="K1052" t="s">
        <v>4744</v>
      </c>
      <c r="L1052">
        <v>58.5</v>
      </c>
      <c r="M1052">
        <v>5.85</v>
      </c>
      <c r="N1052" t="s">
        <v>5191</v>
      </c>
      <c r="O1052" t="s">
        <v>463</v>
      </c>
    </row>
    <row r="1053" spans="1:15" x14ac:dyDescent="0.3">
      <c r="A1053">
        <v>235342</v>
      </c>
      <c r="B1053">
        <v>105</v>
      </c>
      <c r="C1053" t="s">
        <v>557</v>
      </c>
      <c r="D1053" t="s">
        <v>2581</v>
      </c>
      <c r="E1053" t="s">
        <v>2849</v>
      </c>
      <c r="F1053" s="451">
        <v>46163</v>
      </c>
      <c r="G1053">
        <v>19505</v>
      </c>
      <c r="H1053" t="s">
        <v>4872</v>
      </c>
      <c r="I1053" t="s">
        <v>5191</v>
      </c>
      <c r="J1053">
        <v>5</v>
      </c>
      <c r="K1053" t="s">
        <v>4744</v>
      </c>
      <c r="L1053">
        <v>47.5</v>
      </c>
      <c r="M1053">
        <v>9.5</v>
      </c>
      <c r="N1053" t="s">
        <v>5191</v>
      </c>
      <c r="O1053" t="s">
        <v>463</v>
      </c>
    </row>
    <row r="1054" spans="1:15" x14ac:dyDescent="0.3">
      <c r="A1054">
        <v>235342</v>
      </c>
      <c r="B1054">
        <v>105</v>
      </c>
      <c r="C1054" t="s">
        <v>557</v>
      </c>
      <c r="D1054" t="s">
        <v>2581</v>
      </c>
      <c r="E1054" t="s">
        <v>2849</v>
      </c>
      <c r="F1054" s="451">
        <v>46163</v>
      </c>
      <c r="G1054">
        <v>23346</v>
      </c>
      <c r="H1054" t="s">
        <v>4916</v>
      </c>
      <c r="I1054" t="s">
        <v>5191</v>
      </c>
      <c r="J1054">
        <v>2</v>
      </c>
      <c r="K1054" t="s">
        <v>4744</v>
      </c>
      <c r="L1054">
        <v>15</v>
      </c>
      <c r="M1054">
        <v>7.5</v>
      </c>
      <c r="N1054" t="s">
        <v>5191</v>
      </c>
      <c r="O1054" t="s">
        <v>463</v>
      </c>
    </row>
    <row r="1055" spans="1:15" x14ac:dyDescent="0.3">
      <c r="A1055">
        <v>235342</v>
      </c>
      <c r="B1055">
        <v>105</v>
      </c>
      <c r="C1055" t="s">
        <v>557</v>
      </c>
      <c r="D1055" t="s">
        <v>2581</v>
      </c>
      <c r="E1055" t="s">
        <v>2849</v>
      </c>
      <c r="F1055" s="451">
        <v>46163</v>
      </c>
      <c r="G1055">
        <v>19476</v>
      </c>
      <c r="H1055" t="s">
        <v>5115</v>
      </c>
      <c r="I1055" t="s">
        <v>5191</v>
      </c>
      <c r="J1055">
        <v>0.3</v>
      </c>
      <c r="K1055" t="s">
        <v>4744</v>
      </c>
      <c r="L1055">
        <v>19.5</v>
      </c>
      <c r="M1055">
        <v>65</v>
      </c>
      <c r="N1055" t="s">
        <v>5191</v>
      </c>
      <c r="O1055" t="s">
        <v>463</v>
      </c>
    </row>
    <row r="1056" spans="1:15" x14ac:dyDescent="0.3">
      <c r="A1056">
        <v>235342</v>
      </c>
      <c r="B1056">
        <v>105</v>
      </c>
      <c r="C1056" t="s">
        <v>557</v>
      </c>
      <c r="D1056" t="s">
        <v>2581</v>
      </c>
      <c r="E1056" t="s">
        <v>2849</v>
      </c>
      <c r="F1056" s="451">
        <v>46163</v>
      </c>
      <c r="G1056">
        <v>19737</v>
      </c>
      <c r="H1056" t="s">
        <v>4940</v>
      </c>
      <c r="I1056" t="s">
        <v>5191</v>
      </c>
      <c r="J1056">
        <v>1</v>
      </c>
      <c r="K1056" t="s">
        <v>4744</v>
      </c>
      <c r="L1056">
        <v>6.6</v>
      </c>
      <c r="M1056">
        <v>6.6</v>
      </c>
      <c r="N1056" t="s">
        <v>5191</v>
      </c>
      <c r="O1056" t="s">
        <v>463</v>
      </c>
    </row>
    <row r="1057" spans="1:15" x14ac:dyDescent="0.3">
      <c r="A1057">
        <v>235340</v>
      </c>
      <c r="B1057">
        <v>105</v>
      </c>
      <c r="C1057" t="s">
        <v>557</v>
      </c>
      <c r="D1057" t="s">
        <v>2581</v>
      </c>
      <c r="E1057" t="s">
        <v>2850</v>
      </c>
      <c r="F1057" s="451">
        <v>46164</v>
      </c>
      <c r="G1057">
        <v>19502</v>
      </c>
      <c r="H1057" t="s">
        <v>4871</v>
      </c>
      <c r="I1057" t="s">
        <v>5191</v>
      </c>
      <c r="J1057">
        <v>4</v>
      </c>
      <c r="K1057" t="s">
        <v>4744</v>
      </c>
      <c r="L1057">
        <v>56</v>
      </c>
      <c r="M1057">
        <v>14</v>
      </c>
      <c r="N1057" t="s">
        <v>5191</v>
      </c>
      <c r="O1057" t="s">
        <v>463</v>
      </c>
    </row>
    <row r="1058" spans="1:15" x14ac:dyDescent="0.3">
      <c r="A1058">
        <v>235340</v>
      </c>
      <c r="B1058">
        <v>105</v>
      </c>
      <c r="C1058" t="s">
        <v>557</v>
      </c>
      <c r="D1058" t="s">
        <v>2581</v>
      </c>
      <c r="E1058" t="s">
        <v>2850</v>
      </c>
      <c r="F1058" s="451">
        <v>46164</v>
      </c>
      <c r="G1058">
        <v>19751</v>
      </c>
      <c r="H1058" t="s">
        <v>4800</v>
      </c>
      <c r="I1058" t="s">
        <v>5191</v>
      </c>
      <c r="J1058">
        <v>3</v>
      </c>
      <c r="K1058" t="s">
        <v>4744</v>
      </c>
      <c r="L1058">
        <v>25.5</v>
      </c>
      <c r="M1058">
        <v>8.5</v>
      </c>
      <c r="N1058" t="s">
        <v>5191</v>
      </c>
      <c r="O1058" t="s">
        <v>463</v>
      </c>
    </row>
    <row r="1059" spans="1:15" x14ac:dyDescent="0.3">
      <c r="A1059">
        <v>235339</v>
      </c>
      <c r="B1059">
        <v>105</v>
      </c>
      <c r="C1059" t="s">
        <v>557</v>
      </c>
      <c r="D1059" t="s">
        <v>2581</v>
      </c>
      <c r="E1059" t="s">
        <v>2851</v>
      </c>
      <c r="F1059" s="451">
        <v>46167</v>
      </c>
      <c r="G1059">
        <v>23361</v>
      </c>
      <c r="H1059" t="s">
        <v>4754</v>
      </c>
      <c r="I1059" t="s">
        <v>5191</v>
      </c>
      <c r="J1059">
        <v>20</v>
      </c>
      <c r="K1059" t="s">
        <v>4744</v>
      </c>
      <c r="L1059">
        <v>59</v>
      </c>
      <c r="M1059">
        <v>2.95</v>
      </c>
      <c r="N1059" t="s">
        <v>5272</v>
      </c>
      <c r="O1059" t="s">
        <v>463</v>
      </c>
    </row>
    <row r="1060" spans="1:15" x14ac:dyDescent="0.3">
      <c r="A1060">
        <v>235339</v>
      </c>
      <c r="B1060">
        <v>105</v>
      </c>
      <c r="C1060" t="s">
        <v>557</v>
      </c>
      <c r="D1060" t="s">
        <v>2581</v>
      </c>
      <c r="E1060" t="s">
        <v>2851</v>
      </c>
      <c r="F1060" s="451">
        <v>46167</v>
      </c>
      <c r="G1060">
        <v>19472</v>
      </c>
      <c r="H1060" t="s">
        <v>4906</v>
      </c>
      <c r="I1060" t="s">
        <v>5191</v>
      </c>
      <c r="J1060">
        <v>1</v>
      </c>
      <c r="K1060" t="s">
        <v>4744</v>
      </c>
      <c r="L1060">
        <v>20</v>
      </c>
      <c r="M1060">
        <v>20</v>
      </c>
      <c r="N1060" t="s">
        <v>5272</v>
      </c>
      <c r="O1060" t="s">
        <v>463</v>
      </c>
    </row>
    <row r="1061" spans="1:15" x14ac:dyDescent="0.3">
      <c r="A1061">
        <v>235339</v>
      </c>
      <c r="B1061">
        <v>105</v>
      </c>
      <c r="C1061" t="s">
        <v>557</v>
      </c>
      <c r="D1061" t="s">
        <v>2581</v>
      </c>
      <c r="E1061" t="s">
        <v>2851</v>
      </c>
      <c r="F1061" s="451">
        <v>46167</v>
      </c>
      <c r="G1061">
        <v>19505</v>
      </c>
      <c r="H1061" t="s">
        <v>4872</v>
      </c>
      <c r="I1061" t="s">
        <v>5191</v>
      </c>
      <c r="J1061">
        <v>4</v>
      </c>
      <c r="K1061" t="s">
        <v>4744</v>
      </c>
      <c r="L1061">
        <v>39.200000000000003</v>
      </c>
      <c r="M1061">
        <v>9.8000000000000007</v>
      </c>
      <c r="N1061" t="s">
        <v>5272</v>
      </c>
      <c r="O1061" t="s">
        <v>463</v>
      </c>
    </row>
    <row r="1062" spans="1:15" x14ac:dyDescent="0.3">
      <c r="A1062">
        <v>235339</v>
      </c>
      <c r="B1062">
        <v>105</v>
      </c>
      <c r="C1062" t="s">
        <v>557</v>
      </c>
      <c r="D1062" t="s">
        <v>2581</v>
      </c>
      <c r="E1062" t="s">
        <v>2851</v>
      </c>
      <c r="F1062" s="451">
        <v>46167</v>
      </c>
      <c r="G1062">
        <v>23113</v>
      </c>
      <c r="H1062" t="s">
        <v>5074</v>
      </c>
      <c r="I1062" t="s">
        <v>5191</v>
      </c>
      <c r="J1062">
        <v>1</v>
      </c>
      <c r="K1062" t="s">
        <v>4744</v>
      </c>
      <c r="L1062">
        <v>14</v>
      </c>
      <c r="M1062">
        <v>14</v>
      </c>
      <c r="N1062" t="s">
        <v>5272</v>
      </c>
      <c r="O1062" t="s">
        <v>463</v>
      </c>
    </row>
    <row r="1063" spans="1:15" x14ac:dyDescent="0.3">
      <c r="A1063">
        <v>235339</v>
      </c>
      <c r="B1063">
        <v>105</v>
      </c>
      <c r="C1063" t="s">
        <v>557</v>
      </c>
      <c r="D1063" t="s">
        <v>2581</v>
      </c>
      <c r="E1063" t="s">
        <v>2851</v>
      </c>
      <c r="F1063" s="451">
        <v>46167</v>
      </c>
      <c r="G1063">
        <v>19506</v>
      </c>
      <c r="H1063" t="s">
        <v>5122</v>
      </c>
      <c r="I1063" t="s">
        <v>5191</v>
      </c>
      <c r="J1063">
        <v>0.3</v>
      </c>
      <c r="K1063" t="s">
        <v>4744</v>
      </c>
      <c r="L1063">
        <v>13.5</v>
      </c>
      <c r="M1063">
        <v>45</v>
      </c>
      <c r="N1063" t="s">
        <v>5272</v>
      </c>
      <c r="O1063" t="s">
        <v>463</v>
      </c>
    </row>
    <row r="1064" spans="1:15" x14ac:dyDescent="0.3">
      <c r="A1064">
        <v>235339</v>
      </c>
      <c r="B1064">
        <v>105</v>
      </c>
      <c r="C1064" t="s">
        <v>557</v>
      </c>
      <c r="D1064" t="s">
        <v>2581</v>
      </c>
      <c r="E1064" t="s">
        <v>2851</v>
      </c>
      <c r="F1064" s="451">
        <v>46167</v>
      </c>
      <c r="G1064">
        <v>23346</v>
      </c>
      <c r="H1064" t="s">
        <v>4916</v>
      </c>
      <c r="I1064" t="s">
        <v>5191</v>
      </c>
      <c r="J1064">
        <v>2</v>
      </c>
      <c r="K1064" t="s">
        <v>4744</v>
      </c>
      <c r="L1064">
        <v>15</v>
      </c>
      <c r="M1064">
        <v>7.5</v>
      </c>
      <c r="N1064" t="s">
        <v>5272</v>
      </c>
      <c r="O1064" t="s">
        <v>463</v>
      </c>
    </row>
    <row r="1065" spans="1:15" x14ac:dyDescent="0.3">
      <c r="A1065">
        <v>235339</v>
      </c>
      <c r="B1065">
        <v>105</v>
      </c>
      <c r="C1065" t="s">
        <v>557</v>
      </c>
      <c r="D1065" t="s">
        <v>2581</v>
      </c>
      <c r="E1065" t="s">
        <v>2851</v>
      </c>
      <c r="F1065" s="451">
        <v>46167</v>
      </c>
      <c r="G1065">
        <v>19787</v>
      </c>
      <c r="H1065" t="s">
        <v>4793</v>
      </c>
      <c r="I1065" t="s">
        <v>5191</v>
      </c>
      <c r="J1065">
        <v>8</v>
      </c>
      <c r="K1065" t="s">
        <v>4744</v>
      </c>
      <c r="L1065">
        <v>46</v>
      </c>
      <c r="M1065">
        <v>5.75</v>
      </c>
      <c r="N1065" t="s">
        <v>5272</v>
      </c>
      <c r="O1065" t="s">
        <v>463</v>
      </c>
    </row>
    <row r="1066" spans="1:15" x14ac:dyDescent="0.3">
      <c r="A1066">
        <v>235339</v>
      </c>
      <c r="B1066">
        <v>105</v>
      </c>
      <c r="C1066" t="s">
        <v>557</v>
      </c>
      <c r="D1066" t="s">
        <v>2581</v>
      </c>
      <c r="E1066" t="s">
        <v>2851</v>
      </c>
      <c r="F1066" s="451">
        <v>46167</v>
      </c>
      <c r="G1066">
        <v>19480</v>
      </c>
      <c r="H1066" t="s">
        <v>5119</v>
      </c>
      <c r="I1066" t="s">
        <v>5191</v>
      </c>
      <c r="J1066">
        <v>1</v>
      </c>
      <c r="K1066" t="s">
        <v>4744</v>
      </c>
      <c r="L1066">
        <v>17</v>
      </c>
      <c r="M1066">
        <v>17</v>
      </c>
      <c r="N1066" t="s">
        <v>5272</v>
      </c>
      <c r="O1066" t="s">
        <v>463</v>
      </c>
    </row>
    <row r="1067" spans="1:15" x14ac:dyDescent="0.3">
      <c r="A1067">
        <v>235339</v>
      </c>
      <c r="B1067">
        <v>105</v>
      </c>
      <c r="C1067" t="s">
        <v>557</v>
      </c>
      <c r="D1067" t="s">
        <v>2581</v>
      </c>
      <c r="E1067" t="s">
        <v>2851</v>
      </c>
      <c r="F1067" s="451">
        <v>46167</v>
      </c>
      <c r="G1067">
        <v>24099</v>
      </c>
      <c r="H1067" t="s">
        <v>4933</v>
      </c>
      <c r="I1067" t="s">
        <v>5191</v>
      </c>
      <c r="J1067">
        <v>2</v>
      </c>
      <c r="K1067" t="s">
        <v>4744</v>
      </c>
      <c r="L1067">
        <v>40</v>
      </c>
      <c r="M1067">
        <v>20</v>
      </c>
      <c r="N1067" t="s">
        <v>5272</v>
      </c>
      <c r="O1067" t="s">
        <v>463</v>
      </c>
    </row>
    <row r="1068" spans="1:15" x14ac:dyDescent="0.3">
      <c r="A1068">
        <v>235339</v>
      </c>
      <c r="B1068">
        <v>105</v>
      </c>
      <c r="C1068" t="s">
        <v>557</v>
      </c>
      <c r="D1068" t="s">
        <v>2581</v>
      </c>
      <c r="E1068" t="s">
        <v>2851</v>
      </c>
      <c r="F1068" s="451">
        <v>46167</v>
      </c>
      <c r="G1068">
        <v>19647</v>
      </c>
      <c r="H1068" t="s">
        <v>5050</v>
      </c>
      <c r="I1068" t="s">
        <v>5191</v>
      </c>
      <c r="J1068">
        <v>1.3</v>
      </c>
      <c r="K1068" t="s">
        <v>4744</v>
      </c>
      <c r="L1068">
        <v>22.1</v>
      </c>
      <c r="M1068">
        <v>17</v>
      </c>
      <c r="N1068" t="s">
        <v>5272</v>
      </c>
      <c r="O1068" t="s">
        <v>463</v>
      </c>
    </row>
    <row r="1069" spans="1:15" x14ac:dyDescent="0.3">
      <c r="A1069">
        <v>235339</v>
      </c>
      <c r="B1069">
        <v>105</v>
      </c>
      <c r="C1069" t="s">
        <v>557</v>
      </c>
      <c r="D1069" t="s">
        <v>2581</v>
      </c>
      <c r="E1069" t="s">
        <v>2851</v>
      </c>
      <c r="F1069" s="451">
        <v>46167</v>
      </c>
      <c r="G1069">
        <v>23234</v>
      </c>
      <c r="H1069" t="s">
        <v>4986</v>
      </c>
      <c r="I1069" t="s">
        <v>5191</v>
      </c>
      <c r="J1069">
        <v>1</v>
      </c>
      <c r="K1069" t="s">
        <v>4744</v>
      </c>
      <c r="L1069">
        <v>25</v>
      </c>
      <c r="M1069">
        <v>25</v>
      </c>
      <c r="N1069" t="s">
        <v>5272</v>
      </c>
      <c r="O1069" t="s">
        <v>463</v>
      </c>
    </row>
    <row r="1070" spans="1:15" x14ac:dyDescent="0.3">
      <c r="A1070">
        <v>235339</v>
      </c>
      <c r="B1070">
        <v>105</v>
      </c>
      <c r="C1070" t="s">
        <v>557</v>
      </c>
      <c r="D1070" t="s">
        <v>2581</v>
      </c>
      <c r="E1070" t="s">
        <v>2851</v>
      </c>
      <c r="F1070" s="451">
        <v>46167</v>
      </c>
      <c r="G1070">
        <v>19476</v>
      </c>
      <c r="H1070" t="s">
        <v>5115</v>
      </c>
      <c r="I1070" t="s">
        <v>5191</v>
      </c>
      <c r="J1070">
        <v>0.3</v>
      </c>
      <c r="K1070" t="s">
        <v>4744</v>
      </c>
      <c r="L1070">
        <v>19.5</v>
      </c>
      <c r="M1070">
        <v>65</v>
      </c>
      <c r="N1070" t="s">
        <v>5272</v>
      </c>
      <c r="O1070" t="s">
        <v>463</v>
      </c>
    </row>
    <row r="1071" spans="1:15" x14ac:dyDescent="0.3">
      <c r="A1071">
        <v>235339</v>
      </c>
      <c r="B1071">
        <v>105</v>
      </c>
      <c r="C1071" t="s">
        <v>557</v>
      </c>
      <c r="D1071" t="s">
        <v>2581</v>
      </c>
      <c r="E1071" t="s">
        <v>2851</v>
      </c>
      <c r="F1071" s="451">
        <v>46167</v>
      </c>
      <c r="G1071">
        <v>19488</v>
      </c>
      <c r="H1071" t="s">
        <v>5107</v>
      </c>
      <c r="I1071" t="s">
        <v>5191</v>
      </c>
      <c r="J1071">
        <v>0.3</v>
      </c>
      <c r="K1071" t="s">
        <v>4744</v>
      </c>
      <c r="L1071">
        <v>3.9</v>
      </c>
      <c r="M1071">
        <v>13</v>
      </c>
      <c r="N1071" t="s">
        <v>5272</v>
      </c>
      <c r="O1071" t="s">
        <v>463</v>
      </c>
    </row>
    <row r="1072" spans="1:15" x14ac:dyDescent="0.3">
      <c r="A1072">
        <v>235339</v>
      </c>
      <c r="B1072">
        <v>105</v>
      </c>
      <c r="C1072" t="s">
        <v>557</v>
      </c>
      <c r="D1072" t="s">
        <v>2581</v>
      </c>
      <c r="E1072" t="s">
        <v>2851</v>
      </c>
      <c r="F1072" s="451">
        <v>46167</v>
      </c>
      <c r="G1072">
        <v>23236</v>
      </c>
      <c r="H1072" t="s">
        <v>5062</v>
      </c>
      <c r="I1072" t="s">
        <v>5191</v>
      </c>
      <c r="J1072">
        <v>3</v>
      </c>
      <c r="K1072" t="s">
        <v>4744</v>
      </c>
      <c r="L1072">
        <v>42</v>
      </c>
      <c r="M1072">
        <v>14</v>
      </c>
      <c r="N1072" t="s">
        <v>5272</v>
      </c>
      <c r="O1072" t="s">
        <v>463</v>
      </c>
    </row>
    <row r="1073" spans="1:15" x14ac:dyDescent="0.3">
      <c r="A1073">
        <v>235337</v>
      </c>
      <c r="B1073">
        <v>105</v>
      </c>
      <c r="C1073" t="s">
        <v>557</v>
      </c>
      <c r="D1073" t="s">
        <v>2581</v>
      </c>
      <c r="E1073" t="s">
        <v>2852</v>
      </c>
      <c r="F1073" s="451">
        <v>46168</v>
      </c>
      <c r="G1073">
        <v>19505</v>
      </c>
      <c r="H1073" t="s">
        <v>4872</v>
      </c>
      <c r="I1073" t="s">
        <v>5191</v>
      </c>
      <c r="J1073">
        <v>4</v>
      </c>
      <c r="K1073" t="s">
        <v>4744</v>
      </c>
      <c r="L1073">
        <v>39.200000000000003</v>
      </c>
      <c r="M1073">
        <v>9.8000000000000007</v>
      </c>
      <c r="N1073" t="s">
        <v>5191</v>
      </c>
      <c r="O1073" t="s">
        <v>463</v>
      </c>
    </row>
    <row r="1074" spans="1:15" x14ac:dyDescent="0.3">
      <c r="A1074">
        <v>235337</v>
      </c>
      <c r="B1074">
        <v>105</v>
      </c>
      <c r="C1074" t="s">
        <v>557</v>
      </c>
      <c r="D1074" t="s">
        <v>2581</v>
      </c>
      <c r="E1074" t="s">
        <v>2852</v>
      </c>
      <c r="F1074" s="451">
        <v>46168</v>
      </c>
      <c r="G1074">
        <v>19589</v>
      </c>
      <c r="H1074" t="s">
        <v>4983</v>
      </c>
      <c r="I1074" t="s">
        <v>5191</v>
      </c>
      <c r="J1074">
        <v>2</v>
      </c>
      <c r="K1074" t="s">
        <v>4744</v>
      </c>
      <c r="L1074">
        <v>19.98</v>
      </c>
      <c r="M1074">
        <v>9.99</v>
      </c>
      <c r="N1074" t="s">
        <v>5191</v>
      </c>
      <c r="O1074" t="s">
        <v>463</v>
      </c>
    </row>
    <row r="1075" spans="1:15" x14ac:dyDescent="0.3">
      <c r="A1075">
        <v>235336</v>
      </c>
      <c r="B1075">
        <v>105</v>
      </c>
      <c r="C1075" t="s">
        <v>557</v>
      </c>
      <c r="D1075" t="s">
        <v>2581</v>
      </c>
      <c r="E1075" t="s">
        <v>2853</v>
      </c>
      <c r="F1075" s="451">
        <v>46169</v>
      </c>
      <c r="G1075">
        <v>23390</v>
      </c>
      <c r="H1075" t="s">
        <v>4873</v>
      </c>
      <c r="I1075" t="s">
        <v>5191</v>
      </c>
      <c r="J1075">
        <v>1</v>
      </c>
      <c r="K1075" t="s">
        <v>4744</v>
      </c>
      <c r="L1075">
        <v>8</v>
      </c>
      <c r="M1075">
        <v>8</v>
      </c>
      <c r="N1075" t="s">
        <v>5272</v>
      </c>
      <c r="O1075" t="s">
        <v>463</v>
      </c>
    </row>
    <row r="1076" spans="1:15" x14ac:dyDescent="0.3">
      <c r="A1076">
        <v>235336</v>
      </c>
      <c r="B1076">
        <v>105</v>
      </c>
      <c r="C1076" t="s">
        <v>557</v>
      </c>
      <c r="D1076" t="s">
        <v>2581</v>
      </c>
      <c r="E1076" t="s">
        <v>2853</v>
      </c>
      <c r="F1076" s="451">
        <v>46169</v>
      </c>
      <c r="G1076">
        <v>19502</v>
      </c>
      <c r="H1076" t="s">
        <v>4871</v>
      </c>
      <c r="I1076" t="s">
        <v>5191</v>
      </c>
      <c r="J1076">
        <v>1.8</v>
      </c>
      <c r="K1076" t="s">
        <v>4744</v>
      </c>
      <c r="L1076">
        <v>30.6</v>
      </c>
      <c r="M1076">
        <v>17</v>
      </c>
      <c r="N1076" t="s">
        <v>5272</v>
      </c>
      <c r="O1076" t="s">
        <v>463</v>
      </c>
    </row>
    <row r="1077" spans="1:15" x14ac:dyDescent="0.3">
      <c r="A1077">
        <v>235336</v>
      </c>
      <c r="B1077">
        <v>105</v>
      </c>
      <c r="C1077" t="s">
        <v>557</v>
      </c>
      <c r="D1077" t="s">
        <v>2581</v>
      </c>
      <c r="E1077" t="s">
        <v>2853</v>
      </c>
      <c r="F1077" s="451">
        <v>46169</v>
      </c>
      <c r="G1077">
        <v>19632</v>
      </c>
      <c r="H1077" t="s">
        <v>4936</v>
      </c>
      <c r="I1077" t="s">
        <v>5191</v>
      </c>
      <c r="J1077">
        <v>1.3</v>
      </c>
      <c r="K1077" t="s">
        <v>4744</v>
      </c>
      <c r="L1077">
        <v>6.5</v>
      </c>
      <c r="M1077">
        <v>5</v>
      </c>
      <c r="N1077" t="s">
        <v>5272</v>
      </c>
      <c r="O1077" t="s">
        <v>463</v>
      </c>
    </row>
    <row r="1078" spans="1:15" x14ac:dyDescent="0.3">
      <c r="A1078">
        <v>235336</v>
      </c>
      <c r="B1078">
        <v>105</v>
      </c>
      <c r="C1078" t="s">
        <v>557</v>
      </c>
      <c r="D1078" t="s">
        <v>2581</v>
      </c>
      <c r="E1078" t="s">
        <v>2853</v>
      </c>
      <c r="F1078" s="451">
        <v>46169</v>
      </c>
      <c r="G1078">
        <v>19634</v>
      </c>
      <c r="H1078" t="s">
        <v>4792</v>
      </c>
      <c r="I1078" t="s">
        <v>5191</v>
      </c>
      <c r="J1078">
        <v>3</v>
      </c>
      <c r="K1078" t="s">
        <v>4744</v>
      </c>
      <c r="L1078">
        <v>22.5</v>
      </c>
      <c r="M1078">
        <v>7.5</v>
      </c>
      <c r="N1078" t="s">
        <v>5272</v>
      </c>
      <c r="O1078" t="s">
        <v>463</v>
      </c>
    </row>
    <row r="1079" spans="1:15" x14ac:dyDescent="0.3">
      <c r="A1079">
        <v>235336</v>
      </c>
      <c r="B1079">
        <v>105</v>
      </c>
      <c r="C1079" t="s">
        <v>557</v>
      </c>
      <c r="D1079" t="s">
        <v>2581</v>
      </c>
      <c r="E1079" t="s">
        <v>2853</v>
      </c>
      <c r="F1079" s="451">
        <v>46169</v>
      </c>
      <c r="G1079">
        <v>19505</v>
      </c>
      <c r="H1079" t="s">
        <v>4872</v>
      </c>
      <c r="I1079" t="s">
        <v>5191</v>
      </c>
      <c r="J1079">
        <v>4</v>
      </c>
      <c r="K1079" t="s">
        <v>4744</v>
      </c>
      <c r="L1079">
        <v>38</v>
      </c>
      <c r="M1079">
        <v>9.5</v>
      </c>
      <c r="N1079" t="s">
        <v>5272</v>
      </c>
      <c r="O1079" t="s">
        <v>463</v>
      </c>
    </row>
    <row r="1080" spans="1:15" x14ac:dyDescent="0.3">
      <c r="A1080">
        <v>235336</v>
      </c>
      <c r="B1080">
        <v>105</v>
      </c>
      <c r="C1080" t="s">
        <v>557</v>
      </c>
      <c r="D1080" t="s">
        <v>2581</v>
      </c>
      <c r="E1080" t="s">
        <v>2853</v>
      </c>
      <c r="F1080" s="451">
        <v>46169</v>
      </c>
      <c r="G1080">
        <v>23359</v>
      </c>
      <c r="H1080" t="s">
        <v>4767</v>
      </c>
      <c r="I1080" t="s">
        <v>5191</v>
      </c>
      <c r="J1080">
        <v>8</v>
      </c>
      <c r="K1080" t="s">
        <v>4744</v>
      </c>
      <c r="L1080">
        <v>20</v>
      </c>
      <c r="M1080">
        <v>2.5</v>
      </c>
      <c r="N1080" t="s">
        <v>5272</v>
      </c>
      <c r="O1080" t="s">
        <v>463</v>
      </c>
    </row>
    <row r="1081" spans="1:15" x14ac:dyDescent="0.3">
      <c r="A1081">
        <v>235336</v>
      </c>
      <c r="B1081">
        <v>105</v>
      </c>
      <c r="C1081" t="s">
        <v>557</v>
      </c>
      <c r="D1081" t="s">
        <v>2581</v>
      </c>
      <c r="E1081" t="s">
        <v>2853</v>
      </c>
      <c r="F1081" s="451">
        <v>46169</v>
      </c>
      <c r="G1081">
        <v>19658</v>
      </c>
      <c r="H1081" t="s">
        <v>4784</v>
      </c>
      <c r="I1081" t="s">
        <v>5191</v>
      </c>
      <c r="J1081">
        <v>6</v>
      </c>
      <c r="K1081" t="s">
        <v>4744</v>
      </c>
      <c r="L1081">
        <v>21.9</v>
      </c>
      <c r="M1081">
        <v>3.65</v>
      </c>
      <c r="N1081" t="s">
        <v>5272</v>
      </c>
      <c r="O1081" t="s">
        <v>463</v>
      </c>
    </row>
    <row r="1082" spans="1:15" x14ac:dyDescent="0.3">
      <c r="A1082">
        <v>235334</v>
      </c>
      <c r="B1082">
        <v>105</v>
      </c>
      <c r="C1082" t="s">
        <v>557</v>
      </c>
      <c r="D1082" t="s">
        <v>2581</v>
      </c>
      <c r="E1082" t="s">
        <v>2854</v>
      </c>
      <c r="F1082" s="451">
        <v>46170</v>
      </c>
      <c r="G1082">
        <v>19617</v>
      </c>
      <c r="H1082" t="s">
        <v>5071</v>
      </c>
      <c r="I1082" t="s">
        <v>5191</v>
      </c>
      <c r="J1082">
        <v>0.8</v>
      </c>
      <c r="K1082" t="s">
        <v>4744</v>
      </c>
      <c r="L1082">
        <v>24</v>
      </c>
      <c r="M1082">
        <v>30</v>
      </c>
      <c r="N1082" t="s">
        <v>5272</v>
      </c>
      <c r="O1082" t="s">
        <v>463</v>
      </c>
    </row>
    <row r="1083" spans="1:15" x14ac:dyDescent="0.3">
      <c r="A1083">
        <v>235334</v>
      </c>
      <c r="B1083">
        <v>105</v>
      </c>
      <c r="C1083" t="s">
        <v>557</v>
      </c>
      <c r="D1083" t="s">
        <v>2581</v>
      </c>
      <c r="E1083" t="s">
        <v>2854</v>
      </c>
      <c r="F1083" s="451">
        <v>46170</v>
      </c>
      <c r="G1083">
        <v>19505</v>
      </c>
      <c r="H1083" t="s">
        <v>4872</v>
      </c>
      <c r="I1083" t="s">
        <v>5191</v>
      </c>
      <c r="J1083">
        <v>7</v>
      </c>
      <c r="K1083" t="s">
        <v>4744</v>
      </c>
      <c r="L1083">
        <v>77</v>
      </c>
      <c r="M1083">
        <v>11</v>
      </c>
      <c r="N1083" t="s">
        <v>5272</v>
      </c>
      <c r="O1083" t="s">
        <v>463</v>
      </c>
    </row>
    <row r="1084" spans="1:15" x14ac:dyDescent="0.3">
      <c r="A1084">
        <v>235334</v>
      </c>
      <c r="B1084">
        <v>105</v>
      </c>
      <c r="C1084" t="s">
        <v>557</v>
      </c>
      <c r="D1084" t="s">
        <v>2581</v>
      </c>
      <c r="E1084" t="s">
        <v>2854</v>
      </c>
      <c r="F1084" s="451">
        <v>46170</v>
      </c>
      <c r="G1084">
        <v>19502</v>
      </c>
      <c r="H1084" t="s">
        <v>4871</v>
      </c>
      <c r="I1084" t="s">
        <v>5191</v>
      </c>
      <c r="J1084">
        <v>4</v>
      </c>
      <c r="K1084" t="s">
        <v>4744</v>
      </c>
      <c r="L1084">
        <v>68</v>
      </c>
      <c r="M1084">
        <v>17</v>
      </c>
      <c r="N1084" t="s">
        <v>5272</v>
      </c>
      <c r="O1084" t="s">
        <v>463</v>
      </c>
    </row>
    <row r="1085" spans="1:15" x14ac:dyDescent="0.3">
      <c r="A1085">
        <v>235334</v>
      </c>
      <c r="B1085">
        <v>105</v>
      </c>
      <c r="C1085" t="s">
        <v>557</v>
      </c>
      <c r="D1085" t="s">
        <v>2581</v>
      </c>
      <c r="E1085" t="s">
        <v>2854</v>
      </c>
      <c r="F1085" s="451">
        <v>46170</v>
      </c>
      <c r="G1085">
        <v>24037</v>
      </c>
      <c r="H1085" t="s">
        <v>5233</v>
      </c>
      <c r="I1085" t="s">
        <v>5191</v>
      </c>
      <c r="J1085">
        <v>3</v>
      </c>
      <c r="K1085" t="s">
        <v>4744</v>
      </c>
      <c r="L1085">
        <v>52.5</v>
      </c>
      <c r="M1085">
        <v>17.5</v>
      </c>
      <c r="N1085" t="s">
        <v>5272</v>
      </c>
      <c r="O1085" t="s">
        <v>463</v>
      </c>
    </row>
    <row r="1086" spans="1:15" x14ac:dyDescent="0.3">
      <c r="A1086">
        <v>235334</v>
      </c>
      <c r="B1086">
        <v>105</v>
      </c>
      <c r="C1086" t="s">
        <v>557</v>
      </c>
      <c r="D1086" t="s">
        <v>2581</v>
      </c>
      <c r="E1086" t="s">
        <v>2854</v>
      </c>
      <c r="F1086" s="451">
        <v>46170</v>
      </c>
      <c r="G1086">
        <v>19634</v>
      </c>
      <c r="H1086" t="s">
        <v>4792</v>
      </c>
      <c r="I1086" t="s">
        <v>5191</v>
      </c>
      <c r="J1086">
        <v>4</v>
      </c>
      <c r="K1086" t="s">
        <v>4744</v>
      </c>
      <c r="L1086">
        <v>32</v>
      </c>
      <c r="M1086">
        <v>8</v>
      </c>
      <c r="N1086" t="s">
        <v>5272</v>
      </c>
      <c r="O1086" t="s">
        <v>463</v>
      </c>
    </row>
    <row r="1087" spans="1:15" x14ac:dyDescent="0.3">
      <c r="A1087">
        <v>235334</v>
      </c>
      <c r="B1087">
        <v>105</v>
      </c>
      <c r="C1087" t="s">
        <v>557</v>
      </c>
      <c r="D1087" t="s">
        <v>2581</v>
      </c>
      <c r="E1087" t="s">
        <v>2854</v>
      </c>
      <c r="F1087" s="451">
        <v>46170</v>
      </c>
      <c r="G1087">
        <v>19737</v>
      </c>
      <c r="H1087" t="s">
        <v>4940</v>
      </c>
      <c r="I1087" t="s">
        <v>5191</v>
      </c>
      <c r="J1087">
        <v>1.5</v>
      </c>
      <c r="K1087" t="s">
        <v>4744</v>
      </c>
      <c r="L1087">
        <v>8.6999999999999993</v>
      </c>
      <c r="M1087">
        <v>5.8</v>
      </c>
      <c r="N1087" t="s">
        <v>5272</v>
      </c>
      <c r="O1087" t="s">
        <v>463</v>
      </c>
    </row>
    <row r="1088" spans="1:15" x14ac:dyDescent="0.3">
      <c r="A1088">
        <v>235334</v>
      </c>
      <c r="B1088">
        <v>105</v>
      </c>
      <c r="C1088" t="s">
        <v>557</v>
      </c>
      <c r="D1088" t="s">
        <v>2581</v>
      </c>
      <c r="E1088" t="s">
        <v>2854</v>
      </c>
      <c r="F1088" s="451">
        <v>46170</v>
      </c>
      <c r="G1088">
        <v>19621</v>
      </c>
      <c r="H1088" t="s">
        <v>4829</v>
      </c>
      <c r="I1088" t="s">
        <v>5191</v>
      </c>
      <c r="J1088">
        <v>3</v>
      </c>
      <c r="K1088" t="s">
        <v>4744</v>
      </c>
      <c r="L1088">
        <v>23.4</v>
      </c>
      <c r="M1088">
        <v>7.8</v>
      </c>
      <c r="N1088" t="s">
        <v>5272</v>
      </c>
      <c r="O1088" t="s">
        <v>463</v>
      </c>
    </row>
    <row r="1089" spans="1:15" x14ac:dyDescent="0.3">
      <c r="A1089">
        <v>235334</v>
      </c>
      <c r="B1089">
        <v>105</v>
      </c>
      <c r="C1089" t="s">
        <v>557</v>
      </c>
      <c r="D1089" t="s">
        <v>2581</v>
      </c>
      <c r="E1089" t="s">
        <v>2854</v>
      </c>
      <c r="F1089" s="451">
        <v>46170</v>
      </c>
      <c r="G1089">
        <v>23113</v>
      </c>
      <c r="H1089" t="s">
        <v>5074</v>
      </c>
      <c r="I1089" t="s">
        <v>5191</v>
      </c>
      <c r="J1089">
        <v>1</v>
      </c>
      <c r="K1089" t="s">
        <v>4744</v>
      </c>
      <c r="L1089">
        <v>13</v>
      </c>
      <c r="M1089">
        <v>13</v>
      </c>
      <c r="N1089" t="s">
        <v>5272</v>
      </c>
      <c r="O1089" t="s">
        <v>463</v>
      </c>
    </row>
    <row r="1090" spans="1:15" x14ac:dyDescent="0.3">
      <c r="A1090">
        <v>235334</v>
      </c>
      <c r="B1090">
        <v>105</v>
      </c>
      <c r="C1090" t="s">
        <v>557</v>
      </c>
      <c r="D1090" t="s">
        <v>2581</v>
      </c>
      <c r="E1090" t="s">
        <v>2854</v>
      </c>
      <c r="F1090" s="451">
        <v>46170</v>
      </c>
      <c r="G1090">
        <v>23359</v>
      </c>
      <c r="H1090" t="s">
        <v>4767</v>
      </c>
      <c r="I1090" t="s">
        <v>5191</v>
      </c>
      <c r="J1090">
        <v>10</v>
      </c>
      <c r="K1090" t="s">
        <v>4744</v>
      </c>
      <c r="L1090">
        <v>22.5</v>
      </c>
      <c r="M1090">
        <v>2.25</v>
      </c>
      <c r="N1090" t="s">
        <v>5272</v>
      </c>
      <c r="O1090" t="s">
        <v>463</v>
      </c>
    </row>
    <row r="1091" spans="1:15" x14ac:dyDescent="0.3">
      <c r="A1091">
        <v>235334</v>
      </c>
      <c r="B1091">
        <v>105</v>
      </c>
      <c r="C1091" t="s">
        <v>557</v>
      </c>
      <c r="D1091" t="s">
        <v>2581</v>
      </c>
      <c r="E1091" t="s">
        <v>2854</v>
      </c>
      <c r="F1091" s="451">
        <v>46170</v>
      </c>
      <c r="G1091">
        <v>19465</v>
      </c>
      <c r="H1091" t="s">
        <v>5114</v>
      </c>
      <c r="I1091" t="s">
        <v>5191</v>
      </c>
      <c r="J1091">
        <v>1</v>
      </c>
      <c r="K1091" t="s">
        <v>4744</v>
      </c>
      <c r="L1091">
        <v>6.5</v>
      </c>
      <c r="M1091">
        <v>6.5</v>
      </c>
      <c r="N1091" t="s">
        <v>5272</v>
      </c>
      <c r="O1091" t="s">
        <v>463</v>
      </c>
    </row>
    <row r="1092" spans="1:15" x14ac:dyDescent="0.3">
      <c r="A1092">
        <v>235334</v>
      </c>
      <c r="B1092">
        <v>105</v>
      </c>
      <c r="C1092" t="s">
        <v>557</v>
      </c>
      <c r="D1092" t="s">
        <v>2581</v>
      </c>
      <c r="E1092" t="s">
        <v>2854</v>
      </c>
      <c r="F1092" s="451">
        <v>46170</v>
      </c>
      <c r="G1092">
        <v>19752</v>
      </c>
      <c r="H1092" t="s">
        <v>4807</v>
      </c>
      <c r="I1092" t="s">
        <v>5191</v>
      </c>
      <c r="J1092">
        <v>3</v>
      </c>
      <c r="K1092" t="s">
        <v>4744</v>
      </c>
      <c r="L1092">
        <v>15</v>
      </c>
      <c r="M1092">
        <v>5</v>
      </c>
      <c r="N1092" t="s">
        <v>5272</v>
      </c>
      <c r="O1092" t="s">
        <v>463</v>
      </c>
    </row>
    <row r="1093" spans="1:15" x14ac:dyDescent="0.3">
      <c r="A1093">
        <v>235334</v>
      </c>
      <c r="B1093">
        <v>105</v>
      </c>
      <c r="C1093" t="s">
        <v>557</v>
      </c>
      <c r="D1093" t="s">
        <v>2581</v>
      </c>
      <c r="E1093" t="s">
        <v>2854</v>
      </c>
      <c r="F1093" s="451">
        <v>46170</v>
      </c>
      <c r="G1093">
        <v>19552</v>
      </c>
      <c r="H1093" t="s">
        <v>4860</v>
      </c>
      <c r="I1093" t="s">
        <v>5191</v>
      </c>
      <c r="J1093">
        <v>1</v>
      </c>
      <c r="K1093" t="s">
        <v>4744</v>
      </c>
      <c r="L1093">
        <v>8.5</v>
      </c>
      <c r="M1093">
        <v>8.5</v>
      </c>
      <c r="N1093" t="s">
        <v>5272</v>
      </c>
      <c r="O1093" t="s">
        <v>463</v>
      </c>
    </row>
    <row r="1094" spans="1:15" x14ac:dyDescent="0.3">
      <c r="A1094">
        <v>235334</v>
      </c>
      <c r="B1094">
        <v>105</v>
      </c>
      <c r="C1094" t="s">
        <v>557</v>
      </c>
      <c r="D1094" t="s">
        <v>2581</v>
      </c>
      <c r="E1094" t="s">
        <v>2854</v>
      </c>
      <c r="F1094" s="451">
        <v>46170</v>
      </c>
      <c r="G1094">
        <v>23236</v>
      </c>
      <c r="H1094" t="s">
        <v>5062</v>
      </c>
      <c r="I1094" t="s">
        <v>5191</v>
      </c>
      <c r="J1094">
        <v>3</v>
      </c>
      <c r="K1094" t="s">
        <v>4744</v>
      </c>
      <c r="L1094">
        <v>33</v>
      </c>
      <c r="M1094">
        <v>11</v>
      </c>
      <c r="N1094" t="s">
        <v>5272</v>
      </c>
      <c r="O1094" t="s">
        <v>463</v>
      </c>
    </row>
    <row r="1095" spans="1:15" x14ac:dyDescent="0.3">
      <c r="A1095">
        <v>235334</v>
      </c>
      <c r="B1095">
        <v>105</v>
      </c>
      <c r="C1095" t="s">
        <v>557</v>
      </c>
      <c r="D1095" t="s">
        <v>2581</v>
      </c>
      <c r="E1095" t="s">
        <v>2854</v>
      </c>
      <c r="F1095" s="451">
        <v>46170</v>
      </c>
      <c r="G1095">
        <v>19635</v>
      </c>
      <c r="H1095" t="s">
        <v>4786</v>
      </c>
      <c r="I1095" t="s">
        <v>5191</v>
      </c>
      <c r="J1095">
        <v>15</v>
      </c>
      <c r="K1095" t="s">
        <v>4744</v>
      </c>
      <c r="L1095">
        <v>67.5</v>
      </c>
      <c r="M1095">
        <v>4.5</v>
      </c>
      <c r="N1095" t="s">
        <v>5272</v>
      </c>
      <c r="O1095" t="s">
        <v>463</v>
      </c>
    </row>
    <row r="1096" spans="1:15" x14ac:dyDescent="0.3">
      <c r="A1096">
        <v>235334</v>
      </c>
      <c r="B1096">
        <v>105</v>
      </c>
      <c r="C1096" t="s">
        <v>557</v>
      </c>
      <c r="D1096" t="s">
        <v>2581</v>
      </c>
      <c r="E1096" t="s">
        <v>2854</v>
      </c>
      <c r="F1096" s="451">
        <v>46170</v>
      </c>
      <c r="G1096">
        <v>19589</v>
      </c>
      <c r="H1096" t="s">
        <v>4983</v>
      </c>
      <c r="I1096" t="s">
        <v>5191</v>
      </c>
      <c r="J1096">
        <v>2</v>
      </c>
      <c r="K1096" t="s">
        <v>4744</v>
      </c>
      <c r="L1096">
        <v>19</v>
      </c>
      <c r="M1096">
        <v>9.5</v>
      </c>
      <c r="N1096" t="s">
        <v>5272</v>
      </c>
      <c r="O1096" t="s">
        <v>463</v>
      </c>
    </row>
    <row r="1097" spans="1:15" x14ac:dyDescent="0.3">
      <c r="A1097">
        <v>235334</v>
      </c>
      <c r="B1097">
        <v>105</v>
      </c>
      <c r="C1097" t="s">
        <v>557</v>
      </c>
      <c r="D1097" t="s">
        <v>2581</v>
      </c>
      <c r="E1097" t="s">
        <v>2854</v>
      </c>
      <c r="F1097" s="451">
        <v>46170</v>
      </c>
      <c r="G1097">
        <v>19555</v>
      </c>
      <c r="H1097" t="s">
        <v>4903</v>
      </c>
      <c r="I1097" t="s">
        <v>5191</v>
      </c>
      <c r="J1097">
        <v>2</v>
      </c>
      <c r="K1097" t="s">
        <v>4744</v>
      </c>
      <c r="L1097">
        <v>28</v>
      </c>
      <c r="M1097">
        <v>14</v>
      </c>
      <c r="N1097" t="s">
        <v>5272</v>
      </c>
      <c r="O1097" t="s">
        <v>463</v>
      </c>
    </row>
    <row r="1098" spans="1:15" x14ac:dyDescent="0.3">
      <c r="A1098">
        <v>235334</v>
      </c>
      <c r="B1098">
        <v>105</v>
      </c>
      <c r="C1098" t="s">
        <v>557</v>
      </c>
      <c r="D1098" t="s">
        <v>2581</v>
      </c>
      <c r="E1098" t="s">
        <v>2854</v>
      </c>
      <c r="F1098" s="451">
        <v>46170</v>
      </c>
      <c r="G1098">
        <v>19553</v>
      </c>
      <c r="H1098" t="s">
        <v>4868</v>
      </c>
      <c r="I1098" t="s">
        <v>5191</v>
      </c>
      <c r="J1098">
        <v>1</v>
      </c>
      <c r="K1098" t="s">
        <v>4744</v>
      </c>
      <c r="L1098">
        <v>5.5</v>
      </c>
      <c r="M1098">
        <v>5.5</v>
      </c>
      <c r="N1098" t="s">
        <v>5272</v>
      </c>
      <c r="O1098" t="s">
        <v>463</v>
      </c>
    </row>
    <row r="1099" spans="1:15" x14ac:dyDescent="0.3">
      <c r="A1099">
        <v>235334</v>
      </c>
      <c r="B1099">
        <v>105</v>
      </c>
      <c r="C1099" t="s">
        <v>557</v>
      </c>
      <c r="D1099" t="s">
        <v>2581</v>
      </c>
      <c r="E1099" t="s">
        <v>2854</v>
      </c>
      <c r="F1099" s="451">
        <v>46170</v>
      </c>
      <c r="G1099">
        <v>19488</v>
      </c>
      <c r="H1099" t="s">
        <v>5107</v>
      </c>
      <c r="I1099" t="s">
        <v>5191</v>
      </c>
      <c r="J1099">
        <v>0.3</v>
      </c>
      <c r="K1099" t="s">
        <v>4744</v>
      </c>
      <c r="L1099">
        <v>3.9</v>
      </c>
      <c r="M1099">
        <v>13</v>
      </c>
      <c r="N1099" t="s">
        <v>5272</v>
      </c>
      <c r="O1099" t="s">
        <v>463</v>
      </c>
    </row>
    <row r="1100" spans="1:15" x14ac:dyDescent="0.3">
      <c r="A1100">
        <v>235334</v>
      </c>
      <c r="B1100">
        <v>105</v>
      </c>
      <c r="C1100" t="s">
        <v>557</v>
      </c>
      <c r="D1100" t="s">
        <v>2581</v>
      </c>
      <c r="E1100" t="s">
        <v>2854</v>
      </c>
      <c r="F1100" s="451">
        <v>46170</v>
      </c>
      <c r="G1100">
        <v>19526</v>
      </c>
      <c r="H1100" t="s">
        <v>4997</v>
      </c>
      <c r="I1100" t="s">
        <v>5191</v>
      </c>
      <c r="J1100">
        <v>1</v>
      </c>
      <c r="K1100" t="s">
        <v>4744</v>
      </c>
      <c r="L1100">
        <v>50</v>
      </c>
      <c r="M1100">
        <v>50</v>
      </c>
      <c r="N1100" t="s">
        <v>5272</v>
      </c>
      <c r="O1100" t="s">
        <v>463</v>
      </c>
    </row>
    <row r="1101" spans="1:15" x14ac:dyDescent="0.3">
      <c r="A1101">
        <v>235332</v>
      </c>
      <c r="B1101">
        <v>105</v>
      </c>
      <c r="C1101" t="s">
        <v>557</v>
      </c>
      <c r="D1101" t="s">
        <v>2579</v>
      </c>
      <c r="E1101" t="s">
        <v>2855</v>
      </c>
      <c r="F1101" s="451">
        <v>46163</v>
      </c>
      <c r="G1101">
        <v>23184</v>
      </c>
      <c r="H1101" t="s">
        <v>4935</v>
      </c>
      <c r="I1101" t="s">
        <v>5191</v>
      </c>
      <c r="J1101">
        <v>2</v>
      </c>
      <c r="K1101" t="s">
        <v>4744</v>
      </c>
      <c r="L1101">
        <v>52</v>
      </c>
      <c r="M1101">
        <v>26</v>
      </c>
      <c r="N1101" t="s">
        <v>5191</v>
      </c>
      <c r="O1101" t="s">
        <v>463</v>
      </c>
    </row>
    <row r="1102" spans="1:15" x14ac:dyDescent="0.3">
      <c r="A1102">
        <v>235332</v>
      </c>
      <c r="B1102">
        <v>105</v>
      </c>
      <c r="C1102" t="s">
        <v>557</v>
      </c>
      <c r="D1102" t="s">
        <v>2579</v>
      </c>
      <c r="E1102" t="s">
        <v>2855</v>
      </c>
      <c r="F1102" s="451">
        <v>46163</v>
      </c>
      <c r="G1102">
        <v>23096</v>
      </c>
      <c r="H1102" t="s">
        <v>5164</v>
      </c>
      <c r="I1102" t="s">
        <v>5191</v>
      </c>
      <c r="J1102">
        <v>90</v>
      </c>
      <c r="K1102" t="s">
        <v>4736</v>
      </c>
      <c r="L1102">
        <v>55.8</v>
      </c>
      <c r="M1102">
        <v>0.62</v>
      </c>
      <c r="N1102" t="s">
        <v>5191</v>
      </c>
      <c r="O1102" t="s">
        <v>463</v>
      </c>
    </row>
    <row r="1103" spans="1:15" x14ac:dyDescent="0.3">
      <c r="A1103">
        <v>235332</v>
      </c>
      <c r="B1103">
        <v>105</v>
      </c>
      <c r="C1103" t="s">
        <v>557</v>
      </c>
      <c r="D1103" t="s">
        <v>2579</v>
      </c>
      <c r="E1103" t="s">
        <v>2855</v>
      </c>
      <c r="F1103" s="451">
        <v>46163</v>
      </c>
      <c r="G1103">
        <v>19478</v>
      </c>
      <c r="H1103" t="s">
        <v>5283</v>
      </c>
      <c r="I1103" t="s">
        <v>5191</v>
      </c>
      <c r="J1103">
        <v>0.5</v>
      </c>
      <c r="K1103" t="s">
        <v>4744</v>
      </c>
      <c r="L1103">
        <v>22.75</v>
      </c>
      <c r="M1103">
        <v>45.5</v>
      </c>
      <c r="N1103" t="s">
        <v>5191</v>
      </c>
      <c r="O1103" t="s">
        <v>463</v>
      </c>
    </row>
    <row r="1104" spans="1:15" x14ac:dyDescent="0.3">
      <c r="A1104">
        <v>235332</v>
      </c>
      <c r="B1104">
        <v>105</v>
      </c>
      <c r="C1104" t="s">
        <v>557</v>
      </c>
      <c r="D1104" t="s">
        <v>2579</v>
      </c>
      <c r="E1104" t="s">
        <v>2855</v>
      </c>
      <c r="F1104" s="451">
        <v>46163</v>
      </c>
      <c r="G1104">
        <v>19734</v>
      </c>
      <c r="H1104" t="s">
        <v>4833</v>
      </c>
      <c r="I1104" t="s">
        <v>5191</v>
      </c>
      <c r="J1104">
        <v>3</v>
      </c>
      <c r="K1104" t="s">
        <v>4744</v>
      </c>
      <c r="L1104">
        <v>39</v>
      </c>
      <c r="M1104">
        <v>13</v>
      </c>
      <c r="N1104" t="s">
        <v>5191</v>
      </c>
      <c r="O1104" t="s">
        <v>463</v>
      </c>
    </row>
    <row r="1105" spans="1:15" x14ac:dyDescent="0.3">
      <c r="A1105">
        <v>235332</v>
      </c>
      <c r="B1105">
        <v>105</v>
      </c>
      <c r="C1105" t="s">
        <v>557</v>
      </c>
      <c r="D1105" t="s">
        <v>2579</v>
      </c>
      <c r="E1105" t="s">
        <v>2855</v>
      </c>
      <c r="F1105" s="451">
        <v>46163</v>
      </c>
      <c r="G1105">
        <v>23198</v>
      </c>
      <c r="H1105" t="s">
        <v>4962</v>
      </c>
      <c r="I1105" t="s">
        <v>5191</v>
      </c>
      <c r="J1105">
        <v>0.6</v>
      </c>
      <c r="K1105" t="s">
        <v>4744</v>
      </c>
      <c r="L1105">
        <v>10.14</v>
      </c>
      <c r="M1105">
        <v>16.899999999999999</v>
      </c>
      <c r="N1105" t="s">
        <v>5191</v>
      </c>
      <c r="O1105" t="s">
        <v>463</v>
      </c>
    </row>
    <row r="1106" spans="1:15" x14ac:dyDescent="0.3">
      <c r="A1106">
        <v>235332</v>
      </c>
      <c r="B1106">
        <v>105</v>
      </c>
      <c r="C1106" t="s">
        <v>557</v>
      </c>
      <c r="D1106" t="s">
        <v>2579</v>
      </c>
      <c r="E1106" t="s">
        <v>2855</v>
      </c>
      <c r="F1106" s="451">
        <v>46163</v>
      </c>
      <c r="G1106">
        <v>19790</v>
      </c>
      <c r="H1106" t="s">
        <v>5073</v>
      </c>
      <c r="I1106" t="s">
        <v>5191</v>
      </c>
      <c r="J1106">
        <v>1</v>
      </c>
      <c r="K1106" t="s">
        <v>4744</v>
      </c>
      <c r="L1106">
        <v>48</v>
      </c>
      <c r="M1106">
        <v>48</v>
      </c>
      <c r="N1106" t="s">
        <v>5191</v>
      </c>
      <c r="O1106" t="s">
        <v>463</v>
      </c>
    </row>
    <row r="1107" spans="1:15" x14ac:dyDescent="0.3">
      <c r="A1107">
        <v>235332</v>
      </c>
      <c r="B1107">
        <v>105</v>
      </c>
      <c r="C1107" t="s">
        <v>557</v>
      </c>
      <c r="D1107" t="s">
        <v>2579</v>
      </c>
      <c r="E1107" t="s">
        <v>2855</v>
      </c>
      <c r="F1107" s="451">
        <v>46163</v>
      </c>
      <c r="G1107">
        <v>19634</v>
      </c>
      <c r="H1107" t="s">
        <v>4792</v>
      </c>
      <c r="I1107" t="s">
        <v>5191</v>
      </c>
      <c r="J1107">
        <v>4</v>
      </c>
      <c r="K1107" t="s">
        <v>4744</v>
      </c>
      <c r="L1107">
        <v>31.2</v>
      </c>
      <c r="M1107">
        <v>7.8</v>
      </c>
      <c r="N1107" t="s">
        <v>5191</v>
      </c>
      <c r="O1107" t="s">
        <v>463</v>
      </c>
    </row>
    <row r="1108" spans="1:15" x14ac:dyDescent="0.3">
      <c r="A1108">
        <v>235332</v>
      </c>
      <c r="B1108">
        <v>105</v>
      </c>
      <c r="C1108" t="s">
        <v>557</v>
      </c>
      <c r="D1108" t="s">
        <v>2579</v>
      </c>
      <c r="E1108" t="s">
        <v>2855</v>
      </c>
      <c r="F1108" s="451">
        <v>46163</v>
      </c>
      <c r="G1108">
        <v>23385</v>
      </c>
      <c r="H1108" t="s">
        <v>4938</v>
      </c>
      <c r="I1108" t="s">
        <v>5191</v>
      </c>
      <c r="J1108">
        <v>1.2</v>
      </c>
      <c r="K1108" t="s">
        <v>4744</v>
      </c>
      <c r="L1108">
        <v>78</v>
      </c>
      <c r="M1108">
        <v>65</v>
      </c>
      <c r="N1108" t="s">
        <v>5191</v>
      </c>
      <c r="O1108" t="s">
        <v>463</v>
      </c>
    </row>
    <row r="1109" spans="1:15" x14ac:dyDescent="0.3">
      <c r="A1109">
        <v>235332</v>
      </c>
      <c r="B1109">
        <v>105</v>
      </c>
      <c r="C1109" t="s">
        <v>557</v>
      </c>
      <c r="D1109" t="s">
        <v>2579</v>
      </c>
      <c r="E1109" t="s">
        <v>2855</v>
      </c>
      <c r="F1109" s="451">
        <v>46163</v>
      </c>
      <c r="G1109">
        <v>19658</v>
      </c>
      <c r="H1109" t="s">
        <v>4784</v>
      </c>
      <c r="I1109" t="s">
        <v>5191</v>
      </c>
      <c r="J1109">
        <v>6</v>
      </c>
      <c r="K1109" t="s">
        <v>4744</v>
      </c>
      <c r="L1109">
        <v>21.84</v>
      </c>
      <c r="M1109">
        <v>3.64</v>
      </c>
      <c r="N1109" t="s">
        <v>5191</v>
      </c>
      <c r="O1109" t="s">
        <v>463</v>
      </c>
    </row>
    <row r="1110" spans="1:15" x14ac:dyDescent="0.3">
      <c r="A1110">
        <v>235332</v>
      </c>
      <c r="B1110">
        <v>105</v>
      </c>
      <c r="C1110" t="s">
        <v>557</v>
      </c>
      <c r="D1110" t="s">
        <v>2579</v>
      </c>
      <c r="E1110" t="s">
        <v>2855</v>
      </c>
      <c r="F1110" s="451">
        <v>46163</v>
      </c>
      <c r="G1110">
        <v>19562</v>
      </c>
      <c r="H1110" t="s">
        <v>4939</v>
      </c>
      <c r="I1110" t="s">
        <v>5191</v>
      </c>
      <c r="J1110">
        <v>0.6</v>
      </c>
      <c r="K1110" t="s">
        <v>4744</v>
      </c>
      <c r="L1110">
        <v>10.14</v>
      </c>
      <c r="M1110">
        <v>16.899999999999999</v>
      </c>
      <c r="N1110" t="s">
        <v>5191</v>
      </c>
      <c r="O1110" t="s">
        <v>463</v>
      </c>
    </row>
    <row r="1111" spans="1:15" x14ac:dyDescent="0.3">
      <c r="A1111">
        <v>235332</v>
      </c>
      <c r="B1111">
        <v>105</v>
      </c>
      <c r="C1111" t="s">
        <v>557</v>
      </c>
      <c r="D1111" t="s">
        <v>2579</v>
      </c>
      <c r="E1111" t="s">
        <v>2855</v>
      </c>
      <c r="F1111" s="451">
        <v>46163</v>
      </c>
      <c r="G1111">
        <v>23335</v>
      </c>
      <c r="H1111" t="s">
        <v>4961</v>
      </c>
      <c r="I1111" t="s">
        <v>5191</v>
      </c>
      <c r="J1111">
        <v>1</v>
      </c>
      <c r="K1111" t="s">
        <v>4744</v>
      </c>
      <c r="L1111">
        <v>28.6</v>
      </c>
      <c r="M1111">
        <v>28.6</v>
      </c>
      <c r="N1111" t="s">
        <v>5191</v>
      </c>
      <c r="O1111" t="s">
        <v>463</v>
      </c>
    </row>
    <row r="1112" spans="1:15" x14ac:dyDescent="0.3">
      <c r="A1112">
        <v>235332</v>
      </c>
      <c r="B1112">
        <v>105</v>
      </c>
      <c r="C1112" t="s">
        <v>557</v>
      </c>
      <c r="D1112" t="s">
        <v>2579</v>
      </c>
      <c r="E1112" t="s">
        <v>2855</v>
      </c>
      <c r="F1112" s="451">
        <v>46163</v>
      </c>
      <c r="G1112">
        <v>19621</v>
      </c>
      <c r="H1112" t="s">
        <v>4829</v>
      </c>
      <c r="I1112" t="s">
        <v>5191</v>
      </c>
      <c r="J1112">
        <v>2.2000000000000002</v>
      </c>
      <c r="K1112" t="s">
        <v>4744</v>
      </c>
      <c r="L1112">
        <v>18.59</v>
      </c>
      <c r="M1112">
        <v>8.4499999999999993</v>
      </c>
      <c r="N1112" t="s">
        <v>5191</v>
      </c>
      <c r="O1112" t="s">
        <v>463</v>
      </c>
    </row>
    <row r="1113" spans="1:15" x14ac:dyDescent="0.3">
      <c r="A1113">
        <v>235331</v>
      </c>
      <c r="B1113">
        <v>105</v>
      </c>
      <c r="C1113" t="s">
        <v>557</v>
      </c>
      <c r="D1113" t="s">
        <v>2579</v>
      </c>
      <c r="E1113" t="s">
        <v>2856</v>
      </c>
      <c r="F1113" s="451">
        <v>46169</v>
      </c>
      <c r="G1113">
        <v>19654</v>
      </c>
      <c r="H1113" t="s">
        <v>5099</v>
      </c>
      <c r="I1113" t="s">
        <v>5191</v>
      </c>
      <c r="J1113">
        <v>4</v>
      </c>
      <c r="K1113" t="s">
        <v>4744</v>
      </c>
      <c r="L1113">
        <v>26</v>
      </c>
      <c r="M1113">
        <v>6.5</v>
      </c>
      <c r="N1113" t="s">
        <v>5272</v>
      </c>
      <c r="O1113" t="s">
        <v>463</v>
      </c>
    </row>
    <row r="1114" spans="1:15" x14ac:dyDescent="0.3">
      <c r="A1114">
        <v>235331</v>
      </c>
      <c r="B1114">
        <v>105</v>
      </c>
      <c r="C1114" t="s">
        <v>557</v>
      </c>
      <c r="D1114" t="s">
        <v>2579</v>
      </c>
      <c r="E1114" t="s">
        <v>2856</v>
      </c>
      <c r="F1114" s="451">
        <v>46169</v>
      </c>
      <c r="G1114">
        <v>19476</v>
      </c>
      <c r="H1114" t="s">
        <v>5115</v>
      </c>
      <c r="I1114" t="s">
        <v>5191</v>
      </c>
      <c r="J1114">
        <v>0.2</v>
      </c>
      <c r="K1114" t="s">
        <v>4744</v>
      </c>
      <c r="L1114">
        <v>10.01</v>
      </c>
      <c r="M1114">
        <v>50.05</v>
      </c>
      <c r="N1114" t="s">
        <v>5272</v>
      </c>
      <c r="O1114" t="s">
        <v>463</v>
      </c>
    </row>
    <row r="1115" spans="1:15" x14ac:dyDescent="0.3">
      <c r="A1115">
        <v>235331</v>
      </c>
      <c r="B1115">
        <v>105</v>
      </c>
      <c r="C1115" t="s">
        <v>557</v>
      </c>
      <c r="D1115" t="s">
        <v>2579</v>
      </c>
      <c r="E1115" t="s">
        <v>2856</v>
      </c>
      <c r="F1115" s="451">
        <v>46169</v>
      </c>
      <c r="G1115">
        <v>24598</v>
      </c>
      <c r="H1115" t="s">
        <v>4852</v>
      </c>
      <c r="I1115" t="s">
        <v>5191</v>
      </c>
      <c r="J1115">
        <v>1.5</v>
      </c>
      <c r="K1115" t="s">
        <v>4744</v>
      </c>
      <c r="L1115">
        <v>17.87</v>
      </c>
      <c r="M1115">
        <v>11.913333</v>
      </c>
      <c r="N1115" t="s">
        <v>5272</v>
      </c>
      <c r="O1115" t="s">
        <v>463</v>
      </c>
    </row>
    <row r="1116" spans="1:15" x14ac:dyDescent="0.3">
      <c r="A1116">
        <v>235331</v>
      </c>
      <c r="B1116">
        <v>105</v>
      </c>
      <c r="C1116" t="s">
        <v>557</v>
      </c>
      <c r="D1116" t="s">
        <v>2579</v>
      </c>
      <c r="E1116" t="s">
        <v>2856</v>
      </c>
      <c r="F1116" s="451">
        <v>46169</v>
      </c>
      <c r="G1116">
        <v>23096</v>
      </c>
      <c r="H1116" t="s">
        <v>5164</v>
      </c>
      <c r="I1116" t="s">
        <v>5191</v>
      </c>
      <c r="J1116">
        <v>60</v>
      </c>
      <c r="K1116" t="s">
        <v>4736</v>
      </c>
      <c r="L1116">
        <v>36.6</v>
      </c>
      <c r="M1116">
        <v>0.61</v>
      </c>
      <c r="N1116" t="s">
        <v>5272</v>
      </c>
      <c r="O1116" t="s">
        <v>463</v>
      </c>
    </row>
    <row r="1117" spans="1:15" x14ac:dyDescent="0.3">
      <c r="A1117">
        <v>235329</v>
      </c>
      <c r="B1117">
        <v>105</v>
      </c>
      <c r="C1117" t="s">
        <v>557</v>
      </c>
      <c r="D1117" t="s">
        <v>2579</v>
      </c>
      <c r="E1117" t="s">
        <v>2857</v>
      </c>
      <c r="F1117" s="451">
        <v>46170</v>
      </c>
      <c r="G1117">
        <v>19506</v>
      </c>
      <c r="H1117" t="s">
        <v>5122</v>
      </c>
      <c r="I1117" t="s">
        <v>5191</v>
      </c>
      <c r="J1117">
        <v>0.3</v>
      </c>
      <c r="K1117" t="s">
        <v>4744</v>
      </c>
      <c r="L1117">
        <v>10.72</v>
      </c>
      <c r="M1117">
        <v>35.733333000000002</v>
      </c>
      <c r="N1117" t="s">
        <v>5272</v>
      </c>
      <c r="O1117" t="s">
        <v>463</v>
      </c>
    </row>
    <row r="1118" spans="1:15" x14ac:dyDescent="0.3">
      <c r="A1118">
        <v>235329</v>
      </c>
      <c r="B1118">
        <v>105</v>
      </c>
      <c r="C1118" t="s">
        <v>557</v>
      </c>
      <c r="D1118" t="s">
        <v>2579</v>
      </c>
      <c r="E1118" t="s">
        <v>2857</v>
      </c>
      <c r="F1118" s="451">
        <v>46170</v>
      </c>
      <c r="G1118">
        <v>19740</v>
      </c>
      <c r="H1118" t="s">
        <v>4779</v>
      </c>
      <c r="I1118" t="s">
        <v>5191</v>
      </c>
      <c r="J1118">
        <v>10</v>
      </c>
      <c r="K1118" t="s">
        <v>4744</v>
      </c>
      <c r="L1118">
        <v>91</v>
      </c>
      <c r="M1118">
        <v>9.1</v>
      </c>
      <c r="N1118" t="s">
        <v>5272</v>
      </c>
      <c r="O1118" t="s">
        <v>463</v>
      </c>
    </row>
    <row r="1119" spans="1:15" x14ac:dyDescent="0.3">
      <c r="A1119">
        <v>235329</v>
      </c>
      <c r="B1119">
        <v>105</v>
      </c>
      <c r="C1119" t="s">
        <v>557</v>
      </c>
      <c r="D1119" t="s">
        <v>2579</v>
      </c>
      <c r="E1119" t="s">
        <v>2857</v>
      </c>
      <c r="F1119" s="451">
        <v>46170</v>
      </c>
      <c r="G1119">
        <v>23184</v>
      </c>
      <c r="H1119" t="s">
        <v>4935</v>
      </c>
      <c r="I1119" t="s">
        <v>5191</v>
      </c>
      <c r="J1119">
        <v>2</v>
      </c>
      <c r="K1119" t="s">
        <v>4744</v>
      </c>
      <c r="L1119">
        <v>52</v>
      </c>
      <c r="M1119">
        <v>26</v>
      </c>
      <c r="N1119" t="s">
        <v>5272</v>
      </c>
      <c r="O1119" t="s">
        <v>463</v>
      </c>
    </row>
    <row r="1120" spans="1:15" x14ac:dyDescent="0.3">
      <c r="A1120">
        <v>235329</v>
      </c>
      <c r="B1120">
        <v>105</v>
      </c>
      <c r="C1120" t="s">
        <v>557</v>
      </c>
      <c r="D1120" t="s">
        <v>2579</v>
      </c>
      <c r="E1120" t="s">
        <v>2857</v>
      </c>
      <c r="F1120" s="451">
        <v>46170</v>
      </c>
      <c r="G1120">
        <v>23361</v>
      </c>
      <c r="H1120" t="s">
        <v>4754</v>
      </c>
      <c r="I1120" t="s">
        <v>5191</v>
      </c>
      <c r="J1120">
        <v>40</v>
      </c>
      <c r="K1120" t="s">
        <v>4744</v>
      </c>
      <c r="L1120">
        <v>104</v>
      </c>
      <c r="M1120">
        <v>2.6</v>
      </c>
      <c r="N1120" t="s">
        <v>5272</v>
      </c>
      <c r="O1120" t="s">
        <v>463</v>
      </c>
    </row>
    <row r="1121" spans="1:15" x14ac:dyDescent="0.3">
      <c r="A1121">
        <v>235329</v>
      </c>
      <c r="B1121">
        <v>105</v>
      </c>
      <c r="C1121" t="s">
        <v>557</v>
      </c>
      <c r="D1121" t="s">
        <v>2579</v>
      </c>
      <c r="E1121" t="s">
        <v>2857</v>
      </c>
      <c r="F1121" s="451">
        <v>46170</v>
      </c>
      <c r="G1121">
        <v>23198</v>
      </c>
      <c r="H1121" t="s">
        <v>4962</v>
      </c>
      <c r="I1121" t="s">
        <v>5191</v>
      </c>
      <c r="J1121">
        <v>0.7</v>
      </c>
      <c r="K1121" t="s">
        <v>4744</v>
      </c>
      <c r="L1121">
        <v>9.1</v>
      </c>
      <c r="M1121">
        <v>13</v>
      </c>
      <c r="N1121" t="s">
        <v>5272</v>
      </c>
      <c r="O1121" t="s">
        <v>463</v>
      </c>
    </row>
    <row r="1122" spans="1:15" x14ac:dyDescent="0.3">
      <c r="A1122">
        <v>235329</v>
      </c>
      <c r="B1122">
        <v>105</v>
      </c>
      <c r="C1122" t="s">
        <v>557</v>
      </c>
      <c r="D1122" t="s">
        <v>2579</v>
      </c>
      <c r="E1122" t="s">
        <v>2857</v>
      </c>
      <c r="F1122" s="451">
        <v>46170</v>
      </c>
      <c r="G1122">
        <v>19492</v>
      </c>
      <c r="H1122" t="s">
        <v>4937</v>
      </c>
      <c r="I1122" t="s">
        <v>5191</v>
      </c>
      <c r="J1122">
        <v>2</v>
      </c>
      <c r="K1122" t="s">
        <v>4744</v>
      </c>
      <c r="L1122">
        <v>42.9</v>
      </c>
      <c r="M1122">
        <v>21.45</v>
      </c>
      <c r="N1122" t="s">
        <v>5272</v>
      </c>
      <c r="O1122" t="s">
        <v>463</v>
      </c>
    </row>
    <row r="1123" spans="1:15" x14ac:dyDescent="0.3">
      <c r="A1123">
        <v>235329</v>
      </c>
      <c r="B1123">
        <v>105</v>
      </c>
      <c r="C1123" t="s">
        <v>557</v>
      </c>
      <c r="D1123" t="s">
        <v>2579</v>
      </c>
      <c r="E1123" t="s">
        <v>2857</v>
      </c>
      <c r="F1123" s="451">
        <v>46170</v>
      </c>
      <c r="G1123">
        <v>23238</v>
      </c>
      <c r="H1123" t="s">
        <v>4934</v>
      </c>
      <c r="I1123" t="s">
        <v>5191</v>
      </c>
      <c r="J1123">
        <v>1.7</v>
      </c>
      <c r="K1123" t="s">
        <v>4744</v>
      </c>
      <c r="L1123">
        <v>24.31</v>
      </c>
      <c r="M1123">
        <v>14.3</v>
      </c>
      <c r="N1123" t="s">
        <v>5272</v>
      </c>
      <c r="O1123" t="s">
        <v>463</v>
      </c>
    </row>
    <row r="1124" spans="1:15" x14ac:dyDescent="0.3">
      <c r="A1124">
        <v>235329</v>
      </c>
      <c r="B1124">
        <v>105</v>
      </c>
      <c r="C1124" t="s">
        <v>557</v>
      </c>
      <c r="D1124" t="s">
        <v>2579</v>
      </c>
      <c r="E1124" t="s">
        <v>2857</v>
      </c>
      <c r="F1124" s="451">
        <v>46170</v>
      </c>
      <c r="G1124">
        <v>24509</v>
      </c>
      <c r="H1124" t="s">
        <v>4788</v>
      </c>
      <c r="I1124" t="s">
        <v>5191</v>
      </c>
      <c r="J1124">
        <v>10</v>
      </c>
      <c r="K1124" t="s">
        <v>4744</v>
      </c>
      <c r="L1124">
        <v>45.5</v>
      </c>
      <c r="M1124">
        <v>4.55</v>
      </c>
      <c r="N1124" t="s">
        <v>5272</v>
      </c>
      <c r="O1124" t="s">
        <v>463</v>
      </c>
    </row>
    <row r="1125" spans="1:15" x14ac:dyDescent="0.3">
      <c r="A1125">
        <v>235329</v>
      </c>
      <c r="B1125">
        <v>105</v>
      </c>
      <c r="C1125" t="s">
        <v>557</v>
      </c>
      <c r="D1125" t="s">
        <v>2579</v>
      </c>
      <c r="E1125" t="s">
        <v>2857</v>
      </c>
      <c r="F1125" s="451">
        <v>46170</v>
      </c>
      <c r="G1125">
        <v>23096</v>
      </c>
      <c r="H1125" t="s">
        <v>5164</v>
      </c>
      <c r="I1125" t="s">
        <v>5191</v>
      </c>
      <c r="J1125">
        <v>90</v>
      </c>
      <c r="K1125" t="s">
        <v>4736</v>
      </c>
      <c r="L1125">
        <v>54.9</v>
      </c>
      <c r="M1125">
        <v>0.61</v>
      </c>
      <c r="N1125" t="s">
        <v>5272</v>
      </c>
      <c r="O1125" t="s">
        <v>463</v>
      </c>
    </row>
    <row r="1126" spans="1:15" x14ac:dyDescent="0.3">
      <c r="A1126">
        <v>235329</v>
      </c>
      <c r="B1126">
        <v>105</v>
      </c>
      <c r="C1126" t="s">
        <v>557</v>
      </c>
      <c r="D1126" t="s">
        <v>2579</v>
      </c>
      <c r="E1126" t="s">
        <v>2857</v>
      </c>
      <c r="F1126" s="451">
        <v>46170</v>
      </c>
      <c r="G1126">
        <v>19654</v>
      </c>
      <c r="H1126" t="s">
        <v>5099</v>
      </c>
      <c r="I1126" t="s">
        <v>5191</v>
      </c>
      <c r="J1126">
        <v>4</v>
      </c>
      <c r="K1126" t="s">
        <v>4744</v>
      </c>
      <c r="L1126">
        <v>26</v>
      </c>
      <c r="M1126">
        <v>6.5</v>
      </c>
      <c r="N1126" t="s">
        <v>5272</v>
      </c>
      <c r="O1126" t="s">
        <v>463</v>
      </c>
    </row>
    <row r="1127" spans="1:15" x14ac:dyDescent="0.3">
      <c r="A1127">
        <v>235329</v>
      </c>
      <c r="B1127">
        <v>105</v>
      </c>
      <c r="C1127" t="s">
        <v>557</v>
      </c>
      <c r="D1127" t="s">
        <v>2579</v>
      </c>
      <c r="E1127" t="s">
        <v>2857</v>
      </c>
      <c r="F1127" s="451">
        <v>46170</v>
      </c>
      <c r="G1127">
        <v>19476</v>
      </c>
      <c r="H1127" t="s">
        <v>5115</v>
      </c>
      <c r="I1127" t="s">
        <v>5191</v>
      </c>
      <c r="J1127">
        <v>0.2</v>
      </c>
      <c r="K1127" t="s">
        <v>4744</v>
      </c>
      <c r="L1127">
        <v>10.01</v>
      </c>
      <c r="M1127">
        <v>50.05</v>
      </c>
      <c r="N1127" t="s">
        <v>5272</v>
      </c>
      <c r="O1127" t="s">
        <v>463</v>
      </c>
    </row>
    <row r="1128" spans="1:15" x14ac:dyDescent="0.3">
      <c r="A1128">
        <v>235329</v>
      </c>
      <c r="B1128">
        <v>105</v>
      </c>
      <c r="C1128" t="s">
        <v>557</v>
      </c>
      <c r="D1128" t="s">
        <v>2579</v>
      </c>
      <c r="E1128" t="s">
        <v>2857</v>
      </c>
      <c r="F1128" s="451">
        <v>46170</v>
      </c>
      <c r="G1128">
        <v>19562</v>
      </c>
      <c r="H1128" t="s">
        <v>4939</v>
      </c>
      <c r="I1128" t="s">
        <v>5191</v>
      </c>
      <c r="J1128">
        <v>0.8</v>
      </c>
      <c r="K1128" t="s">
        <v>4744</v>
      </c>
      <c r="L1128">
        <v>10.4</v>
      </c>
      <c r="M1128">
        <v>13</v>
      </c>
      <c r="N1128" t="s">
        <v>5272</v>
      </c>
      <c r="O1128" t="s">
        <v>463</v>
      </c>
    </row>
    <row r="1129" spans="1:15" x14ac:dyDescent="0.3">
      <c r="A1129">
        <v>235329</v>
      </c>
      <c r="B1129">
        <v>105</v>
      </c>
      <c r="C1129" t="s">
        <v>557</v>
      </c>
      <c r="D1129" t="s">
        <v>2579</v>
      </c>
      <c r="E1129" t="s">
        <v>2857</v>
      </c>
      <c r="F1129" s="451">
        <v>46170</v>
      </c>
      <c r="G1129">
        <v>19472</v>
      </c>
      <c r="H1129" t="s">
        <v>4906</v>
      </c>
      <c r="I1129" t="s">
        <v>5191</v>
      </c>
      <c r="J1129">
        <v>2</v>
      </c>
      <c r="K1129" t="s">
        <v>4744</v>
      </c>
      <c r="L1129">
        <v>38.119999999999997</v>
      </c>
      <c r="M1129">
        <v>19.059999999999999</v>
      </c>
      <c r="N1129" t="s">
        <v>5272</v>
      </c>
      <c r="O1129" t="s">
        <v>463</v>
      </c>
    </row>
    <row r="1130" spans="1:15" x14ac:dyDescent="0.3">
      <c r="A1130">
        <v>235326</v>
      </c>
      <c r="B1130">
        <v>105</v>
      </c>
      <c r="C1130" t="s">
        <v>557</v>
      </c>
      <c r="D1130" t="s">
        <v>2577</v>
      </c>
      <c r="E1130" t="s">
        <v>2858</v>
      </c>
      <c r="F1130" s="451">
        <v>46168</v>
      </c>
      <c r="G1130">
        <v>24497</v>
      </c>
      <c r="H1130" t="s">
        <v>5231</v>
      </c>
      <c r="I1130" t="s">
        <v>5232</v>
      </c>
      <c r="J1130">
        <v>1</v>
      </c>
      <c r="K1130" t="s">
        <v>4736</v>
      </c>
      <c r="L1130">
        <v>139.02000000000001</v>
      </c>
      <c r="M1130">
        <v>139.02000000000001</v>
      </c>
      <c r="N1130" t="s">
        <v>5288</v>
      </c>
      <c r="O1130" t="s">
        <v>463</v>
      </c>
    </row>
    <row r="1131" spans="1:15" x14ac:dyDescent="0.3">
      <c r="A1131">
        <v>235324</v>
      </c>
      <c r="B1131">
        <v>105</v>
      </c>
      <c r="C1131" t="s">
        <v>557</v>
      </c>
      <c r="D1131" t="s">
        <v>2563</v>
      </c>
      <c r="E1131" t="s">
        <v>2859</v>
      </c>
      <c r="F1131" s="451">
        <v>46170</v>
      </c>
      <c r="G1131">
        <v>23335</v>
      </c>
      <c r="H1131" t="s">
        <v>4961</v>
      </c>
      <c r="I1131" t="s">
        <v>5191</v>
      </c>
      <c r="J1131">
        <v>1</v>
      </c>
      <c r="K1131" t="s">
        <v>4744</v>
      </c>
      <c r="L1131">
        <v>33.35</v>
      </c>
      <c r="M1131">
        <v>33.35</v>
      </c>
      <c r="N1131" t="s">
        <v>5272</v>
      </c>
      <c r="O1131" t="s">
        <v>463</v>
      </c>
    </row>
    <row r="1132" spans="1:15" x14ac:dyDescent="0.3">
      <c r="A1132">
        <v>235324</v>
      </c>
      <c r="B1132">
        <v>105</v>
      </c>
      <c r="C1132" t="s">
        <v>557</v>
      </c>
      <c r="D1132" t="s">
        <v>2563</v>
      </c>
      <c r="E1132" t="s">
        <v>2859</v>
      </c>
      <c r="F1132" s="451">
        <v>46170</v>
      </c>
      <c r="G1132">
        <v>19532</v>
      </c>
      <c r="H1132" t="s">
        <v>4753</v>
      </c>
      <c r="I1132" t="s">
        <v>5191</v>
      </c>
      <c r="J1132">
        <v>30</v>
      </c>
      <c r="K1132" t="s">
        <v>4744</v>
      </c>
      <c r="L1132">
        <v>352.2</v>
      </c>
      <c r="M1132">
        <v>11.74</v>
      </c>
      <c r="N1132" t="s">
        <v>5272</v>
      </c>
      <c r="O1132" t="s">
        <v>463</v>
      </c>
    </row>
    <row r="1133" spans="1:15" x14ac:dyDescent="0.3">
      <c r="A1133">
        <v>235324</v>
      </c>
      <c r="B1133">
        <v>105</v>
      </c>
      <c r="C1133" t="s">
        <v>557</v>
      </c>
      <c r="D1133" t="s">
        <v>2563</v>
      </c>
      <c r="E1133" t="s">
        <v>2859</v>
      </c>
      <c r="F1133" s="451">
        <v>46170</v>
      </c>
      <c r="G1133">
        <v>19728</v>
      </c>
      <c r="H1133" t="s">
        <v>5106</v>
      </c>
      <c r="I1133" t="s">
        <v>5191</v>
      </c>
      <c r="J1133">
        <v>1.4</v>
      </c>
      <c r="K1133" t="s">
        <v>4744</v>
      </c>
      <c r="L1133">
        <v>14.01</v>
      </c>
      <c r="M1133">
        <v>10.007142999999999</v>
      </c>
      <c r="N1133" t="s">
        <v>5272</v>
      </c>
      <c r="O1133" t="s">
        <v>463</v>
      </c>
    </row>
    <row r="1134" spans="1:15" x14ac:dyDescent="0.3">
      <c r="A1134">
        <v>235324</v>
      </c>
      <c r="B1134">
        <v>105</v>
      </c>
      <c r="C1134" t="s">
        <v>557</v>
      </c>
      <c r="D1134" t="s">
        <v>2563</v>
      </c>
      <c r="E1134" t="s">
        <v>2859</v>
      </c>
      <c r="F1134" s="451">
        <v>46170</v>
      </c>
      <c r="G1134">
        <v>19558</v>
      </c>
      <c r="H1134" t="s">
        <v>4994</v>
      </c>
      <c r="I1134" t="s">
        <v>5191</v>
      </c>
      <c r="J1134">
        <v>1.1000000000000001</v>
      </c>
      <c r="K1134" t="s">
        <v>4744</v>
      </c>
      <c r="L1134">
        <v>22.33</v>
      </c>
      <c r="M1134">
        <v>20.3</v>
      </c>
      <c r="N1134" t="s">
        <v>5272</v>
      </c>
      <c r="O1134" t="s">
        <v>463</v>
      </c>
    </row>
    <row r="1135" spans="1:15" x14ac:dyDescent="0.3">
      <c r="A1135">
        <v>235324</v>
      </c>
      <c r="B1135">
        <v>105</v>
      </c>
      <c r="C1135" t="s">
        <v>557</v>
      </c>
      <c r="D1135" t="s">
        <v>2563</v>
      </c>
      <c r="E1135" t="s">
        <v>2859</v>
      </c>
      <c r="F1135" s="451">
        <v>46170</v>
      </c>
      <c r="G1135">
        <v>19623</v>
      </c>
      <c r="H1135" t="s">
        <v>4764</v>
      </c>
      <c r="I1135" t="s">
        <v>5191</v>
      </c>
      <c r="J1135">
        <v>15</v>
      </c>
      <c r="K1135" t="s">
        <v>4744</v>
      </c>
      <c r="L1135">
        <v>94.65</v>
      </c>
      <c r="M1135">
        <v>6.31</v>
      </c>
      <c r="N1135" t="s">
        <v>5272</v>
      </c>
      <c r="O1135" t="s">
        <v>463</v>
      </c>
    </row>
    <row r="1136" spans="1:15" x14ac:dyDescent="0.3">
      <c r="A1136">
        <v>235324</v>
      </c>
      <c r="B1136">
        <v>105</v>
      </c>
      <c r="C1136" t="s">
        <v>557</v>
      </c>
      <c r="D1136" t="s">
        <v>2563</v>
      </c>
      <c r="E1136" t="s">
        <v>2859</v>
      </c>
      <c r="F1136" s="451">
        <v>46170</v>
      </c>
      <c r="G1136">
        <v>19507</v>
      </c>
      <c r="H1136" t="s">
        <v>4853</v>
      </c>
      <c r="I1136" t="s">
        <v>5191</v>
      </c>
      <c r="J1136">
        <v>1</v>
      </c>
      <c r="K1136" t="s">
        <v>4744</v>
      </c>
      <c r="L1136">
        <v>16.239999999999998</v>
      </c>
      <c r="M1136">
        <v>16.239999999999998</v>
      </c>
      <c r="N1136" t="s">
        <v>5272</v>
      </c>
      <c r="O1136" t="s">
        <v>463</v>
      </c>
    </row>
    <row r="1137" spans="1:15" x14ac:dyDescent="0.3">
      <c r="A1137">
        <v>235324</v>
      </c>
      <c r="B1137">
        <v>105</v>
      </c>
      <c r="C1137" t="s">
        <v>557</v>
      </c>
      <c r="D1137" t="s">
        <v>2563</v>
      </c>
      <c r="E1137" t="s">
        <v>2859</v>
      </c>
      <c r="F1137" s="451">
        <v>46170</v>
      </c>
      <c r="G1137">
        <v>19734</v>
      </c>
      <c r="H1137" t="s">
        <v>4833</v>
      </c>
      <c r="I1137" t="s">
        <v>5191</v>
      </c>
      <c r="J1137">
        <v>5</v>
      </c>
      <c r="K1137" t="s">
        <v>4744</v>
      </c>
      <c r="L1137">
        <v>68.900000000000006</v>
      </c>
      <c r="M1137">
        <v>13.78</v>
      </c>
      <c r="N1137" t="s">
        <v>5272</v>
      </c>
      <c r="O1137" t="s">
        <v>463</v>
      </c>
    </row>
    <row r="1138" spans="1:15" x14ac:dyDescent="0.3">
      <c r="A1138">
        <v>235324</v>
      </c>
      <c r="B1138">
        <v>105</v>
      </c>
      <c r="C1138" t="s">
        <v>557</v>
      </c>
      <c r="D1138" t="s">
        <v>2563</v>
      </c>
      <c r="E1138" t="s">
        <v>2859</v>
      </c>
      <c r="F1138" s="451">
        <v>46170</v>
      </c>
      <c r="G1138">
        <v>23389</v>
      </c>
      <c r="H1138" t="s">
        <v>4960</v>
      </c>
      <c r="I1138" t="s">
        <v>5191</v>
      </c>
      <c r="J1138">
        <v>4.3</v>
      </c>
      <c r="K1138" t="s">
        <v>4744</v>
      </c>
      <c r="L1138">
        <v>20.77</v>
      </c>
      <c r="M1138">
        <v>4.8302329999999998</v>
      </c>
      <c r="N1138" t="s">
        <v>5272</v>
      </c>
      <c r="O1138" t="s">
        <v>463</v>
      </c>
    </row>
    <row r="1139" spans="1:15" x14ac:dyDescent="0.3">
      <c r="A1139">
        <v>235322</v>
      </c>
      <c r="B1139">
        <v>105</v>
      </c>
      <c r="C1139" t="s">
        <v>557</v>
      </c>
      <c r="D1139" t="s">
        <v>2653</v>
      </c>
      <c r="E1139" t="s">
        <v>2860</v>
      </c>
      <c r="F1139" s="451">
        <v>46169</v>
      </c>
      <c r="G1139">
        <v>24200</v>
      </c>
      <c r="H1139" t="s">
        <v>4820</v>
      </c>
      <c r="I1139" t="s">
        <v>5191</v>
      </c>
      <c r="J1139">
        <v>10.5</v>
      </c>
      <c r="K1139" t="s">
        <v>4744</v>
      </c>
      <c r="L1139">
        <v>345.45</v>
      </c>
      <c r="M1139">
        <v>32.9</v>
      </c>
      <c r="N1139" t="s">
        <v>5272</v>
      </c>
      <c r="O1139" t="s">
        <v>463</v>
      </c>
    </row>
    <row r="1140" spans="1:15" x14ac:dyDescent="0.3">
      <c r="A1140">
        <v>235321</v>
      </c>
      <c r="B1140">
        <v>105</v>
      </c>
      <c r="C1140" t="s">
        <v>557</v>
      </c>
      <c r="D1140" t="s">
        <v>2554</v>
      </c>
      <c r="E1140" t="s">
        <v>2861</v>
      </c>
      <c r="F1140" s="451">
        <v>46169</v>
      </c>
      <c r="G1140">
        <v>17437</v>
      </c>
      <c r="H1140" t="s">
        <v>5203</v>
      </c>
      <c r="I1140" t="s">
        <v>5188</v>
      </c>
      <c r="J1140">
        <v>10</v>
      </c>
      <c r="K1140" t="s">
        <v>4736</v>
      </c>
      <c r="L1140">
        <v>23</v>
      </c>
      <c r="M1140">
        <v>2.2999999999999998</v>
      </c>
      <c r="N1140" t="s">
        <v>5277</v>
      </c>
      <c r="O1140" t="s">
        <v>463</v>
      </c>
    </row>
    <row r="1141" spans="1:15" x14ac:dyDescent="0.3">
      <c r="A1141">
        <v>235321</v>
      </c>
      <c r="B1141">
        <v>105</v>
      </c>
      <c r="C1141" t="s">
        <v>557</v>
      </c>
      <c r="D1141" t="s">
        <v>2554</v>
      </c>
      <c r="E1141" t="s">
        <v>2861</v>
      </c>
      <c r="F1141" s="451">
        <v>46169</v>
      </c>
      <c r="G1141">
        <v>17314</v>
      </c>
      <c r="H1141" t="s">
        <v>5208</v>
      </c>
      <c r="I1141" t="s">
        <v>5188</v>
      </c>
      <c r="J1141">
        <v>3</v>
      </c>
      <c r="K1141" t="s">
        <v>4848</v>
      </c>
      <c r="L1141">
        <v>17.670000000000002</v>
      </c>
      <c r="M1141">
        <v>5.89</v>
      </c>
      <c r="N1141" t="s">
        <v>5277</v>
      </c>
      <c r="O1141" t="s">
        <v>463</v>
      </c>
    </row>
    <row r="1142" spans="1:15" x14ac:dyDescent="0.3">
      <c r="A1142">
        <v>235321</v>
      </c>
      <c r="B1142">
        <v>105</v>
      </c>
      <c r="C1142" t="s">
        <v>557</v>
      </c>
      <c r="D1142" t="s">
        <v>2554</v>
      </c>
      <c r="E1142" t="s">
        <v>2861</v>
      </c>
      <c r="F1142" s="451">
        <v>46169</v>
      </c>
      <c r="G1142">
        <v>17046</v>
      </c>
      <c r="H1142" t="s">
        <v>5194</v>
      </c>
      <c r="I1142" t="s">
        <v>5188</v>
      </c>
      <c r="J1142">
        <v>2</v>
      </c>
      <c r="K1142" t="s">
        <v>4736</v>
      </c>
      <c r="L1142">
        <v>69</v>
      </c>
      <c r="M1142">
        <v>34.5</v>
      </c>
      <c r="N1142" t="s">
        <v>5277</v>
      </c>
      <c r="O1142" t="s">
        <v>463</v>
      </c>
    </row>
    <row r="1143" spans="1:15" x14ac:dyDescent="0.3">
      <c r="A1143">
        <v>235321</v>
      </c>
      <c r="B1143">
        <v>105</v>
      </c>
      <c r="C1143" t="s">
        <v>557</v>
      </c>
      <c r="D1143" t="s">
        <v>2554</v>
      </c>
      <c r="E1143" t="s">
        <v>2861</v>
      </c>
      <c r="F1143" s="451">
        <v>46169</v>
      </c>
      <c r="G1143">
        <v>17190</v>
      </c>
      <c r="H1143" t="s">
        <v>5193</v>
      </c>
      <c r="I1143" t="s">
        <v>5188</v>
      </c>
      <c r="J1143">
        <v>2</v>
      </c>
      <c r="K1143" t="s">
        <v>4738</v>
      </c>
      <c r="L1143">
        <v>16.2</v>
      </c>
      <c r="M1143">
        <v>8.1</v>
      </c>
      <c r="N1143" t="s">
        <v>5277</v>
      </c>
      <c r="O1143" t="s">
        <v>463</v>
      </c>
    </row>
    <row r="1144" spans="1:15" x14ac:dyDescent="0.3">
      <c r="A1144">
        <v>235321</v>
      </c>
      <c r="B1144">
        <v>105</v>
      </c>
      <c r="C1144" t="s">
        <v>557</v>
      </c>
      <c r="D1144" t="s">
        <v>2554</v>
      </c>
      <c r="E1144" t="s">
        <v>2861</v>
      </c>
      <c r="F1144" s="451">
        <v>46169</v>
      </c>
      <c r="G1144">
        <v>24505</v>
      </c>
      <c r="H1144" t="s">
        <v>5198</v>
      </c>
      <c r="I1144" t="s">
        <v>5188</v>
      </c>
      <c r="J1144">
        <v>4</v>
      </c>
      <c r="K1144" t="s">
        <v>4738</v>
      </c>
      <c r="L1144">
        <v>19.920000000000002</v>
      </c>
      <c r="M1144">
        <v>4.9800000000000004</v>
      </c>
      <c r="N1144" t="s">
        <v>5277</v>
      </c>
      <c r="O1144" t="s">
        <v>463</v>
      </c>
    </row>
    <row r="1145" spans="1:15" x14ac:dyDescent="0.3">
      <c r="A1145">
        <v>235321</v>
      </c>
      <c r="B1145">
        <v>105</v>
      </c>
      <c r="C1145" t="s">
        <v>557</v>
      </c>
      <c r="D1145" t="s">
        <v>2554</v>
      </c>
      <c r="E1145" t="s">
        <v>2861</v>
      </c>
      <c r="F1145" s="451">
        <v>46169</v>
      </c>
      <c r="G1145">
        <v>17304</v>
      </c>
      <c r="H1145" t="s">
        <v>5195</v>
      </c>
      <c r="I1145" t="s">
        <v>5188</v>
      </c>
      <c r="J1145">
        <v>2</v>
      </c>
      <c r="K1145" t="s">
        <v>4848</v>
      </c>
      <c r="L1145">
        <v>13.18</v>
      </c>
      <c r="M1145">
        <v>6.59</v>
      </c>
      <c r="N1145" t="s">
        <v>5277</v>
      </c>
      <c r="O1145" t="s">
        <v>463</v>
      </c>
    </row>
    <row r="1146" spans="1:15" x14ac:dyDescent="0.3">
      <c r="A1146">
        <v>235321</v>
      </c>
      <c r="B1146">
        <v>105</v>
      </c>
      <c r="C1146" t="s">
        <v>557</v>
      </c>
      <c r="D1146" t="s">
        <v>2554</v>
      </c>
      <c r="E1146" t="s">
        <v>2861</v>
      </c>
      <c r="F1146" s="451">
        <v>46169</v>
      </c>
      <c r="G1146">
        <v>17266</v>
      </c>
      <c r="H1146" t="s">
        <v>5192</v>
      </c>
      <c r="I1146" t="s">
        <v>5188</v>
      </c>
      <c r="J1146">
        <v>4</v>
      </c>
      <c r="K1146" t="s">
        <v>4736</v>
      </c>
      <c r="L1146">
        <v>18.600000000000001</v>
      </c>
      <c r="M1146">
        <v>4.6500000000000004</v>
      </c>
      <c r="N1146" t="s">
        <v>5277</v>
      </c>
      <c r="O1146" t="s">
        <v>463</v>
      </c>
    </row>
    <row r="1147" spans="1:15" x14ac:dyDescent="0.3">
      <c r="A1147">
        <v>235321</v>
      </c>
      <c r="B1147">
        <v>105</v>
      </c>
      <c r="C1147" t="s">
        <v>557</v>
      </c>
      <c r="D1147" t="s">
        <v>2554</v>
      </c>
      <c r="E1147" t="s">
        <v>2861</v>
      </c>
      <c r="F1147" s="451">
        <v>46169</v>
      </c>
      <c r="G1147">
        <v>17162</v>
      </c>
      <c r="H1147" t="s">
        <v>5255</v>
      </c>
      <c r="I1147" t="s">
        <v>5188</v>
      </c>
      <c r="J1147">
        <v>1</v>
      </c>
      <c r="K1147" t="s">
        <v>4736</v>
      </c>
      <c r="L1147">
        <v>54</v>
      </c>
      <c r="M1147">
        <v>54</v>
      </c>
      <c r="N1147" t="s">
        <v>5277</v>
      </c>
      <c r="O1147" t="s">
        <v>463</v>
      </c>
    </row>
    <row r="1148" spans="1:15" x14ac:dyDescent="0.3">
      <c r="A1148">
        <v>235321</v>
      </c>
      <c r="B1148">
        <v>105</v>
      </c>
      <c r="C1148" t="s">
        <v>557</v>
      </c>
      <c r="D1148" t="s">
        <v>2554</v>
      </c>
      <c r="E1148" t="s">
        <v>2861</v>
      </c>
      <c r="F1148" s="451">
        <v>46169</v>
      </c>
      <c r="G1148">
        <v>24596</v>
      </c>
      <c r="H1148" t="s">
        <v>5197</v>
      </c>
      <c r="I1148" t="s">
        <v>5188</v>
      </c>
      <c r="J1148">
        <v>4</v>
      </c>
      <c r="K1148" t="s">
        <v>4736</v>
      </c>
      <c r="L1148">
        <v>60</v>
      </c>
      <c r="M1148">
        <v>15</v>
      </c>
      <c r="N1148" t="s">
        <v>5277</v>
      </c>
      <c r="O1148" t="s">
        <v>463</v>
      </c>
    </row>
    <row r="1149" spans="1:15" x14ac:dyDescent="0.3">
      <c r="A1149">
        <v>235321</v>
      </c>
      <c r="B1149">
        <v>105</v>
      </c>
      <c r="C1149" t="s">
        <v>557</v>
      </c>
      <c r="D1149" t="s">
        <v>2554</v>
      </c>
      <c r="E1149" t="s">
        <v>2861</v>
      </c>
      <c r="F1149" s="451">
        <v>46169</v>
      </c>
      <c r="G1149">
        <v>17381</v>
      </c>
      <c r="H1149" t="s">
        <v>5262</v>
      </c>
      <c r="I1149" t="s">
        <v>5188</v>
      </c>
      <c r="J1149">
        <v>1</v>
      </c>
      <c r="K1149" t="s">
        <v>4736</v>
      </c>
      <c r="L1149">
        <v>38.89</v>
      </c>
      <c r="M1149">
        <v>38.89</v>
      </c>
      <c r="N1149" t="s">
        <v>5277</v>
      </c>
      <c r="O1149" t="s">
        <v>463</v>
      </c>
    </row>
    <row r="1150" spans="1:15" x14ac:dyDescent="0.3">
      <c r="A1150">
        <v>235321</v>
      </c>
      <c r="B1150">
        <v>105</v>
      </c>
      <c r="C1150" t="s">
        <v>557</v>
      </c>
      <c r="D1150" t="s">
        <v>2554</v>
      </c>
      <c r="E1150" t="s">
        <v>2861</v>
      </c>
      <c r="F1150" s="451">
        <v>46169</v>
      </c>
      <c r="G1150">
        <v>17017</v>
      </c>
      <c r="H1150" t="s">
        <v>5199</v>
      </c>
      <c r="I1150" t="s">
        <v>5188</v>
      </c>
      <c r="J1150">
        <v>2</v>
      </c>
      <c r="K1150" t="s">
        <v>4738</v>
      </c>
      <c r="L1150">
        <v>6</v>
      </c>
      <c r="M1150">
        <v>3</v>
      </c>
      <c r="N1150" t="s">
        <v>5277</v>
      </c>
      <c r="O1150" t="s">
        <v>463</v>
      </c>
    </row>
    <row r="1151" spans="1:15" x14ac:dyDescent="0.3">
      <c r="A1151">
        <v>235321</v>
      </c>
      <c r="B1151">
        <v>105</v>
      </c>
      <c r="C1151" t="s">
        <v>557</v>
      </c>
      <c r="D1151" t="s">
        <v>2554</v>
      </c>
      <c r="E1151" t="s">
        <v>2861</v>
      </c>
      <c r="F1151" s="451">
        <v>46169</v>
      </c>
      <c r="G1151">
        <v>17416</v>
      </c>
      <c r="H1151" t="s">
        <v>5209</v>
      </c>
      <c r="I1151" t="s">
        <v>5188</v>
      </c>
      <c r="J1151">
        <v>2</v>
      </c>
      <c r="K1151" t="s">
        <v>4749</v>
      </c>
      <c r="L1151">
        <v>97.16</v>
      </c>
      <c r="M1151">
        <v>48.58</v>
      </c>
      <c r="N1151" t="s">
        <v>5277</v>
      </c>
      <c r="O1151" t="s">
        <v>463</v>
      </c>
    </row>
    <row r="1152" spans="1:15" x14ac:dyDescent="0.3">
      <c r="A1152">
        <v>235321</v>
      </c>
      <c r="B1152">
        <v>105</v>
      </c>
      <c r="C1152" t="s">
        <v>557</v>
      </c>
      <c r="D1152" t="s">
        <v>2554</v>
      </c>
      <c r="E1152" t="s">
        <v>2861</v>
      </c>
      <c r="F1152" s="451">
        <v>46169</v>
      </c>
      <c r="G1152">
        <v>17418</v>
      </c>
      <c r="H1152" t="s">
        <v>5207</v>
      </c>
      <c r="I1152" t="s">
        <v>5188</v>
      </c>
      <c r="J1152">
        <v>3</v>
      </c>
      <c r="K1152" t="s">
        <v>4749</v>
      </c>
      <c r="L1152">
        <v>176.7</v>
      </c>
      <c r="M1152">
        <v>58.9</v>
      </c>
      <c r="N1152" t="s">
        <v>5277</v>
      </c>
      <c r="O1152" t="s">
        <v>463</v>
      </c>
    </row>
    <row r="1153" spans="1:15" x14ac:dyDescent="0.3">
      <c r="A1153">
        <v>235321</v>
      </c>
      <c r="B1153">
        <v>105</v>
      </c>
      <c r="C1153" t="s">
        <v>557</v>
      </c>
      <c r="D1153" t="s">
        <v>2554</v>
      </c>
      <c r="E1153" t="s">
        <v>2861</v>
      </c>
      <c r="F1153" s="451">
        <v>46169</v>
      </c>
      <c r="G1153">
        <v>17504</v>
      </c>
      <c r="H1153" t="s">
        <v>5260</v>
      </c>
      <c r="I1153" t="s">
        <v>5205</v>
      </c>
      <c r="J1153">
        <v>2</v>
      </c>
      <c r="K1153" t="s">
        <v>4736</v>
      </c>
      <c r="L1153">
        <v>42</v>
      </c>
      <c r="M1153">
        <v>21</v>
      </c>
      <c r="N1153" t="s">
        <v>5277</v>
      </c>
      <c r="O1153" t="s">
        <v>463</v>
      </c>
    </row>
    <row r="1154" spans="1:15" x14ac:dyDescent="0.3">
      <c r="A1154">
        <v>235321</v>
      </c>
      <c r="B1154">
        <v>105</v>
      </c>
      <c r="C1154" t="s">
        <v>557</v>
      </c>
      <c r="D1154" t="s">
        <v>2554</v>
      </c>
      <c r="E1154" t="s">
        <v>2861</v>
      </c>
      <c r="F1154" s="451">
        <v>46169</v>
      </c>
      <c r="G1154">
        <v>17120</v>
      </c>
      <c r="H1154" t="s">
        <v>5298</v>
      </c>
      <c r="I1154" t="s">
        <v>5188</v>
      </c>
      <c r="J1154">
        <v>1</v>
      </c>
      <c r="K1154" t="s">
        <v>4736</v>
      </c>
      <c r="L1154">
        <v>9.5399999999999991</v>
      </c>
      <c r="M1154">
        <v>9.5399999999999991</v>
      </c>
      <c r="N1154" t="s">
        <v>5277</v>
      </c>
      <c r="O1154" t="s">
        <v>463</v>
      </c>
    </row>
    <row r="1155" spans="1:15" x14ac:dyDescent="0.3">
      <c r="A1155">
        <v>235321</v>
      </c>
      <c r="B1155">
        <v>105</v>
      </c>
      <c r="C1155" t="s">
        <v>557</v>
      </c>
      <c r="D1155" t="s">
        <v>2554</v>
      </c>
      <c r="E1155" t="s">
        <v>2861</v>
      </c>
      <c r="F1155" s="451">
        <v>46169</v>
      </c>
      <c r="G1155">
        <v>24931</v>
      </c>
      <c r="H1155" t="s">
        <v>5308</v>
      </c>
      <c r="I1155" t="s">
        <v>5188</v>
      </c>
      <c r="J1155">
        <v>1</v>
      </c>
      <c r="K1155" t="s">
        <v>4738</v>
      </c>
      <c r="L1155">
        <v>45</v>
      </c>
      <c r="M1155">
        <v>45</v>
      </c>
      <c r="N1155" t="s">
        <v>5277</v>
      </c>
      <c r="O1155" t="s">
        <v>463</v>
      </c>
    </row>
    <row r="1156" spans="1:15" x14ac:dyDescent="0.3">
      <c r="A1156">
        <v>235321</v>
      </c>
      <c r="B1156">
        <v>105</v>
      </c>
      <c r="C1156" t="s">
        <v>557</v>
      </c>
      <c r="D1156" t="s">
        <v>2554</v>
      </c>
      <c r="E1156" t="s">
        <v>2861</v>
      </c>
      <c r="F1156" s="451">
        <v>46169</v>
      </c>
      <c r="G1156">
        <v>24787</v>
      </c>
      <c r="H1156" t="s">
        <v>5212</v>
      </c>
      <c r="I1156" t="s">
        <v>5188</v>
      </c>
      <c r="J1156">
        <v>2</v>
      </c>
      <c r="K1156" t="s">
        <v>4738</v>
      </c>
      <c r="L1156">
        <v>164.42</v>
      </c>
      <c r="M1156">
        <v>82.21</v>
      </c>
      <c r="N1156" t="s">
        <v>5277</v>
      </c>
      <c r="O1156" t="s">
        <v>463</v>
      </c>
    </row>
    <row r="1157" spans="1:15" x14ac:dyDescent="0.3">
      <c r="A1157">
        <v>235321</v>
      </c>
      <c r="B1157">
        <v>105</v>
      </c>
      <c r="C1157" t="s">
        <v>557</v>
      </c>
      <c r="D1157" t="s">
        <v>2554</v>
      </c>
      <c r="E1157" t="s">
        <v>2861</v>
      </c>
      <c r="F1157" s="451">
        <v>46169</v>
      </c>
      <c r="G1157">
        <v>17215</v>
      </c>
      <c r="H1157" t="s">
        <v>5299</v>
      </c>
      <c r="I1157" t="s">
        <v>5188</v>
      </c>
      <c r="J1157">
        <v>6</v>
      </c>
      <c r="K1157" t="s">
        <v>4848</v>
      </c>
      <c r="L1157">
        <v>108</v>
      </c>
      <c r="M1157">
        <v>18</v>
      </c>
      <c r="N1157" t="s">
        <v>5277</v>
      </c>
      <c r="O1157" t="s">
        <v>463</v>
      </c>
    </row>
    <row r="1158" spans="1:15" x14ac:dyDescent="0.3">
      <c r="A1158">
        <v>235321</v>
      </c>
      <c r="B1158">
        <v>105</v>
      </c>
      <c r="C1158" t="s">
        <v>557</v>
      </c>
      <c r="D1158" t="s">
        <v>2554</v>
      </c>
      <c r="E1158" t="s">
        <v>2861</v>
      </c>
      <c r="F1158" s="451">
        <v>46169</v>
      </c>
      <c r="G1158">
        <v>17361</v>
      </c>
      <c r="H1158" t="s">
        <v>5309</v>
      </c>
      <c r="I1158" t="s">
        <v>5188</v>
      </c>
      <c r="J1158">
        <v>2</v>
      </c>
      <c r="K1158" t="s">
        <v>4738</v>
      </c>
      <c r="L1158">
        <v>15.26</v>
      </c>
      <c r="M1158">
        <v>7.63</v>
      </c>
      <c r="N1158" t="s">
        <v>5277</v>
      </c>
      <c r="O1158" t="s">
        <v>463</v>
      </c>
    </row>
    <row r="1159" spans="1:15" x14ac:dyDescent="0.3">
      <c r="A1159">
        <v>235319</v>
      </c>
      <c r="B1159">
        <v>105</v>
      </c>
      <c r="C1159" t="s">
        <v>557</v>
      </c>
      <c r="D1159" t="s">
        <v>2828</v>
      </c>
      <c r="E1159" t="s">
        <v>2862</v>
      </c>
      <c r="F1159" s="451">
        <v>46170</v>
      </c>
      <c r="G1159">
        <v>24083</v>
      </c>
      <c r="H1159" t="s">
        <v>5165</v>
      </c>
      <c r="I1159" t="s">
        <v>5191</v>
      </c>
      <c r="J1159">
        <v>120</v>
      </c>
      <c r="K1159" t="s">
        <v>4744</v>
      </c>
      <c r="L1159">
        <v>1020</v>
      </c>
      <c r="M1159">
        <v>8.5</v>
      </c>
      <c r="N1159" t="s">
        <v>5272</v>
      </c>
      <c r="O1159" t="s">
        <v>463</v>
      </c>
    </row>
    <row r="1160" spans="1:15" x14ac:dyDescent="0.3">
      <c r="A1160">
        <v>235318</v>
      </c>
      <c r="B1160">
        <v>105</v>
      </c>
      <c r="C1160" t="s">
        <v>557</v>
      </c>
      <c r="D1160" t="s">
        <v>2798</v>
      </c>
      <c r="E1160" t="s">
        <v>1367</v>
      </c>
      <c r="F1160" s="451">
        <v>46171</v>
      </c>
      <c r="G1160">
        <v>18991</v>
      </c>
      <c r="H1160" t="s">
        <v>4815</v>
      </c>
      <c r="I1160" t="s">
        <v>5191</v>
      </c>
      <c r="J1160">
        <v>8</v>
      </c>
      <c r="K1160" t="s">
        <v>4744</v>
      </c>
      <c r="L1160">
        <v>339.36</v>
      </c>
      <c r="M1160">
        <v>42.42</v>
      </c>
      <c r="N1160" t="s">
        <v>5272</v>
      </c>
      <c r="O1160" t="s">
        <v>463</v>
      </c>
    </row>
    <row r="1161" spans="1:15" x14ac:dyDescent="0.3">
      <c r="A1161">
        <v>235318</v>
      </c>
      <c r="B1161">
        <v>105</v>
      </c>
      <c r="C1161" t="s">
        <v>557</v>
      </c>
      <c r="D1161" t="s">
        <v>2798</v>
      </c>
      <c r="E1161" t="s">
        <v>1367</v>
      </c>
      <c r="F1161" s="451">
        <v>46171</v>
      </c>
      <c r="G1161">
        <v>18945</v>
      </c>
      <c r="H1161" t="s">
        <v>4768</v>
      </c>
      <c r="I1161" t="s">
        <v>5191</v>
      </c>
      <c r="J1161">
        <v>15</v>
      </c>
      <c r="K1161" t="s">
        <v>4744</v>
      </c>
      <c r="L1161">
        <v>925.2</v>
      </c>
      <c r="M1161">
        <v>61.68</v>
      </c>
      <c r="N1161" t="s">
        <v>5272</v>
      </c>
      <c r="O1161" t="s">
        <v>463</v>
      </c>
    </row>
    <row r="1162" spans="1:15" x14ac:dyDescent="0.3">
      <c r="A1162">
        <v>235318</v>
      </c>
      <c r="B1162">
        <v>105</v>
      </c>
      <c r="C1162" t="s">
        <v>557</v>
      </c>
      <c r="D1162" t="s">
        <v>2798</v>
      </c>
      <c r="E1162" t="s">
        <v>1367</v>
      </c>
      <c r="F1162" s="451">
        <v>46171</v>
      </c>
      <c r="G1162">
        <v>19353</v>
      </c>
      <c r="H1162" t="s">
        <v>4851</v>
      </c>
      <c r="I1162" t="s">
        <v>5191</v>
      </c>
      <c r="J1162">
        <v>10</v>
      </c>
      <c r="K1162" t="s">
        <v>4744</v>
      </c>
      <c r="L1162">
        <v>255.6</v>
      </c>
      <c r="M1162">
        <v>25.56</v>
      </c>
      <c r="N1162" t="s">
        <v>5272</v>
      </c>
      <c r="O1162" t="s">
        <v>463</v>
      </c>
    </row>
    <row r="1163" spans="1:15" x14ac:dyDescent="0.3">
      <c r="A1163">
        <v>235290</v>
      </c>
      <c r="B1163">
        <v>105</v>
      </c>
      <c r="C1163" t="s">
        <v>557</v>
      </c>
      <c r="D1163" t="s">
        <v>2548</v>
      </c>
      <c r="E1163" t="s">
        <v>2863</v>
      </c>
      <c r="F1163" s="451">
        <v>46167</v>
      </c>
      <c r="G1163">
        <v>21433</v>
      </c>
      <c r="H1163" t="s">
        <v>5250</v>
      </c>
      <c r="I1163" t="s">
        <v>5188</v>
      </c>
      <c r="J1163">
        <v>2</v>
      </c>
      <c r="K1163" t="s">
        <v>4738</v>
      </c>
      <c r="L1163">
        <v>325.8</v>
      </c>
      <c r="M1163">
        <v>162.9</v>
      </c>
      <c r="N1163" t="s">
        <v>5277</v>
      </c>
      <c r="O1163" t="s">
        <v>463</v>
      </c>
    </row>
    <row r="1164" spans="1:15" x14ac:dyDescent="0.3">
      <c r="A1164">
        <v>235288</v>
      </c>
      <c r="B1164">
        <v>105</v>
      </c>
      <c r="C1164" t="s">
        <v>557</v>
      </c>
      <c r="D1164" t="s">
        <v>2864</v>
      </c>
      <c r="E1164" t="s">
        <v>2865</v>
      </c>
      <c r="F1164" s="451">
        <v>46167</v>
      </c>
      <c r="G1164">
        <v>20382</v>
      </c>
      <c r="H1164" t="s">
        <v>4780</v>
      </c>
      <c r="I1164" t="s">
        <v>5191</v>
      </c>
      <c r="J1164">
        <v>16</v>
      </c>
      <c r="K1164" t="s">
        <v>5238</v>
      </c>
      <c r="L1164">
        <v>143.84</v>
      </c>
      <c r="M1164">
        <v>8.99</v>
      </c>
      <c r="N1164" t="s">
        <v>5272</v>
      </c>
      <c r="O1164" t="s">
        <v>463</v>
      </c>
    </row>
    <row r="1165" spans="1:15" x14ac:dyDescent="0.3">
      <c r="A1165">
        <v>235286</v>
      </c>
      <c r="B1165">
        <v>105</v>
      </c>
      <c r="C1165" t="s">
        <v>557</v>
      </c>
      <c r="D1165" t="s">
        <v>2548</v>
      </c>
      <c r="E1165" t="s">
        <v>2866</v>
      </c>
      <c r="F1165" s="451">
        <v>46154</v>
      </c>
      <c r="G1165">
        <v>20624</v>
      </c>
      <c r="H1165" t="s">
        <v>5019</v>
      </c>
      <c r="I1165" t="s">
        <v>5191</v>
      </c>
      <c r="J1165">
        <v>1</v>
      </c>
      <c r="K1165" t="s">
        <v>4736</v>
      </c>
      <c r="L1165">
        <v>70.900000000000006</v>
      </c>
      <c r="M1165">
        <v>70.900000000000006</v>
      </c>
      <c r="O1165" t="s">
        <v>463</v>
      </c>
    </row>
    <row r="1166" spans="1:15" x14ac:dyDescent="0.3">
      <c r="A1166">
        <v>235286</v>
      </c>
      <c r="B1166">
        <v>105</v>
      </c>
      <c r="C1166" t="s">
        <v>557</v>
      </c>
      <c r="D1166" t="s">
        <v>2548</v>
      </c>
      <c r="E1166" t="s">
        <v>2866</v>
      </c>
      <c r="F1166" s="451">
        <v>46154</v>
      </c>
      <c r="G1166">
        <v>23088</v>
      </c>
      <c r="H1166" t="s">
        <v>5027</v>
      </c>
      <c r="I1166" t="s">
        <v>5191</v>
      </c>
      <c r="J1166">
        <v>2</v>
      </c>
      <c r="K1166" t="s">
        <v>4736</v>
      </c>
      <c r="L1166">
        <v>49</v>
      </c>
      <c r="M1166">
        <v>24.5</v>
      </c>
      <c r="O1166" t="s">
        <v>463</v>
      </c>
    </row>
    <row r="1167" spans="1:15" x14ac:dyDescent="0.3">
      <c r="A1167">
        <v>235284</v>
      </c>
      <c r="B1167">
        <v>105</v>
      </c>
      <c r="C1167" t="s">
        <v>557</v>
      </c>
      <c r="D1167" t="s">
        <v>2573</v>
      </c>
      <c r="E1167" t="s">
        <v>2867</v>
      </c>
      <c r="F1167" s="451">
        <v>46167</v>
      </c>
      <c r="G1167">
        <v>28878</v>
      </c>
      <c r="H1167" t="s">
        <v>5310</v>
      </c>
      <c r="J1167">
        <v>1</v>
      </c>
      <c r="K1167" t="s">
        <v>4736</v>
      </c>
      <c r="L1167">
        <v>82.63</v>
      </c>
      <c r="M1167">
        <v>82.63</v>
      </c>
      <c r="N1167" t="s">
        <v>5311</v>
      </c>
      <c r="O1167" t="s">
        <v>463</v>
      </c>
    </row>
    <row r="1168" spans="1:15" x14ac:dyDescent="0.3">
      <c r="A1168">
        <v>235280</v>
      </c>
      <c r="B1168">
        <v>105</v>
      </c>
      <c r="C1168" t="s">
        <v>557</v>
      </c>
      <c r="D1168" t="s">
        <v>2579</v>
      </c>
      <c r="E1168" t="s">
        <v>2868</v>
      </c>
      <c r="F1168" s="451">
        <v>46167</v>
      </c>
      <c r="G1168">
        <v>23238</v>
      </c>
      <c r="H1168" t="s">
        <v>4934</v>
      </c>
      <c r="I1168" t="s">
        <v>5191</v>
      </c>
      <c r="J1168">
        <v>2</v>
      </c>
      <c r="K1168" t="s">
        <v>4744</v>
      </c>
      <c r="L1168">
        <v>52</v>
      </c>
      <c r="M1168">
        <v>26</v>
      </c>
      <c r="N1168" t="s">
        <v>5272</v>
      </c>
      <c r="O1168" t="s">
        <v>463</v>
      </c>
    </row>
    <row r="1169" spans="1:15" x14ac:dyDescent="0.3">
      <c r="A1169">
        <v>235280</v>
      </c>
      <c r="B1169">
        <v>105</v>
      </c>
      <c r="C1169" t="s">
        <v>557</v>
      </c>
      <c r="D1169" t="s">
        <v>2579</v>
      </c>
      <c r="E1169" t="s">
        <v>2868</v>
      </c>
      <c r="F1169" s="451">
        <v>46167</v>
      </c>
      <c r="G1169">
        <v>19734</v>
      </c>
      <c r="H1169" t="s">
        <v>4833</v>
      </c>
      <c r="I1169" t="s">
        <v>5191</v>
      </c>
      <c r="J1169">
        <v>4</v>
      </c>
      <c r="K1169" t="s">
        <v>4744</v>
      </c>
      <c r="L1169">
        <v>52</v>
      </c>
      <c r="M1169">
        <v>13</v>
      </c>
      <c r="N1169" t="s">
        <v>5272</v>
      </c>
      <c r="O1169" t="s">
        <v>463</v>
      </c>
    </row>
    <row r="1170" spans="1:15" x14ac:dyDescent="0.3">
      <c r="A1170">
        <v>235280</v>
      </c>
      <c r="B1170">
        <v>105</v>
      </c>
      <c r="C1170" t="s">
        <v>557</v>
      </c>
      <c r="D1170" t="s">
        <v>2579</v>
      </c>
      <c r="E1170" t="s">
        <v>2868</v>
      </c>
      <c r="F1170" s="451">
        <v>46167</v>
      </c>
      <c r="G1170">
        <v>23184</v>
      </c>
      <c r="H1170" t="s">
        <v>4935</v>
      </c>
      <c r="I1170" t="s">
        <v>5191</v>
      </c>
      <c r="J1170">
        <v>1</v>
      </c>
      <c r="K1170" t="s">
        <v>4744</v>
      </c>
      <c r="L1170">
        <v>26</v>
      </c>
      <c r="M1170">
        <v>26</v>
      </c>
      <c r="N1170" t="s">
        <v>5272</v>
      </c>
      <c r="O1170" t="s">
        <v>463</v>
      </c>
    </row>
    <row r="1171" spans="1:15" x14ac:dyDescent="0.3">
      <c r="A1171">
        <v>235280</v>
      </c>
      <c r="B1171">
        <v>105</v>
      </c>
      <c r="C1171" t="s">
        <v>557</v>
      </c>
      <c r="D1171" t="s">
        <v>2579</v>
      </c>
      <c r="E1171" t="s">
        <v>2868</v>
      </c>
      <c r="F1171" s="451">
        <v>46167</v>
      </c>
      <c r="G1171">
        <v>19654</v>
      </c>
      <c r="H1171" t="s">
        <v>5099</v>
      </c>
      <c r="I1171" t="s">
        <v>5191</v>
      </c>
      <c r="J1171">
        <v>3</v>
      </c>
      <c r="K1171" t="s">
        <v>4744</v>
      </c>
      <c r="L1171">
        <v>19.5</v>
      </c>
      <c r="M1171">
        <v>6.5</v>
      </c>
      <c r="N1171" t="s">
        <v>5272</v>
      </c>
      <c r="O1171" t="s">
        <v>463</v>
      </c>
    </row>
    <row r="1172" spans="1:15" x14ac:dyDescent="0.3">
      <c r="A1172">
        <v>235280</v>
      </c>
      <c r="B1172">
        <v>105</v>
      </c>
      <c r="C1172" t="s">
        <v>557</v>
      </c>
      <c r="D1172" t="s">
        <v>2579</v>
      </c>
      <c r="E1172" t="s">
        <v>2868</v>
      </c>
      <c r="F1172" s="451">
        <v>46167</v>
      </c>
      <c r="G1172">
        <v>19790</v>
      </c>
      <c r="H1172" t="s">
        <v>5073</v>
      </c>
      <c r="I1172" t="s">
        <v>5191</v>
      </c>
      <c r="J1172">
        <v>2</v>
      </c>
      <c r="K1172" t="s">
        <v>4744</v>
      </c>
      <c r="L1172">
        <v>96</v>
      </c>
      <c r="M1172">
        <v>48</v>
      </c>
      <c r="N1172" t="s">
        <v>5272</v>
      </c>
      <c r="O1172" t="s">
        <v>463</v>
      </c>
    </row>
    <row r="1173" spans="1:15" x14ac:dyDescent="0.3">
      <c r="A1173">
        <v>235280</v>
      </c>
      <c r="B1173">
        <v>105</v>
      </c>
      <c r="C1173" t="s">
        <v>557</v>
      </c>
      <c r="D1173" t="s">
        <v>2579</v>
      </c>
      <c r="E1173" t="s">
        <v>2868</v>
      </c>
      <c r="F1173" s="451">
        <v>46167</v>
      </c>
      <c r="G1173">
        <v>24509</v>
      </c>
      <c r="H1173" t="s">
        <v>4788</v>
      </c>
      <c r="I1173" t="s">
        <v>5191</v>
      </c>
      <c r="J1173">
        <v>10</v>
      </c>
      <c r="K1173" t="s">
        <v>4744</v>
      </c>
      <c r="L1173">
        <v>45.5</v>
      </c>
      <c r="M1173">
        <v>4.55</v>
      </c>
      <c r="N1173" t="s">
        <v>5272</v>
      </c>
      <c r="O1173" t="s">
        <v>463</v>
      </c>
    </row>
    <row r="1174" spans="1:15" x14ac:dyDescent="0.3">
      <c r="A1174">
        <v>235280</v>
      </c>
      <c r="B1174">
        <v>105</v>
      </c>
      <c r="C1174" t="s">
        <v>557</v>
      </c>
      <c r="D1174" t="s">
        <v>2579</v>
      </c>
      <c r="E1174" t="s">
        <v>2868</v>
      </c>
      <c r="F1174" s="451">
        <v>46167</v>
      </c>
      <c r="G1174">
        <v>23198</v>
      </c>
      <c r="H1174" t="s">
        <v>4962</v>
      </c>
      <c r="I1174" t="s">
        <v>5191</v>
      </c>
      <c r="J1174">
        <v>0.5</v>
      </c>
      <c r="K1174" t="s">
        <v>4744</v>
      </c>
      <c r="L1174">
        <v>7.8</v>
      </c>
      <c r="M1174">
        <v>15.6</v>
      </c>
      <c r="N1174" t="s">
        <v>5272</v>
      </c>
      <c r="O1174" t="s">
        <v>463</v>
      </c>
    </row>
    <row r="1175" spans="1:15" x14ac:dyDescent="0.3">
      <c r="A1175">
        <v>235280</v>
      </c>
      <c r="B1175">
        <v>105</v>
      </c>
      <c r="C1175" t="s">
        <v>557</v>
      </c>
      <c r="D1175" t="s">
        <v>2579</v>
      </c>
      <c r="E1175" t="s">
        <v>2868</v>
      </c>
      <c r="F1175" s="451">
        <v>46167</v>
      </c>
      <c r="G1175">
        <v>23096</v>
      </c>
      <c r="H1175" t="s">
        <v>5164</v>
      </c>
      <c r="I1175" t="s">
        <v>5191</v>
      </c>
      <c r="J1175">
        <v>90</v>
      </c>
      <c r="K1175" t="s">
        <v>4736</v>
      </c>
      <c r="L1175">
        <v>54.9</v>
      </c>
      <c r="M1175">
        <v>0.61</v>
      </c>
      <c r="N1175" t="s">
        <v>5272</v>
      </c>
      <c r="O1175" t="s">
        <v>463</v>
      </c>
    </row>
    <row r="1176" spans="1:15" x14ac:dyDescent="0.3">
      <c r="A1176">
        <v>235280</v>
      </c>
      <c r="B1176">
        <v>105</v>
      </c>
      <c r="C1176" t="s">
        <v>557</v>
      </c>
      <c r="D1176" t="s">
        <v>2579</v>
      </c>
      <c r="E1176" t="s">
        <v>2868</v>
      </c>
      <c r="F1176" s="451">
        <v>46167</v>
      </c>
      <c r="G1176">
        <v>19634</v>
      </c>
      <c r="H1176" t="s">
        <v>4792</v>
      </c>
      <c r="I1176" t="s">
        <v>5191</v>
      </c>
      <c r="J1176">
        <v>5</v>
      </c>
      <c r="K1176" t="s">
        <v>4744</v>
      </c>
      <c r="L1176">
        <v>42.25</v>
      </c>
      <c r="M1176">
        <v>8.4499999999999993</v>
      </c>
      <c r="N1176" t="s">
        <v>5272</v>
      </c>
      <c r="O1176" t="s">
        <v>463</v>
      </c>
    </row>
    <row r="1177" spans="1:15" x14ac:dyDescent="0.3">
      <c r="A1177">
        <v>235280</v>
      </c>
      <c r="B1177">
        <v>105</v>
      </c>
      <c r="C1177" t="s">
        <v>557</v>
      </c>
      <c r="D1177" t="s">
        <v>2579</v>
      </c>
      <c r="E1177" t="s">
        <v>2868</v>
      </c>
      <c r="F1177" s="451">
        <v>46167</v>
      </c>
      <c r="G1177">
        <v>19562</v>
      </c>
      <c r="H1177" t="s">
        <v>4939</v>
      </c>
      <c r="I1177" t="s">
        <v>5191</v>
      </c>
      <c r="J1177">
        <v>0.5</v>
      </c>
      <c r="K1177" t="s">
        <v>4744</v>
      </c>
      <c r="L1177">
        <v>8.4499999999999993</v>
      </c>
      <c r="M1177">
        <v>16.899999999999999</v>
      </c>
      <c r="N1177" t="s">
        <v>5272</v>
      </c>
      <c r="O1177" t="s">
        <v>463</v>
      </c>
    </row>
    <row r="1178" spans="1:15" x14ac:dyDescent="0.3">
      <c r="A1178">
        <v>235278</v>
      </c>
      <c r="B1178">
        <v>105</v>
      </c>
      <c r="C1178" t="s">
        <v>557</v>
      </c>
      <c r="D1178" t="s">
        <v>2571</v>
      </c>
      <c r="E1178" t="s">
        <v>2869</v>
      </c>
      <c r="F1178" s="451">
        <v>46164</v>
      </c>
      <c r="G1178">
        <v>21021</v>
      </c>
      <c r="H1178" t="s">
        <v>4883</v>
      </c>
      <c r="I1178" t="s">
        <v>5191</v>
      </c>
      <c r="J1178">
        <v>3</v>
      </c>
      <c r="K1178" t="s">
        <v>4736</v>
      </c>
      <c r="L1178">
        <v>563.28</v>
      </c>
      <c r="M1178">
        <v>187.76</v>
      </c>
      <c r="N1178" t="s">
        <v>5272</v>
      </c>
      <c r="O1178" t="s">
        <v>463</v>
      </c>
    </row>
    <row r="1179" spans="1:15" x14ac:dyDescent="0.3">
      <c r="A1179">
        <v>235278</v>
      </c>
      <c r="B1179">
        <v>105</v>
      </c>
      <c r="C1179" t="s">
        <v>557</v>
      </c>
      <c r="D1179" t="s">
        <v>2571</v>
      </c>
      <c r="E1179" t="s">
        <v>2869</v>
      </c>
      <c r="F1179" s="451">
        <v>46164</v>
      </c>
      <c r="G1179">
        <v>21093</v>
      </c>
      <c r="H1179" t="s">
        <v>4855</v>
      </c>
      <c r="I1179" t="s">
        <v>5191</v>
      </c>
      <c r="J1179">
        <v>10</v>
      </c>
      <c r="K1179" t="s">
        <v>4736</v>
      </c>
      <c r="L1179">
        <v>43.9</v>
      </c>
      <c r="M1179">
        <v>4.3899999999999997</v>
      </c>
      <c r="N1179" t="s">
        <v>5272</v>
      </c>
      <c r="O1179" t="s">
        <v>463</v>
      </c>
    </row>
    <row r="1180" spans="1:15" x14ac:dyDescent="0.3">
      <c r="A1180">
        <v>235278</v>
      </c>
      <c r="B1180">
        <v>105</v>
      </c>
      <c r="C1180" t="s">
        <v>557</v>
      </c>
      <c r="D1180" t="s">
        <v>2571</v>
      </c>
      <c r="E1180" t="s">
        <v>2869</v>
      </c>
      <c r="F1180" s="451">
        <v>46164</v>
      </c>
      <c r="G1180">
        <v>19967</v>
      </c>
      <c r="H1180" t="s">
        <v>4956</v>
      </c>
      <c r="I1180" t="s">
        <v>5191</v>
      </c>
      <c r="J1180">
        <v>1</v>
      </c>
      <c r="K1180" t="s">
        <v>4736</v>
      </c>
      <c r="L1180">
        <v>49.28</v>
      </c>
      <c r="M1180">
        <v>49.28</v>
      </c>
      <c r="N1180" t="s">
        <v>5272</v>
      </c>
      <c r="O1180" t="s">
        <v>463</v>
      </c>
    </row>
    <row r="1181" spans="1:15" x14ac:dyDescent="0.3">
      <c r="A1181">
        <v>235278</v>
      </c>
      <c r="B1181">
        <v>105</v>
      </c>
      <c r="C1181" t="s">
        <v>557</v>
      </c>
      <c r="D1181" t="s">
        <v>2571</v>
      </c>
      <c r="E1181" t="s">
        <v>2869</v>
      </c>
      <c r="F1181" s="451">
        <v>46164</v>
      </c>
      <c r="G1181">
        <v>19421</v>
      </c>
      <c r="H1181" t="s">
        <v>4918</v>
      </c>
      <c r="I1181" t="s">
        <v>5191</v>
      </c>
      <c r="J1181">
        <v>2</v>
      </c>
      <c r="K1181" t="s">
        <v>4749</v>
      </c>
      <c r="L1181">
        <v>163.68</v>
      </c>
      <c r="M1181">
        <v>81.84</v>
      </c>
      <c r="N1181" t="s">
        <v>5272</v>
      </c>
      <c r="O1181" t="s">
        <v>463</v>
      </c>
    </row>
    <row r="1182" spans="1:15" x14ac:dyDescent="0.3">
      <c r="A1182">
        <v>235278</v>
      </c>
      <c r="B1182">
        <v>105</v>
      </c>
      <c r="C1182" t="s">
        <v>557</v>
      </c>
      <c r="D1182" t="s">
        <v>2571</v>
      </c>
      <c r="E1182" t="s">
        <v>2869</v>
      </c>
      <c r="F1182" s="451">
        <v>46164</v>
      </c>
      <c r="G1182">
        <v>20672</v>
      </c>
      <c r="H1182" t="s">
        <v>4857</v>
      </c>
      <c r="I1182" t="s">
        <v>5191</v>
      </c>
      <c r="J1182">
        <v>1</v>
      </c>
      <c r="K1182" t="s">
        <v>4738</v>
      </c>
      <c r="L1182">
        <v>29.55</v>
      </c>
      <c r="M1182">
        <v>29.55</v>
      </c>
      <c r="N1182" t="s">
        <v>5272</v>
      </c>
      <c r="O1182" t="s">
        <v>463</v>
      </c>
    </row>
    <row r="1183" spans="1:15" x14ac:dyDescent="0.3">
      <c r="A1183">
        <v>235278</v>
      </c>
      <c r="B1183">
        <v>105</v>
      </c>
      <c r="C1183" t="s">
        <v>557</v>
      </c>
      <c r="D1183" t="s">
        <v>2571</v>
      </c>
      <c r="E1183" t="s">
        <v>2869</v>
      </c>
      <c r="F1183" s="451">
        <v>46164</v>
      </c>
      <c r="G1183">
        <v>20653</v>
      </c>
      <c r="H1183" t="s">
        <v>5013</v>
      </c>
      <c r="I1183" t="s">
        <v>5191</v>
      </c>
      <c r="J1183">
        <v>1</v>
      </c>
      <c r="K1183" t="s">
        <v>4736</v>
      </c>
      <c r="L1183">
        <v>25.96</v>
      </c>
      <c r="M1183">
        <v>25.96</v>
      </c>
      <c r="N1183" t="s">
        <v>5272</v>
      </c>
      <c r="O1183" t="s">
        <v>463</v>
      </c>
    </row>
    <row r="1184" spans="1:15" x14ac:dyDescent="0.3">
      <c r="A1184">
        <v>235275</v>
      </c>
      <c r="B1184">
        <v>105</v>
      </c>
      <c r="C1184" t="s">
        <v>557</v>
      </c>
      <c r="D1184" t="s">
        <v>2569</v>
      </c>
      <c r="E1184" t="s">
        <v>2870</v>
      </c>
      <c r="F1184" s="451">
        <v>46167</v>
      </c>
      <c r="G1184">
        <v>17950</v>
      </c>
      <c r="H1184" t="s">
        <v>5091</v>
      </c>
      <c r="I1184" t="s">
        <v>5222</v>
      </c>
      <c r="J1184">
        <v>15</v>
      </c>
      <c r="K1184" t="s">
        <v>4738</v>
      </c>
      <c r="L1184">
        <v>217.8</v>
      </c>
      <c r="M1184">
        <v>14.52</v>
      </c>
      <c r="N1184" t="s">
        <v>5271</v>
      </c>
      <c r="O1184" t="s">
        <v>463</v>
      </c>
    </row>
    <row r="1185" spans="1:15" x14ac:dyDescent="0.3">
      <c r="A1185">
        <v>235275</v>
      </c>
      <c r="B1185">
        <v>105</v>
      </c>
      <c r="C1185" t="s">
        <v>557</v>
      </c>
      <c r="D1185" t="s">
        <v>2569</v>
      </c>
      <c r="E1185" t="s">
        <v>2870</v>
      </c>
      <c r="F1185" s="451">
        <v>46167</v>
      </c>
      <c r="G1185">
        <v>17958</v>
      </c>
      <c r="H1185" t="s">
        <v>5076</v>
      </c>
      <c r="I1185" t="s">
        <v>5222</v>
      </c>
      <c r="J1185">
        <v>15</v>
      </c>
      <c r="K1185" t="s">
        <v>4738</v>
      </c>
      <c r="L1185">
        <v>207</v>
      </c>
      <c r="M1185">
        <v>13.8</v>
      </c>
      <c r="N1185" t="s">
        <v>5271</v>
      </c>
      <c r="O1185" t="s">
        <v>463</v>
      </c>
    </row>
    <row r="1186" spans="1:15" x14ac:dyDescent="0.3">
      <c r="A1186">
        <v>235273</v>
      </c>
      <c r="B1186">
        <v>105</v>
      </c>
      <c r="C1186" t="s">
        <v>557</v>
      </c>
      <c r="D1186" t="s">
        <v>2605</v>
      </c>
      <c r="E1186" t="s">
        <v>2871</v>
      </c>
      <c r="F1186" s="451">
        <v>46167</v>
      </c>
      <c r="G1186">
        <v>20689</v>
      </c>
      <c r="H1186" t="s">
        <v>5007</v>
      </c>
      <c r="I1186" t="s">
        <v>5191</v>
      </c>
      <c r="J1186">
        <v>2</v>
      </c>
      <c r="K1186" t="s">
        <v>4736</v>
      </c>
      <c r="L1186">
        <v>64.8</v>
      </c>
      <c r="M1186">
        <v>32.4</v>
      </c>
      <c r="N1186" t="s">
        <v>5272</v>
      </c>
      <c r="O1186" t="s">
        <v>463</v>
      </c>
    </row>
    <row r="1187" spans="1:15" x14ac:dyDescent="0.3">
      <c r="A1187">
        <v>235273</v>
      </c>
      <c r="B1187">
        <v>105</v>
      </c>
      <c r="C1187" t="s">
        <v>557</v>
      </c>
      <c r="D1187" t="s">
        <v>2605</v>
      </c>
      <c r="E1187" t="s">
        <v>2871</v>
      </c>
      <c r="F1187" s="451">
        <v>46167</v>
      </c>
      <c r="G1187">
        <v>20887</v>
      </c>
      <c r="H1187" t="s">
        <v>4953</v>
      </c>
      <c r="I1187" t="s">
        <v>5191</v>
      </c>
      <c r="J1187">
        <v>2</v>
      </c>
      <c r="K1187" t="s">
        <v>4879</v>
      </c>
      <c r="L1187">
        <v>73.8</v>
      </c>
      <c r="M1187">
        <v>36.9</v>
      </c>
      <c r="N1187" t="s">
        <v>5272</v>
      </c>
      <c r="O1187" t="s">
        <v>463</v>
      </c>
    </row>
    <row r="1188" spans="1:15" x14ac:dyDescent="0.3">
      <c r="A1188">
        <v>235258</v>
      </c>
      <c r="B1188">
        <v>105</v>
      </c>
      <c r="C1188" t="s">
        <v>557</v>
      </c>
      <c r="D1188" t="s">
        <v>2690</v>
      </c>
      <c r="E1188" t="s">
        <v>2872</v>
      </c>
      <c r="F1188" s="451">
        <v>46169</v>
      </c>
      <c r="G1188">
        <v>18518</v>
      </c>
      <c r="H1188" t="s">
        <v>4838</v>
      </c>
      <c r="I1188" t="s">
        <v>5222</v>
      </c>
      <c r="J1188">
        <v>4</v>
      </c>
      <c r="K1188" t="s">
        <v>4805</v>
      </c>
      <c r="L1188">
        <v>160</v>
      </c>
      <c r="M1188">
        <v>40</v>
      </c>
      <c r="N1188" t="s">
        <v>5271</v>
      </c>
      <c r="O1188" t="s">
        <v>463</v>
      </c>
    </row>
    <row r="1189" spans="1:15" x14ac:dyDescent="0.3">
      <c r="A1189">
        <v>235256</v>
      </c>
      <c r="B1189">
        <v>105</v>
      </c>
      <c r="C1189" t="s">
        <v>557</v>
      </c>
      <c r="D1189" t="s">
        <v>2675</v>
      </c>
      <c r="E1189" t="s">
        <v>2873</v>
      </c>
      <c r="F1189" s="451">
        <v>46167</v>
      </c>
      <c r="G1189">
        <v>23980</v>
      </c>
      <c r="H1189" t="s">
        <v>5097</v>
      </c>
      <c r="I1189" t="s">
        <v>5191</v>
      </c>
      <c r="J1189">
        <v>17.5</v>
      </c>
      <c r="K1189" t="s">
        <v>4744</v>
      </c>
      <c r="L1189">
        <v>682.5</v>
      </c>
      <c r="M1189">
        <v>39</v>
      </c>
      <c r="N1189" t="s">
        <v>5191</v>
      </c>
      <c r="O1189" t="s">
        <v>463</v>
      </c>
    </row>
    <row r="1190" spans="1:15" x14ac:dyDescent="0.3">
      <c r="A1190">
        <v>235226</v>
      </c>
      <c r="B1190">
        <v>105</v>
      </c>
      <c r="C1190" t="s">
        <v>557</v>
      </c>
      <c r="D1190" t="s">
        <v>2600</v>
      </c>
      <c r="E1190" t="s">
        <v>2874</v>
      </c>
      <c r="F1190" s="451">
        <v>46153</v>
      </c>
      <c r="G1190">
        <v>20549</v>
      </c>
      <c r="H1190" t="s">
        <v>4823</v>
      </c>
      <c r="I1190" t="s">
        <v>5191</v>
      </c>
      <c r="J1190">
        <v>5</v>
      </c>
      <c r="K1190" t="s">
        <v>4744</v>
      </c>
      <c r="L1190">
        <v>99.95</v>
      </c>
      <c r="M1190">
        <v>19.989999999999998</v>
      </c>
      <c r="N1190" t="s">
        <v>5272</v>
      </c>
      <c r="O1190" t="s">
        <v>463</v>
      </c>
    </row>
    <row r="1191" spans="1:15" x14ac:dyDescent="0.3">
      <c r="A1191">
        <v>235224</v>
      </c>
      <c r="B1191">
        <v>105</v>
      </c>
      <c r="C1191" t="s">
        <v>557</v>
      </c>
      <c r="D1191" t="s">
        <v>2600</v>
      </c>
      <c r="E1191" t="s">
        <v>2875</v>
      </c>
      <c r="F1191" s="451">
        <v>46169</v>
      </c>
      <c r="G1191">
        <v>20549</v>
      </c>
      <c r="H1191" t="s">
        <v>4823</v>
      </c>
      <c r="I1191" t="s">
        <v>5191</v>
      </c>
      <c r="J1191">
        <v>11.58</v>
      </c>
      <c r="K1191" t="s">
        <v>4744</v>
      </c>
      <c r="L1191">
        <v>231.48</v>
      </c>
      <c r="M1191">
        <v>19.989636999999998</v>
      </c>
      <c r="N1191" t="s">
        <v>5272</v>
      </c>
      <c r="O1191" t="s">
        <v>463</v>
      </c>
    </row>
    <row r="1192" spans="1:15" x14ac:dyDescent="0.3">
      <c r="A1192">
        <v>235222</v>
      </c>
      <c r="B1192">
        <v>105</v>
      </c>
      <c r="C1192" t="s">
        <v>557</v>
      </c>
      <c r="D1192" t="s">
        <v>2563</v>
      </c>
      <c r="E1192" t="s">
        <v>2876</v>
      </c>
      <c r="F1192" s="451">
        <v>46163</v>
      </c>
      <c r="G1192">
        <v>19532</v>
      </c>
      <c r="H1192" t="s">
        <v>4753</v>
      </c>
      <c r="I1192" t="s">
        <v>5191</v>
      </c>
      <c r="J1192">
        <v>26</v>
      </c>
      <c r="K1192" t="s">
        <v>4744</v>
      </c>
      <c r="L1192">
        <v>305.24</v>
      </c>
      <c r="M1192">
        <v>11.74</v>
      </c>
      <c r="N1192" t="s">
        <v>5272</v>
      </c>
      <c r="O1192" t="s">
        <v>463</v>
      </c>
    </row>
    <row r="1193" spans="1:15" x14ac:dyDescent="0.3">
      <c r="A1193">
        <v>235222</v>
      </c>
      <c r="B1193">
        <v>105</v>
      </c>
      <c r="C1193" t="s">
        <v>557</v>
      </c>
      <c r="D1193" t="s">
        <v>2563</v>
      </c>
      <c r="E1193" t="s">
        <v>2876</v>
      </c>
      <c r="F1193" s="451">
        <v>46163</v>
      </c>
      <c r="G1193">
        <v>19642</v>
      </c>
      <c r="H1193" t="s">
        <v>4996</v>
      </c>
      <c r="I1193" t="s">
        <v>5191</v>
      </c>
      <c r="J1193">
        <v>1</v>
      </c>
      <c r="K1193" t="s">
        <v>4744</v>
      </c>
      <c r="L1193">
        <v>5.51</v>
      </c>
      <c r="M1193">
        <v>5.51</v>
      </c>
      <c r="N1193" t="s">
        <v>5272</v>
      </c>
      <c r="O1193" t="s">
        <v>463</v>
      </c>
    </row>
    <row r="1194" spans="1:15" x14ac:dyDescent="0.3">
      <c r="A1194">
        <v>235222</v>
      </c>
      <c r="B1194">
        <v>105</v>
      </c>
      <c r="C1194" t="s">
        <v>557</v>
      </c>
      <c r="D1194" t="s">
        <v>2563</v>
      </c>
      <c r="E1194" t="s">
        <v>2876</v>
      </c>
      <c r="F1194" s="451">
        <v>46163</v>
      </c>
      <c r="G1194">
        <v>24037</v>
      </c>
      <c r="H1194" t="s">
        <v>5233</v>
      </c>
      <c r="I1194" t="s">
        <v>5191</v>
      </c>
      <c r="J1194">
        <v>3</v>
      </c>
      <c r="K1194" t="s">
        <v>4744</v>
      </c>
      <c r="L1194">
        <v>52.62</v>
      </c>
      <c r="M1194">
        <v>17.54</v>
      </c>
      <c r="N1194" t="s">
        <v>5272</v>
      </c>
      <c r="O1194" t="s">
        <v>463</v>
      </c>
    </row>
    <row r="1195" spans="1:15" x14ac:dyDescent="0.3">
      <c r="A1195">
        <v>235222</v>
      </c>
      <c r="B1195">
        <v>105</v>
      </c>
      <c r="C1195" t="s">
        <v>557</v>
      </c>
      <c r="D1195" t="s">
        <v>2563</v>
      </c>
      <c r="E1195" t="s">
        <v>2876</v>
      </c>
      <c r="F1195" s="451">
        <v>46163</v>
      </c>
      <c r="G1195">
        <v>19728</v>
      </c>
      <c r="H1195" t="s">
        <v>5106</v>
      </c>
      <c r="I1195" t="s">
        <v>5191</v>
      </c>
      <c r="J1195">
        <v>2</v>
      </c>
      <c r="K1195" t="s">
        <v>4744</v>
      </c>
      <c r="L1195">
        <v>20.02</v>
      </c>
      <c r="M1195">
        <v>10.01</v>
      </c>
      <c r="N1195" t="s">
        <v>5272</v>
      </c>
      <c r="O1195" t="s">
        <v>463</v>
      </c>
    </row>
    <row r="1196" spans="1:15" x14ac:dyDescent="0.3">
      <c r="A1196">
        <v>235222</v>
      </c>
      <c r="B1196">
        <v>105</v>
      </c>
      <c r="C1196" t="s">
        <v>557</v>
      </c>
      <c r="D1196" t="s">
        <v>2563</v>
      </c>
      <c r="E1196" t="s">
        <v>2876</v>
      </c>
      <c r="F1196" s="451">
        <v>46163</v>
      </c>
      <c r="G1196">
        <v>19551</v>
      </c>
      <c r="H1196" t="s">
        <v>4905</v>
      </c>
      <c r="I1196" t="s">
        <v>5191</v>
      </c>
      <c r="J1196">
        <v>2</v>
      </c>
      <c r="K1196" t="s">
        <v>4744</v>
      </c>
      <c r="L1196">
        <v>35.520000000000003</v>
      </c>
      <c r="M1196">
        <v>17.760000000000002</v>
      </c>
      <c r="N1196" t="s">
        <v>5272</v>
      </c>
      <c r="O1196" t="s">
        <v>463</v>
      </c>
    </row>
    <row r="1197" spans="1:15" x14ac:dyDescent="0.3">
      <c r="A1197">
        <v>235222</v>
      </c>
      <c r="B1197">
        <v>105</v>
      </c>
      <c r="C1197" t="s">
        <v>557</v>
      </c>
      <c r="D1197" t="s">
        <v>2563</v>
      </c>
      <c r="E1197" t="s">
        <v>2876</v>
      </c>
      <c r="F1197" s="451">
        <v>46163</v>
      </c>
      <c r="G1197">
        <v>19743</v>
      </c>
      <c r="H1197" t="s">
        <v>5047</v>
      </c>
      <c r="I1197" t="s">
        <v>5191</v>
      </c>
      <c r="J1197">
        <v>2.8</v>
      </c>
      <c r="K1197" t="s">
        <v>4744</v>
      </c>
      <c r="L1197">
        <v>42.84</v>
      </c>
      <c r="M1197">
        <v>15.3</v>
      </c>
      <c r="N1197" t="s">
        <v>5272</v>
      </c>
      <c r="O1197" t="s">
        <v>463</v>
      </c>
    </row>
    <row r="1198" spans="1:15" x14ac:dyDescent="0.3">
      <c r="A1198">
        <v>235222</v>
      </c>
      <c r="B1198">
        <v>105</v>
      </c>
      <c r="C1198" t="s">
        <v>557</v>
      </c>
      <c r="D1198" t="s">
        <v>2563</v>
      </c>
      <c r="E1198" t="s">
        <v>2876</v>
      </c>
      <c r="F1198" s="451">
        <v>46163</v>
      </c>
      <c r="G1198">
        <v>19635</v>
      </c>
      <c r="H1198" t="s">
        <v>4786</v>
      </c>
      <c r="I1198" t="s">
        <v>5191</v>
      </c>
      <c r="J1198">
        <v>5</v>
      </c>
      <c r="K1198" t="s">
        <v>4744</v>
      </c>
      <c r="L1198">
        <v>25</v>
      </c>
      <c r="M1198">
        <v>5</v>
      </c>
      <c r="N1198" t="s">
        <v>5272</v>
      </c>
      <c r="O1198" t="s">
        <v>463</v>
      </c>
    </row>
    <row r="1199" spans="1:15" x14ac:dyDescent="0.3">
      <c r="A1199">
        <v>235222</v>
      </c>
      <c r="B1199">
        <v>105</v>
      </c>
      <c r="C1199" t="s">
        <v>557</v>
      </c>
      <c r="D1199" t="s">
        <v>2563</v>
      </c>
      <c r="E1199" t="s">
        <v>2876</v>
      </c>
      <c r="F1199" s="451">
        <v>46163</v>
      </c>
      <c r="G1199">
        <v>19558</v>
      </c>
      <c r="H1199" t="s">
        <v>4994</v>
      </c>
      <c r="I1199" t="s">
        <v>5191</v>
      </c>
      <c r="J1199">
        <v>1</v>
      </c>
      <c r="K1199" t="s">
        <v>4744</v>
      </c>
      <c r="L1199">
        <v>20.3</v>
      </c>
      <c r="M1199">
        <v>20.3</v>
      </c>
      <c r="N1199" t="s">
        <v>5272</v>
      </c>
      <c r="O1199" t="s">
        <v>463</v>
      </c>
    </row>
    <row r="1200" spans="1:15" x14ac:dyDescent="0.3">
      <c r="A1200">
        <v>235222</v>
      </c>
      <c r="B1200">
        <v>105</v>
      </c>
      <c r="C1200" t="s">
        <v>557</v>
      </c>
      <c r="D1200" t="s">
        <v>2563</v>
      </c>
      <c r="E1200" t="s">
        <v>2876</v>
      </c>
      <c r="F1200" s="451">
        <v>46163</v>
      </c>
      <c r="G1200">
        <v>19572</v>
      </c>
      <c r="H1200" t="s">
        <v>4989</v>
      </c>
      <c r="I1200" t="s">
        <v>5191</v>
      </c>
      <c r="J1200">
        <v>1</v>
      </c>
      <c r="K1200" t="s">
        <v>4744</v>
      </c>
      <c r="L1200">
        <v>9.06</v>
      </c>
      <c r="M1200">
        <v>9.06</v>
      </c>
      <c r="N1200" t="s">
        <v>5272</v>
      </c>
      <c r="O1200" t="s">
        <v>463</v>
      </c>
    </row>
    <row r="1201" spans="1:15" x14ac:dyDescent="0.3">
      <c r="A1201">
        <v>235222</v>
      </c>
      <c r="B1201">
        <v>105</v>
      </c>
      <c r="C1201" t="s">
        <v>557</v>
      </c>
      <c r="D1201" t="s">
        <v>2563</v>
      </c>
      <c r="E1201" t="s">
        <v>2876</v>
      </c>
      <c r="F1201" s="451">
        <v>46163</v>
      </c>
      <c r="G1201">
        <v>19632</v>
      </c>
      <c r="H1201" t="s">
        <v>4936</v>
      </c>
      <c r="I1201" t="s">
        <v>5191</v>
      </c>
      <c r="J1201">
        <v>2</v>
      </c>
      <c r="K1201" t="s">
        <v>4744</v>
      </c>
      <c r="L1201">
        <v>10</v>
      </c>
      <c r="M1201">
        <v>5</v>
      </c>
      <c r="N1201" t="s">
        <v>5272</v>
      </c>
      <c r="O1201" t="s">
        <v>463</v>
      </c>
    </row>
    <row r="1202" spans="1:15" x14ac:dyDescent="0.3">
      <c r="A1202">
        <v>235222</v>
      </c>
      <c r="B1202">
        <v>105</v>
      </c>
      <c r="C1202" t="s">
        <v>557</v>
      </c>
      <c r="D1202" t="s">
        <v>2563</v>
      </c>
      <c r="E1202" t="s">
        <v>2876</v>
      </c>
      <c r="F1202" s="451">
        <v>46163</v>
      </c>
      <c r="G1202">
        <v>23389</v>
      </c>
      <c r="H1202" t="s">
        <v>4960</v>
      </c>
      <c r="I1202" t="s">
        <v>5191</v>
      </c>
      <c r="J1202">
        <v>4</v>
      </c>
      <c r="K1202" t="s">
        <v>4744</v>
      </c>
      <c r="L1202">
        <v>19.32</v>
      </c>
      <c r="M1202">
        <v>4.83</v>
      </c>
      <c r="N1202" t="s">
        <v>5272</v>
      </c>
      <c r="O1202" t="s">
        <v>463</v>
      </c>
    </row>
    <row r="1203" spans="1:15" x14ac:dyDescent="0.3">
      <c r="A1203">
        <v>235221</v>
      </c>
      <c r="B1203">
        <v>105</v>
      </c>
      <c r="C1203" t="s">
        <v>557</v>
      </c>
      <c r="D1203" t="s">
        <v>2563</v>
      </c>
      <c r="E1203" t="s">
        <v>2877</v>
      </c>
      <c r="F1203" s="451">
        <v>46167</v>
      </c>
      <c r="G1203">
        <v>19607</v>
      </c>
      <c r="H1203" t="s">
        <v>4981</v>
      </c>
      <c r="I1203" t="s">
        <v>5191</v>
      </c>
      <c r="J1203">
        <v>0.4</v>
      </c>
      <c r="K1203" t="s">
        <v>4744</v>
      </c>
      <c r="L1203">
        <v>4.6100000000000003</v>
      </c>
      <c r="M1203">
        <v>11.525</v>
      </c>
      <c r="N1203" t="s">
        <v>5191</v>
      </c>
      <c r="O1203" t="s">
        <v>463</v>
      </c>
    </row>
    <row r="1204" spans="1:15" x14ac:dyDescent="0.3">
      <c r="A1204">
        <v>235221</v>
      </c>
      <c r="B1204">
        <v>105</v>
      </c>
      <c r="C1204" t="s">
        <v>557</v>
      </c>
      <c r="D1204" t="s">
        <v>2563</v>
      </c>
      <c r="E1204" t="s">
        <v>2877</v>
      </c>
      <c r="F1204" s="451">
        <v>46167</v>
      </c>
      <c r="G1204">
        <v>19572</v>
      </c>
      <c r="H1204" t="s">
        <v>4989</v>
      </c>
      <c r="I1204" t="s">
        <v>5191</v>
      </c>
      <c r="J1204">
        <v>0.3</v>
      </c>
      <c r="K1204" t="s">
        <v>4744</v>
      </c>
      <c r="L1204">
        <v>2.72</v>
      </c>
      <c r="M1204">
        <v>9.0666670000000007</v>
      </c>
      <c r="N1204" t="s">
        <v>5191</v>
      </c>
      <c r="O1204" t="s">
        <v>463</v>
      </c>
    </row>
    <row r="1205" spans="1:15" x14ac:dyDescent="0.3">
      <c r="A1205">
        <v>235221</v>
      </c>
      <c r="B1205">
        <v>105</v>
      </c>
      <c r="C1205" t="s">
        <v>557</v>
      </c>
      <c r="D1205" t="s">
        <v>2563</v>
      </c>
      <c r="E1205" t="s">
        <v>2877</v>
      </c>
      <c r="F1205" s="451">
        <v>46167</v>
      </c>
      <c r="G1205">
        <v>19507</v>
      </c>
      <c r="H1205" t="s">
        <v>4853</v>
      </c>
      <c r="I1205" t="s">
        <v>5191</v>
      </c>
      <c r="J1205">
        <v>1.5</v>
      </c>
      <c r="K1205" t="s">
        <v>4744</v>
      </c>
      <c r="L1205">
        <v>24.36</v>
      </c>
      <c r="M1205">
        <v>16.239999999999998</v>
      </c>
      <c r="N1205" t="s">
        <v>5191</v>
      </c>
      <c r="O1205" t="s">
        <v>463</v>
      </c>
    </row>
    <row r="1206" spans="1:15" x14ac:dyDescent="0.3">
      <c r="A1206">
        <v>235221</v>
      </c>
      <c r="B1206">
        <v>105</v>
      </c>
      <c r="C1206" t="s">
        <v>557</v>
      </c>
      <c r="D1206" t="s">
        <v>2563</v>
      </c>
      <c r="E1206" t="s">
        <v>2877</v>
      </c>
      <c r="F1206" s="451">
        <v>46167</v>
      </c>
      <c r="G1206">
        <v>19526</v>
      </c>
      <c r="H1206" t="s">
        <v>4997</v>
      </c>
      <c r="I1206" t="s">
        <v>5191</v>
      </c>
      <c r="J1206">
        <v>1</v>
      </c>
      <c r="K1206" t="s">
        <v>4744</v>
      </c>
      <c r="L1206">
        <v>53.65</v>
      </c>
      <c r="M1206">
        <v>53.65</v>
      </c>
      <c r="N1206" t="s">
        <v>5191</v>
      </c>
      <c r="O1206" t="s">
        <v>463</v>
      </c>
    </row>
    <row r="1207" spans="1:15" x14ac:dyDescent="0.3">
      <c r="A1207">
        <v>235221</v>
      </c>
      <c r="B1207">
        <v>105</v>
      </c>
      <c r="C1207" t="s">
        <v>557</v>
      </c>
      <c r="D1207" t="s">
        <v>2563</v>
      </c>
      <c r="E1207" t="s">
        <v>2877</v>
      </c>
      <c r="F1207" s="451">
        <v>46167</v>
      </c>
      <c r="G1207">
        <v>19642</v>
      </c>
      <c r="H1207" t="s">
        <v>4996</v>
      </c>
      <c r="I1207" t="s">
        <v>5191</v>
      </c>
      <c r="J1207">
        <v>1</v>
      </c>
      <c r="K1207" t="s">
        <v>4744</v>
      </c>
      <c r="L1207">
        <v>5.51</v>
      </c>
      <c r="M1207">
        <v>5.51</v>
      </c>
      <c r="N1207" t="s">
        <v>5191</v>
      </c>
      <c r="O1207" t="s">
        <v>463</v>
      </c>
    </row>
    <row r="1208" spans="1:15" x14ac:dyDescent="0.3">
      <c r="A1208">
        <v>235221</v>
      </c>
      <c r="B1208">
        <v>105</v>
      </c>
      <c r="C1208" t="s">
        <v>557</v>
      </c>
      <c r="D1208" t="s">
        <v>2563</v>
      </c>
      <c r="E1208" t="s">
        <v>2877</v>
      </c>
      <c r="F1208" s="451">
        <v>46167</v>
      </c>
      <c r="G1208">
        <v>19558</v>
      </c>
      <c r="H1208" t="s">
        <v>4994</v>
      </c>
      <c r="I1208" t="s">
        <v>5191</v>
      </c>
      <c r="J1208">
        <v>1</v>
      </c>
      <c r="K1208" t="s">
        <v>4744</v>
      </c>
      <c r="L1208">
        <v>20.3</v>
      </c>
      <c r="M1208">
        <v>20.3</v>
      </c>
      <c r="N1208" t="s">
        <v>5191</v>
      </c>
      <c r="O1208" t="s">
        <v>463</v>
      </c>
    </row>
    <row r="1209" spans="1:15" x14ac:dyDescent="0.3">
      <c r="A1209">
        <v>235221</v>
      </c>
      <c r="B1209">
        <v>105</v>
      </c>
      <c r="C1209" t="s">
        <v>557</v>
      </c>
      <c r="D1209" t="s">
        <v>2563</v>
      </c>
      <c r="E1209" t="s">
        <v>2877</v>
      </c>
      <c r="F1209" s="451">
        <v>46167</v>
      </c>
      <c r="G1209">
        <v>19492</v>
      </c>
      <c r="H1209" t="s">
        <v>4937</v>
      </c>
      <c r="I1209" t="s">
        <v>5191</v>
      </c>
      <c r="J1209">
        <v>2</v>
      </c>
      <c r="K1209" t="s">
        <v>4744</v>
      </c>
      <c r="L1209">
        <v>50.76</v>
      </c>
      <c r="M1209">
        <v>25.38</v>
      </c>
      <c r="N1209" t="s">
        <v>5191</v>
      </c>
      <c r="O1209" t="s">
        <v>463</v>
      </c>
    </row>
    <row r="1210" spans="1:15" x14ac:dyDescent="0.3">
      <c r="A1210">
        <v>235221</v>
      </c>
      <c r="B1210">
        <v>105</v>
      </c>
      <c r="C1210" t="s">
        <v>557</v>
      </c>
      <c r="D1210" t="s">
        <v>2563</v>
      </c>
      <c r="E1210" t="s">
        <v>2877</v>
      </c>
      <c r="F1210" s="451">
        <v>46167</v>
      </c>
      <c r="G1210">
        <v>19623</v>
      </c>
      <c r="H1210" t="s">
        <v>4764</v>
      </c>
      <c r="I1210" t="s">
        <v>5191</v>
      </c>
      <c r="J1210">
        <v>10</v>
      </c>
      <c r="K1210" t="s">
        <v>4744</v>
      </c>
      <c r="L1210">
        <v>63.1</v>
      </c>
      <c r="M1210">
        <v>6.31</v>
      </c>
      <c r="N1210" t="s">
        <v>5191</v>
      </c>
      <c r="O1210" t="s">
        <v>463</v>
      </c>
    </row>
    <row r="1211" spans="1:15" x14ac:dyDescent="0.3">
      <c r="A1211">
        <v>235221</v>
      </c>
      <c r="B1211">
        <v>105</v>
      </c>
      <c r="C1211" t="s">
        <v>557</v>
      </c>
      <c r="D1211" t="s">
        <v>2563</v>
      </c>
      <c r="E1211" t="s">
        <v>2877</v>
      </c>
      <c r="F1211" s="451">
        <v>46167</v>
      </c>
      <c r="G1211">
        <v>19532</v>
      </c>
      <c r="H1211" t="s">
        <v>4753</v>
      </c>
      <c r="I1211" t="s">
        <v>5191</v>
      </c>
      <c r="J1211">
        <v>10</v>
      </c>
      <c r="K1211" t="s">
        <v>4744</v>
      </c>
      <c r="L1211">
        <v>117.4</v>
      </c>
      <c r="M1211">
        <v>11.74</v>
      </c>
      <c r="N1211" t="s">
        <v>5191</v>
      </c>
      <c r="O1211" t="s">
        <v>463</v>
      </c>
    </row>
    <row r="1212" spans="1:15" x14ac:dyDescent="0.3">
      <c r="A1212">
        <v>235221</v>
      </c>
      <c r="B1212">
        <v>105</v>
      </c>
      <c r="C1212" t="s">
        <v>557</v>
      </c>
      <c r="D1212" t="s">
        <v>2563</v>
      </c>
      <c r="E1212" t="s">
        <v>2877</v>
      </c>
      <c r="F1212" s="451">
        <v>46167</v>
      </c>
      <c r="G1212">
        <v>23389</v>
      </c>
      <c r="H1212" t="s">
        <v>4960</v>
      </c>
      <c r="I1212" t="s">
        <v>5191</v>
      </c>
      <c r="J1212">
        <v>3</v>
      </c>
      <c r="K1212" t="s">
        <v>4744</v>
      </c>
      <c r="L1212">
        <v>14.49</v>
      </c>
      <c r="M1212">
        <v>4.83</v>
      </c>
      <c r="N1212" t="s">
        <v>5191</v>
      </c>
      <c r="O1212" t="s">
        <v>463</v>
      </c>
    </row>
    <row r="1213" spans="1:15" x14ac:dyDescent="0.3">
      <c r="A1213">
        <v>235221</v>
      </c>
      <c r="B1213">
        <v>105</v>
      </c>
      <c r="C1213" t="s">
        <v>557</v>
      </c>
      <c r="D1213" t="s">
        <v>2563</v>
      </c>
      <c r="E1213" t="s">
        <v>2877</v>
      </c>
      <c r="F1213" s="451">
        <v>46167</v>
      </c>
      <c r="G1213">
        <v>19658</v>
      </c>
      <c r="H1213" t="s">
        <v>4784</v>
      </c>
      <c r="I1213" t="s">
        <v>5191</v>
      </c>
      <c r="J1213">
        <v>8</v>
      </c>
      <c r="K1213" t="s">
        <v>4744</v>
      </c>
      <c r="L1213">
        <v>29.6</v>
      </c>
      <c r="M1213">
        <v>3.7</v>
      </c>
      <c r="N1213" t="s">
        <v>5191</v>
      </c>
      <c r="O1213" t="s">
        <v>463</v>
      </c>
    </row>
    <row r="1214" spans="1:15" x14ac:dyDescent="0.3">
      <c r="A1214">
        <v>235221</v>
      </c>
      <c r="B1214">
        <v>105</v>
      </c>
      <c r="C1214" t="s">
        <v>557</v>
      </c>
      <c r="D1214" t="s">
        <v>2563</v>
      </c>
      <c r="E1214" t="s">
        <v>2877</v>
      </c>
      <c r="F1214" s="451">
        <v>46167</v>
      </c>
      <c r="G1214">
        <v>19728</v>
      </c>
      <c r="H1214" t="s">
        <v>5106</v>
      </c>
      <c r="I1214" t="s">
        <v>5191</v>
      </c>
      <c r="J1214">
        <v>1</v>
      </c>
      <c r="K1214" t="s">
        <v>4744</v>
      </c>
      <c r="L1214">
        <v>10.01</v>
      </c>
      <c r="M1214">
        <v>10.01</v>
      </c>
      <c r="N1214" t="s">
        <v>5191</v>
      </c>
      <c r="O1214" t="s">
        <v>463</v>
      </c>
    </row>
    <row r="1215" spans="1:15" x14ac:dyDescent="0.3">
      <c r="A1215">
        <v>235221</v>
      </c>
      <c r="B1215">
        <v>105</v>
      </c>
      <c r="C1215" t="s">
        <v>557</v>
      </c>
      <c r="D1215" t="s">
        <v>2563</v>
      </c>
      <c r="E1215" t="s">
        <v>2877</v>
      </c>
      <c r="F1215" s="451">
        <v>46167</v>
      </c>
      <c r="G1215">
        <v>19621</v>
      </c>
      <c r="H1215" t="s">
        <v>4829</v>
      </c>
      <c r="I1215" t="s">
        <v>5191</v>
      </c>
      <c r="J1215">
        <v>2</v>
      </c>
      <c r="K1215" t="s">
        <v>4744</v>
      </c>
      <c r="L1215">
        <v>18.12</v>
      </c>
      <c r="M1215">
        <v>9.06</v>
      </c>
      <c r="N1215" t="s">
        <v>5191</v>
      </c>
      <c r="O1215" t="s">
        <v>463</v>
      </c>
    </row>
    <row r="1216" spans="1:15" x14ac:dyDescent="0.3">
      <c r="A1216">
        <v>235221</v>
      </c>
      <c r="B1216">
        <v>105</v>
      </c>
      <c r="C1216" t="s">
        <v>557</v>
      </c>
      <c r="D1216" t="s">
        <v>2563</v>
      </c>
      <c r="E1216" t="s">
        <v>2877</v>
      </c>
      <c r="F1216" s="451">
        <v>46167</v>
      </c>
      <c r="G1216">
        <v>24489</v>
      </c>
      <c r="H1216" t="s">
        <v>5121</v>
      </c>
      <c r="I1216" t="s">
        <v>5191</v>
      </c>
      <c r="J1216">
        <v>1</v>
      </c>
      <c r="K1216" t="s">
        <v>4744</v>
      </c>
      <c r="L1216">
        <v>31.9</v>
      </c>
      <c r="M1216">
        <v>31.9</v>
      </c>
      <c r="N1216" t="s">
        <v>5191</v>
      </c>
      <c r="O1216" t="s">
        <v>463</v>
      </c>
    </row>
    <row r="1217" spans="1:15" x14ac:dyDescent="0.3">
      <c r="A1217">
        <v>235221</v>
      </c>
      <c r="B1217">
        <v>105</v>
      </c>
      <c r="C1217" t="s">
        <v>557</v>
      </c>
      <c r="D1217" t="s">
        <v>2563</v>
      </c>
      <c r="E1217" t="s">
        <v>2877</v>
      </c>
      <c r="F1217" s="451">
        <v>46167</v>
      </c>
      <c r="G1217">
        <v>23228</v>
      </c>
      <c r="H1217" t="s">
        <v>4782</v>
      </c>
      <c r="I1217" t="s">
        <v>5191</v>
      </c>
      <c r="J1217">
        <v>10</v>
      </c>
      <c r="K1217" t="s">
        <v>4744</v>
      </c>
      <c r="L1217">
        <v>68.2</v>
      </c>
      <c r="M1217">
        <v>6.82</v>
      </c>
      <c r="N1217" t="s">
        <v>5191</v>
      </c>
      <c r="O1217" t="s">
        <v>463</v>
      </c>
    </row>
    <row r="1218" spans="1:15" x14ac:dyDescent="0.3">
      <c r="A1218">
        <v>235221</v>
      </c>
      <c r="B1218">
        <v>105</v>
      </c>
      <c r="C1218" t="s">
        <v>557</v>
      </c>
      <c r="D1218" t="s">
        <v>2563</v>
      </c>
      <c r="E1218" t="s">
        <v>2877</v>
      </c>
      <c r="F1218" s="451">
        <v>46167</v>
      </c>
      <c r="G1218">
        <v>19635</v>
      </c>
      <c r="H1218" t="s">
        <v>4786</v>
      </c>
      <c r="I1218" t="s">
        <v>5191</v>
      </c>
      <c r="J1218">
        <v>8</v>
      </c>
      <c r="K1218" t="s">
        <v>4744</v>
      </c>
      <c r="L1218">
        <v>40</v>
      </c>
      <c r="M1218">
        <v>5</v>
      </c>
      <c r="N1218" t="s">
        <v>5191</v>
      </c>
      <c r="O1218" t="s">
        <v>463</v>
      </c>
    </row>
    <row r="1219" spans="1:15" x14ac:dyDescent="0.3">
      <c r="A1219">
        <v>235221</v>
      </c>
      <c r="B1219">
        <v>105</v>
      </c>
      <c r="C1219" t="s">
        <v>557</v>
      </c>
      <c r="D1219" t="s">
        <v>2563</v>
      </c>
      <c r="E1219" t="s">
        <v>2877</v>
      </c>
      <c r="F1219" s="451">
        <v>46167</v>
      </c>
      <c r="G1219">
        <v>19551</v>
      </c>
      <c r="H1219" t="s">
        <v>4905</v>
      </c>
      <c r="I1219" t="s">
        <v>5191</v>
      </c>
      <c r="J1219">
        <v>2</v>
      </c>
      <c r="K1219" t="s">
        <v>4744</v>
      </c>
      <c r="L1219">
        <v>35.520000000000003</v>
      </c>
      <c r="M1219">
        <v>17.760000000000002</v>
      </c>
      <c r="N1219" t="s">
        <v>5191</v>
      </c>
      <c r="O1219" t="s">
        <v>463</v>
      </c>
    </row>
    <row r="1220" spans="1:15" x14ac:dyDescent="0.3">
      <c r="A1220">
        <v>235217</v>
      </c>
      <c r="B1220">
        <v>105</v>
      </c>
      <c r="C1220" t="s">
        <v>557</v>
      </c>
      <c r="D1220" t="s">
        <v>2563</v>
      </c>
      <c r="E1220" t="s">
        <v>2878</v>
      </c>
      <c r="F1220" s="451">
        <v>46169</v>
      </c>
      <c r="G1220">
        <v>23389</v>
      </c>
      <c r="H1220" t="s">
        <v>4960</v>
      </c>
      <c r="I1220" t="s">
        <v>5191</v>
      </c>
      <c r="J1220">
        <v>2.2999999999999998</v>
      </c>
      <c r="K1220" t="s">
        <v>4744</v>
      </c>
      <c r="L1220">
        <v>11.11</v>
      </c>
      <c r="M1220">
        <v>4.8304349999999996</v>
      </c>
      <c r="N1220" t="s">
        <v>5272</v>
      </c>
      <c r="O1220" t="s">
        <v>463</v>
      </c>
    </row>
    <row r="1221" spans="1:15" x14ac:dyDescent="0.3">
      <c r="A1221">
        <v>235217</v>
      </c>
      <c r="B1221">
        <v>105</v>
      </c>
      <c r="C1221" t="s">
        <v>557</v>
      </c>
      <c r="D1221" t="s">
        <v>2563</v>
      </c>
      <c r="E1221" t="s">
        <v>2878</v>
      </c>
      <c r="F1221" s="451">
        <v>46169</v>
      </c>
      <c r="G1221">
        <v>19532</v>
      </c>
      <c r="H1221" t="s">
        <v>4753</v>
      </c>
      <c r="I1221" t="s">
        <v>5191</v>
      </c>
      <c r="J1221">
        <v>10</v>
      </c>
      <c r="K1221" t="s">
        <v>4744</v>
      </c>
      <c r="L1221">
        <v>116</v>
      </c>
      <c r="M1221">
        <v>11.6</v>
      </c>
      <c r="N1221" t="s">
        <v>5272</v>
      </c>
      <c r="O1221" t="s">
        <v>463</v>
      </c>
    </row>
    <row r="1222" spans="1:15" x14ac:dyDescent="0.3">
      <c r="A1222">
        <v>235215</v>
      </c>
      <c r="B1222">
        <v>105</v>
      </c>
      <c r="C1222" t="s">
        <v>557</v>
      </c>
      <c r="D1222" t="s">
        <v>2595</v>
      </c>
      <c r="E1222" t="s">
        <v>2879</v>
      </c>
      <c r="F1222" s="451">
        <v>46164</v>
      </c>
      <c r="G1222">
        <v>24259</v>
      </c>
      <c r="H1222" t="s">
        <v>4875</v>
      </c>
      <c r="I1222" t="s">
        <v>5191</v>
      </c>
      <c r="J1222">
        <v>16.45</v>
      </c>
      <c r="K1222" t="s">
        <v>4744</v>
      </c>
      <c r="L1222">
        <v>1340.51</v>
      </c>
      <c r="M1222">
        <v>81.48997</v>
      </c>
      <c r="N1222" t="s">
        <v>5272</v>
      </c>
      <c r="O1222" t="s">
        <v>463</v>
      </c>
    </row>
    <row r="1223" spans="1:15" x14ac:dyDescent="0.3">
      <c r="A1223">
        <v>235214</v>
      </c>
      <c r="B1223">
        <v>105</v>
      </c>
      <c r="C1223" t="s">
        <v>557</v>
      </c>
      <c r="D1223" t="s">
        <v>2603</v>
      </c>
      <c r="E1223" t="s">
        <v>2880</v>
      </c>
      <c r="F1223" s="451">
        <v>46167</v>
      </c>
      <c r="G1223">
        <v>26679</v>
      </c>
      <c r="H1223" t="s">
        <v>4791</v>
      </c>
      <c r="I1223" t="s">
        <v>5191</v>
      </c>
      <c r="J1223">
        <v>31.58</v>
      </c>
      <c r="K1223" t="s">
        <v>4744</v>
      </c>
      <c r="L1223">
        <v>944.24</v>
      </c>
      <c r="M1223">
        <v>29.899937000000001</v>
      </c>
      <c r="N1223" t="s">
        <v>5272</v>
      </c>
      <c r="O1223" t="s">
        <v>463</v>
      </c>
    </row>
    <row r="1224" spans="1:15" x14ac:dyDescent="0.3">
      <c r="A1224">
        <v>235214</v>
      </c>
      <c r="B1224">
        <v>105</v>
      </c>
      <c r="C1224" t="s">
        <v>557</v>
      </c>
      <c r="D1224" t="s">
        <v>2603</v>
      </c>
      <c r="E1224" t="s">
        <v>2880</v>
      </c>
      <c r="F1224" s="451">
        <v>46167</v>
      </c>
      <c r="G1224">
        <v>19003</v>
      </c>
      <c r="H1224" t="s">
        <v>4810</v>
      </c>
      <c r="I1224" t="s">
        <v>5191</v>
      </c>
      <c r="J1224">
        <v>15.92</v>
      </c>
      <c r="K1224" t="s">
        <v>4744</v>
      </c>
      <c r="L1224">
        <v>635.21</v>
      </c>
      <c r="M1224">
        <v>39.900126</v>
      </c>
      <c r="N1224" t="s">
        <v>5272</v>
      </c>
      <c r="O1224" t="s">
        <v>463</v>
      </c>
    </row>
    <row r="1225" spans="1:15" x14ac:dyDescent="0.3">
      <c r="A1225">
        <v>235213</v>
      </c>
      <c r="B1225">
        <v>105</v>
      </c>
      <c r="C1225" t="s">
        <v>557</v>
      </c>
      <c r="D1225" t="s">
        <v>2593</v>
      </c>
      <c r="E1225" t="s">
        <v>2881</v>
      </c>
      <c r="F1225" s="451">
        <v>46164</v>
      </c>
      <c r="G1225">
        <v>24256</v>
      </c>
      <c r="H1225" t="s">
        <v>4773</v>
      </c>
      <c r="I1225" t="s">
        <v>5191</v>
      </c>
      <c r="J1225">
        <v>10</v>
      </c>
      <c r="K1225" t="s">
        <v>4744</v>
      </c>
      <c r="L1225">
        <v>375</v>
      </c>
      <c r="M1225">
        <v>37.5</v>
      </c>
      <c r="N1225" t="s">
        <v>5191</v>
      </c>
      <c r="O1225" t="s">
        <v>463</v>
      </c>
    </row>
    <row r="1226" spans="1:15" x14ac:dyDescent="0.3">
      <c r="A1226">
        <v>235211</v>
      </c>
      <c r="B1226">
        <v>105</v>
      </c>
      <c r="C1226" t="s">
        <v>557</v>
      </c>
      <c r="D1226" t="s">
        <v>2552</v>
      </c>
      <c r="E1226" t="s">
        <v>2882</v>
      </c>
      <c r="F1226" s="451">
        <v>46169</v>
      </c>
      <c r="G1226">
        <v>26627</v>
      </c>
      <c r="H1226" t="s">
        <v>5190</v>
      </c>
      <c r="I1226" t="s">
        <v>5191</v>
      </c>
      <c r="J1226">
        <v>25</v>
      </c>
      <c r="K1226" t="s">
        <v>4744</v>
      </c>
      <c r="L1226">
        <v>197.5</v>
      </c>
      <c r="M1226">
        <v>7.9</v>
      </c>
      <c r="N1226" t="s">
        <v>5272</v>
      </c>
      <c r="O1226" t="s">
        <v>463</v>
      </c>
    </row>
    <row r="1227" spans="1:15" x14ac:dyDescent="0.3">
      <c r="A1227">
        <v>235208</v>
      </c>
      <c r="B1227">
        <v>105</v>
      </c>
      <c r="C1227" t="s">
        <v>557</v>
      </c>
      <c r="D1227" t="s">
        <v>2557</v>
      </c>
      <c r="E1227" t="s">
        <v>2883</v>
      </c>
      <c r="F1227" s="451">
        <v>46169</v>
      </c>
      <c r="G1227">
        <v>21716</v>
      </c>
      <c r="H1227" t="s">
        <v>5281</v>
      </c>
      <c r="I1227" t="s">
        <v>5215</v>
      </c>
      <c r="J1227">
        <v>1</v>
      </c>
      <c r="K1227" t="s">
        <v>4749</v>
      </c>
      <c r="L1227">
        <v>455</v>
      </c>
      <c r="M1227">
        <v>455</v>
      </c>
      <c r="N1227" t="s">
        <v>5312</v>
      </c>
      <c r="O1227" t="s">
        <v>463</v>
      </c>
    </row>
    <row r="1228" spans="1:15" x14ac:dyDescent="0.3">
      <c r="A1228">
        <v>235208</v>
      </c>
      <c r="B1228">
        <v>105</v>
      </c>
      <c r="C1228" t="s">
        <v>557</v>
      </c>
      <c r="D1228" t="s">
        <v>2557</v>
      </c>
      <c r="E1228" t="s">
        <v>2883</v>
      </c>
      <c r="F1228" s="451">
        <v>46169</v>
      </c>
      <c r="G1228">
        <v>24527</v>
      </c>
      <c r="H1228" t="s">
        <v>5313</v>
      </c>
      <c r="I1228" t="s">
        <v>5215</v>
      </c>
      <c r="J1228">
        <v>1</v>
      </c>
      <c r="K1228" t="s">
        <v>4749</v>
      </c>
      <c r="L1228">
        <v>1127.8800000000001</v>
      </c>
      <c r="M1228">
        <v>1127.8800000000001</v>
      </c>
      <c r="N1228" t="s">
        <v>5312</v>
      </c>
      <c r="O1228" t="s">
        <v>463</v>
      </c>
    </row>
    <row r="1229" spans="1:15" x14ac:dyDescent="0.3">
      <c r="A1229">
        <v>235208</v>
      </c>
      <c r="B1229">
        <v>105</v>
      </c>
      <c r="C1229" t="s">
        <v>557</v>
      </c>
      <c r="D1229" t="s">
        <v>2557</v>
      </c>
      <c r="E1229" t="s">
        <v>2883</v>
      </c>
      <c r="F1229" s="451">
        <v>46169</v>
      </c>
      <c r="G1229">
        <v>17465</v>
      </c>
      <c r="H1229" t="s">
        <v>5279</v>
      </c>
      <c r="I1229" t="s">
        <v>5215</v>
      </c>
      <c r="J1229">
        <v>1</v>
      </c>
      <c r="K1229" t="s">
        <v>4749</v>
      </c>
      <c r="L1229">
        <v>761.13</v>
      </c>
      <c r="M1229">
        <v>761.13</v>
      </c>
      <c r="N1229" t="s">
        <v>5312</v>
      </c>
      <c r="O1229" t="s">
        <v>463</v>
      </c>
    </row>
    <row r="1230" spans="1:15" x14ac:dyDescent="0.3">
      <c r="A1230">
        <v>235199</v>
      </c>
      <c r="B1230">
        <v>105</v>
      </c>
      <c r="C1230" t="s">
        <v>557</v>
      </c>
      <c r="D1230" t="s">
        <v>2884</v>
      </c>
      <c r="E1230" t="s">
        <v>2885</v>
      </c>
      <c r="F1230" s="451">
        <v>46143</v>
      </c>
      <c r="G1230">
        <v>17658</v>
      </c>
      <c r="H1230" t="s">
        <v>4978</v>
      </c>
      <c r="I1230" t="s">
        <v>5222</v>
      </c>
      <c r="J1230">
        <v>9</v>
      </c>
      <c r="K1230" t="s">
        <v>4736</v>
      </c>
      <c r="L1230">
        <v>522</v>
      </c>
      <c r="M1230">
        <v>58</v>
      </c>
      <c r="N1230" t="s">
        <v>5222</v>
      </c>
      <c r="O1230" t="s">
        <v>463</v>
      </c>
    </row>
    <row r="1231" spans="1:15" x14ac:dyDescent="0.3">
      <c r="A1231">
        <v>235198</v>
      </c>
      <c r="B1231">
        <v>105</v>
      </c>
      <c r="C1231" t="s">
        <v>557</v>
      </c>
      <c r="D1231" t="s">
        <v>2597</v>
      </c>
      <c r="E1231" t="s">
        <v>2886</v>
      </c>
      <c r="F1231" s="451">
        <v>46167</v>
      </c>
      <c r="G1231">
        <v>24096</v>
      </c>
      <c r="H1231" t="s">
        <v>4771</v>
      </c>
      <c r="I1231" t="s">
        <v>5191</v>
      </c>
      <c r="J1231">
        <v>72</v>
      </c>
      <c r="K1231" t="s">
        <v>4744</v>
      </c>
      <c r="L1231">
        <v>3024</v>
      </c>
      <c r="M1231">
        <v>42</v>
      </c>
      <c r="N1231" t="s">
        <v>5272</v>
      </c>
      <c r="O1231" t="s">
        <v>463</v>
      </c>
    </row>
    <row r="1232" spans="1:15" x14ac:dyDescent="0.3">
      <c r="A1232">
        <v>235198</v>
      </c>
      <c r="B1232">
        <v>105</v>
      </c>
      <c r="C1232" t="s">
        <v>557</v>
      </c>
      <c r="D1232" t="s">
        <v>2597</v>
      </c>
      <c r="E1232" t="s">
        <v>2886</v>
      </c>
      <c r="F1232" s="451">
        <v>46167</v>
      </c>
      <c r="G1232">
        <v>24217</v>
      </c>
      <c r="H1232" t="s">
        <v>4778</v>
      </c>
      <c r="I1232" t="s">
        <v>5191</v>
      </c>
      <c r="J1232">
        <v>21</v>
      </c>
      <c r="K1232" t="s">
        <v>4744</v>
      </c>
      <c r="L1232">
        <v>745.5</v>
      </c>
      <c r="M1232">
        <v>35.5</v>
      </c>
      <c r="N1232" t="s">
        <v>5272</v>
      </c>
      <c r="O1232" t="s">
        <v>463</v>
      </c>
    </row>
    <row r="1233" spans="1:15" x14ac:dyDescent="0.3">
      <c r="A1233">
        <v>235198</v>
      </c>
      <c r="B1233">
        <v>105</v>
      </c>
      <c r="C1233" t="s">
        <v>557</v>
      </c>
      <c r="D1233" t="s">
        <v>2597</v>
      </c>
      <c r="E1233" t="s">
        <v>2886</v>
      </c>
      <c r="F1233" s="451">
        <v>46167</v>
      </c>
      <c r="G1233">
        <v>24116</v>
      </c>
      <c r="H1233" t="s">
        <v>4777</v>
      </c>
      <c r="I1233" t="s">
        <v>5191</v>
      </c>
      <c r="J1233">
        <v>10</v>
      </c>
      <c r="K1233" t="s">
        <v>4744</v>
      </c>
      <c r="L1233">
        <v>439</v>
      </c>
      <c r="M1233">
        <v>43.9</v>
      </c>
      <c r="N1233" t="s">
        <v>5272</v>
      </c>
      <c r="O1233" t="s">
        <v>463</v>
      </c>
    </row>
    <row r="1234" spans="1:15" x14ac:dyDescent="0.3">
      <c r="A1234">
        <v>235198</v>
      </c>
      <c r="B1234">
        <v>105</v>
      </c>
      <c r="C1234" t="s">
        <v>557</v>
      </c>
      <c r="D1234" t="s">
        <v>2597</v>
      </c>
      <c r="E1234" t="s">
        <v>2886</v>
      </c>
      <c r="F1234" s="451">
        <v>46167</v>
      </c>
      <c r="G1234">
        <v>20501</v>
      </c>
      <c r="H1234" t="s">
        <v>4760</v>
      </c>
      <c r="I1234" t="s">
        <v>5191</v>
      </c>
      <c r="J1234">
        <v>20</v>
      </c>
      <c r="K1234" t="s">
        <v>4744</v>
      </c>
      <c r="L1234">
        <v>438</v>
      </c>
      <c r="M1234">
        <v>21.9</v>
      </c>
      <c r="N1234" t="s">
        <v>5272</v>
      </c>
      <c r="O1234" t="s">
        <v>463</v>
      </c>
    </row>
    <row r="1235" spans="1:15" x14ac:dyDescent="0.3">
      <c r="A1235">
        <v>235198</v>
      </c>
      <c r="B1235">
        <v>105</v>
      </c>
      <c r="C1235" t="s">
        <v>557</v>
      </c>
      <c r="D1235" t="s">
        <v>2597</v>
      </c>
      <c r="E1235" t="s">
        <v>2886</v>
      </c>
      <c r="F1235" s="451">
        <v>46167</v>
      </c>
      <c r="G1235">
        <v>19041</v>
      </c>
      <c r="H1235" t="s">
        <v>4762</v>
      </c>
      <c r="I1235" t="s">
        <v>5191</v>
      </c>
      <c r="J1235">
        <v>35.5</v>
      </c>
      <c r="K1235" t="s">
        <v>4744</v>
      </c>
      <c r="L1235">
        <v>528.95000000000005</v>
      </c>
      <c r="M1235">
        <v>14.9</v>
      </c>
      <c r="N1235" t="s">
        <v>5272</v>
      </c>
      <c r="O1235" t="s">
        <v>463</v>
      </c>
    </row>
    <row r="1236" spans="1:15" x14ac:dyDescent="0.3">
      <c r="A1236">
        <v>235171</v>
      </c>
      <c r="B1236">
        <v>105</v>
      </c>
      <c r="C1236" t="s">
        <v>557</v>
      </c>
      <c r="D1236" t="s">
        <v>2550</v>
      </c>
      <c r="E1236" t="s">
        <v>2887</v>
      </c>
      <c r="F1236" s="451">
        <v>46167</v>
      </c>
      <c r="G1236">
        <v>24614</v>
      </c>
      <c r="H1236" t="s">
        <v>4897</v>
      </c>
      <c r="I1236" t="s">
        <v>5222</v>
      </c>
      <c r="J1236">
        <v>4</v>
      </c>
      <c r="K1236" t="s">
        <v>4805</v>
      </c>
      <c r="L1236">
        <v>332.8</v>
      </c>
      <c r="M1236">
        <v>83.2</v>
      </c>
      <c r="N1236" t="s">
        <v>5222</v>
      </c>
      <c r="O1236" t="s">
        <v>463</v>
      </c>
    </row>
    <row r="1237" spans="1:15" x14ac:dyDescent="0.3">
      <c r="A1237">
        <v>235171</v>
      </c>
      <c r="B1237">
        <v>105</v>
      </c>
      <c r="C1237" t="s">
        <v>557</v>
      </c>
      <c r="D1237" t="s">
        <v>2550</v>
      </c>
      <c r="E1237" t="s">
        <v>2887</v>
      </c>
      <c r="F1237" s="451">
        <v>46167</v>
      </c>
      <c r="G1237">
        <v>26040</v>
      </c>
      <c r="H1237" t="s">
        <v>4812</v>
      </c>
      <c r="I1237" t="s">
        <v>5222</v>
      </c>
      <c r="J1237">
        <v>6</v>
      </c>
      <c r="K1237" t="s">
        <v>4805</v>
      </c>
      <c r="L1237">
        <v>284.7</v>
      </c>
      <c r="M1237">
        <v>47.45</v>
      </c>
      <c r="N1237" t="s">
        <v>5222</v>
      </c>
      <c r="O1237" t="s">
        <v>463</v>
      </c>
    </row>
    <row r="1238" spans="1:15" x14ac:dyDescent="0.3">
      <c r="A1238">
        <v>235171</v>
      </c>
      <c r="B1238">
        <v>105</v>
      </c>
      <c r="C1238" t="s">
        <v>557</v>
      </c>
      <c r="D1238" t="s">
        <v>2550</v>
      </c>
      <c r="E1238" t="s">
        <v>2887</v>
      </c>
      <c r="F1238" s="451">
        <v>46167</v>
      </c>
      <c r="G1238">
        <v>26034</v>
      </c>
      <c r="H1238" t="s">
        <v>4828</v>
      </c>
      <c r="I1238" t="s">
        <v>5222</v>
      </c>
      <c r="J1238">
        <v>6</v>
      </c>
      <c r="K1238" t="s">
        <v>4805</v>
      </c>
      <c r="L1238">
        <v>284.7</v>
      </c>
      <c r="M1238">
        <v>47.45</v>
      </c>
      <c r="N1238" t="s">
        <v>5222</v>
      </c>
      <c r="O1238" t="s">
        <v>463</v>
      </c>
    </row>
    <row r="1239" spans="1:15" x14ac:dyDescent="0.3">
      <c r="A1239">
        <v>234847</v>
      </c>
      <c r="B1239">
        <v>105</v>
      </c>
      <c r="C1239" t="s">
        <v>557</v>
      </c>
      <c r="D1239" t="s">
        <v>2563</v>
      </c>
      <c r="E1239" t="s">
        <v>2888</v>
      </c>
      <c r="F1239" s="451">
        <v>46153</v>
      </c>
      <c r="G1239">
        <v>19634</v>
      </c>
      <c r="H1239" t="s">
        <v>4792</v>
      </c>
      <c r="I1239" t="s">
        <v>5191</v>
      </c>
      <c r="J1239">
        <v>3.5</v>
      </c>
      <c r="K1239" t="s">
        <v>4744</v>
      </c>
      <c r="L1239">
        <v>26.64</v>
      </c>
      <c r="M1239">
        <v>7.6114290000000002</v>
      </c>
      <c r="N1239" t="s">
        <v>5272</v>
      </c>
      <c r="O1239" t="s">
        <v>463</v>
      </c>
    </row>
    <row r="1240" spans="1:15" x14ac:dyDescent="0.3">
      <c r="A1240">
        <v>234847</v>
      </c>
      <c r="B1240">
        <v>105</v>
      </c>
      <c r="C1240" t="s">
        <v>557</v>
      </c>
      <c r="D1240" t="s">
        <v>2563</v>
      </c>
      <c r="E1240" t="s">
        <v>2888</v>
      </c>
      <c r="F1240" s="451">
        <v>46153</v>
      </c>
      <c r="G1240">
        <v>23113</v>
      </c>
      <c r="H1240" t="s">
        <v>5074</v>
      </c>
      <c r="I1240" t="s">
        <v>5191</v>
      </c>
      <c r="J1240">
        <v>0.75</v>
      </c>
      <c r="K1240" t="s">
        <v>4744</v>
      </c>
      <c r="L1240">
        <v>10.9</v>
      </c>
      <c r="M1240">
        <v>14.533333000000001</v>
      </c>
      <c r="N1240" t="s">
        <v>5272</v>
      </c>
      <c r="O1240" t="s">
        <v>463</v>
      </c>
    </row>
    <row r="1241" spans="1:15" x14ac:dyDescent="0.3">
      <c r="A1241">
        <v>234847</v>
      </c>
      <c r="B1241">
        <v>105</v>
      </c>
      <c r="C1241" t="s">
        <v>557</v>
      </c>
      <c r="D1241" t="s">
        <v>2563</v>
      </c>
      <c r="E1241" t="s">
        <v>2888</v>
      </c>
      <c r="F1241" s="451">
        <v>46153</v>
      </c>
      <c r="G1241">
        <v>19551</v>
      </c>
      <c r="H1241" t="s">
        <v>4905</v>
      </c>
      <c r="I1241" t="s">
        <v>5191</v>
      </c>
      <c r="J1241">
        <v>1.1000000000000001</v>
      </c>
      <c r="K1241" t="s">
        <v>4744</v>
      </c>
      <c r="L1241">
        <v>19.54</v>
      </c>
      <c r="M1241">
        <v>17.763636000000002</v>
      </c>
      <c r="N1241" t="s">
        <v>5272</v>
      </c>
      <c r="O1241" t="s">
        <v>463</v>
      </c>
    </row>
    <row r="1242" spans="1:15" x14ac:dyDescent="0.3">
      <c r="A1242">
        <v>234847</v>
      </c>
      <c r="B1242">
        <v>105</v>
      </c>
      <c r="C1242" t="s">
        <v>557</v>
      </c>
      <c r="D1242" t="s">
        <v>2563</v>
      </c>
      <c r="E1242" t="s">
        <v>2888</v>
      </c>
      <c r="F1242" s="451">
        <v>46153</v>
      </c>
      <c r="G1242">
        <v>24489</v>
      </c>
      <c r="H1242" t="s">
        <v>5121</v>
      </c>
      <c r="I1242" t="s">
        <v>5191</v>
      </c>
      <c r="J1242">
        <v>1</v>
      </c>
      <c r="K1242" t="s">
        <v>4744</v>
      </c>
      <c r="L1242">
        <v>31.9</v>
      </c>
      <c r="M1242">
        <v>31.9</v>
      </c>
      <c r="N1242" t="s">
        <v>5272</v>
      </c>
      <c r="O1242" t="s">
        <v>463</v>
      </c>
    </row>
    <row r="1243" spans="1:15" x14ac:dyDescent="0.3">
      <c r="A1243">
        <v>234847</v>
      </c>
      <c r="B1243">
        <v>105</v>
      </c>
      <c r="C1243" t="s">
        <v>557</v>
      </c>
      <c r="D1243" t="s">
        <v>2563</v>
      </c>
      <c r="E1243" t="s">
        <v>2888</v>
      </c>
      <c r="F1243" s="451">
        <v>46153</v>
      </c>
      <c r="G1243">
        <v>19488</v>
      </c>
      <c r="H1243" t="s">
        <v>5107</v>
      </c>
      <c r="I1243" t="s">
        <v>5191</v>
      </c>
      <c r="J1243">
        <v>0.7</v>
      </c>
      <c r="K1243" t="s">
        <v>4744</v>
      </c>
      <c r="L1243">
        <v>10.15</v>
      </c>
      <c r="M1243">
        <v>14.5</v>
      </c>
      <c r="N1243" t="s">
        <v>5272</v>
      </c>
      <c r="O1243" t="s">
        <v>463</v>
      </c>
    </row>
    <row r="1244" spans="1:15" x14ac:dyDescent="0.3">
      <c r="A1244">
        <v>234847</v>
      </c>
      <c r="B1244">
        <v>105</v>
      </c>
      <c r="C1244" t="s">
        <v>557</v>
      </c>
      <c r="D1244" t="s">
        <v>2563</v>
      </c>
      <c r="E1244" t="s">
        <v>2888</v>
      </c>
      <c r="F1244" s="451">
        <v>46153</v>
      </c>
      <c r="G1244">
        <v>23238</v>
      </c>
      <c r="H1244" t="s">
        <v>4934</v>
      </c>
      <c r="I1244" t="s">
        <v>5191</v>
      </c>
      <c r="J1244">
        <v>1.6</v>
      </c>
      <c r="K1244" t="s">
        <v>4744</v>
      </c>
      <c r="L1244">
        <v>31.31</v>
      </c>
      <c r="M1244">
        <v>19.568750000000001</v>
      </c>
      <c r="N1244" t="s">
        <v>5272</v>
      </c>
      <c r="O1244" t="s">
        <v>463</v>
      </c>
    </row>
    <row r="1245" spans="1:15" x14ac:dyDescent="0.3">
      <c r="A1245">
        <v>234847</v>
      </c>
      <c r="B1245">
        <v>105</v>
      </c>
      <c r="C1245" t="s">
        <v>557</v>
      </c>
      <c r="D1245" t="s">
        <v>2563</v>
      </c>
      <c r="E1245" t="s">
        <v>2888</v>
      </c>
      <c r="F1245" s="451">
        <v>46153</v>
      </c>
      <c r="G1245">
        <v>19742</v>
      </c>
      <c r="H1245" t="s">
        <v>4900</v>
      </c>
      <c r="I1245" t="s">
        <v>5191</v>
      </c>
      <c r="J1245">
        <v>2.1</v>
      </c>
      <c r="K1245" t="s">
        <v>4744</v>
      </c>
      <c r="L1245">
        <v>27.64</v>
      </c>
      <c r="M1245">
        <v>13.161905000000001</v>
      </c>
      <c r="N1245" t="s">
        <v>5272</v>
      </c>
      <c r="O1245" t="s">
        <v>463</v>
      </c>
    </row>
    <row r="1246" spans="1:15" x14ac:dyDescent="0.3">
      <c r="A1246">
        <v>234847</v>
      </c>
      <c r="B1246">
        <v>105</v>
      </c>
      <c r="C1246" t="s">
        <v>557</v>
      </c>
      <c r="D1246" t="s">
        <v>2563</v>
      </c>
      <c r="E1246" t="s">
        <v>2888</v>
      </c>
      <c r="F1246" s="451">
        <v>46153</v>
      </c>
      <c r="G1246">
        <v>23228</v>
      </c>
      <c r="H1246" t="s">
        <v>4782</v>
      </c>
      <c r="I1246" t="s">
        <v>5191</v>
      </c>
      <c r="J1246">
        <v>10</v>
      </c>
      <c r="K1246" t="s">
        <v>4744</v>
      </c>
      <c r="L1246">
        <v>65.3</v>
      </c>
      <c r="M1246">
        <v>6.53</v>
      </c>
      <c r="N1246" t="s">
        <v>5272</v>
      </c>
      <c r="O1246" t="s">
        <v>463</v>
      </c>
    </row>
    <row r="1247" spans="1:15" x14ac:dyDescent="0.3">
      <c r="A1247">
        <v>234847</v>
      </c>
      <c r="B1247">
        <v>105</v>
      </c>
      <c r="C1247" t="s">
        <v>557</v>
      </c>
      <c r="D1247" t="s">
        <v>2563</v>
      </c>
      <c r="E1247" t="s">
        <v>2888</v>
      </c>
      <c r="F1247" s="451">
        <v>46153</v>
      </c>
      <c r="G1247">
        <v>19492</v>
      </c>
      <c r="H1247" t="s">
        <v>4937</v>
      </c>
      <c r="I1247" t="s">
        <v>5191</v>
      </c>
      <c r="J1247">
        <v>1.4</v>
      </c>
      <c r="K1247" t="s">
        <v>4744</v>
      </c>
      <c r="L1247">
        <v>26.08</v>
      </c>
      <c r="M1247">
        <v>18.628571000000001</v>
      </c>
      <c r="N1247" t="s">
        <v>5272</v>
      </c>
      <c r="O1247" t="s">
        <v>463</v>
      </c>
    </row>
    <row r="1248" spans="1:15" x14ac:dyDescent="0.3">
      <c r="A1248">
        <v>234847</v>
      </c>
      <c r="B1248">
        <v>105</v>
      </c>
      <c r="C1248" t="s">
        <v>557</v>
      </c>
      <c r="D1248" t="s">
        <v>2563</v>
      </c>
      <c r="E1248" t="s">
        <v>2888</v>
      </c>
      <c r="F1248" s="451">
        <v>46153</v>
      </c>
      <c r="G1248">
        <v>19728</v>
      </c>
      <c r="H1248" t="s">
        <v>5106</v>
      </c>
      <c r="I1248" t="s">
        <v>5191</v>
      </c>
      <c r="J1248">
        <v>1.3</v>
      </c>
      <c r="K1248" t="s">
        <v>4744</v>
      </c>
      <c r="L1248">
        <v>14.66</v>
      </c>
      <c r="M1248">
        <v>11.276923</v>
      </c>
      <c r="N1248" t="s">
        <v>5272</v>
      </c>
      <c r="O1248" t="s">
        <v>463</v>
      </c>
    </row>
    <row r="1249" spans="1:15" x14ac:dyDescent="0.3">
      <c r="A1249">
        <v>234847</v>
      </c>
      <c r="B1249">
        <v>105</v>
      </c>
      <c r="C1249" t="s">
        <v>557</v>
      </c>
      <c r="D1249" t="s">
        <v>2563</v>
      </c>
      <c r="E1249" t="s">
        <v>2888</v>
      </c>
      <c r="F1249" s="451">
        <v>46153</v>
      </c>
      <c r="G1249">
        <v>23346</v>
      </c>
      <c r="H1249" t="s">
        <v>4916</v>
      </c>
      <c r="I1249" t="s">
        <v>5191</v>
      </c>
      <c r="J1249">
        <v>1.2</v>
      </c>
      <c r="K1249" t="s">
        <v>4744</v>
      </c>
      <c r="L1249">
        <v>10.36</v>
      </c>
      <c r="M1249">
        <v>8.6333330000000004</v>
      </c>
      <c r="N1249" t="s">
        <v>5272</v>
      </c>
      <c r="O1249" t="s">
        <v>463</v>
      </c>
    </row>
    <row r="1250" spans="1:15" x14ac:dyDescent="0.3">
      <c r="A1250">
        <v>234847</v>
      </c>
      <c r="B1250">
        <v>105</v>
      </c>
      <c r="C1250" t="s">
        <v>557</v>
      </c>
      <c r="D1250" t="s">
        <v>2563</v>
      </c>
      <c r="E1250" t="s">
        <v>2888</v>
      </c>
      <c r="F1250" s="451">
        <v>46153</v>
      </c>
      <c r="G1250">
        <v>23096</v>
      </c>
      <c r="H1250" t="s">
        <v>5164</v>
      </c>
      <c r="I1250" t="s">
        <v>5191</v>
      </c>
      <c r="J1250">
        <v>90</v>
      </c>
      <c r="K1250" t="s">
        <v>4736</v>
      </c>
      <c r="L1250">
        <v>58.5</v>
      </c>
      <c r="M1250">
        <v>0.65</v>
      </c>
      <c r="N1250" t="s">
        <v>5272</v>
      </c>
      <c r="O1250" t="s">
        <v>463</v>
      </c>
    </row>
    <row r="1251" spans="1:15" x14ac:dyDescent="0.3">
      <c r="A1251">
        <v>234847</v>
      </c>
      <c r="B1251">
        <v>105</v>
      </c>
      <c r="C1251" t="s">
        <v>557</v>
      </c>
      <c r="D1251" t="s">
        <v>2563</v>
      </c>
      <c r="E1251" t="s">
        <v>2888</v>
      </c>
      <c r="F1251" s="451">
        <v>46153</v>
      </c>
      <c r="G1251">
        <v>19532</v>
      </c>
      <c r="H1251" t="s">
        <v>4753</v>
      </c>
      <c r="I1251" t="s">
        <v>5191</v>
      </c>
      <c r="J1251">
        <v>15</v>
      </c>
      <c r="K1251" t="s">
        <v>4744</v>
      </c>
      <c r="L1251">
        <v>168.75</v>
      </c>
      <c r="M1251">
        <v>11.25</v>
      </c>
      <c r="N1251" t="s">
        <v>5272</v>
      </c>
      <c r="O1251" t="s">
        <v>463</v>
      </c>
    </row>
    <row r="1252" spans="1:15" x14ac:dyDescent="0.3">
      <c r="A1252">
        <v>234847</v>
      </c>
      <c r="B1252">
        <v>105</v>
      </c>
      <c r="C1252" t="s">
        <v>557</v>
      </c>
      <c r="D1252" t="s">
        <v>2563</v>
      </c>
      <c r="E1252" t="s">
        <v>2888</v>
      </c>
      <c r="F1252" s="451">
        <v>46153</v>
      </c>
      <c r="G1252">
        <v>19621</v>
      </c>
      <c r="H1252" t="s">
        <v>4829</v>
      </c>
      <c r="I1252" t="s">
        <v>5191</v>
      </c>
      <c r="J1252">
        <v>2</v>
      </c>
      <c r="K1252" t="s">
        <v>4744</v>
      </c>
      <c r="L1252">
        <v>16.68</v>
      </c>
      <c r="M1252">
        <v>8.34</v>
      </c>
      <c r="N1252" t="s">
        <v>5272</v>
      </c>
      <c r="O1252" t="s">
        <v>463</v>
      </c>
    </row>
    <row r="1253" spans="1:15" x14ac:dyDescent="0.3">
      <c r="A1253">
        <v>234846</v>
      </c>
      <c r="B1253">
        <v>105</v>
      </c>
      <c r="C1253" t="s">
        <v>557</v>
      </c>
      <c r="D1253" t="s">
        <v>2597</v>
      </c>
      <c r="E1253" t="s">
        <v>2889</v>
      </c>
      <c r="F1253" s="451">
        <v>46153</v>
      </c>
      <c r="G1253">
        <v>20501</v>
      </c>
      <c r="H1253" t="s">
        <v>4760</v>
      </c>
      <c r="I1253" t="s">
        <v>5191</v>
      </c>
      <c r="J1253">
        <v>25</v>
      </c>
      <c r="K1253" t="s">
        <v>4744</v>
      </c>
      <c r="L1253">
        <v>535</v>
      </c>
      <c r="M1253">
        <v>21.4</v>
      </c>
      <c r="N1253" t="s">
        <v>5272</v>
      </c>
      <c r="O1253" t="s">
        <v>463</v>
      </c>
    </row>
    <row r="1254" spans="1:15" x14ac:dyDescent="0.3">
      <c r="A1254">
        <v>234846</v>
      </c>
      <c r="B1254">
        <v>105</v>
      </c>
      <c r="C1254" t="s">
        <v>557</v>
      </c>
      <c r="D1254" t="s">
        <v>2597</v>
      </c>
      <c r="E1254" t="s">
        <v>2889</v>
      </c>
      <c r="F1254" s="451">
        <v>46153</v>
      </c>
      <c r="G1254">
        <v>24217</v>
      </c>
      <c r="H1254" t="s">
        <v>4778</v>
      </c>
      <c r="I1254" t="s">
        <v>5191</v>
      </c>
      <c r="J1254">
        <v>21.1</v>
      </c>
      <c r="K1254" t="s">
        <v>4744</v>
      </c>
      <c r="L1254">
        <v>694.19</v>
      </c>
      <c r="M1254">
        <v>32.9</v>
      </c>
      <c r="N1254" t="s">
        <v>5272</v>
      </c>
      <c r="O1254" t="s">
        <v>463</v>
      </c>
    </row>
    <row r="1255" spans="1:15" x14ac:dyDescent="0.3">
      <c r="A1255">
        <v>234846</v>
      </c>
      <c r="B1255">
        <v>105</v>
      </c>
      <c r="C1255" t="s">
        <v>557</v>
      </c>
      <c r="D1255" t="s">
        <v>2597</v>
      </c>
      <c r="E1255" t="s">
        <v>2889</v>
      </c>
      <c r="F1255" s="451">
        <v>46153</v>
      </c>
      <c r="G1255">
        <v>24116</v>
      </c>
      <c r="H1255" t="s">
        <v>4777</v>
      </c>
      <c r="I1255" t="s">
        <v>5191</v>
      </c>
      <c r="J1255">
        <v>5</v>
      </c>
      <c r="K1255" t="s">
        <v>4744</v>
      </c>
      <c r="L1255">
        <v>209.5</v>
      </c>
      <c r="M1255">
        <v>41.9</v>
      </c>
      <c r="N1255" t="s">
        <v>5272</v>
      </c>
      <c r="O1255" t="s">
        <v>463</v>
      </c>
    </row>
    <row r="1256" spans="1:15" x14ac:dyDescent="0.3">
      <c r="A1256">
        <v>234846</v>
      </c>
      <c r="B1256">
        <v>105</v>
      </c>
      <c r="C1256" t="s">
        <v>557</v>
      </c>
      <c r="D1256" t="s">
        <v>2597</v>
      </c>
      <c r="E1256" t="s">
        <v>2889</v>
      </c>
      <c r="F1256" s="451">
        <v>46153</v>
      </c>
      <c r="G1256">
        <v>25205</v>
      </c>
      <c r="H1256" t="s">
        <v>4850</v>
      </c>
      <c r="I1256" t="s">
        <v>5191</v>
      </c>
      <c r="J1256">
        <v>4</v>
      </c>
      <c r="K1256" t="s">
        <v>4744</v>
      </c>
      <c r="L1256">
        <v>71.599999999999994</v>
      </c>
      <c r="M1256">
        <v>17.899999999999999</v>
      </c>
      <c r="N1256" t="s">
        <v>5272</v>
      </c>
      <c r="O1256" t="s">
        <v>463</v>
      </c>
    </row>
    <row r="1257" spans="1:15" x14ac:dyDescent="0.3">
      <c r="A1257">
        <v>234846</v>
      </c>
      <c r="B1257">
        <v>105</v>
      </c>
      <c r="C1257" t="s">
        <v>557</v>
      </c>
      <c r="D1257" t="s">
        <v>2597</v>
      </c>
      <c r="E1257" t="s">
        <v>2889</v>
      </c>
      <c r="F1257" s="451">
        <v>46153</v>
      </c>
      <c r="G1257">
        <v>19017</v>
      </c>
      <c r="H1257" t="s">
        <v>5174</v>
      </c>
      <c r="I1257" t="s">
        <v>5191</v>
      </c>
      <c r="J1257">
        <v>6</v>
      </c>
      <c r="K1257" t="s">
        <v>4744</v>
      </c>
      <c r="L1257">
        <v>90</v>
      </c>
      <c r="M1257">
        <v>15</v>
      </c>
      <c r="N1257" t="s">
        <v>5272</v>
      </c>
      <c r="O1257" t="s">
        <v>463</v>
      </c>
    </row>
    <row r="1258" spans="1:15" x14ac:dyDescent="0.3">
      <c r="A1258">
        <v>234846</v>
      </c>
      <c r="B1258">
        <v>105</v>
      </c>
      <c r="C1258" t="s">
        <v>557</v>
      </c>
      <c r="D1258" t="s">
        <v>2597</v>
      </c>
      <c r="E1258" t="s">
        <v>2889</v>
      </c>
      <c r="F1258" s="451">
        <v>46153</v>
      </c>
      <c r="G1258">
        <v>24096</v>
      </c>
      <c r="H1258" t="s">
        <v>4771</v>
      </c>
      <c r="I1258" t="s">
        <v>5191</v>
      </c>
      <c r="J1258">
        <v>42</v>
      </c>
      <c r="K1258" t="s">
        <v>4744</v>
      </c>
      <c r="L1258">
        <v>1764</v>
      </c>
      <c r="M1258">
        <v>42</v>
      </c>
      <c r="N1258" t="s">
        <v>5272</v>
      </c>
      <c r="O1258" t="s">
        <v>463</v>
      </c>
    </row>
    <row r="1259" spans="1:15" x14ac:dyDescent="0.3">
      <c r="A1259">
        <v>234846</v>
      </c>
      <c r="B1259">
        <v>105</v>
      </c>
      <c r="C1259" t="s">
        <v>557</v>
      </c>
      <c r="D1259" t="s">
        <v>2597</v>
      </c>
      <c r="E1259" t="s">
        <v>2889</v>
      </c>
      <c r="F1259" s="451">
        <v>46153</v>
      </c>
      <c r="G1259">
        <v>19041</v>
      </c>
      <c r="H1259" t="s">
        <v>4762</v>
      </c>
      <c r="I1259" t="s">
        <v>5191</v>
      </c>
      <c r="J1259">
        <v>30.8</v>
      </c>
      <c r="K1259" t="s">
        <v>4744</v>
      </c>
      <c r="L1259">
        <v>458.92</v>
      </c>
      <c r="M1259">
        <v>14.9</v>
      </c>
      <c r="N1259" t="s">
        <v>5272</v>
      </c>
      <c r="O1259" t="s">
        <v>463</v>
      </c>
    </row>
    <row r="1260" spans="1:15" x14ac:dyDescent="0.3">
      <c r="A1260">
        <v>234846</v>
      </c>
      <c r="B1260">
        <v>105</v>
      </c>
      <c r="C1260" t="s">
        <v>557</v>
      </c>
      <c r="D1260" t="s">
        <v>2597</v>
      </c>
      <c r="E1260" t="s">
        <v>2889</v>
      </c>
      <c r="F1260" s="451">
        <v>46153</v>
      </c>
      <c r="G1260">
        <v>22843</v>
      </c>
      <c r="H1260" t="s">
        <v>4849</v>
      </c>
      <c r="I1260" t="s">
        <v>5191</v>
      </c>
      <c r="J1260">
        <v>6.3</v>
      </c>
      <c r="K1260" t="s">
        <v>4744</v>
      </c>
      <c r="L1260">
        <v>238.77</v>
      </c>
      <c r="M1260">
        <v>37.9</v>
      </c>
      <c r="N1260" t="s">
        <v>5272</v>
      </c>
      <c r="O1260" t="s">
        <v>463</v>
      </c>
    </row>
    <row r="1261" spans="1:15" x14ac:dyDescent="0.3">
      <c r="A1261">
        <v>234845</v>
      </c>
      <c r="B1261">
        <v>105</v>
      </c>
      <c r="C1261" t="s">
        <v>557</v>
      </c>
      <c r="D1261" t="s">
        <v>2653</v>
      </c>
      <c r="E1261" t="s">
        <v>2890</v>
      </c>
      <c r="F1261" s="451">
        <v>46153</v>
      </c>
      <c r="G1261">
        <v>24200</v>
      </c>
      <c r="H1261" t="s">
        <v>4820</v>
      </c>
      <c r="I1261" t="s">
        <v>5191</v>
      </c>
      <c r="J1261">
        <v>5.5</v>
      </c>
      <c r="K1261" t="s">
        <v>4744</v>
      </c>
      <c r="L1261">
        <v>180.95</v>
      </c>
      <c r="M1261">
        <v>32.9</v>
      </c>
      <c r="N1261" t="s">
        <v>5314</v>
      </c>
      <c r="O1261" t="s">
        <v>463</v>
      </c>
    </row>
    <row r="1262" spans="1:15" x14ac:dyDescent="0.3">
      <c r="A1262">
        <v>234844</v>
      </c>
      <c r="B1262">
        <v>105</v>
      </c>
      <c r="C1262" t="s">
        <v>557</v>
      </c>
      <c r="D1262" t="s">
        <v>2828</v>
      </c>
      <c r="E1262" t="s">
        <v>2891</v>
      </c>
      <c r="F1262" s="451">
        <v>46153</v>
      </c>
      <c r="G1262">
        <v>28226</v>
      </c>
      <c r="H1262" t="s">
        <v>5315</v>
      </c>
      <c r="I1262" t="s">
        <v>5191</v>
      </c>
      <c r="J1262">
        <v>20</v>
      </c>
      <c r="K1262" t="s">
        <v>4744</v>
      </c>
      <c r="L1262">
        <v>179.8</v>
      </c>
      <c r="M1262">
        <v>8.99</v>
      </c>
      <c r="N1262" t="s">
        <v>5316</v>
      </c>
      <c r="O1262" t="s">
        <v>463</v>
      </c>
    </row>
    <row r="1263" spans="1:15" x14ac:dyDescent="0.3">
      <c r="A1263">
        <v>234843</v>
      </c>
      <c r="B1263">
        <v>105</v>
      </c>
      <c r="C1263" t="s">
        <v>557</v>
      </c>
      <c r="D1263" t="s">
        <v>2603</v>
      </c>
      <c r="E1263" t="s">
        <v>2892</v>
      </c>
      <c r="F1263" s="451">
        <v>46154</v>
      </c>
      <c r="G1263">
        <v>26679</v>
      </c>
      <c r="H1263" t="s">
        <v>4791</v>
      </c>
      <c r="I1263" t="s">
        <v>5191</v>
      </c>
      <c r="J1263">
        <v>30.19</v>
      </c>
      <c r="K1263" t="s">
        <v>4744</v>
      </c>
      <c r="L1263">
        <v>902.53</v>
      </c>
      <c r="M1263">
        <v>29.894998000000001</v>
      </c>
      <c r="N1263" t="s">
        <v>5314</v>
      </c>
      <c r="O1263" t="s">
        <v>463</v>
      </c>
    </row>
    <row r="1264" spans="1:15" x14ac:dyDescent="0.3">
      <c r="A1264">
        <v>234843</v>
      </c>
      <c r="B1264">
        <v>105</v>
      </c>
      <c r="C1264" t="s">
        <v>557</v>
      </c>
      <c r="D1264" t="s">
        <v>2603</v>
      </c>
      <c r="E1264" t="s">
        <v>2892</v>
      </c>
      <c r="F1264" s="451">
        <v>46154</v>
      </c>
      <c r="G1264">
        <v>19003</v>
      </c>
      <c r="H1264" t="s">
        <v>4810</v>
      </c>
      <c r="I1264" t="s">
        <v>5191</v>
      </c>
      <c r="J1264">
        <v>15.6</v>
      </c>
      <c r="K1264" t="s">
        <v>4744</v>
      </c>
      <c r="L1264">
        <v>622.44000000000005</v>
      </c>
      <c r="M1264">
        <v>39.9</v>
      </c>
      <c r="N1264" t="s">
        <v>5314</v>
      </c>
      <c r="O1264" t="s">
        <v>463</v>
      </c>
    </row>
    <row r="1265" spans="1:15" x14ac:dyDescent="0.3">
      <c r="A1265">
        <v>234841</v>
      </c>
      <c r="B1265">
        <v>105</v>
      </c>
      <c r="C1265" t="s">
        <v>557</v>
      </c>
      <c r="D1265" t="s">
        <v>2595</v>
      </c>
      <c r="E1265" t="s">
        <v>2893</v>
      </c>
      <c r="F1265" s="451">
        <v>46150</v>
      </c>
      <c r="G1265">
        <v>24259</v>
      </c>
      <c r="H1265" t="s">
        <v>4875</v>
      </c>
      <c r="I1265" t="s">
        <v>5191</v>
      </c>
      <c r="J1265">
        <v>22.12</v>
      </c>
      <c r="K1265" t="s">
        <v>4744</v>
      </c>
      <c r="L1265">
        <v>1791.5</v>
      </c>
      <c r="M1265">
        <v>80.990054000000001</v>
      </c>
      <c r="N1265" t="s">
        <v>5272</v>
      </c>
      <c r="O1265" t="s">
        <v>463</v>
      </c>
    </row>
    <row r="1266" spans="1:15" x14ac:dyDescent="0.3">
      <c r="A1266">
        <v>234840</v>
      </c>
      <c r="B1266">
        <v>105</v>
      </c>
      <c r="C1266" t="s">
        <v>557</v>
      </c>
      <c r="D1266" t="s">
        <v>2716</v>
      </c>
      <c r="E1266" t="s">
        <v>2894</v>
      </c>
      <c r="F1266" s="451">
        <v>46154</v>
      </c>
      <c r="G1266">
        <v>24351</v>
      </c>
      <c r="H1266" t="s">
        <v>5014</v>
      </c>
      <c r="I1266" t="s">
        <v>5191</v>
      </c>
      <c r="J1266">
        <v>20</v>
      </c>
      <c r="K1266" t="s">
        <v>4744</v>
      </c>
      <c r="L1266">
        <v>240</v>
      </c>
      <c r="M1266">
        <v>12</v>
      </c>
      <c r="N1266" t="s">
        <v>5272</v>
      </c>
      <c r="O1266" t="s">
        <v>463</v>
      </c>
    </row>
    <row r="1267" spans="1:15" x14ac:dyDescent="0.3">
      <c r="A1267">
        <v>234839</v>
      </c>
      <c r="B1267">
        <v>105</v>
      </c>
      <c r="C1267" t="s">
        <v>557</v>
      </c>
      <c r="D1267" t="s">
        <v>1786</v>
      </c>
      <c r="E1267" t="s">
        <v>2895</v>
      </c>
      <c r="F1267" s="451">
        <v>46150</v>
      </c>
      <c r="G1267">
        <v>19306</v>
      </c>
      <c r="H1267" t="s">
        <v>5111</v>
      </c>
      <c r="I1267" t="s">
        <v>5191</v>
      </c>
      <c r="J1267">
        <v>5</v>
      </c>
      <c r="K1267" t="s">
        <v>5228</v>
      </c>
      <c r="L1267">
        <v>91</v>
      </c>
      <c r="M1267">
        <v>18.2</v>
      </c>
      <c r="N1267" t="s">
        <v>5272</v>
      </c>
      <c r="O1267" t="s">
        <v>463</v>
      </c>
    </row>
    <row r="1268" spans="1:15" x14ac:dyDescent="0.3">
      <c r="A1268">
        <v>234839</v>
      </c>
      <c r="B1268">
        <v>105</v>
      </c>
      <c r="C1268" t="s">
        <v>557</v>
      </c>
      <c r="D1268" t="s">
        <v>1786</v>
      </c>
      <c r="E1268" t="s">
        <v>2895</v>
      </c>
      <c r="F1268" s="451">
        <v>46150</v>
      </c>
      <c r="G1268">
        <v>23785</v>
      </c>
      <c r="H1268" t="s">
        <v>4858</v>
      </c>
      <c r="I1268" t="s">
        <v>5191</v>
      </c>
      <c r="J1268">
        <v>11</v>
      </c>
      <c r="K1268" t="s">
        <v>4744</v>
      </c>
      <c r="L1268">
        <v>345.4</v>
      </c>
      <c r="M1268">
        <v>31.4</v>
      </c>
      <c r="N1268" t="s">
        <v>5272</v>
      </c>
      <c r="O1268" t="s">
        <v>463</v>
      </c>
    </row>
    <row r="1269" spans="1:15" x14ac:dyDescent="0.3">
      <c r="A1269">
        <v>234837</v>
      </c>
      <c r="B1269">
        <v>105</v>
      </c>
      <c r="C1269" t="s">
        <v>557</v>
      </c>
      <c r="D1269" t="s">
        <v>2690</v>
      </c>
      <c r="E1269" t="s">
        <v>2896</v>
      </c>
      <c r="F1269" s="451">
        <v>46155</v>
      </c>
      <c r="G1269">
        <v>18129</v>
      </c>
      <c r="H1269" t="s">
        <v>5043</v>
      </c>
      <c r="I1269" t="s">
        <v>5222</v>
      </c>
      <c r="J1269">
        <v>1</v>
      </c>
      <c r="K1269" t="s">
        <v>4805</v>
      </c>
      <c r="L1269">
        <v>112.9</v>
      </c>
      <c r="M1269">
        <v>112.9</v>
      </c>
      <c r="N1269" t="s">
        <v>5222</v>
      </c>
      <c r="O1269" t="s">
        <v>463</v>
      </c>
    </row>
    <row r="1270" spans="1:15" x14ac:dyDescent="0.3">
      <c r="A1270">
        <v>234836</v>
      </c>
      <c r="B1270">
        <v>105</v>
      </c>
      <c r="C1270" t="s">
        <v>557</v>
      </c>
      <c r="D1270" t="s">
        <v>2605</v>
      </c>
      <c r="E1270" t="s">
        <v>2897</v>
      </c>
      <c r="F1270" s="451">
        <v>46153</v>
      </c>
      <c r="G1270">
        <v>23808</v>
      </c>
      <c r="H1270" t="s">
        <v>4982</v>
      </c>
      <c r="I1270" t="s">
        <v>5191</v>
      </c>
      <c r="J1270">
        <v>1</v>
      </c>
      <c r="K1270" t="s">
        <v>4744</v>
      </c>
      <c r="L1270">
        <v>33.950000000000003</v>
      </c>
      <c r="M1270">
        <v>33.950000000000003</v>
      </c>
      <c r="N1270" t="s">
        <v>5272</v>
      </c>
      <c r="O1270" t="s">
        <v>463</v>
      </c>
    </row>
    <row r="1271" spans="1:15" x14ac:dyDescent="0.3">
      <c r="A1271">
        <v>234836</v>
      </c>
      <c r="B1271">
        <v>105</v>
      </c>
      <c r="C1271" t="s">
        <v>557</v>
      </c>
      <c r="D1271" t="s">
        <v>2605</v>
      </c>
      <c r="E1271" t="s">
        <v>2897</v>
      </c>
      <c r="F1271" s="451">
        <v>46153</v>
      </c>
      <c r="G1271">
        <v>19401</v>
      </c>
      <c r="H1271" t="s">
        <v>4809</v>
      </c>
      <c r="I1271" t="s">
        <v>5191</v>
      </c>
      <c r="J1271">
        <v>1</v>
      </c>
      <c r="K1271" t="s">
        <v>4879</v>
      </c>
      <c r="L1271">
        <v>198</v>
      </c>
      <c r="M1271">
        <v>198</v>
      </c>
      <c r="N1271" t="s">
        <v>5272</v>
      </c>
      <c r="O1271" t="s">
        <v>463</v>
      </c>
    </row>
    <row r="1272" spans="1:15" x14ac:dyDescent="0.3">
      <c r="A1272">
        <v>234836</v>
      </c>
      <c r="B1272">
        <v>105</v>
      </c>
      <c r="C1272" t="s">
        <v>557</v>
      </c>
      <c r="D1272" t="s">
        <v>2605</v>
      </c>
      <c r="E1272" t="s">
        <v>2897</v>
      </c>
      <c r="F1272" s="451">
        <v>46153</v>
      </c>
      <c r="G1272">
        <v>20657</v>
      </c>
      <c r="H1272" t="s">
        <v>5109</v>
      </c>
      <c r="I1272" t="s">
        <v>5191</v>
      </c>
      <c r="J1272">
        <v>4</v>
      </c>
      <c r="K1272" t="s">
        <v>5206</v>
      </c>
      <c r="L1272">
        <v>26.8</v>
      </c>
      <c r="M1272">
        <v>6.7</v>
      </c>
      <c r="N1272" t="s">
        <v>5272</v>
      </c>
      <c r="O1272" t="s">
        <v>463</v>
      </c>
    </row>
    <row r="1273" spans="1:15" x14ac:dyDescent="0.3">
      <c r="A1273">
        <v>234836</v>
      </c>
      <c r="B1273">
        <v>105</v>
      </c>
      <c r="C1273" t="s">
        <v>557</v>
      </c>
      <c r="D1273" t="s">
        <v>2605</v>
      </c>
      <c r="E1273" t="s">
        <v>2897</v>
      </c>
      <c r="F1273" s="451">
        <v>46153</v>
      </c>
      <c r="G1273">
        <v>25237</v>
      </c>
      <c r="H1273" t="s">
        <v>5143</v>
      </c>
      <c r="I1273" t="s">
        <v>5191</v>
      </c>
      <c r="J1273">
        <v>10</v>
      </c>
      <c r="K1273" t="s">
        <v>4738</v>
      </c>
      <c r="L1273">
        <v>52.9</v>
      </c>
      <c r="M1273">
        <v>5.29</v>
      </c>
      <c r="N1273" t="s">
        <v>5272</v>
      </c>
      <c r="O1273" t="s">
        <v>463</v>
      </c>
    </row>
    <row r="1274" spans="1:15" x14ac:dyDescent="0.3">
      <c r="A1274">
        <v>234836</v>
      </c>
      <c r="B1274">
        <v>105</v>
      </c>
      <c r="C1274" t="s">
        <v>557</v>
      </c>
      <c r="D1274" t="s">
        <v>2605</v>
      </c>
      <c r="E1274" t="s">
        <v>2897</v>
      </c>
      <c r="F1274" s="451">
        <v>46153</v>
      </c>
      <c r="G1274">
        <v>23819</v>
      </c>
      <c r="H1274" t="s">
        <v>4947</v>
      </c>
      <c r="I1274" t="s">
        <v>5191</v>
      </c>
      <c r="J1274">
        <v>3</v>
      </c>
      <c r="K1274" t="s">
        <v>4736</v>
      </c>
      <c r="L1274">
        <v>27.48</v>
      </c>
      <c r="M1274">
        <v>9.16</v>
      </c>
      <c r="N1274" t="s">
        <v>5272</v>
      </c>
      <c r="O1274" t="s">
        <v>463</v>
      </c>
    </row>
    <row r="1275" spans="1:15" x14ac:dyDescent="0.3">
      <c r="A1275">
        <v>234836</v>
      </c>
      <c r="B1275">
        <v>105</v>
      </c>
      <c r="C1275" t="s">
        <v>557</v>
      </c>
      <c r="D1275" t="s">
        <v>2605</v>
      </c>
      <c r="E1275" t="s">
        <v>2897</v>
      </c>
      <c r="F1275" s="451">
        <v>46153</v>
      </c>
      <c r="G1275">
        <v>27475</v>
      </c>
      <c r="H1275" t="s">
        <v>5123</v>
      </c>
      <c r="I1275" t="s">
        <v>5191</v>
      </c>
      <c r="J1275">
        <v>3</v>
      </c>
      <c r="K1275" t="s">
        <v>4736</v>
      </c>
      <c r="L1275">
        <v>50.4</v>
      </c>
      <c r="M1275">
        <v>16.8</v>
      </c>
      <c r="N1275" t="s">
        <v>5272</v>
      </c>
      <c r="O1275" t="s">
        <v>463</v>
      </c>
    </row>
    <row r="1276" spans="1:15" x14ac:dyDescent="0.3">
      <c r="A1276">
        <v>234836</v>
      </c>
      <c r="B1276">
        <v>105</v>
      </c>
      <c r="C1276" t="s">
        <v>557</v>
      </c>
      <c r="D1276" t="s">
        <v>2605</v>
      </c>
      <c r="E1276" t="s">
        <v>2897</v>
      </c>
      <c r="F1276" s="451">
        <v>46153</v>
      </c>
      <c r="G1276">
        <v>20757</v>
      </c>
      <c r="H1276" t="s">
        <v>5176</v>
      </c>
      <c r="I1276" t="s">
        <v>5191</v>
      </c>
      <c r="J1276">
        <v>1</v>
      </c>
      <c r="K1276" t="s">
        <v>4884</v>
      </c>
      <c r="L1276">
        <v>78.3</v>
      </c>
      <c r="M1276">
        <v>78.3</v>
      </c>
      <c r="N1276" t="s">
        <v>5272</v>
      </c>
      <c r="O1276" t="s">
        <v>463</v>
      </c>
    </row>
    <row r="1277" spans="1:15" x14ac:dyDescent="0.3">
      <c r="A1277">
        <v>234836</v>
      </c>
      <c r="B1277">
        <v>105</v>
      </c>
      <c r="C1277" t="s">
        <v>557</v>
      </c>
      <c r="D1277" t="s">
        <v>2605</v>
      </c>
      <c r="E1277" t="s">
        <v>2897</v>
      </c>
      <c r="F1277" s="451">
        <v>46153</v>
      </c>
      <c r="G1277">
        <v>21257</v>
      </c>
      <c r="H1277" t="s">
        <v>4952</v>
      </c>
      <c r="I1277" t="s">
        <v>5191</v>
      </c>
      <c r="J1277">
        <v>2</v>
      </c>
      <c r="K1277" t="s">
        <v>4736</v>
      </c>
      <c r="L1277">
        <v>37.9</v>
      </c>
      <c r="M1277">
        <v>18.95</v>
      </c>
      <c r="N1277" t="s">
        <v>5272</v>
      </c>
      <c r="O1277" t="s">
        <v>463</v>
      </c>
    </row>
    <row r="1278" spans="1:15" x14ac:dyDescent="0.3">
      <c r="A1278">
        <v>234836</v>
      </c>
      <c r="B1278">
        <v>105</v>
      </c>
      <c r="C1278" t="s">
        <v>557</v>
      </c>
      <c r="D1278" t="s">
        <v>2605</v>
      </c>
      <c r="E1278" t="s">
        <v>2897</v>
      </c>
      <c r="F1278" s="451">
        <v>46153</v>
      </c>
      <c r="G1278">
        <v>19415</v>
      </c>
      <c r="H1278" t="s">
        <v>4919</v>
      </c>
      <c r="I1278" t="s">
        <v>5191</v>
      </c>
      <c r="J1278">
        <v>2</v>
      </c>
      <c r="K1278" t="s">
        <v>4736</v>
      </c>
      <c r="L1278">
        <v>17.600000000000001</v>
      </c>
      <c r="M1278">
        <v>8.8000000000000007</v>
      </c>
      <c r="N1278" t="s">
        <v>5272</v>
      </c>
      <c r="O1278" t="s">
        <v>463</v>
      </c>
    </row>
    <row r="1279" spans="1:15" x14ac:dyDescent="0.3">
      <c r="A1279">
        <v>234836</v>
      </c>
      <c r="B1279">
        <v>105</v>
      </c>
      <c r="C1279" t="s">
        <v>557</v>
      </c>
      <c r="D1279" t="s">
        <v>2605</v>
      </c>
      <c r="E1279" t="s">
        <v>2897</v>
      </c>
      <c r="F1279" s="451">
        <v>46153</v>
      </c>
      <c r="G1279">
        <v>19906</v>
      </c>
      <c r="H1279" t="s">
        <v>5159</v>
      </c>
      <c r="I1279" t="s">
        <v>5191</v>
      </c>
      <c r="J1279">
        <v>1</v>
      </c>
      <c r="K1279" t="s">
        <v>4738</v>
      </c>
      <c r="L1279">
        <v>3.8</v>
      </c>
      <c r="M1279">
        <v>3.8</v>
      </c>
      <c r="N1279" t="s">
        <v>5272</v>
      </c>
      <c r="O1279" t="s">
        <v>463</v>
      </c>
    </row>
    <row r="1280" spans="1:15" x14ac:dyDescent="0.3">
      <c r="A1280">
        <v>234836</v>
      </c>
      <c r="B1280">
        <v>105</v>
      </c>
      <c r="C1280" t="s">
        <v>557</v>
      </c>
      <c r="D1280" t="s">
        <v>2605</v>
      </c>
      <c r="E1280" t="s">
        <v>2897</v>
      </c>
      <c r="F1280" s="451">
        <v>46153</v>
      </c>
      <c r="G1280">
        <v>20227</v>
      </c>
      <c r="H1280" t="s">
        <v>4825</v>
      </c>
      <c r="I1280" t="s">
        <v>5191</v>
      </c>
      <c r="J1280">
        <v>5</v>
      </c>
      <c r="K1280" t="s">
        <v>4738</v>
      </c>
      <c r="L1280">
        <v>64.400000000000006</v>
      </c>
      <c r="M1280">
        <v>12.88</v>
      </c>
      <c r="N1280" t="s">
        <v>5272</v>
      </c>
      <c r="O1280" t="s">
        <v>463</v>
      </c>
    </row>
    <row r="1281" spans="1:15" x14ac:dyDescent="0.3">
      <c r="A1281">
        <v>234836</v>
      </c>
      <c r="B1281">
        <v>105</v>
      </c>
      <c r="C1281" t="s">
        <v>557</v>
      </c>
      <c r="D1281" t="s">
        <v>2605</v>
      </c>
      <c r="E1281" t="s">
        <v>2897</v>
      </c>
      <c r="F1281" s="451">
        <v>46153</v>
      </c>
      <c r="G1281">
        <v>20689</v>
      </c>
      <c r="H1281" t="s">
        <v>5007</v>
      </c>
      <c r="I1281" t="s">
        <v>5191</v>
      </c>
      <c r="J1281">
        <v>3</v>
      </c>
      <c r="K1281" t="s">
        <v>5227</v>
      </c>
      <c r="L1281">
        <v>94.8</v>
      </c>
      <c r="M1281">
        <v>31.6</v>
      </c>
      <c r="N1281" t="s">
        <v>5272</v>
      </c>
      <c r="O1281" t="s">
        <v>463</v>
      </c>
    </row>
    <row r="1282" spans="1:15" x14ac:dyDescent="0.3">
      <c r="A1282">
        <v>234834</v>
      </c>
      <c r="B1282">
        <v>105</v>
      </c>
      <c r="C1282" t="s">
        <v>557</v>
      </c>
      <c r="D1282" t="s">
        <v>2571</v>
      </c>
      <c r="E1282" t="s">
        <v>2898</v>
      </c>
      <c r="F1282" s="451">
        <v>46154</v>
      </c>
      <c r="G1282">
        <v>20242</v>
      </c>
      <c r="H1282" t="s">
        <v>4824</v>
      </c>
      <c r="I1282" t="s">
        <v>5191</v>
      </c>
      <c r="J1282">
        <v>6</v>
      </c>
      <c r="K1282" t="s">
        <v>4738</v>
      </c>
      <c r="L1282">
        <v>115.14</v>
      </c>
      <c r="M1282">
        <v>19.190000000000001</v>
      </c>
      <c r="N1282" t="s">
        <v>5272</v>
      </c>
      <c r="O1282" t="s">
        <v>463</v>
      </c>
    </row>
    <row r="1283" spans="1:15" x14ac:dyDescent="0.3">
      <c r="A1283">
        <v>234834</v>
      </c>
      <c r="B1283">
        <v>105</v>
      </c>
      <c r="C1283" t="s">
        <v>557</v>
      </c>
      <c r="D1283" t="s">
        <v>2571</v>
      </c>
      <c r="E1283" t="s">
        <v>2898</v>
      </c>
      <c r="F1283" s="451">
        <v>46154</v>
      </c>
      <c r="G1283">
        <v>25075</v>
      </c>
      <c r="H1283" t="s">
        <v>4790</v>
      </c>
      <c r="I1283" t="s">
        <v>5191</v>
      </c>
      <c r="J1283">
        <v>10</v>
      </c>
      <c r="K1283" t="s">
        <v>5228</v>
      </c>
      <c r="L1283">
        <v>59</v>
      </c>
      <c r="M1283">
        <v>5.9</v>
      </c>
      <c r="N1283" t="s">
        <v>5272</v>
      </c>
      <c r="O1283" t="s">
        <v>463</v>
      </c>
    </row>
    <row r="1284" spans="1:15" x14ac:dyDescent="0.3">
      <c r="A1284">
        <v>234834</v>
      </c>
      <c r="B1284">
        <v>105</v>
      </c>
      <c r="C1284" t="s">
        <v>557</v>
      </c>
      <c r="D1284" t="s">
        <v>2571</v>
      </c>
      <c r="E1284" t="s">
        <v>2898</v>
      </c>
      <c r="F1284" s="451">
        <v>46154</v>
      </c>
      <c r="G1284">
        <v>20429</v>
      </c>
      <c r="H1284" t="s">
        <v>5317</v>
      </c>
      <c r="I1284" t="s">
        <v>5191</v>
      </c>
      <c r="J1284">
        <v>1</v>
      </c>
      <c r="K1284" t="s">
        <v>4736</v>
      </c>
      <c r="L1284">
        <v>22.98</v>
      </c>
      <c r="M1284">
        <v>22.98</v>
      </c>
      <c r="N1284" t="s">
        <v>5272</v>
      </c>
      <c r="O1284" t="s">
        <v>463</v>
      </c>
    </row>
    <row r="1285" spans="1:15" x14ac:dyDescent="0.3">
      <c r="A1285">
        <v>234834</v>
      </c>
      <c r="B1285">
        <v>105</v>
      </c>
      <c r="C1285" t="s">
        <v>557</v>
      </c>
      <c r="D1285" t="s">
        <v>2571</v>
      </c>
      <c r="E1285" t="s">
        <v>2898</v>
      </c>
      <c r="F1285" s="451">
        <v>46154</v>
      </c>
      <c r="G1285">
        <v>20909</v>
      </c>
      <c r="H1285" t="s">
        <v>5318</v>
      </c>
      <c r="I1285" t="s">
        <v>5191</v>
      </c>
      <c r="J1285">
        <v>1</v>
      </c>
      <c r="K1285" t="s">
        <v>5227</v>
      </c>
      <c r="L1285">
        <v>195.11</v>
      </c>
      <c r="M1285">
        <v>195.11</v>
      </c>
      <c r="N1285" t="s">
        <v>5272</v>
      </c>
      <c r="O1285" t="s">
        <v>463</v>
      </c>
    </row>
    <row r="1286" spans="1:15" x14ac:dyDescent="0.3">
      <c r="A1286">
        <v>234834</v>
      </c>
      <c r="B1286">
        <v>105</v>
      </c>
      <c r="C1286" t="s">
        <v>557</v>
      </c>
      <c r="D1286" t="s">
        <v>2571</v>
      </c>
      <c r="E1286" t="s">
        <v>2898</v>
      </c>
      <c r="F1286" s="451">
        <v>46154</v>
      </c>
      <c r="G1286">
        <v>20661</v>
      </c>
      <c r="H1286" t="s">
        <v>5012</v>
      </c>
      <c r="I1286" t="s">
        <v>5191</v>
      </c>
      <c r="J1286">
        <v>3</v>
      </c>
      <c r="K1286" t="s">
        <v>4736</v>
      </c>
      <c r="L1286">
        <v>25.77</v>
      </c>
      <c r="M1286">
        <v>8.59</v>
      </c>
      <c r="N1286" t="s">
        <v>5272</v>
      </c>
      <c r="O1286" t="s">
        <v>463</v>
      </c>
    </row>
    <row r="1287" spans="1:15" x14ac:dyDescent="0.3">
      <c r="A1287">
        <v>234834</v>
      </c>
      <c r="B1287">
        <v>105</v>
      </c>
      <c r="C1287" t="s">
        <v>557</v>
      </c>
      <c r="D1287" t="s">
        <v>2571</v>
      </c>
      <c r="E1287" t="s">
        <v>2898</v>
      </c>
      <c r="F1287" s="451">
        <v>46154</v>
      </c>
      <c r="G1287">
        <v>20585</v>
      </c>
      <c r="H1287" t="s">
        <v>5025</v>
      </c>
      <c r="I1287" t="s">
        <v>5191</v>
      </c>
      <c r="J1287">
        <v>1</v>
      </c>
      <c r="K1287" t="s">
        <v>4736</v>
      </c>
      <c r="L1287">
        <v>27.4</v>
      </c>
      <c r="M1287">
        <v>27.4</v>
      </c>
      <c r="N1287" t="s">
        <v>5272</v>
      </c>
      <c r="O1287" t="s">
        <v>463</v>
      </c>
    </row>
    <row r="1288" spans="1:15" x14ac:dyDescent="0.3">
      <c r="A1288">
        <v>234834</v>
      </c>
      <c r="B1288">
        <v>105</v>
      </c>
      <c r="C1288" t="s">
        <v>557</v>
      </c>
      <c r="D1288" t="s">
        <v>2571</v>
      </c>
      <c r="E1288" t="s">
        <v>2898</v>
      </c>
      <c r="F1288" s="451">
        <v>46154</v>
      </c>
      <c r="G1288">
        <v>27397</v>
      </c>
      <c r="H1288" t="s">
        <v>4913</v>
      </c>
      <c r="I1288" t="s">
        <v>5191</v>
      </c>
      <c r="J1288">
        <v>3</v>
      </c>
      <c r="K1288" t="s">
        <v>4736</v>
      </c>
      <c r="L1288">
        <v>185.64</v>
      </c>
      <c r="M1288">
        <v>61.88</v>
      </c>
      <c r="N1288" t="s">
        <v>5272</v>
      </c>
      <c r="O1288" t="s">
        <v>463</v>
      </c>
    </row>
    <row r="1289" spans="1:15" x14ac:dyDescent="0.3">
      <c r="A1289">
        <v>234833</v>
      </c>
      <c r="B1289">
        <v>105</v>
      </c>
      <c r="C1289" t="s">
        <v>557</v>
      </c>
      <c r="D1289" t="s">
        <v>2579</v>
      </c>
      <c r="E1289" t="s">
        <v>2899</v>
      </c>
      <c r="F1289" s="451">
        <v>46153</v>
      </c>
      <c r="G1289">
        <v>23184</v>
      </c>
      <c r="H1289" t="s">
        <v>4935</v>
      </c>
      <c r="I1289" t="s">
        <v>5191</v>
      </c>
      <c r="J1289">
        <v>1</v>
      </c>
      <c r="K1289" t="s">
        <v>4744</v>
      </c>
      <c r="L1289">
        <v>20.8</v>
      </c>
      <c r="M1289">
        <v>20.8</v>
      </c>
      <c r="N1289" t="s">
        <v>5191</v>
      </c>
      <c r="O1289" t="s">
        <v>463</v>
      </c>
    </row>
    <row r="1290" spans="1:15" x14ac:dyDescent="0.3">
      <c r="A1290">
        <v>234833</v>
      </c>
      <c r="B1290">
        <v>105</v>
      </c>
      <c r="C1290" t="s">
        <v>557</v>
      </c>
      <c r="D1290" t="s">
        <v>2579</v>
      </c>
      <c r="E1290" t="s">
        <v>2899</v>
      </c>
      <c r="F1290" s="451">
        <v>46153</v>
      </c>
      <c r="G1290">
        <v>24598</v>
      </c>
      <c r="H1290" t="s">
        <v>4852</v>
      </c>
      <c r="I1290" t="s">
        <v>5191</v>
      </c>
      <c r="J1290">
        <v>1.2</v>
      </c>
      <c r="K1290" t="s">
        <v>4744</v>
      </c>
      <c r="L1290">
        <v>18.72</v>
      </c>
      <c r="M1290">
        <v>15.6</v>
      </c>
      <c r="N1290" t="s">
        <v>5191</v>
      </c>
      <c r="O1290" t="s">
        <v>463</v>
      </c>
    </row>
    <row r="1291" spans="1:15" x14ac:dyDescent="0.3">
      <c r="A1291">
        <v>234833</v>
      </c>
      <c r="B1291">
        <v>105</v>
      </c>
      <c r="C1291" t="s">
        <v>557</v>
      </c>
      <c r="D1291" t="s">
        <v>2579</v>
      </c>
      <c r="E1291" t="s">
        <v>2899</v>
      </c>
      <c r="F1291" s="451">
        <v>46153</v>
      </c>
      <c r="G1291">
        <v>24522</v>
      </c>
      <c r="H1291" t="s">
        <v>5072</v>
      </c>
      <c r="I1291" t="s">
        <v>5191</v>
      </c>
      <c r="J1291">
        <v>3.5</v>
      </c>
      <c r="K1291" t="s">
        <v>4744</v>
      </c>
      <c r="L1291">
        <v>87.5</v>
      </c>
      <c r="M1291">
        <v>25</v>
      </c>
      <c r="N1291" t="s">
        <v>5191</v>
      </c>
      <c r="O1291" t="s">
        <v>463</v>
      </c>
    </row>
    <row r="1292" spans="1:15" x14ac:dyDescent="0.3">
      <c r="A1292">
        <v>234833</v>
      </c>
      <c r="B1292">
        <v>105</v>
      </c>
      <c r="C1292" t="s">
        <v>557</v>
      </c>
      <c r="D1292" t="s">
        <v>2579</v>
      </c>
      <c r="E1292" t="s">
        <v>2899</v>
      </c>
      <c r="F1292" s="451">
        <v>46153</v>
      </c>
      <c r="G1292">
        <v>19654</v>
      </c>
      <c r="H1292" t="s">
        <v>5099</v>
      </c>
      <c r="I1292" t="s">
        <v>5191</v>
      </c>
      <c r="J1292">
        <v>2</v>
      </c>
      <c r="K1292" t="s">
        <v>4744</v>
      </c>
      <c r="L1292">
        <v>10.02</v>
      </c>
      <c r="M1292">
        <v>5.01</v>
      </c>
      <c r="N1292" t="s">
        <v>5191</v>
      </c>
      <c r="O1292" t="s">
        <v>463</v>
      </c>
    </row>
    <row r="1293" spans="1:15" x14ac:dyDescent="0.3">
      <c r="A1293">
        <v>234832</v>
      </c>
      <c r="B1293">
        <v>105</v>
      </c>
      <c r="C1293" t="s">
        <v>557</v>
      </c>
      <c r="D1293" t="s">
        <v>2581</v>
      </c>
      <c r="E1293" t="s">
        <v>2900</v>
      </c>
      <c r="F1293" s="451">
        <v>46153</v>
      </c>
      <c r="G1293">
        <v>19505</v>
      </c>
      <c r="H1293" t="s">
        <v>4872</v>
      </c>
      <c r="I1293" t="s">
        <v>5191</v>
      </c>
      <c r="J1293">
        <v>3</v>
      </c>
      <c r="K1293" t="s">
        <v>4744</v>
      </c>
      <c r="L1293">
        <v>34.5</v>
      </c>
      <c r="M1293">
        <v>11.5</v>
      </c>
      <c r="N1293" t="s">
        <v>5272</v>
      </c>
      <c r="O1293" t="s">
        <v>463</v>
      </c>
    </row>
    <row r="1294" spans="1:15" x14ac:dyDescent="0.3">
      <c r="A1294">
        <v>234832</v>
      </c>
      <c r="B1294">
        <v>105</v>
      </c>
      <c r="C1294" t="s">
        <v>557</v>
      </c>
      <c r="D1294" t="s">
        <v>2581</v>
      </c>
      <c r="E1294" t="s">
        <v>2900</v>
      </c>
      <c r="F1294" s="451">
        <v>46153</v>
      </c>
      <c r="G1294">
        <v>23361</v>
      </c>
      <c r="H1294" t="s">
        <v>4754</v>
      </c>
      <c r="I1294" t="s">
        <v>5191</v>
      </c>
      <c r="J1294">
        <v>20</v>
      </c>
      <c r="K1294" t="s">
        <v>4744</v>
      </c>
      <c r="L1294">
        <v>59.6</v>
      </c>
      <c r="M1294">
        <v>2.98</v>
      </c>
      <c r="N1294" t="s">
        <v>5272</v>
      </c>
      <c r="O1294" t="s">
        <v>463</v>
      </c>
    </row>
    <row r="1295" spans="1:15" x14ac:dyDescent="0.3">
      <c r="A1295">
        <v>234832</v>
      </c>
      <c r="B1295">
        <v>105</v>
      </c>
      <c r="C1295" t="s">
        <v>557</v>
      </c>
      <c r="D1295" t="s">
        <v>2581</v>
      </c>
      <c r="E1295" t="s">
        <v>2900</v>
      </c>
      <c r="F1295" s="451">
        <v>46153</v>
      </c>
      <c r="G1295">
        <v>23236</v>
      </c>
      <c r="H1295" t="s">
        <v>5062</v>
      </c>
      <c r="I1295" t="s">
        <v>5191</v>
      </c>
      <c r="J1295">
        <v>3.5</v>
      </c>
      <c r="K1295" t="s">
        <v>4744</v>
      </c>
      <c r="L1295">
        <v>31.5</v>
      </c>
      <c r="M1295">
        <v>9</v>
      </c>
      <c r="N1295" t="s">
        <v>5272</v>
      </c>
      <c r="O1295" t="s">
        <v>463</v>
      </c>
    </row>
    <row r="1296" spans="1:15" x14ac:dyDescent="0.3">
      <c r="A1296">
        <v>234832</v>
      </c>
      <c r="B1296">
        <v>105</v>
      </c>
      <c r="C1296" t="s">
        <v>557</v>
      </c>
      <c r="D1296" t="s">
        <v>2581</v>
      </c>
      <c r="E1296" t="s">
        <v>2900</v>
      </c>
      <c r="F1296" s="451">
        <v>46153</v>
      </c>
      <c r="G1296">
        <v>19472</v>
      </c>
      <c r="H1296" t="s">
        <v>4906</v>
      </c>
      <c r="I1296" t="s">
        <v>5191</v>
      </c>
      <c r="J1296">
        <v>2</v>
      </c>
      <c r="K1296" t="s">
        <v>4744</v>
      </c>
      <c r="L1296">
        <v>36</v>
      </c>
      <c r="M1296">
        <v>18</v>
      </c>
      <c r="N1296" t="s">
        <v>5272</v>
      </c>
      <c r="O1296" t="s">
        <v>463</v>
      </c>
    </row>
    <row r="1297" spans="1:15" x14ac:dyDescent="0.3">
      <c r="A1297">
        <v>234832</v>
      </c>
      <c r="B1297">
        <v>105</v>
      </c>
      <c r="C1297" t="s">
        <v>557</v>
      </c>
      <c r="D1297" t="s">
        <v>2581</v>
      </c>
      <c r="E1297" t="s">
        <v>2900</v>
      </c>
      <c r="F1297" s="451">
        <v>46153</v>
      </c>
      <c r="G1297">
        <v>19589</v>
      </c>
      <c r="H1297" t="s">
        <v>4983</v>
      </c>
      <c r="I1297" t="s">
        <v>5191</v>
      </c>
      <c r="J1297">
        <v>3</v>
      </c>
      <c r="K1297" t="s">
        <v>4744</v>
      </c>
      <c r="L1297">
        <v>28.5</v>
      </c>
      <c r="M1297">
        <v>9.5</v>
      </c>
      <c r="N1297" t="s">
        <v>5272</v>
      </c>
      <c r="O1297" t="s">
        <v>463</v>
      </c>
    </row>
    <row r="1298" spans="1:15" x14ac:dyDescent="0.3">
      <c r="A1298">
        <v>234832</v>
      </c>
      <c r="B1298">
        <v>105</v>
      </c>
      <c r="C1298" t="s">
        <v>557</v>
      </c>
      <c r="D1298" t="s">
        <v>2581</v>
      </c>
      <c r="E1298" t="s">
        <v>2900</v>
      </c>
      <c r="F1298" s="451">
        <v>46153</v>
      </c>
      <c r="G1298">
        <v>19526</v>
      </c>
      <c r="H1298" t="s">
        <v>4997</v>
      </c>
      <c r="I1298" t="s">
        <v>5191</v>
      </c>
      <c r="J1298">
        <v>1</v>
      </c>
      <c r="K1298" t="s">
        <v>4744</v>
      </c>
      <c r="L1298">
        <v>50</v>
      </c>
      <c r="M1298">
        <v>50</v>
      </c>
      <c r="N1298" t="s">
        <v>5272</v>
      </c>
      <c r="O1298" t="s">
        <v>463</v>
      </c>
    </row>
    <row r="1299" spans="1:15" x14ac:dyDescent="0.3">
      <c r="A1299">
        <v>234832</v>
      </c>
      <c r="B1299">
        <v>105</v>
      </c>
      <c r="C1299" t="s">
        <v>557</v>
      </c>
      <c r="D1299" t="s">
        <v>2581</v>
      </c>
      <c r="E1299" t="s">
        <v>2900</v>
      </c>
      <c r="F1299" s="451">
        <v>46153</v>
      </c>
      <c r="G1299">
        <v>24099</v>
      </c>
      <c r="H1299" t="s">
        <v>4933</v>
      </c>
      <c r="I1299" t="s">
        <v>5191</v>
      </c>
      <c r="J1299">
        <v>1</v>
      </c>
      <c r="K1299" t="s">
        <v>4744</v>
      </c>
      <c r="L1299">
        <v>15</v>
      </c>
      <c r="M1299">
        <v>15</v>
      </c>
      <c r="N1299" t="s">
        <v>5272</v>
      </c>
      <c r="O1299" t="s">
        <v>463</v>
      </c>
    </row>
    <row r="1300" spans="1:15" x14ac:dyDescent="0.3">
      <c r="A1300">
        <v>234832</v>
      </c>
      <c r="B1300">
        <v>105</v>
      </c>
      <c r="C1300" t="s">
        <v>557</v>
      </c>
      <c r="D1300" t="s">
        <v>2581</v>
      </c>
      <c r="E1300" t="s">
        <v>2900</v>
      </c>
      <c r="F1300" s="451">
        <v>46153</v>
      </c>
      <c r="G1300">
        <v>24509</v>
      </c>
      <c r="H1300" t="s">
        <v>4788</v>
      </c>
      <c r="I1300" t="s">
        <v>5191</v>
      </c>
      <c r="J1300">
        <v>7</v>
      </c>
      <c r="K1300" t="s">
        <v>4744</v>
      </c>
      <c r="L1300">
        <v>33.6</v>
      </c>
      <c r="M1300">
        <v>4.8</v>
      </c>
      <c r="N1300" t="s">
        <v>5272</v>
      </c>
      <c r="O1300" t="s">
        <v>463</v>
      </c>
    </row>
    <row r="1301" spans="1:15" x14ac:dyDescent="0.3">
      <c r="A1301">
        <v>234832</v>
      </c>
      <c r="B1301">
        <v>105</v>
      </c>
      <c r="C1301" t="s">
        <v>557</v>
      </c>
      <c r="D1301" t="s">
        <v>2581</v>
      </c>
      <c r="E1301" t="s">
        <v>2900</v>
      </c>
      <c r="F1301" s="451">
        <v>46153</v>
      </c>
      <c r="G1301">
        <v>19507</v>
      </c>
      <c r="H1301" t="s">
        <v>4853</v>
      </c>
      <c r="I1301" t="s">
        <v>5191</v>
      </c>
      <c r="J1301">
        <v>0.5</v>
      </c>
      <c r="K1301" t="s">
        <v>4744</v>
      </c>
      <c r="L1301">
        <v>7.5</v>
      </c>
      <c r="M1301">
        <v>15</v>
      </c>
      <c r="N1301" t="s">
        <v>5272</v>
      </c>
      <c r="O1301" t="s">
        <v>463</v>
      </c>
    </row>
    <row r="1302" spans="1:15" x14ac:dyDescent="0.3">
      <c r="A1302">
        <v>234832</v>
      </c>
      <c r="B1302">
        <v>105</v>
      </c>
      <c r="C1302" t="s">
        <v>557</v>
      </c>
      <c r="D1302" t="s">
        <v>2581</v>
      </c>
      <c r="E1302" t="s">
        <v>2900</v>
      </c>
      <c r="F1302" s="451">
        <v>46153</v>
      </c>
      <c r="G1302">
        <v>19622</v>
      </c>
      <c r="H1302" t="s">
        <v>4915</v>
      </c>
      <c r="I1302" t="s">
        <v>5191</v>
      </c>
      <c r="J1302">
        <v>0.3</v>
      </c>
      <c r="K1302" t="s">
        <v>4744</v>
      </c>
      <c r="L1302">
        <v>1.65</v>
      </c>
      <c r="M1302">
        <v>5.5</v>
      </c>
      <c r="N1302" t="s">
        <v>5272</v>
      </c>
      <c r="O1302" t="s">
        <v>463</v>
      </c>
    </row>
    <row r="1303" spans="1:15" x14ac:dyDescent="0.3">
      <c r="A1303">
        <v>234832</v>
      </c>
      <c r="B1303">
        <v>105</v>
      </c>
      <c r="C1303" t="s">
        <v>557</v>
      </c>
      <c r="D1303" t="s">
        <v>2581</v>
      </c>
      <c r="E1303" t="s">
        <v>2900</v>
      </c>
      <c r="F1303" s="451">
        <v>46153</v>
      </c>
      <c r="G1303">
        <v>19632</v>
      </c>
      <c r="H1303" t="s">
        <v>4936</v>
      </c>
      <c r="I1303" t="s">
        <v>5191</v>
      </c>
      <c r="J1303">
        <v>1</v>
      </c>
      <c r="K1303" t="s">
        <v>4744</v>
      </c>
      <c r="L1303">
        <v>5.5</v>
      </c>
      <c r="M1303">
        <v>5.5</v>
      </c>
      <c r="N1303" t="s">
        <v>5272</v>
      </c>
      <c r="O1303" t="s">
        <v>463</v>
      </c>
    </row>
    <row r="1304" spans="1:15" x14ac:dyDescent="0.3">
      <c r="A1304">
        <v>234832</v>
      </c>
      <c r="B1304">
        <v>105</v>
      </c>
      <c r="C1304" t="s">
        <v>557</v>
      </c>
      <c r="D1304" t="s">
        <v>2581</v>
      </c>
      <c r="E1304" t="s">
        <v>2900</v>
      </c>
      <c r="F1304" s="451">
        <v>46153</v>
      </c>
      <c r="G1304">
        <v>19737</v>
      </c>
      <c r="H1304" t="s">
        <v>4940</v>
      </c>
      <c r="I1304" t="s">
        <v>5191</v>
      </c>
      <c r="J1304">
        <v>1.5</v>
      </c>
      <c r="K1304" t="s">
        <v>4744</v>
      </c>
      <c r="L1304">
        <v>9.9</v>
      </c>
      <c r="M1304">
        <v>6.6</v>
      </c>
      <c r="N1304" t="s">
        <v>5272</v>
      </c>
      <c r="O1304" t="s">
        <v>463</v>
      </c>
    </row>
    <row r="1305" spans="1:15" x14ac:dyDescent="0.3">
      <c r="A1305">
        <v>234831</v>
      </c>
      <c r="B1305">
        <v>105</v>
      </c>
      <c r="C1305" t="s">
        <v>557</v>
      </c>
      <c r="D1305" t="s">
        <v>2607</v>
      </c>
      <c r="E1305" t="s">
        <v>2901</v>
      </c>
      <c r="F1305" s="451">
        <v>46151</v>
      </c>
      <c r="G1305">
        <v>25777</v>
      </c>
      <c r="H1305" t="s">
        <v>4774</v>
      </c>
      <c r="I1305" t="s">
        <v>5191</v>
      </c>
      <c r="J1305">
        <v>21.1</v>
      </c>
      <c r="K1305" t="s">
        <v>4744</v>
      </c>
      <c r="L1305">
        <v>1793.5</v>
      </c>
      <c r="M1305">
        <v>85</v>
      </c>
      <c r="N1305" t="s">
        <v>5272</v>
      </c>
      <c r="O1305" t="s">
        <v>463</v>
      </c>
    </row>
    <row r="1306" spans="1:15" x14ac:dyDescent="0.3">
      <c r="A1306">
        <v>234829</v>
      </c>
      <c r="B1306">
        <v>105</v>
      </c>
      <c r="C1306" t="s">
        <v>557</v>
      </c>
      <c r="D1306" t="s">
        <v>2615</v>
      </c>
      <c r="E1306" t="s">
        <v>2902</v>
      </c>
      <c r="F1306" s="451">
        <v>46153</v>
      </c>
      <c r="G1306">
        <v>20623</v>
      </c>
      <c r="H1306" t="s">
        <v>4814</v>
      </c>
      <c r="I1306" t="s">
        <v>5191</v>
      </c>
      <c r="J1306">
        <v>10</v>
      </c>
      <c r="K1306" t="s">
        <v>4736</v>
      </c>
      <c r="L1306">
        <v>123.9</v>
      </c>
      <c r="M1306">
        <v>12.39</v>
      </c>
      <c r="N1306" t="s">
        <v>5191</v>
      </c>
      <c r="O1306" t="s">
        <v>463</v>
      </c>
    </row>
    <row r="1307" spans="1:15" x14ac:dyDescent="0.3">
      <c r="A1307">
        <v>234822</v>
      </c>
      <c r="B1307">
        <v>105</v>
      </c>
      <c r="C1307" t="s">
        <v>557</v>
      </c>
      <c r="D1307" t="s">
        <v>2697</v>
      </c>
      <c r="E1307" t="s">
        <v>2903</v>
      </c>
      <c r="F1307" s="451">
        <v>46161</v>
      </c>
      <c r="G1307">
        <v>23974</v>
      </c>
      <c r="H1307" t="s">
        <v>4862</v>
      </c>
      <c r="I1307" t="s">
        <v>5222</v>
      </c>
      <c r="J1307">
        <v>78</v>
      </c>
      <c r="K1307" t="s">
        <v>4736</v>
      </c>
      <c r="L1307">
        <v>168.48</v>
      </c>
      <c r="M1307">
        <v>2.16</v>
      </c>
      <c r="N1307" t="s">
        <v>5222</v>
      </c>
      <c r="O1307" t="s">
        <v>463</v>
      </c>
    </row>
    <row r="1308" spans="1:15" x14ac:dyDescent="0.3">
      <c r="A1308">
        <v>234818</v>
      </c>
      <c r="B1308">
        <v>105</v>
      </c>
      <c r="C1308" t="s">
        <v>557</v>
      </c>
      <c r="D1308" t="s">
        <v>2828</v>
      </c>
      <c r="E1308" t="s">
        <v>2904</v>
      </c>
      <c r="F1308" s="451">
        <v>46163</v>
      </c>
      <c r="G1308">
        <v>24083</v>
      </c>
      <c r="H1308" t="s">
        <v>5165</v>
      </c>
      <c r="I1308" t="s">
        <v>5191</v>
      </c>
      <c r="J1308">
        <v>80</v>
      </c>
      <c r="K1308" t="s">
        <v>4744</v>
      </c>
      <c r="L1308">
        <v>656</v>
      </c>
      <c r="M1308">
        <v>8.1999999999999993</v>
      </c>
      <c r="N1308" t="s">
        <v>5272</v>
      </c>
      <c r="O1308" t="s">
        <v>463</v>
      </c>
    </row>
    <row r="1309" spans="1:15" x14ac:dyDescent="0.3">
      <c r="A1309">
        <v>234817</v>
      </c>
      <c r="B1309">
        <v>105</v>
      </c>
      <c r="C1309" t="s">
        <v>557</v>
      </c>
      <c r="D1309" t="s">
        <v>2554</v>
      </c>
      <c r="E1309" t="s">
        <v>1595</v>
      </c>
      <c r="F1309" s="451">
        <v>46163</v>
      </c>
      <c r="G1309">
        <v>17532</v>
      </c>
      <c r="H1309" t="s">
        <v>5259</v>
      </c>
      <c r="I1309" t="s">
        <v>5188</v>
      </c>
      <c r="J1309">
        <v>1</v>
      </c>
      <c r="K1309" t="s">
        <v>4749</v>
      </c>
      <c r="L1309">
        <v>98</v>
      </c>
      <c r="M1309">
        <v>98</v>
      </c>
      <c r="N1309" t="s">
        <v>5277</v>
      </c>
      <c r="O1309" t="s">
        <v>463</v>
      </c>
    </row>
    <row r="1310" spans="1:15" x14ac:dyDescent="0.3">
      <c r="A1310">
        <v>234817</v>
      </c>
      <c r="B1310">
        <v>105</v>
      </c>
      <c r="C1310" t="s">
        <v>557</v>
      </c>
      <c r="D1310" t="s">
        <v>2554</v>
      </c>
      <c r="E1310" t="s">
        <v>1595</v>
      </c>
      <c r="F1310" s="451">
        <v>46163</v>
      </c>
      <c r="G1310">
        <v>17046</v>
      </c>
      <c r="H1310" t="s">
        <v>5194</v>
      </c>
      <c r="I1310" t="s">
        <v>5188</v>
      </c>
      <c r="J1310">
        <v>2</v>
      </c>
      <c r="K1310" t="s">
        <v>4736</v>
      </c>
      <c r="L1310">
        <v>69</v>
      </c>
      <c r="M1310">
        <v>34.5</v>
      </c>
      <c r="N1310" t="s">
        <v>5277</v>
      </c>
      <c r="O1310" t="s">
        <v>463</v>
      </c>
    </row>
    <row r="1311" spans="1:15" x14ac:dyDescent="0.3">
      <c r="A1311">
        <v>234817</v>
      </c>
      <c r="B1311">
        <v>105</v>
      </c>
      <c r="C1311" t="s">
        <v>557</v>
      </c>
      <c r="D1311" t="s">
        <v>2554</v>
      </c>
      <c r="E1311" t="s">
        <v>1595</v>
      </c>
      <c r="F1311" s="451">
        <v>46163</v>
      </c>
      <c r="G1311">
        <v>17215</v>
      </c>
      <c r="H1311" t="s">
        <v>5299</v>
      </c>
      <c r="I1311" t="s">
        <v>5188</v>
      </c>
      <c r="J1311">
        <v>6</v>
      </c>
      <c r="K1311" t="s">
        <v>4848</v>
      </c>
      <c r="L1311">
        <v>108</v>
      </c>
      <c r="M1311">
        <v>18</v>
      </c>
      <c r="N1311" t="s">
        <v>5277</v>
      </c>
      <c r="O1311" t="s">
        <v>463</v>
      </c>
    </row>
    <row r="1312" spans="1:15" x14ac:dyDescent="0.3">
      <c r="A1312">
        <v>234817</v>
      </c>
      <c r="B1312">
        <v>105</v>
      </c>
      <c r="C1312" t="s">
        <v>557</v>
      </c>
      <c r="D1312" t="s">
        <v>2554</v>
      </c>
      <c r="E1312" t="s">
        <v>1595</v>
      </c>
      <c r="F1312" s="451">
        <v>46163</v>
      </c>
      <c r="G1312">
        <v>17162</v>
      </c>
      <c r="H1312" t="s">
        <v>5255</v>
      </c>
      <c r="I1312" t="s">
        <v>5188</v>
      </c>
      <c r="J1312">
        <v>1</v>
      </c>
      <c r="K1312" t="s">
        <v>4736</v>
      </c>
      <c r="L1312">
        <v>54</v>
      </c>
      <c r="M1312">
        <v>54</v>
      </c>
      <c r="N1312" t="s">
        <v>5277</v>
      </c>
      <c r="O1312" t="s">
        <v>463</v>
      </c>
    </row>
    <row r="1313" spans="1:15" x14ac:dyDescent="0.3">
      <c r="A1313">
        <v>234817</v>
      </c>
      <c r="B1313">
        <v>105</v>
      </c>
      <c r="C1313" t="s">
        <v>557</v>
      </c>
      <c r="D1313" t="s">
        <v>2554</v>
      </c>
      <c r="E1313" t="s">
        <v>1595</v>
      </c>
      <c r="F1313" s="451">
        <v>46163</v>
      </c>
      <c r="G1313">
        <v>17418</v>
      </c>
      <c r="H1313" t="s">
        <v>5207</v>
      </c>
      <c r="I1313" t="s">
        <v>5188</v>
      </c>
      <c r="J1313">
        <v>2</v>
      </c>
      <c r="K1313" t="s">
        <v>4749</v>
      </c>
      <c r="L1313">
        <v>117.8</v>
      </c>
      <c r="M1313">
        <v>58.9</v>
      </c>
      <c r="N1313" t="s">
        <v>5277</v>
      </c>
      <c r="O1313" t="s">
        <v>463</v>
      </c>
    </row>
    <row r="1314" spans="1:15" x14ac:dyDescent="0.3">
      <c r="A1314">
        <v>234817</v>
      </c>
      <c r="B1314">
        <v>105</v>
      </c>
      <c r="C1314" t="s">
        <v>557</v>
      </c>
      <c r="D1314" t="s">
        <v>2554</v>
      </c>
      <c r="E1314" t="s">
        <v>1595</v>
      </c>
      <c r="F1314" s="451">
        <v>46163</v>
      </c>
      <c r="G1314">
        <v>17314</v>
      </c>
      <c r="H1314" t="s">
        <v>5208</v>
      </c>
      <c r="I1314" t="s">
        <v>5188</v>
      </c>
      <c r="J1314">
        <v>3</v>
      </c>
      <c r="K1314" t="s">
        <v>4848</v>
      </c>
      <c r="L1314">
        <v>17.670000000000002</v>
      </c>
      <c r="M1314">
        <v>5.89</v>
      </c>
      <c r="N1314" t="s">
        <v>5277</v>
      </c>
      <c r="O1314" t="s">
        <v>463</v>
      </c>
    </row>
    <row r="1315" spans="1:15" x14ac:dyDescent="0.3">
      <c r="A1315">
        <v>234817</v>
      </c>
      <c r="B1315">
        <v>105</v>
      </c>
      <c r="C1315" t="s">
        <v>557</v>
      </c>
      <c r="D1315" t="s">
        <v>2554</v>
      </c>
      <c r="E1315" t="s">
        <v>1595</v>
      </c>
      <c r="F1315" s="451">
        <v>46163</v>
      </c>
      <c r="G1315">
        <v>26554</v>
      </c>
      <c r="H1315" t="s">
        <v>5319</v>
      </c>
      <c r="I1315" t="s">
        <v>5215</v>
      </c>
      <c r="J1315">
        <v>2</v>
      </c>
      <c r="K1315" t="s">
        <v>4749</v>
      </c>
      <c r="L1315">
        <v>700</v>
      </c>
      <c r="M1315">
        <v>350</v>
      </c>
      <c r="N1315" t="s">
        <v>5277</v>
      </c>
      <c r="O1315" t="s">
        <v>463</v>
      </c>
    </row>
    <row r="1316" spans="1:15" x14ac:dyDescent="0.3">
      <c r="A1316">
        <v>234817</v>
      </c>
      <c r="B1316">
        <v>105</v>
      </c>
      <c r="C1316" t="s">
        <v>557</v>
      </c>
      <c r="D1316" t="s">
        <v>2554</v>
      </c>
      <c r="E1316" t="s">
        <v>1595</v>
      </c>
      <c r="F1316" s="451">
        <v>46163</v>
      </c>
      <c r="G1316">
        <v>17554</v>
      </c>
      <c r="H1316" t="s">
        <v>5320</v>
      </c>
      <c r="I1316" t="s">
        <v>5188</v>
      </c>
      <c r="J1316">
        <v>1</v>
      </c>
      <c r="K1316" t="s">
        <v>4749</v>
      </c>
      <c r="L1316">
        <v>310</v>
      </c>
      <c r="M1316">
        <v>310</v>
      </c>
      <c r="N1316" t="s">
        <v>5277</v>
      </c>
      <c r="O1316" t="s">
        <v>463</v>
      </c>
    </row>
    <row r="1317" spans="1:15" x14ac:dyDescent="0.3">
      <c r="A1317">
        <v>234817</v>
      </c>
      <c r="B1317">
        <v>105</v>
      </c>
      <c r="C1317" t="s">
        <v>557</v>
      </c>
      <c r="D1317" t="s">
        <v>2554</v>
      </c>
      <c r="E1317" t="s">
        <v>1595</v>
      </c>
      <c r="F1317" s="451">
        <v>46163</v>
      </c>
      <c r="G1317">
        <v>17437</v>
      </c>
      <c r="H1317" t="s">
        <v>5203</v>
      </c>
      <c r="I1317" t="s">
        <v>5188</v>
      </c>
      <c r="J1317">
        <v>15</v>
      </c>
      <c r="K1317" t="s">
        <v>4736</v>
      </c>
      <c r="L1317">
        <v>34.5</v>
      </c>
      <c r="M1317">
        <v>2.2999999999999998</v>
      </c>
      <c r="N1317" t="s">
        <v>5277</v>
      </c>
      <c r="O1317" t="s">
        <v>463</v>
      </c>
    </row>
    <row r="1318" spans="1:15" x14ac:dyDescent="0.3">
      <c r="A1318">
        <v>234817</v>
      </c>
      <c r="B1318">
        <v>105</v>
      </c>
      <c r="C1318" t="s">
        <v>557</v>
      </c>
      <c r="D1318" t="s">
        <v>2554</v>
      </c>
      <c r="E1318" t="s">
        <v>1595</v>
      </c>
      <c r="F1318" s="451">
        <v>46163</v>
      </c>
      <c r="G1318">
        <v>24505</v>
      </c>
      <c r="H1318" t="s">
        <v>5198</v>
      </c>
      <c r="I1318" t="s">
        <v>5188</v>
      </c>
      <c r="J1318">
        <v>6</v>
      </c>
      <c r="K1318" t="s">
        <v>4738</v>
      </c>
      <c r="L1318">
        <v>29.88</v>
      </c>
      <c r="M1318">
        <v>4.9800000000000004</v>
      </c>
      <c r="N1318" t="s">
        <v>5277</v>
      </c>
      <c r="O1318" t="s">
        <v>463</v>
      </c>
    </row>
    <row r="1319" spans="1:15" x14ac:dyDescent="0.3">
      <c r="A1319">
        <v>234817</v>
      </c>
      <c r="B1319">
        <v>105</v>
      </c>
      <c r="C1319" t="s">
        <v>557</v>
      </c>
      <c r="D1319" t="s">
        <v>2554</v>
      </c>
      <c r="E1319" t="s">
        <v>1595</v>
      </c>
      <c r="F1319" s="451">
        <v>46163</v>
      </c>
      <c r="G1319">
        <v>17504</v>
      </c>
      <c r="H1319" t="s">
        <v>5260</v>
      </c>
      <c r="I1319" t="s">
        <v>5205</v>
      </c>
      <c r="J1319">
        <v>2</v>
      </c>
      <c r="K1319" t="s">
        <v>4736</v>
      </c>
      <c r="L1319">
        <v>42</v>
      </c>
      <c r="M1319">
        <v>21</v>
      </c>
      <c r="N1319" t="s">
        <v>5277</v>
      </c>
      <c r="O1319" t="s">
        <v>463</v>
      </c>
    </row>
    <row r="1320" spans="1:15" x14ac:dyDescent="0.3">
      <c r="A1320">
        <v>234817</v>
      </c>
      <c r="B1320">
        <v>105</v>
      </c>
      <c r="C1320" t="s">
        <v>557</v>
      </c>
      <c r="D1320" t="s">
        <v>2554</v>
      </c>
      <c r="E1320" t="s">
        <v>1595</v>
      </c>
      <c r="F1320" s="451">
        <v>46163</v>
      </c>
      <c r="G1320">
        <v>17266</v>
      </c>
      <c r="H1320" t="s">
        <v>5192</v>
      </c>
      <c r="I1320" t="s">
        <v>5188</v>
      </c>
      <c r="J1320">
        <v>2</v>
      </c>
      <c r="K1320" t="s">
        <v>4736</v>
      </c>
      <c r="L1320">
        <v>9.3000000000000007</v>
      </c>
      <c r="M1320">
        <v>4.6500000000000004</v>
      </c>
      <c r="N1320" t="s">
        <v>5277</v>
      </c>
      <c r="O1320" t="s">
        <v>463</v>
      </c>
    </row>
    <row r="1321" spans="1:15" x14ac:dyDescent="0.3">
      <c r="A1321">
        <v>234817</v>
      </c>
      <c r="B1321">
        <v>105</v>
      </c>
      <c r="C1321" t="s">
        <v>557</v>
      </c>
      <c r="D1321" t="s">
        <v>2554</v>
      </c>
      <c r="E1321" t="s">
        <v>1595</v>
      </c>
      <c r="F1321" s="451">
        <v>46163</v>
      </c>
      <c r="G1321">
        <v>17129</v>
      </c>
      <c r="H1321" t="s">
        <v>5202</v>
      </c>
      <c r="I1321" t="s">
        <v>5188</v>
      </c>
      <c r="J1321">
        <v>1</v>
      </c>
      <c r="K1321" t="s">
        <v>4738</v>
      </c>
      <c r="L1321">
        <v>26.61</v>
      </c>
      <c r="M1321">
        <v>26.61</v>
      </c>
      <c r="N1321" t="s">
        <v>5277</v>
      </c>
      <c r="O1321" t="s">
        <v>463</v>
      </c>
    </row>
    <row r="1322" spans="1:15" x14ac:dyDescent="0.3">
      <c r="A1322">
        <v>234814</v>
      </c>
      <c r="B1322">
        <v>105</v>
      </c>
      <c r="C1322" t="s">
        <v>557</v>
      </c>
      <c r="D1322" t="s">
        <v>2603</v>
      </c>
      <c r="E1322" t="s">
        <v>2905</v>
      </c>
      <c r="F1322" s="451">
        <v>46161</v>
      </c>
      <c r="G1322">
        <v>26679</v>
      </c>
      <c r="H1322" t="s">
        <v>4791</v>
      </c>
      <c r="I1322" t="s">
        <v>5191</v>
      </c>
      <c r="J1322">
        <v>27.35</v>
      </c>
      <c r="K1322" t="s">
        <v>4744</v>
      </c>
      <c r="L1322">
        <v>817.76</v>
      </c>
      <c r="M1322">
        <v>29.899816999999999</v>
      </c>
      <c r="N1322" t="s">
        <v>5272</v>
      </c>
      <c r="O1322" t="s">
        <v>463</v>
      </c>
    </row>
    <row r="1323" spans="1:15" x14ac:dyDescent="0.3">
      <c r="A1323">
        <v>234814</v>
      </c>
      <c r="B1323">
        <v>105</v>
      </c>
      <c r="C1323" t="s">
        <v>557</v>
      </c>
      <c r="D1323" t="s">
        <v>2603</v>
      </c>
      <c r="E1323" t="s">
        <v>2905</v>
      </c>
      <c r="F1323" s="451">
        <v>46161</v>
      </c>
      <c r="G1323">
        <v>19003</v>
      </c>
      <c r="H1323" t="s">
        <v>4810</v>
      </c>
      <c r="I1323" t="s">
        <v>5191</v>
      </c>
      <c r="J1323">
        <v>20.8</v>
      </c>
      <c r="K1323" t="s">
        <v>4744</v>
      </c>
      <c r="L1323">
        <v>829.92</v>
      </c>
      <c r="M1323">
        <v>39.9</v>
      </c>
      <c r="N1323" t="s">
        <v>5272</v>
      </c>
      <c r="O1323" t="s">
        <v>463</v>
      </c>
    </row>
    <row r="1324" spans="1:15" x14ac:dyDescent="0.3">
      <c r="A1324">
        <v>234811</v>
      </c>
      <c r="B1324">
        <v>105</v>
      </c>
      <c r="C1324" t="s">
        <v>557</v>
      </c>
      <c r="D1324" t="s">
        <v>2678</v>
      </c>
      <c r="E1324" t="s">
        <v>2906</v>
      </c>
      <c r="F1324" s="451">
        <v>46164</v>
      </c>
      <c r="G1324">
        <v>28568</v>
      </c>
      <c r="H1324" t="s">
        <v>5177</v>
      </c>
      <c r="I1324" t="s">
        <v>5191</v>
      </c>
      <c r="J1324">
        <v>1</v>
      </c>
      <c r="K1324" t="s">
        <v>4736</v>
      </c>
      <c r="L1324">
        <v>70.8</v>
      </c>
      <c r="M1324">
        <v>70.8</v>
      </c>
      <c r="N1324" t="s">
        <v>5272</v>
      </c>
      <c r="O1324" t="s">
        <v>463</v>
      </c>
    </row>
    <row r="1325" spans="1:15" x14ac:dyDescent="0.3">
      <c r="A1325">
        <v>234789</v>
      </c>
      <c r="B1325">
        <v>105</v>
      </c>
      <c r="C1325" t="s">
        <v>557</v>
      </c>
      <c r="D1325" t="s">
        <v>2705</v>
      </c>
      <c r="E1325" t="s">
        <v>2907</v>
      </c>
      <c r="F1325" s="451">
        <v>46167</v>
      </c>
      <c r="G1325">
        <v>24658</v>
      </c>
      <c r="H1325" t="s">
        <v>5274</v>
      </c>
      <c r="I1325" t="s">
        <v>5232</v>
      </c>
      <c r="J1325">
        <v>20</v>
      </c>
      <c r="K1325" t="s">
        <v>4738</v>
      </c>
      <c r="L1325">
        <v>692</v>
      </c>
      <c r="M1325">
        <v>34.6</v>
      </c>
      <c r="N1325" t="s">
        <v>5287</v>
      </c>
      <c r="O1325" t="s">
        <v>463</v>
      </c>
    </row>
    <row r="1326" spans="1:15" x14ac:dyDescent="0.3">
      <c r="A1326">
        <v>234780</v>
      </c>
      <c r="B1326">
        <v>105</v>
      </c>
      <c r="C1326" t="s">
        <v>557</v>
      </c>
      <c r="D1326" t="s">
        <v>2682</v>
      </c>
      <c r="E1326" t="s">
        <v>2908</v>
      </c>
      <c r="F1326" s="451">
        <v>46164</v>
      </c>
      <c r="G1326">
        <v>19439</v>
      </c>
      <c r="H1326" t="s">
        <v>4917</v>
      </c>
      <c r="I1326" t="s">
        <v>5191</v>
      </c>
      <c r="J1326">
        <v>3</v>
      </c>
      <c r="K1326" t="s">
        <v>4738</v>
      </c>
      <c r="L1326">
        <v>94.11</v>
      </c>
      <c r="M1326">
        <v>31.37</v>
      </c>
      <c r="N1326" t="s">
        <v>5272</v>
      </c>
      <c r="O1326" t="s">
        <v>463</v>
      </c>
    </row>
    <row r="1327" spans="1:15" x14ac:dyDescent="0.3">
      <c r="A1327">
        <v>234780</v>
      </c>
      <c r="B1327">
        <v>105</v>
      </c>
      <c r="C1327" t="s">
        <v>557</v>
      </c>
      <c r="D1327" t="s">
        <v>2682</v>
      </c>
      <c r="E1327" t="s">
        <v>2908</v>
      </c>
      <c r="F1327" s="451">
        <v>46164</v>
      </c>
      <c r="G1327">
        <v>19322</v>
      </c>
      <c r="H1327" t="s">
        <v>4830</v>
      </c>
      <c r="I1327" t="s">
        <v>5191</v>
      </c>
      <c r="J1327">
        <v>12.14</v>
      </c>
      <c r="K1327" t="s">
        <v>4744</v>
      </c>
      <c r="L1327">
        <v>622.17999999999995</v>
      </c>
      <c r="M1327">
        <v>51.250411999999997</v>
      </c>
      <c r="N1327" t="s">
        <v>5272</v>
      </c>
      <c r="O1327" t="s">
        <v>463</v>
      </c>
    </row>
    <row r="1328" spans="1:15" x14ac:dyDescent="0.3">
      <c r="A1328">
        <v>234780</v>
      </c>
      <c r="B1328">
        <v>105</v>
      </c>
      <c r="C1328" t="s">
        <v>557</v>
      </c>
      <c r="D1328" t="s">
        <v>2682</v>
      </c>
      <c r="E1328" t="s">
        <v>2908</v>
      </c>
      <c r="F1328" s="451">
        <v>46164</v>
      </c>
      <c r="G1328">
        <v>20585</v>
      </c>
      <c r="H1328" t="s">
        <v>5025</v>
      </c>
      <c r="I1328" t="s">
        <v>5191</v>
      </c>
      <c r="J1328">
        <v>1</v>
      </c>
      <c r="K1328" t="s">
        <v>4736</v>
      </c>
      <c r="L1328">
        <v>29.25</v>
      </c>
      <c r="M1328">
        <v>29.25</v>
      </c>
      <c r="N1328" t="s">
        <v>5272</v>
      </c>
      <c r="O1328" t="s">
        <v>463</v>
      </c>
    </row>
    <row r="1329" spans="1:15" x14ac:dyDescent="0.3">
      <c r="A1329">
        <v>234780</v>
      </c>
      <c r="B1329">
        <v>105</v>
      </c>
      <c r="C1329" t="s">
        <v>557</v>
      </c>
      <c r="D1329" t="s">
        <v>2682</v>
      </c>
      <c r="E1329" t="s">
        <v>2908</v>
      </c>
      <c r="F1329" s="451">
        <v>46164</v>
      </c>
      <c r="G1329">
        <v>20007</v>
      </c>
      <c r="H1329" t="s">
        <v>5101</v>
      </c>
      <c r="I1329" t="s">
        <v>5191</v>
      </c>
      <c r="J1329">
        <v>3</v>
      </c>
      <c r="K1329" t="s">
        <v>4884</v>
      </c>
      <c r="L1329">
        <v>148.80000000000001</v>
      </c>
      <c r="M1329">
        <v>49.6</v>
      </c>
      <c r="N1329" t="s">
        <v>5272</v>
      </c>
      <c r="O1329" t="s">
        <v>463</v>
      </c>
    </row>
    <row r="1330" spans="1:15" x14ac:dyDescent="0.3">
      <c r="A1330">
        <v>234777</v>
      </c>
      <c r="B1330">
        <v>105</v>
      </c>
      <c r="C1330" t="s">
        <v>557</v>
      </c>
      <c r="D1330" t="s">
        <v>2581</v>
      </c>
      <c r="E1330" t="s">
        <v>2909</v>
      </c>
      <c r="F1330" s="451">
        <v>46143</v>
      </c>
      <c r="G1330">
        <v>19740</v>
      </c>
      <c r="H1330" t="s">
        <v>4779</v>
      </c>
      <c r="I1330" t="s">
        <v>5191</v>
      </c>
      <c r="J1330">
        <v>8</v>
      </c>
      <c r="K1330" t="s">
        <v>4744</v>
      </c>
      <c r="L1330">
        <v>76</v>
      </c>
      <c r="M1330">
        <v>9.5</v>
      </c>
      <c r="N1330" t="s">
        <v>5272</v>
      </c>
      <c r="O1330" t="s">
        <v>463</v>
      </c>
    </row>
    <row r="1331" spans="1:15" x14ac:dyDescent="0.3">
      <c r="A1331">
        <v>234777</v>
      </c>
      <c r="B1331">
        <v>105</v>
      </c>
      <c r="C1331" t="s">
        <v>557</v>
      </c>
      <c r="D1331" t="s">
        <v>2581</v>
      </c>
      <c r="E1331" t="s">
        <v>2909</v>
      </c>
      <c r="F1331" s="451">
        <v>46143</v>
      </c>
      <c r="G1331">
        <v>23113</v>
      </c>
      <c r="H1331" t="s">
        <v>5074</v>
      </c>
      <c r="I1331" t="s">
        <v>5191</v>
      </c>
      <c r="J1331">
        <v>0.5</v>
      </c>
      <c r="K1331" t="s">
        <v>4744</v>
      </c>
      <c r="L1331">
        <v>6.25</v>
      </c>
      <c r="M1331">
        <v>12.5</v>
      </c>
      <c r="N1331" t="s">
        <v>5272</v>
      </c>
      <c r="O1331" t="s">
        <v>463</v>
      </c>
    </row>
    <row r="1332" spans="1:15" x14ac:dyDescent="0.3">
      <c r="A1332">
        <v>234777</v>
      </c>
      <c r="B1332">
        <v>105</v>
      </c>
      <c r="C1332" t="s">
        <v>557</v>
      </c>
      <c r="D1332" t="s">
        <v>2581</v>
      </c>
      <c r="E1332" t="s">
        <v>2909</v>
      </c>
      <c r="F1332" s="451">
        <v>46143</v>
      </c>
      <c r="G1332">
        <v>19658</v>
      </c>
      <c r="H1332" t="s">
        <v>4784</v>
      </c>
      <c r="I1332" t="s">
        <v>5191</v>
      </c>
      <c r="J1332">
        <v>5</v>
      </c>
      <c r="K1332" t="s">
        <v>4744</v>
      </c>
      <c r="L1332">
        <v>19.5</v>
      </c>
      <c r="M1332">
        <v>3.9</v>
      </c>
      <c r="N1332" t="s">
        <v>5272</v>
      </c>
      <c r="O1332" t="s">
        <v>463</v>
      </c>
    </row>
    <row r="1333" spans="1:15" x14ac:dyDescent="0.3">
      <c r="A1333">
        <v>234777</v>
      </c>
      <c r="B1333">
        <v>105</v>
      </c>
      <c r="C1333" t="s">
        <v>557</v>
      </c>
      <c r="D1333" t="s">
        <v>2581</v>
      </c>
      <c r="E1333" t="s">
        <v>2909</v>
      </c>
      <c r="F1333" s="451">
        <v>46143</v>
      </c>
      <c r="G1333">
        <v>19505</v>
      </c>
      <c r="H1333" t="s">
        <v>4872</v>
      </c>
      <c r="I1333" t="s">
        <v>5191</v>
      </c>
      <c r="J1333">
        <v>2.5</v>
      </c>
      <c r="K1333" t="s">
        <v>4744</v>
      </c>
      <c r="L1333">
        <v>27.5</v>
      </c>
      <c r="M1333">
        <v>11</v>
      </c>
      <c r="N1333" t="s">
        <v>5272</v>
      </c>
      <c r="O1333" t="s">
        <v>463</v>
      </c>
    </row>
    <row r="1334" spans="1:15" x14ac:dyDescent="0.3">
      <c r="A1334">
        <v>234777</v>
      </c>
      <c r="B1334">
        <v>105</v>
      </c>
      <c r="C1334" t="s">
        <v>557</v>
      </c>
      <c r="D1334" t="s">
        <v>2581</v>
      </c>
      <c r="E1334" t="s">
        <v>2909</v>
      </c>
      <c r="F1334" s="451">
        <v>46143</v>
      </c>
      <c r="G1334">
        <v>24509</v>
      </c>
      <c r="H1334" t="s">
        <v>4788</v>
      </c>
      <c r="I1334" t="s">
        <v>5191</v>
      </c>
      <c r="J1334">
        <v>15</v>
      </c>
      <c r="K1334" t="s">
        <v>4744</v>
      </c>
      <c r="L1334">
        <v>57.75</v>
      </c>
      <c r="M1334">
        <v>3.85</v>
      </c>
      <c r="N1334" t="s">
        <v>5272</v>
      </c>
      <c r="O1334" t="s">
        <v>463</v>
      </c>
    </row>
    <row r="1335" spans="1:15" x14ac:dyDescent="0.3">
      <c r="A1335">
        <v>234777</v>
      </c>
      <c r="B1335">
        <v>105</v>
      </c>
      <c r="C1335" t="s">
        <v>557</v>
      </c>
      <c r="D1335" t="s">
        <v>2581</v>
      </c>
      <c r="E1335" t="s">
        <v>2909</v>
      </c>
      <c r="F1335" s="451">
        <v>46143</v>
      </c>
      <c r="G1335">
        <v>19737</v>
      </c>
      <c r="H1335" t="s">
        <v>4940</v>
      </c>
      <c r="I1335" t="s">
        <v>5191</v>
      </c>
      <c r="J1335">
        <v>2</v>
      </c>
      <c r="K1335" t="s">
        <v>4744</v>
      </c>
      <c r="L1335">
        <v>15</v>
      </c>
      <c r="M1335">
        <v>7.5</v>
      </c>
      <c r="N1335" t="s">
        <v>5272</v>
      </c>
      <c r="O1335" t="s">
        <v>463</v>
      </c>
    </row>
    <row r="1336" spans="1:15" x14ac:dyDescent="0.3">
      <c r="A1336">
        <v>234777</v>
      </c>
      <c r="B1336">
        <v>105</v>
      </c>
      <c r="C1336" t="s">
        <v>557</v>
      </c>
      <c r="D1336" t="s">
        <v>2581</v>
      </c>
      <c r="E1336" t="s">
        <v>2909</v>
      </c>
      <c r="F1336" s="451">
        <v>46143</v>
      </c>
      <c r="G1336">
        <v>19635</v>
      </c>
      <c r="H1336" t="s">
        <v>4786</v>
      </c>
      <c r="I1336" t="s">
        <v>5191</v>
      </c>
      <c r="J1336">
        <v>10</v>
      </c>
      <c r="K1336" t="s">
        <v>4744</v>
      </c>
      <c r="L1336">
        <v>58</v>
      </c>
      <c r="M1336">
        <v>5.8</v>
      </c>
      <c r="N1336" t="s">
        <v>5272</v>
      </c>
      <c r="O1336" t="s">
        <v>463</v>
      </c>
    </row>
    <row r="1337" spans="1:15" x14ac:dyDescent="0.3">
      <c r="A1337">
        <v>234777</v>
      </c>
      <c r="B1337">
        <v>105</v>
      </c>
      <c r="C1337" t="s">
        <v>557</v>
      </c>
      <c r="D1337" t="s">
        <v>2581</v>
      </c>
      <c r="E1337" t="s">
        <v>2909</v>
      </c>
      <c r="F1337" s="451">
        <v>46143</v>
      </c>
      <c r="G1337">
        <v>19502</v>
      </c>
      <c r="H1337" t="s">
        <v>4871</v>
      </c>
      <c r="I1337" t="s">
        <v>5191</v>
      </c>
      <c r="J1337">
        <v>2.5</v>
      </c>
      <c r="K1337" t="s">
        <v>4744</v>
      </c>
      <c r="L1337">
        <v>45</v>
      </c>
      <c r="M1337">
        <v>18</v>
      </c>
      <c r="N1337" t="s">
        <v>5272</v>
      </c>
      <c r="O1337" t="s">
        <v>463</v>
      </c>
    </row>
    <row r="1338" spans="1:15" x14ac:dyDescent="0.3">
      <c r="A1338">
        <v>234777</v>
      </c>
      <c r="B1338">
        <v>105</v>
      </c>
      <c r="C1338" t="s">
        <v>557</v>
      </c>
      <c r="D1338" t="s">
        <v>2581</v>
      </c>
      <c r="E1338" t="s">
        <v>2909</v>
      </c>
      <c r="F1338" s="451">
        <v>46143</v>
      </c>
      <c r="G1338">
        <v>19552</v>
      </c>
      <c r="H1338" t="s">
        <v>4860</v>
      </c>
      <c r="I1338" t="s">
        <v>5191</v>
      </c>
      <c r="J1338">
        <v>1</v>
      </c>
      <c r="K1338" t="s">
        <v>4744</v>
      </c>
      <c r="L1338">
        <v>8.3000000000000007</v>
      </c>
      <c r="M1338">
        <v>8.3000000000000007</v>
      </c>
      <c r="N1338" t="s">
        <v>5272</v>
      </c>
      <c r="O1338" t="s">
        <v>463</v>
      </c>
    </row>
    <row r="1339" spans="1:15" x14ac:dyDescent="0.3">
      <c r="A1339">
        <v>234777</v>
      </c>
      <c r="B1339">
        <v>105</v>
      </c>
      <c r="C1339" t="s">
        <v>557</v>
      </c>
      <c r="D1339" t="s">
        <v>2581</v>
      </c>
      <c r="E1339" t="s">
        <v>2909</v>
      </c>
      <c r="F1339" s="451">
        <v>46143</v>
      </c>
      <c r="G1339">
        <v>19589</v>
      </c>
      <c r="H1339" t="s">
        <v>4983</v>
      </c>
      <c r="I1339" t="s">
        <v>5191</v>
      </c>
      <c r="J1339">
        <v>2</v>
      </c>
      <c r="K1339" t="s">
        <v>4744</v>
      </c>
      <c r="L1339">
        <v>18</v>
      </c>
      <c r="M1339">
        <v>9</v>
      </c>
      <c r="N1339" t="s">
        <v>5272</v>
      </c>
      <c r="O1339" t="s">
        <v>463</v>
      </c>
    </row>
    <row r="1340" spans="1:15" x14ac:dyDescent="0.3">
      <c r="A1340">
        <v>234777</v>
      </c>
      <c r="B1340">
        <v>105</v>
      </c>
      <c r="C1340" t="s">
        <v>557</v>
      </c>
      <c r="D1340" t="s">
        <v>2581</v>
      </c>
      <c r="E1340" t="s">
        <v>2909</v>
      </c>
      <c r="F1340" s="451">
        <v>46143</v>
      </c>
      <c r="G1340">
        <v>19480</v>
      </c>
      <c r="H1340" t="s">
        <v>5119</v>
      </c>
      <c r="I1340" t="s">
        <v>5191</v>
      </c>
      <c r="J1340">
        <v>0.5</v>
      </c>
      <c r="K1340" t="s">
        <v>4744</v>
      </c>
      <c r="L1340">
        <v>9.5</v>
      </c>
      <c r="M1340">
        <v>19</v>
      </c>
      <c r="N1340" t="s">
        <v>5272</v>
      </c>
      <c r="O1340" t="s">
        <v>463</v>
      </c>
    </row>
    <row r="1341" spans="1:15" x14ac:dyDescent="0.3">
      <c r="A1341">
        <v>234777</v>
      </c>
      <c r="B1341">
        <v>105</v>
      </c>
      <c r="C1341" t="s">
        <v>557</v>
      </c>
      <c r="D1341" t="s">
        <v>2581</v>
      </c>
      <c r="E1341" t="s">
        <v>2909</v>
      </c>
      <c r="F1341" s="451">
        <v>46143</v>
      </c>
      <c r="G1341">
        <v>23359</v>
      </c>
      <c r="H1341" t="s">
        <v>4767</v>
      </c>
      <c r="I1341" t="s">
        <v>5191</v>
      </c>
      <c r="J1341">
        <v>5</v>
      </c>
      <c r="K1341" t="s">
        <v>4744</v>
      </c>
      <c r="L1341">
        <v>11</v>
      </c>
      <c r="M1341">
        <v>2.2000000000000002</v>
      </c>
      <c r="N1341" t="s">
        <v>5272</v>
      </c>
      <c r="O1341" t="s">
        <v>463</v>
      </c>
    </row>
    <row r="1342" spans="1:15" x14ac:dyDescent="0.3">
      <c r="A1342">
        <v>234777</v>
      </c>
      <c r="B1342">
        <v>105</v>
      </c>
      <c r="C1342" t="s">
        <v>557</v>
      </c>
      <c r="D1342" t="s">
        <v>2581</v>
      </c>
      <c r="E1342" t="s">
        <v>2909</v>
      </c>
      <c r="F1342" s="451">
        <v>46143</v>
      </c>
      <c r="G1342">
        <v>19787</v>
      </c>
      <c r="H1342" t="s">
        <v>4793</v>
      </c>
      <c r="I1342" t="s">
        <v>5191</v>
      </c>
      <c r="J1342">
        <v>8</v>
      </c>
      <c r="K1342" t="s">
        <v>4744</v>
      </c>
      <c r="L1342">
        <v>52</v>
      </c>
      <c r="M1342">
        <v>6.5</v>
      </c>
      <c r="N1342" t="s">
        <v>5272</v>
      </c>
      <c r="O1342" t="s">
        <v>463</v>
      </c>
    </row>
    <row r="1343" spans="1:15" x14ac:dyDescent="0.3">
      <c r="A1343">
        <v>234777</v>
      </c>
      <c r="B1343">
        <v>105</v>
      </c>
      <c r="C1343" t="s">
        <v>557</v>
      </c>
      <c r="D1343" t="s">
        <v>2581</v>
      </c>
      <c r="E1343" t="s">
        <v>2909</v>
      </c>
      <c r="F1343" s="451">
        <v>46143</v>
      </c>
      <c r="G1343">
        <v>19553</v>
      </c>
      <c r="H1343" t="s">
        <v>4868</v>
      </c>
      <c r="I1343" t="s">
        <v>5191</v>
      </c>
      <c r="J1343">
        <v>2</v>
      </c>
      <c r="K1343" t="s">
        <v>4744</v>
      </c>
      <c r="L1343">
        <v>10.6</v>
      </c>
      <c r="M1343">
        <v>5.3</v>
      </c>
      <c r="N1343" t="s">
        <v>5272</v>
      </c>
      <c r="O1343" t="s">
        <v>463</v>
      </c>
    </row>
    <row r="1344" spans="1:15" x14ac:dyDescent="0.3">
      <c r="A1344">
        <v>234771</v>
      </c>
      <c r="B1344">
        <v>105</v>
      </c>
      <c r="C1344" t="s">
        <v>557</v>
      </c>
      <c r="D1344" t="s">
        <v>2607</v>
      </c>
      <c r="E1344" t="s">
        <v>2910</v>
      </c>
      <c r="F1344" s="451">
        <v>46151</v>
      </c>
      <c r="G1344">
        <v>28761</v>
      </c>
      <c r="H1344" t="s">
        <v>5138</v>
      </c>
      <c r="I1344" t="s">
        <v>5191</v>
      </c>
      <c r="J1344">
        <v>12.3</v>
      </c>
      <c r="K1344" t="s">
        <v>4744</v>
      </c>
      <c r="L1344">
        <v>1242.18</v>
      </c>
      <c r="M1344">
        <v>100.990244</v>
      </c>
      <c r="N1344" t="s">
        <v>5272</v>
      </c>
      <c r="O1344" t="s">
        <v>463</v>
      </c>
    </row>
    <row r="1345" spans="1:15" x14ac:dyDescent="0.3">
      <c r="A1345">
        <v>233736</v>
      </c>
      <c r="B1345">
        <v>105</v>
      </c>
      <c r="C1345" t="s">
        <v>557</v>
      </c>
      <c r="D1345" t="s">
        <v>2563</v>
      </c>
      <c r="E1345" t="s">
        <v>2911</v>
      </c>
      <c r="F1345" s="451">
        <v>46162</v>
      </c>
      <c r="G1345">
        <v>19572</v>
      </c>
      <c r="H1345" t="s">
        <v>4989</v>
      </c>
      <c r="I1345" t="s">
        <v>5191</v>
      </c>
      <c r="J1345">
        <v>1.1000000000000001</v>
      </c>
      <c r="K1345" t="s">
        <v>4744</v>
      </c>
      <c r="L1345">
        <v>9.9700000000000006</v>
      </c>
      <c r="M1345">
        <v>9.0636360000000007</v>
      </c>
      <c r="N1345" t="s">
        <v>5272</v>
      </c>
      <c r="O1345" t="s">
        <v>463</v>
      </c>
    </row>
    <row r="1346" spans="1:15" x14ac:dyDescent="0.3">
      <c r="A1346">
        <v>233736</v>
      </c>
      <c r="B1346">
        <v>105</v>
      </c>
      <c r="C1346" t="s">
        <v>557</v>
      </c>
      <c r="D1346" t="s">
        <v>2563</v>
      </c>
      <c r="E1346" t="s">
        <v>2911</v>
      </c>
      <c r="F1346" s="451">
        <v>46162</v>
      </c>
      <c r="G1346">
        <v>19507</v>
      </c>
      <c r="H1346" t="s">
        <v>4853</v>
      </c>
      <c r="I1346" t="s">
        <v>5191</v>
      </c>
      <c r="J1346">
        <v>1.2</v>
      </c>
      <c r="K1346" t="s">
        <v>4744</v>
      </c>
      <c r="L1346">
        <v>19.489999999999998</v>
      </c>
      <c r="M1346">
        <v>16.241667</v>
      </c>
      <c r="N1346" t="s">
        <v>5272</v>
      </c>
      <c r="O1346" t="s">
        <v>463</v>
      </c>
    </row>
    <row r="1347" spans="1:15" x14ac:dyDescent="0.3">
      <c r="A1347">
        <v>233736</v>
      </c>
      <c r="B1347">
        <v>105</v>
      </c>
      <c r="C1347" t="s">
        <v>557</v>
      </c>
      <c r="D1347" t="s">
        <v>2563</v>
      </c>
      <c r="E1347" t="s">
        <v>2911</v>
      </c>
      <c r="F1347" s="451">
        <v>46162</v>
      </c>
      <c r="G1347">
        <v>24037</v>
      </c>
      <c r="H1347" t="s">
        <v>5233</v>
      </c>
      <c r="I1347" t="s">
        <v>5191</v>
      </c>
      <c r="J1347">
        <v>2</v>
      </c>
      <c r="K1347" t="s">
        <v>4744</v>
      </c>
      <c r="L1347">
        <v>35.08</v>
      </c>
      <c r="M1347">
        <v>17.54</v>
      </c>
      <c r="N1347" t="s">
        <v>5272</v>
      </c>
      <c r="O1347" t="s">
        <v>463</v>
      </c>
    </row>
    <row r="1348" spans="1:15" x14ac:dyDescent="0.3">
      <c r="A1348">
        <v>233736</v>
      </c>
      <c r="B1348">
        <v>105</v>
      </c>
      <c r="C1348" t="s">
        <v>557</v>
      </c>
      <c r="D1348" t="s">
        <v>2563</v>
      </c>
      <c r="E1348" t="s">
        <v>2911</v>
      </c>
      <c r="F1348" s="451">
        <v>46162</v>
      </c>
      <c r="G1348">
        <v>23389</v>
      </c>
      <c r="H1348" t="s">
        <v>4960</v>
      </c>
      <c r="I1348" t="s">
        <v>5191</v>
      </c>
      <c r="J1348">
        <v>2.5</v>
      </c>
      <c r="K1348" t="s">
        <v>4744</v>
      </c>
      <c r="L1348">
        <v>12.07</v>
      </c>
      <c r="M1348">
        <v>4.8280000000000003</v>
      </c>
      <c r="N1348" t="s">
        <v>5272</v>
      </c>
      <c r="O1348" t="s">
        <v>463</v>
      </c>
    </row>
    <row r="1349" spans="1:15" x14ac:dyDescent="0.3">
      <c r="A1349">
        <v>233735</v>
      </c>
      <c r="B1349">
        <v>105</v>
      </c>
      <c r="C1349" t="s">
        <v>557</v>
      </c>
      <c r="D1349" t="s">
        <v>2690</v>
      </c>
      <c r="E1349" t="s">
        <v>2912</v>
      </c>
      <c r="F1349" s="451">
        <v>46162</v>
      </c>
      <c r="G1349">
        <v>18273</v>
      </c>
      <c r="H1349" t="s">
        <v>5058</v>
      </c>
      <c r="I1349" t="s">
        <v>5222</v>
      </c>
      <c r="J1349">
        <v>1</v>
      </c>
      <c r="K1349" t="s">
        <v>4805</v>
      </c>
      <c r="L1349">
        <v>37.21</v>
      </c>
      <c r="M1349">
        <v>37.21</v>
      </c>
      <c r="N1349" t="s">
        <v>5222</v>
      </c>
      <c r="O1349" t="s">
        <v>463</v>
      </c>
    </row>
    <row r="1350" spans="1:15" x14ac:dyDescent="0.3">
      <c r="A1350">
        <v>233735</v>
      </c>
      <c r="B1350">
        <v>105</v>
      </c>
      <c r="C1350" t="s">
        <v>557</v>
      </c>
      <c r="D1350" t="s">
        <v>2690</v>
      </c>
      <c r="E1350" t="s">
        <v>2912</v>
      </c>
      <c r="F1350" s="451">
        <v>46162</v>
      </c>
      <c r="G1350">
        <v>18518</v>
      </c>
      <c r="H1350" t="s">
        <v>4838</v>
      </c>
      <c r="I1350" t="s">
        <v>5222</v>
      </c>
      <c r="J1350">
        <v>5</v>
      </c>
      <c r="K1350" t="s">
        <v>4805</v>
      </c>
      <c r="L1350">
        <v>200</v>
      </c>
      <c r="M1350">
        <v>40</v>
      </c>
      <c r="N1350" t="s">
        <v>5222</v>
      </c>
      <c r="O1350" t="s">
        <v>463</v>
      </c>
    </row>
    <row r="1351" spans="1:15" x14ac:dyDescent="0.3">
      <c r="A1351">
        <v>233735</v>
      </c>
      <c r="B1351">
        <v>105</v>
      </c>
      <c r="C1351" t="s">
        <v>557</v>
      </c>
      <c r="D1351" t="s">
        <v>2690</v>
      </c>
      <c r="E1351" t="s">
        <v>2912</v>
      </c>
      <c r="F1351" s="451">
        <v>46162</v>
      </c>
      <c r="G1351">
        <v>18538</v>
      </c>
      <c r="H1351" t="s">
        <v>5030</v>
      </c>
      <c r="I1351" t="s">
        <v>5222</v>
      </c>
      <c r="J1351">
        <v>1</v>
      </c>
      <c r="K1351" t="s">
        <v>4805</v>
      </c>
      <c r="L1351">
        <v>101.84</v>
      </c>
      <c r="M1351">
        <v>101.84</v>
      </c>
      <c r="N1351" t="s">
        <v>5222</v>
      </c>
      <c r="O1351" t="s">
        <v>463</v>
      </c>
    </row>
    <row r="1352" spans="1:15" x14ac:dyDescent="0.3">
      <c r="A1352">
        <v>233734</v>
      </c>
      <c r="B1352">
        <v>105</v>
      </c>
      <c r="C1352" t="s">
        <v>557</v>
      </c>
      <c r="D1352" t="s">
        <v>2569</v>
      </c>
      <c r="E1352" t="s">
        <v>2913</v>
      </c>
      <c r="F1352" s="451">
        <v>46160</v>
      </c>
      <c r="G1352">
        <v>17950</v>
      </c>
      <c r="H1352" t="s">
        <v>5091</v>
      </c>
      <c r="I1352" t="s">
        <v>5222</v>
      </c>
      <c r="J1352">
        <v>10</v>
      </c>
      <c r="K1352" t="s">
        <v>4738</v>
      </c>
      <c r="L1352">
        <v>187</v>
      </c>
      <c r="M1352">
        <v>18.7</v>
      </c>
      <c r="N1352" t="s">
        <v>5222</v>
      </c>
      <c r="O1352" t="s">
        <v>463</v>
      </c>
    </row>
    <row r="1353" spans="1:15" x14ac:dyDescent="0.3">
      <c r="A1353">
        <v>233734</v>
      </c>
      <c r="B1353">
        <v>105</v>
      </c>
      <c r="C1353" t="s">
        <v>557</v>
      </c>
      <c r="D1353" t="s">
        <v>2569</v>
      </c>
      <c r="E1353" t="s">
        <v>2913</v>
      </c>
      <c r="F1353" s="451">
        <v>46160</v>
      </c>
      <c r="G1353">
        <v>17958</v>
      </c>
      <c r="H1353" t="s">
        <v>5076</v>
      </c>
      <c r="I1353" t="s">
        <v>5222</v>
      </c>
      <c r="J1353">
        <v>5</v>
      </c>
      <c r="K1353" t="s">
        <v>5227</v>
      </c>
      <c r="L1353">
        <v>88.5</v>
      </c>
      <c r="M1353">
        <v>17.7</v>
      </c>
      <c r="N1353" t="s">
        <v>5222</v>
      </c>
      <c r="O1353" t="s">
        <v>463</v>
      </c>
    </row>
    <row r="1354" spans="1:15" x14ac:dyDescent="0.3">
      <c r="A1354">
        <v>233733</v>
      </c>
      <c r="B1354">
        <v>105</v>
      </c>
      <c r="C1354" t="s">
        <v>557</v>
      </c>
      <c r="D1354" t="s">
        <v>2579</v>
      </c>
      <c r="E1354" t="s">
        <v>2914</v>
      </c>
      <c r="F1354" s="451">
        <v>46162</v>
      </c>
      <c r="G1354">
        <v>23238</v>
      </c>
      <c r="H1354" t="s">
        <v>4934</v>
      </c>
      <c r="I1354" t="s">
        <v>5191</v>
      </c>
      <c r="J1354">
        <v>1.3</v>
      </c>
      <c r="K1354" t="s">
        <v>4744</v>
      </c>
      <c r="L1354">
        <v>33.799999999999997</v>
      </c>
      <c r="M1354">
        <v>26</v>
      </c>
      <c r="N1354" t="s">
        <v>5272</v>
      </c>
      <c r="O1354" t="s">
        <v>463</v>
      </c>
    </row>
    <row r="1355" spans="1:15" x14ac:dyDescent="0.3">
      <c r="A1355">
        <v>233733</v>
      </c>
      <c r="B1355">
        <v>105</v>
      </c>
      <c r="C1355" t="s">
        <v>557</v>
      </c>
      <c r="D1355" t="s">
        <v>2579</v>
      </c>
      <c r="E1355" t="s">
        <v>2914</v>
      </c>
      <c r="F1355" s="451">
        <v>46162</v>
      </c>
      <c r="G1355">
        <v>19562</v>
      </c>
      <c r="H1355" t="s">
        <v>4939</v>
      </c>
      <c r="I1355" t="s">
        <v>5191</v>
      </c>
      <c r="J1355">
        <v>0.7</v>
      </c>
      <c r="K1355" t="s">
        <v>4744</v>
      </c>
      <c r="L1355">
        <v>11.83</v>
      </c>
      <c r="M1355">
        <v>16.899999999999999</v>
      </c>
      <c r="N1355" t="s">
        <v>5272</v>
      </c>
      <c r="O1355" t="s">
        <v>463</v>
      </c>
    </row>
    <row r="1356" spans="1:15" x14ac:dyDescent="0.3">
      <c r="A1356">
        <v>233733</v>
      </c>
      <c r="B1356">
        <v>105</v>
      </c>
      <c r="C1356" t="s">
        <v>557</v>
      </c>
      <c r="D1356" t="s">
        <v>2579</v>
      </c>
      <c r="E1356" t="s">
        <v>2914</v>
      </c>
      <c r="F1356" s="451">
        <v>46162</v>
      </c>
      <c r="G1356">
        <v>19634</v>
      </c>
      <c r="H1356" t="s">
        <v>4792</v>
      </c>
      <c r="I1356" t="s">
        <v>5191</v>
      </c>
      <c r="J1356">
        <v>3.2</v>
      </c>
      <c r="K1356" t="s">
        <v>4744</v>
      </c>
      <c r="L1356">
        <v>24.96</v>
      </c>
      <c r="M1356">
        <v>7.8</v>
      </c>
      <c r="N1356" t="s">
        <v>5272</v>
      </c>
      <c r="O1356" t="s">
        <v>463</v>
      </c>
    </row>
    <row r="1357" spans="1:15" x14ac:dyDescent="0.3">
      <c r="A1357">
        <v>233733</v>
      </c>
      <c r="B1357">
        <v>105</v>
      </c>
      <c r="C1357" t="s">
        <v>557</v>
      </c>
      <c r="D1357" t="s">
        <v>2579</v>
      </c>
      <c r="E1357" t="s">
        <v>2914</v>
      </c>
      <c r="F1357" s="451">
        <v>46162</v>
      </c>
      <c r="G1357">
        <v>23198</v>
      </c>
      <c r="H1357" t="s">
        <v>4962</v>
      </c>
      <c r="I1357" t="s">
        <v>5191</v>
      </c>
      <c r="J1357">
        <v>0.7</v>
      </c>
      <c r="K1357" t="s">
        <v>4744</v>
      </c>
      <c r="L1357">
        <v>11.83</v>
      </c>
      <c r="M1357">
        <v>16.899999999999999</v>
      </c>
      <c r="N1357" t="s">
        <v>5272</v>
      </c>
      <c r="O1357" t="s">
        <v>463</v>
      </c>
    </row>
    <row r="1358" spans="1:15" x14ac:dyDescent="0.3">
      <c r="A1358">
        <v>233733</v>
      </c>
      <c r="B1358">
        <v>105</v>
      </c>
      <c r="C1358" t="s">
        <v>557</v>
      </c>
      <c r="D1358" t="s">
        <v>2579</v>
      </c>
      <c r="E1358" t="s">
        <v>2914</v>
      </c>
      <c r="F1358" s="451">
        <v>46162</v>
      </c>
      <c r="G1358">
        <v>23096</v>
      </c>
      <c r="H1358" t="s">
        <v>5164</v>
      </c>
      <c r="I1358" t="s">
        <v>5191</v>
      </c>
      <c r="J1358">
        <v>90</v>
      </c>
      <c r="K1358" t="s">
        <v>4736</v>
      </c>
      <c r="L1358">
        <v>55.8</v>
      </c>
      <c r="M1358">
        <v>0.62</v>
      </c>
      <c r="N1358" t="s">
        <v>5272</v>
      </c>
      <c r="O1358" t="s">
        <v>463</v>
      </c>
    </row>
    <row r="1359" spans="1:15" x14ac:dyDescent="0.3">
      <c r="A1359">
        <v>233732</v>
      </c>
      <c r="B1359">
        <v>105</v>
      </c>
      <c r="C1359" t="s">
        <v>557</v>
      </c>
      <c r="D1359" t="s">
        <v>2581</v>
      </c>
      <c r="E1359" t="s">
        <v>2915</v>
      </c>
      <c r="F1359" s="451">
        <v>46162</v>
      </c>
      <c r="G1359">
        <v>24099</v>
      </c>
      <c r="H1359" t="s">
        <v>4933</v>
      </c>
      <c r="I1359" t="s">
        <v>5191</v>
      </c>
      <c r="J1359">
        <v>2</v>
      </c>
      <c r="K1359" t="s">
        <v>4744</v>
      </c>
      <c r="L1359">
        <v>38</v>
      </c>
      <c r="M1359">
        <v>19</v>
      </c>
      <c r="N1359" t="s">
        <v>5272</v>
      </c>
      <c r="O1359" t="s">
        <v>463</v>
      </c>
    </row>
    <row r="1360" spans="1:15" x14ac:dyDescent="0.3">
      <c r="A1360">
        <v>233732</v>
      </c>
      <c r="B1360">
        <v>105</v>
      </c>
      <c r="C1360" t="s">
        <v>557</v>
      </c>
      <c r="D1360" t="s">
        <v>2581</v>
      </c>
      <c r="E1360" t="s">
        <v>2915</v>
      </c>
      <c r="F1360" s="451">
        <v>46162</v>
      </c>
      <c r="G1360">
        <v>19472</v>
      </c>
      <c r="H1360" t="s">
        <v>4906</v>
      </c>
      <c r="I1360" t="s">
        <v>5191</v>
      </c>
      <c r="J1360">
        <v>1.5</v>
      </c>
      <c r="K1360" t="s">
        <v>4744</v>
      </c>
      <c r="L1360">
        <v>30</v>
      </c>
      <c r="M1360">
        <v>20</v>
      </c>
      <c r="N1360" t="s">
        <v>5272</v>
      </c>
      <c r="O1360" t="s">
        <v>463</v>
      </c>
    </row>
    <row r="1361" spans="1:15" x14ac:dyDescent="0.3">
      <c r="A1361">
        <v>233732</v>
      </c>
      <c r="B1361">
        <v>105</v>
      </c>
      <c r="C1361" t="s">
        <v>557</v>
      </c>
      <c r="D1361" t="s">
        <v>2581</v>
      </c>
      <c r="E1361" t="s">
        <v>2915</v>
      </c>
      <c r="F1361" s="451">
        <v>46162</v>
      </c>
      <c r="G1361">
        <v>23113</v>
      </c>
      <c r="H1361" t="s">
        <v>5074</v>
      </c>
      <c r="I1361" t="s">
        <v>5191</v>
      </c>
      <c r="J1361">
        <v>1.5</v>
      </c>
      <c r="K1361" t="s">
        <v>4744</v>
      </c>
      <c r="L1361">
        <v>21</v>
      </c>
      <c r="M1361">
        <v>14</v>
      </c>
      <c r="N1361" t="s">
        <v>5272</v>
      </c>
      <c r="O1361" t="s">
        <v>463</v>
      </c>
    </row>
    <row r="1362" spans="1:15" x14ac:dyDescent="0.3">
      <c r="A1362">
        <v>233732</v>
      </c>
      <c r="B1362">
        <v>105</v>
      </c>
      <c r="C1362" t="s">
        <v>557</v>
      </c>
      <c r="D1362" t="s">
        <v>2581</v>
      </c>
      <c r="E1362" t="s">
        <v>2915</v>
      </c>
      <c r="F1362" s="451">
        <v>46162</v>
      </c>
      <c r="G1362">
        <v>19480</v>
      </c>
      <c r="H1362" t="s">
        <v>5119</v>
      </c>
      <c r="I1362" t="s">
        <v>5191</v>
      </c>
      <c r="J1362">
        <v>0.4</v>
      </c>
      <c r="K1362" t="s">
        <v>4744</v>
      </c>
      <c r="L1362">
        <v>6.8</v>
      </c>
      <c r="M1362">
        <v>17</v>
      </c>
      <c r="N1362" t="s">
        <v>5272</v>
      </c>
      <c r="O1362" t="s">
        <v>463</v>
      </c>
    </row>
    <row r="1363" spans="1:15" x14ac:dyDescent="0.3">
      <c r="A1363">
        <v>233732</v>
      </c>
      <c r="B1363">
        <v>105</v>
      </c>
      <c r="C1363" t="s">
        <v>557</v>
      </c>
      <c r="D1363" t="s">
        <v>2581</v>
      </c>
      <c r="E1363" t="s">
        <v>2915</v>
      </c>
      <c r="F1363" s="451">
        <v>46162</v>
      </c>
      <c r="G1363">
        <v>19505</v>
      </c>
      <c r="H1363" t="s">
        <v>4872</v>
      </c>
      <c r="I1363" t="s">
        <v>5191</v>
      </c>
      <c r="J1363">
        <v>3.5</v>
      </c>
      <c r="K1363" t="s">
        <v>4744</v>
      </c>
      <c r="L1363">
        <v>35</v>
      </c>
      <c r="M1363">
        <v>10</v>
      </c>
      <c r="N1363" t="s">
        <v>5272</v>
      </c>
      <c r="O1363" t="s">
        <v>463</v>
      </c>
    </row>
    <row r="1364" spans="1:15" x14ac:dyDescent="0.3">
      <c r="A1364">
        <v>233732</v>
      </c>
      <c r="B1364">
        <v>105</v>
      </c>
      <c r="C1364" t="s">
        <v>557</v>
      </c>
      <c r="D1364" t="s">
        <v>2581</v>
      </c>
      <c r="E1364" t="s">
        <v>2915</v>
      </c>
      <c r="F1364" s="451">
        <v>46162</v>
      </c>
      <c r="G1364">
        <v>19617</v>
      </c>
      <c r="H1364" t="s">
        <v>5071</v>
      </c>
      <c r="I1364" t="s">
        <v>5191</v>
      </c>
      <c r="J1364">
        <v>0.5</v>
      </c>
      <c r="K1364" t="s">
        <v>4744</v>
      </c>
      <c r="L1364">
        <v>17.5</v>
      </c>
      <c r="M1364">
        <v>35</v>
      </c>
      <c r="N1364" t="s">
        <v>5272</v>
      </c>
      <c r="O1364" t="s">
        <v>463</v>
      </c>
    </row>
    <row r="1365" spans="1:15" x14ac:dyDescent="0.3">
      <c r="A1365">
        <v>233732</v>
      </c>
      <c r="B1365">
        <v>105</v>
      </c>
      <c r="C1365" t="s">
        <v>557</v>
      </c>
      <c r="D1365" t="s">
        <v>2581</v>
      </c>
      <c r="E1365" t="s">
        <v>2915</v>
      </c>
      <c r="F1365" s="451">
        <v>46162</v>
      </c>
      <c r="G1365">
        <v>23359</v>
      </c>
      <c r="H1365" t="s">
        <v>4767</v>
      </c>
      <c r="I1365" t="s">
        <v>5191</v>
      </c>
      <c r="J1365">
        <v>10</v>
      </c>
      <c r="K1365" t="s">
        <v>4744</v>
      </c>
      <c r="L1365">
        <v>22</v>
      </c>
      <c r="M1365">
        <v>2.2000000000000002</v>
      </c>
      <c r="N1365" t="s">
        <v>5272</v>
      </c>
      <c r="O1365" t="s">
        <v>463</v>
      </c>
    </row>
    <row r="1366" spans="1:15" x14ac:dyDescent="0.3">
      <c r="A1366">
        <v>233732</v>
      </c>
      <c r="B1366">
        <v>105</v>
      </c>
      <c r="C1366" t="s">
        <v>557</v>
      </c>
      <c r="D1366" t="s">
        <v>2581</v>
      </c>
      <c r="E1366" t="s">
        <v>2915</v>
      </c>
      <c r="F1366" s="451">
        <v>46162</v>
      </c>
      <c r="G1366">
        <v>19492</v>
      </c>
      <c r="H1366" t="s">
        <v>4937</v>
      </c>
      <c r="I1366" t="s">
        <v>5191</v>
      </c>
      <c r="J1366">
        <v>2</v>
      </c>
      <c r="K1366" t="s">
        <v>4744</v>
      </c>
      <c r="L1366">
        <v>48</v>
      </c>
      <c r="M1366">
        <v>24</v>
      </c>
      <c r="N1366" t="s">
        <v>5272</v>
      </c>
      <c r="O1366" t="s">
        <v>463</v>
      </c>
    </row>
    <row r="1367" spans="1:15" x14ac:dyDescent="0.3">
      <c r="A1367">
        <v>233732</v>
      </c>
      <c r="B1367">
        <v>105</v>
      </c>
      <c r="C1367" t="s">
        <v>557</v>
      </c>
      <c r="D1367" t="s">
        <v>2581</v>
      </c>
      <c r="E1367" t="s">
        <v>2915</v>
      </c>
      <c r="F1367" s="451">
        <v>46162</v>
      </c>
      <c r="G1367">
        <v>19621</v>
      </c>
      <c r="H1367" t="s">
        <v>4829</v>
      </c>
      <c r="I1367" t="s">
        <v>5191</v>
      </c>
      <c r="J1367">
        <v>3</v>
      </c>
      <c r="K1367" t="s">
        <v>4744</v>
      </c>
      <c r="L1367">
        <v>24</v>
      </c>
      <c r="M1367">
        <v>8</v>
      </c>
      <c r="N1367" t="s">
        <v>5272</v>
      </c>
      <c r="O1367" t="s">
        <v>463</v>
      </c>
    </row>
    <row r="1368" spans="1:15" x14ac:dyDescent="0.3">
      <c r="A1368">
        <v>233731</v>
      </c>
      <c r="B1368">
        <v>105</v>
      </c>
      <c r="C1368" t="s">
        <v>557</v>
      </c>
      <c r="D1368" t="s">
        <v>2590</v>
      </c>
      <c r="E1368" t="s">
        <v>2916</v>
      </c>
      <c r="F1368" s="451">
        <v>46157</v>
      </c>
      <c r="G1368">
        <v>17905</v>
      </c>
      <c r="H1368" t="s">
        <v>5085</v>
      </c>
      <c r="I1368" t="s">
        <v>5222</v>
      </c>
      <c r="J1368">
        <v>10</v>
      </c>
      <c r="K1368" t="s">
        <v>4738</v>
      </c>
      <c r="L1368">
        <v>255.3</v>
      </c>
      <c r="M1368">
        <v>25.53</v>
      </c>
      <c r="N1368" t="s">
        <v>5222</v>
      </c>
      <c r="O1368" t="s">
        <v>463</v>
      </c>
    </row>
    <row r="1369" spans="1:15" x14ac:dyDescent="0.3">
      <c r="A1369">
        <v>233731</v>
      </c>
      <c r="B1369">
        <v>105</v>
      </c>
      <c r="C1369" t="s">
        <v>557</v>
      </c>
      <c r="D1369" t="s">
        <v>2590</v>
      </c>
      <c r="E1369" t="s">
        <v>2916</v>
      </c>
      <c r="F1369" s="451">
        <v>46157</v>
      </c>
      <c r="G1369">
        <v>18586</v>
      </c>
      <c r="H1369" t="s">
        <v>4966</v>
      </c>
      <c r="I1369" t="s">
        <v>5222</v>
      </c>
      <c r="J1369">
        <v>1</v>
      </c>
      <c r="K1369" t="s">
        <v>4738</v>
      </c>
      <c r="L1369">
        <v>132.07</v>
      </c>
      <c r="M1369">
        <v>132.07</v>
      </c>
      <c r="N1369" t="s">
        <v>5222</v>
      </c>
      <c r="O1369" t="s">
        <v>463</v>
      </c>
    </row>
    <row r="1370" spans="1:15" x14ac:dyDescent="0.3">
      <c r="A1370">
        <v>233730</v>
      </c>
      <c r="B1370">
        <v>105</v>
      </c>
      <c r="C1370" t="s">
        <v>557</v>
      </c>
      <c r="D1370" t="s">
        <v>2828</v>
      </c>
      <c r="E1370" t="s">
        <v>2917</v>
      </c>
      <c r="F1370" s="451">
        <v>46160</v>
      </c>
      <c r="G1370">
        <v>24083</v>
      </c>
      <c r="H1370" t="s">
        <v>5165</v>
      </c>
      <c r="I1370" t="s">
        <v>5191</v>
      </c>
      <c r="J1370">
        <v>20</v>
      </c>
      <c r="K1370" t="s">
        <v>4744</v>
      </c>
      <c r="L1370">
        <v>164</v>
      </c>
      <c r="M1370">
        <v>8.1999999999999993</v>
      </c>
      <c r="N1370" t="s">
        <v>5272</v>
      </c>
      <c r="O1370" t="s">
        <v>463</v>
      </c>
    </row>
    <row r="1371" spans="1:15" x14ac:dyDescent="0.3">
      <c r="A1371">
        <v>233729</v>
      </c>
      <c r="B1371">
        <v>105</v>
      </c>
      <c r="C1371" t="s">
        <v>557</v>
      </c>
      <c r="D1371" t="s">
        <v>2729</v>
      </c>
      <c r="E1371" t="s">
        <v>2918</v>
      </c>
      <c r="F1371" s="451">
        <v>46160</v>
      </c>
      <c r="G1371">
        <v>19356</v>
      </c>
      <c r="H1371" t="s">
        <v>4799</v>
      </c>
      <c r="I1371" t="s">
        <v>5191</v>
      </c>
      <c r="J1371">
        <v>2</v>
      </c>
      <c r="K1371" t="s">
        <v>4744</v>
      </c>
      <c r="L1371">
        <v>644.86</v>
      </c>
      <c r="M1371">
        <v>322.43</v>
      </c>
      <c r="N1371" t="s">
        <v>5272</v>
      </c>
      <c r="O1371" t="s">
        <v>463</v>
      </c>
    </row>
    <row r="1372" spans="1:15" x14ac:dyDescent="0.3">
      <c r="A1372">
        <v>233728</v>
      </c>
      <c r="B1372">
        <v>105</v>
      </c>
      <c r="C1372" t="s">
        <v>557</v>
      </c>
      <c r="D1372" t="s">
        <v>2563</v>
      </c>
      <c r="E1372" t="s">
        <v>2919</v>
      </c>
      <c r="F1372" s="451">
        <v>46160</v>
      </c>
      <c r="G1372">
        <v>19634</v>
      </c>
      <c r="H1372" t="s">
        <v>4792</v>
      </c>
      <c r="I1372" t="s">
        <v>5191</v>
      </c>
      <c r="J1372">
        <v>3.65</v>
      </c>
      <c r="K1372" t="s">
        <v>4744</v>
      </c>
      <c r="L1372">
        <v>27.78</v>
      </c>
      <c r="M1372">
        <v>7.6109590000000003</v>
      </c>
      <c r="N1372" t="s">
        <v>5191</v>
      </c>
      <c r="O1372" t="s">
        <v>463</v>
      </c>
    </row>
    <row r="1373" spans="1:15" x14ac:dyDescent="0.3">
      <c r="A1373">
        <v>233728</v>
      </c>
      <c r="B1373">
        <v>105</v>
      </c>
      <c r="C1373" t="s">
        <v>557</v>
      </c>
      <c r="D1373" t="s">
        <v>2563</v>
      </c>
      <c r="E1373" t="s">
        <v>2919</v>
      </c>
      <c r="F1373" s="451">
        <v>46160</v>
      </c>
      <c r="G1373">
        <v>23228</v>
      </c>
      <c r="H1373" t="s">
        <v>4782</v>
      </c>
      <c r="I1373" t="s">
        <v>5191</v>
      </c>
      <c r="J1373">
        <v>10</v>
      </c>
      <c r="K1373" t="s">
        <v>4744</v>
      </c>
      <c r="L1373">
        <v>68.2</v>
      </c>
      <c r="M1373">
        <v>6.82</v>
      </c>
      <c r="N1373" t="s">
        <v>5191</v>
      </c>
      <c r="O1373" t="s">
        <v>463</v>
      </c>
    </row>
    <row r="1374" spans="1:15" x14ac:dyDescent="0.3">
      <c r="A1374">
        <v>233728</v>
      </c>
      <c r="B1374">
        <v>105</v>
      </c>
      <c r="C1374" t="s">
        <v>557</v>
      </c>
      <c r="D1374" t="s">
        <v>2563</v>
      </c>
      <c r="E1374" t="s">
        <v>2919</v>
      </c>
      <c r="F1374" s="451">
        <v>46160</v>
      </c>
      <c r="G1374">
        <v>19607</v>
      </c>
      <c r="H1374" t="s">
        <v>4981</v>
      </c>
      <c r="I1374" t="s">
        <v>5191</v>
      </c>
      <c r="J1374">
        <v>0.47</v>
      </c>
      <c r="K1374" t="s">
        <v>4744</v>
      </c>
      <c r="L1374">
        <v>5.42</v>
      </c>
      <c r="M1374">
        <v>11.531915</v>
      </c>
      <c r="N1374" t="s">
        <v>5191</v>
      </c>
      <c r="O1374" t="s">
        <v>463</v>
      </c>
    </row>
    <row r="1375" spans="1:15" x14ac:dyDescent="0.3">
      <c r="A1375">
        <v>233728</v>
      </c>
      <c r="B1375">
        <v>105</v>
      </c>
      <c r="C1375" t="s">
        <v>557</v>
      </c>
      <c r="D1375" t="s">
        <v>2563</v>
      </c>
      <c r="E1375" t="s">
        <v>2919</v>
      </c>
      <c r="F1375" s="451">
        <v>46160</v>
      </c>
      <c r="G1375">
        <v>19623</v>
      </c>
      <c r="H1375" t="s">
        <v>4764</v>
      </c>
      <c r="I1375" t="s">
        <v>5191</v>
      </c>
      <c r="J1375">
        <v>10.1</v>
      </c>
      <c r="K1375" t="s">
        <v>4744</v>
      </c>
      <c r="L1375">
        <v>62.72</v>
      </c>
      <c r="M1375">
        <v>6.2099010000000003</v>
      </c>
      <c r="N1375" t="s">
        <v>5191</v>
      </c>
      <c r="O1375" t="s">
        <v>463</v>
      </c>
    </row>
    <row r="1376" spans="1:15" x14ac:dyDescent="0.3">
      <c r="A1376">
        <v>233728</v>
      </c>
      <c r="B1376">
        <v>105</v>
      </c>
      <c r="C1376" t="s">
        <v>557</v>
      </c>
      <c r="D1376" t="s">
        <v>2563</v>
      </c>
      <c r="E1376" t="s">
        <v>2919</v>
      </c>
      <c r="F1376" s="451">
        <v>46160</v>
      </c>
      <c r="G1376">
        <v>19551</v>
      </c>
      <c r="H1376" t="s">
        <v>4905</v>
      </c>
      <c r="I1376" t="s">
        <v>5191</v>
      </c>
      <c r="J1376">
        <v>2.1</v>
      </c>
      <c r="K1376" t="s">
        <v>4744</v>
      </c>
      <c r="L1376">
        <v>37.299999999999997</v>
      </c>
      <c r="M1376">
        <v>17.761904999999999</v>
      </c>
      <c r="N1376" t="s">
        <v>5191</v>
      </c>
      <c r="O1376" t="s">
        <v>463</v>
      </c>
    </row>
    <row r="1377" spans="1:15" x14ac:dyDescent="0.3">
      <c r="A1377">
        <v>233728</v>
      </c>
      <c r="B1377">
        <v>105</v>
      </c>
      <c r="C1377" t="s">
        <v>557</v>
      </c>
      <c r="D1377" t="s">
        <v>2563</v>
      </c>
      <c r="E1377" t="s">
        <v>2919</v>
      </c>
      <c r="F1377" s="451">
        <v>46160</v>
      </c>
      <c r="G1377">
        <v>23236</v>
      </c>
      <c r="H1377" t="s">
        <v>5062</v>
      </c>
      <c r="I1377" t="s">
        <v>5191</v>
      </c>
      <c r="J1377">
        <v>2.15</v>
      </c>
      <c r="K1377" t="s">
        <v>4744</v>
      </c>
      <c r="L1377">
        <v>27.28</v>
      </c>
      <c r="M1377">
        <v>12.688371999999999</v>
      </c>
      <c r="N1377" t="s">
        <v>5191</v>
      </c>
      <c r="O1377" t="s">
        <v>463</v>
      </c>
    </row>
    <row r="1378" spans="1:15" x14ac:dyDescent="0.3">
      <c r="A1378">
        <v>233728</v>
      </c>
      <c r="B1378">
        <v>105</v>
      </c>
      <c r="C1378" t="s">
        <v>557</v>
      </c>
      <c r="D1378" t="s">
        <v>2563</v>
      </c>
      <c r="E1378" t="s">
        <v>2919</v>
      </c>
      <c r="F1378" s="451">
        <v>46160</v>
      </c>
      <c r="G1378">
        <v>19532</v>
      </c>
      <c r="H1378" t="s">
        <v>4753</v>
      </c>
      <c r="I1378" t="s">
        <v>5191</v>
      </c>
      <c r="J1378">
        <v>20.399999999999999</v>
      </c>
      <c r="K1378" t="s">
        <v>4744</v>
      </c>
      <c r="L1378">
        <v>192.37</v>
      </c>
      <c r="M1378">
        <v>9.4299020000000002</v>
      </c>
      <c r="N1378" t="s">
        <v>5191</v>
      </c>
      <c r="O1378" t="s">
        <v>463</v>
      </c>
    </row>
    <row r="1379" spans="1:15" x14ac:dyDescent="0.3">
      <c r="A1379">
        <v>233727</v>
      </c>
      <c r="B1379">
        <v>105</v>
      </c>
      <c r="C1379" t="s">
        <v>557</v>
      </c>
      <c r="D1379" t="s">
        <v>2552</v>
      </c>
      <c r="E1379" t="s">
        <v>2920</v>
      </c>
      <c r="F1379" s="451">
        <v>46161</v>
      </c>
      <c r="G1379">
        <v>26627</v>
      </c>
      <c r="H1379" t="s">
        <v>5190</v>
      </c>
      <c r="I1379" t="s">
        <v>5191</v>
      </c>
      <c r="J1379">
        <v>25</v>
      </c>
      <c r="K1379" t="s">
        <v>4744</v>
      </c>
      <c r="L1379">
        <v>197.5</v>
      </c>
      <c r="M1379">
        <v>7.9</v>
      </c>
      <c r="N1379" t="s">
        <v>5191</v>
      </c>
      <c r="O1379" t="s">
        <v>463</v>
      </c>
    </row>
    <row r="1380" spans="1:15" x14ac:dyDescent="0.3">
      <c r="A1380">
        <v>233726</v>
      </c>
      <c r="B1380">
        <v>105</v>
      </c>
      <c r="C1380" t="s">
        <v>557</v>
      </c>
      <c r="D1380" t="s">
        <v>2565</v>
      </c>
      <c r="E1380" t="s">
        <v>2921</v>
      </c>
      <c r="F1380" s="451">
        <v>46161</v>
      </c>
      <c r="G1380">
        <v>18111</v>
      </c>
      <c r="H1380" t="s">
        <v>5049</v>
      </c>
      <c r="I1380" t="s">
        <v>5222</v>
      </c>
      <c r="J1380">
        <v>1</v>
      </c>
      <c r="K1380" t="s">
        <v>4805</v>
      </c>
      <c r="L1380">
        <v>84.8</v>
      </c>
      <c r="M1380">
        <v>84.8</v>
      </c>
      <c r="N1380" t="s">
        <v>5271</v>
      </c>
      <c r="O1380" t="s">
        <v>463</v>
      </c>
    </row>
    <row r="1381" spans="1:15" x14ac:dyDescent="0.3">
      <c r="A1381">
        <v>233725</v>
      </c>
      <c r="B1381">
        <v>105</v>
      </c>
      <c r="C1381" t="s">
        <v>557</v>
      </c>
      <c r="D1381" t="s">
        <v>2716</v>
      </c>
      <c r="E1381" t="s">
        <v>2922</v>
      </c>
      <c r="F1381" s="451">
        <v>46156</v>
      </c>
      <c r="G1381">
        <v>24351</v>
      </c>
      <c r="H1381" t="s">
        <v>5014</v>
      </c>
      <c r="I1381" t="s">
        <v>5191</v>
      </c>
      <c r="J1381">
        <v>15</v>
      </c>
      <c r="K1381" t="s">
        <v>4736</v>
      </c>
      <c r="L1381">
        <v>450</v>
      </c>
      <c r="M1381">
        <v>30</v>
      </c>
      <c r="N1381" t="s">
        <v>5272</v>
      </c>
      <c r="O1381" t="s">
        <v>463</v>
      </c>
    </row>
    <row r="1382" spans="1:15" x14ac:dyDescent="0.3">
      <c r="A1382">
        <v>233724</v>
      </c>
      <c r="B1382">
        <v>105</v>
      </c>
      <c r="C1382" t="s">
        <v>557</v>
      </c>
      <c r="D1382" t="s">
        <v>1786</v>
      </c>
      <c r="E1382" t="s">
        <v>2923</v>
      </c>
      <c r="F1382" s="451">
        <v>46160</v>
      </c>
      <c r="G1382">
        <v>19710</v>
      </c>
      <c r="H1382" t="s">
        <v>4963</v>
      </c>
      <c r="I1382" t="s">
        <v>5191</v>
      </c>
      <c r="J1382">
        <v>1</v>
      </c>
      <c r="K1382" t="s">
        <v>5228</v>
      </c>
      <c r="L1382">
        <v>20.65</v>
      </c>
      <c r="M1382">
        <v>20.65</v>
      </c>
      <c r="N1382" t="s">
        <v>5272</v>
      </c>
      <c r="O1382" t="s">
        <v>463</v>
      </c>
    </row>
    <row r="1383" spans="1:15" x14ac:dyDescent="0.3">
      <c r="A1383">
        <v>233724</v>
      </c>
      <c r="B1383">
        <v>105</v>
      </c>
      <c r="C1383" t="s">
        <v>557</v>
      </c>
      <c r="D1383" t="s">
        <v>1786</v>
      </c>
      <c r="E1383" t="s">
        <v>2923</v>
      </c>
      <c r="F1383" s="451">
        <v>46160</v>
      </c>
      <c r="G1383">
        <v>19401</v>
      </c>
      <c r="H1383" t="s">
        <v>4809</v>
      </c>
      <c r="I1383" t="s">
        <v>5191</v>
      </c>
      <c r="J1383">
        <v>1</v>
      </c>
      <c r="K1383" t="s">
        <v>4879</v>
      </c>
      <c r="L1383">
        <v>196.9</v>
      </c>
      <c r="M1383">
        <v>196.9</v>
      </c>
      <c r="N1383" t="s">
        <v>5272</v>
      </c>
      <c r="O1383" t="s">
        <v>463</v>
      </c>
    </row>
    <row r="1384" spans="1:15" x14ac:dyDescent="0.3">
      <c r="A1384">
        <v>233724</v>
      </c>
      <c r="B1384">
        <v>105</v>
      </c>
      <c r="C1384" t="s">
        <v>557</v>
      </c>
      <c r="D1384" t="s">
        <v>1786</v>
      </c>
      <c r="E1384" t="s">
        <v>2923</v>
      </c>
      <c r="F1384" s="451">
        <v>46160</v>
      </c>
      <c r="G1384">
        <v>23785</v>
      </c>
      <c r="H1384" t="s">
        <v>4858</v>
      </c>
      <c r="I1384" t="s">
        <v>5191</v>
      </c>
      <c r="J1384">
        <v>7</v>
      </c>
      <c r="K1384" t="s">
        <v>4744</v>
      </c>
      <c r="L1384">
        <v>223.93</v>
      </c>
      <c r="M1384">
        <v>31.99</v>
      </c>
      <c r="N1384" t="s">
        <v>5272</v>
      </c>
      <c r="O1384" t="s">
        <v>463</v>
      </c>
    </row>
    <row r="1385" spans="1:15" x14ac:dyDescent="0.3">
      <c r="A1385">
        <v>233723</v>
      </c>
      <c r="B1385">
        <v>105</v>
      </c>
      <c r="C1385" t="s">
        <v>557</v>
      </c>
      <c r="D1385" t="s">
        <v>2567</v>
      </c>
      <c r="E1385" t="s">
        <v>2924</v>
      </c>
      <c r="F1385" s="451">
        <v>46160</v>
      </c>
      <c r="G1385">
        <v>28711</v>
      </c>
      <c r="H1385" t="s">
        <v>5224</v>
      </c>
      <c r="I1385" t="s">
        <v>5215</v>
      </c>
      <c r="J1385">
        <v>1</v>
      </c>
      <c r="K1385" t="s">
        <v>4749</v>
      </c>
      <c r="L1385">
        <v>288.83999999999997</v>
      </c>
      <c r="M1385">
        <v>288.83999999999997</v>
      </c>
      <c r="N1385" t="s">
        <v>5205</v>
      </c>
      <c r="O1385" t="s">
        <v>463</v>
      </c>
    </row>
    <row r="1386" spans="1:15" x14ac:dyDescent="0.3">
      <c r="A1386">
        <v>233723</v>
      </c>
      <c r="B1386">
        <v>105</v>
      </c>
      <c r="C1386" t="s">
        <v>557</v>
      </c>
      <c r="D1386" t="s">
        <v>2567</v>
      </c>
      <c r="E1386" t="s">
        <v>2924</v>
      </c>
      <c r="F1386" s="451">
        <v>46160</v>
      </c>
      <c r="G1386">
        <v>28720</v>
      </c>
      <c r="H1386" t="s">
        <v>5226</v>
      </c>
      <c r="I1386" t="s">
        <v>5215</v>
      </c>
      <c r="J1386">
        <v>1</v>
      </c>
      <c r="K1386" t="s">
        <v>4749</v>
      </c>
      <c r="L1386">
        <v>380</v>
      </c>
      <c r="M1386">
        <v>380</v>
      </c>
      <c r="N1386" t="s">
        <v>5205</v>
      </c>
      <c r="O1386" t="s">
        <v>463</v>
      </c>
    </row>
    <row r="1387" spans="1:15" x14ac:dyDescent="0.3">
      <c r="A1387">
        <v>233723</v>
      </c>
      <c r="B1387">
        <v>105</v>
      </c>
      <c r="C1387" t="s">
        <v>557</v>
      </c>
      <c r="D1387" t="s">
        <v>2567</v>
      </c>
      <c r="E1387" t="s">
        <v>2924</v>
      </c>
      <c r="F1387" s="451">
        <v>46160</v>
      </c>
      <c r="G1387">
        <v>28719</v>
      </c>
      <c r="H1387" t="s">
        <v>5225</v>
      </c>
      <c r="I1387" t="s">
        <v>5215</v>
      </c>
      <c r="J1387">
        <v>1</v>
      </c>
      <c r="K1387" t="s">
        <v>4749</v>
      </c>
      <c r="L1387">
        <v>398.18</v>
      </c>
      <c r="M1387">
        <v>398.18</v>
      </c>
      <c r="N1387" t="s">
        <v>5205</v>
      </c>
      <c r="O1387" t="s">
        <v>463</v>
      </c>
    </row>
    <row r="1388" spans="1:15" x14ac:dyDescent="0.3">
      <c r="A1388">
        <v>233723</v>
      </c>
      <c r="B1388">
        <v>105</v>
      </c>
      <c r="C1388" t="s">
        <v>557</v>
      </c>
      <c r="D1388" t="s">
        <v>2567</v>
      </c>
      <c r="E1388" t="s">
        <v>2924</v>
      </c>
      <c r="F1388" s="451">
        <v>46160</v>
      </c>
      <c r="G1388">
        <v>28712</v>
      </c>
      <c r="H1388" t="s">
        <v>5223</v>
      </c>
      <c r="I1388" t="s">
        <v>5215</v>
      </c>
      <c r="J1388">
        <v>1</v>
      </c>
      <c r="K1388" t="s">
        <v>4749</v>
      </c>
      <c r="L1388">
        <v>239.9</v>
      </c>
      <c r="M1388">
        <v>239.9</v>
      </c>
      <c r="N1388" t="s">
        <v>5205</v>
      </c>
      <c r="O1388" t="s">
        <v>463</v>
      </c>
    </row>
    <row r="1389" spans="1:15" x14ac:dyDescent="0.3">
      <c r="A1389">
        <v>233722</v>
      </c>
      <c r="B1389">
        <v>105</v>
      </c>
      <c r="C1389" t="s">
        <v>557</v>
      </c>
      <c r="D1389" t="s">
        <v>2605</v>
      </c>
      <c r="E1389" t="s">
        <v>2925</v>
      </c>
      <c r="F1389" s="451">
        <v>46161</v>
      </c>
      <c r="G1389">
        <v>18462</v>
      </c>
      <c r="H1389" t="s">
        <v>5031</v>
      </c>
      <c r="I1389" t="s">
        <v>5222</v>
      </c>
      <c r="J1389">
        <v>1</v>
      </c>
      <c r="K1389" t="s">
        <v>4805</v>
      </c>
      <c r="L1389">
        <v>51.1</v>
      </c>
      <c r="M1389">
        <v>51.1</v>
      </c>
      <c r="N1389" t="s">
        <v>5222</v>
      </c>
      <c r="O1389" t="s">
        <v>463</v>
      </c>
    </row>
    <row r="1390" spans="1:15" x14ac:dyDescent="0.3">
      <c r="A1390">
        <v>233722</v>
      </c>
      <c r="B1390">
        <v>105</v>
      </c>
      <c r="C1390" t="s">
        <v>557</v>
      </c>
      <c r="D1390" t="s">
        <v>2605</v>
      </c>
      <c r="E1390" t="s">
        <v>2925</v>
      </c>
      <c r="F1390" s="451">
        <v>46161</v>
      </c>
      <c r="G1390">
        <v>18232</v>
      </c>
      <c r="H1390" t="s">
        <v>4971</v>
      </c>
      <c r="I1390" t="s">
        <v>5222</v>
      </c>
      <c r="J1390">
        <v>1</v>
      </c>
      <c r="K1390" t="s">
        <v>4805</v>
      </c>
      <c r="L1390">
        <v>101.9</v>
      </c>
      <c r="M1390">
        <v>101.9</v>
      </c>
      <c r="N1390" t="s">
        <v>5222</v>
      </c>
      <c r="O1390" t="s">
        <v>463</v>
      </c>
    </row>
    <row r="1391" spans="1:15" x14ac:dyDescent="0.3">
      <c r="A1391">
        <v>233722</v>
      </c>
      <c r="B1391">
        <v>105</v>
      </c>
      <c r="C1391" t="s">
        <v>557</v>
      </c>
      <c r="D1391" t="s">
        <v>2605</v>
      </c>
      <c r="E1391" t="s">
        <v>2925</v>
      </c>
      <c r="F1391" s="451">
        <v>46161</v>
      </c>
      <c r="G1391">
        <v>18423</v>
      </c>
      <c r="H1391" t="s">
        <v>4987</v>
      </c>
      <c r="I1391" t="s">
        <v>5222</v>
      </c>
      <c r="J1391">
        <v>1</v>
      </c>
      <c r="K1391" t="s">
        <v>4805</v>
      </c>
      <c r="L1391">
        <v>41</v>
      </c>
      <c r="M1391">
        <v>41</v>
      </c>
      <c r="N1391" t="s">
        <v>5222</v>
      </c>
      <c r="O1391" t="s">
        <v>463</v>
      </c>
    </row>
    <row r="1392" spans="1:15" x14ac:dyDescent="0.3">
      <c r="A1392">
        <v>233721</v>
      </c>
      <c r="B1392">
        <v>105</v>
      </c>
      <c r="C1392" t="s">
        <v>557</v>
      </c>
      <c r="D1392" t="s">
        <v>2548</v>
      </c>
      <c r="E1392" t="s">
        <v>2926</v>
      </c>
      <c r="F1392" s="451">
        <v>46160</v>
      </c>
      <c r="G1392">
        <v>20105</v>
      </c>
      <c r="H1392" t="s">
        <v>4831</v>
      </c>
      <c r="I1392" t="s">
        <v>5191</v>
      </c>
      <c r="J1392">
        <v>5</v>
      </c>
      <c r="K1392" t="s">
        <v>4744</v>
      </c>
      <c r="L1392">
        <v>130</v>
      </c>
      <c r="M1392">
        <v>26</v>
      </c>
      <c r="N1392" t="s">
        <v>5191</v>
      </c>
      <c r="O1392" t="s">
        <v>463</v>
      </c>
    </row>
    <row r="1393" spans="1:15" x14ac:dyDescent="0.3">
      <c r="A1393">
        <v>233721</v>
      </c>
      <c r="B1393">
        <v>105</v>
      </c>
      <c r="C1393" t="s">
        <v>557</v>
      </c>
      <c r="D1393" t="s">
        <v>2548</v>
      </c>
      <c r="E1393" t="s">
        <v>2926</v>
      </c>
      <c r="F1393" s="451">
        <v>46160</v>
      </c>
      <c r="G1393">
        <v>21147</v>
      </c>
      <c r="H1393" t="s">
        <v>4876</v>
      </c>
      <c r="I1393" t="s">
        <v>5191</v>
      </c>
      <c r="J1393">
        <v>5</v>
      </c>
      <c r="K1393" t="s">
        <v>4736</v>
      </c>
      <c r="L1393">
        <v>99.5</v>
      </c>
      <c r="M1393">
        <v>19.899999999999999</v>
      </c>
      <c r="N1393" t="s">
        <v>5191</v>
      </c>
      <c r="O1393" t="s">
        <v>463</v>
      </c>
    </row>
    <row r="1394" spans="1:15" x14ac:dyDescent="0.3">
      <c r="A1394">
        <v>233721</v>
      </c>
      <c r="B1394">
        <v>105</v>
      </c>
      <c r="C1394" t="s">
        <v>557</v>
      </c>
      <c r="D1394" t="s">
        <v>2548</v>
      </c>
      <c r="E1394" t="s">
        <v>2926</v>
      </c>
      <c r="F1394" s="451">
        <v>46160</v>
      </c>
      <c r="G1394">
        <v>20624</v>
      </c>
      <c r="H1394" t="s">
        <v>5019</v>
      </c>
      <c r="I1394" t="s">
        <v>5191</v>
      </c>
      <c r="J1394">
        <v>1</v>
      </c>
      <c r="K1394" t="s">
        <v>4736</v>
      </c>
      <c r="L1394">
        <v>70.900000000000006</v>
      </c>
      <c r="M1394">
        <v>70.900000000000006</v>
      </c>
      <c r="N1394" t="s">
        <v>5191</v>
      </c>
      <c r="O1394" t="s">
        <v>463</v>
      </c>
    </row>
    <row r="1395" spans="1:15" x14ac:dyDescent="0.3">
      <c r="A1395">
        <v>233720</v>
      </c>
      <c r="B1395">
        <v>105</v>
      </c>
      <c r="C1395" t="s">
        <v>557</v>
      </c>
      <c r="D1395" t="s">
        <v>2548</v>
      </c>
      <c r="E1395" t="s">
        <v>2927</v>
      </c>
      <c r="F1395" s="451">
        <v>46160</v>
      </c>
      <c r="G1395">
        <v>21423</v>
      </c>
      <c r="H1395" t="s">
        <v>5248</v>
      </c>
      <c r="I1395" t="s">
        <v>5188</v>
      </c>
      <c r="J1395">
        <v>3</v>
      </c>
      <c r="K1395" t="s">
        <v>5245</v>
      </c>
      <c r="L1395">
        <v>99.3</v>
      </c>
      <c r="M1395">
        <v>33.1</v>
      </c>
      <c r="N1395" t="s">
        <v>5277</v>
      </c>
      <c r="O1395" t="s">
        <v>463</v>
      </c>
    </row>
    <row r="1396" spans="1:15" x14ac:dyDescent="0.3">
      <c r="A1396">
        <v>233720</v>
      </c>
      <c r="B1396">
        <v>105</v>
      </c>
      <c r="C1396" t="s">
        <v>557</v>
      </c>
      <c r="D1396" t="s">
        <v>2548</v>
      </c>
      <c r="E1396" t="s">
        <v>2927</v>
      </c>
      <c r="F1396" s="451">
        <v>46160</v>
      </c>
      <c r="G1396">
        <v>17397</v>
      </c>
      <c r="H1396" t="s">
        <v>5246</v>
      </c>
      <c r="I1396" t="s">
        <v>5188</v>
      </c>
      <c r="J1396">
        <v>3</v>
      </c>
      <c r="K1396" t="s">
        <v>5245</v>
      </c>
      <c r="L1396">
        <v>99.3</v>
      </c>
      <c r="M1396">
        <v>33.1</v>
      </c>
      <c r="N1396" t="s">
        <v>5277</v>
      </c>
      <c r="O1396" t="s">
        <v>463</v>
      </c>
    </row>
    <row r="1397" spans="1:15" x14ac:dyDescent="0.3">
      <c r="A1397">
        <v>233719</v>
      </c>
      <c r="B1397">
        <v>105</v>
      </c>
      <c r="C1397" t="s">
        <v>557</v>
      </c>
      <c r="D1397" t="s">
        <v>2579</v>
      </c>
      <c r="E1397" t="s">
        <v>2928</v>
      </c>
      <c r="F1397" s="451">
        <v>46160</v>
      </c>
      <c r="G1397">
        <v>19740</v>
      </c>
      <c r="H1397" t="s">
        <v>4779</v>
      </c>
      <c r="I1397" t="s">
        <v>5191</v>
      </c>
      <c r="J1397">
        <v>10</v>
      </c>
      <c r="K1397" t="s">
        <v>4744</v>
      </c>
      <c r="L1397">
        <v>104</v>
      </c>
      <c r="M1397">
        <v>10.4</v>
      </c>
      <c r="N1397" t="s">
        <v>5191</v>
      </c>
      <c r="O1397" t="s">
        <v>463</v>
      </c>
    </row>
    <row r="1398" spans="1:15" x14ac:dyDescent="0.3">
      <c r="A1398">
        <v>233719</v>
      </c>
      <c r="B1398">
        <v>105</v>
      </c>
      <c r="C1398" t="s">
        <v>557</v>
      </c>
      <c r="D1398" t="s">
        <v>2579</v>
      </c>
      <c r="E1398" t="s">
        <v>2928</v>
      </c>
      <c r="F1398" s="451">
        <v>46160</v>
      </c>
      <c r="G1398">
        <v>24522</v>
      </c>
      <c r="H1398" t="s">
        <v>5072</v>
      </c>
      <c r="I1398" t="s">
        <v>5191</v>
      </c>
      <c r="J1398">
        <v>1</v>
      </c>
      <c r="K1398" t="s">
        <v>4744</v>
      </c>
      <c r="L1398">
        <v>25</v>
      </c>
      <c r="M1398">
        <v>25</v>
      </c>
      <c r="N1398" t="s">
        <v>5191</v>
      </c>
      <c r="O1398" t="s">
        <v>463</v>
      </c>
    </row>
    <row r="1399" spans="1:15" x14ac:dyDescent="0.3">
      <c r="A1399">
        <v>233719</v>
      </c>
      <c r="B1399">
        <v>105</v>
      </c>
      <c r="C1399" t="s">
        <v>557</v>
      </c>
      <c r="D1399" t="s">
        <v>2579</v>
      </c>
      <c r="E1399" t="s">
        <v>2928</v>
      </c>
      <c r="F1399" s="451">
        <v>46160</v>
      </c>
      <c r="G1399">
        <v>19765</v>
      </c>
      <c r="H1399" t="s">
        <v>4889</v>
      </c>
      <c r="I1399" t="s">
        <v>5191</v>
      </c>
      <c r="J1399">
        <v>1</v>
      </c>
      <c r="K1399" t="s">
        <v>4744</v>
      </c>
      <c r="L1399">
        <v>36</v>
      </c>
      <c r="M1399">
        <v>36</v>
      </c>
      <c r="N1399" t="s">
        <v>5191</v>
      </c>
      <c r="O1399" t="s">
        <v>463</v>
      </c>
    </row>
    <row r="1400" spans="1:15" x14ac:dyDescent="0.3">
      <c r="A1400">
        <v>233719</v>
      </c>
      <c r="B1400">
        <v>105</v>
      </c>
      <c r="C1400" t="s">
        <v>557</v>
      </c>
      <c r="D1400" t="s">
        <v>2579</v>
      </c>
      <c r="E1400" t="s">
        <v>2928</v>
      </c>
      <c r="F1400" s="451">
        <v>46160</v>
      </c>
      <c r="G1400">
        <v>23096</v>
      </c>
      <c r="H1400" t="s">
        <v>5164</v>
      </c>
      <c r="I1400" t="s">
        <v>5191</v>
      </c>
      <c r="J1400">
        <v>60</v>
      </c>
      <c r="K1400" t="s">
        <v>4736</v>
      </c>
      <c r="L1400">
        <v>37.200000000000003</v>
      </c>
      <c r="M1400">
        <v>0.62</v>
      </c>
      <c r="N1400" t="s">
        <v>5191</v>
      </c>
      <c r="O1400" t="s">
        <v>463</v>
      </c>
    </row>
    <row r="1401" spans="1:15" x14ac:dyDescent="0.3">
      <c r="A1401">
        <v>233719</v>
      </c>
      <c r="B1401">
        <v>105</v>
      </c>
      <c r="C1401" t="s">
        <v>557</v>
      </c>
      <c r="D1401" t="s">
        <v>2579</v>
      </c>
      <c r="E1401" t="s">
        <v>2928</v>
      </c>
      <c r="F1401" s="451">
        <v>46160</v>
      </c>
      <c r="G1401">
        <v>23184</v>
      </c>
      <c r="H1401" t="s">
        <v>4935</v>
      </c>
      <c r="I1401" t="s">
        <v>5191</v>
      </c>
      <c r="J1401">
        <v>2</v>
      </c>
      <c r="K1401" t="s">
        <v>4744</v>
      </c>
      <c r="L1401">
        <v>46.8</v>
      </c>
      <c r="M1401">
        <v>23.4</v>
      </c>
      <c r="N1401" t="s">
        <v>5191</v>
      </c>
      <c r="O1401" t="s">
        <v>463</v>
      </c>
    </row>
    <row r="1402" spans="1:15" x14ac:dyDescent="0.3">
      <c r="A1402">
        <v>233719</v>
      </c>
      <c r="B1402">
        <v>105</v>
      </c>
      <c r="C1402" t="s">
        <v>557</v>
      </c>
      <c r="D1402" t="s">
        <v>2579</v>
      </c>
      <c r="E1402" t="s">
        <v>2928</v>
      </c>
      <c r="F1402" s="451">
        <v>46160</v>
      </c>
      <c r="G1402">
        <v>19492</v>
      </c>
      <c r="H1402" t="s">
        <v>4937</v>
      </c>
      <c r="I1402" t="s">
        <v>5191</v>
      </c>
      <c r="J1402">
        <v>2.2000000000000002</v>
      </c>
      <c r="K1402" t="s">
        <v>4744</v>
      </c>
      <c r="L1402">
        <v>50.05</v>
      </c>
      <c r="M1402">
        <v>22.75</v>
      </c>
      <c r="N1402" t="s">
        <v>5191</v>
      </c>
      <c r="O1402" t="s">
        <v>463</v>
      </c>
    </row>
    <row r="1403" spans="1:15" x14ac:dyDescent="0.3">
      <c r="A1403">
        <v>233718</v>
      </c>
      <c r="B1403">
        <v>105</v>
      </c>
      <c r="C1403" t="s">
        <v>557</v>
      </c>
      <c r="D1403" t="s">
        <v>2581</v>
      </c>
      <c r="E1403" t="s">
        <v>2929</v>
      </c>
      <c r="F1403" s="451">
        <v>46160</v>
      </c>
      <c r="G1403">
        <v>19505</v>
      </c>
      <c r="H1403" t="s">
        <v>4872</v>
      </c>
      <c r="I1403" t="s">
        <v>5191</v>
      </c>
      <c r="J1403">
        <v>4</v>
      </c>
      <c r="K1403" t="s">
        <v>4744</v>
      </c>
      <c r="L1403">
        <v>46</v>
      </c>
      <c r="M1403">
        <v>11.5</v>
      </c>
      <c r="N1403" t="s">
        <v>5272</v>
      </c>
      <c r="O1403" t="s">
        <v>463</v>
      </c>
    </row>
    <row r="1404" spans="1:15" x14ac:dyDescent="0.3">
      <c r="A1404">
        <v>233718</v>
      </c>
      <c r="B1404">
        <v>105</v>
      </c>
      <c r="C1404" t="s">
        <v>557</v>
      </c>
      <c r="D1404" t="s">
        <v>2581</v>
      </c>
      <c r="E1404" t="s">
        <v>2929</v>
      </c>
      <c r="F1404" s="451">
        <v>46160</v>
      </c>
      <c r="G1404">
        <v>19480</v>
      </c>
      <c r="H1404" t="s">
        <v>5119</v>
      </c>
      <c r="I1404" t="s">
        <v>5191</v>
      </c>
      <c r="J1404">
        <v>0.3</v>
      </c>
      <c r="K1404" t="s">
        <v>4744</v>
      </c>
      <c r="L1404">
        <v>5.0999999999999996</v>
      </c>
      <c r="M1404">
        <v>17</v>
      </c>
      <c r="N1404" t="s">
        <v>5272</v>
      </c>
      <c r="O1404" t="s">
        <v>463</v>
      </c>
    </row>
    <row r="1405" spans="1:15" x14ac:dyDescent="0.3">
      <c r="A1405">
        <v>233718</v>
      </c>
      <c r="B1405">
        <v>105</v>
      </c>
      <c r="C1405" t="s">
        <v>557</v>
      </c>
      <c r="D1405" t="s">
        <v>2581</v>
      </c>
      <c r="E1405" t="s">
        <v>2929</v>
      </c>
      <c r="F1405" s="451">
        <v>46160</v>
      </c>
      <c r="G1405">
        <v>19476</v>
      </c>
      <c r="H1405" t="s">
        <v>5115</v>
      </c>
      <c r="I1405" t="s">
        <v>5191</v>
      </c>
      <c r="J1405">
        <v>0.3</v>
      </c>
      <c r="K1405" t="s">
        <v>4744</v>
      </c>
      <c r="L1405">
        <v>19.5</v>
      </c>
      <c r="M1405">
        <v>65</v>
      </c>
      <c r="N1405" t="s">
        <v>5272</v>
      </c>
      <c r="O1405" t="s">
        <v>463</v>
      </c>
    </row>
    <row r="1406" spans="1:15" x14ac:dyDescent="0.3">
      <c r="A1406">
        <v>233718</v>
      </c>
      <c r="B1406">
        <v>105</v>
      </c>
      <c r="C1406" t="s">
        <v>557</v>
      </c>
      <c r="D1406" t="s">
        <v>2581</v>
      </c>
      <c r="E1406" t="s">
        <v>2929</v>
      </c>
      <c r="F1406" s="451">
        <v>46160</v>
      </c>
      <c r="G1406">
        <v>23359</v>
      </c>
      <c r="H1406" t="s">
        <v>4767</v>
      </c>
      <c r="I1406" t="s">
        <v>5191</v>
      </c>
      <c r="J1406">
        <v>10</v>
      </c>
      <c r="K1406" t="s">
        <v>4744</v>
      </c>
      <c r="L1406">
        <v>24</v>
      </c>
      <c r="M1406">
        <v>2.4</v>
      </c>
      <c r="N1406" t="s">
        <v>5272</v>
      </c>
      <c r="O1406" t="s">
        <v>463</v>
      </c>
    </row>
    <row r="1407" spans="1:15" x14ac:dyDescent="0.3">
      <c r="A1407">
        <v>233718</v>
      </c>
      <c r="B1407">
        <v>105</v>
      </c>
      <c r="C1407" t="s">
        <v>557</v>
      </c>
      <c r="D1407" t="s">
        <v>2581</v>
      </c>
      <c r="E1407" t="s">
        <v>2929</v>
      </c>
      <c r="F1407" s="451">
        <v>46160</v>
      </c>
      <c r="G1407">
        <v>24037</v>
      </c>
      <c r="H1407" t="s">
        <v>5233</v>
      </c>
      <c r="I1407" t="s">
        <v>5191</v>
      </c>
      <c r="J1407">
        <v>1</v>
      </c>
      <c r="K1407" t="s">
        <v>4744</v>
      </c>
      <c r="L1407">
        <v>17.8</v>
      </c>
      <c r="M1407">
        <v>17.8</v>
      </c>
      <c r="N1407" t="s">
        <v>5272</v>
      </c>
      <c r="O1407" t="s">
        <v>463</v>
      </c>
    </row>
    <row r="1408" spans="1:15" x14ac:dyDescent="0.3">
      <c r="A1408">
        <v>233718</v>
      </c>
      <c r="B1408">
        <v>105</v>
      </c>
      <c r="C1408" t="s">
        <v>557</v>
      </c>
      <c r="D1408" t="s">
        <v>2581</v>
      </c>
      <c r="E1408" t="s">
        <v>2929</v>
      </c>
      <c r="F1408" s="451">
        <v>46160</v>
      </c>
      <c r="G1408">
        <v>19632</v>
      </c>
      <c r="H1408" t="s">
        <v>4936</v>
      </c>
      <c r="I1408" t="s">
        <v>5191</v>
      </c>
      <c r="J1408">
        <v>2</v>
      </c>
      <c r="K1408" t="s">
        <v>4744</v>
      </c>
      <c r="L1408">
        <v>9.6</v>
      </c>
      <c r="M1408">
        <v>4.8</v>
      </c>
      <c r="N1408" t="s">
        <v>5272</v>
      </c>
      <c r="O1408" t="s">
        <v>463</v>
      </c>
    </row>
    <row r="1409" spans="1:15" x14ac:dyDescent="0.3">
      <c r="A1409">
        <v>233718</v>
      </c>
      <c r="B1409">
        <v>105</v>
      </c>
      <c r="C1409" t="s">
        <v>557</v>
      </c>
      <c r="D1409" t="s">
        <v>2581</v>
      </c>
      <c r="E1409" t="s">
        <v>2929</v>
      </c>
      <c r="F1409" s="451">
        <v>46160</v>
      </c>
      <c r="G1409">
        <v>19617</v>
      </c>
      <c r="H1409" t="s">
        <v>5071</v>
      </c>
      <c r="I1409" t="s">
        <v>5191</v>
      </c>
      <c r="J1409">
        <v>0.5</v>
      </c>
      <c r="K1409" t="s">
        <v>4744</v>
      </c>
      <c r="L1409">
        <v>15</v>
      </c>
      <c r="M1409">
        <v>30</v>
      </c>
      <c r="N1409" t="s">
        <v>5272</v>
      </c>
      <c r="O1409" t="s">
        <v>463</v>
      </c>
    </row>
    <row r="1410" spans="1:15" x14ac:dyDescent="0.3">
      <c r="A1410">
        <v>233718</v>
      </c>
      <c r="B1410">
        <v>105</v>
      </c>
      <c r="C1410" t="s">
        <v>557</v>
      </c>
      <c r="D1410" t="s">
        <v>2581</v>
      </c>
      <c r="E1410" t="s">
        <v>2929</v>
      </c>
      <c r="F1410" s="451">
        <v>46160</v>
      </c>
      <c r="G1410">
        <v>19506</v>
      </c>
      <c r="H1410" t="s">
        <v>5122</v>
      </c>
      <c r="I1410" t="s">
        <v>5191</v>
      </c>
      <c r="J1410">
        <v>0.3</v>
      </c>
      <c r="K1410" t="s">
        <v>4744</v>
      </c>
      <c r="L1410">
        <v>15</v>
      </c>
      <c r="M1410">
        <v>50</v>
      </c>
      <c r="N1410" t="s">
        <v>5272</v>
      </c>
      <c r="O1410" t="s">
        <v>463</v>
      </c>
    </row>
    <row r="1411" spans="1:15" x14ac:dyDescent="0.3">
      <c r="A1411">
        <v>233718</v>
      </c>
      <c r="B1411">
        <v>105</v>
      </c>
      <c r="C1411" t="s">
        <v>557</v>
      </c>
      <c r="D1411" t="s">
        <v>2581</v>
      </c>
      <c r="E1411" t="s">
        <v>2929</v>
      </c>
      <c r="F1411" s="451">
        <v>46160</v>
      </c>
      <c r="G1411">
        <v>19635</v>
      </c>
      <c r="H1411" t="s">
        <v>4786</v>
      </c>
      <c r="I1411" t="s">
        <v>5191</v>
      </c>
      <c r="J1411">
        <v>5</v>
      </c>
      <c r="K1411" t="s">
        <v>4744</v>
      </c>
      <c r="L1411">
        <v>27.5</v>
      </c>
      <c r="M1411">
        <v>5.5</v>
      </c>
      <c r="N1411" t="s">
        <v>5272</v>
      </c>
      <c r="O1411" t="s">
        <v>463</v>
      </c>
    </row>
    <row r="1412" spans="1:15" x14ac:dyDescent="0.3">
      <c r="A1412">
        <v>233718</v>
      </c>
      <c r="B1412">
        <v>105</v>
      </c>
      <c r="C1412" t="s">
        <v>557</v>
      </c>
      <c r="D1412" t="s">
        <v>2581</v>
      </c>
      <c r="E1412" t="s">
        <v>2929</v>
      </c>
      <c r="F1412" s="451">
        <v>46160</v>
      </c>
      <c r="G1412">
        <v>24099</v>
      </c>
      <c r="H1412" t="s">
        <v>4933</v>
      </c>
      <c r="I1412" t="s">
        <v>5191</v>
      </c>
      <c r="J1412">
        <v>2</v>
      </c>
      <c r="K1412" t="s">
        <v>4744</v>
      </c>
      <c r="L1412">
        <v>38</v>
      </c>
      <c r="M1412">
        <v>19</v>
      </c>
      <c r="N1412" t="s">
        <v>5272</v>
      </c>
      <c r="O1412" t="s">
        <v>463</v>
      </c>
    </row>
    <row r="1413" spans="1:15" x14ac:dyDescent="0.3">
      <c r="A1413">
        <v>233718</v>
      </c>
      <c r="B1413">
        <v>105</v>
      </c>
      <c r="C1413" t="s">
        <v>557</v>
      </c>
      <c r="D1413" t="s">
        <v>2581</v>
      </c>
      <c r="E1413" t="s">
        <v>2929</v>
      </c>
      <c r="F1413" s="451">
        <v>46160</v>
      </c>
      <c r="G1413">
        <v>23389</v>
      </c>
      <c r="H1413" t="s">
        <v>4960</v>
      </c>
      <c r="I1413" t="s">
        <v>5191</v>
      </c>
      <c r="J1413">
        <v>3</v>
      </c>
      <c r="K1413" t="s">
        <v>4744</v>
      </c>
      <c r="L1413">
        <v>16.5</v>
      </c>
      <c r="M1413">
        <v>5.5</v>
      </c>
      <c r="N1413" t="s">
        <v>5272</v>
      </c>
      <c r="O1413" t="s">
        <v>463</v>
      </c>
    </row>
    <row r="1414" spans="1:15" x14ac:dyDescent="0.3">
      <c r="A1414">
        <v>233718</v>
      </c>
      <c r="B1414">
        <v>105</v>
      </c>
      <c r="C1414" t="s">
        <v>557</v>
      </c>
      <c r="D1414" t="s">
        <v>2581</v>
      </c>
      <c r="E1414" t="s">
        <v>2929</v>
      </c>
      <c r="F1414" s="451">
        <v>46160</v>
      </c>
      <c r="G1414">
        <v>23113</v>
      </c>
      <c r="H1414" t="s">
        <v>5074</v>
      </c>
      <c r="I1414" t="s">
        <v>5191</v>
      </c>
      <c r="J1414">
        <v>1</v>
      </c>
      <c r="K1414" t="s">
        <v>4744</v>
      </c>
      <c r="L1414">
        <v>15</v>
      </c>
      <c r="M1414">
        <v>15</v>
      </c>
      <c r="N1414" t="s">
        <v>5272</v>
      </c>
      <c r="O1414" t="s">
        <v>463</v>
      </c>
    </row>
    <row r="1415" spans="1:15" x14ac:dyDescent="0.3">
      <c r="A1415">
        <v>233718</v>
      </c>
      <c r="B1415">
        <v>105</v>
      </c>
      <c r="C1415" t="s">
        <v>557</v>
      </c>
      <c r="D1415" t="s">
        <v>2581</v>
      </c>
      <c r="E1415" t="s">
        <v>2929</v>
      </c>
      <c r="F1415" s="451">
        <v>46160</v>
      </c>
      <c r="G1415">
        <v>19472</v>
      </c>
      <c r="H1415" t="s">
        <v>4906</v>
      </c>
      <c r="I1415" t="s">
        <v>5191</v>
      </c>
      <c r="J1415">
        <v>2</v>
      </c>
      <c r="K1415" t="s">
        <v>4744</v>
      </c>
      <c r="L1415">
        <v>38</v>
      </c>
      <c r="M1415">
        <v>19</v>
      </c>
      <c r="N1415" t="s">
        <v>5272</v>
      </c>
      <c r="O1415" t="s">
        <v>463</v>
      </c>
    </row>
    <row r="1416" spans="1:15" x14ac:dyDescent="0.3">
      <c r="A1416">
        <v>233718</v>
      </c>
      <c r="B1416">
        <v>105</v>
      </c>
      <c r="C1416" t="s">
        <v>557</v>
      </c>
      <c r="D1416" t="s">
        <v>2581</v>
      </c>
      <c r="E1416" t="s">
        <v>2929</v>
      </c>
      <c r="F1416" s="451">
        <v>46160</v>
      </c>
      <c r="G1416">
        <v>24509</v>
      </c>
      <c r="H1416" t="s">
        <v>4788</v>
      </c>
      <c r="I1416" t="s">
        <v>5191</v>
      </c>
      <c r="J1416">
        <v>5</v>
      </c>
      <c r="K1416" t="s">
        <v>4744</v>
      </c>
      <c r="L1416">
        <v>24</v>
      </c>
      <c r="M1416">
        <v>4.8</v>
      </c>
      <c r="N1416" t="s">
        <v>5272</v>
      </c>
      <c r="O1416" t="s">
        <v>463</v>
      </c>
    </row>
    <row r="1417" spans="1:15" x14ac:dyDescent="0.3">
      <c r="A1417">
        <v>233718</v>
      </c>
      <c r="B1417">
        <v>105</v>
      </c>
      <c r="C1417" t="s">
        <v>557</v>
      </c>
      <c r="D1417" t="s">
        <v>2581</v>
      </c>
      <c r="E1417" t="s">
        <v>2929</v>
      </c>
      <c r="F1417" s="451">
        <v>46160</v>
      </c>
      <c r="G1417">
        <v>19787</v>
      </c>
      <c r="H1417" t="s">
        <v>4793</v>
      </c>
      <c r="I1417" t="s">
        <v>5191</v>
      </c>
      <c r="J1417">
        <v>5</v>
      </c>
      <c r="K1417" t="s">
        <v>4744</v>
      </c>
      <c r="L1417">
        <v>29.25</v>
      </c>
      <c r="M1417">
        <v>5.85</v>
      </c>
      <c r="N1417" t="s">
        <v>5272</v>
      </c>
      <c r="O1417" t="s">
        <v>463</v>
      </c>
    </row>
    <row r="1418" spans="1:15" x14ac:dyDescent="0.3">
      <c r="A1418">
        <v>233718</v>
      </c>
      <c r="B1418">
        <v>105</v>
      </c>
      <c r="C1418" t="s">
        <v>557</v>
      </c>
      <c r="D1418" t="s">
        <v>2581</v>
      </c>
      <c r="E1418" t="s">
        <v>2929</v>
      </c>
      <c r="F1418" s="451">
        <v>46160</v>
      </c>
      <c r="G1418">
        <v>19658</v>
      </c>
      <c r="H1418" t="s">
        <v>4784</v>
      </c>
      <c r="I1418" t="s">
        <v>5191</v>
      </c>
      <c r="J1418">
        <v>5</v>
      </c>
      <c r="K1418" t="s">
        <v>4744</v>
      </c>
      <c r="L1418">
        <v>17.5</v>
      </c>
      <c r="M1418">
        <v>3.5</v>
      </c>
      <c r="N1418" t="s">
        <v>5272</v>
      </c>
      <c r="O1418" t="s">
        <v>463</v>
      </c>
    </row>
    <row r="1419" spans="1:15" x14ac:dyDescent="0.3">
      <c r="A1419">
        <v>233718</v>
      </c>
      <c r="B1419">
        <v>105</v>
      </c>
      <c r="C1419" t="s">
        <v>557</v>
      </c>
      <c r="D1419" t="s">
        <v>2581</v>
      </c>
      <c r="E1419" t="s">
        <v>2929</v>
      </c>
      <c r="F1419" s="451">
        <v>46160</v>
      </c>
      <c r="G1419">
        <v>19751</v>
      </c>
      <c r="H1419" t="s">
        <v>4800</v>
      </c>
      <c r="I1419" t="s">
        <v>5191</v>
      </c>
      <c r="J1419">
        <v>2</v>
      </c>
      <c r="K1419" t="s">
        <v>4744</v>
      </c>
      <c r="L1419">
        <v>18</v>
      </c>
      <c r="M1419">
        <v>9</v>
      </c>
      <c r="N1419" t="s">
        <v>5272</v>
      </c>
      <c r="O1419" t="s">
        <v>463</v>
      </c>
    </row>
    <row r="1420" spans="1:15" x14ac:dyDescent="0.3">
      <c r="A1420">
        <v>233718</v>
      </c>
      <c r="B1420">
        <v>105</v>
      </c>
      <c r="C1420" t="s">
        <v>557</v>
      </c>
      <c r="D1420" t="s">
        <v>2581</v>
      </c>
      <c r="E1420" t="s">
        <v>2929</v>
      </c>
      <c r="F1420" s="451">
        <v>46160</v>
      </c>
      <c r="G1420">
        <v>23390</v>
      </c>
      <c r="H1420" t="s">
        <v>4873</v>
      </c>
      <c r="I1420" t="s">
        <v>5191</v>
      </c>
      <c r="J1420">
        <v>1</v>
      </c>
      <c r="K1420" t="s">
        <v>4744</v>
      </c>
      <c r="L1420">
        <v>8</v>
      </c>
      <c r="M1420">
        <v>8</v>
      </c>
      <c r="N1420" t="s">
        <v>5272</v>
      </c>
      <c r="O1420" t="s">
        <v>463</v>
      </c>
    </row>
    <row r="1421" spans="1:15" x14ac:dyDescent="0.3">
      <c r="A1421">
        <v>233718</v>
      </c>
      <c r="B1421">
        <v>105</v>
      </c>
      <c r="C1421" t="s">
        <v>557</v>
      </c>
      <c r="D1421" t="s">
        <v>2581</v>
      </c>
      <c r="E1421" t="s">
        <v>2929</v>
      </c>
      <c r="F1421" s="451">
        <v>46160</v>
      </c>
      <c r="G1421">
        <v>19737</v>
      </c>
      <c r="H1421" t="s">
        <v>4940</v>
      </c>
      <c r="I1421" t="s">
        <v>5191</v>
      </c>
      <c r="J1421">
        <v>1.5</v>
      </c>
      <c r="K1421" t="s">
        <v>4744</v>
      </c>
      <c r="L1421">
        <v>10.050000000000001</v>
      </c>
      <c r="M1421">
        <v>6.7</v>
      </c>
      <c r="N1421" t="s">
        <v>5272</v>
      </c>
      <c r="O1421" t="s">
        <v>463</v>
      </c>
    </row>
    <row r="1422" spans="1:15" x14ac:dyDescent="0.3">
      <c r="A1422">
        <v>233718</v>
      </c>
      <c r="B1422">
        <v>105</v>
      </c>
      <c r="C1422" t="s">
        <v>557</v>
      </c>
      <c r="D1422" t="s">
        <v>2581</v>
      </c>
      <c r="E1422" t="s">
        <v>2929</v>
      </c>
      <c r="F1422" s="451">
        <v>46160</v>
      </c>
      <c r="G1422">
        <v>19490</v>
      </c>
      <c r="H1422" t="s">
        <v>5116</v>
      </c>
      <c r="I1422" t="s">
        <v>5191</v>
      </c>
      <c r="J1422">
        <v>0.3</v>
      </c>
      <c r="K1422" t="s">
        <v>4744</v>
      </c>
      <c r="L1422">
        <v>18</v>
      </c>
      <c r="M1422">
        <v>60</v>
      </c>
      <c r="N1422" t="s">
        <v>5272</v>
      </c>
      <c r="O1422" t="s">
        <v>463</v>
      </c>
    </row>
    <row r="1423" spans="1:15" x14ac:dyDescent="0.3">
      <c r="A1423">
        <v>233718</v>
      </c>
      <c r="B1423">
        <v>105</v>
      </c>
      <c r="C1423" t="s">
        <v>557</v>
      </c>
      <c r="D1423" t="s">
        <v>2581</v>
      </c>
      <c r="E1423" t="s">
        <v>2929</v>
      </c>
      <c r="F1423" s="451">
        <v>46160</v>
      </c>
      <c r="G1423">
        <v>23365</v>
      </c>
      <c r="H1423" t="s">
        <v>5108</v>
      </c>
      <c r="I1423" t="s">
        <v>5191</v>
      </c>
      <c r="J1423">
        <v>0.5</v>
      </c>
      <c r="K1423" t="s">
        <v>4744</v>
      </c>
      <c r="L1423">
        <v>10.5</v>
      </c>
      <c r="M1423">
        <v>21</v>
      </c>
      <c r="N1423" t="s">
        <v>5272</v>
      </c>
      <c r="O1423" t="s">
        <v>463</v>
      </c>
    </row>
    <row r="1424" spans="1:15" x14ac:dyDescent="0.3">
      <c r="A1424">
        <v>233717</v>
      </c>
      <c r="B1424">
        <v>105</v>
      </c>
      <c r="C1424" t="s">
        <v>557</v>
      </c>
      <c r="D1424" t="s">
        <v>2705</v>
      </c>
      <c r="E1424" t="s">
        <v>2930</v>
      </c>
      <c r="F1424" s="451">
        <v>46160</v>
      </c>
      <c r="G1424">
        <v>24658</v>
      </c>
      <c r="H1424" t="s">
        <v>5274</v>
      </c>
      <c r="I1424" t="s">
        <v>5232</v>
      </c>
      <c r="J1424">
        <v>20</v>
      </c>
      <c r="K1424" t="s">
        <v>4738</v>
      </c>
      <c r="L1424">
        <v>692</v>
      </c>
      <c r="M1424">
        <v>34.6</v>
      </c>
      <c r="N1424" t="s">
        <v>5287</v>
      </c>
      <c r="O1424" t="s">
        <v>463</v>
      </c>
    </row>
    <row r="1425" spans="1:15" x14ac:dyDescent="0.3">
      <c r="A1425">
        <v>233716</v>
      </c>
      <c r="B1425">
        <v>105</v>
      </c>
      <c r="C1425" t="s">
        <v>557</v>
      </c>
      <c r="D1425" t="s">
        <v>2637</v>
      </c>
      <c r="E1425" t="s">
        <v>2931</v>
      </c>
      <c r="F1425" s="451">
        <v>46160</v>
      </c>
      <c r="G1425">
        <v>18477</v>
      </c>
      <c r="H1425" t="s">
        <v>4920</v>
      </c>
      <c r="I1425" t="s">
        <v>5222</v>
      </c>
      <c r="J1425">
        <v>6</v>
      </c>
      <c r="K1425" t="s">
        <v>4805</v>
      </c>
      <c r="L1425">
        <v>239.4</v>
      </c>
      <c r="M1425">
        <v>39.9</v>
      </c>
      <c r="N1425" t="s">
        <v>5222</v>
      </c>
      <c r="O1425" t="s">
        <v>463</v>
      </c>
    </row>
    <row r="1426" spans="1:15" x14ac:dyDescent="0.3">
      <c r="A1426">
        <v>233715</v>
      </c>
      <c r="B1426">
        <v>105</v>
      </c>
      <c r="C1426" t="s">
        <v>557</v>
      </c>
      <c r="D1426" t="s">
        <v>2585</v>
      </c>
      <c r="E1426" t="s">
        <v>2932</v>
      </c>
      <c r="F1426" s="451">
        <v>46161</v>
      </c>
      <c r="G1426">
        <v>27264</v>
      </c>
      <c r="H1426" t="s">
        <v>5075</v>
      </c>
      <c r="I1426" t="s">
        <v>5191</v>
      </c>
      <c r="J1426">
        <v>12.87</v>
      </c>
      <c r="K1426" t="s">
        <v>4744</v>
      </c>
      <c r="L1426">
        <v>710.9</v>
      </c>
      <c r="M1426">
        <v>55.236984999999997</v>
      </c>
      <c r="N1426" t="s">
        <v>5191</v>
      </c>
      <c r="O1426" t="s">
        <v>463</v>
      </c>
    </row>
    <row r="1427" spans="1:15" x14ac:dyDescent="0.3">
      <c r="A1427">
        <v>233714</v>
      </c>
      <c r="B1427">
        <v>105</v>
      </c>
      <c r="C1427" t="s">
        <v>557</v>
      </c>
      <c r="D1427" t="s">
        <v>2607</v>
      </c>
      <c r="E1427" t="s">
        <v>2933</v>
      </c>
      <c r="F1427" s="451">
        <v>46160</v>
      </c>
      <c r="G1427">
        <v>25777</v>
      </c>
      <c r="H1427" t="s">
        <v>4774</v>
      </c>
      <c r="I1427" t="s">
        <v>5191</v>
      </c>
      <c r="J1427">
        <v>20.100000000000001</v>
      </c>
      <c r="K1427" t="s">
        <v>4744</v>
      </c>
      <c r="L1427">
        <v>1804.98</v>
      </c>
      <c r="M1427">
        <v>89.8</v>
      </c>
      <c r="N1427" t="s">
        <v>5272</v>
      </c>
      <c r="O1427" t="s">
        <v>463</v>
      </c>
    </row>
    <row r="1428" spans="1:15" x14ac:dyDescent="0.3">
      <c r="A1428">
        <v>233714</v>
      </c>
      <c r="B1428">
        <v>105</v>
      </c>
      <c r="C1428" t="s">
        <v>557</v>
      </c>
      <c r="D1428" t="s">
        <v>2607</v>
      </c>
      <c r="E1428" t="s">
        <v>2933</v>
      </c>
      <c r="F1428" s="451">
        <v>46160</v>
      </c>
      <c r="G1428">
        <v>26135</v>
      </c>
      <c r="H1428" t="s">
        <v>4801</v>
      </c>
      <c r="I1428" t="s">
        <v>5191</v>
      </c>
      <c r="J1428">
        <v>12.12</v>
      </c>
      <c r="K1428" t="s">
        <v>4744</v>
      </c>
      <c r="L1428">
        <v>1089.5899999999999</v>
      </c>
      <c r="M1428">
        <v>89.900165000000001</v>
      </c>
      <c r="N1428" t="s">
        <v>5272</v>
      </c>
      <c r="O1428" t="s">
        <v>463</v>
      </c>
    </row>
    <row r="1429" spans="1:15" x14ac:dyDescent="0.3">
      <c r="A1429">
        <v>233713</v>
      </c>
      <c r="B1429">
        <v>105</v>
      </c>
      <c r="C1429" t="s">
        <v>557</v>
      </c>
      <c r="D1429" t="s">
        <v>2642</v>
      </c>
      <c r="E1429" t="s">
        <v>2934</v>
      </c>
      <c r="F1429" s="451">
        <v>46160</v>
      </c>
      <c r="G1429">
        <v>18030</v>
      </c>
      <c r="H1429" t="s">
        <v>4840</v>
      </c>
      <c r="I1429" t="s">
        <v>5222</v>
      </c>
      <c r="J1429">
        <v>12</v>
      </c>
      <c r="K1429" t="s">
        <v>4805</v>
      </c>
      <c r="L1429">
        <v>336</v>
      </c>
      <c r="M1429">
        <v>28</v>
      </c>
      <c r="N1429" t="s">
        <v>5222</v>
      </c>
      <c r="O1429" t="s">
        <v>463</v>
      </c>
    </row>
    <row r="1430" spans="1:15" x14ac:dyDescent="0.3">
      <c r="A1430">
        <v>233713</v>
      </c>
      <c r="B1430">
        <v>105</v>
      </c>
      <c r="C1430" t="s">
        <v>557</v>
      </c>
      <c r="D1430" t="s">
        <v>2642</v>
      </c>
      <c r="E1430" t="s">
        <v>2934</v>
      </c>
      <c r="F1430" s="451">
        <v>46160</v>
      </c>
      <c r="G1430">
        <v>18220</v>
      </c>
      <c r="H1430" t="s">
        <v>5147</v>
      </c>
      <c r="I1430" t="s">
        <v>5222</v>
      </c>
      <c r="J1430">
        <v>1</v>
      </c>
      <c r="K1430" t="s">
        <v>4805</v>
      </c>
      <c r="L1430">
        <v>80</v>
      </c>
      <c r="M1430">
        <v>80</v>
      </c>
      <c r="N1430" t="s">
        <v>5222</v>
      </c>
      <c r="O1430" t="s">
        <v>463</v>
      </c>
    </row>
    <row r="1431" spans="1:15" x14ac:dyDescent="0.3">
      <c r="A1431">
        <v>233713</v>
      </c>
      <c r="B1431">
        <v>105</v>
      </c>
      <c r="C1431" t="s">
        <v>557</v>
      </c>
      <c r="D1431" t="s">
        <v>2642</v>
      </c>
      <c r="E1431" t="s">
        <v>2934</v>
      </c>
      <c r="F1431" s="451">
        <v>46160</v>
      </c>
      <c r="G1431">
        <v>18545</v>
      </c>
      <c r="H1431" t="s">
        <v>4864</v>
      </c>
      <c r="I1431" t="s">
        <v>5222</v>
      </c>
      <c r="J1431">
        <v>1</v>
      </c>
      <c r="K1431" t="s">
        <v>4805</v>
      </c>
      <c r="L1431">
        <v>44.5</v>
      </c>
      <c r="M1431">
        <v>44.5</v>
      </c>
      <c r="N1431" t="s">
        <v>5222</v>
      </c>
      <c r="O1431" t="s">
        <v>463</v>
      </c>
    </row>
    <row r="1432" spans="1:15" x14ac:dyDescent="0.3">
      <c r="A1432">
        <v>233713</v>
      </c>
      <c r="B1432">
        <v>105</v>
      </c>
      <c r="C1432" t="s">
        <v>557</v>
      </c>
      <c r="D1432" t="s">
        <v>2642</v>
      </c>
      <c r="E1432" t="s">
        <v>2934</v>
      </c>
      <c r="F1432" s="451">
        <v>46160</v>
      </c>
      <c r="G1432">
        <v>18547</v>
      </c>
      <c r="H1432" t="s">
        <v>4863</v>
      </c>
      <c r="I1432" t="s">
        <v>5222</v>
      </c>
      <c r="J1432">
        <v>4</v>
      </c>
      <c r="K1432" t="s">
        <v>4805</v>
      </c>
      <c r="L1432">
        <v>150</v>
      </c>
      <c r="M1432">
        <v>37.5</v>
      </c>
      <c r="N1432" t="s">
        <v>5222</v>
      </c>
      <c r="O1432" t="s">
        <v>463</v>
      </c>
    </row>
    <row r="1433" spans="1:15" x14ac:dyDescent="0.3">
      <c r="A1433">
        <v>233712</v>
      </c>
      <c r="B1433">
        <v>105</v>
      </c>
      <c r="C1433" t="s">
        <v>557</v>
      </c>
      <c r="D1433" t="s">
        <v>2615</v>
      </c>
      <c r="E1433" t="s">
        <v>2935</v>
      </c>
      <c r="F1433" s="451">
        <v>46160</v>
      </c>
      <c r="G1433">
        <v>20623</v>
      </c>
      <c r="H1433" t="s">
        <v>4814</v>
      </c>
      <c r="I1433" t="s">
        <v>5191</v>
      </c>
      <c r="J1433">
        <v>10</v>
      </c>
      <c r="K1433" t="s">
        <v>4736</v>
      </c>
      <c r="L1433">
        <v>123.9</v>
      </c>
      <c r="M1433">
        <v>12.39</v>
      </c>
      <c r="N1433" t="s">
        <v>5191</v>
      </c>
      <c r="O1433" t="s">
        <v>463</v>
      </c>
    </row>
    <row r="1434" spans="1:15" x14ac:dyDescent="0.3">
      <c r="A1434">
        <v>233193</v>
      </c>
      <c r="B1434">
        <v>105</v>
      </c>
      <c r="C1434" t="s">
        <v>557</v>
      </c>
      <c r="D1434" t="s">
        <v>2613</v>
      </c>
      <c r="E1434" t="s">
        <v>2936</v>
      </c>
      <c r="F1434" s="451">
        <v>46147</v>
      </c>
      <c r="G1434">
        <v>29210</v>
      </c>
      <c r="H1434" t="s">
        <v>5178</v>
      </c>
      <c r="I1434" t="s">
        <v>5191</v>
      </c>
      <c r="J1434">
        <v>10</v>
      </c>
      <c r="K1434" t="s">
        <v>4744</v>
      </c>
      <c r="L1434">
        <v>390</v>
      </c>
      <c r="M1434">
        <v>39</v>
      </c>
      <c r="N1434" t="s">
        <v>5272</v>
      </c>
      <c r="O1434" t="s">
        <v>463</v>
      </c>
    </row>
    <row r="1435" spans="1:15" x14ac:dyDescent="0.3">
      <c r="A1435">
        <v>232699</v>
      </c>
      <c r="B1435">
        <v>105</v>
      </c>
      <c r="C1435" t="s">
        <v>557</v>
      </c>
      <c r="D1435" t="s">
        <v>2550</v>
      </c>
      <c r="E1435" t="s">
        <v>2937</v>
      </c>
      <c r="F1435" s="451">
        <v>46157</v>
      </c>
      <c r="G1435">
        <v>26038</v>
      </c>
      <c r="H1435" t="s">
        <v>4976</v>
      </c>
      <c r="I1435" t="s">
        <v>5222</v>
      </c>
      <c r="J1435">
        <v>2</v>
      </c>
      <c r="K1435" t="s">
        <v>4805</v>
      </c>
      <c r="L1435">
        <v>94.9</v>
      </c>
      <c r="M1435">
        <v>47.45</v>
      </c>
      <c r="N1435" t="s">
        <v>5222</v>
      </c>
      <c r="O1435" t="s">
        <v>463</v>
      </c>
    </row>
    <row r="1436" spans="1:15" x14ac:dyDescent="0.3">
      <c r="A1436">
        <v>232699</v>
      </c>
      <c r="B1436">
        <v>105</v>
      </c>
      <c r="C1436" t="s">
        <v>557</v>
      </c>
      <c r="D1436" t="s">
        <v>2550</v>
      </c>
      <c r="E1436" t="s">
        <v>2937</v>
      </c>
      <c r="F1436" s="451">
        <v>46157</v>
      </c>
      <c r="G1436">
        <v>27855</v>
      </c>
      <c r="H1436" t="s">
        <v>5321</v>
      </c>
      <c r="I1436" t="s">
        <v>5222</v>
      </c>
      <c r="J1436">
        <v>6</v>
      </c>
      <c r="K1436" t="s">
        <v>4805</v>
      </c>
      <c r="L1436">
        <v>284.7</v>
      </c>
      <c r="M1436">
        <v>47.45</v>
      </c>
      <c r="N1436" t="s">
        <v>5222</v>
      </c>
      <c r="O1436" t="s">
        <v>463</v>
      </c>
    </row>
    <row r="1437" spans="1:15" x14ac:dyDescent="0.3">
      <c r="A1437">
        <v>232699</v>
      </c>
      <c r="B1437">
        <v>105</v>
      </c>
      <c r="C1437" t="s">
        <v>557</v>
      </c>
      <c r="D1437" t="s">
        <v>2550</v>
      </c>
      <c r="E1437" t="s">
        <v>2937</v>
      </c>
      <c r="F1437" s="451">
        <v>46157</v>
      </c>
      <c r="G1437">
        <v>26034</v>
      </c>
      <c r="H1437" t="s">
        <v>4828</v>
      </c>
      <c r="I1437" t="s">
        <v>5222</v>
      </c>
      <c r="J1437">
        <v>6</v>
      </c>
      <c r="K1437" t="s">
        <v>4805</v>
      </c>
      <c r="L1437">
        <v>284.7</v>
      </c>
      <c r="M1437">
        <v>47.45</v>
      </c>
      <c r="N1437" t="s">
        <v>5222</v>
      </c>
      <c r="O1437" t="s">
        <v>463</v>
      </c>
    </row>
    <row r="1438" spans="1:15" x14ac:dyDescent="0.3">
      <c r="A1438">
        <v>232698</v>
      </c>
      <c r="B1438">
        <v>105</v>
      </c>
      <c r="C1438" t="s">
        <v>557</v>
      </c>
      <c r="D1438" t="s">
        <v>2597</v>
      </c>
      <c r="E1438" t="s">
        <v>2938</v>
      </c>
      <c r="F1438" s="451">
        <v>46150</v>
      </c>
      <c r="G1438">
        <v>24117</v>
      </c>
      <c r="H1438" t="s">
        <v>5236</v>
      </c>
      <c r="I1438" t="s">
        <v>5191</v>
      </c>
      <c r="J1438">
        <v>10</v>
      </c>
      <c r="K1438" t="s">
        <v>4744</v>
      </c>
      <c r="L1438">
        <v>419</v>
      </c>
      <c r="M1438">
        <v>41.9</v>
      </c>
      <c r="N1438" t="s">
        <v>5272</v>
      </c>
      <c r="O1438" t="s">
        <v>463</v>
      </c>
    </row>
    <row r="1439" spans="1:15" x14ac:dyDescent="0.3">
      <c r="A1439">
        <v>232697</v>
      </c>
      <c r="B1439">
        <v>105</v>
      </c>
      <c r="C1439" t="s">
        <v>557</v>
      </c>
      <c r="D1439" t="s">
        <v>2597</v>
      </c>
      <c r="E1439" t="s">
        <v>2939</v>
      </c>
      <c r="F1439" s="451">
        <v>46160</v>
      </c>
      <c r="G1439">
        <v>24259</v>
      </c>
      <c r="H1439" t="s">
        <v>4875</v>
      </c>
      <c r="I1439" t="s">
        <v>5191</v>
      </c>
      <c r="J1439">
        <v>10.4</v>
      </c>
      <c r="K1439" t="s">
        <v>4744</v>
      </c>
      <c r="L1439">
        <v>831.9</v>
      </c>
      <c r="M1439">
        <v>79.990385000000003</v>
      </c>
      <c r="N1439" t="s">
        <v>5272</v>
      </c>
      <c r="O1439" t="s">
        <v>463</v>
      </c>
    </row>
    <row r="1440" spans="1:15" x14ac:dyDescent="0.3">
      <c r="A1440">
        <v>232697</v>
      </c>
      <c r="B1440">
        <v>105</v>
      </c>
      <c r="C1440" t="s">
        <v>557</v>
      </c>
      <c r="D1440" t="s">
        <v>2597</v>
      </c>
      <c r="E1440" t="s">
        <v>2939</v>
      </c>
      <c r="F1440" s="451">
        <v>46160</v>
      </c>
      <c r="G1440">
        <v>24217</v>
      </c>
      <c r="H1440" t="s">
        <v>4778</v>
      </c>
      <c r="I1440" t="s">
        <v>5191</v>
      </c>
      <c r="J1440">
        <v>22</v>
      </c>
      <c r="K1440" t="s">
        <v>4744</v>
      </c>
      <c r="L1440">
        <v>748</v>
      </c>
      <c r="M1440">
        <v>34</v>
      </c>
      <c r="N1440" t="s">
        <v>5272</v>
      </c>
      <c r="O1440" t="s">
        <v>463</v>
      </c>
    </row>
    <row r="1441" spans="1:15" x14ac:dyDescent="0.3">
      <c r="A1441">
        <v>232697</v>
      </c>
      <c r="B1441">
        <v>105</v>
      </c>
      <c r="C1441" t="s">
        <v>557</v>
      </c>
      <c r="D1441" t="s">
        <v>2597</v>
      </c>
      <c r="E1441" t="s">
        <v>2939</v>
      </c>
      <c r="F1441" s="451">
        <v>46160</v>
      </c>
      <c r="G1441">
        <v>22843</v>
      </c>
      <c r="H1441" t="s">
        <v>4849</v>
      </c>
      <c r="I1441" t="s">
        <v>5191</v>
      </c>
      <c r="J1441">
        <v>7.7</v>
      </c>
      <c r="K1441" t="s">
        <v>4744</v>
      </c>
      <c r="L1441">
        <v>291.83</v>
      </c>
      <c r="M1441">
        <v>37.9</v>
      </c>
      <c r="N1441" t="s">
        <v>5272</v>
      </c>
      <c r="O1441" t="s">
        <v>463</v>
      </c>
    </row>
    <row r="1442" spans="1:15" x14ac:dyDescent="0.3">
      <c r="A1442">
        <v>232697</v>
      </c>
      <c r="B1442">
        <v>105</v>
      </c>
      <c r="C1442" t="s">
        <v>557</v>
      </c>
      <c r="D1442" t="s">
        <v>2597</v>
      </c>
      <c r="E1442" t="s">
        <v>2939</v>
      </c>
      <c r="F1442" s="451">
        <v>46160</v>
      </c>
      <c r="G1442">
        <v>24096</v>
      </c>
      <c r="H1442" t="s">
        <v>4771</v>
      </c>
      <c r="I1442" t="s">
        <v>5191</v>
      </c>
      <c r="J1442">
        <v>41.5</v>
      </c>
      <c r="K1442" t="s">
        <v>4744</v>
      </c>
      <c r="L1442">
        <v>1743</v>
      </c>
      <c r="M1442">
        <v>42</v>
      </c>
      <c r="N1442" t="s">
        <v>5272</v>
      </c>
      <c r="O1442" t="s">
        <v>463</v>
      </c>
    </row>
    <row r="1443" spans="1:15" x14ac:dyDescent="0.3">
      <c r="A1443">
        <v>232697</v>
      </c>
      <c r="B1443">
        <v>105</v>
      </c>
      <c r="C1443" t="s">
        <v>557</v>
      </c>
      <c r="D1443" t="s">
        <v>2597</v>
      </c>
      <c r="E1443" t="s">
        <v>2939</v>
      </c>
      <c r="F1443" s="451">
        <v>46160</v>
      </c>
      <c r="G1443">
        <v>20501</v>
      </c>
      <c r="H1443" t="s">
        <v>4760</v>
      </c>
      <c r="I1443" t="s">
        <v>5191</v>
      </c>
      <c r="J1443">
        <v>25</v>
      </c>
      <c r="K1443" t="s">
        <v>4744</v>
      </c>
      <c r="L1443">
        <v>547.5</v>
      </c>
      <c r="M1443">
        <v>21.9</v>
      </c>
      <c r="N1443" t="s">
        <v>5272</v>
      </c>
      <c r="O1443" t="s">
        <v>463</v>
      </c>
    </row>
    <row r="1444" spans="1:15" x14ac:dyDescent="0.3">
      <c r="A1444">
        <v>232697</v>
      </c>
      <c r="B1444">
        <v>105</v>
      </c>
      <c r="C1444" t="s">
        <v>557</v>
      </c>
      <c r="D1444" t="s">
        <v>2597</v>
      </c>
      <c r="E1444" t="s">
        <v>2939</v>
      </c>
      <c r="F1444" s="451">
        <v>46160</v>
      </c>
      <c r="G1444">
        <v>19041</v>
      </c>
      <c r="H1444" t="s">
        <v>4762</v>
      </c>
      <c r="I1444" t="s">
        <v>5191</v>
      </c>
      <c r="J1444">
        <v>31.5</v>
      </c>
      <c r="K1444" t="s">
        <v>4744</v>
      </c>
      <c r="L1444">
        <v>469.35</v>
      </c>
      <c r="M1444">
        <v>14.9</v>
      </c>
      <c r="N1444" t="s">
        <v>5272</v>
      </c>
      <c r="O1444" t="s">
        <v>463</v>
      </c>
    </row>
    <row r="1445" spans="1:15" x14ac:dyDescent="0.3">
      <c r="A1445">
        <v>232696</v>
      </c>
      <c r="B1445">
        <v>105</v>
      </c>
      <c r="C1445" t="s">
        <v>557</v>
      </c>
      <c r="D1445" t="s">
        <v>2557</v>
      </c>
      <c r="E1445" t="s">
        <v>2940</v>
      </c>
      <c r="F1445" s="451">
        <v>46148</v>
      </c>
      <c r="G1445">
        <v>21716</v>
      </c>
      <c r="H1445" t="s">
        <v>5281</v>
      </c>
      <c r="I1445" t="s">
        <v>5215</v>
      </c>
      <c r="J1445">
        <v>1</v>
      </c>
      <c r="K1445" t="s">
        <v>4749</v>
      </c>
      <c r="L1445">
        <v>455</v>
      </c>
      <c r="M1445">
        <v>455</v>
      </c>
      <c r="N1445" t="s">
        <v>5312</v>
      </c>
      <c r="O1445" t="s">
        <v>463</v>
      </c>
    </row>
    <row r="1446" spans="1:15" x14ac:dyDescent="0.3">
      <c r="A1446">
        <v>232695</v>
      </c>
      <c r="B1446">
        <v>105</v>
      </c>
      <c r="C1446" t="s">
        <v>557</v>
      </c>
      <c r="D1446" t="s">
        <v>2557</v>
      </c>
      <c r="E1446" t="s">
        <v>2941</v>
      </c>
      <c r="F1446" s="451">
        <v>46155</v>
      </c>
      <c r="G1446">
        <v>17465</v>
      </c>
      <c r="H1446" t="s">
        <v>5279</v>
      </c>
      <c r="I1446" t="s">
        <v>5215</v>
      </c>
      <c r="J1446">
        <v>1</v>
      </c>
      <c r="K1446" t="s">
        <v>4749</v>
      </c>
      <c r="L1446">
        <v>761.13</v>
      </c>
      <c r="M1446">
        <v>761.13</v>
      </c>
      <c r="N1446" t="s">
        <v>5280</v>
      </c>
      <c r="O1446" t="s">
        <v>463</v>
      </c>
    </row>
    <row r="1447" spans="1:15" x14ac:dyDescent="0.3">
      <c r="A1447">
        <v>232694</v>
      </c>
      <c r="B1447">
        <v>105</v>
      </c>
      <c r="C1447" t="s">
        <v>557</v>
      </c>
      <c r="D1447" t="s">
        <v>2593</v>
      </c>
      <c r="E1447" t="s">
        <v>2942</v>
      </c>
      <c r="F1447" s="451">
        <v>46157</v>
      </c>
      <c r="G1447">
        <v>18732</v>
      </c>
      <c r="H1447" t="s">
        <v>5156</v>
      </c>
      <c r="I1447" t="s">
        <v>5191</v>
      </c>
      <c r="J1447">
        <v>10</v>
      </c>
      <c r="K1447" t="s">
        <v>4744</v>
      </c>
      <c r="L1447">
        <v>720</v>
      </c>
      <c r="M1447">
        <v>72</v>
      </c>
      <c r="N1447" t="s">
        <v>5272</v>
      </c>
      <c r="O1447" t="s">
        <v>463</v>
      </c>
    </row>
    <row r="1448" spans="1:15" x14ac:dyDescent="0.3">
      <c r="A1448">
        <v>232693</v>
      </c>
      <c r="B1448">
        <v>105</v>
      </c>
      <c r="C1448" t="s">
        <v>557</v>
      </c>
      <c r="D1448" t="s">
        <v>2593</v>
      </c>
      <c r="E1448" t="s">
        <v>2943</v>
      </c>
      <c r="F1448" s="451">
        <v>46157</v>
      </c>
      <c r="G1448">
        <v>24256</v>
      </c>
      <c r="H1448" t="s">
        <v>4773</v>
      </c>
      <c r="I1448" t="s">
        <v>5191</v>
      </c>
      <c r="J1448">
        <v>20</v>
      </c>
      <c r="K1448" t="s">
        <v>4744</v>
      </c>
      <c r="L1448">
        <v>750</v>
      </c>
      <c r="M1448">
        <v>37.5</v>
      </c>
      <c r="N1448" t="s">
        <v>5272</v>
      </c>
      <c r="O1448" t="s">
        <v>463</v>
      </c>
    </row>
    <row r="1449" spans="1:15" x14ac:dyDescent="0.3">
      <c r="A1449">
        <v>232692</v>
      </c>
      <c r="B1449">
        <v>105</v>
      </c>
      <c r="C1449" t="s">
        <v>557</v>
      </c>
      <c r="D1449" t="s">
        <v>2593</v>
      </c>
      <c r="E1449" t="s">
        <v>2944</v>
      </c>
      <c r="F1449" s="451">
        <v>46156</v>
      </c>
      <c r="G1449">
        <v>24256</v>
      </c>
      <c r="H1449" t="s">
        <v>4773</v>
      </c>
      <c r="I1449" t="s">
        <v>5191</v>
      </c>
      <c r="J1449">
        <v>10</v>
      </c>
      <c r="K1449" t="s">
        <v>4744</v>
      </c>
      <c r="L1449">
        <v>375</v>
      </c>
      <c r="M1449">
        <v>37.5</v>
      </c>
      <c r="N1449" t="s">
        <v>5272</v>
      </c>
      <c r="O1449" t="s">
        <v>463</v>
      </c>
    </row>
    <row r="1450" spans="1:15" x14ac:dyDescent="0.3">
      <c r="A1450">
        <v>232691</v>
      </c>
      <c r="B1450">
        <v>105</v>
      </c>
      <c r="C1450" t="s">
        <v>557</v>
      </c>
      <c r="D1450" t="s">
        <v>836</v>
      </c>
      <c r="E1450" t="s">
        <v>2945</v>
      </c>
      <c r="F1450" s="451">
        <v>46156</v>
      </c>
      <c r="G1450">
        <v>17212</v>
      </c>
      <c r="H1450" t="s">
        <v>5322</v>
      </c>
      <c r="I1450" t="s">
        <v>5188</v>
      </c>
      <c r="J1450">
        <v>1</v>
      </c>
      <c r="K1450" t="s">
        <v>5265</v>
      </c>
      <c r="L1450">
        <v>230</v>
      </c>
      <c r="M1450">
        <v>230</v>
      </c>
      <c r="N1450" t="s">
        <v>5277</v>
      </c>
      <c r="O1450" t="s">
        <v>463</v>
      </c>
    </row>
    <row r="1451" spans="1:15" x14ac:dyDescent="0.3">
      <c r="A1451">
        <v>232691</v>
      </c>
      <c r="B1451">
        <v>105</v>
      </c>
      <c r="C1451" t="s">
        <v>557</v>
      </c>
      <c r="D1451" t="s">
        <v>836</v>
      </c>
      <c r="E1451" t="s">
        <v>2945</v>
      </c>
      <c r="F1451" s="451">
        <v>46156</v>
      </c>
      <c r="G1451">
        <v>17205</v>
      </c>
      <c r="H1451" t="s">
        <v>5264</v>
      </c>
      <c r="I1451" t="s">
        <v>5188</v>
      </c>
      <c r="J1451">
        <v>1</v>
      </c>
      <c r="K1451" t="s">
        <v>5265</v>
      </c>
      <c r="L1451">
        <v>170</v>
      </c>
      <c r="M1451">
        <v>170</v>
      </c>
      <c r="N1451" t="s">
        <v>5277</v>
      </c>
      <c r="O1451" t="s">
        <v>463</v>
      </c>
    </row>
    <row r="1452" spans="1:15" x14ac:dyDescent="0.3">
      <c r="A1452">
        <v>232690</v>
      </c>
      <c r="B1452">
        <v>105</v>
      </c>
      <c r="C1452" t="s">
        <v>557</v>
      </c>
      <c r="D1452" t="s">
        <v>2563</v>
      </c>
      <c r="E1452" t="s">
        <v>2946</v>
      </c>
      <c r="F1452" s="451">
        <v>46148</v>
      </c>
      <c r="G1452">
        <v>19632</v>
      </c>
      <c r="H1452" t="s">
        <v>4936</v>
      </c>
      <c r="I1452" t="s">
        <v>5191</v>
      </c>
      <c r="J1452">
        <v>2.5</v>
      </c>
      <c r="K1452" t="s">
        <v>4744</v>
      </c>
      <c r="L1452">
        <v>13.77</v>
      </c>
      <c r="M1452">
        <v>5.508</v>
      </c>
      <c r="N1452" t="s">
        <v>5272</v>
      </c>
      <c r="O1452" t="s">
        <v>463</v>
      </c>
    </row>
    <row r="1453" spans="1:15" x14ac:dyDescent="0.3">
      <c r="A1453">
        <v>232689</v>
      </c>
      <c r="B1453">
        <v>105</v>
      </c>
      <c r="C1453" t="s">
        <v>557</v>
      </c>
      <c r="D1453" t="s">
        <v>2563</v>
      </c>
      <c r="E1453" t="s">
        <v>2947</v>
      </c>
      <c r="F1453" s="451">
        <v>46147</v>
      </c>
      <c r="G1453">
        <v>23113</v>
      </c>
      <c r="H1453" t="s">
        <v>5074</v>
      </c>
      <c r="I1453" t="s">
        <v>5191</v>
      </c>
      <c r="J1453">
        <v>0.61</v>
      </c>
      <c r="K1453" t="s">
        <v>4744</v>
      </c>
      <c r="L1453">
        <v>8.85</v>
      </c>
      <c r="M1453">
        <v>14.508196999999999</v>
      </c>
      <c r="N1453" t="s">
        <v>5272</v>
      </c>
      <c r="O1453" t="s">
        <v>463</v>
      </c>
    </row>
    <row r="1454" spans="1:15" x14ac:dyDescent="0.3">
      <c r="A1454">
        <v>232689</v>
      </c>
      <c r="B1454">
        <v>105</v>
      </c>
      <c r="C1454" t="s">
        <v>557</v>
      </c>
      <c r="D1454" t="s">
        <v>2563</v>
      </c>
      <c r="E1454" t="s">
        <v>2947</v>
      </c>
      <c r="F1454" s="451">
        <v>46147</v>
      </c>
      <c r="G1454">
        <v>19621</v>
      </c>
      <c r="H1454" t="s">
        <v>4829</v>
      </c>
      <c r="I1454" t="s">
        <v>5191</v>
      </c>
      <c r="J1454">
        <v>2</v>
      </c>
      <c r="K1454" t="s">
        <v>4744</v>
      </c>
      <c r="L1454">
        <v>15.94</v>
      </c>
      <c r="M1454">
        <v>7.97</v>
      </c>
      <c r="N1454" t="s">
        <v>5272</v>
      </c>
      <c r="O1454" t="s">
        <v>463</v>
      </c>
    </row>
    <row r="1455" spans="1:15" x14ac:dyDescent="0.3">
      <c r="A1455">
        <v>232689</v>
      </c>
      <c r="B1455">
        <v>105</v>
      </c>
      <c r="C1455" t="s">
        <v>557</v>
      </c>
      <c r="D1455" t="s">
        <v>2563</v>
      </c>
      <c r="E1455" t="s">
        <v>2947</v>
      </c>
      <c r="F1455" s="451">
        <v>46147</v>
      </c>
      <c r="G1455">
        <v>19532</v>
      </c>
      <c r="H1455" t="s">
        <v>4753</v>
      </c>
      <c r="I1455" t="s">
        <v>5191</v>
      </c>
      <c r="J1455">
        <v>10</v>
      </c>
      <c r="K1455" t="s">
        <v>4744</v>
      </c>
      <c r="L1455">
        <v>82.7</v>
      </c>
      <c r="M1455">
        <v>8.27</v>
      </c>
      <c r="N1455" t="s">
        <v>5272</v>
      </c>
      <c r="O1455" t="s">
        <v>463</v>
      </c>
    </row>
    <row r="1456" spans="1:15" x14ac:dyDescent="0.3">
      <c r="A1456">
        <v>232688</v>
      </c>
      <c r="B1456">
        <v>105</v>
      </c>
      <c r="C1456" t="s">
        <v>557</v>
      </c>
      <c r="D1456" t="s">
        <v>2563</v>
      </c>
      <c r="E1456" t="s">
        <v>2948</v>
      </c>
      <c r="F1456" s="451">
        <v>46149</v>
      </c>
      <c r="G1456">
        <v>24083</v>
      </c>
      <c r="H1456" t="s">
        <v>5165</v>
      </c>
      <c r="I1456" t="s">
        <v>5191</v>
      </c>
      <c r="J1456">
        <v>100</v>
      </c>
      <c r="K1456" t="s">
        <v>4744</v>
      </c>
      <c r="L1456">
        <v>650</v>
      </c>
      <c r="M1456">
        <v>6.5</v>
      </c>
      <c r="N1456" t="s">
        <v>5272</v>
      </c>
      <c r="O1456" t="s">
        <v>463</v>
      </c>
    </row>
    <row r="1457" spans="1:15" x14ac:dyDescent="0.3">
      <c r="A1457">
        <v>232688</v>
      </c>
      <c r="B1457">
        <v>105</v>
      </c>
      <c r="C1457" t="s">
        <v>557</v>
      </c>
      <c r="D1457" t="s">
        <v>2563</v>
      </c>
      <c r="E1457" t="s">
        <v>2948</v>
      </c>
      <c r="F1457" s="451">
        <v>46149</v>
      </c>
      <c r="G1457">
        <v>23335</v>
      </c>
      <c r="H1457" t="s">
        <v>4961</v>
      </c>
      <c r="I1457" t="s">
        <v>5191</v>
      </c>
      <c r="J1457">
        <v>1</v>
      </c>
      <c r="K1457" t="s">
        <v>4744</v>
      </c>
      <c r="L1457">
        <v>46.4</v>
      </c>
      <c r="M1457">
        <v>46.4</v>
      </c>
      <c r="N1457" t="s">
        <v>5272</v>
      </c>
      <c r="O1457" t="s">
        <v>463</v>
      </c>
    </row>
    <row r="1458" spans="1:15" x14ac:dyDescent="0.3">
      <c r="A1458">
        <v>232688</v>
      </c>
      <c r="B1458">
        <v>105</v>
      </c>
      <c r="C1458" t="s">
        <v>557</v>
      </c>
      <c r="D1458" t="s">
        <v>2563</v>
      </c>
      <c r="E1458" t="s">
        <v>2948</v>
      </c>
      <c r="F1458" s="451">
        <v>46149</v>
      </c>
      <c r="G1458">
        <v>19634</v>
      </c>
      <c r="H1458" t="s">
        <v>4792</v>
      </c>
      <c r="I1458" t="s">
        <v>5191</v>
      </c>
      <c r="J1458">
        <v>4.4000000000000004</v>
      </c>
      <c r="K1458" t="s">
        <v>4744</v>
      </c>
      <c r="L1458">
        <v>33.479999999999997</v>
      </c>
      <c r="M1458">
        <v>7.6090910000000003</v>
      </c>
      <c r="N1458" t="s">
        <v>5272</v>
      </c>
      <c r="O1458" t="s">
        <v>463</v>
      </c>
    </row>
    <row r="1459" spans="1:15" x14ac:dyDescent="0.3">
      <c r="A1459">
        <v>232688</v>
      </c>
      <c r="B1459">
        <v>105</v>
      </c>
      <c r="C1459" t="s">
        <v>557</v>
      </c>
      <c r="D1459" t="s">
        <v>2563</v>
      </c>
      <c r="E1459" t="s">
        <v>2948</v>
      </c>
      <c r="F1459" s="451">
        <v>46149</v>
      </c>
      <c r="G1459">
        <v>19492</v>
      </c>
      <c r="H1459" t="s">
        <v>4937</v>
      </c>
      <c r="I1459" t="s">
        <v>5191</v>
      </c>
      <c r="J1459">
        <v>2</v>
      </c>
      <c r="K1459" t="s">
        <v>4744</v>
      </c>
      <c r="L1459">
        <v>37.26</v>
      </c>
      <c r="M1459">
        <v>18.63</v>
      </c>
      <c r="N1459" t="s">
        <v>5272</v>
      </c>
      <c r="O1459" t="s">
        <v>463</v>
      </c>
    </row>
    <row r="1460" spans="1:15" x14ac:dyDescent="0.3">
      <c r="A1460">
        <v>232688</v>
      </c>
      <c r="B1460">
        <v>105</v>
      </c>
      <c r="C1460" t="s">
        <v>557</v>
      </c>
      <c r="D1460" t="s">
        <v>2563</v>
      </c>
      <c r="E1460" t="s">
        <v>2948</v>
      </c>
      <c r="F1460" s="451">
        <v>46149</v>
      </c>
      <c r="G1460">
        <v>19532</v>
      </c>
      <c r="H1460" t="s">
        <v>4753</v>
      </c>
      <c r="I1460" t="s">
        <v>5191</v>
      </c>
      <c r="J1460">
        <v>30.3</v>
      </c>
      <c r="K1460" t="s">
        <v>4744</v>
      </c>
      <c r="L1460">
        <v>285.73</v>
      </c>
      <c r="M1460">
        <v>9.4300329999999999</v>
      </c>
      <c r="N1460" t="s">
        <v>5272</v>
      </c>
      <c r="O1460" t="s">
        <v>463</v>
      </c>
    </row>
    <row r="1461" spans="1:15" x14ac:dyDescent="0.3">
      <c r="A1461">
        <v>232688</v>
      </c>
      <c r="B1461">
        <v>105</v>
      </c>
      <c r="C1461" t="s">
        <v>557</v>
      </c>
      <c r="D1461" t="s">
        <v>2563</v>
      </c>
      <c r="E1461" t="s">
        <v>2948</v>
      </c>
      <c r="F1461" s="451">
        <v>46149</v>
      </c>
      <c r="G1461">
        <v>19728</v>
      </c>
      <c r="H1461" t="s">
        <v>5106</v>
      </c>
      <c r="I1461" t="s">
        <v>5191</v>
      </c>
      <c r="J1461">
        <v>1</v>
      </c>
      <c r="K1461" t="s">
        <v>4744</v>
      </c>
      <c r="L1461">
        <v>11.28</v>
      </c>
      <c r="M1461">
        <v>11.28</v>
      </c>
      <c r="N1461" t="s">
        <v>5272</v>
      </c>
      <c r="O1461" t="s">
        <v>463</v>
      </c>
    </row>
    <row r="1462" spans="1:15" x14ac:dyDescent="0.3">
      <c r="A1462">
        <v>232688</v>
      </c>
      <c r="B1462">
        <v>105</v>
      </c>
      <c r="C1462" t="s">
        <v>557</v>
      </c>
      <c r="D1462" t="s">
        <v>2563</v>
      </c>
      <c r="E1462" t="s">
        <v>2948</v>
      </c>
      <c r="F1462" s="451">
        <v>46149</v>
      </c>
      <c r="G1462">
        <v>23389</v>
      </c>
      <c r="H1462" t="s">
        <v>4960</v>
      </c>
      <c r="I1462" t="s">
        <v>5191</v>
      </c>
      <c r="J1462">
        <v>5.3</v>
      </c>
      <c r="K1462" t="s">
        <v>4744</v>
      </c>
      <c r="L1462">
        <v>25.6</v>
      </c>
      <c r="M1462">
        <v>4.8301889999999998</v>
      </c>
      <c r="N1462" t="s">
        <v>5272</v>
      </c>
      <c r="O1462" t="s">
        <v>463</v>
      </c>
    </row>
    <row r="1463" spans="1:15" x14ac:dyDescent="0.3">
      <c r="A1463">
        <v>232688</v>
      </c>
      <c r="B1463">
        <v>105</v>
      </c>
      <c r="C1463" t="s">
        <v>557</v>
      </c>
      <c r="D1463" t="s">
        <v>2563</v>
      </c>
      <c r="E1463" t="s">
        <v>2948</v>
      </c>
      <c r="F1463" s="451">
        <v>46149</v>
      </c>
      <c r="G1463">
        <v>23228</v>
      </c>
      <c r="H1463" t="s">
        <v>4782</v>
      </c>
      <c r="I1463" t="s">
        <v>5191</v>
      </c>
      <c r="J1463">
        <v>8</v>
      </c>
      <c r="K1463" t="s">
        <v>4744</v>
      </c>
      <c r="L1463">
        <v>52.24</v>
      </c>
      <c r="M1463">
        <v>6.53</v>
      </c>
      <c r="N1463" t="s">
        <v>5272</v>
      </c>
      <c r="O1463" t="s">
        <v>463</v>
      </c>
    </row>
    <row r="1464" spans="1:15" x14ac:dyDescent="0.3">
      <c r="A1464">
        <v>232688</v>
      </c>
      <c r="B1464">
        <v>105</v>
      </c>
      <c r="C1464" t="s">
        <v>557</v>
      </c>
      <c r="D1464" t="s">
        <v>2563</v>
      </c>
      <c r="E1464" t="s">
        <v>2948</v>
      </c>
      <c r="F1464" s="451">
        <v>46149</v>
      </c>
      <c r="G1464">
        <v>19617</v>
      </c>
      <c r="H1464" t="s">
        <v>5071</v>
      </c>
      <c r="I1464" t="s">
        <v>5191</v>
      </c>
      <c r="J1464">
        <v>0.5</v>
      </c>
      <c r="K1464" t="s">
        <v>4744</v>
      </c>
      <c r="L1464">
        <v>15.59</v>
      </c>
      <c r="M1464">
        <v>31.18</v>
      </c>
      <c r="N1464" t="s">
        <v>5272</v>
      </c>
      <c r="O1464" t="s">
        <v>463</v>
      </c>
    </row>
    <row r="1465" spans="1:15" x14ac:dyDescent="0.3">
      <c r="A1465">
        <v>232687</v>
      </c>
      <c r="B1465">
        <v>105</v>
      </c>
      <c r="C1465" t="s">
        <v>557</v>
      </c>
      <c r="D1465" t="s">
        <v>2563</v>
      </c>
      <c r="E1465" t="s">
        <v>2949</v>
      </c>
      <c r="F1465" s="451">
        <v>46157</v>
      </c>
      <c r="G1465">
        <v>19502</v>
      </c>
      <c r="H1465" t="s">
        <v>4871</v>
      </c>
      <c r="I1465" t="s">
        <v>5191</v>
      </c>
      <c r="J1465">
        <v>5</v>
      </c>
      <c r="K1465" t="s">
        <v>4744</v>
      </c>
      <c r="L1465">
        <v>87</v>
      </c>
      <c r="M1465">
        <v>17.399999999999999</v>
      </c>
      <c r="N1465" t="s">
        <v>5272</v>
      </c>
      <c r="O1465" t="s">
        <v>463</v>
      </c>
    </row>
    <row r="1466" spans="1:15" x14ac:dyDescent="0.3">
      <c r="A1466">
        <v>232686</v>
      </c>
      <c r="B1466">
        <v>105</v>
      </c>
      <c r="C1466" t="s">
        <v>557</v>
      </c>
      <c r="D1466" t="s">
        <v>2563</v>
      </c>
      <c r="E1466" t="s">
        <v>2950</v>
      </c>
      <c r="F1466" s="451">
        <v>46156</v>
      </c>
      <c r="G1466">
        <v>19621</v>
      </c>
      <c r="H1466" t="s">
        <v>4829</v>
      </c>
      <c r="I1466" t="s">
        <v>5191</v>
      </c>
      <c r="J1466">
        <v>3.1</v>
      </c>
      <c r="K1466" t="s">
        <v>4744</v>
      </c>
      <c r="L1466">
        <v>25.85</v>
      </c>
      <c r="M1466">
        <v>8.3387100000000007</v>
      </c>
      <c r="N1466" t="s">
        <v>5272</v>
      </c>
      <c r="O1466" t="s">
        <v>463</v>
      </c>
    </row>
    <row r="1467" spans="1:15" x14ac:dyDescent="0.3">
      <c r="A1467">
        <v>232686</v>
      </c>
      <c r="B1467">
        <v>105</v>
      </c>
      <c r="C1467" t="s">
        <v>557</v>
      </c>
      <c r="D1467" t="s">
        <v>2563</v>
      </c>
      <c r="E1467" t="s">
        <v>2950</v>
      </c>
      <c r="F1467" s="451">
        <v>46156</v>
      </c>
      <c r="G1467">
        <v>19558</v>
      </c>
      <c r="H1467" t="s">
        <v>4994</v>
      </c>
      <c r="I1467" t="s">
        <v>5191</v>
      </c>
      <c r="J1467">
        <v>1</v>
      </c>
      <c r="K1467" t="s">
        <v>4744</v>
      </c>
      <c r="L1467">
        <v>20.3</v>
      </c>
      <c r="M1467">
        <v>20.3</v>
      </c>
      <c r="N1467" t="s">
        <v>5272</v>
      </c>
      <c r="O1467" t="s">
        <v>463</v>
      </c>
    </row>
    <row r="1468" spans="1:15" x14ac:dyDescent="0.3">
      <c r="A1468">
        <v>232686</v>
      </c>
      <c r="B1468">
        <v>105</v>
      </c>
      <c r="C1468" t="s">
        <v>557</v>
      </c>
      <c r="D1468" t="s">
        <v>2563</v>
      </c>
      <c r="E1468" t="s">
        <v>2950</v>
      </c>
      <c r="F1468" s="451">
        <v>46156</v>
      </c>
      <c r="G1468">
        <v>19562</v>
      </c>
      <c r="H1468" t="s">
        <v>4939</v>
      </c>
      <c r="I1468" t="s">
        <v>5191</v>
      </c>
      <c r="J1468">
        <v>0.5</v>
      </c>
      <c r="K1468" t="s">
        <v>4744</v>
      </c>
      <c r="L1468">
        <v>8.6999999999999993</v>
      </c>
      <c r="M1468">
        <v>17.399999999999999</v>
      </c>
      <c r="N1468" t="s">
        <v>5272</v>
      </c>
      <c r="O1468" t="s">
        <v>463</v>
      </c>
    </row>
    <row r="1469" spans="1:15" x14ac:dyDescent="0.3">
      <c r="A1469">
        <v>232686</v>
      </c>
      <c r="B1469">
        <v>105</v>
      </c>
      <c r="C1469" t="s">
        <v>557</v>
      </c>
      <c r="D1469" t="s">
        <v>2563</v>
      </c>
      <c r="E1469" t="s">
        <v>2950</v>
      </c>
      <c r="F1469" s="451">
        <v>46156</v>
      </c>
      <c r="G1469">
        <v>23198</v>
      </c>
      <c r="H1469" t="s">
        <v>4962</v>
      </c>
      <c r="I1469" t="s">
        <v>5191</v>
      </c>
      <c r="J1469">
        <v>0.5</v>
      </c>
      <c r="K1469" t="s">
        <v>4744</v>
      </c>
      <c r="L1469">
        <v>8.6999999999999993</v>
      </c>
      <c r="M1469">
        <v>17.399999999999999</v>
      </c>
      <c r="N1469" t="s">
        <v>5272</v>
      </c>
      <c r="O1469" t="s">
        <v>463</v>
      </c>
    </row>
    <row r="1470" spans="1:15" x14ac:dyDescent="0.3">
      <c r="A1470">
        <v>232686</v>
      </c>
      <c r="B1470">
        <v>105</v>
      </c>
      <c r="C1470" t="s">
        <v>557</v>
      </c>
      <c r="D1470" t="s">
        <v>2563</v>
      </c>
      <c r="E1470" t="s">
        <v>2950</v>
      </c>
      <c r="F1470" s="451">
        <v>46156</v>
      </c>
      <c r="G1470">
        <v>19707</v>
      </c>
      <c r="H1470" t="s">
        <v>5266</v>
      </c>
      <c r="I1470" t="s">
        <v>5191</v>
      </c>
      <c r="J1470">
        <v>0.5</v>
      </c>
      <c r="K1470" t="s">
        <v>4744</v>
      </c>
      <c r="L1470">
        <v>10.44</v>
      </c>
      <c r="M1470">
        <v>20.88</v>
      </c>
      <c r="N1470" t="s">
        <v>5272</v>
      </c>
      <c r="O1470" t="s">
        <v>463</v>
      </c>
    </row>
    <row r="1471" spans="1:15" x14ac:dyDescent="0.3">
      <c r="A1471">
        <v>232686</v>
      </c>
      <c r="B1471">
        <v>105</v>
      </c>
      <c r="C1471" t="s">
        <v>557</v>
      </c>
      <c r="D1471" t="s">
        <v>2563</v>
      </c>
      <c r="E1471" t="s">
        <v>2950</v>
      </c>
      <c r="F1471" s="451">
        <v>46156</v>
      </c>
      <c r="G1471">
        <v>19532</v>
      </c>
      <c r="H1471" t="s">
        <v>4753</v>
      </c>
      <c r="I1471" t="s">
        <v>5191</v>
      </c>
      <c r="J1471">
        <v>25</v>
      </c>
      <c r="K1471" t="s">
        <v>4744</v>
      </c>
      <c r="L1471">
        <v>235.75</v>
      </c>
      <c r="M1471">
        <v>9.43</v>
      </c>
      <c r="N1471" t="s">
        <v>5272</v>
      </c>
      <c r="O1471" t="s">
        <v>463</v>
      </c>
    </row>
    <row r="1472" spans="1:15" x14ac:dyDescent="0.3">
      <c r="A1472">
        <v>232686</v>
      </c>
      <c r="B1472">
        <v>105</v>
      </c>
      <c r="C1472" t="s">
        <v>557</v>
      </c>
      <c r="D1472" t="s">
        <v>2563</v>
      </c>
      <c r="E1472" t="s">
        <v>2950</v>
      </c>
      <c r="F1472" s="451">
        <v>46156</v>
      </c>
      <c r="G1472">
        <v>23349</v>
      </c>
      <c r="H1472" t="s">
        <v>4988</v>
      </c>
      <c r="I1472" t="s">
        <v>5191</v>
      </c>
      <c r="J1472">
        <v>0.5</v>
      </c>
      <c r="K1472" t="s">
        <v>4744</v>
      </c>
      <c r="L1472">
        <v>3.63</v>
      </c>
      <c r="M1472">
        <v>7.26</v>
      </c>
      <c r="N1472" t="s">
        <v>5272</v>
      </c>
      <c r="O1472" t="s">
        <v>463</v>
      </c>
    </row>
    <row r="1473" spans="1:15" x14ac:dyDescent="0.3">
      <c r="A1473">
        <v>232686</v>
      </c>
      <c r="B1473">
        <v>105</v>
      </c>
      <c r="C1473" t="s">
        <v>557</v>
      </c>
      <c r="D1473" t="s">
        <v>2563</v>
      </c>
      <c r="E1473" t="s">
        <v>2950</v>
      </c>
      <c r="F1473" s="451">
        <v>46156</v>
      </c>
      <c r="G1473">
        <v>19572</v>
      </c>
      <c r="H1473" t="s">
        <v>4989</v>
      </c>
      <c r="I1473" t="s">
        <v>5191</v>
      </c>
      <c r="J1473">
        <v>1</v>
      </c>
      <c r="K1473" t="s">
        <v>4744</v>
      </c>
      <c r="L1473">
        <v>8.0500000000000007</v>
      </c>
      <c r="M1473">
        <v>8.0500000000000007</v>
      </c>
      <c r="N1473" t="s">
        <v>5272</v>
      </c>
      <c r="O1473" t="s">
        <v>463</v>
      </c>
    </row>
    <row r="1474" spans="1:15" x14ac:dyDescent="0.3">
      <c r="A1474">
        <v>232686</v>
      </c>
      <c r="B1474">
        <v>105</v>
      </c>
      <c r="C1474" t="s">
        <v>557</v>
      </c>
      <c r="D1474" t="s">
        <v>2563</v>
      </c>
      <c r="E1474" t="s">
        <v>2950</v>
      </c>
      <c r="F1474" s="451">
        <v>46156</v>
      </c>
      <c r="G1474">
        <v>19472</v>
      </c>
      <c r="H1474" t="s">
        <v>4906</v>
      </c>
      <c r="I1474" t="s">
        <v>5191</v>
      </c>
      <c r="J1474">
        <v>1.6</v>
      </c>
      <c r="K1474" t="s">
        <v>4744</v>
      </c>
      <c r="L1474">
        <v>36.03</v>
      </c>
      <c r="M1474">
        <v>22.518750000000001</v>
      </c>
      <c r="N1474" t="s">
        <v>5272</v>
      </c>
      <c r="O1474" t="s">
        <v>463</v>
      </c>
    </row>
    <row r="1475" spans="1:15" x14ac:dyDescent="0.3">
      <c r="A1475">
        <v>232686</v>
      </c>
      <c r="B1475">
        <v>105</v>
      </c>
      <c r="C1475" t="s">
        <v>557</v>
      </c>
      <c r="D1475" t="s">
        <v>2563</v>
      </c>
      <c r="E1475" t="s">
        <v>2950</v>
      </c>
      <c r="F1475" s="451">
        <v>46156</v>
      </c>
      <c r="G1475">
        <v>23228</v>
      </c>
      <c r="H1475" t="s">
        <v>4782</v>
      </c>
      <c r="I1475" t="s">
        <v>5191</v>
      </c>
      <c r="J1475">
        <v>10</v>
      </c>
      <c r="K1475" t="s">
        <v>4744</v>
      </c>
      <c r="L1475">
        <v>68.2</v>
      </c>
      <c r="M1475">
        <v>6.82</v>
      </c>
      <c r="N1475" t="s">
        <v>5272</v>
      </c>
      <c r="O1475" t="s">
        <v>463</v>
      </c>
    </row>
    <row r="1476" spans="1:15" x14ac:dyDescent="0.3">
      <c r="A1476">
        <v>232686</v>
      </c>
      <c r="B1476">
        <v>105</v>
      </c>
      <c r="C1476" t="s">
        <v>557</v>
      </c>
      <c r="D1476" t="s">
        <v>2563</v>
      </c>
      <c r="E1476" t="s">
        <v>2950</v>
      </c>
      <c r="F1476" s="451">
        <v>46156</v>
      </c>
      <c r="G1476">
        <v>19502</v>
      </c>
      <c r="H1476" t="s">
        <v>4871</v>
      </c>
      <c r="I1476" t="s">
        <v>5191</v>
      </c>
      <c r="J1476">
        <v>3.5</v>
      </c>
      <c r="K1476" t="s">
        <v>4744</v>
      </c>
      <c r="L1476">
        <v>60.9</v>
      </c>
      <c r="M1476">
        <v>17.399999999999999</v>
      </c>
      <c r="N1476" t="s">
        <v>5272</v>
      </c>
      <c r="O1476" t="s">
        <v>463</v>
      </c>
    </row>
    <row r="1477" spans="1:15" x14ac:dyDescent="0.3">
      <c r="A1477">
        <v>232685</v>
      </c>
      <c r="B1477">
        <v>105</v>
      </c>
      <c r="C1477" t="s">
        <v>557</v>
      </c>
      <c r="D1477" t="s">
        <v>2600</v>
      </c>
      <c r="E1477" t="s">
        <v>2951</v>
      </c>
      <c r="F1477" s="451">
        <v>46160</v>
      </c>
      <c r="G1477">
        <v>20549</v>
      </c>
      <c r="H1477" t="s">
        <v>4823</v>
      </c>
      <c r="I1477" t="s">
        <v>5191</v>
      </c>
      <c r="J1477">
        <v>5.7</v>
      </c>
      <c r="K1477" t="s">
        <v>4744</v>
      </c>
      <c r="L1477">
        <v>113.94</v>
      </c>
      <c r="M1477">
        <v>19.989474000000001</v>
      </c>
      <c r="N1477" t="s">
        <v>5191</v>
      </c>
      <c r="O1477" t="s">
        <v>463</v>
      </c>
    </row>
    <row r="1478" spans="1:15" x14ac:dyDescent="0.3">
      <c r="A1478">
        <v>232684</v>
      </c>
      <c r="B1478">
        <v>105</v>
      </c>
      <c r="C1478" t="s">
        <v>557</v>
      </c>
      <c r="D1478" t="s">
        <v>2792</v>
      </c>
      <c r="E1478" t="s">
        <v>2952</v>
      </c>
      <c r="F1478" s="451">
        <v>46160</v>
      </c>
      <c r="G1478">
        <v>18735</v>
      </c>
      <c r="H1478" t="s">
        <v>4891</v>
      </c>
      <c r="I1478" t="s">
        <v>5191</v>
      </c>
      <c r="J1478">
        <v>4.9000000000000004</v>
      </c>
      <c r="K1478" t="s">
        <v>4744</v>
      </c>
      <c r="L1478">
        <v>539</v>
      </c>
      <c r="M1478">
        <v>110</v>
      </c>
      <c r="N1478" t="s">
        <v>5272</v>
      </c>
      <c r="O1478" t="s">
        <v>463</v>
      </c>
    </row>
    <row r="1479" spans="1:15" x14ac:dyDescent="0.3">
      <c r="A1479">
        <v>232683</v>
      </c>
      <c r="B1479">
        <v>105</v>
      </c>
      <c r="C1479" t="s">
        <v>557</v>
      </c>
      <c r="D1479" t="s">
        <v>2675</v>
      </c>
      <c r="E1479" t="s">
        <v>2953</v>
      </c>
      <c r="F1479" s="451">
        <v>46160</v>
      </c>
      <c r="G1479">
        <v>23980</v>
      </c>
      <c r="H1479" t="s">
        <v>5097</v>
      </c>
      <c r="I1479" t="s">
        <v>5191</v>
      </c>
      <c r="J1479">
        <v>19.3</v>
      </c>
      <c r="K1479" t="s">
        <v>4744</v>
      </c>
      <c r="L1479">
        <v>752.7</v>
      </c>
      <c r="M1479">
        <v>39</v>
      </c>
      <c r="N1479" t="s">
        <v>5272</v>
      </c>
      <c r="O1479" t="s">
        <v>463</v>
      </c>
    </row>
    <row r="1480" spans="1:15" x14ac:dyDescent="0.3">
      <c r="A1480">
        <v>232682</v>
      </c>
      <c r="B1480">
        <v>105</v>
      </c>
      <c r="C1480" t="s">
        <v>557</v>
      </c>
      <c r="D1480" t="s">
        <v>2675</v>
      </c>
      <c r="E1480" t="s">
        <v>2954</v>
      </c>
      <c r="F1480" s="451">
        <v>46147</v>
      </c>
      <c r="G1480">
        <v>23980</v>
      </c>
      <c r="H1480" t="s">
        <v>5097</v>
      </c>
      <c r="I1480" t="s">
        <v>5191</v>
      </c>
      <c r="J1480">
        <v>18.8</v>
      </c>
      <c r="K1480" t="s">
        <v>4744</v>
      </c>
      <c r="L1480">
        <v>733.2</v>
      </c>
      <c r="M1480">
        <v>39</v>
      </c>
      <c r="N1480" t="s">
        <v>5272</v>
      </c>
      <c r="O1480" t="s">
        <v>463</v>
      </c>
    </row>
    <row r="1481" spans="1:15" x14ac:dyDescent="0.3">
      <c r="A1481">
        <v>232681</v>
      </c>
      <c r="B1481">
        <v>105</v>
      </c>
      <c r="C1481" t="s">
        <v>557</v>
      </c>
      <c r="D1481" t="s">
        <v>2690</v>
      </c>
      <c r="E1481" t="s">
        <v>2955</v>
      </c>
      <c r="F1481" s="451">
        <v>46153</v>
      </c>
      <c r="G1481">
        <v>24690</v>
      </c>
      <c r="H1481" t="s">
        <v>5168</v>
      </c>
      <c r="I1481" t="s">
        <v>5222</v>
      </c>
      <c r="J1481">
        <v>1</v>
      </c>
      <c r="K1481" t="s">
        <v>5269</v>
      </c>
      <c r="L1481">
        <v>18.75</v>
      </c>
      <c r="M1481">
        <v>18.75</v>
      </c>
      <c r="N1481" t="s">
        <v>5288</v>
      </c>
      <c r="O1481" t="s">
        <v>463</v>
      </c>
    </row>
    <row r="1482" spans="1:15" x14ac:dyDescent="0.3">
      <c r="A1482">
        <v>232680</v>
      </c>
      <c r="B1482">
        <v>105</v>
      </c>
      <c r="C1482" t="s">
        <v>557</v>
      </c>
      <c r="D1482" t="s">
        <v>2605</v>
      </c>
      <c r="E1482" t="s">
        <v>2956</v>
      </c>
      <c r="F1482" s="451">
        <v>46148</v>
      </c>
      <c r="G1482">
        <v>23819</v>
      </c>
      <c r="H1482" t="s">
        <v>4947</v>
      </c>
      <c r="I1482" t="s">
        <v>5191</v>
      </c>
      <c r="J1482">
        <v>3</v>
      </c>
      <c r="K1482" t="s">
        <v>4736</v>
      </c>
      <c r="L1482">
        <v>27.48</v>
      </c>
      <c r="M1482">
        <v>9.16</v>
      </c>
      <c r="N1482" t="s">
        <v>5272</v>
      </c>
      <c r="O1482" t="s">
        <v>463</v>
      </c>
    </row>
    <row r="1483" spans="1:15" x14ac:dyDescent="0.3">
      <c r="A1483">
        <v>232680</v>
      </c>
      <c r="B1483">
        <v>105</v>
      </c>
      <c r="C1483" t="s">
        <v>557</v>
      </c>
      <c r="D1483" t="s">
        <v>2605</v>
      </c>
      <c r="E1483" t="s">
        <v>2956</v>
      </c>
      <c r="F1483" s="451">
        <v>46148</v>
      </c>
      <c r="G1483">
        <v>19415</v>
      </c>
      <c r="H1483" t="s">
        <v>4919</v>
      </c>
      <c r="I1483" t="s">
        <v>5191</v>
      </c>
      <c r="J1483">
        <v>2</v>
      </c>
      <c r="K1483" t="s">
        <v>4736</v>
      </c>
      <c r="L1483">
        <v>17.600000000000001</v>
      </c>
      <c r="M1483">
        <v>8.8000000000000007</v>
      </c>
      <c r="N1483" t="s">
        <v>5272</v>
      </c>
      <c r="O1483" t="s">
        <v>463</v>
      </c>
    </row>
    <row r="1484" spans="1:15" x14ac:dyDescent="0.3">
      <c r="A1484">
        <v>232680</v>
      </c>
      <c r="B1484">
        <v>105</v>
      </c>
      <c r="C1484" t="s">
        <v>557</v>
      </c>
      <c r="D1484" t="s">
        <v>2605</v>
      </c>
      <c r="E1484" t="s">
        <v>2956</v>
      </c>
      <c r="F1484" s="451">
        <v>46148</v>
      </c>
      <c r="G1484">
        <v>19306</v>
      </c>
      <c r="H1484" t="s">
        <v>5111</v>
      </c>
      <c r="I1484" t="s">
        <v>5191</v>
      </c>
      <c r="J1484">
        <v>2</v>
      </c>
      <c r="K1484" t="s">
        <v>5228</v>
      </c>
      <c r="L1484">
        <v>37.200000000000003</v>
      </c>
      <c r="M1484">
        <v>18.600000000000001</v>
      </c>
      <c r="N1484" t="s">
        <v>5272</v>
      </c>
      <c r="O1484" t="s">
        <v>463</v>
      </c>
    </row>
    <row r="1485" spans="1:15" x14ac:dyDescent="0.3">
      <c r="A1485">
        <v>232680</v>
      </c>
      <c r="B1485">
        <v>105</v>
      </c>
      <c r="C1485" t="s">
        <v>557</v>
      </c>
      <c r="D1485" t="s">
        <v>2605</v>
      </c>
      <c r="E1485" t="s">
        <v>2956</v>
      </c>
      <c r="F1485" s="451">
        <v>46148</v>
      </c>
      <c r="G1485">
        <v>20295</v>
      </c>
      <c r="H1485" t="s">
        <v>4881</v>
      </c>
      <c r="I1485" t="s">
        <v>5191</v>
      </c>
      <c r="J1485">
        <v>2</v>
      </c>
      <c r="K1485" t="s">
        <v>4738</v>
      </c>
      <c r="L1485">
        <v>22.56</v>
      </c>
      <c r="M1485">
        <v>11.28</v>
      </c>
      <c r="N1485" t="s">
        <v>5272</v>
      </c>
      <c r="O1485" t="s">
        <v>463</v>
      </c>
    </row>
    <row r="1486" spans="1:15" x14ac:dyDescent="0.3">
      <c r="A1486">
        <v>232680</v>
      </c>
      <c r="B1486">
        <v>105</v>
      </c>
      <c r="C1486" t="s">
        <v>557</v>
      </c>
      <c r="D1486" t="s">
        <v>2605</v>
      </c>
      <c r="E1486" t="s">
        <v>2956</v>
      </c>
      <c r="F1486" s="451">
        <v>46148</v>
      </c>
      <c r="G1486">
        <v>25237</v>
      </c>
      <c r="H1486" t="s">
        <v>5143</v>
      </c>
      <c r="I1486" t="s">
        <v>5191</v>
      </c>
      <c r="J1486">
        <v>10</v>
      </c>
      <c r="K1486" t="s">
        <v>4738</v>
      </c>
      <c r="L1486">
        <v>52.9</v>
      </c>
      <c r="M1486">
        <v>5.29</v>
      </c>
      <c r="N1486" t="s">
        <v>5272</v>
      </c>
      <c r="O1486" t="s">
        <v>463</v>
      </c>
    </row>
    <row r="1487" spans="1:15" x14ac:dyDescent="0.3">
      <c r="A1487">
        <v>232680</v>
      </c>
      <c r="B1487">
        <v>105</v>
      </c>
      <c r="C1487" t="s">
        <v>557</v>
      </c>
      <c r="D1487" t="s">
        <v>2605</v>
      </c>
      <c r="E1487" t="s">
        <v>2956</v>
      </c>
      <c r="F1487" s="451">
        <v>46148</v>
      </c>
      <c r="G1487">
        <v>21257</v>
      </c>
      <c r="H1487" t="s">
        <v>4952</v>
      </c>
      <c r="I1487" t="s">
        <v>5191</v>
      </c>
      <c r="J1487">
        <v>2</v>
      </c>
      <c r="K1487" t="s">
        <v>4736</v>
      </c>
      <c r="L1487">
        <v>37.700000000000003</v>
      </c>
      <c r="M1487">
        <v>18.850000000000001</v>
      </c>
      <c r="N1487" t="s">
        <v>5272</v>
      </c>
      <c r="O1487" t="s">
        <v>463</v>
      </c>
    </row>
    <row r="1488" spans="1:15" x14ac:dyDescent="0.3">
      <c r="A1488">
        <v>232680</v>
      </c>
      <c r="B1488">
        <v>105</v>
      </c>
      <c r="C1488" t="s">
        <v>557</v>
      </c>
      <c r="D1488" t="s">
        <v>2605</v>
      </c>
      <c r="E1488" t="s">
        <v>2956</v>
      </c>
      <c r="F1488" s="451">
        <v>46148</v>
      </c>
      <c r="G1488">
        <v>27475</v>
      </c>
      <c r="H1488" t="s">
        <v>5123</v>
      </c>
      <c r="I1488" t="s">
        <v>5191</v>
      </c>
      <c r="J1488">
        <v>2</v>
      </c>
      <c r="K1488" t="s">
        <v>4736</v>
      </c>
      <c r="L1488">
        <v>31.8</v>
      </c>
      <c r="M1488">
        <v>15.9</v>
      </c>
      <c r="N1488" t="s">
        <v>5272</v>
      </c>
      <c r="O1488" t="s">
        <v>463</v>
      </c>
    </row>
    <row r="1489" spans="1:15" x14ac:dyDescent="0.3">
      <c r="A1489">
        <v>232680</v>
      </c>
      <c r="B1489">
        <v>105</v>
      </c>
      <c r="C1489" t="s">
        <v>557</v>
      </c>
      <c r="D1489" t="s">
        <v>2605</v>
      </c>
      <c r="E1489" t="s">
        <v>2956</v>
      </c>
      <c r="F1489" s="451">
        <v>46148</v>
      </c>
      <c r="G1489">
        <v>20657</v>
      </c>
      <c r="H1489" t="s">
        <v>5109</v>
      </c>
      <c r="I1489" t="s">
        <v>5191</v>
      </c>
      <c r="J1489">
        <v>5</v>
      </c>
      <c r="K1489" t="s">
        <v>5206</v>
      </c>
      <c r="L1489">
        <v>33.5</v>
      </c>
      <c r="M1489">
        <v>6.7</v>
      </c>
      <c r="N1489" t="s">
        <v>5272</v>
      </c>
      <c r="O1489" t="s">
        <v>463</v>
      </c>
    </row>
    <row r="1490" spans="1:15" x14ac:dyDescent="0.3">
      <c r="A1490">
        <v>232679</v>
      </c>
      <c r="B1490">
        <v>105</v>
      </c>
      <c r="C1490" t="s">
        <v>557</v>
      </c>
      <c r="D1490" t="s">
        <v>2605</v>
      </c>
      <c r="E1490" t="s">
        <v>2957</v>
      </c>
      <c r="F1490" s="451">
        <v>46147</v>
      </c>
      <c r="G1490">
        <v>19291</v>
      </c>
      <c r="H1490" t="s">
        <v>4870</v>
      </c>
      <c r="I1490" t="s">
        <v>5191</v>
      </c>
      <c r="J1490">
        <v>7.24</v>
      </c>
      <c r="K1490" t="s">
        <v>5238</v>
      </c>
      <c r="L1490">
        <v>542.28</v>
      </c>
      <c r="M1490">
        <v>74.900552000000005</v>
      </c>
      <c r="N1490" t="s">
        <v>5272</v>
      </c>
      <c r="O1490" t="s">
        <v>463</v>
      </c>
    </row>
    <row r="1491" spans="1:15" x14ac:dyDescent="0.3">
      <c r="A1491">
        <v>232679</v>
      </c>
      <c r="B1491">
        <v>105</v>
      </c>
      <c r="C1491" t="s">
        <v>557</v>
      </c>
      <c r="D1491" t="s">
        <v>2605</v>
      </c>
      <c r="E1491" t="s">
        <v>2957</v>
      </c>
      <c r="F1491" s="451">
        <v>46147</v>
      </c>
      <c r="G1491">
        <v>24322</v>
      </c>
      <c r="H1491" t="s">
        <v>5064</v>
      </c>
      <c r="I1491" t="s">
        <v>5191</v>
      </c>
      <c r="J1491">
        <v>1</v>
      </c>
      <c r="K1491" t="s">
        <v>5238</v>
      </c>
      <c r="L1491">
        <v>22</v>
      </c>
      <c r="M1491">
        <v>22</v>
      </c>
      <c r="N1491" t="s">
        <v>5272</v>
      </c>
      <c r="O1491" t="s">
        <v>463</v>
      </c>
    </row>
    <row r="1492" spans="1:15" x14ac:dyDescent="0.3">
      <c r="A1492">
        <v>232679</v>
      </c>
      <c r="B1492">
        <v>105</v>
      </c>
      <c r="C1492" t="s">
        <v>557</v>
      </c>
      <c r="D1492" t="s">
        <v>2605</v>
      </c>
      <c r="E1492" t="s">
        <v>2957</v>
      </c>
      <c r="F1492" s="451">
        <v>46147</v>
      </c>
      <c r="G1492">
        <v>20887</v>
      </c>
      <c r="H1492" t="s">
        <v>4953</v>
      </c>
      <c r="I1492" t="s">
        <v>5191</v>
      </c>
      <c r="J1492">
        <v>2</v>
      </c>
      <c r="K1492" t="s">
        <v>4879</v>
      </c>
      <c r="L1492">
        <v>73.8</v>
      </c>
      <c r="M1492">
        <v>36.9</v>
      </c>
      <c r="N1492" t="s">
        <v>5272</v>
      </c>
      <c r="O1492" t="s">
        <v>463</v>
      </c>
    </row>
    <row r="1493" spans="1:15" x14ac:dyDescent="0.3">
      <c r="A1493">
        <v>232679</v>
      </c>
      <c r="B1493">
        <v>105</v>
      </c>
      <c r="C1493" t="s">
        <v>557</v>
      </c>
      <c r="D1493" t="s">
        <v>2605</v>
      </c>
      <c r="E1493" t="s">
        <v>2957</v>
      </c>
      <c r="F1493" s="451">
        <v>46147</v>
      </c>
      <c r="G1493">
        <v>20689</v>
      </c>
      <c r="H1493" t="s">
        <v>5007</v>
      </c>
      <c r="I1493" t="s">
        <v>5191</v>
      </c>
      <c r="J1493">
        <v>2</v>
      </c>
      <c r="K1493" t="s">
        <v>4736</v>
      </c>
      <c r="L1493">
        <v>63.2</v>
      </c>
      <c r="M1493">
        <v>31.6</v>
      </c>
      <c r="N1493" t="s">
        <v>5272</v>
      </c>
      <c r="O1493" t="s">
        <v>463</v>
      </c>
    </row>
    <row r="1494" spans="1:15" x14ac:dyDescent="0.3">
      <c r="A1494">
        <v>232678</v>
      </c>
      <c r="B1494">
        <v>105</v>
      </c>
      <c r="C1494" t="s">
        <v>557</v>
      </c>
      <c r="D1494" t="s">
        <v>2605</v>
      </c>
      <c r="E1494" t="s">
        <v>2958</v>
      </c>
      <c r="F1494" s="451">
        <v>46157</v>
      </c>
      <c r="G1494">
        <v>20122</v>
      </c>
      <c r="H1494" t="s">
        <v>4781</v>
      </c>
      <c r="I1494" t="s">
        <v>5191</v>
      </c>
      <c r="J1494">
        <v>3</v>
      </c>
      <c r="K1494" t="s">
        <v>4738</v>
      </c>
      <c r="L1494">
        <v>43.14</v>
      </c>
      <c r="M1494">
        <v>14.38</v>
      </c>
      <c r="N1494" t="s">
        <v>5272</v>
      </c>
      <c r="O1494" t="s">
        <v>463</v>
      </c>
    </row>
    <row r="1495" spans="1:15" x14ac:dyDescent="0.3">
      <c r="A1495">
        <v>232678</v>
      </c>
      <c r="B1495">
        <v>105</v>
      </c>
      <c r="C1495" t="s">
        <v>557</v>
      </c>
      <c r="D1495" t="s">
        <v>2605</v>
      </c>
      <c r="E1495" t="s">
        <v>2958</v>
      </c>
      <c r="F1495" s="451">
        <v>46157</v>
      </c>
      <c r="G1495">
        <v>19346</v>
      </c>
      <c r="H1495" t="s">
        <v>4835</v>
      </c>
      <c r="I1495" t="s">
        <v>5191</v>
      </c>
      <c r="J1495">
        <v>3</v>
      </c>
      <c r="K1495" t="s">
        <v>4744</v>
      </c>
      <c r="L1495">
        <v>180</v>
      </c>
      <c r="M1495">
        <v>60</v>
      </c>
      <c r="N1495" t="s">
        <v>5272</v>
      </c>
      <c r="O1495" t="s">
        <v>463</v>
      </c>
    </row>
    <row r="1496" spans="1:15" x14ac:dyDescent="0.3">
      <c r="A1496">
        <v>232678</v>
      </c>
      <c r="B1496">
        <v>105</v>
      </c>
      <c r="C1496" t="s">
        <v>557</v>
      </c>
      <c r="D1496" t="s">
        <v>2605</v>
      </c>
      <c r="E1496" t="s">
        <v>2958</v>
      </c>
      <c r="F1496" s="451">
        <v>46157</v>
      </c>
      <c r="G1496">
        <v>20689</v>
      </c>
      <c r="H1496" t="s">
        <v>5007</v>
      </c>
      <c r="I1496" t="s">
        <v>5191</v>
      </c>
      <c r="J1496">
        <v>2</v>
      </c>
      <c r="K1496" t="s">
        <v>4736</v>
      </c>
      <c r="L1496">
        <v>64.8</v>
      </c>
      <c r="M1496">
        <v>32.4</v>
      </c>
      <c r="N1496" t="s">
        <v>5272</v>
      </c>
      <c r="O1496" t="s">
        <v>463</v>
      </c>
    </row>
    <row r="1497" spans="1:15" x14ac:dyDescent="0.3">
      <c r="A1497">
        <v>232678</v>
      </c>
      <c r="B1497">
        <v>105</v>
      </c>
      <c r="C1497" t="s">
        <v>557</v>
      </c>
      <c r="D1497" t="s">
        <v>2605</v>
      </c>
      <c r="E1497" t="s">
        <v>2958</v>
      </c>
      <c r="F1497" s="451">
        <v>46157</v>
      </c>
      <c r="G1497">
        <v>19291</v>
      </c>
      <c r="H1497" t="s">
        <v>4870</v>
      </c>
      <c r="I1497" t="s">
        <v>5191</v>
      </c>
      <c r="J1497">
        <v>7.82</v>
      </c>
      <c r="K1497" t="s">
        <v>5238</v>
      </c>
      <c r="L1497">
        <v>554.44000000000005</v>
      </c>
      <c r="M1497">
        <v>70.900255999999999</v>
      </c>
      <c r="N1497" t="s">
        <v>5272</v>
      </c>
      <c r="O1497" t="s">
        <v>463</v>
      </c>
    </row>
    <row r="1498" spans="1:15" x14ac:dyDescent="0.3">
      <c r="A1498">
        <v>232677</v>
      </c>
      <c r="B1498">
        <v>105</v>
      </c>
      <c r="C1498" t="s">
        <v>557</v>
      </c>
      <c r="D1498" t="s">
        <v>2605</v>
      </c>
      <c r="E1498" t="s">
        <v>2959</v>
      </c>
      <c r="F1498" s="451">
        <v>46157</v>
      </c>
      <c r="G1498">
        <v>23808</v>
      </c>
      <c r="H1498" t="s">
        <v>4982</v>
      </c>
      <c r="I1498" t="s">
        <v>5191</v>
      </c>
      <c r="J1498">
        <v>1</v>
      </c>
      <c r="K1498" t="s">
        <v>4744</v>
      </c>
      <c r="L1498">
        <v>67.099999999999994</v>
      </c>
      <c r="M1498">
        <v>67.099999999999994</v>
      </c>
      <c r="N1498" t="s">
        <v>5272</v>
      </c>
      <c r="O1498" t="s">
        <v>463</v>
      </c>
    </row>
    <row r="1499" spans="1:15" x14ac:dyDescent="0.3">
      <c r="A1499">
        <v>232677</v>
      </c>
      <c r="B1499">
        <v>105</v>
      </c>
      <c r="C1499" t="s">
        <v>557</v>
      </c>
      <c r="D1499" t="s">
        <v>2605</v>
      </c>
      <c r="E1499" t="s">
        <v>2959</v>
      </c>
      <c r="F1499" s="451">
        <v>46157</v>
      </c>
      <c r="G1499">
        <v>19241</v>
      </c>
      <c r="H1499" t="s">
        <v>4890</v>
      </c>
      <c r="I1499" t="s">
        <v>5191</v>
      </c>
      <c r="J1499">
        <v>2</v>
      </c>
      <c r="K1499" t="s">
        <v>5206</v>
      </c>
      <c r="L1499">
        <v>7.6</v>
      </c>
      <c r="M1499">
        <v>3.8</v>
      </c>
      <c r="N1499" t="s">
        <v>5272</v>
      </c>
      <c r="O1499" t="s">
        <v>463</v>
      </c>
    </row>
    <row r="1500" spans="1:15" x14ac:dyDescent="0.3">
      <c r="A1500">
        <v>232677</v>
      </c>
      <c r="B1500">
        <v>105</v>
      </c>
      <c r="C1500" t="s">
        <v>557</v>
      </c>
      <c r="D1500" t="s">
        <v>2605</v>
      </c>
      <c r="E1500" t="s">
        <v>2959</v>
      </c>
      <c r="F1500" s="451">
        <v>46157</v>
      </c>
      <c r="G1500">
        <v>20657</v>
      </c>
      <c r="H1500" t="s">
        <v>5109</v>
      </c>
      <c r="I1500" t="s">
        <v>5191</v>
      </c>
      <c r="J1500">
        <v>5</v>
      </c>
      <c r="K1500" t="s">
        <v>5206</v>
      </c>
      <c r="L1500">
        <v>33.299999999999997</v>
      </c>
      <c r="M1500">
        <v>6.66</v>
      </c>
      <c r="N1500" t="s">
        <v>5272</v>
      </c>
      <c r="O1500" t="s">
        <v>463</v>
      </c>
    </row>
    <row r="1501" spans="1:15" x14ac:dyDescent="0.3">
      <c r="A1501">
        <v>232677</v>
      </c>
      <c r="B1501">
        <v>105</v>
      </c>
      <c r="C1501" t="s">
        <v>557</v>
      </c>
      <c r="D1501" t="s">
        <v>2605</v>
      </c>
      <c r="E1501" t="s">
        <v>2959</v>
      </c>
      <c r="F1501" s="451">
        <v>46157</v>
      </c>
      <c r="G1501">
        <v>20644</v>
      </c>
      <c r="H1501" t="s">
        <v>5016</v>
      </c>
      <c r="I1501" t="s">
        <v>5191</v>
      </c>
      <c r="J1501">
        <v>2</v>
      </c>
      <c r="K1501" t="s">
        <v>4736</v>
      </c>
      <c r="L1501">
        <v>7.8</v>
      </c>
      <c r="M1501">
        <v>3.9</v>
      </c>
      <c r="N1501" t="s">
        <v>5272</v>
      </c>
      <c r="O1501" t="s">
        <v>463</v>
      </c>
    </row>
    <row r="1502" spans="1:15" x14ac:dyDescent="0.3">
      <c r="A1502">
        <v>232677</v>
      </c>
      <c r="B1502">
        <v>105</v>
      </c>
      <c r="C1502" t="s">
        <v>557</v>
      </c>
      <c r="D1502" t="s">
        <v>2605</v>
      </c>
      <c r="E1502" t="s">
        <v>2959</v>
      </c>
      <c r="F1502" s="451">
        <v>46157</v>
      </c>
      <c r="G1502">
        <v>20227</v>
      </c>
      <c r="H1502" t="s">
        <v>4825</v>
      </c>
      <c r="I1502" t="s">
        <v>5191</v>
      </c>
      <c r="J1502">
        <v>3</v>
      </c>
      <c r="K1502" t="s">
        <v>4738</v>
      </c>
      <c r="L1502">
        <v>39.9</v>
      </c>
      <c r="M1502">
        <v>13.3</v>
      </c>
      <c r="N1502" t="s">
        <v>5272</v>
      </c>
      <c r="O1502" t="s">
        <v>463</v>
      </c>
    </row>
    <row r="1503" spans="1:15" x14ac:dyDescent="0.3">
      <c r="A1503">
        <v>232677</v>
      </c>
      <c r="B1503">
        <v>105</v>
      </c>
      <c r="C1503" t="s">
        <v>557</v>
      </c>
      <c r="D1503" t="s">
        <v>2605</v>
      </c>
      <c r="E1503" t="s">
        <v>2959</v>
      </c>
      <c r="F1503" s="451">
        <v>46157</v>
      </c>
      <c r="G1503">
        <v>27397</v>
      </c>
      <c r="H1503" t="s">
        <v>4913</v>
      </c>
      <c r="I1503" t="s">
        <v>5191</v>
      </c>
      <c r="J1503">
        <v>4</v>
      </c>
      <c r="K1503" t="s">
        <v>4736</v>
      </c>
      <c r="L1503">
        <v>247.4</v>
      </c>
      <c r="M1503">
        <v>61.85</v>
      </c>
      <c r="N1503" t="s">
        <v>5272</v>
      </c>
      <c r="O1503" t="s">
        <v>463</v>
      </c>
    </row>
    <row r="1504" spans="1:15" x14ac:dyDescent="0.3">
      <c r="A1504">
        <v>232677</v>
      </c>
      <c r="B1504">
        <v>105</v>
      </c>
      <c r="C1504" t="s">
        <v>557</v>
      </c>
      <c r="D1504" t="s">
        <v>2605</v>
      </c>
      <c r="E1504" t="s">
        <v>2959</v>
      </c>
      <c r="F1504" s="451">
        <v>46157</v>
      </c>
      <c r="G1504">
        <v>19906</v>
      </c>
      <c r="H1504" t="s">
        <v>5159</v>
      </c>
      <c r="I1504" t="s">
        <v>5191</v>
      </c>
      <c r="J1504">
        <v>1</v>
      </c>
      <c r="K1504" t="s">
        <v>4738</v>
      </c>
      <c r="L1504">
        <v>38</v>
      </c>
      <c r="M1504">
        <v>38</v>
      </c>
      <c r="N1504" t="s">
        <v>5272</v>
      </c>
      <c r="O1504" t="s">
        <v>463</v>
      </c>
    </row>
    <row r="1505" spans="1:15" x14ac:dyDescent="0.3">
      <c r="A1505">
        <v>232677</v>
      </c>
      <c r="B1505">
        <v>105</v>
      </c>
      <c r="C1505" t="s">
        <v>557</v>
      </c>
      <c r="D1505" t="s">
        <v>2605</v>
      </c>
      <c r="E1505" t="s">
        <v>2959</v>
      </c>
      <c r="F1505" s="451">
        <v>46157</v>
      </c>
      <c r="G1505">
        <v>21257</v>
      </c>
      <c r="H1505" t="s">
        <v>4952</v>
      </c>
      <c r="I1505" t="s">
        <v>5191</v>
      </c>
      <c r="J1505">
        <v>2</v>
      </c>
      <c r="K1505" t="s">
        <v>4736</v>
      </c>
      <c r="L1505">
        <v>37.9</v>
      </c>
      <c r="M1505">
        <v>18.95</v>
      </c>
      <c r="N1505" t="s">
        <v>5272</v>
      </c>
      <c r="O1505" t="s">
        <v>463</v>
      </c>
    </row>
    <row r="1506" spans="1:15" x14ac:dyDescent="0.3">
      <c r="A1506">
        <v>232677</v>
      </c>
      <c r="B1506">
        <v>105</v>
      </c>
      <c r="C1506" t="s">
        <v>557</v>
      </c>
      <c r="D1506" t="s">
        <v>2605</v>
      </c>
      <c r="E1506" t="s">
        <v>2959</v>
      </c>
      <c r="F1506" s="451">
        <v>46157</v>
      </c>
      <c r="G1506">
        <v>24322</v>
      </c>
      <c r="H1506" t="s">
        <v>5064</v>
      </c>
      <c r="I1506" t="s">
        <v>5191</v>
      </c>
      <c r="J1506">
        <v>1</v>
      </c>
      <c r="K1506" t="s">
        <v>5238</v>
      </c>
      <c r="L1506">
        <v>22</v>
      </c>
      <c r="M1506">
        <v>22</v>
      </c>
      <c r="N1506" t="s">
        <v>5272</v>
      </c>
      <c r="O1506" t="s">
        <v>463</v>
      </c>
    </row>
    <row r="1507" spans="1:15" x14ac:dyDescent="0.3">
      <c r="A1507">
        <v>232677</v>
      </c>
      <c r="B1507">
        <v>105</v>
      </c>
      <c r="C1507" t="s">
        <v>557</v>
      </c>
      <c r="D1507" t="s">
        <v>2605</v>
      </c>
      <c r="E1507" t="s">
        <v>2959</v>
      </c>
      <c r="F1507" s="451">
        <v>46157</v>
      </c>
      <c r="G1507">
        <v>25358</v>
      </c>
      <c r="H1507" t="s">
        <v>4980</v>
      </c>
      <c r="I1507" t="s">
        <v>5191</v>
      </c>
      <c r="J1507">
        <v>1</v>
      </c>
      <c r="K1507" t="s">
        <v>5238</v>
      </c>
      <c r="L1507">
        <v>84.6</v>
      </c>
      <c r="M1507">
        <v>84.6</v>
      </c>
      <c r="N1507" t="s">
        <v>5272</v>
      </c>
      <c r="O1507" t="s">
        <v>463</v>
      </c>
    </row>
    <row r="1508" spans="1:15" x14ac:dyDescent="0.3">
      <c r="A1508">
        <v>232677</v>
      </c>
      <c r="B1508">
        <v>105</v>
      </c>
      <c r="C1508" t="s">
        <v>557</v>
      </c>
      <c r="D1508" t="s">
        <v>2605</v>
      </c>
      <c r="E1508" t="s">
        <v>2959</v>
      </c>
      <c r="F1508" s="451">
        <v>46157</v>
      </c>
      <c r="G1508">
        <v>19916</v>
      </c>
      <c r="H1508" t="s">
        <v>4826</v>
      </c>
      <c r="I1508" t="s">
        <v>5191</v>
      </c>
      <c r="J1508">
        <v>1</v>
      </c>
      <c r="K1508" t="s">
        <v>4749</v>
      </c>
      <c r="L1508">
        <v>39.9</v>
      </c>
      <c r="M1508">
        <v>39.9</v>
      </c>
      <c r="N1508" t="s">
        <v>5272</v>
      </c>
      <c r="O1508" t="s">
        <v>463</v>
      </c>
    </row>
    <row r="1509" spans="1:15" x14ac:dyDescent="0.3">
      <c r="A1509">
        <v>232677</v>
      </c>
      <c r="B1509">
        <v>105</v>
      </c>
      <c r="C1509" t="s">
        <v>557</v>
      </c>
      <c r="D1509" t="s">
        <v>2605</v>
      </c>
      <c r="E1509" t="s">
        <v>2959</v>
      </c>
      <c r="F1509" s="451">
        <v>46157</v>
      </c>
      <c r="G1509">
        <v>25022</v>
      </c>
      <c r="H1509" t="s">
        <v>4912</v>
      </c>
      <c r="I1509" t="s">
        <v>5191</v>
      </c>
      <c r="J1509">
        <v>3</v>
      </c>
      <c r="K1509" t="s">
        <v>4738</v>
      </c>
      <c r="L1509">
        <v>12.6</v>
      </c>
      <c r="M1509">
        <v>4.2</v>
      </c>
      <c r="N1509" t="s">
        <v>5272</v>
      </c>
      <c r="O1509" t="s">
        <v>463</v>
      </c>
    </row>
    <row r="1510" spans="1:15" x14ac:dyDescent="0.3">
      <c r="A1510">
        <v>232677</v>
      </c>
      <c r="B1510">
        <v>105</v>
      </c>
      <c r="C1510" t="s">
        <v>557</v>
      </c>
      <c r="D1510" t="s">
        <v>2605</v>
      </c>
      <c r="E1510" t="s">
        <v>2959</v>
      </c>
      <c r="F1510" s="451">
        <v>46157</v>
      </c>
      <c r="G1510">
        <v>19415</v>
      </c>
      <c r="H1510" t="s">
        <v>4919</v>
      </c>
      <c r="I1510" t="s">
        <v>5191</v>
      </c>
      <c r="J1510">
        <v>2</v>
      </c>
      <c r="K1510" t="s">
        <v>4736</v>
      </c>
      <c r="L1510">
        <v>17.600000000000001</v>
      </c>
      <c r="M1510">
        <v>8.8000000000000007</v>
      </c>
      <c r="N1510" t="s">
        <v>5272</v>
      </c>
      <c r="O1510" t="s">
        <v>463</v>
      </c>
    </row>
    <row r="1511" spans="1:15" x14ac:dyDescent="0.3">
      <c r="A1511">
        <v>232677</v>
      </c>
      <c r="B1511">
        <v>105</v>
      </c>
      <c r="C1511" t="s">
        <v>557</v>
      </c>
      <c r="D1511" t="s">
        <v>2605</v>
      </c>
      <c r="E1511" t="s">
        <v>2959</v>
      </c>
      <c r="F1511" s="451">
        <v>46157</v>
      </c>
      <c r="G1511">
        <v>20206</v>
      </c>
      <c r="H1511" t="s">
        <v>4914</v>
      </c>
      <c r="I1511" t="s">
        <v>5191</v>
      </c>
      <c r="J1511">
        <v>1</v>
      </c>
      <c r="K1511" t="s">
        <v>4736</v>
      </c>
      <c r="L1511">
        <v>25.9</v>
      </c>
      <c r="M1511">
        <v>25.9</v>
      </c>
      <c r="N1511" t="s">
        <v>5272</v>
      </c>
      <c r="O1511" t="s">
        <v>463</v>
      </c>
    </row>
    <row r="1512" spans="1:15" x14ac:dyDescent="0.3">
      <c r="A1512">
        <v>232676</v>
      </c>
      <c r="B1512">
        <v>105</v>
      </c>
      <c r="C1512" t="s">
        <v>557</v>
      </c>
      <c r="D1512" t="s">
        <v>2571</v>
      </c>
      <c r="E1512" t="s">
        <v>2960</v>
      </c>
      <c r="F1512" s="451">
        <v>46148</v>
      </c>
      <c r="G1512">
        <v>23502</v>
      </c>
      <c r="H1512" t="s">
        <v>4930</v>
      </c>
      <c r="I1512" t="s">
        <v>5191</v>
      </c>
      <c r="J1512">
        <v>1</v>
      </c>
      <c r="K1512" t="s">
        <v>4744</v>
      </c>
      <c r="L1512">
        <v>14.9</v>
      </c>
      <c r="M1512">
        <v>14.9</v>
      </c>
      <c r="N1512" t="s">
        <v>5272</v>
      </c>
      <c r="O1512" t="s">
        <v>463</v>
      </c>
    </row>
    <row r="1513" spans="1:15" x14ac:dyDescent="0.3">
      <c r="A1513">
        <v>232676</v>
      </c>
      <c r="B1513">
        <v>105</v>
      </c>
      <c r="C1513" t="s">
        <v>557</v>
      </c>
      <c r="D1513" t="s">
        <v>2571</v>
      </c>
      <c r="E1513" t="s">
        <v>2960</v>
      </c>
      <c r="F1513" s="451">
        <v>46148</v>
      </c>
      <c r="G1513">
        <v>20358</v>
      </c>
      <c r="H1513" t="s">
        <v>4911</v>
      </c>
      <c r="I1513" t="s">
        <v>5191</v>
      </c>
      <c r="J1513">
        <v>3</v>
      </c>
      <c r="K1513" t="s">
        <v>4738</v>
      </c>
      <c r="L1513">
        <v>42.75</v>
      </c>
      <c r="M1513">
        <v>14.25</v>
      </c>
      <c r="N1513" t="s">
        <v>5272</v>
      </c>
      <c r="O1513" t="s">
        <v>463</v>
      </c>
    </row>
    <row r="1514" spans="1:15" x14ac:dyDescent="0.3">
      <c r="A1514">
        <v>232676</v>
      </c>
      <c r="B1514">
        <v>105</v>
      </c>
      <c r="C1514" t="s">
        <v>557</v>
      </c>
      <c r="D1514" t="s">
        <v>2571</v>
      </c>
      <c r="E1514" t="s">
        <v>2960</v>
      </c>
      <c r="F1514" s="451">
        <v>46148</v>
      </c>
      <c r="G1514">
        <v>21093</v>
      </c>
      <c r="H1514" t="s">
        <v>4855</v>
      </c>
      <c r="I1514" t="s">
        <v>5191</v>
      </c>
      <c r="J1514">
        <v>20</v>
      </c>
      <c r="K1514" t="s">
        <v>4736</v>
      </c>
      <c r="L1514">
        <v>87.8</v>
      </c>
      <c r="M1514">
        <v>4.3899999999999997</v>
      </c>
      <c r="N1514" t="s">
        <v>5272</v>
      </c>
      <c r="O1514" t="s">
        <v>463</v>
      </c>
    </row>
    <row r="1515" spans="1:15" x14ac:dyDescent="0.3">
      <c r="A1515">
        <v>232676</v>
      </c>
      <c r="B1515">
        <v>105</v>
      </c>
      <c r="C1515" t="s">
        <v>557</v>
      </c>
      <c r="D1515" t="s">
        <v>2571</v>
      </c>
      <c r="E1515" t="s">
        <v>2960</v>
      </c>
      <c r="F1515" s="451">
        <v>46148</v>
      </c>
      <c r="G1515">
        <v>20809</v>
      </c>
      <c r="H1515" t="s">
        <v>4822</v>
      </c>
      <c r="I1515" t="s">
        <v>5191</v>
      </c>
      <c r="J1515">
        <v>8</v>
      </c>
      <c r="K1515" t="s">
        <v>4736</v>
      </c>
      <c r="L1515">
        <v>239.92</v>
      </c>
      <c r="M1515">
        <v>29.99</v>
      </c>
      <c r="N1515" t="s">
        <v>5272</v>
      </c>
      <c r="O1515" t="s">
        <v>463</v>
      </c>
    </row>
    <row r="1516" spans="1:15" x14ac:dyDescent="0.3">
      <c r="A1516">
        <v>232676</v>
      </c>
      <c r="B1516">
        <v>105</v>
      </c>
      <c r="C1516" t="s">
        <v>557</v>
      </c>
      <c r="D1516" t="s">
        <v>2571</v>
      </c>
      <c r="E1516" t="s">
        <v>2960</v>
      </c>
      <c r="F1516" s="451">
        <v>46148</v>
      </c>
      <c r="G1516">
        <v>19421</v>
      </c>
      <c r="H1516" t="s">
        <v>4918</v>
      </c>
      <c r="I1516" t="s">
        <v>5191</v>
      </c>
      <c r="J1516">
        <v>2</v>
      </c>
      <c r="K1516" t="s">
        <v>4749</v>
      </c>
      <c r="L1516">
        <v>163.68</v>
      </c>
      <c r="M1516">
        <v>81.84</v>
      </c>
      <c r="N1516" t="s">
        <v>5272</v>
      </c>
      <c r="O1516" t="s">
        <v>463</v>
      </c>
    </row>
    <row r="1517" spans="1:15" x14ac:dyDescent="0.3">
      <c r="A1517">
        <v>232676</v>
      </c>
      <c r="B1517">
        <v>105</v>
      </c>
      <c r="C1517" t="s">
        <v>557</v>
      </c>
      <c r="D1517" t="s">
        <v>2571</v>
      </c>
      <c r="E1517" t="s">
        <v>2960</v>
      </c>
      <c r="F1517" s="451">
        <v>46148</v>
      </c>
      <c r="G1517">
        <v>20653</v>
      </c>
      <c r="H1517" t="s">
        <v>5013</v>
      </c>
      <c r="I1517" t="s">
        <v>5191</v>
      </c>
      <c r="J1517">
        <v>1</v>
      </c>
      <c r="K1517" t="s">
        <v>4736</v>
      </c>
      <c r="L1517">
        <v>25.96</v>
      </c>
      <c r="M1517">
        <v>25.96</v>
      </c>
      <c r="N1517" t="s">
        <v>5272</v>
      </c>
      <c r="O1517" t="s">
        <v>463</v>
      </c>
    </row>
    <row r="1518" spans="1:15" x14ac:dyDescent="0.3">
      <c r="A1518">
        <v>232676</v>
      </c>
      <c r="B1518">
        <v>105</v>
      </c>
      <c r="C1518" t="s">
        <v>557</v>
      </c>
      <c r="D1518" t="s">
        <v>2571</v>
      </c>
      <c r="E1518" t="s">
        <v>2960</v>
      </c>
      <c r="F1518" s="451">
        <v>46148</v>
      </c>
      <c r="G1518">
        <v>19967</v>
      </c>
      <c r="H1518" t="s">
        <v>4956</v>
      </c>
      <c r="I1518" t="s">
        <v>5191</v>
      </c>
      <c r="J1518">
        <v>1</v>
      </c>
      <c r="K1518" t="s">
        <v>4736</v>
      </c>
      <c r="L1518">
        <v>49.28</v>
      </c>
      <c r="M1518">
        <v>49.28</v>
      </c>
      <c r="N1518" t="s">
        <v>5272</v>
      </c>
      <c r="O1518" t="s">
        <v>463</v>
      </c>
    </row>
    <row r="1519" spans="1:15" x14ac:dyDescent="0.3">
      <c r="A1519">
        <v>232675</v>
      </c>
      <c r="B1519">
        <v>105</v>
      </c>
      <c r="C1519" t="s">
        <v>557</v>
      </c>
      <c r="D1519" t="s">
        <v>2571</v>
      </c>
      <c r="E1519" t="s">
        <v>2961</v>
      </c>
      <c r="F1519" s="451">
        <v>46148</v>
      </c>
      <c r="G1519">
        <v>20661</v>
      </c>
      <c r="H1519" t="s">
        <v>5012</v>
      </c>
      <c r="I1519" t="s">
        <v>5191</v>
      </c>
      <c r="J1519">
        <v>2</v>
      </c>
      <c r="K1519" t="s">
        <v>4736</v>
      </c>
      <c r="L1519">
        <v>17.18</v>
      </c>
      <c r="M1519">
        <v>8.59</v>
      </c>
      <c r="N1519" t="s">
        <v>5272</v>
      </c>
      <c r="O1519" t="s">
        <v>463</v>
      </c>
    </row>
    <row r="1520" spans="1:15" x14ac:dyDescent="0.3">
      <c r="A1520">
        <v>232675</v>
      </c>
      <c r="B1520">
        <v>105</v>
      </c>
      <c r="C1520" t="s">
        <v>557</v>
      </c>
      <c r="D1520" t="s">
        <v>2571</v>
      </c>
      <c r="E1520" t="s">
        <v>2961</v>
      </c>
      <c r="F1520" s="451">
        <v>46148</v>
      </c>
      <c r="G1520">
        <v>20231</v>
      </c>
      <c r="H1520" t="s">
        <v>5273</v>
      </c>
      <c r="I1520" t="s">
        <v>5191</v>
      </c>
      <c r="J1520">
        <v>2</v>
      </c>
      <c r="K1520" t="s">
        <v>4738</v>
      </c>
      <c r="L1520">
        <v>33.799999999999997</v>
      </c>
      <c r="M1520">
        <v>16.899999999999999</v>
      </c>
      <c r="N1520" t="s">
        <v>5272</v>
      </c>
      <c r="O1520" t="s">
        <v>463</v>
      </c>
    </row>
    <row r="1521" spans="1:15" x14ac:dyDescent="0.3">
      <c r="A1521">
        <v>232675</v>
      </c>
      <c r="B1521">
        <v>105</v>
      </c>
      <c r="C1521" t="s">
        <v>557</v>
      </c>
      <c r="D1521" t="s">
        <v>2571</v>
      </c>
      <c r="E1521" t="s">
        <v>2961</v>
      </c>
      <c r="F1521" s="451">
        <v>46148</v>
      </c>
      <c r="G1521">
        <v>23884</v>
      </c>
      <c r="H1521" t="s">
        <v>5070</v>
      </c>
      <c r="I1521" t="s">
        <v>5191</v>
      </c>
      <c r="J1521">
        <v>2</v>
      </c>
      <c r="K1521" t="s">
        <v>4736</v>
      </c>
      <c r="L1521">
        <v>17.8</v>
      </c>
      <c r="M1521">
        <v>8.9</v>
      </c>
      <c r="N1521" t="s">
        <v>5272</v>
      </c>
      <c r="O1521" t="s">
        <v>463</v>
      </c>
    </row>
    <row r="1522" spans="1:15" x14ac:dyDescent="0.3">
      <c r="A1522">
        <v>232675</v>
      </c>
      <c r="B1522">
        <v>105</v>
      </c>
      <c r="C1522" t="s">
        <v>557</v>
      </c>
      <c r="D1522" t="s">
        <v>2571</v>
      </c>
      <c r="E1522" t="s">
        <v>2961</v>
      </c>
      <c r="F1522" s="451">
        <v>46148</v>
      </c>
      <c r="G1522">
        <v>20176</v>
      </c>
      <c r="H1522" t="s">
        <v>5175</v>
      </c>
      <c r="I1522" t="s">
        <v>5191</v>
      </c>
      <c r="J1522">
        <v>2</v>
      </c>
      <c r="K1522" t="s">
        <v>4736</v>
      </c>
      <c r="L1522">
        <v>66.239999999999995</v>
      </c>
      <c r="M1522">
        <v>33.119999999999997</v>
      </c>
      <c r="N1522" t="s">
        <v>5272</v>
      </c>
      <c r="O1522" t="s">
        <v>463</v>
      </c>
    </row>
    <row r="1523" spans="1:15" x14ac:dyDescent="0.3">
      <c r="A1523">
        <v>232675</v>
      </c>
      <c r="B1523">
        <v>105</v>
      </c>
      <c r="C1523" t="s">
        <v>557</v>
      </c>
      <c r="D1523" t="s">
        <v>2571</v>
      </c>
      <c r="E1523" t="s">
        <v>2961</v>
      </c>
      <c r="F1523" s="451">
        <v>46148</v>
      </c>
      <c r="G1523">
        <v>26020</v>
      </c>
      <c r="H1523" t="s">
        <v>5102</v>
      </c>
      <c r="I1523" t="s">
        <v>5191</v>
      </c>
      <c r="J1523">
        <v>2</v>
      </c>
      <c r="K1523" t="s">
        <v>4736</v>
      </c>
      <c r="L1523">
        <v>27.9</v>
      </c>
      <c r="M1523">
        <v>13.95</v>
      </c>
      <c r="N1523" t="s">
        <v>5272</v>
      </c>
      <c r="O1523" t="s">
        <v>463</v>
      </c>
    </row>
    <row r="1524" spans="1:15" x14ac:dyDescent="0.3">
      <c r="A1524">
        <v>232675</v>
      </c>
      <c r="B1524">
        <v>105</v>
      </c>
      <c r="C1524" t="s">
        <v>557</v>
      </c>
      <c r="D1524" t="s">
        <v>2571</v>
      </c>
      <c r="E1524" t="s">
        <v>2961</v>
      </c>
      <c r="F1524" s="451">
        <v>46148</v>
      </c>
      <c r="G1524">
        <v>25075</v>
      </c>
      <c r="H1524" t="s">
        <v>4790</v>
      </c>
      <c r="I1524" t="s">
        <v>5191</v>
      </c>
      <c r="J1524">
        <v>6</v>
      </c>
      <c r="K1524" t="s">
        <v>5228</v>
      </c>
      <c r="L1524">
        <v>50.88</v>
      </c>
      <c r="M1524">
        <v>8.48</v>
      </c>
      <c r="N1524" t="s">
        <v>5272</v>
      </c>
      <c r="O1524" t="s">
        <v>463</v>
      </c>
    </row>
    <row r="1525" spans="1:15" x14ac:dyDescent="0.3">
      <c r="A1525">
        <v>232675</v>
      </c>
      <c r="B1525">
        <v>105</v>
      </c>
      <c r="C1525" t="s">
        <v>557</v>
      </c>
      <c r="D1525" t="s">
        <v>2571</v>
      </c>
      <c r="E1525" t="s">
        <v>2961</v>
      </c>
      <c r="F1525" s="451">
        <v>46148</v>
      </c>
      <c r="G1525">
        <v>20242</v>
      </c>
      <c r="H1525" t="s">
        <v>4824</v>
      </c>
      <c r="I1525" t="s">
        <v>5191</v>
      </c>
      <c r="J1525">
        <v>10</v>
      </c>
      <c r="K1525" t="s">
        <v>4738</v>
      </c>
      <c r="L1525">
        <v>89.5</v>
      </c>
      <c r="M1525">
        <v>8.9499999999999993</v>
      </c>
      <c r="N1525" t="s">
        <v>5272</v>
      </c>
      <c r="O1525" t="s">
        <v>463</v>
      </c>
    </row>
    <row r="1526" spans="1:15" x14ac:dyDescent="0.3">
      <c r="A1526">
        <v>232675</v>
      </c>
      <c r="B1526">
        <v>105</v>
      </c>
      <c r="C1526" t="s">
        <v>557</v>
      </c>
      <c r="D1526" t="s">
        <v>2571</v>
      </c>
      <c r="E1526" t="s">
        <v>2961</v>
      </c>
      <c r="F1526" s="451">
        <v>46148</v>
      </c>
      <c r="G1526">
        <v>27397</v>
      </c>
      <c r="H1526" t="s">
        <v>4913</v>
      </c>
      <c r="I1526" t="s">
        <v>5191</v>
      </c>
      <c r="J1526">
        <v>3</v>
      </c>
      <c r="K1526" t="s">
        <v>4736</v>
      </c>
      <c r="L1526">
        <v>185.64</v>
      </c>
      <c r="M1526">
        <v>61.88</v>
      </c>
      <c r="N1526" t="s">
        <v>5272</v>
      </c>
      <c r="O1526" t="s">
        <v>463</v>
      </c>
    </row>
    <row r="1527" spans="1:15" x14ac:dyDescent="0.3">
      <c r="A1527">
        <v>232674</v>
      </c>
      <c r="B1527">
        <v>105</v>
      </c>
      <c r="C1527" t="s">
        <v>557</v>
      </c>
      <c r="D1527" t="s">
        <v>2571</v>
      </c>
      <c r="E1527" t="s">
        <v>2962</v>
      </c>
      <c r="F1527" s="451">
        <v>46157</v>
      </c>
      <c r="G1527">
        <v>21093</v>
      </c>
      <c r="H1527" t="s">
        <v>4855</v>
      </c>
      <c r="I1527" t="s">
        <v>5191</v>
      </c>
      <c r="J1527">
        <v>10</v>
      </c>
      <c r="K1527" t="s">
        <v>4736</v>
      </c>
      <c r="L1527">
        <v>43.9</v>
      </c>
      <c r="M1527">
        <v>4.3899999999999997</v>
      </c>
      <c r="N1527" t="s">
        <v>5272</v>
      </c>
      <c r="O1527" t="s">
        <v>463</v>
      </c>
    </row>
    <row r="1528" spans="1:15" x14ac:dyDescent="0.3">
      <c r="A1528">
        <v>232674</v>
      </c>
      <c r="B1528">
        <v>105</v>
      </c>
      <c r="C1528" t="s">
        <v>557</v>
      </c>
      <c r="D1528" t="s">
        <v>2571</v>
      </c>
      <c r="E1528" t="s">
        <v>2962</v>
      </c>
      <c r="F1528" s="451">
        <v>46157</v>
      </c>
      <c r="G1528">
        <v>19421</v>
      </c>
      <c r="H1528" t="s">
        <v>4918</v>
      </c>
      <c r="I1528" t="s">
        <v>5191</v>
      </c>
      <c r="J1528">
        <v>2</v>
      </c>
      <c r="K1528" t="s">
        <v>4749</v>
      </c>
      <c r="L1528">
        <v>163.68</v>
      </c>
      <c r="M1528">
        <v>81.84</v>
      </c>
      <c r="N1528" t="s">
        <v>5272</v>
      </c>
      <c r="O1528" t="s">
        <v>463</v>
      </c>
    </row>
    <row r="1529" spans="1:15" x14ac:dyDescent="0.3">
      <c r="A1529">
        <v>232674</v>
      </c>
      <c r="B1529">
        <v>105</v>
      </c>
      <c r="C1529" t="s">
        <v>557</v>
      </c>
      <c r="D1529" t="s">
        <v>2571</v>
      </c>
      <c r="E1529" t="s">
        <v>2962</v>
      </c>
      <c r="F1529" s="451">
        <v>46157</v>
      </c>
      <c r="G1529">
        <v>20672</v>
      </c>
      <c r="H1529" t="s">
        <v>4857</v>
      </c>
      <c r="I1529" t="s">
        <v>5191</v>
      </c>
      <c r="J1529">
        <v>1</v>
      </c>
      <c r="K1529" t="s">
        <v>4738</v>
      </c>
      <c r="L1529">
        <v>29.55</v>
      </c>
      <c r="M1529">
        <v>29.55</v>
      </c>
      <c r="N1529" t="s">
        <v>5272</v>
      </c>
      <c r="O1529" t="s">
        <v>463</v>
      </c>
    </row>
    <row r="1530" spans="1:15" x14ac:dyDescent="0.3">
      <c r="A1530">
        <v>232674</v>
      </c>
      <c r="B1530">
        <v>105</v>
      </c>
      <c r="C1530" t="s">
        <v>557</v>
      </c>
      <c r="D1530" t="s">
        <v>2571</v>
      </c>
      <c r="E1530" t="s">
        <v>2962</v>
      </c>
      <c r="F1530" s="451">
        <v>46157</v>
      </c>
      <c r="G1530">
        <v>20653</v>
      </c>
      <c r="H1530" t="s">
        <v>5013</v>
      </c>
      <c r="I1530" t="s">
        <v>5191</v>
      </c>
      <c r="J1530">
        <v>1</v>
      </c>
      <c r="K1530" t="s">
        <v>4736</v>
      </c>
      <c r="L1530">
        <v>25.96</v>
      </c>
      <c r="M1530">
        <v>25.96</v>
      </c>
      <c r="N1530" t="s">
        <v>5272</v>
      </c>
      <c r="O1530" t="s">
        <v>463</v>
      </c>
    </row>
    <row r="1531" spans="1:15" x14ac:dyDescent="0.3">
      <c r="A1531">
        <v>232674</v>
      </c>
      <c r="B1531">
        <v>105</v>
      </c>
      <c r="C1531" t="s">
        <v>557</v>
      </c>
      <c r="D1531" t="s">
        <v>2571</v>
      </c>
      <c r="E1531" t="s">
        <v>2962</v>
      </c>
      <c r="F1531" s="451">
        <v>46157</v>
      </c>
      <c r="G1531">
        <v>21021</v>
      </c>
      <c r="H1531" t="s">
        <v>4883</v>
      </c>
      <c r="I1531" t="s">
        <v>5191</v>
      </c>
      <c r="J1531">
        <v>3</v>
      </c>
      <c r="K1531" t="s">
        <v>4736</v>
      </c>
      <c r="L1531">
        <v>563.28</v>
      </c>
      <c r="M1531">
        <v>187.76</v>
      </c>
      <c r="N1531" t="s">
        <v>5272</v>
      </c>
      <c r="O1531" t="s">
        <v>463</v>
      </c>
    </row>
    <row r="1532" spans="1:15" x14ac:dyDescent="0.3">
      <c r="A1532">
        <v>232674</v>
      </c>
      <c r="B1532">
        <v>105</v>
      </c>
      <c r="C1532" t="s">
        <v>557</v>
      </c>
      <c r="D1532" t="s">
        <v>2571</v>
      </c>
      <c r="E1532" t="s">
        <v>2962</v>
      </c>
      <c r="F1532" s="451">
        <v>46157</v>
      </c>
      <c r="G1532">
        <v>20358</v>
      </c>
      <c r="H1532" t="s">
        <v>4911</v>
      </c>
      <c r="I1532" t="s">
        <v>5191</v>
      </c>
      <c r="J1532">
        <v>2</v>
      </c>
      <c r="K1532" t="s">
        <v>4738</v>
      </c>
      <c r="L1532">
        <v>29.92</v>
      </c>
      <c r="M1532">
        <v>14.96</v>
      </c>
      <c r="N1532" t="s">
        <v>5272</v>
      </c>
      <c r="O1532" t="s">
        <v>463</v>
      </c>
    </row>
    <row r="1533" spans="1:15" x14ac:dyDescent="0.3">
      <c r="A1533">
        <v>232674</v>
      </c>
      <c r="B1533">
        <v>105</v>
      </c>
      <c r="C1533" t="s">
        <v>557</v>
      </c>
      <c r="D1533" t="s">
        <v>2571</v>
      </c>
      <c r="E1533" t="s">
        <v>2962</v>
      </c>
      <c r="F1533" s="451">
        <v>46157</v>
      </c>
      <c r="G1533">
        <v>20809</v>
      </c>
      <c r="H1533" t="s">
        <v>4822</v>
      </c>
      <c r="I1533" t="s">
        <v>5191</v>
      </c>
      <c r="J1533">
        <v>6</v>
      </c>
      <c r="K1533" t="s">
        <v>4736</v>
      </c>
      <c r="L1533">
        <v>179.94</v>
      </c>
      <c r="M1533">
        <v>29.99</v>
      </c>
      <c r="N1533" t="s">
        <v>5272</v>
      </c>
      <c r="O1533" t="s">
        <v>463</v>
      </c>
    </row>
    <row r="1534" spans="1:15" x14ac:dyDescent="0.3">
      <c r="A1534">
        <v>232673</v>
      </c>
      <c r="B1534">
        <v>105</v>
      </c>
      <c r="C1534" t="s">
        <v>557</v>
      </c>
      <c r="D1534" t="s">
        <v>2963</v>
      </c>
      <c r="E1534" t="s">
        <v>2964</v>
      </c>
      <c r="F1534" s="451">
        <v>46156</v>
      </c>
      <c r="G1534">
        <v>17062</v>
      </c>
      <c r="H1534" t="s">
        <v>4880</v>
      </c>
      <c r="I1534" t="s">
        <v>5191</v>
      </c>
      <c r="J1534">
        <v>3</v>
      </c>
      <c r="K1534" t="s">
        <v>5323</v>
      </c>
      <c r="L1534">
        <v>378.09</v>
      </c>
      <c r="M1534">
        <v>126.03</v>
      </c>
      <c r="N1534" t="s">
        <v>5272</v>
      </c>
      <c r="O1534" t="s">
        <v>463</v>
      </c>
    </row>
    <row r="1535" spans="1:15" x14ac:dyDescent="0.3">
      <c r="A1535">
        <v>232673</v>
      </c>
      <c r="B1535">
        <v>105</v>
      </c>
      <c r="C1535" t="s">
        <v>557</v>
      </c>
      <c r="D1535" t="s">
        <v>2963</v>
      </c>
      <c r="E1535" t="s">
        <v>2964</v>
      </c>
      <c r="F1535" s="451">
        <v>46156</v>
      </c>
      <c r="G1535">
        <v>21150</v>
      </c>
      <c r="H1535" t="s">
        <v>4878</v>
      </c>
      <c r="I1535" t="s">
        <v>5191</v>
      </c>
      <c r="J1535">
        <v>3</v>
      </c>
      <c r="K1535" t="s">
        <v>4736</v>
      </c>
      <c r="L1535">
        <v>339.93</v>
      </c>
      <c r="M1535">
        <v>113.31</v>
      </c>
      <c r="N1535" t="s">
        <v>5272</v>
      </c>
      <c r="O1535" t="s">
        <v>463</v>
      </c>
    </row>
    <row r="1536" spans="1:15" x14ac:dyDescent="0.3">
      <c r="A1536">
        <v>232672</v>
      </c>
      <c r="B1536">
        <v>105</v>
      </c>
      <c r="C1536" t="s">
        <v>557</v>
      </c>
      <c r="D1536" t="s">
        <v>2548</v>
      </c>
      <c r="E1536" t="s">
        <v>2965</v>
      </c>
      <c r="F1536" s="451">
        <v>46146</v>
      </c>
      <c r="G1536">
        <v>17397</v>
      </c>
      <c r="H1536" t="s">
        <v>5246</v>
      </c>
      <c r="I1536" t="s">
        <v>5188</v>
      </c>
      <c r="J1536">
        <v>2</v>
      </c>
      <c r="K1536" t="s">
        <v>5245</v>
      </c>
      <c r="L1536">
        <v>66.2</v>
      </c>
      <c r="M1536">
        <v>33.1</v>
      </c>
      <c r="N1536" t="s">
        <v>5277</v>
      </c>
      <c r="O1536" t="s">
        <v>463</v>
      </c>
    </row>
    <row r="1537" spans="1:15" x14ac:dyDescent="0.3">
      <c r="A1537">
        <v>232672</v>
      </c>
      <c r="B1537">
        <v>105</v>
      </c>
      <c r="C1537" t="s">
        <v>557</v>
      </c>
      <c r="D1537" t="s">
        <v>2548</v>
      </c>
      <c r="E1537" t="s">
        <v>2965</v>
      </c>
      <c r="F1537" s="451">
        <v>46146</v>
      </c>
      <c r="G1537">
        <v>17401</v>
      </c>
      <c r="H1537" t="s">
        <v>5243</v>
      </c>
      <c r="I1537" t="s">
        <v>5188</v>
      </c>
      <c r="J1537">
        <v>1</v>
      </c>
      <c r="K1537" t="s">
        <v>4738</v>
      </c>
      <c r="L1537">
        <v>162.9</v>
      </c>
      <c r="M1537">
        <v>162.9</v>
      </c>
      <c r="N1537" t="s">
        <v>5277</v>
      </c>
      <c r="O1537" t="s">
        <v>463</v>
      </c>
    </row>
    <row r="1538" spans="1:15" x14ac:dyDescent="0.3">
      <c r="A1538">
        <v>232672</v>
      </c>
      <c r="B1538">
        <v>105</v>
      </c>
      <c r="C1538" t="s">
        <v>557</v>
      </c>
      <c r="D1538" t="s">
        <v>2548</v>
      </c>
      <c r="E1538" t="s">
        <v>2965</v>
      </c>
      <c r="F1538" s="451">
        <v>46146</v>
      </c>
      <c r="G1538">
        <v>17384</v>
      </c>
      <c r="H1538" t="s">
        <v>5249</v>
      </c>
      <c r="I1538" t="s">
        <v>5188</v>
      </c>
      <c r="J1538">
        <v>1</v>
      </c>
      <c r="K1538" t="s">
        <v>4738</v>
      </c>
      <c r="L1538">
        <v>162.9</v>
      </c>
      <c r="M1538">
        <v>162.9</v>
      </c>
      <c r="N1538" t="s">
        <v>5277</v>
      </c>
      <c r="O1538" t="s">
        <v>463</v>
      </c>
    </row>
    <row r="1539" spans="1:15" x14ac:dyDescent="0.3">
      <c r="A1539">
        <v>232672</v>
      </c>
      <c r="B1539">
        <v>105</v>
      </c>
      <c r="C1539" t="s">
        <v>557</v>
      </c>
      <c r="D1539" t="s">
        <v>2548</v>
      </c>
      <c r="E1539" t="s">
        <v>2965</v>
      </c>
      <c r="F1539" s="451">
        <v>46146</v>
      </c>
      <c r="G1539">
        <v>17399</v>
      </c>
      <c r="H1539" t="s">
        <v>5244</v>
      </c>
      <c r="I1539" t="s">
        <v>5188</v>
      </c>
      <c r="J1539">
        <v>1</v>
      </c>
      <c r="K1539" t="s">
        <v>5245</v>
      </c>
      <c r="L1539">
        <v>19.670000000000002</v>
      </c>
      <c r="M1539">
        <v>19.670000000000002</v>
      </c>
      <c r="N1539" t="s">
        <v>5277</v>
      </c>
      <c r="O1539" t="s">
        <v>463</v>
      </c>
    </row>
    <row r="1540" spans="1:15" x14ac:dyDescent="0.3">
      <c r="A1540">
        <v>232672</v>
      </c>
      <c r="B1540">
        <v>105</v>
      </c>
      <c r="C1540" t="s">
        <v>557</v>
      </c>
      <c r="D1540" t="s">
        <v>2548</v>
      </c>
      <c r="E1540" t="s">
        <v>2965</v>
      </c>
      <c r="F1540" s="451">
        <v>46146</v>
      </c>
      <c r="G1540">
        <v>21423</v>
      </c>
      <c r="H1540" t="s">
        <v>5248</v>
      </c>
      <c r="I1540" t="s">
        <v>5188</v>
      </c>
      <c r="J1540">
        <v>2</v>
      </c>
      <c r="K1540" t="s">
        <v>5245</v>
      </c>
      <c r="L1540">
        <v>66.2</v>
      </c>
      <c r="M1540">
        <v>33.1</v>
      </c>
      <c r="N1540" t="s">
        <v>5277</v>
      </c>
      <c r="O1540" t="s">
        <v>463</v>
      </c>
    </row>
    <row r="1541" spans="1:15" x14ac:dyDescent="0.3">
      <c r="A1541">
        <v>232671</v>
      </c>
      <c r="B1541">
        <v>105</v>
      </c>
      <c r="C1541" t="s">
        <v>557</v>
      </c>
      <c r="D1541" t="s">
        <v>2579</v>
      </c>
      <c r="E1541" t="s">
        <v>2966</v>
      </c>
      <c r="F1541" s="451">
        <v>46156</v>
      </c>
      <c r="G1541">
        <v>19787</v>
      </c>
      <c r="H1541" t="s">
        <v>4793</v>
      </c>
      <c r="I1541" t="s">
        <v>5191</v>
      </c>
      <c r="J1541">
        <v>7</v>
      </c>
      <c r="K1541" t="s">
        <v>4744</v>
      </c>
      <c r="L1541">
        <v>41.86</v>
      </c>
      <c r="M1541">
        <v>5.98</v>
      </c>
      <c r="N1541" t="s">
        <v>5272</v>
      </c>
      <c r="O1541" t="s">
        <v>463</v>
      </c>
    </row>
    <row r="1542" spans="1:15" x14ac:dyDescent="0.3">
      <c r="A1542">
        <v>232671</v>
      </c>
      <c r="B1542">
        <v>105</v>
      </c>
      <c r="C1542" t="s">
        <v>557</v>
      </c>
      <c r="D1542" t="s">
        <v>2579</v>
      </c>
      <c r="E1542" t="s">
        <v>2966</v>
      </c>
      <c r="F1542" s="451">
        <v>46156</v>
      </c>
      <c r="G1542">
        <v>23096</v>
      </c>
      <c r="H1542" t="s">
        <v>5164</v>
      </c>
      <c r="I1542" t="s">
        <v>5191</v>
      </c>
      <c r="J1542">
        <v>60</v>
      </c>
      <c r="K1542" t="s">
        <v>4736</v>
      </c>
      <c r="L1542">
        <v>39</v>
      </c>
      <c r="M1542">
        <v>0.65</v>
      </c>
      <c r="N1542" t="s">
        <v>5272</v>
      </c>
      <c r="O1542" t="s">
        <v>463</v>
      </c>
    </row>
    <row r="1543" spans="1:15" x14ac:dyDescent="0.3">
      <c r="A1543">
        <v>232671</v>
      </c>
      <c r="B1543">
        <v>105</v>
      </c>
      <c r="C1543" t="s">
        <v>557</v>
      </c>
      <c r="D1543" t="s">
        <v>2579</v>
      </c>
      <c r="E1543" t="s">
        <v>2966</v>
      </c>
      <c r="F1543" s="451">
        <v>46156</v>
      </c>
      <c r="G1543">
        <v>23361</v>
      </c>
      <c r="H1543" t="s">
        <v>4754</v>
      </c>
      <c r="I1543" t="s">
        <v>5191</v>
      </c>
      <c r="J1543">
        <v>20</v>
      </c>
      <c r="K1543" t="s">
        <v>4744</v>
      </c>
      <c r="L1543">
        <v>58.6</v>
      </c>
      <c r="M1543">
        <v>2.93</v>
      </c>
      <c r="N1543" t="s">
        <v>5272</v>
      </c>
      <c r="O1543" t="s">
        <v>463</v>
      </c>
    </row>
    <row r="1544" spans="1:15" x14ac:dyDescent="0.3">
      <c r="A1544">
        <v>232671</v>
      </c>
      <c r="B1544">
        <v>105</v>
      </c>
      <c r="C1544" t="s">
        <v>557</v>
      </c>
      <c r="D1544" t="s">
        <v>2579</v>
      </c>
      <c r="E1544" t="s">
        <v>2966</v>
      </c>
      <c r="F1544" s="451">
        <v>46156</v>
      </c>
      <c r="G1544">
        <v>19740</v>
      </c>
      <c r="H1544" t="s">
        <v>4779</v>
      </c>
      <c r="I1544" t="s">
        <v>5191</v>
      </c>
      <c r="J1544">
        <v>10</v>
      </c>
      <c r="K1544" t="s">
        <v>4744</v>
      </c>
      <c r="L1544">
        <v>91</v>
      </c>
      <c r="M1544">
        <v>9.1</v>
      </c>
      <c r="N1544" t="s">
        <v>5272</v>
      </c>
      <c r="O1544" t="s">
        <v>463</v>
      </c>
    </row>
    <row r="1545" spans="1:15" x14ac:dyDescent="0.3">
      <c r="A1545">
        <v>232671</v>
      </c>
      <c r="B1545">
        <v>105</v>
      </c>
      <c r="C1545" t="s">
        <v>557</v>
      </c>
      <c r="D1545" t="s">
        <v>2579</v>
      </c>
      <c r="E1545" t="s">
        <v>2966</v>
      </c>
      <c r="F1545" s="451">
        <v>46156</v>
      </c>
      <c r="G1545">
        <v>23385</v>
      </c>
      <c r="H1545" t="s">
        <v>4938</v>
      </c>
      <c r="I1545" t="s">
        <v>5191</v>
      </c>
      <c r="J1545">
        <v>1</v>
      </c>
      <c r="K1545" t="s">
        <v>4744</v>
      </c>
      <c r="L1545">
        <v>71.5</v>
      </c>
      <c r="M1545">
        <v>71.5</v>
      </c>
      <c r="N1545" t="s">
        <v>5272</v>
      </c>
      <c r="O1545" t="s">
        <v>463</v>
      </c>
    </row>
    <row r="1546" spans="1:15" x14ac:dyDescent="0.3">
      <c r="A1546">
        <v>232671</v>
      </c>
      <c r="B1546">
        <v>105</v>
      </c>
      <c r="C1546" t="s">
        <v>557</v>
      </c>
      <c r="D1546" t="s">
        <v>2579</v>
      </c>
      <c r="E1546" t="s">
        <v>2966</v>
      </c>
      <c r="F1546" s="451">
        <v>46156</v>
      </c>
      <c r="G1546">
        <v>23238</v>
      </c>
      <c r="H1546" t="s">
        <v>4934</v>
      </c>
      <c r="I1546" t="s">
        <v>5191</v>
      </c>
      <c r="J1546">
        <v>2</v>
      </c>
      <c r="K1546" t="s">
        <v>4744</v>
      </c>
      <c r="L1546">
        <v>52</v>
      </c>
      <c r="M1546">
        <v>26</v>
      </c>
      <c r="N1546" t="s">
        <v>5272</v>
      </c>
      <c r="O1546" t="s">
        <v>463</v>
      </c>
    </row>
    <row r="1547" spans="1:15" x14ac:dyDescent="0.3">
      <c r="A1547">
        <v>232671</v>
      </c>
      <c r="B1547">
        <v>105</v>
      </c>
      <c r="C1547" t="s">
        <v>557</v>
      </c>
      <c r="D1547" t="s">
        <v>2579</v>
      </c>
      <c r="E1547" t="s">
        <v>2966</v>
      </c>
      <c r="F1547" s="451">
        <v>46156</v>
      </c>
      <c r="G1547">
        <v>19734</v>
      </c>
      <c r="H1547" t="s">
        <v>4833</v>
      </c>
      <c r="I1547" t="s">
        <v>5191</v>
      </c>
      <c r="J1547">
        <v>6</v>
      </c>
      <c r="K1547" t="s">
        <v>4744</v>
      </c>
      <c r="L1547">
        <v>78</v>
      </c>
      <c r="M1547">
        <v>13</v>
      </c>
      <c r="N1547" t="s">
        <v>5272</v>
      </c>
      <c r="O1547" t="s">
        <v>463</v>
      </c>
    </row>
    <row r="1548" spans="1:15" x14ac:dyDescent="0.3">
      <c r="A1548">
        <v>232671</v>
      </c>
      <c r="B1548">
        <v>105</v>
      </c>
      <c r="C1548" t="s">
        <v>557</v>
      </c>
      <c r="D1548" t="s">
        <v>2579</v>
      </c>
      <c r="E1548" t="s">
        <v>2966</v>
      </c>
      <c r="F1548" s="451">
        <v>46156</v>
      </c>
      <c r="G1548">
        <v>23236</v>
      </c>
      <c r="H1548" t="s">
        <v>5062</v>
      </c>
      <c r="I1548" t="s">
        <v>5191</v>
      </c>
      <c r="J1548">
        <v>3</v>
      </c>
      <c r="K1548" t="s">
        <v>4744</v>
      </c>
      <c r="L1548">
        <v>28.17</v>
      </c>
      <c r="M1548">
        <v>9.39</v>
      </c>
      <c r="N1548" t="s">
        <v>5272</v>
      </c>
      <c r="O1548" t="s">
        <v>463</v>
      </c>
    </row>
    <row r="1549" spans="1:15" x14ac:dyDescent="0.3">
      <c r="A1549">
        <v>232671</v>
      </c>
      <c r="B1549">
        <v>105</v>
      </c>
      <c r="C1549" t="s">
        <v>557</v>
      </c>
      <c r="D1549" t="s">
        <v>2579</v>
      </c>
      <c r="E1549" t="s">
        <v>2966</v>
      </c>
      <c r="F1549" s="451">
        <v>46156</v>
      </c>
      <c r="G1549">
        <v>19492</v>
      </c>
      <c r="H1549" t="s">
        <v>4937</v>
      </c>
      <c r="I1549" t="s">
        <v>5191</v>
      </c>
      <c r="J1549">
        <v>2</v>
      </c>
      <c r="K1549" t="s">
        <v>4744</v>
      </c>
      <c r="L1549">
        <v>45.5</v>
      </c>
      <c r="M1549">
        <v>22.75</v>
      </c>
      <c r="N1549" t="s">
        <v>5272</v>
      </c>
      <c r="O1549" t="s">
        <v>463</v>
      </c>
    </row>
    <row r="1550" spans="1:15" x14ac:dyDescent="0.3">
      <c r="A1550">
        <v>232670</v>
      </c>
      <c r="B1550">
        <v>105</v>
      </c>
      <c r="C1550" t="s">
        <v>557</v>
      </c>
      <c r="D1550" t="s">
        <v>2579</v>
      </c>
      <c r="E1550" t="s">
        <v>2967</v>
      </c>
      <c r="F1550" s="451">
        <v>46149</v>
      </c>
      <c r="G1550">
        <v>23184</v>
      </c>
      <c r="H1550" t="s">
        <v>4935</v>
      </c>
      <c r="I1550" t="s">
        <v>5191</v>
      </c>
      <c r="J1550">
        <v>2</v>
      </c>
      <c r="K1550" t="s">
        <v>4744</v>
      </c>
      <c r="L1550">
        <v>39</v>
      </c>
      <c r="M1550">
        <v>19.5</v>
      </c>
      <c r="N1550" t="s">
        <v>5272</v>
      </c>
      <c r="O1550" t="s">
        <v>463</v>
      </c>
    </row>
    <row r="1551" spans="1:15" x14ac:dyDescent="0.3">
      <c r="A1551">
        <v>232670</v>
      </c>
      <c r="B1551">
        <v>105</v>
      </c>
      <c r="C1551" t="s">
        <v>557</v>
      </c>
      <c r="D1551" t="s">
        <v>2579</v>
      </c>
      <c r="E1551" t="s">
        <v>2967</v>
      </c>
      <c r="F1551" s="451">
        <v>46149</v>
      </c>
      <c r="G1551">
        <v>19740</v>
      </c>
      <c r="H1551" t="s">
        <v>4779</v>
      </c>
      <c r="I1551" t="s">
        <v>5191</v>
      </c>
      <c r="J1551">
        <v>6</v>
      </c>
      <c r="K1551" t="s">
        <v>4744</v>
      </c>
      <c r="L1551">
        <v>45.24</v>
      </c>
      <c r="M1551">
        <v>7.54</v>
      </c>
      <c r="N1551" t="s">
        <v>5272</v>
      </c>
      <c r="O1551" t="s">
        <v>463</v>
      </c>
    </row>
    <row r="1552" spans="1:15" x14ac:dyDescent="0.3">
      <c r="A1552">
        <v>232670</v>
      </c>
      <c r="B1552">
        <v>105</v>
      </c>
      <c r="C1552" t="s">
        <v>557</v>
      </c>
      <c r="D1552" t="s">
        <v>2579</v>
      </c>
      <c r="E1552" t="s">
        <v>2967</v>
      </c>
      <c r="F1552" s="451">
        <v>46149</v>
      </c>
      <c r="G1552">
        <v>19654</v>
      </c>
      <c r="H1552" t="s">
        <v>5099</v>
      </c>
      <c r="I1552" t="s">
        <v>5191</v>
      </c>
      <c r="J1552">
        <v>5</v>
      </c>
      <c r="K1552" t="s">
        <v>4744</v>
      </c>
      <c r="L1552">
        <v>16.25</v>
      </c>
      <c r="M1552">
        <v>3.25</v>
      </c>
      <c r="N1552" t="s">
        <v>5272</v>
      </c>
      <c r="O1552" t="s">
        <v>463</v>
      </c>
    </row>
    <row r="1553" spans="1:15" x14ac:dyDescent="0.3">
      <c r="A1553">
        <v>232670</v>
      </c>
      <c r="B1553">
        <v>105</v>
      </c>
      <c r="C1553" t="s">
        <v>557</v>
      </c>
      <c r="D1553" t="s">
        <v>2579</v>
      </c>
      <c r="E1553" t="s">
        <v>2967</v>
      </c>
      <c r="F1553" s="451">
        <v>46149</v>
      </c>
      <c r="G1553">
        <v>23385</v>
      </c>
      <c r="H1553" t="s">
        <v>4938</v>
      </c>
      <c r="I1553" t="s">
        <v>5191</v>
      </c>
      <c r="J1553">
        <v>2</v>
      </c>
      <c r="K1553" t="s">
        <v>4744</v>
      </c>
      <c r="L1553">
        <v>130</v>
      </c>
      <c r="M1553">
        <v>65</v>
      </c>
      <c r="N1553" t="s">
        <v>5272</v>
      </c>
      <c r="O1553" t="s">
        <v>463</v>
      </c>
    </row>
    <row r="1554" spans="1:15" x14ac:dyDescent="0.3">
      <c r="A1554">
        <v>232670</v>
      </c>
      <c r="B1554">
        <v>105</v>
      </c>
      <c r="C1554" t="s">
        <v>557</v>
      </c>
      <c r="D1554" t="s">
        <v>2579</v>
      </c>
      <c r="E1554" t="s">
        <v>2967</v>
      </c>
      <c r="F1554" s="451">
        <v>46149</v>
      </c>
      <c r="G1554">
        <v>19562</v>
      </c>
      <c r="H1554" t="s">
        <v>4939</v>
      </c>
      <c r="I1554" t="s">
        <v>5191</v>
      </c>
      <c r="J1554">
        <v>0.5</v>
      </c>
      <c r="K1554" t="s">
        <v>4744</v>
      </c>
      <c r="L1554">
        <v>7.8</v>
      </c>
      <c r="M1554">
        <v>15.6</v>
      </c>
      <c r="N1554" t="s">
        <v>5272</v>
      </c>
      <c r="O1554" t="s">
        <v>463</v>
      </c>
    </row>
    <row r="1555" spans="1:15" x14ac:dyDescent="0.3">
      <c r="A1555">
        <v>232670</v>
      </c>
      <c r="B1555">
        <v>105</v>
      </c>
      <c r="C1555" t="s">
        <v>557</v>
      </c>
      <c r="D1555" t="s">
        <v>2579</v>
      </c>
      <c r="E1555" t="s">
        <v>2967</v>
      </c>
      <c r="F1555" s="451">
        <v>46149</v>
      </c>
      <c r="G1555">
        <v>19734</v>
      </c>
      <c r="H1555" t="s">
        <v>4833</v>
      </c>
      <c r="I1555" t="s">
        <v>5191</v>
      </c>
      <c r="J1555">
        <v>3</v>
      </c>
      <c r="K1555" t="s">
        <v>4744</v>
      </c>
      <c r="L1555">
        <v>39</v>
      </c>
      <c r="M1555">
        <v>13</v>
      </c>
      <c r="N1555" t="s">
        <v>5272</v>
      </c>
      <c r="O1555" t="s">
        <v>463</v>
      </c>
    </row>
    <row r="1556" spans="1:15" x14ac:dyDescent="0.3">
      <c r="A1556">
        <v>232669</v>
      </c>
      <c r="B1556">
        <v>105</v>
      </c>
      <c r="C1556" t="s">
        <v>557</v>
      </c>
      <c r="D1556" t="s">
        <v>2579</v>
      </c>
      <c r="E1556" t="s">
        <v>2968</v>
      </c>
      <c r="F1556" s="451">
        <v>46148</v>
      </c>
      <c r="G1556">
        <v>23198</v>
      </c>
      <c r="H1556" t="s">
        <v>4962</v>
      </c>
      <c r="I1556" t="s">
        <v>5191</v>
      </c>
      <c r="J1556">
        <v>0.5</v>
      </c>
      <c r="K1556" t="s">
        <v>4744</v>
      </c>
      <c r="L1556">
        <v>6.5</v>
      </c>
      <c r="M1556">
        <v>13</v>
      </c>
      <c r="N1556" t="s">
        <v>5191</v>
      </c>
      <c r="O1556" t="s">
        <v>463</v>
      </c>
    </row>
    <row r="1557" spans="1:15" x14ac:dyDescent="0.3">
      <c r="A1557">
        <v>232669</v>
      </c>
      <c r="B1557">
        <v>105</v>
      </c>
      <c r="C1557" t="s">
        <v>557</v>
      </c>
      <c r="D1557" t="s">
        <v>2579</v>
      </c>
      <c r="E1557" t="s">
        <v>2968</v>
      </c>
      <c r="F1557" s="451">
        <v>46148</v>
      </c>
      <c r="G1557">
        <v>19654</v>
      </c>
      <c r="H1557" t="s">
        <v>5099</v>
      </c>
      <c r="I1557" t="s">
        <v>5191</v>
      </c>
      <c r="J1557">
        <v>4</v>
      </c>
      <c r="K1557" t="s">
        <v>4744</v>
      </c>
      <c r="L1557">
        <v>13</v>
      </c>
      <c r="M1557">
        <v>3.25</v>
      </c>
      <c r="N1557" t="s">
        <v>5191</v>
      </c>
      <c r="O1557" t="s">
        <v>463</v>
      </c>
    </row>
    <row r="1558" spans="1:15" x14ac:dyDescent="0.3">
      <c r="A1558">
        <v>232669</v>
      </c>
      <c r="B1558">
        <v>105</v>
      </c>
      <c r="C1558" t="s">
        <v>557</v>
      </c>
      <c r="D1558" t="s">
        <v>2579</v>
      </c>
      <c r="E1558" t="s">
        <v>2968</v>
      </c>
      <c r="F1558" s="451">
        <v>46148</v>
      </c>
      <c r="G1558">
        <v>23184</v>
      </c>
      <c r="H1558" t="s">
        <v>4935</v>
      </c>
      <c r="I1558" t="s">
        <v>5191</v>
      </c>
      <c r="J1558">
        <v>2</v>
      </c>
      <c r="K1558" t="s">
        <v>4744</v>
      </c>
      <c r="L1558">
        <v>39</v>
      </c>
      <c r="M1558">
        <v>19.5</v>
      </c>
      <c r="N1558" t="s">
        <v>5191</v>
      </c>
      <c r="O1558" t="s">
        <v>463</v>
      </c>
    </row>
    <row r="1559" spans="1:15" x14ac:dyDescent="0.3">
      <c r="A1559">
        <v>232669</v>
      </c>
      <c r="B1559">
        <v>105</v>
      </c>
      <c r="C1559" t="s">
        <v>557</v>
      </c>
      <c r="D1559" t="s">
        <v>2579</v>
      </c>
      <c r="E1559" t="s">
        <v>2968</v>
      </c>
      <c r="F1559" s="451">
        <v>46148</v>
      </c>
      <c r="G1559">
        <v>19589</v>
      </c>
      <c r="H1559" t="s">
        <v>4983</v>
      </c>
      <c r="I1559" t="s">
        <v>5191</v>
      </c>
      <c r="J1559">
        <v>3.3</v>
      </c>
      <c r="K1559" t="s">
        <v>4744</v>
      </c>
      <c r="L1559">
        <v>21.45</v>
      </c>
      <c r="M1559">
        <v>6.5</v>
      </c>
      <c r="N1559" t="s">
        <v>5191</v>
      </c>
      <c r="O1559" t="s">
        <v>463</v>
      </c>
    </row>
    <row r="1560" spans="1:15" x14ac:dyDescent="0.3">
      <c r="A1560">
        <v>232669</v>
      </c>
      <c r="B1560">
        <v>105</v>
      </c>
      <c r="C1560" t="s">
        <v>557</v>
      </c>
      <c r="D1560" t="s">
        <v>2579</v>
      </c>
      <c r="E1560" t="s">
        <v>2968</v>
      </c>
      <c r="F1560" s="451">
        <v>46148</v>
      </c>
      <c r="G1560">
        <v>19634</v>
      </c>
      <c r="H1560" t="s">
        <v>4792</v>
      </c>
      <c r="I1560" t="s">
        <v>5191</v>
      </c>
      <c r="J1560">
        <v>4</v>
      </c>
      <c r="K1560" t="s">
        <v>4744</v>
      </c>
      <c r="L1560">
        <v>31.2</v>
      </c>
      <c r="M1560">
        <v>7.8</v>
      </c>
      <c r="N1560" t="s">
        <v>5191</v>
      </c>
      <c r="O1560" t="s">
        <v>463</v>
      </c>
    </row>
    <row r="1561" spans="1:15" x14ac:dyDescent="0.3">
      <c r="A1561">
        <v>232669</v>
      </c>
      <c r="B1561">
        <v>105</v>
      </c>
      <c r="C1561" t="s">
        <v>557</v>
      </c>
      <c r="D1561" t="s">
        <v>2579</v>
      </c>
      <c r="E1561" t="s">
        <v>2968</v>
      </c>
      <c r="F1561" s="451">
        <v>46148</v>
      </c>
      <c r="G1561">
        <v>23389</v>
      </c>
      <c r="H1561" t="s">
        <v>4960</v>
      </c>
      <c r="I1561" t="s">
        <v>5191</v>
      </c>
      <c r="J1561">
        <v>2</v>
      </c>
      <c r="K1561" t="s">
        <v>4744</v>
      </c>
      <c r="L1561">
        <v>10.4</v>
      </c>
      <c r="M1561">
        <v>5.2</v>
      </c>
      <c r="N1561" t="s">
        <v>5191</v>
      </c>
      <c r="O1561" t="s">
        <v>463</v>
      </c>
    </row>
    <row r="1562" spans="1:15" x14ac:dyDescent="0.3">
      <c r="A1562">
        <v>232668</v>
      </c>
      <c r="B1562">
        <v>105</v>
      </c>
      <c r="C1562" t="s">
        <v>557</v>
      </c>
      <c r="D1562" t="s">
        <v>2579</v>
      </c>
      <c r="E1562" t="s">
        <v>2969</v>
      </c>
      <c r="F1562" s="451">
        <v>46147</v>
      </c>
      <c r="G1562">
        <v>23389</v>
      </c>
      <c r="H1562" t="s">
        <v>4960</v>
      </c>
      <c r="I1562" t="s">
        <v>5191</v>
      </c>
      <c r="J1562">
        <v>3</v>
      </c>
      <c r="K1562" t="s">
        <v>4744</v>
      </c>
      <c r="L1562">
        <v>15.6</v>
      </c>
      <c r="M1562">
        <v>5.2</v>
      </c>
      <c r="N1562" t="s">
        <v>5272</v>
      </c>
      <c r="O1562" t="s">
        <v>463</v>
      </c>
    </row>
    <row r="1563" spans="1:15" x14ac:dyDescent="0.3">
      <c r="A1563">
        <v>232668</v>
      </c>
      <c r="B1563">
        <v>105</v>
      </c>
      <c r="C1563" t="s">
        <v>557</v>
      </c>
      <c r="D1563" t="s">
        <v>2579</v>
      </c>
      <c r="E1563" t="s">
        <v>2969</v>
      </c>
      <c r="F1563" s="451">
        <v>46147</v>
      </c>
      <c r="G1563">
        <v>19734</v>
      </c>
      <c r="H1563" t="s">
        <v>4833</v>
      </c>
      <c r="I1563" t="s">
        <v>5191</v>
      </c>
      <c r="J1563">
        <v>3</v>
      </c>
      <c r="K1563" t="s">
        <v>4744</v>
      </c>
      <c r="L1563">
        <v>39</v>
      </c>
      <c r="M1563">
        <v>13</v>
      </c>
      <c r="N1563" t="s">
        <v>5272</v>
      </c>
      <c r="O1563" t="s">
        <v>463</v>
      </c>
    </row>
    <row r="1564" spans="1:15" x14ac:dyDescent="0.3">
      <c r="A1564">
        <v>232668</v>
      </c>
      <c r="B1564">
        <v>105</v>
      </c>
      <c r="C1564" t="s">
        <v>557</v>
      </c>
      <c r="D1564" t="s">
        <v>2579</v>
      </c>
      <c r="E1564" t="s">
        <v>2969</v>
      </c>
      <c r="F1564" s="451">
        <v>46147</v>
      </c>
      <c r="G1564">
        <v>23096</v>
      </c>
      <c r="H1564" t="s">
        <v>5164</v>
      </c>
      <c r="I1564" t="s">
        <v>5191</v>
      </c>
      <c r="J1564">
        <v>30</v>
      </c>
      <c r="K1564" t="s">
        <v>4736</v>
      </c>
      <c r="L1564">
        <v>19.5</v>
      </c>
      <c r="M1564">
        <v>0.65</v>
      </c>
      <c r="N1564" t="s">
        <v>5272</v>
      </c>
      <c r="O1564" t="s">
        <v>463</v>
      </c>
    </row>
    <row r="1565" spans="1:15" x14ac:dyDescent="0.3">
      <c r="A1565">
        <v>232668</v>
      </c>
      <c r="B1565">
        <v>105</v>
      </c>
      <c r="C1565" t="s">
        <v>557</v>
      </c>
      <c r="D1565" t="s">
        <v>2579</v>
      </c>
      <c r="E1565" t="s">
        <v>2969</v>
      </c>
      <c r="F1565" s="451">
        <v>46147</v>
      </c>
      <c r="G1565">
        <v>19589</v>
      </c>
      <c r="H1565" t="s">
        <v>4983</v>
      </c>
      <c r="I1565" t="s">
        <v>5191</v>
      </c>
      <c r="J1565">
        <v>2.5</v>
      </c>
      <c r="K1565" t="s">
        <v>4744</v>
      </c>
      <c r="L1565">
        <v>16.25</v>
      </c>
      <c r="M1565">
        <v>6.5</v>
      </c>
      <c r="N1565" t="s">
        <v>5272</v>
      </c>
      <c r="O1565" t="s">
        <v>463</v>
      </c>
    </row>
    <row r="1566" spans="1:15" x14ac:dyDescent="0.3">
      <c r="A1566">
        <v>232667</v>
      </c>
      <c r="B1566">
        <v>105</v>
      </c>
      <c r="C1566" t="s">
        <v>557</v>
      </c>
      <c r="D1566" t="s">
        <v>2581</v>
      </c>
      <c r="E1566" t="s">
        <v>2970</v>
      </c>
      <c r="F1566" s="451">
        <v>46149</v>
      </c>
      <c r="G1566">
        <v>19502</v>
      </c>
      <c r="H1566" t="s">
        <v>4871</v>
      </c>
      <c r="I1566" t="s">
        <v>5191</v>
      </c>
      <c r="J1566">
        <v>4</v>
      </c>
      <c r="K1566" t="s">
        <v>4744</v>
      </c>
      <c r="L1566">
        <v>72</v>
      </c>
      <c r="M1566">
        <v>18</v>
      </c>
      <c r="N1566" t="s">
        <v>5272</v>
      </c>
      <c r="O1566" t="s">
        <v>463</v>
      </c>
    </row>
    <row r="1567" spans="1:15" x14ac:dyDescent="0.3">
      <c r="A1567">
        <v>232667</v>
      </c>
      <c r="B1567">
        <v>105</v>
      </c>
      <c r="C1567" t="s">
        <v>557</v>
      </c>
      <c r="D1567" t="s">
        <v>2581</v>
      </c>
      <c r="E1567" t="s">
        <v>2970</v>
      </c>
      <c r="F1567" s="451">
        <v>46149</v>
      </c>
      <c r="G1567">
        <v>19623</v>
      </c>
      <c r="H1567" t="s">
        <v>4764</v>
      </c>
      <c r="I1567" t="s">
        <v>5191</v>
      </c>
      <c r="J1567">
        <v>10</v>
      </c>
      <c r="K1567" t="s">
        <v>4744</v>
      </c>
      <c r="L1567">
        <v>58</v>
      </c>
      <c r="M1567">
        <v>5.8</v>
      </c>
      <c r="N1567" t="s">
        <v>5272</v>
      </c>
      <c r="O1567" t="s">
        <v>463</v>
      </c>
    </row>
    <row r="1568" spans="1:15" x14ac:dyDescent="0.3">
      <c r="A1568">
        <v>232667</v>
      </c>
      <c r="B1568">
        <v>105</v>
      </c>
      <c r="C1568" t="s">
        <v>557</v>
      </c>
      <c r="D1568" t="s">
        <v>2581</v>
      </c>
      <c r="E1568" t="s">
        <v>2970</v>
      </c>
      <c r="F1568" s="451">
        <v>46149</v>
      </c>
      <c r="G1568">
        <v>23236</v>
      </c>
      <c r="H1568" t="s">
        <v>5062</v>
      </c>
      <c r="I1568" t="s">
        <v>5191</v>
      </c>
      <c r="J1568">
        <v>3</v>
      </c>
      <c r="K1568" t="s">
        <v>4744</v>
      </c>
      <c r="L1568">
        <v>22.5</v>
      </c>
      <c r="M1568">
        <v>7.5</v>
      </c>
      <c r="N1568" t="s">
        <v>5272</v>
      </c>
      <c r="O1568" t="s">
        <v>463</v>
      </c>
    </row>
    <row r="1569" spans="1:15" x14ac:dyDescent="0.3">
      <c r="A1569">
        <v>232667</v>
      </c>
      <c r="B1569">
        <v>105</v>
      </c>
      <c r="C1569" t="s">
        <v>557</v>
      </c>
      <c r="D1569" t="s">
        <v>2581</v>
      </c>
      <c r="E1569" t="s">
        <v>2970</v>
      </c>
      <c r="F1569" s="451">
        <v>46149</v>
      </c>
      <c r="G1569">
        <v>23361</v>
      </c>
      <c r="H1569" t="s">
        <v>4754</v>
      </c>
      <c r="I1569" t="s">
        <v>5191</v>
      </c>
      <c r="J1569">
        <v>20</v>
      </c>
      <c r="K1569" t="s">
        <v>4744</v>
      </c>
      <c r="L1569">
        <v>56</v>
      </c>
      <c r="M1569">
        <v>2.8</v>
      </c>
      <c r="N1569" t="s">
        <v>5272</v>
      </c>
      <c r="O1569" t="s">
        <v>463</v>
      </c>
    </row>
    <row r="1570" spans="1:15" x14ac:dyDescent="0.3">
      <c r="A1570">
        <v>232667</v>
      </c>
      <c r="B1570">
        <v>105</v>
      </c>
      <c r="C1570" t="s">
        <v>557</v>
      </c>
      <c r="D1570" t="s">
        <v>2581</v>
      </c>
      <c r="E1570" t="s">
        <v>2970</v>
      </c>
      <c r="F1570" s="451">
        <v>46149</v>
      </c>
      <c r="G1570">
        <v>24489</v>
      </c>
      <c r="H1570" t="s">
        <v>5121</v>
      </c>
      <c r="I1570" t="s">
        <v>5191</v>
      </c>
      <c r="J1570">
        <v>1</v>
      </c>
      <c r="K1570" t="s">
        <v>4744</v>
      </c>
      <c r="L1570">
        <v>20</v>
      </c>
      <c r="M1570">
        <v>20</v>
      </c>
      <c r="N1570" t="s">
        <v>5272</v>
      </c>
      <c r="O1570" t="s">
        <v>463</v>
      </c>
    </row>
    <row r="1571" spans="1:15" x14ac:dyDescent="0.3">
      <c r="A1571">
        <v>232667</v>
      </c>
      <c r="B1571">
        <v>105</v>
      </c>
      <c r="C1571" t="s">
        <v>557</v>
      </c>
      <c r="D1571" t="s">
        <v>2581</v>
      </c>
      <c r="E1571" t="s">
        <v>2970</v>
      </c>
      <c r="F1571" s="451">
        <v>46149</v>
      </c>
      <c r="G1571">
        <v>23359</v>
      </c>
      <c r="H1571" t="s">
        <v>4767</v>
      </c>
      <c r="I1571" t="s">
        <v>5191</v>
      </c>
      <c r="J1571">
        <v>10</v>
      </c>
      <c r="K1571" t="s">
        <v>4744</v>
      </c>
      <c r="L1571">
        <v>21</v>
      </c>
      <c r="M1571">
        <v>2.1</v>
      </c>
      <c r="N1571" t="s">
        <v>5272</v>
      </c>
      <c r="O1571" t="s">
        <v>463</v>
      </c>
    </row>
    <row r="1572" spans="1:15" x14ac:dyDescent="0.3">
      <c r="A1572">
        <v>232667</v>
      </c>
      <c r="B1572">
        <v>105</v>
      </c>
      <c r="C1572" t="s">
        <v>557</v>
      </c>
      <c r="D1572" t="s">
        <v>2581</v>
      </c>
      <c r="E1572" t="s">
        <v>2970</v>
      </c>
      <c r="F1572" s="451">
        <v>46149</v>
      </c>
      <c r="G1572">
        <v>19751</v>
      </c>
      <c r="H1572" t="s">
        <v>4800</v>
      </c>
      <c r="I1572" t="s">
        <v>5191</v>
      </c>
      <c r="J1572">
        <v>2.5</v>
      </c>
      <c r="K1572" t="s">
        <v>4744</v>
      </c>
      <c r="L1572">
        <v>21.75</v>
      </c>
      <c r="M1572">
        <v>8.6999999999999993</v>
      </c>
      <c r="N1572" t="s">
        <v>5272</v>
      </c>
      <c r="O1572" t="s">
        <v>463</v>
      </c>
    </row>
    <row r="1573" spans="1:15" x14ac:dyDescent="0.3">
      <c r="A1573">
        <v>232667</v>
      </c>
      <c r="B1573">
        <v>105</v>
      </c>
      <c r="C1573" t="s">
        <v>557</v>
      </c>
      <c r="D1573" t="s">
        <v>2581</v>
      </c>
      <c r="E1573" t="s">
        <v>2970</v>
      </c>
      <c r="F1573" s="451">
        <v>46149</v>
      </c>
      <c r="G1573">
        <v>19551</v>
      </c>
      <c r="H1573" t="s">
        <v>4905</v>
      </c>
      <c r="I1573" t="s">
        <v>5191</v>
      </c>
      <c r="J1573">
        <v>2</v>
      </c>
      <c r="K1573" t="s">
        <v>4744</v>
      </c>
      <c r="L1573">
        <v>32</v>
      </c>
      <c r="M1573">
        <v>16</v>
      </c>
      <c r="N1573" t="s">
        <v>5272</v>
      </c>
      <c r="O1573" t="s">
        <v>463</v>
      </c>
    </row>
    <row r="1574" spans="1:15" x14ac:dyDescent="0.3">
      <c r="A1574">
        <v>232667</v>
      </c>
      <c r="B1574">
        <v>105</v>
      </c>
      <c r="C1574" t="s">
        <v>557</v>
      </c>
      <c r="D1574" t="s">
        <v>2581</v>
      </c>
      <c r="E1574" t="s">
        <v>2970</v>
      </c>
      <c r="F1574" s="451">
        <v>46149</v>
      </c>
      <c r="G1574">
        <v>19507</v>
      </c>
      <c r="H1574" t="s">
        <v>4853</v>
      </c>
      <c r="I1574" t="s">
        <v>5191</v>
      </c>
      <c r="J1574">
        <v>1.8</v>
      </c>
      <c r="K1574" t="s">
        <v>4744</v>
      </c>
      <c r="L1574">
        <v>26.1</v>
      </c>
      <c r="M1574">
        <v>14.5</v>
      </c>
      <c r="N1574" t="s">
        <v>5272</v>
      </c>
      <c r="O1574" t="s">
        <v>463</v>
      </c>
    </row>
    <row r="1575" spans="1:15" x14ac:dyDescent="0.3">
      <c r="A1575">
        <v>232667</v>
      </c>
      <c r="B1575">
        <v>105</v>
      </c>
      <c r="C1575" t="s">
        <v>557</v>
      </c>
      <c r="D1575" t="s">
        <v>2581</v>
      </c>
      <c r="E1575" t="s">
        <v>2970</v>
      </c>
      <c r="F1575" s="451">
        <v>46149</v>
      </c>
      <c r="G1575">
        <v>23096</v>
      </c>
      <c r="H1575" t="s">
        <v>5164</v>
      </c>
      <c r="I1575" t="s">
        <v>5191</v>
      </c>
      <c r="J1575">
        <v>60</v>
      </c>
      <c r="K1575" t="s">
        <v>4736</v>
      </c>
      <c r="L1575">
        <v>39</v>
      </c>
      <c r="M1575">
        <v>0.65</v>
      </c>
      <c r="N1575" t="s">
        <v>5272</v>
      </c>
      <c r="O1575" t="s">
        <v>463</v>
      </c>
    </row>
    <row r="1576" spans="1:15" x14ac:dyDescent="0.3">
      <c r="A1576">
        <v>232667</v>
      </c>
      <c r="B1576">
        <v>105</v>
      </c>
      <c r="C1576" t="s">
        <v>557</v>
      </c>
      <c r="D1576" t="s">
        <v>2581</v>
      </c>
      <c r="E1576" t="s">
        <v>2970</v>
      </c>
      <c r="F1576" s="451">
        <v>46149</v>
      </c>
      <c r="G1576">
        <v>19506</v>
      </c>
      <c r="H1576" t="s">
        <v>5122</v>
      </c>
      <c r="I1576" t="s">
        <v>5191</v>
      </c>
      <c r="J1576">
        <v>0.3</v>
      </c>
      <c r="K1576" t="s">
        <v>4744</v>
      </c>
      <c r="L1576">
        <v>15</v>
      </c>
      <c r="M1576">
        <v>50</v>
      </c>
      <c r="N1576" t="s">
        <v>5272</v>
      </c>
      <c r="O1576" t="s">
        <v>463</v>
      </c>
    </row>
    <row r="1577" spans="1:15" x14ac:dyDescent="0.3">
      <c r="A1577">
        <v>232667</v>
      </c>
      <c r="B1577">
        <v>105</v>
      </c>
      <c r="C1577" t="s">
        <v>557</v>
      </c>
      <c r="D1577" t="s">
        <v>2581</v>
      </c>
      <c r="E1577" t="s">
        <v>2970</v>
      </c>
      <c r="F1577" s="451">
        <v>46149</v>
      </c>
      <c r="G1577">
        <v>19589</v>
      </c>
      <c r="H1577" t="s">
        <v>4983</v>
      </c>
      <c r="I1577" t="s">
        <v>5191</v>
      </c>
      <c r="J1577">
        <v>3</v>
      </c>
      <c r="K1577" t="s">
        <v>4744</v>
      </c>
      <c r="L1577">
        <v>19.5</v>
      </c>
      <c r="M1577">
        <v>6.5</v>
      </c>
      <c r="N1577" t="s">
        <v>5272</v>
      </c>
      <c r="O1577" t="s">
        <v>463</v>
      </c>
    </row>
    <row r="1578" spans="1:15" x14ac:dyDescent="0.3">
      <c r="A1578">
        <v>232667</v>
      </c>
      <c r="B1578">
        <v>105</v>
      </c>
      <c r="C1578" t="s">
        <v>557</v>
      </c>
      <c r="D1578" t="s">
        <v>2581</v>
      </c>
      <c r="E1578" t="s">
        <v>2970</v>
      </c>
      <c r="F1578" s="451">
        <v>46149</v>
      </c>
      <c r="G1578">
        <v>19472</v>
      </c>
      <c r="H1578" t="s">
        <v>4906</v>
      </c>
      <c r="I1578" t="s">
        <v>5191</v>
      </c>
      <c r="J1578">
        <v>1.9</v>
      </c>
      <c r="K1578" t="s">
        <v>4744</v>
      </c>
      <c r="L1578">
        <v>32.299999999999997</v>
      </c>
      <c r="M1578">
        <v>17</v>
      </c>
      <c r="N1578" t="s">
        <v>5272</v>
      </c>
      <c r="O1578" t="s">
        <v>463</v>
      </c>
    </row>
    <row r="1579" spans="1:15" x14ac:dyDescent="0.3">
      <c r="A1579">
        <v>232667</v>
      </c>
      <c r="B1579">
        <v>105</v>
      </c>
      <c r="C1579" t="s">
        <v>557</v>
      </c>
      <c r="D1579" t="s">
        <v>2581</v>
      </c>
      <c r="E1579" t="s">
        <v>2970</v>
      </c>
      <c r="F1579" s="451">
        <v>46149</v>
      </c>
      <c r="G1579">
        <v>19505</v>
      </c>
      <c r="H1579" t="s">
        <v>4872</v>
      </c>
      <c r="I1579" t="s">
        <v>5191</v>
      </c>
      <c r="J1579">
        <v>7</v>
      </c>
      <c r="K1579" t="s">
        <v>4744</v>
      </c>
      <c r="L1579">
        <v>66.5</v>
      </c>
      <c r="M1579">
        <v>9.5</v>
      </c>
      <c r="N1579" t="s">
        <v>5272</v>
      </c>
      <c r="O1579" t="s">
        <v>463</v>
      </c>
    </row>
    <row r="1580" spans="1:15" x14ac:dyDescent="0.3">
      <c r="A1580">
        <v>232667</v>
      </c>
      <c r="B1580">
        <v>105</v>
      </c>
      <c r="C1580" t="s">
        <v>557</v>
      </c>
      <c r="D1580" t="s">
        <v>2581</v>
      </c>
      <c r="E1580" t="s">
        <v>2970</v>
      </c>
      <c r="F1580" s="451">
        <v>46149</v>
      </c>
      <c r="G1580">
        <v>19752</v>
      </c>
      <c r="H1580" t="s">
        <v>4807</v>
      </c>
      <c r="I1580" t="s">
        <v>5191</v>
      </c>
      <c r="J1580">
        <v>2</v>
      </c>
      <c r="K1580" t="s">
        <v>4744</v>
      </c>
      <c r="L1580">
        <v>10</v>
      </c>
      <c r="M1580">
        <v>5</v>
      </c>
      <c r="N1580" t="s">
        <v>5272</v>
      </c>
      <c r="O1580" t="s">
        <v>463</v>
      </c>
    </row>
    <row r="1581" spans="1:15" x14ac:dyDescent="0.3">
      <c r="A1581">
        <v>232667</v>
      </c>
      <c r="B1581">
        <v>105</v>
      </c>
      <c r="C1581" t="s">
        <v>557</v>
      </c>
      <c r="D1581" t="s">
        <v>2581</v>
      </c>
      <c r="E1581" t="s">
        <v>2970</v>
      </c>
      <c r="F1581" s="451">
        <v>46149</v>
      </c>
      <c r="G1581">
        <v>24509</v>
      </c>
      <c r="H1581" t="s">
        <v>4788</v>
      </c>
      <c r="I1581" t="s">
        <v>5191</v>
      </c>
      <c r="J1581">
        <v>7</v>
      </c>
      <c r="K1581" t="s">
        <v>4744</v>
      </c>
      <c r="L1581">
        <v>33.6</v>
      </c>
      <c r="M1581">
        <v>4.8</v>
      </c>
      <c r="N1581" t="s">
        <v>5272</v>
      </c>
      <c r="O1581" t="s">
        <v>463</v>
      </c>
    </row>
    <row r="1582" spans="1:15" x14ac:dyDescent="0.3">
      <c r="A1582">
        <v>232667</v>
      </c>
      <c r="B1582">
        <v>105</v>
      </c>
      <c r="C1582" t="s">
        <v>557</v>
      </c>
      <c r="D1582" t="s">
        <v>2581</v>
      </c>
      <c r="E1582" t="s">
        <v>2970</v>
      </c>
      <c r="F1582" s="451">
        <v>46149</v>
      </c>
      <c r="G1582">
        <v>19635</v>
      </c>
      <c r="H1582" t="s">
        <v>4786</v>
      </c>
      <c r="I1582" t="s">
        <v>5191</v>
      </c>
      <c r="J1582">
        <v>4</v>
      </c>
      <c r="K1582" t="s">
        <v>4744</v>
      </c>
      <c r="L1582">
        <v>15.2</v>
      </c>
      <c r="M1582">
        <v>3.8</v>
      </c>
      <c r="N1582" t="s">
        <v>5272</v>
      </c>
      <c r="O1582" t="s">
        <v>463</v>
      </c>
    </row>
    <row r="1583" spans="1:15" x14ac:dyDescent="0.3">
      <c r="A1583">
        <v>232667</v>
      </c>
      <c r="B1583">
        <v>105</v>
      </c>
      <c r="C1583" t="s">
        <v>557</v>
      </c>
      <c r="D1583" t="s">
        <v>2581</v>
      </c>
      <c r="E1583" t="s">
        <v>2970</v>
      </c>
      <c r="F1583" s="451">
        <v>46149</v>
      </c>
      <c r="G1583">
        <v>19658</v>
      </c>
      <c r="H1583" t="s">
        <v>4784</v>
      </c>
      <c r="I1583" t="s">
        <v>5191</v>
      </c>
      <c r="J1583">
        <v>4</v>
      </c>
      <c r="K1583" t="s">
        <v>4744</v>
      </c>
      <c r="L1583">
        <v>14</v>
      </c>
      <c r="M1583">
        <v>3.5</v>
      </c>
      <c r="N1583" t="s">
        <v>5272</v>
      </c>
      <c r="O1583" t="s">
        <v>463</v>
      </c>
    </row>
    <row r="1584" spans="1:15" x14ac:dyDescent="0.3">
      <c r="A1584">
        <v>232667</v>
      </c>
      <c r="B1584">
        <v>105</v>
      </c>
      <c r="C1584" t="s">
        <v>557</v>
      </c>
      <c r="D1584" t="s">
        <v>2581</v>
      </c>
      <c r="E1584" t="s">
        <v>2970</v>
      </c>
      <c r="F1584" s="451">
        <v>46149</v>
      </c>
      <c r="G1584">
        <v>19480</v>
      </c>
      <c r="H1584" t="s">
        <v>5119</v>
      </c>
      <c r="I1584" t="s">
        <v>5191</v>
      </c>
      <c r="J1584">
        <v>0.5</v>
      </c>
      <c r="K1584" t="s">
        <v>4744</v>
      </c>
      <c r="L1584">
        <v>8.25</v>
      </c>
      <c r="M1584">
        <v>16.5</v>
      </c>
      <c r="N1584" t="s">
        <v>5272</v>
      </c>
      <c r="O1584" t="s">
        <v>463</v>
      </c>
    </row>
    <row r="1585" spans="1:15" x14ac:dyDescent="0.3">
      <c r="A1585">
        <v>232667</v>
      </c>
      <c r="B1585">
        <v>105</v>
      </c>
      <c r="C1585" t="s">
        <v>557</v>
      </c>
      <c r="D1585" t="s">
        <v>2581</v>
      </c>
      <c r="E1585" t="s">
        <v>2970</v>
      </c>
      <c r="F1585" s="451">
        <v>46149</v>
      </c>
      <c r="G1585">
        <v>19787</v>
      </c>
      <c r="H1585" t="s">
        <v>4793</v>
      </c>
      <c r="I1585" t="s">
        <v>5191</v>
      </c>
      <c r="J1585">
        <v>8</v>
      </c>
      <c r="K1585" t="s">
        <v>4744</v>
      </c>
      <c r="L1585">
        <v>51.2</v>
      </c>
      <c r="M1585">
        <v>6.4</v>
      </c>
      <c r="N1585" t="s">
        <v>5272</v>
      </c>
      <c r="O1585" t="s">
        <v>463</v>
      </c>
    </row>
    <row r="1586" spans="1:15" x14ac:dyDescent="0.3">
      <c r="A1586">
        <v>232667</v>
      </c>
      <c r="B1586">
        <v>105</v>
      </c>
      <c r="C1586" t="s">
        <v>557</v>
      </c>
      <c r="D1586" t="s">
        <v>2581</v>
      </c>
      <c r="E1586" t="s">
        <v>2970</v>
      </c>
      <c r="F1586" s="451">
        <v>46149</v>
      </c>
      <c r="G1586">
        <v>19476</v>
      </c>
      <c r="H1586" t="s">
        <v>5115</v>
      </c>
      <c r="I1586" t="s">
        <v>5191</v>
      </c>
      <c r="J1586">
        <v>0.2</v>
      </c>
      <c r="K1586" t="s">
        <v>4744</v>
      </c>
      <c r="L1586">
        <v>13</v>
      </c>
      <c r="M1586">
        <v>65</v>
      </c>
      <c r="N1586" t="s">
        <v>5272</v>
      </c>
      <c r="O1586" t="s">
        <v>463</v>
      </c>
    </row>
    <row r="1587" spans="1:15" x14ac:dyDescent="0.3">
      <c r="A1587">
        <v>232667</v>
      </c>
      <c r="B1587">
        <v>105</v>
      </c>
      <c r="C1587" t="s">
        <v>557</v>
      </c>
      <c r="D1587" t="s">
        <v>2581</v>
      </c>
      <c r="E1587" t="s">
        <v>2970</v>
      </c>
      <c r="F1587" s="451">
        <v>46149</v>
      </c>
      <c r="G1587">
        <v>24099</v>
      </c>
      <c r="H1587" t="s">
        <v>4933</v>
      </c>
      <c r="I1587" t="s">
        <v>5191</v>
      </c>
      <c r="J1587">
        <v>2</v>
      </c>
      <c r="K1587" t="s">
        <v>4744</v>
      </c>
      <c r="L1587">
        <v>25</v>
      </c>
      <c r="M1587">
        <v>12.5</v>
      </c>
      <c r="N1587" t="s">
        <v>5272</v>
      </c>
      <c r="O1587" t="s">
        <v>463</v>
      </c>
    </row>
    <row r="1588" spans="1:15" x14ac:dyDescent="0.3">
      <c r="A1588">
        <v>232667</v>
      </c>
      <c r="B1588">
        <v>105</v>
      </c>
      <c r="C1588" t="s">
        <v>557</v>
      </c>
      <c r="D1588" t="s">
        <v>2581</v>
      </c>
      <c r="E1588" t="s">
        <v>2970</v>
      </c>
      <c r="F1588" s="451">
        <v>46149</v>
      </c>
      <c r="G1588">
        <v>19632</v>
      </c>
      <c r="H1588" t="s">
        <v>4936</v>
      </c>
      <c r="I1588" t="s">
        <v>5191</v>
      </c>
      <c r="J1588">
        <v>1.5</v>
      </c>
      <c r="K1588" t="s">
        <v>4744</v>
      </c>
      <c r="L1588">
        <v>8.25</v>
      </c>
      <c r="M1588">
        <v>5.5</v>
      </c>
      <c r="N1588" t="s">
        <v>5272</v>
      </c>
      <c r="O1588" t="s">
        <v>463</v>
      </c>
    </row>
    <row r="1589" spans="1:15" x14ac:dyDescent="0.3">
      <c r="A1589">
        <v>232667</v>
      </c>
      <c r="B1589">
        <v>105</v>
      </c>
      <c r="C1589" t="s">
        <v>557</v>
      </c>
      <c r="D1589" t="s">
        <v>2581</v>
      </c>
      <c r="E1589" t="s">
        <v>2970</v>
      </c>
      <c r="F1589" s="451">
        <v>46149</v>
      </c>
      <c r="G1589">
        <v>23346</v>
      </c>
      <c r="H1589" t="s">
        <v>4916</v>
      </c>
      <c r="I1589" t="s">
        <v>5191</v>
      </c>
      <c r="J1589">
        <v>2</v>
      </c>
      <c r="K1589" t="s">
        <v>4744</v>
      </c>
      <c r="L1589">
        <v>16.399999999999999</v>
      </c>
      <c r="M1589">
        <v>8.1999999999999993</v>
      </c>
      <c r="N1589" t="s">
        <v>5272</v>
      </c>
      <c r="O1589" t="s">
        <v>463</v>
      </c>
    </row>
    <row r="1590" spans="1:15" x14ac:dyDescent="0.3">
      <c r="A1590">
        <v>232667</v>
      </c>
      <c r="B1590">
        <v>105</v>
      </c>
      <c r="C1590" t="s">
        <v>557</v>
      </c>
      <c r="D1590" t="s">
        <v>2581</v>
      </c>
      <c r="E1590" t="s">
        <v>2970</v>
      </c>
      <c r="F1590" s="451">
        <v>46149</v>
      </c>
      <c r="G1590">
        <v>19526</v>
      </c>
      <c r="H1590" t="s">
        <v>4997</v>
      </c>
      <c r="I1590" t="s">
        <v>5191</v>
      </c>
      <c r="J1590">
        <v>1</v>
      </c>
      <c r="K1590" t="s">
        <v>4744</v>
      </c>
      <c r="L1590">
        <v>47</v>
      </c>
      <c r="M1590">
        <v>47</v>
      </c>
      <c r="N1590" t="s">
        <v>5272</v>
      </c>
      <c r="O1590" t="s">
        <v>463</v>
      </c>
    </row>
    <row r="1591" spans="1:15" x14ac:dyDescent="0.3">
      <c r="A1591">
        <v>232667</v>
      </c>
      <c r="B1591">
        <v>105</v>
      </c>
      <c r="C1591" t="s">
        <v>557</v>
      </c>
      <c r="D1591" t="s">
        <v>2581</v>
      </c>
      <c r="E1591" t="s">
        <v>2970</v>
      </c>
      <c r="F1591" s="451">
        <v>46149</v>
      </c>
      <c r="G1591">
        <v>23113</v>
      </c>
      <c r="H1591" t="s">
        <v>5074</v>
      </c>
      <c r="I1591" t="s">
        <v>5191</v>
      </c>
      <c r="J1591">
        <v>1</v>
      </c>
      <c r="K1591" t="s">
        <v>4744</v>
      </c>
      <c r="L1591">
        <v>14</v>
      </c>
      <c r="M1591">
        <v>14</v>
      </c>
      <c r="N1591" t="s">
        <v>5272</v>
      </c>
      <c r="O1591" t="s">
        <v>463</v>
      </c>
    </row>
    <row r="1592" spans="1:15" x14ac:dyDescent="0.3">
      <c r="A1592">
        <v>232667</v>
      </c>
      <c r="B1592">
        <v>105</v>
      </c>
      <c r="C1592" t="s">
        <v>557</v>
      </c>
      <c r="D1592" t="s">
        <v>2581</v>
      </c>
      <c r="E1592" t="s">
        <v>2970</v>
      </c>
      <c r="F1592" s="451">
        <v>46149</v>
      </c>
      <c r="G1592">
        <v>19558</v>
      </c>
      <c r="H1592" t="s">
        <v>4994</v>
      </c>
      <c r="I1592" t="s">
        <v>5191</v>
      </c>
      <c r="J1592">
        <v>1</v>
      </c>
      <c r="K1592" t="s">
        <v>4744</v>
      </c>
      <c r="L1592">
        <v>15</v>
      </c>
      <c r="M1592">
        <v>15</v>
      </c>
      <c r="N1592" t="s">
        <v>5272</v>
      </c>
      <c r="O1592" t="s">
        <v>463</v>
      </c>
    </row>
    <row r="1593" spans="1:15" x14ac:dyDescent="0.3">
      <c r="A1593">
        <v>232666</v>
      </c>
      <c r="B1593">
        <v>105</v>
      </c>
      <c r="C1593" t="s">
        <v>557</v>
      </c>
      <c r="D1593" t="s">
        <v>2581</v>
      </c>
      <c r="E1593" t="s">
        <v>2971</v>
      </c>
      <c r="F1593" s="451">
        <v>46148</v>
      </c>
      <c r="G1593">
        <v>19507</v>
      </c>
      <c r="H1593" t="s">
        <v>4853</v>
      </c>
      <c r="I1593" t="s">
        <v>5191</v>
      </c>
      <c r="J1593">
        <v>1.8</v>
      </c>
      <c r="K1593" t="s">
        <v>4744</v>
      </c>
      <c r="L1593">
        <v>26.1</v>
      </c>
      <c r="M1593">
        <v>14.5</v>
      </c>
      <c r="N1593" t="s">
        <v>5272</v>
      </c>
      <c r="O1593" t="s">
        <v>463</v>
      </c>
    </row>
    <row r="1594" spans="1:15" x14ac:dyDescent="0.3">
      <c r="A1594">
        <v>232666</v>
      </c>
      <c r="B1594">
        <v>105</v>
      </c>
      <c r="C1594" t="s">
        <v>557</v>
      </c>
      <c r="D1594" t="s">
        <v>2581</v>
      </c>
      <c r="E1594" t="s">
        <v>2971</v>
      </c>
      <c r="F1594" s="451">
        <v>46148</v>
      </c>
      <c r="G1594">
        <v>19506</v>
      </c>
      <c r="H1594" t="s">
        <v>5122</v>
      </c>
      <c r="I1594" t="s">
        <v>5191</v>
      </c>
      <c r="J1594">
        <v>0.3</v>
      </c>
      <c r="K1594" t="s">
        <v>4744</v>
      </c>
      <c r="L1594">
        <v>15</v>
      </c>
      <c r="M1594">
        <v>50</v>
      </c>
      <c r="N1594" t="s">
        <v>5272</v>
      </c>
      <c r="O1594" t="s">
        <v>463</v>
      </c>
    </row>
    <row r="1595" spans="1:15" x14ac:dyDescent="0.3">
      <c r="A1595">
        <v>232666</v>
      </c>
      <c r="B1595">
        <v>105</v>
      </c>
      <c r="C1595" t="s">
        <v>557</v>
      </c>
      <c r="D1595" t="s">
        <v>2581</v>
      </c>
      <c r="E1595" t="s">
        <v>2971</v>
      </c>
      <c r="F1595" s="451">
        <v>46148</v>
      </c>
      <c r="G1595">
        <v>19635</v>
      </c>
      <c r="H1595" t="s">
        <v>4786</v>
      </c>
      <c r="I1595" t="s">
        <v>5191</v>
      </c>
      <c r="J1595">
        <v>3</v>
      </c>
      <c r="K1595" t="s">
        <v>4744</v>
      </c>
      <c r="L1595">
        <v>11.4</v>
      </c>
      <c r="M1595">
        <v>3.8</v>
      </c>
      <c r="N1595" t="s">
        <v>5272</v>
      </c>
      <c r="O1595" t="s">
        <v>463</v>
      </c>
    </row>
    <row r="1596" spans="1:15" x14ac:dyDescent="0.3">
      <c r="A1596">
        <v>232666</v>
      </c>
      <c r="B1596">
        <v>105</v>
      </c>
      <c r="C1596" t="s">
        <v>557</v>
      </c>
      <c r="D1596" t="s">
        <v>2581</v>
      </c>
      <c r="E1596" t="s">
        <v>2971</v>
      </c>
      <c r="F1596" s="451">
        <v>46148</v>
      </c>
      <c r="G1596">
        <v>19480</v>
      </c>
      <c r="H1596" t="s">
        <v>5119</v>
      </c>
      <c r="I1596" t="s">
        <v>5191</v>
      </c>
      <c r="J1596">
        <v>0.3</v>
      </c>
      <c r="K1596" t="s">
        <v>4744</v>
      </c>
      <c r="L1596">
        <v>5.0999999999999996</v>
      </c>
      <c r="M1596">
        <v>17</v>
      </c>
      <c r="N1596" t="s">
        <v>5272</v>
      </c>
      <c r="O1596" t="s">
        <v>463</v>
      </c>
    </row>
    <row r="1597" spans="1:15" x14ac:dyDescent="0.3">
      <c r="A1597">
        <v>232666</v>
      </c>
      <c r="B1597">
        <v>105</v>
      </c>
      <c r="C1597" t="s">
        <v>557</v>
      </c>
      <c r="D1597" t="s">
        <v>2581</v>
      </c>
      <c r="E1597" t="s">
        <v>2971</v>
      </c>
      <c r="F1597" s="451">
        <v>46148</v>
      </c>
      <c r="G1597">
        <v>19555</v>
      </c>
      <c r="H1597" t="s">
        <v>4903</v>
      </c>
      <c r="I1597" t="s">
        <v>5191</v>
      </c>
      <c r="J1597">
        <v>1</v>
      </c>
      <c r="K1597" t="s">
        <v>4744</v>
      </c>
      <c r="L1597">
        <v>15</v>
      </c>
      <c r="M1597">
        <v>15</v>
      </c>
      <c r="N1597" t="s">
        <v>5272</v>
      </c>
      <c r="O1597" t="s">
        <v>463</v>
      </c>
    </row>
    <row r="1598" spans="1:15" x14ac:dyDescent="0.3">
      <c r="A1598">
        <v>232666</v>
      </c>
      <c r="B1598">
        <v>105</v>
      </c>
      <c r="C1598" t="s">
        <v>557</v>
      </c>
      <c r="D1598" t="s">
        <v>2581</v>
      </c>
      <c r="E1598" t="s">
        <v>2971</v>
      </c>
      <c r="F1598" s="451">
        <v>46148</v>
      </c>
      <c r="G1598">
        <v>19526</v>
      </c>
      <c r="H1598" t="s">
        <v>4997</v>
      </c>
      <c r="I1598" t="s">
        <v>5191</v>
      </c>
      <c r="J1598">
        <v>1</v>
      </c>
      <c r="K1598" t="s">
        <v>4744</v>
      </c>
      <c r="L1598">
        <v>50</v>
      </c>
      <c r="M1598">
        <v>50</v>
      </c>
      <c r="N1598" t="s">
        <v>5272</v>
      </c>
      <c r="O1598" t="s">
        <v>463</v>
      </c>
    </row>
    <row r="1599" spans="1:15" x14ac:dyDescent="0.3">
      <c r="A1599">
        <v>232666</v>
      </c>
      <c r="B1599">
        <v>105</v>
      </c>
      <c r="C1599" t="s">
        <v>557</v>
      </c>
      <c r="D1599" t="s">
        <v>2581</v>
      </c>
      <c r="E1599" t="s">
        <v>2971</v>
      </c>
      <c r="F1599" s="451">
        <v>46148</v>
      </c>
      <c r="G1599">
        <v>19472</v>
      </c>
      <c r="H1599" t="s">
        <v>4906</v>
      </c>
      <c r="I1599" t="s">
        <v>5191</v>
      </c>
      <c r="J1599">
        <v>1.8</v>
      </c>
      <c r="K1599" t="s">
        <v>4744</v>
      </c>
      <c r="L1599">
        <v>32.4</v>
      </c>
      <c r="M1599">
        <v>18</v>
      </c>
      <c r="N1599" t="s">
        <v>5272</v>
      </c>
      <c r="O1599" t="s">
        <v>463</v>
      </c>
    </row>
    <row r="1600" spans="1:15" x14ac:dyDescent="0.3">
      <c r="A1600">
        <v>232666</v>
      </c>
      <c r="B1600">
        <v>105</v>
      </c>
      <c r="C1600" t="s">
        <v>557</v>
      </c>
      <c r="D1600" t="s">
        <v>2581</v>
      </c>
      <c r="E1600" t="s">
        <v>2971</v>
      </c>
      <c r="F1600" s="451">
        <v>46148</v>
      </c>
      <c r="G1600">
        <v>23108</v>
      </c>
      <c r="H1600" t="s">
        <v>5117</v>
      </c>
      <c r="I1600" t="s">
        <v>5191</v>
      </c>
      <c r="J1600">
        <v>0.1</v>
      </c>
      <c r="K1600" t="s">
        <v>4744</v>
      </c>
      <c r="L1600">
        <v>8</v>
      </c>
      <c r="M1600">
        <v>80</v>
      </c>
      <c r="N1600" t="s">
        <v>5272</v>
      </c>
      <c r="O1600" t="s">
        <v>463</v>
      </c>
    </row>
    <row r="1601" spans="1:15" x14ac:dyDescent="0.3">
      <c r="A1601">
        <v>232666</v>
      </c>
      <c r="B1601">
        <v>105</v>
      </c>
      <c r="C1601" t="s">
        <v>557</v>
      </c>
      <c r="D1601" t="s">
        <v>2581</v>
      </c>
      <c r="E1601" t="s">
        <v>2971</v>
      </c>
      <c r="F1601" s="451">
        <v>46148</v>
      </c>
      <c r="G1601">
        <v>23359</v>
      </c>
      <c r="H1601" t="s">
        <v>4767</v>
      </c>
      <c r="I1601" t="s">
        <v>5191</v>
      </c>
      <c r="J1601">
        <v>8</v>
      </c>
      <c r="K1601" t="s">
        <v>4744</v>
      </c>
      <c r="L1601">
        <v>16.8</v>
      </c>
      <c r="M1601">
        <v>2.1</v>
      </c>
      <c r="N1601" t="s">
        <v>5272</v>
      </c>
      <c r="O1601" t="s">
        <v>463</v>
      </c>
    </row>
    <row r="1602" spans="1:15" x14ac:dyDescent="0.3">
      <c r="A1602">
        <v>232666</v>
      </c>
      <c r="B1602">
        <v>105</v>
      </c>
      <c r="C1602" t="s">
        <v>557</v>
      </c>
      <c r="D1602" t="s">
        <v>2581</v>
      </c>
      <c r="E1602" t="s">
        <v>2971</v>
      </c>
      <c r="F1602" s="451">
        <v>46148</v>
      </c>
      <c r="G1602">
        <v>19658</v>
      </c>
      <c r="H1602" t="s">
        <v>4784</v>
      </c>
      <c r="I1602" t="s">
        <v>5191</v>
      </c>
      <c r="J1602">
        <v>4</v>
      </c>
      <c r="K1602" t="s">
        <v>4744</v>
      </c>
      <c r="L1602">
        <v>14.4</v>
      </c>
      <c r="M1602">
        <v>3.6</v>
      </c>
      <c r="N1602" t="s">
        <v>5272</v>
      </c>
      <c r="O1602" t="s">
        <v>463</v>
      </c>
    </row>
    <row r="1603" spans="1:15" x14ac:dyDescent="0.3">
      <c r="A1603">
        <v>232665</v>
      </c>
      <c r="B1603">
        <v>105</v>
      </c>
      <c r="C1603" t="s">
        <v>557</v>
      </c>
      <c r="D1603" t="s">
        <v>2581</v>
      </c>
      <c r="E1603" t="s">
        <v>2972</v>
      </c>
      <c r="F1603" s="451">
        <v>46147</v>
      </c>
      <c r="G1603">
        <v>19623</v>
      </c>
      <c r="H1603" t="s">
        <v>4764</v>
      </c>
      <c r="I1603" t="s">
        <v>5191</v>
      </c>
      <c r="J1603">
        <v>10</v>
      </c>
      <c r="K1603" t="s">
        <v>4744</v>
      </c>
      <c r="L1603">
        <v>58</v>
      </c>
      <c r="M1603">
        <v>5.8</v>
      </c>
      <c r="N1603" t="s">
        <v>5272</v>
      </c>
      <c r="O1603" t="s">
        <v>463</v>
      </c>
    </row>
    <row r="1604" spans="1:15" x14ac:dyDescent="0.3">
      <c r="A1604">
        <v>232665</v>
      </c>
      <c r="B1604">
        <v>105</v>
      </c>
      <c r="C1604" t="s">
        <v>557</v>
      </c>
      <c r="D1604" t="s">
        <v>2581</v>
      </c>
      <c r="E1604" t="s">
        <v>2972</v>
      </c>
      <c r="F1604" s="451">
        <v>46147</v>
      </c>
      <c r="G1604">
        <v>19507</v>
      </c>
      <c r="H1604" t="s">
        <v>4853</v>
      </c>
      <c r="I1604" t="s">
        <v>5191</v>
      </c>
      <c r="J1604">
        <v>1</v>
      </c>
      <c r="K1604" t="s">
        <v>4744</v>
      </c>
      <c r="L1604">
        <v>15</v>
      </c>
      <c r="M1604">
        <v>15</v>
      </c>
      <c r="N1604" t="s">
        <v>5272</v>
      </c>
      <c r="O1604" t="s">
        <v>463</v>
      </c>
    </row>
    <row r="1605" spans="1:15" x14ac:dyDescent="0.3">
      <c r="A1605">
        <v>232665</v>
      </c>
      <c r="B1605">
        <v>105</v>
      </c>
      <c r="C1605" t="s">
        <v>557</v>
      </c>
      <c r="D1605" t="s">
        <v>2581</v>
      </c>
      <c r="E1605" t="s">
        <v>2972</v>
      </c>
      <c r="F1605" s="451">
        <v>46147</v>
      </c>
      <c r="G1605">
        <v>19505</v>
      </c>
      <c r="H1605" t="s">
        <v>4872</v>
      </c>
      <c r="I1605" t="s">
        <v>5191</v>
      </c>
      <c r="J1605">
        <v>4</v>
      </c>
      <c r="K1605" t="s">
        <v>4744</v>
      </c>
      <c r="L1605">
        <v>40</v>
      </c>
      <c r="M1605">
        <v>10</v>
      </c>
      <c r="N1605" t="s">
        <v>5272</v>
      </c>
      <c r="O1605" t="s">
        <v>463</v>
      </c>
    </row>
    <row r="1606" spans="1:15" x14ac:dyDescent="0.3">
      <c r="A1606">
        <v>232665</v>
      </c>
      <c r="B1606">
        <v>105</v>
      </c>
      <c r="C1606" t="s">
        <v>557</v>
      </c>
      <c r="D1606" t="s">
        <v>2581</v>
      </c>
      <c r="E1606" t="s">
        <v>2972</v>
      </c>
      <c r="F1606" s="451">
        <v>46147</v>
      </c>
      <c r="G1606">
        <v>19472</v>
      </c>
      <c r="H1606" t="s">
        <v>4906</v>
      </c>
      <c r="I1606" t="s">
        <v>5191</v>
      </c>
      <c r="J1606">
        <v>2</v>
      </c>
      <c r="K1606" t="s">
        <v>4744</v>
      </c>
      <c r="L1606">
        <v>33</v>
      </c>
      <c r="M1606">
        <v>16.5</v>
      </c>
      <c r="N1606" t="s">
        <v>5272</v>
      </c>
      <c r="O1606" t="s">
        <v>463</v>
      </c>
    </row>
    <row r="1607" spans="1:15" x14ac:dyDescent="0.3">
      <c r="A1607">
        <v>232665</v>
      </c>
      <c r="B1607">
        <v>105</v>
      </c>
      <c r="C1607" t="s">
        <v>557</v>
      </c>
      <c r="D1607" t="s">
        <v>2581</v>
      </c>
      <c r="E1607" t="s">
        <v>2972</v>
      </c>
      <c r="F1607" s="451">
        <v>46147</v>
      </c>
      <c r="G1607">
        <v>23359</v>
      </c>
      <c r="H1607" t="s">
        <v>4767</v>
      </c>
      <c r="I1607" t="s">
        <v>5191</v>
      </c>
      <c r="J1607">
        <v>8</v>
      </c>
      <c r="K1607" t="s">
        <v>4744</v>
      </c>
      <c r="L1607">
        <v>17.600000000000001</v>
      </c>
      <c r="M1607">
        <v>2.2000000000000002</v>
      </c>
      <c r="N1607" t="s">
        <v>5272</v>
      </c>
      <c r="O1607" t="s">
        <v>463</v>
      </c>
    </row>
    <row r="1608" spans="1:15" x14ac:dyDescent="0.3">
      <c r="A1608">
        <v>232665</v>
      </c>
      <c r="B1608">
        <v>105</v>
      </c>
      <c r="C1608" t="s">
        <v>557</v>
      </c>
      <c r="D1608" t="s">
        <v>2581</v>
      </c>
      <c r="E1608" t="s">
        <v>2972</v>
      </c>
      <c r="F1608" s="451">
        <v>46147</v>
      </c>
      <c r="G1608">
        <v>19617</v>
      </c>
      <c r="H1608" t="s">
        <v>5071</v>
      </c>
      <c r="I1608" t="s">
        <v>5191</v>
      </c>
      <c r="J1608">
        <v>0.3</v>
      </c>
      <c r="K1608" t="s">
        <v>4744</v>
      </c>
      <c r="L1608">
        <v>7.2</v>
      </c>
      <c r="M1608">
        <v>24</v>
      </c>
      <c r="N1608" t="s">
        <v>5272</v>
      </c>
      <c r="O1608" t="s">
        <v>463</v>
      </c>
    </row>
    <row r="1609" spans="1:15" x14ac:dyDescent="0.3">
      <c r="A1609">
        <v>232665</v>
      </c>
      <c r="B1609">
        <v>105</v>
      </c>
      <c r="C1609" t="s">
        <v>557</v>
      </c>
      <c r="D1609" t="s">
        <v>2581</v>
      </c>
      <c r="E1609" t="s">
        <v>2972</v>
      </c>
      <c r="F1609" s="451">
        <v>46147</v>
      </c>
      <c r="G1609">
        <v>19787</v>
      </c>
      <c r="H1609" t="s">
        <v>4793</v>
      </c>
      <c r="I1609" t="s">
        <v>5191</v>
      </c>
      <c r="J1609">
        <v>6</v>
      </c>
      <c r="K1609" t="s">
        <v>4744</v>
      </c>
      <c r="L1609">
        <v>39</v>
      </c>
      <c r="M1609">
        <v>6.5</v>
      </c>
      <c r="N1609" t="s">
        <v>5272</v>
      </c>
      <c r="O1609" t="s">
        <v>463</v>
      </c>
    </row>
    <row r="1610" spans="1:15" x14ac:dyDescent="0.3">
      <c r="A1610">
        <v>232665</v>
      </c>
      <c r="B1610">
        <v>105</v>
      </c>
      <c r="C1610" t="s">
        <v>557</v>
      </c>
      <c r="D1610" t="s">
        <v>2581</v>
      </c>
      <c r="E1610" t="s">
        <v>2972</v>
      </c>
      <c r="F1610" s="451">
        <v>46147</v>
      </c>
      <c r="G1610">
        <v>19502</v>
      </c>
      <c r="H1610" t="s">
        <v>4871</v>
      </c>
      <c r="I1610" t="s">
        <v>5191</v>
      </c>
      <c r="J1610">
        <v>2</v>
      </c>
      <c r="K1610" t="s">
        <v>4744</v>
      </c>
      <c r="L1610">
        <v>34</v>
      </c>
      <c r="M1610">
        <v>17</v>
      </c>
      <c r="N1610" t="s">
        <v>5272</v>
      </c>
      <c r="O1610" t="s">
        <v>463</v>
      </c>
    </row>
    <row r="1611" spans="1:15" x14ac:dyDescent="0.3">
      <c r="A1611">
        <v>232665</v>
      </c>
      <c r="B1611">
        <v>105</v>
      </c>
      <c r="C1611" t="s">
        <v>557</v>
      </c>
      <c r="D1611" t="s">
        <v>2581</v>
      </c>
      <c r="E1611" t="s">
        <v>2972</v>
      </c>
      <c r="F1611" s="451">
        <v>46147</v>
      </c>
      <c r="G1611">
        <v>24037</v>
      </c>
      <c r="H1611" t="s">
        <v>5233</v>
      </c>
      <c r="I1611" t="s">
        <v>5191</v>
      </c>
      <c r="J1611">
        <v>2</v>
      </c>
      <c r="K1611" t="s">
        <v>4744</v>
      </c>
      <c r="L1611">
        <v>36</v>
      </c>
      <c r="M1611">
        <v>18</v>
      </c>
      <c r="N1611" t="s">
        <v>5272</v>
      </c>
      <c r="O1611" t="s">
        <v>463</v>
      </c>
    </row>
    <row r="1612" spans="1:15" x14ac:dyDescent="0.3">
      <c r="A1612">
        <v>232664</v>
      </c>
      <c r="B1612">
        <v>105</v>
      </c>
      <c r="C1612" t="s">
        <v>557</v>
      </c>
      <c r="D1612" t="s">
        <v>2581</v>
      </c>
      <c r="E1612" t="s">
        <v>2973</v>
      </c>
      <c r="F1612" s="451">
        <v>46157</v>
      </c>
      <c r="G1612">
        <v>19787</v>
      </c>
      <c r="H1612" t="s">
        <v>4793</v>
      </c>
      <c r="I1612" t="s">
        <v>5191</v>
      </c>
      <c r="J1612">
        <v>12</v>
      </c>
      <c r="K1612" t="s">
        <v>4744</v>
      </c>
      <c r="L1612">
        <v>75.599999999999994</v>
      </c>
      <c r="M1612">
        <v>6.3</v>
      </c>
      <c r="N1612" t="s">
        <v>5272</v>
      </c>
      <c r="O1612" t="s">
        <v>463</v>
      </c>
    </row>
    <row r="1613" spans="1:15" x14ac:dyDescent="0.3">
      <c r="A1613">
        <v>232664</v>
      </c>
      <c r="B1613">
        <v>105</v>
      </c>
      <c r="C1613" t="s">
        <v>557</v>
      </c>
      <c r="D1613" t="s">
        <v>2581</v>
      </c>
      <c r="E1613" t="s">
        <v>2973</v>
      </c>
      <c r="F1613" s="451">
        <v>46157</v>
      </c>
      <c r="G1613">
        <v>19505</v>
      </c>
      <c r="H1613" t="s">
        <v>4872</v>
      </c>
      <c r="I1613" t="s">
        <v>5191</v>
      </c>
      <c r="J1613">
        <v>4.8</v>
      </c>
      <c r="K1613" t="s">
        <v>4744</v>
      </c>
      <c r="L1613">
        <v>48</v>
      </c>
      <c r="M1613">
        <v>10</v>
      </c>
      <c r="N1613" t="s">
        <v>5272</v>
      </c>
      <c r="O1613" t="s">
        <v>463</v>
      </c>
    </row>
    <row r="1614" spans="1:15" x14ac:dyDescent="0.3">
      <c r="A1614">
        <v>232664</v>
      </c>
      <c r="B1614">
        <v>105</v>
      </c>
      <c r="C1614" t="s">
        <v>557</v>
      </c>
      <c r="D1614" t="s">
        <v>2581</v>
      </c>
      <c r="E1614" t="s">
        <v>2973</v>
      </c>
      <c r="F1614" s="451">
        <v>46157</v>
      </c>
      <c r="G1614">
        <v>23359</v>
      </c>
      <c r="H1614" t="s">
        <v>4767</v>
      </c>
      <c r="I1614" t="s">
        <v>5191</v>
      </c>
      <c r="J1614">
        <v>10</v>
      </c>
      <c r="K1614" t="s">
        <v>4744</v>
      </c>
      <c r="L1614">
        <v>25</v>
      </c>
      <c r="M1614">
        <v>2.5</v>
      </c>
      <c r="N1614" t="s">
        <v>5272</v>
      </c>
      <c r="O1614" t="s">
        <v>463</v>
      </c>
    </row>
    <row r="1615" spans="1:15" x14ac:dyDescent="0.3">
      <c r="A1615">
        <v>232663</v>
      </c>
      <c r="B1615">
        <v>105</v>
      </c>
      <c r="C1615" t="s">
        <v>557</v>
      </c>
      <c r="D1615" t="s">
        <v>2581</v>
      </c>
      <c r="E1615" t="s">
        <v>2974</v>
      </c>
      <c r="F1615" s="451">
        <v>46156</v>
      </c>
      <c r="G1615">
        <v>19480</v>
      </c>
      <c r="H1615" t="s">
        <v>5119</v>
      </c>
      <c r="I1615" t="s">
        <v>5191</v>
      </c>
      <c r="J1615">
        <v>0.3</v>
      </c>
      <c r="K1615" t="s">
        <v>4744</v>
      </c>
      <c r="L1615">
        <v>5.0999999999999996</v>
      </c>
      <c r="M1615">
        <v>17</v>
      </c>
      <c r="N1615" t="s">
        <v>5272</v>
      </c>
      <c r="O1615" t="s">
        <v>463</v>
      </c>
    </row>
    <row r="1616" spans="1:15" x14ac:dyDescent="0.3">
      <c r="A1616">
        <v>232663</v>
      </c>
      <c r="B1616">
        <v>105</v>
      </c>
      <c r="C1616" t="s">
        <v>557</v>
      </c>
      <c r="D1616" t="s">
        <v>2581</v>
      </c>
      <c r="E1616" t="s">
        <v>2974</v>
      </c>
      <c r="F1616" s="451">
        <v>46156</v>
      </c>
      <c r="G1616">
        <v>19617</v>
      </c>
      <c r="H1616" t="s">
        <v>5071</v>
      </c>
      <c r="I1616" t="s">
        <v>5191</v>
      </c>
      <c r="J1616">
        <v>1</v>
      </c>
      <c r="K1616" t="s">
        <v>4744</v>
      </c>
      <c r="L1616">
        <v>30</v>
      </c>
      <c r="M1616">
        <v>30</v>
      </c>
      <c r="N1616" t="s">
        <v>5272</v>
      </c>
      <c r="O1616" t="s">
        <v>463</v>
      </c>
    </row>
    <row r="1617" spans="1:15" x14ac:dyDescent="0.3">
      <c r="A1617">
        <v>232663</v>
      </c>
      <c r="B1617">
        <v>105</v>
      </c>
      <c r="C1617" t="s">
        <v>557</v>
      </c>
      <c r="D1617" t="s">
        <v>2581</v>
      </c>
      <c r="E1617" t="s">
        <v>2974</v>
      </c>
      <c r="F1617" s="451">
        <v>46156</v>
      </c>
      <c r="G1617">
        <v>23346</v>
      </c>
      <c r="H1617" t="s">
        <v>4916</v>
      </c>
      <c r="I1617" t="s">
        <v>5191</v>
      </c>
      <c r="J1617">
        <v>1.5</v>
      </c>
      <c r="K1617" t="s">
        <v>4744</v>
      </c>
      <c r="L1617">
        <v>9.75</v>
      </c>
      <c r="M1617">
        <v>6.5</v>
      </c>
      <c r="N1617" t="s">
        <v>5272</v>
      </c>
      <c r="O1617" t="s">
        <v>463</v>
      </c>
    </row>
    <row r="1618" spans="1:15" x14ac:dyDescent="0.3">
      <c r="A1618">
        <v>232663</v>
      </c>
      <c r="B1618">
        <v>105</v>
      </c>
      <c r="C1618" t="s">
        <v>557</v>
      </c>
      <c r="D1618" t="s">
        <v>2581</v>
      </c>
      <c r="E1618" t="s">
        <v>2974</v>
      </c>
      <c r="F1618" s="451">
        <v>46156</v>
      </c>
      <c r="G1618">
        <v>24509</v>
      </c>
      <c r="H1618" t="s">
        <v>4788</v>
      </c>
      <c r="I1618" t="s">
        <v>5191</v>
      </c>
      <c r="J1618">
        <v>8</v>
      </c>
      <c r="K1618" t="s">
        <v>4744</v>
      </c>
      <c r="L1618">
        <v>38.4</v>
      </c>
      <c r="M1618">
        <v>4.8</v>
      </c>
      <c r="N1618" t="s">
        <v>5272</v>
      </c>
      <c r="O1618" t="s">
        <v>463</v>
      </c>
    </row>
    <row r="1619" spans="1:15" x14ac:dyDescent="0.3">
      <c r="A1619">
        <v>232663</v>
      </c>
      <c r="B1619">
        <v>105</v>
      </c>
      <c r="C1619" t="s">
        <v>557</v>
      </c>
      <c r="D1619" t="s">
        <v>2581</v>
      </c>
      <c r="E1619" t="s">
        <v>2974</v>
      </c>
      <c r="F1619" s="451">
        <v>46156</v>
      </c>
      <c r="G1619">
        <v>19752</v>
      </c>
      <c r="H1619" t="s">
        <v>4807</v>
      </c>
      <c r="I1619" t="s">
        <v>5191</v>
      </c>
      <c r="J1619">
        <v>2</v>
      </c>
      <c r="K1619" t="s">
        <v>4744</v>
      </c>
      <c r="L1619">
        <v>17</v>
      </c>
      <c r="M1619">
        <v>8.5</v>
      </c>
      <c r="N1619" t="s">
        <v>5272</v>
      </c>
      <c r="O1619" t="s">
        <v>463</v>
      </c>
    </row>
    <row r="1620" spans="1:15" x14ac:dyDescent="0.3">
      <c r="A1620">
        <v>232663</v>
      </c>
      <c r="B1620">
        <v>105</v>
      </c>
      <c r="C1620" t="s">
        <v>557</v>
      </c>
      <c r="D1620" t="s">
        <v>2581</v>
      </c>
      <c r="E1620" t="s">
        <v>2974</v>
      </c>
      <c r="F1620" s="451">
        <v>46156</v>
      </c>
      <c r="G1620">
        <v>24037</v>
      </c>
      <c r="H1620" t="s">
        <v>5233</v>
      </c>
      <c r="I1620" t="s">
        <v>5191</v>
      </c>
      <c r="J1620">
        <v>2</v>
      </c>
      <c r="K1620" t="s">
        <v>4744</v>
      </c>
      <c r="L1620">
        <v>35.6</v>
      </c>
      <c r="M1620">
        <v>17.8</v>
      </c>
      <c r="N1620" t="s">
        <v>5272</v>
      </c>
      <c r="O1620" t="s">
        <v>463</v>
      </c>
    </row>
    <row r="1621" spans="1:15" x14ac:dyDescent="0.3">
      <c r="A1621">
        <v>232663</v>
      </c>
      <c r="B1621">
        <v>105</v>
      </c>
      <c r="C1621" t="s">
        <v>557</v>
      </c>
      <c r="D1621" t="s">
        <v>2581</v>
      </c>
      <c r="E1621" t="s">
        <v>2974</v>
      </c>
      <c r="F1621" s="451">
        <v>46156</v>
      </c>
      <c r="G1621">
        <v>24099</v>
      </c>
      <c r="H1621" t="s">
        <v>4933</v>
      </c>
      <c r="I1621" t="s">
        <v>5191</v>
      </c>
      <c r="J1621">
        <v>1.3</v>
      </c>
      <c r="K1621" t="s">
        <v>4744</v>
      </c>
      <c r="L1621">
        <v>22.1</v>
      </c>
      <c r="M1621">
        <v>17</v>
      </c>
      <c r="N1621" t="s">
        <v>5272</v>
      </c>
      <c r="O1621" t="s">
        <v>463</v>
      </c>
    </row>
    <row r="1622" spans="1:15" x14ac:dyDescent="0.3">
      <c r="A1622">
        <v>232663</v>
      </c>
      <c r="B1622">
        <v>105</v>
      </c>
      <c r="C1622" t="s">
        <v>557</v>
      </c>
      <c r="D1622" t="s">
        <v>2581</v>
      </c>
      <c r="E1622" t="s">
        <v>2974</v>
      </c>
      <c r="F1622" s="451">
        <v>46156</v>
      </c>
      <c r="G1622">
        <v>19623</v>
      </c>
      <c r="H1622" t="s">
        <v>4764</v>
      </c>
      <c r="I1622" t="s">
        <v>5191</v>
      </c>
      <c r="J1622">
        <v>8</v>
      </c>
      <c r="K1622" t="s">
        <v>4744</v>
      </c>
      <c r="L1622">
        <v>46.4</v>
      </c>
      <c r="M1622">
        <v>5.8</v>
      </c>
      <c r="N1622" t="s">
        <v>5272</v>
      </c>
      <c r="O1622" t="s">
        <v>463</v>
      </c>
    </row>
    <row r="1623" spans="1:15" x14ac:dyDescent="0.3">
      <c r="A1623">
        <v>232663</v>
      </c>
      <c r="B1623">
        <v>105</v>
      </c>
      <c r="C1623" t="s">
        <v>557</v>
      </c>
      <c r="D1623" t="s">
        <v>2581</v>
      </c>
      <c r="E1623" t="s">
        <v>2974</v>
      </c>
      <c r="F1623" s="451">
        <v>46156</v>
      </c>
      <c r="G1623">
        <v>19505</v>
      </c>
      <c r="H1623" t="s">
        <v>4872</v>
      </c>
      <c r="I1623" t="s">
        <v>5191</v>
      </c>
      <c r="J1623">
        <v>7</v>
      </c>
      <c r="K1623" t="s">
        <v>4744</v>
      </c>
      <c r="L1623">
        <v>70</v>
      </c>
      <c r="M1623">
        <v>10</v>
      </c>
      <c r="N1623" t="s">
        <v>5272</v>
      </c>
      <c r="O1623" t="s">
        <v>463</v>
      </c>
    </row>
    <row r="1624" spans="1:15" x14ac:dyDescent="0.3">
      <c r="A1624">
        <v>232663</v>
      </c>
      <c r="B1624">
        <v>105</v>
      </c>
      <c r="C1624" t="s">
        <v>557</v>
      </c>
      <c r="D1624" t="s">
        <v>2581</v>
      </c>
      <c r="E1624" t="s">
        <v>2974</v>
      </c>
      <c r="F1624" s="451">
        <v>46156</v>
      </c>
      <c r="G1624">
        <v>23108</v>
      </c>
      <c r="H1624" t="s">
        <v>5117</v>
      </c>
      <c r="I1624" t="s">
        <v>5191</v>
      </c>
      <c r="J1624">
        <v>0.1</v>
      </c>
      <c r="K1624" t="s">
        <v>4744</v>
      </c>
      <c r="L1624">
        <v>8</v>
      </c>
      <c r="M1624">
        <v>80</v>
      </c>
      <c r="N1624" t="s">
        <v>5272</v>
      </c>
      <c r="O1624" t="s">
        <v>463</v>
      </c>
    </row>
    <row r="1625" spans="1:15" x14ac:dyDescent="0.3">
      <c r="A1625">
        <v>232663</v>
      </c>
      <c r="B1625">
        <v>105</v>
      </c>
      <c r="C1625" t="s">
        <v>557</v>
      </c>
      <c r="D1625" t="s">
        <v>2581</v>
      </c>
      <c r="E1625" t="s">
        <v>2974</v>
      </c>
      <c r="F1625" s="451">
        <v>46156</v>
      </c>
      <c r="G1625">
        <v>19622</v>
      </c>
      <c r="H1625" t="s">
        <v>4915</v>
      </c>
      <c r="I1625" t="s">
        <v>5191</v>
      </c>
      <c r="J1625">
        <v>1.2</v>
      </c>
      <c r="K1625" t="s">
        <v>4744</v>
      </c>
      <c r="L1625">
        <v>6</v>
      </c>
      <c r="M1625">
        <v>5</v>
      </c>
      <c r="N1625" t="s">
        <v>5272</v>
      </c>
      <c r="O1625" t="s">
        <v>463</v>
      </c>
    </row>
    <row r="1626" spans="1:15" x14ac:dyDescent="0.3">
      <c r="A1626">
        <v>232663</v>
      </c>
      <c r="B1626">
        <v>105</v>
      </c>
      <c r="C1626" t="s">
        <v>557</v>
      </c>
      <c r="D1626" t="s">
        <v>2581</v>
      </c>
      <c r="E1626" t="s">
        <v>2974</v>
      </c>
      <c r="F1626" s="451">
        <v>46156</v>
      </c>
      <c r="G1626">
        <v>24489</v>
      </c>
      <c r="H1626" t="s">
        <v>5121</v>
      </c>
      <c r="I1626" t="s">
        <v>5191</v>
      </c>
      <c r="J1626">
        <v>1</v>
      </c>
      <c r="K1626" t="s">
        <v>4744</v>
      </c>
      <c r="L1626">
        <v>22</v>
      </c>
      <c r="M1626">
        <v>22</v>
      </c>
      <c r="N1626" t="s">
        <v>5272</v>
      </c>
      <c r="O1626" t="s">
        <v>463</v>
      </c>
    </row>
    <row r="1627" spans="1:15" x14ac:dyDescent="0.3">
      <c r="A1627">
        <v>232663</v>
      </c>
      <c r="B1627">
        <v>105</v>
      </c>
      <c r="C1627" t="s">
        <v>557</v>
      </c>
      <c r="D1627" t="s">
        <v>2581</v>
      </c>
      <c r="E1627" t="s">
        <v>2974</v>
      </c>
      <c r="F1627" s="451">
        <v>46156</v>
      </c>
      <c r="G1627">
        <v>19552</v>
      </c>
      <c r="H1627" t="s">
        <v>4860</v>
      </c>
      <c r="I1627" t="s">
        <v>5191</v>
      </c>
      <c r="J1627">
        <v>1</v>
      </c>
      <c r="K1627" t="s">
        <v>4744</v>
      </c>
      <c r="L1627">
        <v>8.5</v>
      </c>
      <c r="M1627">
        <v>8.5</v>
      </c>
      <c r="N1627" t="s">
        <v>5272</v>
      </c>
      <c r="O1627" t="s">
        <v>463</v>
      </c>
    </row>
    <row r="1628" spans="1:15" x14ac:dyDescent="0.3">
      <c r="A1628">
        <v>232663</v>
      </c>
      <c r="B1628">
        <v>105</v>
      </c>
      <c r="C1628" t="s">
        <v>557</v>
      </c>
      <c r="D1628" t="s">
        <v>2581</v>
      </c>
      <c r="E1628" t="s">
        <v>2974</v>
      </c>
      <c r="F1628" s="451">
        <v>46156</v>
      </c>
      <c r="G1628">
        <v>19742</v>
      </c>
      <c r="H1628" t="s">
        <v>4900</v>
      </c>
      <c r="I1628" t="s">
        <v>5191</v>
      </c>
      <c r="J1628">
        <v>2</v>
      </c>
      <c r="K1628" t="s">
        <v>4744</v>
      </c>
      <c r="L1628">
        <v>28</v>
      </c>
      <c r="M1628">
        <v>14</v>
      </c>
      <c r="N1628" t="s">
        <v>5272</v>
      </c>
      <c r="O1628" t="s">
        <v>463</v>
      </c>
    </row>
    <row r="1629" spans="1:15" x14ac:dyDescent="0.3">
      <c r="A1629">
        <v>232663</v>
      </c>
      <c r="B1629">
        <v>105</v>
      </c>
      <c r="C1629" t="s">
        <v>557</v>
      </c>
      <c r="D1629" t="s">
        <v>2581</v>
      </c>
      <c r="E1629" t="s">
        <v>2974</v>
      </c>
      <c r="F1629" s="451">
        <v>46156</v>
      </c>
      <c r="G1629">
        <v>19476</v>
      </c>
      <c r="H1629" t="s">
        <v>5115</v>
      </c>
      <c r="I1629" t="s">
        <v>5191</v>
      </c>
      <c r="J1629">
        <v>0.3</v>
      </c>
      <c r="K1629" t="s">
        <v>4744</v>
      </c>
      <c r="L1629">
        <v>19.5</v>
      </c>
      <c r="M1629">
        <v>65</v>
      </c>
      <c r="N1629" t="s">
        <v>5272</v>
      </c>
      <c r="O1629" t="s">
        <v>463</v>
      </c>
    </row>
    <row r="1630" spans="1:15" x14ac:dyDescent="0.3">
      <c r="A1630">
        <v>232663</v>
      </c>
      <c r="B1630">
        <v>105</v>
      </c>
      <c r="C1630" t="s">
        <v>557</v>
      </c>
      <c r="D1630" t="s">
        <v>2581</v>
      </c>
      <c r="E1630" t="s">
        <v>2974</v>
      </c>
      <c r="F1630" s="451">
        <v>46156</v>
      </c>
      <c r="G1630">
        <v>23113</v>
      </c>
      <c r="H1630" t="s">
        <v>5074</v>
      </c>
      <c r="I1630" t="s">
        <v>5191</v>
      </c>
      <c r="J1630">
        <v>1</v>
      </c>
      <c r="K1630" t="s">
        <v>4744</v>
      </c>
      <c r="L1630">
        <v>15</v>
      </c>
      <c r="M1630">
        <v>15</v>
      </c>
      <c r="N1630" t="s">
        <v>5272</v>
      </c>
      <c r="O1630" t="s">
        <v>463</v>
      </c>
    </row>
    <row r="1631" spans="1:15" x14ac:dyDescent="0.3">
      <c r="A1631">
        <v>232663</v>
      </c>
      <c r="B1631">
        <v>105</v>
      </c>
      <c r="C1631" t="s">
        <v>557</v>
      </c>
      <c r="D1631" t="s">
        <v>2581</v>
      </c>
      <c r="E1631" t="s">
        <v>2974</v>
      </c>
      <c r="F1631" s="451">
        <v>46156</v>
      </c>
      <c r="G1631">
        <v>23359</v>
      </c>
      <c r="H1631" t="s">
        <v>4767</v>
      </c>
      <c r="I1631" t="s">
        <v>5191</v>
      </c>
      <c r="J1631">
        <v>15</v>
      </c>
      <c r="K1631" t="s">
        <v>4744</v>
      </c>
      <c r="L1631">
        <v>37.5</v>
      </c>
      <c r="M1631">
        <v>2.5</v>
      </c>
      <c r="N1631" t="s">
        <v>5272</v>
      </c>
      <c r="O1631" t="s">
        <v>463</v>
      </c>
    </row>
    <row r="1632" spans="1:15" x14ac:dyDescent="0.3">
      <c r="A1632">
        <v>232663</v>
      </c>
      <c r="B1632">
        <v>105</v>
      </c>
      <c r="C1632" t="s">
        <v>557</v>
      </c>
      <c r="D1632" t="s">
        <v>2581</v>
      </c>
      <c r="E1632" t="s">
        <v>2974</v>
      </c>
      <c r="F1632" s="451">
        <v>46156</v>
      </c>
      <c r="G1632">
        <v>19751</v>
      </c>
      <c r="H1632" t="s">
        <v>4800</v>
      </c>
      <c r="I1632" t="s">
        <v>5191</v>
      </c>
      <c r="J1632">
        <v>3</v>
      </c>
      <c r="K1632" t="s">
        <v>4744</v>
      </c>
      <c r="L1632">
        <v>28.5</v>
      </c>
      <c r="M1632">
        <v>9.5</v>
      </c>
      <c r="N1632" t="s">
        <v>5272</v>
      </c>
      <c r="O1632" t="s">
        <v>463</v>
      </c>
    </row>
    <row r="1633" spans="1:15" x14ac:dyDescent="0.3">
      <c r="A1633">
        <v>232663</v>
      </c>
      <c r="B1633">
        <v>105</v>
      </c>
      <c r="C1633" t="s">
        <v>557</v>
      </c>
      <c r="D1633" t="s">
        <v>2581</v>
      </c>
      <c r="E1633" t="s">
        <v>2974</v>
      </c>
      <c r="F1633" s="451">
        <v>46156</v>
      </c>
      <c r="G1633">
        <v>19607</v>
      </c>
      <c r="H1633" t="s">
        <v>4981</v>
      </c>
      <c r="I1633" t="s">
        <v>5191</v>
      </c>
      <c r="J1633">
        <v>0.3</v>
      </c>
      <c r="K1633" t="s">
        <v>4744</v>
      </c>
      <c r="L1633">
        <v>3.3</v>
      </c>
      <c r="M1633">
        <v>11</v>
      </c>
      <c r="N1633" t="s">
        <v>5272</v>
      </c>
      <c r="O1633" t="s">
        <v>463</v>
      </c>
    </row>
    <row r="1634" spans="1:15" x14ac:dyDescent="0.3">
      <c r="A1634">
        <v>232663</v>
      </c>
      <c r="B1634">
        <v>105</v>
      </c>
      <c r="C1634" t="s">
        <v>557</v>
      </c>
      <c r="D1634" t="s">
        <v>2581</v>
      </c>
      <c r="E1634" t="s">
        <v>2974</v>
      </c>
      <c r="F1634" s="451">
        <v>46156</v>
      </c>
      <c r="G1634">
        <v>23335</v>
      </c>
      <c r="H1634" t="s">
        <v>4961</v>
      </c>
      <c r="I1634" t="s">
        <v>5191</v>
      </c>
      <c r="J1634">
        <v>1</v>
      </c>
      <c r="K1634" t="s">
        <v>4744</v>
      </c>
      <c r="L1634">
        <v>40</v>
      </c>
      <c r="M1634">
        <v>40</v>
      </c>
      <c r="N1634" t="s">
        <v>5272</v>
      </c>
      <c r="O1634" t="s">
        <v>463</v>
      </c>
    </row>
    <row r="1635" spans="1:15" x14ac:dyDescent="0.3">
      <c r="A1635">
        <v>232663</v>
      </c>
      <c r="B1635">
        <v>105</v>
      </c>
      <c r="C1635" t="s">
        <v>557</v>
      </c>
      <c r="D1635" t="s">
        <v>2581</v>
      </c>
      <c r="E1635" t="s">
        <v>2974</v>
      </c>
      <c r="F1635" s="451">
        <v>46156</v>
      </c>
      <c r="G1635">
        <v>23365</v>
      </c>
      <c r="H1635" t="s">
        <v>5108</v>
      </c>
      <c r="I1635" t="s">
        <v>5191</v>
      </c>
      <c r="J1635">
        <v>0.5</v>
      </c>
      <c r="K1635" t="s">
        <v>4744</v>
      </c>
      <c r="L1635">
        <v>9</v>
      </c>
      <c r="M1635">
        <v>18</v>
      </c>
      <c r="N1635" t="s">
        <v>5272</v>
      </c>
      <c r="O1635" t="s">
        <v>463</v>
      </c>
    </row>
    <row r="1636" spans="1:15" x14ac:dyDescent="0.3">
      <c r="A1636">
        <v>232663</v>
      </c>
      <c r="B1636">
        <v>105</v>
      </c>
      <c r="C1636" t="s">
        <v>557</v>
      </c>
      <c r="D1636" t="s">
        <v>2581</v>
      </c>
      <c r="E1636" t="s">
        <v>2974</v>
      </c>
      <c r="F1636" s="451">
        <v>46156</v>
      </c>
      <c r="G1636">
        <v>19658</v>
      </c>
      <c r="H1636" t="s">
        <v>4784</v>
      </c>
      <c r="I1636" t="s">
        <v>5191</v>
      </c>
      <c r="J1636">
        <v>8</v>
      </c>
      <c r="K1636" t="s">
        <v>4744</v>
      </c>
      <c r="L1636">
        <v>28.4</v>
      </c>
      <c r="M1636">
        <v>3.55</v>
      </c>
      <c r="N1636" t="s">
        <v>5272</v>
      </c>
      <c r="O1636" t="s">
        <v>463</v>
      </c>
    </row>
    <row r="1637" spans="1:15" x14ac:dyDescent="0.3">
      <c r="A1637">
        <v>232662</v>
      </c>
      <c r="B1637">
        <v>105</v>
      </c>
      <c r="C1637" t="s">
        <v>557</v>
      </c>
      <c r="D1637" t="s">
        <v>2585</v>
      </c>
      <c r="E1637" t="s">
        <v>2975</v>
      </c>
      <c r="F1637" s="451">
        <v>46148</v>
      </c>
      <c r="G1637">
        <v>18822</v>
      </c>
      <c r="H1637" t="s">
        <v>4811</v>
      </c>
      <c r="I1637" t="s">
        <v>5191</v>
      </c>
      <c r="J1637">
        <v>24.16</v>
      </c>
      <c r="K1637" t="s">
        <v>4744</v>
      </c>
      <c r="L1637">
        <v>2467.42</v>
      </c>
      <c r="M1637">
        <v>102.128311</v>
      </c>
      <c r="N1637" t="s">
        <v>5272</v>
      </c>
      <c r="O1637" t="s">
        <v>463</v>
      </c>
    </row>
    <row r="1638" spans="1:15" x14ac:dyDescent="0.3">
      <c r="A1638">
        <v>232661</v>
      </c>
      <c r="B1638">
        <v>105</v>
      </c>
      <c r="C1638" t="s">
        <v>557</v>
      </c>
      <c r="D1638" t="s">
        <v>2585</v>
      </c>
      <c r="E1638" t="s">
        <v>2976</v>
      </c>
      <c r="F1638" s="451">
        <v>46160</v>
      </c>
      <c r="G1638">
        <v>18822</v>
      </c>
      <c r="H1638" t="s">
        <v>4811</v>
      </c>
      <c r="I1638" t="s">
        <v>5191</v>
      </c>
      <c r="J1638">
        <v>24.16</v>
      </c>
      <c r="K1638" t="s">
        <v>4744</v>
      </c>
      <c r="L1638">
        <v>2467.42</v>
      </c>
      <c r="M1638">
        <v>102.128311</v>
      </c>
      <c r="N1638" t="s">
        <v>5191</v>
      </c>
      <c r="O1638" t="s">
        <v>463</v>
      </c>
    </row>
    <row r="1639" spans="1:15" x14ac:dyDescent="0.3">
      <c r="A1639">
        <v>232660</v>
      </c>
      <c r="B1639">
        <v>105</v>
      </c>
      <c r="C1639" t="s">
        <v>557</v>
      </c>
      <c r="D1639" t="s">
        <v>2585</v>
      </c>
      <c r="E1639" t="s">
        <v>2977</v>
      </c>
      <c r="F1639" s="451">
        <v>46157</v>
      </c>
      <c r="G1639">
        <v>27264</v>
      </c>
      <c r="H1639" t="s">
        <v>5075</v>
      </c>
      <c r="I1639" t="s">
        <v>5191</v>
      </c>
      <c r="J1639">
        <v>11.52</v>
      </c>
      <c r="K1639" t="s">
        <v>4744</v>
      </c>
      <c r="L1639">
        <v>625.37</v>
      </c>
      <c r="M1639">
        <v>54.285589999999999</v>
      </c>
      <c r="N1639" t="s">
        <v>5272</v>
      </c>
      <c r="O1639" t="s">
        <v>463</v>
      </c>
    </row>
    <row r="1640" spans="1:15" x14ac:dyDescent="0.3">
      <c r="A1640">
        <v>232659</v>
      </c>
      <c r="B1640">
        <v>105</v>
      </c>
      <c r="C1640" t="s">
        <v>557</v>
      </c>
      <c r="D1640" t="s">
        <v>2607</v>
      </c>
      <c r="E1640" t="s">
        <v>2978</v>
      </c>
      <c r="F1640" s="451">
        <v>46147</v>
      </c>
      <c r="G1640">
        <v>25777</v>
      </c>
      <c r="H1640" t="s">
        <v>4774</v>
      </c>
      <c r="I1640" t="s">
        <v>5191</v>
      </c>
      <c r="J1640">
        <v>10.7</v>
      </c>
      <c r="K1640" t="s">
        <v>4744</v>
      </c>
      <c r="L1640">
        <v>960.86</v>
      </c>
      <c r="M1640">
        <v>89.8</v>
      </c>
      <c r="N1640" t="s">
        <v>5272</v>
      </c>
      <c r="O1640" t="s">
        <v>463</v>
      </c>
    </row>
    <row r="1641" spans="1:15" x14ac:dyDescent="0.3">
      <c r="A1641">
        <v>232658</v>
      </c>
      <c r="B1641">
        <v>105</v>
      </c>
      <c r="C1641" t="s">
        <v>557</v>
      </c>
      <c r="D1641" t="s">
        <v>2607</v>
      </c>
      <c r="E1641" t="s">
        <v>2979</v>
      </c>
      <c r="F1641" s="451">
        <v>46147</v>
      </c>
      <c r="G1641">
        <v>25777</v>
      </c>
      <c r="H1641" t="s">
        <v>4774</v>
      </c>
      <c r="I1641" t="s">
        <v>5191</v>
      </c>
      <c r="J1641">
        <v>15</v>
      </c>
      <c r="K1641" t="s">
        <v>4744</v>
      </c>
      <c r="L1641">
        <v>1347</v>
      </c>
      <c r="M1641">
        <v>89.8</v>
      </c>
      <c r="N1641" t="s">
        <v>5272</v>
      </c>
      <c r="O1641" t="s">
        <v>463</v>
      </c>
    </row>
    <row r="1642" spans="1:15" x14ac:dyDescent="0.3">
      <c r="A1642">
        <v>232657</v>
      </c>
      <c r="B1642">
        <v>105</v>
      </c>
      <c r="C1642" t="s">
        <v>557</v>
      </c>
      <c r="D1642" t="s">
        <v>2588</v>
      </c>
      <c r="E1642" t="s">
        <v>2980</v>
      </c>
      <c r="F1642" s="451">
        <v>46147</v>
      </c>
      <c r="G1642">
        <v>20301</v>
      </c>
      <c r="H1642" t="s">
        <v>4944</v>
      </c>
      <c r="I1642" t="s">
        <v>5191</v>
      </c>
      <c r="J1642">
        <v>8</v>
      </c>
      <c r="K1642" t="s">
        <v>4738</v>
      </c>
      <c r="L1642">
        <v>168</v>
      </c>
      <c r="M1642">
        <v>21</v>
      </c>
      <c r="N1642" t="s">
        <v>5272</v>
      </c>
      <c r="O1642" t="s">
        <v>463</v>
      </c>
    </row>
    <row r="1643" spans="1:15" x14ac:dyDescent="0.3">
      <c r="A1643">
        <v>232657</v>
      </c>
      <c r="B1643">
        <v>105</v>
      </c>
      <c r="C1643" t="s">
        <v>557</v>
      </c>
      <c r="D1643" t="s">
        <v>2588</v>
      </c>
      <c r="E1643" t="s">
        <v>2980</v>
      </c>
      <c r="F1643" s="451">
        <v>46147</v>
      </c>
      <c r="G1643">
        <v>20984</v>
      </c>
      <c r="H1643" t="s">
        <v>5133</v>
      </c>
      <c r="I1643" t="s">
        <v>5191</v>
      </c>
      <c r="J1643">
        <v>30</v>
      </c>
      <c r="K1643" t="s">
        <v>4888</v>
      </c>
      <c r="L1643">
        <v>244.5</v>
      </c>
      <c r="M1643">
        <v>8.15</v>
      </c>
      <c r="N1643" t="s">
        <v>5272</v>
      </c>
      <c r="O1643" t="s">
        <v>463</v>
      </c>
    </row>
    <row r="1644" spans="1:15" x14ac:dyDescent="0.3">
      <c r="A1644">
        <v>232656</v>
      </c>
      <c r="B1644">
        <v>105</v>
      </c>
      <c r="C1644" t="s">
        <v>557</v>
      </c>
      <c r="D1644" t="s">
        <v>2642</v>
      </c>
      <c r="E1644" t="s">
        <v>2981</v>
      </c>
      <c r="F1644" s="451">
        <v>46150</v>
      </c>
      <c r="G1644">
        <v>18030</v>
      </c>
      <c r="H1644" t="s">
        <v>4840</v>
      </c>
      <c r="I1644" t="s">
        <v>5222</v>
      </c>
      <c r="J1644">
        <v>5</v>
      </c>
      <c r="K1644" t="s">
        <v>4805</v>
      </c>
      <c r="L1644">
        <v>139.94999999999999</v>
      </c>
      <c r="M1644">
        <v>27.99</v>
      </c>
      <c r="N1644" t="s">
        <v>5222</v>
      </c>
      <c r="O1644" t="s">
        <v>463</v>
      </c>
    </row>
    <row r="1645" spans="1:15" x14ac:dyDescent="0.3">
      <c r="A1645">
        <v>232656</v>
      </c>
      <c r="B1645">
        <v>105</v>
      </c>
      <c r="C1645" t="s">
        <v>557</v>
      </c>
      <c r="D1645" t="s">
        <v>2642</v>
      </c>
      <c r="E1645" t="s">
        <v>2981</v>
      </c>
      <c r="F1645" s="451">
        <v>46150</v>
      </c>
      <c r="G1645">
        <v>18545</v>
      </c>
      <c r="H1645" t="s">
        <v>4864</v>
      </c>
      <c r="I1645" t="s">
        <v>5222</v>
      </c>
      <c r="J1645">
        <v>1</v>
      </c>
      <c r="K1645" t="s">
        <v>4805</v>
      </c>
      <c r="L1645">
        <v>43.99</v>
      </c>
      <c r="M1645">
        <v>43.99</v>
      </c>
      <c r="N1645" t="s">
        <v>5222</v>
      </c>
      <c r="O1645" t="s">
        <v>463</v>
      </c>
    </row>
    <row r="1646" spans="1:15" x14ac:dyDescent="0.3">
      <c r="A1646">
        <v>232656</v>
      </c>
      <c r="B1646">
        <v>105</v>
      </c>
      <c r="C1646" t="s">
        <v>557</v>
      </c>
      <c r="D1646" t="s">
        <v>2642</v>
      </c>
      <c r="E1646" t="s">
        <v>2981</v>
      </c>
      <c r="F1646" s="451">
        <v>46150</v>
      </c>
      <c r="G1646">
        <v>18547</v>
      </c>
      <c r="H1646" t="s">
        <v>4863</v>
      </c>
      <c r="I1646" t="s">
        <v>5222</v>
      </c>
      <c r="J1646">
        <v>3</v>
      </c>
      <c r="K1646" t="s">
        <v>4805</v>
      </c>
      <c r="L1646">
        <v>110.97</v>
      </c>
      <c r="M1646">
        <v>36.99</v>
      </c>
      <c r="N1646" t="s">
        <v>5222</v>
      </c>
      <c r="O1646" t="s">
        <v>463</v>
      </c>
    </row>
    <row r="1647" spans="1:15" x14ac:dyDescent="0.3">
      <c r="A1647">
        <v>232655</v>
      </c>
      <c r="B1647">
        <v>105</v>
      </c>
      <c r="C1647" t="s">
        <v>557</v>
      </c>
      <c r="D1647" t="s">
        <v>2642</v>
      </c>
      <c r="E1647" t="s">
        <v>2982</v>
      </c>
      <c r="F1647" s="451">
        <v>46153</v>
      </c>
      <c r="G1647">
        <v>18194</v>
      </c>
      <c r="H1647" t="s">
        <v>4923</v>
      </c>
      <c r="I1647" t="s">
        <v>5222</v>
      </c>
      <c r="J1647">
        <v>3</v>
      </c>
      <c r="K1647" t="s">
        <v>4805</v>
      </c>
      <c r="L1647">
        <v>177</v>
      </c>
      <c r="M1647">
        <v>59</v>
      </c>
      <c r="N1647" t="s">
        <v>5222</v>
      </c>
      <c r="O1647" t="s">
        <v>463</v>
      </c>
    </row>
    <row r="1648" spans="1:15" x14ac:dyDescent="0.3">
      <c r="A1648">
        <v>232654</v>
      </c>
      <c r="B1648">
        <v>105</v>
      </c>
      <c r="C1648" t="s">
        <v>557</v>
      </c>
      <c r="D1648" t="s">
        <v>2590</v>
      </c>
      <c r="E1648" t="s">
        <v>2983</v>
      </c>
      <c r="F1648" s="451">
        <v>46147</v>
      </c>
      <c r="G1648">
        <v>27090</v>
      </c>
      <c r="H1648" t="s">
        <v>5324</v>
      </c>
      <c r="I1648" t="s">
        <v>5222</v>
      </c>
      <c r="J1648">
        <v>8</v>
      </c>
      <c r="K1648" t="s">
        <v>4736</v>
      </c>
      <c r="L1648">
        <v>763.28</v>
      </c>
      <c r="M1648">
        <v>95.41</v>
      </c>
      <c r="N1648" t="s">
        <v>5222</v>
      </c>
      <c r="O1648" t="s">
        <v>463</v>
      </c>
    </row>
    <row r="1649" spans="1:15" x14ac:dyDescent="0.3">
      <c r="A1649">
        <v>232653</v>
      </c>
      <c r="B1649">
        <v>105</v>
      </c>
      <c r="C1649" t="s">
        <v>557</v>
      </c>
      <c r="D1649" t="s">
        <v>2590</v>
      </c>
      <c r="E1649" t="s">
        <v>2984</v>
      </c>
      <c r="F1649" s="451">
        <v>46157</v>
      </c>
      <c r="G1649">
        <v>17895</v>
      </c>
      <c r="H1649" t="s">
        <v>5086</v>
      </c>
      <c r="I1649" t="s">
        <v>5222</v>
      </c>
      <c r="J1649">
        <v>11</v>
      </c>
      <c r="K1649" t="s">
        <v>4738</v>
      </c>
      <c r="L1649">
        <v>311.52</v>
      </c>
      <c r="M1649">
        <v>28.32</v>
      </c>
      <c r="N1649" t="s">
        <v>5222</v>
      </c>
      <c r="O1649" t="s">
        <v>463</v>
      </c>
    </row>
    <row r="1650" spans="1:15" x14ac:dyDescent="0.3">
      <c r="A1650">
        <v>232652</v>
      </c>
      <c r="B1650">
        <v>105</v>
      </c>
      <c r="C1650" t="s">
        <v>557</v>
      </c>
      <c r="D1650" t="s">
        <v>2613</v>
      </c>
      <c r="E1650" t="s">
        <v>2985</v>
      </c>
      <c r="F1650" s="451">
        <v>46157</v>
      </c>
      <c r="G1650">
        <v>29210</v>
      </c>
      <c r="H1650" t="s">
        <v>5178</v>
      </c>
      <c r="I1650" t="s">
        <v>5191</v>
      </c>
      <c r="J1650">
        <v>9.93</v>
      </c>
      <c r="K1650" t="s">
        <v>4744</v>
      </c>
      <c r="L1650">
        <v>387.11</v>
      </c>
      <c r="M1650">
        <v>38.983887000000003</v>
      </c>
      <c r="N1650" t="s">
        <v>5272</v>
      </c>
      <c r="O1650" t="s">
        <v>463</v>
      </c>
    </row>
    <row r="1651" spans="1:15" x14ac:dyDescent="0.3">
      <c r="A1651">
        <v>232651</v>
      </c>
      <c r="B1651">
        <v>105</v>
      </c>
      <c r="C1651" t="s">
        <v>557</v>
      </c>
      <c r="D1651" t="s">
        <v>2986</v>
      </c>
      <c r="E1651" t="s">
        <v>2987</v>
      </c>
      <c r="F1651" s="451">
        <v>46158</v>
      </c>
      <c r="G1651">
        <v>20007</v>
      </c>
      <c r="H1651" t="s">
        <v>5101</v>
      </c>
      <c r="I1651" t="s">
        <v>5191</v>
      </c>
      <c r="J1651">
        <v>3</v>
      </c>
      <c r="K1651" t="s">
        <v>4884</v>
      </c>
      <c r="L1651">
        <v>147.27000000000001</v>
      </c>
      <c r="M1651">
        <v>49.09</v>
      </c>
      <c r="N1651" t="s">
        <v>5191</v>
      </c>
      <c r="O1651" t="s">
        <v>463</v>
      </c>
    </row>
    <row r="1652" spans="1:15" x14ac:dyDescent="0.3">
      <c r="A1652">
        <v>232651</v>
      </c>
      <c r="B1652">
        <v>105</v>
      </c>
      <c r="C1652" t="s">
        <v>557</v>
      </c>
      <c r="D1652" t="s">
        <v>2986</v>
      </c>
      <c r="E1652" t="s">
        <v>2987</v>
      </c>
      <c r="F1652" s="451">
        <v>46158</v>
      </c>
      <c r="G1652">
        <v>19439</v>
      </c>
      <c r="H1652" t="s">
        <v>4917</v>
      </c>
      <c r="I1652" t="s">
        <v>5191</v>
      </c>
      <c r="J1652">
        <v>3</v>
      </c>
      <c r="K1652" t="s">
        <v>4738</v>
      </c>
      <c r="L1652">
        <v>94.11</v>
      </c>
      <c r="M1652">
        <v>31.37</v>
      </c>
      <c r="N1652" t="s">
        <v>5191</v>
      </c>
      <c r="O1652" t="s">
        <v>463</v>
      </c>
    </row>
    <row r="1653" spans="1:15" x14ac:dyDescent="0.3">
      <c r="A1653">
        <v>232651</v>
      </c>
      <c r="B1653">
        <v>105</v>
      </c>
      <c r="C1653" t="s">
        <v>557</v>
      </c>
      <c r="D1653" t="s">
        <v>2986</v>
      </c>
      <c r="E1653" t="s">
        <v>2987</v>
      </c>
      <c r="F1653" s="451">
        <v>46158</v>
      </c>
      <c r="G1653">
        <v>19322</v>
      </c>
      <c r="H1653" t="s">
        <v>4830</v>
      </c>
      <c r="I1653" t="s">
        <v>5191</v>
      </c>
      <c r="J1653">
        <v>12</v>
      </c>
      <c r="K1653" t="s">
        <v>4744</v>
      </c>
      <c r="L1653">
        <v>631.08000000000004</v>
      </c>
      <c r="M1653">
        <v>52.59</v>
      </c>
      <c r="N1653" t="s">
        <v>5191</v>
      </c>
      <c r="O1653" t="s">
        <v>463</v>
      </c>
    </row>
    <row r="1654" spans="1:15" x14ac:dyDescent="0.3">
      <c r="A1654">
        <v>232650</v>
      </c>
      <c r="B1654">
        <v>105</v>
      </c>
      <c r="C1654" t="s">
        <v>557</v>
      </c>
      <c r="D1654" t="s">
        <v>2552</v>
      </c>
      <c r="E1654" t="s">
        <v>2988</v>
      </c>
      <c r="F1654" s="451">
        <v>46143</v>
      </c>
      <c r="G1654">
        <v>26627</v>
      </c>
      <c r="H1654" t="s">
        <v>5190</v>
      </c>
      <c r="I1654" t="s">
        <v>5191</v>
      </c>
      <c r="J1654">
        <v>30</v>
      </c>
      <c r="K1654" t="s">
        <v>4744</v>
      </c>
      <c r="L1654">
        <v>237</v>
      </c>
      <c r="M1654">
        <v>7.9</v>
      </c>
      <c r="N1654" t="s">
        <v>5191</v>
      </c>
      <c r="O1654" t="s">
        <v>463</v>
      </c>
    </row>
    <row r="1655" spans="1:15" x14ac:dyDescent="0.3">
      <c r="A1655">
        <v>232118</v>
      </c>
      <c r="B1655">
        <v>105</v>
      </c>
      <c r="C1655" t="s">
        <v>557</v>
      </c>
      <c r="D1655" t="s">
        <v>2552</v>
      </c>
      <c r="E1655" t="s">
        <v>2989</v>
      </c>
      <c r="F1655" s="451">
        <v>46155</v>
      </c>
      <c r="G1655">
        <v>26627</v>
      </c>
      <c r="H1655" t="s">
        <v>5190</v>
      </c>
      <c r="I1655" t="s">
        <v>5191</v>
      </c>
      <c r="J1655">
        <v>25</v>
      </c>
      <c r="K1655" t="s">
        <v>4744</v>
      </c>
      <c r="L1655">
        <v>197.5</v>
      </c>
      <c r="M1655">
        <v>7.9</v>
      </c>
      <c r="N1655" t="s">
        <v>5272</v>
      </c>
      <c r="O1655" t="s">
        <v>463</v>
      </c>
    </row>
    <row r="1656" spans="1:15" x14ac:dyDescent="0.3">
      <c r="A1656">
        <v>232117</v>
      </c>
      <c r="B1656">
        <v>105</v>
      </c>
      <c r="C1656" t="s">
        <v>557</v>
      </c>
      <c r="D1656" t="s">
        <v>2554</v>
      </c>
      <c r="E1656" t="s">
        <v>2990</v>
      </c>
      <c r="F1656" s="451">
        <v>46154</v>
      </c>
      <c r="G1656">
        <v>17437</v>
      </c>
      <c r="H1656" t="s">
        <v>5203</v>
      </c>
      <c r="I1656" t="s">
        <v>5188</v>
      </c>
      <c r="J1656">
        <v>15</v>
      </c>
      <c r="K1656" t="s">
        <v>4736</v>
      </c>
      <c r="L1656">
        <v>34.5</v>
      </c>
      <c r="M1656">
        <v>2.2999999999999998</v>
      </c>
      <c r="N1656" t="s">
        <v>5277</v>
      </c>
      <c r="O1656" t="s">
        <v>463</v>
      </c>
    </row>
    <row r="1657" spans="1:15" x14ac:dyDescent="0.3">
      <c r="A1657">
        <v>232117</v>
      </c>
      <c r="B1657">
        <v>105</v>
      </c>
      <c r="C1657" t="s">
        <v>557</v>
      </c>
      <c r="D1657" t="s">
        <v>2554</v>
      </c>
      <c r="E1657" t="s">
        <v>2990</v>
      </c>
      <c r="F1657" s="451">
        <v>46154</v>
      </c>
      <c r="G1657">
        <v>17314</v>
      </c>
      <c r="H1657" t="s">
        <v>5208</v>
      </c>
      <c r="I1657" t="s">
        <v>5188</v>
      </c>
      <c r="J1657">
        <v>3</v>
      </c>
      <c r="K1657" t="s">
        <v>4848</v>
      </c>
      <c r="L1657">
        <v>17.670000000000002</v>
      </c>
      <c r="M1657">
        <v>5.89</v>
      </c>
      <c r="N1657" t="s">
        <v>5277</v>
      </c>
      <c r="O1657" t="s">
        <v>463</v>
      </c>
    </row>
    <row r="1658" spans="1:15" x14ac:dyDescent="0.3">
      <c r="A1658">
        <v>232117</v>
      </c>
      <c r="B1658">
        <v>105</v>
      </c>
      <c r="C1658" t="s">
        <v>557</v>
      </c>
      <c r="D1658" t="s">
        <v>2554</v>
      </c>
      <c r="E1658" t="s">
        <v>2990</v>
      </c>
      <c r="F1658" s="451">
        <v>46154</v>
      </c>
      <c r="G1658">
        <v>17182</v>
      </c>
      <c r="H1658" t="s">
        <v>5201</v>
      </c>
      <c r="I1658" t="s">
        <v>5188</v>
      </c>
      <c r="J1658">
        <v>1</v>
      </c>
      <c r="K1658" t="s">
        <v>4848</v>
      </c>
      <c r="L1658">
        <v>38.89</v>
      </c>
      <c r="M1658">
        <v>38.89</v>
      </c>
      <c r="N1658" t="s">
        <v>5277</v>
      </c>
      <c r="O1658" t="s">
        <v>463</v>
      </c>
    </row>
    <row r="1659" spans="1:15" x14ac:dyDescent="0.3">
      <c r="A1659">
        <v>232117</v>
      </c>
      <c r="B1659">
        <v>105</v>
      </c>
      <c r="C1659" t="s">
        <v>557</v>
      </c>
      <c r="D1659" t="s">
        <v>2554</v>
      </c>
      <c r="E1659" t="s">
        <v>2990</v>
      </c>
      <c r="F1659" s="451">
        <v>46154</v>
      </c>
      <c r="G1659">
        <v>26944</v>
      </c>
      <c r="H1659" t="s">
        <v>5325</v>
      </c>
      <c r="I1659" t="s">
        <v>5188</v>
      </c>
      <c r="J1659">
        <v>1</v>
      </c>
      <c r="K1659" t="s">
        <v>4738</v>
      </c>
      <c r="L1659">
        <v>155.46</v>
      </c>
      <c r="M1659">
        <v>155.46</v>
      </c>
      <c r="N1659" t="s">
        <v>5277</v>
      </c>
      <c r="O1659" t="s">
        <v>463</v>
      </c>
    </row>
    <row r="1660" spans="1:15" x14ac:dyDescent="0.3">
      <c r="A1660">
        <v>232117</v>
      </c>
      <c r="B1660">
        <v>105</v>
      </c>
      <c r="C1660" t="s">
        <v>557</v>
      </c>
      <c r="D1660" t="s">
        <v>2554</v>
      </c>
      <c r="E1660" t="s">
        <v>2990</v>
      </c>
      <c r="F1660" s="451">
        <v>46154</v>
      </c>
      <c r="G1660">
        <v>17266</v>
      </c>
      <c r="H1660" t="s">
        <v>5192</v>
      </c>
      <c r="I1660" t="s">
        <v>5188</v>
      </c>
      <c r="J1660">
        <v>2</v>
      </c>
      <c r="K1660" t="s">
        <v>4736</v>
      </c>
      <c r="L1660">
        <v>9.3000000000000007</v>
      </c>
      <c r="M1660">
        <v>4.6500000000000004</v>
      </c>
      <c r="N1660" t="s">
        <v>5277</v>
      </c>
      <c r="O1660" t="s">
        <v>463</v>
      </c>
    </row>
    <row r="1661" spans="1:15" x14ac:dyDescent="0.3">
      <c r="A1661">
        <v>232117</v>
      </c>
      <c r="B1661">
        <v>105</v>
      </c>
      <c r="C1661" t="s">
        <v>557</v>
      </c>
      <c r="D1661" t="s">
        <v>2554</v>
      </c>
      <c r="E1661" t="s">
        <v>2990</v>
      </c>
      <c r="F1661" s="451">
        <v>46154</v>
      </c>
      <c r="G1661">
        <v>17504</v>
      </c>
      <c r="H1661" t="s">
        <v>5260</v>
      </c>
      <c r="I1661" t="s">
        <v>5205</v>
      </c>
      <c r="J1661">
        <v>2</v>
      </c>
      <c r="K1661" t="s">
        <v>4736</v>
      </c>
      <c r="L1661">
        <v>42</v>
      </c>
      <c r="M1661">
        <v>21</v>
      </c>
      <c r="N1661" t="s">
        <v>5277</v>
      </c>
      <c r="O1661" t="s">
        <v>463</v>
      </c>
    </row>
    <row r="1662" spans="1:15" x14ac:dyDescent="0.3">
      <c r="A1662">
        <v>232117</v>
      </c>
      <c r="B1662">
        <v>105</v>
      </c>
      <c r="C1662" t="s">
        <v>557</v>
      </c>
      <c r="D1662" t="s">
        <v>2554</v>
      </c>
      <c r="E1662" t="s">
        <v>2990</v>
      </c>
      <c r="F1662" s="451">
        <v>46154</v>
      </c>
      <c r="G1662">
        <v>17190</v>
      </c>
      <c r="H1662" t="s">
        <v>5193</v>
      </c>
      <c r="I1662" t="s">
        <v>5188</v>
      </c>
      <c r="J1662">
        <v>2</v>
      </c>
      <c r="K1662" t="s">
        <v>4738</v>
      </c>
      <c r="L1662">
        <v>16.2</v>
      </c>
      <c r="M1662">
        <v>8.1</v>
      </c>
      <c r="N1662" t="s">
        <v>5277</v>
      </c>
      <c r="O1662" t="s">
        <v>463</v>
      </c>
    </row>
    <row r="1663" spans="1:15" x14ac:dyDescent="0.3">
      <c r="A1663">
        <v>232117</v>
      </c>
      <c r="B1663">
        <v>105</v>
      </c>
      <c r="C1663" t="s">
        <v>557</v>
      </c>
      <c r="D1663" t="s">
        <v>2554</v>
      </c>
      <c r="E1663" t="s">
        <v>2990</v>
      </c>
      <c r="F1663" s="451">
        <v>46154</v>
      </c>
      <c r="G1663">
        <v>17416</v>
      </c>
      <c r="H1663" t="s">
        <v>5209</v>
      </c>
      <c r="I1663" t="s">
        <v>5188</v>
      </c>
      <c r="J1663">
        <v>2</v>
      </c>
      <c r="K1663" t="s">
        <v>4749</v>
      </c>
      <c r="L1663">
        <v>97.16</v>
      </c>
      <c r="M1663">
        <v>48.58</v>
      </c>
      <c r="N1663" t="s">
        <v>5277</v>
      </c>
      <c r="O1663" t="s">
        <v>463</v>
      </c>
    </row>
    <row r="1664" spans="1:15" x14ac:dyDescent="0.3">
      <c r="A1664">
        <v>232117</v>
      </c>
      <c r="B1664">
        <v>105</v>
      </c>
      <c r="C1664" t="s">
        <v>557</v>
      </c>
      <c r="D1664" t="s">
        <v>2554</v>
      </c>
      <c r="E1664" t="s">
        <v>2990</v>
      </c>
      <c r="F1664" s="451">
        <v>46154</v>
      </c>
      <c r="G1664">
        <v>24787</v>
      </c>
      <c r="H1664" t="s">
        <v>5212</v>
      </c>
      <c r="I1664" t="s">
        <v>5188</v>
      </c>
      <c r="J1664">
        <v>4</v>
      </c>
      <c r="K1664" t="s">
        <v>4738</v>
      </c>
      <c r="L1664">
        <v>328.84</v>
      </c>
      <c r="M1664">
        <v>82.21</v>
      </c>
      <c r="N1664" t="s">
        <v>5277</v>
      </c>
      <c r="O1664" t="s">
        <v>463</v>
      </c>
    </row>
    <row r="1665" spans="1:15" x14ac:dyDescent="0.3">
      <c r="A1665">
        <v>232117</v>
      </c>
      <c r="B1665">
        <v>105</v>
      </c>
      <c r="C1665" t="s">
        <v>557</v>
      </c>
      <c r="D1665" t="s">
        <v>2554</v>
      </c>
      <c r="E1665" t="s">
        <v>2990</v>
      </c>
      <c r="F1665" s="451">
        <v>46154</v>
      </c>
      <c r="G1665">
        <v>17215</v>
      </c>
      <c r="H1665" t="s">
        <v>5299</v>
      </c>
      <c r="I1665" t="s">
        <v>5188</v>
      </c>
      <c r="J1665">
        <v>6</v>
      </c>
      <c r="K1665" t="s">
        <v>4848</v>
      </c>
      <c r="L1665">
        <v>108</v>
      </c>
      <c r="M1665">
        <v>18</v>
      </c>
      <c r="N1665" t="s">
        <v>5277</v>
      </c>
      <c r="O1665" t="s">
        <v>463</v>
      </c>
    </row>
    <row r="1666" spans="1:15" x14ac:dyDescent="0.3">
      <c r="A1666">
        <v>232117</v>
      </c>
      <c r="B1666">
        <v>105</v>
      </c>
      <c r="C1666" t="s">
        <v>557</v>
      </c>
      <c r="D1666" t="s">
        <v>2554</v>
      </c>
      <c r="E1666" t="s">
        <v>2990</v>
      </c>
      <c r="F1666" s="451">
        <v>46154</v>
      </c>
      <c r="G1666">
        <v>17381</v>
      </c>
      <c r="H1666" t="s">
        <v>5262</v>
      </c>
      <c r="I1666" t="s">
        <v>5188</v>
      </c>
      <c r="J1666">
        <v>1</v>
      </c>
      <c r="K1666" t="s">
        <v>4736</v>
      </c>
      <c r="L1666">
        <v>38.89</v>
      </c>
      <c r="M1666">
        <v>38.89</v>
      </c>
      <c r="N1666" t="s">
        <v>5277</v>
      </c>
      <c r="O1666" t="s">
        <v>463</v>
      </c>
    </row>
    <row r="1667" spans="1:15" x14ac:dyDescent="0.3">
      <c r="A1667">
        <v>232116</v>
      </c>
      <c r="B1667">
        <v>105</v>
      </c>
      <c r="C1667" t="s">
        <v>557</v>
      </c>
      <c r="D1667" t="s">
        <v>2991</v>
      </c>
      <c r="E1667" t="s">
        <v>2992</v>
      </c>
      <c r="F1667" s="451">
        <v>46153</v>
      </c>
      <c r="G1667">
        <v>17958</v>
      </c>
      <c r="H1667" t="s">
        <v>5076</v>
      </c>
      <c r="I1667" t="s">
        <v>5222</v>
      </c>
      <c r="J1667">
        <v>8</v>
      </c>
      <c r="K1667" t="s">
        <v>4738</v>
      </c>
      <c r="L1667">
        <v>135.6</v>
      </c>
      <c r="M1667">
        <v>16.95</v>
      </c>
      <c r="N1667" t="s">
        <v>5271</v>
      </c>
      <c r="O1667" t="s">
        <v>463</v>
      </c>
    </row>
    <row r="1668" spans="1:15" x14ac:dyDescent="0.3">
      <c r="A1668">
        <v>232116</v>
      </c>
      <c r="B1668">
        <v>105</v>
      </c>
      <c r="C1668" t="s">
        <v>557</v>
      </c>
      <c r="D1668" t="s">
        <v>2991</v>
      </c>
      <c r="E1668" t="s">
        <v>2992</v>
      </c>
      <c r="F1668" s="451">
        <v>46153</v>
      </c>
      <c r="G1668">
        <v>17950</v>
      </c>
      <c r="H1668" t="s">
        <v>5091</v>
      </c>
      <c r="I1668" t="s">
        <v>5222</v>
      </c>
      <c r="J1668">
        <v>20</v>
      </c>
      <c r="K1668" t="s">
        <v>4738</v>
      </c>
      <c r="L1668">
        <v>353.4</v>
      </c>
      <c r="M1668">
        <v>17.670000000000002</v>
      </c>
      <c r="N1668" t="s">
        <v>5271</v>
      </c>
      <c r="O1668" t="s">
        <v>463</v>
      </c>
    </row>
    <row r="1669" spans="1:15" x14ac:dyDescent="0.3">
      <c r="A1669">
        <v>232115</v>
      </c>
      <c r="B1669">
        <v>105</v>
      </c>
      <c r="C1669" t="s">
        <v>557</v>
      </c>
      <c r="D1669" t="s">
        <v>2653</v>
      </c>
      <c r="E1669" t="s">
        <v>2993</v>
      </c>
      <c r="F1669" s="451">
        <v>46157</v>
      </c>
      <c r="G1669">
        <v>24200</v>
      </c>
      <c r="H1669" t="s">
        <v>4820</v>
      </c>
      <c r="I1669" t="s">
        <v>5191</v>
      </c>
      <c r="J1669">
        <v>5</v>
      </c>
      <c r="K1669" t="s">
        <v>4744</v>
      </c>
      <c r="L1669">
        <v>164.5</v>
      </c>
      <c r="M1669">
        <v>32.9</v>
      </c>
      <c r="N1669" t="s">
        <v>5272</v>
      </c>
      <c r="O1669" t="s">
        <v>463</v>
      </c>
    </row>
    <row r="1670" spans="1:15" x14ac:dyDescent="0.3">
      <c r="A1670">
        <v>232114</v>
      </c>
      <c r="B1670">
        <v>105</v>
      </c>
      <c r="C1670" t="s">
        <v>557</v>
      </c>
      <c r="D1670" t="s">
        <v>2690</v>
      </c>
      <c r="E1670" t="s">
        <v>2994</v>
      </c>
      <c r="F1670" s="451">
        <v>46147</v>
      </c>
      <c r="G1670">
        <v>18423</v>
      </c>
      <c r="H1670" t="s">
        <v>4987</v>
      </c>
      <c r="I1670" t="s">
        <v>5222</v>
      </c>
      <c r="J1670">
        <v>1</v>
      </c>
      <c r="K1670" t="s">
        <v>4805</v>
      </c>
      <c r="L1670">
        <v>36.44</v>
      </c>
      <c r="M1670">
        <v>36.44</v>
      </c>
      <c r="N1670" t="s">
        <v>5271</v>
      </c>
      <c r="O1670" t="s">
        <v>463</v>
      </c>
    </row>
    <row r="1671" spans="1:15" x14ac:dyDescent="0.3">
      <c r="A1671">
        <v>232114</v>
      </c>
      <c r="B1671">
        <v>105</v>
      </c>
      <c r="C1671" t="s">
        <v>557</v>
      </c>
      <c r="D1671" t="s">
        <v>2690</v>
      </c>
      <c r="E1671" t="s">
        <v>2994</v>
      </c>
      <c r="F1671" s="451">
        <v>46147</v>
      </c>
      <c r="G1671">
        <v>18327</v>
      </c>
      <c r="H1671" t="s">
        <v>5035</v>
      </c>
      <c r="I1671" t="s">
        <v>5222</v>
      </c>
      <c r="J1671">
        <v>2</v>
      </c>
      <c r="K1671" t="s">
        <v>4805</v>
      </c>
      <c r="L1671">
        <v>196.48</v>
      </c>
      <c r="M1671">
        <v>98.24</v>
      </c>
      <c r="N1671" t="s">
        <v>5271</v>
      </c>
      <c r="O1671" t="s">
        <v>463</v>
      </c>
    </row>
    <row r="1672" spans="1:15" x14ac:dyDescent="0.3">
      <c r="A1672">
        <v>232113</v>
      </c>
      <c r="B1672">
        <v>105</v>
      </c>
      <c r="C1672" t="s">
        <v>557</v>
      </c>
      <c r="D1672" t="s">
        <v>2571</v>
      </c>
      <c r="E1672" t="s">
        <v>2995</v>
      </c>
      <c r="F1672" s="451">
        <v>46150</v>
      </c>
      <c r="G1672">
        <v>21021</v>
      </c>
      <c r="H1672" t="s">
        <v>4883</v>
      </c>
      <c r="I1672" t="s">
        <v>5191</v>
      </c>
      <c r="J1672">
        <v>3</v>
      </c>
      <c r="K1672" t="s">
        <v>4736</v>
      </c>
      <c r="L1672">
        <v>563.28</v>
      </c>
      <c r="M1672">
        <v>187.76</v>
      </c>
      <c r="N1672" t="s">
        <v>5272</v>
      </c>
      <c r="O1672" t="s">
        <v>463</v>
      </c>
    </row>
    <row r="1673" spans="1:15" x14ac:dyDescent="0.3">
      <c r="A1673">
        <v>232113</v>
      </c>
      <c r="B1673">
        <v>105</v>
      </c>
      <c r="C1673" t="s">
        <v>557</v>
      </c>
      <c r="D1673" t="s">
        <v>2571</v>
      </c>
      <c r="E1673" t="s">
        <v>2995</v>
      </c>
      <c r="F1673" s="451">
        <v>46150</v>
      </c>
      <c r="G1673">
        <v>20672</v>
      </c>
      <c r="H1673" t="s">
        <v>4857</v>
      </c>
      <c r="I1673" t="s">
        <v>5191</v>
      </c>
      <c r="J1673">
        <v>1</v>
      </c>
      <c r="K1673" t="s">
        <v>4738</v>
      </c>
      <c r="L1673">
        <v>29.55</v>
      </c>
      <c r="M1673">
        <v>29.55</v>
      </c>
      <c r="N1673" t="s">
        <v>5272</v>
      </c>
      <c r="O1673" t="s">
        <v>463</v>
      </c>
    </row>
    <row r="1674" spans="1:15" x14ac:dyDescent="0.3">
      <c r="A1674">
        <v>232113</v>
      </c>
      <c r="B1674">
        <v>105</v>
      </c>
      <c r="C1674" t="s">
        <v>557</v>
      </c>
      <c r="D1674" t="s">
        <v>2571</v>
      </c>
      <c r="E1674" t="s">
        <v>2995</v>
      </c>
      <c r="F1674" s="451">
        <v>46150</v>
      </c>
      <c r="G1674">
        <v>19967</v>
      </c>
      <c r="H1674" t="s">
        <v>4956</v>
      </c>
      <c r="I1674" t="s">
        <v>5191</v>
      </c>
      <c r="J1674">
        <v>1</v>
      </c>
      <c r="K1674" t="s">
        <v>4736</v>
      </c>
      <c r="L1674">
        <v>49.28</v>
      </c>
      <c r="M1674">
        <v>49.28</v>
      </c>
      <c r="N1674" t="s">
        <v>5272</v>
      </c>
      <c r="O1674" t="s">
        <v>463</v>
      </c>
    </row>
    <row r="1675" spans="1:15" x14ac:dyDescent="0.3">
      <c r="A1675">
        <v>232113</v>
      </c>
      <c r="B1675">
        <v>105</v>
      </c>
      <c r="C1675" t="s">
        <v>557</v>
      </c>
      <c r="D1675" t="s">
        <v>2571</v>
      </c>
      <c r="E1675" t="s">
        <v>2995</v>
      </c>
      <c r="F1675" s="451">
        <v>46150</v>
      </c>
      <c r="G1675">
        <v>21093</v>
      </c>
      <c r="H1675" t="s">
        <v>4855</v>
      </c>
      <c r="I1675" t="s">
        <v>5191</v>
      </c>
      <c r="J1675">
        <v>10</v>
      </c>
      <c r="K1675" t="s">
        <v>4736</v>
      </c>
      <c r="L1675">
        <v>43.9</v>
      </c>
      <c r="M1675">
        <v>4.3899999999999997</v>
      </c>
      <c r="N1675" t="s">
        <v>5272</v>
      </c>
      <c r="O1675" t="s">
        <v>463</v>
      </c>
    </row>
    <row r="1676" spans="1:15" x14ac:dyDescent="0.3">
      <c r="A1676">
        <v>232113</v>
      </c>
      <c r="B1676">
        <v>105</v>
      </c>
      <c r="C1676" t="s">
        <v>557</v>
      </c>
      <c r="D1676" t="s">
        <v>2571</v>
      </c>
      <c r="E1676" t="s">
        <v>2995</v>
      </c>
      <c r="F1676" s="451">
        <v>46150</v>
      </c>
      <c r="G1676">
        <v>19421</v>
      </c>
      <c r="H1676" t="s">
        <v>4918</v>
      </c>
      <c r="I1676" t="s">
        <v>5191</v>
      </c>
      <c r="J1676">
        <v>1</v>
      </c>
      <c r="K1676" t="s">
        <v>4749</v>
      </c>
      <c r="L1676">
        <v>81.84</v>
      </c>
      <c r="M1676">
        <v>81.84</v>
      </c>
      <c r="N1676" t="s">
        <v>5272</v>
      </c>
      <c r="O1676" t="s">
        <v>463</v>
      </c>
    </row>
    <row r="1677" spans="1:15" x14ac:dyDescent="0.3">
      <c r="A1677">
        <v>232113</v>
      </c>
      <c r="B1677">
        <v>105</v>
      </c>
      <c r="C1677" t="s">
        <v>557</v>
      </c>
      <c r="D1677" t="s">
        <v>2571</v>
      </c>
      <c r="E1677" t="s">
        <v>2995</v>
      </c>
      <c r="F1677" s="451">
        <v>46150</v>
      </c>
      <c r="G1677">
        <v>20809</v>
      </c>
      <c r="H1677" t="s">
        <v>4822</v>
      </c>
      <c r="I1677" t="s">
        <v>5191</v>
      </c>
      <c r="J1677">
        <v>10</v>
      </c>
      <c r="K1677" t="s">
        <v>4736</v>
      </c>
      <c r="L1677">
        <v>299</v>
      </c>
      <c r="M1677">
        <v>29.9</v>
      </c>
      <c r="N1677" t="s">
        <v>5272</v>
      </c>
      <c r="O1677" t="s">
        <v>463</v>
      </c>
    </row>
    <row r="1678" spans="1:15" x14ac:dyDescent="0.3">
      <c r="A1678">
        <v>232112</v>
      </c>
      <c r="B1678">
        <v>105</v>
      </c>
      <c r="C1678" t="s">
        <v>557</v>
      </c>
      <c r="D1678" t="s">
        <v>2627</v>
      </c>
      <c r="E1678" t="s">
        <v>2996</v>
      </c>
      <c r="F1678" s="451">
        <v>46148</v>
      </c>
      <c r="G1678">
        <v>20757</v>
      </c>
      <c r="H1678" t="s">
        <v>5176</v>
      </c>
      <c r="I1678" t="s">
        <v>5191</v>
      </c>
      <c r="J1678">
        <v>1</v>
      </c>
      <c r="K1678" t="s">
        <v>4884</v>
      </c>
      <c r="L1678">
        <v>73.900000000000006</v>
      </c>
      <c r="M1678">
        <v>73.900000000000006</v>
      </c>
      <c r="N1678" t="s">
        <v>5272</v>
      </c>
      <c r="O1678" t="s">
        <v>463</v>
      </c>
    </row>
    <row r="1679" spans="1:15" x14ac:dyDescent="0.3">
      <c r="A1679">
        <v>232112</v>
      </c>
      <c r="B1679">
        <v>105</v>
      </c>
      <c r="C1679" t="s">
        <v>557</v>
      </c>
      <c r="D1679" t="s">
        <v>2627</v>
      </c>
      <c r="E1679" t="s">
        <v>2996</v>
      </c>
      <c r="F1679" s="451">
        <v>46148</v>
      </c>
      <c r="G1679">
        <v>25358</v>
      </c>
      <c r="H1679" t="s">
        <v>4980</v>
      </c>
      <c r="I1679" t="s">
        <v>5191</v>
      </c>
      <c r="J1679">
        <v>2</v>
      </c>
      <c r="K1679" t="s">
        <v>5238</v>
      </c>
      <c r="L1679">
        <v>153.80000000000001</v>
      </c>
      <c r="M1679">
        <v>76.900000000000006</v>
      </c>
      <c r="N1679" t="s">
        <v>5272</v>
      </c>
      <c r="O1679" t="s">
        <v>463</v>
      </c>
    </row>
    <row r="1680" spans="1:15" x14ac:dyDescent="0.3">
      <c r="A1680">
        <v>232112</v>
      </c>
      <c r="B1680">
        <v>105</v>
      </c>
      <c r="C1680" t="s">
        <v>557</v>
      </c>
      <c r="D1680" t="s">
        <v>2627</v>
      </c>
      <c r="E1680" t="s">
        <v>2996</v>
      </c>
      <c r="F1680" s="451">
        <v>46148</v>
      </c>
      <c r="G1680">
        <v>20105</v>
      </c>
      <c r="H1680" t="s">
        <v>4831</v>
      </c>
      <c r="I1680" t="s">
        <v>5191</v>
      </c>
      <c r="J1680">
        <v>4</v>
      </c>
      <c r="K1680" t="s">
        <v>4744</v>
      </c>
      <c r="L1680">
        <v>53.92</v>
      </c>
      <c r="M1680">
        <v>13.48</v>
      </c>
      <c r="N1680" t="s">
        <v>5272</v>
      </c>
      <c r="O1680" t="s">
        <v>463</v>
      </c>
    </row>
    <row r="1681" spans="1:15" x14ac:dyDescent="0.3">
      <c r="A1681">
        <v>232111</v>
      </c>
      <c r="B1681">
        <v>105</v>
      </c>
      <c r="C1681" t="s">
        <v>557</v>
      </c>
      <c r="D1681" t="s">
        <v>2705</v>
      </c>
      <c r="E1681" t="s">
        <v>2997</v>
      </c>
      <c r="F1681" s="451">
        <v>46153</v>
      </c>
      <c r="G1681">
        <v>24658</v>
      </c>
      <c r="H1681" t="s">
        <v>5274</v>
      </c>
      <c r="I1681" t="s">
        <v>5232</v>
      </c>
      <c r="J1681">
        <v>20</v>
      </c>
      <c r="K1681" t="s">
        <v>4738</v>
      </c>
      <c r="L1681">
        <v>692</v>
      </c>
      <c r="M1681">
        <v>34.6</v>
      </c>
      <c r="N1681" t="s">
        <v>5275</v>
      </c>
      <c r="O1681" t="s">
        <v>463</v>
      </c>
    </row>
    <row r="1682" spans="1:15" x14ac:dyDescent="0.3">
      <c r="A1682">
        <v>232110</v>
      </c>
      <c r="B1682">
        <v>105</v>
      </c>
      <c r="C1682" t="s">
        <v>557</v>
      </c>
      <c r="D1682" t="s">
        <v>2682</v>
      </c>
      <c r="E1682" t="s">
        <v>2998</v>
      </c>
      <c r="F1682" s="451">
        <v>46148</v>
      </c>
      <c r="G1682">
        <v>20007</v>
      </c>
      <c r="H1682" t="s">
        <v>5101</v>
      </c>
      <c r="I1682" t="s">
        <v>5191</v>
      </c>
      <c r="J1682">
        <v>2</v>
      </c>
      <c r="K1682" t="s">
        <v>4884</v>
      </c>
      <c r="L1682">
        <v>100.76</v>
      </c>
      <c r="M1682">
        <v>50.38</v>
      </c>
      <c r="N1682" t="s">
        <v>5272</v>
      </c>
      <c r="O1682" t="s">
        <v>463</v>
      </c>
    </row>
    <row r="1683" spans="1:15" x14ac:dyDescent="0.3">
      <c r="A1683">
        <v>232110</v>
      </c>
      <c r="B1683">
        <v>105</v>
      </c>
      <c r="C1683" t="s">
        <v>557</v>
      </c>
      <c r="D1683" t="s">
        <v>2682</v>
      </c>
      <c r="E1683" t="s">
        <v>2998</v>
      </c>
      <c r="F1683" s="451">
        <v>46148</v>
      </c>
      <c r="G1683">
        <v>19322</v>
      </c>
      <c r="H1683" t="s">
        <v>4830</v>
      </c>
      <c r="I1683" t="s">
        <v>5191</v>
      </c>
      <c r="J1683">
        <v>8.0500000000000007</v>
      </c>
      <c r="K1683" t="s">
        <v>4744</v>
      </c>
      <c r="L1683">
        <v>419.08</v>
      </c>
      <c r="M1683">
        <v>52.059626999999999</v>
      </c>
      <c r="N1683" t="s">
        <v>5272</v>
      </c>
      <c r="O1683" t="s">
        <v>463</v>
      </c>
    </row>
    <row r="1684" spans="1:15" x14ac:dyDescent="0.3">
      <c r="A1684">
        <v>232110</v>
      </c>
      <c r="B1684">
        <v>105</v>
      </c>
      <c r="C1684" t="s">
        <v>557</v>
      </c>
      <c r="D1684" t="s">
        <v>2682</v>
      </c>
      <c r="E1684" t="s">
        <v>2998</v>
      </c>
      <c r="F1684" s="451">
        <v>46148</v>
      </c>
      <c r="G1684">
        <v>19439</v>
      </c>
      <c r="H1684" t="s">
        <v>4917</v>
      </c>
      <c r="I1684" t="s">
        <v>5191</v>
      </c>
      <c r="J1684">
        <v>2</v>
      </c>
      <c r="K1684" t="s">
        <v>4738</v>
      </c>
      <c r="L1684">
        <v>61.82</v>
      </c>
      <c r="M1684">
        <v>30.91</v>
      </c>
      <c r="N1684" t="s">
        <v>5272</v>
      </c>
      <c r="O1684" t="s">
        <v>463</v>
      </c>
    </row>
    <row r="1685" spans="1:15" x14ac:dyDescent="0.3">
      <c r="A1685">
        <v>231169</v>
      </c>
      <c r="B1685">
        <v>105</v>
      </c>
      <c r="C1685" t="s">
        <v>557</v>
      </c>
      <c r="D1685" t="s">
        <v>2548</v>
      </c>
      <c r="E1685" t="s">
        <v>2999</v>
      </c>
      <c r="F1685" s="451">
        <v>46147</v>
      </c>
      <c r="G1685">
        <v>19923</v>
      </c>
      <c r="H1685" t="s">
        <v>5069</v>
      </c>
      <c r="I1685" t="s">
        <v>5191</v>
      </c>
      <c r="J1685">
        <v>1</v>
      </c>
      <c r="K1685" t="s">
        <v>4736</v>
      </c>
      <c r="L1685">
        <v>39</v>
      </c>
      <c r="M1685">
        <v>39</v>
      </c>
      <c r="N1685" t="s">
        <v>5272</v>
      </c>
      <c r="O1685" t="s">
        <v>463</v>
      </c>
    </row>
    <row r="1686" spans="1:15" x14ac:dyDescent="0.3">
      <c r="A1686">
        <v>231169</v>
      </c>
      <c r="B1686">
        <v>105</v>
      </c>
      <c r="C1686" t="s">
        <v>557</v>
      </c>
      <c r="D1686" t="s">
        <v>2548</v>
      </c>
      <c r="E1686" t="s">
        <v>2999</v>
      </c>
      <c r="F1686" s="451">
        <v>46147</v>
      </c>
      <c r="G1686">
        <v>20624</v>
      </c>
      <c r="H1686" t="s">
        <v>5019</v>
      </c>
      <c r="I1686" t="s">
        <v>5191</v>
      </c>
      <c r="J1686">
        <v>1</v>
      </c>
      <c r="K1686" t="s">
        <v>4736</v>
      </c>
      <c r="L1686">
        <v>70.900000000000006</v>
      </c>
      <c r="M1686">
        <v>70.900000000000006</v>
      </c>
      <c r="N1686" t="s">
        <v>5272</v>
      </c>
      <c r="O1686" t="s">
        <v>463</v>
      </c>
    </row>
    <row r="1687" spans="1:15" x14ac:dyDescent="0.3">
      <c r="A1687">
        <v>231163</v>
      </c>
      <c r="B1687">
        <v>105</v>
      </c>
      <c r="C1687" t="s">
        <v>557</v>
      </c>
      <c r="D1687" t="s">
        <v>2554</v>
      </c>
      <c r="E1687" t="s">
        <v>3000</v>
      </c>
      <c r="F1687" s="451">
        <v>46149</v>
      </c>
      <c r="G1687">
        <v>17404</v>
      </c>
      <c r="H1687" t="s">
        <v>5295</v>
      </c>
      <c r="I1687" t="s">
        <v>5188</v>
      </c>
      <c r="J1687">
        <v>1</v>
      </c>
      <c r="K1687" t="s">
        <v>4736</v>
      </c>
      <c r="L1687">
        <v>27</v>
      </c>
      <c r="M1687">
        <v>27</v>
      </c>
      <c r="N1687" t="s">
        <v>5277</v>
      </c>
      <c r="O1687" t="s">
        <v>463</v>
      </c>
    </row>
    <row r="1688" spans="1:15" x14ac:dyDescent="0.3">
      <c r="A1688">
        <v>231163</v>
      </c>
      <c r="B1688">
        <v>105</v>
      </c>
      <c r="C1688" t="s">
        <v>557</v>
      </c>
      <c r="D1688" t="s">
        <v>2554</v>
      </c>
      <c r="E1688" t="s">
        <v>3000</v>
      </c>
      <c r="F1688" s="451">
        <v>46149</v>
      </c>
      <c r="G1688">
        <v>21783</v>
      </c>
      <c r="H1688" t="s">
        <v>5210</v>
      </c>
      <c r="I1688" t="s">
        <v>5205</v>
      </c>
      <c r="J1688">
        <v>2</v>
      </c>
      <c r="K1688" t="s">
        <v>4736</v>
      </c>
      <c r="L1688">
        <v>32</v>
      </c>
      <c r="M1688">
        <v>16</v>
      </c>
      <c r="N1688" t="s">
        <v>5277</v>
      </c>
      <c r="O1688" t="s">
        <v>463</v>
      </c>
    </row>
    <row r="1689" spans="1:15" x14ac:dyDescent="0.3">
      <c r="A1689">
        <v>231163</v>
      </c>
      <c r="B1689">
        <v>105</v>
      </c>
      <c r="C1689" t="s">
        <v>557</v>
      </c>
      <c r="D1689" t="s">
        <v>2554</v>
      </c>
      <c r="E1689" t="s">
        <v>3000</v>
      </c>
      <c r="F1689" s="451">
        <v>46149</v>
      </c>
      <c r="G1689">
        <v>24596</v>
      </c>
      <c r="H1689" t="s">
        <v>5197</v>
      </c>
      <c r="I1689" t="s">
        <v>5188</v>
      </c>
      <c r="J1689">
        <v>4</v>
      </c>
      <c r="K1689" t="s">
        <v>4736</v>
      </c>
      <c r="L1689">
        <v>60</v>
      </c>
      <c r="M1689">
        <v>15</v>
      </c>
      <c r="N1689" t="s">
        <v>5277</v>
      </c>
      <c r="O1689" t="s">
        <v>463</v>
      </c>
    </row>
    <row r="1690" spans="1:15" x14ac:dyDescent="0.3">
      <c r="A1690">
        <v>231163</v>
      </c>
      <c r="B1690">
        <v>105</v>
      </c>
      <c r="C1690" t="s">
        <v>557</v>
      </c>
      <c r="D1690" t="s">
        <v>2554</v>
      </c>
      <c r="E1690" t="s">
        <v>3000</v>
      </c>
      <c r="F1690" s="451">
        <v>46149</v>
      </c>
      <c r="G1690">
        <v>26944</v>
      </c>
      <c r="H1690" t="s">
        <v>5325</v>
      </c>
      <c r="I1690" t="s">
        <v>5188</v>
      </c>
      <c r="J1690">
        <v>1</v>
      </c>
      <c r="K1690" t="s">
        <v>4738</v>
      </c>
      <c r="L1690">
        <v>155.46</v>
      </c>
      <c r="M1690">
        <v>155.46</v>
      </c>
      <c r="N1690" t="s">
        <v>5277</v>
      </c>
      <c r="O1690" t="s">
        <v>463</v>
      </c>
    </row>
    <row r="1691" spans="1:15" x14ac:dyDescent="0.3">
      <c r="A1691">
        <v>231163</v>
      </c>
      <c r="B1691">
        <v>105</v>
      </c>
      <c r="C1691" t="s">
        <v>557</v>
      </c>
      <c r="D1691" t="s">
        <v>2554</v>
      </c>
      <c r="E1691" t="s">
        <v>3000</v>
      </c>
      <c r="F1691" s="451">
        <v>46149</v>
      </c>
      <c r="G1691">
        <v>17504</v>
      </c>
      <c r="H1691" t="s">
        <v>5260</v>
      </c>
      <c r="I1691" t="s">
        <v>5205</v>
      </c>
      <c r="J1691">
        <v>2</v>
      </c>
      <c r="K1691" t="s">
        <v>4736</v>
      </c>
      <c r="L1691">
        <v>54</v>
      </c>
      <c r="M1691">
        <v>27</v>
      </c>
      <c r="N1691" t="s">
        <v>5277</v>
      </c>
      <c r="O1691" t="s">
        <v>463</v>
      </c>
    </row>
    <row r="1692" spans="1:15" x14ac:dyDescent="0.3">
      <c r="A1692">
        <v>231163</v>
      </c>
      <c r="B1692">
        <v>105</v>
      </c>
      <c r="C1692" t="s">
        <v>557</v>
      </c>
      <c r="D1692" t="s">
        <v>2554</v>
      </c>
      <c r="E1692" t="s">
        <v>3000</v>
      </c>
      <c r="F1692" s="451">
        <v>46149</v>
      </c>
      <c r="G1692">
        <v>17455</v>
      </c>
      <c r="H1692" t="s">
        <v>5290</v>
      </c>
      <c r="I1692" t="s">
        <v>5188</v>
      </c>
      <c r="J1692">
        <v>2</v>
      </c>
      <c r="K1692" t="s">
        <v>4736</v>
      </c>
      <c r="L1692">
        <v>70.540000000000006</v>
      </c>
      <c r="M1692">
        <v>35.270000000000003</v>
      </c>
      <c r="N1692" t="s">
        <v>5277</v>
      </c>
      <c r="O1692" t="s">
        <v>463</v>
      </c>
    </row>
    <row r="1693" spans="1:15" x14ac:dyDescent="0.3">
      <c r="A1693">
        <v>231163</v>
      </c>
      <c r="B1693">
        <v>105</v>
      </c>
      <c r="C1693" t="s">
        <v>557</v>
      </c>
      <c r="D1693" t="s">
        <v>2554</v>
      </c>
      <c r="E1693" t="s">
        <v>3000</v>
      </c>
      <c r="F1693" s="451">
        <v>46149</v>
      </c>
      <c r="G1693">
        <v>24758</v>
      </c>
      <c r="H1693" t="s">
        <v>5326</v>
      </c>
      <c r="I1693" t="s">
        <v>5215</v>
      </c>
      <c r="J1693">
        <v>1</v>
      </c>
      <c r="K1693" t="s">
        <v>4738</v>
      </c>
      <c r="L1693">
        <v>28.9</v>
      </c>
      <c r="M1693">
        <v>28.9</v>
      </c>
      <c r="N1693" t="s">
        <v>5277</v>
      </c>
      <c r="O1693" t="s">
        <v>463</v>
      </c>
    </row>
    <row r="1694" spans="1:15" x14ac:dyDescent="0.3">
      <c r="A1694">
        <v>231163</v>
      </c>
      <c r="B1694">
        <v>105</v>
      </c>
      <c r="C1694" t="s">
        <v>557</v>
      </c>
      <c r="D1694" t="s">
        <v>2554</v>
      </c>
      <c r="E1694" t="s">
        <v>3000</v>
      </c>
      <c r="F1694" s="451">
        <v>46149</v>
      </c>
      <c r="G1694">
        <v>17129</v>
      </c>
      <c r="H1694" t="s">
        <v>5202</v>
      </c>
      <c r="I1694" t="s">
        <v>5188</v>
      </c>
      <c r="J1694">
        <v>1</v>
      </c>
      <c r="K1694" t="s">
        <v>4738</v>
      </c>
      <c r="L1694">
        <v>26.61</v>
      </c>
      <c r="M1694">
        <v>26.61</v>
      </c>
      <c r="N1694" t="s">
        <v>5277</v>
      </c>
      <c r="O1694" t="s">
        <v>463</v>
      </c>
    </row>
    <row r="1695" spans="1:15" x14ac:dyDescent="0.3">
      <c r="A1695">
        <v>231163</v>
      </c>
      <c r="B1695">
        <v>105</v>
      </c>
      <c r="C1695" t="s">
        <v>557</v>
      </c>
      <c r="D1695" t="s">
        <v>2554</v>
      </c>
      <c r="E1695" t="s">
        <v>3000</v>
      </c>
      <c r="F1695" s="451">
        <v>46149</v>
      </c>
      <c r="G1695">
        <v>17381</v>
      </c>
      <c r="H1695" t="s">
        <v>5262</v>
      </c>
      <c r="I1695" t="s">
        <v>5188</v>
      </c>
      <c r="J1695">
        <v>1</v>
      </c>
      <c r="K1695" t="s">
        <v>4736</v>
      </c>
      <c r="L1695">
        <v>45</v>
      </c>
      <c r="M1695">
        <v>45</v>
      </c>
      <c r="N1695" t="s">
        <v>5277</v>
      </c>
      <c r="O1695" t="s">
        <v>463</v>
      </c>
    </row>
    <row r="1696" spans="1:15" x14ac:dyDescent="0.3">
      <c r="A1696">
        <v>231163</v>
      </c>
      <c r="B1696">
        <v>105</v>
      </c>
      <c r="C1696" t="s">
        <v>557</v>
      </c>
      <c r="D1696" t="s">
        <v>2554</v>
      </c>
      <c r="E1696" t="s">
        <v>3000</v>
      </c>
      <c r="F1696" s="451">
        <v>46149</v>
      </c>
      <c r="G1696">
        <v>26222</v>
      </c>
      <c r="H1696" t="s">
        <v>5327</v>
      </c>
      <c r="I1696" t="s">
        <v>5215</v>
      </c>
      <c r="J1696">
        <v>1</v>
      </c>
      <c r="K1696" t="s">
        <v>4749</v>
      </c>
      <c r="L1696">
        <v>49.9</v>
      </c>
      <c r="M1696">
        <v>49.9</v>
      </c>
      <c r="N1696" t="s">
        <v>5277</v>
      </c>
      <c r="O1696" t="s">
        <v>463</v>
      </c>
    </row>
    <row r="1697" spans="1:15" x14ac:dyDescent="0.3">
      <c r="A1697">
        <v>231163</v>
      </c>
      <c r="B1697">
        <v>105</v>
      </c>
      <c r="C1697" t="s">
        <v>557</v>
      </c>
      <c r="D1697" t="s">
        <v>2554</v>
      </c>
      <c r="E1697" t="s">
        <v>3000</v>
      </c>
      <c r="F1697" s="451">
        <v>46149</v>
      </c>
      <c r="G1697">
        <v>27798</v>
      </c>
      <c r="H1697" t="s">
        <v>5257</v>
      </c>
      <c r="I1697" t="s">
        <v>5215</v>
      </c>
      <c r="J1697">
        <v>1</v>
      </c>
      <c r="K1697" t="s">
        <v>5245</v>
      </c>
      <c r="L1697">
        <v>175</v>
      </c>
      <c r="M1697">
        <v>175</v>
      </c>
      <c r="N1697" t="s">
        <v>5277</v>
      </c>
      <c r="O1697" t="s">
        <v>463</v>
      </c>
    </row>
    <row r="1698" spans="1:15" x14ac:dyDescent="0.3">
      <c r="A1698">
        <v>231163</v>
      </c>
      <c r="B1698">
        <v>105</v>
      </c>
      <c r="C1698" t="s">
        <v>557</v>
      </c>
      <c r="D1698" t="s">
        <v>2554</v>
      </c>
      <c r="E1698" t="s">
        <v>3000</v>
      </c>
      <c r="F1698" s="451">
        <v>46149</v>
      </c>
      <c r="G1698">
        <v>24744</v>
      </c>
      <c r="H1698" t="s">
        <v>5328</v>
      </c>
      <c r="I1698" t="s">
        <v>5205</v>
      </c>
      <c r="J1698">
        <v>2</v>
      </c>
      <c r="K1698" t="s">
        <v>5269</v>
      </c>
      <c r="L1698">
        <v>17.8</v>
      </c>
      <c r="M1698">
        <v>8.9</v>
      </c>
      <c r="N1698" t="s">
        <v>5277</v>
      </c>
      <c r="O1698" t="s">
        <v>463</v>
      </c>
    </row>
    <row r="1699" spans="1:15" x14ac:dyDescent="0.3">
      <c r="A1699">
        <v>231163</v>
      </c>
      <c r="B1699">
        <v>105</v>
      </c>
      <c r="C1699" t="s">
        <v>557</v>
      </c>
      <c r="D1699" t="s">
        <v>2554</v>
      </c>
      <c r="E1699" t="s">
        <v>3000</v>
      </c>
      <c r="F1699" s="451">
        <v>46149</v>
      </c>
      <c r="G1699">
        <v>24505</v>
      </c>
      <c r="H1699" t="s">
        <v>5198</v>
      </c>
      <c r="I1699" t="s">
        <v>5188</v>
      </c>
      <c r="J1699">
        <v>3</v>
      </c>
      <c r="K1699" t="s">
        <v>4738</v>
      </c>
      <c r="L1699">
        <v>14.94</v>
      </c>
      <c r="M1699">
        <v>4.9800000000000004</v>
      </c>
      <c r="N1699" t="s">
        <v>5277</v>
      </c>
      <c r="O1699" t="s">
        <v>463</v>
      </c>
    </row>
    <row r="1700" spans="1:15" x14ac:dyDescent="0.3">
      <c r="A1700">
        <v>231163</v>
      </c>
      <c r="B1700">
        <v>105</v>
      </c>
      <c r="C1700" t="s">
        <v>557</v>
      </c>
      <c r="D1700" t="s">
        <v>2554</v>
      </c>
      <c r="E1700" t="s">
        <v>3000</v>
      </c>
      <c r="F1700" s="451">
        <v>46149</v>
      </c>
      <c r="G1700">
        <v>17418</v>
      </c>
      <c r="H1700" t="s">
        <v>5207</v>
      </c>
      <c r="I1700" t="s">
        <v>5188</v>
      </c>
      <c r="J1700">
        <v>3</v>
      </c>
      <c r="K1700" t="s">
        <v>4749</v>
      </c>
      <c r="L1700">
        <v>176.7</v>
      </c>
      <c r="M1700">
        <v>58.9</v>
      </c>
      <c r="N1700" t="s">
        <v>5277</v>
      </c>
      <c r="O1700" t="s">
        <v>463</v>
      </c>
    </row>
    <row r="1701" spans="1:15" x14ac:dyDescent="0.3">
      <c r="A1701">
        <v>231163</v>
      </c>
      <c r="B1701">
        <v>105</v>
      </c>
      <c r="C1701" t="s">
        <v>557</v>
      </c>
      <c r="D1701" t="s">
        <v>2554</v>
      </c>
      <c r="E1701" t="s">
        <v>3000</v>
      </c>
      <c r="F1701" s="451">
        <v>46149</v>
      </c>
      <c r="G1701">
        <v>17405</v>
      </c>
      <c r="H1701" t="s">
        <v>5200</v>
      </c>
      <c r="I1701" t="s">
        <v>5188</v>
      </c>
      <c r="J1701">
        <v>1</v>
      </c>
      <c r="K1701" t="s">
        <v>4736</v>
      </c>
      <c r="L1701">
        <v>14</v>
      </c>
      <c r="M1701">
        <v>14</v>
      </c>
      <c r="N1701" t="s">
        <v>5277</v>
      </c>
      <c r="O1701" t="s">
        <v>463</v>
      </c>
    </row>
    <row r="1702" spans="1:15" x14ac:dyDescent="0.3">
      <c r="A1702">
        <v>231163</v>
      </c>
      <c r="B1702">
        <v>105</v>
      </c>
      <c r="C1702" t="s">
        <v>557</v>
      </c>
      <c r="D1702" t="s">
        <v>2554</v>
      </c>
      <c r="E1702" t="s">
        <v>3000</v>
      </c>
      <c r="F1702" s="451">
        <v>46149</v>
      </c>
      <c r="G1702">
        <v>28298</v>
      </c>
      <c r="H1702" t="s">
        <v>5261</v>
      </c>
      <c r="I1702" t="s">
        <v>5188</v>
      </c>
      <c r="J1702">
        <v>2</v>
      </c>
      <c r="K1702" t="s">
        <v>4749</v>
      </c>
      <c r="L1702">
        <v>97.16</v>
      </c>
      <c r="M1702">
        <v>48.58</v>
      </c>
      <c r="N1702" t="s">
        <v>5277</v>
      </c>
      <c r="O1702" t="s">
        <v>463</v>
      </c>
    </row>
    <row r="1703" spans="1:15" x14ac:dyDescent="0.3">
      <c r="A1703">
        <v>231163</v>
      </c>
      <c r="B1703">
        <v>105</v>
      </c>
      <c r="C1703" t="s">
        <v>557</v>
      </c>
      <c r="D1703" t="s">
        <v>2554</v>
      </c>
      <c r="E1703" t="s">
        <v>3000</v>
      </c>
      <c r="F1703" s="451">
        <v>46149</v>
      </c>
      <c r="G1703">
        <v>17120</v>
      </c>
      <c r="H1703" t="s">
        <v>5298</v>
      </c>
      <c r="I1703" t="s">
        <v>5188</v>
      </c>
      <c r="J1703">
        <v>2</v>
      </c>
      <c r="K1703" t="s">
        <v>4736</v>
      </c>
      <c r="L1703">
        <v>19.079999999999998</v>
      </c>
      <c r="M1703">
        <v>9.5399999999999991</v>
      </c>
      <c r="N1703" t="s">
        <v>5277</v>
      </c>
      <c r="O1703" t="s">
        <v>463</v>
      </c>
    </row>
    <row r="1704" spans="1:15" x14ac:dyDescent="0.3">
      <c r="A1704">
        <v>231163</v>
      </c>
      <c r="B1704">
        <v>105</v>
      </c>
      <c r="C1704" t="s">
        <v>557</v>
      </c>
      <c r="D1704" t="s">
        <v>2554</v>
      </c>
      <c r="E1704" t="s">
        <v>3000</v>
      </c>
      <c r="F1704" s="451">
        <v>46149</v>
      </c>
      <c r="G1704">
        <v>17361</v>
      </c>
      <c r="H1704" t="s">
        <v>5309</v>
      </c>
      <c r="I1704" t="s">
        <v>5188</v>
      </c>
      <c r="J1704">
        <v>3</v>
      </c>
      <c r="K1704" t="s">
        <v>4738</v>
      </c>
      <c r="L1704">
        <v>22.89</v>
      </c>
      <c r="M1704">
        <v>7.63</v>
      </c>
      <c r="N1704" t="s">
        <v>5277</v>
      </c>
      <c r="O1704" t="s">
        <v>463</v>
      </c>
    </row>
    <row r="1705" spans="1:15" x14ac:dyDescent="0.3">
      <c r="A1705">
        <v>231163</v>
      </c>
      <c r="B1705">
        <v>105</v>
      </c>
      <c r="C1705" t="s">
        <v>557</v>
      </c>
      <c r="D1705" t="s">
        <v>2554</v>
      </c>
      <c r="E1705" t="s">
        <v>3000</v>
      </c>
      <c r="F1705" s="451">
        <v>46149</v>
      </c>
      <c r="G1705">
        <v>27345</v>
      </c>
      <c r="H1705" t="s">
        <v>5329</v>
      </c>
      <c r="I1705" t="s">
        <v>5215</v>
      </c>
      <c r="J1705">
        <v>1</v>
      </c>
      <c r="K1705" t="s">
        <v>4736</v>
      </c>
      <c r="L1705">
        <v>45</v>
      </c>
      <c r="M1705">
        <v>45</v>
      </c>
      <c r="N1705" t="s">
        <v>5277</v>
      </c>
      <c r="O1705" t="s">
        <v>463</v>
      </c>
    </row>
    <row r="1706" spans="1:15" x14ac:dyDescent="0.3">
      <c r="A1706">
        <v>231163</v>
      </c>
      <c r="B1706">
        <v>105</v>
      </c>
      <c r="C1706" t="s">
        <v>557</v>
      </c>
      <c r="D1706" t="s">
        <v>2554</v>
      </c>
      <c r="E1706" t="s">
        <v>3000</v>
      </c>
      <c r="F1706" s="451">
        <v>46149</v>
      </c>
      <c r="G1706">
        <v>23971</v>
      </c>
      <c r="H1706" t="s">
        <v>5296</v>
      </c>
      <c r="I1706" t="s">
        <v>5232</v>
      </c>
      <c r="J1706">
        <v>2</v>
      </c>
      <c r="K1706" t="s">
        <v>4736</v>
      </c>
      <c r="L1706">
        <v>21</v>
      </c>
      <c r="M1706">
        <v>10.5</v>
      </c>
      <c r="N1706" t="s">
        <v>5277</v>
      </c>
      <c r="O1706" t="s">
        <v>463</v>
      </c>
    </row>
    <row r="1707" spans="1:15" x14ac:dyDescent="0.3">
      <c r="A1707">
        <v>231163</v>
      </c>
      <c r="B1707">
        <v>105</v>
      </c>
      <c r="C1707" t="s">
        <v>557</v>
      </c>
      <c r="D1707" t="s">
        <v>2554</v>
      </c>
      <c r="E1707" t="s">
        <v>3000</v>
      </c>
      <c r="F1707" s="451">
        <v>46149</v>
      </c>
      <c r="G1707">
        <v>17266</v>
      </c>
      <c r="H1707" t="s">
        <v>5192</v>
      </c>
      <c r="I1707" t="s">
        <v>5188</v>
      </c>
      <c r="J1707">
        <v>4</v>
      </c>
      <c r="K1707" t="s">
        <v>4736</v>
      </c>
      <c r="L1707">
        <v>19.559999999999999</v>
      </c>
      <c r="M1707">
        <v>4.8899999999999997</v>
      </c>
      <c r="N1707" t="s">
        <v>5277</v>
      </c>
      <c r="O1707" t="s">
        <v>463</v>
      </c>
    </row>
    <row r="1708" spans="1:15" x14ac:dyDescent="0.3">
      <c r="A1708">
        <v>231163</v>
      </c>
      <c r="B1708">
        <v>105</v>
      </c>
      <c r="C1708" t="s">
        <v>557</v>
      </c>
      <c r="D1708" t="s">
        <v>2554</v>
      </c>
      <c r="E1708" t="s">
        <v>3000</v>
      </c>
      <c r="F1708" s="451">
        <v>46149</v>
      </c>
      <c r="G1708">
        <v>17314</v>
      </c>
      <c r="H1708" t="s">
        <v>5208</v>
      </c>
      <c r="I1708" t="s">
        <v>5188</v>
      </c>
      <c r="J1708">
        <v>3</v>
      </c>
      <c r="K1708" t="s">
        <v>4848</v>
      </c>
      <c r="L1708">
        <v>17.670000000000002</v>
      </c>
      <c r="M1708">
        <v>5.89</v>
      </c>
      <c r="N1708" t="s">
        <v>5277</v>
      </c>
      <c r="O1708" t="s">
        <v>463</v>
      </c>
    </row>
    <row r="1709" spans="1:15" x14ac:dyDescent="0.3">
      <c r="A1709">
        <v>231163</v>
      </c>
      <c r="B1709">
        <v>105</v>
      </c>
      <c r="C1709" t="s">
        <v>557</v>
      </c>
      <c r="D1709" t="s">
        <v>2554</v>
      </c>
      <c r="E1709" t="s">
        <v>3000</v>
      </c>
      <c r="F1709" s="451">
        <v>46149</v>
      </c>
      <c r="G1709">
        <v>17304</v>
      </c>
      <c r="H1709" t="s">
        <v>5195</v>
      </c>
      <c r="I1709" t="s">
        <v>5188</v>
      </c>
      <c r="J1709">
        <v>3</v>
      </c>
      <c r="K1709" t="s">
        <v>4848</v>
      </c>
      <c r="L1709">
        <v>26.7</v>
      </c>
      <c r="M1709">
        <v>8.9</v>
      </c>
      <c r="N1709" t="s">
        <v>5277</v>
      </c>
      <c r="O1709" t="s">
        <v>463</v>
      </c>
    </row>
    <row r="1710" spans="1:15" x14ac:dyDescent="0.3">
      <c r="A1710">
        <v>231163</v>
      </c>
      <c r="B1710">
        <v>105</v>
      </c>
      <c r="C1710" t="s">
        <v>557</v>
      </c>
      <c r="D1710" t="s">
        <v>2554</v>
      </c>
      <c r="E1710" t="s">
        <v>3000</v>
      </c>
      <c r="F1710" s="451">
        <v>46149</v>
      </c>
      <c r="G1710">
        <v>17046</v>
      </c>
      <c r="H1710" t="s">
        <v>5194</v>
      </c>
      <c r="I1710" t="s">
        <v>5188</v>
      </c>
      <c r="J1710">
        <v>1</v>
      </c>
      <c r="K1710" t="s">
        <v>4736</v>
      </c>
      <c r="L1710">
        <v>34.5</v>
      </c>
      <c r="M1710">
        <v>34.5</v>
      </c>
      <c r="N1710" t="s">
        <v>5277</v>
      </c>
      <c r="O1710" t="s">
        <v>463</v>
      </c>
    </row>
    <row r="1711" spans="1:15" x14ac:dyDescent="0.3">
      <c r="A1711">
        <v>231163</v>
      </c>
      <c r="B1711">
        <v>105</v>
      </c>
      <c r="C1711" t="s">
        <v>557</v>
      </c>
      <c r="D1711" t="s">
        <v>2554</v>
      </c>
      <c r="E1711" t="s">
        <v>3000</v>
      </c>
      <c r="F1711" s="451">
        <v>46149</v>
      </c>
      <c r="G1711">
        <v>29181</v>
      </c>
      <c r="H1711" t="s">
        <v>5330</v>
      </c>
      <c r="I1711" t="s">
        <v>5205</v>
      </c>
      <c r="J1711">
        <v>1</v>
      </c>
      <c r="K1711" t="s">
        <v>4736</v>
      </c>
      <c r="L1711">
        <v>8.9</v>
      </c>
      <c r="M1711">
        <v>8.9</v>
      </c>
      <c r="N1711" t="s">
        <v>5277</v>
      </c>
      <c r="O1711" t="s">
        <v>463</v>
      </c>
    </row>
    <row r="1712" spans="1:15" x14ac:dyDescent="0.3">
      <c r="A1712">
        <v>231163</v>
      </c>
      <c r="B1712">
        <v>105</v>
      </c>
      <c r="C1712" t="s">
        <v>557</v>
      </c>
      <c r="D1712" t="s">
        <v>2554</v>
      </c>
      <c r="E1712" t="s">
        <v>3000</v>
      </c>
      <c r="F1712" s="451">
        <v>46149</v>
      </c>
      <c r="G1712">
        <v>17474</v>
      </c>
      <c r="H1712" t="s">
        <v>5213</v>
      </c>
      <c r="I1712" t="s">
        <v>5188</v>
      </c>
      <c r="J1712">
        <v>1</v>
      </c>
      <c r="K1712" t="s">
        <v>4749</v>
      </c>
      <c r="L1712">
        <v>75</v>
      </c>
      <c r="M1712">
        <v>75</v>
      </c>
      <c r="N1712" t="s">
        <v>5277</v>
      </c>
      <c r="O1712" t="s">
        <v>463</v>
      </c>
    </row>
    <row r="1713" spans="1:15" x14ac:dyDescent="0.3">
      <c r="A1713">
        <v>231163</v>
      </c>
      <c r="B1713">
        <v>105</v>
      </c>
      <c r="C1713" t="s">
        <v>557</v>
      </c>
      <c r="D1713" t="s">
        <v>2554</v>
      </c>
      <c r="E1713" t="s">
        <v>3000</v>
      </c>
      <c r="F1713" s="451">
        <v>46149</v>
      </c>
      <c r="G1713">
        <v>17215</v>
      </c>
      <c r="H1713" t="s">
        <v>5299</v>
      </c>
      <c r="I1713" t="s">
        <v>5188</v>
      </c>
      <c r="J1713">
        <v>6</v>
      </c>
      <c r="K1713" t="s">
        <v>4848</v>
      </c>
      <c r="L1713">
        <v>119.94</v>
      </c>
      <c r="M1713">
        <v>19.989999999999998</v>
      </c>
      <c r="N1713" t="s">
        <v>5277</v>
      </c>
      <c r="O1713" t="s">
        <v>463</v>
      </c>
    </row>
    <row r="1714" spans="1:15" x14ac:dyDescent="0.3">
      <c r="A1714">
        <v>231163</v>
      </c>
      <c r="B1714">
        <v>105</v>
      </c>
      <c r="C1714" t="s">
        <v>557</v>
      </c>
      <c r="D1714" t="s">
        <v>2554</v>
      </c>
      <c r="E1714" t="s">
        <v>3000</v>
      </c>
      <c r="F1714" s="451">
        <v>46149</v>
      </c>
      <c r="G1714">
        <v>27583</v>
      </c>
      <c r="H1714" t="s">
        <v>5331</v>
      </c>
      <c r="I1714" t="s">
        <v>5205</v>
      </c>
      <c r="J1714">
        <v>2</v>
      </c>
      <c r="K1714" t="s">
        <v>4736</v>
      </c>
      <c r="L1714">
        <v>21.8</v>
      </c>
      <c r="M1714">
        <v>10.9</v>
      </c>
      <c r="N1714" t="s">
        <v>5277</v>
      </c>
      <c r="O1714" t="s">
        <v>463</v>
      </c>
    </row>
    <row r="1715" spans="1:15" x14ac:dyDescent="0.3">
      <c r="A1715">
        <v>231163</v>
      </c>
      <c r="B1715">
        <v>105</v>
      </c>
      <c r="C1715" t="s">
        <v>557</v>
      </c>
      <c r="D1715" t="s">
        <v>2554</v>
      </c>
      <c r="E1715" t="s">
        <v>3000</v>
      </c>
      <c r="F1715" s="451">
        <v>46149</v>
      </c>
      <c r="G1715">
        <v>17416</v>
      </c>
      <c r="H1715" t="s">
        <v>5209</v>
      </c>
      <c r="I1715" t="s">
        <v>5188</v>
      </c>
      <c r="J1715">
        <v>2</v>
      </c>
      <c r="K1715" t="s">
        <v>4749</v>
      </c>
      <c r="L1715">
        <v>97.16</v>
      </c>
      <c r="M1715">
        <v>48.58</v>
      </c>
      <c r="N1715" t="s">
        <v>5277</v>
      </c>
      <c r="O1715" t="s">
        <v>463</v>
      </c>
    </row>
    <row r="1716" spans="1:15" x14ac:dyDescent="0.3">
      <c r="A1716">
        <v>231163</v>
      </c>
      <c r="B1716">
        <v>105</v>
      </c>
      <c r="C1716" t="s">
        <v>557</v>
      </c>
      <c r="D1716" t="s">
        <v>2554</v>
      </c>
      <c r="E1716" t="s">
        <v>3000</v>
      </c>
      <c r="F1716" s="451">
        <v>46149</v>
      </c>
      <c r="G1716">
        <v>29162</v>
      </c>
      <c r="H1716" t="s">
        <v>5332</v>
      </c>
      <c r="I1716" t="s">
        <v>5205</v>
      </c>
      <c r="J1716">
        <v>2</v>
      </c>
      <c r="K1716" t="s">
        <v>4736</v>
      </c>
      <c r="L1716">
        <v>35</v>
      </c>
      <c r="M1716">
        <v>17.5</v>
      </c>
      <c r="N1716" t="s">
        <v>5277</v>
      </c>
      <c r="O1716" t="s">
        <v>463</v>
      </c>
    </row>
    <row r="1717" spans="1:15" x14ac:dyDescent="0.3">
      <c r="A1717">
        <v>231158</v>
      </c>
      <c r="B1717">
        <v>105</v>
      </c>
      <c r="C1717" t="s">
        <v>557</v>
      </c>
      <c r="D1717" t="s">
        <v>2991</v>
      </c>
      <c r="E1717" t="s">
        <v>3001</v>
      </c>
      <c r="F1717" s="451">
        <v>46147</v>
      </c>
      <c r="G1717">
        <v>17958</v>
      </c>
      <c r="H1717" t="s">
        <v>5076</v>
      </c>
      <c r="I1717" t="s">
        <v>5222</v>
      </c>
      <c r="J1717">
        <v>10</v>
      </c>
      <c r="K1717" t="s">
        <v>4738</v>
      </c>
      <c r="L1717">
        <v>165.7</v>
      </c>
      <c r="M1717">
        <v>16.57</v>
      </c>
      <c r="N1717" t="s">
        <v>5271</v>
      </c>
      <c r="O1717" t="s">
        <v>463</v>
      </c>
    </row>
    <row r="1718" spans="1:15" x14ac:dyDescent="0.3">
      <c r="A1718">
        <v>231158</v>
      </c>
      <c r="B1718">
        <v>105</v>
      </c>
      <c r="C1718" t="s">
        <v>557</v>
      </c>
      <c r="D1718" t="s">
        <v>2991</v>
      </c>
      <c r="E1718" t="s">
        <v>3001</v>
      </c>
      <c r="F1718" s="451">
        <v>46147</v>
      </c>
      <c r="G1718">
        <v>17950</v>
      </c>
      <c r="H1718" t="s">
        <v>5091</v>
      </c>
      <c r="I1718" t="s">
        <v>5222</v>
      </c>
      <c r="J1718">
        <v>15</v>
      </c>
      <c r="K1718" t="s">
        <v>4738</v>
      </c>
      <c r="L1718">
        <v>262.2</v>
      </c>
      <c r="M1718">
        <v>17.48</v>
      </c>
      <c r="N1718" t="s">
        <v>5271</v>
      </c>
      <c r="O1718" t="s">
        <v>463</v>
      </c>
    </row>
    <row r="1719" spans="1:15" x14ac:dyDescent="0.3">
      <c r="A1719">
        <v>231155</v>
      </c>
      <c r="B1719">
        <v>105</v>
      </c>
      <c r="C1719" t="s">
        <v>557</v>
      </c>
      <c r="D1719" t="s">
        <v>2729</v>
      </c>
      <c r="E1719" t="s">
        <v>3002</v>
      </c>
      <c r="F1719" s="451">
        <v>46147</v>
      </c>
      <c r="G1719">
        <v>19356</v>
      </c>
      <c r="H1719" t="s">
        <v>4799</v>
      </c>
      <c r="I1719" t="s">
        <v>5191</v>
      </c>
      <c r="J1719">
        <v>11.84</v>
      </c>
      <c r="K1719" t="s">
        <v>4744</v>
      </c>
      <c r="L1719">
        <v>610.94000000000005</v>
      </c>
      <c r="M1719">
        <v>51.599662000000002</v>
      </c>
      <c r="N1719" t="s">
        <v>5272</v>
      </c>
      <c r="O1719" t="s">
        <v>463</v>
      </c>
    </row>
    <row r="1720" spans="1:15" x14ac:dyDescent="0.3">
      <c r="A1720">
        <v>231153</v>
      </c>
      <c r="B1720">
        <v>105</v>
      </c>
      <c r="C1720" t="s">
        <v>557</v>
      </c>
      <c r="D1720" t="s">
        <v>2603</v>
      </c>
      <c r="E1720" t="s">
        <v>3003</v>
      </c>
      <c r="F1720" s="451">
        <v>46147</v>
      </c>
      <c r="G1720">
        <v>26679</v>
      </c>
      <c r="H1720" t="s">
        <v>4791</v>
      </c>
      <c r="I1720" t="s">
        <v>5191</v>
      </c>
      <c r="J1720">
        <v>27.86</v>
      </c>
      <c r="K1720" t="s">
        <v>4744</v>
      </c>
      <c r="L1720">
        <v>833.01</v>
      </c>
      <c r="M1720">
        <v>29.899856</v>
      </c>
      <c r="N1720" t="s">
        <v>5272</v>
      </c>
      <c r="O1720" t="s">
        <v>463</v>
      </c>
    </row>
    <row r="1721" spans="1:15" x14ac:dyDescent="0.3">
      <c r="A1721">
        <v>231153</v>
      </c>
      <c r="B1721">
        <v>105</v>
      </c>
      <c r="C1721" t="s">
        <v>557</v>
      </c>
      <c r="D1721" t="s">
        <v>2603</v>
      </c>
      <c r="E1721" t="s">
        <v>3003</v>
      </c>
      <c r="F1721" s="451">
        <v>46147</v>
      </c>
      <c r="G1721">
        <v>19003</v>
      </c>
      <c r="H1721" t="s">
        <v>4810</v>
      </c>
      <c r="I1721" t="s">
        <v>5191</v>
      </c>
      <c r="J1721">
        <v>20</v>
      </c>
      <c r="K1721" t="s">
        <v>4744</v>
      </c>
      <c r="L1721">
        <v>779.81</v>
      </c>
      <c r="M1721">
        <v>38.990499999999997</v>
      </c>
      <c r="N1721" t="s">
        <v>5272</v>
      </c>
      <c r="O1721" t="s">
        <v>463</v>
      </c>
    </row>
    <row r="1722" spans="1:15" x14ac:dyDescent="0.3">
      <c r="A1722">
        <v>231150</v>
      </c>
      <c r="B1722">
        <v>105</v>
      </c>
      <c r="C1722" t="s">
        <v>557</v>
      </c>
      <c r="D1722" t="s">
        <v>2552</v>
      </c>
      <c r="E1722" t="s">
        <v>3004</v>
      </c>
      <c r="F1722" s="451">
        <v>46148</v>
      </c>
      <c r="G1722">
        <v>26627</v>
      </c>
      <c r="H1722" t="s">
        <v>5190</v>
      </c>
      <c r="I1722" t="s">
        <v>5191</v>
      </c>
      <c r="J1722">
        <v>25</v>
      </c>
      <c r="K1722" t="s">
        <v>4744</v>
      </c>
      <c r="L1722">
        <v>197.5</v>
      </c>
      <c r="M1722">
        <v>7.9</v>
      </c>
      <c r="N1722" t="s">
        <v>5272</v>
      </c>
      <c r="O1722" t="s">
        <v>463</v>
      </c>
    </row>
    <row r="1723" spans="1:15" x14ac:dyDescent="0.3">
      <c r="A1723">
        <v>231149</v>
      </c>
      <c r="B1723">
        <v>105</v>
      </c>
      <c r="C1723" t="s">
        <v>557</v>
      </c>
      <c r="D1723" t="s">
        <v>2565</v>
      </c>
      <c r="E1723" t="s">
        <v>3005</v>
      </c>
      <c r="F1723" s="451">
        <v>46148</v>
      </c>
      <c r="G1723">
        <v>18116</v>
      </c>
      <c r="H1723" t="s">
        <v>5045</v>
      </c>
      <c r="I1723" t="s">
        <v>5222</v>
      </c>
      <c r="J1723">
        <v>1</v>
      </c>
      <c r="K1723" t="s">
        <v>4805</v>
      </c>
      <c r="L1723">
        <v>88.08</v>
      </c>
      <c r="M1723">
        <v>88.08</v>
      </c>
      <c r="N1723" t="s">
        <v>5222</v>
      </c>
      <c r="O1723" t="s">
        <v>463</v>
      </c>
    </row>
    <row r="1724" spans="1:15" x14ac:dyDescent="0.3">
      <c r="A1724">
        <v>231097</v>
      </c>
      <c r="B1724">
        <v>105</v>
      </c>
      <c r="C1724" t="s">
        <v>557</v>
      </c>
      <c r="D1724" t="s">
        <v>2571</v>
      </c>
      <c r="E1724" t="s">
        <v>3006</v>
      </c>
      <c r="F1724" s="451">
        <v>46142</v>
      </c>
      <c r="G1724">
        <v>21021</v>
      </c>
      <c r="H1724" t="s">
        <v>4883</v>
      </c>
      <c r="I1724" t="s">
        <v>5191</v>
      </c>
      <c r="J1724">
        <v>3</v>
      </c>
      <c r="K1724" t="s">
        <v>5227</v>
      </c>
      <c r="L1724">
        <v>563.28</v>
      </c>
      <c r="M1724">
        <v>187.76</v>
      </c>
      <c r="N1724" t="s">
        <v>5272</v>
      </c>
      <c r="O1724" t="s">
        <v>462</v>
      </c>
    </row>
    <row r="1725" spans="1:15" x14ac:dyDescent="0.3">
      <c r="A1725">
        <v>231097</v>
      </c>
      <c r="B1725">
        <v>105</v>
      </c>
      <c r="C1725" t="s">
        <v>557</v>
      </c>
      <c r="D1725" t="s">
        <v>2571</v>
      </c>
      <c r="E1725" t="s">
        <v>3006</v>
      </c>
      <c r="F1725" s="451">
        <v>46142</v>
      </c>
      <c r="G1725">
        <v>20792</v>
      </c>
      <c r="H1725" t="s">
        <v>5022</v>
      </c>
      <c r="I1725" t="s">
        <v>5191</v>
      </c>
      <c r="J1725">
        <v>1</v>
      </c>
      <c r="K1725" t="s">
        <v>5206</v>
      </c>
      <c r="L1725">
        <v>10.29</v>
      </c>
      <c r="M1725">
        <v>10.29</v>
      </c>
      <c r="N1725" t="s">
        <v>5272</v>
      </c>
      <c r="O1725" t="s">
        <v>462</v>
      </c>
    </row>
    <row r="1726" spans="1:15" x14ac:dyDescent="0.3">
      <c r="A1726">
        <v>231097</v>
      </c>
      <c r="B1726">
        <v>105</v>
      </c>
      <c r="C1726" t="s">
        <v>557</v>
      </c>
      <c r="D1726" t="s">
        <v>2571</v>
      </c>
      <c r="E1726" t="s">
        <v>3006</v>
      </c>
      <c r="F1726" s="451">
        <v>46142</v>
      </c>
      <c r="G1726">
        <v>20787</v>
      </c>
      <c r="H1726" t="s">
        <v>5333</v>
      </c>
      <c r="I1726" t="s">
        <v>5191</v>
      </c>
      <c r="J1726">
        <v>1</v>
      </c>
      <c r="K1726" t="s">
        <v>5206</v>
      </c>
      <c r="L1726">
        <v>10.29</v>
      </c>
      <c r="M1726">
        <v>10.29</v>
      </c>
      <c r="N1726" t="s">
        <v>5272</v>
      </c>
      <c r="O1726" t="s">
        <v>462</v>
      </c>
    </row>
    <row r="1727" spans="1:15" x14ac:dyDescent="0.3">
      <c r="A1727">
        <v>231097</v>
      </c>
      <c r="B1727">
        <v>105</v>
      </c>
      <c r="C1727" t="s">
        <v>557</v>
      </c>
      <c r="D1727" t="s">
        <v>2571</v>
      </c>
      <c r="E1727" t="s">
        <v>3006</v>
      </c>
      <c r="F1727" s="451">
        <v>46142</v>
      </c>
      <c r="G1727">
        <v>19421</v>
      </c>
      <c r="H1727" t="s">
        <v>4918</v>
      </c>
      <c r="I1727" t="s">
        <v>5191</v>
      </c>
      <c r="J1727">
        <v>24</v>
      </c>
      <c r="K1727" t="s">
        <v>5227</v>
      </c>
      <c r="L1727">
        <v>163.68</v>
      </c>
      <c r="M1727">
        <v>6.82</v>
      </c>
      <c r="N1727" t="s">
        <v>5272</v>
      </c>
      <c r="O1727" t="s">
        <v>462</v>
      </c>
    </row>
    <row r="1728" spans="1:15" x14ac:dyDescent="0.3">
      <c r="A1728">
        <v>231097</v>
      </c>
      <c r="B1728">
        <v>105</v>
      </c>
      <c r="C1728" t="s">
        <v>557</v>
      </c>
      <c r="D1728" t="s">
        <v>2571</v>
      </c>
      <c r="E1728" t="s">
        <v>3006</v>
      </c>
      <c r="F1728" s="451">
        <v>46142</v>
      </c>
      <c r="G1728">
        <v>20242</v>
      </c>
      <c r="H1728" t="s">
        <v>4824</v>
      </c>
      <c r="I1728" t="s">
        <v>5191</v>
      </c>
      <c r="J1728">
        <v>6</v>
      </c>
      <c r="K1728" t="s">
        <v>4738</v>
      </c>
      <c r="L1728">
        <v>105.6</v>
      </c>
      <c r="M1728">
        <v>17.600000000000001</v>
      </c>
      <c r="N1728" t="s">
        <v>5272</v>
      </c>
      <c r="O1728" t="s">
        <v>462</v>
      </c>
    </row>
    <row r="1729" spans="1:15" x14ac:dyDescent="0.3">
      <c r="A1729">
        <v>231097</v>
      </c>
      <c r="B1729">
        <v>105</v>
      </c>
      <c r="C1729" t="s">
        <v>557</v>
      </c>
      <c r="D1729" t="s">
        <v>2571</v>
      </c>
      <c r="E1729" t="s">
        <v>3006</v>
      </c>
      <c r="F1729" s="451">
        <v>46142</v>
      </c>
      <c r="G1729">
        <v>26020</v>
      </c>
      <c r="H1729" t="s">
        <v>5102</v>
      </c>
      <c r="I1729" t="s">
        <v>5191</v>
      </c>
      <c r="J1729">
        <v>3</v>
      </c>
      <c r="K1729" t="s">
        <v>4736</v>
      </c>
      <c r="L1729">
        <v>41.85</v>
      </c>
      <c r="M1729">
        <v>13.95</v>
      </c>
      <c r="N1729" t="s">
        <v>5272</v>
      </c>
      <c r="O1729" t="s">
        <v>462</v>
      </c>
    </row>
    <row r="1730" spans="1:15" x14ac:dyDescent="0.3">
      <c r="A1730">
        <v>231097</v>
      </c>
      <c r="B1730">
        <v>105</v>
      </c>
      <c r="C1730" t="s">
        <v>557</v>
      </c>
      <c r="D1730" t="s">
        <v>2571</v>
      </c>
      <c r="E1730" t="s">
        <v>3006</v>
      </c>
      <c r="F1730" s="451">
        <v>46142</v>
      </c>
      <c r="G1730">
        <v>23502</v>
      </c>
      <c r="H1730" t="s">
        <v>4930</v>
      </c>
      <c r="I1730" t="s">
        <v>5191</v>
      </c>
      <c r="J1730">
        <v>1</v>
      </c>
      <c r="K1730" t="s">
        <v>5227</v>
      </c>
      <c r="L1730">
        <v>14.9</v>
      </c>
      <c r="M1730">
        <v>14.9</v>
      </c>
      <c r="N1730" t="s">
        <v>5272</v>
      </c>
      <c r="O1730" t="s">
        <v>462</v>
      </c>
    </row>
    <row r="1731" spans="1:15" x14ac:dyDescent="0.3">
      <c r="A1731">
        <v>231097</v>
      </c>
      <c r="B1731">
        <v>105</v>
      </c>
      <c r="C1731" t="s">
        <v>557</v>
      </c>
      <c r="D1731" t="s">
        <v>2571</v>
      </c>
      <c r="E1731" t="s">
        <v>3006</v>
      </c>
      <c r="F1731" s="451">
        <v>46142</v>
      </c>
      <c r="G1731">
        <v>20138</v>
      </c>
      <c r="H1731" t="s">
        <v>4886</v>
      </c>
      <c r="I1731" t="s">
        <v>5191</v>
      </c>
      <c r="J1731">
        <v>3</v>
      </c>
      <c r="K1731" t="s">
        <v>4738</v>
      </c>
      <c r="L1731">
        <v>15.3</v>
      </c>
      <c r="M1731">
        <v>5.0999999999999996</v>
      </c>
      <c r="N1731" t="s">
        <v>5272</v>
      </c>
      <c r="O1731" t="s">
        <v>462</v>
      </c>
    </row>
    <row r="1732" spans="1:15" x14ac:dyDescent="0.3">
      <c r="A1732">
        <v>231097</v>
      </c>
      <c r="B1732">
        <v>105</v>
      </c>
      <c r="C1732" t="s">
        <v>557</v>
      </c>
      <c r="D1732" t="s">
        <v>2571</v>
      </c>
      <c r="E1732" t="s">
        <v>3006</v>
      </c>
      <c r="F1732" s="451">
        <v>46142</v>
      </c>
      <c r="G1732">
        <v>20644</v>
      </c>
      <c r="H1732" t="s">
        <v>5016</v>
      </c>
      <c r="I1732" t="s">
        <v>5191</v>
      </c>
      <c r="J1732">
        <v>2</v>
      </c>
      <c r="K1732" t="s">
        <v>4736</v>
      </c>
      <c r="L1732">
        <v>7.78</v>
      </c>
      <c r="M1732">
        <v>3.89</v>
      </c>
      <c r="N1732" t="s">
        <v>5272</v>
      </c>
      <c r="O1732" t="s">
        <v>462</v>
      </c>
    </row>
    <row r="1733" spans="1:15" x14ac:dyDescent="0.3">
      <c r="A1733">
        <v>231097</v>
      </c>
      <c r="B1733">
        <v>105</v>
      </c>
      <c r="C1733" t="s">
        <v>557</v>
      </c>
      <c r="D1733" t="s">
        <v>2571</v>
      </c>
      <c r="E1733" t="s">
        <v>3006</v>
      </c>
      <c r="F1733" s="451">
        <v>46142</v>
      </c>
      <c r="G1733">
        <v>20809</v>
      </c>
      <c r="H1733" t="s">
        <v>4822</v>
      </c>
      <c r="I1733" t="s">
        <v>5191</v>
      </c>
      <c r="J1733">
        <v>5</v>
      </c>
      <c r="K1733" t="s">
        <v>5227</v>
      </c>
      <c r="L1733">
        <v>149.94999999999999</v>
      </c>
      <c r="M1733">
        <v>29.99</v>
      </c>
      <c r="N1733" t="s">
        <v>5272</v>
      </c>
      <c r="O1733" t="s">
        <v>462</v>
      </c>
    </row>
    <row r="1734" spans="1:15" x14ac:dyDescent="0.3">
      <c r="A1734">
        <v>231097</v>
      </c>
      <c r="B1734">
        <v>105</v>
      </c>
      <c r="C1734" t="s">
        <v>557</v>
      </c>
      <c r="D1734" t="s">
        <v>2571</v>
      </c>
      <c r="E1734" t="s">
        <v>3006</v>
      </c>
      <c r="F1734" s="451">
        <v>46142</v>
      </c>
      <c r="G1734">
        <v>25022</v>
      </c>
      <c r="H1734" t="s">
        <v>4912</v>
      </c>
      <c r="I1734" t="s">
        <v>5191</v>
      </c>
      <c r="J1734">
        <v>3</v>
      </c>
      <c r="K1734" t="s">
        <v>4738</v>
      </c>
      <c r="L1734">
        <v>11.1</v>
      </c>
      <c r="M1734">
        <v>3.7</v>
      </c>
      <c r="N1734" t="s">
        <v>5272</v>
      </c>
      <c r="O1734" t="s">
        <v>462</v>
      </c>
    </row>
    <row r="1735" spans="1:15" x14ac:dyDescent="0.3">
      <c r="A1735">
        <v>231097</v>
      </c>
      <c r="B1735">
        <v>105</v>
      </c>
      <c r="C1735" t="s">
        <v>557</v>
      </c>
      <c r="D1735" t="s">
        <v>2571</v>
      </c>
      <c r="E1735" t="s">
        <v>3006</v>
      </c>
      <c r="F1735" s="451">
        <v>46142</v>
      </c>
      <c r="G1735">
        <v>20054</v>
      </c>
      <c r="H1735" t="s">
        <v>4856</v>
      </c>
      <c r="I1735" t="s">
        <v>5191</v>
      </c>
      <c r="J1735">
        <v>5</v>
      </c>
      <c r="K1735" t="s">
        <v>5206</v>
      </c>
      <c r="L1735">
        <v>57.1</v>
      </c>
      <c r="M1735">
        <v>11.42</v>
      </c>
      <c r="N1735" t="s">
        <v>5272</v>
      </c>
      <c r="O1735" t="s">
        <v>462</v>
      </c>
    </row>
    <row r="1736" spans="1:15" x14ac:dyDescent="0.3">
      <c r="A1736">
        <v>231097</v>
      </c>
      <c r="B1736">
        <v>105</v>
      </c>
      <c r="C1736" t="s">
        <v>557</v>
      </c>
      <c r="D1736" t="s">
        <v>2571</v>
      </c>
      <c r="E1736" t="s">
        <v>3006</v>
      </c>
      <c r="F1736" s="451">
        <v>46142</v>
      </c>
      <c r="G1736">
        <v>27397</v>
      </c>
      <c r="H1736" t="s">
        <v>4913</v>
      </c>
      <c r="I1736" t="s">
        <v>5191</v>
      </c>
      <c r="J1736">
        <v>4</v>
      </c>
      <c r="K1736" t="s">
        <v>4736</v>
      </c>
      <c r="L1736">
        <v>239.48</v>
      </c>
      <c r="M1736">
        <v>59.87</v>
      </c>
      <c r="N1736" t="s">
        <v>5272</v>
      </c>
      <c r="O1736" t="s">
        <v>462</v>
      </c>
    </row>
    <row r="1737" spans="1:15" x14ac:dyDescent="0.3">
      <c r="A1737">
        <v>231097</v>
      </c>
      <c r="B1737">
        <v>105</v>
      </c>
      <c r="C1737" t="s">
        <v>557</v>
      </c>
      <c r="D1737" t="s">
        <v>2571</v>
      </c>
      <c r="E1737" t="s">
        <v>3006</v>
      </c>
      <c r="F1737" s="451">
        <v>46142</v>
      </c>
      <c r="G1737">
        <v>19969</v>
      </c>
      <c r="H1737" t="s">
        <v>5018</v>
      </c>
      <c r="I1737" t="s">
        <v>5191</v>
      </c>
      <c r="J1737">
        <v>1</v>
      </c>
      <c r="K1737" t="s">
        <v>4888</v>
      </c>
      <c r="L1737">
        <v>10.65</v>
      </c>
      <c r="M1737">
        <v>10.65</v>
      </c>
      <c r="N1737" t="s">
        <v>5272</v>
      </c>
      <c r="O1737" t="s">
        <v>462</v>
      </c>
    </row>
    <row r="1738" spans="1:15" x14ac:dyDescent="0.3">
      <c r="A1738">
        <v>231096</v>
      </c>
      <c r="B1738">
        <v>105</v>
      </c>
      <c r="C1738" t="s">
        <v>557</v>
      </c>
      <c r="D1738" t="s">
        <v>2579</v>
      </c>
      <c r="E1738" t="s">
        <v>3007</v>
      </c>
      <c r="F1738" s="451">
        <v>46142</v>
      </c>
      <c r="G1738">
        <v>19490</v>
      </c>
      <c r="H1738" t="s">
        <v>5116</v>
      </c>
      <c r="I1738" t="s">
        <v>5191</v>
      </c>
      <c r="J1738">
        <v>0.5</v>
      </c>
      <c r="K1738" t="s">
        <v>4744</v>
      </c>
      <c r="L1738">
        <v>29.25</v>
      </c>
      <c r="M1738">
        <v>58.5</v>
      </c>
      <c r="N1738" t="s">
        <v>5272</v>
      </c>
      <c r="O1738" t="s">
        <v>462</v>
      </c>
    </row>
    <row r="1739" spans="1:15" x14ac:dyDescent="0.3">
      <c r="A1739">
        <v>231096</v>
      </c>
      <c r="B1739">
        <v>105</v>
      </c>
      <c r="C1739" t="s">
        <v>557</v>
      </c>
      <c r="D1739" t="s">
        <v>2579</v>
      </c>
      <c r="E1739" t="s">
        <v>3007</v>
      </c>
      <c r="F1739" s="451">
        <v>46142</v>
      </c>
      <c r="G1739">
        <v>19634</v>
      </c>
      <c r="H1739" t="s">
        <v>4792</v>
      </c>
      <c r="I1739" t="s">
        <v>5191</v>
      </c>
      <c r="J1739">
        <v>5</v>
      </c>
      <c r="K1739" t="s">
        <v>4744</v>
      </c>
      <c r="L1739">
        <v>39</v>
      </c>
      <c r="M1739">
        <v>7.8</v>
      </c>
      <c r="N1739" t="s">
        <v>5272</v>
      </c>
      <c r="O1739" t="s">
        <v>462</v>
      </c>
    </row>
    <row r="1740" spans="1:15" x14ac:dyDescent="0.3">
      <c r="A1740">
        <v>231096</v>
      </c>
      <c r="B1740">
        <v>105</v>
      </c>
      <c r="C1740" t="s">
        <v>557</v>
      </c>
      <c r="D1740" t="s">
        <v>2579</v>
      </c>
      <c r="E1740" t="s">
        <v>3007</v>
      </c>
      <c r="F1740" s="451">
        <v>46142</v>
      </c>
      <c r="G1740">
        <v>23361</v>
      </c>
      <c r="H1740" t="s">
        <v>4754</v>
      </c>
      <c r="I1740" t="s">
        <v>5191</v>
      </c>
      <c r="J1740">
        <v>12</v>
      </c>
      <c r="K1740" t="s">
        <v>4744</v>
      </c>
      <c r="L1740">
        <v>35.880000000000003</v>
      </c>
      <c r="M1740">
        <v>2.99</v>
      </c>
      <c r="N1740" t="s">
        <v>5272</v>
      </c>
      <c r="O1740" t="s">
        <v>462</v>
      </c>
    </row>
    <row r="1741" spans="1:15" x14ac:dyDescent="0.3">
      <c r="A1741">
        <v>231095</v>
      </c>
      <c r="B1741">
        <v>105</v>
      </c>
      <c r="C1741" t="s">
        <v>557</v>
      </c>
      <c r="D1741" t="s">
        <v>2579</v>
      </c>
      <c r="E1741" t="s">
        <v>3008</v>
      </c>
      <c r="F1741" s="451">
        <v>46142</v>
      </c>
      <c r="G1741">
        <v>23096</v>
      </c>
      <c r="H1741" t="s">
        <v>5164</v>
      </c>
      <c r="I1741" t="s">
        <v>5191</v>
      </c>
      <c r="J1741">
        <v>90</v>
      </c>
      <c r="K1741" t="s">
        <v>4736</v>
      </c>
      <c r="L1741">
        <v>66.599999999999994</v>
      </c>
      <c r="M1741">
        <v>0.74</v>
      </c>
      <c r="N1741" t="s">
        <v>5272</v>
      </c>
      <c r="O1741" t="s">
        <v>462</v>
      </c>
    </row>
    <row r="1742" spans="1:15" x14ac:dyDescent="0.3">
      <c r="A1742">
        <v>231095</v>
      </c>
      <c r="B1742">
        <v>105</v>
      </c>
      <c r="C1742" t="s">
        <v>557</v>
      </c>
      <c r="D1742" t="s">
        <v>2579</v>
      </c>
      <c r="E1742" t="s">
        <v>3008</v>
      </c>
      <c r="F1742" s="451">
        <v>46142</v>
      </c>
      <c r="G1742">
        <v>23184</v>
      </c>
      <c r="H1742" t="s">
        <v>4935</v>
      </c>
      <c r="I1742" t="s">
        <v>5191</v>
      </c>
      <c r="J1742">
        <v>2</v>
      </c>
      <c r="K1742" t="s">
        <v>4744</v>
      </c>
      <c r="L1742">
        <v>26</v>
      </c>
      <c r="M1742">
        <v>13</v>
      </c>
      <c r="N1742" t="s">
        <v>5272</v>
      </c>
      <c r="O1742" t="s">
        <v>462</v>
      </c>
    </row>
    <row r="1743" spans="1:15" x14ac:dyDescent="0.3">
      <c r="A1743">
        <v>231094</v>
      </c>
      <c r="B1743">
        <v>105</v>
      </c>
      <c r="C1743" t="s">
        <v>557</v>
      </c>
      <c r="D1743" t="s">
        <v>2581</v>
      </c>
      <c r="E1743" t="s">
        <v>3009</v>
      </c>
      <c r="F1743" s="451">
        <v>46142</v>
      </c>
      <c r="G1743">
        <v>24099</v>
      </c>
      <c r="H1743" t="s">
        <v>4933</v>
      </c>
      <c r="I1743" t="s">
        <v>5191</v>
      </c>
      <c r="J1743">
        <v>1.5</v>
      </c>
      <c r="K1743" t="s">
        <v>4744</v>
      </c>
      <c r="L1743">
        <v>20.7</v>
      </c>
      <c r="M1743">
        <v>13.8</v>
      </c>
      <c r="N1743" t="s">
        <v>5272</v>
      </c>
      <c r="O1743" t="s">
        <v>462</v>
      </c>
    </row>
    <row r="1744" spans="1:15" x14ac:dyDescent="0.3">
      <c r="A1744">
        <v>231094</v>
      </c>
      <c r="B1744">
        <v>105</v>
      </c>
      <c r="C1744" t="s">
        <v>557</v>
      </c>
      <c r="D1744" t="s">
        <v>2581</v>
      </c>
      <c r="E1744" t="s">
        <v>3009</v>
      </c>
      <c r="F1744" s="451">
        <v>46142</v>
      </c>
      <c r="G1744">
        <v>19507</v>
      </c>
      <c r="H1744" t="s">
        <v>4853</v>
      </c>
      <c r="I1744" t="s">
        <v>5191</v>
      </c>
      <c r="J1744">
        <v>1.5</v>
      </c>
      <c r="K1744" t="s">
        <v>4744</v>
      </c>
      <c r="L1744">
        <v>24</v>
      </c>
      <c r="M1744">
        <v>16</v>
      </c>
      <c r="N1744" t="s">
        <v>5272</v>
      </c>
      <c r="O1744" t="s">
        <v>462</v>
      </c>
    </row>
    <row r="1745" spans="1:15" x14ac:dyDescent="0.3">
      <c r="A1745">
        <v>231094</v>
      </c>
      <c r="B1745">
        <v>105</v>
      </c>
      <c r="C1745" t="s">
        <v>557</v>
      </c>
      <c r="D1745" t="s">
        <v>2581</v>
      </c>
      <c r="E1745" t="s">
        <v>3009</v>
      </c>
      <c r="F1745" s="451">
        <v>46142</v>
      </c>
      <c r="G1745">
        <v>19505</v>
      </c>
      <c r="H1745" t="s">
        <v>4872</v>
      </c>
      <c r="I1745" t="s">
        <v>5191</v>
      </c>
      <c r="J1745">
        <v>3</v>
      </c>
      <c r="K1745" t="s">
        <v>4744</v>
      </c>
      <c r="L1745">
        <v>28.5</v>
      </c>
      <c r="M1745">
        <v>9.5</v>
      </c>
      <c r="N1745" t="s">
        <v>5272</v>
      </c>
      <c r="O1745" t="s">
        <v>462</v>
      </c>
    </row>
    <row r="1746" spans="1:15" x14ac:dyDescent="0.3">
      <c r="A1746">
        <v>231094</v>
      </c>
      <c r="B1746">
        <v>105</v>
      </c>
      <c r="C1746" t="s">
        <v>557</v>
      </c>
      <c r="D1746" t="s">
        <v>2581</v>
      </c>
      <c r="E1746" t="s">
        <v>3009</v>
      </c>
      <c r="F1746" s="451">
        <v>46142</v>
      </c>
      <c r="G1746">
        <v>23389</v>
      </c>
      <c r="H1746" t="s">
        <v>4960</v>
      </c>
      <c r="I1746" t="s">
        <v>5191</v>
      </c>
      <c r="J1746">
        <v>3</v>
      </c>
      <c r="K1746" t="s">
        <v>4744</v>
      </c>
      <c r="L1746">
        <v>15</v>
      </c>
      <c r="M1746">
        <v>5</v>
      </c>
      <c r="N1746" t="s">
        <v>5272</v>
      </c>
      <c r="O1746" t="s">
        <v>462</v>
      </c>
    </row>
    <row r="1747" spans="1:15" x14ac:dyDescent="0.3">
      <c r="A1747">
        <v>231094</v>
      </c>
      <c r="B1747">
        <v>105</v>
      </c>
      <c r="C1747" t="s">
        <v>557</v>
      </c>
      <c r="D1747" t="s">
        <v>2581</v>
      </c>
      <c r="E1747" t="s">
        <v>3009</v>
      </c>
      <c r="F1747" s="451">
        <v>46142</v>
      </c>
      <c r="G1747">
        <v>19589</v>
      </c>
      <c r="H1747" t="s">
        <v>4983</v>
      </c>
      <c r="I1747" t="s">
        <v>5191</v>
      </c>
      <c r="J1747">
        <v>1.5</v>
      </c>
      <c r="K1747" t="s">
        <v>4744</v>
      </c>
      <c r="L1747">
        <v>14.25</v>
      </c>
      <c r="M1747">
        <v>9.5</v>
      </c>
      <c r="N1747" t="s">
        <v>5272</v>
      </c>
      <c r="O1747" t="s">
        <v>462</v>
      </c>
    </row>
    <row r="1748" spans="1:15" x14ac:dyDescent="0.3">
      <c r="A1748">
        <v>231094</v>
      </c>
      <c r="B1748">
        <v>105</v>
      </c>
      <c r="C1748" t="s">
        <v>557</v>
      </c>
      <c r="D1748" t="s">
        <v>2581</v>
      </c>
      <c r="E1748" t="s">
        <v>3009</v>
      </c>
      <c r="F1748" s="451">
        <v>46142</v>
      </c>
      <c r="G1748">
        <v>19635</v>
      </c>
      <c r="H1748" t="s">
        <v>4786</v>
      </c>
      <c r="I1748" t="s">
        <v>5191</v>
      </c>
      <c r="J1748">
        <v>10</v>
      </c>
      <c r="K1748" t="s">
        <v>4744</v>
      </c>
      <c r="L1748">
        <v>62</v>
      </c>
      <c r="M1748">
        <v>6.2</v>
      </c>
      <c r="N1748" t="s">
        <v>5272</v>
      </c>
      <c r="O1748" t="s">
        <v>462</v>
      </c>
    </row>
    <row r="1749" spans="1:15" x14ac:dyDescent="0.3">
      <c r="A1749">
        <v>231094</v>
      </c>
      <c r="B1749">
        <v>105</v>
      </c>
      <c r="C1749" t="s">
        <v>557</v>
      </c>
      <c r="D1749" t="s">
        <v>2581</v>
      </c>
      <c r="E1749" t="s">
        <v>3009</v>
      </c>
      <c r="F1749" s="451">
        <v>46142</v>
      </c>
      <c r="G1749">
        <v>23359</v>
      </c>
      <c r="H1749" t="s">
        <v>4767</v>
      </c>
      <c r="I1749" t="s">
        <v>5191</v>
      </c>
      <c r="J1749">
        <v>10</v>
      </c>
      <c r="K1749" t="s">
        <v>4744</v>
      </c>
      <c r="L1749">
        <v>21</v>
      </c>
      <c r="M1749">
        <v>2.1</v>
      </c>
      <c r="N1749" t="s">
        <v>5272</v>
      </c>
      <c r="O1749" t="s">
        <v>462</v>
      </c>
    </row>
    <row r="1750" spans="1:15" x14ac:dyDescent="0.3">
      <c r="A1750">
        <v>231094</v>
      </c>
      <c r="B1750">
        <v>105</v>
      </c>
      <c r="C1750" t="s">
        <v>557</v>
      </c>
      <c r="D1750" t="s">
        <v>2581</v>
      </c>
      <c r="E1750" t="s">
        <v>3009</v>
      </c>
      <c r="F1750" s="451">
        <v>46142</v>
      </c>
      <c r="G1750">
        <v>19787</v>
      </c>
      <c r="H1750" t="s">
        <v>4793</v>
      </c>
      <c r="I1750" t="s">
        <v>5191</v>
      </c>
      <c r="J1750">
        <v>7</v>
      </c>
      <c r="K1750" t="s">
        <v>4744</v>
      </c>
      <c r="L1750">
        <v>45.5</v>
      </c>
      <c r="M1750">
        <v>6.5</v>
      </c>
      <c r="N1750" t="s">
        <v>5272</v>
      </c>
      <c r="O1750" t="s">
        <v>462</v>
      </c>
    </row>
    <row r="1751" spans="1:15" x14ac:dyDescent="0.3">
      <c r="A1751">
        <v>231094</v>
      </c>
      <c r="B1751">
        <v>105</v>
      </c>
      <c r="C1751" t="s">
        <v>557</v>
      </c>
      <c r="D1751" t="s">
        <v>2581</v>
      </c>
      <c r="E1751" t="s">
        <v>3009</v>
      </c>
      <c r="F1751" s="451">
        <v>46142</v>
      </c>
      <c r="G1751">
        <v>23236</v>
      </c>
      <c r="H1751" t="s">
        <v>5062</v>
      </c>
      <c r="I1751" t="s">
        <v>5191</v>
      </c>
      <c r="J1751">
        <v>3</v>
      </c>
      <c r="K1751" t="s">
        <v>4744</v>
      </c>
      <c r="L1751">
        <v>25.5</v>
      </c>
      <c r="M1751">
        <v>8.5</v>
      </c>
      <c r="N1751" t="s">
        <v>5272</v>
      </c>
      <c r="O1751" t="s">
        <v>462</v>
      </c>
    </row>
    <row r="1752" spans="1:15" x14ac:dyDescent="0.3">
      <c r="A1752">
        <v>231094</v>
      </c>
      <c r="B1752">
        <v>105</v>
      </c>
      <c r="C1752" t="s">
        <v>557</v>
      </c>
      <c r="D1752" t="s">
        <v>2581</v>
      </c>
      <c r="E1752" t="s">
        <v>3009</v>
      </c>
      <c r="F1752" s="451">
        <v>46142</v>
      </c>
      <c r="G1752">
        <v>19472</v>
      </c>
      <c r="H1752" t="s">
        <v>4906</v>
      </c>
      <c r="I1752" t="s">
        <v>5191</v>
      </c>
      <c r="J1752">
        <v>1.5</v>
      </c>
      <c r="K1752" t="s">
        <v>4744</v>
      </c>
      <c r="L1752">
        <v>33</v>
      </c>
      <c r="M1752">
        <v>22</v>
      </c>
      <c r="N1752" t="s">
        <v>5272</v>
      </c>
      <c r="O1752" t="s">
        <v>462</v>
      </c>
    </row>
    <row r="1753" spans="1:15" x14ac:dyDescent="0.3">
      <c r="A1753">
        <v>231093</v>
      </c>
      <c r="B1753">
        <v>105</v>
      </c>
      <c r="C1753" t="s">
        <v>557</v>
      </c>
      <c r="D1753" t="s">
        <v>2637</v>
      </c>
      <c r="E1753" t="s">
        <v>3010</v>
      </c>
      <c r="F1753" s="451">
        <v>46142</v>
      </c>
      <c r="G1753">
        <v>18475</v>
      </c>
      <c r="H1753" t="s">
        <v>4895</v>
      </c>
      <c r="I1753" t="s">
        <v>5222</v>
      </c>
      <c r="J1753">
        <v>12</v>
      </c>
      <c r="K1753" t="s">
        <v>4805</v>
      </c>
      <c r="L1753">
        <v>394.8</v>
      </c>
      <c r="M1753">
        <v>32.9</v>
      </c>
      <c r="N1753" t="s">
        <v>5222</v>
      </c>
      <c r="O1753" t="s">
        <v>462</v>
      </c>
    </row>
    <row r="1754" spans="1:15" x14ac:dyDescent="0.3">
      <c r="A1754">
        <v>231092</v>
      </c>
      <c r="B1754">
        <v>105</v>
      </c>
      <c r="C1754" t="s">
        <v>557</v>
      </c>
      <c r="D1754" t="s">
        <v>2707</v>
      </c>
      <c r="E1754" t="s">
        <v>3011</v>
      </c>
      <c r="F1754" s="451">
        <v>46142</v>
      </c>
      <c r="G1754">
        <v>24081</v>
      </c>
      <c r="H1754" t="s">
        <v>4834</v>
      </c>
      <c r="I1754" t="s">
        <v>5191</v>
      </c>
      <c r="J1754">
        <v>10.7</v>
      </c>
      <c r="K1754" t="s">
        <v>4744</v>
      </c>
      <c r="L1754">
        <v>254.66</v>
      </c>
      <c r="M1754">
        <v>23.8</v>
      </c>
      <c r="N1754" t="s">
        <v>1785</v>
      </c>
      <c r="O1754" t="s">
        <v>462</v>
      </c>
    </row>
    <row r="1755" spans="1:15" x14ac:dyDescent="0.3">
      <c r="A1755">
        <v>231091</v>
      </c>
      <c r="B1755">
        <v>105</v>
      </c>
      <c r="C1755" t="s">
        <v>557</v>
      </c>
      <c r="D1755" t="s">
        <v>2585</v>
      </c>
      <c r="E1755" t="s">
        <v>3012</v>
      </c>
      <c r="F1755" s="451">
        <v>46142</v>
      </c>
      <c r="G1755">
        <v>18822</v>
      </c>
      <c r="H1755" t="s">
        <v>4811</v>
      </c>
      <c r="I1755" t="s">
        <v>5191</v>
      </c>
      <c r="J1755">
        <v>24.19</v>
      </c>
      <c r="K1755" t="s">
        <v>4744</v>
      </c>
      <c r="L1755">
        <v>2370.13</v>
      </c>
      <c r="M1755">
        <v>97.979743999999997</v>
      </c>
      <c r="N1755" t="s">
        <v>5272</v>
      </c>
      <c r="O1755" t="s">
        <v>462</v>
      </c>
    </row>
    <row r="1756" spans="1:15" x14ac:dyDescent="0.3">
      <c r="A1756">
        <v>231091</v>
      </c>
      <c r="B1756">
        <v>105</v>
      </c>
      <c r="C1756" t="s">
        <v>557</v>
      </c>
      <c r="D1756" t="s">
        <v>2585</v>
      </c>
      <c r="E1756" t="s">
        <v>3012</v>
      </c>
      <c r="F1756" s="451">
        <v>46142</v>
      </c>
      <c r="G1756">
        <v>27264</v>
      </c>
      <c r="H1756" t="s">
        <v>5075</v>
      </c>
      <c r="I1756" t="s">
        <v>5191</v>
      </c>
      <c r="J1756">
        <v>12.21</v>
      </c>
      <c r="K1756" t="s">
        <v>4744</v>
      </c>
      <c r="L1756">
        <v>649.78</v>
      </c>
      <c r="M1756">
        <v>53.217035000000003</v>
      </c>
      <c r="N1756" t="s">
        <v>5272</v>
      </c>
      <c r="O1756" t="s">
        <v>462</v>
      </c>
    </row>
    <row r="1757" spans="1:15" x14ac:dyDescent="0.3">
      <c r="A1757">
        <v>231090</v>
      </c>
      <c r="B1757">
        <v>105</v>
      </c>
      <c r="C1757" t="s">
        <v>557</v>
      </c>
      <c r="D1757" t="s">
        <v>2607</v>
      </c>
      <c r="E1757" t="s">
        <v>3013</v>
      </c>
      <c r="F1757" s="451">
        <v>46142</v>
      </c>
      <c r="G1757">
        <v>25777</v>
      </c>
      <c r="H1757" t="s">
        <v>4774</v>
      </c>
      <c r="I1757" t="s">
        <v>5191</v>
      </c>
      <c r="J1757">
        <v>15</v>
      </c>
      <c r="K1757" t="s">
        <v>4744</v>
      </c>
      <c r="L1757">
        <v>1347</v>
      </c>
      <c r="M1757">
        <v>89.8</v>
      </c>
      <c r="N1757" t="s">
        <v>5191</v>
      </c>
      <c r="O1757" t="s">
        <v>462</v>
      </c>
    </row>
    <row r="1758" spans="1:15" x14ac:dyDescent="0.3">
      <c r="A1758">
        <v>231090</v>
      </c>
      <c r="B1758">
        <v>105</v>
      </c>
      <c r="C1758" t="s">
        <v>557</v>
      </c>
      <c r="D1758" t="s">
        <v>2607</v>
      </c>
      <c r="E1758" t="s">
        <v>3013</v>
      </c>
      <c r="F1758" s="451">
        <v>46142</v>
      </c>
      <c r="G1758">
        <v>26135</v>
      </c>
      <c r="H1758" t="s">
        <v>4801</v>
      </c>
      <c r="I1758" t="s">
        <v>5191</v>
      </c>
      <c r="J1758">
        <v>11.4</v>
      </c>
      <c r="K1758" t="s">
        <v>4744</v>
      </c>
      <c r="L1758">
        <v>1024.8599999999999</v>
      </c>
      <c r="M1758">
        <v>89.9</v>
      </c>
      <c r="N1758" t="s">
        <v>5191</v>
      </c>
      <c r="O1758" t="s">
        <v>462</v>
      </c>
    </row>
    <row r="1759" spans="1:15" x14ac:dyDescent="0.3">
      <c r="A1759">
        <v>231089</v>
      </c>
      <c r="B1759">
        <v>105</v>
      </c>
      <c r="C1759" t="s">
        <v>557</v>
      </c>
      <c r="D1759" t="s">
        <v>2590</v>
      </c>
      <c r="E1759" t="s">
        <v>3014</v>
      </c>
      <c r="F1759" s="451">
        <v>46142</v>
      </c>
      <c r="G1759">
        <v>24981</v>
      </c>
      <c r="H1759" t="s">
        <v>5140</v>
      </c>
      <c r="I1759" t="s">
        <v>5222</v>
      </c>
      <c r="J1759">
        <v>1</v>
      </c>
      <c r="K1759" t="s">
        <v>4965</v>
      </c>
      <c r="L1759">
        <v>316</v>
      </c>
      <c r="M1759">
        <v>316</v>
      </c>
      <c r="N1759" t="s">
        <v>5222</v>
      </c>
      <c r="O1759" t="s">
        <v>462</v>
      </c>
    </row>
    <row r="1760" spans="1:15" x14ac:dyDescent="0.3">
      <c r="A1760">
        <v>231089</v>
      </c>
      <c r="B1760">
        <v>105</v>
      </c>
      <c r="C1760" t="s">
        <v>557</v>
      </c>
      <c r="D1760" t="s">
        <v>2590</v>
      </c>
      <c r="E1760" t="s">
        <v>3014</v>
      </c>
      <c r="F1760" s="451">
        <v>46142</v>
      </c>
      <c r="G1760">
        <v>18636</v>
      </c>
      <c r="H1760" t="s">
        <v>4964</v>
      </c>
      <c r="I1760" t="s">
        <v>5222</v>
      </c>
      <c r="J1760">
        <v>2</v>
      </c>
      <c r="K1760" t="s">
        <v>4965</v>
      </c>
      <c r="L1760">
        <v>703.48</v>
      </c>
      <c r="M1760">
        <v>351.74</v>
      </c>
      <c r="N1760" t="s">
        <v>5222</v>
      </c>
      <c r="O1760" t="s">
        <v>462</v>
      </c>
    </row>
    <row r="1761" spans="1:15" x14ac:dyDescent="0.3">
      <c r="A1761">
        <v>231089</v>
      </c>
      <c r="B1761">
        <v>105</v>
      </c>
      <c r="C1761" t="s">
        <v>557</v>
      </c>
      <c r="D1761" t="s">
        <v>2590</v>
      </c>
      <c r="E1761" t="s">
        <v>3014</v>
      </c>
      <c r="F1761" s="451">
        <v>46142</v>
      </c>
      <c r="G1761">
        <v>18595</v>
      </c>
      <c r="H1761" t="s">
        <v>5092</v>
      </c>
      <c r="I1761" t="s">
        <v>5222</v>
      </c>
      <c r="J1761">
        <v>1</v>
      </c>
      <c r="K1761" t="s">
        <v>4738</v>
      </c>
      <c r="L1761">
        <v>110.3</v>
      </c>
      <c r="M1761">
        <v>110.3</v>
      </c>
      <c r="N1761" t="s">
        <v>5222</v>
      </c>
      <c r="O1761" t="s">
        <v>462</v>
      </c>
    </row>
    <row r="1762" spans="1:15" x14ac:dyDescent="0.3">
      <c r="A1762">
        <v>231089</v>
      </c>
      <c r="B1762">
        <v>105</v>
      </c>
      <c r="C1762" t="s">
        <v>557</v>
      </c>
      <c r="D1762" t="s">
        <v>2590</v>
      </c>
      <c r="E1762" t="s">
        <v>3014</v>
      </c>
      <c r="F1762" s="451">
        <v>46142</v>
      </c>
      <c r="G1762">
        <v>26505</v>
      </c>
      <c r="H1762" t="s">
        <v>4750</v>
      </c>
      <c r="I1762" t="s">
        <v>5222</v>
      </c>
      <c r="J1762">
        <v>3</v>
      </c>
      <c r="K1762" t="s">
        <v>4738</v>
      </c>
      <c r="L1762">
        <v>537.54</v>
      </c>
      <c r="M1762">
        <v>179.18</v>
      </c>
      <c r="N1762" t="s">
        <v>5222</v>
      </c>
      <c r="O1762" t="s">
        <v>462</v>
      </c>
    </row>
    <row r="1763" spans="1:15" x14ac:dyDescent="0.3">
      <c r="A1763">
        <v>231088</v>
      </c>
      <c r="B1763">
        <v>105</v>
      </c>
      <c r="C1763" t="s">
        <v>557</v>
      </c>
      <c r="D1763" t="s">
        <v>2590</v>
      </c>
      <c r="E1763" t="s">
        <v>3015</v>
      </c>
      <c r="F1763" s="451">
        <v>46142</v>
      </c>
      <c r="G1763">
        <v>24142</v>
      </c>
      <c r="H1763" t="s">
        <v>5090</v>
      </c>
      <c r="I1763" t="s">
        <v>5222</v>
      </c>
      <c r="J1763">
        <v>2</v>
      </c>
      <c r="K1763" t="s">
        <v>4749</v>
      </c>
      <c r="L1763">
        <v>221.46</v>
      </c>
      <c r="M1763">
        <v>110.73</v>
      </c>
      <c r="N1763" t="s">
        <v>5222</v>
      </c>
      <c r="O1763" t="s">
        <v>462</v>
      </c>
    </row>
    <row r="1764" spans="1:15" x14ac:dyDescent="0.3">
      <c r="A1764">
        <v>231088</v>
      </c>
      <c r="B1764">
        <v>105</v>
      </c>
      <c r="C1764" t="s">
        <v>557</v>
      </c>
      <c r="D1764" t="s">
        <v>2590</v>
      </c>
      <c r="E1764" t="s">
        <v>3015</v>
      </c>
      <c r="F1764" s="451">
        <v>46142</v>
      </c>
      <c r="G1764">
        <v>18636</v>
      </c>
      <c r="H1764" t="s">
        <v>4964</v>
      </c>
      <c r="I1764" t="s">
        <v>5222</v>
      </c>
      <c r="J1764">
        <v>3</v>
      </c>
      <c r="K1764" t="s">
        <v>4965</v>
      </c>
      <c r="L1764">
        <v>1055.22</v>
      </c>
      <c r="M1764">
        <v>351.74</v>
      </c>
      <c r="N1764" t="s">
        <v>5222</v>
      </c>
      <c r="O1764" t="s">
        <v>462</v>
      </c>
    </row>
    <row r="1765" spans="1:15" x14ac:dyDescent="0.3">
      <c r="A1765">
        <v>231088</v>
      </c>
      <c r="B1765">
        <v>105</v>
      </c>
      <c r="C1765" t="s">
        <v>557</v>
      </c>
      <c r="D1765" t="s">
        <v>2590</v>
      </c>
      <c r="E1765" t="s">
        <v>3015</v>
      </c>
      <c r="F1765" s="451">
        <v>46142</v>
      </c>
      <c r="G1765">
        <v>18004</v>
      </c>
      <c r="H1765" t="s">
        <v>5093</v>
      </c>
      <c r="I1765" t="s">
        <v>5222</v>
      </c>
      <c r="J1765">
        <v>2</v>
      </c>
      <c r="K1765" t="s">
        <v>4738</v>
      </c>
      <c r="L1765">
        <v>63.6</v>
      </c>
      <c r="M1765">
        <v>31.8</v>
      </c>
      <c r="N1765" t="s">
        <v>5222</v>
      </c>
      <c r="O1765" t="s">
        <v>462</v>
      </c>
    </row>
    <row r="1766" spans="1:15" x14ac:dyDescent="0.3">
      <c r="A1766">
        <v>231088</v>
      </c>
      <c r="B1766">
        <v>105</v>
      </c>
      <c r="C1766" t="s">
        <v>557</v>
      </c>
      <c r="D1766" t="s">
        <v>2590</v>
      </c>
      <c r="E1766" t="s">
        <v>3015</v>
      </c>
      <c r="F1766" s="451">
        <v>46142</v>
      </c>
      <c r="G1766">
        <v>18006</v>
      </c>
      <c r="H1766" t="s">
        <v>5094</v>
      </c>
      <c r="I1766" t="s">
        <v>5222</v>
      </c>
      <c r="J1766">
        <v>2</v>
      </c>
      <c r="K1766" t="s">
        <v>4738</v>
      </c>
      <c r="L1766">
        <v>63.6</v>
      </c>
      <c r="M1766">
        <v>31.8</v>
      </c>
      <c r="N1766" t="s">
        <v>5222</v>
      </c>
      <c r="O1766" t="s">
        <v>462</v>
      </c>
    </row>
    <row r="1767" spans="1:15" x14ac:dyDescent="0.3">
      <c r="A1767">
        <v>231088</v>
      </c>
      <c r="B1767">
        <v>105</v>
      </c>
      <c r="C1767" t="s">
        <v>557</v>
      </c>
      <c r="D1767" t="s">
        <v>2590</v>
      </c>
      <c r="E1767" t="s">
        <v>3015</v>
      </c>
      <c r="F1767" s="451">
        <v>46142</v>
      </c>
      <c r="G1767">
        <v>24973</v>
      </c>
      <c r="H1767" t="s">
        <v>4819</v>
      </c>
      <c r="I1767" t="s">
        <v>5222</v>
      </c>
      <c r="J1767">
        <v>1</v>
      </c>
      <c r="K1767" t="s">
        <v>4738</v>
      </c>
      <c r="L1767">
        <v>68.790000000000006</v>
      </c>
      <c r="M1767">
        <v>68.790000000000006</v>
      </c>
      <c r="N1767" t="s">
        <v>5222</v>
      </c>
      <c r="O1767" t="s">
        <v>462</v>
      </c>
    </row>
    <row r="1768" spans="1:15" x14ac:dyDescent="0.3">
      <c r="A1768">
        <v>231088</v>
      </c>
      <c r="B1768">
        <v>105</v>
      </c>
      <c r="C1768" t="s">
        <v>557</v>
      </c>
      <c r="D1768" t="s">
        <v>2590</v>
      </c>
      <c r="E1768" t="s">
        <v>3015</v>
      </c>
      <c r="F1768" s="451">
        <v>46142</v>
      </c>
      <c r="G1768">
        <v>18595</v>
      </c>
      <c r="H1768" t="s">
        <v>5092</v>
      </c>
      <c r="I1768" t="s">
        <v>5222</v>
      </c>
      <c r="J1768">
        <v>1</v>
      </c>
      <c r="K1768" t="s">
        <v>4738</v>
      </c>
      <c r="L1768">
        <v>102.54</v>
      </c>
      <c r="M1768">
        <v>102.54</v>
      </c>
      <c r="N1768" t="s">
        <v>5222</v>
      </c>
      <c r="O1768" t="s">
        <v>462</v>
      </c>
    </row>
    <row r="1769" spans="1:15" x14ac:dyDescent="0.3">
      <c r="A1769">
        <v>231088</v>
      </c>
      <c r="B1769">
        <v>105</v>
      </c>
      <c r="C1769" t="s">
        <v>557</v>
      </c>
      <c r="D1769" t="s">
        <v>2590</v>
      </c>
      <c r="E1769" t="s">
        <v>3015</v>
      </c>
      <c r="F1769" s="451">
        <v>46142</v>
      </c>
      <c r="G1769">
        <v>25561</v>
      </c>
      <c r="H1769" t="s">
        <v>5095</v>
      </c>
      <c r="I1769" t="s">
        <v>5222</v>
      </c>
      <c r="J1769">
        <v>1</v>
      </c>
      <c r="K1769" t="s">
        <v>4738</v>
      </c>
      <c r="L1769">
        <v>110.3</v>
      </c>
      <c r="M1769">
        <v>110.3</v>
      </c>
      <c r="N1769" t="s">
        <v>5222</v>
      </c>
      <c r="O1769" t="s">
        <v>462</v>
      </c>
    </row>
    <row r="1770" spans="1:15" x14ac:dyDescent="0.3">
      <c r="A1770">
        <v>231088</v>
      </c>
      <c r="B1770">
        <v>105</v>
      </c>
      <c r="C1770" t="s">
        <v>557</v>
      </c>
      <c r="D1770" t="s">
        <v>2590</v>
      </c>
      <c r="E1770" t="s">
        <v>3015</v>
      </c>
      <c r="F1770" s="451">
        <v>46142</v>
      </c>
      <c r="G1770">
        <v>17886</v>
      </c>
      <c r="H1770" t="s">
        <v>5083</v>
      </c>
      <c r="I1770" t="s">
        <v>5222</v>
      </c>
      <c r="J1770">
        <v>7</v>
      </c>
      <c r="K1770" t="s">
        <v>4738</v>
      </c>
      <c r="L1770">
        <v>225.4</v>
      </c>
      <c r="M1770">
        <v>32.200000000000003</v>
      </c>
      <c r="N1770" t="s">
        <v>5222</v>
      </c>
      <c r="O1770" t="s">
        <v>462</v>
      </c>
    </row>
    <row r="1771" spans="1:15" x14ac:dyDescent="0.3">
      <c r="A1771">
        <v>231088</v>
      </c>
      <c r="B1771">
        <v>105</v>
      </c>
      <c r="C1771" t="s">
        <v>557</v>
      </c>
      <c r="D1771" t="s">
        <v>2590</v>
      </c>
      <c r="E1771" t="s">
        <v>3015</v>
      </c>
      <c r="F1771" s="451">
        <v>46142</v>
      </c>
      <c r="G1771">
        <v>17881</v>
      </c>
      <c r="H1771" t="s">
        <v>5103</v>
      </c>
      <c r="I1771" t="s">
        <v>5222</v>
      </c>
      <c r="J1771">
        <v>2</v>
      </c>
      <c r="K1771" t="s">
        <v>4738</v>
      </c>
      <c r="L1771">
        <v>65.3</v>
      </c>
      <c r="M1771">
        <v>32.65</v>
      </c>
      <c r="N1771" t="s">
        <v>5222</v>
      </c>
      <c r="O1771" t="s">
        <v>462</v>
      </c>
    </row>
    <row r="1772" spans="1:15" x14ac:dyDescent="0.3">
      <c r="A1772">
        <v>231088</v>
      </c>
      <c r="B1772">
        <v>105</v>
      </c>
      <c r="C1772" t="s">
        <v>557</v>
      </c>
      <c r="D1772" t="s">
        <v>2590</v>
      </c>
      <c r="E1772" t="s">
        <v>3015</v>
      </c>
      <c r="F1772" s="451">
        <v>46142</v>
      </c>
      <c r="G1772">
        <v>17905</v>
      </c>
      <c r="H1772" t="s">
        <v>5085</v>
      </c>
      <c r="I1772" t="s">
        <v>5222</v>
      </c>
      <c r="J1772">
        <v>7</v>
      </c>
      <c r="K1772" t="s">
        <v>4738</v>
      </c>
      <c r="L1772">
        <v>229.11</v>
      </c>
      <c r="M1772">
        <v>32.729999999999997</v>
      </c>
      <c r="N1772" t="s">
        <v>5222</v>
      </c>
      <c r="O1772" t="s">
        <v>462</v>
      </c>
    </row>
    <row r="1773" spans="1:15" x14ac:dyDescent="0.3">
      <c r="A1773">
        <v>231088</v>
      </c>
      <c r="B1773">
        <v>105</v>
      </c>
      <c r="C1773" t="s">
        <v>557</v>
      </c>
      <c r="D1773" t="s">
        <v>2590</v>
      </c>
      <c r="E1773" t="s">
        <v>3015</v>
      </c>
      <c r="F1773" s="451">
        <v>46142</v>
      </c>
      <c r="G1773">
        <v>17903</v>
      </c>
      <c r="H1773" t="s">
        <v>5084</v>
      </c>
      <c r="I1773" t="s">
        <v>5222</v>
      </c>
      <c r="J1773">
        <v>2</v>
      </c>
      <c r="K1773" t="s">
        <v>4738</v>
      </c>
      <c r="L1773">
        <v>65.459999999999994</v>
      </c>
      <c r="M1773">
        <v>32.729999999999997</v>
      </c>
      <c r="N1773" t="s">
        <v>5222</v>
      </c>
      <c r="O1773" t="s">
        <v>462</v>
      </c>
    </row>
    <row r="1774" spans="1:15" x14ac:dyDescent="0.3">
      <c r="A1774">
        <v>231088</v>
      </c>
      <c r="B1774">
        <v>105</v>
      </c>
      <c r="C1774" t="s">
        <v>557</v>
      </c>
      <c r="D1774" t="s">
        <v>2590</v>
      </c>
      <c r="E1774" t="s">
        <v>3015</v>
      </c>
      <c r="F1774" s="451">
        <v>46142</v>
      </c>
      <c r="G1774">
        <v>17916</v>
      </c>
      <c r="H1774" t="s">
        <v>5235</v>
      </c>
      <c r="I1774" t="s">
        <v>5222</v>
      </c>
      <c r="J1774">
        <v>3</v>
      </c>
      <c r="K1774" t="s">
        <v>4738</v>
      </c>
      <c r="L1774">
        <v>86.55</v>
      </c>
      <c r="M1774">
        <v>28.85</v>
      </c>
      <c r="N1774" t="s">
        <v>5222</v>
      </c>
      <c r="O1774" t="s">
        <v>462</v>
      </c>
    </row>
    <row r="1775" spans="1:15" x14ac:dyDescent="0.3">
      <c r="A1775">
        <v>231088</v>
      </c>
      <c r="B1775">
        <v>105</v>
      </c>
      <c r="C1775" t="s">
        <v>557</v>
      </c>
      <c r="D1775" t="s">
        <v>2590</v>
      </c>
      <c r="E1775" t="s">
        <v>3015</v>
      </c>
      <c r="F1775" s="451">
        <v>46142</v>
      </c>
      <c r="G1775">
        <v>17883</v>
      </c>
      <c r="H1775" t="s">
        <v>5113</v>
      </c>
      <c r="I1775" t="s">
        <v>5222</v>
      </c>
      <c r="J1775">
        <v>3</v>
      </c>
      <c r="K1775" t="s">
        <v>4738</v>
      </c>
      <c r="L1775">
        <v>97.95</v>
      </c>
      <c r="M1775">
        <v>32.65</v>
      </c>
      <c r="N1775" t="s">
        <v>5222</v>
      </c>
      <c r="O1775" t="s">
        <v>462</v>
      </c>
    </row>
    <row r="1776" spans="1:15" x14ac:dyDescent="0.3">
      <c r="A1776">
        <v>231088</v>
      </c>
      <c r="B1776">
        <v>105</v>
      </c>
      <c r="C1776" t="s">
        <v>557</v>
      </c>
      <c r="D1776" t="s">
        <v>2590</v>
      </c>
      <c r="E1776" t="s">
        <v>3015</v>
      </c>
      <c r="F1776" s="451">
        <v>46142</v>
      </c>
      <c r="G1776">
        <v>26505</v>
      </c>
      <c r="H1776" t="s">
        <v>4750</v>
      </c>
      <c r="I1776" t="s">
        <v>5222</v>
      </c>
      <c r="J1776">
        <v>1</v>
      </c>
      <c r="K1776" t="s">
        <v>4738</v>
      </c>
      <c r="L1776">
        <v>228.84</v>
      </c>
      <c r="M1776">
        <v>228.84</v>
      </c>
      <c r="N1776" t="s">
        <v>5222</v>
      </c>
      <c r="O1776" t="s">
        <v>462</v>
      </c>
    </row>
    <row r="1777" spans="1:15" x14ac:dyDescent="0.3">
      <c r="A1777">
        <v>231087</v>
      </c>
      <c r="B1777">
        <v>105</v>
      </c>
      <c r="C1777" t="s">
        <v>557</v>
      </c>
      <c r="D1777" t="s">
        <v>2605</v>
      </c>
      <c r="E1777" t="s">
        <v>3016</v>
      </c>
      <c r="F1777" s="451">
        <v>46142</v>
      </c>
      <c r="G1777">
        <v>20122</v>
      </c>
      <c r="H1777" t="s">
        <v>4781</v>
      </c>
      <c r="I1777" t="s">
        <v>5191</v>
      </c>
      <c r="J1777">
        <v>4</v>
      </c>
      <c r="K1777" t="s">
        <v>5227</v>
      </c>
      <c r="L1777">
        <v>57.52</v>
      </c>
      <c r="M1777">
        <v>14.38</v>
      </c>
      <c r="N1777" t="s">
        <v>5272</v>
      </c>
      <c r="O1777" t="s">
        <v>462</v>
      </c>
    </row>
    <row r="1778" spans="1:15" x14ac:dyDescent="0.3">
      <c r="A1778">
        <v>231087</v>
      </c>
      <c r="B1778">
        <v>105</v>
      </c>
      <c r="C1778" t="s">
        <v>557</v>
      </c>
      <c r="D1778" t="s">
        <v>2605</v>
      </c>
      <c r="E1778" t="s">
        <v>3016</v>
      </c>
      <c r="F1778" s="451">
        <v>46142</v>
      </c>
      <c r="G1778">
        <v>19978</v>
      </c>
      <c r="H1778" t="s">
        <v>4887</v>
      </c>
      <c r="I1778" t="s">
        <v>5191</v>
      </c>
      <c r="J1778">
        <v>2</v>
      </c>
      <c r="K1778" t="s">
        <v>5227</v>
      </c>
      <c r="L1778">
        <v>42.9</v>
      </c>
      <c r="M1778">
        <v>21.45</v>
      </c>
      <c r="N1778" t="s">
        <v>5272</v>
      </c>
      <c r="O1778" t="s">
        <v>462</v>
      </c>
    </row>
    <row r="1779" spans="1:15" x14ac:dyDescent="0.3">
      <c r="A1779">
        <v>231087</v>
      </c>
      <c r="B1779">
        <v>105</v>
      </c>
      <c r="C1779" t="s">
        <v>557</v>
      </c>
      <c r="D1779" t="s">
        <v>2605</v>
      </c>
      <c r="E1779" t="s">
        <v>3016</v>
      </c>
      <c r="F1779" s="451">
        <v>46142</v>
      </c>
      <c r="G1779">
        <v>20589</v>
      </c>
      <c r="H1779" t="s">
        <v>5334</v>
      </c>
      <c r="I1779" t="s">
        <v>5191</v>
      </c>
      <c r="J1779">
        <v>1</v>
      </c>
      <c r="K1779" t="s">
        <v>4884</v>
      </c>
      <c r="L1779">
        <v>29</v>
      </c>
      <c r="M1779">
        <v>29</v>
      </c>
      <c r="N1779" t="s">
        <v>5272</v>
      </c>
      <c r="O1779" t="s">
        <v>462</v>
      </c>
    </row>
    <row r="1780" spans="1:15" x14ac:dyDescent="0.3">
      <c r="A1780">
        <v>231087</v>
      </c>
      <c r="B1780">
        <v>105</v>
      </c>
      <c r="C1780" t="s">
        <v>557</v>
      </c>
      <c r="D1780" t="s">
        <v>2605</v>
      </c>
      <c r="E1780" t="s">
        <v>3016</v>
      </c>
      <c r="F1780" s="451">
        <v>46142</v>
      </c>
      <c r="G1780">
        <v>20007</v>
      </c>
      <c r="H1780" t="s">
        <v>5101</v>
      </c>
      <c r="I1780" t="s">
        <v>5191</v>
      </c>
      <c r="J1780">
        <v>3</v>
      </c>
      <c r="K1780" t="s">
        <v>4884</v>
      </c>
      <c r="L1780">
        <v>157.80000000000001</v>
      </c>
      <c r="M1780">
        <v>52.6</v>
      </c>
      <c r="N1780" t="s">
        <v>5272</v>
      </c>
      <c r="O1780" t="s">
        <v>462</v>
      </c>
    </row>
    <row r="1781" spans="1:15" x14ac:dyDescent="0.3">
      <c r="A1781">
        <v>231087</v>
      </c>
      <c r="B1781">
        <v>105</v>
      </c>
      <c r="C1781" t="s">
        <v>557</v>
      </c>
      <c r="D1781" t="s">
        <v>2605</v>
      </c>
      <c r="E1781" t="s">
        <v>3016</v>
      </c>
      <c r="F1781" s="451">
        <v>46142</v>
      </c>
      <c r="G1781">
        <v>20887</v>
      </c>
      <c r="H1781" t="s">
        <v>4953</v>
      </c>
      <c r="I1781" t="s">
        <v>5191</v>
      </c>
      <c r="J1781">
        <v>2</v>
      </c>
      <c r="K1781" t="s">
        <v>4879</v>
      </c>
      <c r="L1781">
        <v>73.8</v>
      </c>
      <c r="M1781">
        <v>36.9</v>
      </c>
      <c r="N1781" t="s">
        <v>5272</v>
      </c>
      <c r="O1781" t="s">
        <v>462</v>
      </c>
    </row>
    <row r="1782" spans="1:15" x14ac:dyDescent="0.3">
      <c r="A1782">
        <v>231087</v>
      </c>
      <c r="B1782">
        <v>105</v>
      </c>
      <c r="C1782" t="s">
        <v>557</v>
      </c>
      <c r="D1782" t="s">
        <v>2605</v>
      </c>
      <c r="E1782" t="s">
        <v>3016</v>
      </c>
      <c r="F1782" s="451">
        <v>46142</v>
      </c>
      <c r="G1782">
        <v>19979</v>
      </c>
      <c r="H1782" t="s">
        <v>5270</v>
      </c>
      <c r="I1782" t="s">
        <v>5191</v>
      </c>
      <c r="J1782">
        <v>4</v>
      </c>
      <c r="K1782" t="s">
        <v>5227</v>
      </c>
      <c r="L1782">
        <v>85.8</v>
      </c>
      <c r="M1782">
        <v>21.45</v>
      </c>
      <c r="N1782" t="s">
        <v>5272</v>
      </c>
      <c r="O1782" t="s">
        <v>462</v>
      </c>
    </row>
    <row r="1783" spans="1:15" x14ac:dyDescent="0.3">
      <c r="A1783">
        <v>231087</v>
      </c>
      <c r="B1783">
        <v>105</v>
      </c>
      <c r="C1783" t="s">
        <v>557</v>
      </c>
      <c r="D1783" t="s">
        <v>2605</v>
      </c>
      <c r="E1783" t="s">
        <v>3016</v>
      </c>
      <c r="F1783" s="451">
        <v>46142</v>
      </c>
      <c r="G1783">
        <v>20176</v>
      </c>
      <c r="H1783" t="s">
        <v>5175</v>
      </c>
      <c r="I1783" t="s">
        <v>5191</v>
      </c>
      <c r="J1783">
        <v>1</v>
      </c>
      <c r="K1783" t="s">
        <v>4736</v>
      </c>
      <c r="L1783">
        <v>33</v>
      </c>
      <c r="M1783">
        <v>33</v>
      </c>
      <c r="N1783" t="s">
        <v>5272</v>
      </c>
      <c r="O1783" t="s">
        <v>462</v>
      </c>
    </row>
    <row r="1784" spans="1:15" x14ac:dyDescent="0.3">
      <c r="A1784">
        <v>231087</v>
      </c>
      <c r="B1784">
        <v>105</v>
      </c>
      <c r="C1784" t="s">
        <v>557</v>
      </c>
      <c r="D1784" t="s">
        <v>2605</v>
      </c>
      <c r="E1784" t="s">
        <v>3016</v>
      </c>
      <c r="F1784" s="451">
        <v>46142</v>
      </c>
      <c r="G1784">
        <v>20014</v>
      </c>
      <c r="H1784" t="s">
        <v>5335</v>
      </c>
      <c r="I1784" t="s">
        <v>5191</v>
      </c>
      <c r="J1784">
        <v>1</v>
      </c>
      <c r="K1784" t="s">
        <v>4736</v>
      </c>
      <c r="L1784">
        <v>11</v>
      </c>
      <c r="M1784">
        <v>11</v>
      </c>
      <c r="N1784" t="s">
        <v>5272</v>
      </c>
      <c r="O1784" t="s">
        <v>462</v>
      </c>
    </row>
    <row r="1785" spans="1:15" x14ac:dyDescent="0.3">
      <c r="A1785">
        <v>231087</v>
      </c>
      <c r="B1785">
        <v>105</v>
      </c>
      <c r="C1785" t="s">
        <v>557</v>
      </c>
      <c r="D1785" t="s">
        <v>2605</v>
      </c>
      <c r="E1785" t="s">
        <v>3016</v>
      </c>
      <c r="F1785" s="451">
        <v>46142</v>
      </c>
      <c r="G1785">
        <v>19251</v>
      </c>
      <c r="H1785" t="s">
        <v>5336</v>
      </c>
      <c r="I1785" t="s">
        <v>5191</v>
      </c>
      <c r="J1785">
        <v>3</v>
      </c>
      <c r="K1785" t="s">
        <v>4736</v>
      </c>
      <c r="L1785">
        <v>55.8</v>
      </c>
      <c r="M1785">
        <v>18.600000000000001</v>
      </c>
      <c r="N1785" t="s">
        <v>5272</v>
      </c>
      <c r="O1785" t="s">
        <v>462</v>
      </c>
    </row>
    <row r="1786" spans="1:15" x14ac:dyDescent="0.3">
      <c r="A1786">
        <v>231087</v>
      </c>
      <c r="B1786">
        <v>105</v>
      </c>
      <c r="C1786" t="s">
        <v>557</v>
      </c>
      <c r="D1786" t="s">
        <v>2605</v>
      </c>
      <c r="E1786" t="s">
        <v>3016</v>
      </c>
      <c r="F1786" s="451">
        <v>46142</v>
      </c>
      <c r="G1786">
        <v>19965</v>
      </c>
      <c r="H1786" t="s">
        <v>5251</v>
      </c>
      <c r="I1786" t="s">
        <v>5191</v>
      </c>
      <c r="J1786">
        <v>4</v>
      </c>
      <c r="K1786" t="s">
        <v>4736</v>
      </c>
      <c r="L1786">
        <v>53.6</v>
      </c>
      <c r="M1786">
        <v>13.4</v>
      </c>
      <c r="N1786" t="s">
        <v>5272</v>
      </c>
      <c r="O1786" t="s">
        <v>462</v>
      </c>
    </row>
    <row r="1787" spans="1:15" x14ac:dyDescent="0.3">
      <c r="A1787">
        <v>231087</v>
      </c>
      <c r="B1787">
        <v>105</v>
      </c>
      <c r="C1787" t="s">
        <v>557</v>
      </c>
      <c r="D1787" t="s">
        <v>2605</v>
      </c>
      <c r="E1787" t="s">
        <v>3016</v>
      </c>
      <c r="F1787" s="451">
        <v>46142</v>
      </c>
      <c r="G1787">
        <v>20689</v>
      </c>
      <c r="H1787" t="s">
        <v>5007</v>
      </c>
      <c r="I1787" t="s">
        <v>5191</v>
      </c>
      <c r="J1787">
        <v>3</v>
      </c>
      <c r="K1787" t="s">
        <v>5227</v>
      </c>
      <c r="L1787">
        <v>94.8</v>
      </c>
      <c r="M1787">
        <v>31.6</v>
      </c>
      <c r="N1787" t="s">
        <v>5272</v>
      </c>
      <c r="O1787" t="s">
        <v>462</v>
      </c>
    </row>
    <row r="1788" spans="1:15" x14ac:dyDescent="0.3">
      <c r="A1788">
        <v>231087</v>
      </c>
      <c r="B1788">
        <v>105</v>
      </c>
      <c r="C1788" t="s">
        <v>557</v>
      </c>
      <c r="D1788" t="s">
        <v>2605</v>
      </c>
      <c r="E1788" t="s">
        <v>3016</v>
      </c>
      <c r="F1788" s="451">
        <v>46142</v>
      </c>
      <c r="G1788">
        <v>19356</v>
      </c>
      <c r="H1788" t="s">
        <v>4799</v>
      </c>
      <c r="I1788" t="s">
        <v>5191</v>
      </c>
      <c r="J1788">
        <v>6.24</v>
      </c>
      <c r="K1788" t="s">
        <v>5227</v>
      </c>
      <c r="L1788">
        <v>361.3</v>
      </c>
      <c r="M1788">
        <v>57.900641</v>
      </c>
      <c r="N1788" t="s">
        <v>5272</v>
      </c>
      <c r="O1788" t="s">
        <v>462</v>
      </c>
    </row>
    <row r="1789" spans="1:15" x14ac:dyDescent="0.3">
      <c r="A1789">
        <v>231087</v>
      </c>
      <c r="B1789">
        <v>105</v>
      </c>
      <c r="C1789" t="s">
        <v>557</v>
      </c>
      <c r="D1789" t="s">
        <v>2605</v>
      </c>
      <c r="E1789" t="s">
        <v>3016</v>
      </c>
      <c r="F1789" s="451">
        <v>46142</v>
      </c>
      <c r="G1789">
        <v>24390</v>
      </c>
      <c r="H1789" t="s">
        <v>5337</v>
      </c>
      <c r="I1789" t="s">
        <v>5191</v>
      </c>
      <c r="J1789">
        <v>8.32</v>
      </c>
      <c r="K1789" t="s">
        <v>4744</v>
      </c>
      <c r="L1789">
        <v>357.34</v>
      </c>
      <c r="M1789">
        <v>42.949519000000002</v>
      </c>
      <c r="N1789" t="s">
        <v>5272</v>
      </c>
      <c r="O1789" t="s">
        <v>462</v>
      </c>
    </row>
    <row r="1790" spans="1:15" x14ac:dyDescent="0.3">
      <c r="A1790">
        <v>231086</v>
      </c>
      <c r="B1790">
        <v>105</v>
      </c>
      <c r="C1790" t="s">
        <v>557</v>
      </c>
      <c r="D1790" t="s">
        <v>2605</v>
      </c>
      <c r="E1790" t="s">
        <v>3017</v>
      </c>
      <c r="F1790" s="451">
        <v>46142</v>
      </c>
      <c r="G1790">
        <v>18253</v>
      </c>
      <c r="H1790" t="s">
        <v>4969</v>
      </c>
      <c r="I1790" t="s">
        <v>5222</v>
      </c>
      <c r="J1790">
        <v>4</v>
      </c>
      <c r="K1790" t="s">
        <v>4805</v>
      </c>
      <c r="L1790">
        <v>113.6</v>
      </c>
      <c r="M1790">
        <v>28.4</v>
      </c>
      <c r="N1790" t="s">
        <v>5222</v>
      </c>
      <c r="O1790" t="s">
        <v>462</v>
      </c>
    </row>
    <row r="1791" spans="1:15" x14ac:dyDescent="0.3">
      <c r="A1791">
        <v>231085</v>
      </c>
      <c r="B1791">
        <v>105</v>
      </c>
      <c r="C1791" t="s">
        <v>557</v>
      </c>
      <c r="D1791" t="s">
        <v>2613</v>
      </c>
      <c r="E1791" t="s">
        <v>3018</v>
      </c>
      <c r="F1791" s="451">
        <v>46142</v>
      </c>
      <c r="G1791">
        <v>27544</v>
      </c>
      <c r="H1791" t="s">
        <v>5338</v>
      </c>
      <c r="I1791" t="s">
        <v>5191</v>
      </c>
      <c r="J1791">
        <v>7.4</v>
      </c>
      <c r="K1791" t="s">
        <v>4744</v>
      </c>
      <c r="L1791">
        <v>288.60000000000002</v>
      </c>
      <c r="M1791">
        <v>39</v>
      </c>
      <c r="N1791" t="s">
        <v>5272</v>
      </c>
      <c r="O1791" t="s">
        <v>462</v>
      </c>
    </row>
    <row r="1792" spans="1:15" x14ac:dyDescent="0.3">
      <c r="A1792">
        <v>231083</v>
      </c>
      <c r="B1792">
        <v>105</v>
      </c>
      <c r="C1792" t="s">
        <v>557</v>
      </c>
      <c r="D1792" t="s">
        <v>2600</v>
      </c>
      <c r="E1792" t="s">
        <v>3019</v>
      </c>
      <c r="F1792" s="451">
        <v>46142</v>
      </c>
      <c r="G1792">
        <v>20549</v>
      </c>
      <c r="H1792" t="s">
        <v>4823</v>
      </c>
      <c r="I1792" t="s">
        <v>5191</v>
      </c>
      <c r="J1792">
        <v>5.7</v>
      </c>
      <c r="K1792" t="s">
        <v>4744</v>
      </c>
      <c r="L1792">
        <v>113.94</v>
      </c>
      <c r="M1792">
        <v>19.989474000000001</v>
      </c>
      <c r="N1792" t="s">
        <v>5272</v>
      </c>
      <c r="O1792" t="s">
        <v>462</v>
      </c>
    </row>
    <row r="1793" spans="1:15" x14ac:dyDescent="0.3">
      <c r="A1793">
        <v>231081</v>
      </c>
      <c r="B1793">
        <v>105</v>
      </c>
      <c r="C1793" t="s">
        <v>557</v>
      </c>
      <c r="D1793" t="s">
        <v>2563</v>
      </c>
      <c r="E1793" t="s">
        <v>3020</v>
      </c>
      <c r="F1793" s="451">
        <v>46142</v>
      </c>
      <c r="G1793">
        <v>23184</v>
      </c>
      <c r="H1793" t="s">
        <v>4935</v>
      </c>
      <c r="I1793" t="s">
        <v>5191</v>
      </c>
      <c r="J1793">
        <v>1</v>
      </c>
      <c r="K1793" t="s">
        <v>4744</v>
      </c>
      <c r="L1793">
        <v>22.69</v>
      </c>
      <c r="M1793">
        <v>22.69</v>
      </c>
      <c r="N1793" t="s">
        <v>5272</v>
      </c>
      <c r="O1793" t="s">
        <v>462</v>
      </c>
    </row>
    <row r="1794" spans="1:15" x14ac:dyDescent="0.3">
      <c r="A1794">
        <v>231081</v>
      </c>
      <c r="B1794">
        <v>105</v>
      </c>
      <c r="C1794" t="s">
        <v>557</v>
      </c>
      <c r="D1794" t="s">
        <v>2563</v>
      </c>
      <c r="E1794" t="s">
        <v>3020</v>
      </c>
      <c r="F1794" s="451">
        <v>46142</v>
      </c>
      <c r="G1794">
        <v>19634</v>
      </c>
      <c r="H1794" t="s">
        <v>4792</v>
      </c>
      <c r="I1794" t="s">
        <v>5191</v>
      </c>
      <c r="J1794">
        <v>2</v>
      </c>
      <c r="K1794" t="s">
        <v>4744</v>
      </c>
      <c r="L1794">
        <v>14.78</v>
      </c>
      <c r="M1794">
        <v>7.39</v>
      </c>
      <c r="N1794" t="s">
        <v>5272</v>
      </c>
      <c r="O1794" t="s">
        <v>462</v>
      </c>
    </row>
    <row r="1795" spans="1:15" x14ac:dyDescent="0.3">
      <c r="A1795">
        <v>231081</v>
      </c>
      <c r="B1795">
        <v>105</v>
      </c>
      <c r="C1795" t="s">
        <v>557</v>
      </c>
      <c r="D1795" t="s">
        <v>2563</v>
      </c>
      <c r="E1795" t="s">
        <v>3020</v>
      </c>
      <c r="F1795" s="451">
        <v>46142</v>
      </c>
      <c r="G1795">
        <v>24083</v>
      </c>
      <c r="H1795" t="s">
        <v>5165</v>
      </c>
      <c r="I1795" t="s">
        <v>5191</v>
      </c>
      <c r="J1795">
        <v>20</v>
      </c>
      <c r="K1795" t="s">
        <v>4744</v>
      </c>
      <c r="L1795">
        <v>108.8</v>
      </c>
      <c r="M1795">
        <v>5.44</v>
      </c>
      <c r="N1795" t="s">
        <v>5272</v>
      </c>
      <c r="O1795" t="s">
        <v>462</v>
      </c>
    </row>
    <row r="1796" spans="1:15" x14ac:dyDescent="0.3">
      <c r="A1796">
        <v>231080</v>
      </c>
      <c r="B1796">
        <v>105</v>
      </c>
      <c r="C1796" t="s">
        <v>557</v>
      </c>
      <c r="D1796" t="s">
        <v>2563</v>
      </c>
      <c r="E1796" t="s">
        <v>3021</v>
      </c>
      <c r="F1796" s="451">
        <v>46142</v>
      </c>
      <c r="G1796">
        <v>19621</v>
      </c>
      <c r="H1796" t="s">
        <v>4829</v>
      </c>
      <c r="I1796" t="s">
        <v>5191</v>
      </c>
      <c r="J1796">
        <v>1.5</v>
      </c>
      <c r="K1796" t="s">
        <v>4744</v>
      </c>
      <c r="L1796">
        <v>11.96</v>
      </c>
      <c r="M1796">
        <v>7.9733330000000002</v>
      </c>
      <c r="N1796" t="s">
        <v>5272</v>
      </c>
      <c r="O1796" t="s">
        <v>462</v>
      </c>
    </row>
    <row r="1797" spans="1:15" x14ac:dyDescent="0.3">
      <c r="A1797">
        <v>231080</v>
      </c>
      <c r="B1797">
        <v>105</v>
      </c>
      <c r="C1797" t="s">
        <v>557</v>
      </c>
      <c r="D1797" t="s">
        <v>2563</v>
      </c>
      <c r="E1797" t="s">
        <v>3021</v>
      </c>
      <c r="F1797" s="451">
        <v>46142</v>
      </c>
      <c r="G1797">
        <v>19492</v>
      </c>
      <c r="H1797" t="s">
        <v>4937</v>
      </c>
      <c r="I1797" t="s">
        <v>5191</v>
      </c>
      <c r="J1797">
        <v>1.5</v>
      </c>
      <c r="K1797" t="s">
        <v>4744</v>
      </c>
      <c r="L1797">
        <v>27.95</v>
      </c>
      <c r="M1797">
        <v>18.633333</v>
      </c>
      <c r="N1797" t="s">
        <v>5272</v>
      </c>
      <c r="O1797" t="s">
        <v>462</v>
      </c>
    </row>
    <row r="1798" spans="1:15" x14ac:dyDescent="0.3">
      <c r="A1798">
        <v>231080</v>
      </c>
      <c r="B1798">
        <v>105</v>
      </c>
      <c r="C1798" t="s">
        <v>557</v>
      </c>
      <c r="D1798" t="s">
        <v>2563</v>
      </c>
      <c r="E1798" t="s">
        <v>3021</v>
      </c>
      <c r="F1798" s="451">
        <v>46142</v>
      </c>
      <c r="G1798">
        <v>19551</v>
      </c>
      <c r="H1798" t="s">
        <v>4905</v>
      </c>
      <c r="I1798" t="s">
        <v>5191</v>
      </c>
      <c r="J1798">
        <v>1.3</v>
      </c>
      <c r="K1798" t="s">
        <v>4744</v>
      </c>
      <c r="L1798">
        <v>23.09</v>
      </c>
      <c r="M1798">
        <v>17.761538000000002</v>
      </c>
      <c r="N1798" t="s">
        <v>5272</v>
      </c>
      <c r="O1798" t="s">
        <v>462</v>
      </c>
    </row>
    <row r="1799" spans="1:15" x14ac:dyDescent="0.3">
      <c r="A1799">
        <v>231080</v>
      </c>
      <c r="B1799">
        <v>105</v>
      </c>
      <c r="C1799" t="s">
        <v>557</v>
      </c>
      <c r="D1799" t="s">
        <v>2563</v>
      </c>
      <c r="E1799" t="s">
        <v>3021</v>
      </c>
      <c r="F1799" s="451">
        <v>46142</v>
      </c>
      <c r="G1799">
        <v>19532</v>
      </c>
      <c r="H1799" t="s">
        <v>4753</v>
      </c>
      <c r="I1799" t="s">
        <v>5191</v>
      </c>
      <c r="J1799">
        <v>15</v>
      </c>
      <c r="K1799" t="s">
        <v>4744</v>
      </c>
      <c r="L1799">
        <v>144.6</v>
      </c>
      <c r="M1799">
        <v>9.64</v>
      </c>
      <c r="N1799" t="s">
        <v>5272</v>
      </c>
      <c r="O1799" t="s">
        <v>462</v>
      </c>
    </row>
    <row r="1800" spans="1:15" x14ac:dyDescent="0.3">
      <c r="A1800">
        <v>231080</v>
      </c>
      <c r="B1800">
        <v>105</v>
      </c>
      <c r="C1800" t="s">
        <v>557</v>
      </c>
      <c r="D1800" t="s">
        <v>2563</v>
      </c>
      <c r="E1800" t="s">
        <v>3021</v>
      </c>
      <c r="F1800" s="451">
        <v>46142</v>
      </c>
      <c r="G1800">
        <v>19728</v>
      </c>
      <c r="H1800" t="s">
        <v>5106</v>
      </c>
      <c r="I1800" t="s">
        <v>5191</v>
      </c>
      <c r="J1800">
        <v>1.1000000000000001</v>
      </c>
      <c r="K1800" t="s">
        <v>4744</v>
      </c>
      <c r="L1800">
        <v>13</v>
      </c>
      <c r="M1800">
        <v>11.818182</v>
      </c>
      <c r="N1800" t="s">
        <v>5272</v>
      </c>
      <c r="O1800" t="s">
        <v>462</v>
      </c>
    </row>
    <row r="1801" spans="1:15" x14ac:dyDescent="0.3">
      <c r="A1801">
        <v>231080</v>
      </c>
      <c r="B1801">
        <v>105</v>
      </c>
      <c r="C1801" t="s">
        <v>557</v>
      </c>
      <c r="D1801" t="s">
        <v>2563</v>
      </c>
      <c r="E1801" t="s">
        <v>3021</v>
      </c>
      <c r="F1801" s="451">
        <v>46142</v>
      </c>
      <c r="G1801">
        <v>19572</v>
      </c>
      <c r="H1801" t="s">
        <v>4989</v>
      </c>
      <c r="I1801" t="s">
        <v>5191</v>
      </c>
      <c r="J1801">
        <v>1.5</v>
      </c>
      <c r="K1801" t="s">
        <v>4744</v>
      </c>
      <c r="L1801">
        <v>16.420000000000002</v>
      </c>
      <c r="M1801">
        <v>10.946667</v>
      </c>
      <c r="N1801" t="s">
        <v>5272</v>
      </c>
      <c r="O1801" t="s">
        <v>462</v>
      </c>
    </row>
    <row r="1802" spans="1:15" x14ac:dyDescent="0.3">
      <c r="A1802">
        <v>231080</v>
      </c>
      <c r="B1802">
        <v>105</v>
      </c>
      <c r="C1802" t="s">
        <v>557</v>
      </c>
      <c r="D1802" t="s">
        <v>2563</v>
      </c>
      <c r="E1802" t="s">
        <v>3021</v>
      </c>
      <c r="F1802" s="451">
        <v>46142</v>
      </c>
      <c r="G1802">
        <v>24083</v>
      </c>
      <c r="H1802" t="s">
        <v>5165</v>
      </c>
      <c r="I1802" t="s">
        <v>5191</v>
      </c>
      <c r="J1802">
        <v>30</v>
      </c>
      <c r="K1802" t="s">
        <v>4744</v>
      </c>
      <c r="L1802">
        <v>163.19999999999999</v>
      </c>
      <c r="M1802">
        <v>5.44</v>
      </c>
      <c r="N1802" t="s">
        <v>5272</v>
      </c>
      <c r="O1802" t="s">
        <v>462</v>
      </c>
    </row>
    <row r="1803" spans="1:15" x14ac:dyDescent="0.3">
      <c r="A1803">
        <v>231080</v>
      </c>
      <c r="B1803">
        <v>105</v>
      </c>
      <c r="C1803" t="s">
        <v>557</v>
      </c>
      <c r="D1803" t="s">
        <v>2563</v>
      </c>
      <c r="E1803" t="s">
        <v>3021</v>
      </c>
      <c r="F1803" s="451">
        <v>46142</v>
      </c>
      <c r="G1803">
        <v>19658</v>
      </c>
      <c r="H1803" t="s">
        <v>4784</v>
      </c>
      <c r="I1803" t="s">
        <v>5191</v>
      </c>
      <c r="J1803">
        <v>6.3</v>
      </c>
      <c r="K1803" t="s">
        <v>4744</v>
      </c>
      <c r="L1803">
        <v>23.5</v>
      </c>
      <c r="M1803">
        <v>3.730159</v>
      </c>
      <c r="N1803" t="s">
        <v>5272</v>
      </c>
      <c r="O1803" t="s">
        <v>462</v>
      </c>
    </row>
    <row r="1804" spans="1:15" x14ac:dyDescent="0.3">
      <c r="A1804">
        <v>231079</v>
      </c>
      <c r="B1804">
        <v>105</v>
      </c>
      <c r="C1804" t="s">
        <v>557</v>
      </c>
      <c r="D1804" t="s">
        <v>2563</v>
      </c>
      <c r="E1804" t="s">
        <v>3022</v>
      </c>
      <c r="F1804" s="451">
        <v>46142</v>
      </c>
      <c r="G1804">
        <v>19621</v>
      </c>
      <c r="H1804" t="s">
        <v>4829</v>
      </c>
      <c r="I1804" t="s">
        <v>5191</v>
      </c>
      <c r="J1804">
        <v>3</v>
      </c>
      <c r="K1804" t="s">
        <v>4744</v>
      </c>
      <c r="L1804">
        <v>23.91</v>
      </c>
      <c r="M1804">
        <v>7.97</v>
      </c>
      <c r="N1804" t="s">
        <v>5272</v>
      </c>
      <c r="O1804" t="s">
        <v>462</v>
      </c>
    </row>
    <row r="1805" spans="1:15" x14ac:dyDescent="0.3">
      <c r="A1805">
        <v>231079</v>
      </c>
      <c r="B1805">
        <v>105</v>
      </c>
      <c r="C1805" t="s">
        <v>557</v>
      </c>
      <c r="D1805" t="s">
        <v>2563</v>
      </c>
      <c r="E1805" t="s">
        <v>3022</v>
      </c>
      <c r="F1805" s="451">
        <v>46142</v>
      </c>
      <c r="G1805">
        <v>19476</v>
      </c>
      <c r="H1805" t="s">
        <v>5115</v>
      </c>
      <c r="I1805" t="s">
        <v>5191</v>
      </c>
      <c r="J1805">
        <v>0.7</v>
      </c>
      <c r="K1805" t="s">
        <v>4744</v>
      </c>
      <c r="L1805">
        <v>47.7</v>
      </c>
      <c r="M1805">
        <v>68.142857000000006</v>
      </c>
      <c r="N1805" t="s">
        <v>5272</v>
      </c>
      <c r="O1805" t="s">
        <v>462</v>
      </c>
    </row>
    <row r="1806" spans="1:15" x14ac:dyDescent="0.3">
      <c r="A1806">
        <v>231079</v>
      </c>
      <c r="B1806">
        <v>105</v>
      </c>
      <c r="C1806" t="s">
        <v>557</v>
      </c>
      <c r="D1806" t="s">
        <v>2563</v>
      </c>
      <c r="E1806" t="s">
        <v>3022</v>
      </c>
      <c r="F1806" s="451">
        <v>46142</v>
      </c>
      <c r="G1806">
        <v>23096</v>
      </c>
      <c r="H1806" t="s">
        <v>5164</v>
      </c>
      <c r="I1806" t="s">
        <v>5191</v>
      </c>
      <c r="J1806">
        <v>30</v>
      </c>
      <c r="K1806" t="s">
        <v>4736</v>
      </c>
      <c r="L1806">
        <v>21.6</v>
      </c>
      <c r="M1806">
        <v>0.72</v>
      </c>
      <c r="N1806" t="s">
        <v>5272</v>
      </c>
      <c r="O1806" t="s">
        <v>462</v>
      </c>
    </row>
    <row r="1807" spans="1:15" x14ac:dyDescent="0.3">
      <c r="A1807">
        <v>231079</v>
      </c>
      <c r="B1807">
        <v>105</v>
      </c>
      <c r="C1807" t="s">
        <v>557</v>
      </c>
      <c r="D1807" t="s">
        <v>2563</v>
      </c>
      <c r="E1807" t="s">
        <v>3022</v>
      </c>
      <c r="F1807" s="451">
        <v>46142</v>
      </c>
      <c r="G1807">
        <v>23385</v>
      </c>
      <c r="H1807" t="s">
        <v>4938</v>
      </c>
      <c r="I1807" t="s">
        <v>5191</v>
      </c>
      <c r="J1807">
        <v>1.6</v>
      </c>
      <c r="K1807" t="s">
        <v>4744</v>
      </c>
      <c r="L1807">
        <v>144</v>
      </c>
      <c r="M1807">
        <v>90</v>
      </c>
      <c r="N1807" t="s">
        <v>5272</v>
      </c>
      <c r="O1807" t="s">
        <v>462</v>
      </c>
    </row>
    <row r="1808" spans="1:15" x14ac:dyDescent="0.3">
      <c r="A1808">
        <v>231079</v>
      </c>
      <c r="B1808">
        <v>105</v>
      </c>
      <c r="C1808" t="s">
        <v>557</v>
      </c>
      <c r="D1808" t="s">
        <v>2563</v>
      </c>
      <c r="E1808" t="s">
        <v>3022</v>
      </c>
      <c r="F1808" s="451">
        <v>46142</v>
      </c>
      <c r="G1808">
        <v>19654</v>
      </c>
      <c r="H1808" t="s">
        <v>5099</v>
      </c>
      <c r="I1808" t="s">
        <v>5191</v>
      </c>
      <c r="J1808">
        <v>5.4</v>
      </c>
      <c r="K1808" t="s">
        <v>4744</v>
      </c>
      <c r="L1808">
        <v>39.15</v>
      </c>
      <c r="M1808">
        <v>7.25</v>
      </c>
      <c r="N1808" t="s">
        <v>5272</v>
      </c>
      <c r="O1808" t="s">
        <v>462</v>
      </c>
    </row>
    <row r="1809" spans="1:15" x14ac:dyDescent="0.3">
      <c r="A1809">
        <v>231078</v>
      </c>
      <c r="B1809">
        <v>105</v>
      </c>
      <c r="C1809" t="s">
        <v>557</v>
      </c>
      <c r="D1809" t="s">
        <v>3023</v>
      </c>
      <c r="E1809" t="s">
        <v>3024</v>
      </c>
      <c r="F1809" s="451">
        <v>46142</v>
      </c>
      <c r="G1809">
        <v>27540</v>
      </c>
      <c r="H1809" t="s">
        <v>5339</v>
      </c>
      <c r="I1809" t="s">
        <v>5191</v>
      </c>
      <c r="J1809">
        <v>48</v>
      </c>
      <c r="K1809" t="s">
        <v>4736</v>
      </c>
      <c r="L1809">
        <v>139.19999999999999</v>
      </c>
      <c r="M1809">
        <v>2.9</v>
      </c>
      <c r="N1809" t="s">
        <v>5340</v>
      </c>
      <c r="O1809" t="s">
        <v>462</v>
      </c>
    </row>
    <row r="1810" spans="1:15" x14ac:dyDescent="0.3">
      <c r="A1810">
        <v>231077</v>
      </c>
      <c r="B1810">
        <v>105</v>
      </c>
      <c r="C1810" t="s">
        <v>557</v>
      </c>
      <c r="D1810" t="s">
        <v>2991</v>
      </c>
      <c r="E1810" t="s">
        <v>3025</v>
      </c>
      <c r="F1810" s="451">
        <v>46142</v>
      </c>
      <c r="G1810">
        <v>17950</v>
      </c>
      <c r="H1810" t="s">
        <v>5091</v>
      </c>
      <c r="I1810" t="s">
        <v>5222</v>
      </c>
      <c r="J1810">
        <v>15</v>
      </c>
      <c r="K1810" t="s">
        <v>4738</v>
      </c>
      <c r="L1810">
        <v>262.2</v>
      </c>
      <c r="M1810">
        <v>17.48</v>
      </c>
      <c r="N1810" t="s">
        <v>5271</v>
      </c>
      <c r="O1810" t="s">
        <v>462</v>
      </c>
    </row>
    <row r="1811" spans="1:15" x14ac:dyDescent="0.3">
      <c r="A1811">
        <v>231077</v>
      </c>
      <c r="B1811">
        <v>105</v>
      </c>
      <c r="C1811" t="s">
        <v>557</v>
      </c>
      <c r="D1811" t="s">
        <v>2991</v>
      </c>
      <c r="E1811" t="s">
        <v>3025</v>
      </c>
      <c r="F1811" s="451">
        <v>46142</v>
      </c>
      <c r="G1811">
        <v>17958</v>
      </c>
      <c r="H1811" t="s">
        <v>5076</v>
      </c>
      <c r="I1811" t="s">
        <v>5222</v>
      </c>
      <c r="J1811">
        <v>15</v>
      </c>
      <c r="K1811" t="s">
        <v>4738</v>
      </c>
      <c r="L1811">
        <v>248.55</v>
      </c>
      <c r="M1811">
        <v>16.57</v>
      </c>
      <c r="N1811" t="s">
        <v>5271</v>
      </c>
      <c r="O1811" t="s">
        <v>462</v>
      </c>
    </row>
    <row r="1812" spans="1:15" x14ac:dyDescent="0.3">
      <c r="A1812">
        <v>231073</v>
      </c>
      <c r="B1812">
        <v>105</v>
      </c>
      <c r="C1812" t="s">
        <v>557</v>
      </c>
      <c r="D1812" t="s">
        <v>2552</v>
      </c>
      <c r="E1812" t="s">
        <v>3026</v>
      </c>
      <c r="F1812" s="451">
        <v>46142</v>
      </c>
      <c r="G1812">
        <v>26627</v>
      </c>
      <c r="H1812" t="s">
        <v>5190</v>
      </c>
      <c r="I1812" t="s">
        <v>5191</v>
      </c>
      <c r="J1812">
        <v>20</v>
      </c>
      <c r="K1812" t="s">
        <v>4744</v>
      </c>
      <c r="L1812">
        <v>158</v>
      </c>
      <c r="M1812">
        <v>7.9</v>
      </c>
      <c r="N1812" t="s">
        <v>5272</v>
      </c>
      <c r="O1812" t="s">
        <v>462</v>
      </c>
    </row>
    <row r="1813" spans="1:15" x14ac:dyDescent="0.3">
      <c r="A1813">
        <v>231069</v>
      </c>
      <c r="B1813">
        <v>105</v>
      </c>
      <c r="C1813" t="s">
        <v>557</v>
      </c>
      <c r="D1813" t="s">
        <v>2597</v>
      </c>
      <c r="E1813" t="s">
        <v>3027</v>
      </c>
      <c r="F1813" s="451">
        <v>46142</v>
      </c>
      <c r="G1813">
        <v>24217</v>
      </c>
      <c r="H1813" t="s">
        <v>4778</v>
      </c>
      <c r="I1813" t="s">
        <v>5191</v>
      </c>
      <c r="J1813">
        <v>11.7</v>
      </c>
      <c r="K1813" t="s">
        <v>4744</v>
      </c>
      <c r="L1813">
        <v>384.93</v>
      </c>
      <c r="M1813">
        <v>32.9</v>
      </c>
      <c r="N1813" t="s">
        <v>5272</v>
      </c>
      <c r="O1813" t="s">
        <v>462</v>
      </c>
    </row>
    <row r="1814" spans="1:15" x14ac:dyDescent="0.3">
      <c r="A1814">
        <v>231069</v>
      </c>
      <c r="B1814">
        <v>105</v>
      </c>
      <c r="C1814" t="s">
        <v>557</v>
      </c>
      <c r="D1814" t="s">
        <v>2597</v>
      </c>
      <c r="E1814" t="s">
        <v>3027</v>
      </c>
      <c r="F1814" s="451">
        <v>46142</v>
      </c>
      <c r="G1814">
        <v>22843</v>
      </c>
      <c r="H1814" t="s">
        <v>4849</v>
      </c>
      <c r="I1814" t="s">
        <v>5191</v>
      </c>
      <c r="J1814">
        <v>5.8</v>
      </c>
      <c r="K1814" t="s">
        <v>4744</v>
      </c>
      <c r="L1814">
        <v>219.82</v>
      </c>
      <c r="M1814">
        <v>37.9</v>
      </c>
      <c r="N1814" t="s">
        <v>5272</v>
      </c>
      <c r="O1814" t="s">
        <v>462</v>
      </c>
    </row>
    <row r="1815" spans="1:15" x14ac:dyDescent="0.3">
      <c r="A1815">
        <v>231069</v>
      </c>
      <c r="B1815">
        <v>105</v>
      </c>
      <c r="C1815" t="s">
        <v>557</v>
      </c>
      <c r="D1815" t="s">
        <v>2597</v>
      </c>
      <c r="E1815" t="s">
        <v>3027</v>
      </c>
      <c r="F1815" s="451">
        <v>46142</v>
      </c>
      <c r="G1815">
        <v>19041</v>
      </c>
      <c r="H1815" t="s">
        <v>4762</v>
      </c>
      <c r="I1815" t="s">
        <v>5191</v>
      </c>
      <c r="J1815">
        <v>40</v>
      </c>
      <c r="K1815" t="s">
        <v>4744</v>
      </c>
      <c r="L1815">
        <v>596</v>
      </c>
      <c r="M1815">
        <v>14.9</v>
      </c>
      <c r="N1815" t="s">
        <v>5272</v>
      </c>
      <c r="O1815" t="s">
        <v>462</v>
      </c>
    </row>
    <row r="1816" spans="1:15" x14ac:dyDescent="0.3">
      <c r="A1816">
        <v>231069</v>
      </c>
      <c r="B1816">
        <v>105</v>
      </c>
      <c r="C1816" t="s">
        <v>557</v>
      </c>
      <c r="D1816" t="s">
        <v>2597</v>
      </c>
      <c r="E1816" t="s">
        <v>3027</v>
      </c>
      <c r="F1816" s="451">
        <v>46142</v>
      </c>
      <c r="G1816">
        <v>24116</v>
      </c>
      <c r="H1816" t="s">
        <v>4777</v>
      </c>
      <c r="I1816" t="s">
        <v>5191</v>
      </c>
      <c r="J1816">
        <v>5</v>
      </c>
      <c r="K1816" t="s">
        <v>4744</v>
      </c>
      <c r="L1816">
        <v>209.5</v>
      </c>
      <c r="M1816">
        <v>41.9</v>
      </c>
      <c r="N1816" t="s">
        <v>5272</v>
      </c>
      <c r="O1816" t="s">
        <v>462</v>
      </c>
    </row>
    <row r="1817" spans="1:15" x14ac:dyDescent="0.3">
      <c r="A1817">
        <v>231069</v>
      </c>
      <c r="B1817">
        <v>105</v>
      </c>
      <c r="C1817" t="s">
        <v>557</v>
      </c>
      <c r="D1817" t="s">
        <v>2597</v>
      </c>
      <c r="E1817" t="s">
        <v>3027</v>
      </c>
      <c r="F1817" s="451">
        <v>46142</v>
      </c>
      <c r="G1817">
        <v>24278</v>
      </c>
      <c r="H1817" t="s">
        <v>4901</v>
      </c>
      <c r="I1817" t="s">
        <v>5191</v>
      </c>
      <c r="J1817">
        <v>3.6</v>
      </c>
      <c r="K1817" t="s">
        <v>4744</v>
      </c>
      <c r="L1817">
        <v>32.36</v>
      </c>
      <c r="M1817">
        <v>8.9888890000000004</v>
      </c>
      <c r="N1817" t="s">
        <v>5272</v>
      </c>
      <c r="O1817" t="s">
        <v>462</v>
      </c>
    </row>
    <row r="1818" spans="1:15" x14ac:dyDescent="0.3">
      <c r="A1818">
        <v>231069</v>
      </c>
      <c r="B1818">
        <v>105</v>
      </c>
      <c r="C1818" t="s">
        <v>557</v>
      </c>
      <c r="D1818" t="s">
        <v>2597</v>
      </c>
      <c r="E1818" t="s">
        <v>3027</v>
      </c>
      <c r="F1818" s="451">
        <v>46142</v>
      </c>
      <c r="G1818">
        <v>24259</v>
      </c>
      <c r="H1818" t="s">
        <v>4875</v>
      </c>
      <c r="I1818" t="s">
        <v>5191</v>
      </c>
      <c r="J1818">
        <v>10.3</v>
      </c>
      <c r="K1818" t="s">
        <v>4744</v>
      </c>
      <c r="L1818">
        <v>822.97</v>
      </c>
      <c r="M1818">
        <v>79.900000000000006</v>
      </c>
      <c r="N1818" t="s">
        <v>5272</v>
      </c>
      <c r="O1818" t="s">
        <v>462</v>
      </c>
    </row>
    <row r="1819" spans="1:15" x14ac:dyDescent="0.3">
      <c r="A1819">
        <v>231069</v>
      </c>
      <c r="B1819">
        <v>105</v>
      </c>
      <c r="C1819" t="s">
        <v>557</v>
      </c>
      <c r="D1819" t="s">
        <v>2597</v>
      </c>
      <c r="E1819" t="s">
        <v>3027</v>
      </c>
      <c r="F1819" s="451">
        <v>46142</v>
      </c>
      <c r="G1819">
        <v>25205</v>
      </c>
      <c r="H1819" t="s">
        <v>4850</v>
      </c>
      <c r="I1819" t="s">
        <v>5191</v>
      </c>
      <c r="J1819">
        <v>5.6</v>
      </c>
      <c r="K1819" t="s">
        <v>4744</v>
      </c>
      <c r="L1819">
        <v>100.24</v>
      </c>
      <c r="M1819">
        <v>17.899999999999999</v>
      </c>
      <c r="N1819" t="s">
        <v>5272</v>
      </c>
      <c r="O1819" t="s">
        <v>462</v>
      </c>
    </row>
    <row r="1820" spans="1:15" x14ac:dyDescent="0.3">
      <c r="A1820">
        <v>231069</v>
      </c>
      <c r="B1820">
        <v>105</v>
      </c>
      <c r="C1820" t="s">
        <v>557</v>
      </c>
      <c r="D1820" t="s">
        <v>2597</v>
      </c>
      <c r="E1820" t="s">
        <v>3027</v>
      </c>
      <c r="F1820" s="451">
        <v>46142</v>
      </c>
      <c r="G1820">
        <v>24320</v>
      </c>
      <c r="H1820" t="s">
        <v>4861</v>
      </c>
      <c r="I1820" t="s">
        <v>5191</v>
      </c>
      <c r="J1820">
        <v>6.3</v>
      </c>
      <c r="K1820" t="s">
        <v>4744</v>
      </c>
      <c r="L1820">
        <v>225.54</v>
      </c>
      <c r="M1820">
        <v>35.799999999999997</v>
      </c>
      <c r="N1820" t="s">
        <v>5272</v>
      </c>
      <c r="O1820" t="s">
        <v>462</v>
      </c>
    </row>
    <row r="1821" spans="1:15" x14ac:dyDescent="0.3">
      <c r="A1821">
        <v>231069</v>
      </c>
      <c r="B1821">
        <v>105</v>
      </c>
      <c r="C1821" t="s">
        <v>557</v>
      </c>
      <c r="D1821" t="s">
        <v>2597</v>
      </c>
      <c r="E1821" t="s">
        <v>3027</v>
      </c>
      <c r="F1821" s="451">
        <v>46142</v>
      </c>
      <c r="G1821">
        <v>24096</v>
      </c>
      <c r="H1821" t="s">
        <v>4771</v>
      </c>
      <c r="I1821" t="s">
        <v>5191</v>
      </c>
      <c r="J1821">
        <v>41.2</v>
      </c>
      <c r="K1821" t="s">
        <v>4744</v>
      </c>
      <c r="L1821">
        <v>1767.48</v>
      </c>
      <c r="M1821">
        <v>42.9</v>
      </c>
      <c r="N1821" t="s">
        <v>5272</v>
      </c>
      <c r="O1821" t="s">
        <v>462</v>
      </c>
    </row>
    <row r="1822" spans="1:15" x14ac:dyDescent="0.3">
      <c r="A1822">
        <v>231068</v>
      </c>
      <c r="B1822">
        <v>105</v>
      </c>
      <c r="C1822" t="s">
        <v>557</v>
      </c>
      <c r="D1822" t="s">
        <v>2550</v>
      </c>
      <c r="E1822" t="s">
        <v>3028</v>
      </c>
      <c r="F1822" s="451">
        <v>46142</v>
      </c>
      <c r="G1822">
        <v>26040</v>
      </c>
      <c r="H1822" t="s">
        <v>4812</v>
      </c>
      <c r="I1822" t="s">
        <v>5222</v>
      </c>
      <c r="J1822">
        <v>4</v>
      </c>
      <c r="K1822" t="s">
        <v>4805</v>
      </c>
      <c r="L1822">
        <v>189.8</v>
      </c>
      <c r="M1822">
        <v>47.45</v>
      </c>
      <c r="N1822" t="s">
        <v>5271</v>
      </c>
      <c r="O1822" t="s">
        <v>462</v>
      </c>
    </row>
    <row r="1823" spans="1:15" x14ac:dyDescent="0.3">
      <c r="A1823">
        <v>231068</v>
      </c>
      <c r="B1823">
        <v>105</v>
      </c>
      <c r="C1823" t="s">
        <v>557</v>
      </c>
      <c r="D1823" t="s">
        <v>2550</v>
      </c>
      <c r="E1823" t="s">
        <v>3028</v>
      </c>
      <c r="F1823" s="451">
        <v>46142</v>
      </c>
      <c r="G1823">
        <v>26034</v>
      </c>
      <c r="H1823" t="s">
        <v>4828</v>
      </c>
      <c r="I1823" t="s">
        <v>5222</v>
      </c>
      <c r="J1823">
        <v>10</v>
      </c>
      <c r="K1823" t="s">
        <v>4805</v>
      </c>
      <c r="L1823">
        <v>474.5</v>
      </c>
      <c r="M1823">
        <v>47.45</v>
      </c>
      <c r="N1823" t="s">
        <v>5271</v>
      </c>
      <c r="O1823" t="s">
        <v>462</v>
      </c>
    </row>
    <row r="1824" spans="1:15" x14ac:dyDescent="0.3">
      <c r="A1824">
        <v>230700</v>
      </c>
      <c r="B1824">
        <v>105</v>
      </c>
      <c r="C1824" t="s">
        <v>557</v>
      </c>
      <c r="D1824" t="s">
        <v>2615</v>
      </c>
      <c r="E1824" t="s">
        <v>3029</v>
      </c>
      <c r="F1824" s="451">
        <v>46146</v>
      </c>
      <c r="G1824">
        <v>20623</v>
      </c>
      <c r="H1824" t="s">
        <v>4814</v>
      </c>
      <c r="I1824" t="s">
        <v>5191</v>
      </c>
      <c r="J1824">
        <v>10</v>
      </c>
      <c r="K1824" t="s">
        <v>4736</v>
      </c>
      <c r="L1824">
        <v>123.9</v>
      </c>
      <c r="M1824">
        <v>12.39</v>
      </c>
      <c r="N1824" t="s">
        <v>5272</v>
      </c>
      <c r="O1824" t="s">
        <v>463</v>
      </c>
    </row>
    <row r="1825" spans="1:15" x14ac:dyDescent="0.3">
      <c r="A1825">
        <v>230698</v>
      </c>
      <c r="B1825">
        <v>105</v>
      </c>
      <c r="C1825" t="s">
        <v>557</v>
      </c>
      <c r="D1825" t="s">
        <v>2705</v>
      </c>
      <c r="E1825" t="s">
        <v>3030</v>
      </c>
      <c r="F1825" s="451">
        <v>46147</v>
      </c>
      <c r="G1825">
        <v>24658</v>
      </c>
      <c r="H1825" t="s">
        <v>5274</v>
      </c>
      <c r="I1825" t="s">
        <v>5232</v>
      </c>
      <c r="J1825">
        <v>20</v>
      </c>
      <c r="K1825" t="s">
        <v>4738</v>
      </c>
      <c r="L1825">
        <v>692</v>
      </c>
      <c r="M1825">
        <v>34.6</v>
      </c>
      <c r="N1825" t="s">
        <v>5287</v>
      </c>
      <c r="O1825" t="s">
        <v>463</v>
      </c>
    </row>
    <row r="1826" spans="1:15" x14ac:dyDescent="0.3">
      <c r="A1826">
        <v>230697</v>
      </c>
      <c r="B1826">
        <v>105</v>
      </c>
      <c r="C1826" t="s">
        <v>557</v>
      </c>
      <c r="D1826" t="s">
        <v>2581</v>
      </c>
      <c r="E1826" t="s">
        <v>3031</v>
      </c>
      <c r="F1826" s="451">
        <v>46146</v>
      </c>
      <c r="G1826">
        <v>19505</v>
      </c>
      <c r="H1826" t="s">
        <v>4872</v>
      </c>
      <c r="I1826" t="s">
        <v>5191</v>
      </c>
      <c r="J1826">
        <v>4.5</v>
      </c>
      <c r="K1826" t="s">
        <v>4744</v>
      </c>
      <c r="L1826">
        <v>47.25</v>
      </c>
      <c r="M1826">
        <v>10.5</v>
      </c>
      <c r="N1826" t="s">
        <v>5272</v>
      </c>
      <c r="O1826" t="s">
        <v>463</v>
      </c>
    </row>
    <row r="1827" spans="1:15" x14ac:dyDescent="0.3">
      <c r="A1827">
        <v>230697</v>
      </c>
      <c r="B1827">
        <v>105</v>
      </c>
      <c r="C1827" t="s">
        <v>557</v>
      </c>
      <c r="D1827" t="s">
        <v>2581</v>
      </c>
      <c r="E1827" t="s">
        <v>3031</v>
      </c>
      <c r="F1827" s="451">
        <v>46146</v>
      </c>
      <c r="G1827">
        <v>19635</v>
      </c>
      <c r="H1827" t="s">
        <v>4786</v>
      </c>
      <c r="I1827" t="s">
        <v>5191</v>
      </c>
      <c r="J1827">
        <v>5</v>
      </c>
      <c r="K1827" t="s">
        <v>4744</v>
      </c>
      <c r="L1827">
        <v>20</v>
      </c>
      <c r="M1827">
        <v>4</v>
      </c>
      <c r="N1827" t="s">
        <v>5272</v>
      </c>
      <c r="O1827" t="s">
        <v>463</v>
      </c>
    </row>
    <row r="1828" spans="1:15" x14ac:dyDescent="0.3">
      <c r="A1828">
        <v>230697</v>
      </c>
      <c r="B1828">
        <v>105</v>
      </c>
      <c r="C1828" t="s">
        <v>557</v>
      </c>
      <c r="D1828" t="s">
        <v>2581</v>
      </c>
      <c r="E1828" t="s">
        <v>3031</v>
      </c>
      <c r="F1828" s="451">
        <v>46146</v>
      </c>
      <c r="G1828">
        <v>24099</v>
      </c>
      <c r="H1828" t="s">
        <v>4933</v>
      </c>
      <c r="I1828" t="s">
        <v>5191</v>
      </c>
      <c r="J1828">
        <v>2</v>
      </c>
      <c r="K1828" t="s">
        <v>4744</v>
      </c>
      <c r="L1828">
        <v>27</v>
      </c>
      <c r="M1828">
        <v>13.5</v>
      </c>
      <c r="N1828" t="s">
        <v>5272</v>
      </c>
      <c r="O1828" t="s">
        <v>463</v>
      </c>
    </row>
    <row r="1829" spans="1:15" x14ac:dyDescent="0.3">
      <c r="A1829">
        <v>230697</v>
      </c>
      <c r="B1829">
        <v>105</v>
      </c>
      <c r="C1829" t="s">
        <v>557</v>
      </c>
      <c r="D1829" t="s">
        <v>2581</v>
      </c>
      <c r="E1829" t="s">
        <v>3031</v>
      </c>
      <c r="F1829" s="451">
        <v>46146</v>
      </c>
      <c r="G1829">
        <v>19634</v>
      </c>
      <c r="H1829" t="s">
        <v>4792</v>
      </c>
      <c r="I1829" t="s">
        <v>5191</v>
      </c>
      <c r="J1829">
        <v>3</v>
      </c>
      <c r="K1829" t="s">
        <v>4744</v>
      </c>
      <c r="L1829">
        <v>22.5</v>
      </c>
      <c r="M1829">
        <v>7.5</v>
      </c>
      <c r="N1829" t="s">
        <v>5272</v>
      </c>
      <c r="O1829" t="s">
        <v>463</v>
      </c>
    </row>
    <row r="1830" spans="1:15" x14ac:dyDescent="0.3">
      <c r="A1830">
        <v>230697</v>
      </c>
      <c r="B1830">
        <v>105</v>
      </c>
      <c r="C1830" t="s">
        <v>557</v>
      </c>
      <c r="D1830" t="s">
        <v>2581</v>
      </c>
      <c r="E1830" t="s">
        <v>3031</v>
      </c>
      <c r="F1830" s="451">
        <v>46146</v>
      </c>
      <c r="G1830">
        <v>19617</v>
      </c>
      <c r="H1830" t="s">
        <v>5071</v>
      </c>
      <c r="I1830" t="s">
        <v>5191</v>
      </c>
      <c r="J1830">
        <v>0.5</v>
      </c>
      <c r="K1830" t="s">
        <v>4744</v>
      </c>
      <c r="L1830">
        <v>12.5</v>
      </c>
      <c r="M1830">
        <v>25</v>
      </c>
      <c r="N1830" t="s">
        <v>5272</v>
      </c>
      <c r="O1830" t="s">
        <v>463</v>
      </c>
    </row>
    <row r="1831" spans="1:15" x14ac:dyDescent="0.3">
      <c r="A1831">
        <v>230697</v>
      </c>
      <c r="B1831">
        <v>105</v>
      </c>
      <c r="C1831" t="s">
        <v>557</v>
      </c>
      <c r="D1831" t="s">
        <v>2581</v>
      </c>
      <c r="E1831" t="s">
        <v>3031</v>
      </c>
      <c r="F1831" s="451">
        <v>46146</v>
      </c>
      <c r="G1831">
        <v>23195</v>
      </c>
      <c r="H1831" t="s">
        <v>5051</v>
      </c>
      <c r="I1831" t="s">
        <v>5191</v>
      </c>
      <c r="J1831">
        <v>0.2</v>
      </c>
      <c r="K1831" t="s">
        <v>4744</v>
      </c>
      <c r="L1831">
        <v>2.4</v>
      </c>
      <c r="M1831">
        <v>12</v>
      </c>
      <c r="N1831" t="s">
        <v>5272</v>
      </c>
      <c r="O1831" t="s">
        <v>463</v>
      </c>
    </row>
    <row r="1832" spans="1:15" x14ac:dyDescent="0.3">
      <c r="A1832">
        <v>230697</v>
      </c>
      <c r="B1832">
        <v>105</v>
      </c>
      <c r="C1832" t="s">
        <v>557</v>
      </c>
      <c r="D1832" t="s">
        <v>2581</v>
      </c>
      <c r="E1832" t="s">
        <v>3031</v>
      </c>
      <c r="F1832" s="451">
        <v>46146</v>
      </c>
      <c r="G1832">
        <v>23359</v>
      </c>
      <c r="H1832" t="s">
        <v>4767</v>
      </c>
      <c r="I1832" t="s">
        <v>5191</v>
      </c>
      <c r="J1832">
        <v>10</v>
      </c>
      <c r="K1832" t="s">
        <v>4744</v>
      </c>
      <c r="L1832">
        <v>22.5</v>
      </c>
      <c r="M1832">
        <v>2.25</v>
      </c>
      <c r="N1832" t="s">
        <v>5272</v>
      </c>
      <c r="O1832" t="s">
        <v>463</v>
      </c>
    </row>
    <row r="1833" spans="1:15" x14ac:dyDescent="0.3">
      <c r="A1833">
        <v>230697</v>
      </c>
      <c r="B1833">
        <v>105</v>
      </c>
      <c r="C1833" t="s">
        <v>557</v>
      </c>
      <c r="D1833" t="s">
        <v>2581</v>
      </c>
      <c r="E1833" t="s">
        <v>3031</v>
      </c>
      <c r="F1833" s="451">
        <v>46146</v>
      </c>
      <c r="G1833">
        <v>19488</v>
      </c>
      <c r="H1833" t="s">
        <v>5107</v>
      </c>
      <c r="I1833" t="s">
        <v>5191</v>
      </c>
      <c r="J1833">
        <v>0.3</v>
      </c>
      <c r="K1833" t="s">
        <v>4744</v>
      </c>
      <c r="L1833">
        <v>4.2</v>
      </c>
      <c r="M1833">
        <v>14</v>
      </c>
      <c r="N1833" t="s">
        <v>5272</v>
      </c>
      <c r="O1833" t="s">
        <v>463</v>
      </c>
    </row>
    <row r="1834" spans="1:15" x14ac:dyDescent="0.3">
      <c r="A1834">
        <v>230697</v>
      </c>
      <c r="B1834">
        <v>105</v>
      </c>
      <c r="C1834" t="s">
        <v>557</v>
      </c>
      <c r="D1834" t="s">
        <v>2581</v>
      </c>
      <c r="E1834" t="s">
        <v>3031</v>
      </c>
      <c r="F1834" s="451">
        <v>46146</v>
      </c>
      <c r="G1834">
        <v>19472</v>
      </c>
      <c r="H1834" t="s">
        <v>4906</v>
      </c>
      <c r="I1834" t="s">
        <v>5191</v>
      </c>
      <c r="J1834">
        <v>2</v>
      </c>
      <c r="K1834" t="s">
        <v>4744</v>
      </c>
      <c r="L1834">
        <v>36</v>
      </c>
      <c r="M1834">
        <v>18</v>
      </c>
      <c r="N1834" t="s">
        <v>5272</v>
      </c>
      <c r="O1834" t="s">
        <v>463</v>
      </c>
    </row>
    <row r="1835" spans="1:15" x14ac:dyDescent="0.3">
      <c r="A1835">
        <v>230697</v>
      </c>
      <c r="B1835">
        <v>105</v>
      </c>
      <c r="C1835" t="s">
        <v>557</v>
      </c>
      <c r="D1835" t="s">
        <v>2581</v>
      </c>
      <c r="E1835" t="s">
        <v>3031</v>
      </c>
      <c r="F1835" s="451">
        <v>46146</v>
      </c>
      <c r="G1835">
        <v>19507</v>
      </c>
      <c r="H1835" t="s">
        <v>4853</v>
      </c>
      <c r="I1835" t="s">
        <v>5191</v>
      </c>
      <c r="J1835">
        <v>1</v>
      </c>
      <c r="K1835" t="s">
        <v>4744</v>
      </c>
      <c r="L1835">
        <v>16</v>
      </c>
      <c r="M1835">
        <v>16</v>
      </c>
      <c r="N1835" t="s">
        <v>5272</v>
      </c>
      <c r="O1835" t="s">
        <v>463</v>
      </c>
    </row>
    <row r="1836" spans="1:15" x14ac:dyDescent="0.3">
      <c r="A1836">
        <v>230697</v>
      </c>
      <c r="B1836">
        <v>105</v>
      </c>
      <c r="C1836" t="s">
        <v>557</v>
      </c>
      <c r="D1836" t="s">
        <v>2581</v>
      </c>
      <c r="E1836" t="s">
        <v>3031</v>
      </c>
      <c r="F1836" s="451">
        <v>46146</v>
      </c>
      <c r="G1836">
        <v>24489</v>
      </c>
      <c r="H1836" t="s">
        <v>5121</v>
      </c>
      <c r="I1836" t="s">
        <v>5191</v>
      </c>
      <c r="J1836">
        <v>1</v>
      </c>
      <c r="K1836" t="s">
        <v>4744</v>
      </c>
      <c r="L1836">
        <v>30</v>
      </c>
      <c r="M1836">
        <v>30</v>
      </c>
      <c r="N1836" t="s">
        <v>5272</v>
      </c>
      <c r="O1836" t="s">
        <v>463</v>
      </c>
    </row>
    <row r="1837" spans="1:15" x14ac:dyDescent="0.3">
      <c r="A1837">
        <v>230697</v>
      </c>
      <c r="B1837">
        <v>105</v>
      </c>
      <c r="C1837" t="s">
        <v>557</v>
      </c>
      <c r="D1837" t="s">
        <v>2581</v>
      </c>
      <c r="E1837" t="s">
        <v>3031</v>
      </c>
      <c r="F1837" s="451">
        <v>46146</v>
      </c>
      <c r="G1837">
        <v>19622</v>
      </c>
      <c r="H1837" t="s">
        <v>4915</v>
      </c>
      <c r="I1837" t="s">
        <v>5191</v>
      </c>
      <c r="J1837">
        <v>0.8</v>
      </c>
      <c r="K1837" t="s">
        <v>4744</v>
      </c>
      <c r="L1837">
        <v>4.4000000000000004</v>
      </c>
      <c r="M1837">
        <v>5.5</v>
      </c>
      <c r="N1837" t="s">
        <v>5272</v>
      </c>
      <c r="O1837" t="s">
        <v>463</v>
      </c>
    </row>
    <row r="1838" spans="1:15" x14ac:dyDescent="0.3">
      <c r="A1838">
        <v>230697</v>
      </c>
      <c r="B1838">
        <v>105</v>
      </c>
      <c r="C1838" t="s">
        <v>557</v>
      </c>
      <c r="D1838" t="s">
        <v>2581</v>
      </c>
      <c r="E1838" t="s">
        <v>3031</v>
      </c>
      <c r="F1838" s="451">
        <v>46146</v>
      </c>
      <c r="G1838">
        <v>19737</v>
      </c>
      <c r="H1838" t="s">
        <v>4940</v>
      </c>
      <c r="I1838" t="s">
        <v>5191</v>
      </c>
      <c r="J1838">
        <v>1.5</v>
      </c>
      <c r="K1838" t="s">
        <v>4744</v>
      </c>
      <c r="L1838">
        <v>10.95</v>
      </c>
      <c r="M1838">
        <v>7.3</v>
      </c>
      <c r="N1838" t="s">
        <v>5272</v>
      </c>
      <c r="O1838" t="s">
        <v>463</v>
      </c>
    </row>
    <row r="1839" spans="1:15" x14ac:dyDescent="0.3">
      <c r="A1839">
        <v>230697</v>
      </c>
      <c r="B1839">
        <v>105</v>
      </c>
      <c r="C1839" t="s">
        <v>557</v>
      </c>
      <c r="D1839" t="s">
        <v>2581</v>
      </c>
      <c r="E1839" t="s">
        <v>3031</v>
      </c>
      <c r="F1839" s="451">
        <v>46146</v>
      </c>
      <c r="G1839">
        <v>19558</v>
      </c>
      <c r="H1839" t="s">
        <v>4994</v>
      </c>
      <c r="I1839" t="s">
        <v>5191</v>
      </c>
      <c r="J1839">
        <v>1</v>
      </c>
      <c r="K1839" t="s">
        <v>4744</v>
      </c>
      <c r="L1839">
        <v>16</v>
      </c>
      <c r="M1839">
        <v>16</v>
      </c>
      <c r="N1839" t="s">
        <v>5272</v>
      </c>
      <c r="O1839" t="s">
        <v>463</v>
      </c>
    </row>
    <row r="1840" spans="1:15" x14ac:dyDescent="0.3">
      <c r="A1840">
        <v>230696</v>
      </c>
      <c r="B1840">
        <v>105</v>
      </c>
      <c r="C1840" t="s">
        <v>557</v>
      </c>
      <c r="D1840" t="s">
        <v>2605</v>
      </c>
      <c r="E1840" t="s">
        <v>3032</v>
      </c>
      <c r="F1840" s="451">
        <v>46146</v>
      </c>
      <c r="G1840">
        <v>22721</v>
      </c>
      <c r="H1840" t="s">
        <v>4803</v>
      </c>
      <c r="I1840" t="s">
        <v>5191</v>
      </c>
      <c r="J1840">
        <v>11.72</v>
      </c>
      <c r="K1840" t="s">
        <v>4744</v>
      </c>
      <c r="L1840">
        <v>345.74</v>
      </c>
      <c r="M1840">
        <v>29.5</v>
      </c>
      <c r="N1840" t="s">
        <v>5272</v>
      </c>
      <c r="O1840" t="s">
        <v>463</v>
      </c>
    </row>
    <row r="1841" spans="1:15" x14ac:dyDescent="0.3">
      <c r="A1841">
        <v>230695</v>
      </c>
      <c r="B1841">
        <v>105</v>
      </c>
      <c r="C1841" t="s">
        <v>557</v>
      </c>
      <c r="D1841" t="s">
        <v>2579</v>
      </c>
      <c r="E1841" t="s">
        <v>3033</v>
      </c>
      <c r="F1841" s="451">
        <v>46146</v>
      </c>
      <c r="G1841">
        <v>19490</v>
      </c>
      <c r="H1841" t="s">
        <v>5116</v>
      </c>
      <c r="I1841" t="s">
        <v>5191</v>
      </c>
      <c r="J1841">
        <v>0.25</v>
      </c>
      <c r="K1841" t="s">
        <v>4744</v>
      </c>
      <c r="L1841">
        <v>15.6</v>
      </c>
      <c r="M1841">
        <v>62.4</v>
      </c>
      <c r="N1841" t="s">
        <v>5272</v>
      </c>
      <c r="O1841" t="s">
        <v>463</v>
      </c>
    </row>
    <row r="1842" spans="1:15" x14ac:dyDescent="0.3">
      <c r="A1842">
        <v>230695</v>
      </c>
      <c r="B1842">
        <v>105</v>
      </c>
      <c r="C1842" t="s">
        <v>557</v>
      </c>
      <c r="D1842" t="s">
        <v>2579</v>
      </c>
      <c r="E1842" t="s">
        <v>3033</v>
      </c>
      <c r="F1842" s="451">
        <v>46146</v>
      </c>
      <c r="G1842">
        <v>19654</v>
      </c>
      <c r="H1842" t="s">
        <v>5099</v>
      </c>
      <c r="I1842" t="s">
        <v>5191</v>
      </c>
      <c r="J1842">
        <v>4</v>
      </c>
      <c r="K1842" t="s">
        <v>4744</v>
      </c>
      <c r="L1842">
        <v>13</v>
      </c>
      <c r="M1842">
        <v>3.25</v>
      </c>
      <c r="N1842" t="s">
        <v>5272</v>
      </c>
      <c r="O1842" t="s">
        <v>463</v>
      </c>
    </row>
    <row r="1843" spans="1:15" x14ac:dyDescent="0.3">
      <c r="A1843">
        <v>230695</v>
      </c>
      <c r="B1843">
        <v>105</v>
      </c>
      <c r="C1843" t="s">
        <v>557</v>
      </c>
      <c r="D1843" t="s">
        <v>2579</v>
      </c>
      <c r="E1843" t="s">
        <v>3033</v>
      </c>
      <c r="F1843" s="451">
        <v>46146</v>
      </c>
      <c r="G1843">
        <v>23389</v>
      </c>
      <c r="H1843" t="s">
        <v>4960</v>
      </c>
      <c r="I1843" t="s">
        <v>5191</v>
      </c>
      <c r="J1843">
        <v>5.3</v>
      </c>
      <c r="K1843" t="s">
        <v>4744</v>
      </c>
      <c r="L1843">
        <v>27.56</v>
      </c>
      <c r="M1843">
        <v>5.2</v>
      </c>
      <c r="N1843" t="s">
        <v>5272</v>
      </c>
      <c r="O1843" t="s">
        <v>463</v>
      </c>
    </row>
    <row r="1844" spans="1:15" x14ac:dyDescent="0.3">
      <c r="A1844">
        <v>230695</v>
      </c>
      <c r="B1844">
        <v>105</v>
      </c>
      <c r="C1844" t="s">
        <v>557</v>
      </c>
      <c r="D1844" t="s">
        <v>2579</v>
      </c>
      <c r="E1844" t="s">
        <v>3033</v>
      </c>
      <c r="F1844" s="451">
        <v>46146</v>
      </c>
      <c r="G1844">
        <v>23096</v>
      </c>
      <c r="H1844" t="s">
        <v>5164</v>
      </c>
      <c r="I1844" t="s">
        <v>5191</v>
      </c>
      <c r="J1844">
        <v>60</v>
      </c>
      <c r="K1844" t="s">
        <v>4736</v>
      </c>
      <c r="L1844">
        <v>39</v>
      </c>
      <c r="M1844">
        <v>0.65</v>
      </c>
      <c r="N1844" t="s">
        <v>5272</v>
      </c>
      <c r="O1844" t="s">
        <v>463</v>
      </c>
    </row>
    <row r="1845" spans="1:15" x14ac:dyDescent="0.3">
      <c r="A1845">
        <v>230695</v>
      </c>
      <c r="B1845">
        <v>105</v>
      </c>
      <c r="C1845" t="s">
        <v>557</v>
      </c>
      <c r="D1845" t="s">
        <v>2579</v>
      </c>
      <c r="E1845" t="s">
        <v>3033</v>
      </c>
      <c r="F1845" s="451">
        <v>46146</v>
      </c>
      <c r="G1845">
        <v>19742</v>
      </c>
      <c r="H1845" t="s">
        <v>4900</v>
      </c>
      <c r="I1845" t="s">
        <v>5191</v>
      </c>
      <c r="J1845">
        <v>3</v>
      </c>
      <c r="K1845" t="s">
        <v>4744</v>
      </c>
      <c r="L1845">
        <v>31.2</v>
      </c>
      <c r="M1845">
        <v>10.4</v>
      </c>
      <c r="N1845" t="s">
        <v>5272</v>
      </c>
      <c r="O1845" t="s">
        <v>463</v>
      </c>
    </row>
    <row r="1846" spans="1:15" x14ac:dyDescent="0.3">
      <c r="A1846">
        <v>230695</v>
      </c>
      <c r="B1846">
        <v>105</v>
      </c>
      <c r="C1846" t="s">
        <v>557</v>
      </c>
      <c r="D1846" t="s">
        <v>2579</v>
      </c>
      <c r="E1846" t="s">
        <v>3033</v>
      </c>
      <c r="F1846" s="451">
        <v>46146</v>
      </c>
      <c r="G1846">
        <v>24598</v>
      </c>
      <c r="H1846" t="s">
        <v>4852</v>
      </c>
      <c r="I1846" t="s">
        <v>5191</v>
      </c>
      <c r="J1846">
        <v>1</v>
      </c>
      <c r="K1846" t="s">
        <v>4744</v>
      </c>
      <c r="L1846">
        <v>15.6</v>
      </c>
      <c r="M1846">
        <v>15.6</v>
      </c>
      <c r="N1846" t="s">
        <v>5272</v>
      </c>
      <c r="O1846" t="s">
        <v>463</v>
      </c>
    </row>
    <row r="1847" spans="1:15" x14ac:dyDescent="0.3">
      <c r="A1847">
        <v>230695</v>
      </c>
      <c r="B1847">
        <v>105</v>
      </c>
      <c r="C1847" t="s">
        <v>557</v>
      </c>
      <c r="D1847" t="s">
        <v>2579</v>
      </c>
      <c r="E1847" t="s">
        <v>3033</v>
      </c>
      <c r="F1847" s="451">
        <v>46146</v>
      </c>
      <c r="G1847">
        <v>19589</v>
      </c>
      <c r="H1847" t="s">
        <v>4983</v>
      </c>
      <c r="I1847" t="s">
        <v>5191</v>
      </c>
      <c r="J1847">
        <v>3</v>
      </c>
      <c r="K1847" t="s">
        <v>4744</v>
      </c>
      <c r="L1847">
        <v>19.5</v>
      </c>
      <c r="M1847">
        <v>6.5</v>
      </c>
      <c r="N1847" t="s">
        <v>5272</v>
      </c>
      <c r="O1847" t="s">
        <v>463</v>
      </c>
    </row>
    <row r="1848" spans="1:15" x14ac:dyDescent="0.3">
      <c r="A1848">
        <v>230695</v>
      </c>
      <c r="B1848">
        <v>105</v>
      </c>
      <c r="C1848" t="s">
        <v>557</v>
      </c>
      <c r="D1848" t="s">
        <v>2579</v>
      </c>
      <c r="E1848" t="s">
        <v>3033</v>
      </c>
      <c r="F1848" s="451">
        <v>46146</v>
      </c>
      <c r="G1848">
        <v>24522</v>
      </c>
      <c r="H1848" t="s">
        <v>5072</v>
      </c>
      <c r="I1848" t="s">
        <v>5191</v>
      </c>
      <c r="J1848">
        <v>1</v>
      </c>
      <c r="K1848" t="s">
        <v>4744</v>
      </c>
      <c r="L1848">
        <v>25</v>
      </c>
      <c r="M1848">
        <v>25</v>
      </c>
      <c r="N1848" t="s">
        <v>5272</v>
      </c>
      <c r="O1848" t="s">
        <v>463</v>
      </c>
    </row>
    <row r="1849" spans="1:15" x14ac:dyDescent="0.3">
      <c r="A1849">
        <v>230695</v>
      </c>
      <c r="B1849">
        <v>105</v>
      </c>
      <c r="C1849" t="s">
        <v>557</v>
      </c>
      <c r="D1849" t="s">
        <v>2579</v>
      </c>
      <c r="E1849" t="s">
        <v>3033</v>
      </c>
      <c r="F1849" s="451">
        <v>46146</v>
      </c>
      <c r="G1849">
        <v>23236</v>
      </c>
      <c r="H1849" t="s">
        <v>5062</v>
      </c>
      <c r="I1849" t="s">
        <v>5191</v>
      </c>
      <c r="J1849">
        <v>3.7</v>
      </c>
      <c r="K1849" t="s">
        <v>4744</v>
      </c>
      <c r="L1849">
        <v>34.74</v>
      </c>
      <c r="M1849">
        <v>9.389189</v>
      </c>
      <c r="N1849" t="s">
        <v>5272</v>
      </c>
      <c r="O1849" t="s">
        <v>463</v>
      </c>
    </row>
    <row r="1850" spans="1:15" x14ac:dyDescent="0.3">
      <c r="A1850">
        <v>230695</v>
      </c>
      <c r="B1850">
        <v>105</v>
      </c>
      <c r="C1850" t="s">
        <v>557</v>
      </c>
      <c r="D1850" t="s">
        <v>2579</v>
      </c>
      <c r="E1850" t="s">
        <v>3033</v>
      </c>
      <c r="F1850" s="451">
        <v>46146</v>
      </c>
      <c r="G1850">
        <v>23346</v>
      </c>
      <c r="H1850" t="s">
        <v>4916</v>
      </c>
      <c r="I1850" t="s">
        <v>5191</v>
      </c>
      <c r="J1850">
        <v>2</v>
      </c>
      <c r="K1850" t="s">
        <v>4744</v>
      </c>
      <c r="L1850">
        <v>16.899999999999999</v>
      </c>
      <c r="M1850">
        <v>8.4499999999999993</v>
      </c>
      <c r="N1850" t="s">
        <v>5272</v>
      </c>
      <c r="O1850" t="s">
        <v>463</v>
      </c>
    </row>
    <row r="1851" spans="1:15" x14ac:dyDescent="0.3">
      <c r="A1851">
        <v>230693</v>
      </c>
      <c r="B1851">
        <v>105</v>
      </c>
      <c r="C1851" t="s">
        <v>557</v>
      </c>
      <c r="D1851" t="s">
        <v>2600</v>
      </c>
      <c r="E1851" t="s">
        <v>3034</v>
      </c>
      <c r="F1851" s="451">
        <v>46147</v>
      </c>
      <c r="G1851">
        <v>24199</v>
      </c>
      <c r="H1851" t="s">
        <v>4783</v>
      </c>
      <c r="I1851" t="s">
        <v>5191</v>
      </c>
      <c r="J1851">
        <v>10.7</v>
      </c>
      <c r="K1851" t="s">
        <v>4744</v>
      </c>
      <c r="L1851">
        <v>213.89</v>
      </c>
      <c r="M1851">
        <v>19.989719999999998</v>
      </c>
      <c r="N1851" t="s">
        <v>5272</v>
      </c>
      <c r="O1851" t="s">
        <v>463</v>
      </c>
    </row>
    <row r="1852" spans="1:15" x14ac:dyDescent="0.3">
      <c r="A1852">
        <v>230691</v>
      </c>
      <c r="B1852">
        <v>105</v>
      </c>
      <c r="C1852" t="s">
        <v>557</v>
      </c>
      <c r="D1852" t="s">
        <v>2563</v>
      </c>
      <c r="E1852" t="s">
        <v>3035</v>
      </c>
      <c r="F1852" s="451">
        <v>46146</v>
      </c>
      <c r="G1852">
        <v>24509</v>
      </c>
      <c r="H1852" t="s">
        <v>4788</v>
      </c>
      <c r="I1852" t="s">
        <v>5191</v>
      </c>
      <c r="J1852">
        <v>10.3</v>
      </c>
      <c r="K1852" t="s">
        <v>4744</v>
      </c>
      <c r="L1852">
        <v>50.06</v>
      </c>
      <c r="M1852">
        <v>4.8601939999999999</v>
      </c>
      <c r="N1852" t="s">
        <v>5272</v>
      </c>
      <c r="O1852" t="s">
        <v>463</v>
      </c>
    </row>
    <row r="1853" spans="1:15" x14ac:dyDescent="0.3">
      <c r="A1853">
        <v>230691</v>
      </c>
      <c r="B1853">
        <v>105</v>
      </c>
      <c r="C1853" t="s">
        <v>557</v>
      </c>
      <c r="D1853" t="s">
        <v>2563</v>
      </c>
      <c r="E1853" t="s">
        <v>3035</v>
      </c>
      <c r="F1853" s="451">
        <v>46146</v>
      </c>
      <c r="G1853">
        <v>23184</v>
      </c>
      <c r="H1853" t="s">
        <v>4935</v>
      </c>
      <c r="I1853" t="s">
        <v>5191</v>
      </c>
      <c r="J1853">
        <v>1.5</v>
      </c>
      <c r="K1853" t="s">
        <v>4744</v>
      </c>
      <c r="L1853">
        <v>40.5</v>
      </c>
      <c r="M1853">
        <v>27</v>
      </c>
      <c r="N1853" t="s">
        <v>5272</v>
      </c>
      <c r="O1853" t="s">
        <v>463</v>
      </c>
    </row>
    <row r="1854" spans="1:15" x14ac:dyDescent="0.3">
      <c r="A1854">
        <v>230691</v>
      </c>
      <c r="B1854">
        <v>105</v>
      </c>
      <c r="C1854" t="s">
        <v>557</v>
      </c>
      <c r="D1854" t="s">
        <v>2563</v>
      </c>
      <c r="E1854" t="s">
        <v>3035</v>
      </c>
      <c r="F1854" s="451">
        <v>46146</v>
      </c>
      <c r="G1854">
        <v>19621</v>
      </c>
      <c r="H1854" t="s">
        <v>4829</v>
      </c>
      <c r="I1854" t="s">
        <v>5191</v>
      </c>
      <c r="J1854">
        <v>3.14</v>
      </c>
      <c r="K1854" t="s">
        <v>4744</v>
      </c>
      <c r="L1854">
        <v>25.03</v>
      </c>
      <c r="M1854">
        <v>7.9713380000000003</v>
      </c>
      <c r="N1854" t="s">
        <v>5272</v>
      </c>
      <c r="O1854" t="s">
        <v>463</v>
      </c>
    </row>
    <row r="1855" spans="1:15" x14ac:dyDescent="0.3">
      <c r="A1855">
        <v>230691</v>
      </c>
      <c r="B1855">
        <v>105</v>
      </c>
      <c r="C1855" t="s">
        <v>557</v>
      </c>
      <c r="D1855" t="s">
        <v>2563</v>
      </c>
      <c r="E1855" t="s">
        <v>3035</v>
      </c>
      <c r="F1855" s="451">
        <v>46146</v>
      </c>
      <c r="G1855">
        <v>19642</v>
      </c>
      <c r="H1855" t="s">
        <v>4996</v>
      </c>
      <c r="I1855" t="s">
        <v>5191</v>
      </c>
      <c r="J1855">
        <v>1.21</v>
      </c>
      <c r="K1855" t="s">
        <v>4744</v>
      </c>
      <c r="L1855">
        <v>6.75</v>
      </c>
      <c r="M1855">
        <v>5.5785119999999999</v>
      </c>
      <c r="N1855" t="s">
        <v>5272</v>
      </c>
      <c r="O1855" t="s">
        <v>463</v>
      </c>
    </row>
    <row r="1856" spans="1:15" x14ac:dyDescent="0.3">
      <c r="A1856">
        <v>230691</v>
      </c>
      <c r="B1856">
        <v>105</v>
      </c>
      <c r="C1856" t="s">
        <v>557</v>
      </c>
      <c r="D1856" t="s">
        <v>2563</v>
      </c>
      <c r="E1856" t="s">
        <v>3035</v>
      </c>
      <c r="F1856" s="451">
        <v>46146</v>
      </c>
      <c r="G1856">
        <v>19465</v>
      </c>
      <c r="H1856" t="s">
        <v>5114</v>
      </c>
      <c r="I1856" t="s">
        <v>5191</v>
      </c>
      <c r="J1856">
        <v>1.35</v>
      </c>
      <c r="K1856" t="s">
        <v>4744</v>
      </c>
      <c r="L1856">
        <v>7.83</v>
      </c>
      <c r="M1856">
        <v>5.8</v>
      </c>
      <c r="N1856" t="s">
        <v>5272</v>
      </c>
      <c r="O1856" t="s">
        <v>463</v>
      </c>
    </row>
    <row r="1857" spans="1:15" x14ac:dyDescent="0.3">
      <c r="A1857">
        <v>230691</v>
      </c>
      <c r="B1857">
        <v>105</v>
      </c>
      <c r="C1857" t="s">
        <v>557</v>
      </c>
      <c r="D1857" t="s">
        <v>2563</v>
      </c>
      <c r="E1857" t="s">
        <v>3035</v>
      </c>
      <c r="F1857" s="451">
        <v>46146</v>
      </c>
      <c r="G1857">
        <v>19632</v>
      </c>
      <c r="H1857" t="s">
        <v>4936</v>
      </c>
      <c r="I1857" t="s">
        <v>5191</v>
      </c>
      <c r="J1857">
        <v>2.14</v>
      </c>
      <c r="K1857" t="s">
        <v>4744</v>
      </c>
      <c r="L1857">
        <v>11.79</v>
      </c>
      <c r="M1857">
        <v>5.5093459999999999</v>
      </c>
      <c r="N1857" t="s">
        <v>5272</v>
      </c>
      <c r="O1857" t="s">
        <v>463</v>
      </c>
    </row>
    <row r="1858" spans="1:15" x14ac:dyDescent="0.3">
      <c r="A1858">
        <v>230691</v>
      </c>
      <c r="B1858">
        <v>105</v>
      </c>
      <c r="C1858" t="s">
        <v>557</v>
      </c>
      <c r="D1858" t="s">
        <v>2563</v>
      </c>
      <c r="E1858" t="s">
        <v>3035</v>
      </c>
      <c r="F1858" s="451">
        <v>46146</v>
      </c>
      <c r="G1858">
        <v>24083</v>
      </c>
      <c r="H1858" t="s">
        <v>5165</v>
      </c>
      <c r="I1858" t="s">
        <v>5191</v>
      </c>
      <c r="J1858">
        <v>20.16</v>
      </c>
      <c r="K1858" t="s">
        <v>4744</v>
      </c>
      <c r="L1858">
        <v>109.67</v>
      </c>
      <c r="M1858">
        <v>5.4399800000000003</v>
      </c>
      <c r="N1858" t="s">
        <v>5272</v>
      </c>
      <c r="O1858" t="s">
        <v>463</v>
      </c>
    </row>
    <row r="1859" spans="1:15" x14ac:dyDescent="0.3">
      <c r="A1859">
        <v>230691</v>
      </c>
      <c r="B1859">
        <v>105</v>
      </c>
      <c r="C1859" t="s">
        <v>557</v>
      </c>
      <c r="D1859" t="s">
        <v>2563</v>
      </c>
      <c r="E1859" t="s">
        <v>3035</v>
      </c>
      <c r="F1859" s="451">
        <v>46146</v>
      </c>
      <c r="G1859">
        <v>23113</v>
      </c>
      <c r="H1859" t="s">
        <v>5074</v>
      </c>
      <c r="I1859" t="s">
        <v>5191</v>
      </c>
      <c r="J1859">
        <v>1.1100000000000001</v>
      </c>
      <c r="K1859" t="s">
        <v>4744</v>
      </c>
      <c r="L1859">
        <v>16.100000000000001</v>
      </c>
      <c r="M1859">
        <v>14.504505</v>
      </c>
      <c r="N1859" t="s">
        <v>5272</v>
      </c>
      <c r="O1859" t="s">
        <v>463</v>
      </c>
    </row>
    <row r="1860" spans="1:15" x14ac:dyDescent="0.3">
      <c r="A1860">
        <v>230691</v>
      </c>
      <c r="B1860">
        <v>105</v>
      </c>
      <c r="C1860" t="s">
        <v>557</v>
      </c>
      <c r="D1860" t="s">
        <v>2563</v>
      </c>
      <c r="E1860" t="s">
        <v>3035</v>
      </c>
      <c r="F1860" s="451">
        <v>46146</v>
      </c>
      <c r="G1860">
        <v>19492</v>
      </c>
      <c r="H1860" t="s">
        <v>4937</v>
      </c>
      <c r="I1860" t="s">
        <v>5191</v>
      </c>
      <c r="J1860">
        <v>2.16</v>
      </c>
      <c r="K1860" t="s">
        <v>4744</v>
      </c>
      <c r="L1860">
        <v>40.24</v>
      </c>
      <c r="M1860">
        <v>18.629629999999999</v>
      </c>
      <c r="N1860" t="s">
        <v>5272</v>
      </c>
      <c r="O1860" t="s">
        <v>463</v>
      </c>
    </row>
    <row r="1861" spans="1:15" x14ac:dyDescent="0.3">
      <c r="A1861">
        <v>230691</v>
      </c>
      <c r="B1861">
        <v>105</v>
      </c>
      <c r="C1861" t="s">
        <v>557</v>
      </c>
      <c r="D1861" t="s">
        <v>2563</v>
      </c>
      <c r="E1861" t="s">
        <v>3035</v>
      </c>
      <c r="F1861" s="451">
        <v>46146</v>
      </c>
      <c r="G1861">
        <v>19728</v>
      </c>
      <c r="H1861" t="s">
        <v>5106</v>
      </c>
      <c r="I1861" t="s">
        <v>5191</v>
      </c>
      <c r="J1861">
        <v>2.04</v>
      </c>
      <c r="K1861" t="s">
        <v>4744</v>
      </c>
      <c r="L1861">
        <v>24.11</v>
      </c>
      <c r="M1861">
        <v>11.818626999999999</v>
      </c>
      <c r="N1861" t="s">
        <v>5272</v>
      </c>
      <c r="O1861" t="s">
        <v>463</v>
      </c>
    </row>
    <row r="1862" spans="1:15" x14ac:dyDescent="0.3">
      <c r="A1862">
        <v>230691</v>
      </c>
      <c r="B1862">
        <v>105</v>
      </c>
      <c r="C1862" t="s">
        <v>557</v>
      </c>
      <c r="D1862" t="s">
        <v>2563</v>
      </c>
      <c r="E1862" t="s">
        <v>3035</v>
      </c>
      <c r="F1862" s="451">
        <v>46146</v>
      </c>
      <c r="G1862">
        <v>19532</v>
      </c>
      <c r="H1862" t="s">
        <v>4753</v>
      </c>
      <c r="I1862" t="s">
        <v>5191</v>
      </c>
      <c r="J1862">
        <v>15.16</v>
      </c>
      <c r="K1862" t="s">
        <v>4744</v>
      </c>
      <c r="L1862">
        <v>125.33</v>
      </c>
      <c r="M1862">
        <v>8.2671500000000009</v>
      </c>
      <c r="N1862" t="s">
        <v>5272</v>
      </c>
      <c r="O1862" t="s">
        <v>463</v>
      </c>
    </row>
    <row r="1863" spans="1:15" x14ac:dyDescent="0.3">
      <c r="A1863">
        <v>230691</v>
      </c>
      <c r="B1863">
        <v>105</v>
      </c>
      <c r="C1863" t="s">
        <v>557</v>
      </c>
      <c r="D1863" t="s">
        <v>2563</v>
      </c>
      <c r="E1863" t="s">
        <v>3035</v>
      </c>
      <c r="F1863" s="451">
        <v>46146</v>
      </c>
      <c r="G1863">
        <v>19526</v>
      </c>
      <c r="H1863" t="s">
        <v>4997</v>
      </c>
      <c r="I1863" t="s">
        <v>5191</v>
      </c>
      <c r="J1863">
        <v>1.04</v>
      </c>
      <c r="K1863" t="s">
        <v>4744</v>
      </c>
      <c r="L1863">
        <v>63.34</v>
      </c>
      <c r="M1863">
        <v>60.903846000000001</v>
      </c>
      <c r="N1863" t="s">
        <v>5272</v>
      </c>
      <c r="O1863" t="s">
        <v>463</v>
      </c>
    </row>
    <row r="1864" spans="1:15" x14ac:dyDescent="0.3">
      <c r="A1864">
        <v>230691</v>
      </c>
      <c r="B1864">
        <v>105</v>
      </c>
      <c r="C1864" t="s">
        <v>557</v>
      </c>
      <c r="D1864" t="s">
        <v>2563</v>
      </c>
      <c r="E1864" t="s">
        <v>3035</v>
      </c>
      <c r="F1864" s="451">
        <v>46146</v>
      </c>
      <c r="G1864">
        <v>19551</v>
      </c>
      <c r="H1864" t="s">
        <v>4905</v>
      </c>
      <c r="I1864" t="s">
        <v>5191</v>
      </c>
      <c r="J1864">
        <v>2.04</v>
      </c>
      <c r="K1864" t="s">
        <v>4744</v>
      </c>
      <c r="L1864">
        <v>36.229999999999997</v>
      </c>
      <c r="M1864">
        <v>17.759803999999999</v>
      </c>
      <c r="N1864" t="s">
        <v>5272</v>
      </c>
      <c r="O1864" t="s">
        <v>463</v>
      </c>
    </row>
    <row r="1865" spans="1:15" x14ac:dyDescent="0.3">
      <c r="A1865">
        <v>230691</v>
      </c>
      <c r="B1865">
        <v>105</v>
      </c>
      <c r="C1865" t="s">
        <v>557</v>
      </c>
      <c r="D1865" t="s">
        <v>2563</v>
      </c>
      <c r="E1865" t="s">
        <v>3035</v>
      </c>
      <c r="F1865" s="451">
        <v>46146</v>
      </c>
      <c r="G1865">
        <v>23238</v>
      </c>
      <c r="H1865" t="s">
        <v>4934</v>
      </c>
      <c r="I1865" t="s">
        <v>5191</v>
      </c>
      <c r="J1865">
        <v>2</v>
      </c>
      <c r="K1865" t="s">
        <v>4744</v>
      </c>
      <c r="L1865">
        <v>39.14</v>
      </c>
      <c r="M1865">
        <v>19.57</v>
      </c>
      <c r="N1865" t="s">
        <v>5272</v>
      </c>
      <c r="O1865" t="s">
        <v>463</v>
      </c>
    </row>
    <row r="1866" spans="1:15" x14ac:dyDescent="0.3">
      <c r="A1866">
        <v>230691</v>
      </c>
      <c r="B1866">
        <v>105</v>
      </c>
      <c r="C1866" t="s">
        <v>557</v>
      </c>
      <c r="D1866" t="s">
        <v>2563</v>
      </c>
      <c r="E1866" t="s">
        <v>3035</v>
      </c>
      <c r="F1866" s="451">
        <v>46146</v>
      </c>
      <c r="G1866">
        <v>23228</v>
      </c>
      <c r="H1866" t="s">
        <v>4782</v>
      </c>
      <c r="I1866" t="s">
        <v>5191</v>
      </c>
      <c r="J1866">
        <v>10</v>
      </c>
      <c r="K1866" t="s">
        <v>4744</v>
      </c>
      <c r="L1866">
        <v>65.3</v>
      </c>
      <c r="M1866">
        <v>6.53</v>
      </c>
      <c r="N1866" t="s">
        <v>5272</v>
      </c>
      <c r="O1866" t="s">
        <v>463</v>
      </c>
    </row>
    <row r="1867" spans="1:15" x14ac:dyDescent="0.3">
      <c r="A1867">
        <v>230690</v>
      </c>
      <c r="B1867">
        <v>105</v>
      </c>
      <c r="C1867" t="s">
        <v>557</v>
      </c>
      <c r="D1867" t="s">
        <v>2653</v>
      </c>
      <c r="E1867" t="s">
        <v>3036</v>
      </c>
      <c r="F1867" s="451">
        <v>46146</v>
      </c>
      <c r="G1867">
        <v>24200</v>
      </c>
      <c r="H1867" t="s">
        <v>4820</v>
      </c>
      <c r="I1867" t="s">
        <v>5191</v>
      </c>
      <c r="J1867">
        <v>5.4</v>
      </c>
      <c r="K1867" t="s">
        <v>4744</v>
      </c>
      <c r="L1867">
        <v>177.66</v>
      </c>
      <c r="M1867">
        <v>32.9</v>
      </c>
      <c r="N1867" t="s">
        <v>5272</v>
      </c>
      <c r="O1867" t="s">
        <v>463</v>
      </c>
    </row>
    <row r="1868" spans="1:15" x14ac:dyDescent="0.3">
      <c r="A1868">
        <v>230689</v>
      </c>
      <c r="B1868">
        <v>105</v>
      </c>
      <c r="C1868" t="s">
        <v>557</v>
      </c>
      <c r="D1868" t="s">
        <v>2597</v>
      </c>
      <c r="E1868" t="s">
        <v>3037</v>
      </c>
      <c r="F1868" s="451">
        <v>46147</v>
      </c>
      <c r="G1868">
        <v>24217</v>
      </c>
      <c r="H1868" t="s">
        <v>4778</v>
      </c>
      <c r="I1868" t="s">
        <v>5191</v>
      </c>
      <c r="J1868">
        <v>23.9</v>
      </c>
      <c r="K1868" t="s">
        <v>4744</v>
      </c>
      <c r="L1868">
        <v>786.31</v>
      </c>
      <c r="M1868">
        <v>32.9</v>
      </c>
      <c r="N1868" t="s">
        <v>5272</v>
      </c>
      <c r="O1868" t="s">
        <v>463</v>
      </c>
    </row>
    <row r="1869" spans="1:15" x14ac:dyDescent="0.3">
      <c r="A1869">
        <v>230689</v>
      </c>
      <c r="B1869">
        <v>105</v>
      </c>
      <c r="C1869" t="s">
        <v>557</v>
      </c>
      <c r="D1869" t="s">
        <v>2597</v>
      </c>
      <c r="E1869" t="s">
        <v>3037</v>
      </c>
      <c r="F1869" s="451">
        <v>46147</v>
      </c>
      <c r="G1869">
        <v>24259</v>
      </c>
      <c r="H1869" t="s">
        <v>4875</v>
      </c>
      <c r="I1869" t="s">
        <v>5191</v>
      </c>
      <c r="J1869">
        <v>15.6</v>
      </c>
      <c r="K1869" t="s">
        <v>4744</v>
      </c>
      <c r="L1869">
        <v>1230.8399999999999</v>
      </c>
      <c r="M1869">
        <v>78.900000000000006</v>
      </c>
      <c r="N1869" t="s">
        <v>5272</v>
      </c>
      <c r="O1869" t="s">
        <v>463</v>
      </c>
    </row>
    <row r="1870" spans="1:15" x14ac:dyDescent="0.3">
      <c r="A1870">
        <v>230689</v>
      </c>
      <c r="B1870">
        <v>105</v>
      </c>
      <c r="C1870" t="s">
        <v>557</v>
      </c>
      <c r="D1870" t="s">
        <v>2597</v>
      </c>
      <c r="E1870" t="s">
        <v>3037</v>
      </c>
      <c r="F1870" s="451">
        <v>46147</v>
      </c>
      <c r="G1870">
        <v>24278</v>
      </c>
      <c r="H1870" t="s">
        <v>4901</v>
      </c>
      <c r="I1870" t="s">
        <v>5191</v>
      </c>
      <c r="J1870">
        <v>6.9</v>
      </c>
      <c r="K1870" t="s">
        <v>4744</v>
      </c>
      <c r="L1870">
        <v>62.03</v>
      </c>
      <c r="M1870">
        <v>8.9898550000000004</v>
      </c>
      <c r="N1870" t="s">
        <v>5272</v>
      </c>
      <c r="O1870" t="s">
        <v>463</v>
      </c>
    </row>
    <row r="1871" spans="1:15" x14ac:dyDescent="0.3">
      <c r="A1871">
        <v>230689</v>
      </c>
      <c r="B1871">
        <v>105</v>
      </c>
      <c r="C1871" t="s">
        <v>557</v>
      </c>
      <c r="D1871" t="s">
        <v>2597</v>
      </c>
      <c r="E1871" t="s">
        <v>3037</v>
      </c>
      <c r="F1871" s="451">
        <v>46147</v>
      </c>
      <c r="G1871">
        <v>20501</v>
      </c>
      <c r="H1871" t="s">
        <v>4760</v>
      </c>
      <c r="I1871" t="s">
        <v>5191</v>
      </c>
      <c r="J1871">
        <v>25</v>
      </c>
      <c r="K1871" t="s">
        <v>4744</v>
      </c>
      <c r="L1871">
        <v>555</v>
      </c>
      <c r="M1871">
        <v>22.2</v>
      </c>
      <c r="N1871" t="s">
        <v>5272</v>
      </c>
      <c r="O1871" t="s">
        <v>463</v>
      </c>
    </row>
    <row r="1872" spans="1:15" x14ac:dyDescent="0.3">
      <c r="A1872">
        <v>230689</v>
      </c>
      <c r="B1872">
        <v>105</v>
      </c>
      <c r="C1872" t="s">
        <v>557</v>
      </c>
      <c r="D1872" t="s">
        <v>2597</v>
      </c>
      <c r="E1872" t="s">
        <v>3037</v>
      </c>
      <c r="F1872" s="451">
        <v>46147</v>
      </c>
      <c r="G1872">
        <v>19041</v>
      </c>
      <c r="H1872" t="s">
        <v>4762</v>
      </c>
      <c r="I1872" t="s">
        <v>5191</v>
      </c>
      <c r="J1872">
        <v>40</v>
      </c>
      <c r="K1872" t="s">
        <v>4744</v>
      </c>
      <c r="L1872">
        <v>596</v>
      </c>
      <c r="M1872">
        <v>14.9</v>
      </c>
      <c r="N1872" t="s">
        <v>5272</v>
      </c>
      <c r="O1872" t="s">
        <v>463</v>
      </c>
    </row>
    <row r="1873" spans="1:15" x14ac:dyDescent="0.3">
      <c r="A1873">
        <v>230689</v>
      </c>
      <c r="B1873">
        <v>105</v>
      </c>
      <c r="C1873" t="s">
        <v>557</v>
      </c>
      <c r="D1873" t="s">
        <v>2597</v>
      </c>
      <c r="E1873" t="s">
        <v>3037</v>
      </c>
      <c r="F1873" s="451">
        <v>46147</v>
      </c>
      <c r="G1873">
        <v>24096</v>
      </c>
      <c r="H1873" t="s">
        <v>4771</v>
      </c>
      <c r="I1873" t="s">
        <v>5191</v>
      </c>
      <c r="J1873">
        <v>42.2</v>
      </c>
      <c r="K1873" t="s">
        <v>4744</v>
      </c>
      <c r="L1873">
        <v>1810.38</v>
      </c>
      <c r="M1873">
        <v>42.9</v>
      </c>
      <c r="N1873" t="s">
        <v>5272</v>
      </c>
      <c r="O1873" t="s">
        <v>463</v>
      </c>
    </row>
    <row r="1874" spans="1:15" x14ac:dyDescent="0.3">
      <c r="A1874">
        <v>230689</v>
      </c>
      <c r="B1874">
        <v>105</v>
      </c>
      <c r="C1874" t="s">
        <v>557</v>
      </c>
      <c r="D1874" t="s">
        <v>2597</v>
      </c>
      <c r="E1874" t="s">
        <v>3037</v>
      </c>
      <c r="F1874" s="451">
        <v>46147</v>
      </c>
      <c r="G1874">
        <v>25205</v>
      </c>
      <c r="H1874" t="s">
        <v>4850</v>
      </c>
      <c r="I1874" t="s">
        <v>5191</v>
      </c>
      <c r="J1874">
        <v>5.8</v>
      </c>
      <c r="K1874" t="s">
        <v>4744</v>
      </c>
      <c r="L1874">
        <v>103.82</v>
      </c>
      <c r="M1874">
        <v>17.899999999999999</v>
      </c>
      <c r="N1874" t="s">
        <v>5272</v>
      </c>
      <c r="O1874" t="s">
        <v>463</v>
      </c>
    </row>
    <row r="1875" spans="1:15" x14ac:dyDescent="0.3">
      <c r="A1875">
        <v>230687</v>
      </c>
      <c r="B1875">
        <v>105</v>
      </c>
      <c r="C1875" t="s">
        <v>557</v>
      </c>
      <c r="D1875" t="s">
        <v>2550</v>
      </c>
      <c r="E1875" t="s">
        <v>3038</v>
      </c>
      <c r="F1875" s="451">
        <v>46146</v>
      </c>
      <c r="G1875">
        <v>25687</v>
      </c>
      <c r="H1875" t="s">
        <v>5253</v>
      </c>
      <c r="I1875" t="s">
        <v>5222</v>
      </c>
      <c r="J1875">
        <v>2</v>
      </c>
      <c r="K1875" t="s">
        <v>4805</v>
      </c>
      <c r="L1875">
        <v>150.80000000000001</v>
      </c>
      <c r="M1875">
        <v>75.400000000000006</v>
      </c>
      <c r="N1875" t="s">
        <v>5271</v>
      </c>
      <c r="O1875" t="s">
        <v>463</v>
      </c>
    </row>
    <row r="1876" spans="1:15" x14ac:dyDescent="0.3">
      <c r="A1876">
        <v>230687</v>
      </c>
      <c r="B1876">
        <v>105</v>
      </c>
      <c r="C1876" t="s">
        <v>557</v>
      </c>
      <c r="D1876" t="s">
        <v>2550</v>
      </c>
      <c r="E1876" t="s">
        <v>3038</v>
      </c>
      <c r="F1876" s="451">
        <v>46146</v>
      </c>
      <c r="G1876">
        <v>26036</v>
      </c>
      <c r="H1876" t="s">
        <v>4841</v>
      </c>
      <c r="I1876" t="s">
        <v>5222</v>
      </c>
      <c r="J1876">
        <v>6</v>
      </c>
      <c r="K1876" t="s">
        <v>4805</v>
      </c>
      <c r="L1876">
        <v>331.5</v>
      </c>
      <c r="M1876">
        <v>55.25</v>
      </c>
      <c r="N1876" t="s">
        <v>5271</v>
      </c>
      <c r="O1876" t="s">
        <v>463</v>
      </c>
    </row>
    <row r="1877" spans="1:15" x14ac:dyDescent="0.3">
      <c r="A1877">
        <v>230687</v>
      </c>
      <c r="B1877">
        <v>105</v>
      </c>
      <c r="C1877" t="s">
        <v>557</v>
      </c>
      <c r="D1877" t="s">
        <v>2550</v>
      </c>
      <c r="E1877" t="s">
        <v>3038</v>
      </c>
      <c r="F1877" s="451">
        <v>46146</v>
      </c>
      <c r="G1877">
        <v>26034</v>
      </c>
      <c r="H1877" t="s">
        <v>4828</v>
      </c>
      <c r="I1877" t="s">
        <v>5222</v>
      </c>
      <c r="J1877">
        <v>6</v>
      </c>
      <c r="K1877" t="s">
        <v>4805</v>
      </c>
      <c r="L1877">
        <v>284.7</v>
      </c>
      <c r="M1877">
        <v>47.45</v>
      </c>
      <c r="N1877" t="s">
        <v>5271</v>
      </c>
      <c r="O1877" t="s">
        <v>463</v>
      </c>
    </row>
    <row r="1878" spans="1:15" x14ac:dyDescent="0.3">
      <c r="A1878">
        <v>230687</v>
      </c>
      <c r="B1878">
        <v>105</v>
      </c>
      <c r="C1878" t="s">
        <v>557</v>
      </c>
      <c r="D1878" t="s">
        <v>2550</v>
      </c>
      <c r="E1878" t="s">
        <v>3038</v>
      </c>
      <c r="F1878" s="451">
        <v>46146</v>
      </c>
      <c r="G1878">
        <v>26038</v>
      </c>
      <c r="H1878" t="s">
        <v>4976</v>
      </c>
      <c r="I1878" t="s">
        <v>5222</v>
      </c>
      <c r="J1878">
        <v>4</v>
      </c>
      <c r="K1878" t="s">
        <v>4805</v>
      </c>
      <c r="L1878">
        <v>189.8</v>
      </c>
      <c r="M1878">
        <v>47.45</v>
      </c>
      <c r="N1878" t="s">
        <v>5271</v>
      </c>
      <c r="O1878" t="s">
        <v>463</v>
      </c>
    </row>
    <row r="1879" spans="1:15" x14ac:dyDescent="0.3">
      <c r="A1879">
        <v>230687</v>
      </c>
      <c r="B1879">
        <v>105</v>
      </c>
      <c r="C1879" t="s">
        <v>557</v>
      </c>
      <c r="D1879" t="s">
        <v>2550</v>
      </c>
      <c r="E1879" t="s">
        <v>3038</v>
      </c>
      <c r="F1879" s="451">
        <v>46146</v>
      </c>
      <c r="G1879">
        <v>26040</v>
      </c>
      <c r="H1879" t="s">
        <v>4812</v>
      </c>
      <c r="I1879" t="s">
        <v>5222</v>
      </c>
      <c r="J1879">
        <v>3</v>
      </c>
      <c r="K1879" t="s">
        <v>4805</v>
      </c>
      <c r="L1879">
        <v>142.35</v>
      </c>
      <c r="M1879">
        <v>47.45</v>
      </c>
      <c r="N1879" t="s">
        <v>5271</v>
      </c>
      <c r="O1879" t="s">
        <v>463</v>
      </c>
    </row>
    <row r="1880" spans="1:15" x14ac:dyDescent="0.3">
      <c r="A1880">
        <v>230687</v>
      </c>
      <c r="B1880">
        <v>105</v>
      </c>
      <c r="C1880" t="s">
        <v>557</v>
      </c>
      <c r="D1880" t="s">
        <v>2550</v>
      </c>
      <c r="E1880" t="s">
        <v>3038</v>
      </c>
      <c r="F1880" s="451">
        <v>46146</v>
      </c>
      <c r="G1880">
        <v>26044</v>
      </c>
      <c r="H1880" t="s">
        <v>4843</v>
      </c>
      <c r="I1880" t="s">
        <v>5222</v>
      </c>
      <c r="J1880">
        <v>4</v>
      </c>
      <c r="K1880" t="s">
        <v>4805</v>
      </c>
      <c r="L1880">
        <v>221</v>
      </c>
      <c r="M1880">
        <v>55.25</v>
      </c>
      <c r="N1880" t="s">
        <v>5271</v>
      </c>
      <c r="O1880" t="s">
        <v>463</v>
      </c>
    </row>
    <row r="1881" spans="1:15" x14ac:dyDescent="0.3">
      <c r="A1881">
        <v>230191</v>
      </c>
      <c r="B1881">
        <v>105</v>
      </c>
      <c r="C1881" t="s">
        <v>557</v>
      </c>
      <c r="D1881" t="s">
        <v>2603</v>
      </c>
      <c r="E1881" t="s">
        <v>3039</v>
      </c>
      <c r="F1881" s="451">
        <v>46143</v>
      </c>
      <c r="G1881">
        <v>19003</v>
      </c>
      <c r="H1881" t="s">
        <v>4810</v>
      </c>
      <c r="I1881" t="s">
        <v>5191</v>
      </c>
      <c r="J1881">
        <v>16.03</v>
      </c>
      <c r="K1881" t="s">
        <v>4744</v>
      </c>
      <c r="L1881">
        <v>639.6</v>
      </c>
      <c r="M1881">
        <v>39.900187000000003</v>
      </c>
      <c r="N1881" t="s">
        <v>5272</v>
      </c>
      <c r="O1881" t="s">
        <v>463</v>
      </c>
    </row>
    <row r="1882" spans="1:15" x14ac:dyDescent="0.3">
      <c r="A1882">
        <v>230191</v>
      </c>
      <c r="B1882">
        <v>105</v>
      </c>
      <c r="C1882" t="s">
        <v>557</v>
      </c>
      <c r="D1882" t="s">
        <v>2603</v>
      </c>
      <c r="E1882" t="s">
        <v>3039</v>
      </c>
      <c r="F1882" s="451">
        <v>46143</v>
      </c>
      <c r="G1882">
        <v>26679</v>
      </c>
      <c r="H1882" t="s">
        <v>4791</v>
      </c>
      <c r="I1882" t="s">
        <v>5191</v>
      </c>
      <c r="J1882">
        <v>35.1</v>
      </c>
      <c r="K1882" t="s">
        <v>4744</v>
      </c>
      <c r="L1882">
        <v>1049.49</v>
      </c>
      <c r="M1882">
        <v>29.9</v>
      </c>
      <c r="N1882" t="s">
        <v>5272</v>
      </c>
      <c r="O1882" t="s">
        <v>463</v>
      </c>
    </row>
    <row r="1883" spans="1:15" x14ac:dyDescent="0.3">
      <c r="A1883">
        <v>229930</v>
      </c>
      <c r="B1883">
        <v>105</v>
      </c>
      <c r="C1883" t="s">
        <v>557</v>
      </c>
      <c r="D1883" t="s">
        <v>2565</v>
      </c>
      <c r="E1883" t="s">
        <v>3040</v>
      </c>
      <c r="F1883" s="451">
        <v>46142</v>
      </c>
      <c r="G1883">
        <v>18111</v>
      </c>
      <c r="H1883" t="s">
        <v>5049</v>
      </c>
      <c r="I1883" t="s">
        <v>5222</v>
      </c>
      <c r="J1883">
        <v>1</v>
      </c>
      <c r="K1883" t="s">
        <v>4805</v>
      </c>
      <c r="L1883">
        <v>84.8</v>
      </c>
      <c r="M1883">
        <v>84.8</v>
      </c>
      <c r="N1883" t="s">
        <v>5222</v>
      </c>
      <c r="O1883" t="s">
        <v>462</v>
      </c>
    </row>
    <row r="1884" spans="1:15" x14ac:dyDescent="0.3">
      <c r="A1884">
        <v>229928</v>
      </c>
      <c r="B1884">
        <v>105</v>
      </c>
      <c r="C1884" t="s">
        <v>557</v>
      </c>
      <c r="D1884" t="s">
        <v>2593</v>
      </c>
      <c r="E1884" t="s">
        <v>3041</v>
      </c>
      <c r="F1884" s="451">
        <v>46142</v>
      </c>
      <c r="G1884">
        <v>24256</v>
      </c>
      <c r="H1884" t="s">
        <v>4773</v>
      </c>
      <c r="I1884" t="s">
        <v>5191</v>
      </c>
      <c r="J1884">
        <v>10</v>
      </c>
      <c r="K1884" t="s">
        <v>4744</v>
      </c>
      <c r="L1884">
        <v>375</v>
      </c>
      <c r="M1884">
        <v>37.5</v>
      </c>
      <c r="N1884" t="s">
        <v>5272</v>
      </c>
      <c r="O1884" t="s">
        <v>462</v>
      </c>
    </row>
    <row r="1885" spans="1:15" x14ac:dyDescent="0.3">
      <c r="A1885">
        <v>229927</v>
      </c>
      <c r="B1885">
        <v>105</v>
      </c>
      <c r="C1885" t="s">
        <v>557</v>
      </c>
      <c r="D1885" t="s">
        <v>836</v>
      </c>
      <c r="E1885" t="s">
        <v>3042</v>
      </c>
      <c r="F1885" s="451">
        <v>46143</v>
      </c>
      <c r="G1885">
        <v>17205</v>
      </c>
      <c r="H1885" t="s">
        <v>5264</v>
      </c>
      <c r="I1885" t="s">
        <v>5188</v>
      </c>
      <c r="J1885">
        <v>1</v>
      </c>
      <c r="K1885" t="s">
        <v>5265</v>
      </c>
      <c r="L1885">
        <v>170</v>
      </c>
      <c r="M1885">
        <v>170</v>
      </c>
      <c r="N1885" t="s">
        <v>5277</v>
      </c>
      <c r="O1885" t="s">
        <v>463</v>
      </c>
    </row>
    <row r="1886" spans="1:15" x14ac:dyDescent="0.3">
      <c r="A1886">
        <v>229927</v>
      </c>
      <c r="B1886">
        <v>105</v>
      </c>
      <c r="C1886" t="s">
        <v>557</v>
      </c>
      <c r="D1886" t="s">
        <v>836</v>
      </c>
      <c r="E1886" t="s">
        <v>3042</v>
      </c>
      <c r="F1886" s="451">
        <v>46143</v>
      </c>
      <c r="G1886">
        <v>17212</v>
      </c>
      <c r="H1886" t="s">
        <v>5322</v>
      </c>
      <c r="I1886" t="s">
        <v>5188</v>
      </c>
      <c r="J1886">
        <v>1</v>
      </c>
      <c r="K1886" t="s">
        <v>5265</v>
      </c>
      <c r="L1886">
        <v>230</v>
      </c>
      <c r="M1886">
        <v>230</v>
      </c>
      <c r="N1886" t="s">
        <v>5277</v>
      </c>
      <c r="O1886" t="s">
        <v>463</v>
      </c>
    </row>
    <row r="1887" spans="1:15" x14ac:dyDescent="0.3">
      <c r="A1887">
        <v>229926</v>
      </c>
      <c r="B1887">
        <v>105</v>
      </c>
      <c r="C1887" t="s">
        <v>557</v>
      </c>
      <c r="D1887" t="s">
        <v>2563</v>
      </c>
      <c r="E1887" t="s">
        <v>3043</v>
      </c>
      <c r="F1887" s="451">
        <v>46142</v>
      </c>
      <c r="G1887">
        <v>19642</v>
      </c>
      <c r="H1887" t="s">
        <v>4996</v>
      </c>
      <c r="I1887" t="s">
        <v>5191</v>
      </c>
      <c r="J1887">
        <v>1</v>
      </c>
      <c r="K1887" t="s">
        <v>4744</v>
      </c>
      <c r="L1887">
        <v>5.58</v>
      </c>
      <c r="M1887">
        <v>5.58</v>
      </c>
      <c r="N1887" t="s">
        <v>5272</v>
      </c>
      <c r="O1887" t="s">
        <v>462</v>
      </c>
    </row>
    <row r="1888" spans="1:15" x14ac:dyDescent="0.3">
      <c r="A1888">
        <v>229926</v>
      </c>
      <c r="B1888">
        <v>105</v>
      </c>
      <c r="C1888" t="s">
        <v>557</v>
      </c>
      <c r="D1888" t="s">
        <v>2563</v>
      </c>
      <c r="E1888" t="s">
        <v>3043</v>
      </c>
      <c r="F1888" s="451">
        <v>46142</v>
      </c>
      <c r="G1888">
        <v>23228</v>
      </c>
      <c r="H1888" t="s">
        <v>4782</v>
      </c>
      <c r="I1888" t="s">
        <v>5191</v>
      </c>
      <c r="J1888">
        <v>6</v>
      </c>
      <c r="K1888" t="s">
        <v>4744</v>
      </c>
      <c r="L1888">
        <v>39.18</v>
      </c>
      <c r="M1888">
        <v>6.53</v>
      </c>
      <c r="N1888" t="s">
        <v>5272</v>
      </c>
      <c r="O1888" t="s">
        <v>462</v>
      </c>
    </row>
    <row r="1889" spans="1:15" x14ac:dyDescent="0.3">
      <c r="A1889">
        <v>229926</v>
      </c>
      <c r="B1889">
        <v>105</v>
      </c>
      <c r="C1889" t="s">
        <v>557</v>
      </c>
      <c r="D1889" t="s">
        <v>2563</v>
      </c>
      <c r="E1889" t="s">
        <v>3043</v>
      </c>
      <c r="F1889" s="451">
        <v>46142</v>
      </c>
      <c r="G1889">
        <v>19632</v>
      </c>
      <c r="H1889" t="s">
        <v>4936</v>
      </c>
      <c r="I1889" t="s">
        <v>5191</v>
      </c>
      <c r="J1889">
        <v>2</v>
      </c>
      <c r="K1889" t="s">
        <v>4744</v>
      </c>
      <c r="L1889">
        <v>11.02</v>
      </c>
      <c r="M1889">
        <v>5.51</v>
      </c>
      <c r="N1889" t="s">
        <v>5272</v>
      </c>
      <c r="O1889" t="s">
        <v>462</v>
      </c>
    </row>
    <row r="1890" spans="1:15" x14ac:dyDescent="0.3">
      <c r="A1890">
        <v>229926</v>
      </c>
      <c r="B1890">
        <v>105</v>
      </c>
      <c r="C1890" t="s">
        <v>557</v>
      </c>
      <c r="D1890" t="s">
        <v>2563</v>
      </c>
      <c r="E1890" t="s">
        <v>3043</v>
      </c>
      <c r="F1890" s="451">
        <v>46142</v>
      </c>
      <c r="G1890">
        <v>24083</v>
      </c>
      <c r="H1890" t="s">
        <v>5165</v>
      </c>
      <c r="I1890" t="s">
        <v>5191</v>
      </c>
      <c r="J1890">
        <v>100</v>
      </c>
      <c r="K1890" t="s">
        <v>4744</v>
      </c>
      <c r="L1890">
        <v>544</v>
      </c>
      <c r="M1890">
        <v>5.44</v>
      </c>
      <c r="N1890" t="s">
        <v>5272</v>
      </c>
      <c r="O1890" t="s">
        <v>462</v>
      </c>
    </row>
    <row r="1891" spans="1:15" x14ac:dyDescent="0.3">
      <c r="A1891">
        <v>229926</v>
      </c>
      <c r="B1891">
        <v>105</v>
      </c>
      <c r="C1891" t="s">
        <v>557</v>
      </c>
      <c r="D1891" t="s">
        <v>2563</v>
      </c>
      <c r="E1891" t="s">
        <v>3043</v>
      </c>
      <c r="F1891" s="451">
        <v>46142</v>
      </c>
      <c r="G1891">
        <v>19465</v>
      </c>
      <c r="H1891" t="s">
        <v>5114</v>
      </c>
      <c r="I1891" t="s">
        <v>5191</v>
      </c>
      <c r="J1891">
        <v>1.55</v>
      </c>
      <c r="K1891" t="s">
        <v>4744</v>
      </c>
      <c r="L1891">
        <v>8.99</v>
      </c>
      <c r="M1891">
        <v>5.8</v>
      </c>
      <c r="N1891" t="s">
        <v>5272</v>
      </c>
      <c r="O1891" t="s">
        <v>462</v>
      </c>
    </row>
    <row r="1892" spans="1:15" x14ac:dyDescent="0.3">
      <c r="A1892">
        <v>229926</v>
      </c>
      <c r="B1892">
        <v>105</v>
      </c>
      <c r="C1892" t="s">
        <v>557</v>
      </c>
      <c r="D1892" t="s">
        <v>2563</v>
      </c>
      <c r="E1892" t="s">
        <v>3043</v>
      </c>
      <c r="F1892" s="451">
        <v>46142</v>
      </c>
      <c r="G1892">
        <v>19532</v>
      </c>
      <c r="H1892" t="s">
        <v>4753</v>
      </c>
      <c r="I1892" t="s">
        <v>5191</v>
      </c>
      <c r="J1892">
        <v>20</v>
      </c>
      <c r="K1892" t="s">
        <v>4744</v>
      </c>
      <c r="L1892">
        <v>165.4</v>
      </c>
      <c r="M1892">
        <v>8.27</v>
      </c>
      <c r="N1892" t="s">
        <v>5272</v>
      </c>
      <c r="O1892" t="s">
        <v>462</v>
      </c>
    </row>
    <row r="1893" spans="1:15" x14ac:dyDescent="0.3">
      <c r="A1893">
        <v>229926</v>
      </c>
      <c r="B1893">
        <v>105</v>
      </c>
      <c r="C1893" t="s">
        <v>557</v>
      </c>
      <c r="D1893" t="s">
        <v>2563</v>
      </c>
      <c r="E1893" t="s">
        <v>3043</v>
      </c>
      <c r="F1893" s="451">
        <v>46142</v>
      </c>
      <c r="G1893">
        <v>19492</v>
      </c>
      <c r="H1893" t="s">
        <v>4937</v>
      </c>
      <c r="I1893" t="s">
        <v>5191</v>
      </c>
      <c r="J1893">
        <v>2</v>
      </c>
      <c r="K1893" t="s">
        <v>4744</v>
      </c>
      <c r="L1893">
        <v>37.26</v>
      </c>
      <c r="M1893">
        <v>18.63</v>
      </c>
      <c r="N1893" t="s">
        <v>5272</v>
      </c>
      <c r="O1893" t="s">
        <v>462</v>
      </c>
    </row>
    <row r="1894" spans="1:15" x14ac:dyDescent="0.3">
      <c r="A1894">
        <v>229925</v>
      </c>
      <c r="B1894">
        <v>105</v>
      </c>
      <c r="C1894" t="s">
        <v>557</v>
      </c>
      <c r="D1894" t="s">
        <v>3044</v>
      </c>
      <c r="E1894" t="s">
        <v>3045</v>
      </c>
      <c r="F1894" s="451">
        <v>46142</v>
      </c>
      <c r="G1894">
        <v>20544</v>
      </c>
      <c r="H1894" t="s">
        <v>4808</v>
      </c>
      <c r="I1894" t="s">
        <v>5191</v>
      </c>
      <c r="J1894">
        <v>2</v>
      </c>
      <c r="K1894" t="s">
        <v>4749</v>
      </c>
      <c r="L1894">
        <v>450</v>
      </c>
      <c r="M1894">
        <v>225</v>
      </c>
      <c r="N1894" t="s">
        <v>5272</v>
      </c>
      <c r="O1894" t="s">
        <v>462</v>
      </c>
    </row>
    <row r="1895" spans="1:15" x14ac:dyDescent="0.3">
      <c r="A1895">
        <v>229924</v>
      </c>
      <c r="B1895">
        <v>105</v>
      </c>
      <c r="C1895" t="s">
        <v>557</v>
      </c>
      <c r="D1895" t="s">
        <v>2579</v>
      </c>
      <c r="E1895" t="s">
        <v>3046</v>
      </c>
      <c r="F1895" s="451">
        <v>46142</v>
      </c>
      <c r="G1895">
        <v>23108</v>
      </c>
      <c r="H1895" t="s">
        <v>5117</v>
      </c>
      <c r="I1895" t="s">
        <v>5191</v>
      </c>
      <c r="J1895">
        <v>0.1</v>
      </c>
      <c r="K1895" t="s">
        <v>4744</v>
      </c>
      <c r="L1895">
        <v>9.4499999999999993</v>
      </c>
      <c r="M1895">
        <v>94.5</v>
      </c>
      <c r="N1895" t="s">
        <v>5272</v>
      </c>
      <c r="O1895" t="s">
        <v>462</v>
      </c>
    </row>
    <row r="1896" spans="1:15" x14ac:dyDescent="0.3">
      <c r="A1896">
        <v>229924</v>
      </c>
      <c r="B1896">
        <v>105</v>
      </c>
      <c r="C1896" t="s">
        <v>557</v>
      </c>
      <c r="D1896" t="s">
        <v>2579</v>
      </c>
      <c r="E1896" t="s">
        <v>3046</v>
      </c>
      <c r="F1896" s="451">
        <v>46142</v>
      </c>
      <c r="G1896">
        <v>19562</v>
      </c>
      <c r="H1896" t="s">
        <v>4939</v>
      </c>
      <c r="I1896" t="s">
        <v>5191</v>
      </c>
      <c r="J1896">
        <v>0.5</v>
      </c>
      <c r="K1896" t="s">
        <v>4744</v>
      </c>
      <c r="L1896">
        <v>5.85</v>
      </c>
      <c r="M1896">
        <v>11.7</v>
      </c>
      <c r="N1896" t="s">
        <v>5272</v>
      </c>
      <c r="O1896" t="s">
        <v>462</v>
      </c>
    </row>
    <row r="1897" spans="1:15" x14ac:dyDescent="0.3">
      <c r="A1897">
        <v>229924</v>
      </c>
      <c r="B1897">
        <v>105</v>
      </c>
      <c r="C1897" t="s">
        <v>557</v>
      </c>
      <c r="D1897" t="s">
        <v>2579</v>
      </c>
      <c r="E1897" t="s">
        <v>3046</v>
      </c>
      <c r="F1897" s="451">
        <v>46142</v>
      </c>
      <c r="G1897">
        <v>23236</v>
      </c>
      <c r="H1897" t="s">
        <v>5062</v>
      </c>
      <c r="I1897" t="s">
        <v>5191</v>
      </c>
      <c r="J1897">
        <v>2</v>
      </c>
      <c r="K1897" t="s">
        <v>4744</v>
      </c>
      <c r="L1897">
        <v>18.78</v>
      </c>
      <c r="M1897">
        <v>9.39</v>
      </c>
      <c r="N1897" t="s">
        <v>5272</v>
      </c>
      <c r="O1897" t="s">
        <v>462</v>
      </c>
    </row>
    <row r="1898" spans="1:15" x14ac:dyDescent="0.3">
      <c r="A1898">
        <v>229924</v>
      </c>
      <c r="B1898">
        <v>105</v>
      </c>
      <c r="C1898" t="s">
        <v>557</v>
      </c>
      <c r="D1898" t="s">
        <v>2579</v>
      </c>
      <c r="E1898" t="s">
        <v>3046</v>
      </c>
      <c r="F1898" s="451">
        <v>46142</v>
      </c>
      <c r="G1898">
        <v>19707</v>
      </c>
      <c r="H1898" t="s">
        <v>5266</v>
      </c>
      <c r="I1898" t="s">
        <v>5191</v>
      </c>
      <c r="J1898">
        <v>0.5</v>
      </c>
      <c r="K1898" t="s">
        <v>4744</v>
      </c>
      <c r="L1898">
        <v>11.05</v>
      </c>
      <c r="M1898">
        <v>22.1</v>
      </c>
      <c r="N1898" t="s">
        <v>5272</v>
      </c>
      <c r="O1898" t="s">
        <v>462</v>
      </c>
    </row>
    <row r="1899" spans="1:15" x14ac:dyDescent="0.3">
      <c r="A1899">
        <v>229924</v>
      </c>
      <c r="B1899">
        <v>105</v>
      </c>
      <c r="C1899" t="s">
        <v>557</v>
      </c>
      <c r="D1899" t="s">
        <v>2579</v>
      </c>
      <c r="E1899" t="s">
        <v>3046</v>
      </c>
      <c r="F1899" s="451">
        <v>46142</v>
      </c>
      <c r="G1899">
        <v>19737</v>
      </c>
      <c r="H1899" t="s">
        <v>4940</v>
      </c>
      <c r="I1899" t="s">
        <v>5191</v>
      </c>
      <c r="J1899">
        <v>2.5</v>
      </c>
      <c r="K1899" t="s">
        <v>4744</v>
      </c>
      <c r="L1899">
        <v>17.88</v>
      </c>
      <c r="M1899">
        <v>7.1520000000000001</v>
      </c>
      <c r="N1899" t="s">
        <v>5272</v>
      </c>
      <c r="O1899" t="s">
        <v>462</v>
      </c>
    </row>
    <row r="1900" spans="1:15" x14ac:dyDescent="0.3">
      <c r="A1900">
        <v>229924</v>
      </c>
      <c r="B1900">
        <v>105</v>
      </c>
      <c r="C1900" t="s">
        <v>557</v>
      </c>
      <c r="D1900" t="s">
        <v>2579</v>
      </c>
      <c r="E1900" t="s">
        <v>3046</v>
      </c>
      <c r="F1900" s="451">
        <v>46142</v>
      </c>
      <c r="G1900">
        <v>24522</v>
      </c>
      <c r="H1900" t="s">
        <v>5072</v>
      </c>
      <c r="I1900" t="s">
        <v>5191</v>
      </c>
      <c r="J1900">
        <v>2</v>
      </c>
      <c r="K1900" t="s">
        <v>4744</v>
      </c>
      <c r="L1900">
        <v>50</v>
      </c>
      <c r="M1900">
        <v>25</v>
      </c>
      <c r="N1900" t="s">
        <v>5272</v>
      </c>
      <c r="O1900" t="s">
        <v>462</v>
      </c>
    </row>
    <row r="1901" spans="1:15" x14ac:dyDescent="0.3">
      <c r="A1901">
        <v>229924</v>
      </c>
      <c r="B1901">
        <v>105</v>
      </c>
      <c r="C1901" t="s">
        <v>557</v>
      </c>
      <c r="D1901" t="s">
        <v>2579</v>
      </c>
      <c r="E1901" t="s">
        <v>3046</v>
      </c>
      <c r="F1901" s="451">
        <v>46142</v>
      </c>
      <c r="G1901">
        <v>19734</v>
      </c>
      <c r="H1901" t="s">
        <v>4833</v>
      </c>
      <c r="I1901" t="s">
        <v>5191</v>
      </c>
      <c r="J1901">
        <v>5</v>
      </c>
      <c r="K1901" t="s">
        <v>4744</v>
      </c>
      <c r="L1901">
        <v>65</v>
      </c>
      <c r="M1901">
        <v>13</v>
      </c>
      <c r="N1901" t="s">
        <v>5272</v>
      </c>
      <c r="O1901" t="s">
        <v>462</v>
      </c>
    </row>
    <row r="1902" spans="1:15" x14ac:dyDescent="0.3">
      <c r="A1902">
        <v>229924</v>
      </c>
      <c r="B1902">
        <v>105</v>
      </c>
      <c r="C1902" t="s">
        <v>557</v>
      </c>
      <c r="D1902" t="s">
        <v>2579</v>
      </c>
      <c r="E1902" t="s">
        <v>3046</v>
      </c>
      <c r="F1902" s="451">
        <v>46142</v>
      </c>
      <c r="G1902">
        <v>19728</v>
      </c>
      <c r="H1902" t="s">
        <v>5106</v>
      </c>
      <c r="I1902" t="s">
        <v>5191</v>
      </c>
      <c r="J1902">
        <v>1.3</v>
      </c>
      <c r="K1902" t="s">
        <v>4744</v>
      </c>
      <c r="L1902">
        <v>15.21</v>
      </c>
      <c r="M1902">
        <v>11.7</v>
      </c>
      <c r="N1902" t="s">
        <v>5272</v>
      </c>
      <c r="O1902" t="s">
        <v>462</v>
      </c>
    </row>
    <row r="1903" spans="1:15" x14ac:dyDescent="0.3">
      <c r="A1903">
        <v>229924</v>
      </c>
      <c r="B1903">
        <v>105</v>
      </c>
      <c r="C1903" t="s">
        <v>557</v>
      </c>
      <c r="D1903" t="s">
        <v>2579</v>
      </c>
      <c r="E1903" t="s">
        <v>3046</v>
      </c>
      <c r="F1903" s="451">
        <v>46142</v>
      </c>
      <c r="G1903">
        <v>23385</v>
      </c>
      <c r="H1903" t="s">
        <v>4938</v>
      </c>
      <c r="I1903" t="s">
        <v>5191</v>
      </c>
      <c r="J1903">
        <v>2</v>
      </c>
      <c r="K1903" t="s">
        <v>4744</v>
      </c>
      <c r="L1903">
        <v>156</v>
      </c>
      <c r="M1903">
        <v>78</v>
      </c>
      <c r="N1903" t="s">
        <v>5272</v>
      </c>
      <c r="O1903" t="s">
        <v>462</v>
      </c>
    </row>
    <row r="1904" spans="1:15" x14ac:dyDescent="0.3">
      <c r="A1904">
        <v>229924</v>
      </c>
      <c r="B1904">
        <v>105</v>
      </c>
      <c r="C1904" t="s">
        <v>557</v>
      </c>
      <c r="D1904" t="s">
        <v>2579</v>
      </c>
      <c r="E1904" t="s">
        <v>3046</v>
      </c>
      <c r="F1904" s="451">
        <v>46142</v>
      </c>
      <c r="G1904">
        <v>19634</v>
      </c>
      <c r="H1904" t="s">
        <v>4792</v>
      </c>
      <c r="I1904" t="s">
        <v>5191</v>
      </c>
      <c r="J1904">
        <v>5</v>
      </c>
      <c r="K1904" t="s">
        <v>4744</v>
      </c>
      <c r="L1904">
        <v>39</v>
      </c>
      <c r="M1904">
        <v>7.8</v>
      </c>
      <c r="N1904" t="s">
        <v>5272</v>
      </c>
      <c r="O1904" t="s">
        <v>462</v>
      </c>
    </row>
    <row r="1905" spans="1:15" x14ac:dyDescent="0.3">
      <c r="A1905">
        <v>229924</v>
      </c>
      <c r="B1905">
        <v>105</v>
      </c>
      <c r="C1905" t="s">
        <v>557</v>
      </c>
      <c r="D1905" t="s">
        <v>2579</v>
      </c>
      <c r="E1905" t="s">
        <v>3046</v>
      </c>
      <c r="F1905" s="451">
        <v>46142</v>
      </c>
      <c r="G1905">
        <v>19635</v>
      </c>
      <c r="H1905" t="s">
        <v>4786</v>
      </c>
      <c r="I1905" t="s">
        <v>5191</v>
      </c>
      <c r="J1905">
        <v>7</v>
      </c>
      <c r="K1905" t="s">
        <v>4744</v>
      </c>
      <c r="L1905">
        <v>30.94</v>
      </c>
      <c r="M1905">
        <v>4.42</v>
      </c>
      <c r="N1905" t="s">
        <v>5272</v>
      </c>
      <c r="O1905" t="s">
        <v>462</v>
      </c>
    </row>
    <row r="1906" spans="1:15" x14ac:dyDescent="0.3">
      <c r="A1906">
        <v>229924</v>
      </c>
      <c r="B1906">
        <v>105</v>
      </c>
      <c r="C1906" t="s">
        <v>557</v>
      </c>
      <c r="D1906" t="s">
        <v>2579</v>
      </c>
      <c r="E1906" t="s">
        <v>3046</v>
      </c>
      <c r="F1906" s="451">
        <v>46142</v>
      </c>
      <c r="G1906">
        <v>23198</v>
      </c>
      <c r="H1906" t="s">
        <v>4962</v>
      </c>
      <c r="I1906" t="s">
        <v>5191</v>
      </c>
      <c r="J1906">
        <v>0.5</v>
      </c>
      <c r="K1906" t="s">
        <v>4744</v>
      </c>
      <c r="L1906">
        <v>5.85</v>
      </c>
      <c r="M1906">
        <v>11.7</v>
      </c>
      <c r="N1906" t="s">
        <v>5272</v>
      </c>
      <c r="O1906" t="s">
        <v>462</v>
      </c>
    </row>
    <row r="1907" spans="1:15" x14ac:dyDescent="0.3">
      <c r="A1907">
        <v>229924</v>
      </c>
      <c r="B1907">
        <v>105</v>
      </c>
      <c r="C1907" t="s">
        <v>557</v>
      </c>
      <c r="D1907" t="s">
        <v>2579</v>
      </c>
      <c r="E1907" t="s">
        <v>3046</v>
      </c>
      <c r="F1907" s="451">
        <v>46142</v>
      </c>
      <c r="G1907">
        <v>23335</v>
      </c>
      <c r="H1907" t="s">
        <v>4961</v>
      </c>
      <c r="I1907" t="s">
        <v>5191</v>
      </c>
      <c r="J1907">
        <v>1.1000000000000001</v>
      </c>
      <c r="K1907" t="s">
        <v>4744</v>
      </c>
      <c r="L1907">
        <v>35.75</v>
      </c>
      <c r="M1907">
        <v>32.5</v>
      </c>
      <c r="N1907" t="s">
        <v>5272</v>
      </c>
      <c r="O1907" t="s">
        <v>462</v>
      </c>
    </row>
    <row r="1908" spans="1:15" x14ac:dyDescent="0.3">
      <c r="A1908">
        <v>229923</v>
      </c>
      <c r="B1908">
        <v>105</v>
      </c>
      <c r="C1908" t="s">
        <v>557</v>
      </c>
      <c r="D1908" t="s">
        <v>2581</v>
      </c>
      <c r="E1908" t="s">
        <v>3047</v>
      </c>
      <c r="F1908" s="451">
        <v>46142</v>
      </c>
      <c r="G1908">
        <v>19617</v>
      </c>
      <c r="H1908" t="s">
        <v>5071</v>
      </c>
      <c r="I1908" t="s">
        <v>5191</v>
      </c>
      <c r="J1908">
        <v>0.5</v>
      </c>
      <c r="K1908" t="s">
        <v>4744</v>
      </c>
      <c r="L1908">
        <v>13.5</v>
      </c>
      <c r="M1908">
        <v>27</v>
      </c>
      <c r="N1908" t="s">
        <v>5272</v>
      </c>
      <c r="O1908" t="s">
        <v>462</v>
      </c>
    </row>
    <row r="1909" spans="1:15" x14ac:dyDescent="0.3">
      <c r="A1909">
        <v>229923</v>
      </c>
      <c r="B1909">
        <v>105</v>
      </c>
      <c r="C1909" t="s">
        <v>557</v>
      </c>
      <c r="D1909" t="s">
        <v>2581</v>
      </c>
      <c r="E1909" t="s">
        <v>3047</v>
      </c>
      <c r="F1909" s="451">
        <v>46142</v>
      </c>
      <c r="G1909">
        <v>19505</v>
      </c>
      <c r="H1909" t="s">
        <v>4872</v>
      </c>
      <c r="I1909" t="s">
        <v>5191</v>
      </c>
      <c r="J1909">
        <v>7</v>
      </c>
      <c r="K1909" t="s">
        <v>4744</v>
      </c>
      <c r="L1909">
        <v>66.5</v>
      </c>
      <c r="M1909">
        <v>9.5</v>
      </c>
      <c r="N1909" t="s">
        <v>5272</v>
      </c>
      <c r="O1909" t="s">
        <v>462</v>
      </c>
    </row>
    <row r="1910" spans="1:15" x14ac:dyDescent="0.3">
      <c r="A1910">
        <v>229923</v>
      </c>
      <c r="B1910">
        <v>105</v>
      </c>
      <c r="C1910" t="s">
        <v>557</v>
      </c>
      <c r="D1910" t="s">
        <v>2581</v>
      </c>
      <c r="E1910" t="s">
        <v>3047</v>
      </c>
      <c r="F1910" s="451">
        <v>46142</v>
      </c>
      <c r="G1910">
        <v>24037</v>
      </c>
      <c r="H1910" t="s">
        <v>5233</v>
      </c>
      <c r="I1910" t="s">
        <v>5191</v>
      </c>
      <c r="J1910">
        <v>2</v>
      </c>
      <c r="K1910" t="s">
        <v>4744</v>
      </c>
      <c r="L1910">
        <v>36</v>
      </c>
      <c r="M1910">
        <v>18</v>
      </c>
      <c r="N1910" t="s">
        <v>5272</v>
      </c>
      <c r="O1910" t="s">
        <v>462</v>
      </c>
    </row>
    <row r="1911" spans="1:15" x14ac:dyDescent="0.3">
      <c r="A1911">
        <v>229923</v>
      </c>
      <c r="B1911">
        <v>105</v>
      </c>
      <c r="C1911" t="s">
        <v>557</v>
      </c>
      <c r="D1911" t="s">
        <v>2581</v>
      </c>
      <c r="E1911" t="s">
        <v>3047</v>
      </c>
      <c r="F1911" s="451">
        <v>46142</v>
      </c>
      <c r="G1911">
        <v>19740</v>
      </c>
      <c r="H1911" t="s">
        <v>4779</v>
      </c>
      <c r="I1911" t="s">
        <v>5191</v>
      </c>
      <c r="J1911">
        <v>10</v>
      </c>
      <c r="K1911" t="s">
        <v>4744</v>
      </c>
      <c r="L1911">
        <v>95</v>
      </c>
      <c r="M1911">
        <v>9.5</v>
      </c>
      <c r="N1911" t="s">
        <v>5272</v>
      </c>
      <c r="O1911" t="s">
        <v>462</v>
      </c>
    </row>
    <row r="1912" spans="1:15" x14ac:dyDescent="0.3">
      <c r="A1912">
        <v>229923</v>
      </c>
      <c r="B1912">
        <v>105</v>
      </c>
      <c r="C1912" t="s">
        <v>557</v>
      </c>
      <c r="D1912" t="s">
        <v>2581</v>
      </c>
      <c r="E1912" t="s">
        <v>3047</v>
      </c>
      <c r="F1912" s="451">
        <v>46142</v>
      </c>
      <c r="G1912">
        <v>24099</v>
      </c>
      <c r="H1912" t="s">
        <v>4933</v>
      </c>
      <c r="I1912" t="s">
        <v>5191</v>
      </c>
      <c r="J1912">
        <v>2</v>
      </c>
      <c r="K1912" t="s">
        <v>4744</v>
      </c>
      <c r="L1912">
        <v>26</v>
      </c>
      <c r="M1912">
        <v>13</v>
      </c>
      <c r="N1912" t="s">
        <v>5272</v>
      </c>
      <c r="O1912" t="s">
        <v>462</v>
      </c>
    </row>
    <row r="1913" spans="1:15" x14ac:dyDescent="0.3">
      <c r="A1913">
        <v>229923</v>
      </c>
      <c r="B1913">
        <v>105</v>
      </c>
      <c r="C1913" t="s">
        <v>557</v>
      </c>
      <c r="D1913" t="s">
        <v>2581</v>
      </c>
      <c r="E1913" t="s">
        <v>3047</v>
      </c>
      <c r="F1913" s="451">
        <v>46142</v>
      </c>
      <c r="G1913">
        <v>19589</v>
      </c>
      <c r="H1913" t="s">
        <v>4983</v>
      </c>
      <c r="I1913" t="s">
        <v>5191</v>
      </c>
      <c r="J1913">
        <v>2.5</v>
      </c>
      <c r="K1913" t="s">
        <v>4744</v>
      </c>
      <c r="L1913">
        <v>17.5</v>
      </c>
      <c r="M1913">
        <v>7</v>
      </c>
      <c r="N1913" t="s">
        <v>5272</v>
      </c>
      <c r="O1913" t="s">
        <v>462</v>
      </c>
    </row>
    <row r="1914" spans="1:15" x14ac:dyDescent="0.3">
      <c r="A1914">
        <v>229923</v>
      </c>
      <c r="B1914">
        <v>105</v>
      </c>
      <c r="C1914" t="s">
        <v>557</v>
      </c>
      <c r="D1914" t="s">
        <v>2581</v>
      </c>
      <c r="E1914" t="s">
        <v>3047</v>
      </c>
      <c r="F1914" s="451">
        <v>46142</v>
      </c>
      <c r="G1914">
        <v>19490</v>
      </c>
      <c r="H1914" t="s">
        <v>5116</v>
      </c>
      <c r="I1914" t="s">
        <v>5191</v>
      </c>
      <c r="J1914">
        <v>0.4</v>
      </c>
      <c r="K1914" t="s">
        <v>4744</v>
      </c>
      <c r="L1914">
        <v>22.8</v>
      </c>
      <c r="M1914">
        <v>57</v>
      </c>
      <c r="N1914" t="s">
        <v>5272</v>
      </c>
      <c r="O1914" t="s">
        <v>462</v>
      </c>
    </row>
    <row r="1915" spans="1:15" x14ac:dyDescent="0.3">
      <c r="A1915">
        <v>229923</v>
      </c>
      <c r="B1915">
        <v>105</v>
      </c>
      <c r="C1915" t="s">
        <v>557</v>
      </c>
      <c r="D1915" t="s">
        <v>2581</v>
      </c>
      <c r="E1915" t="s">
        <v>3047</v>
      </c>
      <c r="F1915" s="451">
        <v>46142</v>
      </c>
      <c r="G1915">
        <v>19480</v>
      </c>
      <c r="H1915" t="s">
        <v>5119</v>
      </c>
      <c r="I1915" t="s">
        <v>5191</v>
      </c>
      <c r="J1915">
        <v>0.5</v>
      </c>
      <c r="K1915" t="s">
        <v>4744</v>
      </c>
      <c r="L1915">
        <v>8.5</v>
      </c>
      <c r="M1915">
        <v>17</v>
      </c>
      <c r="N1915" t="s">
        <v>5272</v>
      </c>
      <c r="O1915" t="s">
        <v>462</v>
      </c>
    </row>
    <row r="1916" spans="1:15" x14ac:dyDescent="0.3">
      <c r="A1916">
        <v>229923</v>
      </c>
      <c r="B1916">
        <v>105</v>
      </c>
      <c r="C1916" t="s">
        <v>557</v>
      </c>
      <c r="D1916" t="s">
        <v>2581</v>
      </c>
      <c r="E1916" t="s">
        <v>3047</v>
      </c>
      <c r="F1916" s="451">
        <v>46142</v>
      </c>
      <c r="G1916">
        <v>19476</v>
      </c>
      <c r="H1916" t="s">
        <v>5115</v>
      </c>
      <c r="I1916" t="s">
        <v>5191</v>
      </c>
      <c r="J1916">
        <v>0.3</v>
      </c>
      <c r="K1916" t="s">
        <v>4744</v>
      </c>
      <c r="L1916">
        <v>19.5</v>
      </c>
      <c r="M1916">
        <v>65</v>
      </c>
      <c r="N1916" t="s">
        <v>5272</v>
      </c>
      <c r="O1916" t="s">
        <v>462</v>
      </c>
    </row>
    <row r="1917" spans="1:15" x14ac:dyDescent="0.3">
      <c r="A1917">
        <v>229923</v>
      </c>
      <c r="B1917">
        <v>105</v>
      </c>
      <c r="C1917" t="s">
        <v>557</v>
      </c>
      <c r="D1917" t="s">
        <v>2581</v>
      </c>
      <c r="E1917" t="s">
        <v>3047</v>
      </c>
      <c r="F1917" s="451">
        <v>46142</v>
      </c>
      <c r="G1917">
        <v>23195</v>
      </c>
      <c r="H1917" t="s">
        <v>5051</v>
      </c>
      <c r="I1917" t="s">
        <v>5191</v>
      </c>
      <c r="J1917">
        <v>0.4</v>
      </c>
      <c r="K1917" t="s">
        <v>4744</v>
      </c>
      <c r="L1917">
        <v>4</v>
      </c>
      <c r="M1917">
        <v>10</v>
      </c>
      <c r="N1917" t="s">
        <v>5272</v>
      </c>
      <c r="O1917" t="s">
        <v>462</v>
      </c>
    </row>
    <row r="1918" spans="1:15" x14ac:dyDescent="0.3">
      <c r="A1918">
        <v>229923</v>
      </c>
      <c r="B1918">
        <v>105</v>
      </c>
      <c r="C1918" t="s">
        <v>557</v>
      </c>
      <c r="D1918" t="s">
        <v>2581</v>
      </c>
      <c r="E1918" t="s">
        <v>3047</v>
      </c>
      <c r="F1918" s="451">
        <v>46142</v>
      </c>
      <c r="G1918">
        <v>19751</v>
      </c>
      <c r="H1918" t="s">
        <v>4800</v>
      </c>
      <c r="I1918" t="s">
        <v>5191</v>
      </c>
      <c r="J1918">
        <v>2.5</v>
      </c>
      <c r="K1918" t="s">
        <v>4744</v>
      </c>
      <c r="L1918">
        <v>23.5</v>
      </c>
      <c r="M1918">
        <v>9.4</v>
      </c>
      <c r="N1918" t="s">
        <v>5272</v>
      </c>
      <c r="O1918" t="s">
        <v>462</v>
      </c>
    </row>
    <row r="1919" spans="1:15" x14ac:dyDescent="0.3">
      <c r="A1919">
        <v>229923</v>
      </c>
      <c r="B1919">
        <v>105</v>
      </c>
      <c r="C1919" t="s">
        <v>557</v>
      </c>
      <c r="D1919" t="s">
        <v>2581</v>
      </c>
      <c r="E1919" t="s">
        <v>3047</v>
      </c>
      <c r="F1919" s="451">
        <v>46142</v>
      </c>
      <c r="G1919">
        <v>19658</v>
      </c>
      <c r="H1919" t="s">
        <v>4784</v>
      </c>
      <c r="I1919" t="s">
        <v>5191</v>
      </c>
      <c r="J1919">
        <v>5</v>
      </c>
      <c r="K1919" t="s">
        <v>4744</v>
      </c>
      <c r="L1919">
        <v>18.25</v>
      </c>
      <c r="M1919">
        <v>3.65</v>
      </c>
      <c r="N1919" t="s">
        <v>5272</v>
      </c>
      <c r="O1919" t="s">
        <v>462</v>
      </c>
    </row>
    <row r="1920" spans="1:15" x14ac:dyDescent="0.3">
      <c r="A1920">
        <v>229923</v>
      </c>
      <c r="B1920">
        <v>105</v>
      </c>
      <c r="C1920" t="s">
        <v>557</v>
      </c>
      <c r="D1920" t="s">
        <v>2581</v>
      </c>
      <c r="E1920" t="s">
        <v>3047</v>
      </c>
      <c r="F1920" s="451">
        <v>46142</v>
      </c>
      <c r="G1920">
        <v>19502</v>
      </c>
      <c r="H1920" t="s">
        <v>4871</v>
      </c>
      <c r="I1920" t="s">
        <v>5191</v>
      </c>
      <c r="J1920">
        <v>4</v>
      </c>
      <c r="K1920" t="s">
        <v>4744</v>
      </c>
      <c r="L1920">
        <v>72</v>
      </c>
      <c r="M1920">
        <v>18</v>
      </c>
      <c r="N1920" t="s">
        <v>5272</v>
      </c>
      <c r="O1920" t="s">
        <v>462</v>
      </c>
    </row>
    <row r="1921" spans="1:15" x14ac:dyDescent="0.3">
      <c r="A1921">
        <v>229923</v>
      </c>
      <c r="B1921">
        <v>105</v>
      </c>
      <c r="C1921" t="s">
        <v>557</v>
      </c>
      <c r="D1921" t="s">
        <v>2581</v>
      </c>
      <c r="E1921" t="s">
        <v>3047</v>
      </c>
      <c r="F1921" s="451">
        <v>46142</v>
      </c>
      <c r="G1921">
        <v>19787</v>
      </c>
      <c r="H1921" t="s">
        <v>4793</v>
      </c>
      <c r="I1921" t="s">
        <v>5191</v>
      </c>
      <c r="J1921">
        <v>10</v>
      </c>
      <c r="K1921" t="s">
        <v>4744</v>
      </c>
      <c r="L1921">
        <v>54</v>
      </c>
      <c r="M1921">
        <v>5.4</v>
      </c>
      <c r="N1921" t="s">
        <v>5272</v>
      </c>
      <c r="O1921" t="s">
        <v>462</v>
      </c>
    </row>
    <row r="1922" spans="1:15" x14ac:dyDescent="0.3">
      <c r="A1922">
        <v>229923</v>
      </c>
      <c r="B1922">
        <v>105</v>
      </c>
      <c r="C1922" t="s">
        <v>557</v>
      </c>
      <c r="D1922" t="s">
        <v>2581</v>
      </c>
      <c r="E1922" t="s">
        <v>3047</v>
      </c>
      <c r="F1922" s="451">
        <v>46142</v>
      </c>
      <c r="G1922">
        <v>19472</v>
      </c>
      <c r="H1922" t="s">
        <v>4906</v>
      </c>
      <c r="I1922" t="s">
        <v>5191</v>
      </c>
      <c r="J1922">
        <v>2.4</v>
      </c>
      <c r="K1922" t="s">
        <v>4744</v>
      </c>
      <c r="L1922">
        <v>40.799999999999997</v>
      </c>
      <c r="M1922">
        <v>17</v>
      </c>
      <c r="N1922" t="s">
        <v>5272</v>
      </c>
      <c r="O1922" t="s">
        <v>462</v>
      </c>
    </row>
    <row r="1923" spans="1:15" x14ac:dyDescent="0.3">
      <c r="A1923">
        <v>229923</v>
      </c>
      <c r="B1923">
        <v>105</v>
      </c>
      <c r="C1923" t="s">
        <v>557</v>
      </c>
      <c r="D1923" t="s">
        <v>2581</v>
      </c>
      <c r="E1923" t="s">
        <v>3047</v>
      </c>
      <c r="F1923" s="451">
        <v>46142</v>
      </c>
      <c r="G1923">
        <v>23095</v>
      </c>
      <c r="H1923" t="s">
        <v>4741</v>
      </c>
      <c r="I1923" t="s">
        <v>5191</v>
      </c>
      <c r="J1923">
        <v>100</v>
      </c>
      <c r="K1923" t="s">
        <v>4736</v>
      </c>
      <c r="L1923">
        <v>117</v>
      </c>
      <c r="M1923">
        <v>1.17</v>
      </c>
      <c r="N1923" t="s">
        <v>5272</v>
      </c>
      <c r="O1923" t="s">
        <v>462</v>
      </c>
    </row>
    <row r="1924" spans="1:15" x14ac:dyDescent="0.3">
      <c r="A1924">
        <v>229923</v>
      </c>
      <c r="B1924">
        <v>105</v>
      </c>
      <c r="C1924" t="s">
        <v>557</v>
      </c>
      <c r="D1924" t="s">
        <v>2581</v>
      </c>
      <c r="E1924" t="s">
        <v>3047</v>
      </c>
      <c r="F1924" s="451">
        <v>46142</v>
      </c>
      <c r="G1924">
        <v>19623</v>
      </c>
      <c r="H1924" t="s">
        <v>4764</v>
      </c>
      <c r="I1924" t="s">
        <v>5191</v>
      </c>
      <c r="J1924">
        <v>10</v>
      </c>
      <c r="K1924" t="s">
        <v>4744</v>
      </c>
      <c r="L1924">
        <v>55</v>
      </c>
      <c r="M1924">
        <v>5.5</v>
      </c>
      <c r="N1924" t="s">
        <v>5272</v>
      </c>
      <c r="O1924" t="s">
        <v>462</v>
      </c>
    </row>
    <row r="1925" spans="1:15" x14ac:dyDescent="0.3">
      <c r="A1925">
        <v>229923</v>
      </c>
      <c r="B1925">
        <v>105</v>
      </c>
      <c r="C1925" t="s">
        <v>557</v>
      </c>
      <c r="D1925" t="s">
        <v>2581</v>
      </c>
      <c r="E1925" t="s">
        <v>3047</v>
      </c>
      <c r="F1925" s="451">
        <v>46142</v>
      </c>
      <c r="G1925">
        <v>19622</v>
      </c>
      <c r="H1925" t="s">
        <v>4915</v>
      </c>
      <c r="I1925" t="s">
        <v>5191</v>
      </c>
      <c r="J1925">
        <v>1</v>
      </c>
      <c r="K1925" t="s">
        <v>4744</v>
      </c>
      <c r="L1925">
        <v>4.5</v>
      </c>
      <c r="M1925">
        <v>4.5</v>
      </c>
      <c r="N1925" t="s">
        <v>5272</v>
      </c>
      <c r="O1925" t="s">
        <v>462</v>
      </c>
    </row>
    <row r="1926" spans="1:15" x14ac:dyDescent="0.3">
      <c r="A1926">
        <v>229923</v>
      </c>
      <c r="B1926">
        <v>105</v>
      </c>
      <c r="C1926" t="s">
        <v>557</v>
      </c>
      <c r="D1926" t="s">
        <v>2581</v>
      </c>
      <c r="E1926" t="s">
        <v>3047</v>
      </c>
      <c r="F1926" s="451">
        <v>46142</v>
      </c>
      <c r="G1926">
        <v>23361</v>
      </c>
      <c r="H1926" t="s">
        <v>4754</v>
      </c>
      <c r="I1926" t="s">
        <v>5191</v>
      </c>
      <c r="J1926">
        <v>40</v>
      </c>
      <c r="K1926" t="s">
        <v>4744</v>
      </c>
      <c r="L1926">
        <v>118.8</v>
      </c>
      <c r="M1926">
        <v>2.97</v>
      </c>
      <c r="N1926" t="s">
        <v>5272</v>
      </c>
      <c r="O1926" t="s">
        <v>462</v>
      </c>
    </row>
    <row r="1927" spans="1:15" x14ac:dyDescent="0.3">
      <c r="A1927">
        <v>229923</v>
      </c>
      <c r="B1927">
        <v>105</v>
      </c>
      <c r="C1927" t="s">
        <v>557</v>
      </c>
      <c r="D1927" t="s">
        <v>2581</v>
      </c>
      <c r="E1927" t="s">
        <v>3047</v>
      </c>
      <c r="F1927" s="451">
        <v>46142</v>
      </c>
      <c r="G1927">
        <v>19507</v>
      </c>
      <c r="H1927" t="s">
        <v>4853</v>
      </c>
      <c r="I1927" t="s">
        <v>5191</v>
      </c>
      <c r="J1927">
        <v>2</v>
      </c>
      <c r="K1927" t="s">
        <v>4744</v>
      </c>
      <c r="L1927">
        <v>32</v>
      </c>
      <c r="M1927">
        <v>16</v>
      </c>
      <c r="N1927" t="s">
        <v>5272</v>
      </c>
      <c r="O1927" t="s">
        <v>462</v>
      </c>
    </row>
    <row r="1928" spans="1:15" x14ac:dyDescent="0.3">
      <c r="A1928">
        <v>229923</v>
      </c>
      <c r="B1928">
        <v>105</v>
      </c>
      <c r="C1928" t="s">
        <v>557</v>
      </c>
      <c r="D1928" t="s">
        <v>2581</v>
      </c>
      <c r="E1928" t="s">
        <v>3047</v>
      </c>
      <c r="F1928" s="451">
        <v>46142</v>
      </c>
      <c r="G1928">
        <v>23390</v>
      </c>
      <c r="H1928" t="s">
        <v>4873</v>
      </c>
      <c r="I1928" t="s">
        <v>5191</v>
      </c>
      <c r="J1928">
        <v>6.2</v>
      </c>
      <c r="K1928" t="s">
        <v>4744</v>
      </c>
      <c r="L1928">
        <v>49.6</v>
      </c>
      <c r="M1928">
        <v>8</v>
      </c>
      <c r="N1928" t="s">
        <v>5272</v>
      </c>
      <c r="O1928" t="s">
        <v>462</v>
      </c>
    </row>
    <row r="1929" spans="1:15" x14ac:dyDescent="0.3">
      <c r="A1929">
        <v>229923</v>
      </c>
      <c r="B1929">
        <v>105</v>
      </c>
      <c r="C1929" t="s">
        <v>557</v>
      </c>
      <c r="D1929" t="s">
        <v>2581</v>
      </c>
      <c r="E1929" t="s">
        <v>3047</v>
      </c>
      <c r="F1929" s="451">
        <v>46142</v>
      </c>
      <c r="G1929">
        <v>24509</v>
      </c>
      <c r="H1929" t="s">
        <v>4788</v>
      </c>
      <c r="I1929" t="s">
        <v>5191</v>
      </c>
      <c r="J1929">
        <v>5</v>
      </c>
      <c r="K1929" t="s">
        <v>4744</v>
      </c>
      <c r="L1929">
        <v>20</v>
      </c>
      <c r="M1929">
        <v>4</v>
      </c>
      <c r="N1929" t="s">
        <v>5272</v>
      </c>
      <c r="O1929" t="s">
        <v>462</v>
      </c>
    </row>
    <row r="1930" spans="1:15" x14ac:dyDescent="0.3">
      <c r="A1930">
        <v>229923</v>
      </c>
      <c r="B1930">
        <v>105</v>
      </c>
      <c r="C1930" t="s">
        <v>557</v>
      </c>
      <c r="D1930" t="s">
        <v>2581</v>
      </c>
      <c r="E1930" t="s">
        <v>3047</v>
      </c>
      <c r="F1930" s="451">
        <v>46142</v>
      </c>
      <c r="G1930">
        <v>23359</v>
      </c>
      <c r="H1930" t="s">
        <v>4767</v>
      </c>
      <c r="I1930" t="s">
        <v>5191</v>
      </c>
      <c r="J1930">
        <v>15</v>
      </c>
      <c r="K1930" t="s">
        <v>4744</v>
      </c>
      <c r="L1930">
        <v>31.5</v>
      </c>
      <c r="M1930">
        <v>2.1</v>
      </c>
      <c r="N1930" t="s">
        <v>5272</v>
      </c>
      <c r="O1930" t="s">
        <v>462</v>
      </c>
    </row>
    <row r="1931" spans="1:15" x14ac:dyDescent="0.3">
      <c r="A1931">
        <v>229922</v>
      </c>
      <c r="B1931">
        <v>105</v>
      </c>
      <c r="C1931" t="s">
        <v>557</v>
      </c>
      <c r="D1931" t="s">
        <v>2563</v>
      </c>
      <c r="E1931" t="s">
        <v>3048</v>
      </c>
      <c r="F1931" s="451">
        <v>46142</v>
      </c>
      <c r="G1931">
        <v>19465</v>
      </c>
      <c r="H1931" t="s">
        <v>5114</v>
      </c>
      <c r="I1931" t="s">
        <v>5191</v>
      </c>
      <c r="J1931">
        <v>0.8</v>
      </c>
      <c r="K1931" t="s">
        <v>4744</v>
      </c>
      <c r="L1931">
        <v>4.6399999999999997</v>
      </c>
      <c r="M1931">
        <v>5.8</v>
      </c>
      <c r="N1931" t="s">
        <v>5272</v>
      </c>
      <c r="O1931" t="s">
        <v>462</v>
      </c>
    </row>
    <row r="1932" spans="1:15" x14ac:dyDescent="0.3">
      <c r="A1932">
        <v>229922</v>
      </c>
      <c r="B1932">
        <v>105</v>
      </c>
      <c r="C1932" t="s">
        <v>557</v>
      </c>
      <c r="D1932" t="s">
        <v>2563</v>
      </c>
      <c r="E1932" t="s">
        <v>3048</v>
      </c>
      <c r="F1932" s="451">
        <v>46142</v>
      </c>
      <c r="G1932">
        <v>19632</v>
      </c>
      <c r="H1932" t="s">
        <v>4936</v>
      </c>
      <c r="I1932" t="s">
        <v>5191</v>
      </c>
      <c r="J1932">
        <v>2</v>
      </c>
      <c r="K1932" t="s">
        <v>4744</v>
      </c>
      <c r="L1932">
        <v>11.02</v>
      </c>
      <c r="M1932">
        <v>5.51</v>
      </c>
      <c r="N1932" t="s">
        <v>5272</v>
      </c>
      <c r="O1932" t="s">
        <v>462</v>
      </c>
    </row>
    <row r="1933" spans="1:15" x14ac:dyDescent="0.3">
      <c r="A1933">
        <v>229922</v>
      </c>
      <c r="B1933">
        <v>105</v>
      </c>
      <c r="C1933" t="s">
        <v>557</v>
      </c>
      <c r="D1933" t="s">
        <v>2563</v>
      </c>
      <c r="E1933" t="s">
        <v>3048</v>
      </c>
      <c r="F1933" s="451">
        <v>46142</v>
      </c>
      <c r="G1933">
        <v>19621</v>
      </c>
      <c r="H1933" t="s">
        <v>4829</v>
      </c>
      <c r="I1933" t="s">
        <v>5191</v>
      </c>
      <c r="J1933">
        <v>3.2</v>
      </c>
      <c r="K1933" t="s">
        <v>4744</v>
      </c>
      <c r="L1933">
        <v>25.5</v>
      </c>
      <c r="M1933">
        <v>7.96875</v>
      </c>
      <c r="N1933" t="s">
        <v>5272</v>
      </c>
      <c r="O1933" t="s">
        <v>462</v>
      </c>
    </row>
    <row r="1934" spans="1:15" x14ac:dyDescent="0.3">
      <c r="A1934">
        <v>229922</v>
      </c>
      <c r="B1934">
        <v>105</v>
      </c>
      <c r="C1934" t="s">
        <v>557</v>
      </c>
      <c r="D1934" t="s">
        <v>2563</v>
      </c>
      <c r="E1934" t="s">
        <v>3048</v>
      </c>
      <c r="F1934" s="451">
        <v>46142</v>
      </c>
      <c r="G1934">
        <v>19507</v>
      </c>
      <c r="H1934" t="s">
        <v>4853</v>
      </c>
      <c r="I1934" t="s">
        <v>5191</v>
      </c>
      <c r="J1934">
        <v>1.8</v>
      </c>
      <c r="K1934" t="s">
        <v>4744</v>
      </c>
      <c r="L1934">
        <v>30.04</v>
      </c>
      <c r="M1934">
        <v>16.688889</v>
      </c>
      <c r="N1934" t="s">
        <v>5272</v>
      </c>
      <c r="O1934" t="s">
        <v>462</v>
      </c>
    </row>
    <row r="1935" spans="1:15" x14ac:dyDescent="0.3">
      <c r="A1935">
        <v>229922</v>
      </c>
      <c r="B1935">
        <v>105</v>
      </c>
      <c r="C1935" t="s">
        <v>557</v>
      </c>
      <c r="D1935" t="s">
        <v>2563</v>
      </c>
      <c r="E1935" t="s">
        <v>3048</v>
      </c>
      <c r="F1935" s="451">
        <v>46142</v>
      </c>
      <c r="G1935">
        <v>19476</v>
      </c>
      <c r="H1935" t="s">
        <v>5115</v>
      </c>
      <c r="I1935" t="s">
        <v>5191</v>
      </c>
      <c r="J1935">
        <v>0.6</v>
      </c>
      <c r="K1935" t="s">
        <v>4744</v>
      </c>
      <c r="L1935">
        <v>40.89</v>
      </c>
      <c r="M1935">
        <v>68.150000000000006</v>
      </c>
      <c r="N1935" t="s">
        <v>5272</v>
      </c>
      <c r="O1935" t="s">
        <v>462</v>
      </c>
    </row>
    <row r="1936" spans="1:15" x14ac:dyDescent="0.3">
      <c r="A1936">
        <v>229922</v>
      </c>
      <c r="B1936">
        <v>105</v>
      </c>
      <c r="C1936" t="s">
        <v>557</v>
      </c>
      <c r="D1936" t="s">
        <v>2563</v>
      </c>
      <c r="E1936" t="s">
        <v>3048</v>
      </c>
      <c r="F1936" s="451">
        <v>46142</v>
      </c>
      <c r="G1936">
        <v>19492</v>
      </c>
      <c r="H1936" t="s">
        <v>4937</v>
      </c>
      <c r="I1936" t="s">
        <v>5191</v>
      </c>
      <c r="J1936">
        <v>2.5</v>
      </c>
      <c r="K1936" t="s">
        <v>4744</v>
      </c>
      <c r="L1936">
        <v>46.57</v>
      </c>
      <c r="M1936">
        <v>18.628</v>
      </c>
      <c r="N1936" t="s">
        <v>5272</v>
      </c>
      <c r="O1936" t="s">
        <v>462</v>
      </c>
    </row>
    <row r="1937" spans="1:15" x14ac:dyDescent="0.3">
      <c r="A1937">
        <v>229922</v>
      </c>
      <c r="B1937">
        <v>105</v>
      </c>
      <c r="C1937" t="s">
        <v>557</v>
      </c>
      <c r="D1937" t="s">
        <v>2563</v>
      </c>
      <c r="E1937" t="s">
        <v>3048</v>
      </c>
      <c r="F1937" s="451">
        <v>46142</v>
      </c>
      <c r="G1937">
        <v>23228</v>
      </c>
      <c r="H1937" t="s">
        <v>4782</v>
      </c>
      <c r="I1937" t="s">
        <v>5191</v>
      </c>
      <c r="J1937">
        <v>10</v>
      </c>
      <c r="K1937" t="s">
        <v>4744</v>
      </c>
      <c r="L1937">
        <v>65.3</v>
      </c>
      <c r="M1937">
        <v>6.53</v>
      </c>
      <c r="N1937" t="s">
        <v>5272</v>
      </c>
      <c r="O1937" t="s">
        <v>462</v>
      </c>
    </row>
    <row r="1938" spans="1:15" x14ac:dyDescent="0.3">
      <c r="A1938">
        <v>229922</v>
      </c>
      <c r="B1938">
        <v>105</v>
      </c>
      <c r="C1938" t="s">
        <v>557</v>
      </c>
      <c r="D1938" t="s">
        <v>2563</v>
      </c>
      <c r="E1938" t="s">
        <v>3048</v>
      </c>
      <c r="F1938" s="451">
        <v>46142</v>
      </c>
      <c r="G1938">
        <v>19642</v>
      </c>
      <c r="H1938" t="s">
        <v>4996</v>
      </c>
      <c r="I1938" t="s">
        <v>5191</v>
      </c>
      <c r="J1938">
        <v>1</v>
      </c>
      <c r="K1938" t="s">
        <v>4744</v>
      </c>
      <c r="L1938">
        <v>5.58</v>
      </c>
      <c r="M1938">
        <v>5.58</v>
      </c>
      <c r="N1938" t="s">
        <v>5272</v>
      </c>
      <c r="O1938" t="s">
        <v>462</v>
      </c>
    </row>
    <row r="1939" spans="1:15" x14ac:dyDescent="0.3">
      <c r="A1939">
        <v>229922</v>
      </c>
      <c r="B1939">
        <v>105</v>
      </c>
      <c r="C1939" t="s">
        <v>557</v>
      </c>
      <c r="D1939" t="s">
        <v>2563</v>
      </c>
      <c r="E1939" t="s">
        <v>3048</v>
      </c>
      <c r="F1939" s="451">
        <v>46142</v>
      </c>
      <c r="G1939">
        <v>19532</v>
      </c>
      <c r="H1939" t="s">
        <v>4753</v>
      </c>
      <c r="I1939" t="s">
        <v>5191</v>
      </c>
      <c r="J1939">
        <v>10</v>
      </c>
      <c r="K1939" t="s">
        <v>4744</v>
      </c>
      <c r="L1939">
        <v>82.7</v>
      </c>
      <c r="M1939">
        <v>8.27</v>
      </c>
      <c r="N1939" t="s">
        <v>5272</v>
      </c>
      <c r="O1939" t="s">
        <v>462</v>
      </c>
    </row>
    <row r="1940" spans="1:15" x14ac:dyDescent="0.3">
      <c r="A1940">
        <v>229922</v>
      </c>
      <c r="B1940">
        <v>105</v>
      </c>
      <c r="C1940" t="s">
        <v>557</v>
      </c>
      <c r="D1940" t="s">
        <v>2563</v>
      </c>
      <c r="E1940" t="s">
        <v>3048</v>
      </c>
      <c r="F1940" s="451">
        <v>46142</v>
      </c>
      <c r="G1940">
        <v>24083</v>
      </c>
      <c r="H1940" t="s">
        <v>5165</v>
      </c>
      <c r="I1940" t="s">
        <v>5191</v>
      </c>
      <c r="J1940">
        <v>20</v>
      </c>
      <c r="K1940" t="s">
        <v>4744</v>
      </c>
      <c r="L1940">
        <v>108.8</v>
      </c>
      <c r="M1940">
        <v>5.44</v>
      </c>
      <c r="N1940" t="s">
        <v>5272</v>
      </c>
      <c r="O1940" t="s">
        <v>462</v>
      </c>
    </row>
    <row r="1941" spans="1:15" x14ac:dyDescent="0.3">
      <c r="A1941">
        <v>229922</v>
      </c>
      <c r="B1941">
        <v>105</v>
      </c>
      <c r="C1941" t="s">
        <v>557</v>
      </c>
      <c r="D1941" t="s">
        <v>2563</v>
      </c>
      <c r="E1941" t="s">
        <v>3048</v>
      </c>
      <c r="F1941" s="451">
        <v>46142</v>
      </c>
      <c r="G1941">
        <v>23238</v>
      </c>
      <c r="H1941" t="s">
        <v>4934</v>
      </c>
      <c r="I1941" t="s">
        <v>5191</v>
      </c>
      <c r="J1941">
        <v>2.2999999999999998</v>
      </c>
      <c r="K1941" t="s">
        <v>4744</v>
      </c>
      <c r="L1941">
        <v>45.01</v>
      </c>
      <c r="M1941">
        <v>19.569565000000001</v>
      </c>
      <c r="N1941" t="s">
        <v>5272</v>
      </c>
      <c r="O1941" t="s">
        <v>462</v>
      </c>
    </row>
    <row r="1942" spans="1:15" x14ac:dyDescent="0.3">
      <c r="A1942">
        <v>229922</v>
      </c>
      <c r="B1942">
        <v>105</v>
      </c>
      <c r="C1942" t="s">
        <v>557</v>
      </c>
      <c r="D1942" t="s">
        <v>2563</v>
      </c>
      <c r="E1942" t="s">
        <v>3048</v>
      </c>
      <c r="F1942" s="451">
        <v>46142</v>
      </c>
      <c r="G1942">
        <v>19572</v>
      </c>
      <c r="H1942" t="s">
        <v>4989</v>
      </c>
      <c r="I1942" t="s">
        <v>5191</v>
      </c>
      <c r="J1942">
        <v>2</v>
      </c>
      <c r="K1942" t="s">
        <v>4744</v>
      </c>
      <c r="L1942">
        <v>21.9</v>
      </c>
      <c r="M1942">
        <v>10.95</v>
      </c>
      <c r="N1942" t="s">
        <v>5272</v>
      </c>
      <c r="O1942" t="s">
        <v>462</v>
      </c>
    </row>
    <row r="1943" spans="1:15" x14ac:dyDescent="0.3">
      <c r="A1943">
        <v>229921</v>
      </c>
      <c r="B1943">
        <v>105</v>
      </c>
      <c r="C1943" t="s">
        <v>557</v>
      </c>
      <c r="D1943" t="s">
        <v>2552</v>
      </c>
      <c r="E1943" t="s">
        <v>3049</v>
      </c>
      <c r="F1943" s="451">
        <v>46142</v>
      </c>
      <c r="G1943">
        <v>26627</v>
      </c>
      <c r="H1943" t="s">
        <v>5190</v>
      </c>
      <c r="I1943" t="s">
        <v>5191</v>
      </c>
      <c r="J1943">
        <v>25</v>
      </c>
      <c r="K1943" t="s">
        <v>4744</v>
      </c>
      <c r="L1943">
        <v>197.5</v>
      </c>
      <c r="M1943">
        <v>7.9</v>
      </c>
      <c r="N1943" t="s">
        <v>5272</v>
      </c>
      <c r="O1943" t="s">
        <v>462</v>
      </c>
    </row>
    <row r="1944" spans="1:15" x14ac:dyDescent="0.3">
      <c r="A1944">
        <v>229920</v>
      </c>
      <c r="B1944">
        <v>105</v>
      </c>
      <c r="C1944" t="s">
        <v>557</v>
      </c>
      <c r="D1944" t="s">
        <v>2779</v>
      </c>
      <c r="E1944" t="s">
        <v>3050</v>
      </c>
      <c r="F1944" s="451">
        <v>46142</v>
      </c>
      <c r="G1944">
        <v>19003</v>
      </c>
      <c r="H1944" t="s">
        <v>4810</v>
      </c>
      <c r="I1944" t="s">
        <v>5191</v>
      </c>
      <c r="J1944">
        <v>10.27</v>
      </c>
      <c r="K1944" t="s">
        <v>4744</v>
      </c>
      <c r="L1944">
        <v>409.77</v>
      </c>
      <c r="M1944">
        <v>39.899707999999997</v>
      </c>
      <c r="N1944" t="s">
        <v>5272</v>
      </c>
      <c r="O1944" t="s">
        <v>462</v>
      </c>
    </row>
    <row r="1945" spans="1:15" x14ac:dyDescent="0.3">
      <c r="A1945">
        <v>229920</v>
      </c>
      <c r="B1945">
        <v>105</v>
      </c>
      <c r="C1945" t="s">
        <v>557</v>
      </c>
      <c r="D1945" t="s">
        <v>2779</v>
      </c>
      <c r="E1945" t="s">
        <v>3050</v>
      </c>
      <c r="F1945" s="451">
        <v>46142</v>
      </c>
      <c r="G1945">
        <v>26679</v>
      </c>
      <c r="H1945" t="s">
        <v>4791</v>
      </c>
      <c r="I1945" t="s">
        <v>5191</v>
      </c>
      <c r="J1945">
        <v>35.92</v>
      </c>
      <c r="K1945" t="s">
        <v>4744</v>
      </c>
      <c r="L1945">
        <v>1073.8900000000001</v>
      </c>
      <c r="M1945">
        <v>29.896715</v>
      </c>
      <c r="N1945" t="s">
        <v>5272</v>
      </c>
      <c r="O1945" t="s">
        <v>462</v>
      </c>
    </row>
    <row r="1946" spans="1:15" x14ac:dyDescent="0.3">
      <c r="A1946">
        <v>229919</v>
      </c>
      <c r="B1946">
        <v>105</v>
      </c>
      <c r="C1946" t="s">
        <v>557</v>
      </c>
      <c r="D1946" t="s">
        <v>2705</v>
      </c>
      <c r="E1946" t="s">
        <v>3051</v>
      </c>
      <c r="F1946" s="451">
        <v>46143</v>
      </c>
      <c r="G1946">
        <v>24658</v>
      </c>
      <c r="H1946" t="s">
        <v>5274</v>
      </c>
      <c r="I1946" t="s">
        <v>5232</v>
      </c>
      <c r="J1946">
        <v>20</v>
      </c>
      <c r="K1946" t="s">
        <v>4738</v>
      </c>
      <c r="L1946">
        <v>692</v>
      </c>
      <c r="M1946">
        <v>34.6</v>
      </c>
      <c r="N1946" t="s">
        <v>5275</v>
      </c>
      <c r="O1946" t="s">
        <v>463</v>
      </c>
    </row>
    <row r="1947" spans="1:15" x14ac:dyDescent="0.3">
      <c r="A1947">
        <v>229918</v>
      </c>
      <c r="B1947">
        <v>105</v>
      </c>
      <c r="C1947" t="s">
        <v>557</v>
      </c>
      <c r="D1947" t="s">
        <v>2554</v>
      </c>
      <c r="E1947" t="s">
        <v>3052</v>
      </c>
      <c r="F1947" s="451">
        <v>46143</v>
      </c>
      <c r="G1947">
        <v>24505</v>
      </c>
      <c r="H1947" t="s">
        <v>5198</v>
      </c>
      <c r="I1947" t="s">
        <v>5188</v>
      </c>
      <c r="J1947">
        <v>2</v>
      </c>
      <c r="K1947" t="s">
        <v>4738</v>
      </c>
      <c r="L1947">
        <v>9.9600000000000009</v>
      </c>
      <c r="M1947">
        <v>4.9800000000000004</v>
      </c>
      <c r="N1947" t="s">
        <v>5277</v>
      </c>
      <c r="O1947" t="s">
        <v>463</v>
      </c>
    </row>
    <row r="1948" spans="1:15" x14ac:dyDescent="0.3">
      <c r="A1948">
        <v>229918</v>
      </c>
      <c r="B1948">
        <v>105</v>
      </c>
      <c r="C1948" t="s">
        <v>557</v>
      </c>
      <c r="D1948" t="s">
        <v>2554</v>
      </c>
      <c r="E1948" t="s">
        <v>3052</v>
      </c>
      <c r="F1948" s="451">
        <v>46143</v>
      </c>
      <c r="G1948">
        <v>17304</v>
      </c>
      <c r="H1948" t="s">
        <v>5195</v>
      </c>
      <c r="I1948" t="s">
        <v>5188</v>
      </c>
      <c r="J1948">
        <v>2</v>
      </c>
      <c r="K1948" t="s">
        <v>4848</v>
      </c>
      <c r="L1948">
        <v>13.18</v>
      </c>
      <c r="M1948">
        <v>6.59</v>
      </c>
      <c r="N1948" t="s">
        <v>5277</v>
      </c>
      <c r="O1948" t="s">
        <v>463</v>
      </c>
    </row>
    <row r="1949" spans="1:15" x14ac:dyDescent="0.3">
      <c r="A1949">
        <v>229918</v>
      </c>
      <c r="B1949">
        <v>105</v>
      </c>
      <c r="C1949" t="s">
        <v>557</v>
      </c>
      <c r="D1949" t="s">
        <v>2554</v>
      </c>
      <c r="E1949" t="s">
        <v>3052</v>
      </c>
      <c r="F1949" s="451">
        <v>46143</v>
      </c>
      <c r="G1949">
        <v>23971</v>
      </c>
      <c r="H1949" t="s">
        <v>5296</v>
      </c>
      <c r="I1949" t="s">
        <v>5232</v>
      </c>
      <c r="J1949">
        <v>3</v>
      </c>
      <c r="K1949" t="s">
        <v>4736</v>
      </c>
      <c r="L1949">
        <v>31.5</v>
      </c>
      <c r="M1949">
        <v>10.5</v>
      </c>
      <c r="N1949" t="s">
        <v>5277</v>
      </c>
      <c r="O1949" t="s">
        <v>463</v>
      </c>
    </row>
    <row r="1950" spans="1:15" x14ac:dyDescent="0.3">
      <c r="A1950">
        <v>229918</v>
      </c>
      <c r="B1950">
        <v>105</v>
      </c>
      <c r="C1950" t="s">
        <v>557</v>
      </c>
      <c r="D1950" t="s">
        <v>2554</v>
      </c>
      <c r="E1950" t="s">
        <v>3052</v>
      </c>
      <c r="F1950" s="451">
        <v>46143</v>
      </c>
      <c r="G1950">
        <v>17416</v>
      </c>
      <c r="H1950" t="s">
        <v>5209</v>
      </c>
      <c r="I1950" t="s">
        <v>5188</v>
      </c>
      <c r="J1950">
        <v>1</v>
      </c>
      <c r="K1950" t="s">
        <v>4749</v>
      </c>
      <c r="L1950">
        <v>48.58</v>
      </c>
      <c r="M1950">
        <v>48.58</v>
      </c>
      <c r="N1950" t="s">
        <v>5277</v>
      </c>
      <c r="O1950" t="s">
        <v>463</v>
      </c>
    </row>
    <row r="1951" spans="1:15" x14ac:dyDescent="0.3">
      <c r="A1951">
        <v>229918</v>
      </c>
      <c r="B1951">
        <v>105</v>
      </c>
      <c r="C1951" t="s">
        <v>557</v>
      </c>
      <c r="D1951" t="s">
        <v>2554</v>
      </c>
      <c r="E1951" t="s">
        <v>3052</v>
      </c>
      <c r="F1951" s="451">
        <v>46143</v>
      </c>
      <c r="G1951">
        <v>24787</v>
      </c>
      <c r="H1951" t="s">
        <v>5212</v>
      </c>
      <c r="I1951" t="s">
        <v>5188</v>
      </c>
      <c r="J1951">
        <v>1</v>
      </c>
      <c r="K1951" t="s">
        <v>4738</v>
      </c>
      <c r="L1951">
        <v>82.21</v>
      </c>
      <c r="M1951">
        <v>82.21</v>
      </c>
      <c r="N1951" t="s">
        <v>5277</v>
      </c>
      <c r="O1951" t="s">
        <v>463</v>
      </c>
    </row>
    <row r="1952" spans="1:15" x14ac:dyDescent="0.3">
      <c r="A1952">
        <v>229918</v>
      </c>
      <c r="B1952">
        <v>105</v>
      </c>
      <c r="C1952" t="s">
        <v>557</v>
      </c>
      <c r="D1952" t="s">
        <v>2554</v>
      </c>
      <c r="E1952" t="s">
        <v>3052</v>
      </c>
      <c r="F1952" s="451">
        <v>46143</v>
      </c>
      <c r="G1952">
        <v>17418</v>
      </c>
      <c r="H1952" t="s">
        <v>5207</v>
      </c>
      <c r="I1952" t="s">
        <v>5188</v>
      </c>
      <c r="J1952">
        <v>1</v>
      </c>
      <c r="K1952" t="s">
        <v>4749</v>
      </c>
      <c r="L1952">
        <v>58.9</v>
      </c>
      <c r="M1952">
        <v>58.9</v>
      </c>
      <c r="N1952" t="s">
        <v>5277</v>
      </c>
      <c r="O1952" t="s">
        <v>463</v>
      </c>
    </row>
    <row r="1953" spans="1:15" x14ac:dyDescent="0.3">
      <c r="A1953">
        <v>229918</v>
      </c>
      <c r="B1953">
        <v>105</v>
      </c>
      <c r="C1953" t="s">
        <v>557</v>
      </c>
      <c r="D1953" t="s">
        <v>2554</v>
      </c>
      <c r="E1953" t="s">
        <v>3052</v>
      </c>
      <c r="F1953" s="451">
        <v>46143</v>
      </c>
      <c r="G1953">
        <v>28298</v>
      </c>
      <c r="H1953" t="s">
        <v>5261</v>
      </c>
      <c r="I1953" t="s">
        <v>5188</v>
      </c>
      <c r="J1953">
        <v>1</v>
      </c>
      <c r="K1953" t="s">
        <v>4749</v>
      </c>
      <c r="L1953">
        <v>75</v>
      </c>
      <c r="M1953">
        <v>75</v>
      </c>
      <c r="N1953" t="s">
        <v>5277</v>
      </c>
      <c r="O1953" t="s">
        <v>463</v>
      </c>
    </row>
    <row r="1954" spans="1:15" x14ac:dyDescent="0.3">
      <c r="A1954">
        <v>229918</v>
      </c>
      <c r="B1954">
        <v>105</v>
      </c>
      <c r="C1954" t="s">
        <v>557</v>
      </c>
      <c r="D1954" t="s">
        <v>2554</v>
      </c>
      <c r="E1954" t="s">
        <v>3052</v>
      </c>
      <c r="F1954" s="451">
        <v>46143</v>
      </c>
      <c r="G1954">
        <v>17162</v>
      </c>
      <c r="H1954" t="s">
        <v>5255</v>
      </c>
      <c r="I1954" t="s">
        <v>5188</v>
      </c>
      <c r="J1954">
        <v>1</v>
      </c>
      <c r="K1954" t="s">
        <v>4736</v>
      </c>
      <c r="L1954">
        <v>54</v>
      </c>
      <c r="M1954">
        <v>54</v>
      </c>
      <c r="N1954" t="s">
        <v>5277</v>
      </c>
      <c r="O1954" t="s">
        <v>463</v>
      </c>
    </row>
    <row r="1955" spans="1:15" x14ac:dyDescent="0.3">
      <c r="A1955">
        <v>229918</v>
      </c>
      <c r="B1955">
        <v>105</v>
      </c>
      <c r="C1955" t="s">
        <v>557</v>
      </c>
      <c r="D1955" t="s">
        <v>2554</v>
      </c>
      <c r="E1955" t="s">
        <v>3052</v>
      </c>
      <c r="F1955" s="451">
        <v>46143</v>
      </c>
      <c r="G1955">
        <v>17381</v>
      </c>
      <c r="H1955" t="s">
        <v>5262</v>
      </c>
      <c r="I1955" t="s">
        <v>5188</v>
      </c>
      <c r="J1955">
        <v>1</v>
      </c>
      <c r="K1955" t="s">
        <v>4736</v>
      </c>
      <c r="L1955">
        <v>45</v>
      </c>
      <c r="M1955">
        <v>45</v>
      </c>
      <c r="N1955" t="s">
        <v>5277</v>
      </c>
      <c r="O1955" t="s">
        <v>463</v>
      </c>
    </row>
    <row r="1956" spans="1:15" x14ac:dyDescent="0.3">
      <c r="A1956">
        <v>229918</v>
      </c>
      <c r="B1956">
        <v>105</v>
      </c>
      <c r="C1956" t="s">
        <v>557</v>
      </c>
      <c r="D1956" t="s">
        <v>2554</v>
      </c>
      <c r="E1956" t="s">
        <v>3052</v>
      </c>
      <c r="F1956" s="451">
        <v>46143</v>
      </c>
      <c r="G1956">
        <v>17138</v>
      </c>
      <c r="H1956" t="s">
        <v>5297</v>
      </c>
      <c r="I1956" t="s">
        <v>5188</v>
      </c>
      <c r="J1956">
        <v>3</v>
      </c>
      <c r="K1956" t="s">
        <v>4736</v>
      </c>
      <c r="L1956">
        <v>25.8</v>
      </c>
      <c r="M1956">
        <v>8.6</v>
      </c>
      <c r="N1956" t="s">
        <v>5277</v>
      </c>
      <c r="O1956" t="s">
        <v>463</v>
      </c>
    </row>
    <row r="1957" spans="1:15" x14ac:dyDescent="0.3">
      <c r="A1957">
        <v>229918</v>
      </c>
      <c r="B1957">
        <v>105</v>
      </c>
      <c r="C1957" t="s">
        <v>557</v>
      </c>
      <c r="D1957" t="s">
        <v>2554</v>
      </c>
      <c r="E1957" t="s">
        <v>3052</v>
      </c>
      <c r="F1957" s="451">
        <v>46143</v>
      </c>
      <c r="G1957">
        <v>17314</v>
      </c>
      <c r="H1957" t="s">
        <v>5208</v>
      </c>
      <c r="I1957" t="s">
        <v>5188</v>
      </c>
      <c r="J1957">
        <v>3</v>
      </c>
      <c r="K1957" t="s">
        <v>4848</v>
      </c>
      <c r="L1957">
        <v>29.7</v>
      </c>
      <c r="M1957">
        <v>9.9</v>
      </c>
      <c r="N1957" t="s">
        <v>5277</v>
      </c>
      <c r="O1957" t="s">
        <v>463</v>
      </c>
    </row>
    <row r="1958" spans="1:15" x14ac:dyDescent="0.3">
      <c r="A1958">
        <v>229917</v>
      </c>
      <c r="B1958">
        <v>105</v>
      </c>
      <c r="C1958" t="s">
        <v>557</v>
      </c>
      <c r="D1958" t="s">
        <v>2557</v>
      </c>
      <c r="E1958" t="s">
        <v>3053</v>
      </c>
      <c r="F1958" s="451">
        <v>46143</v>
      </c>
      <c r="G1958">
        <v>17465</v>
      </c>
      <c r="H1958" t="s">
        <v>5279</v>
      </c>
      <c r="I1958" t="s">
        <v>5215</v>
      </c>
      <c r="J1958">
        <v>1</v>
      </c>
      <c r="K1958" t="s">
        <v>4749</v>
      </c>
      <c r="L1958">
        <v>764.13</v>
      </c>
      <c r="M1958">
        <v>764.13</v>
      </c>
      <c r="N1958" t="s">
        <v>5312</v>
      </c>
      <c r="O1958" t="s">
        <v>463</v>
      </c>
    </row>
    <row r="1959" spans="1:15" x14ac:dyDescent="0.3">
      <c r="A1959">
        <v>229916</v>
      </c>
      <c r="B1959">
        <v>105</v>
      </c>
      <c r="C1959" t="s">
        <v>557</v>
      </c>
      <c r="D1959" t="s">
        <v>2563</v>
      </c>
      <c r="E1959" t="s">
        <v>3054</v>
      </c>
      <c r="F1959" s="451">
        <v>46142</v>
      </c>
      <c r="G1959">
        <v>19532</v>
      </c>
      <c r="H1959" t="s">
        <v>4753</v>
      </c>
      <c r="I1959" t="s">
        <v>5191</v>
      </c>
      <c r="J1959">
        <v>13</v>
      </c>
      <c r="K1959" t="s">
        <v>4744</v>
      </c>
      <c r="L1959">
        <v>107.51</v>
      </c>
      <c r="M1959">
        <v>8.27</v>
      </c>
      <c r="N1959" t="s">
        <v>5272</v>
      </c>
      <c r="O1959" t="s">
        <v>462</v>
      </c>
    </row>
    <row r="1960" spans="1:15" x14ac:dyDescent="0.3">
      <c r="A1960">
        <v>229916</v>
      </c>
      <c r="B1960">
        <v>105</v>
      </c>
      <c r="C1960" t="s">
        <v>557</v>
      </c>
      <c r="D1960" t="s">
        <v>2563</v>
      </c>
      <c r="E1960" t="s">
        <v>3054</v>
      </c>
      <c r="F1960" s="451">
        <v>46142</v>
      </c>
      <c r="G1960">
        <v>19607</v>
      </c>
      <c r="H1960" t="s">
        <v>4981</v>
      </c>
      <c r="I1960" t="s">
        <v>5191</v>
      </c>
      <c r="J1960">
        <v>0.7</v>
      </c>
      <c r="K1960" t="s">
        <v>4744</v>
      </c>
      <c r="L1960">
        <v>8.07</v>
      </c>
      <c r="M1960">
        <v>11.528570999999999</v>
      </c>
      <c r="N1960" t="s">
        <v>5272</v>
      </c>
      <c r="O1960" t="s">
        <v>462</v>
      </c>
    </row>
    <row r="1961" spans="1:15" x14ac:dyDescent="0.3">
      <c r="A1961">
        <v>229916</v>
      </c>
      <c r="B1961">
        <v>105</v>
      </c>
      <c r="C1961" t="s">
        <v>557</v>
      </c>
      <c r="D1961" t="s">
        <v>2563</v>
      </c>
      <c r="E1961" t="s">
        <v>3054</v>
      </c>
      <c r="F1961" s="451">
        <v>46142</v>
      </c>
      <c r="G1961">
        <v>19621</v>
      </c>
      <c r="H1961" t="s">
        <v>4829</v>
      </c>
      <c r="I1961" t="s">
        <v>5191</v>
      </c>
      <c r="J1961">
        <v>5</v>
      </c>
      <c r="K1961" t="s">
        <v>4744</v>
      </c>
      <c r="L1961">
        <v>39.85</v>
      </c>
      <c r="M1961">
        <v>7.97</v>
      </c>
      <c r="N1961" t="s">
        <v>5272</v>
      </c>
      <c r="O1961" t="s">
        <v>462</v>
      </c>
    </row>
    <row r="1962" spans="1:15" x14ac:dyDescent="0.3">
      <c r="A1962">
        <v>229915</v>
      </c>
      <c r="B1962">
        <v>105</v>
      </c>
      <c r="C1962" t="s">
        <v>557</v>
      </c>
      <c r="D1962" t="s">
        <v>2552</v>
      </c>
      <c r="E1962" t="s">
        <v>3055</v>
      </c>
      <c r="F1962" s="451">
        <v>46142</v>
      </c>
      <c r="G1962">
        <v>26627</v>
      </c>
      <c r="H1962" t="s">
        <v>5190</v>
      </c>
      <c r="I1962" t="s">
        <v>5191</v>
      </c>
      <c r="J1962">
        <v>20</v>
      </c>
      <c r="K1962" t="s">
        <v>4744</v>
      </c>
      <c r="L1962">
        <v>158</v>
      </c>
      <c r="M1962">
        <v>7.9</v>
      </c>
      <c r="N1962" t="s">
        <v>5191</v>
      </c>
      <c r="O1962" t="s">
        <v>462</v>
      </c>
    </row>
    <row r="1963" spans="1:15" x14ac:dyDescent="0.3">
      <c r="A1963">
        <v>229914</v>
      </c>
      <c r="B1963">
        <v>105</v>
      </c>
      <c r="C1963" t="s">
        <v>557</v>
      </c>
      <c r="D1963" t="s">
        <v>2600</v>
      </c>
      <c r="E1963" t="s">
        <v>3056</v>
      </c>
      <c r="F1963" s="451">
        <v>46142</v>
      </c>
      <c r="G1963">
        <v>20549</v>
      </c>
      <c r="H1963" t="s">
        <v>4823</v>
      </c>
      <c r="I1963" t="s">
        <v>5191</v>
      </c>
      <c r="J1963">
        <v>10.4</v>
      </c>
      <c r="K1963" t="s">
        <v>4744</v>
      </c>
      <c r="L1963">
        <v>207.9</v>
      </c>
      <c r="M1963">
        <v>19.990385</v>
      </c>
      <c r="N1963" t="s">
        <v>5272</v>
      </c>
      <c r="O1963" t="s">
        <v>462</v>
      </c>
    </row>
    <row r="1964" spans="1:15" x14ac:dyDescent="0.3">
      <c r="A1964">
        <v>229914</v>
      </c>
      <c r="B1964">
        <v>105</v>
      </c>
      <c r="C1964" t="s">
        <v>557</v>
      </c>
      <c r="D1964" t="s">
        <v>2600</v>
      </c>
      <c r="E1964" t="s">
        <v>3056</v>
      </c>
      <c r="F1964" s="451">
        <v>46142</v>
      </c>
      <c r="G1964">
        <v>24403</v>
      </c>
      <c r="H1964" t="s">
        <v>5149</v>
      </c>
      <c r="I1964" t="s">
        <v>5191</v>
      </c>
      <c r="J1964">
        <v>8</v>
      </c>
      <c r="K1964" t="s">
        <v>4744</v>
      </c>
      <c r="L1964">
        <v>103.92</v>
      </c>
      <c r="M1964">
        <v>12.99</v>
      </c>
      <c r="N1964" t="s">
        <v>5272</v>
      </c>
      <c r="O1964" t="s">
        <v>462</v>
      </c>
    </row>
    <row r="1965" spans="1:15" x14ac:dyDescent="0.3">
      <c r="A1965">
        <v>229913</v>
      </c>
      <c r="B1965">
        <v>105</v>
      </c>
      <c r="C1965" t="s">
        <v>557</v>
      </c>
      <c r="D1965" t="s">
        <v>2579</v>
      </c>
      <c r="E1965" t="s">
        <v>3057</v>
      </c>
      <c r="F1965" s="451">
        <v>46142</v>
      </c>
      <c r="G1965">
        <v>23236</v>
      </c>
      <c r="H1965" t="s">
        <v>5062</v>
      </c>
      <c r="I1965" t="s">
        <v>5191</v>
      </c>
      <c r="J1965">
        <v>1</v>
      </c>
      <c r="K1965" t="s">
        <v>4744</v>
      </c>
      <c r="L1965">
        <v>9.39</v>
      </c>
      <c r="M1965">
        <v>9.39</v>
      </c>
      <c r="N1965" t="s">
        <v>5272</v>
      </c>
      <c r="O1965" t="s">
        <v>462</v>
      </c>
    </row>
    <row r="1966" spans="1:15" x14ac:dyDescent="0.3">
      <c r="A1966">
        <v>229913</v>
      </c>
      <c r="B1966">
        <v>105</v>
      </c>
      <c r="C1966" t="s">
        <v>557</v>
      </c>
      <c r="D1966" t="s">
        <v>2579</v>
      </c>
      <c r="E1966" t="s">
        <v>3057</v>
      </c>
      <c r="F1966" s="451">
        <v>46142</v>
      </c>
      <c r="G1966">
        <v>23096</v>
      </c>
      <c r="H1966" t="s">
        <v>5164</v>
      </c>
      <c r="I1966" t="s">
        <v>5191</v>
      </c>
      <c r="J1966">
        <v>60</v>
      </c>
      <c r="K1966" t="s">
        <v>4736</v>
      </c>
      <c r="L1966">
        <v>39</v>
      </c>
      <c r="M1966">
        <v>0.65</v>
      </c>
      <c r="N1966" t="s">
        <v>5272</v>
      </c>
      <c r="O1966" t="s">
        <v>462</v>
      </c>
    </row>
    <row r="1967" spans="1:15" x14ac:dyDescent="0.3">
      <c r="A1967">
        <v>229913</v>
      </c>
      <c r="B1967">
        <v>105</v>
      </c>
      <c r="C1967" t="s">
        <v>557</v>
      </c>
      <c r="D1967" t="s">
        <v>2579</v>
      </c>
      <c r="E1967" t="s">
        <v>3057</v>
      </c>
      <c r="F1967" s="451">
        <v>46142</v>
      </c>
      <c r="G1967">
        <v>19589</v>
      </c>
      <c r="H1967" t="s">
        <v>4983</v>
      </c>
      <c r="I1967" t="s">
        <v>5191</v>
      </c>
      <c r="J1967">
        <v>2</v>
      </c>
      <c r="K1967" t="s">
        <v>4744</v>
      </c>
      <c r="L1967">
        <v>14.56</v>
      </c>
      <c r="M1967">
        <v>7.28</v>
      </c>
      <c r="N1967" t="s">
        <v>5272</v>
      </c>
      <c r="O1967" t="s">
        <v>462</v>
      </c>
    </row>
    <row r="1968" spans="1:15" x14ac:dyDescent="0.3">
      <c r="A1968">
        <v>229913</v>
      </c>
      <c r="B1968">
        <v>105</v>
      </c>
      <c r="C1968" t="s">
        <v>557</v>
      </c>
      <c r="D1968" t="s">
        <v>2579</v>
      </c>
      <c r="E1968" t="s">
        <v>3057</v>
      </c>
      <c r="F1968" s="451">
        <v>46142</v>
      </c>
      <c r="G1968">
        <v>19634</v>
      </c>
      <c r="H1968" t="s">
        <v>4792</v>
      </c>
      <c r="I1968" t="s">
        <v>5191</v>
      </c>
      <c r="J1968">
        <v>4</v>
      </c>
      <c r="K1968" t="s">
        <v>4744</v>
      </c>
      <c r="L1968">
        <v>31.2</v>
      </c>
      <c r="M1968">
        <v>7.8</v>
      </c>
      <c r="N1968" t="s">
        <v>5272</v>
      </c>
      <c r="O1968" t="s">
        <v>462</v>
      </c>
    </row>
    <row r="1969" spans="1:15" x14ac:dyDescent="0.3">
      <c r="A1969">
        <v>229913</v>
      </c>
      <c r="B1969">
        <v>105</v>
      </c>
      <c r="C1969" t="s">
        <v>557</v>
      </c>
      <c r="D1969" t="s">
        <v>2579</v>
      </c>
      <c r="E1969" t="s">
        <v>3057</v>
      </c>
      <c r="F1969" s="451">
        <v>46142</v>
      </c>
      <c r="G1969">
        <v>23108</v>
      </c>
      <c r="H1969" t="s">
        <v>5117</v>
      </c>
      <c r="I1969" t="s">
        <v>5191</v>
      </c>
      <c r="J1969">
        <v>0.1</v>
      </c>
      <c r="K1969" t="s">
        <v>4744</v>
      </c>
      <c r="L1969">
        <v>9.1</v>
      </c>
      <c r="M1969">
        <v>91</v>
      </c>
      <c r="N1969" t="s">
        <v>5272</v>
      </c>
      <c r="O1969" t="s">
        <v>462</v>
      </c>
    </row>
    <row r="1970" spans="1:15" x14ac:dyDescent="0.3">
      <c r="A1970">
        <v>229912</v>
      </c>
      <c r="B1970">
        <v>105</v>
      </c>
      <c r="C1970" t="s">
        <v>557</v>
      </c>
      <c r="D1970" t="s">
        <v>2579</v>
      </c>
      <c r="E1970" t="s">
        <v>3058</v>
      </c>
      <c r="F1970" s="451">
        <v>46142</v>
      </c>
      <c r="G1970">
        <v>24489</v>
      </c>
      <c r="H1970" t="s">
        <v>5121</v>
      </c>
      <c r="I1970" t="s">
        <v>5191</v>
      </c>
      <c r="J1970">
        <v>1</v>
      </c>
      <c r="K1970" t="s">
        <v>4744</v>
      </c>
      <c r="L1970">
        <v>26</v>
      </c>
      <c r="M1970">
        <v>26</v>
      </c>
      <c r="N1970" t="s">
        <v>5272</v>
      </c>
      <c r="O1970" t="s">
        <v>462</v>
      </c>
    </row>
    <row r="1971" spans="1:15" x14ac:dyDescent="0.3">
      <c r="A1971">
        <v>229912</v>
      </c>
      <c r="B1971">
        <v>105</v>
      </c>
      <c r="C1971" t="s">
        <v>557</v>
      </c>
      <c r="D1971" t="s">
        <v>2579</v>
      </c>
      <c r="E1971" t="s">
        <v>3058</v>
      </c>
      <c r="F1971" s="451">
        <v>46142</v>
      </c>
      <c r="G1971">
        <v>23096</v>
      </c>
      <c r="H1971" t="s">
        <v>5164</v>
      </c>
      <c r="I1971" t="s">
        <v>5191</v>
      </c>
      <c r="J1971">
        <v>90</v>
      </c>
      <c r="K1971" t="s">
        <v>4736</v>
      </c>
      <c r="L1971">
        <v>58.5</v>
      </c>
      <c r="M1971">
        <v>0.65</v>
      </c>
      <c r="N1971" t="s">
        <v>5272</v>
      </c>
      <c r="O1971" t="s">
        <v>462</v>
      </c>
    </row>
    <row r="1972" spans="1:15" x14ac:dyDescent="0.3">
      <c r="A1972">
        <v>229912</v>
      </c>
      <c r="B1972">
        <v>105</v>
      </c>
      <c r="C1972" t="s">
        <v>557</v>
      </c>
      <c r="D1972" t="s">
        <v>2579</v>
      </c>
      <c r="E1972" t="s">
        <v>3058</v>
      </c>
      <c r="F1972" s="451">
        <v>46142</v>
      </c>
      <c r="G1972">
        <v>19743</v>
      </c>
      <c r="H1972" t="s">
        <v>5047</v>
      </c>
      <c r="I1972" t="s">
        <v>5191</v>
      </c>
      <c r="J1972">
        <v>2.2000000000000002</v>
      </c>
      <c r="K1972" t="s">
        <v>4744</v>
      </c>
      <c r="L1972">
        <v>34.32</v>
      </c>
      <c r="M1972">
        <v>15.6</v>
      </c>
      <c r="N1972" t="s">
        <v>5272</v>
      </c>
      <c r="O1972" t="s">
        <v>462</v>
      </c>
    </row>
    <row r="1973" spans="1:15" x14ac:dyDescent="0.3">
      <c r="A1973">
        <v>229912</v>
      </c>
      <c r="B1973">
        <v>105</v>
      </c>
      <c r="C1973" t="s">
        <v>557</v>
      </c>
      <c r="D1973" t="s">
        <v>2579</v>
      </c>
      <c r="E1973" t="s">
        <v>3058</v>
      </c>
      <c r="F1973" s="451">
        <v>46142</v>
      </c>
      <c r="G1973">
        <v>23198</v>
      </c>
      <c r="H1973" t="s">
        <v>4962</v>
      </c>
      <c r="I1973" t="s">
        <v>5191</v>
      </c>
      <c r="J1973">
        <v>1.2</v>
      </c>
      <c r="K1973" t="s">
        <v>4744</v>
      </c>
      <c r="L1973">
        <v>14.04</v>
      </c>
      <c r="M1973">
        <v>11.7</v>
      </c>
      <c r="N1973" t="s">
        <v>5272</v>
      </c>
      <c r="O1973" t="s">
        <v>462</v>
      </c>
    </row>
    <row r="1974" spans="1:15" x14ac:dyDescent="0.3">
      <c r="A1974">
        <v>229912</v>
      </c>
      <c r="B1974">
        <v>105</v>
      </c>
      <c r="C1974" t="s">
        <v>557</v>
      </c>
      <c r="D1974" t="s">
        <v>2579</v>
      </c>
      <c r="E1974" t="s">
        <v>3058</v>
      </c>
      <c r="F1974" s="451">
        <v>46142</v>
      </c>
      <c r="G1974">
        <v>23361</v>
      </c>
      <c r="H1974" t="s">
        <v>4754</v>
      </c>
      <c r="I1974" t="s">
        <v>5191</v>
      </c>
      <c r="J1974">
        <v>20</v>
      </c>
      <c r="K1974" t="s">
        <v>4744</v>
      </c>
      <c r="L1974">
        <v>59.8</v>
      </c>
      <c r="M1974">
        <v>2.99</v>
      </c>
      <c r="N1974" t="s">
        <v>5272</v>
      </c>
      <c r="O1974" t="s">
        <v>462</v>
      </c>
    </row>
    <row r="1975" spans="1:15" x14ac:dyDescent="0.3">
      <c r="A1975">
        <v>229912</v>
      </c>
      <c r="B1975">
        <v>105</v>
      </c>
      <c r="C1975" t="s">
        <v>557</v>
      </c>
      <c r="D1975" t="s">
        <v>2579</v>
      </c>
      <c r="E1975" t="s">
        <v>3058</v>
      </c>
      <c r="F1975" s="451">
        <v>46142</v>
      </c>
      <c r="G1975">
        <v>23346</v>
      </c>
      <c r="H1975" t="s">
        <v>4916</v>
      </c>
      <c r="I1975" t="s">
        <v>5191</v>
      </c>
      <c r="J1975">
        <v>3.9</v>
      </c>
      <c r="K1975" t="s">
        <v>4744</v>
      </c>
      <c r="L1975">
        <v>30.42</v>
      </c>
      <c r="M1975">
        <v>7.8</v>
      </c>
      <c r="N1975" t="s">
        <v>5272</v>
      </c>
      <c r="O1975" t="s">
        <v>462</v>
      </c>
    </row>
    <row r="1976" spans="1:15" x14ac:dyDescent="0.3">
      <c r="A1976">
        <v>229912</v>
      </c>
      <c r="B1976">
        <v>105</v>
      </c>
      <c r="C1976" t="s">
        <v>557</v>
      </c>
      <c r="D1976" t="s">
        <v>2579</v>
      </c>
      <c r="E1976" t="s">
        <v>3058</v>
      </c>
      <c r="F1976" s="451">
        <v>46142</v>
      </c>
      <c r="G1976">
        <v>23389</v>
      </c>
      <c r="H1976" t="s">
        <v>4960</v>
      </c>
      <c r="I1976" t="s">
        <v>5191</v>
      </c>
      <c r="J1976">
        <v>4</v>
      </c>
      <c r="K1976" t="s">
        <v>4744</v>
      </c>
      <c r="L1976">
        <v>18.2</v>
      </c>
      <c r="M1976">
        <v>4.55</v>
      </c>
      <c r="N1976" t="s">
        <v>5272</v>
      </c>
      <c r="O1976" t="s">
        <v>462</v>
      </c>
    </row>
    <row r="1977" spans="1:15" x14ac:dyDescent="0.3">
      <c r="A1977">
        <v>229912</v>
      </c>
      <c r="B1977">
        <v>105</v>
      </c>
      <c r="C1977" t="s">
        <v>557</v>
      </c>
      <c r="D1977" t="s">
        <v>2579</v>
      </c>
      <c r="E1977" t="s">
        <v>3058</v>
      </c>
      <c r="F1977" s="451">
        <v>46142</v>
      </c>
      <c r="G1977">
        <v>19589</v>
      </c>
      <c r="H1977" t="s">
        <v>4983</v>
      </c>
      <c r="I1977" t="s">
        <v>5191</v>
      </c>
      <c r="J1977">
        <v>3</v>
      </c>
      <c r="K1977" t="s">
        <v>4744</v>
      </c>
      <c r="L1977">
        <v>21.84</v>
      </c>
      <c r="M1977">
        <v>7.28</v>
      </c>
      <c r="N1977" t="s">
        <v>5272</v>
      </c>
      <c r="O1977" t="s">
        <v>462</v>
      </c>
    </row>
    <row r="1978" spans="1:15" x14ac:dyDescent="0.3">
      <c r="A1978">
        <v>229912</v>
      </c>
      <c r="B1978">
        <v>105</v>
      </c>
      <c r="C1978" t="s">
        <v>557</v>
      </c>
      <c r="D1978" t="s">
        <v>2579</v>
      </c>
      <c r="E1978" t="s">
        <v>3058</v>
      </c>
      <c r="F1978" s="451">
        <v>46142</v>
      </c>
      <c r="G1978">
        <v>19728</v>
      </c>
      <c r="H1978" t="s">
        <v>5106</v>
      </c>
      <c r="I1978" t="s">
        <v>5191</v>
      </c>
      <c r="J1978">
        <v>1.5</v>
      </c>
      <c r="K1978" t="s">
        <v>4744</v>
      </c>
      <c r="L1978">
        <v>17.55</v>
      </c>
      <c r="M1978">
        <v>11.7</v>
      </c>
      <c r="N1978" t="s">
        <v>5272</v>
      </c>
      <c r="O1978" t="s">
        <v>462</v>
      </c>
    </row>
    <row r="1979" spans="1:15" x14ac:dyDescent="0.3">
      <c r="A1979">
        <v>229912</v>
      </c>
      <c r="B1979">
        <v>105</v>
      </c>
      <c r="C1979" t="s">
        <v>557</v>
      </c>
      <c r="D1979" t="s">
        <v>2579</v>
      </c>
      <c r="E1979" t="s">
        <v>3058</v>
      </c>
      <c r="F1979" s="451">
        <v>46142</v>
      </c>
      <c r="G1979">
        <v>19634</v>
      </c>
      <c r="H1979" t="s">
        <v>4792</v>
      </c>
      <c r="I1979" t="s">
        <v>5191</v>
      </c>
      <c r="J1979">
        <v>5</v>
      </c>
      <c r="K1979" t="s">
        <v>4744</v>
      </c>
      <c r="L1979">
        <v>39</v>
      </c>
      <c r="M1979">
        <v>7.8</v>
      </c>
      <c r="N1979" t="s">
        <v>5272</v>
      </c>
      <c r="O1979" t="s">
        <v>462</v>
      </c>
    </row>
    <row r="1980" spans="1:15" x14ac:dyDescent="0.3">
      <c r="A1980">
        <v>229912</v>
      </c>
      <c r="B1980">
        <v>105</v>
      </c>
      <c r="C1980" t="s">
        <v>557</v>
      </c>
      <c r="D1980" t="s">
        <v>2579</v>
      </c>
      <c r="E1980" t="s">
        <v>3058</v>
      </c>
      <c r="F1980" s="451">
        <v>46142</v>
      </c>
      <c r="G1980">
        <v>19734</v>
      </c>
      <c r="H1980" t="s">
        <v>4833</v>
      </c>
      <c r="I1980" t="s">
        <v>5191</v>
      </c>
      <c r="J1980">
        <v>3</v>
      </c>
      <c r="K1980" t="s">
        <v>4744</v>
      </c>
      <c r="L1980">
        <v>39</v>
      </c>
      <c r="M1980">
        <v>13</v>
      </c>
      <c r="N1980" t="s">
        <v>5272</v>
      </c>
      <c r="O1980" t="s">
        <v>462</v>
      </c>
    </row>
    <row r="1981" spans="1:15" x14ac:dyDescent="0.3">
      <c r="A1981">
        <v>229912</v>
      </c>
      <c r="B1981">
        <v>105</v>
      </c>
      <c r="C1981" t="s">
        <v>557</v>
      </c>
      <c r="D1981" t="s">
        <v>2579</v>
      </c>
      <c r="E1981" t="s">
        <v>3058</v>
      </c>
      <c r="F1981" s="451">
        <v>46142</v>
      </c>
      <c r="G1981">
        <v>19562</v>
      </c>
      <c r="H1981" t="s">
        <v>4939</v>
      </c>
      <c r="I1981" t="s">
        <v>5191</v>
      </c>
      <c r="J1981">
        <v>2</v>
      </c>
      <c r="K1981" t="s">
        <v>4744</v>
      </c>
      <c r="L1981">
        <v>23.4</v>
      </c>
      <c r="M1981">
        <v>11.7</v>
      </c>
      <c r="N1981" t="s">
        <v>5272</v>
      </c>
      <c r="O1981" t="s">
        <v>462</v>
      </c>
    </row>
    <row r="1982" spans="1:15" x14ac:dyDescent="0.3">
      <c r="A1982">
        <v>229911</v>
      </c>
      <c r="B1982">
        <v>105</v>
      </c>
      <c r="C1982" t="s">
        <v>557</v>
      </c>
      <c r="D1982" t="s">
        <v>1786</v>
      </c>
      <c r="E1982" t="s">
        <v>3059</v>
      </c>
      <c r="F1982" s="451">
        <v>46142</v>
      </c>
      <c r="G1982">
        <v>19405</v>
      </c>
      <c r="H1982" t="s">
        <v>5158</v>
      </c>
      <c r="I1982" t="s">
        <v>5191</v>
      </c>
      <c r="J1982">
        <v>1</v>
      </c>
      <c r="K1982" t="s">
        <v>4736</v>
      </c>
      <c r="L1982">
        <v>212.9</v>
      </c>
      <c r="M1982">
        <v>212.9</v>
      </c>
      <c r="N1982" t="s">
        <v>5341</v>
      </c>
      <c r="O1982" t="s">
        <v>462</v>
      </c>
    </row>
    <row r="1983" spans="1:15" x14ac:dyDescent="0.3">
      <c r="A1983">
        <v>229911</v>
      </c>
      <c r="B1983">
        <v>105</v>
      </c>
      <c r="C1983" t="s">
        <v>557</v>
      </c>
      <c r="D1983" t="s">
        <v>1786</v>
      </c>
      <c r="E1983" t="s">
        <v>3059</v>
      </c>
      <c r="F1983" s="451">
        <v>46142</v>
      </c>
      <c r="G1983">
        <v>24390</v>
      </c>
      <c r="H1983" t="s">
        <v>5337</v>
      </c>
      <c r="I1983" t="s">
        <v>5191</v>
      </c>
      <c r="J1983">
        <v>8.34</v>
      </c>
      <c r="K1983" t="s">
        <v>4744</v>
      </c>
      <c r="L1983">
        <v>337.77</v>
      </c>
      <c r="M1983">
        <v>40.5</v>
      </c>
      <c r="N1983" t="s">
        <v>5341</v>
      </c>
      <c r="O1983" t="s">
        <v>462</v>
      </c>
    </row>
    <row r="1984" spans="1:15" x14ac:dyDescent="0.3">
      <c r="A1984">
        <v>229910</v>
      </c>
      <c r="B1984">
        <v>105</v>
      </c>
      <c r="C1984" t="s">
        <v>557</v>
      </c>
      <c r="D1984" t="s">
        <v>2548</v>
      </c>
      <c r="E1984" t="s">
        <v>3060</v>
      </c>
      <c r="F1984" s="451">
        <v>46142</v>
      </c>
      <c r="G1984">
        <v>23934</v>
      </c>
      <c r="H1984" t="s">
        <v>4845</v>
      </c>
      <c r="I1984" t="s">
        <v>5191</v>
      </c>
      <c r="J1984">
        <v>4</v>
      </c>
      <c r="K1984" t="s">
        <v>4736</v>
      </c>
      <c r="L1984">
        <v>43.6</v>
      </c>
      <c r="M1984">
        <v>10.9</v>
      </c>
      <c r="N1984" t="s">
        <v>5272</v>
      </c>
      <c r="O1984" t="s">
        <v>462</v>
      </c>
    </row>
    <row r="1985" spans="1:15" x14ac:dyDescent="0.3">
      <c r="A1985">
        <v>229910</v>
      </c>
      <c r="B1985">
        <v>105</v>
      </c>
      <c r="C1985" t="s">
        <v>557</v>
      </c>
      <c r="D1985" t="s">
        <v>2548</v>
      </c>
      <c r="E1985" t="s">
        <v>3060</v>
      </c>
      <c r="F1985" s="451">
        <v>46142</v>
      </c>
      <c r="G1985">
        <v>20382</v>
      </c>
      <c r="H1985" t="s">
        <v>4780</v>
      </c>
      <c r="I1985" t="s">
        <v>5191</v>
      </c>
      <c r="J1985">
        <v>17</v>
      </c>
      <c r="K1985" t="s">
        <v>5238</v>
      </c>
      <c r="L1985">
        <v>152.83000000000001</v>
      </c>
      <c r="M1985">
        <v>8.99</v>
      </c>
      <c r="N1985" t="s">
        <v>5272</v>
      </c>
      <c r="O1985" t="s">
        <v>462</v>
      </c>
    </row>
    <row r="1986" spans="1:15" x14ac:dyDescent="0.3">
      <c r="A1986">
        <v>229909</v>
      </c>
      <c r="B1986">
        <v>105</v>
      </c>
      <c r="C1986" t="s">
        <v>557</v>
      </c>
      <c r="D1986" t="s">
        <v>2690</v>
      </c>
      <c r="E1986" t="s">
        <v>3061</v>
      </c>
      <c r="F1986" s="451">
        <v>46142</v>
      </c>
      <c r="G1986">
        <v>18129</v>
      </c>
      <c r="H1986" t="s">
        <v>5043</v>
      </c>
      <c r="I1986" t="s">
        <v>5222</v>
      </c>
      <c r="J1986">
        <v>1</v>
      </c>
      <c r="K1986" t="s">
        <v>4805</v>
      </c>
      <c r="L1986">
        <v>112.94</v>
      </c>
      <c r="M1986">
        <v>112.94</v>
      </c>
      <c r="N1986" t="s">
        <v>5271</v>
      </c>
      <c r="O1986" t="s">
        <v>462</v>
      </c>
    </row>
    <row r="1987" spans="1:15" x14ac:dyDescent="0.3">
      <c r="A1987">
        <v>229908</v>
      </c>
      <c r="B1987">
        <v>105</v>
      </c>
      <c r="C1987" t="s">
        <v>557</v>
      </c>
      <c r="D1987" t="s">
        <v>2548</v>
      </c>
      <c r="E1987" t="s">
        <v>3062</v>
      </c>
      <c r="F1987" s="451">
        <v>46142</v>
      </c>
      <c r="G1987">
        <v>20871</v>
      </c>
      <c r="H1987" t="s">
        <v>5015</v>
      </c>
      <c r="I1987" t="s">
        <v>5191</v>
      </c>
      <c r="J1987">
        <v>6</v>
      </c>
      <c r="K1987" t="s">
        <v>4879</v>
      </c>
      <c r="L1987">
        <v>119.94</v>
      </c>
      <c r="M1987">
        <v>19.989999999999998</v>
      </c>
      <c r="N1987" t="s">
        <v>5272</v>
      </c>
      <c r="O1987" t="s">
        <v>462</v>
      </c>
    </row>
    <row r="1988" spans="1:15" x14ac:dyDescent="0.3">
      <c r="A1988">
        <v>229908</v>
      </c>
      <c r="B1988">
        <v>105</v>
      </c>
      <c r="C1988" t="s">
        <v>557</v>
      </c>
      <c r="D1988" t="s">
        <v>2548</v>
      </c>
      <c r="E1988" t="s">
        <v>3062</v>
      </c>
      <c r="F1988" s="451">
        <v>46142</v>
      </c>
      <c r="G1988">
        <v>25022</v>
      </c>
      <c r="H1988" t="s">
        <v>4912</v>
      </c>
      <c r="I1988" t="s">
        <v>5191</v>
      </c>
      <c r="J1988">
        <v>7</v>
      </c>
      <c r="K1988" t="s">
        <v>4738</v>
      </c>
      <c r="L1988">
        <v>40.6</v>
      </c>
      <c r="M1988">
        <v>5.8</v>
      </c>
      <c r="N1988" t="s">
        <v>5272</v>
      </c>
      <c r="O1988" t="s">
        <v>462</v>
      </c>
    </row>
    <row r="1989" spans="1:15" x14ac:dyDescent="0.3">
      <c r="A1989">
        <v>229908</v>
      </c>
      <c r="B1989">
        <v>105</v>
      </c>
      <c r="C1989" t="s">
        <v>557</v>
      </c>
      <c r="D1989" t="s">
        <v>2548</v>
      </c>
      <c r="E1989" t="s">
        <v>3062</v>
      </c>
      <c r="F1989" s="451">
        <v>46142</v>
      </c>
      <c r="G1989">
        <v>20138</v>
      </c>
      <c r="H1989" t="s">
        <v>4886</v>
      </c>
      <c r="I1989" t="s">
        <v>5191</v>
      </c>
      <c r="J1989">
        <v>7</v>
      </c>
      <c r="K1989" t="s">
        <v>4738</v>
      </c>
      <c r="L1989">
        <v>40.6</v>
      </c>
      <c r="M1989">
        <v>5.8</v>
      </c>
      <c r="N1989" t="s">
        <v>5272</v>
      </c>
      <c r="O1989" t="s">
        <v>462</v>
      </c>
    </row>
    <row r="1990" spans="1:15" x14ac:dyDescent="0.3">
      <c r="A1990">
        <v>229907</v>
      </c>
      <c r="B1990">
        <v>105</v>
      </c>
      <c r="C1990" t="s">
        <v>557</v>
      </c>
      <c r="D1990" t="s">
        <v>2577</v>
      </c>
      <c r="E1990" t="s">
        <v>3063</v>
      </c>
      <c r="F1990" s="451">
        <v>46143</v>
      </c>
      <c r="G1990">
        <v>24497</v>
      </c>
      <c r="H1990" t="s">
        <v>5231</v>
      </c>
      <c r="I1990" t="s">
        <v>5232</v>
      </c>
      <c r="J1990">
        <v>2</v>
      </c>
      <c r="K1990" t="s">
        <v>4736</v>
      </c>
      <c r="L1990">
        <v>278.04000000000002</v>
      </c>
      <c r="M1990">
        <v>139.02000000000001</v>
      </c>
      <c r="N1990" t="s">
        <v>5288</v>
      </c>
      <c r="O1990" t="s">
        <v>463</v>
      </c>
    </row>
    <row r="1991" spans="1:15" x14ac:dyDescent="0.3">
      <c r="A1991">
        <v>229906</v>
      </c>
      <c r="B1991">
        <v>105</v>
      </c>
      <c r="C1991" t="s">
        <v>557</v>
      </c>
      <c r="D1991" t="s">
        <v>2605</v>
      </c>
      <c r="E1991" t="s">
        <v>3064</v>
      </c>
      <c r="F1991" s="451">
        <v>46142</v>
      </c>
      <c r="G1991">
        <v>20242</v>
      </c>
      <c r="H1991" t="s">
        <v>4824</v>
      </c>
      <c r="I1991" t="s">
        <v>5191</v>
      </c>
      <c r="J1991">
        <v>6</v>
      </c>
      <c r="K1991" t="s">
        <v>4738</v>
      </c>
      <c r="L1991">
        <v>109.44</v>
      </c>
      <c r="M1991">
        <v>18.239999999999998</v>
      </c>
      <c r="N1991" t="s">
        <v>5272</v>
      </c>
      <c r="O1991" t="s">
        <v>462</v>
      </c>
    </row>
    <row r="1992" spans="1:15" x14ac:dyDescent="0.3">
      <c r="A1992">
        <v>229906</v>
      </c>
      <c r="B1992">
        <v>105</v>
      </c>
      <c r="C1992" t="s">
        <v>557</v>
      </c>
      <c r="D1992" t="s">
        <v>2605</v>
      </c>
      <c r="E1992" t="s">
        <v>3064</v>
      </c>
      <c r="F1992" s="451">
        <v>46142</v>
      </c>
      <c r="G1992">
        <v>20007</v>
      </c>
      <c r="H1992" t="s">
        <v>5101</v>
      </c>
      <c r="I1992" t="s">
        <v>5191</v>
      </c>
      <c r="J1992">
        <v>2</v>
      </c>
      <c r="K1992" t="s">
        <v>4884</v>
      </c>
      <c r="L1992">
        <v>105.2</v>
      </c>
      <c r="M1992">
        <v>52.6</v>
      </c>
      <c r="N1992" t="s">
        <v>5272</v>
      </c>
      <c r="O1992" t="s">
        <v>462</v>
      </c>
    </row>
    <row r="1993" spans="1:15" x14ac:dyDescent="0.3">
      <c r="A1993">
        <v>229906</v>
      </c>
      <c r="B1993">
        <v>105</v>
      </c>
      <c r="C1993" t="s">
        <v>557</v>
      </c>
      <c r="D1993" t="s">
        <v>2605</v>
      </c>
      <c r="E1993" t="s">
        <v>3064</v>
      </c>
      <c r="F1993" s="451">
        <v>46142</v>
      </c>
      <c r="G1993">
        <v>20657</v>
      </c>
      <c r="H1993" t="s">
        <v>5109</v>
      </c>
      <c r="I1993" t="s">
        <v>5191</v>
      </c>
      <c r="J1993">
        <v>4</v>
      </c>
      <c r="K1993" t="s">
        <v>5206</v>
      </c>
      <c r="L1993">
        <v>27.6</v>
      </c>
      <c r="M1993">
        <v>6.9</v>
      </c>
      <c r="N1993" t="s">
        <v>5272</v>
      </c>
      <c r="O1993" t="s">
        <v>462</v>
      </c>
    </row>
    <row r="1994" spans="1:15" x14ac:dyDescent="0.3">
      <c r="A1994">
        <v>229906</v>
      </c>
      <c r="B1994">
        <v>105</v>
      </c>
      <c r="C1994" t="s">
        <v>557</v>
      </c>
      <c r="D1994" t="s">
        <v>2605</v>
      </c>
      <c r="E1994" t="s">
        <v>3064</v>
      </c>
      <c r="F1994" s="451">
        <v>46142</v>
      </c>
      <c r="G1994">
        <v>19415</v>
      </c>
      <c r="H1994" t="s">
        <v>4919</v>
      </c>
      <c r="I1994" t="s">
        <v>5191</v>
      </c>
      <c r="J1994">
        <v>2</v>
      </c>
      <c r="K1994" t="s">
        <v>4736</v>
      </c>
      <c r="L1994">
        <v>17.600000000000001</v>
      </c>
      <c r="M1994">
        <v>8.8000000000000007</v>
      </c>
      <c r="N1994" t="s">
        <v>5272</v>
      </c>
      <c r="O1994" t="s">
        <v>462</v>
      </c>
    </row>
    <row r="1995" spans="1:15" x14ac:dyDescent="0.3">
      <c r="A1995">
        <v>229906</v>
      </c>
      <c r="B1995">
        <v>105</v>
      </c>
      <c r="C1995" t="s">
        <v>557</v>
      </c>
      <c r="D1995" t="s">
        <v>2605</v>
      </c>
      <c r="E1995" t="s">
        <v>3064</v>
      </c>
      <c r="F1995" s="451">
        <v>46142</v>
      </c>
      <c r="G1995">
        <v>23808</v>
      </c>
      <c r="H1995" t="s">
        <v>4982</v>
      </c>
      <c r="I1995" t="s">
        <v>5191</v>
      </c>
      <c r="J1995">
        <v>1.8</v>
      </c>
      <c r="K1995" t="s">
        <v>4744</v>
      </c>
      <c r="L1995">
        <v>67.900000000000006</v>
      </c>
      <c r="M1995">
        <v>37.722222000000002</v>
      </c>
      <c r="N1995" t="s">
        <v>5272</v>
      </c>
      <c r="O1995" t="s">
        <v>462</v>
      </c>
    </row>
    <row r="1996" spans="1:15" x14ac:dyDescent="0.3">
      <c r="A1996">
        <v>229906</v>
      </c>
      <c r="B1996">
        <v>105</v>
      </c>
      <c r="C1996" t="s">
        <v>557</v>
      </c>
      <c r="D1996" t="s">
        <v>2605</v>
      </c>
      <c r="E1996" t="s">
        <v>3064</v>
      </c>
      <c r="F1996" s="451">
        <v>46142</v>
      </c>
      <c r="G1996">
        <v>27397</v>
      </c>
      <c r="H1996" t="s">
        <v>4913</v>
      </c>
      <c r="I1996" t="s">
        <v>5191</v>
      </c>
      <c r="J1996">
        <v>2</v>
      </c>
      <c r="K1996" t="s">
        <v>4736</v>
      </c>
      <c r="L1996">
        <v>123.8</v>
      </c>
      <c r="M1996">
        <v>61.9</v>
      </c>
      <c r="N1996" t="s">
        <v>5272</v>
      </c>
      <c r="O1996" t="s">
        <v>462</v>
      </c>
    </row>
    <row r="1997" spans="1:15" x14ac:dyDescent="0.3">
      <c r="A1997">
        <v>229906</v>
      </c>
      <c r="B1997">
        <v>105</v>
      </c>
      <c r="C1997" t="s">
        <v>557</v>
      </c>
      <c r="D1997" t="s">
        <v>2605</v>
      </c>
      <c r="E1997" t="s">
        <v>3064</v>
      </c>
      <c r="F1997" s="451">
        <v>46142</v>
      </c>
      <c r="G1997">
        <v>26020</v>
      </c>
      <c r="H1997" t="s">
        <v>5102</v>
      </c>
      <c r="I1997" t="s">
        <v>5191</v>
      </c>
      <c r="J1997">
        <v>2</v>
      </c>
      <c r="K1997" t="s">
        <v>4736</v>
      </c>
      <c r="L1997">
        <v>27.9</v>
      </c>
      <c r="M1997">
        <v>13.95</v>
      </c>
      <c r="N1997" t="s">
        <v>5272</v>
      </c>
      <c r="O1997" t="s">
        <v>462</v>
      </c>
    </row>
    <row r="1998" spans="1:15" x14ac:dyDescent="0.3">
      <c r="A1998">
        <v>229906</v>
      </c>
      <c r="B1998">
        <v>105</v>
      </c>
      <c r="C1998" t="s">
        <v>557</v>
      </c>
      <c r="D1998" t="s">
        <v>2605</v>
      </c>
      <c r="E1998" t="s">
        <v>3064</v>
      </c>
      <c r="F1998" s="451">
        <v>46142</v>
      </c>
      <c r="G1998">
        <v>25022</v>
      </c>
      <c r="H1998" t="s">
        <v>4912</v>
      </c>
      <c r="I1998" t="s">
        <v>5191</v>
      </c>
      <c r="J1998">
        <v>5</v>
      </c>
      <c r="K1998" t="s">
        <v>4738</v>
      </c>
      <c r="L1998">
        <v>21</v>
      </c>
      <c r="M1998">
        <v>4.2</v>
      </c>
      <c r="N1998" t="s">
        <v>5272</v>
      </c>
      <c r="O1998" t="s">
        <v>462</v>
      </c>
    </row>
    <row r="1999" spans="1:15" x14ac:dyDescent="0.3">
      <c r="A1999">
        <v>229906</v>
      </c>
      <c r="B1999">
        <v>105</v>
      </c>
      <c r="C1999" t="s">
        <v>557</v>
      </c>
      <c r="D1999" t="s">
        <v>2605</v>
      </c>
      <c r="E1999" t="s">
        <v>3064</v>
      </c>
      <c r="F1999" s="451">
        <v>46142</v>
      </c>
      <c r="G1999">
        <v>19916</v>
      </c>
      <c r="H1999" t="s">
        <v>4826</v>
      </c>
      <c r="I1999" t="s">
        <v>5191</v>
      </c>
      <c r="J1999">
        <v>1</v>
      </c>
      <c r="K1999" t="s">
        <v>4749</v>
      </c>
      <c r="L1999">
        <v>39.9</v>
      </c>
      <c r="M1999">
        <v>39.9</v>
      </c>
      <c r="N1999" t="s">
        <v>5272</v>
      </c>
      <c r="O1999" t="s">
        <v>462</v>
      </c>
    </row>
    <row r="2000" spans="1:15" x14ac:dyDescent="0.3">
      <c r="A2000">
        <v>229906</v>
      </c>
      <c r="B2000">
        <v>105</v>
      </c>
      <c r="C2000" t="s">
        <v>557</v>
      </c>
      <c r="D2000" t="s">
        <v>2605</v>
      </c>
      <c r="E2000" t="s">
        <v>3064</v>
      </c>
      <c r="F2000" s="451">
        <v>46142</v>
      </c>
      <c r="G2000">
        <v>19906</v>
      </c>
      <c r="H2000" t="s">
        <v>5159</v>
      </c>
      <c r="I2000" t="s">
        <v>5191</v>
      </c>
      <c r="J2000">
        <v>1</v>
      </c>
      <c r="K2000" t="s">
        <v>4738</v>
      </c>
      <c r="L2000">
        <v>38.9</v>
      </c>
      <c r="M2000">
        <v>38.9</v>
      </c>
      <c r="N2000" t="s">
        <v>5272</v>
      </c>
      <c r="O2000" t="s">
        <v>462</v>
      </c>
    </row>
    <row r="2001" spans="1:15" x14ac:dyDescent="0.3">
      <c r="A2001">
        <v>229905</v>
      </c>
      <c r="B2001">
        <v>105</v>
      </c>
      <c r="C2001" t="s">
        <v>557</v>
      </c>
      <c r="D2001" t="s">
        <v>2579</v>
      </c>
      <c r="E2001" t="s">
        <v>3065</v>
      </c>
      <c r="F2001" s="451">
        <v>46142</v>
      </c>
      <c r="G2001">
        <v>19634</v>
      </c>
      <c r="H2001" t="s">
        <v>4792</v>
      </c>
      <c r="I2001" t="s">
        <v>5191</v>
      </c>
      <c r="J2001">
        <v>4</v>
      </c>
      <c r="K2001" t="s">
        <v>4744</v>
      </c>
      <c r="L2001">
        <v>31.2</v>
      </c>
      <c r="M2001">
        <v>7.8</v>
      </c>
      <c r="N2001" t="s">
        <v>5272</v>
      </c>
      <c r="O2001" t="s">
        <v>462</v>
      </c>
    </row>
    <row r="2002" spans="1:15" x14ac:dyDescent="0.3">
      <c r="A2002">
        <v>229905</v>
      </c>
      <c r="B2002">
        <v>105</v>
      </c>
      <c r="C2002" t="s">
        <v>557</v>
      </c>
      <c r="D2002" t="s">
        <v>2579</v>
      </c>
      <c r="E2002" t="s">
        <v>3065</v>
      </c>
      <c r="F2002" s="451">
        <v>46142</v>
      </c>
      <c r="G2002">
        <v>23184</v>
      </c>
      <c r="H2002" t="s">
        <v>4935</v>
      </c>
      <c r="I2002" t="s">
        <v>5191</v>
      </c>
      <c r="J2002">
        <v>1</v>
      </c>
      <c r="K2002" t="s">
        <v>4744</v>
      </c>
      <c r="L2002">
        <v>13</v>
      </c>
      <c r="M2002">
        <v>13</v>
      </c>
      <c r="N2002" t="s">
        <v>5272</v>
      </c>
      <c r="O2002" t="s">
        <v>462</v>
      </c>
    </row>
    <row r="2003" spans="1:15" x14ac:dyDescent="0.3">
      <c r="A2003">
        <v>229905</v>
      </c>
      <c r="B2003">
        <v>105</v>
      </c>
      <c r="C2003" t="s">
        <v>557</v>
      </c>
      <c r="D2003" t="s">
        <v>2579</v>
      </c>
      <c r="E2003" t="s">
        <v>3065</v>
      </c>
      <c r="F2003" s="451">
        <v>46142</v>
      </c>
      <c r="G2003">
        <v>23096</v>
      </c>
      <c r="H2003" t="s">
        <v>5164</v>
      </c>
      <c r="I2003" t="s">
        <v>5191</v>
      </c>
      <c r="J2003">
        <v>90</v>
      </c>
      <c r="K2003" t="s">
        <v>4736</v>
      </c>
      <c r="L2003">
        <v>58.5</v>
      </c>
      <c r="M2003">
        <v>0.65</v>
      </c>
      <c r="N2003" t="s">
        <v>5272</v>
      </c>
      <c r="O2003" t="s">
        <v>462</v>
      </c>
    </row>
    <row r="2004" spans="1:15" x14ac:dyDescent="0.3">
      <c r="A2004">
        <v>229905</v>
      </c>
      <c r="B2004">
        <v>105</v>
      </c>
      <c r="C2004" t="s">
        <v>557</v>
      </c>
      <c r="D2004" t="s">
        <v>2579</v>
      </c>
      <c r="E2004" t="s">
        <v>3065</v>
      </c>
      <c r="F2004" s="451">
        <v>46142</v>
      </c>
      <c r="G2004">
        <v>23389</v>
      </c>
      <c r="H2004" t="s">
        <v>4960</v>
      </c>
      <c r="I2004" t="s">
        <v>5191</v>
      </c>
      <c r="J2004">
        <v>5</v>
      </c>
      <c r="K2004" t="s">
        <v>4744</v>
      </c>
      <c r="L2004">
        <v>22.75</v>
      </c>
      <c r="M2004">
        <v>4.55</v>
      </c>
      <c r="N2004" t="s">
        <v>5272</v>
      </c>
      <c r="O2004" t="s">
        <v>462</v>
      </c>
    </row>
    <row r="2005" spans="1:15" x14ac:dyDescent="0.3">
      <c r="A2005">
        <v>229904</v>
      </c>
      <c r="B2005">
        <v>105</v>
      </c>
      <c r="C2005" t="s">
        <v>557</v>
      </c>
      <c r="D2005" t="s">
        <v>3066</v>
      </c>
      <c r="E2005" t="s">
        <v>3067</v>
      </c>
      <c r="F2005" s="451">
        <v>46143</v>
      </c>
      <c r="G2005">
        <v>28658</v>
      </c>
      <c r="H2005" t="s">
        <v>5263</v>
      </c>
      <c r="I2005" t="s">
        <v>5188</v>
      </c>
      <c r="J2005">
        <v>2</v>
      </c>
      <c r="K2005" t="s">
        <v>4749</v>
      </c>
      <c r="L2005">
        <v>494</v>
      </c>
      <c r="M2005">
        <v>247</v>
      </c>
      <c r="N2005" t="s">
        <v>5342</v>
      </c>
      <c r="O2005" t="s">
        <v>463</v>
      </c>
    </row>
    <row r="2006" spans="1:15" x14ac:dyDescent="0.3">
      <c r="A2006">
        <v>229904</v>
      </c>
      <c r="B2006">
        <v>105</v>
      </c>
      <c r="C2006" t="s">
        <v>557</v>
      </c>
      <c r="D2006" t="s">
        <v>3066</v>
      </c>
      <c r="E2006" t="s">
        <v>3067</v>
      </c>
      <c r="F2006" s="451">
        <v>46143</v>
      </c>
      <c r="G2006">
        <v>28660</v>
      </c>
      <c r="H2006" t="s">
        <v>5343</v>
      </c>
      <c r="I2006" t="s">
        <v>5188</v>
      </c>
      <c r="J2006">
        <v>2</v>
      </c>
      <c r="K2006" t="s">
        <v>4749</v>
      </c>
      <c r="L2006">
        <v>540</v>
      </c>
      <c r="M2006">
        <v>270</v>
      </c>
      <c r="N2006" t="s">
        <v>5342</v>
      </c>
      <c r="O2006" t="s">
        <v>463</v>
      </c>
    </row>
    <row r="2007" spans="1:15" x14ac:dyDescent="0.3">
      <c r="A2007">
        <v>229903</v>
      </c>
      <c r="B2007">
        <v>105</v>
      </c>
      <c r="C2007" t="s">
        <v>557</v>
      </c>
      <c r="D2007" t="s">
        <v>2581</v>
      </c>
      <c r="E2007" t="s">
        <v>3068</v>
      </c>
      <c r="F2007" s="451">
        <v>46142</v>
      </c>
      <c r="G2007">
        <v>19505</v>
      </c>
      <c r="H2007" t="s">
        <v>4872</v>
      </c>
      <c r="I2007" t="s">
        <v>5191</v>
      </c>
      <c r="J2007">
        <v>3</v>
      </c>
      <c r="K2007" t="s">
        <v>4744</v>
      </c>
      <c r="L2007">
        <v>33</v>
      </c>
      <c r="M2007">
        <v>11</v>
      </c>
      <c r="N2007" t="s">
        <v>5272</v>
      </c>
      <c r="O2007" t="s">
        <v>462</v>
      </c>
    </row>
    <row r="2008" spans="1:15" x14ac:dyDescent="0.3">
      <c r="A2008">
        <v>229903</v>
      </c>
      <c r="B2008">
        <v>105</v>
      </c>
      <c r="C2008" t="s">
        <v>557</v>
      </c>
      <c r="D2008" t="s">
        <v>2581</v>
      </c>
      <c r="E2008" t="s">
        <v>3068</v>
      </c>
      <c r="F2008" s="451">
        <v>46142</v>
      </c>
      <c r="G2008">
        <v>19502</v>
      </c>
      <c r="H2008" t="s">
        <v>4871</v>
      </c>
      <c r="I2008" t="s">
        <v>5191</v>
      </c>
      <c r="J2008">
        <v>1</v>
      </c>
      <c r="K2008" t="s">
        <v>4744</v>
      </c>
      <c r="L2008">
        <v>20</v>
      </c>
      <c r="M2008">
        <v>20</v>
      </c>
      <c r="N2008" t="s">
        <v>5272</v>
      </c>
      <c r="O2008" t="s">
        <v>462</v>
      </c>
    </row>
    <row r="2009" spans="1:15" x14ac:dyDescent="0.3">
      <c r="A2009">
        <v>229903</v>
      </c>
      <c r="B2009">
        <v>105</v>
      </c>
      <c r="C2009" t="s">
        <v>557</v>
      </c>
      <c r="D2009" t="s">
        <v>2581</v>
      </c>
      <c r="E2009" t="s">
        <v>3068</v>
      </c>
      <c r="F2009" s="451">
        <v>46142</v>
      </c>
      <c r="G2009">
        <v>19740</v>
      </c>
      <c r="H2009" t="s">
        <v>4779</v>
      </c>
      <c r="I2009" t="s">
        <v>5191</v>
      </c>
      <c r="J2009">
        <v>8</v>
      </c>
      <c r="K2009" t="s">
        <v>4744</v>
      </c>
      <c r="L2009">
        <v>72</v>
      </c>
      <c r="M2009">
        <v>9</v>
      </c>
      <c r="N2009" t="s">
        <v>5272</v>
      </c>
      <c r="O2009" t="s">
        <v>462</v>
      </c>
    </row>
    <row r="2010" spans="1:15" x14ac:dyDescent="0.3">
      <c r="A2010">
        <v>229903</v>
      </c>
      <c r="B2010">
        <v>105</v>
      </c>
      <c r="C2010" t="s">
        <v>557</v>
      </c>
      <c r="D2010" t="s">
        <v>2581</v>
      </c>
      <c r="E2010" t="s">
        <v>3068</v>
      </c>
      <c r="F2010" s="451">
        <v>46142</v>
      </c>
      <c r="G2010">
        <v>19472</v>
      </c>
      <c r="H2010" t="s">
        <v>4906</v>
      </c>
      <c r="I2010" t="s">
        <v>5191</v>
      </c>
      <c r="J2010">
        <v>1.5</v>
      </c>
      <c r="K2010" t="s">
        <v>4744</v>
      </c>
      <c r="L2010">
        <v>27</v>
      </c>
      <c r="M2010">
        <v>18</v>
      </c>
      <c r="N2010" t="s">
        <v>5272</v>
      </c>
      <c r="O2010" t="s">
        <v>462</v>
      </c>
    </row>
    <row r="2011" spans="1:15" x14ac:dyDescent="0.3">
      <c r="A2011">
        <v>229901</v>
      </c>
      <c r="B2011">
        <v>105</v>
      </c>
      <c r="C2011" t="s">
        <v>557</v>
      </c>
      <c r="D2011" t="s">
        <v>2581</v>
      </c>
      <c r="E2011" t="s">
        <v>3069</v>
      </c>
      <c r="F2011" s="451">
        <v>46142</v>
      </c>
      <c r="G2011">
        <v>19617</v>
      </c>
      <c r="H2011" t="s">
        <v>5071</v>
      </c>
      <c r="I2011" t="s">
        <v>5191</v>
      </c>
      <c r="J2011">
        <v>0.5</v>
      </c>
      <c r="K2011" t="s">
        <v>4744</v>
      </c>
      <c r="L2011">
        <v>14</v>
      </c>
      <c r="M2011">
        <v>28</v>
      </c>
      <c r="N2011" t="s">
        <v>5272</v>
      </c>
      <c r="O2011" t="s">
        <v>462</v>
      </c>
    </row>
    <row r="2012" spans="1:15" x14ac:dyDescent="0.3">
      <c r="A2012">
        <v>229901</v>
      </c>
      <c r="B2012">
        <v>105</v>
      </c>
      <c r="C2012" t="s">
        <v>557</v>
      </c>
      <c r="D2012" t="s">
        <v>2581</v>
      </c>
      <c r="E2012" t="s">
        <v>3069</v>
      </c>
      <c r="F2012" s="451">
        <v>46142</v>
      </c>
      <c r="G2012">
        <v>19505</v>
      </c>
      <c r="H2012" t="s">
        <v>4872</v>
      </c>
      <c r="I2012" t="s">
        <v>5191</v>
      </c>
      <c r="J2012">
        <v>4.5</v>
      </c>
      <c r="K2012" t="s">
        <v>4744</v>
      </c>
      <c r="L2012">
        <v>42.75</v>
      </c>
      <c r="M2012">
        <v>9.5</v>
      </c>
      <c r="N2012" t="s">
        <v>5272</v>
      </c>
      <c r="O2012" t="s">
        <v>462</v>
      </c>
    </row>
    <row r="2013" spans="1:15" x14ac:dyDescent="0.3">
      <c r="A2013">
        <v>229901</v>
      </c>
      <c r="B2013">
        <v>105</v>
      </c>
      <c r="C2013" t="s">
        <v>557</v>
      </c>
      <c r="D2013" t="s">
        <v>2581</v>
      </c>
      <c r="E2013" t="s">
        <v>3069</v>
      </c>
      <c r="F2013" s="451">
        <v>46142</v>
      </c>
      <c r="G2013">
        <v>23361</v>
      </c>
      <c r="H2013" t="s">
        <v>4754</v>
      </c>
      <c r="I2013" t="s">
        <v>5191</v>
      </c>
      <c r="J2013">
        <v>20</v>
      </c>
      <c r="K2013" t="s">
        <v>4744</v>
      </c>
      <c r="L2013">
        <v>59.4</v>
      </c>
      <c r="M2013">
        <v>2.97</v>
      </c>
      <c r="N2013" t="s">
        <v>5272</v>
      </c>
      <c r="O2013" t="s">
        <v>462</v>
      </c>
    </row>
    <row r="2014" spans="1:15" x14ac:dyDescent="0.3">
      <c r="A2014">
        <v>229901</v>
      </c>
      <c r="B2014">
        <v>105</v>
      </c>
      <c r="C2014" t="s">
        <v>557</v>
      </c>
      <c r="D2014" t="s">
        <v>2581</v>
      </c>
      <c r="E2014" t="s">
        <v>3069</v>
      </c>
      <c r="F2014" s="451">
        <v>46142</v>
      </c>
      <c r="G2014">
        <v>23359</v>
      </c>
      <c r="H2014" t="s">
        <v>4767</v>
      </c>
      <c r="I2014" t="s">
        <v>5191</v>
      </c>
      <c r="J2014">
        <v>10</v>
      </c>
      <c r="K2014" t="s">
        <v>4744</v>
      </c>
      <c r="L2014">
        <v>21</v>
      </c>
      <c r="M2014">
        <v>2.1</v>
      </c>
      <c r="N2014" t="s">
        <v>5272</v>
      </c>
      <c r="O2014" t="s">
        <v>462</v>
      </c>
    </row>
    <row r="2015" spans="1:15" x14ac:dyDescent="0.3">
      <c r="A2015">
        <v>229901</v>
      </c>
      <c r="B2015">
        <v>105</v>
      </c>
      <c r="C2015" t="s">
        <v>557</v>
      </c>
      <c r="D2015" t="s">
        <v>2581</v>
      </c>
      <c r="E2015" t="s">
        <v>3069</v>
      </c>
      <c r="F2015" s="451">
        <v>46142</v>
      </c>
      <c r="G2015">
        <v>19507</v>
      </c>
      <c r="H2015" t="s">
        <v>4853</v>
      </c>
      <c r="I2015" t="s">
        <v>5191</v>
      </c>
      <c r="J2015">
        <v>1.8</v>
      </c>
      <c r="K2015" t="s">
        <v>4744</v>
      </c>
      <c r="L2015">
        <v>28.8</v>
      </c>
      <c r="M2015">
        <v>16</v>
      </c>
      <c r="N2015" t="s">
        <v>5272</v>
      </c>
      <c r="O2015" t="s">
        <v>462</v>
      </c>
    </row>
    <row r="2016" spans="1:15" x14ac:dyDescent="0.3">
      <c r="A2016">
        <v>229901</v>
      </c>
      <c r="B2016">
        <v>105</v>
      </c>
      <c r="C2016" t="s">
        <v>557</v>
      </c>
      <c r="D2016" t="s">
        <v>2581</v>
      </c>
      <c r="E2016" t="s">
        <v>3069</v>
      </c>
      <c r="F2016" s="451">
        <v>46142</v>
      </c>
      <c r="G2016">
        <v>19480</v>
      </c>
      <c r="H2016" t="s">
        <v>5119</v>
      </c>
      <c r="I2016" t="s">
        <v>5191</v>
      </c>
      <c r="J2016">
        <v>0.3</v>
      </c>
      <c r="K2016" t="s">
        <v>4744</v>
      </c>
      <c r="L2016">
        <v>5.0999999999999996</v>
      </c>
      <c r="M2016">
        <v>17</v>
      </c>
      <c r="N2016" t="s">
        <v>5272</v>
      </c>
      <c r="O2016" t="s">
        <v>462</v>
      </c>
    </row>
    <row r="2017" spans="1:15" x14ac:dyDescent="0.3">
      <c r="A2017">
        <v>229901</v>
      </c>
      <c r="B2017">
        <v>105</v>
      </c>
      <c r="C2017" t="s">
        <v>557</v>
      </c>
      <c r="D2017" t="s">
        <v>2581</v>
      </c>
      <c r="E2017" t="s">
        <v>3069</v>
      </c>
      <c r="F2017" s="451">
        <v>46142</v>
      </c>
      <c r="G2017">
        <v>19787</v>
      </c>
      <c r="H2017" t="s">
        <v>4793</v>
      </c>
      <c r="I2017" t="s">
        <v>5191</v>
      </c>
      <c r="J2017">
        <v>5</v>
      </c>
      <c r="K2017" t="s">
        <v>4744</v>
      </c>
      <c r="L2017">
        <v>27</v>
      </c>
      <c r="M2017">
        <v>5.4</v>
      </c>
      <c r="N2017" t="s">
        <v>5272</v>
      </c>
      <c r="O2017" t="s">
        <v>462</v>
      </c>
    </row>
    <row r="2018" spans="1:15" x14ac:dyDescent="0.3">
      <c r="A2018">
        <v>229898</v>
      </c>
      <c r="B2018">
        <v>105</v>
      </c>
      <c r="C2018" t="s">
        <v>557</v>
      </c>
      <c r="D2018" t="s">
        <v>2581</v>
      </c>
      <c r="E2018" t="s">
        <v>3070</v>
      </c>
      <c r="F2018" s="451">
        <v>46142</v>
      </c>
      <c r="G2018">
        <v>24099</v>
      </c>
      <c r="H2018" t="s">
        <v>4933</v>
      </c>
      <c r="I2018" t="s">
        <v>5191</v>
      </c>
      <c r="J2018">
        <v>2</v>
      </c>
      <c r="K2018" t="s">
        <v>4744</v>
      </c>
      <c r="L2018">
        <v>26</v>
      </c>
      <c r="M2018">
        <v>13</v>
      </c>
      <c r="N2018" t="s">
        <v>5272</v>
      </c>
      <c r="O2018" t="s">
        <v>462</v>
      </c>
    </row>
    <row r="2019" spans="1:15" x14ac:dyDescent="0.3">
      <c r="A2019">
        <v>229898</v>
      </c>
      <c r="B2019">
        <v>105</v>
      </c>
      <c r="C2019" t="s">
        <v>557</v>
      </c>
      <c r="D2019" t="s">
        <v>2581</v>
      </c>
      <c r="E2019" t="s">
        <v>3070</v>
      </c>
      <c r="F2019" s="451">
        <v>46142</v>
      </c>
      <c r="G2019">
        <v>19752</v>
      </c>
      <c r="H2019" t="s">
        <v>4807</v>
      </c>
      <c r="I2019" t="s">
        <v>5191</v>
      </c>
      <c r="J2019">
        <v>1</v>
      </c>
      <c r="K2019" t="s">
        <v>4744</v>
      </c>
      <c r="L2019">
        <v>6</v>
      </c>
      <c r="M2019">
        <v>6</v>
      </c>
      <c r="N2019" t="s">
        <v>5272</v>
      </c>
      <c r="O2019" t="s">
        <v>462</v>
      </c>
    </row>
    <row r="2020" spans="1:15" x14ac:dyDescent="0.3">
      <c r="A2020">
        <v>229898</v>
      </c>
      <c r="B2020">
        <v>105</v>
      </c>
      <c r="C2020" t="s">
        <v>557</v>
      </c>
      <c r="D2020" t="s">
        <v>2581</v>
      </c>
      <c r="E2020" t="s">
        <v>3070</v>
      </c>
      <c r="F2020" s="451">
        <v>46142</v>
      </c>
      <c r="G2020">
        <v>19505</v>
      </c>
      <c r="H2020" t="s">
        <v>4872</v>
      </c>
      <c r="I2020" t="s">
        <v>5191</v>
      </c>
      <c r="J2020">
        <v>5</v>
      </c>
      <c r="K2020" t="s">
        <v>4744</v>
      </c>
      <c r="L2020">
        <v>57.5</v>
      </c>
      <c r="M2020">
        <v>11.5</v>
      </c>
      <c r="N2020" t="s">
        <v>5272</v>
      </c>
      <c r="O2020" t="s">
        <v>462</v>
      </c>
    </row>
    <row r="2021" spans="1:15" x14ac:dyDescent="0.3">
      <c r="A2021">
        <v>229898</v>
      </c>
      <c r="B2021">
        <v>105</v>
      </c>
      <c r="C2021" t="s">
        <v>557</v>
      </c>
      <c r="D2021" t="s">
        <v>2581</v>
      </c>
      <c r="E2021" t="s">
        <v>3070</v>
      </c>
      <c r="F2021" s="451">
        <v>46142</v>
      </c>
      <c r="G2021">
        <v>19617</v>
      </c>
      <c r="H2021" t="s">
        <v>5071</v>
      </c>
      <c r="I2021" t="s">
        <v>5191</v>
      </c>
      <c r="J2021">
        <v>0.5</v>
      </c>
      <c r="K2021" t="s">
        <v>4744</v>
      </c>
      <c r="L2021">
        <v>15</v>
      </c>
      <c r="M2021">
        <v>30</v>
      </c>
      <c r="N2021" t="s">
        <v>5272</v>
      </c>
      <c r="O2021" t="s">
        <v>462</v>
      </c>
    </row>
    <row r="2022" spans="1:15" x14ac:dyDescent="0.3">
      <c r="A2022">
        <v>229898</v>
      </c>
      <c r="B2022">
        <v>105</v>
      </c>
      <c r="C2022" t="s">
        <v>557</v>
      </c>
      <c r="D2022" t="s">
        <v>2581</v>
      </c>
      <c r="E2022" t="s">
        <v>3070</v>
      </c>
      <c r="F2022" s="451">
        <v>46142</v>
      </c>
      <c r="G2022">
        <v>19552</v>
      </c>
      <c r="H2022" t="s">
        <v>4860</v>
      </c>
      <c r="I2022" t="s">
        <v>5191</v>
      </c>
      <c r="J2022">
        <v>2</v>
      </c>
      <c r="K2022" t="s">
        <v>4744</v>
      </c>
      <c r="L2022">
        <v>15</v>
      </c>
      <c r="M2022">
        <v>7.5</v>
      </c>
      <c r="N2022" t="s">
        <v>5272</v>
      </c>
      <c r="O2022" t="s">
        <v>462</v>
      </c>
    </row>
    <row r="2023" spans="1:15" x14ac:dyDescent="0.3">
      <c r="A2023">
        <v>229898</v>
      </c>
      <c r="B2023">
        <v>105</v>
      </c>
      <c r="C2023" t="s">
        <v>557</v>
      </c>
      <c r="D2023" t="s">
        <v>2581</v>
      </c>
      <c r="E2023" t="s">
        <v>3070</v>
      </c>
      <c r="F2023" s="451">
        <v>46142</v>
      </c>
      <c r="G2023">
        <v>23390</v>
      </c>
      <c r="H2023" t="s">
        <v>4873</v>
      </c>
      <c r="I2023" t="s">
        <v>5191</v>
      </c>
      <c r="J2023">
        <v>1</v>
      </c>
      <c r="K2023" t="s">
        <v>4744</v>
      </c>
      <c r="L2023">
        <v>8.5</v>
      </c>
      <c r="M2023">
        <v>8.5</v>
      </c>
      <c r="N2023" t="s">
        <v>5272</v>
      </c>
      <c r="O2023" t="s">
        <v>462</v>
      </c>
    </row>
    <row r="2024" spans="1:15" x14ac:dyDescent="0.3">
      <c r="A2024">
        <v>229898</v>
      </c>
      <c r="B2024">
        <v>105</v>
      </c>
      <c r="C2024" t="s">
        <v>557</v>
      </c>
      <c r="D2024" t="s">
        <v>2581</v>
      </c>
      <c r="E2024" t="s">
        <v>3070</v>
      </c>
      <c r="F2024" s="451">
        <v>46142</v>
      </c>
      <c r="G2024">
        <v>23113</v>
      </c>
      <c r="H2024" t="s">
        <v>5074</v>
      </c>
      <c r="I2024" t="s">
        <v>5191</v>
      </c>
      <c r="J2024">
        <v>1.2</v>
      </c>
      <c r="K2024" t="s">
        <v>4744</v>
      </c>
      <c r="L2024">
        <v>15.6</v>
      </c>
      <c r="M2024">
        <v>13</v>
      </c>
      <c r="N2024" t="s">
        <v>5272</v>
      </c>
      <c r="O2024" t="s">
        <v>462</v>
      </c>
    </row>
    <row r="2025" spans="1:15" x14ac:dyDescent="0.3">
      <c r="A2025">
        <v>229898</v>
      </c>
      <c r="B2025">
        <v>105</v>
      </c>
      <c r="C2025" t="s">
        <v>557</v>
      </c>
      <c r="D2025" t="s">
        <v>2581</v>
      </c>
      <c r="E2025" t="s">
        <v>3070</v>
      </c>
      <c r="F2025" s="451">
        <v>46142</v>
      </c>
      <c r="G2025">
        <v>24509</v>
      </c>
      <c r="H2025" t="s">
        <v>4788</v>
      </c>
      <c r="I2025" t="s">
        <v>5191</v>
      </c>
      <c r="J2025">
        <v>5</v>
      </c>
      <c r="K2025" t="s">
        <v>4744</v>
      </c>
      <c r="L2025">
        <v>22.5</v>
      </c>
      <c r="M2025">
        <v>4.5</v>
      </c>
      <c r="N2025" t="s">
        <v>5272</v>
      </c>
      <c r="O2025" t="s">
        <v>462</v>
      </c>
    </row>
    <row r="2026" spans="1:15" x14ac:dyDescent="0.3">
      <c r="A2026">
        <v>229898</v>
      </c>
      <c r="B2026">
        <v>105</v>
      </c>
      <c r="C2026" t="s">
        <v>557</v>
      </c>
      <c r="D2026" t="s">
        <v>2581</v>
      </c>
      <c r="E2026" t="s">
        <v>3070</v>
      </c>
      <c r="F2026" s="451">
        <v>46142</v>
      </c>
      <c r="G2026">
        <v>19558</v>
      </c>
      <c r="H2026" t="s">
        <v>4994</v>
      </c>
      <c r="I2026" t="s">
        <v>5191</v>
      </c>
      <c r="J2026">
        <v>1</v>
      </c>
      <c r="K2026" t="s">
        <v>4744</v>
      </c>
      <c r="L2026">
        <v>15</v>
      </c>
      <c r="M2026">
        <v>15</v>
      </c>
      <c r="N2026" t="s">
        <v>5272</v>
      </c>
      <c r="O2026" t="s">
        <v>462</v>
      </c>
    </row>
    <row r="2027" spans="1:15" x14ac:dyDescent="0.3">
      <c r="A2027">
        <v>229898</v>
      </c>
      <c r="B2027">
        <v>105</v>
      </c>
      <c r="C2027" t="s">
        <v>557</v>
      </c>
      <c r="D2027" t="s">
        <v>2581</v>
      </c>
      <c r="E2027" t="s">
        <v>3070</v>
      </c>
      <c r="F2027" s="451">
        <v>46142</v>
      </c>
      <c r="G2027">
        <v>19742</v>
      </c>
      <c r="H2027" t="s">
        <v>4900</v>
      </c>
      <c r="I2027" t="s">
        <v>5191</v>
      </c>
      <c r="J2027">
        <v>2</v>
      </c>
      <c r="K2027" t="s">
        <v>4744</v>
      </c>
      <c r="L2027">
        <v>22</v>
      </c>
      <c r="M2027">
        <v>11</v>
      </c>
      <c r="N2027" t="s">
        <v>5272</v>
      </c>
      <c r="O2027" t="s">
        <v>462</v>
      </c>
    </row>
    <row r="2028" spans="1:15" x14ac:dyDescent="0.3">
      <c r="A2028">
        <v>229898</v>
      </c>
      <c r="B2028">
        <v>105</v>
      </c>
      <c r="C2028" t="s">
        <v>557</v>
      </c>
      <c r="D2028" t="s">
        <v>2581</v>
      </c>
      <c r="E2028" t="s">
        <v>3070</v>
      </c>
      <c r="F2028" s="451">
        <v>46142</v>
      </c>
      <c r="G2028">
        <v>19472</v>
      </c>
      <c r="H2028" t="s">
        <v>4906</v>
      </c>
      <c r="I2028" t="s">
        <v>5191</v>
      </c>
      <c r="J2028">
        <v>2</v>
      </c>
      <c r="K2028" t="s">
        <v>4744</v>
      </c>
      <c r="L2028">
        <v>40</v>
      </c>
      <c r="M2028">
        <v>20</v>
      </c>
      <c r="N2028" t="s">
        <v>5272</v>
      </c>
      <c r="O2028" t="s">
        <v>462</v>
      </c>
    </row>
    <row r="2029" spans="1:15" x14ac:dyDescent="0.3">
      <c r="A2029">
        <v>229898</v>
      </c>
      <c r="B2029">
        <v>105</v>
      </c>
      <c r="C2029" t="s">
        <v>557</v>
      </c>
      <c r="D2029" t="s">
        <v>2581</v>
      </c>
      <c r="E2029" t="s">
        <v>3070</v>
      </c>
      <c r="F2029" s="451">
        <v>46142</v>
      </c>
      <c r="G2029">
        <v>24037</v>
      </c>
      <c r="H2029" t="s">
        <v>5233</v>
      </c>
      <c r="I2029" t="s">
        <v>5191</v>
      </c>
      <c r="J2029">
        <v>3</v>
      </c>
      <c r="K2029" t="s">
        <v>4744</v>
      </c>
      <c r="L2029">
        <v>54</v>
      </c>
      <c r="M2029">
        <v>18</v>
      </c>
      <c r="N2029" t="s">
        <v>5272</v>
      </c>
      <c r="O2029" t="s">
        <v>462</v>
      </c>
    </row>
    <row r="2030" spans="1:15" x14ac:dyDescent="0.3">
      <c r="A2030">
        <v>229898</v>
      </c>
      <c r="B2030">
        <v>105</v>
      </c>
      <c r="C2030" t="s">
        <v>557</v>
      </c>
      <c r="D2030" t="s">
        <v>2581</v>
      </c>
      <c r="E2030" t="s">
        <v>3070</v>
      </c>
      <c r="F2030" s="451">
        <v>46142</v>
      </c>
      <c r="G2030">
        <v>23195</v>
      </c>
      <c r="H2030" t="s">
        <v>5051</v>
      </c>
      <c r="I2030" t="s">
        <v>5191</v>
      </c>
      <c r="J2030">
        <v>0.3</v>
      </c>
      <c r="K2030" t="s">
        <v>4744</v>
      </c>
      <c r="L2030">
        <v>3.6</v>
      </c>
      <c r="M2030">
        <v>12</v>
      </c>
      <c r="N2030" t="s">
        <v>5272</v>
      </c>
      <c r="O2030" t="s">
        <v>462</v>
      </c>
    </row>
    <row r="2031" spans="1:15" x14ac:dyDescent="0.3">
      <c r="A2031">
        <v>229898</v>
      </c>
      <c r="B2031">
        <v>105</v>
      </c>
      <c r="C2031" t="s">
        <v>557</v>
      </c>
      <c r="D2031" t="s">
        <v>2581</v>
      </c>
      <c r="E2031" t="s">
        <v>3070</v>
      </c>
      <c r="F2031" s="451">
        <v>46142</v>
      </c>
      <c r="G2031">
        <v>24598</v>
      </c>
      <c r="H2031" t="s">
        <v>4852</v>
      </c>
      <c r="I2031" t="s">
        <v>5191</v>
      </c>
      <c r="J2031">
        <v>1</v>
      </c>
      <c r="K2031" t="s">
        <v>4744</v>
      </c>
      <c r="L2031">
        <v>15</v>
      </c>
      <c r="M2031">
        <v>15</v>
      </c>
      <c r="N2031" t="s">
        <v>5272</v>
      </c>
      <c r="O2031" t="s">
        <v>462</v>
      </c>
    </row>
    <row r="2032" spans="1:15" x14ac:dyDescent="0.3">
      <c r="A2032">
        <v>229898</v>
      </c>
      <c r="B2032">
        <v>105</v>
      </c>
      <c r="C2032" t="s">
        <v>557</v>
      </c>
      <c r="D2032" t="s">
        <v>2581</v>
      </c>
      <c r="E2032" t="s">
        <v>3070</v>
      </c>
      <c r="F2032" s="451">
        <v>46142</v>
      </c>
      <c r="G2032">
        <v>19488</v>
      </c>
      <c r="H2032" t="s">
        <v>5107</v>
      </c>
      <c r="I2032" t="s">
        <v>5191</v>
      </c>
      <c r="J2032">
        <v>0.4</v>
      </c>
      <c r="K2032" t="s">
        <v>4744</v>
      </c>
      <c r="L2032">
        <v>5.6</v>
      </c>
      <c r="M2032">
        <v>14</v>
      </c>
      <c r="N2032" t="s">
        <v>5272</v>
      </c>
      <c r="O2032" t="s">
        <v>462</v>
      </c>
    </row>
    <row r="2033" spans="1:15" x14ac:dyDescent="0.3">
      <c r="A2033">
        <v>229898</v>
      </c>
      <c r="B2033">
        <v>105</v>
      </c>
      <c r="C2033" t="s">
        <v>557</v>
      </c>
      <c r="D2033" t="s">
        <v>2581</v>
      </c>
      <c r="E2033" t="s">
        <v>3070</v>
      </c>
      <c r="F2033" s="451">
        <v>46142</v>
      </c>
      <c r="G2033">
        <v>19751</v>
      </c>
      <c r="H2033" t="s">
        <v>4800</v>
      </c>
      <c r="I2033" t="s">
        <v>5191</v>
      </c>
      <c r="J2033">
        <v>3</v>
      </c>
      <c r="K2033" t="s">
        <v>4744</v>
      </c>
      <c r="L2033">
        <v>28.5</v>
      </c>
      <c r="M2033">
        <v>9.5</v>
      </c>
      <c r="N2033" t="s">
        <v>5272</v>
      </c>
      <c r="O2033" t="s">
        <v>462</v>
      </c>
    </row>
    <row r="2034" spans="1:15" x14ac:dyDescent="0.3">
      <c r="A2034">
        <v>229898</v>
      </c>
      <c r="B2034">
        <v>105</v>
      </c>
      <c r="C2034" t="s">
        <v>557</v>
      </c>
      <c r="D2034" t="s">
        <v>2581</v>
      </c>
      <c r="E2034" t="s">
        <v>3070</v>
      </c>
      <c r="F2034" s="451">
        <v>46142</v>
      </c>
      <c r="G2034">
        <v>19526</v>
      </c>
      <c r="H2034" t="s">
        <v>4997</v>
      </c>
      <c r="I2034" t="s">
        <v>5191</v>
      </c>
      <c r="J2034">
        <v>1</v>
      </c>
      <c r="K2034" t="s">
        <v>4744</v>
      </c>
      <c r="L2034">
        <v>60</v>
      </c>
      <c r="M2034">
        <v>60</v>
      </c>
      <c r="N2034" t="s">
        <v>5272</v>
      </c>
      <c r="O2034" t="s">
        <v>462</v>
      </c>
    </row>
    <row r="2035" spans="1:15" x14ac:dyDescent="0.3">
      <c r="A2035">
        <v>229898</v>
      </c>
      <c r="B2035">
        <v>105</v>
      </c>
      <c r="C2035" t="s">
        <v>557</v>
      </c>
      <c r="D2035" t="s">
        <v>2581</v>
      </c>
      <c r="E2035" t="s">
        <v>3070</v>
      </c>
      <c r="F2035" s="451">
        <v>46142</v>
      </c>
      <c r="G2035">
        <v>19623</v>
      </c>
      <c r="H2035" t="s">
        <v>4764</v>
      </c>
      <c r="I2035" t="s">
        <v>5191</v>
      </c>
      <c r="J2035">
        <v>8</v>
      </c>
      <c r="K2035" t="s">
        <v>4744</v>
      </c>
      <c r="L2035">
        <v>47.2</v>
      </c>
      <c r="M2035">
        <v>5.9</v>
      </c>
      <c r="N2035" t="s">
        <v>5272</v>
      </c>
      <c r="O2035" t="s">
        <v>462</v>
      </c>
    </row>
    <row r="2036" spans="1:15" x14ac:dyDescent="0.3">
      <c r="A2036">
        <v>229898</v>
      </c>
      <c r="B2036">
        <v>105</v>
      </c>
      <c r="C2036" t="s">
        <v>557</v>
      </c>
      <c r="D2036" t="s">
        <v>2581</v>
      </c>
      <c r="E2036" t="s">
        <v>3070</v>
      </c>
      <c r="F2036" s="451">
        <v>46142</v>
      </c>
      <c r="G2036">
        <v>19607</v>
      </c>
      <c r="H2036" t="s">
        <v>4981</v>
      </c>
      <c r="I2036" t="s">
        <v>5191</v>
      </c>
      <c r="J2036">
        <v>0.3</v>
      </c>
      <c r="K2036" t="s">
        <v>4744</v>
      </c>
      <c r="L2036">
        <v>3.3</v>
      </c>
      <c r="M2036">
        <v>11</v>
      </c>
      <c r="N2036" t="s">
        <v>5272</v>
      </c>
      <c r="O2036" t="s">
        <v>462</v>
      </c>
    </row>
    <row r="2037" spans="1:15" x14ac:dyDescent="0.3">
      <c r="A2037">
        <v>229898</v>
      </c>
      <c r="B2037">
        <v>105</v>
      </c>
      <c r="C2037" t="s">
        <v>557</v>
      </c>
      <c r="D2037" t="s">
        <v>2581</v>
      </c>
      <c r="E2037" t="s">
        <v>3070</v>
      </c>
      <c r="F2037" s="451">
        <v>46142</v>
      </c>
      <c r="G2037">
        <v>23365</v>
      </c>
      <c r="H2037" t="s">
        <v>5108</v>
      </c>
      <c r="I2037" t="s">
        <v>5191</v>
      </c>
      <c r="J2037">
        <v>1</v>
      </c>
      <c r="K2037" t="s">
        <v>4744</v>
      </c>
      <c r="L2037">
        <v>20</v>
      </c>
      <c r="M2037">
        <v>20</v>
      </c>
      <c r="N2037" t="s">
        <v>5272</v>
      </c>
      <c r="O2037" t="s">
        <v>462</v>
      </c>
    </row>
    <row r="2038" spans="1:15" x14ac:dyDescent="0.3">
      <c r="A2038">
        <v>229898</v>
      </c>
      <c r="B2038">
        <v>105</v>
      </c>
      <c r="C2038" t="s">
        <v>557</v>
      </c>
      <c r="D2038" t="s">
        <v>2581</v>
      </c>
      <c r="E2038" t="s">
        <v>3070</v>
      </c>
      <c r="F2038" s="451">
        <v>46142</v>
      </c>
      <c r="G2038">
        <v>19635</v>
      </c>
      <c r="H2038" t="s">
        <v>4786</v>
      </c>
      <c r="I2038" t="s">
        <v>5191</v>
      </c>
      <c r="J2038">
        <v>5</v>
      </c>
      <c r="K2038" t="s">
        <v>4744</v>
      </c>
      <c r="L2038">
        <v>19.5</v>
      </c>
      <c r="M2038">
        <v>3.9</v>
      </c>
      <c r="N2038" t="s">
        <v>5272</v>
      </c>
      <c r="O2038" t="s">
        <v>462</v>
      </c>
    </row>
    <row r="2039" spans="1:15" x14ac:dyDescent="0.3">
      <c r="A2039">
        <v>229898</v>
      </c>
      <c r="B2039">
        <v>105</v>
      </c>
      <c r="C2039" t="s">
        <v>557</v>
      </c>
      <c r="D2039" t="s">
        <v>2581</v>
      </c>
      <c r="E2039" t="s">
        <v>3070</v>
      </c>
      <c r="F2039" s="451">
        <v>46142</v>
      </c>
      <c r="G2039">
        <v>23359</v>
      </c>
      <c r="H2039" t="s">
        <v>4767</v>
      </c>
      <c r="I2039" t="s">
        <v>5191</v>
      </c>
      <c r="J2039">
        <v>5</v>
      </c>
      <c r="K2039" t="s">
        <v>4744</v>
      </c>
      <c r="L2039">
        <v>11.25</v>
      </c>
      <c r="M2039">
        <v>2.25</v>
      </c>
      <c r="N2039" t="s">
        <v>5272</v>
      </c>
      <c r="O2039" t="s">
        <v>462</v>
      </c>
    </row>
    <row r="2040" spans="1:15" x14ac:dyDescent="0.3">
      <c r="A2040">
        <v>229898</v>
      </c>
      <c r="B2040">
        <v>105</v>
      </c>
      <c r="C2040" t="s">
        <v>557</v>
      </c>
      <c r="D2040" t="s">
        <v>2581</v>
      </c>
      <c r="E2040" t="s">
        <v>3070</v>
      </c>
      <c r="F2040" s="451">
        <v>46142</v>
      </c>
      <c r="G2040">
        <v>19551</v>
      </c>
      <c r="H2040" t="s">
        <v>4905</v>
      </c>
      <c r="I2040" t="s">
        <v>5191</v>
      </c>
      <c r="J2040">
        <v>2</v>
      </c>
      <c r="K2040" t="s">
        <v>4744</v>
      </c>
      <c r="L2040">
        <v>32</v>
      </c>
      <c r="M2040">
        <v>16</v>
      </c>
      <c r="N2040" t="s">
        <v>5272</v>
      </c>
      <c r="O2040" t="s">
        <v>462</v>
      </c>
    </row>
    <row r="2041" spans="1:15" x14ac:dyDescent="0.3">
      <c r="A2041">
        <v>229898</v>
      </c>
      <c r="B2041">
        <v>105</v>
      </c>
      <c r="C2041" t="s">
        <v>557</v>
      </c>
      <c r="D2041" t="s">
        <v>2581</v>
      </c>
      <c r="E2041" t="s">
        <v>3070</v>
      </c>
      <c r="F2041" s="451">
        <v>46142</v>
      </c>
      <c r="G2041">
        <v>19787</v>
      </c>
      <c r="H2041" t="s">
        <v>4793</v>
      </c>
      <c r="I2041" t="s">
        <v>5191</v>
      </c>
      <c r="J2041">
        <v>6</v>
      </c>
      <c r="K2041" t="s">
        <v>4744</v>
      </c>
      <c r="L2041">
        <v>34.200000000000003</v>
      </c>
      <c r="M2041">
        <v>5.7</v>
      </c>
      <c r="N2041" t="s">
        <v>5272</v>
      </c>
      <c r="O2041" t="s">
        <v>462</v>
      </c>
    </row>
    <row r="2042" spans="1:15" x14ac:dyDescent="0.3">
      <c r="A2042">
        <v>229898</v>
      </c>
      <c r="B2042">
        <v>105</v>
      </c>
      <c r="C2042" t="s">
        <v>557</v>
      </c>
      <c r="D2042" t="s">
        <v>2581</v>
      </c>
      <c r="E2042" t="s">
        <v>3070</v>
      </c>
      <c r="F2042" s="451">
        <v>46142</v>
      </c>
      <c r="G2042">
        <v>19740</v>
      </c>
      <c r="H2042" t="s">
        <v>4779</v>
      </c>
      <c r="I2042" t="s">
        <v>5191</v>
      </c>
      <c r="J2042">
        <v>3</v>
      </c>
      <c r="K2042" t="s">
        <v>4744</v>
      </c>
      <c r="L2042">
        <v>27</v>
      </c>
      <c r="M2042">
        <v>9</v>
      </c>
      <c r="N2042" t="s">
        <v>5272</v>
      </c>
      <c r="O2042" t="s">
        <v>462</v>
      </c>
    </row>
    <row r="2043" spans="1:15" x14ac:dyDescent="0.3">
      <c r="A2043">
        <v>229898</v>
      </c>
      <c r="B2043">
        <v>105</v>
      </c>
      <c r="C2043" t="s">
        <v>557</v>
      </c>
      <c r="D2043" t="s">
        <v>2581</v>
      </c>
      <c r="E2043" t="s">
        <v>3070</v>
      </c>
      <c r="F2043" s="451">
        <v>46142</v>
      </c>
      <c r="G2043">
        <v>19658</v>
      </c>
      <c r="H2043" t="s">
        <v>4784</v>
      </c>
      <c r="I2043" t="s">
        <v>5191</v>
      </c>
      <c r="J2043">
        <v>8</v>
      </c>
      <c r="K2043" t="s">
        <v>4744</v>
      </c>
      <c r="L2043">
        <v>31.2</v>
      </c>
      <c r="M2043">
        <v>3.9</v>
      </c>
      <c r="N2043" t="s">
        <v>5272</v>
      </c>
      <c r="O2043" t="s">
        <v>462</v>
      </c>
    </row>
    <row r="2044" spans="1:15" x14ac:dyDescent="0.3">
      <c r="A2044">
        <v>229898</v>
      </c>
      <c r="B2044">
        <v>105</v>
      </c>
      <c r="C2044" t="s">
        <v>557</v>
      </c>
      <c r="D2044" t="s">
        <v>2581</v>
      </c>
      <c r="E2044" t="s">
        <v>3070</v>
      </c>
      <c r="F2044" s="451">
        <v>46142</v>
      </c>
      <c r="G2044">
        <v>19647</v>
      </c>
      <c r="H2044" t="s">
        <v>5050</v>
      </c>
      <c r="I2044" t="s">
        <v>5191</v>
      </c>
      <c r="J2044">
        <v>1.2</v>
      </c>
      <c r="K2044" t="s">
        <v>4744</v>
      </c>
      <c r="L2044">
        <v>18</v>
      </c>
      <c r="M2044">
        <v>15</v>
      </c>
      <c r="N2044" t="s">
        <v>5272</v>
      </c>
      <c r="O2044" t="s">
        <v>462</v>
      </c>
    </row>
    <row r="2045" spans="1:15" x14ac:dyDescent="0.3">
      <c r="A2045">
        <v>229898</v>
      </c>
      <c r="B2045">
        <v>105</v>
      </c>
      <c r="C2045" t="s">
        <v>557</v>
      </c>
      <c r="D2045" t="s">
        <v>2581</v>
      </c>
      <c r="E2045" t="s">
        <v>3070</v>
      </c>
      <c r="F2045" s="451">
        <v>46142</v>
      </c>
      <c r="G2045">
        <v>19553</v>
      </c>
      <c r="H2045" t="s">
        <v>4868</v>
      </c>
      <c r="I2045" t="s">
        <v>5191</v>
      </c>
      <c r="J2045">
        <v>2</v>
      </c>
      <c r="K2045" t="s">
        <v>4744</v>
      </c>
      <c r="L2045">
        <v>11.6</v>
      </c>
      <c r="M2045">
        <v>5.8</v>
      </c>
      <c r="N2045" t="s">
        <v>5272</v>
      </c>
      <c r="O2045" t="s">
        <v>462</v>
      </c>
    </row>
    <row r="2046" spans="1:15" x14ac:dyDescent="0.3">
      <c r="A2046">
        <v>229898</v>
      </c>
      <c r="B2046">
        <v>105</v>
      </c>
      <c r="C2046" t="s">
        <v>557</v>
      </c>
      <c r="D2046" t="s">
        <v>2581</v>
      </c>
      <c r="E2046" t="s">
        <v>3070</v>
      </c>
      <c r="F2046" s="451">
        <v>46142</v>
      </c>
      <c r="G2046">
        <v>19480</v>
      </c>
      <c r="H2046" t="s">
        <v>5119</v>
      </c>
      <c r="I2046" t="s">
        <v>5191</v>
      </c>
      <c r="J2046">
        <v>0.5</v>
      </c>
      <c r="K2046" t="s">
        <v>4744</v>
      </c>
      <c r="L2046">
        <v>9</v>
      </c>
      <c r="M2046">
        <v>18</v>
      </c>
      <c r="N2046" t="s">
        <v>5272</v>
      </c>
      <c r="O2046" t="s">
        <v>462</v>
      </c>
    </row>
    <row r="2047" spans="1:15" x14ac:dyDescent="0.3">
      <c r="A2047">
        <v>229898</v>
      </c>
      <c r="B2047">
        <v>105</v>
      </c>
      <c r="C2047" t="s">
        <v>557</v>
      </c>
      <c r="D2047" t="s">
        <v>2581</v>
      </c>
      <c r="E2047" t="s">
        <v>3070</v>
      </c>
      <c r="F2047" s="451">
        <v>46142</v>
      </c>
      <c r="G2047">
        <v>19575</v>
      </c>
      <c r="H2047" t="s">
        <v>5120</v>
      </c>
      <c r="I2047" t="s">
        <v>5191</v>
      </c>
      <c r="J2047">
        <v>0.4</v>
      </c>
      <c r="K2047" t="s">
        <v>4744</v>
      </c>
      <c r="L2047">
        <v>12.8</v>
      </c>
      <c r="M2047">
        <v>32</v>
      </c>
      <c r="N2047" t="s">
        <v>5272</v>
      </c>
      <c r="O2047" t="s">
        <v>462</v>
      </c>
    </row>
    <row r="2048" spans="1:15" x14ac:dyDescent="0.3">
      <c r="A2048">
        <v>229897</v>
      </c>
      <c r="B2048">
        <v>105</v>
      </c>
      <c r="C2048" t="s">
        <v>557</v>
      </c>
      <c r="D2048" t="s">
        <v>2705</v>
      </c>
      <c r="E2048" t="s">
        <v>3071</v>
      </c>
      <c r="F2048" s="451">
        <v>46143</v>
      </c>
      <c r="G2048">
        <v>24658</v>
      </c>
      <c r="H2048" t="s">
        <v>5274</v>
      </c>
      <c r="I2048" t="s">
        <v>5232</v>
      </c>
      <c r="J2048">
        <v>20</v>
      </c>
      <c r="K2048" t="s">
        <v>4738</v>
      </c>
      <c r="L2048">
        <v>692</v>
      </c>
      <c r="M2048">
        <v>34.6</v>
      </c>
      <c r="N2048" t="s">
        <v>5275</v>
      </c>
      <c r="O2048" t="s">
        <v>463</v>
      </c>
    </row>
    <row r="2049" spans="1:15" x14ac:dyDescent="0.3">
      <c r="A2049">
        <v>229882</v>
      </c>
      <c r="B2049">
        <v>105</v>
      </c>
      <c r="C2049" t="s">
        <v>557</v>
      </c>
      <c r="D2049" t="s">
        <v>2707</v>
      </c>
      <c r="E2049" t="s">
        <v>3072</v>
      </c>
      <c r="F2049" s="451">
        <v>46142</v>
      </c>
      <c r="G2049">
        <v>24081</v>
      </c>
      <c r="H2049" t="s">
        <v>4834</v>
      </c>
      <c r="I2049" t="s">
        <v>5191</v>
      </c>
      <c r="J2049">
        <v>15.2</v>
      </c>
      <c r="K2049" t="s">
        <v>4744</v>
      </c>
      <c r="L2049">
        <v>361.76</v>
      </c>
      <c r="M2049">
        <v>23.8</v>
      </c>
      <c r="N2049" t="s">
        <v>5272</v>
      </c>
      <c r="O2049" t="s">
        <v>462</v>
      </c>
    </row>
    <row r="2050" spans="1:15" x14ac:dyDescent="0.3">
      <c r="A2050">
        <v>229879</v>
      </c>
      <c r="B2050">
        <v>105</v>
      </c>
      <c r="C2050" t="s">
        <v>557</v>
      </c>
      <c r="D2050" t="s">
        <v>2590</v>
      </c>
      <c r="E2050" t="s">
        <v>3073</v>
      </c>
      <c r="F2050" s="451">
        <v>46142</v>
      </c>
      <c r="G2050">
        <v>24141</v>
      </c>
      <c r="H2050" t="s">
        <v>5088</v>
      </c>
      <c r="I2050" t="s">
        <v>5222</v>
      </c>
      <c r="J2050">
        <v>16</v>
      </c>
      <c r="K2050" t="s">
        <v>4749</v>
      </c>
      <c r="L2050">
        <v>788.32</v>
      </c>
      <c r="M2050">
        <v>49.27</v>
      </c>
      <c r="N2050" t="s">
        <v>5271</v>
      </c>
      <c r="O2050" t="s">
        <v>462</v>
      </c>
    </row>
    <row r="2051" spans="1:15" x14ac:dyDescent="0.3">
      <c r="A2051">
        <v>229879</v>
      </c>
      <c r="B2051">
        <v>105</v>
      </c>
      <c r="C2051" t="s">
        <v>557</v>
      </c>
      <c r="D2051" t="s">
        <v>2590</v>
      </c>
      <c r="E2051" t="s">
        <v>3073</v>
      </c>
      <c r="F2051" s="451">
        <v>46142</v>
      </c>
      <c r="G2051">
        <v>25561</v>
      </c>
      <c r="H2051" t="s">
        <v>5095</v>
      </c>
      <c r="I2051" t="s">
        <v>5222</v>
      </c>
      <c r="J2051">
        <v>4</v>
      </c>
      <c r="K2051" t="s">
        <v>4738</v>
      </c>
      <c r="L2051">
        <v>441.2</v>
      </c>
      <c r="M2051">
        <v>110.3</v>
      </c>
      <c r="N2051" t="s">
        <v>5271</v>
      </c>
      <c r="O2051" t="s">
        <v>462</v>
      </c>
    </row>
    <row r="2052" spans="1:15" x14ac:dyDescent="0.3">
      <c r="A2052">
        <v>229863</v>
      </c>
      <c r="B2052">
        <v>105</v>
      </c>
      <c r="C2052" t="s">
        <v>557</v>
      </c>
      <c r="D2052" t="s">
        <v>2615</v>
      </c>
      <c r="E2052" t="s">
        <v>3074</v>
      </c>
      <c r="F2052" s="451">
        <v>46142</v>
      </c>
      <c r="G2052">
        <v>20623</v>
      </c>
      <c r="H2052" t="s">
        <v>4814</v>
      </c>
      <c r="I2052" t="s">
        <v>5191</v>
      </c>
      <c r="J2052">
        <v>10</v>
      </c>
      <c r="K2052" t="s">
        <v>4736</v>
      </c>
      <c r="L2052">
        <v>123.9</v>
      </c>
      <c r="M2052">
        <v>12.39</v>
      </c>
      <c r="N2052" t="s">
        <v>5272</v>
      </c>
      <c r="O2052" t="s">
        <v>462</v>
      </c>
    </row>
    <row r="2053" spans="1:15" x14ac:dyDescent="0.3">
      <c r="A2053">
        <v>227712</v>
      </c>
      <c r="B2053">
        <v>105</v>
      </c>
      <c r="C2053" t="s">
        <v>557</v>
      </c>
      <c r="D2053" t="s">
        <v>3075</v>
      </c>
      <c r="E2053" t="s">
        <v>3076</v>
      </c>
      <c r="F2053" s="451">
        <v>46140</v>
      </c>
      <c r="G2053">
        <v>23113</v>
      </c>
      <c r="H2053" t="s">
        <v>5074</v>
      </c>
      <c r="I2053" t="s">
        <v>5191</v>
      </c>
      <c r="J2053">
        <v>2</v>
      </c>
      <c r="K2053" t="s">
        <v>4744</v>
      </c>
      <c r="L2053">
        <v>19.46</v>
      </c>
      <c r="M2053">
        <v>9.73</v>
      </c>
      <c r="N2053" t="s">
        <v>5191</v>
      </c>
      <c r="O2053" t="s">
        <v>462</v>
      </c>
    </row>
    <row r="2054" spans="1:15" x14ac:dyDescent="0.3">
      <c r="A2054">
        <v>227712</v>
      </c>
      <c r="B2054">
        <v>105</v>
      </c>
      <c r="C2054" t="s">
        <v>557</v>
      </c>
      <c r="D2054" t="s">
        <v>3075</v>
      </c>
      <c r="E2054" t="s">
        <v>3076</v>
      </c>
      <c r="F2054" s="451">
        <v>46140</v>
      </c>
      <c r="G2054">
        <v>19752</v>
      </c>
      <c r="H2054" t="s">
        <v>4807</v>
      </c>
      <c r="I2054" t="s">
        <v>5191</v>
      </c>
      <c r="J2054">
        <v>2</v>
      </c>
      <c r="K2054" t="s">
        <v>4744</v>
      </c>
      <c r="L2054">
        <v>10.36</v>
      </c>
      <c r="M2054">
        <v>5.18</v>
      </c>
      <c r="N2054" t="s">
        <v>5191</v>
      </c>
      <c r="O2054" t="s">
        <v>462</v>
      </c>
    </row>
    <row r="2055" spans="1:15" x14ac:dyDescent="0.3">
      <c r="A2055">
        <v>227705</v>
      </c>
      <c r="B2055">
        <v>105</v>
      </c>
      <c r="C2055" t="s">
        <v>557</v>
      </c>
      <c r="D2055" t="s">
        <v>2642</v>
      </c>
      <c r="E2055" t="s">
        <v>3077</v>
      </c>
      <c r="F2055" s="451">
        <v>46113</v>
      </c>
      <c r="G2055">
        <v>18220</v>
      </c>
      <c r="H2055" t="s">
        <v>5147</v>
      </c>
      <c r="I2055" t="s">
        <v>5222</v>
      </c>
      <c r="J2055">
        <v>5</v>
      </c>
      <c r="K2055" t="s">
        <v>4805</v>
      </c>
      <c r="L2055">
        <v>374.95</v>
      </c>
      <c r="M2055">
        <v>74.989999999999995</v>
      </c>
      <c r="N2055" t="s">
        <v>5344</v>
      </c>
      <c r="O2055" t="s">
        <v>462</v>
      </c>
    </row>
    <row r="2056" spans="1:15" x14ac:dyDescent="0.3">
      <c r="A2056">
        <v>227705</v>
      </c>
      <c r="B2056">
        <v>105</v>
      </c>
      <c r="C2056" t="s">
        <v>557</v>
      </c>
      <c r="D2056" t="s">
        <v>2642</v>
      </c>
      <c r="E2056" t="s">
        <v>3077</v>
      </c>
      <c r="F2056" s="451">
        <v>46113</v>
      </c>
      <c r="G2056">
        <v>18545</v>
      </c>
      <c r="H2056" t="s">
        <v>4864</v>
      </c>
      <c r="I2056" t="s">
        <v>5222</v>
      </c>
      <c r="J2056">
        <v>5</v>
      </c>
      <c r="K2056" t="s">
        <v>4805</v>
      </c>
      <c r="L2056">
        <v>230</v>
      </c>
      <c r="M2056">
        <v>46</v>
      </c>
      <c r="N2056" t="s">
        <v>5344</v>
      </c>
      <c r="O2056" t="s">
        <v>462</v>
      </c>
    </row>
    <row r="2057" spans="1:15" x14ac:dyDescent="0.3">
      <c r="A2057">
        <v>227395</v>
      </c>
      <c r="B2057">
        <v>105</v>
      </c>
      <c r="C2057" t="s">
        <v>557</v>
      </c>
      <c r="D2057" t="s">
        <v>2554</v>
      </c>
      <c r="E2057" t="s">
        <v>3078</v>
      </c>
      <c r="F2057" s="451">
        <v>46129</v>
      </c>
      <c r="G2057">
        <v>17266</v>
      </c>
      <c r="H2057" t="s">
        <v>5192</v>
      </c>
      <c r="I2057" t="s">
        <v>5188</v>
      </c>
      <c r="J2057">
        <v>2</v>
      </c>
      <c r="K2057" t="s">
        <v>4736</v>
      </c>
      <c r="L2057">
        <v>9.7799999999999994</v>
      </c>
      <c r="M2057">
        <v>4.8899999999999997</v>
      </c>
      <c r="N2057" t="s">
        <v>5277</v>
      </c>
      <c r="O2057" t="s">
        <v>462</v>
      </c>
    </row>
    <row r="2058" spans="1:15" x14ac:dyDescent="0.3">
      <c r="A2058">
        <v>227395</v>
      </c>
      <c r="B2058">
        <v>105</v>
      </c>
      <c r="C2058" t="s">
        <v>557</v>
      </c>
      <c r="D2058" t="s">
        <v>2554</v>
      </c>
      <c r="E2058" t="s">
        <v>3078</v>
      </c>
      <c r="F2058" s="451">
        <v>46129</v>
      </c>
      <c r="G2058">
        <v>24787</v>
      </c>
      <c r="H2058" t="s">
        <v>5212</v>
      </c>
      <c r="I2058" t="s">
        <v>5188</v>
      </c>
      <c r="J2058">
        <v>1</v>
      </c>
      <c r="K2058" t="s">
        <v>4738</v>
      </c>
      <c r="L2058">
        <v>82.21</v>
      </c>
      <c r="M2058">
        <v>82.21</v>
      </c>
      <c r="N2058" t="s">
        <v>5277</v>
      </c>
      <c r="O2058" t="s">
        <v>462</v>
      </c>
    </row>
    <row r="2059" spans="1:15" x14ac:dyDescent="0.3">
      <c r="A2059">
        <v>227395</v>
      </c>
      <c r="B2059">
        <v>105</v>
      </c>
      <c r="C2059" t="s">
        <v>557</v>
      </c>
      <c r="D2059" t="s">
        <v>2554</v>
      </c>
      <c r="E2059" t="s">
        <v>3078</v>
      </c>
      <c r="F2059" s="451">
        <v>46129</v>
      </c>
      <c r="G2059">
        <v>17418</v>
      </c>
      <c r="H2059" t="s">
        <v>5207</v>
      </c>
      <c r="I2059" t="s">
        <v>5188</v>
      </c>
      <c r="J2059">
        <v>2</v>
      </c>
      <c r="K2059" t="s">
        <v>4749</v>
      </c>
      <c r="L2059">
        <v>117.8</v>
      </c>
      <c r="M2059">
        <v>58.9</v>
      </c>
      <c r="N2059" t="s">
        <v>5277</v>
      </c>
      <c r="O2059" t="s">
        <v>462</v>
      </c>
    </row>
    <row r="2060" spans="1:15" x14ac:dyDescent="0.3">
      <c r="A2060">
        <v>227395</v>
      </c>
      <c r="B2060">
        <v>105</v>
      </c>
      <c r="C2060" t="s">
        <v>557</v>
      </c>
      <c r="D2060" t="s">
        <v>2554</v>
      </c>
      <c r="E2060" t="s">
        <v>3078</v>
      </c>
      <c r="F2060" s="451">
        <v>46129</v>
      </c>
      <c r="G2060">
        <v>17437</v>
      </c>
      <c r="H2060" t="s">
        <v>5203</v>
      </c>
      <c r="I2060" t="s">
        <v>5188</v>
      </c>
      <c r="J2060">
        <v>10</v>
      </c>
      <c r="K2060" t="s">
        <v>4736</v>
      </c>
      <c r="L2060">
        <v>23</v>
      </c>
      <c r="M2060">
        <v>2.2999999999999998</v>
      </c>
      <c r="N2060" t="s">
        <v>5277</v>
      </c>
      <c r="O2060" t="s">
        <v>462</v>
      </c>
    </row>
    <row r="2061" spans="1:15" x14ac:dyDescent="0.3">
      <c r="A2061">
        <v>227395</v>
      </c>
      <c r="B2061">
        <v>105</v>
      </c>
      <c r="C2061" t="s">
        <v>557</v>
      </c>
      <c r="D2061" t="s">
        <v>2554</v>
      </c>
      <c r="E2061" t="s">
        <v>3078</v>
      </c>
      <c r="F2061" s="451">
        <v>46129</v>
      </c>
      <c r="G2061">
        <v>25425</v>
      </c>
      <c r="H2061" t="s">
        <v>5345</v>
      </c>
      <c r="I2061" t="s">
        <v>5205</v>
      </c>
      <c r="J2061">
        <v>1</v>
      </c>
      <c r="K2061" t="s">
        <v>4736</v>
      </c>
      <c r="L2061">
        <v>65</v>
      </c>
      <c r="M2061">
        <v>65</v>
      </c>
      <c r="N2061" t="s">
        <v>5277</v>
      </c>
      <c r="O2061" t="s">
        <v>462</v>
      </c>
    </row>
    <row r="2062" spans="1:15" x14ac:dyDescent="0.3">
      <c r="A2062">
        <v>227395</v>
      </c>
      <c r="B2062">
        <v>105</v>
      </c>
      <c r="C2062" t="s">
        <v>557</v>
      </c>
      <c r="D2062" t="s">
        <v>2554</v>
      </c>
      <c r="E2062" t="s">
        <v>3078</v>
      </c>
      <c r="F2062" s="451">
        <v>46129</v>
      </c>
      <c r="G2062">
        <v>21432</v>
      </c>
      <c r="H2062" t="s">
        <v>5346</v>
      </c>
      <c r="I2062" t="s">
        <v>5188</v>
      </c>
      <c r="J2062">
        <v>1</v>
      </c>
      <c r="K2062" t="s">
        <v>4738</v>
      </c>
      <c r="L2062">
        <v>115</v>
      </c>
      <c r="M2062">
        <v>115</v>
      </c>
      <c r="N2062" t="s">
        <v>5277</v>
      </c>
      <c r="O2062" t="s">
        <v>462</v>
      </c>
    </row>
    <row r="2063" spans="1:15" x14ac:dyDescent="0.3">
      <c r="A2063">
        <v>227395</v>
      </c>
      <c r="B2063">
        <v>105</v>
      </c>
      <c r="C2063" t="s">
        <v>557</v>
      </c>
      <c r="D2063" t="s">
        <v>2554</v>
      </c>
      <c r="E2063" t="s">
        <v>3078</v>
      </c>
      <c r="F2063" s="451">
        <v>46129</v>
      </c>
      <c r="G2063">
        <v>17333</v>
      </c>
      <c r="H2063" t="s">
        <v>5211</v>
      </c>
      <c r="I2063" t="s">
        <v>5188</v>
      </c>
      <c r="J2063">
        <v>3</v>
      </c>
      <c r="K2063" t="s">
        <v>4738</v>
      </c>
      <c r="L2063">
        <v>225</v>
      </c>
      <c r="M2063">
        <v>75</v>
      </c>
      <c r="N2063" t="s">
        <v>5277</v>
      </c>
      <c r="O2063" t="s">
        <v>462</v>
      </c>
    </row>
    <row r="2064" spans="1:15" x14ac:dyDescent="0.3">
      <c r="A2064">
        <v>227395</v>
      </c>
      <c r="B2064">
        <v>105</v>
      </c>
      <c r="C2064" t="s">
        <v>557</v>
      </c>
      <c r="D2064" t="s">
        <v>2554</v>
      </c>
      <c r="E2064" t="s">
        <v>3078</v>
      </c>
      <c r="F2064" s="451">
        <v>46129</v>
      </c>
      <c r="G2064">
        <v>17285</v>
      </c>
      <c r="H2064" t="s">
        <v>5347</v>
      </c>
      <c r="I2064" t="s">
        <v>5188</v>
      </c>
      <c r="J2064">
        <v>1</v>
      </c>
      <c r="K2064" t="s">
        <v>4848</v>
      </c>
      <c r="L2064">
        <v>30.73</v>
      </c>
      <c r="M2064">
        <v>30.73</v>
      </c>
      <c r="N2064" t="s">
        <v>5277</v>
      </c>
      <c r="O2064" t="s">
        <v>462</v>
      </c>
    </row>
    <row r="2065" spans="1:15" x14ac:dyDescent="0.3">
      <c r="A2065">
        <v>227395</v>
      </c>
      <c r="B2065">
        <v>105</v>
      </c>
      <c r="C2065" t="s">
        <v>557</v>
      </c>
      <c r="D2065" t="s">
        <v>2554</v>
      </c>
      <c r="E2065" t="s">
        <v>3078</v>
      </c>
      <c r="F2065" s="451">
        <v>46129</v>
      </c>
      <c r="G2065">
        <v>17314</v>
      </c>
      <c r="H2065" t="s">
        <v>5208</v>
      </c>
      <c r="I2065" t="s">
        <v>5188</v>
      </c>
      <c r="J2065">
        <v>3</v>
      </c>
      <c r="K2065" t="s">
        <v>4848</v>
      </c>
      <c r="L2065">
        <v>29.7</v>
      </c>
      <c r="M2065">
        <v>9.9</v>
      </c>
      <c r="N2065" t="s">
        <v>5277</v>
      </c>
      <c r="O2065" t="s">
        <v>462</v>
      </c>
    </row>
    <row r="2066" spans="1:15" x14ac:dyDescent="0.3">
      <c r="A2066">
        <v>227395</v>
      </c>
      <c r="B2066">
        <v>105</v>
      </c>
      <c r="C2066" t="s">
        <v>557</v>
      </c>
      <c r="D2066" t="s">
        <v>2554</v>
      </c>
      <c r="E2066" t="s">
        <v>3078</v>
      </c>
      <c r="F2066" s="451">
        <v>46129</v>
      </c>
      <c r="G2066">
        <v>17215</v>
      </c>
      <c r="H2066" t="s">
        <v>5299</v>
      </c>
      <c r="I2066" t="s">
        <v>5188</v>
      </c>
      <c r="J2066">
        <v>5</v>
      </c>
      <c r="K2066" t="s">
        <v>4848</v>
      </c>
      <c r="L2066">
        <v>99.95</v>
      </c>
      <c r="M2066">
        <v>19.989999999999998</v>
      </c>
      <c r="N2066" t="s">
        <v>5277</v>
      </c>
      <c r="O2066" t="s">
        <v>462</v>
      </c>
    </row>
    <row r="2067" spans="1:15" x14ac:dyDescent="0.3">
      <c r="A2067">
        <v>227395</v>
      </c>
      <c r="B2067">
        <v>105</v>
      </c>
      <c r="C2067" t="s">
        <v>557</v>
      </c>
      <c r="D2067" t="s">
        <v>2554</v>
      </c>
      <c r="E2067" t="s">
        <v>3078</v>
      </c>
      <c r="F2067" s="451">
        <v>46129</v>
      </c>
      <c r="G2067">
        <v>17416</v>
      </c>
      <c r="H2067" t="s">
        <v>5209</v>
      </c>
      <c r="I2067" t="s">
        <v>5188</v>
      </c>
      <c r="J2067">
        <v>2</v>
      </c>
      <c r="K2067" t="s">
        <v>4749</v>
      </c>
      <c r="L2067">
        <v>97.16</v>
      </c>
      <c r="M2067">
        <v>48.58</v>
      </c>
      <c r="N2067" t="s">
        <v>5277</v>
      </c>
      <c r="O2067" t="s">
        <v>462</v>
      </c>
    </row>
    <row r="2068" spans="1:15" x14ac:dyDescent="0.3">
      <c r="A2068">
        <v>227395</v>
      </c>
      <c r="B2068">
        <v>105</v>
      </c>
      <c r="C2068" t="s">
        <v>557</v>
      </c>
      <c r="D2068" t="s">
        <v>2554</v>
      </c>
      <c r="E2068" t="s">
        <v>3078</v>
      </c>
      <c r="F2068" s="451">
        <v>46129</v>
      </c>
      <c r="G2068">
        <v>17129</v>
      </c>
      <c r="H2068" t="s">
        <v>5202</v>
      </c>
      <c r="I2068" t="s">
        <v>5188</v>
      </c>
      <c r="J2068">
        <v>1</v>
      </c>
      <c r="K2068" t="s">
        <v>4738</v>
      </c>
      <c r="L2068">
        <v>26.61</v>
      </c>
      <c r="M2068">
        <v>26.61</v>
      </c>
      <c r="N2068" t="s">
        <v>5277</v>
      </c>
      <c r="O2068" t="s">
        <v>462</v>
      </c>
    </row>
    <row r="2069" spans="1:15" x14ac:dyDescent="0.3">
      <c r="A2069">
        <v>226950</v>
      </c>
      <c r="B2069">
        <v>105</v>
      </c>
      <c r="C2069" t="s">
        <v>557</v>
      </c>
      <c r="D2069" t="s">
        <v>2615</v>
      </c>
      <c r="E2069" t="s">
        <v>3079</v>
      </c>
      <c r="F2069" s="451">
        <v>46129</v>
      </c>
      <c r="G2069">
        <v>20623</v>
      </c>
      <c r="H2069" t="s">
        <v>4814</v>
      </c>
      <c r="I2069" t="s">
        <v>5191</v>
      </c>
      <c r="J2069">
        <v>10</v>
      </c>
      <c r="K2069" t="s">
        <v>4736</v>
      </c>
      <c r="L2069">
        <v>123.9</v>
      </c>
      <c r="M2069">
        <v>12.39</v>
      </c>
      <c r="N2069" t="s">
        <v>5272</v>
      </c>
      <c r="O2069" t="s">
        <v>462</v>
      </c>
    </row>
    <row r="2070" spans="1:15" x14ac:dyDescent="0.3">
      <c r="A2070">
        <v>226949</v>
      </c>
      <c r="B2070">
        <v>105</v>
      </c>
      <c r="C2070" t="s">
        <v>557</v>
      </c>
      <c r="D2070" t="s">
        <v>2590</v>
      </c>
      <c r="E2070" t="s">
        <v>3080</v>
      </c>
      <c r="F2070" s="451">
        <v>46127</v>
      </c>
      <c r="G2070">
        <v>24141</v>
      </c>
      <c r="H2070" t="s">
        <v>5088</v>
      </c>
      <c r="I2070" t="s">
        <v>5222</v>
      </c>
      <c r="J2070">
        <v>2</v>
      </c>
      <c r="K2070" t="s">
        <v>4749</v>
      </c>
      <c r="L2070">
        <v>302.89999999999998</v>
      </c>
      <c r="M2070">
        <v>151.44999999999999</v>
      </c>
      <c r="N2070" t="s">
        <v>5272</v>
      </c>
      <c r="O2070" t="s">
        <v>462</v>
      </c>
    </row>
    <row r="2071" spans="1:15" x14ac:dyDescent="0.3">
      <c r="A2071">
        <v>226948</v>
      </c>
      <c r="B2071">
        <v>105</v>
      </c>
      <c r="C2071" t="s">
        <v>557</v>
      </c>
      <c r="D2071" t="s">
        <v>2590</v>
      </c>
      <c r="E2071" t="s">
        <v>3081</v>
      </c>
      <c r="F2071" s="451">
        <v>46128</v>
      </c>
      <c r="G2071">
        <v>24141</v>
      </c>
      <c r="H2071" t="s">
        <v>5088</v>
      </c>
      <c r="I2071" t="s">
        <v>5222</v>
      </c>
      <c r="J2071">
        <v>10</v>
      </c>
      <c r="K2071" t="s">
        <v>4749</v>
      </c>
      <c r="L2071">
        <v>1514.5</v>
      </c>
      <c r="M2071">
        <v>151.44999999999999</v>
      </c>
      <c r="N2071" t="s">
        <v>5222</v>
      </c>
      <c r="O2071" t="s">
        <v>462</v>
      </c>
    </row>
    <row r="2072" spans="1:15" x14ac:dyDescent="0.3">
      <c r="A2072">
        <v>226947</v>
      </c>
      <c r="B2072">
        <v>105</v>
      </c>
      <c r="C2072" t="s">
        <v>557</v>
      </c>
      <c r="D2072" t="s">
        <v>2607</v>
      </c>
      <c r="E2072" t="s">
        <v>3082</v>
      </c>
      <c r="F2072" s="451">
        <v>46128</v>
      </c>
      <c r="G2072">
        <v>28760</v>
      </c>
      <c r="H2072" t="s">
        <v>5348</v>
      </c>
      <c r="I2072" t="s">
        <v>5191</v>
      </c>
      <c r="J2072">
        <v>10.66</v>
      </c>
      <c r="K2072" t="s">
        <v>4744</v>
      </c>
      <c r="L2072">
        <v>650.26</v>
      </c>
      <c r="M2072">
        <v>61</v>
      </c>
      <c r="N2072" t="s">
        <v>5272</v>
      </c>
      <c r="O2072" t="s">
        <v>462</v>
      </c>
    </row>
    <row r="2073" spans="1:15" x14ac:dyDescent="0.3">
      <c r="A2073">
        <v>226946</v>
      </c>
      <c r="B2073">
        <v>105</v>
      </c>
      <c r="C2073" t="s">
        <v>557</v>
      </c>
      <c r="D2073" t="s">
        <v>2588</v>
      </c>
      <c r="E2073" t="s">
        <v>3083</v>
      </c>
      <c r="F2073" s="451">
        <v>46135</v>
      </c>
      <c r="G2073">
        <v>20984</v>
      </c>
      <c r="H2073" t="s">
        <v>5133</v>
      </c>
      <c r="I2073" t="s">
        <v>5191</v>
      </c>
      <c r="J2073">
        <v>12</v>
      </c>
      <c r="K2073" t="s">
        <v>4888</v>
      </c>
      <c r="L2073">
        <v>97.8</v>
      </c>
      <c r="M2073">
        <v>8.15</v>
      </c>
      <c r="N2073" t="s">
        <v>5272</v>
      </c>
      <c r="O2073" t="s">
        <v>462</v>
      </c>
    </row>
    <row r="2074" spans="1:15" x14ac:dyDescent="0.3">
      <c r="A2074">
        <v>226946</v>
      </c>
      <c r="B2074">
        <v>105</v>
      </c>
      <c r="C2074" t="s">
        <v>557</v>
      </c>
      <c r="D2074" t="s">
        <v>2588</v>
      </c>
      <c r="E2074" t="s">
        <v>3083</v>
      </c>
      <c r="F2074" s="451">
        <v>46135</v>
      </c>
      <c r="G2074">
        <v>20301</v>
      </c>
      <c r="H2074" t="s">
        <v>4944</v>
      </c>
      <c r="I2074" t="s">
        <v>5191</v>
      </c>
      <c r="J2074">
        <v>15</v>
      </c>
      <c r="K2074" t="s">
        <v>4738</v>
      </c>
      <c r="L2074">
        <v>315</v>
      </c>
      <c r="M2074">
        <v>21</v>
      </c>
      <c r="N2074" t="s">
        <v>5272</v>
      </c>
      <c r="O2074" t="s">
        <v>462</v>
      </c>
    </row>
    <row r="2075" spans="1:15" x14ac:dyDescent="0.3">
      <c r="A2075">
        <v>226945</v>
      </c>
      <c r="B2075">
        <v>105</v>
      </c>
      <c r="C2075" t="s">
        <v>557</v>
      </c>
      <c r="D2075" t="s">
        <v>2607</v>
      </c>
      <c r="E2075" t="s">
        <v>3084</v>
      </c>
      <c r="F2075" s="451">
        <v>46136</v>
      </c>
      <c r="G2075">
        <v>25777</v>
      </c>
      <c r="H2075" t="s">
        <v>4774</v>
      </c>
      <c r="I2075" t="s">
        <v>5191</v>
      </c>
      <c r="J2075">
        <v>15.5</v>
      </c>
      <c r="K2075" t="s">
        <v>4744</v>
      </c>
      <c r="L2075">
        <v>1391.9</v>
      </c>
      <c r="M2075">
        <v>89.8</v>
      </c>
      <c r="N2075" t="s">
        <v>5272</v>
      </c>
      <c r="O2075" t="s">
        <v>462</v>
      </c>
    </row>
    <row r="2076" spans="1:15" x14ac:dyDescent="0.3">
      <c r="A2076">
        <v>226944</v>
      </c>
      <c r="B2076">
        <v>105</v>
      </c>
      <c r="C2076" t="s">
        <v>557</v>
      </c>
      <c r="D2076" t="s">
        <v>2585</v>
      </c>
      <c r="E2076" t="s">
        <v>3085</v>
      </c>
      <c r="F2076" s="451">
        <v>46136</v>
      </c>
      <c r="G2076">
        <v>18822</v>
      </c>
      <c r="H2076" t="s">
        <v>4811</v>
      </c>
      <c r="I2076" t="s">
        <v>5191</v>
      </c>
      <c r="J2076">
        <v>11.5</v>
      </c>
      <c r="K2076" t="s">
        <v>4744</v>
      </c>
      <c r="L2076">
        <v>1174.93</v>
      </c>
      <c r="M2076">
        <v>102.16782600000001</v>
      </c>
      <c r="N2076" t="s">
        <v>5191</v>
      </c>
      <c r="O2076" t="s">
        <v>462</v>
      </c>
    </row>
    <row r="2077" spans="1:15" x14ac:dyDescent="0.3">
      <c r="A2077">
        <v>226944</v>
      </c>
      <c r="B2077">
        <v>105</v>
      </c>
      <c r="C2077" t="s">
        <v>557</v>
      </c>
      <c r="D2077" t="s">
        <v>2585</v>
      </c>
      <c r="E2077" t="s">
        <v>3085</v>
      </c>
      <c r="F2077" s="451">
        <v>46136</v>
      </c>
      <c r="G2077">
        <v>27264</v>
      </c>
      <c r="H2077" t="s">
        <v>5075</v>
      </c>
      <c r="I2077" t="s">
        <v>5191</v>
      </c>
      <c r="J2077">
        <v>12.16</v>
      </c>
      <c r="K2077" t="s">
        <v>4744</v>
      </c>
      <c r="L2077">
        <v>646.91</v>
      </c>
      <c r="M2077">
        <v>53.199835999999998</v>
      </c>
      <c r="N2077" t="s">
        <v>5191</v>
      </c>
      <c r="O2077" t="s">
        <v>462</v>
      </c>
    </row>
    <row r="2078" spans="1:15" x14ac:dyDescent="0.3">
      <c r="A2078">
        <v>226943</v>
      </c>
      <c r="B2078">
        <v>105</v>
      </c>
      <c r="C2078" t="s">
        <v>557</v>
      </c>
      <c r="D2078" t="s">
        <v>2581</v>
      </c>
      <c r="E2078" t="s">
        <v>3086</v>
      </c>
      <c r="F2078" s="451">
        <v>46135</v>
      </c>
      <c r="G2078">
        <v>23359</v>
      </c>
      <c r="H2078" t="s">
        <v>4767</v>
      </c>
      <c r="I2078" t="s">
        <v>5191</v>
      </c>
      <c r="J2078">
        <v>10</v>
      </c>
      <c r="K2078" t="s">
        <v>4744</v>
      </c>
      <c r="L2078">
        <v>22</v>
      </c>
      <c r="M2078">
        <v>2.2000000000000002</v>
      </c>
      <c r="N2078" t="s">
        <v>5272</v>
      </c>
      <c r="O2078" t="s">
        <v>462</v>
      </c>
    </row>
    <row r="2079" spans="1:15" x14ac:dyDescent="0.3">
      <c r="A2079">
        <v>226943</v>
      </c>
      <c r="B2079">
        <v>105</v>
      </c>
      <c r="C2079" t="s">
        <v>557</v>
      </c>
      <c r="D2079" t="s">
        <v>2581</v>
      </c>
      <c r="E2079" t="s">
        <v>3086</v>
      </c>
      <c r="F2079" s="451">
        <v>46135</v>
      </c>
      <c r="G2079">
        <v>19622</v>
      </c>
      <c r="H2079" t="s">
        <v>4915</v>
      </c>
      <c r="I2079" t="s">
        <v>5191</v>
      </c>
      <c r="J2079">
        <v>1</v>
      </c>
      <c r="K2079" t="s">
        <v>4744</v>
      </c>
      <c r="L2079">
        <v>4.5</v>
      </c>
      <c r="M2079">
        <v>4.5</v>
      </c>
      <c r="N2079" t="s">
        <v>5272</v>
      </c>
      <c r="O2079" t="s">
        <v>462</v>
      </c>
    </row>
    <row r="2080" spans="1:15" x14ac:dyDescent="0.3">
      <c r="A2080">
        <v>226943</v>
      </c>
      <c r="B2080">
        <v>105</v>
      </c>
      <c r="C2080" t="s">
        <v>557</v>
      </c>
      <c r="D2080" t="s">
        <v>2581</v>
      </c>
      <c r="E2080" t="s">
        <v>3086</v>
      </c>
      <c r="F2080" s="451">
        <v>46135</v>
      </c>
      <c r="G2080">
        <v>19502</v>
      </c>
      <c r="H2080" t="s">
        <v>4871</v>
      </c>
      <c r="I2080" t="s">
        <v>5191</v>
      </c>
      <c r="J2080">
        <v>3</v>
      </c>
      <c r="K2080" t="s">
        <v>4744</v>
      </c>
      <c r="L2080">
        <v>51</v>
      </c>
      <c r="M2080">
        <v>17</v>
      </c>
      <c r="N2080" t="s">
        <v>5272</v>
      </c>
      <c r="O2080" t="s">
        <v>462</v>
      </c>
    </row>
    <row r="2081" spans="1:15" x14ac:dyDescent="0.3">
      <c r="A2081">
        <v>226943</v>
      </c>
      <c r="B2081">
        <v>105</v>
      </c>
      <c r="C2081" t="s">
        <v>557</v>
      </c>
      <c r="D2081" t="s">
        <v>2581</v>
      </c>
      <c r="E2081" t="s">
        <v>3086</v>
      </c>
      <c r="F2081" s="451">
        <v>46135</v>
      </c>
      <c r="G2081">
        <v>19507</v>
      </c>
      <c r="H2081" t="s">
        <v>4853</v>
      </c>
      <c r="I2081" t="s">
        <v>5191</v>
      </c>
      <c r="J2081">
        <v>2</v>
      </c>
      <c r="K2081" t="s">
        <v>4744</v>
      </c>
      <c r="L2081">
        <v>30</v>
      </c>
      <c r="M2081">
        <v>15</v>
      </c>
      <c r="N2081" t="s">
        <v>5272</v>
      </c>
      <c r="O2081" t="s">
        <v>462</v>
      </c>
    </row>
    <row r="2082" spans="1:15" x14ac:dyDescent="0.3">
      <c r="A2082">
        <v>226943</v>
      </c>
      <c r="B2082">
        <v>105</v>
      </c>
      <c r="C2082" t="s">
        <v>557</v>
      </c>
      <c r="D2082" t="s">
        <v>2581</v>
      </c>
      <c r="E2082" t="s">
        <v>3086</v>
      </c>
      <c r="F2082" s="451">
        <v>46135</v>
      </c>
      <c r="G2082">
        <v>19740</v>
      </c>
      <c r="H2082" t="s">
        <v>4779</v>
      </c>
      <c r="I2082" t="s">
        <v>5191</v>
      </c>
      <c r="J2082">
        <v>8</v>
      </c>
      <c r="K2082" t="s">
        <v>4744</v>
      </c>
      <c r="L2082">
        <v>76</v>
      </c>
      <c r="M2082">
        <v>9.5</v>
      </c>
      <c r="N2082" t="s">
        <v>5272</v>
      </c>
      <c r="O2082" t="s">
        <v>462</v>
      </c>
    </row>
    <row r="2083" spans="1:15" x14ac:dyDescent="0.3">
      <c r="A2083">
        <v>226943</v>
      </c>
      <c r="B2083">
        <v>105</v>
      </c>
      <c r="C2083" t="s">
        <v>557</v>
      </c>
      <c r="D2083" t="s">
        <v>2581</v>
      </c>
      <c r="E2083" t="s">
        <v>3086</v>
      </c>
      <c r="F2083" s="451">
        <v>46135</v>
      </c>
      <c r="G2083">
        <v>23113</v>
      </c>
      <c r="H2083" t="s">
        <v>5074</v>
      </c>
      <c r="I2083" t="s">
        <v>5191</v>
      </c>
      <c r="J2083">
        <v>1</v>
      </c>
      <c r="K2083" t="s">
        <v>4744</v>
      </c>
      <c r="L2083">
        <v>12</v>
      </c>
      <c r="M2083">
        <v>12</v>
      </c>
      <c r="N2083" t="s">
        <v>5272</v>
      </c>
      <c r="O2083" t="s">
        <v>462</v>
      </c>
    </row>
    <row r="2084" spans="1:15" x14ac:dyDescent="0.3">
      <c r="A2084">
        <v>226943</v>
      </c>
      <c r="B2084">
        <v>105</v>
      </c>
      <c r="C2084" t="s">
        <v>557</v>
      </c>
      <c r="D2084" t="s">
        <v>2581</v>
      </c>
      <c r="E2084" t="s">
        <v>3086</v>
      </c>
      <c r="F2084" s="451">
        <v>46135</v>
      </c>
      <c r="G2084">
        <v>19505</v>
      </c>
      <c r="H2084" t="s">
        <v>4872</v>
      </c>
      <c r="I2084" t="s">
        <v>5191</v>
      </c>
      <c r="J2084">
        <v>4</v>
      </c>
      <c r="K2084" t="s">
        <v>4744</v>
      </c>
      <c r="L2084">
        <v>40</v>
      </c>
      <c r="M2084">
        <v>10</v>
      </c>
      <c r="N2084" t="s">
        <v>5272</v>
      </c>
      <c r="O2084" t="s">
        <v>462</v>
      </c>
    </row>
    <row r="2085" spans="1:15" x14ac:dyDescent="0.3">
      <c r="A2085">
        <v>226943</v>
      </c>
      <c r="B2085">
        <v>105</v>
      </c>
      <c r="C2085" t="s">
        <v>557</v>
      </c>
      <c r="D2085" t="s">
        <v>2581</v>
      </c>
      <c r="E2085" t="s">
        <v>3086</v>
      </c>
      <c r="F2085" s="451">
        <v>46135</v>
      </c>
      <c r="G2085">
        <v>19623</v>
      </c>
      <c r="H2085" t="s">
        <v>4764</v>
      </c>
      <c r="I2085" t="s">
        <v>5191</v>
      </c>
      <c r="J2085">
        <v>20</v>
      </c>
      <c r="K2085" t="s">
        <v>4744</v>
      </c>
      <c r="L2085">
        <v>116</v>
      </c>
      <c r="M2085">
        <v>5.8</v>
      </c>
      <c r="N2085" t="s">
        <v>5272</v>
      </c>
      <c r="O2085" t="s">
        <v>462</v>
      </c>
    </row>
    <row r="2086" spans="1:15" x14ac:dyDescent="0.3">
      <c r="A2086">
        <v>226943</v>
      </c>
      <c r="B2086">
        <v>105</v>
      </c>
      <c r="C2086" t="s">
        <v>557</v>
      </c>
      <c r="D2086" t="s">
        <v>2581</v>
      </c>
      <c r="E2086" t="s">
        <v>3086</v>
      </c>
      <c r="F2086" s="451">
        <v>46135</v>
      </c>
      <c r="G2086">
        <v>19752</v>
      </c>
      <c r="H2086" t="s">
        <v>4807</v>
      </c>
      <c r="I2086" t="s">
        <v>5191</v>
      </c>
      <c r="J2086">
        <v>3</v>
      </c>
      <c r="K2086" t="s">
        <v>4744</v>
      </c>
      <c r="L2086">
        <v>18</v>
      </c>
      <c r="M2086">
        <v>6</v>
      </c>
      <c r="N2086" t="s">
        <v>5272</v>
      </c>
      <c r="O2086" t="s">
        <v>462</v>
      </c>
    </row>
    <row r="2087" spans="1:15" x14ac:dyDescent="0.3">
      <c r="A2087">
        <v>226943</v>
      </c>
      <c r="B2087">
        <v>105</v>
      </c>
      <c r="C2087" t="s">
        <v>557</v>
      </c>
      <c r="D2087" t="s">
        <v>2581</v>
      </c>
      <c r="E2087" t="s">
        <v>3086</v>
      </c>
      <c r="F2087" s="451">
        <v>46135</v>
      </c>
      <c r="G2087">
        <v>23389</v>
      </c>
      <c r="H2087" t="s">
        <v>4960</v>
      </c>
      <c r="I2087" t="s">
        <v>5191</v>
      </c>
      <c r="J2087">
        <v>7</v>
      </c>
      <c r="K2087" t="s">
        <v>4744</v>
      </c>
      <c r="L2087">
        <v>35</v>
      </c>
      <c r="M2087">
        <v>5</v>
      </c>
      <c r="N2087" t="s">
        <v>5272</v>
      </c>
      <c r="O2087" t="s">
        <v>462</v>
      </c>
    </row>
    <row r="2088" spans="1:15" x14ac:dyDescent="0.3">
      <c r="A2088">
        <v>226943</v>
      </c>
      <c r="B2088">
        <v>105</v>
      </c>
      <c r="C2088" t="s">
        <v>557</v>
      </c>
      <c r="D2088" t="s">
        <v>2581</v>
      </c>
      <c r="E2088" t="s">
        <v>3086</v>
      </c>
      <c r="F2088" s="451">
        <v>46135</v>
      </c>
      <c r="G2088">
        <v>19751</v>
      </c>
      <c r="H2088" t="s">
        <v>4800</v>
      </c>
      <c r="I2088" t="s">
        <v>5191</v>
      </c>
      <c r="J2088">
        <v>4</v>
      </c>
      <c r="K2088" t="s">
        <v>4744</v>
      </c>
      <c r="L2088">
        <v>38.799999999999997</v>
      </c>
      <c r="M2088">
        <v>9.6999999999999993</v>
      </c>
      <c r="N2088" t="s">
        <v>5272</v>
      </c>
      <c r="O2088" t="s">
        <v>462</v>
      </c>
    </row>
    <row r="2089" spans="1:15" x14ac:dyDescent="0.3">
      <c r="A2089">
        <v>226943</v>
      </c>
      <c r="B2089">
        <v>105</v>
      </c>
      <c r="C2089" t="s">
        <v>557</v>
      </c>
      <c r="D2089" t="s">
        <v>2581</v>
      </c>
      <c r="E2089" t="s">
        <v>3086</v>
      </c>
      <c r="F2089" s="451">
        <v>46135</v>
      </c>
      <c r="G2089">
        <v>24509</v>
      </c>
      <c r="H2089" t="s">
        <v>4788</v>
      </c>
      <c r="I2089" t="s">
        <v>5191</v>
      </c>
      <c r="J2089">
        <v>20</v>
      </c>
      <c r="K2089" t="s">
        <v>4744</v>
      </c>
      <c r="L2089">
        <v>76</v>
      </c>
      <c r="M2089">
        <v>3.8</v>
      </c>
      <c r="N2089" t="s">
        <v>5272</v>
      </c>
      <c r="O2089" t="s">
        <v>462</v>
      </c>
    </row>
    <row r="2090" spans="1:15" x14ac:dyDescent="0.3">
      <c r="A2090">
        <v>226943</v>
      </c>
      <c r="B2090">
        <v>105</v>
      </c>
      <c r="C2090" t="s">
        <v>557</v>
      </c>
      <c r="D2090" t="s">
        <v>2581</v>
      </c>
      <c r="E2090" t="s">
        <v>3086</v>
      </c>
      <c r="F2090" s="451">
        <v>46135</v>
      </c>
      <c r="G2090">
        <v>19572</v>
      </c>
      <c r="H2090" t="s">
        <v>4989</v>
      </c>
      <c r="I2090" t="s">
        <v>5191</v>
      </c>
      <c r="J2090">
        <v>1</v>
      </c>
      <c r="K2090" t="s">
        <v>4744</v>
      </c>
      <c r="L2090">
        <v>10</v>
      </c>
      <c r="M2090">
        <v>10</v>
      </c>
      <c r="N2090" t="s">
        <v>5272</v>
      </c>
      <c r="O2090" t="s">
        <v>462</v>
      </c>
    </row>
    <row r="2091" spans="1:15" x14ac:dyDescent="0.3">
      <c r="A2091">
        <v>226943</v>
      </c>
      <c r="B2091">
        <v>105</v>
      </c>
      <c r="C2091" t="s">
        <v>557</v>
      </c>
      <c r="D2091" t="s">
        <v>2581</v>
      </c>
      <c r="E2091" t="s">
        <v>3086</v>
      </c>
      <c r="F2091" s="451">
        <v>46135</v>
      </c>
      <c r="G2091">
        <v>19787</v>
      </c>
      <c r="H2091" t="s">
        <v>4793</v>
      </c>
      <c r="I2091" t="s">
        <v>5191</v>
      </c>
      <c r="J2091">
        <v>9</v>
      </c>
      <c r="K2091" t="s">
        <v>4744</v>
      </c>
      <c r="L2091">
        <v>57.6</v>
      </c>
      <c r="M2091">
        <v>6.4</v>
      </c>
      <c r="N2091" t="s">
        <v>5272</v>
      </c>
      <c r="O2091" t="s">
        <v>462</v>
      </c>
    </row>
    <row r="2092" spans="1:15" x14ac:dyDescent="0.3">
      <c r="A2092">
        <v>226943</v>
      </c>
      <c r="B2092">
        <v>105</v>
      </c>
      <c r="C2092" t="s">
        <v>557</v>
      </c>
      <c r="D2092" t="s">
        <v>2581</v>
      </c>
      <c r="E2092" t="s">
        <v>3086</v>
      </c>
      <c r="F2092" s="451">
        <v>46135</v>
      </c>
      <c r="G2092">
        <v>19506</v>
      </c>
      <c r="H2092" t="s">
        <v>5122</v>
      </c>
      <c r="I2092" t="s">
        <v>5191</v>
      </c>
      <c r="J2092">
        <v>0.5</v>
      </c>
      <c r="K2092" t="s">
        <v>4744</v>
      </c>
      <c r="L2092">
        <v>32.5</v>
      </c>
      <c r="M2092">
        <v>65</v>
      </c>
      <c r="N2092" t="s">
        <v>5272</v>
      </c>
      <c r="O2092" t="s">
        <v>462</v>
      </c>
    </row>
    <row r="2093" spans="1:15" x14ac:dyDescent="0.3">
      <c r="A2093">
        <v>226943</v>
      </c>
      <c r="B2093">
        <v>105</v>
      </c>
      <c r="C2093" t="s">
        <v>557</v>
      </c>
      <c r="D2093" t="s">
        <v>2581</v>
      </c>
      <c r="E2093" t="s">
        <v>3086</v>
      </c>
      <c r="F2093" s="451">
        <v>46135</v>
      </c>
      <c r="G2093">
        <v>19617</v>
      </c>
      <c r="H2093" t="s">
        <v>5071</v>
      </c>
      <c r="I2093" t="s">
        <v>5191</v>
      </c>
      <c r="J2093">
        <v>0.3</v>
      </c>
      <c r="K2093" t="s">
        <v>4744</v>
      </c>
      <c r="L2093">
        <v>8.1</v>
      </c>
      <c r="M2093">
        <v>27</v>
      </c>
      <c r="N2093" t="s">
        <v>5272</v>
      </c>
      <c r="O2093" t="s">
        <v>462</v>
      </c>
    </row>
    <row r="2094" spans="1:15" x14ac:dyDescent="0.3">
      <c r="A2094">
        <v>226942</v>
      </c>
      <c r="B2094">
        <v>105</v>
      </c>
      <c r="C2094" t="s">
        <v>557</v>
      </c>
      <c r="D2094" t="s">
        <v>2581</v>
      </c>
      <c r="E2094" t="s">
        <v>3087</v>
      </c>
      <c r="F2094" s="451">
        <v>46127</v>
      </c>
      <c r="G2094">
        <v>19553</v>
      </c>
      <c r="H2094" t="s">
        <v>4868</v>
      </c>
      <c r="I2094" t="s">
        <v>5191</v>
      </c>
      <c r="J2094">
        <v>1</v>
      </c>
      <c r="K2094" t="s">
        <v>4744</v>
      </c>
      <c r="L2094">
        <v>5.8</v>
      </c>
      <c r="M2094">
        <v>5.8</v>
      </c>
      <c r="N2094" t="s">
        <v>5272</v>
      </c>
      <c r="O2094" t="s">
        <v>462</v>
      </c>
    </row>
    <row r="2095" spans="1:15" x14ac:dyDescent="0.3">
      <c r="A2095">
        <v>226942</v>
      </c>
      <c r="B2095">
        <v>105</v>
      </c>
      <c r="C2095" t="s">
        <v>557</v>
      </c>
      <c r="D2095" t="s">
        <v>2581</v>
      </c>
      <c r="E2095" t="s">
        <v>3087</v>
      </c>
      <c r="F2095" s="451">
        <v>46127</v>
      </c>
      <c r="G2095">
        <v>19472</v>
      </c>
      <c r="H2095" t="s">
        <v>4906</v>
      </c>
      <c r="I2095" t="s">
        <v>5191</v>
      </c>
      <c r="J2095">
        <v>1.5</v>
      </c>
      <c r="K2095" t="s">
        <v>4744</v>
      </c>
      <c r="L2095">
        <v>26.25</v>
      </c>
      <c r="M2095">
        <v>17.5</v>
      </c>
      <c r="N2095" t="s">
        <v>5272</v>
      </c>
      <c r="O2095" t="s">
        <v>462</v>
      </c>
    </row>
    <row r="2096" spans="1:15" x14ac:dyDescent="0.3">
      <c r="A2096">
        <v>226942</v>
      </c>
      <c r="B2096">
        <v>105</v>
      </c>
      <c r="C2096" t="s">
        <v>557</v>
      </c>
      <c r="D2096" t="s">
        <v>2581</v>
      </c>
      <c r="E2096" t="s">
        <v>3087</v>
      </c>
      <c r="F2096" s="451">
        <v>46127</v>
      </c>
      <c r="G2096">
        <v>19505</v>
      </c>
      <c r="H2096" t="s">
        <v>4872</v>
      </c>
      <c r="I2096" t="s">
        <v>5191</v>
      </c>
      <c r="J2096">
        <v>3</v>
      </c>
      <c r="K2096" t="s">
        <v>4744</v>
      </c>
      <c r="L2096">
        <v>28.5</v>
      </c>
      <c r="M2096">
        <v>9.5</v>
      </c>
      <c r="N2096" t="s">
        <v>5272</v>
      </c>
      <c r="O2096" t="s">
        <v>462</v>
      </c>
    </row>
    <row r="2097" spans="1:15" x14ac:dyDescent="0.3">
      <c r="A2097">
        <v>226942</v>
      </c>
      <c r="B2097">
        <v>105</v>
      </c>
      <c r="C2097" t="s">
        <v>557</v>
      </c>
      <c r="D2097" t="s">
        <v>2581</v>
      </c>
      <c r="E2097" t="s">
        <v>3087</v>
      </c>
      <c r="F2097" s="451">
        <v>46127</v>
      </c>
      <c r="G2097">
        <v>23096</v>
      </c>
      <c r="H2097" t="s">
        <v>5164</v>
      </c>
      <c r="I2097" t="s">
        <v>5191</v>
      </c>
      <c r="J2097">
        <v>60</v>
      </c>
      <c r="K2097" t="s">
        <v>4736</v>
      </c>
      <c r="L2097">
        <v>42</v>
      </c>
      <c r="M2097">
        <v>0.7</v>
      </c>
      <c r="N2097" t="s">
        <v>5272</v>
      </c>
      <c r="O2097" t="s">
        <v>462</v>
      </c>
    </row>
    <row r="2098" spans="1:15" x14ac:dyDescent="0.3">
      <c r="A2098">
        <v>226942</v>
      </c>
      <c r="B2098">
        <v>105</v>
      </c>
      <c r="C2098" t="s">
        <v>557</v>
      </c>
      <c r="D2098" t="s">
        <v>2581</v>
      </c>
      <c r="E2098" t="s">
        <v>3087</v>
      </c>
      <c r="F2098" s="451">
        <v>46127</v>
      </c>
      <c r="G2098">
        <v>19552</v>
      </c>
      <c r="H2098" t="s">
        <v>4860</v>
      </c>
      <c r="I2098" t="s">
        <v>5191</v>
      </c>
      <c r="J2098">
        <v>1</v>
      </c>
      <c r="K2098" t="s">
        <v>4744</v>
      </c>
      <c r="L2098">
        <v>8.5</v>
      </c>
      <c r="M2098">
        <v>8.5</v>
      </c>
      <c r="N2098" t="s">
        <v>5272</v>
      </c>
      <c r="O2098" t="s">
        <v>462</v>
      </c>
    </row>
    <row r="2099" spans="1:15" x14ac:dyDescent="0.3">
      <c r="A2099">
        <v>226942</v>
      </c>
      <c r="B2099">
        <v>105</v>
      </c>
      <c r="C2099" t="s">
        <v>557</v>
      </c>
      <c r="D2099" t="s">
        <v>2581</v>
      </c>
      <c r="E2099" t="s">
        <v>3087</v>
      </c>
      <c r="F2099" s="451">
        <v>46127</v>
      </c>
      <c r="G2099">
        <v>19743</v>
      </c>
      <c r="H2099" t="s">
        <v>5047</v>
      </c>
      <c r="I2099" t="s">
        <v>5191</v>
      </c>
      <c r="J2099">
        <v>1</v>
      </c>
      <c r="K2099" t="s">
        <v>4744</v>
      </c>
      <c r="L2099">
        <v>15</v>
      </c>
      <c r="M2099">
        <v>15</v>
      </c>
      <c r="N2099" t="s">
        <v>5272</v>
      </c>
      <c r="O2099" t="s">
        <v>462</v>
      </c>
    </row>
    <row r="2100" spans="1:15" x14ac:dyDescent="0.3">
      <c r="A2100">
        <v>226942</v>
      </c>
      <c r="B2100">
        <v>105</v>
      </c>
      <c r="C2100" t="s">
        <v>557</v>
      </c>
      <c r="D2100" t="s">
        <v>2581</v>
      </c>
      <c r="E2100" t="s">
        <v>3087</v>
      </c>
      <c r="F2100" s="451">
        <v>46127</v>
      </c>
      <c r="G2100">
        <v>24099</v>
      </c>
      <c r="H2100" t="s">
        <v>4933</v>
      </c>
      <c r="I2100" t="s">
        <v>5191</v>
      </c>
      <c r="J2100">
        <v>1</v>
      </c>
      <c r="K2100" t="s">
        <v>4744</v>
      </c>
      <c r="L2100">
        <v>13</v>
      </c>
      <c r="M2100">
        <v>13</v>
      </c>
      <c r="N2100" t="s">
        <v>5272</v>
      </c>
      <c r="O2100" t="s">
        <v>462</v>
      </c>
    </row>
    <row r="2101" spans="1:15" x14ac:dyDescent="0.3">
      <c r="A2101">
        <v>226942</v>
      </c>
      <c r="B2101">
        <v>105</v>
      </c>
      <c r="C2101" t="s">
        <v>557</v>
      </c>
      <c r="D2101" t="s">
        <v>2581</v>
      </c>
      <c r="E2101" t="s">
        <v>3087</v>
      </c>
      <c r="F2101" s="451">
        <v>46127</v>
      </c>
      <c r="G2101">
        <v>24037</v>
      </c>
      <c r="H2101" t="s">
        <v>5233</v>
      </c>
      <c r="I2101" t="s">
        <v>5191</v>
      </c>
      <c r="J2101">
        <v>2</v>
      </c>
      <c r="K2101" t="s">
        <v>4744</v>
      </c>
      <c r="L2101">
        <v>36</v>
      </c>
      <c r="M2101">
        <v>18</v>
      </c>
      <c r="N2101" t="s">
        <v>5272</v>
      </c>
      <c r="O2101" t="s">
        <v>462</v>
      </c>
    </row>
    <row r="2102" spans="1:15" x14ac:dyDescent="0.3">
      <c r="A2102">
        <v>226942</v>
      </c>
      <c r="B2102">
        <v>105</v>
      </c>
      <c r="C2102" t="s">
        <v>557</v>
      </c>
      <c r="D2102" t="s">
        <v>2581</v>
      </c>
      <c r="E2102" t="s">
        <v>3087</v>
      </c>
      <c r="F2102" s="451">
        <v>46127</v>
      </c>
      <c r="G2102">
        <v>19502</v>
      </c>
      <c r="H2102" t="s">
        <v>4871</v>
      </c>
      <c r="I2102" t="s">
        <v>5191</v>
      </c>
      <c r="J2102">
        <v>3</v>
      </c>
      <c r="K2102" t="s">
        <v>4744</v>
      </c>
      <c r="L2102">
        <v>60</v>
      </c>
      <c r="M2102">
        <v>20</v>
      </c>
      <c r="N2102" t="s">
        <v>5272</v>
      </c>
      <c r="O2102" t="s">
        <v>462</v>
      </c>
    </row>
    <row r="2103" spans="1:15" x14ac:dyDescent="0.3">
      <c r="A2103">
        <v>226942</v>
      </c>
      <c r="B2103">
        <v>105</v>
      </c>
      <c r="C2103" t="s">
        <v>557</v>
      </c>
      <c r="D2103" t="s">
        <v>2581</v>
      </c>
      <c r="E2103" t="s">
        <v>3087</v>
      </c>
      <c r="F2103" s="451">
        <v>46127</v>
      </c>
      <c r="G2103">
        <v>19740</v>
      </c>
      <c r="H2103" t="s">
        <v>4779</v>
      </c>
      <c r="I2103" t="s">
        <v>5191</v>
      </c>
      <c r="J2103">
        <v>5</v>
      </c>
      <c r="K2103" t="s">
        <v>4744</v>
      </c>
      <c r="L2103">
        <v>45</v>
      </c>
      <c r="M2103">
        <v>9</v>
      </c>
      <c r="N2103" t="s">
        <v>5272</v>
      </c>
      <c r="O2103" t="s">
        <v>462</v>
      </c>
    </row>
    <row r="2104" spans="1:15" x14ac:dyDescent="0.3">
      <c r="A2104">
        <v>226942</v>
      </c>
      <c r="B2104">
        <v>105</v>
      </c>
      <c r="C2104" t="s">
        <v>557</v>
      </c>
      <c r="D2104" t="s">
        <v>2581</v>
      </c>
      <c r="E2104" t="s">
        <v>3087</v>
      </c>
      <c r="F2104" s="451">
        <v>46127</v>
      </c>
      <c r="G2104">
        <v>23389</v>
      </c>
      <c r="H2104" t="s">
        <v>4960</v>
      </c>
      <c r="I2104" t="s">
        <v>5191</v>
      </c>
      <c r="J2104">
        <v>4</v>
      </c>
      <c r="K2104" t="s">
        <v>4744</v>
      </c>
      <c r="L2104">
        <v>20</v>
      </c>
      <c r="M2104">
        <v>5</v>
      </c>
      <c r="N2104" t="s">
        <v>5272</v>
      </c>
      <c r="O2104" t="s">
        <v>462</v>
      </c>
    </row>
    <row r="2105" spans="1:15" x14ac:dyDescent="0.3">
      <c r="A2105">
        <v>226942</v>
      </c>
      <c r="B2105">
        <v>105</v>
      </c>
      <c r="C2105" t="s">
        <v>557</v>
      </c>
      <c r="D2105" t="s">
        <v>2581</v>
      </c>
      <c r="E2105" t="s">
        <v>3087</v>
      </c>
      <c r="F2105" s="451">
        <v>46127</v>
      </c>
      <c r="G2105">
        <v>23365</v>
      </c>
      <c r="H2105" t="s">
        <v>5108</v>
      </c>
      <c r="I2105" t="s">
        <v>5191</v>
      </c>
      <c r="J2105">
        <v>1</v>
      </c>
      <c r="K2105" t="s">
        <v>4744</v>
      </c>
      <c r="L2105">
        <v>21</v>
      </c>
      <c r="M2105">
        <v>21</v>
      </c>
      <c r="N2105" t="s">
        <v>5272</v>
      </c>
      <c r="O2105" t="s">
        <v>462</v>
      </c>
    </row>
    <row r="2106" spans="1:15" x14ac:dyDescent="0.3">
      <c r="A2106">
        <v>226942</v>
      </c>
      <c r="B2106">
        <v>105</v>
      </c>
      <c r="C2106" t="s">
        <v>557</v>
      </c>
      <c r="D2106" t="s">
        <v>2581</v>
      </c>
      <c r="E2106" t="s">
        <v>3087</v>
      </c>
      <c r="F2106" s="451">
        <v>46127</v>
      </c>
      <c r="G2106">
        <v>19507</v>
      </c>
      <c r="H2106" t="s">
        <v>4853</v>
      </c>
      <c r="I2106" t="s">
        <v>5191</v>
      </c>
      <c r="J2106">
        <v>1.5</v>
      </c>
      <c r="K2106" t="s">
        <v>4744</v>
      </c>
      <c r="L2106">
        <v>20.25</v>
      </c>
      <c r="M2106">
        <v>13.5</v>
      </c>
      <c r="N2106" t="s">
        <v>5272</v>
      </c>
      <c r="O2106" t="s">
        <v>462</v>
      </c>
    </row>
    <row r="2107" spans="1:15" x14ac:dyDescent="0.3">
      <c r="A2107">
        <v>226942</v>
      </c>
      <c r="B2107">
        <v>105</v>
      </c>
      <c r="C2107" t="s">
        <v>557</v>
      </c>
      <c r="D2107" t="s">
        <v>2581</v>
      </c>
      <c r="E2107" t="s">
        <v>3087</v>
      </c>
      <c r="F2107" s="451">
        <v>46127</v>
      </c>
      <c r="G2107">
        <v>19480</v>
      </c>
      <c r="H2107" t="s">
        <v>5119</v>
      </c>
      <c r="I2107" t="s">
        <v>5191</v>
      </c>
      <c r="J2107">
        <v>0.5</v>
      </c>
      <c r="K2107" t="s">
        <v>4744</v>
      </c>
      <c r="L2107">
        <v>8</v>
      </c>
      <c r="M2107">
        <v>16</v>
      </c>
      <c r="N2107" t="s">
        <v>5272</v>
      </c>
      <c r="O2107" t="s">
        <v>462</v>
      </c>
    </row>
    <row r="2108" spans="1:15" x14ac:dyDescent="0.3">
      <c r="A2108">
        <v>226942</v>
      </c>
      <c r="B2108">
        <v>105</v>
      </c>
      <c r="C2108" t="s">
        <v>557</v>
      </c>
      <c r="D2108" t="s">
        <v>2581</v>
      </c>
      <c r="E2108" t="s">
        <v>3087</v>
      </c>
      <c r="F2108" s="451">
        <v>46127</v>
      </c>
      <c r="G2108">
        <v>23359</v>
      </c>
      <c r="H2108" t="s">
        <v>4767</v>
      </c>
      <c r="I2108" t="s">
        <v>5191</v>
      </c>
      <c r="J2108">
        <v>10</v>
      </c>
      <c r="K2108" t="s">
        <v>4744</v>
      </c>
      <c r="L2108">
        <v>22</v>
      </c>
      <c r="M2108">
        <v>2.2000000000000002</v>
      </c>
      <c r="N2108" t="s">
        <v>5272</v>
      </c>
      <c r="O2108" t="s">
        <v>462</v>
      </c>
    </row>
    <row r="2109" spans="1:15" x14ac:dyDescent="0.3">
      <c r="A2109">
        <v>226942</v>
      </c>
      <c r="B2109">
        <v>105</v>
      </c>
      <c r="C2109" t="s">
        <v>557</v>
      </c>
      <c r="D2109" t="s">
        <v>2581</v>
      </c>
      <c r="E2109" t="s">
        <v>3087</v>
      </c>
      <c r="F2109" s="451">
        <v>46127</v>
      </c>
      <c r="G2109">
        <v>19787</v>
      </c>
      <c r="H2109" t="s">
        <v>4793</v>
      </c>
      <c r="I2109" t="s">
        <v>5191</v>
      </c>
      <c r="J2109">
        <v>5</v>
      </c>
      <c r="K2109" t="s">
        <v>4744</v>
      </c>
      <c r="L2109">
        <v>32</v>
      </c>
      <c r="M2109">
        <v>6.4</v>
      </c>
      <c r="N2109" t="s">
        <v>5272</v>
      </c>
      <c r="O2109" t="s">
        <v>462</v>
      </c>
    </row>
    <row r="2110" spans="1:15" x14ac:dyDescent="0.3">
      <c r="A2110">
        <v>226941</v>
      </c>
      <c r="B2110">
        <v>105</v>
      </c>
      <c r="C2110" t="s">
        <v>557</v>
      </c>
      <c r="D2110" t="s">
        <v>2581</v>
      </c>
      <c r="E2110" t="s">
        <v>3088</v>
      </c>
      <c r="F2110" s="451">
        <v>46128</v>
      </c>
      <c r="G2110">
        <v>19751</v>
      </c>
      <c r="H2110" t="s">
        <v>4800</v>
      </c>
      <c r="I2110" t="s">
        <v>5191</v>
      </c>
      <c r="J2110">
        <v>2</v>
      </c>
      <c r="K2110" t="s">
        <v>4744</v>
      </c>
      <c r="L2110">
        <v>19</v>
      </c>
      <c r="M2110">
        <v>9.5</v>
      </c>
      <c r="N2110" t="s">
        <v>5272</v>
      </c>
      <c r="O2110" t="s">
        <v>462</v>
      </c>
    </row>
    <row r="2111" spans="1:15" x14ac:dyDescent="0.3">
      <c r="A2111">
        <v>226941</v>
      </c>
      <c r="B2111">
        <v>105</v>
      </c>
      <c r="C2111" t="s">
        <v>557</v>
      </c>
      <c r="D2111" t="s">
        <v>2581</v>
      </c>
      <c r="E2111" t="s">
        <v>3088</v>
      </c>
      <c r="F2111" s="451">
        <v>46128</v>
      </c>
      <c r="G2111">
        <v>23236</v>
      </c>
      <c r="H2111" t="s">
        <v>5062</v>
      </c>
      <c r="I2111" t="s">
        <v>5191</v>
      </c>
      <c r="J2111">
        <v>4</v>
      </c>
      <c r="K2111" t="s">
        <v>4744</v>
      </c>
      <c r="L2111">
        <v>34</v>
      </c>
      <c r="M2111">
        <v>8.5</v>
      </c>
      <c r="N2111" t="s">
        <v>5272</v>
      </c>
      <c r="O2111" t="s">
        <v>462</v>
      </c>
    </row>
    <row r="2112" spans="1:15" x14ac:dyDescent="0.3">
      <c r="A2112">
        <v>226941</v>
      </c>
      <c r="B2112">
        <v>105</v>
      </c>
      <c r="C2112" t="s">
        <v>557</v>
      </c>
      <c r="D2112" t="s">
        <v>2581</v>
      </c>
      <c r="E2112" t="s">
        <v>3088</v>
      </c>
      <c r="F2112" s="451">
        <v>46128</v>
      </c>
      <c r="G2112">
        <v>19623</v>
      </c>
      <c r="H2112" t="s">
        <v>4764</v>
      </c>
      <c r="I2112" t="s">
        <v>5191</v>
      </c>
      <c r="J2112">
        <v>15</v>
      </c>
      <c r="K2112" t="s">
        <v>4744</v>
      </c>
      <c r="L2112">
        <v>75</v>
      </c>
      <c r="M2112">
        <v>5</v>
      </c>
      <c r="N2112" t="s">
        <v>5272</v>
      </c>
      <c r="O2112" t="s">
        <v>462</v>
      </c>
    </row>
    <row r="2113" spans="1:15" x14ac:dyDescent="0.3">
      <c r="A2113">
        <v>226941</v>
      </c>
      <c r="B2113">
        <v>105</v>
      </c>
      <c r="C2113" t="s">
        <v>557</v>
      </c>
      <c r="D2113" t="s">
        <v>2581</v>
      </c>
      <c r="E2113" t="s">
        <v>3088</v>
      </c>
      <c r="F2113" s="451">
        <v>46128</v>
      </c>
      <c r="G2113">
        <v>24509</v>
      </c>
      <c r="H2113" t="s">
        <v>4788</v>
      </c>
      <c r="I2113" t="s">
        <v>5191</v>
      </c>
      <c r="J2113">
        <v>20</v>
      </c>
      <c r="K2113" t="s">
        <v>4744</v>
      </c>
      <c r="L2113">
        <v>84</v>
      </c>
      <c r="M2113">
        <v>4.2</v>
      </c>
      <c r="N2113" t="s">
        <v>5272</v>
      </c>
      <c r="O2113" t="s">
        <v>462</v>
      </c>
    </row>
    <row r="2114" spans="1:15" x14ac:dyDescent="0.3">
      <c r="A2114">
        <v>226941</v>
      </c>
      <c r="B2114">
        <v>105</v>
      </c>
      <c r="C2114" t="s">
        <v>557</v>
      </c>
      <c r="D2114" t="s">
        <v>2581</v>
      </c>
      <c r="E2114" t="s">
        <v>3088</v>
      </c>
      <c r="F2114" s="451">
        <v>46128</v>
      </c>
      <c r="G2114">
        <v>19472</v>
      </c>
      <c r="H2114" t="s">
        <v>4906</v>
      </c>
      <c r="I2114" t="s">
        <v>5191</v>
      </c>
      <c r="J2114">
        <v>3</v>
      </c>
      <c r="K2114" t="s">
        <v>4744</v>
      </c>
      <c r="L2114">
        <v>51.6</v>
      </c>
      <c r="M2114">
        <v>17.2</v>
      </c>
      <c r="N2114" t="s">
        <v>5272</v>
      </c>
      <c r="O2114" t="s">
        <v>462</v>
      </c>
    </row>
    <row r="2115" spans="1:15" x14ac:dyDescent="0.3">
      <c r="A2115">
        <v>226941</v>
      </c>
      <c r="B2115">
        <v>105</v>
      </c>
      <c r="C2115" t="s">
        <v>557</v>
      </c>
      <c r="D2115" t="s">
        <v>2581</v>
      </c>
      <c r="E2115" t="s">
        <v>3088</v>
      </c>
      <c r="F2115" s="451">
        <v>46128</v>
      </c>
      <c r="G2115">
        <v>19617</v>
      </c>
      <c r="H2115" t="s">
        <v>5071</v>
      </c>
      <c r="I2115" t="s">
        <v>5191</v>
      </c>
      <c r="J2115">
        <v>1</v>
      </c>
      <c r="K2115" t="s">
        <v>4744</v>
      </c>
      <c r="L2115">
        <v>12</v>
      </c>
      <c r="M2115">
        <v>12</v>
      </c>
      <c r="N2115" t="s">
        <v>5272</v>
      </c>
      <c r="O2115" t="s">
        <v>462</v>
      </c>
    </row>
    <row r="2116" spans="1:15" x14ac:dyDescent="0.3">
      <c r="A2116">
        <v>226941</v>
      </c>
      <c r="B2116">
        <v>105</v>
      </c>
      <c r="C2116" t="s">
        <v>557</v>
      </c>
      <c r="D2116" t="s">
        <v>2581</v>
      </c>
      <c r="E2116" t="s">
        <v>3088</v>
      </c>
      <c r="F2116" s="451">
        <v>46128</v>
      </c>
      <c r="G2116">
        <v>19740</v>
      </c>
      <c r="H2116" t="s">
        <v>4779</v>
      </c>
      <c r="I2116" t="s">
        <v>5191</v>
      </c>
      <c r="J2116">
        <v>8</v>
      </c>
      <c r="K2116" t="s">
        <v>4744</v>
      </c>
      <c r="L2116">
        <v>72</v>
      </c>
      <c r="M2116">
        <v>9</v>
      </c>
      <c r="N2116" t="s">
        <v>5272</v>
      </c>
      <c r="O2116" t="s">
        <v>462</v>
      </c>
    </row>
    <row r="2117" spans="1:15" x14ac:dyDescent="0.3">
      <c r="A2117">
        <v>226941</v>
      </c>
      <c r="B2117">
        <v>105</v>
      </c>
      <c r="C2117" t="s">
        <v>557</v>
      </c>
      <c r="D2117" t="s">
        <v>2581</v>
      </c>
      <c r="E2117" t="s">
        <v>3088</v>
      </c>
      <c r="F2117" s="451">
        <v>46128</v>
      </c>
      <c r="G2117">
        <v>19505</v>
      </c>
      <c r="H2117" t="s">
        <v>4872</v>
      </c>
      <c r="I2117" t="s">
        <v>5191</v>
      </c>
      <c r="J2117">
        <v>5</v>
      </c>
      <c r="K2117" t="s">
        <v>4744</v>
      </c>
      <c r="L2117">
        <v>47.5</v>
      </c>
      <c r="M2117">
        <v>9.5</v>
      </c>
      <c r="N2117" t="s">
        <v>5272</v>
      </c>
      <c r="O2117" t="s">
        <v>462</v>
      </c>
    </row>
    <row r="2118" spans="1:15" x14ac:dyDescent="0.3">
      <c r="A2118">
        <v>226941</v>
      </c>
      <c r="B2118">
        <v>105</v>
      </c>
      <c r="C2118" t="s">
        <v>557</v>
      </c>
      <c r="D2118" t="s">
        <v>2581</v>
      </c>
      <c r="E2118" t="s">
        <v>3088</v>
      </c>
      <c r="F2118" s="451">
        <v>46128</v>
      </c>
      <c r="G2118">
        <v>19506</v>
      </c>
      <c r="H2118" t="s">
        <v>5122</v>
      </c>
      <c r="I2118" t="s">
        <v>5191</v>
      </c>
      <c r="J2118">
        <v>0.4</v>
      </c>
      <c r="K2118" t="s">
        <v>4744</v>
      </c>
      <c r="L2118">
        <v>22</v>
      </c>
      <c r="M2118">
        <v>55</v>
      </c>
      <c r="N2118" t="s">
        <v>5272</v>
      </c>
      <c r="O2118" t="s">
        <v>462</v>
      </c>
    </row>
    <row r="2119" spans="1:15" x14ac:dyDescent="0.3">
      <c r="A2119">
        <v>226941</v>
      </c>
      <c r="B2119">
        <v>105</v>
      </c>
      <c r="C2119" t="s">
        <v>557</v>
      </c>
      <c r="D2119" t="s">
        <v>2581</v>
      </c>
      <c r="E2119" t="s">
        <v>3088</v>
      </c>
      <c r="F2119" s="451">
        <v>46128</v>
      </c>
      <c r="G2119">
        <v>19787</v>
      </c>
      <c r="H2119" t="s">
        <v>4793</v>
      </c>
      <c r="I2119" t="s">
        <v>5191</v>
      </c>
      <c r="J2119">
        <v>7</v>
      </c>
      <c r="K2119" t="s">
        <v>4744</v>
      </c>
      <c r="L2119">
        <v>44.8</v>
      </c>
      <c r="M2119">
        <v>6.4</v>
      </c>
      <c r="N2119" t="s">
        <v>5272</v>
      </c>
      <c r="O2119" t="s">
        <v>462</v>
      </c>
    </row>
    <row r="2120" spans="1:15" x14ac:dyDescent="0.3">
      <c r="A2120">
        <v>226941</v>
      </c>
      <c r="B2120">
        <v>105</v>
      </c>
      <c r="C2120" t="s">
        <v>557</v>
      </c>
      <c r="D2120" t="s">
        <v>2581</v>
      </c>
      <c r="E2120" t="s">
        <v>3088</v>
      </c>
      <c r="F2120" s="451">
        <v>46128</v>
      </c>
      <c r="G2120">
        <v>23096</v>
      </c>
      <c r="H2120" t="s">
        <v>5164</v>
      </c>
      <c r="I2120" t="s">
        <v>5191</v>
      </c>
      <c r="J2120">
        <v>60</v>
      </c>
      <c r="K2120" t="s">
        <v>4736</v>
      </c>
      <c r="L2120">
        <v>42</v>
      </c>
      <c r="M2120">
        <v>0.7</v>
      </c>
      <c r="N2120" t="s">
        <v>5272</v>
      </c>
      <c r="O2120" t="s">
        <v>462</v>
      </c>
    </row>
    <row r="2121" spans="1:15" x14ac:dyDescent="0.3">
      <c r="A2121">
        <v>226941</v>
      </c>
      <c r="B2121">
        <v>105</v>
      </c>
      <c r="C2121" t="s">
        <v>557</v>
      </c>
      <c r="D2121" t="s">
        <v>2581</v>
      </c>
      <c r="E2121" t="s">
        <v>3088</v>
      </c>
      <c r="F2121" s="451">
        <v>46128</v>
      </c>
      <c r="G2121">
        <v>19635</v>
      </c>
      <c r="H2121" t="s">
        <v>4786</v>
      </c>
      <c r="I2121" t="s">
        <v>5191</v>
      </c>
      <c r="J2121">
        <v>20</v>
      </c>
      <c r="K2121" t="s">
        <v>4744</v>
      </c>
      <c r="L2121">
        <v>124</v>
      </c>
      <c r="M2121">
        <v>6.2</v>
      </c>
      <c r="N2121" t="s">
        <v>5272</v>
      </c>
      <c r="O2121" t="s">
        <v>462</v>
      </c>
    </row>
    <row r="2122" spans="1:15" x14ac:dyDescent="0.3">
      <c r="A2122">
        <v>226941</v>
      </c>
      <c r="B2122">
        <v>105</v>
      </c>
      <c r="C2122" t="s">
        <v>557</v>
      </c>
      <c r="D2122" t="s">
        <v>2581</v>
      </c>
      <c r="E2122" t="s">
        <v>3088</v>
      </c>
      <c r="F2122" s="451">
        <v>46128</v>
      </c>
      <c r="G2122">
        <v>19551</v>
      </c>
      <c r="H2122" t="s">
        <v>4905</v>
      </c>
      <c r="I2122" t="s">
        <v>5191</v>
      </c>
      <c r="J2122">
        <v>2</v>
      </c>
      <c r="K2122" t="s">
        <v>4744</v>
      </c>
      <c r="L2122">
        <v>35</v>
      </c>
      <c r="M2122">
        <v>17.5</v>
      </c>
      <c r="N2122" t="s">
        <v>5272</v>
      </c>
      <c r="O2122" t="s">
        <v>462</v>
      </c>
    </row>
    <row r="2123" spans="1:15" x14ac:dyDescent="0.3">
      <c r="A2123">
        <v>226941</v>
      </c>
      <c r="B2123">
        <v>105</v>
      </c>
      <c r="C2123" t="s">
        <v>557</v>
      </c>
      <c r="D2123" t="s">
        <v>2581</v>
      </c>
      <c r="E2123" t="s">
        <v>3088</v>
      </c>
      <c r="F2123" s="451">
        <v>46128</v>
      </c>
      <c r="G2123">
        <v>19752</v>
      </c>
      <c r="H2123" t="s">
        <v>4807</v>
      </c>
      <c r="I2123" t="s">
        <v>5191</v>
      </c>
      <c r="J2123">
        <v>2</v>
      </c>
      <c r="K2123" t="s">
        <v>4744</v>
      </c>
      <c r="L2123">
        <v>17</v>
      </c>
      <c r="M2123">
        <v>8.5</v>
      </c>
      <c r="N2123" t="s">
        <v>5272</v>
      </c>
      <c r="O2123" t="s">
        <v>462</v>
      </c>
    </row>
    <row r="2124" spans="1:15" x14ac:dyDescent="0.3">
      <c r="A2124">
        <v>226941</v>
      </c>
      <c r="B2124">
        <v>105</v>
      </c>
      <c r="C2124" t="s">
        <v>557</v>
      </c>
      <c r="D2124" t="s">
        <v>2581</v>
      </c>
      <c r="E2124" t="s">
        <v>3088</v>
      </c>
      <c r="F2124" s="451">
        <v>46128</v>
      </c>
      <c r="G2124">
        <v>23359</v>
      </c>
      <c r="H2124" t="s">
        <v>4767</v>
      </c>
      <c r="I2124" t="s">
        <v>5191</v>
      </c>
      <c r="J2124">
        <v>20</v>
      </c>
      <c r="K2124" t="s">
        <v>4744</v>
      </c>
      <c r="L2124">
        <v>42</v>
      </c>
      <c r="M2124">
        <v>2.1</v>
      </c>
      <c r="N2124" t="s">
        <v>5272</v>
      </c>
      <c r="O2124" t="s">
        <v>462</v>
      </c>
    </row>
    <row r="2125" spans="1:15" x14ac:dyDescent="0.3">
      <c r="A2125">
        <v>226940</v>
      </c>
      <c r="B2125">
        <v>105</v>
      </c>
      <c r="C2125" t="s">
        <v>557</v>
      </c>
      <c r="D2125" t="s">
        <v>2605</v>
      </c>
      <c r="E2125" t="s">
        <v>3089</v>
      </c>
      <c r="F2125" s="451">
        <v>46125</v>
      </c>
      <c r="G2125">
        <v>25050</v>
      </c>
      <c r="H2125" t="s">
        <v>5110</v>
      </c>
      <c r="I2125" t="s">
        <v>5191</v>
      </c>
      <c r="J2125">
        <v>3</v>
      </c>
      <c r="K2125" t="s">
        <v>4744</v>
      </c>
      <c r="L2125">
        <v>463.8</v>
      </c>
      <c r="M2125">
        <v>154.6</v>
      </c>
      <c r="N2125" t="s">
        <v>5272</v>
      </c>
      <c r="O2125" t="s">
        <v>462</v>
      </c>
    </row>
    <row r="2126" spans="1:15" x14ac:dyDescent="0.3">
      <c r="A2126">
        <v>226939</v>
      </c>
      <c r="B2126">
        <v>105</v>
      </c>
      <c r="C2126" t="s">
        <v>557</v>
      </c>
      <c r="D2126" t="s">
        <v>2605</v>
      </c>
      <c r="E2126" t="s">
        <v>3090</v>
      </c>
      <c r="F2126" s="451">
        <v>46127</v>
      </c>
      <c r="G2126">
        <v>19241</v>
      </c>
      <c r="H2126" t="s">
        <v>4890</v>
      </c>
      <c r="I2126" t="s">
        <v>5191</v>
      </c>
      <c r="J2126">
        <v>2</v>
      </c>
      <c r="K2126" t="s">
        <v>5206</v>
      </c>
      <c r="L2126">
        <v>7.4</v>
      </c>
      <c r="M2126">
        <v>3.7</v>
      </c>
      <c r="N2126" t="s">
        <v>5191</v>
      </c>
      <c r="O2126" t="s">
        <v>462</v>
      </c>
    </row>
    <row r="2127" spans="1:15" x14ac:dyDescent="0.3">
      <c r="A2127">
        <v>226939</v>
      </c>
      <c r="B2127">
        <v>105</v>
      </c>
      <c r="C2127" t="s">
        <v>557</v>
      </c>
      <c r="D2127" t="s">
        <v>2605</v>
      </c>
      <c r="E2127" t="s">
        <v>3090</v>
      </c>
      <c r="F2127" s="451">
        <v>46127</v>
      </c>
      <c r="G2127">
        <v>21085</v>
      </c>
      <c r="H2127" t="s">
        <v>5066</v>
      </c>
      <c r="I2127" t="s">
        <v>5191</v>
      </c>
      <c r="J2127">
        <v>1</v>
      </c>
      <c r="K2127" t="s">
        <v>5227</v>
      </c>
      <c r="L2127">
        <v>44.75</v>
      </c>
      <c r="M2127">
        <v>44.75</v>
      </c>
      <c r="N2127" t="s">
        <v>5191</v>
      </c>
      <c r="O2127" t="s">
        <v>462</v>
      </c>
    </row>
    <row r="2128" spans="1:15" x14ac:dyDescent="0.3">
      <c r="A2128">
        <v>226939</v>
      </c>
      <c r="B2128">
        <v>105</v>
      </c>
      <c r="C2128" t="s">
        <v>557</v>
      </c>
      <c r="D2128" t="s">
        <v>2605</v>
      </c>
      <c r="E2128" t="s">
        <v>3090</v>
      </c>
      <c r="F2128" s="451">
        <v>46127</v>
      </c>
      <c r="G2128">
        <v>23808</v>
      </c>
      <c r="H2128" t="s">
        <v>4982</v>
      </c>
      <c r="I2128" t="s">
        <v>5191</v>
      </c>
      <c r="J2128">
        <v>1</v>
      </c>
      <c r="K2128" t="s">
        <v>4744</v>
      </c>
      <c r="L2128">
        <v>67.900000000000006</v>
      </c>
      <c r="M2128">
        <v>67.900000000000006</v>
      </c>
      <c r="N2128" t="s">
        <v>5191</v>
      </c>
      <c r="O2128" t="s">
        <v>462</v>
      </c>
    </row>
    <row r="2129" spans="1:15" x14ac:dyDescent="0.3">
      <c r="A2129">
        <v>226939</v>
      </c>
      <c r="B2129">
        <v>105</v>
      </c>
      <c r="C2129" t="s">
        <v>557</v>
      </c>
      <c r="D2129" t="s">
        <v>2605</v>
      </c>
      <c r="E2129" t="s">
        <v>3090</v>
      </c>
      <c r="F2129" s="451">
        <v>46127</v>
      </c>
      <c r="G2129">
        <v>19415</v>
      </c>
      <c r="H2129" t="s">
        <v>4919</v>
      </c>
      <c r="I2129" t="s">
        <v>5191</v>
      </c>
      <c r="J2129">
        <v>2</v>
      </c>
      <c r="K2129" t="s">
        <v>4736</v>
      </c>
      <c r="L2129">
        <v>17.600000000000001</v>
      </c>
      <c r="M2129">
        <v>8.8000000000000007</v>
      </c>
      <c r="N2129" t="s">
        <v>5191</v>
      </c>
      <c r="O2129" t="s">
        <v>462</v>
      </c>
    </row>
    <row r="2130" spans="1:15" x14ac:dyDescent="0.3">
      <c r="A2130">
        <v>226939</v>
      </c>
      <c r="B2130">
        <v>105</v>
      </c>
      <c r="C2130" t="s">
        <v>557</v>
      </c>
      <c r="D2130" t="s">
        <v>2605</v>
      </c>
      <c r="E2130" t="s">
        <v>3090</v>
      </c>
      <c r="F2130" s="451">
        <v>46127</v>
      </c>
      <c r="G2130">
        <v>19291</v>
      </c>
      <c r="H2130" t="s">
        <v>4870</v>
      </c>
      <c r="I2130" t="s">
        <v>5191</v>
      </c>
      <c r="J2130">
        <v>7.96</v>
      </c>
      <c r="K2130" t="s">
        <v>5227</v>
      </c>
      <c r="L2130">
        <v>596.20000000000005</v>
      </c>
      <c r="M2130">
        <v>74.899496999999997</v>
      </c>
      <c r="N2130" t="s">
        <v>5191</v>
      </c>
      <c r="O2130" t="s">
        <v>462</v>
      </c>
    </row>
    <row r="2131" spans="1:15" x14ac:dyDescent="0.3">
      <c r="A2131">
        <v>226939</v>
      </c>
      <c r="B2131">
        <v>105</v>
      </c>
      <c r="C2131" t="s">
        <v>557</v>
      </c>
      <c r="D2131" t="s">
        <v>2605</v>
      </c>
      <c r="E2131" t="s">
        <v>3090</v>
      </c>
      <c r="F2131" s="451">
        <v>46127</v>
      </c>
      <c r="G2131">
        <v>27397</v>
      </c>
      <c r="H2131" t="s">
        <v>4913</v>
      </c>
      <c r="I2131" t="s">
        <v>5191</v>
      </c>
      <c r="J2131">
        <v>4</v>
      </c>
      <c r="K2131" t="s">
        <v>4736</v>
      </c>
      <c r="L2131">
        <v>247.6</v>
      </c>
      <c r="M2131">
        <v>61.9</v>
      </c>
      <c r="N2131" t="s">
        <v>5191</v>
      </c>
      <c r="O2131" t="s">
        <v>462</v>
      </c>
    </row>
    <row r="2132" spans="1:15" x14ac:dyDescent="0.3">
      <c r="A2132">
        <v>226939</v>
      </c>
      <c r="B2132">
        <v>105</v>
      </c>
      <c r="C2132" t="s">
        <v>557</v>
      </c>
      <c r="D2132" t="s">
        <v>2605</v>
      </c>
      <c r="E2132" t="s">
        <v>3090</v>
      </c>
      <c r="F2132" s="451">
        <v>46127</v>
      </c>
      <c r="G2132">
        <v>20657</v>
      </c>
      <c r="H2132" t="s">
        <v>5109</v>
      </c>
      <c r="I2132" t="s">
        <v>5191</v>
      </c>
      <c r="J2132">
        <v>5</v>
      </c>
      <c r="K2132" t="s">
        <v>5206</v>
      </c>
      <c r="L2132">
        <v>34.5</v>
      </c>
      <c r="M2132">
        <v>6.9</v>
      </c>
      <c r="N2132" t="s">
        <v>5191</v>
      </c>
      <c r="O2132" t="s">
        <v>462</v>
      </c>
    </row>
    <row r="2133" spans="1:15" x14ac:dyDescent="0.3">
      <c r="A2133">
        <v>226939</v>
      </c>
      <c r="B2133">
        <v>105</v>
      </c>
      <c r="C2133" t="s">
        <v>557</v>
      </c>
      <c r="D2133" t="s">
        <v>2605</v>
      </c>
      <c r="E2133" t="s">
        <v>3090</v>
      </c>
      <c r="F2133" s="451">
        <v>46127</v>
      </c>
      <c r="G2133">
        <v>20689</v>
      </c>
      <c r="H2133" t="s">
        <v>5007</v>
      </c>
      <c r="I2133" t="s">
        <v>5191</v>
      </c>
      <c r="J2133">
        <v>3</v>
      </c>
      <c r="K2133" t="s">
        <v>5227</v>
      </c>
      <c r="L2133">
        <v>94.8</v>
      </c>
      <c r="M2133">
        <v>31.6</v>
      </c>
      <c r="N2133" t="s">
        <v>5191</v>
      </c>
      <c r="O2133" t="s">
        <v>462</v>
      </c>
    </row>
    <row r="2134" spans="1:15" x14ac:dyDescent="0.3">
      <c r="A2134">
        <v>226938</v>
      </c>
      <c r="B2134">
        <v>105</v>
      </c>
      <c r="C2134" t="s">
        <v>557</v>
      </c>
      <c r="D2134" t="s">
        <v>2605</v>
      </c>
      <c r="E2134" t="s">
        <v>3091</v>
      </c>
      <c r="F2134" s="451">
        <v>46127</v>
      </c>
      <c r="G2134">
        <v>19324</v>
      </c>
      <c r="H2134" t="s">
        <v>5157</v>
      </c>
      <c r="I2134" t="s">
        <v>5191</v>
      </c>
      <c r="J2134">
        <v>12.66</v>
      </c>
      <c r="K2134" t="s">
        <v>4744</v>
      </c>
      <c r="L2134">
        <v>543.75</v>
      </c>
      <c r="M2134">
        <v>42.950237000000001</v>
      </c>
      <c r="N2134" t="s">
        <v>5272</v>
      </c>
      <c r="O2134" t="s">
        <v>462</v>
      </c>
    </row>
    <row r="2135" spans="1:15" x14ac:dyDescent="0.3">
      <c r="A2135">
        <v>226937</v>
      </c>
      <c r="B2135">
        <v>105</v>
      </c>
      <c r="C2135" t="s">
        <v>557</v>
      </c>
      <c r="D2135" t="s">
        <v>2548</v>
      </c>
      <c r="E2135" t="s">
        <v>3092</v>
      </c>
      <c r="F2135" s="451">
        <v>46126</v>
      </c>
      <c r="G2135">
        <v>21423</v>
      </c>
      <c r="H2135" t="s">
        <v>5248</v>
      </c>
      <c r="I2135" t="s">
        <v>5188</v>
      </c>
      <c r="J2135">
        <v>2</v>
      </c>
      <c r="K2135" t="s">
        <v>5245</v>
      </c>
      <c r="L2135">
        <v>63.64</v>
      </c>
      <c r="M2135">
        <v>31.82</v>
      </c>
      <c r="N2135" t="s">
        <v>5277</v>
      </c>
      <c r="O2135" t="s">
        <v>462</v>
      </c>
    </row>
    <row r="2136" spans="1:15" x14ac:dyDescent="0.3">
      <c r="A2136">
        <v>226936</v>
      </c>
      <c r="B2136">
        <v>105</v>
      </c>
      <c r="C2136" t="s">
        <v>557</v>
      </c>
      <c r="D2136" t="s">
        <v>2548</v>
      </c>
      <c r="E2136" t="s">
        <v>3093</v>
      </c>
      <c r="F2136" s="451">
        <v>46127</v>
      </c>
      <c r="G2136">
        <v>20382</v>
      </c>
      <c r="H2136" t="s">
        <v>4780</v>
      </c>
      <c r="I2136" t="s">
        <v>5191</v>
      </c>
      <c r="J2136">
        <v>8</v>
      </c>
      <c r="K2136" t="s">
        <v>5227</v>
      </c>
      <c r="L2136">
        <v>71.92</v>
      </c>
      <c r="M2136">
        <v>8.99</v>
      </c>
      <c r="N2136" t="s">
        <v>5272</v>
      </c>
      <c r="O2136" t="s">
        <v>462</v>
      </c>
    </row>
    <row r="2137" spans="1:15" x14ac:dyDescent="0.3">
      <c r="A2137">
        <v>226936</v>
      </c>
      <c r="B2137">
        <v>105</v>
      </c>
      <c r="C2137" t="s">
        <v>557</v>
      </c>
      <c r="D2137" t="s">
        <v>2548</v>
      </c>
      <c r="E2137" t="s">
        <v>3093</v>
      </c>
      <c r="F2137" s="451">
        <v>46127</v>
      </c>
      <c r="G2137">
        <v>23934</v>
      </c>
      <c r="H2137" t="s">
        <v>4845</v>
      </c>
      <c r="I2137" t="s">
        <v>5191</v>
      </c>
      <c r="J2137">
        <v>2</v>
      </c>
      <c r="K2137" t="s">
        <v>5227</v>
      </c>
      <c r="L2137">
        <v>21.8</v>
      </c>
      <c r="M2137">
        <v>10.9</v>
      </c>
      <c r="N2137" t="s">
        <v>5272</v>
      </c>
      <c r="O2137" t="s">
        <v>462</v>
      </c>
    </row>
    <row r="2138" spans="1:15" x14ac:dyDescent="0.3">
      <c r="A2138">
        <v>226936</v>
      </c>
      <c r="B2138">
        <v>105</v>
      </c>
      <c r="C2138" t="s">
        <v>557</v>
      </c>
      <c r="D2138" t="s">
        <v>2548</v>
      </c>
      <c r="E2138" t="s">
        <v>3093</v>
      </c>
      <c r="F2138" s="451">
        <v>46127</v>
      </c>
      <c r="G2138">
        <v>23088</v>
      </c>
      <c r="H2138" t="s">
        <v>5027</v>
      </c>
      <c r="I2138" t="s">
        <v>5191</v>
      </c>
      <c r="J2138">
        <v>3</v>
      </c>
      <c r="K2138" t="s">
        <v>4736</v>
      </c>
      <c r="L2138">
        <v>73.5</v>
      </c>
      <c r="M2138">
        <v>24.5</v>
      </c>
      <c r="N2138" t="s">
        <v>5272</v>
      </c>
      <c r="O2138" t="s">
        <v>462</v>
      </c>
    </row>
    <row r="2139" spans="1:15" x14ac:dyDescent="0.3">
      <c r="A2139">
        <v>226936</v>
      </c>
      <c r="B2139">
        <v>105</v>
      </c>
      <c r="C2139" t="s">
        <v>557</v>
      </c>
      <c r="D2139" t="s">
        <v>2548</v>
      </c>
      <c r="E2139" t="s">
        <v>3093</v>
      </c>
      <c r="F2139" s="451">
        <v>46127</v>
      </c>
      <c r="G2139">
        <v>20624</v>
      </c>
      <c r="H2139" t="s">
        <v>5019</v>
      </c>
      <c r="I2139" t="s">
        <v>5191</v>
      </c>
      <c r="J2139">
        <v>2</v>
      </c>
      <c r="K2139" t="s">
        <v>4736</v>
      </c>
      <c r="L2139">
        <v>141.80000000000001</v>
      </c>
      <c r="M2139">
        <v>70.900000000000006</v>
      </c>
      <c r="N2139" t="s">
        <v>5272</v>
      </c>
      <c r="O2139" t="s">
        <v>462</v>
      </c>
    </row>
    <row r="2140" spans="1:15" x14ac:dyDescent="0.3">
      <c r="A2140">
        <v>226935</v>
      </c>
      <c r="B2140">
        <v>105</v>
      </c>
      <c r="C2140" t="s">
        <v>557</v>
      </c>
      <c r="D2140" t="s">
        <v>2548</v>
      </c>
      <c r="E2140" t="s">
        <v>3094</v>
      </c>
      <c r="F2140" s="451">
        <v>46129</v>
      </c>
      <c r="G2140">
        <v>17565</v>
      </c>
      <c r="H2140" t="s">
        <v>5247</v>
      </c>
      <c r="I2140" t="s">
        <v>5188</v>
      </c>
      <c r="J2140">
        <v>1</v>
      </c>
      <c r="K2140" t="s">
        <v>4736</v>
      </c>
      <c r="L2140">
        <v>109.1</v>
      </c>
      <c r="M2140">
        <v>109.1</v>
      </c>
      <c r="N2140" t="s">
        <v>5277</v>
      </c>
      <c r="O2140" t="s">
        <v>462</v>
      </c>
    </row>
    <row r="2141" spans="1:15" x14ac:dyDescent="0.3">
      <c r="A2141">
        <v>226935</v>
      </c>
      <c r="B2141">
        <v>105</v>
      </c>
      <c r="C2141" t="s">
        <v>557</v>
      </c>
      <c r="D2141" t="s">
        <v>2548</v>
      </c>
      <c r="E2141" t="s">
        <v>3094</v>
      </c>
      <c r="F2141" s="451">
        <v>46129</v>
      </c>
      <c r="G2141">
        <v>21423</v>
      </c>
      <c r="H2141" t="s">
        <v>5248</v>
      </c>
      <c r="I2141" t="s">
        <v>5188</v>
      </c>
      <c r="J2141">
        <v>2</v>
      </c>
      <c r="K2141" t="s">
        <v>5245</v>
      </c>
      <c r="L2141">
        <v>63.64</v>
      </c>
      <c r="M2141">
        <v>31.82</v>
      </c>
      <c r="N2141" t="s">
        <v>5277</v>
      </c>
      <c r="O2141" t="s">
        <v>462</v>
      </c>
    </row>
    <row r="2142" spans="1:15" x14ac:dyDescent="0.3">
      <c r="A2142">
        <v>226934</v>
      </c>
      <c r="B2142">
        <v>105</v>
      </c>
      <c r="C2142" t="s">
        <v>557</v>
      </c>
      <c r="D2142" t="s">
        <v>2548</v>
      </c>
      <c r="E2142" t="s">
        <v>3095</v>
      </c>
      <c r="F2142" s="451">
        <v>46134</v>
      </c>
      <c r="G2142">
        <v>21423</v>
      </c>
      <c r="H2142" t="s">
        <v>5248</v>
      </c>
      <c r="I2142" t="s">
        <v>5188</v>
      </c>
      <c r="J2142">
        <v>2</v>
      </c>
      <c r="K2142" t="s">
        <v>5245</v>
      </c>
      <c r="L2142">
        <v>63.64</v>
      </c>
      <c r="M2142">
        <v>31.82</v>
      </c>
      <c r="N2142" t="s">
        <v>5277</v>
      </c>
      <c r="O2142" t="s">
        <v>462</v>
      </c>
    </row>
    <row r="2143" spans="1:15" x14ac:dyDescent="0.3">
      <c r="A2143">
        <v>226933</v>
      </c>
      <c r="B2143">
        <v>105</v>
      </c>
      <c r="C2143" t="s">
        <v>557</v>
      </c>
      <c r="D2143" t="s">
        <v>2548</v>
      </c>
      <c r="E2143" t="s">
        <v>3096</v>
      </c>
      <c r="F2143" s="451">
        <v>46134</v>
      </c>
      <c r="G2143">
        <v>20105</v>
      </c>
      <c r="H2143" t="s">
        <v>4831</v>
      </c>
      <c r="I2143" t="s">
        <v>5191</v>
      </c>
      <c r="J2143">
        <v>3</v>
      </c>
      <c r="K2143" t="s">
        <v>4744</v>
      </c>
      <c r="L2143">
        <v>78</v>
      </c>
      <c r="M2143">
        <v>26</v>
      </c>
      <c r="N2143" t="s">
        <v>5272</v>
      </c>
      <c r="O2143" t="s">
        <v>462</v>
      </c>
    </row>
    <row r="2144" spans="1:15" x14ac:dyDescent="0.3">
      <c r="A2144">
        <v>226933</v>
      </c>
      <c r="B2144">
        <v>105</v>
      </c>
      <c r="C2144" t="s">
        <v>557</v>
      </c>
      <c r="D2144" t="s">
        <v>2548</v>
      </c>
      <c r="E2144" t="s">
        <v>3096</v>
      </c>
      <c r="F2144" s="451">
        <v>46134</v>
      </c>
      <c r="G2144">
        <v>23494</v>
      </c>
      <c r="H2144" t="s">
        <v>4991</v>
      </c>
      <c r="I2144" t="s">
        <v>5191</v>
      </c>
      <c r="J2144">
        <v>1</v>
      </c>
      <c r="K2144" t="s">
        <v>4744</v>
      </c>
      <c r="L2144">
        <v>78</v>
      </c>
      <c r="M2144">
        <v>78</v>
      </c>
      <c r="N2144" t="s">
        <v>5272</v>
      </c>
      <c r="O2144" t="s">
        <v>462</v>
      </c>
    </row>
    <row r="2145" spans="1:15" x14ac:dyDescent="0.3">
      <c r="A2145">
        <v>226933</v>
      </c>
      <c r="B2145">
        <v>105</v>
      </c>
      <c r="C2145" t="s">
        <v>557</v>
      </c>
      <c r="D2145" t="s">
        <v>2548</v>
      </c>
      <c r="E2145" t="s">
        <v>3096</v>
      </c>
      <c r="F2145" s="451">
        <v>46134</v>
      </c>
      <c r="G2145">
        <v>23934</v>
      </c>
      <c r="H2145" t="s">
        <v>4845</v>
      </c>
      <c r="I2145" t="s">
        <v>5191</v>
      </c>
      <c r="J2145">
        <v>3</v>
      </c>
      <c r="K2145" t="s">
        <v>4736</v>
      </c>
      <c r="L2145">
        <v>32.700000000000003</v>
      </c>
      <c r="M2145">
        <v>10.9</v>
      </c>
      <c r="N2145" t="s">
        <v>5272</v>
      </c>
      <c r="O2145" t="s">
        <v>462</v>
      </c>
    </row>
    <row r="2146" spans="1:15" x14ac:dyDescent="0.3">
      <c r="A2146">
        <v>226933</v>
      </c>
      <c r="B2146">
        <v>105</v>
      </c>
      <c r="C2146" t="s">
        <v>557</v>
      </c>
      <c r="D2146" t="s">
        <v>2548</v>
      </c>
      <c r="E2146" t="s">
        <v>3096</v>
      </c>
      <c r="F2146" s="451">
        <v>46134</v>
      </c>
      <c r="G2146">
        <v>20382</v>
      </c>
      <c r="H2146" t="s">
        <v>4780</v>
      </c>
      <c r="I2146" t="s">
        <v>5191</v>
      </c>
      <c r="J2146">
        <v>10</v>
      </c>
      <c r="K2146" t="s">
        <v>5238</v>
      </c>
      <c r="L2146">
        <v>89.9</v>
      </c>
      <c r="M2146">
        <v>8.99</v>
      </c>
      <c r="N2146" t="s">
        <v>5272</v>
      </c>
      <c r="O2146" t="s">
        <v>462</v>
      </c>
    </row>
    <row r="2147" spans="1:15" x14ac:dyDescent="0.3">
      <c r="A2147">
        <v>226932</v>
      </c>
      <c r="B2147">
        <v>105</v>
      </c>
      <c r="C2147" t="s">
        <v>557</v>
      </c>
      <c r="D2147" t="s">
        <v>2571</v>
      </c>
      <c r="E2147" t="s">
        <v>3097</v>
      </c>
      <c r="F2147" s="451">
        <v>46135</v>
      </c>
      <c r="G2147">
        <v>20358</v>
      </c>
      <c r="H2147" t="s">
        <v>4911</v>
      </c>
      <c r="I2147" t="s">
        <v>5191</v>
      </c>
      <c r="J2147">
        <v>2</v>
      </c>
      <c r="K2147" t="s">
        <v>4738</v>
      </c>
      <c r="L2147">
        <v>28.5</v>
      </c>
      <c r="M2147">
        <v>14.25</v>
      </c>
      <c r="N2147" t="s">
        <v>5272</v>
      </c>
      <c r="O2147" t="s">
        <v>462</v>
      </c>
    </row>
    <row r="2148" spans="1:15" x14ac:dyDescent="0.3">
      <c r="A2148">
        <v>226932</v>
      </c>
      <c r="B2148">
        <v>105</v>
      </c>
      <c r="C2148" t="s">
        <v>557</v>
      </c>
      <c r="D2148" t="s">
        <v>2571</v>
      </c>
      <c r="E2148" t="s">
        <v>3097</v>
      </c>
      <c r="F2148" s="451">
        <v>46135</v>
      </c>
      <c r="G2148">
        <v>21021</v>
      </c>
      <c r="H2148" t="s">
        <v>4883</v>
      </c>
      <c r="I2148" t="s">
        <v>5191</v>
      </c>
      <c r="J2148">
        <v>3</v>
      </c>
      <c r="K2148" t="s">
        <v>4736</v>
      </c>
      <c r="L2148">
        <v>563.28</v>
      </c>
      <c r="M2148">
        <v>187.76</v>
      </c>
      <c r="N2148" t="s">
        <v>5272</v>
      </c>
      <c r="O2148" t="s">
        <v>462</v>
      </c>
    </row>
    <row r="2149" spans="1:15" x14ac:dyDescent="0.3">
      <c r="A2149">
        <v>226932</v>
      </c>
      <c r="B2149">
        <v>105</v>
      </c>
      <c r="C2149" t="s">
        <v>557</v>
      </c>
      <c r="D2149" t="s">
        <v>2571</v>
      </c>
      <c r="E2149" t="s">
        <v>3097</v>
      </c>
      <c r="F2149" s="451">
        <v>46135</v>
      </c>
      <c r="G2149">
        <v>23502</v>
      </c>
      <c r="H2149" t="s">
        <v>4930</v>
      </c>
      <c r="I2149" t="s">
        <v>5191</v>
      </c>
      <c r="J2149">
        <v>1</v>
      </c>
      <c r="K2149" t="s">
        <v>4744</v>
      </c>
      <c r="L2149">
        <v>14.9</v>
      </c>
      <c r="M2149">
        <v>14.9</v>
      </c>
      <c r="N2149" t="s">
        <v>5272</v>
      </c>
      <c r="O2149" t="s">
        <v>462</v>
      </c>
    </row>
    <row r="2150" spans="1:15" x14ac:dyDescent="0.3">
      <c r="A2150">
        <v>226932</v>
      </c>
      <c r="B2150">
        <v>105</v>
      </c>
      <c r="C2150" t="s">
        <v>557</v>
      </c>
      <c r="D2150" t="s">
        <v>2571</v>
      </c>
      <c r="E2150" t="s">
        <v>3097</v>
      </c>
      <c r="F2150" s="451">
        <v>46135</v>
      </c>
      <c r="G2150">
        <v>20653</v>
      </c>
      <c r="H2150" t="s">
        <v>5013</v>
      </c>
      <c r="I2150" t="s">
        <v>5191</v>
      </c>
      <c r="J2150">
        <v>1</v>
      </c>
      <c r="K2150" t="s">
        <v>4736</v>
      </c>
      <c r="L2150">
        <v>25.96</v>
      </c>
      <c r="M2150">
        <v>25.96</v>
      </c>
      <c r="N2150" t="s">
        <v>5272</v>
      </c>
      <c r="O2150" t="s">
        <v>462</v>
      </c>
    </row>
    <row r="2151" spans="1:15" x14ac:dyDescent="0.3">
      <c r="A2151">
        <v>226932</v>
      </c>
      <c r="B2151">
        <v>105</v>
      </c>
      <c r="C2151" t="s">
        <v>557</v>
      </c>
      <c r="D2151" t="s">
        <v>2571</v>
      </c>
      <c r="E2151" t="s">
        <v>3097</v>
      </c>
      <c r="F2151" s="451">
        <v>46135</v>
      </c>
      <c r="G2151">
        <v>19967</v>
      </c>
      <c r="H2151" t="s">
        <v>4956</v>
      </c>
      <c r="I2151" t="s">
        <v>5191</v>
      </c>
      <c r="J2151">
        <v>2</v>
      </c>
      <c r="K2151" t="s">
        <v>4736</v>
      </c>
      <c r="L2151">
        <v>98.56</v>
      </c>
      <c r="M2151">
        <v>49.28</v>
      </c>
      <c r="N2151" t="s">
        <v>5272</v>
      </c>
      <c r="O2151" t="s">
        <v>462</v>
      </c>
    </row>
    <row r="2152" spans="1:15" x14ac:dyDescent="0.3">
      <c r="A2152">
        <v>226932</v>
      </c>
      <c r="B2152">
        <v>105</v>
      </c>
      <c r="C2152" t="s">
        <v>557</v>
      </c>
      <c r="D2152" t="s">
        <v>2571</v>
      </c>
      <c r="E2152" t="s">
        <v>3097</v>
      </c>
      <c r="F2152" s="451">
        <v>46135</v>
      </c>
      <c r="G2152">
        <v>19982</v>
      </c>
      <c r="H2152" t="s">
        <v>5017</v>
      </c>
      <c r="I2152" t="s">
        <v>5191</v>
      </c>
      <c r="J2152">
        <v>1</v>
      </c>
      <c r="K2152" t="s">
        <v>4888</v>
      </c>
      <c r="L2152">
        <v>7.29</v>
      </c>
      <c r="M2152">
        <v>7.29</v>
      </c>
      <c r="N2152" t="s">
        <v>5272</v>
      </c>
      <c r="O2152" t="s">
        <v>462</v>
      </c>
    </row>
    <row r="2153" spans="1:15" x14ac:dyDescent="0.3">
      <c r="A2153">
        <v>226932</v>
      </c>
      <c r="B2153">
        <v>105</v>
      </c>
      <c r="C2153" t="s">
        <v>557</v>
      </c>
      <c r="D2153" t="s">
        <v>2571</v>
      </c>
      <c r="E2153" t="s">
        <v>3097</v>
      </c>
      <c r="F2153" s="451">
        <v>46135</v>
      </c>
      <c r="G2153">
        <v>20809</v>
      </c>
      <c r="H2153" t="s">
        <v>4822</v>
      </c>
      <c r="I2153" t="s">
        <v>5191</v>
      </c>
      <c r="J2153">
        <v>5</v>
      </c>
      <c r="K2153" t="s">
        <v>4736</v>
      </c>
      <c r="L2153">
        <v>149.5</v>
      </c>
      <c r="M2153">
        <v>29.9</v>
      </c>
      <c r="N2153" t="s">
        <v>5272</v>
      </c>
      <c r="O2153" t="s">
        <v>462</v>
      </c>
    </row>
    <row r="2154" spans="1:15" x14ac:dyDescent="0.3">
      <c r="A2154">
        <v>226932</v>
      </c>
      <c r="B2154">
        <v>105</v>
      </c>
      <c r="C2154" t="s">
        <v>557</v>
      </c>
      <c r="D2154" t="s">
        <v>2571</v>
      </c>
      <c r="E2154" t="s">
        <v>3097</v>
      </c>
      <c r="F2154" s="451">
        <v>46135</v>
      </c>
      <c r="G2154">
        <v>19421</v>
      </c>
      <c r="H2154" t="s">
        <v>4918</v>
      </c>
      <c r="I2154" t="s">
        <v>5191</v>
      </c>
      <c r="J2154">
        <v>2</v>
      </c>
      <c r="K2154" t="s">
        <v>4749</v>
      </c>
      <c r="L2154">
        <v>163.68</v>
      </c>
      <c r="M2154">
        <v>81.84</v>
      </c>
      <c r="N2154" t="s">
        <v>5272</v>
      </c>
      <c r="O2154" t="s">
        <v>462</v>
      </c>
    </row>
    <row r="2155" spans="1:15" x14ac:dyDescent="0.3">
      <c r="A2155">
        <v>226931</v>
      </c>
      <c r="B2155">
        <v>105</v>
      </c>
      <c r="C2155" t="s">
        <v>557</v>
      </c>
      <c r="D2155" t="s">
        <v>2605</v>
      </c>
      <c r="E2155" t="s">
        <v>3098</v>
      </c>
      <c r="F2155" s="451">
        <v>46135</v>
      </c>
      <c r="G2155">
        <v>22721</v>
      </c>
      <c r="H2155" t="s">
        <v>4803</v>
      </c>
      <c r="I2155" t="s">
        <v>5191</v>
      </c>
      <c r="J2155">
        <v>9</v>
      </c>
      <c r="K2155" t="s">
        <v>4744</v>
      </c>
      <c r="L2155">
        <v>265.5</v>
      </c>
      <c r="M2155">
        <v>29.5</v>
      </c>
      <c r="N2155" t="s">
        <v>5191</v>
      </c>
      <c r="O2155" t="s">
        <v>462</v>
      </c>
    </row>
    <row r="2156" spans="1:15" x14ac:dyDescent="0.3">
      <c r="A2156">
        <v>226930</v>
      </c>
      <c r="B2156">
        <v>105</v>
      </c>
      <c r="C2156" t="s">
        <v>557</v>
      </c>
      <c r="D2156" t="s">
        <v>2690</v>
      </c>
      <c r="E2156" t="s">
        <v>3099</v>
      </c>
      <c r="F2156" s="451">
        <v>46136</v>
      </c>
      <c r="G2156">
        <v>18518</v>
      </c>
      <c r="H2156" t="s">
        <v>4838</v>
      </c>
      <c r="I2156" t="s">
        <v>5222</v>
      </c>
      <c r="J2156">
        <v>6</v>
      </c>
      <c r="K2156" t="s">
        <v>4805</v>
      </c>
      <c r="L2156">
        <v>223.68</v>
      </c>
      <c r="M2156">
        <v>37.28</v>
      </c>
      <c r="N2156" t="s">
        <v>5222</v>
      </c>
      <c r="O2156" t="s">
        <v>462</v>
      </c>
    </row>
    <row r="2157" spans="1:15" x14ac:dyDescent="0.3">
      <c r="A2157">
        <v>226929</v>
      </c>
      <c r="B2157">
        <v>105</v>
      </c>
      <c r="C2157" t="s">
        <v>557</v>
      </c>
      <c r="D2157" t="s">
        <v>2716</v>
      </c>
      <c r="E2157" t="s">
        <v>3100</v>
      </c>
      <c r="F2157" s="451">
        <v>46135</v>
      </c>
      <c r="G2157">
        <v>24351</v>
      </c>
      <c r="H2157" t="s">
        <v>5014</v>
      </c>
      <c r="I2157" t="s">
        <v>5191</v>
      </c>
      <c r="J2157">
        <v>14</v>
      </c>
      <c r="K2157" t="s">
        <v>4744</v>
      </c>
      <c r="L2157">
        <v>420</v>
      </c>
      <c r="M2157">
        <v>30</v>
      </c>
      <c r="N2157" t="s">
        <v>5272</v>
      </c>
      <c r="O2157" t="s">
        <v>462</v>
      </c>
    </row>
    <row r="2158" spans="1:15" x14ac:dyDescent="0.3">
      <c r="A2158">
        <v>226928</v>
      </c>
      <c r="B2158">
        <v>105</v>
      </c>
      <c r="C2158" t="s">
        <v>557</v>
      </c>
      <c r="D2158" t="s">
        <v>2579</v>
      </c>
      <c r="E2158" t="s">
        <v>3101</v>
      </c>
      <c r="F2158" s="451">
        <v>46135</v>
      </c>
      <c r="G2158">
        <v>23385</v>
      </c>
      <c r="H2158" t="s">
        <v>4938</v>
      </c>
      <c r="I2158" t="s">
        <v>5191</v>
      </c>
      <c r="J2158">
        <v>2.5</v>
      </c>
      <c r="K2158" t="s">
        <v>4744</v>
      </c>
      <c r="L2158">
        <v>162.5</v>
      </c>
      <c r="M2158">
        <v>65</v>
      </c>
      <c r="N2158" t="s">
        <v>5272</v>
      </c>
      <c r="O2158" t="s">
        <v>462</v>
      </c>
    </row>
    <row r="2159" spans="1:15" x14ac:dyDescent="0.3">
      <c r="A2159">
        <v>226928</v>
      </c>
      <c r="B2159">
        <v>105</v>
      </c>
      <c r="C2159" t="s">
        <v>557</v>
      </c>
      <c r="D2159" t="s">
        <v>2579</v>
      </c>
      <c r="E2159" t="s">
        <v>3101</v>
      </c>
      <c r="F2159" s="451">
        <v>46135</v>
      </c>
      <c r="G2159">
        <v>23184</v>
      </c>
      <c r="H2159" t="s">
        <v>4935</v>
      </c>
      <c r="I2159" t="s">
        <v>5191</v>
      </c>
      <c r="J2159">
        <v>4</v>
      </c>
      <c r="K2159" t="s">
        <v>4744</v>
      </c>
      <c r="L2159">
        <v>52</v>
      </c>
      <c r="M2159">
        <v>13</v>
      </c>
      <c r="N2159" t="s">
        <v>5272</v>
      </c>
      <c r="O2159" t="s">
        <v>462</v>
      </c>
    </row>
    <row r="2160" spans="1:15" x14ac:dyDescent="0.3">
      <c r="A2160">
        <v>226927</v>
      </c>
      <c r="B2160">
        <v>105</v>
      </c>
      <c r="C2160" t="s">
        <v>557</v>
      </c>
      <c r="D2160" t="s">
        <v>2579</v>
      </c>
      <c r="E2160" t="s">
        <v>3102</v>
      </c>
      <c r="F2160" s="451">
        <v>46135</v>
      </c>
      <c r="G2160">
        <v>20224</v>
      </c>
      <c r="H2160" t="s">
        <v>5118</v>
      </c>
      <c r="I2160" t="s">
        <v>5191</v>
      </c>
      <c r="J2160">
        <v>1.5</v>
      </c>
      <c r="K2160" t="s">
        <v>4744</v>
      </c>
      <c r="L2160">
        <v>108</v>
      </c>
      <c r="M2160">
        <v>72</v>
      </c>
      <c r="N2160" t="s">
        <v>5272</v>
      </c>
      <c r="O2160" t="s">
        <v>462</v>
      </c>
    </row>
    <row r="2161" spans="1:15" x14ac:dyDescent="0.3">
      <c r="A2161">
        <v>226926</v>
      </c>
      <c r="B2161">
        <v>105</v>
      </c>
      <c r="C2161" t="s">
        <v>557</v>
      </c>
      <c r="D2161" t="s">
        <v>2563</v>
      </c>
      <c r="E2161" t="s">
        <v>3103</v>
      </c>
      <c r="F2161" s="451">
        <v>46135</v>
      </c>
      <c r="G2161">
        <v>24083</v>
      </c>
      <c r="H2161" t="s">
        <v>5165</v>
      </c>
      <c r="I2161" t="s">
        <v>5191</v>
      </c>
      <c r="J2161">
        <v>80</v>
      </c>
      <c r="K2161" t="s">
        <v>4744</v>
      </c>
      <c r="L2161">
        <v>435.2</v>
      </c>
      <c r="M2161">
        <v>5.44</v>
      </c>
      <c r="N2161" t="s">
        <v>5272</v>
      </c>
      <c r="O2161" t="s">
        <v>462</v>
      </c>
    </row>
    <row r="2162" spans="1:15" x14ac:dyDescent="0.3">
      <c r="A2162">
        <v>226926</v>
      </c>
      <c r="B2162">
        <v>105</v>
      </c>
      <c r="C2162" t="s">
        <v>557</v>
      </c>
      <c r="D2162" t="s">
        <v>2563</v>
      </c>
      <c r="E2162" t="s">
        <v>3103</v>
      </c>
      <c r="F2162" s="451">
        <v>46135</v>
      </c>
      <c r="G2162">
        <v>19551</v>
      </c>
      <c r="H2162" t="s">
        <v>4905</v>
      </c>
      <c r="I2162" t="s">
        <v>5191</v>
      </c>
      <c r="J2162">
        <v>1</v>
      </c>
      <c r="K2162" t="s">
        <v>4744</v>
      </c>
      <c r="L2162">
        <v>17.760000000000002</v>
      </c>
      <c r="M2162">
        <v>17.760000000000002</v>
      </c>
      <c r="N2162" t="s">
        <v>5272</v>
      </c>
      <c r="O2162" t="s">
        <v>462</v>
      </c>
    </row>
    <row r="2163" spans="1:15" x14ac:dyDescent="0.3">
      <c r="A2163">
        <v>226926</v>
      </c>
      <c r="B2163">
        <v>105</v>
      </c>
      <c r="C2163" t="s">
        <v>557</v>
      </c>
      <c r="D2163" t="s">
        <v>2563</v>
      </c>
      <c r="E2163" t="s">
        <v>3103</v>
      </c>
      <c r="F2163" s="451">
        <v>46135</v>
      </c>
      <c r="G2163">
        <v>19532</v>
      </c>
      <c r="H2163" t="s">
        <v>4753</v>
      </c>
      <c r="I2163" t="s">
        <v>5191</v>
      </c>
      <c r="J2163">
        <v>30.2</v>
      </c>
      <c r="K2163" t="s">
        <v>4744</v>
      </c>
      <c r="L2163">
        <v>249.75</v>
      </c>
      <c r="M2163">
        <v>8.2698680000000007</v>
      </c>
      <c r="N2163" t="s">
        <v>5272</v>
      </c>
      <c r="O2163" t="s">
        <v>462</v>
      </c>
    </row>
    <row r="2164" spans="1:15" x14ac:dyDescent="0.3">
      <c r="A2164">
        <v>226926</v>
      </c>
      <c r="B2164">
        <v>105</v>
      </c>
      <c r="C2164" t="s">
        <v>557</v>
      </c>
      <c r="D2164" t="s">
        <v>2563</v>
      </c>
      <c r="E2164" t="s">
        <v>3103</v>
      </c>
      <c r="F2164" s="451">
        <v>46135</v>
      </c>
      <c r="G2164">
        <v>23335</v>
      </c>
      <c r="H2164" t="s">
        <v>4961</v>
      </c>
      <c r="I2164" t="s">
        <v>5191</v>
      </c>
      <c r="J2164">
        <v>1</v>
      </c>
      <c r="K2164" t="s">
        <v>4744</v>
      </c>
      <c r="L2164">
        <v>39.15</v>
      </c>
      <c r="M2164">
        <v>39.15</v>
      </c>
      <c r="N2164" t="s">
        <v>5272</v>
      </c>
      <c r="O2164" t="s">
        <v>462</v>
      </c>
    </row>
    <row r="2165" spans="1:15" x14ac:dyDescent="0.3">
      <c r="A2165">
        <v>226926</v>
      </c>
      <c r="B2165">
        <v>105</v>
      </c>
      <c r="C2165" t="s">
        <v>557</v>
      </c>
      <c r="D2165" t="s">
        <v>2563</v>
      </c>
      <c r="E2165" t="s">
        <v>3103</v>
      </c>
      <c r="F2165" s="451">
        <v>46135</v>
      </c>
      <c r="G2165">
        <v>19734</v>
      </c>
      <c r="H2165" t="s">
        <v>4833</v>
      </c>
      <c r="I2165" t="s">
        <v>5191</v>
      </c>
      <c r="J2165">
        <v>10</v>
      </c>
      <c r="K2165" t="s">
        <v>4744</v>
      </c>
      <c r="L2165">
        <v>130.5</v>
      </c>
      <c r="M2165">
        <v>13.05</v>
      </c>
      <c r="N2165" t="s">
        <v>5272</v>
      </c>
      <c r="O2165" t="s">
        <v>462</v>
      </c>
    </row>
    <row r="2166" spans="1:15" x14ac:dyDescent="0.3">
      <c r="A2166">
        <v>226926</v>
      </c>
      <c r="B2166">
        <v>105</v>
      </c>
      <c r="C2166" t="s">
        <v>557</v>
      </c>
      <c r="D2166" t="s">
        <v>2563</v>
      </c>
      <c r="E2166" t="s">
        <v>3103</v>
      </c>
      <c r="F2166" s="451">
        <v>46135</v>
      </c>
      <c r="G2166">
        <v>19642</v>
      </c>
      <c r="H2166" t="s">
        <v>4996</v>
      </c>
      <c r="I2166" t="s">
        <v>5191</v>
      </c>
      <c r="J2166">
        <v>1</v>
      </c>
      <c r="K2166" t="s">
        <v>4744</v>
      </c>
      <c r="L2166">
        <v>5.58</v>
      </c>
      <c r="M2166">
        <v>5.58</v>
      </c>
      <c r="N2166" t="s">
        <v>5272</v>
      </c>
      <c r="O2166" t="s">
        <v>462</v>
      </c>
    </row>
    <row r="2167" spans="1:15" x14ac:dyDescent="0.3">
      <c r="A2167">
        <v>226925</v>
      </c>
      <c r="B2167">
        <v>105</v>
      </c>
      <c r="C2167" t="s">
        <v>557</v>
      </c>
      <c r="D2167" t="s">
        <v>2593</v>
      </c>
      <c r="E2167" t="s">
        <v>3104</v>
      </c>
      <c r="F2167" s="451">
        <v>46136</v>
      </c>
      <c r="G2167">
        <v>24256</v>
      </c>
      <c r="H2167" t="s">
        <v>4773</v>
      </c>
      <c r="I2167" t="s">
        <v>5191</v>
      </c>
      <c r="J2167">
        <v>20</v>
      </c>
      <c r="K2167" t="s">
        <v>4744</v>
      </c>
      <c r="L2167">
        <v>750</v>
      </c>
      <c r="M2167">
        <v>37.5</v>
      </c>
      <c r="N2167" t="s">
        <v>5272</v>
      </c>
      <c r="O2167" t="s">
        <v>462</v>
      </c>
    </row>
    <row r="2168" spans="1:15" x14ac:dyDescent="0.3">
      <c r="A2168">
        <v>226924</v>
      </c>
      <c r="B2168">
        <v>105</v>
      </c>
      <c r="C2168" t="s">
        <v>557</v>
      </c>
      <c r="D2168" t="s">
        <v>2554</v>
      </c>
      <c r="E2168" t="s">
        <v>3105</v>
      </c>
      <c r="F2168" s="451">
        <v>46135</v>
      </c>
      <c r="G2168">
        <v>24787</v>
      </c>
      <c r="H2168" t="s">
        <v>5212</v>
      </c>
      <c r="I2168" t="s">
        <v>5188</v>
      </c>
      <c r="J2168">
        <v>2</v>
      </c>
      <c r="K2168" t="s">
        <v>4738</v>
      </c>
      <c r="L2168">
        <v>164.42</v>
      </c>
      <c r="M2168">
        <v>82.21</v>
      </c>
      <c r="N2168" t="s">
        <v>5277</v>
      </c>
      <c r="O2168" t="s">
        <v>462</v>
      </c>
    </row>
    <row r="2169" spans="1:15" x14ac:dyDescent="0.3">
      <c r="A2169">
        <v>226924</v>
      </c>
      <c r="B2169">
        <v>105</v>
      </c>
      <c r="C2169" t="s">
        <v>557</v>
      </c>
      <c r="D2169" t="s">
        <v>2554</v>
      </c>
      <c r="E2169" t="s">
        <v>3105</v>
      </c>
      <c r="F2169" s="451">
        <v>46135</v>
      </c>
      <c r="G2169">
        <v>17017</v>
      </c>
      <c r="H2169" t="s">
        <v>5199</v>
      </c>
      <c r="I2169" t="s">
        <v>5188</v>
      </c>
      <c r="J2169">
        <v>2</v>
      </c>
      <c r="K2169" t="s">
        <v>4738</v>
      </c>
      <c r="L2169">
        <v>6</v>
      </c>
      <c r="M2169">
        <v>3</v>
      </c>
      <c r="N2169" t="s">
        <v>5277</v>
      </c>
      <c r="O2169" t="s">
        <v>462</v>
      </c>
    </row>
    <row r="2170" spans="1:15" x14ac:dyDescent="0.3">
      <c r="A2170">
        <v>226924</v>
      </c>
      <c r="B2170">
        <v>105</v>
      </c>
      <c r="C2170" t="s">
        <v>557</v>
      </c>
      <c r="D2170" t="s">
        <v>2554</v>
      </c>
      <c r="E2170" t="s">
        <v>3105</v>
      </c>
      <c r="F2170" s="451">
        <v>46135</v>
      </c>
      <c r="G2170">
        <v>17266</v>
      </c>
      <c r="H2170" t="s">
        <v>5192</v>
      </c>
      <c r="I2170" t="s">
        <v>5188</v>
      </c>
      <c r="J2170">
        <v>3</v>
      </c>
      <c r="K2170" t="s">
        <v>4736</v>
      </c>
      <c r="L2170">
        <v>14.67</v>
      </c>
      <c r="M2170">
        <v>4.8899999999999997</v>
      </c>
      <c r="N2170" t="s">
        <v>5277</v>
      </c>
      <c r="O2170" t="s">
        <v>462</v>
      </c>
    </row>
    <row r="2171" spans="1:15" x14ac:dyDescent="0.3">
      <c r="A2171">
        <v>226924</v>
      </c>
      <c r="B2171">
        <v>105</v>
      </c>
      <c r="C2171" t="s">
        <v>557</v>
      </c>
      <c r="D2171" t="s">
        <v>2554</v>
      </c>
      <c r="E2171" t="s">
        <v>3105</v>
      </c>
      <c r="F2171" s="451">
        <v>46135</v>
      </c>
      <c r="G2171">
        <v>24505</v>
      </c>
      <c r="H2171" t="s">
        <v>5198</v>
      </c>
      <c r="I2171" t="s">
        <v>5188</v>
      </c>
      <c r="J2171">
        <v>5</v>
      </c>
      <c r="K2171" t="s">
        <v>4738</v>
      </c>
      <c r="L2171">
        <v>24.9</v>
      </c>
      <c r="M2171">
        <v>4.9800000000000004</v>
      </c>
      <c r="N2171" t="s">
        <v>5277</v>
      </c>
      <c r="O2171" t="s">
        <v>462</v>
      </c>
    </row>
    <row r="2172" spans="1:15" x14ac:dyDescent="0.3">
      <c r="A2172">
        <v>226924</v>
      </c>
      <c r="B2172">
        <v>105</v>
      </c>
      <c r="C2172" t="s">
        <v>557</v>
      </c>
      <c r="D2172" t="s">
        <v>2554</v>
      </c>
      <c r="E2172" t="s">
        <v>3105</v>
      </c>
      <c r="F2172" s="451">
        <v>46135</v>
      </c>
      <c r="G2172">
        <v>21783</v>
      </c>
      <c r="H2172" t="s">
        <v>5210</v>
      </c>
      <c r="I2172" t="s">
        <v>5205</v>
      </c>
      <c r="J2172">
        <v>3</v>
      </c>
      <c r="K2172" t="s">
        <v>4736</v>
      </c>
      <c r="L2172">
        <v>48</v>
      </c>
      <c r="M2172">
        <v>16</v>
      </c>
      <c r="N2172" t="s">
        <v>5277</v>
      </c>
      <c r="O2172" t="s">
        <v>462</v>
      </c>
    </row>
    <row r="2173" spans="1:15" x14ac:dyDescent="0.3">
      <c r="A2173">
        <v>226924</v>
      </c>
      <c r="B2173">
        <v>105</v>
      </c>
      <c r="C2173" t="s">
        <v>557</v>
      </c>
      <c r="D2173" t="s">
        <v>2554</v>
      </c>
      <c r="E2173" t="s">
        <v>3105</v>
      </c>
      <c r="F2173" s="451">
        <v>46135</v>
      </c>
      <c r="G2173">
        <v>17314</v>
      </c>
      <c r="H2173" t="s">
        <v>5208</v>
      </c>
      <c r="I2173" t="s">
        <v>5188</v>
      </c>
      <c r="J2173">
        <v>3</v>
      </c>
      <c r="K2173" t="s">
        <v>4848</v>
      </c>
      <c r="L2173">
        <v>29.7</v>
      </c>
      <c r="M2173">
        <v>9.9</v>
      </c>
      <c r="N2173" t="s">
        <v>5277</v>
      </c>
      <c r="O2173" t="s">
        <v>462</v>
      </c>
    </row>
    <row r="2174" spans="1:15" x14ac:dyDescent="0.3">
      <c r="A2174">
        <v>226924</v>
      </c>
      <c r="B2174">
        <v>105</v>
      </c>
      <c r="C2174" t="s">
        <v>557</v>
      </c>
      <c r="D2174" t="s">
        <v>2554</v>
      </c>
      <c r="E2174" t="s">
        <v>3105</v>
      </c>
      <c r="F2174" s="451">
        <v>46135</v>
      </c>
      <c r="G2174">
        <v>26554</v>
      </c>
      <c r="H2174" t="s">
        <v>5319</v>
      </c>
      <c r="I2174" t="s">
        <v>5215</v>
      </c>
      <c r="J2174">
        <v>1</v>
      </c>
      <c r="K2174" t="s">
        <v>4749</v>
      </c>
      <c r="L2174">
        <v>350</v>
      </c>
      <c r="M2174">
        <v>350</v>
      </c>
      <c r="N2174" t="s">
        <v>5277</v>
      </c>
      <c r="O2174" t="s">
        <v>462</v>
      </c>
    </row>
    <row r="2175" spans="1:15" x14ac:dyDescent="0.3">
      <c r="A2175">
        <v>226924</v>
      </c>
      <c r="B2175">
        <v>105</v>
      </c>
      <c r="C2175" t="s">
        <v>557</v>
      </c>
      <c r="D2175" t="s">
        <v>2554</v>
      </c>
      <c r="E2175" t="s">
        <v>3105</v>
      </c>
      <c r="F2175" s="451">
        <v>46135</v>
      </c>
      <c r="G2175">
        <v>17437</v>
      </c>
      <c r="H2175" t="s">
        <v>5203</v>
      </c>
      <c r="I2175" t="s">
        <v>5188</v>
      </c>
      <c r="J2175">
        <v>15</v>
      </c>
      <c r="K2175" t="s">
        <v>4736</v>
      </c>
      <c r="L2175">
        <v>34.5</v>
      </c>
      <c r="M2175">
        <v>2.2999999999999998</v>
      </c>
      <c r="N2175" t="s">
        <v>5277</v>
      </c>
      <c r="O2175" t="s">
        <v>462</v>
      </c>
    </row>
    <row r="2176" spans="1:15" x14ac:dyDescent="0.3">
      <c r="A2176">
        <v>226924</v>
      </c>
      <c r="B2176">
        <v>105</v>
      </c>
      <c r="C2176" t="s">
        <v>557</v>
      </c>
      <c r="D2176" t="s">
        <v>2554</v>
      </c>
      <c r="E2176" t="s">
        <v>3105</v>
      </c>
      <c r="F2176" s="451">
        <v>46135</v>
      </c>
      <c r="G2176">
        <v>21433</v>
      </c>
      <c r="H2176" t="s">
        <v>5250</v>
      </c>
      <c r="I2176" t="s">
        <v>5188</v>
      </c>
      <c r="J2176">
        <v>1</v>
      </c>
      <c r="K2176" t="s">
        <v>4738</v>
      </c>
      <c r="L2176">
        <v>115</v>
      </c>
      <c r="M2176">
        <v>115</v>
      </c>
      <c r="N2176" t="s">
        <v>5277</v>
      </c>
      <c r="O2176" t="s">
        <v>462</v>
      </c>
    </row>
    <row r="2177" spans="1:15" x14ac:dyDescent="0.3">
      <c r="A2177">
        <v>226924</v>
      </c>
      <c r="B2177">
        <v>105</v>
      </c>
      <c r="C2177" t="s">
        <v>557</v>
      </c>
      <c r="D2177" t="s">
        <v>2554</v>
      </c>
      <c r="E2177" t="s">
        <v>3105</v>
      </c>
      <c r="F2177" s="451">
        <v>46135</v>
      </c>
      <c r="G2177">
        <v>21587</v>
      </c>
      <c r="H2177" t="s">
        <v>5349</v>
      </c>
      <c r="I2177" t="s">
        <v>5188</v>
      </c>
      <c r="J2177">
        <v>3</v>
      </c>
      <c r="K2177" t="s">
        <v>4736</v>
      </c>
      <c r="L2177">
        <v>19.5</v>
      </c>
      <c r="M2177">
        <v>6.5</v>
      </c>
      <c r="N2177" t="s">
        <v>5277</v>
      </c>
      <c r="O2177" t="s">
        <v>462</v>
      </c>
    </row>
    <row r="2178" spans="1:15" x14ac:dyDescent="0.3">
      <c r="A2178">
        <v>226924</v>
      </c>
      <c r="B2178">
        <v>105</v>
      </c>
      <c r="C2178" t="s">
        <v>557</v>
      </c>
      <c r="D2178" t="s">
        <v>2554</v>
      </c>
      <c r="E2178" t="s">
        <v>3105</v>
      </c>
      <c r="F2178" s="451">
        <v>46135</v>
      </c>
      <c r="G2178">
        <v>27798</v>
      </c>
      <c r="H2178" t="s">
        <v>5257</v>
      </c>
      <c r="I2178" t="s">
        <v>5215</v>
      </c>
      <c r="J2178">
        <v>1</v>
      </c>
      <c r="K2178" t="s">
        <v>5245</v>
      </c>
      <c r="L2178">
        <v>175</v>
      </c>
      <c r="M2178">
        <v>175</v>
      </c>
      <c r="N2178" t="s">
        <v>5277</v>
      </c>
      <c r="O2178" t="s">
        <v>462</v>
      </c>
    </row>
    <row r="2179" spans="1:15" x14ac:dyDescent="0.3">
      <c r="A2179">
        <v>226924</v>
      </c>
      <c r="B2179">
        <v>105</v>
      </c>
      <c r="C2179" t="s">
        <v>557</v>
      </c>
      <c r="D2179" t="s">
        <v>2554</v>
      </c>
      <c r="E2179" t="s">
        <v>3105</v>
      </c>
      <c r="F2179" s="451">
        <v>46135</v>
      </c>
      <c r="G2179">
        <v>24596</v>
      </c>
      <c r="H2179" t="s">
        <v>5197</v>
      </c>
      <c r="I2179" t="s">
        <v>5188</v>
      </c>
      <c r="J2179">
        <v>2</v>
      </c>
      <c r="K2179" t="s">
        <v>4736</v>
      </c>
      <c r="L2179">
        <v>30</v>
      </c>
      <c r="M2179">
        <v>15</v>
      </c>
      <c r="N2179" t="s">
        <v>5277</v>
      </c>
      <c r="O2179" t="s">
        <v>462</v>
      </c>
    </row>
    <row r="2180" spans="1:15" x14ac:dyDescent="0.3">
      <c r="A2180">
        <v>226924</v>
      </c>
      <c r="B2180">
        <v>105</v>
      </c>
      <c r="C2180" t="s">
        <v>557</v>
      </c>
      <c r="D2180" t="s">
        <v>2554</v>
      </c>
      <c r="E2180" t="s">
        <v>3105</v>
      </c>
      <c r="F2180" s="451">
        <v>46135</v>
      </c>
      <c r="G2180">
        <v>17418</v>
      </c>
      <c r="H2180" t="s">
        <v>5207</v>
      </c>
      <c r="I2180" t="s">
        <v>5188</v>
      </c>
      <c r="J2180">
        <v>2</v>
      </c>
      <c r="K2180" t="s">
        <v>4749</v>
      </c>
      <c r="L2180">
        <v>117.8</v>
      </c>
      <c r="M2180">
        <v>58.9</v>
      </c>
      <c r="N2180" t="s">
        <v>5277</v>
      </c>
      <c r="O2180" t="s">
        <v>462</v>
      </c>
    </row>
    <row r="2181" spans="1:15" x14ac:dyDescent="0.3">
      <c r="A2181">
        <v>226924</v>
      </c>
      <c r="B2181">
        <v>105</v>
      </c>
      <c r="C2181" t="s">
        <v>557</v>
      </c>
      <c r="D2181" t="s">
        <v>2554</v>
      </c>
      <c r="E2181" t="s">
        <v>3105</v>
      </c>
      <c r="F2181" s="451">
        <v>46135</v>
      </c>
      <c r="G2181">
        <v>26944</v>
      </c>
      <c r="H2181" t="s">
        <v>5325</v>
      </c>
      <c r="I2181" t="s">
        <v>5188</v>
      </c>
      <c r="J2181">
        <v>1</v>
      </c>
      <c r="K2181" t="s">
        <v>4738</v>
      </c>
      <c r="L2181">
        <v>155.46</v>
      </c>
      <c r="M2181">
        <v>155.46</v>
      </c>
      <c r="N2181" t="s">
        <v>5277</v>
      </c>
      <c r="O2181" t="s">
        <v>462</v>
      </c>
    </row>
    <row r="2182" spans="1:15" x14ac:dyDescent="0.3">
      <c r="A2182">
        <v>226924</v>
      </c>
      <c r="B2182">
        <v>105</v>
      </c>
      <c r="C2182" t="s">
        <v>557</v>
      </c>
      <c r="D2182" t="s">
        <v>2554</v>
      </c>
      <c r="E2182" t="s">
        <v>3105</v>
      </c>
      <c r="F2182" s="451">
        <v>46135</v>
      </c>
      <c r="G2182">
        <v>21432</v>
      </c>
      <c r="H2182" t="s">
        <v>5346</v>
      </c>
      <c r="I2182" t="s">
        <v>5188</v>
      </c>
      <c r="J2182">
        <v>1</v>
      </c>
      <c r="K2182" t="s">
        <v>4738</v>
      </c>
      <c r="L2182">
        <v>115</v>
      </c>
      <c r="M2182">
        <v>115</v>
      </c>
      <c r="N2182" t="s">
        <v>5277</v>
      </c>
      <c r="O2182" t="s">
        <v>462</v>
      </c>
    </row>
    <row r="2183" spans="1:15" x14ac:dyDescent="0.3">
      <c r="A2183">
        <v>226923</v>
      </c>
      <c r="B2183">
        <v>105</v>
      </c>
      <c r="C2183" t="s">
        <v>557</v>
      </c>
      <c r="D2183" t="s">
        <v>2597</v>
      </c>
      <c r="E2183" t="s">
        <v>3106</v>
      </c>
      <c r="F2183" s="451">
        <v>46139</v>
      </c>
      <c r="G2183">
        <v>19041</v>
      </c>
      <c r="H2183" t="s">
        <v>4762</v>
      </c>
      <c r="I2183" t="s">
        <v>5191</v>
      </c>
      <c r="J2183">
        <v>30.6</v>
      </c>
      <c r="K2183" t="s">
        <v>4744</v>
      </c>
      <c r="L2183">
        <v>455.94</v>
      </c>
      <c r="M2183">
        <v>14.9</v>
      </c>
      <c r="N2183" t="s">
        <v>5272</v>
      </c>
      <c r="O2183" t="s">
        <v>462</v>
      </c>
    </row>
    <row r="2184" spans="1:15" x14ac:dyDescent="0.3">
      <c r="A2184">
        <v>226923</v>
      </c>
      <c r="B2184">
        <v>105</v>
      </c>
      <c r="C2184" t="s">
        <v>557</v>
      </c>
      <c r="D2184" t="s">
        <v>2597</v>
      </c>
      <c r="E2184" t="s">
        <v>3106</v>
      </c>
      <c r="F2184" s="451">
        <v>46139</v>
      </c>
      <c r="G2184">
        <v>24339</v>
      </c>
      <c r="H2184" t="s">
        <v>4885</v>
      </c>
      <c r="I2184" t="s">
        <v>5191</v>
      </c>
      <c r="J2184">
        <v>2.9</v>
      </c>
      <c r="K2184" t="s">
        <v>4744</v>
      </c>
      <c r="L2184">
        <v>86.42</v>
      </c>
      <c r="M2184">
        <v>29.8</v>
      </c>
      <c r="N2184" t="s">
        <v>5272</v>
      </c>
      <c r="O2184" t="s">
        <v>462</v>
      </c>
    </row>
    <row r="2185" spans="1:15" x14ac:dyDescent="0.3">
      <c r="A2185">
        <v>226923</v>
      </c>
      <c r="B2185">
        <v>105</v>
      </c>
      <c r="C2185" t="s">
        <v>557</v>
      </c>
      <c r="D2185" t="s">
        <v>2597</v>
      </c>
      <c r="E2185" t="s">
        <v>3106</v>
      </c>
      <c r="F2185" s="451">
        <v>46139</v>
      </c>
      <c r="G2185">
        <v>24259</v>
      </c>
      <c r="H2185" t="s">
        <v>4875</v>
      </c>
      <c r="I2185" t="s">
        <v>5191</v>
      </c>
      <c r="J2185">
        <v>10.5</v>
      </c>
      <c r="K2185" t="s">
        <v>4744</v>
      </c>
      <c r="L2185">
        <v>838.95</v>
      </c>
      <c r="M2185">
        <v>79.900000000000006</v>
      </c>
      <c r="N2185" t="s">
        <v>5272</v>
      </c>
      <c r="O2185" t="s">
        <v>462</v>
      </c>
    </row>
    <row r="2186" spans="1:15" x14ac:dyDescent="0.3">
      <c r="A2186">
        <v>226923</v>
      </c>
      <c r="B2186">
        <v>105</v>
      </c>
      <c r="C2186" t="s">
        <v>557</v>
      </c>
      <c r="D2186" t="s">
        <v>2597</v>
      </c>
      <c r="E2186" t="s">
        <v>3106</v>
      </c>
      <c r="F2186" s="451">
        <v>46139</v>
      </c>
      <c r="G2186">
        <v>22843</v>
      </c>
      <c r="H2186" t="s">
        <v>4849</v>
      </c>
      <c r="I2186" t="s">
        <v>5191</v>
      </c>
      <c r="J2186">
        <v>8.6</v>
      </c>
      <c r="K2186" t="s">
        <v>4744</v>
      </c>
      <c r="L2186">
        <v>333.68</v>
      </c>
      <c r="M2186">
        <v>38.799999999999997</v>
      </c>
      <c r="N2186" t="s">
        <v>5272</v>
      </c>
      <c r="O2186" t="s">
        <v>462</v>
      </c>
    </row>
    <row r="2187" spans="1:15" x14ac:dyDescent="0.3">
      <c r="A2187">
        <v>226923</v>
      </c>
      <c r="B2187">
        <v>105</v>
      </c>
      <c r="C2187" t="s">
        <v>557</v>
      </c>
      <c r="D2187" t="s">
        <v>2597</v>
      </c>
      <c r="E2187" t="s">
        <v>3106</v>
      </c>
      <c r="F2187" s="451">
        <v>46139</v>
      </c>
      <c r="G2187">
        <v>20501</v>
      </c>
      <c r="H2187" t="s">
        <v>4760</v>
      </c>
      <c r="I2187" t="s">
        <v>5191</v>
      </c>
      <c r="J2187">
        <v>20</v>
      </c>
      <c r="K2187" t="s">
        <v>4744</v>
      </c>
      <c r="L2187">
        <v>444</v>
      </c>
      <c r="M2187">
        <v>22.2</v>
      </c>
      <c r="N2187" t="s">
        <v>5272</v>
      </c>
      <c r="O2187" t="s">
        <v>462</v>
      </c>
    </row>
    <row r="2188" spans="1:15" x14ac:dyDescent="0.3">
      <c r="A2188">
        <v>226923</v>
      </c>
      <c r="B2188">
        <v>105</v>
      </c>
      <c r="C2188" t="s">
        <v>557</v>
      </c>
      <c r="D2188" t="s">
        <v>2597</v>
      </c>
      <c r="E2188" t="s">
        <v>3106</v>
      </c>
      <c r="F2188" s="451">
        <v>46139</v>
      </c>
      <c r="G2188">
        <v>24096</v>
      </c>
      <c r="H2188" t="s">
        <v>4771</v>
      </c>
      <c r="I2188" t="s">
        <v>5191</v>
      </c>
      <c r="J2188">
        <v>46.9</v>
      </c>
      <c r="K2188" t="s">
        <v>4744</v>
      </c>
      <c r="L2188">
        <v>2012.01</v>
      </c>
      <c r="M2188">
        <v>42.9</v>
      </c>
      <c r="N2188" t="s">
        <v>5272</v>
      </c>
      <c r="O2188" t="s">
        <v>462</v>
      </c>
    </row>
    <row r="2189" spans="1:15" x14ac:dyDescent="0.3">
      <c r="A2189">
        <v>226923</v>
      </c>
      <c r="B2189">
        <v>105</v>
      </c>
      <c r="C2189" t="s">
        <v>557</v>
      </c>
      <c r="D2189" t="s">
        <v>2597</v>
      </c>
      <c r="E2189" t="s">
        <v>3106</v>
      </c>
      <c r="F2189" s="451">
        <v>46139</v>
      </c>
      <c r="G2189">
        <v>24217</v>
      </c>
      <c r="H2189" t="s">
        <v>4778</v>
      </c>
      <c r="I2189" t="s">
        <v>5191</v>
      </c>
      <c r="J2189">
        <v>11.7</v>
      </c>
      <c r="K2189" t="s">
        <v>4744</v>
      </c>
      <c r="L2189">
        <v>384.93</v>
      </c>
      <c r="M2189">
        <v>32.9</v>
      </c>
      <c r="N2189" t="s">
        <v>5272</v>
      </c>
      <c r="O2189" t="s">
        <v>462</v>
      </c>
    </row>
    <row r="2190" spans="1:15" x14ac:dyDescent="0.3">
      <c r="A2190">
        <v>226921</v>
      </c>
      <c r="B2190">
        <v>105</v>
      </c>
      <c r="C2190" t="s">
        <v>557</v>
      </c>
      <c r="D2190" t="s">
        <v>2579</v>
      </c>
      <c r="E2190" t="s">
        <v>3107</v>
      </c>
      <c r="F2190" s="451">
        <v>46127</v>
      </c>
      <c r="G2190">
        <v>19765</v>
      </c>
      <c r="H2190" t="s">
        <v>4889</v>
      </c>
      <c r="I2190" t="s">
        <v>5191</v>
      </c>
      <c r="J2190">
        <v>1</v>
      </c>
      <c r="K2190" t="s">
        <v>4744</v>
      </c>
      <c r="L2190">
        <v>35.5</v>
      </c>
      <c r="M2190">
        <v>35.5</v>
      </c>
      <c r="N2190" t="s">
        <v>5272</v>
      </c>
      <c r="O2190" t="s">
        <v>462</v>
      </c>
    </row>
    <row r="2191" spans="1:15" x14ac:dyDescent="0.3">
      <c r="A2191">
        <v>226921</v>
      </c>
      <c r="B2191">
        <v>105</v>
      </c>
      <c r="C2191" t="s">
        <v>557</v>
      </c>
      <c r="D2191" t="s">
        <v>2579</v>
      </c>
      <c r="E2191" t="s">
        <v>3107</v>
      </c>
      <c r="F2191" s="451">
        <v>46127</v>
      </c>
      <c r="G2191">
        <v>23335</v>
      </c>
      <c r="H2191" t="s">
        <v>4961</v>
      </c>
      <c r="I2191" t="s">
        <v>5191</v>
      </c>
      <c r="J2191">
        <v>0.5</v>
      </c>
      <c r="K2191" t="s">
        <v>4744</v>
      </c>
      <c r="L2191">
        <v>19.5</v>
      </c>
      <c r="M2191">
        <v>39</v>
      </c>
      <c r="N2191" t="s">
        <v>5272</v>
      </c>
      <c r="O2191" t="s">
        <v>462</v>
      </c>
    </row>
    <row r="2192" spans="1:15" x14ac:dyDescent="0.3">
      <c r="A2192">
        <v>226921</v>
      </c>
      <c r="B2192">
        <v>105</v>
      </c>
      <c r="C2192" t="s">
        <v>557</v>
      </c>
      <c r="D2192" t="s">
        <v>2579</v>
      </c>
      <c r="E2192" t="s">
        <v>3107</v>
      </c>
      <c r="F2192" s="451">
        <v>46127</v>
      </c>
      <c r="G2192">
        <v>19490</v>
      </c>
      <c r="H2192" t="s">
        <v>5116</v>
      </c>
      <c r="I2192" t="s">
        <v>5191</v>
      </c>
      <c r="J2192">
        <v>0.5</v>
      </c>
      <c r="K2192" t="s">
        <v>4744</v>
      </c>
      <c r="L2192">
        <v>29.25</v>
      </c>
      <c r="M2192">
        <v>58.5</v>
      </c>
      <c r="N2192" t="s">
        <v>5272</v>
      </c>
      <c r="O2192" t="s">
        <v>462</v>
      </c>
    </row>
    <row r="2193" spans="1:15" x14ac:dyDescent="0.3">
      <c r="A2193">
        <v>226921</v>
      </c>
      <c r="B2193">
        <v>105</v>
      </c>
      <c r="C2193" t="s">
        <v>557</v>
      </c>
      <c r="D2193" t="s">
        <v>2579</v>
      </c>
      <c r="E2193" t="s">
        <v>3107</v>
      </c>
      <c r="F2193" s="451">
        <v>46127</v>
      </c>
      <c r="G2193">
        <v>23361</v>
      </c>
      <c r="H2193" t="s">
        <v>4754</v>
      </c>
      <c r="I2193" t="s">
        <v>5191</v>
      </c>
      <c r="J2193">
        <v>20</v>
      </c>
      <c r="K2193" t="s">
        <v>4744</v>
      </c>
      <c r="L2193">
        <v>59.8</v>
      </c>
      <c r="M2193">
        <v>2.99</v>
      </c>
      <c r="N2193" t="s">
        <v>5272</v>
      </c>
      <c r="O2193" t="s">
        <v>462</v>
      </c>
    </row>
    <row r="2194" spans="1:15" x14ac:dyDescent="0.3">
      <c r="A2194">
        <v>226921</v>
      </c>
      <c r="B2194">
        <v>105</v>
      </c>
      <c r="C2194" t="s">
        <v>557</v>
      </c>
      <c r="D2194" t="s">
        <v>2579</v>
      </c>
      <c r="E2194" t="s">
        <v>3107</v>
      </c>
      <c r="F2194" s="451">
        <v>46127</v>
      </c>
      <c r="G2194">
        <v>19654</v>
      </c>
      <c r="H2194" t="s">
        <v>5099</v>
      </c>
      <c r="I2194" t="s">
        <v>5191</v>
      </c>
      <c r="J2194">
        <v>5.3</v>
      </c>
      <c r="K2194" t="s">
        <v>4744</v>
      </c>
      <c r="L2194">
        <v>36.520000000000003</v>
      </c>
      <c r="M2194">
        <v>6.8905659999999997</v>
      </c>
      <c r="N2194" t="s">
        <v>5272</v>
      </c>
      <c r="O2194" t="s">
        <v>462</v>
      </c>
    </row>
    <row r="2195" spans="1:15" x14ac:dyDescent="0.3">
      <c r="A2195">
        <v>226920</v>
      </c>
      <c r="B2195">
        <v>105</v>
      </c>
      <c r="C2195" t="s">
        <v>557</v>
      </c>
      <c r="D2195" t="s">
        <v>2579</v>
      </c>
      <c r="E2195" t="s">
        <v>3108</v>
      </c>
      <c r="F2195" s="451">
        <v>46128</v>
      </c>
      <c r="G2195">
        <v>19622</v>
      </c>
      <c r="H2195" t="s">
        <v>4915</v>
      </c>
      <c r="I2195" t="s">
        <v>5191</v>
      </c>
      <c r="J2195">
        <v>1</v>
      </c>
      <c r="K2195" t="s">
        <v>4744</v>
      </c>
      <c r="L2195">
        <v>9.1</v>
      </c>
      <c r="M2195">
        <v>9.1</v>
      </c>
      <c r="N2195" t="s">
        <v>5191</v>
      </c>
      <c r="O2195" t="s">
        <v>462</v>
      </c>
    </row>
    <row r="2196" spans="1:15" x14ac:dyDescent="0.3">
      <c r="A2196">
        <v>226920</v>
      </c>
      <c r="B2196">
        <v>105</v>
      </c>
      <c r="C2196" t="s">
        <v>557</v>
      </c>
      <c r="D2196" t="s">
        <v>2579</v>
      </c>
      <c r="E2196" t="s">
        <v>3108</v>
      </c>
      <c r="F2196" s="451">
        <v>46128</v>
      </c>
      <c r="G2196">
        <v>19742</v>
      </c>
      <c r="H2196" t="s">
        <v>4900</v>
      </c>
      <c r="I2196" t="s">
        <v>5191</v>
      </c>
      <c r="J2196">
        <v>1.5</v>
      </c>
      <c r="K2196" t="s">
        <v>4744</v>
      </c>
      <c r="L2196">
        <v>17.55</v>
      </c>
      <c r="M2196">
        <v>11.7</v>
      </c>
      <c r="N2196" t="s">
        <v>5191</v>
      </c>
      <c r="O2196" t="s">
        <v>462</v>
      </c>
    </row>
    <row r="2197" spans="1:15" x14ac:dyDescent="0.3">
      <c r="A2197">
        <v>226920</v>
      </c>
      <c r="B2197">
        <v>105</v>
      </c>
      <c r="C2197" t="s">
        <v>557</v>
      </c>
      <c r="D2197" t="s">
        <v>2579</v>
      </c>
      <c r="E2197" t="s">
        <v>3108</v>
      </c>
      <c r="F2197" s="451">
        <v>46128</v>
      </c>
      <c r="G2197">
        <v>23385</v>
      </c>
      <c r="H2197" t="s">
        <v>4938</v>
      </c>
      <c r="I2197" t="s">
        <v>5191</v>
      </c>
      <c r="J2197">
        <v>2</v>
      </c>
      <c r="K2197" t="s">
        <v>4744</v>
      </c>
      <c r="L2197">
        <v>104</v>
      </c>
      <c r="M2197">
        <v>52</v>
      </c>
      <c r="N2197" t="s">
        <v>5191</v>
      </c>
      <c r="O2197" t="s">
        <v>462</v>
      </c>
    </row>
    <row r="2198" spans="1:15" x14ac:dyDescent="0.3">
      <c r="A2198">
        <v>226920</v>
      </c>
      <c r="B2198">
        <v>105</v>
      </c>
      <c r="C2198" t="s">
        <v>557</v>
      </c>
      <c r="D2198" t="s">
        <v>2579</v>
      </c>
      <c r="E2198" t="s">
        <v>3108</v>
      </c>
      <c r="F2198" s="451">
        <v>46128</v>
      </c>
      <c r="G2198">
        <v>23228</v>
      </c>
      <c r="H2198" t="s">
        <v>4782</v>
      </c>
      <c r="I2198" t="s">
        <v>5191</v>
      </c>
      <c r="J2198">
        <v>5</v>
      </c>
      <c r="K2198" t="s">
        <v>4744</v>
      </c>
      <c r="L2198">
        <v>39.5</v>
      </c>
      <c r="M2198">
        <v>7.9</v>
      </c>
      <c r="N2198" t="s">
        <v>5191</v>
      </c>
      <c r="O2198" t="s">
        <v>462</v>
      </c>
    </row>
    <row r="2199" spans="1:15" x14ac:dyDescent="0.3">
      <c r="A2199">
        <v>226920</v>
      </c>
      <c r="B2199">
        <v>105</v>
      </c>
      <c r="C2199" t="s">
        <v>557</v>
      </c>
      <c r="D2199" t="s">
        <v>2579</v>
      </c>
      <c r="E2199" t="s">
        <v>3108</v>
      </c>
      <c r="F2199" s="451">
        <v>46128</v>
      </c>
      <c r="G2199">
        <v>19734</v>
      </c>
      <c r="H2199" t="s">
        <v>4833</v>
      </c>
      <c r="I2199" t="s">
        <v>5191</v>
      </c>
      <c r="J2199">
        <v>7</v>
      </c>
      <c r="K2199" t="s">
        <v>4744</v>
      </c>
      <c r="L2199">
        <v>109.2</v>
      </c>
      <c r="M2199">
        <v>15.6</v>
      </c>
      <c r="N2199" t="s">
        <v>5191</v>
      </c>
      <c r="O2199" t="s">
        <v>462</v>
      </c>
    </row>
    <row r="2200" spans="1:15" x14ac:dyDescent="0.3">
      <c r="A2200">
        <v>226920</v>
      </c>
      <c r="B2200">
        <v>105</v>
      </c>
      <c r="C2200" t="s">
        <v>557</v>
      </c>
      <c r="D2200" t="s">
        <v>2579</v>
      </c>
      <c r="E2200" t="s">
        <v>3108</v>
      </c>
      <c r="F2200" s="451">
        <v>46128</v>
      </c>
      <c r="G2200">
        <v>23184</v>
      </c>
      <c r="H2200" t="s">
        <v>4935</v>
      </c>
      <c r="I2200" t="s">
        <v>5191</v>
      </c>
      <c r="J2200">
        <v>1</v>
      </c>
      <c r="K2200" t="s">
        <v>4744</v>
      </c>
      <c r="L2200">
        <v>13</v>
      </c>
      <c r="M2200">
        <v>13</v>
      </c>
      <c r="N2200" t="s">
        <v>5191</v>
      </c>
      <c r="O2200" t="s">
        <v>462</v>
      </c>
    </row>
    <row r="2201" spans="1:15" x14ac:dyDescent="0.3">
      <c r="A2201">
        <v>226920</v>
      </c>
      <c r="B2201">
        <v>105</v>
      </c>
      <c r="C2201" t="s">
        <v>557</v>
      </c>
      <c r="D2201" t="s">
        <v>2579</v>
      </c>
      <c r="E2201" t="s">
        <v>3108</v>
      </c>
      <c r="F2201" s="451">
        <v>46128</v>
      </c>
      <c r="G2201">
        <v>23361</v>
      </c>
      <c r="H2201" t="s">
        <v>4754</v>
      </c>
      <c r="I2201" t="s">
        <v>5191</v>
      </c>
      <c r="J2201">
        <v>40</v>
      </c>
      <c r="K2201" t="s">
        <v>4744</v>
      </c>
      <c r="L2201">
        <v>119.6</v>
      </c>
      <c r="M2201">
        <v>2.99</v>
      </c>
      <c r="N2201" t="s">
        <v>5191</v>
      </c>
      <c r="O2201" t="s">
        <v>462</v>
      </c>
    </row>
    <row r="2202" spans="1:15" x14ac:dyDescent="0.3">
      <c r="A2202">
        <v>226919</v>
      </c>
      <c r="B2202">
        <v>105</v>
      </c>
      <c r="C2202" t="s">
        <v>557</v>
      </c>
      <c r="D2202" t="s">
        <v>2571</v>
      </c>
      <c r="E2202" t="s">
        <v>3109</v>
      </c>
      <c r="F2202" s="451">
        <v>46126</v>
      </c>
      <c r="G2202">
        <v>20358</v>
      </c>
      <c r="H2202" t="s">
        <v>4911</v>
      </c>
      <c r="I2202" t="s">
        <v>5191</v>
      </c>
      <c r="J2202">
        <v>2</v>
      </c>
      <c r="K2202" t="s">
        <v>4738</v>
      </c>
      <c r="L2202">
        <v>28.5</v>
      </c>
      <c r="M2202">
        <v>14.25</v>
      </c>
      <c r="N2202" t="s">
        <v>5272</v>
      </c>
      <c r="O2202" t="s">
        <v>462</v>
      </c>
    </row>
    <row r="2203" spans="1:15" x14ac:dyDescent="0.3">
      <c r="A2203">
        <v>226919</v>
      </c>
      <c r="B2203">
        <v>105</v>
      </c>
      <c r="C2203" t="s">
        <v>557</v>
      </c>
      <c r="D2203" t="s">
        <v>2571</v>
      </c>
      <c r="E2203" t="s">
        <v>3109</v>
      </c>
      <c r="F2203" s="451">
        <v>46126</v>
      </c>
      <c r="G2203">
        <v>26020</v>
      </c>
      <c r="H2203" t="s">
        <v>5102</v>
      </c>
      <c r="I2203" t="s">
        <v>5191</v>
      </c>
      <c r="J2203">
        <v>3</v>
      </c>
      <c r="K2203" t="s">
        <v>4736</v>
      </c>
      <c r="L2203">
        <v>41.07</v>
      </c>
      <c r="M2203">
        <v>13.69</v>
      </c>
      <c r="N2203" t="s">
        <v>5272</v>
      </c>
      <c r="O2203" t="s">
        <v>462</v>
      </c>
    </row>
    <row r="2204" spans="1:15" x14ac:dyDescent="0.3">
      <c r="A2204">
        <v>226919</v>
      </c>
      <c r="B2204">
        <v>105</v>
      </c>
      <c r="C2204" t="s">
        <v>557</v>
      </c>
      <c r="D2204" t="s">
        <v>2571</v>
      </c>
      <c r="E2204" t="s">
        <v>3109</v>
      </c>
      <c r="F2204" s="451">
        <v>46126</v>
      </c>
      <c r="G2204">
        <v>20127</v>
      </c>
      <c r="H2204" t="s">
        <v>5350</v>
      </c>
      <c r="I2204" t="s">
        <v>5191</v>
      </c>
      <c r="J2204">
        <v>2</v>
      </c>
      <c r="K2204" t="s">
        <v>4738</v>
      </c>
      <c r="L2204">
        <v>7.4</v>
      </c>
      <c r="M2204">
        <v>3.7</v>
      </c>
      <c r="N2204" t="s">
        <v>5272</v>
      </c>
      <c r="O2204" t="s">
        <v>462</v>
      </c>
    </row>
    <row r="2205" spans="1:15" x14ac:dyDescent="0.3">
      <c r="A2205">
        <v>226919</v>
      </c>
      <c r="B2205">
        <v>105</v>
      </c>
      <c r="C2205" t="s">
        <v>557</v>
      </c>
      <c r="D2205" t="s">
        <v>2571</v>
      </c>
      <c r="E2205" t="s">
        <v>3109</v>
      </c>
      <c r="F2205" s="451">
        <v>46126</v>
      </c>
      <c r="G2205">
        <v>20242</v>
      </c>
      <c r="H2205" t="s">
        <v>4824</v>
      </c>
      <c r="I2205" t="s">
        <v>5191</v>
      </c>
      <c r="J2205">
        <v>6</v>
      </c>
      <c r="K2205" t="s">
        <v>4738</v>
      </c>
      <c r="L2205">
        <v>106.8</v>
      </c>
      <c r="M2205">
        <v>17.8</v>
      </c>
      <c r="N2205" t="s">
        <v>5272</v>
      </c>
      <c r="O2205" t="s">
        <v>462</v>
      </c>
    </row>
    <row r="2206" spans="1:15" x14ac:dyDescent="0.3">
      <c r="A2206">
        <v>226919</v>
      </c>
      <c r="B2206">
        <v>105</v>
      </c>
      <c r="C2206" t="s">
        <v>557</v>
      </c>
      <c r="D2206" t="s">
        <v>2571</v>
      </c>
      <c r="E2206" t="s">
        <v>3109</v>
      </c>
      <c r="F2206" s="451">
        <v>46126</v>
      </c>
      <c r="G2206">
        <v>20227</v>
      </c>
      <c r="H2206" t="s">
        <v>4825</v>
      </c>
      <c r="I2206" t="s">
        <v>5191</v>
      </c>
      <c r="J2206">
        <v>5</v>
      </c>
      <c r="K2206" t="s">
        <v>4738</v>
      </c>
      <c r="L2206">
        <v>63.5</v>
      </c>
      <c r="M2206">
        <v>12.7</v>
      </c>
      <c r="N2206" t="s">
        <v>5272</v>
      </c>
      <c r="O2206" t="s">
        <v>462</v>
      </c>
    </row>
    <row r="2207" spans="1:15" x14ac:dyDescent="0.3">
      <c r="A2207">
        <v>226919</v>
      </c>
      <c r="B2207">
        <v>105</v>
      </c>
      <c r="C2207" t="s">
        <v>557</v>
      </c>
      <c r="D2207" t="s">
        <v>2571</v>
      </c>
      <c r="E2207" t="s">
        <v>3109</v>
      </c>
      <c r="F2207" s="451">
        <v>46126</v>
      </c>
      <c r="G2207">
        <v>19421</v>
      </c>
      <c r="H2207" t="s">
        <v>4918</v>
      </c>
      <c r="I2207" t="s">
        <v>5191</v>
      </c>
      <c r="J2207">
        <v>24</v>
      </c>
      <c r="K2207" t="s">
        <v>4749</v>
      </c>
      <c r="L2207">
        <v>163.68</v>
      </c>
      <c r="M2207">
        <v>6.82</v>
      </c>
      <c r="N2207" t="s">
        <v>5272</v>
      </c>
      <c r="O2207" t="s">
        <v>462</v>
      </c>
    </row>
    <row r="2208" spans="1:15" x14ac:dyDescent="0.3">
      <c r="A2208">
        <v>226919</v>
      </c>
      <c r="B2208">
        <v>105</v>
      </c>
      <c r="C2208" t="s">
        <v>557</v>
      </c>
      <c r="D2208" t="s">
        <v>2571</v>
      </c>
      <c r="E2208" t="s">
        <v>3109</v>
      </c>
      <c r="F2208" s="451">
        <v>46126</v>
      </c>
      <c r="G2208">
        <v>21093</v>
      </c>
      <c r="H2208" t="s">
        <v>4855</v>
      </c>
      <c r="I2208" t="s">
        <v>5191</v>
      </c>
      <c r="J2208">
        <v>20</v>
      </c>
      <c r="K2208" t="s">
        <v>4736</v>
      </c>
      <c r="L2208">
        <v>87.8</v>
      </c>
      <c r="M2208">
        <v>4.3899999999999997</v>
      </c>
      <c r="N2208" t="s">
        <v>5272</v>
      </c>
      <c r="O2208" t="s">
        <v>462</v>
      </c>
    </row>
    <row r="2209" spans="1:15" x14ac:dyDescent="0.3">
      <c r="A2209">
        <v>226919</v>
      </c>
      <c r="B2209">
        <v>105</v>
      </c>
      <c r="C2209" t="s">
        <v>557</v>
      </c>
      <c r="D2209" t="s">
        <v>2571</v>
      </c>
      <c r="E2209" t="s">
        <v>3109</v>
      </c>
      <c r="F2209" s="451">
        <v>46126</v>
      </c>
      <c r="G2209">
        <v>19967</v>
      </c>
      <c r="H2209" t="s">
        <v>4956</v>
      </c>
      <c r="I2209" t="s">
        <v>5191</v>
      </c>
      <c r="J2209">
        <v>1</v>
      </c>
      <c r="K2209" t="s">
        <v>4736</v>
      </c>
      <c r="L2209">
        <v>49.28</v>
      </c>
      <c r="M2209">
        <v>49.28</v>
      </c>
      <c r="N2209" t="s">
        <v>5272</v>
      </c>
      <c r="O2209" t="s">
        <v>462</v>
      </c>
    </row>
    <row r="2210" spans="1:15" x14ac:dyDescent="0.3">
      <c r="A2210">
        <v>226919</v>
      </c>
      <c r="B2210">
        <v>105</v>
      </c>
      <c r="C2210" t="s">
        <v>557</v>
      </c>
      <c r="D2210" t="s">
        <v>2571</v>
      </c>
      <c r="E2210" t="s">
        <v>3109</v>
      </c>
      <c r="F2210" s="451">
        <v>46126</v>
      </c>
      <c r="G2210">
        <v>21022</v>
      </c>
      <c r="H2210" t="s">
        <v>5351</v>
      </c>
      <c r="I2210" t="s">
        <v>5191</v>
      </c>
      <c r="J2210">
        <v>3</v>
      </c>
      <c r="K2210" t="s">
        <v>5352</v>
      </c>
      <c r="L2210">
        <v>563.28</v>
      </c>
      <c r="M2210">
        <v>187.76</v>
      </c>
      <c r="N2210" t="s">
        <v>5272</v>
      </c>
      <c r="O2210" t="s">
        <v>462</v>
      </c>
    </row>
    <row r="2211" spans="1:15" x14ac:dyDescent="0.3">
      <c r="A2211">
        <v>226919</v>
      </c>
      <c r="B2211">
        <v>105</v>
      </c>
      <c r="C2211" t="s">
        <v>557</v>
      </c>
      <c r="D2211" t="s">
        <v>2571</v>
      </c>
      <c r="E2211" t="s">
        <v>3109</v>
      </c>
      <c r="F2211" s="451">
        <v>46126</v>
      </c>
      <c r="G2211">
        <v>20653</v>
      </c>
      <c r="H2211" t="s">
        <v>5013</v>
      </c>
      <c r="I2211" t="s">
        <v>5191</v>
      </c>
      <c r="J2211">
        <v>1</v>
      </c>
      <c r="K2211" t="s">
        <v>4736</v>
      </c>
      <c r="L2211">
        <v>25.96</v>
      </c>
      <c r="M2211">
        <v>25.96</v>
      </c>
      <c r="N2211" t="s">
        <v>5272</v>
      </c>
      <c r="O2211" t="s">
        <v>462</v>
      </c>
    </row>
    <row r="2212" spans="1:15" x14ac:dyDescent="0.3">
      <c r="A2212">
        <v>226919</v>
      </c>
      <c r="B2212">
        <v>105</v>
      </c>
      <c r="C2212" t="s">
        <v>557</v>
      </c>
      <c r="D2212" t="s">
        <v>2571</v>
      </c>
      <c r="E2212" t="s">
        <v>3109</v>
      </c>
      <c r="F2212" s="451">
        <v>46126</v>
      </c>
      <c r="G2212">
        <v>21078</v>
      </c>
      <c r="H2212" t="s">
        <v>5162</v>
      </c>
      <c r="I2212" t="s">
        <v>5191</v>
      </c>
      <c r="J2212">
        <v>1</v>
      </c>
      <c r="K2212" t="s">
        <v>4749</v>
      </c>
      <c r="L2212">
        <v>49.38</v>
      </c>
      <c r="M2212">
        <v>49.38</v>
      </c>
      <c r="N2212" t="s">
        <v>5272</v>
      </c>
      <c r="O2212" t="s">
        <v>462</v>
      </c>
    </row>
    <row r="2213" spans="1:15" x14ac:dyDescent="0.3">
      <c r="A2213">
        <v>226919</v>
      </c>
      <c r="B2213">
        <v>105</v>
      </c>
      <c r="C2213" t="s">
        <v>557</v>
      </c>
      <c r="D2213" t="s">
        <v>2571</v>
      </c>
      <c r="E2213" t="s">
        <v>3109</v>
      </c>
      <c r="F2213" s="451">
        <v>46126</v>
      </c>
      <c r="G2213">
        <v>20644</v>
      </c>
      <c r="H2213" t="s">
        <v>5016</v>
      </c>
      <c r="I2213" t="s">
        <v>5191</v>
      </c>
      <c r="J2213">
        <v>2</v>
      </c>
      <c r="K2213" t="s">
        <v>4736</v>
      </c>
      <c r="L2213">
        <v>7.78</v>
      </c>
      <c r="M2213">
        <v>3.89</v>
      </c>
      <c r="N2213" t="s">
        <v>5272</v>
      </c>
      <c r="O2213" t="s">
        <v>462</v>
      </c>
    </row>
    <row r="2214" spans="1:15" x14ac:dyDescent="0.3">
      <c r="A2214">
        <v>226919</v>
      </c>
      <c r="B2214">
        <v>105</v>
      </c>
      <c r="C2214" t="s">
        <v>557</v>
      </c>
      <c r="D2214" t="s">
        <v>2571</v>
      </c>
      <c r="E2214" t="s">
        <v>3109</v>
      </c>
      <c r="F2214" s="451">
        <v>46126</v>
      </c>
      <c r="G2214">
        <v>21257</v>
      </c>
      <c r="H2214" t="s">
        <v>4952</v>
      </c>
      <c r="I2214" t="s">
        <v>5191</v>
      </c>
      <c r="J2214">
        <v>3</v>
      </c>
      <c r="K2214" t="s">
        <v>4736</v>
      </c>
      <c r="L2214">
        <v>56.4</v>
      </c>
      <c r="M2214">
        <v>18.8</v>
      </c>
      <c r="N2214" t="s">
        <v>5272</v>
      </c>
      <c r="O2214" t="s">
        <v>462</v>
      </c>
    </row>
    <row r="2215" spans="1:15" x14ac:dyDescent="0.3">
      <c r="A2215">
        <v>226919</v>
      </c>
      <c r="B2215">
        <v>105</v>
      </c>
      <c r="C2215" t="s">
        <v>557</v>
      </c>
      <c r="D2215" t="s">
        <v>2571</v>
      </c>
      <c r="E2215" t="s">
        <v>3109</v>
      </c>
      <c r="F2215" s="451">
        <v>46126</v>
      </c>
      <c r="G2215">
        <v>20809</v>
      </c>
      <c r="H2215" t="s">
        <v>4822</v>
      </c>
      <c r="I2215" t="s">
        <v>5191</v>
      </c>
      <c r="J2215">
        <v>6</v>
      </c>
      <c r="K2215" t="s">
        <v>4736</v>
      </c>
      <c r="L2215">
        <v>179.94</v>
      </c>
      <c r="M2215">
        <v>29.99</v>
      </c>
      <c r="N2215" t="s">
        <v>5272</v>
      </c>
      <c r="O2215" t="s">
        <v>462</v>
      </c>
    </row>
    <row r="2216" spans="1:15" x14ac:dyDescent="0.3">
      <c r="A2216">
        <v>226918</v>
      </c>
      <c r="B2216">
        <v>105</v>
      </c>
      <c r="C2216" t="s">
        <v>557</v>
      </c>
      <c r="D2216" t="s">
        <v>2563</v>
      </c>
      <c r="E2216" t="s">
        <v>3110</v>
      </c>
      <c r="F2216" s="451">
        <v>46127</v>
      </c>
      <c r="G2216">
        <v>19632</v>
      </c>
      <c r="H2216" t="s">
        <v>4936</v>
      </c>
      <c r="I2216" t="s">
        <v>5191</v>
      </c>
      <c r="J2216">
        <v>2</v>
      </c>
      <c r="K2216" t="s">
        <v>4744</v>
      </c>
      <c r="L2216">
        <v>11.02</v>
      </c>
      <c r="M2216">
        <v>5.51</v>
      </c>
      <c r="N2216" t="s">
        <v>5272</v>
      </c>
      <c r="O2216" t="s">
        <v>462</v>
      </c>
    </row>
    <row r="2217" spans="1:15" x14ac:dyDescent="0.3">
      <c r="A2217">
        <v>226918</v>
      </c>
      <c r="B2217">
        <v>105</v>
      </c>
      <c r="C2217" t="s">
        <v>557</v>
      </c>
      <c r="D2217" t="s">
        <v>2563</v>
      </c>
      <c r="E2217" t="s">
        <v>3110</v>
      </c>
      <c r="F2217" s="451">
        <v>46127</v>
      </c>
      <c r="G2217">
        <v>19742</v>
      </c>
      <c r="H2217" t="s">
        <v>4900</v>
      </c>
      <c r="I2217" t="s">
        <v>5191</v>
      </c>
      <c r="J2217">
        <v>2.1</v>
      </c>
      <c r="K2217" t="s">
        <v>4744</v>
      </c>
      <c r="L2217">
        <v>23.9</v>
      </c>
      <c r="M2217">
        <v>11.380952000000001</v>
      </c>
      <c r="N2217" t="s">
        <v>5272</v>
      </c>
      <c r="O2217" t="s">
        <v>462</v>
      </c>
    </row>
    <row r="2218" spans="1:15" x14ac:dyDescent="0.3">
      <c r="A2218">
        <v>226918</v>
      </c>
      <c r="B2218">
        <v>105</v>
      </c>
      <c r="C2218" t="s">
        <v>557</v>
      </c>
      <c r="D2218" t="s">
        <v>2563</v>
      </c>
      <c r="E2218" t="s">
        <v>3110</v>
      </c>
      <c r="F2218" s="451">
        <v>46127</v>
      </c>
      <c r="G2218">
        <v>19492</v>
      </c>
      <c r="H2218" t="s">
        <v>4937</v>
      </c>
      <c r="I2218" t="s">
        <v>5191</v>
      </c>
      <c r="J2218">
        <v>1.5</v>
      </c>
      <c r="K2218" t="s">
        <v>4744</v>
      </c>
      <c r="L2218">
        <v>27.95</v>
      </c>
      <c r="M2218">
        <v>18.633333</v>
      </c>
      <c r="N2218" t="s">
        <v>5272</v>
      </c>
      <c r="O2218" t="s">
        <v>462</v>
      </c>
    </row>
    <row r="2219" spans="1:15" x14ac:dyDescent="0.3">
      <c r="A2219">
        <v>226918</v>
      </c>
      <c r="B2219">
        <v>105</v>
      </c>
      <c r="C2219" t="s">
        <v>557</v>
      </c>
      <c r="D2219" t="s">
        <v>2563</v>
      </c>
      <c r="E2219" t="s">
        <v>3110</v>
      </c>
      <c r="F2219" s="451">
        <v>46127</v>
      </c>
      <c r="G2219">
        <v>19734</v>
      </c>
      <c r="H2219" t="s">
        <v>4833</v>
      </c>
      <c r="I2219" t="s">
        <v>5191</v>
      </c>
      <c r="J2219">
        <v>3.4</v>
      </c>
      <c r="K2219" t="s">
        <v>4744</v>
      </c>
      <c r="L2219">
        <v>44.37</v>
      </c>
      <c r="M2219">
        <v>13.05</v>
      </c>
      <c r="N2219" t="s">
        <v>5272</v>
      </c>
      <c r="O2219" t="s">
        <v>462</v>
      </c>
    </row>
    <row r="2220" spans="1:15" x14ac:dyDescent="0.3">
      <c r="A2220">
        <v>226918</v>
      </c>
      <c r="B2220">
        <v>105</v>
      </c>
      <c r="C2220" t="s">
        <v>557</v>
      </c>
      <c r="D2220" t="s">
        <v>2563</v>
      </c>
      <c r="E2220" t="s">
        <v>3110</v>
      </c>
      <c r="F2220" s="451">
        <v>46127</v>
      </c>
      <c r="G2220">
        <v>19658</v>
      </c>
      <c r="H2220" t="s">
        <v>4784</v>
      </c>
      <c r="I2220" t="s">
        <v>5191</v>
      </c>
      <c r="J2220">
        <v>6.4</v>
      </c>
      <c r="K2220" t="s">
        <v>4744</v>
      </c>
      <c r="L2220">
        <v>23.87</v>
      </c>
      <c r="M2220">
        <v>3.7296879999999999</v>
      </c>
      <c r="N2220" t="s">
        <v>5272</v>
      </c>
      <c r="O2220" t="s">
        <v>462</v>
      </c>
    </row>
    <row r="2221" spans="1:15" x14ac:dyDescent="0.3">
      <c r="A2221">
        <v>226918</v>
      </c>
      <c r="B2221">
        <v>105</v>
      </c>
      <c r="C2221" t="s">
        <v>557</v>
      </c>
      <c r="D2221" t="s">
        <v>2563</v>
      </c>
      <c r="E2221" t="s">
        <v>3110</v>
      </c>
      <c r="F2221" s="451">
        <v>46127</v>
      </c>
      <c r="G2221">
        <v>19589</v>
      </c>
      <c r="H2221" t="s">
        <v>4983</v>
      </c>
      <c r="I2221" t="s">
        <v>5191</v>
      </c>
      <c r="J2221">
        <v>1.3</v>
      </c>
      <c r="K2221" t="s">
        <v>4744</v>
      </c>
      <c r="L2221">
        <v>9.89</v>
      </c>
      <c r="M2221">
        <v>7.6076920000000001</v>
      </c>
      <c r="N2221" t="s">
        <v>5272</v>
      </c>
      <c r="O2221" t="s">
        <v>462</v>
      </c>
    </row>
    <row r="2222" spans="1:15" x14ac:dyDescent="0.3">
      <c r="A2222">
        <v>226918</v>
      </c>
      <c r="B2222">
        <v>105</v>
      </c>
      <c r="C2222" t="s">
        <v>557</v>
      </c>
      <c r="D2222" t="s">
        <v>2563</v>
      </c>
      <c r="E2222" t="s">
        <v>3110</v>
      </c>
      <c r="F2222" s="451">
        <v>46127</v>
      </c>
      <c r="G2222">
        <v>19634</v>
      </c>
      <c r="H2222" t="s">
        <v>4792</v>
      </c>
      <c r="I2222" t="s">
        <v>5191</v>
      </c>
      <c r="J2222">
        <v>5</v>
      </c>
      <c r="K2222" t="s">
        <v>4744</v>
      </c>
      <c r="L2222">
        <v>36.950000000000003</v>
      </c>
      <c r="M2222">
        <v>7.39</v>
      </c>
      <c r="N2222" t="s">
        <v>5272</v>
      </c>
      <c r="O2222" t="s">
        <v>462</v>
      </c>
    </row>
    <row r="2223" spans="1:15" x14ac:dyDescent="0.3">
      <c r="A2223">
        <v>226918</v>
      </c>
      <c r="B2223">
        <v>105</v>
      </c>
      <c r="C2223" t="s">
        <v>557</v>
      </c>
      <c r="D2223" t="s">
        <v>2563</v>
      </c>
      <c r="E2223" t="s">
        <v>3110</v>
      </c>
      <c r="F2223" s="451">
        <v>46127</v>
      </c>
      <c r="G2223">
        <v>23346</v>
      </c>
      <c r="H2223" t="s">
        <v>4916</v>
      </c>
      <c r="I2223" t="s">
        <v>5191</v>
      </c>
      <c r="J2223">
        <v>2.4</v>
      </c>
      <c r="K2223" t="s">
        <v>4744</v>
      </c>
      <c r="L2223">
        <v>15.67</v>
      </c>
      <c r="M2223">
        <v>6.5291670000000002</v>
      </c>
      <c r="N2223" t="s">
        <v>5272</v>
      </c>
      <c r="O2223" t="s">
        <v>462</v>
      </c>
    </row>
    <row r="2224" spans="1:15" x14ac:dyDescent="0.3">
      <c r="A2224">
        <v>226918</v>
      </c>
      <c r="B2224">
        <v>105</v>
      </c>
      <c r="C2224" t="s">
        <v>557</v>
      </c>
      <c r="D2224" t="s">
        <v>2563</v>
      </c>
      <c r="E2224" t="s">
        <v>3110</v>
      </c>
      <c r="F2224" s="451">
        <v>46127</v>
      </c>
      <c r="G2224">
        <v>19526</v>
      </c>
      <c r="H2224" t="s">
        <v>4997</v>
      </c>
      <c r="I2224" t="s">
        <v>5191</v>
      </c>
      <c r="J2224">
        <v>1</v>
      </c>
      <c r="K2224" t="s">
        <v>4744</v>
      </c>
      <c r="L2224">
        <v>53.65</v>
      </c>
      <c r="M2224">
        <v>53.65</v>
      </c>
      <c r="N2224" t="s">
        <v>5272</v>
      </c>
      <c r="O2224" t="s">
        <v>462</v>
      </c>
    </row>
    <row r="2225" spans="1:15" x14ac:dyDescent="0.3">
      <c r="A2225">
        <v>226918</v>
      </c>
      <c r="B2225">
        <v>105</v>
      </c>
      <c r="C2225" t="s">
        <v>557</v>
      </c>
      <c r="D2225" t="s">
        <v>2563</v>
      </c>
      <c r="E2225" t="s">
        <v>3110</v>
      </c>
      <c r="F2225" s="451">
        <v>46127</v>
      </c>
      <c r="G2225">
        <v>19532</v>
      </c>
      <c r="H2225" t="s">
        <v>4753</v>
      </c>
      <c r="I2225" t="s">
        <v>5191</v>
      </c>
      <c r="J2225">
        <v>20</v>
      </c>
      <c r="K2225" t="s">
        <v>4744</v>
      </c>
      <c r="L2225">
        <v>192.8</v>
      </c>
      <c r="M2225">
        <v>9.64</v>
      </c>
      <c r="N2225" t="s">
        <v>5272</v>
      </c>
      <c r="O2225" t="s">
        <v>462</v>
      </c>
    </row>
    <row r="2226" spans="1:15" x14ac:dyDescent="0.3">
      <c r="A2226">
        <v>226918</v>
      </c>
      <c r="B2226">
        <v>105</v>
      </c>
      <c r="C2226" t="s">
        <v>557</v>
      </c>
      <c r="D2226" t="s">
        <v>2563</v>
      </c>
      <c r="E2226" t="s">
        <v>3110</v>
      </c>
      <c r="F2226" s="451">
        <v>46127</v>
      </c>
      <c r="G2226">
        <v>19790</v>
      </c>
      <c r="H2226" t="s">
        <v>5073</v>
      </c>
      <c r="I2226" t="s">
        <v>5191</v>
      </c>
      <c r="J2226">
        <v>2</v>
      </c>
      <c r="K2226" t="s">
        <v>4744</v>
      </c>
      <c r="L2226">
        <v>92.8</v>
      </c>
      <c r="M2226">
        <v>46.4</v>
      </c>
      <c r="N2226" t="s">
        <v>5272</v>
      </c>
      <c r="O2226" t="s">
        <v>462</v>
      </c>
    </row>
    <row r="2227" spans="1:15" x14ac:dyDescent="0.3">
      <c r="A2227">
        <v>226918</v>
      </c>
      <c r="B2227">
        <v>105</v>
      </c>
      <c r="C2227" t="s">
        <v>557</v>
      </c>
      <c r="D2227" t="s">
        <v>2563</v>
      </c>
      <c r="E2227" t="s">
        <v>3110</v>
      </c>
      <c r="F2227" s="451">
        <v>46127</v>
      </c>
      <c r="G2227">
        <v>23113</v>
      </c>
      <c r="H2227" t="s">
        <v>5074</v>
      </c>
      <c r="I2227" t="s">
        <v>5191</v>
      </c>
      <c r="J2227">
        <v>0.5</v>
      </c>
      <c r="K2227" t="s">
        <v>4744</v>
      </c>
      <c r="L2227">
        <v>7.25</v>
      </c>
      <c r="M2227">
        <v>14.5</v>
      </c>
      <c r="N2227" t="s">
        <v>5272</v>
      </c>
      <c r="O2227" t="s">
        <v>462</v>
      </c>
    </row>
    <row r="2228" spans="1:15" x14ac:dyDescent="0.3">
      <c r="A2228">
        <v>226917</v>
      </c>
      <c r="B2228">
        <v>105</v>
      </c>
      <c r="C2228" t="s">
        <v>557</v>
      </c>
      <c r="D2228" t="s">
        <v>2563</v>
      </c>
      <c r="E2228" t="s">
        <v>3111</v>
      </c>
      <c r="F2228" s="451">
        <v>46128</v>
      </c>
      <c r="G2228">
        <v>19642</v>
      </c>
      <c r="H2228" t="s">
        <v>4996</v>
      </c>
      <c r="I2228" t="s">
        <v>5191</v>
      </c>
      <c r="J2228">
        <v>1</v>
      </c>
      <c r="K2228" t="s">
        <v>4744</v>
      </c>
      <c r="L2228">
        <v>5.58</v>
      </c>
      <c r="M2228">
        <v>5.58</v>
      </c>
      <c r="N2228" t="s">
        <v>5191</v>
      </c>
      <c r="O2228" t="s">
        <v>462</v>
      </c>
    </row>
    <row r="2229" spans="1:15" x14ac:dyDescent="0.3">
      <c r="A2229">
        <v>226917</v>
      </c>
      <c r="B2229">
        <v>105</v>
      </c>
      <c r="C2229" t="s">
        <v>557</v>
      </c>
      <c r="D2229" t="s">
        <v>2563</v>
      </c>
      <c r="E2229" t="s">
        <v>3111</v>
      </c>
      <c r="F2229" s="451">
        <v>46128</v>
      </c>
      <c r="G2229">
        <v>19634</v>
      </c>
      <c r="H2229" t="s">
        <v>4792</v>
      </c>
      <c r="I2229" t="s">
        <v>5191</v>
      </c>
      <c r="J2229">
        <v>5.2</v>
      </c>
      <c r="K2229" t="s">
        <v>4744</v>
      </c>
      <c r="L2229">
        <v>38.43</v>
      </c>
      <c r="M2229">
        <v>7.3903850000000002</v>
      </c>
      <c r="N2229" t="s">
        <v>5191</v>
      </c>
      <c r="O2229" t="s">
        <v>462</v>
      </c>
    </row>
    <row r="2230" spans="1:15" x14ac:dyDescent="0.3">
      <c r="A2230">
        <v>226917</v>
      </c>
      <c r="B2230">
        <v>105</v>
      </c>
      <c r="C2230" t="s">
        <v>557</v>
      </c>
      <c r="D2230" t="s">
        <v>2563</v>
      </c>
      <c r="E2230" t="s">
        <v>3111</v>
      </c>
      <c r="F2230" s="451">
        <v>46128</v>
      </c>
      <c r="G2230">
        <v>19502</v>
      </c>
      <c r="H2230" t="s">
        <v>4871</v>
      </c>
      <c r="I2230" t="s">
        <v>5191</v>
      </c>
      <c r="J2230">
        <v>5.2</v>
      </c>
      <c r="K2230" t="s">
        <v>4744</v>
      </c>
      <c r="L2230">
        <v>111.96</v>
      </c>
      <c r="M2230">
        <v>21.530768999999999</v>
      </c>
      <c r="N2230" t="s">
        <v>5191</v>
      </c>
      <c r="O2230" t="s">
        <v>462</v>
      </c>
    </row>
    <row r="2231" spans="1:15" x14ac:dyDescent="0.3">
      <c r="A2231">
        <v>226917</v>
      </c>
      <c r="B2231">
        <v>105</v>
      </c>
      <c r="C2231" t="s">
        <v>557</v>
      </c>
      <c r="D2231" t="s">
        <v>2563</v>
      </c>
      <c r="E2231" t="s">
        <v>3111</v>
      </c>
      <c r="F2231" s="451">
        <v>46128</v>
      </c>
      <c r="G2231">
        <v>19532</v>
      </c>
      <c r="H2231" t="s">
        <v>4753</v>
      </c>
      <c r="I2231" t="s">
        <v>5191</v>
      </c>
      <c r="J2231">
        <v>20</v>
      </c>
      <c r="K2231" t="s">
        <v>4744</v>
      </c>
      <c r="L2231">
        <v>192.8</v>
      </c>
      <c r="M2231">
        <v>9.64</v>
      </c>
      <c r="N2231" t="s">
        <v>5191</v>
      </c>
      <c r="O2231" t="s">
        <v>462</v>
      </c>
    </row>
    <row r="2232" spans="1:15" x14ac:dyDescent="0.3">
      <c r="A2232">
        <v>226917</v>
      </c>
      <c r="B2232">
        <v>105</v>
      </c>
      <c r="C2232" t="s">
        <v>557</v>
      </c>
      <c r="D2232" t="s">
        <v>2563</v>
      </c>
      <c r="E2232" t="s">
        <v>3111</v>
      </c>
      <c r="F2232" s="451">
        <v>46128</v>
      </c>
      <c r="G2232">
        <v>19589</v>
      </c>
      <c r="H2232" t="s">
        <v>4983</v>
      </c>
      <c r="I2232" t="s">
        <v>5191</v>
      </c>
      <c r="J2232">
        <v>1.1000000000000001</v>
      </c>
      <c r="K2232" t="s">
        <v>4744</v>
      </c>
      <c r="L2232">
        <v>8.3699999999999992</v>
      </c>
      <c r="M2232">
        <v>7.6090910000000003</v>
      </c>
      <c r="N2232" t="s">
        <v>5191</v>
      </c>
      <c r="O2232" t="s">
        <v>462</v>
      </c>
    </row>
    <row r="2233" spans="1:15" x14ac:dyDescent="0.3">
      <c r="A2233">
        <v>226917</v>
      </c>
      <c r="B2233">
        <v>105</v>
      </c>
      <c r="C2233" t="s">
        <v>557</v>
      </c>
      <c r="D2233" t="s">
        <v>2563</v>
      </c>
      <c r="E2233" t="s">
        <v>3111</v>
      </c>
      <c r="F2233" s="451">
        <v>46128</v>
      </c>
      <c r="G2233">
        <v>19658</v>
      </c>
      <c r="H2233" t="s">
        <v>4784</v>
      </c>
      <c r="I2233" t="s">
        <v>5191</v>
      </c>
      <c r="J2233">
        <v>6.5</v>
      </c>
      <c r="K2233" t="s">
        <v>4744</v>
      </c>
      <c r="L2233">
        <v>24.25</v>
      </c>
      <c r="M2233">
        <v>3.730769</v>
      </c>
      <c r="N2233" t="s">
        <v>5191</v>
      </c>
      <c r="O2233" t="s">
        <v>462</v>
      </c>
    </row>
    <row r="2234" spans="1:15" x14ac:dyDescent="0.3">
      <c r="A2234">
        <v>226917</v>
      </c>
      <c r="B2234">
        <v>105</v>
      </c>
      <c r="C2234" t="s">
        <v>557</v>
      </c>
      <c r="D2234" t="s">
        <v>2563</v>
      </c>
      <c r="E2234" t="s">
        <v>3111</v>
      </c>
      <c r="F2234" s="451">
        <v>46128</v>
      </c>
      <c r="G2234">
        <v>19572</v>
      </c>
      <c r="H2234" t="s">
        <v>4989</v>
      </c>
      <c r="I2234" t="s">
        <v>5191</v>
      </c>
      <c r="J2234">
        <v>1.1000000000000001</v>
      </c>
      <c r="K2234" t="s">
        <v>4744</v>
      </c>
      <c r="L2234">
        <v>12.04</v>
      </c>
      <c r="M2234">
        <v>10.945455000000001</v>
      </c>
      <c r="N2234" t="s">
        <v>5191</v>
      </c>
      <c r="O2234" t="s">
        <v>462</v>
      </c>
    </row>
    <row r="2235" spans="1:15" x14ac:dyDescent="0.3">
      <c r="A2235">
        <v>226917</v>
      </c>
      <c r="B2235">
        <v>105</v>
      </c>
      <c r="C2235" t="s">
        <v>557</v>
      </c>
      <c r="D2235" t="s">
        <v>2563</v>
      </c>
      <c r="E2235" t="s">
        <v>3111</v>
      </c>
      <c r="F2235" s="451">
        <v>46128</v>
      </c>
      <c r="G2235">
        <v>23335</v>
      </c>
      <c r="H2235" t="s">
        <v>4961</v>
      </c>
      <c r="I2235" t="s">
        <v>5191</v>
      </c>
      <c r="J2235">
        <v>1.5</v>
      </c>
      <c r="K2235" t="s">
        <v>4744</v>
      </c>
      <c r="L2235">
        <v>67.430000000000007</v>
      </c>
      <c r="M2235">
        <v>44.953333000000001</v>
      </c>
      <c r="N2235" t="s">
        <v>5191</v>
      </c>
      <c r="O2235" t="s">
        <v>462</v>
      </c>
    </row>
    <row r="2236" spans="1:15" x14ac:dyDescent="0.3">
      <c r="A2236">
        <v>226917</v>
      </c>
      <c r="B2236">
        <v>105</v>
      </c>
      <c r="C2236" t="s">
        <v>557</v>
      </c>
      <c r="D2236" t="s">
        <v>2563</v>
      </c>
      <c r="E2236" t="s">
        <v>3111</v>
      </c>
      <c r="F2236" s="451">
        <v>46128</v>
      </c>
      <c r="G2236">
        <v>24083</v>
      </c>
      <c r="H2236" t="s">
        <v>5165</v>
      </c>
      <c r="I2236" t="s">
        <v>5191</v>
      </c>
      <c r="J2236">
        <v>60</v>
      </c>
      <c r="K2236" t="s">
        <v>4744</v>
      </c>
      <c r="L2236">
        <v>313.2</v>
      </c>
      <c r="M2236">
        <v>5.22</v>
      </c>
      <c r="N2236" t="s">
        <v>5191</v>
      </c>
      <c r="O2236" t="s">
        <v>462</v>
      </c>
    </row>
    <row r="2237" spans="1:15" x14ac:dyDescent="0.3">
      <c r="A2237">
        <v>226917</v>
      </c>
      <c r="B2237">
        <v>105</v>
      </c>
      <c r="C2237" t="s">
        <v>557</v>
      </c>
      <c r="D2237" t="s">
        <v>2563</v>
      </c>
      <c r="E2237" t="s">
        <v>3111</v>
      </c>
      <c r="F2237" s="451">
        <v>46128</v>
      </c>
      <c r="G2237">
        <v>23113</v>
      </c>
      <c r="H2237" t="s">
        <v>5074</v>
      </c>
      <c r="I2237" t="s">
        <v>5191</v>
      </c>
      <c r="J2237">
        <v>0.7</v>
      </c>
      <c r="K2237" t="s">
        <v>4744</v>
      </c>
      <c r="L2237">
        <v>10.15</v>
      </c>
      <c r="M2237">
        <v>14.5</v>
      </c>
      <c r="N2237" t="s">
        <v>5191</v>
      </c>
      <c r="O2237" t="s">
        <v>462</v>
      </c>
    </row>
    <row r="2238" spans="1:15" x14ac:dyDescent="0.3">
      <c r="A2238">
        <v>226916</v>
      </c>
      <c r="B2238">
        <v>105</v>
      </c>
      <c r="C2238" t="s">
        <v>557</v>
      </c>
      <c r="D2238" t="s">
        <v>2593</v>
      </c>
      <c r="E2238" t="s">
        <v>3112</v>
      </c>
      <c r="F2238" s="451">
        <v>46127</v>
      </c>
      <c r="G2238">
        <v>24256</v>
      </c>
      <c r="H2238" t="s">
        <v>4773</v>
      </c>
      <c r="I2238" t="s">
        <v>5191</v>
      </c>
      <c r="J2238">
        <v>20</v>
      </c>
      <c r="K2238" t="s">
        <v>4744</v>
      </c>
      <c r="L2238">
        <v>750</v>
      </c>
      <c r="M2238">
        <v>37.5</v>
      </c>
      <c r="N2238" t="s">
        <v>5191</v>
      </c>
      <c r="O2238" t="s">
        <v>462</v>
      </c>
    </row>
    <row r="2239" spans="1:15" x14ac:dyDescent="0.3">
      <c r="A2239">
        <v>226915</v>
      </c>
      <c r="B2239">
        <v>105</v>
      </c>
      <c r="C2239" t="s">
        <v>557</v>
      </c>
      <c r="D2239" t="s">
        <v>2593</v>
      </c>
      <c r="E2239" t="s">
        <v>3113</v>
      </c>
      <c r="F2239" s="451">
        <v>46128</v>
      </c>
      <c r="G2239">
        <v>18732</v>
      </c>
      <c r="H2239" t="s">
        <v>5156</v>
      </c>
      <c r="I2239" t="s">
        <v>5191</v>
      </c>
      <c r="J2239">
        <v>10</v>
      </c>
      <c r="K2239" t="s">
        <v>4744</v>
      </c>
      <c r="L2239">
        <v>720</v>
      </c>
      <c r="M2239">
        <v>72</v>
      </c>
      <c r="N2239" t="s">
        <v>5272</v>
      </c>
      <c r="O2239" t="s">
        <v>462</v>
      </c>
    </row>
    <row r="2240" spans="1:15" x14ac:dyDescent="0.3">
      <c r="A2240">
        <v>226914</v>
      </c>
      <c r="B2240">
        <v>105</v>
      </c>
      <c r="C2240" t="s">
        <v>557</v>
      </c>
      <c r="D2240" t="s">
        <v>3066</v>
      </c>
      <c r="E2240" t="s">
        <v>3114</v>
      </c>
      <c r="F2240" s="451">
        <v>46128</v>
      </c>
      <c r="G2240">
        <v>28663</v>
      </c>
      <c r="H2240" t="s">
        <v>5353</v>
      </c>
      <c r="I2240" t="s">
        <v>5188</v>
      </c>
      <c r="J2240">
        <v>1</v>
      </c>
      <c r="K2240" t="s">
        <v>4749</v>
      </c>
      <c r="L2240">
        <v>140</v>
      </c>
      <c r="M2240">
        <v>140</v>
      </c>
      <c r="N2240" t="s">
        <v>5342</v>
      </c>
      <c r="O2240" t="s">
        <v>462</v>
      </c>
    </row>
    <row r="2241" spans="1:15" x14ac:dyDescent="0.3">
      <c r="A2241">
        <v>226914</v>
      </c>
      <c r="B2241">
        <v>105</v>
      </c>
      <c r="C2241" t="s">
        <v>557</v>
      </c>
      <c r="D2241" t="s">
        <v>3066</v>
      </c>
      <c r="E2241" t="s">
        <v>3114</v>
      </c>
      <c r="F2241" s="451">
        <v>46128</v>
      </c>
      <c r="G2241">
        <v>28659</v>
      </c>
      <c r="H2241" t="s">
        <v>5354</v>
      </c>
      <c r="I2241" t="s">
        <v>5188</v>
      </c>
      <c r="J2241">
        <v>1</v>
      </c>
      <c r="K2241" t="s">
        <v>4749</v>
      </c>
      <c r="L2241">
        <v>247</v>
      </c>
      <c r="M2241">
        <v>247</v>
      </c>
      <c r="N2241" t="s">
        <v>5342</v>
      </c>
      <c r="O2241" t="s">
        <v>462</v>
      </c>
    </row>
    <row r="2242" spans="1:15" x14ac:dyDescent="0.3">
      <c r="A2242">
        <v>226913</v>
      </c>
      <c r="B2242">
        <v>105</v>
      </c>
      <c r="C2242" t="s">
        <v>557</v>
      </c>
      <c r="D2242" t="s">
        <v>2557</v>
      </c>
      <c r="E2242" t="s">
        <v>3115</v>
      </c>
      <c r="F2242" s="451">
        <v>46128</v>
      </c>
      <c r="G2242">
        <v>24527</v>
      </c>
      <c r="H2242" t="s">
        <v>5313</v>
      </c>
      <c r="I2242" t="s">
        <v>5215</v>
      </c>
      <c r="J2242">
        <v>1</v>
      </c>
      <c r="K2242" t="s">
        <v>4749</v>
      </c>
      <c r="L2242">
        <v>1017.5</v>
      </c>
      <c r="M2242">
        <v>1017.5</v>
      </c>
      <c r="N2242" t="s">
        <v>5280</v>
      </c>
      <c r="O2242" t="s">
        <v>462</v>
      </c>
    </row>
    <row r="2243" spans="1:15" x14ac:dyDescent="0.3">
      <c r="A2243">
        <v>226913</v>
      </c>
      <c r="B2243">
        <v>105</v>
      </c>
      <c r="C2243" t="s">
        <v>557</v>
      </c>
      <c r="D2243" t="s">
        <v>2557</v>
      </c>
      <c r="E2243" t="s">
        <v>3115</v>
      </c>
      <c r="F2243" s="451">
        <v>46128</v>
      </c>
      <c r="G2243">
        <v>21716</v>
      </c>
      <c r="H2243" t="s">
        <v>5281</v>
      </c>
      <c r="I2243" t="s">
        <v>5215</v>
      </c>
      <c r="J2243">
        <v>1</v>
      </c>
      <c r="K2243" t="s">
        <v>4749</v>
      </c>
      <c r="L2243">
        <v>410</v>
      </c>
      <c r="M2243">
        <v>410</v>
      </c>
      <c r="N2243" t="s">
        <v>5280</v>
      </c>
      <c r="O2243" t="s">
        <v>462</v>
      </c>
    </row>
    <row r="2244" spans="1:15" x14ac:dyDescent="0.3">
      <c r="A2244">
        <v>226913</v>
      </c>
      <c r="B2244">
        <v>105</v>
      </c>
      <c r="C2244" t="s">
        <v>557</v>
      </c>
      <c r="D2244" t="s">
        <v>2557</v>
      </c>
      <c r="E2244" t="s">
        <v>3115</v>
      </c>
      <c r="F2244" s="451">
        <v>46128</v>
      </c>
      <c r="G2244">
        <v>17465</v>
      </c>
      <c r="H2244" t="s">
        <v>5279</v>
      </c>
      <c r="I2244" t="s">
        <v>5215</v>
      </c>
      <c r="J2244">
        <v>1</v>
      </c>
      <c r="K2244" t="s">
        <v>4749</v>
      </c>
      <c r="L2244">
        <v>692.5</v>
      </c>
      <c r="M2244">
        <v>692.5</v>
      </c>
      <c r="N2244" t="s">
        <v>5280</v>
      </c>
      <c r="O2244" t="s">
        <v>462</v>
      </c>
    </row>
    <row r="2245" spans="1:15" x14ac:dyDescent="0.3">
      <c r="A2245">
        <v>225537</v>
      </c>
      <c r="B2245">
        <v>105</v>
      </c>
      <c r="C2245" t="s">
        <v>557</v>
      </c>
      <c r="D2245" t="s">
        <v>2653</v>
      </c>
      <c r="E2245" t="s">
        <v>3116</v>
      </c>
      <c r="F2245" s="451">
        <v>46125</v>
      </c>
      <c r="G2245">
        <v>24200</v>
      </c>
      <c r="H2245" t="s">
        <v>4820</v>
      </c>
      <c r="I2245" t="s">
        <v>5191</v>
      </c>
      <c r="J2245">
        <v>5</v>
      </c>
      <c r="K2245" t="s">
        <v>4744</v>
      </c>
      <c r="L2245">
        <v>164.5</v>
      </c>
      <c r="M2245">
        <v>32.9</v>
      </c>
      <c r="N2245" t="s">
        <v>5191</v>
      </c>
      <c r="O2245" t="s">
        <v>462</v>
      </c>
    </row>
    <row r="2246" spans="1:15" x14ac:dyDescent="0.3">
      <c r="A2246">
        <v>225536</v>
      </c>
      <c r="B2246">
        <v>105</v>
      </c>
      <c r="C2246" t="s">
        <v>557</v>
      </c>
      <c r="D2246" t="s">
        <v>2991</v>
      </c>
      <c r="E2246" t="s">
        <v>3117</v>
      </c>
      <c r="F2246" s="451">
        <v>46125</v>
      </c>
      <c r="G2246">
        <v>17958</v>
      </c>
      <c r="H2246" t="s">
        <v>5076</v>
      </c>
      <c r="I2246" t="s">
        <v>5222</v>
      </c>
      <c r="J2246">
        <v>20</v>
      </c>
      <c r="K2246" t="s">
        <v>4738</v>
      </c>
      <c r="L2246">
        <v>331.4</v>
      </c>
      <c r="M2246">
        <v>16.57</v>
      </c>
      <c r="N2246" t="s">
        <v>5222</v>
      </c>
      <c r="O2246" t="s">
        <v>462</v>
      </c>
    </row>
    <row r="2247" spans="1:15" x14ac:dyDescent="0.3">
      <c r="A2247">
        <v>225536</v>
      </c>
      <c r="B2247">
        <v>105</v>
      </c>
      <c r="C2247" t="s">
        <v>557</v>
      </c>
      <c r="D2247" t="s">
        <v>2991</v>
      </c>
      <c r="E2247" t="s">
        <v>3117</v>
      </c>
      <c r="F2247" s="451">
        <v>46125</v>
      </c>
      <c r="G2247">
        <v>17950</v>
      </c>
      <c r="H2247" t="s">
        <v>5091</v>
      </c>
      <c r="I2247" t="s">
        <v>5222</v>
      </c>
      <c r="J2247">
        <v>10</v>
      </c>
      <c r="K2247" t="s">
        <v>4738</v>
      </c>
      <c r="L2247">
        <v>174.8</v>
      </c>
      <c r="M2247">
        <v>17.48</v>
      </c>
      <c r="N2247" t="s">
        <v>5222</v>
      </c>
      <c r="O2247" t="s">
        <v>462</v>
      </c>
    </row>
    <row r="2248" spans="1:15" x14ac:dyDescent="0.3">
      <c r="A2248">
        <v>225535</v>
      </c>
      <c r="B2248">
        <v>105</v>
      </c>
      <c r="C2248" t="s">
        <v>557</v>
      </c>
      <c r="D2248" t="s">
        <v>2557</v>
      </c>
      <c r="E2248" t="s">
        <v>3118</v>
      </c>
      <c r="F2248" s="451">
        <v>46120</v>
      </c>
      <c r="G2248">
        <v>17465</v>
      </c>
      <c r="H2248" t="s">
        <v>5279</v>
      </c>
      <c r="I2248" t="s">
        <v>5215</v>
      </c>
      <c r="J2248">
        <v>1</v>
      </c>
      <c r="K2248" t="s">
        <v>4749</v>
      </c>
      <c r="L2248">
        <v>764.13</v>
      </c>
      <c r="M2248">
        <v>764.13</v>
      </c>
      <c r="N2248" t="s">
        <v>5280</v>
      </c>
      <c r="O2248" t="s">
        <v>462</v>
      </c>
    </row>
    <row r="2249" spans="1:15" x14ac:dyDescent="0.3">
      <c r="A2249">
        <v>225535</v>
      </c>
      <c r="B2249">
        <v>105</v>
      </c>
      <c r="C2249" t="s">
        <v>557</v>
      </c>
      <c r="D2249" t="s">
        <v>2557</v>
      </c>
      <c r="E2249" t="s">
        <v>3118</v>
      </c>
      <c r="F2249" s="451">
        <v>46120</v>
      </c>
      <c r="G2249">
        <v>21716</v>
      </c>
      <c r="H2249" t="s">
        <v>5281</v>
      </c>
      <c r="I2249" t="s">
        <v>5215</v>
      </c>
      <c r="J2249">
        <v>1</v>
      </c>
      <c r="K2249" t="s">
        <v>4749</v>
      </c>
      <c r="L2249">
        <v>455</v>
      </c>
      <c r="M2249">
        <v>455</v>
      </c>
      <c r="N2249" t="s">
        <v>5280</v>
      </c>
      <c r="O2249" t="s">
        <v>462</v>
      </c>
    </row>
    <row r="2250" spans="1:15" x14ac:dyDescent="0.3">
      <c r="A2250">
        <v>225534</v>
      </c>
      <c r="B2250">
        <v>105</v>
      </c>
      <c r="C2250" t="s">
        <v>557</v>
      </c>
      <c r="D2250" t="s">
        <v>2991</v>
      </c>
      <c r="E2250" t="s">
        <v>3119</v>
      </c>
      <c r="F2250" s="451">
        <v>46126</v>
      </c>
      <c r="G2250">
        <v>17950</v>
      </c>
      <c r="H2250" t="s">
        <v>5091</v>
      </c>
      <c r="I2250" t="s">
        <v>5222</v>
      </c>
      <c r="J2250">
        <v>12</v>
      </c>
      <c r="K2250" t="s">
        <v>4738</v>
      </c>
      <c r="L2250">
        <v>209.76</v>
      </c>
      <c r="M2250">
        <v>17.48</v>
      </c>
      <c r="N2250" t="s">
        <v>5222</v>
      </c>
      <c r="O2250" t="s">
        <v>462</v>
      </c>
    </row>
    <row r="2251" spans="1:15" x14ac:dyDescent="0.3">
      <c r="A2251">
        <v>225533</v>
      </c>
      <c r="B2251">
        <v>105</v>
      </c>
      <c r="C2251" t="s">
        <v>557</v>
      </c>
      <c r="D2251" t="s">
        <v>2554</v>
      </c>
      <c r="E2251" t="s">
        <v>3120</v>
      </c>
      <c r="F2251" s="451">
        <v>46127</v>
      </c>
      <c r="G2251">
        <v>17437</v>
      </c>
      <c r="H2251" t="s">
        <v>5203</v>
      </c>
      <c r="I2251" t="s">
        <v>5188</v>
      </c>
      <c r="J2251">
        <v>10</v>
      </c>
      <c r="K2251" t="s">
        <v>4736</v>
      </c>
      <c r="L2251">
        <v>23</v>
      </c>
      <c r="M2251">
        <v>2.2999999999999998</v>
      </c>
      <c r="N2251" t="s">
        <v>5277</v>
      </c>
      <c r="O2251" t="s">
        <v>462</v>
      </c>
    </row>
    <row r="2252" spans="1:15" x14ac:dyDescent="0.3">
      <c r="A2252">
        <v>225533</v>
      </c>
      <c r="B2252">
        <v>105</v>
      </c>
      <c r="C2252" t="s">
        <v>557</v>
      </c>
      <c r="D2252" t="s">
        <v>2554</v>
      </c>
      <c r="E2252" t="s">
        <v>3120</v>
      </c>
      <c r="F2252" s="451">
        <v>46127</v>
      </c>
      <c r="G2252">
        <v>17314</v>
      </c>
      <c r="H2252" t="s">
        <v>5208</v>
      </c>
      <c r="I2252" t="s">
        <v>5188</v>
      </c>
      <c r="J2252">
        <v>3</v>
      </c>
      <c r="K2252" t="s">
        <v>4848</v>
      </c>
      <c r="L2252">
        <v>29.7</v>
      </c>
      <c r="M2252">
        <v>9.9</v>
      </c>
      <c r="N2252" t="s">
        <v>5277</v>
      </c>
      <c r="O2252" t="s">
        <v>462</v>
      </c>
    </row>
    <row r="2253" spans="1:15" x14ac:dyDescent="0.3">
      <c r="A2253">
        <v>225533</v>
      </c>
      <c r="B2253">
        <v>105</v>
      </c>
      <c r="C2253" t="s">
        <v>557</v>
      </c>
      <c r="D2253" t="s">
        <v>2554</v>
      </c>
      <c r="E2253" t="s">
        <v>3120</v>
      </c>
      <c r="F2253" s="451">
        <v>46127</v>
      </c>
      <c r="G2253">
        <v>17383</v>
      </c>
      <c r="H2253" t="s">
        <v>5355</v>
      </c>
      <c r="I2253" t="s">
        <v>5188</v>
      </c>
      <c r="J2253">
        <v>1</v>
      </c>
      <c r="K2253" t="s">
        <v>4736</v>
      </c>
      <c r="L2253">
        <v>45</v>
      </c>
      <c r="M2253">
        <v>45</v>
      </c>
      <c r="N2253" t="s">
        <v>5277</v>
      </c>
      <c r="O2253" t="s">
        <v>462</v>
      </c>
    </row>
    <row r="2254" spans="1:15" x14ac:dyDescent="0.3">
      <c r="A2254">
        <v>225533</v>
      </c>
      <c r="B2254">
        <v>105</v>
      </c>
      <c r="C2254" t="s">
        <v>557</v>
      </c>
      <c r="D2254" t="s">
        <v>2554</v>
      </c>
      <c r="E2254" t="s">
        <v>3120</v>
      </c>
      <c r="F2254" s="451">
        <v>46127</v>
      </c>
      <c r="G2254">
        <v>17304</v>
      </c>
      <c r="H2254" t="s">
        <v>5195</v>
      </c>
      <c r="I2254" t="s">
        <v>5188</v>
      </c>
      <c r="J2254">
        <v>3</v>
      </c>
      <c r="K2254" t="s">
        <v>4848</v>
      </c>
      <c r="L2254">
        <v>19.77</v>
      </c>
      <c r="M2254">
        <v>6.59</v>
      </c>
      <c r="N2254" t="s">
        <v>5277</v>
      </c>
      <c r="O2254" t="s">
        <v>462</v>
      </c>
    </row>
    <row r="2255" spans="1:15" x14ac:dyDescent="0.3">
      <c r="A2255">
        <v>225533</v>
      </c>
      <c r="B2255">
        <v>105</v>
      </c>
      <c r="C2255" t="s">
        <v>557</v>
      </c>
      <c r="D2255" t="s">
        <v>2554</v>
      </c>
      <c r="E2255" t="s">
        <v>3120</v>
      </c>
      <c r="F2255" s="451">
        <v>46127</v>
      </c>
      <c r="G2255">
        <v>17266</v>
      </c>
      <c r="H2255" t="s">
        <v>5192</v>
      </c>
      <c r="I2255" t="s">
        <v>5188</v>
      </c>
      <c r="J2255">
        <v>2</v>
      </c>
      <c r="K2255" t="s">
        <v>4736</v>
      </c>
      <c r="L2255">
        <v>9.7799999999999994</v>
      </c>
      <c r="M2255">
        <v>4.8899999999999997</v>
      </c>
      <c r="N2255" t="s">
        <v>5277</v>
      </c>
      <c r="O2255" t="s">
        <v>462</v>
      </c>
    </row>
    <row r="2256" spans="1:15" x14ac:dyDescent="0.3">
      <c r="A2256">
        <v>225533</v>
      </c>
      <c r="B2256">
        <v>105</v>
      </c>
      <c r="C2256" t="s">
        <v>557</v>
      </c>
      <c r="D2256" t="s">
        <v>2554</v>
      </c>
      <c r="E2256" t="s">
        <v>3120</v>
      </c>
      <c r="F2256" s="451">
        <v>46127</v>
      </c>
      <c r="G2256">
        <v>17196</v>
      </c>
      <c r="H2256" t="s">
        <v>5258</v>
      </c>
      <c r="I2256" t="s">
        <v>5188</v>
      </c>
      <c r="J2256">
        <v>1</v>
      </c>
      <c r="K2256" t="s">
        <v>4738</v>
      </c>
      <c r="L2256">
        <v>6.38</v>
      </c>
      <c r="M2256">
        <v>6.38</v>
      </c>
      <c r="N2256" t="s">
        <v>5277</v>
      </c>
      <c r="O2256" t="s">
        <v>462</v>
      </c>
    </row>
    <row r="2257" spans="1:15" x14ac:dyDescent="0.3">
      <c r="A2257">
        <v>225533</v>
      </c>
      <c r="B2257">
        <v>105</v>
      </c>
      <c r="C2257" t="s">
        <v>557</v>
      </c>
      <c r="D2257" t="s">
        <v>2554</v>
      </c>
      <c r="E2257" t="s">
        <v>3120</v>
      </c>
      <c r="F2257" s="451">
        <v>46127</v>
      </c>
      <c r="G2257">
        <v>17341</v>
      </c>
      <c r="H2257" t="s">
        <v>5291</v>
      </c>
      <c r="I2257" t="s">
        <v>5188</v>
      </c>
      <c r="J2257">
        <v>3</v>
      </c>
      <c r="K2257" t="s">
        <v>4888</v>
      </c>
      <c r="L2257">
        <v>224.4</v>
      </c>
      <c r="M2257">
        <v>74.8</v>
      </c>
      <c r="N2257" t="s">
        <v>5277</v>
      </c>
      <c r="O2257" t="s">
        <v>462</v>
      </c>
    </row>
    <row r="2258" spans="1:15" x14ac:dyDescent="0.3">
      <c r="A2258">
        <v>225533</v>
      </c>
      <c r="B2258">
        <v>105</v>
      </c>
      <c r="C2258" t="s">
        <v>557</v>
      </c>
      <c r="D2258" t="s">
        <v>2554</v>
      </c>
      <c r="E2258" t="s">
        <v>3120</v>
      </c>
      <c r="F2258" s="451">
        <v>46127</v>
      </c>
      <c r="G2258">
        <v>17215</v>
      </c>
      <c r="H2258" t="s">
        <v>5299</v>
      </c>
      <c r="I2258" t="s">
        <v>5188</v>
      </c>
      <c r="J2258">
        <v>5</v>
      </c>
      <c r="K2258" t="s">
        <v>4848</v>
      </c>
      <c r="L2258">
        <v>99.95</v>
      </c>
      <c r="M2258">
        <v>19.989999999999998</v>
      </c>
      <c r="N2258" t="s">
        <v>5277</v>
      </c>
      <c r="O2258" t="s">
        <v>462</v>
      </c>
    </row>
    <row r="2259" spans="1:15" x14ac:dyDescent="0.3">
      <c r="A2259">
        <v>225533</v>
      </c>
      <c r="B2259">
        <v>105</v>
      </c>
      <c r="C2259" t="s">
        <v>557</v>
      </c>
      <c r="D2259" t="s">
        <v>2554</v>
      </c>
      <c r="E2259" t="s">
        <v>3120</v>
      </c>
      <c r="F2259" s="451">
        <v>46127</v>
      </c>
      <c r="G2259">
        <v>17474</v>
      </c>
      <c r="H2259" t="s">
        <v>5213</v>
      </c>
      <c r="I2259" t="s">
        <v>5188</v>
      </c>
      <c r="J2259">
        <v>1</v>
      </c>
      <c r="K2259" t="s">
        <v>4749</v>
      </c>
      <c r="L2259">
        <v>75</v>
      </c>
      <c r="M2259">
        <v>75</v>
      </c>
      <c r="N2259" t="s">
        <v>5277</v>
      </c>
      <c r="O2259" t="s">
        <v>462</v>
      </c>
    </row>
    <row r="2260" spans="1:15" x14ac:dyDescent="0.3">
      <c r="A2260">
        <v>225533</v>
      </c>
      <c r="B2260">
        <v>105</v>
      </c>
      <c r="C2260" t="s">
        <v>557</v>
      </c>
      <c r="D2260" t="s">
        <v>2554</v>
      </c>
      <c r="E2260" t="s">
        <v>3120</v>
      </c>
      <c r="F2260" s="451">
        <v>46127</v>
      </c>
      <c r="G2260">
        <v>24596</v>
      </c>
      <c r="H2260" t="s">
        <v>5197</v>
      </c>
      <c r="I2260" t="s">
        <v>5188</v>
      </c>
      <c r="J2260">
        <v>3</v>
      </c>
      <c r="K2260" t="s">
        <v>4736</v>
      </c>
      <c r="L2260">
        <v>45</v>
      </c>
      <c r="M2260">
        <v>15</v>
      </c>
      <c r="N2260" t="s">
        <v>5277</v>
      </c>
      <c r="O2260" t="s">
        <v>462</v>
      </c>
    </row>
    <row r="2261" spans="1:15" x14ac:dyDescent="0.3">
      <c r="A2261">
        <v>225533</v>
      </c>
      <c r="B2261">
        <v>105</v>
      </c>
      <c r="C2261" t="s">
        <v>557</v>
      </c>
      <c r="D2261" t="s">
        <v>2554</v>
      </c>
      <c r="E2261" t="s">
        <v>3120</v>
      </c>
      <c r="F2261" s="451">
        <v>46127</v>
      </c>
      <c r="G2261">
        <v>26554</v>
      </c>
      <c r="H2261" t="s">
        <v>5319</v>
      </c>
      <c r="I2261" t="s">
        <v>5215</v>
      </c>
      <c r="J2261">
        <v>1</v>
      </c>
      <c r="K2261" t="s">
        <v>4749</v>
      </c>
      <c r="L2261">
        <v>350</v>
      </c>
      <c r="M2261">
        <v>350</v>
      </c>
      <c r="N2261" t="s">
        <v>5277</v>
      </c>
      <c r="O2261" t="s">
        <v>462</v>
      </c>
    </row>
    <row r="2262" spans="1:15" x14ac:dyDescent="0.3">
      <c r="A2262">
        <v>225533</v>
      </c>
      <c r="B2262">
        <v>105</v>
      </c>
      <c r="C2262" t="s">
        <v>557</v>
      </c>
      <c r="D2262" t="s">
        <v>2554</v>
      </c>
      <c r="E2262" t="s">
        <v>3120</v>
      </c>
      <c r="F2262" s="451">
        <v>46127</v>
      </c>
      <c r="G2262">
        <v>25087</v>
      </c>
      <c r="H2262" t="s">
        <v>5356</v>
      </c>
      <c r="J2262">
        <v>2</v>
      </c>
      <c r="K2262" t="s">
        <v>4736</v>
      </c>
      <c r="L2262">
        <v>25</v>
      </c>
      <c r="M2262">
        <v>12.5</v>
      </c>
      <c r="N2262" t="s">
        <v>5277</v>
      </c>
      <c r="O2262" t="s">
        <v>462</v>
      </c>
    </row>
    <row r="2263" spans="1:15" x14ac:dyDescent="0.3">
      <c r="A2263">
        <v>225533</v>
      </c>
      <c r="B2263">
        <v>105</v>
      </c>
      <c r="C2263" t="s">
        <v>557</v>
      </c>
      <c r="D2263" t="s">
        <v>2554</v>
      </c>
      <c r="E2263" t="s">
        <v>3120</v>
      </c>
      <c r="F2263" s="451">
        <v>46127</v>
      </c>
      <c r="G2263">
        <v>26224</v>
      </c>
      <c r="H2263" t="s">
        <v>5214</v>
      </c>
      <c r="I2263" t="s">
        <v>5215</v>
      </c>
      <c r="J2263">
        <v>7</v>
      </c>
      <c r="K2263" t="s">
        <v>4736</v>
      </c>
      <c r="L2263">
        <v>55.3</v>
      </c>
      <c r="M2263">
        <v>7.9</v>
      </c>
      <c r="N2263" t="s">
        <v>5277</v>
      </c>
      <c r="O2263" t="s">
        <v>462</v>
      </c>
    </row>
    <row r="2264" spans="1:15" x14ac:dyDescent="0.3">
      <c r="A2264">
        <v>225533</v>
      </c>
      <c r="B2264">
        <v>105</v>
      </c>
      <c r="C2264" t="s">
        <v>557</v>
      </c>
      <c r="D2264" t="s">
        <v>2554</v>
      </c>
      <c r="E2264" t="s">
        <v>3120</v>
      </c>
      <c r="F2264" s="451">
        <v>46127</v>
      </c>
      <c r="G2264">
        <v>24505</v>
      </c>
      <c r="H2264" t="s">
        <v>5198</v>
      </c>
      <c r="I2264" t="s">
        <v>5188</v>
      </c>
      <c r="J2264">
        <v>4</v>
      </c>
      <c r="K2264" t="s">
        <v>4738</v>
      </c>
      <c r="L2264">
        <v>19.920000000000002</v>
      </c>
      <c r="M2264">
        <v>4.9800000000000004</v>
      </c>
      <c r="N2264" t="s">
        <v>5277</v>
      </c>
      <c r="O2264" t="s">
        <v>462</v>
      </c>
    </row>
    <row r="2265" spans="1:15" x14ac:dyDescent="0.3">
      <c r="A2265">
        <v>225533</v>
      </c>
      <c r="B2265">
        <v>105</v>
      </c>
      <c r="C2265" t="s">
        <v>557</v>
      </c>
      <c r="D2265" t="s">
        <v>2554</v>
      </c>
      <c r="E2265" t="s">
        <v>3120</v>
      </c>
      <c r="F2265" s="451">
        <v>46127</v>
      </c>
      <c r="G2265">
        <v>17418</v>
      </c>
      <c r="H2265" t="s">
        <v>5207</v>
      </c>
      <c r="I2265" t="s">
        <v>5188</v>
      </c>
      <c r="J2265">
        <v>2</v>
      </c>
      <c r="K2265" t="s">
        <v>4749</v>
      </c>
      <c r="L2265">
        <v>117.8</v>
      </c>
      <c r="M2265">
        <v>58.9</v>
      </c>
      <c r="N2265" t="s">
        <v>5277</v>
      </c>
      <c r="O2265" t="s">
        <v>462</v>
      </c>
    </row>
    <row r="2266" spans="1:15" x14ac:dyDescent="0.3">
      <c r="A2266">
        <v>225533</v>
      </c>
      <c r="B2266">
        <v>105</v>
      </c>
      <c r="C2266" t="s">
        <v>557</v>
      </c>
      <c r="D2266" t="s">
        <v>2554</v>
      </c>
      <c r="E2266" t="s">
        <v>3120</v>
      </c>
      <c r="F2266" s="451">
        <v>46127</v>
      </c>
      <c r="G2266">
        <v>28703</v>
      </c>
      <c r="H2266" t="s">
        <v>5357</v>
      </c>
      <c r="I2266" t="s">
        <v>5215</v>
      </c>
      <c r="J2266">
        <v>2</v>
      </c>
      <c r="K2266" t="s">
        <v>4736</v>
      </c>
      <c r="L2266">
        <v>56</v>
      </c>
      <c r="M2266">
        <v>28</v>
      </c>
      <c r="N2266" t="s">
        <v>5277</v>
      </c>
      <c r="O2266" t="s">
        <v>462</v>
      </c>
    </row>
    <row r="2267" spans="1:15" x14ac:dyDescent="0.3">
      <c r="A2267">
        <v>225533</v>
      </c>
      <c r="B2267">
        <v>105</v>
      </c>
      <c r="C2267" t="s">
        <v>557</v>
      </c>
      <c r="D2267" t="s">
        <v>2554</v>
      </c>
      <c r="E2267" t="s">
        <v>3120</v>
      </c>
      <c r="F2267" s="451">
        <v>46127</v>
      </c>
      <c r="G2267">
        <v>17162</v>
      </c>
      <c r="H2267" t="s">
        <v>5255</v>
      </c>
      <c r="I2267" t="s">
        <v>5188</v>
      </c>
      <c r="J2267">
        <v>1</v>
      </c>
      <c r="K2267" t="s">
        <v>4736</v>
      </c>
      <c r="L2267">
        <v>58.9</v>
      </c>
      <c r="M2267">
        <v>58.9</v>
      </c>
      <c r="N2267" t="s">
        <v>5277</v>
      </c>
      <c r="O2267" t="s">
        <v>462</v>
      </c>
    </row>
    <row r="2268" spans="1:15" x14ac:dyDescent="0.3">
      <c r="A2268">
        <v>225532</v>
      </c>
      <c r="B2268">
        <v>105</v>
      </c>
      <c r="C2268" t="s">
        <v>557</v>
      </c>
      <c r="D2268" t="s">
        <v>2554</v>
      </c>
      <c r="E2268" t="s">
        <v>3121</v>
      </c>
      <c r="F2268" s="451">
        <v>46118</v>
      </c>
      <c r="G2268">
        <v>17437</v>
      </c>
      <c r="H2268" t="s">
        <v>5203</v>
      </c>
      <c r="I2268" t="s">
        <v>5188</v>
      </c>
      <c r="J2268">
        <v>20</v>
      </c>
      <c r="K2268" t="s">
        <v>4736</v>
      </c>
      <c r="L2268">
        <v>46</v>
      </c>
      <c r="M2268">
        <v>2.2999999999999998</v>
      </c>
      <c r="N2268" t="s">
        <v>5277</v>
      </c>
      <c r="O2268" t="s">
        <v>462</v>
      </c>
    </row>
    <row r="2269" spans="1:15" x14ac:dyDescent="0.3">
      <c r="A2269">
        <v>225532</v>
      </c>
      <c r="B2269">
        <v>105</v>
      </c>
      <c r="C2269" t="s">
        <v>557</v>
      </c>
      <c r="D2269" t="s">
        <v>2554</v>
      </c>
      <c r="E2269" t="s">
        <v>3121</v>
      </c>
      <c r="F2269" s="451">
        <v>46118</v>
      </c>
      <c r="G2269">
        <v>17046</v>
      </c>
      <c r="H2269" t="s">
        <v>5194</v>
      </c>
      <c r="I2269" t="s">
        <v>5188</v>
      </c>
      <c r="J2269">
        <v>1</v>
      </c>
      <c r="K2269" t="s">
        <v>4736</v>
      </c>
      <c r="L2269">
        <v>34.5</v>
      </c>
      <c r="M2269">
        <v>34.5</v>
      </c>
      <c r="N2269" t="s">
        <v>5277</v>
      </c>
      <c r="O2269" t="s">
        <v>462</v>
      </c>
    </row>
    <row r="2270" spans="1:15" x14ac:dyDescent="0.3">
      <c r="A2270">
        <v>225532</v>
      </c>
      <c r="B2270">
        <v>105</v>
      </c>
      <c r="C2270" t="s">
        <v>557</v>
      </c>
      <c r="D2270" t="s">
        <v>2554</v>
      </c>
      <c r="E2270" t="s">
        <v>3121</v>
      </c>
      <c r="F2270" s="451">
        <v>46118</v>
      </c>
      <c r="G2270">
        <v>17304</v>
      </c>
      <c r="H2270" t="s">
        <v>5195</v>
      </c>
      <c r="I2270" t="s">
        <v>5188</v>
      </c>
      <c r="J2270">
        <v>3</v>
      </c>
      <c r="K2270" t="s">
        <v>4848</v>
      </c>
      <c r="L2270">
        <v>19.77</v>
      </c>
      <c r="M2270">
        <v>6.59</v>
      </c>
      <c r="N2270" t="s">
        <v>5277</v>
      </c>
      <c r="O2270" t="s">
        <v>462</v>
      </c>
    </row>
    <row r="2271" spans="1:15" x14ac:dyDescent="0.3">
      <c r="A2271">
        <v>225532</v>
      </c>
      <c r="B2271">
        <v>105</v>
      </c>
      <c r="C2271" t="s">
        <v>557</v>
      </c>
      <c r="D2271" t="s">
        <v>2554</v>
      </c>
      <c r="E2271" t="s">
        <v>3121</v>
      </c>
      <c r="F2271" s="451">
        <v>46118</v>
      </c>
      <c r="G2271">
        <v>17266</v>
      </c>
      <c r="H2271" t="s">
        <v>5192</v>
      </c>
      <c r="I2271" t="s">
        <v>5188</v>
      </c>
      <c r="J2271">
        <v>4</v>
      </c>
      <c r="K2271" t="s">
        <v>4736</v>
      </c>
      <c r="L2271">
        <v>18.600000000000001</v>
      </c>
      <c r="M2271">
        <v>4.6500000000000004</v>
      </c>
      <c r="N2271" t="s">
        <v>5277</v>
      </c>
      <c r="O2271" t="s">
        <v>462</v>
      </c>
    </row>
    <row r="2272" spans="1:15" x14ac:dyDescent="0.3">
      <c r="A2272">
        <v>225532</v>
      </c>
      <c r="B2272">
        <v>105</v>
      </c>
      <c r="C2272" t="s">
        <v>557</v>
      </c>
      <c r="D2272" t="s">
        <v>2554</v>
      </c>
      <c r="E2272" t="s">
        <v>3121</v>
      </c>
      <c r="F2272" s="451">
        <v>46118</v>
      </c>
      <c r="G2272">
        <v>24787</v>
      </c>
      <c r="H2272" t="s">
        <v>5212</v>
      </c>
      <c r="I2272" t="s">
        <v>5188</v>
      </c>
      <c r="J2272">
        <v>2</v>
      </c>
      <c r="K2272" t="s">
        <v>4738</v>
      </c>
      <c r="L2272">
        <v>164.42</v>
      </c>
      <c r="M2272">
        <v>82.21</v>
      </c>
      <c r="N2272" t="s">
        <v>5277</v>
      </c>
      <c r="O2272" t="s">
        <v>462</v>
      </c>
    </row>
    <row r="2273" spans="1:15" x14ac:dyDescent="0.3">
      <c r="A2273">
        <v>225532</v>
      </c>
      <c r="B2273">
        <v>105</v>
      </c>
      <c r="C2273" t="s">
        <v>557</v>
      </c>
      <c r="D2273" t="s">
        <v>2554</v>
      </c>
      <c r="E2273" t="s">
        <v>3121</v>
      </c>
      <c r="F2273" s="451">
        <v>46118</v>
      </c>
      <c r="G2273">
        <v>17190</v>
      </c>
      <c r="H2273" t="s">
        <v>5193</v>
      </c>
      <c r="I2273" t="s">
        <v>5188</v>
      </c>
      <c r="J2273">
        <v>2</v>
      </c>
      <c r="K2273" t="s">
        <v>4738</v>
      </c>
      <c r="L2273">
        <v>16.2</v>
      </c>
      <c r="M2273">
        <v>8.1</v>
      </c>
      <c r="N2273" t="s">
        <v>5277</v>
      </c>
      <c r="O2273" t="s">
        <v>462</v>
      </c>
    </row>
    <row r="2274" spans="1:15" x14ac:dyDescent="0.3">
      <c r="A2274">
        <v>225532</v>
      </c>
      <c r="B2274">
        <v>105</v>
      </c>
      <c r="C2274" t="s">
        <v>557</v>
      </c>
      <c r="D2274" t="s">
        <v>2554</v>
      </c>
      <c r="E2274" t="s">
        <v>3121</v>
      </c>
      <c r="F2274" s="451">
        <v>46118</v>
      </c>
      <c r="G2274">
        <v>17196</v>
      </c>
      <c r="H2274" t="s">
        <v>5258</v>
      </c>
      <c r="I2274" t="s">
        <v>5188</v>
      </c>
      <c r="J2274">
        <v>2</v>
      </c>
      <c r="K2274" t="s">
        <v>4738</v>
      </c>
      <c r="L2274">
        <v>12.76</v>
      </c>
      <c r="M2274">
        <v>6.38</v>
      </c>
      <c r="N2274" t="s">
        <v>5277</v>
      </c>
      <c r="O2274" t="s">
        <v>462</v>
      </c>
    </row>
    <row r="2275" spans="1:15" x14ac:dyDescent="0.3">
      <c r="A2275">
        <v>225532</v>
      </c>
      <c r="B2275">
        <v>105</v>
      </c>
      <c r="C2275" t="s">
        <v>557</v>
      </c>
      <c r="D2275" t="s">
        <v>2554</v>
      </c>
      <c r="E2275" t="s">
        <v>3121</v>
      </c>
      <c r="F2275" s="451">
        <v>46118</v>
      </c>
      <c r="G2275">
        <v>21783</v>
      </c>
      <c r="H2275" t="s">
        <v>5210</v>
      </c>
      <c r="I2275" t="s">
        <v>5205</v>
      </c>
      <c r="J2275">
        <v>2</v>
      </c>
      <c r="K2275" t="s">
        <v>4736</v>
      </c>
      <c r="L2275">
        <v>32</v>
      </c>
      <c r="M2275">
        <v>16</v>
      </c>
      <c r="N2275" t="s">
        <v>5277</v>
      </c>
      <c r="O2275" t="s">
        <v>462</v>
      </c>
    </row>
    <row r="2276" spans="1:15" x14ac:dyDescent="0.3">
      <c r="A2276">
        <v>225532</v>
      </c>
      <c r="B2276">
        <v>105</v>
      </c>
      <c r="C2276" t="s">
        <v>557</v>
      </c>
      <c r="D2276" t="s">
        <v>2554</v>
      </c>
      <c r="E2276" t="s">
        <v>3121</v>
      </c>
      <c r="F2276" s="451">
        <v>46118</v>
      </c>
      <c r="G2276">
        <v>17215</v>
      </c>
      <c r="H2276" t="s">
        <v>5299</v>
      </c>
      <c r="I2276" t="s">
        <v>5188</v>
      </c>
      <c r="J2276">
        <v>6</v>
      </c>
      <c r="K2276" t="s">
        <v>4848</v>
      </c>
      <c r="L2276">
        <v>119.94</v>
      </c>
      <c r="M2276">
        <v>19.989999999999998</v>
      </c>
      <c r="N2276" t="s">
        <v>5277</v>
      </c>
      <c r="O2276" t="s">
        <v>462</v>
      </c>
    </row>
    <row r="2277" spans="1:15" x14ac:dyDescent="0.3">
      <c r="A2277">
        <v>225532</v>
      </c>
      <c r="B2277">
        <v>105</v>
      </c>
      <c r="C2277" t="s">
        <v>557</v>
      </c>
      <c r="D2277" t="s">
        <v>2554</v>
      </c>
      <c r="E2277" t="s">
        <v>3121</v>
      </c>
      <c r="F2277" s="451">
        <v>46118</v>
      </c>
      <c r="G2277">
        <v>17532</v>
      </c>
      <c r="H2277" t="s">
        <v>5259</v>
      </c>
      <c r="I2277" t="s">
        <v>5188</v>
      </c>
      <c r="J2277">
        <v>1</v>
      </c>
      <c r="K2277" t="s">
        <v>4749</v>
      </c>
      <c r="L2277">
        <v>98</v>
      </c>
      <c r="M2277">
        <v>98</v>
      </c>
      <c r="N2277" t="s">
        <v>5277</v>
      </c>
      <c r="O2277" t="s">
        <v>462</v>
      </c>
    </row>
    <row r="2278" spans="1:15" x14ac:dyDescent="0.3">
      <c r="A2278">
        <v>225532</v>
      </c>
      <c r="B2278">
        <v>105</v>
      </c>
      <c r="C2278" t="s">
        <v>557</v>
      </c>
      <c r="D2278" t="s">
        <v>2554</v>
      </c>
      <c r="E2278" t="s">
        <v>3121</v>
      </c>
      <c r="F2278" s="451">
        <v>46118</v>
      </c>
      <c r="G2278">
        <v>17129</v>
      </c>
      <c r="H2278" t="s">
        <v>5202</v>
      </c>
      <c r="I2278" t="s">
        <v>5188</v>
      </c>
      <c r="J2278">
        <v>1</v>
      </c>
      <c r="K2278" t="s">
        <v>4738</v>
      </c>
      <c r="L2278">
        <v>26.61</v>
      </c>
      <c r="M2278">
        <v>26.61</v>
      </c>
      <c r="N2278" t="s">
        <v>5277</v>
      </c>
      <c r="O2278" t="s">
        <v>462</v>
      </c>
    </row>
    <row r="2279" spans="1:15" x14ac:dyDescent="0.3">
      <c r="A2279">
        <v>225532</v>
      </c>
      <c r="B2279">
        <v>105</v>
      </c>
      <c r="C2279" t="s">
        <v>557</v>
      </c>
      <c r="D2279" t="s">
        <v>2554</v>
      </c>
      <c r="E2279" t="s">
        <v>3121</v>
      </c>
      <c r="F2279" s="451">
        <v>46118</v>
      </c>
      <c r="G2279">
        <v>17455</v>
      </c>
      <c r="H2279" t="s">
        <v>5290</v>
      </c>
      <c r="I2279" t="s">
        <v>5188</v>
      </c>
      <c r="J2279">
        <v>3</v>
      </c>
      <c r="K2279" t="s">
        <v>4736</v>
      </c>
      <c r="L2279">
        <v>105.81</v>
      </c>
      <c r="M2279">
        <v>35.270000000000003</v>
      </c>
      <c r="N2279" t="s">
        <v>5277</v>
      </c>
      <c r="O2279" t="s">
        <v>462</v>
      </c>
    </row>
    <row r="2280" spans="1:15" x14ac:dyDescent="0.3">
      <c r="A2280">
        <v>225532</v>
      </c>
      <c r="B2280">
        <v>105</v>
      </c>
      <c r="C2280" t="s">
        <v>557</v>
      </c>
      <c r="D2280" t="s">
        <v>2554</v>
      </c>
      <c r="E2280" t="s">
        <v>3121</v>
      </c>
      <c r="F2280" s="451">
        <v>46118</v>
      </c>
      <c r="G2280">
        <v>17504</v>
      </c>
      <c r="H2280" t="s">
        <v>5260</v>
      </c>
      <c r="I2280" t="s">
        <v>5205</v>
      </c>
      <c r="J2280">
        <v>2</v>
      </c>
      <c r="K2280" t="s">
        <v>4736</v>
      </c>
      <c r="L2280">
        <v>42</v>
      </c>
      <c r="M2280">
        <v>21</v>
      </c>
      <c r="N2280" t="s">
        <v>5277</v>
      </c>
      <c r="O2280" t="s">
        <v>462</v>
      </c>
    </row>
    <row r="2281" spans="1:15" x14ac:dyDescent="0.3">
      <c r="A2281">
        <v>225532</v>
      </c>
      <c r="B2281">
        <v>105</v>
      </c>
      <c r="C2281" t="s">
        <v>557</v>
      </c>
      <c r="D2281" t="s">
        <v>2554</v>
      </c>
      <c r="E2281" t="s">
        <v>3121</v>
      </c>
      <c r="F2281" s="451">
        <v>46118</v>
      </c>
      <c r="G2281">
        <v>24505</v>
      </c>
      <c r="H2281" t="s">
        <v>5198</v>
      </c>
      <c r="I2281" t="s">
        <v>5188</v>
      </c>
      <c r="J2281">
        <v>6</v>
      </c>
      <c r="K2281" t="s">
        <v>4738</v>
      </c>
      <c r="L2281">
        <v>29.88</v>
      </c>
      <c r="M2281">
        <v>4.9800000000000004</v>
      </c>
      <c r="N2281" t="s">
        <v>5277</v>
      </c>
      <c r="O2281" t="s">
        <v>462</v>
      </c>
    </row>
    <row r="2282" spans="1:15" x14ac:dyDescent="0.3">
      <c r="A2282">
        <v>225532</v>
      </c>
      <c r="B2282">
        <v>105</v>
      </c>
      <c r="C2282" t="s">
        <v>557</v>
      </c>
      <c r="D2282" t="s">
        <v>2554</v>
      </c>
      <c r="E2282" t="s">
        <v>3121</v>
      </c>
      <c r="F2282" s="451">
        <v>46118</v>
      </c>
      <c r="G2282">
        <v>17418</v>
      </c>
      <c r="H2282" t="s">
        <v>5207</v>
      </c>
      <c r="I2282" t="s">
        <v>5188</v>
      </c>
      <c r="J2282">
        <v>1</v>
      </c>
      <c r="K2282" t="s">
        <v>4749</v>
      </c>
      <c r="L2282">
        <v>58.9</v>
      </c>
      <c r="M2282">
        <v>58.9</v>
      </c>
      <c r="N2282" t="s">
        <v>5277</v>
      </c>
      <c r="O2282" t="s">
        <v>462</v>
      </c>
    </row>
    <row r="2283" spans="1:15" x14ac:dyDescent="0.3">
      <c r="A2283">
        <v>225532</v>
      </c>
      <c r="B2283">
        <v>105</v>
      </c>
      <c r="C2283" t="s">
        <v>557</v>
      </c>
      <c r="D2283" t="s">
        <v>2554</v>
      </c>
      <c r="E2283" t="s">
        <v>3121</v>
      </c>
      <c r="F2283" s="451">
        <v>46118</v>
      </c>
      <c r="G2283">
        <v>21433</v>
      </c>
      <c r="H2283" t="s">
        <v>5250</v>
      </c>
      <c r="I2283" t="s">
        <v>5188</v>
      </c>
      <c r="J2283">
        <v>1</v>
      </c>
      <c r="K2283" t="s">
        <v>4738</v>
      </c>
      <c r="L2283">
        <v>95</v>
      </c>
      <c r="M2283">
        <v>95</v>
      </c>
      <c r="N2283" t="s">
        <v>5277</v>
      </c>
      <c r="O2283" t="s">
        <v>462</v>
      </c>
    </row>
    <row r="2284" spans="1:15" x14ac:dyDescent="0.3">
      <c r="A2284">
        <v>225532</v>
      </c>
      <c r="B2284">
        <v>105</v>
      </c>
      <c r="C2284" t="s">
        <v>557</v>
      </c>
      <c r="D2284" t="s">
        <v>2554</v>
      </c>
      <c r="E2284" t="s">
        <v>3121</v>
      </c>
      <c r="F2284" s="451">
        <v>46118</v>
      </c>
      <c r="G2284">
        <v>26944</v>
      </c>
      <c r="H2284" t="s">
        <v>5325</v>
      </c>
      <c r="I2284" t="s">
        <v>5188</v>
      </c>
      <c r="J2284">
        <v>1</v>
      </c>
      <c r="K2284" t="s">
        <v>4738</v>
      </c>
      <c r="L2284">
        <v>155.46</v>
      </c>
      <c r="M2284">
        <v>155.46</v>
      </c>
      <c r="N2284" t="s">
        <v>5277</v>
      </c>
      <c r="O2284" t="s">
        <v>462</v>
      </c>
    </row>
    <row r="2285" spans="1:15" x14ac:dyDescent="0.3">
      <c r="A2285">
        <v>225532</v>
      </c>
      <c r="B2285">
        <v>105</v>
      </c>
      <c r="C2285" t="s">
        <v>557</v>
      </c>
      <c r="D2285" t="s">
        <v>2554</v>
      </c>
      <c r="E2285" t="s">
        <v>3121</v>
      </c>
      <c r="F2285" s="451">
        <v>46118</v>
      </c>
      <c r="G2285">
        <v>27798</v>
      </c>
      <c r="H2285" t="s">
        <v>5257</v>
      </c>
      <c r="I2285" t="s">
        <v>5215</v>
      </c>
      <c r="J2285">
        <v>2</v>
      </c>
      <c r="K2285" t="s">
        <v>5245</v>
      </c>
      <c r="L2285">
        <v>350</v>
      </c>
      <c r="M2285">
        <v>175</v>
      </c>
      <c r="N2285" t="s">
        <v>5277</v>
      </c>
      <c r="O2285" t="s">
        <v>462</v>
      </c>
    </row>
    <row r="2286" spans="1:15" x14ac:dyDescent="0.3">
      <c r="A2286">
        <v>225532</v>
      </c>
      <c r="B2286">
        <v>105</v>
      </c>
      <c r="C2286" t="s">
        <v>557</v>
      </c>
      <c r="D2286" t="s">
        <v>2554</v>
      </c>
      <c r="E2286" t="s">
        <v>3121</v>
      </c>
      <c r="F2286" s="451">
        <v>46118</v>
      </c>
      <c r="G2286">
        <v>24931</v>
      </c>
      <c r="H2286" t="s">
        <v>5308</v>
      </c>
      <c r="I2286" t="s">
        <v>5188</v>
      </c>
      <c r="J2286">
        <v>1</v>
      </c>
      <c r="K2286" t="s">
        <v>4738</v>
      </c>
      <c r="L2286">
        <v>45</v>
      </c>
      <c r="M2286">
        <v>45</v>
      </c>
      <c r="N2286" t="s">
        <v>5277</v>
      </c>
      <c r="O2286" t="s">
        <v>462</v>
      </c>
    </row>
    <row r="2287" spans="1:15" x14ac:dyDescent="0.3">
      <c r="A2287">
        <v>225532</v>
      </c>
      <c r="B2287">
        <v>105</v>
      </c>
      <c r="C2287" t="s">
        <v>557</v>
      </c>
      <c r="D2287" t="s">
        <v>2554</v>
      </c>
      <c r="E2287" t="s">
        <v>3121</v>
      </c>
      <c r="F2287" s="451">
        <v>46118</v>
      </c>
      <c r="G2287">
        <v>17381</v>
      </c>
      <c r="H2287" t="s">
        <v>5262</v>
      </c>
      <c r="I2287" t="s">
        <v>5188</v>
      </c>
      <c r="J2287">
        <v>2</v>
      </c>
      <c r="K2287" t="s">
        <v>4736</v>
      </c>
      <c r="L2287">
        <v>77.78</v>
      </c>
      <c r="M2287">
        <v>38.89</v>
      </c>
      <c r="N2287" t="s">
        <v>5277</v>
      </c>
      <c r="O2287" t="s">
        <v>462</v>
      </c>
    </row>
    <row r="2288" spans="1:15" x14ac:dyDescent="0.3">
      <c r="A2288">
        <v>225531</v>
      </c>
      <c r="B2288">
        <v>105</v>
      </c>
      <c r="C2288" t="s">
        <v>557</v>
      </c>
      <c r="D2288" t="s">
        <v>2597</v>
      </c>
      <c r="E2288" t="s">
        <v>3122</v>
      </c>
      <c r="F2288" s="451">
        <v>46119</v>
      </c>
      <c r="G2288">
        <v>24096</v>
      </c>
      <c r="H2288" t="s">
        <v>4771</v>
      </c>
      <c r="I2288" t="s">
        <v>5191</v>
      </c>
      <c r="J2288">
        <v>42.1</v>
      </c>
      <c r="K2288" t="s">
        <v>4744</v>
      </c>
      <c r="L2288">
        <v>1806.09</v>
      </c>
      <c r="M2288">
        <v>42.9</v>
      </c>
      <c r="N2288" t="s">
        <v>5272</v>
      </c>
      <c r="O2288" t="s">
        <v>462</v>
      </c>
    </row>
    <row r="2289" spans="1:15" x14ac:dyDescent="0.3">
      <c r="A2289">
        <v>225530</v>
      </c>
      <c r="B2289">
        <v>105</v>
      </c>
      <c r="C2289" t="s">
        <v>557</v>
      </c>
      <c r="D2289" t="s">
        <v>2597</v>
      </c>
      <c r="E2289" t="s">
        <v>3123</v>
      </c>
      <c r="F2289" s="451">
        <v>46125</v>
      </c>
      <c r="G2289">
        <v>24217</v>
      </c>
      <c r="H2289" t="s">
        <v>4778</v>
      </c>
      <c r="I2289" t="s">
        <v>5191</v>
      </c>
      <c r="J2289">
        <v>22.6</v>
      </c>
      <c r="K2289" t="s">
        <v>4744</v>
      </c>
      <c r="L2289">
        <v>741.28</v>
      </c>
      <c r="M2289">
        <v>32.799999999999997</v>
      </c>
      <c r="N2289" t="s">
        <v>5272</v>
      </c>
      <c r="O2289" t="s">
        <v>462</v>
      </c>
    </row>
    <row r="2290" spans="1:15" x14ac:dyDescent="0.3">
      <c r="A2290">
        <v>225530</v>
      </c>
      <c r="B2290">
        <v>105</v>
      </c>
      <c r="C2290" t="s">
        <v>557</v>
      </c>
      <c r="D2290" t="s">
        <v>2597</v>
      </c>
      <c r="E2290" t="s">
        <v>3123</v>
      </c>
      <c r="F2290" s="451">
        <v>46125</v>
      </c>
      <c r="G2290">
        <v>24096</v>
      </c>
      <c r="H2290" t="s">
        <v>4771</v>
      </c>
      <c r="I2290" t="s">
        <v>5191</v>
      </c>
      <c r="J2290">
        <v>62.8</v>
      </c>
      <c r="K2290" t="s">
        <v>4744</v>
      </c>
      <c r="L2290">
        <v>2694.12</v>
      </c>
      <c r="M2290">
        <v>42.9</v>
      </c>
      <c r="N2290" t="s">
        <v>5272</v>
      </c>
      <c r="O2290" t="s">
        <v>462</v>
      </c>
    </row>
    <row r="2291" spans="1:15" x14ac:dyDescent="0.3">
      <c r="A2291">
        <v>225530</v>
      </c>
      <c r="B2291">
        <v>105</v>
      </c>
      <c r="C2291" t="s">
        <v>557</v>
      </c>
      <c r="D2291" t="s">
        <v>2597</v>
      </c>
      <c r="E2291" t="s">
        <v>3123</v>
      </c>
      <c r="F2291" s="451">
        <v>46125</v>
      </c>
      <c r="G2291">
        <v>19041</v>
      </c>
      <c r="H2291" t="s">
        <v>4762</v>
      </c>
      <c r="I2291" t="s">
        <v>5191</v>
      </c>
      <c r="J2291">
        <v>20</v>
      </c>
      <c r="K2291" t="s">
        <v>4744</v>
      </c>
      <c r="L2291">
        <v>298</v>
      </c>
      <c r="M2291">
        <v>14.9</v>
      </c>
      <c r="N2291" t="s">
        <v>5272</v>
      </c>
      <c r="O2291" t="s">
        <v>462</v>
      </c>
    </row>
    <row r="2292" spans="1:15" x14ac:dyDescent="0.3">
      <c r="A2292">
        <v>225529</v>
      </c>
      <c r="B2292">
        <v>105</v>
      </c>
      <c r="C2292" t="s">
        <v>557</v>
      </c>
      <c r="D2292" t="s">
        <v>2597</v>
      </c>
      <c r="E2292" t="s">
        <v>3124</v>
      </c>
      <c r="F2292" s="451">
        <v>46118</v>
      </c>
      <c r="G2292">
        <v>24116</v>
      </c>
      <c r="H2292" t="s">
        <v>4777</v>
      </c>
      <c r="I2292" t="s">
        <v>5191</v>
      </c>
      <c r="J2292">
        <v>10</v>
      </c>
      <c r="K2292" t="s">
        <v>4744</v>
      </c>
      <c r="L2292">
        <v>419</v>
      </c>
      <c r="M2292">
        <v>41.9</v>
      </c>
      <c r="N2292" t="s">
        <v>5272</v>
      </c>
      <c r="O2292" t="s">
        <v>462</v>
      </c>
    </row>
    <row r="2293" spans="1:15" x14ac:dyDescent="0.3">
      <c r="A2293">
        <v>225528</v>
      </c>
      <c r="B2293">
        <v>105</v>
      </c>
      <c r="C2293" t="s">
        <v>557</v>
      </c>
      <c r="D2293" t="s">
        <v>2550</v>
      </c>
      <c r="E2293" t="s">
        <v>3125</v>
      </c>
      <c r="F2293" s="451">
        <v>46121</v>
      </c>
      <c r="G2293">
        <v>26040</v>
      </c>
      <c r="H2293" t="s">
        <v>4812</v>
      </c>
      <c r="I2293" t="s">
        <v>5222</v>
      </c>
      <c r="J2293">
        <v>6</v>
      </c>
      <c r="K2293" t="s">
        <v>4805</v>
      </c>
      <c r="L2293">
        <v>284.7</v>
      </c>
      <c r="M2293">
        <v>47.45</v>
      </c>
      <c r="N2293" t="s">
        <v>5222</v>
      </c>
      <c r="O2293" t="s">
        <v>462</v>
      </c>
    </row>
    <row r="2294" spans="1:15" x14ac:dyDescent="0.3">
      <c r="A2294">
        <v>225528</v>
      </c>
      <c r="B2294">
        <v>105</v>
      </c>
      <c r="C2294" t="s">
        <v>557</v>
      </c>
      <c r="D2294" t="s">
        <v>2550</v>
      </c>
      <c r="E2294" t="s">
        <v>3125</v>
      </c>
      <c r="F2294" s="451">
        <v>46121</v>
      </c>
      <c r="G2294">
        <v>28256</v>
      </c>
      <c r="H2294" t="s">
        <v>5358</v>
      </c>
      <c r="I2294" t="s">
        <v>5222</v>
      </c>
      <c r="J2294">
        <v>6</v>
      </c>
      <c r="K2294" t="s">
        <v>4736</v>
      </c>
      <c r="L2294">
        <v>331.5</v>
      </c>
      <c r="M2294">
        <v>55.25</v>
      </c>
      <c r="N2294" t="s">
        <v>5222</v>
      </c>
      <c r="O2294" t="s">
        <v>462</v>
      </c>
    </row>
    <row r="2295" spans="1:15" x14ac:dyDescent="0.3">
      <c r="A2295">
        <v>225527</v>
      </c>
      <c r="B2295">
        <v>105</v>
      </c>
      <c r="C2295" t="s">
        <v>557</v>
      </c>
      <c r="D2295" t="s">
        <v>2593</v>
      </c>
      <c r="E2295" t="s">
        <v>3126</v>
      </c>
      <c r="F2295" s="451">
        <v>46121</v>
      </c>
      <c r="G2295">
        <v>24256</v>
      </c>
      <c r="H2295" t="s">
        <v>4773</v>
      </c>
      <c r="I2295" t="s">
        <v>5191</v>
      </c>
      <c r="J2295">
        <v>20</v>
      </c>
      <c r="K2295" t="s">
        <v>4744</v>
      </c>
      <c r="L2295">
        <v>750</v>
      </c>
      <c r="M2295">
        <v>37.5</v>
      </c>
      <c r="N2295" t="s">
        <v>5272</v>
      </c>
      <c r="O2295" t="s">
        <v>462</v>
      </c>
    </row>
    <row r="2296" spans="1:15" x14ac:dyDescent="0.3">
      <c r="A2296">
        <v>225526</v>
      </c>
      <c r="B2296">
        <v>105</v>
      </c>
      <c r="C2296" t="s">
        <v>557</v>
      </c>
      <c r="D2296" t="s">
        <v>2603</v>
      </c>
      <c r="E2296" t="s">
        <v>3127</v>
      </c>
      <c r="F2296" s="451">
        <v>46126</v>
      </c>
      <c r="G2296">
        <v>19003</v>
      </c>
      <c r="H2296" t="s">
        <v>4810</v>
      </c>
      <c r="I2296" t="s">
        <v>5191</v>
      </c>
      <c r="J2296">
        <v>15</v>
      </c>
      <c r="K2296" t="s">
        <v>4744</v>
      </c>
      <c r="L2296">
        <v>585</v>
      </c>
      <c r="M2296">
        <v>39</v>
      </c>
      <c r="N2296" t="s">
        <v>5272</v>
      </c>
      <c r="O2296" t="s">
        <v>462</v>
      </c>
    </row>
    <row r="2297" spans="1:15" x14ac:dyDescent="0.3">
      <c r="A2297">
        <v>225526</v>
      </c>
      <c r="B2297">
        <v>105</v>
      </c>
      <c r="C2297" t="s">
        <v>557</v>
      </c>
      <c r="D2297" t="s">
        <v>2603</v>
      </c>
      <c r="E2297" t="s">
        <v>3127</v>
      </c>
      <c r="F2297" s="451">
        <v>46126</v>
      </c>
      <c r="G2297">
        <v>26679</v>
      </c>
      <c r="H2297" t="s">
        <v>4791</v>
      </c>
      <c r="I2297" t="s">
        <v>5191</v>
      </c>
      <c r="J2297">
        <v>30</v>
      </c>
      <c r="K2297" t="s">
        <v>4744</v>
      </c>
      <c r="L2297">
        <v>837</v>
      </c>
      <c r="M2297">
        <v>27.9</v>
      </c>
      <c r="N2297" t="s">
        <v>5272</v>
      </c>
      <c r="O2297" t="s">
        <v>462</v>
      </c>
    </row>
    <row r="2298" spans="1:15" x14ac:dyDescent="0.3">
      <c r="A2298">
        <v>225525</v>
      </c>
      <c r="B2298">
        <v>105</v>
      </c>
      <c r="C2298" t="s">
        <v>557</v>
      </c>
      <c r="D2298" t="s">
        <v>2595</v>
      </c>
      <c r="E2298" t="s">
        <v>3128</v>
      </c>
      <c r="F2298" s="451">
        <v>46125</v>
      </c>
      <c r="G2298">
        <v>24259</v>
      </c>
      <c r="H2298" t="s">
        <v>4875</v>
      </c>
      <c r="I2298" t="s">
        <v>5191</v>
      </c>
      <c r="J2298">
        <v>14.36</v>
      </c>
      <c r="K2298" t="s">
        <v>4744</v>
      </c>
      <c r="L2298">
        <v>1135.8800000000001</v>
      </c>
      <c r="M2298">
        <v>79.100279</v>
      </c>
      <c r="N2298" t="s">
        <v>5272</v>
      </c>
      <c r="O2298" t="s">
        <v>462</v>
      </c>
    </row>
    <row r="2299" spans="1:15" x14ac:dyDescent="0.3">
      <c r="A2299">
        <v>225524</v>
      </c>
      <c r="B2299">
        <v>105</v>
      </c>
      <c r="C2299" t="s">
        <v>557</v>
      </c>
      <c r="D2299" t="s">
        <v>2563</v>
      </c>
      <c r="E2299" t="s">
        <v>3129</v>
      </c>
      <c r="F2299" s="451">
        <v>46125</v>
      </c>
      <c r="G2299">
        <v>19621</v>
      </c>
      <c r="H2299" t="s">
        <v>4829</v>
      </c>
      <c r="I2299" t="s">
        <v>5191</v>
      </c>
      <c r="J2299">
        <v>5</v>
      </c>
      <c r="K2299" t="s">
        <v>4744</v>
      </c>
      <c r="L2299">
        <v>29</v>
      </c>
      <c r="M2299">
        <v>5.8</v>
      </c>
      <c r="N2299" t="s">
        <v>5272</v>
      </c>
      <c r="O2299" t="s">
        <v>462</v>
      </c>
    </row>
    <row r="2300" spans="1:15" x14ac:dyDescent="0.3">
      <c r="A2300">
        <v>225524</v>
      </c>
      <c r="B2300">
        <v>105</v>
      </c>
      <c r="C2300" t="s">
        <v>557</v>
      </c>
      <c r="D2300" t="s">
        <v>2563</v>
      </c>
      <c r="E2300" t="s">
        <v>3129</v>
      </c>
      <c r="F2300" s="451">
        <v>46125</v>
      </c>
      <c r="G2300">
        <v>19658</v>
      </c>
      <c r="H2300" t="s">
        <v>4784</v>
      </c>
      <c r="I2300" t="s">
        <v>5191</v>
      </c>
      <c r="J2300">
        <v>5.5</v>
      </c>
      <c r="K2300" t="s">
        <v>4744</v>
      </c>
      <c r="L2300">
        <v>21.12</v>
      </c>
      <c r="M2300">
        <v>3.84</v>
      </c>
      <c r="N2300" t="s">
        <v>5272</v>
      </c>
      <c r="O2300" t="s">
        <v>462</v>
      </c>
    </row>
    <row r="2301" spans="1:15" x14ac:dyDescent="0.3">
      <c r="A2301">
        <v>225524</v>
      </c>
      <c r="B2301">
        <v>105</v>
      </c>
      <c r="C2301" t="s">
        <v>557</v>
      </c>
      <c r="D2301" t="s">
        <v>2563</v>
      </c>
      <c r="E2301" t="s">
        <v>3129</v>
      </c>
      <c r="F2301" s="451">
        <v>46125</v>
      </c>
      <c r="G2301">
        <v>19551</v>
      </c>
      <c r="H2301" t="s">
        <v>4905</v>
      </c>
      <c r="I2301" t="s">
        <v>5191</v>
      </c>
      <c r="J2301">
        <v>3</v>
      </c>
      <c r="K2301" t="s">
        <v>4744</v>
      </c>
      <c r="L2301">
        <v>43.29</v>
      </c>
      <c r="M2301">
        <v>14.43</v>
      </c>
      <c r="N2301" t="s">
        <v>5272</v>
      </c>
      <c r="O2301" t="s">
        <v>462</v>
      </c>
    </row>
    <row r="2302" spans="1:15" x14ac:dyDescent="0.3">
      <c r="A2302">
        <v>225524</v>
      </c>
      <c r="B2302">
        <v>105</v>
      </c>
      <c r="C2302" t="s">
        <v>557</v>
      </c>
      <c r="D2302" t="s">
        <v>2563</v>
      </c>
      <c r="E2302" t="s">
        <v>3129</v>
      </c>
      <c r="F2302" s="451">
        <v>46125</v>
      </c>
      <c r="G2302">
        <v>19622</v>
      </c>
      <c r="H2302" t="s">
        <v>4915</v>
      </c>
      <c r="I2302" t="s">
        <v>5191</v>
      </c>
      <c r="J2302">
        <v>1.1000000000000001</v>
      </c>
      <c r="K2302" t="s">
        <v>4744</v>
      </c>
      <c r="L2302">
        <v>4.79</v>
      </c>
      <c r="M2302">
        <v>4.3545449999999999</v>
      </c>
      <c r="N2302" t="s">
        <v>5272</v>
      </c>
      <c r="O2302" t="s">
        <v>462</v>
      </c>
    </row>
    <row r="2303" spans="1:15" x14ac:dyDescent="0.3">
      <c r="A2303">
        <v>225524</v>
      </c>
      <c r="B2303">
        <v>105</v>
      </c>
      <c r="C2303" t="s">
        <v>557</v>
      </c>
      <c r="D2303" t="s">
        <v>2563</v>
      </c>
      <c r="E2303" t="s">
        <v>3129</v>
      </c>
      <c r="F2303" s="451">
        <v>46125</v>
      </c>
      <c r="G2303">
        <v>19635</v>
      </c>
      <c r="H2303" t="s">
        <v>4786</v>
      </c>
      <c r="I2303" t="s">
        <v>5191</v>
      </c>
      <c r="J2303">
        <v>4.5</v>
      </c>
      <c r="K2303" t="s">
        <v>4744</v>
      </c>
      <c r="L2303">
        <v>28.04</v>
      </c>
      <c r="M2303">
        <v>6.2311110000000003</v>
      </c>
      <c r="N2303" t="s">
        <v>5272</v>
      </c>
      <c r="O2303" t="s">
        <v>462</v>
      </c>
    </row>
    <row r="2304" spans="1:15" x14ac:dyDescent="0.3">
      <c r="A2304">
        <v>225524</v>
      </c>
      <c r="B2304">
        <v>105</v>
      </c>
      <c r="C2304" t="s">
        <v>557</v>
      </c>
      <c r="D2304" t="s">
        <v>2563</v>
      </c>
      <c r="E2304" t="s">
        <v>3129</v>
      </c>
      <c r="F2304" s="451">
        <v>46125</v>
      </c>
      <c r="G2304">
        <v>19632</v>
      </c>
      <c r="H2304" t="s">
        <v>4936</v>
      </c>
      <c r="I2304" t="s">
        <v>5191</v>
      </c>
      <c r="J2304">
        <v>1.75</v>
      </c>
      <c r="K2304" t="s">
        <v>4744</v>
      </c>
      <c r="L2304">
        <v>9.26</v>
      </c>
      <c r="M2304">
        <v>5.2914289999999999</v>
      </c>
      <c r="N2304" t="s">
        <v>5272</v>
      </c>
      <c r="O2304" t="s">
        <v>462</v>
      </c>
    </row>
    <row r="2305" spans="1:15" x14ac:dyDescent="0.3">
      <c r="A2305">
        <v>225524</v>
      </c>
      <c r="B2305">
        <v>105</v>
      </c>
      <c r="C2305" t="s">
        <v>557</v>
      </c>
      <c r="D2305" t="s">
        <v>2563</v>
      </c>
      <c r="E2305" t="s">
        <v>3129</v>
      </c>
      <c r="F2305" s="451">
        <v>46125</v>
      </c>
      <c r="G2305">
        <v>23108</v>
      </c>
      <c r="H2305" t="s">
        <v>5117</v>
      </c>
      <c r="I2305" t="s">
        <v>5191</v>
      </c>
      <c r="J2305">
        <v>0.3</v>
      </c>
      <c r="K2305" t="s">
        <v>4744</v>
      </c>
      <c r="L2305">
        <v>26.1</v>
      </c>
      <c r="M2305">
        <v>87</v>
      </c>
      <c r="N2305" t="s">
        <v>5272</v>
      </c>
      <c r="O2305" t="s">
        <v>462</v>
      </c>
    </row>
    <row r="2306" spans="1:15" x14ac:dyDescent="0.3">
      <c r="A2306">
        <v>225524</v>
      </c>
      <c r="B2306">
        <v>105</v>
      </c>
      <c r="C2306" t="s">
        <v>557</v>
      </c>
      <c r="D2306" t="s">
        <v>2563</v>
      </c>
      <c r="E2306" t="s">
        <v>3129</v>
      </c>
      <c r="F2306" s="451">
        <v>46125</v>
      </c>
      <c r="G2306">
        <v>19654</v>
      </c>
      <c r="H2306" t="s">
        <v>5099</v>
      </c>
      <c r="I2306" t="s">
        <v>5191</v>
      </c>
      <c r="J2306">
        <v>5.2</v>
      </c>
      <c r="K2306" t="s">
        <v>4744</v>
      </c>
      <c r="L2306">
        <v>26.78</v>
      </c>
      <c r="M2306">
        <v>5.15</v>
      </c>
      <c r="N2306" t="s">
        <v>5272</v>
      </c>
      <c r="O2306" t="s">
        <v>462</v>
      </c>
    </row>
    <row r="2307" spans="1:15" x14ac:dyDescent="0.3">
      <c r="A2307">
        <v>225524</v>
      </c>
      <c r="B2307">
        <v>105</v>
      </c>
      <c r="C2307" t="s">
        <v>557</v>
      </c>
      <c r="D2307" t="s">
        <v>2563</v>
      </c>
      <c r="E2307" t="s">
        <v>3129</v>
      </c>
      <c r="F2307" s="451">
        <v>46125</v>
      </c>
      <c r="G2307">
        <v>19737</v>
      </c>
      <c r="H2307" t="s">
        <v>4940</v>
      </c>
      <c r="I2307" t="s">
        <v>5191</v>
      </c>
      <c r="J2307">
        <v>3.4</v>
      </c>
      <c r="K2307" t="s">
        <v>4744</v>
      </c>
      <c r="L2307">
        <v>20.67</v>
      </c>
      <c r="M2307">
        <v>6.0794119999999996</v>
      </c>
      <c r="N2307" t="s">
        <v>5272</v>
      </c>
      <c r="O2307" t="s">
        <v>462</v>
      </c>
    </row>
    <row r="2308" spans="1:15" x14ac:dyDescent="0.3">
      <c r="A2308">
        <v>225524</v>
      </c>
      <c r="B2308">
        <v>105</v>
      </c>
      <c r="C2308" t="s">
        <v>557</v>
      </c>
      <c r="D2308" t="s">
        <v>2563</v>
      </c>
      <c r="E2308" t="s">
        <v>3129</v>
      </c>
      <c r="F2308" s="451">
        <v>46125</v>
      </c>
      <c r="G2308">
        <v>24509</v>
      </c>
      <c r="H2308" t="s">
        <v>4788</v>
      </c>
      <c r="I2308" t="s">
        <v>5191</v>
      </c>
      <c r="J2308">
        <v>10.199999999999999</v>
      </c>
      <c r="K2308" t="s">
        <v>4744</v>
      </c>
      <c r="L2308">
        <v>33.97</v>
      </c>
      <c r="M2308">
        <v>3.3303919999999998</v>
      </c>
      <c r="N2308" t="s">
        <v>5272</v>
      </c>
      <c r="O2308" t="s">
        <v>462</v>
      </c>
    </row>
    <row r="2309" spans="1:15" x14ac:dyDescent="0.3">
      <c r="A2309">
        <v>225524</v>
      </c>
      <c r="B2309">
        <v>105</v>
      </c>
      <c r="C2309" t="s">
        <v>557</v>
      </c>
      <c r="D2309" t="s">
        <v>2563</v>
      </c>
      <c r="E2309" t="s">
        <v>3129</v>
      </c>
      <c r="F2309" s="451">
        <v>46125</v>
      </c>
      <c r="G2309">
        <v>23346</v>
      </c>
      <c r="H2309" t="s">
        <v>4916</v>
      </c>
      <c r="I2309" t="s">
        <v>5191</v>
      </c>
      <c r="J2309">
        <v>2.5</v>
      </c>
      <c r="K2309" t="s">
        <v>4744</v>
      </c>
      <c r="L2309">
        <v>19.03</v>
      </c>
      <c r="M2309">
        <v>7.6120000000000001</v>
      </c>
      <c r="N2309" t="s">
        <v>5272</v>
      </c>
      <c r="O2309" t="s">
        <v>462</v>
      </c>
    </row>
    <row r="2310" spans="1:15" x14ac:dyDescent="0.3">
      <c r="A2310">
        <v>225524</v>
      </c>
      <c r="B2310">
        <v>105</v>
      </c>
      <c r="C2310" t="s">
        <v>557</v>
      </c>
      <c r="D2310" t="s">
        <v>2563</v>
      </c>
      <c r="E2310" t="s">
        <v>3129</v>
      </c>
      <c r="F2310" s="451">
        <v>46125</v>
      </c>
      <c r="G2310">
        <v>19623</v>
      </c>
      <c r="H2310" t="s">
        <v>4764</v>
      </c>
      <c r="I2310" t="s">
        <v>5191</v>
      </c>
      <c r="J2310">
        <v>10.199999999999999</v>
      </c>
      <c r="K2310" t="s">
        <v>4744</v>
      </c>
      <c r="L2310">
        <v>45.9</v>
      </c>
      <c r="M2310">
        <v>4.5</v>
      </c>
      <c r="N2310" t="s">
        <v>5272</v>
      </c>
      <c r="O2310" t="s">
        <v>462</v>
      </c>
    </row>
    <row r="2311" spans="1:15" x14ac:dyDescent="0.3">
      <c r="A2311">
        <v>225524</v>
      </c>
      <c r="B2311">
        <v>105</v>
      </c>
      <c r="C2311" t="s">
        <v>557</v>
      </c>
      <c r="D2311" t="s">
        <v>2563</v>
      </c>
      <c r="E2311" t="s">
        <v>3129</v>
      </c>
      <c r="F2311" s="451">
        <v>46125</v>
      </c>
      <c r="G2311">
        <v>23113</v>
      </c>
      <c r="H2311" t="s">
        <v>5074</v>
      </c>
      <c r="I2311" t="s">
        <v>5191</v>
      </c>
      <c r="J2311">
        <v>1.4</v>
      </c>
      <c r="K2311" t="s">
        <v>4744</v>
      </c>
      <c r="L2311">
        <v>18.07</v>
      </c>
      <c r="M2311">
        <v>12.907143</v>
      </c>
      <c r="N2311" t="s">
        <v>5272</v>
      </c>
      <c r="O2311" t="s">
        <v>462</v>
      </c>
    </row>
    <row r="2312" spans="1:15" x14ac:dyDescent="0.3">
      <c r="A2312">
        <v>225524</v>
      </c>
      <c r="B2312">
        <v>105</v>
      </c>
      <c r="C2312" t="s">
        <v>557</v>
      </c>
      <c r="D2312" t="s">
        <v>2563</v>
      </c>
      <c r="E2312" t="s">
        <v>3129</v>
      </c>
      <c r="F2312" s="451">
        <v>46125</v>
      </c>
      <c r="G2312">
        <v>19787</v>
      </c>
      <c r="H2312" t="s">
        <v>4793</v>
      </c>
      <c r="I2312" t="s">
        <v>5191</v>
      </c>
      <c r="J2312">
        <v>6</v>
      </c>
      <c r="K2312" t="s">
        <v>4744</v>
      </c>
      <c r="L2312">
        <v>36.119999999999997</v>
      </c>
      <c r="M2312">
        <v>6.02</v>
      </c>
      <c r="N2312" t="s">
        <v>5272</v>
      </c>
      <c r="O2312" t="s">
        <v>462</v>
      </c>
    </row>
    <row r="2313" spans="1:15" x14ac:dyDescent="0.3">
      <c r="A2313">
        <v>225524</v>
      </c>
      <c r="B2313">
        <v>105</v>
      </c>
      <c r="C2313" t="s">
        <v>557</v>
      </c>
      <c r="D2313" t="s">
        <v>2563</v>
      </c>
      <c r="E2313" t="s">
        <v>3129</v>
      </c>
      <c r="F2313" s="451">
        <v>46125</v>
      </c>
      <c r="G2313">
        <v>23238</v>
      </c>
      <c r="H2313" t="s">
        <v>4934</v>
      </c>
      <c r="I2313" t="s">
        <v>5191</v>
      </c>
      <c r="J2313">
        <v>4.5</v>
      </c>
      <c r="K2313" t="s">
        <v>4744</v>
      </c>
      <c r="L2313">
        <v>104.08</v>
      </c>
      <c r="M2313">
        <v>23.128889000000001</v>
      </c>
      <c r="N2313" t="s">
        <v>5272</v>
      </c>
      <c r="O2313" t="s">
        <v>462</v>
      </c>
    </row>
    <row r="2314" spans="1:15" x14ac:dyDescent="0.3">
      <c r="A2314">
        <v>225524</v>
      </c>
      <c r="B2314">
        <v>105</v>
      </c>
      <c r="C2314" t="s">
        <v>557</v>
      </c>
      <c r="D2314" t="s">
        <v>2563</v>
      </c>
      <c r="E2314" t="s">
        <v>3129</v>
      </c>
      <c r="F2314" s="451">
        <v>46125</v>
      </c>
      <c r="G2314">
        <v>19765</v>
      </c>
      <c r="H2314" t="s">
        <v>4889</v>
      </c>
      <c r="I2314" t="s">
        <v>5191</v>
      </c>
      <c r="J2314">
        <v>1</v>
      </c>
      <c r="K2314" t="s">
        <v>4744</v>
      </c>
      <c r="L2314">
        <v>36.25</v>
      </c>
      <c r="M2314">
        <v>36.25</v>
      </c>
      <c r="N2314" t="s">
        <v>5272</v>
      </c>
      <c r="O2314" t="s">
        <v>462</v>
      </c>
    </row>
    <row r="2315" spans="1:15" x14ac:dyDescent="0.3">
      <c r="A2315">
        <v>225524</v>
      </c>
      <c r="B2315">
        <v>105</v>
      </c>
      <c r="C2315" t="s">
        <v>557</v>
      </c>
      <c r="D2315" t="s">
        <v>2563</v>
      </c>
      <c r="E2315" t="s">
        <v>3129</v>
      </c>
      <c r="F2315" s="451">
        <v>46125</v>
      </c>
      <c r="G2315">
        <v>19502</v>
      </c>
      <c r="H2315" t="s">
        <v>4871</v>
      </c>
      <c r="I2315" t="s">
        <v>5191</v>
      </c>
      <c r="J2315">
        <v>3</v>
      </c>
      <c r="K2315" t="s">
        <v>4744</v>
      </c>
      <c r="L2315">
        <v>64.59</v>
      </c>
      <c r="M2315">
        <v>21.53</v>
      </c>
      <c r="N2315" t="s">
        <v>5272</v>
      </c>
      <c r="O2315" t="s">
        <v>462</v>
      </c>
    </row>
    <row r="2316" spans="1:15" x14ac:dyDescent="0.3">
      <c r="A2316">
        <v>225524</v>
      </c>
      <c r="B2316">
        <v>105</v>
      </c>
      <c r="C2316" t="s">
        <v>557</v>
      </c>
      <c r="D2316" t="s">
        <v>2563</v>
      </c>
      <c r="E2316" t="s">
        <v>3129</v>
      </c>
      <c r="F2316" s="451">
        <v>46125</v>
      </c>
      <c r="G2316">
        <v>19790</v>
      </c>
      <c r="H2316" t="s">
        <v>5073</v>
      </c>
      <c r="I2316" t="s">
        <v>5191</v>
      </c>
      <c r="J2316">
        <v>1</v>
      </c>
      <c r="K2316" t="s">
        <v>4744</v>
      </c>
      <c r="L2316">
        <v>46.4</v>
      </c>
      <c r="M2316">
        <v>46.4</v>
      </c>
      <c r="N2316" t="s">
        <v>5272</v>
      </c>
      <c r="O2316" t="s">
        <v>462</v>
      </c>
    </row>
    <row r="2317" spans="1:15" x14ac:dyDescent="0.3">
      <c r="A2317">
        <v>225523</v>
      </c>
      <c r="B2317">
        <v>105</v>
      </c>
      <c r="C2317" t="s">
        <v>557</v>
      </c>
      <c r="D2317" t="s">
        <v>2563</v>
      </c>
      <c r="E2317" t="s">
        <v>3130</v>
      </c>
      <c r="F2317" s="451">
        <v>46120</v>
      </c>
      <c r="G2317">
        <v>19737</v>
      </c>
      <c r="H2317" t="s">
        <v>4940</v>
      </c>
      <c r="I2317" t="s">
        <v>5191</v>
      </c>
      <c r="J2317">
        <v>3.3</v>
      </c>
      <c r="K2317" t="s">
        <v>4744</v>
      </c>
      <c r="L2317">
        <v>20.059999999999999</v>
      </c>
      <c r="M2317">
        <v>6.0787880000000003</v>
      </c>
      <c r="N2317" t="s">
        <v>5272</v>
      </c>
      <c r="O2317" t="s">
        <v>462</v>
      </c>
    </row>
    <row r="2318" spans="1:15" x14ac:dyDescent="0.3">
      <c r="A2318">
        <v>225523</v>
      </c>
      <c r="B2318">
        <v>105</v>
      </c>
      <c r="C2318" t="s">
        <v>557</v>
      </c>
      <c r="D2318" t="s">
        <v>2563</v>
      </c>
      <c r="E2318" t="s">
        <v>3130</v>
      </c>
      <c r="F2318" s="451">
        <v>46120</v>
      </c>
      <c r="G2318">
        <v>19589</v>
      </c>
      <c r="H2318" t="s">
        <v>4983</v>
      </c>
      <c r="I2318" t="s">
        <v>5191</v>
      </c>
      <c r="J2318">
        <v>2.2999999999999998</v>
      </c>
      <c r="K2318" t="s">
        <v>4744</v>
      </c>
      <c r="L2318">
        <v>15.18</v>
      </c>
      <c r="M2318">
        <v>6.6</v>
      </c>
      <c r="N2318" t="s">
        <v>5272</v>
      </c>
      <c r="O2318" t="s">
        <v>462</v>
      </c>
    </row>
    <row r="2319" spans="1:15" x14ac:dyDescent="0.3">
      <c r="A2319">
        <v>225523</v>
      </c>
      <c r="B2319">
        <v>105</v>
      </c>
      <c r="C2319" t="s">
        <v>557</v>
      </c>
      <c r="D2319" t="s">
        <v>2563</v>
      </c>
      <c r="E2319" t="s">
        <v>3130</v>
      </c>
      <c r="F2319" s="451">
        <v>46120</v>
      </c>
      <c r="G2319">
        <v>19734</v>
      </c>
      <c r="H2319" t="s">
        <v>4833</v>
      </c>
      <c r="I2319" t="s">
        <v>5191</v>
      </c>
      <c r="J2319">
        <v>3</v>
      </c>
      <c r="K2319" t="s">
        <v>4744</v>
      </c>
      <c r="L2319">
        <v>39.15</v>
      </c>
      <c r="M2319">
        <v>13.05</v>
      </c>
      <c r="N2319" t="s">
        <v>5272</v>
      </c>
      <c r="O2319" t="s">
        <v>462</v>
      </c>
    </row>
    <row r="2320" spans="1:15" x14ac:dyDescent="0.3">
      <c r="A2320">
        <v>225523</v>
      </c>
      <c r="B2320">
        <v>105</v>
      </c>
      <c r="C2320" t="s">
        <v>557</v>
      </c>
      <c r="D2320" t="s">
        <v>2563</v>
      </c>
      <c r="E2320" t="s">
        <v>3130</v>
      </c>
      <c r="F2320" s="451">
        <v>46120</v>
      </c>
      <c r="G2320">
        <v>23238</v>
      </c>
      <c r="H2320" t="s">
        <v>4934</v>
      </c>
      <c r="I2320" t="s">
        <v>5191</v>
      </c>
      <c r="J2320">
        <v>1.3</v>
      </c>
      <c r="K2320" t="s">
        <v>4744</v>
      </c>
      <c r="L2320">
        <v>30.07</v>
      </c>
      <c r="M2320">
        <v>23.130769000000001</v>
      </c>
      <c r="N2320" t="s">
        <v>5272</v>
      </c>
      <c r="O2320" t="s">
        <v>462</v>
      </c>
    </row>
    <row r="2321" spans="1:15" x14ac:dyDescent="0.3">
      <c r="A2321">
        <v>225523</v>
      </c>
      <c r="B2321">
        <v>105</v>
      </c>
      <c r="C2321" t="s">
        <v>557</v>
      </c>
      <c r="D2321" t="s">
        <v>2563</v>
      </c>
      <c r="E2321" t="s">
        <v>3130</v>
      </c>
      <c r="F2321" s="451">
        <v>46120</v>
      </c>
      <c r="G2321">
        <v>19488</v>
      </c>
      <c r="H2321" t="s">
        <v>5107</v>
      </c>
      <c r="I2321" t="s">
        <v>5191</v>
      </c>
      <c r="J2321">
        <v>0.3</v>
      </c>
      <c r="K2321" t="s">
        <v>4744</v>
      </c>
      <c r="L2321">
        <v>4.3499999999999996</v>
      </c>
      <c r="M2321">
        <v>14.5</v>
      </c>
      <c r="N2321" t="s">
        <v>5272</v>
      </c>
      <c r="O2321" t="s">
        <v>462</v>
      </c>
    </row>
    <row r="2322" spans="1:15" x14ac:dyDescent="0.3">
      <c r="A2322">
        <v>225523</v>
      </c>
      <c r="B2322">
        <v>105</v>
      </c>
      <c r="C2322" t="s">
        <v>557</v>
      </c>
      <c r="D2322" t="s">
        <v>2563</v>
      </c>
      <c r="E2322" t="s">
        <v>3130</v>
      </c>
      <c r="F2322" s="451">
        <v>46120</v>
      </c>
      <c r="G2322">
        <v>28587</v>
      </c>
      <c r="H2322" t="s">
        <v>5359</v>
      </c>
      <c r="I2322" t="s">
        <v>5191</v>
      </c>
      <c r="J2322">
        <v>10</v>
      </c>
      <c r="K2322" t="s">
        <v>4744</v>
      </c>
      <c r="L2322">
        <v>106.3</v>
      </c>
      <c r="M2322">
        <v>10.63</v>
      </c>
      <c r="N2322" t="s">
        <v>5272</v>
      </c>
      <c r="O2322" t="s">
        <v>462</v>
      </c>
    </row>
    <row r="2323" spans="1:15" x14ac:dyDescent="0.3">
      <c r="A2323">
        <v>225523</v>
      </c>
      <c r="B2323">
        <v>105</v>
      </c>
      <c r="C2323" t="s">
        <v>557</v>
      </c>
      <c r="D2323" t="s">
        <v>2563</v>
      </c>
      <c r="E2323" t="s">
        <v>3130</v>
      </c>
      <c r="F2323" s="451">
        <v>46120</v>
      </c>
      <c r="G2323">
        <v>19790</v>
      </c>
      <c r="H2323" t="s">
        <v>5073</v>
      </c>
      <c r="I2323" t="s">
        <v>5191</v>
      </c>
      <c r="J2323">
        <v>2</v>
      </c>
      <c r="K2323" t="s">
        <v>4744</v>
      </c>
      <c r="L2323">
        <v>92.8</v>
      </c>
      <c r="M2323">
        <v>46.4</v>
      </c>
      <c r="N2323" t="s">
        <v>5272</v>
      </c>
      <c r="O2323" t="s">
        <v>462</v>
      </c>
    </row>
    <row r="2324" spans="1:15" x14ac:dyDescent="0.3">
      <c r="A2324">
        <v>225522</v>
      </c>
      <c r="B2324">
        <v>105</v>
      </c>
      <c r="C2324" t="s">
        <v>557</v>
      </c>
      <c r="D2324" t="s">
        <v>2563</v>
      </c>
      <c r="E2324" t="s">
        <v>3131</v>
      </c>
      <c r="F2324" s="451">
        <v>46121</v>
      </c>
      <c r="G2324">
        <v>24083</v>
      </c>
      <c r="H2324" t="s">
        <v>5165</v>
      </c>
      <c r="I2324" t="s">
        <v>5191</v>
      </c>
      <c r="J2324">
        <v>100</v>
      </c>
      <c r="K2324" t="s">
        <v>4744</v>
      </c>
      <c r="L2324">
        <v>544</v>
      </c>
      <c r="M2324">
        <v>5.44</v>
      </c>
      <c r="N2324" t="s">
        <v>5272</v>
      </c>
      <c r="O2324" t="s">
        <v>462</v>
      </c>
    </row>
    <row r="2325" spans="1:15" x14ac:dyDescent="0.3">
      <c r="A2325">
        <v>225521</v>
      </c>
      <c r="B2325">
        <v>105</v>
      </c>
      <c r="C2325" t="s">
        <v>557</v>
      </c>
      <c r="D2325" t="s">
        <v>2563</v>
      </c>
      <c r="E2325" t="s">
        <v>3132</v>
      </c>
      <c r="F2325" s="451">
        <v>46121</v>
      </c>
      <c r="G2325">
        <v>19634</v>
      </c>
      <c r="H2325" t="s">
        <v>4792</v>
      </c>
      <c r="I2325" t="s">
        <v>5191</v>
      </c>
      <c r="J2325">
        <v>5.5</v>
      </c>
      <c r="K2325" t="s">
        <v>4744</v>
      </c>
      <c r="L2325">
        <v>40.64</v>
      </c>
      <c r="M2325">
        <v>7.3890909999999996</v>
      </c>
      <c r="N2325" t="s">
        <v>5191</v>
      </c>
      <c r="O2325" t="s">
        <v>462</v>
      </c>
    </row>
    <row r="2326" spans="1:15" x14ac:dyDescent="0.3">
      <c r="A2326">
        <v>225521</v>
      </c>
      <c r="B2326">
        <v>105</v>
      </c>
      <c r="C2326" t="s">
        <v>557</v>
      </c>
      <c r="D2326" t="s">
        <v>2563</v>
      </c>
      <c r="E2326" t="s">
        <v>3132</v>
      </c>
      <c r="F2326" s="451">
        <v>46121</v>
      </c>
      <c r="G2326">
        <v>19621</v>
      </c>
      <c r="H2326" t="s">
        <v>4829</v>
      </c>
      <c r="I2326" t="s">
        <v>5191</v>
      </c>
      <c r="J2326">
        <v>3.2</v>
      </c>
      <c r="K2326" t="s">
        <v>4744</v>
      </c>
      <c r="L2326">
        <v>18.559999999999999</v>
      </c>
      <c r="M2326">
        <v>5.8</v>
      </c>
      <c r="N2326" t="s">
        <v>5191</v>
      </c>
      <c r="O2326" t="s">
        <v>462</v>
      </c>
    </row>
    <row r="2327" spans="1:15" x14ac:dyDescent="0.3">
      <c r="A2327">
        <v>225521</v>
      </c>
      <c r="B2327">
        <v>105</v>
      </c>
      <c r="C2327" t="s">
        <v>557</v>
      </c>
      <c r="D2327" t="s">
        <v>2563</v>
      </c>
      <c r="E2327" t="s">
        <v>3132</v>
      </c>
      <c r="F2327" s="451">
        <v>46121</v>
      </c>
      <c r="G2327">
        <v>19492</v>
      </c>
      <c r="H2327" t="s">
        <v>4937</v>
      </c>
      <c r="I2327" t="s">
        <v>5191</v>
      </c>
      <c r="J2327">
        <v>1.2</v>
      </c>
      <c r="K2327" t="s">
        <v>4744</v>
      </c>
      <c r="L2327">
        <v>26.98</v>
      </c>
      <c r="M2327">
        <v>22.483332999999998</v>
      </c>
      <c r="N2327" t="s">
        <v>5191</v>
      </c>
      <c r="O2327" t="s">
        <v>462</v>
      </c>
    </row>
    <row r="2328" spans="1:15" x14ac:dyDescent="0.3">
      <c r="A2328">
        <v>225521</v>
      </c>
      <c r="B2328">
        <v>105</v>
      </c>
      <c r="C2328" t="s">
        <v>557</v>
      </c>
      <c r="D2328" t="s">
        <v>2563</v>
      </c>
      <c r="E2328" t="s">
        <v>3132</v>
      </c>
      <c r="F2328" s="451">
        <v>46121</v>
      </c>
      <c r="G2328">
        <v>23335</v>
      </c>
      <c r="H2328" t="s">
        <v>4961</v>
      </c>
      <c r="I2328" t="s">
        <v>5191</v>
      </c>
      <c r="J2328">
        <v>1.5</v>
      </c>
      <c r="K2328" t="s">
        <v>4744</v>
      </c>
      <c r="L2328">
        <v>58.72</v>
      </c>
      <c r="M2328">
        <v>39.146667000000001</v>
      </c>
      <c r="N2328" t="s">
        <v>5191</v>
      </c>
      <c r="O2328" t="s">
        <v>462</v>
      </c>
    </row>
    <row r="2329" spans="1:15" x14ac:dyDescent="0.3">
      <c r="A2329">
        <v>225521</v>
      </c>
      <c r="B2329">
        <v>105</v>
      </c>
      <c r="C2329" t="s">
        <v>557</v>
      </c>
      <c r="D2329" t="s">
        <v>2563</v>
      </c>
      <c r="E2329" t="s">
        <v>3132</v>
      </c>
      <c r="F2329" s="451">
        <v>46121</v>
      </c>
      <c r="G2329">
        <v>23184</v>
      </c>
      <c r="H2329" t="s">
        <v>4935</v>
      </c>
      <c r="I2329" t="s">
        <v>5191</v>
      </c>
      <c r="J2329">
        <v>1</v>
      </c>
      <c r="K2329" t="s">
        <v>4744</v>
      </c>
      <c r="L2329">
        <v>22.69</v>
      </c>
      <c r="M2329">
        <v>22.69</v>
      </c>
      <c r="N2329" t="s">
        <v>5191</v>
      </c>
      <c r="O2329" t="s">
        <v>462</v>
      </c>
    </row>
    <row r="2330" spans="1:15" x14ac:dyDescent="0.3">
      <c r="A2330">
        <v>225521</v>
      </c>
      <c r="B2330">
        <v>105</v>
      </c>
      <c r="C2330" t="s">
        <v>557</v>
      </c>
      <c r="D2330" t="s">
        <v>2563</v>
      </c>
      <c r="E2330" t="s">
        <v>3132</v>
      </c>
      <c r="F2330" s="451">
        <v>46121</v>
      </c>
      <c r="G2330">
        <v>19658</v>
      </c>
      <c r="H2330" t="s">
        <v>4784</v>
      </c>
      <c r="I2330" t="s">
        <v>5191</v>
      </c>
      <c r="J2330">
        <v>7</v>
      </c>
      <c r="K2330" t="s">
        <v>4744</v>
      </c>
      <c r="L2330">
        <v>26.88</v>
      </c>
      <c r="M2330">
        <v>3.84</v>
      </c>
      <c r="N2330" t="s">
        <v>5191</v>
      </c>
      <c r="O2330" t="s">
        <v>462</v>
      </c>
    </row>
    <row r="2331" spans="1:15" x14ac:dyDescent="0.3">
      <c r="A2331">
        <v>225521</v>
      </c>
      <c r="B2331">
        <v>105</v>
      </c>
      <c r="C2331" t="s">
        <v>557</v>
      </c>
      <c r="D2331" t="s">
        <v>2563</v>
      </c>
      <c r="E2331" t="s">
        <v>3132</v>
      </c>
      <c r="F2331" s="451">
        <v>46121</v>
      </c>
      <c r="G2331">
        <v>19642</v>
      </c>
      <c r="H2331" t="s">
        <v>4996</v>
      </c>
      <c r="I2331" t="s">
        <v>5191</v>
      </c>
      <c r="J2331">
        <v>1.2</v>
      </c>
      <c r="K2331" t="s">
        <v>4744</v>
      </c>
      <c r="L2331">
        <v>7.39</v>
      </c>
      <c r="M2331">
        <v>6.1583329999999998</v>
      </c>
      <c r="N2331" t="s">
        <v>5191</v>
      </c>
      <c r="O2331" t="s">
        <v>462</v>
      </c>
    </row>
    <row r="2332" spans="1:15" x14ac:dyDescent="0.3">
      <c r="A2332">
        <v>225521</v>
      </c>
      <c r="B2332">
        <v>105</v>
      </c>
      <c r="C2332" t="s">
        <v>557</v>
      </c>
      <c r="D2332" t="s">
        <v>2563</v>
      </c>
      <c r="E2332" t="s">
        <v>3132</v>
      </c>
      <c r="F2332" s="451">
        <v>46121</v>
      </c>
      <c r="G2332">
        <v>19622</v>
      </c>
      <c r="H2332" t="s">
        <v>4915</v>
      </c>
      <c r="I2332" t="s">
        <v>5191</v>
      </c>
      <c r="J2332">
        <v>1.1499999999999999</v>
      </c>
      <c r="K2332" t="s">
        <v>4744</v>
      </c>
      <c r="L2332">
        <v>5</v>
      </c>
      <c r="M2332">
        <v>4.3478260000000004</v>
      </c>
      <c r="N2332" t="s">
        <v>5191</v>
      </c>
      <c r="O2332" t="s">
        <v>462</v>
      </c>
    </row>
    <row r="2333" spans="1:15" x14ac:dyDescent="0.3">
      <c r="A2333">
        <v>225521</v>
      </c>
      <c r="B2333">
        <v>105</v>
      </c>
      <c r="C2333" t="s">
        <v>557</v>
      </c>
      <c r="D2333" t="s">
        <v>2563</v>
      </c>
      <c r="E2333" t="s">
        <v>3132</v>
      </c>
      <c r="F2333" s="451">
        <v>46121</v>
      </c>
      <c r="G2333">
        <v>19635</v>
      </c>
      <c r="H2333" t="s">
        <v>4786</v>
      </c>
      <c r="I2333" t="s">
        <v>5191</v>
      </c>
      <c r="J2333">
        <v>5.2</v>
      </c>
      <c r="K2333" t="s">
        <v>4744</v>
      </c>
      <c r="L2333">
        <v>32.4</v>
      </c>
      <c r="M2333">
        <v>6.2307689999999996</v>
      </c>
      <c r="N2333" t="s">
        <v>5191</v>
      </c>
      <c r="O2333" t="s">
        <v>462</v>
      </c>
    </row>
    <row r="2334" spans="1:15" x14ac:dyDescent="0.3">
      <c r="A2334">
        <v>225521</v>
      </c>
      <c r="B2334">
        <v>105</v>
      </c>
      <c r="C2334" t="s">
        <v>557</v>
      </c>
      <c r="D2334" t="s">
        <v>2563</v>
      </c>
      <c r="E2334" t="s">
        <v>3132</v>
      </c>
      <c r="F2334" s="451">
        <v>46121</v>
      </c>
      <c r="G2334">
        <v>19476</v>
      </c>
      <c r="H2334" t="s">
        <v>5115</v>
      </c>
      <c r="I2334" t="s">
        <v>5191</v>
      </c>
      <c r="J2334">
        <v>0.4</v>
      </c>
      <c r="K2334" t="s">
        <v>4744</v>
      </c>
      <c r="L2334">
        <v>27.26</v>
      </c>
      <c r="M2334">
        <v>68.150000000000006</v>
      </c>
      <c r="N2334" t="s">
        <v>5191</v>
      </c>
      <c r="O2334" t="s">
        <v>462</v>
      </c>
    </row>
    <row r="2335" spans="1:15" x14ac:dyDescent="0.3">
      <c r="A2335">
        <v>225521</v>
      </c>
      <c r="B2335">
        <v>105</v>
      </c>
      <c r="C2335" t="s">
        <v>557</v>
      </c>
      <c r="D2335" t="s">
        <v>2563</v>
      </c>
      <c r="E2335" t="s">
        <v>3132</v>
      </c>
      <c r="F2335" s="451">
        <v>46121</v>
      </c>
      <c r="G2335">
        <v>24509</v>
      </c>
      <c r="H2335" t="s">
        <v>4788</v>
      </c>
      <c r="I2335" t="s">
        <v>5191</v>
      </c>
      <c r="J2335">
        <v>7.1</v>
      </c>
      <c r="K2335" t="s">
        <v>4744</v>
      </c>
      <c r="L2335">
        <v>23.64</v>
      </c>
      <c r="M2335">
        <v>3.329577</v>
      </c>
      <c r="N2335" t="s">
        <v>5191</v>
      </c>
      <c r="O2335" t="s">
        <v>462</v>
      </c>
    </row>
    <row r="2336" spans="1:15" x14ac:dyDescent="0.3">
      <c r="A2336">
        <v>225521</v>
      </c>
      <c r="B2336">
        <v>105</v>
      </c>
      <c r="C2336" t="s">
        <v>557</v>
      </c>
      <c r="D2336" t="s">
        <v>2563</v>
      </c>
      <c r="E2336" t="s">
        <v>3132</v>
      </c>
      <c r="F2336" s="451">
        <v>46121</v>
      </c>
      <c r="G2336">
        <v>19740</v>
      </c>
      <c r="H2336" t="s">
        <v>4779</v>
      </c>
      <c r="I2336" t="s">
        <v>5191</v>
      </c>
      <c r="J2336">
        <v>5</v>
      </c>
      <c r="K2336" t="s">
        <v>4744</v>
      </c>
      <c r="L2336">
        <v>39.85</v>
      </c>
      <c r="M2336">
        <v>7.97</v>
      </c>
      <c r="N2336" t="s">
        <v>5191</v>
      </c>
      <c r="O2336" t="s">
        <v>462</v>
      </c>
    </row>
    <row r="2337" spans="1:15" x14ac:dyDescent="0.3">
      <c r="A2337">
        <v>225521</v>
      </c>
      <c r="B2337">
        <v>105</v>
      </c>
      <c r="C2337" t="s">
        <v>557</v>
      </c>
      <c r="D2337" t="s">
        <v>2563</v>
      </c>
      <c r="E2337" t="s">
        <v>3132</v>
      </c>
      <c r="F2337" s="451">
        <v>46121</v>
      </c>
      <c r="G2337">
        <v>19589</v>
      </c>
      <c r="H2337" t="s">
        <v>4983</v>
      </c>
      <c r="I2337" t="s">
        <v>5191</v>
      </c>
      <c r="J2337">
        <v>2</v>
      </c>
      <c r="K2337" t="s">
        <v>4744</v>
      </c>
      <c r="L2337">
        <v>13.2</v>
      </c>
      <c r="M2337">
        <v>6.6</v>
      </c>
      <c r="N2337" t="s">
        <v>5191</v>
      </c>
      <c r="O2337" t="s">
        <v>462</v>
      </c>
    </row>
    <row r="2338" spans="1:15" x14ac:dyDescent="0.3">
      <c r="A2338">
        <v>225521</v>
      </c>
      <c r="B2338">
        <v>105</v>
      </c>
      <c r="C2338" t="s">
        <v>557</v>
      </c>
      <c r="D2338" t="s">
        <v>2563</v>
      </c>
      <c r="E2338" t="s">
        <v>3132</v>
      </c>
      <c r="F2338" s="451">
        <v>46121</v>
      </c>
      <c r="G2338">
        <v>19623</v>
      </c>
      <c r="H2338" t="s">
        <v>4764</v>
      </c>
      <c r="I2338" t="s">
        <v>5191</v>
      </c>
      <c r="J2338">
        <v>3.2</v>
      </c>
      <c r="K2338" t="s">
        <v>4744</v>
      </c>
      <c r="L2338">
        <v>14.4</v>
      </c>
      <c r="M2338">
        <v>4.5</v>
      </c>
      <c r="N2338" t="s">
        <v>5191</v>
      </c>
      <c r="O2338" t="s">
        <v>462</v>
      </c>
    </row>
    <row r="2339" spans="1:15" x14ac:dyDescent="0.3">
      <c r="A2339">
        <v>225521</v>
      </c>
      <c r="B2339">
        <v>105</v>
      </c>
      <c r="C2339" t="s">
        <v>557</v>
      </c>
      <c r="D2339" t="s">
        <v>2563</v>
      </c>
      <c r="E2339" t="s">
        <v>3132</v>
      </c>
      <c r="F2339" s="451">
        <v>46121</v>
      </c>
      <c r="G2339">
        <v>23113</v>
      </c>
      <c r="H2339" t="s">
        <v>5074</v>
      </c>
      <c r="I2339" t="s">
        <v>5191</v>
      </c>
      <c r="J2339">
        <v>0.5</v>
      </c>
      <c r="K2339" t="s">
        <v>4744</v>
      </c>
      <c r="L2339">
        <v>6.46</v>
      </c>
      <c r="M2339">
        <v>12.92</v>
      </c>
      <c r="N2339" t="s">
        <v>5191</v>
      </c>
      <c r="O2339" t="s">
        <v>462</v>
      </c>
    </row>
    <row r="2340" spans="1:15" x14ac:dyDescent="0.3">
      <c r="A2340">
        <v>225521</v>
      </c>
      <c r="B2340">
        <v>105</v>
      </c>
      <c r="C2340" t="s">
        <v>557</v>
      </c>
      <c r="D2340" t="s">
        <v>2563</v>
      </c>
      <c r="E2340" t="s">
        <v>3132</v>
      </c>
      <c r="F2340" s="451">
        <v>46121</v>
      </c>
      <c r="G2340">
        <v>23228</v>
      </c>
      <c r="H2340" t="s">
        <v>4782</v>
      </c>
      <c r="I2340" t="s">
        <v>5191</v>
      </c>
      <c r="J2340">
        <v>6</v>
      </c>
      <c r="K2340" t="s">
        <v>4744</v>
      </c>
      <c r="L2340">
        <v>39.18</v>
      </c>
      <c r="M2340">
        <v>6.53</v>
      </c>
      <c r="N2340" t="s">
        <v>5191</v>
      </c>
      <c r="O2340" t="s">
        <v>462</v>
      </c>
    </row>
    <row r="2341" spans="1:15" x14ac:dyDescent="0.3">
      <c r="A2341">
        <v>225521</v>
      </c>
      <c r="B2341">
        <v>105</v>
      </c>
      <c r="C2341" t="s">
        <v>557</v>
      </c>
      <c r="D2341" t="s">
        <v>2563</v>
      </c>
      <c r="E2341" t="s">
        <v>3132</v>
      </c>
      <c r="F2341" s="451">
        <v>46121</v>
      </c>
      <c r="G2341">
        <v>19532</v>
      </c>
      <c r="H2341" t="s">
        <v>4753</v>
      </c>
      <c r="I2341" t="s">
        <v>5191</v>
      </c>
      <c r="J2341">
        <v>25.7</v>
      </c>
      <c r="K2341" t="s">
        <v>4744</v>
      </c>
      <c r="L2341">
        <v>273.19</v>
      </c>
      <c r="M2341">
        <v>10.629961</v>
      </c>
      <c r="N2341" t="s">
        <v>5191</v>
      </c>
      <c r="O2341" t="s">
        <v>462</v>
      </c>
    </row>
    <row r="2342" spans="1:15" x14ac:dyDescent="0.3">
      <c r="A2342">
        <v>225521</v>
      </c>
      <c r="B2342">
        <v>105</v>
      </c>
      <c r="C2342" t="s">
        <v>557</v>
      </c>
      <c r="D2342" t="s">
        <v>2563</v>
      </c>
      <c r="E2342" t="s">
        <v>3132</v>
      </c>
      <c r="F2342" s="451">
        <v>46121</v>
      </c>
      <c r="G2342">
        <v>19734</v>
      </c>
      <c r="H2342" t="s">
        <v>4833</v>
      </c>
      <c r="I2342" t="s">
        <v>5191</v>
      </c>
      <c r="J2342">
        <v>5.15</v>
      </c>
      <c r="K2342" t="s">
        <v>4744</v>
      </c>
      <c r="L2342">
        <v>67.209999999999994</v>
      </c>
      <c r="M2342">
        <v>13.050485</v>
      </c>
      <c r="N2342" t="s">
        <v>5191</v>
      </c>
      <c r="O2342" t="s">
        <v>462</v>
      </c>
    </row>
    <row r="2343" spans="1:15" x14ac:dyDescent="0.3">
      <c r="A2343">
        <v>225521</v>
      </c>
      <c r="B2343">
        <v>105</v>
      </c>
      <c r="C2343" t="s">
        <v>557</v>
      </c>
      <c r="D2343" t="s">
        <v>2563</v>
      </c>
      <c r="E2343" t="s">
        <v>3132</v>
      </c>
      <c r="F2343" s="451">
        <v>46121</v>
      </c>
      <c r="G2343">
        <v>19765</v>
      </c>
      <c r="H2343" t="s">
        <v>4889</v>
      </c>
      <c r="I2343" t="s">
        <v>5191</v>
      </c>
      <c r="J2343">
        <v>1</v>
      </c>
      <c r="K2343" t="s">
        <v>4744</v>
      </c>
      <c r="L2343">
        <v>36.25</v>
      </c>
      <c r="M2343">
        <v>36.25</v>
      </c>
      <c r="N2343" t="s">
        <v>5191</v>
      </c>
      <c r="O2343" t="s">
        <v>462</v>
      </c>
    </row>
    <row r="2344" spans="1:15" x14ac:dyDescent="0.3">
      <c r="A2344">
        <v>225520</v>
      </c>
      <c r="B2344">
        <v>105</v>
      </c>
      <c r="C2344" t="s">
        <v>557</v>
      </c>
      <c r="D2344" t="s">
        <v>2600</v>
      </c>
      <c r="E2344" t="s">
        <v>3133</v>
      </c>
      <c r="F2344" s="451">
        <v>46126</v>
      </c>
      <c r="G2344">
        <v>20549</v>
      </c>
      <c r="H2344" t="s">
        <v>4823</v>
      </c>
      <c r="I2344" t="s">
        <v>5191</v>
      </c>
      <c r="J2344">
        <v>5</v>
      </c>
      <c r="K2344" t="s">
        <v>4744</v>
      </c>
      <c r="L2344">
        <v>99.95</v>
      </c>
      <c r="M2344">
        <v>19.989999999999998</v>
      </c>
      <c r="N2344" t="s">
        <v>5272</v>
      </c>
      <c r="O2344" t="s">
        <v>462</v>
      </c>
    </row>
    <row r="2345" spans="1:15" x14ac:dyDescent="0.3">
      <c r="A2345">
        <v>225520</v>
      </c>
      <c r="B2345">
        <v>105</v>
      </c>
      <c r="C2345" t="s">
        <v>557</v>
      </c>
      <c r="D2345" t="s">
        <v>2600</v>
      </c>
      <c r="E2345" t="s">
        <v>3133</v>
      </c>
      <c r="F2345" s="451">
        <v>46126</v>
      </c>
      <c r="G2345">
        <v>24197</v>
      </c>
      <c r="H2345" t="s">
        <v>5237</v>
      </c>
      <c r="I2345" t="s">
        <v>5191</v>
      </c>
      <c r="J2345">
        <v>10</v>
      </c>
      <c r="K2345" t="s">
        <v>4744</v>
      </c>
      <c r="L2345">
        <v>199.9</v>
      </c>
      <c r="M2345">
        <v>19.989999999999998</v>
      </c>
      <c r="N2345" t="s">
        <v>5272</v>
      </c>
      <c r="O2345" t="s">
        <v>462</v>
      </c>
    </row>
    <row r="2346" spans="1:15" x14ac:dyDescent="0.3">
      <c r="A2346">
        <v>225519</v>
      </c>
      <c r="B2346">
        <v>105</v>
      </c>
      <c r="C2346" t="s">
        <v>557</v>
      </c>
      <c r="D2346" t="s">
        <v>2600</v>
      </c>
      <c r="E2346" t="s">
        <v>3134</v>
      </c>
      <c r="F2346" s="451">
        <v>46119</v>
      </c>
      <c r="G2346">
        <v>20549</v>
      </c>
      <c r="H2346" t="s">
        <v>4823</v>
      </c>
      <c r="I2346" t="s">
        <v>5191</v>
      </c>
      <c r="J2346">
        <v>6.9</v>
      </c>
      <c r="K2346" t="s">
        <v>4744</v>
      </c>
      <c r="L2346">
        <v>137.93</v>
      </c>
      <c r="M2346">
        <v>19.989854999999999</v>
      </c>
      <c r="N2346" t="s">
        <v>5272</v>
      </c>
      <c r="O2346" t="s">
        <v>462</v>
      </c>
    </row>
    <row r="2347" spans="1:15" x14ac:dyDescent="0.3">
      <c r="A2347">
        <v>225519</v>
      </c>
      <c r="B2347">
        <v>105</v>
      </c>
      <c r="C2347" t="s">
        <v>557</v>
      </c>
      <c r="D2347" t="s">
        <v>2600</v>
      </c>
      <c r="E2347" t="s">
        <v>3134</v>
      </c>
      <c r="F2347" s="451">
        <v>46119</v>
      </c>
      <c r="G2347">
        <v>24197</v>
      </c>
      <c r="H2347" t="s">
        <v>5237</v>
      </c>
      <c r="I2347" t="s">
        <v>5191</v>
      </c>
      <c r="J2347">
        <v>12.1</v>
      </c>
      <c r="K2347" t="s">
        <v>4744</v>
      </c>
      <c r="L2347">
        <v>241.88</v>
      </c>
      <c r="M2347">
        <v>19.990082999999998</v>
      </c>
      <c r="N2347" t="s">
        <v>5272</v>
      </c>
      <c r="O2347" t="s">
        <v>462</v>
      </c>
    </row>
    <row r="2348" spans="1:15" x14ac:dyDescent="0.3">
      <c r="A2348">
        <v>225518</v>
      </c>
      <c r="B2348">
        <v>105</v>
      </c>
      <c r="C2348" t="s">
        <v>557</v>
      </c>
      <c r="D2348" t="s">
        <v>2705</v>
      </c>
      <c r="E2348" t="s">
        <v>3135</v>
      </c>
      <c r="F2348" s="451">
        <v>46125</v>
      </c>
      <c r="G2348">
        <v>24658</v>
      </c>
      <c r="H2348" t="s">
        <v>5274</v>
      </c>
      <c r="I2348" t="s">
        <v>5232</v>
      </c>
      <c r="J2348">
        <v>20</v>
      </c>
      <c r="K2348" t="s">
        <v>4738</v>
      </c>
      <c r="L2348">
        <v>692</v>
      </c>
      <c r="M2348">
        <v>34.6</v>
      </c>
      <c r="N2348" t="s">
        <v>5287</v>
      </c>
      <c r="O2348" t="s">
        <v>462</v>
      </c>
    </row>
    <row r="2349" spans="1:15" x14ac:dyDescent="0.3">
      <c r="A2349">
        <v>225517</v>
      </c>
      <c r="B2349">
        <v>105</v>
      </c>
      <c r="C2349" t="s">
        <v>557</v>
      </c>
      <c r="D2349" t="s">
        <v>2565</v>
      </c>
      <c r="E2349" t="s">
        <v>3136</v>
      </c>
      <c r="F2349" s="451">
        <v>46126</v>
      </c>
      <c r="G2349">
        <v>18119</v>
      </c>
      <c r="H2349" t="s">
        <v>5044</v>
      </c>
      <c r="I2349" t="s">
        <v>5222</v>
      </c>
      <c r="J2349">
        <v>1</v>
      </c>
      <c r="K2349" t="s">
        <v>4805</v>
      </c>
      <c r="L2349">
        <v>162.16</v>
      </c>
      <c r="M2349">
        <v>162.16</v>
      </c>
      <c r="N2349" t="s">
        <v>5271</v>
      </c>
      <c r="O2349" t="s">
        <v>462</v>
      </c>
    </row>
    <row r="2350" spans="1:15" x14ac:dyDescent="0.3">
      <c r="A2350">
        <v>225517</v>
      </c>
      <c r="B2350">
        <v>105</v>
      </c>
      <c r="C2350" t="s">
        <v>557</v>
      </c>
      <c r="D2350" t="s">
        <v>2565</v>
      </c>
      <c r="E2350" t="s">
        <v>3136</v>
      </c>
      <c r="F2350" s="451">
        <v>46126</v>
      </c>
      <c r="G2350">
        <v>18359</v>
      </c>
      <c r="H2350" t="s">
        <v>4921</v>
      </c>
      <c r="I2350" t="s">
        <v>5222</v>
      </c>
      <c r="J2350">
        <v>2</v>
      </c>
      <c r="K2350" t="s">
        <v>4805</v>
      </c>
      <c r="L2350">
        <v>189.6</v>
      </c>
      <c r="M2350">
        <v>94.8</v>
      </c>
      <c r="N2350" t="s">
        <v>5271</v>
      </c>
      <c r="O2350" t="s">
        <v>462</v>
      </c>
    </row>
    <row r="2351" spans="1:15" x14ac:dyDescent="0.3">
      <c r="A2351">
        <v>225516</v>
      </c>
      <c r="B2351">
        <v>105</v>
      </c>
      <c r="C2351" t="s">
        <v>557</v>
      </c>
      <c r="D2351" t="s">
        <v>2716</v>
      </c>
      <c r="E2351" t="s">
        <v>3137</v>
      </c>
      <c r="F2351" s="451">
        <v>46125</v>
      </c>
      <c r="G2351">
        <v>24351</v>
      </c>
      <c r="H2351" t="s">
        <v>5014</v>
      </c>
      <c r="I2351" t="s">
        <v>5191</v>
      </c>
      <c r="J2351">
        <v>6</v>
      </c>
      <c r="K2351" t="s">
        <v>4744</v>
      </c>
      <c r="L2351">
        <v>180</v>
      </c>
      <c r="M2351">
        <v>30</v>
      </c>
      <c r="N2351" t="s">
        <v>5272</v>
      </c>
      <c r="O2351" t="s">
        <v>462</v>
      </c>
    </row>
    <row r="2352" spans="1:15" x14ac:dyDescent="0.3">
      <c r="A2352">
        <v>225515</v>
      </c>
      <c r="B2352">
        <v>105</v>
      </c>
      <c r="C2352" t="s">
        <v>557</v>
      </c>
      <c r="D2352" t="s">
        <v>2699</v>
      </c>
      <c r="E2352" t="s">
        <v>3138</v>
      </c>
      <c r="F2352" s="451">
        <v>46126</v>
      </c>
      <c r="G2352">
        <v>18172</v>
      </c>
      <c r="H2352" t="s">
        <v>4804</v>
      </c>
      <c r="I2352" t="s">
        <v>5222</v>
      </c>
      <c r="J2352">
        <v>6</v>
      </c>
      <c r="K2352" t="s">
        <v>4805</v>
      </c>
      <c r="L2352">
        <v>188.4</v>
      </c>
      <c r="M2352">
        <v>31.4</v>
      </c>
      <c r="N2352" t="s">
        <v>5271</v>
      </c>
      <c r="O2352" t="s">
        <v>462</v>
      </c>
    </row>
    <row r="2353" spans="1:15" x14ac:dyDescent="0.3">
      <c r="A2353">
        <v>225515</v>
      </c>
      <c r="B2353">
        <v>105</v>
      </c>
      <c r="C2353" t="s">
        <v>557</v>
      </c>
      <c r="D2353" t="s">
        <v>2699</v>
      </c>
      <c r="E2353" t="s">
        <v>3138</v>
      </c>
      <c r="F2353" s="451">
        <v>46126</v>
      </c>
      <c r="G2353">
        <v>20955</v>
      </c>
      <c r="H2353" t="s">
        <v>4959</v>
      </c>
      <c r="I2353" t="s">
        <v>5191</v>
      </c>
      <c r="J2353">
        <v>6</v>
      </c>
      <c r="K2353" t="s">
        <v>4805</v>
      </c>
      <c r="L2353">
        <v>65.400000000000006</v>
      </c>
      <c r="M2353">
        <v>10.9</v>
      </c>
      <c r="N2353" t="s">
        <v>5271</v>
      </c>
      <c r="O2353" t="s">
        <v>462</v>
      </c>
    </row>
    <row r="2354" spans="1:15" x14ac:dyDescent="0.3">
      <c r="A2354">
        <v>225514</v>
      </c>
      <c r="B2354">
        <v>105</v>
      </c>
      <c r="C2354" t="s">
        <v>557</v>
      </c>
      <c r="D2354" t="s">
        <v>2675</v>
      </c>
      <c r="E2354" t="s">
        <v>3139</v>
      </c>
      <c r="F2354" s="451">
        <v>46118</v>
      </c>
      <c r="G2354">
        <v>23980</v>
      </c>
      <c r="H2354" t="s">
        <v>5097</v>
      </c>
      <c r="I2354" t="s">
        <v>5191</v>
      </c>
      <c r="J2354">
        <v>20</v>
      </c>
      <c r="K2354" t="s">
        <v>4744</v>
      </c>
      <c r="L2354">
        <v>780</v>
      </c>
      <c r="M2354">
        <v>39</v>
      </c>
      <c r="N2354" t="s">
        <v>5272</v>
      </c>
      <c r="O2354" t="s">
        <v>462</v>
      </c>
    </row>
    <row r="2355" spans="1:15" x14ac:dyDescent="0.3">
      <c r="A2355">
        <v>225513</v>
      </c>
      <c r="B2355">
        <v>105</v>
      </c>
      <c r="C2355" t="s">
        <v>557</v>
      </c>
      <c r="D2355" t="s">
        <v>1786</v>
      </c>
      <c r="E2355" t="s">
        <v>3140</v>
      </c>
      <c r="F2355" s="451">
        <v>46125</v>
      </c>
      <c r="G2355">
        <v>20501</v>
      </c>
      <c r="H2355" t="s">
        <v>4760</v>
      </c>
      <c r="I2355" t="s">
        <v>5191</v>
      </c>
      <c r="J2355">
        <v>20</v>
      </c>
      <c r="K2355" t="s">
        <v>4744</v>
      </c>
      <c r="L2355">
        <v>442.4</v>
      </c>
      <c r="M2355">
        <v>22.12</v>
      </c>
      <c r="N2355" t="s">
        <v>5272</v>
      </c>
      <c r="O2355" t="s">
        <v>462</v>
      </c>
    </row>
    <row r="2356" spans="1:15" x14ac:dyDescent="0.3">
      <c r="A2356">
        <v>225513</v>
      </c>
      <c r="B2356">
        <v>105</v>
      </c>
      <c r="C2356" t="s">
        <v>557</v>
      </c>
      <c r="D2356" t="s">
        <v>1786</v>
      </c>
      <c r="E2356" t="s">
        <v>3140</v>
      </c>
      <c r="F2356" s="451">
        <v>46125</v>
      </c>
      <c r="G2356">
        <v>24339</v>
      </c>
      <c r="H2356" t="s">
        <v>4885</v>
      </c>
      <c r="I2356" t="s">
        <v>5191</v>
      </c>
      <c r="J2356">
        <v>2.5</v>
      </c>
      <c r="K2356" t="s">
        <v>4744</v>
      </c>
      <c r="L2356">
        <v>62.47</v>
      </c>
      <c r="M2356">
        <v>24.988</v>
      </c>
      <c r="N2356" t="s">
        <v>5272</v>
      </c>
      <c r="O2356" t="s">
        <v>462</v>
      </c>
    </row>
    <row r="2357" spans="1:15" x14ac:dyDescent="0.3">
      <c r="A2357">
        <v>225512</v>
      </c>
      <c r="B2357">
        <v>105</v>
      </c>
      <c r="C2357" t="s">
        <v>557</v>
      </c>
      <c r="D2357" t="s">
        <v>1786</v>
      </c>
      <c r="E2357" t="s">
        <v>3141</v>
      </c>
      <c r="F2357" s="451">
        <v>46121</v>
      </c>
      <c r="G2357">
        <v>20657</v>
      </c>
      <c r="H2357" t="s">
        <v>5109</v>
      </c>
      <c r="I2357" t="s">
        <v>5191</v>
      </c>
      <c r="J2357">
        <v>8</v>
      </c>
      <c r="K2357" t="s">
        <v>5206</v>
      </c>
      <c r="L2357">
        <v>57.92</v>
      </c>
      <c r="M2357">
        <v>7.24</v>
      </c>
      <c r="N2357" t="s">
        <v>5191</v>
      </c>
      <c r="O2357" t="s">
        <v>462</v>
      </c>
    </row>
    <row r="2358" spans="1:15" x14ac:dyDescent="0.3">
      <c r="A2358">
        <v>225512</v>
      </c>
      <c r="B2358">
        <v>105</v>
      </c>
      <c r="C2358" t="s">
        <v>557</v>
      </c>
      <c r="D2358" t="s">
        <v>1786</v>
      </c>
      <c r="E2358" t="s">
        <v>3141</v>
      </c>
      <c r="F2358" s="451">
        <v>46121</v>
      </c>
      <c r="G2358">
        <v>19306</v>
      </c>
      <c r="H2358" t="s">
        <v>5111</v>
      </c>
      <c r="I2358" t="s">
        <v>5191</v>
      </c>
      <c r="J2358">
        <v>2</v>
      </c>
      <c r="K2358" t="s">
        <v>5228</v>
      </c>
      <c r="L2358">
        <v>35.979999999999997</v>
      </c>
      <c r="M2358">
        <v>17.989999999999998</v>
      </c>
      <c r="N2358" t="s">
        <v>5191</v>
      </c>
      <c r="O2358" t="s">
        <v>462</v>
      </c>
    </row>
    <row r="2359" spans="1:15" x14ac:dyDescent="0.3">
      <c r="A2359">
        <v>225512</v>
      </c>
      <c r="B2359">
        <v>105</v>
      </c>
      <c r="C2359" t="s">
        <v>557</v>
      </c>
      <c r="D2359" t="s">
        <v>1786</v>
      </c>
      <c r="E2359" t="s">
        <v>3141</v>
      </c>
      <c r="F2359" s="451">
        <v>46121</v>
      </c>
      <c r="G2359">
        <v>19439</v>
      </c>
      <c r="H2359" t="s">
        <v>4917</v>
      </c>
      <c r="I2359" t="s">
        <v>5191</v>
      </c>
      <c r="J2359">
        <v>4</v>
      </c>
      <c r="K2359" t="s">
        <v>4738</v>
      </c>
      <c r="L2359">
        <v>129.76</v>
      </c>
      <c r="M2359">
        <v>32.44</v>
      </c>
      <c r="N2359" t="s">
        <v>5191</v>
      </c>
      <c r="O2359" t="s">
        <v>462</v>
      </c>
    </row>
    <row r="2360" spans="1:15" x14ac:dyDescent="0.3">
      <c r="A2360">
        <v>225512</v>
      </c>
      <c r="B2360">
        <v>105</v>
      </c>
      <c r="C2360" t="s">
        <v>557</v>
      </c>
      <c r="D2360" t="s">
        <v>1786</v>
      </c>
      <c r="E2360" t="s">
        <v>3141</v>
      </c>
      <c r="F2360" s="451">
        <v>46121</v>
      </c>
      <c r="G2360">
        <v>23785</v>
      </c>
      <c r="H2360" t="s">
        <v>4858</v>
      </c>
      <c r="I2360" t="s">
        <v>5191</v>
      </c>
      <c r="J2360">
        <v>7</v>
      </c>
      <c r="K2360" t="s">
        <v>4744</v>
      </c>
      <c r="L2360">
        <v>211.61</v>
      </c>
      <c r="M2360">
        <v>30.23</v>
      </c>
      <c r="N2360" t="s">
        <v>5191</v>
      </c>
      <c r="O2360" t="s">
        <v>462</v>
      </c>
    </row>
    <row r="2361" spans="1:15" x14ac:dyDescent="0.3">
      <c r="A2361">
        <v>225511</v>
      </c>
      <c r="B2361">
        <v>105</v>
      </c>
      <c r="C2361" t="s">
        <v>557</v>
      </c>
      <c r="D2361" t="s">
        <v>2690</v>
      </c>
      <c r="E2361" t="s">
        <v>3142</v>
      </c>
      <c r="F2361" s="451">
        <v>46120</v>
      </c>
      <c r="G2361">
        <v>18327</v>
      </c>
      <c r="H2361" t="s">
        <v>5035</v>
      </c>
      <c r="I2361" t="s">
        <v>5222</v>
      </c>
      <c r="J2361">
        <v>1</v>
      </c>
      <c r="K2361" t="s">
        <v>4805</v>
      </c>
      <c r="L2361">
        <v>98.24</v>
      </c>
      <c r="M2361">
        <v>98.24</v>
      </c>
      <c r="N2361" t="s">
        <v>5222</v>
      </c>
      <c r="O2361" t="s">
        <v>462</v>
      </c>
    </row>
    <row r="2362" spans="1:15" x14ac:dyDescent="0.3">
      <c r="A2362">
        <v>225511</v>
      </c>
      <c r="B2362">
        <v>105</v>
      </c>
      <c r="C2362" t="s">
        <v>557</v>
      </c>
      <c r="D2362" t="s">
        <v>2690</v>
      </c>
      <c r="E2362" t="s">
        <v>3142</v>
      </c>
      <c r="F2362" s="451">
        <v>46120</v>
      </c>
      <c r="G2362">
        <v>18030</v>
      </c>
      <c r="H2362" t="s">
        <v>4840</v>
      </c>
      <c r="I2362" t="s">
        <v>5222</v>
      </c>
      <c r="J2362">
        <v>6</v>
      </c>
      <c r="K2362" t="s">
        <v>4805</v>
      </c>
      <c r="L2362">
        <v>168.42</v>
      </c>
      <c r="M2362">
        <v>28.07</v>
      </c>
      <c r="N2362" t="s">
        <v>5222</v>
      </c>
      <c r="O2362" t="s">
        <v>462</v>
      </c>
    </row>
    <row r="2363" spans="1:15" x14ac:dyDescent="0.3">
      <c r="A2363">
        <v>225511</v>
      </c>
      <c r="B2363">
        <v>105</v>
      </c>
      <c r="C2363" t="s">
        <v>557</v>
      </c>
      <c r="D2363" t="s">
        <v>2690</v>
      </c>
      <c r="E2363" t="s">
        <v>3142</v>
      </c>
      <c r="F2363" s="451">
        <v>46120</v>
      </c>
      <c r="G2363">
        <v>18194</v>
      </c>
      <c r="H2363" t="s">
        <v>4923</v>
      </c>
      <c r="I2363" t="s">
        <v>5222</v>
      </c>
      <c r="J2363">
        <v>2</v>
      </c>
      <c r="K2363" t="s">
        <v>4805</v>
      </c>
      <c r="L2363">
        <v>131</v>
      </c>
      <c r="M2363">
        <v>65.5</v>
      </c>
      <c r="N2363" t="s">
        <v>5222</v>
      </c>
      <c r="O2363" t="s">
        <v>462</v>
      </c>
    </row>
    <row r="2364" spans="1:15" x14ac:dyDescent="0.3">
      <c r="A2364">
        <v>225511</v>
      </c>
      <c r="B2364">
        <v>105</v>
      </c>
      <c r="C2364" t="s">
        <v>557</v>
      </c>
      <c r="D2364" t="s">
        <v>2690</v>
      </c>
      <c r="E2364" t="s">
        <v>3142</v>
      </c>
      <c r="F2364" s="451">
        <v>46120</v>
      </c>
      <c r="G2364">
        <v>18129</v>
      </c>
      <c r="H2364" t="s">
        <v>5043</v>
      </c>
      <c r="I2364" t="s">
        <v>5222</v>
      </c>
      <c r="J2364">
        <v>1</v>
      </c>
      <c r="K2364" t="s">
        <v>4805</v>
      </c>
      <c r="L2364">
        <v>118</v>
      </c>
      <c r="M2364">
        <v>118</v>
      </c>
      <c r="N2364" t="s">
        <v>5222</v>
      </c>
      <c r="O2364" t="s">
        <v>462</v>
      </c>
    </row>
    <row r="2365" spans="1:15" x14ac:dyDescent="0.3">
      <c r="A2365">
        <v>225511</v>
      </c>
      <c r="B2365">
        <v>105</v>
      </c>
      <c r="C2365" t="s">
        <v>557</v>
      </c>
      <c r="D2365" t="s">
        <v>2690</v>
      </c>
      <c r="E2365" t="s">
        <v>3142</v>
      </c>
      <c r="F2365" s="451">
        <v>46120</v>
      </c>
      <c r="G2365">
        <v>18423</v>
      </c>
      <c r="H2365" t="s">
        <v>4987</v>
      </c>
      <c r="I2365" t="s">
        <v>5222</v>
      </c>
      <c r="J2365">
        <v>2</v>
      </c>
      <c r="K2365" t="s">
        <v>4805</v>
      </c>
      <c r="L2365">
        <v>63.86</v>
      </c>
      <c r="M2365">
        <v>31.93</v>
      </c>
      <c r="N2365" t="s">
        <v>5222</v>
      </c>
      <c r="O2365" t="s">
        <v>462</v>
      </c>
    </row>
    <row r="2366" spans="1:15" x14ac:dyDescent="0.3">
      <c r="A2366">
        <v>225510</v>
      </c>
      <c r="B2366">
        <v>105</v>
      </c>
      <c r="C2366" t="s">
        <v>557</v>
      </c>
      <c r="D2366" t="s">
        <v>2581</v>
      </c>
      <c r="E2366" t="s">
        <v>3143</v>
      </c>
      <c r="F2366" s="451">
        <v>46120</v>
      </c>
      <c r="G2366">
        <v>19505</v>
      </c>
      <c r="H2366" t="s">
        <v>4872</v>
      </c>
      <c r="I2366" t="s">
        <v>5191</v>
      </c>
      <c r="J2366">
        <v>3</v>
      </c>
      <c r="K2366" t="s">
        <v>4744</v>
      </c>
      <c r="L2366">
        <v>33</v>
      </c>
      <c r="M2366">
        <v>11</v>
      </c>
      <c r="N2366" t="s">
        <v>5272</v>
      </c>
      <c r="O2366" t="s">
        <v>462</v>
      </c>
    </row>
    <row r="2367" spans="1:15" x14ac:dyDescent="0.3">
      <c r="A2367">
        <v>225510</v>
      </c>
      <c r="B2367">
        <v>105</v>
      </c>
      <c r="C2367" t="s">
        <v>557</v>
      </c>
      <c r="D2367" t="s">
        <v>2581</v>
      </c>
      <c r="E2367" t="s">
        <v>3143</v>
      </c>
      <c r="F2367" s="451">
        <v>46120</v>
      </c>
      <c r="G2367">
        <v>19617</v>
      </c>
      <c r="H2367" t="s">
        <v>5071</v>
      </c>
      <c r="I2367" t="s">
        <v>5191</v>
      </c>
      <c r="J2367">
        <v>0.3</v>
      </c>
      <c r="K2367" t="s">
        <v>4744</v>
      </c>
      <c r="L2367">
        <v>5.4</v>
      </c>
      <c r="M2367">
        <v>18</v>
      </c>
      <c r="N2367" t="s">
        <v>5272</v>
      </c>
      <c r="O2367" t="s">
        <v>462</v>
      </c>
    </row>
    <row r="2368" spans="1:15" x14ac:dyDescent="0.3">
      <c r="A2368">
        <v>225510</v>
      </c>
      <c r="B2368">
        <v>105</v>
      </c>
      <c r="C2368" t="s">
        <v>557</v>
      </c>
      <c r="D2368" t="s">
        <v>2581</v>
      </c>
      <c r="E2368" t="s">
        <v>3143</v>
      </c>
      <c r="F2368" s="451">
        <v>46120</v>
      </c>
      <c r="G2368">
        <v>23361</v>
      </c>
      <c r="H2368" t="s">
        <v>4754</v>
      </c>
      <c r="I2368" t="s">
        <v>5191</v>
      </c>
      <c r="J2368">
        <v>20</v>
      </c>
      <c r="K2368" t="s">
        <v>4744</v>
      </c>
      <c r="L2368">
        <v>67</v>
      </c>
      <c r="M2368">
        <v>3.35</v>
      </c>
      <c r="N2368" t="s">
        <v>5272</v>
      </c>
      <c r="O2368" t="s">
        <v>462</v>
      </c>
    </row>
    <row r="2369" spans="1:15" x14ac:dyDescent="0.3">
      <c r="A2369">
        <v>225510</v>
      </c>
      <c r="B2369">
        <v>105</v>
      </c>
      <c r="C2369" t="s">
        <v>557</v>
      </c>
      <c r="D2369" t="s">
        <v>2581</v>
      </c>
      <c r="E2369" t="s">
        <v>3143</v>
      </c>
      <c r="F2369" s="451">
        <v>46120</v>
      </c>
      <c r="G2369">
        <v>19502</v>
      </c>
      <c r="H2369" t="s">
        <v>4871</v>
      </c>
      <c r="I2369" t="s">
        <v>5191</v>
      </c>
      <c r="J2369">
        <v>2</v>
      </c>
      <c r="K2369" t="s">
        <v>4744</v>
      </c>
      <c r="L2369">
        <v>40</v>
      </c>
      <c r="M2369">
        <v>20</v>
      </c>
      <c r="N2369" t="s">
        <v>5272</v>
      </c>
      <c r="O2369" t="s">
        <v>462</v>
      </c>
    </row>
    <row r="2370" spans="1:15" x14ac:dyDescent="0.3">
      <c r="A2370">
        <v>225510</v>
      </c>
      <c r="B2370">
        <v>105</v>
      </c>
      <c r="C2370" t="s">
        <v>557</v>
      </c>
      <c r="D2370" t="s">
        <v>2581</v>
      </c>
      <c r="E2370" t="s">
        <v>3143</v>
      </c>
      <c r="F2370" s="451">
        <v>46120</v>
      </c>
      <c r="G2370">
        <v>19472</v>
      </c>
      <c r="H2370" t="s">
        <v>4906</v>
      </c>
      <c r="I2370" t="s">
        <v>5191</v>
      </c>
      <c r="J2370">
        <v>1</v>
      </c>
      <c r="K2370" t="s">
        <v>4744</v>
      </c>
      <c r="L2370">
        <v>24</v>
      </c>
      <c r="M2370">
        <v>24</v>
      </c>
      <c r="N2370" t="s">
        <v>5272</v>
      </c>
      <c r="O2370" t="s">
        <v>462</v>
      </c>
    </row>
    <row r="2371" spans="1:15" x14ac:dyDescent="0.3">
      <c r="A2371">
        <v>225510</v>
      </c>
      <c r="B2371">
        <v>105</v>
      </c>
      <c r="C2371" t="s">
        <v>557</v>
      </c>
      <c r="D2371" t="s">
        <v>2581</v>
      </c>
      <c r="E2371" t="s">
        <v>3143</v>
      </c>
      <c r="F2371" s="451">
        <v>46120</v>
      </c>
      <c r="G2371">
        <v>23359</v>
      </c>
      <c r="H2371" t="s">
        <v>4767</v>
      </c>
      <c r="I2371" t="s">
        <v>5191</v>
      </c>
      <c r="J2371">
        <v>10</v>
      </c>
      <c r="K2371" t="s">
        <v>4744</v>
      </c>
      <c r="L2371">
        <v>23</v>
      </c>
      <c r="M2371">
        <v>2.2999999999999998</v>
      </c>
      <c r="N2371" t="s">
        <v>5272</v>
      </c>
      <c r="O2371" t="s">
        <v>462</v>
      </c>
    </row>
    <row r="2372" spans="1:15" x14ac:dyDescent="0.3">
      <c r="A2372">
        <v>225510</v>
      </c>
      <c r="B2372">
        <v>105</v>
      </c>
      <c r="C2372" t="s">
        <v>557</v>
      </c>
      <c r="D2372" t="s">
        <v>2581</v>
      </c>
      <c r="E2372" t="s">
        <v>3143</v>
      </c>
      <c r="F2372" s="451">
        <v>46120</v>
      </c>
      <c r="G2372">
        <v>19787</v>
      </c>
      <c r="H2372" t="s">
        <v>4793</v>
      </c>
      <c r="I2372" t="s">
        <v>5191</v>
      </c>
      <c r="J2372">
        <v>7</v>
      </c>
      <c r="K2372" t="s">
        <v>4744</v>
      </c>
      <c r="L2372">
        <v>36.75</v>
      </c>
      <c r="M2372">
        <v>5.25</v>
      </c>
      <c r="N2372" t="s">
        <v>5272</v>
      </c>
      <c r="O2372" t="s">
        <v>462</v>
      </c>
    </row>
    <row r="2373" spans="1:15" x14ac:dyDescent="0.3">
      <c r="A2373">
        <v>225509</v>
      </c>
      <c r="B2373">
        <v>105</v>
      </c>
      <c r="C2373" t="s">
        <v>557</v>
      </c>
      <c r="D2373" t="s">
        <v>2581</v>
      </c>
      <c r="E2373" t="s">
        <v>3144</v>
      </c>
      <c r="F2373" s="451">
        <v>46119</v>
      </c>
      <c r="G2373">
        <v>19505</v>
      </c>
      <c r="H2373" t="s">
        <v>4872</v>
      </c>
      <c r="I2373" t="s">
        <v>5191</v>
      </c>
      <c r="J2373">
        <v>2</v>
      </c>
      <c r="K2373" t="s">
        <v>4744</v>
      </c>
      <c r="L2373">
        <v>26</v>
      </c>
      <c r="M2373">
        <v>13</v>
      </c>
      <c r="N2373" t="s">
        <v>5272</v>
      </c>
      <c r="O2373" t="s">
        <v>462</v>
      </c>
    </row>
    <row r="2374" spans="1:15" x14ac:dyDescent="0.3">
      <c r="A2374">
        <v>225509</v>
      </c>
      <c r="B2374">
        <v>105</v>
      </c>
      <c r="C2374" t="s">
        <v>557</v>
      </c>
      <c r="D2374" t="s">
        <v>2581</v>
      </c>
      <c r="E2374" t="s">
        <v>3144</v>
      </c>
      <c r="F2374" s="451">
        <v>46119</v>
      </c>
      <c r="G2374">
        <v>23236</v>
      </c>
      <c r="H2374" t="s">
        <v>5062</v>
      </c>
      <c r="I2374" t="s">
        <v>5191</v>
      </c>
      <c r="J2374">
        <v>3</v>
      </c>
      <c r="K2374" t="s">
        <v>4744</v>
      </c>
      <c r="L2374">
        <v>33</v>
      </c>
      <c r="M2374">
        <v>11</v>
      </c>
      <c r="N2374" t="s">
        <v>5272</v>
      </c>
      <c r="O2374" t="s">
        <v>462</v>
      </c>
    </row>
    <row r="2375" spans="1:15" x14ac:dyDescent="0.3">
      <c r="A2375">
        <v>225509</v>
      </c>
      <c r="B2375">
        <v>105</v>
      </c>
      <c r="C2375" t="s">
        <v>557</v>
      </c>
      <c r="D2375" t="s">
        <v>2581</v>
      </c>
      <c r="E2375" t="s">
        <v>3144</v>
      </c>
      <c r="F2375" s="451">
        <v>46119</v>
      </c>
      <c r="G2375">
        <v>19480</v>
      </c>
      <c r="H2375" t="s">
        <v>5119</v>
      </c>
      <c r="I2375" t="s">
        <v>5191</v>
      </c>
      <c r="J2375">
        <v>0.5</v>
      </c>
      <c r="K2375" t="s">
        <v>4744</v>
      </c>
      <c r="L2375">
        <v>8.5</v>
      </c>
      <c r="M2375">
        <v>17</v>
      </c>
      <c r="N2375" t="s">
        <v>5272</v>
      </c>
      <c r="O2375" t="s">
        <v>462</v>
      </c>
    </row>
    <row r="2376" spans="1:15" x14ac:dyDescent="0.3">
      <c r="A2376">
        <v>225509</v>
      </c>
      <c r="B2376">
        <v>105</v>
      </c>
      <c r="C2376" t="s">
        <v>557</v>
      </c>
      <c r="D2376" t="s">
        <v>2581</v>
      </c>
      <c r="E2376" t="s">
        <v>3144</v>
      </c>
      <c r="F2376" s="451">
        <v>46119</v>
      </c>
      <c r="G2376">
        <v>19502</v>
      </c>
      <c r="H2376" t="s">
        <v>4871</v>
      </c>
      <c r="I2376" t="s">
        <v>5191</v>
      </c>
      <c r="J2376">
        <v>0.5</v>
      </c>
      <c r="K2376" t="s">
        <v>4744</v>
      </c>
      <c r="L2376">
        <v>10</v>
      </c>
      <c r="M2376">
        <v>20</v>
      </c>
      <c r="N2376" t="s">
        <v>5272</v>
      </c>
      <c r="O2376" t="s">
        <v>462</v>
      </c>
    </row>
    <row r="2377" spans="1:15" x14ac:dyDescent="0.3">
      <c r="A2377">
        <v>225509</v>
      </c>
      <c r="B2377">
        <v>105</v>
      </c>
      <c r="C2377" t="s">
        <v>557</v>
      </c>
      <c r="D2377" t="s">
        <v>2581</v>
      </c>
      <c r="E2377" t="s">
        <v>3144</v>
      </c>
      <c r="F2377" s="451">
        <v>46119</v>
      </c>
      <c r="G2377">
        <v>19507</v>
      </c>
      <c r="H2377" t="s">
        <v>4853</v>
      </c>
      <c r="I2377" t="s">
        <v>5191</v>
      </c>
      <c r="J2377">
        <v>0.5</v>
      </c>
      <c r="K2377" t="s">
        <v>4744</v>
      </c>
      <c r="L2377">
        <v>7.5</v>
      </c>
      <c r="M2377">
        <v>15</v>
      </c>
      <c r="N2377" t="s">
        <v>5272</v>
      </c>
      <c r="O2377" t="s">
        <v>462</v>
      </c>
    </row>
    <row r="2378" spans="1:15" x14ac:dyDescent="0.3">
      <c r="A2378">
        <v>225509</v>
      </c>
      <c r="B2378">
        <v>105</v>
      </c>
      <c r="C2378" t="s">
        <v>557</v>
      </c>
      <c r="D2378" t="s">
        <v>2581</v>
      </c>
      <c r="E2378" t="s">
        <v>3144</v>
      </c>
      <c r="F2378" s="451">
        <v>46119</v>
      </c>
      <c r="G2378">
        <v>19472</v>
      </c>
      <c r="H2378" t="s">
        <v>4906</v>
      </c>
      <c r="I2378" t="s">
        <v>5191</v>
      </c>
      <c r="J2378">
        <v>0.5</v>
      </c>
      <c r="K2378" t="s">
        <v>4744</v>
      </c>
      <c r="L2378">
        <v>11.5</v>
      </c>
      <c r="M2378">
        <v>23</v>
      </c>
      <c r="N2378" t="s">
        <v>5272</v>
      </c>
      <c r="O2378" t="s">
        <v>462</v>
      </c>
    </row>
    <row r="2379" spans="1:15" x14ac:dyDescent="0.3">
      <c r="A2379">
        <v>225509</v>
      </c>
      <c r="B2379">
        <v>105</v>
      </c>
      <c r="C2379" t="s">
        <v>557</v>
      </c>
      <c r="D2379" t="s">
        <v>2581</v>
      </c>
      <c r="E2379" t="s">
        <v>3144</v>
      </c>
      <c r="F2379" s="451">
        <v>46119</v>
      </c>
      <c r="G2379">
        <v>19634</v>
      </c>
      <c r="H2379" t="s">
        <v>4792</v>
      </c>
      <c r="I2379" t="s">
        <v>5191</v>
      </c>
      <c r="J2379">
        <v>1.5</v>
      </c>
      <c r="K2379" t="s">
        <v>4744</v>
      </c>
      <c r="L2379">
        <v>13.5</v>
      </c>
      <c r="M2379">
        <v>9</v>
      </c>
      <c r="N2379" t="s">
        <v>5272</v>
      </c>
      <c r="O2379" t="s">
        <v>462</v>
      </c>
    </row>
    <row r="2380" spans="1:15" x14ac:dyDescent="0.3">
      <c r="A2380">
        <v>225509</v>
      </c>
      <c r="B2380">
        <v>105</v>
      </c>
      <c r="C2380" t="s">
        <v>557</v>
      </c>
      <c r="D2380" t="s">
        <v>2581</v>
      </c>
      <c r="E2380" t="s">
        <v>3144</v>
      </c>
      <c r="F2380" s="451">
        <v>46119</v>
      </c>
      <c r="G2380">
        <v>19532</v>
      </c>
      <c r="H2380" t="s">
        <v>4753</v>
      </c>
      <c r="I2380" t="s">
        <v>5191</v>
      </c>
      <c r="J2380">
        <v>10</v>
      </c>
      <c r="K2380" t="s">
        <v>4744</v>
      </c>
      <c r="L2380">
        <v>125</v>
      </c>
      <c r="M2380">
        <v>12.5</v>
      </c>
      <c r="N2380" t="s">
        <v>5272</v>
      </c>
      <c r="O2380" t="s">
        <v>462</v>
      </c>
    </row>
    <row r="2381" spans="1:15" x14ac:dyDescent="0.3">
      <c r="A2381">
        <v>225508</v>
      </c>
      <c r="B2381">
        <v>105</v>
      </c>
      <c r="C2381" t="s">
        <v>557</v>
      </c>
      <c r="D2381" t="s">
        <v>2581</v>
      </c>
      <c r="E2381" t="s">
        <v>3145</v>
      </c>
      <c r="F2381" s="451">
        <v>46118</v>
      </c>
      <c r="G2381">
        <v>19507</v>
      </c>
      <c r="H2381" t="s">
        <v>4853</v>
      </c>
      <c r="I2381" t="s">
        <v>5191</v>
      </c>
      <c r="J2381">
        <v>2</v>
      </c>
      <c r="K2381" t="s">
        <v>4744</v>
      </c>
      <c r="L2381">
        <v>30</v>
      </c>
      <c r="M2381">
        <v>15</v>
      </c>
      <c r="N2381" t="s">
        <v>5272</v>
      </c>
      <c r="O2381" t="s">
        <v>462</v>
      </c>
    </row>
    <row r="2382" spans="1:15" x14ac:dyDescent="0.3">
      <c r="A2382">
        <v>225508</v>
      </c>
      <c r="B2382">
        <v>105</v>
      </c>
      <c r="C2382" t="s">
        <v>557</v>
      </c>
      <c r="D2382" t="s">
        <v>2581</v>
      </c>
      <c r="E2382" t="s">
        <v>3145</v>
      </c>
      <c r="F2382" s="451">
        <v>46118</v>
      </c>
      <c r="G2382">
        <v>19472</v>
      </c>
      <c r="H2382" t="s">
        <v>4906</v>
      </c>
      <c r="I2382" t="s">
        <v>5191</v>
      </c>
      <c r="J2382">
        <v>2</v>
      </c>
      <c r="K2382" t="s">
        <v>4744</v>
      </c>
      <c r="L2382">
        <v>54</v>
      </c>
      <c r="M2382">
        <v>27</v>
      </c>
      <c r="N2382" t="s">
        <v>5272</v>
      </c>
      <c r="O2382" t="s">
        <v>462</v>
      </c>
    </row>
    <row r="2383" spans="1:15" x14ac:dyDescent="0.3">
      <c r="A2383">
        <v>225507</v>
      </c>
      <c r="B2383">
        <v>105</v>
      </c>
      <c r="C2383" t="s">
        <v>557</v>
      </c>
      <c r="D2383" t="s">
        <v>2571</v>
      </c>
      <c r="E2383" t="s">
        <v>3146</v>
      </c>
      <c r="F2383" s="451">
        <v>46122</v>
      </c>
      <c r="G2383">
        <v>24331</v>
      </c>
      <c r="H2383" t="s">
        <v>5166</v>
      </c>
      <c r="I2383" t="s">
        <v>5191</v>
      </c>
      <c r="J2383">
        <v>2</v>
      </c>
      <c r="K2383" t="s">
        <v>4744</v>
      </c>
      <c r="L2383">
        <v>208.9</v>
      </c>
      <c r="M2383">
        <v>104.45</v>
      </c>
      <c r="N2383" t="s">
        <v>5272</v>
      </c>
      <c r="O2383" t="s">
        <v>462</v>
      </c>
    </row>
    <row r="2384" spans="1:15" x14ac:dyDescent="0.3">
      <c r="A2384">
        <v>225506</v>
      </c>
      <c r="B2384">
        <v>105</v>
      </c>
      <c r="C2384" t="s">
        <v>557</v>
      </c>
      <c r="D2384" t="s">
        <v>2571</v>
      </c>
      <c r="E2384" t="s">
        <v>3147</v>
      </c>
      <c r="F2384" s="451">
        <v>46120</v>
      </c>
      <c r="G2384">
        <v>20358</v>
      </c>
      <c r="H2384" t="s">
        <v>4911</v>
      </c>
      <c r="I2384" t="s">
        <v>5191</v>
      </c>
      <c r="J2384">
        <v>3</v>
      </c>
      <c r="K2384" t="s">
        <v>4738</v>
      </c>
      <c r="L2384">
        <v>42.75</v>
      </c>
      <c r="M2384">
        <v>14.25</v>
      </c>
      <c r="N2384" t="s">
        <v>5191</v>
      </c>
      <c r="O2384" t="s">
        <v>462</v>
      </c>
    </row>
    <row r="2385" spans="1:15" x14ac:dyDescent="0.3">
      <c r="A2385">
        <v>225506</v>
      </c>
      <c r="B2385">
        <v>105</v>
      </c>
      <c r="C2385" t="s">
        <v>557</v>
      </c>
      <c r="D2385" t="s">
        <v>2571</v>
      </c>
      <c r="E2385" t="s">
        <v>3147</v>
      </c>
      <c r="F2385" s="451">
        <v>46120</v>
      </c>
      <c r="G2385">
        <v>19434</v>
      </c>
      <c r="H2385" t="s">
        <v>5078</v>
      </c>
      <c r="I2385" t="s">
        <v>5191</v>
      </c>
      <c r="J2385">
        <v>1</v>
      </c>
      <c r="K2385" t="s">
        <v>5227</v>
      </c>
      <c r="L2385">
        <v>22.3</v>
      </c>
      <c r="M2385">
        <v>22.3</v>
      </c>
      <c r="N2385" t="s">
        <v>5191</v>
      </c>
      <c r="O2385" t="s">
        <v>462</v>
      </c>
    </row>
    <row r="2386" spans="1:15" x14ac:dyDescent="0.3">
      <c r="A2386">
        <v>225506</v>
      </c>
      <c r="B2386">
        <v>105</v>
      </c>
      <c r="C2386" t="s">
        <v>557</v>
      </c>
      <c r="D2386" t="s">
        <v>2571</v>
      </c>
      <c r="E2386" t="s">
        <v>3147</v>
      </c>
      <c r="F2386" s="451">
        <v>46120</v>
      </c>
      <c r="G2386">
        <v>20661</v>
      </c>
      <c r="H2386" t="s">
        <v>5012</v>
      </c>
      <c r="I2386" t="s">
        <v>5191</v>
      </c>
      <c r="J2386">
        <v>4</v>
      </c>
      <c r="K2386" t="s">
        <v>5227</v>
      </c>
      <c r="L2386">
        <v>33.56</v>
      </c>
      <c r="M2386">
        <v>8.39</v>
      </c>
      <c r="N2386" t="s">
        <v>5191</v>
      </c>
      <c r="O2386" t="s">
        <v>462</v>
      </c>
    </row>
    <row r="2387" spans="1:15" x14ac:dyDescent="0.3">
      <c r="A2387">
        <v>225506</v>
      </c>
      <c r="B2387">
        <v>105</v>
      </c>
      <c r="C2387" t="s">
        <v>557</v>
      </c>
      <c r="D2387" t="s">
        <v>2571</v>
      </c>
      <c r="E2387" t="s">
        <v>3147</v>
      </c>
      <c r="F2387" s="451">
        <v>46120</v>
      </c>
      <c r="G2387">
        <v>20242</v>
      </c>
      <c r="H2387" t="s">
        <v>4824</v>
      </c>
      <c r="I2387" t="s">
        <v>5191</v>
      </c>
      <c r="J2387">
        <v>10</v>
      </c>
      <c r="K2387" t="s">
        <v>5227</v>
      </c>
      <c r="L2387">
        <v>178.1</v>
      </c>
      <c r="M2387">
        <v>17.809999999999999</v>
      </c>
      <c r="N2387" t="s">
        <v>5191</v>
      </c>
      <c r="O2387" t="s">
        <v>462</v>
      </c>
    </row>
    <row r="2388" spans="1:15" x14ac:dyDescent="0.3">
      <c r="A2388">
        <v>225506</v>
      </c>
      <c r="B2388">
        <v>105</v>
      </c>
      <c r="C2388" t="s">
        <v>557</v>
      </c>
      <c r="D2388" t="s">
        <v>2571</v>
      </c>
      <c r="E2388" t="s">
        <v>3147</v>
      </c>
      <c r="F2388" s="451">
        <v>46120</v>
      </c>
      <c r="G2388">
        <v>19967</v>
      </c>
      <c r="H2388" t="s">
        <v>4956</v>
      </c>
      <c r="I2388" t="s">
        <v>5191</v>
      </c>
      <c r="J2388">
        <v>2</v>
      </c>
      <c r="K2388" t="s">
        <v>4736</v>
      </c>
      <c r="L2388">
        <v>98.56</v>
      </c>
      <c r="M2388">
        <v>49.28</v>
      </c>
      <c r="N2388" t="s">
        <v>5191</v>
      </c>
      <c r="O2388" t="s">
        <v>462</v>
      </c>
    </row>
    <row r="2389" spans="1:15" x14ac:dyDescent="0.3">
      <c r="A2389">
        <v>225506</v>
      </c>
      <c r="B2389">
        <v>105</v>
      </c>
      <c r="C2389" t="s">
        <v>557</v>
      </c>
      <c r="D2389" t="s">
        <v>2571</v>
      </c>
      <c r="E2389" t="s">
        <v>3147</v>
      </c>
      <c r="F2389" s="451">
        <v>46120</v>
      </c>
      <c r="G2389">
        <v>19421</v>
      </c>
      <c r="H2389" t="s">
        <v>4918</v>
      </c>
      <c r="I2389" t="s">
        <v>5191</v>
      </c>
      <c r="J2389">
        <v>2</v>
      </c>
      <c r="K2389" t="s">
        <v>4749</v>
      </c>
      <c r="L2389">
        <v>163.68</v>
      </c>
      <c r="M2389">
        <v>81.84</v>
      </c>
      <c r="N2389" t="s">
        <v>5191</v>
      </c>
      <c r="O2389" t="s">
        <v>462</v>
      </c>
    </row>
    <row r="2390" spans="1:15" x14ac:dyDescent="0.3">
      <c r="A2390">
        <v>225506</v>
      </c>
      <c r="B2390">
        <v>105</v>
      </c>
      <c r="C2390" t="s">
        <v>557</v>
      </c>
      <c r="D2390" t="s">
        <v>2571</v>
      </c>
      <c r="E2390" t="s">
        <v>3147</v>
      </c>
      <c r="F2390" s="451">
        <v>46120</v>
      </c>
      <c r="G2390">
        <v>20227</v>
      </c>
      <c r="H2390" t="s">
        <v>4825</v>
      </c>
      <c r="I2390" t="s">
        <v>5191</v>
      </c>
      <c r="J2390">
        <v>8</v>
      </c>
      <c r="K2390" t="s">
        <v>5227</v>
      </c>
      <c r="L2390">
        <v>101.6</v>
      </c>
      <c r="M2390">
        <v>12.7</v>
      </c>
      <c r="N2390" t="s">
        <v>5191</v>
      </c>
      <c r="O2390" t="s">
        <v>462</v>
      </c>
    </row>
    <row r="2391" spans="1:15" x14ac:dyDescent="0.3">
      <c r="A2391">
        <v>225506</v>
      </c>
      <c r="B2391">
        <v>105</v>
      </c>
      <c r="C2391" t="s">
        <v>557</v>
      </c>
      <c r="D2391" t="s">
        <v>2571</v>
      </c>
      <c r="E2391" t="s">
        <v>3147</v>
      </c>
      <c r="F2391" s="451">
        <v>46120</v>
      </c>
      <c r="G2391">
        <v>17878</v>
      </c>
      <c r="H2391" t="s">
        <v>4926</v>
      </c>
      <c r="I2391" t="s">
        <v>5222</v>
      </c>
      <c r="J2391">
        <v>3</v>
      </c>
      <c r="K2391" t="s">
        <v>5227</v>
      </c>
      <c r="L2391">
        <v>54.27</v>
      </c>
      <c r="M2391">
        <v>18.09</v>
      </c>
      <c r="N2391" t="s">
        <v>5191</v>
      </c>
      <c r="O2391" t="s">
        <v>462</v>
      </c>
    </row>
    <row r="2392" spans="1:15" x14ac:dyDescent="0.3">
      <c r="A2392">
        <v>225506</v>
      </c>
      <c r="B2392">
        <v>105</v>
      </c>
      <c r="C2392" t="s">
        <v>557</v>
      </c>
      <c r="D2392" t="s">
        <v>2571</v>
      </c>
      <c r="E2392" t="s">
        <v>3147</v>
      </c>
      <c r="F2392" s="451">
        <v>46120</v>
      </c>
      <c r="G2392">
        <v>21021</v>
      </c>
      <c r="H2392" t="s">
        <v>4883</v>
      </c>
      <c r="I2392" t="s">
        <v>5191</v>
      </c>
      <c r="J2392">
        <v>3</v>
      </c>
      <c r="K2392" t="s">
        <v>4736</v>
      </c>
      <c r="L2392">
        <v>563.28</v>
      </c>
      <c r="M2392">
        <v>187.76</v>
      </c>
      <c r="N2392" t="s">
        <v>5191</v>
      </c>
      <c r="O2392" t="s">
        <v>462</v>
      </c>
    </row>
    <row r="2393" spans="1:15" x14ac:dyDescent="0.3">
      <c r="A2393">
        <v>225506</v>
      </c>
      <c r="B2393">
        <v>105</v>
      </c>
      <c r="C2393" t="s">
        <v>557</v>
      </c>
      <c r="D2393" t="s">
        <v>2571</v>
      </c>
      <c r="E2393" t="s">
        <v>3147</v>
      </c>
      <c r="F2393" s="451">
        <v>46120</v>
      </c>
      <c r="G2393">
        <v>20672</v>
      </c>
      <c r="H2393" t="s">
        <v>4857</v>
      </c>
      <c r="I2393" t="s">
        <v>5191</v>
      </c>
      <c r="J2393">
        <v>2</v>
      </c>
      <c r="K2393" t="s">
        <v>4738</v>
      </c>
      <c r="L2393">
        <v>59.1</v>
      </c>
      <c r="M2393">
        <v>29.55</v>
      </c>
      <c r="N2393" t="s">
        <v>5191</v>
      </c>
      <c r="O2393" t="s">
        <v>462</v>
      </c>
    </row>
    <row r="2394" spans="1:15" x14ac:dyDescent="0.3">
      <c r="A2394">
        <v>225506</v>
      </c>
      <c r="B2394">
        <v>105</v>
      </c>
      <c r="C2394" t="s">
        <v>557</v>
      </c>
      <c r="D2394" t="s">
        <v>2571</v>
      </c>
      <c r="E2394" t="s">
        <v>3147</v>
      </c>
      <c r="F2394" s="451">
        <v>46120</v>
      </c>
      <c r="G2394">
        <v>25075</v>
      </c>
      <c r="H2394" t="s">
        <v>4790</v>
      </c>
      <c r="I2394" t="s">
        <v>5191</v>
      </c>
      <c r="J2394">
        <v>15</v>
      </c>
      <c r="K2394" t="s">
        <v>5227</v>
      </c>
      <c r="L2394">
        <v>127.2</v>
      </c>
      <c r="M2394">
        <v>8.48</v>
      </c>
      <c r="N2394" t="s">
        <v>5191</v>
      </c>
      <c r="O2394" t="s">
        <v>462</v>
      </c>
    </row>
    <row r="2395" spans="1:15" x14ac:dyDescent="0.3">
      <c r="A2395">
        <v>225506</v>
      </c>
      <c r="B2395">
        <v>105</v>
      </c>
      <c r="C2395" t="s">
        <v>557</v>
      </c>
      <c r="D2395" t="s">
        <v>2571</v>
      </c>
      <c r="E2395" t="s">
        <v>3147</v>
      </c>
      <c r="F2395" s="451">
        <v>46120</v>
      </c>
      <c r="G2395">
        <v>25022</v>
      </c>
      <c r="H2395" t="s">
        <v>4912</v>
      </c>
      <c r="I2395" t="s">
        <v>5191</v>
      </c>
      <c r="J2395">
        <v>3</v>
      </c>
      <c r="K2395" t="s">
        <v>5227</v>
      </c>
      <c r="L2395">
        <v>11.1</v>
      </c>
      <c r="M2395">
        <v>3.7</v>
      </c>
      <c r="N2395" t="s">
        <v>5191</v>
      </c>
      <c r="O2395" t="s">
        <v>462</v>
      </c>
    </row>
    <row r="2396" spans="1:15" x14ac:dyDescent="0.3">
      <c r="A2396">
        <v>225506</v>
      </c>
      <c r="B2396">
        <v>105</v>
      </c>
      <c r="C2396" t="s">
        <v>557</v>
      </c>
      <c r="D2396" t="s">
        <v>2571</v>
      </c>
      <c r="E2396" t="s">
        <v>3147</v>
      </c>
      <c r="F2396" s="451">
        <v>46120</v>
      </c>
      <c r="G2396">
        <v>20138</v>
      </c>
      <c r="H2396" t="s">
        <v>4886</v>
      </c>
      <c r="I2396" t="s">
        <v>5191</v>
      </c>
      <c r="J2396">
        <v>3</v>
      </c>
      <c r="K2396" t="s">
        <v>5227</v>
      </c>
      <c r="L2396">
        <v>15.3</v>
      </c>
      <c r="M2396">
        <v>5.0999999999999996</v>
      </c>
      <c r="N2396" t="s">
        <v>5191</v>
      </c>
      <c r="O2396" t="s">
        <v>462</v>
      </c>
    </row>
    <row r="2397" spans="1:15" x14ac:dyDescent="0.3">
      <c r="A2397">
        <v>225506</v>
      </c>
      <c r="B2397">
        <v>105</v>
      </c>
      <c r="C2397" t="s">
        <v>557</v>
      </c>
      <c r="D2397" t="s">
        <v>2571</v>
      </c>
      <c r="E2397" t="s">
        <v>3147</v>
      </c>
      <c r="F2397" s="451">
        <v>46120</v>
      </c>
      <c r="G2397">
        <v>20644</v>
      </c>
      <c r="H2397" t="s">
        <v>5016</v>
      </c>
      <c r="I2397" t="s">
        <v>5191</v>
      </c>
      <c r="J2397">
        <v>2</v>
      </c>
      <c r="K2397" t="s">
        <v>5227</v>
      </c>
      <c r="L2397">
        <v>7.78</v>
      </c>
      <c r="M2397">
        <v>3.89</v>
      </c>
      <c r="N2397" t="s">
        <v>5191</v>
      </c>
      <c r="O2397" t="s">
        <v>462</v>
      </c>
    </row>
    <row r="2398" spans="1:15" x14ac:dyDescent="0.3">
      <c r="A2398">
        <v>225506</v>
      </c>
      <c r="B2398">
        <v>105</v>
      </c>
      <c r="C2398" t="s">
        <v>557</v>
      </c>
      <c r="D2398" t="s">
        <v>2571</v>
      </c>
      <c r="E2398" t="s">
        <v>3147</v>
      </c>
      <c r="F2398" s="451">
        <v>46120</v>
      </c>
      <c r="G2398">
        <v>20322</v>
      </c>
      <c r="H2398" t="s">
        <v>4882</v>
      </c>
      <c r="I2398" t="s">
        <v>5191</v>
      </c>
      <c r="J2398">
        <v>2</v>
      </c>
      <c r="K2398" t="s">
        <v>5227</v>
      </c>
      <c r="L2398">
        <v>21.6</v>
      </c>
      <c r="M2398">
        <v>10.8</v>
      </c>
      <c r="N2398" t="s">
        <v>5191</v>
      </c>
      <c r="O2398" t="s">
        <v>462</v>
      </c>
    </row>
    <row r="2399" spans="1:15" x14ac:dyDescent="0.3">
      <c r="A2399">
        <v>225506</v>
      </c>
      <c r="B2399">
        <v>105</v>
      </c>
      <c r="C2399" t="s">
        <v>557</v>
      </c>
      <c r="D2399" t="s">
        <v>2571</v>
      </c>
      <c r="E2399" t="s">
        <v>3147</v>
      </c>
      <c r="F2399" s="451">
        <v>46120</v>
      </c>
      <c r="G2399">
        <v>26020</v>
      </c>
      <c r="H2399" t="s">
        <v>5102</v>
      </c>
      <c r="I2399" t="s">
        <v>5191</v>
      </c>
      <c r="J2399">
        <v>4</v>
      </c>
      <c r="K2399" t="s">
        <v>5227</v>
      </c>
      <c r="L2399">
        <v>54.76</v>
      </c>
      <c r="M2399">
        <v>13.69</v>
      </c>
      <c r="N2399" t="s">
        <v>5191</v>
      </c>
      <c r="O2399" t="s">
        <v>462</v>
      </c>
    </row>
    <row r="2400" spans="1:15" x14ac:dyDescent="0.3">
      <c r="A2400">
        <v>225506</v>
      </c>
      <c r="B2400">
        <v>105</v>
      </c>
      <c r="C2400" t="s">
        <v>557</v>
      </c>
      <c r="D2400" t="s">
        <v>2571</v>
      </c>
      <c r="E2400" t="s">
        <v>3147</v>
      </c>
      <c r="F2400" s="451">
        <v>46120</v>
      </c>
      <c r="G2400">
        <v>23884</v>
      </c>
      <c r="H2400" t="s">
        <v>5070</v>
      </c>
      <c r="I2400" t="s">
        <v>5191</v>
      </c>
      <c r="J2400">
        <v>2</v>
      </c>
      <c r="K2400" t="s">
        <v>5227</v>
      </c>
      <c r="L2400">
        <v>17.739999999999998</v>
      </c>
      <c r="M2400">
        <v>8.8699999999999992</v>
      </c>
      <c r="N2400" t="s">
        <v>5191</v>
      </c>
      <c r="O2400" t="s">
        <v>462</v>
      </c>
    </row>
    <row r="2401" spans="1:15" x14ac:dyDescent="0.3">
      <c r="A2401">
        <v>225506</v>
      </c>
      <c r="B2401">
        <v>105</v>
      </c>
      <c r="C2401" t="s">
        <v>557</v>
      </c>
      <c r="D2401" t="s">
        <v>2571</v>
      </c>
      <c r="E2401" t="s">
        <v>3147</v>
      </c>
      <c r="F2401" s="451">
        <v>46120</v>
      </c>
      <c r="G2401">
        <v>20213</v>
      </c>
      <c r="H2401" t="s">
        <v>5160</v>
      </c>
      <c r="I2401" t="s">
        <v>5191</v>
      </c>
      <c r="J2401">
        <v>2</v>
      </c>
      <c r="K2401" t="s">
        <v>5228</v>
      </c>
      <c r="L2401">
        <v>63.2</v>
      </c>
      <c r="M2401">
        <v>31.6</v>
      </c>
      <c r="N2401" t="s">
        <v>5191</v>
      </c>
      <c r="O2401" t="s">
        <v>462</v>
      </c>
    </row>
    <row r="2402" spans="1:15" x14ac:dyDescent="0.3">
      <c r="A2402">
        <v>225506</v>
      </c>
      <c r="B2402">
        <v>105</v>
      </c>
      <c r="C2402" t="s">
        <v>557</v>
      </c>
      <c r="D2402" t="s">
        <v>2571</v>
      </c>
      <c r="E2402" t="s">
        <v>3147</v>
      </c>
      <c r="F2402" s="451">
        <v>46120</v>
      </c>
      <c r="G2402">
        <v>20365</v>
      </c>
      <c r="H2402" t="s">
        <v>4796</v>
      </c>
      <c r="I2402" t="s">
        <v>5191</v>
      </c>
      <c r="J2402">
        <v>10</v>
      </c>
      <c r="K2402" t="s">
        <v>5227</v>
      </c>
      <c r="L2402">
        <v>52.9</v>
      </c>
      <c r="M2402">
        <v>5.29</v>
      </c>
      <c r="N2402" t="s">
        <v>5191</v>
      </c>
      <c r="O2402" t="s">
        <v>462</v>
      </c>
    </row>
    <row r="2403" spans="1:15" x14ac:dyDescent="0.3">
      <c r="A2403">
        <v>225506</v>
      </c>
      <c r="B2403">
        <v>105</v>
      </c>
      <c r="C2403" t="s">
        <v>557</v>
      </c>
      <c r="D2403" t="s">
        <v>2571</v>
      </c>
      <c r="E2403" t="s">
        <v>3147</v>
      </c>
      <c r="F2403" s="451">
        <v>46120</v>
      </c>
      <c r="G2403">
        <v>19906</v>
      </c>
      <c r="H2403" t="s">
        <v>5159</v>
      </c>
      <c r="I2403" t="s">
        <v>5191</v>
      </c>
      <c r="J2403">
        <v>1</v>
      </c>
      <c r="K2403" t="s">
        <v>5227</v>
      </c>
      <c r="L2403">
        <v>36.299999999999997</v>
      </c>
      <c r="M2403">
        <v>36.299999999999997</v>
      </c>
      <c r="N2403" t="s">
        <v>5191</v>
      </c>
      <c r="O2403" t="s">
        <v>462</v>
      </c>
    </row>
    <row r="2404" spans="1:15" x14ac:dyDescent="0.3">
      <c r="A2404">
        <v>225506</v>
      </c>
      <c r="B2404">
        <v>105</v>
      </c>
      <c r="C2404" t="s">
        <v>557</v>
      </c>
      <c r="D2404" t="s">
        <v>2571</v>
      </c>
      <c r="E2404" t="s">
        <v>3147</v>
      </c>
      <c r="F2404" s="451">
        <v>46120</v>
      </c>
      <c r="G2404">
        <v>19916</v>
      </c>
      <c r="H2404" t="s">
        <v>4826</v>
      </c>
      <c r="I2404" t="s">
        <v>5191</v>
      </c>
      <c r="J2404">
        <v>1</v>
      </c>
      <c r="K2404" t="s">
        <v>5227</v>
      </c>
      <c r="L2404">
        <v>35.299999999999997</v>
      </c>
      <c r="M2404">
        <v>35.299999999999997</v>
      </c>
      <c r="N2404" t="s">
        <v>5191</v>
      </c>
      <c r="O2404" t="s">
        <v>462</v>
      </c>
    </row>
    <row r="2405" spans="1:15" x14ac:dyDescent="0.3">
      <c r="A2405">
        <v>225505</v>
      </c>
      <c r="B2405">
        <v>105</v>
      </c>
      <c r="C2405" t="s">
        <v>557</v>
      </c>
      <c r="D2405" t="s">
        <v>2579</v>
      </c>
      <c r="E2405" t="s">
        <v>3148</v>
      </c>
      <c r="F2405" s="451">
        <v>46125</v>
      </c>
      <c r="G2405">
        <v>19728</v>
      </c>
      <c r="H2405" t="s">
        <v>5106</v>
      </c>
      <c r="I2405" t="s">
        <v>5191</v>
      </c>
      <c r="J2405">
        <v>2.2000000000000002</v>
      </c>
      <c r="K2405" t="s">
        <v>4744</v>
      </c>
      <c r="L2405">
        <v>28.6</v>
      </c>
      <c r="M2405">
        <v>13</v>
      </c>
      <c r="N2405" t="s">
        <v>5272</v>
      </c>
      <c r="O2405" t="s">
        <v>462</v>
      </c>
    </row>
    <row r="2406" spans="1:15" x14ac:dyDescent="0.3">
      <c r="A2406">
        <v>225505</v>
      </c>
      <c r="B2406">
        <v>105</v>
      </c>
      <c r="C2406" t="s">
        <v>557</v>
      </c>
      <c r="D2406" t="s">
        <v>2579</v>
      </c>
      <c r="E2406" t="s">
        <v>3148</v>
      </c>
      <c r="F2406" s="451">
        <v>46125</v>
      </c>
      <c r="G2406">
        <v>19562</v>
      </c>
      <c r="H2406" t="s">
        <v>4939</v>
      </c>
      <c r="I2406" t="s">
        <v>5191</v>
      </c>
      <c r="J2406">
        <v>2</v>
      </c>
      <c r="K2406" t="s">
        <v>4744</v>
      </c>
      <c r="L2406">
        <v>28.6</v>
      </c>
      <c r="M2406">
        <v>14.3</v>
      </c>
      <c r="N2406" t="s">
        <v>5272</v>
      </c>
      <c r="O2406" t="s">
        <v>462</v>
      </c>
    </row>
    <row r="2407" spans="1:15" x14ac:dyDescent="0.3">
      <c r="A2407">
        <v>225505</v>
      </c>
      <c r="B2407">
        <v>105</v>
      </c>
      <c r="C2407" t="s">
        <v>557</v>
      </c>
      <c r="D2407" t="s">
        <v>2579</v>
      </c>
      <c r="E2407" t="s">
        <v>3148</v>
      </c>
      <c r="F2407" s="451">
        <v>46125</v>
      </c>
      <c r="G2407">
        <v>23198</v>
      </c>
      <c r="H2407" t="s">
        <v>4962</v>
      </c>
      <c r="I2407" t="s">
        <v>5191</v>
      </c>
      <c r="J2407">
        <v>2</v>
      </c>
      <c r="K2407" t="s">
        <v>4744</v>
      </c>
      <c r="L2407">
        <v>26</v>
      </c>
      <c r="M2407">
        <v>13</v>
      </c>
      <c r="N2407" t="s">
        <v>5272</v>
      </c>
      <c r="O2407" t="s">
        <v>462</v>
      </c>
    </row>
    <row r="2408" spans="1:15" x14ac:dyDescent="0.3">
      <c r="A2408">
        <v>225505</v>
      </c>
      <c r="B2408">
        <v>105</v>
      </c>
      <c r="C2408" t="s">
        <v>557</v>
      </c>
      <c r="D2408" t="s">
        <v>2579</v>
      </c>
      <c r="E2408" t="s">
        <v>3148</v>
      </c>
      <c r="F2408" s="451">
        <v>46125</v>
      </c>
      <c r="G2408">
        <v>23184</v>
      </c>
      <c r="H2408" t="s">
        <v>4935</v>
      </c>
      <c r="I2408" t="s">
        <v>5191</v>
      </c>
      <c r="J2408">
        <v>3</v>
      </c>
      <c r="K2408" t="s">
        <v>4744</v>
      </c>
      <c r="L2408">
        <v>39</v>
      </c>
      <c r="M2408">
        <v>13</v>
      </c>
      <c r="N2408" t="s">
        <v>5272</v>
      </c>
      <c r="O2408" t="s">
        <v>462</v>
      </c>
    </row>
    <row r="2409" spans="1:15" x14ac:dyDescent="0.3">
      <c r="A2409">
        <v>225505</v>
      </c>
      <c r="B2409">
        <v>105</v>
      </c>
      <c r="C2409" t="s">
        <v>557</v>
      </c>
      <c r="D2409" t="s">
        <v>2579</v>
      </c>
      <c r="E2409" t="s">
        <v>3148</v>
      </c>
      <c r="F2409" s="451">
        <v>46125</v>
      </c>
      <c r="G2409">
        <v>23389</v>
      </c>
      <c r="H2409" t="s">
        <v>4960</v>
      </c>
      <c r="I2409" t="s">
        <v>5191</v>
      </c>
      <c r="J2409">
        <v>5</v>
      </c>
      <c r="K2409" t="s">
        <v>4744</v>
      </c>
      <c r="L2409">
        <v>26.65</v>
      </c>
      <c r="M2409">
        <v>5.33</v>
      </c>
      <c r="N2409" t="s">
        <v>5272</v>
      </c>
      <c r="O2409" t="s">
        <v>462</v>
      </c>
    </row>
    <row r="2410" spans="1:15" x14ac:dyDescent="0.3">
      <c r="A2410">
        <v>225504</v>
      </c>
      <c r="B2410">
        <v>105</v>
      </c>
      <c r="C2410" t="s">
        <v>557</v>
      </c>
      <c r="D2410" t="s">
        <v>2579</v>
      </c>
      <c r="E2410" t="s">
        <v>3149</v>
      </c>
      <c r="F2410" s="451">
        <v>46119</v>
      </c>
      <c r="G2410">
        <v>24083</v>
      </c>
      <c r="H2410" t="s">
        <v>5165</v>
      </c>
      <c r="I2410" t="s">
        <v>5191</v>
      </c>
      <c r="J2410">
        <v>25</v>
      </c>
      <c r="K2410" t="s">
        <v>4744</v>
      </c>
      <c r="L2410">
        <v>135</v>
      </c>
      <c r="M2410">
        <v>5.4</v>
      </c>
      <c r="N2410" t="s">
        <v>5272</v>
      </c>
      <c r="O2410" t="s">
        <v>462</v>
      </c>
    </row>
    <row r="2411" spans="1:15" x14ac:dyDescent="0.3">
      <c r="A2411">
        <v>225504</v>
      </c>
      <c r="B2411">
        <v>105</v>
      </c>
      <c r="C2411" t="s">
        <v>557</v>
      </c>
      <c r="D2411" t="s">
        <v>2579</v>
      </c>
      <c r="E2411" t="s">
        <v>3149</v>
      </c>
      <c r="F2411" s="451">
        <v>46119</v>
      </c>
      <c r="G2411">
        <v>19635</v>
      </c>
      <c r="H2411" t="s">
        <v>4786</v>
      </c>
      <c r="I2411" t="s">
        <v>5191</v>
      </c>
      <c r="J2411">
        <v>2</v>
      </c>
      <c r="K2411" t="s">
        <v>4744</v>
      </c>
      <c r="L2411">
        <v>13.5</v>
      </c>
      <c r="M2411">
        <v>6.75</v>
      </c>
      <c r="N2411" t="s">
        <v>5272</v>
      </c>
      <c r="O2411" t="s">
        <v>462</v>
      </c>
    </row>
    <row r="2412" spans="1:15" x14ac:dyDescent="0.3">
      <c r="A2412">
        <v>225504</v>
      </c>
      <c r="B2412">
        <v>105</v>
      </c>
      <c r="C2412" t="s">
        <v>557</v>
      </c>
      <c r="D2412" t="s">
        <v>2579</v>
      </c>
      <c r="E2412" t="s">
        <v>3149</v>
      </c>
      <c r="F2412" s="451">
        <v>46119</v>
      </c>
      <c r="G2412">
        <v>19490</v>
      </c>
      <c r="H2412" t="s">
        <v>5116</v>
      </c>
      <c r="I2412" t="s">
        <v>5191</v>
      </c>
      <c r="J2412">
        <v>0.5</v>
      </c>
      <c r="K2412" t="s">
        <v>4744</v>
      </c>
      <c r="L2412">
        <v>30.38</v>
      </c>
      <c r="M2412">
        <v>60.76</v>
      </c>
      <c r="N2412" t="s">
        <v>5272</v>
      </c>
      <c r="O2412" t="s">
        <v>462</v>
      </c>
    </row>
    <row r="2413" spans="1:15" x14ac:dyDescent="0.3">
      <c r="A2413">
        <v>225503</v>
      </c>
      <c r="B2413">
        <v>105</v>
      </c>
      <c r="C2413" t="s">
        <v>557</v>
      </c>
      <c r="D2413" t="s">
        <v>2707</v>
      </c>
      <c r="E2413" t="s">
        <v>3150</v>
      </c>
      <c r="F2413" s="451">
        <v>46125</v>
      </c>
      <c r="G2413">
        <v>24081</v>
      </c>
      <c r="H2413" t="s">
        <v>4834</v>
      </c>
      <c r="I2413" t="s">
        <v>5191</v>
      </c>
      <c r="J2413">
        <v>6.4</v>
      </c>
      <c r="K2413" t="s">
        <v>4744</v>
      </c>
      <c r="L2413">
        <v>152.32</v>
      </c>
      <c r="M2413">
        <v>23.8</v>
      </c>
      <c r="N2413" t="s">
        <v>5272</v>
      </c>
      <c r="O2413" t="s">
        <v>462</v>
      </c>
    </row>
    <row r="2414" spans="1:15" x14ac:dyDescent="0.3">
      <c r="A2414">
        <v>225502</v>
      </c>
      <c r="B2414">
        <v>105</v>
      </c>
      <c r="C2414" t="s">
        <v>557</v>
      </c>
      <c r="D2414" t="s">
        <v>2548</v>
      </c>
      <c r="E2414" t="s">
        <v>3151</v>
      </c>
      <c r="F2414" s="451">
        <v>46119</v>
      </c>
      <c r="G2414">
        <v>20871</v>
      </c>
      <c r="H2414" t="s">
        <v>5015</v>
      </c>
      <c r="I2414" t="s">
        <v>5191</v>
      </c>
      <c r="J2414">
        <v>2</v>
      </c>
      <c r="K2414" t="s">
        <v>4879</v>
      </c>
      <c r="L2414">
        <v>39.799999999999997</v>
      </c>
      <c r="M2414">
        <v>19.899999999999999</v>
      </c>
      <c r="N2414" t="s">
        <v>5272</v>
      </c>
      <c r="O2414" t="s">
        <v>462</v>
      </c>
    </row>
    <row r="2415" spans="1:15" x14ac:dyDescent="0.3">
      <c r="A2415">
        <v>225502</v>
      </c>
      <c r="B2415">
        <v>105</v>
      </c>
      <c r="C2415" t="s">
        <v>557</v>
      </c>
      <c r="D2415" t="s">
        <v>2548</v>
      </c>
      <c r="E2415" t="s">
        <v>3151</v>
      </c>
      <c r="F2415" s="451">
        <v>46119</v>
      </c>
      <c r="G2415">
        <v>20624</v>
      </c>
      <c r="H2415" t="s">
        <v>5019</v>
      </c>
      <c r="I2415" t="s">
        <v>5191</v>
      </c>
      <c r="J2415">
        <v>1</v>
      </c>
      <c r="K2415" t="s">
        <v>4736</v>
      </c>
      <c r="L2415">
        <v>69.900000000000006</v>
      </c>
      <c r="M2415">
        <v>69.900000000000006</v>
      </c>
      <c r="N2415" t="s">
        <v>5272</v>
      </c>
      <c r="O2415" t="s">
        <v>462</v>
      </c>
    </row>
    <row r="2416" spans="1:15" x14ac:dyDescent="0.3">
      <c r="A2416">
        <v>225502</v>
      </c>
      <c r="B2416">
        <v>105</v>
      </c>
      <c r="C2416" t="s">
        <v>557</v>
      </c>
      <c r="D2416" t="s">
        <v>2548</v>
      </c>
      <c r="E2416" t="s">
        <v>3151</v>
      </c>
      <c r="F2416" s="451">
        <v>46119</v>
      </c>
      <c r="G2416">
        <v>23088</v>
      </c>
      <c r="H2416" t="s">
        <v>5027</v>
      </c>
      <c r="I2416" t="s">
        <v>5191</v>
      </c>
      <c r="J2416">
        <v>1</v>
      </c>
      <c r="K2416" t="s">
        <v>4736</v>
      </c>
      <c r="L2416">
        <v>24.5</v>
      </c>
      <c r="M2416">
        <v>24.5</v>
      </c>
      <c r="N2416" t="s">
        <v>5272</v>
      </c>
      <c r="O2416" t="s">
        <v>462</v>
      </c>
    </row>
    <row r="2417" spans="1:15" x14ac:dyDescent="0.3">
      <c r="A2417">
        <v>225502</v>
      </c>
      <c r="B2417">
        <v>105</v>
      </c>
      <c r="C2417" t="s">
        <v>557</v>
      </c>
      <c r="D2417" t="s">
        <v>2548</v>
      </c>
      <c r="E2417" t="s">
        <v>3151</v>
      </c>
      <c r="F2417" s="451">
        <v>46119</v>
      </c>
      <c r="G2417">
        <v>20382</v>
      </c>
      <c r="H2417" t="s">
        <v>4780</v>
      </c>
      <c r="I2417" t="s">
        <v>5191</v>
      </c>
      <c r="J2417">
        <v>18</v>
      </c>
      <c r="K2417" t="s">
        <v>5227</v>
      </c>
      <c r="L2417">
        <v>161.82</v>
      </c>
      <c r="M2417">
        <v>8.99</v>
      </c>
      <c r="N2417" t="s">
        <v>5272</v>
      </c>
      <c r="O2417" t="s">
        <v>462</v>
      </c>
    </row>
    <row r="2418" spans="1:15" x14ac:dyDescent="0.3">
      <c r="A2418">
        <v>225502</v>
      </c>
      <c r="B2418">
        <v>105</v>
      </c>
      <c r="C2418" t="s">
        <v>557</v>
      </c>
      <c r="D2418" t="s">
        <v>2548</v>
      </c>
      <c r="E2418" t="s">
        <v>3151</v>
      </c>
      <c r="F2418" s="451">
        <v>46119</v>
      </c>
      <c r="G2418">
        <v>23934</v>
      </c>
      <c r="H2418" t="s">
        <v>4845</v>
      </c>
      <c r="I2418" t="s">
        <v>5191</v>
      </c>
      <c r="J2418">
        <v>2</v>
      </c>
      <c r="K2418" t="s">
        <v>5227</v>
      </c>
      <c r="L2418">
        <v>21.8</v>
      </c>
      <c r="M2418">
        <v>10.9</v>
      </c>
      <c r="N2418" t="s">
        <v>5272</v>
      </c>
      <c r="O2418" t="s">
        <v>462</v>
      </c>
    </row>
    <row r="2419" spans="1:15" x14ac:dyDescent="0.3">
      <c r="A2419">
        <v>225501</v>
      </c>
      <c r="B2419">
        <v>105</v>
      </c>
      <c r="C2419" t="s">
        <v>557</v>
      </c>
      <c r="D2419" t="s">
        <v>2864</v>
      </c>
      <c r="E2419" t="s">
        <v>3152</v>
      </c>
      <c r="F2419" s="451">
        <v>46118</v>
      </c>
      <c r="G2419">
        <v>17573</v>
      </c>
      <c r="H2419" t="s">
        <v>5306</v>
      </c>
      <c r="I2419" t="s">
        <v>5188</v>
      </c>
      <c r="J2419">
        <v>1</v>
      </c>
      <c r="K2419" t="s">
        <v>4749</v>
      </c>
      <c r="L2419">
        <v>74.900000000000006</v>
      </c>
      <c r="M2419">
        <v>74.900000000000006</v>
      </c>
      <c r="N2419" t="s">
        <v>5277</v>
      </c>
      <c r="O2419" t="s">
        <v>462</v>
      </c>
    </row>
    <row r="2420" spans="1:15" x14ac:dyDescent="0.3">
      <c r="A2420">
        <v>225501</v>
      </c>
      <c r="B2420">
        <v>105</v>
      </c>
      <c r="C2420" t="s">
        <v>557</v>
      </c>
      <c r="D2420" t="s">
        <v>2864</v>
      </c>
      <c r="E2420" t="s">
        <v>3152</v>
      </c>
      <c r="F2420" s="451">
        <v>46118</v>
      </c>
      <c r="G2420">
        <v>17399</v>
      </c>
      <c r="H2420" t="s">
        <v>5244</v>
      </c>
      <c r="I2420" t="s">
        <v>5188</v>
      </c>
      <c r="J2420">
        <v>1</v>
      </c>
      <c r="K2420" t="s">
        <v>5245</v>
      </c>
      <c r="L2420">
        <v>18.899999999999999</v>
      </c>
      <c r="M2420">
        <v>18.899999999999999</v>
      </c>
      <c r="N2420" t="s">
        <v>5277</v>
      </c>
      <c r="O2420" t="s">
        <v>462</v>
      </c>
    </row>
    <row r="2421" spans="1:15" x14ac:dyDescent="0.3">
      <c r="A2421">
        <v>225501</v>
      </c>
      <c r="B2421">
        <v>105</v>
      </c>
      <c r="C2421" t="s">
        <v>557</v>
      </c>
      <c r="D2421" t="s">
        <v>2864</v>
      </c>
      <c r="E2421" t="s">
        <v>3152</v>
      </c>
      <c r="F2421" s="451">
        <v>46118</v>
      </c>
      <c r="G2421">
        <v>17397</v>
      </c>
      <c r="H2421" t="s">
        <v>5246</v>
      </c>
      <c r="I2421" t="s">
        <v>5188</v>
      </c>
      <c r="J2421">
        <v>2</v>
      </c>
      <c r="K2421" t="s">
        <v>5245</v>
      </c>
      <c r="L2421">
        <v>63.64</v>
      </c>
      <c r="M2421">
        <v>31.82</v>
      </c>
      <c r="N2421" t="s">
        <v>5277</v>
      </c>
      <c r="O2421" t="s">
        <v>462</v>
      </c>
    </row>
    <row r="2422" spans="1:15" x14ac:dyDescent="0.3">
      <c r="A2422">
        <v>225501</v>
      </c>
      <c r="B2422">
        <v>105</v>
      </c>
      <c r="C2422" t="s">
        <v>557</v>
      </c>
      <c r="D2422" t="s">
        <v>2864</v>
      </c>
      <c r="E2422" t="s">
        <v>3152</v>
      </c>
      <c r="F2422" s="451">
        <v>46118</v>
      </c>
      <c r="G2422">
        <v>21423</v>
      </c>
      <c r="H2422" t="s">
        <v>5248</v>
      </c>
      <c r="I2422" t="s">
        <v>5188</v>
      </c>
      <c r="J2422">
        <v>2</v>
      </c>
      <c r="K2422" t="s">
        <v>5245</v>
      </c>
      <c r="L2422">
        <v>63.64</v>
      </c>
      <c r="M2422">
        <v>31.82</v>
      </c>
      <c r="N2422" t="s">
        <v>5277</v>
      </c>
      <c r="O2422" t="s">
        <v>462</v>
      </c>
    </row>
    <row r="2423" spans="1:15" x14ac:dyDescent="0.3">
      <c r="A2423">
        <v>225500</v>
      </c>
      <c r="B2423">
        <v>105</v>
      </c>
      <c r="C2423" t="s">
        <v>557</v>
      </c>
      <c r="D2423" t="s">
        <v>2590</v>
      </c>
      <c r="E2423" t="s">
        <v>3153</v>
      </c>
      <c r="F2423" s="451">
        <v>46120</v>
      </c>
      <c r="G2423">
        <v>17886</v>
      </c>
      <c r="H2423" t="s">
        <v>5083</v>
      </c>
      <c r="I2423" t="s">
        <v>5222</v>
      </c>
      <c r="J2423">
        <v>10</v>
      </c>
      <c r="K2423" t="s">
        <v>4738</v>
      </c>
      <c r="L2423">
        <v>322</v>
      </c>
      <c r="M2423">
        <v>32.200000000000003</v>
      </c>
      <c r="N2423" t="s">
        <v>5222</v>
      </c>
      <c r="O2423" t="s">
        <v>462</v>
      </c>
    </row>
    <row r="2424" spans="1:15" x14ac:dyDescent="0.3">
      <c r="A2424">
        <v>225499</v>
      </c>
      <c r="B2424">
        <v>105</v>
      </c>
      <c r="C2424" t="s">
        <v>557</v>
      </c>
      <c r="D2424" t="s">
        <v>2590</v>
      </c>
      <c r="E2424" t="s">
        <v>3154</v>
      </c>
      <c r="F2424" s="451">
        <v>46121</v>
      </c>
      <c r="G2424">
        <v>24981</v>
      </c>
      <c r="H2424" t="s">
        <v>5140</v>
      </c>
      <c r="I2424" t="s">
        <v>5222</v>
      </c>
      <c r="J2424">
        <v>1</v>
      </c>
      <c r="K2424" t="s">
        <v>4965</v>
      </c>
      <c r="L2424">
        <v>435</v>
      </c>
      <c r="M2424">
        <v>435</v>
      </c>
      <c r="N2424" t="s">
        <v>5222</v>
      </c>
      <c r="O2424" t="s">
        <v>462</v>
      </c>
    </row>
    <row r="2425" spans="1:15" x14ac:dyDescent="0.3">
      <c r="A2425">
        <v>225498</v>
      </c>
      <c r="B2425">
        <v>105</v>
      </c>
      <c r="C2425" t="s">
        <v>557</v>
      </c>
      <c r="D2425" t="s">
        <v>2590</v>
      </c>
      <c r="E2425" t="s">
        <v>3155</v>
      </c>
      <c r="F2425" s="451">
        <v>46126</v>
      </c>
      <c r="G2425">
        <v>18636</v>
      </c>
      <c r="H2425" t="s">
        <v>4964</v>
      </c>
      <c r="I2425" t="s">
        <v>5222</v>
      </c>
      <c r="J2425">
        <v>3</v>
      </c>
      <c r="K2425" t="s">
        <v>4965</v>
      </c>
      <c r="L2425">
        <v>1055.22</v>
      </c>
      <c r="M2425">
        <v>351.74</v>
      </c>
      <c r="N2425" t="s">
        <v>5222</v>
      </c>
      <c r="O2425" t="s">
        <v>462</v>
      </c>
    </row>
    <row r="2426" spans="1:15" x14ac:dyDescent="0.3">
      <c r="A2426">
        <v>225498</v>
      </c>
      <c r="B2426">
        <v>105</v>
      </c>
      <c r="C2426" t="s">
        <v>557</v>
      </c>
      <c r="D2426" t="s">
        <v>2590</v>
      </c>
      <c r="E2426" t="s">
        <v>3155</v>
      </c>
      <c r="F2426" s="451">
        <v>46126</v>
      </c>
      <c r="G2426">
        <v>17895</v>
      </c>
      <c r="H2426" t="s">
        <v>5086</v>
      </c>
      <c r="I2426" t="s">
        <v>5222</v>
      </c>
      <c r="J2426">
        <v>5</v>
      </c>
      <c r="K2426" t="s">
        <v>4738</v>
      </c>
      <c r="L2426">
        <v>161</v>
      </c>
      <c r="M2426">
        <v>32.200000000000003</v>
      </c>
      <c r="N2426" t="s">
        <v>5222</v>
      </c>
      <c r="O2426" t="s">
        <v>462</v>
      </c>
    </row>
    <row r="2427" spans="1:15" x14ac:dyDescent="0.3">
      <c r="A2427">
        <v>225498</v>
      </c>
      <c r="B2427">
        <v>105</v>
      </c>
      <c r="C2427" t="s">
        <v>557</v>
      </c>
      <c r="D2427" t="s">
        <v>2590</v>
      </c>
      <c r="E2427" t="s">
        <v>3155</v>
      </c>
      <c r="F2427" s="451">
        <v>46126</v>
      </c>
      <c r="G2427">
        <v>18004</v>
      </c>
      <c r="H2427" t="s">
        <v>5093</v>
      </c>
      <c r="I2427" t="s">
        <v>5222</v>
      </c>
      <c r="J2427">
        <v>2</v>
      </c>
      <c r="K2427" t="s">
        <v>4738</v>
      </c>
      <c r="L2427">
        <v>63.62</v>
      </c>
      <c r="M2427">
        <v>31.81</v>
      </c>
      <c r="N2427" t="s">
        <v>5222</v>
      </c>
      <c r="O2427" t="s">
        <v>462</v>
      </c>
    </row>
    <row r="2428" spans="1:15" x14ac:dyDescent="0.3">
      <c r="A2428">
        <v>225498</v>
      </c>
      <c r="B2428">
        <v>105</v>
      </c>
      <c r="C2428" t="s">
        <v>557</v>
      </c>
      <c r="D2428" t="s">
        <v>2590</v>
      </c>
      <c r="E2428" t="s">
        <v>3155</v>
      </c>
      <c r="F2428" s="451">
        <v>46126</v>
      </c>
      <c r="G2428">
        <v>18589</v>
      </c>
      <c r="H2428" t="s">
        <v>5089</v>
      </c>
      <c r="I2428" t="s">
        <v>5222</v>
      </c>
      <c r="J2428">
        <v>2</v>
      </c>
      <c r="K2428" t="s">
        <v>4738</v>
      </c>
      <c r="L2428">
        <v>134.78</v>
      </c>
      <c r="M2428">
        <v>67.39</v>
      </c>
      <c r="N2428" t="s">
        <v>5222</v>
      </c>
      <c r="O2428" t="s">
        <v>462</v>
      </c>
    </row>
    <row r="2429" spans="1:15" x14ac:dyDescent="0.3">
      <c r="A2429">
        <v>225498</v>
      </c>
      <c r="B2429">
        <v>105</v>
      </c>
      <c r="C2429" t="s">
        <v>557</v>
      </c>
      <c r="D2429" t="s">
        <v>2590</v>
      </c>
      <c r="E2429" t="s">
        <v>3155</v>
      </c>
      <c r="F2429" s="451">
        <v>46126</v>
      </c>
      <c r="G2429">
        <v>17883</v>
      </c>
      <c r="H2429" t="s">
        <v>5113</v>
      </c>
      <c r="I2429" t="s">
        <v>5222</v>
      </c>
      <c r="J2429">
        <v>2</v>
      </c>
      <c r="K2429" t="s">
        <v>4738</v>
      </c>
      <c r="L2429">
        <v>65.3</v>
      </c>
      <c r="M2429">
        <v>32.65</v>
      </c>
      <c r="N2429" t="s">
        <v>5222</v>
      </c>
      <c r="O2429" t="s">
        <v>462</v>
      </c>
    </row>
    <row r="2430" spans="1:15" x14ac:dyDescent="0.3">
      <c r="A2430">
        <v>225498</v>
      </c>
      <c r="B2430">
        <v>105</v>
      </c>
      <c r="C2430" t="s">
        <v>557</v>
      </c>
      <c r="D2430" t="s">
        <v>2590</v>
      </c>
      <c r="E2430" t="s">
        <v>3155</v>
      </c>
      <c r="F2430" s="451">
        <v>46126</v>
      </c>
      <c r="G2430">
        <v>17881</v>
      </c>
      <c r="H2430" t="s">
        <v>5103</v>
      </c>
      <c r="I2430" t="s">
        <v>5222</v>
      </c>
      <c r="J2430">
        <v>3</v>
      </c>
      <c r="K2430" t="s">
        <v>4738</v>
      </c>
      <c r="L2430">
        <v>97.95</v>
      </c>
      <c r="M2430">
        <v>32.65</v>
      </c>
      <c r="N2430" t="s">
        <v>5222</v>
      </c>
      <c r="O2430" t="s">
        <v>462</v>
      </c>
    </row>
    <row r="2431" spans="1:15" x14ac:dyDescent="0.3">
      <c r="A2431">
        <v>225498</v>
      </c>
      <c r="B2431">
        <v>105</v>
      </c>
      <c r="C2431" t="s">
        <v>557</v>
      </c>
      <c r="D2431" t="s">
        <v>2590</v>
      </c>
      <c r="E2431" t="s">
        <v>3155</v>
      </c>
      <c r="F2431" s="451">
        <v>46126</v>
      </c>
      <c r="G2431">
        <v>18006</v>
      </c>
      <c r="H2431" t="s">
        <v>5094</v>
      </c>
      <c r="I2431" t="s">
        <v>5222</v>
      </c>
      <c r="J2431">
        <v>2</v>
      </c>
      <c r="K2431" t="s">
        <v>4738</v>
      </c>
      <c r="L2431">
        <v>63.62</v>
      </c>
      <c r="M2431">
        <v>31.81</v>
      </c>
      <c r="N2431" t="s">
        <v>5222</v>
      </c>
      <c r="O2431" t="s">
        <v>462</v>
      </c>
    </row>
    <row r="2432" spans="1:15" x14ac:dyDescent="0.3">
      <c r="A2432">
        <v>225498</v>
      </c>
      <c r="B2432">
        <v>105</v>
      </c>
      <c r="C2432" t="s">
        <v>557</v>
      </c>
      <c r="D2432" t="s">
        <v>2590</v>
      </c>
      <c r="E2432" t="s">
        <v>3155</v>
      </c>
      <c r="F2432" s="451">
        <v>46126</v>
      </c>
      <c r="G2432">
        <v>17905</v>
      </c>
      <c r="H2432" t="s">
        <v>5085</v>
      </c>
      <c r="I2432" t="s">
        <v>5222</v>
      </c>
      <c r="J2432">
        <v>1</v>
      </c>
      <c r="K2432" t="s">
        <v>4738</v>
      </c>
      <c r="L2432">
        <v>32.729999999999997</v>
      </c>
      <c r="M2432">
        <v>32.729999999999997</v>
      </c>
      <c r="N2432" t="s">
        <v>5222</v>
      </c>
      <c r="O2432" t="s">
        <v>462</v>
      </c>
    </row>
    <row r="2433" spans="1:15" x14ac:dyDescent="0.3">
      <c r="A2433">
        <v>225498</v>
      </c>
      <c r="B2433">
        <v>105</v>
      </c>
      <c r="C2433" t="s">
        <v>557</v>
      </c>
      <c r="D2433" t="s">
        <v>2590</v>
      </c>
      <c r="E2433" t="s">
        <v>3155</v>
      </c>
      <c r="F2433" s="451">
        <v>46126</v>
      </c>
      <c r="G2433">
        <v>24142</v>
      </c>
      <c r="H2433" t="s">
        <v>5090</v>
      </c>
      <c r="I2433" t="s">
        <v>5222</v>
      </c>
      <c r="J2433">
        <v>2</v>
      </c>
      <c r="K2433" t="s">
        <v>4749</v>
      </c>
      <c r="L2433">
        <v>221.46</v>
      </c>
      <c r="M2433">
        <v>110.73</v>
      </c>
      <c r="N2433" t="s">
        <v>5222</v>
      </c>
      <c r="O2433" t="s">
        <v>462</v>
      </c>
    </row>
    <row r="2434" spans="1:15" x14ac:dyDescent="0.3">
      <c r="A2434">
        <v>225498</v>
      </c>
      <c r="B2434">
        <v>105</v>
      </c>
      <c r="C2434" t="s">
        <v>557</v>
      </c>
      <c r="D2434" t="s">
        <v>2590</v>
      </c>
      <c r="E2434" t="s">
        <v>3155</v>
      </c>
      <c r="F2434" s="451">
        <v>46126</v>
      </c>
      <c r="G2434">
        <v>18579</v>
      </c>
      <c r="H2434" t="s">
        <v>5087</v>
      </c>
      <c r="I2434" t="s">
        <v>5222</v>
      </c>
      <c r="J2434">
        <v>2</v>
      </c>
      <c r="K2434" t="s">
        <v>4749</v>
      </c>
      <c r="L2434">
        <v>263.62</v>
      </c>
      <c r="M2434">
        <v>131.81</v>
      </c>
      <c r="N2434" t="s">
        <v>5222</v>
      </c>
      <c r="O2434" t="s">
        <v>462</v>
      </c>
    </row>
    <row r="2435" spans="1:15" x14ac:dyDescent="0.3">
      <c r="A2435">
        <v>225498</v>
      </c>
      <c r="B2435">
        <v>105</v>
      </c>
      <c r="C2435" t="s">
        <v>557</v>
      </c>
      <c r="D2435" t="s">
        <v>2590</v>
      </c>
      <c r="E2435" t="s">
        <v>3155</v>
      </c>
      <c r="F2435" s="451">
        <v>46126</v>
      </c>
      <c r="G2435">
        <v>24981</v>
      </c>
      <c r="H2435" t="s">
        <v>5140</v>
      </c>
      <c r="I2435" t="s">
        <v>5222</v>
      </c>
      <c r="J2435">
        <v>1</v>
      </c>
      <c r="K2435" t="s">
        <v>4965</v>
      </c>
      <c r="L2435">
        <v>316.91000000000003</v>
      </c>
      <c r="M2435">
        <v>316.91000000000003</v>
      </c>
      <c r="N2435" t="s">
        <v>5222</v>
      </c>
      <c r="O2435" t="s">
        <v>462</v>
      </c>
    </row>
    <row r="2436" spans="1:15" x14ac:dyDescent="0.3">
      <c r="A2436">
        <v>225498</v>
      </c>
      <c r="B2436">
        <v>105</v>
      </c>
      <c r="C2436" t="s">
        <v>557</v>
      </c>
      <c r="D2436" t="s">
        <v>2590</v>
      </c>
      <c r="E2436" t="s">
        <v>3155</v>
      </c>
      <c r="F2436" s="451">
        <v>46126</v>
      </c>
      <c r="G2436">
        <v>18586</v>
      </c>
      <c r="H2436" t="s">
        <v>4966</v>
      </c>
      <c r="I2436" t="s">
        <v>5222</v>
      </c>
      <c r="J2436">
        <v>1</v>
      </c>
      <c r="K2436" t="s">
        <v>4738</v>
      </c>
      <c r="L2436">
        <v>107.63</v>
      </c>
      <c r="M2436">
        <v>107.63</v>
      </c>
      <c r="N2436" t="s">
        <v>5222</v>
      </c>
      <c r="O2436" t="s">
        <v>462</v>
      </c>
    </row>
    <row r="2437" spans="1:15" x14ac:dyDescent="0.3">
      <c r="A2437">
        <v>225497</v>
      </c>
      <c r="B2437">
        <v>105</v>
      </c>
      <c r="C2437" t="s">
        <v>557</v>
      </c>
      <c r="D2437" t="s">
        <v>2590</v>
      </c>
      <c r="E2437" t="s">
        <v>3156</v>
      </c>
      <c r="F2437" s="451">
        <v>46120</v>
      </c>
      <c r="G2437">
        <v>18636</v>
      </c>
      <c r="H2437" t="s">
        <v>4964</v>
      </c>
      <c r="I2437" t="s">
        <v>5222</v>
      </c>
      <c r="J2437">
        <v>3</v>
      </c>
      <c r="K2437" t="s">
        <v>4965</v>
      </c>
      <c r="L2437">
        <v>1055.22</v>
      </c>
      <c r="M2437">
        <v>351.74</v>
      </c>
      <c r="N2437" t="s">
        <v>5222</v>
      </c>
      <c r="O2437" t="s">
        <v>462</v>
      </c>
    </row>
    <row r="2438" spans="1:15" x14ac:dyDescent="0.3">
      <c r="A2438">
        <v>225497</v>
      </c>
      <c r="B2438">
        <v>105</v>
      </c>
      <c r="C2438" t="s">
        <v>557</v>
      </c>
      <c r="D2438" t="s">
        <v>2590</v>
      </c>
      <c r="E2438" t="s">
        <v>3156</v>
      </c>
      <c r="F2438" s="451">
        <v>46120</v>
      </c>
      <c r="G2438">
        <v>17903</v>
      </c>
      <c r="H2438" t="s">
        <v>5084</v>
      </c>
      <c r="I2438" t="s">
        <v>5222</v>
      </c>
      <c r="J2438">
        <v>5</v>
      </c>
      <c r="K2438" t="s">
        <v>4738</v>
      </c>
      <c r="L2438">
        <v>157.1</v>
      </c>
      <c r="M2438">
        <v>31.42</v>
      </c>
      <c r="N2438" t="s">
        <v>5222</v>
      </c>
      <c r="O2438" t="s">
        <v>462</v>
      </c>
    </row>
    <row r="2439" spans="1:15" x14ac:dyDescent="0.3">
      <c r="A2439">
        <v>225497</v>
      </c>
      <c r="B2439">
        <v>105</v>
      </c>
      <c r="C2439" t="s">
        <v>557</v>
      </c>
      <c r="D2439" t="s">
        <v>2590</v>
      </c>
      <c r="E2439" t="s">
        <v>3156</v>
      </c>
      <c r="F2439" s="451">
        <v>46120</v>
      </c>
      <c r="G2439">
        <v>17883</v>
      </c>
      <c r="H2439" t="s">
        <v>5113</v>
      </c>
      <c r="I2439" t="s">
        <v>5222</v>
      </c>
      <c r="J2439">
        <v>3</v>
      </c>
      <c r="K2439" t="s">
        <v>4738</v>
      </c>
      <c r="L2439">
        <v>97.95</v>
      </c>
      <c r="M2439">
        <v>32.65</v>
      </c>
      <c r="N2439" t="s">
        <v>5222</v>
      </c>
      <c r="O2439" t="s">
        <v>462</v>
      </c>
    </row>
    <row r="2440" spans="1:15" x14ac:dyDescent="0.3">
      <c r="A2440">
        <v>225497</v>
      </c>
      <c r="B2440">
        <v>105</v>
      </c>
      <c r="C2440" t="s">
        <v>557</v>
      </c>
      <c r="D2440" t="s">
        <v>2590</v>
      </c>
      <c r="E2440" t="s">
        <v>3156</v>
      </c>
      <c r="F2440" s="451">
        <v>46120</v>
      </c>
      <c r="G2440">
        <v>17881</v>
      </c>
      <c r="H2440" t="s">
        <v>5103</v>
      </c>
      <c r="I2440" t="s">
        <v>5222</v>
      </c>
      <c r="J2440">
        <v>2</v>
      </c>
      <c r="K2440" t="s">
        <v>4738</v>
      </c>
      <c r="L2440">
        <v>65.3</v>
      </c>
      <c r="M2440">
        <v>32.65</v>
      </c>
      <c r="N2440" t="s">
        <v>5222</v>
      </c>
      <c r="O2440" t="s">
        <v>462</v>
      </c>
    </row>
    <row r="2441" spans="1:15" x14ac:dyDescent="0.3">
      <c r="A2441">
        <v>225497</v>
      </c>
      <c r="B2441">
        <v>105</v>
      </c>
      <c r="C2441" t="s">
        <v>557</v>
      </c>
      <c r="D2441" t="s">
        <v>2590</v>
      </c>
      <c r="E2441" t="s">
        <v>3156</v>
      </c>
      <c r="F2441" s="451">
        <v>46120</v>
      </c>
      <c r="G2441">
        <v>24141</v>
      </c>
      <c r="H2441" t="s">
        <v>5088</v>
      </c>
      <c r="I2441" t="s">
        <v>5222</v>
      </c>
      <c r="J2441">
        <v>5</v>
      </c>
      <c r="K2441" t="s">
        <v>4749</v>
      </c>
      <c r="L2441">
        <v>492.65</v>
      </c>
      <c r="M2441">
        <v>98.53</v>
      </c>
      <c r="N2441" t="s">
        <v>5222</v>
      </c>
      <c r="O2441" t="s">
        <v>462</v>
      </c>
    </row>
    <row r="2442" spans="1:15" x14ac:dyDescent="0.3">
      <c r="A2442">
        <v>225497</v>
      </c>
      <c r="B2442">
        <v>105</v>
      </c>
      <c r="C2442" t="s">
        <v>557</v>
      </c>
      <c r="D2442" t="s">
        <v>2590</v>
      </c>
      <c r="E2442" t="s">
        <v>3156</v>
      </c>
      <c r="F2442" s="451">
        <v>46120</v>
      </c>
      <c r="G2442">
        <v>18595</v>
      </c>
      <c r="H2442" t="s">
        <v>5092</v>
      </c>
      <c r="I2442" t="s">
        <v>5222</v>
      </c>
      <c r="J2442">
        <v>2</v>
      </c>
      <c r="K2442" t="s">
        <v>4738</v>
      </c>
      <c r="L2442">
        <v>205.08</v>
      </c>
      <c r="M2442">
        <v>102.54</v>
      </c>
      <c r="N2442" t="s">
        <v>5222</v>
      </c>
      <c r="O2442" t="s">
        <v>462</v>
      </c>
    </row>
    <row r="2443" spans="1:15" x14ac:dyDescent="0.3">
      <c r="A2443">
        <v>225497</v>
      </c>
      <c r="B2443">
        <v>105</v>
      </c>
      <c r="C2443" t="s">
        <v>557</v>
      </c>
      <c r="D2443" t="s">
        <v>2590</v>
      </c>
      <c r="E2443" t="s">
        <v>3156</v>
      </c>
      <c r="F2443" s="451">
        <v>46120</v>
      </c>
      <c r="G2443">
        <v>17905</v>
      </c>
      <c r="H2443" t="s">
        <v>5085</v>
      </c>
      <c r="I2443" t="s">
        <v>5222</v>
      </c>
      <c r="J2443">
        <v>5</v>
      </c>
      <c r="K2443" t="s">
        <v>4738</v>
      </c>
      <c r="L2443">
        <v>163.65</v>
      </c>
      <c r="M2443">
        <v>32.729999999999997</v>
      </c>
      <c r="N2443" t="s">
        <v>5222</v>
      </c>
      <c r="O2443" t="s">
        <v>462</v>
      </c>
    </row>
    <row r="2444" spans="1:15" x14ac:dyDescent="0.3">
      <c r="A2444">
        <v>225497</v>
      </c>
      <c r="B2444">
        <v>105</v>
      </c>
      <c r="C2444" t="s">
        <v>557</v>
      </c>
      <c r="D2444" t="s">
        <v>2590</v>
      </c>
      <c r="E2444" t="s">
        <v>3156</v>
      </c>
      <c r="F2444" s="451">
        <v>46120</v>
      </c>
      <c r="G2444">
        <v>26505</v>
      </c>
      <c r="H2444" t="s">
        <v>4750</v>
      </c>
      <c r="I2444" t="s">
        <v>5222</v>
      </c>
      <c r="J2444">
        <v>2</v>
      </c>
      <c r="K2444" t="s">
        <v>4738</v>
      </c>
      <c r="L2444">
        <v>430.06</v>
      </c>
      <c r="M2444">
        <v>215.03</v>
      </c>
      <c r="N2444" t="s">
        <v>5222</v>
      </c>
      <c r="O2444" t="s">
        <v>462</v>
      </c>
    </row>
    <row r="2445" spans="1:15" x14ac:dyDescent="0.3">
      <c r="A2445">
        <v>225464</v>
      </c>
      <c r="B2445">
        <v>105</v>
      </c>
      <c r="C2445" t="s">
        <v>557</v>
      </c>
      <c r="D2445" t="s">
        <v>2615</v>
      </c>
      <c r="E2445" t="s">
        <v>3157</v>
      </c>
      <c r="F2445" s="451">
        <v>46121</v>
      </c>
      <c r="G2445">
        <v>20623</v>
      </c>
      <c r="H2445" t="s">
        <v>4814</v>
      </c>
      <c r="I2445" t="s">
        <v>5191</v>
      </c>
      <c r="J2445">
        <v>10</v>
      </c>
      <c r="K2445" t="s">
        <v>4736</v>
      </c>
      <c r="L2445">
        <v>123.9</v>
      </c>
      <c r="M2445">
        <v>12.39</v>
      </c>
      <c r="N2445" t="s">
        <v>5272</v>
      </c>
      <c r="O2445" t="s">
        <v>462</v>
      </c>
    </row>
    <row r="2446" spans="1:15" x14ac:dyDescent="0.3">
      <c r="A2446">
        <v>225463</v>
      </c>
      <c r="B2446">
        <v>105</v>
      </c>
      <c r="C2446" t="s">
        <v>557</v>
      </c>
      <c r="D2446" t="s">
        <v>2642</v>
      </c>
      <c r="E2446" t="s">
        <v>3158</v>
      </c>
      <c r="F2446" s="451">
        <v>46125</v>
      </c>
      <c r="G2446">
        <v>18030</v>
      </c>
      <c r="H2446" t="s">
        <v>4840</v>
      </c>
      <c r="I2446" t="s">
        <v>5222</v>
      </c>
      <c r="J2446">
        <v>5</v>
      </c>
      <c r="K2446" t="s">
        <v>4805</v>
      </c>
      <c r="L2446">
        <v>140</v>
      </c>
      <c r="M2446">
        <v>28</v>
      </c>
      <c r="N2446" t="s">
        <v>5271</v>
      </c>
      <c r="O2446" t="s">
        <v>462</v>
      </c>
    </row>
    <row r="2447" spans="1:15" x14ac:dyDescent="0.3">
      <c r="A2447">
        <v>225463</v>
      </c>
      <c r="B2447">
        <v>105</v>
      </c>
      <c r="C2447" t="s">
        <v>557</v>
      </c>
      <c r="D2447" t="s">
        <v>2642</v>
      </c>
      <c r="E2447" t="s">
        <v>3158</v>
      </c>
      <c r="F2447" s="451">
        <v>46125</v>
      </c>
      <c r="G2447">
        <v>18547</v>
      </c>
      <c r="H2447" t="s">
        <v>4863</v>
      </c>
      <c r="I2447" t="s">
        <v>5222</v>
      </c>
      <c r="J2447">
        <v>5</v>
      </c>
      <c r="K2447" t="s">
        <v>4805</v>
      </c>
      <c r="L2447">
        <v>187.5</v>
      </c>
      <c r="M2447">
        <v>37.5</v>
      </c>
      <c r="N2447" t="s">
        <v>5271</v>
      </c>
      <c r="O2447" t="s">
        <v>462</v>
      </c>
    </row>
    <row r="2448" spans="1:15" x14ac:dyDescent="0.3">
      <c r="A2448">
        <v>225461</v>
      </c>
      <c r="B2448">
        <v>105</v>
      </c>
      <c r="C2448" t="s">
        <v>557</v>
      </c>
      <c r="D2448" t="s">
        <v>2588</v>
      </c>
      <c r="E2448" t="s">
        <v>3159</v>
      </c>
      <c r="F2448" s="451">
        <v>46119</v>
      </c>
      <c r="G2448">
        <v>20301</v>
      </c>
      <c r="H2448" t="s">
        <v>4944</v>
      </c>
      <c r="I2448" t="s">
        <v>5191</v>
      </c>
      <c r="J2448">
        <v>12</v>
      </c>
      <c r="K2448" t="s">
        <v>4738</v>
      </c>
      <c r="L2448">
        <v>252</v>
      </c>
      <c r="M2448">
        <v>21</v>
      </c>
      <c r="N2448" t="s">
        <v>5272</v>
      </c>
      <c r="O2448" t="s">
        <v>462</v>
      </c>
    </row>
    <row r="2449" spans="1:15" x14ac:dyDescent="0.3">
      <c r="A2449">
        <v>225461</v>
      </c>
      <c r="B2449">
        <v>105</v>
      </c>
      <c r="C2449" t="s">
        <v>557</v>
      </c>
      <c r="D2449" t="s">
        <v>2588</v>
      </c>
      <c r="E2449" t="s">
        <v>3159</v>
      </c>
      <c r="F2449" s="451">
        <v>46119</v>
      </c>
      <c r="G2449">
        <v>20984</v>
      </c>
      <c r="H2449" t="s">
        <v>5133</v>
      </c>
      <c r="I2449" t="s">
        <v>5191</v>
      </c>
      <c r="J2449">
        <v>24</v>
      </c>
      <c r="K2449" t="s">
        <v>4888</v>
      </c>
      <c r="L2449">
        <v>195.6</v>
      </c>
      <c r="M2449">
        <v>8.15</v>
      </c>
      <c r="N2449" t="s">
        <v>5272</v>
      </c>
      <c r="O2449" t="s">
        <v>462</v>
      </c>
    </row>
    <row r="2450" spans="1:15" x14ac:dyDescent="0.3">
      <c r="A2450">
        <v>225460</v>
      </c>
      <c r="B2450">
        <v>105</v>
      </c>
      <c r="C2450" t="s">
        <v>557</v>
      </c>
      <c r="D2450" t="s">
        <v>2588</v>
      </c>
      <c r="E2450" t="s">
        <v>3160</v>
      </c>
      <c r="F2450" s="451">
        <v>46125</v>
      </c>
      <c r="G2450">
        <v>20301</v>
      </c>
      <c r="H2450" t="s">
        <v>4944</v>
      </c>
      <c r="I2450" t="s">
        <v>5191</v>
      </c>
      <c r="J2450">
        <v>13</v>
      </c>
      <c r="K2450" t="s">
        <v>4738</v>
      </c>
      <c r="L2450">
        <v>273</v>
      </c>
      <c r="M2450">
        <v>21</v>
      </c>
      <c r="N2450" t="s">
        <v>5272</v>
      </c>
      <c r="O2450" t="s">
        <v>462</v>
      </c>
    </row>
    <row r="2451" spans="1:15" x14ac:dyDescent="0.3">
      <c r="A2451">
        <v>225460</v>
      </c>
      <c r="B2451">
        <v>105</v>
      </c>
      <c r="C2451" t="s">
        <v>557</v>
      </c>
      <c r="D2451" t="s">
        <v>2588</v>
      </c>
      <c r="E2451" t="s">
        <v>3160</v>
      </c>
      <c r="F2451" s="451">
        <v>46125</v>
      </c>
      <c r="G2451">
        <v>20984</v>
      </c>
      <c r="H2451" t="s">
        <v>5133</v>
      </c>
      <c r="I2451" t="s">
        <v>5191</v>
      </c>
      <c r="J2451">
        <v>18</v>
      </c>
      <c r="K2451" t="s">
        <v>4888</v>
      </c>
      <c r="L2451">
        <v>146.69999999999999</v>
      </c>
      <c r="M2451">
        <v>8.15</v>
      </c>
      <c r="N2451" t="s">
        <v>5272</v>
      </c>
      <c r="O2451" t="s">
        <v>462</v>
      </c>
    </row>
    <row r="2452" spans="1:15" x14ac:dyDescent="0.3">
      <c r="A2452">
        <v>225459</v>
      </c>
      <c r="B2452">
        <v>105</v>
      </c>
      <c r="C2452" t="s">
        <v>557</v>
      </c>
      <c r="D2452" t="s">
        <v>2607</v>
      </c>
      <c r="E2452" t="s">
        <v>3161</v>
      </c>
      <c r="F2452" s="451">
        <v>46118</v>
      </c>
      <c r="G2452">
        <v>25777</v>
      </c>
      <c r="H2452" t="s">
        <v>4774</v>
      </c>
      <c r="I2452" t="s">
        <v>5191</v>
      </c>
      <c r="J2452">
        <v>27.42</v>
      </c>
      <c r="K2452" t="s">
        <v>4744</v>
      </c>
      <c r="L2452">
        <v>2330.6999999999998</v>
      </c>
      <c r="M2452">
        <v>85</v>
      </c>
      <c r="N2452" t="s">
        <v>5272</v>
      </c>
      <c r="O2452" t="s">
        <v>462</v>
      </c>
    </row>
    <row r="2453" spans="1:15" x14ac:dyDescent="0.3">
      <c r="A2453">
        <v>225459</v>
      </c>
      <c r="B2453">
        <v>105</v>
      </c>
      <c r="C2453" t="s">
        <v>557</v>
      </c>
      <c r="D2453" t="s">
        <v>2607</v>
      </c>
      <c r="E2453" t="s">
        <v>3161</v>
      </c>
      <c r="F2453" s="451">
        <v>46118</v>
      </c>
      <c r="G2453">
        <v>26135</v>
      </c>
      <c r="H2453" t="s">
        <v>4801</v>
      </c>
      <c r="I2453" t="s">
        <v>5191</v>
      </c>
      <c r="J2453">
        <v>5.2</v>
      </c>
      <c r="K2453" t="s">
        <v>4744</v>
      </c>
      <c r="L2453">
        <v>467.48</v>
      </c>
      <c r="M2453">
        <v>89.9</v>
      </c>
      <c r="N2453" t="s">
        <v>5272</v>
      </c>
      <c r="O2453" t="s">
        <v>462</v>
      </c>
    </row>
    <row r="2454" spans="1:15" x14ac:dyDescent="0.3">
      <c r="A2454">
        <v>225458</v>
      </c>
      <c r="B2454">
        <v>105</v>
      </c>
      <c r="C2454" t="s">
        <v>557</v>
      </c>
      <c r="D2454" t="s">
        <v>2607</v>
      </c>
      <c r="E2454" t="s">
        <v>3162</v>
      </c>
      <c r="F2454" s="451">
        <v>46125</v>
      </c>
      <c r="G2454">
        <v>25777</v>
      </c>
      <c r="H2454" t="s">
        <v>4774</v>
      </c>
      <c r="I2454" t="s">
        <v>5191</v>
      </c>
      <c r="J2454">
        <v>20</v>
      </c>
      <c r="K2454" t="s">
        <v>4744</v>
      </c>
      <c r="L2454">
        <v>1700</v>
      </c>
      <c r="M2454">
        <v>85</v>
      </c>
      <c r="N2454" t="s">
        <v>5272</v>
      </c>
      <c r="O2454" t="s">
        <v>462</v>
      </c>
    </row>
    <row r="2455" spans="1:15" x14ac:dyDescent="0.3">
      <c r="A2455">
        <v>225458</v>
      </c>
      <c r="B2455">
        <v>105</v>
      </c>
      <c r="C2455" t="s">
        <v>557</v>
      </c>
      <c r="D2455" t="s">
        <v>2607</v>
      </c>
      <c r="E2455" t="s">
        <v>3162</v>
      </c>
      <c r="F2455" s="451">
        <v>46125</v>
      </c>
      <c r="G2455">
        <v>27657</v>
      </c>
      <c r="H2455" t="s">
        <v>5137</v>
      </c>
      <c r="I2455" t="s">
        <v>5191</v>
      </c>
      <c r="J2455">
        <v>5.12</v>
      </c>
      <c r="K2455" t="s">
        <v>4744</v>
      </c>
      <c r="L2455">
        <v>204.54</v>
      </c>
      <c r="M2455">
        <v>39.949218999999999</v>
      </c>
      <c r="N2455" t="s">
        <v>5272</v>
      </c>
      <c r="O2455" t="s">
        <v>462</v>
      </c>
    </row>
    <row r="2456" spans="1:15" x14ac:dyDescent="0.3">
      <c r="A2456">
        <v>225457</v>
      </c>
      <c r="B2456">
        <v>105</v>
      </c>
      <c r="C2456" t="s">
        <v>557</v>
      </c>
      <c r="D2456" t="s">
        <v>2682</v>
      </c>
      <c r="E2456" t="s">
        <v>3163</v>
      </c>
      <c r="F2456" s="451">
        <v>46127</v>
      </c>
      <c r="G2456">
        <v>20007</v>
      </c>
      <c r="H2456" t="s">
        <v>5101</v>
      </c>
      <c r="I2456" t="s">
        <v>5191</v>
      </c>
      <c r="J2456">
        <v>3</v>
      </c>
      <c r="K2456" t="s">
        <v>4884</v>
      </c>
      <c r="L2456">
        <v>151.19999999999999</v>
      </c>
      <c r="M2456">
        <v>50.4</v>
      </c>
      <c r="N2456" t="s">
        <v>5272</v>
      </c>
      <c r="O2456" t="s">
        <v>462</v>
      </c>
    </row>
    <row r="2457" spans="1:15" x14ac:dyDescent="0.3">
      <c r="A2457">
        <v>225457</v>
      </c>
      <c r="B2457">
        <v>105</v>
      </c>
      <c r="C2457" t="s">
        <v>557</v>
      </c>
      <c r="D2457" t="s">
        <v>2682</v>
      </c>
      <c r="E2457" t="s">
        <v>3163</v>
      </c>
      <c r="F2457" s="451">
        <v>46127</v>
      </c>
      <c r="G2457">
        <v>19401</v>
      </c>
      <c r="H2457" t="s">
        <v>4809</v>
      </c>
      <c r="I2457" t="s">
        <v>5191</v>
      </c>
      <c r="J2457">
        <v>1</v>
      </c>
      <c r="K2457" t="s">
        <v>4879</v>
      </c>
      <c r="L2457">
        <v>209.08</v>
      </c>
      <c r="M2457">
        <v>209.08</v>
      </c>
      <c r="N2457" t="s">
        <v>5272</v>
      </c>
      <c r="O2457" t="s">
        <v>462</v>
      </c>
    </row>
    <row r="2458" spans="1:15" x14ac:dyDescent="0.3">
      <c r="A2458">
        <v>225457</v>
      </c>
      <c r="B2458">
        <v>105</v>
      </c>
      <c r="C2458" t="s">
        <v>557</v>
      </c>
      <c r="D2458" t="s">
        <v>2682</v>
      </c>
      <c r="E2458" t="s">
        <v>3163</v>
      </c>
      <c r="F2458" s="451">
        <v>46127</v>
      </c>
      <c r="G2458">
        <v>19439</v>
      </c>
      <c r="H2458" t="s">
        <v>4917</v>
      </c>
      <c r="I2458" t="s">
        <v>5191</v>
      </c>
      <c r="J2458">
        <v>4</v>
      </c>
      <c r="K2458" t="s">
        <v>4738</v>
      </c>
      <c r="L2458">
        <v>123.64</v>
      </c>
      <c r="M2458">
        <v>30.91</v>
      </c>
      <c r="N2458" t="s">
        <v>5272</v>
      </c>
      <c r="O2458" t="s">
        <v>462</v>
      </c>
    </row>
    <row r="2459" spans="1:15" x14ac:dyDescent="0.3">
      <c r="A2459">
        <v>225457</v>
      </c>
      <c r="B2459">
        <v>105</v>
      </c>
      <c r="C2459" t="s">
        <v>557</v>
      </c>
      <c r="D2459" t="s">
        <v>2682</v>
      </c>
      <c r="E2459" t="s">
        <v>3163</v>
      </c>
      <c r="F2459" s="451">
        <v>46127</v>
      </c>
      <c r="G2459">
        <v>19434</v>
      </c>
      <c r="H2459" t="s">
        <v>5078</v>
      </c>
      <c r="I2459" t="s">
        <v>5191</v>
      </c>
      <c r="J2459">
        <v>1</v>
      </c>
      <c r="K2459" t="s">
        <v>5227</v>
      </c>
      <c r="L2459">
        <v>29.96</v>
      </c>
      <c r="M2459">
        <v>29.96</v>
      </c>
      <c r="N2459" t="s">
        <v>5272</v>
      </c>
      <c r="O2459" t="s">
        <v>462</v>
      </c>
    </row>
    <row r="2460" spans="1:15" x14ac:dyDescent="0.3">
      <c r="A2460">
        <v>225456</v>
      </c>
      <c r="B2460">
        <v>105</v>
      </c>
      <c r="C2460" t="s">
        <v>557</v>
      </c>
      <c r="D2460" t="s">
        <v>2585</v>
      </c>
      <c r="E2460" t="s">
        <v>3164</v>
      </c>
      <c r="F2460" s="451">
        <v>46120</v>
      </c>
      <c r="G2460">
        <v>18822</v>
      </c>
      <c r="H2460" t="s">
        <v>4811</v>
      </c>
      <c r="I2460" t="s">
        <v>5191</v>
      </c>
      <c r="J2460">
        <v>36.51</v>
      </c>
      <c r="K2460" t="s">
        <v>4744</v>
      </c>
      <c r="L2460">
        <v>3577.98</v>
      </c>
      <c r="M2460">
        <v>98</v>
      </c>
      <c r="N2460" t="s">
        <v>5272</v>
      </c>
      <c r="O2460" t="s">
        <v>462</v>
      </c>
    </row>
    <row r="2461" spans="1:15" x14ac:dyDescent="0.3">
      <c r="A2461">
        <v>225456</v>
      </c>
      <c r="B2461">
        <v>105</v>
      </c>
      <c r="C2461" t="s">
        <v>557</v>
      </c>
      <c r="D2461" t="s">
        <v>2585</v>
      </c>
      <c r="E2461" t="s">
        <v>3164</v>
      </c>
      <c r="F2461" s="451">
        <v>46120</v>
      </c>
      <c r="G2461">
        <v>27264</v>
      </c>
      <c r="H2461" t="s">
        <v>5075</v>
      </c>
      <c r="I2461" t="s">
        <v>5191</v>
      </c>
      <c r="J2461">
        <v>11.88</v>
      </c>
      <c r="K2461" t="s">
        <v>4744</v>
      </c>
      <c r="L2461">
        <v>594.15</v>
      </c>
      <c r="M2461">
        <v>50.012625999999997</v>
      </c>
      <c r="N2461" t="s">
        <v>5272</v>
      </c>
      <c r="O2461" t="s">
        <v>462</v>
      </c>
    </row>
    <row r="2462" spans="1:15" x14ac:dyDescent="0.3">
      <c r="A2462">
        <v>225454</v>
      </c>
      <c r="B2462">
        <v>105</v>
      </c>
      <c r="C2462" t="s">
        <v>557</v>
      </c>
      <c r="D2462" t="s">
        <v>2585</v>
      </c>
      <c r="E2462" t="s">
        <v>3165</v>
      </c>
      <c r="F2462" s="451">
        <v>46127</v>
      </c>
      <c r="G2462">
        <v>18822</v>
      </c>
      <c r="H2462" t="s">
        <v>4811</v>
      </c>
      <c r="I2462" t="s">
        <v>5191</v>
      </c>
      <c r="J2462">
        <v>19.600000000000001</v>
      </c>
      <c r="K2462" t="s">
        <v>4744</v>
      </c>
      <c r="L2462">
        <v>1920.8</v>
      </c>
      <c r="M2462">
        <v>98</v>
      </c>
      <c r="N2462" t="s">
        <v>5272</v>
      </c>
      <c r="O2462" t="s">
        <v>462</v>
      </c>
    </row>
    <row r="2463" spans="1:15" x14ac:dyDescent="0.3">
      <c r="A2463">
        <v>225454</v>
      </c>
      <c r="B2463">
        <v>105</v>
      </c>
      <c r="C2463" t="s">
        <v>557</v>
      </c>
      <c r="D2463" t="s">
        <v>2585</v>
      </c>
      <c r="E2463" t="s">
        <v>3165</v>
      </c>
      <c r="F2463" s="451">
        <v>46127</v>
      </c>
      <c r="G2463">
        <v>27264</v>
      </c>
      <c r="H2463" t="s">
        <v>5075</v>
      </c>
      <c r="I2463" t="s">
        <v>5191</v>
      </c>
      <c r="J2463">
        <v>11.38</v>
      </c>
      <c r="K2463" t="s">
        <v>4744</v>
      </c>
      <c r="L2463">
        <v>605.53</v>
      </c>
      <c r="M2463">
        <v>53.210017999999998</v>
      </c>
      <c r="N2463" t="s">
        <v>5272</v>
      </c>
      <c r="O2463" t="s">
        <v>462</v>
      </c>
    </row>
    <row r="2464" spans="1:15" x14ac:dyDescent="0.3">
      <c r="A2464">
        <v>225452</v>
      </c>
      <c r="B2464">
        <v>105</v>
      </c>
      <c r="C2464" t="s">
        <v>557</v>
      </c>
      <c r="D2464" t="s">
        <v>2637</v>
      </c>
      <c r="E2464" t="s">
        <v>3166</v>
      </c>
      <c r="F2464" s="451">
        <v>46119</v>
      </c>
      <c r="G2464">
        <v>18475</v>
      </c>
      <c r="H2464" t="s">
        <v>4895</v>
      </c>
      <c r="I2464" t="s">
        <v>5222</v>
      </c>
      <c r="J2464">
        <v>12</v>
      </c>
      <c r="K2464" t="s">
        <v>4805</v>
      </c>
      <c r="L2464">
        <v>394.8</v>
      </c>
      <c r="M2464">
        <v>32.9</v>
      </c>
      <c r="N2464" t="s">
        <v>5271</v>
      </c>
      <c r="O2464" t="s">
        <v>462</v>
      </c>
    </row>
    <row r="2465" spans="1:15" x14ac:dyDescent="0.3">
      <c r="A2465">
        <v>225451</v>
      </c>
      <c r="B2465">
        <v>105</v>
      </c>
      <c r="C2465" t="s">
        <v>557</v>
      </c>
      <c r="D2465" t="s">
        <v>2581</v>
      </c>
      <c r="E2465" t="s">
        <v>3167</v>
      </c>
      <c r="F2465" s="451">
        <v>46125</v>
      </c>
      <c r="G2465">
        <v>19505</v>
      </c>
      <c r="H2465" t="s">
        <v>4872</v>
      </c>
      <c r="I2465" t="s">
        <v>5191</v>
      </c>
      <c r="J2465">
        <v>4</v>
      </c>
      <c r="K2465" t="s">
        <v>4744</v>
      </c>
      <c r="L2465">
        <v>43.2</v>
      </c>
      <c r="M2465">
        <v>10.8</v>
      </c>
      <c r="N2465" t="s">
        <v>5272</v>
      </c>
      <c r="O2465" t="s">
        <v>462</v>
      </c>
    </row>
    <row r="2466" spans="1:15" x14ac:dyDescent="0.3">
      <c r="A2466">
        <v>225451</v>
      </c>
      <c r="B2466">
        <v>105</v>
      </c>
      <c r="C2466" t="s">
        <v>557</v>
      </c>
      <c r="D2466" t="s">
        <v>2581</v>
      </c>
      <c r="E2466" t="s">
        <v>3167</v>
      </c>
      <c r="F2466" s="451">
        <v>46125</v>
      </c>
      <c r="G2466">
        <v>23095</v>
      </c>
      <c r="H2466" t="s">
        <v>4741</v>
      </c>
      <c r="I2466" t="s">
        <v>5191</v>
      </c>
      <c r="J2466">
        <v>50</v>
      </c>
      <c r="K2466" t="s">
        <v>4736</v>
      </c>
      <c r="L2466">
        <v>62.5</v>
      </c>
      <c r="M2466">
        <v>1.25</v>
      </c>
      <c r="N2466" t="s">
        <v>5272</v>
      </c>
      <c r="O2466" t="s">
        <v>462</v>
      </c>
    </row>
    <row r="2467" spans="1:15" x14ac:dyDescent="0.3">
      <c r="A2467">
        <v>225451</v>
      </c>
      <c r="B2467">
        <v>105</v>
      </c>
      <c r="C2467" t="s">
        <v>557</v>
      </c>
      <c r="D2467" t="s">
        <v>2581</v>
      </c>
      <c r="E2467" t="s">
        <v>3167</v>
      </c>
      <c r="F2467" s="451">
        <v>46125</v>
      </c>
      <c r="G2467">
        <v>24037</v>
      </c>
      <c r="H2467" t="s">
        <v>5233</v>
      </c>
      <c r="I2467" t="s">
        <v>5191</v>
      </c>
      <c r="J2467">
        <v>3</v>
      </c>
      <c r="K2467" t="s">
        <v>4744</v>
      </c>
      <c r="L2467">
        <v>54</v>
      </c>
      <c r="M2467">
        <v>18</v>
      </c>
      <c r="N2467" t="s">
        <v>5272</v>
      </c>
      <c r="O2467" t="s">
        <v>462</v>
      </c>
    </row>
    <row r="2468" spans="1:15" x14ac:dyDescent="0.3">
      <c r="A2468">
        <v>225451</v>
      </c>
      <c r="B2468">
        <v>105</v>
      </c>
      <c r="C2468" t="s">
        <v>557</v>
      </c>
      <c r="D2468" t="s">
        <v>2581</v>
      </c>
      <c r="E2468" t="s">
        <v>3167</v>
      </c>
      <c r="F2468" s="451">
        <v>46125</v>
      </c>
      <c r="G2468">
        <v>19555</v>
      </c>
      <c r="H2468" t="s">
        <v>4903</v>
      </c>
      <c r="I2468" t="s">
        <v>5191</v>
      </c>
      <c r="J2468">
        <v>1</v>
      </c>
      <c r="K2468" t="s">
        <v>4744</v>
      </c>
      <c r="L2468">
        <v>22</v>
      </c>
      <c r="M2468">
        <v>22</v>
      </c>
      <c r="N2468" t="s">
        <v>5272</v>
      </c>
      <c r="O2468" t="s">
        <v>462</v>
      </c>
    </row>
    <row r="2469" spans="1:15" x14ac:dyDescent="0.3">
      <c r="A2469">
        <v>225451</v>
      </c>
      <c r="B2469">
        <v>105</v>
      </c>
      <c r="C2469" t="s">
        <v>557</v>
      </c>
      <c r="D2469" t="s">
        <v>2581</v>
      </c>
      <c r="E2469" t="s">
        <v>3167</v>
      </c>
      <c r="F2469" s="451">
        <v>46125</v>
      </c>
      <c r="G2469">
        <v>19558</v>
      </c>
      <c r="H2469" t="s">
        <v>4994</v>
      </c>
      <c r="I2469" t="s">
        <v>5191</v>
      </c>
      <c r="J2469">
        <v>2</v>
      </c>
      <c r="K2469" t="s">
        <v>4744</v>
      </c>
      <c r="L2469">
        <v>32</v>
      </c>
      <c r="M2469">
        <v>16</v>
      </c>
      <c r="N2469" t="s">
        <v>5272</v>
      </c>
      <c r="O2469" t="s">
        <v>462</v>
      </c>
    </row>
    <row r="2470" spans="1:15" x14ac:dyDescent="0.3">
      <c r="A2470">
        <v>225451</v>
      </c>
      <c r="B2470">
        <v>105</v>
      </c>
      <c r="C2470" t="s">
        <v>557</v>
      </c>
      <c r="D2470" t="s">
        <v>2581</v>
      </c>
      <c r="E2470" t="s">
        <v>3167</v>
      </c>
      <c r="F2470" s="451">
        <v>46125</v>
      </c>
      <c r="G2470">
        <v>23390</v>
      </c>
      <c r="H2470" t="s">
        <v>4873</v>
      </c>
      <c r="I2470" t="s">
        <v>5191</v>
      </c>
      <c r="J2470">
        <v>2</v>
      </c>
      <c r="K2470" t="s">
        <v>4744</v>
      </c>
      <c r="L2470">
        <v>18</v>
      </c>
      <c r="M2470">
        <v>9</v>
      </c>
      <c r="N2470" t="s">
        <v>5272</v>
      </c>
      <c r="O2470" t="s">
        <v>462</v>
      </c>
    </row>
    <row r="2471" spans="1:15" x14ac:dyDescent="0.3">
      <c r="A2471">
        <v>225451</v>
      </c>
      <c r="B2471">
        <v>105</v>
      </c>
      <c r="C2471" t="s">
        <v>557</v>
      </c>
      <c r="D2471" t="s">
        <v>2581</v>
      </c>
      <c r="E2471" t="s">
        <v>3167</v>
      </c>
      <c r="F2471" s="451">
        <v>46125</v>
      </c>
      <c r="G2471">
        <v>23195</v>
      </c>
      <c r="H2471" t="s">
        <v>5051</v>
      </c>
      <c r="I2471" t="s">
        <v>5191</v>
      </c>
      <c r="J2471">
        <v>1</v>
      </c>
      <c r="K2471" t="s">
        <v>4744</v>
      </c>
      <c r="L2471">
        <v>13</v>
      </c>
      <c r="M2471">
        <v>13</v>
      </c>
      <c r="N2471" t="s">
        <v>5272</v>
      </c>
      <c r="O2471" t="s">
        <v>462</v>
      </c>
    </row>
    <row r="2472" spans="1:15" x14ac:dyDescent="0.3">
      <c r="A2472">
        <v>225451</v>
      </c>
      <c r="B2472">
        <v>105</v>
      </c>
      <c r="C2472" t="s">
        <v>557</v>
      </c>
      <c r="D2472" t="s">
        <v>2581</v>
      </c>
      <c r="E2472" t="s">
        <v>3167</v>
      </c>
      <c r="F2472" s="451">
        <v>46125</v>
      </c>
      <c r="G2472">
        <v>19507</v>
      </c>
      <c r="H2472" t="s">
        <v>4853</v>
      </c>
      <c r="I2472" t="s">
        <v>5191</v>
      </c>
      <c r="J2472">
        <v>3</v>
      </c>
      <c r="K2472" t="s">
        <v>4744</v>
      </c>
      <c r="L2472">
        <v>42</v>
      </c>
      <c r="M2472">
        <v>14</v>
      </c>
      <c r="N2472" t="s">
        <v>5272</v>
      </c>
      <c r="O2472" t="s">
        <v>462</v>
      </c>
    </row>
    <row r="2473" spans="1:15" x14ac:dyDescent="0.3">
      <c r="A2473">
        <v>225451</v>
      </c>
      <c r="B2473">
        <v>105</v>
      </c>
      <c r="C2473" t="s">
        <v>557</v>
      </c>
      <c r="D2473" t="s">
        <v>2581</v>
      </c>
      <c r="E2473" t="s">
        <v>3167</v>
      </c>
      <c r="F2473" s="451">
        <v>46125</v>
      </c>
      <c r="G2473">
        <v>19472</v>
      </c>
      <c r="H2473" t="s">
        <v>4906</v>
      </c>
      <c r="I2473" t="s">
        <v>5191</v>
      </c>
      <c r="J2473">
        <v>4</v>
      </c>
      <c r="K2473" t="s">
        <v>4744</v>
      </c>
      <c r="L2473">
        <v>76</v>
      </c>
      <c r="M2473">
        <v>19</v>
      </c>
      <c r="N2473" t="s">
        <v>5272</v>
      </c>
      <c r="O2473" t="s">
        <v>462</v>
      </c>
    </row>
    <row r="2474" spans="1:15" x14ac:dyDescent="0.3">
      <c r="A2474">
        <v>225451</v>
      </c>
      <c r="B2474">
        <v>105</v>
      </c>
      <c r="C2474" t="s">
        <v>557</v>
      </c>
      <c r="D2474" t="s">
        <v>2581</v>
      </c>
      <c r="E2474" t="s">
        <v>3167</v>
      </c>
      <c r="F2474" s="451">
        <v>46125</v>
      </c>
      <c r="G2474">
        <v>19506</v>
      </c>
      <c r="H2474" t="s">
        <v>5122</v>
      </c>
      <c r="I2474" t="s">
        <v>5191</v>
      </c>
      <c r="J2474">
        <v>0.5</v>
      </c>
      <c r="K2474" t="s">
        <v>4744</v>
      </c>
      <c r="L2474">
        <v>32.5</v>
      </c>
      <c r="M2474">
        <v>65</v>
      </c>
      <c r="N2474" t="s">
        <v>5272</v>
      </c>
      <c r="O2474" t="s">
        <v>462</v>
      </c>
    </row>
    <row r="2475" spans="1:15" x14ac:dyDescent="0.3">
      <c r="A2475">
        <v>225451</v>
      </c>
      <c r="B2475">
        <v>105</v>
      </c>
      <c r="C2475" t="s">
        <v>557</v>
      </c>
      <c r="D2475" t="s">
        <v>2581</v>
      </c>
      <c r="E2475" t="s">
        <v>3167</v>
      </c>
      <c r="F2475" s="451">
        <v>46125</v>
      </c>
      <c r="G2475">
        <v>23359</v>
      </c>
      <c r="H2475" t="s">
        <v>4767</v>
      </c>
      <c r="I2475" t="s">
        <v>5191</v>
      </c>
      <c r="J2475">
        <v>20</v>
      </c>
      <c r="K2475" t="s">
        <v>4744</v>
      </c>
      <c r="L2475">
        <v>45</v>
      </c>
      <c r="M2475">
        <v>2.25</v>
      </c>
      <c r="N2475" t="s">
        <v>5272</v>
      </c>
      <c r="O2475" t="s">
        <v>462</v>
      </c>
    </row>
    <row r="2476" spans="1:15" x14ac:dyDescent="0.3">
      <c r="A2476">
        <v>225451</v>
      </c>
      <c r="B2476">
        <v>105</v>
      </c>
      <c r="C2476" t="s">
        <v>557</v>
      </c>
      <c r="D2476" t="s">
        <v>2581</v>
      </c>
      <c r="E2476" t="s">
        <v>3167</v>
      </c>
      <c r="F2476" s="451">
        <v>46125</v>
      </c>
      <c r="G2476">
        <v>24489</v>
      </c>
      <c r="H2476" t="s">
        <v>5121</v>
      </c>
      <c r="I2476" t="s">
        <v>5191</v>
      </c>
      <c r="J2476">
        <v>2</v>
      </c>
      <c r="K2476" t="s">
        <v>4744</v>
      </c>
      <c r="L2476">
        <v>66</v>
      </c>
      <c r="M2476">
        <v>33</v>
      </c>
      <c r="N2476" t="s">
        <v>5272</v>
      </c>
      <c r="O2476" t="s">
        <v>462</v>
      </c>
    </row>
    <row r="2477" spans="1:15" x14ac:dyDescent="0.3">
      <c r="A2477">
        <v>225450</v>
      </c>
      <c r="B2477">
        <v>105</v>
      </c>
      <c r="C2477" t="s">
        <v>557</v>
      </c>
      <c r="D2477" t="s">
        <v>2581</v>
      </c>
      <c r="E2477" t="s">
        <v>3168</v>
      </c>
      <c r="F2477" s="451">
        <v>46126</v>
      </c>
      <c r="G2477">
        <v>23785</v>
      </c>
      <c r="H2477" t="s">
        <v>4858</v>
      </c>
      <c r="I2477" t="s">
        <v>5191</v>
      </c>
      <c r="J2477">
        <v>6</v>
      </c>
      <c r="K2477" t="s">
        <v>4744</v>
      </c>
      <c r="L2477">
        <v>288</v>
      </c>
      <c r="M2477">
        <v>48</v>
      </c>
      <c r="N2477" t="s">
        <v>5272</v>
      </c>
      <c r="O2477" t="s">
        <v>462</v>
      </c>
    </row>
    <row r="2478" spans="1:15" x14ac:dyDescent="0.3">
      <c r="A2478">
        <v>225449</v>
      </c>
      <c r="B2478">
        <v>105</v>
      </c>
      <c r="C2478" t="s">
        <v>557</v>
      </c>
      <c r="D2478" t="s">
        <v>2581</v>
      </c>
      <c r="E2478" t="s">
        <v>3169</v>
      </c>
      <c r="F2478" s="451">
        <v>46121</v>
      </c>
      <c r="G2478">
        <v>19505</v>
      </c>
      <c r="H2478" t="s">
        <v>4872</v>
      </c>
      <c r="I2478" t="s">
        <v>5191</v>
      </c>
      <c r="J2478">
        <v>5</v>
      </c>
      <c r="K2478" t="s">
        <v>4744</v>
      </c>
      <c r="L2478">
        <v>52.5</v>
      </c>
      <c r="M2478">
        <v>10.5</v>
      </c>
      <c r="N2478" t="s">
        <v>5191</v>
      </c>
      <c r="O2478" t="s">
        <v>462</v>
      </c>
    </row>
    <row r="2479" spans="1:15" x14ac:dyDescent="0.3">
      <c r="A2479">
        <v>225449</v>
      </c>
      <c r="B2479">
        <v>105</v>
      </c>
      <c r="C2479" t="s">
        <v>557</v>
      </c>
      <c r="D2479" t="s">
        <v>2581</v>
      </c>
      <c r="E2479" t="s">
        <v>3169</v>
      </c>
      <c r="F2479" s="451">
        <v>46121</v>
      </c>
      <c r="G2479">
        <v>23095</v>
      </c>
      <c r="H2479" t="s">
        <v>4741</v>
      </c>
      <c r="I2479" t="s">
        <v>5191</v>
      </c>
      <c r="J2479">
        <v>100</v>
      </c>
      <c r="K2479" t="s">
        <v>4736</v>
      </c>
      <c r="L2479">
        <v>125</v>
      </c>
      <c r="M2479">
        <v>1.25</v>
      </c>
      <c r="N2479" t="s">
        <v>5191</v>
      </c>
      <c r="O2479" t="s">
        <v>462</v>
      </c>
    </row>
    <row r="2480" spans="1:15" x14ac:dyDescent="0.3">
      <c r="A2480">
        <v>225449</v>
      </c>
      <c r="B2480">
        <v>105</v>
      </c>
      <c r="C2480" t="s">
        <v>557</v>
      </c>
      <c r="D2480" t="s">
        <v>2581</v>
      </c>
      <c r="E2480" t="s">
        <v>3169</v>
      </c>
      <c r="F2480" s="451">
        <v>46121</v>
      </c>
      <c r="G2480">
        <v>24037</v>
      </c>
      <c r="H2480" t="s">
        <v>5233</v>
      </c>
      <c r="I2480" t="s">
        <v>5191</v>
      </c>
      <c r="J2480">
        <v>1</v>
      </c>
      <c r="K2480" t="s">
        <v>4744</v>
      </c>
      <c r="L2480">
        <v>18</v>
      </c>
      <c r="M2480">
        <v>18</v>
      </c>
      <c r="N2480" t="s">
        <v>5191</v>
      </c>
      <c r="O2480" t="s">
        <v>462</v>
      </c>
    </row>
    <row r="2481" spans="1:15" x14ac:dyDescent="0.3">
      <c r="A2481">
        <v>225449</v>
      </c>
      <c r="B2481">
        <v>105</v>
      </c>
      <c r="C2481" t="s">
        <v>557</v>
      </c>
      <c r="D2481" t="s">
        <v>2581</v>
      </c>
      <c r="E2481" t="s">
        <v>3169</v>
      </c>
      <c r="F2481" s="451">
        <v>46121</v>
      </c>
      <c r="G2481">
        <v>23236</v>
      </c>
      <c r="H2481" t="s">
        <v>5062</v>
      </c>
      <c r="I2481" t="s">
        <v>5191</v>
      </c>
      <c r="J2481">
        <v>2</v>
      </c>
      <c r="K2481" t="s">
        <v>4744</v>
      </c>
      <c r="L2481">
        <v>21</v>
      </c>
      <c r="M2481">
        <v>10.5</v>
      </c>
      <c r="N2481" t="s">
        <v>5191</v>
      </c>
      <c r="O2481" t="s">
        <v>462</v>
      </c>
    </row>
    <row r="2482" spans="1:15" x14ac:dyDescent="0.3">
      <c r="A2482">
        <v>225449</v>
      </c>
      <c r="B2482">
        <v>105</v>
      </c>
      <c r="C2482" t="s">
        <v>557</v>
      </c>
      <c r="D2482" t="s">
        <v>2581</v>
      </c>
      <c r="E2482" t="s">
        <v>3169</v>
      </c>
      <c r="F2482" s="451">
        <v>46121</v>
      </c>
      <c r="G2482">
        <v>24099</v>
      </c>
      <c r="H2482" t="s">
        <v>4933</v>
      </c>
      <c r="I2482" t="s">
        <v>5191</v>
      </c>
      <c r="J2482">
        <v>1</v>
      </c>
      <c r="K2482" t="s">
        <v>4744</v>
      </c>
      <c r="L2482">
        <v>12.8</v>
      </c>
      <c r="M2482">
        <v>12.8</v>
      </c>
      <c r="N2482" t="s">
        <v>5191</v>
      </c>
      <c r="O2482" t="s">
        <v>462</v>
      </c>
    </row>
    <row r="2483" spans="1:15" x14ac:dyDescent="0.3">
      <c r="A2483">
        <v>225449</v>
      </c>
      <c r="B2483">
        <v>105</v>
      </c>
      <c r="C2483" t="s">
        <v>557</v>
      </c>
      <c r="D2483" t="s">
        <v>2581</v>
      </c>
      <c r="E2483" t="s">
        <v>3169</v>
      </c>
      <c r="F2483" s="451">
        <v>46121</v>
      </c>
      <c r="G2483">
        <v>19654</v>
      </c>
      <c r="H2483" t="s">
        <v>5099</v>
      </c>
      <c r="I2483" t="s">
        <v>5191</v>
      </c>
      <c r="J2483">
        <v>2</v>
      </c>
      <c r="K2483" t="s">
        <v>4744</v>
      </c>
      <c r="L2483">
        <v>10</v>
      </c>
      <c r="M2483">
        <v>5</v>
      </c>
      <c r="N2483" t="s">
        <v>5191</v>
      </c>
      <c r="O2483" t="s">
        <v>462</v>
      </c>
    </row>
    <row r="2484" spans="1:15" x14ac:dyDescent="0.3">
      <c r="A2484">
        <v>225449</v>
      </c>
      <c r="B2484">
        <v>105</v>
      </c>
      <c r="C2484" t="s">
        <v>557</v>
      </c>
      <c r="D2484" t="s">
        <v>2581</v>
      </c>
      <c r="E2484" t="s">
        <v>3169</v>
      </c>
      <c r="F2484" s="451">
        <v>46121</v>
      </c>
      <c r="G2484">
        <v>23195</v>
      </c>
      <c r="H2484" t="s">
        <v>5051</v>
      </c>
      <c r="I2484" t="s">
        <v>5191</v>
      </c>
      <c r="J2484">
        <v>0.3</v>
      </c>
      <c r="K2484" t="s">
        <v>4744</v>
      </c>
      <c r="L2484">
        <v>3.9</v>
      </c>
      <c r="M2484">
        <v>13</v>
      </c>
      <c r="N2484" t="s">
        <v>5191</v>
      </c>
      <c r="O2484" t="s">
        <v>462</v>
      </c>
    </row>
    <row r="2485" spans="1:15" x14ac:dyDescent="0.3">
      <c r="A2485">
        <v>225449</v>
      </c>
      <c r="B2485">
        <v>105</v>
      </c>
      <c r="C2485" t="s">
        <v>557</v>
      </c>
      <c r="D2485" t="s">
        <v>2581</v>
      </c>
      <c r="E2485" t="s">
        <v>3169</v>
      </c>
      <c r="F2485" s="451">
        <v>46121</v>
      </c>
      <c r="G2485">
        <v>23389</v>
      </c>
      <c r="H2485" t="s">
        <v>4960</v>
      </c>
      <c r="I2485" t="s">
        <v>5191</v>
      </c>
      <c r="J2485">
        <v>5</v>
      </c>
      <c r="K2485" t="s">
        <v>4744</v>
      </c>
      <c r="L2485">
        <v>27.5</v>
      </c>
      <c r="M2485">
        <v>5.5</v>
      </c>
      <c r="N2485" t="s">
        <v>5191</v>
      </c>
      <c r="O2485" t="s">
        <v>462</v>
      </c>
    </row>
    <row r="2486" spans="1:15" x14ac:dyDescent="0.3">
      <c r="A2486">
        <v>225449</v>
      </c>
      <c r="B2486">
        <v>105</v>
      </c>
      <c r="C2486" t="s">
        <v>557</v>
      </c>
      <c r="D2486" t="s">
        <v>2581</v>
      </c>
      <c r="E2486" t="s">
        <v>3169</v>
      </c>
      <c r="F2486" s="451">
        <v>46121</v>
      </c>
      <c r="G2486">
        <v>19507</v>
      </c>
      <c r="H2486" t="s">
        <v>4853</v>
      </c>
      <c r="I2486" t="s">
        <v>5191</v>
      </c>
      <c r="J2486">
        <v>1.5</v>
      </c>
      <c r="K2486" t="s">
        <v>4744</v>
      </c>
      <c r="L2486">
        <v>22.5</v>
      </c>
      <c r="M2486">
        <v>15</v>
      </c>
      <c r="N2486" t="s">
        <v>5191</v>
      </c>
      <c r="O2486" t="s">
        <v>462</v>
      </c>
    </row>
    <row r="2487" spans="1:15" x14ac:dyDescent="0.3">
      <c r="A2487">
        <v>225449</v>
      </c>
      <c r="B2487">
        <v>105</v>
      </c>
      <c r="C2487" t="s">
        <v>557</v>
      </c>
      <c r="D2487" t="s">
        <v>2581</v>
      </c>
      <c r="E2487" t="s">
        <v>3169</v>
      </c>
      <c r="F2487" s="451">
        <v>46121</v>
      </c>
      <c r="G2487">
        <v>19472</v>
      </c>
      <c r="H2487" t="s">
        <v>4906</v>
      </c>
      <c r="I2487" t="s">
        <v>5191</v>
      </c>
      <c r="J2487">
        <v>1</v>
      </c>
      <c r="K2487" t="s">
        <v>4744</v>
      </c>
      <c r="L2487">
        <v>20</v>
      </c>
      <c r="M2487">
        <v>20</v>
      </c>
      <c r="N2487" t="s">
        <v>5191</v>
      </c>
      <c r="O2487" t="s">
        <v>462</v>
      </c>
    </row>
    <row r="2488" spans="1:15" x14ac:dyDescent="0.3">
      <c r="A2488">
        <v>225449</v>
      </c>
      <c r="B2488">
        <v>105</v>
      </c>
      <c r="C2488" t="s">
        <v>557</v>
      </c>
      <c r="D2488" t="s">
        <v>2581</v>
      </c>
      <c r="E2488" t="s">
        <v>3169</v>
      </c>
      <c r="F2488" s="451">
        <v>46121</v>
      </c>
      <c r="G2488">
        <v>19506</v>
      </c>
      <c r="H2488" t="s">
        <v>5122</v>
      </c>
      <c r="I2488" t="s">
        <v>5191</v>
      </c>
      <c r="J2488">
        <v>0.3</v>
      </c>
      <c r="K2488" t="s">
        <v>4744</v>
      </c>
      <c r="L2488">
        <v>22.5</v>
      </c>
      <c r="M2488">
        <v>75</v>
      </c>
      <c r="N2488" t="s">
        <v>5191</v>
      </c>
      <c r="O2488" t="s">
        <v>462</v>
      </c>
    </row>
    <row r="2489" spans="1:15" x14ac:dyDescent="0.3">
      <c r="A2489">
        <v>225449</v>
      </c>
      <c r="B2489">
        <v>105</v>
      </c>
      <c r="C2489" t="s">
        <v>557</v>
      </c>
      <c r="D2489" t="s">
        <v>2581</v>
      </c>
      <c r="E2489" t="s">
        <v>3169</v>
      </c>
      <c r="F2489" s="451">
        <v>46121</v>
      </c>
      <c r="G2489">
        <v>23359</v>
      </c>
      <c r="H2489" t="s">
        <v>4767</v>
      </c>
      <c r="I2489" t="s">
        <v>5191</v>
      </c>
      <c r="J2489">
        <v>10</v>
      </c>
      <c r="K2489" t="s">
        <v>4744</v>
      </c>
      <c r="L2489">
        <v>24</v>
      </c>
      <c r="M2489">
        <v>2.4</v>
      </c>
      <c r="N2489" t="s">
        <v>5191</v>
      </c>
      <c r="O2489" t="s">
        <v>462</v>
      </c>
    </row>
    <row r="2490" spans="1:15" x14ac:dyDescent="0.3">
      <c r="A2490">
        <v>225449</v>
      </c>
      <c r="B2490">
        <v>105</v>
      </c>
      <c r="C2490" t="s">
        <v>557</v>
      </c>
      <c r="D2490" t="s">
        <v>2581</v>
      </c>
      <c r="E2490" t="s">
        <v>3169</v>
      </c>
      <c r="F2490" s="451">
        <v>46121</v>
      </c>
      <c r="G2490">
        <v>19787</v>
      </c>
      <c r="H2490" t="s">
        <v>4793</v>
      </c>
      <c r="I2490" t="s">
        <v>5191</v>
      </c>
      <c r="J2490">
        <v>5</v>
      </c>
      <c r="K2490" t="s">
        <v>4744</v>
      </c>
      <c r="L2490">
        <v>26.25</v>
      </c>
      <c r="M2490">
        <v>5.25</v>
      </c>
      <c r="N2490" t="s">
        <v>5191</v>
      </c>
      <c r="O2490" t="s">
        <v>462</v>
      </c>
    </row>
    <row r="2491" spans="1:15" x14ac:dyDescent="0.3">
      <c r="A2491">
        <v>225448</v>
      </c>
      <c r="B2491">
        <v>105</v>
      </c>
      <c r="C2491" t="s">
        <v>557</v>
      </c>
      <c r="D2491" t="s">
        <v>2579</v>
      </c>
      <c r="E2491" t="s">
        <v>3170</v>
      </c>
      <c r="F2491" s="451">
        <v>46121</v>
      </c>
      <c r="G2491">
        <v>19751</v>
      </c>
      <c r="H2491" t="s">
        <v>4800</v>
      </c>
      <c r="I2491" t="s">
        <v>5191</v>
      </c>
      <c r="J2491">
        <v>2</v>
      </c>
      <c r="K2491" t="s">
        <v>4744</v>
      </c>
      <c r="L2491">
        <v>22.96</v>
      </c>
      <c r="M2491">
        <v>11.48</v>
      </c>
      <c r="N2491" t="s">
        <v>5272</v>
      </c>
      <c r="O2491" t="s">
        <v>462</v>
      </c>
    </row>
    <row r="2492" spans="1:15" x14ac:dyDescent="0.3">
      <c r="A2492">
        <v>225448</v>
      </c>
      <c r="B2492">
        <v>105</v>
      </c>
      <c r="C2492" t="s">
        <v>557</v>
      </c>
      <c r="D2492" t="s">
        <v>2579</v>
      </c>
      <c r="E2492" t="s">
        <v>3170</v>
      </c>
      <c r="F2492" s="451">
        <v>46121</v>
      </c>
      <c r="G2492">
        <v>23361</v>
      </c>
      <c r="H2492" t="s">
        <v>4754</v>
      </c>
      <c r="I2492" t="s">
        <v>5191</v>
      </c>
      <c r="J2492">
        <v>25</v>
      </c>
      <c r="K2492" t="s">
        <v>4744</v>
      </c>
      <c r="L2492">
        <v>74.25</v>
      </c>
      <c r="M2492">
        <v>2.97</v>
      </c>
      <c r="N2492" t="s">
        <v>5272</v>
      </c>
      <c r="O2492" t="s">
        <v>462</v>
      </c>
    </row>
    <row r="2493" spans="1:15" x14ac:dyDescent="0.3">
      <c r="A2493">
        <v>225447</v>
      </c>
      <c r="B2493">
        <v>105</v>
      </c>
      <c r="C2493" t="s">
        <v>557</v>
      </c>
      <c r="D2493" t="s">
        <v>2605</v>
      </c>
      <c r="E2493" t="s">
        <v>3171</v>
      </c>
      <c r="F2493" s="451">
        <v>46114</v>
      </c>
      <c r="G2493">
        <v>22721</v>
      </c>
      <c r="H2493" t="s">
        <v>4803</v>
      </c>
      <c r="I2493" t="s">
        <v>5191</v>
      </c>
      <c r="J2493">
        <v>5</v>
      </c>
      <c r="K2493" t="s">
        <v>4744</v>
      </c>
      <c r="L2493">
        <v>147.5</v>
      </c>
      <c r="M2493">
        <v>29.5</v>
      </c>
      <c r="N2493" t="s">
        <v>5191</v>
      </c>
      <c r="O2493" t="s">
        <v>462</v>
      </c>
    </row>
    <row r="2494" spans="1:15" x14ac:dyDescent="0.3">
      <c r="A2494">
        <v>225447</v>
      </c>
      <c r="B2494">
        <v>105</v>
      </c>
      <c r="C2494" t="s">
        <v>557</v>
      </c>
      <c r="D2494" t="s">
        <v>2605</v>
      </c>
      <c r="E2494" t="s">
        <v>3171</v>
      </c>
      <c r="F2494" s="451">
        <v>46114</v>
      </c>
      <c r="G2494">
        <v>19401</v>
      </c>
      <c r="H2494" t="s">
        <v>4809</v>
      </c>
      <c r="I2494" t="s">
        <v>5191</v>
      </c>
      <c r="J2494">
        <v>2</v>
      </c>
      <c r="K2494" t="s">
        <v>5227</v>
      </c>
      <c r="L2494">
        <v>479.8</v>
      </c>
      <c r="M2494">
        <v>239.9</v>
      </c>
      <c r="N2494" t="s">
        <v>5191</v>
      </c>
      <c r="O2494" t="s">
        <v>462</v>
      </c>
    </row>
    <row r="2495" spans="1:15" x14ac:dyDescent="0.3">
      <c r="A2495">
        <v>225446</v>
      </c>
      <c r="B2495">
        <v>105</v>
      </c>
      <c r="C2495" t="s">
        <v>557</v>
      </c>
      <c r="D2495" t="s">
        <v>2605</v>
      </c>
      <c r="E2495" t="s">
        <v>3172</v>
      </c>
      <c r="F2495" s="451">
        <v>46119</v>
      </c>
      <c r="G2495">
        <v>20122</v>
      </c>
      <c r="H2495" t="s">
        <v>4781</v>
      </c>
      <c r="I2495" t="s">
        <v>5191</v>
      </c>
      <c r="J2495">
        <v>5</v>
      </c>
      <c r="K2495" t="s">
        <v>5227</v>
      </c>
      <c r="L2495">
        <v>71.900000000000006</v>
      </c>
      <c r="M2495">
        <v>14.38</v>
      </c>
      <c r="N2495" t="s">
        <v>5272</v>
      </c>
      <c r="O2495" t="s">
        <v>462</v>
      </c>
    </row>
    <row r="2496" spans="1:15" x14ac:dyDescent="0.3">
      <c r="A2496">
        <v>225446</v>
      </c>
      <c r="B2496">
        <v>105</v>
      </c>
      <c r="C2496" t="s">
        <v>557</v>
      </c>
      <c r="D2496" t="s">
        <v>2605</v>
      </c>
      <c r="E2496" t="s">
        <v>3172</v>
      </c>
      <c r="F2496" s="451">
        <v>46119</v>
      </c>
      <c r="G2496">
        <v>24322</v>
      </c>
      <c r="H2496" t="s">
        <v>5064</v>
      </c>
      <c r="I2496" t="s">
        <v>5191</v>
      </c>
      <c r="J2496">
        <v>1</v>
      </c>
      <c r="K2496" t="s">
        <v>5227</v>
      </c>
      <c r="L2496">
        <v>22</v>
      </c>
      <c r="M2496">
        <v>22</v>
      </c>
      <c r="N2496" t="s">
        <v>5272</v>
      </c>
      <c r="O2496" t="s">
        <v>462</v>
      </c>
    </row>
    <row r="2497" spans="1:15" x14ac:dyDescent="0.3">
      <c r="A2497">
        <v>225446</v>
      </c>
      <c r="B2497">
        <v>105</v>
      </c>
      <c r="C2497" t="s">
        <v>557</v>
      </c>
      <c r="D2497" t="s">
        <v>2605</v>
      </c>
      <c r="E2497" t="s">
        <v>3172</v>
      </c>
      <c r="F2497" s="451">
        <v>46119</v>
      </c>
      <c r="G2497">
        <v>19405</v>
      </c>
      <c r="H2497" t="s">
        <v>5158</v>
      </c>
      <c r="I2497" t="s">
        <v>5191</v>
      </c>
      <c r="J2497">
        <v>3</v>
      </c>
      <c r="K2497" t="s">
        <v>5227</v>
      </c>
      <c r="L2497">
        <v>458.7</v>
      </c>
      <c r="M2497">
        <v>152.9</v>
      </c>
      <c r="N2497" t="s">
        <v>5272</v>
      </c>
      <c r="O2497" t="s">
        <v>462</v>
      </c>
    </row>
    <row r="2498" spans="1:15" x14ac:dyDescent="0.3">
      <c r="A2498">
        <v>225446</v>
      </c>
      <c r="B2498">
        <v>105</v>
      </c>
      <c r="C2498" t="s">
        <v>557</v>
      </c>
      <c r="D2498" t="s">
        <v>2605</v>
      </c>
      <c r="E2498" t="s">
        <v>3172</v>
      </c>
      <c r="F2498" s="451">
        <v>46119</v>
      </c>
      <c r="G2498">
        <v>19979</v>
      </c>
      <c r="H2498" t="s">
        <v>5270</v>
      </c>
      <c r="I2498" t="s">
        <v>5191</v>
      </c>
      <c r="J2498">
        <v>4</v>
      </c>
      <c r="K2498" t="s">
        <v>5227</v>
      </c>
      <c r="L2498">
        <v>85.8</v>
      </c>
      <c r="M2498">
        <v>21.45</v>
      </c>
      <c r="N2498" t="s">
        <v>5272</v>
      </c>
      <c r="O2498" t="s">
        <v>462</v>
      </c>
    </row>
    <row r="2499" spans="1:15" x14ac:dyDescent="0.3">
      <c r="A2499">
        <v>225446</v>
      </c>
      <c r="B2499">
        <v>105</v>
      </c>
      <c r="C2499" t="s">
        <v>557</v>
      </c>
      <c r="D2499" t="s">
        <v>2605</v>
      </c>
      <c r="E2499" t="s">
        <v>3172</v>
      </c>
      <c r="F2499" s="451">
        <v>46119</v>
      </c>
      <c r="G2499">
        <v>19710</v>
      </c>
      <c r="H2499" t="s">
        <v>4963</v>
      </c>
      <c r="I2499" t="s">
        <v>5191</v>
      </c>
      <c r="J2499">
        <v>1</v>
      </c>
      <c r="K2499" t="s">
        <v>5228</v>
      </c>
      <c r="L2499">
        <v>21.5</v>
      </c>
      <c r="M2499">
        <v>21.5</v>
      </c>
      <c r="N2499" t="s">
        <v>5272</v>
      </c>
      <c r="O2499" t="s">
        <v>462</v>
      </c>
    </row>
    <row r="2500" spans="1:15" x14ac:dyDescent="0.3">
      <c r="A2500">
        <v>225446</v>
      </c>
      <c r="B2500">
        <v>105</v>
      </c>
      <c r="C2500" t="s">
        <v>557</v>
      </c>
      <c r="D2500" t="s">
        <v>2605</v>
      </c>
      <c r="E2500" t="s">
        <v>3172</v>
      </c>
      <c r="F2500" s="451">
        <v>46119</v>
      </c>
      <c r="G2500">
        <v>25358</v>
      </c>
      <c r="H2500" t="s">
        <v>4980</v>
      </c>
      <c r="I2500" t="s">
        <v>5191</v>
      </c>
      <c r="J2500">
        <v>1</v>
      </c>
      <c r="K2500" t="s">
        <v>5238</v>
      </c>
      <c r="L2500">
        <v>81.599999999999994</v>
      </c>
      <c r="M2500">
        <v>81.599999999999994</v>
      </c>
      <c r="N2500" t="s">
        <v>5272</v>
      </c>
      <c r="O2500" t="s">
        <v>462</v>
      </c>
    </row>
    <row r="2501" spans="1:15" x14ac:dyDescent="0.3">
      <c r="A2501">
        <v>225446</v>
      </c>
      <c r="B2501">
        <v>105</v>
      </c>
      <c r="C2501" t="s">
        <v>557</v>
      </c>
      <c r="D2501" t="s">
        <v>2605</v>
      </c>
      <c r="E2501" t="s">
        <v>3172</v>
      </c>
      <c r="F2501" s="451">
        <v>46119</v>
      </c>
      <c r="G2501">
        <v>20751</v>
      </c>
      <c r="H2501" t="s">
        <v>5004</v>
      </c>
      <c r="I2501" t="s">
        <v>5191</v>
      </c>
      <c r="J2501">
        <v>1</v>
      </c>
      <c r="K2501" t="s">
        <v>4884</v>
      </c>
      <c r="L2501">
        <v>109.9</v>
      </c>
      <c r="M2501">
        <v>109.9</v>
      </c>
      <c r="N2501" t="s">
        <v>5272</v>
      </c>
      <c r="O2501" t="s">
        <v>462</v>
      </c>
    </row>
    <row r="2502" spans="1:15" x14ac:dyDescent="0.3">
      <c r="A2502">
        <v>225446</v>
      </c>
      <c r="B2502">
        <v>105</v>
      </c>
      <c r="C2502" t="s">
        <v>557</v>
      </c>
      <c r="D2502" t="s">
        <v>2605</v>
      </c>
      <c r="E2502" t="s">
        <v>3172</v>
      </c>
      <c r="F2502" s="451">
        <v>46119</v>
      </c>
      <c r="G2502">
        <v>20007</v>
      </c>
      <c r="H2502" t="s">
        <v>5101</v>
      </c>
      <c r="I2502" t="s">
        <v>5191</v>
      </c>
      <c r="J2502">
        <v>3</v>
      </c>
      <c r="K2502" t="s">
        <v>4884</v>
      </c>
      <c r="L2502">
        <v>157.80000000000001</v>
      </c>
      <c r="M2502">
        <v>52.6</v>
      </c>
      <c r="N2502" t="s">
        <v>5272</v>
      </c>
      <c r="O2502" t="s">
        <v>462</v>
      </c>
    </row>
    <row r="2503" spans="1:15" x14ac:dyDescent="0.3">
      <c r="A2503">
        <v>225446</v>
      </c>
      <c r="B2503">
        <v>105</v>
      </c>
      <c r="C2503" t="s">
        <v>557</v>
      </c>
      <c r="D2503" t="s">
        <v>2605</v>
      </c>
      <c r="E2503" t="s">
        <v>3172</v>
      </c>
      <c r="F2503" s="451">
        <v>46119</v>
      </c>
      <c r="G2503">
        <v>27397</v>
      </c>
      <c r="H2503" t="s">
        <v>4913</v>
      </c>
      <c r="I2503" t="s">
        <v>5191</v>
      </c>
      <c r="J2503">
        <v>4</v>
      </c>
      <c r="K2503" t="s">
        <v>4736</v>
      </c>
      <c r="L2503">
        <v>247.8</v>
      </c>
      <c r="M2503">
        <v>61.95</v>
      </c>
      <c r="N2503" t="s">
        <v>5272</v>
      </c>
      <c r="O2503" t="s">
        <v>462</v>
      </c>
    </row>
    <row r="2504" spans="1:15" x14ac:dyDescent="0.3">
      <c r="A2504">
        <v>225446</v>
      </c>
      <c r="B2504">
        <v>105</v>
      </c>
      <c r="C2504" t="s">
        <v>557</v>
      </c>
      <c r="D2504" t="s">
        <v>2605</v>
      </c>
      <c r="E2504" t="s">
        <v>3172</v>
      </c>
      <c r="F2504" s="451">
        <v>46119</v>
      </c>
      <c r="G2504">
        <v>19415</v>
      </c>
      <c r="H2504" t="s">
        <v>4919</v>
      </c>
      <c r="I2504" t="s">
        <v>5191</v>
      </c>
      <c r="J2504">
        <v>3</v>
      </c>
      <c r="K2504" t="s">
        <v>4736</v>
      </c>
      <c r="L2504">
        <v>26.4</v>
      </c>
      <c r="M2504">
        <v>8.8000000000000007</v>
      </c>
      <c r="N2504" t="s">
        <v>5272</v>
      </c>
      <c r="O2504" t="s">
        <v>462</v>
      </c>
    </row>
    <row r="2505" spans="1:15" x14ac:dyDescent="0.3">
      <c r="A2505">
        <v>225446</v>
      </c>
      <c r="B2505">
        <v>105</v>
      </c>
      <c r="C2505" t="s">
        <v>557</v>
      </c>
      <c r="D2505" t="s">
        <v>2605</v>
      </c>
      <c r="E2505" t="s">
        <v>3172</v>
      </c>
      <c r="F2505" s="451">
        <v>46119</v>
      </c>
      <c r="G2505">
        <v>23808</v>
      </c>
      <c r="H2505" t="s">
        <v>4982</v>
      </c>
      <c r="I2505" t="s">
        <v>5191</v>
      </c>
      <c r="J2505">
        <v>1</v>
      </c>
      <c r="K2505" t="s">
        <v>4744</v>
      </c>
      <c r="L2505">
        <v>67.099999999999994</v>
      </c>
      <c r="M2505">
        <v>67.099999999999994</v>
      </c>
      <c r="N2505" t="s">
        <v>5272</v>
      </c>
      <c r="O2505" t="s">
        <v>462</v>
      </c>
    </row>
    <row r="2506" spans="1:15" x14ac:dyDescent="0.3">
      <c r="A2506">
        <v>225446</v>
      </c>
      <c r="B2506">
        <v>105</v>
      </c>
      <c r="C2506" t="s">
        <v>557</v>
      </c>
      <c r="D2506" t="s">
        <v>2605</v>
      </c>
      <c r="E2506" t="s">
        <v>3172</v>
      </c>
      <c r="F2506" s="451">
        <v>46119</v>
      </c>
      <c r="G2506">
        <v>23819</v>
      </c>
      <c r="H2506" t="s">
        <v>4947</v>
      </c>
      <c r="I2506" t="s">
        <v>5191</v>
      </c>
      <c r="J2506">
        <v>4</v>
      </c>
      <c r="K2506" t="s">
        <v>4736</v>
      </c>
      <c r="L2506">
        <v>36.64</v>
      </c>
      <c r="M2506">
        <v>9.16</v>
      </c>
      <c r="N2506" t="s">
        <v>5272</v>
      </c>
      <c r="O2506" t="s">
        <v>462</v>
      </c>
    </row>
    <row r="2507" spans="1:15" x14ac:dyDescent="0.3">
      <c r="A2507">
        <v>225446</v>
      </c>
      <c r="B2507">
        <v>105</v>
      </c>
      <c r="C2507" t="s">
        <v>557</v>
      </c>
      <c r="D2507" t="s">
        <v>2605</v>
      </c>
      <c r="E2507" t="s">
        <v>3172</v>
      </c>
      <c r="F2507" s="451">
        <v>46119</v>
      </c>
      <c r="G2507">
        <v>20887</v>
      </c>
      <c r="H2507" t="s">
        <v>4953</v>
      </c>
      <c r="I2507" t="s">
        <v>5191</v>
      </c>
      <c r="J2507">
        <v>2</v>
      </c>
      <c r="K2507" t="s">
        <v>4879</v>
      </c>
      <c r="L2507">
        <v>73</v>
      </c>
      <c r="M2507">
        <v>36.5</v>
      </c>
      <c r="N2507" t="s">
        <v>5272</v>
      </c>
      <c r="O2507" t="s">
        <v>462</v>
      </c>
    </row>
    <row r="2508" spans="1:15" x14ac:dyDescent="0.3">
      <c r="A2508">
        <v>225446</v>
      </c>
      <c r="B2508">
        <v>105</v>
      </c>
      <c r="C2508" t="s">
        <v>557</v>
      </c>
      <c r="D2508" t="s">
        <v>2605</v>
      </c>
      <c r="E2508" t="s">
        <v>3172</v>
      </c>
      <c r="F2508" s="451">
        <v>46119</v>
      </c>
      <c r="G2508">
        <v>20689</v>
      </c>
      <c r="H2508" t="s">
        <v>5007</v>
      </c>
      <c r="I2508" t="s">
        <v>5191</v>
      </c>
      <c r="J2508">
        <v>3</v>
      </c>
      <c r="K2508" t="s">
        <v>5227</v>
      </c>
      <c r="L2508">
        <v>94.8</v>
      </c>
      <c r="M2508">
        <v>31.6</v>
      </c>
      <c r="N2508" t="s">
        <v>5272</v>
      </c>
      <c r="O2508" t="s">
        <v>462</v>
      </c>
    </row>
    <row r="2509" spans="1:15" x14ac:dyDescent="0.3">
      <c r="A2509">
        <v>225446</v>
      </c>
      <c r="B2509">
        <v>105</v>
      </c>
      <c r="C2509" t="s">
        <v>557</v>
      </c>
      <c r="D2509" t="s">
        <v>2605</v>
      </c>
      <c r="E2509" t="s">
        <v>3172</v>
      </c>
      <c r="F2509" s="451">
        <v>46119</v>
      </c>
      <c r="G2509">
        <v>19356</v>
      </c>
      <c r="H2509" t="s">
        <v>4799</v>
      </c>
      <c r="I2509" t="s">
        <v>5191</v>
      </c>
      <c r="J2509">
        <v>5.88</v>
      </c>
      <c r="K2509" t="s">
        <v>5227</v>
      </c>
      <c r="L2509">
        <v>340.45</v>
      </c>
      <c r="M2509">
        <v>57.899659999999997</v>
      </c>
      <c r="N2509" t="s">
        <v>5272</v>
      </c>
      <c r="O2509" t="s">
        <v>462</v>
      </c>
    </row>
    <row r="2510" spans="1:15" x14ac:dyDescent="0.3">
      <c r="A2510">
        <v>225444</v>
      </c>
      <c r="B2510">
        <v>105</v>
      </c>
      <c r="C2510" t="s">
        <v>557</v>
      </c>
      <c r="D2510" t="s">
        <v>2597</v>
      </c>
      <c r="E2510" t="s">
        <v>3173</v>
      </c>
      <c r="F2510" s="451">
        <v>46118</v>
      </c>
      <c r="G2510">
        <v>24217</v>
      </c>
      <c r="H2510" t="s">
        <v>4778</v>
      </c>
      <c r="I2510" t="s">
        <v>5191</v>
      </c>
      <c r="J2510">
        <v>28.65</v>
      </c>
      <c r="K2510" t="s">
        <v>4744</v>
      </c>
      <c r="L2510">
        <v>913.93</v>
      </c>
      <c r="M2510">
        <v>31.899825</v>
      </c>
      <c r="N2510" t="s">
        <v>5272</v>
      </c>
      <c r="O2510" t="s">
        <v>462</v>
      </c>
    </row>
    <row r="2511" spans="1:15" x14ac:dyDescent="0.3">
      <c r="A2511">
        <v>225444</v>
      </c>
      <c r="B2511">
        <v>105</v>
      </c>
      <c r="C2511" t="s">
        <v>557</v>
      </c>
      <c r="D2511" t="s">
        <v>2597</v>
      </c>
      <c r="E2511" t="s">
        <v>3173</v>
      </c>
      <c r="F2511" s="451">
        <v>46118</v>
      </c>
      <c r="G2511">
        <v>24116</v>
      </c>
      <c r="H2511" t="s">
        <v>4777</v>
      </c>
      <c r="I2511" t="s">
        <v>5191</v>
      </c>
      <c r="J2511">
        <v>5</v>
      </c>
      <c r="K2511" t="s">
        <v>4744</v>
      </c>
      <c r="L2511">
        <v>209.5</v>
      </c>
      <c r="M2511">
        <v>41.9</v>
      </c>
      <c r="N2511" t="s">
        <v>5272</v>
      </c>
      <c r="O2511" t="s">
        <v>462</v>
      </c>
    </row>
    <row r="2512" spans="1:15" x14ac:dyDescent="0.3">
      <c r="A2512">
        <v>225444</v>
      </c>
      <c r="B2512">
        <v>105</v>
      </c>
      <c r="C2512" t="s">
        <v>557</v>
      </c>
      <c r="D2512" t="s">
        <v>2597</v>
      </c>
      <c r="E2512" t="s">
        <v>3173</v>
      </c>
      <c r="F2512" s="451">
        <v>46118</v>
      </c>
      <c r="G2512">
        <v>20501</v>
      </c>
      <c r="H2512" t="s">
        <v>4760</v>
      </c>
      <c r="I2512" t="s">
        <v>5191</v>
      </c>
      <c r="J2512">
        <v>20</v>
      </c>
      <c r="K2512" t="s">
        <v>4744</v>
      </c>
      <c r="L2512">
        <v>438</v>
      </c>
      <c r="M2512">
        <v>21.9</v>
      </c>
      <c r="N2512" t="s">
        <v>5272</v>
      </c>
      <c r="O2512" t="s">
        <v>462</v>
      </c>
    </row>
    <row r="2513" spans="1:15" x14ac:dyDescent="0.3">
      <c r="A2513">
        <v>225444</v>
      </c>
      <c r="B2513">
        <v>105</v>
      </c>
      <c r="C2513" t="s">
        <v>557</v>
      </c>
      <c r="D2513" t="s">
        <v>2597</v>
      </c>
      <c r="E2513" t="s">
        <v>3173</v>
      </c>
      <c r="F2513" s="451">
        <v>46118</v>
      </c>
      <c r="G2513">
        <v>19041</v>
      </c>
      <c r="H2513" t="s">
        <v>4762</v>
      </c>
      <c r="I2513" t="s">
        <v>5191</v>
      </c>
      <c r="J2513">
        <v>25.1</v>
      </c>
      <c r="K2513" t="s">
        <v>4744</v>
      </c>
      <c r="L2513">
        <v>373.99</v>
      </c>
      <c r="M2513">
        <v>14.9</v>
      </c>
      <c r="N2513" t="s">
        <v>5272</v>
      </c>
      <c r="O2513" t="s">
        <v>462</v>
      </c>
    </row>
    <row r="2514" spans="1:15" x14ac:dyDescent="0.3">
      <c r="A2514">
        <v>225444</v>
      </c>
      <c r="B2514">
        <v>105</v>
      </c>
      <c r="C2514" t="s">
        <v>557</v>
      </c>
      <c r="D2514" t="s">
        <v>2597</v>
      </c>
      <c r="E2514" t="s">
        <v>3173</v>
      </c>
      <c r="F2514" s="451">
        <v>46118</v>
      </c>
      <c r="G2514">
        <v>19017</v>
      </c>
      <c r="H2514" t="s">
        <v>5174</v>
      </c>
      <c r="I2514" t="s">
        <v>5191</v>
      </c>
      <c r="J2514">
        <v>5.7</v>
      </c>
      <c r="K2514" t="s">
        <v>4744</v>
      </c>
      <c r="L2514">
        <v>88.35</v>
      </c>
      <c r="M2514">
        <v>15.5</v>
      </c>
      <c r="N2514" t="s">
        <v>5272</v>
      </c>
      <c r="O2514" t="s">
        <v>462</v>
      </c>
    </row>
    <row r="2515" spans="1:15" x14ac:dyDescent="0.3">
      <c r="A2515">
        <v>225444</v>
      </c>
      <c r="B2515">
        <v>105</v>
      </c>
      <c r="C2515" t="s">
        <v>557</v>
      </c>
      <c r="D2515" t="s">
        <v>2597</v>
      </c>
      <c r="E2515" t="s">
        <v>3173</v>
      </c>
      <c r="F2515" s="451">
        <v>46118</v>
      </c>
      <c r="G2515">
        <v>24259</v>
      </c>
      <c r="H2515" t="s">
        <v>4875</v>
      </c>
      <c r="I2515" t="s">
        <v>5191</v>
      </c>
      <c r="J2515">
        <v>19.649999999999999</v>
      </c>
      <c r="K2515" t="s">
        <v>4744</v>
      </c>
      <c r="L2515">
        <v>1526.8</v>
      </c>
      <c r="M2515">
        <v>77.699746000000005</v>
      </c>
      <c r="N2515" t="s">
        <v>5272</v>
      </c>
      <c r="O2515" t="s">
        <v>462</v>
      </c>
    </row>
    <row r="2516" spans="1:15" x14ac:dyDescent="0.3">
      <c r="A2516">
        <v>224706</v>
      </c>
      <c r="B2516">
        <v>105</v>
      </c>
      <c r="C2516" t="s">
        <v>557</v>
      </c>
      <c r="D2516" t="s">
        <v>2605</v>
      </c>
      <c r="E2516" t="s">
        <v>3174</v>
      </c>
      <c r="F2516" s="451">
        <v>46113</v>
      </c>
      <c r="G2516">
        <v>24449</v>
      </c>
      <c r="H2516" t="s">
        <v>5360</v>
      </c>
      <c r="I2516" t="s">
        <v>5191</v>
      </c>
      <c r="J2516">
        <v>7.2</v>
      </c>
      <c r="K2516" t="s">
        <v>4744</v>
      </c>
      <c r="L2516">
        <v>510.48</v>
      </c>
      <c r="M2516">
        <v>70.900000000000006</v>
      </c>
      <c r="N2516" t="s">
        <v>5361</v>
      </c>
      <c r="O2516" t="s">
        <v>462</v>
      </c>
    </row>
    <row r="2517" spans="1:15" x14ac:dyDescent="0.3">
      <c r="A2517">
        <v>224536</v>
      </c>
      <c r="B2517">
        <v>105</v>
      </c>
      <c r="C2517" t="s">
        <v>557</v>
      </c>
      <c r="D2517" t="s">
        <v>2581</v>
      </c>
      <c r="E2517" t="s">
        <v>3175</v>
      </c>
      <c r="F2517" s="451">
        <v>46113</v>
      </c>
      <c r="G2517">
        <v>19505</v>
      </c>
      <c r="H2517" t="s">
        <v>4872</v>
      </c>
      <c r="I2517" t="s">
        <v>5191</v>
      </c>
      <c r="J2517">
        <v>5</v>
      </c>
      <c r="K2517" t="s">
        <v>4744</v>
      </c>
      <c r="L2517">
        <v>57.5</v>
      </c>
      <c r="M2517">
        <v>11.5</v>
      </c>
      <c r="N2517" t="s">
        <v>5191</v>
      </c>
      <c r="O2517" t="s">
        <v>462</v>
      </c>
    </row>
    <row r="2518" spans="1:15" x14ac:dyDescent="0.3">
      <c r="A2518">
        <v>224536</v>
      </c>
      <c r="B2518">
        <v>105</v>
      </c>
      <c r="C2518" t="s">
        <v>557</v>
      </c>
      <c r="D2518" t="s">
        <v>2581</v>
      </c>
      <c r="E2518" t="s">
        <v>3175</v>
      </c>
      <c r="F2518" s="451">
        <v>46113</v>
      </c>
      <c r="G2518">
        <v>19617</v>
      </c>
      <c r="H2518" t="s">
        <v>5071</v>
      </c>
      <c r="I2518" t="s">
        <v>5191</v>
      </c>
      <c r="J2518">
        <v>0.3</v>
      </c>
      <c r="K2518" t="s">
        <v>4744</v>
      </c>
      <c r="L2518">
        <v>4.5</v>
      </c>
      <c r="M2518">
        <v>15</v>
      </c>
      <c r="N2518" t="s">
        <v>5191</v>
      </c>
      <c r="O2518" t="s">
        <v>462</v>
      </c>
    </row>
    <row r="2519" spans="1:15" x14ac:dyDescent="0.3">
      <c r="A2519">
        <v>224536</v>
      </c>
      <c r="B2519">
        <v>105</v>
      </c>
      <c r="C2519" t="s">
        <v>557</v>
      </c>
      <c r="D2519" t="s">
        <v>2581</v>
      </c>
      <c r="E2519" t="s">
        <v>3175</v>
      </c>
      <c r="F2519" s="451">
        <v>46113</v>
      </c>
      <c r="G2519">
        <v>23095</v>
      </c>
      <c r="H2519" t="s">
        <v>4741</v>
      </c>
      <c r="I2519" t="s">
        <v>5191</v>
      </c>
      <c r="J2519">
        <v>40</v>
      </c>
      <c r="K2519" t="s">
        <v>4736</v>
      </c>
      <c r="L2519">
        <v>54</v>
      </c>
      <c r="M2519">
        <v>1.35</v>
      </c>
      <c r="N2519" t="s">
        <v>5191</v>
      </c>
      <c r="O2519" t="s">
        <v>462</v>
      </c>
    </row>
    <row r="2520" spans="1:15" x14ac:dyDescent="0.3">
      <c r="A2520">
        <v>224536</v>
      </c>
      <c r="B2520">
        <v>105</v>
      </c>
      <c r="C2520" t="s">
        <v>557</v>
      </c>
      <c r="D2520" t="s">
        <v>2581</v>
      </c>
      <c r="E2520" t="s">
        <v>3175</v>
      </c>
      <c r="F2520" s="451">
        <v>46113</v>
      </c>
      <c r="G2520">
        <v>19480</v>
      </c>
      <c r="H2520" t="s">
        <v>5119</v>
      </c>
      <c r="I2520" t="s">
        <v>5191</v>
      </c>
      <c r="J2520">
        <v>0.3</v>
      </c>
      <c r="K2520" t="s">
        <v>4744</v>
      </c>
      <c r="L2520">
        <v>5.0999999999999996</v>
      </c>
      <c r="M2520">
        <v>17</v>
      </c>
      <c r="N2520" t="s">
        <v>5191</v>
      </c>
      <c r="O2520" t="s">
        <v>462</v>
      </c>
    </row>
    <row r="2521" spans="1:15" x14ac:dyDescent="0.3">
      <c r="A2521">
        <v>224536</v>
      </c>
      <c r="B2521">
        <v>105</v>
      </c>
      <c r="C2521" t="s">
        <v>557</v>
      </c>
      <c r="D2521" t="s">
        <v>2581</v>
      </c>
      <c r="E2521" t="s">
        <v>3175</v>
      </c>
      <c r="F2521" s="451">
        <v>46113</v>
      </c>
      <c r="G2521">
        <v>19502</v>
      </c>
      <c r="H2521" t="s">
        <v>4871</v>
      </c>
      <c r="I2521" t="s">
        <v>5191</v>
      </c>
      <c r="J2521">
        <v>3.3</v>
      </c>
      <c r="K2521" t="s">
        <v>4744</v>
      </c>
      <c r="L2521">
        <v>66</v>
      </c>
      <c r="M2521">
        <v>20</v>
      </c>
      <c r="N2521" t="s">
        <v>5191</v>
      </c>
      <c r="O2521" t="s">
        <v>462</v>
      </c>
    </row>
    <row r="2522" spans="1:15" x14ac:dyDescent="0.3">
      <c r="A2522">
        <v>224536</v>
      </c>
      <c r="B2522">
        <v>105</v>
      </c>
      <c r="C2522" t="s">
        <v>557</v>
      </c>
      <c r="D2522" t="s">
        <v>2581</v>
      </c>
      <c r="E2522" t="s">
        <v>3175</v>
      </c>
      <c r="F2522" s="451">
        <v>46113</v>
      </c>
      <c r="G2522">
        <v>19589</v>
      </c>
      <c r="H2522" t="s">
        <v>4983</v>
      </c>
      <c r="I2522" t="s">
        <v>5191</v>
      </c>
      <c r="J2522">
        <v>3</v>
      </c>
      <c r="K2522" t="s">
        <v>4744</v>
      </c>
      <c r="L2522">
        <v>18</v>
      </c>
      <c r="M2522">
        <v>6</v>
      </c>
      <c r="N2522" t="s">
        <v>5191</v>
      </c>
      <c r="O2522" t="s">
        <v>462</v>
      </c>
    </row>
    <row r="2523" spans="1:15" x14ac:dyDescent="0.3">
      <c r="A2523">
        <v>224536</v>
      </c>
      <c r="B2523">
        <v>105</v>
      </c>
      <c r="C2523" t="s">
        <v>557</v>
      </c>
      <c r="D2523" t="s">
        <v>2581</v>
      </c>
      <c r="E2523" t="s">
        <v>3175</v>
      </c>
      <c r="F2523" s="451">
        <v>46113</v>
      </c>
      <c r="G2523">
        <v>19472</v>
      </c>
      <c r="H2523" t="s">
        <v>4906</v>
      </c>
      <c r="I2523" t="s">
        <v>5191</v>
      </c>
      <c r="J2523">
        <v>1.3</v>
      </c>
      <c r="K2523" t="s">
        <v>4744</v>
      </c>
      <c r="L2523">
        <v>33.799999999999997</v>
      </c>
      <c r="M2523">
        <v>26</v>
      </c>
      <c r="N2523" t="s">
        <v>5191</v>
      </c>
      <c r="O2523" t="s">
        <v>462</v>
      </c>
    </row>
    <row r="2524" spans="1:15" x14ac:dyDescent="0.3">
      <c r="A2524">
        <v>224536</v>
      </c>
      <c r="B2524">
        <v>105</v>
      </c>
      <c r="C2524" t="s">
        <v>557</v>
      </c>
      <c r="D2524" t="s">
        <v>2581</v>
      </c>
      <c r="E2524" t="s">
        <v>3175</v>
      </c>
      <c r="F2524" s="451">
        <v>46113</v>
      </c>
      <c r="G2524">
        <v>19734</v>
      </c>
      <c r="H2524" t="s">
        <v>4833</v>
      </c>
      <c r="I2524" t="s">
        <v>5191</v>
      </c>
      <c r="J2524">
        <v>4</v>
      </c>
      <c r="K2524" t="s">
        <v>4744</v>
      </c>
      <c r="L2524">
        <v>52</v>
      </c>
      <c r="M2524">
        <v>13</v>
      </c>
      <c r="N2524" t="s">
        <v>5191</v>
      </c>
      <c r="O2524" t="s">
        <v>462</v>
      </c>
    </row>
    <row r="2525" spans="1:15" x14ac:dyDescent="0.3">
      <c r="A2525">
        <v>224536</v>
      </c>
      <c r="B2525">
        <v>105</v>
      </c>
      <c r="C2525" t="s">
        <v>557</v>
      </c>
      <c r="D2525" t="s">
        <v>2581</v>
      </c>
      <c r="E2525" t="s">
        <v>3175</v>
      </c>
      <c r="F2525" s="451">
        <v>46113</v>
      </c>
      <c r="G2525">
        <v>19488</v>
      </c>
      <c r="H2525" t="s">
        <v>5107</v>
      </c>
      <c r="I2525" t="s">
        <v>5191</v>
      </c>
      <c r="J2525">
        <v>0.3</v>
      </c>
      <c r="K2525" t="s">
        <v>4744</v>
      </c>
      <c r="L2525">
        <v>4.2</v>
      </c>
      <c r="M2525">
        <v>14</v>
      </c>
      <c r="N2525" t="s">
        <v>5191</v>
      </c>
      <c r="O2525" t="s">
        <v>462</v>
      </c>
    </row>
    <row r="2526" spans="1:15" x14ac:dyDescent="0.3">
      <c r="A2526">
        <v>224534</v>
      </c>
      <c r="B2526">
        <v>105</v>
      </c>
      <c r="C2526" t="s">
        <v>557</v>
      </c>
      <c r="D2526" t="s">
        <v>2581</v>
      </c>
      <c r="E2526" t="s">
        <v>3176</v>
      </c>
      <c r="F2526" s="451">
        <v>46114</v>
      </c>
      <c r="G2526">
        <v>19505</v>
      </c>
      <c r="H2526" t="s">
        <v>4872</v>
      </c>
      <c r="I2526" t="s">
        <v>5191</v>
      </c>
      <c r="J2526">
        <v>7</v>
      </c>
      <c r="K2526" t="s">
        <v>4744</v>
      </c>
      <c r="L2526">
        <v>79.099999999999994</v>
      </c>
      <c r="M2526">
        <v>11.3</v>
      </c>
      <c r="N2526" t="s">
        <v>5191</v>
      </c>
      <c r="O2526" t="s">
        <v>462</v>
      </c>
    </row>
    <row r="2527" spans="1:15" x14ac:dyDescent="0.3">
      <c r="A2527">
        <v>224534</v>
      </c>
      <c r="B2527">
        <v>105</v>
      </c>
      <c r="C2527" t="s">
        <v>557</v>
      </c>
      <c r="D2527" t="s">
        <v>2581</v>
      </c>
      <c r="E2527" t="s">
        <v>3176</v>
      </c>
      <c r="F2527" s="451">
        <v>46114</v>
      </c>
      <c r="G2527">
        <v>19617</v>
      </c>
      <c r="H2527" t="s">
        <v>5071</v>
      </c>
      <c r="I2527" t="s">
        <v>5191</v>
      </c>
      <c r="J2527">
        <v>0.5</v>
      </c>
      <c r="K2527" t="s">
        <v>4744</v>
      </c>
      <c r="L2527">
        <v>7.5</v>
      </c>
      <c r="M2527">
        <v>15</v>
      </c>
      <c r="N2527" t="s">
        <v>5191</v>
      </c>
      <c r="O2527" t="s">
        <v>462</v>
      </c>
    </row>
    <row r="2528" spans="1:15" x14ac:dyDescent="0.3">
      <c r="A2528">
        <v>224534</v>
      </c>
      <c r="B2528">
        <v>105</v>
      </c>
      <c r="C2528" t="s">
        <v>557</v>
      </c>
      <c r="D2528" t="s">
        <v>2581</v>
      </c>
      <c r="E2528" t="s">
        <v>3176</v>
      </c>
      <c r="F2528" s="451">
        <v>46114</v>
      </c>
      <c r="G2528">
        <v>23113</v>
      </c>
      <c r="H2528" t="s">
        <v>5074</v>
      </c>
      <c r="I2528" t="s">
        <v>5191</v>
      </c>
      <c r="J2528">
        <v>1</v>
      </c>
      <c r="K2528" t="s">
        <v>4744</v>
      </c>
      <c r="L2528">
        <v>12</v>
      </c>
      <c r="M2528">
        <v>12</v>
      </c>
      <c r="N2528" t="s">
        <v>5191</v>
      </c>
      <c r="O2528" t="s">
        <v>462</v>
      </c>
    </row>
    <row r="2529" spans="1:15" x14ac:dyDescent="0.3">
      <c r="A2529">
        <v>224534</v>
      </c>
      <c r="B2529">
        <v>105</v>
      </c>
      <c r="C2529" t="s">
        <v>557</v>
      </c>
      <c r="D2529" t="s">
        <v>2581</v>
      </c>
      <c r="E2529" t="s">
        <v>3176</v>
      </c>
      <c r="F2529" s="451">
        <v>46114</v>
      </c>
      <c r="G2529">
        <v>23095</v>
      </c>
      <c r="H2529" t="s">
        <v>4741</v>
      </c>
      <c r="I2529" t="s">
        <v>5191</v>
      </c>
      <c r="J2529">
        <v>100</v>
      </c>
      <c r="K2529" t="s">
        <v>4736</v>
      </c>
      <c r="L2529">
        <v>135</v>
      </c>
      <c r="M2529">
        <v>1.35</v>
      </c>
      <c r="N2529" t="s">
        <v>5191</v>
      </c>
      <c r="O2529" t="s">
        <v>462</v>
      </c>
    </row>
    <row r="2530" spans="1:15" x14ac:dyDescent="0.3">
      <c r="A2530">
        <v>224534</v>
      </c>
      <c r="B2530">
        <v>105</v>
      </c>
      <c r="C2530" t="s">
        <v>557</v>
      </c>
      <c r="D2530" t="s">
        <v>2581</v>
      </c>
      <c r="E2530" t="s">
        <v>3176</v>
      </c>
      <c r="F2530" s="451">
        <v>46114</v>
      </c>
      <c r="G2530">
        <v>23236</v>
      </c>
      <c r="H2530" t="s">
        <v>5062</v>
      </c>
      <c r="I2530" t="s">
        <v>5191</v>
      </c>
      <c r="J2530">
        <v>3</v>
      </c>
      <c r="K2530" t="s">
        <v>4744</v>
      </c>
      <c r="L2530">
        <v>36</v>
      </c>
      <c r="M2530">
        <v>12</v>
      </c>
      <c r="N2530" t="s">
        <v>5191</v>
      </c>
      <c r="O2530" t="s">
        <v>462</v>
      </c>
    </row>
    <row r="2531" spans="1:15" x14ac:dyDescent="0.3">
      <c r="A2531">
        <v>224534</v>
      </c>
      <c r="B2531">
        <v>105</v>
      </c>
      <c r="C2531" t="s">
        <v>557</v>
      </c>
      <c r="D2531" t="s">
        <v>2581</v>
      </c>
      <c r="E2531" t="s">
        <v>3176</v>
      </c>
      <c r="F2531" s="451">
        <v>46114</v>
      </c>
      <c r="G2531">
        <v>24099</v>
      </c>
      <c r="H2531" t="s">
        <v>4933</v>
      </c>
      <c r="I2531" t="s">
        <v>5191</v>
      </c>
      <c r="J2531">
        <v>3</v>
      </c>
      <c r="K2531" t="s">
        <v>4744</v>
      </c>
      <c r="L2531">
        <v>36</v>
      </c>
      <c r="M2531">
        <v>12</v>
      </c>
      <c r="N2531" t="s">
        <v>5191</v>
      </c>
      <c r="O2531" t="s">
        <v>462</v>
      </c>
    </row>
    <row r="2532" spans="1:15" x14ac:dyDescent="0.3">
      <c r="A2532">
        <v>224534</v>
      </c>
      <c r="B2532">
        <v>105</v>
      </c>
      <c r="C2532" t="s">
        <v>557</v>
      </c>
      <c r="D2532" t="s">
        <v>2581</v>
      </c>
      <c r="E2532" t="s">
        <v>3176</v>
      </c>
      <c r="F2532" s="451">
        <v>46114</v>
      </c>
      <c r="G2532">
        <v>19480</v>
      </c>
      <c r="H2532" t="s">
        <v>5119</v>
      </c>
      <c r="I2532" t="s">
        <v>5191</v>
      </c>
      <c r="J2532">
        <v>0.5</v>
      </c>
      <c r="K2532" t="s">
        <v>4744</v>
      </c>
      <c r="L2532">
        <v>8.5</v>
      </c>
      <c r="M2532">
        <v>17</v>
      </c>
      <c r="N2532" t="s">
        <v>5191</v>
      </c>
      <c r="O2532" t="s">
        <v>462</v>
      </c>
    </row>
    <row r="2533" spans="1:15" x14ac:dyDescent="0.3">
      <c r="A2533">
        <v>224534</v>
      </c>
      <c r="B2533">
        <v>105</v>
      </c>
      <c r="C2533" t="s">
        <v>557</v>
      </c>
      <c r="D2533" t="s">
        <v>2581</v>
      </c>
      <c r="E2533" t="s">
        <v>3176</v>
      </c>
      <c r="F2533" s="451">
        <v>46114</v>
      </c>
      <c r="G2533">
        <v>19654</v>
      </c>
      <c r="H2533" t="s">
        <v>5099</v>
      </c>
      <c r="I2533" t="s">
        <v>5191</v>
      </c>
      <c r="J2533">
        <v>4</v>
      </c>
      <c r="K2533" t="s">
        <v>4744</v>
      </c>
      <c r="L2533">
        <v>22.8</v>
      </c>
      <c r="M2533">
        <v>5.7</v>
      </c>
      <c r="N2533" t="s">
        <v>5191</v>
      </c>
      <c r="O2533" t="s">
        <v>462</v>
      </c>
    </row>
    <row r="2534" spans="1:15" x14ac:dyDescent="0.3">
      <c r="A2534">
        <v>224534</v>
      </c>
      <c r="B2534">
        <v>105</v>
      </c>
      <c r="C2534" t="s">
        <v>557</v>
      </c>
      <c r="D2534" t="s">
        <v>2581</v>
      </c>
      <c r="E2534" t="s">
        <v>3176</v>
      </c>
      <c r="F2534" s="451">
        <v>46114</v>
      </c>
      <c r="G2534">
        <v>19558</v>
      </c>
      <c r="H2534" t="s">
        <v>4994</v>
      </c>
      <c r="I2534" t="s">
        <v>5191</v>
      </c>
      <c r="J2534">
        <v>2</v>
      </c>
      <c r="K2534" t="s">
        <v>4744</v>
      </c>
      <c r="L2534">
        <v>30</v>
      </c>
      <c r="M2534">
        <v>15</v>
      </c>
      <c r="N2534" t="s">
        <v>5191</v>
      </c>
      <c r="O2534" t="s">
        <v>462</v>
      </c>
    </row>
    <row r="2535" spans="1:15" x14ac:dyDescent="0.3">
      <c r="A2535">
        <v>224534</v>
      </c>
      <c r="B2535">
        <v>105</v>
      </c>
      <c r="C2535" t="s">
        <v>557</v>
      </c>
      <c r="D2535" t="s">
        <v>2581</v>
      </c>
      <c r="E2535" t="s">
        <v>3176</v>
      </c>
      <c r="F2535" s="451">
        <v>46114</v>
      </c>
      <c r="G2535">
        <v>23390</v>
      </c>
      <c r="H2535" t="s">
        <v>4873</v>
      </c>
      <c r="I2535" t="s">
        <v>5191</v>
      </c>
      <c r="J2535">
        <v>1</v>
      </c>
      <c r="K2535" t="s">
        <v>4744</v>
      </c>
      <c r="L2535">
        <v>8.5</v>
      </c>
      <c r="M2535">
        <v>8.5</v>
      </c>
      <c r="N2535" t="s">
        <v>5191</v>
      </c>
      <c r="O2535" t="s">
        <v>462</v>
      </c>
    </row>
    <row r="2536" spans="1:15" x14ac:dyDescent="0.3">
      <c r="A2536">
        <v>224534</v>
      </c>
      <c r="B2536">
        <v>105</v>
      </c>
      <c r="C2536" t="s">
        <v>557</v>
      </c>
      <c r="D2536" t="s">
        <v>2581</v>
      </c>
      <c r="E2536" t="s">
        <v>3176</v>
      </c>
      <c r="F2536" s="451">
        <v>46114</v>
      </c>
      <c r="G2536">
        <v>19589</v>
      </c>
      <c r="H2536" t="s">
        <v>4983</v>
      </c>
      <c r="I2536" t="s">
        <v>5191</v>
      </c>
      <c r="J2536">
        <v>3</v>
      </c>
      <c r="K2536" t="s">
        <v>4744</v>
      </c>
      <c r="L2536">
        <v>18</v>
      </c>
      <c r="M2536">
        <v>6</v>
      </c>
      <c r="N2536" t="s">
        <v>5191</v>
      </c>
      <c r="O2536" t="s">
        <v>462</v>
      </c>
    </row>
    <row r="2537" spans="1:15" x14ac:dyDescent="0.3">
      <c r="A2537">
        <v>224534</v>
      </c>
      <c r="B2537">
        <v>105</v>
      </c>
      <c r="C2537" t="s">
        <v>557</v>
      </c>
      <c r="D2537" t="s">
        <v>2581</v>
      </c>
      <c r="E2537" t="s">
        <v>3176</v>
      </c>
      <c r="F2537" s="451">
        <v>46114</v>
      </c>
      <c r="G2537">
        <v>23389</v>
      </c>
      <c r="H2537" t="s">
        <v>4960</v>
      </c>
      <c r="I2537" t="s">
        <v>5191</v>
      </c>
      <c r="J2537">
        <v>6</v>
      </c>
      <c r="K2537" t="s">
        <v>4744</v>
      </c>
      <c r="L2537">
        <v>30</v>
      </c>
      <c r="M2537">
        <v>5</v>
      </c>
      <c r="N2537" t="s">
        <v>5191</v>
      </c>
      <c r="O2537" t="s">
        <v>462</v>
      </c>
    </row>
    <row r="2538" spans="1:15" x14ac:dyDescent="0.3">
      <c r="A2538">
        <v>224534</v>
      </c>
      <c r="B2538">
        <v>105</v>
      </c>
      <c r="C2538" t="s">
        <v>557</v>
      </c>
      <c r="D2538" t="s">
        <v>2581</v>
      </c>
      <c r="E2538" t="s">
        <v>3176</v>
      </c>
      <c r="F2538" s="451">
        <v>46114</v>
      </c>
      <c r="G2538">
        <v>19507</v>
      </c>
      <c r="H2538" t="s">
        <v>4853</v>
      </c>
      <c r="I2538" t="s">
        <v>5191</v>
      </c>
      <c r="J2538">
        <v>2</v>
      </c>
      <c r="K2538" t="s">
        <v>4744</v>
      </c>
      <c r="L2538">
        <v>30</v>
      </c>
      <c r="M2538">
        <v>15</v>
      </c>
      <c r="N2538" t="s">
        <v>5191</v>
      </c>
      <c r="O2538" t="s">
        <v>462</v>
      </c>
    </row>
    <row r="2539" spans="1:15" x14ac:dyDescent="0.3">
      <c r="A2539">
        <v>224534</v>
      </c>
      <c r="B2539">
        <v>105</v>
      </c>
      <c r="C2539" t="s">
        <v>557</v>
      </c>
      <c r="D2539" t="s">
        <v>2581</v>
      </c>
      <c r="E2539" t="s">
        <v>3176</v>
      </c>
      <c r="F2539" s="451">
        <v>46114</v>
      </c>
      <c r="G2539">
        <v>23359</v>
      </c>
      <c r="H2539" t="s">
        <v>4767</v>
      </c>
      <c r="I2539" t="s">
        <v>5191</v>
      </c>
      <c r="J2539">
        <v>15</v>
      </c>
      <c r="K2539" t="s">
        <v>4744</v>
      </c>
      <c r="L2539">
        <v>33.75</v>
      </c>
      <c r="M2539">
        <v>2.25</v>
      </c>
      <c r="N2539" t="s">
        <v>5191</v>
      </c>
      <c r="O2539" t="s">
        <v>462</v>
      </c>
    </row>
    <row r="2540" spans="1:15" x14ac:dyDescent="0.3">
      <c r="A2540">
        <v>224534</v>
      </c>
      <c r="B2540">
        <v>105</v>
      </c>
      <c r="C2540" t="s">
        <v>557</v>
      </c>
      <c r="D2540" t="s">
        <v>2581</v>
      </c>
      <c r="E2540" t="s">
        <v>3176</v>
      </c>
      <c r="F2540" s="451">
        <v>46114</v>
      </c>
      <c r="G2540">
        <v>19476</v>
      </c>
      <c r="H2540" t="s">
        <v>5115</v>
      </c>
      <c r="I2540" t="s">
        <v>5191</v>
      </c>
      <c r="J2540">
        <v>0.3</v>
      </c>
      <c r="K2540" t="s">
        <v>4744</v>
      </c>
      <c r="L2540">
        <v>19.5</v>
      </c>
      <c r="M2540">
        <v>65</v>
      </c>
      <c r="N2540" t="s">
        <v>5191</v>
      </c>
      <c r="O2540" t="s">
        <v>462</v>
      </c>
    </row>
    <row r="2541" spans="1:15" x14ac:dyDescent="0.3">
      <c r="A2541">
        <v>224534</v>
      </c>
      <c r="B2541">
        <v>105</v>
      </c>
      <c r="C2541" t="s">
        <v>557</v>
      </c>
      <c r="D2541" t="s">
        <v>2581</v>
      </c>
      <c r="E2541" t="s">
        <v>3176</v>
      </c>
      <c r="F2541" s="451">
        <v>46114</v>
      </c>
      <c r="G2541">
        <v>19635</v>
      </c>
      <c r="H2541" t="s">
        <v>4786</v>
      </c>
      <c r="I2541" t="s">
        <v>5191</v>
      </c>
      <c r="J2541">
        <v>6</v>
      </c>
      <c r="K2541" t="s">
        <v>4744</v>
      </c>
      <c r="L2541">
        <v>39</v>
      </c>
      <c r="M2541">
        <v>6.5</v>
      </c>
      <c r="N2541" t="s">
        <v>5191</v>
      </c>
      <c r="O2541" t="s">
        <v>462</v>
      </c>
    </row>
    <row r="2542" spans="1:15" x14ac:dyDescent="0.3">
      <c r="A2542">
        <v>224534</v>
      </c>
      <c r="B2542">
        <v>105</v>
      </c>
      <c r="C2542" t="s">
        <v>557</v>
      </c>
      <c r="D2542" t="s">
        <v>2581</v>
      </c>
      <c r="E2542" t="s">
        <v>3176</v>
      </c>
      <c r="F2542" s="451">
        <v>46114</v>
      </c>
      <c r="G2542">
        <v>19572</v>
      </c>
      <c r="H2542" t="s">
        <v>4989</v>
      </c>
      <c r="I2542" t="s">
        <v>5191</v>
      </c>
      <c r="J2542">
        <v>0.5</v>
      </c>
      <c r="K2542" t="s">
        <v>4744</v>
      </c>
      <c r="L2542">
        <v>7.5</v>
      </c>
      <c r="M2542">
        <v>15</v>
      </c>
      <c r="N2542" t="s">
        <v>5191</v>
      </c>
      <c r="O2542" t="s">
        <v>462</v>
      </c>
    </row>
    <row r="2543" spans="1:15" x14ac:dyDescent="0.3">
      <c r="A2543">
        <v>224534</v>
      </c>
      <c r="B2543">
        <v>105</v>
      </c>
      <c r="C2543" t="s">
        <v>557</v>
      </c>
      <c r="D2543" t="s">
        <v>2581</v>
      </c>
      <c r="E2543" t="s">
        <v>3176</v>
      </c>
      <c r="F2543" s="451">
        <v>46114</v>
      </c>
      <c r="G2543">
        <v>19607</v>
      </c>
      <c r="H2543" t="s">
        <v>4981</v>
      </c>
      <c r="I2543" t="s">
        <v>5191</v>
      </c>
      <c r="J2543">
        <v>0.5</v>
      </c>
      <c r="K2543" t="s">
        <v>4744</v>
      </c>
      <c r="L2543">
        <v>6.5</v>
      </c>
      <c r="M2543">
        <v>13</v>
      </c>
      <c r="N2543" t="s">
        <v>5191</v>
      </c>
      <c r="O2543" t="s">
        <v>462</v>
      </c>
    </row>
    <row r="2544" spans="1:15" x14ac:dyDescent="0.3">
      <c r="A2544">
        <v>224534</v>
      </c>
      <c r="B2544">
        <v>105</v>
      </c>
      <c r="C2544" t="s">
        <v>557</v>
      </c>
      <c r="D2544" t="s">
        <v>2581</v>
      </c>
      <c r="E2544" t="s">
        <v>3176</v>
      </c>
      <c r="F2544" s="451">
        <v>46114</v>
      </c>
      <c r="G2544">
        <v>19787</v>
      </c>
      <c r="H2544" t="s">
        <v>4793</v>
      </c>
      <c r="I2544" t="s">
        <v>5191</v>
      </c>
      <c r="J2544">
        <v>13</v>
      </c>
      <c r="K2544" t="s">
        <v>4744</v>
      </c>
      <c r="L2544">
        <v>70.849999999999994</v>
      </c>
      <c r="M2544">
        <v>5.45</v>
      </c>
      <c r="N2544" t="s">
        <v>5191</v>
      </c>
      <c r="O2544" t="s">
        <v>462</v>
      </c>
    </row>
    <row r="2545" spans="1:15" x14ac:dyDescent="0.3">
      <c r="A2545">
        <v>224533</v>
      </c>
      <c r="B2545">
        <v>105</v>
      </c>
      <c r="C2545" t="s">
        <v>557</v>
      </c>
      <c r="D2545" t="s">
        <v>2615</v>
      </c>
      <c r="E2545" t="s">
        <v>3177</v>
      </c>
      <c r="F2545" s="451">
        <v>46118</v>
      </c>
      <c r="G2545">
        <v>20623</v>
      </c>
      <c r="H2545" t="s">
        <v>4814</v>
      </c>
      <c r="I2545" t="s">
        <v>5191</v>
      </c>
      <c r="J2545">
        <v>10</v>
      </c>
      <c r="K2545" t="s">
        <v>4736</v>
      </c>
      <c r="L2545">
        <v>123.9</v>
      </c>
      <c r="M2545">
        <v>12.39</v>
      </c>
      <c r="N2545" t="s">
        <v>5272</v>
      </c>
      <c r="O2545" t="s">
        <v>462</v>
      </c>
    </row>
    <row r="2546" spans="1:15" x14ac:dyDescent="0.3">
      <c r="A2546">
        <v>224531</v>
      </c>
      <c r="B2546">
        <v>105</v>
      </c>
      <c r="C2546" t="s">
        <v>557</v>
      </c>
      <c r="D2546" t="s">
        <v>2690</v>
      </c>
      <c r="E2546" t="s">
        <v>3178</v>
      </c>
      <c r="F2546" s="451">
        <v>46113</v>
      </c>
      <c r="G2546">
        <v>17878</v>
      </c>
      <c r="H2546" t="s">
        <v>4926</v>
      </c>
      <c r="I2546" t="s">
        <v>5222</v>
      </c>
      <c r="J2546">
        <v>2</v>
      </c>
      <c r="K2546" t="s">
        <v>4736</v>
      </c>
      <c r="L2546">
        <v>44.22</v>
      </c>
      <c r="M2546">
        <v>22.11</v>
      </c>
      <c r="N2546" t="s">
        <v>5271</v>
      </c>
      <c r="O2546" t="s">
        <v>462</v>
      </c>
    </row>
    <row r="2547" spans="1:15" x14ac:dyDescent="0.3">
      <c r="A2547">
        <v>224529</v>
      </c>
      <c r="B2547">
        <v>105</v>
      </c>
      <c r="C2547" t="s">
        <v>557</v>
      </c>
      <c r="D2547" t="s">
        <v>2690</v>
      </c>
      <c r="E2547" t="s">
        <v>3179</v>
      </c>
      <c r="F2547" s="451">
        <v>46118</v>
      </c>
      <c r="G2547">
        <v>24690</v>
      </c>
      <c r="H2547" t="s">
        <v>5168</v>
      </c>
      <c r="I2547" t="s">
        <v>5222</v>
      </c>
      <c r="J2547">
        <v>2</v>
      </c>
      <c r="K2547" t="s">
        <v>5269</v>
      </c>
      <c r="L2547">
        <v>37.5</v>
      </c>
      <c r="M2547">
        <v>18.75</v>
      </c>
      <c r="N2547" t="s">
        <v>5271</v>
      </c>
      <c r="O2547" t="s">
        <v>462</v>
      </c>
    </row>
    <row r="2548" spans="1:15" x14ac:dyDescent="0.3">
      <c r="A2548">
        <v>224527</v>
      </c>
      <c r="B2548">
        <v>105</v>
      </c>
      <c r="C2548" t="s">
        <v>557</v>
      </c>
      <c r="D2548" t="s">
        <v>2716</v>
      </c>
      <c r="E2548" t="s">
        <v>3180</v>
      </c>
      <c r="F2548" s="451">
        <v>46119</v>
      </c>
      <c r="G2548">
        <v>24351</v>
      </c>
      <c r="H2548" t="s">
        <v>5014</v>
      </c>
      <c r="I2548" t="s">
        <v>5191</v>
      </c>
      <c r="J2548">
        <v>20</v>
      </c>
      <c r="K2548" t="s">
        <v>4744</v>
      </c>
      <c r="L2548">
        <v>240</v>
      </c>
      <c r="M2548">
        <v>12</v>
      </c>
      <c r="N2548" t="s">
        <v>5191</v>
      </c>
      <c r="O2548" t="s">
        <v>462</v>
      </c>
    </row>
    <row r="2549" spans="1:15" x14ac:dyDescent="0.3">
      <c r="A2549">
        <v>224486</v>
      </c>
      <c r="B2549">
        <v>105</v>
      </c>
      <c r="C2549" t="s">
        <v>557</v>
      </c>
      <c r="D2549" t="s">
        <v>3181</v>
      </c>
      <c r="E2549" t="s">
        <v>3182</v>
      </c>
      <c r="F2549" s="451">
        <v>46115</v>
      </c>
      <c r="G2549">
        <v>17069</v>
      </c>
      <c r="H2549" t="s">
        <v>5362</v>
      </c>
      <c r="I2549" t="s">
        <v>5232</v>
      </c>
      <c r="J2549">
        <v>1</v>
      </c>
      <c r="K2549" t="s">
        <v>4749</v>
      </c>
      <c r="L2549">
        <v>475</v>
      </c>
      <c r="M2549">
        <v>475</v>
      </c>
      <c r="N2549" t="s">
        <v>5363</v>
      </c>
      <c r="O2549" t="s">
        <v>462</v>
      </c>
    </row>
    <row r="2550" spans="1:15" x14ac:dyDescent="0.3">
      <c r="A2550">
        <v>224485</v>
      </c>
      <c r="B2550">
        <v>105</v>
      </c>
      <c r="C2550" t="s">
        <v>557</v>
      </c>
      <c r="D2550" t="s">
        <v>2705</v>
      </c>
      <c r="E2550" t="s">
        <v>3183</v>
      </c>
      <c r="F2550" s="451">
        <v>46118</v>
      </c>
      <c r="G2550">
        <v>24658</v>
      </c>
      <c r="H2550" t="s">
        <v>5274</v>
      </c>
      <c r="I2550" t="s">
        <v>5232</v>
      </c>
      <c r="J2550">
        <v>20</v>
      </c>
      <c r="K2550" t="s">
        <v>4738</v>
      </c>
      <c r="L2550">
        <v>692</v>
      </c>
      <c r="M2550">
        <v>34.6</v>
      </c>
      <c r="N2550" t="s">
        <v>5287</v>
      </c>
      <c r="O2550" t="s">
        <v>462</v>
      </c>
    </row>
    <row r="2551" spans="1:15" x14ac:dyDescent="0.3">
      <c r="A2551">
        <v>224484</v>
      </c>
      <c r="B2551">
        <v>105</v>
      </c>
      <c r="C2551" t="s">
        <v>557</v>
      </c>
      <c r="D2551" t="s">
        <v>2792</v>
      </c>
      <c r="E2551" t="s">
        <v>3184</v>
      </c>
      <c r="F2551" s="451">
        <v>46119</v>
      </c>
      <c r="G2551">
        <v>18735</v>
      </c>
      <c r="H2551" t="s">
        <v>4891</v>
      </c>
      <c r="I2551" t="s">
        <v>5191</v>
      </c>
      <c r="J2551">
        <v>6.35</v>
      </c>
      <c r="K2551" t="s">
        <v>4744</v>
      </c>
      <c r="L2551">
        <v>698.5</v>
      </c>
      <c r="M2551">
        <v>110</v>
      </c>
      <c r="N2551" t="s">
        <v>5272</v>
      </c>
      <c r="O2551" t="s">
        <v>462</v>
      </c>
    </row>
    <row r="2552" spans="1:15" x14ac:dyDescent="0.3">
      <c r="A2552">
        <v>224483</v>
      </c>
      <c r="B2552">
        <v>105</v>
      </c>
      <c r="C2552" t="s">
        <v>557</v>
      </c>
      <c r="D2552" t="s">
        <v>2563</v>
      </c>
      <c r="E2552" t="s">
        <v>3185</v>
      </c>
      <c r="F2552" s="451">
        <v>46113</v>
      </c>
      <c r="G2552">
        <v>19562</v>
      </c>
      <c r="H2552" t="s">
        <v>4939</v>
      </c>
      <c r="I2552" t="s">
        <v>5191</v>
      </c>
      <c r="J2552">
        <v>1</v>
      </c>
      <c r="K2552" t="s">
        <v>4744</v>
      </c>
      <c r="L2552">
        <v>16.68</v>
      </c>
      <c r="M2552">
        <v>16.68</v>
      </c>
      <c r="N2552" t="s">
        <v>5272</v>
      </c>
      <c r="O2552" t="s">
        <v>462</v>
      </c>
    </row>
    <row r="2553" spans="1:15" x14ac:dyDescent="0.3">
      <c r="A2553">
        <v>224483</v>
      </c>
      <c r="B2553">
        <v>105</v>
      </c>
      <c r="C2553" t="s">
        <v>557</v>
      </c>
      <c r="D2553" t="s">
        <v>2563</v>
      </c>
      <c r="E2553" t="s">
        <v>3185</v>
      </c>
      <c r="F2553" s="451">
        <v>46113</v>
      </c>
      <c r="G2553">
        <v>23108</v>
      </c>
      <c r="H2553" t="s">
        <v>5117</v>
      </c>
      <c r="I2553" t="s">
        <v>5191</v>
      </c>
      <c r="J2553">
        <v>0.35</v>
      </c>
      <c r="K2553" t="s">
        <v>4744</v>
      </c>
      <c r="L2553">
        <v>30.45</v>
      </c>
      <c r="M2553">
        <v>87</v>
      </c>
      <c r="N2553" t="s">
        <v>5272</v>
      </c>
      <c r="O2553" t="s">
        <v>462</v>
      </c>
    </row>
    <row r="2554" spans="1:15" x14ac:dyDescent="0.3">
      <c r="A2554">
        <v>224483</v>
      </c>
      <c r="B2554">
        <v>105</v>
      </c>
      <c r="C2554" t="s">
        <v>557</v>
      </c>
      <c r="D2554" t="s">
        <v>2563</v>
      </c>
      <c r="E2554" t="s">
        <v>3185</v>
      </c>
      <c r="F2554" s="451">
        <v>46113</v>
      </c>
      <c r="G2554">
        <v>19737</v>
      </c>
      <c r="H2554" t="s">
        <v>4940</v>
      </c>
      <c r="I2554" t="s">
        <v>5191</v>
      </c>
      <c r="J2554">
        <v>2.4</v>
      </c>
      <c r="K2554" t="s">
        <v>4744</v>
      </c>
      <c r="L2554">
        <v>14.59</v>
      </c>
      <c r="M2554">
        <v>6.079167</v>
      </c>
      <c r="N2554" t="s">
        <v>5272</v>
      </c>
      <c r="O2554" t="s">
        <v>462</v>
      </c>
    </row>
    <row r="2555" spans="1:15" x14ac:dyDescent="0.3">
      <c r="A2555">
        <v>224483</v>
      </c>
      <c r="B2555">
        <v>105</v>
      </c>
      <c r="C2555" t="s">
        <v>557</v>
      </c>
      <c r="D2555" t="s">
        <v>2563</v>
      </c>
      <c r="E2555" t="s">
        <v>3185</v>
      </c>
      <c r="F2555" s="451">
        <v>46113</v>
      </c>
      <c r="G2555">
        <v>23198</v>
      </c>
      <c r="H2555" t="s">
        <v>4962</v>
      </c>
      <c r="I2555" t="s">
        <v>5191</v>
      </c>
      <c r="J2555">
        <v>0.7</v>
      </c>
      <c r="K2555" t="s">
        <v>4744</v>
      </c>
      <c r="L2555">
        <v>11.68</v>
      </c>
      <c r="M2555">
        <v>16.685714000000001</v>
      </c>
      <c r="N2555" t="s">
        <v>5272</v>
      </c>
      <c r="O2555" t="s">
        <v>462</v>
      </c>
    </row>
    <row r="2556" spans="1:15" x14ac:dyDescent="0.3">
      <c r="A2556">
        <v>224483</v>
      </c>
      <c r="B2556">
        <v>105</v>
      </c>
      <c r="C2556" t="s">
        <v>557</v>
      </c>
      <c r="D2556" t="s">
        <v>2563</v>
      </c>
      <c r="E2556" t="s">
        <v>3185</v>
      </c>
      <c r="F2556" s="451">
        <v>46113</v>
      </c>
      <c r="G2556">
        <v>19532</v>
      </c>
      <c r="H2556" t="s">
        <v>4753</v>
      </c>
      <c r="I2556" t="s">
        <v>5191</v>
      </c>
      <c r="J2556">
        <v>8.1</v>
      </c>
      <c r="K2556" t="s">
        <v>4744</v>
      </c>
      <c r="L2556">
        <v>69.260000000000005</v>
      </c>
      <c r="M2556">
        <v>8.5506170000000008</v>
      </c>
      <c r="N2556" t="s">
        <v>5272</v>
      </c>
      <c r="O2556" t="s">
        <v>462</v>
      </c>
    </row>
    <row r="2557" spans="1:15" x14ac:dyDescent="0.3">
      <c r="A2557">
        <v>224483</v>
      </c>
      <c r="B2557">
        <v>105</v>
      </c>
      <c r="C2557" t="s">
        <v>557</v>
      </c>
      <c r="D2557" t="s">
        <v>2563</v>
      </c>
      <c r="E2557" t="s">
        <v>3185</v>
      </c>
      <c r="F2557" s="451">
        <v>46113</v>
      </c>
      <c r="G2557">
        <v>23238</v>
      </c>
      <c r="H2557" t="s">
        <v>4934</v>
      </c>
      <c r="I2557" t="s">
        <v>5191</v>
      </c>
      <c r="J2557">
        <v>1.4</v>
      </c>
      <c r="K2557" t="s">
        <v>4744</v>
      </c>
      <c r="L2557">
        <v>32.380000000000003</v>
      </c>
      <c r="M2557">
        <v>23.128571000000001</v>
      </c>
      <c r="N2557" t="s">
        <v>5272</v>
      </c>
      <c r="O2557" t="s">
        <v>462</v>
      </c>
    </row>
    <row r="2558" spans="1:15" x14ac:dyDescent="0.3">
      <c r="A2558">
        <v>224483</v>
      </c>
      <c r="B2558">
        <v>105</v>
      </c>
      <c r="C2558" t="s">
        <v>557</v>
      </c>
      <c r="D2558" t="s">
        <v>2563</v>
      </c>
      <c r="E2558" t="s">
        <v>3185</v>
      </c>
      <c r="F2558" s="451">
        <v>46113</v>
      </c>
      <c r="G2558">
        <v>19790</v>
      </c>
      <c r="H2558" t="s">
        <v>5073</v>
      </c>
      <c r="I2558" t="s">
        <v>5191</v>
      </c>
      <c r="J2558">
        <v>3</v>
      </c>
      <c r="K2558" t="s">
        <v>4744</v>
      </c>
      <c r="L2558">
        <v>139.19999999999999</v>
      </c>
      <c r="M2558">
        <v>46.4</v>
      </c>
      <c r="N2558" t="s">
        <v>5272</v>
      </c>
      <c r="O2558" t="s">
        <v>462</v>
      </c>
    </row>
    <row r="2559" spans="1:15" x14ac:dyDescent="0.3">
      <c r="A2559">
        <v>224482</v>
      </c>
      <c r="B2559">
        <v>105</v>
      </c>
      <c r="C2559" t="s">
        <v>557</v>
      </c>
      <c r="D2559" t="s">
        <v>2563</v>
      </c>
      <c r="E2559" t="s">
        <v>3186</v>
      </c>
      <c r="F2559" s="451">
        <v>46114</v>
      </c>
      <c r="G2559">
        <v>19621</v>
      </c>
      <c r="H2559" t="s">
        <v>4829</v>
      </c>
      <c r="I2559" t="s">
        <v>5191</v>
      </c>
      <c r="J2559">
        <v>3</v>
      </c>
      <c r="K2559" t="s">
        <v>4744</v>
      </c>
      <c r="L2559">
        <v>17.399999999999999</v>
      </c>
      <c r="M2559">
        <v>5.8</v>
      </c>
      <c r="N2559" t="s">
        <v>5191</v>
      </c>
      <c r="O2559" t="s">
        <v>462</v>
      </c>
    </row>
    <row r="2560" spans="1:15" x14ac:dyDescent="0.3">
      <c r="A2560">
        <v>224482</v>
      </c>
      <c r="B2560">
        <v>105</v>
      </c>
      <c r="C2560" t="s">
        <v>557</v>
      </c>
      <c r="D2560" t="s">
        <v>2563</v>
      </c>
      <c r="E2560" t="s">
        <v>3186</v>
      </c>
      <c r="F2560" s="451">
        <v>46114</v>
      </c>
      <c r="G2560">
        <v>19492</v>
      </c>
      <c r="H2560" t="s">
        <v>4937</v>
      </c>
      <c r="I2560" t="s">
        <v>5191</v>
      </c>
      <c r="J2560">
        <v>2.75</v>
      </c>
      <c r="K2560" t="s">
        <v>4744</v>
      </c>
      <c r="L2560">
        <v>61.82</v>
      </c>
      <c r="M2560">
        <v>22.48</v>
      </c>
      <c r="N2560" t="s">
        <v>5191</v>
      </c>
      <c r="O2560" t="s">
        <v>462</v>
      </c>
    </row>
    <row r="2561" spans="1:15" x14ac:dyDescent="0.3">
      <c r="A2561">
        <v>224482</v>
      </c>
      <c r="B2561">
        <v>105</v>
      </c>
      <c r="C2561" t="s">
        <v>557</v>
      </c>
      <c r="D2561" t="s">
        <v>2563</v>
      </c>
      <c r="E2561" t="s">
        <v>3186</v>
      </c>
      <c r="F2561" s="451">
        <v>46114</v>
      </c>
      <c r="G2561">
        <v>19658</v>
      </c>
      <c r="H2561" t="s">
        <v>4784</v>
      </c>
      <c r="I2561" t="s">
        <v>5191</v>
      </c>
      <c r="J2561">
        <v>8.9499999999999993</v>
      </c>
      <c r="K2561" t="s">
        <v>4744</v>
      </c>
      <c r="L2561">
        <v>34.369999999999997</v>
      </c>
      <c r="M2561">
        <v>3.8402229999999999</v>
      </c>
      <c r="N2561" t="s">
        <v>5191</v>
      </c>
      <c r="O2561" t="s">
        <v>462</v>
      </c>
    </row>
    <row r="2562" spans="1:15" x14ac:dyDescent="0.3">
      <c r="A2562">
        <v>224482</v>
      </c>
      <c r="B2562">
        <v>105</v>
      </c>
      <c r="C2562" t="s">
        <v>557</v>
      </c>
      <c r="D2562" t="s">
        <v>2563</v>
      </c>
      <c r="E2562" t="s">
        <v>3186</v>
      </c>
      <c r="F2562" s="451">
        <v>46114</v>
      </c>
      <c r="G2562">
        <v>19551</v>
      </c>
      <c r="H2562" t="s">
        <v>4905</v>
      </c>
      <c r="I2562" t="s">
        <v>5191</v>
      </c>
      <c r="J2562">
        <v>2.12</v>
      </c>
      <c r="K2562" t="s">
        <v>4744</v>
      </c>
      <c r="L2562">
        <v>30.59</v>
      </c>
      <c r="M2562">
        <v>14.429245</v>
      </c>
      <c r="N2562" t="s">
        <v>5191</v>
      </c>
      <c r="O2562" t="s">
        <v>462</v>
      </c>
    </row>
    <row r="2563" spans="1:15" x14ac:dyDescent="0.3">
      <c r="A2563">
        <v>224482</v>
      </c>
      <c r="B2563">
        <v>105</v>
      </c>
      <c r="C2563" t="s">
        <v>557</v>
      </c>
      <c r="D2563" t="s">
        <v>2563</v>
      </c>
      <c r="E2563" t="s">
        <v>3186</v>
      </c>
      <c r="F2563" s="451">
        <v>46114</v>
      </c>
      <c r="G2563">
        <v>19632</v>
      </c>
      <c r="H2563" t="s">
        <v>4936</v>
      </c>
      <c r="I2563" t="s">
        <v>5191</v>
      </c>
      <c r="J2563">
        <v>2.12</v>
      </c>
      <c r="K2563" t="s">
        <v>4744</v>
      </c>
      <c r="L2563">
        <v>11.21</v>
      </c>
      <c r="M2563">
        <v>5.2877359999999998</v>
      </c>
      <c r="N2563" t="s">
        <v>5191</v>
      </c>
      <c r="O2563" t="s">
        <v>462</v>
      </c>
    </row>
    <row r="2564" spans="1:15" x14ac:dyDescent="0.3">
      <c r="A2564">
        <v>224482</v>
      </c>
      <c r="B2564">
        <v>105</v>
      </c>
      <c r="C2564" t="s">
        <v>557</v>
      </c>
      <c r="D2564" t="s">
        <v>2563</v>
      </c>
      <c r="E2564" t="s">
        <v>3186</v>
      </c>
      <c r="F2564" s="451">
        <v>46114</v>
      </c>
      <c r="G2564">
        <v>19707</v>
      </c>
      <c r="H2564" t="s">
        <v>5266</v>
      </c>
      <c r="I2564" t="s">
        <v>5191</v>
      </c>
      <c r="J2564">
        <v>0.5</v>
      </c>
      <c r="K2564" t="s">
        <v>4744</v>
      </c>
      <c r="L2564">
        <v>11.16</v>
      </c>
      <c r="M2564">
        <v>22.32</v>
      </c>
      <c r="N2564" t="s">
        <v>5191</v>
      </c>
      <c r="O2564" t="s">
        <v>462</v>
      </c>
    </row>
    <row r="2565" spans="1:15" x14ac:dyDescent="0.3">
      <c r="A2565">
        <v>224482</v>
      </c>
      <c r="B2565">
        <v>105</v>
      </c>
      <c r="C2565" t="s">
        <v>557</v>
      </c>
      <c r="D2565" t="s">
        <v>2563</v>
      </c>
      <c r="E2565" t="s">
        <v>3186</v>
      </c>
      <c r="F2565" s="451">
        <v>46114</v>
      </c>
      <c r="G2565">
        <v>19526</v>
      </c>
      <c r="H2565" t="s">
        <v>4997</v>
      </c>
      <c r="I2565" t="s">
        <v>5191</v>
      </c>
      <c r="J2565">
        <v>2</v>
      </c>
      <c r="K2565" t="s">
        <v>4744</v>
      </c>
      <c r="L2565">
        <v>105.84</v>
      </c>
      <c r="M2565">
        <v>52.92</v>
      </c>
      <c r="N2565" t="s">
        <v>5191</v>
      </c>
      <c r="O2565" t="s">
        <v>462</v>
      </c>
    </row>
    <row r="2566" spans="1:15" x14ac:dyDescent="0.3">
      <c r="A2566">
        <v>224482</v>
      </c>
      <c r="B2566">
        <v>105</v>
      </c>
      <c r="C2566" t="s">
        <v>557</v>
      </c>
      <c r="D2566" t="s">
        <v>2563</v>
      </c>
      <c r="E2566" t="s">
        <v>3186</v>
      </c>
      <c r="F2566" s="451">
        <v>46114</v>
      </c>
      <c r="G2566">
        <v>19737</v>
      </c>
      <c r="H2566" t="s">
        <v>4940</v>
      </c>
      <c r="I2566" t="s">
        <v>5191</v>
      </c>
      <c r="J2566">
        <v>3.03</v>
      </c>
      <c r="K2566" t="s">
        <v>4744</v>
      </c>
      <c r="L2566">
        <v>18.420000000000002</v>
      </c>
      <c r="M2566">
        <v>6.0792080000000004</v>
      </c>
      <c r="N2566" t="s">
        <v>5191</v>
      </c>
      <c r="O2566" t="s">
        <v>462</v>
      </c>
    </row>
    <row r="2567" spans="1:15" x14ac:dyDescent="0.3">
      <c r="A2567">
        <v>224482</v>
      </c>
      <c r="B2567">
        <v>105</v>
      </c>
      <c r="C2567" t="s">
        <v>557</v>
      </c>
      <c r="D2567" t="s">
        <v>2563</v>
      </c>
      <c r="E2567" t="s">
        <v>3186</v>
      </c>
      <c r="F2567" s="451">
        <v>46114</v>
      </c>
      <c r="G2567">
        <v>24509</v>
      </c>
      <c r="H2567" t="s">
        <v>4788</v>
      </c>
      <c r="I2567" t="s">
        <v>5191</v>
      </c>
      <c r="J2567">
        <v>10</v>
      </c>
      <c r="K2567" t="s">
        <v>4744</v>
      </c>
      <c r="L2567">
        <v>33.799999999999997</v>
      </c>
      <c r="M2567">
        <v>3.38</v>
      </c>
      <c r="N2567" t="s">
        <v>5191</v>
      </c>
      <c r="O2567" t="s">
        <v>462</v>
      </c>
    </row>
    <row r="2568" spans="1:15" x14ac:dyDescent="0.3">
      <c r="A2568">
        <v>224482</v>
      </c>
      <c r="B2568">
        <v>105</v>
      </c>
      <c r="C2568" t="s">
        <v>557</v>
      </c>
      <c r="D2568" t="s">
        <v>2563</v>
      </c>
      <c r="E2568" t="s">
        <v>3186</v>
      </c>
      <c r="F2568" s="451">
        <v>46114</v>
      </c>
      <c r="G2568">
        <v>19742</v>
      </c>
      <c r="H2568" t="s">
        <v>4900</v>
      </c>
      <c r="I2568" t="s">
        <v>5191</v>
      </c>
      <c r="J2568">
        <v>1.8</v>
      </c>
      <c r="K2568" t="s">
        <v>4744</v>
      </c>
      <c r="L2568">
        <v>16.829999999999998</v>
      </c>
      <c r="M2568">
        <v>9.35</v>
      </c>
      <c r="N2568" t="s">
        <v>5191</v>
      </c>
      <c r="O2568" t="s">
        <v>462</v>
      </c>
    </row>
    <row r="2569" spans="1:15" x14ac:dyDescent="0.3">
      <c r="A2569">
        <v>224482</v>
      </c>
      <c r="B2569">
        <v>105</v>
      </c>
      <c r="C2569" t="s">
        <v>557</v>
      </c>
      <c r="D2569" t="s">
        <v>2563</v>
      </c>
      <c r="E2569" t="s">
        <v>3186</v>
      </c>
      <c r="F2569" s="451">
        <v>46114</v>
      </c>
      <c r="G2569">
        <v>19728</v>
      </c>
      <c r="H2569" t="s">
        <v>5106</v>
      </c>
      <c r="I2569" t="s">
        <v>5191</v>
      </c>
      <c r="J2569">
        <v>2</v>
      </c>
      <c r="K2569" t="s">
        <v>4744</v>
      </c>
      <c r="L2569">
        <v>22.88</v>
      </c>
      <c r="M2569">
        <v>11.44</v>
      </c>
      <c r="N2569" t="s">
        <v>5191</v>
      </c>
      <c r="O2569" t="s">
        <v>462</v>
      </c>
    </row>
    <row r="2570" spans="1:15" x14ac:dyDescent="0.3">
      <c r="A2570">
        <v>224482</v>
      </c>
      <c r="B2570">
        <v>105</v>
      </c>
      <c r="C2570" t="s">
        <v>557</v>
      </c>
      <c r="D2570" t="s">
        <v>2563</v>
      </c>
      <c r="E2570" t="s">
        <v>3186</v>
      </c>
      <c r="F2570" s="451">
        <v>46114</v>
      </c>
      <c r="G2570">
        <v>19740</v>
      </c>
      <c r="H2570" t="s">
        <v>4779</v>
      </c>
      <c r="I2570" t="s">
        <v>5191</v>
      </c>
      <c r="J2570">
        <v>8.1</v>
      </c>
      <c r="K2570" t="s">
        <v>4744</v>
      </c>
      <c r="L2570">
        <v>64.56</v>
      </c>
      <c r="M2570">
        <v>7.97037</v>
      </c>
      <c r="N2570" t="s">
        <v>5191</v>
      </c>
      <c r="O2570" t="s">
        <v>462</v>
      </c>
    </row>
    <row r="2571" spans="1:15" x14ac:dyDescent="0.3">
      <c r="A2571">
        <v>224482</v>
      </c>
      <c r="B2571">
        <v>105</v>
      </c>
      <c r="C2571" t="s">
        <v>557</v>
      </c>
      <c r="D2571" t="s">
        <v>2563</v>
      </c>
      <c r="E2571" t="s">
        <v>3186</v>
      </c>
      <c r="F2571" s="451">
        <v>46114</v>
      </c>
      <c r="G2571">
        <v>23346</v>
      </c>
      <c r="H2571" t="s">
        <v>4916</v>
      </c>
      <c r="I2571" t="s">
        <v>5191</v>
      </c>
      <c r="J2571">
        <v>2.2000000000000002</v>
      </c>
      <c r="K2571" t="s">
        <v>4744</v>
      </c>
      <c r="L2571">
        <v>18.66</v>
      </c>
      <c r="M2571">
        <v>8.4818180000000005</v>
      </c>
      <c r="N2571" t="s">
        <v>5191</v>
      </c>
      <c r="O2571" t="s">
        <v>462</v>
      </c>
    </row>
    <row r="2572" spans="1:15" x14ac:dyDescent="0.3">
      <c r="A2572">
        <v>224482</v>
      </c>
      <c r="B2572">
        <v>105</v>
      </c>
      <c r="C2572" t="s">
        <v>557</v>
      </c>
      <c r="D2572" t="s">
        <v>2563</v>
      </c>
      <c r="E2572" t="s">
        <v>3186</v>
      </c>
      <c r="F2572" s="451">
        <v>46114</v>
      </c>
      <c r="G2572">
        <v>19623</v>
      </c>
      <c r="H2572" t="s">
        <v>4764</v>
      </c>
      <c r="I2572" t="s">
        <v>5191</v>
      </c>
      <c r="J2572">
        <v>15</v>
      </c>
      <c r="K2572" t="s">
        <v>4744</v>
      </c>
      <c r="L2572">
        <v>61.95</v>
      </c>
      <c r="M2572">
        <v>4.13</v>
      </c>
      <c r="N2572" t="s">
        <v>5191</v>
      </c>
      <c r="O2572" t="s">
        <v>462</v>
      </c>
    </row>
    <row r="2573" spans="1:15" x14ac:dyDescent="0.3">
      <c r="A2573">
        <v>224482</v>
      </c>
      <c r="B2573">
        <v>105</v>
      </c>
      <c r="C2573" t="s">
        <v>557</v>
      </c>
      <c r="D2573" t="s">
        <v>2563</v>
      </c>
      <c r="E2573" t="s">
        <v>3186</v>
      </c>
      <c r="F2573" s="451">
        <v>46114</v>
      </c>
      <c r="G2573">
        <v>23349</v>
      </c>
      <c r="H2573" t="s">
        <v>4988</v>
      </c>
      <c r="I2573" t="s">
        <v>5191</v>
      </c>
      <c r="J2573">
        <v>2</v>
      </c>
      <c r="K2573" t="s">
        <v>4744</v>
      </c>
      <c r="L2573">
        <v>19.28</v>
      </c>
      <c r="M2573">
        <v>9.64</v>
      </c>
      <c r="N2573" t="s">
        <v>5191</v>
      </c>
      <c r="O2573" t="s">
        <v>462</v>
      </c>
    </row>
    <row r="2574" spans="1:15" x14ac:dyDescent="0.3">
      <c r="A2574">
        <v>224482</v>
      </c>
      <c r="B2574">
        <v>105</v>
      </c>
      <c r="C2574" t="s">
        <v>557</v>
      </c>
      <c r="D2574" t="s">
        <v>2563</v>
      </c>
      <c r="E2574" t="s">
        <v>3186</v>
      </c>
      <c r="F2574" s="451">
        <v>46114</v>
      </c>
      <c r="G2574">
        <v>23228</v>
      </c>
      <c r="H2574" t="s">
        <v>4782</v>
      </c>
      <c r="I2574" t="s">
        <v>5191</v>
      </c>
      <c r="J2574">
        <v>10</v>
      </c>
      <c r="K2574" t="s">
        <v>4744</v>
      </c>
      <c r="L2574">
        <v>65.3</v>
      </c>
      <c r="M2574">
        <v>6.53</v>
      </c>
      <c r="N2574" t="s">
        <v>5191</v>
      </c>
      <c r="O2574" t="s">
        <v>462</v>
      </c>
    </row>
    <row r="2575" spans="1:15" x14ac:dyDescent="0.3">
      <c r="A2575">
        <v>224482</v>
      </c>
      <c r="B2575">
        <v>105</v>
      </c>
      <c r="C2575" t="s">
        <v>557</v>
      </c>
      <c r="D2575" t="s">
        <v>2563</v>
      </c>
      <c r="E2575" t="s">
        <v>3186</v>
      </c>
      <c r="F2575" s="451">
        <v>46114</v>
      </c>
      <c r="G2575">
        <v>24083</v>
      </c>
      <c r="H2575" t="s">
        <v>5165</v>
      </c>
      <c r="I2575" t="s">
        <v>5191</v>
      </c>
      <c r="J2575">
        <v>100</v>
      </c>
      <c r="K2575" t="s">
        <v>4744</v>
      </c>
      <c r="L2575">
        <v>515</v>
      </c>
      <c r="M2575">
        <v>5.15</v>
      </c>
      <c r="N2575" t="s">
        <v>5191</v>
      </c>
      <c r="O2575" t="s">
        <v>462</v>
      </c>
    </row>
    <row r="2576" spans="1:15" x14ac:dyDescent="0.3">
      <c r="A2576">
        <v>224482</v>
      </c>
      <c r="B2576">
        <v>105</v>
      </c>
      <c r="C2576" t="s">
        <v>557</v>
      </c>
      <c r="D2576" t="s">
        <v>2563</v>
      </c>
      <c r="E2576" t="s">
        <v>3186</v>
      </c>
      <c r="F2576" s="451">
        <v>46114</v>
      </c>
      <c r="G2576">
        <v>19532</v>
      </c>
      <c r="H2576" t="s">
        <v>4753</v>
      </c>
      <c r="I2576" t="s">
        <v>5191</v>
      </c>
      <c r="J2576">
        <v>32</v>
      </c>
      <c r="K2576" t="s">
        <v>4744</v>
      </c>
      <c r="L2576">
        <v>273.60000000000002</v>
      </c>
      <c r="M2576">
        <v>8.5500000000000007</v>
      </c>
      <c r="N2576" t="s">
        <v>5191</v>
      </c>
      <c r="O2576" t="s">
        <v>462</v>
      </c>
    </row>
    <row r="2577" spans="1:15" x14ac:dyDescent="0.3">
      <c r="A2577">
        <v>224482</v>
      </c>
      <c r="B2577">
        <v>105</v>
      </c>
      <c r="C2577" t="s">
        <v>557</v>
      </c>
      <c r="D2577" t="s">
        <v>2563</v>
      </c>
      <c r="E2577" t="s">
        <v>3186</v>
      </c>
      <c r="F2577" s="451">
        <v>46114</v>
      </c>
      <c r="G2577">
        <v>19765</v>
      </c>
      <c r="H2577" t="s">
        <v>4889</v>
      </c>
      <c r="I2577" t="s">
        <v>5191</v>
      </c>
      <c r="J2577">
        <v>1</v>
      </c>
      <c r="K2577" t="s">
        <v>4744</v>
      </c>
      <c r="L2577">
        <v>36.25</v>
      </c>
      <c r="M2577">
        <v>36.25</v>
      </c>
      <c r="N2577" t="s">
        <v>5191</v>
      </c>
      <c r="O2577" t="s">
        <v>462</v>
      </c>
    </row>
    <row r="2578" spans="1:15" x14ac:dyDescent="0.3">
      <c r="A2578">
        <v>224482</v>
      </c>
      <c r="B2578">
        <v>105</v>
      </c>
      <c r="C2578" t="s">
        <v>557</v>
      </c>
      <c r="D2578" t="s">
        <v>2563</v>
      </c>
      <c r="E2578" t="s">
        <v>3186</v>
      </c>
      <c r="F2578" s="451">
        <v>46114</v>
      </c>
      <c r="G2578">
        <v>19502</v>
      </c>
      <c r="H2578" t="s">
        <v>4871</v>
      </c>
      <c r="I2578" t="s">
        <v>5191</v>
      </c>
      <c r="J2578">
        <v>4.2</v>
      </c>
      <c r="K2578" t="s">
        <v>4744</v>
      </c>
      <c r="L2578">
        <v>90.43</v>
      </c>
      <c r="M2578">
        <v>21.530951999999999</v>
      </c>
      <c r="N2578" t="s">
        <v>5191</v>
      </c>
      <c r="O2578" t="s">
        <v>462</v>
      </c>
    </row>
    <row r="2579" spans="1:15" x14ac:dyDescent="0.3">
      <c r="A2579">
        <v>224482</v>
      </c>
      <c r="B2579">
        <v>105</v>
      </c>
      <c r="C2579" t="s">
        <v>557</v>
      </c>
      <c r="D2579" t="s">
        <v>2563</v>
      </c>
      <c r="E2579" t="s">
        <v>3186</v>
      </c>
      <c r="F2579" s="451">
        <v>46114</v>
      </c>
      <c r="G2579">
        <v>24522</v>
      </c>
      <c r="H2579" t="s">
        <v>5072</v>
      </c>
      <c r="I2579" t="s">
        <v>5191</v>
      </c>
      <c r="J2579">
        <v>1</v>
      </c>
      <c r="K2579" t="s">
        <v>4744</v>
      </c>
      <c r="L2579">
        <v>26.1</v>
      </c>
      <c r="M2579">
        <v>26.1</v>
      </c>
      <c r="N2579" t="s">
        <v>5191</v>
      </c>
      <c r="O2579" t="s">
        <v>462</v>
      </c>
    </row>
    <row r="2580" spans="1:15" x14ac:dyDescent="0.3">
      <c r="A2580">
        <v>224480</v>
      </c>
      <c r="B2580">
        <v>105</v>
      </c>
      <c r="C2580" t="s">
        <v>557</v>
      </c>
      <c r="D2580" t="s">
        <v>2563</v>
      </c>
      <c r="E2580" t="s">
        <v>3187</v>
      </c>
      <c r="F2580" s="451">
        <v>46113</v>
      </c>
      <c r="G2580">
        <v>19734</v>
      </c>
      <c r="H2580" t="s">
        <v>4833</v>
      </c>
      <c r="I2580" t="s">
        <v>5191</v>
      </c>
      <c r="J2580">
        <v>6</v>
      </c>
      <c r="K2580" t="s">
        <v>4744</v>
      </c>
      <c r="L2580">
        <v>78.3</v>
      </c>
      <c r="M2580">
        <v>13.05</v>
      </c>
      <c r="N2580" t="s">
        <v>5191</v>
      </c>
      <c r="O2580" t="s">
        <v>462</v>
      </c>
    </row>
    <row r="2581" spans="1:15" x14ac:dyDescent="0.3">
      <c r="A2581">
        <v>224479</v>
      </c>
      <c r="B2581">
        <v>105</v>
      </c>
      <c r="C2581" t="s">
        <v>557</v>
      </c>
      <c r="D2581" t="s">
        <v>2552</v>
      </c>
      <c r="E2581" t="s">
        <v>3188</v>
      </c>
      <c r="F2581" s="451">
        <v>46120</v>
      </c>
      <c r="G2581">
        <v>26627</v>
      </c>
      <c r="H2581" t="s">
        <v>5190</v>
      </c>
      <c r="I2581" t="s">
        <v>5191</v>
      </c>
      <c r="J2581">
        <v>20</v>
      </c>
      <c r="K2581" t="s">
        <v>4744</v>
      </c>
      <c r="L2581">
        <v>158</v>
      </c>
      <c r="M2581">
        <v>7.9</v>
      </c>
      <c r="N2581" t="s">
        <v>5272</v>
      </c>
      <c r="O2581" t="s">
        <v>462</v>
      </c>
    </row>
    <row r="2582" spans="1:15" x14ac:dyDescent="0.3">
      <c r="A2582">
        <v>224478</v>
      </c>
      <c r="B2582">
        <v>105</v>
      </c>
      <c r="C2582" t="s">
        <v>557</v>
      </c>
      <c r="D2582" t="s">
        <v>2593</v>
      </c>
      <c r="E2582" t="s">
        <v>3189</v>
      </c>
      <c r="F2582" s="451">
        <v>46113</v>
      </c>
      <c r="G2582">
        <v>24256</v>
      </c>
      <c r="H2582" t="s">
        <v>4773</v>
      </c>
      <c r="I2582" t="s">
        <v>5191</v>
      </c>
      <c r="J2582">
        <v>10</v>
      </c>
      <c r="K2582" t="s">
        <v>4744</v>
      </c>
      <c r="L2582">
        <v>380</v>
      </c>
      <c r="M2582">
        <v>38</v>
      </c>
      <c r="N2582" t="s">
        <v>5272</v>
      </c>
      <c r="O2582" t="s">
        <v>462</v>
      </c>
    </row>
    <row r="2583" spans="1:15" x14ac:dyDescent="0.3">
      <c r="A2583">
        <v>224470</v>
      </c>
      <c r="B2583">
        <v>105</v>
      </c>
      <c r="C2583" t="s">
        <v>557</v>
      </c>
      <c r="D2583" t="s">
        <v>2593</v>
      </c>
      <c r="E2583" t="s">
        <v>3190</v>
      </c>
      <c r="F2583" s="451">
        <v>46114</v>
      </c>
      <c r="G2583">
        <v>18732</v>
      </c>
      <c r="H2583" t="s">
        <v>5156</v>
      </c>
      <c r="I2583" t="s">
        <v>5191</v>
      </c>
      <c r="J2583">
        <v>6.5</v>
      </c>
      <c r="K2583" t="s">
        <v>4744</v>
      </c>
      <c r="L2583">
        <v>468</v>
      </c>
      <c r="M2583">
        <v>72</v>
      </c>
      <c r="N2583" t="s">
        <v>5272</v>
      </c>
      <c r="O2583" t="s">
        <v>462</v>
      </c>
    </row>
    <row r="2584" spans="1:15" x14ac:dyDescent="0.3">
      <c r="A2584">
        <v>224468</v>
      </c>
      <c r="B2584">
        <v>105</v>
      </c>
      <c r="C2584" t="s">
        <v>557</v>
      </c>
      <c r="D2584" t="s">
        <v>836</v>
      </c>
      <c r="E2584" t="s">
        <v>3191</v>
      </c>
      <c r="F2584" s="451">
        <v>46114</v>
      </c>
      <c r="G2584">
        <v>17212</v>
      </c>
      <c r="H2584" t="s">
        <v>5322</v>
      </c>
      <c r="I2584" t="s">
        <v>5188</v>
      </c>
      <c r="J2584">
        <v>1</v>
      </c>
      <c r="K2584" t="s">
        <v>5265</v>
      </c>
      <c r="L2584">
        <v>230</v>
      </c>
      <c r="M2584">
        <v>230</v>
      </c>
      <c r="N2584" t="s">
        <v>5277</v>
      </c>
      <c r="O2584" t="s">
        <v>462</v>
      </c>
    </row>
    <row r="2585" spans="1:15" x14ac:dyDescent="0.3">
      <c r="A2585">
        <v>224468</v>
      </c>
      <c r="B2585">
        <v>105</v>
      </c>
      <c r="C2585" t="s">
        <v>557</v>
      </c>
      <c r="D2585" t="s">
        <v>836</v>
      </c>
      <c r="E2585" t="s">
        <v>3191</v>
      </c>
      <c r="F2585" s="451">
        <v>46114</v>
      </c>
      <c r="G2585">
        <v>17205</v>
      </c>
      <c r="H2585" t="s">
        <v>5264</v>
      </c>
      <c r="I2585" t="s">
        <v>5188</v>
      </c>
      <c r="J2585">
        <v>1</v>
      </c>
      <c r="K2585" t="s">
        <v>5265</v>
      </c>
      <c r="L2585">
        <v>170</v>
      </c>
      <c r="M2585">
        <v>170</v>
      </c>
      <c r="N2585" t="s">
        <v>5277</v>
      </c>
      <c r="O2585" t="s">
        <v>462</v>
      </c>
    </row>
    <row r="2586" spans="1:15" x14ac:dyDescent="0.3">
      <c r="A2586">
        <v>224467</v>
      </c>
      <c r="B2586">
        <v>105</v>
      </c>
      <c r="C2586" t="s">
        <v>557</v>
      </c>
      <c r="D2586" t="s">
        <v>3023</v>
      </c>
      <c r="E2586" t="s">
        <v>3192</v>
      </c>
      <c r="F2586" s="451">
        <v>46118</v>
      </c>
      <c r="G2586">
        <v>27540</v>
      </c>
      <c r="H2586" t="s">
        <v>5339</v>
      </c>
      <c r="I2586" t="s">
        <v>5191</v>
      </c>
      <c r="J2586">
        <v>100</v>
      </c>
      <c r="K2586" t="s">
        <v>4736</v>
      </c>
      <c r="L2586">
        <v>290</v>
      </c>
      <c r="M2586">
        <v>2.9</v>
      </c>
      <c r="N2586" t="s">
        <v>5272</v>
      </c>
      <c r="O2586" t="s">
        <v>462</v>
      </c>
    </row>
    <row r="2587" spans="1:15" x14ac:dyDescent="0.3">
      <c r="A2587">
        <v>224465</v>
      </c>
      <c r="B2587">
        <v>105</v>
      </c>
      <c r="C2587" t="s">
        <v>557</v>
      </c>
      <c r="D2587" t="s">
        <v>2653</v>
      </c>
      <c r="E2587" t="s">
        <v>3193</v>
      </c>
      <c r="F2587" s="451">
        <v>46118</v>
      </c>
      <c r="G2587">
        <v>24200</v>
      </c>
      <c r="H2587" t="s">
        <v>4820</v>
      </c>
      <c r="I2587" t="s">
        <v>5191</v>
      </c>
      <c r="J2587">
        <v>3.1</v>
      </c>
      <c r="K2587" t="s">
        <v>4744</v>
      </c>
      <c r="L2587">
        <v>101.99</v>
      </c>
      <c r="M2587">
        <v>32.9</v>
      </c>
      <c r="N2587" t="s">
        <v>5272</v>
      </c>
      <c r="O2587" t="s">
        <v>462</v>
      </c>
    </row>
    <row r="2588" spans="1:15" x14ac:dyDescent="0.3">
      <c r="A2588">
        <v>224464</v>
      </c>
      <c r="B2588">
        <v>105</v>
      </c>
      <c r="C2588" t="s">
        <v>557</v>
      </c>
      <c r="D2588" t="s">
        <v>2779</v>
      </c>
      <c r="E2588" t="s">
        <v>3194</v>
      </c>
      <c r="F2588" s="451">
        <v>46120</v>
      </c>
      <c r="G2588">
        <v>19003</v>
      </c>
      <c r="H2588" t="s">
        <v>4810</v>
      </c>
      <c r="I2588" t="s">
        <v>5191</v>
      </c>
      <c r="J2588">
        <v>20.48</v>
      </c>
      <c r="K2588" t="s">
        <v>4744</v>
      </c>
      <c r="L2588">
        <v>817.15</v>
      </c>
      <c r="M2588">
        <v>39.899901999999997</v>
      </c>
      <c r="N2588" t="s">
        <v>5272</v>
      </c>
      <c r="O2588" t="s">
        <v>462</v>
      </c>
    </row>
    <row r="2589" spans="1:15" x14ac:dyDescent="0.3">
      <c r="A2589">
        <v>224464</v>
      </c>
      <c r="B2589">
        <v>105</v>
      </c>
      <c r="C2589" t="s">
        <v>557</v>
      </c>
      <c r="D2589" t="s">
        <v>2779</v>
      </c>
      <c r="E2589" t="s">
        <v>3194</v>
      </c>
      <c r="F2589" s="451">
        <v>46120</v>
      </c>
      <c r="G2589">
        <v>26679</v>
      </c>
      <c r="H2589" t="s">
        <v>4791</v>
      </c>
      <c r="I2589" t="s">
        <v>5191</v>
      </c>
      <c r="J2589">
        <v>30.54</v>
      </c>
      <c r="K2589" t="s">
        <v>4744</v>
      </c>
      <c r="L2589">
        <v>852.07</v>
      </c>
      <c r="M2589">
        <v>27.900130999999998</v>
      </c>
      <c r="N2589" t="s">
        <v>5272</v>
      </c>
      <c r="O2589" t="s">
        <v>462</v>
      </c>
    </row>
    <row r="2590" spans="1:15" x14ac:dyDescent="0.3">
      <c r="A2590">
        <v>223832</v>
      </c>
      <c r="B2590">
        <v>105</v>
      </c>
      <c r="C2590" t="s">
        <v>557</v>
      </c>
      <c r="D2590" t="s">
        <v>3195</v>
      </c>
      <c r="E2590" t="s">
        <v>3196</v>
      </c>
      <c r="F2590" s="451">
        <v>46113</v>
      </c>
      <c r="G2590">
        <v>25748</v>
      </c>
      <c r="H2590" t="s">
        <v>4999</v>
      </c>
      <c r="I2590" t="s">
        <v>5191</v>
      </c>
      <c r="J2590">
        <v>14</v>
      </c>
      <c r="K2590" t="s">
        <v>4736</v>
      </c>
      <c r="L2590">
        <v>79.099999999999994</v>
      </c>
      <c r="M2590">
        <v>5.65</v>
      </c>
      <c r="N2590" t="s">
        <v>1785</v>
      </c>
      <c r="O2590" t="s">
        <v>462</v>
      </c>
    </row>
    <row r="2591" spans="1:15" x14ac:dyDescent="0.3">
      <c r="A2591">
        <v>223832</v>
      </c>
      <c r="B2591">
        <v>105</v>
      </c>
      <c r="C2591" t="s">
        <v>557</v>
      </c>
      <c r="D2591" t="s">
        <v>3195</v>
      </c>
      <c r="E2591" t="s">
        <v>3196</v>
      </c>
      <c r="F2591" s="451">
        <v>46113</v>
      </c>
      <c r="G2591">
        <v>25756</v>
      </c>
      <c r="H2591" t="s">
        <v>4854</v>
      </c>
      <c r="I2591" t="s">
        <v>5191</v>
      </c>
      <c r="J2591">
        <v>14</v>
      </c>
      <c r="K2591" t="s">
        <v>4736</v>
      </c>
      <c r="L2591">
        <v>111.86</v>
      </c>
      <c r="M2591">
        <v>7.99</v>
      </c>
      <c r="N2591" t="s">
        <v>1785</v>
      </c>
      <c r="O2591" t="s">
        <v>462</v>
      </c>
    </row>
    <row r="2592" spans="1:15" x14ac:dyDescent="0.3">
      <c r="A2592">
        <v>223832</v>
      </c>
      <c r="B2592">
        <v>105</v>
      </c>
      <c r="C2592" t="s">
        <v>557</v>
      </c>
      <c r="D2592" t="s">
        <v>3195</v>
      </c>
      <c r="E2592" t="s">
        <v>3196</v>
      </c>
      <c r="F2592" s="451">
        <v>46113</v>
      </c>
      <c r="G2592">
        <v>26103</v>
      </c>
      <c r="H2592" t="s">
        <v>4776</v>
      </c>
      <c r="I2592" t="s">
        <v>5191</v>
      </c>
      <c r="J2592">
        <v>12</v>
      </c>
      <c r="K2592" t="s">
        <v>4736</v>
      </c>
      <c r="L2592">
        <v>132.12</v>
      </c>
      <c r="M2592">
        <v>11.01</v>
      </c>
      <c r="N2592" t="s">
        <v>1785</v>
      </c>
      <c r="O2592" t="s">
        <v>462</v>
      </c>
    </row>
    <row r="2593" spans="1:15" x14ac:dyDescent="0.3">
      <c r="A2593">
        <v>223832</v>
      </c>
      <c r="B2593">
        <v>105</v>
      </c>
      <c r="C2593" t="s">
        <v>557</v>
      </c>
      <c r="D2593" t="s">
        <v>3195</v>
      </c>
      <c r="E2593" t="s">
        <v>3196</v>
      </c>
      <c r="F2593" s="451">
        <v>46113</v>
      </c>
      <c r="G2593">
        <v>25759</v>
      </c>
      <c r="H2593" t="s">
        <v>4877</v>
      </c>
      <c r="I2593" t="s">
        <v>5191</v>
      </c>
      <c r="J2593">
        <v>14</v>
      </c>
      <c r="K2593" t="s">
        <v>4736</v>
      </c>
      <c r="L2593">
        <v>107.1</v>
      </c>
      <c r="M2593">
        <v>7.65</v>
      </c>
      <c r="N2593" t="s">
        <v>1785</v>
      </c>
      <c r="O2593" t="s">
        <v>462</v>
      </c>
    </row>
    <row r="2594" spans="1:15" x14ac:dyDescent="0.3">
      <c r="A2594">
        <v>223832</v>
      </c>
      <c r="B2594">
        <v>105</v>
      </c>
      <c r="C2594" t="s">
        <v>557</v>
      </c>
      <c r="D2594" t="s">
        <v>3195</v>
      </c>
      <c r="E2594" t="s">
        <v>3196</v>
      </c>
      <c r="F2594" s="451">
        <v>46113</v>
      </c>
      <c r="G2594">
        <v>26006</v>
      </c>
      <c r="H2594" t="s">
        <v>4941</v>
      </c>
      <c r="I2594" t="s">
        <v>5191</v>
      </c>
      <c r="J2594">
        <v>14</v>
      </c>
      <c r="K2594" t="s">
        <v>5227</v>
      </c>
      <c r="L2594">
        <v>151.47999999999999</v>
      </c>
      <c r="M2594">
        <v>10.82</v>
      </c>
      <c r="N2594" t="s">
        <v>1785</v>
      </c>
      <c r="O2594" t="s">
        <v>462</v>
      </c>
    </row>
    <row r="2595" spans="1:15" x14ac:dyDescent="0.3">
      <c r="A2595">
        <v>223832</v>
      </c>
      <c r="B2595">
        <v>105</v>
      </c>
      <c r="C2595" t="s">
        <v>557</v>
      </c>
      <c r="D2595" t="s">
        <v>3195</v>
      </c>
      <c r="E2595" t="s">
        <v>3196</v>
      </c>
      <c r="F2595" s="451">
        <v>46113</v>
      </c>
      <c r="G2595">
        <v>26005</v>
      </c>
      <c r="H2595" t="s">
        <v>4907</v>
      </c>
      <c r="I2595" t="s">
        <v>5191</v>
      </c>
      <c r="J2595">
        <v>14</v>
      </c>
      <c r="K2595" t="s">
        <v>4736</v>
      </c>
      <c r="L2595">
        <v>151.47999999999999</v>
      </c>
      <c r="M2595">
        <v>10.82</v>
      </c>
      <c r="N2595" t="s">
        <v>1785</v>
      </c>
      <c r="O2595" t="s">
        <v>462</v>
      </c>
    </row>
    <row r="2596" spans="1:15" x14ac:dyDescent="0.3">
      <c r="A2596">
        <v>223832</v>
      </c>
      <c r="B2596">
        <v>105</v>
      </c>
      <c r="C2596" t="s">
        <v>557</v>
      </c>
      <c r="D2596" t="s">
        <v>3195</v>
      </c>
      <c r="E2596" t="s">
        <v>3196</v>
      </c>
      <c r="F2596" s="451">
        <v>46113</v>
      </c>
      <c r="G2596">
        <v>25758</v>
      </c>
      <c r="H2596" t="s">
        <v>4775</v>
      </c>
      <c r="I2596" t="s">
        <v>5191</v>
      </c>
      <c r="J2596">
        <v>14</v>
      </c>
      <c r="K2596" t="s">
        <v>4736</v>
      </c>
      <c r="L2596">
        <v>107.1</v>
      </c>
      <c r="M2596">
        <v>7.65</v>
      </c>
      <c r="N2596" t="s">
        <v>1785</v>
      </c>
      <c r="O2596" t="s">
        <v>462</v>
      </c>
    </row>
    <row r="2597" spans="1:15" x14ac:dyDescent="0.3">
      <c r="A2597">
        <v>223832</v>
      </c>
      <c r="B2597">
        <v>105</v>
      </c>
      <c r="C2597" t="s">
        <v>557</v>
      </c>
      <c r="D2597" t="s">
        <v>3195</v>
      </c>
      <c r="E2597" t="s">
        <v>3196</v>
      </c>
      <c r="F2597" s="451">
        <v>46113</v>
      </c>
      <c r="G2597">
        <v>25762</v>
      </c>
      <c r="H2597" t="s">
        <v>4770</v>
      </c>
      <c r="I2597" t="s">
        <v>5191</v>
      </c>
      <c r="J2597">
        <v>14</v>
      </c>
      <c r="K2597" t="s">
        <v>4736</v>
      </c>
      <c r="L2597">
        <v>117.04</v>
      </c>
      <c r="M2597">
        <v>8.36</v>
      </c>
      <c r="N2597" t="s">
        <v>1785</v>
      </c>
      <c r="O2597" t="s">
        <v>462</v>
      </c>
    </row>
    <row r="2598" spans="1:15" x14ac:dyDescent="0.3">
      <c r="A2598">
        <v>223832</v>
      </c>
      <c r="B2598">
        <v>105</v>
      </c>
      <c r="C2598" t="s">
        <v>557</v>
      </c>
      <c r="D2598" t="s">
        <v>3195</v>
      </c>
      <c r="E2598" t="s">
        <v>3196</v>
      </c>
      <c r="F2598" s="451">
        <v>46113</v>
      </c>
      <c r="G2598">
        <v>25755</v>
      </c>
      <c r="H2598" t="s">
        <v>4821</v>
      </c>
      <c r="I2598" t="s">
        <v>5191</v>
      </c>
      <c r="J2598">
        <v>14</v>
      </c>
      <c r="K2598" t="s">
        <v>4736</v>
      </c>
      <c r="L2598">
        <v>107.1</v>
      </c>
      <c r="M2598">
        <v>7.65</v>
      </c>
      <c r="N2598" t="s">
        <v>1785</v>
      </c>
      <c r="O2598" t="s">
        <v>462</v>
      </c>
    </row>
    <row r="2599" spans="1:15" x14ac:dyDescent="0.3">
      <c r="A2599">
        <v>223832</v>
      </c>
      <c r="B2599">
        <v>105</v>
      </c>
      <c r="C2599" t="s">
        <v>557</v>
      </c>
      <c r="D2599" t="s">
        <v>3195</v>
      </c>
      <c r="E2599" t="s">
        <v>3196</v>
      </c>
      <c r="F2599" s="451">
        <v>46113</v>
      </c>
      <c r="G2599">
        <v>27757</v>
      </c>
      <c r="H2599" t="s">
        <v>4942</v>
      </c>
      <c r="I2599" t="s">
        <v>5191</v>
      </c>
      <c r="J2599">
        <v>14</v>
      </c>
      <c r="K2599" t="s">
        <v>4736</v>
      </c>
      <c r="L2599">
        <v>92.54</v>
      </c>
      <c r="M2599">
        <v>6.61</v>
      </c>
      <c r="N2599" t="s">
        <v>1785</v>
      </c>
      <c r="O2599" t="s">
        <v>462</v>
      </c>
    </row>
    <row r="2600" spans="1:15" x14ac:dyDescent="0.3">
      <c r="A2600">
        <v>223832</v>
      </c>
      <c r="B2600">
        <v>105</v>
      </c>
      <c r="C2600" t="s">
        <v>557</v>
      </c>
      <c r="D2600" t="s">
        <v>3195</v>
      </c>
      <c r="E2600" t="s">
        <v>3196</v>
      </c>
      <c r="F2600" s="451">
        <v>46113</v>
      </c>
      <c r="G2600">
        <v>29081</v>
      </c>
      <c r="H2600" t="s">
        <v>5152</v>
      </c>
      <c r="I2600" t="s">
        <v>5191</v>
      </c>
      <c r="J2600">
        <v>1</v>
      </c>
      <c r="K2600" t="s">
        <v>5227</v>
      </c>
      <c r="L2600">
        <v>79.099999999999994</v>
      </c>
      <c r="M2600">
        <v>79.099999999999994</v>
      </c>
      <c r="N2600" t="s">
        <v>1785</v>
      </c>
      <c r="O2600" t="s">
        <v>462</v>
      </c>
    </row>
    <row r="2601" spans="1:15" x14ac:dyDescent="0.3">
      <c r="A2601">
        <v>223832</v>
      </c>
      <c r="B2601">
        <v>105</v>
      </c>
      <c r="C2601" t="s">
        <v>557</v>
      </c>
      <c r="D2601" t="s">
        <v>3195</v>
      </c>
      <c r="E2601" t="s">
        <v>3196</v>
      </c>
      <c r="F2601" s="451">
        <v>46113</v>
      </c>
      <c r="G2601">
        <v>25750</v>
      </c>
      <c r="H2601" t="s">
        <v>4908</v>
      </c>
      <c r="I2601" t="s">
        <v>5191</v>
      </c>
      <c r="J2601">
        <v>1</v>
      </c>
      <c r="K2601" t="s">
        <v>5227</v>
      </c>
      <c r="L2601">
        <v>92.54</v>
      </c>
      <c r="M2601">
        <v>92.54</v>
      </c>
      <c r="N2601" t="s">
        <v>1785</v>
      </c>
      <c r="O2601" t="s">
        <v>462</v>
      </c>
    </row>
    <row r="2602" spans="1:15" x14ac:dyDescent="0.3">
      <c r="A2602">
        <v>223832</v>
      </c>
      <c r="B2602">
        <v>105</v>
      </c>
      <c r="C2602" t="s">
        <v>557</v>
      </c>
      <c r="D2602" t="s">
        <v>3195</v>
      </c>
      <c r="E2602" t="s">
        <v>3196</v>
      </c>
      <c r="F2602" s="451">
        <v>46113</v>
      </c>
      <c r="G2602">
        <v>25763</v>
      </c>
      <c r="H2602" t="s">
        <v>4943</v>
      </c>
      <c r="I2602" t="s">
        <v>5191</v>
      </c>
      <c r="J2602">
        <v>1</v>
      </c>
      <c r="K2602" t="s">
        <v>5227</v>
      </c>
      <c r="L2602">
        <v>117.04</v>
      </c>
      <c r="M2602">
        <v>117.04</v>
      </c>
      <c r="N2602" t="s">
        <v>1785</v>
      </c>
      <c r="O2602" t="s">
        <v>462</v>
      </c>
    </row>
    <row r="2603" spans="1:15" x14ac:dyDescent="0.3">
      <c r="A2603">
        <v>223832</v>
      </c>
      <c r="B2603">
        <v>105</v>
      </c>
      <c r="C2603" t="s">
        <v>557</v>
      </c>
      <c r="D2603" t="s">
        <v>3195</v>
      </c>
      <c r="E2603" t="s">
        <v>3196</v>
      </c>
      <c r="F2603" s="451">
        <v>46113</v>
      </c>
      <c r="G2603">
        <v>29083</v>
      </c>
      <c r="H2603" t="s">
        <v>5153</v>
      </c>
      <c r="I2603" t="s">
        <v>5191</v>
      </c>
      <c r="J2603">
        <v>1</v>
      </c>
      <c r="K2603" t="s">
        <v>5227</v>
      </c>
      <c r="L2603">
        <v>132.12</v>
      </c>
      <c r="M2603">
        <v>132.12</v>
      </c>
      <c r="N2603" t="s">
        <v>1785</v>
      </c>
      <c r="O2603" t="s">
        <v>462</v>
      </c>
    </row>
    <row r="2604" spans="1:15" x14ac:dyDescent="0.3">
      <c r="A2604">
        <v>223832</v>
      </c>
      <c r="B2604">
        <v>105</v>
      </c>
      <c r="C2604" t="s">
        <v>557</v>
      </c>
      <c r="D2604" t="s">
        <v>3195</v>
      </c>
      <c r="E2604" t="s">
        <v>3196</v>
      </c>
      <c r="F2604" s="451">
        <v>46113</v>
      </c>
      <c r="G2604">
        <v>29084</v>
      </c>
      <c r="H2604" t="s">
        <v>5154</v>
      </c>
      <c r="I2604" t="s">
        <v>5191</v>
      </c>
      <c r="J2604">
        <v>1</v>
      </c>
      <c r="K2604" t="s">
        <v>5227</v>
      </c>
      <c r="L2604">
        <v>132.12</v>
      </c>
      <c r="M2604">
        <v>132.12</v>
      </c>
      <c r="N2604" t="s">
        <v>1785</v>
      </c>
      <c r="O2604" t="s">
        <v>462</v>
      </c>
    </row>
    <row r="2605" spans="1:15" x14ac:dyDescent="0.3">
      <c r="A2605">
        <v>223832</v>
      </c>
      <c r="B2605">
        <v>105</v>
      </c>
      <c r="C2605" t="s">
        <v>557</v>
      </c>
      <c r="D2605" t="s">
        <v>3195</v>
      </c>
      <c r="E2605" t="s">
        <v>3196</v>
      </c>
      <c r="F2605" s="451">
        <v>46113</v>
      </c>
      <c r="G2605">
        <v>29087</v>
      </c>
      <c r="H2605" t="s">
        <v>5155</v>
      </c>
      <c r="I2605" t="s">
        <v>5191</v>
      </c>
      <c r="J2605">
        <v>1</v>
      </c>
      <c r="K2605" t="s">
        <v>5227</v>
      </c>
      <c r="L2605">
        <v>111.86</v>
      </c>
      <c r="M2605">
        <v>111.86</v>
      </c>
      <c r="N2605" t="s">
        <v>1785</v>
      </c>
      <c r="O2605" t="s">
        <v>462</v>
      </c>
    </row>
    <row r="2606" spans="1:15" x14ac:dyDescent="0.3">
      <c r="A2606">
        <v>223589</v>
      </c>
      <c r="B2606">
        <v>105</v>
      </c>
      <c r="C2606" t="s">
        <v>557</v>
      </c>
      <c r="D2606" t="s">
        <v>2550</v>
      </c>
      <c r="E2606" t="s">
        <v>3197</v>
      </c>
      <c r="F2606" s="451">
        <v>46113</v>
      </c>
      <c r="G2606">
        <v>26234</v>
      </c>
      <c r="H2606" t="s">
        <v>5364</v>
      </c>
      <c r="I2606" t="s">
        <v>5222</v>
      </c>
      <c r="J2606">
        <v>6</v>
      </c>
      <c r="K2606" t="s">
        <v>4805</v>
      </c>
      <c r="L2606">
        <v>284.7</v>
      </c>
      <c r="M2606">
        <v>47.45</v>
      </c>
      <c r="N2606" t="s">
        <v>5271</v>
      </c>
      <c r="O2606" t="s">
        <v>462</v>
      </c>
    </row>
    <row r="2607" spans="1:15" x14ac:dyDescent="0.3">
      <c r="A2607">
        <v>223589</v>
      </c>
      <c r="B2607">
        <v>105</v>
      </c>
      <c r="C2607" t="s">
        <v>557</v>
      </c>
      <c r="D2607" t="s">
        <v>2550</v>
      </c>
      <c r="E2607" t="s">
        <v>3197</v>
      </c>
      <c r="F2607" s="451">
        <v>46113</v>
      </c>
      <c r="G2607">
        <v>26040</v>
      </c>
      <c r="H2607" t="s">
        <v>4812</v>
      </c>
      <c r="I2607" t="s">
        <v>5222</v>
      </c>
      <c r="J2607">
        <v>3</v>
      </c>
      <c r="K2607" t="s">
        <v>4805</v>
      </c>
      <c r="L2607">
        <v>142.35</v>
      </c>
      <c r="M2607">
        <v>47.45</v>
      </c>
      <c r="N2607" t="s">
        <v>5271</v>
      </c>
      <c r="O2607" t="s">
        <v>462</v>
      </c>
    </row>
    <row r="2608" spans="1:15" x14ac:dyDescent="0.3">
      <c r="A2608">
        <v>223589</v>
      </c>
      <c r="B2608">
        <v>105</v>
      </c>
      <c r="C2608" t="s">
        <v>557</v>
      </c>
      <c r="D2608" t="s">
        <v>2550</v>
      </c>
      <c r="E2608" t="s">
        <v>3197</v>
      </c>
      <c r="F2608" s="451">
        <v>46113</v>
      </c>
      <c r="G2608">
        <v>28256</v>
      </c>
      <c r="H2608" t="s">
        <v>5358</v>
      </c>
      <c r="I2608" t="s">
        <v>5222</v>
      </c>
      <c r="J2608">
        <v>5</v>
      </c>
      <c r="K2608" t="s">
        <v>4736</v>
      </c>
      <c r="L2608">
        <v>276.25</v>
      </c>
      <c r="M2608">
        <v>55.25</v>
      </c>
      <c r="N2608" t="s">
        <v>5271</v>
      </c>
      <c r="O2608" t="s">
        <v>462</v>
      </c>
    </row>
    <row r="2609" spans="1:15" x14ac:dyDescent="0.3">
      <c r="A2609">
        <v>223122</v>
      </c>
      <c r="B2609">
        <v>105</v>
      </c>
      <c r="C2609" t="s">
        <v>557</v>
      </c>
      <c r="D2609" t="s">
        <v>2579</v>
      </c>
      <c r="E2609" t="s">
        <v>3198</v>
      </c>
      <c r="F2609" s="451">
        <v>46114</v>
      </c>
      <c r="G2609">
        <v>19751</v>
      </c>
      <c r="H2609" t="s">
        <v>4800</v>
      </c>
      <c r="I2609" t="s">
        <v>5191</v>
      </c>
      <c r="J2609">
        <v>3</v>
      </c>
      <c r="K2609" t="s">
        <v>4744</v>
      </c>
      <c r="L2609">
        <v>34.44</v>
      </c>
      <c r="M2609">
        <v>11.48</v>
      </c>
      <c r="N2609" t="s">
        <v>5272</v>
      </c>
      <c r="O2609" t="s">
        <v>462</v>
      </c>
    </row>
    <row r="2610" spans="1:15" x14ac:dyDescent="0.3">
      <c r="A2610">
        <v>223122</v>
      </c>
      <c r="B2610">
        <v>105</v>
      </c>
      <c r="C2610" t="s">
        <v>557</v>
      </c>
      <c r="D2610" t="s">
        <v>2579</v>
      </c>
      <c r="E2610" t="s">
        <v>3198</v>
      </c>
      <c r="F2610" s="451">
        <v>46114</v>
      </c>
      <c r="G2610">
        <v>24489</v>
      </c>
      <c r="H2610" t="s">
        <v>5121</v>
      </c>
      <c r="I2610" t="s">
        <v>5191</v>
      </c>
      <c r="J2610">
        <v>2</v>
      </c>
      <c r="K2610" t="s">
        <v>4744</v>
      </c>
      <c r="L2610">
        <v>54</v>
      </c>
      <c r="M2610">
        <v>27</v>
      </c>
      <c r="N2610" t="s">
        <v>5272</v>
      </c>
      <c r="O2610" t="s">
        <v>462</v>
      </c>
    </row>
    <row r="2611" spans="1:15" x14ac:dyDescent="0.3">
      <c r="A2611">
        <v>223122</v>
      </c>
      <c r="B2611">
        <v>105</v>
      </c>
      <c r="C2611" t="s">
        <v>557</v>
      </c>
      <c r="D2611" t="s">
        <v>2579</v>
      </c>
      <c r="E2611" t="s">
        <v>3198</v>
      </c>
      <c r="F2611" s="451">
        <v>46114</v>
      </c>
      <c r="G2611">
        <v>23335</v>
      </c>
      <c r="H2611" t="s">
        <v>4961</v>
      </c>
      <c r="I2611" t="s">
        <v>5191</v>
      </c>
      <c r="J2611">
        <v>0.5</v>
      </c>
      <c r="K2611" t="s">
        <v>4744</v>
      </c>
      <c r="L2611">
        <v>20.25</v>
      </c>
      <c r="M2611">
        <v>40.5</v>
      </c>
      <c r="N2611" t="s">
        <v>5272</v>
      </c>
      <c r="O2611" t="s">
        <v>462</v>
      </c>
    </row>
    <row r="2612" spans="1:15" x14ac:dyDescent="0.3">
      <c r="A2612">
        <v>223122</v>
      </c>
      <c r="B2612">
        <v>105</v>
      </c>
      <c r="C2612" t="s">
        <v>557</v>
      </c>
      <c r="D2612" t="s">
        <v>2579</v>
      </c>
      <c r="E2612" t="s">
        <v>3198</v>
      </c>
      <c r="F2612" s="451">
        <v>46114</v>
      </c>
      <c r="G2612">
        <v>23361</v>
      </c>
      <c r="H2612" t="s">
        <v>4754</v>
      </c>
      <c r="I2612" t="s">
        <v>5191</v>
      </c>
      <c r="J2612">
        <v>60</v>
      </c>
      <c r="K2612" t="s">
        <v>4744</v>
      </c>
      <c r="L2612">
        <v>170.4</v>
      </c>
      <c r="M2612">
        <v>2.84</v>
      </c>
      <c r="N2612" t="s">
        <v>5272</v>
      </c>
      <c r="O2612" t="s">
        <v>462</v>
      </c>
    </row>
    <row r="2613" spans="1:15" x14ac:dyDescent="0.3">
      <c r="A2613">
        <v>223112</v>
      </c>
      <c r="B2613">
        <v>105</v>
      </c>
      <c r="C2613" t="s">
        <v>557</v>
      </c>
      <c r="D2613" t="s">
        <v>2552</v>
      </c>
      <c r="E2613" t="s">
        <v>3199</v>
      </c>
      <c r="F2613" s="451">
        <v>46113</v>
      </c>
      <c r="G2613">
        <v>26627</v>
      </c>
      <c r="H2613" t="s">
        <v>5190</v>
      </c>
      <c r="I2613" t="s">
        <v>5191</v>
      </c>
      <c r="J2613">
        <v>20</v>
      </c>
      <c r="K2613" t="s">
        <v>4744</v>
      </c>
      <c r="L2613">
        <v>158</v>
      </c>
      <c r="M2613">
        <v>7.9</v>
      </c>
      <c r="N2613" t="s">
        <v>5272</v>
      </c>
      <c r="O2613" t="s">
        <v>462</v>
      </c>
    </row>
    <row r="2614" spans="1:15" x14ac:dyDescent="0.3">
      <c r="A2614">
        <v>223109</v>
      </c>
      <c r="B2614">
        <v>105</v>
      </c>
      <c r="C2614" t="s">
        <v>557</v>
      </c>
      <c r="D2614" t="s">
        <v>2554</v>
      </c>
      <c r="E2614" t="s">
        <v>3200</v>
      </c>
      <c r="F2614" s="451">
        <v>46114</v>
      </c>
      <c r="G2614">
        <v>17437</v>
      </c>
      <c r="H2614" t="s">
        <v>5203</v>
      </c>
      <c r="I2614" t="s">
        <v>5188</v>
      </c>
      <c r="J2614">
        <v>15</v>
      </c>
      <c r="K2614" t="s">
        <v>4736</v>
      </c>
      <c r="L2614">
        <v>34.5</v>
      </c>
      <c r="M2614">
        <v>2.2999999999999998</v>
      </c>
      <c r="N2614" t="s">
        <v>5277</v>
      </c>
      <c r="O2614" t="s">
        <v>462</v>
      </c>
    </row>
    <row r="2615" spans="1:15" x14ac:dyDescent="0.3">
      <c r="A2615">
        <v>223109</v>
      </c>
      <c r="B2615">
        <v>105</v>
      </c>
      <c r="C2615" t="s">
        <v>557</v>
      </c>
      <c r="D2615" t="s">
        <v>2554</v>
      </c>
      <c r="E2615" t="s">
        <v>3200</v>
      </c>
      <c r="F2615" s="451">
        <v>46114</v>
      </c>
      <c r="G2615">
        <v>17314</v>
      </c>
      <c r="H2615" t="s">
        <v>5208</v>
      </c>
      <c r="I2615" t="s">
        <v>5188</v>
      </c>
      <c r="J2615">
        <v>2</v>
      </c>
      <c r="K2615" t="s">
        <v>4848</v>
      </c>
      <c r="L2615">
        <v>11.78</v>
      </c>
      <c r="M2615">
        <v>5.89</v>
      </c>
      <c r="N2615" t="s">
        <v>5277</v>
      </c>
      <c r="O2615" t="s">
        <v>462</v>
      </c>
    </row>
    <row r="2616" spans="1:15" x14ac:dyDescent="0.3">
      <c r="A2616">
        <v>223109</v>
      </c>
      <c r="B2616">
        <v>105</v>
      </c>
      <c r="C2616" t="s">
        <v>557</v>
      </c>
      <c r="D2616" t="s">
        <v>2554</v>
      </c>
      <c r="E2616" t="s">
        <v>3200</v>
      </c>
      <c r="F2616" s="451">
        <v>46114</v>
      </c>
      <c r="G2616">
        <v>17304</v>
      </c>
      <c r="H2616" t="s">
        <v>5195</v>
      </c>
      <c r="I2616" t="s">
        <v>5188</v>
      </c>
      <c r="J2616">
        <v>3</v>
      </c>
      <c r="K2616" t="s">
        <v>4848</v>
      </c>
      <c r="L2616">
        <v>19.77</v>
      </c>
      <c r="M2616">
        <v>6.59</v>
      </c>
      <c r="N2616" t="s">
        <v>5277</v>
      </c>
      <c r="O2616" t="s">
        <v>462</v>
      </c>
    </row>
    <row r="2617" spans="1:15" x14ac:dyDescent="0.3">
      <c r="A2617">
        <v>223109</v>
      </c>
      <c r="B2617">
        <v>105</v>
      </c>
      <c r="C2617" t="s">
        <v>557</v>
      </c>
      <c r="D2617" t="s">
        <v>2554</v>
      </c>
      <c r="E2617" t="s">
        <v>3200</v>
      </c>
      <c r="F2617" s="451">
        <v>46114</v>
      </c>
      <c r="G2617">
        <v>17266</v>
      </c>
      <c r="H2617" t="s">
        <v>5192</v>
      </c>
      <c r="I2617" t="s">
        <v>5188</v>
      </c>
      <c r="J2617">
        <v>3</v>
      </c>
      <c r="K2617" t="s">
        <v>4736</v>
      </c>
      <c r="L2617">
        <v>13.95</v>
      </c>
      <c r="M2617">
        <v>4.6500000000000004</v>
      </c>
      <c r="N2617" t="s">
        <v>5277</v>
      </c>
      <c r="O2617" t="s">
        <v>462</v>
      </c>
    </row>
    <row r="2618" spans="1:15" x14ac:dyDescent="0.3">
      <c r="A2618">
        <v>223109</v>
      </c>
      <c r="B2618">
        <v>105</v>
      </c>
      <c r="C2618" t="s">
        <v>557</v>
      </c>
      <c r="D2618" t="s">
        <v>2554</v>
      </c>
      <c r="E2618" t="s">
        <v>3200</v>
      </c>
      <c r="F2618" s="451">
        <v>46114</v>
      </c>
      <c r="G2618">
        <v>24787</v>
      </c>
      <c r="H2618" t="s">
        <v>5212</v>
      </c>
      <c r="I2618" t="s">
        <v>5188</v>
      </c>
      <c r="J2618">
        <v>2</v>
      </c>
      <c r="K2618" t="s">
        <v>4738</v>
      </c>
      <c r="L2618">
        <v>164.42</v>
      </c>
      <c r="M2618">
        <v>82.21</v>
      </c>
      <c r="N2618" t="s">
        <v>5277</v>
      </c>
      <c r="O2618" t="s">
        <v>462</v>
      </c>
    </row>
    <row r="2619" spans="1:15" x14ac:dyDescent="0.3">
      <c r="A2619">
        <v>223109</v>
      </c>
      <c r="B2619">
        <v>105</v>
      </c>
      <c r="C2619" t="s">
        <v>557</v>
      </c>
      <c r="D2619" t="s">
        <v>2554</v>
      </c>
      <c r="E2619" t="s">
        <v>3200</v>
      </c>
      <c r="F2619" s="451">
        <v>46114</v>
      </c>
      <c r="G2619">
        <v>17190</v>
      </c>
      <c r="H2619" t="s">
        <v>5193</v>
      </c>
      <c r="I2619" t="s">
        <v>5188</v>
      </c>
      <c r="J2619">
        <v>2</v>
      </c>
      <c r="K2619" t="s">
        <v>4738</v>
      </c>
      <c r="L2619">
        <v>16.2</v>
      </c>
      <c r="M2619">
        <v>8.1</v>
      </c>
      <c r="N2619" t="s">
        <v>5277</v>
      </c>
      <c r="O2619" t="s">
        <v>462</v>
      </c>
    </row>
    <row r="2620" spans="1:15" x14ac:dyDescent="0.3">
      <c r="A2620">
        <v>223109</v>
      </c>
      <c r="B2620">
        <v>105</v>
      </c>
      <c r="C2620" t="s">
        <v>557</v>
      </c>
      <c r="D2620" t="s">
        <v>2554</v>
      </c>
      <c r="E2620" t="s">
        <v>3200</v>
      </c>
      <c r="F2620" s="451">
        <v>46114</v>
      </c>
      <c r="G2620">
        <v>21783</v>
      </c>
      <c r="H2620" t="s">
        <v>5210</v>
      </c>
      <c r="I2620" t="s">
        <v>5205</v>
      </c>
      <c r="J2620">
        <v>3</v>
      </c>
      <c r="K2620" t="s">
        <v>4736</v>
      </c>
      <c r="L2620">
        <v>48</v>
      </c>
      <c r="M2620">
        <v>16</v>
      </c>
      <c r="N2620" t="s">
        <v>5277</v>
      </c>
      <c r="O2620" t="s">
        <v>462</v>
      </c>
    </row>
    <row r="2621" spans="1:15" x14ac:dyDescent="0.3">
      <c r="A2621">
        <v>223109</v>
      </c>
      <c r="B2621">
        <v>105</v>
      </c>
      <c r="C2621" t="s">
        <v>557</v>
      </c>
      <c r="D2621" t="s">
        <v>2554</v>
      </c>
      <c r="E2621" t="s">
        <v>3200</v>
      </c>
      <c r="F2621" s="451">
        <v>46114</v>
      </c>
      <c r="G2621">
        <v>17215</v>
      </c>
      <c r="H2621" t="s">
        <v>5299</v>
      </c>
      <c r="I2621" t="s">
        <v>5188</v>
      </c>
      <c r="J2621">
        <v>6</v>
      </c>
      <c r="K2621" t="s">
        <v>4848</v>
      </c>
      <c r="L2621">
        <v>119.94</v>
      </c>
      <c r="M2621">
        <v>19.989999999999998</v>
      </c>
      <c r="N2621" t="s">
        <v>5277</v>
      </c>
      <c r="O2621" t="s">
        <v>462</v>
      </c>
    </row>
    <row r="2622" spans="1:15" x14ac:dyDescent="0.3">
      <c r="A2622">
        <v>223109</v>
      </c>
      <c r="B2622">
        <v>105</v>
      </c>
      <c r="C2622" t="s">
        <v>557</v>
      </c>
      <c r="D2622" t="s">
        <v>2554</v>
      </c>
      <c r="E2622" t="s">
        <v>3200</v>
      </c>
      <c r="F2622" s="451">
        <v>46114</v>
      </c>
      <c r="G2622">
        <v>17455</v>
      </c>
      <c r="H2622" t="s">
        <v>5290</v>
      </c>
      <c r="I2622" t="s">
        <v>5188</v>
      </c>
      <c r="J2622">
        <v>1</v>
      </c>
      <c r="K2622" t="s">
        <v>4736</v>
      </c>
      <c r="L2622">
        <v>35.270000000000003</v>
      </c>
      <c r="M2622">
        <v>35.270000000000003</v>
      </c>
      <c r="N2622" t="s">
        <v>5277</v>
      </c>
      <c r="O2622" t="s">
        <v>462</v>
      </c>
    </row>
    <row r="2623" spans="1:15" x14ac:dyDescent="0.3">
      <c r="A2623">
        <v>223109</v>
      </c>
      <c r="B2623">
        <v>105</v>
      </c>
      <c r="C2623" t="s">
        <v>557</v>
      </c>
      <c r="D2623" t="s">
        <v>2554</v>
      </c>
      <c r="E2623" t="s">
        <v>3200</v>
      </c>
      <c r="F2623" s="451">
        <v>46114</v>
      </c>
      <c r="G2623">
        <v>17182</v>
      </c>
      <c r="H2623" t="s">
        <v>5201</v>
      </c>
      <c r="I2623" t="s">
        <v>5188</v>
      </c>
      <c r="J2623">
        <v>1</v>
      </c>
      <c r="K2623" t="s">
        <v>4848</v>
      </c>
      <c r="L2623">
        <v>38.89</v>
      </c>
      <c r="M2623">
        <v>38.89</v>
      </c>
      <c r="N2623" t="s">
        <v>5277</v>
      </c>
      <c r="O2623" t="s">
        <v>462</v>
      </c>
    </row>
    <row r="2624" spans="1:15" x14ac:dyDescent="0.3">
      <c r="A2624">
        <v>223109</v>
      </c>
      <c r="B2624">
        <v>105</v>
      </c>
      <c r="C2624" t="s">
        <v>557</v>
      </c>
      <c r="D2624" t="s">
        <v>2554</v>
      </c>
      <c r="E2624" t="s">
        <v>3200</v>
      </c>
      <c r="F2624" s="451">
        <v>46114</v>
      </c>
      <c r="G2624">
        <v>26928</v>
      </c>
      <c r="H2624" t="s">
        <v>5298</v>
      </c>
      <c r="I2624" t="s">
        <v>5188</v>
      </c>
      <c r="J2624">
        <v>1</v>
      </c>
      <c r="K2624" t="s">
        <v>4736</v>
      </c>
      <c r="L2624">
        <v>9.5399999999999991</v>
      </c>
      <c r="M2624">
        <v>9.5399999999999991</v>
      </c>
      <c r="N2624" t="s">
        <v>5277</v>
      </c>
      <c r="O2624" t="s">
        <v>462</v>
      </c>
    </row>
    <row r="2625" spans="1:15" x14ac:dyDescent="0.3">
      <c r="A2625">
        <v>223109</v>
      </c>
      <c r="B2625">
        <v>105</v>
      </c>
      <c r="C2625" t="s">
        <v>557</v>
      </c>
      <c r="D2625" t="s">
        <v>2554</v>
      </c>
      <c r="E2625" t="s">
        <v>3200</v>
      </c>
      <c r="F2625" s="451">
        <v>46114</v>
      </c>
      <c r="G2625">
        <v>17333</v>
      </c>
      <c r="H2625" t="s">
        <v>5211</v>
      </c>
      <c r="I2625" t="s">
        <v>5188</v>
      </c>
      <c r="J2625">
        <v>1</v>
      </c>
      <c r="K2625" t="s">
        <v>4738</v>
      </c>
      <c r="L2625">
        <v>68.64</v>
      </c>
      <c r="M2625">
        <v>68.64</v>
      </c>
      <c r="N2625" t="s">
        <v>5277</v>
      </c>
      <c r="O2625" t="s">
        <v>462</v>
      </c>
    </row>
    <row r="2626" spans="1:15" x14ac:dyDescent="0.3">
      <c r="A2626">
        <v>223109</v>
      </c>
      <c r="B2626">
        <v>105</v>
      </c>
      <c r="C2626" t="s">
        <v>557</v>
      </c>
      <c r="D2626" t="s">
        <v>2554</v>
      </c>
      <c r="E2626" t="s">
        <v>3200</v>
      </c>
      <c r="F2626" s="451">
        <v>46114</v>
      </c>
      <c r="G2626">
        <v>26554</v>
      </c>
      <c r="H2626" t="s">
        <v>5319</v>
      </c>
      <c r="I2626" t="s">
        <v>5215</v>
      </c>
      <c r="J2626">
        <v>1</v>
      </c>
      <c r="K2626" t="s">
        <v>4749</v>
      </c>
      <c r="L2626">
        <v>158</v>
      </c>
      <c r="M2626">
        <v>158</v>
      </c>
      <c r="N2626" t="s">
        <v>5277</v>
      </c>
      <c r="O2626" t="s">
        <v>462</v>
      </c>
    </row>
    <row r="2627" spans="1:15" x14ac:dyDescent="0.3">
      <c r="A2627">
        <v>223109</v>
      </c>
      <c r="B2627">
        <v>105</v>
      </c>
      <c r="C2627" t="s">
        <v>557</v>
      </c>
      <c r="D2627" t="s">
        <v>2554</v>
      </c>
      <c r="E2627" t="s">
        <v>3200</v>
      </c>
      <c r="F2627" s="451">
        <v>46114</v>
      </c>
      <c r="G2627">
        <v>24505</v>
      </c>
      <c r="H2627" t="s">
        <v>5198</v>
      </c>
      <c r="I2627" t="s">
        <v>5188</v>
      </c>
      <c r="J2627">
        <v>5</v>
      </c>
      <c r="K2627" t="s">
        <v>4738</v>
      </c>
      <c r="L2627">
        <v>24.9</v>
      </c>
      <c r="M2627">
        <v>4.9800000000000004</v>
      </c>
      <c r="N2627" t="s">
        <v>5277</v>
      </c>
      <c r="O2627" t="s">
        <v>462</v>
      </c>
    </row>
    <row r="2628" spans="1:15" x14ac:dyDescent="0.3">
      <c r="A2628">
        <v>223109</v>
      </c>
      <c r="B2628">
        <v>105</v>
      </c>
      <c r="C2628" t="s">
        <v>557</v>
      </c>
      <c r="D2628" t="s">
        <v>2554</v>
      </c>
      <c r="E2628" t="s">
        <v>3200</v>
      </c>
      <c r="F2628" s="451">
        <v>46114</v>
      </c>
      <c r="G2628">
        <v>17418</v>
      </c>
      <c r="H2628" t="s">
        <v>5207</v>
      </c>
      <c r="I2628" t="s">
        <v>5188</v>
      </c>
      <c r="J2628">
        <v>3</v>
      </c>
      <c r="K2628" t="s">
        <v>4749</v>
      </c>
      <c r="L2628">
        <v>176.7</v>
      </c>
      <c r="M2628">
        <v>58.9</v>
      </c>
      <c r="N2628" t="s">
        <v>5277</v>
      </c>
      <c r="O2628" t="s">
        <v>462</v>
      </c>
    </row>
    <row r="2629" spans="1:15" x14ac:dyDescent="0.3">
      <c r="A2629">
        <v>223109</v>
      </c>
      <c r="B2629">
        <v>105</v>
      </c>
      <c r="C2629" t="s">
        <v>557</v>
      </c>
      <c r="D2629" t="s">
        <v>2554</v>
      </c>
      <c r="E2629" t="s">
        <v>3200</v>
      </c>
      <c r="F2629" s="451">
        <v>46114</v>
      </c>
      <c r="G2629">
        <v>17416</v>
      </c>
      <c r="H2629" t="s">
        <v>5209</v>
      </c>
      <c r="I2629" t="s">
        <v>5188</v>
      </c>
      <c r="J2629">
        <v>2</v>
      </c>
      <c r="K2629" t="s">
        <v>4749</v>
      </c>
      <c r="L2629">
        <v>97.16</v>
      </c>
      <c r="M2629">
        <v>48.58</v>
      </c>
      <c r="N2629" t="s">
        <v>5277</v>
      </c>
      <c r="O2629" t="s">
        <v>462</v>
      </c>
    </row>
    <row r="2630" spans="1:15" x14ac:dyDescent="0.3">
      <c r="A2630">
        <v>223109</v>
      </c>
      <c r="B2630">
        <v>105</v>
      </c>
      <c r="C2630" t="s">
        <v>557</v>
      </c>
      <c r="D2630" t="s">
        <v>2554</v>
      </c>
      <c r="E2630" t="s">
        <v>3200</v>
      </c>
      <c r="F2630" s="451">
        <v>46114</v>
      </c>
      <c r="G2630">
        <v>27798</v>
      </c>
      <c r="H2630" t="s">
        <v>5257</v>
      </c>
      <c r="I2630" t="s">
        <v>5215</v>
      </c>
      <c r="J2630">
        <v>1</v>
      </c>
      <c r="K2630" t="s">
        <v>5245</v>
      </c>
      <c r="L2630">
        <v>175</v>
      </c>
      <c r="M2630">
        <v>175</v>
      </c>
      <c r="N2630" t="s">
        <v>5277</v>
      </c>
      <c r="O2630" t="s">
        <v>462</v>
      </c>
    </row>
    <row r="2631" spans="1:15" x14ac:dyDescent="0.3">
      <c r="A2631">
        <v>223109</v>
      </c>
      <c r="B2631">
        <v>105</v>
      </c>
      <c r="C2631" t="s">
        <v>557</v>
      </c>
      <c r="D2631" t="s">
        <v>2554</v>
      </c>
      <c r="E2631" t="s">
        <v>3200</v>
      </c>
      <c r="F2631" s="451">
        <v>46114</v>
      </c>
      <c r="G2631">
        <v>17391</v>
      </c>
      <c r="H2631" t="s">
        <v>5254</v>
      </c>
      <c r="I2631" t="s">
        <v>5188</v>
      </c>
      <c r="J2631">
        <v>1</v>
      </c>
      <c r="K2631" t="s">
        <v>4738</v>
      </c>
      <c r="L2631">
        <v>58.55</v>
      </c>
      <c r="M2631">
        <v>58.55</v>
      </c>
      <c r="N2631" t="s">
        <v>5277</v>
      </c>
      <c r="O2631" t="s">
        <v>462</v>
      </c>
    </row>
    <row r="2632" spans="1:15" x14ac:dyDescent="0.3">
      <c r="A2632">
        <v>223108</v>
      </c>
      <c r="B2632">
        <v>105</v>
      </c>
      <c r="C2632" t="s">
        <v>557</v>
      </c>
      <c r="D2632" t="s">
        <v>2707</v>
      </c>
      <c r="E2632" t="s">
        <v>3201</v>
      </c>
      <c r="F2632" s="451">
        <v>46114</v>
      </c>
      <c r="G2632">
        <v>24081</v>
      </c>
      <c r="H2632" t="s">
        <v>4834</v>
      </c>
      <c r="I2632" t="s">
        <v>5191</v>
      </c>
      <c r="J2632">
        <v>11.6</v>
      </c>
      <c r="K2632" t="s">
        <v>4744</v>
      </c>
      <c r="L2632">
        <v>276.08</v>
      </c>
      <c r="M2632">
        <v>23.8</v>
      </c>
      <c r="N2632" t="s">
        <v>5272</v>
      </c>
      <c r="O2632" t="s">
        <v>462</v>
      </c>
    </row>
    <row r="2633" spans="1:15" x14ac:dyDescent="0.3">
      <c r="A2633">
        <v>223023</v>
      </c>
      <c r="B2633">
        <v>105</v>
      </c>
      <c r="C2633" t="s">
        <v>557</v>
      </c>
      <c r="D2633" t="s">
        <v>2590</v>
      </c>
      <c r="E2633" t="s">
        <v>3202</v>
      </c>
      <c r="F2633" s="451">
        <v>46112</v>
      </c>
      <c r="G2633">
        <v>25561</v>
      </c>
      <c r="H2633" t="s">
        <v>5095</v>
      </c>
      <c r="I2633" t="s">
        <v>5222</v>
      </c>
      <c r="J2633">
        <v>4</v>
      </c>
      <c r="K2633" t="s">
        <v>4738</v>
      </c>
      <c r="L2633">
        <v>528.91999999999996</v>
      </c>
      <c r="M2633">
        <v>132.22999999999999</v>
      </c>
      <c r="N2633" t="s">
        <v>5222</v>
      </c>
      <c r="O2633" t="s">
        <v>461</v>
      </c>
    </row>
    <row r="2634" spans="1:15" x14ac:dyDescent="0.3">
      <c r="A2634">
        <v>221762</v>
      </c>
      <c r="B2634">
        <v>105</v>
      </c>
      <c r="C2634" t="s">
        <v>557</v>
      </c>
      <c r="D2634" t="s">
        <v>2581</v>
      </c>
      <c r="E2634" t="s">
        <v>3203</v>
      </c>
      <c r="F2634" s="451">
        <v>46112</v>
      </c>
      <c r="G2634">
        <v>19787</v>
      </c>
      <c r="H2634" t="s">
        <v>4793</v>
      </c>
      <c r="I2634" t="s">
        <v>5191</v>
      </c>
      <c r="J2634">
        <v>6</v>
      </c>
      <c r="K2634" t="s">
        <v>4744</v>
      </c>
      <c r="L2634">
        <v>33</v>
      </c>
      <c r="M2634">
        <v>5.5</v>
      </c>
      <c r="N2634" t="s">
        <v>5272</v>
      </c>
      <c r="O2634" t="s">
        <v>461</v>
      </c>
    </row>
    <row r="2635" spans="1:15" x14ac:dyDescent="0.3">
      <c r="A2635">
        <v>221762</v>
      </c>
      <c r="B2635">
        <v>105</v>
      </c>
      <c r="C2635" t="s">
        <v>557</v>
      </c>
      <c r="D2635" t="s">
        <v>2581</v>
      </c>
      <c r="E2635" t="s">
        <v>3203</v>
      </c>
      <c r="F2635" s="451">
        <v>46112</v>
      </c>
      <c r="G2635">
        <v>19505</v>
      </c>
      <c r="H2635" t="s">
        <v>4872</v>
      </c>
      <c r="I2635" t="s">
        <v>5191</v>
      </c>
      <c r="J2635">
        <v>5</v>
      </c>
      <c r="K2635" t="s">
        <v>4744</v>
      </c>
      <c r="L2635">
        <v>57.5</v>
      </c>
      <c r="M2635">
        <v>11.5</v>
      </c>
      <c r="N2635" t="s">
        <v>5272</v>
      </c>
      <c r="O2635" t="s">
        <v>461</v>
      </c>
    </row>
    <row r="2636" spans="1:15" x14ac:dyDescent="0.3">
      <c r="A2636">
        <v>221762</v>
      </c>
      <c r="B2636">
        <v>105</v>
      </c>
      <c r="C2636" t="s">
        <v>557</v>
      </c>
      <c r="D2636" t="s">
        <v>2581</v>
      </c>
      <c r="E2636" t="s">
        <v>3203</v>
      </c>
      <c r="F2636" s="451">
        <v>46112</v>
      </c>
      <c r="G2636">
        <v>19575</v>
      </c>
      <c r="H2636" t="s">
        <v>5120</v>
      </c>
      <c r="I2636" t="s">
        <v>5191</v>
      </c>
      <c r="J2636">
        <v>1</v>
      </c>
      <c r="K2636" t="s">
        <v>4744</v>
      </c>
      <c r="L2636">
        <v>30</v>
      </c>
      <c r="M2636">
        <v>30</v>
      </c>
      <c r="N2636" t="s">
        <v>5272</v>
      </c>
      <c r="O2636" t="s">
        <v>461</v>
      </c>
    </row>
    <row r="2637" spans="1:15" x14ac:dyDescent="0.3">
      <c r="A2637">
        <v>221762</v>
      </c>
      <c r="B2637">
        <v>105</v>
      </c>
      <c r="C2637" t="s">
        <v>557</v>
      </c>
      <c r="D2637" t="s">
        <v>2581</v>
      </c>
      <c r="E2637" t="s">
        <v>3203</v>
      </c>
      <c r="F2637" s="451">
        <v>46112</v>
      </c>
      <c r="G2637">
        <v>19476</v>
      </c>
      <c r="H2637" t="s">
        <v>5115</v>
      </c>
      <c r="I2637" t="s">
        <v>5191</v>
      </c>
      <c r="J2637">
        <v>0.3</v>
      </c>
      <c r="K2637" t="s">
        <v>4744</v>
      </c>
      <c r="L2637">
        <v>19.5</v>
      </c>
      <c r="M2637">
        <v>65</v>
      </c>
      <c r="N2637" t="s">
        <v>5272</v>
      </c>
      <c r="O2637" t="s">
        <v>461</v>
      </c>
    </row>
    <row r="2638" spans="1:15" x14ac:dyDescent="0.3">
      <c r="A2638">
        <v>221762</v>
      </c>
      <c r="B2638">
        <v>105</v>
      </c>
      <c r="C2638" t="s">
        <v>557</v>
      </c>
      <c r="D2638" t="s">
        <v>2581</v>
      </c>
      <c r="E2638" t="s">
        <v>3203</v>
      </c>
      <c r="F2638" s="451">
        <v>46112</v>
      </c>
      <c r="G2638">
        <v>19507</v>
      </c>
      <c r="H2638" t="s">
        <v>4853</v>
      </c>
      <c r="I2638" t="s">
        <v>5191</v>
      </c>
      <c r="J2638">
        <v>1.5</v>
      </c>
      <c r="K2638" t="s">
        <v>4744</v>
      </c>
      <c r="L2638">
        <v>22.5</v>
      </c>
      <c r="M2638">
        <v>15</v>
      </c>
      <c r="N2638" t="s">
        <v>5272</v>
      </c>
      <c r="O2638" t="s">
        <v>461</v>
      </c>
    </row>
    <row r="2639" spans="1:15" x14ac:dyDescent="0.3">
      <c r="A2639">
        <v>221762</v>
      </c>
      <c r="B2639">
        <v>105</v>
      </c>
      <c r="C2639" t="s">
        <v>557</v>
      </c>
      <c r="D2639" t="s">
        <v>2581</v>
      </c>
      <c r="E2639" t="s">
        <v>3203</v>
      </c>
      <c r="F2639" s="451">
        <v>46112</v>
      </c>
      <c r="G2639">
        <v>19502</v>
      </c>
      <c r="H2639" t="s">
        <v>4871</v>
      </c>
      <c r="I2639" t="s">
        <v>5191</v>
      </c>
      <c r="J2639">
        <v>1</v>
      </c>
      <c r="K2639" t="s">
        <v>4744</v>
      </c>
      <c r="L2639">
        <v>20</v>
      </c>
      <c r="M2639">
        <v>20</v>
      </c>
      <c r="N2639" t="s">
        <v>5272</v>
      </c>
      <c r="O2639" t="s">
        <v>461</v>
      </c>
    </row>
    <row r="2640" spans="1:15" x14ac:dyDescent="0.3">
      <c r="A2640">
        <v>221762</v>
      </c>
      <c r="B2640">
        <v>105</v>
      </c>
      <c r="C2640" t="s">
        <v>557</v>
      </c>
      <c r="D2640" t="s">
        <v>2581</v>
      </c>
      <c r="E2640" t="s">
        <v>3203</v>
      </c>
      <c r="F2640" s="451">
        <v>46112</v>
      </c>
      <c r="G2640">
        <v>19635</v>
      </c>
      <c r="H2640" t="s">
        <v>4786</v>
      </c>
      <c r="I2640" t="s">
        <v>5191</v>
      </c>
      <c r="J2640">
        <v>4</v>
      </c>
      <c r="K2640" t="s">
        <v>4744</v>
      </c>
      <c r="L2640">
        <v>26</v>
      </c>
      <c r="M2640">
        <v>6.5</v>
      </c>
      <c r="N2640" t="s">
        <v>5272</v>
      </c>
      <c r="O2640" t="s">
        <v>461</v>
      </c>
    </row>
    <row r="2641" spans="1:15" x14ac:dyDescent="0.3">
      <c r="A2641">
        <v>221762</v>
      </c>
      <c r="B2641">
        <v>105</v>
      </c>
      <c r="C2641" t="s">
        <v>557</v>
      </c>
      <c r="D2641" t="s">
        <v>2581</v>
      </c>
      <c r="E2641" t="s">
        <v>3203</v>
      </c>
      <c r="F2641" s="451">
        <v>46112</v>
      </c>
      <c r="G2641">
        <v>23108</v>
      </c>
      <c r="H2641" t="s">
        <v>5117</v>
      </c>
      <c r="I2641" t="s">
        <v>5191</v>
      </c>
      <c r="J2641">
        <v>0.3</v>
      </c>
      <c r="K2641" t="s">
        <v>4744</v>
      </c>
      <c r="L2641">
        <v>25.5</v>
      </c>
      <c r="M2641">
        <v>85</v>
      </c>
      <c r="N2641" t="s">
        <v>5272</v>
      </c>
      <c r="O2641" t="s">
        <v>461</v>
      </c>
    </row>
    <row r="2642" spans="1:15" x14ac:dyDescent="0.3">
      <c r="A2642">
        <v>221762</v>
      </c>
      <c r="B2642">
        <v>105</v>
      </c>
      <c r="C2642" t="s">
        <v>557</v>
      </c>
      <c r="D2642" t="s">
        <v>2581</v>
      </c>
      <c r="E2642" t="s">
        <v>3203</v>
      </c>
      <c r="F2642" s="451">
        <v>46112</v>
      </c>
      <c r="G2642">
        <v>23236</v>
      </c>
      <c r="H2642" t="s">
        <v>5062</v>
      </c>
      <c r="I2642" t="s">
        <v>5191</v>
      </c>
      <c r="J2642">
        <v>4</v>
      </c>
      <c r="K2642" t="s">
        <v>4744</v>
      </c>
      <c r="L2642">
        <v>50</v>
      </c>
      <c r="M2642">
        <v>12.5</v>
      </c>
      <c r="N2642" t="s">
        <v>5272</v>
      </c>
      <c r="O2642" t="s">
        <v>461</v>
      </c>
    </row>
    <row r="2643" spans="1:15" x14ac:dyDescent="0.3">
      <c r="A2643">
        <v>221762</v>
      </c>
      <c r="B2643">
        <v>105</v>
      </c>
      <c r="C2643" t="s">
        <v>557</v>
      </c>
      <c r="D2643" t="s">
        <v>2581</v>
      </c>
      <c r="E2643" t="s">
        <v>3203</v>
      </c>
      <c r="F2643" s="451">
        <v>46112</v>
      </c>
      <c r="G2643">
        <v>23359</v>
      </c>
      <c r="H2643" t="s">
        <v>4767</v>
      </c>
      <c r="I2643" t="s">
        <v>5191</v>
      </c>
      <c r="J2643">
        <v>10</v>
      </c>
      <c r="K2643" t="s">
        <v>4744</v>
      </c>
      <c r="L2643">
        <v>23</v>
      </c>
      <c r="M2643">
        <v>2.2999999999999998</v>
      </c>
      <c r="N2643" t="s">
        <v>5272</v>
      </c>
      <c r="O2643" t="s">
        <v>461</v>
      </c>
    </row>
    <row r="2644" spans="1:15" x14ac:dyDescent="0.3">
      <c r="A2644">
        <v>221762</v>
      </c>
      <c r="B2644">
        <v>105</v>
      </c>
      <c r="C2644" t="s">
        <v>557</v>
      </c>
      <c r="D2644" t="s">
        <v>2581</v>
      </c>
      <c r="E2644" t="s">
        <v>3203</v>
      </c>
      <c r="F2644" s="451">
        <v>46112</v>
      </c>
      <c r="G2644">
        <v>23095</v>
      </c>
      <c r="H2644" t="s">
        <v>4741</v>
      </c>
      <c r="I2644" t="s">
        <v>5191</v>
      </c>
      <c r="J2644">
        <v>40</v>
      </c>
      <c r="K2644" t="s">
        <v>4736</v>
      </c>
      <c r="L2644">
        <v>54</v>
      </c>
      <c r="M2644">
        <v>1.35</v>
      </c>
      <c r="N2644" t="s">
        <v>5272</v>
      </c>
      <c r="O2644" t="s">
        <v>461</v>
      </c>
    </row>
    <row r="2645" spans="1:15" x14ac:dyDescent="0.3">
      <c r="A2645">
        <v>221762</v>
      </c>
      <c r="B2645">
        <v>105</v>
      </c>
      <c r="C2645" t="s">
        <v>557</v>
      </c>
      <c r="D2645" t="s">
        <v>2581</v>
      </c>
      <c r="E2645" t="s">
        <v>3203</v>
      </c>
      <c r="F2645" s="451">
        <v>46112</v>
      </c>
      <c r="G2645">
        <v>19472</v>
      </c>
      <c r="H2645" t="s">
        <v>4906</v>
      </c>
      <c r="I2645" t="s">
        <v>5191</v>
      </c>
      <c r="J2645">
        <v>1</v>
      </c>
      <c r="K2645" t="s">
        <v>4744</v>
      </c>
      <c r="L2645">
        <v>28</v>
      </c>
      <c r="M2645">
        <v>28</v>
      </c>
      <c r="N2645" t="s">
        <v>5272</v>
      </c>
      <c r="O2645" t="s">
        <v>461</v>
      </c>
    </row>
    <row r="2646" spans="1:15" x14ac:dyDescent="0.3">
      <c r="A2646">
        <v>221762</v>
      </c>
      <c r="B2646">
        <v>105</v>
      </c>
      <c r="C2646" t="s">
        <v>557</v>
      </c>
      <c r="D2646" t="s">
        <v>2581</v>
      </c>
      <c r="E2646" t="s">
        <v>3203</v>
      </c>
      <c r="F2646" s="451">
        <v>46112</v>
      </c>
      <c r="G2646">
        <v>19532</v>
      </c>
      <c r="H2646" t="s">
        <v>4753</v>
      </c>
      <c r="I2646" t="s">
        <v>5191</v>
      </c>
      <c r="J2646">
        <v>15</v>
      </c>
      <c r="K2646" t="s">
        <v>4744</v>
      </c>
      <c r="L2646">
        <v>127.5</v>
      </c>
      <c r="M2646">
        <v>8.5</v>
      </c>
      <c r="N2646" t="s">
        <v>5272</v>
      </c>
      <c r="O2646" t="s">
        <v>461</v>
      </c>
    </row>
    <row r="2647" spans="1:15" x14ac:dyDescent="0.3">
      <c r="A2647">
        <v>221761</v>
      </c>
      <c r="B2647">
        <v>105</v>
      </c>
      <c r="C2647" t="s">
        <v>557</v>
      </c>
      <c r="D2647" t="s">
        <v>2597</v>
      </c>
      <c r="E2647" t="s">
        <v>3204</v>
      </c>
      <c r="F2647" s="451">
        <v>46112</v>
      </c>
      <c r="G2647">
        <v>19041</v>
      </c>
      <c r="H2647" t="s">
        <v>4762</v>
      </c>
      <c r="I2647" t="s">
        <v>5191</v>
      </c>
      <c r="J2647">
        <v>40</v>
      </c>
      <c r="K2647" t="s">
        <v>4744</v>
      </c>
      <c r="L2647">
        <v>596</v>
      </c>
      <c r="M2647">
        <v>14.9</v>
      </c>
      <c r="N2647" t="s">
        <v>5191</v>
      </c>
      <c r="O2647" t="s">
        <v>461</v>
      </c>
    </row>
    <row r="2648" spans="1:15" x14ac:dyDescent="0.3">
      <c r="A2648">
        <v>221760</v>
      </c>
      <c r="B2648">
        <v>105</v>
      </c>
      <c r="C2648" t="s">
        <v>557</v>
      </c>
      <c r="D2648" t="s">
        <v>3205</v>
      </c>
      <c r="E2648" t="s">
        <v>3206</v>
      </c>
      <c r="F2648" s="451">
        <v>46112</v>
      </c>
      <c r="G2648">
        <v>24256</v>
      </c>
      <c r="H2648" t="s">
        <v>4773</v>
      </c>
      <c r="I2648" t="s">
        <v>5191</v>
      </c>
      <c r="J2648">
        <v>15</v>
      </c>
      <c r="K2648" t="s">
        <v>4744</v>
      </c>
      <c r="L2648">
        <v>553.5</v>
      </c>
      <c r="M2648">
        <v>36.9</v>
      </c>
      <c r="N2648" t="s">
        <v>5272</v>
      </c>
      <c r="O2648" t="s">
        <v>461</v>
      </c>
    </row>
    <row r="2649" spans="1:15" x14ac:dyDescent="0.3">
      <c r="A2649">
        <v>221759</v>
      </c>
      <c r="B2649">
        <v>105</v>
      </c>
      <c r="C2649" t="s">
        <v>557</v>
      </c>
      <c r="D2649" t="s">
        <v>2991</v>
      </c>
      <c r="E2649" t="s">
        <v>3207</v>
      </c>
      <c r="F2649" s="451">
        <v>46111</v>
      </c>
      <c r="G2649">
        <v>17958</v>
      </c>
      <c r="H2649" t="s">
        <v>5076</v>
      </c>
      <c r="I2649" t="s">
        <v>5222</v>
      </c>
      <c r="J2649">
        <v>20</v>
      </c>
      <c r="K2649" t="s">
        <v>4738</v>
      </c>
      <c r="L2649">
        <v>325.8</v>
      </c>
      <c r="M2649">
        <v>16.29</v>
      </c>
      <c r="N2649" t="s">
        <v>5271</v>
      </c>
      <c r="O2649" t="s">
        <v>461</v>
      </c>
    </row>
    <row r="2650" spans="1:15" x14ac:dyDescent="0.3">
      <c r="A2650">
        <v>221759</v>
      </c>
      <c r="B2650">
        <v>105</v>
      </c>
      <c r="C2650" t="s">
        <v>557</v>
      </c>
      <c r="D2650" t="s">
        <v>2991</v>
      </c>
      <c r="E2650" t="s">
        <v>3207</v>
      </c>
      <c r="F2650" s="451">
        <v>46111</v>
      </c>
      <c r="G2650">
        <v>17950</v>
      </c>
      <c r="H2650" t="s">
        <v>5091</v>
      </c>
      <c r="I2650" t="s">
        <v>5222</v>
      </c>
      <c r="J2650">
        <v>16</v>
      </c>
      <c r="K2650" t="s">
        <v>4738</v>
      </c>
      <c r="L2650">
        <v>271.83999999999997</v>
      </c>
      <c r="M2650">
        <v>16.989999999999998</v>
      </c>
      <c r="N2650" t="s">
        <v>5271</v>
      </c>
      <c r="O2650" t="s">
        <v>461</v>
      </c>
    </row>
    <row r="2651" spans="1:15" x14ac:dyDescent="0.3">
      <c r="A2651">
        <v>221758</v>
      </c>
      <c r="B2651">
        <v>105</v>
      </c>
      <c r="C2651" t="s">
        <v>557</v>
      </c>
      <c r="D2651" t="s">
        <v>2603</v>
      </c>
      <c r="E2651" t="s">
        <v>3208</v>
      </c>
      <c r="F2651" s="451">
        <v>46112</v>
      </c>
      <c r="G2651">
        <v>26679</v>
      </c>
      <c r="H2651" t="s">
        <v>4791</v>
      </c>
      <c r="I2651" t="s">
        <v>5191</v>
      </c>
      <c r="J2651">
        <v>35.299999999999997</v>
      </c>
      <c r="K2651" t="s">
        <v>4744</v>
      </c>
      <c r="L2651">
        <v>984.87</v>
      </c>
      <c r="M2651">
        <v>27.9</v>
      </c>
      <c r="N2651" t="s">
        <v>5272</v>
      </c>
      <c r="O2651" t="s">
        <v>461</v>
      </c>
    </row>
    <row r="2652" spans="1:15" x14ac:dyDescent="0.3">
      <c r="A2652">
        <v>221757</v>
      </c>
      <c r="B2652">
        <v>105</v>
      </c>
      <c r="C2652" t="s">
        <v>557</v>
      </c>
      <c r="D2652" t="s">
        <v>2563</v>
      </c>
      <c r="E2652" t="s">
        <v>3209</v>
      </c>
      <c r="F2652" s="451">
        <v>46112</v>
      </c>
      <c r="G2652">
        <v>24083</v>
      </c>
      <c r="H2652" t="s">
        <v>5165</v>
      </c>
      <c r="I2652" t="s">
        <v>5191</v>
      </c>
      <c r="J2652">
        <v>20</v>
      </c>
      <c r="K2652" t="s">
        <v>4744</v>
      </c>
      <c r="L2652">
        <v>103</v>
      </c>
      <c r="M2652">
        <v>5.15</v>
      </c>
      <c r="N2652" t="s">
        <v>5272</v>
      </c>
      <c r="O2652" t="s">
        <v>461</v>
      </c>
    </row>
    <row r="2653" spans="1:15" x14ac:dyDescent="0.3">
      <c r="A2653">
        <v>221757</v>
      </c>
      <c r="B2653">
        <v>105</v>
      </c>
      <c r="C2653" t="s">
        <v>557</v>
      </c>
      <c r="D2653" t="s">
        <v>2563</v>
      </c>
      <c r="E2653" t="s">
        <v>3209</v>
      </c>
      <c r="F2653" s="451">
        <v>46112</v>
      </c>
      <c r="G2653">
        <v>19623</v>
      </c>
      <c r="H2653" t="s">
        <v>4764</v>
      </c>
      <c r="I2653" t="s">
        <v>5191</v>
      </c>
      <c r="J2653">
        <v>5</v>
      </c>
      <c r="K2653" t="s">
        <v>4744</v>
      </c>
      <c r="L2653">
        <v>20.65</v>
      </c>
      <c r="M2653">
        <v>4.13</v>
      </c>
      <c r="N2653" t="s">
        <v>5272</v>
      </c>
      <c r="O2653" t="s">
        <v>461</v>
      </c>
    </row>
    <row r="2654" spans="1:15" x14ac:dyDescent="0.3">
      <c r="A2654">
        <v>221757</v>
      </c>
      <c r="B2654">
        <v>105</v>
      </c>
      <c r="C2654" t="s">
        <v>557</v>
      </c>
      <c r="D2654" t="s">
        <v>2563</v>
      </c>
      <c r="E2654" t="s">
        <v>3209</v>
      </c>
      <c r="F2654" s="451">
        <v>46112</v>
      </c>
      <c r="G2654">
        <v>23113</v>
      </c>
      <c r="H2654" t="s">
        <v>5074</v>
      </c>
      <c r="I2654" t="s">
        <v>5191</v>
      </c>
      <c r="J2654">
        <v>1</v>
      </c>
      <c r="K2654" t="s">
        <v>4744</v>
      </c>
      <c r="L2654">
        <v>12.91</v>
      </c>
      <c r="M2654">
        <v>12.91</v>
      </c>
      <c r="N2654" t="s">
        <v>5272</v>
      </c>
      <c r="O2654" t="s">
        <v>461</v>
      </c>
    </row>
    <row r="2655" spans="1:15" x14ac:dyDescent="0.3">
      <c r="A2655">
        <v>221756</v>
      </c>
      <c r="B2655">
        <v>105</v>
      </c>
      <c r="C2655" t="s">
        <v>557</v>
      </c>
      <c r="D2655" t="s">
        <v>2579</v>
      </c>
      <c r="E2655" t="s">
        <v>3210</v>
      </c>
      <c r="F2655" s="451">
        <v>46112</v>
      </c>
      <c r="G2655">
        <v>19634</v>
      </c>
      <c r="H2655" t="s">
        <v>4792</v>
      </c>
      <c r="I2655" t="s">
        <v>5191</v>
      </c>
      <c r="J2655">
        <v>3</v>
      </c>
      <c r="K2655" t="s">
        <v>4744</v>
      </c>
      <c r="L2655">
        <v>23.4</v>
      </c>
      <c r="M2655">
        <v>7.8</v>
      </c>
      <c r="N2655" t="s">
        <v>5272</v>
      </c>
      <c r="O2655" t="s">
        <v>461</v>
      </c>
    </row>
    <row r="2656" spans="1:15" x14ac:dyDescent="0.3">
      <c r="A2656">
        <v>221756</v>
      </c>
      <c r="B2656">
        <v>105</v>
      </c>
      <c r="C2656" t="s">
        <v>557</v>
      </c>
      <c r="D2656" t="s">
        <v>2579</v>
      </c>
      <c r="E2656" t="s">
        <v>3210</v>
      </c>
      <c r="F2656" s="451">
        <v>46112</v>
      </c>
      <c r="G2656">
        <v>19490</v>
      </c>
      <c r="H2656" t="s">
        <v>5116</v>
      </c>
      <c r="I2656" t="s">
        <v>5191</v>
      </c>
      <c r="J2656">
        <v>0.5</v>
      </c>
      <c r="K2656" t="s">
        <v>4744</v>
      </c>
      <c r="L2656">
        <v>29.25</v>
      </c>
      <c r="M2656">
        <v>58.5</v>
      </c>
      <c r="N2656" t="s">
        <v>5272</v>
      </c>
      <c r="O2656" t="s">
        <v>461</v>
      </c>
    </row>
    <row r="2657" spans="1:15" x14ac:dyDescent="0.3">
      <c r="A2657">
        <v>221755</v>
      </c>
      <c r="B2657">
        <v>105</v>
      </c>
      <c r="C2657" t="s">
        <v>557</v>
      </c>
      <c r="D2657" t="s">
        <v>2563</v>
      </c>
      <c r="E2657" t="s">
        <v>3211</v>
      </c>
      <c r="F2657" s="451">
        <v>46111</v>
      </c>
      <c r="G2657">
        <v>19623</v>
      </c>
      <c r="H2657" t="s">
        <v>4764</v>
      </c>
      <c r="I2657" t="s">
        <v>5191</v>
      </c>
      <c r="J2657">
        <v>10</v>
      </c>
      <c r="K2657" t="s">
        <v>4744</v>
      </c>
      <c r="L2657">
        <v>41.3</v>
      </c>
      <c r="M2657">
        <v>4.13</v>
      </c>
      <c r="N2657" t="s">
        <v>5272</v>
      </c>
      <c r="O2657" t="s">
        <v>461</v>
      </c>
    </row>
    <row r="2658" spans="1:15" x14ac:dyDescent="0.3">
      <c r="A2658">
        <v>221755</v>
      </c>
      <c r="B2658">
        <v>105</v>
      </c>
      <c r="C2658" t="s">
        <v>557</v>
      </c>
      <c r="D2658" t="s">
        <v>2563</v>
      </c>
      <c r="E2658" t="s">
        <v>3211</v>
      </c>
      <c r="F2658" s="451">
        <v>46111</v>
      </c>
      <c r="G2658">
        <v>19737</v>
      </c>
      <c r="H2658" t="s">
        <v>4940</v>
      </c>
      <c r="I2658" t="s">
        <v>5191</v>
      </c>
      <c r="J2658">
        <v>1.9</v>
      </c>
      <c r="K2658" t="s">
        <v>4744</v>
      </c>
      <c r="L2658">
        <v>11.55</v>
      </c>
      <c r="M2658">
        <v>6.0789470000000003</v>
      </c>
      <c r="N2658" t="s">
        <v>5272</v>
      </c>
      <c r="O2658" t="s">
        <v>461</v>
      </c>
    </row>
    <row r="2659" spans="1:15" x14ac:dyDescent="0.3">
      <c r="A2659">
        <v>221755</v>
      </c>
      <c r="B2659">
        <v>105</v>
      </c>
      <c r="C2659" t="s">
        <v>557</v>
      </c>
      <c r="D2659" t="s">
        <v>2563</v>
      </c>
      <c r="E2659" t="s">
        <v>3211</v>
      </c>
      <c r="F2659" s="451">
        <v>46111</v>
      </c>
      <c r="G2659">
        <v>19658</v>
      </c>
      <c r="H2659" t="s">
        <v>4784</v>
      </c>
      <c r="I2659" t="s">
        <v>5191</v>
      </c>
      <c r="J2659">
        <v>9</v>
      </c>
      <c r="K2659" t="s">
        <v>4744</v>
      </c>
      <c r="L2659">
        <v>33.299999999999997</v>
      </c>
      <c r="M2659">
        <v>3.7</v>
      </c>
      <c r="N2659" t="s">
        <v>5272</v>
      </c>
      <c r="O2659" t="s">
        <v>461</v>
      </c>
    </row>
    <row r="2660" spans="1:15" x14ac:dyDescent="0.3">
      <c r="A2660">
        <v>221755</v>
      </c>
      <c r="B2660">
        <v>105</v>
      </c>
      <c r="C2660" t="s">
        <v>557</v>
      </c>
      <c r="D2660" t="s">
        <v>2563</v>
      </c>
      <c r="E2660" t="s">
        <v>3211</v>
      </c>
      <c r="F2660" s="451">
        <v>46111</v>
      </c>
      <c r="G2660">
        <v>19507</v>
      </c>
      <c r="H2660" t="s">
        <v>4853</v>
      </c>
      <c r="I2660" t="s">
        <v>5191</v>
      </c>
      <c r="J2660">
        <v>1.9</v>
      </c>
      <c r="K2660" t="s">
        <v>4744</v>
      </c>
      <c r="L2660">
        <v>29.07</v>
      </c>
      <c r="M2660">
        <v>15.3</v>
      </c>
      <c r="N2660" t="s">
        <v>5272</v>
      </c>
      <c r="O2660" t="s">
        <v>461</v>
      </c>
    </row>
    <row r="2661" spans="1:15" x14ac:dyDescent="0.3">
      <c r="A2661">
        <v>221755</v>
      </c>
      <c r="B2661">
        <v>105</v>
      </c>
      <c r="C2661" t="s">
        <v>557</v>
      </c>
      <c r="D2661" t="s">
        <v>2563</v>
      </c>
      <c r="E2661" t="s">
        <v>3211</v>
      </c>
      <c r="F2661" s="451">
        <v>46111</v>
      </c>
      <c r="G2661">
        <v>19622</v>
      </c>
      <c r="H2661" t="s">
        <v>4915</v>
      </c>
      <c r="I2661" t="s">
        <v>5191</v>
      </c>
      <c r="J2661">
        <v>2</v>
      </c>
      <c r="K2661" t="s">
        <v>4744</v>
      </c>
      <c r="L2661">
        <v>8.6999999999999993</v>
      </c>
      <c r="M2661">
        <v>4.3499999999999996</v>
      </c>
      <c r="N2661" t="s">
        <v>5272</v>
      </c>
      <c r="O2661" t="s">
        <v>461</v>
      </c>
    </row>
    <row r="2662" spans="1:15" x14ac:dyDescent="0.3">
      <c r="A2662">
        <v>221755</v>
      </c>
      <c r="B2662">
        <v>105</v>
      </c>
      <c r="C2662" t="s">
        <v>557</v>
      </c>
      <c r="D2662" t="s">
        <v>2563</v>
      </c>
      <c r="E2662" t="s">
        <v>3211</v>
      </c>
      <c r="F2662" s="451">
        <v>46111</v>
      </c>
      <c r="G2662">
        <v>19740</v>
      </c>
      <c r="H2662" t="s">
        <v>4779</v>
      </c>
      <c r="I2662" t="s">
        <v>5191</v>
      </c>
      <c r="J2662">
        <v>9</v>
      </c>
      <c r="K2662" t="s">
        <v>4744</v>
      </c>
      <c r="L2662">
        <v>71.73</v>
      </c>
      <c r="M2662">
        <v>7.97</v>
      </c>
      <c r="N2662" t="s">
        <v>5272</v>
      </c>
      <c r="O2662" t="s">
        <v>461</v>
      </c>
    </row>
    <row r="2663" spans="1:15" x14ac:dyDescent="0.3">
      <c r="A2663">
        <v>221755</v>
      </c>
      <c r="B2663">
        <v>105</v>
      </c>
      <c r="C2663" t="s">
        <v>557</v>
      </c>
      <c r="D2663" t="s">
        <v>2563</v>
      </c>
      <c r="E2663" t="s">
        <v>3211</v>
      </c>
      <c r="F2663" s="451">
        <v>46111</v>
      </c>
      <c r="G2663">
        <v>19742</v>
      </c>
      <c r="H2663" t="s">
        <v>4900</v>
      </c>
      <c r="I2663" t="s">
        <v>5191</v>
      </c>
      <c r="J2663">
        <v>1.2</v>
      </c>
      <c r="K2663" t="s">
        <v>4744</v>
      </c>
      <c r="L2663">
        <v>11.22</v>
      </c>
      <c r="M2663">
        <v>9.35</v>
      </c>
      <c r="N2663" t="s">
        <v>5272</v>
      </c>
      <c r="O2663" t="s">
        <v>461</v>
      </c>
    </row>
    <row r="2664" spans="1:15" x14ac:dyDescent="0.3">
      <c r="A2664">
        <v>221755</v>
      </c>
      <c r="B2664">
        <v>105</v>
      </c>
      <c r="C2664" t="s">
        <v>557</v>
      </c>
      <c r="D2664" t="s">
        <v>2563</v>
      </c>
      <c r="E2664" t="s">
        <v>3211</v>
      </c>
      <c r="F2664" s="451">
        <v>46111</v>
      </c>
      <c r="G2664">
        <v>24598</v>
      </c>
      <c r="H2664" t="s">
        <v>4852</v>
      </c>
      <c r="I2664" t="s">
        <v>5191</v>
      </c>
      <c r="J2664">
        <v>1.05</v>
      </c>
      <c r="K2664" t="s">
        <v>4744</v>
      </c>
      <c r="L2664">
        <v>14.99</v>
      </c>
      <c r="M2664">
        <v>14.27619</v>
      </c>
      <c r="N2664" t="s">
        <v>5272</v>
      </c>
      <c r="O2664" t="s">
        <v>461</v>
      </c>
    </row>
    <row r="2665" spans="1:15" x14ac:dyDescent="0.3">
      <c r="A2665">
        <v>221755</v>
      </c>
      <c r="B2665">
        <v>105</v>
      </c>
      <c r="C2665" t="s">
        <v>557</v>
      </c>
      <c r="D2665" t="s">
        <v>2563</v>
      </c>
      <c r="E2665" t="s">
        <v>3211</v>
      </c>
      <c r="F2665" s="451">
        <v>46111</v>
      </c>
      <c r="G2665">
        <v>23113</v>
      </c>
      <c r="H2665" t="s">
        <v>5074</v>
      </c>
      <c r="I2665" t="s">
        <v>5191</v>
      </c>
      <c r="J2665">
        <v>1</v>
      </c>
      <c r="K2665" t="s">
        <v>4744</v>
      </c>
      <c r="L2665">
        <v>12.91</v>
      </c>
      <c r="M2665">
        <v>12.91</v>
      </c>
      <c r="N2665" t="s">
        <v>5272</v>
      </c>
      <c r="O2665" t="s">
        <v>461</v>
      </c>
    </row>
    <row r="2666" spans="1:15" x14ac:dyDescent="0.3">
      <c r="A2666">
        <v>221755</v>
      </c>
      <c r="B2666">
        <v>105</v>
      </c>
      <c r="C2666" t="s">
        <v>557</v>
      </c>
      <c r="D2666" t="s">
        <v>2563</v>
      </c>
      <c r="E2666" t="s">
        <v>3211</v>
      </c>
      <c r="F2666" s="451">
        <v>46111</v>
      </c>
      <c r="G2666">
        <v>23198</v>
      </c>
      <c r="H2666" t="s">
        <v>4962</v>
      </c>
      <c r="I2666" t="s">
        <v>5191</v>
      </c>
      <c r="J2666">
        <v>1.2</v>
      </c>
      <c r="K2666" t="s">
        <v>4744</v>
      </c>
      <c r="L2666">
        <v>20.02</v>
      </c>
      <c r="M2666">
        <v>16.683333000000001</v>
      </c>
      <c r="N2666" t="s">
        <v>5272</v>
      </c>
      <c r="O2666" t="s">
        <v>461</v>
      </c>
    </row>
    <row r="2667" spans="1:15" x14ac:dyDescent="0.3">
      <c r="A2667">
        <v>221755</v>
      </c>
      <c r="B2667">
        <v>105</v>
      </c>
      <c r="C2667" t="s">
        <v>557</v>
      </c>
      <c r="D2667" t="s">
        <v>2563</v>
      </c>
      <c r="E2667" t="s">
        <v>3211</v>
      </c>
      <c r="F2667" s="451">
        <v>46111</v>
      </c>
      <c r="G2667">
        <v>23228</v>
      </c>
      <c r="H2667" t="s">
        <v>4782</v>
      </c>
      <c r="I2667" t="s">
        <v>5191</v>
      </c>
      <c r="J2667">
        <v>10</v>
      </c>
      <c r="K2667" t="s">
        <v>4744</v>
      </c>
      <c r="L2667">
        <v>65.3</v>
      </c>
      <c r="M2667">
        <v>6.53</v>
      </c>
      <c r="N2667" t="s">
        <v>5272</v>
      </c>
      <c r="O2667" t="s">
        <v>461</v>
      </c>
    </row>
    <row r="2668" spans="1:15" x14ac:dyDescent="0.3">
      <c r="A2668">
        <v>221755</v>
      </c>
      <c r="B2668">
        <v>105</v>
      </c>
      <c r="C2668" t="s">
        <v>557</v>
      </c>
      <c r="D2668" t="s">
        <v>2563</v>
      </c>
      <c r="E2668" t="s">
        <v>3211</v>
      </c>
      <c r="F2668" s="451">
        <v>46111</v>
      </c>
      <c r="G2668">
        <v>23238</v>
      </c>
      <c r="H2668" t="s">
        <v>4934</v>
      </c>
      <c r="I2668" t="s">
        <v>5191</v>
      </c>
      <c r="J2668">
        <v>1.3</v>
      </c>
      <c r="K2668" t="s">
        <v>4744</v>
      </c>
      <c r="L2668">
        <v>30.07</v>
      </c>
      <c r="M2668">
        <v>23.130769000000001</v>
      </c>
      <c r="N2668" t="s">
        <v>5272</v>
      </c>
      <c r="O2668" t="s">
        <v>461</v>
      </c>
    </row>
    <row r="2669" spans="1:15" x14ac:dyDescent="0.3">
      <c r="A2669">
        <v>221755</v>
      </c>
      <c r="B2669">
        <v>105</v>
      </c>
      <c r="C2669" t="s">
        <v>557</v>
      </c>
      <c r="D2669" t="s">
        <v>2563</v>
      </c>
      <c r="E2669" t="s">
        <v>3211</v>
      </c>
      <c r="F2669" s="451">
        <v>46111</v>
      </c>
      <c r="G2669">
        <v>23346</v>
      </c>
      <c r="H2669" t="s">
        <v>4916</v>
      </c>
      <c r="I2669" t="s">
        <v>5191</v>
      </c>
      <c r="J2669">
        <v>2</v>
      </c>
      <c r="K2669" t="s">
        <v>4744</v>
      </c>
      <c r="L2669">
        <v>16.96</v>
      </c>
      <c r="M2669">
        <v>8.48</v>
      </c>
      <c r="N2669" t="s">
        <v>5272</v>
      </c>
      <c r="O2669" t="s">
        <v>461</v>
      </c>
    </row>
    <row r="2670" spans="1:15" x14ac:dyDescent="0.3">
      <c r="A2670">
        <v>221755</v>
      </c>
      <c r="B2670">
        <v>105</v>
      </c>
      <c r="C2670" t="s">
        <v>557</v>
      </c>
      <c r="D2670" t="s">
        <v>2563</v>
      </c>
      <c r="E2670" t="s">
        <v>3211</v>
      </c>
      <c r="F2670" s="451">
        <v>46111</v>
      </c>
      <c r="G2670">
        <v>23361</v>
      </c>
      <c r="H2670" t="s">
        <v>4754</v>
      </c>
      <c r="I2670" t="s">
        <v>5191</v>
      </c>
      <c r="J2670">
        <v>40</v>
      </c>
      <c r="K2670" t="s">
        <v>4744</v>
      </c>
      <c r="L2670">
        <v>138</v>
      </c>
      <c r="M2670">
        <v>3.45</v>
      </c>
      <c r="N2670" t="s">
        <v>5272</v>
      </c>
      <c r="O2670" t="s">
        <v>461</v>
      </c>
    </row>
    <row r="2671" spans="1:15" x14ac:dyDescent="0.3">
      <c r="A2671">
        <v>221755</v>
      </c>
      <c r="B2671">
        <v>105</v>
      </c>
      <c r="C2671" t="s">
        <v>557</v>
      </c>
      <c r="D2671" t="s">
        <v>2563</v>
      </c>
      <c r="E2671" t="s">
        <v>3211</v>
      </c>
      <c r="F2671" s="451">
        <v>46111</v>
      </c>
      <c r="G2671">
        <v>19632</v>
      </c>
      <c r="H2671" t="s">
        <v>4936</v>
      </c>
      <c r="I2671" t="s">
        <v>5191</v>
      </c>
      <c r="J2671">
        <v>1.7</v>
      </c>
      <c r="K2671" t="s">
        <v>4744</v>
      </c>
      <c r="L2671">
        <v>9.25</v>
      </c>
      <c r="M2671">
        <v>5.4411759999999996</v>
      </c>
      <c r="N2671" t="s">
        <v>5272</v>
      </c>
      <c r="O2671" t="s">
        <v>461</v>
      </c>
    </row>
    <row r="2672" spans="1:15" x14ac:dyDescent="0.3">
      <c r="A2672">
        <v>221755</v>
      </c>
      <c r="B2672">
        <v>105</v>
      </c>
      <c r="C2672" t="s">
        <v>557</v>
      </c>
      <c r="D2672" t="s">
        <v>2563</v>
      </c>
      <c r="E2672" t="s">
        <v>3211</v>
      </c>
      <c r="F2672" s="451">
        <v>46111</v>
      </c>
      <c r="G2672">
        <v>19472</v>
      </c>
      <c r="H2672" t="s">
        <v>4906</v>
      </c>
      <c r="I2672" t="s">
        <v>5191</v>
      </c>
      <c r="J2672">
        <v>2</v>
      </c>
      <c r="K2672" t="s">
        <v>4744</v>
      </c>
      <c r="L2672">
        <v>56.7</v>
      </c>
      <c r="M2672">
        <v>28.35</v>
      </c>
      <c r="N2672" t="s">
        <v>5272</v>
      </c>
      <c r="O2672" t="s">
        <v>461</v>
      </c>
    </row>
    <row r="2673" spans="1:15" x14ac:dyDescent="0.3">
      <c r="A2673">
        <v>221754</v>
      </c>
      <c r="B2673">
        <v>105</v>
      </c>
      <c r="C2673" t="s">
        <v>557</v>
      </c>
      <c r="D2673" t="s">
        <v>2605</v>
      </c>
      <c r="E2673" t="s">
        <v>3212</v>
      </c>
      <c r="F2673" s="451">
        <v>46112</v>
      </c>
      <c r="G2673">
        <v>18462</v>
      </c>
      <c r="H2673" t="s">
        <v>5031</v>
      </c>
      <c r="I2673" t="s">
        <v>5222</v>
      </c>
      <c r="J2673">
        <v>2</v>
      </c>
      <c r="K2673" t="s">
        <v>4805</v>
      </c>
      <c r="L2673">
        <v>100.8</v>
      </c>
      <c r="M2673">
        <v>50.4</v>
      </c>
      <c r="N2673" t="s">
        <v>5222</v>
      </c>
      <c r="O2673" t="s">
        <v>461</v>
      </c>
    </row>
    <row r="2674" spans="1:15" x14ac:dyDescent="0.3">
      <c r="A2674">
        <v>221754</v>
      </c>
      <c r="B2674">
        <v>105</v>
      </c>
      <c r="C2674" t="s">
        <v>557</v>
      </c>
      <c r="D2674" t="s">
        <v>2605</v>
      </c>
      <c r="E2674" t="s">
        <v>3212</v>
      </c>
      <c r="F2674" s="451">
        <v>46112</v>
      </c>
      <c r="G2674">
        <v>18085</v>
      </c>
      <c r="H2674" t="s">
        <v>4973</v>
      </c>
      <c r="I2674" t="s">
        <v>5222</v>
      </c>
      <c r="J2674">
        <v>1</v>
      </c>
      <c r="K2674" t="s">
        <v>4805</v>
      </c>
      <c r="L2674">
        <v>47.6</v>
      </c>
      <c r="M2674">
        <v>47.6</v>
      </c>
      <c r="N2674" t="s">
        <v>5222</v>
      </c>
      <c r="O2674" t="s">
        <v>461</v>
      </c>
    </row>
    <row r="2675" spans="1:15" x14ac:dyDescent="0.3">
      <c r="A2675">
        <v>221754</v>
      </c>
      <c r="B2675">
        <v>105</v>
      </c>
      <c r="C2675" t="s">
        <v>557</v>
      </c>
      <c r="D2675" t="s">
        <v>2605</v>
      </c>
      <c r="E2675" t="s">
        <v>3212</v>
      </c>
      <c r="F2675" s="451">
        <v>46112</v>
      </c>
      <c r="G2675">
        <v>26210</v>
      </c>
      <c r="H2675" t="s">
        <v>4975</v>
      </c>
      <c r="I2675" t="s">
        <v>5222</v>
      </c>
      <c r="J2675">
        <v>1</v>
      </c>
      <c r="K2675" t="s">
        <v>4805</v>
      </c>
      <c r="L2675">
        <v>47.6</v>
      </c>
      <c r="M2675">
        <v>47.6</v>
      </c>
      <c r="N2675" t="s">
        <v>5222</v>
      </c>
      <c r="O2675" t="s">
        <v>461</v>
      </c>
    </row>
    <row r="2676" spans="1:15" x14ac:dyDescent="0.3">
      <c r="A2676">
        <v>221753</v>
      </c>
      <c r="B2676">
        <v>105</v>
      </c>
      <c r="C2676" t="s">
        <v>557</v>
      </c>
      <c r="D2676" t="s">
        <v>2579</v>
      </c>
      <c r="E2676" t="s">
        <v>3213</v>
      </c>
      <c r="F2676" s="451">
        <v>46111</v>
      </c>
      <c r="G2676">
        <v>19634</v>
      </c>
      <c r="H2676" t="s">
        <v>4792</v>
      </c>
      <c r="I2676" t="s">
        <v>5191</v>
      </c>
      <c r="J2676">
        <v>1.8</v>
      </c>
      <c r="K2676" t="s">
        <v>4744</v>
      </c>
      <c r="L2676">
        <v>14.04</v>
      </c>
      <c r="M2676">
        <v>7.8</v>
      </c>
      <c r="N2676" t="s">
        <v>5191</v>
      </c>
      <c r="O2676" t="s">
        <v>461</v>
      </c>
    </row>
    <row r="2677" spans="1:15" x14ac:dyDescent="0.3">
      <c r="A2677">
        <v>221753</v>
      </c>
      <c r="B2677">
        <v>105</v>
      </c>
      <c r="C2677" t="s">
        <v>557</v>
      </c>
      <c r="D2677" t="s">
        <v>2579</v>
      </c>
      <c r="E2677" t="s">
        <v>3213</v>
      </c>
      <c r="F2677" s="451">
        <v>46111</v>
      </c>
      <c r="G2677">
        <v>19506</v>
      </c>
      <c r="H2677" t="s">
        <v>5122</v>
      </c>
      <c r="I2677" t="s">
        <v>5191</v>
      </c>
      <c r="J2677">
        <v>0.4</v>
      </c>
      <c r="K2677" t="s">
        <v>4744</v>
      </c>
      <c r="L2677">
        <v>26</v>
      </c>
      <c r="M2677">
        <v>65</v>
      </c>
      <c r="N2677" t="s">
        <v>5191</v>
      </c>
      <c r="O2677" t="s">
        <v>461</v>
      </c>
    </row>
    <row r="2678" spans="1:15" x14ac:dyDescent="0.3">
      <c r="A2678">
        <v>221753</v>
      </c>
      <c r="B2678">
        <v>105</v>
      </c>
      <c r="C2678" t="s">
        <v>557</v>
      </c>
      <c r="D2678" t="s">
        <v>2579</v>
      </c>
      <c r="E2678" t="s">
        <v>3213</v>
      </c>
      <c r="F2678" s="451">
        <v>46111</v>
      </c>
      <c r="G2678">
        <v>24522</v>
      </c>
      <c r="H2678" t="s">
        <v>5072</v>
      </c>
      <c r="I2678" t="s">
        <v>5191</v>
      </c>
      <c r="J2678">
        <v>2</v>
      </c>
      <c r="K2678" t="s">
        <v>4744</v>
      </c>
      <c r="L2678">
        <v>50</v>
      </c>
      <c r="M2678">
        <v>25</v>
      </c>
      <c r="N2678" t="s">
        <v>5191</v>
      </c>
      <c r="O2678" t="s">
        <v>461</v>
      </c>
    </row>
    <row r="2679" spans="1:15" x14ac:dyDescent="0.3">
      <c r="A2679">
        <v>221753</v>
      </c>
      <c r="B2679">
        <v>105</v>
      </c>
      <c r="C2679" t="s">
        <v>557</v>
      </c>
      <c r="D2679" t="s">
        <v>2579</v>
      </c>
      <c r="E2679" t="s">
        <v>3213</v>
      </c>
      <c r="F2679" s="451">
        <v>46111</v>
      </c>
      <c r="G2679">
        <v>19642</v>
      </c>
      <c r="H2679" t="s">
        <v>4996</v>
      </c>
      <c r="I2679" t="s">
        <v>5191</v>
      </c>
      <c r="J2679">
        <v>1</v>
      </c>
      <c r="K2679" t="s">
        <v>4744</v>
      </c>
      <c r="L2679">
        <v>5.85</v>
      </c>
      <c r="M2679">
        <v>5.85</v>
      </c>
      <c r="N2679" t="s">
        <v>5191</v>
      </c>
      <c r="O2679" t="s">
        <v>461</v>
      </c>
    </row>
    <row r="2680" spans="1:15" x14ac:dyDescent="0.3">
      <c r="A2680">
        <v>221753</v>
      </c>
      <c r="B2680">
        <v>105</v>
      </c>
      <c r="C2680" t="s">
        <v>557</v>
      </c>
      <c r="D2680" t="s">
        <v>2579</v>
      </c>
      <c r="E2680" t="s">
        <v>3213</v>
      </c>
      <c r="F2680" s="451">
        <v>46111</v>
      </c>
      <c r="G2680">
        <v>23184</v>
      </c>
      <c r="H2680" t="s">
        <v>4935</v>
      </c>
      <c r="I2680" t="s">
        <v>5191</v>
      </c>
      <c r="J2680">
        <v>3</v>
      </c>
      <c r="K2680" t="s">
        <v>4744</v>
      </c>
      <c r="L2680">
        <v>46.8</v>
      </c>
      <c r="M2680">
        <v>15.6</v>
      </c>
      <c r="N2680" t="s">
        <v>5191</v>
      </c>
      <c r="O2680" t="s">
        <v>461</v>
      </c>
    </row>
    <row r="2681" spans="1:15" x14ac:dyDescent="0.3">
      <c r="A2681">
        <v>221752</v>
      </c>
      <c r="B2681">
        <v>105</v>
      </c>
      <c r="C2681" t="s">
        <v>557</v>
      </c>
      <c r="D2681" t="s">
        <v>2581</v>
      </c>
      <c r="E2681" t="s">
        <v>3214</v>
      </c>
      <c r="F2681" s="451">
        <v>46111</v>
      </c>
      <c r="G2681">
        <v>19787</v>
      </c>
      <c r="H2681" t="s">
        <v>4793</v>
      </c>
      <c r="I2681" t="s">
        <v>5191</v>
      </c>
      <c r="J2681">
        <v>5</v>
      </c>
      <c r="K2681" t="s">
        <v>4744</v>
      </c>
      <c r="L2681">
        <v>29</v>
      </c>
      <c r="M2681">
        <v>5.8</v>
      </c>
      <c r="N2681" t="s">
        <v>5272</v>
      </c>
      <c r="O2681" t="s">
        <v>461</v>
      </c>
    </row>
    <row r="2682" spans="1:15" x14ac:dyDescent="0.3">
      <c r="A2682">
        <v>221752</v>
      </c>
      <c r="B2682">
        <v>105</v>
      </c>
      <c r="C2682" t="s">
        <v>557</v>
      </c>
      <c r="D2682" t="s">
        <v>2581</v>
      </c>
      <c r="E2682" t="s">
        <v>3214</v>
      </c>
      <c r="F2682" s="451">
        <v>46111</v>
      </c>
      <c r="G2682">
        <v>19589</v>
      </c>
      <c r="H2682" t="s">
        <v>4983</v>
      </c>
      <c r="I2682" t="s">
        <v>5191</v>
      </c>
      <c r="J2682">
        <v>1</v>
      </c>
      <c r="K2682" t="s">
        <v>4744</v>
      </c>
      <c r="L2682">
        <v>6</v>
      </c>
      <c r="M2682">
        <v>6</v>
      </c>
      <c r="N2682" t="s">
        <v>5272</v>
      </c>
      <c r="O2682" t="s">
        <v>461</v>
      </c>
    </row>
    <row r="2683" spans="1:15" x14ac:dyDescent="0.3">
      <c r="A2683">
        <v>221752</v>
      </c>
      <c r="B2683">
        <v>105</v>
      </c>
      <c r="C2683" t="s">
        <v>557</v>
      </c>
      <c r="D2683" t="s">
        <v>2581</v>
      </c>
      <c r="E2683" t="s">
        <v>3214</v>
      </c>
      <c r="F2683" s="451">
        <v>46111</v>
      </c>
      <c r="G2683">
        <v>19607</v>
      </c>
      <c r="H2683" t="s">
        <v>4981</v>
      </c>
      <c r="I2683" t="s">
        <v>5191</v>
      </c>
      <c r="J2683">
        <v>0.4</v>
      </c>
      <c r="K2683" t="s">
        <v>4744</v>
      </c>
      <c r="L2683">
        <v>5.2</v>
      </c>
      <c r="M2683">
        <v>13</v>
      </c>
      <c r="N2683" t="s">
        <v>5272</v>
      </c>
      <c r="O2683" t="s">
        <v>461</v>
      </c>
    </row>
    <row r="2684" spans="1:15" x14ac:dyDescent="0.3">
      <c r="A2684">
        <v>221752</v>
      </c>
      <c r="B2684">
        <v>105</v>
      </c>
      <c r="C2684" t="s">
        <v>557</v>
      </c>
      <c r="D2684" t="s">
        <v>2581</v>
      </c>
      <c r="E2684" t="s">
        <v>3214</v>
      </c>
      <c r="F2684" s="451">
        <v>46111</v>
      </c>
      <c r="G2684">
        <v>19654</v>
      </c>
      <c r="H2684" t="s">
        <v>5099</v>
      </c>
      <c r="I2684" t="s">
        <v>5191</v>
      </c>
      <c r="J2684">
        <v>4</v>
      </c>
      <c r="K2684" t="s">
        <v>4744</v>
      </c>
      <c r="L2684">
        <v>26</v>
      </c>
      <c r="M2684">
        <v>6.5</v>
      </c>
      <c r="N2684" t="s">
        <v>5272</v>
      </c>
      <c r="O2684" t="s">
        <v>461</v>
      </c>
    </row>
    <row r="2685" spans="1:15" x14ac:dyDescent="0.3">
      <c r="A2685">
        <v>221752</v>
      </c>
      <c r="B2685">
        <v>105</v>
      </c>
      <c r="C2685" t="s">
        <v>557</v>
      </c>
      <c r="D2685" t="s">
        <v>2581</v>
      </c>
      <c r="E2685" t="s">
        <v>3214</v>
      </c>
      <c r="F2685" s="451">
        <v>46111</v>
      </c>
      <c r="G2685">
        <v>19552</v>
      </c>
      <c r="H2685" t="s">
        <v>4860</v>
      </c>
      <c r="I2685" t="s">
        <v>5191</v>
      </c>
      <c r="J2685">
        <v>1</v>
      </c>
      <c r="K2685" t="s">
        <v>4744</v>
      </c>
      <c r="L2685">
        <v>6.2</v>
      </c>
      <c r="M2685">
        <v>6.2</v>
      </c>
      <c r="N2685" t="s">
        <v>5272</v>
      </c>
      <c r="O2685" t="s">
        <v>461</v>
      </c>
    </row>
    <row r="2686" spans="1:15" x14ac:dyDescent="0.3">
      <c r="A2686">
        <v>221752</v>
      </c>
      <c r="B2686">
        <v>105</v>
      </c>
      <c r="C2686" t="s">
        <v>557</v>
      </c>
      <c r="D2686" t="s">
        <v>2581</v>
      </c>
      <c r="E2686" t="s">
        <v>3214</v>
      </c>
      <c r="F2686" s="451">
        <v>46111</v>
      </c>
      <c r="G2686">
        <v>24509</v>
      </c>
      <c r="H2686" t="s">
        <v>4788</v>
      </c>
      <c r="I2686" t="s">
        <v>5191</v>
      </c>
      <c r="J2686">
        <v>10</v>
      </c>
      <c r="K2686" t="s">
        <v>4744</v>
      </c>
      <c r="L2686">
        <v>33</v>
      </c>
      <c r="M2686">
        <v>3.3</v>
      </c>
      <c r="N2686" t="s">
        <v>5272</v>
      </c>
      <c r="O2686" t="s">
        <v>461</v>
      </c>
    </row>
    <row r="2687" spans="1:15" x14ac:dyDescent="0.3">
      <c r="A2687">
        <v>221752</v>
      </c>
      <c r="B2687">
        <v>105</v>
      </c>
      <c r="C2687" t="s">
        <v>557</v>
      </c>
      <c r="D2687" t="s">
        <v>2581</v>
      </c>
      <c r="E2687" t="s">
        <v>3214</v>
      </c>
      <c r="F2687" s="451">
        <v>46111</v>
      </c>
      <c r="G2687">
        <v>19505</v>
      </c>
      <c r="H2687" t="s">
        <v>4872</v>
      </c>
      <c r="I2687" t="s">
        <v>5191</v>
      </c>
      <c r="J2687">
        <v>5</v>
      </c>
      <c r="K2687" t="s">
        <v>4744</v>
      </c>
      <c r="L2687">
        <v>65</v>
      </c>
      <c r="M2687">
        <v>13</v>
      </c>
      <c r="N2687" t="s">
        <v>5272</v>
      </c>
      <c r="O2687" t="s">
        <v>461</v>
      </c>
    </row>
    <row r="2688" spans="1:15" x14ac:dyDescent="0.3">
      <c r="A2688">
        <v>221752</v>
      </c>
      <c r="B2688">
        <v>105</v>
      </c>
      <c r="C2688" t="s">
        <v>557</v>
      </c>
      <c r="D2688" t="s">
        <v>2581</v>
      </c>
      <c r="E2688" t="s">
        <v>3214</v>
      </c>
      <c r="F2688" s="451">
        <v>46111</v>
      </c>
      <c r="G2688">
        <v>19476</v>
      </c>
      <c r="H2688" t="s">
        <v>5115</v>
      </c>
      <c r="I2688" t="s">
        <v>5191</v>
      </c>
      <c r="J2688">
        <v>0.4</v>
      </c>
      <c r="K2688" t="s">
        <v>4744</v>
      </c>
      <c r="L2688">
        <v>26</v>
      </c>
      <c r="M2688">
        <v>65</v>
      </c>
      <c r="N2688" t="s">
        <v>5272</v>
      </c>
      <c r="O2688" t="s">
        <v>461</v>
      </c>
    </row>
    <row r="2689" spans="1:15" x14ac:dyDescent="0.3">
      <c r="A2689">
        <v>221752</v>
      </c>
      <c r="B2689">
        <v>105</v>
      </c>
      <c r="C2689" t="s">
        <v>557</v>
      </c>
      <c r="D2689" t="s">
        <v>2581</v>
      </c>
      <c r="E2689" t="s">
        <v>3214</v>
      </c>
      <c r="F2689" s="451">
        <v>46111</v>
      </c>
      <c r="G2689">
        <v>19478</v>
      </c>
      <c r="H2689" t="s">
        <v>5283</v>
      </c>
      <c r="I2689" t="s">
        <v>5191</v>
      </c>
      <c r="J2689">
        <v>0.8</v>
      </c>
      <c r="K2689" t="s">
        <v>4744</v>
      </c>
      <c r="L2689">
        <v>60</v>
      </c>
      <c r="M2689">
        <v>75</v>
      </c>
      <c r="N2689" t="s">
        <v>5272</v>
      </c>
      <c r="O2689" t="s">
        <v>461</v>
      </c>
    </row>
    <row r="2690" spans="1:15" x14ac:dyDescent="0.3">
      <c r="A2690">
        <v>221752</v>
      </c>
      <c r="B2690">
        <v>105</v>
      </c>
      <c r="C2690" t="s">
        <v>557</v>
      </c>
      <c r="D2690" t="s">
        <v>2581</v>
      </c>
      <c r="E2690" t="s">
        <v>3214</v>
      </c>
      <c r="F2690" s="451">
        <v>46111</v>
      </c>
      <c r="G2690">
        <v>19480</v>
      </c>
      <c r="H2690" t="s">
        <v>5119</v>
      </c>
      <c r="I2690" t="s">
        <v>5191</v>
      </c>
      <c r="J2690">
        <v>0.3</v>
      </c>
      <c r="K2690" t="s">
        <v>4744</v>
      </c>
      <c r="L2690">
        <v>5.0999999999999996</v>
      </c>
      <c r="M2690">
        <v>17</v>
      </c>
      <c r="N2690" t="s">
        <v>5272</v>
      </c>
      <c r="O2690" t="s">
        <v>461</v>
      </c>
    </row>
    <row r="2691" spans="1:15" x14ac:dyDescent="0.3">
      <c r="A2691">
        <v>221752</v>
      </c>
      <c r="B2691">
        <v>105</v>
      </c>
      <c r="C2691" t="s">
        <v>557</v>
      </c>
      <c r="D2691" t="s">
        <v>2581</v>
      </c>
      <c r="E2691" t="s">
        <v>3214</v>
      </c>
      <c r="F2691" s="451">
        <v>46111</v>
      </c>
      <c r="G2691">
        <v>19572</v>
      </c>
      <c r="H2691" t="s">
        <v>4989</v>
      </c>
      <c r="I2691" t="s">
        <v>5191</v>
      </c>
      <c r="J2691">
        <v>1</v>
      </c>
      <c r="K2691" t="s">
        <v>4744</v>
      </c>
      <c r="L2691">
        <v>14</v>
      </c>
      <c r="M2691">
        <v>14</v>
      </c>
      <c r="N2691" t="s">
        <v>5272</v>
      </c>
      <c r="O2691" t="s">
        <v>461</v>
      </c>
    </row>
    <row r="2692" spans="1:15" x14ac:dyDescent="0.3">
      <c r="A2692">
        <v>221752</v>
      </c>
      <c r="B2692">
        <v>105</v>
      </c>
      <c r="C2692" t="s">
        <v>557</v>
      </c>
      <c r="D2692" t="s">
        <v>2581</v>
      </c>
      <c r="E2692" t="s">
        <v>3214</v>
      </c>
      <c r="F2692" s="451">
        <v>46111</v>
      </c>
      <c r="G2692">
        <v>19558</v>
      </c>
      <c r="H2692" t="s">
        <v>4994</v>
      </c>
      <c r="I2692" t="s">
        <v>5191</v>
      </c>
      <c r="J2692">
        <v>1</v>
      </c>
      <c r="K2692" t="s">
        <v>4744</v>
      </c>
      <c r="L2692">
        <v>15</v>
      </c>
      <c r="M2692">
        <v>15</v>
      </c>
      <c r="N2692" t="s">
        <v>5272</v>
      </c>
      <c r="O2692" t="s">
        <v>461</v>
      </c>
    </row>
    <row r="2693" spans="1:15" x14ac:dyDescent="0.3">
      <c r="A2693">
        <v>221752</v>
      </c>
      <c r="B2693">
        <v>105</v>
      </c>
      <c r="C2693" t="s">
        <v>557</v>
      </c>
      <c r="D2693" t="s">
        <v>2581</v>
      </c>
      <c r="E2693" t="s">
        <v>3214</v>
      </c>
      <c r="F2693" s="451">
        <v>46111</v>
      </c>
      <c r="G2693">
        <v>24489</v>
      </c>
      <c r="H2693" t="s">
        <v>5121</v>
      </c>
      <c r="I2693" t="s">
        <v>5191</v>
      </c>
      <c r="J2693">
        <v>1</v>
      </c>
      <c r="K2693" t="s">
        <v>4744</v>
      </c>
      <c r="L2693">
        <v>32</v>
      </c>
      <c r="M2693">
        <v>32</v>
      </c>
      <c r="N2693" t="s">
        <v>5272</v>
      </c>
      <c r="O2693" t="s">
        <v>461</v>
      </c>
    </row>
    <row r="2694" spans="1:15" x14ac:dyDescent="0.3">
      <c r="A2694">
        <v>221752</v>
      </c>
      <c r="B2694">
        <v>105</v>
      </c>
      <c r="C2694" t="s">
        <v>557</v>
      </c>
      <c r="D2694" t="s">
        <v>2581</v>
      </c>
      <c r="E2694" t="s">
        <v>3214</v>
      </c>
      <c r="F2694" s="451">
        <v>46111</v>
      </c>
      <c r="G2694">
        <v>19751</v>
      </c>
      <c r="H2694" t="s">
        <v>4800</v>
      </c>
      <c r="I2694" t="s">
        <v>5191</v>
      </c>
      <c r="J2694">
        <v>3</v>
      </c>
      <c r="K2694" t="s">
        <v>4744</v>
      </c>
      <c r="L2694">
        <v>34.5</v>
      </c>
      <c r="M2694">
        <v>11.5</v>
      </c>
      <c r="N2694" t="s">
        <v>5272</v>
      </c>
      <c r="O2694" t="s">
        <v>461</v>
      </c>
    </row>
    <row r="2695" spans="1:15" x14ac:dyDescent="0.3">
      <c r="A2695">
        <v>221752</v>
      </c>
      <c r="B2695">
        <v>105</v>
      </c>
      <c r="C2695" t="s">
        <v>557</v>
      </c>
      <c r="D2695" t="s">
        <v>2581</v>
      </c>
      <c r="E2695" t="s">
        <v>3214</v>
      </c>
      <c r="F2695" s="451">
        <v>46111</v>
      </c>
      <c r="G2695">
        <v>19617</v>
      </c>
      <c r="H2695" t="s">
        <v>5071</v>
      </c>
      <c r="I2695" t="s">
        <v>5191</v>
      </c>
      <c r="J2695">
        <v>0.5</v>
      </c>
      <c r="K2695" t="s">
        <v>4744</v>
      </c>
      <c r="L2695">
        <v>9</v>
      </c>
      <c r="M2695">
        <v>18</v>
      </c>
      <c r="N2695" t="s">
        <v>5272</v>
      </c>
      <c r="O2695" t="s">
        <v>461</v>
      </c>
    </row>
    <row r="2696" spans="1:15" x14ac:dyDescent="0.3">
      <c r="A2696">
        <v>221752</v>
      </c>
      <c r="B2696">
        <v>105</v>
      </c>
      <c r="C2696" t="s">
        <v>557</v>
      </c>
      <c r="D2696" t="s">
        <v>2581</v>
      </c>
      <c r="E2696" t="s">
        <v>3214</v>
      </c>
      <c r="F2696" s="451">
        <v>46111</v>
      </c>
      <c r="G2696">
        <v>23108</v>
      </c>
      <c r="H2696" t="s">
        <v>5117</v>
      </c>
      <c r="I2696" t="s">
        <v>5191</v>
      </c>
      <c r="J2696">
        <v>0.3</v>
      </c>
      <c r="K2696" t="s">
        <v>4744</v>
      </c>
      <c r="L2696">
        <v>25.5</v>
      </c>
      <c r="M2696">
        <v>85</v>
      </c>
      <c r="N2696" t="s">
        <v>5272</v>
      </c>
      <c r="O2696" t="s">
        <v>461</v>
      </c>
    </row>
    <row r="2697" spans="1:15" x14ac:dyDescent="0.3">
      <c r="A2697">
        <v>221752</v>
      </c>
      <c r="B2697">
        <v>105</v>
      </c>
      <c r="C2697" t="s">
        <v>557</v>
      </c>
      <c r="D2697" t="s">
        <v>2581</v>
      </c>
      <c r="E2697" t="s">
        <v>3214</v>
      </c>
      <c r="F2697" s="451">
        <v>46111</v>
      </c>
      <c r="G2697">
        <v>23195</v>
      </c>
      <c r="H2697" t="s">
        <v>5051</v>
      </c>
      <c r="I2697" t="s">
        <v>5191</v>
      </c>
      <c r="J2697">
        <v>0.5</v>
      </c>
      <c r="K2697" t="s">
        <v>4744</v>
      </c>
      <c r="L2697">
        <v>8</v>
      </c>
      <c r="M2697">
        <v>16</v>
      </c>
      <c r="N2697" t="s">
        <v>5272</v>
      </c>
      <c r="O2697" t="s">
        <v>461</v>
      </c>
    </row>
    <row r="2698" spans="1:15" x14ac:dyDescent="0.3">
      <c r="A2698">
        <v>221752</v>
      </c>
      <c r="B2698">
        <v>105</v>
      </c>
      <c r="C2698" t="s">
        <v>557</v>
      </c>
      <c r="D2698" t="s">
        <v>2581</v>
      </c>
      <c r="E2698" t="s">
        <v>3214</v>
      </c>
      <c r="F2698" s="451">
        <v>46111</v>
      </c>
      <c r="G2698">
        <v>23389</v>
      </c>
      <c r="H2698" t="s">
        <v>4960</v>
      </c>
      <c r="I2698" t="s">
        <v>5191</v>
      </c>
      <c r="J2698">
        <v>4</v>
      </c>
      <c r="K2698" t="s">
        <v>4744</v>
      </c>
      <c r="L2698">
        <v>20</v>
      </c>
      <c r="M2698">
        <v>5</v>
      </c>
      <c r="N2698" t="s">
        <v>5272</v>
      </c>
      <c r="O2698" t="s">
        <v>461</v>
      </c>
    </row>
    <row r="2699" spans="1:15" x14ac:dyDescent="0.3">
      <c r="A2699">
        <v>221752</v>
      </c>
      <c r="B2699">
        <v>105</v>
      </c>
      <c r="C2699" t="s">
        <v>557</v>
      </c>
      <c r="D2699" t="s">
        <v>2581</v>
      </c>
      <c r="E2699" t="s">
        <v>3214</v>
      </c>
      <c r="F2699" s="451">
        <v>46111</v>
      </c>
      <c r="G2699">
        <v>23390</v>
      </c>
      <c r="H2699" t="s">
        <v>4873</v>
      </c>
      <c r="I2699" t="s">
        <v>5191</v>
      </c>
      <c r="J2699">
        <v>1</v>
      </c>
      <c r="K2699" t="s">
        <v>4744</v>
      </c>
      <c r="L2699">
        <v>8.5</v>
      </c>
      <c r="M2699">
        <v>8.5</v>
      </c>
      <c r="N2699" t="s">
        <v>5272</v>
      </c>
      <c r="O2699" t="s">
        <v>461</v>
      </c>
    </row>
    <row r="2700" spans="1:15" x14ac:dyDescent="0.3">
      <c r="A2700">
        <v>221752</v>
      </c>
      <c r="B2700">
        <v>105</v>
      </c>
      <c r="C2700" t="s">
        <v>557</v>
      </c>
      <c r="D2700" t="s">
        <v>2581</v>
      </c>
      <c r="E2700" t="s">
        <v>3214</v>
      </c>
      <c r="F2700" s="451">
        <v>46111</v>
      </c>
      <c r="G2700">
        <v>23095</v>
      </c>
      <c r="H2700" t="s">
        <v>4741</v>
      </c>
      <c r="I2700" t="s">
        <v>5191</v>
      </c>
      <c r="J2700">
        <v>80</v>
      </c>
      <c r="K2700" t="s">
        <v>4736</v>
      </c>
      <c r="L2700">
        <v>108</v>
      </c>
      <c r="M2700">
        <v>1.35</v>
      </c>
      <c r="N2700" t="s">
        <v>5272</v>
      </c>
      <c r="O2700" t="s">
        <v>461</v>
      </c>
    </row>
    <row r="2701" spans="1:15" x14ac:dyDescent="0.3">
      <c r="A2701">
        <v>221752</v>
      </c>
      <c r="B2701">
        <v>105</v>
      </c>
      <c r="C2701" t="s">
        <v>557</v>
      </c>
      <c r="D2701" t="s">
        <v>2581</v>
      </c>
      <c r="E2701" t="s">
        <v>3214</v>
      </c>
      <c r="F2701" s="451">
        <v>46111</v>
      </c>
      <c r="G2701">
        <v>24037</v>
      </c>
      <c r="H2701" t="s">
        <v>5233</v>
      </c>
      <c r="I2701" t="s">
        <v>5191</v>
      </c>
      <c r="J2701">
        <v>2</v>
      </c>
      <c r="K2701" t="s">
        <v>4744</v>
      </c>
      <c r="L2701">
        <v>36</v>
      </c>
      <c r="M2701">
        <v>18</v>
      </c>
      <c r="N2701" t="s">
        <v>5272</v>
      </c>
      <c r="O2701" t="s">
        <v>461</v>
      </c>
    </row>
    <row r="2702" spans="1:15" x14ac:dyDescent="0.3">
      <c r="A2702">
        <v>221751</v>
      </c>
      <c r="B2702">
        <v>105</v>
      </c>
      <c r="C2702" t="s">
        <v>557</v>
      </c>
      <c r="D2702" t="s">
        <v>2705</v>
      </c>
      <c r="E2702" t="s">
        <v>3215</v>
      </c>
      <c r="F2702" s="451">
        <v>46111</v>
      </c>
      <c r="G2702">
        <v>24658</v>
      </c>
      <c r="H2702" t="s">
        <v>5274</v>
      </c>
      <c r="I2702" t="s">
        <v>5232</v>
      </c>
      <c r="J2702">
        <v>15</v>
      </c>
      <c r="K2702" t="s">
        <v>4738</v>
      </c>
      <c r="L2702">
        <v>519</v>
      </c>
      <c r="M2702">
        <v>34.6</v>
      </c>
      <c r="N2702" t="s">
        <v>5287</v>
      </c>
      <c r="O2702" t="s">
        <v>461</v>
      </c>
    </row>
    <row r="2703" spans="1:15" x14ac:dyDescent="0.3">
      <c r="A2703">
        <v>221750</v>
      </c>
      <c r="B2703">
        <v>105</v>
      </c>
      <c r="C2703" t="s">
        <v>557</v>
      </c>
      <c r="D2703" t="s">
        <v>2585</v>
      </c>
      <c r="E2703" t="s">
        <v>3216</v>
      </c>
      <c r="F2703" s="451">
        <v>46112</v>
      </c>
      <c r="G2703">
        <v>18822</v>
      </c>
      <c r="H2703" t="s">
        <v>4811</v>
      </c>
      <c r="I2703" t="s">
        <v>5191</v>
      </c>
      <c r="J2703">
        <v>23.32</v>
      </c>
      <c r="K2703" t="s">
        <v>4744</v>
      </c>
      <c r="L2703">
        <v>2309.08</v>
      </c>
      <c r="M2703">
        <v>99.017152999999993</v>
      </c>
      <c r="N2703" t="s">
        <v>5272</v>
      </c>
      <c r="O2703" t="s">
        <v>461</v>
      </c>
    </row>
    <row r="2704" spans="1:15" x14ac:dyDescent="0.3">
      <c r="A2704">
        <v>221750</v>
      </c>
      <c r="B2704">
        <v>105</v>
      </c>
      <c r="C2704" t="s">
        <v>557</v>
      </c>
      <c r="D2704" t="s">
        <v>2585</v>
      </c>
      <c r="E2704" t="s">
        <v>3216</v>
      </c>
      <c r="F2704" s="451">
        <v>46112</v>
      </c>
      <c r="G2704">
        <v>27264</v>
      </c>
      <c r="H2704" t="s">
        <v>5075</v>
      </c>
      <c r="I2704" t="s">
        <v>5191</v>
      </c>
      <c r="J2704">
        <v>12.46</v>
      </c>
      <c r="K2704" t="s">
        <v>4744</v>
      </c>
      <c r="L2704">
        <v>662.87</v>
      </c>
      <c r="M2704">
        <v>53.199838999999997</v>
      </c>
      <c r="N2704" t="s">
        <v>5272</v>
      </c>
      <c r="O2704" t="s">
        <v>461</v>
      </c>
    </row>
    <row r="2705" spans="1:15" x14ac:dyDescent="0.3">
      <c r="A2705">
        <v>221749</v>
      </c>
      <c r="B2705">
        <v>105</v>
      </c>
      <c r="C2705" t="s">
        <v>557</v>
      </c>
      <c r="D2705" t="s">
        <v>2607</v>
      </c>
      <c r="E2705" t="s">
        <v>3217</v>
      </c>
      <c r="F2705" s="451">
        <v>46111</v>
      </c>
      <c r="G2705">
        <v>25777</v>
      </c>
      <c r="H2705" t="s">
        <v>4774</v>
      </c>
      <c r="I2705" t="s">
        <v>5191</v>
      </c>
      <c r="J2705">
        <v>20</v>
      </c>
      <c r="K2705" t="s">
        <v>4744</v>
      </c>
      <c r="L2705">
        <v>1700</v>
      </c>
      <c r="M2705">
        <v>85</v>
      </c>
      <c r="N2705" t="s">
        <v>5272</v>
      </c>
      <c r="O2705" t="s">
        <v>461</v>
      </c>
    </row>
    <row r="2706" spans="1:15" x14ac:dyDescent="0.3">
      <c r="A2706">
        <v>221748</v>
      </c>
      <c r="B2706">
        <v>105</v>
      </c>
      <c r="C2706" t="s">
        <v>557</v>
      </c>
      <c r="D2706" t="s">
        <v>2864</v>
      </c>
      <c r="E2706" t="s">
        <v>3218</v>
      </c>
      <c r="F2706" s="451">
        <v>46112</v>
      </c>
      <c r="G2706">
        <v>17504</v>
      </c>
      <c r="H2706" t="s">
        <v>5260</v>
      </c>
      <c r="I2706" t="s">
        <v>5205</v>
      </c>
      <c r="J2706">
        <v>1</v>
      </c>
      <c r="K2706" t="s">
        <v>4736</v>
      </c>
      <c r="L2706">
        <v>21</v>
      </c>
      <c r="M2706">
        <v>21</v>
      </c>
      <c r="N2706" t="s">
        <v>5277</v>
      </c>
      <c r="O2706" t="s">
        <v>461</v>
      </c>
    </row>
    <row r="2707" spans="1:15" x14ac:dyDescent="0.3">
      <c r="A2707">
        <v>221748</v>
      </c>
      <c r="B2707">
        <v>105</v>
      </c>
      <c r="C2707" t="s">
        <v>557</v>
      </c>
      <c r="D2707" t="s">
        <v>2864</v>
      </c>
      <c r="E2707" t="s">
        <v>3218</v>
      </c>
      <c r="F2707" s="451">
        <v>46112</v>
      </c>
      <c r="G2707">
        <v>21423</v>
      </c>
      <c r="H2707" t="s">
        <v>5248</v>
      </c>
      <c r="I2707" t="s">
        <v>5188</v>
      </c>
      <c r="J2707">
        <v>2</v>
      </c>
      <c r="K2707" t="s">
        <v>5245</v>
      </c>
      <c r="L2707">
        <v>63.64</v>
      </c>
      <c r="M2707">
        <v>31.82</v>
      </c>
      <c r="N2707" t="s">
        <v>5277</v>
      </c>
      <c r="O2707" t="s">
        <v>461</v>
      </c>
    </row>
    <row r="2708" spans="1:15" x14ac:dyDescent="0.3">
      <c r="A2708">
        <v>221747</v>
      </c>
      <c r="B2708">
        <v>105</v>
      </c>
      <c r="C2708" t="s">
        <v>557</v>
      </c>
      <c r="D2708" t="s">
        <v>2678</v>
      </c>
      <c r="E2708" t="s">
        <v>3219</v>
      </c>
      <c r="F2708" s="451">
        <v>46101</v>
      </c>
      <c r="G2708">
        <v>27689</v>
      </c>
      <c r="H2708" t="s">
        <v>5139</v>
      </c>
      <c r="I2708" t="s">
        <v>5191</v>
      </c>
      <c r="J2708">
        <v>200</v>
      </c>
      <c r="K2708" t="s">
        <v>4749</v>
      </c>
      <c r="L2708">
        <v>190</v>
      </c>
      <c r="M2708">
        <v>0.95</v>
      </c>
      <c r="N2708" t="s">
        <v>5272</v>
      </c>
      <c r="O2708" t="s">
        <v>461</v>
      </c>
    </row>
    <row r="2709" spans="1:15" x14ac:dyDescent="0.3">
      <c r="A2709">
        <v>220985</v>
      </c>
      <c r="B2709">
        <v>105</v>
      </c>
      <c r="C2709" t="s">
        <v>557</v>
      </c>
      <c r="D2709" t="s">
        <v>2581</v>
      </c>
      <c r="E2709" t="s">
        <v>3220</v>
      </c>
      <c r="F2709" s="451">
        <v>46100</v>
      </c>
      <c r="G2709">
        <v>19787</v>
      </c>
      <c r="H2709" t="s">
        <v>4793</v>
      </c>
      <c r="I2709" t="s">
        <v>5191</v>
      </c>
      <c r="J2709">
        <v>12</v>
      </c>
      <c r="K2709" t="s">
        <v>4744</v>
      </c>
      <c r="L2709">
        <v>63.6</v>
      </c>
      <c r="M2709">
        <v>5.3</v>
      </c>
      <c r="N2709" t="s">
        <v>5272</v>
      </c>
      <c r="O2709" t="s">
        <v>461</v>
      </c>
    </row>
    <row r="2710" spans="1:15" x14ac:dyDescent="0.3">
      <c r="A2710">
        <v>220985</v>
      </c>
      <c r="B2710">
        <v>105</v>
      </c>
      <c r="C2710" t="s">
        <v>557</v>
      </c>
      <c r="D2710" t="s">
        <v>2581</v>
      </c>
      <c r="E2710" t="s">
        <v>3220</v>
      </c>
      <c r="F2710" s="451">
        <v>46100</v>
      </c>
      <c r="G2710">
        <v>24509</v>
      </c>
      <c r="H2710" t="s">
        <v>4788</v>
      </c>
      <c r="I2710" t="s">
        <v>5191</v>
      </c>
      <c r="J2710">
        <v>9</v>
      </c>
      <c r="K2710" t="s">
        <v>4744</v>
      </c>
      <c r="L2710">
        <v>31.5</v>
      </c>
      <c r="M2710">
        <v>3.5</v>
      </c>
      <c r="N2710" t="s">
        <v>5272</v>
      </c>
      <c r="O2710" t="s">
        <v>461</v>
      </c>
    </row>
    <row r="2711" spans="1:15" x14ac:dyDescent="0.3">
      <c r="A2711">
        <v>220985</v>
      </c>
      <c r="B2711">
        <v>105</v>
      </c>
      <c r="C2711" t="s">
        <v>557</v>
      </c>
      <c r="D2711" t="s">
        <v>2581</v>
      </c>
      <c r="E2711" t="s">
        <v>3220</v>
      </c>
      <c r="F2711" s="451">
        <v>46100</v>
      </c>
      <c r="G2711">
        <v>19505</v>
      </c>
      <c r="H2711" t="s">
        <v>4872</v>
      </c>
      <c r="I2711" t="s">
        <v>5191</v>
      </c>
      <c r="J2711">
        <v>7</v>
      </c>
      <c r="K2711" t="s">
        <v>4744</v>
      </c>
      <c r="L2711">
        <v>87.5</v>
      </c>
      <c r="M2711">
        <v>12.5</v>
      </c>
      <c r="N2711" t="s">
        <v>5272</v>
      </c>
      <c r="O2711" t="s">
        <v>461</v>
      </c>
    </row>
    <row r="2712" spans="1:15" x14ac:dyDescent="0.3">
      <c r="A2712">
        <v>220985</v>
      </c>
      <c r="B2712">
        <v>105</v>
      </c>
      <c r="C2712" t="s">
        <v>557</v>
      </c>
      <c r="D2712" t="s">
        <v>2581</v>
      </c>
      <c r="E2712" t="s">
        <v>3220</v>
      </c>
      <c r="F2712" s="451">
        <v>46100</v>
      </c>
      <c r="G2712">
        <v>24099</v>
      </c>
      <c r="H2712" t="s">
        <v>4933</v>
      </c>
      <c r="I2712" t="s">
        <v>5191</v>
      </c>
      <c r="J2712">
        <v>3</v>
      </c>
      <c r="K2712" t="s">
        <v>4744</v>
      </c>
      <c r="L2712">
        <v>60</v>
      </c>
      <c r="M2712">
        <v>20</v>
      </c>
      <c r="N2712" t="s">
        <v>5272</v>
      </c>
      <c r="O2712" t="s">
        <v>461</v>
      </c>
    </row>
    <row r="2713" spans="1:15" x14ac:dyDescent="0.3">
      <c r="A2713">
        <v>220985</v>
      </c>
      <c r="B2713">
        <v>105</v>
      </c>
      <c r="C2713" t="s">
        <v>557</v>
      </c>
      <c r="D2713" t="s">
        <v>2581</v>
      </c>
      <c r="E2713" t="s">
        <v>3220</v>
      </c>
      <c r="F2713" s="451">
        <v>46100</v>
      </c>
      <c r="G2713">
        <v>19476</v>
      </c>
      <c r="H2713" t="s">
        <v>5115</v>
      </c>
      <c r="I2713" t="s">
        <v>5191</v>
      </c>
      <c r="J2713">
        <v>0.3</v>
      </c>
      <c r="K2713" t="s">
        <v>4744</v>
      </c>
      <c r="L2713">
        <v>18</v>
      </c>
      <c r="M2713">
        <v>60</v>
      </c>
      <c r="N2713" t="s">
        <v>5272</v>
      </c>
      <c r="O2713" t="s">
        <v>461</v>
      </c>
    </row>
    <row r="2714" spans="1:15" x14ac:dyDescent="0.3">
      <c r="A2714">
        <v>220985</v>
      </c>
      <c r="B2714">
        <v>105</v>
      </c>
      <c r="C2714" t="s">
        <v>557</v>
      </c>
      <c r="D2714" t="s">
        <v>2581</v>
      </c>
      <c r="E2714" t="s">
        <v>3220</v>
      </c>
      <c r="F2714" s="451">
        <v>46100</v>
      </c>
      <c r="G2714">
        <v>19478</v>
      </c>
      <c r="H2714" t="s">
        <v>5283</v>
      </c>
      <c r="I2714" t="s">
        <v>5191</v>
      </c>
      <c r="J2714">
        <v>0.4</v>
      </c>
      <c r="K2714" t="s">
        <v>4744</v>
      </c>
      <c r="L2714">
        <v>26</v>
      </c>
      <c r="M2714">
        <v>65</v>
      </c>
      <c r="N2714" t="s">
        <v>5272</v>
      </c>
      <c r="O2714" t="s">
        <v>461</v>
      </c>
    </row>
    <row r="2715" spans="1:15" x14ac:dyDescent="0.3">
      <c r="A2715">
        <v>220985</v>
      </c>
      <c r="B2715">
        <v>105</v>
      </c>
      <c r="C2715" t="s">
        <v>557</v>
      </c>
      <c r="D2715" t="s">
        <v>2581</v>
      </c>
      <c r="E2715" t="s">
        <v>3220</v>
      </c>
      <c r="F2715" s="451">
        <v>46100</v>
      </c>
      <c r="G2715">
        <v>19480</v>
      </c>
      <c r="H2715" t="s">
        <v>5119</v>
      </c>
      <c r="I2715" t="s">
        <v>5191</v>
      </c>
      <c r="J2715">
        <v>0.5</v>
      </c>
      <c r="K2715" t="s">
        <v>4744</v>
      </c>
      <c r="L2715">
        <v>8.5</v>
      </c>
      <c r="M2715">
        <v>17</v>
      </c>
      <c r="N2715" t="s">
        <v>5272</v>
      </c>
      <c r="O2715" t="s">
        <v>461</v>
      </c>
    </row>
    <row r="2716" spans="1:15" x14ac:dyDescent="0.3">
      <c r="A2716">
        <v>220985</v>
      </c>
      <c r="B2716">
        <v>105</v>
      </c>
      <c r="C2716" t="s">
        <v>557</v>
      </c>
      <c r="D2716" t="s">
        <v>2581</v>
      </c>
      <c r="E2716" t="s">
        <v>3220</v>
      </c>
      <c r="F2716" s="451">
        <v>46100</v>
      </c>
      <c r="G2716">
        <v>19658</v>
      </c>
      <c r="H2716" t="s">
        <v>4784</v>
      </c>
      <c r="I2716" t="s">
        <v>5191</v>
      </c>
      <c r="J2716">
        <v>12</v>
      </c>
      <c r="K2716" t="s">
        <v>4744</v>
      </c>
      <c r="L2716">
        <v>43.2</v>
      </c>
      <c r="M2716">
        <v>3.6</v>
      </c>
      <c r="N2716" t="s">
        <v>5272</v>
      </c>
      <c r="O2716" t="s">
        <v>461</v>
      </c>
    </row>
    <row r="2717" spans="1:15" x14ac:dyDescent="0.3">
      <c r="A2717">
        <v>220985</v>
      </c>
      <c r="B2717">
        <v>105</v>
      </c>
      <c r="C2717" t="s">
        <v>557</v>
      </c>
      <c r="D2717" t="s">
        <v>2581</v>
      </c>
      <c r="E2717" t="s">
        <v>3220</v>
      </c>
      <c r="F2717" s="451">
        <v>46100</v>
      </c>
      <c r="G2717">
        <v>19502</v>
      </c>
      <c r="H2717" t="s">
        <v>4871</v>
      </c>
      <c r="I2717" t="s">
        <v>5191</v>
      </c>
      <c r="J2717">
        <v>4</v>
      </c>
      <c r="K2717" t="s">
        <v>4744</v>
      </c>
      <c r="L2717">
        <v>72</v>
      </c>
      <c r="M2717">
        <v>18</v>
      </c>
      <c r="N2717" t="s">
        <v>5272</v>
      </c>
      <c r="O2717" t="s">
        <v>461</v>
      </c>
    </row>
    <row r="2718" spans="1:15" x14ac:dyDescent="0.3">
      <c r="A2718">
        <v>220985</v>
      </c>
      <c r="B2718">
        <v>105</v>
      </c>
      <c r="C2718" t="s">
        <v>557</v>
      </c>
      <c r="D2718" t="s">
        <v>2581</v>
      </c>
      <c r="E2718" t="s">
        <v>3220</v>
      </c>
      <c r="F2718" s="451">
        <v>46100</v>
      </c>
      <c r="G2718">
        <v>19507</v>
      </c>
      <c r="H2718" t="s">
        <v>4853</v>
      </c>
      <c r="I2718" t="s">
        <v>5191</v>
      </c>
      <c r="J2718">
        <v>0.6</v>
      </c>
      <c r="K2718" t="s">
        <v>4744</v>
      </c>
      <c r="L2718">
        <v>9</v>
      </c>
      <c r="M2718">
        <v>15</v>
      </c>
      <c r="N2718" t="s">
        <v>5272</v>
      </c>
      <c r="O2718" t="s">
        <v>461</v>
      </c>
    </row>
    <row r="2719" spans="1:15" x14ac:dyDescent="0.3">
      <c r="A2719">
        <v>220985</v>
      </c>
      <c r="B2719">
        <v>105</v>
      </c>
      <c r="C2719" t="s">
        <v>557</v>
      </c>
      <c r="D2719" t="s">
        <v>2581</v>
      </c>
      <c r="E2719" t="s">
        <v>3220</v>
      </c>
      <c r="F2719" s="451">
        <v>46100</v>
      </c>
      <c r="G2719">
        <v>19558</v>
      </c>
      <c r="H2719" t="s">
        <v>4994</v>
      </c>
      <c r="I2719" t="s">
        <v>5191</v>
      </c>
      <c r="J2719">
        <v>1</v>
      </c>
      <c r="K2719" t="s">
        <v>4744</v>
      </c>
      <c r="L2719">
        <v>15</v>
      </c>
      <c r="M2719">
        <v>15</v>
      </c>
      <c r="N2719" t="s">
        <v>5272</v>
      </c>
      <c r="O2719" t="s">
        <v>461</v>
      </c>
    </row>
    <row r="2720" spans="1:15" x14ac:dyDescent="0.3">
      <c r="A2720">
        <v>220985</v>
      </c>
      <c r="B2720">
        <v>105</v>
      </c>
      <c r="C2720" t="s">
        <v>557</v>
      </c>
      <c r="D2720" t="s">
        <v>2581</v>
      </c>
      <c r="E2720" t="s">
        <v>3220</v>
      </c>
      <c r="F2720" s="451">
        <v>46100</v>
      </c>
      <c r="G2720">
        <v>19488</v>
      </c>
      <c r="H2720" t="s">
        <v>5107</v>
      </c>
      <c r="I2720" t="s">
        <v>5191</v>
      </c>
      <c r="J2720">
        <v>0.2</v>
      </c>
      <c r="K2720" t="s">
        <v>4744</v>
      </c>
      <c r="L2720">
        <v>2.2000000000000002</v>
      </c>
      <c r="M2720">
        <v>11</v>
      </c>
      <c r="N2720" t="s">
        <v>5272</v>
      </c>
      <c r="O2720" t="s">
        <v>461</v>
      </c>
    </row>
    <row r="2721" spans="1:15" x14ac:dyDescent="0.3">
      <c r="A2721">
        <v>220985</v>
      </c>
      <c r="B2721">
        <v>105</v>
      </c>
      <c r="C2721" t="s">
        <v>557</v>
      </c>
      <c r="D2721" t="s">
        <v>2581</v>
      </c>
      <c r="E2721" t="s">
        <v>3220</v>
      </c>
      <c r="F2721" s="451">
        <v>46100</v>
      </c>
      <c r="G2721">
        <v>19572</v>
      </c>
      <c r="H2721" t="s">
        <v>4989</v>
      </c>
      <c r="I2721" t="s">
        <v>5191</v>
      </c>
      <c r="J2721">
        <v>1</v>
      </c>
      <c r="K2721" t="s">
        <v>4744</v>
      </c>
      <c r="L2721">
        <v>15</v>
      </c>
      <c r="M2721">
        <v>15</v>
      </c>
      <c r="N2721" t="s">
        <v>5272</v>
      </c>
      <c r="O2721" t="s">
        <v>461</v>
      </c>
    </row>
    <row r="2722" spans="1:15" x14ac:dyDescent="0.3">
      <c r="A2722">
        <v>220985</v>
      </c>
      <c r="B2722">
        <v>105</v>
      </c>
      <c r="C2722" t="s">
        <v>557</v>
      </c>
      <c r="D2722" t="s">
        <v>2581</v>
      </c>
      <c r="E2722" t="s">
        <v>3220</v>
      </c>
      <c r="F2722" s="451">
        <v>46100</v>
      </c>
      <c r="G2722">
        <v>19562</v>
      </c>
      <c r="H2722" t="s">
        <v>4939</v>
      </c>
      <c r="I2722" t="s">
        <v>5191</v>
      </c>
      <c r="J2722">
        <v>1</v>
      </c>
      <c r="K2722" t="s">
        <v>4744</v>
      </c>
      <c r="L2722">
        <v>14</v>
      </c>
      <c r="M2722">
        <v>14</v>
      </c>
      <c r="N2722" t="s">
        <v>5272</v>
      </c>
      <c r="O2722" t="s">
        <v>461</v>
      </c>
    </row>
    <row r="2723" spans="1:15" x14ac:dyDescent="0.3">
      <c r="A2723">
        <v>220985</v>
      </c>
      <c r="B2723">
        <v>105</v>
      </c>
      <c r="C2723" t="s">
        <v>557</v>
      </c>
      <c r="D2723" t="s">
        <v>2581</v>
      </c>
      <c r="E2723" t="s">
        <v>3220</v>
      </c>
      <c r="F2723" s="451">
        <v>46100</v>
      </c>
      <c r="G2723">
        <v>19740</v>
      </c>
      <c r="H2723" t="s">
        <v>4779</v>
      </c>
      <c r="I2723" t="s">
        <v>5191</v>
      </c>
      <c r="J2723">
        <v>6</v>
      </c>
      <c r="K2723" t="s">
        <v>4744</v>
      </c>
      <c r="L2723">
        <v>46.8</v>
      </c>
      <c r="M2723">
        <v>7.8</v>
      </c>
      <c r="N2723" t="s">
        <v>5272</v>
      </c>
      <c r="O2723" t="s">
        <v>461</v>
      </c>
    </row>
    <row r="2724" spans="1:15" x14ac:dyDescent="0.3">
      <c r="A2724">
        <v>220985</v>
      </c>
      <c r="B2724">
        <v>105</v>
      </c>
      <c r="C2724" t="s">
        <v>557</v>
      </c>
      <c r="D2724" t="s">
        <v>2581</v>
      </c>
      <c r="E2724" t="s">
        <v>3220</v>
      </c>
      <c r="F2724" s="451">
        <v>46100</v>
      </c>
      <c r="G2724">
        <v>19742</v>
      </c>
      <c r="H2724" t="s">
        <v>4900</v>
      </c>
      <c r="I2724" t="s">
        <v>5191</v>
      </c>
      <c r="J2724">
        <v>2</v>
      </c>
      <c r="K2724" t="s">
        <v>4744</v>
      </c>
      <c r="L2724">
        <v>21</v>
      </c>
      <c r="M2724">
        <v>10.5</v>
      </c>
      <c r="N2724" t="s">
        <v>5272</v>
      </c>
      <c r="O2724" t="s">
        <v>461</v>
      </c>
    </row>
    <row r="2725" spans="1:15" x14ac:dyDescent="0.3">
      <c r="A2725">
        <v>220985</v>
      </c>
      <c r="B2725">
        <v>105</v>
      </c>
      <c r="C2725" t="s">
        <v>557</v>
      </c>
      <c r="D2725" t="s">
        <v>2581</v>
      </c>
      <c r="E2725" t="s">
        <v>3220</v>
      </c>
      <c r="F2725" s="451">
        <v>46100</v>
      </c>
      <c r="G2725">
        <v>19728</v>
      </c>
      <c r="H2725" t="s">
        <v>5106</v>
      </c>
      <c r="I2725" t="s">
        <v>5191</v>
      </c>
      <c r="J2725">
        <v>2</v>
      </c>
      <c r="K2725" t="s">
        <v>4744</v>
      </c>
      <c r="L2725">
        <v>23</v>
      </c>
      <c r="M2725">
        <v>11.5</v>
      </c>
      <c r="N2725" t="s">
        <v>5272</v>
      </c>
      <c r="O2725" t="s">
        <v>461</v>
      </c>
    </row>
    <row r="2726" spans="1:15" x14ac:dyDescent="0.3">
      <c r="A2726">
        <v>220985</v>
      </c>
      <c r="B2726">
        <v>105</v>
      </c>
      <c r="C2726" t="s">
        <v>557</v>
      </c>
      <c r="D2726" t="s">
        <v>2581</v>
      </c>
      <c r="E2726" t="s">
        <v>3220</v>
      </c>
      <c r="F2726" s="451">
        <v>46100</v>
      </c>
      <c r="G2726">
        <v>19752</v>
      </c>
      <c r="H2726" t="s">
        <v>4807</v>
      </c>
      <c r="I2726" t="s">
        <v>5191</v>
      </c>
      <c r="J2726">
        <v>3</v>
      </c>
      <c r="K2726" t="s">
        <v>4744</v>
      </c>
      <c r="L2726">
        <v>24</v>
      </c>
      <c r="M2726">
        <v>8</v>
      </c>
      <c r="N2726" t="s">
        <v>5272</v>
      </c>
      <c r="O2726" t="s">
        <v>461</v>
      </c>
    </row>
    <row r="2727" spans="1:15" x14ac:dyDescent="0.3">
      <c r="A2727">
        <v>220985</v>
      </c>
      <c r="B2727">
        <v>105</v>
      </c>
      <c r="C2727" t="s">
        <v>557</v>
      </c>
      <c r="D2727" t="s">
        <v>2581</v>
      </c>
      <c r="E2727" t="s">
        <v>3220</v>
      </c>
      <c r="F2727" s="451">
        <v>46100</v>
      </c>
      <c r="G2727">
        <v>19617</v>
      </c>
      <c r="H2727" t="s">
        <v>5071</v>
      </c>
      <c r="I2727" t="s">
        <v>5191</v>
      </c>
      <c r="J2727">
        <v>0.5</v>
      </c>
      <c r="K2727" t="s">
        <v>4744</v>
      </c>
      <c r="L2727">
        <v>8</v>
      </c>
      <c r="M2727">
        <v>16</v>
      </c>
      <c r="N2727" t="s">
        <v>5272</v>
      </c>
      <c r="O2727" t="s">
        <v>461</v>
      </c>
    </row>
    <row r="2728" spans="1:15" x14ac:dyDescent="0.3">
      <c r="A2728">
        <v>220985</v>
      </c>
      <c r="B2728">
        <v>105</v>
      </c>
      <c r="C2728" t="s">
        <v>557</v>
      </c>
      <c r="D2728" t="s">
        <v>2581</v>
      </c>
      <c r="E2728" t="s">
        <v>3220</v>
      </c>
      <c r="F2728" s="451">
        <v>46100</v>
      </c>
      <c r="G2728">
        <v>23113</v>
      </c>
      <c r="H2728" t="s">
        <v>5074</v>
      </c>
      <c r="I2728" t="s">
        <v>5191</v>
      </c>
      <c r="J2728">
        <v>1</v>
      </c>
      <c r="K2728" t="s">
        <v>4744</v>
      </c>
      <c r="L2728">
        <v>12.8</v>
      </c>
      <c r="M2728">
        <v>12.8</v>
      </c>
      <c r="N2728" t="s">
        <v>5272</v>
      </c>
      <c r="O2728" t="s">
        <v>461</v>
      </c>
    </row>
    <row r="2729" spans="1:15" x14ac:dyDescent="0.3">
      <c r="A2729">
        <v>220985</v>
      </c>
      <c r="B2729">
        <v>105</v>
      </c>
      <c r="C2729" t="s">
        <v>557</v>
      </c>
      <c r="D2729" t="s">
        <v>2581</v>
      </c>
      <c r="E2729" t="s">
        <v>3220</v>
      </c>
      <c r="F2729" s="451">
        <v>46100</v>
      </c>
      <c r="G2729">
        <v>23198</v>
      </c>
      <c r="H2729" t="s">
        <v>4962</v>
      </c>
      <c r="I2729" t="s">
        <v>5191</v>
      </c>
      <c r="J2729">
        <v>1</v>
      </c>
      <c r="K2729" t="s">
        <v>4744</v>
      </c>
      <c r="L2729">
        <v>14.5</v>
      </c>
      <c r="M2729">
        <v>14.5</v>
      </c>
      <c r="N2729" t="s">
        <v>5272</v>
      </c>
      <c r="O2729" t="s">
        <v>461</v>
      </c>
    </row>
    <row r="2730" spans="1:15" x14ac:dyDescent="0.3">
      <c r="A2730">
        <v>220985</v>
      </c>
      <c r="B2730">
        <v>105</v>
      </c>
      <c r="C2730" t="s">
        <v>557</v>
      </c>
      <c r="D2730" t="s">
        <v>2581</v>
      </c>
      <c r="E2730" t="s">
        <v>3220</v>
      </c>
      <c r="F2730" s="451">
        <v>46100</v>
      </c>
      <c r="G2730">
        <v>23236</v>
      </c>
      <c r="H2730" t="s">
        <v>5062</v>
      </c>
      <c r="I2730" t="s">
        <v>5191</v>
      </c>
      <c r="J2730">
        <v>2.8</v>
      </c>
      <c r="K2730" t="s">
        <v>4744</v>
      </c>
      <c r="L2730">
        <v>23.8</v>
      </c>
      <c r="M2730">
        <v>8.5</v>
      </c>
      <c r="N2730" t="s">
        <v>5272</v>
      </c>
      <c r="O2730" t="s">
        <v>461</v>
      </c>
    </row>
    <row r="2731" spans="1:15" x14ac:dyDescent="0.3">
      <c r="A2731">
        <v>220985</v>
      </c>
      <c r="B2731">
        <v>105</v>
      </c>
      <c r="C2731" t="s">
        <v>557</v>
      </c>
      <c r="D2731" t="s">
        <v>2581</v>
      </c>
      <c r="E2731" t="s">
        <v>3220</v>
      </c>
      <c r="F2731" s="451">
        <v>46100</v>
      </c>
      <c r="G2731">
        <v>23390</v>
      </c>
      <c r="H2731" t="s">
        <v>4873</v>
      </c>
      <c r="I2731" t="s">
        <v>5191</v>
      </c>
      <c r="J2731">
        <v>1</v>
      </c>
      <c r="K2731" t="s">
        <v>4744</v>
      </c>
      <c r="L2731">
        <v>8.5</v>
      </c>
      <c r="M2731">
        <v>8.5</v>
      </c>
      <c r="N2731" t="s">
        <v>5272</v>
      </c>
      <c r="O2731" t="s">
        <v>461</v>
      </c>
    </row>
    <row r="2732" spans="1:15" x14ac:dyDescent="0.3">
      <c r="A2732">
        <v>220985</v>
      </c>
      <c r="B2732">
        <v>105</v>
      </c>
      <c r="C2732" t="s">
        <v>557</v>
      </c>
      <c r="D2732" t="s">
        <v>2581</v>
      </c>
      <c r="E2732" t="s">
        <v>3220</v>
      </c>
      <c r="F2732" s="451">
        <v>46100</v>
      </c>
      <c r="G2732">
        <v>23095</v>
      </c>
      <c r="H2732" t="s">
        <v>4741</v>
      </c>
      <c r="I2732" t="s">
        <v>5191</v>
      </c>
      <c r="J2732">
        <v>100</v>
      </c>
      <c r="K2732" t="s">
        <v>4736</v>
      </c>
      <c r="L2732">
        <v>130</v>
      </c>
      <c r="M2732">
        <v>1.3</v>
      </c>
      <c r="N2732" t="s">
        <v>5272</v>
      </c>
      <c r="O2732" t="s">
        <v>461</v>
      </c>
    </row>
    <row r="2733" spans="1:15" x14ac:dyDescent="0.3">
      <c r="A2733">
        <v>220985</v>
      </c>
      <c r="B2733">
        <v>105</v>
      </c>
      <c r="C2733" t="s">
        <v>557</v>
      </c>
      <c r="D2733" t="s">
        <v>2581</v>
      </c>
      <c r="E2733" t="s">
        <v>3220</v>
      </c>
      <c r="F2733" s="451">
        <v>46100</v>
      </c>
      <c r="G2733">
        <v>23389</v>
      </c>
      <c r="H2733" t="s">
        <v>4960</v>
      </c>
      <c r="I2733" t="s">
        <v>5191</v>
      </c>
      <c r="J2733">
        <v>6</v>
      </c>
      <c r="K2733" t="s">
        <v>4744</v>
      </c>
      <c r="L2733">
        <v>36</v>
      </c>
      <c r="M2733">
        <v>6</v>
      </c>
      <c r="N2733" t="s">
        <v>5272</v>
      </c>
      <c r="O2733" t="s">
        <v>461</v>
      </c>
    </row>
    <row r="2734" spans="1:15" x14ac:dyDescent="0.3">
      <c r="A2734">
        <v>220984</v>
      </c>
      <c r="B2734">
        <v>105</v>
      </c>
      <c r="C2734" t="s">
        <v>557</v>
      </c>
      <c r="D2734" t="s">
        <v>2581</v>
      </c>
      <c r="E2734" t="s">
        <v>3221</v>
      </c>
      <c r="F2734" s="451">
        <v>46100</v>
      </c>
      <c r="G2734">
        <v>23785</v>
      </c>
      <c r="H2734" t="s">
        <v>4858</v>
      </c>
      <c r="I2734" t="s">
        <v>5191</v>
      </c>
      <c r="J2734">
        <v>6</v>
      </c>
      <c r="K2734" t="s">
        <v>4744</v>
      </c>
      <c r="L2734">
        <v>270</v>
      </c>
      <c r="M2734">
        <v>45</v>
      </c>
      <c r="N2734" t="s">
        <v>5272</v>
      </c>
      <c r="O2734" t="s">
        <v>461</v>
      </c>
    </row>
    <row r="2735" spans="1:15" x14ac:dyDescent="0.3">
      <c r="A2735">
        <v>220983</v>
      </c>
      <c r="B2735">
        <v>105</v>
      </c>
      <c r="C2735" t="s">
        <v>557</v>
      </c>
      <c r="D2735" t="s">
        <v>2581</v>
      </c>
      <c r="E2735" t="s">
        <v>3222</v>
      </c>
      <c r="F2735" s="451">
        <v>46104</v>
      </c>
      <c r="G2735">
        <v>19787</v>
      </c>
      <c r="H2735" t="s">
        <v>4793</v>
      </c>
      <c r="I2735" t="s">
        <v>5191</v>
      </c>
      <c r="J2735">
        <v>10</v>
      </c>
      <c r="K2735" t="s">
        <v>4744</v>
      </c>
      <c r="L2735">
        <v>55</v>
      </c>
      <c r="M2735">
        <v>5.5</v>
      </c>
      <c r="N2735" t="s">
        <v>5272</v>
      </c>
      <c r="O2735" t="s">
        <v>461</v>
      </c>
    </row>
    <row r="2736" spans="1:15" x14ac:dyDescent="0.3">
      <c r="A2736">
        <v>220983</v>
      </c>
      <c r="B2736">
        <v>105</v>
      </c>
      <c r="C2736" t="s">
        <v>557</v>
      </c>
      <c r="D2736" t="s">
        <v>2581</v>
      </c>
      <c r="E2736" t="s">
        <v>3222</v>
      </c>
      <c r="F2736" s="451">
        <v>46104</v>
      </c>
      <c r="G2736">
        <v>19623</v>
      </c>
      <c r="H2736" t="s">
        <v>4764</v>
      </c>
      <c r="I2736" t="s">
        <v>5191</v>
      </c>
      <c r="J2736">
        <v>10</v>
      </c>
      <c r="K2736" t="s">
        <v>4744</v>
      </c>
      <c r="L2736">
        <v>32.5</v>
      </c>
      <c r="M2736">
        <v>3.25</v>
      </c>
      <c r="N2736" t="s">
        <v>5272</v>
      </c>
      <c r="O2736" t="s">
        <v>461</v>
      </c>
    </row>
    <row r="2737" spans="1:15" x14ac:dyDescent="0.3">
      <c r="A2737">
        <v>220983</v>
      </c>
      <c r="B2737">
        <v>105</v>
      </c>
      <c r="C2737" t="s">
        <v>557</v>
      </c>
      <c r="D2737" t="s">
        <v>2581</v>
      </c>
      <c r="E2737" t="s">
        <v>3222</v>
      </c>
      <c r="F2737" s="451">
        <v>46104</v>
      </c>
      <c r="G2737">
        <v>19506</v>
      </c>
      <c r="H2737" t="s">
        <v>5122</v>
      </c>
      <c r="I2737" t="s">
        <v>5191</v>
      </c>
      <c r="J2737">
        <v>0.3</v>
      </c>
      <c r="K2737" t="s">
        <v>4744</v>
      </c>
      <c r="L2737">
        <v>16.5</v>
      </c>
      <c r="M2737">
        <v>55</v>
      </c>
      <c r="N2737" t="s">
        <v>5272</v>
      </c>
      <c r="O2737" t="s">
        <v>461</v>
      </c>
    </row>
    <row r="2738" spans="1:15" x14ac:dyDescent="0.3">
      <c r="A2738">
        <v>220983</v>
      </c>
      <c r="B2738">
        <v>105</v>
      </c>
      <c r="C2738" t="s">
        <v>557</v>
      </c>
      <c r="D2738" t="s">
        <v>2581</v>
      </c>
      <c r="E2738" t="s">
        <v>3222</v>
      </c>
      <c r="F2738" s="451">
        <v>46104</v>
      </c>
      <c r="G2738">
        <v>19505</v>
      </c>
      <c r="H2738" t="s">
        <v>4872</v>
      </c>
      <c r="I2738" t="s">
        <v>5191</v>
      </c>
      <c r="J2738">
        <v>5</v>
      </c>
      <c r="K2738" t="s">
        <v>4744</v>
      </c>
      <c r="L2738">
        <v>72.5</v>
      </c>
      <c r="M2738">
        <v>14.5</v>
      </c>
      <c r="N2738" t="s">
        <v>5272</v>
      </c>
      <c r="O2738" t="s">
        <v>461</v>
      </c>
    </row>
    <row r="2739" spans="1:15" x14ac:dyDescent="0.3">
      <c r="A2739">
        <v>220983</v>
      </c>
      <c r="B2739">
        <v>105</v>
      </c>
      <c r="C2739" t="s">
        <v>557</v>
      </c>
      <c r="D2739" t="s">
        <v>2581</v>
      </c>
      <c r="E2739" t="s">
        <v>3222</v>
      </c>
      <c r="F2739" s="451">
        <v>46104</v>
      </c>
      <c r="G2739">
        <v>19552</v>
      </c>
      <c r="H2739" t="s">
        <v>4860</v>
      </c>
      <c r="I2739" t="s">
        <v>5191</v>
      </c>
      <c r="J2739">
        <v>1</v>
      </c>
      <c r="K2739" t="s">
        <v>4744</v>
      </c>
      <c r="L2739">
        <v>5.3</v>
      </c>
      <c r="M2739">
        <v>5.3</v>
      </c>
      <c r="N2739" t="s">
        <v>5272</v>
      </c>
      <c r="O2739" t="s">
        <v>461</v>
      </c>
    </row>
    <row r="2740" spans="1:15" x14ac:dyDescent="0.3">
      <c r="A2740">
        <v>220983</v>
      </c>
      <c r="B2740">
        <v>105</v>
      </c>
      <c r="C2740" t="s">
        <v>557</v>
      </c>
      <c r="D2740" t="s">
        <v>2581</v>
      </c>
      <c r="E2740" t="s">
        <v>3222</v>
      </c>
      <c r="F2740" s="451">
        <v>46104</v>
      </c>
      <c r="G2740">
        <v>24509</v>
      </c>
      <c r="H2740" t="s">
        <v>4788</v>
      </c>
      <c r="I2740" t="s">
        <v>5191</v>
      </c>
      <c r="J2740">
        <v>10</v>
      </c>
      <c r="K2740" t="s">
        <v>4744</v>
      </c>
      <c r="L2740">
        <v>32.5</v>
      </c>
      <c r="M2740">
        <v>3.25</v>
      </c>
      <c r="N2740" t="s">
        <v>5272</v>
      </c>
      <c r="O2740" t="s">
        <v>461</v>
      </c>
    </row>
    <row r="2741" spans="1:15" x14ac:dyDescent="0.3">
      <c r="A2741">
        <v>220983</v>
      </c>
      <c r="B2741">
        <v>105</v>
      </c>
      <c r="C2741" t="s">
        <v>557</v>
      </c>
      <c r="D2741" t="s">
        <v>2581</v>
      </c>
      <c r="E2741" t="s">
        <v>3222</v>
      </c>
      <c r="F2741" s="451">
        <v>46104</v>
      </c>
      <c r="G2741">
        <v>19502</v>
      </c>
      <c r="H2741" t="s">
        <v>4871</v>
      </c>
      <c r="I2741" t="s">
        <v>5191</v>
      </c>
      <c r="J2741">
        <v>3</v>
      </c>
      <c r="K2741" t="s">
        <v>4744</v>
      </c>
      <c r="L2741">
        <v>66</v>
      </c>
      <c r="M2741">
        <v>22</v>
      </c>
      <c r="N2741" t="s">
        <v>5272</v>
      </c>
      <c r="O2741" t="s">
        <v>461</v>
      </c>
    </row>
    <row r="2742" spans="1:15" x14ac:dyDescent="0.3">
      <c r="A2742">
        <v>220983</v>
      </c>
      <c r="B2742">
        <v>105</v>
      </c>
      <c r="C2742" t="s">
        <v>557</v>
      </c>
      <c r="D2742" t="s">
        <v>2581</v>
      </c>
      <c r="E2742" t="s">
        <v>3222</v>
      </c>
      <c r="F2742" s="451">
        <v>46104</v>
      </c>
      <c r="G2742">
        <v>19476</v>
      </c>
      <c r="H2742" t="s">
        <v>5115</v>
      </c>
      <c r="I2742" t="s">
        <v>5191</v>
      </c>
      <c r="J2742">
        <v>0.3</v>
      </c>
      <c r="K2742" t="s">
        <v>4744</v>
      </c>
      <c r="L2742">
        <v>19.5</v>
      </c>
      <c r="M2742">
        <v>65</v>
      </c>
      <c r="N2742" t="s">
        <v>5272</v>
      </c>
      <c r="O2742" t="s">
        <v>461</v>
      </c>
    </row>
    <row r="2743" spans="1:15" x14ac:dyDescent="0.3">
      <c r="A2743">
        <v>220983</v>
      </c>
      <c r="B2743">
        <v>105</v>
      </c>
      <c r="C2743" t="s">
        <v>557</v>
      </c>
      <c r="D2743" t="s">
        <v>2581</v>
      </c>
      <c r="E2743" t="s">
        <v>3222</v>
      </c>
      <c r="F2743" s="451">
        <v>46104</v>
      </c>
      <c r="G2743">
        <v>19480</v>
      </c>
      <c r="H2743" t="s">
        <v>5119</v>
      </c>
      <c r="I2743" t="s">
        <v>5191</v>
      </c>
      <c r="J2743">
        <v>0.8</v>
      </c>
      <c r="K2743" t="s">
        <v>4744</v>
      </c>
      <c r="L2743">
        <v>15.2</v>
      </c>
      <c r="M2743">
        <v>19</v>
      </c>
      <c r="N2743" t="s">
        <v>5272</v>
      </c>
      <c r="O2743" t="s">
        <v>461</v>
      </c>
    </row>
    <row r="2744" spans="1:15" x14ac:dyDescent="0.3">
      <c r="A2744">
        <v>220983</v>
      </c>
      <c r="B2744">
        <v>105</v>
      </c>
      <c r="C2744" t="s">
        <v>557</v>
      </c>
      <c r="D2744" t="s">
        <v>2581</v>
      </c>
      <c r="E2744" t="s">
        <v>3222</v>
      </c>
      <c r="F2744" s="451">
        <v>46104</v>
      </c>
      <c r="G2744">
        <v>19558</v>
      </c>
      <c r="H2744" t="s">
        <v>4994</v>
      </c>
      <c r="I2744" t="s">
        <v>5191</v>
      </c>
      <c r="J2744">
        <v>1</v>
      </c>
      <c r="K2744" t="s">
        <v>4744</v>
      </c>
      <c r="L2744">
        <v>17</v>
      </c>
      <c r="M2744">
        <v>17</v>
      </c>
      <c r="N2744" t="s">
        <v>5272</v>
      </c>
      <c r="O2744" t="s">
        <v>461</v>
      </c>
    </row>
    <row r="2745" spans="1:15" x14ac:dyDescent="0.3">
      <c r="A2745">
        <v>220983</v>
      </c>
      <c r="B2745">
        <v>105</v>
      </c>
      <c r="C2745" t="s">
        <v>557</v>
      </c>
      <c r="D2745" t="s">
        <v>2581</v>
      </c>
      <c r="E2745" t="s">
        <v>3222</v>
      </c>
      <c r="F2745" s="451">
        <v>46104</v>
      </c>
      <c r="G2745">
        <v>19561</v>
      </c>
      <c r="H2745" t="s">
        <v>5365</v>
      </c>
      <c r="I2745" t="s">
        <v>5191</v>
      </c>
      <c r="J2745">
        <v>0.5</v>
      </c>
      <c r="K2745" t="s">
        <v>4744</v>
      </c>
      <c r="L2745">
        <v>4.25</v>
      </c>
      <c r="M2745">
        <v>8.5</v>
      </c>
      <c r="N2745" t="s">
        <v>5272</v>
      </c>
      <c r="O2745" t="s">
        <v>461</v>
      </c>
    </row>
    <row r="2746" spans="1:15" x14ac:dyDescent="0.3">
      <c r="A2746">
        <v>220983</v>
      </c>
      <c r="B2746">
        <v>105</v>
      </c>
      <c r="C2746" t="s">
        <v>557</v>
      </c>
      <c r="D2746" t="s">
        <v>2581</v>
      </c>
      <c r="E2746" t="s">
        <v>3222</v>
      </c>
      <c r="F2746" s="451">
        <v>46104</v>
      </c>
      <c r="G2746">
        <v>19647</v>
      </c>
      <c r="H2746" t="s">
        <v>5050</v>
      </c>
      <c r="I2746" t="s">
        <v>5191</v>
      </c>
      <c r="J2746">
        <v>0.3</v>
      </c>
      <c r="K2746" t="s">
        <v>4744</v>
      </c>
      <c r="L2746">
        <v>4.8</v>
      </c>
      <c r="M2746">
        <v>16</v>
      </c>
      <c r="N2746" t="s">
        <v>5272</v>
      </c>
      <c r="O2746" t="s">
        <v>461</v>
      </c>
    </row>
    <row r="2747" spans="1:15" x14ac:dyDescent="0.3">
      <c r="A2747">
        <v>220983</v>
      </c>
      <c r="B2747">
        <v>105</v>
      </c>
      <c r="C2747" t="s">
        <v>557</v>
      </c>
      <c r="D2747" t="s">
        <v>2581</v>
      </c>
      <c r="E2747" t="s">
        <v>3222</v>
      </c>
      <c r="F2747" s="451">
        <v>46104</v>
      </c>
      <c r="G2747">
        <v>19553</v>
      </c>
      <c r="H2747" t="s">
        <v>4868</v>
      </c>
      <c r="I2747" t="s">
        <v>5191</v>
      </c>
      <c r="J2747">
        <v>1.5</v>
      </c>
      <c r="K2747" t="s">
        <v>4744</v>
      </c>
      <c r="L2747">
        <v>7.2</v>
      </c>
      <c r="M2747">
        <v>4.8</v>
      </c>
      <c r="N2747" t="s">
        <v>5272</v>
      </c>
      <c r="O2747" t="s">
        <v>461</v>
      </c>
    </row>
    <row r="2748" spans="1:15" x14ac:dyDescent="0.3">
      <c r="A2748">
        <v>220983</v>
      </c>
      <c r="B2748">
        <v>105</v>
      </c>
      <c r="C2748" t="s">
        <v>557</v>
      </c>
      <c r="D2748" t="s">
        <v>2581</v>
      </c>
      <c r="E2748" t="s">
        <v>3222</v>
      </c>
      <c r="F2748" s="451">
        <v>46104</v>
      </c>
      <c r="G2748">
        <v>19740</v>
      </c>
      <c r="H2748" t="s">
        <v>4779</v>
      </c>
      <c r="I2748" t="s">
        <v>5191</v>
      </c>
      <c r="J2748">
        <v>10</v>
      </c>
      <c r="K2748" t="s">
        <v>4744</v>
      </c>
      <c r="L2748">
        <v>75</v>
      </c>
      <c r="M2748">
        <v>7.5</v>
      </c>
      <c r="N2748" t="s">
        <v>5272</v>
      </c>
      <c r="O2748" t="s">
        <v>461</v>
      </c>
    </row>
    <row r="2749" spans="1:15" x14ac:dyDescent="0.3">
      <c r="A2749">
        <v>220983</v>
      </c>
      <c r="B2749">
        <v>105</v>
      </c>
      <c r="C2749" t="s">
        <v>557</v>
      </c>
      <c r="D2749" t="s">
        <v>2581</v>
      </c>
      <c r="E2749" t="s">
        <v>3222</v>
      </c>
      <c r="F2749" s="451">
        <v>46104</v>
      </c>
      <c r="G2749">
        <v>19752</v>
      </c>
      <c r="H2749" t="s">
        <v>4807</v>
      </c>
      <c r="I2749" t="s">
        <v>5191</v>
      </c>
      <c r="J2749">
        <v>5</v>
      </c>
      <c r="K2749" t="s">
        <v>4744</v>
      </c>
      <c r="L2749">
        <v>40</v>
      </c>
      <c r="M2749">
        <v>8</v>
      </c>
      <c r="N2749" t="s">
        <v>5272</v>
      </c>
      <c r="O2749" t="s">
        <v>461</v>
      </c>
    </row>
    <row r="2750" spans="1:15" x14ac:dyDescent="0.3">
      <c r="A2750">
        <v>220983</v>
      </c>
      <c r="B2750">
        <v>105</v>
      </c>
      <c r="C2750" t="s">
        <v>557</v>
      </c>
      <c r="D2750" t="s">
        <v>2581</v>
      </c>
      <c r="E2750" t="s">
        <v>3222</v>
      </c>
      <c r="F2750" s="451">
        <v>46104</v>
      </c>
      <c r="G2750">
        <v>19617</v>
      </c>
      <c r="H2750" t="s">
        <v>5071</v>
      </c>
      <c r="I2750" t="s">
        <v>5191</v>
      </c>
      <c r="J2750">
        <v>0.5</v>
      </c>
      <c r="K2750" t="s">
        <v>4744</v>
      </c>
      <c r="L2750">
        <v>10</v>
      </c>
      <c r="M2750">
        <v>20</v>
      </c>
      <c r="N2750" t="s">
        <v>5272</v>
      </c>
      <c r="O2750" t="s">
        <v>461</v>
      </c>
    </row>
    <row r="2751" spans="1:15" x14ac:dyDescent="0.3">
      <c r="A2751">
        <v>220983</v>
      </c>
      <c r="B2751">
        <v>105</v>
      </c>
      <c r="C2751" t="s">
        <v>557</v>
      </c>
      <c r="D2751" t="s">
        <v>2581</v>
      </c>
      <c r="E2751" t="s">
        <v>3222</v>
      </c>
      <c r="F2751" s="451">
        <v>46104</v>
      </c>
      <c r="G2751">
        <v>23108</v>
      </c>
      <c r="H2751" t="s">
        <v>5117</v>
      </c>
      <c r="I2751" t="s">
        <v>5191</v>
      </c>
      <c r="J2751">
        <v>0.3</v>
      </c>
      <c r="K2751" t="s">
        <v>4744</v>
      </c>
      <c r="L2751">
        <v>18</v>
      </c>
      <c r="M2751">
        <v>60</v>
      </c>
      <c r="N2751" t="s">
        <v>5272</v>
      </c>
      <c r="O2751" t="s">
        <v>461</v>
      </c>
    </row>
    <row r="2752" spans="1:15" x14ac:dyDescent="0.3">
      <c r="A2752">
        <v>220983</v>
      </c>
      <c r="B2752">
        <v>105</v>
      </c>
      <c r="C2752" t="s">
        <v>557</v>
      </c>
      <c r="D2752" t="s">
        <v>2581</v>
      </c>
      <c r="E2752" t="s">
        <v>3222</v>
      </c>
      <c r="F2752" s="451">
        <v>46104</v>
      </c>
      <c r="G2752">
        <v>23113</v>
      </c>
      <c r="H2752" t="s">
        <v>5074</v>
      </c>
      <c r="I2752" t="s">
        <v>5191</v>
      </c>
      <c r="J2752">
        <v>1</v>
      </c>
      <c r="K2752" t="s">
        <v>4744</v>
      </c>
      <c r="L2752">
        <v>12.5</v>
      </c>
      <c r="M2752">
        <v>12.5</v>
      </c>
      <c r="N2752" t="s">
        <v>5272</v>
      </c>
      <c r="O2752" t="s">
        <v>461</v>
      </c>
    </row>
    <row r="2753" spans="1:15" x14ac:dyDescent="0.3">
      <c r="A2753">
        <v>220983</v>
      </c>
      <c r="B2753">
        <v>105</v>
      </c>
      <c r="C2753" t="s">
        <v>557</v>
      </c>
      <c r="D2753" t="s">
        <v>2581</v>
      </c>
      <c r="E2753" t="s">
        <v>3222</v>
      </c>
      <c r="F2753" s="451">
        <v>46104</v>
      </c>
      <c r="G2753">
        <v>23361</v>
      </c>
      <c r="H2753" t="s">
        <v>4754</v>
      </c>
      <c r="I2753" t="s">
        <v>5191</v>
      </c>
      <c r="J2753">
        <v>40</v>
      </c>
      <c r="K2753" t="s">
        <v>4744</v>
      </c>
      <c r="L2753">
        <v>138</v>
      </c>
      <c r="M2753">
        <v>3.45</v>
      </c>
      <c r="N2753" t="s">
        <v>5272</v>
      </c>
      <c r="O2753" t="s">
        <v>461</v>
      </c>
    </row>
    <row r="2754" spans="1:15" x14ac:dyDescent="0.3">
      <c r="A2754">
        <v>220983</v>
      </c>
      <c r="B2754">
        <v>105</v>
      </c>
      <c r="C2754" t="s">
        <v>557</v>
      </c>
      <c r="D2754" t="s">
        <v>2581</v>
      </c>
      <c r="E2754" t="s">
        <v>3222</v>
      </c>
      <c r="F2754" s="451">
        <v>46104</v>
      </c>
      <c r="G2754">
        <v>23095</v>
      </c>
      <c r="H2754" t="s">
        <v>4741</v>
      </c>
      <c r="I2754" t="s">
        <v>5191</v>
      </c>
      <c r="J2754">
        <v>80</v>
      </c>
      <c r="K2754" t="s">
        <v>4736</v>
      </c>
      <c r="L2754">
        <v>108</v>
      </c>
      <c r="M2754">
        <v>1.35</v>
      </c>
      <c r="N2754" t="s">
        <v>5272</v>
      </c>
      <c r="O2754" t="s">
        <v>461</v>
      </c>
    </row>
    <row r="2755" spans="1:15" x14ac:dyDescent="0.3">
      <c r="A2755">
        <v>220983</v>
      </c>
      <c r="B2755">
        <v>105</v>
      </c>
      <c r="C2755" t="s">
        <v>557</v>
      </c>
      <c r="D2755" t="s">
        <v>2581</v>
      </c>
      <c r="E2755" t="s">
        <v>3222</v>
      </c>
      <c r="F2755" s="451">
        <v>46104</v>
      </c>
      <c r="G2755">
        <v>24037</v>
      </c>
      <c r="H2755" t="s">
        <v>5233</v>
      </c>
      <c r="I2755" t="s">
        <v>5191</v>
      </c>
      <c r="J2755">
        <v>1</v>
      </c>
      <c r="K2755" t="s">
        <v>4744</v>
      </c>
      <c r="L2755">
        <v>18.5</v>
      </c>
      <c r="M2755">
        <v>18.5</v>
      </c>
      <c r="N2755" t="s">
        <v>5272</v>
      </c>
      <c r="O2755" t="s">
        <v>461</v>
      </c>
    </row>
    <row r="2756" spans="1:15" x14ac:dyDescent="0.3">
      <c r="A2756">
        <v>220982</v>
      </c>
      <c r="B2756">
        <v>105</v>
      </c>
      <c r="C2756" t="s">
        <v>557</v>
      </c>
      <c r="D2756" t="s">
        <v>2581</v>
      </c>
      <c r="E2756" t="s">
        <v>3223</v>
      </c>
      <c r="F2756" s="451">
        <v>46105</v>
      </c>
      <c r="G2756">
        <v>19634</v>
      </c>
      <c r="H2756" t="s">
        <v>4792</v>
      </c>
      <c r="I2756" t="s">
        <v>5191</v>
      </c>
      <c r="J2756">
        <v>5</v>
      </c>
      <c r="K2756" t="s">
        <v>4744</v>
      </c>
      <c r="L2756">
        <v>42.5</v>
      </c>
      <c r="M2756">
        <v>8.5</v>
      </c>
      <c r="N2756" t="s">
        <v>5272</v>
      </c>
      <c r="O2756" t="s">
        <v>461</v>
      </c>
    </row>
    <row r="2757" spans="1:15" x14ac:dyDescent="0.3">
      <c r="A2757">
        <v>220982</v>
      </c>
      <c r="B2757">
        <v>105</v>
      </c>
      <c r="C2757" t="s">
        <v>557</v>
      </c>
      <c r="D2757" t="s">
        <v>2581</v>
      </c>
      <c r="E2757" t="s">
        <v>3223</v>
      </c>
      <c r="F2757" s="451">
        <v>46105</v>
      </c>
      <c r="G2757">
        <v>19505</v>
      </c>
      <c r="H2757" t="s">
        <v>4872</v>
      </c>
      <c r="I2757" t="s">
        <v>5191</v>
      </c>
      <c r="J2757">
        <v>5</v>
      </c>
      <c r="K2757" t="s">
        <v>4744</v>
      </c>
      <c r="L2757">
        <v>60</v>
      </c>
      <c r="M2757">
        <v>12</v>
      </c>
      <c r="N2757" t="s">
        <v>5272</v>
      </c>
      <c r="O2757" t="s">
        <v>461</v>
      </c>
    </row>
    <row r="2758" spans="1:15" x14ac:dyDescent="0.3">
      <c r="A2758">
        <v>220982</v>
      </c>
      <c r="B2758">
        <v>105</v>
      </c>
      <c r="C2758" t="s">
        <v>557</v>
      </c>
      <c r="D2758" t="s">
        <v>2581</v>
      </c>
      <c r="E2758" t="s">
        <v>3223</v>
      </c>
      <c r="F2758" s="451">
        <v>46105</v>
      </c>
      <c r="G2758">
        <v>19480</v>
      </c>
      <c r="H2758" t="s">
        <v>5119</v>
      </c>
      <c r="I2758" t="s">
        <v>5191</v>
      </c>
      <c r="J2758">
        <v>0.5</v>
      </c>
      <c r="K2758" t="s">
        <v>4744</v>
      </c>
      <c r="L2758">
        <v>8.5</v>
      </c>
      <c r="M2758">
        <v>17</v>
      </c>
      <c r="N2758" t="s">
        <v>5272</v>
      </c>
      <c r="O2758" t="s">
        <v>461</v>
      </c>
    </row>
    <row r="2759" spans="1:15" x14ac:dyDescent="0.3">
      <c r="A2759">
        <v>220982</v>
      </c>
      <c r="B2759">
        <v>105</v>
      </c>
      <c r="C2759" t="s">
        <v>557</v>
      </c>
      <c r="D2759" t="s">
        <v>2581</v>
      </c>
      <c r="E2759" t="s">
        <v>3223</v>
      </c>
      <c r="F2759" s="451">
        <v>46105</v>
      </c>
      <c r="G2759">
        <v>19502</v>
      </c>
      <c r="H2759" t="s">
        <v>4871</v>
      </c>
      <c r="I2759" t="s">
        <v>5191</v>
      </c>
      <c r="J2759">
        <v>3</v>
      </c>
      <c r="K2759" t="s">
        <v>4744</v>
      </c>
      <c r="L2759">
        <v>60</v>
      </c>
      <c r="M2759">
        <v>20</v>
      </c>
      <c r="N2759" t="s">
        <v>5272</v>
      </c>
      <c r="O2759" t="s">
        <v>461</v>
      </c>
    </row>
    <row r="2760" spans="1:15" x14ac:dyDescent="0.3">
      <c r="A2760">
        <v>220982</v>
      </c>
      <c r="B2760">
        <v>105</v>
      </c>
      <c r="C2760" t="s">
        <v>557</v>
      </c>
      <c r="D2760" t="s">
        <v>2581</v>
      </c>
      <c r="E2760" t="s">
        <v>3223</v>
      </c>
      <c r="F2760" s="451">
        <v>46105</v>
      </c>
      <c r="G2760">
        <v>19752</v>
      </c>
      <c r="H2760" t="s">
        <v>4807</v>
      </c>
      <c r="I2760" t="s">
        <v>5191</v>
      </c>
      <c r="J2760">
        <v>3</v>
      </c>
      <c r="K2760" t="s">
        <v>4744</v>
      </c>
      <c r="L2760">
        <v>24</v>
      </c>
      <c r="M2760">
        <v>8</v>
      </c>
      <c r="N2760" t="s">
        <v>5272</v>
      </c>
      <c r="O2760" t="s">
        <v>461</v>
      </c>
    </row>
    <row r="2761" spans="1:15" x14ac:dyDescent="0.3">
      <c r="A2761">
        <v>220982</v>
      </c>
      <c r="B2761">
        <v>105</v>
      </c>
      <c r="C2761" t="s">
        <v>557</v>
      </c>
      <c r="D2761" t="s">
        <v>2581</v>
      </c>
      <c r="E2761" t="s">
        <v>3223</v>
      </c>
      <c r="F2761" s="451">
        <v>46105</v>
      </c>
      <c r="G2761">
        <v>23113</v>
      </c>
      <c r="H2761" t="s">
        <v>5074</v>
      </c>
      <c r="I2761" t="s">
        <v>5191</v>
      </c>
      <c r="J2761">
        <v>1</v>
      </c>
      <c r="K2761" t="s">
        <v>4744</v>
      </c>
      <c r="L2761">
        <v>12</v>
      </c>
      <c r="M2761">
        <v>12</v>
      </c>
      <c r="N2761" t="s">
        <v>5272</v>
      </c>
      <c r="O2761" t="s">
        <v>461</v>
      </c>
    </row>
    <row r="2762" spans="1:15" x14ac:dyDescent="0.3">
      <c r="A2762">
        <v>220982</v>
      </c>
      <c r="B2762">
        <v>105</v>
      </c>
      <c r="C2762" t="s">
        <v>557</v>
      </c>
      <c r="D2762" t="s">
        <v>2581</v>
      </c>
      <c r="E2762" t="s">
        <v>3223</v>
      </c>
      <c r="F2762" s="451">
        <v>46105</v>
      </c>
      <c r="G2762">
        <v>23108</v>
      </c>
      <c r="H2762" t="s">
        <v>5117</v>
      </c>
      <c r="I2762" t="s">
        <v>5191</v>
      </c>
      <c r="J2762">
        <v>0.2</v>
      </c>
      <c r="K2762" t="s">
        <v>4744</v>
      </c>
      <c r="L2762">
        <v>13.2</v>
      </c>
      <c r="M2762">
        <v>66</v>
      </c>
      <c r="N2762" t="s">
        <v>5272</v>
      </c>
      <c r="O2762" t="s">
        <v>461</v>
      </c>
    </row>
    <row r="2763" spans="1:15" x14ac:dyDescent="0.3">
      <c r="A2763">
        <v>220982</v>
      </c>
      <c r="B2763">
        <v>105</v>
      </c>
      <c r="C2763" t="s">
        <v>557</v>
      </c>
      <c r="D2763" t="s">
        <v>2581</v>
      </c>
      <c r="E2763" t="s">
        <v>3223</v>
      </c>
      <c r="F2763" s="451">
        <v>46105</v>
      </c>
      <c r="G2763">
        <v>23359</v>
      </c>
      <c r="H2763" t="s">
        <v>4767</v>
      </c>
      <c r="I2763" t="s">
        <v>5191</v>
      </c>
      <c r="J2763">
        <v>10</v>
      </c>
      <c r="K2763" t="s">
        <v>4744</v>
      </c>
      <c r="L2763">
        <v>30</v>
      </c>
      <c r="M2763">
        <v>3</v>
      </c>
      <c r="N2763" t="s">
        <v>5272</v>
      </c>
      <c r="O2763" t="s">
        <v>461</v>
      </c>
    </row>
    <row r="2764" spans="1:15" x14ac:dyDescent="0.3">
      <c r="A2764">
        <v>220982</v>
      </c>
      <c r="B2764">
        <v>105</v>
      </c>
      <c r="C2764" t="s">
        <v>557</v>
      </c>
      <c r="D2764" t="s">
        <v>2581</v>
      </c>
      <c r="E2764" t="s">
        <v>3223</v>
      </c>
      <c r="F2764" s="451">
        <v>46105</v>
      </c>
      <c r="G2764">
        <v>23390</v>
      </c>
      <c r="H2764" t="s">
        <v>4873</v>
      </c>
      <c r="I2764" t="s">
        <v>5191</v>
      </c>
      <c r="J2764">
        <v>1</v>
      </c>
      <c r="K2764" t="s">
        <v>4744</v>
      </c>
      <c r="L2764">
        <v>9</v>
      </c>
      <c r="M2764">
        <v>9</v>
      </c>
      <c r="N2764" t="s">
        <v>5272</v>
      </c>
      <c r="O2764" t="s">
        <v>461</v>
      </c>
    </row>
    <row r="2765" spans="1:15" x14ac:dyDescent="0.3">
      <c r="A2765">
        <v>220982</v>
      </c>
      <c r="B2765">
        <v>105</v>
      </c>
      <c r="C2765" t="s">
        <v>557</v>
      </c>
      <c r="D2765" t="s">
        <v>2581</v>
      </c>
      <c r="E2765" t="s">
        <v>3223</v>
      </c>
      <c r="F2765" s="451">
        <v>46105</v>
      </c>
      <c r="G2765">
        <v>23095</v>
      </c>
      <c r="H2765" t="s">
        <v>4741</v>
      </c>
      <c r="I2765" t="s">
        <v>5191</v>
      </c>
      <c r="J2765">
        <v>50</v>
      </c>
      <c r="K2765" t="s">
        <v>4736</v>
      </c>
      <c r="L2765">
        <v>67.5</v>
      </c>
      <c r="M2765">
        <v>1.35</v>
      </c>
      <c r="N2765" t="s">
        <v>5272</v>
      </c>
      <c r="O2765" t="s">
        <v>461</v>
      </c>
    </row>
    <row r="2766" spans="1:15" x14ac:dyDescent="0.3">
      <c r="A2766">
        <v>220982</v>
      </c>
      <c r="B2766">
        <v>105</v>
      </c>
      <c r="C2766" t="s">
        <v>557</v>
      </c>
      <c r="D2766" t="s">
        <v>2581</v>
      </c>
      <c r="E2766" t="s">
        <v>3223</v>
      </c>
      <c r="F2766" s="451">
        <v>46105</v>
      </c>
      <c r="G2766">
        <v>24037</v>
      </c>
      <c r="H2766" t="s">
        <v>5233</v>
      </c>
      <c r="I2766" t="s">
        <v>5191</v>
      </c>
      <c r="J2766">
        <v>1</v>
      </c>
      <c r="K2766" t="s">
        <v>4744</v>
      </c>
      <c r="L2766">
        <v>18.5</v>
      </c>
      <c r="M2766">
        <v>18.5</v>
      </c>
      <c r="N2766" t="s">
        <v>5272</v>
      </c>
      <c r="O2766" t="s">
        <v>461</v>
      </c>
    </row>
    <row r="2767" spans="1:15" x14ac:dyDescent="0.3">
      <c r="A2767">
        <v>220981</v>
      </c>
      <c r="B2767">
        <v>105</v>
      </c>
      <c r="C2767" t="s">
        <v>557</v>
      </c>
      <c r="D2767" t="s">
        <v>2581</v>
      </c>
      <c r="E2767" t="s">
        <v>3224</v>
      </c>
      <c r="F2767" s="451">
        <v>46106</v>
      </c>
      <c r="G2767">
        <v>19787</v>
      </c>
      <c r="H2767" t="s">
        <v>4793</v>
      </c>
      <c r="I2767" t="s">
        <v>5191</v>
      </c>
      <c r="J2767">
        <v>6</v>
      </c>
      <c r="K2767" t="s">
        <v>4744</v>
      </c>
      <c r="L2767">
        <v>32.1</v>
      </c>
      <c r="M2767">
        <v>5.35</v>
      </c>
      <c r="N2767" t="s">
        <v>5272</v>
      </c>
      <c r="O2767" t="s">
        <v>461</v>
      </c>
    </row>
    <row r="2768" spans="1:15" x14ac:dyDescent="0.3">
      <c r="A2768">
        <v>220981</v>
      </c>
      <c r="B2768">
        <v>105</v>
      </c>
      <c r="C2768" t="s">
        <v>557</v>
      </c>
      <c r="D2768" t="s">
        <v>2581</v>
      </c>
      <c r="E2768" t="s">
        <v>3224</v>
      </c>
      <c r="F2768" s="451">
        <v>46106</v>
      </c>
      <c r="G2768">
        <v>19634</v>
      </c>
      <c r="H2768" t="s">
        <v>4792</v>
      </c>
      <c r="I2768" t="s">
        <v>5191</v>
      </c>
      <c r="J2768">
        <v>4</v>
      </c>
      <c r="K2768" t="s">
        <v>4744</v>
      </c>
      <c r="L2768">
        <v>34</v>
      </c>
      <c r="M2768">
        <v>8.5</v>
      </c>
      <c r="N2768" t="s">
        <v>5272</v>
      </c>
      <c r="O2768" t="s">
        <v>461</v>
      </c>
    </row>
    <row r="2769" spans="1:15" x14ac:dyDescent="0.3">
      <c r="A2769">
        <v>220981</v>
      </c>
      <c r="B2769">
        <v>105</v>
      </c>
      <c r="C2769" t="s">
        <v>557</v>
      </c>
      <c r="D2769" t="s">
        <v>2581</v>
      </c>
      <c r="E2769" t="s">
        <v>3224</v>
      </c>
      <c r="F2769" s="451">
        <v>46106</v>
      </c>
      <c r="G2769">
        <v>19623</v>
      </c>
      <c r="H2769" t="s">
        <v>4764</v>
      </c>
      <c r="I2769" t="s">
        <v>5191</v>
      </c>
      <c r="J2769">
        <v>8</v>
      </c>
      <c r="K2769" t="s">
        <v>4744</v>
      </c>
      <c r="L2769">
        <v>30.8</v>
      </c>
      <c r="M2769">
        <v>3.85</v>
      </c>
      <c r="N2769" t="s">
        <v>5272</v>
      </c>
      <c r="O2769" t="s">
        <v>461</v>
      </c>
    </row>
    <row r="2770" spans="1:15" x14ac:dyDescent="0.3">
      <c r="A2770">
        <v>220981</v>
      </c>
      <c r="B2770">
        <v>105</v>
      </c>
      <c r="C2770" t="s">
        <v>557</v>
      </c>
      <c r="D2770" t="s">
        <v>2581</v>
      </c>
      <c r="E2770" t="s">
        <v>3224</v>
      </c>
      <c r="F2770" s="451">
        <v>46106</v>
      </c>
      <c r="G2770">
        <v>19505</v>
      </c>
      <c r="H2770" t="s">
        <v>4872</v>
      </c>
      <c r="I2770" t="s">
        <v>5191</v>
      </c>
      <c r="J2770">
        <v>5</v>
      </c>
      <c r="K2770" t="s">
        <v>4744</v>
      </c>
      <c r="L2770">
        <v>55</v>
      </c>
      <c r="M2770">
        <v>11</v>
      </c>
      <c r="N2770" t="s">
        <v>5272</v>
      </c>
      <c r="O2770" t="s">
        <v>461</v>
      </c>
    </row>
    <row r="2771" spans="1:15" x14ac:dyDescent="0.3">
      <c r="A2771">
        <v>220981</v>
      </c>
      <c r="B2771">
        <v>105</v>
      </c>
      <c r="C2771" t="s">
        <v>557</v>
      </c>
      <c r="D2771" t="s">
        <v>2581</v>
      </c>
      <c r="E2771" t="s">
        <v>3224</v>
      </c>
      <c r="F2771" s="451">
        <v>46106</v>
      </c>
      <c r="G2771">
        <v>19488</v>
      </c>
      <c r="H2771" t="s">
        <v>5107</v>
      </c>
      <c r="I2771" t="s">
        <v>5191</v>
      </c>
      <c r="J2771">
        <v>0.3</v>
      </c>
      <c r="K2771" t="s">
        <v>4744</v>
      </c>
      <c r="L2771">
        <v>3.75</v>
      </c>
      <c r="M2771">
        <v>12.5</v>
      </c>
      <c r="N2771" t="s">
        <v>5272</v>
      </c>
      <c r="O2771" t="s">
        <v>461</v>
      </c>
    </row>
    <row r="2772" spans="1:15" x14ac:dyDescent="0.3">
      <c r="A2772">
        <v>220981</v>
      </c>
      <c r="B2772">
        <v>105</v>
      </c>
      <c r="C2772" t="s">
        <v>557</v>
      </c>
      <c r="D2772" t="s">
        <v>2581</v>
      </c>
      <c r="E2772" t="s">
        <v>3224</v>
      </c>
      <c r="F2772" s="451">
        <v>46106</v>
      </c>
      <c r="G2772">
        <v>24509</v>
      </c>
      <c r="H2772" t="s">
        <v>4788</v>
      </c>
      <c r="I2772" t="s">
        <v>5191</v>
      </c>
      <c r="J2772">
        <v>8</v>
      </c>
      <c r="K2772" t="s">
        <v>4744</v>
      </c>
      <c r="L2772">
        <v>24</v>
      </c>
      <c r="M2772">
        <v>3</v>
      </c>
      <c r="N2772" t="s">
        <v>5272</v>
      </c>
      <c r="O2772" t="s">
        <v>461</v>
      </c>
    </row>
    <row r="2773" spans="1:15" x14ac:dyDescent="0.3">
      <c r="A2773">
        <v>220981</v>
      </c>
      <c r="B2773">
        <v>105</v>
      </c>
      <c r="C2773" t="s">
        <v>557</v>
      </c>
      <c r="D2773" t="s">
        <v>2581</v>
      </c>
      <c r="E2773" t="s">
        <v>3224</v>
      </c>
      <c r="F2773" s="451">
        <v>46106</v>
      </c>
      <c r="G2773">
        <v>19507</v>
      </c>
      <c r="H2773" t="s">
        <v>4853</v>
      </c>
      <c r="I2773" t="s">
        <v>5191</v>
      </c>
      <c r="J2773">
        <v>1</v>
      </c>
      <c r="K2773" t="s">
        <v>4744</v>
      </c>
      <c r="L2773">
        <v>15</v>
      </c>
      <c r="M2773">
        <v>15</v>
      </c>
      <c r="N2773" t="s">
        <v>5272</v>
      </c>
      <c r="O2773" t="s">
        <v>461</v>
      </c>
    </row>
    <row r="2774" spans="1:15" x14ac:dyDescent="0.3">
      <c r="A2774">
        <v>220981</v>
      </c>
      <c r="B2774">
        <v>105</v>
      </c>
      <c r="C2774" t="s">
        <v>557</v>
      </c>
      <c r="D2774" t="s">
        <v>2581</v>
      </c>
      <c r="E2774" t="s">
        <v>3224</v>
      </c>
      <c r="F2774" s="451">
        <v>46106</v>
      </c>
      <c r="G2774">
        <v>19558</v>
      </c>
      <c r="H2774" t="s">
        <v>4994</v>
      </c>
      <c r="I2774" t="s">
        <v>5191</v>
      </c>
      <c r="J2774">
        <v>1.5</v>
      </c>
      <c r="K2774" t="s">
        <v>4744</v>
      </c>
      <c r="L2774">
        <v>20.25</v>
      </c>
      <c r="M2774">
        <v>13.5</v>
      </c>
      <c r="N2774" t="s">
        <v>5272</v>
      </c>
      <c r="O2774" t="s">
        <v>461</v>
      </c>
    </row>
    <row r="2775" spans="1:15" x14ac:dyDescent="0.3">
      <c r="A2775">
        <v>220981</v>
      </c>
      <c r="B2775">
        <v>105</v>
      </c>
      <c r="C2775" t="s">
        <v>557</v>
      </c>
      <c r="D2775" t="s">
        <v>2581</v>
      </c>
      <c r="E2775" t="s">
        <v>3224</v>
      </c>
      <c r="F2775" s="451">
        <v>46106</v>
      </c>
      <c r="G2775">
        <v>19492</v>
      </c>
      <c r="H2775" t="s">
        <v>4937</v>
      </c>
      <c r="I2775" t="s">
        <v>5191</v>
      </c>
      <c r="J2775">
        <v>2</v>
      </c>
      <c r="K2775" t="s">
        <v>4744</v>
      </c>
      <c r="L2775">
        <v>36</v>
      </c>
      <c r="M2775">
        <v>18</v>
      </c>
      <c r="N2775" t="s">
        <v>5272</v>
      </c>
      <c r="O2775" t="s">
        <v>461</v>
      </c>
    </row>
    <row r="2776" spans="1:15" x14ac:dyDescent="0.3">
      <c r="A2776">
        <v>220981</v>
      </c>
      <c r="B2776">
        <v>105</v>
      </c>
      <c r="C2776" t="s">
        <v>557</v>
      </c>
      <c r="D2776" t="s">
        <v>2581</v>
      </c>
      <c r="E2776" t="s">
        <v>3224</v>
      </c>
      <c r="F2776" s="451">
        <v>46106</v>
      </c>
      <c r="G2776">
        <v>19617</v>
      </c>
      <c r="H2776" t="s">
        <v>5071</v>
      </c>
      <c r="I2776" t="s">
        <v>5191</v>
      </c>
      <c r="J2776">
        <v>0.4</v>
      </c>
      <c r="K2776" t="s">
        <v>4744</v>
      </c>
      <c r="L2776">
        <v>6</v>
      </c>
      <c r="M2776">
        <v>15</v>
      </c>
      <c r="N2776" t="s">
        <v>5272</v>
      </c>
      <c r="O2776" t="s">
        <v>461</v>
      </c>
    </row>
    <row r="2777" spans="1:15" x14ac:dyDescent="0.3">
      <c r="A2777">
        <v>220981</v>
      </c>
      <c r="B2777">
        <v>105</v>
      </c>
      <c r="C2777" t="s">
        <v>557</v>
      </c>
      <c r="D2777" t="s">
        <v>2581</v>
      </c>
      <c r="E2777" t="s">
        <v>3224</v>
      </c>
      <c r="F2777" s="451">
        <v>46106</v>
      </c>
      <c r="G2777">
        <v>23359</v>
      </c>
      <c r="H2777" t="s">
        <v>4767</v>
      </c>
      <c r="I2777" t="s">
        <v>5191</v>
      </c>
      <c r="J2777">
        <v>8</v>
      </c>
      <c r="K2777" t="s">
        <v>4744</v>
      </c>
      <c r="L2777">
        <v>20</v>
      </c>
      <c r="M2777">
        <v>2.5</v>
      </c>
      <c r="N2777" t="s">
        <v>5272</v>
      </c>
      <c r="O2777" t="s">
        <v>461</v>
      </c>
    </row>
    <row r="2778" spans="1:15" x14ac:dyDescent="0.3">
      <c r="A2778">
        <v>220981</v>
      </c>
      <c r="B2778">
        <v>105</v>
      </c>
      <c r="C2778" t="s">
        <v>557</v>
      </c>
      <c r="D2778" t="s">
        <v>2581</v>
      </c>
      <c r="E2778" t="s">
        <v>3224</v>
      </c>
      <c r="F2778" s="451">
        <v>46106</v>
      </c>
      <c r="G2778">
        <v>23095</v>
      </c>
      <c r="H2778" t="s">
        <v>4741</v>
      </c>
      <c r="I2778" t="s">
        <v>5191</v>
      </c>
      <c r="J2778">
        <v>40</v>
      </c>
      <c r="K2778" t="s">
        <v>4736</v>
      </c>
      <c r="L2778">
        <v>54</v>
      </c>
      <c r="M2778">
        <v>1.35</v>
      </c>
      <c r="N2778" t="s">
        <v>5272</v>
      </c>
      <c r="O2778" t="s">
        <v>461</v>
      </c>
    </row>
    <row r="2779" spans="1:15" x14ac:dyDescent="0.3">
      <c r="A2779">
        <v>220981</v>
      </c>
      <c r="B2779">
        <v>105</v>
      </c>
      <c r="C2779" t="s">
        <v>557</v>
      </c>
      <c r="D2779" t="s">
        <v>2581</v>
      </c>
      <c r="E2779" t="s">
        <v>3224</v>
      </c>
      <c r="F2779" s="451">
        <v>46106</v>
      </c>
      <c r="G2779">
        <v>24037</v>
      </c>
      <c r="H2779" t="s">
        <v>5233</v>
      </c>
      <c r="I2779" t="s">
        <v>5191</v>
      </c>
      <c r="J2779">
        <v>4</v>
      </c>
      <c r="K2779" t="s">
        <v>4744</v>
      </c>
      <c r="L2779">
        <v>73.2</v>
      </c>
      <c r="M2779">
        <v>18.3</v>
      </c>
      <c r="N2779" t="s">
        <v>5272</v>
      </c>
      <c r="O2779" t="s">
        <v>461</v>
      </c>
    </row>
    <row r="2780" spans="1:15" x14ac:dyDescent="0.3">
      <c r="A2780">
        <v>220980</v>
      </c>
      <c r="B2780">
        <v>105</v>
      </c>
      <c r="C2780" t="s">
        <v>557</v>
      </c>
      <c r="D2780" t="s">
        <v>2581</v>
      </c>
      <c r="E2780" t="s">
        <v>3225</v>
      </c>
      <c r="F2780" s="451">
        <v>46107</v>
      </c>
      <c r="G2780">
        <v>19634</v>
      </c>
      <c r="H2780" t="s">
        <v>4792</v>
      </c>
      <c r="I2780" t="s">
        <v>5191</v>
      </c>
      <c r="J2780">
        <v>5.2</v>
      </c>
      <c r="K2780" t="s">
        <v>4744</v>
      </c>
      <c r="L2780">
        <v>44.2</v>
      </c>
      <c r="M2780">
        <v>8.5</v>
      </c>
      <c r="N2780" t="s">
        <v>5272</v>
      </c>
      <c r="O2780" t="s">
        <v>461</v>
      </c>
    </row>
    <row r="2781" spans="1:15" x14ac:dyDescent="0.3">
      <c r="A2781">
        <v>220980</v>
      </c>
      <c r="B2781">
        <v>105</v>
      </c>
      <c r="C2781" t="s">
        <v>557</v>
      </c>
      <c r="D2781" t="s">
        <v>2581</v>
      </c>
      <c r="E2781" t="s">
        <v>3225</v>
      </c>
      <c r="F2781" s="451">
        <v>46107</v>
      </c>
      <c r="G2781">
        <v>19787</v>
      </c>
      <c r="H2781" t="s">
        <v>4793</v>
      </c>
      <c r="I2781" t="s">
        <v>5191</v>
      </c>
      <c r="J2781">
        <v>8</v>
      </c>
      <c r="K2781" t="s">
        <v>4744</v>
      </c>
      <c r="L2781">
        <v>42.8</v>
      </c>
      <c r="M2781">
        <v>5.35</v>
      </c>
      <c r="N2781" t="s">
        <v>5272</v>
      </c>
      <c r="O2781" t="s">
        <v>461</v>
      </c>
    </row>
    <row r="2782" spans="1:15" x14ac:dyDescent="0.3">
      <c r="A2782">
        <v>220980</v>
      </c>
      <c r="B2782">
        <v>105</v>
      </c>
      <c r="C2782" t="s">
        <v>557</v>
      </c>
      <c r="D2782" t="s">
        <v>2581</v>
      </c>
      <c r="E2782" t="s">
        <v>3225</v>
      </c>
      <c r="F2782" s="451">
        <v>46107</v>
      </c>
      <c r="G2782">
        <v>19623</v>
      </c>
      <c r="H2782" t="s">
        <v>4764</v>
      </c>
      <c r="I2782" t="s">
        <v>5191</v>
      </c>
      <c r="J2782">
        <v>2</v>
      </c>
      <c r="K2782" t="s">
        <v>4744</v>
      </c>
      <c r="L2782">
        <v>7.7</v>
      </c>
      <c r="M2782">
        <v>3.85</v>
      </c>
      <c r="N2782" t="s">
        <v>5272</v>
      </c>
      <c r="O2782" t="s">
        <v>461</v>
      </c>
    </row>
    <row r="2783" spans="1:15" x14ac:dyDescent="0.3">
      <c r="A2783">
        <v>220980</v>
      </c>
      <c r="B2783">
        <v>105</v>
      </c>
      <c r="C2783" t="s">
        <v>557</v>
      </c>
      <c r="D2783" t="s">
        <v>2581</v>
      </c>
      <c r="E2783" t="s">
        <v>3225</v>
      </c>
      <c r="F2783" s="451">
        <v>46107</v>
      </c>
      <c r="G2783">
        <v>19506</v>
      </c>
      <c r="H2783" t="s">
        <v>5122</v>
      </c>
      <c r="I2783" t="s">
        <v>5191</v>
      </c>
      <c r="J2783">
        <v>0.3</v>
      </c>
      <c r="K2783" t="s">
        <v>4744</v>
      </c>
      <c r="L2783">
        <v>15</v>
      </c>
      <c r="M2783">
        <v>50</v>
      </c>
      <c r="N2783" t="s">
        <v>5272</v>
      </c>
      <c r="O2783" t="s">
        <v>461</v>
      </c>
    </row>
    <row r="2784" spans="1:15" x14ac:dyDescent="0.3">
      <c r="A2784">
        <v>220980</v>
      </c>
      <c r="B2784">
        <v>105</v>
      </c>
      <c r="C2784" t="s">
        <v>557</v>
      </c>
      <c r="D2784" t="s">
        <v>2581</v>
      </c>
      <c r="E2784" t="s">
        <v>3225</v>
      </c>
      <c r="F2784" s="451">
        <v>46107</v>
      </c>
      <c r="G2784">
        <v>19505</v>
      </c>
      <c r="H2784" t="s">
        <v>4872</v>
      </c>
      <c r="I2784" t="s">
        <v>5191</v>
      </c>
      <c r="J2784">
        <v>7</v>
      </c>
      <c r="K2784" t="s">
        <v>4744</v>
      </c>
      <c r="L2784">
        <v>77</v>
      </c>
      <c r="M2784">
        <v>11</v>
      </c>
      <c r="N2784" t="s">
        <v>5272</v>
      </c>
      <c r="O2784" t="s">
        <v>461</v>
      </c>
    </row>
    <row r="2785" spans="1:15" x14ac:dyDescent="0.3">
      <c r="A2785">
        <v>220980</v>
      </c>
      <c r="B2785">
        <v>105</v>
      </c>
      <c r="C2785" t="s">
        <v>557</v>
      </c>
      <c r="D2785" t="s">
        <v>2581</v>
      </c>
      <c r="E2785" t="s">
        <v>3225</v>
      </c>
      <c r="F2785" s="451">
        <v>46107</v>
      </c>
      <c r="G2785">
        <v>24509</v>
      </c>
      <c r="H2785" t="s">
        <v>4788</v>
      </c>
      <c r="I2785" t="s">
        <v>5191</v>
      </c>
      <c r="J2785">
        <v>5</v>
      </c>
      <c r="K2785" t="s">
        <v>4744</v>
      </c>
      <c r="L2785">
        <v>15</v>
      </c>
      <c r="M2785">
        <v>3</v>
      </c>
      <c r="N2785" t="s">
        <v>5272</v>
      </c>
      <c r="O2785" t="s">
        <v>461</v>
      </c>
    </row>
    <row r="2786" spans="1:15" x14ac:dyDescent="0.3">
      <c r="A2786">
        <v>220980</v>
      </c>
      <c r="B2786">
        <v>105</v>
      </c>
      <c r="C2786" t="s">
        <v>557</v>
      </c>
      <c r="D2786" t="s">
        <v>2581</v>
      </c>
      <c r="E2786" t="s">
        <v>3225</v>
      </c>
      <c r="F2786" s="451">
        <v>46107</v>
      </c>
      <c r="G2786">
        <v>24099</v>
      </c>
      <c r="H2786" t="s">
        <v>4933</v>
      </c>
      <c r="I2786" t="s">
        <v>5191</v>
      </c>
      <c r="J2786">
        <v>2</v>
      </c>
      <c r="K2786" t="s">
        <v>4744</v>
      </c>
      <c r="L2786">
        <v>30</v>
      </c>
      <c r="M2786">
        <v>15</v>
      </c>
      <c r="N2786" t="s">
        <v>5272</v>
      </c>
      <c r="O2786" t="s">
        <v>461</v>
      </c>
    </row>
    <row r="2787" spans="1:15" x14ac:dyDescent="0.3">
      <c r="A2787">
        <v>220980</v>
      </c>
      <c r="B2787">
        <v>105</v>
      </c>
      <c r="C2787" t="s">
        <v>557</v>
      </c>
      <c r="D2787" t="s">
        <v>2581</v>
      </c>
      <c r="E2787" t="s">
        <v>3225</v>
      </c>
      <c r="F2787" s="451">
        <v>46107</v>
      </c>
      <c r="G2787">
        <v>19492</v>
      </c>
      <c r="H2787" t="s">
        <v>4937</v>
      </c>
      <c r="I2787" t="s">
        <v>5191</v>
      </c>
      <c r="J2787">
        <v>2</v>
      </c>
      <c r="K2787" t="s">
        <v>4744</v>
      </c>
      <c r="L2787">
        <v>40</v>
      </c>
      <c r="M2787">
        <v>20</v>
      </c>
      <c r="N2787" t="s">
        <v>5272</v>
      </c>
      <c r="O2787" t="s">
        <v>461</v>
      </c>
    </row>
    <row r="2788" spans="1:15" x14ac:dyDescent="0.3">
      <c r="A2788">
        <v>220980</v>
      </c>
      <c r="B2788">
        <v>105</v>
      </c>
      <c r="C2788" t="s">
        <v>557</v>
      </c>
      <c r="D2788" t="s">
        <v>2581</v>
      </c>
      <c r="E2788" t="s">
        <v>3225</v>
      </c>
      <c r="F2788" s="451">
        <v>46107</v>
      </c>
      <c r="G2788">
        <v>19476</v>
      </c>
      <c r="H2788" t="s">
        <v>5115</v>
      </c>
      <c r="I2788" t="s">
        <v>5191</v>
      </c>
      <c r="J2788">
        <v>0.3</v>
      </c>
      <c r="K2788" t="s">
        <v>4744</v>
      </c>
      <c r="L2788">
        <v>19.5</v>
      </c>
      <c r="M2788">
        <v>65</v>
      </c>
      <c r="N2788" t="s">
        <v>5272</v>
      </c>
      <c r="O2788" t="s">
        <v>461</v>
      </c>
    </row>
    <row r="2789" spans="1:15" x14ac:dyDescent="0.3">
      <c r="A2789">
        <v>220980</v>
      </c>
      <c r="B2789">
        <v>105</v>
      </c>
      <c r="C2789" t="s">
        <v>557</v>
      </c>
      <c r="D2789" t="s">
        <v>2581</v>
      </c>
      <c r="E2789" t="s">
        <v>3225</v>
      </c>
      <c r="F2789" s="451">
        <v>46107</v>
      </c>
      <c r="G2789">
        <v>19507</v>
      </c>
      <c r="H2789" t="s">
        <v>4853</v>
      </c>
      <c r="I2789" t="s">
        <v>5191</v>
      </c>
      <c r="J2789">
        <v>1.5</v>
      </c>
      <c r="K2789" t="s">
        <v>4744</v>
      </c>
      <c r="L2789">
        <v>21</v>
      </c>
      <c r="M2789">
        <v>14</v>
      </c>
      <c r="N2789" t="s">
        <v>5272</v>
      </c>
      <c r="O2789" t="s">
        <v>461</v>
      </c>
    </row>
    <row r="2790" spans="1:15" x14ac:dyDescent="0.3">
      <c r="A2790">
        <v>220980</v>
      </c>
      <c r="B2790">
        <v>105</v>
      </c>
      <c r="C2790" t="s">
        <v>557</v>
      </c>
      <c r="D2790" t="s">
        <v>2581</v>
      </c>
      <c r="E2790" t="s">
        <v>3225</v>
      </c>
      <c r="F2790" s="451">
        <v>46107</v>
      </c>
      <c r="G2790">
        <v>19622</v>
      </c>
      <c r="H2790" t="s">
        <v>4915</v>
      </c>
      <c r="I2790" t="s">
        <v>5191</v>
      </c>
      <c r="J2790">
        <v>1</v>
      </c>
      <c r="K2790" t="s">
        <v>4744</v>
      </c>
      <c r="L2790">
        <v>3.8</v>
      </c>
      <c r="M2790">
        <v>3.8</v>
      </c>
      <c r="N2790" t="s">
        <v>5272</v>
      </c>
      <c r="O2790" t="s">
        <v>461</v>
      </c>
    </row>
    <row r="2791" spans="1:15" x14ac:dyDescent="0.3">
      <c r="A2791">
        <v>220980</v>
      </c>
      <c r="B2791">
        <v>105</v>
      </c>
      <c r="C2791" t="s">
        <v>557</v>
      </c>
      <c r="D2791" t="s">
        <v>2581</v>
      </c>
      <c r="E2791" t="s">
        <v>3225</v>
      </c>
      <c r="F2791" s="451">
        <v>46107</v>
      </c>
      <c r="G2791">
        <v>23113</v>
      </c>
      <c r="H2791" t="s">
        <v>5074</v>
      </c>
      <c r="I2791" t="s">
        <v>5191</v>
      </c>
      <c r="J2791">
        <v>0.5</v>
      </c>
      <c r="K2791" t="s">
        <v>4744</v>
      </c>
      <c r="L2791">
        <v>5.25</v>
      </c>
      <c r="M2791">
        <v>10.5</v>
      </c>
      <c r="N2791" t="s">
        <v>5272</v>
      </c>
      <c r="O2791" t="s">
        <v>461</v>
      </c>
    </row>
    <row r="2792" spans="1:15" x14ac:dyDescent="0.3">
      <c r="A2792">
        <v>220980</v>
      </c>
      <c r="B2792">
        <v>105</v>
      </c>
      <c r="C2792" t="s">
        <v>557</v>
      </c>
      <c r="D2792" t="s">
        <v>2581</v>
      </c>
      <c r="E2792" t="s">
        <v>3225</v>
      </c>
      <c r="F2792" s="451">
        <v>46107</v>
      </c>
      <c r="G2792">
        <v>23195</v>
      </c>
      <c r="H2792" t="s">
        <v>5051</v>
      </c>
      <c r="I2792" t="s">
        <v>5191</v>
      </c>
      <c r="J2792">
        <v>0.4</v>
      </c>
      <c r="K2792" t="s">
        <v>4744</v>
      </c>
      <c r="L2792">
        <v>6</v>
      </c>
      <c r="M2792">
        <v>15</v>
      </c>
      <c r="N2792" t="s">
        <v>5272</v>
      </c>
      <c r="O2792" t="s">
        <v>461</v>
      </c>
    </row>
    <row r="2793" spans="1:15" x14ac:dyDescent="0.3">
      <c r="A2793">
        <v>220980</v>
      </c>
      <c r="B2793">
        <v>105</v>
      </c>
      <c r="C2793" t="s">
        <v>557</v>
      </c>
      <c r="D2793" t="s">
        <v>2581</v>
      </c>
      <c r="E2793" t="s">
        <v>3225</v>
      </c>
      <c r="F2793" s="451">
        <v>46107</v>
      </c>
      <c r="G2793">
        <v>23236</v>
      </c>
      <c r="H2793" t="s">
        <v>5062</v>
      </c>
      <c r="I2793" t="s">
        <v>5191</v>
      </c>
      <c r="J2793">
        <v>2</v>
      </c>
      <c r="K2793" t="s">
        <v>4744</v>
      </c>
      <c r="L2793">
        <v>24</v>
      </c>
      <c r="M2793">
        <v>12</v>
      </c>
      <c r="N2793" t="s">
        <v>5272</v>
      </c>
      <c r="O2793" t="s">
        <v>461</v>
      </c>
    </row>
    <row r="2794" spans="1:15" x14ac:dyDescent="0.3">
      <c r="A2794">
        <v>220980</v>
      </c>
      <c r="B2794">
        <v>105</v>
      </c>
      <c r="C2794" t="s">
        <v>557</v>
      </c>
      <c r="D2794" t="s">
        <v>2581</v>
      </c>
      <c r="E2794" t="s">
        <v>3225</v>
      </c>
      <c r="F2794" s="451">
        <v>46107</v>
      </c>
      <c r="G2794">
        <v>23361</v>
      </c>
      <c r="H2794" t="s">
        <v>4754</v>
      </c>
      <c r="I2794" t="s">
        <v>5191</v>
      </c>
      <c r="J2794">
        <v>20</v>
      </c>
      <c r="K2794" t="s">
        <v>4744</v>
      </c>
      <c r="L2794">
        <v>69</v>
      </c>
      <c r="M2794">
        <v>3.45</v>
      </c>
      <c r="N2794" t="s">
        <v>5272</v>
      </c>
      <c r="O2794" t="s">
        <v>461</v>
      </c>
    </row>
    <row r="2795" spans="1:15" x14ac:dyDescent="0.3">
      <c r="A2795">
        <v>220980</v>
      </c>
      <c r="B2795">
        <v>105</v>
      </c>
      <c r="C2795" t="s">
        <v>557</v>
      </c>
      <c r="D2795" t="s">
        <v>2581</v>
      </c>
      <c r="E2795" t="s">
        <v>3225</v>
      </c>
      <c r="F2795" s="451">
        <v>46107</v>
      </c>
      <c r="G2795">
        <v>23095</v>
      </c>
      <c r="H2795" t="s">
        <v>4741</v>
      </c>
      <c r="I2795" t="s">
        <v>5191</v>
      </c>
      <c r="J2795">
        <v>100</v>
      </c>
      <c r="K2795" t="s">
        <v>4736</v>
      </c>
      <c r="L2795">
        <v>135</v>
      </c>
      <c r="M2795">
        <v>1.35</v>
      </c>
      <c r="N2795" t="s">
        <v>5272</v>
      </c>
      <c r="O2795" t="s">
        <v>461</v>
      </c>
    </row>
    <row r="2796" spans="1:15" x14ac:dyDescent="0.3">
      <c r="A2796">
        <v>220980</v>
      </c>
      <c r="B2796">
        <v>105</v>
      </c>
      <c r="C2796" t="s">
        <v>557</v>
      </c>
      <c r="D2796" t="s">
        <v>2581</v>
      </c>
      <c r="E2796" t="s">
        <v>3225</v>
      </c>
      <c r="F2796" s="451">
        <v>46107</v>
      </c>
      <c r="G2796">
        <v>24037</v>
      </c>
      <c r="H2796" t="s">
        <v>5233</v>
      </c>
      <c r="I2796" t="s">
        <v>5191</v>
      </c>
      <c r="J2796">
        <v>2</v>
      </c>
      <c r="K2796" t="s">
        <v>4744</v>
      </c>
      <c r="L2796">
        <v>36.6</v>
      </c>
      <c r="M2796">
        <v>18.3</v>
      </c>
      <c r="N2796" t="s">
        <v>5272</v>
      </c>
      <c r="O2796" t="s">
        <v>461</v>
      </c>
    </row>
    <row r="2797" spans="1:15" x14ac:dyDescent="0.3">
      <c r="A2797">
        <v>220980</v>
      </c>
      <c r="B2797">
        <v>105</v>
      </c>
      <c r="C2797" t="s">
        <v>557</v>
      </c>
      <c r="D2797" t="s">
        <v>2581</v>
      </c>
      <c r="E2797" t="s">
        <v>3225</v>
      </c>
      <c r="F2797" s="451">
        <v>46107</v>
      </c>
      <c r="G2797">
        <v>19472</v>
      </c>
      <c r="H2797" t="s">
        <v>4906</v>
      </c>
      <c r="I2797" t="s">
        <v>5191</v>
      </c>
      <c r="J2797">
        <v>1.3</v>
      </c>
      <c r="K2797" t="s">
        <v>4744</v>
      </c>
      <c r="L2797">
        <v>36.4</v>
      </c>
      <c r="M2797">
        <v>28</v>
      </c>
      <c r="N2797" t="s">
        <v>5272</v>
      </c>
      <c r="O2797" t="s">
        <v>461</v>
      </c>
    </row>
    <row r="2798" spans="1:15" x14ac:dyDescent="0.3">
      <c r="A2798">
        <v>220979</v>
      </c>
      <c r="B2798">
        <v>105</v>
      </c>
      <c r="C2798" t="s">
        <v>557</v>
      </c>
      <c r="D2798" t="s">
        <v>2581</v>
      </c>
      <c r="E2798" t="s">
        <v>3226</v>
      </c>
      <c r="F2798" s="451">
        <v>46109</v>
      </c>
      <c r="G2798">
        <v>23359</v>
      </c>
      <c r="H2798" t="s">
        <v>4767</v>
      </c>
      <c r="I2798" t="s">
        <v>5191</v>
      </c>
      <c r="J2798">
        <v>15</v>
      </c>
      <c r="K2798" t="s">
        <v>4744</v>
      </c>
      <c r="L2798">
        <v>32.25</v>
      </c>
      <c r="M2798">
        <v>2.15</v>
      </c>
      <c r="N2798" t="s">
        <v>5272</v>
      </c>
      <c r="O2798" t="s">
        <v>461</v>
      </c>
    </row>
    <row r="2799" spans="1:15" x14ac:dyDescent="0.3">
      <c r="A2799">
        <v>220978</v>
      </c>
      <c r="B2799">
        <v>105</v>
      </c>
      <c r="C2799" t="s">
        <v>557</v>
      </c>
      <c r="D2799" t="s">
        <v>2563</v>
      </c>
      <c r="E2799" t="s">
        <v>3227</v>
      </c>
      <c r="F2799" s="451">
        <v>46098</v>
      </c>
      <c r="G2799">
        <v>24083</v>
      </c>
      <c r="H2799" t="s">
        <v>5165</v>
      </c>
      <c r="I2799" t="s">
        <v>5191</v>
      </c>
      <c r="J2799">
        <v>20</v>
      </c>
      <c r="K2799" t="s">
        <v>4744</v>
      </c>
      <c r="L2799">
        <v>103</v>
      </c>
      <c r="M2799">
        <v>5.15</v>
      </c>
      <c r="N2799" t="s">
        <v>5272</v>
      </c>
      <c r="O2799" t="s">
        <v>461</v>
      </c>
    </row>
    <row r="2800" spans="1:15" x14ac:dyDescent="0.3">
      <c r="A2800">
        <v>220978</v>
      </c>
      <c r="B2800">
        <v>105</v>
      </c>
      <c r="C2800" t="s">
        <v>557</v>
      </c>
      <c r="D2800" t="s">
        <v>2563</v>
      </c>
      <c r="E2800" t="s">
        <v>3227</v>
      </c>
      <c r="F2800" s="451">
        <v>46098</v>
      </c>
      <c r="G2800">
        <v>19642</v>
      </c>
      <c r="H2800" t="s">
        <v>4996</v>
      </c>
      <c r="I2800" t="s">
        <v>5191</v>
      </c>
      <c r="J2800">
        <v>2.2000000000000002</v>
      </c>
      <c r="K2800" t="s">
        <v>4744</v>
      </c>
      <c r="L2800">
        <v>11</v>
      </c>
      <c r="M2800">
        <v>5</v>
      </c>
      <c r="N2800" t="s">
        <v>5272</v>
      </c>
      <c r="O2800" t="s">
        <v>461</v>
      </c>
    </row>
    <row r="2801" spans="1:15" x14ac:dyDescent="0.3">
      <c r="A2801">
        <v>220978</v>
      </c>
      <c r="B2801">
        <v>105</v>
      </c>
      <c r="C2801" t="s">
        <v>557</v>
      </c>
      <c r="D2801" t="s">
        <v>2563</v>
      </c>
      <c r="E2801" t="s">
        <v>3227</v>
      </c>
      <c r="F2801" s="451">
        <v>46098</v>
      </c>
      <c r="G2801">
        <v>19734</v>
      </c>
      <c r="H2801" t="s">
        <v>4833</v>
      </c>
      <c r="I2801" t="s">
        <v>5191</v>
      </c>
      <c r="J2801">
        <v>4</v>
      </c>
      <c r="K2801" t="s">
        <v>4744</v>
      </c>
      <c r="L2801">
        <v>52.2</v>
      </c>
      <c r="M2801">
        <v>13.05</v>
      </c>
      <c r="N2801" t="s">
        <v>5272</v>
      </c>
      <c r="O2801" t="s">
        <v>461</v>
      </c>
    </row>
    <row r="2802" spans="1:15" x14ac:dyDescent="0.3">
      <c r="A2802">
        <v>220978</v>
      </c>
      <c r="B2802">
        <v>105</v>
      </c>
      <c r="C2802" t="s">
        <v>557</v>
      </c>
      <c r="D2802" t="s">
        <v>2563</v>
      </c>
      <c r="E2802" t="s">
        <v>3227</v>
      </c>
      <c r="F2802" s="451">
        <v>46098</v>
      </c>
      <c r="G2802">
        <v>19790</v>
      </c>
      <c r="H2802" t="s">
        <v>5073</v>
      </c>
      <c r="I2802" t="s">
        <v>5191</v>
      </c>
      <c r="J2802">
        <v>1</v>
      </c>
      <c r="K2802" t="s">
        <v>4744</v>
      </c>
      <c r="L2802">
        <v>46.4</v>
      </c>
      <c r="M2802">
        <v>46.4</v>
      </c>
      <c r="N2802" t="s">
        <v>5272</v>
      </c>
      <c r="O2802" t="s">
        <v>461</v>
      </c>
    </row>
    <row r="2803" spans="1:15" x14ac:dyDescent="0.3">
      <c r="A2803">
        <v>220978</v>
      </c>
      <c r="B2803">
        <v>105</v>
      </c>
      <c r="C2803" t="s">
        <v>557</v>
      </c>
      <c r="D2803" t="s">
        <v>2563</v>
      </c>
      <c r="E2803" t="s">
        <v>3227</v>
      </c>
      <c r="F2803" s="451">
        <v>46098</v>
      </c>
      <c r="G2803">
        <v>23359</v>
      </c>
      <c r="H2803" t="s">
        <v>4767</v>
      </c>
      <c r="I2803" t="s">
        <v>5191</v>
      </c>
      <c r="J2803">
        <v>8</v>
      </c>
      <c r="K2803" t="s">
        <v>4744</v>
      </c>
      <c r="L2803">
        <v>25.52</v>
      </c>
      <c r="M2803">
        <v>3.19</v>
      </c>
      <c r="N2803" t="s">
        <v>5272</v>
      </c>
      <c r="O2803" t="s">
        <v>461</v>
      </c>
    </row>
    <row r="2804" spans="1:15" x14ac:dyDescent="0.3">
      <c r="A2804">
        <v>220977</v>
      </c>
      <c r="B2804">
        <v>105</v>
      </c>
      <c r="C2804" t="s">
        <v>557</v>
      </c>
      <c r="D2804" t="s">
        <v>2605</v>
      </c>
      <c r="E2804" t="s">
        <v>3228</v>
      </c>
      <c r="F2804" s="451">
        <v>46100</v>
      </c>
      <c r="G2804">
        <v>19415</v>
      </c>
      <c r="H2804" t="s">
        <v>4919</v>
      </c>
      <c r="I2804" t="s">
        <v>5191</v>
      </c>
      <c r="J2804">
        <v>2</v>
      </c>
      <c r="K2804" t="s">
        <v>4736</v>
      </c>
      <c r="L2804">
        <v>17.600000000000001</v>
      </c>
      <c r="M2804">
        <v>8.8000000000000007</v>
      </c>
      <c r="N2804" t="s">
        <v>5272</v>
      </c>
      <c r="O2804" t="s">
        <v>461</v>
      </c>
    </row>
    <row r="2805" spans="1:15" x14ac:dyDescent="0.3">
      <c r="A2805">
        <v>220977</v>
      </c>
      <c r="B2805">
        <v>105</v>
      </c>
      <c r="C2805" t="s">
        <v>557</v>
      </c>
      <c r="D2805" t="s">
        <v>2605</v>
      </c>
      <c r="E2805" t="s">
        <v>3228</v>
      </c>
      <c r="F2805" s="451">
        <v>46100</v>
      </c>
      <c r="G2805">
        <v>20657</v>
      </c>
      <c r="H2805" t="s">
        <v>5109</v>
      </c>
      <c r="I2805" t="s">
        <v>5191</v>
      </c>
      <c r="J2805">
        <v>4</v>
      </c>
      <c r="K2805" t="s">
        <v>5206</v>
      </c>
      <c r="L2805">
        <v>27.2</v>
      </c>
      <c r="M2805">
        <v>6.8</v>
      </c>
      <c r="N2805" t="s">
        <v>5272</v>
      </c>
      <c r="O2805" t="s">
        <v>461</v>
      </c>
    </row>
    <row r="2806" spans="1:15" x14ac:dyDescent="0.3">
      <c r="A2806">
        <v>220977</v>
      </c>
      <c r="B2806">
        <v>105</v>
      </c>
      <c r="C2806" t="s">
        <v>557</v>
      </c>
      <c r="D2806" t="s">
        <v>2605</v>
      </c>
      <c r="E2806" t="s">
        <v>3228</v>
      </c>
      <c r="F2806" s="451">
        <v>46100</v>
      </c>
      <c r="G2806">
        <v>19322</v>
      </c>
      <c r="H2806" t="s">
        <v>4830</v>
      </c>
      <c r="I2806" t="s">
        <v>5191</v>
      </c>
      <c r="J2806">
        <v>12.54</v>
      </c>
      <c r="K2806" t="s">
        <v>4744</v>
      </c>
      <c r="L2806">
        <v>559.28</v>
      </c>
      <c r="M2806">
        <v>44.599680999999997</v>
      </c>
      <c r="N2806" t="s">
        <v>5272</v>
      </c>
      <c r="O2806" t="s">
        <v>461</v>
      </c>
    </row>
    <row r="2807" spans="1:15" x14ac:dyDescent="0.3">
      <c r="A2807">
        <v>220976</v>
      </c>
      <c r="B2807">
        <v>105</v>
      </c>
      <c r="C2807" t="s">
        <v>557</v>
      </c>
      <c r="D2807" t="s">
        <v>2577</v>
      </c>
      <c r="E2807" t="s">
        <v>3229</v>
      </c>
      <c r="F2807" s="451">
        <v>46105</v>
      </c>
      <c r="G2807">
        <v>24497</v>
      </c>
      <c r="H2807" t="s">
        <v>5231</v>
      </c>
      <c r="I2807" t="s">
        <v>5232</v>
      </c>
      <c r="J2807">
        <v>1</v>
      </c>
      <c r="K2807" t="s">
        <v>4736</v>
      </c>
      <c r="L2807">
        <v>139.02000000000001</v>
      </c>
      <c r="M2807">
        <v>139.02000000000001</v>
      </c>
      <c r="N2807" t="s">
        <v>5288</v>
      </c>
      <c r="O2807" t="s">
        <v>461</v>
      </c>
    </row>
    <row r="2808" spans="1:15" x14ac:dyDescent="0.3">
      <c r="A2808">
        <v>220975</v>
      </c>
      <c r="B2808">
        <v>105</v>
      </c>
      <c r="C2808" t="s">
        <v>557</v>
      </c>
      <c r="D2808" t="s">
        <v>2864</v>
      </c>
      <c r="E2808" t="s">
        <v>3230</v>
      </c>
      <c r="F2808" s="451">
        <v>46104</v>
      </c>
      <c r="G2808">
        <v>20887</v>
      </c>
      <c r="H2808" t="s">
        <v>4953</v>
      </c>
      <c r="I2808" t="s">
        <v>5191</v>
      </c>
      <c r="J2808">
        <v>2</v>
      </c>
      <c r="K2808" t="s">
        <v>4879</v>
      </c>
      <c r="L2808">
        <v>68</v>
      </c>
      <c r="M2808">
        <v>34</v>
      </c>
      <c r="N2808" t="s">
        <v>5272</v>
      </c>
      <c r="O2808" t="s">
        <v>461</v>
      </c>
    </row>
    <row r="2809" spans="1:15" x14ac:dyDescent="0.3">
      <c r="A2809">
        <v>220975</v>
      </c>
      <c r="B2809">
        <v>105</v>
      </c>
      <c r="C2809" t="s">
        <v>557</v>
      </c>
      <c r="D2809" t="s">
        <v>2864</v>
      </c>
      <c r="E2809" t="s">
        <v>3230</v>
      </c>
      <c r="F2809" s="451">
        <v>46104</v>
      </c>
      <c r="G2809">
        <v>20105</v>
      </c>
      <c r="H2809" t="s">
        <v>4831</v>
      </c>
      <c r="I2809" t="s">
        <v>5191</v>
      </c>
      <c r="J2809">
        <v>3</v>
      </c>
      <c r="K2809" t="s">
        <v>4744</v>
      </c>
      <c r="L2809">
        <v>78</v>
      </c>
      <c r="M2809">
        <v>26</v>
      </c>
      <c r="N2809" t="s">
        <v>5272</v>
      </c>
      <c r="O2809" t="s">
        <v>461</v>
      </c>
    </row>
    <row r="2810" spans="1:15" x14ac:dyDescent="0.3">
      <c r="A2810">
        <v>220975</v>
      </c>
      <c r="B2810">
        <v>105</v>
      </c>
      <c r="C2810" t="s">
        <v>557</v>
      </c>
      <c r="D2810" t="s">
        <v>2864</v>
      </c>
      <c r="E2810" t="s">
        <v>3230</v>
      </c>
      <c r="F2810" s="451">
        <v>46104</v>
      </c>
      <c r="G2810">
        <v>20624</v>
      </c>
      <c r="H2810" t="s">
        <v>5019</v>
      </c>
      <c r="I2810" t="s">
        <v>5191</v>
      </c>
      <c r="J2810">
        <v>1</v>
      </c>
      <c r="K2810" t="s">
        <v>4736</v>
      </c>
      <c r="L2810">
        <v>66.989999999999995</v>
      </c>
      <c r="M2810">
        <v>66.989999999999995</v>
      </c>
      <c r="N2810" t="s">
        <v>5272</v>
      </c>
      <c r="O2810" t="s">
        <v>461</v>
      </c>
    </row>
    <row r="2811" spans="1:15" x14ac:dyDescent="0.3">
      <c r="A2811">
        <v>220974</v>
      </c>
      <c r="B2811">
        <v>105</v>
      </c>
      <c r="C2811" t="s">
        <v>557</v>
      </c>
      <c r="D2811" t="s">
        <v>2864</v>
      </c>
      <c r="E2811" t="s">
        <v>3231</v>
      </c>
      <c r="F2811" s="451">
        <v>46104</v>
      </c>
      <c r="G2811">
        <v>17017</v>
      </c>
      <c r="H2811" t="s">
        <v>5199</v>
      </c>
      <c r="I2811" t="s">
        <v>5188</v>
      </c>
      <c r="J2811">
        <v>2</v>
      </c>
      <c r="K2811" t="s">
        <v>4738</v>
      </c>
      <c r="L2811">
        <v>6</v>
      </c>
      <c r="M2811">
        <v>3</v>
      </c>
      <c r="N2811" t="s">
        <v>5277</v>
      </c>
      <c r="O2811" t="s">
        <v>461</v>
      </c>
    </row>
    <row r="2812" spans="1:15" x14ac:dyDescent="0.3">
      <c r="A2812">
        <v>220974</v>
      </c>
      <c r="B2812">
        <v>105</v>
      </c>
      <c r="C2812" t="s">
        <v>557</v>
      </c>
      <c r="D2812" t="s">
        <v>2864</v>
      </c>
      <c r="E2812" t="s">
        <v>3231</v>
      </c>
      <c r="F2812" s="451">
        <v>46104</v>
      </c>
      <c r="G2812">
        <v>17565</v>
      </c>
      <c r="H2812" t="s">
        <v>5247</v>
      </c>
      <c r="I2812" t="s">
        <v>5188</v>
      </c>
      <c r="J2812">
        <v>1</v>
      </c>
      <c r="K2812" t="s">
        <v>4736</v>
      </c>
      <c r="L2812">
        <v>96</v>
      </c>
      <c r="M2812">
        <v>96</v>
      </c>
      <c r="N2812" t="s">
        <v>5277</v>
      </c>
      <c r="O2812" t="s">
        <v>461</v>
      </c>
    </row>
    <row r="2813" spans="1:15" x14ac:dyDescent="0.3">
      <c r="A2813">
        <v>220974</v>
      </c>
      <c r="B2813">
        <v>105</v>
      </c>
      <c r="C2813" t="s">
        <v>557</v>
      </c>
      <c r="D2813" t="s">
        <v>2864</v>
      </c>
      <c r="E2813" t="s">
        <v>3231</v>
      </c>
      <c r="F2813" s="451">
        <v>46104</v>
      </c>
      <c r="G2813">
        <v>17504</v>
      </c>
      <c r="H2813" t="s">
        <v>5260</v>
      </c>
      <c r="I2813" t="s">
        <v>5205</v>
      </c>
      <c r="J2813">
        <v>1</v>
      </c>
      <c r="K2813" t="s">
        <v>4736</v>
      </c>
      <c r="L2813">
        <v>21</v>
      </c>
      <c r="M2813">
        <v>21</v>
      </c>
      <c r="N2813" t="s">
        <v>5277</v>
      </c>
      <c r="O2813" t="s">
        <v>461</v>
      </c>
    </row>
    <row r="2814" spans="1:15" x14ac:dyDescent="0.3">
      <c r="A2814">
        <v>220974</v>
      </c>
      <c r="B2814">
        <v>105</v>
      </c>
      <c r="C2814" t="s">
        <v>557</v>
      </c>
      <c r="D2814" t="s">
        <v>2864</v>
      </c>
      <c r="E2814" t="s">
        <v>3231</v>
      </c>
      <c r="F2814" s="451">
        <v>46104</v>
      </c>
      <c r="G2814">
        <v>17361</v>
      </c>
      <c r="H2814" t="s">
        <v>5309</v>
      </c>
      <c r="I2814" t="s">
        <v>5188</v>
      </c>
      <c r="J2814">
        <v>1</v>
      </c>
      <c r="K2814" t="s">
        <v>4738</v>
      </c>
      <c r="L2814">
        <v>7.45</v>
      </c>
      <c r="M2814">
        <v>7.45</v>
      </c>
      <c r="N2814" t="s">
        <v>5277</v>
      </c>
      <c r="O2814" t="s">
        <v>461</v>
      </c>
    </row>
    <row r="2815" spans="1:15" x14ac:dyDescent="0.3">
      <c r="A2815">
        <v>220974</v>
      </c>
      <c r="B2815">
        <v>105</v>
      </c>
      <c r="C2815" t="s">
        <v>557</v>
      </c>
      <c r="D2815" t="s">
        <v>2864</v>
      </c>
      <c r="E2815" t="s">
        <v>3231</v>
      </c>
      <c r="F2815" s="451">
        <v>46104</v>
      </c>
      <c r="G2815">
        <v>21423</v>
      </c>
      <c r="H2815" t="s">
        <v>5248</v>
      </c>
      <c r="I2815" t="s">
        <v>5188</v>
      </c>
      <c r="J2815">
        <v>2</v>
      </c>
      <c r="K2815" t="s">
        <v>5245</v>
      </c>
      <c r="L2815">
        <v>63.64</v>
      </c>
      <c r="M2815">
        <v>31.82</v>
      </c>
      <c r="N2815" t="s">
        <v>5277</v>
      </c>
      <c r="O2815" t="s">
        <v>461</v>
      </c>
    </row>
    <row r="2816" spans="1:15" x14ac:dyDescent="0.3">
      <c r="A2816">
        <v>220974</v>
      </c>
      <c r="B2816">
        <v>105</v>
      </c>
      <c r="C2816" t="s">
        <v>557</v>
      </c>
      <c r="D2816" t="s">
        <v>2864</v>
      </c>
      <c r="E2816" t="s">
        <v>3231</v>
      </c>
      <c r="F2816" s="451">
        <v>46104</v>
      </c>
      <c r="G2816">
        <v>17162</v>
      </c>
      <c r="H2816" t="s">
        <v>5255</v>
      </c>
      <c r="I2816" t="s">
        <v>5188</v>
      </c>
      <c r="J2816">
        <v>1</v>
      </c>
      <c r="K2816" t="s">
        <v>4736</v>
      </c>
      <c r="L2816">
        <v>54</v>
      </c>
      <c r="M2816">
        <v>54</v>
      </c>
      <c r="N2816" t="s">
        <v>5277</v>
      </c>
      <c r="O2816" t="s">
        <v>461</v>
      </c>
    </row>
    <row r="2817" spans="1:15" x14ac:dyDescent="0.3">
      <c r="A2817">
        <v>220973</v>
      </c>
      <c r="B2817">
        <v>105</v>
      </c>
      <c r="C2817" t="s">
        <v>557</v>
      </c>
      <c r="D2817" t="s">
        <v>2579</v>
      </c>
      <c r="E2817" t="s">
        <v>3232</v>
      </c>
      <c r="F2817" s="451">
        <v>46099</v>
      </c>
      <c r="G2817">
        <v>19506</v>
      </c>
      <c r="H2817" t="s">
        <v>5122</v>
      </c>
      <c r="I2817" t="s">
        <v>5191</v>
      </c>
      <c r="J2817">
        <v>0.2</v>
      </c>
      <c r="K2817" t="s">
        <v>4744</v>
      </c>
      <c r="L2817">
        <v>9.3800000000000008</v>
      </c>
      <c r="M2817">
        <v>46.9</v>
      </c>
      <c r="N2817" t="s">
        <v>5272</v>
      </c>
      <c r="O2817" t="s">
        <v>461</v>
      </c>
    </row>
    <row r="2818" spans="1:15" x14ac:dyDescent="0.3">
      <c r="A2818">
        <v>220973</v>
      </c>
      <c r="B2818">
        <v>105</v>
      </c>
      <c r="C2818" t="s">
        <v>557</v>
      </c>
      <c r="D2818" t="s">
        <v>2579</v>
      </c>
      <c r="E2818" t="s">
        <v>3232</v>
      </c>
      <c r="F2818" s="451">
        <v>46099</v>
      </c>
      <c r="G2818">
        <v>19589</v>
      </c>
      <c r="H2818" t="s">
        <v>4983</v>
      </c>
      <c r="I2818" t="s">
        <v>5191</v>
      </c>
      <c r="J2818">
        <v>1</v>
      </c>
      <c r="K2818" t="s">
        <v>4744</v>
      </c>
      <c r="L2818">
        <v>4.38</v>
      </c>
      <c r="M2818">
        <v>4.38</v>
      </c>
      <c r="N2818" t="s">
        <v>5272</v>
      </c>
      <c r="O2818" t="s">
        <v>461</v>
      </c>
    </row>
    <row r="2819" spans="1:15" x14ac:dyDescent="0.3">
      <c r="A2819">
        <v>220973</v>
      </c>
      <c r="B2819">
        <v>105</v>
      </c>
      <c r="C2819" t="s">
        <v>557</v>
      </c>
      <c r="D2819" t="s">
        <v>2579</v>
      </c>
      <c r="E2819" t="s">
        <v>3232</v>
      </c>
      <c r="F2819" s="451">
        <v>46099</v>
      </c>
      <c r="G2819">
        <v>19635</v>
      </c>
      <c r="H2819" t="s">
        <v>4786</v>
      </c>
      <c r="I2819" t="s">
        <v>5191</v>
      </c>
      <c r="J2819">
        <v>6</v>
      </c>
      <c r="K2819" t="s">
        <v>4744</v>
      </c>
      <c r="L2819">
        <v>37.5</v>
      </c>
      <c r="M2819">
        <v>6.25</v>
      </c>
      <c r="N2819" t="s">
        <v>5272</v>
      </c>
      <c r="O2819" t="s">
        <v>461</v>
      </c>
    </row>
    <row r="2820" spans="1:15" x14ac:dyDescent="0.3">
      <c r="A2820">
        <v>220973</v>
      </c>
      <c r="B2820">
        <v>105</v>
      </c>
      <c r="C2820" t="s">
        <v>557</v>
      </c>
      <c r="D2820" t="s">
        <v>2579</v>
      </c>
      <c r="E2820" t="s">
        <v>3232</v>
      </c>
      <c r="F2820" s="451">
        <v>46099</v>
      </c>
      <c r="G2820">
        <v>23195</v>
      </c>
      <c r="H2820" t="s">
        <v>5051</v>
      </c>
      <c r="I2820" t="s">
        <v>5191</v>
      </c>
      <c r="J2820">
        <v>0.5</v>
      </c>
      <c r="K2820" t="s">
        <v>4744</v>
      </c>
      <c r="L2820">
        <v>7.29</v>
      </c>
      <c r="M2820">
        <v>14.58</v>
      </c>
      <c r="N2820" t="s">
        <v>5272</v>
      </c>
      <c r="O2820" t="s">
        <v>461</v>
      </c>
    </row>
    <row r="2821" spans="1:15" x14ac:dyDescent="0.3">
      <c r="A2821">
        <v>220973</v>
      </c>
      <c r="B2821">
        <v>105</v>
      </c>
      <c r="C2821" t="s">
        <v>557</v>
      </c>
      <c r="D2821" t="s">
        <v>2579</v>
      </c>
      <c r="E2821" t="s">
        <v>3232</v>
      </c>
      <c r="F2821" s="451">
        <v>46099</v>
      </c>
      <c r="G2821">
        <v>23184</v>
      </c>
      <c r="H2821" t="s">
        <v>4935</v>
      </c>
      <c r="I2821" t="s">
        <v>5191</v>
      </c>
      <c r="J2821">
        <v>2</v>
      </c>
      <c r="K2821" t="s">
        <v>4744</v>
      </c>
      <c r="L2821">
        <v>38.76</v>
      </c>
      <c r="M2821">
        <v>19.38</v>
      </c>
      <c r="N2821" t="s">
        <v>5272</v>
      </c>
      <c r="O2821" t="s">
        <v>461</v>
      </c>
    </row>
    <row r="2822" spans="1:15" x14ac:dyDescent="0.3">
      <c r="A2822">
        <v>220972</v>
      </c>
      <c r="B2822">
        <v>105</v>
      </c>
      <c r="C2822" t="s">
        <v>557</v>
      </c>
      <c r="D2822" t="s">
        <v>2571</v>
      </c>
      <c r="E2822" t="s">
        <v>3233</v>
      </c>
      <c r="F2822" s="451">
        <v>46101</v>
      </c>
      <c r="G2822">
        <v>20984</v>
      </c>
      <c r="H2822" t="s">
        <v>5133</v>
      </c>
      <c r="I2822" t="s">
        <v>5191</v>
      </c>
      <c r="J2822">
        <v>30</v>
      </c>
      <c r="K2822" t="s">
        <v>4888</v>
      </c>
      <c r="L2822">
        <v>258.3</v>
      </c>
      <c r="M2822">
        <v>8.61</v>
      </c>
      <c r="N2822" t="s">
        <v>5272</v>
      </c>
      <c r="O2822" t="s">
        <v>461</v>
      </c>
    </row>
    <row r="2823" spans="1:15" x14ac:dyDescent="0.3">
      <c r="A2823">
        <v>220971</v>
      </c>
      <c r="B2823">
        <v>105</v>
      </c>
      <c r="C2823" t="s">
        <v>557</v>
      </c>
      <c r="D2823" t="s">
        <v>2571</v>
      </c>
      <c r="E2823" t="s">
        <v>3234</v>
      </c>
      <c r="F2823" s="451">
        <v>46109</v>
      </c>
      <c r="G2823">
        <v>19969</v>
      </c>
      <c r="H2823" t="s">
        <v>5018</v>
      </c>
      <c r="I2823" t="s">
        <v>5191</v>
      </c>
      <c r="J2823">
        <v>1</v>
      </c>
      <c r="K2823" t="s">
        <v>4888</v>
      </c>
      <c r="L2823">
        <v>9.7899999999999991</v>
      </c>
      <c r="M2823">
        <v>9.7899999999999991</v>
      </c>
      <c r="N2823" t="s">
        <v>5272</v>
      </c>
      <c r="O2823" t="s">
        <v>461</v>
      </c>
    </row>
    <row r="2824" spans="1:15" x14ac:dyDescent="0.3">
      <c r="A2824">
        <v>220971</v>
      </c>
      <c r="B2824">
        <v>105</v>
      </c>
      <c r="C2824" t="s">
        <v>557</v>
      </c>
      <c r="D2824" t="s">
        <v>2571</v>
      </c>
      <c r="E2824" t="s">
        <v>3234</v>
      </c>
      <c r="F2824" s="451">
        <v>46109</v>
      </c>
      <c r="G2824">
        <v>20661</v>
      </c>
      <c r="H2824" t="s">
        <v>5012</v>
      </c>
      <c r="I2824" t="s">
        <v>5191</v>
      </c>
      <c r="J2824">
        <v>3</v>
      </c>
      <c r="K2824" t="s">
        <v>4736</v>
      </c>
      <c r="L2824">
        <v>24.87</v>
      </c>
      <c r="M2824">
        <v>8.2899999999999991</v>
      </c>
      <c r="N2824" t="s">
        <v>5272</v>
      </c>
      <c r="O2824" t="s">
        <v>461</v>
      </c>
    </row>
    <row r="2825" spans="1:15" x14ac:dyDescent="0.3">
      <c r="A2825">
        <v>220971</v>
      </c>
      <c r="B2825">
        <v>105</v>
      </c>
      <c r="C2825" t="s">
        <v>557</v>
      </c>
      <c r="D2825" t="s">
        <v>2571</v>
      </c>
      <c r="E2825" t="s">
        <v>3234</v>
      </c>
      <c r="F2825" s="451">
        <v>46109</v>
      </c>
      <c r="G2825">
        <v>20138</v>
      </c>
      <c r="H2825" t="s">
        <v>4886</v>
      </c>
      <c r="I2825" t="s">
        <v>5191</v>
      </c>
      <c r="J2825">
        <v>3</v>
      </c>
      <c r="K2825" t="s">
        <v>4738</v>
      </c>
      <c r="L2825">
        <v>15.3</v>
      </c>
      <c r="M2825">
        <v>5.0999999999999996</v>
      </c>
      <c r="N2825" t="s">
        <v>5272</v>
      </c>
      <c r="O2825" t="s">
        <v>461</v>
      </c>
    </row>
    <row r="2826" spans="1:15" x14ac:dyDescent="0.3">
      <c r="A2826">
        <v>220971</v>
      </c>
      <c r="B2826">
        <v>105</v>
      </c>
      <c r="C2826" t="s">
        <v>557</v>
      </c>
      <c r="D2826" t="s">
        <v>2571</v>
      </c>
      <c r="E2826" t="s">
        <v>3234</v>
      </c>
      <c r="F2826" s="451">
        <v>46109</v>
      </c>
      <c r="G2826">
        <v>25237</v>
      </c>
      <c r="H2826" t="s">
        <v>5143</v>
      </c>
      <c r="I2826" t="s">
        <v>5191</v>
      </c>
      <c r="J2826">
        <v>10</v>
      </c>
      <c r="K2826" t="s">
        <v>4738</v>
      </c>
      <c r="L2826">
        <v>52.9</v>
      </c>
      <c r="M2826">
        <v>5.29</v>
      </c>
      <c r="N2826" t="s">
        <v>5272</v>
      </c>
      <c r="O2826" t="s">
        <v>461</v>
      </c>
    </row>
    <row r="2827" spans="1:15" x14ac:dyDescent="0.3">
      <c r="A2827">
        <v>220971</v>
      </c>
      <c r="B2827">
        <v>105</v>
      </c>
      <c r="C2827" t="s">
        <v>557</v>
      </c>
      <c r="D2827" t="s">
        <v>2571</v>
      </c>
      <c r="E2827" t="s">
        <v>3234</v>
      </c>
      <c r="F2827" s="451">
        <v>46109</v>
      </c>
      <c r="G2827">
        <v>27397</v>
      </c>
      <c r="H2827" t="s">
        <v>4913</v>
      </c>
      <c r="I2827" t="s">
        <v>5191</v>
      </c>
      <c r="J2827">
        <v>4</v>
      </c>
      <c r="K2827" t="s">
        <v>4736</v>
      </c>
      <c r="L2827">
        <v>258.36</v>
      </c>
      <c r="M2827">
        <v>64.59</v>
      </c>
      <c r="N2827" t="s">
        <v>5272</v>
      </c>
      <c r="O2827" t="s">
        <v>461</v>
      </c>
    </row>
    <row r="2828" spans="1:15" x14ac:dyDescent="0.3">
      <c r="A2828">
        <v>220971</v>
      </c>
      <c r="B2828">
        <v>105</v>
      </c>
      <c r="C2828" t="s">
        <v>557</v>
      </c>
      <c r="D2828" t="s">
        <v>2571</v>
      </c>
      <c r="E2828" t="s">
        <v>3234</v>
      </c>
      <c r="F2828" s="451">
        <v>46109</v>
      </c>
      <c r="G2828">
        <v>19916</v>
      </c>
      <c r="H2828" t="s">
        <v>4826</v>
      </c>
      <c r="I2828" t="s">
        <v>5191</v>
      </c>
      <c r="J2828">
        <v>1</v>
      </c>
      <c r="K2828" t="s">
        <v>4749</v>
      </c>
      <c r="L2828">
        <v>35.299999999999997</v>
      </c>
      <c r="M2828">
        <v>35.299999999999997</v>
      </c>
      <c r="N2828" t="s">
        <v>5272</v>
      </c>
      <c r="O2828" t="s">
        <v>461</v>
      </c>
    </row>
    <row r="2829" spans="1:15" x14ac:dyDescent="0.3">
      <c r="A2829">
        <v>220971</v>
      </c>
      <c r="B2829">
        <v>105</v>
      </c>
      <c r="C2829" t="s">
        <v>557</v>
      </c>
      <c r="D2829" t="s">
        <v>2571</v>
      </c>
      <c r="E2829" t="s">
        <v>3234</v>
      </c>
      <c r="F2829" s="451">
        <v>46109</v>
      </c>
      <c r="G2829">
        <v>23785</v>
      </c>
      <c r="H2829" t="s">
        <v>4858</v>
      </c>
      <c r="I2829" t="s">
        <v>5191</v>
      </c>
      <c r="J2829">
        <v>7</v>
      </c>
      <c r="K2829" t="s">
        <v>4744</v>
      </c>
      <c r="L2829">
        <v>254.1</v>
      </c>
      <c r="M2829">
        <v>36.299999999999997</v>
      </c>
      <c r="N2829" t="s">
        <v>5272</v>
      </c>
      <c r="O2829" t="s">
        <v>461</v>
      </c>
    </row>
    <row r="2830" spans="1:15" x14ac:dyDescent="0.3">
      <c r="A2830">
        <v>220970</v>
      </c>
      <c r="B2830">
        <v>105</v>
      </c>
      <c r="C2830" t="s">
        <v>557</v>
      </c>
      <c r="D2830" t="s">
        <v>2563</v>
      </c>
      <c r="E2830" t="s">
        <v>3235</v>
      </c>
      <c r="F2830" s="451">
        <v>46101</v>
      </c>
      <c r="G2830">
        <v>19532</v>
      </c>
      <c r="H2830" t="s">
        <v>4753</v>
      </c>
      <c r="I2830" t="s">
        <v>5191</v>
      </c>
      <c r="J2830">
        <v>15.2</v>
      </c>
      <c r="K2830" t="s">
        <v>4744</v>
      </c>
      <c r="L2830">
        <v>129.96</v>
      </c>
      <c r="M2830">
        <v>8.5500000000000007</v>
      </c>
      <c r="N2830" t="s">
        <v>5272</v>
      </c>
      <c r="O2830" t="s">
        <v>461</v>
      </c>
    </row>
    <row r="2831" spans="1:15" x14ac:dyDescent="0.3">
      <c r="A2831">
        <v>220970</v>
      </c>
      <c r="B2831">
        <v>105</v>
      </c>
      <c r="C2831" t="s">
        <v>557</v>
      </c>
      <c r="D2831" t="s">
        <v>2563</v>
      </c>
      <c r="E2831" t="s">
        <v>3235</v>
      </c>
      <c r="F2831" s="451">
        <v>46101</v>
      </c>
      <c r="G2831">
        <v>24083</v>
      </c>
      <c r="H2831" t="s">
        <v>5165</v>
      </c>
      <c r="I2831" t="s">
        <v>5191</v>
      </c>
      <c r="J2831">
        <v>20.5</v>
      </c>
      <c r="K2831" t="s">
        <v>4744</v>
      </c>
      <c r="L2831">
        <v>105.58</v>
      </c>
      <c r="M2831">
        <v>5.1502439999999998</v>
      </c>
      <c r="N2831" t="s">
        <v>5272</v>
      </c>
      <c r="O2831" t="s">
        <v>461</v>
      </c>
    </row>
    <row r="2832" spans="1:15" x14ac:dyDescent="0.3">
      <c r="A2832">
        <v>220969</v>
      </c>
      <c r="B2832">
        <v>105</v>
      </c>
      <c r="C2832" t="s">
        <v>557</v>
      </c>
      <c r="D2832" t="s">
        <v>2605</v>
      </c>
      <c r="E2832" t="s">
        <v>3236</v>
      </c>
      <c r="F2832" s="451">
        <v>46098</v>
      </c>
      <c r="G2832">
        <v>18073</v>
      </c>
      <c r="H2832" t="s">
        <v>4974</v>
      </c>
      <c r="I2832" t="s">
        <v>5222</v>
      </c>
      <c r="J2832">
        <v>3</v>
      </c>
      <c r="K2832" t="s">
        <v>4805</v>
      </c>
      <c r="L2832">
        <v>142.80000000000001</v>
      </c>
      <c r="M2832">
        <v>47.6</v>
      </c>
      <c r="N2832" t="s">
        <v>5271</v>
      </c>
      <c r="O2832" t="s">
        <v>461</v>
      </c>
    </row>
    <row r="2833" spans="1:15" x14ac:dyDescent="0.3">
      <c r="A2833">
        <v>220969</v>
      </c>
      <c r="B2833">
        <v>105</v>
      </c>
      <c r="C2833" t="s">
        <v>557</v>
      </c>
      <c r="D2833" t="s">
        <v>2605</v>
      </c>
      <c r="E2833" t="s">
        <v>3236</v>
      </c>
      <c r="F2833" s="451">
        <v>46098</v>
      </c>
      <c r="G2833">
        <v>18253</v>
      </c>
      <c r="H2833" t="s">
        <v>4969</v>
      </c>
      <c r="I2833" t="s">
        <v>5222</v>
      </c>
      <c r="J2833">
        <v>4</v>
      </c>
      <c r="K2833" t="s">
        <v>4805</v>
      </c>
      <c r="L2833">
        <v>115.2</v>
      </c>
      <c r="M2833">
        <v>28.8</v>
      </c>
      <c r="N2833" t="s">
        <v>5271</v>
      </c>
      <c r="O2833" t="s">
        <v>461</v>
      </c>
    </row>
    <row r="2834" spans="1:15" x14ac:dyDescent="0.3">
      <c r="A2834">
        <v>220969</v>
      </c>
      <c r="B2834">
        <v>105</v>
      </c>
      <c r="C2834" t="s">
        <v>557</v>
      </c>
      <c r="D2834" t="s">
        <v>2605</v>
      </c>
      <c r="E2834" t="s">
        <v>3236</v>
      </c>
      <c r="F2834" s="451">
        <v>46098</v>
      </c>
      <c r="G2834">
        <v>17721</v>
      </c>
      <c r="H2834" t="s">
        <v>4977</v>
      </c>
      <c r="I2834" t="s">
        <v>5222</v>
      </c>
      <c r="J2834">
        <v>3</v>
      </c>
      <c r="K2834" t="s">
        <v>4805</v>
      </c>
      <c r="L2834">
        <v>41.4</v>
      </c>
      <c r="M2834">
        <v>13.8</v>
      </c>
      <c r="N2834" t="s">
        <v>5271</v>
      </c>
      <c r="O2834" t="s">
        <v>461</v>
      </c>
    </row>
    <row r="2835" spans="1:15" x14ac:dyDescent="0.3">
      <c r="A2835">
        <v>220968</v>
      </c>
      <c r="B2835">
        <v>105</v>
      </c>
      <c r="C2835" t="s">
        <v>557</v>
      </c>
      <c r="D2835" t="s">
        <v>2605</v>
      </c>
      <c r="E2835" t="s">
        <v>3237</v>
      </c>
      <c r="F2835" s="451">
        <v>46108</v>
      </c>
      <c r="G2835">
        <v>25358</v>
      </c>
      <c r="H2835" t="s">
        <v>4980</v>
      </c>
      <c r="I2835" t="s">
        <v>5191</v>
      </c>
      <c r="J2835">
        <v>1</v>
      </c>
      <c r="K2835" t="s">
        <v>5238</v>
      </c>
      <c r="L2835">
        <v>81.599999999999994</v>
      </c>
      <c r="M2835">
        <v>81.599999999999994</v>
      </c>
      <c r="N2835" t="s">
        <v>5272</v>
      </c>
      <c r="O2835" t="s">
        <v>461</v>
      </c>
    </row>
    <row r="2836" spans="1:15" x14ac:dyDescent="0.3">
      <c r="A2836">
        <v>220968</v>
      </c>
      <c r="B2836">
        <v>105</v>
      </c>
      <c r="C2836" t="s">
        <v>557</v>
      </c>
      <c r="D2836" t="s">
        <v>2605</v>
      </c>
      <c r="E2836" t="s">
        <v>3237</v>
      </c>
      <c r="F2836" s="451">
        <v>46108</v>
      </c>
      <c r="G2836">
        <v>19241</v>
      </c>
      <c r="H2836" t="s">
        <v>4890</v>
      </c>
      <c r="I2836" t="s">
        <v>5191</v>
      </c>
      <c r="J2836">
        <v>2</v>
      </c>
      <c r="K2836" t="s">
        <v>5206</v>
      </c>
      <c r="L2836">
        <v>7.2</v>
      </c>
      <c r="M2836">
        <v>3.6</v>
      </c>
      <c r="N2836" t="s">
        <v>5272</v>
      </c>
      <c r="O2836" t="s">
        <v>461</v>
      </c>
    </row>
    <row r="2837" spans="1:15" x14ac:dyDescent="0.3">
      <c r="A2837">
        <v>220968</v>
      </c>
      <c r="B2837">
        <v>105</v>
      </c>
      <c r="C2837" t="s">
        <v>557</v>
      </c>
      <c r="D2837" t="s">
        <v>2605</v>
      </c>
      <c r="E2837" t="s">
        <v>3237</v>
      </c>
      <c r="F2837" s="451">
        <v>46108</v>
      </c>
      <c r="G2837">
        <v>20657</v>
      </c>
      <c r="H2837" t="s">
        <v>5109</v>
      </c>
      <c r="I2837" t="s">
        <v>5191</v>
      </c>
      <c r="J2837">
        <v>5</v>
      </c>
      <c r="K2837" t="s">
        <v>5206</v>
      </c>
      <c r="L2837">
        <v>34</v>
      </c>
      <c r="M2837">
        <v>6.8</v>
      </c>
      <c r="N2837" t="s">
        <v>5272</v>
      </c>
      <c r="O2837" t="s">
        <v>461</v>
      </c>
    </row>
    <row r="2838" spans="1:15" x14ac:dyDescent="0.3">
      <c r="A2838">
        <v>220968</v>
      </c>
      <c r="B2838">
        <v>105</v>
      </c>
      <c r="C2838" t="s">
        <v>557</v>
      </c>
      <c r="D2838" t="s">
        <v>2605</v>
      </c>
      <c r="E2838" t="s">
        <v>3237</v>
      </c>
      <c r="F2838" s="451">
        <v>46108</v>
      </c>
      <c r="G2838">
        <v>19322</v>
      </c>
      <c r="H2838" t="s">
        <v>4830</v>
      </c>
      <c r="I2838" t="s">
        <v>5191</v>
      </c>
      <c r="J2838">
        <v>4.2</v>
      </c>
      <c r="K2838" t="s">
        <v>4744</v>
      </c>
      <c r="L2838">
        <v>187.32</v>
      </c>
      <c r="M2838">
        <v>44.6</v>
      </c>
      <c r="N2838" t="s">
        <v>5272</v>
      </c>
      <c r="O2838" t="s">
        <v>461</v>
      </c>
    </row>
    <row r="2839" spans="1:15" x14ac:dyDescent="0.3">
      <c r="A2839">
        <v>220968</v>
      </c>
      <c r="B2839">
        <v>105</v>
      </c>
      <c r="C2839" t="s">
        <v>557</v>
      </c>
      <c r="D2839" t="s">
        <v>2605</v>
      </c>
      <c r="E2839" t="s">
        <v>3237</v>
      </c>
      <c r="F2839" s="451">
        <v>46108</v>
      </c>
      <c r="G2839">
        <v>19356</v>
      </c>
      <c r="H2839" t="s">
        <v>4799</v>
      </c>
      <c r="I2839" t="s">
        <v>5191</v>
      </c>
      <c r="J2839">
        <v>12.52</v>
      </c>
      <c r="K2839" t="s">
        <v>5227</v>
      </c>
      <c r="L2839">
        <v>694.86</v>
      </c>
      <c r="M2839">
        <v>55.5</v>
      </c>
      <c r="N2839" t="s">
        <v>5272</v>
      </c>
      <c r="O2839" t="s">
        <v>461</v>
      </c>
    </row>
    <row r="2840" spans="1:15" x14ac:dyDescent="0.3">
      <c r="A2840">
        <v>220968</v>
      </c>
      <c r="B2840">
        <v>105</v>
      </c>
      <c r="C2840" t="s">
        <v>557</v>
      </c>
      <c r="D2840" t="s">
        <v>2605</v>
      </c>
      <c r="E2840" t="s">
        <v>3237</v>
      </c>
      <c r="F2840" s="451">
        <v>46108</v>
      </c>
      <c r="G2840">
        <v>20122</v>
      </c>
      <c r="H2840" t="s">
        <v>4781</v>
      </c>
      <c r="I2840" t="s">
        <v>5191</v>
      </c>
      <c r="J2840">
        <v>5</v>
      </c>
      <c r="K2840" t="s">
        <v>5227</v>
      </c>
      <c r="L2840">
        <v>72</v>
      </c>
      <c r="M2840">
        <v>14.4</v>
      </c>
      <c r="N2840" t="s">
        <v>5272</v>
      </c>
      <c r="O2840" t="s">
        <v>461</v>
      </c>
    </row>
    <row r="2841" spans="1:15" x14ac:dyDescent="0.3">
      <c r="A2841">
        <v>220968</v>
      </c>
      <c r="B2841">
        <v>105</v>
      </c>
      <c r="C2841" t="s">
        <v>557</v>
      </c>
      <c r="D2841" t="s">
        <v>2605</v>
      </c>
      <c r="E2841" t="s">
        <v>3237</v>
      </c>
      <c r="F2841" s="451">
        <v>46108</v>
      </c>
      <c r="G2841">
        <v>24322</v>
      </c>
      <c r="H2841" t="s">
        <v>5064</v>
      </c>
      <c r="I2841" t="s">
        <v>5191</v>
      </c>
      <c r="J2841">
        <v>2</v>
      </c>
      <c r="K2841" t="s">
        <v>5227</v>
      </c>
      <c r="L2841">
        <v>44</v>
      </c>
      <c r="M2841">
        <v>22</v>
      </c>
      <c r="N2841" t="s">
        <v>5272</v>
      </c>
      <c r="O2841" t="s">
        <v>461</v>
      </c>
    </row>
    <row r="2842" spans="1:15" x14ac:dyDescent="0.3">
      <c r="A2842">
        <v>220968</v>
      </c>
      <c r="B2842">
        <v>105</v>
      </c>
      <c r="C2842" t="s">
        <v>557</v>
      </c>
      <c r="D2842" t="s">
        <v>2605</v>
      </c>
      <c r="E2842" t="s">
        <v>3237</v>
      </c>
      <c r="F2842" s="451">
        <v>46108</v>
      </c>
      <c r="G2842">
        <v>20689</v>
      </c>
      <c r="H2842" t="s">
        <v>5007</v>
      </c>
      <c r="I2842" t="s">
        <v>5191</v>
      </c>
      <c r="J2842">
        <v>3</v>
      </c>
      <c r="K2842" t="s">
        <v>5227</v>
      </c>
      <c r="L2842">
        <v>94.8</v>
      </c>
      <c r="M2842">
        <v>31.6</v>
      </c>
      <c r="N2842" t="s">
        <v>5272</v>
      </c>
      <c r="O2842" t="s">
        <v>461</v>
      </c>
    </row>
    <row r="2843" spans="1:15" x14ac:dyDescent="0.3">
      <c r="A2843">
        <v>220967</v>
      </c>
      <c r="B2843">
        <v>105</v>
      </c>
      <c r="C2843" t="s">
        <v>557</v>
      </c>
      <c r="D2843" t="s">
        <v>2690</v>
      </c>
      <c r="E2843" t="s">
        <v>3238</v>
      </c>
      <c r="F2843" s="451">
        <v>46107</v>
      </c>
      <c r="G2843">
        <v>18502</v>
      </c>
      <c r="H2843" t="s">
        <v>4893</v>
      </c>
      <c r="I2843" t="s">
        <v>5222</v>
      </c>
      <c r="J2843">
        <v>3</v>
      </c>
      <c r="K2843" t="s">
        <v>4805</v>
      </c>
      <c r="L2843">
        <v>181.17</v>
      </c>
      <c r="M2843">
        <v>60.39</v>
      </c>
      <c r="N2843" t="s">
        <v>5222</v>
      </c>
      <c r="O2843" t="s">
        <v>461</v>
      </c>
    </row>
    <row r="2844" spans="1:15" x14ac:dyDescent="0.3">
      <c r="A2844">
        <v>220966</v>
      </c>
      <c r="B2844">
        <v>105</v>
      </c>
      <c r="C2844" t="s">
        <v>557</v>
      </c>
      <c r="D2844" t="s">
        <v>2690</v>
      </c>
      <c r="E2844" t="s">
        <v>3239</v>
      </c>
      <c r="F2844" s="451">
        <v>46105</v>
      </c>
      <c r="G2844">
        <v>18129</v>
      </c>
      <c r="H2844" t="s">
        <v>5043</v>
      </c>
      <c r="I2844" t="s">
        <v>5222</v>
      </c>
      <c r="J2844">
        <v>1</v>
      </c>
      <c r="K2844" t="s">
        <v>4805</v>
      </c>
      <c r="L2844">
        <v>132.05000000000001</v>
      </c>
      <c r="M2844">
        <v>132.05000000000001</v>
      </c>
      <c r="N2844" t="s">
        <v>5222</v>
      </c>
      <c r="O2844" t="s">
        <v>461</v>
      </c>
    </row>
    <row r="2845" spans="1:15" x14ac:dyDescent="0.3">
      <c r="A2845">
        <v>220966</v>
      </c>
      <c r="B2845">
        <v>105</v>
      </c>
      <c r="C2845" t="s">
        <v>557</v>
      </c>
      <c r="D2845" t="s">
        <v>2690</v>
      </c>
      <c r="E2845" t="s">
        <v>3239</v>
      </c>
      <c r="F2845" s="451">
        <v>46105</v>
      </c>
      <c r="G2845">
        <v>18253</v>
      </c>
      <c r="H2845" t="s">
        <v>4969</v>
      </c>
      <c r="I2845" t="s">
        <v>5222</v>
      </c>
      <c r="J2845">
        <v>3</v>
      </c>
      <c r="K2845" t="s">
        <v>4805</v>
      </c>
      <c r="L2845">
        <v>84.93</v>
      </c>
      <c r="M2845">
        <v>28.31</v>
      </c>
      <c r="N2845" t="s">
        <v>5222</v>
      </c>
      <c r="O2845" t="s">
        <v>461</v>
      </c>
    </row>
    <row r="2846" spans="1:15" x14ac:dyDescent="0.3">
      <c r="A2846">
        <v>220965</v>
      </c>
      <c r="B2846">
        <v>105</v>
      </c>
      <c r="C2846" t="s">
        <v>557</v>
      </c>
      <c r="D2846" t="s">
        <v>1786</v>
      </c>
      <c r="E2846" t="s">
        <v>1787</v>
      </c>
      <c r="F2846" s="451">
        <v>46112</v>
      </c>
      <c r="G2846">
        <v>24339</v>
      </c>
      <c r="H2846" t="s">
        <v>4885</v>
      </c>
      <c r="I2846" t="s">
        <v>5191</v>
      </c>
      <c r="J2846">
        <v>2.5</v>
      </c>
      <c r="K2846" t="s">
        <v>4744</v>
      </c>
      <c r="L2846">
        <v>62.47</v>
      </c>
      <c r="M2846">
        <v>24.988</v>
      </c>
      <c r="N2846" t="s">
        <v>5272</v>
      </c>
      <c r="O2846" t="s">
        <v>461</v>
      </c>
    </row>
    <row r="2847" spans="1:15" x14ac:dyDescent="0.3">
      <c r="A2847">
        <v>220965</v>
      </c>
      <c r="B2847">
        <v>105</v>
      </c>
      <c r="C2847" t="s">
        <v>557</v>
      </c>
      <c r="D2847" t="s">
        <v>1786</v>
      </c>
      <c r="E2847" t="s">
        <v>1787</v>
      </c>
      <c r="F2847" s="451">
        <v>46112</v>
      </c>
      <c r="G2847">
        <v>20501</v>
      </c>
      <c r="H2847" t="s">
        <v>4760</v>
      </c>
      <c r="I2847" t="s">
        <v>5191</v>
      </c>
      <c r="J2847">
        <v>20</v>
      </c>
      <c r="K2847" t="s">
        <v>4744</v>
      </c>
      <c r="L2847">
        <v>424</v>
      </c>
      <c r="M2847">
        <v>21.2</v>
      </c>
      <c r="N2847" t="s">
        <v>5272</v>
      </c>
      <c r="O2847" t="s">
        <v>461</v>
      </c>
    </row>
    <row r="2848" spans="1:15" x14ac:dyDescent="0.3">
      <c r="A2848">
        <v>220964</v>
      </c>
      <c r="B2848">
        <v>105</v>
      </c>
      <c r="C2848" t="s">
        <v>557</v>
      </c>
      <c r="D2848" t="s">
        <v>1786</v>
      </c>
      <c r="E2848" t="s">
        <v>3240</v>
      </c>
      <c r="F2848" s="451">
        <v>46107</v>
      </c>
      <c r="G2848">
        <v>18989</v>
      </c>
      <c r="H2848" t="s">
        <v>5366</v>
      </c>
      <c r="I2848" t="s">
        <v>5191</v>
      </c>
      <c r="J2848">
        <v>40</v>
      </c>
      <c r="K2848" t="s">
        <v>4744</v>
      </c>
      <c r="L2848">
        <v>559.20000000000005</v>
      </c>
      <c r="M2848">
        <v>13.98</v>
      </c>
      <c r="N2848" t="s">
        <v>5272</v>
      </c>
      <c r="O2848" t="s">
        <v>461</v>
      </c>
    </row>
    <row r="2849" spans="1:15" x14ac:dyDescent="0.3">
      <c r="A2849">
        <v>220963</v>
      </c>
      <c r="B2849">
        <v>105</v>
      </c>
      <c r="C2849" t="s">
        <v>557</v>
      </c>
      <c r="D2849" t="s">
        <v>1786</v>
      </c>
      <c r="E2849" t="s">
        <v>3241</v>
      </c>
      <c r="F2849" s="451">
        <v>46108</v>
      </c>
      <c r="G2849">
        <v>24339</v>
      </c>
      <c r="H2849" t="s">
        <v>4885</v>
      </c>
      <c r="I2849" t="s">
        <v>5191</v>
      </c>
      <c r="J2849">
        <v>2.5</v>
      </c>
      <c r="K2849" t="s">
        <v>4744</v>
      </c>
      <c r="L2849">
        <v>62.47</v>
      </c>
      <c r="M2849">
        <v>24.988</v>
      </c>
      <c r="N2849" t="s">
        <v>5272</v>
      </c>
      <c r="O2849" t="s">
        <v>461</v>
      </c>
    </row>
    <row r="2850" spans="1:15" x14ac:dyDescent="0.3">
      <c r="A2850">
        <v>220963</v>
      </c>
      <c r="B2850">
        <v>105</v>
      </c>
      <c r="C2850" t="s">
        <v>557</v>
      </c>
      <c r="D2850" t="s">
        <v>1786</v>
      </c>
      <c r="E2850" t="s">
        <v>3241</v>
      </c>
      <c r="F2850" s="451">
        <v>46108</v>
      </c>
      <c r="G2850">
        <v>20501</v>
      </c>
      <c r="H2850" t="s">
        <v>4760</v>
      </c>
      <c r="I2850" t="s">
        <v>5191</v>
      </c>
      <c r="J2850">
        <v>20</v>
      </c>
      <c r="K2850" t="s">
        <v>4744</v>
      </c>
      <c r="L2850">
        <v>424</v>
      </c>
      <c r="M2850">
        <v>21.2</v>
      </c>
      <c r="N2850" t="s">
        <v>5272</v>
      </c>
      <c r="O2850" t="s">
        <v>461</v>
      </c>
    </row>
    <row r="2851" spans="1:15" x14ac:dyDescent="0.3">
      <c r="A2851">
        <v>220962</v>
      </c>
      <c r="B2851">
        <v>105</v>
      </c>
      <c r="C2851" t="s">
        <v>557</v>
      </c>
      <c r="D2851" t="s">
        <v>2675</v>
      </c>
      <c r="E2851" t="s">
        <v>3242</v>
      </c>
      <c r="F2851" s="451">
        <v>46104</v>
      </c>
      <c r="G2851">
        <v>23980</v>
      </c>
      <c r="H2851" t="s">
        <v>5097</v>
      </c>
      <c r="I2851" t="s">
        <v>5191</v>
      </c>
      <c r="J2851">
        <v>21.9</v>
      </c>
      <c r="K2851" t="s">
        <v>4744</v>
      </c>
      <c r="L2851">
        <v>854.1</v>
      </c>
      <c r="M2851">
        <v>39</v>
      </c>
      <c r="N2851" t="s">
        <v>5272</v>
      </c>
      <c r="O2851" t="s">
        <v>461</v>
      </c>
    </row>
    <row r="2852" spans="1:15" x14ac:dyDescent="0.3">
      <c r="A2852">
        <v>220961</v>
      </c>
      <c r="B2852">
        <v>105</v>
      </c>
      <c r="C2852" t="s">
        <v>557</v>
      </c>
      <c r="D2852" t="s">
        <v>2675</v>
      </c>
      <c r="E2852" t="s">
        <v>3243</v>
      </c>
      <c r="F2852" s="451">
        <v>46097</v>
      </c>
      <c r="G2852">
        <v>23980</v>
      </c>
      <c r="H2852" t="s">
        <v>5097</v>
      </c>
      <c r="I2852" t="s">
        <v>5191</v>
      </c>
      <c r="J2852">
        <v>16</v>
      </c>
      <c r="K2852" t="s">
        <v>4744</v>
      </c>
      <c r="L2852">
        <v>624</v>
      </c>
      <c r="M2852">
        <v>39</v>
      </c>
      <c r="N2852" t="s">
        <v>5272</v>
      </c>
      <c r="O2852" t="s">
        <v>461</v>
      </c>
    </row>
    <row r="2853" spans="1:15" x14ac:dyDescent="0.3">
      <c r="A2853">
        <v>220960</v>
      </c>
      <c r="B2853">
        <v>105</v>
      </c>
      <c r="C2853" t="s">
        <v>557</v>
      </c>
      <c r="D2853" t="s">
        <v>2699</v>
      </c>
      <c r="E2853" t="s">
        <v>3244</v>
      </c>
      <c r="F2853" s="451">
        <v>46098</v>
      </c>
      <c r="G2853">
        <v>18116</v>
      </c>
      <c r="H2853" t="s">
        <v>5045</v>
      </c>
      <c r="I2853" t="s">
        <v>5222</v>
      </c>
      <c r="J2853">
        <v>2</v>
      </c>
      <c r="K2853" t="s">
        <v>4805</v>
      </c>
      <c r="L2853">
        <v>173.2</v>
      </c>
      <c r="M2853">
        <v>86.6</v>
      </c>
      <c r="N2853" t="s">
        <v>5222</v>
      </c>
      <c r="O2853" t="s">
        <v>461</v>
      </c>
    </row>
    <row r="2854" spans="1:15" x14ac:dyDescent="0.3">
      <c r="A2854">
        <v>220960</v>
      </c>
      <c r="B2854">
        <v>105</v>
      </c>
      <c r="C2854" t="s">
        <v>557</v>
      </c>
      <c r="D2854" t="s">
        <v>2699</v>
      </c>
      <c r="E2854" t="s">
        <v>3244</v>
      </c>
      <c r="F2854" s="451">
        <v>46098</v>
      </c>
      <c r="G2854">
        <v>20955</v>
      </c>
      <c r="H2854" t="s">
        <v>4959</v>
      </c>
      <c r="I2854" t="s">
        <v>5191</v>
      </c>
      <c r="J2854">
        <v>1</v>
      </c>
      <c r="K2854" t="s">
        <v>4805</v>
      </c>
      <c r="L2854">
        <v>10.9</v>
      </c>
      <c r="M2854">
        <v>10.9</v>
      </c>
      <c r="N2854" t="s">
        <v>5222</v>
      </c>
      <c r="O2854" t="s">
        <v>461</v>
      </c>
    </row>
    <row r="2855" spans="1:15" x14ac:dyDescent="0.3">
      <c r="A2855">
        <v>220960</v>
      </c>
      <c r="B2855">
        <v>105</v>
      </c>
      <c r="C2855" t="s">
        <v>557</v>
      </c>
      <c r="D2855" t="s">
        <v>2699</v>
      </c>
      <c r="E2855" t="s">
        <v>3244</v>
      </c>
      <c r="F2855" s="451">
        <v>46098</v>
      </c>
      <c r="G2855">
        <v>18172</v>
      </c>
      <c r="H2855" t="s">
        <v>4804</v>
      </c>
      <c r="I2855" t="s">
        <v>5222</v>
      </c>
      <c r="J2855">
        <v>7</v>
      </c>
      <c r="K2855" t="s">
        <v>4805</v>
      </c>
      <c r="L2855">
        <v>219.8</v>
      </c>
      <c r="M2855">
        <v>31.4</v>
      </c>
      <c r="N2855" t="s">
        <v>5222</v>
      </c>
      <c r="O2855" t="s">
        <v>461</v>
      </c>
    </row>
    <row r="2856" spans="1:15" x14ac:dyDescent="0.3">
      <c r="A2856">
        <v>220959</v>
      </c>
      <c r="B2856">
        <v>105</v>
      </c>
      <c r="C2856" t="s">
        <v>557</v>
      </c>
      <c r="D2856" t="s">
        <v>3245</v>
      </c>
      <c r="E2856" t="s">
        <v>3246</v>
      </c>
      <c r="F2856" s="451">
        <v>46090</v>
      </c>
      <c r="G2856">
        <v>24550</v>
      </c>
      <c r="H2856" t="s">
        <v>5367</v>
      </c>
      <c r="I2856" t="s">
        <v>5205</v>
      </c>
      <c r="J2856">
        <v>120</v>
      </c>
      <c r="K2856" t="s">
        <v>4736</v>
      </c>
      <c r="L2856">
        <v>574.79999999999995</v>
      </c>
      <c r="M2856">
        <v>4.79</v>
      </c>
      <c r="N2856" t="s">
        <v>5205</v>
      </c>
      <c r="O2856" t="s">
        <v>461</v>
      </c>
    </row>
    <row r="2857" spans="1:15" x14ac:dyDescent="0.3">
      <c r="A2857">
        <v>220958</v>
      </c>
      <c r="B2857">
        <v>105</v>
      </c>
      <c r="C2857" t="s">
        <v>557</v>
      </c>
      <c r="D2857" t="s">
        <v>2716</v>
      </c>
      <c r="E2857" t="s">
        <v>3247</v>
      </c>
      <c r="F2857" s="451">
        <v>46107</v>
      </c>
      <c r="G2857">
        <v>24351</v>
      </c>
      <c r="H2857" t="s">
        <v>5014</v>
      </c>
      <c r="I2857" t="s">
        <v>5191</v>
      </c>
      <c r="J2857">
        <v>20</v>
      </c>
      <c r="K2857" t="s">
        <v>4744</v>
      </c>
      <c r="L2857">
        <v>240</v>
      </c>
      <c r="M2857">
        <v>12</v>
      </c>
      <c r="N2857" t="s">
        <v>5272</v>
      </c>
      <c r="O2857" t="s">
        <v>461</v>
      </c>
    </row>
    <row r="2858" spans="1:15" x14ac:dyDescent="0.3">
      <c r="A2858">
        <v>220957</v>
      </c>
      <c r="B2858">
        <v>105</v>
      </c>
      <c r="C2858" t="s">
        <v>557</v>
      </c>
      <c r="D2858" t="s">
        <v>2579</v>
      </c>
      <c r="E2858" t="s">
        <v>3248</v>
      </c>
      <c r="F2858" s="451">
        <v>46098</v>
      </c>
      <c r="G2858">
        <v>19634</v>
      </c>
      <c r="H2858" t="s">
        <v>4792</v>
      </c>
      <c r="I2858" t="s">
        <v>5191</v>
      </c>
      <c r="J2858">
        <v>6</v>
      </c>
      <c r="K2858" t="s">
        <v>4744</v>
      </c>
      <c r="L2858">
        <v>52.5</v>
      </c>
      <c r="M2858">
        <v>8.75</v>
      </c>
      <c r="N2858" t="s">
        <v>5272</v>
      </c>
      <c r="O2858" t="s">
        <v>461</v>
      </c>
    </row>
    <row r="2859" spans="1:15" x14ac:dyDescent="0.3">
      <c r="A2859">
        <v>220957</v>
      </c>
      <c r="B2859">
        <v>105</v>
      </c>
      <c r="C2859" t="s">
        <v>557</v>
      </c>
      <c r="D2859" t="s">
        <v>2579</v>
      </c>
      <c r="E2859" t="s">
        <v>3248</v>
      </c>
      <c r="F2859" s="451">
        <v>46098</v>
      </c>
      <c r="G2859">
        <v>19635</v>
      </c>
      <c r="H2859" t="s">
        <v>4786</v>
      </c>
      <c r="I2859" t="s">
        <v>5191</v>
      </c>
      <c r="J2859">
        <v>5</v>
      </c>
      <c r="K2859" t="s">
        <v>4744</v>
      </c>
      <c r="L2859">
        <v>31.25</v>
      </c>
      <c r="M2859">
        <v>6.25</v>
      </c>
      <c r="N2859" t="s">
        <v>5272</v>
      </c>
      <c r="O2859" t="s">
        <v>461</v>
      </c>
    </row>
    <row r="2860" spans="1:15" x14ac:dyDescent="0.3">
      <c r="A2860">
        <v>220957</v>
      </c>
      <c r="B2860">
        <v>105</v>
      </c>
      <c r="C2860" t="s">
        <v>557</v>
      </c>
      <c r="D2860" t="s">
        <v>2579</v>
      </c>
      <c r="E2860" t="s">
        <v>3248</v>
      </c>
      <c r="F2860" s="451">
        <v>46098</v>
      </c>
      <c r="G2860">
        <v>23361</v>
      </c>
      <c r="H2860" t="s">
        <v>4754</v>
      </c>
      <c r="I2860" t="s">
        <v>5191</v>
      </c>
      <c r="J2860">
        <v>20</v>
      </c>
      <c r="K2860" t="s">
        <v>4744</v>
      </c>
      <c r="L2860">
        <v>67.599999999999994</v>
      </c>
      <c r="M2860">
        <v>3.38</v>
      </c>
      <c r="N2860" t="s">
        <v>5272</v>
      </c>
      <c r="O2860" t="s">
        <v>461</v>
      </c>
    </row>
    <row r="2861" spans="1:15" x14ac:dyDescent="0.3">
      <c r="A2861">
        <v>220957</v>
      </c>
      <c r="B2861">
        <v>105</v>
      </c>
      <c r="C2861" t="s">
        <v>557</v>
      </c>
      <c r="D2861" t="s">
        <v>2579</v>
      </c>
      <c r="E2861" t="s">
        <v>3248</v>
      </c>
      <c r="F2861" s="451">
        <v>46098</v>
      </c>
      <c r="G2861">
        <v>19632</v>
      </c>
      <c r="H2861" t="s">
        <v>4936</v>
      </c>
      <c r="I2861" t="s">
        <v>5191</v>
      </c>
      <c r="J2861">
        <v>2</v>
      </c>
      <c r="K2861" t="s">
        <v>4744</v>
      </c>
      <c r="L2861">
        <v>8.76</v>
      </c>
      <c r="M2861">
        <v>4.38</v>
      </c>
      <c r="N2861" t="s">
        <v>5272</v>
      </c>
      <c r="O2861" t="s">
        <v>461</v>
      </c>
    </row>
    <row r="2862" spans="1:15" x14ac:dyDescent="0.3">
      <c r="A2862">
        <v>220956</v>
      </c>
      <c r="B2862">
        <v>105</v>
      </c>
      <c r="C2862" t="s">
        <v>557</v>
      </c>
      <c r="D2862" t="s">
        <v>2579</v>
      </c>
      <c r="E2862" t="s">
        <v>3249</v>
      </c>
      <c r="F2862" s="451">
        <v>46100</v>
      </c>
      <c r="G2862">
        <v>19589</v>
      </c>
      <c r="H2862" t="s">
        <v>4983</v>
      </c>
      <c r="I2862" t="s">
        <v>5191</v>
      </c>
      <c r="J2862">
        <v>4</v>
      </c>
      <c r="K2862" t="s">
        <v>4744</v>
      </c>
      <c r="L2862">
        <v>17.52</v>
      </c>
      <c r="M2862">
        <v>4.38</v>
      </c>
      <c r="N2862" t="s">
        <v>5272</v>
      </c>
      <c r="O2862" t="s">
        <v>461</v>
      </c>
    </row>
    <row r="2863" spans="1:15" x14ac:dyDescent="0.3">
      <c r="A2863">
        <v>220956</v>
      </c>
      <c r="B2863">
        <v>105</v>
      </c>
      <c r="C2863" t="s">
        <v>557</v>
      </c>
      <c r="D2863" t="s">
        <v>2579</v>
      </c>
      <c r="E2863" t="s">
        <v>3249</v>
      </c>
      <c r="F2863" s="451">
        <v>46100</v>
      </c>
      <c r="G2863">
        <v>19492</v>
      </c>
      <c r="H2863" t="s">
        <v>4937</v>
      </c>
      <c r="I2863" t="s">
        <v>5191</v>
      </c>
      <c r="J2863">
        <v>3</v>
      </c>
      <c r="K2863" t="s">
        <v>4744</v>
      </c>
      <c r="L2863">
        <v>65.64</v>
      </c>
      <c r="M2863">
        <v>21.88</v>
      </c>
      <c r="N2863" t="s">
        <v>5272</v>
      </c>
      <c r="O2863" t="s">
        <v>461</v>
      </c>
    </row>
    <row r="2864" spans="1:15" x14ac:dyDescent="0.3">
      <c r="A2864">
        <v>220956</v>
      </c>
      <c r="B2864">
        <v>105</v>
      </c>
      <c r="C2864" t="s">
        <v>557</v>
      </c>
      <c r="D2864" t="s">
        <v>2579</v>
      </c>
      <c r="E2864" t="s">
        <v>3249</v>
      </c>
      <c r="F2864" s="451">
        <v>46100</v>
      </c>
      <c r="G2864">
        <v>19751</v>
      </c>
      <c r="H2864" t="s">
        <v>4800</v>
      </c>
      <c r="I2864" t="s">
        <v>5191</v>
      </c>
      <c r="J2864">
        <v>4</v>
      </c>
      <c r="K2864" t="s">
        <v>4744</v>
      </c>
      <c r="L2864">
        <v>45</v>
      </c>
      <c r="M2864">
        <v>11.25</v>
      </c>
      <c r="N2864" t="s">
        <v>5272</v>
      </c>
      <c r="O2864" t="s">
        <v>461</v>
      </c>
    </row>
    <row r="2865" spans="1:15" x14ac:dyDescent="0.3">
      <c r="A2865">
        <v>220956</v>
      </c>
      <c r="B2865">
        <v>105</v>
      </c>
      <c r="C2865" t="s">
        <v>557</v>
      </c>
      <c r="D2865" t="s">
        <v>2579</v>
      </c>
      <c r="E2865" t="s">
        <v>3249</v>
      </c>
      <c r="F2865" s="451">
        <v>46100</v>
      </c>
      <c r="G2865">
        <v>19635</v>
      </c>
      <c r="H2865" t="s">
        <v>4786</v>
      </c>
      <c r="I2865" t="s">
        <v>5191</v>
      </c>
      <c r="J2865">
        <v>7</v>
      </c>
      <c r="K2865" t="s">
        <v>4744</v>
      </c>
      <c r="L2865">
        <v>43.75</v>
      </c>
      <c r="M2865">
        <v>6.25</v>
      </c>
      <c r="N2865" t="s">
        <v>5272</v>
      </c>
      <c r="O2865" t="s">
        <v>461</v>
      </c>
    </row>
    <row r="2866" spans="1:15" x14ac:dyDescent="0.3">
      <c r="A2866">
        <v>220956</v>
      </c>
      <c r="B2866">
        <v>105</v>
      </c>
      <c r="C2866" t="s">
        <v>557</v>
      </c>
      <c r="D2866" t="s">
        <v>2579</v>
      </c>
      <c r="E2866" t="s">
        <v>3249</v>
      </c>
      <c r="F2866" s="451">
        <v>46100</v>
      </c>
      <c r="G2866">
        <v>23335</v>
      </c>
      <c r="H2866" t="s">
        <v>4961</v>
      </c>
      <c r="I2866" t="s">
        <v>5191</v>
      </c>
      <c r="J2866">
        <v>2</v>
      </c>
      <c r="K2866" t="s">
        <v>4744</v>
      </c>
      <c r="L2866">
        <v>65</v>
      </c>
      <c r="M2866">
        <v>32.5</v>
      </c>
      <c r="N2866" t="s">
        <v>5272</v>
      </c>
      <c r="O2866" t="s">
        <v>461</v>
      </c>
    </row>
    <row r="2867" spans="1:15" x14ac:dyDescent="0.3">
      <c r="A2867">
        <v>220956</v>
      </c>
      <c r="B2867">
        <v>105</v>
      </c>
      <c r="C2867" t="s">
        <v>557</v>
      </c>
      <c r="D2867" t="s">
        <v>2579</v>
      </c>
      <c r="E2867" t="s">
        <v>3249</v>
      </c>
      <c r="F2867" s="451">
        <v>46100</v>
      </c>
      <c r="G2867">
        <v>23365</v>
      </c>
      <c r="H2867" t="s">
        <v>5108</v>
      </c>
      <c r="I2867" t="s">
        <v>5191</v>
      </c>
      <c r="J2867">
        <v>0.5</v>
      </c>
      <c r="K2867" t="s">
        <v>4744</v>
      </c>
      <c r="L2867">
        <v>13.13</v>
      </c>
      <c r="M2867">
        <v>26.26</v>
      </c>
      <c r="N2867" t="s">
        <v>5272</v>
      </c>
      <c r="O2867" t="s">
        <v>461</v>
      </c>
    </row>
    <row r="2868" spans="1:15" x14ac:dyDescent="0.3">
      <c r="A2868">
        <v>220956</v>
      </c>
      <c r="B2868">
        <v>105</v>
      </c>
      <c r="C2868" t="s">
        <v>557</v>
      </c>
      <c r="D2868" t="s">
        <v>2579</v>
      </c>
      <c r="E2868" t="s">
        <v>3249</v>
      </c>
      <c r="F2868" s="451">
        <v>46100</v>
      </c>
      <c r="G2868">
        <v>19632</v>
      </c>
      <c r="H2868" t="s">
        <v>4936</v>
      </c>
      <c r="I2868" t="s">
        <v>5191</v>
      </c>
      <c r="J2868">
        <v>2</v>
      </c>
      <c r="K2868" t="s">
        <v>4744</v>
      </c>
      <c r="L2868">
        <v>8.76</v>
      </c>
      <c r="M2868">
        <v>4.38</v>
      </c>
      <c r="N2868" t="s">
        <v>5272</v>
      </c>
      <c r="O2868" t="s">
        <v>461</v>
      </c>
    </row>
    <row r="2869" spans="1:15" x14ac:dyDescent="0.3">
      <c r="A2869">
        <v>220956</v>
      </c>
      <c r="B2869">
        <v>105</v>
      </c>
      <c r="C2869" t="s">
        <v>557</v>
      </c>
      <c r="D2869" t="s">
        <v>2579</v>
      </c>
      <c r="E2869" t="s">
        <v>3249</v>
      </c>
      <c r="F2869" s="451">
        <v>46100</v>
      </c>
      <c r="G2869">
        <v>23184</v>
      </c>
      <c r="H2869" t="s">
        <v>4935</v>
      </c>
      <c r="I2869" t="s">
        <v>5191</v>
      </c>
      <c r="J2869">
        <v>2</v>
      </c>
      <c r="K2869" t="s">
        <v>4744</v>
      </c>
      <c r="L2869">
        <v>37.5</v>
      </c>
      <c r="M2869">
        <v>18.75</v>
      </c>
      <c r="N2869" t="s">
        <v>5272</v>
      </c>
      <c r="O2869" t="s">
        <v>461</v>
      </c>
    </row>
    <row r="2870" spans="1:15" x14ac:dyDescent="0.3">
      <c r="A2870">
        <v>220956</v>
      </c>
      <c r="B2870">
        <v>105</v>
      </c>
      <c r="C2870" t="s">
        <v>557</v>
      </c>
      <c r="D2870" t="s">
        <v>2579</v>
      </c>
      <c r="E2870" t="s">
        <v>3249</v>
      </c>
      <c r="F2870" s="451">
        <v>46100</v>
      </c>
      <c r="G2870">
        <v>19472</v>
      </c>
      <c r="H2870" t="s">
        <v>4906</v>
      </c>
      <c r="I2870" t="s">
        <v>5191</v>
      </c>
      <c r="J2870">
        <v>1.5</v>
      </c>
      <c r="K2870" t="s">
        <v>4744</v>
      </c>
      <c r="L2870">
        <v>37.5</v>
      </c>
      <c r="M2870">
        <v>25</v>
      </c>
      <c r="N2870" t="s">
        <v>5272</v>
      </c>
      <c r="O2870" t="s">
        <v>461</v>
      </c>
    </row>
    <row r="2871" spans="1:15" x14ac:dyDescent="0.3">
      <c r="A2871">
        <v>220955</v>
      </c>
      <c r="B2871">
        <v>105</v>
      </c>
      <c r="C2871" t="s">
        <v>557</v>
      </c>
      <c r="D2871" t="s">
        <v>2579</v>
      </c>
      <c r="E2871" t="s">
        <v>3250</v>
      </c>
      <c r="F2871" s="451">
        <v>46104</v>
      </c>
      <c r="G2871">
        <v>19634</v>
      </c>
      <c r="H2871" t="s">
        <v>4792</v>
      </c>
      <c r="I2871" t="s">
        <v>5191</v>
      </c>
      <c r="J2871">
        <v>6</v>
      </c>
      <c r="K2871" t="s">
        <v>4744</v>
      </c>
      <c r="L2871">
        <v>56.28</v>
      </c>
      <c r="M2871">
        <v>9.3800000000000008</v>
      </c>
      <c r="N2871" t="s">
        <v>5191</v>
      </c>
      <c r="O2871" t="s">
        <v>461</v>
      </c>
    </row>
    <row r="2872" spans="1:15" x14ac:dyDescent="0.3">
      <c r="A2872">
        <v>220955</v>
      </c>
      <c r="B2872">
        <v>105</v>
      </c>
      <c r="C2872" t="s">
        <v>557</v>
      </c>
      <c r="D2872" t="s">
        <v>2579</v>
      </c>
      <c r="E2872" t="s">
        <v>3250</v>
      </c>
      <c r="F2872" s="451">
        <v>46104</v>
      </c>
      <c r="G2872">
        <v>19607</v>
      </c>
      <c r="H2872" t="s">
        <v>4981</v>
      </c>
      <c r="I2872" t="s">
        <v>5191</v>
      </c>
      <c r="J2872">
        <v>0.3</v>
      </c>
      <c r="K2872" t="s">
        <v>4744</v>
      </c>
      <c r="L2872">
        <v>4.5</v>
      </c>
      <c r="M2872">
        <v>15</v>
      </c>
      <c r="N2872" t="s">
        <v>5191</v>
      </c>
      <c r="O2872" t="s">
        <v>461</v>
      </c>
    </row>
    <row r="2873" spans="1:15" x14ac:dyDescent="0.3">
      <c r="A2873">
        <v>220955</v>
      </c>
      <c r="B2873">
        <v>105</v>
      </c>
      <c r="C2873" t="s">
        <v>557</v>
      </c>
      <c r="D2873" t="s">
        <v>2579</v>
      </c>
      <c r="E2873" t="s">
        <v>3250</v>
      </c>
      <c r="F2873" s="451">
        <v>46104</v>
      </c>
      <c r="G2873">
        <v>24522</v>
      </c>
      <c r="H2873" t="s">
        <v>5072</v>
      </c>
      <c r="I2873" t="s">
        <v>5191</v>
      </c>
      <c r="J2873">
        <v>1</v>
      </c>
      <c r="K2873" t="s">
        <v>4744</v>
      </c>
      <c r="L2873">
        <v>25</v>
      </c>
      <c r="M2873">
        <v>25</v>
      </c>
      <c r="N2873" t="s">
        <v>5191</v>
      </c>
      <c r="O2873" t="s">
        <v>461</v>
      </c>
    </row>
    <row r="2874" spans="1:15" x14ac:dyDescent="0.3">
      <c r="A2874">
        <v>220955</v>
      </c>
      <c r="B2874">
        <v>105</v>
      </c>
      <c r="C2874" t="s">
        <v>557</v>
      </c>
      <c r="D2874" t="s">
        <v>2579</v>
      </c>
      <c r="E2874" t="s">
        <v>3250</v>
      </c>
      <c r="F2874" s="451">
        <v>46104</v>
      </c>
      <c r="G2874">
        <v>19751</v>
      </c>
      <c r="H2874" t="s">
        <v>4800</v>
      </c>
      <c r="I2874" t="s">
        <v>5191</v>
      </c>
      <c r="J2874">
        <v>4</v>
      </c>
      <c r="K2874" t="s">
        <v>4744</v>
      </c>
      <c r="L2874">
        <v>45</v>
      </c>
      <c r="M2874">
        <v>11.25</v>
      </c>
      <c r="N2874" t="s">
        <v>5191</v>
      </c>
      <c r="O2874" t="s">
        <v>461</v>
      </c>
    </row>
    <row r="2875" spans="1:15" x14ac:dyDescent="0.3">
      <c r="A2875">
        <v>220955</v>
      </c>
      <c r="B2875">
        <v>105</v>
      </c>
      <c r="C2875" t="s">
        <v>557</v>
      </c>
      <c r="D2875" t="s">
        <v>2579</v>
      </c>
      <c r="E2875" t="s">
        <v>3250</v>
      </c>
      <c r="F2875" s="451">
        <v>46104</v>
      </c>
      <c r="G2875">
        <v>23198</v>
      </c>
      <c r="H2875" t="s">
        <v>4962</v>
      </c>
      <c r="I2875" t="s">
        <v>5191</v>
      </c>
      <c r="J2875">
        <v>0.5</v>
      </c>
      <c r="K2875" t="s">
        <v>4744</v>
      </c>
      <c r="L2875">
        <v>6.25</v>
      </c>
      <c r="M2875">
        <v>12.5</v>
      </c>
      <c r="N2875" t="s">
        <v>5191</v>
      </c>
      <c r="O2875" t="s">
        <v>461</v>
      </c>
    </row>
    <row r="2876" spans="1:15" x14ac:dyDescent="0.3">
      <c r="A2876">
        <v>220955</v>
      </c>
      <c r="B2876">
        <v>105</v>
      </c>
      <c r="C2876" t="s">
        <v>557</v>
      </c>
      <c r="D2876" t="s">
        <v>2579</v>
      </c>
      <c r="E2876" t="s">
        <v>3250</v>
      </c>
      <c r="F2876" s="451">
        <v>46104</v>
      </c>
      <c r="G2876">
        <v>23234</v>
      </c>
      <c r="H2876" t="s">
        <v>4986</v>
      </c>
      <c r="I2876" t="s">
        <v>5191</v>
      </c>
      <c r="J2876">
        <v>1</v>
      </c>
      <c r="K2876" t="s">
        <v>4744</v>
      </c>
      <c r="L2876">
        <v>25</v>
      </c>
      <c r="M2876">
        <v>25</v>
      </c>
      <c r="N2876" t="s">
        <v>5191</v>
      </c>
      <c r="O2876" t="s">
        <v>461</v>
      </c>
    </row>
    <row r="2877" spans="1:15" x14ac:dyDescent="0.3">
      <c r="A2877">
        <v>220955</v>
      </c>
      <c r="B2877">
        <v>105</v>
      </c>
      <c r="C2877" t="s">
        <v>557</v>
      </c>
      <c r="D2877" t="s">
        <v>2579</v>
      </c>
      <c r="E2877" t="s">
        <v>3250</v>
      </c>
      <c r="F2877" s="451">
        <v>46104</v>
      </c>
      <c r="G2877">
        <v>23335</v>
      </c>
      <c r="H2877" t="s">
        <v>4961</v>
      </c>
      <c r="I2877" t="s">
        <v>5191</v>
      </c>
      <c r="J2877">
        <v>1.1000000000000001</v>
      </c>
      <c r="K2877" t="s">
        <v>4744</v>
      </c>
      <c r="L2877">
        <v>41.25</v>
      </c>
      <c r="M2877">
        <v>37.5</v>
      </c>
      <c r="N2877" t="s">
        <v>5191</v>
      </c>
      <c r="O2877" t="s">
        <v>461</v>
      </c>
    </row>
    <row r="2878" spans="1:15" x14ac:dyDescent="0.3">
      <c r="A2878">
        <v>220955</v>
      </c>
      <c r="B2878">
        <v>105</v>
      </c>
      <c r="C2878" t="s">
        <v>557</v>
      </c>
      <c r="D2878" t="s">
        <v>2579</v>
      </c>
      <c r="E2878" t="s">
        <v>3250</v>
      </c>
      <c r="F2878" s="451">
        <v>46104</v>
      </c>
      <c r="G2878">
        <v>23365</v>
      </c>
      <c r="H2878" t="s">
        <v>5108</v>
      </c>
      <c r="I2878" t="s">
        <v>5191</v>
      </c>
      <c r="J2878">
        <v>0.5</v>
      </c>
      <c r="K2878" t="s">
        <v>4744</v>
      </c>
      <c r="L2878">
        <v>11.88</v>
      </c>
      <c r="M2878">
        <v>23.76</v>
      </c>
      <c r="N2878" t="s">
        <v>5191</v>
      </c>
      <c r="O2878" t="s">
        <v>461</v>
      </c>
    </row>
    <row r="2879" spans="1:15" x14ac:dyDescent="0.3">
      <c r="A2879">
        <v>220955</v>
      </c>
      <c r="B2879">
        <v>105</v>
      </c>
      <c r="C2879" t="s">
        <v>557</v>
      </c>
      <c r="D2879" t="s">
        <v>2579</v>
      </c>
      <c r="E2879" t="s">
        <v>3250</v>
      </c>
      <c r="F2879" s="451">
        <v>46104</v>
      </c>
      <c r="G2879">
        <v>23346</v>
      </c>
      <c r="H2879" t="s">
        <v>4916</v>
      </c>
      <c r="I2879" t="s">
        <v>5191</v>
      </c>
      <c r="J2879">
        <v>2</v>
      </c>
      <c r="K2879" t="s">
        <v>4744</v>
      </c>
      <c r="L2879">
        <v>16.260000000000002</v>
      </c>
      <c r="M2879">
        <v>8.1300000000000008</v>
      </c>
      <c r="N2879" t="s">
        <v>5191</v>
      </c>
      <c r="O2879" t="s">
        <v>461</v>
      </c>
    </row>
    <row r="2880" spans="1:15" x14ac:dyDescent="0.3">
      <c r="A2880">
        <v>220955</v>
      </c>
      <c r="B2880">
        <v>105</v>
      </c>
      <c r="C2880" t="s">
        <v>557</v>
      </c>
      <c r="D2880" t="s">
        <v>2579</v>
      </c>
      <c r="E2880" t="s">
        <v>3250</v>
      </c>
      <c r="F2880" s="451">
        <v>46104</v>
      </c>
      <c r="G2880">
        <v>23359</v>
      </c>
      <c r="H2880" t="s">
        <v>4767</v>
      </c>
      <c r="I2880" t="s">
        <v>5191</v>
      </c>
      <c r="J2880">
        <v>20</v>
      </c>
      <c r="K2880" t="s">
        <v>4744</v>
      </c>
      <c r="L2880">
        <v>62.6</v>
      </c>
      <c r="M2880">
        <v>3.13</v>
      </c>
      <c r="N2880" t="s">
        <v>5191</v>
      </c>
      <c r="O2880" t="s">
        <v>461</v>
      </c>
    </row>
    <row r="2881" spans="1:15" x14ac:dyDescent="0.3">
      <c r="A2881">
        <v>220955</v>
      </c>
      <c r="B2881">
        <v>105</v>
      </c>
      <c r="C2881" t="s">
        <v>557</v>
      </c>
      <c r="D2881" t="s">
        <v>2579</v>
      </c>
      <c r="E2881" t="s">
        <v>3250</v>
      </c>
      <c r="F2881" s="451">
        <v>46104</v>
      </c>
      <c r="G2881">
        <v>23389</v>
      </c>
      <c r="H2881" t="s">
        <v>4960</v>
      </c>
      <c r="I2881" t="s">
        <v>5191</v>
      </c>
      <c r="J2881">
        <v>5</v>
      </c>
      <c r="K2881" t="s">
        <v>4744</v>
      </c>
      <c r="L2881">
        <v>25</v>
      </c>
      <c r="M2881">
        <v>5</v>
      </c>
      <c r="N2881" t="s">
        <v>5191</v>
      </c>
      <c r="O2881" t="s">
        <v>461</v>
      </c>
    </row>
    <row r="2882" spans="1:15" x14ac:dyDescent="0.3">
      <c r="A2882">
        <v>220955</v>
      </c>
      <c r="B2882">
        <v>105</v>
      </c>
      <c r="C2882" t="s">
        <v>557</v>
      </c>
      <c r="D2882" t="s">
        <v>2579</v>
      </c>
      <c r="E2882" t="s">
        <v>3250</v>
      </c>
      <c r="F2882" s="451">
        <v>46104</v>
      </c>
      <c r="G2882">
        <v>19490</v>
      </c>
      <c r="H2882" t="s">
        <v>5116</v>
      </c>
      <c r="I2882" t="s">
        <v>5191</v>
      </c>
      <c r="J2882">
        <v>0.3</v>
      </c>
      <c r="K2882" t="s">
        <v>4744</v>
      </c>
      <c r="L2882">
        <v>16.88</v>
      </c>
      <c r="M2882">
        <v>56.266666999999998</v>
      </c>
      <c r="N2882" t="s">
        <v>5191</v>
      </c>
      <c r="O2882" t="s">
        <v>461</v>
      </c>
    </row>
    <row r="2883" spans="1:15" x14ac:dyDescent="0.3">
      <c r="A2883">
        <v>220954</v>
      </c>
      <c r="B2883">
        <v>105</v>
      </c>
      <c r="C2883" t="s">
        <v>557</v>
      </c>
      <c r="D2883" t="s">
        <v>2579</v>
      </c>
      <c r="E2883" t="s">
        <v>3251</v>
      </c>
      <c r="F2883" s="451">
        <v>46105</v>
      </c>
      <c r="G2883">
        <v>19654</v>
      </c>
      <c r="H2883" t="s">
        <v>5099</v>
      </c>
      <c r="I2883" t="s">
        <v>5191</v>
      </c>
      <c r="J2883">
        <v>3</v>
      </c>
      <c r="K2883" t="s">
        <v>4744</v>
      </c>
      <c r="L2883">
        <v>20.64</v>
      </c>
      <c r="M2883">
        <v>6.88</v>
      </c>
      <c r="N2883" t="s">
        <v>5272</v>
      </c>
      <c r="O2883" t="s">
        <v>461</v>
      </c>
    </row>
    <row r="2884" spans="1:15" x14ac:dyDescent="0.3">
      <c r="A2884">
        <v>220954</v>
      </c>
      <c r="B2884">
        <v>105</v>
      </c>
      <c r="C2884" t="s">
        <v>557</v>
      </c>
      <c r="D2884" t="s">
        <v>2579</v>
      </c>
      <c r="E2884" t="s">
        <v>3251</v>
      </c>
      <c r="F2884" s="451">
        <v>46105</v>
      </c>
      <c r="G2884">
        <v>19751</v>
      </c>
      <c r="H2884" t="s">
        <v>4800</v>
      </c>
      <c r="I2884" t="s">
        <v>5191</v>
      </c>
      <c r="J2884">
        <v>3</v>
      </c>
      <c r="K2884" t="s">
        <v>4744</v>
      </c>
      <c r="L2884">
        <v>33.75</v>
      </c>
      <c r="M2884">
        <v>11.25</v>
      </c>
      <c r="N2884" t="s">
        <v>5272</v>
      </c>
      <c r="O2884" t="s">
        <v>461</v>
      </c>
    </row>
    <row r="2885" spans="1:15" x14ac:dyDescent="0.3">
      <c r="A2885">
        <v>220954</v>
      </c>
      <c r="B2885">
        <v>105</v>
      </c>
      <c r="C2885" t="s">
        <v>557</v>
      </c>
      <c r="D2885" t="s">
        <v>2579</v>
      </c>
      <c r="E2885" t="s">
        <v>3251</v>
      </c>
      <c r="F2885" s="451">
        <v>46105</v>
      </c>
      <c r="G2885">
        <v>19742</v>
      </c>
      <c r="H2885" t="s">
        <v>4900</v>
      </c>
      <c r="I2885" t="s">
        <v>5191</v>
      </c>
      <c r="J2885">
        <v>2.8</v>
      </c>
      <c r="K2885" t="s">
        <v>4744</v>
      </c>
      <c r="L2885">
        <v>29.12</v>
      </c>
      <c r="M2885">
        <v>10.4</v>
      </c>
      <c r="N2885" t="s">
        <v>5272</v>
      </c>
      <c r="O2885" t="s">
        <v>461</v>
      </c>
    </row>
    <row r="2886" spans="1:15" x14ac:dyDescent="0.3">
      <c r="A2886">
        <v>220954</v>
      </c>
      <c r="B2886">
        <v>105</v>
      </c>
      <c r="C2886" t="s">
        <v>557</v>
      </c>
      <c r="D2886" t="s">
        <v>2579</v>
      </c>
      <c r="E2886" t="s">
        <v>3251</v>
      </c>
      <c r="F2886" s="451">
        <v>46105</v>
      </c>
      <c r="G2886">
        <v>23346</v>
      </c>
      <c r="H2886" t="s">
        <v>4916</v>
      </c>
      <c r="I2886" t="s">
        <v>5191</v>
      </c>
      <c r="J2886">
        <v>2.9</v>
      </c>
      <c r="K2886" t="s">
        <v>4744</v>
      </c>
      <c r="L2886">
        <v>23.58</v>
      </c>
      <c r="M2886">
        <v>8.1310339999999997</v>
      </c>
      <c r="N2886" t="s">
        <v>5272</v>
      </c>
      <c r="O2886" t="s">
        <v>461</v>
      </c>
    </row>
    <row r="2887" spans="1:15" x14ac:dyDescent="0.3">
      <c r="A2887">
        <v>220954</v>
      </c>
      <c r="B2887">
        <v>105</v>
      </c>
      <c r="C2887" t="s">
        <v>557</v>
      </c>
      <c r="D2887" t="s">
        <v>2579</v>
      </c>
      <c r="E2887" t="s">
        <v>3251</v>
      </c>
      <c r="F2887" s="451">
        <v>46105</v>
      </c>
      <c r="G2887">
        <v>23389</v>
      </c>
      <c r="H2887" t="s">
        <v>4960</v>
      </c>
      <c r="I2887" t="s">
        <v>5191</v>
      </c>
      <c r="J2887">
        <v>4.8</v>
      </c>
      <c r="K2887" t="s">
        <v>4744</v>
      </c>
      <c r="L2887">
        <v>24</v>
      </c>
      <c r="M2887">
        <v>5</v>
      </c>
      <c r="N2887" t="s">
        <v>5272</v>
      </c>
      <c r="O2887" t="s">
        <v>461</v>
      </c>
    </row>
    <row r="2888" spans="1:15" x14ac:dyDescent="0.3">
      <c r="A2888">
        <v>220954</v>
      </c>
      <c r="B2888">
        <v>105</v>
      </c>
      <c r="C2888" t="s">
        <v>557</v>
      </c>
      <c r="D2888" t="s">
        <v>2579</v>
      </c>
      <c r="E2888" t="s">
        <v>3251</v>
      </c>
      <c r="F2888" s="451">
        <v>46105</v>
      </c>
      <c r="G2888">
        <v>23184</v>
      </c>
      <c r="H2888" t="s">
        <v>4935</v>
      </c>
      <c r="I2888" t="s">
        <v>5191</v>
      </c>
      <c r="J2888">
        <v>2</v>
      </c>
      <c r="K2888" t="s">
        <v>4744</v>
      </c>
      <c r="L2888">
        <v>32.5</v>
      </c>
      <c r="M2888">
        <v>16.25</v>
      </c>
      <c r="N2888" t="s">
        <v>5272</v>
      </c>
      <c r="O2888" t="s">
        <v>461</v>
      </c>
    </row>
    <row r="2889" spans="1:15" x14ac:dyDescent="0.3">
      <c r="A2889">
        <v>220953</v>
      </c>
      <c r="B2889">
        <v>105</v>
      </c>
      <c r="C2889" t="s">
        <v>557</v>
      </c>
      <c r="D2889" t="s">
        <v>2579</v>
      </c>
      <c r="E2889" t="s">
        <v>3252</v>
      </c>
      <c r="F2889" s="451">
        <v>46106</v>
      </c>
      <c r="G2889">
        <v>19654</v>
      </c>
      <c r="H2889" t="s">
        <v>5099</v>
      </c>
      <c r="I2889" t="s">
        <v>5191</v>
      </c>
      <c r="J2889">
        <v>5</v>
      </c>
      <c r="K2889" t="s">
        <v>4744</v>
      </c>
      <c r="L2889">
        <v>34.4</v>
      </c>
      <c r="M2889">
        <v>6.88</v>
      </c>
      <c r="N2889" t="s">
        <v>5272</v>
      </c>
      <c r="O2889" t="s">
        <v>461</v>
      </c>
    </row>
    <row r="2890" spans="1:15" x14ac:dyDescent="0.3">
      <c r="A2890">
        <v>220953</v>
      </c>
      <c r="B2890">
        <v>105</v>
      </c>
      <c r="C2890" t="s">
        <v>557</v>
      </c>
      <c r="D2890" t="s">
        <v>2579</v>
      </c>
      <c r="E2890" t="s">
        <v>3252</v>
      </c>
      <c r="F2890" s="451">
        <v>46106</v>
      </c>
      <c r="G2890">
        <v>19589</v>
      </c>
      <c r="H2890" t="s">
        <v>4983</v>
      </c>
      <c r="I2890" t="s">
        <v>5191</v>
      </c>
      <c r="J2890">
        <v>2</v>
      </c>
      <c r="K2890" t="s">
        <v>4744</v>
      </c>
      <c r="L2890">
        <v>10.76</v>
      </c>
      <c r="M2890">
        <v>5.38</v>
      </c>
      <c r="N2890" t="s">
        <v>5272</v>
      </c>
      <c r="O2890" t="s">
        <v>461</v>
      </c>
    </row>
    <row r="2891" spans="1:15" x14ac:dyDescent="0.3">
      <c r="A2891">
        <v>220953</v>
      </c>
      <c r="B2891">
        <v>105</v>
      </c>
      <c r="C2891" t="s">
        <v>557</v>
      </c>
      <c r="D2891" t="s">
        <v>2579</v>
      </c>
      <c r="E2891" t="s">
        <v>3252</v>
      </c>
      <c r="F2891" s="451">
        <v>46106</v>
      </c>
      <c r="G2891">
        <v>19740</v>
      </c>
      <c r="H2891" t="s">
        <v>4779</v>
      </c>
      <c r="I2891" t="s">
        <v>5191</v>
      </c>
      <c r="J2891">
        <v>8</v>
      </c>
      <c r="K2891" t="s">
        <v>4744</v>
      </c>
      <c r="L2891">
        <v>60</v>
      </c>
      <c r="M2891">
        <v>7.5</v>
      </c>
      <c r="N2891" t="s">
        <v>5272</v>
      </c>
      <c r="O2891" t="s">
        <v>461</v>
      </c>
    </row>
    <row r="2892" spans="1:15" x14ac:dyDescent="0.3">
      <c r="A2892">
        <v>220953</v>
      </c>
      <c r="B2892">
        <v>105</v>
      </c>
      <c r="C2892" t="s">
        <v>557</v>
      </c>
      <c r="D2892" t="s">
        <v>2579</v>
      </c>
      <c r="E2892" t="s">
        <v>3252</v>
      </c>
      <c r="F2892" s="451">
        <v>46106</v>
      </c>
      <c r="G2892">
        <v>23198</v>
      </c>
      <c r="H2892" t="s">
        <v>4962</v>
      </c>
      <c r="I2892" t="s">
        <v>5191</v>
      </c>
      <c r="J2892">
        <v>1</v>
      </c>
      <c r="K2892" t="s">
        <v>4744</v>
      </c>
      <c r="L2892">
        <v>12.5</v>
      </c>
      <c r="M2892">
        <v>12.5</v>
      </c>
      <c r="N2892" t="s">
        <v>5272</v>
      </c>
      <c r="O2892" t="s">
        <v>461</v>
      </c>
    </row>
    <row r="2893" spans="1:15" x14ac:dyDescent="0.3">
      <c r="A2893">
        <v>220953</v>
      </c>
      <c r="B2893">
        <v>105</v>
      </c>
      <c r="C2893" t="s">
        <v>557</v>
      </c>
      <c r="D2893" t="s">
        <v>2579</v>
      </c>
      <c r="E2893" t="s">
        <v>3252</v>
      </c>
      <c r="F2893" s="451">
        <v>46106</v>
      </c>
      <c r="G2893">
        <v>23389</v>
      </c>
      <c r="H2893" t="s">
        <v>4960</v>
      </c>
      <c r="I2893" t="s">
        <v>5191</v>
      </c>
      <c r="J2893">
        <v>3</v>
      </c>
      <c r="K2893" t="s">
        <v>4744</v>
      </c>
      <c r="L2893">
        <v>15</v>
      </c>
      <c r="M2893">
        <v>5</v>
      </c>
      <c r="N2893" t="s">
        <v>5272</v>
      </c>
      <c r="O2893" t="s">
        <v>461</v>
      </c>
    </row>
    <row r="2894" spans="1:15" x14ac:dyDescent="0.3">
      <c r="A2894">
        <v>220952</v>
      </c>
      <c r="B2894">
        <v>105</v>
      </c>
      <c r="C2894" t="s">
        <v>557</v>
      </c>
      <c r="D2894" t="s">
        <v>2579</v>
      </c>
      <c r="E2894" t="s">
        <v>3253</v>
      </c>
      <c r="F2894" s="451">
        <v>46107</v>
      </c>
      <c r="G2894">
        <v>19589</v>
      </c>
      <c r="H2894" t="s">
        <v>4983</v>
      </c>
      <c r="I2894" t="s">
        <v>5191</v>
      </c>
      <c r="J2894">
        <v>4</v>
      </c>
      <c r="K2894" t="s">
        <v>4744</v>
      </c>
      <c r="L2894">
        <v>21.52</v>
      </c>
      <c r="M2894">
        <v>5.38</v>
      </c>
      <c r="N2894" t="s">
        <v>5191</v>
      </c>
      <c r="O2894" t="s">
        <v>461</v>
      </c>
    </row>
    <row r="2895" spans="1:15" x14ac:dyDescent="0.3">
      <c r="A2895">
        <v>220952</v>
      </c>
      <c r="B2895">
        <v>105</v>
      </c>
      <c r="C2895" t="s">
        <v>557</v>
      </c>
      <c r="D2895" t="s">
        <v>2579</v>
      </c>
      <c r="E2895" t="s">
        <v>3253</v>
      </c>
      <c r="F2895" s="451">
        <v>46107</v>
      </c>
      <c r="G2895">
        <v>19654</v>
      </c>
      <c r="H2895" t="s">
        <v>5099</v>
      </c>
      <c r="I2895" t="s">
        <v>5191</v>
      </c>
      <c r="J2895">
        <v>3.5</v>
      </c>
      <c r="K2895" t="s">
        <v>4744</v>
      </c>
      <c r="L2895">
        <v>24.08</v>
      </c>
      <c r="M2895">
        <v>6.88</v>
      </c>
      <c r="N2895" t="s">
        <v>5191</v>
      </c>
      <c r="O2895" t="s">
        <v>461</v>
      </c>
    </row>
    <row r="2896" spans="1:15" x14ac:dyDescent="0.3">
      <c r="A2896">
        <v>220952</v>
      </c>
      <c r="B2896">
        <v>105</v>
      </c>
      <c r="C2896" t="s">
        <v>557</v>
      </c>
      <c r="D2896" t="s">
        <v>2579</v>
      </c>
      <c r="E2896" t="s">
        <v>3253</v>
      </c>
      <c r="F2896" s="451">
        <v>46107</v>
      </c>
      <c r="G2896">
        <v>19751</v>
      </c>
      <c r="H2896" t="s">
        <v>4800</v>
      </c>
      <c r="I2896" t="s">
        <v>5191</v>
      </c>
      <c r="J2896">
        <v>3</v>
      </c>
      <c r="K2896" t="s">
        <v>4744</v>
      </c>
      <c r="L2896">
        <v>33.75</v>
      </c>
      <c r="M2896">
        <v>11.25</v>
      </c>
      <c r="N2896" t="s">
        <v>5191</v>
      </c>
      <c r="O2896" t="s">
        <v>461</v>
      </c>
    </row>
    <row r="2897" spans="1:15" x14ac:dyDescent="0.3">
      <c r="A2897">
        <v>220952</v>
      </c>
      <c r="B2897">
        <v>105</v>
      </c>
      <c r="C2897" t="s">
        <v>557</v>
      </c>
      <c r="D2897" t="s">
        <v>2579</v>
      </c>
      <c r="E2897" t="s">
        <v>3253</v>
      </c>
      <c r="F2897" s="451">
        <v>46107</v>
      </c>
      <c r="G2897">
        <v>23389</v>
      </c>
      <c r="H2897" t="s">
        <v>4960</v>
      </c>
      <c r="I2897" t="s">
        <v>5191</v>
      </c>
      <c r="J2897">
        <v>6</v>
      </c>
      <c r="K2897" t="s">
        <v>4744</v>
      </c>
      <c r="L2897">
        <v>30</v>
      </c>
      <c r="M2897">
        <v>5</v>
      </c>
      <c r="N2897" t="s">
        <v>5191</v>
      </c>
      <c r="O2897" t="s">
        <v>461</v>
      </c>
    </row>
    <row r="2898" spans="1:15" x14ac:dyDescent="0.3">
      <c r="A2898">
        <v>220951</v>
      </c>
      <c r="B2898">
        <v>105</v>
      </c>
      <c r="C2898" t="s">
        <v>557</v>
      </c>
      <c r="D2898" t="s">
        <v>2792</v>
      </c>
      <c r="E2898" t="s">
        <v>3254</v>
      </c>
      <c r="F2898" s="451">
        <v>46111</v>
      </c>
      <c r="G2898">
        <v>18735</v>
      </c>
      <c r="H2898" t="s">
        <v>4891</v>
      </c>
      <c r="I2898" t="s">
        <v>5191</v>
      </c>
      <c r="J2898">
        <v>5.45</v>
      </c>
      <c r="K2898" t="s">
        <v>4744</v>
      </c>
      <c r="L2898">
        <v>599.5</v>
      </c>
      <c r="M2898">
        <v>110</v>
      </c>
      <c r="N2898" t="s">
        <v>5272</v>
      </c>
      <c r="O2898" t="s">
        <v>461</v>
      </c>
    </row>
    <row r="2899" spans="1:15" x14ac:dyDescent="0.3">
      <c r="A2899">
        <v>220950</v>
      </c>
      <c r="B2899">
        <v>105</v>
      </c>
      <c r="C2899" t="s">
        <v>557</v>
      </c>
      <c r="D2899" t="s">
        <v>2600</v>
      </c>
      <c r="E2899" t="s">
        <v>3255</v>
      </c>
      <c r="F2899" s="451">
        <v>46112</v>
      </c>
      <c r="G2899">
        <v>20549</v>
      </c>
      <c r="H2899" t="s">
        <v>4823</v>
      </c>
      <c r="I2899" t="s">
        <v>5191</v>
      </c>
      <c r="J2899">
        <v>10.6</v>
      </c>
      <c r="K2899" t="s">
        <v>4744</v>
      </c>
      <c r="L2899">
        <v>211.89</v>
      </c>
      <c r="M2899">
        <v>19.989623000000002</v>
      </c>
      <c r="N2899" t="s">
        <v>5272</v>
      </c>
      <c r="O2899" t="s">
        <v>461</v>
      </c>
    </row>
    <row r="2900" spans="1:15" x14ac:dyDescent="0.3">
      <c r="A2900">
        <v>220950</v>
      </c>
      <c r="B2900">
        <v>105</v>
      </c>
      <c r="C2900" t="s">
        <v>557</v>
      </c>
      <c r="D2900" t="s">
        <v>2600</v>
      </c>
      <c r="E2900" t="s">
        <v>3255</v>
      </c>
      <c r="F2900" s="451">
        <v>46112</v>
      </c>
      <c r="G2900">
        <v>24199</v>
      </c>
      <c r="H2900" t="s">
        <v>4783</v>
      </c>
      <c r="I2900" t="s">
        <v>5191</v>
      </c>
      <c r="J2900">
        <v>10.8</v>
      </c>
      <c r="K2900" t="s">
        <v>4744</v>
      </c>
      <c r="L2900">
        <v>215.89</v>
      </c>
      <c r="M2900">
        <v>19.989815</v>
      </c>
      <c r="N2900" t="s">
        <v>5272</v>
      </c>
      <c r="O2900" t="s">
        <v>461</v>
      </c>
    </row>
    <row r="2901" spans="1:15" x14ac:dyDescent="0.3">
      <c r="A2901">
        <v>220949</v>
      </c>
      <c r="B2901">
        <v>105</v>
      </c>
      <c r="C2901" t="s">
        <v>557</v>
      </c>
      <c r="D2901" t="s">
        <v>2600</v>
      </c>
      <c r="E2901" t="s">
        <v>3256</v>
      </c>
      <c r="F2901" s="451">
        <v>46098</v>
      </c>
      <c r="G2901">
        <v>24403</v>
      </c>
      <c r="H2901" t="s">
        <v>5149</v>
      </c>
      <c r="I2901" t="s">
        <v>5191</v>
      </c>
      <c r="J2901">
        <v>3.2</v>
      </c>
      <c r="K2901" t="s">
        <v>4744</v>
      </c>
      <c r="L2901">
        <v>41.57</v>
      </c>
      <c r="M2901">
        <v>12.990625</v>
      </c>
      <c r="N2901" t="s">
        <v>5272</v>
      </c>
      <c r="O2901" t="s">
        <v>461</v>
      </c>
    </row>
    <row r="2902" spans="1:15" x14ac:dyDescent="0.3">
      <c r="A2902">
        <v>220949</v>
      </c>
      <c r="B2902">
        <v>105</v>
      </c>
      <c r="C2902" t="s">
        <v>557</v>
      </c>
      <c r="D2902" t="s">
        <v>2600</v>
      </c>
      <c r="E2902" t="s">
        <v>3256</v>
      </c>
      <c r="F2902" s="451">
        <v>46098</v>
      </c>
      <c r="G2902">
        <v>24197</v>
      </c>
      <c r="H2902" t="s">
        <v>5237</v>
      </c>
      <c r="I2902" t="s">
        <v>5191</v>
      </c>
      <c r="J2902">
        <v>10.6</v>
      </c>
      <c r="K2902" t="s">
        <v>4744</v>
      </c>
      <c r="L2902">
        <v>211.89</v>
      </c>
      <c r="M2902">
        <v>19.989623000000002</v>
      </c>
      <c r="N2902" t="s">
        <v>5272</v>
      </c>
      <c r="O2902" t="s">
        <v>461</v>
      </c>
    </row>
    <row r="2903" spans="1:15" x14ac:dyDescent="0.3">
      <c r="A2903">
        <v>220948</v>
      </c>
      <c r="B2903">
        <v>105</v>
      </c>
      <c r="C2903" t="s">
        <v>557</v>
      </c>
      <c r="D2903" t="s">
        <v>2550</v>
      </c>
      <c r="E2903" t="s">
        <v>3257</v>
      </c>
      <c r="F2903" s="451">
        <v>46098</v>
      </c>
      <c r="G2903">
        <v>25702</v>
      </c>
      <c r="H2903" t="s">
        <v>5135</v>
      </c>
      <c r="I2903" t="s">
        <v>5222</v>
      </c>
      <c r="J2903">
        <v>3</v>
      </c>
      <c r="K2903" t="s">
        <v>4805</v>
      </c>
      <c r="L2903">
        <v>226.2</v>
      </c>
      <c r="M2903">
        <v>75.400000000000006</v>
      </c>
      <c r="N2903" t="s">
        <v>5272</v>
      </c>
      <c r="O2903" t="s">
        <v>461</v>
      </c>
    </row>
    <row r="2904" spans="1:15" x14ac:dyDescent="0.3">
      <c r="A2904">
        <v>220948</v>
      </c>
      <c r="B2904">
        <v>105</v>
      </c>
      <c r="C2904" t="s">
        <v>557</v>
      </c>
      <c r="D2904" t="s">
        <v>2550</v>
      </c>
      <c r="E2904" t="s">
        <v>3257</v>
      </c>
      <c r="F2904" s="451">
        <v>46098</v>
      </c>
      <c r="G2904">
        <v>26034</v>
      </c>
      <c r="H2904" t="s">
        <v>4828</v>
      </c>
      <c r="I2904" t="s">
        <v>5222</v>
      </c>
      <c r="J2904">
        <v>6</v>
      </c>
      <c r="K2904" t="s">
        <v>4805</v>
      </c>
      <c r="L2904">
        <v>284.7</v>
      </c>
      <c r="M2904">
        <v>47.45</v>
      </c>
      <c r="N2904" t="s">
        <v>5272</v>
      </c>
      <c r="O2904" t="s">
        <v>461</v>
      </c>
    </row>
    <row r="2905" spans="1:15" x14ac:dyDescent="0.3">
      <c r="A2905">
        <v>220948</v>
      </c>
      <c r="B2905">
        <v>105</v>
      </c>
      <c r="C2905" t="s">
        <v>557</v>
      </c>
      <c r="D2905" t="s">
        <v>2550</v>
      </c>
      <c r="E2905" t="s">
        <v>3257</v>
      </c>
      <c r="F2905" s="451">
        <v>46098</v>
      </c>
      <c r="G2905">
        <v>26036</v>
      </c>
      <c r="H2905" t="s">
        <v>4841</v>
      </c>
      <c r="I2905" t="s">
        <v>5222</v>
      </c>
      <c r="J2905">
        <v>4</v>
      </c>
      <c r="K2905" t="s">
        <v>4805</v>
      </c>
      <c r="L2905">
        <v>221</v>
      </c>
      <c r="M2905">
        <v>55.25</v>
      </c>
      <c r="N2905" t="s">
        <v>5272</v>
      </c>
      <c r="O2905" t="s">
        <v>461</v>
      </c>
    </row>
    <row r="2906" spans="1:15" x14ac:dyDescent="0.3">
      <c r="A2906">
        <v>220948</v>
      </c>
      <c r="B2906">
        <v>105</v>
      </c>
      <c r="C2906" t="s">
        <v>557</v>
      </c>
      <c r="D2906" t="s">
        <v>2550</v>
      </c>
      <c r="E2906" t="s">
        <v>3257</v>
      </c>
      <c r="F2906" s="451">
        <v>46098</v>
      </c>
      <c r="G2906">
        <v>26040</v>
      </c>
      <c r="H2906" t="s">
        <v>4812</v>
      </c>
      <c r="I2906" t="s">
        <v>5222</v>
      </c>
      <c r="J2906">
        <v>3</v>
      </c>
      <c r="K2906" t="s">
        <v>4805</v>
      </c>
      <c r="L2906">
        <v>142.35</v>
      </c>
      <c r="M2906">
        <v>47.45</v>
      </c>
      <c r="N2906" t="s">
        <v>5272</v>
      </c>
      <c r="O2906" t="s">
        <v>461</v>
      </c>
    </row>
    <row r="2907" spans="1:15" x14ac:dyDescent="0.3">
      <c r="A2907">
        <v>220948</v>
      </c>
      <c r="B2907">
        <v>105</v>
      </c>
      <c r="C2907" t="s">
        <v>557</v>
      </c>
      <c r="D2907" t="s">
        <v>2550</v>
      </c>
      <c r="E2907" t="s">
        <v>3257</v>
      </c>
      <c r="F2907" s="451">
        <v>46098</v>
      </c>
      <c r="G2907">
        <v>17578</v>
      </c>
      <c r="H2907" t="s">
        <v>4842</v>
      </c>
      <c r="I2907" t="s">
        <v>5222</v>
      </c>
      <c r="J2907">
        <v>1</v>
      </c>
      <c r="K2907" t="s">
        <v>4805</v>
      </c>
      <c r="L2907">
        <v>105.95</v>
      </c>
      <c r="M2907">
        <v>105.95</v>
      </c>
      <c r="N2907" t="s">
        <v>5272</v>
      </c>
      <c r="O2907" t="s">
        <v>461</v>
      </c>
    </row>
    <row r="2908" spans="1:15" x14ac:dyDescent="0.3">
      <c r="A2908">
        <v>220947</v>
      </c>
      <c r="B2908">
        <v>105</v>
      </c>
      <c r="C2908" t="s">
        <v>557</v>
      </c>
      <c r="D2908" t="s">
        <v>2597</v>
      </c>
      <c r="E2908" t="s">
        <v>3258</v>
      </c>
      <c r="F2908" s="451">
        <v>46111</v>
      </c>
      <c r="G2908">
        <v>24217</v>
      </c>
      <c r="H2908" t="s">
        <v>4778</v>
      </c>
      <c r="I2908" t="s">
        <v>5191</v>
      </c>
      <c r="J2908">
        <v>30.8</v>
      </c>
      <c r="K2908" t="s">
        <v>4744</v>
      </c>
      <c r="L2908">
        <v>982.52</v>
      </c>
      <c r="M2908">
        <v>31.9</v>
      </c>
      <c r="N2908" t="s">
        <v>5272</v>
      </c>
      <c r="O2908" t="s">
        <v>461</v>
      </c>
    </row>
    <row r="2909" spans="1:15" x14ac:dyDescent="0.3">
      <c r="A2909">
        <v>220947</v>
      </c>
      <c r="B2909">
        <v>105</v>
      </c>
      <c r="C2909" t="s">
        <v>557</v>
      </c>
      <c r="D2909" t="s">
        <v>2597</v>
      </c>
      <c r="E2909" t="s">
        <v>3258</v>
      </c>
      <c r="F2909" s="451">
        <v>46111</v>
      </c>
      <c r="G2909">
        <v>24278</v>
      </c>
      <c r="H2909" t="s">
        <v>4901</v>
      </c>
      <c r="I2909" t="s">
        <v>5191</v>
      </c>
      <c r="J2909">
        <v>3.6</v>
      </c>
      <c r="K2909" t="s">
        <v>4744</v>
      </c>
      <c r="L2909">
        <v>46.44</v>
      </c>
      <c r="M2909">
        <v>12.9</v>
      </c>
      <c r="N2909" t="s">
        <v>5272</v>
      </c>
      <c r="O2909" t="s">
        <v>461</v>
      </c>
    </row>
    <row r="2910" spans="1:15" x14ac:dyDescent="0.3">
      <c r="A2910">
        <v>220947</v>
      </c>
      <c r="B2910">
        <v>105</v>
      </c>
      <c r="C2910" t="s">
        <v>557</v>
      </c>
      <c r="D2910" t="s">
        <v>2597</v>
      </c>
      <c r="E2910" t="s">
        <v>3258</v>
      </c>
      <c r="F2910" s="451">
        <v>46111</v>
      </c>
      <c r="G2910">
        <v>24096</v>
      </c>
      <c r="H2910" t="s">
        <v>4771</v>
      </c>
      <c r="I2910" t="s">
        <v>5191</v>
      </c>
      <c r="J2910">
        <v>33</v>
      </c>
      <c r="K2910" t="s">
        <v>4744</v>
      </c>
      <c r="L2910">
        <v>1415.7</v>
      </c>
      <c r="M2910">
        <v>42.9</v>
      </c>
      <c r="N2910" t="s">
        <v>5272</v>
      </c>
      <c r="O2910" t="s">
        <v>461</v>
      </c>
    </row>
    <row r="2911" spans="1:15" x14ac:dyDescent="0.3">
      <c r="A2911">
        <v>220947</v>
      </c>
      <c r="B2911">
        <v>105</v>
      </c>
      <c r="C2911" t="s">
        <v>557</v>
      </c>
      <c r="D2911" t="s">
        <v>2597</v>
      </c>
      <c r="E2911" t="s">
        <v>3258</v>
      </c>
      <c r="F2911" s="451">
        <v>46111</v>
      </c>
      <c r="G2911">
        <v>19017</v>
      </c>
      <c r="H2911" t="s">
        <v>5174</v>
      </c>
      <c r="I2911" t="s">
        <v>5191</v>
      </c>
      <c r="J2911">
        <v>6.2</v>
      </c>
      <c r="K2911" t="s">
        <v>5227</v>
      </c>
      <c r="L2911">
        <v>86.8</v>
      </c>
      <c r="M2911">
        <v>14</v>
      </c>
      <c r="N2911" t="s">
        <v>5272</v>
      </c>
      <c r="O2911" t="s">
        <v>461</v>
      </c>
    </row>
    <row r="2912" spans="1:15" x14ac:dyDescent="0.3">
      <c r="A2912">
        <v>220946</v>
      </c>
      <c r="B2912">
        <v>105</v>
      </c>
      <c r="C2912" t="s">
        <v>557</v>
      </c>
      <c r="D2912" t="s">
        <v>2597</v>
      </c>
      <c r="E2912" t="s">
        <v>3259</v>
      </c>
      <c r="F2912" s="451">
        <v>46108</v>
      </c>
      <c r="G2912">
        <v>24217</v>
      </c>
      <c r="H2912" t="s">
        <v>4778</v>
      </c>
      <c r="I2912" t="s">
        <v>5191</v>
      </c>
      <c r="J2912">
        <v>30.2</v>
      </c>
      <c r="K2912" t="s">
        <v>4744</v>
      </c>
      <c r="L2912">
        <v>963.38</v>
      </c>
      <c r="M2912">
        <v>31.9</v>
      </c>
      <c r="N2912" t="s">
        <v>5272</v>
      </c>
      <c r="O2912" t="s">
        <v>461</v>
      </c>
    </row>
    <row r="2913" spans="1:15" x14ac:dyDescent="0.3">
      <c r="A2913">
        <v>220945</v>
      </c>
      <c r="B2913">
        <v>105</v>
      </c>
      <c r="C2913" t="s">
        <v>557</v>
      </c>
      <c r="D2913" t="s">
        <v>2597</v>
      </c>
      <c r="E2913" t="s">
        <v>3260</v>
      </c>
      <c r="F2913" s="451">
        <v>46105</v>
      </c>
      <c r="G2913">
        <v>22843</v>
      </c>
      <c r="H2913" t="s">
        <v>4849</v>
      </c>
      <c r="I2913" t="s">
        <v>5191</v>
      </c>
      <c r="J2913">
        <v>5.2</v>
      </c>
      <c r="K2913" t="s">
        <v>4744</v>
      </c>
      <c r="L2913">
        <v>190.84</v>
      </c>
      <c r="M2913">
        <v>36.700000000000003</v>
      </c>
      <c r="N2913" t="s">
        <v>5272</v>
      </c>
      <c r="O2913" t="s">
        <v>461</v>
      </c>
    </row>
    <row r="2914" spans="1:15" x14ac:dyDescent="0.3">
      <c r="A2914">
        <v>220944</v>
      </c>
      <c r="B2914">
        <v>105</v>
      </c>
      <c r="C2914" t="s">
        <v>557</v>
      </c>
      <c r="D2914" t="s">
        <v>2597</v>
      </c>
      <c r="E2914" t="s">
        <v>3261</v>
      </c>
      <c r="F2914" s="451">
        <v>46104</v>
      </c>
      <c r="G2914">
        <v>20501</v>
      </c>
      <c r="H2914" t="s">
        <v>4760</v>
      </c>
      <c r="I2914" t="s">
        <v>5191</v>
      </c>
      <c r="J2914">
        <v>10</v>
      </c>
      <c r="K2914" t="s">
        <v>4744</v>
      </c>
      <c r="L2914">
        <v>219</v>
      </c>
      <c r="M2914">
        <v>21.9</v>
      </c>
      <c r="N2914" t="s">
        <v>5191</v>
      </c>
      <c r="O2914" t="s">
        <v>461</v>
      </c>
    </row>
    <row r="2915" spans="1:15" x14ac:dyDescent="0.3">
      <c r="A2915">
        <v>220943</v>
      </c>
      <c r="B2915">
        <v>105</v>
      </c>
      <c r="C2915" t="s">
        <v>557</v>
      </c>
      <c r="D2915" t="s">
        <v>2597</v>
      </c>
      <c r="E2915" t="s">
        <v>3262</v>
      </c>
      <c r="F2915" s="451">
        <v>46104</v>
      </c>
      <c r="G2915">
        <v>24331</v>
      </c>
      <c r="H2915" t="s">
        <v>5166</v>
      </c>
      <c r="I2915" t="s">
        <v>5191</v>
      </c>
      <c r="J2915">
        <v>10</v>
      </c>
      <c r="K2915" t="s">
        <v>4744</v>
      </c>
      <c r="L2915">
        <v>219</v>
      </c>
      <c r="M2915">
        <v>21.9</v>
      </c>
      <c r="N2915" t="s">
        <v>5272</v>
      </c>
      <c r="O2915" t="s">
        <v>461</v>
      </c>
    </row>
    <row r="2916" spans="1:15" x14ac:dyDescent="0.3">
      <c r="A2916">
        <v>220942</v>
      </c>
      <c r="B2916">
        <v>105</v>
      </c>
      <c r="C2916" t="s">
        <v>557</v>
      </c>
      <c r="D2916" t="s">
        <v>2597</v>
      </c>
      <c r="E2916" t="s">
        <v>3263</v>
      </c>
      <c r="F2916" s="451">
        <v>46104</v>
      </c>
      <c r="G2916">
        <v>24278</v>
      </c>
      <c r="H2916" t="s">
        <v>4901</v>
      </c>
      <c r="I2916" t="s">
        <v>5191</v>
      </c>
      <c r="J2916">
        <v>3.4</v>
      </c>
      <c r="K2916" t="s">
        <v>4744</v>
      </c>
      <c r="L2916">
        <v>42.5</v>
      </c>
      <c r="M2916">
        <v>12.5</v>
      </c>
      <c r="N2916" t="s">
        <v>5191</v>
      </c>
      <c r="O2916" t="s">
        <v>461</v>
      </c>
    </row>
    <row r="2917" spans="1:15" x14ac:dyDescent="0.3">
      <c r="A2917">
        <v>220942</v>
      </c>
      <c r="B2917">
        <v>105</v>
      </c>
      <c r="C2917" t="s">
        <v>557</v>
      </c>
      <c r="D2917" t="s">
        <v>2597</v>
      </c>
      <c r="E2917" t="s">
        <v>3263</v>
      </c>
      <c r="F2917" s="451">
        <v>46104</v>
      </c>
      <c r="G2917">
        <v>24116</v>
      </c>
      <c r="H2917" t="s">
        <v>4777</v>
      </c>
      <c r="I2917" t="s">
        <v>5191</v>
      </c>
      <c r="J2917">
        <v>5</v>
      </c>
      <c r="K2917" t="s">
        <v>4744</v>
      </c>
      <c r="L2917">
        <v>208</v>
      </c>
      <c r="M2917">
        <v>41.6</v>
      </c>
      <c r="N2917" t="s">
        <v>5191</v>
      </c>
      <c r="O2917" t="s">
        <v>461</v>
      </c>
    </row>
    <row r="2918" spans="1:15" x14ac:dyDescent="0.3">
      <c r="A2918">
        <v>220942</v>
      </c>
      <c r="B2918">
        <v>105</v>
      </c>
      <c r="C2918" t="s">
        <v>557</v>
      </c>
      <c r="D2918" t="s">
        <v>2597</v>
      </c>
      <c r="E2918" t="s">
        <v>3263</v>
      </c>
      <c r="F2918" s="451">
        <v>46104</v>
      </c>
      <c r="G2918">
        <v>20501</v>
      </c>
      <c r="H2918" t="s">
        <v>4760</v>
      </c>
      <c r="I2918" t="s">
        <v>5191</v>
      </c>
      <c r="J2918">
        <v>45</v>
      </c>
      <c r="K2918" t="s">
        <v>4744</v>
      </c>
      <c r="L2918">
        <v>985.5</v>
      </c>
      <c r="M2918">
        <v>21.9</v>
      </c>
      <c r="N2918" t="s">
        <v>5191</v>
      </c>
      <c r="O2918" t="s">
        <v>461</v>
      </c>
    </row>
    <row r="2919" spans="1:15" x14ac:dyDescent="0.3">
      <c r="A2919">
        <v>220942</v>
      </c>
      <c r="B2919">
        <v>105</v>
      </c>
      <c r="C2919" t="s">
        <v>557</v>
      </c>
      <c r="D2919" t="s">
        <v>2597</v>
      </c>
      <c r="E2919" t="s">
        <v>3263</v>
      </c>
      <c r="F2919" s="451">
        <v>46104</v>
      </c>
      <c r="G2919">
        <v>24096</v>
      </c>
      <c r="H2919" t="s">
        <v>4771</v>
      </c>
      <c r="I2919" t="s">
        <v>5191</v>
      </c>
      <c r="J2919">
        <v>74.099999999999994</v>
      </c>
      <c r="K2919" t="s">
        <v>4744</v>
      </c>
      <c r="L2919">
        <v>3178.89</v>
      </c>
      <c r="M2919">
        <v>42.9</v>
      </c>
      <c r="N2919" t="s">
        <v>5191</v>
      </c>
      <c r="O2919" t="s">
        <v>461</v>
      </c>
    </row>
    <row r="2920" spans="1:15" x14ac:dyDescent="0.3">
      <c r="A2920">
        <v>220941</v>
      </c>
      <c r="B2920">
        <v>105</v>
      </c>
      <c r="C2920" t="s">
        <v>557</v>
      </c>
      <c r="D2920" t="s">
        <v>2597</v>
      </c>
      <c r="E2920" t="s">
        <v>3264</v>
      </c>
      <c r="F2920" s="451">
        <v>46097</v>
      </c>
      <c r="G2920">
        <v>24217</v>
      </c>
      <c r="H2920" t="s">
        <v>4778</v>
      </c>
      <c r="I2920" t="s">
        <v>5191</v>
      </c>
      <c r="J2920">
        <v>20.85</v>
      </c>
      <c r="K2920" t="s">
        <v>4744</v>
      </c>
      <c r="L2920">
        <v>665.12</v>
      </c>
      <c r="M2920">
        <v>31.90024</v>
      </c>
      <c r="N2920" t="s">
        <v>5272</v>
      </c>
      <c r="O2920" t="s">
        <v>461</v>
      </c>
    </row>
    <row r="2921" spans="1:15" x14ac:dyDescent="0.3">
      <c r="A2921">
        <v>220941</v>
      </c>
      <c r="B2921">
        <v>105</v>
      </c>
      <c r="C2921" t="s">
        <v>557</v>
      </c>
      <c r="D2921" t="s">
        <v>2597</v>
      </c>
      <c r="E2921" t="s">
        <v>3264</v>
      </c>
      <c r="F2921" s="451">
        <v>46097</v>
      </c>
      <c r="G2921">
        <v>24259</v>
      </c>
      <c r="H2921" t="s">
        <v>4875</v>
      </c>
      <c r="I2921" t="s">
        <v>5191</v>
      </c>
      <c r="J2921">
        <v>17.3</v>
      </c>
      <c r="K2921" t="s">
        <v>4744</v>
      </c>
      <c r="L2921">
        <v>1345.08</v>
      </c>
      <c r="M2921">
        <v>77.750288999999995</v>
      </c>
      <c r="N2921" t="s">
        <v>5272</v>
      </c>
      <c r="O2921" t="s">
        <v>461</v>
      </c>
    </row>
    <row r="2922" spans="1:15" x14ac:dyDescent="0.3">
      <c r="A2922">
        <v>220941</v>
      </c>
      <c r="B2922">
        <v>105</v>
      </c>
      <c r="C2922" t="s">
        <v>557</v>
      </c>
      <c r="D2922" t="s">
        <v>2597</v>
      </c>
      <c r="E2922" t="s">
        <v>3264</v>
      </c>
      <c r="F2922" s="451">
        <v>46097</v>
      </c>
      <c r="G2922">
        <v>24116</v>
      </c>
      <c r="H2922" t="s">
        <v>4777</v>
      </c>
      <c r="I2922" t="s">
        <v>5191</v>
      </c>
      <c r="J2922">
        <v>10</v>
      </c>
      <c r="K2922" t="s">
        <v>4744</v>
      </c>
      <c r="L2922">
        <v>419</v>
      </c>
      <c r="M2922">
        <v>41.9</v>
      </c>
      <c r="N2922" t="s">
        <v>5272</v>
      </c>
      <c r="O2922" t="s">
        <v>461</v>
      </c>
    </row>
    <row r="2923" spans="1:15" x14ac:dyDescent="0.3">
      <c r="A2923">
        <v>220941</v>
      </c>
      <c r="B2923">
        <v>105</v>
      </c>
      <c r="C2923" t="s">
        <v>557</v>
      </c>
      <c r="D2923" t="s">
        <v>2597</v>
      </c>
      <c r="E2923" t="s">
        <v>3264</v>
      </c>
      <c r="F2923" s="451">
        <v>46097</v>
      </c>
      <c r="G2923">
        <v>19041</v>
      </c>
      <c r="H2923" t="s">
        <v>4762</v>
      </c>
      <c r="I2923" t="s">
        <v>5191</v>
      </c>
      <c r="J2923">
        <v>40</v>
      </c>
      <c r="K2923" t="s">
        <v>4744</v>
      </c>
      <c r="L2923">
        <v>596</v>
      </c>
      <c r="M2923">
        <v>14.9</v>
      </c>
      <c r="N2923" t="s">
        <v>5272</v>
      </c>
      <c r="O2923" t="s">
        <v>461</v>
      </c>
    </row>
    <row r="2924" spans="1:15" x14ac:dyDescent="0.3">
      <c r="A2924">
        <v>220941</v>
      </c>
      <c r="B2924">
        <v>105</v>
      </c>
      <c r="C2924" t="s">
        <v>557</v>
      </c>
      <c r="D2924" t="s">
        <v>2597</v>
      </c>
      <c r="E2924" t="s">
        <v>3264</v>
      </c>
      <c r="F2924" s="451">
        <v>46097</v>
      </c>
      <c r="G2924">
        <v>24096</v>
      </c>
      <c r="H2924" t="s">
        <v>4771</v>
      </c>
      <c r="I2924" t="s">
        <v>5191</v>
      </c>
      <c r="J2924">
        <v>73.400000000000006</v>
      </c>
      <c r="K2924" t="s">
        <v>4744</v>
      </c>
      <c r="L2924">
        <v>3148.86</v>
      </c>
      <c r="M2924">
        <v>42.9</v>
      </c>
      <c r="N2924" t="s">
        <v>5272</v>
      </c>
      <c r="O2924" t="s">
        <v>461</v>
      </c>
    </row>
    <row r="2925" spans="1:15" x14ac:dyDescent="0.3">
      <c r="A2925">
        <v>220940</v>
      </c>
      <c r="B2925">
        <v>105</v>
      </c>
      <c r="C2925" t="s">
        <v>557</v>
      </c>
      <c r="D2925" t="s">
        <v>2557</v>
      </c>
      <c r="E2925" t="s">
        <v>3265</v>
      </c>
      <c r="F2925" s="451">
        <v>46099</v>
      </c>
      <c r="G2925">
        <v>17465</v>
      </c>
      <c r="H2925" t="s">
        <v>5279</v>
      </c>
      <c r="I2925" t="s">
        <v>5215</v>
      </c>
      <c r="J2925">
        <v>1</v>
      </c>
      <c r="K2925" t="s">
        <v>4749</v>
      </c>
      <c r="L2925">
        <v>670.38</v>
      </c>
      <c r="M2925">
        <v>670.38</v>
      </c>
      <c r="N2925" t="s">
        <v>5312</v>
      </c>
      <c r="O2925" t="s">
        <v>461</v>
      </c>
    </row>
    <row r="2926" spans="1:15" x14ac:dyDescent="0.3">
      <c r="A2926">
        <v>220940</v>
      </c>
      <c r="B2926">
        <v>105</v>
      </c>
      <c r="C2926" t="s">
        <v>557</v>
      </c>
      <c r="D2926" t="s">
        <v>2557</v>
      </c>
      <c r="E2926" t="s">
        <v>3265</v>
      </c>
      <c r="F2926" s="451">
        <v>46099</v>
      </c>
      <c r="G2926">
        <v>24527</v>
      </c>
      <c r="H2926" t="s">
        <v>5313</v>
      </c>
      <c r="I2926" t="s">
        <v>5215</v>
      </c>
      <c r="J2926">
        <v>1</v>
      </c>
      <c r="K2926" t="s">
        <v>4749</v>
      </c>
      <c r="L2926">
        <v>989.38</v>
      </c>
      <c r="M2926">
        <v>989.38</v>
      </c>
      <c r="N2926" t="s">
        <v>5312</v>
      </c>
      <c r="O2926" t="s">
        <v>461</v>
      </c>
    </row>
    <row r="2927" spans="1:15" x14ac:dyDescent="0.3">
      <c r="A2927">
        <v>220940</v>
      </c>
      <c r="B2927">
        <v>105</v>
      </c>
      <c r="C2927" t="s">
        <v>557</v>
      </c>
      <c r="D2927" t="s">
        <v>2557</v>
      </c>
      <c r="E2927" t="s">
        <v>3265</v>
      </c>
      <c r="F2927" s="451">
        <v>46099</v>
      </c>
      <c r="G2927">
        <v>21716</v>
      </c>
      <c r="H2927" t="s">
        <v>5281</v>
      </c>
      <c r="I2927" t="s">
        <v>5215</v>
      </c>
      <c r="J2927">
        <v>1</v>
      </c>
      <c r="K2927" t="s">
        <v>4749</v>
      </c>
      <c r="L2927">
        <v>399.5</v>
      </c>
      <c r="M2927">
        <v>399.5</v>
      </c>
      <c r="N2927" t="s">
        <v>5312</v>
      </c>
      <c r="O2927" t="s">
        <v>461</v>
      </c>
    </row>
    <row r="2928" spans="1:15" x14ac:dyDescent="0.3">
      <c r="A2928">
        <v>220939</v>
      </c>
      <c r="B2928">
        <v>105</v>
      </c>
      <c r="C2928" t="s">
        <v>557</v>
      </c>
      <c r="D2928" t="s">
        <v>2593</v>
      </c>
      <c r="E2928" t="s">
        <v>3266</v>
      </c>
      <c r="F2928" s="451">
        <v>46100</v>
      </c>
      <c r="G2928">
        <v>18732</v>
      </c>
      <c r="H2928" t="s">
        <v>5156</v>
      </c>
      <c r="I2928" t="s">
        <v>5191</v>
      </c>
      <c r="J2928">
        <v>10</v>
      </c>
      <c r="K2928" t="s">
        <v>4744</v>
      </c>
      <c r="L2928">
        <v>600</v>
      </c>
      <c r="M2928">
        <v>60</v>
      </c>
      <c r="N2928" t="s">
        <v>5272</v>
      </c>
      <c r="O2928" t="s">
        <v>461</v>
      </c>
    </row>
    <row r="2929" spans="1:15" x14ac:dyDescent="0.3">
      <c r="A2929">
        <v>220938</v>
      </c>
      <c r="B2929">
        <v>105</v>
      </c>
      <c r="C2929" t="s">
        <v>557</v>
      </c>
      <c r="D2929" t="s">
        <v>2593</v>
      </c>
      <c r="E2929" t="s">
        <v>3267</v>
      </c>
      <c r="F2929" s="451">
        <v>46097</v>
      </c>
      <c r="G2929">
        <v>18732</v>
      </c>
      <c r="H2929" t="s">
        <v>5156</v>
      </c>
      <c r="I2929" t="s">
        <v>5191</v>
      </c>
      <c r="J2929">
        <v>6</v>
      </c>
      <c r="K2929" t="s">
        <v>4744</v>
      </c>
      <c r="L2929">
        <v>432</v>
      </c>
      <c r="M2929">
        <v>72</v>
      </c>
      <c r="N2929" t="s">
        <v>5272</v>
      </c>
      <c r="O2929" t="s">
        <v>461</v>
      </c>
    </row>
    <row r="2930" spans="1:15" x14ac:dyDescent="0.3">
      <c r="A2930">
        <v>220937</v>
      </c>
      <c r="B2930">
        <v>105</v>
      </c>
      <c r="C2930" t="s">
        <v>557</v>
      </c>
      <c r="D2930" t="s">
        <v>2563</v>
      </c>
      <c r="E2930" t="s">
        <v>3268</v>
      </c>
      <c r="F2930" s="451">
        <v>46097</v>
      </c>
      <c r="G2930">
        <v>19621</v>
      </c>
      <c r="H2930" t="s">
        <v>4829</v>
      </c>
      <c r="I2930" t="s">
        <v>5191</v>
      </c>
      <c r="J2930">
        <v>3.2</v>
      </c>
      <c r="K2930" t="s">
        <v>4744</v>
      </c>
      <c r="L2930">
        <v>18.34</v>
      </c>
      <c r="M2930">
        <v>5.7312500000000002</v>
      </c>
      <c r="N2930" t="s">
        <v>5272</v>
      </c>
      <c r="O2930" t="s">
        <v>461</v>
      </c>
    </row>
    <row r="2931" spans="1:15" x14ac:dyDescent="0.3">
      <c r="A2931">
        <v>220937</v>
      </c>
      <c r="B2931">
        <v>105</v>
      </c>
      <c r="C2931" t="s">
        <v>557</v>
      </c>
      <c r="D2931" t="s">
        <v>2563</v>
      </c>
      <c r="E2931" t="s">
        <v>3268</v>
      </c>
      <c r="F2931" s="451">
        <v>46097</v>
      </c>
      <c r="G2931">
        <v>19623</v>
      </c>
      <c r="H2931" t="s">
        <v>4764</v>
      </c>
      <c r="I2931" t="s">
        <v>5191</v>
      </c>
      <c r="J2931">
        <v>10</v>
      </c>
      <c r="K2931" t="s">
        <v>4744</v>
      </c>
      <c r="L2931">
        <v>36.299999999999997</v>
      </c>
      <c r="M2931">
        <v>3.63</v>
      </c>
      <c r="N2931" t="s">
        <v>5272</v>
      </c>
      <c r="O2931" t="s">
        <v>461</v>
      </c>
    </row>
    <row r="2932" spans="1:15" x14ac:dyDescent="0.3">
      <c r="A2932">
        <v>220937</v>
      </c>
      <c r="B2932">
        <v>105</v>
      </c>
      <c r="C2932" t="s">
        <v>557</v>
      </c>
      <c r="D2932" t="s">
        <v>2563</v>
      </c>
      <c r="E2932" t="s">
        <v>3268</v>
      </c>
      <c r="F2932" s="451">
        <v>46097</v>
      </c>
      <c r="G2932">
        <v>19658</v>
      </c>
      <c r="H2932" t="s">
        <v>4784</v>
      </c>
      <c r="I2932" t="s">
        <v>5191</v>
      </c>
      <c r="J2932">
        <v>9.6</v>
      </c>
      <c r="K2932" t="s">
        <v>4744</v>
      </c>
      <c r="L2932">
        <v>27.84</v>
      </c>
      <c r="M2932">
        <v>2.9</v>
      </c>
      <c r="N2932" t="s">
        <v>5272</v>
      </c>
      <c r="O2932" t="s">
        <v>461</v>
      </c>
    </row>
    <row r="2933" spans="1:15" x14ac:dyDescent="0.3">
      <c r="A2933">
        <v>220937</v>
      </c>
      <c r="B2933">
        <v>105</v>
      </c>
      <c r="C2933" t="s">
        <v>557</v>
      </c>
      <c r="D2933" t="s">
        <v>2563</v>
      </c>
      <c r="E2933" t="s">
        <v>3268</v>
      </c>
      <c r="F2933" s="451">
        <v>46097</v>
      </c>
      <c r="G2933">
        <v>19492</v>
      </c>
      <c r="H2933" t="s">
        <v>4937</v>
      </c>
      <c r="I2933" t="s">
        <v>5191</v>
      </c>
      <c r="J2933">
        <v>1</v>
      </c>
      <c r="K2933" t="s">
        <v>4744</v>
      </c>
      <c r="L2933">
        <v>18.78</v>
      </c>
      <c r="M2933">
        <v>18.78</v>
      </c>
      <c r="N2933" t="s">
        <v>5272</v>
      </c>
      <c r="O2933" t="s">
        <v>461</v>
      </c>
    </row>
    <row r="2934" spans="1:15" x14ac:dyDescent="0.3">
      <c r="A2934">
        <v>220937</v>
      </c>
      <c r="B2934">
        <v>105</v>
      </c>
      <c r="C2934" t="s">
        <v>557</v>
      </c>
      <c r="D2934" t="s">
        <v>2563</v>
      </c>
      <c r="E2934" t="s">
        <v>3268</v>
      </c>
      <c r="F2934" s="451">
        <v>46097</v>
      </c>
      <c r="G2934">
        <v>19734</v>
      </c>
      <c r="H2934" t="s">
        <v>4833</v>
      </c>
      <c r="I2934" t="s">
        <v>5191</v>
      </c>
      <c r="J2934">
        <v>6</v>
      </c>
      <c r="K2934" t="s">
        <v>4744</v>
      </c>
      <c r="L2934">
        <v>78.3</v>
      </c>
      <c r="M2934">
        <v>13.05</v>
      </c>
      <c r="N2934" t="s">
        <v>5272</v>
      </c>
      <c r="O2934" t="s">
        <v>461</v>
      </c>
    </row>
    <row r="2935" spans="1:15" x14ac:dyDescent="0.3">
      <c r="A2935">
        <v>220937</v>
      </c>
      <c r="B2935">
        <v>105</v>
      </c>
      <c r="C2935" t="s">
        <v>557</v>
      </c>
      <c r="D2935" t="s">
        <v>2563</v>
      </c>
      <c r="E2935" t="s">
        <v>3268</v>
      </c>
      <c r="F2935" s="451">
        <v>46097</v>
      </c>
      <c r="G2935">
        <v>23228</v>
      </c>
      <c r="H2935" t="s">
        <v>4782</v>
      </c>
      <c r="I2935" t="s">
        <v>5191</v>
      </c>
      <c r="J2935">
        <v>12</v>
      </c>
      <c r="K2935" t="s">
        <v>4744</v>
      </c>
      <c r="L2935">
        <v>78.36</v>
      </c>
      <c r="M2935">
        <v>6.53</v>
      </c>
      <c r="N2935" t="s">
        <v>5272</v>
      </c>
      <c r="O2935" t="s">
        <v>461</v>
      </c>
    </row>
    <row r="2936" spans="1:15" x14ac:dyDescent="0.3">
      <c r="A2936">
        <v>220937</v>
      </c>
      <c r="B2936">
        <v>105</v>
      </c>
      <c r="C2936" t="s">
        <v>557</v>
      </c>
      <c r="D2936" t="s">
        <v>2563</v>
      </c>
      <c r="E2936" t="s">
        <v>3268</v>
      </c>
      <c r="F2936" s="451">
        <v>46097</v>
      </c>
      <c r="G2936">
        <v>23346</v>
      </c>
      <c r="H2936" t="s">
        <v>4916</v>
      </c>
      <c r="I2936" t="s">
        <v>5191</v>
      </c>
      <c r="J2936">
        <v>2</v>
      </c>
      <c r="K2936" t="s">
        <v>4744</v>
      </c>
      <c r="L2936">
        <v>15.34</v>
      </c>
      <c r="M2936">
        <v>7.67</v>
      </c>
      <c r="N2936" t="s">
        <v>5272</v>
      </c>
      <c r="O2936" t="s">
        <v>461</v>
      </c>
    </row>
    <row r="2937" spans="1:15" x14ac:dyDescent="0.3">
      <c r="A2937">
        <v>220937</v>
      </c>
      <c r="B2937">
        <v>105</v>
      </c>
      <c r="C2937" t="s">
        <v>557</v>
      </c>
      <c r="D2937" t="s">
        <v>2563</v>
      </c>
      <c r="E2937" t="s">
        <v>3268</v>
      </c>
      <c r="F2937" s="451">
        <v>46097</v>
      </c>
      <c r="G2937">
        <v>23389</v>
      </c>
      <c r="H2937" t="s">
        <v>4960</v>
      </c>
      <c r="I2937" t="s">
        <v>5191</v>
      </c>
      <c r="J2937">
        <v>5</v>
      </c>
      <c r="K2937" t="s">
        <v>4744</v>
      </c>
      <c r="L2937">
        <v>22.9</v>
      </c>
      <c r="M2937">
        <v>4.58</v>
      </c>
      <c r="N2937" t="s">
        <v>5272</v>
      </c>
      <c r="O2937" t="s">
        <v>461</v>
      </c>
    </row>
    <row r="2938" spans="1:15" x14ac:dyDescent="0.3">
      <c r="A2938">
        <v>220937</v>
      </c>
      <c r="B2938">
        <v>105</v>
      </c>
      <c r="C2938" t="s">
        <v>557</v>
      </c>
      <c r="D2938" t="s">
        <v>2563</v>
      </c>
      <c r="E2938" t="s">
        <v>3268</v>
      </c>
      <c r="F2938" s="451">
        <v>46097</v>
      </c>
      <c r="G2938">
        <v>23095</v>
      </c>
      <c r="H2938" t="s">
        <v>4741</v>
      </c>
      <c r="I2938" t="s">
        <v>5191</v>
      </c>
      <c r="J2938">
        <v>80</v>
      </c>
      <c r="K2938" t="s">
        <v>4736</v>
      </c>
      <c r="L2938">
        <v>106.4</v>
      </c>
      <c r="M2938">
        <v>1.33</v>
      </c>
      <c r="N2938" t="s">
        <v>5272</v>
      </c>
      <c r="O2938" t="s">
        <v>461</v>
      </c>
    </row>
    <row r="2939" spans="1:15" x14ac:dyDescent="0.3">
      <c r="A2939">
        <v>220936</v>
      </c>
      <c r="B2939">
        <v>105</v>
      </c>
      <c r="C2939" t="s">
        <v>557</v>
      </c>
      <c r="D2939" t="s">
        <v>2563</v>
      </c>
      <c r="E2939" t="s">
        <v>3269</v>
      </c>
      <c r="F2939" s="451">
        <v>46100</v>
      </c>
      <c r="G2939">
        <v>19634</v>
      </c>
      <c r="H2939" t="s">
        <v>4792</v>
      </c>
      <c r="I2939" t="s">
        <v>5191</v>
      </c>
      <c r="J2939">
        <v>6.1</v>
      </c>
      <c r="K2939" t="s">
        <v>4744</v>
      </c>
      <c r="L2939">
        <v>58.8</v>
      </c>
      <c r="M2939">
        <v>9.6393439999999995</v>
      </c>
      <c r="N2939" t="s">
        <v>5272</v>
      </c>
      <c r="O2939" t="s">
        <v>461</v>
      </c>
    </row>
    <row r="2940" spans="1:15" x14ac:dyDescent="0.3">
      <c r="A2940">
        <v>220936</v>
      </c>
      <c r="B2940">
        <v>105</v>
      </c>
      <c r="C2940" t="s">
        <v>557</v>
      </c>
      <c r="D2940" t="s">
        <v>2563</v>
      </c>
      <c r="E2940" t="s">
        <v>3269</v>
      </c>
      <c r="F2940" s="451">
        <v>46100</v>
      </c>
      <c r="G2940">
        <v>19621</v>
      </c>
      <c r="H2940" t="s">
        <v>4829</v>
      </c>
      <c r="I2940" t="s">
        <v>5191</v>
      </c>
      <c r="J2940">
        <v>3.01</v>
      </c>
      <c r="K2940" t="s">
        <v>4744</v>
      </c>
      <c r="L2940">
        <v>17.43</v>
      </c>
      <c r="M2940">
        <v>5.7906979999999999</v>
      </c>
      <c r="N2940" t="s">
        <v>5272</v>
      </c>
      <c r="O2940" t="s">
        <v>461</v>
      </c>
    </row>
    <row r="2941" spans="1:15" x14ac:dyDescent="0.3">
      <c r="A2941">
        <v>220936</v>
      </c>
      <c r="B2941">
        <v>105</v>
      </c>
      <c r="C2941" t="s">
        <v>557</v>
      </c>
      <c r="D2941" t="s">
        <v>2563</v>
      </c>
      <c r="E2941" t="s">
        <v>3269</v>
      </c>
      <c r="F2941" s="451">
        <v>46100</v>
      </c>
      <c r="G2941">
        <v>24083</v>
      </c>
      <c r="H2941" t="s">
        <v>5165</v>
      </c>
      <c r="I2941" t="s">
        <v>5191</v>
      </c>
      <c r="J2941">
        <v>90</v>
      </c>
      <c r="K2941" t="s">
        <v>4744</v>
      </c>
      <c r="L2941">
        <v>463.5</v>
      </c>
      <c r="M2941">
        <v>5.15</v>
      </c>
      <c r="N2941" t="s">
        <v>5272</v>
      </c>
      <c r="O2941" t="s">
        <v>461</v>
      </c>
    </row>
    <row r="2942" spans="1:15" x14ac:dyDescent="0.3">
      <c r="A2942">
        <v>220936</v>
      </c>
      <c r="B2942">
        <v>105</v>
      </c>
      <c r="C2942" t="s">
        <v>557</v>
      </c>
      <c r="D2942" t="s">
        <v>2563</v>
      </c>
      <c r="E2942" t="s">
        <v>3269</v>
      </c>
      <c r="F2942" s="451">
        <v>46100</v>
      </c>
      <c r="G2942">
        <v>19623</v>
      </c>
      <c r="H2942" t="s">
        <v>4764</v>
      </c>
      <c r="I2942" t="s">
        <v>5191</v>
      </c>
      <c r="J2942">
        <v>9</v>
      </c>
      <c r="K2942" t="s">
        <v>4744</v>
      </c>
      <c r="L2942">
        <v>37.17</v>
      </c>
      <c r="M2942">
        <v>4.13</v>
      </c>
      <c r="N2942" t="s">
        <v>5272</v>
      </c>
      <c r="O2942" t="s">
        <v>461</v>
      </c>
    </row>
    <row r="2943" spans="1:15" x14ac:dyDescent="0.3">
      <c r="A2943">
        <v>220936</v>
      </c>
      <c r="B2943">
        <v>105</v>
      </c>
      <c r="C2943" t="s">
        <v>557</v>
      </c>
      <c r="D2943" t="s">
        <v>2563</v>
      </c>
      <c r="E2943" t="s">
        <v>3269</v>
      </c>
      <c r="F2943" s="451">
        <v>46100</v>
      </c>
      <c r="G2943">
        <v>19737</v>
      </c>
      <c r="H2943" t="s">
        <v>4940</v>
      </c>
      <c r="I2943" t="s">
        <v>5191</v>
      </c>
      <c r="J2943">
        <v>2.6</v>
      </c>
      <c r="K2943" t="s">
        <v>4744</v>
      </c>
      <c r="L2943">
        <v>15.81</v>
      </c>
      <c r="M2943">
        <v>6.0807690000000001</v>
      </c>
      <c r="N2943" t="s">
        <v>5272</v>
      </c>
      <c r="O2943" t="s">
        <v>461</v>
      </c>
    </row>
    <row r="2944" spans="1:15" x14ac:dyDescent="0.3">
      <c r="A2944">
        <v>220936</v>
      </c>
      <c r="B2944">
        <v>105</v>
      </c>
      <c r="C2944" t="s">
        <v>557</v>
      </c>
      <c r="D2944" t="s">
        <v>2563</v>
      </c>
      <c r="E2944" t="s">
        <v>3269</v>
      </c>
      <c r="F2944" s="451">
        <v>46100</v>
      </c>
      <c r="G2944">
        <v>19734</v>
      </c>
      <c r="H2944" t="s">
        <v>4833</v>
      </c>
      <c r="I2944" t="s">
        <v>5191</v>
      </c>
      <c r="J2944">
        <v>8</v>
      </c>
      <c r="K2944" t="s">
        <v>4744</v>
      </c>
      <c r="L2944">
        <v>104.4</v>
      </c>
      <c r="M2944">
        <v>13.05</v>
      </c>
      <c r="N2944" t="s">
        <v>5272</v>
      </c>
      <c r="O2944" t="s">
        <v>461</v>
      </c>
    </row>
    <row r="2945" spans="1:15" x14ac:dyDescent="0.3">
      <c r="A2945">
        <v>220936</v>
      </c>
      <c r="B2945">
        <v>105</v>
      </c>
      <c r="C2945" t="s">
        <v>557</v>
      </c>
      <c r="D2945" t="s">
        <v>2563</v>
      </c>
      <c r="E2945" t="s">
        <v>3269</v>
      </c>
      <c r="F2945" s="451">
        <v>46100</v>
      </c>
      <c r="G2945">
        <v>19765</v>
      </c>
      <c r="H2945" t="s">
        <v>4889</v>
      </c>
      <c r="I2945" t="s">
        <v>5191</v>
      </c>
      <c r="J2945">
        <v>3</v>
      </c>
      <c r="K2945" t="s">
        <v>4744</v>
      </c>
      <c r="L2945">
        <v>108.75</v>
      </c>
      <c r="M2945">
        <v>36.25</v>
      </c>
      <c r="N2945" t="s">
        <v>5272</v>
      </c>
      <c r="O2945" t="s">
        <v>461</v>
      </c>
    </row>
    <row r="2946" spans="1:15" x14ac:dyDescent="0.3">
      <c r="A2946">
        <v>220936</v>
      </c>
      <c r="B2946">
        <v>105</v>
      </c>
      <c r="C2946" t="s">
        <v>557</v>
      </c>
      <c r="D2946" t="s">
        <v>2563</v>
      </c>
      <c r="E2946" t="s">
        <v>3269</v>
      </c>
      <c r="F2946" s="451">
        <v>46100</v>
      </c>
      <c r="G2946">
        <v>19707</v>
      </c>
      <c r="H2946" t="s">
        <v>5266</v>
      </c>
      <c r="I2946" t="s">
        <v>5191</v>
      </c>
      <c r="J2946">
        <v>0.5</v>
      </c>
      <c r="K2946" t="s">
        <v>4744</v>
      </c>
      <c r="L2946">
        <v>11.16</v>
      </c>
      <c r="M2946">
        <v>22.32</v>
      </c>
      <c r="N2946" t="s">
        <v>5272</v>
      </c>
      <c r="O2946" t="s">
        <v>461</v>
      </c>
    </row>
    <row r="2947" spans="1:15" x14ac:dyDescent="0.3">
      <c r="A2947">
        <v>220936</v>
      </c>
      <c r="B2947">
        <v>105</v>
      </c>
      <c r="C2947" t="s">
        <v>557</v>
      </c>
      <c r="D2947" t="s">
        <v>2563</v>
      </c>
      <c r="E2947" t="s">
        <v>3269</v>
      </c>
      <c r="F2947" s="451">
        <v>46100</v>
      </c>
      <c r="G2947">
        <v>23228</v>
      </c>
      <c r="H2947" t="s">
        <v>4782</v>
      </c>
      <c r="I2947" t="s">
        <v>5191</v>
      </c>
      <c r="J2947">
        <v>9</v>
      </c>
      <c r="K2947" t="s">
        <v>4744</v>
      </c>
      <c r="L2947">
        <v>58.77</v>
      </c>
      <c r="M2947">
        <v>6.53</v>
      </c>
      <c r="N2947" t="s">
        <v>5272</v>
      </c>
      <c r="O2947" t="s">
        <v>461</v>
      </c>
    </row>
    <row r="2948" spans="1:15" x14ac:dyDescent="0.3">
      <c r="A2948">
        <v>220936</v>
      </c>
      <c r="B2948">
        <v>105</v>
      </c>
      <c r="C2948" t="s">
        <v>557</v>
      </c>
      <c r="D2948" t="s">
        <v>2563</v>
      </c>
      <c r="E2948" t="s">
        <v>3269</v>
      </c>
      <c r="F2948" s="451">
        <v>46100</v>
      </c>
      <c r="G2948">
        <v>23238</v>
      </c>
      <c r="H2948" t="s">
        <v>4934</v>
      </c>
      <c r="I2948" t="s">
        <v>5191</v>
      </c>
      <c r="J2948">
        <v>2.5</v>
      </c>
      <c r="K2948" t="s">
        <v>4744</v>
      </c>
      <c r="L2948">
        <v>57.82</v>
      </c>
      <c r="M2948">
        <v>23.128</v>
      </c>
      <c r="N2948" t="s">
        <v>5272</v>
      </c>
      <c r="O2948" t="s">
        <v>461</v>
      </c>
    </row>
    <row r="2949" spans="1:15" x14ac:dyDescent="0.3">
      <c r="A2949">
        <v>220936</v>
      </c>
      <c r="B2949">
        <v>105</v>
      </c>
      <c r="C2949" t="s">
        <v>557</v>
      </c>
      <c r="D2949" t="s">
        <v>2563</v>
      </c>
      <c r="E2949" t="s">
        <v>3269</v>
      </c>
      <c r="F2949" s="451">
        <v>46100</v>
      </c>
      <c r="G2949">
        <v>23359</v>
      </c>
      <c r="H2949" t="s">
        <v>4767</v>
      </c>
      <c r="I2949" t="s">
        <v>5191</v>
      </c>
      <c r="J2949">
        <v>25</v>
      </c>
      <c r="K2949" t="s">
        <v>4744</v>
      </c>
      <c r="L2949">
        <v>79.75</v>
      </c>
      <c r="M2949">
        <v>3.19</v>
      </c>
      <c r="N2949" t="s">
        <v>5272</v>
      </c>
      <c r="O2949" t="s">
        <v>461</v>
      </c>
    </row>
    <row r="2950" spans="1:15" x14ac:dyDescent="0.3">
      <c r="A2950">
        <v>220936</v>
      </c>
      <c r="B2950">
        <v>105</v>
      </c>
      <c r="C2950" t="s">
        <v>557</v>
      </c>
      <c r="D2950" t="s">
        <v>2563</v>
      </c>
      <c r="E2950" t="s">
        <v>3269</v>
      </c>
      <c r="F2950" s="451">
        <v>46100</v>
      </c>
      <c r="G2950">
        <v>23361</v>
      </c>
      <c r="H2950" t="s">
        <v>4754</v>
      </c>
      <c r="I2950" t="s">
        <v>5191</v>
      </c>
      <c r="J2950">
        <v>30</v>
      </c>
      <c r="K2950" t="s">
        <v>4744</v>
      </c>
      <c r="L2950">
        <v>103.5</v>
      </c>
      <c r="M2950">
        <v>3.45</v>
      </c>
      <c r="N2950" t="s">
        <v>5272</v>
      </c>
      <c r="O2950" t="s">
        <v>461</v>
      </c>
    </row>
    <row r="2951" spans="1:15" x14ac:dyDescent="0.3">
      <c r="A2951">
        <v>220936</v>
      </c>
      <c r="B2951">
        <v>105</v>
      </c>
      <c r="C2951" t="s">
        <v>557</v>
      </c>
      <c r="D2951" t="s">
        <v>2563</v>
      </c>
      <c r="E2951" t="s">
        <v>3269</v>
      </c>
      <c r="F2951" s="451">
        <v>46100</v>
      </c>
      <c r="G2951">
        <v>19532</v>
      </c>
      <c r="H2951" t="s">
        <v>4753</v>
      </c>
      <c r="I2951" t="s">
        <v>5191</v>
      </c>
      <c r="J2951">
        <v>30</v>
      </c>
      <c r="K2951" t="s">
        <v>4744</v>
      </c>
      <c r="L2951">
        <v>256.5</v>
      </c>
      <c r="M2951">
        <v>8.5500000000000007</v>
      </c>
      <c r="N2951" t="s">
        <v>5272</v>
      </c>
      <c r="O2951" t="s">
        <v>461</v>
      </c>
    </row>
    <row r="2952" spans="1:15" x14ac:dyDescent="0.3">
      <c r="A2952">
        <v>220935</v>
      </c>
      <c r="B2952">
        <v>105</v>
      </c>
      <c r="C2952" t="s">
        <v>557</v>
      </c>
      <c r="D2952" t="s">
        <v>2563</v>
      </c>
      <c r="E2952" t="s">
        <v>3270</v>
      </c>
      <c r="F2952" s="451">
        <v>46099</v>
      </c>
      <c r="G2952">
        <v>19623</v>
      </c>
      <c r="H2952" t="s">
        <v>4764</v>
      </c>
      <c r="I2952" t="s">
        <v>5191</v>
      </c>
      <c r="J2952">
        <v>6</v>
      </c>
      <c r="K2952" t="s">
        <v>4744</v>
      </c>
      <c r="L2952">
        <v>24.78</v>
      </c>
      <c r="M2952">
        <v>4.13</v>
      </c>
      <c r="N2952" t="s">
        <v>5272</v>
      </c>
      <c r="O2952" t="s">
        <v>461</v>
      </c>
    </row>
    <row r="2953" spans="1:15" x14ac:dyDescent="0.3">
      <c r="A2953">
        <v>220935</v>
      </c>
      <c r="B2953">
        <v>105</v>
      </c>
      <c r="C2953" t="s">
        <v>557</v>
      </c>
      <c r="D2953" t="s">
        <v>2563</v>
      </c>
      <c r="E2953" t="s">
        <v>3270</v>
      </c>
      <c r="F2953" s="451">
        <v>46099</v>
      </c>
      <c r="G2953">
        <v>19465</v>
      </c>
      <c r="H2953" t="s">
        <v>5114</v>
      </c>
      <c r="I2953" t="s">
        <v>5191</v>
      </c>
      <c r="J2953">
        <v>1.3</v>
      </c>
      <c r="K2953" t="s">
        <v>4744</v>
      </c>
      <c r="L2953">
        <v>7.54</v>
      </c>
      <c r="M2953">
        <v>5.8</v>
      </c>
      <c r="N2953" t="s">
        <v>5272</v>
      </c>
      <c r="O2953" t="s">
        <v>461</v>
      </c>
    </row>
    <row r="2954" spans="1:15" x14ac:dyDescent="0.3">
      <c r="A2954">
        <v>220935</v>
      </c>
      <c r="B2954">
        <v>105</v>
      </c>
      <c r="C2954" t="s">
        <v>557</v>
      </c>
      <c r="D2954" t="s">
        <v>2563</v>
      </c>
      <c r="E2954" t="s">
        <v>3270</v>
      </c>
      <c r="F2954" s="451">
        <v>46099</v>
      </c>
      <c r="G2954">
        <v>19734</v>
      </c>
      <c r="H2954" t="s">
        <v>4833</v>
      </c>
      <c r="I2954" t="s">
        <v>5191</v>
      </c>
      <c r="J2954">
        <v>4</v>
      </c>
      <c r="K2954" t="s">
        <v>4744</v>
      </c>
      <c r="L2954">
        <v>52.2</v>
      </c>
      <c r="M2954">
        <v>13.05</v>
      </c>
      <c r="N2954" t="s">
        <v>5272</v>
      </c>
      <c r="O2954" t="s">
        <v>461</v>
      </c>
    </row>
    <row r="2955" spans="1:15" x14ac:dyDescent="0.3">
      <c r="A2955">
        <v>220935</v>
      </c>
      <c r="B2955">
        <v>105</v>
      </c>
      <c r="C2955" t="s">
        <v>557</v>
      </c>
      <c r="D2955" t="s">
        <v>2563</v>
      </c>
      <c r="E2955" t="s">
        <v>3270</v>
      </c>
      <c r="F2955" s="451">
        <v>46099</v>
      </c>
      <c r="G2955">
        <v>24489</v>
      </c>
      <c r="H2955" t="s">
        <v>5121</v>
      </c>
      <c r="I2955" t="s">
        <v>5191</v>
      </c>
      <c r="J2955">
        <v>0.6</v>
      </c>
      <c r="K2955" t="s">
        <v>4744</v>
      </c>
      <c r="L2955">
        <v>17.399999999999999</v>
      </c>
      <c r="M2955">
        <v>29</v>
      </c>
      <c r="N2955" t="s">
        <v>5272</v>
      </c>
      <c r="O2955" t="s">
        <v>461</v>
      </c>
    </row>
    <row r="2956" spans="1:15" x14ac:dyDescent="0.3">
      <c r="A2956">
        <v>220935</v>
      </c>
      <c r="B2956">
        <v>105</v>
      </c>
      <c r="C2956" t="s">
        <v>557</v>
      </c>
      <c r="D2956" t="s">
        <v>2563</v>
      </c>
      <c r="E2956" t="s">
        <v>3270</v>
      </c>
      <c r="F2956" s="451">
        <v>46099</v>
      </c>
      <c r="G2956">
        <v>23389</v>
      </c>
      <c r="H2956" t="s">
        <v>4960</v>
      </c>
      <c r="I2956" t="s">
        <v>5191</v>
      </c>
      <c r="J2956">
        <v>4.5</v>
      </c>
      <c r="K2956" t="s">
        <v>4744</v>
      </c>
      <c r="L2956">
        <v>24.25</v>
      </c>
      <c r="M2956">
        <v>5.3888889999999998</v>
      </c>
      <c r="N2956" t="s">
        <v>5272</v>
      </c>
      <c r="O2956" t="s">
        <v>461</v>
      </c>
    </row>
    <row r="2957" spans="1:15" x14ac:dyDescent="0.3">
      <c r="A2957">
        <v>220934</v>
      </c>
      <c r="B2957">
        <v>105</v>
      </c>
      <c r="C2957" t="s">
        <v>557</v>
      </c>
      <c r="D2957" t="s">
        <v>2563</v>
      </c>
      <c r="E2957" t="s">
        <v>3271</v>
      </c>
      <c r="F2957" s="451">
        <v>46101</v>
      </c>
      <c r="G2957">
        <v>19622</v>
      </c>
      <c r="H2957" t="s">
        <v>4915</v>
      </c>
      <c r="I2957" t="s">
        <v>5191</v>
      </c>
      <c r="J2957">
        <v>1.5</v>
      </c>
      <c r="K2957" t="s">
        <v>4744</v>
      </c>
      <c r="L2957">
        <v>5.55</v>
      </c>
      <c r="M2957">
        <v>3.7</v>
      </c>
      <c r="N2957" t="s">
        <v>5272</v>
      </c>
      <c r="O2957" t="s">
        <v>461</v>
      </c>
    </row>
    <row r="2958" spans="1:15" x14ac:dyDescent="0.3">
      <c r="A2958">
        <v>220933</v>
      </c>
      <c r="B2958">
        <v>105</v>
      </c>
      <c r="C2958" t="s">
        <v>557</v>
      </c>
      <c r="D2958" t="s">
        <v>2563</v>
      </c>
      <c r="E2958" t="s">
        <v>3272</v>
      </c>
      <c r="F2958" s="451">
        <v>46104</v>
      </c>
      <c r="G2958">
        <v>19621</v>
      </c>
      <c r="H2958" t="s">
        <v>4829</v>
      </c>
      <c r="I2958" t="s">
        <v>5191</v>
      </c>
      <c r="J2958">
        <v>5</v>
      </c>
      <c r="K2958" t="s">
        <v>4744</v>
      </c>
      <c r="L2958">
        <v>29</v>
      </c>
      <c r="M2958">
        <v>5.8</v>
      </c>
      <c r="N2958" t="s">
        <v>5272</v>
      </c>
      <c r="O2958" t="s">
        <v>461</v>
      </c>
    </row>
    <row r="2959" spans="1:15" x14ac:dyDescent="0.3">
      <c r="A2959">
        <v>220933</v>
      </c>
      <c r="B2959">
        <v>105</v>
      </c>
      <c r="C2959" t="s">
        <v>557</v>
      </c>
      <c r="D2959" t="s">
        <v>2563</v>
      </c>
      <c r="E2959" t="s">
        <v>3272</v>
      </c>
      <c r="F2959" s="451">
        <v>46104</v>
      </c>
      <c r="G2959">
        <v>19589</v>
      </c>
      <c r="H2959" t="s">
        <v>4983</v>
      </c>
      <c r="I2959" t="s">
        <v>5191</v>
      </c>
      <c r="J2959">
        <v>3</v>
      </c>
      <c r="K2959" t="s">
        <v>4744</v>
      </c>
      <c r="L2959">
        <v>18.48</v>
      </c>
      <c r="M2959">
        <v>6.16</v>
      </c>
      <c r="N2959" t="s">
        <v>5272</v>
      </c>
      <c r="O2959" t="s">
        <v>461</v>
      </c>
    </row>
    <row r="2960" spans="1:15" x14ac:dyDescent="0.3">
      <c r="A2960">
        <v>220933</v>
      </c>
      <c r="B2960">
        <v>105</v>
      </c>
      <c r="C2960" t="s">
        <v>557</v>
      </c>
      <c r="D2960" t="s">
        <v>2563</v>
      </c>
      <c r="E2960" t="s">
        <v>3272</v>
      </c>
      <c r="F2960" s="451">
        <v>46104</v>
      </c>
      <c r="G2960">
        <v>19737</v>
      </c>
      <c r="H2960" t="s">
        <v>4940</v>
      </c>
      <c r="I2960" t="s">
        <v>5191</v>
      </c>
      <c r="J2960">
        <v>2.2999999999999998</v>
      </c>
      <c r="K2960" t="s">
        <v>4744</v>
      </c>
      <c r="L2960">
        <v>13.98</v>
      </c>
      <c r="M2960">
        <v>6.0782610000000004</v>
      </c>
      <c r="N2960" t="s">
        <v>5272</v>
      </c>
      <c r="O2960" t="s">
        <v>461</v>
      </c>
    </row>
    <row r="2961" spans="1:15" x14ac:dyDescent="0.3">
      <c r="A2961">
        <v>220933</v>
      </c>
      <c r="B2961">
        <v>105</v>
      </c>
      <c r="C2961" t="s">
        <v>557</v>
      </c>
      <c r="D2961" t="s">
        <v>2563</v>
      </c>
      <c r="E2961" t="s">
        <v>3272</v>
      </c>
      <c r="F2961" s="451">
        <v>46104</v>
      </c>
      <c r="G2961">
        <v>19526</v>
      </c>
      <c r="H2961" t="s">
        <v>4997</v>
      </c>
      <c r="I2961" t="s">
        <v>5191</v>
      </c>
      <c r="J2961">
        <v>1</v>
      </c>
      <c r="K2961" t="s">
        <v>4744</v>
      </c>
      <c r="L2961">
        <v>52.92</v>
      </c>
      <c r="M2961">
        <v>52.92</v>
      </c>
      <c r="N2961" t="s">
        <v>5272</v>
      </c>
      <c r="O2961" t="s">
        <v>461</v>
      </c>
    </row>
    <row r="2962" spans="1:15" x14ac:dyDescent="0.3">
      <c r="A2962">
        <v>220933</v>
      </c>
      <c r="B2962">
        <v>105</v>
      </c>
      <c r="C2962" t="s">
        <v>557</v>
      </c>
      <c r="D2962" t="s">
        <v>2563</v>
      </c>
      <c r="E2962" t="s">
        <v>3272</v>
      </c>
      <c r="F2962" s="451">
        <v>46104</v>
      </c>
      <c r="G2962">
        <v>19658</v>
      </c>
      <c r="H2962" t="s">
        <v>4784</v>
      </c>
      <c r="I2962" t="s">
        <v>5191</v>
      </c>
      <c r="J2962">
        <v>4.2</v>
      </c>
      <c r="K2962" t="s">
        <v>4744</v>
      </c>
      <c r="L2962">
        <v>15.54</v>
      </c>
      <c r="M2962">
        <v>3.7</v>
      </c>
      <c r="N2962" t="s">
        <v>5272</v>
      </c>
      <c r="O2962" t="s">
        <v>461</v>
      </c>
    </row>
    <row r="2963" spans="1:15" x14ac:dyDescent="0.3">
      <c r="A2963">
        <v>220933</v>
      </c>
      <c r="B2963">
        <v>105</v>
      </c>
      <c r="C2963" t="s">
        <v>557</v>
      </c>
      <c r="D2963" t="s">
        <v>2563</v>
      </c>
      <c r="E2963" t="s">
        <v>3272</v>
      </c>
      <c r="F2963" s="451">
        <v>46104</v>
      </c>
      <c r="G2963">
        <v>24099</v>
      </c>
      <c r="H2963" t="s">
        <v>4933</v>
      </c>
      <c r="I2963" t="s">
        <v>5191</v>
      </c>
      <c r="J2963">
        <v>3</v>
      </c>
      <c r="K2963" t="s">
        <v>4744</v>
      </c>
      <c r="L2963">
        <v>60.9</v>
      </c>
      <c r="M2963">
        <v>20.3</v>
      </c>
      <c r="N2963" t="s">
        <v>5272</v>
      </c>
      <c r="O2963" t="s">
        <v>461</v>
      </c>
    </row>
    <row r="2964" spans="1:15" x14ac:dyDescent="0.3">
      <c r="A2964">
        <v>220933</v>
      </c>
      <c r="B2964">
        <v>105</v>
      </c>
      <c r="C2964" t="s">
        <v>557</v>
      </c>
      <c r="D2964" t="s">
        <v>2563</v>
      </c>
      <c r="E2964" t="s">
        <v>3272</v>
      </c>
      <c r="F2964" s="451">
        <v>46104</v>
      </c>
      <c r="G2964">
        <v>19492</v>
      </c>
      <c r="H2964" t="s">
        <v>4937</v>
      </c>
      <c r="I2964" t="s">
        <v>5191</v>
      </c>
      <c r="J2964">
        <v>3.4</v>
      </c>
      <c r="K2964" t="s">
        <v>4744</v>
      </c>
      <c r="L2964">
        <v>76.430000000000007</v>
      </c>
      <c r="M2964">
        <v>22.479412</v>
      </c>
      <c r="N2964" t="s">
        <v>5272</v>
      </c>
      <c r="O2964" t="s">
        <v>461</v>
      </c>
    </row>
    <row r="2965" spans="1:15" x14ac:dyDescent="0.3">
      <c r="A2965">
        <v>220933</v>
      </c>
      <c r="B2965">
        <v>105</v>
      </c>
      <c r="C2965" t="s">
        <v>557</v>
      </c>
      <c r="D2965" t="s">
        <v>2563</v>
      </c>
      <c r="E2965" t="s">
        <v>3272</v>
      </c>
      <c r="F2965" s="451">
        <v>46104</v>
      </c>
      <c r="G2965">
        <v>19507</v>
      </c>
      <c r="H2965" t="s">
        <v>4853</v>
      </c>
      <c r="I2965" t="s">
        <v>5191</v>
      </c>
      <c r="J2965">
        <v>1.1000000000000001</v>
      </c>
      <c r="K2965" t="s">
        <v>4744</v>
      </c>
      <c r="L2965">
        <v>16.829999999999998</v>
      </c>
      <c r="M2965">
        <v>15.3</v>
      </c>
      <c r="N2965" t="s">
        <v>5272</v>
      </c>
      <c r="O2965" t="s">
        <v>461</v>
      </c>
    </row>
    <row r="2966" spans="1:15" x14ac:dyDescent="0.3">
      <c r="A2966">
        <v>220933</v>
      </c>
      <c r="B2966">
        <v>105</v>
      </c>
      <c r="C2966" t="s">
        <v>557</v>
      </c>
      <c r="D2966" t="s">
        <v>2563</v>
      </c>
      <c r="E2966" t="s">
        <v>3272</v>
      </c>
      <c r="F2966" s="451">
        <v>46104</v>
      </c>
      <c r="G2966">
        <v>19555</v>
      </c>
      <c r="H2966" t="s">
        <v>4903</v>
      </c>
      <c r="I2966" t="s">
        <v>5191</v>
      </c>
      <c r="J2966">
        <v>0.8</v>
      </c>
      <c r="K2966" t="s">
        <v>4744</v>
      </c>
      <c r="L2966">
        <v>19.72</v>
      </c>
      <c r="M2966">
        <v>24.65</v>
      </c>
      <c r="N2966" t="s">
        <v>5272</v>
      </c>
      <c r="O2966" t="s">
        <v>461</v>
      </c>
    </row>
    <row r="2967" spans="1:15" x14ac:dyDescent="0.3">
      <c r="A2967">
        <v>220933</v>
      </c>
      <c r="B2967">
        <v>105</v>
      </c>
      <c r="C2967" t="s">
        <v>557</v>
      </c>
      <c r="D2967" t="s">
        <v>2563</v>
      </c>
      <c r="E2967" t="s">
        <v>3272</v>
      </c>
      <c r="F2967" s="451">
        <v>46104</v>
      </c>
      <c r="G2967">
        <v>19622</v>
      </c>
      <c r="H2967" t="s">
        <v>4915</v>
      </c>
      <c r="I2967" t="s">
        <v>5191</v>
      </c>
      <c r="J2967">
        <v>0.5</v>
      </c>
      <c r="K2967" t="s">
        <v>4744</v>
      </c>
      <c r="L2967">
        <v>1.85</v>
      </c>
      <c r="M2967">
        <v>3.7</v>
      </c>
      <c r="N2967" t="s">
        <v>5272</v>
      </c>
      <c r="O2967" t="s">
        <v>461</v>
      </c>
    </row>
    <row r="2968" spans="1:15" x14ac:dyDescent="0.3">
      <c r="A2968">
        <v>220933</v>
      </c>
      <c r="B2968">
        <v>105</v>
      </c>
      <c r="C2968" t="s">
        <v>557</v>
      </c>
      <c r="D2968" t="s">
        <v>2563</v>
      </c>
      <c r="E2968" t="s">
        <v>3272</v>
      </c>
      <c r="F2968" s="451">
        <v>46104</v>
      </c>
      <c r="G2968">
        <v>19734</v>
      </c>
      <c r="H2968" t="s">
        <v>4833</v>
      </c>
      <c r="I2968" t="s">
        <v>5191</v>
      </c>
      <c r="J2968">
        <v>5</v>
      </c>
      <c r="K2968" t="s">
        <v>4744</v>
      </c>
      <c r="L2968">
        <v>65.25</v>
      </c>
      <c r="M2968">
        <v>13.05</v>
      </c>
      <c r="N2968" t="s">
        <v>5272</v>
      </c>
      <c r="O2968" t="s">
        <v>461</v>
      </c>
    </row>
    <row r="2969" spans="1:15" x14ac:dyDescent="0.3">
      <c r="A2969">
        <v>220933</v>
      </c>
      <c r="B2969">
        <v>105</v>
      </c>
      <c r="C2969" t="s">
        <v>557</v>
      </c>
      <c r="D2969" t="s">
        <v>2563</v>
      </c>
      <c r="E2969" t="s">
        <v>3272</v>
      </c>
      <c r="F2969" s="451">
        <v>46104</v>
      </c>
      <c r="G2969">
        <v>19765</v>
      </c>
      <c r="H2969" t="s">
        <v>4889</v>
      </c>
      <c r="I2969" t="s">
        <v>5191</v>
      </c>
      <c r="J2969">
        <v>2</v>
      </c>
      <c r="K2969" t="s">
        <v>4744</v>
      </c>
      <c r="L2969">
        <v>72.5</v>
      </c>
      <c r="M2969">
        <v>36.25</v>
      </c>
      <c r="N2969" t="s">
        <v>5272</v>
      </c>
      <c r="O2969" t="s">
        <v>461</v>
      </c>
    </row>
    <row r="2970" spans="1:15" x14ac:dyDescent="0.3">
      <c r="A2970">
        <v>220933</v>
      </c>
      <c r="B2970">
        <v>105</v>
      </c>
      <c r="C2970" t="s">
        <v>557</v>
      </c>
      <c r="D2970" t="s">
        <v>2563</v>
      </c>
      <c r="E2970" t="s">
        <v>3272</v>
      </c>
      <c r="F2970" s="451">
        <v>46104</v>
      </c>
      <c r="G2970">
        <v>19635</v>
      </c>
      <c r="H2970" t="s">
        <v>4786</v>
      </c>
      <c r="I2970" t="s">
        <v>5191</v>
      </c>
      <c r="J2970">
        <v>8</v>
      </c>
      <c r="K2970" t="s">
        <v>4744</v>
      </c>
      <c r="L2970">
        <v>52.8</v>
      </c>
      <c r="M2970">
        <v>6.6</v>
      </c>
      <c r="N2970" t="s">
        <v>5272</v>
      </c>
      <c r="O2970" t="s">
        <v>461</v>
      </c>
    </row>
    <row r="2971" spans="1:15" x14ac:dyDescent="0.3">
      <c r="A2971">
        <v>220933</v>
      </c>
      <c r="B2971">
        <v>105</v>
      </c>
      <c r="C2971" t="s">
        <v>557</v>
      </c>
      <c r="D2971" t="s">
        <v>2563</v>
      </c>
      <c r="E2971" t="s">
        <v>3272</v>
      </c>
      <c r="F2971" s="451">
        <v>46104</v>
      </c>
      <c r="G2971">
        <v>23228</v>
      </c>
      <c r="H2971" t="s">
        <v>4782</v>
      </c>
      <c r="I2971" t="s">
        <v>5191</v>
      </c>
      <c r="J2971">
        <v>10</v>
      </c>
      <c r="K2971" t="s">
        <v>4744</v>
      </c>
      <c r="L2971">
        <v>65.3</v>
      </c>
      <c r="M2971">
        <v>6.53</v>
      </c>
      <c r="N2971" t="s">
        <v>5272</v>
      </c>
      <c r="O2971" t="s">
        <v>461</v>
      </c>
    </row>
    <row r="2972" spans="1:15" x14ac:dyDescent="0.3">
      <c r="A2972">
        <v>220933</v>
      </c>
      <c r="B2972">
        <v>105</v>
      </c>
      <c r="C2972" t="s">
        <v>557</v>
      </c>
      <c r="D2972" t="s">
        <v>2563</v>
      </c>
      <c r="E2972" t="s">
        <v>3272</v>
      </c>
      <c r="F2972" s="451">
        <v>46104</v>
      </c>
      <c r="G2972">
        <v>23236</v>
      </c>
      <c r="H2972" t="s">
        <v>5062</v>
      </c>
      <c r="I2972" t="s">
        <v>5191</v>
      </c>
      <c r="J2972">
        <v>3</v>
      </c>
      <c r="K2972" t="s">
        <v>4744</v>
      </c>
      <c r="L2972">
        <v>36.96</v>
      </c>
      <c r="M2972">
        <v>12.32</v>
      </c>
      <c r="N2972" t="s">
        <v>5272</v>
      </c>
      <c r="O2972" t="s">
        <v>461</v>
      </c>
    </row>
    <row r="2973" spans="1:15" x14ac:dyDescent="0.3">
      <c r="A2973">
        <v>220933</v>
      </c>
      <c r="B2973">
        <v>105</v>
      </c>
      <c r="C2973" t="s">
        <v>557</v>
      </c>
      <c r="D2973" t="s">
        <v>2563</v>
      </c>
      <c r="E2973" t="s">
        <v>3272</v>
      </c>
      <c r="F2973" s="451">
        <v>46104</v>
      </c>
      <c r="G2973">
        <v>23238</v>
      </c>
      <c r="H2973" t="s">
        <v>4934</v>
      </c>
      <c r="I2973" t="s">
        <v>5191</v>
      </c>
      <c r="J2973">
        <v>2</v>
      </c>
      <c r="K2973" t="s">
        <v>4744</v>
      </c>
      <c r="L2973">
        <v>46.26</v>
      </c>
      <c r="M2973">
        <v>23.13</v>
      </c>
      <c r="N2973" t="s">
        <v>5272</v>
      </c>
      <c r="O2973" t="s">
        <v>461</v>
      </c>
    </row>
    <row r="2974" spans="1:15" x14ac:dyDescent="0.3">
      <c r="A2974">
        <v>220933</v>
      </c>
      <c r="B2974">
        <v>105</v>
      </c>
      <c r="C2974" t="s">
        <v>557</v>
      </c>
      <c r="D2974" t="s">
        <v>2563</v>
      </c>
      <c r="E2974" t="s">
        <v>3272</v>
      </c>
      <c r="F2974" s="451">
        <v>46104</v>
      </c>
      <c r="G2974">
        <v>19472</v>
      </c>
      <c r="H2974" t="s">
        <v>4906</v>
      </c>
      <c r="I2974" t="s">
        <v>5191</v>
      </c>
      <c r="J2974">
        <v>1.5</v>
      </c>
      <c r="K2974" t="s">
        <v>4744</v>
      </c>
      <c r="L2974">
        <v>42.53</v>
      </c>
      <c r="M2974">
        <v>28.353332999999999</v>
      </c>
      <c r="N2974" t="s">
        <v>5272</v>
      </c>
      <c r="O2974" t="s">
        <v>461</v>
      </c>
    </row>
    <row r="2975" spans="1:15" x14ac:dyDescent="0.3">
      <c r="A2975">
        <v>220933</v>
      </c>
      <c r="B2975">
        <v>105</v>
      </c>
      <c r="C2975" t="s">
        <v>557</v>
      </c>
      <c r="D2975" t="s">
        <v>2563</v>
      </c>
      <c r="E2975" t="s">
        <v>3272</v>
      </c>
      <c r="F2975" s="451">
        <v>46104</v>
      </c>
      <c r="G2975">
        <v>19532</v>
      </c>
      <c r="H2975" t="s">
        <v>4753</v>
      </c>
      <c r="I2975" t="s">
        <v>5191</v>
      </c>
      <c r="J2975">
        <v>15</v>
      </c>
      <c r="K2975" t="s">
        <v>5227</v>
      </c>
      <c r="L2975">
        <v>128.25</v>
      </c>
      <c r="M2975">
        <v>8.5500000000000007</v>
      </c>
      <c r="N2975" t="s">
        <v>5272</v>
      </c>
      <c r="O2975" t="s">
        <v>461</v>
      </c>
    </row>
    <row r="2976" spans="1:15" x14ac:dyDescent="0.3">
      <c r="A2976">
        <v>220932</v>
      </c>
      <c r="B2976">
        <v>105</v>
      </c>
      <c r="C2976" t="s">
        <v>557</v>
      </c>
      <c r="D2976" t="s">
        <v>2563</v>
      </c>
      <c r="E2976" t="s">
        <v>3273</v>
      </c>
      <c r="F2976" s="451">
        <v>46106</v>
      </c>
      <c r="G2976">
        <v>19621</v>
      </c>
      <c r="H2976" t="s">
        <v>4829</v>
      </c>
      <c r="I2976" t="s">
        <v>5191</v>
      </c>
      <c r="J2976">
        <v>4.0999999999999996</v>
      </c>
      <c r="K2976" t="s">
        <v>4744</v>
      </c>
      <c r="L2976">
        <v>23.78</v>
      </c>
      <c r="M2976">
        <v>5.8</v>
      </c>
      <c r="N2976" t="s">
        <v>5272</v>
      </c>
      <c r="O2976" t="s">
        <v>461</v>
      </c>
    </row>
    <row r="2977" spans="1:15" x14ac:dyDescent="0.3">
      <c r="A2977">
        <v>220932</v>
      </c>
      <c r="B2977">
        <v>105</v>
      </c>
      <c r="C2977" t="s">
        <v>557</v>
      </c>
      <c r="D2977" t="s">
        <v>2563</v>
      </c>
      <c r="E2977" t="s">
        <v>3273</v>
      </c>
      <c r="F2977" s="451">
        <v>46106</v>
      </c>
      <c r="G2977">
        <v>19737</v>
      </c>
      <c r="H2977" t="s">
        <v>4940</v>
      </c>
      <c r="I2977" t="s">
        <v>5191</v>
      </c>
      <c r="J2977">
        <v>1.8</v>
      </c>
      <c r="K2977" t="s">
        <v>4744</v>
      </c>
      <c r="L2977">
        <v>10.94</v>
      </c>
      <c r="M2977">
        <v>6.0777780000000003</v>
      </c>
      <c r="N2977" t="s">
        <v>5272</v>
      </c>
      <c r="O2977" t="s">
        <v>461</v>
      </c>
    </row>
    <row r="2978" spans="1:15" x14ac:dyDescent="0.3">
      <c r="A2978">
        <v>220932</v>
      </c>
      <c r="B2978">
        <v>105</v>
      </c>
      <c r="C2978" t="s">
        <v>557</v>
      </c>
      <c r="D2978" t="s">
        <v>2563</v>
      </c>
      <c r="E2978" t="s">
        <v>3273</v>
      </c>
      <c r="F2978" s="451">
        <v>46106</v>
      </c>
      <c r="G2978">
        <v>19734</v>
      </c>
      <c r="H2978" t="s">
        <v>4833</v>
      </c>
      <c r="I2978" t="s">
        <v>5191</v>
      </c>
      <c r="J2978">
        <v>4.09</v>
      </c>
      <c r="K2978" t="s">
        <v>4744</v>
      </c>
      <c r="L2978">
        <v>53.37</v>
      </c>
      <c r="M2978">
        <v>13.0489</v>
      </c>
      <c r="N2978" t="s">
        <v>5272</v>
      </c>
      <c r="O2978" t="s">
        <v>461</v>
      </c>
    </row>
    <row r="2979" spans="1:15" x14ac:dyDescent="0.3">
      <c r="A2979">
        <v>220932</v>
      </c>
      <c r="B2979">
        <v>105</v>
      </c>
      <c r="C2979" t="s">
        <v>557</v>
      </c>
      <c r="D2979" t="s">
        <v>2563</v>
      </c>
      <c r="E2979" t="s">
        <v>3273</v>
      </c>
      <c r="F2979" s="451">
        <v>46106</v>
      </c>
      <c r="G2979">
        <v>19532</v>
      </c>
      <c r="H2979" t="s">
        <v>4753</v>
      </c>
      <c r="I2979" t="s">
        <v>5191</v>
      </c>
      <c r="J2979">
        <v>10.1</v>
      </c>
      <c r="K2979" t="s">
        <v>4744</v>
      </c>
      <c r="L2979">
        <v>86.36</v>
      </c>
      <c r="M2979">
        <v>8.5504949999999997</v>
      </c>
      <c r="N2979" t="s">
        <v>5272</v>
      </c>
      <c r="O2979" t="s">
        <v>461</v>
      </c>
    </row>
    <row r="2980" spans="1:15" x14ac:dyDescent="0.3">
      <c r="A2980">
        <v>220931</v>
      </c>
      <c r="B2980">
        <v>105</v>
      </c>
      <c r="C2980" t="s">
        <v>557</v>
      </c>
      <c r="D2980" t="s">
        <v>2563</v>
      </c>
      <c r="E2980" t="s">
        <v>3274</v>
      </c>
      <c r="F2980" s="451">
        <v>46105</v>
      </c>
      <c r="G2980">
        <v>19551</v>
      </c>
      <c r="H2980" t="s">
        <v>4905</v>
      </c>
      <c r="I2980" t="s">
        <v>5191</v>
      </c>
      <c r="J2980">
        <v>4</v>
      </c>
      <c r="K2980" t="s">
        <v>4744</v>
      </c>
      <c r="L2980">
        <v>57.72</v>
      </c>
      <c r="M2980">
        <v>14.43</v>
      </c>
      <c r="N2980" t="s">
        <v>5272</v>
      </c>
      <c r="O2980" t="s">
        <v>461</v>
      </c>
    </row>
    <row r="2981" spans="1:15" x14ac:dyDescent="0.3">
      <c r="A2981">
        <v>220931</v>
      </c>
      <c r="B2981">
        <v>105</v>
      </c>
      <c r="C2981" t="s">
        <v>557</v>
      </c>
      <c r="D2981" t="s">
        <v>2563</v>
      </c>
      <c r="E2981" t="s">
        <v>3274</v>
      </c>
      <c r="F2981" s="451">
        <v>46105</v>
      </c>
      <c r="G2981">
        <v>24489</v>
      </c>
      <c r="H2981" t="s">
        <v>5121</v>
      </c>
      <c r="I2981" t="s">
        <v>5191</v>
      </c>
      <c r="J2981">
        <v>1</v>
      </c>
      <c r="K2981" t="s">
        <v>4744</v>
      </c>
      <c r="L2981">
        <v>23.93</v>
      </c>
      <c r="M2981">
        <v>23.93</v>
      </c>
      <c r="N2981" t="s">
        <v>5272</v>
      </c>
      <c r="O2981" t="s">
        <v>461</v>
      </c>
    </row>
    <row r="2982" spans="1:15" x14ac:dyDescent="0.3">
      <c r="A2982">
        <v>220930</v>
      </c>
      <c r="B2982">
        <v>105</v>
      </c>
      <c r="C2982" t="s">
        <v>557</v>
      </c>
      <c r="D2982" t="s">
        <v>2563</v>
      </c>
      <c r="E2982" t="s">
        <v>3275</v>
      </c>
      <c r="F2982" s="451">
        <v>46105</v>
      </c>
      <c r="G2982">
        <v>24083</v>
      </c>
      <c r="H2982" t="s">
        <v>5165</v>
      </c>
      <c r="I2982" t="s">
        <v>5191</v>
      </c>
      <c r="J2982">
        <v>30</v>
      </c>
      <c r="K2982" t="s">
        <v>4744</v>
      </c>
      <c r="L2982">
        <v>154.5</v>
      </c>
      <c r="M2982">
        <v>5.15</v>
      </c>
      <c r="N2982" t="s">
        <v>5272</v>
      </c>
      <c r="O2982" t="s">
        <v>461</v>
      </c>
    </row>
    <row r="2983" spans="1:15" x14ac:dyDescent="0.3">
      <c r="A2983">
        <v>220930</v>
      </c>
      <c r="B2983">
        <v>105</v>
      </c>
      <c r="C2983" t="s">
        <v>557</v>
      </c>
      <c r="D2983" t="s">
        <v>2563</v>
      </c>
      <c r="E2983" t="s">
        <v>3275</v>
      </c>
      <c r="F2983" s="451">
        <v>46105</v>
      </c>
      <c r="G2983">
        <v>19465</v>
      </c>
      <c r="H2983" t="s">
        <v>5114</v>
      </c>
      <c r="I2983" t="s">
        <v>5191</v>
      </c>
      <c r="J2983">
        <v>1.4</v>
      </c>
      <c r="K2983" t="s">
        <v>4744</v>
      </c>
      <c r="L2983">
        <v>8.1199999999999992</v>
      </c>
      <c r="M2983">
        <v>5.8</v>
      </c>
      <c r="N2983" t="s">
        <v>5272</v>
      </c>
      <c r="O2983" t="s">
        <v>461</v>
      </c>
    </row>
    <row r="2984" spans="1:15" x14ac:dyDescent="0.3">
      <c r="A2984">
        <v>220930</v>
      </c>
      <c r="B2984">
        <v>105</v>
      </c>
      <c r="C2984" t="s">
        <v>557</v>
      </c>
      <c r="D2984" t="s">
        <v>2563</v>
      </c>
      <c r="E2984" t="s">
        <v>3275</v>
      </c>
      <c r="F2984" s="451">
        <v>46105</v>
      </c>
      <c r="G2984">
        <v>19790</v>
      </c>
      <c r="H2984" t="s">
        <v>5073</v>
      </c>
      <c r="I2984" t="s">
        <v>5191</v>
      </c>
      <c r="J2984">
        <v>1</v>
      </c>
      <c r="K2984" t="s">
        <v>4744</v>
      </c>
      <c r="L2984">
        <v>46.4</v>
      </c>
      <c r="M2984">
        <v>46.4</v>
      </c>
      <c r="N2984" t="s">
        <v>5272</v>
      </c>
      <c r="O2984" t="s">
        <v>461</v>
      </c>
    </row>
    <row r="2985" spans="1:15" x14ac:dyDescent="0.3">
      <c r="A2985">
        <v>220930</v>
      </c>
      <c r="B2985">
        <v>105</v>
      </c>
      <c r="C2985" t="s">
        <v>557</v>
      </c>
      <c r="D2985" t="s">
        <v>2563</v>
      </c>
      <c r="E2985" t="s">
        <v>3275</v>
      </c>
      <c r="F2985" s="451">
        <v>46105</v>
      </c>
      <c r="G2985">
        <v>19635</v>
      </c>
      <c r="H2985" t="s">
        <v>4786</v>
      </c>
      <c r="I2985" t="s">
        <v>5191</v>
      </c>
      <c r="J2985">
        <v>5.5</v>
      </c>
      <c r="K2985" t="s">
        <v>4744</v>
      </c>
      <c r="L2985">
        <v>36.299999999999997</v>
      </c>
      <c r="M2985">
        <v>6.6</v>
      </c>
      <c r="N2985" t="s">
        <v>5272</v>
      </c>
      <c r="O2985" t="s">
        <v>461</v>
      </c>
    </row>
    <row r="2986" spans="1:15" x14ac:dyDescent="0.3">
      <c r="A2986">
        <v>220930</v>
      </c>
      <c r="B2986">
        <v>105</v>
      </c>
      <c r="C2986" t="s">
        <v>557</v>
      </c>
      <c r="D2986" t="s">
        <v>2563</v>
      </c>
      <c r="E2986" t="s">
        <v>3275</v>
      </c>
      <c r="F2986" s="451">
        <v>46105</v>
      </c>
      <c r="G2986">
        <v>19632</v>
      </c>
      <c r="H2986" t="s">
        <v>4936</v>
      </c>
      <c r="I2986" t="s">
        <v>5191</v>
      </c>
      <c r="J2986">
        <v>1.5</v>
      </c>
      <c r="K2986" t="s">
        <v>4744</v>
      </c>
      <c r="L2986">
        <v>8.16</v>
      </c>
      <c r="M2986">
        <v>5.44</v>
      </c>
      <c r="N2986" t="s">
        <v>5272</v>
      </c>
      <c r="O2986" t="s">
        <v>461</v>
      </c>
    </row>
    <row r="2987" spans="1:15" x14ac:dyDescent="0.3">
      <c r="A2987">
        <v>220930</v>
      </c>
      <c r="B2987">
        <v>105</v>
      </c>
      <c r="C2987" t="s">
        <v>557</v>
      </c>
      <c r="D2987" t="s">
        <v>2563</v>
      </c>
      <c r="E2987" t="s">
        <v>3275</v>
      </c>
      <c r="F2987" s="451">
        <v>46105</v>
      </c>
      <c r="G2987">
        <v>19532</v>
      </c>
      <c r="H2987" t="s">
        <v>4753</v>
      </c>
      <c r="I2987" t="s">
        <v>5191</v>
      </c>
      <c r="J2987">
        <v>12</v>
      </c>
      <c r="K2987" t="s">
        <v>4744</v>
      </c>
      <c r="L2987">
        <v>102.6</v>
      </c>
      <c r="M2987">
        <v>8.5500000000000007</v>
      </c>
      <c r="N2987" t="s">
        <v>5272</v>
      </c>
      <c r="O2987" t="s">
        <v>461</v>
      </c>
    </row>
    <row r="2988" spans="1:15" x14ac:dyDescent="0.3">
      <c r="A2988">
        <v>220929</v>
      </c>
      <c r="B2988">
        <v>105</v>
      </c>
      <c r="C2988" t="s">
        <v>557</v>
      </c>
      <c r="D2988" t="s">
        <v>2563</v>
      </c>
      <c r="E2988" t="s">
        <v>3276</v>
      </c>
      <c r="F2988" s="451">
        <v>46107</v>
      </c>
      <c r="G2988">
        <v>24083</v>
      </c>
      <c r="H2988" t="s">
        <v>5165</v>
      </c>
      <c r="I2988" t="s">
        <v>5191</v>
      </c>
      <c r="J2988">
        <v>110</v>
      </c>
      <c r="K2988" t="s">
        <v>4744</v>
      </c>
      <c r="L2988">
        <v>566.5</v>
      </c>
      <c r="M2988">
        <v>5.15</v>
      </c>
      <c r="N2988" t="s">
        <v>5272</v>
      </c>
      <c r="O2988" t="s">
        <v>461</v>
      </c>
    </row>
    <row r="2989" spans="1:15" x14ac:dyDescent="0.3">
      <c r="A2989">
        <v>220929</v>
      </c>
      <c r="B2989">
        <v>105</v>
      </c>
      <c r="C2989" t="s">
        <v>557</v>
      </c>
      <c r="D2989" t="s">
        <v>2563</v>
      </c>
      <c r="E2989" t="s">
        <v>3276</v>
      </c>
      <c r="F2989" s="451">
        <v>46107</v>
      </c>
      <c r="G2989">
        <v>19621</v>
      </c>
      <c r="H2989" t="s">
        <v>4829</v>
      </c>
      <c r="I2989" t="s">
        <v>5191</v>
      </c>
      <c r="J2989">
        <v>5</v>
      </c>
      <c r="K2989" t="s">
        <v>4744</v>
      </c>
      <c r="L2989">
        <v>29</v>
      </c>
      <c r="M2989">
        <v>5.8</v>
      </c>
      <c r="N2989" t="s">
        <v>5272</v>
      </c>
      <c r="O2989" t="s">
        <v>461</v>
      </c>
    </row>
    <row r="2990" spans="1:15" x14ac:dyDescent="0.3">
      <c r="A2990">
        <v>220929</v>
      </c>
      <c r="B2990">
        <v>105</v>
      </c>
      <c r="C2990" t="s">
        <v>557</v>
      </c>
      <c r="D2990" t="s">
        <v>2563</v>
      </c>
      <c r="E2990" t="s">
        <v>3276</v>
      </c>
      <c r="F2990" s="451">
        <v>46107</v>
      </c>
      <c r="G2990">
        <v>19642</v>
      </c>
      <c r="H2990" t="s">
        <v>4996</v>
      </c>
      <c r="I2990" t="s">
        <v>5191</v>
      </c>
      <c r="J2990">
        <v>1.2</v>
      </c>
      <c r="K2990" t="s">
        <v>4744</v>
      </c>
      <c r="L2990">
        <v>7.39</v>
      </c>
      <c r="M2990">
        <v>6.1583329999999998</v>
      </c>
      <c r="N2990" t="s">
        <v>5272</v>
      </c>
      <c r="O2990" t="s">
        <v>461</v>
      </c>
    </row>
    <row r="2991" spans="1:15" x14ac:dyDescent="0.3">
      <c r="A2991">
        <v>220929</v>
      </c>
      <c r="B2991">
        <v>105</v>
      </c>
      <c r="C2991" t="s">
        <v>557</v>
      </c>
      <c r="D2991" t="s">
        <v>2563</v>
      </c>
      <c r="E2991" t="s">
        <v>3276</v>
      </c>
      <c r="F2991" s="451">
        <v>46107</v>
      </c>
      <c r="G2991">
        <v>19740</v>
      </c>
      <c r="H2991" t="s">
        <v>4779</v>
      </c>
      <c r="I2991" t="s">
        <v>5191</v>
      </c>
      <c r="J2991">
        <v>8</v>
      </c>
      <c r="K2991" t="s">
        <v>4744</v>
      </c>
      <c r="L2991">
        <v>63.76</v>
      </c>
      <c r="M2991">
        <v>7.97</v>
      </c>
      <c r="N2991" t="s">
        <v>5272</v>
      </c>
      <c r="O2991" t="s">
        <v>461</v>
      </c>
    </row>
    <row r="2992" spans="1:15" x14ac:dyDescent="0.3">
      <c r="A2992">
        <v>220929</v>
      </c>
      <c r="B2992">
        <v>105</v>
      </c>
      <c r="C2992" t="s">
        <v>557</v>
      </c>
      <c r="D2992" t="s">
        <v>2563</v>
      </c>
      <c r="E2992" t="s">
        <v>3276</v>
      </c>
      <c r="F2992" s="451">
        <v>46107</v>
      </c>
      <c r="G2992">
        <v>19765</v>
      </c>
      <c r="H2992" t="s">
        <v>4889</v>
      </c>
      <c r="I2992" t="s">
        <v>5191</v>
      </c>
      <c r="J2992">
        <v>1</v>
      </c>
      <c r="K2992" t="s">
        <v>4744</v>
      </c>
      <c r="L2992">
        <v>36.25</v>
      </c>
      <c r="M2992">
        <v>36.25</v>
      </c>
      <c r="N2992" t="s">
        <v>5272</v>
      </c>
      <c r="O2992" t="s">
        <v>461</v>
      </c>
    </row>
    <row r="2993" spans="1:15" x14ac:dyDescent="0.3">
      <c r="A2993">
        <v>220929</v>
      </c>
      <c r="B2993">
        <v>105</v>
      </c>
      <c r="C2993" t="s">
        <v>557</v>
      </c>
      <c r="D2993" t="s">
        <v>2563</v>
      </c>
      <c r="E2993" t="s">
        <v>3276</v>
      </c>
      <c r="F2993" s="451">
        <v>46107</v>
      </c>
      <c r="G2993">
        <v>19635</v>
      </c>
      <c r="H2993" t="s">
        <v>4786</v>
      </c>
      <c r="I2993" t="s">
        <v>5191</v>
      </c>
      <c r="J2993">
        <v>5</v>
      </c>
      <c r="K2993" t="s">
        <v>4744</v>
      </c>
      <c r="L2993">
        <v>33</v>
      </c>
      <c r="M2993">
        <v>6.6</v>
      </c>
      <c r="N2993" t="s">
        <v>5272</v>
      </c>
      <c r="O2993" t="s">
        <v>461</v>
      </c>
    </row>
    <row r="2994" spans="1:15" x14ac:dyDescent="0.3">
      <c r="A2994">
        <v>220929</v>
      </c>
      <c r="B2994">
        <v>105</v>
      </c>
      <c r="C2994" t="s">
        <v>557</v>
      </c>
      <c r="D2994" t="s">
        <v>2563</v>
      </c>
      <c r="E2994" t="s">
        <v>3276</v>
      </c>
      <c r="F2994" s="451">
        <v>46107</v>
      </c>
      <c r="G2994">
        <v>23228</v>
      </c>
      <c r="H2994" t="s">
        <v>4782</v>
      </c>
      <c r="I2994" t="s">
        <v>5191</v>
      </c>
      <c r="J2994">
        <v>8</v>
      </c>
      <c r="K2994" t="s">
        <v>4744</v>
      </c>
      <c r="L2994">
        <v>52.24</v>
      </c>
      <c r="M2994">
        <v>6.53</v>
      </c>
      <c r="N2994" t="s">
        <v>5272</v>
      </c>
      <c r="O2994" t="s">
        <v>461</v>
      </c>
    </row>
    <row r="2995" spans="1:15" x14ac:dyDescent="0.3">
      <c r="A2995">
        <v>220929</v>
      </c>
      <c r="B2995">
        <v>105</v>
      </c>
      <c r="C2995" t="s">
        <v>557</v>
      </c>
      <c r="D2995" t="s">
        <v>2563</v>
      </c>
      <c r="E2995" t="s">
        <v>3276</v>
      </c>
      <c r="F2995" s="451">
        <v>46107</v>
      </c>
      <c r="G2995">
        <v>19532</v>
      </c>
      <c r="H2995" t="s">
        <v>4753</v>
      </c>
      <c r="I2995" t="s">
        <v>5191</v>
      </c>
      <c r="J2995">
        <v>25</v>
      </c>
      <c r="K2995" t="s">
        <v>4744</v>
      </c>
      <c r="L2995">
        <v>213.75</v>
      </c>
      <c r="M2995">
        <v>8.5500000000000007</v>
      </c>
      <c r="N2995" t="s">
        <v>5272</v>
      </c>
      <c r="O2995" t="s">
        <v>461</v>
      </c>
    </row>
    <row r="2996" spans="1:15" x14ac:dyDescent="0.3">
      <c r="A2996">
        <v>220928</v>
      </c>
      <c r="B2996">
        <v>105</v>
      </c>
      <c r="C2996" t="s">
        <v>557</v>
      </c>
      <c r="D2996" t="s">
        <v>2864</v>
      </c>
      <c r="E2996" t="s">
        <v>3277</v>
      </c>
      <c r="F2996" s="451">
        <v>46097</v>
      </c>
      <c r="G2996">
        <v>19983</v>
      </c>
      <c r="H2996" t="s">
        <v>5068</v>
      </c>
      <c r="I2996" t="s">
        <v>5191</v>
      </c>
      <c r="J2996">
        <v>1</v>
      </c>
      <c r="K2996" t="s">
        <v>5241</v>
      </c>
      <c r="L2996">
        <v>19.8</v>
      </c>
      <c r="M2996">
        <v>19.8</v>
      </c>
      <c r="N2996" t="s">
        <v>5272</v>
      </c>
      <c r="O2996" t="s">
        <v>461</v>
      </c>
    </row>
    <row r="2997" spans="1:15" x14ac:dyDescent="0.3">
      <c r="A2997">
        <v>220928</v>
      </c>
      <c r="B2997">
        <v>105</v>
      </c>
      <c r="C2997" t="s">
        <v>557</v>
      </c>
      <c r="D2997" t="s">
        <v>2864</v>
      </c>
      <c r="E2997" t="s">
        <v>3277</v>
      </c>
      <c r="F2997" s="451">
        <v>46097</v>
      </c>
      <c r="G2997">
        <v>20382</v>
      </c>
      <c r="H2997" t="s">
        <v>4780</v>
      </c>
      <c r="I2997" t="s">
        <v>5191</v>
      </c>
      <c r="J2997">
        <v>16</v>
      </c>
      <c r="K2997" t="s">
        <v>5238</v>
      </c>
      <c r="L2997">
        <v>143.84</v>
      </c>
      <c r="M2997">
        <v>8.99</v>
      </c>
      <c r="N2997" t="s">
        <v>5272</v>
      </c>
      <c r="O2997" t="s">
        <v>461</v>
      </c>
    </row>
    <row r="2998" spans="1:15" x14ac:dyDescent="0.3">
      <c r="A2998">
        <v>220928</v>
      </c>
      <c r="B2998">
        <v>105</v>
      </c>
      <c r="C2998" t="s">
        <v>557</v>
      </c>
      <c r="D2998" t="s">
        <v>2864</v>
      </c>
      <c r="E2998" t="s">
        <v>3277</v>
      </c>
      <c r="F2998" s="451">
        <v>46097</v>
      </c>
      <c r="G2998">
        <v>25022</v>
      </c>
      <c r="H2998" t="s">
        <v>4912</v>
      </c>
      <c r="I2998" t="s">
        <v>5191</v>
      </c>
      <c r="J2998">
        <v>4</v>
      </c>
      <c r="K2998" t="s">
        <v>4738</v>
      </c>
      <c r="L2998">
        <v>23.96</v>
      </c>
      <c r="M2998">
        <v>5.99</v>
      </c>
      <c r="N2998" t="s">
        <v>5272</v>
      </c>
      <c r="O2998" t="s">
        <v>461</v>
      </c>
    </row>
    <row r="2999" spans="1:15" x14ac:dyDescent="0.3">
      <c r="A2999">
        <v>220928</v>
      </c>
      <c r="B2999">
        <v>105</v>
      </c>
      <c r="C2999" t="s">
        <v>557</v>
      </c>
      <c r="D2999" t="s">
        <v>2864</v>
      </c>
      <c r="E2999" t="s">
        <v>3277</v>
      </c>
      <c r="F2999" s="451">
        <v>46097</v>
      </c>
      <c r="G2999">
        <v>23088</v>
      </c>
      <c r="H2999" t="s">
        <v>5027</v>
      </c>
      <c r="I2999" t="s">
        <v>5191</v>
      </c>
      <c r="J2999">
        <v>3</v>
      </c>
      <c r="K2999" t="s">
        <v>4736</v>
      </c>
      <c r="L2999">
        <v>74.7</v>
      </c>
      <c r="M2999">
        <v>24.9</v>
      </c>
      <c r="N2999" t="s">
        <v>5272</v>
      </c>
      <c r="O2999" t="s">
        <v>461</v>
      </c>
    </row>
    <row r="3000" spans="1:15" x14ac:dyDescent="0.3">
      <c r="A3000">
        <v>220928</v>
      </c>
      <c r="B3000">
        <v>105</v>
      </c>
      <c r="C3000" t="s">
        <v>557</v>
      </c>
      <c r="D3000" t="s">
        <v>2864</v>
      </c>
      <c r="E3000" t="s">
        <v>3277</v>
      </c>
      <c r="F3000" s="451">
        <v>46097</v>
      </c>
      <c r="G3000">
        <v>20624</v>
      </c>
      <c r="H3000" t="s">
        <v>5019</v>
      </c>
      <c r="I3000" t="s">
        <v>5191</v>
      </c>
      <c r="J3000">
        <v>1</v>
      </c>
      <c r="K3000" t="s">
        <v>4736</v>
      </c>
      <c r="L3000">
        <v>66.819999999999993</v>
      </c>
      <c r="M3000">
        <v>66.819999999999993</v>
      </c>
      <c r="N3000" t="s">
        <v>5272</v>
      </c>
      <c r="O3000" t="s">
        <v>461</v>
      </c>
    </row>
    <row r="3001" spans="1:15" x14ac:dyDescent="0.3">
      <c r="A3001">
        <v>220928</v>
      </c>
      <c r="B3001">
        <v>105</v>
      </c>
      <c r="C3001" t="s">
        <v>557</v>
      </c>
      <c r="D3001" t="s">
        <v>2864</v>
      </c>
      <c r="E3001" t="s">
        <v>3277</v>
      </c>
      <c r="F3001" s="451">
        <v>46097</v>
      </c>
      <c r="G3001">
        <v>23934</v>
      </c>
      <c r="H3001" t="s">
        <v>4845</v>
      </c>
      <c r="I3001" t="s">
        <v>5191</v>
      </c>
      <c r="J3001">
        <v>3</v>
      </c>
      <c r="K3001" t="s">
        <v>4736</v>
      </c>
      <c r="L3001">
        <v>32.700000000000003</v>
      </c>
      <c r="M3001">
        <v>10.9</v>
      </c>
      <c r="N3001" t="s">
        <v>5272</v>
      </c>
      <c r="O3001" t="s">
        <v>461</v>
      </c>
    </row>
    <row r="3002" spans="1:15" x14ac:dyDescent="0.3">
      <c r="A3002">
        <v>220927</v>
      </c>
      <c r="B3002">
        <v>105</v>
      </c>
      <c r="C3002" t="s">
        <v>557</v>
      </c>
      <c r="D3002" t="s">
        <v>2864</v>
      </c>
      <c r="E3002" t="s">
        <v>3278</v>
      </c>
      <c r="F3002" s="451">
        <v>46098</v>
      </c>
      <c r="G3002">
        <v>17573</v>
      </c>
      <c r="H3002" t="s">
        <v>5306</v>
      </c>
      <c r="I3002" t="s">
        <v>5188</v>
      </c>
      <c r="J3002">
        <v>1</v>
      </c>
      <c r="K3002" t="s">
        <v>4749</v>
      </c>
      <c r="L3002">
        <v>74.900000000000006</v>
      </c>
      <c r="M3002">
        <v>74.900000000000006</v>
      </c>
      <c r="N3002" t="s">
        <v>5277</v>
      </c>
      <c r="O3002" t="s">
        <v>461</v>
      </c>
    </row>
    <row r="3003" spans="1:15" x14ac:dyDescent="0.3">
      <c r="A3003">
        <v>220927</v>
      </c>
      <c r="B3003">
        <v>105</v>
      </c>
      <c r="C3003" t="s">
        <v>557</v>
      </c>
      <c r="D3003" t="s">
        <v>2864</v>
      </c>
      <c r="E3003" t="s">
        <v>3278</v>
      </c>
      <c r="F3003" s="451">
        <v>46098</v>
      </c>
      <c r="G3003">
        <v>17504</v>
      </c>
      <c r="H3003" t="s">
        <v>5260</v>
      </c>
      <c r="I3003" t="s">
        <v>5205</v>
      </c>
      <c r="J3003">
        <v>1</v>
      </c>
      <c r="K3003" t="s">
        <v>4736</v>
      </c>
      <c r="L3003">
        <v>21</v>
      </c>
      <c r="M3003">
        <v>21</v>
      </c>
      <c r="N3003" t="s">
        <v>5277</v>
      </c>
      <c r="O3003" t="s">
        <v>461</v>
      </c>
    </row>
    <row r="3004" spans="1:15" x14ac:dyDescent="0.3">
      <c r="A3004">
        <v>220927</v>
      </c>
      <c r="B3004">
        <v>105</v>
      </c>
      <c r="C3004" t="s">
        <v>557</v>
      </c>
      <c r="D3004" t="s">
        <v>2864</v>
      </c>
      <c r="E3004" t="s">
        <v>3278</v>
      </c>
      <c r="F3004" s="451">
        <v>46098</v>
      </c>
      <c r="G3004">
        <v>21423</v>
      </c>
      <c r="H3004" t="s">
        <v>5248</v>
      </c>
      <c r="I3004" t="s">
        <v>5188</v>
      </c>
      <c r="J3004">
        <v>1</v>
      </c>
      <c r="K3004" t="s">
        <v>5245</v>
      </c>
      <c r="L3004">
        <v>31.82</v>
      </c>
      <c r="M3004">
        <v>31.82</v>
      </c>
      <c r="N3004" t="s">
        <v>5277</v>
      </c>
      <c r="O3004" t="s">
        <v>461</v>
      </c>
    </row>
    <row r="3005" spans="1:15" x14ac:dyDescent="0.3">
      <c r="A3005">
        <v>220926</v>
      </c>
      <c r="B3005">
        <v>105</v>
      </c>
      <c r="C3005" t="s">
        <v>557</v>
      </c>
      <c r="D3005" t="s">
        <v>2581</v>
      </c>
      <c r="E3005" t="s">
        <v>3279</v>
      </c>
      <c r="F3005" s="451">
        <v>46099</v>
      </c>
      <c r="G3005">
        <v>19787</v>
      </c>
      <c r="H3005" t="s">
        <v>4793</v>
      </c>
      <c r="I3005" t="s">
        <v>5191</v>
      </c>
      <c r="J3005">
        <v>6</v>
      </c>
      <c r="K3005" t="s">
        <v>4744</v>
      </c>
      <c r="L3005">
        <v>31.8</v>
      </c>
      <c r="M3005">
        <v>5.3</v>
      </c>
      <c r="N3005" t="s">
        <v>5272</v>
      </c>
      <c r="O3005" t="s">
        <v>461</v>
      </c>
    </row>
    <row r="3006" spans="1:15" x14ac:dyDescent="0.3">
      <c r="A3006">
        <v>220926</v>
      </c>
      <c r="B3006">
        <v>105</v>
      </c>
      <c r="C3006" t="s">
        <v>557</v>
      </c>
      <c r="D3006" t="s">
        <v>2581</v>
      </c>
      <c r="E3006" t="s">
        <v>3279</v>
      </c>
      <c r="F3006" s="451">
        <v>46099</v>
      </c>
      <c r="G3006">
        <v>19607</v>
      </c>
      <c r="H3006" t="s">
        <v>4981</v>
      </c>
      <c r="I3006" t="s">
        <v>5191</v>
      </c>
      <c r="J3006">
        <v>0.1</v>
      </c>
      <c r="K3006" t="s">
        <v>4744</v>
      </c>
      <c r="L3006">
        <v>1.5</v>
      </c>
      <c r="M3006">
        <v>15</v>
      </c>
      <c r="N3006" t="s">
        <v>5272</v>
      </c>
      <c r="O3006" t="s">
        <v>461</v>
      </c>
    </row>
    <row r="3007" spans="1:15" x14ac:dyDescent="0.3">
      <c r="A3007">
        <v>220926</v>
      </c>
      <c r="B3007">
        <v>105</v>
      </c>
      <c r="C3007" t="s">
        <v>557</v>
      </c>
      <c r="D3007" t="s">
        <v>2581</v>
      </c>
      <c r="E3007" t="s">
        <v>3279</v>
      </c>
      <c r="F3007" s="451">
        <v>46099</v>
      </c>
      <c r="G3007">
        <v>19505</v>
      </c>
      <c r="H3007" t="s">
        <v>4872</v>
      </c>
      <c r="I3007" t="s">
        <v>5191</v>
      </c>
      <c r="J3007">
        <v>5.3</v>
      </c>
      <c r="K3007" t="s">
        <v>4744</v>
      </c>
      <c r="L3007">
        <v>66.25</v>
      </c>
      <c r="M3007">
        <v>12.5</v>
      </c>
      <c r="N3007" t="s">
        <v>5272</v>
      </c>
      <c r="O3007" t="s">
        <v>461</v>
      </c>
    </row>
    <row r="3008" spans="1:15" x14ac:dyDescent="0.3">
      <c r="A3008">
        <v>220926</v>
      </c>
      <c r="B3008">
        <v>105</v>
      </c>
      <c r="C3008" t="s">
        <v>557</v>
      </c>
      <c r="D3008" t="s">
        <v>2581</v>
      </c>
      <c r="E3008" t="s">
        <v>3279</v>
      </c>
      <c r="F3008" s="451">
        <v>46099</v>
      </c>
      <c r="G3008">
        <v>19502</v>
      </c>
      <c r="H3008" t="s">
        <v>4871</v>
      </c>
      <c r="I3008" t="s">
        <v>5191</v>
      </c>
      <c r="J3008">
        <v>3.5</v>
      </c>
      <c r="K3008" t="s">
        <v>4744</v>
      </c>
      <c r="L3008">
        <v>63</v>
      </c>
      <c r="M3008">
        <v>18</v>
      </c>
      <c r="N3008" t="s">
        <v>5272</v>
      </c>
      <c r="O3008" t="s">
        <v>461</v>
      </c>
    </row>
    <row r="3009" spans="1:15" x14ac:dyDescent="0.3">
      <c r="A3009">
        <v>220926</v>
      </c>
      <c r="B3009">
        <v>105</v>
      </c>
      <c r="C3009" t="s">
        <v>557</v>
      </c>
      <c r="D3009" t="s">
        <v>2581</v>
      </c>
      <c r="E3009" t="s">
        <v>3279</v>
      </c>
      <c r="F3009" s="451">
        <v>46099</v>
      </c>
      <c r="G3009">
        <v>19507</v>
      </c>
      <c r="H3009" t="s">
        <v>4853</v>
      </c>
      <c r="I3009" t="s">
        <v>5191</v>
      </c>
      <c r="J3009">
        <v>1.5</v>
      </c>
      <c r="K3009" t="s">
        <v>4744</v>
      </c>
      <c r="L3009">
        <v>22.5</v>
      </c>
      <c r="M3009">
        <v>15</v>
      </c>
      <c r="N3009" t="s">
        <v>5272</v>
      </c>
      <c r="O3009" t="s">
        <v>461</v>
      </c>
    </row>
    <row r="3010" spans="1:15" x14ac:dyDescent="0.3">
      <c r="A3010">
        <v>220926</v>
      </c>
      <c r="B3010">
        <v>105</v>
      </c>
      <c r="C3010" t="s">
        <v>557</v>
      </c>
      <c r="D3010" t="s">
        <v>2581</v>
      </c>
      <c r="E3010" t="s">
        <v>3279</v>
      </c>
      <c r="F3010" s="451">
        <v>46099</v>
      </c>
      <c r="G3010">
        <v>23113</v>
      </c>
      <c r="H3010" t="s">
        <v>5074</v>
      </c>
      <c r="I3010" t="s">
        <v>5191</v>
      </c>
      <c r="J3010">
        <v>1</v>
      </c>
      <c r="K3010" t="s">
        <v>4744</v>
      </c>
      <c r="L3010">
        <v>9.5</v>
      </c>
      <c r="M3010">
        <v>9.5</v>
      </c>
      <c r="N3010" t="s">
        <v>5272</v>
      </c>
      <c r="O3010" t="s">
        <v>461</v>
      </c>
    </row>
    <row r="3011" spans="1:15" x14ac:dyDescent="0.3">
      <c r="A3011">
        <v>220926</v>
      </c>
      <c r="B3011">
        <v>105</v>
      </c>
      <c r="C3011" t="s">
        <v>557</v>
      </c>
      <c r="D3011" t="s">
        <v>2581</v>
      </c>
      <c r="E3011" t="s">
        <v>3279</v>
      </c>
      <c r="F3011" s="451">
        <v>46099</v>
      </c>
      <c r="G3011">
        <v>23346</v>
      </c>
      <c r="H3011" t="s">
        <v>4916</v>
      </c>
      <c r="I3011" t="s">
        <v>5191</v>
      </c>
      <c r="J3011">
        <v>2</v>
      </c>
      <c r="K3011" t="s">
        <v>4744</v>
      </c>
      <c r="L3011">
        <v>15</v>
      </c>
      <c r="M3011">
        <v>7.5</v>
      </c>
      <c r="N3011" t="s">
        <v>5272</v>
      </c>
      <c r="O3011" t="s">
        <v>461</v>
      </c>
    </row>
    <row r="3012" spans="1:15" x14ac:dyDescent="0.3">
      <c r="A3012">
        <v>220926</v>
      </c>
      <c r="B3012">
        <v>105</v>
      </c>
      <c r="C3012" t="s">
        <v>557</v>
      </c>
      <c r="D3012" t="s">
        <v>2581</v>
      </c>
      <c r="E3012" t="s">
        <v>3279</v>
      </c>
      <c r="F3012" s="451">
        <v>46099</v>
      </c>
      <c r="G3012">
        <v>23095</v>
      </c>
      <c r="H3012" t="s">
        <v>4741</v>
      </c>
      <c r="I3012" t="s">
        <v>5191</v>
      </c>
      <c r="J3012">
        <v>40</v>
      </c>
      <c r="K3012" t="s">
        <v>4736</v>
      </c>
      <c r="L3012">
        <v>52</v>
      </c>
      <c r="M3012">
        <v>1.3</v>
      </c>
      <c r="N3012" t="s">
        <v>5272</v>
      </c>
      <c r="O3012" t="s">
        <v>461</v>
      </c>
    </row>
    <row r="3013" spans="1:15" x14ac:dyDescent="0.3">
      <c r="A3013">
        <v>220926</v>
      </c>
      <c r="B3013">
        <v>105</v>
      </c>
      <c r="C3013" t="s">
        <v>557</v>
      </c>
      <c r="D3013" t="s">
        <v>2581</v>
      </c>
      <c r="E3013" t="s">
        <v>3279</v>
      </c>
      <c r="F3013" s="451">
        <v>46099</v>
      </c>
      <c r="G3013">
        <v>19472</v>
      </c>
      <c r="H3013" t="s">
        <v>4906</v>
      </c>
      <c r="I3013" t="s">
        <v>5191</v>
      </c>
      <c r="J3013">
        <v>1.8</v>
      </c>
      <c r="K3013" t="s">
        <v>4744</v>
      </c>
      <c r="L3013">
        <v>41.4</v>
      </c>
      <c r="M3013">
        <v>23</v>
      </c>
      <c r="N3013" t="s">
        <v>5272</v>
      </c>
      <c r="O3013" t="s">
        <v>461</v>
      </c>
    </row>
    <row r="3014" spans="1:15" x14ac:dyDescent="0.3">
      <c r="A3014">
        <v>220926</v>
      </c>
      <c r="B3014">
        <v>105</v>
      </c>
      <c r="C3014" t="s">
        <v>557</v>
      </c>
      <c r="D3014" t="s">
        <v>2581</v>
      </c>
      <c r="E3014" t="s">
        <v>3279</v>
      </c>
      <c r="F3014" s="451">
        <v>46099</v>
      </c>
      <c r="G3014">
        <v>19532</v>
      </c>
      <c r="H3014" t="s">
        <v>4753</v>
      </c>
      <c r="I3014" t="s">
        <v>5191</v>
      </c>
      <c r="J3014">
        <v>8</v>
      </c>
      <c r="K3014" t="s">
        <v>4744</v>
      </c>
      <c r="L3014">
        <v>68</v>
      </c>
      <c r="M3014">
        <v>8.5</v>
      </c>
      <c r="N3014" t="s">
        <v>5272</v>
      </c>
      <c r="O3014" t="s">
        <v>461</v>
      </c>
    </row>
    <row r="3015" spans="1:15" x14ac:dyDescent="0.3">
      <c r="A3015">
        <v>220925</v>
      </c>
      <c r="B3015">
        <v>105</v>
      </c>
      <c r="C3015" t="s">
        <v>557</v>
      </c>
      <c r="D3015" t="s">
        <v>2581</v>
      </c>
      <c r="E3015" t="s">
        <v>3280</v>
      </c>
      <c r="F3015" s="451">
        <v>46098</v>
      </c>
      <c r="G3015">
        <v>19505</v>
      </c>
      <c r="H3015" t="s">
        <v>4872</v>
      </c>
      <c r="I3015" t="s">
        <v>5191</v>
      </c>
      <c r="J3015">
        <v>3</v>
      </c>
      <c r="K3015" t="s">
        <v>4744</v>
      </c>
      <c r="L3015">
        <v>39</v>
      </c>
      <c r="M3015">
        <v>13</v>
      </c>
      <c r="N3015" t="s">
        <v>5272</v>
      </c>
      <c r="O3015" t="s">
        <v>461</v>
      </c>
    </row>
    <row r="3016" spans="1:15" x14ac:dyDescent="0.3">
      <c r="A3016">
        <v>220925</v>
      </c>
      <c r="B3016">
        <v>105</v>
      </c>
      <c r="C3016" t="s">
        <v>557</v>
      </c>
      <c r="D3016" t="s">
        <v>2581</v>
      </c>
      <c r="E3016" t="s">
        <v>3280</v>
      </c>
      <c r="F3016" s="451">
        <v>46098</v>
      </c>
      <c r="G3016">
        <v>19647</v>
      </c>
      <c r="H3016" t="s">
        <v>5050</v>
      </c>
      <c r="I3016" t="s">
        <v>5191</v>
      </c>
      <c r="J3016">
        <v>0.4</v>
      </c>
      <c r="K3016" t="s">
        <v>4744</v>
      </c>
      <c r="L3016">
        <v>6</v>
      </c>
      <c r="M3016">
        <v>15</v>
      </c>
      <c r="N3016" t="s">
        <v>5272</v>
      </c>
      <c r="O3016" t="s">
        <v>461</v>
      </c>
    </row>
    <row r="3017" spans="1:15" x14ac:dyDescent="0.3">
      <c r="A3017">
        <v>220925</v>
      </c>
      <c r="B3017">
        <v>105</v>
      </c>
      <c r="C3017" t="s">
        <v>557</v>
      </c>
      <c r="D3017" t="s">
        <v>2581</v>
      </c>
      <c r="E3017" t="s">
        <v>3280</v>
      </c>
      <c r="F3017" s="451">
        <v>46098</v>
      </c>
      <c r="G3017">
        <v>19502</v>
      </c>
      <c r="H3017" t="s">
        <v>4871</v>
      </c>
      <c r="I3017" t="s">
        <v>5191</v>
      </c>
      <c r="J3017">
        <v>2</v>
      </c>
      <c r="K3017" t="s">
        <v>4744</v>
      </c>
      <c r="L3017">
        <v>36</v>
      </c>
      <c r="M3017">
        <v>18</v>
      </c>
      <c r="N3017" t="s">
        <v>5272</v>
      </c>
      <c r="O3017" t="s">
        <v>461</v>
      </c>
    </row>
    <row r="3018" spans="1:15" x14ac:dyDescent="0.3">
      <c r="A3018">
        <v>220925</v>
      </c>
      <c r="B3018">
        <v>105</v>
      </c>
      <c r="C3018" t="s">
        <v>557</v>
      </c>
      <c r="D3018" t="s">
        <v>2581</v>
      </c>
      <c r="E3018" t="s">
        <v>3280</v>
      </c>
      <c r="F3018" s="451">
        <v>46098</v>
      </c>
      <c r="G3018">
        <v>19617</v>
      </c>
      <c r="H3018" t="s">
        <v>5071</v>
      </c>
      <c r="I3018" t="s">
        <v>5191</v>
      </c>
      <c r="J3018">
        <v>0.5</v>
      </c>
      <c r="K3018" t="s">
        <v>4744</v>
      </c>
      <c r="L3018">
        <v>8.5</v>
      </c>
      <c r="M3018">
        <v>17</v>
      </c>
      <c r="N3018" t="s">
        <v>5272</v>
      </c>
      <c r="O3018" t="s">
        <v>461</v>
      </c>
    </row>
    <row r="3019" spans="1:15" x14ac:dyDescent="0.3">
      <c r="A3019">
        <v>220925</v>
      </c>
      <c r="B3019">
        <v>105</v>
      </c>
      <c r="C3019" t="s">
        <v>557</v>
      </c>
      <c r="D3019" t="s">
        <v>2581</v>
      </c>
      <c r="E3019" t="s">
        <v>3280</v>
      </c>
      <c r="F3019" s="451">
        <v>46098</v>
      </c>
      <c r="G3019">
        <v>23095</v>
      </c>
      <c r="H3019" t="s">
        <v>4741</v>
      </c>
      <c r="I3019" t="s">
        <v>5191</v>
      </c>
      <c r="J3019">
        <v>50</v>
      </c>
      <c r="K3019" t="s">
        <v>4736</v>
      </c>
      <c r="L3019">
        <v>67.5</v>
      </c>
      <c r="M3019">
        <v>1.35</v>
      </c>
      <c r="N3019" t="s">
        <v>5272</v>
      </c>
      <c r="O3019" t="s">
        <v>461</v>
      </c>
    </row>
    <row r="3020" spans="1:15" x14ac:dyDescent="0.3">
      <c r="A3020">
        <v>220925</v>
      </c>
      <c r="B3020">
        <v>105</v>
      </c>
      <c r="C3020" t="s">
        <v>557</v>
      </c>
      <c r="D3020" t="s">
        <v>2581</v>
      </c>
      <c r="E3020" t="s">
        <v>3280</v>
      </c>
      <c r="F3020" s="451">
        <v>46098</v>
      </c>
      <c r="G3020">
        <v>19472</v>
      </c>
      <c r="H3020" t="s">
        <v>4906</v>
      </c>
      <c r="I3020" t="s">
        <v>5191</v>
      </c>
      <c r="J3020">
        <v>1.8</v>
      </c>
      <c r="K3020" t="s">
        <v>4744</v>
      </c>
      <c r="L3020">
        <v>36</v>
      </c>
      <c r="M3020">
        <v>20</v>
      </c>
      <c r="N3020" t="s">
        <v>5272</v>
      </c>
      <c r="O3020" t="s">
        <v>461</v>
      </c>
    </row>
    <row r="3021" spans="1:15" x14ac:dyDescent="0.3">
      <c r="A3021">
        <v>220924</v>
      </c>
      <c r="B3021">
        <v>105</v>
      </c>
      <c r="C3021" t="s">
        <v>557</v>
      </c>
      <c r="D3021" t="s">
        <v>2581</v>
      </c>
      <c r="E3021" t="s">
        <v>3281</v>
      </c>
      <c r="F3021" s="451">
        <v>46097</v>
      </c>
      <c r="G3021">
        <v>19787</v>
      </c>
      <c r="H3021" t="s">
        <v>4793</v>
      </c>
      <c r="I3021" t="s">
        <v>5191</v>
      </c>
      <c r="J3021">
        <v>6</v>
      </c>
      <c r="K3021" t="s">
        <v>4744</v>
      </c>
      <c r="L3021">
        <v>31.8</v>
      </c>
      <c r="M3021">
        <v>5.3</v>
      </c>
      <c r="N3021" t="s">
        <v>5272</v>
      </c>
      <c r="O3021" t="s">
        <v>461</v>
      </c>
    </row>
    <row r="3022" spans="1:15" x14ac:dyDescent="0.3">
      <c r="A3022">
        <v>220924</v>
      </c>
      <c r="B3022">
        <v>105</v>
      </c>
      <c r="C3022" t="s">
        <v>557</v>
      </c>
      <c r="D3022" t="s">
        <v>2581</v>
      </c>
      <c r="E3022" t="s">
        <v>3281</v>
      </c>
      <c r="F3022" s="451">
        <v>46097</v>
      </c>
      <c r="G3022">
        <v>24509</v>
      </c>
      <c r="H3022" t="s">
        <v>4788</v>
      </c>
      <c r="I3022" t="s">
        <v>5191</v>
      </c>
      <c r="J3022">
        <v>12</v>
      </c>
      <c r="K3022" t="s">
        <v>4744</v>
      </c>
      <c r="L3022">
        <v>45</v>
      </c>
      <c r="M3022">
        <v>3.75</v>
      </c>
      <c r="N3022" t="s">
        <v>5272</v>
      </c>
      <c r="O3022" t="s">
        <v>461</v>
      </c>
    </row>
    <row r="3023" spans="1:15" x14ac:dyDescent="0.3">
      <c r="A3023">
        <v>220924</v>
      </c>
      <c r="B3023">
        <v>105</v>
      </c>
      <c r="C3023" t="s">
        <v>557</v>
      </c>
      <c r="D3023" t="s">
        <v>2581</v>
      </c>
      <c r="E3023" t="s">
        <v>3281</v>
      </c>
      <c r="F3023" s="451">
        <v>46097</v>
      </c>
      <c r="G3023">
        <v>19505</v>
      </c>
      <c r="H3023" t="s">
        <v>4872</v>
      </c>
      <c r="I3023" t="s">
        <v>5191</v>
      </c>
      <c r="J3023">
        <v>2</v>
      </c>
      <c r="K3023" t="s">
        <v>4744</v>
      </c>
      <c r="L3023">
        <v>26</v>
      </c>
      <c r="M3023">
        <v>13</v>
      </c>
      <c r="N3023" t="s">
        <v>5272</v>
      </c>
      <c r="O3023" t="s">
        <v>461</v>
      </c>
    </row>
    <row r="3024" spans="1:15" x14ac:dyDescent="0.3">
      <c r="A3024">
        <v>220924</v>
      </c>
      <c r="B3024">
        <v>105</v>
      </c>
      <c r="C3024" t="s">
        <v>557</v>
      </c>
      <c r="D3024" t="s">
        <v>2581</v>
      </c>
      <c r="E3024" t="s">
        <v>3281</v>
      </c>
      <c r="F3024" s="451">
        <v>46097</v>
      </c>
      <c r="G3024">
        <v>19488</v>
      </c>
      <c r="H3024" t="s">
        <v>5107</v>
      </c>
      <c r="I3024" t="s">
        <v>5191</v>
      </c>
      <c r="J3024">
        <v>0.3</v>
      </c>
      <c r="K3024" t="s">
        <v>4744</v>
      </c>
      <c r="L3024">
        <v>3.6</v>
      </c>
      <c r="M3024">
        <v>12</v>
      </c>
      <c r="N3024" t="s">
        <v>5272</v>
      </c>
      <c r="O3024" t="s">
        <v>461</v>
      </c>
    </row>
    <row r="3025" spans="1:15" x14ac:dyDescent="0.3">
      <c r="A3025">
        <v>220924</v>
      </c>
      <c r="B3025">
        <v>105</v>
      </c>
      <c r="C3025" t="s">
        <v>557</v>
      </c>
      <c r="D3025" t="s">
        <v>2581</v>
      </c>
      <c r="E3025" t="s">
        <v>3281</v>
      </c>
      <c r="F3025" s="451">
        <v>46097</v>
      </c>
      <c r="G3025">
        <v>19502</v>
      </c>
      <c r="H3025" t="s">
        <v>4871</v>
      </c>
      <c r="I3025" t="s">
        <v>5191</v>
      </c>
      <c r="J3025">
        <v>2</v>
      </c>
      <c r="K3025" t="s">
        <v>4744</v>
      </c>
      <c r="L3025">
        <v>36</v>
      </c>
      <c r="M3025">
        <v>18</v>
      </c>
      <c r="N3025" t="s">
        <v>5272</v>
      </c>
      <c r="O3025" t="s">
        <v>461</v>
      </c>
    </row>
    <row r="3026" spans="1:15" x14ac:dyDescent="0.3">
      <c r="A3026">
        <v>220924</v>
      </c>
      <c r="B3026">
        <v>105</v>
      </c>
      <c r="C3026" t="s">
        <v>557</v>
      </c>
      <c r="D3026" t="s">
        <v>2581</v>
      </c>
      <c r="E3026" t="s">
        <v>3281</v>
      </c>
      <c r="F3026" s="451">
        <v>46097</v>
      </c>
      <c r="G3026">
        <v>24099</v>
      </c>
      <c r="H3026" t="s">
        <v>4933</v>
      </c>
      <c r="I3026" t="s">
        <v>5191</v>
      </c>
      <c r="J3026">
        <v>3</v>
      </c>
      <c r="K3026" t="s">
        <v>4744</v>
      </c>
      <c r="L3026">
        <v>54</v>
      </c>
      <c r="M3026">
        <v>18</v>
      </c>
      <c r="N3026" t="s">
        <v>5272</v>
      </c>
      <c r="O3026" t="s">
        <v>461</v>
      </c>
    </row>
    <row r="3027" spans="1:15" x14ac:dyDescent="0.3">
      <c r="A3027">
        <v>220924</v>
      </c>
      <c r="B3027">
        <v>105</v>
      </c>
      <c r="C3027" t="s">
        <v>557</v>
      </c>
      <c r="D3027" t="s">
        <v>2581</v>
      </c>
      <c r="E3027" t="s">
        <v>3281</v>
      </c>
      <c r="F3027" s="451">
        <v>46097</v>
      </c>
      <c r="G3027">
        <v>19476</v>
      </c>
      <c r="H3027" t="s">
        <v>5115</v>
      </c>
      <c r="I3027" t="s">
        <v>5191</v>
      </c>
      <c r="J3027">
        <v>0.3</v>
      </c>
      <c r="K3027" t="s">
        <v>4744</v>
      </c>
      <c r="L3027">
        <v>18</v>
      </c>
      <c r="M3027">
        <v>60</v>
      </c>
      <c r="N3027" t="s">
        <v>5272</v>
      </c>
      <c r="O3027" t="s">
        <v>461</v>
      </c>
    </row>
    <row r="3028" spans="1:15" x14ac:dyDescent="0.3">
      <c r="A3028">
        <v>220924</v>
      </c>
      <c r="B3028">
        <v>105</v>
      </c>
      <c r="C3028" t="s">
        <v>557</v>
      </c>
      <c r="D3028" t="s">
        <v>2581</v>
      </c>
      <c r="E3028" t="s">
        <v>3281</v>
      </c>
      <c r="F3028" s="451">
        <v>46097</v>
      </c>
      <c r="G3028">
        <v>19480</v>
      </c>
      <c r="H3028" t="s">
        <v>5119</v>
      </c>
      <c r="I3028" t="s">
        <v>5191</v>
      </c>
      <c r="J3028">
        <v>0.4</v>
      </c>
      <c r="K3028" t="s">
        <v>4744</v>
      </c>
      <c r="L3028">
        <v>7.2</v>
      </c>
      <c r="M3028">
        <v>18</v>
      </c>
      <c r="N3028" t="s">
        <v>5272</v>
      </c>
      <c r="O3028" t="s">
        <v>461</v>
      </c>
    </row>
    <row r="3029" spans="1:15" x14ac:dyDescent="0.3">
      <c r="A3029">
        <v>220924</v>
      </c>
      <c r="B3029">
        <v>105</v>
      </c>
      <c r="C3029" t="s">
        <v>557</v>
      </c>
      <c r="D3029" t="s">
        <v>2581</v>
      </c>
      <c r="E3029" t="s">
        <v>3281</v>
      </c>
      <c r="F3029" s="451">
        <v>46097</v>
      </c>
      <c r="G3029">
        <v>19558</v>
      </c>
      <c r="H3029" t="s">
        <v>4994</v>
      </c>
      <c r="I3029" t="s">
        <v>5191</v>
      </c>
      <c r="J3029">
        <v>1</v>
      </c>
      <c r="K3029" t="s">
        <v>4744</v>
      </c>
      <c r="L3029">
        <v>15</v>
      </c>
      <c r="M3029">
        <v>15</v>
      </c>
      <c r="N3029" t="s">
        <v>5272</v>
      </c>
      <c r="O3029" t="s">
        <v>461</v>
      </c>
    </row>
    <row r="3030" spans="1:15" x14ac:dyDescent="0.3">
      <c r="A3030">
        <v>220924</v>
      </c>
      <c r="B3030">
        <v>105</v>
      </c>
      <c r="C3030" t="s">
        <v>557</v>
      </c>
      <c r="D3030" t="s">
        <v>2581</v>
      </c>
      <c r="E3030" t="s">
        <v>3281</v>
      </c>
      <c r="F3030" s="451">
        <v>46097</v>
      </c>
      <c r="G3030">
        <v>19565</v>
      </c>
      <c r="H3030" t="s">
        <v>5252</v>
      </c>
      <c r="I3030" t="s">
        <v>5191</v>
      </c>
      <c r="J3030">
        <v>0.5</v>
      </c>
      <c r="K3030" t="s">
        <v>4744</v>
      </c>
      <c r="L3030">
        <v>24.5</v>
      </c>
      <c r="M3030">
        <v>49</v>
      </c>
      <c r="N3030" t="s">
        <v>5272</v>
      </c>
      <c r="O3030" t="s">
        <v>461</v>
      </c>
    </row>
    <row r="3031" spans="1:15" x14ac:dyDescent="0.3">
      <c r="A3031">
        <v>220924</v>
      </c>
      <c r="B3031">
        <v>105</v>
      </c>
      <c r="C3031" t="s">
        <v>557</v>
      </c>
      <c r="D3031" t="s">
        <v>2581</v>
      </c>
      <c r="E3031" t="s">
        <v>3281</v>
      </c>
      <c r="F3031" s="451">
        <v>46097</v>
      </c>
      <c r="G3031">
        <v>19551</v>
      </c>
      <c r="H3031" t="s">
        <v>4905</v>
      </c>
      <c r="I3031" t="s">
        <v>5191</v>
      </c>
      <c r="J3031">
        <v>2</v>
      </c>
      <c r="K3031" t="s">
        <v>4744</v>
      </c>
      <c r="L3031">
        <v>30</v>
      </c>
      <c r="M3031">
        <v>15</v>
      </c>
      <c r="N3031" t="s">
        <v>5272</v>
      </c>
      <c r="O3031" t="s">
        <v>461</v>
      </c>
    </row>
    <row r="3032" spans="1:15" x14ac:dyDescent="0.3">
      <c r="A3032">
        <v>220924</v>
      </c>
      <c r="B3032">
        <v>105</v>
      </c>
      <c r="C3032" t="s">
        <v>557</v>
      </c>
      <c r="D3032" t="s">
        <v>2581</v>
      </c>
      <c r="E3032" t="s">
        <v>3281</v>
      </c>
      <c r="F3032" s="451">
        <v>46097</v>
      </c>
      <c r="G3032">
        <v>19740</v>
      </c>
      <c r="H3032" t="s">
        <v>4779</v>
      </c>
      <c r="I3032" t="s">
        <v>5191</v>
      </c>
      <c r="J3032">
        <v>10</v>
      </c>
      <c r="K3032" t="s">
        <v>4744</v>
      </c>
      <c r="L3032">
        <v>85</v>
      </c>
      <c r="M3032">
        <v>8.5</v>
      </c>
      <c r="N3032" t="s">
        <v>5272</v>
      </c>
      <c r="O3032" t="s">
        <v>461</v>
      </c>
    </row>
    <row r="3033" spans="1:15" x14ac:dyDescent="0.3">
      <c r="A3033">
        <v>220924</v>
      </c>
      <c r="B3033">
        <v>105</v>
      </c>
      <c r="C3033" t="s">
        <v>557</v>
      </c>
      <c r="D3033" t="s">
        <v>2581</v>
      </c>
      <c r="E3033" t="s">
        <v>3281</v>
      </c>
      <c r="F3033" s="451">
        <v>46097</v>
      </c>
      <c r="G3033">
        <v>19572</v>
      </c>
      <c r="H3033" t="s">
        <v>4989</v>
      </c>
      <c r="I3033" t="s">
        <v>5191</v>
      </c>
      <c r="J3033">
        <v>2</v>
      </c>
      <c r="K3033" t="s">
        <v>4744</v>
      </c>
      <c r="L3033">
        <v>28</v>
      </c>
      <c r="M3033">
        <v>14</v>
      </c>
      <c r="N3033" t="s">
        <v>5272</v>
      </c>
      <c r="O3033" t="s">
        <v>461</v>
      </c>
    </row>
    <row r="3034" spans="1:15" x14ac:dyDescent="0.3">
      <c r="A3034">
        <v>220924</v>
      </c>
      <c r="B3034">
        <v>105</v>
      </c>
      <c r="C3034" t="s">
        <v>557</v>
      </c>
      <c r="D3034" t="s">
        <v>2581</v>
      </c>
      <c r="E3034" t="s">
        <v>3281</v>
      </c>
      <c r="F3034" s="451">
        <v>46097</v>
      </c>
      <c r="G3034">
        <v>24489</v>
      </c>
      <c r="H3034" t="s">
        <v>5121</v>
      </c>
      <c r="I3034" t="s">
        <v>5191</v>
      </c>
      <c r="J3034">
        <v>1</v>
      </c>
      <c r="K3034" t="s">
        <v>4744</v>
      </c>
      <c r="L3034">
        <v>23</v>
      </c>
      <c r="M3034">
        <v>23</v>
      </c>
      <c r="N3034" t="s">
        <v>5272</v>
      </c>
      <c r="O3034" t="s">
        <v>461</v>
      </c>
    </row>
    <row r="3035" spans="1:15" x14ac:dyDescent="0.3">
      <c r="A3035">
        <v>220924</v>
      </c>
      <c r="B3035">
        <v>105</v>
      </c>
      <c r="C3035" t="s">
        <v>557</v>
      </c>
      <c r="D3035" t="s">
        <v>2581</v>
      </c>
      <c r="E3035" t="s">
        <v>3281</v>
      </c>
      <c r="F3035" s="451">
        <v>46097</v>
      </c>
      <c r="G3035">
        <v>23108</v>
      </c>
      <c r="H3035" t="s">
        <v>5117</v>
      </c>
      <c r="I3035" t="s">
        <v>5191</v>
      </c>
      <c r="J3035">
        <v>0.2</v>
      </c>
      <c r="K3035" t="s">
        <v>4744</v>
      </c>
      <c r="L3035">
        <v>12</v>
      </c>
      <c r="M3035">
        <v>60</v>
      </c>
      <c r="N3035" t="s">
        <v>5272</v>
      </c>
      <c r="O3035" t="s">
        <v>461</v>
      </c>
    </row>
    <row r="3036" spans="1:15" x14ac:dyDescent="0.3">
      <c r="A3036">
        <v>220924</v>
      </c>
      <c r="B3036">
        <v>105</v>
      </c>
      <c r="C3036" t="s">
        <v>557</v>
      </c>
      <c r="D3036" t="s">
        <v>2581</v>
      </c>
      <c r="E3036" t="s">
        <v>3281</v>
      </c>
      <c r="F3036" s="451">
        <v>46097</v>
      </c>
      <c r="G3036">
        <v>19617</v>
      </c>
      <c r="H3036" t="s">
        <v>5071</v>
      </c>
      <c r="I3036" t="s">
        <v>5191</v>
      </c>
      <c r="J3036">
        <v>0.2</v>
      </c>
      <c r="K3036" t="s">
        <v>4744</v>
      </c>
      <c r="L3036">
        <v>3</v>
      </c>
      <c r="M3036">
        <v>15</v>
      </c>
      <c r="N3036" t="s">
        <v>5272</v>
      </c>
      <c r="O3036" t="s">
        <v>461</v>
      </c>
    </row>
    <row r="3037" spans="1:15" x14ac:dyDescent="0.3">
      <c r="A3037">
        <v>220924</v>
      </c>
      <c r="B3037">
        <v>105</v>
      </c>
      <c r="C3037" t="s">
        <v>557</v>
      </c>
      <c r="D3037" t="s">
        <v>2581</v>
      </c>
      <c r="E3037" t="s">
        <v>3281</v>
      </c>
      <c r="F3037" s="451">
        <v>46097</v>
      </c>
      <c r="G3037">
        <v>23236</v>
      </c>
      <c r="H3037" t="s">
        <v>5062</v>
      </c>
      <c r="I3037" t="s">
        <v>5191</v>
      </c>
      <c r="J3037">
        <v>2.2000000000000002</v>
      </c>
      <c r="K3037" t="s">
        <v>4744</v>
      </c>
      <c r="L3037">
        <v>18.7</v>
      </c>
      <c r="M3037">
        <v>8.5</v>
      </c>
      <c r="N3037" t="s">
        <v>5272</v>
      </c>
      <c r="O3037" t="s">
        <v>461</v>
      </c>
    </row>
    <row r="3038" spans="1:15" x14ac:dyDescent="0.3">
      <c r="A3038">
        <v>220924</v>
      </c>
      <c r="B3038">
        <v>105</v>
      </c>
      <c r="C3038" t="s">
        <v>557</v>
      </c>
      <c r="D3038" t="s">
        <v>2581</v>
      </c>
      <c r="E3038" t="s">
        <v>3281</v>
      </c>
      <c r="F3038" s="451">
        <v>46097</v>
      </c>
      <c r="G3038">
        <v>23390</v>
      </c>
      <c r="H3038" t="s">
        <v>4873</v>
      </c>
      <c r="I3038" t="s">
        <v>5191</v>
      </c>
      <c r="J3038">
        <v>1</v>
      </c>
      <c r="K3038" t="s">
        <v>4744</v>
      </c>
      <c r="L3038">
        <v>5.8</v>
      </c>
      <c r="M3038">
        <v>5.8</v>
      </c>
      <c r="N3038" t="s">
        <v>5272</v>
      </c>
      <c r="O3038" t="s">
        <v>461</v>
      </c>
    </row>
    <row r="3039" spans="1:15" x14ac:dyDescent="0.3">
      <c r="A3039">
        <v>220924</v>
      </c>
      <c r="B3039">
        <v>105</v>
      </c>
      <c r="C3039" t="s">
        <v>557</v>
      </c>
      <c r="D3039" t="s">
        <v>2581</v>
      </c>
      <c r="E3039" t="s">
        <v>3281</v>
      </c>
      <c r="F3039" s="451">
        <v>46097</v>
      </c>
      <c r="G3039">
        <v>24037</v>
      </c>
      <c r="H3039" t="s">
        <v>5233</v>
      </c>
      <c r="I3039" t="s">
        <v>5191</v>
      </c>
      <c r="J3039">
        <v>1</v>
      </c>
      <c r="K3039" t="s">
        <v>4744</v>
      </c>
      <c r="L3039">
        <v>18.899999999999999</v>
      </c>
      <c r="M3039">
        <v>18.899999999999999</v>
      </c>
      <c r="N3039" t="s">
        <v>5272</v>
      </c>
      <c r="O3039" t="s">
        <v>461</v>
      </c>
    </row>
    <row r="3040" spans="1:15" x14ac:dyDescent="0.3">
      <c r="A3040">
        <v>220924</v>
      </c>
      <c r="B3040">
        <v>105</v>
      </c>
      <c r="C3040" t="s">
        <v>557</v>
      </c>
      <c r="D3040" t="s">
        <v>2581</v>
      </c>
      <c r="E3040" t="s">
        <v>3281</v>
      </c>
      <c r="F3040" s="451">
        <v>46097</v>
      </c>
      <c r="G3040">
        <v>19472</v>
      </c>
      <c r="H3040" t="s">
        <v>4906</v>
      </c>
      <c r="I3040" t="s">
        <v>5191</v>
      </c>
      <c r="J3040">
        <v>1.3</v>
      </c>
      <c r="K3040" t="s">
        <v>4744</v>
      </c>
      <c r="L3040">
        <v>23.4</v>
      </c>
      <c r="M3040">
        <v>18</v>
      </c>
      <c r="N3040" t="s">
        <v>5272</v>
      </c>
      <c r="O3040" t="s">
        <v>461</v>
      </c>
    </row>
    <row r="3041" spans="1:15" x14ac:dyDescent="0.3">
      <c r="A3041">
        <v>220924</v>
      </c>
      <c r="B3041">
        <v>105</v>
      </c>
      <c r="C3041" t="s">
        <v>557</v>
      </c>
      <c r="D3041" t="s">
        <v>2581</v>
      </c>
      <c r="E3041" t="s">
        <v>3281</v>
      </c>
      <c r="F3041" s="451">
        <v>46097</v>
      </c>
      <c r="G3041">
        <v>19532</v>
      </c>
      <c r="H3041" t="s">
        <v>4753</v>
      </c>
      <c r="I3041" t="s">
        <v>5191</v>
      </c>
      <c r="J3041">
        <v>12</v>
      </c>
      <c r="K3041" t="s">
        <v>4744</v>
      </c>
      <c r="L3041">
        <v>114</v>
      </c>
      <c r="M3041">
        <v>9.5</v>
      </c>
      <c r="N3041" t="s">
        <v>5272</v>
      </c>
      <c r="O3041" t="s">
        <v>461</v>
      </c>
    </row>
    <row r="3042" spans="1:15" x14ac:dyDescent="0.3">
      <c r="A3042">
        <v>220923</v>
      </c>
      <c r="B3042">
        <v>105</v>
      </c>
      <c r="C3042" t="s">
        <v>557</v>
      </c>
      <c r="D3042" t="s">
        <v>2637</v>
      </c>
      <c r="E3042" t="s">
        <v>3282</v>
      </c>
      <c r="F3042" s="451">
        <v>46104</v>
      </c>
      <c r="G3042">
        <v>18475</v>
      </c>
      <c r="H3042" t="s">
        <v>4895</v>
      </c>
      <c r="I3042" t="s">
        <v>5222</v>
      </c>
      <c r="J3042">
        <v>12</v>
      </c>
      <c r="K3042" t="s">
        <v>4805</v>
      </c>
      <c r="L3042">
        <v>394.8</v>
      </c>
      <c r="M3042">
        <v>32.9</v>
      </c>
      <c r="N3042" t="s">
        <v>5222</v>
      </c>
      <c r="O3042" t="s">
        <v>461</v>
      </c>
    </row>
    <row r="3043" spans="1:15" x14ac:dyDescent="0.3">
      <c r="A3043">
        <v>220922</v>
      </c>
      <c r="B3043">
        <v>105</v>
      </c>
      <c r="C3043" t="s">
        <v>557</v>
      </c>
      <c r="D3043" t="s">
        <v>2585</v>
      </c>
      <c r="E3043" t="s">
        <v>3283</v>
      </c>
      <c r="F3043" s="451">
        <v>46104</v>
      </c>
      <c r="G3043">
        <v>18822</v>
      </c>
      <c r="H3043" t="s">
        <v>4811</v>
      </c>
      <c r="I3043" t="s">
        <v>5191</v>
      </c>
      <c r="J3043">
        <v>24.65</v>
      </c>
      <c r="K3043" t="s">
        <v>4744</v>
      </c>
      <c r="L3043">
        <v>2440.15</v>
      </c>
      <c r="M3043">
        <v>98.991885999999994</v>
      </c>
      <c r="N3043" t="s">
        <v>5272</v>
      </c>
      <c r="O3043" t="s">
        <v>461</v>
      </c>
    </row>
    <row r="3044" spans="1:15" x14ac:dyDescent="0.3">
      <c r="A3044">
        <v>220922</v>
      </c>
      <c r="B3044">
        <v>105</v>
      </c>
      <c r="C3044" t="s">
        <v>557</v>
      </c>
      <c r="D3044" t="s">
        <v>2585</v>
      </c>
      <c r="E3044" t="s">
        <v>3283</v>
      </c>
      <c r="F3044" s="451">
        <v>46104</v>
      </c>
      <c r="G3044">
        <v>27264</v>
      </c>
      <c r="H3044" t="s">
        <v>5075</v>
      </c>
      <c r="I3044" t="s">
        <v>5191</v>
      </c>
      <c r="J3044">
        <v>12.06</v>
      </c>
      <c r="K3044" t="s">
        <v>4744</v>
      </c>
      <c r="L3044">
        <v>641.59</v>
      </c>
      <c r="M3044">
        <v>53.199834000000003</v>
      </c>
      <c r="N3044" t="s">
        <v>5272</v>
      </c>
      <c r="O3044" t="s">
        <v>461</v>
      </c>
    </row>
    <row r="3045" spans="1:15" x14ac:dyDescent="0.3">
      <c r="A3045">
        <v>220921</v>
      </c>
      <c r="B3045">
        <v>105</v>
      </c>
      <c r="C3045" t="s">
        <v>557</v>
      </c>
      <c r="D3045" t="s">
        <v>2585</v>
      </c>
      <c r="E3045" t="s">
        <v>3284</v>
      </c>
      <c r="F3045" s="451">
        <v>46097</v>
      </c>
      <c r="G3045">
        <v>18822</v>
      </c>
      <c r="H3045" t="s">
        <v>4811</v>
      </c>
      <c r="I3045" t="s">
        <v>5191</v>
      </c>
      <c r="J3045">
        <v>22.47</v>
      </c>
      <c r="K3045" t="s">
        <v>4744</v>
      </c>
      <c r="L3045">
        <v>2499.5700000000002</v>
      </c>
      <c r="M3045">
        <v>111.24032</v>
      </c>
      <c r="N3045" t="s">
        <v>5272</v>
      </c>
      <c r="O3045" t="s">
        <v>461</v>
      </c>
    </row>
    <row r="3046" spans="1:15" x14ac:dyDescent="0.3">
      <c r="A3046">
        <v>220921</v>
      </c>
      <c r="B3046">
        <v>105</v>
      </c>
      <c r="C3046" t="s">
        <v>557</v>
      </c>
      <c r="D3046" t="s">
        <v>2585</v>
      </c>
      <c r="E3046" t="s">
        <v>3284</v>
      </c>
      <c r="F3046" s="451">
        <v>46097</v>
      </c>
      <c r="G3046">
        <v>27264</v>
      </c>
      <c r="H3046" t="s">
        <v>5075</v>
      </c>
      <c r="I3046" t="s">
        <v>5191</v>
      </c>
      <c r="J3046">
        <v>9.99</v>
      </c>
      <c r="K3046" t="s">
        <v>4744</v>
      </c>
      <c r="L3046">
        <v>531.63</v>
      </c>
      <c r="M3046">
        <v>53.216216000000003</v>
      </c>
      <c r="N3046" t="s">
        <v>5272</v>
      </c>
      <c r="O3046" t="s">
        <v>461</v>
      </c>
    </row>
    <row r="3047" spans="1:15" x14ac:dyDescent="0.3">
      <c r="A3047">
        <v>220920</v>
      </c>
      <c r="B3047">
        <v>105</v>
      </c>
      <c r="C3047" t="s">
        <v>557</v>
      </c>
      <c r="D3047" t="s">
        <v>2607</v>
      </c>
      <c r="E3047" t="s">
        <v>3285</v>
      </c>
      <c r="F3047" s="451">
        <v>46106</v>
      </c>
      <c r="G3047">
        <v>27657</v>
      </c>
      <c r="H3047" t="s">
        <v>5137</v>
      </c>
      <c r="I3047" t="s">
        <v>5191</v>
      </c>
      <c r="J3047">
        <v>10.24</v>
      </c>
      <c r="K3047" t="s">
        <v>4744</v>
      </c>
      <c r="L3047">
        <v>409.09</v>
      </c>
      <c r="M3047">
        <v>39.950195000000001</v>
      </c>
      <c r="N3047" t="s">
        <v>5191</v>
      </c>
      <c r="O3047" t="s">
        <v>461</v>
      </c>
    </row>
    <row r="3048" spans="1:15" x14ac:dyDescent="0.3">
      <c r="A3048">
        <v>220919</v>
      </c>
      <c r="B3048">
        <v>105</v>
      </c>
      <c r="C3048" t="s">
        <v>557</v>
      </c>
      <c r="D3048" t="s">
        <v>2607</v>
      </c>
      <c r="E3048" t="s">
        <v>3286</v>
      </c>
      <c r="F3048" s="451">
        <v>46104</v>
      </c>
      <c r="G3048">
        <v>24259</v>
      </c>
      <c r="H3048" t="s">
        <v>4875</v>
      </c>
      <c r="I3048" t="s">
        <v>5191</v>
      </c>
      <c r="J3048">
        <v>20.04</v>
      </c>
      <c r="K3048" t="s">
        <v>4744</v>
      </c>
      <c r="L3048">
        <v>1555.41</v>
      </c>
      <c r="M3048">
        <v>77.615268999999998</v>
      </c>
      <c r="N3048" t="s">
        <v>5272</v>
      </c>
      <c r="O3048" t="s">
        <v>461</v>
      </c>
    </row>
    <row r="3049" spans="1:15" x14ac:dyDescent="0.3">
      <c r="A3049">
        <v>220919</v>
      </c>
      <c r="B3049">
        <v>105</v>
      </c>
      <c r="C3049" t="s">
        <v>557</v>
      </c>
      <c r="D3049" t="s">
        <v>2607</v>
      </c>
      <c r="E3049" t="s">
        <v>3286</v>
      </c>
      <c r="F3049" s="451">
        <v>46104</v>
      </c>
      <c r="G3049">
        <v>25777</v>
      </c>
      <c r="H3049" t="s">
        <v>4774</v>
      </c>
      <c r="I3049" t="s">
        <v>5191</v>
      </c>
      <c r="J3049">
        <v>20.8</v>
      </c>
      <c r="K3049" t="s">
        <v>4744</v>
      </c>
      <c r="L3049">
        <v>1768</v>
      </c>
      <c r="M3049">
        <v>85</v>
      </c>
      <c r="N3049" t="s">
        <v>5272</v>
      </c>
      <c r="O3049" t="s">
        <v>461</v>
      </c>
    </row>
    <row r="3050" spans="1:15" x14ac:dyDescent="0.3">
      <c r="A3050">
        <v>220918</v>
      </c>
      <c r="B3050">
        <v>105</v>
      </c>
      <c r="C3050" t="s">
        <v>557</v>
      </c>
      <c r="D3050" t="s">
        <v>2607</v>
      </c>
      <c r="E3050" t="s">
        <v>3287</v>
      </c>
      <c r="F3050" s="451">
        <v>46097</v>
      </c>
      <c r="G3050">
        <v>25777</v>
      </c>
      <c r="H3050" t="s">
        <v>4774</v>
      </c>
      <c r="I3050" t="s">
        <v>5191</v>
      </c>
      <c r="J3050">
        <v>20</v>
      </c>
      <c r="K3050" t="s">
        <v>4744</v>
      </c>
      <c r="L3050">
        <v>1700</v>
      </c>
      <c r="M3050">
        <v>85</v>
      </c>
      <c r="N3050" t="s">
        <v>5272</v>
      </c>
      <c r="O3050" t="s">
        <v>461</v>
      </c>
    </row>
    <row r="3051" spans="1:15" x14ac:dyDescent="0.3">
      <c r="A3051">
        <v>220917</v>
      </c>
      <c r="B3051">
        <v>105</v>
      </c>
      <c r="C3051" t="s">
        <v>557</v>
      </c>
      <c r="D3051" t="s">
        <v>2642</v>
      </c>
      <c r="E3051" t="s">
        <v>1171</v>
      </c>
      <c r="F3051" s="451">
        <v>46104</v>
      </c>
      <c r="G3051">
        <v>18315</v>
      </c>
      <c r="H3051" t="s">
        <v>4922</v>
      </c>
      <c r="I3051" t="s">
        <v>5222</v>
      </c>
      <c r="J3051">
        <v>7</v>
      </c>
      <c r="K3051" t="s">
        <v>4805</v>
      </c>
      <c r="L3051">
        <v>931</v>
      </c>
      <c r="M3051">
        <v>133</v>
      </c>
      <c r="N3051" t="s">
        <v>5271</v>
      </c>
      <c r="O3051" t="s">
        <v>461</v>
      </c>
    </row>
    <row r="3052" spans="1:15" x14ac:dyDescent="0.3">
      <c r="A3052">
        <v>220917</v>
      </c>
      <c r="B3052">
        <v>105</v>
      </c>
      <c r="C3052" t="s">
        <v>557</v>
      </c>
      <c r="D3052" t="s">
        <v>2642</v>
      </c>
      <c r="E3052" t="s">
        <v>1171</v>
      </c>
      <c r="F3052" s="451">
        <v>46104</v>
      </c>
      <c r="G3052">
        <v>18030</v>
      </c>
      <c r="H3052" t="s">
        <v>4840</v>
      </c>
      <c r="I3052" t="s">
        <v>5222</v>
      </c>
      <c r="J3052">
        <v>5</v>
      </c>
      <c r="K3052" t="s">
        <v>4805</v>
      </c>
      <c r="L3052">
        <v>139.94999999999999</v>
      </c>
      <c r="M3052">
        <v>27.99</v>
      </c>
      <c r="N3052" t="s">
        <v>5271</v>
      </c>
      <c r="O3052" t="s">
        <v>461</v>
      </c>
    </row>
    <row r="3053" spans="1:15" x14ac:dyDescent="0.3">
      <c r="A3053">
        <v>220917</v>
      </c>
      <c r="B3053">
        <v>105</v>
      </c>
      <c r="C3053" t="s">
        <v>557</v>
      </c>
      <c r="D3053" t="s">
        <v>2642</v>
      </c>
      <c r="E3053" t="s">
        <v>1171</v>
      </c>
      <c r="F3053" s="451">
        <v>46104</v>
      </c>
      <c r="G3053">
        <v>18547</v>
      </c>
      <c r="H3053" t="s">
        <v>4863</v>
      </c>
      <c r="I3053" t="s">
        <v>5222</v>
      </c>
      <c r="J3053">
        <v>3</v>
      </c>
      <c r="K3053" t="s">
        <v>4805</v>
      </c>
      <c r="L3053">
        <v>114</v>
      </c>
      <c r="M3053">
        <v>38</v>
      </c>
      <c r="N3053" t="s">
        <v>5271</v>
      </c>
      <c r="O3053" t="s">
        <v>461</v>
      </c>
    </row>
    <row r="3054" spans="1:15" x14ac:dyDescent="0.3">
      <c r="A3054">
        <v>220915</v>
      </c>
      <c r="B3054">
        <v>105</v>
      </c>
      <c r="C3054" t="s">
        <v>557</v>
      </c>
      <c r="D3054" t="s">
        <v>2642</v>
      </c>
      <c r="E3054" t="s">
        <v>3288</v>
      </c>
      <c r="F3054" s="451">
        <v>46097</v>
      </c>
      <c r="G3054">
        <v>18194</v>
      </c>
      <c r="H3054" t="s">
        <v>4923</v>
      </c>
      <c r="I3054" t="s">
        <v>5222</v>
      </c>
      <c r="J3054">
        <v>3</v>
      </c>
      <c r="K3054" t="s">
        <v>4805</v>
      </c>
      <c r="L3054">
        <v>183</v>
      </c>
      <c r="M3054">
        <v>61</v>
      </c>
      <c r="N3054" t="s">
        <v>5271</v>
      </c>
      <c r="O3054" t="s">
        <v>461</v>
      </c>
    </row>
    <row r="3055" spans="1:15" x14ac:dyDescent="0.3">
      <c r="A3055">
        <v>220915</v>
      </c>
      <c r="B3055">
        <v>105</v>
      </c>
      <c r="C3055" t="s">
        <v>557</v>
      </c>
      <c r="D3055" t="s">
        <v>2642</v>
      </c>
      <c r="E3055" t="s">
        <v>3288</v>
      </c>
      <c r="F3055" s="451">
        <v>46097</v>
      </c>
      <c r="G3055">
        <v>18146</v>
      </c>
      <c r="H3055" t="s">
        <v>5112</v>
      </c>
      <c r="I3055" t="s">
        <v>5222</v>
      </c>
      <c r="J3055">
        <v>1</v>
      </c>
      <c r="K3055" t="s">
        <v>4805</v>
      </c>
      <c r="L3055">
        <v>96</v>
      </c>
      <c r="M3055">
        <v>96</v>
      </c>
      <c r="N3055" t="s">
        <v>5271</v>
      </c>
      <c r="O3055" t="s">
        <v>461</v>
      </c>
    </row>
    <row r="3056" spans="1:15" x14ac:dyDescent="0.3">
      <c r="A3056">
        <v>220915</v>
      </c>
      <c r="B3056">
        <v>105</v>
      </c>
      <c r="C3056" t="s">
        <v>557</v>
      </c>
      <c r="D3056" t="s">
        <v>2642</v>
      </c>
      <c r="E3056" t="s">
        <v>3288</v>
      </c>
      <c r="F3056" s="451">
        <v>46097</v>
      </c>
      <c r="G3056">
        <v>18547</v>
      </c>
      <c r="H3056" t="s">
        <v>4863</v>
      </c>
      <c r="I3056" t="s">
        <v>5222</v>
      </c>
      <c r="J3056">
        <v>2</v>
      </c>
      <c r="K3056" t="s">
        <v>4805</v>
      </c>
      <c r="L3056">
        <v>75.98</v>
      </c>
      <c r="M3056">
        <v>37.99</v>
      </c>
      <c r="N3056" t="s">
        <v>5271</v>
      </c>
      <c r="O3056" t="s">
        <v>461</v>
      </c>
    </row>
    <row r="3057" spans="1:15" x14ac:dyDescent="0.3">
      <c r="A3057">
        <v>220914</v>
      </c>
      <c r="B3057">
        <v>105</v>
      </c>
      <c r="C3057" t="s">
        <v>557</v>
      </c>
      <c r="D3057" t="s">
        <v>2590</v>
      </c>
      <c r="E3057" t="s">
        <v>3289</v>
      </c>
      <c r="F3057" s="451">
        <v>46104</v>
      </c>
      <c r="G3057">
        <v>18636</v>
      </c>
      <c r="H3057" t="s">
        <v>4964</v>
      </c>
      <c r="I3057" t="s">
        <v>5222</v>
      </c>
      <c r="J3057">
        <v>5</v>
      </c>
      <c r="K3057" t="s">
        <v>4965</v>
      </c>
      <c r="L3057">
        <v>2414</v>
      </c>
      <c r="M3057">
        <v>482.8</v>
      </c>
      <c r="N3057" t="s">
        <v>5271</v>
      </c>
      <c r="O3057" t="s">
        <v>461</v>
      </c>
    </row>
    <row r="3058" spans="1:15" x14ac:dyDescent="0.3">
      <c r="A3058">
        <v>220914</v>
      </c>
      <c r="B3058">
        <v>105</v>
      </c>
      <c r="C3058" t="s">
        <v>557</v>
      </c>
      <c r="D3058" t="s">
        <v>2590</v>
      </c>
      <c r="E3058" t="s">
        <v>3289</v>
      </c>
      <c r="F3058" s="451">
        <v>46104</v>
      </c>
      <c r="G3058">
        <v>18589</v>
      </c>
      <c r="H3058" t="s">
        <v>5089</v>
      </c>
      <c r="I3058" t="s">
        <v>5222</v>
      </c>
      <c r="J3058">
        <v>1</v>
      </c>
      <c r="K3058" t="s">
        <v>4738</v>
      </c>
      <c r="L3058">
        <v>96.64</v>
      </c>
      <c r="M3058">
        <v>96.64</v>
      </c>
      <c r="N3058" t="s">
        <v>5271</v>
      </c>
      <c r="O3058" t="s">
        <v>461</v>
      </c>
    </row>
    <row r="3059" spans="1:15" x14ac:dyDescent="0.3">
      <c r="A3059">
        <v>220914</v>
      </c>
      <c r="B3059">
        <v>105</v>
      </c>
      <c r="C3059" t="s">
        <v>557</v>
      </c>
      <c r="D3059" t="s">
        <v>2590</v>
      </c>
      <c r="E3059" t="s">
        <v>3289</v>
      </c>
      <c r="F3059" s="451">
        <v>46104</v>
      </c>
      <c r="G3059">
        <v>18595</v>
      </c>
      <c r="H3059" t="s">
        <v>5092</v>
      </c>
      <c r="I3059" t="s">
        <v>5222</v>
      </c>
      <c r="J3059">
        <v>1</v>
      </c>
      <c r="K3059" t="s">
        <v>4738</v>
      </c>
      <c r="L3059">
        <v>150.47999999999999</v>
      </c>
      <c r="M3059">
        <v>150.47999999999999</v>
      </c>
      <c r="N3059" t="s">
        <v>5271</v>
      </c>
      <c r="O3059" t="s">
        <v>461</v>
      </c>
    </row>
    <row r="3060" spans="1:15" x14ac:dyDescent="0.3">
      <c r="A3060">
        <v>220914</v>
      </c>
      <c r="B3060">
        <v>105</v>
      </c>
      <c r="C3060" t="s">
        <v>557</v>
      </c>
      <c r="D3060" t="s">
        <v>2590</v>
      </c>
      <c r="E3060" t="s">
        <v>3289</v>
      </c>
      <c r="F3060" s="451">
        <v>46104</v>
      </c>
      <c r="G3060">
        <v>17905</v>
      </c>
      <c r="H3060" t="s">
        <v>5085</v>
      </c>
      <c r="I3060" t="s">
        <v>5222</v>
      </c>
      <c r="J3060">
        <v>6</v>
      </c>
      <c r="K3060" t="s">
        <v>4738</v>
      </c>
      <c r="L3060">
        <v>153.18</v>
      </c>
      <c r="M3060">
        <v>25.53</v>
      </c>
      <c r="N3060" t="s">
        <v>5271</v>
      </c>
      <c r="O3060" t="s">
        <v>461</v>
      </c>
    </row>
    <row r="3061" spans="1:15" x14ac:dyDescent="0.3">
      <c r="A3061">
        <v>220914</v>
      </c>
      <c r="B3061">
        <v>105</v>
      </c>
      <c r="C3061" t="s">
        <v>557</v>
      </c>
      <c r="D3061" t="s">
        <v>2590</v>
      </c>
      <c r="E3061" t="s">
        <v>3289</v>
      </c>
      <c r="F3061" s="451">
        <v>46104</v>
      </c>
      <c r="G3061">
        <v>18632</v>
      </c>
      <c r="H3061" t="s">
        <v>5096</v>
      </c>
      <c r="I3061" t="s">
        <v>5222</v>
      </c>
      <c r="J3061">
        <v>2</v>
      </c>
      <c r="K3061" t="s">
        <v>4749</v>
      </c>
      <c r="L3061">
        <v>381.6</v>
      </c>
      <c r="M3061">
        <v>190.8</v>
      </c>
      <c r="N3061" t="s">
        <v>5271</v>
      </c>
      <c r="O3061" t="s">
        <v>461</v>
      </c>
    </row>
    <row r="3062" spans="1:15" x14ac:dyDescent="0.3">
      <c r="A3062">
        <v>220914</v>
      </c>
      <c r="B3062">
        <v>105</v>
      </c>
      <c r="C3062" t="s">
        <v>557</v>
      </c>
      <c r="D3062" t="s">
        <v>2590</v>
      </c>
      <c r="E3062" t="s">
        <v>3289</v>
      </c>
      <c r="F3062" s="451">
        <v>46104</v>
      </c>
      <c r="G3062">
        <v>17886</v>
      </c>
      <c r="H3062" t="s">
        <v>5083</v>
      </c>
      <c r="I3062" t="s">
        <v>5222</v>
      </c>
      <c r="J3062">
        <v>8</v>
      </c>
      <c r="K3062" t="s">
        <v>4738</v>
      </c>
      <c r="L3062">
        <v>226.56</v>
      </c>
      <c r="M3062">
        <v>28.32</v>
      </c>
      <c r="N3062" t="s">
        <v>5271</v>
      </c>
      <c r="O3062" t="s">
        <v>461</v>
      </c>
    </row>
    <row r="3063" spans="1:15" x14ac:dyDescent="0.3">
      <c r="A3063">
        <v>220914</v>
      </c>
      <c r="B3063">
        <v>105</v>
      </c>
      <c r="C3063" t="s">
        <v>557</v>
      </c>
      <c r="D3063" t="s">
        <v>2590</v>
      </c>
      <c r="E3063" t="s">
        <v>3289</v>
      </c>
      <c r="F3063" s="451">
        <v>46104</v>
      </c>
      <c r="G3063">
        <v>17918</v>
      </c>
      <c r="H3063" t="s">
        <v>5368</v>
      </c>
      <c r="I3063" t="s">
        <v>5222</v>
      </c>
      <c r="J3063">
        <v>2</v>
      </c>
      <c r="K3063" t="s">
        <v>4738</v>
      </c>
      <c r="L3063">
        <v>86.4</v>
      </c>
      <c r="M3063">
        <v>43.2</v>
      </c>
      <c r="N3063" t="s">
        <v>5271</v>
      </c>
      <c r="O3063" t="s">
        <v>461</v>
      </c>
    </row>
    <row r="3064" spans="1:15" x14ac:dyDescent="0.3">
      <c r="A3064">
        <v>220914</v>
      </c>
      <c r="B3064">
        <v>105</v>
      </c>
      <c r="C3064" t="s">
        <v>557</v>
      </c>
      <c r="D3064" t="s">
        <v>2590</v>
      </c>
      <c r="E3064" t="s">
        <v>3289</v>
      </c>
      <c r="F3064" s="451">
        <v>46104</v>
      </c>
      <c r="G3064">
        <v>18586</v>
      </c>
      <c r="H3064" t="s">
        <v>4966</v>
      </c>
      <c r="I3064" t="s">
        <v>5222</v>
      </c>
      <c r="J3064">
        <v>1</v>
      </c>
      <c r="K3064" t="s">
        <v>4738</v>
      </c>
      <c r="L3064">
        <v>132.07</v>
      </c>
      <c r="M3064">
        <v>132.07</v>
      </c>
      <c r="N3064" t="s">
        <v>5271</v>
      </c>
      <c r="O3064" t="s">
        <v>461</v>
      </c>
    </row>
    <row r="3065" spans="1:15" x14ac:dyDescent="0.3">
      <c r="A3065">
        <v>220914</v>
      </c>
      <c r="B3065">
        <v>105</v>
      </c>
      <c r="C3065" t="s">
        <v>557</v>
      </c>
      <c r="D3065" t="s">
        <v>2590</v>
      </c>
      <c r="E3065" t="s">
        <v>3289</v>
      </c>
      <c r="F3065" s="451">
        <v>46104</v>
      </c>
      <c r="G3065">
        <v>17903</v>
      </c>
      <c r="H3065" t="s">
        <v>5084</v>
      </c>
      <c r="I3065" t="s">
        <v>5222</v>
      </c>
      <c r="J3065">
        <v>5</v>
      </c>
      <c r="K3065" t="s">
        <v>4738</v>
      </c>
      <c r="L3065">
        <v>127.65</v>
      </c>
      <c r="M3065">
        <v>25.53</v>
      </c>
      <c r="N3065" t="s">
        <v>5271</v>
      </c>
      <c r="O3065" t="s">
        <v>461</v>
      </c>
    </row>
    <row r="3066" spans="1:15" x14ac:dyDescent="0.3">
      <c r="A3066">
        <v>220914</v>
      </c>
      <c r="B3066">
        <v>105</v>
      </c>
      <c r="C3066" t="s">
        <v>557</v>
      </c>
      <c r="D3066" t="s">
        <v>2590</v>
      </c>
      <c r="E3066" t="s">
        <v>3289</v>
      </c>
      <c r="F3066" s="451">
        <v>46104</v>
      </c>
      <c r="G3066">
        <v>24141</v>
      </c>
      <c r="H3066" t="s">
        <v>5088</v>
      </c>
      <c r="I3066" t="s">
        <v>5222</v>
      </c>
      <c r="J3066">
        <v>4</v>
      </c>
      <c r="K3066" t="s">
        <v>4749</v>
      </c>
      <c r="L3066">
        <v>605.79999999999995</v>
      </c>
      <c r="M3066">
        <v>151.44999999999999</v>
      </c>
      <c r="N3066" t="s">
        <v>5271</v>
      </c>
      <c r="O3066" t="s">
        <v>461</v>
      </c>
    </row>
    <row r="3067" spans="1:15" x14ac:dyDescent="0.3">
      <c r="A3067">
        <v>220914</v>
      </c>
      <c r="B3067">
        <v>105</v>
      </c>
      <c r="C3067" t="s">
        <v>557</v>
      </c>
      <c r="D3067" t="s">
        <v>2590</v>
      </c>
      <c r="E3067" t="s">
        <v>3289</v>
      </c>
      <c r="F3067" s="451">
        <v>46104</v>
      </c>
      <c r="G3067">
        <v>25561</v>
      </c>
      <c r="H3067" t="s">
        <v>5095</v>
      </c>
      <c r="I3067" t="s">
        <v>5222</v>
      </c>
      <c r="J3067">
        <v>3</v>
      </c>
      <c r="K3067" t="s">
        <v>4738</v>
      </c>
      <c r="L3067">
        <v>396.21</v>
      </c>
      <c r="M3067">
        <v>132.07</v>
      </c>
      <c r="N3067" t="s">
        <v>5271</v>
      </c>
      <c r="O3067" t="s">
        <v>461</v>
      </c>
    </row>
    <row r="3068" spans="1:15" x14ac:dyDescent="0.3">
      <c r="A3068">
        <v>220914</v>
      </c>
      <c r="B3068">
        <v>105</v>
      </c>
      <c r="C3068" t="s">
        <v>557</v>
      </c>
      <c r="D3068" t="s">
        <v>2590</v>
      </c>
      <c r="E3068" t="s">
        <v>3289</v>
      </c>
      <c r="F3068" s="451">
        <v>46104</v>
      </c>
      <c r="G3068">
        <v>26505</v>
      </c>
      <c r="H3068" t="s">
        <v>4750</v>
      </c>
      <c r="I3068" t="s">
        <v>5222</v>
      </c>
      <c r="J3068">
        <v>1</v>
      </c>
      <c r="K3068" t="s">
        <v>4738</v>
      </c>
      <c r="L3068">
        <v>216</v>
      </c>
      <c r="M3068">
        <v>216</v>
      </c>
      <c r="N3068" t="s">
        <v>5271</v>
      </c>
      <c r="O3068" t="s">
        <v>461</v>
      </c>
    </row>
    <row r="3069" spans="1:15" x14ac:dyDescent="0.3">
      <c r="A3069">
        <v>220914</v>
      </c>
      <c r="B3069">
        <v>105</v>
      </c>
      <c r="C3069" t="s">
        <v>557</v>
      </c>
      <c r="D3069" t="s">
        <v>2590</v>
      </c>
      <c r="E3069" t="s">
        <v>3289</v>
      </c>
      <c r="F3069" s="451">
        <v>46104</v>
      </c>
      <c r="G3069">
        <v>17916</v>
      </c>
      <c r="H3069" t="s">
        <v>5235</v>
      </c>
      <c r="I3069" t="s">
        <v>5222</v>
      </c>
      <c r="J3069">
        <v>1</v>
      </c>
      <c r="K3069" t="s">
        <v>4738</v>
      </c>
      <c r="L3069">
        <v>28.8</v>
      </c>
      <c r="M3069">
        <v>28.8</v>
      </c>
      <c r="N3069" t="s">
        <v>5271</v>
      </c>
      <c r="O3069" t="s">
        <v>461</v>
      </c>
    </row>
    <row r="3070" spans="1:15" x14ac:dyDescent="0.3">
      <c r="A3070">
        <v>220914</v>
      </c>
      <c r="B3070">
        <v>105</v>
      </c>
      <c r="C3070" t="s">
        <v>557</v>
      </c>
      <c r="D3070" t="s">
        <v>2590</v>
      </c>
      <c r="E3070" t="s">
        <v>3289</v>
      </c>
      <c r="F3070" s="451">
        <v>46104</v>
      </c>
      <c r="G3070">
        <v>24981</v>
      </c>
      <c r="H3070" t="s">
        <v>5140</v>
      </c>
      <c r="I3070" t="s">
        <v>5222</v>
      </c>
      <c r="J3070">
        <v>1</v>
      </c>
      <c r="K3070" t="s">
        <v>4965</v>
      </c>
      <c r="L3070">
        <v>435</v>
      </c>
      <c r="M3070">
        <v>435</v>
      </c>
      <c r="N3070" t="s">
        <v>5271</v>
      </c>
      <c r="O3070" t="s">
        <v>461</v>
      </c>
    </row>
    <row r="3071" spans="1:15" x14ac:dyDescent="0.3">
      <c r="A3071">
        <v>220913</v>
      </c>
      <c r="B3071">
        <v>105</v>
      </c>
      <c r="C3071" t="s">
        <v>557</v>
      </c>
      <c r="D3071" t="s">
        <v>2590</v>
      </c>
      <c r="E3071" t="s">
        <v>3290</v>
      </c>
      <c r="F3071" s="451">
        <v>46097</v>
      </c>
      <c r="G3071">
        <v>18636</v>
      </c>
      <c r="H3071" t="s">
        <v>4964</v>
      </c>
      <c r="I3071" t="s">
        <v>5222</v>
      </c>
      <c r="J3071">
        <v>3</v>
      </c>
      <c r="K3071" t="s">
        <v>4965</v>
      </c>
      <c r="L3071">
        <v>1055.22</v>
      </c>
      <c r="M3071">
        <v>351.74</v>
      </c>
      <c r="N3071" t="s">
        <v>5222</v>
      </c>
      <c r="O3071" t="s">
        <v>461</v>
      </c>
    </row>
    <row r="3072" spans="1:15" x14ac:dyDescent="0.3">
      <c r="A3072">
        <v>220913</v>
      </c>
      <c r="B3072">
        <v>105</v>
      </c>
      <c r="C3072" t="s">
        <v>557</v>
      </c>
      <c r="D3072" t="s">
        <v>2590</v>
      </c>
      <c r="E3072" t="s">
        <v>3290</v>
      </c>
      <c r="F3072" s="451">
        <v>46097</v>
      </c>
      <c r="G3072">
        <v>18579</v>
      </c>
      <c r="H3072" t="s">
        <v>5087</v>
      </c>
      <c r="I3072" t="s">
        <v>5222</v>
      </c>
      <c r="J3072">
        <v>2</v>
      </c>
      <c r="K3072" t="s">
        <v>4749</v>
      </c>
      <c r="L3072">
        <v>263.5</v>
      </c>
      <c r="M3072">
        <v>131.75</v>
      </c>
      <c r="N3072" t="s">
        <v>5222</v>
      </c>
      <c r="O3072" t="s">
        <v>461</v>
      </c>
    </row>
    <row r="3073" spans="1:15" x14ac:dyDescent="0.3">
      <c r="A3073">
        <v>220913</v>
      </c>
      <c r="B3073">
        <v>105</v>
      </c>
      <c r="C3073" t="s">
        <v>557</v>
      </c>
      <c r="D3073" t="s">
        <v>2590</v>
      </c>
      <c r="E3073" t="s">
        <v>3290</v>
      </c>
      <c r="F3073" s="451">
        <v>46097</v>
      </c>
      <c r="G3073">
        <v>18589</v>
      </c>
      <c r="H3073" t="s">
        <v>5089</v>
      </c>
      <c r="I3073" t="s">
        <v>5222</v>
      </c>
      <c r="J3073">
        <v>1</v>
      </c>
      <c r="K3073" t="s">
        <v>4738</v>
      </c>
      <c r="L3073">
        <v>117.56</v>
      </c>
      <c r="M3073">
        <v>117.56</v>
      </c>
      <c r="N3073" t="s">
        <v>5222</v>
      </c>
      <c r="O3073" t="s">
        <v>461</v>
      </c>
    </row>
    <row r="3074" spans="1:15" x14ac:dyDescent="0.3">
      <c r="A3074">
        <v>220913</v>
      </c>
      <c r="B3074">
        <v>105</v>
      </c>
      <c r="C3074" t="s">
        <v>557</v>
      </c>
      <c r="D3074" t="s">
        <v>2590</v>
      </c>
      <c r="E3074" t="s">
        <v>3290</v>
      </c>
      <c r="F3074" s="451">
        <v>46097</v>
      </c>
      <c r="G3074">
        <v>18595</v>
      </c>
      <c r="H3074" t="s">
        <v>5092</v>
      </c>
      <c r="I3074" t="s">
        <v>5222</v>
      </c>
      <c r="J3074">
        <v>2</v>
      </c>
      <c r="K3074" t="s">
        <v>4738</v>
      </c>
      <c r="L3074">
        <v>358.36</v>
      </c>
      <c r="M3074">
        <v>179.18</v>
      </c>
      <c r="N3074" t="s">
        <v>5222</v>
      </c>
      <c r="O3074" t="s">
        <v>461</v>
      </c>
    </row>
    <row r="3075" spans="1:15" x14ac:dyDescent="0.3">
      <c r="A3075">
        <v>220913</v>
      </c>
      <c r="B3075">
        <v>105</v>
      </c>
      <c r="C3075" t="s">
        <v>557</v>
      </c>
      <c r="D3075" t="s">
        <v>2590</v>
      </c>
      <c r="E3075" t="s">
        <v>3290</v>
      </c>
      <c r="F3075" s="451">
        <v>46097</v>
      </c>
      <c r="G3075">
        <v>17905</v>
      </c>
      <c r="H3075" t="s">
        <v>5085</v>
      </c>
      <c r="I3075" t="s">
        <v>5222</v>
      </c>
      <c r="J3075">
        <v>6</v>
      </c>
      <c r="K3075" t="s">
        <v>4738</v>
      </c>
      <c r="L3075">
        <v>153.18</v>
      </c>
      <c r="M3075">
        <v>25.53</v>
      </c>
      <c r="N3075" t="s">
        <v>5222</v>
      </c>
      <c r="O3075" t="s">
        <v>461</v>
      </c>
    </row>
    <row r="3076" spans="1:15" x14ac:dyDescent="0.3">
      <c r="A3076">
        <v>220913</v>
      </c>
      <c r="B3076">
        <v>105</v>
      </c>
      <c r="C3076" t="s">
        <v>557</v>
      </c>
      <c r="D3076" t="s">
        <v>2590</v>
      </c>
      <c r="E3076" t="s">
        <v>3290</v>
      </c>
      <c r="F3076" s="451">
        <v>46097</v>
      </c>
      <c r="G3076">
        <v>17883</v>
      </c>
      <c r="H3076" t="s">
        <v>5113</v>
      </c>
      <c r="I3076" t="s">
        <v>5222</v>
      </c>
      <c r="J3076">
        <v>2</v>
      </c>
      <c r="K3076" t="s">
        <v>4738</v>
      </c>
      <c r="L3076">
        <v>56.64</v>
      </c>
      <c r="M3076">
        <v>28.32</v>
      </c>
      <c r="N3076" t="s">
        <v>5222</v>
      </c>
      <c r="O3076" t="s">
        <v>461</v>
      </c>
    </row>
    <row r="3077" spans="1:15" x14ac:dyDescent="0.3">
      <c r="A3077">
        <v>220913</v>
      </c>
      <c r="B3077">
        <v>105</v>
      </c>
      <c r="C3077" t="s">
        <v>557</v>
      </c>
      <c r="D3077" t="s">
        <v>2590</v>
      </c>
      <c r="E3077" t="s">
        <v>3290</v>
      </c>
      <c r="F3077" s="451">
        <v>46097</v>
      </c>
      <c r="G3077">
        <v>18632</v>
      </c>
      <c r="H3077" t="s">
        <v>5096</v>
      </c>
      <c r="I3077" t="s">
        <v>5222</v>
      </c>
      <c r="J3077">
        <v>1</v>
      </c>
      <c r="K3077" t="s">
        <v>4749</v>
      </c>
      <c r="L3077">
        <v>190.8</v>
      </c>
      <c r="M3077">
        <v>190.8</v>
      </c>
      <c r="N3077" t="s">
        <v>5222</v>
      </c>
      <c r="O3077" t="s">
        <v>461</v>
      </c>
    </row>
    <row r="3078" spans="1:15" x14ac:dyDescent="0.3">
      <c r="A3078">
        <v>220913</v>
      </c>
      <c r="B3078">
        <v>105</v>
      </c>
      <c r="C3078" t="s">
        <v>557</v>
      </c>
      <c r="D3078" t="s">
        <v>2590</v>
      </c>
      <c r="E3078" t="s">
        <v>3290</v>
      </c>
      <c r="F3078" s="451">
        <v>46097</v>
      </c>
      <c r="G3078">
        <v>17881</v>
      </c>
      <c r="H3078" t="s">
        <v>5103</v>
      </c>
      <c r="I3078" t="s">
        <v>5222</v>
      </c>
      <c r="J3078">
        <v>1</v>
      </c>
      <c r="K3078" t="s">
        <v>4738</v>
      </c>
      <c r="L3078">
        <v>25.53</v>
      </c>
      <c r="M3078">
        <v>25.53</v>
      </c>
      <c r="N3078" t="s">
        <v>5222</v>
      </c>
      <c r="O3078" t="s">
        <v>461</v>
      </c>
    </row>
    <row r="3079" spans="1:15" x14ac:dyDescent="0.3">
      <c r="A3079">
        <v>220913</v>
      </c>
      <c r="B3079">
        <v>105</v>
      </c>
      <c r="C3079" t="s">
        <v>557</v>
      </c>
      <c r="D3079" t="s">
        <v>2590</v>
      </c>
      <c r="E3079" t="s">
        <v>3290</v>
      </c>
      <c r="F3079" s="451">
        <v>46097</v>
      </c>
      <c r="G3079">
        <v>17886</v>
      </c>
      <c r="H3079" t="s">
        <v>5083</v>
      </c>
      <c r="I3079" t="s">
        <v>5222</v>
      </c>
      <c r="J3079">
        <v>10</v>
      </c>
      <c r="K3079" t="s">
        <v>4738</v>
      </c>
      <c r="L3079">
        <v>283.2</v>
      </c>
      <c r="M3079">
        <v>28.32</v>
      </c>
      <c r="N3079" t="s">
        <v>5222</v>
      </c>
      <c r="O3079" t="s">
        <v>461</v>
      </c>
    </row>
    <row r="3080" spans="1:15" x14ac:dyDescent="0.3">
      <c r="A3080">
        <v>220913</v>
      </c>
      <c r="B3080">
        <v>105</v>
      </c>
      <c r="C3080" t="s">
        <v>557</v>
      </c>
      <c r="D3080" t="s">
        <v>2590</v>
      </c>
      <c r="E3080" t="s">
        <v>3290</v>
      </c>
      <c r="F3080" s="451">
        <v>46097</v>
      </c>
      <c r="G3080">
        <v>17918</v>
      </c>
      <c r="H3080" t="s">
        <v>5368</v>
      </c>
      <c r="I3080" t="s">
        <v>5222</v>
      </c>
      <c r="J3080">
        <v>2</v>
      </c>
      <c r="K3080" t="s">
        <v>4738</v>
      </c>
      <c r="L3080">
        <v>86.4</v>
      </c>
      <c r="M3080">
        <v>43.2</v>
      </c>
      <c r="N3080" t="s">
        <v>5222</v>
      </c>
      <c r="O3080" t="s">
        <v>461</v>
      </c>
    </row>
    <row r="3081" spans="1:15" x14ac:dyDescent="0.3">
      <c r="A3081">
        <v>220913</v>
      </c>
      <c r="B3081">
        <v>105</v>
      </c>
      <c r="C3081" t="s">
        <v>557</v>
      </c>
      <c r="D3081" t="s">
        <v>2590</v>
      </c>
      <c r="E3081" t="s">
        <v>3290</v>
      </c>
      <c r="F3081" s="451">
        <v>46097</v>
      </c>
      <c r="G3081">
        <v>24141</v>
      </c>
      <c r="H3081" t="s">
        <v>5088</v>
      </c>
      <c r="I3081" t="s">
        <v>5222</v>
      </c>
      <c r="J3081">
        <v>5</v>
      </c>
      <c r="K3081" t="s">
        <v>4749</v>
      </c>
      <c r="L3081">
        <v>757.25</v>
      </c>
      <c r="M3081">
        <v>151.44999999999999</v>
      </c>
      <c r="N3081" t="s">
        <v>5222</v>
      </c>
      <c r="O3081" t="s">
        <v>461</v>
      </c>
    </row>
    <row r="3082" spans="1:15" x14ac:dyDescent="0.3">
      <c r="A3082">
        <v>220913</v>
      </c>
      <c r="B3082">
        <v>105</v>
      </c>
      <c r="C3082" t="s">
        <v>557</v>
      </c>
      <c r="D3082" t="s">
        <v>2590</v>
      </c>
      <c r="E3082" t="s">
        <v>3290</v>
      </c>
      <c r="F3082" s="451">
        <v>46097</v>
      </c>
      <c r="G3082">
        <v>18006</v>
      </c>
      <c r="H3082" t="s">
        <v>5094</v>
      </c>
      <c r="I3082" t="s">
        <v>5222</v>
      </c>
      <c r="J3082">
        <v>3</v>
      </c>
      <c r="K3082" t="s">
        <v>4738</v>
      </c>
      <c r="L3082">
        <v>88.92</v>
      </c>
      <c r="M3082">
        <v>29.64</v>
      </c>
      <c r="N3082" t="s">
        <v>5222</v>
      </c>
      <c r="O3082" t="s">
        <v>461</v>
      </c>
    </row>
    <row r="3083" spans="1:15" x14ac:dyDescent="0.3">
      <c r="A3083">
        <v>220913</v>
      </c>
      <c r="B3083">
        <v>105</v>
      </c>
      <c r="C3083" t="s">
        <v>557</v>
      </c>
      <c r="D3083" t="s">
        <v>2590</v>
      </c>
      <c r="E3083" t="s">
        <v>3290</v>
      </c>
      <c r="F3083" s="451">
        <v>46097</v>
      </c>
      <c r="G3083">
        <v>26505</v>
      </c>
      <c r="H3083" t="s">
        <v>4750</v>
      </c>
      <c r="I3083" t="s">
        <v>5222</v>
      </c>
      <c r="J3083">
        <v>2</v>
      </c>
      <c r="K3083" t="s">
        <v>4738</v>
      </c>
      <c r="L3083">
        <v>432</v>
      </c>
      <c r="M3083">
        <v>216</v>
      </c>
      <c r="N3083" t="s">
        <v>5222</v>
      </c>
      <c r="O3083" t="s">
        <v>461</v>
      </c>
    </row>
    <row r="3084" spans="1:15" x14ac:dyDescent="0.3">
      <c r="A3084">
        <v>220913</v>
      </c>
      <c r="B3084">
        <v>105</v>
      </c>
      <c r="C3084" t="s">
        <v>557</v>
      </c>
      <c r="D3084" t="s">
        <v>2590</v>
      </c>
      <c r="E3084" t="s">
        <v>3290</v>
      </c>
      <c r="F3084" s="451">
        <v>46097</v>
      </c>
      <c r="G3084">
        <v>18004</v>
      </c>
      <c r="H3084" t="s">
        <v>5093</v>
      </c>
      <c r="I3084" t="s">
        <v>5222</v>
      </c>
      <c r="J3084">
        <v>2</v>
      </c>
      <c r="K3084" t="s">
        <v>4738</v>
      </c>
      <c r="L3084">
        <v>59.28</v>
      </c>
      <c r="M3084">
        <v>29.64</v>
      </c>
      <c r="N3084" t="s">
        <v>5222</v>
      </c>
      <c r="O3084" t="s">
        <v>461</v>
      </c>
    </row>
    <row r="3085" spans="1:15" x14ac:dyDescent="0.3">
      <c r="A3085">
        <v>220913</v>
      </c>
      <c r="B3085">
        <v>105</v>
      </c>
      <c r="C3085" t="s">
        <v>557</v>
      </c>
      <c r="D3085" t="s">
        <v>2590</v>
      </c>
      <c r="E3085" t="s">
        <v>3290</v>
      </c>
      <c r="F3085" s="451">
        <v>46097</v>
      </c>
      <c r="G3085">
        <v>17916</v>
      </c>
      <c r="H3085" t="s">
        <v>5235</v>
      </c>
      <c r="I3085" t="s">
        <v>5222</v>
      </c>
      <c r="J3085">
        <v>1</v>
      </c>
      <c r="K3085" t="s">
        <v>4738</v>
      </c>
      <c r="L3085">
        <v>28.8</v>
      </c>
      <c r="M3085">
        <v>28.8</v>
      </c>
      <c r="N3085" t="s">
        <v>5222</v>
      </c>
      <c r="O3085" t="s">
        <v>461</v>
      </c>
    </row>
    <row r="3086" spans="1:15" x14ac:dyDescent="0.3">
      <c r="A3086">
        <v>220913</v>
      </c>
      <c r="B3086">
        <v>105</v>
      </c>
      <c r="C3086" t="s">
        <v>557</v>
      </c>
      <c r="D3086" t="s">
        <v>2590</v>
      </c>
      <c r="E3086" t="s">
        <v>3290</v>
      </c>
      <c r="F3086" s="451">
        <v>46097</v>
      </c>
      <c r="G3086">
        <v>24981</v>
      </c>
      <c r="H3086" t="s">
        <v>5140</v>
      </c>
      <c r="I3086" t="s">
        <v>5222</v>
      </c>
      <c r="J3086">
        <v>1</v>
      </c>
      <c r="K3086" t="s">
        <v>4965</v>
      </c>
      <c r="L3086">
        <v>435</v>
      </c>
      <c r="M3086">
        <v>435</v>
      </c>
      <c r="N3086" t="s">
        <v>5222</v>
      </c>
      <c r="O3086" t="s">
        <v>461</v>
      </c>
    </row>
    <row r="3087" spans="1:15" x14ac:dyDescent="0.3">
      <c r="A3087">
        <v>220912</v>
      </c>
      <c r="B3087">
        <v>105</v>
      </c>
      <c r="C3087" t="s">
        <v>557</v>
      </c>
      <c r="D3087" t="s">
        <v>2615</v>
      </c>
      <c r="E3087" t="s">
        <v>3291</v>
      </c>
      <c r="F3087" s="451">
        <v>46108</v>
      </c>
      <c r="G3087">
        <v>20623</v>
      </c>
      <c r="H3087" t="s">
        <v>4814</v>
      </c>
      <c r="I3087" t="s">
        <v>5191</v>
      </c>
      <c r="J3087">
        <v>10</v>
      </c>
      <c r="K3087" t="s">
        <v>4736</v>
      </c>
      <c r="L3087">
        <v>123.9</v>
      </c>
      <c r="M3087">
        <v>12.39</v>
      </c>
      <c r="N3087" t="s">
        <v>5272</v>
      </c>
      <c r="O3087" t="s">
        <v>461</v>
      </c>
    </row>
    <row r="3088" spans="1:15" x14ac:dyDescent="0.3">
      <c r="A3088">
        <v>220810</v>
      </c>
      <c r="B3088">
        <v>105</v>
      </c>
      <c r="C3088" t="s">
        <v>557</v>
      </c>
      <c r="D3088" t="s">
        <v>2571</v>
      </c>
      <c r="E3088" t="s">
        <v>5369</v>
      </c>
      <c r="F3088" s="451">
        <v>46101</v>
      </c>
      <c r="G3088">
        <v>19969</v>
      </c>
      <c r="H3088" t="s">
        <v>5018</v>
      </c>
      <c r="I3088" t="s">
        <v>5191</v>
      </c>
      <c r="J3088">
        <v>1</v>
      </c>
      <c r="K3088" t="s">
        <v>4888</v>
      </c>
      <c r="L3088">
        <v>9.7899999999999991</v>
      </c>
      <c r="M3088">
        <v>9.7899999999999991</v>
      </c>
      <c r="N3088" t="s">
        <v>5272</v>
      </c>
      <c r="O3088" t="s">
        <v>461</v>
      </c>
    </row>
    <row r="3089" spans="1:15" x14ac:dyDescent="0.3">
      <c r="A3089">
        <v>220810</v>
      </c>
      <c r="B3089">
        <v>105</v>
      </c>
      <c r="C3089" t="s">
        <v>557</v>
      </c>
      <c r="D3089" t="s">
        <v>2571</v>
      </c>
      <c r="E3089" t="s">
        <v>5369</v>
      </c>
      <c r="F3089" s="451">
        <v>46101</v>
      </c>
      <c r="G3089">
        <v>20661</v>
      </c>
      <c r="H3089" t="s">
        <v>5012</v>
      </c>
      <c r="I3089" t="s">
        <v>5191</v>
      </c>
      <c r="J3089">
        <v>3</v>
      </c>
      <c r="K3089" t="s">
        <v>4736</v>
      </c>
      <c r="L3089">
        <v>24.87</v>
      </c>
      <c r="M3089">
        <v>8.2899999999999991</v>
      </c>
      <c r="N3089" t="s">
        <v>5272</v>
      </c>
      <c r="O3089" t="s">
        <v>461</v>
      </c>
    </row>
    <row r="3090" spans="1:15" x14ac:dyDescent="0.3">
      <c r="A3090">
        <v>220810</v>
      </c>
      <c r="B3090">
        <v>105</v>
      </c>
      <c r="C3090" t="s">
        <v>557</v>
      </c>
      <c r="D3090" t="s">
        <v>2571</v>
      </c>
      <c r="E3090" t="s">
        <v>5369</v>
      </c>
      <c r="F3090" s="451">
        <v>46101</v>
      </c>
      <c r="G3090">
        <v>20644</v>
      </c>
      <c r="H3090" t="s">
        <v>5016</v>
      </c>
      <c r="I3090" t="s">
        <v>5191</v>
      </c>
      <c r="J3090">
        <v>3</v>
      </c>
      <c r="K3090" t="s">
        <v>4736</v>
      </c>
      <c r="L3090">
        <v>11.67</v>
      </c>
      <c r="M3090">
        <v>3.89</v>
      </c>
      <c r="N3090" t="s">
        <v>5272</v>
      </c>
      <c r="O3090" t="s">
        <v>461</v>
      </c>
    </row>
    <row r="3091" spans="1:15" x14ac:dyDescent="0.3">
      <c r="A3091">
        <v>220810</v>
      </c>
      <c r="B3091">
        <v>105</v>
      </c>
      <c r="C3091" t="s">
        <v>557</v>
      </c>
      <c r="D3091" t="s">
        <v>2571</v>
      </c>
      <c r="E3091" t="s">
        <v>5369</v>
      </c>
      <c r="F3091" s="451">
        <v>46101</v>
      </c>
      <c r="G3091">
        <v>20673</v>
      </c>
      <c r="H3091" t="s">
        <v>5132</v>
      </c>
      <c r="I3091" t="s">
        <v>5191</v>
      </c>
      <c r="J3091">
        <v>1</v>
      </c>
      <c r="K3091" t="s">
        <v>5242</v>
      </c>
      <c r="L3091">
        <v>72.44</v>
      </c>
      <c r="M3091">
        <v>72.44</v>
      </c>
      <c r="N3091" t="s">
        <v>5272</v>
      </c>
      <c r="O3091" t="s">
        <v>461</v>
      </c>
    </row>
    <row r="3092" spans="1:15" x14ac:dyDescent="0.3">
      <c r="A3092">
        <v>220810</v>
      </c>
      <c r="B3092">
        <v>105</v>
      </c>
      <c r="C3092" t="s">
        <v>557</v>
      </c>
      <c r="D3092" t="s">
        <v>2571</v>
      </c>
      <c r="E3092" t="s">
        <v>5369</v>
      </c>
      <c r="F3092" s="451">
        <v>46101</v>
      </c>
      <c r="G3092">
        <v>20322</v>
      </c>
      <c r="H3092" t="s">
        <v>4882</v>
      </c>
      <c r="I3092" t="s">
        <v>5191</v>
      </c>
      <c r="J3092">
        <v>2</v>
      </c>
      <c r="K3092" t="s">
        <v>5238</v>
      </c>
      <c r="L3092">
        <v>21.6</v>
      </c>
      <c r="M3092">
        <v>10.8</v>
      </c>
      <c r="N3092" t="s">
        <v>5272</v>
      </c>
      <c r="O3092" t="s">
        <v>461</v>
      </c>
    </row>
    <row r="3093" spans="1:15" x14ac:dyDescent="0.3">
      <c r="A3093">
        <v>220810</v>
      </c>
      <c r="B3093">
        <v>105</v>
      </c>
      <c r="C3093" t="s">
        <v>557</v>
      </c>
      <c r="D3093" t="s">
        <v>2571</v>
      </c>
      <c r="E3093" t="s">
        <v>5369</v>
      </c>
      <c r="F3093" s="451">
        <v>46101</v>
      </c>
      <c r="G3093">
        <v>26020</v>
      </c>
      <c r="H3093" t="s">
        <v>5102</v>
      </c>
      <c r="I3093" t="s">
        <v>5191</v>
      </c>
      <c r="J3093">
        <v>3</v>
      </c>
      <c r="K3093" t="s">
        <v>4736</v>
      </c>
      <c r="L3093">
        <v>41.07</v>
      </c>
      <c r="M3093">
        <v>13.69</v>
      </c>
      <c r="N3093" t="s">
        <v>5272</v>
      </c>
      <c r="O3093" t="s">
        <v>461</v>
      </c>
    </row>
    <row r="3094" spans="1:15" x14ac:dyDescent="0.3">
      <c r="A3094">
        <v>220810</v>
      </c>
      <c r="B3094">
        <v>105</v>
      </c>
      <c r="C3094" t="s">
        <v>557</v>
      </c>
      <c r="D3094" t="s">
        <v>2571</v>
      </c>
      <c r="E3094" t="s">
        <v>5369</v>
      </c>
      <c r="F3094" s="451">
        <v>46101</v>
      </c>
      <c r="G3094">
        <v>19906</v>
      </c>
      <c r="H3094" t="s">
        <v>5159</v>
      </c>
      <c r="I3094" t="s">
        <v>5191</v>
      </c>
      <c r="J3094">
        <v>10</v>
      </c>
      <c r="K3094" t="s">
        <v>4738</v>
      </c>
      <c r="L3094">
        <v>36.299999999999997</v>
      </c>
      <c r="M3094">
        <v>3.63</v>
      </c>
      <c r="N3094" t="s">
        <v>5272</v>
      </c>
      <c r="O3094" t="s">
        <v>461</v>
      </c>
    </row>
    <row r="3095" spans="1:15" x14ac:dyDescent="0.3">
      <c r="A3095">
        <v>220810</v>
      </c>
      <c r="B3095">
        <v>105</v>
      </c>
      <c r="C3095" t="s">
        <v>557</v>
      </c>
      <c r="D3095" t="s">
        <v>2571</v>
      </c>
      <c r="E3095" t="s">
        <v>5369</v>
      </c>
      <c r="F3095" s="451">
        <v>46101</v>
      </c>
      <c r="G3095">
        <v>25022</v>
      </c>
      <c r="H3095" t="s">
        <v>4912</v>
      </c>
      <c r="I3095" t="s">
        <v>5191</v>
      </c>
      <c r="J3095">
        <v>3</v>
      </c>
      <c r="K3095" t="s">
        <v>4738</v>
      </c>
      <c r="L3095">
        <v>11.1</v>
      </c>
      <c r="M3095">
        <v>3.7</v>
      </c>
      <c r="N3095" t="s">
        <v>5272</v>
      </c>
      <c r="O3095" t="s">
        <v>461</v>
      </c>
    </row>
    <row r="3096" spans="1:15" x14ac:dyDescent="0.3">
      <c r="A3096">
        <v>220810</v>
      </c>
      <c r="B3096">
        <v>105</v>
      </c>
      <c r="C3096" t="s">
        <v>557</v>
      </c>
      <c r="D3096" t="s">
        <v>2571</v>
      </c>
      <c r="E3096" t="s">
        <v>5369</v>
      </c>
      <c r="F3096" s="451">
        <v>46101</v>
      </c>
      <c r="G3096">
        <v>20301</v>
      </c>
      <c r="H3096" t="s">
        <v>4944</v>
      </c>
      <c r="I3096" t="s">
        <v>5191</v>
      </c>
      <c r="J3096">
        <v>10</v>
      </c>
      <c r="K3096" t="s">
        <v>5227</v>
      </c>
      <c r="L3096">
        <v>220.6</v>
      </c>
      <c r="M3096">
        <v>22.06</v>
      </c>
      <c r="N3096" t="s">
        <v>5272</v>
      </c>
      <c r="O3096" t="s">
        <v>461</v>
      </c>
    </row>
    <row r="3097" spans="1:15" x14ac:dyDescent="0.3">
      <c r="A3097">
        <v>220810</v>
      </c>
      <c r="B3097">
        <v>105</v>
      </c>
      <c r="C3097" t="s">
        <v>557</v>
      </c>
      <c r="D3097" t="s">
        <v>2571</v>
      </c>
      <c r="E3097" t="s">
        <v>5369</v>
      </c>
      <c r="F3097" s="451">
        <v>46101</v>
      </c>
      <c r="G3097">
        <v>20358</v>
      </c>
      <c r="H3097" t="s">
        <v>4911</v>
      </c>
      <c r="I3097" t="s">
        <v>5191</v>
      </c>
      <c r="J3097">
        <v>2</v>
      </c>
      <c r="K3097" t="s">
        <v>5227</v>
      </c>
      <c r="L3097">
        <v>28.5</v>
      </c>
      <c r="M3097">
        <v>14.25</v>
      </c>
      <c r="N3097" t="s">
        <v>5272</v>
      </c>
      <c r="O3097" t="s">
        <v>461</v>
      </c>
    </row>
    <row r="3098" spans="1:15" x14ac:dyDescent="0.3">
      <c r="A3098">
        <v>220810</v>
      </c>
      <c r="B3098">
        <v>105</v>
      </c>
      <c r="C3098" t="s">
        <v>557</v>
      </c>
      <c r="D3098" t="s">
        <v>2571</v>
      </c>
      <c r="E3098" t="s">
        <v>5369</v>
      </c>
      <c r="F3098" s="451">
        <v>46101</v>
      </c>
      <c r="G3098">
        <v>21093</v>
      </c>
      <c r="H3098" t="s">
        <v>4855</v>
      </c>
      <c r="I3098" t="s">
        <v>5191</v>
      </c>
      <c r="J3098">
        <v>20</v>
      </c>
      <c r="K3098" t="s">
        <v>5227</v>
      </c>
      <c r="L3098">
        <v>87.8</v>
      </c>
      <c r="M3098">
        <v>4.3899999999999997</v>
      </c>
      <c r="N3098" t="s">
        <v>5272</v>
      </c>
      <c r="O3098" t="s">
        <v>461</v>
      </c>
    </row>
    <row r="3099" spans="1:15" x14ac:dyDescent="0.3">
      <c r="A3099">
        <v>220810</v>
      </c>
      <c r="B3099">
        <v>105</v>
      </c>
      <c r="C3099" t="s">
        <v>557</v>
      </c>
      <c r="D3099" t="s">
        <v>2571</v>
      </c>
      <c r="E3099" t="s">
        <v>5369</v>
      </c>
      <c r="F3099" s="451">
        <v>46101</v>
      </c>
      <c r="G3099">
        <v>19421</v>
      </c>
      <c r="H3099" t="s">
        <v>4918</v>
      </c>
      <c r="I3099" t="s">
        <v>5191</v>
      </c>
      <c r="J3099">
        <v>1</v>
      </c>
      <c r="K3099" t="s">
        <v>5227</v>
      </c>
      <c r="L3099">
        <v>66.06</v>
      </c>
      <c r="M3099">
        <v>66.06</v>
      </c>
      <c r="N3099" t="s">
        <v>5272</v>
      </c>
      <c r="O3099" t="s">
        <v>461</v>
      </c>
    </row>
    <row r="3100" spans="1:15" x14ac:dyDescent="0.3">
      <c r="A3100">
        <v>220810</v>
      </c>
      <c r="B3100">
        <v>105</v>
      </c>
      <c r="C3100" t="s">
        <v>557</v>
      </c>
      <c r="D3100" t="s">
        <v>2571</v>
      </c>
      <c r="E3100" t="s">
        <v>5369</v>
      </c>
      <c r="F3100" s="451">
        <v>46101</v>
      </c>
      <c r="G3100">
        <v>20809</v>
      </c>
      <c r="H3100" t="s">
        <v>4822</v>
      </c>
      <c r="I3100" t="s">
        <v>5191</v>
      </c>
      <c r="J3100">
        <v>5</v>
      </c>
      <c r="K3100" t="s">
        <v>5227</v>
      </c>
      <c r="L3100">
        <v>149.5</v>
      </c>
      <c r="M3100">
        <v>29.9</v>
      </c>
      <c r="N3100" t="s">
        <v>5272</v>
      </c>
      <c r="O3100" t="s">
        <v>461</v>
      </c>
    </row>
    <row r="3101" spans="1:15" x14ac:dyDescent="0.3">
      <c r="A3101">
        <v>220804</v>
      </c>
      <c r="B3101">
        <v>105</v>
      </c>
      <c r="C3101" t="s">
        <v>557</v>
      </c>
      <c r="D3101" t="s">
        <v>2644</v>
      </c>
      <c r="E3101" t="s">
        <v>3292</v>
      </c>
      <c r="F3101" s="451">
        <v>46082</v>
      </c>
      <c r="G3101">
        <v>17399</v>
      </c>
      <c r="H3101" t="s">
        <v>5244</v>
      </c>
      <c r="I3101" t="s">
        <v>5188</v>
      </c>
      <c r="J3101">
        <v>1</v>
      </c>
      <c r="K3101" t="s">
        <v>5245</v>
      </c>
      <c r="L3101">
        <v>18.899999999999999</v>
      </c>
      <c r="M3101">
        <v>18.899999999999999</v>
      </c>
      <c r="N3101" t="s">
        <v>5370</v>
      </c>
      <c r="O3101" t="s">
        <v>461</v>
      </c>
    </row>
    <row r="3102" spans="1:15" x14ac:dyDescent="0.3">
      <c r="A3102">
        <v>220804</v>
      </c>
      <c r="B3102">
        <v>105</v>
      </c>
      <c r="C3102" t="s">
        <v>557</v>
      </c>
      <c r="D3102" t="s">
        <v>2644</v>
      </c>
      <c r="E3102" t="s">
        <v>3292</v>
      </c>
      <c r="F3102" s="451">
        <v>46082</v>
      </c>
      <c r="G3102">
        <v>17397</v>
      </c>
      <c r="H3102" t="s">
        <v>5246</v>
      </c>
      <c r="I3102" t="s">
        <v>5188</v>
      </c>
      <c r="J3102">
        <v>1</v>
      </c>
      <c r="K3102" t="s">
        <v>5245</v>
      </c>
      <c r="L3102">
        <v>31.82</v>
      </c>
      <c r="M3102">
        <v>31.82</v>
      </c>
      <c r="N3102" t="s">
        <v>5370</v>
      </c>
      <c r="O3102" t="s">
        <v>461</v>
      </c>
    </row>
    <row r="3103" spans="1:15" x14ac:dyDescent="0.3">
      <c r="A3103">
        <v>220804</v>
      </c>
      <c r="B3103">
        <v>105</v>
      </c>
      <c r="C3103" t="s">
        <v>557</v>
      </c>
      <c r="D3103" t="s">
        <v>2644</v>
      </c>
      <c r="E3103" t="s">
        <v>3292</v>
      </c>
      <c r="F3103" s="451">
        <v>46082</v>
      </c>
      <c r="G3103">
        <v>21423</v>
      </c>
      <c r="H3103" t="s">
        <v>5248</v>
      </c>
      <c r="I3103" t="s">
        <v>5188</v>
      </c>
      <c r="J3103">
        <v>1</v>
      </c>
      <c r="K3103" t="s">
        <v>5245</v>
      </c>
      <c r="L3103">
        <v>31.82</v>
      </c>
      <c r="M3103">
        <v>31.82</v>
      </c>
      <c r="N3103" t="s">
        <v>5370</v>
      </c>
      <c r="O3103" t="s">
        <v>461</v>
      </c>
    </row>
    <row r="3104" spans="1:15" x14ac:dyDescent="0.3">
      <c r="A3104">
        <v>220794</v>
      </c>
      <c r="B3104">
        <v>105</v>
      </c>
      <c r="C3104" t="s">
        <v>557</v>
      </c>
      <c r="D3104" t="s">
        <v>2552</v>
      </c>
      <c r="E3104" t="s">
        <v>3293</v>
      </c>
      <c r="F3104" s="451">
        <v>46105</v>
      </c>
      <c r="G3104">
        <v>26627</v>
      </c>
      <c r="H3104" t="s">
        <v>5190</v>
      </c>
      <c r="I3104" t="s">
        <v>5191</v>
      </c>
      <c r="J3104">
        <v>20</v>
      </c>
      <c r="K3104" t="s">
        <v>4744</v>
      </c>
      <c r="L3104">
        <v>158</v>
      </c>
      <c r="M3104">
        <v>7.9</v>
      </c>
      <c r="N3104" t="s">
        <v>5272</v>
      </c>
      <c r="O3104" t="s">
        <v>461</v>
      </c>
    </row>
    <row r="3105" spans="1:15" x14ac:dyDescent="0.3">
      <c r="A3105">
        <v>220793</v>
      </c>
      <c r="B3105">
        <v>105</v>
      </c>
      <c r="C3105" t="s">
        <v>557</v>
      </c>
      <c r="D3105" t="s">
        <v>3294</v>
      </c>
      <c r="E3105" t="s">
        <v>3295</v>
      </c>
      <c r="F3105" s="451">
        <v>46092</v>
      </c>
      <c r="G3105">
        <v>28659</v>
      </c>
      <c r="H3105" t="s">
        <v>5354</v>
      </c>
      <c r="I3105" t="s">
        <v>5188</v>
      </c>
      <c r="J3105">
        <v>3</v>
      </c>
      <c r="K3105" t="s">
        <v>4749</v>
      </c>
      <c r="L3105">
        <v>480</v>
      </c>
      <c r="M3105">
        <v>160</v>
      </c>
      <c r="N3105" t="s">
        <v>5342</v>
      </c>
      <c r="O3105" t="s">
        <v>461</v>
      </c>
    </row>
    <row r="3106" spans="1:15" x14ac:dyDescent="0.3">
      <c r="A3106">
        <v>220791</v>
      </c>
      <c r="B3106">
        <v>105</v>
      </c>
      <c r="C3106" t="s">
        <v>557</v>
      </c>
      <c r="D3106" t="s">
        <v>2798</v>
      </c>
      <c r="E3106" t="s">
        <v>1465</v>
      </c>
      <c r="F3106" s="451">
        <v>46105</v>
      </c>
      <c r="G3106">
        <v>18991</v>
      </c>
      <c r="H3106" t="s">
        <v>4815</v>
      </c>
      <c r="I3106" t="s">
        <v>5191</v>
      </c>
      <c r="J3106">
        <v>10</v>
      </c>
      <c r="K3106" t="s">
        <v>4744</v>
      </c>
      <c r="L3106">
        <v>424.2</v>
      </c>
      <c r="M3106">
        <v>42.42</v>
      </c>
      <c r="N3106" t="s">
        <v>5191</v>
      </c>
      <c r="O3106" t="s">
        <v>461</v>
      </c>
    </row>
    <row r="3107" spans="1:15" x14ac:dyDescent="0.3">
      <c r="A3107">
        <v>220791</v>
      </c>
      <c r="B3107">
        <v>105</v>
      </c>
      <c r="C3107" t="s">
        <v>557</v>
      </c>
      <c r="D3107" t="s">
        <v>2798</v>
      </c>
      <c r="E3107" t="s">
        <v>1465</v>
      </c>
      <c r="F3107" s="451">
        <v>46105</v>
      </c>
      <c r="G3107">
        <v>19353</v>
      </c>
      <c r="H3107" t="s">
        <v>4851</v>
      </c>
      <c r="I3107" t="s">
        <v>5191</v>
      </c>
      <c r="J3107">
        <v>15</v>
      </c>
      <c r="K3107" t="s">
        <v>4744</v>
      </c>
      <c r="L3107">
        <v>369</v>
      </c>
      <c r="M3107">
        <v>24.6</v>
      </c>
      <c r="N3107" t="s">
        <v>5191</v>
      </c>
      <c r="O3107" t="s">
        <v>461</v>
      </c>
    </row>
    <row r="3108" spans="1:15" x14ac:dyDescent="0.3">
      <c r="A3108">
        <v>220791</v>
      </c>
      <c r="B3108">
        <v>105</v>
      </c>
      <c r="C3108" t="s">
        <v>557</v>
      </c>
      <c r="D3108" t="s">
        <v>2798</v>
      </c>
      <c r="E3108" t="s">
        <v>1465</v>
      </c>
      <c r="F3108" s="451">
        <v>46105</v>
      </c>
      <c r="G3108">
        <v>18945</v>
      </c>
      <c r="H3108" t="s">
        <v>4768</v>
      </c>
      <c r="I3108" t="s">
        <v>5191</v>
      </c>
      <c r="J3108">
        <v>20</v>
      </c>
      <c r="K3108" t="s">
        <v>4744</v>
      </c>
      <c r="L3108">
        <v>1165</v>
      </c>
      <c r="M3108">
        <v>58.25</v>
      </c>
      <c r="N3108" t="s">
        <v>5191</v>
      </c>
      <c r="O3108" t="s">
        <v>461</v>
      </c>
    </row>
    <row r="3109" spans="1:15" x14ac:dyDescent="0.3">
      <c r="A3109">
        <v>220787</v>
      </c>
      <c r="B3109">
        <v>105</v>
      </c>
      <c r="C3109" t="s">
        <v>557</v>
      </c>
      <c r="D3109" t="s">
        <v>2554</v>
      </c>
      <c r="E3109" t="s">
        <v>3296</v>
      </c>
      <c r="F3109" s="451">
        <v>46106</v>
      </c>
      <c r="G3109">
        <v>17437</v>
      </c>
      <c r="H3109" t="s">
        <v>5203</v>
      </c>
      <c r="I3109" t="s">
        <v>5188</v>
      </c>
      <c r="J3109">
        <v>8</v>
      </c>
      <c r="K3109" t="s">
        <v>4736</v>
      </c>
      <c r="L3109">
        <v>18.399999999999999</v>
      </c>
      <c r="M3109">
        <v>2.2999999999999998</v>
      </c>
      <c r="N3109" t="s">
        <v>5277</v>
      </c>
      <c r="O3109" t="s">
        <v>461</v>
      </c>
    </row>
    <row r="3110" spans="1:15" x14ac:dyDescent="0.3">
      <c r="A3110">
        <v>220787</v>
      </c>
      <c r="B3110">
        <v>105</v>
      </c>
      <c r="C3110" t="s">
        <v>557</v>
      </c>
      <c r="D3110" t="s">
        <v>2554</v>
      </c>
      <c r="E3110" t="s">
        <v>3296</v>
      </c>
      <c r="F3110" s="451">
        <v>46106</v>
      </c>
      <c r="G3110">
        <v>17190</v>
      </c>
      <c r="H3110" t="s">
        <v>5193</v>
      </c>
      <c r="I3110" t="s">
        <v>5188</v>
      </c>
      <c r="J3110">
        <v>2</v>
      </c>
      <c r="K3110" t="s">
        <v>4738</v>
      </c>
      <c r="L3110">
        <v>16.2</v>
      </c>
      <c r="M3110">
        <v>8.1</v>
      </c>
      <c r="N3110" t="s">
        <v>5277</v>
      </c>
      <c r="O3110" t="s">
        <v>461</v>
      </c>
    </row>
    <row r="3111" spans="1:15" x14ac:dyDescent="0.3">
      <c r="A3111">
        <v>220787</v>
      </c>
      <c r="B3111">
        <v>105</v>
      </c>
      <c r="C3111" t="s">
        <v>557</v>
      </c>
      <c r="D3111" t="s">
        <v>2554</v>
      </c>
      <c r="E3111" t="s">
        <v>3296</v>
      </c>
      <c r="F3111" s="451">
        <v>46106</v>
      </c>
      <c r="G3111">
        <v>17314</v>
      </c>
      <c r="H3111" t="s">
        <v>5208</v>
      </c>
      <c r="I3111" t="s">
        <v>5188</v>
      </c>
      <c r="J3111">
        <v>3</v>
      </c>
      <c r="K3111" t="s">
        <v>4848</v>
      </c>
      <c r="L3111">
        <v>17.670000000000002</v>
      </c>
      <c r="M3111">
        <v>5.89</v>
      </c>
      <c r="N3111" t="s">
        <v>5277</v>
      </c>
      <c r="O3111" t="s">
        <v>461</v>
      </c>
    </row>
    <row r="3112" spans="1:15" x14ac:dyDescent="0.3">
      <c r="A3112">
        <v>220787</v>
      </c>
      <c r="B3112">
        <v>105</v>
      </c>
      <c r="C3112" t="s">
        <v>557</v>
      </c>
      <c r="D3112" t="s">
        <v>2554</v>
      </c>
      <c r="E3112" t="s">
        <v>3296</v>
      </c>
      <c r="F3112" s="451">
        <v>46106</v>
      </c>
      <c r="G3112">
        <v>17404</v>
      </c>
      <c r="H3112" t="s">
        <v>5295</v>
      </c>
      <c r="I3112" t="s">
        <v>5188</v>
      </c>
      <c r="J3112">
        <v>1</v>
      </c>
      <c r="K3112" t="s">
        <v>4736</v>
      </c>
      <c r="L3112">
        <v>18.43</v>
      </c>
      <c r="M3112">
        <v>18.43</v>
      </c>
      <c r="N3112" t="s">
        <v>5277</v>
      </c>
      <c r="O3112" t="s">
        <v>461</v>
      </c>
    </row>
    <row r="3113" spans="1:15" x14ac:dyDescent="0.3">
      <c r="A3113">
        <v>220787</v>
      </c>
      <c r="B3113">
        <v>105</v>
      </c>
      <c r="C3113" t="s">
        <v>557</v>
      </c>
      <c r="D3113" t="s">
        <v>2554</v>
      </c>
      <c r="E3113" t="s">
        <v>3296</v>
      </c>
      <c r="F3113" s="451">
        <v>46106</v>
      </c>
      <c r="G3113">
        <v>17554</v>
      </c>
      <c r="H3113" t="s">
        <v>5320</v>
      </c>
      <c r="I3113" t="s">
        <v>5188</v>
      </c>
      <c r="J3113">
        <v>1</v>
      </c>
      <c r="K3113" t="s">
        <v>4749</v>
      </c>
      <c r="L3113">
        <v>185.12</v>
      </c>
      <c r="M3113">
        <v>185.12</v>
      </c>
      <c r="N3113" t="s">
        <v>5277</v>
      </c>
      <c r="O3113" t="s">
        <v>461</v>
      </c>
    </row>
    <row r="3114" spans="1:15" x14ac:dyDescent="0.3">
      <c r="A3114">
        <v>220787</v>
      </c>
      <c r="B3114">
        <v>105</v>
      </c>
      <c r="C3114" t="s">
        <v>557</v>
      </c>
      <c r="D3114" t="s">
        <v>2554</v>
      </c>
      <c r="E3114" t="s">
        <v>3296</v>
      </c>
      <c r="F3114" s="451">
        <v>46106</v>
      </c>
      <c r="G3114">
        <v>17196</v>
      </c>
      <c r="H3114" t="s">
        <v>5258</v>
      </c>
      <c r="I3114" t="s">
        <v>5188</v>
      </c>
      <c r="J3114">
        <v>1</v>
      </c>
      <c r="K3114" t="s">
        <v>4738</v>
      </c>
      <c r="L3114">
        <v>6.38</v>
      </c>
      <c r="M3114">
        <v>6.38</v>
      </c>
      <c r="N3114" t="s">
        <v>5277</v>
      </c>
      <c r="O3114" t="s">
        <v>461</v>
      </c>
    </row>
    <row r="3115" spans="1:15" x14ac:dyDescent="0.3">
      <c r="A3115">
        <v>220787</v>
      </c>
      <c r="B3115">
        <v>105</v>
      </c>
      <c r="C3115" t="s">
        <v>557</v>
      </c>
      <c r="D3115" t="s">
        <v>2554</v>
      </c>
      <c r="E3115" t="s">
        <v>3296</v>
      </c>
      <c r="F3115" s="451">
        <v>46106</v>
      </c>
      <c r="G3115">
        <v>17266</v>
      </c>
      <c r="H3115" t="s">
        <v>5192</v>
      </c>
      <c r="I3115" t="s">
        <v>5188</v>
      </c>
      <c r="J3115">
        <v>4</v>
      </c>
      <c r="K3115" t="s">
        <v>4736</v>
      </c>
      <c r="L3115">
        <v>18.600000000000001</v>
      </c>
      <c r="M3115">
        <v>4.6500000000000004</v>
      </c>
      <c r="N3115" t="s">
        <v>5277</v>
      </c>
      <c r="O3115" t="s">
        <v>461</v>
      </c>
    </row>
    <row r="3116" spans="1:15" x14ac:dyDescent="0.3">
      <c r="A3116">
        <v>220787</v>
      </c>
      <c r="B3116">
        <v>105</v>
      </c>
      <c r="C3116" t="s">
        <v>557</v>
      </c>
      <c r="D3116" t="s">
        <v>2554</v>
      </c>
      <c r="E3116" t="s">
        <v>3296</v>
      </c>
      <c r="F3116" s="451">
        <v>46106</v>
      </c>
      <c r="G3116">
        <v>17215</v>
      </c>
      <c r="H3116" t="s">
        <v>5299</v>
      </c>
      <c r="I3116" t="s">
        <v>5188</v>
      </c>
      <c r="J3116">
        <v>7</v>
      </c>
      <c r="K3116" t="s">
        <v>4848</v>
      </c>
      <c r="L3116">
        <v>139.93</v>
      </c>
      <c r="M3116">
        <v>19.989999999999998</v>
      </c>
      <c r="N3116" t="s">
        <v>5277</v>
      </c>
      <c r="O3116" t="s">
        <v>461</v>
      </c>
    </row>
    <row r="3117" spans="1:15" x14ac:dyDescent="0.3">
      <c r="A3117">
        <v>220787</v>
      </c>
      <c r="B3117">
        <v>105</v>
      </c>
      <c r="C3117" t="s">
        <v>557</v>
      </c>
      <c r="D3117" t="s">
        <v>2554</v>
      </c>
      <c r="E3117" t="s">
        <v>3296</v>
      </c>
      <c r="F3117" s="451">
        <v>46106</v>
      </c>
      <c r="G3117">
        <v>21783</v>
      </c>
      <c r="H3117" t="s">
        <v>5210</v>
      </c>
      <c r="I3117" t="s">
        <v>5205</v>
      </c>
      <c r="J3117">
        <v>2</v>
      </c>
      <c r="K3117" t="s">
        <v>4736</v>
      </c>
      <c r="L3117">
        <v>31</v>
      </c>
      <c r="M3117">
        <v>15.5</v>
      </c>
      <c r="N3117" t="s">
        <v>5277</v>
      </c>
      <c r="O3117" t="s">
        <v>461</v>
      </c>
    </row>
    <row r="3118" spans="1:15" x14ac:dyDescent="0.3">
      <c r="A3118">
        <v>220787</v>
      </c>
      <c r="B3118">
        <v>105</v>
      </c>
      <c r="C3118" t="s">
        <v>557</v>
      </c>
      <c r="D3118" t="s">
        <v>2554</v>
      </c>
      <c r="E3118" t="s">
        <v>3296</v>
      </c>
      <c r="F3118" s="451">
        <v>46106</v>
      </c>
      <c r="G3118">
        <v>23971</v>
      </c>
      <c r="H3118" t="s">
        <v>5296</v>
      </c>
      <c r="I3118" t="s">
        <v>5232</v>
      </c>
      <c r="J3118">
        <v>1</v>
      </c>
      <c r="K3118" t="s">
        <v>4736</v>
      </c>
      <c r="L3118">
        <v>10.5</v>
      </c>
      <c r="M3118">
        <v>10.5</v>
      </c>
      <c r="N3118" t="s">
        <v>5277</v>
      </c>
      <c r="O3118" t="s">
        <v>461</v>
      </c>
    </row>
    <row r="3119" spans="1:15" x14ac:dyDescent="0.3">
      <c r="A3119">
        <v>220787</v>
      </c>
      <c r="B3119">
        <v>105</v>
      </c>
      <c r="C3119" t="s">
        <v>557</v>
      </c>
      <c r="D3119" t="s">
        <v>2554</v>
      </c>
      <c r="E3119" t="s">
        <v>3296</v>
      </c>
      <c r="F3119" s="451">
        <v>46106</v>
      </c>
      <c r="G3119">
        <v>24787</v>
      </c>
      <c r="H3119" t="s">
        <v>5212</v>
      </c>
      <c r="I3119" t="s">
        <v>5188</v>
      </c>
      <c r="J3119">
        <v>1</v>
      </c>
      <c r="K3119" t="s">
        <v>4738</v>
      </c>
      <c r="L3119">
        <v>82.21</v>
      </c>
      <c r="M3119">
        <v>82.21</v>
      </c>
      <c r="N3119" t="s">
        <v>5277</v>
      </c>
      <c r="O3119" t="s">
        <v>461</v>
      </c>
    </row>
    <row r="3120" spans="1:15" x14ac:dyDescent="0.3">
      <c r="A3120">
        <v>220787</v>
      </c>
      <c r="B3120">
        <v>105</v>
      </c>
      <c r="C3120" t="s">
        <v>557</v>
      </c>
      <c r="D3120" t="s">
        <v>2554</v>
      </c>
      <c r="E3120" t="s">
        <v>3296</v>
      </c>
      <c r="F3120" s="451">
        <v>46106</v>
      </c>
      <c r="G3120">
        <v>24596</v>
      </c>
      <c r="H3120" t="s">
        <v>5197</v>
      </c>
      <c r="I3120" t="s">
        <v>5188</v>
      </c>
      <c r="J3120">
        <v>2</v>
      </c>
      <c r="K3120" t="s">
        <v>4736</v>
      </c>
      <c r="L3120">
        <v>30</v>
      </c>
      <c r="M3120">
        <v>15</v>
      </c>
      <c r="N3120" t="s">
        <v>5277</v>
      </c>
      <c r="O3120" t="s">
        <v>461</v>
      </c>
    </row>
    <row r="3121" spans="1:15" x14ac:dyDescent="0.3">
      <c r="A3121">
        <v>220787</v>
      </c>
      <c r="B3121">
        <v>105</v>
      </c>
      <c r="C3121" t="s">
        <v>557</v>
      </c>
      <c r="D3121" t="s">
        <v>2554</v>
      </c>
      <c r="E3121" t="s">
        <v>3296</v>
      </c>
      <c r="F3121" s="451">
        <v>46106</v>
      </c>
      <c r="G3121">
        <v>17182</v>
      </c>
      <c r="H3121" t="s">
        <v>5201</v>
      </c>
      <c r="I3121" t="s">
        <v>5188</v>
      </c>
      <c r="J3121">
        <v>1</v>
      </c>
      <c r="K3121" t="s">
        <v>4848</v>
      </c>
      <c r="L3121">
        <v>38.979999999999997</v>
      </c>
      <c r="M3121">
        <v>38.979999999999997</v>
      </c>
      <c r="N3121" t="s">
        <v>5277</v>
      </c>
      <c r="O3121" t="s">
        <v>461</v>
      </c>
    </row>
    <row r="3122" spans="1:15" x14ac:dyDescent="0.3">
      <c r="A3122">
        <v>220787</v>
      </c>
      <c r="B3122">
        <v>105</v>
      </c>
      <c r="C3122" t="s">
        <v>557</v>
      </c>
      <c r="D3122" t="s">
        <v>2554</v>
      </c>
      <c r="E3122" t="s">
        <v>3296</v>
      </c>
      <c r="F3122" s="451">
        <v>46106</v>
      </c>
      <c r="G3122">
        <v>17418</v>
      </c>
      <c r="H3122" t="s">
        <v>5207</v>
      </c>
      <c r="I3122" t="s">
        <v>5188</v>
      </c>
      <c r="J3122">
        <v>3</v>
      </c>
      <c r="K3122" t="s">
        <v>4749</v>
      </c>
      <c r="L3122">
        <v>176.7</v>
      </c>
      <c r="M3122">
        <v>58.9</v>
      </c>
      <c r="N3122" t="s">
        <v>5277</v>
      </c>
      <c r="O3122" t="s">
        <v>461</v>
      </c>
    </row>
    <row r="3123" spans="1:15" x14ac:dyDescent="0.3">
      <c r="A3123">
        <v>220787</v>
      </c>
      <c r="B3123">
        <v>105</v>
      </c>
      <c r="C3123" t="s">
        <v>557</v>
      </c>
      <c r="D3123" t="s">
        <v>2554</v>
      </c>
      <c r="E3123" t="s">
        <v>3296</v>
      </c>
      <c r="F3123" s="451">
        <v>46106</v>
      </c>
      <c r="G3123">
        <v>17416</v>
      </c>
      <c r="H3123" t="s">
        <v>5209</v>
      </c>
      <c r="I3123" t="s">
        <v>5188</v>
      </c>
      <c r="J3123">
        <v>2</v>
      </c>
      <c r="K3123" t="s">
        <v>4749</v>
      </c>
      <c r="L3123">
        <v>97.16</v>
      </c>
      <c r="M3123">
        <v>48.58</v>
      </c>
      <c r="N3123" t="s">
        <v>5277</v>
      </c>
      <c r="O3123" t="s">
        <v>461</v>
      </c>
    </row>
    <row r="3124" spans="1:15" x14ac:dyDescent="0.3">
      <c r="A3124">
        <v>220787</v>
      </c>
      <c r="B3124">
        <v>105</v>
      </c>
      <c r="C3124" t="s">
        <v>557</v>
      </c>
      <c r="D3124" t="s">
        <v>2554</v>
      </c>
      <c r="E3124" t="s">
        <v>3296</v>
      </c>
      <c r="F3124" s="451">
        <v>46106</v>
      </c>
      <c r="G3124">
        <v>24505</v>
      </c>
      <c r="H3124" t="s">
        <v>5198</v>
      </c>
      <c r="I3124" t="s">
        <v>5188</v>
      </c>
      <c r="J3124">
        <v>4</v>
      </c>
      <c r="K3124" t="s">
        <v>4738</v>
      </c>
      <c r="L3124">
        <v>19.920000000000002</v>
      </c>
      <c r="M3124">
        <v>4.9800000000000004</v>
      </c>
      <c r="N3124" t="s">
        <v>5277</v>
      </c>
      <c r="O3124" t="s">
        <v>461</v>
      </c>
    </row>
    <row r="3125" spans="1:15" x14ac:dyDescent="0.3">
      <c r="A3125">
        <v>220787</v>
      </c>
      <c r="B3125">
        <v>105</v>
      </c>
      <c r="C3125" t="s">
        <v>557</v>
      </c>
      <c r="D3125" t="s">
        <v>2554</v>
      </c>
      <c r="E3125" t="s">
        <v>3296</v>
      </c>
      <c r="F3125" s="451">
        <v>46106</v>
      </c>
      <c r="G3125">
        <v>27798</v>
      </c>
      <c r="H3125" t="s">
        <v>5257</v>
      </c>
      <c r="I3125" t="s">
        <v>5215</v>
      </c>
      <c r="J3125">
        <v>1</v>
      </c>
      <c r="K3125" t="s">
        <v>5245</v>
      </c>
      <c r="L3125">
        <v>175</v>
      </c>
      <c r="M3125">
        <v>175</v>
      </c>
      <c r="N3125" t="s">
        <v>5277</v>
      </c>
      <c r="O3125" t="s">
        <v>461</v>
      </c>
    </row>
    <row r="3126" spans="1:15" x14ac:dyDescent="0.3">
      <c r="A3126">
        <v>220787</v>
      </c>
      <c r="B3126">
        <v>105</v>
      </c>
      <c r="C3126" t="s">
        <v>557</v>
      </c>
      <c r="D3126" t="s">
        <v>2554</v>
      </c>
      <c r="E3126" t="s">
        <v>3296</v>
      </c>
      <c r="F3126" s="451">
        <v>46106</v>
      </c>
      <c r="G3126">
        <v>26554</v>
      </c>
      <c r="H3126" t="s">
        <v>5319</v>
      </c>
      <c r="I3126" t="s">
        <v>5215</v>
      </c>
      <c r="J3126">
        <v>1</v>
      </c>
      <c r="K3126" t="s">
        <v>4749</v>
      </c>
      <c r="L3126">
        <v>258</v>
      </c>
      <c r="M3126">
        <v>258</v>
      </c>
      <c r="N3126" t="s">
        <v>5277</v>
      </c>
      <c r="O3126" t="s">
        <v>461</v>
      </c>
    </row>
    <row r="3127" spans="1:15" x14ac:dyDescent="0.3">
      <c r="A3127">
        <v>220787</v>
      </c>
      <c r="B3127">
        <v>105</v>
      </c>
      <c r="C3127" t="s">
        <v>557</v>
      </c>
      <c r="D3127" t="s">
        <v>2554</v>
      </c>
      <c r="E3127" t="s">
        <v>3296</v>
      </c>
      <c r="F3127" s="451">
        <v>46106</v>
      </c>
      <c r="G3127">
        <v>28298</v>
      </c>
      <c r="H3127" t="s">
        <v>5261</v>
      </c>
      <c r="I3127" t="s">
        <v>5188</v>
      </c>
      <c r="J3127">
        <v>2</v>
      </c>
      <c r="K3127" t="s">
        <v>4749</v>
      </c>
      <c r="L3127">
        <v>137.28</v>
      </c>
      <c r="M3127">
        <v>68.64</v>
      </c>
      <c r="N3127" t="s">
        <v>5277</v>
      </c>
      <c r="O3127" t="s">
        <v>461</v>
      </c>
    </row>
    <row r="3128" spans="1:15" x14ac:dyDescent="0.3">
      <c r="A3128">
        <v>220786</v>
      </c>
      <c r="B3128">
        <v>105</v>
      </c>
      <c r="C3128" t="s">
        <v>557</v>
      </c>
      <c r="D3128" t="s">
        <v>2557</v>
      </c>
      <c r="E3128" t="s">
        <v>3297</v>
      </c>
      <c r="F3128" s="451">
        <v>46106</v>
      </c>
      <c r="G3128">
        <v>17465</v>
      </c>
      <c r="H3128" t="s">
        <v>5279</v>
      </c>
      <c r="I3128" t="s">
        <v>5215</v>
      </c>
      <c r="J3128">
        <v>1</v>
      </c>
      <c r="K3128" t="s">
        <v>4749</v>
      </c>
      <c r="L3128">
        <v>670.38</v>
      </c>
      <c r="M3128">
        <v>670.38</v>
      </c>
      <c r="N3128" t="s">
        <v>5277</v>
      </c>
      <c r="O3128" t="s">
        <v>461</v>
      </c>
    </row>
    <row r="3129" spans="1:15" x14ac:dyDescent="0.3">
      <c r="A3129">
        <v>220783</v>
      </c>
      <c r="B3129">
        <v>105</v>
      </c>
      <c r="C3129" t="s">
        <v>557</v>
      </c>
      <c r="D3129" t="s">
        <v>2779</v>
      </c>
      <c r="E3129" t="s">
        <v>3298</v>
      </c>
      <c r="F3129" s="451">
        <v>46104</v>
      </c>
      <c r="G3129">
        <v>26679</v>
      </c>
      <c r="H3129" t="s">
        <v>4791</v>
      </c>
      <c r="I3129" t="s">
        <v>5191</v>
      </c>
      <c r="J3129">
        <v>31.93</v>
      </c>
      <c r="K3129" t="s">
        <v>4744</v>
      </c>
      <c r="L3129">
        <v>890.85</v>
      </c>
      <c r="M3129">
        <v>27.900093999999999</v>
      </c>
      <c r="N3129" t="s">
        <v>5272</v>
      </c>
      <c r="O3129" t="s">
        <v>461</v>
      </c>
    </row>
    <row r="3130" spans="1:15" x14ac:dyDescent="0.3">
      <c r="A3130">
        <v>220781</v>
      </c>
      <c r="B3130">
        <v>105</v>
      </c>
      <c r="C3130" t="s">
        <v>557</v>
      </c>
      <c r="D3130" t="s">
        <v>2991</v>
      </c>
      <c r="E3130" t="s">
        <v>3299</v>
      </c>
      <c r="F3130" s="451">
        <v>46104</v>
      </c>
      <c r="G3130">
        <v>17958</v>
      </c>
      <c r="H3130" t="s">
        <v>5076</v>
      </c>
      <c r="I3130" t="s">
        <v>5222</v>
      </c>
      <c r="J3130">
        <v>20</v>
      </c>
      <c r="K3130" t="s">
        <v>4738</v>
      </c>
      <c r="L3130">
        <v>325.8</v>
      </c>
      <c r="M3130">
        <v>16.29</v>
      </c>
      <c r="N3130" t="s">
        <v>5222</v>
      </c>
      <c r="O3130" t="s">
        <v>461</v>
      </c>
    </row>
    <row r="3131" spans="1:15" x14ac:dyDescent="0.3">
      <c r="A3131">
        <v>220781</v>
      </c>
      <c r="B3131">
        <v>105</v>
      </c>
      <c r="C3131" t="s">
        <v>557</v>
      </c>
      <c r="D3131" t="s">
        <v>2991</v>
      </c>
      <c r="E3131" t="s">
        <v>3299</v>
      </c>
      <c r="F3131" s="451">
        <v>46104</v>
      </c>
      <c r="G3131">
        <v>17950</v>
      </c>
      <c r="H3131" t="s">
        <v>5091</v>
      </c>
      <c r="I3131" t="s">
        <v>5222</v>
      </c>
      <c r="J3131">
        <v>20</v>
      </c>
      <c r="K3131" t="s">
        <v>4738</v>
      </c>
      <c r="L3131">
        <v>339.8</v>
      </c>
      <c r="M3131">
        <v>16.989999999999998</v>
      </c>
      <c r="N3131" t="s">
        <v>5222</v>
      </c>
      <c r="O3131" t="s">
        <v>461</v>
      </c>
    </row>
    <row r="3132" spans="1:15" x14ac:dyDescent="0.3">
      <c r="A3132">
        <v>220779</v>
      </c>
      <c r="B3132">
        <v>105</v>
      </c>
      <c r="C3132" t="s">
        <v>557</v>
      </c>
      <c r="D3132" t="s">
        <v>2653</v>
      </c>
      <c r="E3132" t="s">
        <v>3300</v>
      </c>
      <c r="F3132" s="451">
        <v>46104</v>
      </c>
      <c r="G3132">
        <v>22734</v>
      </c>
      <c r="H3132" t="s">
        <v>5163</v>
      </c>
      <c r="I3132" t="s">
        <v>5191</v>
      </c>
      <c r="J3132">
        <v>1.05</v>
      </c>
      <c r="K3132" t="s">
        <v>4744</v>
      </c>
      <c r="L3132">
        <v>103.75</v>
      </c>
      <c r="M3132">
        <v>98.809523999999996</v>
      </c>
      <c r="N3132" t="s">
        <v>5272</v>
      </c>
      <c r="O3132" t="s">
        <v>461</v>
      </c>
    </row>
    <row r="3133" spans="1:15" x14ac:dyDescent="0.3">
      <c r="A3133">
        <v>220777</v>
      </c>
      <c r="B3133">
        <v>105</v>
      </c>
      <c r="C3133" t="s">
        <v>557</v>
      </c>
      <c r="D3133" t="s">
        <v>2593</v>
      </c>
      <c r="E3133" t="s">
        <v>3301</v>
      </c>
      <c r="F3133" s="451">
        <v>46094</v>
      </c>
      <c r="G3133">
        <v>24256</v>
      </c>
      <c r="H3133" t="s">
        <v>4773</v>
      </c>
      <c r="I3133" t="s">
        <v>5191</v>
      </c>
      <c r="J3133">
        <v>20</v>
      </c>
      <c r="K3133" t="s">
        <v>4744</v>
      </c>
      <c r="L3133">
        <v>760</v>
      </c>
      <c r="M3133">
        <v>38</v>
      </c>
      <c r="N3133" t="s">
        <v>5191</v>
      </c>
      <c r="O3133" t="s">
        <v>461</v>
      </c>
    </row>
    <row r="3134" spans="1:15" x14ac:dyDescent="0.3">
      <c r="A3134">
        <v>220774</v>
      </c>
      <c r="B3134">
        <v>105</v>
      </c>
      <c r="C3134" t="s">
        <v>557</v>
      </c>
      <c r="D3134" t="s">
        <v>2864</v>
      </c>
      <c r="E3134" t="s">
        <v>3302</v>
      </c>
      <c r="F3134" s="451">
        <v>46083</v>
      </c>
      <c r="G3134">
        <v>17046</v>
      </c>
      <c r="H3134" t="s">
        <v>5194</v>
      </c>
      <c r="I3134" t="s">
        <v>5188</v>
      </c>
      <c r="J3134">
        <v>1</v>
      </c>
      <c r="K3134" t="s">
        <v>4736</v>
      </c>
      <c r="L3134">
        <v>33.9</v>
      </c>
      <c r="M3134">
        <v>33.9</v>
      </c>
      <c r="N3134" t="s">
        <v>5277</v>
      </c>
      <c r="O3134" t="s">
        <v>461</v>
      </c>
    </row>
    <row r="3135" spans="1:15" x14ac:dyDescent="0.3">
      <c r="A3135">
        <v>220774</v>
      </c>
      <c r="B3135">
        <v>105</v>
      </c>
      <c r="C3135" t="s">
        <v>557</v>
      </c>
      <c r="D3135" t="s">
        <v>2864</v>
      </c>
      <c r="E3135" t="s">
        <v>3302</v>
      </c>
      <c r="F3135" s="451">
        <v>46083</v>
      </c>
      <c r="G3135">
        <v>17573</v>
      </c>
      <c r="H3135" t="s">
        <v>5306</v>
      </c>
      <c r="I3135" t="s">
        <v>5188</v>
      </c>
      <c r="J3135">
        <v>1</v>
      </c>
      <c r="K3135" t="s">
        <v>4749</v>
      </c>
      <c r="L3135">
        <v>74.900000000000006</v>
      </c>
      <c r="M3135">
        <v>74.900000000000006</v>
      </c>
      <c r="N3135" t="s">
        <v>5277</v>
      </c>
      <c r="O3135" t="s">
        <v>461</v>
      </c>
    </row>
    <row r="3136" spans="1:15" x14ac:dyDescent="0.3">
      <c r="A3136">
        <v>220774</v>
      </c>
      <c r="B3136">
        <v>105</v>
      </c>
      <c r="C3136" t="s">
        <v>557</v>
      </c>
      <c r="D3136" t="s">
        <v>2864</v>
      </c>
      <c r="E3136" t="s">
        <v>3302</v>
      </c>
      <c r="F3136" s="451">
        <v>46083</v>
      </c>
      <c r="G3136">
        <v>17361</v>
      </c>
      <c r="H3136" t="s">
        <v>5309</v>
      </c>
      <c r="I3136" t="s">
        <v>5188</v>
      </c>
      <c r="J3136">
        <v>1</v>
      </c>
      <c r="K3136" t="s">
        <v>4738</v>
      </c>
      <c r="L3136">
        <v>7.45</v>
      </c>
      <c r="M3136">
        <v>7.45</v>
      </c>
      <c r="N3136" t="s">
        <v>5277</v>
      </c>
      <c r="O3136" t="s">
        <v>461</v>
      </c>
    </row>
    <row r="3137" spans="1:15" x14ac:dyDescent="0.3">
      <c r="A3137">
        <v>220772</v>
      </c>
      <c r="B3137">
        <v>105</v>
      </c>
      <c r="C3137" t="s">
        <v>557</v>
      </c>
      <c r="D3137" t="s">
        <v>2563</v>
      </c>
      <c r="E3137" t="s">
        <v>3303</v>
      </c>
      <c r="F3137" s="451">
        <v>46093</v>
      </c>
      <c r="G3137">
        <v>19623</v>
      </c>
      <c r="H3137" t="s">
        <v>4764</v>
      </c>
      <c r="I3137" t="s">
        <v>5191</v>
      </c>
      <c r="J3137">
        <v>7.01</v>
      </c>
      <c r="K3137" t="s">
        <v>4744</v>
      </c>
      <c r="L3137">
        <v>25.43</v>
      </c>
      <c r="M3137">
        <v>3.627675</v>
      </c>
      <c r="N3137" t="s">
        <v>5272</v>
      </c>
      <c r="O3137" t="s">
        <v>461</v>
      </c>
    </row>
    <row r="3138" spans="1:15" x14ac:dyDescent="0.3">
      <c r="A3138">
        <v>220772</v>
      </c>
      <c r="B3138">
        <v>105</v>
      </c>
      <c r="C3138" t="s">
        <v>557</v>
      </c>
      <c r="D3138" t="s">
        <v>2563</v>
      </c>
      <c r="E3138" t="s">
        <v>3303</v>
      </c>
      <c r="F3138" s="451">
        <v>46093</v>
      </c>
      <c r="G3138">
        <v>19658</v>
      </c>
      <c r="H3138" t="s">
        <v>4784</v>
      </c>
      <c r="I3138" t="s">
        <v>5191</v>
      </c>
      <c r="J3138">
        <v>7.2</v>
      </c>
      <c r="K3138" t="s">
        <v>4744</v>
      </c>
      <c r="L3138">
        <v>20.88</v>
      </c>
      <c r="M3138">
        <v>2.9</v>
      </c>
      <c r="N3138" t="s">
        <v>5272</v>
      </c>
      <c r="O3138" t="s">
        <v>461</v>
      </c>
    </row>
    <row r="3139" spans="1:15" x14ac:dyDescent="0.3">
      <c r="A3139">
        <v>220772</v>
      </c>
      <c r="B3139">
        <v>105</v>
      </c>
      <c r="C3139" t="s">
        <v>557</v>
      </c>
      <c r="D3139" t="s">
        <v>2563</v>
      </c>
      <c r="E3139" t="s">
        <v>3303</v>
      </c>
      <c r="F3139" s="451">
        <v>46093</v>
      </c>
      <c r="G3139">
        <v>19728</v>
      </c>
      <c r="H3139" t="s">
        <v>5106</v>
      </c>
      <c r="I3139" t="s">
        <v>5191</v>
      </c>
      <c r="J3139">
        <v>1.6</v>
      </c>
      <c r="K3139" t="s">
        <v>4744</v>
      </c>
      <c r="L3139">
        <v>18.45</v>
      </c>
      <c r="M3139">
        <v>11.53125</v>
      </c>
      <c r="N3139" t="s">
        <v>5272</v>
      </c>
      <c r="O3139" t="s">
        <v>461</v>
      </c>
    </row>
    <row r="3140" spans="1:15" x14ac:dyDescent="0.3">
      <c r="A3140">
        <v>220772</v>
      </c>
      <c r="B3140">
        <v>105</v>
      </c>
      <c r="C3140" t="s">
        <v>557</v>
      </c>
      <c r="D3140" t="s">
        <v>2563</v>
      </c>
      <c r="E3140" t="s">
        <v>3303</v>
      </c>
      <c r="F3140" s="451">
        <v>46093</v>
      </c>
      <c r="G3140">
        <v>23228</v>
      </c>
      <c r="H3140" t="s">
        <v>4782</v>
      </c>
      <c r="I3140" t="s">
        <v>5191</v>
      </c>
      <c r="J3140">
        <v>5</v>
      </c>
      <c r="K3140" t="s">
        <v>4744</v>
      </c>
      <c r="L3140">
        <v>32.65</v>
      </c>
      <c r="M3140">
        <v>6.53</v>
      </c>
      <c r="N3140" t="s">
        <v>5272</v>
      </c>
      <c r="O3140" t="s">
        <v>461</v>
      </c>
    </row>
    <row r="3141" spans="1:15" x14ac:dyDescent="0.3">
      <c r="A3141">
        <v>220772</v>
      </c>
      <c r="B3141">
        <v>105</v>
      </c>
      <c r="C3141" t="s">
        <v>557</v>
      </c>
      <c r="D3141" t="s">
        <v>2563</v>
      </c>
      <c r="E3141" t="s">
        <v>3303</v>
      </c>
      <c r="F3141" s="451">
        <v>46093</v>
      </c>
      <c r="G3141">
        <v>23238</v>
      </c>
      <c r="H3141" t="s">
        <v>4934</v>
      </c>
      <c r="I3141" t="s">
        <v>5191</v>
      </c>
      <c r="J3141">
        <v>2.2999999999999998</v>
      </c>
      <c r="K3141" t="s">
        <v>4744</v>
      </c>
      <c r="L3141">
        <v>51.86</v>
      </c>
      <c r="M3141">
        <v>22.547826000000001</v>
      </c>
      <c r="N3141" t="s">
        <v>5272</v>
      </c>
      <c r="O3141" t="s">
        <v>461</v>
      </c>
    </row>
    <row r="3142" spans="1:15" x14ac:dyDescent="0.3">
      <c r="A3142">
        <v>220772</v>
      </c>
      <c r="B3142">
        <v>105</v>
      </c>
      <c r="C3142" t="s">
        <v>557</v>
      </c>
      <c r="D3142" t="s">
        <v>2563</v>
      </c>
      <c r="E3142" t="s">
        <v>3303</v>
      </c>
      <c r="F3142" s="451">
        <v>46093</v>
      </c>
      <c r="G3142">
        <v>23389</v>
      </c>
      <c r="H3142" t="s">
        <v>4960</v>
      </c>
      <c r="I3142" t="s">
        <v>5191</v>
      </c>
      <c r="J3142">
        <v>5.3</v>
      </c>
      <c r="K3142" t="s">
        <v>4744</v>
      </c>
      <c r="L3142">
        <v>24.27</v>
      </c>
      <c r="M3142">
        <v>4.5792450000000002</v>
      </c>
      <c r="N3142" t="s">
        <v>5272</v>
      </c>
      <c r="O3142" t="s">
        <v>461</v>
      </c>
    </row>
    <row r="3143" spans="1:15" x14ac:dyDescent="0.3">
      <c r="A3143">
        <v>220772</v>
      </c>
      <c r="B3143">
        <v>105</v>
      </c>
      <c r="C3143" t="s">
        <v>557</v>
      </c>
      <c r="D3143" t="s">
        <v>2563</v>
      </c>
      <c r="E3143" t="s">
        <v>3303</v>
      </c>
      <c r="F3143" s="451">
        <v>46093</v>
      </c>
      <c r="G3143">
        <v>23095</v>
      </c>
      <c r="H3143" t="s">
        <v>4741</v>
      </c>
      <c r="I3143" t="s">
        <v>5191</v>
      </c>
      <c r="J3143">
        <v>90</v>
      </c>
      <c r="K3143" t="s">
        <v>4736</v>
      </c>
      <c r="L3143">
        <v>119.7</v>
      </c>
      <c r="M3143">
        <v>1.33</v>
      </c>
      <c r="N3143" t="s">
        <v>5272</v>
      </c>
      <c r="O3143" t="s">
        <v>461</v>
      </c>
    </row>
    <row r="3144" spans="1:15" x14ac:dyDescent="0.3">
      <c r="A3144">
        <v>220770</v>
      </c>
      <c r="B3144">
        <v>105</v>
      </c>
      <c r="C3144" t="s">
        <v>557</v>
      </c>
      <c r="D3144" t="s">
        <v>2563</v>
      </c>
      <c r="E3144" t="s">
        <v>3304</v>
      </c>
      <c r="F3144" s="451">
        <v>46094</v>
      </c>
      <c r="G3144">
        <v>19734</v>
      </c>
      <c r="H3144" t="s">
        <v>4833</v>
      </c>
      <c r="I3144" t="s">
        <v>5191</v>
      </c>
      <c r="J3144">
        <v>3</v>
      </c>
      <c r="K3144" t="s">
        <v>4744</v>
      </c>
      <c r="L3144">
        <v>39.15</v>
      </c>
      <c r="M3144">
        <v>13.05</v>
      </c>
      <c r="N3144" t="s">
        <v>5272</v>
      </c>
      <c r="O3144" t="s">
        <v>461</v>
      </c>
    </row>
    <row r="3145" spans="1:15" x14ac:dyDescent="0.3">
      <c r="A3145">
        <v>220759</v>
      </c>
      <c r="B3145">
        <v>105</v>
      </c>
      <c r="C3145" t="s">
        <v>557</v>
      </c>
      <c r="D3145" t="s">
        <v>2565</v>
      </c>
      <c r="E3145" t="s">
        <v>3305</v>
      </c>
      <c r="F3145" s="451">
        <v>46104</v>
      </c>
      <c r="G3145">
        <v>18359</v>
      </c>
      <c r="H3145" t="s">
        <v>4921</v>
      </c>
      <c r="I3145" t="s">
        <v>5222</v>
      </c>
      <c r="J3145">
        <v>3</v>
      </c>
      <c r="K3145" t="s">
        <v>4805</v>
      </c>
      <c r="L3145">
        <v>284.39999999999998</v>
      </c>
      <c r="M3145">
        <v>94.8</v>
      </c>
      <c r="N3145" t="s">
        <v>5222</v>
      </c>
      <c r="O3145" t="s">
        <v>461</v>
      </c>
    </row>
    <row r="3146" spans="1:15" x14ac:dyDescent="0.3">
      <c r="A3146">
        <v>220757</v>
      </c>
      <c r="B3146">
        <v>105</v>
      </c>
      <c r="C3146" t="s">
        <v>557</v>
      </c>
      <c r="D3146" t="s">
        <v>2682</v>
      </c>
      <c r="E3146" t="s">
        <v>3306</v>
      </c>
      <c r="F3146" s="451">
        <v>46105</v>
      </c>
      <c r="G3146">
        <v>20007</v>
      </c>
      <c r="H3146" t="s">
        <v>5101</v>
      </c>
      <c r="I3146" t="s">
        <v>5191</v>
      </c>
      <c r="J3146">
        <v>1</v>
      </c>
      <c r="K3146" t="s">
        <v>4884</v>
      </c>
      <c r="L3146">
        <v>49.88</v>
      </c>
      <c r="M3146">
        <v>49.88</v>
      </c>
      <c r="N3146" t="s">
        <v>5272</v>
      </c>
      <c r="O3146" t="s">
        <v>461</v>
      </c>
    </row>
    <row r="3147" spans="1:15" x14ac:dyDescent="0.3">
      <c r="A3147">
        <v>220757</v>
      </c>
      <c r="B3147">
        <v>105</v>
      </c>
      <c r="C3147" t="s">
        <v>557</v>
      </c>
      <c r="D3147" t="s">
        <v>2682</v>
      </c>
      <c r="E3147" t="s">
        <v>3306</v>
      </c>
      <c r="F3147" s="451">
        <v>46105</v>
      </c>
      <c r="G3147">
        <v>19439</v>
      </c>
      <c r="H3147" t="s">
        <v>4917</v>
      </c>
      <c r="I3147" t="s">
        <v>5191</v>
      </c>
      <c r="J3147">
        <v>4</v>
      </c>
      <c r="K3147" t="s">
        <v>4738</v>
      </c>
      <c r="L3147">
        <v>107.96</v>
      </c>
      <c r="M3147">
        <v>26.99</v>
      </c>
      <c r="N3147" t="s">
        <v>5272</v>
      </c>
      <c r="O3147" t="s">
        <v>461</v>
      </c>
    </row>
    <row r="3148" spans="1:15" x14ac:dyDescent="0.3">
      <c r="A3148">
        <v>220757</v>
      </c>
      <c r="B3148">
        <v>105</v>
      </c>
      <c r="C3148" t="s">
        <v>557</v>
      </c>
      <c r="D3148" t="s">
        <v>2682</v>
      </c>
      <c r="E3148" t="s">
        <v>3306</v>
      </c>
      <c r="F3148" s="451">
        <v>46105</v>
      </c>
      <c r="G3148">
        <v>25807</v>
      </c>
      <c r="H3148" t="s">
        <v>4951</v>
      </c>
      <c r="I3148" t="s">
        <v>5191</v>
      </c>
      <c r="J3148">
        <v>1</v>
      </c>
      <c r="K3148" t="s">
        <v>4736</v>
      </c>
      <c r="L3148">
        <v>173.99</v>
      </c>
      <c r="M3148">
        <v>173.99</v>
      </c>
      <c r="N3148" t="s">
        <v>5272</v>
      </c>
      <c r="O3148" t="s">
        <v>461</v>
      </c>
    </row>
    <row r="3149" spans="1:15" x14ac:dyDescent="0.3">
      <c r="A3149">
        <v>220755</v>
      </c>
      <c r="B3149">
        <v>105</v>
      </c>
      <c r="C3149" t="s">
        <v>557</v>
      </c>
      <c r="D3149" t="s">
        <v>2697</v>
      </c>
      <c r="E3149" t="s">
        <v>3307</v>
      </c>
      <c r="F3149" s="451">
        <v>46106</v>
      </c>
      <c r="G3149">
        <v>17092</v>
      </c>
      <c r="H3149" t="s">
        <v>5146</v>
      </c>
      <c r="I3149" t="s">
        <v>5222</v>
      </c>
      <c r="J3149">
        <v>78</v>
      </c>
      <c r="K3149" t="s">
        <v>4736</v>
      </c>
      <c r="L3149">
        <v>168.48</v>
      </c>
      <c r="M3149">
        <v>2.16</v>
      </c>
      <c r="N3149" t="s">
        <v>5222</v>
      </c>
      <c r="O3149" t="s">
        <v>461</v>
      </c>
    </row>
    <row r="3150" spans="1:15" x14ac:dyDescent="0.3">
      <c r="A3150">
        <v>220753</v>
      </c>
      <c r="B3150">
        <v>105</v>
      </c>
      <c r="C3150" t="s">
        <v>557</v>
      </c>
      <c r="D3150" t="s">
        <v>2579</v>
      </c>
      <c r="E3150" t="s">
        <v>3308</v>
      </c>
      <c r="F3150" s="451">
        <v>46097</v>
      </c>
      <c r="G3150">
        <v>19634</v>
      </c>
      <c r="H3150" t="s">
        <v>4792</v>
      </c>
      <c r="I3150" t="s">
        <v>5191</v>
      </c>
      <c r="J3150">
        <v>4</v>
      </c>
      <c r="K3150" t="s">
        <v>4744</v>
      </c>
      <c r="L3150">
        <v>35</v>
      </c>
      <c r="M3150">
        <v>8.75</v>
      </c>
      <c r="N3150" t="s">
        <v>5272</v>
      </c>
      <c r="O3150" t="s">
        <v>461</v>
      </c>
    </row>
    <row r="3151" spans="1:15" x14ac:dyDescent="0.3">
      <c r="A3151">
        <v>220753</v>
      </c>
      <c r="B3151">
        <v>105</v>
      </c>
      <c r="C3151" t="s">
        <v>557</v>
      </c>
      <c r="D3151" t="s">
        <v>2579</v>
      </c>
      <c r="E3151" t="s">
        <v>3308</v>
      </c>
      <c r="F3151" s="451">
        <v>46097</v>
      </c>
      <c r="G3151">
        <v>19654</v>
      </c>
      <c r="H3151" t="s">
        <v>5099</v>
      </c>
      <c r="I3151" t="s">
        <v>5191</v>
      </c>
      <c r="J3151">
        <v>3</v>
      </c>
      <c r="K3151" t="s">
        <v>4744</v>
      </c>
      <c r="L3151">
        <v>19.14</v>
      </c>
      <c r="M3151">
        <v>6.38</v>
      </c>
      <c r="N3151" t="s">
        <v>5272</v>
      </c>
      <c r="O3151" t="s">
        <v>461</v>
      </c>
    </row>
    <row r="3152" spans="1:15" x14ac:dyDescent="0.3">
      <c r="A3152">
        <v>220753</v>
      </c>
      <c r="B3152">
        <v>105</v>
      </c>
      <c r="C3152" t="s">
        <v>557</v>
      </c>
      <c r="D3152" t="s">
        <v>2579</v>
      </c>
      <c r="E3152" t="s">
        <v>3308</v>
      </c>
      <c r="F3152" s="451">
        <v>46097</v>
      </c>
      <c r="G3152">
        <v>19566</v>
      </c>
      <c r="H3152" t="s">
        <v>5371</v>
      </c>
      <c r="I3152" t="s">
        <v>5191</v>
      </c>
      <c r="J3152">
        <v>0.5</v>
      </c>
      <c r="K3152" t="s">
        <v>4744</v>
      </c>
      <c r="L3152">
        <v>25</v>
      </c>
      <c r="M3152">
        <v>50</v>
      </c>
      <c r="N3152" t="s">
        <v>5272</v>
      </c>
      <c r="O3152" t="s">
        <v>461</v>
      </c>
    </row>
    <row r="3153" spans="1:15" x14ac:dyDescent="0.3">
      <c r="A3153">
        <v>220753</v>
      </c>
      <c r="B3153">
        <v>105</v>
      </c>
      <c r="C3153" t="s">
        <v>557</v>
      </c>
      <c r="D3153" t="s">
        <v>2579</v>
      </c>
      <c r="E3153" t="s">
        <v>3308</v>
      </c>
      <c r="F3153" s="451">
        <v>46097</v>
      </c>
      <c r="G3153">
        <v>19507</v>
      </c>
      <c r="H3153" t="s">
        <v>4853</v>
      </c>
      <c r="I3153" t="s">
        <v>5191</v>
      </c>
      <c r="J3153">
        <v>1</v>
      </c>
      <c r="K3153" t="s">
        <v>4744</v>
      </c>
      <c r="L3153">
        <v>15.63</v>
      </c>
      <c r="M3153">
        <v>15.63</v>
      </c>
      <c r="N3153" t="s">
        <v>5272</v>
      </c>
      <c r="O3153" t="s">
        <v>461</v>
      </c>
    </row>
    <row r="3154" spans="1:15" x14ac:dyDescent="0.3">
      <c r="A3154">
        <v>220753</v>
      </c>
      <c r="B3154">
        <v>105</v>
      </c>
      <c r="C3154" t="s">
        <v>557</v>
      </c>
      <c r="D3154" t="s">
        <v>2579</v>
      </c>
      <c r="E3154" t="s">
        <v>3308</v>
      </c>
      <c r="F3154" s="451">
        <v>46097</v>
      </c>
      <c r="G3154">
        <v>19635</v>
      </c>
      <c r="H3154" t="s">
        <v>4786</v>
      </c>
      <c r="I3154" t="s">
        <v>5191</v>
      </c>
      <c r="J3154">
        <v>6</v>
      </c>
      <c r="K3154" t="s">
        <v>4744</v>
      </c>
      <c r="L3154">
        <v>37.5</v>
      </c>
      <c r="M3154">
        <v>6.25</v>
      </c>
      <c r="N3154" t="s">
        <v>5272</v>
      </c>
      <c r="O3154" t="s">
        <v>461</v>
      </c>
    </row>
    <row r="3155" spans="1:15" x14ac:dyDescent="0.3">
      <c r="A3155">
        <v>220753</v>
      </c>
      <c r="B3155">
        <v>105</v>
      </c>
      <c r="C3155" t="s">
        <v>557</v>
      </c>
      <c r="D3155" t="s">
        <v>2579</v>
      </c>
      <c r="E3155" t="s">
        <v>3308</v>
      </c>
      <c r="F3155" s="451">
        <v>46097</v>
      </c>
      <c r="G3155">
        <v>23238</v>
      </c>
      <c r="H3155" t="s">
        <v>4934</v>
      </c>
      <c r="I3155" t="s">
        <v>5191</v>
      </c>
      <c r="J3155">
        <v>1.7</v>
      </c>
      <c r="K3155" t="s">
        <v>4744</v>
      </c>
      <c r="L3155">
        <v>34</v>
      </c>
      <c r="M3155">
        <v>20</v>
      </c>
      <c r="N3155" t="s">
        <v>5272</v>
      </c>
      <c r="O3155" t="s">
        <v>461</v>
      </c>
    </row>
    <row r="3156" spans="1:15" x14ac:dyDescent="0.3">
      <c r="A3156">
        <v>220753</v>
      </c>
      <c r="B3156">
        <v>105</v>
      </c>
      <c r="C3156" t="s">
        <v>557</v>
      </c>
      <c r="D3156" t="s">
        <v>2579</v>
      </c>
      <c r="E3156" t="s">
        <v>3308</v>
      </c>
      <c r="F3156" s="451">
        <v>46097</v>
      </c>
      <c r="G3156">
        <v>19490</v>
      </c>
      <c r="H3156" t="s">
        <v>5116</v>
      </c>
      <c r="I3156" t="s">
        <v>5191</v>
      </c>
      <c r="J3156">
        <v>0.4</v>
      </c>
      <c r="K3156" t="s">
        <v>4744</v>
      </c>
      <c r="L3156">
        <v>22.5</v>
      </c>
      <c r="M3156">
        <v>56.25</v>
      </c>
      <c r="N3156" t="s">
        <v>5272</v>
      </c>
      <c r="O3156" t="s">
        <v>461</v>
      </c>
    </row>
    <row r="3157" spans="1:15" x14ac:dyDescent="0.3">
      <c r="A3157">
        <v>220751</v>
      </c>
      <c r="B3157">
        <v>105</v>
      </c>
      <c r="C3157" t="s">
        <v>557</v>
      </c>
      <c r="D3157" t="s">
        <v>2613</v>
      </c>
      <c r="E3157" t="s">
        <v>3309</v>
      </c>
      <c r="F3157" s="451">
        <v>46099</v>
      </c>
      <c r="G3157">
        <v>26592</v>
      </c>
      <c r="H3157" t="s">
        <v>5141</v>
      </c>
      <c r="I3157" t="s">
        <v>5191</v>
      </c>
      <c r="J3157">
        <v>8.34</v>
      </c>
      <c r="K3157" t="s">
        <v>4744</v>
      </c>
      <c r="L3157">
        <v>308.58</v>
      </c>
      <c r="M3157">
        <v>37</v>
      </c>
      <c r="N3157" t="s">
        <v>5272</v>
      </c>
      <c r="O3157" t="s">
        <v>461</v>
      </c>
    </row>
    <row r="3158" spans="1:15" x14ac:dyDescent="0.3">
      <c r="A3158">
        <v>220750</v>
      </c>
      <c r="B3158">
        <v>105</v>
      </c>
      <c r="C3158" t="s">
        <v>557</v>
      </c>
      <c r="D3158" t="s">
        <v>2605</v>
      </c>
      <c r="E3158" t="s">
        <v>3310</v>
      </c>
      <c r="F3158" s="451">
        <v>46104</v>
      </c>
      <c r="G3158">
        <v>20358</v>
      </c>
      <c r="H3158" t="s">
        <v>4911</v>
      </c>
      <c r="I3158" t="s">
        <v>5191</v>
      </c>
      <c r="J3158">
        <v>5</v>
      </c>
      <c r="K3158" t="s">
        <v>4738</v>
      </c>
      <c r="L3158">
        <v>72</v>
      </c>
      <c r="M3158">
        <v>14.4</v>
      </c>
      <c r="N3158" t="s">
        <v>5272</v>
      </c>
      <c r="O3158" t="s">
        <v>461</v>
      </c>
    </row>
    <row r="3159" spans="1:15" x14ac:dyDescent="0.3">
      <c r="A3159">
        <v>220750</v>
      </c>
      <c r="B3159">
        <v>105</v>
      </c>
      <c r="C3159" t="s">
        <v>557</v>
      </c>
      <c r="D3159" t="s">
        <v>2605</v>
      </c>
      <c r="E3159" t="s">
        <v>3310</v>
      </c>
      <c r="F3159" s="451">
        <v>46104</v>
      </c>
      <c r="G3159">
        <v>20242</v>
      </c>
      <c r="H3159" t="s">
        <v>4824</v>
      </c>
      <c r="I3159" t="s">
        <v>5191</v>
      </c>
      <c r="J3159">
        <v>3</v>
      </c>
      <c r="K3159" t="s">
        <v>4736</v>
      </c>
      <c r="L3159">
        <v>26.4</v>
      </c>
      <c r="M3159">
        <v>8.8000000000000007</v>
      </c>
      <c r="N3159" t="s">
        <v>5272</v>
      </c>
      <c r="O3159" t="s">
        <v>461</v>
      </c>
    </row>
    <row r="3160" spans="1:15" x14ac:dyDescent="0.3">
      <c r="A3160">
        <v>220750</v>
      </c>
      <c r="B3160">
        <v>105</v>
      </c>
      <c r="C3160" t="s">
        <v>557</v>
      </c>
      <c r="D3160" t="s">
        <v>2605</v>
      </c>
      <c r="E3160" t="s">
        <v>3310</v>
      </c>
      <c r="F3160" s="451">
        <v>46104</v>
      </c>
      <c r="G3160">
        <v>19710</v>
      </c>
      <c r="H3160" t="s">
        <v>4963</v>
      </c>
      <c r="I3160" t="s">
        <v>5191</v>
      </c>
      <c r="J3160">
        <v>1</v>
      </c>
      <c r="K3160" t="s">
        <v>4744</v>
      </c>
      <c r="L3160">
        <v>67.099999999999994</v>
      </c>
      <c r="M3160">
        <v>67.099999999999994</v>
      </c>
      <c r="N3160" t="s">
        <v>5272</v>
      </c>
      <c r="O3160" t="s">
        <v>461</v>
      </c>
    </row>
    <row r="3161" spans="1:15" x14ac:dyDescent="0.3">
      <c r="A3161">
        <v>220750</v>
      </c>
      <c r="B3161">
        <v>105</v>
      </c>
      <c r="C3161" t="s">
        <v>557</v>
      </c>
      <c r="D3161" t="s">
        <v>2605</v>
      </c>
      <c r="E3161" t="s">
        <v>3310</v>
      </c>
      <c r="F3161" s="451">
        <v>46104</v>
      </c>
      <c r="G3161">
        <v>20122</v>
      </c>
      <c r="H3161" t="s">
        <v>4781</v>
      </c>
      <c r="I3161" t="s">
        <v>5191</v>
      </c>
      <c r="J3161">
        <v>12.32</v>
      </c>
      <c r="K3161" t="s">
        <v>4744</v>
      </c>
      <c r="L3161">
        <v>549.47</v>
      </c>
      <c r="M3161">
        <v>44.599837999999998</v>
      </c>
      <c r="N3161" t="s">
        <v>5272</v>
      </c>
      <c r="O3161" t="s">
        <v>461</v>
      </c>
    </row>
    <row r="3162" spans="1:15" x14ac:dyDescent="0.3">
      <c r="A3162">
        <v>220748</v>
      </c>
      <c r="B3162">
        <v>105</v>
      </c>
      <c r="C3162" t="s">
        <v>557</v>
      </c>
      <c r="D3162" t="s">
        <v>2571</v>
      </c>
      <c r="E3162" t="s">
        <v>3311</v>
      </c>
      <c r="F3162" s="451">
        <v>46102</v>
      </c>
      <c r="G3162">
        <v>20653</v>
      </c>
      <c r="H3162" t="s">
        <v>5013</v>
      </c>
      <c r="I3162" t="s">
        <v>5191</v>
      </c>
      <c r="J3162">
        <v>1</v>
      </c>
      <c r="K3162" t="s">
        <v>4736</v>
      </c>
      <c r="L3162">
        <v>25.96</v>
      </c>
      <c r="M3162">
        <v>25.96</v>
      </c>
      <c r="N3162" t="s">
        <v>5372</v>
      </c>
      <c r="O3162" t="s">
        <v>461</v>
      </c>
    </row>
    <row r="3163" spans="1:15" x14ac:dyDescent="0.3">
      <c r="A3163">
        <v>220748</v>
      </c>
      <c r="B3163">
        <v>105</v>
      </c>
      <c r="C3163" t="s">
        <v>557</v>
      </c>
      <c r="D3163" t="s">
        <v>2571</v>
      </c>
      <c r="E3163" t="s">
        <v>3311</v>
      </c>
      <c r="F3163" s="451">
        <v>46102</v>
      </c>
      <c r="G3163">
        <v>21093</v>
      </c>
      <c r="H3163" t="s">
        <v>4855</v>
      </c>
      <c r="I3163" t="s">
        <v>5191</v>
      </c>
      <c r="J3163">
        <v>20</v>
      </c>
      <c r="K3163" t="s">
        <v>4736</v>
      </c>
      <c r="L3163">
        <v>87.8</v>
      </c>
      <c r="M3163">
        <v>4.3899999999999997</v>
      </c>
      <c r="N3163" t="s">
        <v>5372</v>
      </c>
      <c r="O3163" t="s">
        <v>461</v>
      </c>
    </row>
    <row r="3164" spans="1:15" x14ac:dyDescent="0.3">
      <c r="A3164">
        <v>220748</v>
      </c>
      <c r="B3164">
        <v>105</v>
      </c>
      <c r="C3164" t="s">
        <v>557</v>
      </c>
      <c r="D3164" t="s">
        <v>2571</v>
      </c>
      <c r="E3164" t="s">
        <v>3311</v>
      </c>
      <c r="F3164" s="451">
        <v>46102</v>
      </c>
      <c r="G3164">
        <v>21021</v>
      </c>
      <c r="H3164" t="s">
        <v>4883</v>
      </c>
      <c r="I3164" t="s">
        <v>5191</v>
      </c>
      <c r="J3164">
        <v>3</v>
      </c>
      <c r="K3164" t="s">
        <v>4736</v>
      </c>
      <c r="L3164">
        <v>563.28</v>
      </c>
      <c r="M3164">
        <v>187.76</v>
      </c>
      <c r="N3164" t="s">
        <v>5372</v>
      </c>
      <c r="O3164" t="s">
        <v>461</v>
      </c>
    </row>
    <row r="3165" spans="1:15" x14ac:dyDescent="0.3">
      <c r="A3165">
        <v>220748</v>
      </c>
      <c r="B3165">
        <v>105</v>
      </c>
      <c r="C3165" t="s">
        <v>557</v>
      </c>
      <c r="D3165" t="s">
        <v>2571</v>
      </c>
      <c r="E3165" t="s">
        <v>3311</v>
      </c>
      <c r="F3165" s="451">
        <v>46102</v>
      </c>
      <c r="G3165">
        <v>19421</v>
      </c>
      <c r="H3165" t="s">
        <v>4918</v>
      </c>
      <c r="I3165" t="s">
        <v>5191</v>
      </c>
      <c r="J3165">
        <v>2</v>
      </c>
      <c r="K3165" t="s">
        <v>4749</v>
      </c>
      <c r="L3165">
        <v>132.12</v>
      </c>
      <c r="M3165">
        <v>66.06</v>
      </c>
      <c r="N3165" t="s">
        <v>5372</v>
      </c>
      <c r="O3165" t="s">
        <v>461</v>
      </c>
    </row>
    <row r="3166" spans="1:15" x14ac:dyDescent="0.3">
      <c r="A3166">
        <v>220748</v>
      </c>
      <c r="B3166">
        <v>105</v>
      </c>
      <c r="C3166" t="s">
        <v>557</v>
      </c>
      <c r="D3166" t="s">
        <v>2571</v>
      </c>
      <c r="E3166" t="s">
        <v>3311</v>
      </c>
      <c r="F3166" s="451">
        <v>46102</v>
      </c>
      <c r="G3166">
        <v>20057</v>
      </c>
      <c r="H3166" t="s">
        <v>4949</v>
      </c>
      <c r="I3166" t="s">
        <v>5191</v>
      </c>
      <c r="J3166">
        <v>1</v>
      </c>
      <c r="K3166" t="s">
        <v>4736</v>
      </c>
      <c r="L3166">
        <v>42.18</v>
      </c>
      <c r="M3166">
        <v>42.18</v>
      </c>
      <c r="N3166" t="s">
        <v>5372</v>
      </c>
      <c r="O3166" t="s">
        <v>461</v>
      </c>
    </row>
    <row r="3167" spans="1:15" x14ac:dyDescent="0.3">
      <c r="A3167">
        <v>220748</v>
      </c>
      <c r="B3167">
        <v>105</v>
      </c>
      <c r="C3167" t="s">
        <v>557</v>
      </c>
      <c r="D3167" t="s">
        <v>2571</v>
      </c>
      <c r="E3167" t="s">
        <v>3311</v>
      </c>
      <c r="F3167" s="451">
        <v>46102</v>
      </c>
      <c r="G3167">
        <v>19967</v>
      </c>
      <c r="H3167" t="s">
        <v>4956</v>
      </c>
      <c r="I3167" t="s">
        <v>5191</v>
      </c>
      <c r="J3167">
        <v>2</v>
      </c>
      <c r="K3167" t="s">
        <v>4736</v>
      </c>
      <c r="L3167">
        <v>98.56</v>
      </c>
      <c r="M3167">
        <v>49.28</v>
      </c>
      <c r="N3167" t="s">
        <v>5372</v>
      </c>
      <c r="O3167" t="s">
        <v>461</v>
      </c>
    </row>
    <row r="3168" spans="1:15" x14ac:dyDescent="0.3">
      <c r="A3168">
        <v>220748</v>
      </c>
      <c r="B3168">
        <v>105</v>
      </c>
      <c r="C3168" t="s">
        <v>557</v>
      </c>
      <c r="D3168" t="s">
        <v>2571</v>
      </c>
      <c r="E3168" t="s">
        <v>3311</v>
      </c>
      <c r="F3168" s="451">
        <v>46102</v>
      </c>
      <c r="G3168">
        <v>20809</v>
      </c>
      <c r="H3168" t="s">
        <v>4822</v>
      </c>
      <c r="I3168" t="s">
        <v>5191</v>
      </c>
      <c r="J3168">
        <v>8</v>
      </c>
      <c r="K3168" t="s">
        <v>4736</v>
      </c>
      <c r="L3168">
        <v>239.2</v>
      </c>
      <c r="M3168">
        <v>29.9</v>
      </c>
      <c r="N3168" t="s">
        <v>5372</v>
      </c>
      <c r="O3168" t="s">
        <v>461</v>
      </c>
    </row>
    <row r="3169" spans="1:15" x14ac:dyDescent="0.3">
      <c r="A3169">
        <v>220606</v>
      </c>
      <c r="B3169">
        <v>105</v>
      </c>
      <c r="C3169" t="s">
        <v>557</v>
      </c>
      <c r="D3169" t="s">
        <v>2571</v>
      </c>
      <c r="E3169" t="s">
        <v>3312</v>
      </c>
      <c r="F3169" s="451">
        <v>46094</v>
      </c>
      <c r="G3169">
        <v>20358</v>
      </c>
      <c r="H3169" t="s">
        <v>4911</v>
      </c>
      <c r="I3169" t="s">
        <v>5191</v>
      </c>
      <c r="J3169">
        <v>3</v>
      </c>
      <c r="K3169" t="s">
        <v>4738</v>
      </c>
      <c r="L3169">
        <v>42.72</v>
      </c>
      <c r="M3169">
        <v>14.24</v>
      </c>
      <c r="N3169" t="s">
        <v>5272</v>
      </c>
      <c r="O3169" t="s">
        <v>461</v>
      </c>
    </row>
    <row r="3170" spans="1:15" x14ac:dyDescent="0.3">
      <c r="A3170">
        <v>220606</v>
      </c>
      <c r="B3170">
        <v>105</v>
      </c>
      <c r="C3170" t="s">
        <v>557</v>
      </c>
      <c r="D3170" t="s">
        <v>2571</v>
      </c>
      <c r="E3170" t="s">
        <v>3312</v>
      </c>
      <c r="F3170" s="451">
        <v>46094</v>
      </c>
      <c r="G3170">
        <v>20242</v>
      </c>
      <c r="H3170" t="s">
        <v>4824</v>
      </c>
      <c r="I3170" t="s">
        <v>5191</v>
      </c>
      <c r="J3170">
        <v>5</v>
      </c>
      <c r="K3170" t="s">
        <v>4738</v>
      </c>
      <c r="L3170">
        <v>85.75</v>
      </c>
      <c r="M3170">
        <v>17.149999999999999</v>
      </c>
      <c r="N3170" t="s">
        <v>5272</v>
      </c>
      <c r="O3170" t="s">
        <v>461</v>
      </c>
    </row>
    <row r="3171" spans="1:15" x14ac:dyDescent="0.3">
      <c r="A3171">
        <v>220606</v>
      </c>
      <c r="B3171">
        <v>105</v>
      </c>
      <c r="C3171" t="s">
        <v>557</v>
      </c>
      <c r="D3171" t="s">
        <v>2571</v>
      </c>
      <c r="E3171" t="s">
        <v>3312</v>
      </c>
      <c r="F3171" s="451">
        <v>46094</v>
      </c>
      <c r="G3171">
        <v>20227</v>
      </c>
      <c r="H3171" t="s">
        <v>4825</v>
      </c>
      <c r="I3171" t="s">
        <v>5191</v>
      </c>
      <c r="J3171">
        <v>5</v>
      </c>
      <c r="K3171" t="s">
        <v>4738</v>
      </c>
      <c r="L3171">
        <v>61.5</v>
      </c>
      <c r="M3171">
        <v>12.3</v>
      </c>
      <c r="N3171" t="s">
        <v>5272</v>
      </c>
      <c r="O3171" t="s">
        <v>461</v>
      </c>
    </row>
    <row r="3172" spans="1:15" x14ac:dyDescent="0.3">
      <c r="A3172">
        <v>220606</v>
      </c>
      <c r="B3172">
        <v>105</v>
      </c>
      <c r="C3172" t="s">
        <v>557</v>
      </c>
      <c r="D3172" t="s">
        <v>2571</v>
      </c>
      <c r="E3172" t="s">
        <v>3312</v>
      </c>
      <c r="F3172" s="451">
        <v>46094</v>
      </c>
      <c r="G3172">
        <v>20429</v>
      </c>
      <c r="H3172" t="s">
        <v>5317</v>
      </c>
      <c r="I3172" t="s">
        <v>5191</v>
      </c>
      <c r="J3172">
        <v>1</v>
      </c>
      <c r="K3172" t="s">
        <v>4736</v>
      </c>
      <c r="L3172">
        <v>19.579999999999998</v>
      </c>
      <c r="M3172">
        <v>19.579999999999998</v>
      </c>
      <c r="N3172" t="s">
        <v>5272</v>
      </c>
      <c r="O3172" t="s">
        <v>461</v>
      </c>
    </row>
    <row r="3173" spans="1:15" x14ac:dyDescent="0.3">
      <c r="A3173">
        <v>220606</v>
      </c>
      <c r="B3173">
        <v>105</v>
      </c>
      <c r="C3173" t="s">
        <v>557</v>
      </c>
      <c r="D3173" t="s">
        <v>2571</v>
      </c>
      <c r="E3173" t="s">
        <v>3312</v>
      </c>
      <c r="F3173" s="451">
        <v>46094</v>
      </c>
      <c r="G3173">
        <v>20653</v>
      </c>
      <c r="H3173" t="s">
        <v>5013</v>
      </c>
      <c r="I3173" t="s">
        <v>5191</v>
      </c>
      <c r="J3173">
        <v>2</v>
      </c>
      <c r="K3173" t="s">
        <v>4736</v>
      </c>
      <c r="L3173">
        <v>51.92</v>
      </c>
      <c r="M3173">
        <v>25.96</v>
      </c>
      <c r="N3173" t="s">
        <v>5272</v>
      </c>
      <c r="O3173" t="s">
        <v>461</v>
      </c>
    </row>
    <row r="3174" spans="1:15" x14ac:dyDescent="0.3">
      <c r="A3174">
        <v>220606</v>
      </c>
      <c r="B3174">
        <v>105</v>
      </c>
      <c r="C3174" t="s">
        <v>557</v>
      </c>
      <c r="D3174" t="s">
        <v>2571</v>
      </c>
      <c r="E3174" t="s">
        <v>3312</v>
      </c>
      <c r="F3174" s="451">
        <v>46094</v>
      </c>
      <c r="G3174">
        <v>20661</v>
      </c>
      <c r="H3174" t="s">
        <v>5012</v>
      </c>
      <c r="I3174" t="s">
        <v>5191</v>
      </c>
      <c r="J3174">
        <v>3</v>
      </c>
      <c r="K3174" t="s">
        <v>4736</v>
      </c>
      <c r="L3174">
        <v>24.87</v>
      </c>
      <c r="M3174">
        <v>8.2899999999999991</v>
      </c>
      <c r="N3174" t="s">
        <v>5272</v>
      </c>
      <c r="O3174" t="s">
        <v>461</v>
      </c>
    </row>
    <row r="3175" spans="1:15" x14ac:dyDescent="0.3">
      <c r="A3175">
        <v>220606</v>
      </c>
      <c r="B3175">
        <v>105</v>
      </c>
      <c r="C3175" t="s">
        <v>557</v>
      </c>
      <c r="D3175" t="s">
        <v>2571</v>
      </c>
      <c r="E3175" t="s">
        <v>3312</v>
      </c>
      <c r="F3175" s="451">
        <v>46094</v>
      </c>
      <c r="G3175">
        <v>20322</v>
      </c>
      <c r="H3175" t="s">
        <v>4882</v>
      </c>
      <c r="I3175" t="s">
        <v>5191</v>
      </c>
      <c r="J3175">
        <v>2</v>
      </c>
      <c r="K3175" t="s">
        <v>5238</v>
      </c>
      <c r="L3175">
        <v>21.6</v>
      </c>
      <c r="M3175">
        <v>10.8</v>
      </c>
      <c r="N3175" t="s">
        <v>5272</v>
      </c>
      <c r="O3175" t="s">
        <v>461</v>
      </c>
    </row>
    <row r="3176" spans="1:15" x14ac:dyDescent="0.3">
      <c r="A3176">
        <v>220606</v>
      </c>
      <c r="B3176">
        <v>105</v>
      </c>
      <c r="C3176" t="s">
        <v>557</v>
      </c>
      <c r="D3176" t="s">
        <v>2571</v>
      </c>
      <c r="E3176" t="s">
        <v>3312</v>
      </c>
      <c r="F3176" s="451">
        <v>46094</v>
      </c>
      <c r="G3176">
        <v>25075</v>
      </c>
      <c r="H3176" t="s">
        <v>4790</v>
      </c>
      <c r="I3176" t="s">
        <v>5191</v>
      </c>
      <c r="J3176">
        <v>15</v>
      </c>
      <c r="K3176" t="s">
        <v>5228</v>
      </c>
      <c r="L3176">
        <v>252</v>
      </c>
      <c r="M3176">
        <v>16.8</v>
      </c>
      <c r="N3176" t="s">
        <v>5272</v>
      </c>
      <c r="O3176" t="s">
        <v>461</v>
      </c>
    </row>
    <row r="3177" spans="1:15" x14ac:dyDescent="0.3">
      <c r="A3177">
        <v>220606</v>
      </c>
      <c r="B3177">
        <v>105</v>
      </c>
      <c r="C3177" t="s">
        <v>557</v>
      </c>
      <c r="D3177" t="s">
        <v>2571</v>
      </c>
      <c r="E3177" t="s">
        <v>3312</v>
      </c>
      <c r="F3177" s="451">
        <v>46094</v>
      </c>
      <c r="G3177">
        <v>20138</v>
      </c>
      <c r="H3177" t="s">
        <v>4886</v>
      </c>
      <c r="I3177" t="s">
        <v>5191</v>
      </c>
      <c r="J3177">
        <v>2</v>
      </c>
      <c r="K3177" t="s">
        <v>4738</v>
      </c>
      <c r="L3177">
        <v>10.199999999999999</v>
      </c>
      <c r="M3177">
        <v>5.0999999999999996</v>
      </c>
      <c r="N3177" t="s">
        <v>5272</v>
      </c>
      <c r="O3177" t="s">
        <v>461</v>
      </c>
    </row>
    <row r="3178" spans="1:15" x14ac:dyDescent="0.3">
      <c r="A3178">
        <v>220606</v>
      </c>
      <c r="B3178">
        <v>105</v>
      </c>
      <c r="C3178" t="s">
        <v>557</v>
      </c>
      <c r="D3178" t="s">
        <v>2571</v>
      </c>
      <c r="E3178" t="s">
        <v>3312</v>
      </c>
      <c r="F3178" s="451">
        <v>46094</v>
      </c>
      <c r="G3178">
        <v>20007</v>
      </c>
      <c r="H3178" t="s">
        <v>5101</v>
      </c>
      <c r="I3178" t="s">
        <v>5191</v>
      </c>
      <c r="J3178">
        <v>3</v>
      </c>
      <c r="K3178" t="s">
        <v>4884</v>
      </c>
      <c r="L3178">
        <v>150.6</v>
      </c>
      <c r="M3178">
        <v>50.2</v>
      </c>
      <c r="N3178" t="s">
        <v>5272</v>
      </c>
      <c r="O3178" t="s">
        <v>461</v>
      </c>
    </row>
    <row r="3179" spans="1:15" x14ac:dyDescent="0.3">
      <c r="A3179">
        <v>220606</v>
      </c>
      <c r="B3179">
        <v>105</v>
      </c>
      <c r="C3179" t="s">
        <v>557</v>
      </c>
      <c r="D3179" t="s">
        <v>2571</v>
      </c>
      <c r="E3179" t="s">
        <v>3312</v>
      </c>
      <c r="F3179" s="451">
        <v>46094</v>
      </c>
      <c r="G3179">
        <v>20644</v>
      </c>
      <c r="H3179" t="s">
        <v>5016</v>
      </c>
      <c r="I3179" t="s">
        <v>5191</v>
      </c>
      <c r="J3179">
        <v>3</v>
      </c>
      <c r="K3179" t="s">
        <v>4736</v>
      </c>
      <c r="L3179">
        <v>11.67</v>
      </c>
      <c r="M3179">
        <v>3.89</v>
      </c>
      <c r="N3179" t="s">
        <v>5272</v>
      </c>
      <c r="O3179" t="s">
        <v>461</v>
      </c>
    </row>
    <row r="3180" spans="1:15" x14ac:dyDescent="0.3">
      <c r="A3180">
        <v>220606</v>
      </c>
      <c r="B3180">
        <v>105</v>
      </c>
      <c r="C3180" t="s">
        <v>557</v>
      </c>
      <c r="D3180" t="s">
        <v>2571</v>
      </c>
      <c r="E3180" t="s">
        <v>3312</v>
      </c>
      <c r="F3180" s="451">
        <v>46094</v>
      </c>
      <c r="G3180">
        <v>26020</v>
      </c>
      <c r="H3180" t="s">
        <v>5102</v>
      </c>
      <c r="I3180" t="s">
        <v>5191</v>
      </c>
      <c r="J3180">
        <v>3</v>
      </c>
      <c r="K3180" t="s">
        <v>4736</v>
      </c>
      <c r="L3180">
        <v>39.69</v>
      </c>
      <c r="M3180">
        <v>13.23</v>
      </c>
      <c r="N3180" t="s">
        <v>5272</v>
      </c>
      <c r="O3180" t="s">
        <v>461</v>
      </c>
    </row>
    <row r="3181" spans="1:15" x14ac:dyDescent="0.3">
      <c r="A3181">
        <v>220606</v>
      </c>
      <c r="B3181">
        <v>105</v>
      </c>
      <c r="C3181" t="s">
        <v>557</v>
      </c>
      <c r="D3181" t="s">
        <v>2571</v>
      </c>
      <c r="E3181" t="s">
        <v>3312</v>
      </c>
      <c r="F3181" s="451">
        <v>46094</v>
      </c>
      <c r="G3181">
        <v>27397</v>
      </c>
      <c r="H3181" t="s">
        <v>4913</v>
      </c>
      <c r="I3181" t="s">
        <v>5191</v>
      </c>
      <c r="J3181">
        <v>3</v>
      </c>
      <c r="K3181" t="s">
        <v>4736</v>
      </c>
      <c r="L3181">
        <v>183</v>
      </c>
      <c r="M3181">
        <v>61</v>
      </c>
      <c r="N3181" t="s">
        <v>5272</v>
      </c>
      <c r="O3181" t="s">
        <v>461</v>
      </c>
    </row>
    <row r="3182" spans="1:15" x14ac:dyDescent="0.3">
      <c r="A3182">
        <v>220606</v>
      </c>
      <c r="B3182">
        <v>105</v>
      </c>
      <c r="C3182" t="s">
        <v>557</v>
      </c>
      <c r="D3182" t="s">
        <v>2571</v>
      </c>
      <c r="E3182" t="s">
        <v>3312</v>
      </c>
      <c r="F3182" s="451">
        <v>46094</v>
      </c>
      <c r="G3182">
        <v>23502</v>
      </c>
      <c r="H3182" t="s">
        <v>4930</v>
      </c>
      <c r="I3182" t="s">
        <v>5191</v>
      </c>
      <c r="J3182">
        <v>2</v>
      </c>
      <c r="K3182" t="s">
        <v>4744</v>
      </c>
      <c r="L3182">
        <v>29.8</v>
      </c>
      <c r="M3182">
        <v>14.9</v>
      </c>
      <c r="N3182" t="s">
        <v>5272</v>
      </c>
      <c r="O3182" t="s">
        <v>461</v>
      </c>
    </row>
    <row r="3183" spans="1:15" x14ac:dyDescent="0.3">
      <c r="A3183">
        <v>220587</v>
      </c>
      <c r="B3183">
        <v>105</v>
      </c>
      <c r="C3183" t="s">
        <v>557</v>
      </c>
      <c r="D3183" t="s">
        <v>2571</v>
      </c>
      <c r="E3183" t="s">
        <v>3313</v>
      </c>
      <c r="F3183" s="451">
        <v>46101</v>
      </c>
      <c r="G3183">
        <v>21093</v>
      </c>
      <c r="H3183" t="s">
        <v>4855</v>
      </c>
      <c r="I3183" t="s">
        <v>5191</v>
      </c>
      <c r="J3183">
        <v>20</v>
      </c>
      <c r="K3183" t="s">
        <v>4736</v>
      </c>
      <c r="L3183">
        <v>87.8</v>
      </c>
      <c r="M3183">
        <v>4.3899999999999997</v>
      </c>
      <c r="N3183" t="s">
        <v>5272</v>
      </c>
      <c r="O3183" t="s">
        <v>461</v>
      </c>
    </row>
    <row r="3184" spans="1:15" x14ac:dyDescent="0.3">
      <c r="A3184">
        <v>220587</v>
      </c>
      <c r="B3184">
        <v>105</v>
      </c>
      <c r="C3184" t="s">
        <v>557</v>
      </c>
      <c r="D3184" t="s">
        <v>2571</v>
      </c>
      <c r="E3184" t="s">
        <v>3313</v>
      </c>
      <c r="F3184" s="451">
        <v>46101</v>
      </c>
      <c r="G3184">
        <v>21021</v>
      </c>
      <c r="H3184" t="s">
        <v>4883</v>
      </c>
      <c r="I3184" t="s">
        <v>5191</v>
      </c>
      <c r="J3184">
        <v>3</v>
      </c>
      <c r="K3184" t="s">
        <v>4736</v>
      </c>
      <c r="L3184">
        <v>563.28</v>
      </c>
      <c r="M3184">
        <v>187.76</v>
      </c>
      <c r="N3184" t="s">
        <v>5272</v>
      </c>
      <c r="O3184" t="s">
        <v>461</v>
      </c>
    </row>
    <row r="3185" spans="1:15" x14ac:dyDescent="0.3">
      <c r="A3185">
        <v>220587</v>
      </c>
      <c r="B3185">
        <v>105</v>
      </c>
      <c r="C3185" t="s">
        <v>557</v>
      </c>
      <c r="D3185" t="s">
        <v>2571</v>
      </c>
      <c r="E3185" t="s">
        <v>3313</v>
      </c>
      <c r="F3185" s="451">
        <v>46101</v>
      </c>
      <c r="G3185">
        <v>19421</v>
      </c>
      <c r="H3185" t="s">
        <v>4918</v>
      </c>
      <c r="I3185" t="s">
        <v>5191</v>
      </c>
      <c r="J3185">
        <v>2</v>
      </c>
      <c r="K3185" t="s">
        <v>4749</v>
      </c>
      <c r="L3185">
        <v>110.9</v>
      </c>
      <c r="M3185">
        <v>55.45</v>
      </c>
      <c r="N3185" t="s">
        <v>5272</v>
      </c>
      <c r="O3185" t="s">
        <v>461</v>
      </c>
    </row>
    <row r="3186" spans="1:15" x14ac:dyDescent="0.3">
      <c r="A3186">
        <v>220587</v>
      </c>
      <c r="B3186">
        <v>105</v>
      </c>
      <c r="C3186" t="s">
        <v>557</v>
      </c>
      <c r="D3186" t="s">
        <v>2571</v>
      </c>
      <c r="E3186" t="s">
        <v>3313</v>
      </c>
      <c r="F3186" s="451">
        <v>46101</v>
      </c>
      <c r="G3186">
        <v>20057</v>
      </c>
      <c r="H3186" t="s">
        <v>4949</v>
      </c>
      <c r="I3186" t="s">
        <v>5191</v>
      </c>
      <c r="J3186">
        <v>1</v>
      </c>
      <c r="K3186" t="s">
        <v>4736</v>
      </c>
      <c r="L3186">
        <v>42.18</v>
      </c>
      <c r="M3186">
        <v>42.18</v>
      </c>
      <c r="N3186" t="s">
        <v>5272</v>
      </c>
      <c r="O3186" t="s">
        <v>461</v>
      </c>
    </row>
    <row r="3187" spans="1:15" x14ac:dyDescent="0.3">
      <c r="A3187">
        <v>220587</v>
      </c>
      <c r="B3187">
        <v>105</v>
      </c>
      <c r="C3187" t="s">
        <v>557</v>
      </c>
      <c r="D3187" t="s">
        <v>2571</v>
      </c>
      <c r="E3187" t="s">
        <v>3313</v>
      </c>
      <c r="F3187" s="451">
        <v>46101</v>
      </c>
      <c r="G3187">
        <v>19967</v>
      </c>
      <c r="H3187" t="s">
        <v>4956</v>
      </c>
      <c r="I3187" t="s">
        <v>5191</v>
      </c>
      <c r="J3187">
        <v>1</v>
      </c>
      <c r="K3187" t="s">
        <v>4736</v>
      </c>
      <c r="L3187">
        <v>49.28</v>
      </c>
      <c r="M3187">
        <v>49.28</v>
      </c>
      <c r="N3187" t="s">
        <v>5272</v>
      </c>
      <c r="O3187" t="s">
        <v>461</v>
      </c>
    </row>
    <row r="3188" spans="1:15" x14ac:dyDescent="0.3">
      <c r="A3188">
        <v>220587</v>
      </c>
      <c r="B3188">
        <v>105</v>
      </c>
      <c r="C3188" t="s">
        <v>557</v>
      </c>
      <c r="D3188" t="s">
        <v>2571</v>
      </c>
      <c r="E3188" t="s">
        <v>3313</v>
      </c>
      <c r="F3188" s="451">
        <v>46101</v>
      </c>
      <c r="G3188">
        <v>20809</v>
      </c>
      <c r="H3188" t="s">
        <v>4822</v>
      </c>
      <c r="I3188" t="s">
        <v>5191</v>
      </c>
      <c r="J3188">
        <v>5</v>
      </c>
      <c r="K3188" t="s">
        <v>4736</v>
      </c>
      <c r="L3188">
        <v>149.5</v>
      </c>
      <c r="M3188">
        <v>29.9</v>
      </c>
      <c r="N3188" t="s">
        <v>5272</v>
      </c>
      <c r="O3188" t="s">
        <v>461</v>
      </c>
    </row>
    <row r="3189" spans="1:15" x14ac:dyDescent="0.3">
      <c r="A3189">
        <v>220582</v>
      </c>
      <c r="B3189">
        <v>105</v>
      </c>
      <c r="C3189" t="s">
        <v>557</v>
      </c>
      <c r="D3189" t="s">
        <v>2577</v>
      </c>
      <c r="E3189" t="s">
        <v>3314</v>
      </c>
      <c r="F3189" s="451">
        <v>46098</v>
      </c>
      <c r="G3189">
        <v>24497</v>
      </c>
      <c r="H3189" t="s">
        <v>5231</v>
      </c>
      <c r="I3189" t="s">
        <v>5232</v>
      </c>
      <c r="J3189">
        <v>2</v>
      </c>
      <c r="K3189" t="s">
        <v>4736</v>
      </c>
      <c r="L3189">
        <v>241.92</v>
      </c>
      <c r="M3189">
        <v>120.96</v>
      </c>
      <c r="N3189" t="s">
        <v>5288</v>
      </c>
      <c r="O3189" t="s">
        <v>461</v>
      </c>
    </row>
    <row r="3190" spans="1:15" x14ac:dyDescent="0.3">
      <c r="A3190">
        <v>220577</v>
      </c>
      <c r="B3190">
        <v>105</v>
      </c>
      <c r="C3190" t="s">
        <v>557</v>
      </c>
      <c r="D3190" t="s">
        <v>2605</v>
      </c>
      <c r="E3190" t="s">
        <v>3315</v>
      </c>
      <c r="F3190" s="451">
        <v>46094</v>
      </c>
      <c r="G3190">
        <v>25358</v>
      </c>
      <c r="H3190" t="s">
        <v>4980</v>
      </c>
      <c r="I3190" t="s">
        <v>5191</v>
      </c>
      <c r="J3190">
        <v>1</v>
      </c>
      <c r="K3190" t="s">
        <v>5238</v>
      </c>
      <c r="L3190">
        <v>81.599999999999994</v>
      </c>
      <c r="M3190">
        <v>81.599999999999994</v>
      </c>
      <c r="N3190" t="s">
        <v>5272</v>
      </c>
      <c r="O3190" t="s">
        <v>461</v>
      </c>
    </row>
    <row r="3191" spans="1:15" x14ac:dyDescent="0.3">
      <c r="A3191">
        <v>220577</v>
      </c>
      <c r="B3191">
        <v>105</v>
      </c>
      <c r="C3191" t="s">
        <v>557</v>
      </c>
      <c r="D3191" t="s">
        <v>2605</v>
      </c>
      <c r="E3191" t="s">
        <v>3315</v>
      </c>
      <c r="F3191" s="451">
        <v>46094</v>
      </c>
      <c r="G3191">
        <v>19306</v>
      </c>
      <c r="H3191" t="s">
        <v>5111</v>
      </c>
      <c r="I3191" t="s">
        <v>5191</v>
      </c>
      <c r="J3191">
        <v>2</v>
      </c>
      <c r="K3191" t="s">
        <v>5228</v>
      </c>
      <c r="L3191">
        <v>36.700000000000003</v>
      </c>
      <c r="M3191">
        <v>18.350000000000001</v>
      </c>
      <c r="N3191" t="s">
        <v>5272</v>
      </c>
      <c r="O3191" t="s">
        <v>461</v>
      </c>
    </row>
    <row r="3192" spans="1:15" x14ac:dyDescent="0.3">
      <c r="A3192">
        <v>220577</v>
      </c>
      <c r="B3192">
        <v>105</v>
      </c>
      <c r="C3192" t="s">
        <v>557</v>
      </c>
      <c r="D3192" t="s">
        <v>2605</v>
      </c>
      <c r="E3192" t="s">
        <v>3315</v>
      </c>
      <c r="F3192" s="451">
        <v>46094</v>
      </c>
      <c r="G3192">
        <v>24322</v>
      </c>
      <c r="H3192" t="s">
        <v>5064</v>
      </c>
      <c r="I3192" t="s">
        <v>5191</v>
      </c>
      <c r="J3192">
        <v>2</v>
      </c>
      <c r="K3192" t="s">
        <v>5238</v>
      </c>
      <c r="L3192">
        <v>44</v>
      </c>
      <c r="M3192">
        <v>22</v>
      </c>
      <c r="N3192" t="s">
        <v>5272</v>
      </c>
      <c r="O3192" t="s">
        <v>461</v>
      </c>
    </row>
    <row r="3193" spans="1:15" x14ac:dyDescent="0.3">
      <c r="A3193">
        <v>220577</v>
      </c>
      <c r="B3193">
        <v>105</v>
      </c>
      <c r="C3193" t="s">
        <v>557</v>
      </c>
      <c r="D3193" t="s">
        <v>2605</v>
      </c>
      <c r="E3193" t="s">
        <v>3315</v>
      </c>
      <c r="F3193" s="451">
        <v>46094</v>
      </c>
      <c r="G3193">
        <v>19241</v>
      </c>
      <c r="H3193" t="s">
        <v>4890</v>
      </c>
      <c r="I3193" t="s">
        <v>5191</v>
      </c>
      <c r="J3193">
        <v>2</v>
      </c>
      <c r="K3193" t="s">
        <v>5206</v>
      </c>
      <c r="L3193">
        <v>7.2</v>
      </c>
      <c r="M3193">
        <v>3.6</v>
      </c>
      <c r="N3193" t="s">
        <v>5272</v>
      </c>
      <c r="O3193" t="s">
        <v>461</v>
      </c>
    </row>
    <row r="3194" spans="1:15" x14ac:dyDescent="0.3">
      <c r="A3194">
        <v>220577</v>
      </c>
      <c r="B3194">
        <v>105</v>
      </c>
      <c r="C3194" t="s">
        <v>557</v>
      </c>
      <c r="D3194" t="s">
        <v>2605</v>
      </c>
      <c r="E3194" t="s">
        <v>3315</v>
      </c>
      <c r="F3194" s="451">
        <v>46094</v>
      </c>
      <c r="G3194">
        <v>23503</v>
      </c>
      <c r="H3194" t="s">
        <v>5048</v>
      </c>
      <c r="I3194" t="s">
        <v>5191</v>
      </c>
      <c r="J3194">
        <v>1</v>
      </c>
      <c r="K3194" t="s">
        <v>4744</v>
      </c>
      <c r="L3194">
        <v>23.3</v>
      </c>
      <c r="M3194">
        <v>23.3</v>
      </c>
      <c r="N3194" t="s">
        <v>5272</v>
      </c>
      <c r="O3194" t="s">
        <v>461</v>
      </c>
    </row>
    <row r="3195" spans="1:15" x14ac:dyDescent="0.3">
      <c r="A3195">
        <v>220577</v>
      </c>
      <c r="B3195">
        <v>105</v>
      </c>
      <c r="C3195" t="s">
        <v>557</v>
      </c>
      <c r="D3195" t="s">
        <v>2605</v>
      </c>
      <c r="E3195" t="s">
        <v>3315</v>
      </c>
      <c r="F3195" s="451">
        <v>46094</v>
      </c>
      <c r="G3195">
        <v>23808</v>
      </c>
      <c r="H3195" t="s">
        <v>4982</v>
      </c>
      <c r="I3195" t="s">
        <v>5191</v>
      </c>
      <c r="J3195">
        <v>1</v>
      </c>
      <c r="K3195" t="s">
        <v>4744</v>
      </c>
      <c r="L3195">
        <v>33.549999999999997</v>
      </c>
      <c r="M3195">
        <v>33.549999999999997</v>
      </c>
      <c r="N3195" t="s">
        <v>5272</v>
      </c>
      <c r="O3195" t="s">
        <v>461</v>
      </c>
    </row>
    <row r="3196" spans="1:15" x14ac:dyDescent="0.3">
      <c r="A3196">
        <v>220577</v>
      </c>
      <c r="B3196">
        <v>105</v>
      </c>
      <c r="C3196" t="s">
        <v>557</v>
      </c>
      <c r="D3196" t="s">
        <v>2605</v>
      </c>
      <c r="E3196" t="s">
        <v>3315</v>
      </c>
      <c r="F3196" s="451">
        <v>46094</v>
      </c>
      <c r="G3196">
        <v>23819</v>
      </c>
      <c r="H3196" t="s">
        <v>4947</v>
      </c>
      <c r="I3196" t="s">
        <v>5191</v>
      </c>
      <c r="J3196">
        <v>2</v>
      </c>
      <c r="K3196" t="s">
        <v>4736</v>
      </c>
      <c r="L3196">
        <v>18.32</v>
      </c>
      <c r="M3196">
        <v>9.16</v>
      </c>
      <c r="N3196" t="s">
        <v>5272</v>
      </c>
      <c r="O3196" t="s">
        <v>461</v>
      </c>
    </row>
    <row r="3197" spans="1:15" x14ac:dyDescent="0.3">
      <c r="A3197">
        <v>220577</v>
      </c>
      <c r="B3197">
        <v>105</v>
      </c>
      <c r="C3197" t="s">
        <v>557</v>
      </c>
      <c r="D3197" t="s">
        <v>2605</v>
      </c>
      <c r="E3197" t="s">
        <v>3315</v>
      </c>
      <c r="F3197" s="451">
        <v>46094</v>
      </c>
      <c r="G3197">
        <v>20585</v>
      </c>
      <c r="H3197" t="s">
        <v>5025</v>
      </c>
      <c r="I3197" t="s">
        <v>5191</v>
      </c>
      <c r="J3197">
        <v>1</v>
      </c>
      <c r="K3197" t="s">
        <v>5227</v>
      </c>
      <c r="L3197">
        <v>27.4</v>
      </c>
      <c r="M3197">
        <v>27.4</v>
      </c>
      <c r="N3197" t="s">
        <v>5272</v>
      </c>
      <c r="O3197" t="s">
        <v>461</v>
      </c>
    </row>
    <row r="3198" spans="1:15" x14ac:dyDescent="0.3">
      <c r="A3198">
        <v>220577</v>
      </c>
      <c r="B3198">
        <v>105</v>
      </c>
      <c r="C3198" t="s">
        <v>557</v>
      </c>
      <c r="D3198" t="s">
        <v>2605</v>
      </c>
      <c r="E3198" t="s">
        <v>3315</v>
      </c>
      <c r="F3198" s="451">
        <v>46094</v>
      </c>
      <c r="G3198">
        <v>19978</v>
      </c>
      <c r="H3198" t="s">
        <v>4887</v>
      </c>
      <c r="I3198" t="s">
        <v>5191</v>
      </c>
      <c r="J3198">
        <v>2</v>
      </c>
      <c r="K3198" t="s">
        <v>5227</v>
      </c>
      <c r="L3198">
        <v>42.9</v>
      </c>
      <c r="M3198">
        <v>21.45</v>
      </c>
      <c r="N3198" t="s">
        <v>5272</v>
      </c>
      <c r="O3198" t="s">
        <v>461</v>
      </c>
    </row>
    <row r="3199" spans="1:15" x14ac:dyDescent="0.3">
      <c r="A3199">
        <v>220577</v>
      </c>
      <c r="B3199">
        <v>105</v>
      </c>
      <c r="C3199" t="s">
        <v>557</v>
      </c>
      <c r="D3199" t="s">
        <v>2605</v>
      </c>
      <c r="E3199" t="s">
        <v>3315</v>
      </c>
      <c r="F3199" s="451">
        <v>46094</v>
      </c>
      <c r="G3199">
        <v>19979</v>
      </c>
      <c r="H3199" t="s">
        <v>5270</v>
      </c>
      <c r="I3199" t="s">
        <v>5191</v>
      </c>
      <c r="J3199">
        <v>4</v>
      </c>
      <c r="K3199" t="s">
        <v>5227</v>
      </c>
      <c r="L3199">
        <v>85.8</v>
      </c>
      <c r="M3199">
        <v>21.45</v>
      </c>
      <c r="N3199" t="s">
        <v>5272</v>
      </c>
      <c r="O3199" t="s">
        <v>461</v>
      </c>
    </row>
    <row r="3200" spans="1:15" x14ac:dyDescent="0.3">
      <c r="A3200">
        <v>220577</v>
      </c>
      <c r="B3200">
        <v>105</v>
      </c>
      <c r="C3200" t="s">
        <v>557</v>
      </c>
      <c r="D3200" t="s">
        <v>2605</v>
      </c>
      <c r="E3200" t="s">
        <v>3315</v>
      </c>
      <c r="F3200" s="451">
        <v>46094</v>
      </c>
      <c r="G3200">
        <v>20689</v>
      </c>
      <c r="H3200" t="s">
        <v>5007</v>
      </c>
      <c r="I3200" t="s">
        <v>5191</v>
      </c>
      <c r="J3200">
        <v>3</v>
      </c>
      <c r="K3200" t="s">
        <v>5227</v>
      </c>
      <c r="L3200">
        <v>104.7</v>
      </c>
      <c r="M3200">
        <v>34.9</v>
      </c>
      <c r="N3200" t="s">
        <v>5272</v>
      </c>
      <c r="O3200" t="s">
        <v>461</v>
      </c>
    </row>
    <row r="3201" spans="1:15" x14ac:dyDescent="0.3">
      <c r="A3201">
        <v>220577</v>
      </c>
      <c r="B3201">
        <v>105</v>
      </c>
      <c r="C3201" t="s">
        <v>557</v>
      </c>
      <c r="D3201" t="s">
        <v>2605</v>
      </c>
      <c r="E3201" t="s">
        <v>3315</v>
      </c>
      <c r="F3201" s="451">
        <v>46094</v>
      </c>
      <c r="G3201">
        <v>19291</v>
      </c>
      <c r="H3201" t="s">
        <v>4870</v>
      </c>
      <c r="I3201" t="s">
        <v>5191</v>
      </c>
      <c r="J3201">
        <v>7</v>
      </c>
      <c r="K3201" t="s">
        <v>5227</v>
      </c>
      <c r="L3201">
        <v>496.3</v>
      </c>
      <c r="M3201">
        <v>70.900000000000006</v>
      </c>
      <c r="N3201" t="s">
        <v>5272</v>
      </c>
      <c r="O3201" t="s">
        <v>461</v>
      </c>
    </row>
    <row r="3202" spans="1:15" x14ac:dyDescent="0.3">
      <c r="A3202">
        <v>220577</v>
      </c>
      <c r="B3202">
        <v>105</v>
      </c>
      <c r="C3202" t="s">
        <v>557</v>
      </c>
      <c r="D3202" t="s">
        <v>2605</v>
      </c>
      <c r="E3202" t="s">
        <v>3315</v>
      </c>
      <c r="F3202" s="451">
        <v>46094</v>
      </c>
      <c r="G3202">
        <v>19405</v>
      </c>
      <c r="H3202" t="s">
        <v>5158</v>
      </c>
      <c r="I3202" t="s">
        <v>5191</v>
      </c>
      <c r="J3202">
        <v>1</v>
      </c>
      <c r="K3202" t="s">
        <v>5227</v>
      </c>
      <c r="L3202">
        <v>135.9</v>
      </c>
      <c r="M3202">
        <v>135.9</v>
      </c>
      <c r="N3202" t="s">
        <v>5272</v>
      </c>
      <c r="O3202" t="s">
        <v>461</v>
      </c>
    </row>
    <row r="3203" spans="1:15" x14ac:dyDescent="0.3">
      <c r="A3203">
        <v>220575</v>
      </c>
      <c r="B3203">
        <v>105</v>
      </c>
      <c r="C3203" t="s">
        <v>557</v>
      </c>
      <c r="D3203" t="s">
        <v>2581</v>
      </c>
      <c r="E3203" t="s">
        <v>3316</v>
      </c>
      <c r="F3203" s="451">
        <v>46093</v>
      </c>
      <c r="G3203">
        <v>19607</v>
      </c>
      <c r="H3203" t="s">
        <v>4981</v>
      </c>
      <c r="I3203" t="s">
        <v>5191</v>
      </c>
      <c r="J3203">
        <v>0.4</v>
      </c>
      <c r="K3203" t="s">
        <v>4744</v>
      </c>
      <c r="L3203">
        <v>6</v>
      </c>
      <c r="M3203">
        <v>15</v>
      </c>
      <c r="N3203" t="s">
        <v>5191</v>
      </c>
      <c r="O3203" t="s">
        <v>461</v>
      </c>
    </row>
    <row r="3204" spans="1:15" x14ac:dyDescent="0.3">
      <c r="A3204">
        <v>220575</v>
      </c>
      <c r="B3204">
        <v>105</v>
      </c>
      <c r="C3204" t="s">
        <v>557</v>
      </c>
      <c r="D3204" t="s">
        <v>2581</v>
      </c>
      <c r="E3204" t="s">
        <v>3316</v>
      </c>
      <c r="F3204" s="451">
        <v>46093</v>
      </c>
      <c r="G3204">
        <v>24083</v>
      </c>
      <c r="H3204" t="s">
        <v>5165</v>
      </c>
      <c r="I3204" t="s">
        <v>5191</v>
      </c>
      <c r="J3204">
        <v>80</v>
      </c>
      <c r="K3204" t="s">
        <v>4744</v>
      </c>
      <c r="L3204">
        <v>504</v>
      </c>
      <c r="M3204">
        <v>6.3</v>
      </c>
      <c r="N3204" t="s">
        <v>5191</v>
      </c>
      <c r="O3204" t="s">
        <v>461</v>
      </c>
    </row>
    <row r="3205" spans="1:15" x14ac:dyDescent="0.3">
      <c r="A3205">
        <v>220575</v>
      </c>
      <c r="B3205">
        <v>105</v>
      </c>
      <c r="C3205" t="s">
        <v>557</v>
      </c>
      <c r="D3205" t="s">
        <v>2581</v>
      </c>
      <c r="E3205" t="s">
        <v>3316</v>
      </c>
      <c r="F3205" s="451">
        <v>46093</v>
      </c>
      <c r="G3205">
        <v>19589</v>
      </c>
      <c r="H3205" t="s">
        <v>4983</v>
      </c>
      <c r="I3205" t="s">
        <v>5191</v>
      </c>
      <c r="J3205">
        <v>2</v>
      </c>
      <c r="K3205" t="s">
        <v>4744</v>
      </c>
      <c r="L3205">
        <v>16</v>
      </c>
      <c r="M3205">
        <v>8</v>
      </c>
      <c r="N3205" t="s">
        <v>5191</v>
      </c>
      <c r="O3205" t="s">
        <v>461</v>
      </c>
    </row>
    <row r="3206" spans="1:15" x14ac:dyDescent="0.3">
      <c r="A3206">
        <v>220575</v>
      </c>
      <c r="B3206">
        <v>105</v>
      </c>
      <c r="C3206" t="s">
        <v>557</v>
      </c>
      <c r="D3206" t="s">
        <v>2581</v>
      </c>
      <c r="E3206" t="s">
        <v>3316</v>
      </c>
      <c r="F3206" s="451">
        <v>46093</v>
      </c>
      <c r="G3206">
        <v>19506</v>
      </c>
      <c r="H3206" t="s">
        <v>5122</v>
      </c>
      <c r="I3206" t="s">
        <v>5191</v>
      </c>
      <c r="J3206">
        <v>0.2</v>
      </c>
      <c r="K3206" t="s">
        <v>4744</v>
      </c>
      <c r="L3206">
        <v>9</v>
      </c>
      <c r="M3206">
        <v>45</v>
      </c>
      <c r="N3206" t="s">
        <v>5191</v>
      </c>
      <c r="O3206" t="s">
        <v>461</v>
      </c>
    </row>
    <row r="3207" spans="1:15" x14ac:dyDescent="0.3">
      <c r="A3207">
        <v>220575</v>
      </c>
      <c r="B3207">
        <v>105</v>
      </c>
      <c r="C3207" t="s">
        <v>557</v>
      </c>
      <c r="D3207" t="s">
        <v>2581</v>
      </c>
      <c r="E3207" t="s">
        <v>3316</v>
      </c>
      <c r="F3207" s="451">
        <v>46093</v>
      </c>
      <c r="G3207">
        <v>19505</v>
      </c>
      <c r="H3207" t="s">
        <v>4872</v>
      </c>
      <c r="I3207" t="s">
        <v>5191</v>
      </c>
      <c r="J3207">
        <v>6</v>
      </c>
      <c r="K3207" t="s">
        <v>4744</v>
      </c>
      <c r="L3207">
        <v>73.2</v>
      </c>
      <c r="M3207">
        <v>12.2</v>
      </c>
      <c r="N3207" t="s">
        <v>5191</v>
      </c>
      <c r="O3207" t="s">
        <v>461</v>
      </c>
    </row>
    <row r="3208" spans="1:15" x14ac:dyDescent="0.3">
      <c r="A3208">
        <v>220575</v>
      </c>
      <c r="B3208">
        <v>105</v>
      </c>
      <c r="C3208" t="s">
        <v>557</v>
      </c>
      <c r="D3208" t="s">
        <v>2581</v>
      </c>
      <c r="E3208" t="s">
        <v>3316</v>
      </c>
      <c r="F3208" s="451">
        <v>46093</v>
      </c>
      <c r="G3208">
        <v>24509</v>
      </c>
      <c r="H3208" t="s">
        <v>4788</v>
      </c>
      <c r="I3208" t="s">
        <v>5191</v>
      </c>
      <c r="J3208">
        <v>6</v>
      </c>
      <c r="K3208" t="s">
        <v>4744</v>
      </c>
      <c r="L3208">
        <v>21</v>
      </c>
      <c r="M3208">
        <v>3.5</v>
      </c>
      <c r="N3208" t="s">
        <v>5191</v>
      </c>
      <c r="O3208" t="s">
        <v>461</v>
      </c>
    </row>
    <row r="3209" spans="1:15" x14ac:dyDescent="0.3">
      <c r="A3209">
        <v>220575</v>
      </c>
      <c r="B3209">
        <v>105</v>
      </c>
      <c r="C3209" t="s">
        <v>557</v>
      </c>
      <c r="D3209" t="s">
        <v>2581</v>
      </c>
      <c r="E3209" t="s">
        <v>3316</v>
      </c>
      <c r="F3209" s="451">
        <v>46093</v>
      </c>
      <c r="G3209">
        <v>19480</v>
      </c>
      <c r="H3209" t="s">
        <v>5119</v>
      </c>
      <c r="I3209" t="s">
        <v>5191</v>
      </c>
      <c r="J3209">
        <v>0.4</v>
      </c>
      <c r="K3209" t="s">
        <v>4744</v>
      </c>
      <c r="L3209">
        <v>8</v>
      </c>
      <c r="M3209">
        <v>20</v>
      </c>
      <c r="N3209" t="s">
        <v>5191</v>
      </c>
      <c r="O3209" t="s">
        <v>461</v>
      </c>
    </row>
    <row r="3210" spans="1:15" x14ac:dyDescent="0.3">
      <c r="A3210">
        <v>220575</v>
      </c>
      <c r="B3210">
        <v>105</v>
      </c>
      <c r="C3210" t="s">
        <v>557</v>
      </c>
      <c r="D3210" t="s">
        <v>2581</v>
      </c>
      <c r="E3210" t="s">
        <v>3316</v>
      </c>
      <c r="F3210" s="451">
        <v>46093</v>
      </c>
      <c r="G3210">
        <v>19502</v>
      </c>
      <c r="H3210" t="s">
        <v>4871</v>
      </c>
      <c r="I3210" t="s">
        <v>5191</v>
      </c>
      <c r="J3210">
        <v>3.5</v>
      </c>
      <c r="K3210" t="s">
        <v>4744</v>
      </c>
      <c r="L3210">
        <v>70</v>
      </c>
      <c r="M3210">
        <v>20</v>
      </c>
      <c r="N3210" t="s">
        <v>5191</v>
      </c>
      <c r="O3210" t="s">
        <v>461</v>
      </c>
    </row>
    <row r="3211" spans="1:15" x14ac:dyDescent="0.3">
      <c r="A3211">
        <v>220575</v>
      </c>
      <c r="B3211">
        <v>105</v>
      </c>
      <c r="C3211" t="s">
        <v>557</v>
      </c>
      <c r="D3211" t="s">
        <v>2581</v>
      </c>
      <c r="E3211" t="s">
        <v>3316</v>
      </c>
      <c r="F3211" s="451">
        <v>46093</v>
      </c>
      <c r="G3211">
        <v>19507</v>
      </c>
      <c r="H3211" t="s">
        <v>4853</v>
      </c>
      <c r="I3211" t="s">
        <v>5191</v>
      </c>
      <c r="J3211">
        <v>2</v>
      </c>
      <c r="K3211" t="s">
        <v>4744</v>
      </c>
      <c r="L3211">
        <v>27.6</v>
      </c>
      <c r="M3211">
        <v>13.8</v>
      </c>
      <c r="N3211" t="s">
        <v>5191</v>
      </c>
      <c r="O3211" t="s">
        <v>461</v>
      </c>
    </row>
    <row r="3212" spans="1:15" x14ac:dyDescent="0.3">
      <c r="A3212">
        <v>220575</v>
      </c>
      <c r="B3212">
        <v>105</v>
      </c>
      <c r="C3212" t="s">
        <v>557</v>
      </c>
      <c r="D3212" t="s">
        <v>2581</v>
      </c>
      <c r="E3212" t="s">
        <v>3316</v>
      </c>
      <c r="F3212" s="451">
        <v>46093</v>
      </c>
      <c r="G3212">
        <v>23359</v>
      </c>
      <c r="H3212" t="s">
        <v>4767</v>
      </c>
      <c r="I3212" t="s">
        <v>5191</v>
      </c>
      <c r="J3212">
        <v>15</v>
      </c>
      <c r="K3212" t="s">
        <v>4744</v>
      </c>
      <c r="L3212">
        <v>34.5</v>
      </c>
      <c r="M3212">
        <v>2.2999999999999998</v>
      </c>
      <c r="N3212" t="s">
        <v>5191</v>
      </c>
      <c r="O3212" t="s">
        <v>461</v>
      </c>
    </row>
    <row r="3213" spans="1:15" x14ac:dyDescent="0.3">
      <c r="A3213">
        <v>220575</v>
      </c>
      <c r="B3213">
        <v>105</v>
      </c>
      <c r="C3213" t="s">
        <v>557</v>
      </c>
      <c r="D3213" t="s">
        <v>2581</v>
      </c>
      <c r="E3213" t="s">
        <v>3316</v>
      </c>
      <c r="F3213" s="451">
        <v>46093</v>
      </c>
      <c r="G3213">
        <v>23390</v>
      </c>
      <c r="H3213" t="s">
        <v>4873</v>
      </c>
      <c r="I3213" t="s">
        <v>5191</v>
      </c>
      <c r="J3213">
        <v>1</v>
      </c>
      <c r="K3213" t="s">
        <v>4744</v>
      </c>
      <c r="L3213">
        <v>8.5</v>
      </c>
      <c r="M3213">
        <v>8.5</v>
      </c>
      <c r="N3213" t="s">
        <v>5191</v>
      </c>
      <c r="O3213" t="s">
        <v>461</v>
      </c>
    </row>
    <row r="3214" spans="1:15" x14ac:dyDescent="0.3">
      <c r="A3214">
        <v>220575</v>
      </c>
      <c r="B3214">
        <v>105</v>
      </c>
      <c r="C3214" t="s">
        <v>557</v>
      </c>
      <c r="D3214" t="s">
        <v>2581</v>
      </c>
      <c r="E3214" t="s">
        <v>3316</v>
      </c>
      <c r="F3214" s="451">
        <v>46093</v>
      </c>
      <c r="G3214">
        <v>24037</v>
      </c>
      <c r="H3214" t="s">
        <v>5233</v>
      </c>
      <c r="I3214" t="s">
        <v>5191</v>
      </c>
      <c r="J3214">
        <v>2</v>
      </c>
      <c r="K3214" t="s">
        <v>4744</v>
      </c>
      <c r="L3214">
        <v>37</v>
      </c>
      <c r="M3214">
        <v>18.5</v>
      </c>
      <c r="N3214" t="s">
        <v>5191</v>
      </c>
      <c r="O3214" t="s">
        <v>461</v>
      </c>
    </row>
    <row r="3215" spans="1:15" x14ac:dyDescent="0.3">
      <c r="A3215">
        <v>220575</v>
      </c>
      <c r="B3215">
        <v>105</v>
      </c>
      <c r="C3215" t="s">
        <v>557</v>
      </c>
      <c r="D3215" t="s">
        <v>2581</v>
      </c>
      <c r="E3215" t="s">
        <v>3316</v>
      </c>
      <c r="F3215" s="451">
        <v>46093</v>
      </c>
      <c r="G3215">
        <v>19472</v>
      </c>
      <c r="H3215" t="s">
        <v>4906</v>
      </c>
      <c r="I3215" t="s">
        <v>5191</v>
      </c>
      <c r="J3215">
        <v>2</v>
      </c>
      <c r="K3215" t="s">
        <v>4744</v>
      </c>
      <c r="L3215">
        <v>40</v>
      </c>
      <c r="M3215">
        <v>20</v>
      </c>
      <c r="N3215" t="s">
        <v>5191</v>
      </c>
      <c r="O3215" t="s">
        <v>461</v>
      </c>
    </row>
    <row r="3216" spans="1:15" x14ac:dyDescent="0.3">
      <c r="A3216">
        <v>220575</v>
      </c>
      <c r="B3216">
        <v>105</v>
      </c>
      <c r="C3216" t="s">
        <v>557</v>
      </c>
      <c r="D3216" t="s">
        <v>2581</v>
      </c>
      <c r="E3216" t="s">
        <v>3316</v>
      </c>
      <c r="F3216" s="451">
        <v>46093</v>
      </c>
      <c r="G3216">
        <v>19532</v>
      </c>
      <c r="H3216" t="s">
        <v>4753</v>
      </c>
      <c r="I3216" t="s">
        <v>5191</v>
      </c>
      <c r="J3216">
        <v>28</v>
      </c>
      <c r="K3216" t="s">
        <v>4744</v>
      </c>
      <c r="L3216">
        <v>285.60000000000002</v>
      </c>
      <c r="M3216">
        <v>10.199999999999999</v>
      </c>
      <c r="N3216" t="s">
        <v>5191</v>
      </c>
      <c r="O3216" t="s">
        <v>461</v>
      </c>
    </row>
    <row r="3217" spans="1:15" x14ac:dyDescent="0.3">
      <c r="A3217">
        <v>220570</v>
      </c>
      <c r="B3217">
        <v>105</v>
      </c>
      <c r="C3217" t="s">
        <v>557</v>
      </c>
      <c r="D3217" t="s">
        <v>2705</v>
      </c>
      <c r="E3217" t="s">
        <v>3317</v>
      </c>
      <c r="F3217" s="451">
        <v>46105</v>
      </c>
      <c r="G3217">
        <v>24658</v>
      </c>
      <c r="H3217" t="s">
        <v>5274</v>
      </c>
      <c r="I3217" t="s">
        <v>5232</v>
      </c>
      <c r="J3217">
        <v>20</v>
      </c>
      <c r="K3217" t="s">
        <v>4738</v>
      </c>
      <c r="L3217">
        <v>692</v>
      </c>
      <c r="M3217">
        <v>34.6</v>
      </c>
      <c r="N3217" t="s">
        <v>5275</v>
      </c>
      <c r="O3217" t="s">
        <v>461</v>
      </c>
    </row>
    <row r="3218" spans="1:15" x14ac:dyDescent="0.3">
      <c r="A3218">
        <v>220553</v>
      </c>
      <c r="B3218">
        <v>105</v>
      </c>
      <c r="C3218" t="s">
        <v>557</v>
      </c>
      <c r="D3218" t="s">
        <v>2607</v>
      </c>
      <c r="E3218" t="s">
        <v>3318</v>
      </c>
      <c r="F3218" s="451">
        <v>46095</v>
      </c>
      <c r="G3218">
        <v>27657</v>
      </c>
      <c r="H3218" t="s">
        <v>5137</v>
      </c>
      <c r="I3218" t="s">
        <v>5191</v>
      </c>
      <c r="J3218">
        <v>10.24</v>
      </c>
      <c r="K3218" t="s">
        <v>4744</v>
      </c>
      <c r="L3218">
        <v>409.09</v>
      </c>
      <c r="M3218">
        <v>39.950195000000001</v>
      </c>
      <c r="N3218" t="s">
        <v>5191</v>
      </c>
      <c r="O3218" t="s">
        <v>461</v>
      </c>
    </row>
    <row r="3219" spans="1:15" x14ac:dyDescent="0.3">
      <c r="A3219">
        <v>220553</v>
      </c>
      <c r="B3219">
        <v>105</v>
      </c>
      <c r="C3219" t="s">
        <v>557</v>
      </c>
      <c r="D3219" t="s">
        <v>2607</v>
      </c>
      <c r="E3219" t="s">
        <v>3318</v>
      </c>
      <c r="F3219" s="451">
        <v>46095</v>
      </c>
      <c r="G3219">
        <v>26135</v>
      </c>
      <c r="H3219" t="s">
        <v>4801</v>
      </c>
      <c r="I3219" t="s">
        <v>5191</v>
      </c>
      <c r="J3219">
        <v>10.88</v>
      </c>
      <c r="K3219" t="s">
        <v>4744</v>
      </c>
      <c r="L3219">
        <v>978.11</v>
      </c>
      <c r="M3219">
        <v>89.899816000000001</v>
      </c>
      <c r="N3219" t="s">
        <v>5191</v>
      </c>
      <c r="O3219" t="s">
        <v>461</v>
      </c>
    </row>
    <row r="3220" spans="1:15" x14ac:dyDescent="0.3">
      <c r="A3220">
        <v>220551</v>
      </c>
      <c r="B3220">
        <v>105</v>
      </c>
      <c r="C3220" t="s">
        <v>557</v>
      </c>
      <c r="D3220" t="s">
        <v>2588</v>
      </c>
      <c r="E3220" t="s">
        <v>3319</v>
      </c>
      <c r="F3220" s="451">
        <v>46093</v>
      </c>
      <c r="G3220">
        <v>20301</v>
      </c>
      <c r="H3220" t="s">
        <v>4944</v>
      </c>
      <c r="I3220" t="s">
        <v>5191</v>
      </c>
      <c r="J3220">
        <v>16</v>
      </c>
      <c r="K3220" t="s">
        <v>4738</v>
      </c>
      <c r="L3220">
        <v>302.39999999999998</v>
      </c>
      <c r="M3220">
        <v>18.899999999999999</v>
      </c>
      <c r="N3220" t="s">
        <v>5272</v>
      </c>
      <c r="O3220" t="s">
        <v>461</v>
      </c>
    </row>
    <row r="3221" spans="1:15" x14ac:dyDescent="0.3">
      <c r="A3221">
        <v>220551</v>
      </c>
      <c r="B3221">
        <v>105</v>
      </c>
      <c r="C3221" t="s">
        <v>557</v>
      </c>
      <c r="D3221" t="s">
        <v>2588</v>
      </c>
      <c r="E3221" t="s">
        <v>3319</v>
      </c>
      <c r="F3221" s="451">
        <v>46093</v>
      </c>
      <c r="G3221">
        <v>21030</v>
      </c>
      <c r="H3221" t="s">
        <v>5145</v>
      </c>
      <c r="I3221" t="s">
        <v>5191</v>
      </c>
      <c r="J3221">
        <v>12</v>
      </c>
      <c r="K3221" t="s">
        <v>4736</v>
      </c>
      <c r="L3221">
        <v>228.72</v>
      </c>
      <c r="M3221">
        <v>19.059999999999999</v>
      </c>
      <c r="N3221" t="s">
        <v>5272</v>
      </c>
      <c r="O3221" t="s">
        <v>461</v>
      </c>
    </row>
    <row r="3222" spans="1:15" x14ac:dyDescent="0.3">
      <c r="A3222">
        <v>220534</v>
      </c>
      <c r="B3222">
        <v>105</v>
      </c>
      <c r="C3222" t="s">
        <v>557</v>
      </c>
      <c r="D3222" t="s">
        <v>2615</v>
      </c>
      <c r="E3222" t="s">
        <v>3320</v>
      </c>
      <c r="F3222" s="451">
        <v>46100</v>
      </c>
      <c r="G3222">
        <v>20623</v>
      </c>
      <c r="H3222" t="s">
        <v>4814</v>
      </c>
      <c r="I3222" t="s">
        <v>5191</v>
      </c>
      <c r="J3222">
        <v>10</v>
      </c>
      <c r="K3222" t="s">
        <v>4736</v>
      </c>
      <c r="L3222">
        <v>123.9</v>
      </c>
      <c r="M3222">
        <v>12.39</v>
      </c>
      <c r="N3222" t="s">
        <v>5272</v>
      </c>
      <c r="O3222" t="s">
        <v>461</v>
      </c>
    </row>
    <row r="3223" spans="1:15" x14ac:dyDescent="0.3">
      <c r="A3223">
        <v>220533</v>
      </c>
      <c r="B3223">
        <v>105</v>
      </c>
      <c r="C3223" t="s">
        <v>557</v>
      </c>
      <c r="D3223" t="s">
        <v>2986</v>
      </c>
      <c r="E3223" t="s">
        <v>3321</v>
      </c>
      <c r="F3223" s="451">
        <v>46108</v>
      </c>
      <c r="G3223">
        <v>19439</v>
      </c>
      <c r="H3223" t="s">
        <v>4917</v>
      </c>
      <c r="I3223" t="s">
        <v>5191</v>
      </c>
      <c r="J3223">
        <v>3</v>
      </c>
      <c r="K3223" t="s">
        <v>4738</v>
      </c>
      <c r="L3223">
        <v>80.97</v>
      </c>
      <c r="M3223">
        <v>26.99</v>
      </c>
      <c r="N3223" t="s">
        <v>5272</v>
      </c>
      <c r="O3223" t="s">
        <v>461</v>
      </c>
    </row>
    <row r="3224" spans="1:15" x14ac:dyDescent="0.3">
      <c r="A3224">
        <v>220533</v>
      </c>
      <c r="B3224">
        <v>105</v>
      </c>
      <c r="C3224" t="s">
        <v>557</v>
      </c>
      <c r="D3224" t="s">
        <v>2986</v>
      </c>
      <c r="E3224" t="s">
        <v>3321</v>
      </c>
      <c r="F3224" s="451">
        <v>46108</v>
      </c>
      <c r="G3224">
        <v>20007</v>
      </c>
      <c r="H3224" t="s">
        <v>5101</v>
      </c>
      <c r="I3224" t="s">
        <v>5191</v>
      </c>
      <c r="J3224">
        <v>2</v>
      </c>
      <c r="K3224" t="s">
        <v>4884</v>
      </c>
      <c r="L3224">
        <v>99.72</v>
      </c>
      <c r="M3224">
        <v>49.86</v>
      </c>
      <c r="N3224" t="s">
        <v>5272</v>
      </c>
      <c r="O3224" t="s">
        <v>461</v>
      </c>
    </row>
    <row r="3225" spans="1:15" x14ac:dyDescent="0.3">
      <c r="A3225">
        <v>220533</v>
      </c>
      <c r="B3225">
        <v>105</v>
      </c>
      <c r="C3225" t="s">
        <v>557</v>
      </c>
      <c r="D3225" t="s">
        <v>2986</v>
      </c>
      <c r="E3225" t="s">
        <v>3321</v>
      </c>
      <c r="F3225" s="451">
        <v>46108</v>
      </c>
      <c r="G3225">
        <v>20928</v>
      </c>
      <c r="H3225" t="s">
        <v>4950</v>
      </c>
      <c r="I3225" t="s">
        <v>5191</v>
      </c>
      <c r="J3225">
        <v>1</v>
      </c>
      <c r="K3225" t="s">
        <v>4736</v>
      </c>
      <c r="L3225">
        <v>183.59</v>
      </c>
      <c r="M3225">
        <v>183.59</v>
      </c>
      <c r="N3225" t="s">
        <v>5272</v>
      </c>
      <c r="O3225" t="s">
        <v>461</v>
      </c>
    </row>
    <row r="3226" spans="1:15" x14ac:dyDescent="0.3">
      <c r="A3226">
        <v>220533</v>
      </c>
      <c r="B3226">
        <v>105</v>
      </c>
      <c r="C3226" t="s">
        <v>557</v>
      </c>
      <c r="D3226" t="s">
        <v>2986</v>
      </c>
      <c r="E3226" t="s">
        <v>3321</v>
      </c>
      <c r="F3226" s="451">
        <v>46108</v>
      </c>
      <c r="G3226">
        <v>25807</v>
      </c>
      <c r="H3226" t="s">
        <v>4951</v>
      </c>
      <c r="I3226" t="s">
        <v>5191</v>
      </c>
      <c r="J3226">
        <v>1</v>
      </c>
      <c r="K3226" t="s">
        <v>4736</v>
      </c>
      <c r="L3226">
        <v>173.99</v>
      </c>
      <c r="M3226">
        <v>173.99</v>
      </c>
      <c r="N3226" t="s">
        <v>5272</v>
      </c>
      <c r="O3226" t="s">
        <v>461</v>
      </c>
    </row>
    <row r="3227" spans="1:15" x14ac:dyDescent="0.3">
      <c r="A3227">
        <v>219738</v>
      </c>
      <c r="B3227">
        <v>105</v>
      </c>
      <c r="C3227" t="s">
        <v>557</v>
      </c>
      <c r="D3227" t="s">
        <v>2607</v>
      </c>
      <c r="E3227" t="s">
        <v>3322</v>
      </c>
      <c r="F3227" s="451">
        <v>46083</v>
      </c>
      <c r="G3227">
        <v>25777</v>
      </c>
      <c r="H3227" t="s">
        <v>4774</v>
      </c>
      <c r="I3227" t="s">
        <v>5191</v>
      </c>
      <c r="J3227">
        <v>20</v>
      </c>
      <c r="K3227" t="s">
        <v>4744</v>
      </c>
      <c r="L3227">
        <v>1700</v>
      </c>
      <c r="M3227">
        <v>85</v>
      </c>
      <c r="N3227" t="s">
        <v>5272</v>
      </c>
      <c r="O3227" t="s">
        <v>461</v>
      </c>
    </row>
    <row r="3228" spans="1:15" x14ac:dyDescent="0.3">
      <c r="A3228">
        <v>219736</v>
      </c>
      <c r="B3228">
        <v>105</v>
      </c>
      <c r="C3228" t="s">
        <v>557</v>
      </c>
      <c r="D3228" t="s">
        <v>2590</v>
      </c>
      <c r="E3228" t="s">
        <v>3323</v>
      </c>
      <c r="F3228" s="451">
        <v>46083</v>
      </c>
      <c r="G3228">
        <v>18636</v>
      </c>
      <c r="H3228" t="s">
        <v>4964</v>
      </c>
      <c r="I3228" t="s">
        <v>5222</v>
      </c>
      <c r="J3228">
        <v>8</v>
      </c>
      <c r="K3228" t="s">
        <v>4965</v>
      </c>
      <c r="L3228">
        <v>2813.92</v>
      </c>
      <c r="M3228">
        <v>351.74</v>
      </c>
      <c r="N3228" t="s">
        <v>5222</v>
      </c>
      <c r="O3228" t="s">
        <v>461</v>
      </c>
    </row>
    <row r="3229" spans="1:15" x14ac:dyDescent="0.3">
      <c r="A3229">
        <v>219736</v>
      </c>
      <c r="B3229">
        <v>105</v>
      </c>
      <c r="C3229" t="s">
        <v>557</v>
      </c>
      <c r="D3229" t="s">
        <v>2590</v>
      </c>
      <c r="E3229" t="s">
        <v>3323</v>
      </c>
      <c r="F3229" s="451">
        <v>46083</v>
      </c>
      <c r="G3229">
        <v>24142</v>
      </c>
      <c r="H3229" t="s">
        <v>5090</v>
      </c>
      <c r="I3229" t="s">
        <v>5222</v>
      </c>
      <c r="J3229">
        <v>2</v>
      </c>
      <c r="K3229" t="s">
        <v>4749</v>
      </c>
      <c r="L3229">
        <v>221.36</v>
      </c>
      <c r="M3229">
        <v>110.68</v>
      </c>
      <c r="N3229" t="s">
        <v>5222</v>
      </c>
      <c r="O3229" t="s">
        <v>461</v>
      </c>
    </row>
    <row r="3230" spans="1:15" x14ac:dyDescent="0.3">
      <c r="A3230">
        <v>219736</v>
      </c>
      <c r="B3230">
        <v>105</v>
      </c>
      <c r="C3230" t="s">
        <v>557</v>
      </c>
      <c r="D3230" t="s">
        <v>2590</v>
      </c>
      <c r="E3230" t="s">
        <v>3323</v>
      </c>
      <c r="F3230" s="451">
        <v>46083</v>
      </c>
      <c r="G3230">
        <v>18589</v>
      </c>
      <c r="H3230" t="s">
        <v>5089</v>
      </c>
      <c r="I3230" t="s">
        <v>5222</v>
      </c>
      <c r="J3230">
        <v>1</v>
      </c>
      <c r="K3230" t="s">
        <v>4738</v>
      </c>
      <c r="L3230">
        <v>110.68</v>
      </c>
      <c r="M3230">
        <v>110.68</v>
      </c>
      <c r="N3230" t="s">
        <v>5222</v>
      </c>
      <c r="O3230" t="s">
        <v>461</v>
      </c>
    </row>
    <row r="3231" spans="1:15" x14ac:dyDescent="0.3">
      <c r="A3231">
        <v>219736</v>
      </c>
      <c r="B3231">
        <v>105</v>
      </c>
      <c r="C3231" t="s">
        <v>557</v>
      </c>
      <c r="D3231" t="s">
        <v>2590</v>
      </c>
      <c r="E3231" t="s">
        <v>3323</v>
      </c>
      <c r="F3231" s="451">
        <v>46083</v>
      </c>
      <c r="G3231">
        <v>18595</v>
      </c>
      <c r="H3231" t="s">
        <v>5092</v>
      </c>
      <c r="I3231" t="s">
        <v>5222</v>
      </c>
      <c r="J3231">
        <v>1</v>
      </c>
      <c r="K3231" t="s">
        <v>4738</v>
      </c>
      <c r="L3231">
        <v>126.19</v>
      </c>
      <c r="M3231">
        <v>126.19</v>
      </c>
      <c r="N3231" t="s">
        <v>5222</v>
      </c>
      <c r="O3231" t="s">
        <v>461</v>
      </c>
    </row>
    <row r="3232" spans="1:15" x14ac:dyDescent="0.3">
      <c r="A3232">
        <v>219736</v>
      </c>
      <c r="B3232">
        <v>105</v>
      </c>
      <c r="C3232" t="s">
        <v>557</v>
      </c>
      <c r="D3232" t="s">
        <v>2590</v>
      </c>
      <c r="E3232" t="s">
        <v>3323</v>
      </c>
      <c r="F3232" s="451">
        <v>46083</v>
      </c>
      <c r="G3232">
        <v>17905</v>
      </c>
      <c r="H3232" t="s">
        <v>5085</v>
      </c>
      <c r="I3232" t="s">
        <v>5222</v>
      </c>
      <c r="J3232">
        <v>10</v>
      </c>
      <c r="K3232" t="s">
        <v>4738</v>
      </c>
      <c r="L3232">
        <v>199.7</v>
      </c>
      <c r="M3232">
        <v>19.97</v>
      </c>
      <c r="N3232" t="s">
        <v>5222</v>
      </c>
      <c r="O3232" t="s">
        <v>461</v>
      </c>
    </row>
    <row r="3233" spans="1:15" x14ac:dyDescent="0.3">
      <c r="A3233">
        <v>219736</v>
      </c>
      <c r="B3233">
        <v>105</v>
      </c>
      <c r="C3233" t="s">
        <v>557</v>
      </c>
      <c r="D3233" t="s">
        <v>2590</v>
      </c>
      <c r="E3233" t="s">
        <v>3323</v>
      </c>
      <c r="F3233" s="451">
        <v>46083</v>
      </c>
      <c r="G3233">
        <v>17883</v>
      </c>
      <c r="H3233" t="s">
        <v>5113</v>
      </c>
      <c r="I3233" t="s">
        <v>5222</v>
      </c>
      <c r="J3233">
        <v>4</v>
      </c>
      <c r="K3233" t="s">
        <v>4738</v>
      </c>
      <c r="L3233">
        <v>93.8</v>
      </c>
      <c r="M3233">
        <v>23.45</v>
      </c>
      <c r="N3233" t="s">
        <v>5222</v>
      </c>
      <c r="O3233" t="s">
        <v>461</v>
      </c>
    </row>
    <row r="3234" spans="1:15" x14ac:dyDescent="0.3">
      <c r="A3234">
        <v>219736</v>
      </c>
      <c r="B3234">
        <v>105</v>
      </c>
      <c r="C3234" t="s">
        <v>557</v>
      </c>
      <c r="D3234" t="s">
        <v>2590</v>
      </c>
      <c r="E3234" t="s">
        <v>3323</v>
      </c>
      <c r="F3234" s="451">
        <v>46083</v>
      </c>
      <c r="G3234">
        <v>17895</v>
      </c>
      <c r="H3234" t="s">
        <v>5086</v>
      </c>
      <c r="I3234" t="s">
        <v>5222</v>
      </c>
      <c r="J3234">
        <v>11</v>
      </c>
      <c r="K3234" t="s">
        <v>4738</v>
      </c>
      <c r="L3234">
        <v>253.66</v>
      </c>
      <c r="M3234">
        <v>23.06</v>
      </c>
      <c r="N3234" t="s">
        <v>5222</v>
      </c>
      <c r="O3234" t="s">
        <v>461</v>
      </c>
    </row>
    <row r="3235" spans="1:15" x14ac:dyDescent="0.3">
      <c r="A3235">
        <v>219736</v>
      </c>
      <c r="B3235">
        <v>105</v>
      </c>
      <c r="C3235" t="s">
        <v>557</v>
      </c>
      <c r="D3235" t="s">
        <v>2590</v>
      </c>
      <c r="E3235" t="s">
        <v>3323</v>
      </c>
      <c r="F3235" s="451">
        <v>46083</v>
      </c>
      <c r="G3235">
        <v>17881</v>
      </c>
      <c r="H3235" t="s">
        <v>5103</v>
      </c>
      <c r="I3235" t="s">
        <v>5222</v>
      </c>
      <c r="J3235">
        <v>3</v>
      </c>
      <c r="K3235" t="s">
        <v>4738</v>
      </c>
      <c r="L3235">
        <v>60.33</v>
      </c>
      <c r="M3235">
        <v>20.11</v>
      </c>
      <c r="N3235" t="s">
        <v>5222</v>
      </c>
      <c r="O3235" t="s">
        <v>461</v>
      </c>
    </row>
    <row r="3236" spans="1:15" x14ac:dyDescent="0.3">
      <c r="A3236">
        <v>219736</v>
      </c>
      <c r="B3236">
        <v>105</v>
      </c>
      <c r="C3236" t="s">
        <v>557</v>
      </c>
      <c r="D3236" t="s">
        <v>2590</v>
      </c>
      <c r="E3236" t="s">
        <v>3323</v>
      </c>
      <c r="F3236" s="451">
        <v>46083</v>
      </c>
      <c r="G3236">
        <v>24973</v>
      </c>
      <c r="H3236" t="s">
        <v>4819</v>
      </c>
      <c r="I3236" t="s">
        <v>5222</v>
      </c>
      <c r="J3236">
        <v>1</v>
      </c>
      <c r="K3236" t="s">
        <v>4738</v>
      </c>
      <c r="L3236">
        <v>68.790000000000006</v>
      </c>
      <c r="M3236">
        <v>68.790000000000006</v>
      </c>
      <c r="N3236" t="s">
        <v>5222</v>
      </c>
      <c r="O3236" t="s">
        <v>461</v>
      </c>
    </row>
    <row r="3237" spans="1:15" x14ac:dyDescent="0.3">
      <c r="A3237">
        <v>219736</v>
      </c>
      <c r="B3237">
        <v>105</v>
      </c>
      <c r="C3237" t="s">
        <v>557</v>
      </c>
      <c r="D3237" t="s">
        <v>2590</v>
      </c>
      <c r="E3237" t="s">
        <v>3323</v>
      </c>
      <c r="F3237" s="451">
        <v>46083</v>
      </c>
      <c r="G3237">
        <v>17918</v>
      </c>
      <c r="H3237" t="s">
        <v>5368</v>
      </c>
      <c r="I3237" t="s">
        <v>5222</v>
      </c>
      <c r="J3237">
        <v>2</v>
      </c>
      <c r="K3237" t="s">
        <v>4738</v>
      </c>
      <c r="L3237">
        <v>77.92</v>
      </c>
      <c r="M3237">
        <v>38.96</v>
      </c>
      <c r="N3237" t="s">
        <v>5222</v>
      </c>
      <c r="O3237" t="s">
        <v>461</v>
      </c>
    </row>
    <row r="3238" spans="1:15" x14ac:dyDescent="0.3">
      <c r="A3238">
        <v>219736</v>
      </c>
      <c r="B3238">
        <v>105</v>
      </c>
      <c r="C3238" t="s">
        <v>557</v>
      </c>
      <c r="D3238" t="s">
        <v>2590</v>
      </c>
      <c r="E3238" t="s">
        <v>3323</v>
      </c>
      <c r="F3238" s="451">
        <v>46083</v>
      </c>
      <c r="G3238">
        <v>18586</v>
      </c>
      <c r="H3238" t="s">
        <v>4966</v>
      </c>
      <c r="I3238" t="s">
        <v>5222</v>
      </c>
      <c r="J3238">
        <v>2</v>
      </c>
      <c r="K3238" t="s">
        <v>4738</v>
      </c>
      <c r="L3238">
        <v>257.94</v>
      </c>
      <c r="M3238">
        <v>128.97</v>
      </c>
      <c r="N3238" t="s">
        <v>5222</v>
      </c>
      <c r="O3238" t="s">
        <v>461</v>
      </c>
    </row>
    <row r="3239" spans="1:15" x14ac:dyDescent="0.3">
      <c r="A3239">
        <v>219736</v>
      </c>
      <c r="B3239">
        <v>105</v>
      </c>
      <c r="C3239" t="s">
        <v>557</v>
      </c>
      <c r="D3239" t="s">
        <v>2590</v>
      </c>
      <c r="E3239" t="s">
        <v>3323</v>
      </c>
      <c r="F3239" s="451">
        <v>46083</v>
      </c>
      <c r="G3239">
        <v>17903</v>
      </c>
      <c r="H3239" t="s">
        <v>5084</v>
      </c>
      <c r="I3239" t="s">
        <v>5222</v>
      </c>
      <c r="J3239">
        <v>5</v>
      </c>
      <c r="K3239" t="s">
        <v>4738</v>
      </c>
      <c r="L3239">
        <v>99.85</v>
      </c>
      <c r="M3239">
        <v>19.97</v>
      </c>
      <c r="N3239" t="s">
        <v>5222</v>
      </c>
      <c r="O3239" t="s">
        <v>461</v>
      </c>
    </row>
    <row r="3240" spans="1:15" x14ac:dyDescent="0.3">
      <c r="A3240">
        <v>219736</v>
      </c>
      <c r="B3240">
        <v>105</v>
      </c>
      <c r="C3240" t="s">
        <v>557</v>
      </c>
      <c r="D3240" t="s">
        <v>2590</v>
      </c>
      <c r="E3240" t="s">
        <v>3323</v>
      </c>
      <c r="F3240" s="451">
        <v>46083</v>
      </c>
      <c r="G3240">
        <v>24141</v>
      </c>
      <c r="H3240" t="s">
        <v>5088</v>
      </c>
      <c r="I3240" t="s">
        <v>5222</v>
      </c>
      <c r="J3240">
        <v>6</v>
      </c>
      <c r="K3240" t="s">
        <v>4749</v>
      </c>
      <c r="L3240">
        <v>591.12</v>
      </c>
      <c r="M3240">
        <v>98.52</v>
      </c>
      <c r="N3240" t="s">
        <v>5222</v>
      </c>
      <c r="O3240" t="s">
        <v>461</v>
      </c>
    </row>
    <row r="3241" spans="1:15" x14ac:dyDescent="0.3">
      <c r="A3241">
        <v>219736</v>
      </c>
      <c r="B3241">
        <v>105</v>
      </c>
      <c r="C3241" t="s">
        <v>557</v>
      </c>
      <c r="D3241" t="s">
        <v>2590</v>
      </c>
      <c r="E3241" t="s">
        <v>3323</v>
      </c>
      <c r="F3241" s="451">
        <v>46083</v>
      </c>
      <c r="G3241">
        <v>25561</v>
      </c>
      <c r="H3241" t="s">
        <v>5095</v>
      </c>
      <c r="I3241" t="s">
        <v>5222</v>
      </c>
      <c r="J3241">
        <v>2</v>
      </c>
      <c r="K3241" t="s">
        <v>4738</v>
      </c>
      <c r="L3241">
        <v>129.16</v>
      </c>
      <c r="M3241">
        <v>64.58</v>
      </c>
      <c r="N3241" t="s">
        <v>5222</v>
      </c>
      <c r="O3241" t="s">
        <v>461</v>
      </c>
    </row>
    <row r="3242" spans="1:15" x14ac:dyDescent="0.3">
      <c r="A3242">
        <v>219736</v>
      </c>
      <c r="B3242">
        <v>105</v>
      </c>
      <c r="C3242" t="s">
        <v>557</v>
      </c>
      <c r="D3242" t="s">
        <v>2590</v>
      </c>
      <c r="E3242" t="s">
        <v>3323</v>
      </c>
      <c r="F3242" s="451">
        <v>46083</v>
      </c>
      <c r="G3242">
        <v>26505</v>
      </c>
      <c r="H3242" t="s">
        <v>4750</v>
      </c>
      <c r="I3242" t="s">
        <v>5222</v>
      </c>
      <c r="J3242">
        <v>1</v>
      </c>
      <c r="K3242" t="s">
        <v>4738</v>
      </c>
      <c r="L3242">
        <v>179.18</v>
      </c>
      <c r="M3242">
        <v>179.18</v>
      </c>
      <c r="N3242" t="s">
        <v>5222</v>
      </c>
      <c r="O3242" t="s">
        <v>461</v>
      </c>
    </row>
    <row r="3243" spans="1:15" x14ac:dyDescent="0.3">
      <c r="A3243">
        <v>219736</v>
      </c>
      <c r="B3243">
        <v>105</v>
      </c>
      <c r="C3243" t="s">
        <v>557</v>
      </c>
      <c r="D3243" t="s">
        <v>2590</v>
      </c>
      <c r="E3243" t="s">
        <v>3323</v>
      </c>
      <c r="F3243" s="451">
        <v>46083</v>
      </c>
      <c r="G3243">
        <v>24981</v>
      </c>
      <c r="H3243" t="s">
        <v>5140</v>
      </c>
      <c r="I3243" t="s">
        <v>5222</v>
      </c>
      <c r="J3243">
        <v>1</v>
      </c>
      <c r="K3243" t="s">
        <v>4965</v>
      </c>
      <c r="L3243">
        <v>316.91000000000003</v>
      </c>
      <c r="M3243">
        <v>316.91000000000003</v>
      </c>
      <c r="N3243" t="s">
        <v>5222</v>
      </c>
      <c r="O3243" t="s">
        <v>461</v>
      </c>
    </row>
    <row r="3244" spans="1:15" x14ac:dyDescent="0.3">
      <c r="A3244">
        <v>219735</v>
      </c>
      <c r="B3244">
        <v>105</v>
      </c>
      <c r="C3244" t="s">
        <v>557</v>
      </c>
      <c r="D3244" t="s">
        <v>2707</v>
      </c>
      <c r="E3244" t="s">
        <v>3324</v>
      </c>
      <c r="F3244" s="451">
        <v>46097</v>
      </c>
      <c r="G3244">
        <v>24081</v>
      </c>
      <c r="H3244" t="s">
        <v>4834</v>
      </c>
      <c r="I3244" t="s">
        <v>5191</v>
      </c>
      <c r="J3244">
        <v>11.7</v>
      </c>
      <c r="K3244" t="s">
        <v>4744</v>
      </c>
      <c r="L3244">
        <v>278.45999999999998</v>
      </c>
      <c r="M3244">
        <v>23.8</v>
      </c>
      <c r="N3244" t="s">
        <v>5272</v>
      </c>
      <c r="O3244" t="s">
        <v>461</v>
      </c>
    </row>
    <row r="3245" spans="1:15" x14ac:dyDescent="0.3">
      <c r="A3245">
        <v>219734</v>
      </c>
      <c r="B3245">
        <v>105</v>
      </c>
      <c r="C3245" t="s">
        <v>557</v>
      </c>
      <c r="D3245" t="s">
        <v>2705</v>
      </c>
      <c r="E3245" t="s">
        <v>3325</v>
      </c>
      <c r="F3245" s="451">
        <v>46098</v>
      </c>
      <c r="G3245">
        <v>24658</v>
      </c>
      <c r="H3245" t="s">
        <v>5274</v>
      </c>
      <c r="I3245" t="s">
        <v>5232</v>
      </c>
      <c r="J3245">
        <v>20</v>
      </c>
      <c r="K3245" t="s">
        <v>4738</v>
      </c>
      <c r="L3245">
        <v>692</v>
      </c>
      <c r="M3245">
        <v>34.6</v>
      </c>
      <c r="N3245" t="s">
        <v>5275</v>
      </c>
      <c r="O3245" t="s">
        <v>461</v>
      </c>
    </row>
    <row r="3246" spans="1:15" x14ac:dyDescent="0.3">
      <c r="A3246">
        <v>219733</v>
      </c>
      <c r="B3246">
        <v>105</v>
      </c>
      <c r="C3246" t="s">
        <v>557</v>
      </c>
      <c r="D3246" t="s">
        <v>2779</v>
      </c>
      <c r="E3246" t="s">
        <v>3326</v>
      </c>
      <c r="F3246" s="451">
        <v>46098</v>
      </c>
      <c r="G3246">
        <v>19003</v>
      </c>
      <c r="H3246" t="s">
        <v>4810</v>
      </c>
      <c r="I3246" t="s">
        <v>5191</v>
      </c>
      <c r="J3246">
        <v>17.8</v>
      </c>
      <c r="K3246" t="s">
        <v>4744</v>
      </c>
      <c r="L3246">
        <v>710.22</v>
      </c>
      <c r="M3246">
        <v>39.9</v>
      </c>
      <c r="N3246" t="s">
        <v>5272</v>
      </c>
      <c r="O3246" t="s">
        <v>461</v>
      </c>
    </row>
    <row r="3247" spans="1:15" x14ac:dyDescent="0.3">
      <c r="A3247">
        <v>219733</v>
      </c>
      <c r="B3247">
        <v>105</v>
      </c>
      <c r="C3247" t="s">
        <v>557</v>
      </c>
      <c r="D3247" t="s">
        <v>2779</v>
      </c>
      <c r="E3247" t="s">
        <v>3326</v>
      </c>
      <c r="F3247" s="451">
        <v>46098</v>
      </c>
      <c r="G3247">
        <v>26679</v>
      </c>
      <c r="H3247" t="s">
        <v>4791</v>
      </c>
      <c r="I3247" t="s">
        <v>5191</v>
      </c>
      <c r="J3247">
        <v>28.21</v>
      </c>
      <c r="K3247" t="s">
        <v>4744</v>
      </c>
      <c r="L3247">
        <v>787.06</v>
      </c>
      <c r="M3247">
        <v>27.900034999999999</v>
      </c>
      <c r="N3247" t="s">
        <v>5272</v>
      </c>
      <c r="O3247" t="s">
        <v>461</v>
      </c>
    </row>
    <row r="3248" spans="1:15" x14ac:dyDescent="0.3">
      <c r="A3248">
        <v>219733</v>
      </c>
      <c r="B3248">
        <v>105</v>
      </c>
      <c r="C3248" t="s">
        <v>557</v>
      </c>
      <c r="D3248" t="s">
        <v>2779</v>
      </c>
      <c r="E3248" t="s">
        <v>3326</v>
      </c>
      <c r="F3248" s="451">
        <v>46098</v>
      </c>
      <c r="G3248">
        <v>24191</v>
      </c>
      <c r="H3248" t="s">
        <v>4846</v>
      </c>
      <c r="I3248" t="s">
        <v>5191</v>
      </c>
      <c r="J3248">
        <v>5.15</v>
      </c>
      <c r="K3248" t="s">
        <v>4744</v>
      </c>
      <c r="L3248">
        <v>184.89</v>
      </c>
      <c r="M3248">
        <v>35.900970999999998</v>
      </c>
      <c r="N3248" t="s">
        <v>5272</v>
      </c>
      <c r="O3248" t="s">
        <v>461</v>
      </c>
    </row>
    <row r="3249" spans="1:15" x14ac:dyDescent="0.3">
      <c r="A3249">
        <v>219732</v>
      </c>
      <c r="B3249">
        <v>105</v>
      </c>
      <c r="C3249" t="s">
        <v>557</v>
      </c>
      <c r="D3249" t="s">
        <v>2581</v>
      </c>
      <c r="E3249" t="s">
        <v>3327</v>
      </c>
      <c r="F3249" s="451">
        <v>46083</v>
      </c>
      <c r="G3249">
        <v>19623</v>
      </c>
      <c r="H3249" t="s">
        <v>4764</v>
      </c>
      <c r="I3249" t="s">
        <v>5191</v>
      </c>
      <c r="J3249">
        <v>6</v>
      </c>
      <c r="K3249" t="s">
        <v>4744</v>
      </c>
      <c r="L3249">
        <v>25.5</v>
      </c>
      <c r="M3249">
        <v>4.25</v>
      </c>
      <c r="N3249" t="s">
        <v>5272</v>
      </c>
      <c r="O3249" t="s">
        <v>461</v>
      </c>
    </row>
    <row r="3250" spans="1:15" x14ac:dyDescent="0.3">
      <c r="A3250">
        <v>219732</v>
      </c>
      <c r="B3250">
        <v>105</v>
      </c>
      <c r="C3250" t="s">
        <v>557</v>
      </c>
      <c r="D3250" t="s">
        <v>2581</v>
      </c>
      <c r="E3250" t="s">
        <v>3327</v>
      </c>
      <c r="F3250" s="451">
        <v>46083</v>
      </c>
      <c r="G3250">
        <v>19502</v>
      </c>
      <c r="H3250" t="s">
        <v>4871</v>
      </c>
      <c r="I3250" t="s">
        <v>5191</v>
      </c>
      <c r="J3250">
        <v>1</v>
      </c>
      <c r="K3250" t="s">
        <v>4744</v>
      </c>
      <c r="L3250">
        <v>25</v>
      </c>
      <c r="M3250">
        <v>25</v>
      </c>
      <c r="N3250" t="s">
        <v>5272</v>
      </c>
      <c r="O3250" t="s">
        <v>461</v>
      </c>
    </row>
    <row r="3251" spans="1:15" x14ac:dyDescent="0.3">
      <c r="A3251">
        <v>219732</v>
      </c>
      <c r="B3251">
        <v>105</v>
      </c>
      <c r="C3251" t="s">
        <v>557</v>
      </c>
      <c r="D3251" t="s">
        <v>2581</v>
      </c>
      <c r="E3251" t="s">
        <v>3327</v>
      </c>
      <c r="F3251" s="451">
        <v>46083</v>
      </c>
      <c r="G3251">
        <v>19506</v>
      </c>
      <c r="H3251" t="s">
        <v>5122</v>
      </c>
      <c r="I3251" t="s">
        <v>5191</v>
      </c>
      <c r="J3251">
        <v>0.3</v>
      </c>
      <c r="K3251" t="s">
        <v>4744</v>
      </c>
      <c r="L3251">
        <v>11.4</v>
      </c>
      <c r="M3251">
        <v>38</v>
      </c>
      <c r="N3251" t="s">
        <v>5272</v>
      </c>
      <c r="O3251" t="s">
        <v>461</v>
      </c>
    </row>
    <row r="3252" spans="1:15" x14ac:dyDescent="0.3">
      <c r="A3252">
        <v>219732</v>
      </c>
      <c r="B3252">
        <v>105</v>
      </c>
      <c r="C3252" t="s">
        <v>557</v>
      </c>
      <c r="D3252" t="s">
        <v>2581</v>
      </c>
      <c r="E3252" t="s">
        <v>3327</v>
      </c>
      <c r="F3252" s="451">
        <v>46083</v>
      </c>
      <c r="G3252">
        <v>24099</v>
      </c>
      <c r="H3252" t="s">
        <v>4933</v>
      </c>
      <c r="I3252" t="s">
        <v>5191</v>
      </c>
      <c r="J3252">
        <v>2</v>
      </c>
      <c r="K3252" t="s">
        <v>4744</v>
      </c>
      <c r="L3252">
        <v>36</v>
      </c>
      <c r="M3252">
        <v>18</v>
      </c>
      <c r="N3252" t="s">
        <v>5272</v>
      </c>
      <c r="O3252" t="s">
        <v>461</v>
      </c>
    </row>
    <row r="3253" spans="1:15" x14ac:dyDescent="0.3">
      <c r="A3253">
        <v>219732</v>
      </c>
      <c r="B3253">
        <v>105</v>
      </c>
      <c r="C3253" t="s">
        <v>557</v>
      </c>
      <c r="D3253" t="s">
        <v>2581</v>
      </c>
      <c r="E3253" t="s">
        <v>3327</v>
      </c>
      <c r="F3253" s="451">
        <v>46083</v>
      </c>
      <c r="G3253">
        <v>19476</v>
      </c>
      <c r="H3253" t="s">
        <v>5115</v>
      </c>
      <c r="I3253" t="s">
        <v>5191</v>
      </c>
      <c r="J3253">
        <v>0.3</v>
      </c>
      <c r="K3253" t="s">
        <v>4744</v>
      </c>
      <c r="L3253">
        <v>19.5</v>
      </c>
      <c r="M3253">
        <v>65</v>
      </c>
      <c r="N3253" t="s">
        <v>5272</v>
      </c>
      <c r="O3253" t="s">
        <v>461</v>
      </c>
    </row>
    <row r="3254" spans="1:15" x14ac:dyDescent="0.3">
      <c r="A3254">
        <v>219732</v>
      </c>
      <c r="B3254">
        <v>105</v>
      </c>
      <c r="C3254" t="s">
        <v>557</v>
      </c>
      <c r="D3254" t="s">
        <v>2581</v>
      </c>
      <c r="E3254" t="s">
        <v>3327</v>
      </c>
      <c r="F3254" s="451">
        <v>46083</v>
      </c>
      <c r="G3254">
        <v>19488</v>
      </c>
      <c r="H3254" t="s">
        <v>5107</v>
      </c>
      <c r="I3254" t="s">
        <v>5191</v>
      </c>
      <c r="J3254">
        <v>0.3</v>
      </c>
      <c r="K3254" t="s">
        <v>4744</v>
      </c>
      <c r="L3254">
        <v>3.9</v>
      </c>
      <c r="M3254">
        <v>13</v>
      </c>
      <c r="N3254" t="s">
        <v>5272</v>
      </c>
      <c r="O3254" t="s">
        <v>461</v>
      </c>
    </row>
    <row r="3255" spans="1:15" x14ac:dyDescent="0.3">
      <c r="A3255">
        <v>219732</v>
      </c>
      <c r="B3255">
        <v>105</v>
      </c>
      <c r="C3255" t="s">
        <v>557</v>
      </c>
      <c r="D3255" t="s">
        <v>2581</v>
      </c>
      <c r="E3255" t="s">
        <v>3327</v>
      </c>
      <c r="F3255" s="451">
        <v>46083</v>
      </c>
      <c r="G3255">
        <v>19740</v>
      </c>
      <c r="H3255" t="s">
        <v>4779</v>
      </c>
      <c r="I3255" t="s">
        <v>5191</v>
      </c>
      <c r="J3255">
        <v>8</v>
      </c>
      <c r="K3255" t="s">
        <v>4744</v>
      </c>
      <c r="L3255">
        <v>120</v>
      </c>
      <c r="M3255">
        <v>15</v>
      </c>
      <c r="N3255" t="s">
        <v>5272</v>
      </c>
      <c r="O3255" t="s">
        <v>461</v>
      </c>
    </row>
    <row r="3256" spans="1:15" x14ac:dyDescent="0.3">
      <c r="A3256">
        <v>219732</v>
      </c>
      <c r="B3256">
        <v>105</v>
      </c>
      <c r="C3256" t="s">
        <v>557</v>
      </c>
      <c r="D3256" t="s">
        <v>2581</v>
      </c>
      <c r="E3256" t="s">
        <v>3327</v>
      </c>
      <c r="F3256" s="451">
        <v>46083</v>
      </c>
      <c r="G3256">
        <v>19617</v>
      </c>
      <c r="H3256" t="s">
        <v>5071</v>
      </c>
      <c r="I3256" t="s">
        <v>5191</v>
      </c>
      <c r="J3256">
        <v>0.3</v>
      </c>
      <c r="K3256" t="s">
        <v>4744</v>
      </c>
      <c r="L3256">
        <v>7.5</v>
      </c>
      <c r="M3256">
        <v>25</v>
      </c>
      <c r="N3256" t="s">
        <v>5272</v>
      </c>
      <c r="O3256" t="s">
        <v>461</v>
      </c>
    </row>
    <row r="3257" spans="1:15" x14ac:dyDescent="0.3">
      <c r="A3257">
        <v>219732</v>
      </c>
      <c r="B3257">
        <v>105</v>
      </c>
      <c r="C3257" t="s">
        <v>557</v>
      </c>
      <c r="D3257" t="s">
        <v>2581</v>
      </c>
      <c r="E3257" t="s">
        <v>3327</v>
      </c>
      <c r="F3257" s="451">
        <v>46083</v>
      </c>
      <c r="G3257">
        <v>19635</v>
      </c>
      <c r="H3257" t="s">
        <v>4786</v>
      </c>
      <c r="I3257" t="s">
        <v>5191</v>
      </c>
      <c r="J3257">
        <v>8</v>
      </c>
      <c r="K3257" t="s">
        <v>4744</v>
      </c>
      <c r="L3257">
        <v>49.6</v>
      </c>
      <c r="M3257">
        <v>6.2</v>
      </c>
      <c r="N3257" t="s">
        <v>5272</v>
      </c>
      <c r="O3257" t="s">
        <v>461</v>
      </c>
    </row>
    <row r="3258" spans="1:15" x14ac:dyDescent="0.3">
      <c r="A3258">
        <v>219732</v>
      </c>
      <c r="B3258">
        <v>105</v>
      </c>
      <c r="C3258" t="s">
        <v>557</v>
      </c>
      <c r="D3258" t="s">
        <v>2581</v>
      </c>
      <c r="E3258" t="s">
        <v>3327</v>
      </c>
      <c r="F3258" s="451">
        <v>46083</v>
      </c>
      <c r="G3258">
        <v>19507</v>
      </c>
      <c r="H3258" t="s">
        <v>4853</v>
      </c>
      <c r="I3258" t="s">
        <v>5191</v>
      </c>
      <c r="J3258">
        <v>1.3</v>
      </c>
      <c r="K3258" t="s">
        <v>4744</v>
      </c>
      <c r="L3258">
        <v>22.1</v>
      </c>
      <c r="M3258">
        <v>17</v>
      </c>
      <c r="N3258" t="s">
        <v>5272</v>
      </c>
      <c r="O3258" t="s">
        <v>461</v>
      </c>
    </row>
    <row r="3259" spans="1:15" x14ac:dyDescent="0.3">
      <c r="A3259">
        <v>219732</v>
      </c>
      <c r="B3259">
        <v>105</v>
      </c>
      <c r="C3259" t="s">
        <v>557</v>
      </c>
      <c r="D3259" t="s">
        <v>2581</v>
      </c>
      <c r="E3259" t="s">
        <v>3327</v>
      </c>
      <c r="F3259" s="451">
        <v>46083</v>
      </c>
      <c r="G3259">
        <v>23390</v>
      </c>
      <c r="H3259" t="s">
        <v>4873</v>
      </c>
      <c r="I3259" t="s">
        <v>5191</v>
      </c>
      <c r="J3259">
        <v>1</v>
      </c>
      <c r="K3259" t="s">
        <v>4744</v>
      </c>
      <c r="L3259">
        <v>8.5</v>
      </c>
      <c r="M3259">
        <v>8.5</v>
      </c>
      <c r="N3259" t="s">
        <v>5272</v>
      </c>
      <c r="O3259" t="s">
        <v>461</v>
      </c>
    </row>
    <row r="3260" spans="1:15" x14ac:dyDescent="0.3">
      <c r="A3260">
        <v>219732</v>
      </c>
      <c r="B3260">
        <v>105</v>
      </c>
      <c r="C3260" t="s">
        <v>557</v>
      </c>
      <c r="D3260" t="s">
        <v>2581</v>
      </c>
      <c r="E3260" t="s">
        <v>3327</v>
      </c>
      <c r="F3260" s="451">
        <v>46083</v>
      </c>
      <c r="G3260">
        <v>23095</v>
      </c>
      <c r="H3260" t="s">
        <v>4741</v>
      </c>
      <c r="I3260" t="s">
        <v>5191</v>
      </c>
      <c r="J3260">
        <v>100</v>
      </c>
      <c r="K3260" t="s">
        <v>4736</v>
      </c>
      <c r="L3260">
        <v>127</v>
      </c>
      <c r="M3260">
        <v>1.27</v>
      </c>
      <c r="N3260" t="s">
        <v>5272</v>
      </c>
      <c r="O3260" t="s">
        <v>461</v>
      </c>
    </row>
    <row r="3261" spans="1:15" x14ac:dyDescent="0.3">
      <c r="A3261">
        <v>219732</v>
      </c>
      <c r="B3261">
        <v>105</v>
      </c>
      <c r="C3261" t="s">
        <v>557</v>
      </c>
      <c r="D3261" t="s">
        <v>2581</v>
      </c>
      <c r="E3261" t="s">
        <v>3327</v>
      </c>
      <c r="F3261" s="451">
        <v>46083</v>
      </c>
      <c r="G3261">
        <v>23236</v>
      </c>
      <c r="H3261" t="s">
        <v>5062</v>
      </c>
      <c r="I3261" t="s">
        <v>5191</v>
      </c>
      <c r="J3261">
        <v>3</v>
      </c>
      <c r="K3261" t="s">
        <v>4744</v>
      </c>
      <c r="L3261">
        <v>24</v>
      </c>
      <c r="M3261">
        <v>8</v>
      </c>
      <c r="N3261" t="s">
        <v>5272</v>
      </c>
      <c r="O3261" t="s">
        <v>461</v>
      </c>
    </row>
    <row r="3262" spans="1:15" x14ac:dyDescent="0.3">
      <c r="A3262">
        <v>219732</v>
      </c>
      <c r="B3262">
        <v>105</v>
      </c>
      <c r="C3262" t="s">
        <v>557</v>
      </c>
      <c r="D3262" t="s">
        <v>2581</v>
      </c>
      <c r="E3262" t="s">
        <v>3327</v>
      </c>
      <c r="F3262" s="451">
        <v>46083</v>
      </c>
      <c r="G3262">
        <v>23365</v>
      </c>
      <c r="H3262" t="s">
        <v>5108</v>
      </c>
      <c r="I3262" t="s">
        <v>5191</v>
      </c>
      <c r="J3262">
        <v>0.5</v>
      </c>
      <c r="K3262" t="s">
        <v>4744</v>
      </c>
      <c r="L3262">
        <v>11</v>
      </c>
      <c r="M3262">
        <v>22</v>
      </c>
      <c r="N3262" t="s">
        <v>5272</v>
      </c>
      <c r="O3262" t="s">
        <v>461</v>
      </c>
    </row>
    <row r="3263" spans="1:15" x14ac:dyDescent="0.3">
      <c r="A3263">
        <v>219732</v>
      </c>
      <c r="B3263">
        <v>105</v>
      </c>
      <c r="C3263" t="s">
        <v>557</v>
      </c>
      <c r="D3263" t="s">
        <v>2581</v>
      </c>
      <c r="E3263" t="s">
        <v>3327</v>
      </c>
      <c r="F3263" s="451">
        <v>46083</v>
      </c>
      <c r="G3263">
        <v>19472</v>
      </c>
      <c r="H3263" t="s">
        <v>4906</v>
      </c>
      <c r="I3263" t="s">
        <v>5191</v>
      </c>
      <c r="J3263">
        <v>2</v>
      </c>
      <c r="K3263" t="s">
        <v>4744</v>
      </c>
      <c r="L3263">
        <v>50</v>
      </c>
      <c r="M3263">
        <v>25</v>
      </c>
      <c r="N3263" t="s">
        <v>5272</v>
      </c>
      <c r="O3263" t="s">
        <v>461</v>
      </c>
    </row>
    <row r="3264" spans="1:15" x14ac:dyDescent="0.3">
      <c r="A3264">
        <v>219731</v>
      </c>
      <c r="B3264">
        <v>105</v>
      </c>
      <c r="C3264" t="s">
        <v>557</v>
      </c>
      <c r="D3264" t="s">
        <v>3328</v>
      </c>
      <c r="E3264" t="s">
        <v>3329</v>
      </c>
      <c r="F3264" s="451">
        <v>46083</v>
      </c>
      <c r="G3264">
        <v>19634</v>
      </c>
      <c r="H3264" t="s">
        <v>4792</v>
      </c>
      <c r="I3264" t="s">
        <v>5191</v>
      </c>
      <c r="J3264">
        <v>4</v>
      </c>
      <c r="K3264" t="s">
        <v>4744</v>
      </c>
      <c r="L3264">
        <v>37.520000000000003</v>
      </c>
      <c r="M3264">
        <v>9.3800000000000008</v>
      </c>
      <c r="N3264" t="s">
        <v>5272</v>
      </c>
      <c r="O3264" t="s">
        <v>461</v>
      </c>
    </row>
    <row r="3265" spans="1:15" x14ac:dyDescent="0.3">
      <c r="A3265">
        <v>219731</v>
      </c>
      <c r="B3265">
        <v>105</v>
      </c>
      <c r="C3265" t="s">
        <v>557</v>
      </c>
      <c r="D3265" t="s">
        <v>3328</v>
      </c>
      <c r="E3265" t="s">
        <v>3329</v>
      </c>
      <c r="F3265" s="451">
        <v>46083</v>
      </c>
      <c r="G3265">
        <v>19505</v>
      </c>
      <c r="H3265" t="s">
        <v>4872</v>
      </c>
      <c r="I3265" t="s">
        <v>5191</v>
      </c>
      <c r="J3265">
        <v>4</v>
      </c>
      <c r="K3265" t="s">
        <v>4744</v>
      </c>
      <c r="L3265">
        <v>62.52</v>
      </c>
      <c r="M3265">
        <v>15.63</v>
      </c>
      <c r="N3265" t="s">
        <v>5272</v>
      </c>
      <c r="O3265" t="s">
        <v>461</v>
      </c>
    </row>
    <row r="3266" spans="1:15" x14ac:dyDescent="0.3">
      <c r="A3266">
        <v>219731</v>
      </c>
      <c r="B3266">
        <v>105</v>
      </c>
      <c r="C3266" t="s">
        <v>557</v>
      </c>
      <c r="D3266" t="s">
        <v>3328</v>
      </c>
      <c r="E3266" t="s">
        <v>3329</v>
      </c>
      <c r="F3266" s="451">
        <v>46083</v>
      </c>
      <c r="G3266">
        <v>24509</v>
      </c>
      <c r="H3266" t="s">
        <v>4788</v>
      </c>
      <c r="I3266" t="s">
        <v>5191</v>
      </c>
      <c r="J3266">
        <v>6</v>
      </c>
      <c r="K3266" t="s">
        <v>4744</v>
      </c>
      <c r="L3266">
        <v>18.78</v>
      </c>
      <c r="M3266">
        <v>3.13</v>
      </c>
      <c r="N3266" t="s">
        <v>5272</v>
      </c>
      <c r="O3266" t="s">
        <v>461</v>
      </c>
    </row>
    <row r="3267" spans="1:15" x14ac:dyDescent="0.3">
      <c r="A3267">
        <v>219731</v>
      </c>
      <c r="B3267">
        <v>105</v>
      </c>
      <c r="C3267" t="s">
        <v>557</v>
      </c>
      <c r="D3267" t="s">
        <v>3328</v>
      </c>
      <c r="E3267" t="s">
        <v>3329</v>
      </c>
      <c r="F3267" s="451">
        <v>46083</v>
      </c>
      <c r="G3267">
        <v>19765</v>
      </c>
      <c r="H3267" t="s">
        <v>4889</v>
      </c>
      <c r="I3267" t="s">
        <v>5191</v>
      </c>
      <c r="J3267">
        <v>2</v>
      </c>
      <c r="K3267" t="s">
        <v>4744</v>
      </c>
      <c r="L3267">
        <v>70</v>
      </c>
      <c r="M3267">
        <v>35</v>
      </c>
      <c r="N3267" t="s">
        <v>5272</v>
      </c>
      <c r="O3267" t="s">
        <v>461</v>
      </c>
    </row>
    <row r="3268" spans="1:15" x14ac:dyDescent="0.3">
      <c r="A3268">
        <v>219731</v>
      </c>
      <c r="B3268">
        <v>105</v>
      </c>
      <c r="C3268" t="s">
        <v>557</v>
      </c>
      <c r="D3268" t="s">
        <v>3328</v>
      </c>
      <c r="E3268" t="s">
        <v>3329</v>
      </c>
      <c r="F3268" s="451">
        <v>46083</v>
      </c>
      <c r="G3268">
        <v>23184</v>
      </c>
      <c r="H3268" t="s">
        <v>4935</v>
      </c>
      <c r="I3268" t="s">
        <v>5191</v>
      </c>
      <c r="J3268">
        <v>2</v>
      </c>
      <c r="K3268" t="s">
        <v>4744</v>
      </c>
      <c r="L3268">
        <v>25</v>
      </c>
      <c r="M3268">
        <v>12.5</v>
      </c>
      <c r="N3268" t="s">
        <v>5272</v>
      </c>
      <c r="O3268" t="s">
        <v>461</v>
      </c>
    </row>
    <row r="3269" spans="1:15" x14ac:dyDescent="0.3">
      <c r="A3269">
        <v>219729</v>
      </c>
      <c r="B3269">
        <v>105</v>
      </c>
      <c r="C3269" t="s">
        <v>557</v>
      </c>
      <c r="D3269" t="s">
        <v>2716</v>
      </c>
      <c r="E3269" t="s">
        <v>2855</v>
      </c>
      <c r="F3269" s="451">
        <v>46101</v>
      </c>
      <c r="G3269">
        <v>24351</v>
      </c>
      <c r="H3269" t="s">
        <v>5014</v>
      </c>
      <c r="I3269" t="s">
        <v>5191</v>
      </c>
      <c r="J3269">
        <v>8</v>
      </c>
      <c r="K3269" t="s">
        <v>4744</v>
      </c>
      <c r="L3269">
        <v>240</v>
      </c>
      <c r="M3269">
        <v>30</v>
      </c>
      <c r="N3269" t="s">
        <v>5272</v>
      </c>
      <c r="O3269" t="s">
        <v>461</v>
      </c>
    </row>
    <row r="3270" spans="1:15" x14ac:dyDescent="0.3">
      <c r="A3270">
        <v>219728</v>
      </c>
      <c r="B3270">
        <v>105</v>
      </c>
      <c r="C3270" t="s">
        <v>557</v>
      </c>
      <c r="D3270" t="s">
        <v>2697</v>
      </c>
      <c r="E3270" t="s">
        <v>3330</v>
      </c>
      <c r="F3270" s="451">
        <v>46098</v>
      </c>
      <c r="G3270">
        <v>23974</v>
      </c>
      <c r="H3270" t="s">
        <v>4862</v>
      </c>
      <c r="I3270" t="s">
        <v>5222</v>
      </c>
      <c r="J3270">
        <v>78</v>
      </c>
      <c r="K3270" t="s">
        <v>4736</v>
      </c>
      <c r="L3270">
        <v>168.48</v>
      </c>
      <c r="M3270">
        <v>2.16</v>
      </c>
      <c r="N3270" t="s">
        <v>5222</v>
      </c>
      <c r="O3270" t="s">
        <v>461</v>
      </c>
    </row>
    <row r="3271" spans="1:15" x14ac:dyDescent="0.3">
      <c r="A3271">
        <v>219727</v>
      </c>
      <c r="B3271">
        <v>105</v>
      </c>
      <c r="C3271" t="s">
        <v>557</v>
      </c>
      <c r="D3271" t="s">
        <v>2552</v>
      </c>
      <c r="E3271" t="s">
        <v>3331</v>
      </c>
      <c r="F3271" s="451">
        <v>46101</v>
      </c>
      <c r="G3271">
        <v>26627</v>
      </c>
      <c r="H3271" t="s">
        <v>5190</v>
      </c>
      <c r="I3271" t="s">
        <v>5191</v>
      </c>
      <c r="J3271">
        <v>20</v>
      </c>
      <c r="K3271" t="s">
        <v>4744</v>
      </c>
      <c r="L3271">
        <v>158</v>
      </c>
      <c r="M3271">
        <v>7.9</v>
      </c>
      <c r="N3271" t="s">
        <v>5191</v>
      </c>
      <c r="O3271" t="s">
        <v>461</v>
      </c>
    </row>
    <row r="3272" spans="1:15" x14ac:dyDescent="0.3">
      <c r="A3272">
        <v>219726</v>
      </c>
      <c r="B3272">
        <v>105</v>
      </c>
      <c r="C3272" t="s">
        <v>557</v>
      </c>
      <c r="D3272" t="s">
        <v>2600</v>
      </c>
      <c r="E3272" t="s">
        <v>3149</v>
      </c>
      <c r="F3272" s="451">
        <v>46084</v>
      </c>
      <c r="G3272">
        <v>24197</v>
      </c>
      <c r="H3272" t="s">
        <v>5237</v>
      </c>
      <c r="I3272" t="s">
        <v>5191</v>
      </c>
      <c r="J3272">
        <v>5</v>
      </c>
      <c r="K3272" t="s">
        <v>4744</v>
      </c>
      <c r="L3272">
        <v>119.95</v>
      </c>
      <c r="M3272">
        <v>23.99</v>
      </c>
      <c r="N3272" t="s">
        <v>5272</v>
      </c>
      <c r="O3272" t="s">
        <v>461</v>
      </c>
    </row>
    <row r="3273" spans="1:15" x14ac:dyDescent="0.3">
      <c r="A3273">
        <v>219725</v>
      </c>
      <c r="B3273">
        <v>105</v>
      </c>
      <c r="C3273" t="s">
        <v>557</v>
      </c>
      <c r="D3273" t="s">
        <v>2563</v>
      </c>
      <c r="E3273" t="s">
        <v>3332</v>
      </c>
      <c r="F3273" s="451">
        <v>46083</v>
      </c>
      <c r="G3273">
        <v>19621</v>
      </c>
      <c r="H3273" t="s">
        <v>4829</v>
      </c>
      <c r="I3273" t="s">
        <v>5191</v>
      </c>
      <c r="J3273">
        <v>2</v>
      </c>
      <c r="K3273" t="s">
        <v>4744</v>
      </c>
      <c r="L3273">
        <v>6.08</v>
      </c>
      <c r="M3273">
        <v>3.04</v>
      </c>
      <c r="N3273" t="s">
        <v>1785</v>
      </c>
      <c r="O3273" t="s">
        <v>461</v>
      </c>
    </row>
    <row r="3274" spans="1:15" x14ac:dyDescent="0.3">
      <c r="A3274">
        <v>219725</v>
      </c>
      <c r="B3274">
        <v>105</v>
      </c>
      <c r="C3274" t="s">
        <v>557</v>
      </c>
      <c r="D3274" t="s">
        <v>2563</v>
      </c>
      <c r="E3274" t="s">
        <v>3332</v>
      </c>
      <c r="F3274" s="451">
        <v>46083</v>
      </c>
      <c r="G3274">
        <v>19589</v>
      </c>
      <c r="H3274" t="s">
        <v>4983</v>
      </c>
      <c r="I3274" t="s">
        <v>5191</v>
      </c>
      <c r="J3274">
        <v>2</v>
      </c>
      <c r="K3274" t="s">
        <v>4744</v>
      </c>
      <c r="L3274">
        <v>11.16</v>
      </c>
      <c r="M3274">
        <v>5.58</v>
      </c>
      <c r="N3274" t="s">
        <v>1785</v>
      </c>
      <c r="O3274" t="s">
        <v>461</v>
      </c>
    </row>
    <row r="3275" spans="1:15" x14ac:dyDescent="0.3">
      <c r="A3275">
        <v>219725</v>
      </c>
      <c r="B3275">
        <v>105</v>
      </c>
      <c r="C3275" t="s">
        <v>557</v>
      </c>
      <c r="D3275" t="s">
        <v>2563</v>
      </c>
      <c r="E3275" t="s">
        <v>3332</v>
      </c>
      <c r="F3275" s="451">
        <v>46083</v>
      </c>
      <c r="G3275">
        <v>19492</v>
      </c>
      <c r="H3275" t="s">
        <v>4937</v>
      </c>
      <c r="I3275" t="s">
        <v>5191</v>
      </c>
      <c r="J3275">
        <v>2</v>
      </c>
      <c r="K3275" t="s">
        <v>4744</v>
      </c>
      <c r="L3275">
        <v>39.880000000000003</v>
      </c>
      <c r="M3275">
        <v>19.940000000000001</v>
      </c>
      <c r="N3275" t="s">
        <v>1785</v>
      </c>
      <c r="O3275" t="s">
        <v>461</v>
      </c>
    </row>
    <row r="3276" spans="1:15" x14ac:dyDescent="0.3">
      <c r="A3276">
        <v>219725</v>
      </c>
      <c r="B3276">
        <v>105</v>
      </c>
      <c r="C3276" t="s">
        <v>557</v>
      </c>
      <c r="D3276" t="s">
        <v>2563</v>
      </c>
      <c r="E3276" t="s">
        <v>3332</v>
      </c>
      <c r="F3276" s="451">
        <v>46083</v>
      </c>
      <c r="G3276">
        <v>19742</v>
      </c>
      <c r="H3276" t="s">
        <v>4900</v>
      </c>
      <c r="I3276" t="s">
        <v>5191</v>
      </c>
      <c r="J3276">
        <v>2</v>
      </c>
      <c r="K3276" t="s">
        <v>4744</v>
      </c>
      <c r="L3276">
        <v>24.8</v>
      </c>
      <c r="M3276">
        <v>12.4</v>
      </c>
      <c r="N3276" t="s">
        <v>1785</v>
      </c>
      <c r="O3276" t="s">
        <v>461</v>
      </c>
    </row>
    <row r="3277" spans="1:15" x14ac:dyDescent="0.3">
      <c r="A3277">
        <v>219725</v>
      </c>
      <c r="B3277">
        <v>105</v>
      </c>
      <c r="C3277" t="s">
        <v>557</v>
      </c>
      <c r="D3277" t="s">
        <v>2563</v>
      </c>
      <c r="E3277" t="s">
        <v>3332</v>
      </c>
      <c r="F3277" s="451">
        <v>46083</v>
      </c>
      <c r="G3277">
        <v>23228</v>
      </c>
      <c r="H3277" t="s">
        <v>4782</v>
      </c>
      <c r="I3277" t="s">
        <v>5191</v>
      </c>
      <c r="J3277">
        <v>6</v>
      </c>
      <c r="K3277" t="s">
        <v>4744</v>
      </c>
      <c r="L3277">
        <v>39.18</v>
      </c>
      <c r="M3277">
        <v>6.53</v>
      </c>
      <c r="N3277" t="s">
        <v>1785</v>
      </c>
      <c r="O3277" t="s">
        <v>461</v>
      </c>
    </row>
    <row r="3278" spans="1:15" x14ac:dyDescent="0.3">
      <c r="A3278">
        <v>219725</v>
      </c>
      <c r="B3278">
        <v>105</v>
      </c>
      <c r="C3278" t="s">
        <v>557</v>
      </c>
      <c r="D3278" t="s">
        <v>2563</v>
      </c>
      <c r="E3278" t="s">
        <v>3332</v>
      </c>
      <c r="F3278" s="451">
        <v>46083</v>
      </c>
      <c r="G3278">
        <v>19551</v>
      </c>
      <c r="H3278" t="s">
        <v>4905</v>
      </c>
      <c r="I3278" t="s">
        <v>5191</v>
      </c>
      <c r="J3278">
        <v>2.7</v>
      </c>
      <c r="K3278" t="s">
        <v>4744</v>
      </c>
      <c r="L3278">
        <v>31.7</v>
      </c>
      <c r="M3278">
        <v>11.740741</v>
      </c>
      <c r="N3278" t="s">
        <v>1785</v>
      </c>
      <c r="O3278" t="s">
        <v>461</v>
      </c>
    </row>
    <row r="3279" spans="1:15" x14ac:dyDescent="0.3">
      <c r="A3279">
        <v>219725</v>
      </c>
      <c r="B3279">
        <v>105</v>
      </c>
      <c r="C3279" t="s">
        <v>557</v>
      </c>
      <c r="D3279" t="s">
        <v>2563</v>
      </c>
      <c r="E3279" t="s">
        <v>3332</v>
      </c>
      <c r="F3279" s="451">
        <v>46083</v>
      </c>
      <c r="G3279">
        <v>23389</v>
      </c>
      <c r="H3279" t="s">
        <v>4960</v>
      </c>
      <c r="I3279" t="s">
        <v>5191</v>
      </c>
      <c r="J3279">
        <v>3.5</v>
      </c>
      <c r="K3279" t="s">
        <v>4744</v>
      </c>
      <c r="L3279">
        <v>16.91</v>
      </c>
      <c r="M3279">
        <v>4.831429</v>
      </c>
      <c r="N3279" t="s">
        <v>1785</v>
      </c>
      <c r="O3279" t="s">
        <v>461</v>
      </c>
    </row>
    <row r="3280" spans="1:15" x14ac:dyDescent="0.3">
      <c r="A3280">
        <v>219725</v>
      </c>
      <c r="B3280">
        <v>105</v>
      </c>
      <c r="C3280" t="s">
        <v>557</v>
      </c>
      <c r="D3280" t="s">
        <v>2563</v>
      </c>
      <c r="E3280" t="s">
        <v>3332</v>
      </c>
      <c r="F3280" s="451">
        <v>46083</v>
      </c>
      <c r="G3280">
        <v>19632</v>
      </c>
      <c r="H3280" t="s">
        <v>4936</v>
      </c>
      <c r="I3280" t="s">
        <v>5191</v>
      </c>
      <c r="J3280">
        <v>2</v>
      </c>
      <c r="K3280" t="s">
        <v>4744</v>
      </c>
      <c r="L3280">
        <v>10.16</v>
      </c>
      <c r="M3280">
        <v>5.08</v>
      </c>
      <c r="N3280" t="s">
        <v>1785</v>
      </c>
      <c r="O3280" t="s">
        <v>461</v>
      </c>
    </row>
    <row r="3281" spans="1:15" x14ac:dyDescent="0.3">
      <c r="A3281">
        <v>219723</v>
      </c>
      <c r="B3281">
        <v>105</v>
      </c>
      <c r="C3281" t="s">
        <v>557</v>
      </c>
      <c r="D3281" t="s">
        <v>2729</v>
      </c>
      <c r="E3281" t="s">
        <v>3333</v>
      </c>
      <c r="F3281" s="451">
        <v>46097</v>
      </c>
      <c r="G3281">
        <v>19346</v>
      </c>
      <c r="H3281" t="s">
        <v>4835</v>
      </c>
      <c r="I3281" t="s">
        <v>5191</v>
      </c>
      <c r="J3281">
        <v>5.92</v>
      </c>
      <c r="K3281" t="s">
        <v>4744</v>
      </c>
      <c r="L3281">
        <v>345.14</v>
      </c>
      <c r="M3281">
        <v>58.300676000000003</v>
      </c>
      <c r="N3281" t="s">
        <v>5191</v>
      </c>
      <c r="O3281" t="s">
        <v>461</v>
      </c>
    </row>
    <row r="3282" spans="1:15" x14ac:dyDescent="0.3">
      <c r="A3282">
        <v>219722</v>
      </c>
      <c r="B3282">
        <v>105</v>
      </c>
      <c r="C3282" t="s">
        <v>557</v>
      </c>
      <c r="D3282" t="s">
        <v>2729</v>
      </c>
      <c r="E3282" t="s">
        <v>3333</v>
      </c>
      <c r="F3282" s="451">
        <v>46097</v>
      </c>
      <c r="G3282">
        <v>19346</v>
      </c>
      <c r="H3282" t="s">
        <v>4835</v>
      </c>
      <c r="I3282" t="s">
        <v>5191</v>
      </c>
      <c r="J3282">
        <v>5.92</v>
      </c>
      <c r="K3282" t="s">
        <v>4744</v>
      </c>
      <c r="L3282">
        <v>345.14</v>
      </c>
      <c r="M3282">
        <v>58.300676000000003</v>
      </c>
      <c r="N3282" t="s">
        <v>5191</v>
      </c>
      <c r="O3282" t="s">
        <v>461</v>
      </c>
    </row>
    <row r="3283" spans="1:15" x14ac:dyDescent="0.3">
      <c r="A3283">
        <v>219721</v>
      </c>
      <c r="B3283">
        <v>105</v>
      </c>
      <c r="C3283" t="s">
        <v>557</v>
      </c>
      <c r="D3283" t="s">
        <v>2653</v>
      </c>
      <c r="E3283" t="s">
        <v>3334</v>
      </c>
      <c r="F3283" s="451">
        <v>46097</v>
      </c>
      <c r="G3283">
        <v>24200</v>
      </c>
      <c r="H3283" t="s">
        <v>4820</v>
      </c>
      <c r="I3283" t="s">
        <v>5191</v>
      </c>
      <c r="J3283">
        <v>5.5</v>
      </c>
      <c r="K3283" t="s">
        <v>4744</v>
      </c>
      <c r="L3283">
        <v>180.95</v>
      </c>
      <c r="M3283">
        <v>32.9</v>
      </c>
      <c r="N3283" t="s">
        <v>5272</v>
      </c>
      <c r="O3283" t="s">
        <v>461</v>
      </c>
    </row>
    <row r="3284" spans="1:15" x14ac:dyDescent="0.3">
      <c r="A3284">
        <v>219720</v>
      </c>
      <c r="B3284">
        <v>105</v>
      </c>
      <c r="C3284" t="s">
        <v>557</v>
      </c>
      <c r="D3284" t="s">
        <v>2653</v>
      </c>
      <c r="E3284" t="s">
        <v>3335</v>
      </c>
      <c r="F3284" s="451">
        <v>46104</v>
      </c>
      <c r="G3284">
        <v>24200</v>
      </c>
      <c r="H3284" t="s">
        <v>4820</v>
      </c>
      <c r="I3284" t="s">
        <v>5191</v>
      </c>
      <c r="J3284">
        <v>5.4</v>
      </c>
      <c r="K3284" t="s">
        <v>4744</v>
      </c>
      <c r="L3284">
        <v>177.66</v>
      </c>
      <c r="M3284">
        <v>32.9</v>
      </c>
      <c r="N3284" t="s">
        <v>1785</v>
      </c>
      <c r="O3284" t="s">
        <v>461</v>
      </c>
    </row>
    <row r="3285" spans="1:15" x14ac:dyDescent="0.3">
      <c r="A3285">
        <v>219719</v>
      </c>
      <c r="B3285">
        <v>105</v>
      </c>
      <c r="C3285" t="s">
        <v>557</v>
      </c>
      <c r="D3285" t="s">
        <v>2991</v>
      </c>
      <c r="E3285" t="s">
        <v>3336</v>
      </c>
      <c r="F3285" s="451">
        <v>46098</v>
      </c>
      <c r="G3285">
        <v>17958</v>
      </c>
      <c r="H3285" t="s">
        <v>5076</v>
      </c>
      <c r="I3285" t="s">
        <v>5222</v>
      </c>
      <c r="J3285">
        <v>15</v>
      </c>
      <c r="K3285" t="s">
        <v>4738</v>
      </c>
      <c r="L3285">
        <v>244.35</v>
      </c>
      <c r="M3285">
        <v>16.29</v>
      </c>
      <c r="N3285" t="s">
        <v>5271</v>
      </c>
      <c r="O3285" t="s">
        <v>461</v>
      </c>
    </row>
    <row r="3286" spans="1:15" x14ac:dyDescent="0.3">
      <c r="A3286">
        <v>219719</v>
      </c>
      <c r="B3286">
        <v>105</v>
      </c>
      <c r="C3286" t="s">
        <v>557</v>
      </c>
      <c r="D3286" t="s">
        <v>2991</v>
      </c>
      <c r="E3286" t="s">
        <v>3336</v>
      </c>
      <c r="F3286" s="451">
        <v>46098</v>
      </c>
      <c r="G3286">
        <v>17950</v>
      </c>
      <c r="H3286" t="s">
        <v>5091</v>
      </c>
      <c r="I3286" t="s">
        <v>5222</v>
      </c>
      <c r="J3286">
        <v>16</v>
      </c>
      <c r="K3286" t="s">
        <v>4738</v>
      </c>
      <c r="L3286">
        <v>271.83999999999997</v>
      </c>
      <c r="M3286">
        <v>16.989999999999998</v>
      </c>
      <c r="N3286" t="s">
        <v>5271</v>
      </c>
      <c r="O3286" t="s">
        <v>461</v>
      </c>
    </row>
    <row r="3287" spans="1:15" x14ac:dyDescent="0.3">
      <c r="A3287">
        <v>219718</v>
      </c>
      <c r="B3287">
        <v>105</v>
      </c>
      <c r="C3287" t="s">
        <v>557</v>
      </c>
      <c r="D3287" t="s">
        <v>2554</v>
      </c>
      <c r="E3287" t="s">
        <v>3337</v>
      </c>
      <c r="F3287" s="451">
        <v>46101</v>
      </c>
      <c r="G3287">
        <v>17129</v>
      </c>
      <c r="H3287" t="s">
        <v>5202</v>
      </c>
      <c r="I3287" t="s">
        <v>5188</v>
      </c>
      <c r="J3287">
        <v>1</v>
      </c>
      <c r="K3287" t="s">
        <v>4738</v>
      </c>
      <c r="L3287">
        <v>26.61</v>
      </c>
      <c r="M3287">
        <v>26.61</v>
      </c>
      <c r="N3287" t="s">
        <v>5277</v>
      </c>
      <c r="O3287" t="s">
        <v>461</v>
      </c>
    </row>
    <row r="3288" spans="1:15" x14ac:dyDescent="0.3">
      <c r="A3288">
        <v>219718</v>
      </c>
      <c r="B3288">
        <v>105</v>
      </c>
      <c r="C3288" t="s">
        <v>557</v>
      </c>
      <c r="D3288" t="s">
        <v>2554</v>
      </c>
      <c r="E3288" t="s">
        <v>3337</v>
      </c>
      <c r="F3288" s="451">
        <v>46101</v>
      </c>
      <c r="G3288">
        <v>17437</v>
      </c>
      <c r="H3288" t="s">
        <v>5203</v>
      </c>
      <c r="I3288" t="s">
        <v>5188</v>
      </c>
      <c r="J3288">
        <v>15</v>
      </c>
      <c r="K3288" t="s">
        <v>4736</v>
      </c>
      <c r="L3288">
        <v>34.5</v>
      </c>
      <c r="M3288">
        <v>2.2999999999999998</v>
      </c>
      <c r="N3288" t="s">
        <v>5277</v>
      </c>
      <c r="O3288" t="s">
        <v>461</v>
      </c>
    </row>
    <row r="3289" spans="1:15" x14ac:dyDescent="0.3">
      <c r="A3289">
        <v>219718</v>
      </c>
      <c r="B3289">
        <v>105</v>
      </c>
      <c r="C3289" t="s">
        <v>557</v>
      </c>
      <c r="D3289" t="s">
        <v>2554</v>
      </c>
      <c r="E3289" t="s">
        <v>3337</v>
      </c>
      <c r="F3289" s="451">
        <v>46101</v>
      </c>
      <c r="G3289">
        <v>17190</v>
      </c>
      <c r="H3289" t="s">
        <v>5193</v>
      </c>
      <c r="I3289" t="s">
        <v>5188</v>
      </c>
      <c r="J3289">
        <v>2</v>
      </c>
      <c r="K3289" t="s">
        <v>4738</v>
      </c>
      <c r="L3289">
        <v>16.2</v>
      </c>
      <c r="M3289">
        <v>8.1</v>
      </c>
      <c r="N3289" t="s">
        <v>5277</v>
      </c>
      <c r="O3289" t="s">
        <v>461</v>
      </c>
    </row>
    <row r="3290" spans="1:15" x14ac:dyDescent="0.3">
      <c r="A3290">
        <v>219718</v>
      </c>
      <c r="B3290">
        <v>105</v>
      </c>
      <c r="C3290" t="s">
        <v>557</v>
      </c>
      <c r="D3290" t="s">
        <v>2554</v>
      </c>
      <c r="E3290" t="s">
        <v>3337</v>
      </c>
      <c r="F3290" s="451">
        <v>46101</v>
      </c>
      <c r="G3290">
        <v>17046</v>
      </c>
      <c r="H3290" t="s">
        <v>5194</v>
      </c>
      <c r="I3290" t="s">
        <v>5188</v>
      </c>
      <c r="J3290">
        <v>1</v>
      </c>
      <c r="K3290" t="s">
        <v>4736</v>
      </c>
      <c r="L3290">
        <v>34.5</v>
      </c>
      <c r="M3290">
        <v>34.5</v>
      </c>
      <c r="N3290" t="s">
        <v>5277</v>
      </c>
      <c r="O3290" t="s">
        <v>461</v>
      </c>
    </row>
    <row r="3291" spans="1:15" x14ac:dyDescent="0.3">
      <c r="A3291">
        <v>219718</v>
      </c>
      <c r="B3291">
        <v>105</v>
      </c>
      <c r="C3291" t="s">
        <v>557</v>
      </c>
      <c r="D3291" t="s">
        <v>2554</v>
      </c>
      <c r="E3291" t="s">
        <v>3337</v>
      </c>
      <c r="F3291" s="451">
        <v>46101</v>
      </c>
      <c r="G3291">
        <v>17314</v>
      </c>
      <c r="H3291" t="s">
        <v>5208</v>
      </c>
      <c r="I3291" t="s">
        <v>5188</v>
      </c>
      <c r="J3291">
        <v>3</v>
      </c>
      <c r="K3291" t="s">
        <v>4848</v>
      </c>
      <c r="L3291">
        <v>17.670000000000002</v>
      </c>
      <c r="M3291">
        <v>5.89</v>
      </c>
      <c r="N3291" t="s">
        <v>5277</v>
      </c>
      <c r="O3291" t="s">
        <v>461</v>
      </c>
    </row>
    <row r="3292" spans="1:15" x14ac:dyDescent="0.3">
      <c r="A3292">
        <v>219718</v>
      </c>
      <c r="B3292">
        <v>105</v>
      </c>
      <c r="C3292" t="s">
        <v>557</v>
      </c>
      <c r="D3292" t="s">
        <v>2554</v>
      </c>
      <c r="E3292" t="s">
        <v>3337</v>
      </c>
      <c r="F3292" s="451">
        <v>46101</v>
      </c>
      <c r="G3292">
        <v>17404</v>
      </c>
      <c r="H3292" t="s">
        <v>5295</v>
      </c>
      <c r="I3292" t="s">
        <v>5188</v>
      </c>
      <c r="J3292">
        <v>1</v>
      </c>
      <c r="K3292" t="s">
        <v>4736</v>
      </c>
      <c r="L3292">
        <v>18.43</v>
      </c>
      <c r="M3292">
        <v>18.43</v>
      </c>
      <c r="N3292" t="s">
        <v>5277</v>
      </c>
      <c r="O3292" t="s">
        <v>461</v>
      </c>
    </row>
    <row r="3293" spans="1:15" x14ac:dyDescent="0.3">
      <c r="A3293">
        <v>219718</v>
      </c>
      <c r="B3293">
        <v>105</v>
      </c>
      <c r="C3293" t="s">
        <v>557</v>
      </c>
      <c r="D3293" t="s">
        <v>2554</v>
      </c>
      <c r="E3293" t="s">
        <v>3337</v>
      </c>
      <c r="F3293" s="451">
        <v>46101</v>
      </c>
      <c r="G3293">
        <v>17473</v>
      </c>
      <c r="H3293" t="s">
        <v>5256</v>
      </c>
      <c r="I3293" t="s">
        <v>5215</v>
      </c>
      <c r="J3293">
        <v>1</v>
      </c>
      <c r="K3293" t="s">
        <v>4749</v>
      </c>
      <c r="L3293">
        <v>85</v>
      </c>
      <c r="M3293">
        <v>85</v>
      </c>
      <c r="N3293" t="s">
        <v>5277</v>
      </c>
      <c r="O3293" t="s">
        <v>461</v>
      </c>
    </row>
    <row r="3294" spans="1:15" x14ac:dyDescent="0.3">
      <c r="A3294">
        <v>219718</v>
      </c>
      <c r="B3294">
        <v>105</v>
      </c>
      <c r="C3294" t="s">
        <v>557</v>
      </c>
      <c r="D3294" t="s">
        <v>2554</v>
      </c>
      <c r="E3294" t="s">
        <v>3337</v>
      </c>
      <c r="F3294" s="451">
        <v>46101</v>
      </c>
      <c r="G3294">
        <v>17474</v>
      </c>
      <c r="H3294" t="s">
        <v>5213</v>
      </c>
      <c r="I3294" t="s">
        <v>5188</v>
      </c>
      <c r="J3294">
        <v>1</v>
      </c>
      <c r="K3294" t="s">
        <v>4749</v>
      </c>
      <c r="L3294">
        <v>75</v>
      </c>
      <c r="M3294">
        <v>75</v>
      </c>
      <c r="N3294" t="s">
        <v>5277</v>
      </c>
      <c r="O3294" t="s">
        <v>461</v>
      </c>
    </row>
    <row r="3295" spans="1:15" x14ac:dyDescent="0.3">
      <c r="A3295">
        <v>219718</v>
      </c>
      <c r="B3295">
        <v>105</v>
      </c>
      <c r="C3295" t="s">
        <v>557</v>
      </c>
      <c r="D3295" t="s">
        <v>2554</v>
      </c>
      <c r="E3295" t="s">
        <v>3337</v>
      </c>
      <c r="F3295" s="451">
        <v>46101</v>
      </c>
      <c r="G3295">
        <v>17266</v>
      </c>
      <c r="H3295" t="s">
        <v>5192</v>
      </c>
      <c r="I3295" t="s">
        <v>5188</v>
      </c>
      <c r="J3295">
        <v>4</v>
      </c>
      <c r="K3295" t="s">
        <v>4736</v>
      </c>
      <c r="L3295">
        <v>18.600000000000001</v>
      </c>
      <c r="M3295">
        <v>4.6500000000000004</v>
      </c>
      <c r="N3295" t="s">
        <v>5277</v>
      </c>
      <c r="O3295" t="s">
        <v>461</v>
      </c>
    </row>
    <row r="3296" spans="1:15" x14ac:dyDescent="0.3">
      <c r="A3296">
        <v>219718</v>
      </c>
      <c r="B3296">
        <v>105</v>
      </c>
      <c r="C3296" t="s">
        <v>557</v>
      </c>
      <c r="D3296" t="s">
        <v>2554</v>
      </c>
      <c r="E3296" t="s">
        <v>3337</v>
      </c>
      <c r="F3296" s="451">
        <v>46101</v>
      </c>
      <c r="G3296">
        <v>17215</v>
      </c>
      <c r="H3296" t="s">
        <v>5299</v>
      </c>
      <c r="I3296" t="s">
        <v>5188</v>
      </c>
      <c r="J3296">
        <v>5</v>
      </c>
      <c r="K3296" t="s">
        <v>4848</v>
      </c>
      <c r="L3296">
        <v>99.95</v>
      </c>
      <c r="M3296">
        <v>19.989999999999998</v>
      </c>
      <c r="N3296" t="s">
        <v>5277</v>
      </c>
      <c r="O3296" t="s">
        <v>461</v>
      </c>
    </row>
    <row r="3297" spans="1:15" x14ac:dyDescent="0.3">
      <c r="A3297">
        <v>219718</v>
      </c>
      <c r="B3297">
        <v>105</v>
      </c>
      <c r="C3297" t="s">
        <v>557</v>
      </c>
      <c r="D3297" t="s">
        <v>2554</v>
      </c>
      <c r="E3297" t="s">
        <v>3337</v>
      </c>
      <c r="F3297" s="451">
        <v>46101</v>
      </c>
      <c r="G3297">
        <v>21783</v>
      </c>
      <c r="H3297" t="s">
        <v>5210</v>
      </c>
      <c r="I3297" t="s">
        <v>5205</v>
      </c>
      <c r="J3297">
        <v>3</v>
      </c>
      <c r="K3297" t="s">
        <v>4736</v>
      </c>
      <c r="L3297">
        <v>31.68</v>
      </c>
      <c r="M3297">
        <v>10.56</v>
      </c>
      <c r="N3297" t="s">
        <v>5277</v>
      </c>
      <c r="O3297" t="s">
        <v>461</v>
      </c>
    </row>
    <row r="3298" spans="1:15" x14ac:dyDescent="0.3">
      <c r="A3298">
        <v>219718</v>
      </c>
      <c r="B3298">
        <v>105</v>
      </c>
      <c r="C3298" t="s">
        <v>557</v>
      </c>
      <c r="D3298" t="s">
        <v>2554</v>
      </c>
      <c r="E3298" t="s">
        <v>3337</v>
      </c>
      <c r="F3298" s="451">
        <v>46101</v>
      </c>
      <c r="G3298">
        <v>17533</v>
      </c>
      <c r="H3298" t="s">
        <v>5373</v>
      </c>
      <c r="I3298" t="s">
        <v>5188</v>
      </c>
      <c r="J3298">
        <v>1</v>
      </c>
      <c r="K3298" t="s">
        <v>4749</v>
      </c>
      <c r="L3298">
        <v>189</v>
      </c>
      <c r="M3298">
        <v>189</v>
      </c>
      <c r="N3298" t="s">
        <v>5277</v>
      </c>
      <c r="O3298" t="s">
        <v>461</v>
      </c>
    </row>
    <row r="3299" spans="1:15" x14ac:dyDescent="0.3">
      <c r="A3299">
        <v>219718</v>
      </c>
      <c r="B3299">
        <v>105</v>
      </c>
      <c r="C3299" t="s">
        <v>557</v>
      </c>
      <c r="D3299" t="s">
        <v>2554</v>
      </c>
      <c r="E3299" t="s">
        <v>3337</v>
      </c>
      <c r="F3299" s="451">
        <v>46101</v>
      </c>
      <c r="G3299">
        <v>24758</v>
      </c>
      <c r="H3299" t="s">
        <v>5326</v>
      </c>
      <c r="I3299" t="s">
        <v>5215</v>
      </c>
      <c r="J3299">
        <v>1</v>
      </c>
      <c r="K3299" t="s">
        <v>4738</v>
      </c>
      <c r="L3299">
        <v>28.9</v>
      </c>
      <c r="M3299">
        <v>28.9</v>
      </c>
      <c r="N3299" t="s">
        <v>5277</v>
      </c>
      <c r="O3299" t="s">
        <v>461</v>
      </c>
    </row>
    <row r="3300" spans="1:15" x14ac:dyDescent="0.3">
      <c r="A3300">
        <v>219718</v>
      </c>
      <c r="B3300">
        <v>105</v>
      </c>
      <c r="C3300" t="s">
        <v>557</v>
      </c>
      <c r="D3300" t="s">
        <v>2554</v>
      </c>
      <c r="E3300" t="s">
        <v>3337</v>
      </c>
      <c r="F3300" s="451">
        <v>46101</v>
      </c>
      <c r="G3300">
        <v>24787</v>
      </c>
      <c r="H3300" t="s">
        <v>5212</v>
      </c>
      <c r="I3300" t="s">
        <v>5188</v>
      </c>
      <c r="J3300">
        <v>2</v>
      </c>
      <c r="K3300" t="s">
        <v>4738</v>
      </c>
      <c r="L3300">
        <v>164.42</v>
      </c>
      <c r="M3300">
        <v>82.21</v>
      </c>
      <c r="N3300" t="s">
        <v>5277</v>
      </c>
      <c r="O3300" t="s">
        <v>461</v>
      </c>
    </row>
    <row r="3301" spans="1:15" x14ac:dyDescent="0.3">
      <c r="A3301">
        <v>219718</v>
      </c>
      <c r="B3301">
        <v>105</v>
      </c>
      <c r="C3301" t="s">
        <v>557</v>
      </c>
      <c r="D3301" t="s">
        <v>2554</v>
      </c>
      <c r="E3301" t="s">
        <v>3337</v>
      </c>
      <c r="F3301" s="451">
        <v>46101</v>
      </c>
      <c r="G3301">
        <v>24596</v>
      </c>
      <c r="H3301" t="s">
        <v>5197</v>
      </c>
      <c r="I3301" t="s">
        <v>5188</v>
      </c>
      <c r="J3301">
        <v>4</v>
      </c>
      <c r="K3301" t="s">
        <v>4736</v>
      </c>
      <c r="L3301">
        <v>60</v>
      </c>
      <c r="M3301">
        <v>15</v>
      </c>
      <c r="N3301" t="s">
        <v>5277</v>
      </c>
      <c r="O3301" t="s">
        <v>461</v>
      </c>
    </row>
    <row r="3302" spans="1:15" x14ac:dyDescent="0.3">
      <c r="A3302">
        <v>219718</v>
      </c>
      <c r="B3302">
        <v>105</v>
      </c>
      <c r="C3302" t="s">
        <v>557</v>
      </c>
      <c r="D3302" t="s">
        <v>2554</v>
      </c>
      <c r="E3302" t="s">
        <v>3337</v>
      </c>
      <c r="F3302" s="451">
        <v>46101</v>
      </c>
      <c r="G3302">
        <v>17418</v>
      </c>
      <c r="H3302" t="s">
        <v>5207</v>
      </c>
      <c r="I3302" t="s">
        <v>5188</v>
      </c>
      <c r="J3302">
        <v>3</v>
      </c>
      <c r="K3302" t="s">
        <v>4749</v>
      </c>
      <c r="L3302">
        <v>176.7</v>
      </c>
      <c r="M3302">
        <v>58.9</v>
      </c>
      <c r="N3302" t="s">
        <v>5277</v>
      </c>
      <c r="O3302" t="s">
        <v>461</v>
      </c>
    </row>
    <row r="3303" spans="1:15" x14ac:dyDescent="0.3">
      <c r="A3303">
        <v>219718</v>
      </c>
      <c r="B3303">
        <v>105</v>
      </c>
      <c r="C3303" t="s">
        <v>557</v>
      </c>
      <c r="D3303" t="s">
        <v>2554</v>
      </c>
      <c r="E3303" t="s">
        <v>3337</v>
      </c>
      <c r="F3303" s="451">
        <v>46101</v>
      </c>
      <c r="G3303">
        <v>26944</v>
      </c>
      <c r="H3303" t="s">
        <v>5325</v>
      </c>
      <c r="I3303" t="s">
        <v>5188</v>
      </c>
      <c r="J3303">
        <v>1</v>
      </c>
      <c r="K3303" t="s">
        <v>4738</v>
      </c>
      <c r="L3303">
        <v>155.46</v>
      </c>
      <c r="M3303">
        <v>155.46</v>
      </c>
      <c r="N3303" t="s">
        <v>5277</v>
      </c>
      <c r="O3303" t="s">
        <v>461</v>
      </c>
    </row>
    <row r="3304" spans="1:15" x14ac:dyDescent="0.3">
      <c r="A3304">
        <v>219718</v>
      </c>
      <c r="B3304">
        <v>105</v>
      </c>
      <c r="C3304" t="s">
        <v>557</v>
      </c>
      <c r="D3304" t="s">
        <v>2554</v>
      </c>
      <c r="E3304" t="s">
        <v>3337</v>
      </c>
      <c r="F3304" s="451">
        <v>46101</v>
      </c>
      <c r="G3304">
        <v>17416</v>
      </c>
      <c r="H3304" t="s">
        <v>5209</v>
      </c>
      <c r="I3304" t="s">
        <v>5188</v>
      </c>
      <c r="J3304">
        <v>1</v>
      </c>
      <c r="K3304" t="s">
        <v>4749</v>
      </c>
      <c r="L3304">
        <v>48.58</v>
      </c>
      <c r="M3304">
        <v>48.58</v>
      </c>
      <c r="N3304" t="s">
        <v>5277</v>
      </c>
      <c r="O3304" t="s">
        <v>461</v>
      </c>
    </row>
    <row r="3305" spans="1:15" x14ac:dyDescent="0.3">
      <c r="A3305">
        <v>219718</v>
      </c>
      <c r="B3305">
        <v>105</v>
      </c>
      <c r="C3305" t="s">
        <v>557</v>
      </c>
      <c r="D3305" t="s">
        <v>2554</v>
      </c>
      <c r="E3305" t="s">
        <v>3337</v>
      </c>
      <c r="F3305" s="451">
        <v>46101</v>
      </c>
      <c r="G3305">
        <v>24505</v>
      </c>
      <c r="H3305" t="s">
        <v>5198</v>
      </c>
      <c r="I3305" t="s">
        <v>5188</v>
      </c>
      <c r="J3305">
        <v>3</v>
      </c>
      <c r="K3305" t="s">
        <v>4738</v>
      </c>
      <c r="L3305">
        <v>14.94</v>
      </c>
      <c r="M3305">
        <v>4.9800000000000004</v>
      </c>
      <c r="N3305" t="s">
        <v>5277</v>
      </c>
      <c r="O3305" t="s">
        <v>461</v>
      </c>
    </row>
    <row r="3306" spans="1:15" x14ac:dyDescent="0.3">
      <c r="A3306">
        <v>219718</v>
      </c>
      <c r="B3306">
        <v>105</v>
      </c>
      <c r="C3306" t="s">
        <v>557</v>
      </c>
      <c r="D3306" t="s">
        <v>2554</v>
      </c>
      <c r="E3306" t="s">
        <v>3337</v>
      </c>
      <c r="F3306" s="451">
        <v>46101</v>
      </c>
      <c r="G3306">
        <v>26554</v>
      </c>
      <c r="H3306" t="s">
        <v>5319</v>
      </c>
      <c r="I3306" t="s">
        <v>5215</v>
      </c>
      <c r="J3306">
        <v>1</v>
      </c>
      <c r="K3306" t="s">
        <v>4749</v>
      </c>
      <c r="L3306">
        <v>158</v>
      </c>
      <c r="M3306">
        <v>158</v>
      </c>
      <c r="N3306" t="s">
        <v>5277</v>
      </c>
      <c r="O3306" t="s">
        <v>461</v>
      </c>
    </row>
    <row r="3307" spans="1:15" x14ac:dyDescent="0.3">
      <c r="A3307">
        <v>219718</v>
      </c>
      <c r="B3307">
        <v>105</v>
      </c>
      <c r="C3307" t="s">
        <v>557</v>
      </c>
      <c r="D3307" t="s">
        <v>2554</v>
      </c>
      <c r="E3307" t="s">
        <v>3337</v>
      </c>
      <c r="F3307" s="451">
        <v>46101</v>
      </c>
      <c r="G3307">
        <v>24931</v>
      </c>
      <c r="H3307" t="s">
        <v>5308</v>
      </c>
      <c r="I3307" t="s">
        <v>5188</v>
      </c>
      <c r="J3307">
        <v>1</v>
      </c>
      <c r="K3307" t="s">
        <v>4738</v>
      </c>
      <c r="L3307">
        <v>45</v>
      </c>
      <c r="M3307">
        <v>45</v>
      </c>
      <c r="N3307" t="s">
        <v>5277</v>
      </c>
      <c r="O3307" t="s">
        <v>461</v>
      </c>
    </row>
    <row r="3308" spans="1:15" x14ac:dyDescent="0.3">
      <c r="A3308">
        <v>219718</v>
      </c>
      <c r="B3308">
        <v>105</v>
      </c>
      <c r="C3308" t="s">
        <v>557</v>
      </c>
      <c r="D3308" t="s">
        <v>2554</v>
      </c>
      <c r="E3308" t="s">
        <v>3337</v>
      </c>
      <c r="F3308" s="451">
        <v>46101</v>
      </c>
      <c r="G3308">
        <v>28298</v>
      </c>
      <c r="H3308" t="s">
        <v>5261</v>
      </c>
      <c r="I3308" t="s">
        <v>5188</v>
      </c>
      <c r="J3308">
        <v>1</v>
      </c>
      <c r="K3308" t="s">
        <v>4749</v>
      </c>
      <c r="L3308">
        <v>68.64</v>
      </c>
      <c r="M3308">
        <v>68.64</v>
      </c>
      <c r="N3308" t="s">
        <v>5277</v>
      </c>
      <c r="O3308" t="s">
        <v>461</v>
      </c>
    </row>
    <row r="3309" spans="1:15" x14ac:dyDescent="0.3">
      <c r="A3309">
        <v>219718</v>
      </c>
      <c r="B3309">
        <v>105</v>
      </c>
      <c r="C3309" t="s">
        <v>557</v>
      </c>
      <c r="D3309" t="s">
        <v>2554</v>
      </c>
      <c r="E3309" t="s">
        <v>3337</v>
      </c>
      <c r="F3309" s="451">
        <v>46101</v>
      </c>
      <c r="G3309">
        <v>17381</v>
      </c>
      <c r="H3309" t="s">
        <v>5262</v>
      </c>
      <c r="I3309" t="s">
        <v>5188</v>
      </c>
      <c r="J3309">
        <v>1</v>
      </c>
      <c r="K3309" t="s">
        <v>4736</v>
      </c>
      <c r="L3309">
        <v>38.89</v>
      </c>
      <c r="M3309">
        <v>38.89</v>
      </c>
      <c r="N3309" t="s">
        <v>5277</v>
      </c>
      <c r="O3309" t="s">
        <v>461</v>
      </c>
    </row>
    <row r="3310" spans="1:15" x14ac:dyDescent="0.3">
      <c r="A3310">
        <v>219717</v>
      </c>
      <c r="B3310">
        <v>105</v>
      </c>
      <c r="C3310" t="s">
        <v>557</v>
      </c>
      <c r="D3310" t="s">
        <v>2550</v>
      </c>
      <c r="E3310" t="s">
        <v>3338</v>
      </c>
      <c r="F3310" s="451">
        <v>46083</v>
      </c>
      <c r="G3310">
        <v>26034</v>
      </c>
      <c r="H3310" t="s">
        <v>4828</v>
      </c>
      <c r="I3310" t="s">
        <v>5222</v>
      </c>
      <c r="J3310">
        <v>6</v>
      </c>
      <c r="K3310" t="s">
        <v>4805</v>
      </c>
      <c r="L3310">
        <v>284.7</v>
      </c>
      <c r="M3310">
        <v>47.45</v>
      </c>
      <c r="N3310" t="s">
        <v>5271</v>
      </c>
      <c r="O3310" t="s">
        <v>461</v>
      </c>
    </row>
    <row r="3311" spans="1:15" x14ac:dyDescent="0.3">
      <c r="A3311">
        <v>219717</v>
      </c>
      <c r="B3311">
        <v>105</v>
      </c>
      <c r="C3311" t="s">
        <v>557</v>
      </c>
      <c r="D3311" t="s">
        <v>2550</v>
      </c>
      <c r="E3311" t="s">
        <v>3338</v>
      </c>
      <c r="F3311" s="451">
        <v>46083</v>
      </c>
      <c r="G3311">
        <v>26234</v>
      </c>
      <c r="H3311" t="s">
        <v>5364</v>
      </c>
      <c r="I3311" t="s">
        <v>5222</v>
      </c>
      <c r="J3311">
        <v>4</v>
      </c>
      <c r="K3311" t="s">
        <v>4805</v>
      </c>
      <c r="L3311">
        <v>189.8</v>
      </c>
      <c r="M3311">
        <v>47.45</v>
      </c>
      <c r="N3311" t="s">
        <v>5271</v>
      </c>
      <c r="O3311" t="s">
        <v>461</v>
      </c>
    </row>
    <row r="3312" spans="1:15" x14ac:dyDescent="0.3">
      <c r="A3312">
        <v>219717</v>
      </c>
      <c r="B3312">
        <v>105</v>
      </c>
      <c r="C3312" t="s">
        <v>557</v>
      </c>
      <c r="D3312" t="s">
        <v>2550</v>
      </c>
      <c r="E3312" t="s">
        <v>3338</v>
      </c>
      <c r="F3312" s="451">
        <v>46083</v>
      </c>
      <c r="G3312">
        <v>26040</v>
      </c>
      <c r="H3312" t="s">
        <v>4812</v>
      </c>
      <c r="I3312" t="s">
        <v>5222</v>
      </c>
      <c r="J3312">
        <v>6</v>
      </c>
      <c r="K3312" t="s">
        <v>4805</v>
      </c>
      <c r="L3312">
        <v>284.7</v>
      </c>
      <c r="M3312">
        <v>47.45</v>
      </c>
      <c r="N3312" t="s">
        <v>5271</v>
      </c>
      <c r="O3312" t="s">
        <v>461</v>
      </c>
    </row>
    <row r="3313" spans="1:15" x14ac:dyDescent="0.3">
      <c r="A3313">
        <v>217762</v>
      </c>
      <c r="B3313">
        <v>105</v>
      </c>
      <c r="C3313" t="s">
        <v>557</v>
      </c>
      <c r="D3313" t="s">
        <v>2705</v>
      </c>
      <c r="E3313" t="s">
        <v>3339</v>
      </c>
      <c r="F3313" s="451">
        <v>46083</v>
      </c>
      <c r="G3313">
        <v>24658</v>
      </c>
      <c r="H3313" t="s">
        <v>5274</v>
      </c>
      <c r="I3313" t="s">
        <v>5232</v>
      </c>
      <c r="J3313">
        <v>14</v>
      </c>
      <c r="K3313" t="s">
        <v>4738</v>
      </c>
      <c r="L3313">
        <v>489.72</v>
      </c>
      <c r="M3313">
        <v>34.979999999999997</v>
      </c>
      <c r="N3313" t="s">
        <v>5287</v>
      </c>
      <c r="O3313" t="s">
        <v>461</v>
      </c>
    </row>
    <row r="3314" spans="1:15" x14ac:dyDescent="0.3">
      <c r="A3314">
        <v>217759</v>
      </c>
      <c r="B3314">
        <v>105</v>
      </c>
      <c r="C3314" t="s">
        <v>557</v>
      </c>
      <c r="D3314" t="s">
        <v>2729</v>
      </c>
      <c r="E3314" t="s">
        <v>3340</v>
      </c>
      <c r="F3314" s="451">
        <v>46083</v>
      </c>
      <c r="G3314">
        <v>19356</v>
      </c>
      <c r="H3314" t="s">
        <v>4799</v>
      </c>
      <c r="I3314" t="s">
        <v>5191</v>
      </c>
      <c r="J3314">
        <v>23.72</v>
      </c>
      <c r="K3314" t="s">
        <v>4744</v>
      </c>
      <c r="L3314">
        <v>1223.95</v>
      </c>
      <c r="M3314">
        <v>51.599916</v>
      </c>
      <c r="N3314" t="s">
        <v>1785</v>
      </c>
      <c r="O3314" t="s">
        <v>461</v>
      </c>
    </row>
    <row r="3315" spans="1:15" x14ac:dyDescent="0.3">
      <c r="A3315">
        <v>217755</v>
      </c>
      <c r="B3315">
        <v>105</v>
      </c>
      <c r="C3315" t="s">
        <v>557</v>
      </c>
      <c r="D3315" t="s">
        <v>2603</v>
      </c>
      <c r="E3315" t="s">
        <v>3341</v>
      </c>
      <c r="F3315" s="451">
        <v>46083</v>
      </c>
      <c r="G3315">
        <v>19003</v>
      </c>
      <c r="H3315" t="s">
        <v>4810</v>
      </c>
      <c r="I3315" t="s">
        <v>5191</v>
      </c>
      <c r="J3315">
        <v>23.5</v>
      </c>
      <c r="K3315" t="s">
        <v>4744</v>
      </c>
      <c r="L3315">
        <v>937.65</v>
      </c>
      <c r="M3315">
        <v>39.9</v>
      </c>
      <c r="N3315" t="s">
        <v>5272</v>
      </c>
      <c r="O3315" t="s">
        <v>461</v>
      </c>
    </row>
    <row r="3316" spans="1:15" x14ac:dyDescent="0.3">
      <c r="A3316">
        <v>217755</v>
      </c>
      <c r="B3316">
        <v>105</v>
      </c>
      <c r="C3316" t="s">
        <v>557</v>
      </c>
      <c r="D3316" t="s">
        <v>2603</v>
      </c>
      <c r="E3316" t="s">
        <v>3341</v>
      </c>
      <c r="F3316" s="451">
        <v>46083</v>
      </c>
      <c r="G3316">
        <v>26679</v>
      </c>
      <c r="H3316" t="s">
        <v>4791</v>
      </c>
      <c r="I3316" t="s">
        <v>5191</v>
      </c>
      <c r="J3316">
        <v>45.71</v>
      </c>
      <c r="K3316" t="s">
        <v>4744</v>
      </c>
      <c r="L3316">
        <v>1275.17</v>
      </c>
      <c r="M3316">
        <v>27.896958999999999</v>
      </c>
      <c r="N3316" t="s">
        <v>5272</v>
      </c>
      <c r="O3316" t="s">
        <v>461</v>
      </c>
    </row>
    <row r="3317" spans="1:15" x14ac:dyDescent="0.3">
      <c r="A3317">
        <v>217752</v>
      </c>
      <c r="B3317">
        <v>105</v>
      </c>
      <c r="C3317" t="s">
        <v>557</v>
      </c>
      <c r="D3317" t="s">
        <v>2716</v>
      </c>
      <c r="E3317" t="s">
        <v>3342</v>
      </c>
      <c r="F3317" s="451">
        <v>46083</v>
      </c>
      <c r="G3317">
        <v>24351</v>
      </c>
      <c r="H3317" t="s">
        <v>5014</v>
      </c>
      <c r="I3317" t="s">
        <v>5191</v>
      </c>
      <c r="J3317">
        <v>10</v>
      </c>
      <c r="K3317" t="s">
        <v>4744</v>
      </c>
      <c r="L3317">
        <v>120</v>
      </c>
      <c r="M3317">
        <v>12</v>
      </c>
      <c r="N3317" t="s">
        <v>5272</v>
      </c>
      <c r="O3317" t="s">
        <v>461</v>
      </c>
    </row>
    <row r="3318" spans="1:15" x14ac:dyDescent="0.3">
      <c r="A3318">
        <v>217035</v>
      </c>
      <c r="B3318">
        <v>105</v>
      </c>
      <c r="C3318" t="s">
        <v>557</v>
      </c>
      <c r="D3318" t="s">
        <v>2705</v>
      </c>
      <c r="E3318" t="s">
        <v>3343</v>
      </c>
      <c r="F3318" s="451">
        <v>46093</v>
      </c>
      <c r="G3318">
        <v>24658</v>
      </c>
      <c r="H3318" t="s">
        <v>5274</v>
      </c>
      <c r="I3318" t="s">
        <v>5232</v>
      </c>
      <c r="J3318">
        <v>20</v>
      </c>
      <c r="K3318" t="s">
        <v>4738</v>
      </c>
      <c r="L3318">
        <v>692</v>
      </c>
      <c r="M3318">
        <v>34.6</v>
      </c>
      <c r="N3318" t="s">
        <v>5287</v>
      </c>
      <c r="O3318" t="s">
        <v>461</v>
      </c>
    </row>
    <row r="3319" spans="1:15" x14ac:dyDescent="0.3">
      <c r="A3319">
        <v>217034</v>
      </c>
      <c r="B3319">
        <v>105</v>
      </c>
      <c r="C3319" t="s">
        <v>557</v>
      </c>
      <c r="D3319" t="s">
        <v>2605</v>
      </c>
      <c r="E3319" t="s">
        <v>3344</v>
      </c>
      <c r="F3319" s="451">
        <v>46094</v>
      </c>
      <c r="G3319">
        <v>21047</v>
      </c>
      <c r="H3319" t="s">
        <v>4847</v>
      </c>
      <c r="I3319" t="s">
        <v>5191</v>
      </c>
      <c r="J3319">
        <v>2</v>
      </c>
      <c r="K3319" t="s">
        <v>4848</v>
      </c>
      <c r="L3319">
        <v>229</v>
      </c>
      <c r="M3319">
        <v>114.5</v>
      </c>
      <c r="N3319" t="s">
        <v>5272</v>
      </c>
      <c r="O3319" t="s">
        <v>461</v>
      </c>
    </row>
    <row r="3320" spans="1:15" x14ac:dyDescent="0.3">
      <c r="A3320">
        <v>217034</v>
      </c>
      <c r="B3320">
        <v>105</v>
      </c>
      <c r="C3320" t="s">
        <v>557</v>
      </c>
      <c r="D3320" t="s">
        <v>2605</v>
      </c>
      <c r="E3320" t="s">
        <v>3344</v>
      </c>
      <c r="F3320" s="451">
        <v>46094</v>
      </c>
      <c r="G3320">
        <v>20984</v>
      </c>
      <c r="H3320" t="s">
        <v>5133</v>
      </c>
      <c r="I3320" t="s">
        <v>5191</v>
      </c>
      <c r="J3320">
        <v>10</v>
      </c>
      <c r="K3320" t="s">
        <v>4888</v>
      </c>
      <c r="L3320">
        <v>90.5</v>
      </c>
      <c r="M3320">
        <v>9.0500000000000007</v>
      </c>
      <c r="N3320" t="s">
        <v>5272</v>
      </c>
      <c r="O3320" t="s">
        <v>461</v>
      </c>
    </row>
    <row r="3321" spans="1:15" x14ac:dyDescent="0.3">
      <c r="A3321">
        <v>217031</v>
      </c>
      <c r="B3321">
        <v>105</v>
      </c>
      <c r="C3321" t="s">
        <v>557</v>
      </c>
      <c r="D3321" t="s">
        <v>2579</v>
      </c>
      <c r="E3321" t="s">
        <v>3345</v>
      </c>
      <c r="F3321" s="451">
        <v>46093</v>
      </c>
      <c r="G3321">
        <v>19634</v>
      </c>
      <c r="H3321" t="s">
        <v>4792</v>
      </c>
      <c r="I3321" t="s">
        <v>5191</v>
      </c>
      <c r="J3321">
        <v>5</v>
      </c>
      <c r="K3321" t="s">
        <v>4744</v>
      </c>
      <c r="L3321">
        <v>51.25</v>
      </c>
      <c r="M3321">
        <v>10.25</v>
      </c>
      <c r="N3321" t="s">
        <v>5272</v>
      </c>
      <c r="O3321" t="s">
        <v>461</v>
      </c>
    </row>
    <row r="3322" spans="1:15" x14ac:dyDescent="0.3">
      <c r="A3322">
        <v>217031</v>
      </c>
      <c r="B3322">
        <v>105</v>
      </c>
      <c r="C3322" t="s">
        <v>557</v>
      </c>
      <c r="D3322" t="s">
        <v>2579</v>
      </c>
      <c r="E3322" t="s">
        <v>3345</v>
      </c>
      <c r="F3322" s="451">
        <v>46093</v>
      </c>
      <c r="G3322">
        <v>19787</v>
      </c>
      <c r="H3322" t="s">
        <v>4793</v>
      </c>
      <c r="I3322" t="s">
        <v>5191</v>
      </c>
      <c r="J3322">
        <v>8.8000000000000007</v>
      </c>
      <c r="K3322" t="s">
        <v>4744</v>
      </c>
      <c r="L3322">
        <v>46.2</v>
      </c>
      <c r="M3322">
        <v>5.25</v>
      </c>
      <c r="N3322" t="s">
        <v>5272</v>
      </c>
      <c r="O3322" t="s">
        <v>461</v>
      </c>
    </row>
    <row r="3323" spans="1:15" x14ac:dyDescent="0.3">
      <c r="A3323">
        <v>217031</v>
      </c>
      <c r="B3323">
        <v>105</v>
      </c>
      <c r="C3323" t="s">
        <v>557</v>
      </c>
      <c r="D3323" t="s">
        <v>2579</v>
      </c>
      <c r="E3323" t="s">
        <v>3345</v>
      </c>
      <c r="F3323" s="451">
        <v>46093</v>
      </c>
      <c r="G3323">
        <v>19654</v>
      </c>
      <c r="H3323" t="s">
        <v>5099</v>
      </c>
      <c r="I3323" t="s">
        <v>5191</v>
      </c>
      <c r="J3323">
        <v>4.3</v>
      </c>
      <c r="K3323" t="s">
        <v>4744</v>
      </c>
      <c r="L3323">
        <v>31.73</v>
      </c>
      <c r="M3323">
        <v>7.3790699999999996</v>
      </c>
      <c r="N3323" t="s">
        <v>5272</v>
      </c>
      <c r="O3323" t="s">
        <v>461</v>
      </c>
    </row>
    <row r="3324" spans="1:15" x14ac:dyDescent="0.3">
      <c r="A3324">
        <v>217031</v>
      </c>
      <c r="B3324">
        <v>105</v>
      </c>
      <c r="C3324" t="s">
        <v>557</v>
      </c>
      <c r="D3324" t="s">
        <v>2579</v>
      </c>
      <c r="E3324" t="s">
        <v>3345</v>
      </c>
      <c r="F3324" s="451">
        <v>46093</v>
      </c>
      <c r="G3324">
        <v>24522</v>
      </c>
      <c r="H3324" t="s">
        <v>5072</v>
      </c>
      <c r="I3324" t="s">
        <v>5191</v>
      </c>
      <c r="J3324">
        <v>1</v>
      </c>
      <c r="K3324" t="s">
        <v>4744</v>
      </c>
      <c r="L3324">
        <v>23</v>
      </c>
      <c r="M3324">
        <v>23</v>
      </c>
      <c r="N3324" t="s">
        <v>5272</v>
      </c>
      <c r="O3324" t="s">
        <v>461</v>
      </c>
    </row>
    <row r="3325" spans="1:15" x14ac:dyDescent="0.3">
      <c r="A3325">
        <v>217031</v>
      </c>
      <c r="B3325">
        <v>105</v>
      </c>
      <c r="C3325" t="s">
        <v>557</v>
      </c>
      <c r="D3325" t="s">
        <v>2579</v>
      </c>
      <c r="E3325" t="s">
        <v>3345</v>
      </c>
      <c r="F3325" s="451">
        <v>46093</v>
      </c>
      <c r="G3325">
        <v>19635</v>
      </c>
      <c r="H3325" t="s">
        <v>4786</v>
      </c>
      <c r="I3325" t="s">
        <v>5191</v>
      </c>
      <c r="J3325">
        <v>5</v>
      </c>
      <c r="K3325" t="s">
        <v>4744</v>
      </c>
      <c r="L3325">
        <v>25</v>
      </c>
      <c r="M3325">
        <v>5</v>
      </c>
      <c r="N3325" t="s">
        <v>5272</v>
      </c>
      <c r="O3325" t="s">
        <v>461</v>
      </c>
    </row>
    <row r="3326" spans="1:15" x14ac:dyDescent="0.3">
      <c r="A3326">
        <v>217031</v>
      </c>
      <c r="B3326">
        <v>105</v>
      </c>
      <c r="C3326" t="s">
        <v>557</v>
      </c>
      <c r="D3326" t="s">
        <v>2579</v>
      </c>
      <c r="E3326" t="s">
        <v>3345</v>
      </c>
      <c r="F3326" s="451">
        <v>46093</v>
      </c>
      <c r="G3326">
        <v>23335</v>
      </c>
      <c r="H3326" t="s">
        <v>4961</v>
      </c>
      <c r="I3326" t="s">
        <v>5191</v>
      </c>
      <c r="J3326">
        <v>1.2</v>
      </c>
      <c r="K3326" t="s">
        <v>4744</v>
      </c>
      <c r="L3326">
        <v>30</v>
      </c>
      <c r="M3326">
        <v>25</v>
      </c>
      <c r="N3326" t="s">
        <v>5272</v>
      </c>
      <c r="O3326" t="s">
        <v>461</v>
      </c>
    </row>
    <row r="3327" spans="1:15" x14ac:dyDescent="0.3">
      <c r="A3327">
        <v>217031</v>
      </c>
      <c r="B3327">
        <v>105</v>
      </c>
      <c r="C3327" t="s">
        <v>557</v>
      </c>
      <c r="D3327" t="s">
        <v>2579</v>
      </c>
      <c r="E3327" t="s">
        <v>3345</v>
      </c>
      <c r="F3327" s="451">
        <v>46093</v>
      </c>
      <c r="G3327">
        <v>23234</v>
      </c>
      <c r="H3327" t="s">
        <v>4986</v>
      </c>
      <c r="I3327" t="s">
        <v>5191</v>
      </c>
      <c r="J3327">
        <v>1</v>
      </c>
      <c r="K3327" t="s">
        <v>4744</v>
      </c>
      <c r="L3327">
        <v>23</v>
      </c>
      <c r="M3327">
        <v>23</v>
      </c>
      <c r="N3327" t="s">
        <v>5272</v>
      </c>
      <c r="O3327" t="s">
        <v>461</v>
      </c>
    </row>
    <row r="3328" spans="1:15" x14ac:dyDescent="0.3">
      <c r="A3328">
        <v>217031</v>
      </c>
      <c r="B3328">
        <v>105</v>
      </c>
      <c r="C3328" t="s">
        <v>557</v>
      </c>
      <c r="D3328" t="s">
        <v>2579</v>
      </c>
      <c r="E3328" t="s">
        <v>3345</v>
      </c>
      <c r="F3328" s="451">
        <v>46093</v>
      </c>
      <c r="G3328">
        <v>23385</v>
      </c>
      <c r="H3328" t="s">
        <v>4938</v>
      </c>
      <c r="I3328" t="s">
        <v>5191</v>
      </c>
      <c r="J3328">
        <v>2</v>
      </c>
      <c r="K3328" t="s">
        <v>4744</v>
      </c>
      <c r="L3328">
        <v>87.5</v>
      </c>
      <c r="M3328">
        <v>43.75</v>
      </c>
      <c r="N3328" t="s">
        <v>5272</v>
      </c>
      <c r="O3328" t="s">
        <v>461</v>
      </c>
    </row>
    <row r="3329" spans="1:15" x14ac:dyDescent="0.3">
      <c r="A3329">
        <v>217031</v>
      </c>
      <c r="B3329">
        <v>105</v>
      </c>
      <c r="C3329" t="s">
        <v>557</v>
      </c>
      <c r="D3329" t="s">
        <v>2579</v>
      </c>
      <c r="E3329" t="s">
        <v>3345</v>
      </c>
      <c r="F3329" s="451">
        <v>46093</v>
      </c>
      <c r="G3329">
        <v>23184</v>
      </c>
      <c r="H3329" t="s">
        <v>4935</v>
      </c>
      <c r="I3329" t="s">
        <v>5191</v>
      </c>
      <c r="J3329">
        <v>2</v>
      </c>
      <c r="K3329" t="s">
        <v>4744</v>
      </c>
      <c r="L3329">
        <v>22.5</v>
      </c>
      <c r="M3329">
        <v>11.25</v>
      </c>
      <c r="N3329" t="s">
        <v>5272</v>
      </c>
      <c r="O3329" t="s">
        <v>461</v>
      </c>
    </row>
    <row r="3330" spans="1:15" x14ac:dyDescent="0.3">
      <c r="A3330">
        <v>217027</v>
      </c>
      <c r="B3330">
        <v>105</v>
      </c>
      <c r="C3330" t="s">
        <v>557</v>
      </c>
      <c r="D3330" t="s">
        <v>2690</v>
      </c>
      <c r="E3330" t="s">
        <v>3346</v>
      </c>
      <c r="F3330" s="451">
        <v>46093</v>
      </c>
      <c r="G3330">
        <v>18030</v>
      </c>
      <c r="H3330" t="s">
        <v>4840</v>
      </c>
      <c r="I3330" t="s">
        <v>5222</v>
      </c>
      <c r="J3330">
        <v>2</v>
      </c>
      <c r="K3330" t="s">
        <v>4805</v>
      </c>
      <c r="L3330">
        <v>55.72</v>
      </c>
      <c r="M3330">
        <v>27.86</v>
      </c>
      <c r="N3330" t="s">
        <v>5374</v>
      </c>
      <c r="O3330" t="s">
        <v>461</v>
      </c>
    </row>
    <row r="3331" spans="1:15" x14ac:dyDescent="0.3">
      <c r="A3331">
        <v>217022</v>
      </c>
      <c r="B3331">
        <v>105</v>
      </c>
      <c r="C3331" t="s">
        <v>557</v>
      </c>
      <c r="D3331" t="s">
        <v>2615</v>
      </c>
      <c r="E3331" t="s">
        <v>3347</v>
      </c>
      <c r="F3331" s="451">
        <v>46094</v>
      </c>
      <c r="G3331">
        <v>20623</v>
      </c>
      <c r="H3331" t="s">
        <v>4814</v>
      </c>
      <c r="I3331" t="s">
        <v>5191</v>
      </c>
      <c r="J3331">
        <v>10</v>
      </c>
      <c r="K3331" t="s">
        <v>4736</v>
      </c>
      <c r="L3331">
        <v>123.9</v>
      </c>
      <c r="M3331">
        <v>12.39</v>
      </c>
      <c r="N3331" t="s">
        <v>5272</v>
      </c>
      <c r="O3331" t="s">
        <v>461</v>
      </c>
    </row>
    <row r="3332" spans="1:15" x14ac:dyDescent="0.3">
      <c r="A3332">
        <v>217013</v>
      </c>
      <c r="B3332">
        <v>105</v>
      </c>
      <c r="C3332" t="s">
        <v>557</v>
      </c>
      <c r="D3332" t="s">
        <v>2590</v>
      </c>
      <c r="E3332" t="s">
        <v>3348</v>
      </c>
      <c r="F3332" s="451">
        <v>46084</v>
      </c>
      <c r="G3332">
        <v>17886</v>
      </c>
      <c r="H3332" t="s">
        <v>5083</v>
      </c>
      <c r="I3332" t="s">
        <v>5222</v>
      </c>
      <c r="J3332">
        <v>11</v>
      </c>
      <c r="K3332" t="s">
        <v>4738</v>
      </c>
      <c r="L3332">
        <v>311.52</v>
      </c>
      <c r="M3332">
        <v>28.32</v>
      </c>
      <c r="N3332" t="s">
        <v>5271</v>
      </c>
      <c r="O3332" t="s">
        <v>461</v>
      </c>
    </row>
    <row r="3333" spans="1:15" x14ac:dyDescent="0.3">
      <c r="A3333">
        <v>217012</v>
      </c>
      <c r="B3333">
        <v>105</v>
      </c>
      <c r="C3333" t="s">
        <v>557</v>
      </c>
      <c r="D3333" t="s">
        <v>2590</v>
      </c>
      <c r="E3333" t="s">
        <v>3349</v>
      </c>
      <c r="F3333" s="451">
        <v>46090</v>
      </c>
      <c r="G3333">
        <v>18636</v>
      </c>
      <c r="H3333" t="s">
        <v>4964</v>
      </c>
      <c r="I3333" t="s">
        <v>5222</v>
      </c>
      <c r="J3333">
        <v>3</v>
      </c>
      <c r="K3333" t="s">
        <v>4965</v>
      </c>
      <c r="L3333">
        <v>1055.22</v>
      </c>
      <c r="M3333">
        <v>351.74</v>
      </c>
      <c r="N3333" t="s">
        <v>5222</v>
      </c>
      <c r="O3333" t="s">
        <v>461</v>
      </c>
    </row>
    <row r="3334" spans="1:15" x14ac:dyDescent="0.3">
      <c r="A3334">
        <v>217012</v>
      </c>
      <c r="B3334">
        <v>105</v>
      </c>
      <c r="C3334" t="s">
        <v>557</v>
      </c>
      <c r="D3334" t="s">
        <v>2590</v>
      </c>
      <c r="E3334" t="s">
        <v>3349</v>
      </c>
      <c r="F3334" s="451">
        <v>46090</v>
      </c>
      <c r="G3334">
        <v>24142</v>
      </c>
      <c r="H3334" t="s">
        <v>5090</v>
      </c>
      <c r="I3334" t="s">
        <v>5222</v>
      </c>
      <c r="J3334">
        <v>1</v>
      </c>
      <c r="K3334" t="s">
        <v>4749</v>
      </c>
      <c r="L3334">
        <v>110.67</v>
      </c>
      <c r="M3334">
        <v>110.67</v>
      </c>
      <c r="N3334" t="s">
        <v>5222</v>
      </c>
      <c r="O3334" t="s">
        <v>461</v>
      </c>
    </row>
    <row r="3335" spans="1:15" x14ac:dyDescent="0.3">
      <c r="A3335">
        <v>217012</v>
      </c>
      <c r="B3335">
        <v>105</v>
      </c>
      <c r="C3335" t="s">
        <v>557</v>
      </c>
      <c r="D3335" t="s">
        <v>2590</v>
      </c>
      <c r="E3335" t="s">
        <v>3349</v>
      </c>
      <c r="F3335" s="451">
        <v>46090</v>
      </c>
      <c r="G3335">
        <v>17905</v>
      </c>
      <c r="H3335" t="s">
        <v>5085</v>
      </c>
      <c r="I3335" t="s">
        <v>5222</v>
      </c>
      <c r="J3335">
        <v>8</v>
      </c>
      <c r="K3335" t="s">
        <v>4738</v>
      </c>
      <c r="L3335">
        <v>159.76</v>
      </c>
      <c r="M3335">
        <v>19.97</v>
      </c>
      <c r="N3335" t="s">
        <v>5222</v>
      </c>
      <c r="O3335" t="s">
        <v>461</v>
      </c>
    </row>
    <row r="3336" spans="1:15" x14ac:dyDescent="0.3">
      <c r="A3336">
        <v>217012</v>
      </c>
      <c r="B3336">
        <v>105</v>
      </c>
      <c r="C3336" t="s">
        <v>557</v>
      </c>
      <c r="D3336" t="s">
        <v>2590</v>
      </c>
      <c r="E3336" t="s">
        <v>3349</v>
      </c>
      <c r="F3336" s="451">
        <v>46090</v>
      </c>
      <c r="G3336">
        <v>17883</v>
      </c>
      <c r="H3336" t="s">
        <v>5113</v>
      </c>
      <c r="I3336" t="s">
        <v>5222</v>
      </c>
      <c r="J3336">
        <v>2</v>
      </c>
      <c r="K3336" t="s">
        <v>4738</v>
      </c>
      <c r="L3336">
        <v>66.48</v>
      </c>
      <c r="M3336">
        <v>33.24</v>
      </c>
      <c r="N3336" t="s">
        <v>5222</v>
      </c>
      <c r="O3336" t="s">
        <v>461</v>
      </c>
    </row>
    <row r="3337" spans="1:15" x14ac:dyDescent="0.3">
      <c r="A3337">
        <v>217012</v>
      </c>
      <c r="B3337">
        <v>105</v>
      </c>
      <c r="C3337" t="s">
        <v>557</v>
      </c>
      <c r="D3337" t="s">
        <v>2590</v>
      </c>
      <c r="E3337" t="s">
        <v>3349</v>
      </c>
      <c r="F3337" s="451">
        <v>46090</v>
      </c>
      <c r="G3337">
        <v>17886</v>
      </c>
      <c r="H3337" t="s">
        <v>5083</v>
      </c>
      <c r="I3337" t="s">
        <v>5222</v>
      </c>
      <c r="J3337">
        <v>10</v>
      </c>
      <c r="K3337" t="s">
        <v>4738</v>
      </c>
      <c r="L3337">
        <v>230.6</v>
      </c>
      <c r="M3337">
        <v>23.06</v>
      </c>
      <c r="N3337" t="s">
        <v>5222</v>
      </c>
      <c r="O3337" t="s">
        <v>461</v>
      </c>
    </row>
    <row r="3338" spans="1:15" x14ac:dyDescent="0.3">
      <c r="A3338">
        <v>217012</v>
      </c>
      <c r="B3338">
        <v>105</v>
      </c>
      <c r="C3338" t="s">
        <v>557</v>
      </c>
      <c r="D3338" t="s">
        <v>2590</v>
      </c>
      <c r="E3338" t="s">
        <v>3349</v>
      </c>
      <c r="F3338" s="451">
        <v>46090</v>
      </c>
      <c r="G3338">
        <v>24141</v>
      </c>
      <c r="H3338" t="s">
        <v>5088</v>
      </c>
      <c r="I3338" t="s">
        <v>5222</v>
      </c>
      <c r="J3338">
        <v>2</v>
      </c>
      <c r="K3338" t="s">
        <v>4749</v>
      </c>
      <c r="L3338">
        <v>197.04</v>
      </c>
      <c r="M3338">
        <v>98.52</v>
      </c>
      <c r="N3338" t="s">
        <v>5222</v>
      </c>
      <c r="O3338" t="s">
        <v>461</v>
      </c>
    </row>
    <row r="3339" spans="1:15" x14ac:dyDescent="0.3">
      <c r="A3339">
        <v>217012</v>
      </c>
      <c r="B3339">
        <v>105</v>
      </c>
      <c r="C3339" t="s">
        <v>557</v>
      </c>
      <c r="D3339" t="s">
        <v>2590</v>
      </c>
      <c r="E3339" t="s">
        <v>3349</v>
      </c>
      <c r="F3339" s="451">
        <v>46090</v>
      </c>
      <c r="G3339">
        <v>18006</v>
      </c>
      <c r="H3339" t="s">
        <v>5094</v>
      </c>
      <c r="I3339" t="s">
        <v>5222</v>
      </c>
      <c r="J3339">
        <v>2</v>
      </c>
      <c r="K3339" t="s">
        <v>4738</v>
      </c>
      <c r="L3339">
        <v>59.28</v>
      </c>
      <c r="M3339">
        <v>29.64</v>
      </c>
      <c r="N3339" t="s">
        <v>5222</v>
      </c>
      <c r="O3339" t="s">
        <v>461</v>
      </c>
    </row>
    <row r="3340" spans="1:15" x14ac:dyDescent="0.3">
      <c r="A3340">
        <v>217012</v>
      </c>
      <c r="B3340">
        <v>105</v>
      </c>
      <c r="C3340" t="s">
        <v>557</v>
      </c>
      <c r="D3340" t="s">
        <v>2590</v>
      </c>
      <c r="E3340" t="s">
        <v>3349</v>
      </c>
      <c r="F3340" s="451">
        <v>46090</v>
      </c>
      <c r="G3340">
        <v>26505</v>
      </c>
      <c r="H3340" t="s">
        <v>4750</v>
      </c>
      <c r="I3340" t="s">
        <v>5222</v>
      </c>
      <c r="J3340">
        <v>1</v>
      </c>
      <c r="K3340" t="s">
        <v>4738</v>
      </c>
      <c r="L3340">
        <v>136.49</v>
      </c>
      <c r="M3340">
        <v>136.49</v>
      </c>
      <c r="N3340" t="s">
        <v>5222</v>
      </c>
      <c r="O3340" t="s">
        <v>461</v>
      </c>
    </row>
    <row r="3341" spans="1:15" x14ac:dyDescent="0.3">
      <c r="A3341">
        <v>217012</v>
      </c>
      <c r="B3341">
        <v>105</v>
      </c>
      <c r="C3341" t="s">
        <v>557</v>
      </c>
      <c r="D3341" t="s">
        <v>2590</v>
      </c>
      <c r="E3341" t="s">
        <v>3349</v>
      </c>
      <c r="F3341" s="451">
        <v>46090</v>
      </c>
      <c r="G3341">
        <v>18004</v>
      </c>
      <c r="H3341" t="s">
        <v>5093</v>
      </c>
      <c r="I3341" t="s">
        <v>5222</v>
      </c>
      <c r="J3341">
        <v>2</v>
      </c>
      <c r="K3341" t="s">
        <v>4738</v>
      </c>
      <c r="L3341">
        <v>65.14</v>
      </c>
      <c r="M3341">
        <v>32.57</v>
      </c>
      <c r="N3341" t="s">
        <v>5222</v>
      </c>
      <c r="O3341" t="s">
        <v>461</v>
      </c>
    </row>
    <row r="3342" spans="1:15" x14ac:dyDescent="0.3">
      <c r="A3342">
        <v>217010</v>
      </c>
      <c r="B3342">
        <v>105</v>
      </c>
      <c r="C3342" t="s">
        <v>557</v>
      </c>
      <c r="D3342" t="s">
        <v>2607</v>
      </c>
      <c r="E3342" t="s">
        <v>3350</v>
      </c>
      <c r="F3342" s="451">
        <v>46090</v>
      </c>
      <c r="G3342">
        <v>25777</v>
      </c>
      <c r="H3342" t="s">
        <v>4774</v>
      </c>
      <c r="I3342" t="s">
        <v>5191</v>
      </c>
      <c r="J3342">
        <v>21.1</v>
      </c>
      <c r="K3342" t="s">
        <v>4744</v>
      </c>
      <c r="L3342">
        <v>1793.5</v>
      </c>
      <c r="M3342">
        <v>85</v>
      </c>
      <c r="N3342" t="s">
        <v>5272</v>
      </c>
      <c r="O3342" t="s">
        <v>461</v>
      </c>
    </row>
    <row r="3343" spans="1:15" x14ac:dyDescent="0.3">
      <c r="A3343">
        <v>217010</v>
      </c>
      <c r="B3343">
        <v>105</v>
      </c>
      <c r="C3343" t="s">
        <v>557</v>
      </c>
      <c r="D3343" t="s">
        <v>2607</v>
      </c>
      <c r="E3343" t="s">
        <v>3350</v>
      </c>
      <c r="F3343" s="451">
        <v>46090</v>
      </c>
      <c r="G3343">
        <v>22843</v>
      </c>
      <c r="H3343" t="s">
        <v>4849</v>
      </c>
      <c r="I3343" t="s">
        <v>5191</v>
      </c>
      <c r="J3343">
        <v>6</v>
      </c>
      <c r="K3343" t="s">
        <v>4744</v>
      </c>
      <c r="L3343">
        <v>221.7</v>
      </c>
      <c r="M3343">
        <v>36.950000000000003</v>
      </c>
      <c r="N3343" t="s">
        <v>5272</v>
      </c>
      <c r="O3343" t="s">
        <v>461</v>
      </c>
    </row>
    <row r="3344" spans="1:15" x14ac:dyDescent="0.3">
      <c r="A3344">
        <v>217008</v>
      </c>
      <c r="B3344">
        <v>105</v>
      </c>
      <c r="C3344" t="s">
        <v>557</v>
      </c>
      <c r="D3344" t="s">
        <v>2585</v>
      </c>
      <c r="E3344" t="s">
        <v>3351</v>
      </c>
      <c r="F3344" s="451">
        <v>46085</v>
      </c>
      <c r="G3344">
        <v>18822</v>
      </c>
      <c r="H3344" t="s">
        <v>4811</v>
      </c>
      <c r="I3344" t="s">
        <v>5191</v>
      </c>
      <c r="J3344">
        <v>28.36</v>
      </c>
      <c r="K3344" t="s">
        <v>4744</v>
      </c>
      <c r="L3344">
        <v>2556.65</v>
      </c>
      <c r="M3344">
        <v>90.149859000000006</v>
      </c>
      <c r="N3344" t="s">
        <v>5272</v>
      </c>
      <c r="O3344" t="s">
        <v>461</v>
      </c>
    </row>
    <row r="3345" spans="1:15" x14ac:dyDescent="0.3">
      <c r="A3345">
        <v>216994</v>
      </c>
      <c r="B3345">
        <v>105</v>
      </c>
      <c r="C3345" t="s">
        <v>557</v>
      </c>
      <c r="D3345" t="s">
        <v>2585</v>
      </c>
      <c r="E3345" t="s">
        <v>3352</v>
      </c>
      <c r="F3345" s="451">
        <v>46089</v>
      </c>
      <c r="G3345">
        <v>18822</v>
      </c>
      <c r="H3345" t="s">
        <v>4811</v>
      </c>
      <c r="I3345" t="s">
        <v>5191</v>
      </c>
      <c r="J3345">
        <v>23.55</v>
      </c>
      <c r="K3345" t="s">
        <v>4744</v>
      </c>
      <c r="L3345">
        <v>2123.0300000000002</v>
      </c>
      <c r="M3345">
        <v>90.149894000000003</v>
      </c>
      <c r="N3345" t="s">
        <v>5272</v>
      </c>
      <c r="O3345" t="s">
        <v>461</v>
      </c>
    </row>
    <row r="3346" spans="1:15" x14ac:dyDescent="0.3">
      <c r="A3346">
        <v>216994</v>
      </c>
      <c r="B3346">
        <v>105</v>
      </c>
      <c r="C3346" t="s">
        <v>557</v>
      </c>
      <c r="D3346" t="s">
        <v>2585</v>
      </c>
      <c r="E3346" t="s">
        <v>3352</v>
      </c>
      <c r="F3346" s="451">
        <v>46089</v>
      </c>
      <c r="G3346">
        <v>27264</v>
      </c>
      <c r="H3346" t="s">
        <v>5075</v>
      </c>
      <c r="I3346" t="s">
        <v>5191</v>
      </c>
      <c r="J3346">
        <v>10.79</v>
      </c>
      <c r="K3346" t="s">
        <v>4744</v>
      </c>
      <c r="L3346">
        <v>574.19000000000005</v>
      </c>
      <c r="M3346">
        <v>53.215013999999996</v>
      </c>
      <c r="N3346" t="s">
        <v>5272</v>
      </c>
      <c r="O3346" t="s">
        <v>461</v>
      </c>
    </row>
    <row r="3347" spans="1:15" x14ac:dyDescent="0.3">
      <c r="A3347">
        <v>216992</v>
      </c>
      <c r="B3347">
        <v>105</v>
      </c>
      <c r="C3347" t="s">
        <v>557</v>
      </c>
      <c r="D3347" t="s">
        <v>2637</v>
      </c>
      <c r="E3347" t="s">
        <v>3353</v>
      </c>
      <c r="F3347" s="451">
        <v>46084</v>
      </c>
      <c r="G3347">
        <v>18475</v>
      </c>
      <c r="H3347" t="s">
        <v>4895</v>
      </c>
      <c r="I3347" t="s">
        <v>5222</v>
      </c>
      <c r="J3347">
        <v>12</v>
      </c>
      <c r="K3347" t="s">
        <v>4805</v>
      </c>
      <c r="L3347">
        <v>394.8</v>
      </c>
      <c r="M3347">
        <v>32.9</v>
      </c>
      <c r="N3347" t="s">
        <v>5222</v>
      </c>
      <c r="O3347" t="s">
        <v>461</v>
      </c>
    </row>
    <row r="3348" spans="1:15" x14ac:dyDescent="0.3">
      <c r="A3348">
        <v>216991</v>
      </c>
      <c r="B3348">
        <v>105</v>
      </c>
      <c r="C3348" t="s">
        <v>557</v>
      </c>
      <c r="D3348" t="s">
        <v>2779</v>
      </c>
      <c r="E3348" t="s">
        <v>3354</v>
      </c>
      <c r="F3348" s="451">
        <v>46090</v>
      </c>
      <c r="G3348">
        <v>19003</v>
      </c>
      <c r="H3348" t="s">
        <v>4810</v>
      </c>
      <c r="I3348" t="s">
        <v>5191</v>
      </c>
      <c r="J3348">
        <v>24.48</v>
      </c>
      <c r="K3348" t="s">
        <v>4744</v>
      </c>
      <c r="L3348">
        <v>976.75</v>
      </c>
      <c r="M3348">
        <v>39.899918</v>
      </c>
      <c r="N3348" t="s">
        <v>5272</v>
      </c>
      <c r="O3348" t="s">
        <v>461</v>
      </c>
    </row>
    <row r="3349" spans="1:15" x14ac:dyDescent="0.3">
      <c r="A3349">
        <v>216991</v>
      </c>
      <c r="B3349">
        <v>105</v>
      </c>
      <c r="C3349" t="s">
        <v>557</v>
      </c>
      <c r="D3349" t="s">
        <v>2779</v>
      </c>
      <c r="E3349" t="s">
        <v>3354</v>
      </c>
      <c r="F3349" s="451">
        <v>46090</v>
      </c>
      <c r="G3349">
        <v>26679</v>
      </c>
      <c r="H3349" t="s">
        <v>4791</v>
      </c>
      <c r="I3349" t="s">
        <v>5191</v>
      </c>
      <c r="J3349">
        <v>47.65</v>
      </c>
      <c r="K3349" t="s">
        <v>4744</v>
      </c>
      <c r="L3349">
        <v>1329.43</v>
      </c>
      <c r="M3349">
        <v>27.899895000000001</v>
      </c>
      <c r="N3349" t="s">
        <v>5272</v>
      </c>
      <c r="O3349" t="s">
        <v>461</v>
      </c>
    </row>
    <row r="3350" spans="1:15" x14ac:dyDescent="0.3">
      <c r="A3350">
        <v>216991</v>
      </c>
      <c r="B3350">
        <v>105</v>
      </c>
      <c r="C3350" t="s">
        <v>557</v>
      </c>
      <c r="D3350" t="s">
        <v>2779</v>
      </c>
      <c r="E3350" t="s">
        <v>3354</v>
      </c>
      <c r="F3350" s="451">
        <v>46090</v>
      </c>
      <c r="G3350">
        <v>24191</v>
      </c>
      <c r="H3350" t="s">
        <v>4846</v>
      </c>
      <c r="I3350" t="s">
        <v>5191</v>
      </c>
      <c r="J3350">
        <v>5.0999999999999996</v>
      </c>
      <c r="K3350" t="s">
        <v>4744</v>
      </c>
      <c r="L3350">
        <v>183.09</v>
      </c>
      <c r="M3350">
        <v>35.9</v>
      </c>
      <c r="N3350" t="s">
        <v>5272</v>
      </c>
      <c r="O3350" t="s">
        <v>461</v>
      </c>
    </row>
    <row r="3351" spans="1:15" x14ac:dyDescent="0.3">
      <c r="A3351">
        <v>216989</v>
      </c>
      <c r="B3351">
        <v>105</v>
      </c>
      <c r="C3351" t="s">
        <v>557</v>
      </c>
      <c r="D3351" t="s">
        <v>2581</v>
      </c>
      <c r="E3351" t="s">
        <v>3355</v>
      </c>
      <c r="F3351" s="451">
        <v>46084</v>
      </c>
      <c r="G3351">
        <v>19505</v>
      </c>
      <c r="H3351" t="s">
        <v>4872</v>
      </c>
      <c r="I3351" t="s">
        <v>5191</v>
      </c>
      <c r="J3351">
        <v>4.5</v>
      </c>
      <c r="K3351" t="s">
        <v>4744</v>
      </c>
      <c r="L3351">
        <v>69.75</v>
      </c>
      <c r="M3351">
        <v>15.5</v>
      </c>
      <c r="N3351" t="s">
        <v>5272</v>
      </c>
      <c r="O3351" t="s">
        <v>461</v>
      </c>
    </row>
    <row r="3352" spans="1:15" x14ac:dyDescent="0.3">
      <c r="A3352">
        <v>216989</v>
      </c>
      <c r="B3352">
        <v>105</v>
      </c>
      <c r="C3352" t="s">
        <v>557</v>
      </c>
      <c r="D3352" t="s">
        <v>2581</v>
      </c>
      <c r="E3352" t="s">
        <v>3355</v>
      </c>
      <c r="F3352" s="451">
        <v>46084</v>
      </c>
      <c r="G3352">
        <v>19480</v>
      </c>
      <c r="H3352" t="s">
        <v>5119</v>
      </c>
      <c r="I3352" t="s">
        <v>5191</v>
      </c>
      <c r="J3352">
        <v>0.4</v>
      </c>
      <c r="K3352" t="s">
        <v>4744</v>
      </c>
      <c r="L3352">
        <v>6.4</v>
      </c>
      <c r="M3352">
        <v>16</v>
      </c>
      <c r="N3352" t="s">
        <v>5272</v>
      </c>
      <c r="O3352" t="s">
        <v>461</v>
      </c>
    </row>
    <row r="3353" spans="1:15" x14ac:dyDescent="0.3">
      <c r="A3353">
        <v>216989</v>
      </c>
      <c r="B3353">
        <v>105</v>
      </c>
      <c r="C3353" t="s">
        <v>557</v>
      </c>
      <c r="D3353" t="s">
        <v>2581</v>
      </c>
      <c r="E3353" t="s">
        <v>3355</v>
      </c>
      <c r="F3353" s="451">
        <v>46084</v>
      </c>
      <c r="G3353">
        <v>19507</v>
      </c>
      <c r="H3353" t="s">
        <v>4853</v>
      </c>
      <c r="I3353" t="s">
        <v>5191</v>
      </c>
      <c r="J3353">
        <v>1</v>
      </c>
      <c r="K3353" t="s">
        <v>4744</v>
      </c>
      <c r="L3353">
        <v>16</v>
      </c>
      <c r="M3353">
        <v>16</v>
      </c>
      <c r="N3353" t="s">
        <v>5272</v>
      </c>
      <c r="O3353" t="s">
        <v>461</v>
      </c>
    </row>
    <row r="3354" spans="1:15" x14ac:dyDescent="0.3">
      <c r="A3354">
        <v>216989</v>
      </c>
      <c r="B3354">
        <v>105</v>
      </c>
      <c r="C3354" t="s">
        <v>557</v>
      </c>
      <c r="D3354" t="s">
        <v>2581</v>
      </c>
      <c r="E3354" t="s">
        <v>3355</v>
      </c>
      <c r="F3354" s="451">
        <v>46084</v>
      </c>
      <c r="G3354">
        <v>19743</v>
      </c>
      <c r="H3354" t="s">
        <v>5047</v>
      </c>
      <c r="I3354" t="s">
        <v>5191</v>
      </c>
      <c r="J3354">
        <v>1.5</v>
      </c>
      <c r="K3354" t="s">
        <v>4744</v>
      </c>
      <c r="L3354">
        <v>22.5</v>
      </c>
      <c r="M3354">
        <v>15</v>
      </c>
      <c r="N3354" t="s">
        <v>5272</v>
      </c>
      <c r="O3354" t="s">
        <v>461</v>
      </c>
    </row>
    <row r="3355" spans="1:15" x14ac:dyDescent="0.3">
      <c r="A3355">
        <v>216989</v>
      </c>
      <c r="B3355">
        <v>105</v>
      </c>
      <c r="C3355" t="s">
        <v>557</v>
      </c>
      <c r="D3355" t="s">
        <v>2581</v>
      </c>
      <c r="E3355" t="s">
        <v>3355</v>
      </c>
      <c r="F3355" s="451">
        <v>46084</v>
      </c>
      <c r="G3355">
        <v>19472</v>
      </c>
      <c r="H3355" t="s">
        <v>4906</v>
      </c>
      <c r="I3355" t="s">
        <v>5191</v>
      </c>
      <c r="J3355">
        <v>1.8</v>
      </c>
      <c r="K3355" t="s">
        <v>4744</v>
      </c>
      <c r="L3355">
        <v>45</v>
      </c>
      <c r="M3355">
        <v>25</v>
      </c>
      <c r="N3355" t="s">
        <v>5272</v>
      </c>
      <c r="O3355" t="s">
        <v>461</v>
      </c>
    </row>
    <row r="3356" spans="1:15" x14ac:dyDescent="0.3">
      <c r="A3356">
        <v>216988</v>
      </c>
      <c r="B3356">
        <v>105</v>
      </c>
      <c r="C3356" t="s">
        <v>557</v>
      </c>
      <c r="D3356" t="s">
        <v>2581</v>
      </c>
      <c r="E3356" t="s">
        <v>3356</v>
      </c>
      <c r="F3356" s="451">
        <v>46085</v>
      </c>
      <c r="G3356">
        <v>19505</v>
      </c>
      <c r="H3356" t="s">
        <v>4872</v>
      </c>
      <c r="I3356" t="s">
        <v>5191</v>
      </c>
      <c r="J3356">
        <v>6</v>
      </c>
      <c r="K3356" t="s">
        <v>4744</v>
      </c>
      <c r="L3356">
        <v>82.8</v>
      </c>
      <c r="M3356">
        <v>13.8</v>
      </c>
      <c r="N3356" t="s">
        <v>5272</v>
      </c>
      <c r="O3356" t="s">
        <v>461</v>
      </c>
    </row>
    <row r="3357" spans="1:15" x14ac:dyDescent="0.3">
      <c r="A3357">
        <v>216988</v>
      </c>
      <c r="B3357">
        <v>105</v>
      </c>
      <c r="C3357" t="s">
        <v>557</v>
      </c>
      <c r="D3357" t="s">
        <v>2581</v>
      </c>
      <c r="E3357" t="s">
        <v>3356</v>
      </c>
      <c r="F3357" s="451">
        <v>46085</v>
      </c>
      <c r="G3357">
        <v>24509</v>
      </c>
      <c r="H3357" t="s">
        <v>4788</v>
      </c>
      <c r="I3357" t="s">
        <v>5191</v>
      </c>
      <c r="J3357">
        <v>5</v>
      </c>
      <c r="K3357" t="s">
        <v>4744</v>
      </c>
      <c r="L3357">
        <v>15.75</v>
      </c>
      <c r="M3357">
        <v>3.15</v>
      </c>
      <c r="N3357" t="s">
        <v>5272</v>
      </c>
      <c r="O3357" t="s">
        <v>461</v>
      </c>
    </row>
    <row r="3358" spans="1:15" x14ac:dyDescent="0.3">
      <c r="A3358">
        <v>216988</v>
      </c>
      <c r="B3358">
        <v>105</v>
      </c>
      <c r="C3358" t="s">
        <v>557</v>
      </c>
      <c r="D3358" t="s">
        <v>2581</v>
      </c>
      <c r="E3358" t="s">
        <v>3356</v>
      </c>
      <c r="F3358" s="451">
        <v>46085</v>
      </c>
      <c r="G3358">
        <v>19502</v>
      </c>
      <c r="H3358" t="s">
        <v>4871</v>
      </c>
      <c r="I3358" t="s">
        <v>5191</v>
      </c>
      <c r="J3358">
        <v>1.5</v>
      </c>
      <c r="K3358" t="s">
        <v>4744</v>
      </c>
      <c r="L3358">
        <v>34.5</v>
      </c>
      <c r="M3358">
        <v>23</v>
      </c>
      <c r="N3358" t="s">
        <v>5272</v>
      </c>
      <c r="O3358" t="s">
        <v>461</v>
      </c>
    </row>
    <row r="3359" spans="1:15" x14ac:dyDescent="0.3">
      <c r="A3359">
        <v>216988</v>
      </c>
      <c r="B3359">
        <v>105</v>
      </c>
      <c r="C3359" t="s">
        <v>557</v>
      </c>
      <c r="D3359" t="s">
        <v>2581</v>
      </c>
      <c r="E3359" t="s">
        <v>3356</v>
      </c>
      <c r="F3359" s="451">
        <v>46085</v>
      </c>
      <c r="G3359">
        <v>19623</v>
      </c>
      <c r="H3359" t="s">
        <v>4764</v>
      </c>
      <c r="I3359" t="s">
        <v>5191</v>
      </c>
      <c r="J3359">
        <v>6</v>
      </c>
      <c r="K3359" t="s">
        <v>4744</v>
      </c>
      <c r="L3359">
        <v>23.1</v>
      </c>
      <c r="M3359">
        <v>3.85</v>
      </c>
      <c r="N3359" t="s">
        <v>5272</v>
      </c>
      <c r="O3359" t="s">
        <v>461</v>
      </c>
    </row>
    <row r="3360" spans="1:15" x14ac:dyDescent="0.3">
      <c r="A3360">
        <v>216988</v>
      </c>
      <c r="B3360">
        <v>105</v>
      </c>
      <c r="C3360" t="s">
        <v>557</v>
      </c>
      <c r="D3360" t="s">
        <v>2581</v>
      </c>
      <c r="E3360" t="s">
        <v>3356</v>
      </c>
      <c r="F3360" s="451">
        <v>46085</v>
      </c>
      <c r="G3360">
        <v>19558</v>
      </c>
      <c r="H3360" t="s">
        <v>4994</v>
      </c>
      <c r="I3360" t="s">
        <v>5191</v>
      </c>
      <c r="J3360">
        <v>1.4</v>
      </c>
      <c r="K3360" t="s">
        <v>4744</v>
      </c>
      <c r="L3360">
        <v>18.2</v>
      </c>
      <c r="M3360">
        <v>13</v>
      </c>
      <c r="N3360" t="s">
        <v>5272</v>
      </c>
      <c r="O3360" t="s">
        <v>461</v>
      </c>
    </row>
    <row r="3361" spans="1:15" x14ac:dyDescent="0.3">
      <c r="A3361">
        <v>216988</v>
      </c>
      <c r="B3361">
        <v>105</v>
      </c>
      <c r="C3361" t="s">
        <v>557</v>
      </c>
      <c r="D3361" t="s">
        <v>2581</v>
      </c>
      <c r="E3361" t="s">
        <v>3356</v>
      </c>
      <c r="F3361" s="451">
        <v>46085</v>
      </c>
      <c r="G3361">
        <v>19647</v>
      </c>
      <c r="H3361" t="s">
        <v>5050</v>
      </c>
      <c r="I3361" t="s">
        <v>5191</v>
      </c>
      <c r="J3361">
        <v>0.3</v>
      </c>
      <c r="K3361" t="s">
        <v>4744</v>
      </c>
      <c r="L3361">
        <v>3.75</v>
      </c>
      <c r="M3361">
        <v>12.5</v>
      </c>
      <c r="N3361" t="s">
        <v>5272</v>
      </c>
      <c r="O3361" t="s">
        <v>461</v>
      </c>
    </row>
    <row r="3362" spans="1:15" x14ac:dyDescent="0.3">
      <c r="A3362">
        <v>216988</v>
      </c>
      <c r="B3362">
        <v>105</v>
      </c>
      <c r="C3362" t="s">
        <v>557</v>
      </c>
      <c r="D3362" t="s">
        <v>2581</v>
      </c>
      <c r="E3362" t="s">
        <v>3356</v>
      </c>
      <c r="F3362" s="451">
        <v>46085</v>
      </c>
      <c r="G3362">
        <v>19728</v>
      </c>
      <c r="H3362" t="s">
        <v>5106</v>
      </c>
      <c r="I3362" t="s">
        <v>5191</v>
      </c>
      <c r="J3362">
        <v>1</v>
      </c>
      <c r="K3362" t="s">
        <v>4744</v>
      </c>
      <c r="L3362">
        <v>13</v>
      </c>
      <c r="M3362">
        <v>13</v>
      </c>
      <c r="N3362" t="s">
        <v>5272</v>
      </c>
      <c r="O3362" t="s">
        <v>461</v>
      </c>
    </row>
    <row r="3363" spans="1:15" x14ac:dyDescent="0.3">
      <c r="A3363">
        <v>216988</v>
      </c>
      <c r="B3363">
        <v>105</v>
      </c>
      <c r="C3363" t="s">
        <v>557</v>
      </c>
      <c r="D3363" t="s">
        <v>2581</v>
      </c>
      <c r="E3363" t="s">
        <v>3356</v>
      </c>
      <c r="F3363" s="451">
        <v>46085</v>
      </c>
      <c r="G3363">
        <v>24489</v>
      </c>
      <c r="H3363" t="s">
        <v>5121</v>
      </c>
      <c r="I3363" t="s">
        <v>5191</v>
      </c>
      <c r="J3363">
        <v>1.5</v>
      </c>
      <c r="K3363" t="s">
        <v>4744</v>
      </c>
      <c r="L3363">
        <v>30</v>
      </c>
      <c r="M3363">
        <v>20</v>
      </c>
      <c r="N3363" t="s">
        <v>5272</v>
      </c>
      <c r="O3363" t="s">
        <v>461</v>
      </c>
    </row>
    <row r="3364" spans="1:15" x14ac:dyDescent="0.3">
      <c r="A3364">
        <v>216988</v>
      </c>
      <c r="B3364">
        <v>105</v>
      </c>
      <c r="C3364" t="s">
        <v>557</v>
      </c>
      <c r="D3364" t="s">
        <v>2581</v>
      </c>
      <c r="E3364" t="s">
        <v>3356</v>
      </c>
      <c r="F3364" s="451">
        <v>46085</v>
      </c>
      <c r="G3364">
        <v>19507</v>
      </c>
      <c r="H3364" t="s">
        <v>4853</v>
      </c>
      <c r="I3364" t="s">
        <v>5191</v>
      </c>
      <c r="J3364">
        <v>1.5</v>
      </c>
      <c r="K3364" t="s">
        <v>4744</v>
      </c>
      <c r="L3364">
        <v>24</v>
      </c>
      <c r="M3364">
        <v>16</v>
      </c>
      <c r="N3364" t="s">
        <v>5272</v>
      </c>
      <c r="O3364" t="s">
        <v>461</v>
      </c>
    </row>
    <row r="3365" spans="1:15" x14ac:dyDescent="0.3">
      <c r="A3365">
        <v>216988</v>
      </c>
      <c r="B3365">
        <v>105</v>
      </c>
      <c r="C3365" t="s">
        <v>557</v>
      </c>
      <c r="D3365" t="s">
        <v>2581</v>
      </c>
      <c r="E3365" t="s">
        <v>3356</v>
      </c>
      <c r="F3365" s="451">
        <v>46085</v>
      </c>
      <c r="G3365">
        <v>23113</v>
      </c>
      <c r="H3365" t="s">
        <v>5074</v>
      </c>
      <c r="I3365" t="s">
        <v>5191</v>
      </c>
      <c r="J3365">
        <v>1</v>
      </c>
      <c r="K3365" t="s">
        <v>4744</v>
      </c>
      <c r="L3365">
        <v>9</v>
      </c>
      <c r="M3365">
        <v>9</v>
      </c>
      <c r="N3365" t="s">
        <v>5272</v>
      </c>
      <c r="O3365" t="s">
        <v>461</v>
      </c>
    </row>
    <row r="3366" spans="1:15" x14ac:dyDescent="0.3">
      <c r="A3366">
        <v>216988</v>
      </c>
      <c r="B3366">
        <v>105</v>
      </c>
      <c r="C3366" t="s">
        <v>557</v>
      </c>
      <c r="D3366" t="s">
        <v>2581</v>
      </c>
      <c r="E3366" t="s">
        <v>3356</v>
      </c>
      <c r="F3366" s="451">
        <v>46085</v>
      </c>
      <c r="G3366">
        <v>23359</v>
      </c>
      <c r="H3366" t="s">
        <v>4767</v>
      </c>
      <c r="I3366" t="s">
        <v>5191</v>
      </c>
      <c r="J3366">
        <v>8</v>
      </c>
      <c r="K3366" t="s">
        <v>4744</v>
      </c>
      <c r="L3366">
        <v>19.2</v>
      </c>
      <c r="M3366">
        <v>2.4</v>
      </c>
      <c r="N3366" t="s">
        <v>5272</v>
      </c>
      <c r="O3366" t="s">
        <v>461</v>
      </c>
    </row>
    <row r="3367" spans="1:15" x14ac:dyDescent="0.3">
      <c r="A3367">
        <v>216988</v>
      </c>
      <c r="B3367">
        <v>105</v>
      </c>
      <c r="C3367" t="s">
        <v>557</v>
      </c>
      <c r="D3367" t="s">
        <v>2581</v>
      </c>
      <c r="E3367" t="s">
        <v>3356</v>
      </c>
      <c r="F3367" s="451">
        <v>46085</v>
      </c>
      <c r="G3367">
        <v>23349</v>
      </c>
      <c r="H3367" t="s">
        <v>4988</v>
      </c>
      <c r="I3367" t="s">
        <v>5191</v>
      </c>
      <c r="J3367">
        <v>1</v>
      </c>
      <c r="K3367" t="s">
        <v>4744</v>
      </c>
      <c r="L3367">
        <v>9.5</v>
      </c>
      <c r="M3367">
        <v>9.5</v>
      </c>
      <c r="N3367" t="s">
        <v>5272</v>
      </c>
      <c r="O3367" t="s">
        <v>461</v>
      </c>
    </row>
    <row r="3368" spans="1:15" x14ac:dyDescent="0.3">
      <c r="A3368">
        <v>216988</v>
      </c>
      <c r="B3368">
        <v>105</v>
      </c>
      <c r="C3368" t="s">
        <v>557</v>
      </c>
      <c r="D3368" t="s">
        <v>2581</v>
      </c>
      <c r="E3368" t="s">
        <v>3356</v>
      </c>
      <c r="F3368" s="451">
        <v>46085</v>
      </c>
      <c r="G3368">
        <v>23095</v>
      </c>
      <c r="H3368" t="s">
        <v>4741</v>
      </c>
      <c r="I3368" t="s">
        <v>5191</v>
      </c>
      <c r="J3368">
        <v>50</v>
      </c>
      <c r="K3368" t="s">
        <v>4736</v>
      </c>
      <c r="L3368">
        <v>62.5</v>
      </c>
      <c r="M3368">
        <v>1.25</v>
      </c>
      <c r="N3368" t="s">
        <v>5272</v>
      </c>
      <c r="O3368" t="s">
        <v>461</v>
      </c>
    </row>
    <row r="3369" spans="1:15" x14ac:dyDescent="0.3">
      <c r="A3369">
        <v>216988</v>
      </c>
      <c r="B3369">
        <v>105</v>
      </c>
      <c r="C3369" t="s">
        <v>557</v>
      </c>
      <c r="D3369" t="s">
        <v>2581</v>
      </c>
      <c r="E3369" t="s">
        <v>3356</v>
      </c>
      <c r="F3369" s="451">
        <v>46085</v>
      </c>
      <c r="G3369">
        <v>19472</v>
      </c>
      <c r="H3369" t="s">
        <v>4906</v>
      </c>
      <c r="I3369" t="s">
        <v>5191</v>
      </c>
      <c r="J3369">
        <v>2</v>
      </c>
      <c r="K3369" t="s">
        <v>4744</v>
      </c>
      <c r="L3369">
        <v>50</v>
      </c>
      <c r="M3369">
        <v>25</v>
      </c>
      <c r="N3369" t="s">
        <v>5272</v>
      </c>
      <c r="O3369" t="s">
        <v>461</v>
      </c>
    </row>
    <row r="3370" spans="1:15" x14ac:dyDescent="0.3">
      <c r="A3370">
        <v>216988</v>
      </c>
      <c r="B3370">
        <v>105</v>
      </c>
      <c r="C3370" t="s">
        <v>557</v>
      </c>
      <c r="D3370" t="s">
        <v>2581</v>
      </c>
      <c r="E3370" t="s">
        <v>3356</v>
      </c>
      <c r="F3370" s="451">
        <v>46085</v>
      </c>
      <c r="G3370">
        <v>19532</v>
      </c>
      <c r="H3370" t="s">
        <v>4753</v>
      </c>
      <c r="I3370" t="s">
        <v>5191</v>
      </c>
      <c r="J3370">
        <v>15</v>
      </c>
      <c r="K3370" t="s">
        <v>4744</v>
      </c>
      <c r="L3370">
        <v>147</v>
      </c>
      <c r="M3370">
        <v>9.8000000000000007</v>
      </c>
      <c r="N3370" t="s">
        <v>5272</v>
      </c>
      <c r="O3370" t="s">
        <v>461</v>
      </c>
    </row>
    <row r="3371" spans="1:15" x14ac:dyDescent="0.3">
      <c r="A3371">
        <v>216984</v>
      </c>
      <c r="B3371">
        <v>105</v>
      </c>
      <c r="C3371" t="s">
        <v>557</v>
      </c>
      <c r="D3371" t="s">
        <v>2581</v>
      </c>
      <c r="E3371" t="s">
        <v>3357</v>
      </c>
      <c r="F3371" s="451">
        <v>46085</v>
      </c>
      <c r="G3371">
        <v>23785</v>
      </c>
      <c r="H3371" t="s">
        <v>4858</v>
      </c>
      <c r="I3371" t="s">
        <v>5191</v>
      </c>
      <c r="J3371">
        <v>6</v>
      </c>
      <c r="K3371" t="s">
        <v>4744</v>
      </c>
      <c r="L3371">
        <v>270</v>
      </c>
      <c r="M3371">
        <v>45</v>
      </c>
      <c r="N3371" t="s">
        <v>5272</v>
      </c>
      <c r="O3371" t="s">
        <v>461</v>
      </c>
    </row>
    <row r="3372" spans="1:15" x14ac:dyDescent="0.3">
      <c r="A3372">
        <v>216982</v>
      </c>
      <c r="B3372">
        <v>105</v>
      </c>
      <c r="C3372" t="s">
        <v>557</v>
      </c>
      <c r="D3372" t="s">
        <v>2581</v>
      </c>
      <c r="E3372" t="s">
        <v>3358</v>
      </c>
      <c r="F3372" s="451">
        <v>46086</v>
      </c>
      <c r="G3372">
        <v>19787</v>
      </c>
      <c r="H3372" t="s">
        <v>4793</v>
      </c>
      <c r="I3372" t="s">
        <v>5191</v>
      </c>
      <c r="J3372">
        <v>10</v>
      </c>
      <c r="K3372" t="s">
        <v>4744</v>
      </c>
      <c r="L3372">
        <v>47.5</v>
      </c>
      <c r="M3372">
        <v>4.75</v>
      </c>
      <c r="N3372" t="s">
        <v>5191</v>
      </c>
      <c r="O3372" t="s">
        <v>461</v>
      </c>
    </row>
    <row r="3373" spans="1:15" x14ac:dyDescent="0.3">
      <c r="A3373">
        <v>216982</v>
      </c>
      <c r="B3373">
        <v>105</v>
      </c>
      <c r="C3373" t="s">
        <v>557</v>
      </c>
      <c r="D3373" t="s">
        <v>2581</v>
      </c>
      <c r="E3373" t="s">
        <v>3358</v>
      </c>
      <c r="F3373" s="451">
        <v>46086</v>
      </c>
      <c r="G3373">
        <v>19621</v>
      </c>
      <c r="H3373" t="s">
        <v>4829</v>
      </c>
      <c r="I3373" t="s">
        <v>5191</v>
      </c>
      <c r="J3373">
        <v>4</v>
      </c>
      <c r="K3373" t="s">
        <v>4744</v>
      </c>
      <c r="L3373">
        <v>20</v>
      </c>
      <c r="M3373">
        <v>5</v>
      </c>
      <c r="N3373" t="s">
        <v>5191</v>
      </c>
      <c r="O3373" t="s">
        <v>461</v>
      </c>
    </row>
    <row r="3374" spans="1:15" x14ac:dyDescent="0.3">
      <c r="A3374">
        <v>216982</v>
      </c>
      <c r="B3374">
        <v>105</v>
      </c>
      <c r="C3374" t="s">
        <v>557</v>
      </c>
      <c r="D3374" t="s">
        <v>2581</v>
      </c>
      <c r="E3374" t="s">
        <v>3358</v>
      </c>
      <c r="F3374" s="451">
        <v>46086</v>
      </c>
      <c r="G3374">
        <v>19589</v>
      </c>
      <c r="H3374" t="s">
        <v>4983</v>
      </c>
      <c r="I3374" t="s">
        <v>5191</v>
      </c>
      <c r="J3374">
        <v>3</v>
      </c>
      <c r="K3374" t="s">
        <v>4744</v>
      </c>
      <c r="L3374">
        <v>22.5</v>
      </c>
      <c r="M3374">
        <v>7.5</v>
      </c>
      <c r="N3374" t="s">
        <v>5191</v>
      </c>
      <c r="O3374" t="s">
        <v>461</v>
      </c>
    </row>
    <row r="3375" spans="1:15" x14ac:dyDescent="0.3">
      <c r="A3375">
        <v>216982</v>
      </c>
      <c r="B3375">
        <v>105</v>
      </c>
      <c r="C3375" t="s">
        <v>557</v>
      </c>
      <c r="D3375" t="s">
        <v>2581</v>
      </c>
      <c r="E3375" t="s">
        <v>3358</v>
      </c>
      <c r="F3375" s="451">
        <v>46086</v>
      </c>
      <c r="G3375">
        <v>19506</v>
      </c>
      <c r="H3375" t="s">
        <v>5122</v>
      </c>
      <c r="I3375" t="s">
        <v>5191</v>
      </c>
      <c r="J3375">
        <v>0.4</v>
      </c>
      <c r="K3375" t="s">
        <v>4744</v>
      </c>
      <c r="L3375">
        <v>15.2</v>
      </c>
      <c r="M3375">
        <v>38</v>
      </c>
      <c r="N3375" t="s">
        <v>5191</v>
      </c>
      <c r="O3375" t="s">
        <v>461</v>
      </c>
    </row>
    <row r="3376" spans="1:15" x14ac:dyDescent="0.3">
      <c r="A3376">
        <v>216982</v>
      </c>
      <c r="B3376">
        <v>105</v>
      </c>
      <c r="C3376" t="s">
        <v>557</v>
      </c>
      <c r="D3376" t="s">
        <v>2581</v>
      </c>
      <c r="E3376" t="s">
        <v>3358</v>
      </c>
      <c r="F3376" s="451">
        <v>46086</v>
      </c>
      <c r="G3376">
        <v>19505</v>
      </c>
      <c r="H3376" t="s">
        <v>4872</v>
      </c>
      <c r="I3376" t="s">
        <v>5191</v>
      </c>
      <c r="J3376">
        <v>5.8</v>
      </c>
      <c r="K3376" t="s">
        <v>4744</v>
      </c>
      <c r="L3376">
        <v>76.56</v>
      </c>
      <c r="M3376">
        <v>13.2</v>
      </c>
      <c r="N3376" t="s">
        <v>5191</v>
      </c>
      <c r="O3376" t="s">
        <v>461</v>
      </c>
    </row>
    <row r="3377" spans="1:15" x14ac:dyDescent="0.3">
      <c r="A3377">
        <v>216982</v>
      </c>
      <c r="B3377">
        <v>105</v>
      </c>
      <c r="C3377" t="s">
        <v>557</v>
      </c>
      <c r="D3377" t="s">
        <v>2581</v>
      </c>
      <c r="E3377" t="s">
        <v>3358</v>
      </c>
      <c r="F3377" s="451">
        <v>46086</v>
      </c>
      <c r="G3377">
        <v>19623</v>
      </c>
      <c r="H3377" t="s">
        <v>4764</v>
      </c>
      <c r="I3377" t="s">
        <v>5191</v>
      </c>
      <c r="J3377">
        <v>6</v>
      </c>
      <c r="K3377" t="s">
        <v>4744</v>
      </c>
      <c r="L3377">
        <v>25.2</v>
      </c>
      <c r="M3377">
        <v>4.2</v>
      </c>
      <c r="N3377" t="s">
        <v>5191</v>
      </c>
      <c r="O3377" t="s">
        <v>461</v>
      </c>
    </row>
    <row r="3378" spans="1:15" x14ac:dyDescent="0.3">
      <c r="A3378">
        <v>216982</v>
      </c>
      <c r="B3378">
        <v>105</v>
      </c>
      <c r="C3378" t="s">
        <v>557</v>
      </c>
      <c r="D3378" t="s">
        <v>2581</v>
      </c>
      <c r="E3378" t="s">
        <v>3358</v>
      </c>
      <c r="F3378" s="451">
        <v>46086</v>
      </c>
      <c r="G3378">
        <v>24099</v>
      </c>
      <c r="H3378" t="s">
        <v>4933</v>
      </c>
      <c r="I3378" t="s">
        <v>5191</v>
      </c>
      <c r="J3378">
        <v>2.5</v>
      </c>
      <c r="K3378" t="s">
        <v>4744</v>
      </c>
      <c r="L3378">
        <v>47.5</v>
      </c>
      <c r="M3378">
        <v>19</v>
      </c>
      <c r="N3378" t="s">
        <v>5191</v>
      </c>
      <c r="O3378" t="s">
        <v>461</v>
      </c>
    </row>
    <row r="3379" spans="1:15" x14ac:dyDescent="0.3">
      <c r="A3379">
        <v>216982</v>
      </c>
      <c r="B3379">
        <v>105</v>
      </c>
      <c r="C3379" t="s">
        <v>557</v>
      </c>
      <c r="D3379" t="s">
        <v>2581</v>
      </c>
      <c r="E3379" t="s">
        <v>3358</v>
      </c>
      <c r="F3379" s="451">
        <v>46086</v>
      </c>
      <c r="G3379">
        <v>19465</v>
      </c>
      <c r="H3379" t="s">
        <v>5114</v>
      </c>
      <c r="I3379" t="s">
        <v>5191</v>
      </c>
      <c r="J3379">
        <v>0.4</v>
      </c>
      <c r="K3379" t="s">
        <v>4744</v>
      </c>
      <c r="L3379">
        <v>2.8</v>
      </c>
      <c r="M3379">
        <v>7</v>
      </c>
      <c r="N3379" t="s">
        <v>5191</v>
      </c>
      <c r="O3379" t="s">
        <v>461</v>
      </c>
    </row>
    <row r="3380" spans="1:15" x14ac:dyDescent="0.3">
      <c r="A3380">
        <v>216982</v>
      </c>
      <c r="B3380">
        <v>105</v>
      </c>
      <c r="C3380" t="s">
        <v>557</v>
      </c>
      <c r="D3380" t="s">
        <v>2581</v>
      </c>
      <c r="E3380" t="s">
        <v>3358</v>
      </c>
      <c r="F3380" s="451">
        <v>46086</v>
      </c>
      <c r="G3380">
        <v>19480</v>
      </c>
      <c r="H3380" t="s">
        <v>5119</v>
      </c>
      <c r="I3380" t="s">
        <v>5191</v>
      </c>
      <c r="J3380">
        <v>0.4</v>
      </c>
      <c r="K3380" t="s">
        <v>4744</v>
      </c>
      <c r="L3380">
        <v>6</v>
      </c>
      <c r="M3380">
        <v>15</v>
      </c>
      <c r="N3380" t="s">
        <v>5191</v>
      </c>
      <c r="O3380" t="s">
        <v>461</v>
      </c>
    </row>
    <row r="3381" spans="1:15" x14ac:dyDescent="0.3">
      <c r="A3381">
        <v>216982</v>
      </c>
      <c r="B3381">
        <v>105</v>
      </c>
      <c r="C3381" t="s">
        <v>557</v>
      </c>
      <c r="D3381" t="s">
        <v>2581</v>
      </c>
      <c r="E3381" t="s">
        <v>3358</v>
      </c>
      <c r="F3381" s="451">
        <v>46086</v>
      </c>
      <c r="G3381">
        <v>24509</v>
      </c>
      <c r="H3381" t="s">
        <v>4788</v>
      </c>
      <c r="I3381" t="s">
        <v>5191</v>
      </c>
      <c r="J3381">
        <v>8</v>
      </c>
      <c r="K3381" t="s">
        <v>4744</v>
      </c>
      <c r="L3381">
        <v>28</v>
      </c>
      <c r="M3381">
        <v>3.5</v>
      </c>
      <c r="N3381" t="s">
        <v>5191</v>
      </c>
      <c r="O3381" t="s">
        <v>461</v>
      </c>
    </row>
    <row r="3382" spans="1:15" x14ac:dyDescent="0.3">
      <c r="A3382">
        <v>216982</v>
      </c>
      <c r="B3382">
        <v>105</v>
      </c>
      <c r="C3382" t="s">
        <v>557</v>
      </c>
      <c r="D3382" t="s">
        <v>2581</v>
      </c>
      <c r="E3382" t="s">
        <v>3358</v>
      </c>
      <c r="F3382" s="451">
        <v>46086</v>
      </c>
      <c r="G3382">
        <v>19502</v>
      </c>
      <c r="H3382" t="s">
        <v>4871</v>
      </c>
      <c r="I3382" t="s">
        <v>5191</v>
      </c>
      <c r="J3382">
        <v>3.5</v>
      </c>
      <c r="K3382" t="s">
        <v>4744</v>
      </c>
      <c r="L3382">
        <v>77</v>
      </c>
      <c r="M3382">
        <v>22</v>
      </c>
      <c r="N3382" t="s">
        <v>5191</v>
      </c>
      <c r="O3382" t="s">
        <v>461</v>
      </c>
    </row>
    <row r="3383" spans="1:15" x14ac:dyDescent="0.3">
      <c r="A3383">
        <v>216982</v>
      </c>
      <c r="B3383">
        <v>105</v>
      </c>
      <c r="C3383" t="s">
        <v>557</v>
      </c>
      <c r="D3383" t="s">
        <v>2581</v>
      </c>
      <c r="E3383" t="s">
        <v>3358</v>
      </c>
      <c r="F3383" s="451">
        <v>46086</v>
      </c>
      <c r="G3383">
        <v>19562</v>
      </c>
      <c r="H3383" t="s">
        <v>4939</v>
      </c>
      <c r="I3383" t="s">
        <v>5191</v>
      </c>
      <c r="J3383">
        <v>1</v>
      </c>
      <c r="K3383" t="s">
        <v>4744</v>
      </c>
      <c r="L3383">
        <v>12</v>
      </c>
      <c r="M3383">
        <v>12</v>
      </c>
      <c r="N3383" t="s">
        <v>5191</v>
      </c>
      <c r="O3383" t="s">
        <v>461</v>
      </c>
    </row>
    <row r="3384" spans="1:15" x14ac:dyDescent="0.3">
      <c r="A3384">
        <v>216982</v>
      </c>
      <c r="B3384">
        <v>105</v>
      </c>
      <c r="C3384" t="s">
        <v>557</v>
      </c>
      <c r="D3384" t="s">
        <v>2581</v>
      </c>
      <c r="E3384" t="s">
        <v>3358</v>
      </c>
      <c r="F3384" s="451">
        <v>46086</v>
      </c>
      <c r="G3384">
        <v>19734</v>
      </c>
      <c r="H3384" t="s">
        <v>4833</v>
      </c>
      <c r="I3384" t="s">
        <v>5191</v>
      </c>
      <c r="J3384">
        <v>4</v>
      </c>
      <c r="K3384" t="s">
        <v>4744</v>
      </c>
      <c r="L3384">
        <v>50</v>
      </c>
      <c r="M3384">
        <v>12.5</v>
      </c>
      <c r="N3384" t="s">
        <v>5191</v>
      </c>
      <c r="O3384" t="s">
        <v>461</v>
      </c>
    </row>
    <row r="3385" spans="1:15" x14ac:dyDescent="0.3">
      <c r="A3385">
        <v>216982</v>
      </c>
      <c r="B3385">
        <v>105</v>
      </c>
      <c r="C3385" t="s">
        <v>557</v>
      </c>
      <c r="D3385" t="s">
        <v>2581</v>
      </c>
      <c r="E3385" t="s">
        <v>3358</v>
      </c>
      <c r="F3385" s="451">
        <v>46086</v>
      </c>
      <c r="G3385">
        <v>19740</v>
      </c>
      <c r="H3385" t="s">
        <v>4779</v>
      </c>
      <c r="I3385" t="s">
        <v>5191</v>
      </c>
      <c r="J3385">
        <v>10</v>
      </c>
      <c r="K3385" t="s">
        <v>4744</v>
      </c>
      <c r="L3385">
        <v>130</v>
      </c>
      <c r="M3385">
        <v>13</v>
      </c>
      <c r="N3385" t="s">
        <v>5191</v>
      </c>
      <c r="O3385" t="s">
        <v>461</v>
      </c>
    </row>
    <row r="3386" spans="1:15" x14ac:dyDescent="0.3">
      <c r="A3386">
        <v>216982</v>
      </c>
      <c r="B3386">
        <v>105</v>
      </c>
      <c r="C3386" t="s">
        <v>557</v>
      </c>
      <c r="D3386" t="s">
        <v>2581</v>
      </c>
      <c r="E3386" t="s">
        <v>3358</v>
      </c>
      <c r="F3386" s="451">
        <v>46086</v>
      </c>
      <c r="G3386">
        <v>23113</v>
      </c>
      <c r="H3386" t="s">
        <v>5074</v>
      </c>
      <c r="I3386" t="s">
        <v>5191</v>
      </c>
      <c r="J3386">
        <v>2</v>
      </c>
      <c r="K3386" t="s">
        <v>4744</v>
      </c>
      <c r="L3386">
        <v>22</v>
      </c>
      <c r="M3386">
        <v>11</v>
      </c>
      <c r="N3386" t="s">
        <v>5191</v>
      </c>
      <c r="O3386" t="s">
        <v>461</v>
      </c>
    </row>
    <row r="3387" spans="1:15" x14ac:dyDescent="0.3">
      <c r="A3387">
        <v>216982</v>
      </c>
      <c r="B3387">
        <v>105</v>
      </c>
      <c r="C3387" t="s">
        <v>557</v>
      </c>
      <c r="D3387" t="s">
        <v>2581</v>
      </c>
      <c r="E3387" t="s">
        <v>3358</v>
      </c>
      <c r="F3387" s="451">
        <v>46086</v>
      </c>
      <c r="G3387">
        <v>23198</v>
      </c>
      <c r="H3387" t="s">
        <v>4962</v>
      </c>
      <c r="I3387" t="s">
        <v>5191</v>
      </c>
      <c r="J3387">
        <v>1</v>
      </c>
      <c r="K3387" t="s">
        <v>4744</v>
      </c>
      <c r="L3387">
        <v>12</v>
      </c>
      <c r="M3387">
        <v>12</v>
      </c>
      <c r="N3387" t="s">
        <v>5191</v>
      </c>
      <c r="O3387" t="s">
        <v>461</v>
      </c>
    </row>
    <row r="3388" spans="1:15" x14ac:dyDescent="0.3">
      <c r="A3388">
        <v>216982</v>
      </c>
      <c r="B3388">
        <v>105</v>
      </c>
      <c r="C3388" t="s">
        <v>557</v>
      </c>
      <c r="D3388" t="s">
        <v>2581</v>
      </c>
      <c r="E3388" t="s">
        <v>3358</v>
      </c>
      <c r="F3388" s="451">
        <v>46086</v>
      </c>
      <c r="G3388">
        <v>23236</v>
      </c>
      <c r="H3388" t="s">
        <v>5062</v>
      </c>
      <c r="I3388" t="s">
        <v>5191</v>
      </c>
      <c r="J3388">
        <v>3</v>
      </c>
      <c r="K3388" t="s">
        <v>4744</v>
      </c>
      <c r="L3388">
        <v>21</v>
      </c>
      <c r="M3388">
        <v>7</v>
      </c>
      <c r="N3388" t="s">
        <v>5191</v>
      </c>
      <c r="O3388" t="s">
        <v>461</v>
      </c>
    </row>
    <row r="3389" spans="1:15" x14ac:dyDescent="0.3">
      <c r="A3389">
        <v>216982</v>
      </c>
      <c r="B3389">
        <v>105</v>
      </c>
      <c r="C3389" t="s">
        <v>557</v>
      </c>
      <c r="D3389" t="s">
        <v>2581</v>
      </c>
      <c r="E3389" t="s">
        <v>3358</v>
      </c>
      <c r="F3389" s="451">
        <v>46086</v>
      </c>
      <c r="G3389">
        <v>23359</v>
      </c>
      <c r="H3389" t="s">
        <v>4767</v>
      </c>
      <c r="I3389" t="s">
        <v>5191</v>
      </c>
      <c r="J3389">
        <v>10</v>
      </c>
      <c r="K3389" t="s">
        <v>4744</v>
      </c>
      <c r="L3389">
        <v>24</v>
      </c>
      <c r="M3389">
        <v>2.4</v>
      </c>
      <c r="N3389" t="s">
        <v>5191</v>
      </c>
      <c r="O3389" t="s">
        <v>461</v>
      </c>
    </row>
    <row r="3390" spans="1:15" x14ac:dyDescent="0.3">
      <c r="A3390">
        <v>216982</v>
      </c>
      <c r="B3390">
        <v>105</v>
      </c>
      <c r="C3390" t="s">
        <v>557</v>
      </c>
      <c r="D3390" t="s">
        <v>2581</v>
      </c>
      <c r="E3390" t="s">
        <v>3358</v>
      </c>
      <c r="F3390" s="451">
        <v>46086</v>
      </c>
      <c r="G3390">
        <v>23390</v>
      </c>
      <c r="H3390" t="s">
        <v>4873</v>
      </c>
      <c r="I3390" t="s">
        <v>5191</v>
      </c>
      <c r="J3390">
        <v>1</v>
      </c>
      <c r="K3390" t="s">
        <v>4744</v>
      </c>
      <c r="L3390">
        <v>8.5</v>
      </c>
      <c r="M3390">
        <v>8.5</v>
      </c>
      <c r="N3390" t="s">
        <v>5191</v>
      </c>
      <c r="O3390" t="s">
        <v>461</v>
      </c>
    </row>
    <row r="3391" spans="1:15" x14ac:dyDescent="0.3">
      <c r="A3391">
        <v>216982</v>
      </c>
      <c r="B3391">
        <v>105</v>
      </c>
      <c r="C3391" t="s">
        <v>557</v>
      </c>
      <c r="D3391" t="s">
        <v>2581</v>
      </c>
      <c r="E3391" t="s">
        <v>3358</v>
      </c>
      <c r="F3391" s="451">
        <v>46086</v>
      </c>
      <c r="G3391">
        <v>23095</v>
      </c>
      <c r="H3391" t="s">
        <v>4741</v>
      </c>
      <c r="I3391" t="s">
        <v>5191</v>
      </c>
      <c r="J3391">
        <v>60</v>
      </c>
      <c r="K3391" t="s">
        <v>4736</v>
      </c>
      <c r="L3391">
        <v>75</v>
      </c>
      <c r="M3391">
        <v>1.25</v>
      </c>
      <c r="N3391" t="s">
        <v>5191</v>
      </c>
      <c r="O3391" t="s">
        <v>461</v>
      </c>
    </row>
    <row r="3392" spans="1:15" x14ac:dyDescent="0.3">
      <c r="A3392">
        <v>216982</v>
      </c>
      <c r="B3392">
        <v>105</v>
      </c>
      <c r="C3392" t="s">
        <v>557</v>
      </c>
      <c r="D3392" t="s">
        <v>2581</v>
      </c>
      <c r="E3392" t="s">
        <v>3358</v>
      </c>
      <c r="F3392" s="451">
        <v>46086</v>
      </c>
      <c r="G3392">
        <v>24037</v>
      </c>
      <c r="H3392" t="s">
        <v>5233</v>
      </c>
      <c r="I3392" t="s">
        <v>5191</v>
      </c>
      <c r="J3392">
        <v>2</v>
      </c>
      <c r="K3392" t="s">
        <v>4744</v>
      </c>
      <c r="L3392">
        <v>39</v>
      </c>
      <c r="M3392">
        <v>19.5</v>
      </c>
      <c r="N3392" t="s">
        <v>5191</v>
      </c>
      <c r="O3392" t="s">
        <v>461</v>
      </c>
    </row>
    <row r="3393" spans="1:15" x14ac:dyDescent="0.3">
      <c r="A3393">
        <v>216982</v>
      </c>
      <c r="B3393">
        <v>105</v>
      </c>
      <c r="C3393" t="s">
        <v>557</v>
      </c>
      <c r="D3393" t="s">
        <v>2581</v>
      </c>
      <c r="E3393" t="s">
        <v>3358</v>
      </c>
      <c r="F3393" s="451">
        <v>46086</v>
      </c>
      <c r="G3393">
        <v>19472</v>
      </c>
      <c r="H3393" t="s">
        <v>4906</v>
      </c>
      <c r="I3393" t="s">
        <v>5191</v>
      </c>
      <c r="J3393">
        <v>1</v>
      </c>
      <c r="K3393" t="s">
        <v>4744</v>
      </c>
      <c r="L3393">
        <v>24</v>
      </c>
      <c r="M3393">
        <v>24</v>
      </c>
      <c r="N3393" t="s">
        <v>5191</v>
      </c>
      <c r="O3393" t="s">
        <v>461</v>
      </c>
    </row>
    <row r="3394" spans="1:15" x14ac:dyDescent="0.3">
      <c r="A3394">
        <v>216982</v>
      </c>
      <c r="B3394">
        <v>105</v>
      </c>
      <c r="C3394" t="s">
        <v>557</v>
      </c>
      <c r="D3394" t="s">
        <v>2581</v>
      </c>
      <c r="E3394" t="s">
        <v>3358</v>
      </c>
      <c r="F3394" s="451">
        <v>46086</v>
      </c>
      <c r="G3394">
        <v>19532</v>
      </c>
      <c r="H3394" t="s">
        <v>4753</v>
      </c>
      <c r="I3394" t="s">
        <v>5191</v>
      </c>
      <c r="J3394">
        <v>15</v>
      </c>
      <c r="K3394" t="s">
        <v>4744</v>
      </c>
      <c r="L3394">
        <v>147</v>
      </c>
      <c r="M3394">
        <v>9.8000000000000007</v>
      </c>
      <c r="N3394" t="s">
        <v>5191</v>
      </c>
      <c r="O3394" t="s">
        <v>461</v>
      </c>
    </row>
    <row r="3395" spans="1:15" x14ac:dyDescent="0.3">
      <c r="A3395">
        <v>216980</v>
      </c>
      <c r="B3395">
        <v>105</v>
      </c>
      <c r="C3395" t="s">
        <v>557</v>
      </c>
      <c r="D3395" t="s">
        <v>2581</v>
      </c>
      <c r="E3395" t="s">
        <v>3359</v>
      </c>
      <c r="F3395" s="451">
        <v>46090</v>
      </c>
      <c r="G3395">
        <v>19589</v>
      </c>
      <c r="H3395" t="s">
        <v>4983</v>
      </c>
      <c r="I3395" t="s">
        <v>5191</v>
      </c>
      <c r="J3395">
        <v>2</v>
      </c>
      <c r="K3395" t="s">
        <v>4744</v>
      </c>
      <c r="L3395">
        <v>19</v>
      </c>
      <c r="M3395">
        <v>9.5</v>
      </c>
      <c r="N3395" t="s">
        <v>5272</v>
      </c>
      <c r="O3395" t="s">
        <v>461</v>
      </c>
    </row>
    <row r="3396" spans="1:15" x14ac:dyDescent="0.3">
      <c r="A3396">
        <v>216980</v>
      </c>
      <c r="B3396">
        <v>105</v>
      </c>
      <c r="C3396" t="s">
        <v>557</v>
      </c>
      <c r="D3396" t="s">
        <v>2581</v>
      </c>
      <c r="E3396" t="s">
        <v>3359</v>
      </c>
      <c r="F3396" s="451">
        <v>46090</v>
      </c>
      <c r="G3396">
        <v>19552</v>
      </c>
      <c r="H3396" t="s">
        <v>4860</v>
      </c>
      <c r="I3396" t="s">
        <v>5191</v>
      </c>
      <c r="J3396">
        <v>2</v>
      </c>
      <c r="K3396" t="s">
        <v>4744</v>
      </c>
      <c r="L3396">
        <v>11.8</v>
      </c>
      <c r="M3396">
        <v>5.9</v>
      </c>
      <c r="N3396" t="s">
        <v>5272</v>
      </c>
      <c r="O3396" t="s">
        <v>461</v>
      </c>
    </row>
    <row r="3397" spans="1:15" x14ac:dyDescent="0.3">
      <c r="A3397">
        <v>216980</v>
      </c>
      <c r="B3397">
        <v>105</v>
      </c>
      <c r="C3397" t="s">
        <v>557</v>
      </c>
      <c r="D3397" t="s">
        <v>2581</v>
      </c>
      <c r="E3397" t="s">
        <v>3359</v>
      </c>
      <c r="F3397" s="451">
        <v>46090</v>
      </c>
      <c r="G3397">
        <v>24509</v>
      </c>
      <c r="H3397" t="s">
        <v>4788</v>
      </c>
      <c r="I3397" t="s">
        <v>5191</v>
      </c>
      <c r="J3397">
        <v>6.8</v>
      </c>
      <c r="K3397" t="s">
        <v>4744</v>
      </c>
      <c r="L3397">
        <v>26.18</v>
      </c>
      <c r="M3397">
        <v>3.85</v>
      </c>
      <c r="N3397" t="s">
        <v>5272</v>
      </c>
      <c r="O3397" t="s">
        <v>461</v>
      </c>
    </row>
    <row r="3398" spans="1:15" x14ac:dyDescent="0.3">
      <c r="A3398">
        <v>216980</v>
      </c>
      <c r="B3398">
        <v>105</v>
      </c>
      <c r="C3398" t="s">
        <v>557</v>
      </c>
      <c r="D3398" t="s">
        <v>2581</v>
      </c>
      <c r="E3398" t="s">
        <v>3359</v>
      </c>
      <c r="F3398" s="451">
        <v>46090</v>
      </c>
      <c r="G3398">
        <v>19480</v>
      </c>
      <c r="H3398" t="s">
        <v>5119</v>
      </c>
      <c r="I3398" t="s">
        <v>5191</v>
      </c>
      <c r="J3398">
        <v>0.4</v>
      </c>
      <c r="K3398" t="s">
        <v>4744</v>
      </c>
      <c r="L3398">
        <v>6.4</v>
      </c>
      <c r="M3398">
        <v>16</v>
      </c>
      <c r="N3398" t="s">
        <v>5272</v>
      </c>
      <c r="O3398" t="s">
        <v>461</v>
      </c>
    </row>
    <row r="3399" spans="1:15" x14ac:dyDescent="0.3">
      <c r="A3399">
        <v>216980</v>
      </c>
      <c r="B3399">
        <v>105</v>
      </c>
      <c r="C3399" t="s">
        <v>557</v>
      </c>
      <c r="D3399" t="s">
        <v>2581</v>
      </c>
      <c r="E3399" t="s">
        <v>3359</v>
      </c>
      <c r="F3399" s="451">
        <v>46090</v>
      </c>
      <c r="G3399">
        <v>19488</v>
      </c>
      <c r="H3399" t="s">
        <v>5107</v>
      </c>
      <c r="I3399" t="s">
        <v>5191</v>
      </c>
      <c r="J3399">
        <v>0.3</v>
      </c>
      <c r="K3399" t="s">
        <v>4744</v>
      </c>
      <c r="L3399">
        <v>3.6</v>
      </c>
      <c r="M3399">
        <v>12</v>
      </c>
      <c r="N3399" t="s">
        <v>5272</v>
      </c>
      <c r="O3399" t="s">
        <v>461</v>
      </c>
    </row>
    <row r="3400" spans="1:15" x14ac:dyDescent="0.3">
      <c r="A3400">
        <v>216980</v>
      </c>
      <c r="B3400">
        <v>105</v>
      </c>
      <c r="C3400" t="s">
        <v>557</v>
      </c>
      <c r="D3400" t="s">
        <v>2581</v>
      </c>
      <c r="E3400" t="s">
        <v>3359</v>
      </c>
      <c r="F3400" s="451">
        <v>46090</v>
      </c>
      <c r="G3400">
        <v>19752</v>
      </c>
      <c r="H3400" t="s">
        <v>4807</v>
      </c>
      <c r="I3400" t="s">
        <v>5191</v>
      </c>
      <c r="J3400">
        <v>2</v>
      </c>
      <c r="K3400" t="s">
        <v>4744</v>
      </c>
      <c r="L3400">
        <v>17.399999999999999</v>
      </c>
      <c r="M3400">
        <v>8.6999999999999993</v>
      </c>
      <c r="N3400" t="s">
        <v>5272</v>
      </c>
      <c r="O3400" t="s">
        <v>461</v>
      </c>
    </row>
    <row r="3401" spans="1:15" x14ac:dyDescent="0.3">
      <c r="A3401">
        <v>216980</v>
      </c>
      <c r="B3401">
        <v>105</v>
      </c>
      <c r="C3401" t="s">
        <v>557</v>
      </c>
      <c r="D3401" t="s">
        <v>2581</v>
      </c>
      <c r="E3401" t="s">
        <v>3359</v>
      </c>
      <c r="F3401" s="451">
        <v>46090</v>
      </c>
      <c r="G3401">
        <v>19742</v>
      </c>
      <c r="H3401" t="s">
        <v>4900</v>
      </c>
      <c r="I3401" t="s">
        <v>5191</v>
      </c>
      <c r="J3401">
        <v>2</v>
      </c>
      <c r="K3401" t="s">
        <v>4744</v>
      </c>
      <c r="L3401">
        <v>21</v>
      </c>
      <c r="M3401">
        <v>10.5</v>
      </c>
      <c r="N3401" t="s">
        <v>5272</v>
      </c>
      <c r="O3401" t="s">
        <v>461</v>
      </c>
    </row>
    <row r="3402" spans="1:15" x14ac:dyDescent="0.3">
      <c r="A3402">
        <v>216980</v>
      </c>
      <c r="B3402">
        <v>105</v>
      </c>
      <c r="C3402" t="s">
        <v>557</v>
      </c>
      <c r="D3402" t="s">
        <v>2581</v>
      </c>
      <c r="E3402" t="s">
        <v>3359</v>
      </c>
      <c r="F3402" s="451">
        <v>46090</v>
      </c>
      <c r="G3402">
        <v>19617</v>
      </c>
      <c r="H3402" t="s">
        <v>5071</v>
      </c>
      <c r="I3402" t="s">
        <v>5191</v>
      </c>
      <c r="J3402">
        <v>0.4</v>
      </c>
      <c r="K3402" t="s">
        <v>4744</v>
      </c>
      <c r="L3402">
        <v>8</v>
      </c>
      <c r="M3402">
        <v>20</v>
      </c>
      <c r="N3402" t="s">
        <v>5272</v>
      </c>
      <c r="O3402" t="s">
        <v>461</v>
      </c>
    </row>
    <row r="3403" spans="1:15" x14ac:dyDescent="0.3">
      <c r="A3403">
        <v>216980</v>
      </c>
      <c r="B3403">
        <v>105</v>
      </c>
      <c r="C3403" t="s">
        <v>557</v>
      </c>
      <c r="D3403" t="s">
        <v>2581</v>
      </c>
      <c r="E3403" t="s">
        <v>3359</v>
      </c>
      <c r="F3403" s="451">
        <v>46090</v>
      </c>
      <c r="G3403">
        <v>23108</v>
      </c>
      <c r="H3403" t="s">
        <v>5117</v>
      </c>
      <c r="I3403" t="s">
        <v>5191</v>
      </c>
      <c r="J3403">
        <v>0.1</v>
      </c>
      <c r="K3403" t="s">
        <v>4744</v>
      </c>
      <c r="L3403">
        <v>6</v>
      </c>
      <c r="M3403">
        <v>60</v>
      </c>
      <c r="N3403" t="s">
        <v>5272</v>
      </c>
      <c r="O3403" t="s">
        <v>461</v>
      </c>
    </row>
    <row r="3404" spans="1:15" x14ac:dyDescent="0.3">
      <c r="A3404">
        <v>216980</v>
      </c>
      <c r="B3404">
        <v>105</v>
      </c>
      <c r="C3404" t="s">
        <v>557</v>
      </c>
      <c r="D3404" t="s">
        <v>2581</v>
      </c>
      <c r="E3404" t="s">
        <v>3359</v>
      </c>
      <c r="F3404" s="451">
        <v>46090</v>
      </c>
      <c r="G3404">
        <v>23365</v>
      </c>
      <c r="H3404" t="s">
        <v>5108</v>
      </c>
      <c r="I3404" t="s">
        <v>5191</v>
      </c>
      <c r="J3404">
        <v>1</v>
      </c>
      <c r="K3404" t="s">
        <v>4744</v>
      </c>
      <c r="L3404">
        <v>23</v>
      </c>
      <c r="M3404">
        <v>23</v>
      </c>
      <c r="N3404" t="s">
        <v>5272</v>
      </c>
      <c r="O3404" t="s">
        <v>461</v>
      </c>
    </row>
    <row r="3405" spans="1:15" x14ac:dyDescent="0.3">
      <c r="A3405">
        <v>216980</v>
      </c>
      <c r="B3405">
        <v>105</v>
      </c>
      <c r="C3405" t="s">
        <v>557</v>
      </c>
      <c r="D3405" t="s">
        <v>2581</v>
      </c>
      <c r="E3405" t="s">
        <v>3359</v>
      </c>
      <c r="F3405" s="451">
        <v>46090</v>
      </c>
      <c r="G3405">
        <v>23359</v>
      </c>
      <c r="H3405" t="s">
        <v>4767</v>
      </c>
      <c r="I3405" t="s">
        <v>5191</v>
      </c>
      <c r="J3405">
        <v>10</v>
      </c>
      <c r="K3405" t="s">
        <v>4744</v>
      </c>
      <c r="L3405">
        <v>23</v>
      </c>
      <c r="M3405">
        <v>2.2999999999999998</v>
      </c>
      <c r="N3405" t="s">
        <v>5272</v>
      </c>
      <c r="O3405" t="s">
        <v>461</v>
      </c>
    </row>
    <row r="3406" spans="1:15" x14ac:dyDescent="0.3">
      <c r="A3406">
        <v>216980</v>
      </c>
      <c r="B3406">
        <v>105</v>
      </c>
      <c r="C3406" t="s">
        <v>557</v>
      </c>
      <c r="D3406" t="s">
        <v>2581</v>
      </c>
      <c r="E3406" t="s">
        <v>3359</v>
      </c>
      <c r="F3406" s="451">
        <v>46090</v>
      </c>
      <c r="G3406">
        <v>23095</v>
      </c>
      <c r="H3406" t="s">
        <v>4741</v>
      </c>
      <c r="I3406" t="s">
        <v>5191</v>
      </c>
      <c r="J3406">
        <v>80</v>
      </c>
      <c r="K3406" t="s">
        <v>4736</v>
      </c>
      <c r="L3406">
        <v>108</v>
      </c>
      <c r="M3406">
        <v>1.35</v>
      </c>
      <c r="N3406" t="s">
        <v>5272</v>
      </c>
      <c r="O3406" t="s">
        <v>461</v>
      </c>
    </row>
    <row r="3407" spans="1:15" x14ac:dyDescent="0.3">
      <c r="A3407">
        <v>216977</v>
      </c>
      <c r="B3407">
        <v>105</v>
      </c>
      <c r="C3407" t="s">
        <v>557</v>
      </c>
      <c r="D3407" t="s">
        <v>2581</v>
      </c>
      <c r="E3407" t="s">
        <v>3360</v>
      </c>
      <c r="F3407" s="451">
        <v>46091</v>
      </c>
      <c r="G3407">
        <v>19621</v>
      </c>
      <c r="H3407" t="s">
        <v>4829</v>
      </c>
      <c r="I3407" t="s">
        <v>5191</v>
      </c>
      <c r="J3407">
        <v>3</v>
      </c>
      <c r="K3407" t="s">
        <v>4744</v>
      </c>
      <c r="L3407">
        <v>12.6</v>
      </c>
      <c r="M3407">
        <v>4.2</v>
      </c>
      <c r="N3407" t="s">
        <v>5272</v>
      </c>
      <c r="O3407" t="s">
        <v>461</v>
      </c>
    </row>
    <row r="3408" spans="1:15" x14ac:dyDescent="0.3">
      <c r="A3408">
        <v>216977</v>
      </c>
      <c r="B3408">
        <v>105</v>
      </c>
      <c r="C3408" t="s">
        <v>557</v>
      </c>
      <c r="D3408" t="s">
        <v>2581</v>
      </c>
      <c r="E3408" t="s">
        <v>3360</v>
      </c>
      <c r="F3408" s="451">
        <v>46091</v>
      </c>
      <c r="G3408">
        <v>19589</v>
      </c>
      <c r="H3408" t="s">
        <v>4983</v>
      </c>
      <c r="I3408" t="s">
        <v>5191</v>
      </c>
      <c r="J3408">
        <v>1.8</v>
      </c>
      <c r="K3408" t="s">
        <v>4744</v>
      </c>
      <c r="L3408">
        <v>17.100000000000001</v>
      </c>
      <c r="M3408">
        <v>9.5</v>
      </c>
      <c r="N3408" t="s">
        <v>5272</v>
      </c>
      <c r="O3408" t="s">
        <v>461</v>
      </c>
    </row>
    <row r="3409" spans="1:15" x14ac:dyDescent="0.3">
      <c r="A3409">
        <v>216977</v>
      </c>
      <c r="B3409">
        <v>105</v>
      </c>
      <c r="C3409" t="s">
        <v>557</v>
      </c>
      <c r="D3409" t="s">
        <v>2581</v>
      </c>
      <c r="E3409" t="s">
        <v>3360</v>
      </c>
      <c r="F3409" s="451">
        <v>46091</v>
      </c>
      <c r="G3409">
        <v>19526</v>
      </c>
      <c r="H3409" t="s">
        <v>4997</v>
      </c>
      <c r="I3409" t="s">
        <v>5191</v>
      </c>
      <c r="J3409">
        <v>1</v>
      </c>
      <c r="K3409" t="s">
        <v>4744</v>
      </c>
      <c r="L3409">
        <v>75</v>
      </c>
      <c r="M3409">
        <v>75</v>
      </c>
      <c r="N3409" t="s">
        <v>5272</v>
      </c>
      <c r="O3409" t="s">
        <v>461</v>
      </c>
    </row>
    <row r="3410" spans="1:15" x14ac:dyDescent="0.3">
      <c r="A3410">
        <v>216977</v>
      </c>
      <c r="B3410">
        <v>105</v>
      </c>
      <c r="C3410" t="s">
        <v>557</v>
      </c>
      <c r="D3410" t="s">
        <v>2581</v>
      </c>
      <c r="E3410" t="s">
        <v>3360</v>
      </c>
      <c r="F3410" s="451">
        <v>46091</v>
      </c>
      <c r="G3410">
        <v>19505</v>
      </c>
      <c r="H3410" t="s">
        <v>4872</v>
      </c>
      <c r="I3410" t="s">
        <v>5191</v>
      </c>
      <c r="J3410">
        <v>5</v>
      </c>
      <c r="K3410" t="s">
        <v>4744</v>
      </c>
      <c r="L3410">
        <v>64</v>
      </c>
      <c r="M3410">
        <v>12.8</v>
      </c>
      <c r="N3410" t="s">
        <v>5272</v>
      </c>
      <c r="O3410" t="s">
        <v>461</v>
      </c>
    </row>
    <row r="3411" spans="1:15" x14ac:dyDescent="0.3">
      <c r="A3411">
        <v>216977</v>
      </c>
      <c r="B3411">
        <v>105</v>
      </c>
      <c r="C3411" t="s">
        <v>557</v>
      </c>
      <c r="D3411" t="s">
        <v>2581</v>
      </c>
      <c r="E3411" t="s">
        <v>3360</v>
      </c>
      <c r="F3411" s="451">
        <v>46091</v>
      </c>
      <c r="G3411">
        <v>19478</v>
      </c>
      <c r="H3411" t="s">
        <v>5283</v>
      </c>
      <c r="I3411" t="s">
        <v>5191</v>
      </c>
      <c r="J3411">
        <v>0.5</v>
      </c>
      <c r="K3411" t="s">
        <v>4744</v>
      </c>
      <c r="L3411">
        <v>30</v>
      </c>
      <c r="M3411">
        <v>60</v>
      </c>
      <c r="N3411" t="s">
        <v>5272</v>
      </c>
      <c r="O3411" t="s">
        <v>461</v>
      </c>
    </row>
    <row r="3412" spans="1:15" x14ac:dyDescent="0.3">
      <c r="A3412">
        <v>216977</v>
      </c>
      <c r="B3412">
        <v>105</v>
      </c>
      <c r="C3412" t="s">
        <v>557</v>
      </c>
      <c r="D3412" t="s">
        <v>2581</v>
      </c>
      <c r="E3412" t="s">
        <v>3360</v>
      </c>
      <c r="F3412" s="451">
        <v>46091</v>
      </c>
      <c r="G3412">
        <v>19507</v>
      </c>
      <c r="H3412" t="s">
        <v>4853</v>
      </c>
      <c r="I3412" t="s">
        <v>5191</v>
      </c>
      <c r="J3412">
        <v>1</v>
      </c>
      <c r="K3412" t="s">
        <v>4744</v>
      </c>
      <c r="L3412">
        <v>14</v>
      </c>
      <c r="M3412">
        <v>14</v>
      </c>
      <c r="N3412" t="s">
        <v>5272</v>
      </c>
      <c r="O3412" t="s">
        <v>461</v>
      </c>
    </row>
    <row r="3413" spans="1:15" x14ac:dyDescent="0.3">
      <c r="A3413">
        <v>216977</v>
      </c>
      <c r="B3413">
        <v>105</v>
      </c>
      <c r="C3413" t="s">
        <v>557</v>
      </c>
      <c r="D3413" t="s">
        <v>2581</v>
      </c>
      <c r="E3413" t="s">
        <v>3360</v>
      </c>
      <c r="F3413" s="451">
        <v>46091</v>
      </c>
      <c r="G3413">
        <v>19617</v>
      </c>
      <c r="H3413" t="s">
        <v>5071</v>
      </c>
      <c r="I3413" t="s">
        <v>5191</v>
      </c>
      <c r="J3413">
        <v>0.5</v>
      </c>
      <c r="K3413" t="s">
        <v>4744</v>
      </c>
      <c r="L3413">
        <v>7.5</v>
      </c>
      <c r="M3413">
        <v>15</v>
      </c>
      <c r="N3413" t="s">
        <v>5272</v>
      </c>
      <c r="O3413" t="s">
        <v>461</v>
      </c>
    </row>
    <row r="3414" spans="1:15" x14ac:dyDescent="0.3">
      <c r="A3414">
        <v>216977</v>
      </c>
      <c r="B3414">
        <v>105</v>
      </c>
      <c r="C3414" t="s">
        <v>557</v>
      </c>
      <c r="D3414" t="s">
        <v>2581</v>
      </c>
      <c r="E3414" t="s">
        <v>3360</v>
      </c>
      <c r="F3414" s="451">
        <v>46091</v>
      </c>
      <c r="G3414">
        <v>23236</v>
      </c>
      <c r="H3414" t="s">
        <v>5062</v>
      </c>
      <c r="I3414" t="s">
        <v>5191</v>
      </c>
      <c r="J3414">
        <v>3</v>
      </c>
      <c r="K3414" t="s">
        <v>4744</v>
      </c>
      <c r="L3414">
        <v>24</v>
      </c>
      <c r="M3414">
        <v>8</v>
      </c>
      <c r="N3414" t="s">
        <v>5272</v>
      </c>
      <c r="O3414" t="s">
        <v>461</v>
      </c>
    </row>
    <row r="3415" spans="1:15" x14ac:dyDescent="0.3">
      <c r="A3415">
        <v>216977</v>
      </c>
      <c r="B3415">
        <v>105</v>
      </c>
      <c r="C3415" t="s">
        <v>557</v>
      </c>
      <c r="D3415" t="s">
        <v>2581</v>
      </c>
      <c r="E3415" t="s">
        <v>3360</v>
      </c>
      <c r="F3415" s="451">
        <v>46091</v>
      </c>
      <c r="G3415">
        <v>23359</v>
      </c>
      <c r="H3415" t="s">
        <v>4767</v>
      </c>
      <c r="I3415" t="s">
        <v>5191</v>
      </c>
      <c r="J3415">
        <v>8</v>
      </c>
      <c r="K3415" t="s">
        <v>4744</v>
      </c>
      <c r="L3415">
        <v>18.399999999999999</v>
      </c>
      <c r="M3415">
        <v>2.2999999999999998</v>
      </c>
      <c r="N3415" t="s">
        <v>5272</v>
      </c>
      <c r="O3415" t="s">
        <v>461</v>
      </c>
    </row>
    <row r="3416" spans="1:15" x14ac:dyDescent="0.3">
      <c r="A3416">
        <v>216977</v>
      </c>
      <c r="B3416">
        <v>105</v>
      </c>
      <c r="C3416" t="s">
        <v>557</v>
      </c>
      <c r="D3416" t="s">
        <v>2581</v>
      </c>
      <c r="E3416" t="s">
        <v>3360</v>
      </c>
      <c r="F3416" s="451">
        <v>46091</v>
      </c>
      <c r="G3416">
        <v>23390</v>
      </c>
      <c r="H3416" t="s">
        <v>4873</v>
      </c>
      <c r="I3416" t="s">
        <v>5191</v>
      </c>
      <c r="J3416">
        <v>1</v>
      </c>
      <c r="K3416" t="s">
        <v>4744</v>
      </c>
      <c r="L3416">
        <v>8.5</v>
      </c>
      <c r="M3416">
        <v>8.5</v>
      </c>
      <c r="N3416" t="s">
        <v>5272</v>
      </c>
      <c r="O3416" t="s">
        <v>461</v>
      </c>
    </row>
    <row r="3417" spans="1:15" x14ac:dyDescent="0.3">
      <c r="A3417">
        <v>216977</v>
      </c>
      <c r="B3417">
        <v>105</v>
      </c>
      <c r="C3417" t="s">
        <v>557</v>
      </c>
      <c r="D3417" t="s">
        <v>2581</v>
      </c>
      <c r="E3417" t="s">
        <v>3360</v>
      </c>
      <c r="F3417" s="451">
        <v>46091</v>
      </c>
      <c r="G3417">
        <v>23095</v>
      </c>
      <c r="H3417" t="s">
        <v>4741</v>
      </c>
      <c r="I3417" t="s">
        <v>5191</v>
      </c>
      <c r="J3417">
        <v>50</v>
      </c>
      <c r="K3417" t="s">
        <v>4736</v>
      </c>
      <c r="L3417">
        <v>67.5</v>
      </c>
      <c r="M3417">
        <v>1.35</v>
      </c>
      <c r="N3417" t="s">
        <v>5272</v>
      </c>
      <c r="O3417" t="s">
        <v>461</v>
      </c>
    </row>
    <row r="3418" spans="1:15" x14ac:dyDescent="0.3">
      <c r="A3418">
        <v>216977</v>
      </c>
      <c r="B3418">
        <v>105</v>
      </c>
      <c r="C3418" t="s">
        <v>557</v>
      </c>
      <c r="D3418" t="s">
        <v>2581</v>
      </c>
      <c r="E3418" t="s">
        <v>3360</v>
      </c>
      <c r="F3418" s="451">
        <v>46091</v>
      </c>
      <c r="G3418">
        <v>19632</v>
      </c>
      <c r="H3418" t="s">
        <v>4936</v>
      </c>
      <c r="I3418" t="s">
        <v>5191</v>
      </c>
      <c r="J3418">
        <v>4</v>
      </c>
      <c r="K3418" t="s">
        <v>4744</v>
      </c>
      <c r="L3418">
        <v>18</v>
      </c>
      <c r="M3418">
        <v>4.5</v>
      </c>
      <c r="N3418" t="s">
        <v>5272</v>
      </c>
      <c r="O3418" t="s">
        <v>461</v>
      </c>
    </row>
    <row r="3419" spans="1:15" x14ac:dyDescent="0.3">
      <c r="A3419">
        <v>216977</v>
      </c>
      <c r="B3419">
        <v>105</v>
      </c>
      <c r="C3419" t="s">
        <v>557</v>
      </c>
      <c r="D3419" t="s">
        <v>2581</v>
      </c>
      <c r="E3419" t="s">
        <v>3360</v>
      </c>
      <c r="F3419" s="451">
        <v>46091</v>
      </c>
      <c r="G3419">
        <v>24037</v>
      </c>
      <c r="H3419" t="s">
        <v>5233</v>
      </c>
      <c r="I3419" t="s">
        <v>5191</v>
      </c>
      <c r="J3419">
        <v>3</v>
      </c>
      <c r="K3419" t="s">
        <v>4744</v>
      </c>
      <c r="L3419">
        <v>56.4</v>
      </c>
      <c r="M3419">
        <v>18.8</v>
      </c>
      <c r="N3419" t="s">
        <v>5272</v>
      </c>
      <c r="O3419" t="s">
        <v>461</v>
      </c>
    </row>
    <row r="3420" spans="1:15" x14ac:dyDescent="0.3">
      <c r="A3420">
        <v>216977</v>
      </c>
      <c r="B3420">
        <v>105</v>
      </c>
      <c r="C3420" t="s">
        <v>557</v>
      </c>
      <c r="D3420" t="s">
        <v>2581</v>
      </c>
      <c r="E3420" t="s">
        <v>3360</v>
      </c>
      <c r="F3420" s="451">
        <v>46091</v>
      </c>
      <c r="G3420">
        <v>19472</v>
      </c>
      <c r="H3420" t="s">
        <v>4906</v>
      </c>
      <c r="I3420" t="s">
        <v>5191</v>
      </c>
      <c r="J3420">
        <v>1</v>
      </c>
      <c r="K3420" t="s">
        <v>4744</v>
      </c>
      <c r="L3420">
        <v>19</v>
      </c>
      <c r="M3420">
        <v>19</v>
      </c>
      <c r="N3420" t="s">
        <v>5272</v>
      </c>
      <c r="O3420" t="s">
        <v>461</v>
      </c>
    </row>
    <row r="3421" spans="1:15" x14ac:dyDescent="0.3">
      <c r="A3421">
        <v>216975</v>
      </c>
      <c r="B3421">
        <v>105</v>
      </c>
      <c r="C3421" t="s">
        <v>557</v>
      </c>
      <c r="D3421" t="s">
        <v>2581</v>
      </c>
      <c r="E3421" t="s">
        <v>3361</v>
      </c>
      <c r="F3421" s="451">
        <v>46092</v>
      </c>
      <c r="G3421">
        <v>19621</v>
      </c>
      <c r="H3421" t="s">
        <v>4829</v>
      </c>
      <c r="I3421" t="s">
        <v>5191</v>
      </c>
      <c r="J3421">
        <v>3</v>
      </c>
      <c r="K3421" t="s">
        <v>4744</v>
      </c>
      <c r="L3421">
        <v>12.6</v>
      </c>
      <c r="M3421">
        <v>4.2</v>
      </c>
      <c r="N3421" t="s">
        <v>5272</v>
      </c>
      <c r="O3421" t="s">
        <v>461</v>
      </c>
    </row>
    <row r="3422" spans="1:15" x14ac:dyDescent="0.3">
      <c r="A3422">
        <v>216975</v>
      </c>
      <c r="B3422">
        <v>105</v>
      </c>
      <c r="C3422" t="s">
        <v>557</v>
      </c>
      <c r="D3422" t="s">
        <v>2581</v>
      </c>
      <c r="E3422" t="s">
        <v>3361</v>
      </c>
      <c r="F3422" s="451">
        <v>46092</v>
      </c>
      <c r="G3422">
        <v>19589</v>
      </c>
      <c r="H3422" t="s">
        <v>4983</v>
      </c>
      <c r="I3422" t="s">
        <v>5191</v>
      </c>
      <c r="J3422">
        <v>3</v>
      </c>
      <c r="K3422" t="s">
        <v>4744</v>
      </c>
      <c r="L3422">
        <v>27</v>
      </c>
      <c r="M3422">
        <v>9</v>
      </c>
      <c r="N3422" t="s">
        <v>5272</v>
      </c>
      <c r="O3422" t="s">
        <v>461</v>
      </c>
    </row>
    <row r="3423" spans="1:15" x14ac:dyDescent="0.3">
      <c r="A3423">
        <v>216975</v>
      </c>
      <c r="B3423">
        <v>105</v>
      </c>
      <c r="C3423" t="s">
        <v>557</v>
      </c>
      <c r="D3423" t="s">
        <v>2581</v>
      </c>
      <c r="E3423" t="s">
        <v>3361</v>
      </c>
      <c r="F3423" s="451">
        <v>46092</v>
      </c>
      <c r="G3423">
        <v>19506</v>
      </c>
      <c r="H3423" t="s">
        <v>5122</v>
      </c>
      <c r="I3423" t="s">
        <v>5191</v>
      </c>
      <c r="J3423">
        <v>0.4</v>
      </c>
      <c r="K3423" t="s">
        <v>4744</v>
      </c>
      <c r="L3423">
        <v>18</v>
      </c>
      <c r="M3423">
        <v>45</v>
      </c>
      <c r="N3423" t="s">
        <v>5272</v>
      </c>
      <c r="O3423" t="s">
        <v>461</v>
      </c>
    </row>
    <row r="3424" spans="1:15" x14ac:dyDescent="0.3">
      <c r="A3424">
        <v>216975</v>
      </c>
      <c r="B3424">
        <v>105</v>
      </c>
      <c r="C3424" t="s">
        <v>557</v>
      </c>
      <c r="D3424" t="s">
        <v>2581</v>
      </c>
      <c r="E3424" t="s">
        <v>3361</v>
      </c>
      <c r="F3424" s="451">
        <v>46092</v>
      </c>
      <c r="G3424">
        <v>19465</v>
      </c>
      <c r="H3424" t="s">
        <v>5114</v>
      </c>
      <c r="I3424" t="s">
        <v>5191</v>
      </c>
      <c r="J3424">
        <v>0.5</v>
      </c>
      <c r="K3424" t="s">
        <v>4744</v>
      </c>
      <c r="L3424">
        <v>3.5</v>
      </c>
      <c r="M3424">
        <v>7</v>
      </c>
      <c r="N3424" t="s">
        <v>5272</v>
      </c>
      <c r="O3424" t="s">
        <v>461</v>
      </c>
    </row>
    <row r="3425" spans="1:15" x14ac:dyDescent="0.3">
      <c r="A3425">
        <v>216975</v>
      </c>
      <c r="B3425">
        <v>105</v>
      </c>
      <c r="C3425" t="s">
        <v>557</v>
      </c>
      <c r="D3425" t="s">
        <v>2581</v>
      </c>
      <c r="E3425" t="s">
        <v>3361</v>
      </c>
      <c r="F3425" s="451">
        <v>46092</v>
      </c>
      <c r="G3425">
        <v>19505</v>
      </c>
      <c r="H3425" t="s">
        <v>4872</v>
      </c>
      <c r="I3425" t="s">
        <v>5191</v>
      </c>
      <c r="J3425">
        <v>3</v>
      </c>
      <c r="K3425" t="s">
        <v>4744</v>
      </c>
      <c r="L3425">
        <v>38.4</v>
      </c>
      <c r="M3425">
        <v>12.8</v>
      </c>
      <c r="N3425" t="s">
        <v>5272</v>
      </c>
      <c r="O3425" t="s">
        <v>461</v>
      </c>
    </row>
    <row r="3426" spans="1:15" x14ac:dyDescent="0.3">
      <c r="A3426">
        <v>216975</v>
      </c>
      <c r="B3426">
        <v>105</v>
      </c>
      <c r="C3426" t="s">
        <v>557</v>
      </c>
      <c r="D3426" t="s">
        <v>2581</v>
      </c>
      <c r="E3426" t="s">
        <v>3361</v>
      </c>
      <c r="F3426" s="451">
        <v>46092</v>
      </c>
      <c r="G3426">
        <v>19507</v>
      </c>
      <c r="H3426" t="s">
        <v>4853</v>
      </c>
      <c r="I3426" t="s">
        <v>5191</v>
      </c>
      <c r="J3426">
        <v>1.5</v>
      </c>
      <c r="K3426" t="s">
        <v>4744</v>
      </c>
      <c r="L3426">
        <v>21</v>
      </c>
      <c r="M3426">
        <v>14</v>
      </c>
      <c r="N3426" t="s">
        <v>5272</v>
      </c>
      <c r="O3426" t="s">
        <v>461</v>
      </c>
    </row>
    <row r="3427" spans="1:15" x14ac:dyDescent="0.3">
      <c r="A3427">
        <v>216975</v>
      </c>
      <c r="B3427">
        <v>105</v>
      </c>
      <c r="C3427" t="s">
        <v>557</v>
      </c>
      <c r="D3427" t="s">
        <v>2581</v>
      </c>
      <c r="E3427" t="s">
        <v>3361</v>
      </c>
      <c r="F3427" s="451">
        <v>46092</v>
      </c>
      <c r="G3427">
        <v>19740</v>
      </c>
      <c r="H3427" t="s">
        <v>4779</v>
      </c>
      <c r="I3427" t="s">
        <v>5191</v>
      </c>
      <c r="J3427">
        <v>8</v>
      </c>
      <c r="K3427" t="s">
        <v>4744</v>
      </c>
      <c r="L3427">
        <v>78.400000000000006</v>
      </c>
      <c r="M3427">
        <v>9.8000000000000007</v>
      </c>
      <c r="N3427" t="s">
        <v>5272</v>
      </c>
      <c r="O3427" t="s">
        <v>461</v>
      </c>
    </row>
    <row r="3428" spans="1:15" x14ac:dyDescent="0.3">
      <c r="A3428">
        <v>216975</v>
      </c>
      <c r="B3428">
        <v>105</v>
      </c>
      <c r="C3428" t="s">
        <v>557</v>
      </c>
      <c r="D3428" t="s">
        <v>2581</v>
      </c>
      <c r="E3428" t="s">
        <v>3361</v>
      </c>
      <c r="F3428" s="451">
        <v>46092</v>
      </c>
      <c r="G3428">
        <v>19752</v>
      </c>
      <c r="H3428" t="s">
        <v>4807</v>
      </c>
      <c r="I3428" t="s">
        <v>5191</v>
      </c>
      <c r="J3428">
        <v>3</v>
      </c>
      <c r="K3428" t="s">
        <v>4744</v>
      </c>
      <c r="L3428">
        <v>25.5</v>
      </c>
      <c r="M3428">
        <v>8.5</v>
      </c>
      <c r="N3428" t="s">
        <v>5272</v>
      </c>
      <c r="O3428" t="s">
        <v>461</v>
      </c>
    </row>
    <row r="3429" spans="1:15" x14ac:dyDescent="0.3">
      <c r="A3429">
        <v>216975</v>
      </c>
      <c r="B3429">
        <v>105</v>
      </c>
      <c r="C3429" t="s">
        <v>557</v>
      </c>
      <c r="D3429" t="s">
        <v>2581</v>
      </c>
      <c r="E3429" t="s">
        <v>3361</v>
      </c>
      <c r="F3429" s="451">
        <v>46092</v>
      </c>
      <c r="G3429">
        <v>19617</v>
      </c>
      <c r="H3429" t="s">
        <v>5071</v>
      </c>
      <c r="I3429" t="s">
        <v>5191</v>
      </c>
      <c r="J3429">
        <v>0.4</v>
      </c>
      <c r="K3429" t="s">
        <v>4744</v>
      </c>
      <c r="L3429">
        <v>5.6</v>
      </c>
      <c r="M3429">
        <v>14</v>
      </c>
      <c r="N3429" t="s">
        <v>5272</v>
      </c>
      <c r="O3429" t="s">
        <v>461</v>
      </c>
    </row>
    <row r="3430" spans="1:15" x14ac:dyDescent="0.3">
      <c r="A3430">
        <v>216975</v>
      </c>
      <c r="B3430">
        <v>105</v>
      </c>
      <c r="C3430" t="s">
        <v>557</v>
      </c>
      <c r="D3430" t="s">
        <v>2581</v>
      </c>
      <c r="E3430" t="s">
        <v>3361</v>
      </c>
      <c r="F3430" s="451">
        <v>46092</v>
      </c>
      <c r="G3430">
        <v>23359</v>
      </c>
      <c r="H3430" t="s">
        <v>4767</v>
      </c>
      <c r="I3430" t="s">
        <v>5191</v>
      </c>
      <c r="J3430">
        <v>10</v>
      </c>
      <c r="K3430" t="s">
        <v>4744</v>
      </c>
      <c r="L3430">
        <v>23</v>
      </c>
      <c r="M3430">
        <v>2.2999999999999998</v>
      </c>
      <c r="N3430" t="s">
        <v>5272</v>
      </c>
      <c r="O3430" t="s">
        <v>461</v>
      </c>
    </row>
    <row r="3431" spans="1:15" x14ac:dyDescent="0.3">
      <c r="A3431">
        <v>216975</v>
      </c>
      <c r="B3431">
        <v>105</v>
      </c>
      <c r="C3431" t="s">
        <v>557</v>
      </c>
      <c r="D3431" t="s">
        <v>2581</v>
      </c>
      <c r="E3431" t="s">
        <v>3361</v>
      </c>
      <c r="F3431" s="451">
        <v>46092</v>
      </c>
      <c r="G3431">
        <v>19632</v>
      </c>
      <c r="H3431" t="s">
        <v>4936</v>
      </c>
      <c r="I3431" t="s">
        <v>5191</v>
      </c>
      <c r="J3431">
        <v>2</v>
      </c>
      <c r="K3431" t="s">
        <v>4744</v>
      </c>
      <c r="L3431">
        <v>9</v>
      </c>
      <c r="M3431">
        <v>4.5</v>
      </c>
      <c r="N3431" t="s">
        <v>5272</v>
      </c>
      <c r="O3431" t="s">
        <v>461</v>
      </c>
    </row>
    <row r="3432" spans="1:15" x14ac:dyDescent="0.3">
      <c r="A3432">
        <v>216975</v>
      </c>
      <c r="B3432">
        <v>105</v>
      </c>
      <c r="C3432" t="s">
        <v>557</v>
      </c>
      <c r="D3432" t="s">
        <v>2581</v>
      </c>
      <c r="E3432" t="s">
        <v>3361</v>
      </c>
      <c r="F3432" s="451">
        <v>46092</v>
      </c>
      <c r="G3432">
        <v>19472</v>
      </c>
      <c r="H3432" t="s">
        <v>4906</v>
      </c>
      <c r="I3432" t="s">
        <v>5191</v>
      </c>
      <c r="J3432">
        <v>1.2</v>
      </c>
      <c r="K3432" t="s">
        <v>4744</v>
      </c>
      <c r="L3432">
        <v>22.8</v>
      </c>
      <c r="M3432">
        <v>19</v>
      </c>
      <c r="N3432" t="s">
        <v>5272</v>
      </c>
      <c r="O3432" t="s">
        <v>461</v>
      </c>
    </row>
    <row r="3433" spans="1:15" x14ac:dyDescent="0.3">
      <c r="A3433">
        <v>216971</v>
      </c>
      <c r="B3433">
        <v>105</v>
      </c>
      <c r="C3433" t="s">
        <v>557</v>
      </c>
      <c r="D3433" t="s">
        <v>2579</v>
      </c>
      <c r="E3433" t="s">
        <v>3362</v>
      </c>
      <c r="F3433" s="451">
        <v>46085</v>
      </c>
      <c r="G3433">
        <v>19634</v>
      </c>
      <c r="H3433" t="s">
        <v>4792</v>
      </c>
      <c r="I3433" t="s">
        <v>5191</v>
      </c>
      <c r="J3433">
        <v>5</v>
      </c>
      <c r="K3433" t="s">
        <v>4744</v>
      </c>
      <c r="L3433">
        <v>48.75</v>
      </c>
      <c r="M3433">
        <v>9.75</v>
      </c>
      <c r="N3433" t="s">
        <v>5272</v>
      </c>
      <c r="O3433" t="s">
        <v>461</v>
      </c>
    </row>
    <row r="3434" spans="1:15" x14ac:dyDescent="0.3">
      <c r="A3434">
        <v>216971</v>
      </c>
      <c r="B3434">
        <v>105</v>
      </c>
      <c r="C3434" t="s">
        <v>557</v>
      </c>
      <c r="D3434" t="s">
        <v>2579</v>
      </c>
      <c r="E3434" t="s">
        <v>3362</v>
      </c>
      <c r="F3434" s="451">
        <v>46085</v>
      </c>
      <c r="G3434">
        <v>19607</v>
      </c>
      <c r="H3434" t="s">
        <v>4981</v>
      </c>
      <c r="I3434" t="s">
        <v>5191</v>
      </c>
      <c r="J3434">
        <v>0.4</v>
      </c>
      <c r="K3434" t="s">
        <v>4744</v>
      </c>
      <c r="L3434">
        <v>6.5</v>
      </c>
      <c r="M3434">
        <v>16.25</v>
      </c>
      <c r="N3434" t="s">
        <v>5272</v>
      </c>
      <c r="O3434" t="s">
        <v>461</v>
      </c>
    </row>
    <row r="3435" spans="1:15" x14ac:dyDescent="0.3">
      <c r="A3435">
        <v>216971</v>
      </c>
      <c r="B3435">
        <v>105</v>
      </c>
      <c r="C3435" t="s">
        <v>557</v>
      </c>
      <c r="D3435" t="s">
        <v>2579</v>
      </c>
      <c r="E3435" t="s">
        <v>3362</v>
      </c>
      <c r="F3435" s="451">
        <v>46085</v>
      </c>
      <c r="G3435">
        <v>19654</v>
      </c>
      <c r="H3435" t="s">
        <v>5099</v>
      </c>
      <c r="I3435" t="s">
        <v>5191</v>
      </c>
      <c r="J3435">
        <v>3.2</v>
      </c>
      <c r="K3435" t="s">
        <v>4744</v>
      </c>
      <c r="L3435">
        <v>23.62</v>
      </c>
      <c r="M3435">
        <v>7.3812499999999996</v>
      </c>
      <c r="N3435" t="s">
        <v>5272</v>
      </c>
      <c r="O3435" t="s">
        <v>461</v>
      </c>
    </row>
    <row r="3436" spans="1:15" x14ac:dyDescent="0.3">
      <c r="A3436">
        <v>216971</v>
      </c>
      <c r="B3436">
        <v>105</v>
      </c>
      <c r="C3436" t="s">
        <v>557</v>
      </c>
      <c r="D3436" t="s">
        <v>2579</v>
      </c>
      <c r="E3436" t="s">
        <v>3362</v>
      </c>
      <c r="F3436" s="451">
        <v>46085</v>
      </c>
      <c r="G3436">
        <v>19635</v>
      </c>
      <c r="H3436" t="s">
        <v>4786</v>
      </c>
      <c r="I3436" t="s">
        <v>5191</v>
      </c>
      <c r="J3436">
        <v>6</v>
      </c>
      <c r="K3436" t="s">
        <v>4744</v>
      </c>
      <c r="L3436">
        <v>39</v>
      </c>
      <c r="M3436">
        <v>6.5</v>
      </c>
      <c r="N3436" t="s">
        <v>5272</v>
      </c>
      <c r="O3436" t="s">
        <v>461</v>
      </c>
    </row>
    <row r="3437" spans="1:15" x14ac:dyDescent="0.3">
      <c r="A3437">
        <v>216968</v>
      </c>
      <c r="B3437">
        <v>105</v>
      </c>
      <c r="C3437" t="s">
        <v>557</v>
      </c>
      <c r="D3437" t="s">
        <v>2579</v>
      </c>
      <c r="E3437" t="s">
        <v>2017</v>
      </c>
      <c r="F3437" s="451">
        <v>46084</v>
      </c>
      <c r="G3437">
        <v>19787</v>
      </c>
      <c r="H3437" t="s">
        <v>4793</v>
      </c>
      <c r="I3437" t="s">
        <v>5191</v>
      </c>
      <c r="J3437">
        <v>13</v>
      </c>
      <c r="K3437" t="s">
        <v>4744</v>
      </c>
      <c r="L3437">
        <v>65</v>
      </c>
      <c r="M3437">
        <v>5</v>
      </c>
      <c r="N3437" t="s">
        <v>5272</v>
      </c>
      <c r="O3437" t="s">
        <v>461</v>
      </c>
    </row>
    <row r="3438" spans="1:15" x14ac:dyDescent="0.3">
      <c r="A3438">
        <v>216968</v>
      </c>
      <c r="B3438">
        <v>105</v>
      </c>
      <c r="C3438" t="s">
        <v>557</v>
      </c>
      <c r="D3438" t="s">
        <v>2579</v>
      </c>
      <c r="E3438" t="s">
        <v>2017</v>
      </c>
      <c r="F3438" s="451">
        <v>46084</v>
      </c>
      <c r="G3438">
        <v>19634</v>
      </c>
      <c r="H3438" t="s">
        <v>4792</v>
      </c>
      <c r="I3438" t="s">
        <v>5191</v>
      </c>
      <c r="J3438">
        <v>3</v>
      </c>
      <c r="K3438" t="s">
        <v>4744</v>
      </c>
      <c r="L3438">
        <v>28.14</v>
      </c>
      <c r="M3438">
        <v>9.3800000000000008</v>
      </c>
      <c r="N3438" t="s">
        <v>5272</v>
      </c>
      <c r="O3438" t="s">
        <v>461</v>
      </c>
    </row>
    <row r="3439" spans="1:15" x14ac:dyDescent="0.3">
      <c r="A3439">
        <v>216968</v>
      </c>
      <c r="B3439">
        <v>105</v>
      </c>
      <c r="C3439" t="s">
        <v>557</v>
      </c>
      <c r="D3439" t="s">
        <v>2579</v>
      </c>
      <c r="E3439" t="s">
        <v>2017</v>
      </c>
      <c r="F3439" s="451">
        <v>46084</v>
      </c>
      <c r="G3439">
        <v>19562</v>
      </c>
      <c r="H3439" t="s">
        <v>4939</v>
      </c>
      <c r="I3439" t="s">
        <v>5191</v>
      </c>
      <c r="J3439">
        <v>0.5</v>
      </c>
      <c r="K3439" t="s">
        <v>4744</v>
      </c>
      <c r="L3439">
        <v>6.25</v>
      </c>
      <c r="M3439">
        <v>12.5</v>
      </c>
      <c r="N3439" t="s">
        <v>5272</v>
      </c>
      <c r="O3439" t="s">
        <v>461</v>
      </c>
    </row>
    <row r="3440" spans="1:15" x14ac:dyDescent="0.3">
      <c r="A3440">
        <v>216968</v>
      </c>
      <c r="B3440">
        <v>105</v>
      </c>
      <c r="C3440" t="s">
        <v>557</v>
      </c>
      <c r="D3440" t="s">
        <v>2579</v>
      </c>
      <c r="E3440" t="s">
        <v>2017</v>
      </c>
      <c r="F3440" s="451">
        <v>46084</v>
      </c>
      <c r="G3440">
        <v>23184</v>
      </c>
      <c r="H3440" t="s">
        <v>4935</v>
      </c>
      <c r="I3440" t="s">
        <v>5191</v>
      </c>
      <c r="J3440">
        <v>2</v>
      </c>
      <c r="K3440" t="s">
        <v>4744</v>
      </c>
      <c r="L3440">
        <v>25</v>
      </c>
      <c r="M3440">
        <v>12.5</v>
      </c>
      <c r="N3440" t="s">
        <v>5272</v>
      </c>
      <c r="O3440" t="s">
        <v>461</v>
      </c>
    </row>
    <row r="3441" spans="1:15" x14ac:dyDescent="0.3">
      <c r="A3441">
        <v>216968</v>
      </c>
      <c r="B3441">
        <v>105</v>
      </c>
      <c r="C3441" t="s">
        <v>557</v>
      </c>
      <c r="D3441" t="s">
        <v>2579</v>
      </c>
      <c r="E3441" t="s">
        <v>2017</v>
      </c>
      <c r="F3441" s="451">
        <v>46084</v>
      </c>
      <c r="G3441">
        <v>23198</v>
      </c>
      <c r="H3441" t="s">
        <v>4962</v>
      </c>
      <c r="I3441" t="s">
        <v>5191</v>
      </c>
      <c r="J3441">
        <v>0.5</v>
      </c>
      <c r="K3441" t="s">
        <v>4744</v>
      </c>
      <c r="L3441">
        <v>6.25</v>
      </c>
      <c r="M3441">
        <v>12.5</v>
      </c>
      <c r="N3441" t="s">
        <v>5272</v>
      </c>
      <c r="O3441" t="s">
        <v>461</v>
      </c>
    </row>
    <row r="3442" spans="1:15" x14ac:dyDescent="0.3">
      <c r="A3442">
        <v>216967</v>
      </c>
      <c r="B3442">
        <v>105</v>
      </c>
      <c r="C3442" t="s">
        <v>557</v>
      </c>
      <c r="D3442" t="s">
        <v>2579</v>
      </c>
      <c r="E3442" t="s">
        <v>3363</v>
      </c>
      <c r="F3442" s="451">
        <v>46090</v>
      </c>
      <c r="G3442">
        <v>19634</v>
      </c>
      <c r="H3442" t="s">
        <v>4792</v>
      </c>
      <c r="I3442" t="s">
        <v>5191</v>
      </c>
      <c r="J3442">
        <v>4</v>
      </c>
      <c r="K3442" t="s">
        <v>4744</v>
      </c>
      <c r="L3442">
        <v>41</v>
      </c>
      <c r="M3442">
        <v>10.25</v>
      </c>
      <c r="N3442" t="s">
        <v>5272</v>
      </c>
      <c r="O3442" t="s">
        <v>461</v>
      </c>
    </row>
    <row r="3443" spans="1:15" x14ac:dyDescent="0.3">
      <c r="A3443">
        <v>216967</v>
      </c>
      <c r="B3443">
        <v>105</v>
      </c>
      <c r="C3443" t="s">
        <v>557</v>
      </c>
      <c r="D3443" t="s">
        <v>2579</v>
      </c>
      <c r="E3443" t="s">
        <v>3363</v>
      </c>
      <c r="F3443" s="451">
        <v>46090</v>
      </c>
      <c r="G3443">
        <v>19787</v>
      </c>
      <c r="H3443" t="s">
        <v>4793</v>
      </c>
      <c r="I3443" t="s">
        <v>5191</v>
      </c>
      <c r="J3443">
        <v>7.1</v>
      </c>
      <c r="K3443" t="s">
        <v>4744</v>
      </c>
      <c r="L3443">
        <v>37.270000000000003</v>
      </c>
      <c r="M3443">
        <v>5.2492960000000002</v>
      </c>
      <c r="N3443" t="s">
        <v>5272</v>
      </c>
      <c r="O3443" t="s">
        <v>461</v>
      </c>
    </row>
    <row r="3444" spans="1:15" x14ac:dyDescent="0.3">
      <c r="A3444">
        <v>216967</v>
      </c>
      <c r="B3444">
        <v>105</v>
      </c>
      <c r="C3444" t="s">
        <v>557</v>
      </c>
      <c r="D3444" t="s">
        <v>2579</v>
      </c>
      <c r="E3444" t="s">
        <v>3363</v>
      </c>
      <c r="F3444" s="451">
        <v>46090</v>
      </c>
      <c r="G3444">
        <v>19737</v>
      </c>
      <c r="H3444" t="s">
        <v>4940</v>
      </c>
      <c r="I3444" t="s">
        <v>5191</v>
      </c>
      <c r="J3444">
        <v>2.2000000000000002</v>
      </c>
      <c r="K3444" t="s">
        <v>4744</v>
      </c>
      <c r="L3444">
        <v>13.75</v>
      </c>
      <c r="M3444">
        <v>6.25</v>
      </c>
      <c r="N3444" t="s">
        <v>5272</v>
      </c>
      <c r="O3444" t="s">
        <v>461</v>
      </c>
    </row>
    <row r="3445" spans="1:15" x14ac:dyDescent="0.3">
      <c r="A3445">
        <v>216967</v>
      </c>
      <c r="B3445">
        <v>105</v>
      </c>
      <c r="C3445" t="s">
        <v>557</v>
      </c>
      <c r="D3445" t="s">
        <v>2579</v>
      </c>
      <c r="E3445" t="s">
        <v>3363</v>
      </c>
      <c r="F3445" s="451">
        <v>46090</v>
      </c>
      <c r="G3445">
        <v>19707</v>
      </c>
      <c r="H3445" t="s">
        <v>5266</v>
      </c>
      <c r="I3445" t="s">
        <v>5191</v>
      </c>
      <c r="J3445">
        <v>0.5</v>
      </c>
      <c r="K3445" t="s">
        <v>4744</v>
      </c>
      <c r="L3445">
        <v>10</v>
      </c>
      <c r="M3445">
        <v>20</v>
      </c>
      <c r="N3445" t="s">
        <v>5272</v>
      </c>
      <c r="O3445" t="s">
        <v>461</v>
      </c>
    </row>
    <row r="3446" spans="1:15" x14ac:dyDescent="0.3">
      <c r="A3446">
        <v>216967</v>
      </c>
      <c r="B3446">
        <v>105</v>
      </c>
      <c r="C3446" t="s">
        <v>557</v>
      </c>
      <c r="D3446" t="s">
        <v>2579</v>
      </c>
      <c r="E3446" t="s">
        <v>3363</v>
      </c>
      <c r="F3446" s="451">
        <v>46090</v>
      </c>
      <c r="G3446">
        <v>19532</v>
      </c>
      <c r="H3446" t="s">
        <v>4753</v>
      </c>
      <c r="I3446" t="s">
        <v>5191</v>
      </c>
      <c r="J3446">
        <v>10</v>
      </c>
      <c r="K3446" t="s">
        <v>4744</v>
      </c>
      <c r="L3446">
        <v>112.5</v>
      </c>
      <c r="M3446">
        <v>11.25</v>
      </c>
      <c r="N3446" t="s">
        <v>5272</v>
      </c>
      <c r="O3446" t="s">
        <v>461</v>
      </c>
    </row>
    <row r="3447" spans="1:15" x14ac:dyDescent="0.3">
      <c r="A3447">
        <v>216967</v>
      </c>
      <c r="B3447">
        <v>105</v>
      </c>
      <c r="C3447" t="s">
        <v>557</v>
      </c>
      <c r="D3447" t="s">
        <v>2579</v>
      </c>
      <c r="E3447" t="s">
        <v>3363</v>
      </c>
      <c r="F3447" s="451">
        <v>46090</v>
      </c>
      <c r="G3447">
        <v>19490</v>
      </c>
      <c r="H3447" t="s">
        <v>5116</v>
      </c>
      <c r="I3447" t="s">
        <v>5191</v>
      </c>
      <c r="J3447">
        <v>0.4</v>
      </c>
      <c r="K3447" t="s">
        <v>4744</v>
      </c>
      <c r="L3447">
        <v>22.5</v>
      </c>
      <c r="M3447">
        <v>56.25</v>
      </c>
      <c r="N3447" t="s">
        <v>5272</v>
      </c>
      <c r="O3447" t="s">
        <v>461</v>
      </c>
    </row>
    <row r="3448" spans="1:15" x14ac:dyDescent="0.3">
      <c r="A3448">
        <v>216963</v>
      </c>
      <c r="B3448">
        <v>105</v>
      </c>
      <c r="C3448" t="s">
        <v>557</v>
      </c>
      <c r="D3448" t="s">
        <v>2579</v>
      </c>
      <c r="E3448" t="s">
        <v>3364</v>
      </c>
      <c r="F3448" s="451">
        <v>46092</v>
      </c>
      <c r="G3448">
        <v>19787</v>
      </c>
      <c r="H3448" t="s">
        <v>4793</v>
      </c>
      <c r="I3448" t="s">
        <v>5191</v>
      </c>
      <c r="J3448">
        <v>12</v>
      </c>
      <c r="K3448" t="s">
        <v>4744</v>
      </c>
      <c r="L3448">
        <v>63</v>
      </c>
      <c r="M3448">
        <v>5.25</v>
      </c>
      <c r="N3448" t="s">
        <v>5272</v>
      </c>
      <c r="O3448" t="s">
        <v>461</v>
      </c>
    </row>
    <row r="3449" spans="1:15" x14ac:dyDescent="0.3">
      <c r="A3449">
        <v>216963</v>
      </c>
      <c r="B3449">
        <v>105</v>
      </c>
      <c r="C3449" t="s">
        <v>557</v>
      </c>
      <c r="D3449" t="s">
        <v>2579</v>
      </c>
      <c r="E3449" t="s">
        <v>3364</v>
      </c>
      <c r="F3449" s="451">
        <v>46092</v>
      </c>
      <c r="G3449">
        <v>19634</v>
      </c>
      <c r="H3449" t="s">
        <v>4792</v>
      </c>
      <c r="I3449" t="s">
        <v>5191</v>
      </c>
      <c r="J3449">
        <v>3</v>
      </c>
      <c r="K3449" t="s">
        <v>4744</v>
      </c>
      <c r="L3449">
        <v>30.75</v>
      </c>
      <c r="M3449">
        <v>10.25</v>
      </c>
      <c r="N3449" t="s">
        <v>5272</v>
      </c>
      <c r="O3449" t="s">
        <v>461</v>
      </c>
    </row>
    <row r="3450" spans="1:15" x14ac:dyDescent="0.3">
      <c r="A3450">
        <v>216963</v>
      </c>
      <c r="B3450">
        <v>105</v>
      </c>
      <c r="C3450" t="s">
        <v>557</v>
      </c>
      <c r="D3450" t="s">
        <v>2579</v>
      </c>
      <c r="E3450" t="s">
        <v>3364</v>
      </c>
      <c r="F3450" s="451">
        <v>46092</v>
      </c>
      <c r="G3450">
        <v>19654</v>
      </c>
      <c r="H3450" t="s">
        <v>5099</v>
      </c>
      <c r="I3450" t="s">
        <v>5191</v>
      </c>
      <c r="J3450">
        <v>3</v>
      </c>
      <c r="K3450" t="s">
        <v>4744</v>
      </c>
      <c r="L3450">
        <v>22.14</v>
      </c>
      <c r="M3450">
        <v>7.38</v>
      </c>
      <c r="N3450" t="s">
        <v>5272</v>
      </c>
      <c r="O3450" t="s">
        <v>461</v>
      </c>
    </row>
    <row r="3451" spans="1:15" x14ac:dyDescent="0.3">
      <c r="A3451">
        <v>216963</v>
      </c>
      <c r="B3451">
        <v>105</v>
      </c>
      <c r="C3451" t="s">
        <v>557</v>
      </c>
      <c r="D3451" t="s">
        <v>2579</v>
      </c>
      <c r="E3451" t="s">
        <v>3364</v>
      </c>
      <c r="F3451" s="451">
        <v>46092</v>
      </c>
      <c r="G3451">
        <v>24099</v>
      </c>
      <c r="H3451" t="s">
        <v>4933</v>
      </c>
      <c r="I3451" t="s">
        <v>5191</v>
      </c>
      <c r="J3451">
        <v>2</v>
      </c>
      <c r="K3451" t="s">
        <v>4744</v>
      </c>
      <c r="L3451">
        <v>45.46</v>
      </c>
      <c r="M3451">
        <v>22.73</v>
      </c>
      <c r="N3451" t="s">
        <v>5272</v>
      </c>
      <c r="O3451" t="s">
        <v>461</v>
      </c>
    </row>
    <row r="3452" spans="1:15" x14ac:dyDescent="0.3">
      <c r="A3452">
        <v>216963</v>
      </c>
      <c r="B3452">
        <v>105</v>
      </c>
      <c r="C3452" t="s">
        <v>557</v>
      </c>
      <c r="D3452" t="s">
        <v>2579</v>
      </c>
      <c r="E3452" t="s">
        <v>3364</v>
      </c>
      <c r="F3452" s="451">
        <v>46092</v>
      </c>
      <c r="G3452">
        <v>19502</v>
      </c>
      <c r="H3452" t="s">
        <v>4871</v>
      </c>
      <c r="I3452" t="s">
        <v>5191</v>
      </c>
      <c r="J3452">
        <v>1.3</v>
      </c>
      <c r="K3452" t="s">
        <v>4744</v>
      </c>
      <c r="L3452">
        <v>28.44</v>
      </c>
      <c r="M3452">
        <v>21.876923000000001</v>
      </c>
      <c r="N3452" t="s">
        <v>5272</v>
      </c>
      <c r="O3452" t="s">
        <v>461</v>
      </c>
    </row>
    <row r="3453" spans="1:15" x14ac:dyDescent="0.3">
      <c r="A3453">
        <v>216963</v>
      </c>
      <c r="B3453">
        <v>105</v>
      </c>
      <c r="C3453" t="s">
        <v>557</v>
      </c>
      <c r="D3453" t="s">
        <v>2579</v>
      </c>
      <c r="E3453" t="s">
        <v>3364</v>
      </c>
      <c r="F3453" s="451">
        <v>46092</v>
      </c>
      <c r="G3453">
        <v>23184</v>
      </c>
      <c r="H3453" t="s">
        <v>4935</v>
      </c>
      <c r="I3453" t="s">
        <v>5191</v>
      </c>
      <c r="J3453">
        <v>2</v>
      </c>
      <c r="K3453" t="s">
        <v>4744</v>
      </c>
      <c r="L3453">
        <v>22.5</v>
      </c>
      <c r="M3453">
        <v>11.25</v>
      </c>
      <c r="N3453" t="s">
        <v>5272</v>
      </c>
      <c r="O3453" t="s">
        <v>461</v>
      </c>
    </row>
    <row r="3454" spans="1:15" x14ac:dyDescent="0.3">
      <c r="A3454">
        <v>216961</v>
      </c>
      <c r="B3454">
        <v>105</v>
      </c>
      <c r="C3454" t="s">
        <v>557</v>
      </c>
      <c r="D3454" t="s">
        <v>2605</v>
      </c>
      <c r="E3454" t="s">
        <v>3365</v>
      </c>
      <c r="F3454" s="451">
        <v>46084</v>
      </c>
      <c r="G3454">
        <v>26150</v>
      </c>
      <c r="H3454" t="s">
        <v>5105</v>
      </c>
      <c r="I3454" t="s">
        <v>5222</v>
      </c>
      <c r="J3454">
        <v>2</v>
      </c>
      <c r="K3454" t="s">
        <v>4805</v>
      </c>
      <c r="L3454">
        <v>190.6</v>
      </c>
      <c r="M3454">
        <v>95.3</v>
      </c>
      <c r="N3454" t="s">
        <v>5222</v>
      </c>
      <c r="O3454" t="s">
        <v>461</v>
      </c>
    </row>
    <row r="3455" spans="1:15" x14ac:dyDescent="0.3">
      <c r="A3455">
        <v>216959</v>
      </c>
      <c r="B3455">
        <v>105</v>
      </c>
      <c r="C3455" t="s">
        <v>557</v>
      </c>
      <c r="D3455" t="s">
        <v>2605</v>
      </c>
      <c r="E3455" t="s">
        <v>3366</v>
      </c>
      <c r="F3455" s="451">
        <v>46091</v>
      </c>
      <c r="G3455">
        <v>26210</v>
      </c>
      <c r="H3455" t="s">
        <v>4975</v>
      </c>
      <c r="I3455" t="s">
        <v>5222</v>
      </c>
      <c r="J3455">
        <v>1</v>
      </c>
      <c r="K3455" t="s">
        <v>4805</v>
      </c>
      <c r="L3455">
        <v>47.6</v>
      </c>
      <c r="M3455">
        <v>47.6</v>
      </c>
      <c r="N3455" t="s">
        <v>5271</v>
      </c>
      <c r="O3455" t="s">
        <v>461</v>
      </c>
    </row>
    <row r="3456" spans="1:15" x14ac:dyDescent="0.3">
      <c r="A3456">
        <v>216959</v>
      </c>
      <c r="B3456">
        <v>105</v>
      </c>
      <c r="C3456" t="s">
        <v>557</v>
      </c>
      <c r="D3456" t="s">
        <v>2605</v>
      </c>
      <c r="E3456" t="s">
        <v>3366</v>
      </c>
      <c r="F3456" s="451">
        <v>46091</v>
      </c>
      <c r="G3456">
        <v>26014</v>
      </c>
      <c r="H3456" t="s">
        <v>5128</v>
      </c>
      <c r="I3456" t="s">
        <v>5222</v>
      </c>
      <c r="J3456">
        <v>1</v>
      </c>
      <c r="K3456" t="s">
        <v>4805</v>
      </c>
      <c r="L3456">
        <v>375.8</v>
      </c>
      <c r="M3456">
        <v>375.8</v>
      </c>
      <c r="N3456" t="s">
        <v>5271</v>
      </c>
      <c r="O3456" t="s">
        <v>461</v>
      </c>
    </row>
    <row r="3457" spans="1:15" x14ac:dyDescent="0.3">
      <c r="A3457">
        <v>216956</v>
      </c>
      <c r="B3457">
        <v>105</v>
      </c>
      <c r="C3457" t="s">
        <v>557</v>
      </c>
      <c r="D3457" t="s">
        <v>2864</v>
      </c>
      <c r="E3457" t="s">
        <v>3367</v>
      </c>
      <c r="F3457" s="451">
        <v>46091</v>
      </c>
      <c r="G3457">
        <v>17017</v>
      </c>
      <c r="H3457" t="s">
        <v>5199</v>
      </c>
      <c r="I3457" t="s">
        <v>5188</v>
      </c>
      <c r="J3457">
        <v>2</v>
      </c>
      <c r="K3457" t="s">
        <v>4738</v>
      </c>
      <c r="L3457">
        <v>6</v>
      </c>
      <c r="M3457">
        <v>3</v>
      </c>
      <c r="N3457" t="s">
        <v>5277</v>
      </c>
      <c r="O3457" t="s">
        <v>461</v>
      </c>
    </row>
    <row r="3458" spans="1:15" x14ac:dyDescent="0.3">
      <c r="A3458">
        <v>216956</v>
      </c>
      <c r="B3458">
        <v>105</v>
      </c>
      <c r="C3458" t="s">
        <v>557</v>
      </c>
      <c r="D3458" t="s">
        <v>2864</v>
      </c>
      <c r="E3458" t="s">
        <v>3367</v>
      </c>
      <c r="F3458" s="451">
        <v>46091</v>
      </c>
      <c r="G3458">
        <v>17565</v>
      </c>
      <c r="H3458" t="s">
        <v>5247</v>
      </c>
      <c r="I3458" t="s">
        <v>5188</v>
      </c>
      <c r="J3458">
        <v>1</v>
      </c>
      <c r="K3458" t="s">
        <v>4736</v>
      </c>
      <c r="L3458">
        <v>96</v>
      </c>
      <c r="M3458">
        <v>96</v>
      </c>
      <c r="N3458" t="s">
        <v>5277</v>
      </c>
      <c r="O3458" t="s">
        <v>461</v>
      </c>
    </row>
    <row r="3459" spans="1:15" x14ac:dyDescent="0.3">
      <c r="A3459">
        <v>216956</v>
      </c>
      <c r="B3459">
        <v>105</v>
      </c>
      <c r="C3459" t="s">
        <v>557</v>
      </c>
      <c r="D3459" t="s">
        <v>2864</v>
      </c>
      <c r="E3459" t="s">
        <v>3367</v>
      </c>
      <c r="F3459" s="451">
        <v>46091</v>
      </c>
      <c r="G3459">
        <v>17504</v>
      </c>
      <c r="H3459" t="s">
        <v>5260</v>
      </c>
      <c r="I3459" t="s">
        <v>5205</v>
      </c>
      <c r="J3459">
        <v>2</v>
      </c>
      <c r="K3459" t="s">
        <v>4736</v>
      </c>
      <c r="L3459">
        <v>42</v>
      </c>
      <c r="M3459">
        <v>21</v>
      </c>
      <c r="N3459" t="s">
        <v>5277</v>
      </c>
      <c r="O3459" t="s">
        <v>461</v>
      </c>
    </row>
    <row r="3460" spans="1:15" x14ac:dyDescent="0.3">
      <c r="A3460">
        <v>216956</v>
      </c>
      <c r="B3460">
        <v>105</v>
      </c>
      <c r="C3460" t="s">
        <v>557</v>
      </c>
      <c r="D3460" t="s">
        <v>2864</v>
      </c>
      <c r="E3460" t="s">
        <v>3367</v>
      </c>
      <c r="F3460" s="451">
        <v>46091</v>
      </c>
      <c r="G3460">
        <v>21433</v>
      </c>
      <c r="H3460" t="s">
        <v>5250</v>
      </c>
      <c r="I3460" t="s">
        <v>5188</v>
      </c>
      <c r="J3460">
        <v>1</v>
      </c>
      <c r="K3460" t="s">
        <v>4738</v>
      </c>
      <c r="L3460">
        <v>95</v>
      </c>
      <c r="M3460">
        <v>95</v>
      </c>
      <c r="N3460" t="s">
        <v>5277</v>
      </c>
      <c r="O3460" t="s">
        <v>461</v>
      </c>
    </row>
    <row r="3461" spans="1:15" x14ac:dyDescent="0.3">
      <c r="A3461">
        <v>216956</v>
      </c>
      <c r="B3461">
        <v>105</v>
      </c>
      <c r="C3461" t="s">
        <v>557</v>
      </c>
      <c r="D3461" t="s">
        <v>2864</v>
      </c>
      <c r="E3461" t="s">
        <v>3367</v>
      </c>
      <c r="F3461" s="451">
        <v>46091</v>
      </c>
      <c r="G3461">
        <v>21423</v>
      </c>
      <c r="H3461" t="s">
        <v>5248</v>
      </c>
      <c r="I3461" t="s">
        <v>5188</v>
      </c>
      <c r="J3461">
        <v>1</v>
      </c>
      <c r="K3461" t="s">
        <v>5245</v>
      </c>
      <c r="L3461">
        <v>31.82</v>
      </c>
      <c r="M3461">
        <v>31.82</v>
      </c>
      <c r="N3461" t="s">
        <v>5277</v>
      </c>
      <c r="O3461" t="s">
        <v>461</v>
      </c>
    </row>
    <row r="3462" spans="1:15" x14ac:dyDescent="0.3">
      <c r="A3462">
        <v>216956</v>
      </c>
      <c r="B3462">
        <v>105</v>
      </c>
      <c r="C3462" t="s">
        <v>557</v>
      </c>
      <c r="D3462" t="s">
        <v>2864</v>
      </c>
      <c r="E3462" t="s">
        <v>3367</v>
      </c>
      <c r="F3462" s="451">
        <v>46091</v>
      </c>
      <c r="G3462">
        <v>17162</v>
      </c>
      <c r="H3462" t="s">
        <v>5255</v>
      </c>
      <c r="I3462" t="s">
        <v>5188</v>
      </c>
      <c r="J3462">
        <v>1</v>
      </c>
      <c r="K3462" t="s">
        <v>4736</v>
      </c>
      <c r="L3462">
        <v>54</v>
      </c>
      <c r="M3462">
        <v>54</v>
      </c>
      <c r="N3462" t="s">
        <v>5277</v>
      </c>
      <c r="O3462" t="s">
        <v>461</v>
      </c>
    </row>
    <row r="3463" spans="1:15" x14ac:dyDescent="0.3">
      <c r="A3463">
        <v>216955</v>
      </c>
      <c r="B3463">
        <v>105</v>
      </c>
      <c r="C3463" t="s">
        <v>557</v>
      </c>
      <c r="D3463" t="s">
        <v>2864</v>
      </c>
      <c r="E3463" t="s">
        <v>3368</v>
      </c>
      <c r="F3463" s="451">
        <v>46085</v>
      </c>
      <c r="G3463">
        <v>20382</v>
      </c>
      <c r="H3463" t="s">
        <v>4780</v>
      </c>
      <c r="I3463" t="s">
        <v>5191</v>
      </c>
      <c r="J3463">
        <v>8</v>
      </c>
      <c r="K3463" t="s">
        <v>5238</v>
      </c>
      <c r="L3463">
        <v>71.92</v>
      </c>
      <c r="M3463">
        <v>8.99</v>
      </c>
      <c r="N3463" t="s">
        <v>5272</v>
      </c>
      <c r="O3463" t="s">
        <v>461</v>
      </c>
    </row>
    <row r="3464" spans="1:15" x14ac:dyDescent="0.3">
      <c r="A3464">
        <v>216955</v>
      </c>
      <c r="B3464">
        <v>105</v>
      </c>
      <c r="C3464" t="s">
        <v>557</v>
      </c>
      <c r="D3464" t="s">
        <v>2864</v>
      </c>
      <c r="E3464" t="s">
        <v>3368</v>
      </c>
      <c r="F3464" s="451">
        <v>46085</v>
      </c>
      <c r="G3464">
        <v>20624</v>
      </c>
      <c r="H3464" t="s">
        <v>5019</v>
      </c>
      <c r="I3464" t="s">
        <v>5191</v>
      </c>
      <c r="J3464">
        <v>1</v>
      </c>
      <c r="K3464" t="s">
        <v>4736</v>
      </c>
      <c r="L3464">
        <v>66.819999999999993</v>
      </c>
      <c r="M3464">
        <v>66.819999999999993</v>
      </c>
      <c r="N3464" t="s">
        <v>5272</v>
      </c>
      <c r="O3464" t="s">
        <v>461</v>
      </c>
    </row>
    <row r="3465" spans="1:15" x14ac:dyDescent="0.3">
      <c r="A3465">
        <v>216955</v>
      </c>
      <c r="B3465">
        <v>105</v>
      </c>
      <c r="C3465" t="s">
        <v>557</v>
      </c>
      <c r="D3465" t="s">
        <v>2864</v>
      </c>
      <c r="E3465" t="s">
        <v>3368</v>
      </c>
      <c r="F3465" s="451">
        <v>46085</v>
      </c>
      <c r="G3465">
        <v>23088</v>
      </c>
      <c r="H3465" t="s">
        <v>5027</v>
      </c>
      <c r="I3465" t="s">
        <v>5191</v>
      </c>
      <c r="J3465">
        <v>3</v>
      </c>
      <c r="K3465" t="s">
        <v>4736</v>
      </c>
      <c r="L3465">
        <v>74.7</v>
      </c>
      <c r="M3465">
        <v>24.9</v>
      </c>
      <c r="N3465" t="s">
        <v>5272</v>
      </c>
      <c r="O3465" t="s">
        <v>461</v>
      </c>
    </row>
    <row r="3466" spans="1:15" x14ac:dyDescent="0.3">
      <c r="A3466">
        <v>216952</v>
      </c>
      <c r="B3466">
        <v>105</v>
      </c>
      <c r="C3466" t="s">
        <v>557</v>
      </c>
      <c r="D3466" t="s">
        <v>2963</v>
      </c>
      <c r="E3466" t="s">
        <v>3369</v>
      </c>
      <c r="F3466" s="451">
        <v>46091</v>
      </c>
      <c r="G3466">
        <v>17062</v>
      </c>
      <c r="H3466" t="s">
        <v>4880</v>
      </c>
      <c r="I3466" t="s">
        <v>5191</v>
      </c>
      <c r="J3466">
        <v>3</v>
      </c>
      <c r="K3466" t="s">
        <v>5323</v>
      </c>
      <c r="L3466">
        <v>378.09</v>
      </c>
      <c r="M3466">
        <v>126.03</v>
      </c>
      <c r="N3466" t="s">
        <v>5272</v>
      </c>
      <c r="O3466" t="s">
        <v>461</v>
      </c>
    </row>
    <row r="3467" spans="1:15" x14ac:dyDescent="0.3">
      <c r="A3467">
        <v>216952</v>
      </c>
      <c r="B3467">
        <v>105</v>
      </c>
      <c r="C3467" t="s">
        <v>557</v>
      </c>
      <c r="D3467" t="s">
        <v>2963</v>
      </c>
      <c r="E3467" t="s">
        <v>3369</v>
      </c>
      <c r="F3467" s="451">
        <v>46091</v>
      </c>
      <c r="G3467">
        <v>21150</v>
      </c>
      <c r="H3467" t="s">
        <v>4878</v>
      </c>
      <c r="I3467" t="s">
        <v>5191</v>
      </c>
      <c r="J3467">
        <v>3</v>
      </c>
      <c r="K3467" t="s">
        <v>4736</v>
      </c>
      <c r="L3467">
        <v>339.93</v>
      </c>
      <c r="M3467">
        <v>113.31</v>
      </c>
      <c r="N3467" t="s">
        <v>5272</v>
      </c>
      <c r="O3467" t="s">
        <v>461</v>
      </c>
    </row>
    <row r="3468" spans="1:15" x14ac:dyDescent="0.3">
      <c r="A3468">
        <v>216950</v>
      </c>
      <c r="B3468">
        <v>105</v>
      </c>
      <c r="C3468" t="s">
        <v>557</v>
      </c>
      <c r="D3468" t="s">
        <v>2571</v>
      </c>
      <c r="E3468" t="s">
        <v>3370</v>
      </c>
      <c r="F3468" s="451">
        <v>46085</v>
      </c>
      <c r="G3468">
        <v>20661</v>
      </c>
      <c r="H3468" t="s">
        <v>5012</v>
      </c>
      <c r="I3468" t="s">
        <v>5191</v>
      </c>
      <c r="J3468">
        <v>4</v>
      </c>
      <c r="K3468" t="s">
        <v>4736</v>
      </c>
      <c r="L3468">
        <v>33.520000000000003</v>
      </c>
      <c r="M3468">
        <v>8.3800000000000008</v>
      </c>
      <c r="N3468" t="s">
        <v>5191</v>
      </c>
      <c r="O3468" t="s">
        <v>461</v>
      </c>
    </row>
    <row r="3469" spans="1:15" x14ac:dyDescent="0.3">
      <c r="A3469">
        <v>216950</v>
      </c>
      <c r="B3469">
        <v>105</v>
      </c>
      <c r="C3469" t="s">
        <v>557</v>
      </c>
      <c r="D3469" t="s">
        <v>2571</v>
      </c>
      <c r="E3469" t="s">
        <v>3370</v>
      </c>
      <c r="F3469" s="451">
        <v>46085</v>
      </c>
      <c r="G3469">
        <v>20644</v>
      </c>
      <c r="H3469" t="s">
        <v>5016</v>
      </c>
      <c r="I3469" t="s">
        <v>5191</v>
      </c>
      <c r="J3469">
        <v>3</v>
      </c>
      <c r="K3469" t="s">
        <v>4736</v>
      </c>
      <c r="L3469">
        <v>11.67</v>
      </c>
      <c r="M3469">
        <v>3.89</v>
      </c>
      <c r="N3469" t="s">
        <v>5191</v>
      </c>
      <c r="O3469" t="s">
        <v>461</v>
      </c>
    </row>
    <row r="3470" spans="1:15" x14ac:dyDescent="0.3">
      <c r="A3470">
        <v>216950</v>
      </c>
      <c r="B3470">
        <v>105</v>
      </c>
      <c r="C3470" t="s">
        <v>557</v>
      </c>
      <c r="D3470" t="s">
        <v>2571</v>
      </c>
      <c r="E3470" t="s">
        <v>3370</v>
      </c>
      <c r="F3470" s="451">
        <v>46085</v>
      </c>
      <c r="G3470">
        <v>25075</v>
      </c>
      <c r="H3470" t="s">
        <v>4790</v>
      </c>
      <c r="I3470" t="s">
        <v>5191</v>
      </c>
      <c r="J3470">
        <v>3</v>
      </c>
      <c r="K3470" t="s">
        <v>5228</v>
      </c>
      <c r="L3470">
        <v>50.4</v>
      </c>
      <c r="M3470">
        <v>16.8</v>
      </c>
      <c r="N3470" t="s">
        <v>5191</v>
      </c>
      <c r="O3470" t="s">
        <v>461</v>
      </c>
    </row>
    <row r="3471" spans="1:15" x14ac:dyDescent="0.3">
      <c r="A3471">
        <v>216950</v>
      </c>
      <c r="B3471">
        <v>105</v>
      </c>
      <c r="C3471" t="s">
        <v>557</v>
      </c>
      <c r="D3471" t="s">
        <v>2571</v>
      </c>
      <c r="E3471" t="s">
        <v>3370</v>
      </c>
      <c r="F3471" s="451">
        <v>46085</v>
      </c>
      <c r="G3471">
        <v>20138</v>
      </c>
      <c r="H3471" t="s">
        <v>4886</v>
      </c>
      <c r="I3471" t="s">
        <v>5191</v>
      </c>
      <c r="J3471">
        <v>3</v>
      </c>
      <c r="K3471" t="s">
        <v>4738</v>
      </c>
      <c r="L3471">
        <v>15.3</v>
      </c>
      <c r="M3471">
        <v>5.0999999999999996</v>
      </c>
      <c r="N3471" t="s">
        <v>5191</v>
      </c>
      <c r="O3471" t="s">
        <v>461</v>
      </c>
    </row>
    <row r="3472" spans="1:15" x14ac:dyDescent="0.3">
      <c r="A3472">
        <v>216950</v>
      </c>
      <c r="B3472">
        <v>105</v>
      </c>
      <c r="C3472" t="s">
        <v>557</v>
      </c>
      <c r="D3472" t="s">
        <v>2571</v>
      </c>
      <c r="E3472" t="s">
        <v>3370</v>
      </c>
      <c r="F3472" s="451">
        <v>46085</v>
      </c>
      <c r="G3472">
        <v>25022</v>
      </c>
      <c r="H3472" t="s">
        <v>4912</v>
      </c>
      <c r="I3472" t="s">
        <v>5191</v>
      </c>
      <c r="J3472">
        <v>2</v>
      </c>
      <c r="K3472" t="s">
        <v>4738</v>
      </c>
      <c r="L3472">
        <v>7.4</v>
      </c>
      <c r="M3472">
        <v>3.7</v>
      </c>
      <c r="N3472" t="s">
        <v>5191</v>
      </c>
      <c r="O3472" t="s">
        <v>461</v>
      </c>
    </row>
    <row r="3473" spans="1:15" x14ac:dyDescent="0.3">
      <c r="A3473">
        <v>216950</v>
      </c>
      <c r="B3473">
        <v>105</v>
      </c>
      <c r="C3473" t="s">
        <v>557</v>
      </c>
      <c r="D3473" t="s">
        <v>2571</v>
      </c>
      <c r="E3473" t="s">
        <v>3370</v>
      </c>
      <c r="F3473" s="451">
        <v>46085</v>
      </c>
      <c r="G3473">
        <v>26020</v>
      </c>
      <c r="H3473" t="s">
        <v>5102</v>
      </c>
      <c r="I3473" t="s">
        <v>5191</v>
      </c>
      <c r="J3473">
        <v>3</v>
      </c>
      <c r="K3473" t="s">
        <v>4736</v>
      </c>
      <c r="L3473">
        <v>38.97</v>
      </c>
      <c r="M3473">
        <v>12.99</v>
      </c>
      <c r="N3473" t="s">
        <v>5191</v>
      </c>
      <c r="O3473" t="s">
        <v>461</v>
      </c>
    </row>
    <row r="3474" spans="1:15" x14ac:dyDescent="0.3">
      <c r="A3474">
        <v>216950</v>
      </c>
      <c r="B3474">
        <v>105</v>
      </c>
      <c r="C3474" t="s">
        <v>557</v>
      </c>
      <c r="D3474" t="s">
        <v>2571</v>
      </c>
      <c r="E3474" t="s">
        <v>3370</v>
      </c>
      <c r="F3474" s="451">
        <v>46085</v>
      </c>
      <c r="G3474">
        <v>19421</v>
      </c>
      <c r="H3474" t="s">
        <v>4918</v>
      </c>
      <c r="I3474" t="s">
        <v>5191</v>
      </c>
      <c r="J3474">
        <v>1</v>
      </c>
      <c r="K3474" t="s">
        <v>4749</v>
      </c>
      <c r="L3474">
        <v>53.88</v>
      </c>
      <c r="M3474">
        <v>53.88</v>
      </c>
      <c r="N3474" t="s">
        <v>5191</v>
      </c>
      <c r="O3474" t="s">
        <v>461</v>
      </c>
    </row>
    <row r="3475" spans="1:15" x14ac:dyDescent="0.3">
      <c r="A3475">
        <v>216950</v>
      </c>
      <c r="B3475">
        <v>105</v>
      </c>
      <c r="C3475" t="s">
        <v>557</v>
      </c>
      <c r="D3475" t="s">
        <v>2571</v>
      </c>
      <c r="E3475" t="s">
        <v>3370</v>
      </c>
      <c r="F3475" s="451">
        <v>46085</v>
      </c>
      <c r="G3475">
        <v>23884</v>
      </c>
      <c r="H3475" t="s">
        <v>5070</v>
      </c>
      <c r="I3475" t="s">
        <v>5191</v>
      </c>
      <c r="J3475">
        <v>1</v>
      </c>
      <c r="K3475" t="s">
        <v>4736</v>
      </c>
      <c r="L3475">
        <v>8.8699999999999992</v>
      </c>
      <c r="M3475">
        <v>8.8699999999999992</v>
      </c>
      <c r="N3475" t="s">
        <v>5191</v>
      </c>
      <c r="O3475" t="s">
        <v>461</v>
      </c>
    </row>
    <row r="3476" spans="1:15" x14ac:dyDescent="0.3">
      <c r="A3476">
        <v>216950</v>
      </c>
      <c r="B3476">
        <v>105</v>
      </c>
      <c r="C3476" t="s">
        <v>557</v>
      </c>
      <c r="D3476" t="s">
        <v>2571</v>
      </c>
      <c r="E3476" t="s">
        <v>3370</v>
      </c>
      <c r="F3476" s="451">
        <v>46085</v>
      </c>
      <c r="G3476">
        <v>19967</v>
      </c>
      <c r="H3476" t="s">
        <v>4956</v>
      </c>
      <c r="I3476" t="s">
        <v>5191</v>
      </c>
      <c r="J3476">
        <v>1</v>
      </c>
      <c r="K3476" t="s">
        <v>4848</v>
      </c>
      <c r="L3476">
        <v>49.09</v>
      </c>
      <c r="M3476">
        <v>49.09</v>
      </c>
      <c r="N3476" t="s">
        <v>5191</v>
      </c>
      <c r="O3476" t="s">
        <v>461</v>
      </c>
    </row>
    <row r="3477" spans="1:15" x14ac:dyDescent="0.3">
      <c r="A3477">
        <v>216950</v>
      </c>
      <c r="B3477">
        <v>105</v>
      </c>
      <c r="C3477" t="s">
        <v>557</v>
      </c>
      <c r="D3477" t="s">
        <v>2571</v>
      </c>
      <c r="E3477" t="s">
        <v>3370</v>
      </c>
      <c r="F3477" s="451">
        <v>46085</v>
      </c>
      <c r="G3477">
        <v>27397</v>
      </c>
      <c r="H3477" t="s">
        <v>4913</v>
      </c>
      <c r="I3477" t="s">
        <v>5191</v>
      </c>
      <c r="J3477">
        <v>2</v>
      </c>
      <c r="K3477" t="s">
        <v>4736</v>
      </c>
      <c r="L3477">
        <v>122</v>
      </c>
      <c r="M3477">
        <v>61</v>
      </c>
      <c r="N3477" t="s">
        <v>5191</v>
      </c>
      <c r="O3477" t="s">
        <v>461</v>
      </c>
    </row>
    <row r="3478" spans="1:15" x14ac:dyDescent="0.3">
      <c r="A3478">
        <v>216950</v>
      </c>
      <c r="B3478">
        <v>105</v>
      </c>
      <c r="C3478" t="s">
        <v>557</v>
      </c>
      <c r="D3478" t="s">
        <v>2571</v>
      </c>
      <c r="E3478" t="s">
        <v>3370</v>
      </c>
      <c r="F3478" s="451">
        <v>46085</v>
      </c>
      <c r="G3478">
        <v>20809</v>
      </c>
      <c r="H3478" t="s">
        <v>4822</v>
      </c>
      <c r="I3478" t="s">
        <v>5191</v>
      </c>
      <c r="J3478">
        <v>6</v>
      </c>
      <c r="K3478" t="s">
        <v>5227</v>
      </c>
      <c r="L3478">
        <v>179.4</v>
      </c>
      <c r="M3478">
        <v>29.9</v>
      </c>
      <c r="N3478" t="s">
        <v>5191</v>
      </c>
      <c r="O3478" t="s">
        <v>461</v>
      </c>
    </row>
    <row r="3479" spans="1:15" x14ac:dyDescent="0.3">
      <c r="A3479">
        <v>216950</v>
      </c>
      <c r="B3479">
        <v>105</v>
      </c>
      <c r="C3479" t="s">
        <v>557</v>
      </c>
      <c r="D3479" t="s">
        <v>2571</v>
      </c>
      <c r="E3479" t="s">
        <v>3370</v>
      </c>
      <c r="F3479" s="451">
        <v>46085</v>
      </c>
      <c r="G3479">
        <v>21093</v>
      </c>
      <c r="H3479" t="s">
        <v>4855</v>
      </c>
      <c r="I3479" t="s">
        <v>5191</v>
      </c>
      <c r="J3479">
        <v>10</v>
      </c>
      <c r="K3479" t="s">
        <v>5227</v>
      </c>
      <c r="L3479">
        <v>43.9</v>
      </c>
      <c r="M3479">
        <v>4.3899999999999997</v>
      </c>
      <c r="N3479" t="s">
        <v>5191</v>
      </c>
      <c r="O3479" t="s">
        <v>461</v>
      </c>
    </row>
    <row r="3480" spans="1:15" x14ac:dyDescent="0.3">
      <c r="A3480">
        <v>216949</v>
      </c>
      <c r="B3480">
        <v>105</v>
      </c>
      <c r="C3480" t="s">
        <v>557</v>
      </c>
      <c r="D3480" t="s">
        <v>2571</v>
      </c>
      <c r="E3480" t="s">
        <v>3371</v>
      </c>
      <c r="F3480" s="451">
        <v>46086</v>
      </c>
      <c r="G3480">
        <v>20809</v>
      </c>
      <c r="H3480" t="s">
        <v>4822</v>
      </c>
      <c r="I3480" t="s">
        <v>5191</v>
      </c>
      <c r="J3480">
        <v>6</v>
      </c>
      <c r="K3480" t="s">
        <v>4736</v>
      </c>
      <c r="L3480">
        <v>179.4</v>
      </c>
      <c r="M3480">
        <v>29.9</v>
      </c>
      <c r="N3480" t="s">
        <v>5191</v>
      </c>
      <c r="O3480" t="s">
        <v>461</v>
      </c>
    </row>
    <row r="3481" spans="1:15" x14ac:dyDescent="0.3">
      <c r="A3481">
        <v>216949</v>
      </c>
      <c r="B3481">
        <v>105</v>
      </c>
      <c r="C3481" t="s">
        <v>557</v>
      </c>
      <c r="D3481" t="s">
        <v>2571</v>
      </c>
      <c r="E3481" t="s">
        <v>3371</v>
      </c>
      <c r="F3481" s="451">
        <v>46086</v>
      </c>
      <c r="G3481">
        <v>21021</v>
      </c>
      <c r="H3481" t="s">
        <v>4883</v>
      </c>
      <c r="I3481" t="s">
        <v>5191</v>
      </c>
      <c r="J3481">
        <v>3</v>
      </c>
      <c r="K3481" t="s">
        <v>4736</v>
      </c>
      <c r="L3481">
        <v>549</v>
      </c>
      <c r="M3481">
        <v>183</v>
      </c>
      <c r="N3481" t="s">
        <v>5191</v>
      </c>
      <c r="O3481" t="s">
        <v>461</v>
      </c>
    </row>
    <row r="3482" spans="1:15" x14ac:dyDescent="0.3">
      <c r="A3482">
        <v>216947</v>
      </c>
      <c r="B3482">
        <v>105</v>
      </c>
      <c r="C3482" t="s">
        <v>557</v>
      </c>
      <c r="D3482" t="s">
        <v>2571</v>
      </c>
      <c r="E3482" t="s">
        <v>3372</v>
      </c>
      <c r="F3482" s="451">
        <v>46092</v>
      </c>
      <c r="G3482">
        <v>20242</v>
      </c>
      <c r="H3482" t="s">
        <v>4824</v>
      </c>
      <c r="I3482" t="s">
        <v>5191</v>
      </c>
      <c r="J3482">
        <v>7</v>
      </c>
      <c r="K3482" t="s">
        <v>4738</v>
      </c>
      <c r="L3482">
        <v>115.99</v>
      </c>
      <c r="M3482">
        <v>16.57</v>
      </c>
      <c r="N3482" t="s">
        <v>5191</v>
      </c>
      <c r="O3482" t="s">
        <v>461</v>
      </c>
    </row>
    <row r="3483" spans="1:15" x14ac:dyDescent="0.3">
      <c r="A3483">
        <v>216947</v>
      </c>
      <c r="B3483">
        <v>105</v>
      </c>
      <c r="C3483" t="s">
        <v>557</v>
      </c>
      <c r="D3483" t="s">
        <v>2571</v>
      </c>
      <c r="E3483" t="s">
        <v>3372</v>
      </c>
      <c r="F3483" s="451">
        <v>46092</v>
      </c>
      <c r="G3483">
        <v>20227</v>
      </c>
      <c r="H3483" t="s">
        <v>4825</v>
      </c>
      <c r="I3483" t="s">
        <v>5191</v>
      </c>
      <c r="J3483">
        <v>5</v>
      </c>
      <c r="K3483" t="s">
        <v>4738</v>
      </c>
      <c r="L3483">
        <v>61.5</v>
      </c>
      <c r="M3483">
        <v>12.3</v>
      </c>
      <c r="N3483" t="s">
        <v>5191</v>
      </c>
      <c r="O3483" t="s">
        <v>461</v>
      </c>
    </row>
    <row r="3484" spans="1:15" x14ac:dyDescent="0.3">
      <c r="A3484">
        <v>216947</v>
      </c>
      <c r="B3484">
        <v>105</v>
      </c>
      <c r="C3484" t="s">
        <v>557</v>
      </c>
      <c r="D3484" t="s">
        <v>2571</v>
      </c>
      <c r="E3484" t="s">
        <v>3372</v>
      </c>
      <c r="F3484" s="451">
        <v>46092</v>
      </c>
      <c r="G3484">
        <v>20322</v>
      </c>
      <c r="H3484" t="s">
        <v>4882</v>
      </c>
      <c r="I3484" t="s">
        <v>5191</v>
      </c>
      <c r="J3484">
        <v>2</v>
      </c>
      <c r="K3484" t="s">
        <v>5238</v>
      </c>
      <c r="L3484">
        <v>21.6</v>
      </c>
      <c r="M3484">
        <v>10.8</v>
      </c>
      <c r="N3484" t="s">
        <v>5191</v>
      </c>
      <c r="O3484" t="s">
        <v>461</v>
      </c>
    </row>
    <row r="3485" spans="1:15" x14ac:dyDescent="0.3">
      <c r="A3485">
        <v>216947</v>
      </c>
      <c r="B3485">
        <v>105</v>
      </c>
      <c r="C3485" t="s">
        <v>557</v>
      </c>
      <c r="D3485" t="s">
        <v>2571</v>
      </c>
      <c r="E3485" t="s">
        <v>3372</v>
      </c>
      <c r="F3485" s="451">
        <v>46092</v>
      </c>
      <c r="G3485">
        <v>20231</v>
      </c>
      <c r="H3485" t="s">
        <v>5273</v>
      </c>
      <c r="I3485" t="s">
        <v>5191</v>
      </c>
      <c r="J3485">
        <v>2</v>
      </c>
      <c r="K3485" t="s">
        <v>4738</v>
      </c>
      <c r="L3485">
        <v>32.4</v>
      </c>
      <c r="M3485">
        <v>16.2</v>
      </c>
      <c r="N3485" t="s">
        <v>5191</v>
      </c>
      <c r="O3485" t="s">
        <v>461</v>
      </c>
    </row>
    <row r="3486" spans="1:15" x14ac:dyDescent="0.3">
      <c r="A3486">
        <v>216947</v>
      </c>
      <c r="B3486">
        <v>105</v>
      </c>
      <c r="C3486" t="s">
        <v>557</v>
      </c>
      <c r="D3486" t="s">
        <v>2571</v>
      </c>
      <c r="E3486" t="s">
        <v>3372</v>
      </c>
      <c r="F3486" s="451">
        <v>46092</v>
      </c>
      <c r="G3486">
        <v>20138</v>
      </c>
      <c r="H3486" t="s">
        <v>4886</v>
      </c>
      <c r="I3486" t="s">
        <v>5191</v>
      </c>
      <c r="J3486">
        <v>3</v>
      </c>
      <c r="K3486" t="s">
        <v>4738</v>
      </c>
      <c r="L3486">
        <v>15.3</v>
      </c>
      <c r="M3486">
        <v>5.0999999999999996</v>
      </c>
      <c r="N3486" t="s">
        <v>5191</v>
      </c>
      <c r="O3486" t="s">
        <v>461</v>
      </c>
    </row>
    <row r="3487" spans="1:15" x14ac:dyDescent="0.3">
      <c r="A3487">
        <v>216947</v>
      </c>
      <c r="B3487">
        <v>105</v>
      </c>
      <c r="C3487" t="s">
        <v>557</v>
      </c>
      <c r="D3487" t="s">
        <v>2571</v>
      </c>
      <c r="E3487" t="s">
        <v>3372</v>
      </c>
      <c r="F3487" s="451">
        <v>46092</v>
      </c>
      <c r="G3487">
        <v>21257</v>
      </c>
      <c r="H3487" t="s">
        <v>4952</v>
      </c>
      <c r="I3487" t="s">
        <v>5191</v>
      </c>
      <c r="J3487">
        <v>2</v>
      </c>
      <c r="K3487" t="s">
        <v>4736</v>
      </c>
      <c r="L3487">
        <v>37.6</v>
      </c>
      <c r="M3487">
        <v>18.8</v>
      </c>
      <c r="N3487" t="s">
        <v>5191</v>
      </c>
      <c r="O3487" t="s">
        <v>461</v>
      </c>
    </row>
    <row r="3488" spans="1:15" x14ac:dyDescent="0.3">
      <c r="A3488">
        <v>216947</v>
      </c>
      <c r="B3488">
        <v>105</v>
      </c>
      <c r="C3488" t="s">
        <v>557</v>
      </c>
      <c r="D3488" t="s">
        <v>2571</v>
      </c>
      <c r="E3488" t="s">
        <v>3372</v>
      </c>
      <c r="F3488" s="451">
        <v>46092</v>
      </c>
      <c r="G3488">
        <v>26020</v>
      </c>
      <c r="H3488" t="s">
        <v>5102</v>
      </c>
      <c r="I3488" t="s">
        <v>5191</v>
      </c>
      <c r="J3488">
        <v>3</v>
      </c>
      <c r="K3488" t="s">
        <v>4736</v>
      </c>
      <c r="L3488">
        <v>39.69</v>
      </c>
      <c r="M3488">
        <v>13.23</v>
      </c>
      <c r="N3488" t="s">
        <v>5191</v>
      </c>
      <c r="O3488" t="s">
        <v>461</v>
      </c>
    </row>
    <row r="3489" spans="1:15" x14ac:dyDescent="0.3">
      <c r="A3489">
        <v>216947</v>
      </c>
      <c r="B3489">
        <v>105</v>
      </c>
      <c r="C3489" t="s">
        <v>557</v>
      </c>
      <c r="D3489" t="s">
        <v>2571</v>
      </c>
      <c r="E3489" t="s">
        <v>3372</v>
      </c>
      <c r="F3489" s="451">
        <v>46092</v>
      </c>
      <c r="G3489">
        <v>19421</v>
      </c>
      <c r="H3489" t="s">
        <v>4918</v>
      </c>
      <c r="I3489" t="s">
        <v>5191</v>
      </c>
      <c r="J3489">
        <v>2</v>
      </c>
      <c r="K3489" t="s">
        <v>4749</v>
      </c>
      <c r="L3489">
        <v>110.9</v>
      </c>
      <c r="M3489">
        <v>55.45</v>
      </c>
      <c r="N3489" t="s">
        <v>5191</v>
      </c>
      <c r="O3489" t="s">
        <v>461</v>
      </c>
    </row>
    <row r="3490" spans="1:15" x14ac:dyDescent="0.3">
      <c r="A3490">
        <v>216947</v>
      </c>
      <c r="B3490">
        <v>105</v>
      </c>
      <c r="C3490" t="s">
        <v>557</v>
      </c>
      <c r="D3490" t="s">
        <v>2571</v>
      </c>
      <c r="E3490" t="s">
        <v>3372</v>
      </c>
      <c r="F3490" s="451">
        <v>46092</v>
      </c>
      <c r="G3490">
        <v>27397</v>
      </c>
      <c r="H3490" t="s">
        <v>4913</v>
      </c>
      <c r="I3490" t="s">
        <v>5191</v>
      </c>
      <c r="J3490">
        <v>4</v>
      </c>
      <c r="K3490" t="s">
        <v>4736</v>
      </c>
      <c r="L3490">
        <v>244</v>
      </c>
      <c r="M3490">
        <v>61</v>
      </c>
      <c r="N3490" t="s">
        <v>5191</v>
      </c>
      <c r="O3490" t="s">
        <v>461</v>
      </c>
    </row>
    <row r="3491" spans="1:15" x14ac:dyDescent="0.3">
      <c r="A3491">
        <v>216947</v>
      </c>
      <c r="B3491">
        <v>105</v>
      </c>
      <c r="C3491" t="s">
        <v>557</v>
      </c>
      <c r="D3491" t="s">
        <v>2571</v>
      </c>
      <c r="E3491" t="s">
        <v>3372</v>
      </c>
      <c r="F3491" s="451">
        <v>46092</v>
      </c>
      <c r="G3491">
        <v>19916</v>
      </c>
      <c r="H3491" t="s">
        <v>4826</v>
      </c>
      <c r="I3491" t="s">
        <v>5191</v>
      </c>
      <c r="J3491">
        <v>1</v>
      </c>
      <c r="K3491" t="s">
        <v>4749</v>
      </c>
      <c r="L3491">
        <v>35.299999999999997</v>
      </c>
      <c r="M3491">
        <v>35.299999999999997</v>
      </c>
      <c r="N3491" t="s">
        <v>5191</v>
      </c>
      <c r="O3491" t="s">
        <v>461</v>
      </c>
    </row>
    <row r="3492" spans="1:15" x14ac:dyDescent="0.3">
      <c r="A3492">
        <v>216947</v>
      </c>
      <c r="B3492">
        <v>105</v>
      </c>
      <c r="C3492" t="s">
        <v>557</v>
      </c>
      <c r="D3492" t="s">
        <v>2571</v>
      </c>
      <c r="E3492" t="s">
        <v>3372</v>
      </c>
      <c r="F3492" s="451">
        <v>46092</v>
      </c>
      <c r="G3492">
        <v>25237</v>
      </c>
      <c r="H3492" t="s">
        <v>5143</v>
      </c>
      <c r="I3492" t="s">
        <v>5191</v>
      </c>
      <c r="J3492">
        <v>20</v>
      </c>
      <c r="K3492" t="s">
        <v>4738</v>
      </c>
      <c r="L3492">
        <v>106.8</v>
      </c>
      <c r="M3492">
        <v>5.34</v>
      </c>
      <c r="N3492" t="s">
        <v>5191</v>
      </c>
      <c r="O3492" t="s">
        <v>461</v>
      </c>
    </row>
    <row r="3493" spans="1:15" x14ac:dyDescent="0.3">
      <c r="A3493">
        <v>216947</v>
      </c>
      <c r="B3493">
        <v>105</v>
      </c>
      <c r="C3493" t="s">
        <v>557</v>
      </c>
      <c r="D3493" t="s">
        <v>2571</v>
      </c>
      <c r="E3493" t="s">
        <v>3372</v>
      </c>
      <c r="F3493" s="451">
        <v>46092</v>
      </c>
      <c r="G3493">
        <v>19906</v>
      </c>
      <c r="H3493" t="s">
        <v>5159</v>
      </c>
      <c r="I3493" t="s">
        <v>5191</v>
      </c>
      <c r="J3493">
        <v>1</v>
      </c>
      <c r="K3493" t="s">
        <v>4738</v>
      </c>
      <c r="L3493">
        <v>36.299999999999997</v>
      </c>
      <c r="M3493">
        <v>36.299999999999997</v>
      </c>
      <c r="N3493" t="s">
        <v>5191</v>
      </c>
      <c r="O3493" t="s">
        <v>461</v>
      </c>
    </row>
    <row r="3494" spans="1:15" x14ac:dyDescent="0.3">
      <c r="A3494">
        <v>216946</v>
      </c>
      <c r="B3494">
        <v>105</v>
      </c>
      <c r="C3494" t="s">
        <v>557</v>
      </c>
      <c r="D3494" t="s">
        <v>1786</v>
      </c>
      <c r="E3494" t="s">
        <v>3373</v>
      </c>
      <c r="F3494" s="451">
        <v>46092</v>
      </c>
      <c r="G3494">
        <v>19434</v>
      </c>
      <c r="H3494" t="s">
        <v>5078</v>
      </c>
      <c r="I3494" t="s">
        <v>5191</v>
      </c>
      <c r="J3494">
        <v>2</v>
      </c>
      <c r="K3494" t="s">
        <v>5242</v>
      </c>
      <c r="L3494">
        <v>42.84</v>
      </c>
      <c r="M3494">
        <v>21.42</v>
      </c>
      <c r="N3494" t="s">
        <v>5272</v>
      </c>
      <c r="O3494" t="s">
        <v>461</v>
      </c>
    </row>
    <row r="3495" spans="1:15" x14ac:dyDescent="0.3">
      <c r="A3495">
        <v>216946</v>
      </c>
      <c r="B3495">
        <v>105</v>
      </c>
      <c r="C3495" t="s">
        <v>557</v>
      </c>
      <c r="D3495" t="s">
        <v>1786</v>
      </c>
      <c r="E3495" t="s">
        <v>3373</v>
      </c>
      <c r="F3495" s="451">
        <v>46092</v>
      </c>
      <c r="G3495">
        <v>17838</v>
      </c>
      <c r="H3495" t="s">
        <v>4925</v>
      </c>
      <c r="I3495" t="s">
        <v>5222</v>
      </c>
      <c r="J3495">
        <v>3</v>
      </c>
      <c r="K3495" t="s">
        <v>4736</v>
      </c>
      <c r="L3495">
        <v>27.6</v>
      </c>
      <c r="M3495">
        <v>9.1999999999999993</v>
      </c>
      <c r="N3495" t="s">
        <v>5272</v>
      </c>
      <c r="O3495" t="s">
        <v>461</v>
      </c>
    </row>
    <row r="3496" spans="1:15" x14ac:dyDescent="0.3">
      <c r="A3496">
        <v>216946</v>
      </c>
      <c r="B3496">
        <v>105</v>
      </c>
      <c r="C3496" t="s">
        <v>557</v>
      </c>
      <c r="D3496" t="s">
        <v>1786</v>
      </c>
      <c r="E3496" t="s">
        <v>3373</v>
      </c>
      <c r="F3496" s="451">
        <v>46092</v>
      </c>
      <c r="G3496">
        <v>19415</v>
      </c>
      <c r="H3496" t="s">
        <v>4919</v>
      </c>
      <c r="I3496" t="s">
        <v>5191</v>
      </c>
      <c r="J3496">
        <v>3</v>
      </c>
      <c r="K3496" t="s">
        <v>4736</v>
      </c>
      <c r="L3496">
        <v>26.37</v>
      </c>
      <c r="M3496">
        <v>8.7899999999999991</v>
      </c>
      <c r="N3496" t="s">
        <v>5272</v>
      </c>
      <c r="O3496" t="s">
        <v>461</v>
      </c>
    </row>
    <row r="3497" spans="1:15" x14ac:dyDescent="0.3">
      <c r="A3497">
        <v>216946</v>
      </c>
      <c r="B3497">
        <v>105</v>
      </c>
      <c r="C3497" t="s">
        <v>557</v>
      </c>
      <c r="D3497" t="s">
        <v>1786</v>
      </c>
      <c r="E3497" t="s">
        <v>3373</v>
      </c>
      <c r="F3497" s="451">
        <v>46092</v>
      </c>
      <c r="G3497">
        <v>20657</v>
      </c>
      <c r="H3497" t="s">
        <v>5109</v>
      </c>
      <c r="I3497" t="s">
        <v>5191</v>
      </c>
      <c r="J3497">
        <v>6</v>
      </c>
      <c r="K3497" t="s">
        <v>5206</v>
      </c>
      <c r="L3497">
        <v>37.799999999999997</v>
      </c>
      <c r="M3497">
        <v>6.3</v>
      </c>
      <c r="N3497" t="s">
        <v>5272</v>
      </c>
      <c r="O3497" t="s">
        <v>461</v>
      </c>
    </row>
    <row r="3498" spans="1:15" x14ac:dyDescent="0.3">
      <c r="A3498">
        <v>216946</v>
      </c>
      <c r="B3498">
        <v>105</v>
      </c>
      <c r="C3498" t="s">
        <v>557</v>
      </c>
      <c r="D3498" t="s">
        <v>1786</v>
      </c>
      <c r="E3498" t="s">
        <v>3373</v>
      </c>
      <c r="F3498" s="451">
        <v>46092</v>
      </c>
      <c r="G3498">
        <v>21021</v>
      </c>
      <c r="H3498" t="s">
        <v>4883</v>
      </c>
      <c r="I3498" t="s">
        <v>5191</v>
      </c>
      <c r="J3498">
        <v>4</v>
      </c>
      <c r="K3498" t="s">
        <v>4736</v>
      </c>
      <c r="L3498">
        <v>703.24</v>
      </c>
      <c r="M3498">
        <v>175.81</v>
      </c>
      <c r="N3498" t="s">
        <v>5272</v>
      </c>
      <c r="O3498" t="s">
        <v>461</v>
      </c>
    </row>
    <row r="3499" spans="1:15" x14ac:dyDescent="0.3">
      <c r="A3499">
        <v>216946</v>
      </c>
      <c r="B3499">
        <v>105</v>
      </c>
      <c r="C3499" t="s">
        <v>557</v>
      </c>
      <c r="D3499" t="s">
        <v>1786</v>
      </c>
      <c r="E3499" t="s">
        <v>3373</v>
      </c>
      <c r="F3499" s="451">
        <v>46092</v>
      </c>
      <c r="G3499">
        <v>19322</v>
      </c>
      <c r="H3499" t="s">
        <v>4830</v>
      </c>
      <c r="I3499" t="s">
        <v>5191</v>
      </c>
      <c r="J3499">
        <v>12</v>
      </c>
      <c r="K3499" t="s">
        <v>4744</v>
      </c>
      <c r="L3499">
        <v>476.52</v>
      </c>
      <c r="M3499">
        <v>39.71</v>
      </c>
      <c r="N3499" t="s">
        <v>5272</v>
      </c>
      <c r="O3499" t="s">
        <v>461</v>
      </c>
    </row>
    <row r="3500" spans="1:15" x14ac:dyDescent="0.3">
      <c r="A3500">
        <v>216946</v>
      </c>
      <c r="B3500">
        <v>105</v>
      </c>
      <c r="C3500" t="s">
        <v>557</v>
      </c>
      <c r="D3500" t="s">
        <v>1786</v>
      </c>
      <c r="E3500" t="s">
        <v>3373</v>
      </c>
      <c r="F3500" s="451">
        <v>46092</v>
      </c>
      <c r="G3500">
        <v>19439</v>
      </c>
      <c r="H3500" t="s">
        <v>4917</v>
      </c>
      <c r="I3500" t="s">
        <v>5191</v>
      </c>
      <c r="J3500">
        <v>3</v>
      </c>
      <c r="K3500" t="s">
        <v>4738</v>
      </c>
      <c r="L3500">
        <v>97.44</v>
      </c>
      <c r="M3500">
        <v>32.479999999999997</v>
      </c>
      <c r="N3500" t="s">
        <v>5272</v>
      </c>
      <c r="O3500" t="s">
        <v>461</v>
      </c>
    </row>
    <row r="3501" spans="1:15" x14ac:dyDescent="0.3">
      <c r="A3501">
        <v>216946</v>
      </c>
      <c r="B3501">
        <v>105</v>
      </c>
      <c r="C3501" t="s">
        <v>557</v>
      </c>
      <c r="D3501" t="s">
        <v>1786</v>
      </c>
      <c r="E3501" t="s">
        <v>3373</v>
      </c>
      <c r="F3501" s="451">
        <v>46092</v>
      </c>
      <c r="G3501">
        <v>23785</v>
      </c>
      <c r="H3501" t="s">
        <v>4858</v>
      </c>
      <c r="I3501" t="s">
        <v>5191</v>
      </c>
      <c r="J3501">
        <v>6</v>
      </c>
      <c r="K3501" t="s">
        <v>4744</v>
      </c>
      <c r="L3501">
        <v>173.4</v>
      </c>
      <c r="M3501">
        <v>28.9</v>
      </c>
      <c r="N3501" t="s">
        <v>5272</v>
      </c>
      <c r="O3501" t="s">
        <v>461</v>
      </c>
    </row>
    <row r="3502" spans="1:15" x14ac:dyDescent="0.3">
      <c r="A3502">
        <v>216945</v>
      </c>
      <c r="B3502">
        <v>105</v>
      </c>
      <c r="C3502" t="s">
        <v>557</v>
      </c>
      <c r="D3502" t="s">
        <v>836</v>
      </c>
      <c r="E3502" t="s">
        <v>1907</v>
      </c>
      <c r="F3502" s="451">
        <v>46090</v>
      </c>
      <c r="G3502">
        <v>17212</v>
      </c>
      <c r="H3502" t="s">
        <v>5322</v>
      </c>
      <c r="I3502" t="s">
        <v>5188</v>
      </c>
      <c r="J3502">
        <v>1</v>
      </c>
      <c r="K3502" t="s">
        <v>5265</v>
      </c>
      <c r="L3502">
        <v>230</v>
      </c>
      <c r="M3502">
        <v>230</v>
      </c>
      <c r="N3502" t="s">
        <v>5277</v>
      </c>
      <c r="O3502" t="s">
        <v>461</v>
      </c>
    </row>
    <row r="3503" spans="1:15" x14ac:dyDescent="0.3">
      <c r="A3503">
        <v>216945</v>
      </c>
      <c r="B3503">
        <v>105</v>
      </c>
      <c r="C3503" t="s">
        <v>557</v>
      </c>
      <c r="D3503" t="s">
        <v>836</v>
      </c>
      <c r="E3503" t="s">
        <v>1907</v>
      </c>
      <c r="F3503" s="451">
        <v>46090</v>
      </c>
      <c r="G3503">
        <v>17205</v>
      </c>
      <c r="H3503" t="s">
        <v>5264</v>
      </c>
      <c r="I3503" t="s">
        <v>5188</v>
      </c>
      <c r="J3503">
        <v>1</v>
      </c>
      <c r="K3503" t="s">
        <v>5265</v>
      </c>
      <c r="L3503">
        <v>170</v>
      </c>
      <c r="M3503">
        <v>170</v>
      </c>
      <c r="N3503" t="s">
        <v>5277</v>
      </c>
      <c r="O3503" t="s">
        <v>461</v>
      </c>
    </row>
    <row r="3504" spans="1:15" x14ac:dyDescent="0.3">
      <c r="A3504">
        <v>216944</v>
      </c>
      <c r="B3504">
        <v>105</v>
      </c>
      <c r="C3504" t="s">
        <v>557</v>
      </c>
      <c r="D3504" t="s">
        <v>2716</v>
      </c>
      <c r="E3504" t="s">
        <v>3374</v>
      </c>
      <c r="F3504" s="451">
        <v>46090</v>
      </c>
      <c r="G3504">
        <v>24351</v>
      </c>
      <c r="H3504" t="s">
        <v>5014</v>
      </c>
      <c r="I3504" t="s">
        <v>5191</v>
      </c>
      <c r="J3504">
        <v>20</v>
      </c>
      <c r="K3504" t="s">
        <v>4744</v>
      </c>
      <c r="L3504">
        <v>240</v>
      </c>
      <c r="M3504">
        <v>12</v>
      </c>
      <c r="N3504" t="s">
        <v>5272</v>
      </c>
      <c r="O3504" t="s">
        <v>461</v>
      </c>
    </row>
    <row r="3505" spans="1:15" x14ac:dyDescent="0.3">
      <c r="A3505">
        <v>216943</v>
      </c>
      <c r="B3505">
        <v>105</v>
      </c>
      <c r="C3505" t="s">
        <v>557</v>
      </c>
      <c r="D3505" t="s">
        <v>2579</v>
      </c>
      <c r="E3505" t="s">
        <v>3375</v>
      </c>
      <c r="F3505" s="451">
        <v>46091</v>
      </c>
      <c r="G3505">
        <v>24522</v>
      </c>
      <c r="H3505" t="s">
        <v>5072</v>
      </c>
      <c r="I3505" t="s">
        <v>5191</v>
      </c>
      <c r="J3505">
        <v>1</v>
      </c>
      <c r="K3505" t="s">
        <v>4744</v>
      </c>
      <c r="L3505">
        <v>23</v>
      </c>
      <c r="M3505">
        <v>23</v>
      </c>
      <c r="N3505" t="s">
        <v>5191</v>
      </c>
      <c r="O3505" t="s">
        <v>461</v>
      </c>
    </row>
    <row r="3506" spans="1:15" x14ac:dyDescent="0.3">
      <c r="A3506">
        <v>216943</v>
      </c>
      <c r="B3506">
        <v>105</v>
      </c>
      <c r="C3506" t="s">
        <v>557</v>
      </c>
      <c r="D3506" t="s">
        <v>2579</v>
      </c>
      <c r="E3506" t="s">
        <v>3375</v>
      </c>
      <c r="F3506" s="451">
        <v>46091</v>
      </c>
      <c r="G3506">
        <v>19737</v>
      </c>
      <c r="H3506" t="s">
        <v>4940</v>
      </c>
      <c r="I3506" t="s">
        <v>5191</v>
      </c>
      <c r="J3506">
        <v>2.2000000000000002</v>
      </c>
      <c r="K3506" t="s">
        <v>4744</v>
      </c>
      <c r="L3506">
        <v>13.75</v>
      </c>
      <c r="M3506">
        <v>6.25</v>
      </c>
      <c r="N3506" t="s">
        <v>5191</v>
      </c>
      <c r="O3506" t="s">
        <v>461</v>
      </c>
    </row>
    <row r="3507" spans="1:15" x14ac:dyDescent="0.3">
      <c r="A3507">
        <v>216943</v>
      </c>
      <c r="B3507">
        <v>105</v>
      </c>
      <c r="C3507" t="s">
        <v>557</v>
      </c>
      <c r="D3507" t="s">
        <v>2579</v>
      </c>
      <c r="E3507" t="s">
        <v>3375</v>
      </c>
      <c r="F3507" s="451">
        <v>46091</v>
      </c>
      <c r="G3507">
        <v>24598</v>
      </c>
      <c r="H3507" t="s">
        <v>4852</v>
      </c>
      <c r="I3507" t="s">
        <v>5191</v>
      </c>
      <c r="J3507">
        <v>1</v>
      </c>
      <c r="K3507" t="s">
        <v>4744</v>
      </c>
      <c r="L3507">
        <v>12.5</v>
      </c>
      <c r="M3507">
        <v>12.5</v>
      </c>
      <c r="N3507" t="s">
        <v>5191</v>
      </c>
      <c r="O3507" t="s">
        <v>461</v>
      </c>
    </row>
    <row r="3508" spans="1:15" x14ac:dyDescent="0.3">
      <c r="A3508">
        <v>216943</v>
      </c>
      <c r="B3508">
        <v>105</v>
      </c>
      <c r="C3508" t="s">
        <v>557</v>
      </c>
      <c r="D3508" t="s">
        <v>2579</v>
      </c>
      <c r="E3508" t="s">
        <v>3375</v>
      </c>
      <c r="F3508" s="451">
        <v>46091</v>
      </c>
      <c r="G3508">
        <v>19635</v>
      </c>
      <c r="H3508" t="s">
        <v>4786</v>
      </c>
      <c r="I3508" t="s">
        <v>5191</v>
      </c>
      <c r="J3508">
        <v>5</v>
      </c>
      <c r="K3508" t="s">
        <v>4744</v>
      </c>
      <c r="L3508">
        <v>25</v>
      </c>
      <c r="M3508">
        <v>5</v>
      </c>
      <c r="N3508" t="s">
        <v>5191</v>
      </c>
      <c r="O3508" t="s">
        <v>461</v>
      </c>
    </row>
    <row r="3509" spans="1:15" x14ac:dyDescent="0.3">
      <c r="A3509">
        <v>216943</v>
      </c>
      <c r="B3509">
        <v>105</v>
      </c>
      <c r="C3509" t="s">
        <v>557</v>
      </c>
      <c r="D3509" t="s">
        <v>2579</v>
      </c>
      <c r="E3509" t="s">
        <v>3375</v>
      </c>
      <c r="F3509" s="451">
        <v>46091</v>
      </c>
      <c r="G3509">
        <v>20224</v>
      </c>
      <c r="H3509" t="s">
        <v>5118</v>
      </c>
      <c r="I3509" t="s">
        <v>5191</v>
      </c>
      <c r="J3509">
        <v>0.5</v>
      </c>
      <c r="K3509" t="s">
        <v>4744</v>
      </c>
      <c r="L3509">
        <v>26</v>
      </c>
      <c r="M3509">
        <v>52</v>
      </c>
      <c r="N3509" t="s">
        <v>5191</v>
      </c>
      <c r="O3509" t="s">
        <v>461</v>
      </c>
    </row>
    <row r="3510" spans="1:15" x14ac:dyDescent="0.3">
      <c r="A3510">
        <v>216943</v>
      </c>
      <c r="B3510">
        <v>105</v>
      </c>
      <c r="C3510" t="s">
        <v>557</v>
      </c>
      <c r="D3510" t="s">
        <v>2579</v>
      </c>
      <c r="E3510" t="s">
        <v>3375</v>
      </c>
      <c r="F3510" s="451">
        <v>46091</v>
      </c>
      <c r="G3510">
        <v>23184</v>
      </c>
      <c r="H3510" t="s">
        <v>4935</v>
      </c>
      <c r="I3510" t="s">
        <v>5191</v>
      </c>
      <c r="J3510">
        <v>2</v>
      </c>
      <c r="K3510" t="s">
        <v>4744</v>
      </c>
      <c r="L3510">
        <v>22.5</v>
      </c>
      <c r="M3510">
        <v>11.25</v>
      </c>
      <c r="N3510" t="s">
        <v>5191</v>
      </c>
      <c r="O3510" t="s">
        <v>461</v>
      </c>
    </row>
    <row r="3511" spans="1:15" x14ac:dyDescent="0.3">
      <c r="A3511">
        <v>216941</v>
      </c>
      <c r="B3511">
        <v>105</v>
      </c>
      <c r="C3511" t="s">
        <v>557</v>
      </c>
      <c r="D3511" t="s">
        <v>2579</v>
      </c>
      <c r="E3511" t="s">
        <v>3376</v>
      </c>
      <c r="F3511" s="451">
        <v>46086</v>
      </c>
      <c r="G3511">
        <v>19634</v>
      </c>
      <c r="H3511" t="s">
        <v>4792</v>
      </c>
      <c r="I3511" t="s">
        <v>5191</v>
      </c>
      <c r="J3511">
        <v>2</v>
      </c>
      <c r="K3511" t="s">
        <v>4744</v>
      </c>
      <c r="L3511">
        <v>19.5</v>
      </c>
      <c r="M3511">
        <v>9.75</v>
      </c>
      <c r="N3511" t="s">
        <v>5272</v>
      </c>
      <c r="O3511" t="s">
        <v>461</v>
      </c>
    </row>
    <row r="3512" spans="1:15" x14ac:dyDescent="0.3">
      <c r="A3512">
        <v>216941</v>
      </c>
      <c r="B3512">
        <v>105</v>
      </c>
      <c r="C3512" t="s">
        <v>557</v>
      </c>
      <c r="D3512" t="s">
        <v>2579</v>
      </c>
      <c r="E3512" t="s">
        <v>3376</v>
      </c>
      <c r="F3512" s="451">
        <v>46086</v>
      </c>
      <c r="G3512">
        <v>19654</v>
      </c>
      <c r="H3512" t="s">
        <v>5099</v>
      </c>
      <c r="I3512" t="s">
        <v>5191</v>
      </c>
      <c r="J3512">
        <v>6</v>
      </c>
      <c r="K3512" t="s">
        <v>4744</v>
      </c>
      <c r="L3512">
        <v>44.28</v>
      </c>
      <c r="M3512">
        <v>7.38</v>
      </c>
      <c r="N3512" t="s">
        <v>5272</v>
      </c>
      <c r="O3512" t="s">
        <v>461</v>
      </c>
    </row>
    <row r="3513" spans="1:15" x14ac:dyDescent="0.3">
      <c r="A3513">
        <v>216941</v>
      </c>
      <c r="B3513">
        <v>105</v>
      </c>
      <c r="C3513" t="s">
        <v>557</v>
      </c>
      <c r="D3513" t="s">
        <v>2579</v>
      </c>
      <c r="E3513" t="s">
        <v>3376</v>
      </c>
      <c r="F3513" s="451">
        <v>46086</v>
      </c>
      <c r="G3513">
        <v>24598</v>
      </c>
      <c r="H3513" t="s">
        <v>4852</v>
      </c>
      <c r="I3513" t="s">
        <v>5191</v>
      </c>
      <c r="J3513">
        <v>1</v>
      </c>
      <c r="K3513" t="s">
        <v>4744</v>
      </c>
      <c r="L3513">
        <v>12.5</v>
      </c>
      <c r="M3513">
        <v>12.5</v>
      </c>
      <c r="N3513" t="s">
        <v>5272</v>
      </c>
      <c r="O3513" t="s">
        <v>461</v>
      </c>
    </row>
    <row r="3514" spans="1:15" x14ac:dyDescent="0.3">
      <c r="A3514">
        <v>216941</v>
      </c>
      <c r="B3514">
        <v>105</v>
      </c>
      <c r="C3514" t="s">
        <v>557</v>
      </c>
      <c r="D3514" t="s">
        <v>2579</v>
      </c>
      <c r="E3514" t="s">
        <v>3376</v>
      </c>
      <c r="F3514" s="451">
        <v>46086</v>
      </c>
      <c r="G3514">
        <v>19635</v>
      </c>
      <c r="H3514" t="s">
        <v>4786</v>
      </c>
      <c r="I3514" t="s">
        <v>5191</v>
      </c>
      <c r="J3514">
        <v>5</v>
      </c>
      <c r="K3514" t="s">
        <v>4744</v>
      </c>
      <c r="L3514">
        <v>32.5</v>
      </c>
      <c r="M3514">
        <v>6.5</v>
      </c>
      <c r="N3514" t="s">
        <v>5272</v>
      </c>
      <c r="O3514" t="s">
        <v>461</v>
      </c>
    </row>
    <row r="3515" spans="1:15" x14ac:dyDescent="0.3">
      <c r="A3515">
        <v>216941</v>
      </c>
      <c r="B3515">
        <v>105</v>
      </c>
      <c r="C3515" t="s">
        <v>557</v>
      </c>
      <c r="D3515" t="s">
        <v>2579</v>
      </c>
      <c r="E3515" t="s">
        <v>3376</v>
      </c>
      <c r="F3515" s="451">
        <v>46086</v>
      </c>
      <c r="G3515">
        <v>23234</v>
      </c>
      <c r="H3515" t="s">
        <v>4986</v>
      </c>
      <c r="I3515" t="s">
        <v>5191</v>
      </c>
      <c r="J3515">
        <v>1</v>
      </c>
      <c r="K3515" t="s">
        <v>4744</v>
      </c>
      <c r="L3515">
        <v>23</v>
      </c>
      <c r="M3515">
        <v>23</v>
      </c>
      <c r="N3515" t="s">
        <v>5272</v>
      </c>
      <c r="O3515" t="s">
        <v>461</v>
      </c>
    </row>
    <row r="3516" spans="1:15" x14ac:dyDescent="0.3">
      <c r="A3516">
        <v>216941</v>
      </c>
      <c r="B3516">
        <v>105</v>
      </c>
      <c r="C3516" t="s">
        <v>557</v>
      </c>
      <c r="D3516" t="s">
        <v>2579</v>
      </c>
      <c r="E3516" t="s">
        <v>3376</v>
      </c>
      <c r="F3516" s="451">
        <v>46086</v>
      </c>
      <c r="G3516">
        <v>23335</v>
      </c>
      <c r="H3516" t="s">
        <v>4961</v>
      </c>
      <c r="I3516" t="s">
        <v>5191</v>
      </c>
      <c r="J3516">
        <v>0.9</v>
      </c>
      <c r="K3516" t="s">
        <v>4744</v>
      </c>
      <c r="L3516">
        <v>22.5</v>
      </c>
      <c r="M3516">
        <v>25</v>
      </c>
      <c r="N3516" t="s">
        <v>5272</v>
      </c>
      <c r="O3516" t="s">
        <v>461</v>
      </c>
    </row>
    <row r="3517" spans="1:15" x14ac:dyDescent="0.3">
      <c r="A3517">
        <v>216940</v>
      </c>
      <c r="B3517">
        <v>105</v>
      </c>
      <c r="C3517" t="s">
        <v>557</v>
      </c>
      <c r="D3517" t="s">
        <v>2565</v>
      </c>
      <c r="E3517" t="s">
        <v>3377</v>
      </c>
      <c r="F3517" s="451">
        <v>46091</v>
      </c>
      <c r="G3517">
        <v>18172</v>
      </c>
      <c r="H3517" t="s">
        <v>4804</v>
      </c>
      <c r="I3517" t="s">
        <v>5222</v>
      </c>
      <c r="J3517">
        <v>5</v>
      </c>
      <c r="K3517" t="s">
        <v>4805</v>
      </c>
      <c r="L3517">
        <v>157.1</v>
      </c>
      <c r="M3517">
        <v>31.42</v>
      </c>
      <c r="N3517" t="s">
        <v>5374</v>
      </c>
      <c r="O3517" t="s">
        <v>461</v>
      </c>
    </row>
    <row r="3518" spans="1:15" x14ac:dyDescent="0.3">
      <c r="A3518">
        <v>216939</v>
      </c>
      <c r="B3518">
        <v>105</v>
      </c>
      <c r="C3518" t="s">
        <v>557</v>
      </c>
      <c r="D3518" t="s">
        <v>2792</v>
      </c>
      <c r="E3518" t="s">
        <v>3378</v>
      </c>
      <c r="F3518" s="451">
        <v>46090</v>
      </c>
      <c r="G3518">
        <v>18735</v>
      </c>
      <c r="H3518" t="s">
        <v>4891</v>
      </c>
      <c r="I3518" t="s">
        <v>5191</v>
      </c>
      <c r="J3518">
        <v>5.35</v>
      </c>
      <c r="K3518" t="s">
        <v>4744</v>
      </c>
      <c r="L3518">
        <v>588.5</v>
      </c>
      <c r="M3518">
        <v>110</v>
      </c>
      <c r="N3518" t="s">
        <v>5272</v>
      </c>
      <c r="O3518" t="s">
        <v>461</v>
      </c>
    </row>
    <row r="3519" spans="1:15" x14ac:dyDescent="0.3">
      <c r="A3519">
        <v>216936</v>
      </c>
      <c r="B3519">
        <v>105</v>
      </c>
      <c r="C3519" t="s">
        <v>557</v>
      </c>
      <c r="D3519" t="s">
        <v>2600</v>
      </c>
      <c r="E3519" t="s">
        <v>2328</v>
      </c>
      <c r="F3519" s="451">
        <v>46092</v>
      </c>
      <c r="G3519">
        <v>24403</v>
      </c>
      <c r="H3519" t="s">
        <v>5149</v>
      </c>
      <c r="I3519" t="s">
        <v>5191</v>
      </c>
      <c r="J3519">
        <v>3</v>
      </c>
      <c r="K3519" t="s">
        <v>4744</v>
      </c>
      <c r="L3519">
        <v>38.97</v>
      </c>
      <c r="M3519">
        <v>12.99</v>
      </c>
      <c r="N3519" t="s">
        <v>5191</v>
      </c>
      <c r="O3519" t="s">
        <v>461</v>
      </c>
    </row>
    <row r="3520" spans="1:15" x14ac:dyDescent="0.3">
      <c r="A3520">
        <v>216936</v>
      </c>
      <c r="B3520">
        <v>105</v>
      </c>
      <c r="C3520" t="s">
        <v>557</v>
      </c>
      <c r="D3520" t="s">
        <v>2600</v>
      </c>
      <c r="E3520" t="s">
        <v>2328</v>
      </c>
      <c r="F3520" s="451">
        <v>46092</v>
      </c>
      <c r="G3520">
        <v>24199</v>
      </c>
      <c r="H3520" t="s">
        <v>4783</v>
      </c>
      <c r="I3520" t="s">
        <v>5191</v>
      </c>
      <c r="J3520">
        <v>5</v>
      </c>
      <c r="K3520" t="s">
        <v>4744</v>
      </c>
      <c r="L3520">
        <v>99.95</v>
      </c>
      <c r="M3520">
        <v>19.989999999999998</v>
      </c>
      <c r="N3520" t="s">
        <v>5191</v>
      </c>
      <c r="O3520" t="s">
        <v>461</v>
      </c>
    </row>
    <row r="3521" spans="1:15" x14ac:dyDescent="0.3">
      <c r="A3521">
        <v>216934</v>
      </c>
      <c r="B3521">
        <v>105</v>
      </c>
      <c r="C3521" t="s">
        <v>557</v>
      </c>
      <c r="D3521" t="s">
        <v>2563</v>
      </c>
      <c r="E3521" t="s">
        <v>3379</v>
      </c>
      <c r="F3521" s="451">
        <v>46084</v>
      </c>
      <c r="G3521">
        <v>19589</v>
      </c>
      <c r="H3521" t="s">
        <v>4983</v>
      </c>
      <c r="I3521" t="s">
        <v>5191</v>
      </c>
      <c r="J3521">
        <v>1.8</v>
      </c>
      <c r="K3521" t="s">
        <v>4744</v>
      </c>
      <c r="L3521">
        <v>10.039999999999999</v>
      </c>
      <c r="M3521">
        <v>5.5777780000000003</v>
      </c>
      <c r="N3521" t="s">
        <v>5272</v>
      </c>
      <c r="O3521" t="s">
        <v>461</v>
      </c>
    </row>
    <row r="3522" spans="1:15" x14ac:dyDescent="0.3">
      <c r="A3522">
        <v>216934</v>
      </c>
      <c r="B3522">
        <v>105</v>
      </c>
      <c r="C3522" t="s">
        <v>557</v>
      </c>
      <c r="D3522" t="s">
        <v>2563</v>
      </c>
      <c r="E3522" t="s">
        <v>3379</v>
      </c>
      <c r="F3522" s="451">
        <v>46084</v>
      </c>
      <c r="G3522">
        <v>19572</v>
      </c>
      <c r="H3522" t="s">
        <v>4989</v>
      </c>
      <c r="I3522" t="s">
        <v>5191</v>
      </c>
      <c r="J3522">
        <v>1.81</v>
      </c>
      <c r="K3522" t="s">
        <v>4744</v>
      </c>
      <c r="L3522">
        <v>34.119999999999997</v>
      </c>
      <c r="M3522">
        <v>18.850829000000001</v>
      </c>
      <c r="N3522" t="s">
        <v>5272</v>
      </c>
      <c r="O3522" t="s">
        <v>461</v>
      </c>
    </row>
    <row r="3523" spans="1:15" x14ac:dyDescent="0.3">
      <c r="A3523">
        <v>216934</v>
      </c>
      <c r="B3523">
        <v>105</v>
      </c>
      <c r="C3523" t="s">
        <v>557</v>
      </c>
      <c r="D3523" t="s">
        <v>2563</v>
      </c>
      <c r="E3523" t="s">
        <v>3379</v>
      </c>
      <c r="F3523" s="451">
        <v>46084</v>
      </c>
      <c r="G3523">
        <v>19553</v>
      </c>
      <c r="H3523" t="s">
        <v>4868</v>
      </c>
      <c r="I3523" t="s">
        <v>5191</v>
      </c>
      <c r="J3523">
        <v>1.4</v>
      </c>
      <c r="K3523" t="s">
        <v>4744</v>
      </c>
      <c r="L3523">
        <v>7.11</v>
      </c>
      <c r="M3523">
        <v>5.0785710000000002</v>
      </c>
      <c r="N3523" t="s">
        <v>5272</v>
      </c>
      <c r="O3523" t="s">
        <v>461</v>
      </c>
    </row>
    <row r="3524" spans="1:15" x14ac:dyDescent="0.3">
      <c r="A3524">
        <v>216934</v>
      </c>
      <c r="B3524">
        <v>105</v>
      </c>
      <c r="C3524" t="s">
        <v>557</v>
      </c>
      <c r="D3524" t="s">
        <v>2563</v>
      </c>
      <c r="E3524" t="s">
        <v>3379</v>
      </c>
      <c r="F3524" s="451">
        <v>46084</v>
      </c>
      <c r="G3524">
        <v>19490</v>
      </c>
      <c r="H3524" t="s">
        <v>5116</v>
      </c>
      <c r="I3524" t="s">
        <v>5191</v>
      </c>
      <c r="J3524">
        <v>0.4</v>
      </c>
      <c r="K3524" t="s">
        <v>4744</v>
      </c>
      <c r="L3524">
        <v>28.05</v>
      </c>
      <c r="M3524">
        <v>70.125</v>
      </c>
      <c r="N3524" t="s">
        <v>5272</v>
      </c>
      <c r="O3524" t="s">
        <v>461</v>
      </c>
    </row>
    <row r="3525" spans="1:15" x14ac:dyDescent="0.3">
      <c r="A3525">
        <v>216933</v>
      </c>
      <c r="B3525">
        <v>105</v>
      </c>
      <c r="C3525" t="s">
        <v>557</v>
      </c>
      <c r="D3525" t="s">
        <v>2563</v>
      </c>
      <c r="E3525" t="s">
        <v>3380</v>
      </c>
      <c r="F3525" s="451">
        <v>46085</v>
      </c>
      <c r="G3525">
        <v>24083</v>
      </c>
      <c r="H3525" t="s">
        <v>5165</v>
      </c>
      <c r="I3525" t="s">
        <v>5191</v>
      </c>
      <c r="J3525">
        <v>30</v>
      </c>
      <c r="K3525" t="s">
        <v>4744</v>
      </c>
      <c r="L3525">
        <v>128.4</v>
      </c>
      <c r="M3525">
        <v>4.28</v>
      </c>
      <c r="N3525" t="s">
        <v>5272</v>
      </c>
      <c r="O3525" t="s">
        <v>461</v>
      </c>
    </row>
    <row r="3526" spans="1:15" x14ac:dyDescent="0.3">
      <c r="A3526">
        <v>216933</v>
      </c>
      <c r="B3526">
        <v>105</v>
      </c>
      <c r="C3526" t="s">
        <v>557</v>
      </c>
      <c r="D3526" t="s">
        <v>2563</v>
      </c>
      <c r="E3526" t="s">
        <v>3380</v>
      </c>
      <c r="F3526" s="451">
        <v>46085</v>
      </c>
      <c r="G3526">
        <v>19589</v>
      </c>
      <c r="H3526" t="s">
        <v>4983</v>
      </c>
      <c r="I3526" t="s">
        <v>5191</v>
      </c>
      <c r="J3526">
        <v>4</v>
      </c>
      <c r="K3526" t="s">
        <v>4744</v>
      </c>
      <c r="L3526">
        <v>38</v>
      </c>
      <c r="M3526">
        <v>9.5</v>
      </c>
      <c r="N3526" t="s">
        <v>5272</v>
      </c>
      <c r="O3526" t="s">
        <v>461</v>
      </c>
    </row>
    <row r="3527" spans="1:15" x14ac:dyDescent="0.3">
      <c r="A3527">
        <v>216933</v>
      </c>
      <c r="B3527">
        <v>105</v>
      </c>
      <c r="C3527" t="s">
        <v>557</v>
      </c>
      <c r="D3527" t="s">
        <v>2563</v>
      </c>
      <c r="E3527" t="s">
        <v>3380</v>
      </c>
      <c r="F3527" s="451">
        <v>46085</v>
      </c>
      <c r="G3527">
        <v>19658</v>
      </c>
      <c r="H3527" t="s">
        <v>4784</v>
      </c>
      <c r="I3527" t="s">
        <v>5191</v>
      </c>
      <c r="J3527">
        <v>9</v>
      </c>
      <c r="K3527" t="s">
        <v>4744</v>
      </c>
      <c r="L3527">
        <v>26.1</v>
      </c>
      <c r="M3527">
        <v>2.9</v>
      </c>
      <c r="N3527" t="s">
        <v>5272</v>
      </c>
      <c r="O3527" t="s">
        <v>461</v>
      </c>
    </row>
    <row r="3528" spans="1:15" x14ac:dyDescent="0.3">
      <c r="A3528">
        <v>216933</v>
      </c>
      <c r="B3528">
        <v>105</v>
      </c>
      <c r="C3528" t="s">
        <v>557</v>
      </c>
      <c r="D3528" t="s">
        <v>2563</v>
      </c>
      <c r="E3528" t="s">
        <v>3380</v>
      </c>
      <c r="F3528" s="451">
        <v>46085</v>
      </c>
      <c r="G3528">
        <v>19555</v>
      </c>
      <c r="H3528" t="s">
        <v>4903</v>
      </c>
      <c r="I3528" t="s">
        <v>5191</v>
      </c>
      <c r="J3528">
        <v>1</v>
      </c>
      <c r="K3528" t="s">
        <v>4744</v>
      </c>
      <c r="L3528">
        <v>24.65</v>
      </c>
      <c r="M3528">
        <v>24.65</v>
      </c>
      <c r="N3528" t="s">
        <v>5272</v>
      </c>
      <c r="O3528" t="s">
        <v>461</v>
      </c>
    </row>
    <row r="3529" spans="1:15" x14ac:dyDescent="0.3">
      <c r="A3529">
        <v>216933</v>
      </c>
      <c r="B3529">
        <v>105</v>
      </c>
      <c r="C3529" t="s">
        <v>557</v>
      </c>
      <c r="D3529" t="s">
        <v>2563</v>
      </c>
      <c r="E3529" t="s">
        <v>3380</v>
      </c>
      <c r="F3529" s="451">
        <v>46085</v>
      </c>
      <c r="G3529">
        <v>19742</v>
      </c>
      <c r="H3529" t="s">
        <v>4900</v>
      </c>
      <c r="I3529" t="s">
        <v>5191</v>
      </c>
      <c r="J3529">
        <v>1</v>
      </c>
      <c r="K3529" t="s">
        <v>4744</v>
      </c>
      <c r="L3529">
        <v>12.4</v>
      </c>
      <c r="M3529">
        <v>12.4</v>
      </c>
      <c r="N3529" t="s">
        <v>5272</v>
      </c>
      <c r="O3529" t="s">
        <v>461</v>
      </c>
    </row>
    <row r="3530" spans="1:15" x14ac:dyDescent="0.3">
      <c r="A3530">
        <v>216933</v>
      </c>
      <c r="B3530">
        <v>105</v>
      </c>
      <c r="C3530" t="s">
        <v>557</v>
      </c>
      <c r="D3530" t="s">
        <v>2563</v>
      </c>
      <c r="E3530" t="s">
        <v>3380</v>
      </c>
      <c r="F3530" s="451">
        <v>46085</v>
      </c>
      <c r="G3530">
        <v>19751</v>
      </c>
      <c r="H3530" t="s">
        <v>4800</v>
      </c>
      <c r="I3530" t="s">
        <v>5191</v>
      </c>
      <c r="J3530">
        <v>3</v>
      </c>
      <c r="K3530" t="s">
        <v>4744</v>
      </c>
      <c r="L3530">
        <v>37.619999999999997</v>
      </c>
      <c r="M3530">
        <v>12.54</v>
      </c>
      <c r="N3530" t="s">
        <v>5272</v>
      </c>
      <c r="O3530" t="s">
        <v>461</v>
      </c>
    </row>
    <row r="3531" spans="1:15" x14ac:dyDescent="0.3">
      <c r="A3531">
        <v>216933</v>
      </c>
      <c r="B3531">
        <v>105</v>
      </c>
      <c r="C3531" t="s">
        <v>557</v>
      </c>
      <c r="D3531" t="s">
        <v>2563</v>
      </c>
      <c r="E3531" t="s">
        <v>3380</v>
      </c>
      <c r="F3531" s="451">
        <v>46085</v>
      </c>
      <c r="G3531">
        <v>19553</v>
      </c>
      <c r="H3531" t="s">
        <v>4868</v>
      </c>
      <c r="I3531" t="s">
        <v>5191</v>
      </c>
      <c r="J3531">
        <v>2.5</v>
      </c>
      <c r="K3531" t="s">
        <v>4744</v>
      </c>
      <c r="L3531">
        <v>14.5</v>
      </c>
      <c r="M3531">
        <v>5.8</v>
      </c>
      <c r="N3531" t="s">
        <v>5272</v>
      </c>
      <c r="O3531" t="s">
        <v>461</v>
      </c>
    </row>
    <row r="3532" spans="1:15" x14ac:dyDescent="0.3">
      <c r="A3532">
        <v>216933</v>
      </c>
      <c r="B3532">
        <v>105</v>
      </c>
      <c r="C3532" t="s">
        <v>557</v>
      </c>
      <c r="D3532" t="s">
        <v>2563</v>
      </c>
      <c r="E3532" t="s">
        <v>3380</v>
      </c>
      <c r="F3532" s="451">
        <v>46085</v>
      </c>
      <c r="G3532">
        <v>23195</v>
      </c>
      <c r="H3532" t="s">
        <v>5051</v>
      </c>
      <c r="I3532" t="s">
        <v>5191</v>
      </c>
      <c r="J3532">
        <v>2</v>
      </c>
      <c r="K3532" t="s">
        <v>4744</v>
      </c>
      <c r="L3532">
        <v>37.700000000000003</v>
      </c>
      <c r="M3532">
        <v>18.850000000000001</v>
      </c>
      <c r="N3532" t="s">
        <v>5272</v>
      </c>
      <c r="O3532" t="s">
        <v>461</v>
      </c>
    </row>
    <row r="3533" spans="1:15" x14ac:dyDescent="0.3">
      <c r="A3533">
        <v>216933</v>
      </c>
      <c r="B3533">
        <v>105</v>
      </c>
      <c r="C3533" t="s">
        <v>557</v>
      </c>
      <c r="D3533" t="s">
        <v>2563</v>
      </c>
      <c r="E3533" t="s">
        <v>3380</v>
      </c>
      <c r="F3533" s="451">
        <v>46085</v>
      </c>
      <c r="G3533">
        <v>23346</v>
      </c>
      <c r="H3533" t="s">
        <v>4916</v>
      </c>
      <c r="I3533" t="s">
        <v>5191</v>
      </c>
      <c r="J3533">
        <v>1.7</v>
      </c>
      <c r="K3533" t="s">
        <v>4744</v>
      </c>
      <c r="L3533">
        <v>13.04</v>
      </c>
      <c r="M3533">
        <v>7.6705880000000004</v>
      </c>
      <c r="N3533" t="s">
        <v>5272</v>
      </c>
      <c r="O3533" t="s">
        <v>461</v>
      </c>
    </row>
    <row r="3534" spans="1:15" x14ac:dyDescent="0.3">
      <c r="A3534">
        <v>216933</v>
      </c>
      <c r="B3534">
        <v>105</v>
      </c>
      <c r="C3534" t="s">
        <v>557</v>
      </c>
      <c r="D3534" t="s">
        <v>2563</v>
      </c>
      <c r="E3534" t="s">
        <v>3380</v>
      </c>
      <c r="F3534" s="451">
        <v>46085</v>
      </c>
      <c r="G3534">
        <v>23361</v>
      </c>
      <c r="H3534" t="s">
        <v>4754</v>
      </c>
      <c r="I3534" t="s">
        <v>5191</v>
      </c>
      <c r="J3534">
        <v>20</v>
      </c>
      <c r="K3534" t="s">
        <v>4744</v>
      </c>
      <c r="L3534">
        <v>66.599999999999994</v>
      </c>
      <c r="M3534">
        <v>3.33</v>
      </c>
      <c r="N3534" t="s">
        <v>5272</v>
      </c>
      <c r="O3534" t="s">
        <v>461</v>
      </c>
    </row>
    <row r="3535" spans="1:15" x14ac:dyDescent="0.3">
      <c r="A3535">
        <v>216933</v>
      </c>
      <c r="B3535">
        <v>105</v>
      </c>
      <c r="C3535" t="s">
        <v>557</v>
      </c>
      <c r="D3535" t="s">
        <v>2563</v>
      </c>
      <c r="E3535" t="s">
        <v>3380</v>
      </c>
      <c r="F3535" s="451">
        <v>46085</v>
      </c>
      <c r="G3535">
        <v>23389</v>
      </c>
      <c r="H3535" t="s">
        <v>4960</v>
      </c>
      <c r="I3535" t="s">
        <v>5191</v>
      </c>
      <c r="J3535">
        <v>4.45</v>
      </c>
      <c r="K3535" t="s">
        <v>4744</v>
      </c>
      <c r="L3535">
        <v>21.49</v>
      </c>
      <c r="M3535">
        <v>4.8292130000000002</v>
      </c>
      <c r="N3535" t="s">
        <v>5272</v>
      </c>
      <c r="O3535" t="s">
        <v>461</v>
      </c>
    </row>
    <row r="3536" spans="1:15" x14ac:dyDescent="0.3">
      <c r="A3536">
        <v>216933</v>
      </c>
      <c r="B3536">
        <v>105</v>
      </c>
      <c r="C3536" t="s">
        <v>557</v>
      </c>
      <c r="D3536" t="s">
        <v>2563</v>
      </c>
      <c r="E3536" t="s">
        <v>3380</v>
      </c>
      <c r="F3536" s="451">
        <v>46085</v>
      </c>
      <c r="G3536">
        <v>19632</v>
      </c>
      <c r="H3536" t="s">
        <v>4936</v>
      </c>
      <c r="I3536" t="s">
        <v>5191</v>
      </c>
      <c r="J3536">
        <v>2.4500000000000002</v>
      </c>
      <c r="K3536" t="s">
        <v>4744</v>
      </c>
      <c r="L3536">
        <v>14.21</v>
      </c>
      <c r="M3536">
        <v>5.8</v>
      </c>
      <c r="N3536" t="s">
        <v>5272</v>
      </c>
      <c r="O3536" t="s">
        <v>461</v>
      </c>
    </row>
    <row r="3537" spans="1:15" x14ac:dyDescent="0.3">
      <c r="A3537">
        <v>216932</v>
      </c>
      <c r="B3537">
        <v>105</v>
      </c>
      <c r="C3537" t="s">
        <v>557</v>
      </c>
      <c r="D3537" t="s">
        <v>2563</v>
      </c>
      <c r="E3537" t="s">
        <v>3381</v>
      </c>
      <c r="F3537" s="451">
        <v>46086</v>
      </c>
      <c r="G3537">
        <v>24083</v>
      </c>
      <c r="H3537" t="s">
        <v>5165</v>
      </c>
      <c r="I3537" t="s">
        <v>5191</v>
      </c>
      <c r="J3537">
        <v>90</v>
      </c>
      <c r="K3537" t="s">
        <v>4744</v>
      </c>
      <c r="L3537">
        <v>385.2</v>
      </c>
      <c r="M3537">
        <v>4.28</v>
      </c>
      <c r="N3537" t="s">
        <v>5272</v>
      </c>
      <c r="O3537" t="s">
        <v>461</v>
      </c>
    </row>
    <row r="3538" spans="1:15" x14ac:dyDescent="0.3">
      <c r="A3538">
        <v>216932</v>
      </c>
      <c r="B3538">
        <v>105</v>
      </c>
      <c r="C3538" t="s">
        <v>557</v>
      </c>
      <c r="D3538" t="s">
        <v>2563</v>
      </c>
      <c r="E3538" t="s">
        <v>3381</v>
      </c>
      <c r="F3538" s="451">
        <v>46086</v>
      </c>
      <c r="G3538">
        <v>19642</v>
      </c>
      <c r="H3538" t="s">
        <v>4996</v>
      </c>
      <c r="I3538" t="s">
        <v>5191</v>
      </c>
      <c r="J3538">
        <v>1</v>
      </c>
      <c r="K3538" t="s">
        <v>4744</v>
      </c>
      <c r="L3538">
        <v>4.93</v>
      </c>
      <c r="M3538">
        <v>4.93</v>
      </c>
      <c r="N3538" t="s">
        <v>5272</v>
      </c>
      <c r="O3538" t="s">
        <v>461</v>
      </c>
    </row>
    <row r="3539" spans="1:15" x14ac:dyDescent="0.3">
      <c r="A3539">
        <v>216932</v>
      </c>
      <c r="B3539">
        <v>105</v>
      </c>
      <c r="C3539" t="s">
        <v>557</v>
      </c>
      <c r="D3539" t="s">
        <v>2563</v>
      </c>
      <c r="E3539" t="s">
        <v>3381</v>
      </c>
      <c r="F3539" s="451">
        <v>46086</v>
      </c>
      <c r="G3539">
        <v>19492</v>
      </c>
      <c r="H3539" t="s">
        <v>4937</v>
      </c>
      <c r="I3539" t="s">
        <v>5191</v>
      </c>
      <c r="J3539">
        <v>1.26</v>
      </c>
      <c r="K3539" t="s">
        <v>4744</v>
      </c>
      <c r="L3539">
        <v>25.58</v>
      </c>
      <c r="M3539">
        <v>20.301587000000001</v>
      </c>
      <c r="N3539" t="s">
        <v>5272</v>
      </c>
      <c r="O3539" t="s">
        <v>461</v>
      </c>
    </row>
    <row r="3540" spans="1:15" x14ac:dyDescent="0.3">
      <c r="A3540">
        <v>216932</v>
      </c>
      <c r="B3540">
        <v>105</v>
      </c>
      <c r="C3540" t="s">
        <v>557</v>
      </c>
      <c r="D3540" t="s">
        <v>2563</v>
      </c>
      <c r="E3540" t="s">
        <v>3381</v>
      </c>
      <c r="F3540" s="451">
        <v>46086</v>
      </c>
      <c r="G3540">
        <v>19551</v>
      </c>
      <c r="H3540" t="s">
        <v>4905</v>
      </c>
      <c r="I3540" t="s">
        <v>5191</v>
      </c>
      <c r="J3540">
        <v>2</v>
      </c>
      <c r="K3540" t="s">
        <v>4744</v>
      </c>
      <c r="L3540">
        <v>31.76</v>
      </c>
      <c r="M3540">
        <v>15.88</v>
      </c>
      <c r="N3540" t="s">
        <v>5272</v>
      </c>
      <c r="O3540" t="s">
        <v>461</v>
      </c>
    </row>
    <row r="3541" spans="1:15" x14ac:dyDescent="0.3">
      <c r="A3541">
        <v>216932</v>
      </c>
      <c r="B3541">
        <v>105</v>
      </c>
      <c r="C3541" t="s">
        <v>557</v>
      </c>
      <c r="D3541" t="s">
        <v>2563</v>
      </c>
      <c r="E3541" t="s">
        <v>3381</v>
      </c>
      <c r="F3541" s="451">
        <v>46086</v>
      </c>
      <c r="G3541">
        <v>19622</v>
      </c>
      <c r="H3541" t="s">
        <v>4915</v>
      </c>
      <c r="I3541" t="s">
        <v>5191</v>
      </c>
      <c r="J3541">
        <v>1</v>
      </c>
      <c r="K3541" t="s">
        <v>4744</v>
      </c>
      <c r="L3541">
        <v>3.7</v>
      </c>
      <c r="M3541">
        <v>3.7</v>
      </c>
      <c r="N3541" t="s">
        <v>5272</v>
      </c>
      <c r="O3541" t="s">
        <v>461</v>
      </c>
    </row>
    <row r="3542" spans="1:15" x14ac:dyDescent="0.3">
      <c r="A3542">
        <v>216932</v>
      </c>
      <c r="B3542">
        <v>105</v>
      </c>
      <c r="C3542" t="s">
        <v>557</v>
      </c>
      <c r="D3542" t="s">
        <v>2563</v>
      </c>
      <c r="E3542" t="s">
        <v>3381</v>
      </c>
      <c r="F3542" s="451">
        <v>46086</v>
      </c>
      <c r="G3542">
        <v>19751</v>
      </c>
      <c r="H3542" t="s">
        <v>4800</v>
      </c>
      <c r="I3542" t="s">
        <v>5191</v>
      </c>
      <c r="J3542">
        <v>3</v>
      </c>
      <c r="K3542" t="s">
        <v>4744</v>
      </c>
      <c r="L3542">
        <v>39.24</v>
      </c>
      <c r="M3542">
        <v>13.08</v>
      </c>
      <c r="N3542" t="s">
        <v>5272</v>
      </c>
      <c r="O3542" t="s">
        <v>461</v>
      </c>
    </row>
    <row r="3543" spans="1:15" x14ac:dyDescent="0.3">
      <c r="A3543">
        <v>216932</v>
      </c>
      <c r="B3543">
        <v>105</v>
      </c>
      <c r="C3543" t="s">
        <v>557</v>
      </c>
      <c r="D3543" t="s">
        <v>2563</v>
      </c>
      <c r="E3543" t="s">
        <v>3381</v>
      </c>
      <c r="F3543" s="451">
        <v>46086</v>
      </c>
      <c r="G3543">
        <v>19790</v>
      </c>
      <c r="H3543" t="s">
        <v>5073</v>
      </c>
      <c r="I3543" t="s">
        <v>5191</v>
      </c>
      <c r="J3543">
        <v>1</v>
      </c>
      <c r="K3543" t="s">
        <v>4744</v>
      </c>
      <c r="L3543">
        <v>46.4</v>
      </c>
      <c r="M3543">
        <v>46.4</v>
      </c>
      <c r="N3543" t="s">
        <v>5272</v>
      </c>
      <c r="O3543" t="s">
        <v>461</v>
      </c>
    </row>
    <row r="3544" spans="1:15" x14ac:dyDescent="0.3">
      <c r="A3544">
        <v>216932</v>
      </c>
      <c r="B3544">
        <v>105</v>
      </c>
      <c r="C3544" t="s">
        <v>557</v>
      </c>
      <c r="D3544" t="s">
        <v>2563</v>
      </c>
      <c r="E3544" t="s">
        <v>3381</v>
      </c>
      <c r="F3544" s="451">
        <v>46086</v>
      </c>
      <c r="G3544">
        <v>23228</v>
      </c>
      <c r="H3544" t="s">
        <v>4782</v>
      </c>
      <c r="I3544" t="s">
        <v>5191</v>
      </c>
      <c r="J3544">
        <v>5</v>
      </c>
      <c r="K3544" t="s">
        <v>4744</v>
      </c>
      <c r="L3544">
        <v>32.65</v>
      </c>
      <c r="M3544">
        <v>6.53</v>
      </c>
      <c r="N3544" t="s">
        <v>5272</v>
      </c>
      <c r="O3544" t="s">
        <v>461</v>
      </c>
    </row>
    <row r="3545" spans="1:15" x14ac:dyDescent="0.3">
      <c r="A3545">
        <v>216932</v>
      </c>
      <c r="B3545">
        <v>105</v>
      </c>
      <c r="C3545" t="s">
        <v>557</v>
      </c>
      <c r="D3545" t="s">
        <v>2563</v>
      </c>
      <c r="E3545" t="s">
        <v>3381</v>
      </c>
      <c r="F3545" s="451">
        <v>46086</v>
      </c>
      <c r="G3545">
        <v>23238</v>
      </c>
      <c r="H3545" t="s">
        <v>4934</v>
      </c>
      <c r="I3545" t="s">
        <v>5191</v>
      </c>
      <c r="J3545">
        <v>1</v>
      </c>
      <c r="K3545" t="s">
        <v>4744</v>
      </c>
      <c r="L3545">
        <v>27.06</v>
      </c>
      <c r="M3545">
        <v>27.06</v>
      </c>
      <c r="N3545" t="s">
        <v>5272</v>
      </c>
      <c r="O3545" t="s">
        <v>461</v>
      </c>
    </row>
    <row r="3546" spans="1:15" x14ac:dyDescent="0.3">
      <c r="A3546">
        <v>216932</v>
      </c>
      <c r="B3546">
        <v>105</v>
      </c>
      <c r="C3546" t="s">
        <v>557</v>
      </c>
      <c r="D3546" t="s">
        <v>2563</v>
      </c>
      <c r="E3546" t="s">
        <v>3381</v>
      </c>
      <c r="F3546" s="451">
        <v>46086</v>
      </c>
      <c r="G3546">
        <v>23361</v>
      </c>
      <c r="H3546" t="s">
        <v>4754</v>
      </c>
      <c r="I3546" t="s">
        <v>5191</v>
      </c>
      <c r="J3546">
        <v>40</v>
      </c>
      <c r="K3546" t="s">
        <v>4744</v>
      </c>
      <c r="L3546">
        <v>133.19999999999999</v>
      </c>
      <c r="M3546">
        <v>3.33</v>
      </c>
      <c r="N3546" t="s">
        <v>5272</v>
      </c>
      <c r="O3546" t="s">
        <v>461</v>
      </c>
    </row>
    <row r="3547" spans="1:15" x14ac:dyDescent="0.3">
      <c r="A3547">
        <v>216932</v>
      </c>
      <c r="B3547">
        <v>105</v>
      </c>
      <c r="C3547" t="s">
        <v>557</v>
      </c>
      <c r="D3547" t="s">
        <v>2563</v>
      </c>
      <c r="E3547" t="s">
        <v>3381</v>
      </c>
      <c r="F3547" s="451">
        <v>46086</v>
      </c>
      <c r="G3547">
        <v>23389</v>
      </c>
      <c r="H3547" t="s">
        <v>4960</v>
      </c>
      <c r="I3547" t="s">
        <v>5191</v>
      </c>
      <c r="J3547">
        <v>5.8</v>
      </c>
      <c r="K3547" t="s">
        <v>4744</v>
      </c>
      <c r="L3547">
        <v>28.01</v>
      </c>
      <c r="M3547">
        <v>4.8293100000000004</v>
      </c>
      <c r="N3547" t="s">
        <v>5272</v>
      </c>
      <c r="O3547" t="s">
        <v>461</v>
      </c>
    </row>
    <row r="3548" spans="1:15" x14ac:dyDescent="0.3">
      <c r="A3548">
        <v>216930</v>
      </c>
      <c r="B3548">
        <v>105</v>
      </c>
      <c r="C3548" t="s">
        <v>557</v>
      </c>
      <c r="D3548" t="s">
        <v>2563</v>
      </c>
      <c r="E3548" t="s">
        <v>3382</v>
      </c>
      <c r="F3548" s="451">
        <v>46091</v>
      </c>
      <c r="G3548">
        <v>19658</v>
      </c>
      <c r="H3548" t="s">
        <v>4784</v>
      </c>
      <c r="I3548" t="s">
        <v>5191</v>
      </c>
      <c r="J3548">
        <v>8</v>
      </c>
      <c r="K3548" t="s">
        <v>4744</v>
      </c>
      <c r="L3548">
        <v>23.2</v>
      </c>
      <c r="M3548">
        <v>2.9</v>
      </c>
      <c r="N3548" t="s">
        <v>5272</v>
      </c>
      <c r="O3548" t="s">
        <v>461</v>
      </c>
    </row>
    <row r="3549" spans="1:15" x14ac:dyDescent="0.3">
      <c r="A3549">
        <v>216930</v>
      </c>
      <c r="B3549">
        <v>105</v>
      </c>
      <c r="C3549" t="s">
        <v>557</v>
      </c>
      <c r="D3549" t="s">
        <v>2563</v>
      </c>
      <c r="E3549" t="s">
        <v>3382</v>
      </c>
      <c r="F3549" s="451">
        <v>46091</v>
      </c>
      <c r="G3549">
        <v>19551</v>
      </c>
      <c r="H3549" t="s">
        <v>4905</v>
      </c>
      <c r="I3549" t="s">
        <v>5191</v>
      </c>
      <c r="J3549">
        <v>2</v>
      </c>
      <c r="K3549" t="s">
        <v>4744</v>
      </c>
      <c r="L3549">
        <v>28.86</v>
      </c>
      <c r="M3549">
        <v>14.43</v>
      </c>
      <c r="N3549" t="s">
        <v>5272</v>
      </c>
      <c r="O3549" t="s">
        <v>461</v>
      </c>
    </row>
    <row r="3550" spans="1:15" x14ac:dyDescent="0.3">
      <c r="A3550">
        <v>216930</v>
      </c>
      <c r="B3550">
        <v>105</v>
      </c>
      <c r="C3550" t="s">
        <v>557</v>
      </c>
      <c r="D3550" t="s">
        <v>2563</v>
      </c>
      <c r="E3550" t="s">
        <v>3382</v>
      </c>
      <c r="F3550" s="451">
        <v>46091</v>
      </c>
      <c r="G3550">
        <v>23113</v>
      </c>
      <c r="H3550" t="s">
        <v>5074</v>
      </c>
      <c r="I3550" t="s">
        <v>5191</v>
      </c>
      <c r="J3550">
        <v>1</v>
      </c>
      <c r="K3550" t="s">
        <v>4744</v>
      </c>
      <c r="L3550">
        <v>10.88</v>
      </c>
      <c r="M3550">
        <v>10.88</v>
      </c>
      <c r="N3550" t="s">
        <v>5272</v>
      </c>
      <c r="O3550" t="s">
        <v>461</v>
      </c>
    </row>
    <row r="3551" spans="1:15" x14ac:dyDescent="0.3">
      <c r="A3551">
        <v>216930</v>
      </c>
      <c r="B3551">
        <v>105</v>
      </c>
      <c r="C3551" t="s">
        <v>557</v>
      </c>
      <c r="D3551" t="s">
        <v>2563</v>
      </c>
      <c r="E3551" t="s">
        <v>3382</v>
      </c>
      <c r="F3551" s="451">
        <v>46091</v>
      </c>
      <c r="G3551">
        <v>23228</v>
      </c>
      <c r="H3551" t="s">
        <v>4782</v>
      </c>
      <c r="I3551" t="s">
        <v>5191</v>
      </c>
      <c r="J3551">
        <v>5</v>
      </c>
      <c r="K3551" t="s">
        <v>4744</v>
      </c>
      <c r="L3551">
        <v>32.65</v>
      </c>
      <c r="M3551">
        <v>6.53</v>
      </c>
      <c r="N3551" t="s">
        <v>5272</v>
      </c>
      <c r="O3551" t="s">
        <v>461</v>
      </c>
    </row>
    <row r="3552" spans="1:15" x14ac:dyDescent="0.3">
      <c r="A3552">
        <v>216930</v>
      </c>
      <c r="B3552">
        <v>105</v>
      </c>
      <c r="C3552" t="s">
        <v>557</v>
      </c>
      <c r="D3552" t="s">
        <v>2563</v>
      </c>
      <c r="E3552" t="s">
        <v>3382</v>
      </c>
      <c r="F3552" s="451">
        <v>46091</v>
      </c>
      <c r="G3552">
        <v>23346</v>
      </c>
      <c r="H3552" t="s">
        <v>4916</v>
      </c>
      <c r="I3552" t="s">
        <v>5191</v>
      </c>
      <c r="J3552">
        <v>2</v>
      </c>
      <c r="K3552" t="s">
        <v>4744</v>
      </c>
      <c r="L3552">
        <v>15.34</v>
      </c>
      <c r="M3552">
        <v>7.67</v>
      </c>
      <c r="N3552" t="s">
        <v>5272</v>
      </c>
      <c r="O3552" t="s">
        <v>461</v>
      </c>
    </row>
    <row r="3553" spans="1:15" x14ac:dyDescent="0.3">
      <c r="A3553">
        <v>216930</v>
      </c>
      <c r="B3553">
        <v>105</v>
      </c>
      <c r="C3553" t="s">
        <v>557</v>
      </c>
      <c r="D3553" t="s">
        <v>2563</v>
      </c>
      <c r="E3553" t="s">
        <v>3382</v>
      </c>
      <c r="F3553" s="451">
        <v>46091</v>
      </c>
      <c r="G3553">
        <v>23389</v>
      </c>
      <c r="H3553" t="s">
        <v>4960</v>
      </c>
      <c r="I3553" t="s">
        <v>5191</v>
      </c>
      <c r="J3553">
        <v>4</v>
      </c>
      <c r="K3553" t="s">
        <v>4744</v>
      </c>
      <c r="L3553">
        <v>19.32</v>
      </c>
      <c r="M3553">
        <v>4.83</v>
      </c>
      <c r="N3553" t="s">
        <v>5272</v>
      </c>
      <c r="O3553" t="s">
        <v>461</v>
      </c>
    </row>
    <row r="3554" spans="1:15" x14ac:dyDescent="0.3">
      <c r="A3554">
        <v>216927</v>
      </c>
      <c r="B3554">
        <v>105</v>
      </c>
      <c r="C3554" t="s">
        <v>557</v>
      </c>
      <c r="D3554" t="s">
        <v>2563</v>
      </c>
      <c r="E3554" t="s">
        <v>3383</v>
      </c>
      <c r="F3554" s="451">
        <v>46092</v>
      </c>
      <c r="G3554">
        <v>19492</v>
      </c>
      <c r="H3554" t="s">
        <v>4937</v>
      </c>
      <c r="I3554" t="s">
        <v>5191</v>
      </c>
      <c r="J3554">
        <v>2.0499999999999998</v>
      </c>
      <c r="K3554" t="s">
        <v>4744</v>
      </c>
      <c r="L3554">
        <v>38.5</v>
      </c>
      <c r="M3554">
        <v>18.780487999999998</v>
      </c>
      <c r="N3554" t="s">
        <v>5272</v>
      </c>
      <c r="O3554" t="s">
        <v>461</v>
      </c>
    </row>
    <row r="3555" spans="1:15" x14ac:dyDescent="0.3">
      <c r="A3555">
        <v>216927</v>
      </c>
      <c r="B3555">
        <v>105</v>
      </c>
      <c r="C3555" t="s">
        <v>557</v>
      </c>
      <c r="D3555" t="s">
        <v>2563</v>
      </c>
      <c r="E3555" t="s">
        <v>3383</v>
      </c>
      <c r="F3555" s="451">
        <v>46092</v>
      </c>
      <c r="G3555">
        <v>19734</v>
      </c>
      <c r="H3555" t="s">
        <v>4833</v>
      </c>
      <c r="I3555" t="s">
        <v>5191</v>
      </c>
      <c r="J3555">
        <v>3</v>
      </c>
      <c r="K3555" t="s">
        <v>4744</v>
      </c>
      <c r="L3555">
        <v>39.15</v>
      </c>
      <c r="M3555">
        <v>13.05</v>
      </c>
      <c r="N3555" t="s">
        <v>5272</v>
      </c>
      <c r="O3555" t="s">
        <v>461</v>
      </c>
    </row>
    <row r="3556" spans="1:15" x14ac:dyDescent="0.3">
      <c r="A3556">
        <v>216927</v>
      </c>
      <c r="B3556">
        <v>105</v>
      </c>
      <c r="C3556" t="s">
        <v>557</v>
      </c>
      <c r="D3556" t="s">
        <v>2563</v>
      </c>
      <c r="E3556" t="s">
        <v>3383</v>
      </c>
      <c r="F3556" s="451">
        <v>46092</v>
      </c>
      <c r="G3556">
        <v>23361</v>
      </c>
      <c r="H3556" t="s">
        <v>4754</v>
      </c>
      <c r="I3556" t="s">
        <v>5191</v>
      </c>
      <c r="J3556">
        <v>20</v>
      </c>
      <c r="K3556" t="s">
        <v>4744</v>
      </c>
      <c r="L3556">
        <v>66.599999999999994</v>
      </c>
      <c r="M3556">
        <v>3.33</v>
      </c>
      <c r="N3556" t="s">
        <v>5272</v>
      </c>
      <c r="O3556" t="s">
        <v>461</v>
      </c>
    </row>
    <row r="3557" spans="1:15" x14ac:dyDescent="0.3">
      <c r="A3557">
        <v>216927</v>
      </c>
      <c r="B3557">
        <v>105</v>
      </c>
      <c r="C3557" t="s">
        <v>557</v>
      </c>
      <c r="D3557" t="s">
        <v>2563</v>
      </c>
      <c r="E3557" t="s">
        <v>3383</v>
      </c>
      <c r="F3557" s="451">
        <v>46092</v>
      </c>
      <c r="G3557">
        <v>23095</v>
      </c>
      <c r="H3557" t="s">
        <v>4741</v>
      </c>
      <c r="I3557" t="s">
        <v>5191</v>
      </c>
      <c r="J3557">
        <v>50</v>
      </c>
      <c r="K3557" t="s">
        <v>4736</v>
      </c>
      <c r="L3557">
        <v>66.5</v>
      </c>
      <c r="M3557">
        <v>1.33</v>
      </c>
      <c r="N3557" t="s">
        <v>5272</v>
      </c>
      <c r="O3557" t="s">
        <v>461</v>
      </c>
    </row>
    <row r="3558" spans="1:15" x14ac:dyDescent="0.3">
      <c r="A3558">
        <v>216927</v>
      </c>
      <c r="B3558">
        <v>105</v>
      </c>
      <c r="C3558" t="s">
        <v>557</v>
      </c>
      <c r="D3558" t="s">
        <v>2563</v>
      </c>
      <c r="E3558" t="s">
        <v>3383</v>
      </c>
      <c r="F3558" s="451">
        <v>46092</v>
      </c>
      <c r="G3558">
        <v>19532</v>
      </c>
      <c r="H3558" t="s">
        <v>4753</v>
      </c>
      <c r="I3558" t="s">
        <v>5191</v>
      </c>
      <c r="J3558">
        <v>15.1</v>
      </c>
      <c r="K3558" t="s">
        <v>4744</v>
      </c>
      <c r="L3558">
        <v>164.29</v>
      </c>
      <c r="M3558">
        <v>10.880132</v>
      </c>
      <c r="N3558" t="s">
        <v>5272</v>
      </c>
      <c r="O3558" t="s">
        <v>461</v>
      </c>
    </row>
    <row r="3559" spans="1:15" x14ac:dyDescent="0.3">
      <c r="A3559">
        <v>216925</v>
      </c>
      <c r="B3559">
        <v>105</v>
      </c>
      <c r="C3559" t="s">
        <v>557</v>
      </c>
      <c r="D3559" t="s">
        <v>2563</v>
      </c>
      <c r="E3559" t="s">
        <v>3384</v>
      </c>
      <c r="F3559" s="451">
        <v>46090</v>
      </c>
      <c r="G3559">
        <v>19623</v>
      </c>
      <c r="H3559" t="s">
        <v>4764</v>
      </c>
      <c r="I3559" t="s">
        <v>5191</v>
      </c>
      <c r="J3559">
        <v>7.2</v>
      </c>
      <c r="K3559" t="s">
        <v>4744</v>
      </c>
      <c r="L3559">
        <v>31.32</v>
      </c>
      <c r="M3559">
        <v>4.3499999999999996</v>
      </c>
      <c r="N3559" t="s">
        <v>5272</v>
      </c>
      <c r="O3559" t="s">
        <v>461</v>
      </c>
    </row>
    <row r="3560" spans="1:15" x14ac:dyDescent="0.3">
      <c r="A3560">
        <v>216925</v>
      </c>
      <c r="B3560">
        <v>105</v>
      </c>
      <c r="C3560" t="s">
        <v>557</v>
      </c>
      <c r="D3560" t="s">
        <v>2563</v>
      </c>
      <c r="E3560" t="s">
        <v>3384</v>
      </c>
      <c r="F3560" s="451">
        <v>46090</v>
      </c>
      <c r="G3560">
        <v>19526</v>
      </c>
      <c r="H3560" t="s">
        <v>4997</v>
      </c>
      <c r="I3560" t="s">
        <v>5191</v>
      </c>
      <c r="J3560">
        <v>1</v>
      </c>
      <c r="K3560" t="s">
        <v>4744</v>
      </c>
      <c r="L3560">
        <v>80</v>
      </c>
      <c r="M3560">
        <v>80</v>
      </c>
      <c r="N3560" t="s">
        <v>5272</v>
      </c>
      <c r="O3560" t="s">
        <v>461</v>
      </c>
    </row>
    <row r="3561" spans="1:15" x14ac:dyDescent="0.3">
      <c r="A3561">
        <v>216925</v>
      </c>
      <c r="B3561">
        <v>105</v>
      </c>
      <c r="C3561" t="s">
        <v>557</v>
      </c>
      <c r="D3561" t="s">
        <v>2563</v>
      </c>
      <c r="E3561" t="s">
        <v>3384</v>
      </c>
      <c r="F3561" s="451">
        <v>46090</v>
      </c>
      <c r="G3561">
        <v>19476</v>
      </c>
      <c r="H3561" t="s">
        <v>5115</v>
      </c>
      <c r="I3561" t="s">
        <v>5191</v>
      </c>
      <c r="J3561">
        <v>0.2</v>
      </c>
      <c r="K3561" t="s">
        <v>4744</v>
      </c>
      <c r="L3561">
        <v>13.63</v>
      </c>
      <c r="M3561">
        <v>68.150000000000006</v>
      </c>
      <c r="N3561" t="s">
        <v>5272</v>
      </c>
      <c r="O3561" t="s">
        <v>461</v>
      </c>
    </row>
    <row r="3562" spans="1:15" x14ac:dyDescent="0.3">
      <c r="A3562">
        <v>216925</v>
      </c>
      <c r="B3562">
        <v>105</v>
      </c>
      <c r="C3562" t="s">
        <v>557</v>
      </c>
      <c r="D3562" t="s">
        <v>2563</v>
      </c>
      <c r="E3562" t="s">
        <v>3384</v>
      </c>
      <c r="F3562" s="451">
        <v>46090</v>
      </c>
      <c r="G3562">
        <v>19734</v>
      </c>
      <c r="H3562" t="s">
        <v>4833</v>
      </c>
      <c r="I3562" t="s">
        <v>5191</v>
      </c>
      <c r="J3562">
        <v>2.2000000000000002</v>
      </c>
      <c r="K3562" t="s">
        <v>4744</v>
      </c>
      <c r="L3562">
        <v>28.71</v>
      </c>
      <c r="M3562">
        <v>13.05</v>
      </c>
      <c r="N3562" t="s">
        <v>5272</v>
      </c>
      <c r="O3562" t="s">
        <v>461</v>
      </c>
    </row>
    <row r="3563" spans="1:15" x14ac:dyDescent="0.3">
      <c r="A3563">
        <v>216925</v>
      </c>
      <c r="B3563">
        <v>105</v>
      </c>
      <c r="C3563" t="s">
        <v>557</v>
      </c>
      <c r="D3563" t="s">
        <v>2563</v>
      </c>
      <c r="E3563" t="s">
        <v>3384</v>
      </c>
      <c r="F3563" s="451">
        <v>46090</v>
      </c>
      <c r="G3563">
        <v>19492</v>
      </c>
      <c r="H3563" t="s">
        <v>4937</v>
      </c>
      <c r="I3563" t="s">
        <v>5191</v>
      </c>
      <c r="J3563">
        <v>2.1</v>
      </c>
      <c r="K3563" t="s">
        <v>4744</v>
      </c>
      <c r="L3563">
        <v>42.63</v>
      </c>
      <c r="M3563">
        <v>20.3</v>
      </c>
      <c r="N3563" t="s">
        <v>5272</v>
      </c>
      <c r="O3563" t="s">
        <v>461</v>
      </c>
    </row>
    <row r="3564" spans="1:15" x14ac:dyDescent="0.3">
      <c r="A3564">
        <v>216925</v>
      </c>
      <c r="B3564">
        <v>105</v>
      </c>
      <c r="C3564" t="s">
        <v>557</v>
      </c>
      <c r="D3564" t="s">
        <v>2563</v>
      </c>
      <c r="E3564" t="s">
        <v>3384</v>
      </c>
      <c r="F3564" s="451">
        <v>46090</v>
      </c>
      <c r="G3564">
        <v>24489</v>
      </c>
      <c r="H3564" t="s">
        <v>5121</v>
      </c>
      <c r="I3564" t="s">
        <v>5191</v>
      </c>
      <c r="J3564">
        <v>1</v>
      </c>
      <c r="K3564" t="s">
        <v>4744</v>
      </c>
      <c r="L3564">
        <v>20.3</v>
      </c>
      <c r="M3564">
        <v>20.3</v>
      </c>
      <c r="N3564" t="s">
        <v>5272</v>
      </c>
      <c r="O3564" t="s">
        <v>461</v>
      </c>
    </row>
    <row r="3565" spans="1:15" x14ac:dyDescent="0.3">
      <c r="A3565">
        <v>216925</v>
      </c>
      <c r="B3565">
        <v>105</v>
      </c>
      <c r="C3565" t="s">
        <v>557</v>
      </c>
      <c r="D3565" t="s">
        <v>2563</v>
      </c>
      <c r="E3565" t="s">
        <v>3384</v>
      </c>
      <c r="F3565" s="451">
        <v>46090</v>
      </c>
      <c r="G3565">
        <v>23113</v>
      </c>
      <c r="H3565" t="s">
        <v>5074</v>
      </c>
      <c r="I3565" t="s">
        <v>5191</v>
      </c>
      <c r="J3565">
        <v>1</v>
      </c>
      <c r="K3565" t="s">
        <v>4744</v>
      </c>
      <c r="L3565">
        <v>10.88</v>
      </c>
      <c r="M3565">
        <v>10.88</v>
      </c>
      <c r="N3565" t="s">
        <v>5272</v>
      </c>
      <c r="O3565" t="s">
        <v>461</v>
      </c>
    </row>
    <row r="3566" spans="1:15" x14ac:dyDescent="0.3">
      <c r="A3566">
        <v>216925</v>
      </c>
      <c r="B3566">
        <v>105</v>
      </c>
      <c r="C3566" t="s">
        <v>557</v>
      </c>
      <c r="D3566" t="s">
        <v>2563</v>
      </c>
      <c r="E3566" t="s">
        <v>3384</v>
      </c>
      <c r="F3566" s="451">
        <v>46090</v>
      </c>
      <c r="G3566">
        <v>23335</v>
      </c>
      <c r="H3566" t="s">
        <v>4961</v>
      </c>
      <c r="I3566" t="s">
        <v>5191</v>
      </c>
      <c r="J3566">
        <v>0.5</v>
      </c>
      <c r="K3566" t="s">
        <v>4744</v>
      </c>
      <c r="L3566">
        <v>15.22</v>
      </c>
      <c r="M3566">
        <v>30.44</v>
      </c>
      <c r="N3566" t="s">
        <v>5272</v>
      </c>
      <c r="O3566" t="s">
        <v>461</v>
      </c>
    </row>
    <row r="3567" spans="1:15" x14ac:dyDescent="0.3">
      <c r="A3567">
        <v>216924</v>
      </c>
      <c r="B3567">
        <v>105</v>
      </c>
      <c r="C3567" t="s">
        <v>557</v>
      </c>
      <c r="D3567" t="s">
        <v>2603</v>
      </c>
      <c r="E3567" t="s">
        <v>3385</v>
      </c>
      <c r="F3567" s="451">
        <v>46087</v>
      </c>
      <c r="G3567">
        <v>27264</v>
      </c>
      <c r="H3567" t="s">
        <v>5075</v>
      </c>
      <c r="I3567" t="s">
        <v>5191</v>
      </c>
      <c r="J3567">
        <v>11</v>
      </c>
      <c r="K3567" t="s">
        <v>4744</v>
      </c>
      <c r="L3567">
        <v>768.9</v>
      </c>
      <c r="M3567">
        <v>69.900000000000006</v>
      </c>
      <c r="N3567" t="s">
        <v>5272</v>
      </c>
      <c r="O3567" t="s">
        <v>461</v>
      </c>
    </row>
    <row r="3568" spans="1:15" x14ac:dyDescent="0.3">
      <c r="A3568">
        <v>216921</v>
      </c>
      <c r="B3568">
        <v>105</v>
      </c>
      <c r="C3568" t="s">
        <v>557</v>
      </c>
      <c r="D3568" t="s">
        <v>2593</v>
      </c>
      <c r="E3568" t="s">
        <v>3386</v>
      </c>
      <c r="F3568" s="451">
        <v>46087</v>
      </c>
      <c r="G3568">
        <v>24256</v>
      </c>
      <c r="H3568" t="s">
        <v>4773</v>
      </c>
      <c r="I3568" t="s">
        <v>5191</v>
      </c>
      <c r="J3568">
        <v>20</v>
      </c>
      <c r="K3568" t="s">
        <v>4744</v>
      </c>
      <c r="L3568">
        <v>760</v>
      </c>
      <c r="M3568">
        <v>38</v>
      </c>
      <c r="N3568" t="s">
        <v>5191</v>
      </c>
      <c r="O3568" t="s">
        <v>461</v>
      </c>
    </row>
    <row r="3569" spans="1:15" x14ac:dyDescent="0.3">
      <c r="A3569">
        <v>216920</v>
      </c>
      <c r="B3569">
        <v>105</v>
      </c>
      <c r="C3569" t="s">
        <v>557</v>
      </c>
      <c r="D3569" t="s">
        <v>2653</v>
      </c>
      <c r="E3569" t="s">
        <v>3387</v>
      </c>
      <c r="F3569" s="451">
        <v>46090</v>
      </c>
      <c r="G3569">
        <v>24200</v>
      </c>
      <c r="H3569" t="s">
        <v>4820</v>
      </c>
      <c r="I3569" t="s">
        <v>5191</v>
      </c>
      <c r="J3569">
        <v>5.5</v>
      </c>
      <c r="K3569" t="s">
        <v>4744</v>
      </c>
      <c r="L3569">
        <v>180.95</v>
      </c>
      <c r="M3569">
        <v>32.9</v>
      </c>
      <c r="N3569" t="s">
        <v>5272</v>
      </c>
      <c r="O3569" t="s">
        <v>461</v>
      </c>
    </row>
    <row r="3570" spans="1:15" x14ac:dyDescent="0.3">
      <c r="A3570">
        <v>216919</v>
      </c>
      <c r="B3570">
        <v>105</v>
      </c>
      <c r="C3570" t="s">
        <v>557</v>
      </c>
      <c r="D3570" t="s">
        <v>2991</v>
      </c>
      <c r="E3570" t="s">
        <v>3388</v>
      </c>
      <c r="F3570" s="451">
        <v>46091</v>
      </c>
      <c r="G3570">
        <v>17958</v>
      </c>
      <c r="H3570" t="s">
        <v>5076</v>
      </c>
      <c r="I3570" t="s">
        <v>5222</v>
      </c>
      <c r="J3570">
        <v>15</v>
      </c>
      <c r="K3570" t="s">
        <v>4738</v>
      </c>
      <c r="L3570">
        <v>244.35</v>
      </c>
      <c r="M3570">
        <v>16.29</v>
      </c>
      <c r="N3570" t="s">
        <v>5271</v>
      </c>
      <c r="O3570" t="s">
        <v>461</v>
      </c>
    </row>
    <row r="3571" spans="1:15" x14ac:dyDescent="0.3">
      <c r="A3571">
        <v>216919</v>
      </c>
      <c r="B3571">
        <v>105</v>
      </c>
      <c r="C3571" t="s">
        <v>557</v>
      </c>
      <c r="D3571" t="s">
        <v>2991</v>
      </c>
      <c r="E3571" t="s">
        <v>3388</v>
      </c>
      <c r="F3571" s="451">
        <v>46091</v>
      </c>
      <c r="G3571">
        <v>17950</v>
      </c>
      <c r="H3571" t="s">
        <v>5091</v>
      </c>
      <c r="I3571" t="s">
        <v>5222</v>
      </c>
      <c r="J3571">
        <v>20</v>
      </c>
      <c r="K3571" t="s">
        <v>4738</v>
      </c>
      <c r="L3571">
        <v>339.8</v>
      </c>
      <c r="M3571">
        <v>16.989999999999998</v>
      </c>
      <c r="N3571" t="s">
        <v>5271</v>
      </c>
      <c r="O3571" t="s">
        <v>461</v>
      </c>
    </row>
    <row r="3572" spans="1:15" x14ac:dyDescent="0.3">
      <c r="A3572">
        <v>216917</v>
      </c>
      <c r="B3572">
        <v>105</v>
      </c>
      <c r="C3572" t="s">
        <v>557</v>
      </c>
      <c r="D3572" t="s">
        <v>2554</v>
      </c>
      <c r="E3572" t="s">
        <v>3389</v>
      </c>
      <c r="F3572" s="451">
        <v>46093</v>
      </c>
      <c r="G3572">
        <v>17129</v>
      </c>
      <c r="H3572" t="s">
        <v>5202</v>
      </c>
      <c r="I3572" t="s">
        <v>5188</v>
      </c>
      <c r="J3572">
        <v>1</v>
      </c>
      <c r="K3572" t="s">
        <v>4738</v>
      </c>
      <c r="L3572">
        <v>26.61</v>
      </c>
      <c r="M3572">
        <v>26.61</v>
      </c>
      <c r="N3572" t="s">
        <v>5277</v>
      </c>
      <c r="O3572" t="s">
        <v>461</v>
      </c>
    </row>
    <row r="3573" spans="1:15" x14ac:dyDescent="0.3">
      <c r="A3573">
        <v>216917</v>
      </c>
      <c r="B3573">
        <v>105</v>
      </c>
      <c r="C3573" t="s">
        <v>557</v>
      </c>
      <c r="D3573" t="s">
        <v>2554</v>
      </c>
      <c r="E3573" t="s">
        <v>3389</v>
      </c>
      <c r="F3573" s="451">
        <v>46093</v>
      </c>
      <c r="G3573">
        <v>17437</v>
      </c>
      <c r="H3573" t="s">
        <v>5203</v>
      </c>
      <c r="I3573" t="s">
        <v>5188</v>
      </c>
      <c r="J3573">
        <v>10</v>
      </c>
      <c r="K3573" t="s">
        <v>4736</v>
      </c>
      <c r="L3573">
        <v>23</v>
      </c>
      <c r="M3573">
        <v>2.2999999999999998</v>
      </c>
      <c r="N3573" t="s">
        <v>5277</v>
      </c>
      <c r="O3573" t="s">
        <v>461</v>
      </c>
    </row>
    <row r="3574" spans="1:15" x14ac:dyDescent="0.3">
      <c r="A3574">
        <v>216917</v>
      </c>
      <c r="B3574">
        <v>105</v>
      </c>
      <c r="C3574" t="s">
        <v>557</v>
      </c>
      <c r="D3574" t="s">
        <v>2554</v>
      </c>
      <c r="E3574" t="s">
        <v>3389</v>
      </c>
      <c r="F3574" s="451">
        <v>46093</v>
      </c>
      <c r="G3574">
        <v>17455</v>
      </c>
      <c r="H3574" t="s">
        <v>5290</v>
      </c>
      <c r="I3574" t="s">
        <v>5188</v>
      </c>
      <c r="J3574">
        <v>1</v>
      </c>
      <c r="K3574" t="s">
        <v>4736</v>
      </c>
      <c r="L3574">
        <v>35.270000000000003</v>
      </c>
      <c r="M3574">
        <v>35.270000000000003</v>
      </c>
      <c r="N3574" t="s">
        <v>5277</v>
      </c>
      <c r="O3574" t="s">
        <v>461</v>
      </c>
    </row>
    <row r="3575" spans="1:15" x14ac:dyDescent="0.3">
      <c r="A3575">
        <v>216917</v>
      </c>
      <c r="B3575">
        <v>105</v>
      </c>
      <c r="C3575" t="s">
        <v>557</v>
      </c>
      <c r="D3575" t="s">
        <v>2554</v>
      </c>
      <c r="E3575" t="s">
        <v>3389</v>
      </c>
      <c r="F3575" s="451">
        <v>46093</v>
      </c>
      <c r="G3575">
        <v>17190</v>
      </c>
      <c r="H3575" t="s">
        <v>5193</v>
      </c>
      <c r="I3575" t="s">
        <v>5188</v>
      </c>
      <c r="J3575">
        <v>2</v>
      </c>
      <c r="K3575" t="s">
        <v>4738</v>
      </c>
      <c r="L3575">
        <v>16.2</v>
      </c>
      <c r="M3575">
        <v>8.1</v>
      </c>
      <c r="N3575" t="s">
        <v>5277</v>
      </c>
      <c r="O3575" t="s">
        <v>461</v>
      </c>
    </row>
    <row r="3576" spans="1:15" x14ac:dyDescent="0.3">
      <c r="A3576">
        <v>216917</v>
      </c>
      <c r="B3576">
        <v>105</v>
      </c>
      <c r="C3576" t="s">
        <v>557</v>
      </c>
      <c r="D3576" t="s">
        <v>2554</v>
      </c>
      <c r="E3576" t="s">
        <v>3389</v>
      </c>
      <c r="F3576" s="451">
        <v>46093</v>
      </c>
      <c r="G3576">
        <v>17046</v>
      </c>
      <c r="H3576" t="s">
        <v>5194</v>
      </c>
      <c r="I3576" t="s">
        <v>5188</v>
      </c>
      <c r="J3576">
        <v>2</v>
      </c>
      <c r="K3576" t="s">
        <v>4736</v>
      </c>
      <c r="L3576">
        <v>69</v>
      </c>
      <c r="M3576">
        <v>34.5</v>
      </c>
      <c r="N3576" t="s">
        <v>5277</v>
      </c>
      <c r="O3576" t="s">
        <v>461</v>
      </c>
    </row>
    <row r="3577" spans="1:15" x14ac:dyDescent="0.3">
      <c r="A3577">
        <v>216917</v>
      </c>
      <c r="B3577">
        <v>105</v>
      </c>
      <c r="C3577" t="s">
        <v>557</v>
      </c>
      <c r="D3577" t="s">
        <v>2554</v>
      </c>
      <c r="E3577" t="s">
        <v>3389</v>
      </c>
      <c r="F3577" s="451">
        <v>46093</v>
      </c>
      <c r="G3577">
        <v>17314</v>
      </c>
      <c r="H3577" t="s">
        <v>5208</v>
      </c>
      <c r="I3577" t="s">
        <v>5188</v>
      </c>
      <c r="J3577">
        <v>3</v>
      </c>
      <c r="K3577" t="s">
        <v>4848</v>
      </c>
      <c r="L3577">
        <v>17.670000000000002</v>
      </c>
      <c r="M3577">
        <v>5.89</v>
      </c>
      <c r="N3577" t="s">
        <v>5277</v>
      </c>
      <c r="O3577" t="s">
        <v>461</v>
      </c>
    </row>
    <row r="3578" spans="1:15" x14ac:dyDescent="0.3">
      <c r="A3578">
        <v>216917</v>
      </c>
      <c r="B3578">
        <v>105</v>
      </c>
      <c r="C3578" t="s">
        <v>557</v>
      </c>
      <c r="D3578" t="s">
        <v>2554</v>
      </c>
      <c r="E3578" t="s">
        <v>3389</v>
      </c>
      <c r="F3578" s="451">
        <v>46093</v>
      </c>
      <c r="G3578">
        <v>17404</v>
      </c>
      <c r="H3578" t="s">
        <v>5295</v>
      </c>
      <c r="I3578" t="s">
        <v>5188</v>
      </c>
      <c r="J3578">
        <v>1</v>
      </c>
      <c r="K3578" t="s">
        <v>4736</v>
      </c>
      <c r="L3578">
        <v>18.43</v>
      </c>
      <c r="M3578">
        <v>18.43</v>
      </c>
      <c r="N3578" t="s">
        <v>5277</v>
      </c>
      <c r="O3578" t="s">
        <v>461</v>
      </c>
    </row>
    <row r="3579" spans="1:15" x14ac:dyDescent="0.3">
      <c r="A3579">
        <v>216917</v>
      </c>
      <c r="B3579">
        <v>105</v>
      </c>
      <c r="C3579" t="s">
        <v>557</v>
      </c>
      <c r="D3579" t="s">
        <v>2554</v>
      </c>
      <c r="E3579" t="s">
        <v>3389</v>
      </c>
      <c r="F3579" s="451">
        <v>46093</v>
      </c>
      <c r="G3579">
        <v>21587</v>
      </c>
      <c r="H3579" t="s">
        <v>5349</v>
      </c>
      <c r="I3579" t="s">
        <v>5188</v>
      </c>
      <c r="J3579">
        <v>1</v>
      </c>
      <c r="K3579" t="s">
        <v>4736</v>
      </c>
      <c r="L3579">
        <v>6.5</v>
      </c>
      <c r="M3579">
        <v>6.5</v>
      </c>
      <c r="N3579" t="s">
        <v>5277</v>
      </c>
      <c r="O3579" t="s">
        <v>461</v>
      </c>
    </row>
    <row r="3580" spans="1:15" x14ac:dyDescent="0.3">
      <c r="A3580">
        <v>216917</v>
      </c>
      <c r="B3580">
        <v>105</v>
      </c>
      <c r="C3580" t="s">
        <v>557</v>
      </c>
      <c r="D3580" t="s">
        <v>2554</v>
      </c>
      <c r="E3580" t="s">
        <v>3389</v>
      </c>
      <c r="F3580" s="451">
        <v>46093</v>
      </c>
      <c r="G3580">
        <v>17196</v>
      </c>
      <c r="H3580" t="s">
        <v>5258</v>
      </c>
      <c r="I3580" t="s">
        <v>5188</v>
      </c>
      <c r="J3580">
        <v>1</v>
      </c>
      <c r="K3580" t="s">
        <v>4738</v>
      </c>
      <c r="L3580">
        <v>6.38</v>
      </c>
      <c r="M3580">
        <v>6.38</v>
      </c>
      <c r="N3580" t="s">
        <v>5277</v>
      </c>
      <c r="O3580" t="s">
        <v>461</v>
      </c>
    </row>
    <row r="3581" spans="1:15" x14ac:dyDescent="0.3">
      <c r="A3581">
        <v>216917</v>
      </c>
      <c r="B3581">
        <v>105</v>
      </c>
      <c r="C3581" t="s">
        <v>557</v>
      </c>
      <c r="D3581" t="s">
        <v>2554</v>
      </c>
      <c r="E3581" t="s">
        <v>3389</v>
      </c>
      <c r="F3581" s="451">
        <v>46093</v>
      </c>
      <c r="G3581">
        <v>17266</v>
      </c>
      <c r="H3581" t="s">
        <v>5192</v>
      </c>
      <c r="I3581" t="s">
        <v>5188</v>
      </c>
      <c r="J3581">
        <v>3</v>
      </c>
      <c r="K3581" t="s">
        <v>4736</v>
      </c>
      <c r="L3581">
        <v>13.95</v>
      </c>
      <c r="M3581">
        <v>4.6500000000000004</v>
      </c>
      <c r="N3581" t="s">
        <v>5277</v>
      </c>
      <c r="O3581" t="s">
        <v>461</v>
      </c>
    </row>
    <row r="3582" spans="1:15" x14ac:dyDescent="0.3">
      <c r="A3582">
        <v>216917</v>
      </c>
      <c r="B3582">
        <v>105</v>
      </c>
      <c r="C3582" t="s">
        <v>557</v>
      </c>
      <c r="D3582" t="s">
        <v>2554</v>
      </c>
      <c r="E3582" t="s">
        <v>3389</v>
      </c>
      <c r="F3582" s="451">
        <v>46093</v>
      </c>
      <c r="G3582">
        <v>17215</v>
      </c>
      <c r="H3582" t="s">
        <v>5299</v>
      </c>
      <c r="I3582" t="s">
        <v>5188</v>
      </c>
      <c r="J3582">
        <v>5</v>
      </c>
      <c r="K3582" t="s">
        <v>4848</v>
      </c>
      <c r="L3582">
        <v>99.95</v>
      </c>
      <c r="M3582">
        <v>19.989999999999998</v>
      </c>
      <c r="N3582" t="s">
        <v>5277</v>
      </c>
      <c r="O3582" t="s">
        <v>461</v>
      </c>
    </row>
    <row r="3583" spans="1:15" x14ac:dyDescent="0.3">
      <c r="A3583">
        <v>216917</v>
      </c>
      <c r="B3583">
        <v>105</v>
      </c>
      <c r="C3583" t="s">
        <v>557</v>
      </c>
      <c r="D3583" t="s">
        <v>2554</v>
      </c>
      <c r="E3583" t="s">
        <v>3389</v>
      </c>
      <c r="F3583" s="451">
        <v>46093</v>
      </c>
      <c r="G3583">
        <v>21783</v>
      </c>
      <c r="H3583" t="s">
        <v>5210</v>
      </c>
      <c r="I3583" t="s">
        <v>5205</v>
      </c>
      <c r="J3583">
        <v>1</v>
      </c>
      <c r="K3583" t="s">
        <v>4736</v>
      </c>
      <c r="L3583">
        <v>10.56</v>
      </c>
      <c r="M3583">
        <v>10.56</v>
      </c>
      <c r="N3583" t="s">
        <v>5277</v>
      </c>
      <c r="O3583" t="s">
        <v>461</v>
      </c>
    </row>
    <row r="3584" spans="1:15" x14ac:dyDescent="0.3">
      <c r="A3584">
        <v>216917</v>
      </c>
      <c r="B3584">
        <v>105</v>
      </c>
      <c r="C3584" t="s">
        <v>557</v>
      </c>
      <c r="D3584" t="s">
        <v>2554</v>
      </c>
      <c r="E3584" t="s">
        <v>3389</v>
      </c>
      <c r="F3584" s="451">
        <v>46093</v>
      </c>
      <c r="G3584">
        <v>23971</v>
      </c>
      <c r="H3584" t="s">
        <v>5296</v>
      </c>
      <c r="I3584" t="s">
        <v>5232</v>
      </c>
      <c r="J3584">
        <v>2</v>
      </c>
      <c r="K3584" t="s">
        <v>4736</v>
      </c>
      <c r="L3584">
        <v>21</v>
      </c>
      <c r="M3584">
        <v>10.5</v>
      </c>
      <c r="N3584" t="s">
        <v>5277</v>
      </c>
      <c r="O3584" t="s">
        <v>461</v>
      </c>
    </row>
    <row r="3585" spans="1:15" x14ac:dyDescent="0.3">
      <c r="A3585">
        <v>216917</v>
      </c>
      <c r="B3585">
        <v>105</v>
      </c>
      <c r="C3585" t="s">
        <v>557</v>
      </c>
      <c r="D3585" t="s">
        <v>2554</v>
      </c>
      <c r="E3585" t="s">
        <v>3389</v>
      </c>
      <c r="F3585" s="451">
        <v>46093</v>
      </c>
      <c r="G3585">
        <v>24787</v>
      </c>
      <c r="H3585" t="s">
        <v>5212</v>
      </c>
      <c r="I3585" t="s">
        <v>5188</v>
      </c>
      <c r="J3585">
        <v>2</v>
      </c>
      <c r="K3585" t="s">
        <v>4738</v>
      </c>
      <c r="L3585">
        <v>164.42</v>
      </c>
      <c r="M3585">
        <v>82.21</v>
      </c>
      <c r="N3585" t="s">
        <v>5277</v>
      </c>
      <c r="O3585" t="s">
        <v>461</v>
      </c>
    </row>
    <row r="3586" spans="1:15" x14ac:dyDescent="0.3">
      <c r="A3586">
        <v>216917</v>
      </c>
      <c r="B3586">
        <v>105</v>
      </c>
      <c r="C3586" t="s">
        <v>557</v>
      </c>
      <c r="D3586" t="s">
        <v>2554</v>
      </c>
      <c r="E3586" t="s">
        <v>3389</v>
      </c>
      <c r="F3586" s="451">
        <v>46093</v>
      </c>
      <c r="G3586">
        <v>17333</v>
      </c>
      <c r="H3586" t="s">
        <v>5211</v>
      </c>
      <c r="I3586" t="s">
        <v>5188</v>
      </c>
      <c r="J3586">
        <v>1</v>
      </c>
      <c r="K3586" t="s">
        <v>4738</v>
      </c>
      <c r="L3586">
        <v>68.64</v>
      </c>
      <c r="M3586">
        <v>68.64</v>
      </c>
      <c r="N3586" t="s">
        <v>5277</v>
      </c>
      <c r="O3586" t="s">
        <v>461</v>
      </c>
    </row>
    <row r="3587" spans="1:15" x14ac:dyDescent="0.3">
      <c r="A3587">
        <v>216917</v>
      </c>
      <c r="B3587">
        <v>105</v>
      </c>
      <c r="C3587" t="s">
        <v>557</v>
      </c>
      <c r="D3587" t="s">
        <v>2554</v>
      </c>
      <c r="E3587" t="s">
        <v>3389</v>
      </c>
      <c r="F3587" s="451">
        <v>46093</v>
      </c>
      <c r="G3587">
        <v>17418</v>
      </c>
      <c r="H3587" t="s">
        <v>5207</v>
      </c>
      <c r="I3587" t="s">
        <v>5188</v>
      </c>
      <c r="J3587">
        <v>2</v>
      </c>
      <c r="K3587" t="s">
        <v>4749</v>
      </c>
      <c r="L3587">
        <v>117.8</v>
      </c>
      <c r="M3587">
        <v>58.9</v>
      </c>
      <c r="N3587" t="s">
        <v>5277</v>
      </c>
      <c r="O3587" t="s">
        <v>461</v>
      </c>
    </row>
    <row r="3588" spans="1:15" x14ac:dyDescent="0.3">
      <c r="A3588">
        <v>216917</v>
      </c>
      <c r="B3588">
        <v>105</v>
      </c>
      <c r="C3588" t="s">
        <v>557</v>
      </c>
      <c r="D3588" t="s">
        <v>2554</v>
      </c>
      <c r="E3588" t="s">
        <v>3389</v>
      </c>
      <c r="F3588" s="451">
        <v>46093</v>
      </c>
      <c r="G3588">
        <v>24505</v>
      </c>
      <c r="H3588" t="s">
        <v>5198</v>
      </c>
      <c r="I3588" t="s">
        <v>5188</v>
      </c>
      <c r="J3588">
        <v>3</v>
      </c>
      <c r="K3588" t="s">
        <v>4738</v>
      </c>
      <c r="L3588">
        <v>14.94</v>
      </c>
      <c r="M3588">
        <v>4.9800000000000004</v>
      </c>
      <c r="N3588" t="s">
        <v>5277</v>
      </c>
      <c r="O3588" t="s">
        <v>461</v>
      </c>
    </row>
    <row r="3589" spans="1:15" x14ac:dyDescent="0.3">
      <c r="A3589">
        <v>216917</v>
      </c>
      <c r="B3589">
        <v>105</v>
      </c>
      <c r="C3589" t="s">
        <v>557</v>
      </c>
      <c r="D3589" t="s">
        <v>2554</v>
      </c>
      <c r="E3589" t="s">
        <v>3389</v>
      </c>
      <c r="F3589" s="451">
        <v>46093</v>
      </c>
      <c r="G3589">
        <v>28298</v>
      </c>
      <c r="H3589" t="s">
        <v>5261</v>
      </c>
      <c r="I3589" t="s">
        <v>5188</v>
      </c>
      <c r="J3589">
        <v>1</v>
      </c>
      <c r="K3589" t="s">
        <v>4749</v>
      </c>
      <c r="L3589">
        <v>68.64</v>
      </c>
      <c r="M3589">
        <v>68.64</v>
      </c>
      <c r="N3589" t="s">
        <v>5277</v>
      </c>
      <c r="O3589" t="s">
        <v>461</v>
      </c>
    </row>
    <row r="3590" spans="1:15" x14ac:dyDescent="0.3">
      <c r="A3590">
        <v>216913</v>
      </c>
      <c r="B3590">
        <v>105</v>
      </c>
      <c r="C3590" t="s">
        <v>557</v>
      </c>
      <c r="D3590" t="s">
        <v>2552</v>
      </c>
      <c r="E3590" t="s">
        <v>3390</v>
      </c>
      <c r="F3590" s="451">
        <v>46093</v>
      </c>
      <c r="G3590">
        <v>26627</v>
      </c>
      <c r="H3590" t="s">
        <v>5190</v>
      </c>
      <c r="I3590" t="s">
        <v>5191</v>
      </c>
      <c r="J3590">
        <v>25</v>
      </c>
      <c r="K3590" t="s">
        <v>4744</v>
      </c>
      <c r="L3590">
        <v>197.5</v>
      </c>
      <c r="M3590">
        <v>7.9</v>
      </c>
      <c r="N3590" t="s">
        <v>5272</v>
      </c>
      <c r="O3590" t="s">
        <v>461</v>
      </c>
    </row>
    <row r="3591" spans="1:15" x14ac:dyDescent="0.3">
      <c r="A3591">
        <v>216911</v>
      </c>
      <c r="B3591">
        <v>105</v>
      </c>
      <c r="C3591" t="s">
        <v>557</v>
      </c>
      <c r="D3591" t="s">
        <v>1280</v>
      </c>
      <c r="E3591" t="s">
        <v>3391</v>
      </c>
      <c r="F3591" s="451">
        <v>46080</v>
      </c>
      <c r="G3591">
        <v>27810</v>
      </c>
      <c r="H3591" t="s">
        <v>5375</v>
      </c>
      <c r="I3591" t="s">
        <v>5205</v>
      </c>
      <c r="J3591">
        <v>1</v>
      </c>
      <c r="K3591" t="s">
        <v>4736</v>
      </c>
      <c r="L3591">
        <v>168.9</v>
      </c>
      <c r="M3591">
        <v>168.9</v>
      </c>
      <c r="N3591" t="s">
        <v>5376</v>
      </c>
      <c r="O3591" t="s">
        <v>460</v>
      </c>
    </row>
    <row r="3592" spans="1:15" x14ac:dyDescent="0.3">
      <c r="A3592">
        <v>216909</v>
      </c>
      <c r="B3592">
        <v>105</v>
      </c>
      <c r="C3592" t="s">
        <v>557</v>
      </c>
      <c r="D3592" t="s">
        <v>2597</v>
      </c>
      <c r="E3592" t="s">
        <v>3392</v>
      </c>
      <c r="F3592" s="451">
        <v>46090</v>
      </c>
      <c r="G3592">
        <v>24217</v>
      </c>
      <c r="H3592" t="s">
        <v>4778</v>
      </c>
      <c r="I3592" t="s">
        <v>5191</v>
      </c>
      <c r="J3592">
        <v>40.85</v>
      </c>
      <c r="K3592" t="s">
        <v>4744</v>
      </c>
      <c r="L3592">
        <v>1303.1199999999999</v>
      </c>
      <c r="M3592">
        <v>31.900122</v>
      </c>
      <c r="N3592" t="s">
        <v>5272</v>
      </c>
      <c r="O3592" t="s">
        <v>461</v>
      </c>
    </row>
    <row r="3593" spans="1:15" x14ac:dyDescent="0.3">
      <c r="A3593">
        <v>216909</v>
      </c>
      <c r="B3593">
        <v>105</v>
      </c>
      <c r="C3593" t="s">
        <v>557</v>
      </c>
      <c r="D3593" t="s">
        <v>2597</v>
      </c>
      <c r="E3593" t="s">
        <v>3392</v>
      </c>
      <c r="F3593" s="451">
        <v>46090</v>
      </c>
      <c r="G3593">
        <v>24259</v>
      </c>
      <c r="H3593" t="s">
        <v>4875</v>
      </c>
      <c r="I3593" t="s">
        <v>5191</v>
      </c>
      <c r="J3593">
        <v>20.55</v>
      </c>
      <c r="K3593" t="s">
        <v>4744</v>
      </c>
      <c r="L3593">
        <v>1596.74</v>
      </c>
      <c r="M3593">
        <v>77.700243</v>
      </c>
      <c r="N3593" t="s">
        <v>5272</v>
      </c>
      <c r="O3593" t="s">
        <v>461</v>
      </c>
    </row>
    <row r="3594" spans="1:15" x14ac:dyDescent="0.3">
      <c r="A3594">
        <v>216909</v>
      </c>
      <c r="B3594">
        <v>105</v>
      </c>
      <c r="C3594" t="s">
        <v>557</v>
      </c>
      <c r="D3594" t="s">
        <v>2597</v>
      </c>
      <c r="E3594" t="s">
        <v>3392</v>
      </c>
      <c r="F3594" s="451">
        <v>46090</v>
      </c>
      <c r="G3594">
        <v>25205</v>
      </c>
      <c r="H3594" t="s">
        <v>4850</v>
      </c>
      <c r="I3594" t="s">
        <v>5191</v>
      </c>
      <c r="J3594">
        <v>5</v>
      </c>
      <c r="K3594" t="s">
        <v>4744</v>
      </c>
      <c r="L3594">
        <v>99.5</v>
      </c>
      <c r="M3594">
        <v>19.899999999999999</v>
      </c>
      <c r="N3594" t="s">
        <v>5272</v>
      </c>
      <c r="O3594" t="s">
        <v>461</v>
      </c>
    </row>
    <row r="3595" spans="1:15" x14ac:dyDescent="0.3">
      <c r="A3595">
        <v>216909</v>
      </c>
      <c r="B3595">
        <v>105</v>
      </c>
      <c r="C3595" t="s">
        <v>557</v>
      </c>
      <c r="D3595" t="s">
        <v>2597</v>
      </c>
      <c r="E3595" t="s">
        <v>3392</v>
      </c>
      <c r="F3595" s="451">
        <v>46090</v>
      </c>
      <c r="G3595">
        <v>24320</v>
      </c>
      <c r="H3595" t="s">
        <v>4861</v>
      </c>
      <c r="I3595" t="s">
        <v>5191</v>
      </c>
      <c r="J3595">
        <v>6.3</v>
      </c>
      <c r="K3595" t="s">
        <v>4744</v>
      </c>
      <c r="L3595">
        <v>226.17</v>
      </c>
      <c r="M3595">
        <v>35.9</v>
      </c>
      <c r="N3595" t="s">
        <v>5272</v>
      </c>
      <c r="O3595" t="s">
        <v>461</v>
      </c>
    </row>
    <row r="3596" spans="1:15" x14ac:dyDescent="0.3">
      <c r="A3596">
        <v>216909</v>
      </c>
      <c r="B3596">
        <v>105</v>
      </c>
      <c r="C3596" t="s">
        <v>557</v>
      </c>
      <c r="D3596" t="s">
        <v>2597</v>
      </c>
      <c r="E3596" t="s">
        <v>3392</v>
      </c>
      <c r="F3596" s="451">
        <v>46090</v>
      </c>
      <c r="G3596">
        <v>19017</v>
      </c>
      <c r="H3596" t="s">
        <v>5174</v>
      </c>
      <c r="I3596" t="s">
        <v>5191</v>
      </c>
      <c r="J3596">
        <v>6.5</v>
      </c>
      <c r="K3596" t="s">
        <v>4744</v>
      </c>
      <c r="L3596">
        <v>97.44</v>
      </c>
      <c r="M3596">
        <v>14.990769</v>
      </c>
      <c r="N3596" t="s">
        <v>5272</v>
      </c>
      <c r="O3596" t="s">
        <v>461</v>
      </c>
    </row>
    <row r="3597" spans="1:15" x14ac:dyDescent="0.3">
      <c r="A3597">
        <v>216909</v>
      </c>
      <c r="B3597">
        <v>105</v>
      </c>
      <c r="C3597" t="s">
        <v>557</v>
      </c>
      <c r="D3597" t="s">
        <v>2597</v>
      </c>
      <c r="E3597" t="s">
        <v>3392</v>
      </c>
      <c r="F3597" s="451">
        <v>46090</v>
      </c>
      <c r="G3597">
        <v>20501</v>
      </c>
      <c r="H3597" t="s">
        <v>4760</v>
      </c>
      <c r="I3597" t="s">
        <v>5191</v>
      </c>
      <c r="J3597">
        <v>30</v>
      </c>
      <c r="K3597" t="s">
        <v>4744</v>
      </c>
      <c r="L3597">
        <v>657</v>
      </c>
      <c r="M3597">
        <v>21.9</v>
      </c>
      <c r="N3597" t="s">
        <v>5272</v>
      </c>
      <c r="O3597" t="s">
        <v>461</v>
      </c>
    </row>
    <row r="3598" spans="1:15" x14ac:dyDescent="0.3">
      <c r="A3598">
        <v>216909</v>
      </c>
      <c r="B3598">
        <v>105</v>
      </c>
      <c r="C3598" t="s">
        <v>557</v>
      </c>
      <c r="D3598" t="s">
        <v>2597</v>
      </c>
      <c r="E3598" t="s">
        <v>3392</v>
      </c>
      <c r="F3598" s="451">
        <v>46090</v>
      </c>
      <c r="G3598">
        <v>19041</v>
      </c>
      <c r="H3598" t="s">
        <v>4762</v>
      </c>
      <c r="I3598" t="s">
        <v>5191</v>
      </c>
      <c r="J3598">
        <v>40</v>
      </c>
      <c r="K3598" t="s">
        <v>4744</v>
      </c>
      <c r="L3598">
        <v>596</v>
      </c>
      <c r="M3598">
        <v>14.9</v>
      </c>
      <c r="N3598" t="s">
        <v>5272</v>
      </c>
      <c r="O3598" t="s">
        <v>461</v>
      </c>
    </row>
    <row r="3599" spans="1:15" x14ac:dyDescent="0.3">
      <c r="A3599">
        <v>216909</v>
      </c>
      <c r="B3599">
        <v>105</v>
      </c>
      <c r="C3599" t="s">
        <v>557</v>
      </c>
      <c r="D3599" t="s">
        <v>2597</v>
      </c>
      <c r="E3599" t="s">
        <v>3392</v>
      </c>
      <c r="F3599" s="451">
        <v>46090</v>
      </c>
      <c r="G3599">
        <v>24096</v>
      </c>
      <c r="H3599" t="s">
        <v>4771</v>
      </c>
      <c r="I3599" t="s">
        <v>5191</v>
      </c>
      <c r="J3599">
        <v>70.3</v>
      </c>
      <c r="K3599" t="s">
        <v>4744</v>
      </c>
      <c r="L3599">
        <v>3015.87</v>
      </c>
      <c r="M3599">
        <v>42.9</v>
      </c>
      <c r="N3599" t="s">
        <v>5272</v>
      </c>
      <c r="O3599" t="s">
        <v>461</v>
      </c>
    </row>
    <row r="3600" spans="1:15" x14ac:dyDescent="0.3">
      <c r="A3600">
        <v>216907</v>
      </c>
      <c r="B3600">
        <v>105</v>
      </c>
      <c r="C3600" t="s">
        <v>557</v>
      </c>
      <c r="D3600" t="s">
        <v>2597</v>
      </c>
      <c r="E3600" t="s">
        <v>3393</v>
      </c>
      <c r="F3600" s="451">
        <v>46092</v>
      </c>
      <c r="G3600">
        <v>24339</v>
      </c>
      <c r="H3600" t="s">
        <v>4885</v>
      </c>
      <c r="I3600" t="s">
        <v>5191</v>
      </c>
      <c r="J3600">
        <v>3.4</v>
      </c>
      <c r="K3600" t="s">
        <v>4744</v>
      </c>
      <c r="L3600">
        <v>111.52</v>
      </c>
      <c r="M3600">
        <v>32.799999999999997</v>
      </c>
      <c r="N3600" t="s">
        <v>5272</v>
      </c>
      <c r="O3600" t="s">
        <v>461</v>
      </c>
    </row>
    <row r="3601" spans="1:15" x14ac:dyDescent="0.3">
      <c r="A3601">
        <v>216906</v>
      </c>
      <c r="B3601">
        <v>105</v>
      </c>
      <c r="C3601" t="s">
        <v>557</v>
      </c>
      <c r="D3601" t="s">
        <v>2864</v>
      </c>
      <c r="E3601" t="s">
        <v>3394</v>
      </c>
      <c r="F3601" s="451">
        <v>46092</v>
      </c>
      <c r="G3601">
        <v>19983</v>
      </c>
      <c r="H3601" t="s">
        <v>5068</v>
      </c>
      <c r="I3601" t="s">
        <v>5191</v>
      </c>
      <c r="J3601">
        <v>1</v>
      </c>
      <c r="K3601" t="s">
        <v>5241</v>
      </c>
      <c r="L3601">
        <v>19.8</v>
      </c>
      <c r="M3601">
        <v>19.8</v>
      </c>
      <c r="N3601" t="s">
        <v>5191</v>
      </c>
      <c r="O3601" t="s">
        <v>461</v>
      </c>
    </row>
    <row r="3602" spans="1:15" x14ac:dyDescent="0.3">
      <c r="A3602">
        <v>216906</v>
      </c>
      <c r="B3602">
        <v>105</v>
      </c>
      <c r="C3602" t="s">
        <v>557</v>
      </c>
      <c r="D3602" t="s">
        <v>2864</v>
      </c>
      <c r="E3602" t="s">
        <v>3394</v>
      </c>
      <c r="F3602" s="451">
        <v>46092</v>
      </c>
      <c r="G3602">
        <v>20871</v>
      </c>
      <c r="H3602" t="s">
        <v>5015</v>
      </c>
      <c r="I3602" t="s">
        <v>5191</v>
      </c>
      <c r="J3602">
        <v>2</v>
      </c>
      <c r="K3602" t="s">
        <v>4879</v>
      </c>
      <c r="L3602">
        <v>39.78</v>
      </c>
      <c r="M3602">
        <v>19.89</v>
      </c>
      <c r="N3602" t="s">
        <v>5191</v>
      </c>
      <c r="O3602" t="s">
        <v>461</v>
      </c>
    </row>
    <row r="3603" spans="1:15" x14ac:dyDescent="0.3">
      <c r="A3603">
        <v>216906</v>
      </c>
      <c r="B3603">
        <v>105</v>
      </c>
      <c r="C3603" t="s">
        <v>557</v>
      </c>
      <c r="D3603" t="s">
        <v>2864</v>
      </c>
      <c r="E3603" t="s">
        <v>3394</v>
      </c>
      <c r="F3603" s="451">
        <v>46092</v>
      </c>
      <c r="G3603">
        <v>20382</v>
      </c>
      <c r="H3603" t="s">
        <v>4780</v>
      </c>
      <c r="I3603" t="s">
        <v>5191</v>
      </c>
      <c r="J3603">
        <v>16</v>
      </c>
      <c r="K3603" t="s">
        <v>5238</v>
      </c>
      <c r="L3603">
        <v>143.84</v>
      </c>
      <c r="M3603">
        <v>8.99</v>
      </c>
      <c r="N3603" t="s">
        <v>5191</v>
      </c>
      <c r="O3603" t="s">
        <v>461</v>
      </c>
    </row>
    <row r="3604" spans="1:15" x14ac:dyDescent="0.3">
      <c r="A3604">
        <v>216906</v>
      </c>
      <c r="B3604">
        <v>105</v>
      </c>
      <c r="C3604" t="s">
        <v>557</v>
      </c>
      <c r="D3604" t="s">
        <v>2864</v>
      </c>
      <c r="E3604" t="s">
        <v>3394</v>
      </c>
      <c r="F3604" s="451">
        <v>46092</v>
      </c>
      <c r="G3604">
        <v>20624</v>
      </c>
      <c r="H3604" t="s">
        <v>5019</v>
      </c>
      <c r="I3604" t="s">
        <v>5191</v>
      </c>
      <c r="J3604">
        <v>1</v>
      </c>
      <c r="K3604" t="s">
        <v>4736</v>
      </c>
      <c r="L3604">
        <v>66.819999999999993</v>
      </c>
      <c r="M3604">
        <v>66.819999999999993</v>
      </c>
      <c r="N3604" t="s">
        <v>5191</v>
      </c>
      <c r="O3604" t="s">
        <v>461</v>
      </c>
    </row>
    <row r="3605" spans="1:15" x14ac:dyDescent="0.3">
      <c r="A3605">
        <v>216906</v>
      </c>
      <c r="B3605">
        <v>105</v>
      </c>
      <c r="C3605" t="s">
        <v>557</v>
      </c>
      <c r="D3605" t="s">
        <v>2864</v>
      </c>
      <c r="E3605" t="s">
        <v>3394</v>
      </c>
      <c r="F3605" s="451">
        <v>46092</v>
      </c>
      <c r="G3605">
        <v>23934</v>
      </c>
      <c r="H3605" t="s">
        <v>4845</v>
      </c>
      <c r="I3605" t="s">
        <v>5191</v>
      </c>
      <c r="J3605">
        <v>3</v>
      </c>
      <c r="K3605" t="s">
        <v>4736</v>
      </c>
      <c r="L3605">
        <v>32.700000000000003</v>
      </c>
      <c r="M3605">
        <v>10.9</v>
      </c>
      <c r="N3605" t="s">
        <v>5191</v>
      </c>
      <c r="O3605" t="s">
        <v>461</v>
      </c>
    </row>
    <row r="3606" spans="1:15" x14ac:dyDescent="0.3">
      <c r="A3606">
        <v>216290</v>
      </c>
      <c r="B3606">
        <v>105</v>
      </c>
      <c r="C3606" t="s">
        <v>557</v>
      </c>
      <c r="D3606" t="s">
        <v>2605</v>
      </c>
      <c r="E3606" t="s">
        <v>3395</v>
      </c>
      <c r="F3606" s="451">
        <v>46092</v>
      </c>
      <c r="G3606">
        <v>25358</v>
      </c>
      <c r="H3606" t="s">
        <v>4980</v>
      </c>
      <c r="I3606" t="s">
        <v>5191</v>
      </c>
      <c r="J3606">
        <v>1</v>
      </c>
      <c r="K3606" t="s">
        <v>5238</v>
      </c>
      <c r="L3606">
        <v>81.599999999999994</v>
      </c>
      <c r="M3606">
        <v>81.599999999999994</v>
      </c>
      <c r="N3606" t="s">
        <v>5272</v>
      </c>
      <c r="O3606" t="s">
        <v>461</v>
      </c>
    </row>
    <row r="3607" spans="1:15" x14ac:dyDescent="0.3">
      <c r="A3607">
        <v>216290</v>
      </c>
      <c r="B3607">
        <v>105</v>
      </c>
      <c r="C3607" t="s">
        <v>557</v>
      </c>
      <c r="D3607" t="s">
        <v>2605</v>
      </c>
      <c r="E3607" t="s">
        <v>3395</v>
      </c>
      <c r="F3607" s="451">
        <v>46092</v>
      </c>
      <c r="G3607">
        <v>19969</v>
      </c>
      <c r="H3607" t="s">
        <v>5018</v>
      </c>
      <c r="I3607" t="s">
        <v>5191</v>
      </c>
      <c r="J3607">
        <v>1</v>
      </c>
      <c r="K3607" t="s">
        <v>4888</v>
      </c>
      <c r="L3607">
        <v>10.050000000000001</v>
      </c>
      <c r="M3607">
        <v>10.050000000000001</v>
      </c>
      <c r="N3607" t="s">
        <v>5272</v>
      </c>
      <c r="O3607" t="s">
        <v>461</v>
      </c>
    </row>
    <row r="3608" spans="1:15" x14ac:dyDescent="0.3">
      <c r="A3608">
        <v>216290</v>
      </c>
      <c r="B3608">
        <v>105</v>
      </c>
      <c r="C3608" t="s">
        <v>557</v>
      </c>
      <c r="D3608" t="s">
        <v>2605</v>
      </c>
      <c r="E3608" t="s">
        <v>3395</v>
      </c>
      <c r="F3608" s="451">
        <v>46092</v>
      </c>
      <c r="G3608">
        <v>24322</v>
      </c>
      <c r="H3608" t="s">
        <v>5064</v>
      </c>
      <c r="I3608" t="s">
        <v>5191</v>
      </c>
      <c r="J3608">
        <v>1</v>
      </c>
      <c r="K3608" t="s">
        <v>5238</v>
      </c>
      <c r="L3608">
        <v>22</v>
      </c>
      <c r="M3608">
        <v>22</v>
      </c>
      <c r="N3608" t="s">
        <v>5272</v>
      </c>
      <c r="O3608" t="s">
        <v>461</v>
      </c>
    </row>
    <row r="3609" spans="1:15" x14ac:dyDescent="0.3">
      <c r="A3609">
        <v>216290</v>
      </c>
      <c r="B3609">
        <v>105</v>
      </c>
      <c r="C3609" t="s">
        <v>557</v>
      </c>
      <c r="D3609" t="s">
        <v>2605</v>
      </c>
      <c r="E3609" t="s">
        <v>3395</v>
      </c>
      <c r="F3609" s="451">
        <v>46092</v>
      </c>
      <c r="G3609">
        <v>20007</v>
      </c>
      <c r="H3609" t="s">
        <v>5101</v>
      </c>
      <c r="I3609" t="s">
        <v>5191</v>
      </c>
      <c r="J3609">
        <v>3</v>
      </c>
      <c r="K3609" t="s">
        <v>4884</v>
      </c>
      <c r="L3609">
        <v>150.6</v>
      </c>
      <c r="M3609">
        <v>50.2</v>
      </c>
      <c r="N3609" t="s">
        <v>5272</v>
      </c>
      <c r="O3609" t="s">
        <v>461</v>
      </c>
    </row>
    <row r="3610" spans="1:15" x14ac:dyDescent="0.3">
      <c r="A3610">
        <v>216290</v>
      </c>
      <c r="B3610">
        <v>105</v>
      </c>
      <c r="C3610" t="s">
        <v>557</v>
      </c>
      <c r="D3610" t="s">
        <v>2605</v>
      </c>
      <c r="E3610" t="s">
        <v>3395</v>
      </c>
      <c r="F3610" s="451">
        <v>46092</v>
      </c>
      <c r="G3610">
        <v>20122</v>
      </c>
      <c r="H3610" t="s">
        <v>4781</v>
      </c>
      <c r="I3610" t="s">
        <v>5191</v>
      </c>
      <c r="J3610">
        <v>5</v>
      </c>
      <c r="K3610" t="s">
        <v>4738</v>
      </c>
      <c r="L3610">
        <v>72</v>
      </c>
      <c r="M3610">
        <v>14.4</v>
      </c>
      <c r="N3610" t="s">
        <v>5272</v>
      </c>
      <c r="O3610" t="s">
        <v>461</v>
      </c>
    </row>
    <row r="3611" spans="1:15" x14ac:dyDescent="0.3">
      <c r="A3611">
        <v>216290</v>
      </c>
      <c r="B3611">
        <v>105</v>
      </c>
      <c r="C3611" t="s">
        <v>557</v>
      </c>
      <c r="D3611" t="s">
        <v>2605</v>
      </c>
      <c r="E3611" t="s">
        <v>3395</v>
      </c>
      <c r="F3611" s="451">
        <v>46092</v>
      </c>
      <c r="G3611">
        <v>19241</v>
      </c>
      <c r="H3611" t="s">
        <v>4890</v>
      </c>
      <c r="I3611" t="s">
        <v>5191</v>
      </c>
      <c r="J3611">
        <v>2</v>
      </c>
      <c r="K3611" t="s">
        <v>5206</v>
      </c>
      <c r="L3611">
        <v>7.2</v>
      </c>
      <c r="M3611">
        <v>3.6</v>
      </c>
      <c r="N3611" t="s">
        <v>5272</v>
      </c>
      <c r="O3611" t="s">
        <v>461</v>
      </c>
    </row>
    <row r="3612" spans="1:15" x14ac:dyDescent="0.3">
      <c r="A3612">
        <v>216290</v>
      </c>
      <c r="B3612">
        <v>105</v>
      </c>
      <c r="C3612" t="s">
        <v>557</v>
      </c>
      <c r="D3612" t="s">
        <v>2605</v>
      </c>
      <c r="E3612" t="s">
        <v>3395</v>
      </c>
      <c r="F3612" s="451">
        <v>46092</v>
      </c>
      <c r="G3612">
        <v>19401</v>
      </c>
      <c r="H3612" t="s">
        <v>4809</v>
      </c>
      <c r="I3612" t="s">
        <v>5191</v>
      </c>
      <c r="J3612">
        <v>3</v>
      </c>
      <c r="K3612" t="s">
        <v>4879</v>
      </c>
      <c r="L3612">
        <v>689.7</v>
      </c>
      <c r="M3612">
        <v>229.9</v>
      </c>
      <c r="N3612" t="s">
        <v>5272</v>
      </c>
      <c r="O3612" t="s">
        <v>461</v>
      </c>
    </row>
    <row r="3613" spans="1:15" x14ac:dyDescent="0.3">
      <c r="A3613">
        <v>216290</v>
      </c>
      <c r="B3613">
        <v>105</v>
      </c>
      <c r="C3613" t="s">
        <v>557</v>
      </c>
      <c r="D3613" t="s">
        <v>2605</v>
      </c>
      <c r="E3613" t="s">
        <v>3395</v>
      </c>
      <c r="F3613" s="451">
        <v>46092</v>
      </c>
      <c r="G3613">
        <v>25022</v>
      </c>
      <c r="H3613" t="s">
        <v>4912</v>
      </c>
      <c r="I3613" t="s">
        <v>5191</v>
      </c>
      <c r="J3613">
        <v>3</v>
      </c>
      <c r="K3613" t="s">
        <v>4738</v>
      </c>
      <c r="L3613">
        <v>12.3</v>
      </c>
      <c r="M3613">
        <v>4.0999999999999996</v>
      </c>
      <c r="N3613" t="s">
        <v>5272</v>
      </c>
      <c r="O3613" t="s">
        <v>461</v>
      </c>
    </row>
    <row r="3614" spans="1:15" x14ac:dyDescent="0.3">
      <c r="A3614">
        <v>216290</v>
      </c>
      <c r="B3614">
        <v>105</v>
      </c>
      <c r="C3614" t="s">
        <v>557</v>
      </c>
      <c r="D3614" t="s">
        <v>2605</v>
      </c>
      <c r="E3614" t="s">
        <v>3395</v>
      </c>
      <c r="F3614" s="451">
        <v>46092</v>
      </c>
      <c r="G3614">
        <v>20295</v>
      </c>
      <c r="H3614" t="s">
        <v>4881</v>
      </c>
      <c r="I3614" t="s">
        <v>5191</v>
      </c>
      <c r="J3614">
        <v>1</v>
      </c>
      <c r="K3614" t="s">
        <v>4738</v>
      </c>
      <c r="L3614">
        <v>9.9</v>
      </c>
      <c r="M3614">
        <v>9.9</v>
      </c>
      <c r="N3614" t="s">
        <v>5272</v>
      </c>
      <c r="O3614" t="s">
        <v>461</v>
      </c>
    </row>
    <row r="3615" spans="1:15" x14ac:dyDescent="0.3">
      <c r="A3615">
        <v>216290</v>
      </c>
      <c r="B3615">
        <v>105</v>
      </c>
      <c r="C3615" t="s">
        <v>557</v>
      </c>
      <c r="D3615" t="s">
        <v>2605</v>
      </c>
      <c r="E3615" t="s">
        <v>3395</v>
      </c>
      <c r="F3615" s="451">
        <v>46092</v>
      </c>
      <c r="G3615">
        <v>23808</v>
      </c>
      <c r="H3615" t="s">
        <v>4982</v>
      </c>
      <c r="I3615" t="s">
        <v>5191</v>
      </c>
      <c r="J3615">
        <v>1</v>
      </c>
      <c r="K3615" t="s">
        <v>4744</v>
      </c>
      <c r="L3615">
        <v>67.099999999999994</v>
      </c>
      <c r="M3615">
        <v>67.099999999999994</v>
      </c>
      <c r="N3615" t="s">
        <v>5272</v>
      </c>
      <c r="O3615" t="s">
        <v>461</v>
      </c>
    </row>
    <row r="3616" spans="1:15" x14ac:dyDescent="0.3">
      <c r="A3616">
        <v>216290</v>
      </c>
      <c r="B3616">
        <v>105</v>
      </c>
      <c r="C3616" t="s">
        <v>557</v>
      </c>
      <c r="D3616" t="s">
        <v>2605</v>
      </c>
      <c r="E3616" t="s">
        <v>3395</v>
      </c>
      <c r="F3616" s="451">
        <v>46092</v>
      </c>
      <c r="G3616">
        <v>20928</v>
      </c>
      <c r="H3616" t="s">
        <v>4950</v>
      </c>
      <c r="I3616" t="s">
        <v>5191</v>
      </c>
      <c r="J3616">
        <v>1</v>
      </c>
      <c r="K3616" t="s">
        <v>4736</v>
      </c>
      <c r="L3616">
        <v>199.9</v>
      </c>
      <c r="M3616">
        <v>199.9</v>
      </c>
      <c r="N3616" t="s">
        <v>5272</v>
      </c>
      <c r="O3616" t="s">
        <v>461</v>
      </c>
    </row>
    <row r="3617" spans="1:15" x14ac:dyDescent="0.3">
      <c r="A3617">
        <v>216288</v>
      </c>
      <c r="B3617">
        <v>105</v>
      </c>
      <c r="C3617" t="s">
        <v>557</v>
      </c>
      <c r="D3617" t="s">
        <v>2690</v>
      </c>
      <c r="E3617" t="s">
        <v>3396</v>
      </c>
      <c r="F3617" s="451">
        <v>46091</v>
      </c>
      <c r="G3617">
        <v>18518</v>
      </c>
      <c r="H3617" t="s">
        <v>4838</v>
      </c>
      <c r="I3617" t="s">
        <v>5222</v>
      </c>
      <c r="J3617">
        <v>2</v>
      </c>
      <c r="K3617" t="s">
        <v>4805</v>
      </c>
      <c r="L3617">
        <v>100</v>
      </c>
      <c r="M3617">
        <v>50</v>
      </c>
      <c r="N3617" t="s">
        <v>5271</v>
      </c>
      <c r="O3617" t="s">
        <v>461</v>
      </c>
    </row>
    <row r="3618" spans="1:15" x14ac:dyDescent="0.3">
      <c r="A3618">
        <v>216288</v>
      </c>
      <c r="B3618">
        <v>105</v>
      </c>
      <c r="C3618" t="s">
        <v>557</v>
      </c>
      <c r="D3618" t="s">
        <v>2690</v>
      </c>
      <c r="E3618" t="s">
        <v>3396</v>
      </c>
      <c r="F3618" s="451">
        <v>46091</v>
      </c>
      <c r="G3618">
        <v>18253</v>
      </c>
      <c r="H3618" t="s">
        <v>4969</v>
      </c>
      <c r="I3618" t="s">
        <v>5222</v>
      </c>
      <c r="J3618">
        <v>5</v>
      </c>
      <c r="K3618" t="s">
        <v>4805</v>
      </c>
      <c r="L3618">
        <v>141.5</v>
      </c>
      <c r="M3618">
        <v>28.3</v>
      </c>
      <c r="N3618" t="s">
        <v>5271</v>
      </c>
      <c r="O3618" t="s">
        <v>461</v>
      </c>
    </row>
    <row r="3619" spans="1:15" x14ac:dyDescent="0.3">
      <c r="A3619">
        <v>216286</v>
      </c>
      <c r="B3619">
        <v>105</v>
      </c>
      <c r="C3619" t="s">
        <v>557</v>
      </c>
      <c r="D3619" t="s">
        <v>2605</v>
      </c>
      <c r="E3619" t="s">
        <v>3397</v>
      </c>
      <c r="F3619" s="451">
        <v>46084</v>
      </c>
      <c r="G3619">
        <v>20242</v>
      </c>
      <c r="H3619" t="s">
        <v>4824</v>
      </c>
      <c r="I3619" t="s">
        <v>5191</v>
      </c>
      <c r="J3619">
        <v>6</v>
      </c>
      <c r="K3619" t="s">
        <v>4738</v>
      </c>
      <c r="L3619">
        <v>87.6</v>
      </c>
      <c r="M3619">
        <v>14.6</v>
      </c>
      <c r="N3619" t="s">
        <v>5272</v>
      </c>
      <c r="O3619" t="s">
        <v>461</v>
      </c>
    </row>
    <row r="3620" spans="1:15" x14ac:dyDescent="0.3">
      <c r="A3620">
        <v>216286</v>
      </c>
      <c r="B3620">
        <v>105</v>
      </c>
      <c r="C3620" t="s">
        <v>557</v>
      </c>
      <c r="D3620" t="s">
        <v>2605</v>
      </c>
      <c r="E3620" t="s">
        <v>3397</v>
      </c>
      <c r="F3620" s="451">
        <v>46084</v>
      </c>
      <c r="G3620">
        <v>20227</v>
      </c>
      <c r="H3620" t="s">
        <v>4825</v>
      </c>
      <c r="I3620" t="s">
        <v>5191</v>
      </c>
      <c r="J3620">
        <v>5</v>
      </c>
      <c r="K3620" t="s">
        <v>4738</v>
      </c>
      <c r="L3620">
        <v>59.5</v>
      </c>
      <c r="M3620">
        <v>11.9</v>
      </c>
      <c r="N3620" t="s">
        <v>5272</v>
      </c>
      <c r="O3620" t="s">
        <v>461</v>
      </c>
    </row>
    <row r="3621" spans="1:15" x14ac:dyDescent="0.3">
      <c r="A3621">
        <v>216286</v>
      </c>
      <c r="B3621">
        <v>105</v>
      </c>
      <c r="C3621" t="s">
        <v>557</v>
      </c>
      <c r="D3621" t="s">
        <v>2605</v>
      </c>
      <c r="E3621" t="s">
        <v>3397</v>
      </c>
      <c r="F3621" s="451">
        <v>46084</v>
      </c>
      <c r="G3621">
        <v>25358</v>
      </c>
      <c r="H3621" t="s">
        <v>4980</v>
      </c>
      <c r="I3621" t="s">
        <v>5191</v>
      </c>
      <c r="J3621">
        <v>1</v>
      </c>
      <c r="K3621" t="s">
        <v>5238</v>
      </c>
      <c r="L3621">
        <v>81.599999999999994</v>
      </c>
      <c r="M3621">
        <v>81.599999999999994</v>
      </c>
      <c r="N3621" t="s">
        <v>5272</v>
      </c>
      <c r="O3621" t="s">
        <v>461</v>
      </c>
    </row>
    <row r="3622" spans="1:15" x14ac:dyDescent="0.3">
      <c r="A3622">
        <v>216286</v>
      </c>
      <c r="B3622">
        <v>105</v>
      </c>
      <c r="C3622" t="s">
        <v>557</v>
      </c>
      <c r="D3622" t="s">
        <v>2605</v>
      </c>
      <c r="E3622" t="s">
        <v>3397</v>
      </c>
      <c r="F3622" s="451">
        <v>46084</v>
      </c>
      <c r="G3622">
        <v>19241</v>
      </c>
      <c r="H3622" t="s">
        <v>4890</v>
      </c>
      <c r="I3622" t="s">
        <v>5191</v>
      </c>
      <c r="J3622">
        <v>2</v>
      </c>
      <c r="K3622" t="s">
        <v>5206</v>
      </c>
      <c r="L3622">
        <v>7.2</v>
      </c>
      <c r="M3622">
        <v>3.6</v>
      </c>
      <c r="N3622" t="s">
        <v>5272</v>
      </c>
      <c r="O3622" t="s">
        <v>461</v>
      </c>
    </row>
    <row r="3623" spans="1:15" x14ac:dyDescent="0.3">
      <c r="A3623">
        <v>216286</v>
      </c>
      <c r="B3623">
        <v>105</v>
      </c>
      <c r="C3623" t="s">
        <v>557</v>
      </c>
      <c r="D3623" t="s">
        <v>2605</v>
      </c>
      <c r="E3623" t="s">
        <v>3397</v>
      </c>
      <c r="F3623" s="451">
        <v>46084</v>
      </c>
      <c r="G3623">
        <v>20657</v>
      </c>
      <c r="H3623" t="s">
        <v>5109</v>
      </c>
      <c r="I3623" t="s">
        <v>5191</v>
      </c>
      <c r="J3623">
        <v>4</v>
      </c>
      <c r="K3623" t="s">
        <v>5206</v>
      </c>
      <c r="L3623">
        <v>25.44</v>
      </c>
      <c r="M3623">
        <v>6.36</v>
      </c>
      <c r="N3623" t="s">
        <v>5272</v>
      </c>
      <c r="O3623" t="s">
        <v>461</v>
      </c>
    </row>
    <row r="3624" spans="1:15" x14ac:dyDescent="0.3">
      <c r="A3624">
        <v>216286</v>
      </c>
      <c r="B3624">
        <v>105</v>
      </c>
      <c r="C3624" t="s">
        <v>557</v>
      </c>
      <c r="D3624" t="s">
        <v>2605</v>
      </c>
      <c r="E3624" t="s">
        <v>3397</v>
      </c>
      <c r="F3624" s="451">
        <v>46084</v>
      </c>
      <c r="G3624">
        <v>19969</v>
      </c>
      <c r="H3624" t="s">
        <v>5018</v>
      </c>
      <c r="I3624" t="s">
        <v>5191</v>
      </c>
      <c r="J3624">
        <v>1</v>
      </c>
      <c r="K3624" t="s">
        <v>4888</v>
      </c>
      <c r="L3624">
        <v>10.050000000000001</v>
      </c>
      <c r="M3624">
        <v>10.050000000000001</v>
      </c>
      <c r="N3624" t="s">
        <v>5272</v>
      </c>
      <c r="O3624" t="s">
        <v>461</v>
      </c>
    </row>
    <row r="3625" spans="1:15" x14ac:dyDescent="0.3">
      <c r="A3625">
        <v>216286</v>
      </c>
      <c r="B3625">
        <v>105</v>
      </c>
      <c r="C3625" t="s">
        <v>557</v>
      </c>
      <c r="D3625" t="s">
        <v>2605</v>
      </c>
      <c r="E3625" t="s">
        <v>3397</v>
      </c>
      <c r="F3625" s="451">
        <v>46084</v>
      </c>
      <c r="G3625">
        <v>20007</v>
      </c>
      <c r="H3625" t="s">
        <v>5101</v>
      </c>
      <c r="I3625" t="s">
        <v>5191</v>
      </c>
      <c r="J3625">
        <v>2</v>
      </c>
      <c r="K3625" t="s">
        <v>4884</v>
      </c>
      <c r="L3625">
        <v>100.4</v>
      </c>
      <c r="M3625">
        <v>50.2</v>
      </c>
      <c r="N3625" t="s">
        <v>5272</v>
      </c>
      <c r="O3625" t="s">
        <v>461</v>
      </c>
    </row>
    <row r="3626" spans="1:15" x14ac:dyDescent="0.3">
      <c r="A3626">
        <v>216286</v>
      </c>
      <c r="B3626">
        <v>105</v>
      </c>
      <c r="C3626" t="s">
        <v>557</v>
      </c>
      <c r="D3626" t="s">
        <v>2605</v>
      </c>
      <c r="E3626" t="s">
        <v>3397</v>
      </c>
      <c r="F3626" s="451">
        <v>46084</v>
      </c>
      <c r="G3626">
        <v>19415</v>
      </c>
      <c r="H3626" t="s">
        <v>4919</v>
      </c>
      <c r="I3626" t="s">
        <v>5191</v>
      </c>
      <c r="J3626">
        <v>2</v>
      </c>
      <c r="K3626" t="s">
        <v>4736</v>
      </c>
      <c r="L3626">
        <v>17.600000000000001</v>
      </c>
      <c r="M3626">
        <v>8.8000000000000007</v>
      </c>
      <c r="N3626" t="s">
        <v>5272</v>
      </c>
      <c r="O3626" t="s">
        <v>461</v>
      </c>
    </row>
    <row r="3627" spans="1:15" x14ac:dyDescent="0.3">
      <c r="A3627">
        <v>216286</v>
      </c>
      <c r="B3627">
        <v>105</v>
      </c>
      <c r="C3627" t="s">
        <v>557</v>
      </c>
      <c r="D3627" t="s">
        <v>2605</v>
      </c>
      <c r="E3627" t="s">
        <v>3397</v>
      </c>
      <c r="F3627" s="451">
        <v>46084</v>
      </c>
      <c r="G3627">
        <v>19401</v>
      </c>
      <c r="H3627" t="s">
        <v>4809</v>
      </c>
      <c r="I3627" t="s">
        <v>5191</v>
      </c>
      <c r="J3627">
        <v>1</v>
      </c>
      <c r="K3627" t="s">
        <v>4879</v>
      </c>
      <c r="L3627">
        <v>229.9</v>
      </c>
      <c r="M3627">
        <v>229.9</v>
      </c>
      <c r="N3627" t="s">
        <v>5272</v>
      </c>
      <c r="O3627" t="s">
        <v>461</v>
      </c>
    </row>
    <row r="3628" spans="1:15" x14ac:dyDescent="0.3">
      <c r="A3628">
        <v>216286</v>
      </c>
      <c r="B3628">
        <v>105</v>
      </c>
      <c r="C3628" t="s">
        <v>557</v>
      </c>
      <c r="D3628" t="s">
        <v>2605</v>
      </c>
      <c r="E3628" t="s">
        <v>3397</v>
      </c>
      <c r="F3628" s="451">
        <v>46084</v>
      </c>
      <c r="G3628">
        <v>21257</v>
      </c>
      <c r="H3628" t="s">
        <v>4952</v>
      </c>
      <c r="I3628" t="s">
        <v>5191</v>
      </c>
      <c r="J3628">
        <v>3</v>
      </c>
      <c r="K3628" t="s">
        <v>4736</v>
      </c>
      <c r="L3628">
        <v>56.55</v>
      </c>
      <c r="M3628">
        <v>18.850000000000001</v>
      </c>
      <c r="N3628" t="s">
        <v>5272</v>
      </c>
      <c r="O3628" t="s">
        <v>461</v>
      </c>
    </row>
    <row r="3629" spans="1:15" x14ac:dyDescent="0.3">
      <c r="A3629">
        <v>216286</v>
      </c>
      <c r="B3629">
        <v>105</v>
      </c>
      <c r="C3629" t="s">
        <v>557</v>
      </c>
      <c r="D3629" t="s">
        <v>2605</v>
      </c>
      <c r="E3629" t="s">
        <v>3397</v>
      </c>
      <c r="F3629" s="451">
        <v>46084</v>
      </c>
      <c r="G3629">
        <v>23645</v>
      </c>
      <c r="H3629" t="s">
        <v>5377</v>
      </c>
      <c r="I3629" t="s">
        <v>5191</v>
      </c>
      <c r="J3629">
        <v>1</v>
      </c>
      <c r="K3629" t="s">
        <v>4744</v>
      </c>
      <c r="L3629">
        <v>36.9</v>
      </c>
      <c r="M3629">
        <v>36.9</v>
      </c>
      <c r="N3629" t="s">
        <v>5272</v>
      </c>
      <c r="O3629" t="s">
        <v>461</v>
      </c>
    </row>
    <row r="3630" spans="1:15" x14ac:dyDescent="0.3">
      <c r="A3630">
        <v>216286</v>
      </c>
      <c r="B3630">
        <v>105</v>
      </c>
      <c r="C3630" t="s">
        <v>557</v>
      </c>
      <c r="D3630" t="s">
        <v>2605</v>
      </c>
      <c r="E3630" t="s">
        <v>3397</v>
      </c>
      <c r="F3630" s="451">
        <v>46084</v>
      </c>
      <c r="G3630">
        <v>25807</v>
      </c>
      <c r="H3630" t="s">
        <v>4951</v>
      </c>
      <c r="I3630" t="s">
        <v>5191</v>
      </c>
      <c r="J3630">
        <v>1</v>
      </c>
      <c r="K3630" t="s">
        <v>4736</v>
      </c>
      <c r="L3630">
        <v>188.3</v>
      </c>
      <c r="M3630">
        <v>188.3</v>
      </c>
      <c r="N3630" t="s">
        <v>5272</v>
      </c>
      <c r="O3630" t="s">
        <v>461</v>
      </c>
    </row>
    <row r="3631" spans="1:15" x14ac:dyDescent="0.3">
      <c r="A3631">
        <v>216286</v>
      </c>
      <c r="B3631">
        <v>105</v>
      </c>
      <c r="C3631" t="s">
        <v>557</v>
      </c>
      <c r="D3631" t="s">
        <v>2605</v>
      </c>
      <c r="E3631" t="s">
        <v>3397</v>
      </c>
      <c r="F3631" s="451">
        <v>46084</v>
      </c>
      <c r="G3631">
        <v>20689</v>
      </c>
      <c r="H3631" t="s">
        <v>5007</v>
      </c>
      <c r="I3631" t="s">
        <v>5191</v>
      </c>
      <c r="J3631">
        <v>3</v>
      </c>
      <c r="K3631" t="s">
        <v>5227</v>
      </c>
      <c r="L3631">
        <v>104.7</v>
      </c>
      <c r="M3631">
        <v>34.9</v>
      </c>
      <c r="N3631" t="s">
        <v>5272</v>
      </c>
      <c r="O3631" t="s">
        <v>461</v>
      </c>
    </row>
    <row r="3632" spans="1:15" x14ac:dyDescent="0.3">
      <c r="A3632">
        <v>216286</v>
      </c>
      <c r="B3632">
        <v>105</v>
      </c>
      <c r="C3632" t="s">
        <v>557</v>
      </c>
      <c r="D3632" t="s">
        <v>2605</v>
      </c>
      <c r="E3632" t="s">
        <v>3397</v>
      </c>
      <c r="F3632" s="451">
        <v>46084</v>
      </c>
      <c r="G3632">
        <v>28467</v>
      </c>
      <c r="H3632" t="s">
        <v>5378</v>
      </c>
      <c r="I3632" t="s">
        <v>5191</v>
      </c>
      <c r="J3632">
        <v>1</v>
      </c>
      <c r="K3632" t="s">
        <v>5227</v>
      </c>
      <c r="L3632">
        <v>15.9</v>
      </c>
      <c r="M3632">
        <v>15.9</v>
      </c>
      <c r="N3632" t="s">
        <v>5272</v>
      </c>
      <c r="O3632" t="s">
        <v>461</v>
      </c>
    </row>
    <row r="3633" spans="1:15" x14ac:dyDescent="0.3">
      <c r="A3633">
        <v>216285</v>
      </c>
      <c r="B3633">
        <v>105</v>
      </c>
      <c r="C3633" t="s">
        <v>557</v>
      </c>
      <c r="D3633" t="s">
        <v>2605</v>
      </c>
      <c r="E3633" t="s">
        <v>3398</v>
      </c>
      <c r="F3633" s="451">
        <v>46085</v>
      </c>
      <c r="G3633">
        <v>19306</v>
      </c>
      <c r="H3633" t="s">
        <v>5111</v>
      </c>
      <c r="I3633" t="s">
        <v>5191</v>
      </c>
      <c r="J3633">
        <v>2</v>
      </c>
      <c r="K3633" t="s">
        <v>5228</v>
      </c>
      <c r="L3633">
        <v>43.8</v>
      </c>
      <c r="M3633">
        <v>21.9</v>
      </c>
      <c r="N3633" t="s">
        <v>5191</v>
      </c>
      <c r="O3633" t="s">
        <v>461</v>
      </c>
    </row>
    <row r="3634" spans="1:15" x14ac:dyDescent="0.3">
      <c r="A3634">
        <v>216285</v>
      </c>
      <c r="B3634">
        <v>105</v>
      </c>
      <c r="C3634" t="s">
        <v>557</v>
      </c>
      <c r="D3634" t="s">
        <v>2605</v>
      </c>
      <c r="E3634" t="s">
        <v>3398</v>
      </c>
      <c r="F3634" s="451">
        <v>46085</v>
      </c>
      <c r="G3634">
        <v>19322</v>
      </c>
      <c r="H3634" t="s">
        <v>4830</v>
      </c>
      <c r="I3634" t="s">
        <v>5191</v>
      </c>
      <c r="J3634">
        <v>12</v>
      </c>
      <c r="K3634" t="s">
        <v>4744</v>
      </c>
      <c r="L3634">
        <v>546.6</v>
      </c>
      <c r="M3634">
        <v>45.55</v>
      </c>
      <c r="N3634" t="s">
        <v>5191</v>
      </c>
      <c r="O3634" t="s">
        <v>461</v>
      </c>
    </row>
    <row r="3635" spans="1:15" x14ac:dyDescent="0.3">
      <c r="A3635">
        <v>216284</v>
      </c>
      <c r="B3635">
        <v>105</v>
      </c>
      <c r="C3635" t="s">
        <v>557</v>
      </c>
      <c r="D3635" t="s">
        <v>2690</v>
      </c>
      <c r="E3635" t="s">
        <v>3399</v>
      </c>
      <c r="F3635" s="451">
        <v>46085</v>
      </c>
      <c r="G3635">
        <v>18327</v>
      </c>
      <c r="H3635" t="s">
        <v>5035</v>
      </c>
      <c r="I3635" t="s">
        <v>5222</v>
      </c>
      <c r="J3635">
        <v>1</v>
      </c>
      <c r="K3635" t="s">
        <v>4805</v>
      </c>
      <c r="L3635">
        <v>104.73</v>
      </c>
      <c r="M3635">
        <v>104.73</v>
      </c>
      <c r="N3635" t="s">
        <v>5222</v>
      </c>
      <c r="O3635" t="s">
        <v>461</v>
      </c>
    </row>
    <row r="3636" spans="1:15" x14ac:dyDescent="0.3">
      <c r="A3636">
        <v>216284</v>
      </c>
      <c r="B3636">
        <v>105</v>
      </c>
      <c r="C3636" t="s">
        <v>557</v>
      </c>
      <c r="D3636" t="s">
        <v>2690</v>
      </c>
      <c r="E3636" t="s">
        <v>3399</v>
      </c>
      <c r="F3636" s="451">
        <v>46085</v>
      </c>
      <c r="G3636">
        <v>18518</v>
      </c>
      <c r="H3636" t="s">
        <v>4838</v>
      </c>
      <c r="I3636" t="s">
        <v>5222</v>
      </c>
      <c r="J3636">
        <v>4</v>
      </c>
      <c r="K3636" t="s">
        <v>4805</v>
      </c>
      <c r="L3636">
        <v>200</v>
      </c>
      <c r="M3636">
        <v>50</v>
      </c>
      <c r="N3636" t="s">
        <v>5222</v>
      </c>
      <c r="O3636" t="s">
        <v>461</v>
      </c>
    </row>
    <row r="3637" spans="1:15" x14ac:dyDescent="0.3">
      <c r="A3637">
        <v>216284</v>
      </c>
      <c r="B3637">
        <v>105</v>
      </c>
      <c r="C3637" t="s">
        <v>557</v>
      </c>
      <c r="D3637" t="s">
        <v>2690</v>
      </c>
      <c r="E3637" t="s">
        <v>3399</v>
      </c>
      <c r="F3637" s="451">
        <v>46085</v>
      </c>
      <c r="G3637">
        <v>18545</v>
      </c>
      <c r="H3637" t="s">
        <v>4864</v>
      </c>
      <c r="I3637" t="s">
        <v>5222</v>
      </c>
      <c r="J3637">
        <v>1</v>
      </c>
      <c r="K3637" t="s">
        <v>4805</v>
      </c>
      <c r="L3637">
        <v>47.8</v>
      </c>
      <c r="M3637">
        <v>47.8</v>
      </c>
      <c r="N3637" t="s">
        <v>5222</v>
      </c>
      <c r="O3637" t="s">
        <v>461</v>
      </c>
    </row>
    <row r="3638" spans="1:15" x14ac:dyDescent="0.3">
      <c r="A3638">
        <v>216284</v>
      </c>
      <c r="B3638">
        <v>105</v>
      </c>
      <c r="C3638" t="s">
        <v>557</v>
      </c>
      <c r="D3638" t="s">
        <v>2690</v>
      </c>
      <c r="E3638" t="s">
        <v>3399</v>
      </c>
      <c r="F3638" s="451">
        <v>46085</v>
      </c>
      <c r="G3638">
        <v>18030</v>
      </c>
      <c r="H3638" t="s">
        <v>4840</v>
      </c>
      <c r="I3638" t="s">
        <v>5222</v>
      </c>
      <c r="J3638">
        <v>3</v>
      </c>
      <c r="K3638" t="s">
        <v>4805</v>
      </c>
      <c r="L3638">
        <v>83.58</v>
      </c>
      <c r="M3638">
        <v>27.86</v>
      </c>
      <c r="N3638" t="s">
        <v>5222</v>
      </c>
      <c r="O3638" t="s">
        <v>461</v>
      </c>
    </row>
    <row r="3639" spans="1:15" x14ac:dyDescent="0.3">
      <c r="A3639">
        <v>216284</v>
      </c>
      <c r="B3639">
        <v>105</v>
      </c>
      <c r="C3639" t="s">
        <v>557</v>
      </c>
      <c r="D3639" t="s">
        <v>2690</v>
      </c>
      <c r="E3639" t="s">
        <v>3399</v>
      </c>
      <c r="F3639" s="451">
        <v>46085</v>
      </c>
      <c r="G3639">
        <v>18073</v>
      </c>
      <c r="H3639" t="s">
        <v>4974</v>
      </c>
      <c r="I3639" t="s">
        <v>5222</v>
      </c>
      <c r="J3639">
        <v>1</v>
      </c>
      <c r="K3639" t="s">
        <v>4805</v>
      </c>
      <c r="L3639">
        <v>48</v>
      </c>
      <c r="M3639">
        <v>48</v>
      </c>
      <c r="N3639" t="s">
        <v>5222</v>
      </c>
      <c r="O3639" t="s">
        <v>461</v>
      </c>
    </row>
    <row r="3640" spans="1:15" x14ac:dyDescent="0.3">
      <c r="A3640">
        <v>216284</v>
      </c>
      <c r="B3640">
        <v>105</v>
      </c>
      <c r="C3640" t="s">
        <v>557</v>
      </c>
      <c r="D3640" t="s">
        <v>2690</v>
      </c>
      <c r="E3640" t="s">
        <v>3399</v>
      </c>
      <c r="F3640" s="451">
        <v>46085</v>
      </c>
      <c r="G3640">
        <v>18547</v>
      </c>
      <c r="H3640" t="s">
        <v>4863</v>
      </c>
      <c r="I3640" t="s">
        <v>5222</v>
      </c>
      <c r="J3640">
        <v>2</v>
      </c>
      <c r="K3640" t="s">
        <v>4805</v>
      </c>
      <c r="L3640">
        <v>77.8</v>
      </c>
      <c r="M3640">
        <v>38.9</v>
      </c>
      <c r="N3640" t="s">
        <v>5222</v>
      </c>
      <c r="O3640" t="s">
        <v>461</v>
      </c>
    </row>
    <row r="3641" spans="1:15" x14ac:dyDescent="0.3">
      <c r="A3641">
        <v>216284</v>
      </c>
      <c r="B3641">
        <v>105</v>
      </c>
      <c r="C3641" t="s">
        <v>557</v>
      </c>
      <c r="D3641" t="s">
        <v>2690</v>
      </c>
      <c r="E3641" t="s">
        <v>3399</v>
      </c>
      <c r="F3641" s="451">
        <v>46085</v>
      </c>
      <c r="G3641">
        <v>18253</v>
      </c>
      <c r="H3641" t="s">
        <v>4969</v>
      </c>
      <c r="I3641" t="s">
        <v>5222</v>
      </c>
      <c r="J3641">
        <v>4</v>
      </c>
      <c r="K3641" t="s">
        <v>4805</v>
      </c>
      <c r="L3641">
        <v>113.2</v>
      </c>
      <c r="M3641">
        <v>28.3</v>
      </c>
      <c r="N3641" t="s">
        <v>5222</v>
      </c>
      <c r="O3641" t="s">
        <v>461</v>
      </c>
    </row>
    <row r="3642" spans="1:15" x14ac:dyDescent="0.3">
      <c r="A3642">
        <v>216283</v>
      </c>
      <c r="B3642">
        <v>105</v>
      </c>
      <c r="C3642" t="s">
        <v>557</v>
      </c>
      <c r="D3642" t="s">
        <v>2675</v>
      </c>
      <c r="E3642" t="s">
        <v>3400</v>
      </c>
      <c r="F3642" s="451">
        <v>46090</v>
      </c>
      <c r="G3642">
        <v>23980</v>
      </c>
      <c r="H3642" t="s">
        <v>5097</v>
      </c>
      <c r="I3642" t="s">
        <v>5191</v>
      </c>
      <c r="J3642">
        <v>16.100000000000001</v>
      </c>
      <c r="K3642" t="s">
        <v>4744</v>
      </c>
      <c r="L3642">
        <v>627.9</v>
      </c>
      <c r="M3642">
        <v>39</v>
      </c>
      <c r="N3642" t="s">
        <v>5272</v>
      </c>
      <c r="O3642" t="s">
        <v>461</v>
      </c>
    </row>
    <row r="3643" spans="1:15" x14ac:dyDescent="0.3">
      <c r="A3643">
        <v>216279</v>
      </c>
      <c r="B3643">
        <v>105</v>
      </c>
      <c r="C3643" t="s">
        <v>557</v>
      </c>
      <c r="D3643" t="s">
        <v>2699</v>
      </c>
      <c r="E3643" t="s">
        <v>3401</v>
      </c>
      <c r="F3643" s="451">
        <v>46084</v>
      </c>
      <c r="G3643">
        <v>18172</v>
      </c>
      <c r="H3643" t="s">
        <v>4804</v>
      </c>
      <c r="I3643" t="s">
        <v>5222</v>
      </c>
      <c r="J3643">
        <v>10</v>
      </c>
      <c r="K3643" t="s">
        <v>4805</v>
      </c>
      <c r="L3643">
        <v>314</v>
      </c>
      <c r="M3643">
        <v>31.4</v>
      </c>
      <c r="N3643" t="s">
        <v>5222</v>
      </c>
      <c r="O3643" t="s">
        <v>461</v>
      </c>
    </row>
    <row r="3644" spans="1:15" x14ac:dyDescent="0.3">
      <c r="A3644">
        <v>215839</v>
      </c>
      <c r="B3644">
        <v>105</v>
      </c>
      <c r="C3644" t="s">
        <v>557</v>
      </c>
      <c r="D3644" t="s">
        <v>2615</v>
      </c>
      <c r="E3644" t="s">
        <v>3402</v>
      </c>
      <c r="F3644" s="451">
        <v>46073</v>
      </c>
      <c r="G3644">
        <v>20623</v>
      </c>
      <c r="H3644" t="s">
        <v>4814</v>
      </c>
      <c r="I3644" t="s">
        <v>5191</v>
      </c>
      <c r="J3644">
        <v>10</v>
      </c>
      <c r="K3644" t="s">
        <v>4744</v>
      </c>
      <c r="L3644">
        <v>123.9</v>
      </c>
      <c r="M3644">
        <v>12.39</v>
      </c>
      <c r="N3644" t="s">
        <v>1785</v>
      </c>
      <c r="O3644" t="s">
        <v>460</v>
      </c>
    </row>
    <row r="3645" spans="1:15" x14ac:dyDescent="0.3">
      <c r="A3645">
        <v>215789</v>
      </c>
      <c r="B3645">
        <v>105</v>
      </c>
      <c r="C3645" t="s">
        <v>557</v>
      </c>
      <c r="D3645" t="s">
        <v>2552</v>
      </c>
      <c r="E3645" t="s">
        <v>3403</v>
      </c>
      <c r="F3645" s="451">
        <v>46085</v>
      </c>
      <c r="G3645">
        <v>26627</v>
      </c>
      <c r="H3645" t="s">
        <v>5190</v>
      </c>
      <c r="I3645" t="s">
        <v>5191</v>
      </c>
      <c r="J3645">
        <v>20</v>
      </c>
      <c r="K3645" t="s">
        <v>4744</v>
      </c>
      <c r="L3645">
        <v>158</v>
      </c>
      <c r="M3645">
        <v>7.9</v>
      </c>
      <c r="N3645" t="s">
        <v>5272</v>
      </c>
      <c r="O3645" t="s">
        <v>461</v>
      </c>
    </row>
    <row r="3646" spans="1:15" x14ac:dyDescent="0.3">
      <c r="A3646">
        <v>215788</v>
      </c>
      <c r="B3646">
        <v>105</v>
      </c>
      <c r="C3646" t="s">
        <v>557</v>
      </c>
      <c r="D3646" t="s">
        <v>2991</v>
      </c>
      <c r="E3646" t="s">
        <v>3404</v>
      </c>
      <c r="F3646" s="451">
        <v>46083</v>
      </c>
      <c r="G3646">
        <v>17958</v>
      </c>
      <c r="H3646" t="s">
        <v>5076</v>
      </c>
      <c r="I3646" t="s">
        <v>5222</v>
      </c>
      <c r="J3646">
        <v>20</v>
      </c>
      <c r="K3646" t="s">
        <v>4738</v>
      </c>
      <c r="L3646">
        <v>325.8</v>
      </c>
      <c r="M3646">
        <v>16.29</v>
      </c>
      <c r="N3646" t="s">
        <v>5222</v>
      </c>
      <c r="O3646" t="s">
        <v>461</v>
      </c>
    </row>
    <row r="3647" spans="1:15" x14ac:dyDescent="0.3">
      <c r="A3647">
        <v>215788</v>
      </c>
      <c r="B3647">
        <v>105</v>
      </c>
      <c r="C3647" t="s">
        <v>557</v>
      </c>
      <c r="D3647" t="s">
        <v>2991</v>
      </c>
      <c r="E3647" t="s">
        <v>3404</v>
      </c>
      <c r="F3647" s="451">
        <v>46083</v>
      </c>
      <c r="G3647">
        <v>17950</v>
      </c>
      <c r="H3647" t="s">
        <v>5091</v>
      </c>
      <c r="I3647" t="s">
        <v>5222</v>
      </c>
      <c r="J3647">
        <v>20</v>
      </c>
      <c r="K3647" t="s">
        <v>4738</v>
      </c>
      <c r="L3647">
        <v>339.8</v>
      </c>
      <c r="M3647">
        <v>16.989999999999998</v>
      </c>
      <c r="N3647" t="s">
        <v>5222</v>
      </c>
      <c r="O3647" t="s">
        <v>461</v>
      </c>
    </row>
    <row r="3648" spans="1:15" x14ac:dyDescent="0.3">
      <c r="A3648">
        <v>215787</v>
      </c>
      <c r="B3648">
        <v>105</v>
      </c>
      <c r="C3648" t="s">
        <v>557</v>
      </c>
      <c r="D3648" t="s">
        <v>2554</v>
      </c>
      <c r="E3648" t="s">
        <v>3405</v>
      </c>
      <c r="F3648" s="451">
        <v>46085</v>
      </c>
      <c r="G3648">
        <v>17532</v>
      </c>
      <c r="H3648" t="s">
        <v>5259</v>
      </c>
      <c r="I3648" t="s">
        <v>5188</v>
      </c>
      <c r="J3648">
        <v>1</v>
      </c>
      <c r="K3648" t="s">
        <v>4749</v>
      </c>
      <c r="L3648">
        <v>98</v>
      </c>
      <c r="M3648">
        <v>98</v>
      </c>
      <c r="N3648" t="s">
        <v>5277</v>
      </c>
      <c r="O3648" t="s">
        <v>461</v>
      </c>
    </row>
    <row r="3649" spans="1:15" x14ac:dyDescent="0.3">
      <c r="A3649">
        <v>215787</v>
      </c>
      <c r="B3649">
        <v>105</v>
      </c>
      <c r="C3649" t="s">
        <v>557</v>
      </c>
      <c r="D3649" t="s">
        <v>2554</v>
      </c>
      <c r="E3649" t="s">
        <v>3405</v>
      </c>
      <c r="F3649" s="451">
        <v>46085</v>
      </c>
      <c r="G3649">
        <v>17437</v>
      </c>
      <c r="H3649" t="s">
        <v>5203</v>
      </c>
      <c r="I3649" t="s">
        <v>5188</v>
      </c>
      <c r="J3649">
        <v>10</v>
      </c>
      <c r="K3649" t="s">
        <v>4736</v>
      </c>
      <c r="L3649">
        <v>23</v>
      </c>
      <c r="M3649">
        <v>2.2999999999999998</v>
      </c>
      <c r="N3649" t="s">
        <v>5277</v>
      </c>
      <c r="O3649" t="s">
        <v>461</v>
      </c>
    </row>
    <row r="3650" spans="1:15" x14ac:dyDescent="0.3">
      <c r="A3650">
        <v>215787</v>
      </c>
      <c r="B3650">
        <v>105</v>
      </c>
      <c r="C3650" t="s">
        <v>557</v>
      </c>
      <c r="D3650" t="s">
        <v>2554</v>
      </c>
      <c r="E3650" t="s">
        <v>3405</v>
      </c>
      <c r="F3650" s="451">
        <v>46085</v>
      </c>
      <c r="G3650">
        <v>17190</v>
      </c>
      <c r="H3650" t="s">
        <v>5193</v>
      </c>
      <c r="I3650" t="s">
        <v>5188</v>
      </c>
      <c r="J3650">
        <v>2</v>
      </c>
      <c r="K3650" t="s">
        <v>4738</v>
      </c>
      <c r="L3650">
        <v>16.2</v>
      </c>
      <c r="M3650">
        <v>8.1</v>
      </c>
      <c r="N3650" t="s">
        <v>5277</v>
      </c>
      <c r="O3650" t="s">
        <v>461</v>
      </c>
    </row>
    <row r="3651" spans="1:15" x14ac:dyDescent="0.3">
      <c r="A3651">
        <v>215787</v>
      </c>
      <c r="B3651">
        <v>105</v>
      </c>
      <c r="C3651" t="s">
        <v>557</v>
      </c>
      <c r="D3651" t="s">
        <v>2554</v>
      </c>
      <c r="E3651" t="s">
        <v>3405</v>
      </c>
      <c r="F3651" s="451">
        <v>46085</v>
      </c>
      <c r="G3651">
        <v>17314</v>
      </c>
      <c r="H3651" t="s">
        <v>5208</v>
      </c>
      <c r="I3651" t="s">
        <v>5188</v>
      </c>
      <c r="J3651">
        <v>2</v>
      </c>
      <c r="K3651" t="s">
        <v>4848</v>
      </c>
      <c r="L3651">
        <v>11.78</v>
      </c>
      <c r="M3651">
        <v>5.89</v>
      </c>
      <c r="N3651" t="s">
        <v>5277</v>
      </c>
      <c r="O3651" t="s">
        <v>461</v>
      </c>
    </row>
    <row r="3652" spans="1:15" x14ac:dyDescent="0.3">
      <c r="A3652">
        <v>215787</v>
      </c>
      <c r="B3652">
        <v>105</v>
      </c>
      <c r="C3652" t="s">
        <v>557</v>
      </c>
      <c r="D3652" t="s">
        <v>2554</v>
      </c>
      <c r="E3652" t="s">
        <v>3405</v>
      </c>
      <c r="F3652" s="451">
        <v>46085</v>
      </c>
      <c r="G3652">
        <v>17322</v>
      </c>
      <c r="H3652" t="s">
        <v>5282</v>
      </c>
      <c r="I3652" t="s">
        <v>5188</v>
      </c>
      <c r="J3652">
        <v>1</v>
      </c>
      <c r="K3652" t="s">
        <v>4848</v>
      </c>
      <c r="L3652">
        <v>15.05</v>
      </c>
      <c r="M3652">
        <v>15.05</v>
      </c>
      <c r="N3652" t="s">
        <v>5277</v>
      </c>
      <c r="O3652" t="s">
        <v>461</v>
      </c>
    </row>
    <row r="3653" spans="1:15" x14ac:dyDescent="0.3">
      <c r="A3653">
        <v>215787</v>
      </c>
      <c r="B3653">
        <v>105</v>
      </c>
      <c r="C3653" t="s">
        <v>557</v>
      </c>
      <c r="D3653" t="s">
        <v>2554</v>
      </c>
      <c r="E3653" t="s">
        <v>3405</v>
      </c>
      <c r="F3653" s="451">
        <v>46085</v>
      </c>
      <c r="G3653">
        <v>17215</v>
      </c>
      <c r="H3653" t="s">
        <v>5299</v>
      </c>
      <c r="I3653" t="s">
        <v>5188</v>
      </c>
      <c r="J3653">
        <v>4</v>
      </c>
      <c r="K3653" t="s">
        <v>4848</v>
      </c>
      <c r="L3653">
        <v>79.959999999999994</v>
      </c>
      <c r="M3653">
        <v>19.989999999999998</v>
      </c>
      <c r="N3653" t="s">
        <v>5277</v>
      </c>
      <c r="O3653" t="s">
        <v>461</v>
      </c>
    </row>
    <row r="3654" spans="1:15" x14ac:dyDescent="0.3">
      <c r="A3654">
        <v>215787</v>
      </c>
      <c r="B3654">
        <v>105</v>
      </c>
      <c r="C3654" t="s">
        <v>557</v>
      </c>
      <c r="D3654" t="s">
        <v>2554</v>
      </c>
      <c r="E3654" t="s">
        <v>3405</v>
      </c>
      <c r="F3654" s="451">
        <v>46085</v>
      </c>
      <c r="G3654">
        <v>21783</v>
      </c>
      <c r="H3654" t="s">
        <v>5210</v>
      </c>
      <c r="I3654" t="s">
        <v>5205</v>
      </c>
      <c r="J3654">
        <v>3</v>
      </c>
      <c r="K3654" t="s">
        <v>4736</v>
      </c>
      <c r="L3654">
        <v>31.68</v>
      </c>
      <c r="M3654">
        <v>10.56</v>
      </c>
      <c r="N3654" t="s">
        <v>5277</v>
      </c>
      <c r="O3654" t="s">
        <v>461</v>
      </c>
    </row>
    <row r="3655" spans="1:15" x14ac:dyDescent="0.3">
      <c r="A3655">
        <v>215787</v>
      </c>
      <c r="B3655">
        <v>105</v>
      </c>
      <c r="C3655" t="s">
        <v>557</v>
      </c>
      <c r="D3655" t="s">
        <v>2554</v>
      </c>
      <c r="E3655" t="s">
        <v>3405</v>
      </c>
      <c r="F3655" s="451">
        <v>46085</v>
      </c>
      <c r="G3655">
        <v>24596</v>
      </c>
      <c r="H3655" t="s">
        <v>5197</v>
      </c>
      <c r="I3655" t="s">
        <v>5188</v>
      </c>
      <c r="J3655">
        <v>2</v>
      </c>
      <c r="K3655" t="s">
        <v>4736</v>
      </c>
      <c r="L3655">
        <v>30</v>
      </c>
      <c r="M3655">
        <v>15</v>
      </c>
      <c r="N3655" t="s">
        <v>5277</v>
      </c>
      <c r="O3655" t="s">
        <v>461</v>
      </c>
    </row>
    <row r="3656" spans="1:15" x14ac:dyDescent="0.3">
      <c r="A3656">
        <v>215787</v>
      </c>
      <c r="B3656">
        <v>105</v>
      </c>
      <c r="C3656" t="s">
        <v>557</v>
      </c>
      <c r="D3656" t="s">
        <v>2554</v>
      </c>
      <c r="E3656" t="s">
        <v>3405</v>
      </c>
      <c r="F3656" s="451">
        <v>46085</v>
      </c>
      <c r="G3656">
        <v>17418</v>
      </c>
      <c r="H3656" t="s">
        <v>5207</v>
      </c>
      <c r="I3656" t="s">
        <v>5188</v>
      </c>
      <c r="J3656">
        <v>2</v>
      </c>
      <c r="K3656" t="s">
        <v>4749</v>
      </c>
      <c r="L3656">
        <v>117.8</v>
      </c>
      <c r="M3656">
        <v>58.9</v>
      </c>
      <c r="N3656" t="s">
        <v>5277</v>
      </c>
      <c r="O3656" t="s">
        <v>461</v>
      </c>
    </row>
    <row r="3657" spans="1:15" x14ac:dyDescent="0.3">
      <c r="A3657">
        <v>215787</v>
      </c>
      <c r="B3657">
        <v>105</v>
      </c>
      <c r="C3657" t="s">
        <v>557</v>
      </c>
      <c r="D3657" t="s">
        <v>2554</v>
      </c>
      <c r="E3657" t="s">
        <v>3405</v>
      </c>
      <c r="F3657" s="451">
        <v>46085</v>
      </c>
      <c r="G3657">
        <v>17416</v>
      </c>
      <c r="H3657" t="s">
        <v>5209</v>
      </c>
      <c r="I3657" t="s">
        <v>5188</v>
      </c>
      <c r="J3657">
        <v>1</v>
      </c>
      <c r="K3657" t="s">
        <v>4749</v>
      </c>
      <c r="L3657">
        <v>48.58</v>
      </c>
      <c r="M3657">
        <v>48.58</v>
      </c>
      <c r="N3657" t="s">
        <v>5277</v>
      </c>
      <c r="O3657" t="s">
        <v>461</v>
      </c>
    </row>
    <row r="3658" spans="1:15" x14ac:dyDescent="0.3">
      <c r="A3658">
        <v>215787</v>
      </c>
      <c r="B3658">
        <v>105</v>
      </c>
      <c r="C3658" t="s">
        <v>557</v>
      </c>
      <c r="D3658" t="s">
        <v>2554</v>
      </c>
      <c r="E3658" t="s">
        <v>3405</v>
      </c>
      <c r="F3658" s="451">
        <v>46085</v>
      </c>
      <c r="G3658">
        <v>24505</v>
      </c>
      <c r="H3658" t="s">
        <v>5198</v>
      </c>
      <c r="I3658" t="s">
        <v>5188</v>
      </c>
      <c r="J3658">
        <v>3</v>
      </c>
      <c r="K3658" t="s">
        <v>4738</v>
      </c>
      <c r="L3658">
        <v>14.94</v>
      </c>
      <c r="M3658">
        <v>4.9800000000000004</v>
      </c>
      <c r="N3658" t="s">
        <v>5277</v>
      </c>
      <c r="O3658" t="s">
        <v>461</v>
      </c>
    </row>
    <row r="3659" spans="1:15" x14ac:dyDescent="0.3">
      <c r="A3659">
        <v>215787</v>
      </c>
      <c r="B3659">
        <v>105</v>
      </c>
      <c r="C3659" t="s">
        <v>557</v>
      </c>
      <c r="D3659" t="s">
        <v>2554</v>
      </c>
      <c r="E3659" t="s">
        <v>3405</v>
      </c>
      <c r="F3659" s="451">
        <v>46085</v>
      </c>
      <c r="G3659">
        <v>28298</v>
      </c>
      <c r="H3659" t="s">
        <v>5261</v>
      </c>
      <c r="I3659" t="s">
        <v>5188</v>
      </c>
      <c r="J3659">
        <v>1</v>
      </c>
      <c r="K3659" t="s">
        <v>4749</v>
      </c>
      <c r="L3659">
        <v>68.64</v>
      </c>
      <c r="M3659">
        <v>68.64</v>
      </c>
      <c r="N3659" t="s">
        <v>5277</v>
      </c>
      <c r="O3659" t="s">
        <v>461</v>
      </c>
    </row>
    <row r="3660" spans="1:15" x14ac:dyDescent="0.3">
      <c r="A3660">
        <v>215787</v>
      </c>
      <c r="B3660">
        <v>105</v>
      </c>
      <c r="C3660" t="s">
        <v>557</v>
      </c>
      <c r="D3660" t="s">
        <v>2554</v>
      </c>
      <c r="E3660" t="s">
        <v>3405</v>
      </c>
      <c r="F3660" s="451">
        <v>46085</v>
      </c>
      <c r="G3660">
        <v>17381</v>
      </c>
      <c r="H3660" t="s">
        <v>5262</v>
      </c>
      <c r="I3660" t="s">
        <v>5188</v>
      </c>
      <c r="J3660">
        <v>1</v>
      </c>
      <c r="K3660" t="s">
        <v>4736</v>
      </c>
      <c r="L3660">
        <v>38.89</v>
      </c>
      <c r="M3660">
        <v>38.89</v>
      </c>
      <c r="N3660" t="s">
        <v>5277</v>
      </c>
      <c r="O3660" t="s">
        <v>461</v>
      </c>
    </row>
    <row r="3661" spans="1:15" x14ac:dyDescent="0.3">
      <c r="A3661">
        <v>213566</v>
      </c>
      <c r="B3661">
        <v>105</v>
      </c>
      <c r="C3661" t="s">
        <v>557</v>
      </c>
      <c r="D3661" t="s">
        <v>2607</v>
      </c>
      <c r="E3661" t="s">
        <v>3406</v>
      </c>
      <c r="F3661" s="451">
        <v>46081</v>
      </c>
      <c r="G3661">
        <v>27264</v>
      </c>
      <c r="H3661" t="s">
        <v>5075</v>
      </c>
      <c r="I3661" t="s">
        <v>5191</v>
      </c>
      <c r="J3661">
        <v>10.199999999999999</v>
      </c>
      <c r="K3661" t="s">
        <v>4744</v>
      </c>
      <c r="L3661">
        <v>622.20000000000005</v>
      </c>
      <c r="M3661">
        <v>61</v>
      </c>
      <c r="N3661" t="s">
        <v>5272</v>
      </c>
      <c r="O3661" t="s">
        <v>460</v>
      </c>
    </row>
    <row r="3662" spans="1:15" x14ac:dyDescent="0.3">
      <c r="A3662">
        <v>213565</v>
      </c>
      <c r="B3662">
        <v>105</v>
      </c>
      <c r="C3662" t="s">
        <v>557</v>
      </c>
      <c r="D3662" t="s">
        <v>2605</v>
      </c>
      <c r="E3662" t="s">
        <v>3407</v>
      </c>
      <c r="F3662" s="451">
        <v>46080</v>
      </c>
      <c r="G3662">
        <v>24169</v>
      </c>
      <c r="H3662" t="s">
        <v>5379</v>
      </c>
      <c r="I3662" t="s">
        <v>5191</v>
      </c>
      <c r="J3662">
        <v>1</v>
      </c>
      <c r="K3662" t="s">
        <v>4744</v>
      </c>
      <c r="L3662">
        <v>36.9</v>
      </c>
      <c r="M3662">
        <v>36.9</v>
      </c>
      <c r="N3662" t="s">
        <v>5272</v>
      </c>
      <c r="O3662" t="s">
        <v>460</v>
      </c>
    </row>
    <row r="3663" spans="1:15" x14ac:dyDescent="0.3">
      <c r="A3663">
        <v>213565</v>
      </c>
      <c r="B3663">
        <v>105</v>
      </c>
      <c r="C3663" t="s">
        <v>557</v>
      </c>
      <c r="D3663" t="s">
        <v>2605</v>
      </c>
      <c r="E3663" t="s">
        <v>3407</v>
      </c>
      <c r="F3663" s="451">
        <v>46080</v>
      </c>
      <c r="G3663">
        <v>20751</v>
      </c>
      <c r="H3663" t="s">
        <v>5004</v>
      </c>
      <c r="I3663" t="s">
        <v>5191</v>
      </c>
      <c r="J3663">
        <v>1</v>
      </c>
      <c r="K3663" t="s">
        <v>4884</v>
      </c>
      <c r="L3663">
        <v>102.9</v>
      </c>
      <c r="M3663">
        <v>102.9</v>
      </c>
      <c r="N3663" t="s">
        <v>5272</v>
      </c>
      <c r="O3663" t="s">
        <v>460</v>
      </c>
    </row>
    <row r="3664" spans="1:15" x14ac:dyDescent="0.3">
      <c r="A3664">
        <v>213565</v>
      </c>
      <c r="B3664">
        <v>105</v>
      </c>
      <c r="C3664" t="s">
        <v>557</v>
      </c>
      <c r="D3664" t="s">
        <v>2605</v>
      </c>
      <c r="E3664" t="s">
        <v>3407</v>
      </c>
      <c r="F3664" s="451">
        <v>46080</v>
      </c>
      <c r="G3664">
        <v>23502</v>
      </c>
      <c r="H3664" t="s">
        <v>4930</v>
      </c>
      <c r="I3664" t="s">
        <v>5191</v>
      </c>
      <c r="J3664">
        <v>2</v>
      </c>
      <c r="K3664" t="s">
        <v>4744</v>
      </c>
      <c r="L3664">
        <v>30</v>
      </c>
      <c r="M3664">
        <v>15</v>
      </c>
      <c r="N3664" t="s">
        <v>5272</v>
      </c>
      <c r="O3664" t="s">
        <v>460</v>
      </c>
    </row>
    <row r="3665" spans="1:15" x14ac:dyDescent="0.3">
      <c r="A3665">
        <v>213565</v>
      </c>
      <c r="B3665">
        <v>105</v>
      </c>
      <c r="C3665" t="s">
        <v>557</v>
      </c>
      <c r="D3665" t="s">
        <v>2605</v>
      </c>
      <c r="E3665" t="s">
        <v>3407</v>
      </c>
      <c r="F3665" s="451">
        <v>46080</v>
      </c>
      <c r="G3665">
        <v>27397</v>
      </c>
      <c r="H3665" t="s">
        <v>4913</v>
      </c>
      <c r="I3665" t="s">
        <v>5191</v>
      </c>
      <c r="J3665">
        <v>2</v>
      </c>
      <c r="K3665" t="s">
        <v>4736</v>
      </c>
      <c r="L3665">
        <v>122.2</v>
      </c>
      <c r="M3665">
        <v>61.1</v>
      </c>
      <c r="N3665" t="s">
        <v>5272</v>
      </c>
      <c r="O3665" t="s">
        <v>460</v>
      </c>
    </row>
    <row r="3666" spans="1:15" x14ac:dyDescent="0.3">
      <c r="A3666">
        <v>213563</v>
      </c>
      <c r="B3666">
        <v>105</v>
      </c>
      <c r="C3666" t="s">
        <v>557</v>
      </c>
      <c r="D3666" t="s">
        <v>3328</v>
      </c>
      <c r="E3666" t="s">
        <v>3408</v>
      </c>
      <c r="F3666" s="451">
        <v>46080</v>
      </c>
      <c r="G3666">
        <v>19787</v>
      </c>
      <c r="H3666" t="s">
        <v>4793</v>
      </c>
      <c r="I3666" t="s">
        <v>5191</v>
      </c>
      <c r="J3666">
        <v>9.5</v>
      </c>
      <c r="K3666" t="s">
        <v>4744</v>
      </c>
      <c r="L3666">
        <v>47.5</v>
      </c>
      <c r="M3666">
        <v>5</v>
      </c>
      <c r="N3666" t="s">
        <v>5272</v>
      </c>
      <c r="O3666" t="s">
        <v>460</v>
      </c>
    </row>
    <row r="3667" spans="1:15" x14ac:dyDescent="0.3">
      <c r="A3667">
        <v>213563</v>
      </c>
      <c r="B3667">
        <v>105</v>
      </c>
      <c r="C3667" t="s">
        <v>557</v>
      </c>
      <c r="D3667" t="s">
        <v>3328</v>
      </c>
      <c r="E3667" t="s">
        <v>3408</v>
      </c>
      <c r="F3667" s="451">
        <v>46080</v>
      </c>
      <c r="G3667">
        <v>19505</v>
      </c>
      <c r="H3667" t="s">
        <v>4872</v>
      </c>
      <c r="I3667" t="s">
        <v>5191</v>
      </c>
      <c r="J3667">
        <v>3</v>
      </c>
      <c r="K3667" t="s">
        <v>4744</v>
      </c>
      <c r="L3667">
        <v>46.89</v>
      </c>
      <c r="M3667">
        <v>15.63</v>
      </c>
      <c r="N3667" t="s">
        <v>5272</v>
      </c>
      <c r="O3667" t="s">
        <v>460</v>
      </c>
    </row>
    <row r="3668" spans="1:15" x14ac:dyDescent="0.3">
      <c r="A3668">
        <v>213563</v>
      </c>
      <c r="B3668">
        <v>105</v>
      </c>
      <c r="C3668" t="s">
        <v>557</v>
      </c>
      <c r="D3668" t="s">
        <v>3328</v>
      </c>
      <c r="E3668" t="s">
        <v>3408</v>
      </c>
      <c r="F3668" s="451">
        <v>46080</v>
      </c>
      <c r="G3668">
        <v>19734</v>
      </c>
      <c r="H3668" t="s">
        <v>4833</v>
      </c>
      <c r="I3668" t="s">
        <v>5191</v>
      </c>
      <c r="J3668">
        <v>3</v>
      </c>
      <c r="K3668" t="s">
        <v>4744</v>
      </c>
      <c r="L3668">
        <v>41.25</v>
      </c>
      <c r="M3668">
        <v>13.75</v>
      </c>
      <c r="N3668" t="s">
        <v>5272</v>
      </c>
      <c r="O3668" t="s">
        <v>460</v>
      </c>
    </row>
    <row r="3669" spans="1:15" x14ac:dyDescent="0.3">
      <c r="A3669">
        <v>213563</v>
      </c>
      <c r="B3669">
        <v>105</v>
      </c>
      <c r="C3669" t="s">
        <v>557</v>
      </c>
      <c r="D3669" t="s">
        <v>3328</v>
      </c>
      <c r="E3669" t="s">
        <v>3408</v>
      </c>
      <c r="F3669" s="451">
        <v>46080</v>
      </c>
      <c r="G3669">
        <v>19751</v>
      </c>
      <c r="H3669" t="s">
        <v>4800</v>
      </c>
      <c r="I3669" t="s">
        <v>5191</v>
      </c>
      <c r="J3669">
        <v>4</v>
      </c>
      <c r="K3669" t="s">
        <v>4744</v>
      </c>
      <c r="L3669">
        <v>67.52</v>
      </c>
      <c r="M3669">
        <v>16.88</v>
      </c>
      <c r="N3669" t="s">
        <v>5272</v>
      </c>
      <c r="O3669" t="s">
        <v>460</v>
      </c>
    </row>
    <row r="3670" spans="1:15" x14ac:dyDescent="0.3">
      <c r="A3670">
        <v>213563</v>
      </c>
      <c r="B3670">
        <v>105</v>
      </c>
      <c r="C3670" t="s">
        <v>557</v>
      </c>
      <c r="D3670" t="s">
        <v>3328</v>
      </c>
      <c r="E3670" t="s">
        <v>3408</v>
      </c>
      <c r="F3670" s="451">
        <v>46080</v>
      </c>
      <c r="G3670">
        <v>23184</v>
      </c>
      <c r="H3670" t="s">
        <v>4935</v>
      </c>
      <c r="I3670" t="s">
        <v>5191</v>
      </c>
      <c r="J3670">
        <v>2</v>
      </c>
      <c r="K3670" t="s">
        <v>4744</v>
      </c>
      <c r="L3670">
        <v>25</v>
      </c>
      <c r="M3670">
        <v>12.5</v>
      </c>
      <c r="N3670" t="s">
        <v>5272</v>
      </c>
      <c r="O3670" t="s">
        <v>460</v>
      </c>
    </row>
    <row r="3671" spans="1:15" x14ac:dyDescent="0.3">
      <c r="A3671">
        <v>213560</v>
      </c>
      <c r="B3671">
        <v>105</v>
      </c>
      <c r="C3671" t="s">
        <v>557</v>
      </c>
      <c r="D3671" t="s">
        <v>2563</v>
      </c>
      <c r="E3671" t="s">
        <v>3409</v>
      </c>
      <c r="F3671" s="451">
        <v>46081</v>
      </c>
      <c r="G3671">
        <v>19621</v>
      </c>
      <c r="H3671" t="s">
        <v>4829</v>
      </c>
      <c r="I3671" t="s">
        <v>5191</v>
      </c>
      <c r="J3671">
        <v>3</v>
      </c>
      <c r="K3671" t="s">
        <v>4744</v>
      </c>
      <c r="L3671">
        <v>9.1199999999999992</v>
      </c>
      <c r="M3671">
        <v>3.04</v>
      </c>
      <c r="N3671" t="s">
        <v>5272</v>
      </c>
      <c r="O3671" t="s">
        <v>460</v>
      </c>
    </row>
    <row r="3672" spans="1:15" x14ac:dyDescent="0.3">
      <c r="A3672">
        <v>213560</v>
      </c>
      <c r="B3672">
        <v>105</v>
      </c>
      <c r="C3672" t="s">
        <v>557</v>
      </c>
      <c r="D3672" t="s">
        <v>2563</v>
      </c>
      <c r="E3672" t="s">
        <v>3409</v>
      </c>
      <c r="F3672" s="451">
        <v>46081</v>
      </c>
      <c r="G3672">
        <v>19552</v>
      </c>
      <c r="H3672" t="s">
        <v>4860</v>
      </c>
      <c r="I3672" t="s">
        <v>5191</v>
      </c>
      <c r="J3672">
        <v>1</v>
      </c>
      <c r="K3672" t="s">
        <v>4744</v>
      </c>
      <c r="L3672">
        <v>5.58</v>
      </c>
      <c r="M3672">
        <v>5.58</v>
      </c>
      <c r="N3672" t="s">
        <v>5272</v>
      </c>
      <c r="O3672" t="s">
        <v>460</v>
      </c>
    </row>
    <row r="3673" spans="1:15" x14ac:dyDescent="0.3">
      <c r="A3673">
        <v>213560</v>
      </c>
      <c r="B3673">
        <v>105</v>
      </c>
      <c r="C3673" t="s">
        <v>557</v>
      </c>
      <c r="D3673" t="s">
        <v>2563</v>
      </c>
      <c r="E3673" t="s">
        <v>3409</v>
      </c>
      <c r="F3673" s="451">
        <v>46081</v>
      </c>
      <c r="G3673">
        <v>19465</v>
      </c>
      <c r="H3673" t="s">
        <v>5114</v>
      </c>
      <c r="I3673" t="s">
        <v>5191</v>
      </c>
      <c r="J3673">
        <v>1</v>
      </c>
      <c r="K3673" t="s">
        <v>4744</v>
      </c>
      <c r="L3673">
        <v>6.53</v>
      </c>
      <c r="M3673">
        <v>6.53</v>
      </c>
      <c r="N3673" t="s">
        <v>5272</v>
      </c>
      <c r="O3673" t="s">
        <v>460</v>
      </c>
    </row>
    <row r="3674" spans="1:15" x14ac:dyDescent="0.3">
      <c r="A3674">
        <v>213560</v>
      </c>
      <c r="B3674">
        <v>105</v>
      </c>
      <c r="C3674" t="s">
        <v>557</v>
      </c>
      <c r="D3674" t="s">
        <v>2563</v>
      </c>
      <c r="E3674" t="s">
        <v>3409</v>
      </c>
      <c r="F3674" s="451">
        <v>46081</v>
      </c>
      <c r="G3674">
        <v>23346</v>
      </c>
      <c r="H3674" t="s">
        <v>4916</v>
      </c>
      <c r="I3674" t="s">
        <v>5191</v>
      </c>
      <c r="J3674">
        <v>2</v>
      </c>
      <c r="K3674" t="s">
        <v>4744</v>
      </c>
      <c r="L3674">
        <v>11.88</v>
      </c>
      <c r="M3674">
        <v>5.94</v>
      </c>
      <c r="N3674" t="s">
        <v>5272</v>
      </c>
      <c r="O3674" t="s">
        <v>460</v>
      </c>
    </row>
    <row r="3675" spans="1:15" x14ac:dyDescent="0.3">
      <c r="A3675">
        <v>213560</v>
      </c>
      <c r="B3675">
        <v>105</v>
      </c>
      <c r="C3675" t="s">
        <v>557</v>
      </c>
      <c r="D3675" t="s">
        <v>2563</v>
      </c>
      <c r="E3675" t="s">
        <v>3409</v>
      </c>
      <c r="F3675" s="451">
        <v>46081</v>
      </c>
      <c r="G3675">
        <v>23361</v>
      </c>
      <c r="H3675" t="s">
        <v>4754</v>
      </c>
      <c r="I3675" t="s">
        <v>5191</v>
      </c>
      <c r="J3675">
        <v>20</v>
      </c>
      <c r="K3675" t="s">
        <v>4744</v>
      </c>
      <c r="L3675">
        <v>71</v>
      </c>
      <c r="M3675">
        <v>3.55</v>
      </c>
      <c r="N3675" t="s">
        <v>5272</v>
      </c>
      <c r="O3675" t="s">
        <v>460</v>
      </c>
    </row>
    <row r="3676" spans="1:15" x14ac:dyDescent="0.3">
      <c r="A3676">
        <v>213560</v>
      </c>
      <c r="B3676">
        <v>105</v>
      </c>
      <c r="C3676" t="s">
        <v>557</v>
      </c>
      <c r="D3676" t="s">
        <v>2563</v>
      </c>
      <c r="E3676" t="s">
        <v>3409</v>
      </c>
      <c r="F3676" s="451">
        <v>46081</v>
      </c>
      <c r="G3676">
        <v>23389</v>
      </c>
      <c r="H3676" t="s">
        <v>4960</v>
      </c>
      <c r="I3676" t="s">
        <v>5191</v>
      </c>
      <c r="J3676">
        <v>3</v>
      </c>
      <c r="K3676" t="s">
        <v>4744</v>
      </c>
      <c r="L3676">
        <v>14.49</v>
      </c>
      <c r="M3676">
        <v>4.83</v>
      </c>
      <c r="N3676" t="s">
        <v>5272</v>
      </c>
      <c r="O3676" t="s">
        <v>460</v>
      </c>
    </row>
    <row r="3677" spans="1:15" x14ac:dyDescent="0.3">
      <c r="A3677">
        <v>213560</v>
      </c>
      <c r="B3677">
        <v>105</v>
      </c>
      <c r="C3677" t="s">
        <v>557</v>
      </c>
      <c r="D3677" t="s">
        <v>2563</v>
      </c>
      <c r="E3677" t="s">
        <v>3409</v>
      </c>
      <c r="F3677" s="451">
        <v>46081</v>
      </c>
      <c r="G3677">
        <v>19532</v>
      </c>
      <c r="H3677" t="s">
        <v>4753</v>
      </c>
      <c r="I3677" t="s">
        <v>5191</v>
      </c>
      <c r="J3677">
        <v>15</v>
      </c>
      <c r="K3677" t="s">
        <v>4744</v>
      </c>
      <c r="L3677">
        <v>102.3</v>
      </c>
      <c r="M3677">
        <v>6.82</v>
      </c>
      <c r="N3677" t="s">
        <v>5272</v>
      </c>
      <c r="O3677" t="s">
        <v>460</v>
      </c>
    </row>
    <row r="3678" spans="1:15" x14ac:dyDescent="0.3">
      <c r="A3678">
        <v>213556</v>
      </c>
      <c r="B3678">
        <v>105</v>
      </c>
      <c r="C3678" t="s">
        <v>557</v>
      </c>
      <c r="D3678" t="s">
        <v>2597</v>
      </c>
      <c r="E3678" t="s">
        <v>3410</v>
      </c>
      <c r="F3678" s="451">
        <v>46083</v>
      </c>
      <c r="G3678">
        <v>24259</v>
      </c>
      <c r="H3678" t="s">
        <v>4875</v>
      </c>
      <c r="I3678" t="s">
        <v>5191</v>
      </c>
      <c r="J3678">
        <v>16.100000000000001</v>
      </c>
      <c r="K3678" t="s">
        <v>4744</v>
      </c>
      <c r="L3678">
        <v>1254.19</v>
      </c>
      <c r="M3678">
        <v>77.900000000000006</v>
      </c>
      <c r="N3678" t="s">
        <v>5191</v>
      </c>
      <c r="O3678" t="s">
        <v>461</v>
      </c>
    </row>
    <row r="3679" spans="1:15" x14ac:dyDescent="0.3">
      <c r="A3679">
        <v>213556</v>
      </c>
      <c r="B3679">
        <v>105</v>
      </c>
      <c r="C3679" t="s">
        <v>557</v>
      </c>
      <c r="D3679" t="s">
        <v>2597</v>
      </c>
      <c r="E3679" t="s">
        <v>3410</v>
      </c>
      <c r="F3679" s="451">
        <v>46083</v>
      </c>
      <c r="G3679">
        <v>24278</v>
      </c>
      <c r="H3679" t="s">
        <v>4901</v>
      </c>
      <c r="I3679" t="s">
        <v>5191</v>
      </c>
      <c r="J3679">
        <v>6.1</v>
      </c>
      <c r="K3679" t="s">
        <v>4744</v>
      </c>
      <c r="L3679">
        <v>78.69</v>
      </c>
      <c r="M3679">
        <v>12.9</v>
      </c>
      <c r="N3679" t="s">
        <v>5191</v>
      </c>
      <c r="O3679" t="s">
        <v>461</v>
      </c>
    </row>
    <row r="3680" spans="1:15" x14ac:dyDescent="0.3">
      <c r="A3680">
        <v>213556</v>
      </c>
      <c r="B3680">
        <v>105</v>
      </c>
      <c r="C3680" t="s">
        <v>557</v>
      </c>
      <c r="D3680" t="s">
        <v>2597</v>
      </c>
      <c r="E3680" t="s">
        <v>3410</v>
      </c>
      <c r="F3680" s="451">
        <v>46083</v>
      </c>
      <c r="G3680">
        <v>19017</v>
      </c>
      <c r="H3680" t="s">
        <v>5174</v>
      </c>
      <c r="I3680" t="s">
        <v>5191</v>
      </c>
      <c r="J3680">
        <v>5.5</v>
      </c>
      <c r="K3680" t="s">
        <v>4744</v>
      </c>
      <c r="L3680">
        <v>82.45</v>
      </c>
      <c r="M3680">
        <v>14.990909</v>
      </c>
      <c r="N3680" t="s">
        <v>5191</v>
      </c>
      <c r="O3680" t="s">
        <v>461</v>
      </c>
    </row>
    <row r="3681" spans="1:15" x14ac:dyDescent="0.3">
      <c r="A3681">
        <v>213556</v>
      </c>
      <c r="B3681">
        <v>105</v>
      </c>
      <c r="C3681" t="s">
        <v>557</v>
      </c>
      <c r="D3681" t="s">
        <v>2597</v>
      </c>
      <c r="E3681" t="s">
        <v>3410</v>
      </c>
      <c r="F3681" s="451">
        <v>46083</v>
      </c>
      <c r="G3681">
        <v>19041</v>
      </c>
      <c r="H3681" t="s">
        <v>4762</v>
      </c>
      <c r="I3681" t="s">
        <v>5191</v>
      </c>
      <c r="J3681">
        <v>40</v>
      </c>
      <c r="K3681" t="s">
        <v>4744</v>
      </c>
      <c r="L3681">
        <v>596</v>
      </c>
      <c r="M3681">
        <v>14.9</v>
      </c>
      <c r="N3681" t="s">
        <v>5191</v>
      </c>
      <c r="O3681" t="s">
        <v>461</v>
      </c>
    </row>
    <row r="3682" spans="1:15" x14ac:dyDescent="0.3">
      <c r="A3682">
        <v>213556</v>
      </c>
      <c r="B3682">
        <v>105</v>
      </c>
      <c r="C3682" t="s">
        <v>557</v>
      </c>
      <c r="D3682" t="s">
        <v>2597</v>
      </c>
      <c r="E3682" t="s">
        <v>3410</v>
      </c>
      <c r="F3682" s="451">
        <v>46083</v>
      </c>
      <c r="G3682">
        <v>24096</v>
      </c>
      <c r="H3682" t="s">
        <v>4771</v>
      </c>
      <c r="I3682" t="s">
        <v>5191</v>
      </c>
      <c r="J3682">
        <v>51.3</v>
      </c>
      <c r="K3682" t="s">
        <v>4744</v>
      </c>
      <c r="L3682">
        <v>2200.77</v>
      </c>
      <c r="M3682">
        <v>42.9</v>
      </c>
      <c r="N3682" t="s">
        <v>5191</v>
      </c>
      <c r="O3682" t="s">
        <v>461</v>
      </c>
    </row>
    <row r="3683" spans="1:15" x14ac:dyDescent="0.3">
      <c r="A3683">
        <v>213553</v>
      </c>
      <c r="B3683">
        <v>105</v>
      </c>
      <c r="C3683" t="s">
        <v>557</v>
      </c>
      <c r="D3683" t="s">
        <v>2581</v>
      </c>
      <c r="E3683" t="s">
        <v>3411</v>
      </c>
      <c r="F3683" s="451">
        <v>46080</v>
      </c>
      <c r="G3683">
        <v>19634</v>
      </c>
      <c r="H3683" t="s">
        <v>4792</v>
      </c>
      <c r="I3683" t="s">
        <v>5191</v>
      </c>
      <c r="J3683">
        <v>4</v>
      </c>
      <c r="K3683" t="s">
        <v>4744</v>
      </c>
      <c r="L3683">
        <v>36</v>
      </c>
      <c r="M3683">
        <v>9</v>
      </c>
      <c r="N3683" t="s">
        <v>5191</v>
      </c>
      <c r="O3683" t="s">
        <v>460</v>
      </c>
    </row>
    <row r="3684" spans="1:15" x14ac:dyDescent="0.3">
      <c r="A3684">
        <v>213553</v>
      </c>
      <c r="B3684">
        <v>105</v>
      </c>
      <c r="C3684" t="s">
        <v>557</v>
      </c>
      <c r="D3684" t="s">
        <v>2581</v>
      </c>
      <c r="E3684" t="s">
        <v>3411</v>
      </c>
      <c r="F3684" s="451">
        <v>46080</v>
      </c>
      <c r="G3684">
        <v>19623</v>
      </c>
      <c r="H3684" t="s">
        <v>4764</v>
      </c>
      <c r="I3684" t="s">
        <v>5191</v>
      </c>
      <c r="J3684">
        <v>12</v>
      </c>
      <c r="K3684" t="s">
        <v>4744</v>
      </c>
      <c r="L3684">
        <v>42</v>
      </c>
      <c r="M3684">
        <v>3.5</v>
      </c>
      <c r="N3684" t="s">
        <v>5191</v>
      </c>
      <c r="O3684" t="s">
        <v>460</v>
      </c>
    </row>
    <row r="3685" spans="1:15" x14ac:dyDescent="0.3">
      <c r="A3685">
        <v>213553</v>
      </c>
      <c r="B3685">
        <v>105</v>
      </c>
      <c r="C3685" t="s">
        <v>557</v>
      </c>
      <c r="D3685" t="s">
        <v>2581</v>
      </c>
      <c r="E3685" t="s">
        <v>3411</v>
      </c>
      <c r="F3685" s="451">
        <v>46080</v>
      </c>
      <c r="G3685">
        <v>24509</v>
      </c>
      <c r="H3685" t="s">
        <v>4788</v>
      </c>
      <c r="I3685" t="s">
        <v>5191</v>
      </c>
      <c r="J3685">
        <v>12</v>
      </c>
      <c r="K3685" t="s">
        <v>4744</v>
      </c>
      <c r="L3685">
        <v>27.6</v>
      </c>
      <c r="M3685">
        <v>2.2999999999999998</v>
      </c>
      <c r="N3685" t="s">
        <v>5191</v>
      </c>
      <c r="O3685" t="s">
        <v>460</v>
      </c>
    </row>
    <row r="3686" spans="1:15" x14ac:dyDescent="0.3">
      <c r="A3686">
        <v>213553</v>
      </c>
      <c r="B3686">
        <v>105</v>
      </c>
      <c r="C3686" t="s">
        <v>557</v>
      </c>
      <c r="D3686" t="s">
        <v>2581</v>
      </c>
      <c r="E3686" t="s">
        <v>3411</v>
      </c>
      <c r="F3686" s="451">
        <v>46080</v>
      </c>
      <c r="G3686">
        <v>19502</v>
      </c>
      <c r="H3686" t="s">
        <v>4871</v>
      </c>
      <c r="I3686" t="s">
        <v>5191</v>
      </c>
      <c r="J3686">
        <v>2</v>
      </c>
      <c r="K3686" t="s">
        <v>4744</v>
      </c>
      <c r="L3686">
        <v>54</v>
      </c>
      <c r="M3686">
        <v>27</v>
      </c>
      <c r="N3686" t="s">
        <v>5191</v>
      </c>
      <c r="O3686" t="s">
        <v>460</v>
      </c>
    </row>
    <row r="3687" spans="1:15" x14ac:dyDescent="0.3">
      <c r="A3687">
        <v>213553</v>
      </c>
      <c r="B3687">
        <v>105</v>
      </c>
      <c r="C3687" t="s">
        <v>557</v>
      </c>
      <c r="D3687" t="s">
        <v>2581</v>
      </c>
      <c r="E3687" t="s">
        <v>3411</v>
      </c>
      <c r="F3687" s="451">
        <v>46080</v>
      </c>
      <c r="G3687">
        <v>19558</v>
      </c>
      <c r="H3687" t="s">
        <v>4994</v>
      </c>
      <c r="I3687" t="s">
        <v>5191</v>
      </c>
      <c r="J3687">
        <v>1</v>
      </c>
      <c r="K3687" t="s">
        <v>4744</v>
      </c>
      <c r="L3687">
        <v>13</v>
      </c>
      <c r="M3687">
        <v>13</v>
      </c>
      <c r="N3687" t="s">
        <v>5191</v>
      </c>
      <c r="O3687" t="s">
        <v>460</v>
      </c>
    </row>
    <row r="3688" spans="1:15" x14ac:dyDescent="0.3">
      <c r="A3688">
        <v>213553</v>
      </c>
      <c r="B3688">
        <v>105</v>
      </c>
      <c r="C3688" t="s">
        <v>557</v>
      </c>
      <c r="D3688" t="s">
        <v>2581</v>
      </c>
      <c r="E3688" t="s">
        <v>3411</v>
      </c>
      <c r="F3688" s="451">
        <v>46080</v>
      </c>
      <c r="G3688">
        <v>24489</v>
      </c>
      <c r="H3688" t="s">
        <v>5121</v>
      </c>
      <c r="I3688" t="s">
        <v>5191</v>
      </c>
      <c r="J3688">
        <v>2</v>
      </c>
      <c r="K3688" t="s">
        <v>4744</v>
      </c>
      <c r="L3688">
        <v>40</v>
      </c>
      <c r="M3688">
        <v>20</v>
      </c>
      <c r="N3688" t="s">
        <v>5191</v>
      </c>
      <c r="O3688" t="s">
        <v>460</v>
      </c>
    </row>
    <row r="3689" spans="1:15" x14ac:dyDescent="0.3">
      <c r="A3689">
        <v>213553</v>
      </c>
      <c r="B3689">
        <v>105</v>
      </c>
      <c r="C3689" t="s">
        <v>557</v>
      </c>
      <c r="D3689" t="s">
        <v>2581</v>
      </c>
      <c r="E3689" t="s">
        <v>3411</v>
      </c>
      <c r="F3689" s="451">
        <v>46080</v>
      </c>
      <c r="G3689">
        <v>19480</v>
      </c>
      <c r="H3689" t="s">
        <v>5119</v>
      </c>
      <c r="I3689" t="s">
        <v>5191</v>
      </c>
      <c r="J3689">
        <v>0.5</v>
      </c>
      <c r="K3689" t="s">
        <v>4744</v>
      </c>
      <c r="L3689">
        <v>8</v>
      </c>
      <c r="M3689">
        <v>16</v>
      </c>
      <c r="N3689" t="s">
        <v>5191</v>
      </c>
      <c r="O3689" t="s">
        <v>460</v>
      </c>
    </row>
    <row r="3690" spans="1:15" x14ac:dyDescent="0.3">
      <c r="A3690">
        <v>213553</v>
      </c>
      <c r="B3690">
        <v>105</v>
      </c>
      <c r="C3690" t="s">
        <v>557</v>
      </c>
      <c r="D3690" t="s">
        <v>2581</v>
      </c>
      <c r="E3690" t="s">
        <v>3411</v>
      </c>
      <c r="F3690" s="451">
        <v>46080</v>
      </c>
      <c r="G3690">
        <v>23359</v>
      </c>
      <c r="H3690" t="s">
        <v>4767</v>
      </c>
      <c r="I3690" t="s">
        <v>5191</v>
      </c>
      <c r="J3690">
        <v>15</v>
      </c>
      <c r="K3690" t="s">
        <v>4744</v>
      </c>
      <c r="L3690">
        <v>36</v>
      </c>
      <c r="M3690">
        <v>2.4</v>
      </c>
      <c r="N3690" t="s">
        <v>5191</v>
      </c>
      <c r="O3690" t="s">
        <v>460</v>
      </c>
    </row>
    <row r="3691" spans="1:15" x14ac:dyDescent="0.3">
      <c r="A3691">
        <v>213553</v>
      </c>
      <c r="B3691">
        <v>105</v>
      </c>
      <c r="C3691" t="s">
        <v>557</v>
      </c>
      <c r="D3691" t="s">
        <v>2581</v>
      </c>
      <c r="E3691" t="s">
        <v>3411</v>
      </c>
      <c r="F3691" s="451">
        <v>46080</v>
      </c>
      <c r="G3691">
        <v>23095</v>
      </c>
      <c r="H3691" t="s">
        <v>4741</v>
      </c>
      <c r="I3691" t="s">
        <v>5191</v>
      </c>
      <c r="J3691">
        <v>50</v>
      </c>
      <c r="K3691" t="s">
        <v>4736</v>
      </c>
      <c r="L3691">
        <v>62.5</v>
      </c>
      <c r="M3691">
        <v>1.25</v>
      </c>
      <c r="N3691" t="s">
        <v>5191</v>
      </c>
      <c r="O3691" t="s">
        <v>460</v>
      </c>
    </row>
    <row r="3692" spans="1:15" x14ac:dyDescent="0.3">
      <c r="A3692">
        <v>213553</v>
      </c>
      <c r="B3692">
        <v>105</v>
      </c>
      <c r="C3692" t="s">
        <v>557</v>
      </c>
      <c r="D3692" t="s">
        <v>2581</v>
      </c>
      <c r="E3692" t="s">
        <v>3411</v>
      </c>
      <c r="F3692" s="451">
        <v>46080</v>
      </c>
      <c r="G3692">
        <v>19472</v>
      </c>
      <c r="H3692" t="s">
        <v>4906</v>
      </c>
      <c r="I3692" t="s">
        <v>5191</v>
      </c>
      <c r="J3692">
        <v>2</v>
      </c>
      <c r="K3692" t="s">
        <v>4744</v>
      </c>
      <c r="L3692">
        <v>54</v>
      </c>
      <c r="M3692">
        <v>27</v>
      </c>
      <c r="N3692" t="s">
        <v>5191</v>
      </c>
      <c r="O3692" t="s">
        <v>460</v>
      </c>
    </row>
    <row r="3693" spans="1:15" x14ac:dyDescent="0.3">
      <c r="A3693">
        <v>213553</v>
      </c>
      <c r="B3693">
        <v>105</v>
      </c>
      <c r="C3693" t="s">
        <v>557</v>
      </c>
      <c r="D3693" t="s">
        <v>2581</v>
      </c>
      <c r="E3693" t="s">
        <v>3411</v>
      </c>
      <c r="F3693" s="451">
        <v>46080</v>
      </c>
      <c r="G3693">
        <v>23113</v>
      </c>
      <c r="H3693" t="s">
        <v>5074</v>
      </c>
      <c r="I3693" t="s">
        <v>5191</v>
      </c>
      <c r="J3693">
        <v>1</v>
      </c>
      <c r="K3693" t="s">
        <v>4744</v>
      </c>
      <c r="L3693">
        <v>11.5</v>
      </c>
      <c r="M3693">
        <v>11.5</v>
      </c>
      <c r="N3693" t="s">
        <v>5191</v>
      </c>
      <c r="O3693" t="s">
        <v>460</v>
      </c>
    </row>
    <row r="3694" spans="1:15" x14ac:dyDescent="0.3">
      <c r="A3694">
        <v>213551</v>
      </c>
      <c r="B3694">
        <v>105</v>
      </c>
      <c r="C3694" t="s">
        <v>557</v>
      </c>
      <c r="D3694" t="s">
        <v>2581</v>
      </c>
      <c r="E3694" t="s">
        <v>3412</v>
      </c>
      <c r="F3694" s="451">
        <v>46080</v>
      </c>
      <c r="G3694">
        <v>23359</v>
      </c>
      <c r="H3694" t="s">
        <v>4767</v>
      </c>
      <c r="I3694" t="s">
        <v>5191</v>
      </c>
      <c r="J3694">
        <v>15</v>
      </c>
      <c r="K3694" t="s">
        <v>4744</v>
      </c>
      <c r="L3694">
        <v>41.25</v>
      </c>
      <c r="M3694">
        <v>2.75</v>
      </c>
      <c r="N3694" t="s">
        <v>5191</v>
      </c>
      <c r="O3694" t="s">
        <v>460</v>
      </c>
    </row>
    <row r="3695" spans="1:15" x14ac:dyDescent="0.3">
      <c r="A3695">
        <v>212875</v>
      </c>
      <c r="B3695">
        <v>105</v>
      </c>
      <c r="C3695" t="s">
        <v>557</v>
      </c>
      <c r="D3695" t="s">
        <v>2581</v>
      </c>
      <c r="E3695" t="s">
        <v>3413</v>
      </c>
      <c r="F3695" s="451">
        <v>46079</v>
      </c>
      <c r="G3695">
        <v>24099</v>
      </c>
      <c r="H3695" t="s">
        <v>4933</v>
      </c>
      <c r="I3695" t="s">
        <v>5191</v>
      </c>
      <c r="J3695">
        <v>2</v>
      </c>
      <c r="K3695" t="s">
        <v>4744</v>
      </c>
      <c r="L3695">
        <v>36</v>
      </c>
      <c r="M3695">
        <v>18</v>
      </c>
      <c r="N3695" t="s">
        <v>5191</v>
      </c>
      <c r="O3695" t="s">
        <v>460</v>
      </c>
    </row>
    <row r="3696" spans="1:15" x14ac:dyDescent="0.3">
      <c r="A3696">
        <v>212875</v>
      </c>
      <c r="B3696">
        <v>105</v>
      </c>
      <c r="C3696" t="s">
        <v>557</v>
      </c>
      <c r="D3696" t="s">
        <v>2581</v>
      </c>
      <c r="E3696" t="s">
        <v>3413</v>
      </c>
      <c r="F3696" s="451">
        <v>46079</v>
      </c>
      <c r="G3696">
        <v>19476</v>
      </c>
      <c r="H3696" t="s">
        <v>5115</v>
      </c>
      <c r="I3696" t="s">
        <v>5191</v>
      </c>
      <c r="J3696">
        <v>0.3</v>
      </c>
      <c r="K3696" t="s">
        <v>4744</v>
      </c>
      <c r="L3696">
        <v>19.5</v>
      </c>
      <c r="M3696">
        <v>65</v>
      </c>
      <c r="N3696" t="s">
        <v>5191</v>
      </c>
      <c r="O3696" t="s">
        <v>460</v>
      </c>
    </row>
    <row r="3697" spans="1:15" x14ac:dyDescent="0.3">
      <c r="A3697">
        <v>212875</v>
      </c>
      <c r="B3697">
        <v>105</v>
      </c>
      <c r="C3697" t="s">
        <v>557</v>
      </c>
      <c r="D3697" t="s">
        <v>2581</v>
      </c>
      <c r="E3697" t="s">
        <v>3413</v>
      </c>
      <c r="F3697" s="451">
        <v>46079</v>
      </c>
      <c r="G3697">
        <v>19480</v>
      </c>
      <c r="H3697" t="s">
        <v>5119</v>
      </c>
      <c r="I3697" t="s">
        <v>5191</v>
      </c>
      <c r="J3697">
        <v>0.4</v>
      </c>
      <c r="K3697" t="s">
        <v>4744</v>
      </c>
      <c r="L3697">
        <v>6.8</v>
      </c>
      <c r="M3697">
        <v>17</v>
      </c>
      <c r="N3697" t="s">
        <v>5191</v>
      </c>
      <c r="O3697" t="s">
        <v>460</v>
      </c>
    </row>
    <row r="3698" spans="1:15" x14ac:dyDescent="0.3">
      <c r="A3698">
        <v>212875</v>
      </c>
      <c r="B3698">
        <v>105</v>
      </c>
      <c r="C3698" t="s">
        <v>557</v>
      </c>
      <c r="D3698" t="s">
        <v>2581</v>
      </c>
      <c r="E3698" t="s">
        <v>3413</v>
      </c>
      <c r="F3698" s="451">
        <v>46079</v>
      </c>
      <c r="G3698">
        <v>19507</v>
      </c>
      <c r="H3698" t="s">
        <v>4853</v>
      </c>
      <c r="I3698" t="s">
        <v>5191</v>
      </c>
      <c r="J3698">
        <v>2</v>
      </c>
      <c r="K3698" t="s">
        <v>4744</v>
      </c>
      <c r="L3698">
        <v>37</v>
      </c>
      <c r="M3698">
        <v>18.5</v>
      </c>
      <c r="N3698" t="s">
        <v>5191</v>
      </c>
      <c r="O3698" t="s">
        <v>460</v>
      </c>
    </row>
    <row r="3699" spans="1:15" x14ac:dyDescent="0.3">
      <c r="A3699">
        <v>212875</v>
      </c>
      <c r="B3699">
        <v>105</v>
      </c>
      <c r="C3699" t="s">
        <v>557</v>
      </c>
      <c r="D3699" t="s">
        <v>2581</v>
      </c>
      <c r="E3699" t="s">
        <v>3413</v>
      </c>
      <c r="F3699" s="451">
        <v>46079</v>
      </c>
      <c r="G3699">
        <v>19502</v>
      </c>
      <c r="H3699" t="s">
        <v>4871</v>
      </c>
      <c r="I3699" t="s">
        <v>5191</v>
      </c>
      <c r="J3699">
        <v>4</v>
      </c>
      <c r="K3699" t="s">
        <v>4744</v>
      </c>
      <c r="L3699">
        <v>108</v>
      </c>
      <c r="M3699">
        <v>27</v>
      </c>
      <c r="N3699" t="s">
        <v>5191</v>
      </c>
      <c r="O3699" t="s">
        <v>460</v>
      </c>
    </row>
    <row r="3700" spans="1:15" x14ac:dyDescent="0.3">
      <c r="A3700">
        <v>212875</v>
      </c>
      <c r="B3700">
        <v>105</v>
      </c>
      <c r="C3700" t="s">
        <v>557</v>
      </c>
      <c r="D3700" t="s">
        <v>2581</v>
      </c>
      <c r="E3700" t="s">
        <v>3413</v>
      </c>
      <c r="F3700" s="451">
        <v>46079</v>
      </c>
      <c r="G3700">
        <v>19647</v>
      </c>
      <c r="H3700" t="s">
        <v>5050</v>
      </c>
      <c r="I3700" t="s">
        <v>5191</v>
      </c>
      <c r="J3700">
        <v>1.5</v>
      </c>
      <c r="K3700" t="s">
        <v>4744</v>
      </c>
      <c r="L3700">
        <v>22.5</v>
      </c>
      <c r="M3700">
        <v>15</v>
      </c>
      <c r="N3700" t="s">
        <v>5191</v>
      </c>
      <c r="O3700" t="s">
        <v>460</v>
      </c>
    </row>
    <row r="3701" spans="1:15" x14ac:dyDescent="0.3">
      <c r="A3701">
        <v>212875</v>
      </c>
      <c r="B3701">
        <v>105</v>
      </c>
      <c r="C3701" t="s">
        <v>557</v>
      </c>
      <c r="D3701" t="s">
        <v>2581</v>
      </c>
      <c r="E3701" t="s">
        <v>3413</v>
      </c>
      <c r="F3701" s="451">
        <v>46079</v>
      </c>
      <c r="G3701">
        <v>19728</v>
      </c>
      <c r="H3701" t="s">
        <v>5106</v>
      </c>
      <c r="I3701" t="s">
        <v>5191</v>
      </c>
      <c r="J3701">
        <v>2</v>
      </c>
      <c r="K3701" t="s">
        <v>4744</v>
      </c>
      <c r="L3701">
        <v>21.6</v>
      </c>
      <c r="M3701">
        <v>10.8</v>
      </c>
      <c r="N3701" t="s">
        <v>5191</v>
      </c>
      <c r="O3701" t="s">
        <v>460</v>
      </c>
    </row>
    <row r="3702" spans="1:15" x14ac:dyDescent="0.3">
      <c r="A3702">
        <v>212875</v>
      </c>
      <c r="B3702">
        <v>105</v>
      </c>
      <c r="C3702" t="s">
        <v>557</v>
      </c>
      <c r="D3702" t="s">
        <v>2581</v>
      </c>
      <c r="E3702" t="s">
        <v>3413</v>
      </c>
      <c r="F3702" s="451">
        <v>46079</v>
      </c>
      <c r="G3702">
        <v>19740</v>
      </c>
      <c r="H3702" t="s">
        <v>4779</v>
      </c>
      <c r="I3702" t="s">
        <v>5191</v>
      </c>
      <c r="J3702">
        <v>12</v>
      </c>
      <c r="K3702" t="s">
        <v>4744</v>
      </c>
      <c r="L3702">
        <v>180</v>
      </c>
      <c r="M3702">
        <v>15</v>
      </c>
      <c r="N3702" t="s">
        <v>5191</v>
      </c>
      <c r="O3702" t="s">
        <v>460</v>
      </c>
    </row>
    <row r="3703" spans="1:15" x14ac:dyDescent="0.3">
      <c r="A3703">
        <v>212875</v>
      </c>
      <c r="B3703">
        <v>105</v>
      </c>
      <c r="C3703" t="s">
        <v>557</v>
      </c>
      <c r="D3703" t="s">
        <v>2581</v>
      </c>
      <c r="E3703" t="s">
        <v>3413</v>
      </c>
      <c r="F3703" s="451">
        <v>46079</v>
      </c>
      <c r="G3703">
        <v>19617</v>
      </c>
      <c r="H3703" t="s">
        <v>5071</v>
      </c>
      <c r="I3703" t="s">
        <v>5191</v>
      </c>
      <c r="J3703">
        <v>0.3</v>
      </c>
      <c r="K3703" t="s">
        <v>4744</v>
      </c>
      <c r="L3703">
        <v>10.5</v>
      </c>
      <c r="M3703">
        <v>35</v>
      </c>
      <c r="N3703" t="s">
        <v>5191</v>
      </c>
      <c r="O3703" t="s">
        <v>460</v>
      </c>
    </row>
    <row r="3704" spans="1:15" x14ac:dyDescent="0.3">
      <c r="A3704">
        <v>212875</v>
      </c>
      <c r="B3704">
        <v>105</v>
      </c>
      <c r="C3704" t="s">
        <v>557</v>
      </c>
      <c r="D3704" t="s">
        <v>2581</v>
      </c>
      <c r="E3704" t="s">
        <v>3413</v>
      </c>
      <c r="F3704" s="451">
        <v>46079</v>
      </c>
      <c r="G3704">
        <v>23108</v>
      </c>
      <c r="H3704" t="s">
        <v>5117</v>
      </c>
      <c r="I3704" t="s">
        <v>5191</v>
      </c>
      <c r="J3704">
        <v>0.1</v>
      </c>
      <c r="K3704" t="s">
        <v>4744</v>
      </c>
      <c r="L3704">
        <v>6</v>
      </c>
      <c r="M3704">
        <v>60</v>
      </c>
      <c r="N3704" t="s">
        <v>5191</v>
      </c>
      <c r="O3704" t="s">
        <v>460</v>
      </c>
    </row>
    <row r="3705" spans="1:15" x14ac:dyDescent="0.3">
      <c r="A3705">
        <v>212875</v>
      </c>
      <c r="B3705">
        <v>105</v>
      </c>
      <c r="C3705" t="s">
        <v>557</v>
      </c>
      <c r="D3705" t="s">
        <v>2581</v>
      </c>
      <c r="E3705" t="s">
        <v>3413</v>
      </c>
      <c r="F3705" s="451">
        <v>46079</v>
      </c>
      <c r="G3705">
        <v>23113</v>
      </c>
      <c r="H3705" t="s">
        <v>5074</v>
      </c>
      <c r="I3705" t="s">
        <v>5191</v>
      </c>
      <c r="J3705">
        <v>0.4</v>
      </c>
      <c r="K3705" t="s">
        <v>4744</v>
      </c>
      <c r="L3705">
        <v>4.5999999999999996</v>
      </c>
      <c r="M3705">
        <v>11.5</v>
      </c>
      <c r="N3705" t="s">
        <v>5191</v>
      </c>
      <c r="O3705" t="s">
        <v>460</v>
      </c>
    </row>
    <row r="3706" spans="1:15" x14ac:dyDescent="0.3">
      <c r="A3706">
        <v>212875</v>
      </c>
      <c r="B3706">
        <v>105</v>
      </c>
      <c r="C3706" t="s">
        <v>557</v>
      </c>
      <c r="D3706" t="s">
        <v>2581</v>
      </c>
      <c r="E3706" t="s">
        <v>3413</v>
      </c>
      <c r="F3706" s="451">
        <v>46079</v>
      </c>
      <c r="G3706">
        <v>23236</v>
      </c>
      <c r="H3706" t="s">
        <v>5062</v>
      </c>
      <c r="I3706" t="s">
        <v>5191</v>
      </c>
      <c r="J3706">
        <v>3</v>
      </c>
      <c r="K3706" t="s">
        <v>4744</v>
      </c>
      <c r="L3706">
        <v>28.5</v>
      </c>
      <c r="M3706">
        <v>9.5</v>
      </c>
      <c r="N3706" t="s">
        <v>5191</v>
      </c>
      <c r="O3706" t="s">
        <v>460</v>
      </c>
    </row>
    <row r="3707" spans="1:15" x14ac:dyDescent="0.3">
      <c r="A3707">
        <v>212875</v>
      </c>
      <c r="B3707">
        <v>105</v>
      </c>
      <c r="C3707" t="s">
        <v>557</v>
      </c>
      <c r="D3707" t="s">
        <v>2581</v>
      </c>
      <c r="E3707" t="s">
        <v>3413</v>
      </c>
      <c r="F3707" s="451">
        <v>46079</v>
      </c>
      <c r="G3707">
        <v>23359</v>
      </c>
      <c r="H3707" t="s">
        <v>4767</v>
      </c>
      <c r="I3707" t="s">
        <v>5191</v>
      </c>
      <c r="J3707">
        <v>20</v>
      </c>
      <c r="K3707" t="s">
        <v>4744</v>
      </c>
      <c r="L3707">
        <v>48</v>
      </c>
      <c r="M3707">
        <v>2.4</v>
      </c>
      <c r="N3707" t="s">
        <v>5191</v>
      </c>
      <c r="O3707" t="s">
        <v>460</v>
      </c>
    </row>
    <row r="3708" spans="1:15" x14ac:dyDescent="0.3">
      <c r="A3708">
        <v>212875</v>
      </c>
      <c r="B3708">
        <v>105</v>
      </c>
      <c r="C3708" t="s">
        <v>557</v>
      </c>
      <c r="D3708" t="s">
        <v>2581</v>
      </c>
      <c r="E3708" t="s">
        <v>3413</v>
      </c>
      <c r="F3708" s="451">
        <v>46079</v>
      </c>
      <c r="G3708">
        <v>23385</v>
      </c>
      <c r="H3708" t="s">
        <v>4938</v>
      </c>
      <c r="I3708" t="s">
        <v>5191</v>
      </c>
      <c r="J3708">
        <v>6</v>
      </c>
      <c r="K3708" t="s">
        <v>4744</v>
      </c>
      <c r="L3708">
        <v>180</v>
      </c>
      <c r="M3708">
        <v>30</v>
      </c>
      <c r="N3708" t="s">
        <v>5191</v>
      </c>
      <c r="O3708" t="s">
        <v>460</v>
      </c>
    </row>
    <row r="3709" spans="1:15" x14ac:dyDescent="0.3">
      <c r="A3709">
        <v>212875</v>
      </c>
      <c r="B3709">
        <v>105</v>
      </c>
      <c r="C3709" t="s">
        <v>557</v>
      </c>
      <c r="D3709" t="s">
        <v>2581</v>
      </c>
      <c r="E3709" t="s">
        <v>3413</v>
      </c>
      <c r="F3709" s="451">
        <v>46079</v>
      </c>
      <c r="G3709">
        <v>23389</v>
      </c>
      <c r="H3709" t="s">
        <v>4960</v>
      </c>
      <c r="I3709" t="s">
        <v>5191</v>
      </c>
      <c r="J3709">
        <v>5</v>
      </c>
      <c r="K3709" t="s">
        <v>4744</v>
      </c>
      <c r="L3709">
        <v>27.5</v>
      </c>
      <c r="M3709">
        <v>5.5</v>
      </c>
      <c r="N3709" t="s">
        <v>5191</v>
      </c>
      <c r="O3709" t="s">
        <v>460</v>
      </c>
    </row>
    <row r="3710" spans="1:15" x14ac:dyDescent="0.3">
      <c r="A3710">
        <v>212875</v>
      </c>
      <c r="B3710">
        <v>105</v>
      </c>
      <c r="C3710" t="s">
        <v>557</v>
      </c>
      <c r="D3710" t="s">
        <v>2581</v>
      </c>
      <c r="E3710" t="s">
        <v>3413</v>
      </c>
      <c r="F3710" s="451">
        <v>46079</v>
      </c>
      <c r="G3710">
        <v>23390</v>
      </c>
      <c r="H3710" t="s">
        <v>4873</v>
      </c>
      <c r="I3710" t="s">
        <v>5191</v>
      </c>
      <c r="J3710">
        <v>1</v>
      </c>
      <c r="K3710" t="s">
        <v>4744</v>
      </c>
      <c r="L3710">
        <v>8.5</v>
      </c>
      <c r="M3710">
        <v>8.5</v>
      </c>
      <c r="N3710" t="s">
        <v>5191</v>
      </c>
      <c r="O3710" t="s">
        <v>460</v>
      </c>
    </row>
    <row r="3711" spans="1:15" x14ac:dyDescent="0.3">
      <c r="A3711">
        <v>212875</v>
      </c>
      <c r="B3711">
        <v>105</v>
      </c>
      <c r="C3711" t="s">
        <v>557</v>
      </c>
      <c r="D3711" t="s">
        <v>2581</v>
      </c>
      <c r="E3711" t="s">
        <v>3413</v>
      </c>
      <c r="F3711" s="451">
        <v>46079</v>
      </c>
      <c r="G3711">
        <v>23095</v>
      </c>
      <c r="H3711" t="s">
        <v>4741</v>
      </c>
      <c r="I3711" t="s">
        <v>5191</v>
      </c>
      <c r="J3711">
        <v>50</v>
      </c>
      <c r="K3711" t="s">
        <v>4736</v>
      </c>
      <c r="L3711">
        <v>62.5</v>
      </c>
      <c r="M3711">
        <v>1.25</v>
      </c>
      <c r="N3711" t="s">
        <v>5191</v>
      </c>
      <c r="O3711" t="s">
        <v>460</v>
      </c>
    </row>
    <row r="3712" spans="1:15" x14ac:dyDescent="0.3">
      <c r="A3712">
        <v>212875</v>
      </c>
      <c r="B3712">
        <v>105</v>
      </c>
      <c r="C3712" t="s">
        <v>557</v>
      </c>
      <c r="D3712" t="s">
        <v>2581</v>
      </c>
      <c r="E3712" t="s">
        <v>3413</v>
      </c>
      <c r="F3712" s="451">
        <v>46079</v>
      </c>
      <c r="G3712">
        <v>19472</v>
      </c>
      <c r="H3712" t="s">
        <v>4906</v>
      </c>
      <c r="I3712" t="s">
        <v>5191</v>
      </c>
      <c r="J3712">
        <v>2</v>
      </c>
      <c r="K3712" t="s">
        <v>4744</v>
      </c>
      <c r="L3712">
        <v>54</v>
      </c>
      <c r="M3712">
        <v>27</v>
      </c>
      <c r="N3712" t="s">
        <v>5191</v>
      </c>
      <c r="O3712" t="s">
        <v>460</v>
      </c>
    </row>
    <row r="3713" spans="1:15" x14ac:dyDescent="0.3">
      <c r="A3713">
        <v>212875</v>
      </c>
      <c r="B3713">
        <v>105</v>
      </c>
      <c r="C3713" t="s">
        <v>557</v>
      </c>
      <c r="D3713" t="s">
        <v>2581</v>
      </c>
      <c r="E3713" t="s">
        <v>3413</v>
      </c>
      <c r="F3713" s="451">
        <v>46079</v>
      </c>
      <c r="G3713">
        <v>19632</v>
      </c>
      <c r="H3713" t="s">
        <v>4936</v>
      </c>
      <c r="I3713" t="s">
        <v>5191</v>
      </c>
      <c r="J3713">
        <v>2</v>
      </c>
      <c r="K3713" t="s">
        <v>4744</v>
      </c>
      <c r="L3713">
        <v>9</v>
      </c>
      <c r="M3713">
        <v>4.5</v>
      </c>
      <c r="N3713" t="s">
        <v>5191</v>
      </c>
      <c r="O3713" t="s">
        <v>460</v>
      </c>
    </row>
    <row r="3714" spans="1:15" x14ac:dyDescent="0.3">
      <c r="A3714">
        <v>212874</v>
      </c>
      <c r="B3714">
        <v>105</v>
      </c>
      <c r="C3714" t="s">
        <v>557</v>
      </c>
      <c r="D3714" t="s">
        <v>2581</v>
      </c>
      <c r="E3714" t="s">
        <v>3414</v>
      </c>
      <c r="F3714" s="451">
        <v>46078</v>
      </c>
      <c r="G3714">
        <v>19623</v>
      </c>
      <c r="H3714" t="s">
        <v>4764</v>
      </c>
      <c r="I3714" t="s">
        <v>5191</v>
      </c>
      <c r="J3714">
        <v>6</v>
      </c>
      <c r="K3714" t="s">
        <v>4744</v>
      </c>
      <c r="L3714">
        <v>20.399999999999999</v>
      </c>
      <c r="M3714">
        <v>3.4</v>
      </c>
      <c r="N3714" t="s">
        <v>5272</v>
      </c>
      <c r="O3714" t="s">
        <v>460</v>
      </c>
    </row>
    <row r="3715" spans="1:15" x14ac:dyDescent="0.3">
      <c r="A3715">
        <v>212874</v>
      </c>
      <c r="B3715">
        <v>105</v>
      </c>
      <c r="C3715" t="s">
        <v>557</v>
      </c>
      <c r="D3715" t="s">
        <v>2581</v>
      </c>
      <c r="E3715" t="s">
        <v>3414</v>
      </c>
      <c r="F3715" s="451">
        <v>46078</v>
      </c>
      <c r="G3715">
        <v>24509</v>
      </c>
      <c r="H3715" t="s">
        <v>4788</v>
      </c>
      <c r="I3715" t="s">
        <v>5191</v>
      </c>
      <c r="J3715">
        <v>8</v>
      </c>
      <c r="K3715" t="s">
        <v>4744</v>
      </c>
      <c r="L3715">
        <v>17.600000000000001</v>
      </c>
      <c r="M3715">
        <v>2.2000000000000002</v>
      </c>
      <c r="N3715" t="s">
        <v>5272</v>
      </c>
      <c r="O3715" t="s">
        <v>460</v>
      </c>
    </row>
    <row r="3716" spans="1:15" x14ac:dyDescent="0.3">
      <c r="A3716">
        <v>212874</v>
      </c>
      <c r="B3716">
        <v>105</v>
      </c>
      <c r="C3716" t="s">
        <v>557</v>
      </c>
      <c r="D3716" t="s">
        <v>2581</v>
      </c>
      <c r="E3716" t="s">
        <v>3414</v>
      </c>
      <c r="F3716" s="451">
        <v>46078</v>
      </c>
      <c r="G3716">
        <v>24099</v>
      </c>
      <c r="H3716" t="s">
        <v>4933</v>
      </c>
      <c r="I3716" t="s">
        <v>5191</v>
      </c>
      <c r="J3716">
        <v>1.2</v>
      </c>
      <c r="K3716" t="s">
        <v>4744</v>
      </c>
      <c r="L3716">
        <v>21.6</v>
      </c>
      <c r="M3716">
        <v>18</v>
      </c>
      <c r="N3716" t="s">
        <v>5272</v>
      </c>
      <c r="O3716" t="s">
        <v>460</v>
      </c>
    </row>
    <row r="3717" spans="1:15" x14ac:dyDescent="0.3">
      <c r="A3717">
        <v>212874</v>
      </c>
      <c r="B3717">
        <v>105</v>
      </c>
      <c r="C3717" t="s">
        <v>557</v>
      </c>
      <c r="D3717" t="s">
        <v>2581</v>
      </c>
      <c r="E3717" t="s">
        <v>3414</v>
      </c>
      <c r="F3717" s="451">
        <v>46078</v>
      </c>
      <c r="G3717">
        <v>19480</v>
      </c>
      <c r="H3717" t="s">
        <v>5119</v>
      </c>
      <c r="I3717" t="s">
        <v>5191</v>
      </c>
      <c r="J3717">
        <v>0.4</v>
      </c>
      <c r="K3717" t="s">
        <v>4744</v>
      </c>
      <c r="L3717">
        <v>5.6</v>
      </c>
      <c r="M3717">
        <v>14</v>
      </c>
      <c r="N3717" t="s">
        <v>5272</v>
      </c>
      <c r="O3717" t="s">
        <v>460</v>
      </c>
    </row>
    <row r="3718" spans="1:15" x14ac:dyDescent="0.3">
      <c r="A3718">
        <v>212874</v>
      </c>
      <c r="B3718">
        <v>105</v>
      </c>
      <c r="C3718" t="s">
        <v>557</v>
      </c>
      <c r="D3718" t="s">
        <v>2581</v>
      </c>
      <c r="E3718" t="s">
        <v>3414</v>
      </c>
      <c r="F3718" s="451">
        <v>46078</v>
      </c>
      <c r="G3718">
        <v>23095</v>
      </c>
      <c r="H3718" t="s">
        <v>4741</v>
      </c>
      <c r="I3718" t="s">
        <v>5191</v>
      </c>
      <c r="J3718">
        <v>40</v>
      </c>
      <c r="K3718" t="s">
        <v>4736</v>
      </c>
      <c r="L3718">
        <v>52</v>
      </c>
      <c r="M3718">
        <v>1.3</v>
      </c>
      <c r="N3718" t="s">
        <v>5272</v>
      </c>
      <c r="O3718" t="s">
        <v>460</v>
      </c>
    </row>
    <row r="3719" spans="1:15" x14ac:dyDescent="0.3">
      <c r="A3719">
        <v>212874</v>
      </c>
      <c r="B3719">
        <v>105</v>
      </c>
      <c r="C3719" t="s">
        <v>557</v>
      </c>
      <c r="D3719" t="s">
        <v>2581</v>
      </c>
      <c r="E3719" t="s">
        <v>3414</v>
      </c>
      <c r="F3719" s="451">
        <v>46078</v>
      </c>
      <c r="G3719">
        <v>19490</v>
      </c>
      <c r="H3719" t="s">
        <v>5116</v>
      </c>
      <c r="I3719" t="s">
        <v>5191</v>
      </c>
      <c r="J3719">
        <v>0.4</v>
      </c>
      <c r="K3719" t="s">
        <v>4744</v>
      </c>
      <c r="L3719">
        <v>30</v>
      </c>
      <c r="M3719">
        <v>75</v>
      </c>
      <c r="N3719" t="s">
        <v>5272</v>
      </c>
      <c r="O3719" t="s">
        <v>460</v>
      </c>
    </row>
    <row r="3720" spans="1:15" x14ac:dyDescent="0.3">
      <c r="A3720">
        <v>212874</v>
      </c>
      <c r="B3720">
        <v>105</v>
      </c>
      <c r="C3720" t="s">
        <v>557</v>
      </c>
      <c r="D3720" t="s">
        <v>2581</v>
      </c>
      <c r="E3720" t="s">
        <v>3414</v>
      </c>
      <c r="F3720" s="451">
        <v>46078</v>
      </c>
      <c r="G3720">
        <v>24037</v>
      </c>
      <c r="H3720" t="s">
        <v>5233</v>
      </c>
      <c r="I3720" t="s">
        <v>5191</v>
      </c>
      <c r="J3720">
        <v>2</v>
      </c>
      <c r="K3720" t="s">
        <v>4744</v>
      </c>
      <c r="L3720">
        <v>39</v>
      </c>
      <c r="M3720">
        <v>19.5</v>
      </c>
      <c r="N3720" t="s">
        <v>5272</v>
      </c>
      <c r="O3720" t="s">
        <v>460</v>
      </c>
    </row>
    <row r="3721" spans="1:15" x14ac:dyDescent="0.3">
      <c r="A3721">
        <v>212874</v>
      </c>
      <c r="B3721">
        <v>105</v>
      </c>
      <c r="C3721" t="s">
        <v>557</v>
      </c>
      <c r="D3721" t="s">
        <v>2581</v>
      </c>
      <c r="E3721" t="s">
        <v>3414</v>
      </c>
      <c r="F3721" s="451">
        <v>46078</v>
      </c>
      <c r="G3721">
        <v>19472</v>
      </c>
      <c r="H3721" t="s">
        <v>4906</v>
      </c>
      <c r="I3721" t="s">
        <v>5191</v>
      </c>
      <c r="J3721">
        <v>2</v>
      </c>
      <c r="K3721" t="s">
        <v>4744</v>
      </c>
      <c r="L3721">
        <v>54</v>
      </c>
      <c r="M3721">
        <v>27</v>
      </c>
      <c r="N3721" t="s">
        <v>5272</v>
      </c>
      <c r="O3721" t="s">
        <v>460</v>
      </c>
    </row>
    <row r="3722" spans="1:15" x14ac:dyDescent="0.3">
      <c r="A3722">
        <v>212872</v>
      </c>
      <c r="B3722">
        <v>105</v>
      </c>
      <c r="C3722" t="s">
        <v>557</v>
      </c>
      <c r="D3722" t="s">
        <v>2581</v>
      </c>
      <c r="E3722" t="s">
        <v>3415</v>
      </c>
      <c r="F3722" s="451">
        <v>46076</v>
      </c>
      <c r="G3722">
        <v>19589</v>
      </c>
      <c r="H3722" t="s">
        <v>4983</v>
      </c>
      <c r="I3722" t="s">
        <v>5191</v>
      </c>
      <c r="J3722">
        <v>2.4</v>
      </c>
      <c r="K3722" t="s">
        <v>4744</v>
      </c>
      <c r="L3722">
        <v>13.2</v>
      </c>
      <c r="M3722">
        <v>5.5</v>
      </c>
      <c r="N3722" t="s">
        <v>5272</v>
      </c>
      <c r="O3722" t="s">
        <v>460</v>
      </c>
    </row>
    <row r="3723" spans="1:15" x14ac:dyDescent="0.3">
      <c r="A3723">
        <v>212872</v>
      </c>
      <c r="B3723">
        <v>105</v>
      </c>
      <c r="C3723" t="s">
        <v>557</v>
      </c>
      <c r="D3723" t="s">
        <v>2581</v>
      </c>
      <c r="E3723" t="s">
        <v>3415</v>
      </c>
      <c r="F3723" s="451">
        <v>46076</v>
      </c>
      <c r="G3723">
        <v>19506</v>
      </c>
      <c r="H3723" t="s">
        <v>5122</v>
      </c>
      <c r="I3723" t="s">
        <v>5191</v>
      </c>
      <c r="J3723">
        <v>0.4</v>
      </c>
      <c r="K3723" t="s">
        <v>4744</v>
      </c>
      <c r="L3723">
        <v>18</v>
      </c>
      <c r="M3723">
        <v>45</v>
      </c>
      <c r="N3723" t="s">
        <v>5272</v>
      </c>
      <c r="O3723" t="s">
        <v>460</v>
      </c>
    </row>
    <row r="3724" spans="1:15" x14ac:dyDescent="0.3">
      <c r="A3724">
        <v>212872</v>
      </c>
      <c r="B3724">
        <v>105</v>
      </c>
      <c r="C3724" t="s">
        <v>557</v>
      </c>
      <c r="D3724" t="s">
        <v>2581</v>
      </c>
      <c r="E3724" t="s">
        <v>3415</v>
      </c>
      <c r="F3724" s="451">
        <v>46076</v>
      </c>
      <c r="G3724">
        <v>19575</v>
      </c>
      <c r="H3724" t="s">
        <v>5120</v>
      </c>
      <c r="I3724" t="s">
        <v>5191</v>
      </c>
      <c r="J3724">
        <v>0.3</v>
      </c>
      <c r="K3724" t="s">
        <v>4744</v>
      </c>
      <c r="L3724">
        <v>10.5</v>
      </c>
      <c r="M3724">
        <v>35</v>
      </c>
      <c r="N3724" t="s">
        <v>5272</v>
      </c>
      <c r="O3724" t="s">
        <v>460</v>
      </c>
    </row>
    <row r="3725" spans="1:15" x14ac:dyDescent="0.3">
      <c r="A3725">
        <v>212872</v>
      </c>
      <c r="B3725">
        <v>105</v>
      </c>
      <c r="C3725" t="s">
        <v>557</v>
      </c>
      <c r="D3725" t="s">
        <v>2581</v>
      </c>
      <c r="E3725" t="s">
        <v>3415</v>
      </c>
      <c r="F3725" s="451">
        <v>46076</v>
      </c>
      <c r="G3725">
        <v>19480</v>
      </c>
      <c r="H3725" t="s">
        <v>5119</v>
      </c>
      <c r="I3725" t="s">
        <v>5191</v>
      </c>
      <c r="J3725">
        <v>0.5</v>
      </c>
      <c r="K3725" t="s">
        <v>4744</v>
      </c>
      <c r="L3725">
        <v>9</v>
      </c>
      <c r="M3725">
        <v>18</v>
      </c>
      <c r="N3725" t="s">
        <v>5272</v>
      </c>
      <c r="O3725" t="s">
        <v>460</v>
      </c>
    </row>
    <row r="3726" spans="1:15" x14ac:dyDescent="0.3">
      <c r="A3726">
        <v>212872</v>
      </c>
      <c r="B3726">
        <v>105</v>
      </c>
      <c r="C3726" t="s">
        <v>557</v>
      </c>
      <c r="D3726" t="s">
        <v>2581</v>
      </c>
      <c r="E3726" t="s">
        <v>3415</v>
      </c>
      <c r="F3726" s="451">
        <v>46076</v>
      </c>
      <c r="G3726">
        <v>19558</v>
      </c>
      <c r="H3726" t="s">
        <v>4994</v>
      </c>
      <c r="I3726" t="s">
        <v>5191</v>
      </c>
      <c r="J3726">
        <v>1</v>
      </c>
      <c r="K3726" t="s">
        <v>4744</v>
      </c>
      <c r="L3726">
        <v>15</v>
      </c>
      <c r="M3726">
        <v>15</v>
      </c>
      <c r="N3726" t="s">
        <v>5272</v>
      </c>
      <c r="O3726" t="s">
        <v>460</v>
      </c>
    </row>
    <row r="3727" spans="1:15" x14ac:dyDescent="0.3">
      <c r="A3727">
        <v>212872</v>
      </c>
      <c r="B3727">
        <v>105</v>
      </c>
      <c r="C3727" t="s">
        <v>557</v>
      </c>
      <c r="D3727" t="s">
        <v>2581</v>
      </c>
      <c r="E3727" t="s">
        <v>3415</v>
      </c>
      <c r="F3727" s="451">
        <v>46076</v>
      </c>
      <c r="G3727">
        <v>19622</v>
      </c>
      <c r="H3727" t="s">
        <v>4915</v>
      </c>
      <c r="I3727" t="s">
        <v>5191</v>
      </c>
      <c r="J3727">
        <v>1.5</v>
      </c>
      <c r="K3727" t="s">
        <v>4744</v>
      </c>
      <c r="L3727">
        <v>4.88</v>
      </c>
      <c r="M3727">
        <v>3.253333</v>
      </c>
      <c r="N3727" t="s">
        <v>5272</v>
      </c>
      <c r="O3727" t="s">
        <v>460</v>
      </c>
    </row>
    <row r="3728" spans="1:15" x14ac:dyDescent="0.3">
      <c r="A3728">
        <v>212872</v>
      </c>
      <c r="B3728">
        <v>105</v>
      </c>
      <c r="C3728" t="s">
        <v>557</v>
      </c>
      <c r="D3728" t="s">
        <v>2581</v>
      </c>
      <c r="E3728" t="s">
        <v>3415</v>
      </c>
      <c r="F3728" s="451">
        <v>46076</v>
      </c>
      <c r="G3728">
        <v>19617</v>
      </c>
      <c r="H3728" t="s">
        <v>5071</v>
      </c>
      <c r="I3728" t="s">
        <v>5191</v>
      </c>
      <c r="J3728">
        <v>0.4</v>
      </c>
      <c r="K3728" t="s">
        <v>4744</v>
      </c>
      <c r="L3728">
        <v>16</v>
      </c>
      <c r="M3728">
        <v>40</v>
      </c>
      <c r="N3728" t="s">
        <v>5272</v>
      </c>
      <c r="O3728" t="s">
        <v>460</v>
      </c>
    </row>
    <row r="3729" spans="1:15" x14ac:dyDescent="0.3">
      <c r="A3729">
        <v>212872</v>
      </c>
      <c r="B3729">
        <v>105</v>
      </c>
      <c r="C3729" t="s">
        <v>557</v>
      </c>
      <c r="D3729" t="s">
        <v>2581</v>
      </c>
      <c r="E3729" t="s">
        <v>3415</v>
      </c>
      <c r="F3729" s="451">
        <v>46076</v>
      </c>
      <c r="G3729">
        <v>23108</v>
      </c>
      <c r="H3729" t="s">
        <v>5117</v>
      </c>
      <c r="I3729" t="s">
        <v>5191</v>
      </c>
      <c r="J3729">
        <v>0.3</v>
      </c>
      <c r="K3729" t="s">
        <v>4744</v>
      </c>
      <c r="L3729">
        <v>19.5</v>
      </c>
      <c r="M3729">
        <v>65</v>
      </c>
      <c r="N3729" t="s">
        <v>5272</v>
      </c>
      <c r="O3729" t="s">
        <v>460</v>
      </c>
    </row>
    <row r="3730" spans="1:15" x14ac:dyDescent="0.3">
      <c r="A3730">
        <v>212872</v>
      </c>
      <c r="B3730">
        <v>105</v>
      </c>
      <c r="C3730" t="s">
        <v>557</v>
      </c>
      <c r="D3730" t="s">
        <v>2581</v>
      </c>
      <c r="E3730" t="s">
        <v>3415</v>
      </c>
      <c r="F3730" s="451">
        <v>46076</v>
      </c>
      <c r="G3730">
        <v>23365</v>
      </c>
      <c r="H3730" t="s">
        <v>5108</v>
      </c>
      <c r="I3730" t="s">
        <v>5191</v>
      </c>
      <c r="J3730">
        <v>0.5</v>
      </c>
      <c r="K3730" t="s">
        <v>4744</v>
      </c>
      <c r="L3730">
        <v>9.5</v>
      </c>
      <c r="M3730">
        <v>19</v>
      </c>
      <c r="N3730" t="s">
        <v>5272</v>
      </c>
      <c r="O3730" t="s">
        <v>460</v>
      </c>
    </row>
    <row r="3731" spans="1:15" x14ac:dyDescent="0.3">
      <c r="A3731">
        <v>212872</v>
      </c>
      <c r="B3731">
        <v>105</v>
      </c>
      <c r="C3731" t="s">
        <v>557</v>
      </c>
      <c r="D3731" t="s">
        <v>2581</v>
      </c>
      <c r="E3731" t="s">
        <v>3415</v>
      </c>
      <c r="F3731" s="451">
        <v>46076</v>
      </c>
      <c r="G3731">
        <v>23385</v>
      </c>
      <c r="H3731" t="s">
        <v>4938</v>
      </c>
      <c r="I3731" t="s">
        <v>5191</v>
      </c>
      <c r="J3731">
        <v>1</v>
      </c>
      <c r="K3731" t="s">
        <v>4744</v>
      </c>
      <c r="L3731">
        <v>33</v>
      </c>
      <c r="M3731">
        <v>33</v>
      </c>
      <c r="N3731" t="s">
        <v>5272</v>
      </c>
      <c r="O3731" t="s">
        <v>460</v>
      </c>
    </row>
    <row r="3732" spans="1:15" x14ac:dyDescent="0.3">
      <c r="A3732">
        <v>212872</v>
      </c>
      <c r="B3732">
        <v>105</v>
      </c>
      <c r="C3732" t="s">
        <v>557</v>
      </c>
      <c r="D3732" t="s">
        <v>2581</v>
      </c>
      <c r="E3732" t="s">
        <v>3415</v>
      </c>
      <c r="F3732" s="451">
        <v>46076</v>
      </c>
      <c r="G3732">
        <v>23390</v>
      </c>
      <c r="H3732" t="s">
        <v>4873</v>
      </c>
      <c r="I3732" t="s">
        <v>5191</v>
      </c>
      <c r="J3732">
        <v>1</v>
      </c>
      <c r="K3732" t="s">
        <v>4744</v>
      </c>
      <c r="L3732">
        <v>8.5</v>
      </c>
      <c r="M3732">
        <v>8.5</v>
      </c>
      <c r="N3732" t="s">
        <v>5272</v>
      </c>
      <c r="O3732" t="s">
        <v>460</v>
      </c>
    </row>
    <row r="3733" spans="1:15" x14ac:dyDescent="0.3">
      <c r="A3733">
        <v>212871</v>
      </c>
      <c r="B3733">
        <v>105</v>
      </c>
      <c r="C3733" t="s">
        <v>557</v>
      </c>
      <c r="D3733" t="s">
        <v>2581</v>
      </c>
      <c r="E3733" t="s">
        <v>3416</v>
      </c>
      <c r="F3733" s="451">
        <v>46073</v>
      </c>
      <c r="G3733">
        <v>19505</v>
      </c>
      <c r="H3733" t="s">
        <v>4872</v>
      </c>
      <c r="I3733" t="s">
        <v>5191</v>
      </c>
      <c r="J3733">
        <v>2</v>
      </c>
      <c r="K3733" t="s">
        <v>4744</v>
      </c>
      <c r="L3733">
        <v>34</v>
      </c>
      <c r="M3733">
        <v>17</v>
      </c>
      <c r="N3733" t="s">
        <v>5191</v>
      </c>
      <c r="O3733" t="s">
        <v>460</v>
      </c>
    </row>
    <row r="3734" spans="1:15" x14ac:dyDescent="0.3">
      <c r="A3734">
        <v>212871</v>
      </c>
      <c r="B3734">
        <v>105</v>
      </c>
      <c r="C3734" t="s">
        <v>557</v>
      </c>
      <c r="D3734" t="s">
        <v>2581</v>
      </c>
      <c r="E3734" t="s">
        <v>3416</v>
      </c>
      <c r="F3734" s="451">
        <v>46073</v>
      </c>
      <c r="G3734">
        <v>23359</v>
      </c>
      <c r="H3734" t="s">
        <v>4767</v>
      </c>
      <c r="I3734" t="s">
        <v>5191</v>
      </c>
      <c r="J3734">
        <v>15</v>
      </c>
      <c r="K3734" t="s">
        <v>4744</v>
      </c>
      <c r="L3734">
        <v>43.5</v>
      </c>
      <c r="M3734">
        <v>2.9</v>
      </c>
      <c r="N3734" t="s">
        <v>5191</v>
      </c>
      <c r="O3734" t="s">
        <v>460</v>
      </c>
    </row>
    <row r="3735" spans="1:15" x14ac:dyDescent="0.3">
      <c r="A3735">
        <v>212870</v>
      </c>
      <c r="B3735">
        <v>105</v>
      </c>
      <c r="C3735" t="s">
        <v>557</v>
      </c>
      <c r="D3735" t="s">
        <v>2581</v>
      </c>
      <c r="E3735" t="s">
        <v>3417</v>
      </c>
      <c r="F3735" s="451">
        <v>46072</v>
      </c>
      <c r="G3735">
        <v>19787</v>
      </c>
      <c r="H3735" t="s">
        <v>4793</v>
      </c>
      <c r="I3735" t="s">
        <v>5191</v>
      </c>
      <c r="J3735">
        <v>8</v>
      </c>
      <c r="K3735" t="s">
        <v>4744</v>
      </c>
      <c r="L3735">
        <v>43.2</v>
      </c>
      <c r="M3735">
        <v>5.4</v>
      </c>
      <c r="N3735" t="s">
        <v>5272</v>
      </c>
      <c r="O3735" t="s">
        <v>460</v>
      </c>
    </row>
    <row r="3736" spans="1:15" x14ac:dyDescent="0.3">
      <c r="A3736">
        <v>212870</v>
      </c>
      <c r="B3736">
        <v>105</v>
      </c>
      <c r="C3736" t="s">
        <v>557</v>
      </c>
      <c r="D3736" t="s">
        <v>2581</v>
      </c>
      <c r="E3736" t="s">
        <v>3417</v>
      </c>
      <c r="F3736" s="451">
        <v>46072</v>
      </c>
      <c r="G3736">
        <v>24083</v>
      </c>
      <c r="H3736" t="s">
        <v>5165</v>
      </c>
      <c r="I3736" t="s">
        <v>5191</v>
      </c>
      <c r="J3736">
        <v>50</v>
      </c>
      <c r="K3736" t="s">
        <v>4744</v>
      </c>
      <c r="L3736">
        <v>215</v>
      </c>
      <c r="M3736">
        <v>4.3</v>
      </c>
      <c r="N3736" t="s">
        <v>5272</v>
      </c>
      <c r="O3736" t="s">
        <v>460</v>
      </c>
    </row>
    <row r="3737" spans="1:15" x14ac:dyDescent="0.3">
      <c r="A3737">
        <v>212870</v>
      </c>
      <c r="B3737">
        <v>105</v>
      </c>
      <c r="C3737" t="s">
        <v>557</v>
      </c>
      <c r="D3737" t="s">
        <v>2581</v>
      </c>
      <c r="E3737" t="s">
        <v>3417</v>
      </c>
      <c r="F3737" s="451">
        <v>46072</v>
      </c>
      <c r="G3737">
        <v>19589</v>
      </c>
      <c r="H3737" t="s">
        <v>4983</v>
      </c>
      <c r="I3737" t="s">
        <v>5191</v>
      </c>
      <c r="J3737">
        <v>3</v>
      </c>
      <c r="K3737" t="s">
        <v>4744</v>
      </c>
      <c r="L3737">
        <v>12.3</v>
      </c>
      <c r="M3737">
        <v>4.0999999999999996</v>
      </c>
      <c r="N3737" t="s">
        <v>5272</v>
      </c>
      <c r="O3737" t="s">
        <v>460</v>
      </c>
    </row>
    <row r="3738" spans="1:15" x14ac:dyDescent="0.3">
      <c r="A3738">
        <v>212870</v>
      </c>
      <c r="B3738">
        <v>105</v>
      </c>
      <c r="C3738" t="s">
        <v>557</v>
      </c>
      <c r="D3738" t="s">
        <v>2581</v>
      </c>
      <c r="E3738" t="s">
        <v>3417</v>
      </c>
      <c r="F3738" s="451">
        <v>46072</v>
      </c>
      <c r="G3738">
        <v>19505</v>
      </c>
      <c r="H3738" t="s">
        <v>4872</v>
      </c>
      <c r="I3738" t="s">
        <v>5191</v>
      </c>
      <c r="J3738">
        <v>5</v>
      </c>
      <c r="K3738" t="s">
        <v>4744</v>
      </c>
      <c r="L3738">
        <v>85</v>
      </c>
      <c r="M3738">
        <v>17</v>
      </c>
      <c r="N3738" t="s">
        <v>5272</v>
      </c>
      <c r="O3738" t="s">
        <v>460</v>
      </c>
    </row>
    <row r="3739" spans="1:15" x14ac:dyDescent="0.3">
      <c r="A3739">
        <v>212870</v>
      </c>
      <c r="B3739">
        <v>105</v>
      </c>
      <c r="C3739" t="s">
        <v>557</v>
      </c>
      <c r="D3739" t="s">
        <v>2581</v>
      </c>
      <c r="E3739" t="s">
        <v>3417</v>
      </c>
      <c r="F3739" s="451">
        <v>46072</v>
      </c>
      <c r="G3739">
        <v>19737</v>
      </c>
      <c r="H3739" t="s">
        <v>4940</v>
      </c>
      <c r="I3739" t="s">
        <v>5191</v>
      </c>
      <c r="J3739">
        <v>2</v>
      </c>
      <c r="K3739" t="s">
        <v>4744</v>
      </c>
      <c r="L3739">
        <v>11</v>
      </c>
      <c r="M3739">
        <v>5.5</v>
      </c>
      <c r="N3739" t="s">
        <v>5272</v>
      </c>
      <c r="O3739" t="s">
        <v>460</v>
      </c>
    </row>
    <row r="3740" spans="1:15" x14ac:dyDescent="0.3">
      <c r="A3740">
        <v>212870</v>
      </c>
      <c r="B3740">
        <v>105</v>
      </c>
      <c r="C3740" t="s">
        <v>557</v>
      </c>
      <c r="D3740" t="s">
        <v>2581</v>
      </c>
      <c r="E3740" t="s">
        <v>3417</v>
      </c>
      <c r="F3740" s="451">
        <v>46072</v>
      </c>
      <c r="G3740">
        <v>24509</v>
      </c>
      <c r="H3740" t="s">
        <v>4788</v>
      </c>
      <c r="I3740" t="s">
        <v>5191</v>
      </c>
      <c r="J3740">
        <v>8</v>
      </c>
      <c r="K3740" t="s">
        <v>4744</v>
      </c>
      <c r="L3740">
        <v>16</v>
      </c>
      <c r="M3740">
        <v>2</v>
      </c>
      <c r="N3740" t="s">
        <v>5272</v>
      </c>
      <c r="O3740" t="s">
        <v>460</v>
      </c>
    </row>
    <row r="3741" spans="1:15" x14ac:dyDescent="0.3">
      <c r="A3741">
        <v>212870</v>
      </c>
      <c r="B3741">
        <v>105</v>
      </c>
      <c r="C3741" t="s">
        <v>557</v>
      </c>
      <c r="D3741" t="s">
        <v>2581</v>
      </c>
      <c r="E3741" t="s">
        <v>3417</v>
      </c>
      <c r="F3741" s="451">
        <v>46072</v>
      </c>
      <c r="G3741">
        <v>19476</v>
      </c>
      <c r="H3741" t="s">
        <v>5115</v>
      </c>
      <c r="I3741" t="s">
        <v>5191</v>
      </c>
      <c r="J3741">
        <v>0.2</v>
      </c>
      <c r="K3741" t="s">
        <v>4744</v>
      </c>
      <c r="L3741">
        <v>13</v>
      </c>
      <c r="M3741">
        <v>65</v>
      </c>
      <c r="N3741" t="s">
        <v>5272</v>
      </c>
      <c r="O3741" t="s">
        <v>460</v>
      </c>
    </row>
    <row r="3742" spans="1:15" x14ac:dyDescent="0.3">
      <c r="A3742">
        <v>212870</v>
      </c>
      <c r="B3742">
        <v>105</v>
      </c>
      <c r="C3742" t="s">
        <v>557</v>
      </c>
      <c r="D3742" t="s">
        <v>2581</v>
      </c>
      <c r="E3742" t="s">
        <v>3417</v>
      </c>
      <c r="F3742" s="451">
        <v>46072</v>
      </c>
      <c r="G3742">
        <v>19480</v>
      </c>
      <c r="H3742" t="s">
        <v>5119</v>
      </c>
      <c r="I3742" t="s">
        <v>5191</v>
      </c>
      <c r="J3742">
        <v>0.4</v>
      </c>
      <c r="K3742" t="s">
        <v>4744</v>
      </c>
      <c r="L3742">
        <v>7.2</v>
      </c>
      <c r="M3742">
        <v>18</v>
      </c>
      <c r="N3742" t="s">
        <v>5272</v>
      </c>
      <c r="O3742" t="s">
        <v>460</v>
      </c>
    </row>
    <row r="3743" spans="1:15" x14ac:dyDescent="0.3">
      <c r="A3743">
        <v>212870</v>
      </c>
      <c r="B3743">
        <v>105</v>
      </c>
      <c r="C3743" t="s">
        <v>557</v>
      </c>
      <c r="D3743" t="s">
        <v>2581</v>
      </c>
      <c r="E3743" t="s">
        <v>3417</v>
      </c>
      <c r="F3743" s="451">
        <v>46072</v>
      </c>
      <c r="G3743">
        <v>19488</v>
      </c>
      <c r="H3743" t="s">
        <v>5107</v>
      </c>
      <c r="I3743" t="s">
        <v>5191</v>
      </c>
      <c r="J3743">
        <v>0.5</v>
      </c>
      <c r="K3743" t="s">
        <v>4744</v>
      </c>
      <c r="L3743">
        <v>7</v>
      </c>
      <c r="M3743">
        <v>14</v>
      </c>
      <c r="N3743" t="s">
        <v>5272</v>
      </c>
      <c r="O3743" t="s">
        <v>460</v>
      </c>
    </row>
    <row r="3744" spans="1:15" x14ac:dyDescent="0.3">
      <c r="A3744">
        <v>212870</v>
      </c>
      <c r="B3744">
        <v>105</v>
      </c>
      <c r="C3744" t="s">
        <v>557</v>
      </c>
      <c r="D3744" t="s">
        <v>2581</v>
      </c>
      <c r="E3744" t="s">
        <v>3417</v>
      </c>
      <c r="F3744" s="451">
        <v>46072</v>
      </c>
      <c r="G3744">
        <v>19558</v>
      </c>
      <c r="H3744" t="s">
        <v>4994</v>
      </c>
      <c r="I3744" t="s">
        <v>5191</v>
      </c>
      <c r="J3744">
        <v>1</v>
      </c>
      <c r="K3744" t="s">
        <v>4744</v>
      </c>
      <c r="L3744">
        <v>13.5</v>
      </c>
      <c r="M3744">
        <v>13.5</v>
      </c>
      <c r="N3744" t="s">
        <v>5272</v>
      </c>
      <c r="O3744" t="s">
        <v>460</v>
      </c>
    </row>
    <row r="3745" spans="1:15" x14ac:dyDescent="0.3">
      <c r="A3745">
        <v>212870</v>
      </c>
      <c r="B3745">
        <v>105</v>
      </c>
      <c r="C3745" t="s">
        <v>557</v>
      </c>
      <c r="D3745" t="s">
        <v>2581</v>
      </c>
      <c r="E3745" t="s">
        <v>3417</v>
      </c>
      <c r="F3745" s="451">
        <v>46072</v>
      </c>
      <c r="G3745">
        <v>19622</v>
      </c>
      <c r="H3745" t="s">
        <v>4915</v>
      </c>
      <c r="I3745" t="s">
        <v>5191</v>
      </c>
      <c r="J3745">
        <v>1</v>
      </c>
      <c r="K3745" t="s">
        <v>4744</v>
      </c>
      <c r="L3745">
        <v>3</v>
      </c>
      <c r="M3745">
        <v>3</v>
      </c>
      <c r="N3745" t="s">
        <v>5272</v>
      </c>
      <c r="O3745" t="s">
        <v>460</v>
      </c>
    </row>
    <row r="3746" spans="1:15" x14ac:dyDescent="0.3">
      <c r="A3746">
        <v>212870</v>
      </c>
      <c r="B3746">
        <v>105</v>
      </c>
      <c r="C3746" t="s">
        <v>557</v>
      </c>
      <c r="D3746" t="s">
        <v>2581</v>
      </c>
      <c r="E3746" t="s">
        <v>3417</v>
      </c>
      <c r="F3746" s="451">
        <v>46072</v>
      </c>
      <c r="G3746">
        <v>19752</v>
      </c>
      <c r="H3746" t="s">
        <v>4807</v>
      </c>
      <c r="I3746" t="s">
        <v>5191</v>
      </c>
      <c r="J3746">
        <v>3</v>
      </c>
      <c r="K3746" t="s">
        <v>4744</v>
      </c>
      <c r="L3746">
        <v>28.5</v>
      </c>
      <c r="M3746">
        <v>9.5</v>
      </c>
      <c r="N3746" t="s">
        <v>5272</v>
      </c>
      <c r="O3746" t="s">
        <v>460</v>
      </c>
    </row>
    <row r="3747" spans="1:15" x14ac:dyDescent="0.3">
      <c r="A3747">
        <v>212870</v>
      </c>
      <c r="B3747">
        <v>105</v>
      </c>
      <c r="C3747" t="s">
        <v>557</v>
      </c>
      <c r="D3747" t="s">
        <v>2581</v>
      </c>
      <c r="E3747" t="s">
        <v>3417</v>
      </c>
      <c r="F3747" s="451">
        <v>46072</v>
      </c>
      <c r="G3747">
        <v>24489</v>
      </c>
      <c r="H3747" t="s">
        <v>5121</v>
      </c>
      <c r="I3747" t="s">
        <v>5191</v>
      </c>
      <c r="J3747">
        <v>1</v>
      </c>
      <c r="K3747" t="s">
        <v>4744</v>
      </c>
      <c r="L3747">
        <v>15</v>
      </c>
      <c r="M3747">
        <v>15</v>
      </c>
      <c r="N3747" t="s">
        <v>5272</v>
      </c>
      <c r="O3747" t="s">
        <v>460</v>
      </c>
    </row>
    <row r="3748" spans="1:15" x14ac:dyDescent="0.3">
      <c r="A3748">
        <v>212870</v>
      </c>
      <c r="B3748">
        <v>105</v>
      </c>
      <c r="C3748" t="s">
        <v>557</v>
      </c>
      <c r="D3748" t="s">
        <v>2581</v>
      </c>
      <c r="E3748" t="s">
        <v>3417</v>
      </c>
      <c r="F3748" s="451">
        <v>46072</v>
      </c>
      <c r="G3748">
        <v>19617</v>
      </c>
      <c r="H3748" t="s">
        <v>5071</v>
      </c>
      <c r="I3748" t="s">
        <v>5191</v>
      </c>
      <c r="J3748">
        <v>0.5</v>
      </c>
      <c r="K3748" t="s">
        <v>4744</v>
      </c>
      <c r="L3748">
        <v>20</v>
      </c>
      <c r="M3748">
        <v>40</v>
      </c>
      <c r="N3748" t="s">
        <v>5272</v>
      </c>
      <c r="O3748" t="s">
        <v>460</v>
      </c>
    </row>
    <row r="3749" spans="1:15" x14ac:dyDescent="0.3">
      <c r="A3749">
        <v>212870</v>
      </c>
      <c r="B3749">
        <v>105</v>
      </c>
      <c r="C3749" t="s">
        <v>557</v>
      </c>
      <c r="D3749" t="s">
        <v>2581</v>
      </c>
      <c r="E3749" t="s">
        <v>3417</v>
      </c>
      <c r="F3749" s="451">
        <v>46072</v>
      </c>
      <c r="G3749">
        <v>23108</v>
      </c>
      <c r="H3749" t="s">
        <v>5117</v>
      </c>
      <c r="I3749" t="s">
        <v>5191</v>
      </c>
      <c r="J3749">
        <v>0.3</v>
      </c>
      <c r="K3749" t="s">
        <v>4744</v>
      </c>
      <c r="L3749">
        <v>19.5</v>
      </c>
      <c r="M3749">
        <v>65</v>
      </c>
      <c r="N3749" t="s">
        <v>5272</v>
      </c>
      <c r="O3749" t="s">
        <v>460</v>
      </c>
    </row>
    <row r="3750" spans="1:15" x14ac:dyDescent="0.3">
      <c r="A3750">
        <v>212870</v>
      </c>
      <c r="B3750">
        <v>105</v>
      </c>
      <c r="C3750" t="s">
        <v>557</v>
      </c>
      <c r="D3750" t="s">
        <v>2581</v>
      </c>
      <c r="E3750" t="s">
        <v>3417</v>
      </c>
      <c r="F3750" s="451">
        <v>46072</v>
      </c>
      <c r="G3750">
        <v>23113</v>
      </c>
      <c r="H3750" t="s">
        <v>5074</v>
      </c>
      <c r="I3750" t="s">
        <v>5191</v>
      </c>
      <c r="J3750">
        <v>1</v>
      </c>
      <c r="K3750" t="s">
        <v>4744</v>
      </c>
      <c r="L3750">
        <v>8</v>
      </c>
      <c r="M3750">
        <v>8</v>
      </c>
      <c r="N3750" t="s">
        <v>5272</v>
      </c>
      <c r="O3750" t="s">
        <v>460</v>
      </c>
    </row>
    <row r="3751" spans="1:15" x14ac:dyDescent="0.3">
      <c r="A3751">
        <v>212870</v>
      </c>
      <c r="B3751">
        <v>105</v>
      </c>
      <c r="C3751" t="s">
        <v>557</v>
      </c>
      <c r="D3751" t="s">
        <v>2581</v>
      </c>
      <c r="E3751" t="s">
        <v>3417</v>
      </c>
      <c r="F3751" s="451">
        <v>46072</v>
      </c>
      <c r="G3751">
        <v>23359</v>
      </c>
      <c r="H3751" t="s">
        <v>4767</v>
      </c>
      <c r="I3751" t="s">
        <v>5191</v>
      </c>
      <c r="J3751">
        <v>12</v>
      </c>
      <c r="K3751" t="s">
        <v>4744</v>
      </c>
      <c r="L3751">
        <v>34.799999999999997</v>
      </c>
      <c r="M3751">
        <v>2.9</v>
      </c>
      <c r="N3751" t="s">
        <v>5272</v>
      </c>
      <c r="O3751" t="s">
        <v>460</v>
      </c>
    </row>
    <row r="3752" spans="1:15" x14ac:dyDescent="0.3">
      <c r="A3752">
        <v>212870</v>
      </c>
      <c r="B3752">
        <v>105</v>
      </c>
      <c r="C3752" t="s">
        <v>557</v>
      </c>
      <c r="D3752" t="s">
        <v>2581</v>
      </c>
      <c r="E3752" t="s">
        <v>3417</v>
      </c>
      <c r="F3752" s="451">
        <v>46072</v>
      </c>
      <c r="G3752">
        <v>23365</v>
      </c>
      <c r="H3752" t="s">
        <v>5108</v>
      </c>
      <c r="I3752" t="s">
        <v>5191</v>
      </c>
      <c r="J3752">
        <v>1</v>
      </c>
      <c r="K3752" t="s">
        <v>4744</v>
      </c>
      <c r="L3752">
        <v>23</v>
      </c>
      <c r="M3752">
        <v>23</v>
      </c>
      <c r="N3752" t="s">
        <v>5272</v>
      </c>
      <c r="O3752" t="s">
        <v>460</v>
      </c>
    </row>
    <row r="3753" spans="1:15" x14ac:dyDescent="0.3">
      <c r="A3753">
        <v>212870</v>
      </c>
      <c r="B3753">
        <v>105</v>
      </c>
      <c r="C3753" t="s">
        <v>557</v>
      </c>
      <c r="D3753" t="s">
        <v>2581</v>
      </c>
      <c r="E3753" t="s">
        <v>3417</v>
      </c>
      <c r="F3753" s="451">
        <v>46072</v>
      </c>
      <c r="G3753">
        <v>23390</v>
      </c>
      <c r="H3753" t="s">
        <v>4873</v>
      </c>
      <c r="I3753" t="s">
        <v>5191</v>
      </c>
      <c r="J3753">
        <v>1</v>
      </c>
      <c r="K3753" t="s">
        <v>4744</v>
      </c>
      <c r="L3753">
        <v>9</v>
      </c>
      <c r="M3753">
        <v>9</v>
      </c>
      <c r="N3753" t="s">
        <v>5272</v>
      </c>
      <c r="O3753" t="s">
        <v>460</v>
      </c>
    </row>
    <row r="3754" spans="1:15" x14ac:dyDescent="0.3">
      <c r="A3754">
        <v>212870</v>
      </c>
      <c r="B3754">
        <v>105</v>
      </c>
      <c r="C3754" t="s">
        <v>557</v>
      </c>
      <c r="D3754" t="s">
        <v>2581</v>
      </c>
      <c r="E3754" t="s">
        <v>3417</v>
      </c>
      <c r="F3754" s="451">
        <v>46072</v>
      </c>
      <c r="G3754">
        <v>19490</v>
      </c>
      <c r="H3754" t="s">
        <v>5116</v>
      </c>
      <c r="I3754" t="s">
        <v>5191</v>
      </c>
      <c r="J3754">
        <v>0.4</v>
      </c>
      <c r="K3754" t="s">
        <v>4744</v>
      </c>
      <c r="L3754">
        <v>26</v>
      </c>
      <c r="M3754">
        <v>65</v>
      </c>
      <c r="N3754" t="s">
        <v>5272</v>
      </c>
      <c r="O3754" t="s">
        <v>460</v>
      </c>
    </row>
    <row r="3755" spans="1:15" x14ac:dyDescent="0.3">
      <c r="A3755">
        <v>212859</v>
      </c>
      <c r="B3755">
        <v>105</v>
      </c>
      <c r="C3755" t="s">
        <v>557</v>
      </c>
      <c r="D3755" t="s">
        <v>2637</v>
      </c>
      <c r="E3755" t="s">
        <v>3231</v>
      </c>
      <c r="F3755" s="451">
        <v>46071</v>
      </c>
      <c r="G3755">
        <v>18475</v>
      </c>
      <c r="H3755" t="s">
        <v>4895</v>
      </c>
      <c r="I3755" t="s">
        <v>5222</v>
      </c>
      <c r="J3755">
        <v>12</v>
      </c>
      <c r="K3755" t="s">
        <v>4805</v>
      </c>
      <c r="L3755">
        <v>394.8</v>
      </c>
      <c r="M3755">
        <v>32.9</v>
      </c>
      <c r="N3755" t="s">
        <v>5271</v>
      </c>
      <c r="O3755" t="s">
        <v>460</v>
      </c>
    </row>
    <row r="3756" spans="1:15" x14ac:dyDescent="0.3">
      <c r="A3756">
        <v>212858</v>
      </c>
      <c r="B3756">
        <v>105</v>
      </c>
      <c r="C3756" t="s">
        <v>557</v>
      </c>
      <c r="D3756" t="s">
        <v>2607</v>
      </c>
      <c r="E3756" t="s">
        <v>3418</v>
      </c>
      <c r="F3756" s="451">
        <v>46079</v>
      </c>
      <c r="G3756">
        <v>28761</v>
      </c>
      <c r="H3756" t="s">
        <v>5138</v>
      </c>
      <c r="I3756" t="s">
        <v>5191</v>
      </c>
      <c r="J3756">
        <v>25.92</v>
      </c>
      <c r="K3756" t="s">
        <v>4744</v>
      </c>
      <c r="L3756">
        <v>2799.36</v>
      </c>
      <c r="M3756">
        <v>108</v>
      </c>
      <c r="N3756" t="s">
        <v>5272</v>
      </c>
      <c r="O3756" t="s">
        <v>460</v>
      </c>
    </row>
    <row r="3757" spans="1:15" x14ac:dyDescent="0.3">
      <c r="A3757">
        <v>212858</v>
      </c>
      <c r="B3757">
        <v>105</v>
      </c>
      <c r="C3757" t="s">
        <v>557</v>
      </c>
      <c r="D3757" t="s">
        <v>2607</v>
      </c>
      <c r="E3757" t="s">
        <v>3418</v>
      </c>
      <c r="F3757" s="451">
        <v>46079</v>
      </c>
      <c r="G3757">
        <v>28731</v>
      </c>
      <c r="H3757" t="s">
        <v>5380</v>
      </c>
      <c r="I3757" t="s">
        <v>5191</v>
      </c>
      <c r="J3757">
        <v>11.34</v>
      </c>
      <c r="L3757">
        <v>691.74</v>
      </c>
      <c r="M3757">
        <v>61</v>
      </c>
      <c r="N3757" t="s">
        <v>5272</v>
      </c>
      <c r="O3757" t="s">
        <v>460</v>
      </c>
    </row>
    <row r="3758" spans="1:15" x14ac:dyDescent="0.3">
      <c r="A3758">
        <v>212857</v>
      </c>
      <c r="B3758">
        <v>105</v>
      </c>
      <c r="C3758" t="s">
        <v>557</v>
      </c>
      <c r="D3758" t="s">
        <v>2607</v>
      </c>
      <c r="E3758" t="s">
        <v>3419</v>
      </c>
      <c r="F3758" s="451">
        <v>46078</v>
      </c>
      <c r="G3758">
        <v>25777</v>
      </c>
      <c r="H3758" t="s">
        <v>4774</v>
      </c>
      <c r="I3758" t="s">
        <v>5191</v>
      </c>
      <c r="J3758">
        <v>20.6</v>
      </c>
      <c r="K3758" t="s">
        <v>4744</v>
      </c>
      <c r="L3758">
        <v>1751</v>
      </c>
      <c r="M3758">
        <v>85</v>
      </c>
      <c r="N3758" t="s">
        <v>5191</v>
      </c>
      <c r="O3758" t="s">
        <v>460</v>
      </c>
    </row>
    <row r="3759" spans="1:15" x14ac:dyDescent="0.3">
      <c r="A3759">
        <v>212856</v>
      </c>
      <c r="B3759">
        <v>105</v>
      </c>
      <c r="C3759" t="s">
        <v>557</v>
      </c>
      <c r="D3759" t="s">
        <v>2607</v>
      </c>
      <c r="E3759" t="s">
        <v>3420</v>
      </c>
      <c r="F3759" s="451">
        <v>46076</v>
      </c>
      <c r="G3759">
        <v>22871</v>
      </c>
      <c r="H3759" t="s">
        <v>4898</v>
      </c>
      <c r="I3759" t="s">
        <v>5191</v>
      </c>
      <c r="J3759">
        <v>6.06</v>
      </c>
      <c r="K3759" t="s">
        <v>4744</v>
      </c>
      <c r="L3759">
        <v>187.25</v>
      </c>
      <c r="M3759">
        <v>30.899339999999999</v>
      </c>
      <c r="N3759" t="s">
        <v>5272</v>
      </c>
      <c r="O3759" t="s">
        <v>460</v>
      </c>
    </row>
    <row r="3760" spans="1:15" x14ac:dyDescent="0.3">
      <c r="A3760">
        <v>212856</v>
      </c>
      <c r="B3760">
        <v>105</v>
      </c>
      <c r="C3760" t="s">
        <v>557</v>
      </c>
      <c r="D3760" t="s">
        <v>2607</v>
      </c>
      <c r="E3760" t="s">
        <v>3420</v>
      </c>
      <c r="F3760" s="451">
        <v>46076</v>
      </c>
      <c r="G3760">
        <v>24096</v>
      </c>
      <c r="H3760" t="s">
        <v>4771</v>
      </c>
      <c r="I3760" t="s">
        <v>5191</v>
      </c>
      <c r="J3760">
        <v>42.5</v>
      </c>
      <c r="K3760" t="s">
        <v>4744</v>
      </c>
      <c r="L3760">
        <v>1806.25</v>
      </c>
      <c r="M3760">
        <v>42.5</v>
      </c>
      <c r="N3760" t="s">
        <v>5272</v>
      </c>
      <c r="O3760" t="s">
        <v>460</v>
      </c>
    </row>
    <row r="3761" spans="1:15" x14ac:dyDescent="0.3">
      <c r="A3761">
        <v>212844</v>
      </c>
      <c r="B3761">
        <v>105</v>
      </c>
      <c r="C3761" t="s">
        <v>557</v>
      </c>
      <c r="D3761" t="s">
        <v>2607</v>
      </c>
      <c r="E3761" t="s">
        <v>3421</v>
      </c>
      <c r="F3761" s="451">
        <v>46073</v>
      </c>
      <c r="G3761">
        <v>27657</v>
      </c>
      <c r="H3761" t="s">
        <v>5137</v>
      </c>
      <c r="I3761" t="s">
        <v>5191</v>
      </c>
      <c r="J3761">
        <v>10.24</v>
      </c>
      <c r="K3761" t="s">
        <v>4744</v>
      </c>
      <c r="L3761">
        <v>409.09</v>
      </c>
      <c r="M3761">
        <v>39.950195000000001</v>
      </c>
      <c r="N3761" t="s">
        <v>5272</v>
      </c>
      <c r="O3761" t="s">
        <v>460</v>
      </c>
    </row>
    <row r="3762" spans="1:15" x14ac:dyDescent="0.3">
      <c r="A3762">
        <v>212844</v>
      </c>
      <c r="B3762">
        <v>105</v>
      </c>
      <c r="C3762" t="s">
        <v>557</v>
      </c>
      <c r="D3762" t="s">
        <v>2607</v>
      </c>
      <c r="E3762" t="s">
        <v>3421</v>
      </c>
      <c r="F3762" s="451">
        <v>46073</v>
      </c>
      <c r="G3762">
        <v>26135</v>
      </c>
      <c r="H3762" t="s">
        <v>4801</v>
      </c>
      <c r="I3762" t="s">
        <v>5191</v>
      </c>
      <c r="J3762">
        <v>13.34</v>
      </c>
      <c r="K3762" t="s">
        <v>4744</v>
      </c>
      <c r="L3762">
        <v>1199.27</v>
      </c>
      <c r="M3762">
        <v>89.900300000000001</v>
      </c>
      <c r="N3762" t="s">
        <v>5272</v>
      </c>
      <c r="O3762" t="s">
        <v>460</v>
      </c>
    </row>
    <row r="3763" spans="1:15" x14ac:dyDescent="0.3">
      <c r="A3763">
        <v>212843</v>
      </c>
      <c r="B3763">
        <v>105</v>
      </c>
      <c r="C3763" t="s">
        <v>557</v>
      </c>
      <c r="D3763" t="s">
        <v>2607</v>
      </c>
      <c r="E3763" t="s">
        <v>3422</v>
      </c>
      <c r="F3763" s="451">
        <v>46073</v>
      </c>
      <c r="G3763">
        <v>28761</v>
      </c>
      <c r="H3763" t="s">
        <v>5138</v>
      </c>
      <c r="I3763" t="s">
        <v>5191</v>
      </c>
      <c r="J3763">
        <v>17.760000000000002</v>
      </c>
      <c r="K3763" t="s">
        <v>4744</v>
      </c>
      <c r="L3763">
        <v>1918.08</v>
      </c>
      <c r="M3763">
        <v>108</v>
      </c>
      <c r="N3763" t="s">
        <v>5191</v>
      </c>
      <c r="O3763" t="s">
        <v>460</v>
      </c>
    </row>
    <row r="3764" spans="1:15" x14ac:dyDescent="0.3">
      <c r="A3764">
        <v>212843</v>
      </c>
      <c r="B3764">
        <v>105</v>
      </c>
      <c r="C3764" t="s">
        <v>557</v>
      </c>
      <c r="D3764" t="s">
        <v>2607</v>
      </c>
      <c r="E3764" t="s">
        <v>3422</v>
      </c>
      <c r="F3764" s="451">
        <v>46073</v>
      </c>
      <c r="G3764">
        <v>28731</v>
      </c>
      <c r="H3764" t="s">
        <v>5380</v>
      </c>
      <c r="I3764" t="s">
        <v>5191</v>
      </c>
      <c r="J3764">
        <v>11.52</v>
      </c>
      <c r="L3764">
        <v>702.72</v>
      </c>
      <c r="M3764">
        <v>61</v>
      </c>
      <c r="N3764" t="s">
        <v>5191</v>
      </c>
      <c r="O3764" t="s">
        <v>460</v>
      </c>
    </row>
    <row r="3765" spans="1:15" x14ac:dyDescent="0.3">
      <c r="A3765">
        <v>212832</v>
      </c>
      <c r="B3765">
        <v>105</v>
      </c>
      <c r="C3765" t="s">
        <v>557</v>
      </c>
      <c r="D3765" t="s">
        <v>2607</v>
      </c>
      <c r="E3765" t="s">
        <v>3423</v>
      </c>
      <c r="F3765" s="451">
        <v>46069</v>
      </c>
      <c r="G3765">
        <v>25777</v>
      </c>
      <c r="H3765" t="s">
        <v>4774</v>
      </c>
      <c r="I3765" t="s">
        <v>5191</v>
      </c>
      <c r="J3765">
        <v>10.5</v>
      </c>
      <c r="K3765" t="s">
        <v>4744</v>
      </c>
      <c r="L3765">
        <v>892.5</v>
      </c>
      <c r="M3765">
        <v>85</v>
      </c>
      <c r="N3765" t="s">
        <v>5191</v>
      </c>
      <c r="O3765" t="s">
        <v>460</v>
      </c>
    </row>
    <row r="3766" spans="1:15" x14ac:dyDescent="0.3">
      <c r="A3766">
        <v>212832</v>
      </c>
      <c r="B3766">
        <v>105</v>
      </c>
      <c r="C3766" t="s">
        <v>557</v>
      </c>
      <c r="D3766" t="s">
        <v>2607</v>
      </c>
      <c r="E3766" t="s">
        <v>3423</v>
      </c>
      <c r="F3766" s="451">
        <v>46069</v>
      </c>
      <c r="G3766">
        <v>22843</v>
      </c>
      <c r="H3766" t="s">
        <v>4849</v>
      </c>
      <c r="I3766" t="s">
        <v>5191</v>
      </c>
      <c r="J3766">
        <v>7.4</v>
      </c>
      <c r="K3766" t="s">
        <v>4744</v>
      </c>
      <c r="L3766">
        <v>273.8</v>
      </c>
      <c r="M3766">
        <v>37</v>
      </c>
      <c r="N3766" t="s">
        <v>5191</v>
      </c>
      <c r="O3766" t="s">
        <v>460</v>
      </c>
    </row>
    <row r="3767" spans="1:15" x14ac:dyDescent="0.3">
      <c r="A3767">
        <v>212832</v>
      </c>
      <c r="B3767">
        <v>105</v>
      </c>
      <c r="C3767" t="s">
        <v>557</v>
      </c>
      <c r="D3767" t="s">
        <v>2607</v>
      </c>
      <c r="E3767" t="s">
        <v>3423</v>
      </c>
      <c r="F3767" s="451">
        <v>46069</v>
      </c>
      <c r="G3767">
        <v>24096</v>
      </c>
      <c r="H3767" t="s">
        <v>4771</v>
      </c>
      <c r="I3767" t="s">
        <v>5191</v>
      </c>
      <c r="J3767">
        <v>63.47</v>
      </c>
      <c r="K3767" t="s">
        <v>4744</v>
      </c>
      <c r="L3767">
        <v>2697.64</v>
      </c>
      <c r="M3767">
        <v>42.502600000000001</v>
      </c>
      <c r="N3767" t="s">
        <v>5191</v>
      </c>
      <c r="O3767" t="s">
        <v>460</v>
      </c>
    </row>
    <row r="3768" spans="1:15" x14ac:dyDescent="0.3">
      <c r="A3768">
        <v>212831</v>
      </c>
      <c r="B3768">
        <v>105</v>
      </c>
      <c r="C3768" t="s">
        <v>557</v>
      </c>
      <c r="D3768" t="s">
        <v>2588</v>
      </c>
      <c r="E3768" t="s">
        <v>3424</v>
      </c>
      <c r="F3768" s="451">
        <v>46073</v>
      </c>
      <c r="G3768">
        <v>20301</v>
      </c>
      <c r="H3768" t="s">
        <v>4944</v>
      </c>
      <c r="I3768" t="s">
        <v>5191</v>
      </c>
      <c r="J3768">
        <v>12</v>
      </c>
      <c r="K3768" t="s">
        <v>4738</v>
      </c>
      <c r="L3768">
        <v>226.8</v>
      </c>
      <c r="M3768">
        <v>18.899999999999999</v>
      </c>
      <c r="N3768" t="s">
        <v>5272</v>
      </c>
      <c r="O3768" t="s">
        <v>460</v>
      </c>
    </row>
    <row r="3769" spans="1:15" x14ac:dyDescent="0.3">
      <c r="A3769">
        <v>212831</v>
      </c>
      <c r="B3769">
        <v>105</v>
      </c>
      <c r="C3769" t="s">
        <v>557</v>
      </c>
      <c r="D3769" t="s">
        <v>2588</v>
      </c>
      <c r="E3769" t="s">
        <v>3424</v>
      </c>
      <c r="F3769" s="451">
        <v>46073</v>
      </c>
      <c r="G3769">
        <v>20984</v>
      </c>
      <c r="H3769" t="s">
        <v>5133</v>
      </c>
      <c r="I3769" t="s">
        <v>5191</v>
      </c>
      <c r="J3769">
        <v>24</v>
      </c>
      <c r="K3769" t="s">
        <v>4888</v>
      </c>
      <c r="L3769">
        <v>190.8</v>
      </c>
      <c r="M3769">
        <v>7.95</v>
      </c>
      <c r="N3769" t="s">
        <v>5272</v>
      </c>
      <c r="O3769" t="s">
        <v>460</v>
      </c>
    </row>
    <row r="3770" spans="1:15" x14ac:dyDescent="0.3">
      <c r="A3770">
        <v>212829</v>
      </c>
      <c r="B3770">
        <v>105</v>
      </c>
      <c r="C3770" t="s">
        <v>557</v>
      </c>
      <c r="D3770" t="s">
        <v>3425</v>
      </c>
      <c r="E3770" t="s">
        <v>3426</v>
      </c>
      <c r="F3770" s="451">
        <v>46078</v>
      </c>
      <c r="G3770">
        <v>18462</v>
      </c>
      <c r="H3770" t="s">
        <v>5031</v>
      </c>
      <c r="I3770" t="s">
        <v>5222</v>
      </c>
      <c r="J3770">
        <v>1</v>
      </c>
      <c r="K3770" t="s">
        <v>4805</v>
      </c>
      <c r="L3770">
        <v>48</v>
      </c>
      <c r="M3770">
        <v>48</v>
      </c>
      <c r="N3770" t="s">
        <v>5222</v>
      </c>
      <c r="O3770" t="s">
        <v>460</v>
      </c>
    </row>
    <row r="3771" spans="1:15" x14ac:dyDescent="0.3">
      <c r="A3771">
        <v>212829</v>
      </c>
      <c r="B3771">
        <v>105</v>
      </c>
      <c r="C3771" t="s">
        <v>557</v>
      </c>
      <c r="D3771" t="s">
        <v>3425</v>
      </c>
      <c r="E3771" t="s">
        <v>3426</v>
      </c>
      <c r="F3771" s="451">
        <v>46078</v>
      </c>
      <c r="G3771">
        <v>18273</v>
      </c>
      <c r="H3771" t="s">
        <v>5058</v>
      </c>
      <c r="I3771" t="s">
        <v>5222</v>
      </c>
      <c r="J3771">
        <v>1</v>
      </c>
      <c r="K3771" t="s">
        <v>4805</v>
      </c>
      <c r="L3771">
        <v>39</v>
      </c>
      <c r="M3771">
        <v>39</v>
      </c>
      <c r="N3771" t="s">
        <v>5222</v>
      </c>
      <c r="O3771" t="s">
        <v>460</v>
      </c>
    </row>
    <row r="3772" spans="1:15" x14ac:dyDescent="0.3">
      <c r="A3772">
        <v>212829</v>
      </c>
      <c r="B3772">
        <v>105</v>
      </c>
      <c r="C3772" t="s">
        <v>557</v>
      </c>
      <c r="D3772" t="s">
        <v>3425</v>
      </c>
      <c r="E3772" t="s">
        <v>3426</v>
      </c>
      <c r="F3772" s="451">
        <v>46078</v>
      </c>
      <c r="G3772">
        <v>18030</v>
      </c>
      <c r="H3772" t="s">
        <v>4840</v>
      </c>
      <c r="I3772" t="s">
        <v>5222</v>
      </c>
      <c r="J3772">
        <v>8</v>
      </c>
      <c r="K3772" t="s">
        <v>4805</v>
      </c>
      <c r="L3772">
        <v>223.92</v>
      </c>
      <c r="M3772">
        <v>27.99</v>
      </c>
      <c r="N3772" t="s">
        <v>5222</v>
      </c>
      <c r="O3772" t="s">
        <v>460</v>
      </c>
    </row>
    <row r="3773" spans="1:15" x14ac:dyDescent="0.3">
      <c r="A3773">
        <v>212829</v>
      </c>
      <c r="B3773">
        <v>105</v>
      </c>
      <c r="C3773" t="s">
        <v>557</v>
      </c>
      <c r="D3773" t="s">
        <v>3425</v>
      </c>
      <c r="E3773" t="s">
        <v>3426</v>
      </c>
      <c r="F3773" s="451">
        <v>46078</v>
      </c>
      <c r="G3773">
        <v>18129</v>
      </c>
      <c r="H3773" t="s">
        <v>5043</v>
      </c>
      <c r="I3773" t="s">
        <v>5222</v>
      </c>
      <c r="J3773">
        <v>1</v>
      </c>
      <c r="K3773" t="s">
        <v>4805</v>
      </c>
      <c r="L3773">
        <v>116</v>
      </c>
      <c r="M3773">
        <v>116</v>
      </c>
      <c r="N3773" t="s">
        <v>5222</v>
      </c>
      <c r="O3773" t="s">
        <v>460</v>
      </c>
    </row>
    <row r="3774" spans="1:15" x14ac:dyDescent="0.3">
      <c r="A3774">
        <v>212829</v>
      </c>
      <c r="B3774">
        <v>105</v>
      </c>
      <c r="C3774" t="s">
        <v>557</v>
      </c>
      <c r="D3774" t="s">
        <v>3425</v>
      </c>
      <c r="E3774" t="s">
        <v>3426</v>
      </c>
      <c r="F3774" s="451">
        <v>46078</v>
      </c>
      <c r="G3774">
        <v>18220</v>
      </c>
      <c r="H3774" t="s">
        <v>5147</v>
      </c>
      <c r="I3774" t="s">
        <v>5222</v>
      </c>
      <c r="J3774">
        <v>1</v>
      </c>
      <c r="K3774" t="s">
        <v>4805</v>
      </c>
      <c r="L3774">
        <v>77</v>
      </c>
      <c r="M3774">
        <v>77</v>
      </c>
      <c r="N3774" t="s">
        <v>5222</v>
      </c>
      <c r="O3774" t="s">
        <v>460</v>
      </c>
    </row>
    <row r="3775" spans="1:15" x14ac:dyDescent="0.3">
      <c r="A3775">
        <v>212829</v>
      </c>
      <c r="B3775">
        <v>105</v>
      </c>
      <c r="C3775" t="s">
        <v>557</v>
      </c>
      <c r="D3775" t="s">
        <v>3425</v>
      </c>
      <c r="E3775" t="s">
        <v>3426</v>
      </c>
      <c r="F3775" s="451">
        <v>46078</v>
      </c>
      <c r="G3775">
        <v>18423</v>
      </c>
      <c r="H3775" t="s">
        <v>4987</v>
      </c>
      <c r="I3775" t="s">
        <v>5222</v>
      </c>
      <c r="J3775">
        <v>1</v>
      </c>
      <c r="K3775" t="s">
        <v>4805</v>
      </c>
      <c r="L3775">
        <v>41</v>
      </c>
      <c r="M3775">
        <v>41</v>
      </c>
      <c r="N3775" t="s">
        <v>5222</v>
      </c>
      <c r="O3775" t="s">
        <v>460</v>
      </c>
    </row>
    <row r="3776" spans="1:15" x14ac:dyDescent="0.3">
      <c r="A3776">
        <v>212829</v>
      </c>
      <c r="B3776">
        <v>105</v>
      </c>
      <c r="C3776" t="s">
        <v>557</v>
      </c>
      <c r="D3776" t="s">
        <v>3425</v>
      </c>
      <c r="E3776" t="s">
        <v>3426</v>
      </c>
      <c r="F3776" s="451">
        <v>46078</v>
      </c>
      <c r="G3776">
        <v>18194</v>
      </c>
      <c r="H3776" t="s">
        <v>4923</v>
      </c>
      <c r="I3776" t="s">
        <v>5222</v>
      </c>
      <c r="J3776">
        <v>1</v>
      </c>
      <c r="K3776" t="s">
        <v>4805</v>
      </c>
      <c r="L3776">
        <v>63</v>
      </c>
      <c r="M3776">
        <v>63</v>
      </c>
      <c r="N3776" t="s">
        <v>5222</v>
      </c>
      <c r="O3776" t="s">
        <v>460</v>
      </c>
    </row>
    <row r="3777" spans="1:15" x14ac:dyDescent="0.3">
      <c r="A3777">
        <v>212827</v>
      </c>
      <c r="B3777">
        <v>105</v>
      </c>
      <c r="C3777" t="s">
        <v>557</v>
      </c>
      <c r="D3777" t="s">
        <v>2557</v>
      </c>
      <c r="E3777" t="s">
        <v>3427</v>
      </c>
      <c r="F3777" s="451">
        <v>46079</v>
      </c>
      <c r="G3777">
        <v>21716</v>
      </c>
      <c r="H3777" t="s">
        <v>5281</v>
      </c>
      <c r="I3777" t="s">
        <v>5215</v>
      </c>
      <c r="J3777">
        <v>1</v>
      </c>
      <c r="K3777" t="s">
        <v>4749</v>
      </c>
      <c r="L3777">
        <v>399.5</v>
      </c>
      <c r="M3777">
        <v>399.5</v>
      </c>
      <c r="N3777" t="s">
        <v>5312</v>
      </c>
      <c r="O3777" t="s">
        <v>460</v>
      </c>
    </row>
    <row r="3778" spans="1:15" x14ac:dyDescent="0.3">
      <c r="A3778">
        <v>212826</v>
      </c>
      <c r="B3778">
        <v>105</v>
      </c>
      <c r="C3778" t="s">
        <v>557</v>
      </c>
      <c r="D3778" t="s">
        <v>2563</v>
      </c>
      <c r="E3778" t="s">
        <v>3428</v>
      </c>
      <c r="F3778" s="451">
        <v>46079</v>
      </c>
      <c r="G3778">
        <v>24083</v>
      </c>
      <c r="H3778" t="s">
        <v>5165</v>
      </c>
      <c r="I3778" t="s">
        <v>5191</v>
      </c>
      <c r="J3778">
        <v>100</v>
      </c>
      <c r="K3778" t="s">
        <v>4744</v>
      </c>
      <c r="L3778">
        <v>428</v>
      </c>
      <c r="M3778">
        <v>4.28</v>
      </c>
      <c r="N3778" t="s">
        <v>5272</v>
      </c>
      <c r="O3778" t="s">
        <v>460</v>
      </c>
    </row>
    <row r="3779" spans="1:15" x14ac:dyDescent="0.3">
      <c r="A3779">
        <v>212826</v>
      </c>
      <c r="B3779">
        <v>105</v>
      </c>
      <c r="C3779" t="s">
        <v>557</v>
      </c>
      <c r="D3779" t="s">
        <v>2563</v>
      </c>
      <c r="E3779" t="s">
        <v>3428</v>
      </c>
      <c r="F3779" s="451">
        <v>46079</v>
      </c>
      <c r="G3779">
        <v>19658</v>
      </c>
      <c r="H3779" t="s">
        <v>4784</v>
      </c>
      <c r="I3779" t="s">
        <v>5191</v>
      </c>
      <c r="J3779">
        <v>8.1999999999999993</v>
      </c>
      <c r="K3779" t="s">
        <v>4744</v>
      </c>
      <c r="L3779">
        <v>23.78</v>
      </c>
      <c r="M3779">
        <v>2.9</v>
      </c>
      <c r="N3779" t="s">
        <v>5272</v>
      </c>
      <c r="O3779" t="s">
        <v>460</v>
      </c>
    </row>
    <row r="3780" spans="1:15" x14ac:dyDescent="0.3">
      <c r="A3780">
        <v>212826</v>
      </c>
      <c r="B3780">
        <v>105</v>
      </c>
      <c r="C3780" t="s">
        <v>557</v>
      </c>
      <c r="D3780" t="s">
        <v>2563</v>
      </c>
      <c r="E3780" t="s">
        <v>3428</v>
      </c>
      <c r="F3780" s="451">
        <v>46079</v>
      </c>
      <c r="G3780">
        <v>19551</v>
      </c>
      <c r="H3780" t="s">
        <v>4905</v>
      </c>
      <c r="I3780" t="s">
        <v>5191</v>
      </c>
      <c r="J3780">
        <v>2.06</v>
      </c>
      <c r="K3780" t="s">
        <v>4744</v>
      </c>
      <c r="L3780">
        <v>24.18</v>
      </c>
      <c r="M3780">
        <v>11.737864</v>
      </c>
      <c r="N3780" t="s">
        <v>5272</v>
      </c>
      <c r="O3780" t="s">
        <v>460</v>
      </c>
    </row>
    <row r="3781" spans="1:15" x14ac:dyDescent="0.3">
      <c r="A3781">
        <v>212826</v>
      </c>
      <c r="B3781">
        <v>105</v>
      </c>
      <c r="C3781" t="s">
        <v>557</v>
      </c>
      <c r="D3781" t="s">
        <v>2563</v>
      </c>
      <c r="E3781" t="s">
        <v>3428</v>
      </c>
      <c r="F3781" s="451">
        <v>46079</v>
      </c>
      <c r="G3781">
        <v>23195</v>
      </c>
      <c r="H3781" t="s">
        <v>5051</v>
      </c>
      <c r="I3781" t="s">
        <v>5191</v>
      </c>
      <c r="J3781">
        <v>0.55000000000000004</v>
      </c>
      <c r="K3781" t="s">
        <v>4744</v>
      </c>
      <c r="L3781">
        <v>7.98</v>
      </c>
      <c r="M3781">
        <v>14.509091</v>
      </c>
      <c r="N3781" t="s">
        <v>5272</v>
      </c>
      <c r="O3781" t="s">
        <v>460</v>
      </c>
    </row>
    <row r="3782" spans="1:15" x14ac:dyDescent="0.3">
      <c r="A3782">
        <v>212826</v>
      </c>
      <c r="B3782">
        <v>105</v>
      </c>
      <c r="C3782" t="s">
        <v>557</v>
      </c>
      <c r="D3782" t="s">
        <v>2563</v>
      </c>
      <c r="E3782" t="s">
        <v>3428</v>
      </c>
      <c r="F3782" s="451">
        <v>46079</v>
      </c>
      <c r="G3782">
        <v>23228</v>
      </c>
      <c r="H3782" t="s">
        <v>4782</v>
      </c>
      <c r="I3782" t="s">
        <v>5191</v>
      </c>
      <c r="J3782">
        <v>5</v>
      </c>
      <c r="K3782" t="s">
        <v>4744</v>
      </c>
      <c r="L3782">
        <v>32.65</v>
      </c>
      <c r="M3782">
        <v>6.53</v>
      </c>
      <c r="N3782" t="s">
        <v>5272</v>
      </c>
      <c r="O3782" t="s">
        <v>460</v>
      </c>
    </row>
    <row r="3783" spans="1:15" x14ac:dyDescent="0.3">
      <c r="A3783">
        <v>212826</v>
      </c>
      <c r="B3783">
        <v>105</v>
      </c>
      <c r="C3783" t="s">
        <v>557</v>
      </c>
      <c r="D3783" t="s">
        <v>2563</v>
      </c>
      <c r="E3783" t="s">
        <v>3428</v>
      </c>
      <c r="F3783" s="451">
        <v>46079</v>
      </c>
      <c r="G3783">
        <v>23361</v>
      </c>
      <c r="H3783" t="s">
        <v>4754</v>
      </c>
      <c r="I3783" t="s">
        <v>5191</v>
      </c>
      <c r="J3783">
        <v>30</v>
      </c>
      <c r="K3783" t="s">
        <v>4744</v>
      </c>
      <c r="L3783">
        <v>106.5</v>
      </c>
      <c r="M3783">
        <v>3.55</v>
      </c>
      <c r="N3783" t="s">
        <v>5272</v>
      </c>
      <c r="O3783" t="s">
        <v>460</v>
      </c>
    </row>
    <row r="3784" spans="1:15" x14ac:dyDescent="0.3">
      <c r="A3784">
        <v>212826</v>
      </c>
      <c r="B3784">
        <v>105</v>
      </c>
      <c r="C3784" t="s">
        <v>557</v>
      </c>
      <c r="D3784" t="s">
        <v>2563</v>
      </c>
      <c r="E3784" t="s">
        <v>3428</v>
      </c>
      <c r="F3784" s="451">
        <v>46079</v>
      </c>
      <c r="G3784">
        <v>19532</v>
      </c>
      <c r="H3784" t="s">
        <v>4753</v>
      </c>
      <c r="I3784" t="s">
        <v>5191</v>
      </c>
      <c r="J3784">
        <v>30</v>
      </c>
      <c r="K3784" t="s">
        <v>4744</v>
      </c>
      <c r="L3784">
        <v>204.6</v>
      </c>
      <c r="M3784">
        <v>6.82</v>
      </c>
      <c r="N3784" t="s">
        <v>5272</v>
      </c>
      <c r="O3784" t="s">
        <v>460</v>
      </c>
    </row>
    <row r="3785" spans="1:15" x14ac:dyDescent="0.3">
      <c r="A3785">
        <v>212825</v>
      </c>
      <c r="B3785">
        <v>105</v>
      </c>
      <c r="C3785" t="s">
        <v>557</v>
      </c>
      <c r="D3785" t="s">
        <v>3328</v>
      </c>
      <c r="E3785" t="s">
        <v>3429</v>
      </c>
      <c r="F3785" s="451">
        <v>46078</v>
      </c>
      <c r="G3785">
        <v>19787</v>
      </c>
      <c r="H3785" t="s">
        <v>4793</v>
      </c>
      <c r="I3785" t="s">
        <v>5191</v>
      </c>
      <c r="J3785">
        <v>9.5</v>
      </c>
      <c r="K3785" t="s">
        <v>4744</v>
      </c>
      <c r="L3785">
        <v>47.5</v>
      </c>
      <c r="M3785">
        <v>5</v>
      </c>
      <c r="N3785" t="s">
        <v>5272</v>
      </c>
      <c r="O3785" t="s">
        <v>460</v>
      </c>
    </row>
    <row r="3786" spans="1:15" x14ac:dyDescent="0.3">
      <c r="A3786">
        <v>212825</v>
      </c>
      <c r="B3786">
        <v>105</v>
      </c>
      <c r="C3786" t="s">
        <v>557</v>
      </c>
      <c r="D3786" t="s">
        <v>3328</v>
      </c>
      <c r="E3786" t="s">
        <v>3429</v>
      </c>
      <c r="F3786" s="451">
        <v>46078</v>
      </c>
      <c r="G3786">
        <v>19505</v>
      </c>
      <c r="H3786" t="s">
        <v>4872</v>
      </c>
      <c r="I3786" t="s">
        <v>5191</v>
      </c>
      <c r="J3786">
        <v>7</v>
      </c>
      <c r="K3786" t="s">
        <v>4744</v>
      </c>
      <c r="L3786">
        <v>109.41</v>
      </c>
      <c r="M3786">
        <v>15.63</v>
      </c>
      <c r="N3786" t="s">
        <v>5272</v>
      </c>
      <c r="O3786" t="s">
        <v>460</v>
      </c>
    </row>
    <row r="3787" spans="1:15" x14ac:dyDescent="0.3">
      <c r="A3787">
        <v>212825</v>
      </c>
      <c r="B3787">
        <v>105</v>
      </c>
      <c r="C3787" t="s">
        <v>557</v>
      </c>
      <c r="D3787" t="s">
        <v>3328</v>
      </c>
      <c r="E3787" t="s">
        <v>3429</v>
      </c>
      <c r="F3787" s="451">
        <v>46078</v>
      </c>
      <c r="G3787">
        <v>19734</v>
      </c>
      <c r="H3787" t="s">
        <v>4833</v>
      </c>
      <c r="I3787" t="s">
        <v>5191</v>
      </c>
      <c r="J3787">
        <v>8</v>
      </c>
      <c r="K3787" t="s">
        <v>4744</v>
      </c>
      <c r="L3787">
        <v>110</v>
      </c>
      <c r="M3787">
        <v>13.75</v>
      </c>
      <c r="N3787" t="s">
        <v>5272</v>
      </c>
      <c r="O3787" t="s">
        <v>460</v>
      </c>
    </row>
    <row r="3788" spans="1:15" x14ac:dyDescent="0.3">
      <c r="A3788">
        <v>212825</v>
      </c>
      <c r="B3788">
        <v>105</v>
      </c>
      <c r="C3788" t="s">
        <v>557</v>
      </c>
      <c r="D3788" t="s">
        <v>3328</v>
      </c>
      <c r="E3788" t="s">
        <v>3429</v>
      </c>
      <c r="F3788" s="451">
        <v>46078</v>
      </c>
      <c r="G3788">
        <v>19751</v>
      </c>
      <c r="H3788" t="s">
        <v>4800</v>
      </c>
      <c r="I3788" t="s">
        <v>5191</v>
      </c>
      <c r="J3788">
        <v>4</v>
      </c>
      <c r="K3788" t="s">
        <v>4744</v>
      </c>
      <c r="L3788">
        <v>67.52</v>
      </c>
      <c r="M3788">
        <v>16.88</v>
      </c>
      <c r="N3788" t="s">
        <v>5272</v>
      </c>
      <c r="O3788" t="s">
        <v>460</v>
      </c>
    </row>
    <row r="3789" spans="1:15" x14ac:dyDescent="0.3">
      <c r="A3789">
        <v>212825</v>
      </c>
      <c r="B3789">
        <v>105</v>
      </c>
      <c r="C3789" t="s">
        <v>557</v>
      </c>
      <c r="D3789" t="s">
        <v>3328</v>
      </c>
      <c r="E3789" t="s">
        <v>3429</v>
      </c>
      <c r="F3789" s="451">
        <v>46078</v>
      </c>
      <c r="G3789">
        <v>19635</v>
      </c>
      <c r="H3789" t="s">
        <v>4786</v>
      </c>
      <c r="I3789" t="s">
        <v>5191</v>
      </c>
      <c r="J3789">
        <v>6</v>
      </c>
      <c r="K3789" t="s">
        <v>4744</v>
      </c>
      <c r="L3789">
        <v>33.78</v>
      </c>
      <c r="M3789">
        <v>5.63</v>
      </c>
      <c r="N3789" t="s">
        <v>5272</v>
      </c>
      <c r="O3789" t="s">
        <v>460</v>
      </c>
    </row>
    <row r="3790" spans="1:15" x14ac:dyDescent="0.3">
      <c r="A3790">
        <v>212825</v>
      </c>
      <c r="B3790">
        <v>105</v>
      </c>
      <c r="C3790" t="s">
        <v>557</v>
      </c>
      <c r="D3790" t="s">
        <v>3328</v>
      </c>
      <c r="E3790" t="s">
        <v>3429</v>
      </c>
      <c r="F3790" s="451">
        <v>46078</v>
      </c>
      <c r="G3790">
        <v>23335</v>
      </c>
      <c r="H3790" t="s">
        <v>4961</v>
      </c>
      <c r="I3790" t="s">
        <v>5191</v>
      </c>
      <c r="J3790">
        <v>2.2999999999999998</v>
      </c>
      <c r="K3790" t="s">
        <v>4744</v>
      </c>
      <c r="L3790">
        <v>66.7</v>
      </c>
      <c r="M3790">
        <v>29</v>
      </c>
      <c r="N3790" t="s">
        <v>5272</v>
      </c>
      <c r="O3790" t="s">
        <v>460</v>
      </c>
    </row>
    <row r="3791" spans="1:15" x14ac:dyDescent="0.3">
      <c r="A3791">
        <v>212825</v>
      </c>
      <c r="B3791">
        <v>105</v>
      </c>
      <c r="C3791" t="s">
        <v>557</v>
      </c>
      <c r="D3791" t="s">
        <v>3328</v>
      </c>
      <c r="E3791" t="s">
        <v>3429</v>
      </c>
      <c r="F3791" s="451">
        <v>46078</v>
      </c>
      <c r="G3791">
        <v>23184</v>
      </c>
      <c r="H3791" t="s">
        <v>4935</v>
      </c>
      <c r="I3791" t="s">
        <v>5191</v>
      </c>
      <c r="J3791">
        <v>2</v>
      </c>
      <c r="K3791" t="s">
        <v>4744</v>
      </c>
      <c r="L3791">
        <v>25</v>
      </c>
      <c r="M3791">
        <v>12.5</v>
      </c>
      <c r="N3791" t="s">
        <v>5272</v>
      </c>
      <c r="O3791" t="s">
        <v>460</v>
      </c>
    </row>
    <row r="3792" spans="1:15" x14ac:dyDescent="0.3">
      <c r="A3792">
        <v>212808</v>
      </c>
      <c r="B3792">
        <v>105</v>
      </c>
      <c r="C3792" t="s">
        <v>557</v>
      </c>
      <c r="D3792" t="s">
        <v>2571</v>
      </c>
      <c r="E3792" t="s">
        <v>3430</v>
      </c>
      <c r="F3792" s="451">
        <v>46077</v>
      </c>
      <c r="G3792">
        <v>20054</v>
      </c>
      <c r="H3792" t="s">
        <v>4856</v>
      </c>
      <c r="I3792" t="s">
        <v>5191</v>
      </c>
      <c r="J3792">
        <v>6</v>
      </c>
      <c r="K3792" t="s">
        <v>5206</v>
      </c>
      <c r="L3792">
        <v>71.099999999999994</v>
      </c>
      <c r="M3792">
        <v>11.85</v>
      </c>
      <c r="N3792" t="s">
        <v>1785</v>
      </c>
      <c r="O3792" t="s">
        <v>460</v>
      </c>
    </row>
    <row r="3793" spans="1:15" x14ac:dyDescent="0.3">
      <c r="A3793">
        <v>212808</v>
      </c>
      <c r="B3793">
        <v>105</v>
      </c>
      <c r="C3793" t="s">
        <v>557</v>
      </c>
      <c r="D3793" t="s">
        <v>2571</v>
      </c>
      <c r="E3793" t="s">
        <v>3430</v>
      </c>
      <c r="F3793" s="451">
        <v>46077</v>
      </c>
      <c r="G3793">
        <v>20809</v>
      </c>
      <c r="H3793" t="s">
        <v>4822</v>
      </c>
      <c r="I3793" t="s">
        <v>5191</v>
      </c>
      <c r="J3793">
        <v>7</v>
      </c>
      <c r="K3793" t="s">
        <v>4736</v>
      </c>
      <c r="L3793">
        <v>215.81</v>
      </c>
      <c r="M3793">
        <v>30.83</v>
      </c>
      <c r="N3793" t="s">
        <v>1785</v>
      </c>
      <c r="O3793" t="s">
        <v>460</v>
      </c>
    </row>
    <row r="3794" spans="1:15" x14ac:dyDescent="0.3">
      <c r="A3794">
        <v>212808</v>
      </c>
      <c r="B3794">
        <v>105</v>
      </c>
      <c r="C3794" t="s">
        <v>557</v>
      </c>
      <c r="D3794" t="s">
        <v>2571</v>
      </c>
      <c r="E3794" t="s">
        <v>3430</v>
      </c>
      <c r="F3794" s="451">
        <v>46077</v>
      </c>
      <c r="G3794">
        <v>20653</v>
      </c>
      <c r="H3794" t="s">
        <v>5013</v>
      </c>
      <c r="I3794" t="s">
        <v>5191</v>
      </c>
      <c r="J3794">
        <v>1</v>
      </c>
      <c r="K3794" t="s">
        <v>4736</v>
      </c>
      <c r="L3794">
        <v>24.7</v>
      </c>
      <c r="M3794">
        <v>24.7</v>
      </c>
      <c r="N3794" t="s">
        <v>1785</v>
      </c>
      <c r="O3794" t="s">
        <v>460</v>
      </c>
    </row>
    <row r="3795" spans="1:15" x14ac:dyDescent="0.3">
      <c r="A3795">
        <v>212808</v>
      </c>
      <c r="B3795">
        <v>105</v>
      </c>
      <c r="C3795" t="s">
        <v>557</v>
      </c>
      <c r="D3795" t="s">
        <v>2571</v>
      </c>
      <c r="E3795" t="s">
        <v>3430</v>
      </c>
      <c r="F3795" s="451">
        <v>46077</v>
      </c>
      <c r="G3795">
        <v>20644</v>
      </c>
      <c r="H3795" t="s">
        <v>5016</v>
      </c>
      <c r="I3795" t="s">
        <v>5191</v>
      </c>
      <c r="J3795">
        <v>3</v>
      </c>
      <c r="K3795" t="s">
        <v>4736</v>
      </c>
      <c r="L3795">
        <v>11.67</v>
      </c>
      <c r="M3795">
        <v>3.89</v>
      </c>
      <c r="N3795" t="s">
        <v>1785</v>
      </c>
      <c r="O3795" t="s">
        <v>460</v>
      </c>
    </row>
    <row r="3796" spans="1:15" x14ac:dyDescent="0.3">
      <c r="A3796">
        <v>212808</v>
      </c>
      <c r="B3796">
        <v>105</v>
      </c>
      <c r="C3796" t="s">
        <v>557</v>
      </c>
      <c r="D3796" t="s">
        <v>2571</v>
      </c>
      <c r="E3796" t="s">
        <v>3430</v>
      </c>
      <c r="F3796" s="451">
        <v>46077</v>
      </c>
      <c r="G3796">
        <v>19978</v>
      </c>
      <c r="H3796" t="s">
        <v>4887</v>
      </c>
      <c r="I3796" t="s">
        <v>5191</v>
      </c>
      <c r="J3796">
        <v>3</v>
      </c>
      <c r="K3796" t="s">
        <v>4736</v>
      </c>
      <c r="L3796">
        <v>68.88</v>
      </c>
      <c r="M3796">
        <v>22.96</v>
      </c>
      <c r="N3796" t="s">
        <v>1785</v>
      </c>
      <c r="O3796" t="s">
        <v>460</v>
      </c>
    </row>
    <row r="3797" spans="1:15" x14ac:dyDescent="0.3">
      <c r="A3797">
        <v>212808</v>
      </c>
      <c r="B3797">
        <v>105</v>
      </c>
      <c r="C3797" t="s">
        <v>557</v>
      </c>
      <c r="D3797" t="s">
        <v>2571</v>
      </c>
      <c r="E3797" t="s">
        <v>3430</v>
      </c>
      <c r="F3797" s="451">
        <v>46077</v>
      </c>
      <c r="G3797">
        <v>20138</v>
      </c>
      <c r="H3797" t="s">
        <v>4886</v>
      </c>
      <c r="I3797" t="s">
        <v>5191</v>
      </c>
      <c r="J3797">
        <v>3</v>
      </c>
      <c r="K3797" t="s">
        <v>4738</v>
      </c>
      <c r="L3797">
        <v>15.3</v>
      </c>
      <c r="M3797">
        <v>5.0999999999999996</v>
      </c>
      <c r="N3797" t="s">
        <v>1785</v>
      </c>
      <c r="O3797" t="s">
        <v>460</v>
      </c>
    </row>
    <row r="3798" spans="1:15" x14ac:dyDescent="0.3">
      <c r="A3798">
        <v>212808</v>
      </c>
      <c r="B3798">
        <v>105</v>
      </c>
      <c r="C3798" t="s">
        <v>557</v>
      </c>
      <c r="D3798" t="s">
        <v>2571</v>
      </c>
      <c r="E3798" t="s">
        <v>3430</v>
      </c>
      <c r="F3798" s="451">
        <v>46077</v>
      </c>
      <c r="G3798">
        <v>25022</v>
      </c>
      <c r="H3798" t="s">
        <v>4912</v>
      </c>
      <c r="I3798" t="s">
        <v>5191</v>
      </c>
      <c r="J3798">
        <v>4</v>
      </c>
      <c r="K3798" t="s">
        <v>4738</v>
      </c>
      <c r="L3798">
        <v>14.8</v>
      </c>
      <c r="M3798">
        <v>3.7</v>
      </c>
      <c r="N3798" t="s">
        <v>1785</v>
      </c>
      <c r="O3798" t="s">
        <v>460</v>
      </c>
    </row>
    <row r="3799" spans="1:15" x14ac:dyDescent="0.3">
      <c r="A3799">
        <v>212808</v>
      </c>
      <c r="B3799">
        <v>105</v>
      </c>
      <c r="C3799" t="s">
        <v>557</v>
      </c>
      <c r="D3799" t="s">
        <v>2571</v>
      </c>
      <c r="E3799" t="s">
        <v>3430</v>
      </c>
      <c r="F3799" s="451">
        <v>46077</v>
      </c>
      <c r="G3799">
        <v>20585</v>
      </c>
      <c r="H3799" t="s">
        <v>5025</v>
      </c>
      <c r="I3799" t="s">
        <v>5191</v>
      </c>
      <c r="J3799">
        <v>1</v>
      </c>
      <c r="K3799" t="s">
        <v>4736</v>
      </c>
      <c r="L3799">
        <v>25.9</v>
      </c>
      <c r="M3799">
        <v>25.9</v>
      </c>
      <c r="N3799" t="s">
        <v>1785</v>
      </c>
      <c r="O3799" t="s">
        <v>460</v>
      </c>
    </row>
    <row r="3800" spans="1:15" x14ac:dyDescent="0.3">
      <c r="A3800">
        <v>212808</v>
      </c>
      <c r="B3800">
        <v>105</v>
      </c>
      <c r="C3800" t="s">
        <v>557</v>
      </c>
      <c r="D3800" t="s">
        <v>2571</v>
      </c>
      <c r="E3800" t="s">
        <v>3430</v>
      </c>
      <c r="F3800" s="451">
        <v>46077</v>
      </c>
      <c r="G3800">
        <v>19979</v>
      </c>
      <c r="H3800" t="s">
        <v>5270</v>
      </c>
      <c r="I3800" t="s">
        <v>5191</v>
      </c>
      <c r="J3800">
        <v>3</v>
      </c>
      <c r="K3800" t="s">
        <v>4888</v>
      </c>
      <c r="L3800">
        <v>68.88</v>
      </c>
      <c r="M3800">
        <v>22.96</v>
      </c>
      <c r="N3800" t="s">
        <v>1785</v>
      </c>
      <c r="O3800" t="s">
        <v>460</v>
      </c>
    </row>
    <row r="3801" spans="1:15" x14ac:dyDescent="0.3">
      <c r="A3801">
        <v>212808</v>
      </c>
      <c r="B3801">
        <v>105</v>
      </c>
      <c r="C3801" t="s">
        <v>557</v>
      </c>
      <c r="D3801" t="s">
        <v>2571</v>
      </c>
      <c r="E3801" t="s">
        <v>3430</v>
      </c>
      <c r="F3801" s="451">
        <v>46077</v>
      </c>
      <c r="G3801">
        <v>19421</v>
      </c>
      <c r="H3801" t="s">
        <v>4918</v>
      </c>
      <c r="I3801" t="s">
        <v>5191</v>
      </c>
      <c r="J3801">
        <v>1</v>
      </c>
      <c r="K3801" t="s">
        <v>4749</v>
      </c>
      <c r="L3801">
        <v>55.22</v>
      </c>
      <c r="M3801">
        <v>55.22</v>
      </c>
      <c r="N3801" t="s">
        <v>1785</v>
      </c>
      <c r="O3801" t="s">
        <v>460</v>
      </c>
    </row>
    <row r="3802" spans="1:15" x14ac:dyDescent="0.3">
      <c r="A3802">
        <v>212808</v>
      </c>
      <c r="B3802">
        <v>105</v>
      </c>
      <c r="C3802" t="s">
        <v>557</v>
      </c>
      <c r="D3802" t="s">
        <v>2571</v>
      </c>
      <c r="E3802" t="s">
        <v>3430</v>
      </c>
      <c r="F3802" s="451">
        <v>46077</v>
      </c>
      <c r="G3802">
        <v>23884</v>
      </c>
      <c r="H3802" t="s">
        <v>5070</v>
      </c>
      <c r="I3802" t="s">
        <v>5191</v>
      </c>
      <c r="J3802">
        <v>2</v>
      </c>
      <c r="K3802" t="s">
        <v>4736</v>
      </c>
      <c r="L3802">
        <v>17.739999999999998</v>
      </c>
      <c r="M3802">
        <v>8.8699999999999992</v>
      </c>
      <c r="N3802" t="s">
        <v>1785</v>
      </c>
      <c r="O3802" t="s">
        <v>460</v>
      </c>
    </row>
    <row r="3803" spans="1:15" x14ac:dyDescent="0.3">
      <c r="A3803">
        <v>212808</v>
      </c>
      <c r="B3803">
        <v>105</v>
      </c>
      <c r="C3803" t="s">
        <v>557</v>
      </c>
      <c r="D3803" t="s">
        <v>2571</v>
      </c>
      <c r="E3803" t="s">
        <v>3430</v>
      </c>
      <c r="F3803" s="451">
        <v>46077</v>
      </c>
      <c r="G3803">
        <v>27397</v>
      </c>
      <c r="H3803" t="s">
        <v>4913</v>
      </c>
      <c r="I3803" t="s">
        <v>5191</v>
      </c>
      <c r="J3803">
        <v>3</v>
      </c>
      <c r="K3803" t="s">
        <v>4736</v>
      </c>
      <c r="L3803">
        <v>183.15</v>
      </c>
      <c r="M3803">
        <v>61.05</v>
      </c>
      <c r="N3803" t="s">
        <v>1785</v>
      </c>
      <c r="O3803" t="s">
        <v>460</v>
      </c>
    </row>
    <row r="3804" spans="1:15" x14ac:dyDescent="0.3">
      <c r="A3804">
        <v>212808</v>
      </c>
      <c r="B3804">
        <v>105</v>
      </c>
      <c r="C3804" t="s">
        <v>557</v>
      </c>
      <c r="D3804" t="s">
        <v>2571</v>
      </c>
      <c r="E3804" t="s">
        <v>3430</v>
      </c>
      <c r="F3804" s="451">
        <v>46077</v>
      </c>
      <c r="G3804">
        <v>19906</v>
      </c>
      <c r="H3804" t="s">
        <v>5159</v>
      </c>
      <c r="I3804" t="s">
        <v>5191</v>
      </c>
      <c r="J3804">
        <v>1</v>
      </c>
      <c r="K3804" t="s">
        <v>4738</v>
      </c>
      <c r="L3804">
        <v>35.6</v>
      </c>
      <c r="M3804">
        <v>35.6</v>
      </c>
      <c r="N3804" t="s">
        <v>1785</v>
      </c>
      <c r="O3804" t="s">
        <v>460</v>
      </c>
    </row>
    <row r="3805" spans="1:15" x14ac:dyDescent="0.3">
      <c r="A3805">
        <v>212808</v>
      </c>
      <c r="B3805">
        <v>105</v>
      </c>
      <c r="C3805" t="s">
        <v>557</v>
      </c>
      <c r="D3805" t="s">
        <v>2571</v>
      </c>
      <c r="E3805" t="s">
        <v>3430</v>
      </c>
      <c r="F3805" s="451">
        <v>46077</v>
      </c>
      <c r="G3805">
        <v>26020</v>
      </c>
      <c r="H3805" t="s">
        <v>5102</v>
      </c>
      <c r="I3805" t="s">
        <v>5191</v>
      </c>
      <c r="J3805">
        <v>3</v>
      </c>
      <c r="K3805" t="s">
        <v>4736</v>
      </c>
      <c r="L3805">
        <v>41.82</v>
      </c>
      <c r="M3805">
        <v>13.94</v>
      </c>
      <c r="N3805" t="s">
        <v>1785</v>
      </c>
      <c r="O3805" t="s">
        <v>460</v>
      </c>
    </row>
    <row r="3806" spans="1:15" x14ac:dyDescent="0.3">
      <c r="A3806">
        <v>212799</v>
      </c>
      <c r="B3806">
        <v>105</v>
      </c>
      <c r="C3806" t="s">
        <v>557</v>
      </c>
      <c r="D3806" t="s">
        <v>2571</v>
      </c>
      <c r="E3806" t="s">
        <v>3431</v>
      </c>
      <c r="F3806" s="451">
        <v>46067</v>
      </c>
      <c r="G3806">
        <v>20242</v>
      </c>
      <c r="H3806" t="s">
        <v>4824</v>
      </c>
      <c r="I3806" t="s">
        <v>5191</v>
      </c>
      <c r="J3806">
        <v>5</v>
      </c>
      <c r="K3806" t="s">
        <v>4738</v>
      </c>
      <c r="L3806">
        <v>70.45</v>
      </c>
      <c r="M3806">
        <v>14.09</v>
      </c>
      <c r="N3806" t="s">
        <v>5272</v>
      </c>
      <c r="O3806" t="s">
        <v>460</v>
      </c>
    </row>
    <row r="3807" spans="1:15" x14ac:dyDescent="0.3">
      <c r="A3807">
        <v>212799</v>
      </c>
      <c r="B3807">
        <v>105</v>
      </c>
      <c r="C3807" t="s">
        <v>557</v>
      </c>
      <c r="D3807" t="s">
        <v>2571</v>
      </c>
      <c r="E3807" t="s">
        <v>3431</v>
      </c>
      <c r="F3807" s="451">
        <v>46067</v>
      </c>
      <c r="G3807">
        <v>20358</v>
      </c>
      <c r="H3807" t="s">
        <v>4911</v>
      </c>
      <c r="I3807" t="s">
        <v>5191</v>
      </c>
      <c r="J3807">
        <v>4</v>
      </c>
      <c r="K3807" t="s">
        <v>4738</v>
      </c>
      <c r="L3807">
        <v>56.92</v>
      </c>
      <c r="M3807">
        <v>14.23</v>
      </c>
      <c r="N3807" t="s">
        <v>5272</v>
      </c>
      <c r="O3807" t="s">
        <v>460</v>
      </c>
    </row>
    <row r="3808" spans="1:15" x14ac:dyDescent="0.3">
      <c r="A3808">
        <v>212799</v>
      </c>
      <c r="B3808">
        <v>105</v>
      </c>
      <c r="C3808" t="s">
        <v>557</v>
      </c>
      <c r="D3808" t="s">
        <v>2571</v>
      </c>
      <c r="E3808" t="s">
        <v>3431</v>
      </c>
      <c r="F3808" s="451">
        <v>46067</v>
      </c>
      <c r="G3808">
        <v>20809</v>
      </c>
      <c r="H3808" t="s">
        <v>4822</v>
      </c>
      <c r="I3808" t="s">
        <v>5191</v>
      </c>
      <c r="J3808">
        <v>8</v>
      </c>
      <c r="K3808" t="s">
        <v>4736</v>
      </c>
      <c r="L3808">
        <v>247.2</v>
      </c>
      <c r="M3808">
        <v>30.9</v>
      </c>
      <c r="N3808" t="s">
        <v>5272</v>
      </c>
      <c r="O3808" t="s">
        <v>460</v>
      </c>
    </row>
    <row r="3809" spans="1:15" x14ac:dyDescent="0.3">
      <c r="A3809">
        <v>212799</v>
      </c>
      <c r="B3809">
        <v>105</v>
      </c>
      <c r="C3809" t="s">
        <v>557</v>
      </c>
      <c r="D3809" t="s">
        <v>2571</v>
      </c>
      <c r="E3809" t="s">
        <v>3431</v>
      </c>
      <c r="F3809" s="451">
        <v>46067</v>
      </c>
      <c r="G3809">
        <v>20653</v>
      </c>
      <c r="H3809" t="s">
        <v>5013</v>
      </c>
      <c r="I3809" t="s">
        <v>5191</v>
      </c>
      <c r="J3809">
        <v>1</v>
      </c>
      <c r="K3809" t="s">
        <v>4736</v>
      </c>
      <c r="L3809">
        <v>24.7</v>
      </c>
      <c r="M3809">
        <v>24.7</v>
      </c>
      <c r="N3809" t="s">
        <v>5272</v>
      </c>
      <c r="O3809" t="s">
        <v>460</v>
      </c>
    </row>
    <row r="3810" spans="1:15" x14ac:dyDescent="0.3">
      <c r="A3810">
        <v>212799</v>
      </c>
      <c r="B3810">
        <v>105</v>
      </c>
      <c r="C3810" t="s">
        <v>557</v>
      </c>
      <c r="D3810" t="s">
        <v>2571</v>
      </c>
      <c r="E3810" t="s">
        <v>3431</v>
      </c>
      <c r="F3810" s="451">
        <v>46067</v>
      </c>
      <c r="G3810">
        <v>20213</v>
      </c>
      <c r="H3810" t="s">
        <v>5160</v>
      </c>
      <c r="I3810" t="s">
        <v>5191</v>
      </c>
      <c r="J3810">
        <v>2</v>
      </c>
      <c r="K3810" t="s">
        <v>5228</v>
      </c>
      <c r="L3810">
        <v>63.2</v>
      </c>
      <c r="M3810">
        <v>31.6</v>
      </c>
      <c r="N3810" t="s">
        <v>5272</v>
      </c>
      <c r="O3810" t="s">
        <v>460</v>
      </c>
    </row>
    <row r="3811" spans="1:15" x14ac:dyDescent="0.3">
      <c r="A3811">
        <v>212799</v>
      </c>
      <c r="B3811">
        <v>105</v>
      </c>
      <c r="C3811" t="s">
        <v>557</v>
      </c>
      <c r="D3811" t="s">
        <v>2571</v>
      </c>
      <c r="E3811" t="s">
        <v>3431</v>
      </c>
      <c r="F3811" s="451">
        <v>46067</v>
      </c>
      <c r="G3811">
        <v>20673</v>
      </c>
      <c r="H3811" t="s">
        <v>5132</v>
      </c>
      <c r="I3811" t="s">
        <v>5191</v>
      </c>
      <c r="J3811">
        <v>2</v>
      </c>
      <c r="K3811" t="s">
        <v>5242</v>
      </c>
      <c r="L3811">
        <v>144.88</v>
      </c>
      <c r="M3811">
        <v>72.44</v>
      </c>
      <c r="N3811" t="s">
        <v>5272</v>
      </c>
      <c r="O3811" t="s">
        <v>460</v>
      </c>
    </row>
    <row r="3812" spans="1:15" x14ac:dyDescent="0.3">
      <c r="A3812">
        <v>212799</v>
      </c>
      <c r="B3812">
        <v>105</v>
      </c>
      <c r="C3812" t="s">
        <v>557</v>
      </c>
      <c r="D3812" t="s">
        <v>2571</v>
      </c>
      <c r="E3812" t="s">
        <v>3431</v>
      </c>
      <c r="F3812" s="451">
        <v>46067</v>
      </c>
      <c r="G3812">
        <v>21093</v>
      </c>
      <c r="H3812" t="s">
        <v>4855</v>
      </c>
      <c r="I3812" t="s">
        <v>5191</v>
      </c>
      <c r="J3812">
        <v>20</v>
      </c>
      <c r="K3812" t="s">
        <v>4736</v>
      </c>
      <c r="L3812">
        <v>87.8</v>
      </c>
      <c r="M3812">
        <v>4.3899999999999997</v>
      </c>
      <c r="N3812" t="s">
        <v>5272</v>
      </c>
      <c r="O3812" t="s">
        <v>460</v>
      </c>
    </row>
    <row r="3813" spans="1:15" x14ac:dyDescent="0.3">
      <c r="A3813">
        <v>212799</v>
      </c>
      <c r="B3813">
        <v>105</v>
      </c>
      <c r="C3813" t="s">
        <v>557</v>
      </c>
      <c r="D3813" t="s">
        <v>2571</v>
      </c>
      <c r="E3813" t="s">
        <v>3431</v>
      </c>
      <c r="F3813" s="451">
        <v>46067</v>
      </c>
      <c r="G3813">
        <v>25022</v>
      </c>
      <c r="H3813" t="s">
        <v>4912</v>
      </c>
      <c r="I3813" t="s">
        <v>5191</v>
      </c>
      <c r="J3813">
        <v>3</v>
      </c>
      <c r="K3813" t="s">
        <v>4738</v>
      </c>
      <c r="L3813">
        <v>11.1</v>
      </c>
      <c r="M3813">
        <v>3.7</v>
      </c>
      <c r="N3813" t="s">
        <v>5272</v>
      </c>
      <c r="O3813" t="s">
        <v>460</v>
      </c>
    </row>
    <row r="3814" spans="1:15" x14ac:dyDescent="0.3">
      <c r="A3814">
        <v>212799</v>
      </c>
      <c r="B3814">
        <v>105</v>
      </c>
      <c r="C3814" t="s">
        <v>557</v>
      </c>
      <c r="D3814" t="s">
        <v>2571</v>
      </c>
      <c r="E3814" t="s">
        <v>3431</v>
      </c>
      <c r="F3814" s="451">
        <v>46067</v>
      </c>
      <c r="G3814">
        <v>20585</v>
      </c>
      <c r="H3814" t="s">
        <v>5025</v>
      </c>
      <c r="I3814" t="s">
        <v>5191</v>
      </c>
      <c r="J3814">
        <v>1</v>
      </c>
      <c r="K3814" t="s">
        <v>4736</v>
      </c>
      <c r="L3814">
        <v>25.9</v>
      </c>
      <c r="M3814">
        <v>25.9</v>
      </c>
      <c r="N3814" t="s">
        <v>5272</v>
      </c>
      <c r="O3814" t="s">
        <v>460</v>
      </c>
    </row>
    <row r="3815" spans="1:15" x14ac:dyDescent="0.3">
      <c r="A3815">
        <v>212799</v>
      </c>
      <c r="B3815">
        <v>105</v>
      </c>
      <c r="C3815" t="s">
        <v>557</v>
      </c>
      <c r="D3815" t="s">
        <v>2571</v>
      </c>
      <c r="E3815" t="s">
        <v>3431</v>
      </c>
      <c r="F3815" s="451">
        <v>46067</v>
      </c>
      <c r="G3815">
        <v>25237</v>
      </c>
      <c r="H3815" t="s">
        <v>5143</v>
      </c>
      <c r="I3815" t="s">
        <v>5191</v>
      </c>
      <c r="J3815">
        <v>10</v>
      </c>
      <c r="K3815" t="s">
        <v>4738</v>
      </c>
      <c r="L3815">
        <v>54.5</v>
      </c>
      <c r="M3815">
        <v>5.45</v>
      </c>
      <c r="N3815" t="s">
        <v>5272</v>
      </c>
      <c r="O3815" t="s">
        <v>460</v>
      </c>
    </row>
    <row r="3816" spans="1:15" x14ac:dyDescent="0.3">
      <c r="A3816">
        <v>212799</v>
      </c>
      <c r="B3816">
        <v>105</v>
      </c>
      <c r="C3816" t="s">
        <v>557</v>
      </c>
      <c r="D3816" t="s">
        <v>2571</v>
      </c>
      <c r="E3816" t="s">
        <v>3431</v>
      </c>
      <c r="F3816" s="451">
        <v>46067</v>
      </c>
      <c r="G3816">
        <v>20624</v>
      </c>
      <c r="H3816" t="s">
        <v>5019</v>
      </c>
      <c r="I3816" t="s">
        <v>5191</v>
      </c>
      <c r="J3816">
        <v>1</v>
      </c>
      <c r="K3816" t="s">
        <v>4736</v>
      </c>
      <c r="L3816">
        <v>75.66</v>
      </c>
      <c r="M3816">
        <v>75.66</v>
      </c>
      <c r="N3816" t="s">
        <v>5272</v>
      </c>
      <c r="O3816" t="s">
        <v>460</v>
      </c>
    </row>
    <row r="3817" spans="1:15" x14ac:dyDescent="0.3">
      <c r="A3817">
        <v>212799</v>
      </c>
      <c r="B3817">
        <v>105</v>
      </c>
      <c r="C3817" t="s">
        <v>557</v>
      </c>
      <c r="D3817" t="s">
        <v>2571</v>
      </c>
      <c r="E3817" t="s">
        <v>3431</v>
      </c>
      <c r="F3817" s="451">
        <v>46067</v>
      </c>
      <c r="G3817">
        <v>26020</v>
      </c>
      <c r="H3817" t="s">
        <v>5102</v>
      </c>
      <c r="I3817" t="s">
        <v>5191</v>
      </c>
      <c r="J3817">
        <v>3</v>
      </c>
      <c r="K3817" t="s">
        <v>4736</v>
      </c>
      <c r="L3817">
        <v>41.82</v>
      </c>
      <c r="M3817">
        <v>13.94</v>
      </c>
      <c r="N3817" t="s">
        <v>5272</v>
      </c>
      <c r="O3817" t="s">
        <v>460</v>
      </c>
    </row>
    <row r="3818" spans="1:15" x14ac:dyDescent="0.3">
      <c r="A3818">
        <v>212799</v>
      </c>
      <c r="B3818">
        <v>105</v>
      </c>
      <c r="C3818" t="s">
        <v>557</v>
      </c>
      <c r="D3818" t="s">
        <v>2571</v>
      </c>
      <c r="E3818" t="s">
        <v>3431</v>
      </c>
      <c r="F3818" s="451">
        <v>46067</v>
      </c>
      <c r="G3818">
        <v>19421</v>
      </c>
      <c r="H3818" t="s">
        <v>4918</v>
      </c>
      <c r="I3818" t="s">
        <v>5191</v>
      </c>
      <c r="J3818">
        <v>2</v>
      </c>
      <c r="K3818" t="s">
        <v>4749</v>
      </c>
      <c r="L3818">
        <v>110.44</v>
      </c>
      <c r="M3818">
        <v>55.22</v>
      </c>
      <c r="N3818" t="s">
        <v>5272</v>
      </c>
      <c r="O3818" t="s">
        <v>460</v>
      </c>
    </row>
    <row r="3819" spans="1:15" x14ac:dyDescent="0.3">
      <c r="A3819">
        <v>212799</v>
      </c>
      <c r="B3819">
        <v>105</v>
      </c>
      <c r="C3819" t="s">
        <v>557</v>
      </c>
      <c r="D3819" t="s">
        <v>2571</v>
      </c>
      <c r="E3819" t="s">
        <v>3431</v>
      </c>
      <c r="F3819" s="451">
        <v>46067</v>
      </c>
      <c r="G3819">
        <v>20057</v>
      </c>
      <c r="H3819" t="s">
        <v>4949</v>
      </c>
      <c r="I3819" t="s">
        <v>5191</v>
      </c>
      <c r="J3819">
        <v>1</v>
      </c>
      <c r="K3819" t="s">
        <v>4848</v>
      </c>
      <c r="L3819">
        <v>42.18</v>
      </c>
      <c r="M3819">
        <v>42.18</v>
      </c>
      <c r="N3819" t="s">
        <v>5272</v>
      </c>
      <c r="O3819" t="s">
        <v>460</v>
      </c>
    </row>
    <row r="3820" spans="1:15" x14ac:dyDescent="0.3">
      <c r="A3820">
        <v>212799</v>
      </c>
      <c r="B3820">
        <v>105</v>
      </c>
      <c r="C3820" t="s">
        <v>557</v>
      </c>
      <c r="D3820" t="s">
        <v>2571</v>
      </c>
      <c r="E3820" t="s">
        <v>3431</v>
      </c>
      <c r="F3820" s="451">
        <v>46067</v>
      </c>
      <c r="G3820">
        <v>19967</v>
      </c>
      <c r="H3820" t="s">
        <v>4956</v>
      </c>
      <c r="I3820" t="s">
        <v>5191</v>
      </c>
      <c r="J3820">
        <v>1</v>
      </c>
      <c r="K3820" t="s">
        <v>4848</v>
      </c>
      <c r="L3820">
        <v>49.09</v>
      </c>
      <c r="M3820">
        <v>49.09</v>
      </c>
      <c r="N3820" t="s">
        <v>5272</v>
      </c>
      <c r="O3820" t="s">
        <v>460</v>
      </c>
    </row>
    <row r="3821" spans="1:15" x14ac:dyDescent="0.3">
      <c r="A3821">
        <v>212799</v>
      </c>
      <c r="B3821">
        <v>105</v>
      </c>
      <c r="C3821" t="s">
        <v>557</v>
      </c>
      <c r="D3821" t="s">
        <v>2571</v>
      </c>
      <c r="E3821" t="s">
        <v>3431</v>
      </c>
      <c r="F3821" s="451">
        <v>46067</v>
      </c>
      <c r="G3821">
        <v>23808</v>
      </c>
      <c r="H3821" t="s">
        <v>4982</v>
      </c>
      <c r="I3821" t="s">
        <v>5191</v>
      </c>
      <c r="J3821">
        <v>1</v>
      </c>
      <c r="K3821" t="s">
        <v>4744</v>
      </c>
      <c r="L3821">
        <v>67.099999999999994</v>
      </c>
      <c r="M3821">
        <v>67.099999999999994</v>
      </c>
      <c r="N3821" t="s">
        <v>5272</v>
      </c>
      <c r="O3821" t="s">
        <v>460</v>
      </c>
    </row>
    <row r="3822" spans="1:15" x14ac:dyDescent="0.3">
      <c r="A3822">
        <v>212796</v>
      </c>
      <c r="B3822">
        <v>105</v>
      </c>
      <c r="C3822" t="s">
        <v>557</v>
      </c>
      <c r="D3822" t="s">
        <v>2864</v>
      </c>
      <c r="E3822" t="s">
        <v>3432</v>
      </c>
      <c r="F3822" s="451">
        <v>46077</v>
      </c>
      <c r="G3822">
        <v>17162</v>
      </c>
      <c r="H3822" t="s">
        <v>5255</v>
      </c>
      <c r="I3822" t="s">
        <v>5188</v>
      </c>
      <c r="J3822">
        <v>1</v>
      </c>
      <c r="K3822" t="s">
        <v>4736</v>
      </c>
      <c r="L3822">
        <v>54</v>
      </c>
      <c r="M3822">
        <v>54</v>
      </c>
      <c r="N3822" t="s">
        <v>5277</v>
      </c>
      <c r="O3822" t="s">
        <v>460</v>
      </c>
    </row>
    <row r="3823" spans="1:15" x14ac:dyDescent="0.3">
      <c r="A3823">
        <v>212796</v>
      </c>
      <c r="B3823">
        <v>105</v>
      </c>
      <c r="C3823" t="s">
        <v>557</v>
      </c>
      <c r="D3823" t="s">
        <v>2864</v>
      </c>
      <c r="E3823" t="s">
        <v>3432</v>
      </c>
      <c r="F3823" s="451">
        <v>46077</v>
      </c>
      <c r="G3823">
        <v>17046</v>
      </c>
      <c r="H3823" t="s">
        <v>5194</v>
      </c>
      <c r="I3823" t="s">
        <v>5188</v>
      </c>
      <c r="J3823">
        <v>1</v>
      </c>
      <c r="K3823" t="s">
        <v>4736</v>
      </c>
      <c r="L3823">
        <v>33.9</v>
      </c>
      <c r="M3823">
        <v>33.9</v>
      </c>
      <c r="N3823" t="s">
        <v>5277</v>
      </c>
      <c r="O3823" t="s">
        <v>460</v>
      </c>
    </row>
    <row r="3824" spans="1:15" x14ac:dyDescent="0.3">
      <c r="A3824">
        <v>212796</v>
      </c>
      <c r="B3824">
        <v>105</v>
      </c>
      <c r="C3824" t="s">
        <v>557</v>
      </c>
      <c r="D3824" t="s">
        <v>2864</v>
      </c>
      <c r="E3824" t="s">
        <v>3432</v>
      </c>
      <c r="F3824" s="451">
        <v>46077</v>
      </c>
      <c r="G3824">
        <v>17017</v>
      </c>
      <c r="H3824" t="s">
        <v>5199</v>
      </c>
      <c r="I3824" t="s">
        <v>5188</v>
      </c>
      <c r="J3824">
        <v>2</v>
      </c>
      <c r="K3824" t="s">
        <v>4738</v>
      </c>
      <c r="L3824">
        <v>5.78</v>
      </c>
      <c r="M3824">
        <v>2.89</v>
      </c>
      <c r="N3824" t="s">
        <v>5277</v>
      </c>
      <c r="O3824" t="s">
        <v>460</v>
      </c>
    </row>
    <row r="3825" spans="1:15" x14ac:dyDescent="0.3">
      <c r="A3825">
        <v>212796</v>
      </c>
      <c r="B3825">
        <v>105</v>
      </c>
      <c r="C3825" t="s">
        <v>557</v>
      </c>
      <c r="D3825" t="s">
        <v>2864</v>
      </c>
      <c r="E3825" t="s">
        <v>3432</v>
      </c>
      <c r="F3825" s="451">
        <v>46077</v>
      </c>
      <c r="G3825">
        <v>17504</v>
      </c>
      <c r="H3825" t="s">
        <v>5260</v>
      </c>
      <c r="I3825" t="s">
        <v>5205</v>
      </c>
      <c r="J3825">
        <v>1</v>
      </c>
      <c r="K3825" t="s">
        <v>4736</v>
      </c>
      <c r="L3825">
        <v>21</v>
      </c>
      <c r="M3825">
        <v>21</v>
      </c>
      <c r="N3825" t="s">
        <v>5277</v>
      </c>
      <c r="O3825" t="s">
        <v>460</v>
      </c>
    </row>
    <row r="3826" spans="1:15" x14ac:dyDescent="0.3">
      <c r="A3826">
        <v>212796</v>
      </c>
      <c r="B3826">
        <v>105</v>
      </c>
      <c r="C3826" t="s">
        <v>557</v>
      </c>
      <c r="D3826" t="s">
        <v>2864</v>
      </c>
      <c r="E3826" t="s">
        <v>3432</v>
      </c>
      <c r="F3826" s="451">
        <v>46077</v>
      </c>
      <c r="G3826">
        <v>17361</v>
      </c>
      <c r="H3826" t="s">
        <v>5309</v>
      </c>
      <c r="I3826" t="s">
        <v>5188</v>
      </c>
      <c r="J3826">
        <v>1</v>
      </c>
      <c r="K3826" t="s">
        <v>4738</v>
      </c>
      <c r="L3826">
        <v>7.45</v>
      </c>
      <c r="M3826">
        <v>7.45</v>
      </c>
      <c r="N3826" t="s">
        <v>5277</v>
      </c>
      <c r="O3826" t="s">
        <v>460</v>
      </c>
    </row>
    <row r="3827" spans="1:15" x14ac:dyDescent="0.3">
      <c r="A3827">
        <v>212796</v>
      </c>
      <c r="B3827">
        <v>105</v>
      </c>
      <c r="C3827" t="s">
        <v>557</v>
      </c>
      <c r="D3827" t="s">
        <v>2864</v>
      </c>
      <c r="E3827" t="s">
        <v>3432</v>
      </c>
      <c r="F3827" s="451">
        <v>46077</v>
      </c>
      <c r="G3827">
        <v>24702</v>
      </c>
      <c r="H3827" t="s">
        <v>5381</v>
      </c>
      <c r="I3827" t="s">
        <v>5188</v>
      </c>
      <c r="J3827">
        <v>1</v>
      </c>
      <c r="K3827" t="s">
        <v>4738</v>
      </c>
      <c r="L3827">
        <v>95</v>
      </c>
      <c r="M3827">
        <v>95</v>
      </c>
      <c r="N3827" t="s">
        <v>5277</v>
      </c>
      <c r="O3827" t="s">
        <v>460</v>
      </c>
    </row>
    <row r="3828" spans="1:15" x14ac:dyDescent="0.3">
      <c r="A3828">
        <v>212796</v>
      </c>
      <c r="B3828">
        <v>105</v>
      </c>
      <c r="C3828" t="s">
        <v>557</v>
      </c>
      <c r="D3828" t="s">
        <v>2864</v>
      </c>
      <c r="E3828" t="s">
        <v>3432</v>
      </c>
      <c r="F3828" s="451">
        <v>46077</v>
      </c>
      <c r="G3828">
        <v>24594</v>
      </c>
      <c r="H3828" t="s">
        <v>5382</v>
      </c>
      <c r="I3828" t="s">
        <v>5205</v>
      </c>
      <c r="J3828">
        <v>2</v>
      </c>
      <c r="K3828" t="s">
        <v>5240</v>
      </c>
      <c r="L3828">
        <v>53.6</v>
      </c>
      <c r="M3828">
        <v>26.8</v>
      </c>
      <c r="N3828" t="s">
        <v>5277</v>
      </c>
      <c r="O3828" t="s">
        <v>460</v>
      </c>
    </row>
    <row r="3829" spans="1:15" x14ac:dyDescent="0.3">
      <c r="A3829">
        <v>212796</v>
      </c>
      <c r="B3829">
        <v>105</v>
      </c>
      <c r="C3829" t="s">
        <v>557</v>
      </c>
      <c r="D3829" t="s">
        <v>2864</v>
      </c>
      <c r="E3829" t="s">
        <v>3432</v>
      </c>
      <c r="F3829" s="451">
        <v>46077</v>
      </c>
      <c r="G3829">
        <v>17401</v>
      </c>
      <c r="H3829" t="s">
        <v>5243</v>
      </c>
      <c r="I3829" t="s">
        <v>5188</v>
      </c>
      <c r="J3829">
        <v>2</v>
      </c>
      <c r="L3829">
        <v>190</v>
      </c>
      <c r="M3829">
        <v>95</v>
      </c>
      <c r="N3829" t="s">
        <v>5277</v>
      </c>
      <c r="O3829" t="s">
        <v>460</v>
      </c>
    </row>
    <row r="3830" spans="1:15" x14ac:dyDescent="0.3">
      <c r="A3830">
        <v>212793</v>
      </c>
      <c r="B3830">
        <v>105</v>
      </c>
      <c r="C3830" t="s">
        <v>557</v>
      </c>
      <c r="D3830" t="s">
        <v>2864</v>
      </c>
      <c r="E3830" t="s">
        <v>2741</v>
      </c>
      <c r="F3830" s="451">
        <v>46072</v>
      </c>
      <c r="G3830">
        <v>20105</v>
      </c>
      <c r="H3830" t="s">
        <v>4831</v>
      </c>
      <c r="I3830" t="s">
        <v>5191</v>
      </c>
      <c r="J3830">
        <v>5</v>
      </c>
      <c r="K3830" t="s">
        <v>4744</v>
      </c>
      <c r="L3830">
        <v>134.5</v>
      </c>
      <c r="M3830">
        <v>26.9</v>
      </c>
      <c r="N3830" t="s">
        <v>5191</v>
      </c>
      <c r="O3830" t="s">
        <v>460</v>
      </c>
    </row>
    <row r="3831" spans="1:15" x14ac:dyDescent="0.3">
      <c r="A3831">
        <v>212793</v>
      </c>
      <c r="B3831">
        <v>105</v>
      </c>
      <c r="C3831" t="s">
        <v>557</v>
      </c>
      <c r="D3831" t="s">
        <v>2864</v>
      </c>
      <c r="E3831" t="s">
        <v>2741</v>
      </c>
      <c r="F3831" s="451">
        <v>46072</v>
      </c>
      <c r="G3831">
        <v>20382</v>
      </c>
      <c r="H3831" t="s">
        <v>4780</v>
      </c>
      <c r="I3831" t="s">
        <v>5191</v>
      </c>
      <c r="J3831">
        <v>16</v>
      </c>
      <c r="K3831" t="s">
        <v>5238</v>
      </c>
      <c r="L3831">
        <v>143.84</v>
      </c>
      <c r="M3831">
        <v>8.99</v>
      </c>
      <c r="N3831" t="s">
        <v>5191</v>
      </c>
      <c r="O3831" t="s">
        <v>460</v>
      </c>
    </row>
    <row r="3832" spans="1:15" x14ac:dyDescent="0.3">
      <c r="A3832">
        <v>212792</v>
      </c>
      <c r="B3832">
        <v>105</v>
      </c>
      <c r="C3832" t="s">
        <v>557</v>
      </c>
      <c r="D3832" t="s">
        <v>2864</v>
      </c>
      <c r="E3832" t="s">
        <v>3433</v>
      </c>
      <c r="F3832" s="451">
        <v>46071</v>
      </c>
      <c r="G3832">
        <v>17399</v>
      </c>
      <c r="H3832" t="s">
        <v>5244</v>
      </c>
      <c r="I3832" t="s">
        <v>5188</v>
      </c>
      <c r="J3832">
        <v>1</v>
      </c>
      <c r="K3832" t="s">
        <v>5245</v>
      </c>
      <c r="L3832">
        <v>18.899999999999999</v>
      </c>
      <c r="M3832">
        <v>18.899999999999999</v>
      </c>
      <c r="N3832" t="s">
        <v>5277</v>
      </c>
      <c r="O3832" t="s">
        <v>460</v>
      </c>
    </row>
    <row r="3833" spans="1:15" x14ac:dyDescent="0.3">
      <c r="A3833">
        <v>212792</v>
      </c>
      <c r="B3833">
        <v>105</v>
      </c>
      <c r="C3833" t="s">
        <v>557</v>
      </c>
      <c r="D3833" t="s">
        <v>2864</v>
      </c>
      <c r="E3833" t="s">
        <v>3433</v>
      </c>
      <c r="F3833" s="451">
        <v>46071</v>
      </c>
      <c r="G3833">
        <v>17397</v>
      </c>
      <c r="H3833" t="s">
        <v>5246</v>
      </c>
      <c r="I3833" t="s">
        <v>5188</v>
      </c>
      <c r="J3833">
        <v>1</v>
      </c>
      <c r="K3833" t="s">
        <v>5245</v>
      </c>
      <c r="L3833">
        <v>31.82</v>
      </c>
      <c r="M3833">
        <v>31.82</v>
      </c>
      <c r="N3833" t="s">
        <v>5277</v>
      </c>
      <c r="O3833" t="s">
        <v>460</v>
      </c>
    </row>
    <row r="3834" spans="1:15" x14ac:dyDescent="0.3">
      <c r="A3834">
        <v>212792</v>
      </c>
      <c r="B3834">
        <v>105</v>
      </c>
      <c r="C3834" t="s">
        <v>557</v>
      </c>
      <c r="D3834" t="s">
        <v>2864</v>
      </c>
      <c r="E3834" t="s">
        <v>3433</v>
      </c>
      <c r="F3834" s="451">
        <v>46071</v>
      </c>
      <c r="G3834">
        <v>21423</v>
      </c>
      <c r="H3834" t="s">
        <v>5248</v>
      </c>
      <c r="I3834" t="s">
        <v>5188</v>
      </c>
      <c r="J3834">
        <v>1</v>
      </c>
      <c r="K3834" t="s">
        <v>5245</v>
      </c>
      <c r="L3834">
        <v>31.82</v>
      </c>
      <c r="M3834">
        <v>31.82</v>
      </c>
      <c r="N3834" t="s">
        <v>5277</v>
      </c>
      <c r="O3834" t="s">
        <v>460</v>
      </c>
    </row>
    <row r="3835" spans="1:15" x14ac:dyDescent="0.3">
      <c r="A3835">
        <v>212791</v>
      </c>
      <c r="B3835">
        <v>105</v>
      </c>
      <c r="C3835" t="s">
        <v>557</v>
      </c>
      <c r="D3835" t="s">
        <v>3328</v>
      </c>
      <c r="E3835" t="s">
        <v>3434</v>
      </c>
      <c r="F3835" s="451">
        <v>46072</v>
      </c>
      <c r="G3835">
        <v>19607</v>
      </c>
      <c r="H3835" t="s">
        <v>4981</v>
      </c>
      <c r="I3835" t="s">
        <v>5191</v>
      </c>
      <c r="J3835">
        <v>0.4</v>
      </c>
      <c r="K3835" t="s">
        <v>4744</v>
      </c>
      <c r="L3835">
        <v>6.5</v>
      </c>
      <c r="M3835">
        <v>16.25</v>
      </c>
      <c r="N3835" t="s">
        <v>5272</v>
      </c>
      <c r="O3835" t="s">
        <v>460</v>
      </c>
    </row>
    <row r="3836" spans="1:15" x14ac:dyDescent="0.3">
      <c r="A3836">
        <v>212791</v>
      </c>
      <c r="B3836">
        <v>105</v>
      </c>
      <c r="C3836" t="s">
        <v>557</v>
      </c>
      <c r="D3836" t="s">
        <v>3328</v>
      </c>
      <c r="E3836" t="s">
        <v>3434</v>
      </c>
      <c r="F3836" s="451">
        <v>46072</v>
      </c>
      <c r="G3836">
        <v>19654</v>
      </c>
      <c r="H3836" t="s">
        <v>5099</v>
      </c>
      <c r="I3836" t="s">
        <v>5191</v>
      </c>
      <c r="J3836">
        <v>5</v>
      </c>
      <c r="K3836" t="s">
        <v>4744</v>
      </c>
      <c r="L3836">
        <v>36.25</v>
      </c>
      <c r="M3836">
        <v>7.25</v>
      </c>
      <c r="N3836" t="s">
        <v>5272</v>
      </c>
      <c r="O3836" t="s">
        <v>460</v>
      </c>
    </row>
    <row r="3837" spans="1:15" x14ac:dyDescent="0.3">
      <c r="A3837">
        <v>212791</v>
      </c>
      <c r="B3837">
        <v>105</v>
      </c>
      <c r="C3837" t="s">
        <v>557</v>
      </c>
      <c r="D3837" t="s">
        <v>3328</v>
      </c>
      <c r="E3837" t="s">
        <v>3434</v>
      </c>
      <c r="F3837" s="451">
        <v>46072</v>
      </c>
      <c r="G3837">
        <v>19623</v>
      </c>
      <c r="H3837" t="s">
        <v>4764</v>
      </c>
      <c r="I3837" t="s">
        <v>5191</v>
      </c>
      <c r="J3837">
        <v>8</v>
      </c>
      <c r="K3837" t="s">
        <v>4744</v>
      </c>
      <c r="L3837">
        <v>30</v>
      </c>
      <c r="M3837">
        <v>3.75</v>
      </c>
      <c r="N3837" t="s">
        <v>5272</v>
      </c>
      <c r="O3837" t="s">
        <v>460</v>
      </c>
    </row>
    <row r="3838" spans="1:15" x14ac:dyDescent="0.3">
      <c r="A3838">
        <v>212791</v>
      </c>
      <c r="B3838">
        <v>105</v>
      </c>
      <c r="C3838" t="s">
        <v>557</v>
      </c>
      <c r="D3838" t="s">
        <v>3328</v>
      </c>
      <c r="E3838" t="s">
        <v>3434</v>
      </c>
      <c r="F3838" s="451">
        <v>46072</v>
      </c>
      <c r="G3838">
        <v>24099</v>
      </c>
      <c r="H3838" t="s">
        <v>4933</v>
      </c>
      <c r="I3838" t="s">
        <v>5191</v>
      </c>
      <c r="J3838">
        <v>2</v>
      </c>
      <c r="K3838" t="s">
        <v>4744</v>
      </c>
      <c r="L3838">
        <v>42.5</v>
      </c>
      <c r="M3838">
        <v>21.25</v>
      </c>
      <c r="N3838" t="s">
        <v>5272</v>
      </c>
      <c r="O3838" t="s">
        <v>460</v>
      </c>
    </row>
    <row r="3839" spans="1:15" x14ac:dyDescent="0.3">
      <c r="A3839">
        <v>212791</v>
      </c>
      <c r="B3839">
        <v>105</v>
      </c>
      <c r="C3839" t="s">
        <v>557</v>
      </c>
      <c r="D3839" t="s">
        <v>3328</v>
      </c>
      <c r="E3839" t="s">
        <v>3434</v>
      </c>
      <c r="F3839" s="451">
        <v>46072</v>
      </c>
      <c r="G3839">
        <v>24522</v>
      </c>
      <c r="H3839" t="s">
        <v>5072</v>
      </c>
      <c r="I3839" t="s">
        <v>5191</v>
      </c>
      <c r="J3839">
        <v>1</v>
      </c>
      <c r="K3839" t="s">
        <v>4744</v>
      </c>
      <c r="L3839">
        <v>23</v>
      </c>
      <c r="M3839">
        <v>23</v>
      </c>
      <c r="N3839" t="s">
        <v>5272</v>
      </c>
      <c r="O3839" t="s">
        <v>460</v>
      </c>
    </row>
    <row r="3840" spans="1:15" x14ac:dyDescent="0.3">
      <c r="A3840">
        <v>212791</v>
      </c>
      <c r="B3840">
        <v>105</v>
      </c>
      <c r="C3840" t="s">
        <v>557</v>
      </c>
      <c r="D3840" t="s">
        <v>3328</v>
      </c>
      <c r="E3840" t="s">
        <v>3434</v>
      </c>
      <c r="F3840" s="451">
        <v>46072</v>
      </c>
      <c r="G3840">
        <v>19502</v>
      </c>
      <c r="H3840" t="s">
        <v>4871</v>
      </c>
      <c r="I3840" t="s">
        <v>5191</v>
      </c>
      <c r="J3840">
        <v>1.5</v>
      </c>
      <c r="K3840" t="s">
        <v>4744</v>
      </c>
      <c r="L3840">
        <v>37.5</v>
      </c>
      <c r="M3840">
        <v>25</v>
      </c>
      <c r="N3840" t="s">
        <v>5272</v>
      </c>
      <c r="O3840" t="s">
        <v>460</v>
      </c>
    </row>
    <row r="3841" spans="1:15" x14ac:dyDescent="0.3">
      <c r="A3841">
        <v>212791</v>
      </c>
      <c r="B3841">
        <v>105</v>
      </c>
      <c r="C3841" t="s">
        <v>557</v>
      </c>
      <c r="D3841" t="s">
        <v>3328</v>
      </c>
      <c r="E3841" t="s">
        <v>3434</v>
      </c>
      <c r="F3841" s="451">
        <v>46072</v>
      </c>
      <c r="G3841">
        <v>19740</v>
      </c>
      <c r="H3841" t="s">
        <v>4779</v>
      </c>
      <c r="I3841" t="s">
        <v>5191</v>
      </c>
      <c r="J3841">
        <v>6</v>
      </c>
      <c r="K3841" t="s">
        <v>4744</v>
      </c>
      <c r="L3841">
        <v>82.5</v>
      </c>
      <c r="M3841">
        <v>13.75</v>
      </c>
      <c r="N3841" t="s">
        <v>5272</v>
      </c>
      <c r="O3841" t="s">
        <v>460</v>
      </c>
    </row>
    <row r="3842" spans="1:15" x14ac:dyDescent="0.3">
      <c r="A3842">
        <v>212791</v>
      </c>
      <c r="B3842">
        <v>105</v>
      </c>
      <c r="C3842" t="s">
        <v>557</v>
      </c>
      <c r="D3842" t="s">
        <v>3328</v>
      </c>
      <c r="E3842" t="s">
        <v>3434</v>
      </c>
      <c r="F3842" s="451">
        <v>46072</v>
      </c>
      <c r="G3842">
        <v>19751</v>
      </c>
      <c r="H3842" t="s">
        <v>4800</v>
      </c>
      <c r="I3842" t="s">
        <v>5191</v>
      </c>
      <c r="J3842">
        <v>4</v>
      </c>
      <c r="K3842" t="s">
        <v>4744</v>
      </c>
      <c r="L3842">
        <v>70</v>
      </c>
      <c r="M3842">
        <v>17.5</v>
      </c>
      <c r="N3842" t="s">
        <v>5272</v>
      </c>
      <c r="O3842" t="s">
        <v>460</v>
      </c>
    </row>
    <row r="3843" spans="1:15" x14ac:dyDescent="0.3">
      <c r="A3843">
        <v>212791</v>
      </c>
      <c r="B3843">
        <v>105</v>
      </c>
      <c r="C3843" t="s">
        <v>557</v>
      </c>
      <c r="D3843" t="s">
        <v>3328</v>
      </c>
      <c r="E3843" t="s">
        <v>3434</v>
      </c>
      <c r="F3843" s="451">
        <v>46072</v>
      </c>
      <c r="G3843">
        <v>19635</v>
      </c>
      <c r="H3843" t="s">
        <v>4786</v>
      </c>
      <c r="I3843" t="s">
        <v>5191</v>
      </c>
      <c r="J3843">
        <v>8</v>
      </c>
      <c r="K3843" t="s">
        <v>4744</v>
      </c>
      <c r="L3843">
        <v>45.04</v>
      </c>
      <c r="M3843">
        <v>5.63</v>
      </c>
      <c r="N3843" t="s">
        <v>5272</v>
      </c>
      <c r="O3843" t="s">
        <v>460</v>
      </c>
    </row>
    <row r="3844" spans="1:15" x14ac:dyDescent="0.3">
      <c r="A3844">
        <v>212791</v>
      </c>
      <c r="B3844">
        <v>105</v>
      </c>
      <c r="C3844" t="s">
        <v>557</v>
      </c>
      <c r="D3844" t="s">
        <v>3328</v>
      </c>
      <c r="E3844" t="s">
        <v>3434</v>
      </c>
      <c r="F3844" s="451">
        <v>46072</v>
      </c>
      <c r="G3844">
        <v>23335</v>
      </c>
      <c r="H3844" t="s">
        <v>4961</v>
      </c>
      <c r="I3844" t="s">
        <v>5191</v>
      </c>
      <c r="J3844">
        <v>1.2</v>
      </c>
      <c r="K3844" t="s">
        <v>4744</v>
      </c>
      <c r="L3844">
        <v>37.5</v>
      </c>
      <c r="M3844">
        <v>31.25</v>
      </c>
      <c r="N3844" t="s">
        <v>5272</v>
      </c>
      <c r="O3844" t="s">
        <v>460</v>
      </c>
    </row>
    <row r="3845" spans="1:15" x14ac:dyDescent="0.3">
      <c r="A3845">
        <v>212791</v>
      </c>
      <c r="B3845">
        <v>105</v>
      </c>
      <c r="C3845" t="s">
        <v>557</v>
      </c>
      <c r="D3845" t="s">
        <v>3328</v>
      </c>
      <c r="E3845" t="s">
        <v>3434</v>
      </c>
      <c r="F3845" s="451">
        <v>46072</v>
      </c>
      <c r="G3845">
        <v>23385</v>
      </c>
      <c r="H3845" t="s">
        <v>4938</v>
      </c>
      <c r="I3845" t="s">
        <v>5191</v>
      </c>
      <c r="J3845">
        <v>2</v>
      </c>
      <c r="K3845" t="s">
        <v>4744</v>
      </c>
      <c r="L3845">
        <v>70</v>
      </c>
      <c r="M3845">
        <v>35</v>
      </c>
      <c r="N3845" t="s">
        <v>5272</v>
      </c>
      <c r="O3845" t="s">
        <v>460</v>
      </c>
    </row>
    <row r="3846" spans="1:15" x14ac:dyDescent="0.3">
      <c r="A3846">
        <v>212791</v>
      </c>
      <c r="B3846">
        <v>105</v>
      </c>
      <c r="C3846" t="s">
        <v>557</v>
      </c>
      <c r="D3846" t="s">
        <v>3328</v>
      </c>
      <c r="E3846" t="s">
        <v>3434</v>
      </c>
      <c r="F3846" s="451">
        <v>46072</v>
      </c>
      <c r="G3846">
        <v>23095</v>
      </c>
      <c r="H3846" t="s">
        <v>4741</v>
      </c>
      <c r="I3846" t="s">
        <v>5191</v>
      </c>
      <c r="J3846">
        <v>60</v>
      </c>
      <c r="K3846" t="s">
        <v>4736</v>
      </c>
      <c r="L3846">
        <v>75</v>
      </c>
      <c r="M3846">
        <v>1.25</v>
      </c>
      <c r="N3846" t="s">
        <v>5272</v>
      </c>
      <c r="O3846" t="s">
        <v>460</v>
      </c>
    </row>
    <row r="3847" spans="1:15" x14ac:dyDescent="0.3">
      <c r="A3847">
        <v>212791</v>
      </c>
      <c r="B3847">
        <v>105</v>
      </c>
      <c r="C3847" t="s">
        <v>557</v>
      </c>
      <c r="D3847" t="s">
        <v>3328</v>
      </c>
      <c r="E3847" t="s">
        <v>3434</v>
      </c>
      <c r="F3847" s="451">
        <v>46072</v>
      </c>
      <c r="G3847">
        <v>23184</v>
      </c>
      <c r="H3847" t="s">
        <v>4935</v>
      </c>
      <c r="I3847" t="s">
        <v>5191</v>
      </c>
      <c r="J3847">
        <v>2</v>
      </c>
      <c r="K3847" t="s">
        <v>4744</v>
      </c>
      <c r="L3847">
        <v>20</v>
      </c>
      <c r="M3847">
        <v>10</v>
      </c>
      <c r="N3847" t="s">
        <v>5272</v>
      </c>
      <c r="O3847" t="s">
        <v>460</v>
      </c>
    </row>
    <row r="3848" spans="1:15" x14ac:dyDescent="0.3">
      <c r="A3848">
        <v>212790</v>
      </c>
      <c r="B3848">
        <v>105</v>
      </c>
      <c r="C3848" t="s">
        <v>557</v>
      </c>
      <c r="D3848" t="s">
        <v>3328</v>
      </c>
      <c r="E3848" t="s">
        <v>3435</v>
      </c>
      <c r="F3848" s="451">
        <v>46078</v>
      </c>
      <c r="G3848">
        <v>19737</v>
      </c>
      <c r="H3848" t="s">
        <v>4940</v>
      </c>
      <c r="I3848" t="s">
        <v>5191</v>
      </c>
      <c r="J3848">
        <v>2.2999999999999998</v>
      </c>
      <c r="K3848" t="s">
        <v>4744</v>
      </c>
      <c r="L3848">
        <v>12.07</v>
      </c>
      <c r="M3848">
        <v>5.2478259999999999</v>
      </c>
      <c r="N3848" t="s">
        <v>5272</v>
      </c>
      <c r="O3848" t="s">
        <v>460</v>
      </c>
    </row>
    <row r="3849" spans="1:15" x14ac:dyDescent="0.3">
      <c r="A3849">
        <v>212790</v>
      </c>
      <c r="B3849">
        <v>105</v>
      </c>
      <c r="C3849" t="s">
        <v>557</v>
      </c>
      <c r="D3849" t="s">
        <v>3328</v>
      </c>
      <c r="E3849" t="s">
        <v>3435</v>
      </c>
      <c r="F3849" s="451">
        <v>46078</v>
      </c>
      <c r="G3849">
        <v>19654</v>
      </c>
      <c r="H3849" t="s">
        <v>5099</v>
      </c>
      <c r="I3849" t="s">
        <v>5191</v>
      </c>
      <c r="J3849">
        <v>3</v>
      </c>
      <c r="K3849" t="s">
        <v>4744</v>
      </c>
      <c r="L3849">
        <v>20.88</v>
      </c>
      <c r="M3849">
        <v>6.96</v>
      </c>
      <c r="N3849" t="s">
        <v>5272</v>
      </c>
      <c r="O3849" t="s">
        <v>460</v>
      </c>
    </row>
    <row r="3850" spans="1:15" x14ac:dyDescent="0.3">
      <c r="A3850">
        <v>212790</v>
      </c>
      <c r="B3850">
        <v>105</v>
      </c>
      <c r="C3850" t="s">
        <v>557</v>
      </c>
      <c r="D3850" t="s">
        <v>3328</v>
      </c>
      <c r="E3850" t="s">
        <v>3435</v>
      </c>
      <c r="F3850" s="451">
        <v>46078</v>
      </c>
      <c r="G3850">
        <v>19502</v>
      </c>
      <c r="H3850" t="s">
        <v>4871</v>
      </c>
      <c r="I3850" t="s">
        <v>5191</v>
      </c>
      <c r="J3850">
        <v>3</v>
      </c>
      <c r="K3850" t="s">
        <v>4744</v>
      </c>
      <c r="L3850">
        <v>81.239999999999995</v>
      </c>
      <c r="M3850">
        <v>27.08</v>
      </c>
      <c r="N3850" t="s">
        <v>5272</v>
      </c>
      <c r="O3850" t="s">
        <v>460</v>
      </c>
    </row>
    <row r="3851" spans="1:15" x14ac:dyDescent="0.3">
      <c r="A3851">
        <v>212790</v>
      </c>
      <c r="B3851">
        <v>105</v>
      </c>
      <c r="C3851" t="s">
        <v>557</v>
      </c>
      <c r="D3851" t="s">
        <v>3328</v>
      </c>
      <c r="E3851" t="s">
        <v>3435</v>
      </c>
      <c r="F3851" s="451">
        <v>46078</v>
      </c>
      <c r="G3851">
        <v>19507</v>
      </c>
      <c r="H3851" t="s">
        <v>4853</v>
      </c>
      <c r="I3851" t="s">
        <v>5191</v>
      </c>
      <c r="J3851">
        <v>1.4</v>
      </c>
      <c r="K3851" t="s">
        <v>4744</v>
      </c>
      <c r="L3851">
        <v>29.75</v>
      </c>
      <c r="M3851">
        <v>21.25</v>
      </c>
      <c r="N3851" t="s">
        <v>5272</v>
      </c>
      <c r="O3851" t="s">
        <v>460</v>
      </c>
    </row>
    <row r="3852" spans="1:15" x14ac:dyDescent="0.3">
      <c r="A3852">
        <v>212790</v>
      </c>
      <c r="B3852">
        <v>105</v>
      </c>
      <c r="C3852" t="s">
        <v>557</v>
      </c>
      <c r="D3852" t="s">
        <v>3328</v>
      </c>
      <c r="E3852" t="s">
        <v>3435</v>
      </c>
      <c r="F3852" s="451">
        <v>46078</v>
      </c>
      <c r="G3852">
        <v>19558</v>
      </c>
      <c r="H3852" t="s">
        <v>4994</v>
      </c>
      <c r="I3852" t="s">
        <v>5191</v>
      </c>
      <c r="J3852">
        <v>1.5</v>
      </c>
      <c r="K3852" t="s">
        <v>4744</v>
      </c>
      <c r="L3852">
        <v>46.88</v>
      </c>
      <c r="M3852">
        <v>31.253333000000001</v>
      </c>
      <c r="N3852" t="s">
        <v>5272</v>
      </c>
      <c r="O3852" t="s">
        <v>460</v>
      </c>
    </row>
    <row r="3853" spans="1:15" x14ac:dyDescent="0.3">
      <c r="A3853">
        <v>212790</v>
      </c>
      <c r="B3853">
        <v>105</v>
      </c>
      <c r="C3853" t="s">
        <v>557</v>
      </c>
      <c r="D3853" t="s">
        <v>3328</v>
      </c>
      <c r="E3853" t="s">
        <v>3435</v>
      </c>
      <c r="F3853" s="451">
        <v>46078</v>
      </c>
      <c r="G3853">
        <v>19562</v>
      </c>
      <c r="H3853" t="s">
        <v>4939</v>
      </c>
      <c r="I3853" t="s">
        <v>5191</v>
      </c>
      <c r="J3853">
        <v>1</v>
      </c>
      <c r="K3853" t="s">
        <v>4744</v>
      </c>
      <c r="L3853">
        <v>12.5</v>
      </c>
      <c r="M3853">
        <v>12.5</v>
      </c>
      <c r="N3853" t="s">
        <v>5272</v>
      </c>
      <c r="O3853" t="s">
        <v>460</v>
      </c>
    </row>
    <row r="3854" spans="1:15" x14ac:dyDescent="0.3">
      <c r="A3854">
        <v>212790</v>
      </c>
      <c r="B3854">
        <v>105</v>
      </c>
      <c r="C3854" t="s">
        <v>557</v>
      </c>
      <c r="D3854" t="s">
        <v>3328</v>
      </c>
      <c r="E3854" t="s">
        <v>3435</v>
      </c>
      <c r="F3854" s="451">
        <v>46078</v>
      </c>
      <c r="G3854">
        <v>19622</v>
      </c>
      <c r="H3854" t="s">
        <v>4915</v>
      </c>
      <c r="I3854" t="s">
        <v>5191</v>
      </c>
      <c r="J3854">
        <v>1</v>
      </c>
      <c r="K3854" t="s">
        <v>4744</v>
      </c>
      <c r="L3854">
        <v>11.25</v>
      </c>
      <c r="M3854">
        <v>11.25</v>
      </c>
      <c r="N3854" t="s">
        <v>5272</v>
      </c>
      <c r="O3854" t="s">
        <v>460</v>
      </c>
    </row>
    <row r="3855" spans="1:15" x14ac:dyDescent="0.3">
      <c r="A3855">
        <v>212790</v>
      </c>
      <c r="B3855">
        <v>105</v>
      </c>
      <c r="C3855" t="s">
        <v>557</v>
      </c>
      <c r="D3855" t="s">
        <v>3328</v>
      </c>
      <c r="E3855" t="s">
        <v>3435</v>
      </c>
      <c r="F3855" s="451">
        <v>46078</v>
      </c>
      <c r="G3855">
        <v>19742</v>
      </c>
      <c r="H3855" t="s">
        <v>4900</v>
      </c>
      <c r="I3855" t="s">
        <v>5191</v>
      </c>
      <c r="J3855">
        <v>1.3</v>
      </c>
      <c r="K3855" t="s">
        <v>4744</v>
      </c>
      <c r="L3855">
        <v>19.5</v>
      </c>
      <c r="M3855">
        <v>15</v>
      </c>
      <c r="N3855" t="s">
        <v>5272</v>
      </c>
      <c r="O3855" t="s">
        <v>460</v>
      </c>
    </row>
    <row r="3856" spans="1:15" x14ac:dyDescent="0.3">
      <c r="A3856">
        <v>212790</v>
      </c>
      <c r="B3856">
        <v>105</v>
      </c>
      <c r="C3856" t="s">
        <v>557</v>
      </c>
      <c r="D3856" t="s">
        <v>3328</v>
      </c>
      <c r="E3856" t="s">
        <v>3435</v>
      </c>
      <c r="F3856" s="451">
        <v>46078</v>
      </c>
      <c r="G3856">
        <v>19642</v>
      </c>
      <c r="H3856" t="s">
        <v>4996</v>
      </c>
      <c r="I3856" t="s">
        <v>5191</v>
      </c>
      <c r="J3856">
        <v>1</v>
      </c>
      <c r="K3856" t="s">
        <v>4744</v>
      </c>
      <c r="L3856">
        <v>6.25</v>
      </c>
      <c r="M3856">
        <v>6.25</v>
      </c>
      <c r="N3856" t="s">
        <v>5272</v>
      </c>
      <c r="O3856" t="s">
        <v>460</v>
      </c>
    </row>
    <row r="3857" spans="1:15" x14ac:dyDescent="0.3">
      <c r="A3857">
        <v>212790</v>
      </c>
      <c r="B3857">
        <v>105</v>
      </c>
      <c r="C3857" t="s">
        <v>557</v>
      </c>
      <c r="D3857" t="s">
        <v>3328</v>
      </c>
      <c r="E3857" t="s">
        <v>3435</v>
      </c>
      <c r="F3857" s="451">
        <v>46078</v>
      </c>
      <c r="G3857">
        <v>19635</v>
      </c>
      <c r="H3857" t="s">
        <v>4786</v>
      </c>
      <c r="I3857" t="s">
        <v>5191</v>
      </c>
      <c r="J3857">
        <v>5</v>
      </c>
      <c r="K3857" t="s">
        <v>4744</v>
      </c>
      <c r="L3857">
        <v>28.15</v>
      </c>
      <c r="M3857">
        <v>5.63</v>
      </c>
      <c r="N3857" t="s">
        <v>5272</v>
      </c>
      <c r="O3857" t="s">
        <v>460</v>
      </c>
    </row>
    <row r="3858" spans="1:15" x14ac:dyDescent="0.3">
      <c r="A3858">
        <v>212790</v>
      </c>
      <c r="B3858">
        <v>105</v>
      </c>
      <c r="C3858" t="s">
        <v>557</v>
      </c>
      <c r="D3858" t="s">
        <v>3328</v>
      </c>
      <c r="E3858" t="s">
        <v>3435</v>
      </c>
      <c r="F3858" s="451">
        <v>46078</v>
      </c>
      <c r="G3858">
        <v>19707</v>
      </c>
      <c r="H3858" t="s">
        <v>5266</v>
      </c>
      <c r="I3858" t="s">
        <v>5191</v>
      </c>
      <c r="J3858">
        <v>0.5</v>
      </c>
      <c r="K3858" t="s">
        <v>4744</v>
      </c>
      <c r="L3858">
        <v>9.3800000000000008</v>
      </c>
      <c r="M3858">
        <v>18.760000000000002</v>
      </c>
      <c r="N3858" t="s">
        <v>5272</v>
      </c>
      <c r="O3858" t="s">
        <v>460</v>
      </c>
    </row>
    <row r="3859" spans="1:15" x14ac:dyDescent="0.3">
      <c r="A3859">
        <v>212790</v>
      </c>
      <c r="B3859">
        <v>105</v>
      </c>
      <c r="C3859" t="s">
        <v>557</v>
      </c>
      <c r="D3859" t="s">
        <v>3328</v>
      </c>
      <c r="E3859" t="s">
        <v>3435</v>
      </c>
      <c r="F3859" s="451">
        <v>46078</v>
      </c>
      <c r="G3859">
        <v>23198</v>
      </c>
      <c r="H3859" t="s">
        <v>4962</v>
      </c>
      <c r="I3859" t="s">
        <v>5191</v>
      </c>
      <c r="J3859">
        <v>1.1000000000000001</v>
      </c>
      <c r="K3859" t="s">
        <v>4744</v>
      </c>
      <c r="L3859">
        <v>13.75</v>
      </c>
      <c r="M3859">
        <v>12.5</v>
      </c>
      <c r="N3859" t="s">
        <v>5272</v>
      </c>
      <c r="O3859" t="s">
        <v>460</v>
      </c>
    </row>
    <row r="3860" spans="1:15" x14ac:dyDescent="0.3">
      <c r="A3860">
        <v>212790</v>
      </c>
      <c r="B3860">
        <v>105</v>
      </c>
      <c r="C3860" t="s">
        <v>557</v>
      </c>
      <c r="D3860" t="s">
        <v>3328</v>
      </c>
      <c r="E3860" t="s">
        <v>3435</v>
      </c>
      <c r="F3860" s="451">
        <v>46078</v>
      </c>
      <c r="G3860">
        <v>19790</v>
      </c>
      <c r="H3860" t="s">
        <v>5073</v>
      </c>
      <c r="I3860" t="s">
        <v>5191</v>
      </c>
      <c r="J3860">
        <v>1</v>
      </c>
      <c r="K3860" t="s">
        <v>4744</v>
      </c>
      <c r="L3860">
        <v>43.75</v>
      </c>
      <c r="M3860">
        <v>43.75</v>
      </c>
      <c r="N3860" t="s">
        <v>5272</v>
      </c>
      <c r="O3860" t="s">
        <v>460</v>
      </c>
    </row>
    <row r="3861" spans="1:15" x14ac:dyDescent="0.3">
      <c r="A3861">
        <v>212788</v>
      </c>
      <c r="B3861">
        <v>105</v>
      </c>
      <c r="C3861" t="s">
        <v>557</v>
      </c>
      <c r="D3861" t="s">
        <v>2605</v>
      </c>
      <c r="E3861" t="s">
        <v>3436</v>
      </c>
      <c r="F3861" s="451">
        <v>46066</v>
      </c>
      <c r="G3861">
        <v>20689</v>
      </c>
      <c r="H3861" t="s">
        <v>5007</v>
      </c>
      <c r="I3861" t="s">
        <v>5191</v>
      </c>
      <c r="J3861">
        <v>3</v>
      </c>
      <c r="K3861" t="s">
        <v>4736</v>
      </c>
      <c r="L3861">
        <v>104.7</v>
      </c>
      <c r="M3861">
        <v>34.9</v>
      </c>
      <c r="N3861" t="s">
        <v>5272</v>
      </c>
      <c r="O3861" t="s">
        <v>460</v>
      </c>
    </row>
    <row r="3862" spans="1:15" x14ac:dyDescent="0.3">
      <c r="A3862">
        <v>212788</v>
      </c>
      <c r="B3862">
        <v>105</v>
      </c>
      <c r="C3862" t="s">
        <v>557</v>
      </c>
      <c r="D3862" t="s">
        <v>2605</v>
      </c>
      <c r="E3862" t="s">
        <v>3436</v>
      </c>
      <c r="F3862" s="451">
        <v>46066</v>
      </c>
      <c r="G3862">
        <v>19969</v>
      </c>
      <c r="H3862" t="s">
        <v>5018</v>
      </c>
      <c r="I3862" t="s">
        <v>5191</v>
      </c>
      <c r="J3862">
        <v>1</v>
      </c>
      <c r="K3862" t="s">
        <v>4888</v>
      </c>
      <c r="L3862">
        <v>10.1</v>
      </c>
      <c r="M3862">
        <v>10.1</v>
      </c>
      <c r="N3862" t="s">
        <v>5272</v>
      </c>
      <c r="O3862" t="s">
        <v>460</v>
      </c>
    </row>
    <row r="3863" spans="1:15" x14ac:dyDescent="0.3">
      <c r="A3863">
        <v>212788</v>
      </c>
      <c r="B3863">
        <v>105</v>
      </c>
      <c r="C3863" t="s">
        <v>557</v>
      </c>
      <c r="D3863" t="s">
        <v>2605</v>
      </c>
      <c r="E3863" t="s">
        <v>3436</v>
      </c>
      <c r="F3863" s="451">
        <v>46066</v>
      </c>
      <c r="G3863">
        <v>24322</v>
      </c>
      <c r="H3863" t="s">
        <v>5064</v>
      </c>
      <c r="I3863" t="s">
        <v>5191</v>
      </c>
      <c r="J3863">
        <v>2</v>
      </c>
      <c r="K3863" t="s">
        <v>5238</v>
      </c>
      <c r="L3863">
        <v>44</v>
      </c>
      <c r="M3863">
        <v>22</v>
      </c>
      <c r="N3863" t="s">
        <v>5272</v>
      </c>
      <c r="O3863" t="s">
        <v>460</v>
      </c>
    </row>
    <row r="3864" spans="1:15" x14ac:dyDescent="0.3">
      <c r="A3864">
        <v>212788</v>
      </c>
      <c r="B3864">
        <v>105</v>
      </c>
      <c r="C3864" t="s">
        <v>557</v>
      </c>
      <c r="D3864" t="s">
        <v>2605</v>
      </c>
      <c r="E3864" t="s">
        <v>3436</v>
      </c>
      <c r="F3864" s="451">
        <v>46066</v>
      </c>
      <c r="G3864">
        <v>20007</v>
      </c>
      <c r="H3864" t="s">
        <v>5101</v>
      </c>
      <c r="I3864" t="s">
        <v>5191</v>
      </c>
      <c r="J3864">
        <v>2</v>
      </c>
      <c r="K3864" t="s">
        <v>4884</v>
      </c>
      <c r="L3864">
        <v>101.8</v>
      </c>
      <c r="M3864">
        <v>50.9</v>
      </c>
      <c r="N3864" t="s">
        <v>5272</v>
      </c>
      <c r="O3864" t="s">
        <v>460</v>
      </c>
    </row>
    <row r="3865" spans="1:15" x14ac:dyDescent="0.3">
      <c r="A3865">
        <v>212788</v>
      </c>
      <c r="B3865">
        <v>105</v>
      </c>
      <c r="C3865" t="s">
        <v>557</v>
      </c>
      <c r="D3865" t="s">
        <v>2605</v>
      </c>
      <c r="E3865" t="s">
        <v>3436</v>
      </c>
      <c r="F3865" s="451">
        <v>46066</v>
      </c>
      <c r="G3865">
        <v>20657</v>
      </c>
      <c r="H3865" t="s">
        <v>5109</v>
      </c>
      <c r="I3865" t="s">
        <v>5191</v>
      </c>
      <c r="J3865">
        <v>12</v>
      </c>
      <c r="K3865" t="s">
        <v>5206</v>
      </c>
      <c r="L3865">
        <v>76.319999999999993</v>
      </c>
      <c r="M3865">
        <v>6.36</v>
      </c>
      <c r="N3865" t="s">
        <v>5272</v>
      </c>
      <c r="O3865" t="s">
        <v>460</v>
      </c>
    </row>
    <row r="3866" spans="1:15" x14ac:dyDescent="0.3">
      <c r="A3866">
        <v>212788</v>
      </c>
      <c r="B3866">
        <v>105</v>
      </c>
      <c r="C3866" t="s">
        <v>557</v>
      </c>
      <c r="D3866" t="s">
        <v>2605</v>
      </c>
      <c r="E3866" t="s">
        <v>3436</v>
      </c>
      <c r="F3866" s="451">
        <v>46066</v>
      </c>
      <c r="G3866">
        <v>19439</v>
      </c>
      <c r="H3866" t="s">
        <v>4917</v>
      </c>
      <c r="I3866" t="s">
        <v>5191</v>
      </c>
      <c r="J3866">
        <v>3</v>
      </c>
      <c r="K3866" t="s">
        <v>4738</v>
      </c>
      <c r="L3866">
        <v>100.14</v>
      </c>
      <c r="M3866">
        <v>33.380000000000003</v>
      </c>
      <c r="N3866" t="s">
        <v>5272</v>
      </c>
      <c r="O3866" t="s">
        <v>460</v>
      </c>
    </row>
    <row r="3867" spans="1:15" x14ac:dyDescent="0.3">
      <c r="A3867">
        <v>212788</v>
      </c>
      <c r="B3867">
        <v>105</v>
      </c>
      <c r="C3867" t="s">
        <v>557</v>
      </c>
      <c r="D3867" t="s">
        <v>2605</v>
      </c>
      <c r="E3867" t="s">
        <v>3436</v>
      </c>
      <c r="F3867" s="451">
        <v>46066</v>
      </c>
      <c r="G3867">
        <v>19224</v>
      </c>
      <c r="H3867" t="s">
        <v>5100</v>
      </c>
      <c r="I3867" t="s">
        <v>5191</v>
      </c>
      <c r="J3867">
        <v>1</v>
      </c>
      <c r="K3867" t="s">
        <v>4736</v>
      </c>
      <c r="L3867">
        <v>229.9</v>
      </c>
      <c r="M3867">
        <v>229.9</v>
      </c>
      <c r="N3867" t="s">
        <v>5272</v>
      </c>
      <c r="O3867" t="s">
        <v>460</v>
      </c>
    </row>
    <row r="3868" spans="1:15" x14ac:dyDescent="0.3">
      <c r="A3868">
        <v>212788</v>
      </c>
      <c r="B3868">
        <v>105</v>
      </c>
      <c r="C3868" t="s">
        <v>557</v>
      </c>
      <c r="D3868" t="s">
        <v>2605</v>
      </c>
      <c r="E3868" t="s">
        <v>3436</v>
      </c>
      <c r="F3868" s="451">
        <v>46066</v>
      </c>
      <c r="G3868">
        <v>21047</v>
      </c>
      <c r="H3868" t="s">
        <v>4847</v>
      </c>
      <c r="I3868" t="s">
        <v>5191</v>
      </c>
      <c r="J3868">
        <v>1</v>
      </c>
      <c r="K3868" t="s">
        <v>4848</v>
      </c>
      <c r="L3868">
        <v>122.9</v>
      </c>
      <c r="M3868">
        <v>122.9</v>
      </c>
      <c r="N3868" t="s">
        <v>5272</v>
      </c>
      <c r="O3868" t="s">
        <v>460</v>
      </c>
    </row>
    <row r="3869" spans="1:15" x14ac:dyDescent="0.3">
      <c r="A3869">
        <v>212788</v>
      </c>
      <c r="B3869">
        <v>105</v>
      </c>
      <c r="C3869" t="s">
        <v>557</v>
      </c>
      <c r="D3869" t="s">
        <v>2605</v>
      </c>
      <c r="E3869" t="s">
        <v>3436</v>
      </c>
      <c r="F3869" s="451">
        <v>46066</v>
      </c>
      <c r="G3869">
        <v>23819</v>
      </c>
      <c r="H3869" t="s">
        <v>4947</v>
      </c>
      <c r="I3869" t="s">
        <v>5191</v>
      </c>
      <c r="J3869">
        <v>2</v>
      </c>
      <c r="K3869" t="s">
        <v>4736</v>
      </c>
      <c r="L3869">
        <v>18.32</v>
      </c>
      <c r="M3869">
        <v>9.16</v>
      </c>
      <c r="N3869" t="s">
        <v>5272</v>
      </c>
      <c r="O3869" t="s">
        <v>460</v>
      </c>
    </row>
    <row r="3870" spans="1:15" x14ac:dyDescent="0.3">
      <c r="A3870">
        <v>212788</v>
      </c>
      <c r="B3870">
        <v>105</v>
      </c>
      <c r="C3870" t="s">
        <v>557</v>
      </c>
      <c r="D3870" t="s">
        <v>2605</v>
      </c>
      <c r="E3870" t="s">
        <v>3436</v>
      </c>
      <c r="F3870" s="451">
        <v>46066</v>
      </c>
      <c r="G3870">
        <v>27397</v>
      </c>
      <c r="H3870" t="s">
        <v>4913</v>
      </c>
      <c r="I3870" t="s">
        <v>5191</v>
      </c>
      <c r="J3870">
        <v>3</v>
      </c>
      <c r="K3870" t="s">
        <v>4736</v>
      </c>
      <c r="L3870">
        <v>183.3</v>
      </c>
      <c r="M3870">
        <v>61.1</v>
      </c>
      <c r="N3870" t="s">
        <v>5272</v>
      </c>
      <c r="O3870" t="s">
        <v>460</v>
      </c>
    </row>
    <row r="3871" spans="1:15" x14ac:dyDescent="0.3">
      <c r="A3871">
        <v>212786</v>
      </c>
      <c r="B3871">
        <v>105</v>
      </c>
      <c r="C3871" t="s">
        <v>557</v>
      </c>
      <c r="D3871" t="s">
        <v>2569</v>
      </c>
      <c r="E3871" t="s">
        <v>3437</v>
      </c>
      <c r="F3871" s="451">
        <v>46077</v>
      </c>
      <c r="G3871">
        <v>17958</v>
      </c>
      <c r="H3871" t="s">
        <v>5076</v>
      </c>
      <c r="I3871" t="s">
        <v>5222</v>
      </c>
      <c r="J3871">
        <v>10</v>
      </c>
      <c r="K3871" t="s">
        <v>4738</v>
      </c>
      <c r="L3871">
        <v>177</v>
      </c>
      <c r="M3871">
        <v>17.7</v>
      </c>
      <c r="N3871" t="s">
        <v>5271</v>
      </c>
      <c r="O3871" t="s">
        <v>460</v>
      </c>
    </row>
    <row r="3872" spans="1:15" x14ac:dyDescent="0.3">
      <c r="A3872">
        <v>212786</v>
      </c>
      <c r="B3872">
        <v>105</v>
      </c>
      <c r="C3872" t="s">
        <v>557</v>
      </c>
      <c r="D3872" t="s">
        <v>2569</v>
      </c>
      <c r="E3872" t="s">
        <v>3437</v>
      </c>
      <c r="F3872" s="451">
        <v>46077</v>
      </c>
      <c r="G3872">
        <v>17950</v>
      </c>
      <c r="H3872" t="s">
        <v>5091</v>
      </c>
      <c r="I3872" t="s">
        <v>5222</v>
      </c>
      <c r="J3872">
        <v>15</v>
      </c>
      <c r="K3872" t="s">
        <v>4738</v>
      </c>
      <c r="L3872">
        <v>280.5</v>
      </c>
      <c r="M3872">
        <v>18.7</v>
      </c>
      <c r="N3872" t="s">
        <v>5271</v>
      </c>
      <c r="O3872" t="s">
        <v>460</v>
      </c>
    </row>
    <row r="3873" spans="1:15" x14ac:dyDescent="0.3">
      <c r="A3873">
        <v>212785</v>
      </c>
      <c r="B3873">
        <v>105</v>
      </c>
      <c r="C3873" t="s">
        <v>557</v>
      </c>
      <c r="D3873" t="s">
        <v>2605</v>
      </c>
      <c r="E3873" t="s">
        <v>3438</v>
      </c>
      <c r="F3873" s="451">
        <v>46076</v>
      </c>
      <c r="G3873">
        <v>20242</v>
      </c>
      <c r="H3873" t="s">
        <v>4824</v>
      </c>
      <c r="I3873" t="s">
        <v>5191</v>
      </c>
      <c r="J3873">
        <v>5</v>
      </c>
      <c r="K3873" t="s">
        <v>4738</v>
      </c>
      <c r="L3873">
        <v>72.8</v>
      </c>
      <c r="M3873">
        <v>14.56</v>
      </c>
      <c r="N3873" t="s">
        <v>5272</v>
      </c>
      <c r="O3873" t="s">
        <v>460</v>
      </c>
    </row>
    <row r="3874" spans="1:15" x14ac:dyDescent="0.3">
      <c r="A3874">
        <v>212785</v>
      </c>
      <c r="B3874">
        <v>105</v>
      </c>
      <c r="C3874" t="s">
        <v>557</v>
      </c>
      <c r="D3874" t="s">
        <v>2605</v>
      </c>
      <c r="E3874" t="s">
        <v>3438</v>
      </c>
      <c r="F3874" s="451">
        <v>46076</v>
      </c>
      <c r="G3874">
        <v>25358</v>
      </c>
      <c r="H3874" t="s">
        <v>4980</v>
      </c>
      <c r="I3874" t="s">
        <v>5191</v>
      </c>
      <c r="J3874">
        <v>1</v>
      </c>
      <c r="K3874" t="s">
        <v>5238</v>
      </c>
      <c r="L3874">
        <v>78</v>
      </c>
      <c r="M3874">
        <v>78</v>
      </c>
      <c r="N3874" t="s">
        <v>5272</v>
      </c>
      <c r="O3874" t="s">
        <v>460</v>
      </c>
    </row>
    <row r="3875" spans="1:15" x14ac:dyDescent="0.3">
      <c r="A3875">
        <v>212785</v>
      </c>
      <c r="B3875">
        <v>105</v>
      </c>
      <c r="C3875" t="s">
        <v>557</v>
      </c>
      <c r="D3875" t="s">
        <v>2605</v>
      </c>
      <c r="E3875" t="s">
        <v>3438</v>
      </c>
      <c r="F3875" s="451">
        <v>46076</v>
      </c>
      <c r="G3875">
        <v>19710</v>
      </c>
      <c r="H3875" t="s">
        <v>4963</v>
      </c>
      <c r="I3875" t="s">
        <v>5191</v>
      </c>
      <c r="J3875">
        <v>1</v>
      </c>
      <c r="K3875" t="s">
        <v>5228</v>
      </c>
      <c r="L3875">
        <v>21.5</v>
      </c>
      <c r="M3875">
        <v>21.5</v>
      </c>
      <c r="N3875" t="s">
        <v>5272</v>
      </c>
      <c r="O3875" t="s">
        <v>460</v>
      </c>
    </row>
    <row r="3876" spans="1:15" x14ac:dyDescent="0.3">
      <c r="A3876">
        <v>212785</v>
      </c>
      <c r="B3876">
        <v>105</v>
      </c>
      <c r="C3876" t="s">
        <v>557</v>
      </c>
      <c r="D3876" t="s">
        <v>2605</v>
      </c>
      <c r="E3876" t="s">
        <v>3438</v>
      </c>
      <c r="F3876" s="451">
        <v>46076</v>
      </c>
      <c r="G3876">
        <v>19241</v>
      </c>
      <c r="H3876" t="s">
        <v>4890</v>
      </c>
      <c r="I3876" t="s">
        <v>5191</v>
      </c>
      <c r="J3876">
        <v>3</v>
      </c>
      <c r="K3876" t="s">
        <v>5206</v>
      </c>
      <c r="L3876">
        <v>10.8</v>
      </c>
      <c r="M3876">
        <v>3.6</v>
      </c>
      <c r="N3876" t="s">
        <v>5272</v>
      </c>
      <c r="O3876" t="s">
        <v>460</v>
      </c>
    </row>
    <row r="3877" spans="1:15" x14ac:dyDescent="0.3">
      <c r="A3877">
        <v>212785</v>
      </c>
      <c r="B3877">
        <v>105</v>
      </c>
      <c r="C3877" t="s">
        <v>557</v>
      </c>
      <c r="D3877" t="s">
        <v>2605</v>
      </c>
      <c r="E3877" t="s">
        <v>3438</v>
      </c>
      <c r="F3877" s="451">
        <v>46076</v>
      </c>
      <c r="G3877">
        <v>20007</v>
      </c>
      <c r="H3877" t="s">
        <v>5101</v>
      </c>
      <c r="I3877" t="s">
        <v>5191</v>
      </c>
      <c r="J3877">
        <v>2</v>
      </c>
      <c r="K3877" t="s">
        <v>4884</v>
      </c>
      <c r="L3877">
        <v>101.8</v>
      </c>
      <c r="M3877">
        <v>50.9</v>
      </c>
      <c r="N3877" t="s">
        <v>5272</v>
      </c>
      <c r="O3877" t="s">
        <v>460</v>
      </c>
    </row>
    <row r="3878" spans="1:15" x14ac:dyDescent="0.3">
      <c r="A3878">
        <v>212785</v>
      </c>
      <c r="B3878">
        <v>105</v>
      </c>
      <c r="C3878" t="s">
        <v>557</v>
      </c>
      <c r="D3878" t="s">
        <v>2605</v>
      </c>
      <c r="E3878" t="s">
        <v>3438</v>
      </c>
      <c r="F3878" s="451">
        <v>46076</v>
      </c>
      <c r="G3878">
        <v>19415</v>
      </c>
      <c r="H3878" t="s">
        <v>4919</v>
      </c>
      <c r="I3878" t="s">
        <v>5191</v>
      </c>
      <c r="J3878">
        <v>2</v>
      </c>
      <c r="K3878" t="s">
        <v>4736</v>
      </c>
      <c r="L3878">
        <v>17.600000000000001</v>
      </c>
      <c r="M3878">
        <v>8.8000000000000007</v>
      </c>
      <c r="N3878" t="s">
        <v>5272</v>
      </c>
      <c r="O3878" t="s">
        <v>460</v>
      </c>
    </row>
    <row r="3879" spans="1:15" x14ac:dyDescent="0.3">
      <c r="A3879">
        <v>212785</v>
      </c>
      <c r="B3879">
        <v>105</v>
      </c>
      <c r="C3879" t="s">
        <v>557</v>
      </c>
      <c r="D3879" t="s">
        <v>2605</v>
      </c>
      <c r="E3879" t="s">
        <v>3438</v>
      </c>
      <c r="F3879" s="451">
        <v>46076</v>
      </c>
      <c r="G3879">
        <v>20122</v>
      </c>
      <c r="H3879" t="s">
        <v>4781</v>
      </c>
      <c r="I3879" t="s">
        <v>5191</v>
      </c>
      <c r="J3879">
        <v>3</v>
      </c>
      <c r="K3879" t="s">
        <v>4738</v>
      </c>
      <c r="L3879">
        <v>42.9</v>
      </c>
      <c r="M3879">
        <v>14.3</v>
      </c>
      <c r="N3879" t="s">
        <v>5272</v>
      </c>
      <c r="O3879" t="s">
        <v>460</v>
      </c>
    </row>
    <row r="3880" spans="1:15" x14ac:dyDescent="0.3">
      <c r="A3880">
        <v>212785</v>
      </c>
      <c r="B3880">
        <v>105</v>
      </c>
      <c r="C3880" t="s">
        <v>557</v>
      </c>
      <c r="D3880" t="s">
        <v>2605</v>
      </c>
      <c r="E3880" t="s">
        <v>3438</v>
      </c>
      <c r="F3880" s="451">
        <v>46076</v>
      </c>
      <c r="G3880">
        <v>19439</v>
      </c>
      <c r="H3880" t="s">
        <v>4917</v>
      </c>
      <c r="I3880" t="s">
        <v>5191</v>
      </c>
      <c r="J3880">
        <v>3</v>
      </c>
      <c r="K3880" t="s">
        <v>4738</v>
      </c>
      <c r="L3880">
        <v>100.14</v>
      </c>
      <c r="M3880">
        <v>33.380000000000003</v>
      </c>
      <c r="N3880" t="s">
        <v>5272</v>
      </c>
      <c r="O3880" t="s">
        <v>460</v>
      </c>
    </row>
    <row r="3881" spans="1:15" x14ac:dyDescent="0.3">
      <c r="A3881">
        <v>212785</v>
      </c>
      <c r="B3881">
        <v>105</v>
      </c>
      <c r="C3881" t="s">
        <v>557</v>
      </c>
      <c r="D3881" t="s">
        <v>2605</v>
      </c>
      <c r="E3881" t="s">
        <v>3438</v>
      </c>
      <c r="F3881" s="451">
        <v>46076</v>
      </c>
      <c r="G3881">
        <v>19224</v>
      </c>
      <c r="H3881" t="s">
        <v>5100</v>
      </c>
      <c r="I3881" t="s">
        <v>5191</v>
      </c>
      <c r="J3881">
        <v>1</v>
      </c>
      <c r="K3881" t="s">
        <v>4736</v>
      </c>
      <c r="L3881">
        <v>231.9</v>
      </c>
      <c r="M3881">
        <v>231.9</v>
      </c>
      <c r="N3881" t="s">
        <v>5272</v>
      </c>
      <c r="O3881" t="s">
        <v>460</v>
      </c>
    </row>
    <row r="3882" spans="1:15" x14ac:dyDescent="0.3">
      <c r="A3882">
        <v>212785</v>
      </c>
      <c r="B3882">
        <v>105</v>
      </c>
      <c r="C3882" t="s">
        <v>557</v>
      </c>
      <c r="D3882" t="s">
        <v>2605</v>
      </c>
      <c r="E3882" t="s">
        <v>3438</v>
      </c>
      <c r="F3882" s="451">
        <v>46076</v>
      </c>
      <c r="G3882">
        <v>23808</v>
      </c>
      <c r="H3882" t="s">
        <v>4982</v>
      </c>
      <c r="I3882" t="s">
        <v>5191</v>
      </c>
      <c r="J3882">
        <v>1</v>
      </c>
      <c r="K3882" t="s">
        <v>4744</v>
      </c>
      <c r="L3882">
        <v>67.099999999999994</v>
      </c>
      <c r="M3882">
        <v>67.099999999999994</v>
      </c>
      <c r="N3882" t="s">
        <v>5272</v>
      </c>
      <c r="O3882" t="s">
        <v>460</v>
      </c>
    </row>
    <row r="3883" spans="1:15" x14ac:dyDescent="0.3">
      <c r="A3883">
        <v>212785</v>
      </c>
      <c r="B3883">
        <v>105</v>
      </c>
      <c r="C3883" t="s">
        <v>557</v>
      </c>
      <c r="D3883" t="s">
        <v>2605</v>
      </c>
      <c r="E3883" t="s">
        <v>3438</v>
      </c>
      <c r="F3883" s="451">
        <v>46076</v>
      </c>
      <c r="G3883">
        <v>20624</v>
      </c>
      <c r="H3883" t="s">
        <v>5019</v>
      </c>
      <c r="I3883" t="s">
        <v>5191</v>
      </c>
      <c r="J3883">
        <v>1</v>
      </c>
      <c r="K3883" t="s">
        <v>4736</v>
      </c>
      <c r="L3883">
        <v>69.900000000000006</v>
      </c>
      <c r="M3883">
        <v>69.900000000000006</v>
      </c>
      <c r="N3883" t="s">
        <v>5272</v>
      </c>
      <c r="O3883" t="s">
        <v>460</v>
      </c>
    </row>
    <row r="3884" spans="1:15" x14ac:dyDescent="0.3">
      <c r="A3884">
        <v>212782</v>
      </c>
      <c r="B3884">
        <v>105</v>
      </c>
      <c r="C3884" t="s">
        <v>557</v>
      </c>
      <c r="D3884" t="s">
        <v>2690</v>
      </c>
      <c r="E3884" t="s">
        <v>3439</v>
      </c>
      <c r="F3884" s="451">
        <v>46079</v>
      </c>
      <c r="G3884">
        <v>17878</v>
      </c>
      <c r="H3884" t="s">
        <v>4926</v>
      </c>
      <c r="I3884" t="s">
        <v>5222</v>
      </c>
      <c r="J3884">
        <v>2</v>
      </c>
      <c r="K3884" t="s">
        <v>4736</v>
      </c>
      <c r="L3884">
        <v>49.88</v>
      </c>
      <c r="M3884">
        <v>24.94</v>
      </c>
      <c r="N3884" t="s">
        <v>5271</v>
      </c>
      <c r="O3884" t="s">
        <v>460</v>
      </c>
    </row>
    <row r="3885" spans="1:15" x14ac:dyDescent="0.3">
      <c r="A3885">
        <v>212782</v>
      </c>
      <c r="B3885">
        <v>105</v>
      </c>
      <c r="C3885" t="s">
        <v>557</v>
      </c>
      <c r="D3885" t="s">
        <v>2690</v>
      </c>
      <c r="E3885" t="s">
        <v>3439</v>
      </c>
      <c r="F3885" s="451">
        <v>46079</v>
      </c>
      <c r="G3885">
        <v>18545</v>
      </c>
      <c r="H3885" t="s">
        <v>4864</v>
      </c>
      <c r="I3885" t="s">
        <v>5222</v>
      </c>
      <c r="J3885">
        <v>1</v>
      </c>
      <c r="K3885" t="s">
        <v>4805</v>
      </c>
      <c r="L3885">
        <v>47.9</v>
      </c>
      <c r="M3885">
        <v>47.9</v>
      </c>
      <c r="N3885" t="s">
        <v>5271</v>
      </c>
      <c r="O3885" t="s">
        <v>460</v>
      </c>
    </row>
    <row r="3886" spans="1:15" x14ac:dyDescent="0.3">
      <c r="A3886">
        <v>212782</v>
      </c>
      <c r="B3886">
        <v>105</v>
      </c>
      <c r="C3886" t="s">
        <v>557</v>
      </c>
      <c r="D3886" t="s">
        <v>2690</v>
      </c>
      <c r="E3886" t="s">
        <v>3439</v>
      </c>
      <c r="F3886" s="451">
        <v>46079</v>
      </c>
      <c r="G3886">
        <v>18518</v>
      </c>
      <c r="H3886" t="s">
        <v>4838</v>
      </c>
      <c r="I3886" t="s">
        <v>5222</v>
      </c>
      <c r="J3886">
        <v>3</v>
      </c>
      <c r="K3886" t="s">
        <v>4805</v>
      </c>
      <c r="L3886">
        <v>139.53</v>
      </c>
      <c r="M3886">
        <v>46.51</v>
      </c>
      <c r="N3886" t="s">
        <v>5271</v>
      </c>
      <c r="O3886" t="s">
        <v>460</v>
      </c>
    </row>
    <row r="3887" spans="1:15" x14ac:dyDescent="0.3">
      <c r="A3887">
        <v>212782</v>
      </c>
      <c r="B3887">
        <v>105</v>
      </c>
      <c r="C3887" t="s">
        <v>557</v>
      </c>
      <c r="D3887" t="s">
        <v>2690</v>
      </c>
      <c r="E3887" t="s">
        <v>3439</v>
      </c>
      <c r="F3887" s="451">
        <v>46079</v>
      </c>
      <c r="G3887">
        <v>18085</v>
      </c>
      <c r="H3887" t="s">
        <v>4973</v>
      </c>
      <c r="I3887" t="s">
        <v>5222</v>
      </c>
      <c r="J3887">
        <v>1</v>
      </c>
      <c r="K3887" t="s">
        <v>4805</v>
      </c>
      <c r="L3887">
        <v>47.9</v>
      </c>
      <c r="M3887">
        <v>47.9</v>
      </c>
      <c r="N3887" t="s">
        <v>5271</v>
      </c>
      <c r="O3887" t="s">
        <v>460</v>
      </c>
    </row>
    <row r="3888" spans="1:15" x14ac:dyDescent="0.3">
      <c r="A3888">
        <v>212782</v>
      </c>
      <c r="B3888">
        <v>105</v>
      </c>
      <c r="C3888" t="s">
        <v>557</v>
      </c>
      <c r="D3888" t="s">
        <v>2690</v>
      </c>
      <c r="E3888" t="s">
        <v>3439</v>
      </c>
      <c r="F3888" s="451">
        <v>46079</v>
      </c>
      <c r="G3888">
        <v>18547</v>
      </c>
      <c r="H3888" t="s">
        <v>4863</v>
      </c>
      <c r="I3888" t="s">
        <v>5222</v>
      </c>
      <c r="J3888">
        <v>5</v>
      </c>
      <c r="K3888" t="s">
        <v>4805</v>
      </c>
      <c r="L3888">
        <v>194.5</v>
      </c>
      <c r="M3888">
        <v>38.9</v>
      </c>
      <c r="N3888" t="s">
        <v>5271</v>
      </c>
      <c r="O3888" t="s">
        <v>460</v>
      </c>
    </row>
    <row r="3889" spans="1:15" x14ac:dyDescent="0.3">
      <c r="A3889">
        <v>212782</v>
      </c>
      <c r="B3889">
        <v>105</v>
      </c>
      <c r="C3889" t="s">
        <v>557</v>
      </c>
      <c r="D3889" t="s">
        <v>2690</v>
      </c>
      <c r="E3889" t="s">
        <v>3439</v>
      </c>
      <c r="F3889" s="451">
        <v>46079</v>
      </c>
      <c r="G3889">
        <v>24638</v>
      </c>
      <c r="H3889" t="s">
        <v>4948</v>
      </c>
      <c r="I3889" t="s">
        <v>5191</v>
      </c>
      <c r="J3889">
        <v>1</v>
      </c>
      <c r="K3889" t="s">
        <v>4749</v>
      </c>
      <c r="L3889">
        <v>18.75</v>
      </c>
      <c r="M3889">
        <v>18.75</v>
      </c>
      <c r="N3889" t="s">
        <v>5271</v>
      </c>
      <c r="O3889" t="s">
        <v>460</v>
      </c>
    </row>
    <row r="3890" spans="1:15" x14ac:dyDescent="0.3">
      <c r="A3890">
        <v>212781</v>
      </c>
      <c r="B3890">
        <v>105</v>
      </c>
      <c r="C3890" t="s">
        <v>557</v>
      </c>
      <c r="D3890" t="s">
        <v>1786</v>
      </c>
      <c r="E3890" t="s">
        <v>3440</v>
      </c>
      <c r="F3890" s="451">
        <v>46070</v>
      </c>
      <c r="G3890">
        <v>21021</v>
      </c>
      <c r="H3890" t="s">
        <v>4883</v>
      </c>
      <c r="I3890" t="s">
        <v>5191</v>
      </c>
      <c r="J3890">
        <v>3</v>
      </c>
      <c r="K3890" t="s">
        <v>4736</v>
      </c>
      <c r="L3890">
        <v>527.42999999999995</v>
      </c>
      <c r="M3890">
        <v>175.81</v>
      </c>
      <c r="N3890" t="s">
        <v>5272</v>
      </c>
      <c r="O3890" t="s">
        <v>460</v>
      </c>
    </row>
    <row r="3891" spans="1:15" x14ac:dyDescent="0.3">
      <c r="A3891">
        <v>212780</v>
      </c>
      <c r="B3891">
        <v>105</v>
      </c>
      <c r="C3891" t="s">
        <v>557</v>
      </c>
      <c r="D3891" t="s">
        <v>1786</v>
      </c>
      <c r="E3891" t="s">
        <v>3441</v>
      </c>
      <c r="F3891" s="451">
        <v>46070</v>
      </c>
      <c r="G3891">
        <v>20661</v>
      </c>
      <c r="H3891" t="s">
        <v>5012</v>
      </c>
      <c r="I3891" t="s">
        <v>5191</v>
      </c>
      <c r="J3891">
        <v>3</v>
      </c>
      <c r="K3891" t="s">
        <v>4736</v>
      </c>
      <c r="L3891">
        <v>25.74</v>
      </c>
      <c r="M3891">
        <v>8.58</v>
      </c>
      <c r="N3891" t="s">
        <v>5272</v>
      </c>
      <c r="O3891" t="s">
        <v>460</v>
      </c>
    </row>
    <row r="3892" spans="1:15" x14ac:dyDescent="0.3">
      <c r="A3892">
        <v>212780</v>
      </c>
      <c r="B3892">
        <v>105</v>
      </c>
      <c r="C3892" t="s">
        <v>557</v>
      </c>
      <c r="D3892" t="s">
        <v>1786</v>
      </c>
      <c r="E3892" t="s">
        <v>3441</v>
      </c>
      <c r="F3892" s="451">
        <v>46070</v>
      </c>
      <c r="G3892">
        <v>19306</v>
      </c>
      <c r="H3892" t="s">
        <v>5111</v>
      </c>
      <c r="I3892" t="s">
        <v>5191</v>
      </c>
      <c r="J3892">
        <v>2</v>
      </c>
      <c r="K3892" t="s">
        <v>5228</v>
      </c>
      <c r="L3892">
        <v>35.9</v>
      </c>
      <c r="M3892">
        <v>17.95</v>
      </c>
      <c r="N3892" t="s">
        <v>5272</v>
      </c>
      <c r="O3892" t="s">
        <v>460</v>
      </c>
    </row>
    <row r="3893" spans="1:15" x14ac:dyDescent="0.3">
      <c r="A3893">
        <v>212780</v>
      </c>
      <c r="B3893">
        <v>105</v>
      </c>
      <c r="C3893" t="s">
        <v>557</v>
      </c>
      <c r="D3893" t="s">
        <v>1786</v>
      </c>
      <c r="E3893" t="s">
        <v>3441</v>
      </c>
      <c r="F3893" s="451">
        <v>46070</v>
      </c>
      <c r="G3893">
        <v>19415</v>
      </c>
      <c r="H3893" t="s">
        <v>4919</v>
      </c>
      <c r="I3893" t="s">
        <v>5191</v>
      </c>
      <c r="J3893">
        <v>2</v>
      </c>
      <c r="K3893" t="s">
        <v>4736</v>
      </c>
      <c r="L3893">
        <v>17.559999999999999</v>
      </c>
      <c r="M3893">
        <v>8.7799999999999994</v>
      </c>
      <c r="N3893" t="s">
        <v>5272</v>
      </c>
      <c r="O3893" t="s">
        <v>460</v>
      </c>
    </row>
    <row r="3894" spans="1:15" x14ac:dyDescent="0.3">
      <c r="A3894">
        <v>212780</v>
      </c>
      <c r="B3894">
        <v>105</v>
      </c>
      <c r="C3894" t="s">
        <v>557</v>
      </c>
      <c r="D3894" t="s">
        <v>1786</v>
      </c>
      <c r="E3894" t="s">
        <v>3441</v>
      </c>
      <c r="F3894" s="451">
        <v>46070</v>
      </c>
      <c r="G3894">
        <v>19356</v>
      </c>
      <c r="H3894" t="s">
        <v>4799</v>
      </c>
      <c r="I3894" t="s">
        <v>5191</v>
      </c>
      <c r="J3894">
        <v>5.74</v>
      </c>
      <c r="K3894" t="s">
        <v>4744</v>
      </c>
      <c r="L3894">
        <v>320.87</v>
      </c>
      <c r="M3894">
        <v>55.900697000000001</v>
      </c>
      <c r="N3894" t="s">
        <v>5272</v>
      </c>
      <c r="O3894" t="s">
        <v>460</v>
      </c>
    </row>
    <row r="3895" spans="1:15" x14ac:dyDescent="0.3">
      <c r="A3895">
        <v>212780</v>
      </c>
      <c r="B3895">
        <v>105</v>
      </c>
      <c r="C3895" t="s">
        <v>557</v>
      </c>
      <c r="D3895" t="s">
        <v>1786</v>
      </c>
      <c r="E3895" t="s">
        <v>3441</v>
      </c>
      <c r="F3895" s="451">
        <v>46070</v>
      </c>
      <c r="G3895">
        <v>19322</v>
      </c>
      <c r="H3895" t="s">
        <v>4830</v>
      </c>
      <c r="I3895" t="s">
        <v>5191</v>
      </c>
      <c r="J3895">
        <v>7.9</v>
      </c>
      <c r="K3895" t="s">
        <v>4744</v>
      </c>
      <c r="L3895">
        <v>307.77999999999997</v>
      </c>
      <c r="M3895">
        <v>38.959493999999999</v>
      </c>
      <c r="N3895" t="s">
        <v>5272</v>
      </c>
      <c r="O3895" t="s">
        <v>460</v>
      </c>
    </row>
    <row r="3896" spans="1:15" x14ac:dyDescent="0.3">
      <c r="A3896">
        <v>212780</v>
      </c>
      <c r="B3896">
        <v>105</v>
      </c>
      <c r="C3896" t="s">
        <v>557</v>
      </c>
      <c r="D3896" t="s">
        <v>1786</v>
      </c>
      <c r="E3896" t="s">
        <v>3441</v>
      </c>
      <c r="F3896" s="451">
        <v>46070</v>
      </c>
      <c r="G3896">
        <v>23785</v>
      </c>
      <c r="H3896" t="s">
        <v>4858</v>
      </c>
      <c r="I3896" t="s">
        <v>5191</v>
      </c>
      <c r="J3896">
        <v>7</v>
      </c>
      <c r="K3896" t="s">
        <v>4744</v>
      </c>
      <c r="L3896">
        <v>208.95</v>
      </c>
      <c r="M3896">
        <v>29.85</v>
      </c>
      <c r="N3896" t="s">
        <v>5272</v>
      </c>
      <c r="O3896" t="s">
        <v>460</v>
      </c>
    </row>
    <row r="3897" spans="1:15" x14ac:dyDescent="0.3">
      <c r="A3897">
        <v>212779</v>
      </c>
      <c r="B3897">
        <v>105</v>
      </c>
      <c r="C3897" t="s">
        <v>557</v>
      </c>
      <c r="D3897" t="s">
        <v>1786</v>
      </c>
      <c r="E3897" t="s">
        <v>3442</v>
      </c>
      <c r="F3897" s="451">
        <v>46076</v>
      </c>
      <c r="G3897">
        <v>21021</v>
      </c>
      <c r="H3897" t="s">
        <v>4883</v>
      </c>
      <c r="I3897" t="s">
        <v>5191</v>
      </c>
      <c r="J3897">
        <v>3</v>
      </c>
      <c r="K3897" t="s">
        <v>4736</v>
      </c>
      <c r="L3897">
        <v>527.42999999999995</v>
      </c>
      <c r="M3897">
        <v>175.81</v>
      </c>
      <c r="N3897" t="s">
        <v>5272</v>
      </c>
      <c r="O3897" t="s">
        <v>460</v>
      </c>
    </row>
    <row r="3898" spans="1:15" x14ac:dyDescent="0.3">
      <c r="A3898">
        <v>212779</v>
      </c>
      <c r="B3898">
        <v>105</v>
      </c>
      <c r="C3898" t="s">
        <v>557</v>
      </c>
      <c r="D3898" t="s">
        <v>1786</v>
      </c>
      <c r="E3898" t="s">
        <v>3442</v>
      </c>
      <c r="F3898" s="451">
        <v>46076</v>
      </c>
      <c r="G3898">
        <v>19322</v>
      </c>
      <c r="H3898" t="s">
        <v>4830</v>
      </c>
      <c r="I3898" t="s">
        <v>5191</v>
      </c>
      <c r="J3898">
        <v>7.7</v>
      </c>
      <c r="K3898" t="s">
        <v>4744</v>
      </c>
      <c r="L3898">
        <v>299.99</v>
      </c>
      <c r="M3898">
        <v>38.959739999999996</v>
      </c>
      <c r="N3898" t="s">
        <v>5272</v>
      </c>
      <c r="O3898" t="s">
        <v>460</v>
      </c>
    </row>
    <row r="3899" spans="1:15" x14ac:dyDescent="0.3">
      <c r="A3899">
        <v>212779</v>
      </c>
      <c r="B3899">
        <v>105</v>
      </c>
      <c r="C3899" t="s">
        <v>557</v>
      </c>
      <c r="D3899" t="s">
        <v>1786</v>
      </c>
      <c r="E3899" t="s">
        <v>3442</v>
      </c>
      <c r="F3899" s="451">
        <v>46076</v>
      </c>
      <c r="G3899">
        <v>23785</v>
      </c>
      <c r="H3899" t="s">
        <v>4858</v>
      </c>
      <c r="I3899" t="s">
        <v>5191</v>
      </c>
      <c r="J3899">
        <v>4</v>
      </c>
      <c r="K3899" t="s">
        <v>4744</v>
      </c>
      <c r="L3899">
        <v>116.52</v>
      </c>
      <c r="M3899">
        <v>29.13</v>
      </c>
      <c r="N3899" t="s">
        <v>5272</v>
      </c>
      <c r="O3899" t="s">
        <v>460</v>
      </c>
    </row>
    <row r="3900" spans="1:15" x14ac:dyDescent="0.3">
      <c r="A3900">
        <v>212778</v>
      </c>
      <c r="B3900">
        <v>105</v>
      </c>
      <c r="C3900" t="s">
        <v>557</v>
      </c>
      <c r="D3900" t="s">
        <v>1786</v>
      </c>
      <c r="E3900" t="s">
        <v>3443</v>
      </c>
      <c r="F3900" s="451">
        <v>46077</v>
      </c>
      <c r="G3900">
        <v>20501</v>
      </c>
      <c r="H3900" t="s">
        <v>4760</v>
      </c>
      <c r="I3900" t="s">
        <v>5191</v>
      </c>
      <c r="J3900">
        <v>20</v>
      </c>
      <c r="K3900" t="s">
        <v>4744</v>
      </c>
      <c r="L3900">
        <v>428</v>
      </c>
      <c r="M3900">
        <v>21.4</v>
      </c>
      <c r="N3900" t="s">
        <v>5272</v>
      </c>
      <c r="O3900" t="s">
        <v>460</v>
      </c>
    </row>
    <row r="3901" spans="1:15" x14ac:dyDescent="0.3">
      <c r="A3901">
        <v>212777</v>
      </c>
      <c r="B3901">
        <v>105</v>
      </c>
      <c r="C3901" t="s">
        <v>557</v>
      </c>
      <c r="D3901" t="s">
        <v>2699</v>
      </c>
      <c r="E3901" t="s">
        <v>3444</v>
      </c>
      <c r="F3901" s="451">
        <v>46072</v>
      </c>
      <c r="G3901">
        <v>18359</v>
      </c>
      <c r="H3901" t="s">
        <v>4921</v>
      </c>
      <c r="I3901" t="s">
        <v>5222</v>
      </c>
      <c r="J3901">
        <v>2</v>
      </c>
      <c r="K3901" t="s">
        <v>4805</v>
      </c>
      <c r="L3901">
        <v>191.8</v>
      </c>
      <c r="M3901">
        <v>95.9</v>
      </c>
      <c r="N3901" t="s">
        <v>5271</v>
      </c>
      <c r="O3901" t="s">
        <v>460</v>
      </c>
    </row>
    <row r="3902" spans="1:15" x14ac:dyDescent="0.3">
      <c r="A3902">
        <v>212776</v>
      </c>
      <c r="B3902">
        <v>105</v>
      </c>
      <c r="C3902" t="s">
        <v>557</v>
      </c>
      <c r="D3902" t="s">
        <v>2699</v>
      </c>
      <c r="E3902" t="s">
        <v>3445</v>
      </c>
      <c r="F3902" s="451">
        <v>46079</v>
      </c>
      <c r="G3902">
        <v>18293</v>
      </c>
      <c r="H3902" t="s">
        <v>5034</v>
      </c>
      <c r="I3902" t="s">
        <v>5222</v>
      </c>
      <c r="J3902">
        <v>1</v>
      </c>
      <c r="K3902" t="s">
        <v>4805</v>
      </c>
      <c r="L3902">
        <v>137.69999999999999</v>
      </c>
      <c r="M3902">
        <v>137.69999999999999</v>
      </c>
      <c r="N3902" t="s">
        <v>5271</v>
      </c>
      <c r="O3902" t="s">
        <v>460</v>
      </c>
    </row>
    <row r="3903" spans="1:15" x14ac:dyDescent="0.3">
      <c r="A3903">
        <v>212776</v>
      </c>
      <c r="B3903">
        <v>105</v>
      </c>
      <c r="C3903" t="s">
        <v>557</v>
      </c>
      <c r="D3903" t="s">
        <v>2699</v>
      </c>
      <c r="E3903" t="s">
        <v>3445</v>
      </c>
      <c r="F3903" s="451">
        <v>46079</v>
      </c>
      <c r="G3903">
        <v>18172</v>
      </c>
      <c r="H3903" t="s">
        <v>4804</v>
      </c>
      <c r="I3903" t="s">
        <v>5222</v>
      </c>
      <c r="J3903">
        <v>10</v>
      </c>
      <c r="K3903" t="s">
        <v>4805</v>
      </c>
      <c r="L3903">
        <v>314</v>
      </c>
      <c r="M3903">
        <v>31.4</v>
      </c>
      <c r="N3903" t="s">
        <v>5271</v>
      </c>
      <c r="O3903" t="s">
        <v>460</v>
      </c>
    </row>
    <row r="3904" spans="1:15" x14ac:dyDescent="0.3">
      <c r="A3904">
        <v>212601</v>
      </c>
      <c r="B3904">
        <v>105</v>
      </c>
      <c r="C3904" t="s">
        <v>557</v>
      </c>
      <c r="D3904" t="s">
        <v>2716</v>
      </c>
      <c r="E3904" t="s">
        <v>3446</v>
      </c>
      <c r="F3904" s="451">
        <v>46070</v>
      </c>
      <c r="G3904">
        <v>24351</v>
      </c>
      <c r="H3904" t="s">
        <v>5014</v>
      </c>
      <c r="I3904" t="s">
        <v>5191</v>
      </c>
      <c r="J3904">
        <v>20</v>
      </c>
      <c r="K3904" t="s">
        <v>4744</v>
      </c>
      <c r="L3904">
        <v>240</v>
      </c>
      <c r="M3904">
        <v>12</v>
      </c>
      <c r="N3904" t="s">
        <v>5272</v>
      </c>
      <c r="O3904" t="s">
        <v>460</v>
      </c>
    </row>
    <row r="3905" spans="1:15" x14ac:dyDescent="0.3">
      <c r="A3905">
        <v>212598</v>
      </c>
      <c r="B3905">
        <v>105</v>
      </c>
      <c r="C3905" t="s">
        <v>557</v>
      </c>
      <c r="D3905" t="s">
        <v>3328</v>
      </c>
      <c r="E3905" t="s">
        <v>3447</v>
      </c>
      <c r="F3905" s="451">
        <v>46077</v>
      </c>
      <c r="G3905">
        <v>19787</v>
      </c>
      <c r="H3905" t="s">
        <v>4793</v>
      </c>
      <c r="I3905" t="s">
        <v>5191</v>
      </c>
      <c r="J3905">
        <v>6.4</v>
      </c>
      <c r="K3905" t="s">
        <v>4744</v>
      </c>
      <c r="L3905">
        <v>32</v>
      </c>
      <c r="M3905">
        <v>5</v>
      </c>
      <c r="N3905" t="s">
        <v>5272</v>
      </c>
      <c r="O3905" t="s">
        <v>460</v>
      </c>
    </row>
    <row r="3906" spans="1:15" x14ac:dyDescent="0.3">
      <c r="A3906">
        <v>212598</v>
      </c>
      <c r="B3906">
        <v>105</v>
      </c>
      <c r="C3906" t="s">
        <v>557</v>
      </c>
      <c r="D3906" t="s">
        <v>3328</v>
      </c>
      <c r="E3906" t="s">
        <v>3447</v>
      </c>
      <c r="F3906" s="451">
        <v>46077</v>
      </c>
      <c r="G3906">
        <v>19634</v>
      </c>
      <c r="H3906" t="s">
        <v>4792</v>
      </c>
      <c r="I3906" t="s">
        <v>5191</v>
      </c>
      <c r="J3906">
        <v>6.3</v>
      </c>
      <c r="K3906" t="s">
        <v>4744</v>
      </c>
      <c r="L3906">
        <v>47.25</v>
      </c>
      <c r="M3906">
        <v>7.5</v>
      </c>
      <c r="N3906" t="s">
        <v>5272</v>
      </c>
      <c r="O3906" t="s">
        <v>460</v>
      </c>
    </row>
    <row r="3907" spans="1:15" x14ac:dyDescent="0.3">
      <c r="A3907">
        <v>212598</v>
      </c>
      <c r="B3907">
        <v>105</v>
      </c>
      <c r="C3907" t="s">
        <v>557</v>
      </c>
      <c r="D3907" t="s">
        <v>3328</v>
      </c>
      <c r="E3907" t="s">
        <v>3447</v>
      </c>
      <c r="F3907" s="451">
        <v>46077</v>
      </c>
      <c r="G3907">
        <v>19505</v>
      </c>
      <c r="H3907" t="s">
        <v>4872</v>
      </c>
      <c r="I3907" t="s">
        <v>5191</v>
      </c>
      <c r="J3907">
        <v>2</v>
      </c>
      <c r="K3907" t="s">
        <v>4744</v>
      </c>
      <c r="L3907">
        <v>31.26</v>
      </c>
      <c r="M3907">
        <v>15.63</v>
      </c>
      <c r="N3907" t="s">
        <v>5272</v>
      </c>
      <c r="O3907" t="s">
        <v>460</v>
      </c>
    </row>
    <row r="3908" spans="1:15" x14ac:dyDescent="0.3">
      <c r="A3908">
        <v>212598</v>
      </c>
      <c r="B3908">
        <v>105</v>
      </c>
      <c r="C3908" t="s">
        <v>557</v>
      </c>
      <c r="D3908" t="s">
        <v>3328</v>
      </c>
      <c r="E3908" t="s">
        <v>3447</v>
      </c>
      <c r="F3908" s="451">
        <v>46077</v>
      </c>
      <c r="G3908">
        <v>23359</v>
      </c>
      <c r="H3908" t="s">
        <v>4767</v>
      </c>
      <c r="I3908" t="s">
        <v>5191</v>
      </c>
      <c r="J3908">
        <v>10</v>
      </c>
      <c r="K3908" t="s">
        <v>4744</v>
      </c>
      <c r="L3908">
        <v>31.3</v>
      </c>
      <c r="M3908">
        <v>3.13</v>
      </c>
      <c r="N3908" t="s">
        <v>5272</v>
      </c>
      <c r="O3908" t="s">
        <v>460</v>
      </c>
    </row>
    <row r="3909" spans="1:15" x14ac:dyDescent="0.3">
      <c r="A3909">
        <v>212598</v>
      </c>
      <c r="B3909">
        <v>105</v>
      </c>
      <c r="C3909" t="s">
        <v>557</v>
      </c>
      <c r="D3909" t="s">
        <v>3328</v>
      </c>
      <c r="E3909" t="s">
        <v>3447</v>
      </c>
      <c r="F3909" s="451">
        <v>46077</v>
      </c>
      <c r="G3909">
        <v>19740</v>
      </c>
      <c r="H3909" t="s">
        <v>4779</v>
      </c>
      <c r="I3909" t="s">
        <v>5191</v>
      </c>
      <c r="J3909">
        <v>7</v>
      </c>
      <c r="K3909" t="s">
        <v>4744</v>
      </c>
      <c r="L3909">
        <v>105</v>
      </c>
      <c r="M3909">
        <v>15</v>
      </c>
      <c r="N3909" t="s">
        <v>5272</v>
      </c>
      <c r="O3909" t="s">
        <v>460</v>
      </c>
    </row>
    <row r="3910" spans="1:15" x14ac:dyDescent="0.3">
      <c r="A3910">
        <v>212596</v>
      </c>
      <c r="B3910">
        <v>105</v>
      </c>
      <c r="C3910" t="s">
        <v>557</v>
      </c>
      <c r="D3910" t="s">
        <v>3328</v>
      </c>
      <c r="E3910" t="s">
        <v>3448</v>
      </c>
      <c r="F3910" s="451">
        <v>46069</v>
      </c>
      <c r="G3910">
        <v>19787</v>
      </c>
      <c r="H3910" t="s">
        <v>4793</v>
      </c>
      <c r="I3910" t="s">
        <v>5191</v>
      </c>
      <c r="J3910">
        <v>10</v>
      </c>
      <c r="K3910" t="s">
        <v>4744</v>
      </c>
      <c r="L3910">
        <v>50</v>
      </c>
      <c r="M3910">
        <v>5</v>
      </c>
      <c r="N3910" t="s">
        <v>5272</v>
      </c>
      <c r="O3910" t="s">
        <v>460</v>
      </c>
    </row>
    <row r="3911" spans="1:15" x14ac:dyDescent="0.3">
      <c r="A3911">
        <v>212596</v>
      </c>
      <c r="B3911">
        <v>105</v>
      </c>
      <c r="C3911" t="s">
        <v>557</v>
      </c>
      <c r="D3911" t="s">
        <v>3328</v>
      </c>
      <c r="E3911" t="s">
        <v>3448</v>
      </c>
      <c r="F3911" s="451">
        <v>46069</v>
      </c>
      <c r="G3911">
        <v>19734</v>
      </c>
      <c r="H3911" t="s">
        <v>4833</v>
      </c>
      <c r="I3911" t="s">
        <v>5191</v>
      </c>
      <c r="J3911">
        <v>4</v>
      </c>
      <c r="K3911" t="s">
        <v>4744</v>
      </c>
      <c r="L3911">
        <v>60</v>
      </c>
      <c r="M3911">
        <v>15</v>
      </c>
      <c r="N3911" t="s">
        <v>5272</v>
      </c>
      <c r="O3911" t="s">
        <v>460</v>
      </c>
    </row>
    <row r="3912" spans="1:15" x14ac:dyDescent="0.3">
      <c r="A3912">
        <v>212596</v>
      </c>
      <c r="B3912">
        <v>105</v>
      </c>
      <c r="C3912" t="s">
        <v>557</v>
      </c>
      <c r="D3912" t="s">
        <v>3328</v>
      </c>
      <c r="E3912" t="s">
        <v>3448</v>
      </c>
      <c r="F3912" s="451">
        <v>46069</v>
      </c>
      <c r="G3912">
        <v>19740</v>
      </c>
      <c r="H3912" t="s">
        <v>4779</v>
      </c>
      <c r="I3912" t="s">
        <v>5191</v>
      </c>
      <c r="J3912">
        <v>10</v>
      </c>
      <c r="K3912" t="s">
        <v>4744</v>
      </c>
      <c r="L3912">
        <v>81.3</v>
      </c>
      <c r="M3912">
        <v>8.1300000000000008</v>
      </c>
      <c r="N3912" t="s">
        <v>5272</v>
      </c>
      <c r="O3912" t="s">
        <v>460</v>
      </c>
    </row>
    <row r="3913" spans="1:15" x14ac:dyDescent="0.3">
      <c r="A3913">
        <v>212596</v>
      </c>
      <c r="B3913">
        <v>105</v>
      </c>
      <c r="C3913" t="s">
        <v>557</v>
      </c>
      <c r="D3913" t="s">
        <v>3328</v>
      </c>
      <c r="E3913" t="s">
        <v>3448</v>
      </c>
      <c r="F3913" s="451">
        <v>46069</v>
      </c>
      <c r="G3913">
        <v>23095</v>
      </c>
      <c r="H3913" t="s">
        <v>4741</v>
      </c>
      <c r="I3913" t="s">
        <v>5191</v>
      </c>
      <c r="J3913">
        <v>30</v>
      </c>
      <c r="K3913" t="s">
        <v>4736</v>
      </c>
      <c r="L3913">
        <v>37.5</v>
      </c>
      <c r="M3913">
        <v>1.25</v>
      </c>
      <c r="N3913" t="s">
        <v>5272</v>
      </c>
      <c r="O3913" t="s">
        <v>460</v>
      </c>
    </row>
    <row r="3914" spans="1:15" x14ac:dyDescent="0.3">
      <c r="A3914">
        <v>212594</v>
      </c>
      <c r="B3914">
        <v>105</v>
      </c>
      <c r="C3914" t="s">
        <v>557</v>
      </c>
      <c r="D3914" t="s">
        <v>3328</v>
      </c>
      <c r="E3914" t="s">
        <v>3449</v>
      </c>
      <c r="F3914" s="451">
        <v>46071</v>
      </c>
      <c r="G3914">
        <v>19589</v>
      </c>
      <c r="H3914" t="s">
        <v>4983</v>
      </c>
      <c r="I3914" t="s">
        <v>5191</v>
      </c>
      <c r="J3914">
        <v>4</v>
      </c>
      <c r="K3914" t="s">
        <v>4744</v>
      </c>
      <c r="L3914">
        <v>20</v>
      </c>
      <c r="M3914">
        <v>5</v>
      </c>
      <c r="N3914" t="s">
        <v>5272</v>
      </c>
      <c r="O3914" t="s">
        <v>460</v>
      </c>
    </row>
    <row r="3915" spans="1:15" x14ac:dyDescent="0.3">
      <c r="A3915">
        <v>212594</v>
      </c>
      <c r="B3915">
        <v>105</v>
      </c>
      <c r="C3915" t="s">
        <v>557</v>
      </c>
      <c r="D3915" t="s">
        <v>3328</v>
      </c>
      <c r="E3915" t="s">
        <v>3449</v>
      </c>
      <c r="F3915" s="451">
        <v>46071</v>
      </c>
      <c r="G3915">
        <v>19707</v>
      </c>
      <c r="H3915" t="s">
        <v>5266</v>
      </c>
      <c r="I3915" t="s">
        <v>5191</v>
      </c>
      <c r="J3915">
        <v>0.5</v>
      </c>
      <c r="K3915" t="s">
        <v>4744</v>
      </c>
      <c r="L3915">
        <v>9.3800000000000008</v>
      </c>
      <c r="M3915">
        <v>18.760000000000002</v>
      </c>
      <c r="N3915" t="s">
        <v>5272</v>
      </c>
      <c r="O3915" t="s">
        <v>460</v>
      </c>
    </row>
    <row r="3916" spans="1:15" x14ac:dyDescent="0.3">
      <c r="A3916">
        <v>212594</v>
      </c>
      <c r="B3916">
        <v>105</v>
      </c>
      <c r="C3916" t="s">
        <v>557</v>
      </c>
      <c r="D3916" t="s">
        <v>3328</v>
      </c>
      <c r="E3916" t="s">
        <v>3449</v>
      </c>
      <c r="F3916" s="451">
        <v>46071</v>
      </c>
      <c r="G3916">
        <v>23385</v>
      </c>
      <c r="H3916" t="s">
        <v>4938</v>
      </c>
      <c r="I3916" t="s">
        <v>5191</v>
      </c>
      <c r="J3916">
        <v>1.2</v>
      </c>
      <c r="K3916" t="s">
        <v>4744</v>
      </c>
      <c r="L3916">
        <v>42</v>
      </c>
      <c r="M3916">
        <v>35</v>
      </c>
      <c r="N3916" t="s">
        <v>5272</v>
      </c>
      <c r="O3916" t="s">
        <v>460</v>
      </c>
    </row>
    <row r="3917" spans="1:15" x14ac:dyDescent="0.3">
      <c r="A3917">
        <v>212591</v>
      </c>
      <c r="B3917">
        <v>105</v>
      </c>
      <c r="C3917" t="s">
        <v>557</v>
      </c>
      <c r="D3917" t="s">
        <v>3328</v>
      </c>
      <c r="E3917" t="s">
        <v>3450</v>
      </c>
      <c r="F3917" s="451">
        <v>46076</v>
      </c>
      <c r="G3917">
        <v>19505</v>
      </c>
      <c r="H3917" t="s">
        <v>4872</v>
      </c>
      <c r="I3917" t="s">
        <v>5191</v>
      </c>
      <c r="J3917">
        <v>4</v>
      </c>
      <c r="K3917" t="s">
        <v>4744</v>
      </c>
      <c r="L3917">
        <v>68.760000000000005</v>
      </c>
      <c r="M3917">
        <v>17.190000000000001</v>
      </c>
      <c r="N3917" t="s">
        <v>5372</v>
      </c>
      <c r="O3917" t="s">
        <v>460</v>
      </c>
    </row>
    <row r="3918" spans="1:15" x14ac:dyDescent="0.3">
      <c r="A3918">
        <v>212591</v>
      </c>
      <c r="B3918">
        <v>105</v>
      </c>
      <c r="C3918" t="s">
        <v>557</v>
      </c>
      <c r="D3918" t="s">
        <v>3328</v>
      </c>
      <c r="E3918" t="s">
        <v>3450</v>
      </c>
      <c r="F3918" s="451">
        <v>46076</v>
      </c>
      <c r="G3918">
        <v>19737</v>
      </c>
      <c r="H3918" t="s">
        <v>4940</v>
      </c>
      <c r="I3918" t="s">
        <v>5191</v>
      </c>
      <c r="J3918">
        <v>1</v>
      </c>
      <c r="K3918" t="s">
        <v>4744</v>
      </c>
      <c r="L3918">
        <v>5.25</v>
      </c>
      <c r="M3918">
        <v>5.25</v>
      </c>
      <c r="N3918" t="s">
        <v>5372</v>
      </c>
      <c r="O3918" t="s">
        <v>460</v>
      </c>
    </row>
    <row r="3919" spans="1:15" x14ac:dyDescent="0.3">
      <c r="A3919">
        <v>212591</v>
      </c>
      <c r="B3919">
        <v>105</v>
      </c>
      <c r="C3919" t="s">
        <v>557</v>
      </c>
      <c r="D3919" t="s">
        <v>3328</v>
      </c>
      <c r="E3919" t="s">
        <v>3450</v>
      </c>
      <c r="F3919" s="451">
        <v>46076</v>
      </c>
      <c r="G3919">
        <v>19502</v>
      </c>
      <c r="H3919" t="s">
        <v>4871</v>
      </c>
      <c r="I3919" t="s">
        <v>5191</v>
      </c>
      <c r="J3919">
        <v>1.3</v>
      </c>
      <c r="K3919" t="s">
        <v>4744</v>
      </c>
      <c r="L3919">
        <v>32.5</v>
      </c>
      <c r="M3919">
        <v>25</v>
      </c>
      <c r="N3919" t="s">
        <v>5372</v>
      </c>
      <c r="O3919" t="s">
        <v>460</v>
      </c>
    </row>
    <row r="3920" spans="1:15" x14ac:dyDescent="0.3">
      <c r="A3920">
        <v>212591</v>
      </c>
      <c r="B3920">
        <v>105</v>
      </c>
      <c r="C3920" t="s">
        <v>557</v>
      </c>
      <c r="D3920" t="s">
        <v>3328</v>
      </c>
      <c r="E3920" t="s">
        <v>3450</v>
      </c>
      <c r="F3920" s="451">
        <v>46076</v>
      </c>
      <c r="G3920">
        <v>19562</v>
      </c>
      <c r="H3920" t="s">
        <v>4939</v>
      </c>
      <c r="I3920" t="s">
        <v>5191</v>
      </c>
      <c r="J3920">
        <v>0.5</v>
      </c>
      <c r="K3920" t="s">
        <v>4744</v>
      </c>
      <c r="L3920">
        <v>6.25</v>
      </c>
      <c r="M3920">
        <v>12.5</v>
      </c>
      <c r="N3920" t="s">
        <v>5372</v>
      </c>
      <c r="O3920" t="s">
        <v>460</v>
      </c>
    </row>
    <row r="3921" spans="1:15" x14ac:dyDescent="0.3">
      <c r="A3921">
        <v>212591</v>
      </c>
      <c r="B3921">
        <v>105</v>
      </c>
      <c r="C3921" t="s">
        <v>557</v>
      </c>
      <c r="D3921" t="s">
        <v>3328</v>
      </c>
      <c r="E3921" t="s">
        <v>3450</v>
      </c>
      <c r="F3921" s="451">
        <v>46076</v>
      </c>
      <c r="G3921">
        <v>19751</v>
      </c>
      <c r="H3921" t="s">
        <v>4800</v>
      </c>
      <c r="I3921" t="s">
        <v>5191</v>
      </c>
      <c r="J3921">
        <v>3.5</v>
      </c>
      <c r="K3921" t="s">
        <v>4744</v>
      </c>
      <c r="L3921">
        <v>59.08</v>
      </c>
      <c r="M3921">
        <v>16.88</v>
      </c>
      <c r="N3921" t="s">
        <v>5372</v>
      </c>
      <c r="O3921" t="s">
        <v>460</v>
      </c>
    </row>
    <row r="3922" spans="1:15" x14ac:dyDescent="0.3">
      <c r="A3922">
        <v>212591</v>
      </c>
      <c r="B3922">
        <v>105</v>
      </c>
      <c r="C3922" t="s">
        <v>557</v>
      </c>
      <c r="D3922" t="s">
        <v>3328</v>
      </c>
      <c r="E3922" t="s">
        <v>3450</v>
      </c>
      <c r="F3922" s="451">
        <v>46076</v>
      </c>
      <c r="G3922">
        <v>19734</v>
      </c>
      <c r="H3922" t="s">
        <v>4833</v>
      </c>
      <c r="I3922" t="s">
        <v>5191</v>
      </c>
      <c r="J3922">
        <v>4</v>
      </c>
      <c r="K3922" t="s">
        <v>4744</v>
      </c>
      <c r="L3922">
        <v>55</v>
      </c>
      <c r="M3922">
        <v>13.75</v>
      </c>
      <c r="N3922" t="s">
        <v>5372</v>
      </c>
      <c r="O3922" t="s">
        <v>460</v>
      </c>
    </row>
    <row r="3923" spans="1:15" x14ac:dyDescent="0.3">
      <c r="A3923">
        <v>212591</v>
      </c>
      <c r="B3923">
        <v>105</v>
      </c>
      <c r="C3923" t="s">
        <v>557</v>
      </c>
      <c r="D3923" t="s">
        <v>3328</v>
      </c>
      <c r="E3923" t="s">
        <v>3450</v>
      </c>
      <c r="F3923" s="451">
        <v>46076</v>
      </c>
      <c r="G3923">
        <v>19635</v>
      </c>
      <c r="H3923" t="s">
        <v>4786</v>
      </c>
      <c r="I3923" t="s">
        <v>5191</v>
      </c>
      <c r="J3923">
        <v>8</v>
      </c>
      <c r="K3923" t="s">
        <v>4744</v>
      </c>
      <c r="L3923">
        <v>45.04</v>
      </c>
      <c r="M3923">
        <v>5.63</v>
      </c>
      <c r="N3923" t="s">
        <v>5372</v>
      </c>
      <c r="O3923" t="s">
        <v>460</v>
      </c>
    </row>
    <row r="3924" spans="1:15" x14ac:dyDescent="0.3">
      <c r="A3924">
        <v>212591</v>
      </c>
      <c r="B3924">
        <v>105</v>
      </c>
      <c r="C3924" t="s">
        <v>557</v>
      </c>
      <c r="D3924" t="s">
        <v>3328</v>
      </c>
      <c r="E3924" t="s">
        <v>3450</v>
      </c>
      <c r="F3924" s="451">
        <v>46076</v>
      </c>
      <c r="G3924">
        <v>23198</v>
      </c>
      <c r="H3924" t="s">
        <v>4962</v>
      </c>
      <c r="I3924" t="s">
        <v>5191</v>
      </c>
      <c r="J3924">
        <v>0.5</v>
      </c>
      <c r="K3924" t="s">
        <v>4744</v>
      </c>
      <c r="L3924">
        <v>6.25</v>
      </c>
      <c r="M3924">
        <v>12.5</v>
      </c>
      <c r="N3924" t="s">
        <v>5372</v>
      </c>
      <c r="O3924" t="s">
        <v>460</v>
      </c>
    </row>
    <row r="3925" spans="1:15" x14ac:dyDescent="0.3">
      <c r="A3925">
        <v>212591</v>
      </c>
      <c r="B3925">
        <v>105</v>
      </c>
      <c r="C3925" t="s">
        <v>557</v>
      </c>
      <c r="D3925" t="s">
        <v>3328</v>
      </c>
      <c r="E3925" t="s">
        <v>3450</v>
      </c>
      <c r="F3925" s="451">
        <v>46076</v>
      </c>
      <c r="G3925">
        <v>23234</v>
      </c>
      <c r="H3925" t="s">
        <v>4986</v>
      </c>
      <c r="I3925" t="s">
        <v>5191</v>
      </c>
      <c r="J3925">
        <v>1</v>
      </c>
      <c r="K3925" t="s">
        <v>4744</v>
      </c>
      <c r="L3925">
        <v>23</v>
      </c>
      <c r="M3925">
        <v>23</v>
      </c>
      <c r="N3925" t="s">
        <v>5372</v>
      </c>
      <c r="O3925" t="s">
        <v>460</v>
      </c>
    </row>
    <row r="3926" spans="1:15" x14ac:dyDescent="0.3">
      <c r="A3926">
        <v>212591</v>
      </c>
      <c r="B3926">
        <v>105</v>
      </c>
      <c r="C3926" t="s">
        <v>557</v>
      </c>
      <c r="D3926" t="s">
        <v>3328</v>
      </c>
      <c r="E3926" t="s">
        <v>3450</v>
      </c>
      <c r="F3926" s="451">
        <v>46076</v>
      </c>
      <c r="G3926">
        <v>23095</v>
      </c>
      <c r="H3926" t="s">
        <v>4741</v>
      </c>
      <c r="I3926" t="s">
        <v>5191</v>
      </c>
      <c r="J3926">
        <v>100</v>
      </c>
      <c r="K3926" t="s">
        <v>4736</v>
      </c>
      <c r="L3926">
        <v>125</v>
      </c>
      <c r="M3926">
        <v>1.25</v>
      </c>
      <c r="N3926" t="s">
        <v>5372</v>
      </c>
      <c r="O3926" t="s">
        <v>460</v>
      </c>
    </row>
    <row r="3927" spans="1:15" x14ac:dyDescent="0.3">
      <c r="A3927">
        <v>212591</v>
      </c>
      <c r="B3927">
        <v>105</v>
      </c>
      <c r="C3927" t="s">
        <v>557</v>
      </c>
      <c r="D3927" t="s">
        <v>3328</v>
      </c>
      <c r="E3927" t="s">
        <v>3450</v>
      </c>
      <c r="F3927" s="451">
        <v>46076</v>
      </c>
      <c r="G3927">
        <v>24037</v>
      </c>
      <c r="H3927" t="s">
        <v>5233</v>
      </c>
      <c r="I3927" t="s">
        <v>5191</v>
      </c>
      <c r="J3927">
        <v>3</v>
      </c>
      <c r="K3927" t="s">
        <v>4744</v>
      </c>
      <c r="L3927">
        <v>60</v>
      </c>
      <c r="M3927">
        <v>20</v>
      </c>
      <c r="N3927" t="s">
        <v>5372</v>
      </c>
      <c r="O3927" t="s">
        <v>460</v>
      </c>
    </row>
    <row r="3928" spans="1:15" x14ac:dyDescent="0.3">
      <c r="A3928">
        <v>212591</v>
      </c>
      <c r="B3928">
        <v>105</v>
      </c>
      <c r="C3928" t="s">
        <v>557</v>
      </c>
      <c r="D3928" t="s">
        <v>3328</v>
      </c>
      <c r="E3928" t="s">
        <v>3450</v>
      </c>
      <c r="F3928" s="451">
        <v>46076</v>
      </c>
      <c r="G3928">
        <v>23184</v>
      </c>
      <c r="H3928" t="s">
        <v>4935</v>
      </c>
      <c r="I3928" t="s">
        <v>5191</v>
      </c>
      <c r="J3928">
        <v>2</v>
      </c>
      <c r="K3928" t="s">
        <v>4744</v>
      </c>
      <c r="L3928">
        <v>25</v>
      </c>
      <c r="M3928">
        <v>12.5</v>
      </c>
      <c r="N3928" t="s">
        <v>5372</v>
      </c>
      <c r="O3928" t="s">
        <v>460</v>
      </c>
    </row>
    <row r="3929" spans="1:15" x14ac:dyDescent="0.3">
      <c r="A3929">
        <v>212591</v>
      </c>
      <c r="B3929">
        <v>105</v>
      </c>
      <c r="C3929" t="s">
        <v>557</v>
      </c>
      <c r="D3929" t="s">
        <v>3328</v>
      </c>
      <c r="E3929" t="s">
        <v>3450</v>
      </c>
      <c r="F3929" s="451">
        <v>46076</v>
      </c>
      <c r="G3929">
        <v>19472</v>
      </c>
      <c r="H3929" t="s">
        <v>4906</v>
      </c>
      <c r="I3929" t="s">
        <v>5191</v>
      </c>
      <c r="J3929">
        <v>1.8</v>
      </c>
      <c r="K3929" t="s">
        <v>4744</v>
      </c>
      <c r="L3929">
        <v>60.75</v>
      </c>
      <c r="M3929">
        <v>33.75</v>
      </c>
      <c r="N3929" t="s">
        <v>5372</v>
      </c>
      <c r="O3929" t="s">
        <v>460</v>
      </c>
    </row>
    <row r="3930" spans="1:15" x14ac:dyDescent="0.3">
      <c r="A3930">
        <v>212588</v>
      </c>
      <c r="B3930">
        <v>105</v>
      </c>
      <c r="C3930" t="s">
        <v>557</v>
      </c>
      <c r="D3930" t="s">
        <v>2710</v>
      </c>
      <c r="E3930" t="s">
        <v>3451</v>
      </c>
      <c r="F3930" s="451">
        <v>46070</v>
      </c>
      <c r="G3930">
        <v>25050</v>
      </c>
      <c r="H3930" t="s">
        <v>5110</v>
      </c>
      <c r="I3930" t="s">
        <v>5191</v>
      </c>
      <c r="J3930">
        <v>3</v>
      </c>
      <c r="K3930" t="s">
        <v>4744</v>
      </c>
      <c r="L3930">
        <v>245.7</v>
      </c>
      <c r="M3930">
        <v>81.900000000000006</v>
      </c>
      <c r="N3930" t="s">
        <v>5272</v>
      </c>
      <c r="O3930" t="s">
        <v>460</v>
      </c>
    </row>
    <row r="3931" spans="1:15" x14ac:dyDescent="0.3">
      <c r="A3931">
        <v>212585</v>
      </c>
      <c r="B3931">
        <v>105</v>
      </c>
      <c r="C3931" t="s">
        <v>557</v>
      </c>
      <c r="D3931" t="s">
        <v>2552</v>
      </c>
      <c r="E3931" t="s">
        <v>3452</v>
      </c>
      <c r="F3931" s="451">
        <v>46078</v>
      </c>
      <c r="G3931">
        <v>26627</v>
      </c>
      <c r="H3931" t="s">
        <v>5190</v>
      </c>
      <c r="I3931" t="s">
        <v>5191</v>
      </c>
      <c r="J3931">
        <v>20</v>
      </c>
      <c r="K3931" t="s">
        <v>4744</v>
      </c>
      <c r="L3931">
        <v>158</v>
      </c>
      <c r="M3931">
        <v>7.9</v>
      </c>
      <c r="N3931" t="s">
        <v>1785</v>
      </c>
      <c r="O3931" t="s">
        <v>460</v>
      </c>
    </row>
    <row r="3932" spans="1:15" x14ac:dyDescent="0.3">
      <c r="A3932">
        <v>212584</v>
      </c>
      <c r="B3932">
        <v>105</v>
      </c>
      <c r="C3932" t="s">
        <v>557</v>
      </c>
      <c r="D3932" t="s">
        <v>2600</v>
      </c>
      <c r="E3932" t="s">
        <v>3453</v>
      </c>
      <c r="F3932" s="451">
        <v>46071</v>
      </c>
      <c r="G3932">
        <v>20549</v>
      </c>
      <c r="H3932" t="s">
        <v>4823</v>
      </c>
      <c r="I3932" t="s">
        <v>5191</v>
      </c>
      <c r="J3932">
        <v>7.2</v>
      </c>
      <c r="K3932" t="s">
        <v>4744</v>
      </c>
      <c r="L3932">
        <v>143.93</v>
      </c>
      <c r="M3932">
        <v>19.990278</v>
      </c>
      <c r="N3932" t="s">
        <v>5272</v>
      </c>
      <c r="O3932" t="s">
        <v>460</v>
      </c>
    </row>
    <row r="3933" spans="1:15" x14ac:dyDescent="0.3">
      <c r="A3933">
        <v>212581</v>
      </c>
      <c r="B3933">
        <v>105</v>
      </c>
      <c r="C3933" t="s">
        <v>557</v>
      </c>
      <c r="D3933" t="s">
        <v>2590</v>
      </c>
      <c r="E3933" t="s">
        <v>3454</v>
      </c>
      <c r="F3933" s="451">
        <v>46072</v>
      </c>
      <c r="G3933">
        <v>18636</v>
      </c>
      <c r="H3933" t="s">
        <v>4964</v>
      </c>
      <c r="I3933" t="s">
        <v>5222</v>
      </c>
      <c r="J3933">
        <v>3</v>
      </c>
      <c r="K3933" t="s">
        <v>4965</v>
      </c>
      <c r="L3933">
        <v>1448.4</v>
      </c>
      <c r="M3933">
        <v>482.8</v>
      </c>
      <c r="N3933" t="s">
        <v>5383</v>
      </c>
      <c r="O3933" t="s">
        <v>460</v>
      </c>
    </row>
    <row r="3934" spans="1:15" x14ac:dyDescent="0.3">
      <c r="A3934">
        <v>212579</v>
      </c>
      <c r="B3934">
        <v>105</v>
      </c>
      <c r="C3934" t="s">
        <v>557</v>
      </c>
      <c r="D3934" t="s">
        <v>2590</v>
      </c>
      <c r="E3934" t="s">
        <v>3455</v>
      </c>
      <c r="F3934" s="451">
        <v>46077</v>
      </c>
      <c r="G3934">
        <v>18636</v>
      </c>
      <c r="H3934" t="s">
        <v>4964</v>
      </c>
      <c r="I3934" t="s">
        <v>5222</v>
      </c>
      <c r="J3934">
        <v>2</v>
      </c>
      <c r="K3934" t="s">
        <v>4965</v>
      </c>
      <c r="L3934">
        <v>965.6</v>
      </c>
      <c r="M3934">
        <v>482.8</v>
      </c>
      <c r="N3934" t="s">
        <v>5271</v>
      </c>
      <c r="O3934" t="s">
        <v>460</v>
      </c>
    </row>
    <row r="3935" spans="1:15" x14ac:dyDescent="0.3">
      <c r="A3935">
        <v>212579</v>
      </c>
      <c r="B3935">
        <v>105</v>
      </c>
      <c r="C3935" t="s">
        <v>557</v>
      </c>
      <c r="D3935" t="s">
        <v>2590</v>
      </c>
      <c r="E3935" t="s">
        <v>3455</v>
      </c>
      <c r="F3935" s="451">
        <v>46077</v>
      </c>
      <c r="G3935">
        <v>17905</v>
      </c>
      <c r="H3935" t="s">
        <v>5085</v>
      </c>
      <c r="I3935" t="s">
        <v>5222</v>
      </c>
      <c r="J3935">
        <v>5</v>
      </c>
      <c r="K3935" t="s">
        <v>4738</v>
      </c>
      <c r="L3935">
        <v>127.65</v>
      </c>
      <c r="M3935">
        <v>25.53</v>
      </c>
      <c r="N3935" t="s">
        <v>5271</v>
      </c>
      <c r="O3935" t="s">
        <v>460</v>
      </c>
    </row>
    <row r="3936" spans="1:15" x14ac:dyDescent="0.3">
      <c r="A3936">
        <v>212579</v>
      </c>
      <c r="B3936">
        <v>105</v>
      </c>
      <c r="C3936" t="s">
        <v>557</v>
      </c>
      <c r="D3936" t="s">
        <v>2590</v>
      </c>
      <c r="E3936" t="s">
        <v>3455</v>
      </c>
      <c r="F3936" s="451">
        <v>46077</v>
      </c>
      <c r="G3936">
        <v>17883</v>
      </c>
      <c r="H3936" t="s">
        <v>5113</v>
      </c>
      <c r="I3936" t="s">
        <v>5222</v>
      </c>
      <c r="J3936">
        <v>2</v>
      </c>
      <c r="K3936" t="s">
        <v>4738</v>
      </c>
      <c r="L3936">
        <v>56.64</v>
      </c>
      <c r="M3936">
        <v>28.32</v>
      </c>
      <c r="N3936" t="s">
        <v>5271</v>
      </c>
      <c r="O3936" t="s">
        <v>460</v>
      </c>
    </row>
    <row r="3937" spans="1:15" x14ac:dyDescent="0.3">
      <c r="A3937">
        <v>212579</v>
      </c>
      <c r="B3937">
        <v>105</v>
      </c>
      <c r="C3937" t="s">
        <v>557</v>
      </c>
      <c r="D3937" t="s">
        <v>2590</v>
      </c>
      <c r="E3937" t="s">
        <v>3455</v>
      </c>
      <c r="F3937" s="451">
        <v>46077</v>
      </c>
      <c r="G3937">
        <v>18632</v>
      </c>
      <c r="H3937" t="s">
        <v>5096</v>
      </c>
      <c r="I3937" t="s">
        <v>5222</v>
      </c>
      <c r="J3937">
        <v>2</v>
      </c>
      <c r="K3937" t="s">
        <v>4749</v>
      </c>
      <c r="L3937">
        <v>381.6</v>
      </c>
      <c r="M3937">
        <v>190.8</v>
      </c>
      <c r="N3937" t="s">
        <v>5271</v>
      </c>
      <c r="O3937" t="s">
        <v>460</v>
      </c>
    </row>
    <row r="3938" spans="1:15" x14ac:dyDescent="0.3">
      <c r="A3938">
        <v>212579</v>
      </c>
      <c r="B3938">
        <v>105</v>
      </c>
      <c r="C3938" t="s">
        <v>557</v>
      </c>
      <c r="D3938" t="s">
        <v>2590</v>
      </c>
      <c r="E3938" t="s">
        <v>3455</v>
      </c>
      <c r="F3938" s="451">
        <v>46077</v>
      </c>
      <c r="G3938">
        <v>17895</v>
      </c>
      <c r="H3938" t="s">
        <v>5086</v>
      </c>
      <c r="I3938" t="s">
        <v>5222</v>
      </c>
      <c r="J3938">
        <v>3</v>
      </c>
      <c r="K3938" t="s">
        <v>4738</v>
      </c>
      <c r="L3938">
        <v>115.29</v>
      </c>
      <c r="M3938">
        <v>38.43</v>
      </c>
      <c r="N3938" t="s">
        <v>5271</v>
      </c>
      <c r="O3938" t="s">
        <v>460</v>
      </c>
    </row>
    <row r="3939" spans="1:15" x14ac:dyDescent="0.3">
      <c r="A3939">
        <v>212579</v>
      </c>
      <c r="B3939">
        <v>105</v>
      </c>
      <c r="C3939" t="s">
        <v>557</v>
      </c>
      <c r="D3939" t="s">
        <v>2590</v>
      </c>
      <c r="E3939" t="s">
        <v>3455</v>
      </c>
      <c r="F3939" s="451">
        <v>46077</v>
      </c>
      <c r="G3939">
        <v>17881</v>
      </c>
      <c r="H3939" t="s">
        <v>5103</v>
      </c>
      <c r="I3939" t="s">
        <v>5222</v>
      </c>
      <c r="J3939">
        <v>2</v>
      </c>
      <c r="K3939" t="s">
        <v>4738</v>
      </c>
      <c r="L3939">
        <v>66.48</v>
      </c>
      <c r="M3939">
        <v>33.24</v>
      </c>
      <c r="N3939" t="s">
        <v>5271</v>
      </c>
      <c r="O3939" t="s">
        <v>460</v>
      </c>
    </row>
    <row r="3940" spans="1:15" x14ac:dyDescent="0.3">
      <c r="A3940">
        <v>212579</v>
      </c>
      <c r="B3940">
        <v>105</v>
      </c>
      <c r="C3940" t="s">
        <v>557</v>
      </c>
      <c r="D3940" t="s">
        <v>2590</v>
      </c>
      <c r="E3940" t="s">
        <v>3455</v>
      </c>
      <c r="F3940" s="451">
        <v>46077</v>
      </c>
      <c r="G3940">
        <v>17886</v>
      </c>
      <c r="H3940" t="s">
        <v>5083</v>
      </c>
      <c r="I3940" t="s">
        <v>5222</v>
      </c>
      <c r="J3940">
        <v>5</v>
      </c>
      <c r="K3940" t="s">
        <v>4738</v>
      </c>
      <c r="L3940">
        <v>141.6</v>
      </c>
      <c r="M3940">
        <v>28.32</v>
      </c>
      <c r="N3940" t="s">
        <v>5271</v>
      </c>
      <c r="O3940" t="s">
        <v>460</v>
      </c>
    </row>
    <row r="3941" spans="1:15" x14ac:dyDescent="0.3">
      <c r="A3941">
        <v>212579</v>
      </c>
      <c r="B3941">
        <v>105</v>
      </c>
      <c r="C3941" t="s">
        <v>557</v>
      </c>
      <c r="D3941" t="s">
        <v>2590</v>
      </c>
      <c r="E3941" t="s">
        <v>3455</v>
      </c>
      <c r="F3941" s="451">
        <v>46077</v>
      </c>
      <c r="G3941">
        <v>24141</v>
      </c>
      <c r="H3941" t="s">
        <v>5088</v>
      </c>
      <c r="I3941" t="s">
        <v>5222</v>
      </c>
      <c r="J3941">
        <v>8</v>
      </c>
      <c r="K3941" t="s">
        <v>4749</v>
      </c>
      <c r="L3941">
        <v>1211.5999999999999</v>
      </c>
      <c r="M3941">
        <v>151.44999999999999</v>
      </c>
      <c r="N3941" t="s">
        <v>5271</v>
      </c>
      <c r="O3941" t="s">
        <v>460</v>
      </c>
    </row>
    <row r="3942" spans="1:15" x14ac:dyDescent="0.3">
      <c r="A3942">
        <v>212579</v>
      </c>
      <c r="B3942">
        <v>105</v>
      </c>
      <c r="C3942" t="s">
        <v>557</v>
      </c>
      <c r="D3942" t="s">
        <v>2590</v>
      </c>
      <c r="E3942" t="s">
        <v>3455</v>
      </c>
      <c r="F3942" s="451">
        <v>46077</v>
      </c>
      <c r="G3942">
        <v>25561</v>
      </c>
      <c r="H3942" t="s">
        <v>5095</v>
      </c>
      <c r="I3942" t="s">
        <v>5222</v>
      </c>
      <c r="J3942">
        <v>1</v>
      </c>
      <c r="K3942" t="s">
        <v>4738</v>
      </c>
      <c r="L3942">
        <v>132.07</v>
      </c>
      <c r="M3942">
        <v>132.07</v>
      </c>
      <c r="N3942" t="s">
        <v>5271</v>
      </c>
      <c r="O3942" t="s">
        <v>460</v>
      </c>
    </row>
    <row r="3943" spans="1:15" x14ac:dyDescent="0.3">
      <c r="A3943">
        <v>212579</v>
      </c>
      <c r="B3943">
        <v>105</v>
      </c>
      <c r="C3943" t="s">
        <v>557</v>
      </c>
      <c r="D3943" t="s">
        <v>2590</v>
      </c>
      <c r="E3943" t="s">
        <v>3455</v>
      </c>
      <c r="F3943" s="451">
        <v>46077</v>
      </c>
      <c r="G3943">
        <v>26505</v>
      </c>
      <c r="H3943" t="s">
        <v>4750</v>
      </c>
      <c r="I3943" t="s">
        <v>5222</v>
      </c>
      <c r="J3943">
        <v>1</v>
      </c>
      <c r="K3943" t="s">
        <v>4738</v>
      </c>
      <c r="L3943">
        <v>216</v>
      </c>
      <c r="M3943">
        <v>216</v>
      </c>
      <c r="N3943" t="s">
        <v>5271</v>
      </c>
      <c r="O3943" t="s">
        <v>460</v>
      </c>
    </row>
    <row r="3944" spans="1:15" x14ac:dyDescent="0.3">
      <c r="A3944">
        <v>212579</v>
      </c>
      <c r="B3944">
        <v>105</v>
      </c>
      <c r="C3944" t="s">
        <v>557</v>
      </c>
      <c r="D3944" t="s">
        <v>2590</v>
      </c>
      <c r="E3944" t="s">
        <v>3455</v>
      </c>
      <c r="F3944" s="451">
        <v>46077</v>
      </c>
      <c r="G3944">
        <v>18004</v>
      </c>
      <c r="H3944" t="s">
        <v>5093</v>
      </c>
      <c r="I3944" t="s">
        <v>5222</v>
      </c>
      <c r="J3944">
        <v>1</v>
      </c>
      <c r="K3944" t="s">
        <v>4738</v>
      </c>
      <c r="L3944">
        <v>32.56</v>
      </c>
      <c r="M3944">
        <v>32.56</v>
      </c>
      <c r="N3944" t="s">
        <v>5271</v>
      </c>
      <c r="O3944" t="s">
        <v>460</v>
      </c>
    </row>
    <row r="3945" spans="1:15" x14ac:dyDescent="0.3">
      <c r="A3945">
        <v>212577</v>
      </c>
      <c r="B3945">
        <v>105</v>
      </c>
      <c r="C3945" t="s">
        <v>557</v>
      </c>
      <c r="D3945" t="s">
        <v>2590</v>
      </c>
      <c r="E3945" t="s">
        <v>3456</v>
      </c>
      <c r="F3945" s="451">
        <v>46072</v>
      </c>
      <c r="G3945">
        <v>18636</v>
      </c>
      <c r="H3945" t="s">
        <v>4964</v>
      </c>
      <c r="I3945" t="s">
        <v>5222</v>
      </c>
      <c r="J3945">
        <v>3</v>
      </c>
      <c r="K3945" t="s">
        <v>4965</v>
      </c>
      <c r="L3945">
        <v>1448.4</v>
      </c>
      <c r="M3945">
        <v>482.8</v>
      </c>
      <c r="N3945" t="s">
        <v>5271</v>
      </c>
      <c r="O3945" t="s">
        <v>460</v>
      </c>
    </row>
    <row r="3946" spans="1:15" x14ac:dyDescent="0.3">
      <c r="A3946">
        <v>212576</v>
      </c>
      <c r="B3946">
        <v>105</v>
      </c>
      <c r="C3946" t="s">
        <v>557</v>
      </c>
      <c r="D3946" t="s">
        <v>2590</v>
      </c>
      <c r="E3946" t="s">
        <v>3457</v>
      </c>
      <c r="F3946" s="451">
        <v>46072</v>
      </c>
      <c r="G3946">
        <v>18579</v>
      </c>
      <c r="H3946" t="s">
        <v>5087</v>
      </c>
      <c r="I3946" t="s">
        <v>5222</v>
      </c>
      <c r="J3946">
        <v>3</v>
      </c>
      <c r="K3946" t="s">
        <v>4749</v>
      </c>
      <c r="L3946">
        <v>491.76</v>
      </c>
      <c r="M3946">
        <v>163.92</v>
      </c>
      <c r="N3946" t="s">
        <v>5271</v>
      </c>
      <c r="O3946" t="s">
        <v>460</v>
      </c>
    </row>
    <row r="3947" spans="1:15" x14ac:dyDescent="0.3">
      <c r="A3947">
        <v>212576</v>
      </c>
      <c r="B3947">
        <v>105</v>
      </c>
      <c r="C3947" t="s">
        <v>557</v>
      </c>
      <c r="D3947" t="s">
        <v>2590</v>
      </c>
      <c r="E3947" t="s">
        <v>3457</v>
      </c>
      <c r="F3947" s="451">
        <v>46072</v>
      </c>
      <c r="G3947">
        <v>17905</v>
      </c>
      <c r="H3947" t="s">
        <v>5085</v>
      </c>
      <c r="I3947" t="s">
        <v>5222</v>
      </c>
      <c r="J3947">
        <v>3</v>
      </c>
      <c r="K3947" t="s">
        <v>4738</v>
      </c>
      <c r="L3947">
        <v>76.59</v>
      </c>
      <c r="M3947">
        <v>25.53</v>
      </c>
      <c r="N3947" t="s">
        <v>5271</v>
      </c>
      <c r="O3947" t="s">
        <v>460</v>
      </c>
    </row>
    <row r="3948" spans="1:15" x14ac:dyDescent="0.3">
      <c r="A3948">
        <v>212576</v>
      </c>
      <c r="B3948">
        <v>105</v>
      </c>
      <c r="C3948" t="s">
        <v>557</v>
      </c>
      <c r="D3948" t="s">
        <v>2590</v>
      </c>
      <c r="E3948" t="s">
        <v>3457</v>
      </c>
      <c r="F3948" s="451">
        <v>46072</v>
      </c>
      <c r="G3948">
        <v>17918</v>
      </c>
      <c r="H3948" t="s">
        <v>5368</v>
      </c>
      <c r="I3948" t="s">
        <v>5222</v>
      </c>
      <c r="J3948">
        <v>4</v>
      </c>
      <c r="K3948" t="s">
        <v>4738</v>
      </c>
      <c r="L3948">
        <v>172.8</v>
      </c>
      <c r="M3948">
        <v>43.2</v>
      </c>
      <c r="N3948" t="s">
        <v>5271</v>
      </c>
      <c r="O3948" t="s">
        <v>460</v>
      </c>
    </row>
    <row r="3949" spans="1:15" x14ac:dyDescent="0.3">
      <c r="A3949">
        <v>212576</v>
      </c>
      <c r="B3949">
        <v>105</v>
      </c>
      <c r="C3949" t="s">
        <v>557</v>
      </c>
      <c r="D3949" t="s">
        <v>2590</v>
      </c>
      <c r="E3949" t="s">
        <v>3457</v>
      </c>
      <c r="F3949" s="451">
        <v>46072</v>
      </c>
      <c r="G3949">
        <v>18586</v>
      </c>
      <c r="H3949" t="s">
        <v>4966</v>
      </c>
      <c r="I3949" t="s">
        <v>5222</v>
      </c>
      <c r="J3949">
        <v>2</v>
      </c>
      <c r="K3949" t="s">
        <v>4738</v>
      </c>
      <c r="L3949">
        <v>264.14</v>
      </c>
      <c r="M3949">
        <v>132.07</v>
      </c>
      <c r="N3949" t="s">
        <v>5271</v>
      </c>
      <c r="O3949" t="s">
        <v>460</v>
      </c>
    </row>
    <row r="3950" spans="1:15" x14ac:dyDescent="0.3">
      <c r="A3950">
        <v>212576</v>
      </c>
      <c r="B3950">
        <v>105</v>
      </c>
      <c r="C3950" t="s">
        <v>557</v>
      </c>
      <c r="D3950" t="s">
        <v>2590</v>
      </c>
      <c r="E3950" t="s">
        <v>3457</v>
      </c>
      <c r="F3950" s="451">
        <v>46072</v>
      </c>
      <c r="G3950">
        <v>24141</v>
      </c>
      <c r="H3950" t="s">
        <v>5088</v>
      </c>
      <c r="I3950" t="s">
        <v>5222</v>
      </c>
      <c r="J3950">
        <v>3</v>
      </c>
      <c r="K3950" t="s">
        <v>4749</v>
      </c>
      <c r="L3950">
        <v>403.8</v>
      </c>
      <c r="M3950">
        <v>134.6</v>
      </c>
      <c r="N3950" t="s">
        <v>5271</v>
      </c>
      <c r="O3950" t="s">
        <v>460</v>
      </c>
    </row>
    <row r="3951" spans="1:15" x14ac:dyDescent="0.3">
      <c r="A3951">
        <v>212576</v>
      </c>
      <c r="B3951">
        <v>105</v>
      </c>
      <c r="C3951" t="s">
        <v>557</v>
      </c>
      <c r="D3951" t="s">
        <v>2590</v>
      </c>
      <c r="E3951" t="s">
        <v>3457</v>
      </c>
      <c r="F3951" s="451">
        <v>46072</v>
      </c>
      <c r="G3951">
        <v>25561</v>
      </c>
      <c r="H3951" t="s">
        <v>5095</v>
      </c>
      <c r="I3951" t="s">
        <v>5222</v>
      </c>
      <c r="J3951">
        <v>1</v>
      </c>
      <c r="K3951" t="s">
        <v>4738</v>
      </c>
      <c r="L3951">
        <v>110.3</v>
      </c>
      <c r="M3951">
        <v>110.3</v>
      </c>
      <c r="N3951" t="s">
        <v>5271</v>
      </c>
      <c r="O3951" t="s">
        <v>460</v>
      </c>
    </row>
    <row r="3952" spans="1:15" x14ac:dyDescent="0.3">
      <c r="A3952">
        <v>212576</v>
      </c>
      <c r="B3952">
        <v>105</v>
      </c>
      <c r="C3952" t="s">
        <v>557</v>
      </c>
      <c r="D3952" t="s">
        <v>2590</v>
      </c>
      <c r="E3952" t="s">
        <v>3457</v>
      </c>
      <c r="F3952" s="451">
        <v>46072</v>
      </c>
      <c r="G3952">
        <v>26505</v>
      </c>
      <c r="H3952" t="s">
        <v>4750</v>
      </c>
      <c r="I3952" t="s">
        <v>5222</v>
      </c>
      <c r="J3952">
        <v>3</v>
      </c>
      <c r="K3952" t="s">
        <v>4738</v>
      </c>
      <c r="L3952">
        <v>648</v>
      </c>
      <c r="M3952">
        <v>216</v>
      </c>
      <c r="N3952" t="s">
        <v>5271</v>
      </c>
      <c r="O3952" t="s">
        <v>460</v>
      </c>
    </row>
    <row r="3953" spans="1:15" x14ac:dyDescent="0.3">
      <c r="A3953">
        <v>212575</v>
      </c>
      <c r="B3953">
        <v>105</v>
      </c>
      <c r="C3953" t="s">
        <v>557</v>
      </c>
      <c r="D3953" t="s">
        <v>2590</v>
      </c>
      <c r="E3953" t="s">
        <v>3458</v>
      </c>
      <c r="F3953" s="451">
        <v>46070</v>
      </c>
      <c r="G3953">
        <v>18632</v>
      </c>
      <c r="H3953" t="s">
        <v>5096</v>
      </c>
      <c r="I3953" t="s">
        <v>5222</v>
      </c>
      <c r="J3953">
        <v>2</v>
      </c>
      <c r="K3953" t="s">
        <v>4749</v>
      </c>
      <c r="L3953">
        <v>297.98</v>
      </c>
      <c r="M3953">
        <v>148.99</v>
      </c>
      <c r="N3953" t="s">
        <v>5271</v>
      </c>
      <c r="O3953" t="s">
        <v>460</v>
      </c>
    </row>
    <row r="3954" spans="1:15" x14ac:dyDescent="0.3">
      <c r="A3954">
        <v>212575</v>
      </c>
      <c r="B3954">
        <v>105</v>
      </c>
      <c r="C3954" t="s">
        <v>557</v>
      </c>
      <c r="D3954" t="s">
        <v>2590</v>
      </c>
      <c r="E3954" t="s">
        <v>3458</v>
      </c>
      <c r="F3954" s="451">
        <v>46070</v>
      </c>
      <c r="G3954">
        <v>18586</v>
      </c>
      <c r="H3954" t="s">
        <v>4966</v>
      </c>
      <c r="I3954" t="s">
        <v>5222</v>
      </c>
      <c r="J3954">
        <v>1</v>
      </c>
      <c r="K3954" t="s">
        <v>4738</v>
      </c>
      <c r="L3954">
        <v>107.63</v>
      </c>
      <c r="M3954">
        <v>107.63</v>
      </c>
      <c r="N3954" t="s">
        <v>5271</v>
      </c>
      <c r="O3954" t="s">
        <v>460</v>
      </c>
    </row>
    <row r="3955" spans="1:15" x14ac:dyDescent="0.3">
      <c r="A3955">
        <v>212575</v>
      </c>
      <c r="B3955">
        <v>105</v>
      </c>
      <c r="C3955" t="s">
        <v>557</v>
      </c>
      <c r="D3955" t="s">
        <v>2590</v>
      </c>
      <c r="E3955" t="s">
        <v>3458</v>
      </c>
      <c r="F3955" s="451">
        <v>46070</v>
      </c>
      <c r="G3955">
        <v>24141</v>
      </c>
      <c r="H3955" t="s">
        <v>5088</v>
      </c>
      <c r="I3955" t="s">
        <v>5222</v>
      </c>
      <c r="J3955">
        <v>5</v>
      </c>
      <c r="K3955" t="s">
        <v>4749</v>
      </c>
      <c r="L3955">
        <v>492.65</v>
      </c>
      <c r="M3955">
        <v>98.53</v>
      </c>
      <c r="N3955" t="s">
        <v>5271</v>
      </c>
      <c r="O3955" t="s">
        <v>460</v>
      </c>
    </row>
    <row r="3956" spans="1:15" x14ac:dyDescent="0.3">
      <c r="A3956">
        <v>212566</v>
      </c>
      <c r="B3956">
        <v>105</v>
      </c>
      <c r="C3956" t="s">
        <v>557</v>
      </c>
      <c r="D3956" t="s">
        <v>2550</v>
      </c>
      <c r="E3956" t="s">
        <v>3459</v>
      </c>
      <c r="F3956" s="451">
        <v>46077</v>
      </c>
      <c r="G3956">
        <v>26034</v>
      </c>
      <c r="H3956" t="s">
        <v>4828</v>
      </c>
      <c r="I3956" t="s">
        <v>5222</v>
      </c>
      <c r="J3956">
        <v>6</v>
      </c>
      <c r="K3956" t="s">
        <v>4805</v>
      </c>
      <c r="L3956">
        <v>303.18</v>
      </c>
      <c r="M3956">
        <v>50.53</v>
      </c>
      <c r="N3956" t="s">
        <v>5383</v>
      </c>
      <c r="O3956" t="s">
        <v>460</v>
      </c>
    </row>
    <row r="3957" spans="1:15" x14ac:dyDescent="0.3">
      <c r="A3957">
        <v>212566</v>
      </c>
      <c r="B3957">
        <v>105</v>
      </c>
      <c r="C3957" t="s">
        <v>557</v>
      </c>
      <c r="D3957" t="s">
        <v>2550</v>
      </c>
      <c r="E3957" t="s">
        <v>3459</v>
      </c>
      <c r="F3957" s="451">
        <v>46077</v>
      </c>
      <c r="G3957">
        <v>26040</v>
      </c>
      <c r="H3957" t="s">
        <v>4812</v>
      </c>
      <c r="I3957" t="s">
        <v>5222</v>
      </c>
      <c r="J3957">
        <v>6</v>
      </c>
      <c r="K3957" t="s">
        <v>4805</v>
      </c>
      <c r="L3957">
        <v>303.18</v>
      </c>
      <c r="M3957">
        <v>50.53</v>
      </c>
      <c r="N3957" t="s">
        <v>5383</v>
      </c>
      <c r="O3957" t="s">
        <v>460</v>
      </c>
    </row>
    <row r="3958" spans="1:15" x14ac:dyDescent="0.3">
      <c r="A3958">
        <v>212565</v>
      </c>
      <c r="B3958">
        <v>105</v>
      </c>
      <c r="C3958" t="s">
        <v>557</v>
      </c>
      <c r="D3958" t="s">
        <v>2597</v>
      </c>
      <c r="E3958" t="s">
        <v>3460</v>
      </c>
      <c r="F3958" s="451">
        <v>46078</v>
      </c>
      <c r="G3958">
        <v>24259</v>
      </c>
      <c r="H3958" t="s">
        <v>4875</v>
      </c>
      <c r="I3958" t="s">
        <v>5191</v>
      </c>
      <c r="J3958">
        <v>15</v>
      </c>
      <c r="K3958" t="s">
        <v>4744</v>
      </c>
      <c r="L3958">
        <v>1203.5999999999999</v>
      </c>
      <c r="M3958">
        <v>80.239999999999995</v>
      </c>
      <c r="N3958" t="s">
        <v>5272</v>
      </c>
      <c r="O3958" t="s">
        <v>460</v>
      </c>
    </row>
    <row r="3959" spans="1:15" x14ac:dyDescent="0.3">
      <c r="A3959">
        <v>212565</v>
      </c>
      <c r="B3959">
        <v>105</v>
      </c>
      <c r="C3959" t="s">
        <v>557</v>
      </c>
      <c r="D3959" t="s">
        <v>2597</v>
      </c>
      <c r="E3959" t="s">
        <v>3460</v>
      </c>
      <c r="F3959" s="451">
        <v>46078</v>
      </c>
      <c r="G3959">
        <v>25205</v>
      </c>
      <c r="H3959" t="s">
        <v>4850</v>
      </c>
      <c r="I3959" t="s">
        <v>5191</v>
      </c>
      <c r="J3959">
        <v>5.6</v>
      </c>
      <c r="K3959" t="s">
        <v>4744</v>
      </c>
      <c r="L3959">
        <v>117.04</v>
      </c>
      <c r="M3959">
        <v>20.9</v>
      </c>
      <c r="N3959" t="s">
        <v>5272</v>
      </c>
      <c r="O3959" t="s">
        <v>460</v>
      </c>
    </row>
    <row r="3960" spans="1:15" x14ac:dyDescent="0.3">
      <c r="A3960">
        <v>212565</v>
      </c>
      <c r="B3960">
        <v>105</v>
      </c>
      <c r="C3960" t="s">
        <v>557</v>
      </c>
      <c r="D3960" t="s">
        <v>2597</v>
      </c>
      <c r="E3960" t="s">
        <v>3460</v>
      </c>
      <c r="F3960" s="451">
        <v>46078</v>
      </c>
      <c r="G3960">
        <v>18996</v>
      </c>
      <c r="H3960" t="s">
        <v>5130</v>
      </c>
      <c r="I3960" t="s">
        <v>5191</v>
      </c>
      <c r="J3960">
        <v>3</v>
      </c>
      <c r="K3960" t="s">
        <v>4744</v>
      </c>
      <c r="L3960">
        <v>49.47</v>
      </c>
      <c r="M3960">
        <v>16.489999999999998</v>
      </c>
      <c r="N3960" t="s">
        <v>5272</v>
      </c>
      <c r="O3960" t="s">
        <v>460</v>
      </c>
    </row>
    <row r="3961" spans="1:15" x14ac:dyDescent="0.3">
      <c r="A3961">
        <v>212565</v>
      </c>
      <c r="B3961">
        <v>105</v>
      </c>
      <c r="C3961" t="s">
        <v>557</v>
      </c>
      <c r="D3961" t="s">
        <v>2597</v>
      </c>
      <c r="E3961" t="s">
        <v>3460</v>
      </c>
      <c r="F3961" s="451">
        <v>46078</v>
      </c>
      <c r="G3961">
        <v>24278</v>
      </c>
      <c r="H3961" t="s">
        <v>4901</v>
      </c>
      <c r="I3961" t="s">
        <v>5191</v>
      </c>
      <c r="J3961">
        <v>6.1</v>
      </c>
      <c r="K3961" t="s">
        <v>4744</v>
      </c>
      <c r="L3961">
        <v>78.69</v>
      </c>
      <c r="M3961">
        <v>12.9</v>
      </c>
      <c r="N3961" t="s">
        <v>5272</v>
      </c>
      <c r="O3961" t="s">
        <v>460</v>
      </c>
    </row>
    <row r="3962" spans="1:15" x14ac:dyDescent="0.3">
      <c r="A3962">
        <v>212565</v>
      </c>
      <c r="B3962">
        <v>105</v>
      </c>
      <c r="C3962" t="s">
        <v>557</v>
      </c>
      <c r="D3962" t="s">
        <v>2597</v>
      </c>
      <c r="E3962" t="s">
        <v>3460</v>
      </c>
      <c r="F3962" s="451">
        <v>46078</v>
      </c>
      <c r="G3962">
        <v>24320</v>
      </c>
      <c r="H3962" t="s">
        <v>4861</v>
      </c>
      <c r="I3962" t="s">
        <v>5191</v>
      </c>
      <c r="J3962">
        <v>6.6</v>
      </c>
      <c r="K3962" t="s">
        <v>4744</v>
      </c>
      <c r="L3962">
        <v>236.94</v>
      </c>
      <c r="M3962">
        <v>35.9</v>
      </c>
      <c r="N3962" t="s">
        <v>5272</v>
      </c>
      <c r="O3962" t="s">
        <v>460</v>
      </c>
    </row>
    <row r="3963" spans="1:15" x14ac:dyDescent="0.3">
      <c r="A3963">
        <v>212563</v>
      </c>
      <c r="B3963">
        <v>105</v>
      </c>
      <c r="C3963" t="s">
        <v>557</v>
      </c>
      <c r="D3963" t="s">
        <v>2597</v>
      </c>
      <c r="E3963" t="s">
        <v>3461</v>
      </c>
      <c r="F3963" s="451">
        <v>46073</v>
      </c>
      <c r="G3963">
        <v>24320</v>
      </c>
      <c r="H3963" t="s">
        <v>4861</v>
      </c>
      <c r="I3963" t="s">
        <v>5191</v>
      </c>
      <c r="J3963">
        <v>5.4</v>
      </c>
      <c r="K3963" t="s">
        <v>4744</v>
      </c>
      <c r="L3963">
        <v>193.86</v>
      </c>
      <c r="M3963">
        <v>35.9</v>
      </c>
      <c r="N3963" t="s">
        <v>5272</v>
      </c>
      <c r="O3963" t="s">
        <v>460</v>
      </c>
    </row>
    <row r="3964" spans="1:15" x14ac:dyDescent="0.3">
      <c r="A3964">
        <v>212563</v>
      </c>
      <c r="B3964">
        <v>105</v>
      </c>
      <c r="C3964" t="s">
        <v>557</v>
      </c>
      <c r="D3964" t="s">
        <v>2597</v>
      </c>
      <c r="E3964" t="s">
        <v>3461</v>
      </c>
      <c r="F3964" s="451">
        <v>46073</v>
      </c>
      <c r="G3964">
        <v>24116</v>
      </c>
      <c r="H3964" t="s">
        <v>4777</v>
      </c>
      <c r="I3964" t="s">
        <v>5191</v>
      </c>
      <c r="J3964">
        <v>5</v>
      </c>
      <c r="K3964" t="s">
        <v>4744</v>
      </c>
      <c r="L3964">
        <v>209.5</v>
      </c>
      <c r="M3964">
        <v>41.9</v>
      </c>
      <c r="N3964" t="s">
        <v>5272</v>
      </c>
      <c r="O3964" t="s">
        <v>460</v>
      </c>
    </row>
    <row r="3965" spans="1:15" x14ac:dyDescent="0.3">
      <c r="A3965">
        <v>212562</v>
      </c>
      <c r="B3965">
        <v>105</v>
      </c>
      <c r="C3965" t="s">
        <v>557</v>
      </c>
      <c r="D3965" t="s">
        <v>3462</v>
      </c>
      <c r="E3965" t="s">
        <v>3463</v>
      </c>
      <c r="F3965" s="451">
        <v>46071</v>
      </c>
      <c r="G3965">
        <v>17554</v>
      </c>
      <c r="H3965" t="s">
        <v>5320</v>
      </c>
      <c r="I3965" t="s">
        <v>5188</v>
      </c>
      <c r="J3965">
        <v>1</v>
      </c>
      <c r="K3965" t="s">
        <v>4749</v>
      </c>
      <c r="L3965">
        <v>202.9</v>
      </c>
      <c r="M3965">
        <v>202.9</v>
      </c>
      <c r="N3965" t="s">
        <v>5277</v>
      </c>
      <c r="O3965" t="s">
        <v>460</v>
      </c>
    </row>
    <row r="3966" spans="1:15" x14ac:dyDescent="0.3">
      <c r="A3966">
        <v>212562</v>
      </c>
      <c r="B3966">
        <v>105</v>
      </c>
      <c r="C3966" t="s">
        <v>557</v>
      </c>
      <c r="D3966" t="s">
        <v>3462</v>
      </c>
      <c r="E3966" t="s">
        <v>3463</v>
      </c>
      <c r="F3966" s="451">
        <v>46071</v>
      </c>
      <c r="G3966">
        <v>26928</v>
      </c>
      <c r="H3966" t="s">
        <v>5298</v>
      </c>
      <c r="I3966" t="s">
        <v>5188</v>
      </c>
      <c r="J3966">
        <v>1</v>
      </c>
      <c r="K3966" t="s">
        <v>4736</v>
      </c>
      <c r="L3966">
        <v>9.9</v>
      </c>
      <c r="M3966">
        <v>9.9</v>
      </c>
      <c r="N3966" t="s">
        <v>5277</v>
      </c>
      <c r="O3966" t="s">
        <v>460</v>
      </c>
    </row>
    <row r="3967" spans="1:15" x14ac:dyDescent="0.3">
      <c r="A3967">
        <v>212562</v>
      </c>
      <c r="B3967">
        <v>105</v>
      </c>
      <c r="C3967" t="s">
        <v>557</v>
      </c>
      <c r="D3967" t="s">
        <v>3462</v>
      </c>
      <c r="E3967" t="s">
        <v>3463</v>
      </c>
      <c r="F3967" s="451">
        <v>46071</v>
      </c>
      <c r="G3967">
        <v>17391</v>
      </c>
      <c r="H3967" t="s">
        <v>5254</v>
      </c>
      <c r="I3967" t="s">
        <v>5188</v>
      </c>
      <c r="J3967">
        <v>1</v>
      </c>
      <c r="K3967" t="s">
        <v>4738</v>
      </c>
      <c r="L3967">
        <v>65.900000000000006</v>
      </c>
      <c r="M3967">
        <v>65.900000000000006</v>
      </c>
      <c r="N3967" t="s">
        <v>5277</v>
      </c>
      <c r="O3967" t="s">
        <v>460</v>
      </c>
    </row>
    <row r="3968" spans="1:15" x14ac:dyDescent="0.3">
      <c r="A3968">
        <v>212562</v>
      </c>
      <c r="B3968">
        <v>105</v>
      </c>
      <c r="C3968" t="s">
        <v>557</v>
      </c>
      <c r="D3968" t="s">
        <v>3462</v>
      </c>
      <c r="E3968" t="s">
        <v>3463</v>
      </c>
      <c r="F3968" s="451">
        <v>46071</v>
      </c>
      <c r="G3968">
        <v>26944</v>
      </c>
      <c r="H3968" t="s">
        <v>5325</v>
      </c>
      <c r="I3968" t="s">
        <v>5188</v>
      </c>
      <c r="J3968">
        <v>1</v>
      </c>
      <c r="K3968" t="s">
        <v>4738</v>
      </c>
      <c r="L3968">
        <v>226.9</v>
      </c>
      <c r="M3968">
        <v>226.9</v>
      </c>
      <c r="N3968" t="s">
        <v>5277</v>
      </c>
      <c r="O3968" t="s">
        <v>460</v>
      </c>
    </row>
    <row r="3969" spans="1:15" x14ac:dyDescent="0.3">
      <c r="A3969">
        <v>212561</v>
      </c>
      <c r="B3969">
        <v>105</v>
      </c>
      <c r="C3969" t="s">
        <v>557</v>
      </c>
      <c r="D3969" t="s">
        <v>2554</v>
      </c>
      <c r="E3969" t="s">
        <v>3464</v>
      </c>
      <c r="F3969" s="451">
        <v>46078</v>
      </c>
      <c r="G3969">
        <v>17129</v>
      </c>
      <c r="H3969" t="s">
        <v>5202</v>
      </c>
      <c r="I3969" t="s">
        <v>5188</v>
      </c>
      <c r="J3969">
        <v>1</v>
      </c>
      <c r="K3969" t="s">
        <v>4738</v>
      </c>
      <c r="L3969">
        <v>26.61</v>
      </c>
      <c r="M3969">
        <v>26.61</v>
      </c>
      <c r="N3969" t="s">
        <v>5277</v>
      </c>
      <c r="O3969" t="s">
        <v>460</v>
      </c>
    </row>
    <row r="3970" spans="1:15" x14ac:dyDescent="0.3">
      <c r="A3970">
        <v>212561</v>
      </c>
      <c r="B3970">
        <v>105</v>
      </c>
      <c r="C3970" t="s">
        <v>557</v>
      </c>
      <c r="D3970" t="s">
        <v>2554</v>
      </c>
      <c r="E3970" t="s">
        <v>3464</v>
      </c>
      <c r="F3970" s="451">
        <v>46078</v>
      </c>
      <c r="G3970">
        <v>17405</v>
      </c>
      <c r="H3970" t="s">
        <v>5200</v>
      </c>
      <c r="I3970" t="s">
        <v>5188</v>
      </c>
      <c r="J3970">
        <v>1</v>
      </c>
      <c r="K3970" t="s">
        <v>4736</v>
      </c>
      <c r="L3970">
        <v>9.26</v>
      </c>
      <c r="M3970">
        <v>9.26</v>
      </c>
      <c r="N3970" t="s">
        <v>5277</v>
      </c>
      <c r="O3970" t="s">
        <v>460</v>
      </c>
    </row>
    <row r="3971" spans="1:15" x14ac:dyDescent="0.3">
      <c r="A3971">
        <v>212561</v>
      </c>
      <c r="B3971">
        <v>105</v>
      </c>
      <c r="C3971" t="s">
        <v>557</v>
      </c>
      <c r="D3971" t="s">
        <v>2554</v>
      </c>
      <c r="E3971" t="s">
        <v>3464</v>
      </c>
      <c r="F3971" s="451">
        <v>46078</v>
      </c>
      <c r="G3971">
        <v>17437</v>
      </c>
      <c r="H3971" t="s">
        <v>5203</v>
      </c>
      <c r="I3971" t="s">
        <v>5188</v>
      </c>
      <c r="J3971">
        <v>20</v>
      </c>
      <c r="K3971" t="s">
        <v>4736</v>
      </c>
      <c r="L3971">
        <v>46</v>
      </c>
      <c r="M3971">
        <v>2.2999999999999998</v>
      </c>
      <c r="N3971" t="s">
        <v>5277</v>
      </c>
      <c r="O3971" t="s">
        <v>460</v>
      </c>
    </row>
    <row r="3972" spans="1:15" x14ac:dyDescent="0.3">
      <c r="A3972">
        <v>212561</v>
      </c>
      <c r="B3972">
        <v>105</v>
      </c>
      <c r="C3972" t="s">
        <v>557</v>
      </c>
      <c r="D3972" t="s">
        <v>2554</v>
      </c>
      <c r="E3972" t="s">
        <v>3464</v>
      </c>
      <c r="F3972" s="451">
        <v>46078</v>
      </c>
      <c r="G3972">
        <v>17185</v>
      </c>
      <c r="H3972" t="s">
        <v>5384</v>
      </c>
      <c r="I3972" t="s">
        <v>5188</v>
      </c>
      <c r="J3972">
        <v>1</v>
      </c>
      <c r="K3972" t="s">
        <v>4848</v>
      </c>
      <c r="L3972">
        <v>15.95</v>
      </c>
      <c r="M3972">
        <v>15.95</v>
      </c>
      <c r="N3972" t="s">
        <v>5277</v>
      </c>
      <c r="O3972" t="s">
        <v>460</v>
      </c>
    </row>
    <row r="3973" spans="1:15" x14ac:dyDescent="0.3">
      <c r="A3973">
        <v>212561</v>
      </c>
      <c r="B3973">
        <v>105</v>
      </c>
      <c r="C3973" t="s">
        <v>557</v>
      </c>
      <c r="D3973" t="s">
        <v>2554</v>
      </c>
      <c r="E3973" t="s">
        <v>3464</v>
      </c>
      <c r="F3973" s="451">
        <v>46078</v>
      </c>
      <c r="G3973">
        <v>17341</v>
      </c>
      <c r="H3973" t="s">
        <v>5291</v>
      </c>
      <c r="I3973" t="s">
        <v>5188</v>
      </c>
      <c r="J3973">
        <v>1</v>
      </c>
      <c r="K3973" t="s">
        <v>4888</v>
      </c>
      <c r="L3973">
        <v>74.8</v>
      </c>
      <c r="M3973">
        <v>74.8</v>
      </c>
      <c r="N3973" t="s">
        <v>5277</v>
      </c>
      <c r="O3973" t="s">
        <v>460</v>
      </c>
    </row>
    <row r="3974" spans="1:15" x14ac:dyDescent="0.3">
      <c r="A3974">
        <v>212561</v>
      </c>
      <c r="B3974">
        <v>105</v>
      </c>
      <c r="C3974" t="s">
        <v>557</v>
      </c>
      <c r="D3974" t="s">
        <v>2554</v>
      </c>
      <c r="E3974" t="s">
        <v>3464</v>
      </c>
      <c r="F3974" s="451">
        <v>46078</v>
      </c>
      <c r="G3974">
        <v>17314</v>
      </c>
      <c r="H3974" t="s">
        <v>5208</v>
      </c>
      <c r="I3974" t="s">
        <v>5188</v>
      </c>
      <c r="J3974">
        <v>3</v>
      </c>
      <c r="K3974" t="s">
        <v>4848</v>
      </c>
      <c r="L3974">
        <v>17.670000000000002</v>
      </c>
      <c r="M3974">
        <v>5.89</v>
      </c>
      <c r="N3974" t="s">
        <v>5277</v>
      </c>
      <c r="O3974" t="s">
        <v>460</v>
      </c>
    </row>
    <row r="3975" spans="1:15" x14ac:dyDescent="0.3">
      <c r="A3975">
        <v>212561</v>
      </c>
      <c r="B3975">
        <v>105</v>
      </c>
      <c r="C3975" t="s">
        <v>557</v>
      </c>
      <c r="D3975" t="s">
        <v>2554</v>
      </c>
      <c r="E3975" t="s">
        <v>3464</v>
      </c>
      <c r="F3975" s="451">
        <v>46078</v>
      </c>
      <c r="G3975">
        <v>17190</v>
      </c>
      <c r="H3975" t="s">
        <v>5193</v>
      </c>
      <c r="I3975" t="s">
        <v>5188</v>
      </c>
      <c r="J3975">
        <v>2</v>
      </c>
      <c r="K3975" t="s">
        <v>4738</v>
      </c>
      <c r="L3975">
        <v>16.600000000000001</v>
      </c>
      <c r="M3975">
        <v>8.3000000000000007</v>
      </c>
      <c r="N3975" t="s">
        <v>5277</v>
      </c>
      <c r="O3975" t="s">
        <v>460</v>
      </c>
    </row>
    <row r="3976" spans="1:15" x14ac:dyDescent="0.3">
      <c r="A3976">
        <v>212561</v>
      </c>
      <c r="B3976">
        <v>105</v>
      </c>
      <c r="C3976" t="s">
        <v>557</v>
      </c>
      <c r="D3976" t="s">
        <v>2554</v>
      </c>
      <c r="E3976" t="s">
        <v>3464</v>
      </c>
      <c r="F3976" s="451">
        <v>46078</v>
      </c>
      <c r="G3976">
        <v>17304</v>
      </c>
      <c r="H3976" t="s">
        <v>5195</v>
      </c>
      <c r="I3976" t="s">
        <v>5188</v>
      </c>
      <c r="J3976">
        <v>2</v>
      </c>
      <c r="K3976" t="s">
        <v>4848</v>
      </c>
      <c r="L3976">
        <v>13.18</v>
      </c>
      <c r="M3976">
        <v>6.59</v>
      </c>
      <c r="N3976" t="s">
        <v>5277</v>
      </c>
      <c r="O3976" t="s">
        <v>460</v>
      </c>
    </row>
    <row r="3977" spans="1:15" x14ac:dyDescent="0.3">
      <c r="A3977">
        <v>212561</v>
      </c>
      <c r="B3977">
        <v>105</v>
      </c>
      <c r="C3977" t="s">
        <v>557</v>
      </c>
      <c r="D3977" t="s">
        <v>2554</v>
      </c>
      <c r="E3977" t="s">
        <v>3464</v>
      </c>
      <c r="F3977" s="451">
        <v>46078</v>
      </c>
      <c r="G3977">
        <v>21783</v>
      </c>
      <c r="H3977" t="s">
        <v>5210</v>
      </c>
      <c r="I3977" t="s">
        <v>5205</v>
      </c>
      <c r="J3977">
        <v>2</v>
      </c>
      <c r="K3977" t="s">
        <v>4736</v>
      </c>
      <c r="L3977">
        <v>21.12</v>
      </c>
      <c r="M3977">
        <v>10.56</v>
      </c>
      <c r="N3977" t="s">
        <v>5277</v>
      </c>
      <c r="O3977" t="s">
        <v>460</v>
      </c>
    </row>
    <row r="3978" spans="1:15" x14ac:dyDescent="0.3">
      <c r="A3978">
        <v>212561</v>
      </c>
      <c r="B3978">
        <v>105</v>
      </c>
      <c r="C3978" t="s">
        <v>557</v>
      </c>
      <c r="D3978" t="s">
        <v>2554</v>
      </c>
      <c r="E3978" t="s">
        <v>3464</v>
      </c>
      <c r="F3978" s="451">
        <v>46078</v>
      </c>
      <c r="G3978">
        <v>23970</v>
      </c>
      <c r="H3978" t="s">
        <v>5385</v>
      </c>
      <c r="I3978" t="s">
        <v>5232</v>
      </c>
      <c r="J3978">
        <v>2</v>
      </c>
      <c r="K3978" t="s">
        <v>4736</v>
      </c>
      <c r="L3978">
        <v>24.4</v>
      </c>
      <c r="M3978">
        <v>12.2</v>
      </c>
      <c r="N3978" t="s">
        <v>5277</v>
      </c>
      <c r="O3978" t="s">
        <v>460</v>
      </c>
    </row>
    <row r="3979" spans="1:15" x14ac:dyDescent="0.3">
      <c r="A3979">
        <v>212561</v>
      </c>
      <c r="B3979">
        <v>105</v>
      </c>
      <c r="C3979" t="s">
        <v>557</v>
      </c>
      <c r="D3979" t="s">
        <v>2554</v>
      </c>
      <c r="E3979" t="s">
        <v>3464</v>
      </c>
      <c r="F3979" s="451">
        <v>46078</v>
      </c>
      <c r="G3979">
        <v>17404</v>
      </c>
      <c r="H3979" t="s">
        <v>5295</v>
      </c>
      <c r="I3979" t="s">
        <v>5188</v>
      </c>
      <c r="J3979">
        <v>1</v>
      </c>
      <c r="K3979" t="s">
        <v>4736</v>
      </c>
      <c r="L3979">
        <v>18.43</v>
      </c>
      <c r="M3979">
        <v>18.43</v>
      </c>
      <c r="N3979" t="s">
        <v>5277</v>
      </c>
      <c r="O3979" t="s">
        <v>460</v>
      </c>
    </row>
    <row r="3980" spans="1:15" x14ac:dyDescent="0.3">
      <c r="A3980">
        <v>212561</v>
      </c>
      <c r="B3980">
        <v>105</v>
      </c>
      <c r="C3980" t="s">
        <v>557</v>
      </c>
      <c r="D3980" t="s">
        <v>2554</v>
      </c>
      <c r="E3980" t="s">
        <v>3464</v>
      </c>
      <c r="F3980" s="451">
        <v>46078</v>
      </c>
      <c r="G3980">
        <v>17266</v>
      </c>
      <c r="H3980" t="s">
        <v>5192</v>
      </c>
      <c r="I3980" t="s">
        <v>5188</v>
      </c>
      <c r="J3980">
        <v>2</v>
      </c>
      <c r="K3980" t="s">
        <v>4736</v>
      </c>
      <c r="L3980">
        <v>9.3000000000000007</v>
      </c>
      <c r="M3980">
        <v>4.6500000000000004</v>
      </c>
      <c r="N3980" t="s">
        <v>5277</v>
      </c>
      <c r="O3980" t="s">
        <v>460</v>
      </c>
    </row>
    <row r="3981" spans="1:15" x14ac:dyDescent="0.3">
      <c r="A3981">
        <v>212561</v>
      </c>
      <c r="B3981">
        <v>105</v>
      </c>
      <c r="C3981" t="s">
        <v>557</v>
      </c>
      <c r="D3981" t="s">
        <v>2554</v>
      </c>
      <c r="E3981" t="s">
        <v>3464</v>
      </c>
      <c r="F3981" s="451">
        <v>46078</v>
      </c>
      <c r="G3981">
        <v>17215</v>
      </c>
      <c r="H3981" t="s">
        <v>5299</v>
      </c>
      <c r="I3981" t="s">
        <v>5188</v>
      </c>
      <c r="J3981">
        <v>6</v>
      </c>
      <c r="K3981" t="s">
        <v>4848</v>
      </c>
      <c r="L3981">
        <v>119.94</v>
      </c>
      <c r="M3981">
        <v>19.989999999999998</v>
      </c>
      <c r="N3981" t="s">
        <v>5277</v>
      </c>
      <c r="O3981" t="s">
        <v>460</v>
      </c>
    </row>
    <row r="3982" spans="1:15" x14ac:dyDescent="0.3">
      <c r="A3982">
        <v>212561</v>
      </c>
      <c r="B3982">
        <v>105</v>
      </c>
      <c r="C3982" t="s">
        <v>557</v>
      </c>
      <c r="D3982" t="s">
        <v>2554</v>
      </c>
      <c r="E3982" t="s">
        <v>3464</v>
      </c>
      <c r="F3982" s="451">
        <v>46078</v>
      </c>
      <c r="G3982">
        <v>17565</v>
      </c>
      <c r="H3982" t="s">
        <v>5247</v>
      </c>
      <c r="I3982" t="s">
        <v>5188</v>
      </c>
      <c r="J3982">
        <v>1</v>
      </c>
      <c r="K3982" t="s">
        <v>4736</v>
      </c>
      <c r="L3982">
        <v>103.7</v>
      </c>
      <c r="M3982">
        <v>103.7</v>
      </c>
      <c r="N3982" t="s">
        <v>5277</v>
      </c>
      <c r="O3982" t="s">
        <v>460</v>
      </c>
    </row>
    <row r="3983" spans="1:15" x14ac:dyDescent="0.3">
      <c r="A3983">
        <v>212561</v>
      </c>
      <c r="B3983">
        <v>105</v>
      </c>
      <c r="C3983" t="s">
        <v>557</v>
      </c>
      <c r="D3983" t="s">
        <v>2554</v>
      </c>
      <c r="E3983" t="s">
        <v>3464</v>
      </c>
      <c r="F3983" s="451">
        <v>46078</v>
      </c>
      <c r="G3983">
        <v>24596</v>
      </c>
      <c r="H3983" t="s">
        <v>5197</v>
      </c>
      <c r="I3983" t="s">
        <v>5188</v>
      </c>
      <c r="J3983">
        <v>5</v>
      </c>
      <c r="K3983" t="s">
        <v>4736</v>
      </c>
      <c r="L3983">
        <v>84.5</v>
      </c>
      <c r="M3983">
        <v>16.899999999999999</v>
      </c>
      <c r="N3983" t="s">
        <v>5277</v>
      </c>
      <c r="O3983" t="s">
        <v>460</v>
      </c>
    </row>
    <row r="3984" spans="1:15" x14ac:dyDescent="0.3">
      <c r="A3984">
        <v>212561</v>
      </c>
      <c r="B3984">
        <v>105</v>
      </c>
      <c r="C3984" t="s">
        <v>557</v>
      </c>
      <c r="D3984" t="s">
        <v>2554</v>
      </c>
      <c r="E3984" t="s">
        <v>3464</v>
      </c>
      <c r="F3984" s="451">
        <v>46078</v>
      </c>
      <c r="G3984">
        <v>17444</v>
      </c>
      <c r="H3984" t="s">
        <v>5386</v>
      </c>
      <c r="I3984" t="s">
        <v>5188</v>
      </c>
      <c r="J3984">
        <v>1</v>
      </c>
      <c r="K3984" t="s">
        <v>4738</v>
      </c>
      <c r="L3984">
        <v>12.59</v>
      </c>
      <c r="M3984">
        <v>12.59</v>
      </c>
      <c r="N3984" t="s">
        <v>5277</v>
      </c>
      <c r="O3984" t="s">
        <v>460</v>
      </c>
    </row>
    <row r="3985" spans="1:15" x14ac:dyDescent="0.3">
      <c r="A3985">
        <v>212561</v>
      </c>
      <c r="B3985">
        <v>105</v>
      </c>
      <c r="C3985" t="s">
        <v>557</v>
      </c>
      <c r="D3985" t="s">
        <v>2554</v>
      </c>
      <c r="E3985" t="s">
        <v>3464</v>
      </c>
      <c r="F3985" s="451">
        <v>46078</v>
      </c>
      <c r="G3985">
        <v>26928</v>
      </c>
      <c r="H3985" t="s">
        <v>5298</v>
      </c>
      <c r="I3985" t="s">
        <v>5188</v>
      </c>
      <c r="J3985">
        <v>2</v>
      </c>
      <c r="K3985" t="s">
        <v>4736</v>
      </c>
      <c r="L3985">
        <v>19.079999999999998</v>
      </c>
      <c r="M3985">
        <v>9.5399999999999991</v>
      </c>
      <c r="N3985" t="s">
        <v>5277</v>
      </c>
      <c r="O3985" t="s">
        <v>460</v>
      </c>
    </row>
    <row r="3986" spans="1:15" x14ac:dyDescent="0.3">
      <c r="A3986">
        <v>212561</v>
      </c>
      <c r="B3986">
        <v>105</v>
      </c>
      <c r="C3986" t="s">
        <v>557</v>
      </c>
      <c r="D3986" t="s">
        <v>2554</v>
      </c>
      <c r="E3986" t="s">
        <v>3464</v>
      </c>
      <c r="F3986" s="451">
        <v>46078</v>
      </c>
      <c r="G3986">
        <v>17381</v>
      </c>
      <c r="H3986" t="s">
        <v>5262</v>
      </c>
      <c r="I3986" t="s">
        <v>5188</v>
      </c>
      <c r="J3986">
        <v>1</v>
      </c>
      <c r="K3986" t="s">
        <v>4736</v>
      </c>
      <c r="L3986">
        <v>38.89</v>
      </c>
      <c r="M3986">
        <v>38.89</v>
      </c>
      <c r="N3986" t="s">
        <v>5277</v>
      </c>
      <c r="O3986" t="s">
        <v>460</v>
      </c>
    </row>
    <row r="3987" spans="1:15" x14ac:dyDescent="0.3">
      <c r="A3987">
        <v>212561</v>
      </c>
      <c r="B3987">
        <v>105</v>
      </c>
      <c r="C3987" t="s">
        <v>557</v>
      </c>
      <c r="D3987" t="s">
        <v>2554</v>
      </c>
      <c r="E3987" t="s">
        <v>3464</v>
      </c>
      <c r="F3987" s="451">
        <v>46078</v>
      </c>
      <c r="G3987">
        <v>17533</v>
      </c>
      <c r="H3987" t="s">
        <v>5373</v>
      </c>
      <c r="I3987" t="s">
        <v>5188</v>
      </c>
      <c r="J3987">
        <v>2</v>
      </c>
      <c r="K3987" t="s">
        <v>4738</v>
      </c>
      <c r="L3987">
        <v>21.26</v>
      </c>
      <c r="M3987">
        <v>10.63</v>
      </c>
      <c r="N3987" t="s">
        <v>5277</v>
      </c>
      <c r="O3987" t="s">
        <v>460</v>
      </c>
    </row>
    <row r="3988" spans="1:15" x14ac:dyDescent="0.3">
      <c r="A3988">
        <v>212561</v>
      </c>
      <c r="B3988">
        <v>105</v>
      </c>
      <c r="C3988" t="s">
        <v>557</v>
      </c>
      <c r="D3988" t="s">
        <v>2554</v>
      </c>
      <c r="E3988" t="s">
        <v>3464</v>
      </c>
      <c r="F3988" s="451">
        <v>46078</v>
      </c>
      <c r="G3988">
        <v>24787</v>
      </c>
      <c r="H3988" t="s">
        <v>5212</v>
      </c>
      <c r="I3988" t="s">
        <v>5188</v>
      </c>
      <c r="J3988">
        <v>2</v>
      </c>
      <c r="K3988" t="s">
        <v>4738</v>
      </c>
      <c r="L3988">
        <v>164.82</v>
      </c>
      <c r="M3988">
        <v>82.41</v>
      </c>
      <c r="N3988" t="s">
        <v>5277</v>
      </c>
      <c r="O3988" t="s">
        <v>460</v>
      </c>
    </row>
    <row r="3989" spans="1:15" x14ac:dyDescent="0.3">
      <c r="A3989">
        <v>212561</v>
      </c>
      <c r="B3989">
        <v>105</v>
      </c>
      <c r="C3989" t="s">
        <v>557</v>
      </c>
      <c r="D3989" t="s">
        <v>2554</v>
      </c>
      <c r="E3989" t="s">
        <v>3464</v>
      </c>
      <c r="F3989" s="451">
        <v>46078</v>
      </c>
      <c r="G3989">
        <v>26944</v>
      </c>
      <c r="H3989" t="s">
        <v>5325</v>
      </c>
      <c r="I3989" t="s">
        <v>5188</v>
      </c>
      <c r="J3989">
        <v>1</v>
      </c>
      <c r="K3989" t="s">
        <v>4738</v>
      </c>
      <c r="L3989">
        <v>7.8</v>
      </c>
      <c r="M3989">
        <v>7.8</v>
      </c>
      <c r="N3989" t="s">
        <v>5277</v>
      </c>
      <c r="O3989" t="s">
        <v>460</v>
      </c>
    </row>
    <row r="3990" spans="1:15" x14ac:dyDescent="0.3">
      <c r="A3990">
        <v>212561</v>
      </c>
      <c r="B3990">
        <v>105</v>
      </c>
      <c r="C3990" t="s">
        <v>557</v>
      </c>
      <c r="D3990" t="s">
        <v>2554</v>
      </c>
      <c r="E3990" t="s">
        <v>3464</v>
      </c>
      <c r="F3990" s="451">
        <v>46078</v>
      </c>
      <c r="G3990">
        <v>17416</v>
      </c>
      <c r="H3990" t="s">
        <v>5209</v>
      </c>
      <c r="I3990" t="s">
        <v>5188</v>
      </c>
      <c r="J3990">
        <v>2</v>
      </c>
      <c r="K3990" t="s">
        <v>4749</v>
      </c>
      <c r="L3990">
        <v>97.16</v>
      </c>
      <c r="M3990">
        <v>48.58</v>
      </c>
      <c r="N3990" t="s">
        <v>5277</v>
      </c>
      <c r="O3990" t="s">
        <v>460</v>
      </c>
    </row>
    <row r="3991" spans="1:15" x14ac:dyDescent="0.3">
      <c r="A3991">
        <v>212561</v>
      </c>
      <c r="B3991">
        <v>105</v>
      </c>
      <c r="C3991" t="s">
        <v>557</v>
      </c>
      <c r="D3991" t="s">
        <v>2554</v>
      </c>
      <c r="E3991" t="s">
        <v>3464</v>
      </c>
      <c r="F3991" s="451">
        <v>46078</v>
      </c>
      <c r="G3991">
        <v>24505</v>
      </c>
      <c r="H3991" t="s">
        <v>5198</v>
      </c>
      <c r="I3991" t="s">
        <v>5188</v>
      </c>
      <c r="J3991">
        <v>5</v>
      </c>
      <c r="K3991" t="s">
        <v>4738</v>
      </c>
      <c r="L3991">
        <v>24.9</v>
      </c>
      <c r="M3991">
        <v>4.9800000000000004</v>
      </c>
      <c r="N3991" t="s">
        <v>5277</v>
      </c>
      <c r="O3991" t="s">
        <v>460</v>
      </c>
    </row>
    <row r="3992" spans="1:15" x14ac:dyDescent="0.3">
      <c r="A3992">
        <v>212561</v>
      </c>
      <c r="B3992">
        <v>105</v>
      </c>
      <c r="C3992" t="s">
        <v>557</v>
      </c>
      <c r="D3992" t="s">
        <v>2554</v>
      </c>
      <c r="E3992" t="s">
        <v>3464</v>
      </c>
      <c r="F3992" s="451">
        <v>46078</v>
      </c>
      <c r="G3992">
        <v>17418</v>
      </c>
      <c r="H3992" t="s">
        <v>5207</v>
      </c>
      <c r="I3992" t="s">
        <v>5188</v>
      </c>
      <c r="J3992">
        <v>2</v>
      </c>
      <c r="K3992" t="s">
        <v>4749</v>
      </c>
      <c r="L3992">
        <v>117.8</v>
      </c>
      <c r="M3992">
        <v>58.9</v>
      </c>
      <c r="N3992" t="s">
        <v>5277</v>
      </c>
      <c r="O3992" t="s">
        <v>460</v>
      </c>
    </row>
    <row r="3993" spans="1:15" x14ac:dyDescent="0.3">
      <c r="A3993">
        <v>212561</v>
      </c>
      <c r="B3993">
        <v>105</v>
      </c>
      <c r="C3993" t="s">
        <v>557</v>
      </c>
      <c r="D3993" t="s">
        <v>2554</v>
      </c>
      <c r="E3993" t="s">
        <v>3464</v>
      </c>
      <c r="F3993" s="451">
        <v>46078</v>
      </c>
      <c r="G3993">
        <v>28298</v>
      </c>
      <c r="H3993" t="s">
        <v>5261</v>
      </c>
      <c r="I3993" t="s">
        <v>5188</v>
      </c>
      <c r="J3993">
        <v>1</v>
      </c>
      <c r="K3993" t="s">
        <v>4749</v>
      </c>
      <c r="L3993">
        <v>68.64</v>
      </c>
      <c r="M3993">
        <v>68.64</v>
      </c>
      <c r="N3993" t="s">
        <v>5277</v>
      </c>
      <c r="O3993" t="s">
        <v>460</v>
      </c>
    </row>
    <row r="3994" spans="1:15" x14ac:dyDescent="0.3">
      <c r="A3994">
        <v>212561</v>
      </c>
      <c r="B3994">
        <v>105</v>
      </c>
      <c r="C3994" t="s">
        <v>557</v>
      </c>
      <c r="D3994" t="s">
        <v>2554</v>
      </c>
      <c r="E3994" t="s">
        <v>3464</v>
      </c>
      <c r="F3994" s="451">
        <v>46078</v>
      </c>
      <c r="G3994">
        <v>26554</v>
      </c>
      <c r="H3994" t="s">
        <v>5319</v>
      </c>
      <c r="I3994" t="s">
        <v>5215</v>
      </c>
      <c r="J3994">
        <v>1</v>
      </c>
      <c r="K3994" t="s">
        <v>4749</v>
      </c>
      <c r="L3994">
        <v>258</v>
      </c>
      <c r="M3994">
        <v>258</v>
      </c>
      <c r="N3994" t="s">
        <v>5277</v>
      </c>
      <c r="O3994" t="s">
        <v>460</v>
      </c>
    </row>
    <row r="3995" spans="1:15" x14ac:dyDescent="0.3">
      <c r="A3995">
        <v>212561</v>
      </c>
      <c r="B3995">
        <v>105</v>
      </c>
      <c r="C3995" t="s">
        <v>557</v>
      </c>
      <c r="D3995" t="s">
        <v>2554</v>
      </c>
      <c r="E3995" t="s">
        <v>3464</v>
      </c>
      <c r="F3995" s="451">
        <v>46078</v>
      </c>
      <c r="G3995">
        <v>26224</v>
      </c>
      <c r="H3995" t="s">
        <v>5214</v>
      </c>
      <c r="I3995" t="s">
        <v>5215</v>
      </c>
      <c r="J3995">
        <v>2</v>
      </c>
      <c r="L3995">
        <v>11</v>
      </c>
      <c r="M3995">
        <v>5.5</v>
      </c>
      <c r="N3995" t="s">
        <v>5277</v>
      </c>
      <c r="O3995" t="s">
        <v>460</v>
      </c>
    </row>
    <row r="3996" spans="1:15" x14ac:dyDescent="0.3">
      <c r="A3996">
        <v>212560</v>
      </c>
      <c r="B3996">
        <v>105</v>
      </c>
      <c r="C3996" t="s">
        <v>557</v>
      </c>
      <c r="D3996" t="s">
        <v>2593</v>
      </c>
      <c r="E3996" t="s">
        <v>3465</v>
      </c>
      <c r="F3996" s="451">
        <v>46076</v>
      </c>
      <c r="G3996">
        <v>18731</v>
      </c>
      <c r="H3996" t="s">
        <v>4832</v>
      </c>
      <c r="I3996" t="s">
        <v>5191</v>
      </c>
      <c r="J3996">
        <v>10</v>
      </c>
      <c r="K3996" t="s">
        <v>4744</v>
      </c>
      <c r="L3996">
        <v>720</v>
      </c>
      <c r="M3996">
        <v>72</v>
      </c>
      <c r="N3996" t="s">
        <v>5272</v>
      </c>
      <c r="O3996" t="s">
        <v>460</v>
      </c>
    </row>
    <row r="3997" spans="1:15" x14ac:dyDescent="0.3">
      <c r="A3997">
        <v>212560</v>
      </c>
      <c r="B3997">
        <v>105</v>
      </c>
      <c r="C3997" t="s">
        <v>557</v>
      </c>
      <c r="D3997" t="s">
        <v>2593</v>
      </c>
      <c r="E3997" t="s">
        <v>3465</v>
      </c>
      <c r="F3997" s="451">
        <v>46076</v>
      </c>
      <c r="G3997">
        <v>24256</v>
      </c>
      <c r="H3997" t="s">
        <v>4773</v>
      </c>
      <c r="I3997" t="s">
        <v>5191</v>
      </c>
      <c r="J3997">
        <v>10</v>
      </c>
      <c r="K3997" t="s">
        <v>4744</v>
      </c>
      <c r="L3997">
        <v>380</v>
      </c>
      <c r="M3997">
        <v>38</v>
      </c>
      <c r="N3997" t="s">
        <v>5272</v>
      </c>
      <c r="O3997" t="s">
        <v>460</v>
      </c>
    </row>
    <row r="3998" spans="1:15" x14ac:dyDescent="0.3">
      <c r="A3998">
        <v>212558</v>
      </c>
      <c r="B3998">
        <v>105</v>
      </c>
      <c r="C3998" t="s">
        <v>557</v>
      </c>
      <c r="D3998" t="s">
        <v>836</v>
      </c>
      <c r="E3998" t="s">
        <v>3466</v>
      </c>
      <c r="F3998" s="451">
        <v>46069</v>
      </c>
      <c r="G3998">
        <v>17205</v>
      </c>
      <c r="H3998" t="s">
        <v>5264</v>
      </c>
      <c r="I3998" t="s">
        <v>5188</v>
      </c>
      <c r="J3998">
        <v>1</v>
      </c>
      <c r="K3998" t="s">
        <v>5265</v>
      </c>
      <c r="L3998">
        <v>170</v>
      </c>
      <c r="M3998">
        <v>170</v>
      </c>
      <c r="N3998" t="s">
        <v>5277</v>
      </c>
      <c r="O3998" t="s">
        <v>460</v>
      </c>
    </row>
    <row r="3999" spans="1:15" x14ac:dyDescent="0.3">
      <c r="A3999">
        <v>212554</v>
      </c>
      <c r="B3999">
        <v>105</v>
      </c>
      <c r="C3999" t="s">
        <v>557</v>
      </c>
      <c r="D3999" t="s">
        <v>2864</v>
      </c>
      <c r="E3999" t="s">
        <v>3467</v>
      </c>
      <c r="F3999" s="451">
        <v>46078</v>
      </c>
      <c r="G3999">
        <v>20382</v>
      </c>
      <c r="H3999" t="s">
        <v>4780</v>
      </c>
      <c r="I3999" t="s">
        <v>5191</v>
      </c>
      <c r="J3999">
        <v>16</v>
      </c>
      <c r="K3999" t="s">
        <v>5238</v>
      </c>
      <c r="L3999">
        <v>143.84</v>
      </c>
      <c r="M3999">
        <v>8.99</v>
      </c>
      <c r="N3999" t="s">
        <v>5191</v>
      </c>
      <c r="O3999" t="s">
        <v>460</v>
      </c>
    </row>
    <row r="4000" spans="1:15" x14ac:dyDescent="0.3">
      <c r="A4000">
        <v>212554</v>
      </c>
      <c r="B4000">
        <v>105</v>
      </c>
      <c r="C4000" t="s">
        <v>557</v>
      </c>
      <c r="D4000" t="s">
        <v>2864</v>
      </c>
      <c r="E4000" t="s">
        <v>3467</v>
      </c>
      <c r="F4000" s="451">
        <v>46078</v>
      </c>
      <c r="G4000">
        <v>20105</v>
      </c>
      <c r="H4000" t="s">
        <v>4831</v>
      </c>
      <c r="I4000" t="s">
        <v>5191</v>
      </c>
      <c r="J4000">
        <v>5</v>
      </c>
      <c r="K4000" t="s">
        <v>4744</v>
      </c>
      <c r="L4000">
        <v>131.5</v>
      </c>
      <c r="M4000">
        <v>26.3</v>
      </c>
      <c r="N4000" t="s">
        <v>5191</v>
      </c>
      <c r="O4000" t="s">
        <v>460</v>
      </c>
    </row>
    <row r="4001" spans="1:15" x14ac:dyDescent="0.3">
      <c r="A4001">
        <v>212551</v>
      </c>
      <c r="B4001">
        <v>105</v>
      </c>
      <c r="C4001" t="s">
        <v>557</v>
      </c>
      <c r="D4001" t="s">
        <v>2603</v>
      </c>
      <c r="E4001" t="s">
        <v>3468</v>
      </c>
      <c r="F4001" s="451">
        <v>46076</v>
      </c>
      <c r="G4001">
        <v>19003</v>
      </c>
      <c r="H4001" t="s">
        <v>4810</v>
      </c>
      <c r="I4001" t="s">
        <v>5191</v>
      </c>
      <c r="J4001">
        <v>25</v>
      </c>
      <c r="K4001" t="s">
        <v>4744</v>
      </c>
      <c r="L4001">
        <v>997.5</v>
      </c>
      <c r="M4001">
        <v>39.9</v>
      </c>
      <c r="N4001" t="s">
        <v>5272</v>
      </c>
      <c r="O4001" t="s">
        <v>460</v>
      </c>
    </row>
    <row r="4002" spans="1:15" x14ac:dyDescent="0.3">
      <c r="A4002">
        <v>212550</v>
      </c>
      <c r="B4002">
        <v>105</v>
      </c>
      <c r="C4002" t="s">
        <v>557</v>
      </c>
      <c r="D4002" t="s">
        <v>2563</v>
      </c>
      <c r="E4002" t="s">
        <v>3469</v>
      </c>
      <c r="F4002" s="451">
        <v>46076</v>
      </c>
      <c r="G4002">
        <v>19634</v>
      </c>
      <c r="H4002" t="s">
        <v>4792</v>
      </c>
      <c r="I4002" t="s">
        <v>5191</v>
      </c>
      <c r="J4002">
        <v>3.5</v>
      </c>
      <c r="K4002" t="s">
        <v>4744</v>
      </c>
      <c r="L4002">
        <v>23.87</v>
      </c>
      <c r="M4002">
        <v>6.82</v>
      </c>
      <c r="N4002" t="s">
        <v>5272</v>
      </c>
      <c r="O4002" t="s">
        <v>460</v>
      </c>
    </row>
    <row r="4003" spans="1:15" x14ac:dyDescent="0.3">
      <c r="A4003">
        <v>212550</v>
      </c>
      <c r="B4003">
        <v>105</v>
      </c>
      <c r="C4003" t="s">
        <v>557</v>
      </c>
      <c r="D4003" t="s">
        <v>2563</v>
      </c>
      <c r="E4003" t="s">
        <v>3469</v>
      </c>
      <c r="F4003" s="451">
        <v>46076</v>
      </c>
      <c r="G4003">
        <v>19621</v>
      </c>
      <c r="H4003" t="s">
        <v>4829</v>
      </c>
      <c r="I4003" t="s">
        <v>5191</v>
      </c>
      <c r="J4003">
        <v>3</v>
      </c>
      <c r="K4003" t="s">
        <v>4744</v>
      </c>
      <c r="L4003">
        <v>9.1199999999999992</v>
      </c>
      <c r="M4003">
        <v>3.04</v>
      </c>
      <c r="N4003" t="s">
        <v>5272</v>
      </c>
      <c r="O4003" t="s">
        <v>460</v>
      </c>
    </row>
    <row r="4004" spans="1:15" x14ac:dyDescent="0.3">
      <c r="A4004">
        <v>212550</v>
      </c>
      <c r="B4004">
        <v>105</v>
      </c>
      <c r="C4004" t="s">
        <v>557</v>
      </c>
      <c r="D4004" t="s">
        <v>2563</v>
      </c>
      <c r="E4004" t="s">
        <v>3469</v>
      </c>
      <c r="F4004" s="451">
        <v>46076</v>
      </c>
      <c r="G4004">
        <v>19642</v>
      </c>
      <c r="H4004" t="s">
        <v>4996</v>
      </c>
      <c r="I4004" t="s">
        <v>5191</v>
      </c>
      <c r="J4004">
        <v>2</v>
      </c>
      <c r="K4004" t="s">
        <v>4744</v>
      </c>
      <c r="L4004">
        <v>10.3</v>
      </c>
      <c r="M4004">
        <v>5.15</v>
      </c>
      <c r="N4004" t="s">
        <v>5272</v>
      </c>
      <c r="O4004" t="s">
        <v>460</v>
      </c>
    </row>
    <row r="4005" spans="1:15" x14ac:dyDescent="0.3">
      <c r="A4005">
        <v>212550</v>
      </c>
      <c r="B4005">
        <v>105</v>
      </c>
      <c r="C4005" t="s">
        <v>557</v>
      </c>
      <c r="D4005" t="s">
        <v>2563</v>
      </c>
      <c r="E4005" t="s">
        <v>3469</v>
      </c>
      <c r="F4005" s="451">
        <v>46076</v>
      </c>
      <c r="G4005">
        <v>19658</v>
      </c>
      <c r="H4005" t="s">
        <v>4784</v>
      </c>
      <c r="I4005" t="s">
        <v>5191</v>
      </c>
      <c r="J4005">
        <v>10</v>
      </c>
      <c r="K4005" t="s">
        <v>4744</v>
      </c>
      <c r="L4005">
        <v>29</v>
      </c>
      <c r="M4005">
        <v>2.9</v>
      </c>
      <c r="N4005" t="s">
        <v>5272</v>
      </c>
      <c r="O4005" t="s">
        <v>460</v>
      </c>
    </row>
    <row r="4006" spans="1:15" x14ac:dyDescent="0.3">
      <c r="A4006">
        <v>212550</v>
      </c>
      <c r="B4006">
        <v>105</v>
      </c>
      <c r="C4006" t="s">
        <v>557</v>
      </c>
      <c r="D4006" t="s">
        <v>2563</v>
      </c>
      <c r="E4006" t="s">
        <v>3469</v>
      </c>
      <c r="F4006" s="451">
        <v>46076</v>
      </c>
      <c r="G4006">
        <v>19465</v>
      </c>
      <c r="H4006" t="s">
        <v>5114</v>
      </c>
      <c r="I4006" t="s">
        <v>5191</v>
      </c>
      <c r="J4006">
        <v>0.3</v>
      </c>
      <c r="K4006" t="s">
        <v>4744</v>
      </c>
      <c r="L4006">
        <v>1.96</v>
      </c>
      <c r="M4006">
        <v>6.5333329999999998</v>
      </c>
      <c r="N4006" t="s">
        <v>5272</v>
      </c>
      <c r="O4006" t="s">
        <v>460</v>
      </c>
    </row>
    <row r="4007" spans="1:15" x14ac:dyDescent="0.3">
      <c r="A4007">
        <v>212550</v>
      </c>
      <c r="B4007">
        <v>105</v>
      </c>
      <c r="C4007" t="s">
        <v>557</v>
      </c>
      <c r="D4007" t="s">
        <v>2563</v>
      </c>
      <c r="E4007" t="s">
        <v>3469</v>
      </c>
      <c r="F4007" s="451">
        <v>46076</v>
      </c>
      <c r="G4007">
        <v>19476</v>
      </c>
      <c r="H4007" t="s">
        <v>5115</v>
      </c>
      <c r="I4007" t="s">
        <v>5191</v>
      </c>
      <c r="J4007">
        <v>0.4</v>
      </c>
      <c r="K4007" t="s">
        <v>4744</v>
      </c>
      <c r="L4007">
        <v>27.26</v>
      </c>
      <c r="M4007">
        <v>68.150000000000006</v>
      </c>
      <c r="N4007" t="s">
        <v>5272</v>
      </c>
      <c r="O4007" t="s">
        <v>460</v>
      </c>
    </row>
    <row r="4008" spans="1:15" x14ac:dyDescent="0.3">
      <c r="A4008">
        <v>212550</v>
      </c>
      <c r="B4008">
        <v>105</v>
      </c>
      <c r="C4008" t="s">
        <v>557</v>
      </c>
      <c r="D4008" t="s">
        <v>2563</v>
      </c>
      <c r="E4008" t="s">
        <v>3469</v>
      </c>
      <c r="F4008" s="451">
        <v>46076</v>
      </c>
      <c r="G4008">
        <v>19488</v>
      </c>
      <c r="H4008" t="s">
        <v>5107</v>
      </c>
      <c r="I4008" t="s">
        <v>5191</v>
      </c>
      <c r="J4008">
        <v>0.4</v>
      </c>
      <c r="K4008" t="s">
        <v>4744</v>
      </c>
      <c r="L4008">
        <v>5.8</v>
      </c>
      <c r="M4008">
        <v>14.5</v>
      </c>
      <c r="N4008" t="s">
        <v>5272</v>
      </c>
      <c r="O4008" t="s">
        <v>460</v>
      </c>
    </row>
    <row r="4009" spans="1:15" x14ac:dyDescent="0.3">
      <c r="A4009">
        <v>212550</v>
      </c>
      <c r="B4009">
        <v>105</v>
      </c>
      <c r="C4009" t="s">
        <v>557</v>
      </c>
      <c r="D4009" t="s">
        <v>2563</v>
      </c>
      <c r="E4009" t="s">
        <v>3469</v>
      </c>
      <c r="F4009" s="451">
        <v>46076</v>
      </c>
      <c r="G4009">
        <v>19492</v>
      </c>
      <c r="H4009" t="s">
        <v>4937</v>
      </c>
      <c r="I4009" t="s">
        <v>5191</v>
      </c>
      <c r="J4009">
        <v>1.5</v>
      </c>
      <c r="K4009" t="s">
        <v>4744</v>
      </c>
      <c r="L4009">
        <v>29.91</v>
      </c>
      <c r="M4009">
        <v>19.940000000000001</v>
      </c>
      <c r="N4009" t="s">
        <v>5272</v>
      </c>
      <c r="O4009" t="s">
        <v>460</v>
      </c>
    </row>
    <row r="4010" spans="1:15" x14ac:dyDescent="0.3">
      <c r="A4010">
        <v>212550</v>
      </c>
      <c r="B4010">
        <v>105</v>
      </c>
      <c r="C4010" t="s">
        <v>557</v>
      </c>
      <c r="D4010" t="s">
        <v>2563</v>
      </c>
      <c r="E4010" t="s">
        <v>3469</v>
      </c>
      <c r="F4010" s="451">
        <v>46076</v>
      </c>
      <c r="G4010">
        <v>19654</v>
      </c>
      <c r="H4010" t="s">
        <v>5099</v>
      </c>
      <c r="I4010" t="s">
        <v>5191</v>
      </c>
      <c r="J4010">
        <v>5</v>
      </c>
      <c r="K4010" t="s">
        <v>4744</v>
      </c>
      <c r="L4010">
        <v>39.85</v>
      </c>
      <c r="M4010">
        <v>7.97</v>
      </c>
      <c r="N4010" t="s">
        <v>5272</v>
      </c>
      <c r="O4010" t="s">
        <v>460</v>
      </c>
    </row>
    <row r="4011" spans="1:15" x14ac:dyDescent="0.3">
      <c r="A4011">
        <v>212550</v>
      </c>
      <c r="B4011">
        <v>105</v>
      </c>
      <c r="C4011" t="s">
        <v>557</v>
      </c>
      <c r="D4011" t="s">
        <v>2563</v>
      </c>
      <c r="E4011" t="s">
        <v>3469</v>
      </c>
      <c r="F4011" s="451">
        <v>46076</v>
      </c>
      <c r="G4011">
        <v>19553</v>
      </c>
      <c r="H4011" t="s">
        <v>4868</v>
      </c>
      <c r="I4011" t="s">
        <v>5191</v>
      </c>
      <c r="J4011">
        <v>1</v>
      </c>
      <c r="K4011" t="s">
        <v>4744</v>
      </c>
      <c r="L4011">
        <v>5.08</v>
      </c>
      <c r="M4011">
        <v>5.08</v>
      </c>
      <c r="N4011" t="s">
        <v>5272</v>
      </c>
      <c r="O4011" t="s">
        <v>460</v>
      </c>
    </row>
    <row r="4012" spans="1:15" x14ac:dyDescent="0.3">
      <c r="A4012">
        <v>212550</v>
      </c>
      <c r="B4012">
        <v>105</v>
      </c>
      <c r="C4012" t="s">
        <v>557</v>
      </c>
      <c r="D4012" t="s">
        <v>2563</v>
      </c>
      <c r="E4012" t="s">
        <v>3469</v>
      </c>
      <c r="F4012" s="451">
        <v>46076</v>
      </c>
      <c r="G4012">
        <v>19572</v>
      </c>
      <c r="H4012" t="s">
        <v>4989</v>
      </c>
      <c r="I4012" t="s">
        <v>5191</v>
      </c>
      <c r="J4012">
        <v>2</v>
      </c>
      <c r="K4012" t="s">
        <v>4744</v>
      </c>
      <c r="L4012">
        <v>37.700000000000003</v>
      </c>
      <c r="M4012">
        <v>18.850000000000001</v>
      </c>
      <c r="N4012" t="s">
        <v>5272</v>
      </c>
      <c r="O4012" t="s">
        <v>460</v>
      </c>
    </row>
    <row r="4013" spans="1:15" x14ac:dyDescent="0.3">
      <c r="A4013">
        <v>212550</v>
      </c>
      <c r="B4013">
        <v>105</v>
      </c>
      <c r="C4013" t="s">
        <v>557</v>
      </c>
      <c r="D4013" t="s">
        <v>2563</v>
      </c>
      <c r="E4013" t="s">
        <v>3469</v>
      </c>
      <c r="F4013" s="451">
        <v>46076</v>
      </c>
      <c r="G4013">
        <v>19740</v>
      </c>
      <c r="H4013" t="s">
        <v>4779</v>
      </c>
      <c r="I4013" t="s">
        <v>5191</v>
      </c>
      <c r="J4013">
        <v>5</v>
      </c>
      <c r="K4013" t="s">
        <v>4744</v>
      </c>
      <c r="L4013">
        <v>74.5</v>
      </c>
      <c r="M4013">
        <v>14.9</v>
      </c>
      <c r="N4013" t="s">
        <v>5272</v>
      </c>
      <c r="O4013" t="s">
        <v>460</v>
      </c>
    </row>
    <row r="4014" spans="1:15" x14ac:dyDescent="0.3">
      <c r="A4014">
        <v>212550</v>
      </c>
      <c r="B4014">
        <v>105</v>
      </c>
      <c r="C4014" t="s">
        <v>557</v>
      </c>
      <c r="D4014" t="s">
        <v>2563</v>
      </c>
      <c r="E4014" t="s">
        <v>3469</v>
      </c>
      <c r="F4014" s="451">
        <v>46076</v>
      </c>
      <c r="G4014">
        <v>24489</v>
      </c>
      <c r="H4014" t="s">
        <v>5121</v>
      </c>
      <c r="I4014" t="s">
        <v>5191</v>
      </c>
      <c r="J4014">
        <v>0.5</v>
      </c>
      <c r="K4014" t="s">
        <v>4744</v>
      </c>
      <c r="L4014">
        <v>10.15</v>
      </c>
      <c r="M4014">
        <v>20.3</v>
      </c>
      <c r="N4014" t="s">
        <v>5272</v>
      </c>
      <c r="O4014" t="s">
        <v>460</v>
      </c>
    </row>
    <row r="4015" spans="1:15" x14ac:dyDescent="0.3">
      <c r="A4015">
        <v>212550</v>
      </c>
      <c r="B4015">
        <v>105</v>
      </c>
      <c r="C4015" t="s">
        <v>557</v>
      </c>
      <c r="D4015" t="s">
        <v>2563</v>
      </c>
      <c r="E4015" t="s">
        <v>3469</v>
      </c>
      <c r="F4015" s="451">
        <v>46076</v>
      </c>
      <c r="G4015">
        <v>24598</v>
      </c>
      <c r="H4015" t="s">
        <v>4852</v>
      </c>
      <c r="I4015" t="s">
        <v>5191</v>
      </c>
      <c r="J4015">
        <v>1</v>
      </c>
      <c r="K4015" t="s">
        <v>4744</v>
      </c>
      <c r="L4015">
        <v>10.95</v>
      </c>
      <c r="M4015">
        <v>10.95</v>
      </c>
      <c r="N4015" t="s">
        <v>5272</v>
      </c>
      <c r="O4015" t="s">
        <v>460</v>
      </c>
    </row>
    <row r="4016" spans="1:15" x14ac:dyDescent="0.3">
      <c r="A4016">
        <v>212550</v>
      </c>
      <c r="B4016">
        <v>105</v>
      </c>
      <c r="C4016" t="s">
        <v>557</v>
      </c>
      <c r="D4016" t="s">
        <v>2563</v>
      </c>
      <c r="E4016" t="s">
        <v>3469</v>
      </c>
      <c r="F4016" s="451">
        <v>46076</v>
      </c>
      <c r="G4016">
        <v>19765</v>
      </c>
      <c r="H4016" t="s">
        <v>4889</v>
      </c>
      <c r="I4016" t="s">
        <v>5191</v>
      </c>
      <c r="J4016">
        <v>1</v>
      </c>
      <c r="K4016" t="s">
        <v>4744</v>
      </c>
      <c r="L4016">
        <v>34.08</v>
      </c>
      <c r="M4016">
        <v>34.08</v>
      </c>
      <c r="N4016" t="s">
        <v>5272</v>
      </c>
      <c r="O4016" t="s">
        <v>460</v>
      </c>
    </row>
    <row r="4017" spans="1:15" x14ac:dyDescent="0.3">
      <c r="A4017">
        <v>212550</v>
      </c>
      <c r="B4017">
        <v>105</v>
      </c>
      <c r="C4017" t="s">
        <v>557</v>
      </c>
      <c r="D4017" t="s">
        <v>2563</v>
      </c>
      <c r="E4017" t="s">
        <v>3469</v>
      </c>
      <c r="F4017" s="451">
        <v>46076</v>
      </c>
      <c r="G4017">
        <v>23228</v>
      </c>
      <c r="H4017" t="s">
        <v>4782</v>
      </c>
      <c r="I4017" t="s">
        <v>5191</v>
      </c>
      <c r="J4017">
        <v>5</v>
      </c>
      <c r="K4017" t="s">
        <v>4744</v>
      </c>
      <c r="L4017">
        <v>32.65</v>
      </c>
      <c r="M4017">
        <v>6.53</v>
      </c>
      <c r="N4017" t="s">
        <v>5272</v>
      </c>
      <c r="O4017" t="s">
        <v>460</v>
      </c>
    </row>
    <row r="4018" spans="1:15" x14ac:dyDescent="0.3">
      <c r="A4018">
        <v>212550</v>
      </c>
      <c r="B4018">
        <v>105</v>
      </c>
      <c r="C4018" t="s">
        <v>557</v>
      </c>
      <c r="D4018" t="s">
        <v>2563</v>
      </c>
      <c r="E4018" t="s">
        <v>3469</v>
      </c>
      <c r="F4018" s="451">
        <v>46076</v>
      </c>
      <c r="G4018">
        <v>23236</v>
      </c>
      <c r="H4018" t="s">
        <v>5062</v>
      </c>
      <c r="I4018" t="s">
        <v>5191</v>
      </c>
      <c r="J4018">
        <v>1.5</v>
      </c>
      <c r="K4018" t="s">
        <v>4744</v>
      </c>
      <c r="L4018">
        <v>13.38</v>
      </c>
      <c r="M4018">
        <v>8.92</v>
      </c>
      <c r="N4018" t="s">
        <v>5272</v>
      </c>
      <c r="O4018" t="s">
        <v>460</v>
      </c>
    </row>
    <row r="4019" spans="1:15" x14ac:dyDescent="0.3">
      <c r="A4019">
        <v>212550</v>
      </c>
      <c r="B4019">
        <v>105</v>
      </c>
      <c r="C4019" t="s">
        <v>557</v>
      </c>
      <c r="D4019" t="s">
        <v>2563</v>
      </c>
      <c r="E4019" t="s">
        <v>3469</v>
      </c>
      <c r="F4019" s="451">
        <v>46076</v>
      </c>
      <c r="G4019">
        <v>23238</v>
      </c>
      <c r="H4019" t="s">
        <v>4934</v>
      </c>
      <c r="I4019" t="s">
        <v>5191</v>
      </c>
      <c r="J4019">
        <v>2</v>
      </c>
      <c r="K4019" t="s">
        <v>4744</v>
      </c>
      <c r="L4019">
        <v>42.04</v>
      </c>
      <c r="M4019">
        <v>21.02</v>
      </c>
      <c r="N4019" t="s">
        <v>5272</v>
      </c>
      <c r="O4019" t="s">
        <v>460</v>
      </c>
    </row>
    <row r="4020" spans="1:15" x14ac:dyDescent="0.3">
      <c r="A4020">
        <v>212550</v>
      </c>
      <c r="B4020">
        <v>105</v>
      </c>
      <c r="C4020" t="s">
        <v>557</v>
      </c>
      <c r="D4020" t="s">
        <v>2563</v>
      </c>
      <c r="E4020" t="s">
        <v>3469</v>
      </c>
      <c r="F4020" s="451">
        <v>46076</v>
      </c>
      <c r="G4020">
        <v>19632</v>
      </c>
      <c r="H4020" t="s">
        <v>4936</v>
      </c>
      <c r="I4020" t="s">
        <v>5191</v>
      </c>
      <c r="J4020">
        <v>2</v>
      </c>
      <c r="K4020" t="s">
        <v>4744</v>
      </c>
      <c r="L4020">
        <v>6.52</v>
      </c>
      <c r="M4020">
        <v>3.26</v>
      </c>
      <c r="N4020" t="s">
        <v>5272</v>
      </c>
      <c r="O4020" t="s">
        <v>460</v>
      </c>
    </row>
    <row r="4021" spans="1:15" x14ac:dyDescent="0.3">
      <c r="A4021">
        <v>212548</v>
      </c>
      <c r="B4021">
        <v>105</v>
      </c>
      <c r="C4021" t="s">
        <v>557</v>
      </c>
      <c r="D4021" t="s">
        <v>2563</v>
      </c>
      <c r="E4021" t="s">
        <v>3470</v>
      </c>
      <c r="F4021" s="451">
        <v>46071</v>
      </c>
      <c r="G4021">
        <v>23346</v>
      </c>
      <c r="H4021" t="s">
        <v>4916</v>
      </c>
      <c r="I4021" t="s">
        <v>5191</v>
      </c>
      <c r="J4021">
        <v>3</v>
      </c>
      <c r="K4021" t="s">
        <v>4744</v>
      </c>
      <c r="L4021">
        <v>16.260000000000002</v>
      </c>
      <c r="M4021">
        <v>5.42</v>
      </c>
      <c r="N4021" t="s">
        <v>1785</v>
      </c>
      <c r="O4021" t="s">
        <v>460</v>
      </c>
    </row>
    <row r="4022" spans="1:15" x14ac:dyDescent="0.3">
      <c r="A4022">
        <v>212548</v>
      </c>
      <c r="B4022">
        <v>105</v>
      </c>
      <c r="C4022" t="s">
        <v>557</v>
      </c>
      <c r="D4022" t="s">
        <v>2563</v>
      </c>
      <c r="E4022" t="s">
        <v>3470</v>
      </c>
      <c r="F4022" s="451">
        <v>46071</v>
      </c>
      <c r="G4022">
        <v>19737</v>
      </c>
      <c r="H4022" t="s">
        <v>4940</v>
      </c>
      <c r="I4022" t="s">
        <v>5191</v>
      </c>
      <c r="J4022">
        <v>2</v>
      </c>
      <c r="K4022" t="s">
        <v>4744</v>
      </c>
      <c r="L4022">
        <v>10</v>
      </c>
      <c r="M4022">
        <v>5</v>
      </c>
      <c r="N4022" t="s">
        <v>1785</v>
      </c>
      <c r="O4022" t="s">
        <v>460</v>
      </c>
    </row>
    <row r="4023" spans="1:15" x14ac:dyDescent="0.3">
      <c r="A4023">
        <v>212546</v>
      </c>
      <c r="B4023">
        <v>105</v>
      </c>
      <c r="C4023" t="s">
        <v>557</v>
      </c>
      <c r="D4023" t="s">
        <v>2563</v>
      </c>
      <c r="E4023" t="s">
        <v>3471</v>
      </c>
      <c r="F4023" s="451">
        <v>46072</v>
      </c>
      <c r="G4023">
        <v>19634</v>
      </c>
      <c r="H4023" t="s">
        <v>4792</v>
      </c>
      <c r="I4023" t="s">
        <v>5191</v>
      </c>
      <c r="J4023">
        <v>5</v>
      </c>
      <c r="K4023" t="s">
        <v>4744</v>
      </c>
      <c r="L4023">
        <v>34.1</v>
      </c>
      <c r="M4023">
        <v>6.82</v>
      </c>
      <c r="N4023" t="s">
        <v>5272</v>
      </c>
      <c r="O4023" t="s">
        <v>460</v>
      </c>
    </row>
    <row r="4024" spans="1:15" x14ac:dyDescent="0.3">
      <c r="A4024">
        <v>212546</v>
      </c>
      <c r="B4024">
        <v>105</v>
      </c>
      <c r="C4024" t="s">
        <v>557</v>
      </c>
      <c r="D4024" t="s">
        <v>2563</v>
      </c>
      <c r="E4024" t="s">
        <v>3471</v>
      </c>
      <c r="F4024" s="451">
        <v>46072</v>
      </c>
      <c r="G4024">
        <v>19621</v>
      </c>
      <c r="H4024" t="s">
        <v>4829</v>
      </c>
      <c r="I4024" t="s">
        <v>5191</v>
      </c>
      <c r="J4024">
        <v>4</v>
      </c>
      <c r="K4024" t="s">
        <v>4744</v>
      </c>
      <c r="L4024">
        <v>12.32</v>
      </c>
      <c r="M4024">
        <v>3.08</v>
      </c>
      <c r="N4024" t="s">
        <v>5272</v>
      </c>
      <c r="O4024" t="s">
        <v>460</v>
      </c>
    </row>
    <row r="4025" spans="1:15" x14ac:dyDescent="0.3">
      <c r="A4025">
        <v>212546</v>
      </c>
      <c r="B4025">
        <v>105</v>
      </c>
      <c r="C4025" t="s">
        <v>557</v>
      </c>
      <c r="D4025" t="s">
        <v>2563</v>
      </c>
      <c r="E4025" t="s">
        <v>3471</v>
      </c>
      <c r="F4025" s="451">
        <v>46072</v>
      </c>
      <c r="G4025">
        <v>19658</v>
      </c>
      <c r="H4025" t="s">
        <v>4784</v>
      </c>
      <c r="I4025" t="s">
        <v>5191</v>
      </c>
      <c r="J4025">
        <v>8</v>
      </c>
      <c r="K4025" t="s">
        <v>4744</v>
      </c>
      <c r="L4025">
        <v>23.2</v>
      </c>
      <c r="M4025">
        <v>2.9</v>
      </c>
      <c r="N4025" t="s">
        <v>5272</v>
      </c>
      <c r="O4025" t="s">
        <v>460</v>
      </c>
    </row>
    <row r="4026" spans="1:15" x14ac:dyDescent="0.3">
      <c r="A4026">
        <v>212546</v>
      </c>
      <c r="B4026">
        <v>105</v>
      </c>
      <c r="C4026" t="s">
        <v>557</v>
      </c>
      <c r="D4026" t="s">
        <v>2563</v>
      </c>
      <c r="E4026" t="s">
        <v>3471</v>
      </c>
      <c r="F4026" s="451">
        <v>46072</v>
      </c>
      <c r="G4026">
        <v>19465</v>
      </c>
      <c r="H4026" t="s">
        <v>5114</v>
      </c>
      <c r="I4026" t="s">
        <v>5191</v>
      </c>
      <c r="J4026">
        <v>1</v>
      </c>
      <c r="K4026" t="s">
        <v>4744</v>
      </c>
      <c r="L4026">
        <v>6.53</v>
      </c>
      <c r="M4026">
        <v>6.53</v>
      </c>
      <c r="N4026" t="s">
        <v>5272</v>
      </c>
      <c r="O4026" t="s">
        <v>460</v>
      </c>
    </row>
    <row r="4027" spans="1:15" x14ac:dyDescent="0.3">
      <c r="A4027">
        <v>212546</v>
      </c>
      <c r="B4027">
        <v>105</v>
      </c>
      <c r="C4027" t="s">
        <v>557</v>
      </c>
      <c r="D4027" t="s">
        <v>2563</v>
      </c>
      <c r="E4027" t="s">
        <v>3471</v>
      </c>
      <c r="F4027" s="451">
        <v>46072</v>
      </c>
      <c r="G4027">
        <v>19492</v>
      </c>
      <c r="H4027" t="s">
        <v>4937</v>
      </c>
      <c r="I4027" t="s">
        <v>5191</v>
      </c>
      <c r="J4027">
        <v>2</v>
      </c>
      <c r="K4027" t="s">
        <v>4744</v>
      </c>
      <c r="L4027">
        <v>39.880000000000003</v>
      </c>
      <c r="M4027">
        <v>19.940000000000001</v>
      </c>
      <c r="N4027" t="s">
        <v>5272</v>
      </c>
      <c r="O4027" t="s">
        <v>460</v>
      </c>
    </row>
    <row r="4028" spans="1:15" x14ac:dyDescent="0.3">
      <c r="A4028">
        <v>212546</v>
      </c>
      <c r="B4028">
        <v>105</v>
      </c>
      <c r="C4028" t="s">
        <v>557</v>
      </c>
      <c r="D4028" t="s">
        <v>2563</v>
      </c>
      <c r="E4028" t="s">
        <v>3471</v>
      </c>
      <c r="F4028" s="451">
        <v>46072</v>
      </c>
      <c r="G4028">
        <v>19551</v>
      </c>
      <c r="H4028" t="s">
        <v>4905</v>
      </c>
      <c r="I4028" t="s">
        <v>5191</v>
      </c>
      <c r="J4028">
        <v>1</v>
      </c>
      <c r="K4028" t="s">
        <v>4744</v>
      </c>
      <c r="L4028">
        <v>11.74</v>
      </c>
      <c r="M4028">
        <v>11.74</v>
      </c>
      <c r="N4028" t="s">
        <v>5272</v>
      </c>
      <c r="O4028" t="s">
        <v>460</v>
      </c>
    </row>
    <row r="4029" spans="1:15" x14ac:dyDescent="0.3">
      <c r="A4029">
        <v>212546</v>
      </c>
      <c r="B4029">
        <v>105</v>
      </c>
      <c r="C4029" t="s">
        <v>557</v>
      </c>
      <c r="D4029" t="s">
        <v>2563</v>
      </c>
      <c r="E4029" t="s">
        <v>3471</v>
      </c>
      <c r="F4029" s="451">
        <v>46072</v>
      </c>
      <c r="G4029">
        <v>19647</v>
      </c>
      <c r="H4029" t="s">
        <v>5050</v>
      </c>
      <c r="I4029" t="s">
        <v>5191</v>
      </c>
      <c r="J4029">
        <v>0.4</v>
      </c>
      <c r="K4029" t="s">
        <v>4744</v>
      </c>
      <c r="L4029">
        <v>5.22</v>
      </c>
      <c r="M4029">
        <v>13.05</v>
      </c>
      <c r="N4029" t="s">
        <v>5272</v>
      </c>
      <c r="O4029" t="s">
        <v>460</v>
      </c>
    </row>
    <row r="4030" spans="1:15" x14ac:dyDescent="0.3">
      <c r="A4030">
        <v>212546</v>
      </c>
      <c r="B4030">
        <v>105</v>
      </c>
      <c r="C4030" t="s">
        <v>557</v>
      </c>
      <c r="D4030" t="s">
        <v>2563</v>
      </c>
      <c r="E4030" t="s">
        <v>3471</v>
      </c>
      <c r="F4030" s="451">
        <v>46072</v>
      </c>
      <c r="G4030">
        <v>19734</v>
      </c>
      <c r="H4030" t="s">
        <v>4833</v>
      </c>
      <c r="I4030" t="s">
        <v>5191</v>
      </c>
      <c r="J4030">
        <v>4</v>
      </c>
      <c r="K4030" t="s">
        <v>4744</v>
      </c>
      <c r="L4030">
        <v>59.16</v>
      </c>
      <c r="M4030">
        <v>14.79</v>
      </c>
      <c r="N4030" t="s">
        <v>5272</v>
      </c>
      <c r="O4030" t="s">
        <v>460</v>
      </c>
    </row>
    <row r="4031" spans="1:15" x14ac:dyDescent="0.3">
      <c r="A4031">
        <v>212546</v>
      </c>
      <c r="B4031">
        <v>105</v>
      </c>
      <c r="C4031" t="s">
        <v>557</v>
      </c>
      <c r="D4031" t="s">
        <v>2563</v>
      </c>
      <c r="E4031" t="s">
        <v>3471</v>
      </c>
      <c r="F4031" s="451">
        <v>46072</v>
      </c>
      <c r="G4031">
        <v>19652</v>
      </c>
      <c r="H4031" t="s">
        <v>4899</v>
      </c>
      <c r="I4031" t="s">
        <v>5191</v>
      </c>
      <c r="J4031">
        <v>2</v>
      </c>
      <c r="K4031" t="s">
        <v>4744</v>
      </c>
      <c r="L4031">
        <v>38.159999999999997</v>
      </c>
      <c r="M4031">
        <v>19.079999999999998</v>
      </c>
      <c r="N4031" t="s">
        <v>5272</v>
      </c>
      <c r="O4031" t="s">
        <v>460</v>
      </c>
    </row>
    <row r="4032" spans="1:15" x14ac:dyDescent="0.3">
      <c r="A4032">
        <v>212546</v>
      </c>
      <c r="B4032">
        <v>105</v>
      </c>
      <c r="C4032" t="s">
        <v>557</v>
      </c>
      <c r="D4032" t="s">
        <v>2563</v>
      </c>
      <c r="E4032" t="s">
        <v>3471</v>
      </c>
      <c r="F4032" s="451">
        <v>46072</v>
      </c>
      <c r="G4032">
        <v>19765</v>
      </c>
      <c r="H4032" t="s">
        <v>4889</v>
      </c>
      <c r="I4032" t="s">
        <v>5191</v>
      </c>
      <c r="J4032">
        <v>1</v>
      </c>
      <c r="K4032" t="s">
        <v>4744</v>
      </c>
      <c r="L4032">
        <v>34.08</v>
      </c>
      <c r="M4032">
        <v>34.08</v>
      </c>
      <c r="N4032" t="s">
        <v>5272</v>
      </c>
      <c r="O4032" t="s">
        <v>460</v>
      </c>
    </row>
    <row r="4033" spans="1:15" x14ac:dyDescent="0.3">
      <c r="A4033">
        <v>212546</v>
      </c>
      <c r="B4033">
        <v>105</v>
      </c>
      <c r="C4033" t="s">
        <v>557</v>
      </c>
      <c r="D4033" t="s">
        <v>2563</v>
      </c>
      <c r="E4033" t="s">
        <v>3471</v>
      </c>
      <c r="F4033" s="451">
        <v>46072</v>
      </c>
      <c r="G4033">
        <v>23228</v>
      </c>
      <c r="H4033" t="s">
        <v>4782</v>
      </c>
      <c r="I4033" t="s">
        <v>5191</v>
      </c>
      <c r="J4033">
        <v>5</v>
      </c>
      <c r="K4033" t="s">
        <v>4744</v>
      </c>
      <c r="L4033">
        <v>32.65</v>
      </c>
      <c r="M4033">
        <v>6.53</v>
      </c>
      <c r="N4033" t="s">
        <v>5272</v>
      </c>
      <c r="O4033" t="s">
        <v>460</v>
      </c>
    </row>
    <row r="4034" spans="1:15" x14ac:dyDescent="0.3">
      <c r="A4034">
        <v>212546</v>
      </c>
      <c r="B4034">
        <v>105</v>
      </c>
      <c r="C4034" t="s">
        <v>557</v>
      </c>
      <c r="D4034" t="s">
        <v>2563</v>
      </c>
      <c r="E4034" t="s">
        <v>3471</v>
      </c>
      <c r="F4034" s="451">
        <v>46072</v>
      </c>
      <c r="G4034">
        <v>23389</v>
      </c>
      <c r="H4034" t="s">
        <v>4960</v>
      </c>
      <c r="I4034" t="s">
        <v>5191</v>
      </c>
      <c r="J4034">
        <v>5</v>
      </c>
      <c r="K4034" t="s">
        <v>4744</v>
      </c>
      <c r="L4034">
        <v>24.15</v>
      </c>
      <c r="M4034">
        <v>4.83</v>
      </c>
      <c r="N4034" t="s">
        <v>5272</v>
      </c>
      <c r="O4034" t="s">
        <v>460</v>
      </c>
    </row>
    <row r="4035" spans="1:15" x14ac:dyDescent="0.3">
      <c r="A4035">
        <v>212546</v>
      </c>
      <c r="B4035">
        <v>105</v>
      </c>
      <c r="C4035" t="s">
        <v>557</v>
      </c>
      <c r="D4035" t="s">
        <v>2563</v>
      </c>
      <c r="E4035" t="s">
        <v>3471</v>
      </c>
      <c r="F4035" s="451">
        <v>46072</v>
      </c>
      <c r="G4035">
        <v>19632</v>
      </c>
      <c r="H4035" t="s">
        <v>4936</v>
      </c>
      <c r="I4035" t="s">
        <v>5191</v>
      </c>
      <c r="J4035">
        <v>1</v>
      </c>
      <c r="K4035" t="s">
        <v>4744</v>
      </c>
      <c r="L4035">
        <v>3.26</v>
      </c>
      <c r="M4035">
        <v>3.26</v>
      </c>
      <c r="N4035" t="s">
        <v>5272</v>
      </c>
      <c r="O4035" t="s">
        <v>460</v>
      </c>
    </row>
    <row r="4036" spans="1:15" x14ac:dyDescent="0.3">
      <c r="A4036">
        <v>212546</v>
      </c>
      <c r="B4036">
        <v>105</v>
      </c>
      <c r="C4036" t="s">
        <v>557</v>
      </c>
      <c r="D4036" t="s">
        <v>2563</v>
      </c>
      <c r="E4036" t="s">
        <v>3471</v>
      </c>
      <c r="F4036" s="451">
        <v>46072</v>
      </c>
      <c r="G4036">
        <v>19532</v>
      </c>
      <c r="H4036" t="s">
        <v>4753</v>
      </c>
      <c r="I4036" t="s">
        <v>5191</v>
      </c>
      <c r="J4036">
        <v>30</v>
      </c>
      <c r="K4036" t="s">
        <v>4744</v>
      </c>
      <c r="L4036">
        <v>229.2</v>
      </c>
      <c r="M4036">
        <v>7.64</v>
      </c>
      <c r="N4036" t="s">
        <v>5272</v>
      </c>
      <c r="O4036" t="s">
        <v>460</v>
      </c>
    </row>
    <row r="4037" spans="1:15" x14ac:dyDescent="0.3">
      <c r="A4037">
        <v>212544</v>
      </c>
      <c r="B4037">
        <v>105</v>
      </c>
      <c r="C4037" t="s">
        <v>557</v>
      </c>
      <c r="D4037" t="s">
        <v>2563</v>
      </c>
      <c r="E4037" t="s">
        <v>3472</v>
      </c>
      <c r="F4037" s="451">
        <v>46078</v>
      </c>
      <c r="G4037">
        <v>19621</v>
      </c>
      <c r="H4037" t="s">
        <v>4829</v>
      </c>
      <c r="I4037" t="s">
        <v>5191</v>
      </c>
      <c r="J4037">
        <v>3.4</v>
      </c>
      <c r="K4037" t="s">
        <v>4744</v>
      </c>
      <c r="L4037">
        <v>10.34</v>
      </c>
      <c r="M4037">
        <v>3.0411760000000001</v>
      </c>
      <c r="N4037" t="s">
        <v>5272</v>
      </c>
      <c r="O4037" t="s">
        <v>460</v>
      </c>
    </row>
    <row r="4038" spans="1:15" x14ac:dyDescent="0.3">
      <c r="A4038">
        <v>212544</v>
      </c>
      <c r="B4038">
        <v>105</v>
      </c>
      <c r="C4038" t="s">
        <v>557</v>
      </c>
      <c r="D4038" t="s">
        <v>2563</v>
      </c>
      <c r="E4038" t="s">
        <v>3472</v>
      </c>
      <c r="F4038" s="451">
        <v>46078</v>
      </c>
      <c r="G4038">
        <v>23361</v>
      </c>
      <c r="H4038" t="s">
        <v>4754</v>
      </c>
      <c r="I4038" t="s">
        <v>5191</v>
      </c>
      <c r="J4038">
        <v>20</v>
      </c>
      <c r="K4038" t="s">
        <v>4744</v>
      </c>
      <c r="L4038">
        <v>71</v>
      </c>
      <c r="M4038">
        <v>3.55</v>
      </c>
      <c r="N4038" t="s">
        <v>5272</v>
      </c>
      <c r="O4038" t="s">
        <v>460</v>
      </c>
    </row>
    <row r="4039" spans="1:15" x14ac:dyDescent="0.3">
      <c r="A4039">
        <v>212544</v>
      </c>
      <c r="B4039">
        <v>105</v>
      </c>
      <c r="C4039" t="s">
        <v>557</v>
      </c>
      <c r="D4039" t="s">
        <v>2563</v>
      </c>
      <c r="E4039" t="s">
        <v>3472</v>
      </c>
      <c r="F4039" s="451">
        <v>46078</v>
      </c>
      <c r="G4039">
        <v>23389</v>
      </c>
      <c r="H4039" t="s">
        <v>4960</v>
      </c>
      <c r="I4039" t="s">
        <v>5191</v>
      </c>
      <c r="J4039">
        <v>3</v>
      </c>
      <c r="K4039" t="s">
        <v>4744</v>
      </c>
      <c r="L4039">
        <v>14.49</v>
      </c>
      <c r="M4039">
        <v>4.83</v>
      </c>
      <c r="N4039" t="s">
        <v>5272</v>
      </c>
      <c r="O4039" t="s">
        <v>460</v>
      </c>
    </row>
    <row r="4040" spans="1:15" x14ac:dyDescent="0.3">
      <c r="A4040">
        <v>212543</v>
      </c>
      <c r="B4040">
        <v>105</v>
      </c>
      <c r="C4040" t="s">
        <v>557</v>
      </c>
      <c r="D4040" t="s">
        <v>2563</v>
      </c>
      <c r="E4040" t="s">
        <v>3473</v>
      </c>
      <c r="F4040" s="451">
        <v>46077</v>
      </c>
      <c r="G4040">
        <v>19551</v>
      </c>
      <c r="H4040" t="s">
        <v>4905</v>
      </c>
      <c r="I4040" t="s">
        <v>5191</v>
      </c>
      <c r="J4040">
        <v>2</v>
      </c>
      <c r="K4040" t="s">
        <v>4744</v>
      </c>
      <c r="L4040">
        <v>23.48</v>
      </c>
      <c r="M4040">
        <v>11.74</v>
      </c>
      <c r="N4040" t="s">
        <v>5272</v>
      </c>
      <c r="O4040" t="s">
        <v>460</v>
      </c>
    </row>
    <row r="4041" spans="1:15" x14ac:dyDescent="0.3">
      <c r="A4041">
        <v>212543</v>
      </c>
      <c r="B4041">
        <v>105</v>
      </c>
      <c r="C4041" t="s">
        <v>557</v>
      </c>
      <c r="D4041" t="s">
        <v>2563</v>
      </c>
      <c r="E4041" t="s">
        <v>3473</v>
      </c>
      <c r="F4041" s="451">
        <v>46077</v>
      </c>
      <c r="G4041">
        <v>23236</v>
      </c>
      <c r="H4041" t="s">
        <v>5062</v>
      </c>
      <c r="I4041" t="s">
        <v>5191</v>
      </c>
      <c r="J4041">
        <v>2</v>
      </c>
      <c r="K4041" t="s">
        <v>4744</v>
      </c>
      <c r="L4041">
        <v>48.72</v>
      </c>
      <c r="M4041">
        <v>24.36</v>
      </c>
      <c r="N4041" t="s">
        <v>5272</v>
      </c>
      <c r="O4041" t="s">
        <v>460</v>
      </c>
    </row>
    <row r="4042" spans="1:15" x14ac:dyDescent="0.3">
      <c r="A4042">
        <v>212543</v>
      </c>
      <c r="B4042">
        <v>105</v>
      </c>
      <c r="C4042" t="s">
        <v>557</v>
      </c>
      <c r="D4042" t="s">
        <v>2563</v>
      </c>
      <c r="E4042" t="s">
        <v>3473</v>
      </c>
      <c r="F4042" s="451">
        <v>46077</v>
      </c>
      <c r="G4042">
        <v>23346</v>
      </c>
      <c r="H4042" t="s">
        <v>4916</v>
      </c>
      <c r="I4042" t="s">
        <v>5191</v>
      </c>
      <c r="J4042">
        <v>2</v>
      </c>
      <c r="K4042" t="s">
        <v>4744</v>
      </c>
      <c r="L4042">
        <v>11.88</v>
      </c>
      <c r="M4042">
        <v>5.94</v>
      </c>
      <c r="N4042" t="s">
        <v>5272</v>
      </c>
      <c r="O4042" t="s">
        <v>460</v>
      </c>
    </row>
    <row r="4043" spans="1:15" x14ac:dyDescent="0.3">
      <c r="A4043">
        <v>212543</v>
      </c>
      <c r="B4043">
        <v>105</v>
      </c>
      <c r="C4043" t="s">
        <v>557</v>
      </c>
      <c r="D4043" t="s">
        <v>2563</v>
      </c>
      <c r="E4043" t="s">
        <v>3473</v>
      </c>
      <c r="F4043" s="451">
        <v>46077</v>
      </c>
      <c r="G4043">
        <v>19532</v>
      </c>
      <c r="H4043" t="s">
        <v>4753</v>
      </c>
      <c r="I4043" t="s">
        <v>5191</v>
      </c>
      <c r="J4043">
        <v>10</v>
      </c>
      <c r="K4043" t="s">
        <v>4744</v>
      </c>
      <c r="L4043">
        <v>68.2</v>
      </c>
      <c r="M4043">
        <v>6.82</v>
      </c>
      <c r="N4043" t="s">
        <v>5272</v>
      </c>
      <c r="O4043" t="s">
        <v>460</v>
      </c>
    </row>
    <row r="4044" spans="1:15" x14ac:dyDescent="0.3">
      <c r="A4044">
        <v>212541</v>
      </c>
      <c r="B4044">
        <v>105</v>
      </c>
      <c r="C4044" t="s">
        <v>557</v>
      </c>
      <c r="D4044" t="s">
        <v>2563</v>
      </c>
      <c r="E4044" t="s">
        <v>3474</v>
      </c>
      <c r="F4044" s="451">
        <v>46074</v>
      </c>
      <c r="G4044">
        <v>19634</v>
      </c>
      <c r="H4044" t="s">
        <v>4792</v>
      </c>
      <c r="I4044" t="s">
        <v>5191</v>
      </c>
      <c r="J4044">
        <v>5.2</v>
      </c>
      <c r="K4044" t="s">
        <v>4744</v>
      </c>
      <c r="L4044">
        <v>35.46</v>
      </c>
      <c r="M4044">
        <v>6.8192310000000003</v>
      </c>
      <c r="N4044" t="s">
        <v>5272</v>
      </c>
      <c r="O4044" t="s">
        <v>460</v>
      </c>
    </row>
    <row r="4045" spans="1:15" x14ac:dyDescent="0.3">
      <c r="A4045">
        <v>212541</v>
      </c>
      <c r="B4045">
        <v>105</v>
      </c>
      <c r="C4045" t="s">
        <v>557</v>
      </c>
      <c r="D4045" t="s">
        <v>2563</v>
      </c>
      <c r="E4045" t="s">
        <v>3474</v>
      </c>
      <c r="F4045" s="451">
        <v>46074</v>
      </c>
      <c r="G4045">
        <v>19526</v>
      </c>
      <c r="H4045" t="s">
        <v>4997</v>
      </c>
      <c r="I4045" t="s">
        <v>5191</v>
      </c>
      <c r="J4045">
        <v>1.2</v>
      </c>
      <c r="K4045" t="s">
        <v>4744</v>
      </c>
      <c r="L4045">
        <v>55.68</v>
      </c>
      <c r="M4045">
        <v>46.4</v>
      </c>
      <c r="N4045" t="s">
        <v>5272</v>
      </c>
      <c r="O4045" t="s">
        <v>460</v>
      </c>
    </row>
    <row r="4046" spans="1:15" x14ac:dyDescent="0.3">
      <c r="A4046">
        <v>212541</v>
      </c>
      <c r="B4046">
        <v>105</v>
      </c>
      <c r="C4046" t="s">
        <v>557</v>
      </c>
      <c r="D4046" t="s">
        <v>2563</v>
      </c>
      <c r="E4046" t="s">
        <v>3474</v>
      </c>
      <c r="F4046" s="451">
        <v>46074</v>
      </c>
      <c r="G4046">
        <v>19734</v>
      </c>
      <c r="H4046" t="s">
        <v>4833</v>
      </c>
      <c r="I4046" t="s">
        <v>5191</v>
      </c>
      <c r="J4046">
        <v>5.14</v>
      </c>
      <c r="K4046" t="s">
        <v>4744</v>
      </c>
      <c r="L4046">
        <v>76.02</v>
      </c>
      <c r="M4046">
        <v>14.789883</v>
      </c>
      <c r="N4046" t="s">
        <v>5272</v>
      </c>
      <c r="O4046" t="s">
        <v>460</v>
      </c>
    </row>
    <row r="4047" spans="1:15" x14ac:dyDescent="0.3">
      <c r="A4047">
        <v>212541</v>
      </c>
      <c r="B4047">
        <v>105</v>
      </c>
      <c r="C4047" t="s">
        <v>557</v>
      </c>
      <c r="D4047" t="s">
        <v>2563</v>
      </c>
      <c r="E4047" t="s">
        <v>3474</v>
      </c>
      <c r="F4047" s="451">
        <v>46074</v>
      </c>
      <c r="G4047">
        <v>23389</v>
      </c>
      <c r="H4047" t="s">
        <v>4960</v>
      </c>
      <c r="I4047" t="s">
        <v>5191</v>
      </c>
      <c r="J4047">
        <v>3.5</v>
      </c>
      <c r="K4047" t="s">
        <v>4744</v>
      </c>
      <c r="L4047">
        <v>16.91</v>
      </c>
      <c r="M4047">
        <v>4.831429</v>
      </c>
      <c r="N4047" t="s">
        <v>5272</v>
      </c>
      <c r="O4047" t="s">
        <v>460</v>
      </c>
    </row>
    <row r="4048" spans="1:15" x14ac:dyDescent="0.3">
      <c r="A4048">
        <v>211398</v>
      </c>
      <c r="B4048">
        <v>105</v>
      </c>
      <c r="C4048" t="s">
        <v>557</v>
      </c>
      <c r="D4048" t="s">
        <v>2707</v>
      </c>
      <c r="E4048" t="s">
        <v>3475</v>
      </c>
      <c r="F4048" s="451">
        <v>46076</v>
      </c>
      <c r="G4048">
        <v>24081</v>
      </c>
      <c r="H4048" t="s">
        <v>4834</v>
      </c>
      <c r="I4048" t="s">
        <v>5191</v>
      </c>
      <c r="J4048">
        <v>10</v>
      </c>
      <c r="K4048" t="s">
        <v>4744</v>
      </c>
      <c r="L4048">
        <v>238</v>
      </c>
      <c r="M4048">
        <v>23.8</v>
      </c>
      <c r="N4048" t="s">
        <v>5272</v>
      </c>
      <c r="O4048" t="s">
        <v>460</v>
      </c>
    </row>
    <row r="4049" spans="1:15" x14ac:dyDescent="0.3">
      <c r="A4049">
        <v>211397</v>
      </c>
      <c r="B4049">
        <v>105</v>
      </c>
      <c r="C4049" t="s">
        <v>557</v>
      </c>
      <c r="D4049" t="s">
        <v>2603</v>
      </c>
      <c r="E4049" t="s">
        <v>3476</v>
      </c>
      <c r="F4049" s="451">
        <v>46072</v>
      </c>
      <c r="G4049">
        <v>19003</v>
      </c>
      <c r="H4049" t="s">
        <v>4810</v>
      </c>
      <c r="I4049" t="s">
        <v>5191</v>
      </c>
      <c r="J4049">
        <v>28</v>
      </c>
      <c r="K4049" t="s">
        <v>4744</v>
      </c>
      <c r="L4049">
        <v>1117.2</v>
      </c>
      <c r="M4049">
        <v>39.9</v>
      </c>
      <c r="N4049" t="s">
        <v>5191</v>
      </c>
      <c r="O4049" t="s">
        <v>460</v>
      </c>
    </row>
    <row r="4050" spans="1:15" x14ac:dyDescent="0.3">
      <c r="A4050">
        <v>211397</v>
      </c>
      <c r="B4050">
        <v>105</v>
      </c>
      <c r="C4050" t="s">
        <v>557</v>
      </c>
      <c r="D4050" t="s">
        <v>2603</v>
      </c>
      <c r="E4050" t="s">
        <v>3476</v>
      </c>
      <c r="F4050" s="451">
        <v>46072</v>
      </c>
      <c r="G4050">
        <v>26679</v>
      </c>
      <c r="H4050" t="s">
        <v>4791</v>
      </c>
      <c r="I4050" t="s">
        <v>5191</v>
      </c>
      <c r="J4050">
        <v>23.64</v>
      </c>
      <c r="K4050" t="s">
        <v>4744</v>
      </c>
      <c r="L4050">
        <v>659.56</v>
      </c>
      <c r="M4050">
        <v>27.900169000000002</v>
      </c>
      <c r="N4050" t="s">
        <v>5191</v>
      </c>
      <c r="O4050" t="s">
        <v>460</v>
      </c>
    </row>
    <row r="4051" spans="1:15" x14ac:dyDescent="0.3">
      <c r="A4051">
        <v>211396</v>
      </c>
      <c r="B4051">
        <v>105</v>
      </c>
      <c r="C4051" t="s">
        <v>557</v>
      </c>
      <c r="D4051" t="s">
        <v>2653</v>
      </c>
      <c r="E4051" t="s">
        <v>3477</v>
      </c>
      <c r="F4051" s="451">
        <v>46076</v>
      </c>
      <c r="G4051">
        <v>24200</v>
      </c>
      <c r="H4051" t="s">
        <v>4820</v>
      </c>
      <c r="I4051" t="s">
        <v>5191</v>
      </c>
      <c r="J4051">
        <v>5.8</v>
      </c>
      <c r="K4051" t="s">
        <v>4744</v>
      </c>
      <c r="L4051">
        <v>190.82</v>
      </c>
      <c r="M4051">
        <v>32.9</v>
      </c>
      <c r="N4051" t="s">
        <v>5272</v>
      </c>
      <c r="O4051" t="s">
        <v>460</v>
      </c>
    </row>
    <row r="4052" spans="1:15" x14ac:dyDescent="0.3">
      <c r="A4052">
        <v>211395</v>
      </c>
      <c r="B4052">
        <v>105</v>
      </c>
      <c r="C4052" t="s">
        <v>557</v>
      </c>
      <c r="D4052" t="s">
        <v>2554</v>
      </c>
      <c r="E4052" t="s">
        <v>3478</v>
      </c>
      <c r="F4052" s="451">
        <v>46073</v>
      </c>
      <c r="G4052">
        <v>17437</v>
      </c>
      <c r="H4052" t="s">
        <v>5203</v>
      </c>
      <c r="I4052" t="s">
        <v>5188</v>
      </c>
      <c r="J4052">
        <v>20</v>
      </c>
      <c r="K4052" t="s">
        <v>4736</v>
      </c>
      <c r="L4052">
        <v>50</v>
      </c>
      <c r="M4052">
        <v>2.5</v>
      </c>
      <c r="N4052" t="s">
        <v>5277</v>
      </c>
      <c r="O4052" t="s">
        <v>460</v>
      </c>
    </row>
    <row r="4053" spans="1:15" x14ac:dyDescent="0.3">
      <c r="A4053">
        <v>211395</v>
      </c>
      <c r="B4053">
        <v>105</v>
      </c>
      <c r="C4053" t="s">
        <v>557</v>
      </c>
      <c r="D4053" t="s">
        <v>2554</v>
      </c>
      <c r="E4053" t="s">
        <v>3478</v>
      </c>
      <c r="F4053" s="451">
        <v>46073</v>
      </c>
      <c r="G4053">
        <v>17046</v>
      </c>
      <c r="H4053" t="s">
        <v>5194</v>
      </c>
      <c r="I4053" t="s">
        <v>5188</v>
      </c>
      <c r="J4053">
        <v>1</v>
      </c>
      <c r="K4053" t="s">
        <v>4736</v>
      </c>
      <c r="L4053">
        <v>42</v>
      </c>
      <c r="M4053">
        <v>42</v>
      </c>
      <c r="N4053" t="s">
        <v>5277</v>
      </c>
      <c r="O4053" t="s">
        <v>460</v>
      </c>
    </row>
    <row r="4054" spans="1:15" x14ac:dyDescent="0.3">
      <c r="A4054">
        <v>211395</v>
      </c>
      <c r="B4054">
        <v>105</v>
      </c>
      <c r="C4054" t="s">
        <v>557</v>
      </c>
      <c r="D4054" t="s">
        <v>2554</v>
      </c>
      <c r="E4054" t="s">
        <v>3478</v>
      </c>
      <c r="F4054" s="451">
        <v>46073</v>
      </c>
      <c r="G4054">
        <v>17314</v>
      </c>
      <c r="H4054" t="s">
        <v>5208</v>
      </c>
      <c r="I4054" t="s">
        <v>5188</v>
      </c>
      <c r="J4054">
        <v>3</v>
      </c>
      <c r="K4054" t="s">
        <v>4848</v>
      </c>
      <c r="L4054">
        <v>18.3</v>
      </c>
      <c r="M4054">
        <v>6.1</v>
      </c>
      <c r="N4054" t="s">
        <v>5277</v>
      </c>
      <c r="O4054" t="s">
        <v>460</v>
      </c>
    </row>
    <row r="4055" spans="1:15" x14ac:dyDescent="0.3">
      <c r="A4055">
        <v>211395</v>
      </c>
      <c r="B4055">
        <v>105</v>
      </c>
      <c r="C4055" t="s">
        <v>557</v>
      </c>
      <c r="D4055" t="s">
        <v>2554</v>
      </c>
      <c r="E4055" t="s">
        <v>3478</v>
      </c>
      <c r="F4055" s="451">
        <v>46073</v>
      </c>
      <c r="G4055">
        <v>17190</v>
      </c>
      <c r="H4055" t="s">
        <v>5193</v>
      </c>
      <c r="I4055" t="s">
        <v>5188</v>
      </c>
      <c r="J4055">
        <v>3</v>
      </c>
      <c r="K4055" t="s">
        <v>4738</v>
      </c>
      <c r="L4055">
        <v>31.5</v>
      </c>
      <c r="M4055">
        <v>10.5</v>
      </c>
      <c r="N4055" t="s">
        <v>5277</v>
      </c>
      <c r="O4055" t="s">
        <v>460</v>
      </c>
    </row>
    <row r="4056" spans="1:15" x14ac:dyDescent="0.3">
      <c r="A4056">
        <v>211395</v>
      </c>
      <c r="B4056">
        <v>105</v>
      </c>
      <c r="C4056" t="s">
        <v>557</v>
      </c>
      <c r="D4056" t="s">
        <v>2554</v>
      </c>
      <c r="E4056" t="s">
        <v>3478</v>
      </c>
      <c r="F4056" s="451">
        <v>46073</v>
      </c>
      <c r="G4056">
        <v>17404</v>
      </c>
      <c r="H4056" t="s">
        <v>5295</v>
      </c>
      <c r="I4056" t="s">
        <v>5188</v>
      </c>
      <c r="J4056">
        <v>1</v>
      </c>
      <c r="K4056" t="s">
        <v>4736</v>
      </c>
      <c r="L4056">
        <v>19.899999999999999</v>
      </c>
      <c r="M4056">
        <v>19.899999999999999</v>
      </c>
      <c r="N4056" t="s">
        <v>5277</v>
      </c>
      <c r="O4056" t="s">
        <v>460</v>
      </c>
    </row>
    <row r="4057" spans="1:15" x14ac:dyDescent="0.3">
      <c r="A4057">
        <v>211395</v>
      </c>
      <c r="B4057">
        <v>105</v>
      </c>
      <c r="C4057" t="s">
        <v>557</v>
      </c>
      <c r="D4057" t="s">
        <v>2554</v>
      </c>
      <c r="E4057" t="s">
        <v>3478</v>
      </c>
      <c r="F4057" s="451">
        <v>46073</v>
      </c>
      <c r="G4057">
        <v>17266</v>
      </c>
      <c r="H4057" t="s">
        <v>5192</v>
      </c>
      <c r="I4057" t="s">
        <v>5188</v>
      </c>
      <c r="J4057">
        <v>3</v>
      </c>
      <c r="K4057" t="s">
        <v>4736</v>
      </c>
      <c r="L4057">
        <v>15.24</v>
      </c>
      <c r="M4057">
        <v>5.08</v>
      </c>
      <c r="N4057" t="s">
        <v>5277</v>
      </c>
      <c r="O4057" t="s">
        <v>460</v>
      </c>
    </row>
    <row r="4058" spans="1:15" x14ac:dyDescent="0.3">
      <c r="A4058">
        <v>211395</v>
      </c>
      <c r="B4058">
        <v>105</v>
      </c>
      <c r="C4058" t="s">
        <v>557</v>
      </c>
      <c r="D4058" t="s">
        <v>2554</v>
      </c>
      <c r="E4058" t="s">
        <v>3478</v>
      </c>
      <c r="F4058" s="451">
        <v>46073</v>
      </c>
      <c r="G4058">
        <v>17304</v>
      </c>
      <c r="H4058" t="s">
        <v>5195</v>
      </c>
      <c r="I4058" t="s">
        <v>5188</v>
      </c>
      <c r="J4058">
        <v>2</v>
      </c>
      <c r="K4058" t="s">
        <v>4848</v>
      </c>
      <c r="L4058">
        <v>14.2</v>
      </c>
      <c r="M4058">
        <v>7.1</v>
      </c>
      <c r="N4058" t="s">
        <v>5277</v>
      </c>
      <c r="O4058" t="s">
        <v>460</v>
      </c>
    </row>
    <row r="4059" spans="1:15" x14ac:dyDescent="0.3">
      <c r="A4059">
        <v>211395</v>
      </c>
      <c r="B4059">
        <v>105</v>
      </c>
      <c r="C4059" t="s">
        <v>557</v>
      </c>
      <c r="D4059" t="s">
        <v>2554</v>
      </c>
      <c r="E4059" t="s">
        <v>3478</v>
      </c>
      <c r="F4059" s="451">
        <v>46073</v>
      </c>
      <c r="G4059">
        <v>21783</v>
      </c>
      <c r="H4059" t="s">
        <v>5210</v>
      </c>
      <c r="I4059" t="s">
        <v>5205</v>
      </c>
      <c r="J4059">
        <v>2</v>
      </c>
      <c r="K4059" t="s">
        <v>4736</v>
      </c>
      <c r="L4059">
        <v>25</v>
      </c>
      <c r="M4059">
        <v>12.5</v>
      </c>
      <c r="N4059" t="s">
        <v>5277</v>
      </c>
      <c r="O4059" t="s">
        <v>460</v>
      </c>
    </row>
    <row r="4060" spans="1:15" x14ac:dyDescent="0.3">
      <c r="A4060">
        <v>211395</v>
      </c>
      <c r="B4060">
        <v>105</v>
      </c>
      <c r="C4060" t="s">
        <v>557</v>
      </c>
      <c r="D4060" t="s">
        <v>2554</v>
      </c>
      <c r="E4060" t="s">
        <v>3478</v>
      </c>
      <c r="F4060" s="451">
        <v>46073</v>
      </c>
      <c r="G4060">
        <v>17215</v>
      </c>
      <c r="H4060" t="s">
        <v>5299</v>
      </c>
      <c r="I4060" t="s">
        <v>5188</v>
      </c>
      <c r="J4060">
        <v>6</v>
      </c>
      <c r="K4060" t="s">
        <v>4848</v>
      </c>
      <c r="L4060">
        <v>120</v>
      </c>
      <c r="M4060">
        <v>20</v>
      </c>
      <c r="N4060" t="s">
        <v>5277</v>
      </c>
      <c r="O4060" t="s">
        <v>460</v>
      </c>
    </row>
    <row r="4061" spans="1:15" x14ac:dyDescent="0.3">
      <c r="A4061">
        <v>211395</v>
      </c>
      <c r="B4061">
        <v>105</v>
      </c>
      <c r="C4061" t="s">
        <v>557</v>
      </c>
      <c r="D4061" t="s">
        <v>2554</v>
      </c>
      <c r="E4061" t="s">
        <v>3478</v>
      </c>
      <c r="F4061" s="451">
        <v>46073</v>
      </c>
      <c r="G4061">
        <v>17381</v>
      </c>
      <c r="H4061" t="s">
        <v>5262</v>
      </c>
      <c r="I4061" t="s">
        <v>5188</v>
      </c>
      <c r="J4061">
        <v>1</v>
      </c>
      <c r="K4061" t="s">
        <v>4736</v>
      </c>
      <c r="L4061">
        <v>42</v>
      </c>
      <c r="M4061">
        <v>42</v>
      </c>
      <c r="N4061" t="s">
        <v>5277</v>
      </c>
      <c r="O4061" t="s">
        <v>460</v>
      </c>
    </row>
    <row r="4062" spans="1:15" x14ac:dyDescent="0.3">
      <c r="A4062">
        <v>211395</v>
      </c>
      <c r="B4062">
        <v>105</v>
      </c>
      <c r="C4062" t="s">
        <v>557</v>
      </c>
      <c r="D4062" t="s">
        <v>2554</v>
      </c>
      <c r="E4062" t="s">
        <v>3478</v>
      </c>
      <c r="F4062" s="451">
        <v>46073</v>
      </c>
      <c r="G4062">
        <v>25087</v>
      </c>
      <c r="H4062" t="s">
        <v>5356</v>
      </c>
      <c r="J4062">
        <v>1</v>
      </c>
      <c r="K4062" t="s">
        <v>4736</v>
      </c>
      <c r="L4062">
        <v>12.5</v>
      </c>
      <c r="M4062">
        <v>12.5</v>
      </c>
      <c r="N4062" t="s">
        <v>5277</v>
      </c>
      <c r="O4062" t="s">
        <v>460</v>
      </c>
    </row>
    <row r="4063" spans="1:15" x14ac:dyDescent="0.3">
      <c r="A4063">
        <v>211395</v>
      </c>
      <c r="B4063">
        <v>105</v>
      </c>
      <c r="C4063" t="s">
        <v>557</v>
      </c>
      <c r="D4063" t="s">
        <v>2554</v>
      </c>
      <c r="E4063" t="s">
        <v>3478</v>
      </c>
      <c r="F4063" s="451">
        <v>46073</v>
      </c>
      <c r="G4063">
        <v>17418</v>
      </c>
      <c r="H4063" t="s">
        <v>5207</v>
      </c>
      <c r="I4063" t="s">
        <v>5188</v>
      </c>
      <c r="J4063">
        <v>3</v>
      </c>
      <c r="K4063" t="s">
        <v>4749</v>
      </c>
      <c r="L4063">
        <v>176.7</v>
      </c>
      <c r="M4063">
        <v>58.9</v>
      </c>
      <c r="N4063" t="s">
        <v>5277</v>
      </c>
      <c r="O4063" t="s">
        <v>460</v>
      </c>
    </row>
    <row r="4064" spans="1:15" x14ac:dyDescent="0.3">
      <c r="A4064">
        <v>211395</v>
      </c>
      <c r="B4064">
        <v>105</v>
      </c>
      <c r="C4064" t="s">
        <v>557</v>
      </c>
      <c r="D4064" t="s">
        <v>2554</v>
      </c>
      <c r="E4064" t="s">
        <v>3478</v>
      </c>
      <c r="F4064" s="451">
        <v>46073</v>
      </c>
      <c r="G4064">
        <v>17416</v>
      </c>
      <c r="H4064" t="s">
        <v>5209</v>
      </c>
      <c r="I4064" t="s">
        <v>5188</v>
      </c>
      <c r="J4064">
        <v>3</v>
      </c>
      <c r="K4064" t="s">
        <v>4749</v>
      </c>
      <c r="L4064">
        <v>145.74</v>
      </c>
      <c r="M4064">
        <v>48.58</v>
      </c>
      <c r="N4064" t="s">
        <v>5277</v>
      </c>
      <c r="O4064" t="s">
        <v>460</v>
      </c>
    </row>
    <row r="4065" spans="1:15" x14ac:dyDescent="0.3">
      <c r="A4065">
        <v>211395</v>
      </c>
      <c r="B4065">
        <v>105</v>
      </c>
      <c r="C4065" t="s">
        <v>557</v>
      </c>
      <c r="D4065" t="s">
        <v>2554</v>
      </c>
      <c r="E4065" t="s">
        <v>3478</v>
      </c>
      <c r="F4065" s="451">
        <v>46073</v>
      </c>
      <c r="G4065">
        <v>24505</v>
      </c>
      <c r="H4065" t="s">
        <v>5198</v>
      </c>
      <c r="I4065" t="s">
        <v>5188</v>
      </c>
      <c r="J4065">
        <v>4</v>
      </c>
      <c r="K4065" t="s">
        <v>4738</v>
      </c>
      <c r="L4065">
        <v>23.56</v>
      </c>
      <c r="M4065">
        <v>5.89</v>
      </c>
      <c r="N4065" t="s">
        <v>5277</v>
      </c>
      <c r="O4065" t="s">
        <v>460</v>
      </c>
    </row>
    <row r="4066" spans="1:15" x14ac:dyDescent="0.3">
      <c r="A4066">
        <v>211395</v>
      </c>
      <c r="B4066">
        <v>105</v>
      </c>
      <c r="C4066" t="s">
        <v>557</v>
      </c>
      <c r="D4066" t="s">
        <v>2554</v>
      </c>
      <c r="E4066" t="s">
        <v>3478</v>
      </c>
      <c r="F4066" s="451">
        <v>46073</v>
      </c>
      <c r="G4066">
        <v>27798</v>
      </c>
      <c r="H4066" t="s">
        <v>5257</v>
      </c>
      <c r="I4066" t="s">
        <v>5215</v>
      </c>
      <c r="J4066">
        <v>2</v>
      </c>
      <c r="K4066" t="s">
        <v>5245</v>
      </c>
      <c r="L4066">
        <v>350</v>
      </c>
      <c r="M4066">
        <v>175</v>
      </c>
      <c r="N4066" t="s">
        <v>5277</v>
      </c>
      <c r="O4066" t="s">
        <v>460</v>
      </c>
    </row>
    <row r="4067" spans="1:15" x14ac:dyDescent="0.3">
      <c r="A4067">
        <v>211395</v>
      </c>
      <c r="B4067">
        <v>105</v>
      </c>
      <c r="C4067" t="s">
        <v>557</v>
      </c>
      <c r="D4067" t="s">
        <v>2554</v>
      </c>
      <c r="E4067" t="s">
        <v>3478</v>
      </c>
      <c r="F4067" s="451">
        <v>46073</v>
      </c>
      <c r="G4067">
        <v>24931</v>
      </c>
      <c r="H4067" t="s">
        <v>5308</v>
      </c>
      <c r="I4067" t="s">
        <v>5188</v>
      </c>
      <c r="J4067">
        <v>1</v>
      </c>
      <c r="K4067" t="s">
        <v>4738</v>
      </c>
      <c r="L4067">
        <v>45</v>
      </c>
      <c r="M4067">
        <v>45</v>
      </c>
      <c r="N4067" t="s">
        <v>5277</v>
      </c>
      <c r="O4067" t="s">
        <v>460</v>
      </c>
    </row>
    <row r="4068" spans="1:15" x14ac:dyDescent="0.3">
      <c r="A4068">
        <v>211395</v>
      </c>
      <c r="B4068">
        <v>105</v>
      </c>
      <c r="C4068" t="s">
        <v>557</v>
      </c>
      <c r="D4068" t="s">
        <v>2554</v>
      </c>
      <c r="E4068" t="s">
        <v>3478</v>
      </c>
      <c r="F4068" s="451">
        <v>46073</v>
      </c>
      <c r="G4068">
        <v>28298</v>
      </c>
      <c r="H4068" t="s">
        <v>5261</v>
      </c>
      <c r="I4068" t="s">
        <v>5188</v>
      </c>
      <c r="J4068">
        <v>2</v>
      </c>
      <c r="K4068" t="s">
        <v>4749</v>
      </c>
      <c r="L4068">
        <v>137.28</v>
      </c>
      <c r="M4068">
        <v>68.64</v>
      </c>
      <c r="N4068" t="s">
        <v>5277</v>
      </c>
      <c r="O4068" t="s">
        <v>460</v>
      </c>
    </row>
    <row r="4069" spans="1:15" x14ac:dyDescent="0.3">
      <c r="A4069">
        <v>211394</v>
      </c>
      <c r="B4069">
        <v>105</v>
      </c>
      <c r="C4069" t="s">
        <v>557</v>
      </c>
      <c r="D4069" t="s">
        <v>2552</v>
      </c>
      <c r="E4069" t="s">
        <v>3479</v>
      </c>
      <c r="F4069" s="451">
        <v>46071</v>
      </c>
      <c r="G4069">
        <v>26627</v>
      </c>
      <c r="H4069" t="s">
        <v>5190</v>
      </c>
      <c r="I4069" t="s">
        <v>5191</v>
      </c>
      <c r="J4069">
        <v>25</v>
      </c>
      <c r="K4069" t="s">
        <v>4744</v>
      </c>
      <c r="L4069">
        <v>197.5</v>
      </c>
      <c r="M4069">
        <v>7.9</v>
      </c>
      <c r="N4069" t="s">
        <v>5272</v>
      </c>
      <c r="O4069" t="s">
        <v>460</v>
      </c>
    </row>
    <row r="4070" spans="1:15" x14ac:dyDescent="0.3">
      <c r="A4070">
        <v>211393</v>
      </c>
      <c r="B4070">
        <v>105</v>
      </c>
      <c r="C4070" t="s">
        <v>557</v>
      </c>
      <c r="D4070" t="s">
        <v>2705</v>
      </c>
      <c r="E4070" t="s">
        <v>3480</v>
      </c>
      <c r="F4070" s="451">
        <v>46076</v>
      </c>
      <c r="G4070">
        <v>24658</v>
      </c>
      <c r="H4070" t="s">
        <v>5274</v>
      </c>
      <c r="I4070" t="s">
        <v>5232</v>
      </c>
      <c r="J4070">
        <v>20</v>
      </c>
      <c r="K4070" t="s">
        <v>4738</v>
      </c>
      <c r="L4070">
        <v>692</v>
      </c>
      <c r="M4070">
        <v>34.6</v>
      </c>
      <c r="N4070" t="s">
        <v>5275</v>
      </c>
      <c r="O4070" t="s">
        <v>460</v>
      </c>
    </row>
    <row r="4071" spans="1:15" x14ac:dyDescent="0.3">
      <c r="A4071">
        <v>210712</v>
      </c>
      <c r="B4071">
        <v>105</v>
      </c>
      <c r="C4071" t="s">
        <v>557</v>
      </c>
      <c r="D4071" t="s">
        <v>2569</v>
      </c>
      <c r="E4071" t="s">
        <v>3481</v>
      </c>
      <c r="F4071" s="451">
        <v>46071</v>
      </c>
      <c r="G4071">
        <v>17958</v>
      </c>
      <c r="H4071" t="s">
        <v>5076</v>
      </c>
      <c r="I4071" t="s">
        <v>5222</v>
      </c>
      <c r="J4071">
        <v>10</v>
      </c>
      <c r="K4071" t="s">
        <v>4738</v>
      </c>
      <c r="L4071">
        <v>177</v>
      </c>
      <c r="M4071">
        <v>17.7</v>
      </c>
      <c r="N4071" t="s">
        <v>5271</v>
      </c>
      <c r="O4071" t="s">
        <v>460</v>
      </c>
    </row>
    <row r="4072" spans="1:15" x14ac:dyDescent="0.3">
      <c r="A4072">
        <v>210712</v>
      </c>
      <c r="B4072">
        <v>105</v>
      </c>
      <c r="C4072" t="s">
        <v>557</v>
      </c>
      <c r="D4072" t="s">
        <v>2569</v>
      </c>
      <c r="E4072" t="s">
        <v>3481</v>
      </c>
      <c r="F4072" s="451">
        <v>46071</v>
      </c>
      <c r="G4072">
        <v>17950</v>
      </c>
      <c r="H4072" t="s">
        <v>5091</v>
      </c>
      <c r="I4072" t="s">
        <v>5222</v>
      </c>
      <c r="J4072">
        <v>13</v>
      </c>
      <c r="K4072" t="s">
        <v>4738</v>
      </c>
      <c r="L4072">
        <v>243.1</v>
      </c>
      <c r="M4072">
        <v>18.7</v>
      </c>
      <c r="N4072" t="s">
        <v>5271</v>
      </c>
      <c r="O4072" t="s">
        <v>460</v>
      </c>
    </row>
    <row r="4073" spans="1:15" x14ac:dyDescent="0.3">
      <c r="A4073">
        <v>210711</v>
      </c>
      <c r="B4073">
        <v>105</v>
      </c>
      <c r="C4073" t="s">
        <v>557</v>
      </c>
      <c r="D4073" t="s">
        <v>2581</v>
      </c>
      <c r="E4073" t="s">
        <v>3482</v>
      </c>
      <c r="F4073" s="451">
        <v>46071</v>
      </c>
      <c r="G4073">
        <v>19621</v>
      </c>
      <c r="H4073" t="s">
        <v>4829</v>
      </c>
      <c r="I4073" t="s">
        <v>5191</v>
      </c>
      <c r="J4073">
        <v>4</v>
      </c>
      <c r="K4073" t="s">
        <v>4744</v>
      </c>
      <c r="L4073">
        <v>16.8</v>
      </c>
      <c r="M4073">
        <v>4.2</v>
      </c>
      <c r="N4073" t="s">
        <v>5272</v>
      </c>
      <c r="O4073" t="s">
        <v>460</v>
      </c>
    </row>
    <row r="4074" spans="1:15" x14ac:dyDescent="0.3">
      <c r="A4074">
        <v>210711</v>
      </c>
      <c r="B4074">
        <v>105</v>
      </c>
      <c r="C4074" t="s">
        <v>557</v>
      </c>
      <c r="D4074" t="s">
        <v>2581</v>
      </c>
      <c r="E4074" t="s">
        <v>3482</v>
      </c>
      <c r="F4074" s="451">
        <v>46071</v>
      </c>
      <c r="G4074">
        <v>19505</v>
      </c>
      <c r="H4074" t="s">
        <v>4872</v>
      </c>
      <c r="I4074" t="s">
        <v>5191</v>
      </c>
      <c r="J4074">
        <v>4</v>
      </c>
      <c r="K4074" t="s">
        <v>4744</v>
      </c>
      <c r="L4074">
        <v>68</v>
      </c>
      <c r="M4074">
        <v>17</v>
      </c>
      <c r="N4074" t="s">
        <v>5272</v>
      </c>
      <c r="O4074" t="s">
        <v>460</v>
      </c>
    </row>
    <row r="4075" spans="1:15" x14ac:dyDescent="0.3">
      <c r="A4075">
        <v>210711</v>
      </c>
      <c r="B4075">
        <v>105</v>
      </c>
      <c r="C4075" t="s">
        <v>557</v>
      </c>
      <c r="D4075" t="s">
        <v>2581</v>
      </c>
      <c r="E4075" t="s">
        <v>3482</v>
      </c>
      <c r="F4075" s="451">
        <v>46071</v>
      </c>
      <c r="G4075">
        <v>19617</v>
      </c>
      <c r="H4075" t="s">
        <v>5071</v>
      </c>
      <c r="I4075" t="s">
        <v>5191</v>
      </c>
      <c r="J4075">
        <v>0.5</v>
      </c>
      <c r="K4075" t="s">
        <v>4744</v>
      </c>
      <c r="L4075">
        <v>20</v>
      </c>
      <c r="M4075">
        <v>40</v>
      </c>
      <c r="N4075" t="s">
        <v>5272</v>
      </c>
      <c r="O4075" t="s">
        <v>460</v>
      </c>
    </row>
    <row r="4076" spans="1:15" x14ac:dyDescent="0.3">
      <c r="A4076">
        <v>210711</v>
      </c>
      <c r="B4076">
        <v>105</v>
      </c>
      <c r="C4076" t="s">
        <v>557</v>
      </c>
      <c r="D4076" t="s">
        <v>2581</v>
      </c>
      <c r="E4076" t="s">
        <v>3482</v>
      </c>
      <c r="F4076" s="451">
        <v>46071</v>
      </c>
      <c r="G4076">
        <v>23113</v>
      </c>
      <c r="H4076" t="s">
        <v>5074</v>
      </c>
      <c r="I4076" t="s">
        <v>5191</v>
      </c>
      <c r="J4076">
        <v>1</v>
      </c>
      <c r="K4076" t="s">
        <v>4744</v>
      </c>
      <c r="L4076">
        <v>8</v>
      </c>
      <c r="M4076">
        <v>8</v>
      </c>
      <c r="N4076" t="s">
        <v>5272</v>
      </c>
      <c r="O4076" t="s">
        <v>460</v>
      </c>
    </row>
    <row r="4077" spans="1:15" x14ac:dyDescent="0.3">
      <c r="A4077">
        <v>210711</v>
      </c>
      <c r="B4077">
        <v>105</v>
      </c>
      <c r="C4077" t="s">
        <v>557</v>
      </c>
      <c r="D4077" t="s">
        <v>2581</v>
      </c>
      <c r="E4077" t="s">
        <v>3482</v>
      </c>
      <c r="F4077" s="451">
        <v>46071</v>
      </c>
      <c r="G4077">
        <v>23359</v>
      </c>
      <c r="H4077" t="s">
        <v>4767</v>
      </c>
      <c r="I4077" t="s">
        <v>5191</v>
      </c>
      <c r="J4077">
        <v>10</v>
      </c>
      <c r="K4077" t="s">
        <v>4744</v>
      </c>
      <c r="L4077">
        <v>30</v>
      </c>
      <c r="M4077">
        <v>3</v>
      </c>
      <c r="N4077" t="s">
        <v>5272</v>
      </c>
      <c r="O4077" t="s">
        <v>460</v>
      </c>
    </row>
    <row r="4078" spans="1:15" x14ac:dyDescent="0.3">
      <c r="A4078">
        <v>210702</v>
      </c>
      <c r="B4078">
        <v>105</v>
      </c>
      <c r="C4078" t="s">
        <v>557</v>
      </c>
      <c r="D4078" t="s">
        <v>2690</v>
      </c>
      <c r="E4078" t="s">
        <v>3483</v>
      </c>
      <c r="F4078" s="451">
        <v>46073</v>
      </c>
      <c r="G4078">
        <v>18545</v>
      </c>
      <c r="H4078" t="s">
        <v>4864</v>
      </c>
      <c r="I4078" t="s">
        <v>5222</v>
      </c>
      <c r="J4078">
        <v>1</v>
      </c>
      <c r="K4078" t="s">
        <v>4805</v>
      </c>
      <c r="L4078">
        <v>48.9</v>
      </c>
      <c r="M4078">
        <v>48.9</v>
      </c>
      <c r="N4078" t="s">
        <v>5222</v>
      </c>
      <c r="O4078" t="s">
        <v>460</v>
      </c>
    </row>
    <row r="4079" spans="1:15" x14ac:dyDescent="0.3">
      <c r="A4079">
        <v>210702</v>
      </c>
      <c r="B4079">
        <v>105</v>
      </c>
      <c r="C4079" t="s">
        <v>557</v>
      </c>
      <c r="D4079" t="s">
        <v>2690</v>
      </c>
      <c r="E4079" t="s">
        <v>3483</v>
      </c>
      <c r="F4079" s="451">
        <v>46073</v>
      </c>
      <c r="G4079">
        <v>18030</v>
      </c>
      <c r="H4079" t="s">
        <v>4840</v>
      </c>
      <c r="I4079" t="s">
        <v>5222</v>
      </c>
      <c r="J4079">
        <v>5</v>
      </c>
      <c r="K4079" t="s">
        <v>4805</v>
      </c>
      <c r="L4079">
        <v>145.25</v>
      </c>
      <c r="M4079">
        <v>29.05</v>
      </c>
      <c r="N4079" t="s">
        <v>5222</v>
      </c>
      <c r="O4079" t="s">
        <v>460</v>
      </c>
    </row>
    <row r="4080" spans="1:15" x14ac:dyDescent="0.3">
      <c r="A4080">
        <v>208385</v>
      </c>
      <c r="B4080">
        <v>105</v>
      </c>
      <c r="C4080" t="s">
        <v>557</v>
      </c>
      <c r="D4080" t="s">
        <v>2581</v>
      </c>
      <c r="E4080" t="s">
        <v>3484</v>
      </c>
      <c r="F4080" s="451">
        <v>46066</v>
      </c>
      <c r="G4080">
        <v>19623</v>
      </c>
      <c r="H4080" t="s">
        <v>4764</v>
      </c>
      <c r="I4080" t="s">
        <v>5191</v>
      </c>
      <c r="J4080">
        <v>10</v>
      </c>
      <c r="K4080" t="s">
        <v>4744</v>
      </c>
      <c r="L4080">
        <v>38</v>
      </c>
      <c r="M4080">
        <v>3.8</v>
      </c>
      <c r="N4080" t="s">
        <v>5272</v>
      </c>
      <c r="O4080" t="s">
        <v>460</v>
      </c>
    </row>
    <row r="4081" spans="1:15" x14ac:dyDescent="0.3">
      <c r="A4081">
        <v>208385</v>
      </c>
      <c r="B4081">
        <v>105</v>
      </c>
      <c r="C4081" t="s">
        <v>557</v>
      </c>
      <c r="D4081" t="s">
        <v>2581</v>
      </c>
      <c r="E4081" t="s">
        <v>3484</v>
      </c>
      <c r="F4081" s="451">
        <v>46066</v>
      </c>
      <c r="G4081">
        <v>24509</v>
      </c>
      <c r="H4081" t="s">
        <v>4788</v>
      </c>
      <c r="I4081" t="s">
        <v>5191</v>
      </c>
      <c r="J4081">
        <v>10</v>
      </c>
      <c r="K4081" t="s">
        <v>4744</v>
      </c>
      <c r="L4081">
        <v>18</v>
      </c>
      <c r="M4081">
        <v>1.8</v>
      </c>
      <c r="N4081" t="s">
        <v>5272</v>
      </c>
      <c r="O4081" t="s">
        <v>460</v>
      </c>
    </row>
    <row r="4082" spans="1:15" x14ac:dyDescent="0.3">
      <c r="A4082">
        <v>208385</v>
      </c>
      <c r="B4082">
        <v>105</v>
      </c>
      <c r="C4082" t="s">
        <v>557</v>
      </c>
      <c r="D4082" t="s">
        <v>2581</v>
      </c>
      <c r="E4082" t="s">
        <v>3484</v>
      </c>
      <c r="F4082" s="451">
        <v>46066</v>
      </c>
      <c r="G4082">
        <v>19507</v>
      </c>
      <c r="H4082" t="s">
        <v>4853</v>
      </c>
      <c r="I4082" t="s">
        <v>5191</v>
      </c>
      <c r="J4082">
        <v>2</v>
      </c>
      <c r="K4082" t="s">
        <v>4744</v>
      </c>
      <c r="L4082">
        <v>28</v>
      </c>
      <c r="M4082">
        <v>14</v>
      </c>
      <c r="N4082" t="s">
        <v>5272</v>
      </c>
      <c r="O4082" t="s">
        <v>460</v>
      </c>
    </row>
    <row r="4083" spans="1:15" x14ac:dyDescent="0.3">
      <c r="A4083">
        <v>208385</v>
      </c>
      <c r="B4083">
        <v>105</v>
      </c>
      <c r="C4083" t="s">
        <v>557</v>
      </c>
      <c r="D4083" t="s">
        <v>2581</v>
      </c>
      <c r="E4083" t="s">
        <v>3484</v>
      </c>
      <c r="F4083" s="451">
        <v>46066</v>
      </c>
      <c r="G4083">
        <v>23113</v>
      </c>
      <c r="H4083" t="s">
        <v>5074</v>
      </c>
      <c r="I4083" t="s">
        <v>5191</v>
      </c>
      <c r="J4083">
        <v>2</v>
      </c>
      <c r="K4083" t="s">
        <v>4744</v>
      </c>
      <c r="L4083">
        <v>20</v>
      </c>
      <c r="M4083">
        <v>10</v>
      </c>
      <c r="N4083" t="s">
        <v>5272</v>
      </c>
      <c r="O4083" t="s">
        <v>460</v>
      </c>
    </row>
    <row r="4084" spans="1:15" x14ac:dyDescent="0.3">
      <c r="A4084">
        <v>208385</v>
      </c>
      <c r="B4084">
        <v>105</v>
      </c>
      <c r="C4084" t="s">
        <v>557</v>
      </c>
      <c r="D4084" t="s">
        <v>2581</v>
      </c>
      <c r="E4084" t="s">
        <v>3484</v>
      </c>
      <c r="F4084" s="451">
        <v>46066</v>
      </c>
      <c r="G4084">
        <v>23359</v>
      </c>
      <c r="H4084" t="s">
        <v>4767</v>
      </c>
      <c r="I4084" t="s">
        <v>5191</v>
      </c>
      <c r="J4084">
        <v>15</v>
      </c>
      <c r="K4084" t="s">
        <v>4744</v>
      </c>
      <c r="L4084">
        <v>48</v>
      </c>
      <c r="M4084">
        <v>3.2</v>
      </c>
      <c r="N4084" t="s">
        <v>5272</v>
      </c>
      <c r="O4084" t="s">
        <v>460</v>
      </c>
    </row>
    <row r="4085" spans="1:15" x14ac:dyDescent="0.3">
      <c r="A4085">
        <v>208385</v>
      </c>
      <c r="B4085">
        <v>105</v>
      </c>
      <c r="C4085" t="s">
        <v>557</v>
      </c>
      <c r="D4085" t="s">
        <v>2581</v>
      </c>
      <c r="E4085" t="s">
        <v>3484</v>
      </c>
      <c r="F4085" s="451">
        <v>46066</v>
      </c>
      <c r="G4085">
        <v>23361</v>
      </c>
      <c r="H4085" t="s">
        <v>4754</v>
      </c>
      <c r="I4085" t="s">
        <v>5191</v>
      </c>
      <c r="J4085">
        <v>20</v>
      </c>
      <c r="K4085" t="s">
        <v>4744</v>
      </c>
      <c r="L4085">
        <v>66</v>
      </c>
      <c r="M4085">
        <v>3.3</v>
      </c>
      <c r="N4085" t="s">
        <v>5272</v>
      </c>
      <c r="O4085" t="s">
        <v>460</v>
      </c>
    </row>
    <row r="4086" spans="1:15" x14ac:dyDescent="0.3">
      <c r="A4086">
        <v>208385</v>
      </c>
      <c r="B4086">
        <v>105</v>
      </c>
      <c r="C4086" t="s">
        <v>557</v>
      </c>
      <c r="D4086" t="s">
        <v>2581</v>
      </c>
      <c r="E4086" t="s">
        <v>3484</v>
      </c>
      <c r="F4086" s="451">
        <v>46066</v>
      </c>
      <c r="G4086">
        <v>19472</v>
      </c>
      <c r="H4086" t="s">
        <v>4906</v>
      </c>
      <c r="I4086" t="s">
        <v>5191</v>
      </c>
      <c r="J4086">
        <v>2</v>
      </c>
      <c r="K4086" t="s">
        <v>4744</v>
      </c>
      <c r="L4086">
        <v>54</v>
      </c>
      <c r="M4086">
        <v>27</v>
      </c>
      <c r="N4086" t="s">
        <v>5272</v>
      </c>
      <c r="O4086" t="s">
        <v>460</v>
      </c>
    </row>
    <row r="4087" spans="1:15" x14ac:dyDescent="0.3">
      <c r="A4087">
        <v>208385</v>
      </c>
      <c r="B4087">
        <v>105</v>
      </c>
      <c r="C4087" t="s">
        <v>557</v>
      </c>
      <c r="D4087" t="s">
        <v>2581</v>
      </c>
      <c r="E4087" t="s">
        <v>3484</v>
      </c>
      <c r="F4087" s="451">
        <v>46066</v>
      </c>
      <c r="G4087">
        <v>19532</v>
      </c>
      <c r="H4087" t="s">
        <v>4753</v>
      </c>
      <c r="I4087" t="s">
        <v>5191</v>
      </c>
      <c r="J4087">
        <v>25</v>
      </c>
      <c r="K4087" t="s">
        <v>4744</v>
      </c>
      <c r="L4087">
        <v>155</v>
      </c>
      <c r="M4087">
        <v>6.2</v>
      </c>
      <c r="N4087" t="s">
        <v>5272</v>
      </c>
      <c r="O4087" t="s">
        <v>460</v>
      </c>
    </row>
    <row r="4088" spans="1:15" x14ac:dyDescent="0.3">
      <c r="A4088">
        <v>208384</v>
      </c>
      <c r="B4088">
        <v>105</v>
      </c>
      <c r="C4088" t="s">
        <v>557</v>
      </c>
      <c r="D4088" t="s">
        <v>2675</v>
      </c>
      <c r="E4088" t="s">
        <v>3485</v>
      </c>
      <c r="F4088" s="451">
        <v>46069</v>
      </c>
      <c r="G4088">
        <v>23980</v>
      </c>
      <c r="H4088" t="s">
        <v>5097</v>
      </c>
      <c r="I4088" t="s">
        <v>5191</v>
      </c>
      <c r="J4088">
        <v>21.1</v>
      </c>
      <c r="K4088" t="s">
        <v>4744</v>
      </c>
      <c r="L4088">
        <v>822.9</v>
      </c>
      <c r="M4088">
        <v>39</v>
      </c>
      <c r="N4088" t="s">
        <v>5272</v>
      </c>
      <c r="O4088" t="s">
        <v>460</v>
      </c>
    </row>
    <row r="4089" spans="1:15" x14ac:dyDescent="0.3">
      <c r="A4089">
        <v>208383</v>
      </c>
      <c r="B4089">
        <v>105</v>
      </c>
      <c r="C4089" t="s">
        <v>557</v>
      </c>
      <c r="D4089" t="s">
        <v>2600</v>
      </c>
      <c r="E4089" t="s">
        <v>3486</v>
      </c>
      <c r="F4089" s="451">
        <v>46069</v>
      </c>
      <c r="G4089">
        <v>20549</v>
      </c>
      <c r="H4089" t="s">
        <v>4823</v>
      </c>
      <c r="I4089" t="s">
        <v>5191</v>
      </c>
      <c r="J4089">
        <v>6.2</v>
      </c>
      <c r="K4089" t="s">
        <v>4744</v>
      </c>
      <c r="L4089">
        <v>123.94</v>
      </c>
      <c r="M4089">
        <v>19.990323</v>
      </c>
      <c r="N4089" t="s">
        <v>5191</v>
      </c>
      <c r="O4089" t="s">
        <v>460</v>
      </c>
    </row>
    <row r="4090" spans="1:15" x14ac:dyDescent="0.3">
      <c r="A4090">
        <v>208382</v>
      </c>
      <c r="B4090">
        <v>105</v>
      </c>
      <c r="C4090" t="s">
        <v>557</v>
      </c>
      <c r="D4090" t="s">
        <v>2563</v>
      </c>
      <c r="E4090" t="s">
        <v>3487</v>
      </c>
      <c r="F4090" s="451">
        <v>46067</v>
      </c>
      <c r="G4090">
        <v>24083</v>
      </c>
      <c r="H4090" t="s">
        <v>5165</v>
      </c>
      <c r="I4090" t="s">
        <v>5191</v>
      </c>
      <c r="J4090">
        <v>40</v>
      </c>
      <c r="K4090" t="s">
        <v>4744</v>
      </c>
      <c r="L4090">
        <v>162.4</v>
      </c>
      <c r="M4090">
        <v>4.0599999999999996</v>
      </c>
      <c r="N4090" t="s">
        <v>5272</v>
      </c>
      <c r="O4090" t="s">
        <v>460</v>
      </c>
    </row>
    <row r="4091" spans="1:15" x14ac:dyDescent="0.3">
      <c r="A4091">
        <v>208382</v>
      </c>
      <c r="B4091">
        <v>105</v>
      </c>
      <c r="C4091" t="s">
        <v>557</v>
      </c>
      <c r="D4091" t="s">
        <v>2563</v>
      </c>
      <c r="E4091" t="s">
        <v>3487</v>
      </c>
      <c r="F4091" s="451">
        <v>46067</v>
      </c>
      <c r="G4091">
        <v>19658</v>
      </c>
      <c r="H4091" t="s">
        <v>4784</v>
      </c>
      <c r="I4091" t="s">
        <v>5191</v>
      </c>
      <c r="J4091">
        <v>10.45</v>
      </c>
      <c r="K4091" t="s">
        <v>4744</v>
      </c>
      <c r="L4091">
        <v>32.6</v>
      </c>
      <c r="M4091">
        <v>3.1196169999999999</v>
      </c>
      <c r="N4091" t="s">
        <v>5272</v>
      </c>
      <c r="O4091" t="s">
        <v>460</v>
      </c>
    </row>
    <row r="4092" spans="1:15" x14ac:dyDescent="0.3">
      <c r="A4092">
        <v>208382</v>
      </c>
      <c r="B4092">
        <v>105</v>
      </c>
      <c r="C4092" t="s">
        <v>557</v>
      </c>
      <c r="D4092" t="s">
        <v>2563</v>
      </c>
      <c r="E4092" t="s">
        <v>3487</v>
      </c>
      <c r="F4092" s="451">
        <v>46067</v>
      </c>
      <c r="G4092">
        <v>19551</v>
      </c>
      <c r="H4092" t="s">
        <v>4905</v>
      </c>
      <c r="I4092" t="s">
        <v>5191</v>
      </c>
      <c r="J4092">
        <v>3</v>
      </c>
      <c r="K4092" t="s">
        <v>4744</v>
      </c>
      <c r="L4092">
        <v>43.5</v>
      </c>
      <c r="M4092">
        <v>14.5</v>
      </c>
      <c r="N4092" t="s">
        <v>5272</v>
      </c>
      <c r="O4092" t="s">
        <v>460</v>
      </c>
    </row>
    <row r="4093" spans="1:15" x14ac:dyDescent="0.3">
      <c r="A4093">
        <v>208382</v>
      </c>
      <c r="B4093">
        <v>105</v>
      </c>
      <c r="C4093" t="s">
        <v>557</v>
      </c>
      <c r="D4093" t="s">
        <v>2563</v>
      </c>
      <c r="E4093" t="s">
        <v>3487</v>
      </c>
      <c r="F4093" s="451">
        <v>46067</v>
      </c>
      <c r="G4093">
        <v>23389</v>
      </c>
      <c r="H4093" t="s">
        <v>4960</v>
      </c>
      <c r="I4093" t="s">
        <v>5191</v>
      </c>
      <c r="J4093">
        <v>3</v>
      </c>
      <c r="K4093" t="s">
        <v>4744</v>
      </c>
      <c r="L4093">
        <v>16.170000000000002</v>
      </c>
      <c r="M4093">
        <v>5.39</v>
      </c>
      <c r="N4093" t="s">
        <v>5272</v>
      </c>
      <c r="O4093" t="s">
        <v>460</v>
      </c>
    </row>
    <row r="4094" spans="1:15" x14ac:dyDescent="0.3">
      <c r="A4094">
        <v>208381</v>
      </c>
      <c r="B4094">
        <v>105</v>
      </c>
      <c r="C4094" t="s">
        <v>557</v>
      </c>
      <c r="D4094" t="s">
        <v>2593</v>
      </c>
      <c r="E4094" t="s">
        <v>3488</v>
      </c>
      <c r="F4094" s="451">
        <v>46066</v>
      </c>
      <c r="G4094">
        <v>24256</v>
      </c>
      <c r="H4094" t="s">
        <v>4773</v>
      </c>
      <c r="I4094" t="s">
        <v>5191</v>
      </c>
      <c r="J4094">
        <v>20</v>
      </c>
      <c r="K4094" t="s">
        <v>4744</v>
      </c>
      <c r="L4094">
        <v>760</v>
      </c>
      <c r="M4094">
        <v>38</v>
      </c>
      <c r="N4094" t="s">
        <v>5272</v>
      </c>
      <c r="O4094" t="s">
        <v>460</v>
      </c>
    </row>
    <row r="4095" spans="1:15" x14ac:dyDescent="0.3">
      <c r="A4095">
        <v>208380</v>
      </c>
      <c r="B4095">
        <v>105</v>
      </c>
      <c r="C4095" t="s">
        <v>557</v>
      </c>
      <c r="D4095" t="s">
        <v>2705</v>
      </c>
      <c r="E4095" t="s">
        <v>3489</v>
      </c>
      <c r="F4095" s="451">
        <v>46066</v>
      </c>
      <c r="G4095">
        <v>24658</v>
      </c>
      <c r="H4095" t="s">
        <v>5274</v>
      </c>
      <c r="I4095" t="s">
        <v>5232</v>
      </c>
      <c r="J4095">
        <v>18</v>
      </c>
      <c r="K4095" t="s">
        <v>4738</v>
      </c>
      <c r="L4095">
        <v>622.79999999999995</v>
      </c>
      <c r="M4095">
        <v>34.6</v>
      </c>
      <c r="N4095" t="s">
        <v>5287</v>
      </c>
      <c r="O4095" t="s">
        <v>460</v>
      </c>
    </row>
    <row r="4096" spans="1:15" x14ac:dyDescent="0.3">
      <c r="A4096">
        <v>208379</v>
      </c>
      <c r="B4096">
        <v>105</v>
      </c>
      <c r="C4096" t="s">
        <v>557</v>
      </c>
      <c r="D4096" t="s">
        <v>2597</v>
      </c>
      <c r="E4096" t="s">
        <v>3490</v>
      </c>
      <c r="F4096" s="451">
        <v>46069</v>
      </c>
      <c r="G4096">
        <v>24217</v>
      </c>
      <c r="H4096" t="s">
        <v>4778</v>
      </c>
      <c r="I4096" t="s">
        <v>5191</v>
      </c>
      <c r="J4096">
        <v>31.9</v>
      </c>
      <c r="K4096" t="s">
        <v>4744</v>
      </c>
      <c r="L4096">
        <v>781.55</v>
      </c>
      <c r="M4096">
        <v>24.5</v>
      </c>
      <c r="N4096" t="s">
        <v>5272</v>
      </c>
      <c r="O4096" t="s">
        <v>460</v>
      </c>
    </row>
    <row r="4097" spans="1:15" x14ac:dyDescent="0.3">
      <c r="A4097">
        <v>208379</v>
      </c>
      <c r="B4097">
        <v>105</v>
      </c>
      <c r="C4097" t="s">
        <v>557</v>
      </c>
      <c r="D4097" t="s">
        <v>2597</v>
      </c>
      <c r="E4097" t="s">
        <v>3490</v>
      </c>
      <c r="F4097" s="451">
        <v>46069</v>
      </c>
      <c r="G4097">
        <v>18996</v>
      </c>
      <c r="H4097" t="s">
        <v>5130</v>
      </c>
      <c r="I4097" t="s">
        <v>5191</v>
      </c>
      <c r="J4097">
        <v>3.7</v>
      </c>
      <c r="K4097" t="s">
        <v>4744</v>
      </c>
      <c r="L4097">
        <v>55.46</v>
      </c>
      <c r="M4097">
        <v>14.989189</v>
      </c>
      <c r="N4097" t="s">
        <v>5272</v>
      </c>
      <c r="O4097" t="s">
        <v>460</v>
      </c>
    </row>
    <row r="4098" spans="1:15" x14ac:dyDescent="0.3">
      <c r="A4098">
        <v>208379</v>
      </c>
      <c r="B4098">
        <v>105</v>
      </c>
      <c r="C4098" t="s">
        <v>557</v>
      </c>
      <c r="D4098" t="s">
        <v>2597</v>
      </c>
      <c r="E4098" t="s">
        <v>3490</v>
      </c>
      <c r="F4098" s="451">
        <v>46069</v>
      </c>
      <c r="G4098">
        <v>20501</v>
      </c>
      <c r="H4098" t="s">
        <v>4760</v>
      </c>
      <c r="I4098" t="s">
        <v>5191</v>
      </c>
      <c r="J4098">
        <v>15</v>
      </c>
      <c r="K4098" t="s">
        <v>4744</v>
      </c>
      <c r="L4098">
        <v>328.5</v>
      </c>
      <c r="M4098">
        <v>21.9</v>
      </c>
      <c r="N4098" t="s">
        <v>5272</v>
      </c>
      <c r="O4098" t="s">
        <v>460</v>
      </c>
    </row>
    <row r="4099" spans="1:15" x14ac:dyDescent="0.3">
      <c r="A4099">
        <v>208378</v>
      </c>
      <c r="B4099">
        <v>105</v>
      </c>
      <c r="C4099" t="s">
        <v>557</v>
      </c>
      <c r="D4099" t="s">
        <v>2779</v>
      </c>
      <c r="E4099" t="s">
        <v>3491</v>
      </c>
      <c r="F4099" s="451">
        <v>46063</v>
      </c>
      <c r="G4099">
        <v>19003</v>
      </c>
      <c r="H4099" t="s">
        <v>4810</v>
      </c>
      <c r="I4099" t="s">
        <v>5191</v>
      </c>
      <c r="J4099">
        <v>15.5</v>
      </c>
      <c r="K4099" t="s">
        <v>4744</v>
      </c>
      <c r="L4099">
        <v>618.45000000000005</v>
      </c>
      <c r="M4099">
        <v>39.9</v>
      </c>
      <c r="N4099" t="s">
        <v>5272</v>
      </c>
      <c r="O4099" t="s">
        <v>460</v>
      </c>
    </row>
    <row r="4100" spans="1:15" x14ac:dyDescent="0.3">
      <c r="A4100">
        <v>208378</v>
      </c>
      <c r="B4100">
        <v>105</v>
      </c>
      <c r="C4100" t="s">
        <v>557</v>
      </c>
      <c r="D4100" t="s">
        <v>2779</v>
      </c>
      <c r="E4100" t="s">
        <v>3491</v>
      </c>
      <c r="F4100" s="451">
        <v>46063</v>
      </c>
      <c r="G4100">
        <v>27542</v>
      </c>
      <c r="H4100" t="s">
        <v>5387</v>
      </c>
      <c r="I4100" t="s">
        <v>5191</v>
      </c>
      <c r="J4100">
        <v>46.62</v>
      </c>
      <c r="K4100" t="s">
        <v>4744</v>
      </c>
      <c r="L4100">
        <v>1300.7</v>
      </c>
      <c r="M4100">
        <v>27.900043</v>
      </c>
      <c r="N4100" t="s">
        <v>5272</v>
      </c>
      <c r="O4100" t="s">
        <v>460</v>
      </c>
    </row>
    <row r="4101" spans="1:15" x14ac:dyDescent="0.3">
      <c r="A4101">
        <v>208378</v>
      </c>
      <c r="B4101">
        <v>105</v>
      </c>
      <c r="C4101" t="s">
        <v>557</v>
      </c>
      <c r="D4101" t="s">
        <v>2779</v>
      </c>
      <c r="E4101" t="s">
        <v>3491</v>
      </c>
      <c r="F4101" s="451">
        <v>46063</v>
      </c>
      <c r="G4101">
        <v>27264</v>
      </c>
      <c r="H4101" t="s">
        <v>5075</v>
      </c>
      <c r="I4101" t="s">
        <v>5191</v>
      </c>
      <c r="J4101">
        <v>6.97</v>
      </c>
      <c r="K4101" t="s">
        <v>4744</v>
      </c>
      <c r="L4101">
        <v>487.2</v>
      </c>
      <c r="M4101">
        <v>69.899569999999997</v>
      </c>
      <c r="N4101" t="s">
        <v>5272</v>
      </c>
      <c r="O4101" t="s">
        <v>460</v>
      </c>
    </row>
    <row r="4102" spans="1:15" x14ac:dyDescent="0.3">
      <c r="A4102">
        <v>208377</v>
      </c>
      <c r="B4102">
        <v>105</v>
      </c>
      <c r="C4102" t="s">
        <v>557</v>
      </c>
      <c r="D4102" t="s">
        <v>2554</v>
      </c>
      <c r="E4102" t="s">
        <v>3492</v>
      </c>
      <c r="F4102" s="451">
        <v>46058</v>
      </c>
      <c r="G4102">
        <v>17129</v>
      </c>
      <c r="H4102" t="s">
        <v>5202</v>
      </c>
      <c r="I4102" t="s">
        <v>5188</v>
      </c>
      <c r="J4102">
        <v>1</v>
      </c>
      <c r="K4102" t="s">
        <v>4738</v>
      </c>
      <c r="L4102">
        <v>29.9</v>
      </c>
      <c r="M4102">
        <v>29.9</v>
      </c>
      <c r="N4102" t="s">
        <v>5277</v>
      </c>
      <c r="O4102" t="s">
        <v>460</v>
      </c>
    </row>
    <row r="4103" spans="1:15" x14ac:dyDescent="0.3">
      <c r="A4103">
        <v>208377</v>
      </c>
      <c r="B4103">
        <v>105</v>
      </c>
      <c r="C4103" t="s">
        <v>557</v>
      </c>
      <c r="D4103" t="s">
        <v>2554</v>
      </c>
      <c r="E4103" t="s">
        <v>3492</v>
      </c>
      <c r="F4103" s="451">
        <v>46058</v>
      </c>
      <c r="G4103">
        <v>17405</v>
      </c>
      <c r="H4103" t="s">
        <v>5200</v>
      </c>
      <c r="I4103" t="s">
        <v>5188</v>
      </c>
      <c r="J4103">
        <v>1</v>
      </c>
      <c r="K4103" t="s">
        <v>4736</v>
      </c>
      <c r="L4103">
        <v>10</v>
      </c>
      <c r="M4103">
        <v>10</v>
      </c>
      <c r="N4103" t="s">
        <v>5277</v>
      </c>
      <c r="O4103" t="s">
        <v>460</v>
      </c>
    </row>
    <row r="4104" spans="1:15" x14ac:dyDescent="0.3">
      <c r="A4104">
        <v>208377</v>
      </c>
      <c r="B4104">
        <v>105</v>
      </c>
      <c r="C4104" t="s">
        <v>557</v>
      </c>
      <c r="D4104" t="s">
        <v>2554</v>
      </c>
      <c r="E4104" t="s">
        <v>3492</v>
      </c>
      <c r="F4104" s="451">
        <v>46058</v>
      </c>
      <c r="G4104">
        <v>17437</v>
      </c>
      <c r="H4104" t="s">
        <v>5203</v>
      </c>
      <c r="I4104" t="s">
        <v>5188</v>
      </c>
      <c r="J4104">
        <v>15</v>
      </c>
      <c r="K4104" t="s">
        <v>4736</v>
      </c>
      <c r="L4104">
        <v>37.5</v>
      </c>
      <c r="M4104">
        <v>2.5</v>
      </c>
      <c r="N4104" t="s">
        <v>5277</v>
      </c>
      <c r="O4104" t="s">
        <v>460</v>
      </c>
    </row>
    <row r="4105" spans="1:15" x14ac:dyDescent="0.3">
      <c r="A4105">
        <v>208377</v>
      </c>
      <c r="B4105">
        <v>105</v>
      </c>
      <c r="C4105" t="s">
        <v>557</v>
      </c>
      <c r="D4105" t="s">
        <v>2554</v>
      </c>
      <c r="E4105" t="s">
        <v>3492</v>
      </c>
      <c r="F4105" s="451">
        <v>46058</v>
      </c>
      <c r="G4105">
        <v>17261</v>
      </c>
      <c r="H4105" t="s">
        <v>5388</v>
      </c>
      <c r="I4105" t="s">
        <v>5188</v>
      </c>
      <c r="J4105">
        <v>1</v>
      </c>
      <c r="K4105" t="s">
        <v>4736</v>
      </c>
      <c r="L4105">
        <v>26</v>
      </c>
      <c r="M4105">
        <v>26</v>
      </c>
      <c r="N4105" t="s">
        <v>5277</v>
      </c>
      <c r="O4105" t="s">
        <v>460</v>
      </c>
    </row>
    <row r="4106" spans="1:15" x14ac:dyDescent="0.3">
      <c r="A4106">
        <v>208377</v>
      </c>
      <c r="B4106">
        <v>105</v>
      </c>
      <c r="C4106" t="s">
        <v>557</v>
      </c>
      <c r="D4106" t="s">
        <v>2554</v>
      </c>
      <c r="E4106" t="s">
        <v>3492</v>
      </c>
      <c r="F4106" s="451">
        <v>46058</v>
      </c>
      <c r="G4106">
        <v>17455</v>
      </c>
      <c r="H4106" t="s">
        <v>5290</v>
      </c>
      <c r="I4106" t="s">
        <v>5188</v>
      </c>
      <c r="J4106">
        <v>1</v>
      </c>
      <c r="K4106" t="s">
        <v>4736</v>
      </c>
      <c r="L4106">
        <v>38</v>
      </c>
      <c r="M4106">
        <v>38</v>
      </c>
      <c r="N4106" t="s">
        <v>5277</v>
      </c>
      <c r="O4106" t="s">
        <v>460</v>
      </c>
    </row>
    <row r="4107" spans="1:15" x14ac:dyDescent="0.3">
      <c r="A4107">
        <v>208377</v>
      </c>
      <c r="B4107">
        <v>105</v>
      </c>
      <c r="C4107" t="s">
        <v>557</v>
      </c>
      <c r="D4107" t="s">
        <v>2554</v>
      </c>
      <c r="E4107" t="s">
        <v>3492</v>
      </c>
      <c r="F4107" s="451">
        <v>46058</v>
      </c>
      <c r="G4107">
        <v>17046</v>
      </c>
      <c r="H4107" t="s">
        <v>5194</v>
      </c>
      <c r="I4107" t="s">
        <v>5188</v>
      </c>
      <c r="J4107">
        <v>2</v>
      </c>
      <c r="K4107" t="s">
        <v>4736</v>
      </c>
      <c r="L4107">
        <v>76</v>
      </c>
      <c r="M4107">
        <v>38</v>
      </c>
      <c r="N4107" t="s">
        <v>5277</v>
      </c>
      <c r="O4107" t="s">
        <v>460</v>
      </c>
    </row>
    <row r="4108" spans="1:15" x14ac:dyDescent="0.3">
      <c r="A4108">
        <v>208377</v>
      </c>
      <c r="B4108">
        <v>105</v>
      </c>
      <c r="C4108" t="s">
        <v>557</v>
      </c>
      <c r="D4108" t="s">
        <v>2554</v>
      </c>
      <c r="E4108" t="s">
        <v>3492</v>
      </c>
      <c r="F4108" s="451">
        <v>46058</v>
      </c>
      <c r="G4108">
        <v>17314</v>
      </c>
      <c r="H4108" t="s">
        <v>5208</v>
      </c>
      <c r="I4108" t="s">
        <v>5188</v>
      </c>
      <c r="J4108">
        <v>3</v>
      </c>
      <c r="K4108" t="s">
        <v>4848</v>
      </c>
      <c r="L4108">
        <v>18.3</v>
      </c>
      <c r="M4108">
        <v>6.1</v>
      </c>
      <c r="N4108" t="s">
        <v>5277</v>
      </c>
      <c r="O4108" t="s">
        <v>460</v>
      </c>
    </row>
    <row r="4109" spans="1:15" x14ac:dyDescent="0.3">
      <c r="A4109">
        <v>208377</v>
      </c>
      <c r="B4109">
        <v>105</v>
      </c>
      <c r="C4109" t="s">
        <v>557</v>
      </c>
      <c r="D4109" t="s">
        <v>2554</v>
      </c>
      <c r="E4109" t="s">
        <v>3492</v>
      </c>
      <c r="F4109" s="451">
        <v>46058</v>
      </c>
      <c r="G4109">
        <v>17404</v>
      </c>
      <c r="H4109" t="s">
        <v>5295</v>
      </c>
      <c r="I4109" t="s">
        <v>5188</v>
      </c>
      <c r="J4109">
        <v>1</v>
      </c>
      <c r="K4109" t="s">
        <v>4736</v>
      </c>
      <c r="L4109">
        <v>19.899999999999999</v>
      </c>
      <c r="M4109">
        <v>19.899999999999999</v>
      </c>
      <c r="N4109" t="s">
        <v>5277</v>
      </c>
      <c r="O4109" t="s">
        <v>460</v>
      </c>
    </row>
    <row r="4110" spans="1:15" x14ac:dyDescent="0.3">
      <c r="A4110">
        <v>208377</v>
      </c>
      <c r="B4110">
        <v>105</v>
      </c>
      <c r="C4110" t="s">
        <v>557</v>
      </c>
      <c r="D4110" t="s">
        <v>2554</v>
      </c>
      <c r="E4110" t="s">
        <v>3492</v>
      </c>
      <c r="F4110" s="451">
        <v>46058</v>
      </c>
      <c r="G4110">
        <v>17196</v>
      </c>
      <c r="H4110" t="s">
        <v>5258</v>
      </c>
      <c r="I4110" t="s">
        <v>5188</v>
      </c>
      <c r="J4110">
        <v>1</v>
      </c>
      <c r="K4110" t="s">
        <v>4738</v>
      </c>
      <c r="L4110">
        <v>8.9</v>
      </c>
      <c r="M4110">
        <v>8.9</v>
      </c>
      <c r="N4110" t="s">
        <v>5277</v>
      </c>
      <c r="O4110" t="s">
        <v>460</v>
      </c>
    </row>
    <row r="4111" spans="1:15" x14ac:dyDescent="0.3">
      <c r="A4111">
        <v>208377</v>
      </c>
      <c r="B4111">
        <v>105</v>
      </c>
      <c r="C4111" t="s">
        <v>557</v>
      </c>
      <c r="D4111" t="s">
        <v>2554</v>
      </c>
      <c r="E4111" t="s">
        <v>3492</v>
      </c>
      <c r="F4111" s="451">
        <v>46058</v>
      </c>
      <c r="G4111">
        <v>17266</v>
      </c>
      <c r="H4111" t="s">
        <v>5192</v>
      </c>
      <c r="I4111" t="s">
        <v>5188</v>
      </c>
      <c r="J4111">
        <v>3</v>
      </c>
      <c r="K4111" t="s">
        <v>4736</v>
      </c>
      <c r="L4111">
        <v>15.18</v>
      </c>
      <c r="M4111">
        <v>5.0599999999999996</v>
      </c>
      <c r="N4111" t="s">
        <v>5277</v>
      </c>
      <c r="O4111" t="s">
        <v>460</v>
      </c>
    </row>
    <row r="4112" spans="1:15" x14ac:dyDescent="0.3">
      <c r="A4112">
        <v>208377</v>
      </c>
      <c r="B4112">
        <v>105</v>
      </c>
      <c r="C4112" t="s">
        <v>557</v>
      </c>
      <c r="D4112" t="s">
        <v>2554</v>
      </c>
      <c r="E4112" t="s">
        <v>3492</v>
      </c>
      <c r="F4112" s="451">
        <v>46058</v>
      </c>
      <c r="G4112">
        <v>17215</v>
      </c>
      <c r="H4112" t="s">
        <v>5299</v>
      </c>
      <c r="I4112" t="s">
        <v>5188</v>
      </c>
      <c r="J4112">
        <v>6</v>
      </c>
      <c r="K4112" t="s">
        <v>4848</v>
      </c>
      <c r="L4112">
        <v>120</v>
      </c>
      <c r="M4112">
        <v>20</v>
      </c>
      <c r="N4112" t="s">
        <v>5277</v>
      </c>
      <c r="O4112" t="s">
        <v>460</v>
      </c>
    </row>
    <row r="4113" spans="1:15" x14ac:dyDescent="0.3">
      <c r="A4113">
        <v>208377</v>
      </c>
      <c r="B4113">
        <v>105</v>
      </c>
      <c r="C4113" t="s">
        <v>557</v>
      </c>
      <c r="D4113" t="s">
        <v>2554</v>
      </c>
      <c r="E4113" t="s">
        <v>3492</v>
      </c>
      <c r="F4113" s="451">
        <v>46058</v>
      </c>
      <c r="G4113">
        <v>17017</v>
      </c>
      <c r="H4113" t="s">
        <v>5199</v>
      </c>
      <c r="I4113" t="s">
        <v>5188</v>
      </c>
      <c r="J4113">
        <v>2</v>
      </c>
      <c r="K4113" t="s">
        <v>4738</v>
      </c>
      <c r="L4113">
        <v>7</v>
      </c>
      <c r="M4113">
        <v>3.5</v>
      </c>
      <c r="N4113" t="s">
        <v>5277</v>
      </c>
      <c r="O4113" t="s">
        <v>460</v>
      </c>
    </row>
    <row r="4114" spans="1:15" x14ac:dyDescent="0.3">
      <c r="A4114">
        <v>208377</v>
      </c>
      <c r="B4114">
        <v>105</v>
      </c>
      <c r="C4114" t="s">
        <v>557</v>
      </c>
      <c r="D4114" t="s">
        <v>2554</v>
      </c>
      <c r="E4114" t="s">
        <v>3492</v>
      </c>
      <c r="F4114" s="451">
        <v>46058</v>
      </c>
      <c r="G4114">
        <v>17304</v>
      </c>
      <c r="H4114" t="s">
        <v>5195</v>
      </c>
      <c r="I4114" t="s">
        <v>5188</v>
      </c>
      <c r="J4114">
        <v>3</v>
      </c>
      <c r="K4114" t="s">
        <v>4848</v>
      </c>
      <c r="L4114">
        <v>21.3</v>
      </c>
      <c r="M4114">
        <v>7.1</v>
      </c>
      <c r="N4114" t="s">
        <v>5277</v>
      </c>
      <c r="O4114" t="s">
        <v>460</v>
      </c>
    </row>
    <row r="4115" spans="1:15" x14ac:dyDescent="0.3">
      <c r="A4115">
        <v>208377</v>
      </c>
      <c r="B4115">
        <v>105</v>
      </c>
      <c r="C4115" t="s">
        <v>557</v>
      </c>
      <c r="D4115" t="s">
        <v>2554</v>
      </c>
      <c r="E4115" t="s">
        <v>3492</v>
      </c>
      <c r="F4115" s="451">
        <v>46058</v>
      </c>
      <c r="G4115">
        <v>17190</v>
      </c>
      <c r="H4115" t="s">
        <v>5193</v>
      </c>
      <c r="I4115" t="s">
        <v>5188</v>
      </c>
      <c r="J4115">
        <v>1</v>
      </c>
      <c r="K4115" t="s">
        <v>4738</v>
      </c>
      <c r="L4115">
        <v>10.5</v>
      </c>
      <c r="M4115">
        <v>10.5</v>
      </c>
      <c r="N4115" t="s">
        <v>5277</v>
      </c>
      <c r="O4115" t="s">
        <v>460</v>
      </c>
    </row>
    <row r="4116" spans="1:15" x14ac:dyDescent="0.3">
      <c r="A4116">
        <v>208377</v>
      </c>
      <c r="B4116">
        <v>105</v>
      </c>
      <c r="C4116" t="s">
        <v>557</v>
      </c>
      <c r="D4116" t="s">
        <v>2554</v>
      </c>
      <c r="E4116" t="s">
        <v>3492</v>
      </c>
      <c r="F4116" s="451">
        <v>46058</v>
      </c>
      <c r="G4116">
        <v>17381</v>
      </c>
      <c r="H4116" t="s">
        <v>5262</v>
      </c>
      <c r="I4116" t="s">
        <v>5188</v>
      </c>
      <c r="J4116">
        <v>1</v>
      </c>
      <c r="K4116" t="s">
        <v>4736</v>
      </c>
      <c r="L4116">
        <v>42</v>
      </c>
      <c r="M4116">
        <v>42</v>
      </c>
      <c r="N4116" t="s">
        <v>5277</v>
      </c>
      <c r="O4116" t="s">
        <v>460</v>
      </c>
    </row>
    <row r="4117" spans="1:15" x14ac:dyDescent="0.3">
      <c r="A4117">
        <v>208377</v>
      </c>
      <c r="B4117">
        <v>105</v>
      </c>
      <c r="C4117" t="s">
        <v>557</v>
      </c>
      <c r="D4117" t="s">
        <v>2554</v>
      </c>
      <c r="E4117" t="s">
        <v>3492</v>
      </c>
      <c r="F4117" s="451">
        <v>46058</v>
      </c>
      <c r="G4117">
        <v>17533</v>
      </c>
      <c r="H4117" t="s">
        <v>5373</v>
      </c>
      <c r="I4117" t="s">
        <v>5188</v>
      </c>
      <c r="J4117">
        <v>2</v>
      </c>
      <c r="K4117" t="s">
        <v>4738</v>
      </c>
      <c r="L4117">
        <v>23</v>
      </c>
      <c r="M4117">
        <v>11.5</v>
      </c>
      <c r="N4117" t="s">
        <v>5277</v>
      </c>
      <c r="O4117" t="s">
        <v>460</v>
      </c>
    </row>
    <row r="4118" spans="1:15" x14ac:dyDescent="0.3">
      <c r="A4118">
        <v>208377</v>
      </c>
      <c r="B4118">
        <v>105</v>
      </c>
      <c r="C4118" t="s">
        <v>557</v>
      </c>
      <c r="D4118" t="s">
        <v>2554</v>
      </c>
      <c r="E4118" t="s">
        <v>3492</v>
      </c>
      <c r="F4118" s="451">
        <v>46058</v>
      </c>
      <c r="G4118">
        <v>24787</v>
      </c>
      <c r="H4118" t="s">
        <v>5212</v>
      </c>
      <c r="I4118" t="s">
        <v>5188</v>
      </c>
      <c r="J4118">
        <v>2</v>
      </c>
      <c r="K4118" t="s">
        <v>4738</v>
      </c>
      <c r="L4118">
        <v>178</v>
      </c>
      <c r="M4118">
        <v>89</v>
      </c>
      <c r="N4118" t="s">
        <v>5277</v>
      </c>
      <c r="O4118" t="s">
        <v>460</v>
      </c>
    </row>
    <row r="4119" spans="1:15" x14ac:dyDescent="0.3">
      <c r="A4119">
        <v>208377</v>
      </c>
      <c r="B4119">
        <v>105</v>
      </c>
      <c r="C4119" t="s">
        <v>557</v>
      </c>
      <c r="D4119" t="s">
        <v>2554</v>
      </c>
      <c r="E4119" t="s">
        <v>3492</v>
      </c>
      <c r="F4119" s="451">
        <v>46058</v>
      </c>
      <c r="G4119">
        <v>24596</v>
      </c>
      <c r="H4119" t="s">
        <v>5197</v>
      </c>
      <c r="I4119" t="s">
        <v>5188</v>
      </c>
      <c r="J4119">
        <v>4</v>
      </c>
      <c r="K4119" t="s">
        <v>4736</v>
      </c>
      <c r="L4119">
        <v>66</v>
      </c>
      <c r="M4119">
        <v>16.5</v>
      </c>
      <c r="N4119" t="s">
        <v>5277</v>
      </c>
      <c r="O4119" t="s">
        <v>460</v>
      </c>
    </row>
    <row r="4120" spans="1:15" x14ac:dyDescent="0.3">
      <c r="A4120">
        <v>208377</v>
      </c>
      <c r="B4120">
        <v>105</v>
      </c>
      <c r="C4120" t="s">
        <v>557</v>
      </c>
      <c r="D4120" t="s">
        <v>2554</v>
      </c>
      <c r="E4120" t="s">
        <v>3492</v>
      </c>
      <c r="F4120" s="451">
        <v>46058</v>
      </c>
      <c r="G4120">
        <v>26928</v>
      </c>
      <c r="H4120" t="s">
        <v>5298</v>
      </c>
      <c r="I4120" t="s">
        <v>5188</v>
      </c>
      <c r="J4120">
        <v>2</v>
      </c>
      <c r="K4120" t="s">
        <v>4736</v>
      </c>
      <c r="L4120">
        <v>21</v>
      </c>
      <c r="M4120">
        <v>10.5</v>
      </c>
      <c r="N4120" t="s">
        <v>5277</v>
      </c>
      <c r="O4120" t="s">
        <v>460</v>
      </c>
    </row>
    <row r="4121" spans="1:15" x14ac:dyDescent="0.3">
      <c r="A4121">
        <v>208377</v>
      </c>
      <c r="B4121">
        <v>105</v>
      </c>
      <c r="C4121" t="s">
        <v>557</v>
      </c>
      <c r="D4121" t="s">
        <v>2554</v>
      </c>
      <c r="E4121" t="s">
        <v>3492</v>
      </c>
      <c r="F4121" s="451">
        <v>46058</v>
      </c>
      <c r="G4121">
        <v>25087</v>
      </c>
      <c r="H4121" t="s">
        <v>5356</v>
      </c>
      <c r="J4121">
        <v>1</v>
      </c>
      <c r="K4121" t="s">
        <v>4736</v>
      </c>
      <c r="L4121">
        <v>12.9</v>
      </c>
      <c r="M4121">
        <v>12.9</v>
      </c>
      <c r="N4121" t="s">
        <v>5277</v>
      </c>
      <c r="O4121" t="s">
        <v>460</v>
      </c>
    </row>
    <row r="4122" spans="1:15" x14ac:dyDescent="0.3">
      <c r="A4122">
        <v>208377</v>
      </c>
      <c r="B4122">
        <v>105</v>
      </c>
      <c r="C4122" t="s">
        <v>557</v>
      </c>
      <c r="D4122" t="s">
        <v>2554</v>
      </c>
      <c r="E4122" t="s">
        <v>3492</v>
      </c>
      <c r="F4122" s="451">
        <v>46058</v>
      </c>
      <c r="G4122">
        <v>17418</v>
      </c>
      <c r="H4122" t="s">
        <v>5207</v>
      </c>
      <c r="I4122" t="s">
        <v>5188</v>
      </c>
      <c r="J4122">
        <v>2</v>
      </c>
      <c r="K4122" t="s">
        <v>4749</v>
      </c>
      <c r="L4122">
        <v>117.8</v>
      </c>
      <c r="M4122">
        <v>58.9</v>
      </c>
      <c r="N4122" t="s">
        <v>5277</v>
      </c>
      <c r="O4122" t="s">
        <v>460</v>
      </c>
    </row>
    <row r="4123" spans="1:15" x14ac:dyDescent="0.3">
      <c r="A4123">
        <v>208377</v>
      </c>
      <c r="B4123">
        <v>105</v>
      </c>
      <c r="C4123" t="s">
        <v>557</v>
      </c>
      <c r="D4123" t="s">
        <v>2554</v>
      </c>
      <c r="E4123" t="s">
        <v>3492</v>
      </c>
      <c r="F4123" s="451">
        <v>46058</v>
      </c>
      <c r="G4123">
        <v>21783</v>
      </c>
      <c r="H4123" t="s">
        <v>5210</v>
      </c>
      <c r="I4123" t="s">
        <v>5205</v>
      </c>
      <c r="J4123">
        <v>1</v>
      </c>
      <c r="K4123" t="s">
        <v>4736</v>
      </c>
      <c r="L4123">
        <v>12.5</v>
      </c>
      <c r="M4123">
        <v>12.5</v>
      </c>
      <c r="N4123" t="s">
        <v>5277</v>
      </c>
      <c r="O4123" t="s">
        <v>460</v>
      </c>
    </row>
    <row r="4124" spans="1:15" x14ac:dyDescent="0.3">
      <c r="A4124">
        <v>208377</v>
      </c>
      <c r="B4124">
        <v>105</v>
      </c>
      <c r="C4124" t="s">
        <v>557</v>
      </c>
      <c r="D4124" t="s">
        <v>2554</v>
      </c>
      <c r="E4124" t="s">
        <v>3492</v>
      </c>
      <c r="F4124" s="451">
        <v>46058</v>
      </c>
      <c r="G4124">
        <v>24505</v>
      </c>
      <c r="H4124" t="s">
        <v>5198</v>
      </c>
      <c r="I4124" t="s">
        <v>5188</v>
      </c>
      <c r="J4124">
        <v>4</v>
      </c>
      <c r="K4124" t="s">
        <v>4738</v>
      </c>
      <c r="L4124">
        <v>23.56</v>
      </c>
      <c r="M4124">
        <v>5.89</v>
      </c>
      <c r="N4124" t="s">
        <v>5277</v>
      </c>
      <c r="O4124" t="s">
        <v>460</v>
      </c>
    </row>
    <row r="4125" spans="1:15" x14ac:dyDescent="0.3">
      <c r="A4125">
        <v>208377</v>
      </c>
      <c r="B4125">
        <v>105</v>
      </c>
      <c r="C4125" t="s">
        <v>557</v>
      </c>
      <c r="D4125" t="s">
        <v>2554</v>
      </c>
      <c r="E4125" t="s">
        <v>3492</v>
      </c>
      <c r="F4125" s="451">
        <v>46058</v>
      </c>
      <c r="G4125">
        <v>17416</v>
      </c>
      <c r="H4125" t="s">
        <v>5209</v>
      </c>
      <c r="I4125" t="s">
        <v>5188</v>
      </c>
      <c r="J4125">
        <v>2</v>
      </c>
      <c r="K4125" t="s">
        <v>4749</v>
      </c>
      <c r="L4125">
        <v>97.16</v>
      </c>
      <c r="M4125">
        <v>48.58</v>
      </c>
      <c r="N4125" t="s">
        <v>5277</v>
      </c>
      <c r="O4125" t="s">
        <v>460</v>
      </c>
    </row>
    <row r="4126" spans="1:15" x14ac:dyDescent="0.3">
      <c r="A4126">
        <v>208376</v>
      </c>
      <c r="B4126">
        <v>105</v>
      </c>
      <c r="C4126" t="s">
        <v>557</v>
      </c>
      <c r="D4126" t="s">
        <v>2554</v>
      </c>
      <c r="E4126" t="s">
        <v>3493</v>
      </c>
      <c r="F4126" s="451">
        <v>46058</v>
      </c>
      <c r="G4126">
        <v>26552</v>
      </c>
      <c r="H4126" t="s">
        <v>5389</v>
      </c>
      <c r="I4126" t="s">
        <v>5215</v>
      </c>
      <c r="J4126">
        <v>4</v>
      </c>
      <c r="K4126" t="s">
        <v>4736</v>
      </c>
      <c r="L4126">
        <v>792</v>
      </c>
      <c r="M4126">
        <v>198</v>
      </c>
      <c r="N4126" t="s">
        <v>5205</v>
      </c>
      <c r="O4126" t="s">
        <v>460</v>
      </c>
    </row>
    <row r="4127" spans="1:15" x14ac:dyDescent="0.3">
      <c r="A4127">
        <v>208375</v>
      </c>
      <c r="B4127">
        <v>105</v>
      </c>
      <c r="C4127" t="s">
        <v>557</v>
      </c>
      <c r="D4127" t="s">
        <v>2554</v>
      </c>
      <c r="E4127" t="s">
        <v>3494</v>
      </c>
      <c r="F4127" s="451">
        <v>46063</v>
      </c>
      <c r="G4127">
        <v>17129</v>
      </c>
      <c r="H4127" t="s">
        <v>5202</v>
      </c>
      <c r="I4127" t="s">
        <v>5188</v>
      </c>
      <c r="J4127">
        <v>1</v>
      </c>
      <c r="K4127" t="s">
        <v>4738</v>
      </c>
      <c r="L4127">
        <v>29.9</v>
      </c>
      <c r="M4127">
        <v>29.9</v>
      </c>
      <c r="N4127" t="s">
        <v>5277</v>
      </c>
      <c r="O4127" t="s">
        <v>460</v>
      </c>
    </row>
    <row r="4128" spans="1:15" x14ac:dyDescent="0.3">
      <c r="A4128">
        <v>208375</v>
      </c>
      <c r="B4128">
        <v>105</v>
      </c>
      <c r="C4128" t="s">
        <v>557</v>
      </c>
      <c r="D4128" t="s">
        <v>2554</v>
      </c>
      <c r="E4128" t="s">
        <v>3494</v>
      </c>
      <c r="F4128" s="451">
        <v>46063</v>
      </c>
      <c r="G4128">
        <v>24750</v>
      </c>
      <c r="H4128" t="s">
        <v>5204</v>
      </c>
      <c r="I4128" t="s">
        <v>5205</v>
      </c>
      <c r="J4128">
        <v>1</v>
      </c>
      <c r="K4128" t="s">
        <v>5206</v>
      </c>
      <c r="L4128">
        <v>5.9</v>
      </c>
      <c r="M4128">
        <v>5.9</v>
      </c>
      <c r="N4128" t="s">
        <v>5277</v>
      </c>
      <c r="O4128" t="s">
        <v>460</v>
      </c>
    </row>
    <row r="4129" spans="1:15" x14ac:dyDescent="0.3">
      <c r="A4129">
        <v>208375</v>
      </c>
      <c r="B4129">
        <v>105</v>
      </c>
      <c r="C4129" t="s">
        <v>557</v>
      </c>
      <c r="D4129" t="s">
        <v>2554</v>
      </c>
      <c r="E4129" t="s">
        <v>3494</v>
      </c>
      <c r="F4129" s="451">
        <v>46063</v>
      </c>
      <c r="G4129">
        <v>17437</v>
      </c>
      <c r="H4129" t="s">
        <v>5203</v>
      </c>
      <c r="I4129" t="s">
        <v>5188</v>
      </c>
      <c r="J4129">
        <v>20</v>
      </c>
      <c r="K4129" t="s">
        <v>4736</v>
      </c>
      <c r="L4129">
        <v>50</v>
      </c>
      <c r="M4129">
        <v>2.5</v>
      </c>
      <c r="N4129" t="s">
        <v>5277</v>
      </c>
      <c r="O4129" t="s">
        <v>460</v>
      </c>
    </row>
    <row r="4130" spans="1:15" x14ac:dyDescent="0.3">
      <c r="A4130">
        <v>208375</v>
      </c>
      <c r="B4130">
        <v>105</v>
      </c>
      <c r="C4130" t="s">
        <v>557</v>
      </c>
      <c r="D4130" t="s">
        <v>2554</v>
      </c>
      <c r="E4130" t="s">
        <v>3494</v>
      </c>
      <c r="F4130" s="451">
        <v>46063</v>
      </c>
      <c r="G4130">
        <v>17455</v>
      </c>
      <c r="H4130" t="s">
        <v>5290</v>
      </c>
      <c r="I4130" t="s">
        <v>5188</v>
      </c>
      <c r="J4130">
        <v>1</v>
      </c>
      <c r="K4130" t="s">
        <v>4736</v>
      </c>
      <c r="L4130">
        <v>38</v>
      </c>
      <c r="M4130">
        <v>38</v>
      </c>
      <c r="N4130" t="s">
        <v>5277</v>
      </c>
      <c r="O4130" t="s">
        <v>460</v>
      </c>
    </row>
    <row r="4131" spans="1:15" x14ac:dyDescent="0.3">
      <c r="A4131">
        <v>208375</v>
      </c>
      <c r="B4131">
        <v>105</v>
      </c>
      <c r="C4131" t="s">
        <v>557</v>
      </c>
      <c r="D4131" t="s">
        <v>2554</v>
      </c>
      <c r="E4131" t="s">
        <v>3494</v>
      </c>
      <c r="F4131" s="451">
        <v>46063</v>
      </c>
      <c r="G4131">
        <v>17314</v>
      </c>
      <c r="H4131" t="s">
        <v>5208</v>
      </c>
      <c r="I4131" t="s">
        <v>5188</v>
      </c>
      <c r="J4131">
        <v>3</v>
      </c>
      <c r="K4131" t="s">
        <v>4848</v>
      </c>
      <c r="L4131">
        <v>18.3</v>
      </c>
      <c r="M4131">
        <v>6.1</v>
      </c>
      <c r="N4131" t="s">
        <v>5277</v>
      </c>
      <c r="O4131" t="s">
        <v>460</v>
      </c>
    </row>
    <row r="4132" spans="1:15" x14ac:dyDescent="0.3">
      <c r="A4132">
        <v>208375</v>
      </c>
      <c r="B4132">
        <v>105</v>
      </c>
      <c r="C4132" t="s">
        <v>557</v>
      </c>
      <c r="D4132" t="s">
        <v>2554</v>
      </c>
      <c r="E4132" t="s">
        <v>3494</v>
      </c>
      <c r="F4132" s="451">
        <v>46063</v>
      </c>
      <c r="G4132">
        <v>17190</v>
      </c>
      <c r="H4132" t="s">
        <v>5193</v>
      </c>
      <c r="I4132" t="s">
        <v>5188</v>
      </c>
      <c r="J4132">
        <v>2</v>
      </c>
      <c r="K4132" t="s">
        <v>4738</v>
      </c>
      <c r="L4132">
        <v>21</v>
      </c>
      <c r="M4132">
        <v>10.5</v>
      </c>
      <c r="N4132" t="s">
        <v>5277</v>
      </c>
      <c r="O4132" t="s">
        <v>460</v>
      </c>
    </row>
    <row r="4133" spans="1:15" x14ac:dyDescent="0.3">
      <c r="A4133">
        <v>208375</v>
      </c>
      <c r="B4133">
        <v>105</v>
      </c>
      <c r="C4133" t="s">
        <v>557</v>
      </c>
      <c r="D4133" t="s">
        <v>2554</v>
      </c>
      <c r="E4133" t="s">
        <v>3494</v>
      </c>
      <c r="F4133" s="451">
        <v>46063</v>
      </c>
      <c r="G4133">
        <v>17266</v>
      </c>
      <c r="H4133" t="s">
        <v>5192</v>
      </c>
      <c r="I4133" t="s">
        <v>5188</v>
      </c>
      <c r="J4133">
        <v>2</v>
      </c>
      <c r="K4133" t="s">
        <v>4736</v>
      </c>
      <c r="L4133">
        <v>10.16</v>
      </c>
      <c r="M4133">
        <v>5.08</v>
      </c>
      <c r="N4133" t="s">
        <v>5277</v>
      </c>
      <c r="O4133" t="s">
        <v>460</v>
      </c>
    </row>
    <row r="4134" spans="1:15" x14ac:dyDescent="0.3">
      <c r="A4134">
        <v>208375</v>
      </c>
      <c r="B4134">
        <v>105</v>
      </c>
      <c r="C4134" t="s">
        <v>557</v>
      </c>
      <c r="D4134" t="s">
        <v>2554</v>
      </c>
      <c r="E4134" t="s">
        <v>3494</v>
      </c>
      <c r="F4134" s="451">
        <v>46063</v>
      </c>
      <c r="G4134">
        <v>17215</v>
      </c>
      <c r="H4134" t="s">
        <v>5299</v>
      </c>
      <c r="I4134" t="s">
        <v>5188</v>
      </c>
      <c r="J4134">
        <v>6</v>
      </c>
      <c r="K4134" t="s">
        <v>4848</v>
      </c>
      <c r="L4134">
        <v>120</v>
      </c>
      <c r="M4134">
        <v>20</v>
      </c>
      <c r="N4134" t="s">
        <v>5277</v>
      </c>
      <c r="O4134" t="s">
        <v>460</v>
      </c>
    </row>
    <row r="4135" spans="1:15" x14ac:dyDescent="0.3">
      <c r="A4135">
        <v>208375</v>
      </c>
      <c r="B4135">
        <v>105</v>
      </c>
      <c r="C4135" t="s">
        <v>557</v>
      </c>
      <c r="D4135" t="s">
        <v>2554</v>
      </c>
      <c r="E4135" t="s">
        <v>3494</v>
      </c>
      <c r="F4135" s="451">
        <v>46063</v>
      </c>
      <c r="G4135">
        <v>17304</v>
      </c>
      <c r="H4135" t="s">
        <v>5195</v>
      </c>
      <c r="I4135" t="s">
        <v>5188</v>
      </c>
      <c r="J4135">
        <v>3</v>
      </c>
      <c r="K4135" t="s">
        <v>4848</v>
      </c>
      <c r="L4135">
        <v>21.3</v>
      </c>
      <c r="M4135">
        <v>7.1</v>
      </c>
      <c r="N4135" t="s">
        <v>5277</v>
      </c>
      <c r="O4135" t="s">
        <v>460</v>
      </c>
    </row>
    <row r="4136" spans="1:15" x14ac:dyDescent="0.3">
      <c r="A4136">
        <v>208375</v>
      </c>
      <c r="B4136">
        <v>105</v>
      </c>
      <c r="C4136" t="s">
        <v>557</v>
      </c>
      <c r="D4136" t="s">
        <v>2554</v>
      </c>
      <c r="E4136" t="s">
        <v>3494</v>
      </c>
      <c r="F4136" s="451">
        <v>46063</v>
      </c>
      <c r="G4136">
        <v>17017</v>
      </c>
      <c r="H4136" t="s">
        <v>5199</v>
      </c>
      <c r="I4136" t="s">
        <v>5188</v>
      </c>
      <c r="J4136">
        <v>2</v>
      </c>
      <c r="K4136" t="s">
        <v>4738</v>
      </c>
      <c r="L4136">
        <v>7</v>
      </c>
      <c r="M4136">
        <v>3.5</v>
      </c>
      <c r="N4136" t="s">
        <v>5277</v>
      </c>
      <c r="O4136" t="s">
        <v>460</v>
      </c>
    </row>
    <row r="4137" spans="1:15" x14ac:dyDescent="0.3">
      <c r="A4137">
        <v>208375</v>
      </c>
      <c r="B4137">
        <v>105</v>
      </c>
      <c r="C4137" t="s">
        <v>557</v>
      </c>
      <c r="D4137" t="s">
        <v>2554</v>
      </c>
      <c r="E4137" t="s">
        <v>3494</v>
      </c>
      <c r="F4137" s="451">
        <v>46063</v>
      </c>
      <c r="G4137">
        <v>24787</v>
      </c>
      <c r="H4137" t="s">
        <v>5212</v>
      </c>
      <c r="I4137" t="s">
        <v>5188</v>
      </c>
      <c r="J4137">
        <v>2</v>
      </c>
      <c r="K4137" t="s">
        <v>4738</v>
      </c>
      <c r="L4137">
        <v>178</v>
      </c>
      <c r="M4137">
        <v>89</v>
      </c>
      <c r="N4137" t="s">
        <v>5277</v>
      </c>
      <c r="O4137" t="s">
        <v>460</v>
      </c>
    </row>
    <row r="4138" spans="1:15" x14ac:dyDescent="0.3">
      <c r="A4138">
        <v>208375</v>
      </c>
      <c r="B4138">
        <v>105</v>
      </c>
      <c r="C4138" t="s">
        <v>557</v>
      </c>
      <c r="D4138" t="s">
        <v>2554</v>
      </c>
      <c r="E4138" t="s">
        <v>3494</v>
      </c>
      <c r="F4138" s="451">
        <v>46063</v>
      </c>
      <c r="G4138">
        <v>17381</v>
      </c>
      <c r="H4138" t="s">
        <v>5262</v>
      </c>
      <c r="I4138" t="s">
        <v>5188</v>
      </c>
      <c r="J4138">
        <v>1</v>
      </c>
      <c r="K4138" t="s">
        <v>4736</v>
      </c>
      <c r="L4138">
        <v>42</v>
      </c>
      <c r="M4138">
        <v>42</v>
      </c>
      <c r="N4138" t="s">
        <v>5277</v>
      </c>
      <c r="O4138" t="s">
        <v>460</v>
      </c>
    </row>
    <row r="4139" spans="1:15" x14ac:dyDescent="0.3">
      <c r="A4139">
        <v>208375</v>
      </c>
      <c r="B4139">
        <v>105</v>
      </c>
      <c r="C4139" t="s">
        <v>557</v>
      </c>
      <c r="D4139" t="s">
        <v>2554</v>
      </c>
      <c r="E4139" t="s">
        <v>3494</v>
      </c>
      <c r="F4139" s="451">
        <v>46063</v>
      </c>
      <c r="G4139">
        <v>27410</v>
      </c>
      <c r="H4139" t="s">
        <v>5390</v>
      </c>
      <c r="I4139" t="s">
        <v>5215</v>
      </c>
      <c r="J4139">
        <v>1</v>
      </c>
      <c r="K4139" t="s">
        <v>4736</v>
      </c>
      <c r="L4139">
        <v>4.5</v>
      </c>
      <c r="M4139">
        <v>4.5</v>
      </c>
      <c r="N4139" t="s">
        <v>5277</v>
      </c>
      <c r="O4139" t="s">
        <v>460</v>
      </c>
    </row>
    <row r="4140" spans="1:15" x14ac:dyDescent="0.3">
      <c r="A4140">
        <v>208375</v>
      </c>
      <c r="B4140">
        <v>105</v>
      </c>
      <c r="C4140" t="s">
        <v>557</v>
      </c>
      <c r="D4140" t="s">
        <v>2554</v>
      </c>
      <c r="E4140" t="s">
        <v>3494</v>
      </c>
      <c r="F4140" s="451">
        <v>46063</v>
      </c>
      <c r="G4140">
        <v>17418</v>
      </c>
      <c r="H4140" t="s">
        <v>5207</v>
      </c>
      <c r="I4140" t="s">
        <v>5188</v>
      </c>
      <c r="J4140">
        <v>3</v>
      </c>
      <c r="K4140" t="s">
        <v>4749</v>
      </c>
      <c r="L4140">
        <v>176.7</v>
      </c>
      <c r="M4140">
        <v>58.9</v>
      </c>
      <c r="N4140" t="s">
        <v>5277</v>
      </c>
      <c r="O4140" t="s">
        <v>460</v>
      </c>
    </row>
    <row r="4141" spans="1:15" x14ac:dyDescent="0.3">
      <c r="A4141">
        <v>208375</v>
      </c>
      <c r="B4141">
        <v>105</v>
      </c>
      <c r="C4141" t="s">
        <v>557</v>
      </c>
      <c r="D4141" t="s">
        <v>2554</v>
      </c>
      <c r="E4141" t="s">
        <v>3494</v>
      </c>
      <c r="F4141" s="451">
        <v>46063</v>
      </c>
      <c r="G4141">
        <v>17416</v>
      </c>
      <c r="H4141" t="s">
        <v>5209</v>
      </c>
      <c r="I4141" t="s">
        <v>5188</v>
      </c>
      <c r="J4141">
        <v>3</v>
      </c>
      <c r="K4141" t="s">
        <v>4749</v>
      </c>
      <c r="L4141">
        <v>145.74</v>
      </c>
      <c r="M4141">
        <v>48.58</v>
      </c>
      <c r="N4141" t="s">
        <v>5277</v>
      </c>
      <c r="O4141" t="s">
        <v>460</v>
      </c>
    </row>
    <row r="4142" spans="1:15" x14ac:dyDescent="0.3">
      <c r="A4142">
        <v>208375</v>
      </c>
      <c r="B4142">
        <v>105</v>
      </c>
      <c r="C4142" t="s">
        <v>557</v>
      </c>
      <c r="D4142" t="s">
        <v>2554</v>
      </c>
      <c r="E4142" t="s">
        <v>3494</v>
      </c>
      <c r="F4142" s="451">
        <v>46063</v>
      </c>
      <c r="G4142">
        <v>24505</v>
      </c>
      <c r="H4142" t="s">
        <v>5198</v>
      </c>
      <c r="I4142" t="s">
        <v>5188</v>
      </c>
      <c r="J4142">
        <v>3</v>
      </c>
      <c r="K4142" t="s">
        <v>4738</v>
      </c>
      <c r="L4142">
        <v>17.670000000000002</v>
      </c>
      <c r="M4142">
        <v>5.89</v>
      </c>
      <c r="N4142" t="s">
        <v>5277</v>
      </c>
      <c r="O4142" t="s">
        <v>460</v>
      </c>
    </row>
    <row r="4143" spans="1:15" x14ac:dyDescent="0.3">
      <c r="A4143">
        <v>208375</v>
      </c>
      <c r="B4143">
        <v>105</v>
      </c>
      <c r="C4143" t="s">
        <v>557</v>
      </c>
      <c r="D4143" t="s">
        <v>2554</v>
      </c>
      <c r="E4143" t="s">
        <v>3494</v>
      </c>
      <c r="F4143" s="451">
        <v>46063</v>
      </c>
      <c r="G4143">
        <v>26554</v>
      </c>
      <c r="H4143" t="s">
        <v>5319</v>
      </c>
      <c r="I4143" t="s">
        <v>5215</v>
      </c>
      <c r="J4143">
        <v>2</v>
      </c>
      <c r="K4143" t="s">
        <v>4749</v>
      </c>
      <c r="L4143">
        <v>560</v>
      </c>
      <c r="M4143">
        <v>280</v>
      </c>
      <c r="N4143" t="s">
        <v>5277</v>
      </c>
      <c r="O4143" t="s">
        <v>460</v>
      </c>
    </row>
    <row r="4144" spans="1:15" x14ac:dyDescent="0.3">
      <c r="A4144">
        <v>208375</v>
      </c>
      <c r="B4144">
        <v>105</v>
      </c>
      <c r="C4144" t="s">
        <v>557</v>
      </c>
      <c r="D4144" t="s">
        <v>2554</v>
      </c>
      <c r="E4144" t="s">
        <v>3494</v>
      </c>
      <c r="F4144" s="451">
        <v>46063</v>
      </c>
      <c r="G4144">
        <v>27798</v>
      </c>
      <c r="H4144" t="s">
        <v>5257</v>
      </c>
      <c r="I4144" t="s">
        <v>5215</v>
      </c>
      <c r="J4144">
        <v>3</v>
      </c>
      <c r="K4144" t="s">
        <v>5245</v>
      </c>
      <c r="L4144">
        <v>525</v>
      </c>
      <c r="M4144">
        <v>175</v>
      </c>
      <c r="N4144" t="s">
        <v>5277</v>
      </c>
      <c r="O4144" t="s">
        <v>460</v>
      </c>
    </row>
    <row r="4145" spans="1:15" x14ac:dyDescent="0.3">
      <c r="A4145">
        <v>208374</v>
      </c>
      <c r="B4145">
        <v>105</v>
      </c>
      <c r="C4145" t="s">
        <v>557</v>
      </c>
      <c r="D4145" t="s">
        <v>2557</v>
      </c>
      <c r="E4145" t="s">
        <v>3495</v>
      </c>
      <c r="F4145" s="451">
        <v>46064</v>
      </c>
      <c r="G4145">
        <v>17465</v>
      </c>
      <c r="H4145" t="s">
        <v>5279</v>
      </c>
      <c r="I4145" t="s">
        <v>5215</v>
      </c>
      <c r="J4145">
        <v>1</v>
      </c>
      <c r="K4145" t="s">
        <v>4749</v>
      </c>
      <c r="L4145">
        <v>670.38</v>
      </c>
      <c r="M4145">
        <v>670.38</v>
      </c>
      <c r="N4145" t="s">
        <v>5312</v>
      </c>
      <c r="O4145" t="s">
        <v>460</v>
      </c>
    </row>
    <row r="4146" spans="1:15" x14ac:dyDescent="0.3">
      <c r="A4146">
        <v>208374</v>
      </c>
      <c r="B4146">
        <v>105</v>
      </c>
      <c r="C4146" t="s">
        <v>557</v>
      </c>
      <c r="D4146" t="s">
        <v>2557</v>
      </c>
      <c r="E4146" t="s">
        <v>3495</v>
      </c>
      <c r="F4146" s="451">
        <v>46064</v>
      </c>
      <c r="G4146">
        <v>24527</v>
      </c>
      <c r="H4146" t="s">
        <v>5313</v>
      </c>
      <c r="I4146" t="s">
        <v>5215</v>
      </c>
      <c r="J4146">
        <v>2</v>
      </c>
      <c r="K4146" t="s">
        <v>4749</v>
      </c>
      <c r="L4146">
        <v>1978.76</v>
      </c>
      <c r="M4146">
        <v>989.38</v>
      </c>
      <c r="N4146" t="s">
        <v>5312</v>
      </c>
      <c r="O4146" t="s">
        <v>460</v>
      </c>
    </row>
    <row r="4147" spans="1:15" x14ac:dyDescent="0.3">
      <c r="A4147">
        <v>208373</v>
      </c>
      <c r="B4147">
        <v>105</v>
      </c>
      <c r="C4147" t="s">
        <v>557</v>
      </c>
      <c r="D4147" t="s">
        <v>2597</v>
      </c>
      <c r="E4147" t="s">
        <v>3496</v>
      </c>
      <c r="F4147" s="451">
        <v>46063</v>
      </c>
      <c r="G4147">
        <v>24217</v>
      </c>
      <c r="H4147" t="s">
        <v>4778</v>
      </c>
      <c r="I4147" t="s">
        <v>5191</v>
      </c>
      <c r="J4147">
        <v>31.45</v>
      </c>
      <c r="K4147" t="s">
        <v>4744</v>
      </c>
      <c r="L4147">
        <v>990.67</v>
      </c>
      <c r="M4147">
        <v>31.499841</v>
      </c>
      <c r="N4147" t="s">
        <v>5191</v>
      </c>
      <c r="O4147" t="s">
        <v>460</v>
      </c>
    </row>
    <row r="4148" spans="1:15" x14ac:dyDescent="0.3">
      <c r="A4148">
        <v>208373</v>
      </c>
      <c r="B4148">
        <v>105</v>
      </c>
      <c r="C4148" t="s">
        <v>557</v>
      </c>
      <c r="D4148" t="s">
        <v>2597</v>
      </c>
      <c r="E4148" t="s">
        <v>3496</v>
      </c>
      <c r="F4148" s="451">
        <v>46063</v>
      </c>
      <c r="G4148">
        <v>24259</v>
      </c>
      <c r="H4148" t="s">
        <v>4875</v>
      </c>
      <c r="I4148" t="s">
        <v>5191</v>
      </c>
      <c r="J4148">
        <v>15.2</v>
      </c>
      <c r="K4148" t="s">
        <v>4744</v>
      </c>
      <c r="L4148">
        <v>1184.08</v>
      </c>
      <c r="M4148">
        <v>77.900000000000006</v>
      </c>
      <c r="N4148" t="s">
        <v>5191</v>
      </c>
      <c r="O4148" t="s">
        <v>460</v>
      </c>
    </row>
    <row r="4149" spans="1:15" x14ac:dyDescent="0.3">
      <c r="A4149">
        <v>208373</v>
      </c>
      <c r="B4149">
        <v>105</v>
      </c>
      <c r="C4149" t="s">
        <v>557</v>
      </c>
      <c r="D4149" t="s">
        <v>2597</v>
      </c>
      <c r="E4149" t="s">
        <v>3496</v>
      </c>
      <c r="F4149" s="451">
        <v>46063</v>
      </c>
      <c r="G4149">
        <v>18996</v>
      </c>
      <c r="H4149" t="s">
        <v>5130</v>
      </c>
      <c r="I4149" t="s">
        <v>5191</v>
      </c>
      <c r="J4149">
        <v>5.7</v>
      </c>
      <c r="K4149" t="s">
        <v>4744</v>
      </c>
      <c r="L4149">
        <v>85.44</v>
      </c>
      <c r="M4149">
        <v>14.989474</v>
      </c>
      <c r="N4149" t="s">
        <v>5191</v>
      </c>
      <c r="O4149" t="s">
        <v>460</v>
      </c>
    </row>
    <row r="4150" spans="1:15" x14ac:dyDescent="0.3">
      <c r="A4150">
        <v>208373</v>
      </c>
      <c r="B4150">
        <v>105</v>
      </c>
      <c r="C4150" t="s">
        <v>557</v>
      </c>
      <c r="D4150" t="s">
        <v>2597</v>
      </c>
      <c r="E4150" t="s">
        <v>3496</v>
      </c>
      <c r="F4150" s="451">
        <v>46063</v>
      </c>
      <c r="G4150">
        <v>24278</v>
      </c>
      <c r="H4150" t="s">
        <v>4901</v>
      </c>
      <c r="I4150" t="s">
        <v>5191</v>
      </c>
      <c r="J4150">
        <v>6</v>
      </c>
      <c r="K4150" t="s">
        <v>4744</v>
      </c>
      <c r="L4150">
        <v>77.400000000000006</v>
      </c>
      <c r="M4150">
        <v>12.9</v>
      </c>
      <c r="N4150" t="s">
        <v>5191</v>
      </c>
      <c r="O4150" t="s">
        <v>460</v>
      </c>
    </row>
    <row r="4151" spans="1:15" x14ac:dyDescent="0.3">
      <c r="A4151">
        <v>208373</v>
      </c>
      <c r="B4151">
        <v>105</v>
      </c>
      <c r="C4151" t="s">
        <v>557</v>
      </c>
      <c r="D4151" t="s">
        <v>2597</v>
      </c>
      <c r="E4151" t="s">
        <v>3496</v>
      </c>
      <c r="F4151" s="451">
        <v>46063</v>
      </c>
      <c r="G4151">
        <v>24116</v>
      </c>
      <c r="H4151" t="s">
        <v>4777</v>
      </c>
      <c r="I4151" t="s">
        <v>5191</v>
      </c>
      <c r="J4151">
        <v>5</v>
      </c>
      <c r="K4151" t="s">
        <v>4744</v>
      </c>
      <c r="L4151">
        <v>209.5</v>
      </c>
      <c r="M4151">
        <v>41.9</v>
      </c>
      <c r="N4151" t="s">
        <v>5191</v>
      </c>
      <c r="O4151" t="s">
        <v>460</v>
      </c>
    </row>
    <row r="4152" spans="1:15" x14ac:dyDescent="0.3">
      <c r="A4152">
        <v>208373</v>
      </c>
      <c r="B4152">
        <v>105</v>
      </c>
      <c r="C4152" t="s">
        <v>557</v>
      </c>
      <c r="D4152" t="s">
        <v>2597</v>
      </c>
      <c r="E4152" t="s">
        <v>3496</v>
      </c>
      <c r="F4152" s="451">
        <v>46063</v>
      </c>
      <c r="G4152">
        <v>24096</v>
      </c>
      <c r="H4152" t="s">
        <v>4771</v>
      </c>
      <c r="I4152" t="s">
        <v>5191</v>
      </c>
      <c r="J4152">
        <v>70.150000000000006</v>
      </c>
      <c r="K4152" t="s">
        <v>4744</v>
      </c>
      <c r="L4152">
        <v>2939.29</v>
      </c>
      <c r="M4152">
        <v>41.900070999999997</v>
      </c>
      <c r="N4152" t="s">
        <v>5191</v>
      </c>
      <c r="O4152" t="s">
        <v>460</v>
      </c>
    </row>
    <row r="4153" spans="1:15" x14ac:dyDescent="0.3">
      <c r="A4153">
        <v>208373</v>
      </c>
      <c r="B4153">
        <v>105</v>
      </c>
      <c r="C4153" t="s">
        <v>557</v>
      </c>
      <c r="D4153" t="s">
        <v>2597</v>
      </c>
      <c r="E4153" t="s">
        <v>3496</v>
      </c>
      <c r="F4153" s="451">
        <v>46063</v>
      </c>
      <c r="G4153">
        <v>19041</v>
      </c>
      <c r="H4153" t="s">
        <v>4762</v>
      </c>
      <c r="I4153" t="s">
        <v>5191</v>
      </c>
      <c r="J4153">
        <v>20</v>
      </c>
      <c r="K4153" t="s">
        <v>4744</v>
      </c>
      <c r="L4153">
        <v>298</v>
      </c>
      <c r="M4153">
        <v>14.9</v>
      </c>
      <c r="N4153" t="s">
        <v>5191</v>
      </c>
      <c r="O4153" t="s">
        <v>460</v>
      </c>
    </row>
    <row r="4154" spans="1:15" x14ac:dyDescent="0.3">
      <c r="A4154">
        <v>208373</v>
      </c>
      <c r="B4154">
        <v>105</v>
      </c>
      <c r="C4154" t="s">
        <v>557</v>
      </c>
      <c r="D4154" t="s">
        <v>2597</v>
      </c>
      <c r="E4154" t="s">
        <v>3496</v>
      </c>
      <c r="F4154" s="451">
        <v>46063</v>
      </c>
      <c r="G4154">
        <v>24339</v>
      </c>
      <c r="H4154" t="s">
        <v>4885</v>
      </c>
      <c r="I4154" t="s">
        <v>5191</v>
      </c>
      <c r="J4154">
        <v>2.5</v>
      </c>
      <c r="K4154" t="s">
        <v>4744</v>
      </c>
      <c r="L4154">
        <v>90</v>
      </c>
      <c r="M4154">
        <v>36</v>
      </c>
      <c r="N4154" t="s">
        <v>5191</v>
      </c>
      <c r="O4154" t="s">
        <v>460</v>
      </c>
    </row>
    <row r="4155" spans="1:15" x14ac:dyDescent="0.3">
      <c r="A4155">
        <v>208373</v>
      </c>
      <c r="B4155">
        <v>105</v>
      </c>
      <c r="C4155" t="s">
        <v>557</v>
      </c>
      <c r="D4155" t="s">
        <v>2597</v>
      </c>
      <c r="E4155" t="s">
        <v>3496</v>
      </c>
      <c r="F4155" s="451">
        <v>46063</v>
      </c>
      <c r="G4155">
        <v>20501</v>
      </c>
      <c r="H4155" t="s">
        <v>4760</v>
      </c>
      <c r="I4155" t="s">
        <v>5191</v>
      </c>
      <c r="J4155">
        <v>20</v>
      </c>
      <c r="K4155" t="s">
        <v>4744</v>
      </c>
      <c r="L4155">
        <v>438</v>
      </c>
      <c r="M4155">
        <v>21.9</v>
      </c>
      <c r="N4155" t="s">
        <v>5191</v>
      </c>
      <c r="O4155" t="s">
        <v>460</v>
      </c>
    </row>
    <row r="4156" spans="1:15" x14ac:dyDescent="0.3">
      <c r="A4156">
        <v>208372</v>
      </c>
      <c r="B4156">
        <v>105</v>
      </c>
      <c r="C4156" t="s">
        <v>557</v>
      </c>
      <c r="D4156" t="s">
        <v>2597</v>
      </c>
      <c r="E4156" t="s">
        <v>3497</v>
      </c>
      <c r="F4156" s="451">
        <v>46066</v>
      </c>
      <c r="G4156">
        <v>19041</v>
      </c>
      <c r="H4156" t="s">
        <v>4762</v>
      </c>
      <c r="I4156" t="s">
        <v>5191</v>
      </c>
      <c r="J4156">
        <v>10.8</v>
      </c>
      <c r="K4156" t="s">
        <v>4744</v>
      </c>
      <c r="L4156">
        <v>160.91999999999999</v>
      </c>
      <c r="M4156">
        <v>14.9</v>
      </c>
      <c r="N4156" t="s">
        <v>5272</v>
      </c>
      <c r="O4156" t="s">
        <v>460</v>
      </c>
    </row>
    <row r="4157" spans="1:15" x14ac:dyDescent="0.3">
      <c r="A4157">
        <v>208371</v>
      </c>
      <c r="B4157">
        <v>105</v>
      </c>
      <c r="C4157" t="s">
        <v>557</v>
      </c>
      <c r="D4157" t="s">
        <v>2550</v>
      </c>
      <c r="E4157" t="s">
        <v>3498</v>
      </c>
      <c r="F4157" s="451">
        <v>46063</v>
      </c>
      <c r="G4157">
        <v>25702</v>
      </c>
      <c r="H4157" t="s">
        <v>5135</v>
      </c>
      <c r="I4157" t="s">
        <v>5222</v>
      </c>
      <c r="J4157">
        <v>1</v>
      </c>
      <c r="K4157" t="s">
        <v>4805</v>
      </c>
      <c r="L4157">
        <v>75.400000000000006</v>
      </c>
      <c r="M4157">
        <v>75.400000000000006</v>
      </c>
      <c r="N4157" t="s">
        <v>5222</v>
      </c>
      <c r="O4157" t="s">
        <v>460</v>
      </c>
    </row>
    <row r="4158" spans="1:15" x14ac:dyDescent="0.3">
      <c r="A4158">
        <v>208371</v>
      </c>
      <c r="B4158">
        <v>105</v>
      </c>
      <c r="C4158" t="s">
        <v>557</v>
      </c>
      <c r="D4158" t="s">
        <v>2550</v>
      </c>
      <c r="E4158" t="s">
        <v>3498</v>
      </c>
      <c r="F4158" s="451">
        <v>46063</v>
      </c>
      <c r="G4158">
        <v>26034</v>
      </c>
      <c r="H4158" t="s">
        <v>4828</v>
      </c>
      <c r="I4158" t="s">
        <v>5222</v>
      </c>
      <c r="J4158">
        <v>4</v>
      </c>
      <c r="K4158" t="s">
        <v>4805</v>
      </c>
      <c r="L4158">
        <v>189.8</v>
      </c>
      <c r="M4158">
        <v>47.45</v>
      </c>
      <c r="N4158" t="s">
        <v>5222</v>
      </c>
      <c r="O4158" t="s">
        <v>460</v>
      </c>
    </row>
    <row r="4159" spans="1:15" x14ac:dyDescent="0.3">
      <c r="A4159">
        <v>208371</v>
      </c>
      <c r="B4159">
        <v>105</v>
      </c>
      <c r="C4159" t="s">
        <v>557</v>
      </c>
      <c r="D4159" t="s">
        <v>2550</v>
      </c>
      <c r="E4159" t="s">
        <v>3498</v>
      </c>
      <c r="F4159" s="451">
        <v>46063</v>
      </c>
      <c r="G4159">
        <v>26040</v>
      </c>
      <c r="H4159" t="s">
        <v>4812</v>
      </c>
      <c r="I4159" t="s">
        <v>5222</v>
      </c>
      <c r="J4159">
        <v>6</v>
      </c>
      <c r="K4159" t="s">
        <v>4805</v>
      </c>
      <c r="L4159">
        <v>284.7</v>
      </c>
      <c r="M4159">
        <v>47.45</v>
      </c>
      <c r="N4159" t="s">
        <v>5222</v>
      </c>
      <c r="O4159" t="s">
        <v>460</v>
      </c>
    </row>
    <row r="4160" spans="1:15" x14ac:dyDescent="0.3">
      <c r="A4160">
        <v>208371</v>
      </c>
      <c r="B4160">
        <v>105</v>
      </c>
      <c r="C4160" t="s">
        <v>557</v>
      </c>
      <c r="D4160" t="s">
        <v>2550</v>
      </c>
      <c r="E4160" t="s">
        <v>3498</v>
      </c>
      <c r="F4160" s="451">
        <v>46063</v>
      </c>
      <c r="G4160">
        <v>26030</v>
      </c>
      <c r="H4160" t="s">
        <v>5136</v>
      </c>
      <c r="I4160" t="s">
        <v>5222</v>
      </c>
      <c r="J4160">
        <v>1</v>
      </c>
      <c r="K4160" t="s">
        <v>4805</v>
      </c>
      <c r="L4160">
        <v>75.400000000000006</v>
      </c>
      <c r="M4160">
        <v>75.400000000000006</v>
      </c>
      <c r="N4160" t="s">
        <v>5222</v>
      </c>
      <c r="O4160" t="s">
        <v>460</v>
      </c>
    </row>
    <row r="4161" spans="1:15" x14ac:dyDescent="0.3">
      <c r="A4161">
        <v>208370</v>
      </c>
      <c r="B4161">
        <v>105</v>
      </c>
      <c r="C4161" t="s">
        <v>557</v>
      </c>
      <c r="D4161" t="s">
        <v>2615</v>
      </c>
      <c r="E4161" t="s">
        <v>3499</v>
      </c>
      <c r="F4161" s="451">
        <v>46059</v>
      </c>
      <c r="G4161">
        <v>20623</v>
      </c>
      <c r="H4161" t="s">
        <v>4814</v>
      </c>
      <c r="I4161" t="s">
        <v>5191</v>
      </c>
      <c r="J4161">
        <v>10</v>
      </c>
      <c r="K4161" t="s">
        <v>4744</v>
      </c>
      <c r="L4161">
        <v>123.9</v>
      </c>
      <c r="M4161">
        <v>12.39</v>
      </c>
      <c r="N4161" t="s">
        <v>5191</v>
      </c>
      <c r="O4161" t="s">
        <v>460</v>
      </c>
    </row>
    <row r="4162" spans="1:15" x14ac:dyDescent="0.3">
      <c r="A4162">
        <v>208368</v>
      </c>
      <c r="B4162">
        <v>105</v>
      </c>
      <c r="C4162" t="s">
        <v>557</v>
      </c>
      <c r="D4162" t="s">
        <v>2590</v>
      </c>
      <c r="E4162" t="s">
        <v>3500</v>
      </c>
      <c r="F4162" s="451">
        <v>46059</v>
      </c>
      <c r="G4162">
        <v>17883</v>
      </c>
      <c r="H4162" t="s">
        <v>5113</v>
      </c>
      <c r="I4162" t="s">
        <v>5222</v>
      </c>
      <c r="J4162">
        <v>5</v>
      </c>
      <c r="K4162" t="s">
        <v>4738</v>
      </c>
      <c r="L4162">
        <v>141.6</v>
      </c>
      <c r="M4162">
        <v>28.32</v>
      </c>
      <c r="N4162" t="s">
        <v>5222</v>
      </c>
      <c r="O4162" t="s">
        <v>460</v>
      </c>
    </row>
    <row r="4163" spans="1:15" x14ac:dyDescent="0.3">
      <c r="A4163">
        <v>208367</v>
      </c>
      <c r="B4163">
        <v>105</v>
      </c>
      <c r="C4163" t="s">
        <v>557</v>
      </c>
      <c r="D4163" t="s">
        <v>2590</v>
      </c>
      <c r="E4163" t="s">
        <v>3501</v>
      </c>
      <c r="F4163" s="451">
        <v>46062</v>
      </c>
      <c r="G4163">
        <v>24142</v>
      </c>
      <c r="H4163" t="s">
        <v>5090</v>
      </c>
      <c r="I4163" t="s">
        <v>5222</v>
      </c>
      <c r="J4163">
        <v>2</v>
      </c>
      <c r="K4163" t="s">
        <v>4749</v>
      </c>
      <c r="L4163">
        <v>221.48</v>
      </c>
      <c r="M4163">
        <v>110.74</v>
      </c>
      <c r="N4163" t="s">
        <v>5222</v>
      </c>
      <c r="O4163" t="s">
        <v>460</v>
      </c>
    </row>
    <row r="4164" spans="1:15" x14ac:dyDescent="0.3">
      <c r="A4164">
        <v>208367</v>
      </c>
      <c r="B4164">
        <v>105</v>
      </c>
      <c r="C4164" t="s">
        <v>557</v>
      </c>
      <c r="D4164" t="s">
        <v>2590</v>
      </c>
      <c r="E4164" t="s">
        <v>3501</v>
      </c>
      <c r="F4164" s="451">
        <v>46062</v>
      </c>
      <c r="G4164">
        <v>24141</v>
      </c>
      <c r="H4164" t="s">
        <v>5088</v>
      </c>
      <c r="I4164" t="s">
        <v>5222</v>
      </c>
      <c r="J4164">
        <v>5</v>
      </c>
      <c r="K4164" t="s">
        <v>4749</v>
      </c>
      <c r="L4164">
        <v>492.65</v>
      </c>
      <c r="M4164">
        <v>98.53</v>
      </c>
      <c r="N4164" t="s">
        <v>5222</v>
      </c>
      <c r="O4164" t="s">
        <v>460</v>
      </c>
    </row>
    <row r="4165" spans="1:15" x14ac:dyDescent="0.3">
      <c r="A4165">
        <v>208366</v>
      </c>
      <c r="B4165">
        <v>105</v>
      </c>
      <c r="C4165" t="s">
        <v>557</v>
      </c>
      <c r="D4165" t="s">
        <v>2590</v>
      </c>
      <c r="E4165" t="s">
        <v>3502</v>
      </c>
      <c r="F4165" s="451">
        <v>46062</v>
      </c>
      <c r="G4165">
        <v>18636</v>
      </c>
      <c r="H4165" t="s">
        <v>4964</v>
      </c>
      <c r="I4165" t="s">
        <v>5222</v>
      </c>
      <c r="J4165">
        <v>6</v>
      </c>
      <c r="K4165" t="s">
        <v>4965</v>
      </c>
      <c r="L4165">
        <v>2896.8</v>
      </c>
      <c r="M4165">
        <v>482.8</v>
      </c>
      <c r="N4165" t="s">
        <v>5222</v>
      </c>
      <c r="O4165" t="s">
        <v>460</v>
      </c>
    </row>
    <row r="4166" spans="1:15" x14ac:dyDescent="0.3">
      <c r="A4166">
        <v>208365</v>
      </c>
      <c r="B4166">
        <v>105</v>
      </c>
      <c r="C4166" t="s">
        <v>557</v>
      </c>
      <c r="D4166" t="s">
        <v>2588</v>
      </c>
      <c r="E4166" t="s">
        <v>3503</v>
      </c>
      <c r="F4166" s="451">
        <v>46059</v>
      </c>
      <c r="G4166">
        <v>20301</v>
      </c>
      <c r="H4166" t="s">
        <v>4944</v>
      </c>
      <c r="I4166" t="s">
        <v>5191</v>
      </c>
      <c r="J4166">
        <v>12</v>
      </c>
      <c r="K4166" t="s">
        <v>4738</v>
      </c>
      <c r="L4166">
        <v>226.8</v>
      </c>
      <c r="M4166">
        <v>18.899999999999999</v>
      </c>
      <c r="N4166" t="s">
        <v>5191</v>
      </c>
      <c r="O4166" t="s">
        <v>460</v>
      </c>
    </row>
    <row r="4167" spans="1:15" x14ac:dyDescent="0.3">
      <c r="A4167">
        <v>208365</v>
      </c>
      <c r="B4167">
        <v>105</v>
      </c>
      <c r="C4167" t="s">
        <v>557</v>
      </c>
      <c r="D4167" t="s">
        <v>2588</v>
      </c>
      <c r="E4167" t="s">
        <v>3503</v>
      </c>
      <c r="F4167" s="451">
        <v>46059</v>
      </c>
      <c r="G4167">
        <v>20984</v>
      </c>
      <c r="H4167" t="s">
        <v>5133</v>
      </c>
      <c r="I4167" t="s">
        <v>5191</v>
      </c>
      <c r="J4167">
        <v>24</v>
      </c>
      <c r="K4167" t="s">
        <v>4888</v>
      </c>
      <c r="L4167">
        <v>190.8</v>
      </c>
      <c r="M4167">
        <v>7.95</v>
      </c>
      <c r="N4167" t="s">
        <v>5191</v>
      </c>
      <c r="O4167" t="s">
        <v>460</v>
      </c>
    </row>
    <row r="4168" spans="1:15" x14ac:dyDescent="0.3">
      <c r="A4168">
        <v>208364</v>
      </c>
      <c r="B4168">
        <v>105</v>
      </c>
      <c r="C4168" t="s">
        <v>557</v>
      </c>
      <c r="D4168" t="s">
        <v>2607</v>
      </c>
      <c r="E4168" t="s">
        <v>3504</v>
      </c>
      <c r="F4168" s="451">
        <v>46058</v>
      </c>
      <c r="G4168">
        <v>25783</v>
      </c>
      <c r="H4168" t="s">
        <v>5391</v>
      </c>
      <c r="I4168" t="s">
        <v>5191</v>
      </c>
      <c r="J4168">
        <v>11.86</v>
      </c>
      <c r="K4168" t="s">
        <v>4744</v>
      </c>
      <c r="L4168">
        <v>1280.8800000000001</v>
      </c>
      <c r="M4168">
        <v>108</v>
      </c>
      <c r="N4168" t="s">
        <v>5272</v>
      </c>
      <c r="O4168" t="s">
        <v>460</v>
      </c>
    </row>
    <row r="4169" spans="1:15" x14ac:dyDescent="0.3">
      <c r="A4169">
        <v>208363</v>
      </c>
      <c r="B4169">
        <v>105</v>
      </c>
      <c r="C4169" t="s">
        <v>557</v>
      </c>
      <c r="D4169" t="s">
        <v>2607</v>
      </c>
      <c r="E4169" t="s">
        <v>3505</v>
      </c>
      <c r="F4169" s="451">
        <v>46054</v>
      </c>
      <c r="G4169">
        <v>27657</v>
      </c>
      <c r="H4169" t="s">
        <v>5137</v>
      </c>
      <c r="I4169" t="s">
        <v>5191</v>
      </c>
      <c r="J4169">
        <v>11.84</v>
      </c>
      <c r="K4169" t="s">
        <v>4744</v>
      </c>
      <c r="L4169">
        <v>467.68</v>
      </c>
      <c r="M4169">
        <v>39.5</v>
      </c>
      <c r="N4169" t="s">
        <v>5272</v>
      </c>
      <c r="O4169" t="s">
        <v>460</v>
      </c>
    </row>
    <row r="4170" spans="1:15" x14ac:dyDescent="0.3">
      <c r="A4170">
        <v>208362</v>
      </c>
      <c r="B4170">
        <v>105</v>
      </c>
      <c r="C4170" t="s">
        <v>557</v>
      </c>
      <c r="D4170" t="s">
        <v>2607</v>
      </c>
      <c r="E4170" t="s">
        <v>3506</v>
      </c>
      <c r="F4170" s="451">
        <v>46064</v>
      </c>
      <c r="G4170">
        <v>28731</v>
      </c>
      <c r="H4170" t="s">
        <v>5380</v>
      </c>
      <c r="I4170" t="s">
        <v>5191</v>
      </c>
      <c r="J4170">
        <v>1</v>
      </c>
      <c r="K4170" t="s">
        <v>5392</v>
      </c>
      <c r="L4170">
        <v>61</v>
      </c>
      <c r="M4170">
        <v>61</v>
      </c>
      <c r="N4170" t="s">
        <v>5272</v>
      </c>
      <c r="O4170" t="s">
        <v>460</v>
      </c>
    </row>
    <row r="4171" spans="1:15" x14ac:dyDescent="0.3">
      <c r="A4171">
        <v>208362</v>
      </c>
      <c r="B4171">
        <v>105</v>
      </c>
      <c r="C4171" t="s">
        <v>557</v>
      </c>
      <c r="D4171" t="s">
        <v>2607</v>
      </c>
      <c r="E4171" t="s">
        <v>3506</v>
      </c>
      <c r="F4171" s="451">
        <v>46064</v>
      </c>
      <c r="G4171">
        <v>28761</v>
      </c>
      <c r="H4171" t="s">
        <v>5138</v>
      </c>
      <c r="I4171" t="s">
        <v>5191</v>
      </c>
      <c r="J4171">
        <v>15</v>
      </c>
      <c r="K4171" t="s">
        <v>4744</v>
      </c>
      <c r="L4171">
        <v>1620</v>
      </c>
      <c r="M4171">
        <v>108</v>
      </c>
      <c r="N4171" t="s">
        <v>5272</v>
      </c>
      <c r="O4171" t="s">
        <v>460</v>
      </c>
    </row>
    <row r="4172" spans="1:15" x14ac:dyDescent="0.3">
      <c r="A4172">
        <v>208361</v>
      </c>
      <c r="B4172">
        <v>105</v>
      </c>
      <c r="C4172" t="s">
        <v>557</v>
      </c>
      <c r="D4172" t="s">
        <v>2607</v>
      </c>
      <c r="E4172" t="s">
        <v>3507</v>
      </c>
      <c r="F4172" s="451">
        <v>46065</v>
      </c>
      <c r="G4172">
        <v>24090</v>
      </c>
      <c r="H4172" t="s">
        <v>5180</v>
      </c>
      <c r="I4172" t="s">
        <v>5191</v>
      </c>
      <c r="J4172">
        <v>1.02</v>
      </c>
      <c r="K4172" t="s">
        <v>4744</v>
      </c>
      <c r="L4172">
        <v>62.22</v>
      </c>
      <c r="M4172">
        <v>61</v>
      </c>
      <c r="N4172" t="s">
        <v>5272</v>
      </c>
      <c r="O4172" t="s">
        <v>460</v>
      </c>
    </row>
    <row r="4173" spans="1:15" x14ac:dyDescent="0.3">
      <c r="A4173">
        <v>208360</v>
      </c>
      <c r="B4173">
        <v>105</v>
      </c>
      <c r="C4173" t="s">
        <v>557</v>
      </c>
      <c r="D4173" t="s">
        <v>2707</v>
      </c>
      <c r="E4173" t="s">
        <v>3508</v>
      </c>
      <c r="F4173" s="451">
        <v>46062</v>
      </c>
      <c r="G4173">
        <v>24081</v>
      </c>
      <c r="H4173" t="s">
        <v>4834</v>
      </c>
      <c r="I4173" t="s">
        <v>5191</v>
      </c>
      <c r="J4173">
        <v>10</v>
      </c>
      <c r="K4173" t="s">
        <v>4744</v>
      </c>
      <c r="L4173">
        <v>238</v>
      </c>
      <c r="M4173">
        <v>23.8</v>
      </c>
      <c r="N4173" t="s">
        <v>5272</v>
      </c>
      <c r="O4173" t="s">
        <v>460</v>
      </c>
    </row>
    <row r="4174" spans="1:15" x14ac:dyDescent="0.3">
      <c r="A4174">
        <v>208359</v>
      </c>
      <c r="B4174">
        <v>105</v>
      </c>
      <c r="C4174" t="s">
        <v>557</v>
      </c>
      <c r="D4174" t="s">
        <v>2637</v>
      </c>
      <c r="E4174" t="s">
        <v>3509</v>
      </c>
      <c r="F4174" s="451">
        <v>46063</v>
      </c>
      <c r="G4174">
        <v>18475</v>
      </c>
      <c r="H4174" t="s">
        <v>4895</v>
      </c>
      <c r="I4174" t="s">
        <v>5222</v>
      </c>
      <c r="J4174">
        <v>12</v>
      </c>
      <c r="K4174" t="s">
        <v>4805</v>
      </c>
      <c r="L4174">
        <v>394.8</v>
      </c>
      <c r="M4174">
        <v>32.9</v>
      </c>
      <c r="N4174" t="s">
        <v>5222</v>
      </c>
      <c r="O4174" t="s">
        <v>460</v>
      </c>
    </row>
    <row r="4175" spans="1:15" x14ac:dyDescent="0.3">
      <c r="A4175">
        <v>208358</v>
      </c>
      <c r="B4175">
        <v>105</v>
      </c>
      <c r="C4175" t="s">
        <v>557</v>
      </c>
      <c r="D4175" t="s">
        <v>2705</v>
      </c>
      <c r="E4175" t="s">
        <v>3510</v>
      </c>
      <c r="F4175" s="451">
        <v>46062</v>
      </c>
      <c r="G4175">
        <v>24658</v>
      </c>
      <c r="H4175" t="s">
        <v>5274</v>
      </c>
      <c r="I4175" t="s">
        <v>5232</v>
      </c>
      <c r="J4175">
        <v>20</v>
      </c>
      <c r="K4175" t="s">
        <v>4738</v>
      </c>
      <c r="L4175">
        <v>692</v>
      </c>
      <c r="M4175">
        <v>34.6</v>
      </c>
      <c r="N4175" t="s">
        <v>5287</v>
      </c>
      <c r="O4175" t="s">
        <v>460</v>
      </c>
    </row>
    <row r="4176" spans="1:15" x14ac:dyDescent="0.3">
      <c r="A4176">
        <v>208357</v>
      </c>
      <c r="B4176">
        <v>105</v>
      </c>
      <c r="C4176" t="s">
        <v>557</v>
      </c>
      <c r="D4176" t="s">
        <v>2581</v>
      </c>
      <c r="E4176" t="s">
        <v>3511</v>
      </c>
      <c r="F4176" s="451">
        <v>46057</v>
      </c>
      <c r="G4176">
        <v>19621</v>
      </c>
      <c r="H4176" t="s">
        <v>4829</v>
      </c>
      <c r="I4176" t="s">
        <v>5191</v>
      </c>
      <c r="J4176">
        <v>3.5</v>
      </c>
      <c r="K4176" t="s">
        <v>4744</v>
      </c>
      <c r="L4176">
        <v>9.2799999999999994</v>
      </c>
      <c r="M4176">
        <v>2.6514289999999998</v>
      </c>
      <c r="N4176" t="s">
        <v>5272</v>
      </c>
      <c r="O4176" t="s">
        <v>460</v>
      </c>
    </row>
    <row r="4177" spans="1:15" x14ac:dyDescent="0.3">
      <c r="A4177">
        <v>208357</v>
      </c>
      <c r="B4177">
        <v>105</v>
      </c>
      <c r="C4177" t="s">
        <v>557</v>
      </c>
      <c r="D4177" t="s">
        <v>2581</v>
      </c>
      <c r="E4177" t="s">
        <v>3511</v>
      </c>
      <c r="F4177" s="451">
        <v>46057</v>
      </c>
      <c r="G4177">
        <v>19589</v>
      </c>
      <c r="H4177" t="s">
        <v>4983</v>
      </c>
      <c r="I4177" t="s">
        <v>5191</v>
      </c>
      <c r="J4177">
        <v>3</v>
      </c>
      <c r="K4177" t="s">
        <v>4744</v>
      </c>
      <c r="L4177">
        <v>15</v>
      </c>
      <c r="M4177">
        <v>5</v>
      </c>
      <c r="N4177" t="s">
        <v>5272</v>
      </c>
      <c r="O4177" t="s">
        <v>460</v>
      </c>
    </row>
    <row r="4178" spans="1:15" x14ac:dyDescent="0.3">
      <c r="A4178">
        <v>208357</v>
      </c>
      <c r="B4178">
        <v>105</v>
      </c>
      <c r="C4178" t="s">
        <v>557</v>
      </c>
      <c r="D4178" t="s">
        <v>2581</v>
      </c>
      <c r="E4178" t="s">
        <v>3511</v>
      </c>
      <c r="F4178" s="451">
        <v>46057</v>
      </c>
      <c r="G4178">
        <v>19787</v>
      </c>
      <c r="H4178" t="s">
        <v>4793</v>
      </c>
      <c r="I4178" t="s">
        <v>5191</v>
      </c>
      <c r="J4178">
        <v>8</v>
      </c>
      <c r="K4178" t="s">
        <v>4744</v>
      </c>
      <c r="L4178">
        <v>38.4</v>
      </c>
      <c r="M4178">
        <v>4.8</v>
      </c>
      <c r="N4178" t="s">
        <v>5272</v>
      </c>
      <c r="O4178" t="s">
        <v>460</v>
      </c>
    </row>
    <row r="4179" spans="1:15" x14ac:dyDescent="0.3">
      <c r="A4179">
        <v>208357</v>
      </c>
      <c r="B4179">
        <v>105</v>
      </c>
      <c r="C4179" t="s">
        <v>557</v>
      </c>
      <c r="D4179" t="s">
        <v>2581</v>
      </c>
      <c r="E4179" t="s">
        <v>3511</v>
      </c>
      <c r="F4179" s="451">
        <v>46057</v>
      </c>
      <c r="G4179">
        <v>19505</v>
      </c>
      <c r="H4179" t="s">
        <v>4872</v>
      </c>
      <c r="I4179" t="s">
        <v>5191</v>
      </c>
      <c r="J4179">
        <v>4.5</v>
      </c>
      <c r="K4179" t="s">
        <v>4744</v>
      </c>
      <c r="L4179">
        <v>58.5</v>
      </c>
      <c r="M4179">
        <v>13</v>
      </c>
      <c r="N4179" t="s">
        <v>5272</v>
      </c>
      <c r="O4179" t="s">
        <v>460</v>
      </c>
    </row>
    <row r="4180" spans="1:15" x14ac:dyDescent="0.3">
      <c r="A4180">
        <v>208357</v>
      </c>
      <c r="B4180">
        <v>105</v>
      </c>
      <c r="C4180" t="s">
        <v>557</v>
      </c>
      <c r="D4180" t="s">
        <v>2581</v>
      </c>
      <c r="E4180" t="s">
        <v>3511</v>
      </c>
      <c r="F4180" s="451">
        <v>46057</v>
      </c>
      <c r="G4180">
        <v>24509</v>
      </c>
      <c r="H4180" t="s">
        <v>4788</v>
      </c>
      <c r="I4180" t="s">
        <v>5191</v>
      </c>
      <c r="J4180">
        <v>8</v>
      </c>
      <c r="K4180" t="s">
        <v>4744</v>
      </c>
      <c r="L4180">
        <v>14.8</v>
      </c>
      <c r="M4180">
        <v>1.85</v>
      </c>
      <c r="N4180" t="s">
        <v>5272</v>
      </c>
      <c r="O4180" t="s">
        <v>460</v>
      </c>
    </row>
    <row r="4181" spans="1:15" x14ac:dyDescent="0.3">
      <c r="A4181">
        <v>208357</v>
      </c>
      <c r="B4181">
        <v>105</v>
      </c>
      <c r="C4181" t="s">
        <v>557</v>
      </c>
      <c r="D4181" t="s">
        <v>2581</v>
      </c>
      <c r="E4181" t="s">
        <v>3511</v>
      </c>
      <c r="F4181" s="451">
        <v>46057</v>
      </c>
      <c r="G4181">
        <v>19492</v>
      </c>
      <c r="H4181" t="s">
        <v>4937</v>
      </c>
      <c r="I4181" t="s">
        <v>5191</v>
      </c>
      <c r="J4181">
        <v>2</v>
      </c>
      <c r="K4181" t="s">
        <v>4744</v>
      </c>
      <c r="L4181">
        <v>44</v>
      </c>
      <c r="M4181">
        <v>22</v>
      </c>
      <c r="N4181" t="s">
        <v>5272</v>
      </c>
      <c r="O4181" t="s">
        <v>460</v>
      </c>
    </row>
    <row r="4182" spans="1:15" x14ac:dyDescent="0.3">
      <c r="A4182">
        <v>208357</v>
      </c>
      <c r="B4182">
        <v>105</v>
      </c>
      <c r="C4182" t="s">
        <v>557</v>
      </c>
      <c r="D4182" t="s">
        <v>2581</v>
      </c>
      <c r="E4182" t="s">
        <v>3511</v>
      </c>
      <c r="F4182" s="451">
        <v>46057</v>
      </c>
      <c r="G4182">
        <v>19507</v>
      </c>
      <c r="H4182" t="s">
        <v>4853</v>
      </c>
      <c r="I4182" t="s">
        <v>5191</v>
      </c>
      <c r="J4182">
        <v>1</v>
      </c>
      <c r="K4182" t="s">
        <v>4744</v>
      </c>
      <c r="L4182">
        <v>14</v>
      </c>
      <c r="M4182">
        <v>14</v>
      </c>
      <c r="N4182" t="s">
        <v>5272</v>
      </c>
      <c r="O4182" t="s">
        <v>460</v>
      </c>
    </row>
    <row r="4183" spans="1:15" x14ac:dyDescent="0.3">
      <c r="A4183">
        <v>208357</v>
      </c>
      <c r="B4183">
        <v>105</v>
      </c>
      <c r="C4183" t="s">
        <v>557</v>
      </c>
      <c r="D4183" t="s">
        <v>2581</v>
      </c>
      <c r="E4183" t="s">
        <v>3511</v>
      </c>
      <c r="F4183" s="451">
        <v>46057</v>
      </c>
      <c r="G4183">
        <v>23390</v>
      </c>
      <c r="H4183" t="s">
        <v>4873</v>
      </c>
      <c r="I4183" t="s">
        <v>5191</v>
      </c>
      <c r="J4183">
        <v>1</v>
      </c>
      <c r="K4183" t="s">
        <v>4744</v>
      </c>
      <c r="L4183">
        <v>8.5</v>
      </c>
      <c r="M4183">
        <v>8.5</v>
      </c>
      <c r="N4183" t="s">
        <v>5272</v>
      </c>
      <c r="O4183" t="s">
        <v>460</v>
      </c>
    </row>
    <row r="4184" spans="1:15" x14ac:dyDescent="0.3">
      <c r="A4184">
        <v>208357</v>
      </c>
      <c r="B4184">
        <v>105</v>
      </c>
      <c r="C4184" t="s">
        <v>557</v>
      </c>
      <c r="D4184" t="s">
        <v>2581</v>
      </c>
      <c r="E4184" t="s">
        <v>3511</v>
      </c>
      <c r="F4184" s="451">
        <v>46057</v>
      </c>
      <c r="G4184">
        <v>19472</v>
      </c>
      <c r="H4184" t="s">
        <v>4906</v>
      </c>
      <c r="I4184" t="s">
        <v>5191</v>
      </c>
      <c r="J4184">
        <v>1.5</v>
      </c>
      <c r="K4184" t="s">
        <v>4744</v>
      </c>
      <c r="L4184">
        <v>40.5</v>
      </c>
      <c r="M4184">
        <v>27</v>
      </c>
      <c r="N4184" t="s">
        <v>5272</v>
      </c>
      <c r="O4184" t="s">
        <v>460</v>
      </c>
    </row>
    <row r="4185" spans="1:15" x14ac:dyDescent="0.3">
      <c r="A4185">
        <v>208357</v>
      </c>
      <c r="B4185">
        <v>105</v>
      </c>
      <c r="C4185" t="s">
        <v>557</v>
      </c>
      <c r="D4185" t="s">
        <v>2581</v>
      </c>
      <c r="E4185" t="s">
        <v>3511</v>
      </c>
      <c r="F4185" s="451">
        <v>46057</v>
      </c>
      <c r="G4185">
        <v>23095</v>
      </c>
      <c r="H4185" t="s">
        <v>4741</v>
      </c>
      <c r="I4185" t="s">
        <v>5191</v>
      </c>
      <c r="J4185">
        <v>30</v>
      </c>
      <c r="K4185" t="s">
        <v>4736</v>
      </c>
      <c r="L4185">
        <v>28.5</v>
      </c>
      <c r="M4185">
        <v>0.95</v>
      </c>
      <c r="N4185" t="s">
        <v>5272</v>
      </c>
      <c r="O4185" t="s">
        <v>460</v>
      </c>
    </row>
    <row r="4186" spans="1:15" x14ac:dyDescent="0.3">
      <c r="A4186">
        <v>208356</v>
      </c>
      <c r="B4186">
        <v>105</v>
      </c>
      <c r="C4186" t="s">
        <v>557</v>
      </c>
      <c r="D4186" t="s">
        <v>2581</v>
      </c>
      <c r="E4186" t="s">
        <v>3512</v>
      </c>
      <c r="F4186" s="451">
        <v>46058</v>
      </c>
      <c r="G4186">
        <v>24083</v>
      </c>
      <c r="H4186" t="s">
        <v>5165</v>
      </c>
      <c r="I4186" t="s">
        <v>5191</v>
      </c>
      <c r="J4186">
        <v>80</v>
      </c>
      <c r="K4186" t="s">
        <v>4744</v>
      </c>
      <c r="L4186">
        <v>304</v>
      </c>
      <c r="M4186">
        <v>3.8</v>
      </c>
      <c r="N4186" t="s">
        <v>5272</v>
      </c>
      <c r="O4186" t="s">
        <v>460</v>
      </c>
    </row>
    <row r="4187" spans="1:15" x14ac:dyDescent="0.3">
      <c r="A4187">
        <v>208356</v>
      </c>
      <c r="B4187">
        <v>105</v>
      </c>
      <c r="C4187" t="s">
        <v>557</v>
      </c>
      <c r="D4187" t="s">
        <v>2581</v>
      </c>
      <c r="E4187" t="s">
        <v>3512</v>
      </c>
      <c r="F4187" s="451">
        <v>46058</v>
      </c>
      <c r="G4187">
        <v>19589</v>
      </c>
      <c r="H4187" t="s">
        <v>4983</v>
      </c>
      <c r="I4187" t="s">
        <v>5191</v>
      </c>
      <c r="J4187">
        <v>3</v>
      </c>
      <c r="K4187" t="s">
        <v>4744</v>
      </c>
      <c r="L4187">
        <v>12.75</v>
      </c>
      <c r="M4187">
        <v>4.25</v>
      </c>
      <c r="N4187" t="s">
        <v>5272</v>
      </c>
      <c r="O4187" t="s">
        <v>460</v>
      </c>
    </row>
    <row r="4188" spans="1:15" x14ac:dyDescent="0.3">
      <c r="A4188">
        <v>208356</v>
      </c>
      <c r="B4188">
        <v>105</v>
      </c>
      <c r="C4188" t="s">
        <v>557</v>
      </c>
      <c r="D4188" t="s">
        <v>2581</v>
      </c>
      <c r="E4188" t="s">
        <v>3512</v>
      </c>
      <c r="F4188" s="451">
        <v>46058</v>
      </c>
      <c r="G4188">
        <v>19621</v>
      </c>
      <c r="H4188" t="s">
        <v>4829</v>
      </c>
      <c r="I4188" t="s">
        <v>5191</v>
      </c>
      <c r="J4188">
        <v>3</v>
      </c>
      <c r="K4188" t="s">
        <v>4744</v>
      </c>
      <c r="L4188">
        <v>7.95</v>
      </c>
      <c r="M4188">
        <v>2.65</v>
      </c>
      <c r="N4188" t="s">
        <v>5272</v>
      </c>
      <c r="O4188" t="s">
        <v>460</v>
      </c>
    </row>
    <row r="4189" spans="1:15" x14ac:dyDescent="0.3">
      <c r="A4189">
        <v>208356</v>
      </c>
      <c r="B4189">
        <v>105</v>
      </c>
      <c r="C4189" t="s">
        <v>557</v>
      </c>
      <c r="D4189" t="s">
        <v>2581</v>
      </c>
      <c r="E4189" t="s">
        <v>3512</v>
      </c>
      <c r="F4189" s="451">
        <v>46058</v>
      </c>
      <c r="G4189">
        <v>19737</v>
      </c>
      <c r="H4189" t="s">
        <v>4940</v>
      </c>
      <c r="I4189" t="s">
        <v>5191</v>
      </c>
      <c r="J4189">
        <v>2</v>
      </c>
      <c r="K4189" t="s">
        <v>4744</v>
      </c>
      <c r="L4189">
        <v>9.4</v>
      </c>
      <c r="M4189">
        <v>4.7</v>
      </c>
      <c r="N4189" t="s">
        <v>5272</v>
      </c>
      <c r="O4189" t="s">
        <v>460</v>
      </c>
    </row>
    <row r="4190" spans="1:15" x14ac:dyDescent="0.3">
      <c r="A4190">
        <v>208356</v>
      </c>
      <c r="B4190">
        <v>105</v>
      </c>
      <c r="C4190" t="s">
        <v>557</v>
      </c>
      <c r="D4190" t="s">
        <v>2581</v>
      </c>
      <c r="E4190" t="s">
        <v>3512</v>
      </c>
      <c r="F4190" s="451">
        <v>46058</v>
      </c>
      <c r="G4190">
        <v>19654</v>
      </c>
      <c r="H4190" t="s">
        <v>5099</v>
      </c>
      <c r="I4190" t="s">
        <v>5191</v>
      </c>
      <c r="J4190">
        <v>4</v>
      </c>
      <c r="K4190" t="s">
        <v>4744</v>
      </c>
      <c r="L4190">
        <v>19.2</v>
      </c>
      <c r="M4190">
        <v>4.8</v>
      </c>
      <c r="N4190" t="s">
        <v>5272</v>
      </c>
      <c r="O4190" t="s">
        <v>460</v>
      </c>
    </row>
    <row r="4191" spans="1:15" x14ac:dyDescent="0.3">
      <c r="A4191">
        <v>208356</v>
      </c>
      <c r="B4191">
        <v>105</v>
      </c>
      <c r="C4191" t="s">
        <v>557</v>
      </c>
      <c r="D4191" t="s">
        <v>2581</v>
      </c>
      <c r="E4191" t="s">
        <v>3512</v>
      </c>
      <c r="F4191" s="451">
        <v>46058</v>
      </c>
      <c r="G4191">
        <v>19505</v>
      </c>
      <c r="H4191" t="s">
        <v>4872</v>
      </c>
      <c r="I4191" t="s">
        <v>5191</v>
      </c>
      <c r="J4191">
        <v>4.5</v>
      </c>
      <c r="K4191" t="s">
        <v>4744</v>
      </c>
      <c r="L4191">
        <v>58.5</v>
      </c>
      <c r="M4191">
        <v>13</v>
      </c>
      <c r="N4191" t="s">
        <v>5272</v>
      </c>
      <c r="O4191" t="s">
        <v>460</v>
      </c>
    </row>
    <row r="4192" spans="1:15" x14ac:dyDescent="0.3">
      <c r="A4192">
        <v>208356</v>
      </c>
      <c r="B4192">
        <v>105</v>
      </c>
      <c r="C4192" t="s">
        <v>557</v>
      </c>
      <c r="D4192" t="s">
        <v>2581</v>
      </c>
      <c r="E4192" t="s">
        <v>3512</v>
      </c>
      <c r="F4192" s="451">
        <v>46058</v>
      </c>
      <c r="G4192">
        <v>19465</v>
      </c>
      <c r="H4192" t="s">
        <v>5114</v>
      </c>
      <c r="I4192" t="s">
        <v>5191</v>
      </c>
      <c r="J4192">
        <v>0.5</v>
      </c>
      <c r="K4192" t="s">
        <v>4744</v>
      </c>
      <c r="L4192">
        <v>2.75</v>
      </c>
      <c r="M4192">
        <v>5.5</v>
      </c>
      <c r="N4192" t="s">
        <v>5272</v>
      </c>
      <c r="O4192" t="s">
        <v>460</v>
      </c>
    </row>
    <row r="4193" spans="1:15" x14ac:dyDescent="0.3">
      <c r="A4193">
        <v>208356</v>
      </c>
      <c r="B4193">
        <v>105</v>
      </c>
      <c r="C4193" t="s">
        <v>557</v>
      </c>
      <c r="D4193" t="s">
        <v>2581</v>
      </c>
      <c r="E4193" t="s">
        <v>3512</v>
      </c>
      <c r="F4193" s="451">
        <v>46058</v>
      </c>
      <c r="G4193">
        <v>19476</v>
      </c>
      <c r="H4193" t="s">
        <v>5115</v>
      </c>
      <c r="I4193" t="s">
        <v>5191</v>
      </c>
      <c r="J4193">
        <v>0.1</v>
      </c>
      <c r="K4193" t="s">
        <v>4744</v>
      </c>
      <c r="L4193">
        <v>6.5</v>
      </c>
      <c r="M4193">
        <v>65</v>
      </c>
      <c r="N4193" t="s">
        <v>5272</v>
      </c>
      <c r="O4193" t="s">
        <v>460</v>
      </c>
    </row>
    <row r="4194" spans="1:15" x14ac:dyDescent="0.3">
      <c r="A4194">
        <v>208356</v>
      </c>
      <c r="B4194">
        <v>105</v>
      </c>
      <c r="C4194" t="s">
        <v>557</v>
      </c>
      <c r="D4194" t="s">
        <v>2581</v>
      </c>
      <c r="E4194" t="s">
        <v>3512</v>
      </c>
      <c r="F4194" s="451">
        <v>46058</v>
      </c>
      <c r="G4194">
        <v>19488</v>
      </c>
      <c r="H4194" t="s">
        <v>5107</v>
      </c>
      <c r="I4194" t="s">
        <v>5191</v>
      </c>
      <c r="J4194">
        <v>0.4</v>
      </c>
      <c r="K4194" t="s">
        <v>4744</v>
      </c>
      <c r="L4194">
        <v>5.2</v>
      </c>
      <c r="M4194">
        <v>13</v>
      </c>
      <c r="N4194" t="s">
        <v>5272</v>
      </c>
      <c r="O4194" t="s">
        <v>460</v>
      </c>
    </row>
    <row r="4195" spans="1:15" x14ac:dyDescent="0.3">
      <c r="A4195">
        <v>208356</v>
      </c>
      <c r="B4195">
        <v>105</v>
      </c>
      <c r="C4195" t="s">
        <v>557</v>
      </c>
      <c r="D4195" t="s">
        <v>2581</v>
      </c>
      <c r="E4195" t="s">
        <v>3512</v>
      </c>
      <c r="F4195" s="451">
        <v>46058</v>
      </c>
      <c r="G4195">
        <v>19558</v>
      </c>
      <c r="H4195" t="s">
        <v>4994</v>
      </c>
      <c r="I4195" t="s">
        <v>5191</v>
      </c>
      <c r="J4195">
        <v>1</v>
      </c>
      <c r="K4195" t="s">
        <v>4744</v>
      </c>
      <c r="L4195">
        <v>15</v>
      </c>
      <c r="M4195">
        <v>15</v>
      </c>
      <c r="N4195" t="s">
        <v>5272</v>
      </c>
      <c r="O4195" t="s">
        <v>460</v>
      </c>
    </row>
    <row r="4196" spans="1:15" x14ac:dyDescent="0.3">
      <c r="A4196">
        <v>208356</v>
      </c>
      <c r="B4196">
        <v>105</v>
      </c>
      <c r="C4196" t="s">
        <v>557</v>
      </c>
      <c r="D4196" t="s">
        <v>2581</v>
      </c>
      <c r="E4196" t="s">
        <v>3512</v>
      </c>
      <c r="F4196" s="451">
        <v>46058</v>
      </c>
      <c r="G4196">
        <v>19562</v>
      </c>
      <c r="H4196" t="s">
        <v>4939</v>
      </c>
      <c r="I4196" t="s">
        <v>5191</v>
      </c>
      <c r="J4196">
        <v>0.8</v>
      </c>
      <c r="K4196" t="s">
        <v>4744</v>
      </c>
      <c r="L4196">
        <v>12.8</v>
      </c>
      <c r="M4196">
        <v>16</v>
      </c>
      <c r="N4196" t="s">
        <v>5272</v>
      </c>
      <c r="O4196" t="s">
        <v>460</v>
      </c>
    </row>
    <row r="4197" spans="1:15" x14ac:dyDescent="0.3">
      <c r="A4197">
        <v>208356</v>
      </c>
      <c r="B4197">
        <v>105</v>
      </c>
      <c r="C4197" t="s">
        <v>557</v>
      </c>
      <c r="D4197" t="s">
        <v>2581</v>
      </c>
      <c r="E4197" t="s">
        <v>3512</v>
      </c>
      <c r="F4197" s="451">
        <v>46058</v>
      </c>
      <c r="G4197">
        <v>24489</v>
      </c>
      <c r="H4197" t="s">
        <v>5121</v>
      </c>
      <c r="I4197" t="s">
        <v>5191</v>
      </c>
      <c r="J4197">
        <v>1</v>
      </c>
      <c r="K4197" t="s">
        <v>4744</v>
      </c>
      <c r="L4197">
        <v>20</v>
      </c>
      <c r="M4197">
        <v>20</v>
      </c>
      <c r="N4197" t="s">
        <v>5272</v>
      </c>
      <c r="O4197" t="s">
        <v>460</v>
      </c>
    </row>
    <row r="4198" spans="1:15" x14ac:dyDescent="0.3">
      <c r="A4198">
        <v>208356</v>
      </c>
      <c r="B4198">
        <v>105</v>
      </c>
      <c r="C4198" t="s">
        <v>557</v>
      </c>
      <c r="D4198" t="s">
        <v>2581</v>
      </c>
      <c r="E4198" t="s">
        <v>3512</v>
      </c>
      <c r="F4198" s="451">
        <v>46058</v>
      </c>
      <c r="G4198">
        <v>19635</v>
      </c>
      <c r="H4198" t="s">
        <v>4786</v>
      </c>
      <c r="I4198" t="s">
        <v>5191</v>
      </c>
      <c r="J4198">
        <v>8</v>
      </c>
      <c r="K4198" t="s">
        <v>4744</v>
      </c>
      <c r="L4198">
        <v>36</v>
      </c>
      <c r="M4198">
        <v>4.5</v>
      </c>
      <c r="N4198" t="s">
        <v>5272</v>
      </c>
      <c r="O4198" t="s">
        <v>460</v>
      </c>
    </row>
    <row r="4199" spans="1:15" x14ac:dyDescent="0.3">
      <c r="A4199">
        <v>208356</v>
      </c>
      <c r="B4199">
        <v>105</v>
      </c>
      <c r="C4199" t="s">
        <v>557</v>
      </c>
      <c r="D4199" t="s">
        <v>2581</v>
      </c>
      <c r="E4199" t="s">
        <v>3512</v>
      </c>
      <c r="F4199" s="451">
        <v>46058</v>
      </c>
      <c r="G4199">
        <v>19617</v>
      </c>
      <c r="H4199" t="s">
        <v>5071</v>
      </c>
      <c r="I4199" t="s">
        <v>5191</v>
      </c>
      <c r="J4199">
        <v>0.4</v>
      </c>
      <c r="K4199" t="s">
        <v>4744</v>
      </c>
      <c r="L4199">
        <v>14</v>
      </c>
      <c r="M4199">
        <v>35</v>
      </c>
      <c r="N4199" t="s">
        <v>5272</v>
      </c>
      <c r="O4199" t="s">
        <v>460</v>
      </c>
    </row>
    <row r="4200" spans="1:15" x14ac:dyDescent="0.3">
      <c r="A4200">
        <v>208356</v>
      </c>
      <c r="B4200">
        <v>105</v>
      </c>
      <c r="C4200" t="s">
        <v>557</v>
      </c>
      <c r="D4200" t="s">
        <v>2581</v>
      </c>
      <c r="E4200" t="s">
        <v>3512</v>
      </c>
      <c r="F4200" s="451">
        <v>46058</v>
      </c>
      <c r="G4200">
        <v>23113</v>
      </c>
      <c r="H4200" t="s">
        <v>5074</v>
      </c>
      <c r="I4200" t="s">
        <v>5191</v>
      </c>
      <c r="J4200">
        <v>1</v>
      </c>
      <c r="K4200" t="s">
        <v>4744</v>
      </c>
      <c r="L4200">
        <v>8</v>
      </c>
      <c r="M4200">
        <v>8</v>
      </c>
      <c r="N4200" t="s">
        <v>5272</v>
      </c>
      <c r="O4200" t="s">
        <v>460</v>
      </c>
    </row>
    <row r="4201" spans="1:15" x14ac:dyDescent="0.3">
      <c r="A4201">
        <v>208356</v>
      </c>
      <c r="B4201">
        <v>105</v>
      </c>
      <c r="C4201" t="s">
        <v>557</v>
      </c>
      <c r="D4201" t="s">
        <v>2581</v>
      </c>
      <c r="E4201" t="s">
        <v>3512</v>
      </c>
      <c r="F4201" s="451">
        <v>46058</v>
      </c>
      <c r="G4201">
        <v>23198</v>
      </c>
      <c r="H4201" t="s">
        <v>4962</v>
      </c>
      <c r="I4201" t="s">
        <v>5191</v>
      </c>
      <c r="J4201">
        <v>0.8</v>
      </c>
      <c r="K4201" t="s">
        <v>4744</v>
      </c>
      <c r="L4201">
        <v>12.8</v>
      </c>
      <c r="M4201">
        <v>16</v>
      </c>
      <c r="N4201" t="s">
        <v>5272</v>
      </c>
      <c r="O4201" t="s">
        <v>460</v>
      </c>
    </row>
    <row r="4202" spans="1:15" x14ac:dyDescent="0.3">
      <c r="A4202">
        <v>208356</v>
      </c>
      <c r="B4202">
        <v>105</v>
      </c>
      <c r="C4202" t="s">
        <v>557</v>
      </c>
      <c r="D4202" t="s">
        <v>2581</v>
      </c>
      <c r="E4202" t="s">
        <v>3512</v>
      </c>
      <c r="F4202" s="451">
        <v>46058</v>
      </c>
      <c r="G4202">
        <v>23236</v>
      </c>
      <c r="H4202" t="s">
        <v>5062</v>
      </c>
      <c r="I4202" t="s">
        <v>5191</v>
      </c>
      <c r="J4202">
        <v>2.5</v>
      </c>
      <c r="K4202" t="s">
        <v>4744</v>
      </c>
      <c r="L4202">
        <v>16.25</v>
      </c>
      <c r="M4202">
        <v>6.5</v>
      </c>
      <c r="N4202" t="s">
        <v>5272</v>
      </c>
      <c r="O4202" t="s">
        <v>460</v>
      </c>
    </row>
    <row r="4203" spans="1:15" x14ac:dyDescent="0.3">
      <c r="A4203">
        <v>208356</v>
      </c>
      <c r="B4203">
        <v>105</v>
      </c>
      <c r="C4203" t="s">
        <v>557</v>
      </c>
      <c r="D4203" t="s">
        <v>2581</v>
      </c>
      <c r="E4203" t="s">
        <v>3512</v>
      </c>
      <c r="F4203" s="451">
        <v>46058</v>
      </c>
      <c r="G4203">
        <v>23359</v>
      </c>
      <c r="H4203" t="s">
        <v>4767</v>
      </c>
      <c r="I4203" t="s">
        <v>5191</v>
      </c>
      <c r="J4203">
        <v>18</v>
      </c>
      <c r="K4203" t="s">
        <v>4744</v>
      </c>
      <c r="L4203">
        <v>42.3</v>
      </c>
      <c r="M4203">
        <v>2.35</v>
      </c>
      <c r="N4203" t="s">
        <v>5272</v>
      </c>
      <c r="O4203" t="s">
        <v>460</v>
      </c>
    </row>
    <row r="4204" spans="1:15" x14ac:dyDescent="0.3">
      <c r="A4204">
        <v>208356</v>
      </c>
      <c r="B4204">
        <v>105</v>
      </c>
      <c r="C4204" t="s">
        <v>557</v>
      </c>
      <c r="D4204" t="s">
        <v>2581</v>
      </c>
      <c r="E4204" t="s">
        <v>3512</v>
      </c>
      <c r="F4204" s="451">
        <v>46058</v>
      </c>
      <c r="G4204">
        <v>23361</v>
      </c>
      <c r="H4204" t="s">
        <v>4754</v>
      </c>
      <c r="I4204" t="s">
        <v>5191</v>
      </c>
      <c r="J4204">
        <v>20</v>
      </c>
      <c r="K4204" t="s">
        <v>4744</v>
      </c>
      <c r="L4204">
        <v>60</v>
      </c>
      <c r="M4204">
        <v>3</v>
      </c>
      <c r="N4204" t="s">
        <v>5272</v>
      </c>
      <c r="O4204" t="s">
        <v>460</v>
      </c>
    </row>
    <row r="4205" spans="1:15" x14ac:dyDescent="0.3">
      <c r="A4205">
        <v>208356</v>
      </c>
      <c r="B4205">
        <v>105</v>
      </c>
      <c r="C4205" t="s">
        <v>557</v>
      </c>
      <c r="D4205" t="s">
        <v>2581</v>
      </c>
      <c r="E4205" t="s">
        <v>3512</v>
      </c>
      <c r="F4205" s="451">
        <v>46058</v>
      </c>
      <c r="G4205">
        <v>23389</v>
      </c>
      <c r="H4205" t="s">
        <v>4960</v>
      </c>
      <c r="I4205" t="s">
        <v>5191</v>
      </c>
      <c r="J4205">
        <v>4.5</v>
      </c>
      <c r="K4205" t="s">
        <v>4744</v>
      </c>
      <c r="L4205">
        <v>24.75</v>
      </c>
      <c r="M4205">
        <v>5.5</v>
      </c>
      <c r="N4205" t="s">
        <v>5272</v>
      </c>
      <c r="O4205" t="s">
        <v>460</v>
      </c>
    </row>
    <row r="4206" spans="1:15" x14ac:dyDescent="0.3">
      <c r="A4206">
        <v>208356</v>
      </c>
      <c r="B4206">
        <v>105</v>
      </c>
      <c r="C4206" t="s">
        <v>557</v>
      </c>
      <c r="D4206" t="s">
        <v>2581</v>
      </c>
      <c r="E4206" t="s">
        <v>3512</v>
      </c>
      <c r="F4206" s="451">
        <v>46058</v>
      </c>
      <c r="G4206">
        <v>23095</v>
      </c>
      <c r="H4206" t="s">
        <v>4741</v>
      </c>
      <c r="I4206" t="s">
        <v>5191</v>
      </c>
      <c r="J4206">
        <v>50</v>
      </c>
      <c r="K4206" t="s">
        <v>4736</v>
      </c>
      <c r="L4206">
        <v>47.5</v>
      </c>
      <c r="M4206">
        <v>0.95</v>
      </c>
      <c r="N4206" t="s">
        <v>5272</v>
      </c>
      <c r="O4206" t="s">
        <v>460</v>
      </c>
    </row>
    <row r="4207" spans="1:15" x14ac:dyDescent="0.3">
      <c r="A4207">
        <v>208356</v>
      </c>
      <c r="B4207">
        <v>105</v>
      </c>
      <c r="C4207" t="s">
        <v>557</v>
      </c>
      <c r="D4207" t="s">
        <v>2581</v>
      </c>
      <c r="E4207" t="s">
        <v>3512</v>
      </c>
      <c r="F4207" s="451">
        <v>46058</v>
      </c>
      <c r="G4207">
        <v>24037</v>
      </c>
      <c r="H4207" t="s">
        <v>5233</v>
      </c>
      <c r="I4207" t="s">
        <v>5191</v>
      </c>
      <c r="J4207">
        <v>2</v>
      </c>
      <c r="K4207" t="s">
        <v>4744</v>
      </c>
      <c r="L4207">
        <v>38</v>
      </c>
      <c r="M4207">
        <v>19</v>
      </c>
      <c r="N4207" t="s">
        <v>5272</v>
      </c>
      <c r="O4207" t="s">
        <v>460</v>
      </c>
    </row>
    <row r="4208" spans="1:15" x14ac:dyDescent="0.3">
      <c r="A4208">
        <v>208356</v>
      </c>
      <c r="B4208">
        <v>105</v>
      </c>
      <c r="C4208" t="s">
        <v>557</v>
      </c>
      <c r="D4208" t="s">
        <v>2581</v>
      </c>
      <c r="E4208" t="s">
        <v>3512</v>
      </c>
      <c r="F4208" s="451">
        <v>46058</v>
      </c>
      <c r="G4208">
        <v>19472</v>
      </c>
      <c r="H4208" t="s">
        <v>4906</v>
      </c>
      <c r="I4208" t="s">
        <v>5191</v>
      </c>
      <c r="J4208">
        <v>2</v>
      </c>
      <c r="K4208" t="s">
        <v>4744</v>
      </c>
      <c r="L4208">
        <v>54</v>
      </c>
      <c r="M4208">
        <v>27</v>
      </c>
      <c r="N4208" t="s">
        <v>5272</v>
      </c>
      <c r="O4208" t="s">
        <v>460</v>
      </c>
    </row>
    <row r="4209" spans="1:15" x14ac:dyDescent="0.3">
      <c r="A4209">
        <v>208356</v>
      </c>
      <c r="B4209">
        <v>105</v>
      </c>
      <c r="C4209" t="s">
        <v>557</v>
      </c>
      <c r="D4209" t="s">
        <v>2581</v>
      </c>
      <c r="E4209" t="s">
        <v>3512</v>
      </c>
      <c r="F4209" s="451">
        <v>46058</v>
      </c>
      <c r="G4209">
        <v>19532</v>
      </c>
      <c r="H4209" t="s">
        <v>4753</v>
      </c>
      <c r="I4209" t="s">
        <v>5191</v>
      </c>
      <c r="J4209">
        <v>34</v>
      </c>
      <c r="K4209" t="s">
        <v>4744</v>
      </c>
      <c r="L4209">
        <v>200.6</v>
      </c>
      <c r="M4209">
        <v>5.9</v>
      </c>
      <c r="N4209" t="s">
        <v>5272</v>
      </c>
      <c r="O4209" t="s">
        <v>460</v>
      </c>
    </row>
    <row r="4210" spans="1:15" x14ac:dyDescent="0.3">
      <c r="A4210">
        <v>208355</v>
      </c>
      <c r="B4210">
        <v>105</v>
      </c>
      <c r="C4210" t="s">
        <v>557</v>
      </c>
      <c r="D4210" t="s">
        <v>2581</v>
      </c>
      <c r="E4210" t="s">
        <v>3513</v>
      </c>
      <c r="F4210" s="451">
        <v>46062</v>
      </c>
      <c r="G4210">
        <v>19623</v>
      </c>
      <c r="H4210" t="s">
        <v>4764</v>
      </c>
      <c r="I4210" t="s">
        <v>5191</v>
      </c>
      <c r="J4210">
        <v>10</v>
      </c>
      <c r="K4210" t="s">
        <v>4744</v>
      </c>
      <c r="L4210">
        <v>38</v>
      </c>
      <c r="M4210">
        <v>3.8</v>
      </c>
      <c r="N4210" t="s">
        <v>5272</v>
      </c>
      <c r="O4210" t="s">
        <v>460</v>
      </c>
    </row>
    <row r="4211" spans="1:15" x14ac:dyDescent="0.3">
      <c r="A4211">
        <v>208355</v>
      </c>
      <c r="B4211">
        <v>105</v>
      </c>
      <c r="C4211" t="s">
        <v>557</v>
      </c>
      <c r="D4211" t="s">
        <v>2581</v>
      </c>
      <c r="E4211" t="s">
        <v>3513</v>
      </c>
      <c r="F4211" s="451">
        <v>46062</v>
      </c>
      <c r="G4211">
        <v>19506</v>
      </c>
      <c r="H4211" t="s">
        <v>5122</v>
      </c>
      <c r="I4211" t="s">
        <v>5191</v>
      </c>
      <c r="J4211">
        <v>0.6</v>
      </c>
      <c r="K4211" t="s">
        <v>4744</v>
      </c>
      <c r="L4211">
        <v>24</v>
      </c>
      <c r="M4211">
        <v>40</v>
      </c>
      <c r="N4211" t="s">
        <v>5272</v>
      </c>
      <c r="O4211" t="s">
        <v>460</v>
      </c>
    </row>
    <row r="4212" spans="1:15" x14ac:dyDescent="0.3">
      <c r="A4212">
        <v>208355</v>
      </c>
      <c r="B4212">
        <v>105</v>
      </c>
      <c r="C4212" t="s">
        <v>557</v>
      </c>
      <c r="D4212" t="s">
        <v>2581</v>
      </c>
      <c r="E4212" t="s">
        <v>3513</v>
      </c>
      <c r="F4212" s="451">
        <v>46062</v>
      </c>
      <c r="G4212">
        <v>19505</v>
      </c>
      <c r="H4212" t="s">
        <v>4872</v>
      </c>
      <c r="I4212" t="s">
        <v>5191</v>
      </c>
      <c r="J4212">
        <v>2.4</v>
      </c>
      <c r="K4212" t="s">
        <v>4744</v>
      </c>
      <c r="L4212">
        <v>33.119999999999997</v>
      </c>
      <c r="M4212">
        <v>13.8</v>
      </c>
      <c r="N4212" t="s">
        <v>5272</v>
      </c>
      <c r="O4212" t="s">
        <v>460</v>
      </c>
    </row>
    <row r="4213" spans="1:15" x14ac:dyDescent="0.3">
      <c r="A4213">
        <v>208355</v>
      </c>
      <c r="B4213">
        <v>105</v>
      </c>
      <c r="C4213" t="s">
        <v>557</v>
      </c>
      <c r="D4213" t="s">
        <v>2581</v>
      </c>
      <c r="E4213" t="s">
        <v>3513</v>
      </c>
      <c r="F4213" s="451">
        <v>46062</v>
      </c>
      <c r="G4213">
        <v>19737</v>
      </c>
      <c r="H4213" t="s">
        <v>4940</v>
      </c>
      <c r="I4213" t="s">
        <v>5191</v>
      </c>
      <c r="J4213">
        <v>1.5</v>
      </c>
      <c r="K4213" t="s">
        <v>4744</v>
      </c>
      <c r="L4213">
        <v>6.6</v>
      </c>
      <c r="M4213">
        <v>4.4000000000000004</v>
      </c>
      <c r="N4213" t="s">
        <v>5272</v>
      </c>
      <c r="O4213" t="s">
        <v>460</v>
      </c>
    </row>
    <row r="4214" spans="1:15" x14ac:dyDescent="0.3">
      <c r="A4214">
        <v>208355</v>
      </c>
      <c r="B4214">
        <v>105</v>
      </c>
      <c r="C4214" t="s">
        <v>557</v>
      </c>
      <c r="D4214" t="s">
        <v>2581</v>
      </c>
      <c r="E4214" t="s">
        <v>3513</v>
      </c>
      <c r="F4214" s="451">
        <v>46062</v>
      </c>
      <c r="G4214">
        <v>19476</v>
      </c>
      <c r="H4214" t="s">
        <v>5115</v>
      </c>
      <c r="I4214" t="s">
        <v>5191</v>
      </c>
      <c r="J4214">
        <v>0.2</v>
      </c>
      <c r="K4214" t="s">
        <v>4744</v>
      </c>
      <c r="L4214">
        <v>13</v>
      </c>
      <c r="M4214">
        <v>65</v>
      </c>
      <c r="N4214" t="s">
        <v>5272</v>
      </c>
      <c r="O4214" t="s">
        <v>460</v>
      </c>
    </row>
    <row r="4215" spans="1:15" x14ac:dyDescent="0.3">
      <c r="A4215">
        <v>208355</v>
      </c>
      <c r="B4215">
        <v>105</v>
      </c>
      <c r="C4215" t="s">
        <v>557</v>
      </c>
      <c r="D4215" t="s">
        <v>2581</v>
      </c>
      <c r="E4215" t="s">
        <v>3513</v>
      </c>
      <c r="F4215" s="451">
        <v>46062</v>
      </c>
      <c r="G4215">
        <v>19553</v>
      </c>
      <c r="H4215" t="s">
        <v>4868</v>
      </c>
      <c r="I4215" t="s">
        <v>5191</v>
      </c>
      <c r="J4215">
        <v>1.5</v>
      </c>
      <c r="K4215" t="s">
        <v>4744</v>
      </c>
      <c r="L4215">
        <v>4.8</v>
      </c>
      <c r="M4215">
        <v>3.2</v>
      </c>
      <c r="N4215" t="s">
        <v>5272</v>
      </c>
      <c r="O4215" t="s">
        <v>460</v>
      </c>
    </row>
    <row r="4216" spans="1:15" x14ac:dyDescent="0.3">
      <c r="A4216">
        <v>208355</v>
      </c>
      <c r="B4216">
        <v>105</v>
      </c>
      <c r="C4216" t="s">
        <v>557</v>
      </c>
      <c r="D4216" t="s">
        <v>2581</v>
      </c>
      <c r="E4216" t="s">
        <v>3513</v>
      </c>
      <c r="F4216" s="451">
        <v>46062</v>
      </c>
      <c r="G4216">
        <v>19507</v>
      </c>
      <c r="H4216" t="s">
        <v>4853</v>
      </c>
      <c r="I4216" t="s">
        <v>5191</v>
      </c>
      <c r="J4216">
        <v>2</v>
      </c>
      <c r="K4216" t="s">
        <v>4744</v>
      </c>
      <c r="L4216">
        <v>27</v>
      </c>
      <c r="M4216">
        <v>13.5</v>
      </c>
      <c r="N4216" t="s">
        <v>5272</v>
      </c>
      <c r="O4216" t="s">
        <v>460</v>
      </c>
    </row>
    <row r="4217" spans="1:15" x14ac:dyDescent="0.3">
      <c r="A4217">
        <v>208355</v>
      </c>
      <c r="B4217">
        <v>105</v>
      </c>
      <c r="C4217" t="s">
        <v>557</v>
      </c>
      <c r="D4217" t="s">
        <v>2581</v>
      </c>
      <c r="E4217" t="s">
        <v>3513</v>
      </c>
      <c r="F4217" s="451">
        <v>46062</v>
      </c>
      <c r="G4217">
        <v>19752</v>
      </c>
      <c r="H4217" t="s">
        <v>4807</v>
      </c>
      <c r="I4217" t="s">
        <v>5191</v>
      </c>
      <c r="J4217">
        <v>1</v>
      </c>
      <c r="K4217" t="s">
        <v>4744</v>
      </c>
      <c r="L4217">
        <v>9</v>
      </c>
      <c r="M4217">
        <v>9</v>
      </c>
      <c r="N4217" t="s">
        <v>5272</v>
      </c>
      <c r="O4217" t="s">
        <v>460</v>
      </c>
    </row>
    <row r="4218" spans="1:15" x14ac:dyDescent="0.3">
      <c r="A4218">
        <v>208355</v>
      </c>
      <c r="B4218">
        <v>105</v>
      </c>
      <c r="C4218" t="s">
        <v>557</v>
      </c>
      <c r="D4218" t="s">
        <v>2581</v>
      </c>
      <c r="E4218" t="s">
        <v>3513</v>
      </c>
      <c r="F4218" s="451">
        <v>46062</v>
      </c>
      <c r="G4218">
        <v>23236</v>
      </c>
      <c r="H4218" t="s">
        <v>5062</v>
      </c>
      <c r="I4218" t="s">
        <v>5191</v>
      </c>
      <c r="J4218">
        <v>3</v>
      </c>
      <c r="K4218" t="s">
        <v>4744</v>
      </c>
      <c r="L4218">
        <v>19.5</v>
      </c>
      <c r="M4218">
        <v>6.5</v>
      </c>
      <c r="N4218" t="s">
        <v>5272</v>
      </c>
      <c r="O4218" t="s">
        <v>460</v>
      </c>
    </row>
    <row r="4219" spans="1:15" x14ac:dyDescent="0.3">
      <c r="A4219">
        <v>208355</v>
      </c>
      <c r="B4219">
        <v>105</v>
      </c>
      <c r="C4219" t="s">
        <v>557</v>
      </c>
      <c r="D4219" t="s">
        <v>2581</v>
      </c>
      <c r="E4219" t="s">
        <v>3513</v>
      </c>
      <c r="F4219" s="451">
        <v>46062</v>
      </c>
      <c r="G4219">
        <v>23238</v>
      </c>
      <c r="H4219" t="s">
        <v>4934</v>
      </c>
      <c r="I4219" t="s">
        <v>5191</v>
      </c>
      <c r="J4219">
        <v>1</v>
      </c>
      <c r="K4219" t="s">
        <v>4744</v>
      </c>
      <c r="L4219">
        <v>25</v>
      </c>
      <c r="M4219">
        <v>25</v>
      </c>
      <c r="N4219" t="s">
        <v>5272</v>
      </c>
      <c r="O4219" t="s">
        <v>460</v>
      </c>
    </row>
    <row r="4220" spans="1:15" x14ac:dyDescent="0.3">
      <c r="A4220">
        <v>208354</v>
      </c>
      <c r="B4220">
        <v>105</v>
      </c>
      <c r="C4220" t="s">
        <v>557</v>
      </c>
      <c r="D4220" t="s">
        <v>2581</v>
      </c>
      <c r="E4220" t="s">
        <v>3514</v>
      </c>
      <c r="F4220" s="451">
        <v>46063</v>
      </c>
      <c r="G4220">
        <v>19505</v>
      </c>
      <c r="H4220" t="s">
        <v>4872</v>
      </c>
      <c r="I4220" t="s">
        <v>5191</v>
      </c>
      <c r="J4220">
        <v>4.5</v>
      </c>
      <c r="K4220" t="s">
        <v>4744</v>
      </c>
      <c r="L4220">
        <v>63</v>
      </c>
      <c r="M4220">
        <v>14</v>
      </c>
      <c r="N4220" t="s">
        <v>5272</v>
      </c>
      <c r="O4220" t="s">
        <v>460</v>
      </c>
    </row>
    <row r="4221" spans="1:15" x14ac:dyDescent="0.3">
      <c r="A4221">
        <v>208354</v>
      </c>
      <c r="B4221">
        <v>105</v>
      </c>
      <c r="C4221" t="s">
        <v>557</v>
      </c>
      <c r="D4221" t="s">
        <v>2581</v>
      </c>
      <c r="E4221" t="s">
        <v>3514</v>
      </c>
      <c r="F4221" s="451">
        <v>46063</v>
      </c>
      <c r="G4221">
        <v>19507</v>
      </c>
      <c r="H4221" t="s">
        <v>4853</v>
      </c>
      <c r="I4221" t="s">
        <v>5191</v>
      </c>
      <c r="J4221">
        <v>2</v>
      </c>
      <c r="K4221" t="s">
        <v>4744</v>
      </c>
      <c r="L4221">
        <v>28</v>
      </c>
      <c r="M4221">
        <v>14</v>
      </c>
      <c r="N4221" t="s">
        <v>5272</v>
      </c>
      <c r="O4221" t="s">
        <v>460</v>
      </c>
    </row>
    <row r="4222" spans="1:15" x14ac:dyDescent="0.3">
      <c r="A4222">
        <v>208354</v>
      </c>
      <c r="B4222">
        <v>105</v>
      </c>
      <c r="C4222" t="s">
        <v>557</v>
      </c>
      <c r="D4222" t="s">
        <v>2581</v>
      </c>
      <c r="E4222" t="s">
        <v>3514</v>
      </c>
      <c r="F4222" s="451">
        <v>46063</v>
      </c>
      <c r="G4222">
        <v>23361</v>
      </c>
      <c r="H4222" t="s">
        <v>4754</v>
      </c>
      <c r="I4222" t="s">
        <v>5191</v>
      </c>
      <c r="J4222">
        <v>26</v>
      </c>
      <c r="K4222" t="s">
        <v>4744</v>
      </c>
      <c r="L4222">
        <v>83.2</v>
      </c>
      <c r="M4222">
        <v>3.2</v>
      </c>
      <c r="N4222" t="s">
        <v>5272</v>
      </c>
      <c r="O4222" t="s">
        <v>460</v>
      </c>
    </row>
    <row r="4223" spans="1:15" x14ac:dyDescent="0.3">
      <c r="A4223">
        <v>208354</v>
      </c>
      <c r="B4223">
        <v>105</v>
      </c>
      <c r="C4223" t="s">
        <v>557</v>
      </c>
      <c r="D4223" t="s">
        <v>2581</v>
      </c>
      <c r="E4223" t="s">
        <v>3514</v>
      </c>
      <c r="F4223" s="451">
        <v>46063</v>
      </c>
      <c r="G4223">
        <v>19472</v>
      </c>
      <c r="H4223" t="s">
        <v>4906</v>
      </c>
      <c r="I4223" t="s">
        <v>5191</v>
      </c>
      <c r="J4223">
        <v>1.4</v>
      </c>
      <c r="K4223" t="s">
        <v>4744</v>
      </c>
      <c r="L4223">
        <v>37.799999999999997</v>
      </c>
      <c r="M4223">
        <v>27</v>
      </c>
      <c r="N4223" t="s">
        <v>5272</v>
      </c>
      <c r="O4223" t="s">
        <v>460</v>
      </c>
    </row>
    <row r="4224" spans="1:15" x14ac:dyDescent="0.3">
      <c r="A4224">
        <v>208353</v>
      </c>
      <c r="B4224">
        <v>105</v>
      </c>
      <c r="C4224" t="s">
        <v>557</v>
      </c>
      <c r="D4224" t="s">
        <v>2581</v>
      </c>
      <c r="E4224" t="s">
        <v>3515</v>
      </c>
      <c r="F4224" s="451">
        <v>46064</v>
      </c>
      <c r="G4224">
        <v>19505</v>
      </c>
      <c r="H4224" t="s">
        <v>4872</v>
      </c>
      <c r="I4224" t="s">
        <v>5191</v>
      </c>
      <c r="J4224">
        <v>4</v>
      </c>
      <c r="K4224" t="s">
        <v>4744</v>
      </c>
      <c r="L4224">
        <v>56</v>
      </c>
      <c r="M4224">
        <v>14</v>
      </c>
      <c r="N4224" t="s">
        <v>5272</v>
      </c>
      <c r="O4224" t="s">
        <v>460</v>
      </c>
    </row>
    <row r="4225" spans="1:15" x14ac:dyDescent="0.3">
      <c r="A4225">
        <v>208353</v>
      </c>
      <c r="B4225">
        <v>105</v>
      </c>
      <c r="C4225" t="s">
        <v>557</v>
      </c>
      <c r="D4225" t="s">
        <v>2581</v>
      </c>
      <c r="E4225" t="s">
        <v>3515</v>
      </c>
      <c r="F4225" s="451">
        <v>46064</v>
      </c>
      <c r="G4225">
        <v>19737</v>
      </c>
      <c r="H4225" t="s">
        <v>4940</v>
      </c>
      <c r="I4225" t="s">
        <v>5191</v>
      </c>
      <c r="J4225">
        <v>2</v>
      </c>
      <c r="K4225" t="s">
        <v>4744</v>
      </c>
      <c r="L4225">
        <v>9</v>
      </c>
      <c r="M4225">
        <v>4.5</v>
      </c>
      <c r="N4225" t="s">
        <v>5272</v>
      </c>
      <c r="O4225" t="s">
        <v>460</v>
      </c>
    </row>
    <row r="4226" spans="1:15" x14ac:dyDescent="0.3">
      <c r="A4226">
        <v>208353</v>
      </c>
      <c r="B4226">
        <v>105</v>
      </c>
      <c r="C4226" t="s">
        <v>557</v>
      </c>
      <c r="D4226" t="s">
        <v>2581</v>
      </c>
      <c r="E4226" t="s">
        <v>3515</v>
      </c>
      <c r="F4226" s="451">
        <v>46064</v>
      </c>
      <c r="G4226">
        <v>19740</v>
      </c>
      <c r="H4226" t="s">
        <v>4779</v>
      </c>
      <c r="I4226" t="s">
        <v>5191</v>
      </c>
      <c r="J4226">
        <v>6</v>
      </c>
      <c r="K4226" t="s">
        <v>4744</v>
      </c>
      <c r="L4226">
        <v>51</v>
      </c>
      <c r="M4226">
        <v>8.5</v>
      </c>
      <c r="N4226" t="s">
        <v>5272</v>
      </c>
      <c r="O4226" t="s">
        <v>460</v>
      </c>
    </row>
    <row r="4227" spans="1:15" x14ac:dyDescent="0.3">
      <c r="A4227">
        <v>208352</v>
      </c>
      <c r="B4227">
        <v>105</v>
      </c>
      <c r="C4227" t="s">
        <v>557</v>
      </c>
      <c r="D4227" t="s">
        <v>2581</v>
      </c>
      <c r="E4227" t="s">
        <v>3516</v>
      </c>
      <c r="F4227" s="451">
        <v>46065</v>
      </c>
      <c r="G4227">
        <v>19787</v>
      </c>
      <c r="H4227" t="s">
        <v>4793</v>
      </c>
      <c r="I4227" t="s">
        <v>5191</v>
      </c>
      <c r="J4227">
        <v>6</v>
      </c>
      <c r="K4227" t="s">
        <v>4744</v>
      </c>
      <c r="L4227">
        <v>28.2</v>
      </c>
      <c r="M4227">
        <v>4.7</v>
      </c>
      <c r="N4227" t="s">
        <v>5191</v>
      </c>
      <c r="O4227" t="s">
        <v>460</v>
      </c>
    </row>
    <row r="4228" spans="1:15" x14ac:dyDescent="0.3">
      <c r="A4228">
        <v>208352</v>
      </c>
      <c r="B4228">
        <v>105</v>
      </c>
      <c r="C4228" t="s">
        <v>557</v>
      </c>
      <c r="D4228" t="s">
        <v>2581</v>
      </c>
      <c r="E4228" t="s">
        <v>3516</v>
      </c>
      <c r="F4228" s="451">
        <v>46065</v>
      </c>
      <c r="G4228">
        <v>19505</v>
      </c>
      <c r="H4228" t="s">
        <v>4872</v>
      </c>
      <c r="I4228" t="s">
        <v>5191</v>
      </c>
      <c r="J4228">
        <v>6</v>
      </c>
      <c r="K4228" t="s">
        <v>4744</v>
      </c>
      <c r="L4228">
        <v>84</v>
      </c>
      <c r="M4228">
        <v>14</v>
      </c>
      <c r="N4228" t="s">
        <v>5191</v>
      </c>
      <c r="O4228" t="s">
        <v>460</v>
      </c>
    </row>
    <row r="4229" spans="1:15" x14ac:dyDescent="0.3">
      <c r="A4229">
        <v>208352</v>
      </c>
      <c r="B4229">
        <v>105</v>
      </c>
      <c r="C4229" t="s">
        <v>557</v>
      </c>
      <c r="D4229" t="s">
        <v>2581</v>
      </c>
      <c r="E4229" t="s">
        <v>3516</v>
      </c>
      <c r="F4229" s="451">
        <v>46065</v>
      </c>
      <c r="G4229">
        <v>19623</v>
      </c>
      <c r="H4229" t="s">
        <v>4764</v>
      </c>
      <c r="I4229" t="s">
        <v>5191</v>
      </c>
      <c r="J4229">
        <v>12</v>
      </c>
      <c r="K4229" t="s">
        <v>4744</v>
      </c>
      <c r="L4229">
        <v>45.6</v>
      </c>
      <c r="M4229">
        <v>3.8</v>
      </c>
      <c r="N4229" t="s">
        <v>5191</v>
      </c>
      <c r="O4229" t="s">
        <v>460</v>
      </c>
    </row>
    <row r="4230" spans="1:15" x14ac:dyDescent="0.3">
      <c r="A4230">
        <v>208352</v>
      </c>
      <c r="B4230">
        <v>105</v>
      </c>
      <c r="C4230" t="s">
        <v>557</v>
      </c>
      <c r="D4230" t="s">
        <v>2581</v>
      </c>
      <c r="E4230" t="s">
        <v>3516</v>
      </c>
      <c r="F4230" s="451">
        <v>46065</v>
      </c>
      <c r="G4230">
        <v>24509</v>
      </c>
      <c r="H4230" t="s">
        <v>4788</v>
      </c>
      <c r="I4230" t="s">
        <v>5191</v>
      </c>
      <c r="J4230">
        <v>10</v>
      </c>
      <c r="K4230" t="s">
        <v>4744</v>
      </c>
      <c r="L4230">
        <v>18</v>
      </c>
      <c r="M4230">
        <v>1.8</v>
      </c>
      <c r="N4230" t="s">
        <v>5191</v>
      </c>
      <c r="O4230" t="s">
        <v>460</v>
      </c>
    </row>
    <row r="4231" spans="1:15" x14ac:dyDescent="0.3">
      <c r="A4231">
        <v>208352</v>
      </c>
      <c r="B4231">
        <v>105</v>
      </c>
      <c r="C4231" t="s">
        <v>557</v>
      </c>
      <c r="D4231" t="s">
        <v>2581</v>
      </c>
      <c r="E4231" t="s">
        <v>3516</v>
      </c>
      <c r="F4231" s="451">
        <v>46065</v>
      </c>
      <c r="G4231">
        <v>19507</v>
      </c>
      <c r="H4231" t="s">
        <v>4853</v>
      </c>
      <c r="I4231" t="s">
        <v>5191</v>
      </c>
      <c r="J4231">
        <v>2.8</v>
      </c>
      <c r="K4231" t="s">
        <v>4744</v>
      </c>
      <c r="L4231">
        <v>39.200000000000003</v>
      </c>
      <c r="M4231">
        <v>14</v>
      </c>
      <c r="N4231" t="s">
        <v>5191</v>
      </c>
      <c r="O4231" t="s">
        <v>460</v>
      </c>
    </row>
    <row r="4232" spans="1:15" x14ac:dyDescent="0.3">
      <c r="A4232">
        <v>208352</v>
      </c>
      <c r="B4232">
        <v>105</v>
      </c>
      <c r="C4232" t="s">
        <v>557</v>
      </c>
      <c r="D4232" t="s">
        <v>2581</v>
      </c>
      <c r="E4232" t="s">
        <v>3516</v>
      </c>
      <c r="F4232" s="451">
        <v>46065</v>
      </c>
      <c r="G4232">
        <v>19635</v>
      </c>
      <c r="H4232" t="s">
        <v>4786</v>
      </c>
      <c r="I4232" t="s">
        <v>5191</v>
      </c>
      <c r="J4232">
        <v>5</v>
      </c>
      <c r="K4232" t="s">
        <v>4744</v>
      </c>
      <c r="L4232">
        <v>24.5</v>
      </c>
      <c r="M4232">
        <v>4.9000000000000004</v>
      </c>
      <c r="N4232" t="s">
        <v>5191</v>
      </c>
      <c r="O4232" t="s">
        <v>460</v>
      </c>
    </row>
    <row r="4233" spans="1:15" x14ac:dyDescent="0.3">
      <c r="A4233">
        <v>208352</v>
      </c>
      <c r="B4233">
        <v>105</v>
      </c>
      <c r="C4233" t="s">
        <v>557</v>
      </c>
      <c r="D4233" t="s">
        <v>2581</v>
      </c>
      <c r="E4233" t="s">
        <v>3516</v>
      </c>
      <c r="F4233" s="451">
        <v>46065</v>
      </c>
      <c r="G4233">
        <v>19617</v>
      </c>
      <c r="H4233" t="s">
        <v>5071</v>
      </c>
      <c r="I4233" t="s">
        <v>5191</v>
      </c>
      <c r="J4233">
        <v>0.5</v>
      </c>
      <c r="K4233" t="s">
        <v>4744</v>
      </c>
      <c r="L4233">
        <v>19</v>
      </c>
      <c r="M4233">
        <v>38</v>
      </c>
      <c r="N4233" t="s">
        <v>5191</v>
      </c>
      <c r="O4233" t="s">
        <v>460</v>
      </c>
    </row>
    <row r="4234" spans="1:15" x14ac:dyDescent="0.3">
      <c r="A4234">
        <v>208352</v>
      </c>
      <c r="B4234">
        <v>105</v>
      </c>
      <c r="C4234" t="s">
        <v>557</v>
      </c>
      <c r="D4234" t="s">
        <v>2581</v>
      </c>
      <c r="E4234" t="s">
        <v>3516</v>
      </c>
      <c r="F4234" s="451">
        <v>46065</v>
      </c>
      <c r="G4234">
        <v>23108</v>
      </c>
      <c r="H4234" t="s">
        <v>5117</v>
      </c>
      <c r="I4234" t="s">
        <v>5191</v>
      </c>
      <c r="J4234">
        <v>0.1</v>
      </c>
      <c r="K4234" t="s">
        <v>4744</v>
      </c>
      <c r="L4234">
        <v>6</v>
      </c>
      <c r="M4234">
        <v>60</v>
      </c>
      <c r="N4234" t="s">
        <v>5191</v>
      </c>
      <c r="O4234" t="s">
        <v>460</v>
      </c>
    </row>
    <row r="4235" spans="1:15" x14ac:dyDescent="0.3">
      <c r="A4235">
        <v>208352</v>
      </c>
      <c r="B4235">
        <v>105</v>
      </c>
      <c r="C4235" t="s">
        <v>557</v>
      </c>
      <c r="D4235" t="s">
        <v>2581</v>
      </c>
      <c r="E4235" t="s">
        <v>3516</v>
      </c>
      <c r="F4235" s="451">
        <v>46065</v>
      </c>
      <c r="G4235">
        <v>23236</v>
      </c>
      <c r="H4235" t="s">
        <v>5062</v>
      </c>
      <c r="I4235" t="s">
        <v>5191</v>
      </c>
      <c r="J4235">
        <v>2.5</v>
      </c>
      <c r="K4235" t="s">
        <v>4744</v>
      </c>
      <c r="L4235">
        <v>16.25</v>
      </c>
      <c r="M4235">
        <v>6.5</v>
      </c>
      <c r="N4235" t="s">
        <v>5191</v>
      </c>
      <c r="O4235" t="s">
        <v>460</v>
      </c>
    </row>
    <row r="4236" spans="1:15" x14ac:dyDescent="0.3">
      <c r="A4236">
        <v>208352</v>
      </c>
      <c r="B4236">
        <v>105</v>
      </c>
      <c r="C4236" t="s">
        <v>557</v>
      </c>
      <c r="D4236" t="s">
        <v>2581</v>
      </c>
      <c r="E4236" t="s">
        <v>3516</v>
      </c>
      <c r="F4236" s="451">
        <v>46065</v>
      </c>
      <c r="G4236">
        <v>23359</v>
      </c>
      <c r="H4236" t="s">
        <v>4767</v>
      </c>
      <c r="I4236" t="s">
        <v>5191</v>
      </c>
      <c r="J4236">
        <v>15</v>
      </c>
      <c r="K4236" t="s">
        <v>4744</v>
      </c>
      <c r="L4236">
        <v>48</v>
      </c>
      <c r="M4236">
        <v>3.2</v>
      </c>
      <c r="N4236" t="s">
        <v>5191</v>
      </c>
      <c r="O4236" t="s">
        <v>460</v>
      </c>
    </row>
    <row r="4237" spans="1:15" x14ac:dyDescent="0.3">
      <c r="A4237">
        <v>208352</v>
      </c>
      <c r="B4237">
        <v>105</v>
      </c>
      <c r="C4237" t="s">
        <v>557</v>
      </c>
      <c r="D4237" t="s">
        <v>2581</v>
      </c>
      <c r="E4237" t="s">
        <v>3516</v>
      </c>
      <c r="F4237" s="451">
        <v>46065</v>
      </c>
      <c r="G4237">
        <v>23361</v>
      </c>
      <c r="H4237" t="s">
        <v>4754</v>
      </c>
      <c r="I4237" t="s">
        <v>5191</v>
      </c>
      <c r="J4237">
        <v>30</v>
      </c>
      <c r="K4237" t="s">
        <v>4744</v>
      </c>
      <c r="L4237">
        <v>96</v>
      </c>
      <c r="M4237">
        <v>3.2</v>
      </c>
      <c r="N4237" t="s">
        <v>5191</v>
      </c>
      <c r="O4237" t="s">
        <v>460</v>
      </c>
    </row>
    <row r="4238" spans="1:15" x14ac:dyDescent="0.3">
      <c r="A4238">
        <v>208352</v>
      </c>
      <c r="B4238">
        <v>105</v>
      </c>
      <c r="C4238" t="s">
        <v>557</v>
      </c>
      <c r="D4238" t="s">
        <v>2581</v>
      </c>
      <c r="E4238" t="s">
        <v>3516</v>
      </c>
      <c r="F4238" s="451">
        <v>46065</v>
      </c>
      <c r="G4238">
        <v>19490</v>
      </c>
      <c r="H4238" t="s">
        <v>5116</v>
      </c>
      <c r="I4238" t="s">
        <v>5191</v>
      </c>
      <c r="J4238">
        <v>0.1</v>
      </c>
      <c r="K4238" t="s">
        <v>4744</v>
      </c>
      <c r="L4238">
        <v>6.5</v>
      </c>
      <c r="M4238">
        <v>65</v>
      </c>
      <c r="N4238" t="s">
        <v>5191</v>
      </c>
      <c r="O4238" t="s">
        <v>460</v>
      </c>
    </row>
    <row r="4239" spans="1:15" x14ac:dyDescent="0.3">
      <c r="A4239">
        <v>208352</v>
      </c>
      <c r="B4239">
        <v>105</v>
      </c>
      <c r="C4239" t="s">
        <v>557</v>
      </c>
      <c r="D4239" t="s">
        <v>2581</v>
      </c>
      <c r="E4239" t="s">
        <v>3516</v>
      </c>
      <c r="F4239" s="451">
        <v>46065</v>
      </c>
      <c r="G4239">
        <v>23389</v>
      </c>
      <c r="H4239" t="s">
        <v>4960</v>
      </c>
      <c r="I4239" t="s">
        <v>5191</v>
      </c>
      <c r="J4239">
        <v>2</v>
      </c>
      <c r="K4239" t="s">
        <v>4744</v>
      </c>
      <c r="L4239">
        <v>11</v>
      </c>
      <c r="M4239">
        <v>5.5</v>
      </c>
      <c r="N4239" t="s">
        <v>5191</v>
      </c>
      <c r="O4239" t="s">
        <v>460</v>
      </c>
    </row>
    <row r="4240" spans="1:15" x14ac:dyDescent="0.3">
      <c r="A4240">
        <v>208352</v>
      </c>
      <c r="B4240">
        <v>105</v>
      </c>
      <c r="C4240" t="s">
        <v>557</v>
      </c>
      <c r="D4240" t="s">
        <v>2581</v>
      </c>
      <c r="E4240" t="s">
        <v>3516</v>
      </c>
      <c r="F4240" s="451">
        <v>46065</v>
      </c>
      <c r="G4240">
        <v>23390</v>
      </c>
      <c r="H4240" t="s">
        <v>4873</v>
      </c>
      <c r="I4240" t="s">
        <v>5191</v>
      </c>
      <c r="J4240">
        <v>1</v>
      </c>
      <c r="K4240" t="s">
        <v>4744</v>
      </c>
      <c r="L4240">
        <v>8</v>
      </c>
      <c r="M4240">
        <v>8</v>
      </c>
      <c r="N4240" t="s">
        <v>5191</v>
      </c>
      <c r="O4240" t="s">
        <v>460</v>
      </c>
    </row>
    <row r="4241" spans="1:15" x14ac:dyDescent="0.3">
      <c r="A4241">
        <v>208352</v>
      </c>
      <c r="B4241">
        <v>105</v>
      </c>
      <c r="C4241" t="s">
        <v>557</v>
      </c>
      <c r="D4241" t="s">
        <v>2581</v>
      </c>
      <c r="E4241" t="s">
        <v>3516</v>
      </c>
      <c r="F4241" s="451">
        <v>46065</v>
      </c>
      <c r="G4241">
        <v>24037</v>
      </c>
      <c r="H4241" t="s">
        <v>5233</v>
      </c>
      <c r="I4241" t="s">
        <v>5191</v>
      </c>
      <c r="J4241">
        <v>3</v>
      </c>
      <c r="K4241" t="s">
        <v>4744</v>
      </c>
      <c r="L4241">
        <v>58.5</v>
      </c>
      <c r="M4241">
        <v>19.5</v>
      </c>
      <c r="N4241" t="s">
        <v>5191</v>
      </c>
      <c r="O4241" t="s">
        <v>460</v>
      </c>
    </row>
    <row r="4242" spans="1:15" x14ac:dyDescent="0.3">
      <c r="A4242">
        <v>208352</v>
      </c>
      <c r="B4242">
        <v>105</v>
      </c>
      <c r="C4242" t="s">
        <v>557</v>
      </c>
      <c r="D4242" t="s">
        <v>2581</v>
      </c>
      <c r="E4242" t="s">
        <v>3516</v>
      </c>
      <c r="F4242" s="451">
        <v>46065</v>
      </c>
      <c r="G4242">
        <v>19472</v>
      </c>
      <c r="H4242" t="s">
        <v>4906</v>
      </c>
      <c r="I4242" t="s">
        <v>5191</v>
      </c>
      <c r="J4242">
        <v>2.5</v>
      </c>
      <c r="K4242" t="s">
        <v>4744</v>
      </c>
      <c r="L4242">
        <v>65</v>
      </c>
      <c r="M4242">
        <v>26</v>
      </c>
      <c r="N4242" t="s">
        <v>5191</v>
      </c>
      <c r="O4242" t="s">
        <v>460</v>
      </c>
    </row>
    <row r="4243" spans="1:15" x14ac:dyDescent="0.3">
      <c r="A4243">
        <v>208352</v>
      </c>
      <c r="B4243">
        <v>105</v>
      </c>
      <c r="C4243" t="s">
        <v>557</v>
      </c>
      <c r="D4243" t="s">
        <v>2581</v>
      </c>
      <c r="E4243" t="s">
        <v>3516</v>
      </c>
      <c r="F4243" s="451">
        <v>46065</v>
      </c>
      <c r="G4243">
        <v>19532</v>
      </c>
      <c r="H4243" t="s">
        <v>4753</v>
      </c>
      <c r="I4243" t="s">
        <v>5191</v>
      </c>
      <c r="J4243">
        <v>32</v>
      </c>
      <c r="K4243" t="s">
        <v>4744</v>
      </c>
      <c r="L4243">
        <v>188.8</v>
      </c>
      <c r="M4243">
        <v>5.9</v>
      </c>
      <c r="N4243" t="s">
        <v>5191</v>
      </c>
      <c r="O4243" t="s">
        <v>460</v>
      </c>
    </row>
    <row r="4244" spans="1:15" x14ac:dyDescent="0.3">
      <c r="A4244">
        <v>208351</v>
      </c>
      <c r="B4244">
        <v>105</v>
      </c>
      <c r="C4244" t="s">
        <v>557</v>
      </c>
      <c r="D4244" t="s">
        <v>3328</v>
      </c>
      <c r="E4244" t="s">
        <v>3517</v>
      </c>
      <c r="F4244" s="451">
        <v>46058</v>
      </c>
      <c r="G4244">
        <v>19623</v>
      </c>
      <c r="H4244" t="s">
        <v>4764</v>
      </c>
      <c r="I4244" t="s">
        <v>5191</v>
      </c>
      <c r="J4244">
        <v>10</v>
      </c>
      <c r="K4244" t="s">
        <v>4744</v>
      </c>
      <c r="L4244">
        <v>37.5</v>
      </c>
      <c r="M4244">
        <v>3.75</v>
      </c>
      <c r="N4244" t="s">
        <v>5272</v>
      </c>
      <c r="O4244" t="s">
        <v>460</v>
      </c>
    </row>
    <row r="4245" spans="1:15" x14ac:dyDescent="0.3">
      <c r="A4245">
        <v>208351</v>
      </c>
      <c r="B4245">
        <v>105</v>
      </c>
      <c r="C4245" t="s">
        <v>557</v>
      </c>
      <c r="D4245" t="s">
        <v>3328</v>
      </c>
      <c r="E4245" t="s">
        <v>3517</v>
      </c>
      <c r="F4245" s="451">
        <v>46058</v>
      </c>
      <c r="G4245">
        <v>19658</v>
      </c>
      <c r="H4245" t="s">
        <v>4784</v>
      </c>
      <c r="I4245" t="s">
        <v>5191</v>
      </c>
      <c r="J4245">
        <v>8</v>
      </c>
      <c r="K4245" t="s">
        <v>4744</v>
      </c>
      <c r="L4245">
        <v>27.36</v>
      </c>
      <c r="M4245">
        <v>3.42</v>
      </c>
      <c r="N4245" t="s">
        <v>5272</v>
      </c>
      <c r="O4245" t="s">
        <v>460</v>
      </c>
    </row>
    <row r="4246" spans="1:15" x14ac:dyDescent="0.3">
      <c r="A4246">
        <v>208351</v>
      </c>
      <c r="B4246">
        <v>105</v>
      </c>
      <c r="C4246" t="s">
        <v>557</v>
      </c>
      <c r="D4246" t="s">
        <v>3328</v>
      </c>
      <c r="E4246" t="s">
        <v>3517</v>
      </c>
      <c r="F4246" s="451">
        <v>46058</v>
      </c>
      <c r="G4246">
        <v>19642</v>
      </c>
      <c r="H4246" t="s">
        <v>4996</v>
      </c>
      <c r="I4246" t="s">
        <v>5191</v>
      </c>
      <c r="J4246">
        <v>1</v>
      </c>
      <c r="K4246" t="s">
        <v>4744</v>
      </c>
      <c r="L4246">
        <v>5</v>
      </c>
      <c r="M4246">
        <v>5</v>
      </c>
      <c r="N4246" t="s">
        <v>5272</v>
      </c>
      <c r="O4246" t="s">
        <v>460</v>
      </c>
    </row>
    <row r="4247" spans="1:15" x14ac:dyDescent="0.3">
      <c r="A4247">
        <v>208351</v>
      </c>
      <c r="B4247">
        <v>105</v>
      </c>
      <c r="C4247" t="s">
        <v>557</v>
      </c>
      <c r="D4247" t="s">
        <v>3328</v>
      </c>
      <c r="E4247" t="s">
        <v>3517</v>
      </c>
      <c r="F4247" s="451">
        <v>46058</v>
      </c>
      <c r="G4247">
        <v>19502</v>
      </c>
      <c r="H4247" t="s">
        <v>4871</v>
      </c>
      <c r="I4247" t="s">
        <v>5191</v>
      </c>
      <c r="J4247">
        <v>2</v>
      </c>
      <c r="K4247" t="s">
        <v>4744</v>
      </c>
      <c r="L4247">
        <v>50</v>
      </c>
      <c r="M4247">
        <v>25</v>
      </c>
      <c r="N4247" t="s">
        <v>5272</v>
      </c>
      <c r="O4247" t="s">
        <v>460</v>
      </c>
    </row>
    <row r="4248" spans="1:15" x14ac:dyDescent="0.3">
      <c r="A4248">
        <v>208351</v>
      </c>
      <c r="B4248">
        <v>105</v>
      </c>
      <c r="C4248" t="s">
        <v>557</v>
      </c>
      <c r="D4248" t="s">
        <v>3328</v>
      </c>
      <c r="E4248" t="s">
        <v>3517</v>
      </c>
      <c r="F4248" s="451">
        <v>46058</v>
      </c>
      <c r="G4248">
        <v>19734</v>
      </c>
      <c r="H4248" t="s">
        <v>4833</v>
      </c>
      <c r="I4248" t="s">
        <v>5191</v>
      </c>
      <c r="J4248">
        <v>3</v>
      </c>
      <c r="K4248" t="s">
        <v>4744</v>
      </c>
      <c r="L4248">
        <v>45</v>
      </c>
      <c r="M4248">
        <v>15</v>
      </c>
      <c r="N4248" t="s">
        <v>5272</v>
      </c>
      <c r="O4248" t="s">
        <v>460</v>
      </c>
    </row>
    <row r="4249" spans="1:15" x14ac:dyDescent="0.3">
      <c r="A4249">
        <v>208351</v>
      </c>
      <c r="B4249">
        <v>105</v>
      </c>
      <c r="C4249" t="s">
        <v>557</v>
      </c>
      <c r="D4249" t="s">
        <v>3328</v>
      </c>
      <c r="E4249" t="s">
        <v>3517</v>
      </c>
      <c r="F4249" s="451">
        <v>46058</v>
      </c>
      <c r="G4249">
        <v>19751</v>
      </c>
      <c r="H4249" t="s">
        <v>4800</v>
      </c>
      <c r="I4249" t="s">
        <v>5191</v>
      </c>
      <c r="J4249">
        <v>3</v>
      </c>
      <c r="K4249" t="s">
        <v>4744</v>
      </c>
      <c r="L4249">
        <v>46.89</v>
      </c>
      <c r="M4249">
        <v>15.63</v>
      </c>
      <c r="N4249" t="s">
        <v>5272</v>
      </c>
      <c r="O4249" t="s">
        <v>460</v>
      </c>
    </row>
    <row r="4250" spans="1:15" x14ac:dyDescent="0.3">
      <c r="A4250">
        <v>208351</v>
      </c>
      <c r="B4250">
        <v>105</v>
      </c>
      <c r="C4250" t="s">
        <v>557</v>
      </c>
      <c r="D4250" t="s">
        <v>3328</v>
      </c>
      <c r="E4250" t="s">
        <v>3517</v>
      </c>
      <c r="F4250" s="451">
        <v>46058</v>
      </c>
      <c r="G4250">
        <v>19790</v>
      </c>
      <c r="H4250" t="s">
        <v>5073</v>
      </c>
      <c r="I4250" t="s">
        <v>5191</v>
      </c>
      <c r="J4250">
        <v>2</v>
      </c>
      <c r="K4250" t="s">
        <v>4744</v>
      </c>
      <c r="L4250">
        <v>87.5</v>
      </c>
      <c r="M4250">
        <v>43.75</v>
      </c>
      <c r="N4250" t="s">
        <v>5272</v>
      </c>
      <c r="O4250" t="s">
        <v>460</v>
      </c>
    </row>
    <row r="4251" spans="1:15" x14ac:dyDescent="0.3">
      <c r="A4251">
        <v>208351</v>
      </c>
      <c r="B4251">
        <v>105</v>
      </c>
      <c r="C4251" t="s">
        <v>557</v>
      </c>
      <c r="D4251" t="s">
        <v>3328</v>
      </c>
      <c r="E4251" t="s">
        <v>3517</v>
      </c>
      <c r="F4251" s="451">
        <v>46058</v>
      </c>
      <c r="G4251">
        <v>23335</v>
      </c>
      <c r="H4251" t="s">
        <v>4961</v>
      </c>
      <c r="I4251" t="s">
        <v>5191</v>
      </c>
      <c r="J4251">
        <v>1.2</v>
      </c>
      <c r="K4251" t="s">
        <v>4744</v>
      </c>
      <c r="L4251">
        <v>30</v>
      </c>
      <c r="M4251">
        <v>25</v>
      </c>
      <c r="N4251" t="s">
        <v>5272</v>
      </c>
      <c r="O4251" t="s">
        <v>460</v>
      </c>
    </row>
    <row r="4252" spans="1:15" x14ac:dyDescent="0.3">
      <c r="A4252">
        <v>208351</v>
      </c>
      <c r="B4252">
        <v>105</v>
      </c>
      <c r="C4252" t="s">
        <v>557</v>
      </c>
      <c r="D4252" t="s">
        <v>3328</v>
      </c>
      <c r="E4252" t="s">
        <v>3517</v>
      </c>
      <c r="F4252" s="451">
        <v>46058</v>
      </c>
      <c r="G4252">
        <v>23385</v>
      </c>
      <c r="H4252" t="s">
        <v>4938</v>
      </c>
      <c r="I4252" t="s">
        <v>5191</v>
      </c>
      <c r="J4252">
        <v>1</v>
      </c>
      <c r="K4252" t="s">
        <v>4744</v>
      </c>
      <c r="L4252">
        <v>31.25</v>
      </c>
      <c r="M4252">
        <v>31.25</v>
      </c>
      <c r="N4252" t="s">
        <v>5272</v>
      </c>
      <c r="O4252" t="s">
        <v>460</v>
      </c>
    </row>
    <row r="4253" spans="1:15" x14ac:dyDescent="0.3">
      <c r="A4253">
        <v>208351</v>
      </c>
      <c r="B4253">
        <v>105</v>
      </c>
      <c r="C4253" t="s">
        <v>557</v>
      </c>
      <c r="D4253" t="s">
        <v>3328</v>
      </c>
      <c r="E4253" t="s">
        <v>3517</v>
      </c>
      <c r="F4253" s="451">
        <v>46058</v>
      </c>
      <c r="G4253">
        <v>23184</v>
      </c>
      <c r="H4253" t="s">
        <v>4935</v>
      </c>
      <c r="I4253" t="s">
        <v>5191</v>
      </c>
      <c r="J4253">
        <v>2</v>
      </c>
      <c r="K4253" t="s">
        <v>4744</v>
      </c>
      <c r="L4253">
        <v>19.600000000000001</v>
      </c>
      <c r="M4253">
        <v>9.8000000000000007</v>
      </c>
      <c r="N4253" t="s">
        <v>5272</v>
      </c>
      <c r="O4253" t="s">
        <v>460</v>
      </c>
    </row>
    <row r="4254" spans="1:15" x14ac:dyDescent="0.3">
      <c r="A4254">
        <v>208350</v>
      </c>
      <c r="B4254">
        <v>105</v>
      </c>
      <c r="C4254" t="s">
        <v>557</v>
      </c>
      <c r="D4254" t="s">
        <v>2577</v>
      </c>
      <c r="E4254" t="s">
        <v>3518</v>
      </c>
      <c r="F4254" s="451">
        <v>46065</v>
      </c>
      <c r="G4254">
        <v>24497</v>
      </c>
      <c r="H4254" t="s">
        <v>5231</v>
      </c>
      <c r="I4254" t="s">
        <v>5232</v>
      </c>
      <c r="J4254">
        <v>2</v>
      </c>
      <c r="K4254" t="s">
        <v>4736</v>
      </c>
      <c r="L4254">
        <v>139.02000000000001</v>
      </c>
      <c r="M4254">
        <v>69.510000000000005</v>
      </c>
      <c r="N4254" t="s">
        <v>5288</v>
      </c>
      <c r="O4254" t="s">
        <v>460</v>
      </c>
    </row>
    <row r="4255" spans="1:15" x14ac:dyDescent="0.3">
      <c r="A4255">
        <v>208349</v>
      </c>
      <c r="B4255">
        <v>105</v>
      </c>
      <c r="C4255" t="s">
        <v>557</v>
      </c>
      <c r="D4255" t="s">
        <v>2864</v>
      </c>
      <c r="E4255" t="s">
        <v>3519</v>
      </c>
      <c r="F4255" s="451">
        <v>46056</v>
      </c>
      <c r="G4255">
        <v>21433</v>
      </c>
      <c r="H4255" t="s">
        <v>5250</v>
      </c>
      <c r="I4255" t="s">
        <v>5188</v>
      </c>
      <c r="J4255">
        <v>1</v>
      </c>
      <c r="K4255" t="s">
        <v>4738</v>
      </c>
      <c r="L4255">
        <v>96</v>
      </c>
      <c r="M4255">
        <v>96</v>
      </c>
      <c r="N4255" t="s">
        <v>5191</v>
      </c>
      <c r="O4255" t="s">
        <v>460</v>
      </c>
    </row>
    <row r="4256" spans="1:15" x14ac:dyDescent="0.3">
      <c r="A4256">
        <v>208349</v>
      </c>
      <c r="B4256">
        <v>105</v>
      </c>
      <c r="C4256" t="s">
        <v>557</v>
      </c>
      <c r="D4256" t="s">
        <v>2864</v>
      </c>
      <c r="E4256" t="s">
        <v>3519</v>
      </c>
      <c r="F4256" s="451">
        <v>46056</v>
      </c>
      <c r="G4256">
        <v>17504</v>
      </c>
      <c r="H4256" t="s">
        <v>5260</v>
      </c>
      <c r="I4256" t="s">
        <v>5205</v>
      </c>
      <c r="J4256">
        <v>3</v>
      </c>
      <c r="K4256" t="s">
        <v>4736</v>
      </c>
      <c r="L4256">
        <v>68.069999999999993</v>
      </c>
      <c r="M4256">
        <v>22.69</v>
      </c>
      <c r="N4256" t="s">
        <v>5191</v>
      </c>
      <c r="O4256" t="s">
        <v>460</v>
      </c>
    </row>
    <row r="4257" spans="1:15" x14ac:dyDescent="0.3">
      <c r="A4257">
        <v>208348</v>
      </c>
      <c r="B4257">
        <v>105</v>
      </c>
      <c r="C4257" t="s">
        <v>557</v>
      </c>
      <c r="D4257" t="s">
        <v>2644</v>
      </c>
      <c r="E4257" t="s">
        <v>3520</v>
      </c>
      <c r="F4257" s="451">
        <v>46056</v>
      </c>
      <c r="G4257">
        <v>20382</v>
      </c>
      <c r="H4257" t="s">
        <v>4780</v>
      </c>
      <c r="I4257" t="s">
        <v>5191</v>
      </c>
      <c r="J4257">
        <v>8</v>
      </c>
      <c r="K4257" t="s">
        <v>5238</v>
      </c>
      <c r="L4257">
        <v>71.92</v>
      </c>
      <c r="M4257">
        <v>8.99</v>
      </c>
      <c r="O4257" t="s">
        <v>460</v>
      </c>
    </row>
    <row r="4258" spans="1:15" x14ac:dyDescent="0.3">
      <c r="A4258">
        <v>208348</v>
      </c>
      <c r="B4258">
        <v>105</v>
      </c>
      <c r="C4258" t="s">
        <v>557</v>
      </c>
      <c r="D4258" t="s">
        <v>2644</v>
      </c>
      <c r="E4258" t="s">
        <v>3520</v>
      </c>
      <c r="F4258" s="451">
        <v>46056</v>
      </c>
      <c r="G4258">
        <v>24574</v>
      </c>
      <c r="H4258" t="s">
        <v>5134</v>
      </c>
      <c r="I4258" t="s">
        <v>5191</v>
      </c>
      <c r="J4258">
        <v>4</v>
      </c>
      <c r="K4258" t="s">
        <v>4736</v>
      </c>
      <c r="L4258">
        <v>79.599999999999994</v>
      </c>
      <c r="M4258">
        <v>19.899999999999999</v>
      </c>
      <c r="O4258" t="s">
        <v>460</v>
      </c>
    </row>
    <row r="4259" spans="1:15" x14ac:dyDescent="0.3">
      <c r="A4259">
        <v>208347</v>
      </c>
      <c r="B4259">
        <v>105</v>
      </c>
      <c r="C4259" t="s">
        <v>557</v>
      </c>
      <c r="D4259" t="s">
        <v>2864</v>
      </c>
      <c r="E4259" t="s">
        <v>3521</v>
      </c>
      <c r="F4259" s="451">
        <v>46062</v>
      </c>
      <c r="G4259">
        <v>20382</v>
      </c>
      <c r="H4259" t="s">
        <v>4780</v>
      </c>
      <c r="I4259" t="s">
        <v>5191</v>
      </c>
      <c r="J4259">
        <v>17</v>
      </c>
      <c r="K4259" t="s">
        <v>5238</v>
      </c>
      <c r="L4259">
        <v>152.83000000000001</v>
      </c>
      <c r="M4259">
        <v>8.99</v>
      </c>
      <c r="N4259" t="s">
        <v>5272</v>
      </c>
      <c r="O4259" t="s">
        <v>460</v>
      </c>
    </row>
    <row r="4260" spans="1:15" x14ac:dyDescent="0.3">
      <c r="A4260">
        <v>208347</v>
      </c>
      <c r="B4260">
        <v>105</v>
      </c>
      <c r="C4260" t="s">
        <v>557</v>
      </c>
      <c r="D4260" t="s">
        <v>2864</v>
      </c>
      <c r="E4260" t="s">
        <v>3521</v>
      </c>
      <c r="F4260" s="451">
        <v>46062</v>
      </c>
      <c r="G4260">
        <v>23934</v>
      </c>
      <c r="H4260" t="s">
        <v>4845</v>
      </c>
      <c r="I4260" t="s">
        <v>5191</v>
      </c>
      <c r="J4260">
        <v>5</v>
      </c>
      <c r="K4260" t="s">
        <v>4736</v>
      </c>
      <c r="L4260">
        <v>54.5</v>
      </c>
      <c r="M4260">
        <v>10.9</v>
      </c>
      <c r="N4260" t="s">
        <v>5272</v>
      </c>
      <c r="O4260" t="s">
        <v>460</v>
      </c>
    </row>
    <row r="4261" spans="1:15" x14ac:dyDescent="0.3">
      <c r="A4261">
        <v>208346</v>
      </c>
      <c r="B4261">
        <v>105</v>
      </c>
      <c r="C4261" t="s">
        <v>557</v>
      </c>
      <c r="D4261" t="s">
        <v>2571</v>
      </c>
      <c r="E4261" t="s">
        <v>3522</v>
      </c>
      <c r="F4261" s="451">
        <v>46059</v>
      </c>
      <c r="G4261">
        <v>20358</v>
      </c>
      <c r="H4261" t="s">
        <v>4911</v>
      </c>
      <c r="I4261" t="s">
        <v>5191</v>
      </c>
      <c r="J4261">
        <v>2</v>
      </c>
      <c r="K4261" t="s">
        <v>4738</v>
      </c>
      <c r="L4261">
        <v>28.46</v>
      </c>
      <c r="M4261">
        <v>14.23</v>
      </c>
      <c r="N4261" t="s">
        <v>5272</v>
      </c>
      <c r="O4261" t="s">
        <v>460</v>
      </c>
    </row>
    <row r="4262" spans="1:15" x14ac:dyDescent="0.3">
      <c r="A4262">
        <v>208346</v>
      </c>
      <c r="B4262">
        <v>105</v>
      </c>
      <c r="C4262" t="s">
        <v>557</v>
      </c>
      <c r="D4262" t="s">
        <v>2571</v>
      </c>
      <c r="E4262" t="s">
        <v>3522</v>
      </c>
      <c r="F4262" s="451">
        <v>46059</v>
      </c>
      <c r="G4262">
        <v>19434</v>
      </c>
      <c r="H4262" t="s">
        <v>5078</v>
      </c>
      <c r="I4262" t="s">
        <v>5191</v>
      </c>
      <c r="J4262">
        <v>1</v>
      </c>
      <c r="K4262" t="s">
        <v>5242</v>
      </c>
      <c r="L4262">
        <v>23.2</v>
      </c>
      <c r="M4262">
        <v>23.2</v>
      </c>
      <c r="N4262" t="s">
        <v>5272</v>
      </c>
      <c r="O4262" t="s">
        <v>460</v>
      </c>
    </row>
    <row r="4263" spans="1:15" x14ac:dyDescent="0.3">
      <c r="A4263">
        <v>208346</v>
      </c>
      <c r="B4263">
        <v>105</v>
      </c>
      <c r="C4263" t="s">
        <v>557</v>
      </c>
      <c r="D4263" t="s">
        <v>2571</v>
      </c>
      <c r="E4263" t="s">
        <v>3522</v>
      </c>
      <c r="F4263" s="451">
        <v>46059</v>
      </c>
      <c r="G4263">
        <v>20644</v>
      </c>
      <c r="H4263" t="s">
        <v>5016</v>
      </c>
      <c r="I4263" t="s">
        <v>5191</v>
      </c>
      <c r="J4263">
        <v>2</v>
      </c>
      <c r="K4263" t="s">
        <v>4736</v>
      </c>
      <c r="L4263">
        <v>7.78</v>
      </c>
      <c r="M4263">
        <v>3.89</v>
      </c>
      <c r="N4263" t="s">
        <v>5272</v>
      </c>
      <c r="O4263" t="s">
        <v>460</v>
      </c>
    </row>
    <row r="4264" spans="1:15" x14ac:dyDescent="0.3">
      <c r="A4264">
        <v>208346</v>
      </c>
      <c r="B4264">
        <v>105</v>
      </c>
      <c r="C4264" t="s">
        <v>557</v>
      </c>
      <c r="D4264" t="s">
        <v>2571</v>
      </c>
      <c r="E4264" t="s">
        <v>3522</v>
      </c>
      <c r="F4264" s="451">
        <v>46059</v>
      </c>
      <c r="G4264">
        <v>20653</v>
      </c>
      <c r="H4264" t="s">
        <v>5013</v>
      </c>
      <c r="I4264" t="s">
        <v>5191</v>
      </c>
      <c r="J4264">
        <v>1</v>
      </c>
      <c r="K4264" t="s">
        <v>4736</v>
      </c>
      <c r="L4264">
        <v>24.7</v>
      </c>
      <c r="M4264">
        <v>24.7</v>
      </c>
      <c r="N4264" t="s">
        <v>5272</v>
      </c>
      <c r="O4264" t="s">
        <v>460</v>
      </c>
    </row>
    <row r="4265" spans="1:15" x14ac:dyDescent="0.3">
      <c r="A4265">
        <v>208346</v>
      </c>
      <c r="B4265">
        <v>105</v>
      </c>
      <c r="C4265" t="s">
        <v>557</v>
      </c>
      <c r="D4265" t="s">
        <v>2571</v>
      </c>
      <c r="E4265" t="s">
        <v>3522</v>
      </c>
      <c r="F4265" s="451">
        <v>46059</v>
      </c>
      <c r="G4265">
        <v>20661</v>
      </c>
      <c r="H4265" t="s">
        <v>5012</v>
      </c>
      <c r="I4265" t="s">
        <v>5191</v>
      </c>
      <c r="J4265">
        <v>3</v>
      </c>
      <c r="K4265" t="s">
        <v>4736</v>
      </c>
      <c r="L4265">
        <v>26.28</v>
      </c>
      <c r="M4265">
        <v>8.76</v>
      </c>
      <c r="N4265" t="s">
        <v>5272</v>
      </c>
      <c r="O4265" t="s">
        <v>460</v>
      </c>
    </row>
    <row r="4266" spans="1:15" x14ac:dyDescent="0.3">
      <c r="A4266">
        <v>208346</v>
      </c>
      <c r="B4266">
        <v>105</v>
      </c>
      <c r="C4266" t="s">
        <v>557</v>
      </c>
      <c r="D4266" t="s">
        <v>2571</v>
      </c>
      <c r="E4266" t="s">
        <v>3522</v>
      </c>
      <c r="F4266" s="451">
        <v>46059</v>
      </c>
      <c r="G4266">
        <v>20322</v>
      </c>
      <c r="H4266" t="s">
        <v>4882</v>
      </c>
      <c r="I4266" t="s">
        <v>5191</v>
      </c>
      <c r="J4266">
        <v>2</v>
      </c>
      <c r="K4266" t="s">
        <v>5238</v>
      </c>
      <c r="L4266">
        <v>21.6</v>
      </c>
      <c r="M4266">
        <v>10.8</v>
      </c>
      <c r="N4266" t="s">
        <v>5272</v>
      </c>
      <c r="O4266" t="s">
        <v>460</v>
      </c>
    </row>
    <row r="4267" spans="1:15" x14ac:dyDescent="0.3">
      <c r="A4267">
        <v>208346</v>
      </c>
      <c r="B4267">
        <v>105</v>
      </c>
      <c r="C4267" t="s">
        <v>557</v>
      </c>
      <c r="D4267" t="s">
        <v>2571</v>
      </c>
      <c r="E4267" t="s">
        <v>3522</v>
      </c>
      <c r="F4267" s="451">
        <v>46059</v>
      </c>
      <c r="G4267">
        <v>25022</v>
      </c>
      <c r="H4267" t="s">
        <v>4912</v>
      </c>
      <c r="I4267" t="s">
        <v>5191</v>
      </c>
      <c r="J4267">
        <v>3</v>
      </c>
      <c r="K4267" t="s">
        <v>4738</v>
      </c>
      <c r="L4267">
        <v>11.1</v>
      </c>
      <c r="M4267">
        <v>3.7</v>
      </c>
      <c r="N4267" t="s">
        <v>5272</v>
      </c>
      <c r="O4267" t="s">
        <v>460</v>
      </c>
    </row>
    <row r="4268" spans="1:15" x14ac:dyDescent="0.3">
      <c r="A4268">
        <v>208346</v>
      </c>
      <c r="B4268">
        <v>105</v>
      </c>
      <c r="C4268" t="s">
        <v>557</v>
      </c>
      <c r="D4268" t="s">
        <v>2571</v>
      </c>
      <c r="E4268" t="s">
        <v>3522</v>
      </c>
      <c r="F4268" s="451">
        <v>46059</v>
      </c>
      <c r="G4268">
        <v>21093</v>
      </c>
      <c r="H4268" t="s">
        <v>4855</v>
      </c>
      <c r="I4268" t="s">
        <v>5191</v>
      </c>
      <c r="J4268">
        <v>20</v>
      </c>
      <c r="K4268" t="s">
        <v>4736</v>
      </c>
      <c r="L4268">
        <v>92.8</v>
      </c>
      <c r="M4268">
        <v>4.6399999999999997</v>
      </c>
      <c r="N4268" t="s">
        <v>5272</v>
      </c>
      <c r="O4268" t="s">
        <v>460</v>
      </c>
    </row>
    <row r="4269" spans="1:15" x14ac:dyDescent="0.3">
      <c r="A4269">
        <v>208346</v>
      </c>
      <c r="B4269">
        <v>105</v>
      </c>
      <c r="C4269" t="s">
        <v>557</v>
      </c>
      <c r="D4269" t="s">
        <v>2571</v>
      </c>
      <c r="E4269" t="s">
        <v>3522</v>
      </c>
      <c r="F4269" s="451">
        <v>46059</v>
      </c>
      <c r="G4269">
        <v>19967</v>
      </c>
      <c r="H4269" t="s">
        <v>4956</v>
      </c>
      <c r="I4269" t="s">
        <v>5191</v>
      </c>
      <c r="J4269">
        <v>1</v>
      </c>
      <c r="K4269" t="s">
        <v>4848</v>
      </c>
      <c r="L4269">
        <v>49.09</v>
      </c>
      <c r="M4269">
        <v>49.09</v>
      </c>
      <c r="N4269" t="s">
        <v>5272</v>
      </c>
      <c r="O4269" t="s">
        <v>460</v>
      </c>
    </row>
    <row r="4270" spans="1:15" x14ac:dyDescent="0.3">
      <c r="A4270">
        <v>208346</v>
      </c>
      <c r="B4270">
        <v>105</v>
      </c>
      <c r="C4270" t="s">
        <v>557</v>
      </c>
      <c r="D4270" t="s">
        <v>2571</v>
      </c>
      <c r="E4270" t="s">
        <v>3522</v>
      </c>
      <c r="F4270" s="451">
        <v>46059</v>
      </c>
      <c r="G4270">
        <v>23088</v>
      </c>
      <c r="H4270" t="s">
        <v>5027</v>
      </c>
      <c r="I4270" t="s">
        <v>5191</v>
      </c>
      <c r="J4270">
        <v>2</v>
      </c>
      <c r="K4270" t="s">
        <v>4736</v>
      </c>
      <c r="L4270">
        <v>51.2</v>
      </c>
      <c r="M4270">
        <v>25.6</v>
      </c>
      <c r="N4270" t="s">
        <v>5272</v>
      </c>
      <c r="O4270" t="s">
        <v>460</v>
      </c>
    </row>
    <row r="4271" spans="1:15" x14ac:dyDescent="0.3">
      <c r="A4271">
        <v>208346</v>
      </c>
      <c r="B4271">
        <v>105</v>
      </c>
      <c r="C4271" t="s">
        <v>557</v>
      </c>
      <c r="D4271" t="s">
        <v>2571</v>
      </c>
      <c r="E4271" t="s">
        <v>3522</v>
      </c>
      <c r="F4271" s="451">
        <v>46059</v>
      </c>
      <c r="G4271">
        <v>19916</v>
      </c>
      <c r="H4271" t="s">
        <v>4826</v>
      </c>
      <c r="I4271" t="s">
        <v>5191</v>
      </c>
      <c r="J4271">
        <v>1</v>
      </c>
      <c r="K4271" t="s">
        <v>4738</v>
      </c>
      <c r="L4271">
        <v>35.299999999999997</v>
      </c>
      <c r="M4271">
        <v>35.299999999999997</v>
      </c>
      <c r="N4271" t="s">
        <v>5272</v>
      </c>
      <c r="O4271" t="s">
        <v>460</v>
      </c>
    </row>
    <row r="4272" spans="1:15" x14ac:dyDescent="0.3">
      <c r="A4272">
        <v>208346</v>
      </c>
      <c r="B4272">
        <v>105</v>
      </c>
      <c r="C4272" t="s">
        <v>557</v>
      </c>
      <c r="D4272" t="s">
        <v>2571</v>
      </c>
      <c r="E4272" t="s">
        <v>3522</v>
      </c>
      <c r="F4272" s="451">
        <v>46059</v>
      </c>
      <c r="G4272">
        <v>19421</v>
      </c>
      <c r="H4272" t="s">
        <v>4918</v>
      </c>
      <c r="I4272" t="s">
        <v>5191</v>
      </c>
      <c r="J4272">
        <v>2</v>
      </c>
      <c r="K4272" t="s">
        <v>4749</v>
      </c>
      <c r="L4272">
        <v>112.32</v>
      </c>
      <c r="M4272">
        <v>56.16</v>
      </c>
      <c r="N4272" t="s">
        <v>5272</v>
      </c>
      <c r="O4272" t="s">
        <v>460</v>
      </c>
    </row>
    <row r="4273" spans="1:15" x14ac:dyDescent="0.3">
      <c r="A4273">
        <v>208346</v>
      </c>
      <c r="B4273">
        <v>105</v>
      </c>
      <c r="C4273" t="s">
        <v>557</v>
      </c>
      <c r="D4273" t="s">
        <v>2571</v>
      </c>
      <c r="E4273" t="s">
        <v>3522</v>
      </c>
      <c r="F4273" s="451">
        <v>46059</v>
      </c>
      <c r="G4273">
        <v>20057</v>
      </c>
      <c r="H4273" t="s">
        <v>4949</v>
      </c>
      <c r="I4273" t="s">
        <v>5191</v>
      </c>
      <c r="J4273">
        <v>1</v>
      </c>
      <c r="K4273" t="s">
        <v>4848</v>
      </c>
      <c r="L4273">
        <v>42.18</v>
      </c>
      <c r="M4273">
        <v>42.18</v>
      </c>
      <c r="N4273" t="s">
        <v>5272</v>
      </c>
      <c r="O4273" t="s">
        <v>460</v>
      </c>
    </row>
    <row r="4274" spans="1:15" x14ac:dyDescent="0.3">
      <c r="A4274">
        <v>208346</v>
      </c>
      <c r="B4274">
        <v>105</v>
      </c>
      <c r="C4274" t="s">
        <v>557</v>
      </c>
      <c r="D4274" t="s">
        <v>2571</v>
      </c>
      <c r="E4274" t="s">
        <v>3522</v>
      </c>
      <c r="F4274" s="451">
        <v>46059</v>
      </c>
      <c r="G4274">
        <v>19906</v>
      </c>
      <c r="H4274" t="s">
        <v>5159</v>
      </c>
      <c r="I4274" t="s">
        <v>5191</v>
      </c>
      <c r="J4274">
        <v>1</v>
      </c>
      <c r="K4274" t="s">
        <v>4738</v>
      </c>
      <c r="L4274">
        <v>33.6</v>
      </c>
      <c r="M4274">
        <v>33.6</v>
      </c>
      <c r="N4274" t="s">
        <v>5272</v>
      </c>
      <c r="O4274" t="s">
        <v>460</v>
      </c>
    </row>
    <row r="4275" spans="1:15" x14ac:dyDescent="0.3">
      <c r="A4275">
        <v>208345</v>
      </c>
      <c r="B4275">
        <v>105</v>
      </c>
      <c r="C4275" t="s">
        <v>557</v>
      </c>
      <c r="D4275" t="s">
        <v>2569</v>
      </c>
      <c r="E4275" t="s">
        <v>3523</v>
      </c>
      <c r="F4275" s="451">
        <v>46063</v>
      </c>
      <c r="G4275">
        <v>17958</v>
      </c>
      <c r="H4275" t="s">
        <v>5076</v>
      </c>
      <c r="I4275" t="s">
        <v>5222</v>
      </c>
      <c r="J4275">
        <v>12</v>
      </c>
      <c r="K4275" t="s">
        <v>4738</v>
      </c>
      <c r="L4275">
        <v>212.4</v>
      </c>
      <c r="M4275">
        <v>17.7</v>
      </c>
      <c r="N4275" t="s">
        <v>5222</v>
      </c>
      <c r="O4275" t="s">
        <v>460</v>
      </c>
    </row>
    <row r="4276" spans="1:15" x14ac:dyDescent="0.3">
      <c r="A4276">
        <v>208345</v>
      </c>
      <c r="B4276">
        <v>105</v>
      </c>
      <c r="C4276" t="s">
        <v>557</v>
      </c>
      <c r="D4276" t="s">
        <v>2569</v>
      </c>
      <c r="E4276" t="s">
        <v>3523</v>
      </c>
      <c r="F4276" s="451">
        <v>46063</v>
      </c>
      <c r="G4276">
        <v>17950</v>
      </c>
      <c r="H4276" t="s">
        <v>5091</v>
      </c>
      <c r="I4276" t="s">
        <v>5222</v>
      </c>
      <c r="J4276">
        <v>12</v>
      </c>
      <c r="K4276" t="s">
        <v>4738</v>
      </c>
      <c r="L4276">
        <v>224.4</v>
      </c>
      <c r="M4276">
        <v>18.7</v>
      </c>
      <c r="N4276" t="s">
        <v>5222</v>
      </c>
      <c r="O4276" t="s">
        <v>460</v>
      </c>
    </row>
    <row r="4277" spans="1:15" x14ac:dyDescent="0.3">
      <c r="A4277">
        <v>208344</v>
      </c>
      <c r="B4277">
        <v>105</v>
      </c>
      <c r="C4277" t="s">
        <v>557</v>
      </c>
      <c r="D4277" t="s">
        <v>2563</v>
      </c>
      <c r="E4277" t="s">
        <v>3524</v>
      </c>
      <c r="F4277" s="451">
        <v>46063</v>
      </c>
      <c r="G4277">
        <v>24083</v>
      </c>
      <c r="H4277" t="s">
        <v>5165</v>
      </c>
      <c r="I4277" t="s">
        <v>5191</v>
      </c>
      <c r="J4277">
        <v>40</v>
      </c>
      <c r="K4277" t="s">
        <v>4744</v>
      </c>
      <c r="L4277">
        <v>162.4</v>
      </c>
      <c r="M4277">
        <v>4.0599999999999996</v>
      </c>
      <c r="N4277" t="s">
        <v>5272</v>
      </c>
      <c r="O4277" t="s">
        <v>460</v>
      </c>
    </row>
    <row r="4278" spans="1:15" x14ac:dyDescent="0.3">
      <c r="A4278">
        <v>208344</v>
      </c>
      <c r="B4278">
        <v>105</v>
      </c>
      <c r="C4278" t="s">
        <v>557</v>
      </c>
      <c r="D4278" t="s">
        <v>2563</v>
      </c>
      <c r="E4278" t="s">
        <v>3524</v>
      </c>
      <c r="F4278" s="451">
        <v>46063</v>
      </c>
      <c r="G4278">
        <v>19480</v>
      </c>
      <c r="H4278" t="s">
        <v>5119</v>
      </c>
      <c r="I4278" t="s">
        <v>5191</v>
      </c>
      <c r="J4278">
        <v>0.4</v>
      </c>
      <c r="K4278" t="s">
        <v>4744</v>
      </c>
      <c r="L4278">
        <v>6.96</v>
      </c>
      <c r="M4278">
        <v>17.399999999999999</v>
      </c>
      <c r="N4278" t="s">
        <v>5272</v>
      </c>
      <c r="O4278" t="s">
        <v>460</v>
      </c>
    </row>
    <row r="4279" spans="1:15" x14ac:dyDescent="0.3">
      <c r="A4279">
        <v>208344</v>
      </c>
      <c r="B4279">
        <v>105</v>
      </c>
      <c r="C4279" t="s">
        <v>557</v>
      </c>
      <c r="D4279" t="s">
        <v>2563</v>
      </c>
      <c r="E4279" t="s">
        <v>3524</v>
      </c>
      <c r="F4279" s="451">
        <v>46063</v>
      </c>
      <c r="G4279">
        <v>24598</v>
      </c>
      <c r="H4279" t="s">
        <v>4852</v>
      </c>
      <c r="I4279" t="s">
        <v>5191</v>
      </c>
      <c r="J4279">
        <v>1</v>
      </c>
      <c r="K4279" t="s">
        <v>4744</v>
      </c>
      <c r="L4279">
        <v>9.93</v>
      </c>
      <c r="M4279">
        <v>9.93</v>
      </c>
      <c r="N4279" t="s">
        <v>5272</v>
      </c>
      <c r="O4279" t="s">
        <v>460</v>
      </c>
    </row>
    <row r="4280" spans="1:15" x14ac:dyDescent="0.3">
      <c r="A4280">
        <v>208343</v>
      </c>
      <c r="B4280">
        <v>105</v>
      </c>
      <c r="C4280" t="s">
        <v>557</v>
      </c>
      <c r="D4280" t="s">
        <v>2563</v>
      </c>
      <c r="E4280" t="s">
        <v>3525</v>
      </c>
      <c r="F4280" s="451">
        <v>46058</v>
      </c>
      <c r="G4280">
        <v>19634</v>
      </c>
      <c r="H4280" t="s">
        <v>4792</v>
      </c>
      <c r="I4280" t="s">
        <v>5191</v>
      </c>
      <c r="J4280">
        <v>4</v>
      </c>
      <c r="K4280" t="s">
        <v>4744</v>
      </c>
      <c r="L4280">
        <v>29</v>
      </c>
      <c r="M4280">
        <v>7.25</v>
      </c>
      <c r="N4280" t="s">
        <v>5272</v>
      </c>
      <c r="O4280" t="s">
        <v>460</v>
      </c>
    </row>
    <row r="4281" spans="1:15" x14ac:dyDescent="0.3">
      <c r="A4281">
        <v>208343</v>
      </c>
      <c r="B4281">
        <v>105</v>
      </c>
      <c r="C4281" t="s">
        <v>557</v>
      </c>
      <c r="D4281" t="s">
        <v>2563</v>
      </c>
      <c r="E4281" t="s">
        <v>3525</v>
      </c>
      <c r="F4281" s="451">
        <v>46058</v>
      </c>
      <c r="G4281">
        <v>19526</v>
      </c>
      <c r="H4281" t="s">
        <v>4997</v>
      </c>
      <c r="I4281" t="s">
        <v>5191</v>
      </c>
      <c r="J4281">
        <v>1</v>
      </c>
      <c r="K4281" t="s">
        <v>4744</v>
      </c>
      <c r="L4281">
        <v>46.4</v>
      </c>
      <c r="M4281">
        <v>46.4</v>
      </c>
      <c r="N4281" t="s">
        <v>5272</v>
      </c>
      <c r="O4281" t="s">
        <v>460</v>
      </c>
    </row>
    <row r="4282" spans="1:15" x14ac:dyDescent="0.3">
      <c r="A4282">
        <v>208343</v>
      </c>
      <c r="B4282">
        <v>105</v>
      </c>
      <c r="C4282" t="s">
        <v>557</v>
      </c>
      <c r="D4282" t="s">
        <v>2563</v>
      </c>
      <c r="E4282" t="s">
        <v>3525</v>
      </c>
      <c r="F4282" s="451">
        <v>46058</v>
      </c>
      <c r="G4282">
        <v>19480</v>
      </c>
      <c r="H4282" t="s">
        <v>5119</v>
      </c>
      <c r="I4282" t="s">
        <v>5191</v>
      </c>
      <c r="J4282">
        <v>0.4</v>
      </c>
      <c r="K4282" t="s">
        <v>4744</v>
      </c>
      <c r="L4282">
        <v>6.96</v>
      </c>
      <c r="M4282">
        <v>17.399999999999999</v>
      </c>
      <c r="N4282" t="s">
        <v>5272</v>
      </c>
      <c r="O4282" t="s">
        <v>460</v>
      </c>
    </row>
    <row r="4283" spans="1:15" x14ac:dyDescent="0.3">
      <c r="A4283">
        <v>208343</v>
      </c>
      <c r="B4283">
        <v>105</v>
      </c>
      <c r="C4283" t="s">
        <v>557</v>
      </c>
      <c r="D4283" t="s">
        <v>2563</v>
      </c>
      <c r="E4283" t="s">
        <v>3525</v>
      </c>
      <c r="F4283" s="451">
        <v>46058</v>
      </c>
      <c r="G4283">
        <v>19551</v>
      </c>
      <c r="H4283" t="s">
        <v>4905</v>
      </c>
      <c r="I4283" t="s">
        <v>5191</v>
      </c>
      <c r="J4283">
        <v>2</v>
      </c>
      <c r="K4283" t="s">
        <v>4744</v>
      </c>
      <c r="L4283">
        <v>29</v>
      </c>
      <c r="M4283">
        <v>14.5</v>
      </c>
      <c r="N4283" t="s">
        <v>5272</v>
      </c>
      <c r="O4283" t="s">
        <v>460</v>
      </c>
    </row>
    <row r="4284" spans="1:15" x14ac:dyDescent="0.3">
      <c r="A4284">
        <v>208343</v>
      </c>
      <c r="B4284">
        <v>105</v>
      </c>
      <c r="C4284" t="s">
        <v>557</v>
      </c>
      <c r="D4284" t="s">
        <v>2563</v>
      </c>
      <c r="E4284" t="s">
        <v>3525</v>
      </c>
      <c r="F4284" s="451">
        <v>46058</v>
      </c>
      <c r="G4284">
        <v>19572</v>
      </c>
      <c r="H4284" t="s">
        <v>4989</v>
      </c>
      <c r="I4284" t="s">
        <v>5191</v>
      </c>
      <c r="J4284">
        <v>2</v>
      </c>
      <c r="K4284" t="s">
        <v>4744</v>
      </c>
      <c r="L4284">
        <v>36.979999999999997</v>
      </c>
      <c r="M4284">
        <v>18.489999999999998</v>
      </c>
      <c r="N4284" t="s">
        <v>5272</v>
      </c>
      <c r="O4284" t="s">
        <v>460</v>
      </c>
    </row>
    <row r="4285" spans="1:15" x14ac:dyDescent="0.3">
      <c r="A4285">
        <v>208343</v>
      </c>
      <c r="B4285">
        <v>105</v>
      </c>
      <c r="C4285" t="s">
        <v>557</v>
      </c>
      <c r="D4285" t="s">
        <v>2563</v>
      </c>
      <c r="E4285" t="s">
        <v>3525</v>
      </c>
      <c r="F4285" s="451">
        <v>46058</v>
      </c>
      <c r="G4285">
        <v>19622</v>
      </c>
      <c r="H4285" t="s">
        <v>4915</v>
      </c>
      <c r="I4285" t="s">
        <v>5191</v>
      </c>
      <c r="J4285">
        <v>1</v>
      </c>
      <c r="K4285" t="s">
        <v>4744</v>
      </c>
      <c r="L4285">
        <v>3.26</v>
      </c>
      <c r="M4285">
        <v>3.26</v>
      </c>
      <c r="N4285" t="s">
        <v>5272</v>
      </c>
      <c r="O4285" t="s">
        <v>460</v>
      </c>
    </row>
    <row r="4286" spans="1:15" x14ac:dyDescent="0.3">
      <c r="A4286">
        <v>208343</v>
      </c>
      <c r="B4286">
        <v>105</v>
      </c>
      <c r="C4286" t="s">
        <v>557</v>
      </c>
      <c r="D4286" t="s">
        <v>2563</v>
      </c>
      <c r="E4286" t="s">
        <v>3525</v>
      </c>
      <c r="F4286" s="451">
        <v>46058</v>
      </c>
      <c r="G4286">
        <v>23238</v>
      </c>
      <c r="H4286" t="s">
        <v>4934</v>
      </c>
      <c r="I4286" t="s">
        <v>5191</v>
      </c>
      <c r="J4286">
        <v>1.5</v>
      </c>
      <c r="K4286" t="s">
        <v>4744</v>
      </c>
      <c r="L4286">
        <v>45.67</v>
      </c>
      <c r="M4286">
        <v>30.446667000000001</v>
      </c>
      <c r="N4286" t="s">
        <v>5272</v>
      </c>
      <c r="O4286" t="s">
        <v>460</v>
      </c>
    </row>
    <row r="4287" spans="1:15" x14ac:dyDescent="0.3">
      <c r="A4287">
        <v>208343</v>
      </c>
      <c r="B4287">
        <v>105</v>
      </c>
      <c r="C4287" t="s">
        <v>557</v>
      </c>
      <c r="D4287" t="s">
        <v>2563</v>
      </c>
      <c r="E4287" t="s">
        <v>3525</v>
      </c>
      <c r="F4287" s="451">
        <v>46058</v>
      </c>
      <c r="G4287">
        <v>19632</v>
      </c>
      <c r="H4287" t="s">
        <v>4936</v>
      </c>
      <c r="I4287" t="s">
        <v>5191</v>
      </c>
      <c r="J4287">
        <v>2</v>
      </c>
      <c r="K4287" t="s">
        <v>4744</v>
      </c>
      <c r="L4287">
        <v>6.52</v>
      </c>
      <c r="M4287">
        <v>3.26</v>
      </c>
      <c r="N4287" t="s">
        <v>5272</v>
      </c>
      <c r="O4287" t="s">
        <v>460</v>
      </c>
    </row>
    <row r="4288" spans="1:15" x14ac:dyDescent="0.3">
      <c r="A4288">
        <v>208342</v>
      </c>
      <c r="B4288">
        <v>105</v>
      </c>
      <c r="C4288" t="s">
        <v>557</v>
      </c>
      <c r="D4288" t="s">
        <v>2605</v>
      </c>
      <c r="E4288" t="s">
        <v>3526</v>
      </c>
      <c r="F4288" s="451">
        <v>46059</v>
      </c>
      <c r="G4288">
        <v>22721</v>
      </c>
      <c r="H4288" t="s">
        <v>4803</v>
      </c>
      <c r="I4288" t="s">
        <v>5191</v>
      </c>
      <c r="J4288">
        <v>10.9</v>
      </c>
      <c r="K4288" t="s">
        <v>4744</v>
      </c>
      <c r="L4288">
        <v>308.47000000000003</v>
      </c>
      <c r="M4288">
        <v>28.3</v>
      </c>
      <c r="N4288" t="s">
        <v>5272</v>
      </c>
      <c r="O4288" t="s">
        <v>460</v>
      </c>
    </row>
    <row r="4289" spans="1:15" x14ac:dyDescent="0.3">
      <c r="A4289">
        <v>208341</v>
      </c>
      <c r="B4289">
        <v>105</v>
      </c>
      <c r="C4289" t="s">
        <v>557</v>
      </c>
      <c r="D4289" t="s">
        <v>2605</v>
      </c>
      <c r="E4289" t="s">
        <v>3527</v>
      </c>
      <c r="F4289" s="451">
        <v>46062</v>
      </c>
      <c r="G4289">
        <v>20242</v>
      </c>
      <c r="H4289" t="s">
        <v>4824</v>
      </c>
      <c r="I4289" t="s">
        <v>5191</v>
      </c>
      <c r="J4289">
        <v>5</v>
      </c>
      <c r="K4289" t="s">
        <v>4738</v>
      </c>
      <c r="L4289">
        <v>70.5</v>
      </c>
      <c r="M4289">
        <v>14.1</v>
      </c>
      <c r="N4289" t="s">
        <v>5272</v>
      </c>
      <c r="O4289" t="s">
        <v>460</v>
      </c>
    </row>
    <row r="4290" spans="1:15" x14ac:dyDescent="0.3">
      <c r="A4290">
        <v>208341</v>
      </c>
      <c r="B4290">
        <v>105</v>
      </c>
      <c r="C4290" t="s">
        <v>557</v>
      </c>
      <c r="D4290" t="s">
        <v>2605</v>
      </c>
      <c r="E4290" t="s">
        <v>3527</v>
      </c>
      <c r="F4290" s="451">
        <v>46062</v>
      </c>
      <c r="G4290">
        <v>20809</v>
      </c>
      <c r="H4290" t="s">
        <v>4822</v>
      </c>
      <c r="I4290" t="s">
        <v>5191</v>
      </c>
      <c r="J4290">
        <v>8</v>
      </c>
      <c r="K4290" t="s">
        <v>4738</v>
      </c>
      <c r="L4290">
        <v>255.2</v>
      </c>
      <c r="M4290">
        <v>31.9</v>
      </c>
      <c r="N4290" t="s">
        <v>5272</v>
      </c>
      <c r="O4290" t="s">
        <v>460</v>
      </c>
    </row>
    <row r="4291" spans="1:15" x14ac:dyDescent="0.3">
      <c r="A4291">
        <v>208341</v>
      </c>
      <c r="B4291">
        <v>105</v>
      </c>
      <c r="C4291" t="s">
        <v>557</v>
      </c>
      <c r="D4291" t="s">
        <v>2605</v>
      </c>
      <c r="E4291" t="s">
        <v>3527</v>
      </c>
      <c r="F4291" s="451">
        <v>46062</v>
      </c>
      <c r="G4291">
        <v>19710</v>
      </c>
      <c r="H4291" t="s">
        <v>4963</v>
      </c>
      <c r="I4291" t="s">
        <v>5191</v>
      </c>
      <c r="J4291">
        <v>1</v>
      </c>
      <c r="K4291" t="s">
        <v>5228</v>
      </c>
      <c r="L4291">
        <v>21.5</v>
      </c>
      <c r="M4291">
        <v>21.5</v>
      </c>
      <c r="N4291" t="s">
        <v>5272</v>
      </c>
      <c r="O4291" t="s">
        <v>460</v>
      </c>
    </row>
    <row r="4292" spans="1:15" x14ac:dyDescent="0.3">
      <c r="A4292">
        <v>208341</v>
      </c>
      <c r="B4292">
        <v>105</v>
      </c>
      <c r="C4292" t="s">
        <v>557</v>
      </c>
      <c r="D4292" t="s">
        <v>2605</v>
      </c>
      <c r="E4292" t="s">
        <v>3527</v>
      </c>
      <c r="F4292" s="451">
        <v>46062</v>
      </c>
      <c r="G4292">
        <v>19969</v>
      </c>
      <c r="H4292" t="s">
        <v>5018</v>
      </c>
      <c r="I4292" t="s">
        <v>5191</v>
      </c>
      <c r="J4292">
        <v>1</v>
      </c>
      <c r="K4292" t="s">
        <v>4888</v>
      </c>
      <c r="L4292">
        <v>10.1</v>
      </c>
      <c r="M4292">
        <v>10.1</v>
      </c>
      <c r="N4292" t="s">
        <v>5272</v>
      </c>
      <c r="O4292" t="s">
        <v>460</v>
      </c>
    </row>
    <row r="4293" spans="1:15" x14ac:dyDescent="0.3">
      <c r="A4293">
        <v>208341</v>
      </c>
      <c r="B4293">
        <v>105</v>
      </c>
      <c r="C4293" t="s">
        <v>557</v>
      </c>
      <c r="D4293" t="s">
        <v>2605</v>
      </c>
      <c r="E4293" t="s">
        <v>3527</v>
      </c>
      <c r="F4293" s="451">
        <v>46062</v>
      </c>
      <c r="G4293">
        <v>25358</v>
      </c>
      <c r="H4293" t="s">
        <v>4980</v>
      </c>
      <c r="I4293" t="s">
        <v>5191</v>
      </c>
      <c r="J4293">
        <v>1</v>
      </c>
      <c r="K4293" t="s">
        <v>5238</v>
      </c>
      <c r="L4293">
        <v>78</v>
      </c>
      <c r="M4293">
        <v>78</v>
      </c>
      <c r="N4293" t="s">
        <v>5272</v>
      </c>
      <c r="O4293" t="s">
        <v>460</v>
      </c>
    </row>
    <row r="4294" spans="1:15" x14ac:dyDescent="0.3">
      <c r="A4294">
        <v>208341</v>
      </c>
      <c r="B4294">
        <v>105</v>
      </c>
      <c r="C4294" t="s">
        <v>557</v>
      </c>
      <c r="D4294" t="s">
        <v>2605</v>
      </c>
      <c r="E4294" t="s">
        <v>3527</v>
      </c>
      <c r="F4294" s="451">
        <v>46062</v>
      </c>
      <c r="G4294">
        <v>21060</v>
      </c>
      <c r="H4294" t="s">
        <v>4946</v>
      </c>
      <c r="I4294" t="s">
        <v>5191</v>
      </c>
      <c r="J4294">
        <v>1</v>
      </c>
      <c r="K4294" t="s">
        <v>4736</v>
      </c>
      <c r="L4294">
        <v>26.1</v>
      </c>
      <c r="M4294">
        <v>26.1</v>
      </c>
      <c r="N4294" t="s">
        <v>5272</v>
      </c>
      <c r="O4294" t="s">
        <v>460</v>
      </c>
    </row>
    <row r="4295" spans="1:15" x14ac:dyDescent="0.3">
      <c r="A4295">
        <v>208341</v>
      </c>
      <c r="B4295">
        <v>105</v>
      </c>
      <c r="C4295" t="s">
        <v>557</v>
      </c>
      <c r="D4295" t="s">
        <v>2605</v>
      </c>
      <c r="E4295" t="s">
        <v>3527</v>
      </c>
      <c r="F4295" s="451">
        <v>46062</v>
      </c>
      <c r="G4295">
        <v>20657</v>
      </c>
      <c r="H4295" t="s">
        <v>5109</v>
      </c>
      <c r="I4295" t="s">
        <v>5191</v>
      </c>
      <c r="J4295">
        <v>6</v>
      </c>
      <c r="K4295" t="s">
        <v>5206</v>
      </c>
      <c r="L4295">
        <v>38.159999999999997</v>
      </c>
      <c r="M4295">
        <v>6.36</v>
      </c>
      <c r="N4295" t="s">
        <v>5272</v>
      </c>
      <c r="O4295" t="s">
        <v>460</v>
      </c>
    </row>
    <row r="4296" spans="1:15" x14ac:dyDescent="0.3">
      <c r="A4296">
        <v>208341</v>
      </c>
      <c r="B4296">
        <v>105</v>
      </c>
      <c r="C4296" t="s">
        <v>557</v>
      </c>
      <c r="D4296" t="s">
        <v>2605</v>
      </c>
      <c r="E4296" t="s">
        <v>3527</v>
      </c>
      <c r="F4296" s="451">
        <v>46062</v>
      </c>
      <c r="G4296">
        <v>20213</v>
      </c>
      <c r="H4296" t="s">
        <v>5160</v>
      </c>
      <c r="I4296" t="s">
        <v>5191</v>
      </c>
      <c r="J4296">
        <v>1</v>
      </c>
      <c r="K4296" t="s">
        <v>5228</v>
      </c>
      <c r="L4296">
        <v>31.66</v>
      </c>
      <c r="M4296">
        <v>31.66</v>
      </c>
      <c r="N4296" t="s">
        <v>5272</v>
      </c>
      <c r="O4296" t="s">
        <v>460</v>
      </c>
    </row>
    <row r="4297" spans="1:15" x14ac:dyDescent="0.3">
      <c r="A4297">
        <v>208341</v>
      </c>
      <c r="B4297">
        <v>105</v>
      </c>
      <c r="C4297" t="s">
        <v>557</v>
      </c>
      <c r="D4297" t="s">
        <v>2605</v>
      </c>
      <c r="E4297" t="s">
        <v>3527</v>
      </c>
      <c r="F4297" s="451">
        <v>46062</v>
      </c>
      <c r="G4297">
        <v>24322</v>
      </c>
      <c r="H4297" t="s">
        <v>5064</v>
      </c>
      <c r="I4297" t="s">
        <v>5191</v>
      </c>
      <c r="J4297">
        <v>1</v>
      </c>
      <c r="K4297" t="s">
        <v>5238</v>
      </c>
      <c r="L4297">
        <v>22</v>
      </c>
      <c r="M4297">
        <v>22</v>
      </c>
      <c r="N4297" t="s">
        <v>5272</v>
      </c>
      <c r="O4297" t="s">
        <v>460</v>
      </c>
    </row>
    <row r="4298" spans="1:15" x14ac:dyDescent="0.3">
      <c r="A4298">
        <v>208341</v>
      </c>
      <c r="B4298">
        <v>105</v>
      </c>
      <c r="C4298" t="s">
        <v>557</v>
      </c>
      <c r="D4298" t="s">
        <v>2605</v>
      </c>
      <c r="E4298" t="s">
        <v>3527</v>
      </c>
      <c r="F4298" s="451">
        <v>46062</v>
      </c>
      <c r="G4298">
        <v>20673</v>
      </c>
      <c r="H4298" t="s">
        <v>5132</v>
      </c>
      <c r="I4298" t="s">
        <v>5191</v>
      </c>
      <c r="J4298">
        <v>1</v>
      </c>
      <c r="K4298" t="s">
        <v>5242</v>
      </c>
      <c r="L4298">
        <v>72.55</v>
      </c>
      <c r="M4298">
        <v>72.55</v>
      </c>
      <c r="N4298" t="s">
        <v>5272</v>
      </c>
      <c r="O4298" t="s">
        <v>460</v>
      </c>
    </row>
    <row r="4299" spans="1:15" x14ac:dyDescent="0.3">
      <c r="A4299">
        <v>208341</v>
      </c>
      <c r="B4299">
        <v>105</v>
      </c>
      <c r="C4299" t="s">
        <v>557</v>
      </c>
      <c r="D4299" t="s">
        <v>2605</v>
      </c>
      <c r="E4299" t="s">
        <v>3527</v>
      </c>
      <c r="F4299" s="451">
        <v>46062</v>
      </c>
      <c r="G4299">
        <v>20007</v>
      </c>
      <c r="H4299" t="s">
        <v>5101</v>
      </c>
      <c r="I4299" t="s">
        <v>5191</v>
      </c>
      <c r="J4299">
        <v>2</v>
      </c>
      <c r="K4299" t="s">
        <v>4884</v>
      </c>
      <c r="L4299">
        <v>101.8</v>
      </c>
      <c r="M4299">
        <v>50.9</v>
      </c>
      <c r="N4299" t="s">
        <v>5272</v>
      </c>
      <c r="O4299" t="s">
        <v>460</v>
      </c>
    </row>
    <row r="4300" spans="1:15" x14ac:dyDescent="0.3">
      <c r="A4300">
        <v>208341</v>
      </c>
      <c r="B4300">
        <v>105</v>
      </c>
      <c r="C4300" t="s">
        <v>557</v>
      </c>
      <c r="D4300" t="s">
        <v>2605</v>
      </c>
      <c r="E4300" t="s">
        <v>3527</v>
      </c>
      <c r="F4300" s="451">
        <v>46062</v>
      </c>
      <c r="G4300">
        <v>21047</v>
      </c>
      <c r="H4300" t="s">
        <v>4847</v>
      </c>
      <c r="I4300" t="s">
        <v>5191</v>
      </c>
      <c r="J4300">
        <v>1</v>
      </c>
      <c r="K4300" t="s">
        <v>4848</v>
      </c>
      <c r="L4300">
        <v>122.9</v>
      </c>
      <c r="M4300">
        <v>122.9</v>
      </c>
      <c r="N4300" t="s">
        <v>5272</v>
      </c>
      <c r="O4300" t="s">
        <v>460</v>
      </c>
    </row>
    <row r="4301" spans="1:15" x14ac:dyDescent="0.3">
      <c r="A4301">
        <v>208341</v>
      </c>
      <c r="B4301">
        <v>105</v>
      </c>
      <c r="C4301" t="s">
        <v>557</v>
      </c>
      <c r="D4301" t="s">
        <v>2605</v>
      </c>
      <c r="E4301" t="s">
        <v>3527</v>
      </c>
      <c r="F4301" s="451">
        <v>46062</v>
      </c>
      <c r="G4301">
        <v>20206</v>
      </c>
      <c r="H4301" t="s">
        <v>4914</v>
      </c>
      <c r="I4301" t="s">
        <v>5191</v>
      </c>
      <c r="J4301">
        <v>1</v>
      </c>
      <c r="K4301" t="s">
        <v>4736</v>
      </c>
      <c r="L4301">
        <v>25.2</v>
      </c>
      <c r="M4301">
        <v>25.2</v>
      </c>
      <c r="N4301" t="s">
        <v>5272</v>
      </c>
      <c r="O4301" t="s">
        <v>460</v>
      </c>
    </row>
    <row r="4302" spans="1:15" x14ac:dyDescent="0.3">
      <c r="A4302">
        <v>208341</v>
      </c>
      <c r="B4302">
        <v>105</v>
      </c>
      <c r="C4302" t="s">
        <v>557</v>
      </c>
      <c r="D4302" t="s">
        <v>2605</v>
      </c>
      <c r="E4302" t="s">
        <v>3527</v>
      </c>
      <c r="F4302" s="451">
        <v>46062</v>
      </c>
      <c r="G4302">
        <v>20585</v>
      </c>
      <c r="H4302" t="s">
        <v>5025</v>
      </c>
      <c r="I4302" t="s">
        <v>5191</v>
      </c>
      <c r="J4302">
        <v>1</v>
      </c>
      <c r="K4302" t="s">
        <v>4736</v>
      </c>
      <c r="L4302">
        <v>27.4</v>
      </c>
      <c r="M4302">
        <v>27.4</v>
      </c>
      <c r="N4302" t="s">
        <v>5272</v>
      </c>
      <c r="O4302" t="s">
        <v>460</v>
      </c>
    </row>
    <row r="4303" spans="1:15" x14ac:dyDescent="0.3">
      <c r="A4303">
        <v>208341</v>
      </c>
      <c r="B4303">
        <v>105</v>
      </c>
      <c r="C4303" t="s">
        <v>557</v>
      </c>
      <c r="D4303" t="s">
        <v>2605</v>
      </c>
      <c r="E4303" t="s">
        <v>3527</v>
      </c>
      <c r="F4303" s="451">
        <v>46062</v>
      </c>
      <c r="G4303">
        <v>23808</v>
      </c>
      <c r="H4303" t="s">
        <v>4982</v>
      </c>
      <c r="I4303" t="s">
        <v>5191</v>
      </c>
      <c r="J4303">
        <v>1</v>
      </c>
      <c r="K4303" t="s">
        <v>4744</v>
      </c>
      <c r="L4303">
        <v>67.099999999999994</v>
      </c>
      <c r="M4303">
        <v>67.099999999999994</v>
      </c>
      <c r="N4303" t="s">
        <v>5272</v>
      </c>
      <c r="O4303" t="s">
        <v>460</v>
      </c>
    </row>
    <row r="4304" spans="1:15" x14ac:dyDescent="0.3">
      <c r="A4304">
        <v>208341</v>
      </c>
      <c r="B4304">
        <v>105</v>
      </c>
      <c r="C4304" t="s">
        <v>557</v>
      </c>
      <c r="D4304" t="s">
        <v>2605</v>
      </c>
      <c r="E4304" t="s">
        <v>3527</v>
      </c>
      <c r="F4304" s="451">
        <v>46062</v>
      </c>
      <c r="G4304">
        <v>23819</v>
      </c>
      <c r="H4304" t="s">
        <v>4947</v>
      </c>
      <c r="I4304" t="s">
        <v>5191</v>
      </c>
      <c r="J4304">
        <v>3</v>
      </c>
      <c r="K4304" t="s">
        <v>4736</v>
      </c>
      <c r="L4304">
        <v>27.48</v>
      </c>
      <c r="M4304">
        <v>9.16</v>
      </c>
      <c r="N4304" t="s">
        <v>5272</v>
      </c>
      <c r="O4304" t="s">
        <v>460</v>
      </c>
    </row>
    <row r="4305" spans="1:15" x14ac:dyDescent="0.3">
      <c r="A4305">
        <v>208341</v>
      </c>
      <c r="B4305">
        <v>105</v>
      </c>
      <c r="C4305" t="s">
        <v>557</v>
      </c>
      <c r="D4305" t="s">
        <v>2605</v>
      </c>
      <c r="E4305" t="s">
        <v>3527</v>
      </c>
      <c r="F4305" s="451">
        <v>46062</v>
      </c>
      <c r="G4305">
        <v>25237</v>
      </c>
      <c r="H4305" t="s">
        <v>5143</v>
      </c>
      <c r="I4305" t="s">
        <v>5191</v>
      </c>
      <c r="J4305">
        <v>10</v>
      </c>
      <c r="K4305" t="s">
        <v>4738</v>
      </c>
      <c r="L4305">
        <v>54.7</v>
      </c>
      <c r="M4305">
        <v>5.47</v>
      </c>
      <c r="N4305" t="s">
        <v>5272</v>
      </c>
      <c r="O4305" t="s">
        <v>460</v>
      </c>
    </row>
    <row r="4306" spans="1:15" x14ac:dyDescent="0.3">
      <c r="A4306">
        <v>208341</v>
      </c>
      <c r="B4306">
        <v>105</v>
      </c>
      <c r="C4306" t="s">
        <v>557</v>
      </c>
      <c r="D4306" t="s">
        <v>2605</v>
      </c>
      <c r="E4306" t="s">
        <v>3527</v>
      </c>
      <c r="F4306" s="451">
        <v>46062</v>
      </c>
      <c r="G4306">
        <v>20176</v>
      </c>
      <c r="H4306" t="s">
        <v>5175</v>
      </c>
      <c r="I4306" t="s">
        <v>5191</v>
      </c>
      <c r="J4306">
        <v>1</v>
      </c>
      <c r="K4306" t="s">
        <v>4736</v>
      </c>
      <c r="L4306">
        <v>33.119999999999997</v>
      </c>
      <c r="M4306">
        <v>33.119999999999997</v>
      </c>
      <c r="N4306" t="s">
        <v>5272</v>
      </c>
      <c r="O4306" t="s">
        <v>460</v>
      </c>
    </row>
    <row r="4307" spans="1:15" x14ac:dyDescent="0.3">
      <c r="A4307">
        <v>208341</v>
      </c>
      <c r="B4307">
        <v>105</v>
      </c>
      <c r="C4307" t="s">
        <v>557</v>
      </c>
      <c r="D4307" t="s">
        <v>2605</v>
      </c>
      <c r="E4307" t="s">
        <v>3527</v>
      </c>
      <c r="F4307" s="451">
        <v>46062</v>
      </c>
      <c r="G4307">
        <v>27397</v>
      </c>
      <c r="H4307" t="s">
        <v>4913</v>
      </c>
      <c r="I4307" t="s">
        <v>5191</v>
      </c>
      <c r="J4307">
        <v>2</v>
      </c>
      <c r="K4307" t="s">
        <v>4736</v>
      </c>
      <c r="L4307">
        <v>122.2</v>
      </c>
      <c r="M4307">
        <v>61.1</v>
      </c>
      <c r="N4307" t="s">
        <v>5272</v>
      </c>
      <c r="O4307" t="s">
        <v>460</v>
      </c>
    </row>
    <row r="4308" spans="1:15" x14ac:dyDescent="0.3">
      <c r="A4308">
        <v>208340</v>
      </c>
      <c r="B4308">
        <v>105</v>
      </c>
      <c r="C4308" t="s">
        <v>557</v>
      </c>
      <c r="D4308" t="s">
        <v>2605</v>
      </c>
      <c r="E4308" t="s">
        <v>3528</v>
      </c>
      <c r="F4308" s="451">
        <v>46064</v>
      </c>
      <c r="G4308">
        <v>18085</v>
      </c>
      <c r="H4308" t="s">
        <v>4973</v>
      </c>
      <c r="I4308" t="s">
        <v>5222</v>
      </c>
      <c r="J4308">
        <v>1</v>
      </c>
      <c r="K4308" t="s">
        <v>4805</v>
      </c>
      <c r="L4308">
        <v>47.6</v>
      </c>
      <c r="M4308">
        <v>47.6</v>
      </c>
      <c r="N4308" t="s">
        <v>5271</v>
      </c>
      <c r="O4308" t="s">
        <v>460</v>
      </c>
    </row>
    <row r="4309" spans="1:15" x14ac:dyDescent="0.3">
      <c r="A4309">
        <v>208340</v>
      </c>
      <c r="B4309">
        <v>105</v>
      </c>
      <c r="C4309" t="s">
        <v>557</v>
      </c>
      <c r="D4309" t="s">
        <v>2605</v>
      </c>
      <c r="E4309" t="s">
        <v>3528</v>
      </c>
      <c r="F4309" s="451">
        <v>46064</v>
      </c>
      <c r="G4309">
        <v>26210</v>
      </c>
      <c r="H4309" t="s">
        <v>4975</v>
      </c>
      <c r="I4309" t="s">
        <v>5222</v>
      </c>
      <c r="J4309">
        <v>1</v>
      </c>
      <c r="K4309" t="s">
        <v>4805</v>
      </c>
      <c r="L4309">
        <v>47.6</v>
      </c>
      <c r="M4309">
        <v>47.6</v>
      </c>
      <c r="N4309" t="s">
        <v>5271</v>
      </c>
      <c r="O4309" t="s">
        <v>460</v>
      </c>
    </row>
    <row r="4310" spans="1:15" x14ac:dyDescent="0.3">
      <c r="A4310">
        <v>208340</v>
      </c>
      <c r="B4310">
        <v>105</v>
      </c>
      <c r="C4310" t="s">
        <v>557</v>
      </c>
      <c r="D4310" t="s">
        <v>2605</v>
      </c>
      <c r="E4310" t="s">
        <v>3528</v>
      </c>
      <c r="F4310" s="451">
        <v>46064</v>
      </c>
      <c r="G4310">
        <v>20955</v>
      </c>
      <c r="H4310" t="s">
        <v>4959</v>
      </c>
      <c r="I4310" t="s">
        <v>5191</v>
      </c>
      <c r="J4310">
        <v>2</v>
      </c>
      <c r="K4310" t="s">
        <v>4805</v>
      </c>
      <c r="L4310">
        <v>25.9</v>
      </c>
      <c r="M4310">
        <v>12.95</v>
      </c>
      <c r="N4310" t="s">
        <v>5271</v>
      </c>
      <c r="O4310" t="s">
        <v>460</v>
      </c>
    </row>
    <row r="4311" spans="1:15" x14ac:dyDescent="0.3">
      <c r="A4311">
        <v>208267</v>
      </c>
      <c r="B4311">
        <v>105</v>
      </c>
      <c r="C4311" t="s">
        <v>557</v>
      </c>
      <c r="D4311" t="s">
        <v>2690</v>
      </c>
      <c r="E4311" t="s">
        <v>3529</v>
      </c>
      <c r="F4311" s="451">
        <v>46066</v>
      </c>
      <c r="G4311">
        <v>18547</v>
      </c>
      <c r="H4311" t="s">
        <v>4863</v>
      </c>
      <c r="I4311" t="s">
        <v>5222</v>
      </c>
      <c r="J4311">
        <v>2</v>
      </c>
      <c r="K4311" t="s">
        <v>4805</v>
      </c>
      <c r="L4311">
        <v>74.28</v>
      </c>
      <c r="M4311">
        <v>37.14</v>
      </c>
      <c r="N4311" t="s">
        <v>5222</v>
      </c>
      <c r="O4311" t="s">
        <v>460</v>
      </c>
    </row>
    <row r="4312" spans="1:15" x14ac:dyDescent="0.3">
      <c r="A4312">
        <v>208267</v>
      </c>
      <c r="B4312">
        <v>105</v>
      </c>
      <c r="C4312" t="s">
        <v>557</v>
      </c>
      <c r="D4312" t="s">
        <v>2690</v>
      </c>
      <c r="E4312" t="s">
        <v>3529</v>
      </c>
      <c r="F4312" s="451">
        <v>46066</v>
      </c>
      <c r="G4312">
        <v>18253</v>
      </c>
      <c r="H4312" t="s">
        <v>4969</v>
      </c>
      <c r="I4312" t="s">
        <v>5222</v>
      </c>
      <c r="J4312">
        <v>4</v>
      </c>
      <c r="K4312" t="s">
        <v>4805</v>
      </c>
      <c r="L4312">
        <v>113.24</v>
      </c>
      <c r="M4312">
        <v>28.31</v>
      </c>
      <c r="N4312" t="s">
        <v>5222</v>
      </c>
      <c r="O4312" t="s">
        <v>460</v>
      </c>
    </row>
    <row r="4313" spans="1:15" x14ac:dyDescent="0.3">
      <c r="A4313">
        <v>208267</v>
      </c>
      <c r="B4313">
        <v>105</v>
      </c>
      <c r="C4313" t="s">
        <v>557</v>
      </c>
      <c r="D4313" t="s">
        <v>2690</v>
      </c>
      <c r="E4313" t="s">
        <v>3529</v>
      </c>
      <c r="F4313" s="451">
        <v>46066</v>
      </c>
      <c r="G4313">
        <v>17721</v>
      </c>
      <c r="H4313" t="s">
        <v>4977</v>
      </c>
      <c r="I4313" t="s">
        <v>5222</v>
      </c>
      <c r="J4313">
        <v>1</v>
      </c>
      <c r="K4313" t="s">
        <v>4805</v>
      </c>
      <c r="L4313">
        <v>9.82</v>
      </c>
      <c r="M4313">
        <v>9.82</v>
      </c>
      <c r="N4313" t="s">
        <v>5222</v>
      </c>
      <c r="O4313" t="s">
        <v>460</v>
      </c>
    </row>
    <row r="4314" spans="1:15" x14ac:dyDescent="0.3">
      <c r="A4314">
        <v>208218</v>
      </c>
      <c r="B4314">
        <v>105</v>
      </c>
      <c r="C4314" t="s">
        <v>557</v>
      </c>
      <c r="D4314" t="s">
        <v>2699</v>
      </c>
      <c r="E4314" t="s">
        <v>3530</v>
      </c>
      <c r="F4314" s="451">
        <v>46064</v>
      </c>
      <c r="G4314">
        <v>18172</v>
      </c>
      <c r="H4314" t="s">
        <v>4804</v>
      </c>
      <c r="I4314" t="s">
        <v>5222</v>
      </c>
      <c r="J4314">
        <v>7</v>
      </c>
      <c r="K4314" t="s">
        <v>4805</v>
      </c>
      <c r="L4314">
        <v>219.8</v>
      </c>
      <c r="M4314">
        <v>31.4</v>
      </c>
      <c r="N4314" t="s">
        <v>5271</v>
      </c>
      <c r="O4314" t="s">
        <v>460</v>
      </c>
    </row>
    <row r="4315" spans="1:15" x14ac:dyDescent="0.3">
      <c r="A4315">
        <v>208193</v>
      </c>
      <c r="B4315">
        <v>105</v>
      </c>
      <c r="C4315" t="s">
        <v>557</v>
      </c>
      <c r="D4315" t="s">
        <v>2716</v>
      </c>
      <c r="E4315" t="s">
        <v>3531</v>
      </c>
      <c r="F4315" s="451">
        <v>46059</v>
      </c>
      <c r="G4315">
        <v>24351</v>
      </c>
      <c r="H4315" t="s">
        <v>5014</v>
      </c>
      <c r="I4315" t="s">
        <v>5191</v>
      </c>
      <c r="J4315">
        <v>20</v>
      </c>
      <c r="K4315" t="s">
        <v>4744</v>
      </c>
      <c r="L4315">
        <v>240</v>
      </c>
      <c r="M4315">
        <v>12</v>
      </c>
      <c r="N4315" t="s">
        <v>1785</v>
      </c>
      <c r="O4315" t="s">
        <v>460</v>
      </c>
    </row>
    <row r="4316" spans="1:15" x14ac:dyDescent="0.3">
      <c r="A4316">
        <v>208180</v>
      </c>
      <c r="B4316">
        <v>105</v>
      </c>
      <c r="C4316" t="s">
        <v>557</v>
      </c>
      <c r="D4316" t="s">
        <v>3328</v>
      </c>
      <c r="E4316" t="s">
        <v>3532</v>
      </c>
      <c r="F4316" s="451">
        <v>46062</v>
      </c>
      <c r="G4316">
        <v>19787</v>
      </c>
      <c r="H4316" t="s">
        <v>4793</v>
      </c>
      <c r="I4316" t="s">
        <v>5191</v>
      </c>
      <c r="J4316">
        <v>10</v>
      </c>
      <c r="K4316" t="s">
        <v>4744</v>
      </c>
      <c r="L4316">
        <v>50</v>
      </c>
      <c r="M4316">
        <v>5</v>
      </c>
      <c r="N4316" t="s">
        <v>5272</v>
      </c>
      <c r="O4316" t="s">
        <v>460</v>
      </c>
    </row>
    <row r="4317" spans="1:15" x14ac:dyDescent="0.3">
      <c r="A4317">
        <v>208180</v>
      </c>
      <c r="B4317">
        <v>105</v>
      </c>
      <c r="C4317" t="s">
        <v>557</v>
      </c>
      <c r="D4317" t="s">
        <v>3328</v>
      </c>
      <c r="E4317" t="s">
        <v>3532</v>
      </c>
      <c r="F4317" s="451">
        <v>46062</v>
      </c>
      <c r="G4317">
        <v>24509</v>
      </c>
      <c r="H4317" t="s">
        <v>4788</v>
      </c>
      <c r="I4317" t="s">
        <v>5191</v>
      </c>
      <c r="J4317">
        <v>10</v>
      </c>
      <c r="K4317" t="s">
        <v>4744</v>
      </c>
      <c r="L4317">
        <v>18.8</v>
      </c>
      <c r="M4317">
        <v>1.88</v>
      </c>
      <c r="N4317" t="s">
        <v>5272</v>
      </c>
      <c r="O4317" t="s">
        <v>460</v>
      </c>
    </row>
    <row r="4318" spans="1:15" x14ac:dyDescent="0.3">
      <c r="A4318">
        <v>208180</v>
      </c>
      <c r="B4318">
        <v>105</v>
      </c>
      <c r="C4318" t="s">
        <v>557</v>
      </c>
      <c r="D4318" t="s">
        <v>3328</v>
      </c>
      <c r="E4318" t="s">
        <v>3532</v>
      </c>
      <c r="F4318" s="451">
        <v>46062</v>
      </c>
      <c r="G4318">
        <v>19589</v>
      </c>
      <c r="H4318" t="s">
        <v>4983</v>
      </c>
      <c r="I4318" t="s">
        <v>5191</v>
      </c>
      <c r="J4318">
        <v>2.5</v>
      </c>
      <c r="K4318" t="s">
        <v>4744</v>
      </c>
      <c r="L4318">
        <v>12.5</v>
      </c>
      <c r="M4318">
        <v>5</v>
      </c>
      <c r="N4318" t="s">
        <v>5272</v>
      </c>
      <c r="O4318" t="s">
        <v>460</v>
      </c>
    </row>
    <row r="4319" spans="1:15" x14ac:dyDescent="0.3">
      <c r="A4319">
        <v>208180</v>
      </c>
      <c r="B4319">
        <v>105</v>
      </c>
      <c r="C4319" t="s">
        <v>557</v>
      </c>
      <c r="D4319" t="s">
        <v>3328</v>
      </c>
      <c r="E4319" t="s">
        <v>3532</v>
      </c>
      <c r="F4319" s="451">
        <v>46062</v>
      </c>
      <c r="G4319">
        <v>19488</v>
      </c>
      <c r="H4319" t="s">
        <v>5107</v>
      </c>
      <c r="I4319" t="s">
        <v>5191</v>
      </c>
      <c r="J4319">
        <v>0.4</v>
      </c>
      <c r="K4319" t="s">
        <v>4744</v>
      </c>
      <c r="L4319">
        <v>6</v>
      </c>
      <c r="M4319">
        <v>15</v>
      </c>
      <c r="N4319" t="s">
        <v>5272</v>
      </c>
      <c r="O4319" t="s">
        <v>460</v>
      </c>
    </row>
    <row r="4320" spans="1:15" x14ac:dyDescent="0.3">
      <c r="A4320">
        <v>208180</v>
      </c>
      <c r="B4320">
        <v>105</v>
      </c>
      <c r="C4320" t="s">
        <v>557</v>
      </c>
      <c r="D4320" t="s">
        <v>3328</v>
      </c>
      <c r="E4320" t="s">
        <v>3532</v>
      </c>
      <c r="F4320" s="451">
        <v>46062</v>
      </c>
      <c r="G4320">
        <v>19502</v>
      </c>
      <c r="H4320" t="s">
        <v>4871</v>
      </c>
      <c r="I4320" t="s">
        <v>5191</v>
      </c>
      <c r="J4320">
        <v>1.8</v>
      </c>
      <c r="K4320" t="s">
        <v>4744</v>
      </c>
      <c r="L4320">
        <v>45</v>
      </c>
      <c r="M4320">
        <v>25</v>
      </c>
      <c r="N4320" t="s">
        <v>5272</v>
      </c>
      <c r="O4320" t="s">
        <v>460</v>
      </c>
    </row>
    <row r="4321" spans="1:15" x14ac:dyDescent="0.3">
      <c r="A4321">
        <v>208180</v>
      </c>
      <c r="B4321">
        <v>105</v>
      </c>
      <c r="C4321" t="s">
        <v>557</v>
      </c>
      <c r="D4321" t="s">
        <v>3328</v>
      </c>
      <c r="E4321" t="s">
        <v>3532</v>
      </c>
      <c r="F4321" s="451">
        <v>46062</v>
      </c>
      <c r="G4321">
        <v>24099</v>
      </c>
      <c r="H4321" t="s">
        <v>4933</v>
      </c>
      <c r="I4321" t="s">
        <v>5191</v>
      </c>
      <c r="J4321">
        <v>2</v>
      </c>
      <c r="K4321" t="s">
        <v>4744</v>
      </c>
      <c r="L4321">
        <v>42.5</v>
      </c>
      <c r="M4321">
        <v>21.25</v>
      </c>
      <c r="N4321" t="s">
        <v>5272</v>
      </c>
      <c r="O4321" t="s">
        <v>460</v>
      </c>
    </row>
    <row r="4322" spans="1:15" x14ac:dyDescent="0.3">
      <c r="A4322">
        <v>208180</v>
      </c>
      <c r="B4322">
        <v>105</v>
      </c>
      <c r="C4322" t="s">
        <v>557</v>
      </c>
      <c r="D4322" t="s">
        <v>3328</v>
      </c>
      <c r="E4322" t="s">
        <v>3532</v>
      </c>
      <c r="F4322" s="451">
        <v>46062</v>
      </c>
      <c r="G4322">
        <v>19555</v>
      </c>
      <c r="H4322" t="s">
        <v>4903</v>
      </c>
      <c r="I4322" t="s">
        <v>5191</v>
      </c>
      <c r="J4322">
        <v>1</v>
      </c>
      <c r="K4322" t="s">
        <v>4744</v>
      </c>
      <c r="L4322">
        <v>31.25</v>
      </c>
      <c r="M4322">
        <v>31.25</v>
      </c>
      <c r="N4322" t="s">
        <v>5272</v>
      </c>
      <c r="O4322" t="s">
        <v>460</v>
      </c>
    </row>
    <row r="4323" spans="1:15" x14ac:dyDescent="0.3">
      <c r="A4323">
        <v>208180</v>
      </c>
      <c r="B4323">
        <v>105</v>
      </c>
      <c r="C4323" t="s">
        <v>557</v>
      </c>
      <c r="D4323" t="s">
        <v>3328</v>
      </c>
      <c r="E4323" t="s">
        <v>3532</v>
      </c>
      <c r="F4323" s="451">
        <v>46062</v>
      </c>
      <c r="G4323">
        <v>19734</v>
      </c>
      <c r="H4323" t="s">
        <v>4833</v>
      </c>
      <c r="I4323" t="s">
        <v>5191</v>
      </c>
      <c r="J4323">
        <v>6</v>
      </c>
      <c r="K4323" t="s">
        <v>4744</v>
      </c>
      <c r="L4323">
        <v>90</v>
      </c>
      <c r="M4323">
        <v>15</v>
      </c>
      <c r="N4323" t="s">
        <v>5272</v>
      </c>
      <c r="O4323" t="s">
        <v>460</v>
      </c>
    </row>
    <row r="4324" spans="1:15" x14ac:dyDescent="0.3">
      <c r="A4324">
        <v>208180</v>
      </c>
      <c r="B4324">
        <v>105</v>
      </c>
      <c r="C4324" t="s">
        <v>557</v>
      </c>
      <c r="D4324" t="s">
        <v>3328</v>
      </c>
      <c r="E4324" t="s">
        <v>3532</v>
      </c>
      <c r="F4324" s="451">
        <v>46062</v>
      </c>
      <c r="G4324">
        <v>19743</v>
      </c>
      <c r="H4324" t="s">
        <v>5047</v>
      </c>
      <c r="I4324" t="s">
        <v>5191</v>
      </c>
      <c r="J4324">
        <v>1.4</v>
      </c>
      <c r="K4324" t="s">
        <v>4744</v>
      </c>
      <c r="L4324">
        <v>19.25</v>
      </c>
      <c r="M4324">
        <v>13.75</v>
      </c>
      <c r="N4324" t="s">
        <v>5272</v>
      </c>
      <c r="O4324" t="s">
        <v>460</v>
      </c>
    </row>
    <row r="4325" spans="1:15" x14ac:dyDescent="0.3">
      <c r="A4325">
        <v>208180</v>
      </c>
      <c r="B4325">
        <v>105</v>
      </c>
      <c r="C4325" t="s">
        <v>557</v>
      </c>
      <c r="D4325" t="s">
        <v>3328</v>
      </c>
      <c r="E4325" t="s">
        <v>3532</v>
      </c>
      <c r="F4325" s="451">
        <v>46062</v>
      </c>
      <c r="G4325">
        <v>19740</v>
      </c>
      <c r="H4325" t="s">
        <v>4779</v>
      </c>
      <c r="I4325" t="s">
        <v>5191</v>
      </c>
      <c r="J4325">
        <v>10</v>
      </c>
      <c r="K4325" t="s">
        <v>4744</v>
      </c>
      <c r="L4325">
        <v>93.8</v>
      </c>
      <c r="M4325">
        <v>9.3800000000000008</v>
      </c>
      <c r="N4325" t="s">
        <v>5272</v>
      </c>
      <c r="O4325" t="s">
        <v>460</v>
      </c>
    </row>
    <row r="4326" spans="1:15" x14ac:dyDescent="0.3">
      <c r="A4326">
        <v>208180</v>
      </c>
      <c r="B4326">
        <v>105</v>
      </c>
      <c r="C4326" t="s">
        <v>557</v>
      </c>
      <c r="D4326" t="s">
        <v>3328</v>
      </c>
      <c r="E4326" t="s">
        <v>3532</v>
      </c>
      <c r="F4326" s="451">
        <v>46062</v>
      </c>
      <c r="G4326">
        <v>19617</v>
      </c>
      <c r="H4326" t="s">
        <v>5071</v>
      </c>
      <c r="I4326" t="s">
        <v>5191</v>
      </c>
      <c r="J4326">
        <v>0.5</v>
      </c>
      <c r="K4326" t="s">
        <v>4744</v>
      </c>
      <c r="L4326">
        <v>18.13</v>
      </c>
      <c r="M4326">
        <v>36.26</v>
      </c>
      <c r="N4326" t="s">
        <v>5272</v>
      </c>
      <c r="O4326" t="s">
        <v>460</v>
      </c>
    </row>
    <row r="4327" spans="1:15" x14ac:dyDescent="0.3">
      <c r="A4327">
        <v>208180</v>
      </c>
      <c r="B4327">
        <v>105</v>
      </c>
      <c r="C4327" t="s">
        <v>557</v>
      </c>
      <c r="D4327" t="s">
        <v>3328</v>
      </c>
      <c r="E4327" t="s">
        <v>3532</v>
      </c>
      <c r="F4327" s="451">
        <v>46062</v>
      </c>
      <c r="G4327">
        <v>23359</v>
      </c>
      <c r="H4327" t="s">
        <v>4767</v>
      </c>
      <c r="I4327" t="s">
        <v>5191</v>
      </c>
      <c r="J4327">
        <v>15</v>
      </c>
      <c r="K4327" t="s">
        <v>4744</v>
      </c>
      <c r="L4327">
        <v>37.5</v>
      </c>
      <c r="M4327">
        <v>2.5</v>
      </c>
      <c r="N4327" t="s">
        <v>5272</v>
      </c>
      <c r="O4327" t="s">
        <v>460</v>
      </c>
    </row>
    <row r="4328" spans="1:15" x14ac:dyDescent="0.3">
      <c r="A4328">
        <v>208180</v>
      </c>
      <c r="B4328">
        <v>105</v>
      </c>
      <c r="C4328" t="s">
        <v>557</v>
      </c>
      <c r="D4328" t="s">
        <v>3328</v>
      </c>
      <c r="E4328" t="s">
        <v>3532</v>
      </c>
      <c r="F4328" s="451">
        <v>46062</v>
      </c>
      <c r="G4328">
        <v>23389</v>
      </c>
      <c r="H4328" t="s">
        <v>4960</v>
      </c>
      <c r="I4328" t="s">
        <v>5191</v>
      </c>
      <c r="J4328">
        <v>4</v>
      </c>
      <c r="K4328" t="s">
        <v>4744</v>
      </c>
      <c r="L4328">
        <v>20</v>
      </c>
      <c r="M4328">
        <v>5</v>
      </c>
      <c r="N4328" t="s">
        <v>5272</v>
      </c>
      <c r="O4328" t="s">
        <v>460</v>
      </c>
    </row>
    <row r="4329" spans="1:15" x14ac:dyDescent="0.3">
      <c r="A4329">
        <v>208180</v>
      </c>
      <c r="B4329">
        <v>105</v>
      </c>
      <c r="C4329" t="s">
        <v>557</v>
      </c>
      <c r="D4329" t="s">
        <v>3328</v>
      </c>
      <c r="E4329" t="s">
        <v>3532</v>
      </c>
      <c r="F4329" s="451">
        <v>46062</v>
      </c>
      <c r="G4329">
        <v>24037</v>
      </c>
      <c r="H4329" t="s">
        <v>5233</v>
      </c>
      <c r="I4329" t="s">
        <v>5191</v>
      </c>
      <c r="J4329">
        <v>3</v>
      </c>
      <c r="K4329" t="s">
        <v>4744</v>
      </c>
      <c r="L4329">
        <v>60</v>
      </c>
      <c r="M4329">
        <v>20</v>
      </c>
      <c r="N4329" t="s">
        <v>5272</v>
      </c>
      <c r="O4329" t="s">
        <v>460</v>
      </c>
    </row>
    <row r="4330" spans="1:15" x14ac:dyDescent="0.3">
      <c r="A4330">
        <v>208180</v>
      </c>
      <c r="B4330">
        <v>105</v>
      </c>
      <c r="C4330" t="s">
        <v>557</v>
      </c>
      <c r="D4330" t="s">
        <v>3328</v>
      </c>
      <c r="E4330" t="s">
        <v>3532</v>
      </c>
      <c r="F4330" s="451">
        <v>46062</v>
      </c>
      <c r="G4330">
        <v>23184</v>
      </c>
      <c r="H4330" t="s">
        <v>4935</v>
      </c>
      <c r="I4330" t="s">
        <v>5191</v>
      </c>
      <c r="J4330">
        <v>2</v>
      </c>
      <c r="K4330" t="s">
        <v>4744</v>
      </c>
      <c r="L4330">
        <v>17.5</v>
      </c>
      <c r="M4330">
        <v>8.75</v>
      </c>
      <c r="N4330" t="s">
        <v>5272</v>
      </c>
      <c r="O4330" t="s">
        <v>460</v>
      </c>
    </row>
    <row r="4331" spans="1:15" x14ac:dyDescent="0.3">
      <c r="A4331">
        <v>208180</v>
      </c>
      <c r="B4331">
        <v>105</v>
      </c>
      <c r="C4331" t="s">
        <v>557</v>
      </c>
      <c r="D4331" t="s">
        <v>3328</v>
      </c>
      <c r="E4331" t="s">
        <v>3532</v>
      </c>
      <c r="F4331" s="451">
        <v>46062</v>
      </c>
      <c r="G4331">
        <v>19532</v>
      </c>
      <c r="H4331" t="s">
        <v>4753</v>
      </c>
      <c r="I4331" t="s">
        <v>5191</v>
      </c>
      <c r="J4331">
        <v>10</v>
      </c>
      <c r="K4331" t="s">
        <v>4744</v>
      </c>
      <c r="L4331">
        <v>62.5</v>
      </c>
      <c r="M4331">
        <v>6.25</v>
      </c>
      <c r="N4331" t="s">
        <v>5272</v>
      </c>
      <c r="O4331" t="s">
        <v>460</v>
      </c>
    </row>
    <row r="4332" spans="1:15" x14ac:dyDescent="0.3">
      <c r="A4332">
        <v>208179</v>
      </c>
      <c r="B4332">
        <v>105</v>
      </c>
      <c r="C4332" t="s">
        <v>557</v>
      </c>
      <c r="D4332" t="s">
        <v>3328</v>
      </c>
      <c r="E4332" t="s">
        <v>3533</v>
      </c>
      <c r="F4332" s="451">
        <v>46063</v>
      </c>
      <c r="G4332">
        <v>19634</v>
      </c>
      <c r="H4332" t="s">
        <v>4792</v>
      </c>
      <c r="I4332" t="s">
        <v>5191</v>
      </c>
      <c r="J4332">
        <v>4</v>
      </c>
      <c r="K4332" t="s">
        <v>4744</v>
      </c>
      <c r="L4332">
        <v>25</v>
      </c>
      <c r="M4332">
        <v>6.25</v>
      </c>
      <c r="N4332" t="s">
        <v>5272</v>
      </c>
      <c r="O4332" t="s">
        <v>460</v>
      </c>
    </row>
    <row r="4333" spans="1:15" x14ac:dyDescent="0.3">
      <c r="A4333">
        <v>208179</v>
      </c>
      <c r="B4333">
        <v>105</v>
      </c>
      <c r="C4333" t="s">
        <v>557</v>
      </c>
      <c r="D4333" t="s">
        <v>3328</v>
      </c>
      <c r="E4333" t="s">
        <v>3533</v>
      </c>
      <c r="F4333" s="451">
        <v>46063</v>
      </c>
      <c r="G4333">
        <v>19502</v>
      </c>
      <c r="H4333" t="s">
        <v>4871</v>
      </c>
      <c r="I4333" t="s">
        <v>5191</v>
      </c>
      <c r="J4333">
        <v>3.4</v>
      </c>
      <c r="K4333" t="s">
        <v>4744</v>
      </c>
      <c r="L4333">
        <v>85</v>
      </c>
      <c r="M4333">
        <v>25</v>
      </c>
      <c r="N4333" t="s">
        <v>5272</v>
      </c>
      <c r="O4333" t="s">
        <v>460</v>
      </c>
    </row>
    <row r="4334" spans="1:15" x14ac:dyDescent="0.3">
      <c r="A4334">
        <v>208179</v>
      </c>
      <c r="B4334">
        <v>105</v>
      </c>
      <c r="C4334" t="s">
        <v>557</v>
      </c>
      <c r="D4334" t="s">
        <v>3328</v>
      </c>
      <c r="E4334" t="s">
        <v>3533</v>
      </c>
      <c r="F4334" s="451">
        <v>46063</v>
      </c>
      <c r="G4334">
        <v>19734</v>
      </c>
      <c r="H4334" t="s">
        <v>4833</v>
      </c>
      <c r="I4334" t="s">
        <v>5191</v>
      </c>
      <c r="J4334">
        <v>2</v>
      </c>
      <c r="K4334" t="s">
        <v>4744</v>
      </c>
      <c r="L4334">
        <v>30</v>
      </c>
      <c r="M4334">
        <v>15</v>
      </c>
      <c r="N4334" t="s">
        <v>5272</v>
      </c>
      <c r="O4334" t="s">
        <v>460</v>
      </c>
    </row>
    <row r="4335" spans="1:15" x14ac:dyDescent="0.3">
      <c r="A4335">
        <v>208179</v>
      </c>
      <c r="B4335">
        <v>105</v>
      </c>
      <c r="C4335" t="s">
        <v>557</v>
      </c>
      <c r="D4335" t="s">
        <v>3328</v>
      </c>
      <c r="E4335" t="s">
        <v>3533</v>
      </c>
      <c r="F4335" s="451">
        <v>46063</v>
      </c>
      <c r="G4335">
        <v>19740</v>
      </c>
      <c r="H4335" t="s">
        <v>4779</v>
      </c>
      <c r="I4335" t="s">
        <v>5191</v>
      </c>
      <c r="J4335">
        <v>5</v>
      </c>
      <c r="K4335" t="s">
        <v>4744</v>
      </c>
      <c r="L4335">
        <v>46.9</v>
      </c>
      <c r="M4335">
        <v>9.3800000000000008</v>
      </c>
      <c r="N4335" t="s">
        <v>5272</v>
      </c>
      <c r="O4335" t="s">
        <v>460</v>
      </c>
    </row>
    <row r="4336" spans="1:15" x14ac:dyDescent="0.3">
      <c r="A4336">
        <v>208179</v>
      </c>
      <c r="B4336">
        <v>105</v>
      </c>
      <c r="C4336" t="s">
        <v>557</v>
      </c>
      <c r="D4336" t="s">
        <v>3328</v>
      </c>
      <c r="E4336" t="s">
        <v>3533</v>
      </c>
      <c r="F4336" s="451">
        <v>46063</v>
      </c>
      <c r="G4336">
        <v>19790</v>
      </c>
      <c r="H4336" t="s">
        <v>5073</v>
      </c>
      <c r="I4336" t="s">
        <v>5191</v>
      </c>
      <c r="J4336">
        <v>1</v>
      </c>
      <c r="K4336" t="s">
        <v>4744</v>
      </c>
      <c r="L4336">
        <v>43.75</v>
      </c>
      <c r="M4336">
        <v>43.75</v>
      </c>
      <c r="N4336" t="s">
        <v>5272</v>
      </c>
      <c r="O4336" t="s">
        <v>460</v>
      </c>
    </row>
    <row r="4337" spans="1:15" x14ac:dyDescent="0.3">
      <c r="A4337">
        <v>208179</v>
      </c>
      <c r="B4337">
        <v>105</v>
      </c>
      <c r="C4337" t="s">
        <v>557</v>
      </c>
      <c r="D4337" t="s">
        <v>3328</v>
      </c>
      <c r="E4337" t="s">
        <v>3533</v>
      </c>
      <c r="F4337" s="451">
        <v>46063</v>
      </c>
      <c r="G4337">
        <v>23389</v>
      </c>
      <c r="H4337" t="s">
        <v>4960</v>
      </c>
      <c r="I4337" t="s">
        <v>5191</v>
      </c>
      <c r="J4337">
        <v>3</v>
      </c>
      <c r="K4337" t="s">
        <v>4744</v>
      </c>
      <c r="L4337">
        <v>15</v>
      </c>
      <c r="M4337">
        <v>5</v>
      </c>
      <c r="N4337" t="s">
        <v>5272</v>
      </c>
      <c r="O4337" t="s">
        <v>460</v>
      </c>
    </row>
    <row r="4338" spans="1:15" x14ac:dyDescent="0.3">
      <c r="A4338">
        <v>208178</v>
      </c>
      <c r="B4338">
        <v>105</v>
      </c>
      <c r="C4338" t="s">
        <v>557</v>
      </c>
      <c r="D4338" t="s">
        <v>3328</v>
      </c>
      <c r="E4338" t="s">
        <v>3534</v>
      </c>
      <c r="F4338" s="451">
        <v>46064</v>
      </c>
      <c r="G4338">
        <v>19634</v>
      </c>
      <c r="H4338" t="s">
        <v>4792</v>
      </c>
      <c r="I4338" t="s">
        <v>5191</v>
      </c>
      <c r="J4338">
        <v>4</v>
      </c>
      <c r="K4338" t="s">
        <v>4744</v>
      </c>
      <c r="L4338">
        <v>25</v>
      </c>
      <c r="M4338">
        <v>6.25</v>
      </c>
      <c r="N4338" t="s">
        <v>5272</v>
      </c>
      <c r="O4338" t="s">
        <v>460</v>
      </c>
    </row>
    <row r="4339" spans="1:15" x14ac:dyDescent="0.3">
      <c r="A4339">
        <v>208178</v>
      </c>
      <c r="B4339">
        <v>105</v>
      </c>
      <c r="C4339" t="s">
        <v>557</v>
      </c>
      <c r="D4339" t="s">
        <v>3328</v>
      </c>
      <c r="E4339" t="s">
        <v>3534</v>
      </c>
      <c r="F4339" s="451">
        <v>46064</v>
      </c>
      <c r="G4339">
        <v>19787</v>
      </c>
      <c r="H4339" t="s">
        <v>4793</v>
      </c>
      <c r="I4339" t="s">
        <v>5191</v>
      </c>
      <c r="J4339">
        <v>6</v>
      </c>
      <c r="K4339" t="s">
        <v>4744</v>
      </c>
      <c r="L4339">
        <v>30</v>
      </c>
      <c r="M4339">
        <v>5</v>
      </c>
      <c r="N4339" t="s">
        <v>5272</v>
      </c>
      <c r="O4339" t="s">
        <v>460</v>
      </c>
    </row>
    <row r="4340" spans="1:15" x14ac:dyDescent="0.3">
      <c r="A4340">
        <v>208178</v>
      </c>
      <c r="B4340">
        <v>105</v>
      </c>
      <c r="C4340" t="s">
        <v>557</v>
      </c>
      <c r="D4340" t="s">
        <v>3328</v>
      </c>
      <c r="E4340" t="s">
        <v>3534</v>
      </c>
      <c r="F4340" s="451">
        <v>46064</v>
      </c>
      <c r="G4340">
        <v>19589</v>
      </c>
      <c r="H4340" t="s">
        <v>4983</v>
      </c>
      <c r="I4340" t="s">
        <v>5191</v>
      </c>
      <c r="J4340">
        <v>2.5</v>
      </c>
      <c r="K4340" t="s">
        <v>4744</v>
      </c>
      <c r="L4340">
        <v>12.5</v>
      </c>
      <c r="M4340">
        <v>5</v>
      </c>
      <c r="N4340" t="s">
        <v>5272</v>
      </c>
      <c r="O4340" t="s">
        <v>460</v>
      </c>
    </row>
    <row r="4341" spans="1:15" x14ac:dyDescent="0.3">
      <c r="A4341">
        <v>208178</v>
      </c>
      <c r="B4341">
        <v>105</v>
      </c>
      <c r="C4341" t="s">
        <v>557</v>
      </c>
      <c r="D4341" t="s">
        <v>3328</v>
      </c>
      <c r="E4341" t="s">
        <v>3534</v>
      </c>
      <c r="F4341" s="451">
        <v>46064</v>
      </c>
      <c r="G4341">
        <v>19502</v>
      </c>
      <c r="H4341" t="s">
        <v>4871</v>
      </c>
      <c r="I4341" t="s">
        <v>5191</v>
      </c>
      <c r="J4341">
        <v>1.3</v>
      </c>
      <c r="K4341" t="s">
        <v>4744</v>
      </c>
      <c r="L4341">
        <v>32.5</v>
      </c>
      <c r="M4341">
        <v>25</v>
      </c>
      <c r="N4341" t="s">
        <v>5272</v>
      </c>
      <c r="O4341" t="s">
        <v>460</v>
      </c>
    </row>
    <row r="4342" spans="1:15" x14ac:dyDescent="0.3">
      <c r="A4342">
        <v>208178</v>
      </c>
      <c r="B4342">
        <v>105</v>
      </c>
      <c r="C4342" t="s">
        <v>557</v>
      </c>
      <c r="D4342" t="s">
        <v>3328</v>
      </c>
      <c r="E4342" t="s">
        <v>3534</v>
      </c>
      <c r="F4342" s="451">
        <v>46064</v>
      </c>
      <c r="G4342">
        <v>19751</v>
      </c>
      <c r="H4342" t="s">
        <v>4800</v>
      </c>
      <c r="I4342" t="s">
        <v>5191</v>
      </c>
      <c r="J4342">
        <v>2</v>
      </c>
      <c r="K4342" t="s">
        <v>4744</v>
      </c>
      <c r="L4342">
        <v>30</v>
      </c>
      <c r="M4342">
        <v>15</v>
      </c>
      <c r="N4342" t="s">
        <v>5272</v>
      </c>
      <c r="O4342" t="s">
        <v>460</v>
      </c>
    </row>
    <row r="4343" spans="1:15" x14ac:dyDescent="0.3">
      <c r="A4343">
        <v>208178</v>
      </c>
      <c r="B4343">
        <v>105</v>
      </c>
      <c r="C4343" t="s">
        <v>557</v>
      </c>
      <c r="D4343" t="s">
        <v>3328</v>
      </c>
      <c r="E4343" t="s">
        <v>3534</v>
      </c>
      <c r="F4343" s="451">
        <v>46064</v>
      </c>
      <c r="G4343">
        <v>23389</v>
      </c>
      <c r="H4343" t="s">
        <v>4960</v>
      </c>
      <c r="I4343" t="s">
        <v>5191</v>
      </c>
      <c r="J4343">
        <v>3</v>
      </c>
      <c r="K4343" t="s">
        <v>4744</v>
      </c>
      <c r="L4343">
        <v>15</v>
      </c>
      <c r="M4343">
        <v>5</v>
      </c>
      <c r="N4343" t="s">
        <v>5272</v>
      </c>
      <c r="O4343" t="s">
        <v>460</v>
      </c>
    </row>
    <row r="4344" spans="1:15" x14ac:dyDescent="0.3">
      <c r="A4344">
        <v>208178</v>
      </c>
      <c r="B4344">
        <v>105</v>
      </c>
      <c r="C4344" t="s">
        <v>557</v>
      </c>
      <c r="D4344" t="s">
        <v>3328</v>
      </c>
      <c r="E4344" t="s">
        <v>3534</v>
      </c>
      <c r="F4344" s="451">
        <v>46064</v>
      </c>
      <c r="G4344">
        <v>23184</v>
      </c>
      <c r="H4344" t="s">
        <v>4935</v>
      </c>
      <c r="I4344" t="s">
        <v>5191</v>
      </c>
      <c r="J4344">
        <v>2</v>
      </c>
      <c r="K4344" t="s">
        <v>4744</v>
      </c>
      <c r="L4344">
        <v>17.5</v>
      </c>
      <c r="M4344">
        <v>8.75</v>
      </c>
      <c r="N4344" t="s">
        <v>5272</v>
      </c>
      <c r="O4344" t="s">
        <v>460</v>
      </c>
    </row>
    <row r="4345" spans="1:15" x14ac:dyDescent="0.3">
      <c r="A4345">
        <v>208177</v>
      </c>
      <c r="B4345">
        <v>105</v>
      </c>
      <c r="C4345" t="s">
        <v>557</v>
      </c>
      <c r="D4345" t="s">
        <v>3328</v>
      </c>
      <c r="E4345" t="s">
        <v>3535</v>
      </c>
      <c r="F4345" s="451">
        <v>46065</v>
      </c>
      <c r="G4345">
        <v>19634</v>
      </c>
      <c r="H4345" t="s">
        <v>4792</v>
      </c>
      <c r="I4345" t="s">
        <v>5191</v>
      </c>
      <c r="J4345">
        <v>2</v>
      </c>
      <c r="K4345" t="s">
        <v>4744</v>
      </c>
      <c r="L4345">
        <v>12.5</v>
      </c>
      <c r="M4345">
        <v>6.25</v>
      </c>
      <c r="N4345" t="s">
        <v>5272</v>
      </c>
      <c r="O4345" t="s">
        <v>460</v>
      </c>
    </row>
    <row r="4346" spans="1:15" x14ac:dyDescent="0.3">
      <c r="A4346">
        <v>208177</v>
      </c>
      <c r="B4346">
        <v>105</v>
      </c>
      <c r="C4346" t="s">
        <v>557</v>
      </c>
      <c r="D4346" t="s">
        <v>3328</v>
      </c>
      <c r="E4346" t="s">
        <v>3535</v>
      </c>
      <c r="F4346" s="451">
        <v>46065</v>
      </c>
      <c r="G4346">
        <v>24099</v>
      </c>
      <c r="H4346" t="s">
        <v>4933</v>
      </c>
      <c r="I4346" t="s">
        <v>5191</v>
      </c>
      <c r="J4346">
        <v>2.2999999999999998</v>
      </c>
      <c r="K4346" t="s">
        <v>4744</v>
      </c>
      <c r="L4346">
        <v>48.87</v>
      </c>
      <c r="M4346">
        <v>21.247826</v>
      </c>
      <c r="N4346" t="s">
        <v>5272</v>
      </c>
      <c r="O4346" t="s">
        <v>460</v>
      </c>
    </row>
    <row r="4347" spans="1:15" x14ac:dyDescent="0.3">
      <c r="A4347">
        <v>208177</v>
      </c>
      <c r="B4347">
        <v>105</v>
      </c>
      <c r="C4347" t="s">
        <v>557</v>
      </c>
      <c r="D4347" t="s">
        <v>3328</v>
      </c>
      <c r="E4347" t="s">
        <v>3535</v>
      </c>
      <c r="F4347" s="451">
        <v>46065</v>
      </c>
      <c r="G4347">
        <v>19502</v>
      </c>
      <c r="H4347" t="s">
        <v>4871</v>
      </c>
      <c r="I4347" t="s">
        <v>5191</v>
      </c>
      <c r="J4347">
        <v>3</v>
      </c>
      <c r="K4347" t="s">
        <v>4744</v>
      </c>
      <c r="L4347">
        <v>75</v>
      </c>
      <c r="M4347">
        <v>25</v>
      </c>
      <c r="N4347" t="s">
        <v>5272</v>
      </c>
      <c r="O4347" t="s">
        <v>460</v>
      </c>
    </row>
    <row r="4348" spans="1:15" x14ac:dyDescent="0.3">
      <c r="A4348">
        <v>208177</v>
      </c>
      <c r="B4348">
        <v>105</v>
      </c>
      <c r="C4348" t="s">
        <v>557</v>
      </c>
      <c r="D4348" t="s">
        <v>3328</v>
      </c>
      <c r="E4348" t="s">
        <v>3535</v>
      </c>
      <c r="F4348" s="451">
        <v>46065</v>
      </c>
      <c r="G4348">
        <v>23335</v>
      </c>
      <c r="H4348" t="s">
        <v>4961</v>
      </c>
      <c r="I4348" t="s">
        <v>5191</v>
      </c>
      <c r="J4348">
        <v>1.2</v>
      </c>
      <c r="K4348" t="s">
        <v>4744</v>
      </c>
      <c r="L4348">
        <v>39</v>
      </c>
      <c r="M4348">
        <v>32.5</v>
      </c>
      <c r="N4348" t="s">
        <v>5272</v>
      </c>
      <c r="O4348" t="s">
        <v>460</v>
      </c>
    </row>
    <row r="4349" spans="1:15" x14ac:dyDescent="0.3">
      <c r="A4349">
        <v>208177</v>
      </c>
      <c r="B4349">
        <v>105</v>
      </c>
      <c r="C4349" t="s">
        <v>557</v>
      </c>
      <c r="D4349" t="s">
        <v>3328</v>
      </c>
      <c r="E4349" t="s">
        <v>3535</v>
      </c>
      <c r="F4349" s="451">
        <v>46065</v>
      </c>
      <c r="G4349">
        <v>23385</v>
      </c>
      <c r="H4349" t="s">
        <v>4938</v>
      </c>
      <c r="I4349" t="s">
        <v>5191</v>
      </c>
      <c r="J4349">
        <v>2</v>
      </c>
      <c r="K4349" t="s">
        <v>4744</v>
      </c>
      <c r="L4349">
        <v>62.5</v>
      </c>
      <c r="M4349">
        <v>31.25</v>
      </c>
      <c r="N4349" t="s">
        <v>5272</v>
      </c>
      <c r="O4349" t="s">
        <v>460</v>
      </c>
    </row>
    <row r="4350" spans="1:15" x14ac:dyDescent="0.3">
      <c r="A4350">
        <v>208176</v>
      </c>
      <c r="B4350">
        <v>105</v>
      </c>
      <c r="C4350" t="s">
        <v>557</v>
      </c>
      <c r="D4350" t="s">
        <v>3328</v>
      </c>
      <c r="E4350" t="s">
        <v>3536</v>
      </c>
      <c r="F4350" s="451">
        <v>46057</v>
      </c>
      <c r="G4350">
        <v>24099</v>
      </c>
      <c r="H4350" t="s">
        <v>4933</v>
      </c>
      <c r="I4350" t="s">
        <v>5191</v>
      </c>
      <c r="J4350">
        <v>2</v>
      </c>
      <c r="K4350" t="s">
        <v>4744</v>
      </c>
      <c r="L4350">
        <v>42.5</v>
      </c>
      <c r="M4350">
        <v>21.25</v>
      </c>
      <c r="N4350" t="s">
        <v>5272</v>
      </c>
      <c r="O4350" t="s">
        <v>460</v>
      </c>
    </row>
    <row r="4351" spans="1:15" x14ac:dyDescent="0.3">
      <c r="A4351">
        <v>208176</v>
      </c>
      <c r="B4351">
        <v>105</v>
      </c>
      <c r="C4351" t="s">
        <v>557</v>
      </c>
      <c r="D4351" t="s">
        <v>3328</v>
      </c>
      <c r="E4351" t="s">
        <v>3536</v>
      </c>
      <c r="F4351" s="451">
        <v>46057</v>
      </c>
      <c r="G4351">
        <v>23389</v>
      </c>
      <c r="H4351" t="s">
        <v>4960</v>
      </c>
      <c r="I4351" t="s">
        <v>5191</v>
      </c>
      <c r="J4351">
        <v>3.5</v>
      </c>
      <c r="K4351" t="s">
        <v>4744</v>
      </c>
      <c r="L4351">
        <v>15.33</v>
      </c>
      <c r="M4351">
        <v>4.38</v>
      </c>
      <c r="N4351" t="s">
        <v>5272</v>
      </c>
      <c r="O4351" t="s">
        <v>460</v>
      </c>
    </row>
    <row r="4352" spans="1:15" x14ac:dyDescent="0.3">
      <c r="A4352">
        <v>208176</v>
      </c>
      <c r="B4352">
        <v>105</v>
      </c>
      <c r="C4352" t="s">
        <v>557</v>
      </c>
      <c r="D4352" t="s">
        <v>3328</v>
      </c>
      <c r="E4352" t="s">
        <v>3536</v>
      </c>
      <c r="F4352" s="451">
        <v>46057</v>
      </c>
      <c r="G4352">
        <v>23228</v>
      </c>
      <c r="H4352" t="s">
        <v>4782</v>
      </c>
      <c r="I4352" t="s">
        <v>5191</v>
      </c>
      <c r="J4352">
        <v>8</v>
      </c>
      <c r="K4352" t="s">
        <v>4744</v>
      </c>
      <c r="L4352">
        <v>64</v>
      </c>
      <c r="M4352">
        <v>8</v>
      </c>
      <c r="N4352" t="s">
        <v>5272</v>
      </c>
      <c r="O4352" t="s">
        <v>460</v>
      </c>
    </row>
    <row r="4353" spans="1:15" x14ac:dyDescent="0.3">
      <c r="A4353">
        <v>208112</v>
      </c>
      <c r="B4353">
        <v>105</v>
      </c>
      <c r="C4353" t="s">
        <v>557</v>
      </c>
      <c r="D4353" t="s">
        <v>2563</v>
      </c>
      <c r="E4353" t="s">
        <v>3537</v>
      </c>
      <c r="F4353" s="451">
        <v>46062</v>
      </c>
      <c r="G4353">
        <v>19621</v>
      </c>
      <c r="H4353" t="s">
        <v>4829</v>
      </c>
      <c r="I4353" t="s">
        <v>5191</v>
      </c>
      <c r="J4353">
        <v>3.07</v>
      </c>
      <c r="K4353" t="s">
        <v>4744</v>
      </c>
      <c r="L4353">
        <v>9.33</v>
      </c>
      <c r="M4353">
        <v>3.039088</v>
      </c>
      <c r="N4353" t="s">
        <v>5272</v>
      </c>
      <c r="O4353" t="s">
        <v>460</v>
      </c>
    </row>
    <row r="4354" spans="1:15" x14ac:dyDescent="0.3">
      <c r="A4354">
        <v>208112</v>
      </c>
      <c r="B4354">
        <v>105</v>
      </c>
      <c r="C4354" t="s">
        <v>557</v>
      </c>
      <c r="D4354" t="s">
        <v>2563</v>
      </c>
      <c r="E4354" t="s">
        <v>3537</v>
      </c>
      <c r="F4354" s="451">
        <v>46062</v>
      </c>
      <c r="G4354">
        <v>24083</v>
      </c>
      <c r="H4354" t="s">
        <v>5165</v>
      </c>
      <c r="I4354" t="s">
        <v>5191</v>
      </c>
      <c r="J4354">
        <v>20</v>
      </c>
      <c r="K4354" t="s">
        <v>4744</v>
      </c>
      <c r="L4354">
        <v>81.2</v>
      </c>
      <c r="M4354">
        <v>4.0599999999999996</v>
      </c>
      <c r="N4354" t="s">
        <v>5272</v>
      </c>
      <c r="O4354" t="s">
        <v>460</v>
      </c>
    </row>
    <row r="4355" spans="1:15" x14ac:dyDescent="0.3">
      <c r="A4355">
        <v>208112</v>
      </c>
      <c r="B4355">
        <v>105</v>
      </c>
      <c r="C4355" t="s">
        <v>557</v>
      </c>
      <c r="D4355" t="s">
        <v>2563</v>
      </c>
      <c r="E4355" t="s">
        <v>3537</v>
      </c>
      <c r="F4355" s="451">
        <v>46062</v>
      </c>
      <c r="G4355">
        <v>19658</v>
      </c>
      <c r="H4355" t="s">
        <v>4784</v>
      </c>
      <c r="I4355" t="s">
        <v>5191</v>
      </c>
      <c r="J4355">
        <v>8.5</v>
      </c>
      <c r="K4355" t="s">
        <v>4744</v>
      </c>
      <c r="L4355">
        <v>26.52</v>
      </c>
      <c r="M4355">
        <v>3.12</v>
      </c>
      <c r="N4355" t="s">
        <v>5272</v>
      </c>
      <c r="O4355" t="s">
        <v>460</v>
      </c>
    </row>
    <row r="4356" spans="1:15" x14ac:dyDescent="0.3">
      <c r="A4356">
        <v>208112</v>
      </c>
      <c r="B4356">
        <v>105</v>
      </c>
      <c r="C4356" t="s">
        <v>557</v>
      </c>
      <c r="D4356" t="s">
        <v>2563</v>
      </c>
      <c r="E4356" t="s">
        <v>3537</v>
      </c>
      <c r="F4356" s="451">
        <v>46062</v>
      </c>
      <c r="G4356">
        <v>19480</v>
      </c>
      <c r="H4356" t="s">
        <v>5119</v>
      </c>
      <c r="I4356" t="s">
        <v>5191</v>
      </c>
      <c r="J4356">
        <v>0.5</v>
      </c>
      <c r="K4356" t="s">
        <v>4744</v>
      </c>
      <c r="L4356">
        <v>8.6999999999999993</v>
      </c>
      <c r="M4356">
        <v>17.399999999999999</v>
      </c>
      <c r="N4356" t="s">
        <v>5272</v>
      </c>
      <c r="O4356" t="s">
        <v>460</v>
      </c>
    </row>
    <row r="4357" spans="1:15" x14ac:dyDescent="0.3">
      <c r="A4357">
        <v>208112</v>
      </c>
      <c r="B4357">
        <v>105</v>
      </c>
      <c r="C4357" t="s">
        <v>557</v>
      </c>
      <c r="D4357" t="s">
        <v>2563</v>
      </c>
      <c r="E4357" t="s">
        <v>3537</v>
      </c>
      <c r="F4357" s="451">
        <v>46062</v>
      </c>
      <c r="G4357">
        <v>19622</v>
      </c>
      <c r="H4357" t="s">
        <v>4915</v>
      </c>
      <c r="I4357" t="s">
        <v>5191</v>
      </c>
      <c r="J4357">
        <v>1</v>
      </c>
      <c r="K4357" t="s">
        <v>4744</v>
      </c>
      <c r="L4357">
        <v>3.26</v>
      </c>
      <c r="M4357">
        <v>3.26</v>
      </c>
      <c r="N4357" t="s">
        <v>5272</v>
      </c>
      <c r="O4357" t="s">
        <v>460</v>
      </c>
    </row>
    <row r="4358" spans="1:15" x14ac:dyDescent="0.3">
      <c r="A4358">
        <v>208112</v>
      </c>
      <c r="B4358">
        <v>105</v>
      </c>
      <c r="C4358" t="s">
        <v>557</v>
      </c>
      <c r="D4358" t="s">
        <v>2563</v>
      </c>
      <c r="E4358" t="s">
        <v>3537</v>
      </c>
      <c r="F4358" s="451">
        <v>46062</v>
      </c>
      <c r="G4358">
        <v>19647</v>
      </c>
      <c r="H4358" t="s">
        <v>5050</v>
      </c>
      <c r="I4358" t="s">
        <v>5191</v>
      </c>
      <c r="J4358">
        <v>0.4</v>
      </c>
      <c r="K4358" t="s">
        <v>4744</v>
      </c>
      <c r="L4358">
        <v>5.22</v>
      </c>
      <c r="M4358">
        <v>13.05</v>
      </c>
      <c r="N4358" t="s">
        <v>5272</v>
      </c>
      <c r="O4358" t="s">
        <v>460</v>
      </c>
    </row>
    <row r="4359" spans="1:15" x14ac:dyDescent="0.3">
      <c r="A4359">
        <v>208112</v>
      </c>
      <c r="B4359">
        <v>105</v>
      </c>
      <c r="C4359" t="s">
        <v>557</v>
      </c>
      <c r="D4359" t="s">
        <v>2563</v>
      </c>
      <c r="E4359" t="s">
        <v>3537</v>
      </c>
      <c r="F4359" s="451">
        <v>46062</v>
      </c>
      <c r="G4359">
        <v>19551</v>
      </c>
      <c r="H4359" t="s">
        <v>4905</v>
      </c>
      <c r="I4359" t="s">
        <v>5191</v>
      </c>
      <c r="J4359">
        <v>2.2999999999999998</v>
      </c>
      <c r="K4359" t="s">
        <v>4744</v>
      </c>
      <c r="L4359">
        <v>33.35</v>
      </c>
      <c r="M4359">
        <v>14.5</v>
      </c>
      <c r="N4359" t="s">
        <v>5272</v>
      </c>
      <c r="O4359" t="s">
        <v>460</v>
      </c>
    </row>
    <row r="4360" spans="1:15" x14ac:dyDescent="0.3">
      <c r="A4360">
        <v>208112</v>
      </c>
      <c r="B4360">
        <v>105</v>
      </c>
      <c r="C4360" t="s">
        <v>557</v>
      </c>
      <c r="D4360" t="s">
        <v>2563</v>
      </c>
      <c r="E4360" t="s">
        <v>3537</v>
      </c>
      <c r="F4360" s="451">
        <v>46062</v>
      </c>
      <c r="G4360">
        <v>19742</v>
      </c>
      <c r="H4360" t="s">
        <v>4900</v>
      </c>
      <c r="I4360" t="s">
        <v>5191</v>
      </c>
      <c r="J4360">
        <v>2</v>
      </c>
      <c r="K4360" t="s">
        <v>4744</v>
      </c>
      <c r="L4360">
        <v>17.399999999999999</v>
      </c>
      <c r="M4360">
        <v>8.6999999999999993</v>
      </c>
      <c r="N4360" t="s">
        <v>5272</v>
      </c>
      <c r="O4360" t="s">
        <v>460</v>
      </c>
    </row>
    <row r="4361" spans="1:15" x14ac:dyDescent="0.3">
      <c r="A4361">
        <v>208112</v>
      </c>
      <c r="B4361">
        <v>105</v>
      </c>
      <c r="C4361" t="s">
        <v>557</v>
      </c>
      <c r="D4361" t="s">
        <v>2563</v>
      </c>
      <c r="E4361" t="s">
        <v>3537</v>
      </c>
      <c r="F4361" s="451">
        <v>46062</v>
      </c>
      <c r="G4361">
        <v>19652</v>
      </c>
      <c r="H4361" t="s">
        <v>4899</v>
      </c>
      <c r="I4361" t="s">
        <v>5191</v>
      </c>
      <c r="J4361">
        <v>0.5</v>
      </c>
      <c r="K4361" t="s">
        <v>4744</v>
      </c>
      <c r="L4361">
        <v>9.5399999999999991</v>
      </c>
      <c r="M4361">
        <v>19.079999999999998</v>
      </c>
      <c r="N4361" t="s">
        <v>5272</v>
      </c>
      <c r="O4361" t="s">
        <v>460</v>
      </c>
    </row>
    <row r="4362" spans="1:15" x14ac:dyDescent="0.3">
      <c r="A4362">
        <v>208112</v>
      </c>
      <c r="B4362">
        <v>105</v>
      </c>
      <c r="C4362" t="s">
        <v>557</v>
      </c>
      <c r="D4362" t="s">
        <v>2563</v>
      </c>
      <c r="E4362" t="s">
        <v>3537</v>
      </c>
      <c r="F4362" s="451">
        <v>46062</v>
      </c>
      <c r="G4362">
        <v>19728</v>
      </c>
      <c r="H4362" t="s">
        <v>5106</v>
      </c>
      <c r="I4362" t="s">
        <v>5191</v>
      </c>
      <c r="J4362">
        <v>1.5</v>
      </c>
      <c r="K4362" t="s">
        <v>4744</v>
      </c>
      <c r="L4362">
        <v>19.579999999999998</v>
      </c>
      <c r="M4362">
        <v>13.053333</v>
      </c>
      <c r="N4362" t="s">
        <v>5272</v>
      </c>
      <c r="O4362" t="s">
        <v>460</v>
      </c>
    </row>
    <row r="4363" spans="1:15" x14ac:dyDescent="0.3">
      <c r="A4363">
        <v>208112</v>
      </c>
      <c r="B4363">
        <v>105</v>
      </c>
      <c r="C4363" t="s">
        <v>557</v>
      </c>
      <c r="D4363" t="s">
        <v>2563</v>
      </c>
      <c r="E4363" t="s">
        <v>3537</v>
      </c>
      <c r="F4363" s="451">
        <v>46062</v>
      </c>
      <c r="G4363">
        <v>19635</v>
      </c>
      <c r="H4363" t="s">
        <v>4786</v>
      </c>
      <c r="I4363" t="s">
        <v>5191</v>
      </c>
      <c r="J4363">
        <v>8</v>
      </c>
      <c r="K4363" t="s">
        <v>4744</v>
      </c>
      <c r="L4363">
        <v>40</v>
      </c>
      <c r="M4363">
        <v>5</v>
      </c>
      <c r="N4363" t="s">
        <v>5272</v>
      </c>
      <c r="O4363" t="s">
        <v>460</v>
      </c>
    </row>
    <row r="4364" spans="1:15" x14ac:dyDescent="0.3">
      <c r="A4364">
        <v>208112</v>
      </c>
      <c r="B4364">
        <v>105</v>
      </c>
      <c r="C4364" t="s">
        <v>557</v>
      </c>
      <c r="D4364" t="s">
        <v>2563</v>
      </c>
      <c r="E4364" t="s">
        <v>3537</v>
      </c>
      <c r="F4364" s="451">
        <v>46062</v>
      </c>
      <c r="G4364">
        <v>23113</v>
      </c>
      <c r="H4364" t="s">
        <v>5074</v>
      </c>
      <c r="I4364" t="s">
        <v>5191</v>
      </c>
      <c r="J4364">
        <v>1</v>
      </c>
      <c r="K4364" t="s">
        <v>4744</v>
      </c>
      <c r="L4364">
        <v>11.09</v>
      </c>
      <c r="M4364">
        <v>11.09</v>
      </c>
      <c r="N4364" t="s">
        <v>5272</v>
      </c>
      <c r="O4364" t="s">
        <v>460</v>
      </c>
    </row>
    <row r="4365" spans="1:15" x14ac:dyDescent="0.3">
      <c r="A4365">
        <v>208112</v>
      </c>
      <c r="B4365">
        <v>105</v>
      </c>
      <c r="C4365" t="s">
        <v>557</v>
      </c>
      <c r="D4365" t="s">
        <v>2563</v>
      </c>
      <c r="E4365" t="s">
        <v>3537</v>
      </c>
      <c r="F4365" s="451">
        <v>46062</v>
      </c>
      <c r="G4365">
        <v>23228</v>
      </c>
      <c r="H4365" t="s">
        <v>4782</v>
      </c>
      <c r="I4365" t="s">
        <v>5191</v>
      </c>
      <c r="J4365">
        <v>5</v>
      </c>
      <c r="K4365" t="s">
        <v>4744</v>
      </c>
      <c r="L4365">
        <v>32.65</v>
      </c>
      <c r="M4365">
        <v>6.53</v>
      </c>
      <c r="N4365" t="s">
        <v>5272</v>
      </c>
      <c r="O4365" t="s">
        <v>460</v>
      </c>
    </row>
    <row r="4366" spans="1:15" x14ac:dyDescent="0.3">
      <c r="A4366">
        <v>208112</v>
      </c>
      <c r="B4366">
        <v>105</v>
      </c>
      <c r="C4366" t="s">
        <v>557</v>
      </c>
      <c r="D4366" t="s">
        <v>2563</v>
      </c>
      <c r="E4366" t="s">
        <v>3537</v>
      </c>
      <c r="F4366" s="451">
        <v>46062</v>
      </c>
      <c r="G4366">
        <v>23346</v>
      </c>
      <c r="H4366" t="s">
        <v>4916</v>
      </c>
      <c r="I4366" t="s">
        <v>5191</v>
      </c>
      <c r="J4366">
        <v>2</v>
      </c>
      <c r="K4366" t="s">
        <v>4744</v>
      </c>
      <c r="L4366">
        <v>10.16</v>
      </c>
      <c r="M4366">
        <v>5.08</v>
      </c>
      <c r="N4366" t="s">
        <v>5272</v>
      </c>
      <c r="O4366" t="s">
        <v>460</v>
      </c>
    </row>
    <row r="4367" spans="1:15" x14ac:dyDescent="0.3">
      <c r="A4367">
        <v>208112</v>
      </c>
      <c r="B4367">
        <v>105</v>
      </c>
      <c r="C4367" t="s">
        <v>557</v>
      </c>
      <c r="D4367" t="s">
        <v>2563</v>
      </c>
      <c r="E4367" t="s">
        <v>3537</v>
      </c>
      <c r="F4367" s="451">
        <v>46062</v>
      </c>
      <c r="G4367">
        <v>23095</v>
      </c>
      <c r="H4367" t="s">
        <v>4741</v>
      </c>
      <c r="I4367" t="s">
        <v>5191</v>
      </c>
      <c r="J4367">
        <v>80</v>
      </c>
      <c r="K4367" t="s">
        <v>4736</v>
      </c>
      <c r="L4367">
        <v>92</v>
      </c>
      <c r="M4367">
        <v>1.1499999999999999</v>
      </c>
      <c r="N4367" t="s">
        <v>5272</v>
      </c>
      <c r="O4367" t="s">
        <v>460</v>
      </c>
    </row>
    <row r="4368" spans="1:15" x14ac:dyDescent="0.3">
      <c r="A4368">
        <v>208109</v>
      </c>
      <c r="B4368">
        <v>105</v>
      </c>
      <c r="C4368" t="s">
        <v>557</v>
      </c>
      <c r="D4368" t="s">
        <v>2552</v>
      </c>
      <c r="E4368" t="s">
        <v>3538</v>
      </c>
      <c r="F4368" s="451">
        <v>46064</v>
      </c>
      <c r="G4368">
        <v>26627</v>
      </c>
      <c r="H4368" t="s">
        <v>5190</v>
      </c>
      <c r="I4368" t="s">
        <v>5191</v>
      </c>
      <c r="J4368">
        <v>20</v>
      </c>
      <c r="K4368" t="s">
        <v>4744</v>
      </c>
      <c r="L4368">
        <v>158</v>
      </c>
      <c r="M4368">
        <v>7.9</v>
      </c>
      <c r="N4368" t="s">
        <v>5272</v>
      </c>
      <c r="O4368" t="s">
        <v>460</v>
      </c>
    </row>
    <row r="4369" spans="1:15" x14ac:dyDescent="0.3">
      <c r="A4369">
        <v>208104</v>
      </c>
      <c r="B4369">
        <v>105</v>
      </c>
      <c r="C4369" t="s">
        <v>557</v>
      </c>
      <c r="D4369" t="s">
        <v>2600</v>
      </c>
      <c r="E4369" t="s">
        <v>3539</v>
      </c>
      <c r="F4369" s="451">
        <v>46066</v>
      </c>
      <c r="G4369">
        <v>20549</v>
      </c>
      <c r="H4369" t="s">
        <v>4823</v>
      </c>
      <c r="I4369" t="s">
        <v>5191</v>
      </c>
      <c r="J4369">
        <v>7.4</v>
      </c>
      <c r="K4369" t="s">
        <v>4744</v>
      </c>
      <c r="L4369">
        <v>147.93</v>
      </c>
      <c r="M4369">
        <v>19.990541</v>
      </c>
      <c r="N4369" t="s">
        <v>5272</v>
      </c>
      <c r="O4369" t="s">
        <v>460</v>
      </c>
    </row>
    <row r="4370" spans="1:15" x14ac:dyDescent="0.3">
      <c r="A4370">
        <v>208104</v>
      </c>
      <c r="B4370">
        <v>105</v>
      </c>
      <c r="C4370" t="s">
        <v>557</v>
      </c>
      <c r="D4370" t="s">
        <v>2600</v>
      </c>
      <c r="E4370" t="s">
        <v>3539</v>
      </c>
      <c r="F4370" s="451">
        <v>46066</v>
      </c>
      <c r="G4370">
        <v>24197</v>
      </c>
      <c r="H4370" t="s">
        <v>5237</v>
      </c>
      <c r="I4370" t="s">
        <v>5191</v>
      </c>
      <c r="J4370">
        <v>11</v>
      </c>
      <c r="K4370" t="s">
        <v>4744</v>
      </c>
      <c r="L4370">
        <v>219.89</v>
      </c>
      <c r="M4370">
        <v>19.989999999999998</v>
      </c>
      <c r="N4370" t="s">
        <v>5272</v>
      </c>
      <c r="O4370" t="s">
        <v>460</v>
      </c>
    </row>
    <row r="4371" spans="1:15" x14ac:dyDescent="0.3">
      <c r="A4371">
        <v>208087</v>
      </c>
      <c r="B4371">
        <v>105</v>
      </c>
      <c r="C4371" t="s">
        <v>557</v>
      </c>
      <c r="D4371" t="s">
        <v>2563</v>
      </c>
      <c r="E4371" t="s">
        <v>3540</v>
      </c>
      <c r="F4371" s="451">
        <v>46064</v>
      </c>
      <c r="G4371">
        <v>19607</v>
      </c>
      <c r="H4371" t="s">
        <v>4981</v>
      </c>
      <c r="I4371" t="s">
        <v>5191</v>
      </c>
      <c r="J4371">
        <v>0.45</v>
      </c>
      <c r="K4371" t="s">
        <v>4744</v>
      </c>
      <c r="L4371">
        <v>6.53</v>
      </c>
      <c r="M4371">
        <v>14.511111</v>
      </c>
      <c r="N4371" t="s">
        <v>5272</v>
      </c>
      <c r="O4371" t="s">
        <v>460</v>
      </c>
    </row>
    <row r="4372" spans="1:15" x14ac:dyDescent="0.3">
      <c r="A4372">
        <v>208087</v>
      </c>
      <c r="B4372">
        <v>105</v>
      </c>
      <c r="C4372" t="s">
        <v>557</v>
      </c>
      <c r="D4372" t="s">
        <v>2563</v>
      </c>
      <c r="E4372" t="s">
        <v>3540</v>
      </c>
      <c r="F4372" s="451">
        <v>46064</v>
      </c>
      <c r="G4372">
        <v>19562</v>
      </c>
      <c r="H4372" t="s">
        <v>4939</v>
      </c>
      <c r="I4372" t="s">
        <v>5191</v>
      </c>
      <c r="J4372">
        <v>1.2</v>
      </c>
      <c r="K4372" t="s">
        <v>4744</v>
      </c>
      <c r="L4372">
        <v>21.6</v>
      </c>
      <c r="M4372">
        <v>18</v>
      </c>
      <c r="N4372" t="s">
        <v>5272</v>
      </c>
      <c r="O4372" t="s">
        <v>460</v>
      </c>
    </row>
    <row r="4373" spans="1:15" x14ac:dyDescent="0.3">
      <c r="A4373">
        <v>208087</v>
      </c>
      <c r="B4373">
        <v>105</v>
      </c>
      <c r="C4373" t="s">
        <v>557</v>
      </c>
      <c r="D4373" t="s">
        <v>2563</v>
      </c>
      <c r="E4373" t="s">
        <v>3540</v>
      </c>
      <c r="F4373" s="451">
        <v>46064</v>
      </c>
      <c r="G4373">
        <v>23228</v>
      </c>
      <c r="H4373" t="s">
        <v>4782</v>
      </c>
      <c r="I4373" t="s">
        <v>5191</v>
      </c>
      <c r="J4373">
        <v>3</v>
      </c>
      <c r="K4373" t="s">
        <v>4744</v>
      </c>
      <c r="L4373">
        <v>19.59</v>
      </c>
      <c r="M4373">
        <v>6.53</v>
      </c>
      <c r="N4373" t="s">
        <v>5272</v>
      </c>
      <c r="O4373" t="s">
        <v>460</v>
      </c>
    </row>
    <row r="4374" spans="1:15" x14ac:dyDescent="0.3">
      <c r="A4374">
        <v>208087</v>
      </c>
      <c r="B4374">
        <v>105</v>
      </c>
      <c r="C4374" t="s">
        <v>557</v>
      </c>
      <c r="D4374" t="s">
        <v>2563</v>
      </c>
      <c r="E4374" t="s">
        <v>3540</v>
      </c>
      <c r="F4374" s="451">
        <v>46064</v>
      </c>
      <c r="G4374">
        <v>23346</v>
      </c>
      <c r="H4374" t="s">
        <v>4916</v>
      </c>
      <c r="I4374" t="s">
        <v>5191</v>
      </c>
      <c r="J4374">
        <v>2.5</v>
      </c>
      <c r="K4374" t="s">
        <v>4744</v>
      </c>
      <c r="L4374">
        <v>12.7</v>
      </c>
      <c r="M4374">
        <v>5.08</v>
      </c>
      <c r="N4374" t="s">
        <v>5272</v>
      </c>
      <c r="O4374" t="s">
        <v>460</v>
      </c>
    </row>
    <row r="4375" spans="1:15" x14ac:dyDescent="0.3">
      <c r="A4375">
        <v>208087</v>
      </c>
      <c r="B4375">
        <v>105</v>
      </c>
      <c r="C4375" t="s">
        <v>557</v>
      </c>
      <c r="D4375" t="s">
        <v>2563</v>
      </c>
      <c r="E4375" t="s">
        <v>3540</v>
      </c>
      <c r="F4375" s="451">
        <v>46064</v>
      </c>
      <c r="G4375">
        <v>23195</v>
      </c>
      <c r="H4375" t="s">
        <v>5051</v>
      </c>
      <c r="I4375" t="s">
        <v>5191</v>
      </c>
      <c r="J4375">
        <v>0.7</v>
      </c>
      <c r="K4375" t="s">
        <v>4744</v>
      </c>
      <c r="L4375">
        <v>10.15</v>
      </c>
      <c r="M4375">
        <v>14.5</v>
      </c>
      <c r="N4375" t="s">
        <v>5272</v>
      </c>
      <c r="O4375" t="s">
        <v>460</v>
      </c>
    </row>
    <row r="4376" spans="1:15" x14ac:dyDescent="0.3">
      <c r="A4376">
        <v>208087</v>
      </c>
      <c r="B4376">
        <v>105</v>
      </c>
      <c r="C4376" t="s">
        <v>557</v>
      </c>
      <c r="D4376" t="s">
        <v>2563</v>
      </c>
      <c r="E4376" t="s">
        <v>3540</v>
      </c>
      <c r="F4376" s="451">
        <v>46064</v>
      </c>
      <c r="G4376">
        <v>23198</v>
      </c>
      <c r="H4376" t="s">
        <v>4962</v>
      </c>
      <c r="I4376" t="s">
        <v>5191</v>
      </c>
      <c r="J4376">
        <v>1.4</v>
      </c>
      <c r="K4376" t="s">
        <v>4744</v>
      </c>
      <c r="L4376">
        <v>25.2</v>
      </c>
      <c r="M4376">
        <v>18</v>
      </c>
      <c r="N4376" t="s">
        <v>5272</v>
      </c>
      <c r="O4376" t="s">
        <v>460</v>
      </c>
    </row>
    <row r="4377" spans="1:15" x14ac:dyDescent="0.3">
      <c r="A4377">
        <v>208087</v>
      </c>
      <c r="B4377">
        <v>105</v>
      </c>
      <c r="C4377" t="s">
        <v>557</v>
      </c>
      <c r="D4377" t="s">
        <v>2563</v>
      </c>
      <c r="E4377" t="s">
        <v>3540</v>
      </c>
      <c r="F4377" s="451">
        <v>46064</v>
      </c>
      <c r="G4377">
        <v>23095</v>
      </c>
      <c r="H4377" t="s">
        <v>4741</v>
      </c>
      <c r="I4377" t="s">
        <v>5191</v>
      </c>
      <c r="J4377">
        <v>30</v>
      </c>
      <c r="K4377" t="s">
        <v>4736</v>
      </c>
      <c r="L4377">
        <v>43.5</v>
      </c>
      <c r="M4377">
        <v>1.45</v>
      </c>
      <c r="N4377" t="s">
        <v>5272</v>
      </c>
      <c r="O4377" t="s">
        <v>460</v>
      </c>
    </row>
    <row r="4378" spans="1:15" x14ac:dyDescent="0.3">
      <c r="A4378">
        <v>208084</v>
      </c>
      <c r="B4378">
        <v>105</v>
      </c>
      <c r="C4378" t="s">
        <v>557</v>
      </c>
      <c r="D4378" t="s">
        <v>2563</v>
      </c>
      <c r="E4378" t="s">
        <v>3541</v>
      </c>
      <c r="F4378" s="451">
        <v>46065</v>
      </c>
      <c r="G4378">
        <v>19621</v>
      </c>
      <c r="H4378" t="s">
        <v>4829</v>
      </c>
      <c r="I4378" t="s">
        <v>5191</v>
      </c>
      <c r="J4378">
        <v>3</v>
      </c>
      <c r="K4378" t="s">
        <v>4744</v>
      </c>
      <c r="L4378">
        <v>9.1199999999999992</v>
      </c>
      <c r="M4378">
        <v>3.04</v>
      </c>
      <c r="N4378" t="s">
        <v>5272</v>
      </c>
      <c r="O4378" t="s">
        <v>460</v>
      </c>
    </row>
    <row r="4379" spans="1:15" x14ac:dyDescent="0.3">
      <c r="A4379">
        <v>208084</v>
      </c>
      <c r="B4379">
        <v>105</v>
      </c>
      <c r="C4379" t="s">
        <v>557</v>
      </c>
      <c r="D4379" t="s">
        <v>2563</v>
      </c>
      <c r="E4379" t="s">
        <v>3541</v>
      </c>
      <c r="F4379" s="451">
        <v>46065</v>
      </c>
      <c r="G4379">
        <v>24083</v>
      </c>
      <c r="H4379" t="s">
        <v>5165</v>
      </c>
      <c r="I4379" t="s">
        <v>5191</v>
      </c>
      <c r="J4379">
        <v>80</v>
      </c>
      <c r="K4379" t="s">
        <v>4744</v>
      </c>
      <c r="L4379">
        <v>319.2</v>
      </c>
      <c r="M4379">
        <v>3.99</v>
      </c>
      <c r="N4379" t="s">
        <v>5272</v>
      </c>
      <c r="O4379" t="s">
        <v>460</v>
      </c>
    </row>
    <row r="4380" spans="1:15" x14ac:dyDescent="0.3">
      <c r="A4380">
        <v>208084</v>
      </c>
      <c r="B4380">
        <v>105</v>
      </c>
      <c r="C4380" t="s">
        <v>557</v>
      </c>
      <c r="D4380" t="s">
        <v>2563</v>
      </c>
      <c r="E4380" t="s">
        <v>3541</v>
      </c>
      <c r="F4380" s="451">
        <v>46065</v>
      </c>
      <c r="G4380">
        <v>19607</v>
      </c>
      <c r="H4380" t="s">
        <v>4981</v>
      </c>
      <c r="I4380" t="s">
        <v>5191</v>
      </c>
      <c r="J4380">
        <v>0.4</v>
      </c>
      <c r="K4380" t="s">
        <v>4744</v>
      </c>
      <c r="L4380">
        <v>5.8</v>
      </c>
      <c r="M4380">
        <v>14.5</v>
      </c>
      <c r="N4380" t="s">
        <v>5272</v>
      </c>
      <c r="O4380" t="s">
        <v>460</v>
      </c>
    </row>
    <row r="4381" spans="1:15" x14ac:dyDescent="0.3">
      <c r="A4381">
        <v>208084</v>
      </c>
      <c r="B4381">
        <v>105</v>
      </c>
      <c r="C4381" t="s">
        <v>557</v>
      </c>
      <c r="D4381" t="s">
        <v>2563</v>
      </c>
      <c r="E4381" t="s">
        <v>3541</v>
      </c>
      <c r="F4381" s="451">
        <v>46065</v>
      </c>
      <c r="G4381">
        <v>19589</v>
      </c>
      <c r="H4381" t="s">
        <v>4983</v>
      </c>
      <c r="I4381" t="s">
        <v>5191</v>
      </c>
      <c r="J4381">
        <v>3.19</v>
      </c>
      <c r="K4381" t="s">
        <v>4744</v>
      </c>
      <c r="L4381">
        <v>18.5</v>
      </c>
      <c r="M4381">
        <v>5.7993730000000001</v>
      </c>
      <c r="N4381" t="s">
        <v>5272</v>
      </c>
      <c r="O4381" t="s">
        <v>460</v>
      </c>
    </row>
    <row r="4382" spans="1:15" x14ac:dyDescent="0.3">
      <c r="A4382">
        <v>208084</v>
      </c>
      <c r="B4382">
        <v>105</v>
      </c>
      <c r="C4382" t="s">
        <v>557</v>
      </c>
      <c r="D4382" t="s">
        <v>2563</v>
      </c>
      <c r="E4382" t="s">
        <v>3541</v>
      </c>
      <c r="F4382" s="451">
        <v>46065</v>
      </c>
      <c r="G4382">
        <v>19492</v>
      </c>
      <c r="H4382" t="s">
        <v>4937</v>
      </c>
      <c r="I4382" t="s">
        <v>5191</v>
      </c>
      <c r="J4382">
        <v>1.5</v>
      </c>
      <c r="K4382" t="s">
        <v>4744</v>
      </c>
      <c r="L4382">
        <v>29.91</v>
      </c>
      <c r="M4382">
        <v>19.940000000000001</v>
      </c>
      <c r="N4382" t="s">
        <v>5272</v>
      </c>
      <c r="O4382" t="s">
        <v>460</v>
      </c>
    </row>
    <row r="4383" spans="1:15" x14ac:dyDescent="0.3">
      <c r="A4383">
        <v>208084</v>
      </c>
      <c r="B4383">
        <v>105</v>
      </c>
      <c r="C4383" t="s">
        <v>557</v>
      </c>
      <c r="D4383" t="s">
        <v>2563</v>
      </c>
      <c r="E4383" t="s">
        <v>3541</v>
      </c>
      <c r="F4383" s="451">
        <v>46065</v>
      </c>
      <c r="G4383">
        <v>19551</v>
      </c>
      <c r="H4383" t="s">
        <v>4905</v>
      </c>
      <c r="I4383" t="s">
        <v>5191</v>
      </c>
      <c r="J4383">
        <v>3.1</v>
      </c>
      <c r="K4383" t="s">
        <v>4744</v>
      </c>
      <c r="L4383">
        <v>44.95</v>
      </c>
      <c r="M4383">
        <v>14.5</v>
      </c>
      <c r="N4383" t="s">
        <v>5272</v>
      </c>
      <c r="O4383" t="s">
        <v>460</v>
      </c>
    </row>
    <row r="4384" spans="1:15" x14ac:dyDescent="0.3">
      <c r="A4384">
        <v>208084</v>
      </c>
      <c r="B4384">
        <v>105</v>
      </c>
      <c r="C4384" t="s">
        <v>557</v>
      </c>
      <c r="D4384" t="s">
        <v>2563</v>
      </c>
      <c r="E4384" t="s">
        <v>3541</v>
      </c>
      <c r="F4384" s="451">
        <v>46065</v>
      </c>
      <c r="G4384">
        <v>23349</v>
      </c>
      <c r="H4384" t="s">
        <v>4988</v>
      </c>
      <c r="I4384" t="s">
        <v>5191</v>
      </c>
      <c r="J4384">
        <v>1.3</v>
      </c>
      <c r="K4384" t="s">
        <v>4744</v>
      </c>
      <c r="L4384">
        <v>13.82</v>
      </c>
      <c r="M4384">
        <v>10.630769000000001</v>
      </c>
      <c r="N4384" t="s">
        <v>5272</v>
      </c>
      <c r="O4384" t="s">
        <v>460</v>
      </c>
    </row>
    <row r="4385" spans="1:15" x14ac:dyDescent="0.3">
      <c r="A4385">
        <v>208084</v>
      </c>
      <c r="B4385">
        <v>105</v>
      </c>
      <c r="C4385" t="s">
        <v>557</v>
      </c>
      <c r="D4385" t="s">
        <v>2563</v>
      </c>
      <c r="E4385" t="s">
        <v>3541</v>
      </c>
      <c r="F4385" s="451">
        <v>46065</v>
      </c>
      <c r="G4385">
        <v>23095</v>
      </c>
      <c r="H4385" t="s">
        <v>4741</v>
      </c>
      <c r="I4385" t="s">
        <v>5191</v>
      </c>
      <c r="J4385">
        <v>90</v>
      </c>
      <c r="K4385" t="s">
        <v>4736</v>
      </c>
      <c r="L4385">
        <v>130.5</v>
      </c>
      <c r="M4385">
        <v>1.45</v>
      </c>
      <c r="N4385" t="s">
        <v>5272</v>
      </c>
      <c r="O4385" t="s">
        <v>460</v>
      </c>
    </row>
    <row r="4386" spans="1:15" x14ac:dyDescent="0.3">
      <c r="A4386">
        <v>208084</v>
      </c>
      <c r="B4386">
        <v>105</v>
      </c>
      <c r="C4386" t="s">
        <v>557</v>
      </c>
      <c r="D4386" t="s">
        <v>2563</v>
      </c>
      <c r="E4386" t="s">
        <v>3541</v>
      </c>
      <c r="F4386" s="451">
        <v>46065</v>
      </c>
      <c r="G4386">
        <v>23184</v>
      </c>
      <c r="H4386" t="s">
        <v>4935</v>
      </c>
      <c r="I4386" t="s">
        <v>5191</v>
      </c>
      <c r="J4386">
        <v>2.15</v>
      </c>
      <c r="K4386" t="s">
        <v>4744</v>
      </c>
      <c r="L4386">
        <v>38.979999999999997</v>
      </c>
      <c r="M4386">
        <v>18.130233</v>
      </c>
      <c r="N4386" t="s">
        <v>5272</v>
      </c>
      <c r="O4386" t="s">
        <v>460</v>
      </c>
    </row>
    <row r="4387" spans="1:15" x14ac:dyDescent="0.3">
      <c r="A4387">
        <v>208082</v>
      </c>
      <c r="B4387">
        <v>105</v>
      </c>
      <c r="C4387" t="s">
        <v>557</v>
      </c>
      <c r="D4387" t="s">
        <v>2593</v>
      </c>
      <c r="E4387" t="s">
        <v>3542</v>
      </c>
      <c r="F4387" s="451">
        <v>46059</v>
      </c>
      <c r="G4387">
        <v>24256</v>
      </c>
      <c r="H4387" t="s">
        <v>4773</v>
      </c>
      <c r="I4387" t="s">
        <v>5191</v>
      </c>
      <c r="J4387">
        <v>20</v>
      </c>
      <c r="K4387" t="s">
        <v>4744</v>
      </c>
      <c r="L4387">
        <v>760</v>
      </c>
      <c r="M4387">
        <v>38</v>
      </c>
      <c r="N4387" t="s">
        <v>5272</v>
      </c>
      <c r="O4387" t="s">
        <v>460</v>
      </c>
    </row>
    <row r="4388" spans="1:15" x14ac:dyDescent="0.3">
      <c r="A4388">
        <v>208080</v>
      </c>
      <c r="B4388">
        <v>105</v>
      </c>
      <c r="C4388" t="s">
        <v>557</v>
      </c>
      <c r="D4388" t="s">
        <v>2593</v>
      </c>
      <c r="E4388" t="s">
        <v>3543</v>
      </c>
      <c r="F4388" s="451">
        <v>46058</v>
      </c>
      <c r="G4388">
        <v>18731</v>
      </c>
      <c r="H4388" t="s">
        <v>4832</v>
      </c>
      <c r="I4388" t="s">
        <v>5191</v>
      </c>
      <c r="J4388">
        <v>14.7</v>
      </c>
      <c r="L4388">
        <v>1058.4000000000001</v>
      </c>
      <c r="M4388">
        <v>72</v>
      </c>
      <c r="N4388" t="s">
        <v>5272</v>
      </c>
      <c r="O4388" t="s">
        <v>460</v>
      </c>
    </row>
    <row r="4389" spans="1:15" x14ac:dyDescent="0.3">
      <c r="A4389">
        <v>208073</v>
      </c>
      <c r="B4389">
        <v>105</v>
      </c>
      <c r="C4389" t="s">
        <v>557</v>
      </c>
      <c r="D4389" t="s">
        <v>2732</v>
      </c>
      <c r="E4389" t="s">
        <v>3544</v>
      </c>
      <c r="F4389" s="451">
        <v>46062</v>
      </c>
      <c r="G4389">
        <v>25777</v>
      </c>
      <c r="H4389" t="s">
        <v>4774</v>
      </c>
      <c r="I4389" t="s">
        <v>5191</v>
      </c>
      <c r="J4389">
        <v>20.3</v>
      </c>
      <c r="K4389" t="s">
        <v>4744</v>
      </c>
      <c r="L4389">
        <v>1561.07</v>
      </c>
      <c r="M4389">
        <v>76.900000000000006</v>
      </c>
      <c r="N4389" t="s">
        <v>5272</v>
      </c>
      <c r="O4389" t="s">
        <v>460</v>
      </c>
    </row>
    <row r="4390" spans="1:15" x14ac:dyDescent="0.3">
      <c r="A4390">
        <v>208073</v>
      </c>
      <c r="B4390">
        <v>105</v>
      </c>
      <c r="C4390" t="s">
        <v>557</v>
      </c>
      <c r="D4390" t="s">
        <v>2732</v>
      </c>
      <c r="E4390" t="s">
        <v>3544</v>
      </c>
      <c r="F4390" s="451">
        <v>46062</v>
      </c>
      <c r="G4390">
        <v>19047</v>
      </c>
      <c r="H4390" t="s">
        <v>5393</v>
      </c>
      <c r="I4390" t="s">
        <v>5191</v>
      </c>
      <c r="J4390">
        <v>4.8</v>
      </c>
      <c r="K4390" t="s">
        <v>4744</v>
      </c>
      <c r="L4390">
        <v>127.2</v>
      </c>
      <c r="M4390">
        <v>26.5</v>
      </c>
      <c r="N4390" t="s">
        <v>5272</v>
      </c>
      <c r="O4390" t="s">
        <v>460</v>
      </c>
    </row>
    <row r="4391" spans="1:15" x14ac:dyDescent="0.3">
      <c r="A4391">
        <v>208068</v>
      </c>
      <c r="B4391">
        <v>105</v>
      </c>
      <c r="C4391" t="s">
        <v>557</v>
      </c>
      <c r="D4391" t="s">
        <v>2653</v>
      </c>
      <c r="E4391" t="s">
        <v>3545</v>
      </c>
      <c r="F4391" s="451">
        <v>46062</v>
      </c>
      <c r="G4391">
        <v>24200</v>
      </c>
      <c r="H4391" t="s">
        <v>4820</v>
      </c>
      <c r="I4391" t="s">
        <v>5191</v>
      </c>
      <c r="J4391">
        <v>5</v>
      </c>
      <c r="K4391" t="s">
        <v>4744</v>
      </c>
      <c r="L4391">
        <v>164.5</v>
      </c>
      <c r="M4391">
        <v>32.9</v>
      </c>
      <c r="N4391" t="s">
        <v>5272</v>
      </c>
      <c r="O4391" t="s">
        <v>460</v>
      </c>
    </row>
    <row r="4392" spans="1:15" x14ac:dyDescent="0.3">
      <c r="A4392">
        <v>205914</v>
      </c>
      <c r="B4392">
        <v>105</v>
      </c>
      <c r="C4392" t="s">
        <v>557</v>
      </c>
      <c r="D4392" t="s">
        <v>2644</v>
      </c>
      <c r="E4392" t="s">
        <v>3546</v>
      </c>
      <c r="F4392" s="451">
        <v>46041</v>
      </c>
      <c r="G4392">
        <v>19983</v>
      </c>
      <c r="H4392" t="s">
        <v>5068</v>
      </c>
      <c r="I4392" t="s">
        <v>5191</v>
      </c>
      <c r="J4392">
        <v>2</v>
      </c>
      <c r="K4392" t="s">
        <v>5241</v>
      </c>
      <c r="L4392">
        <v>39.6</v>
      </c>
      <c r="M4392">
        <v>19.8</v>
      </c>
      <c r="N4392" t="s">
        <v>5272</v>
      </c>
      <c r="O4392" t="s">
        <v>459</v>
      </c>
    </row>
    <row r="4393" spans="1:15" x14ac:dyDescent="0.3">
      <c r="A4393">
        <v>205914</v>
      </c>
      <c r="B4393">
        <v>105</v>
      </c>
      <c r="C4393" t="s">
        <v>557</v>
      </c>
      <c r="D4393" t="s">
        <v>2644</v>
      </c>
      <c r="E4393" t="s">
        <v>3546</v>
      </c>
      <c r="F4393" s="451">
        <v>46041</v>
      </c>
      <c r="G4393">
        <v>20382</v>
      </c>
      <c r="H4393" t="s">
        <v>4780</v>
      </c>
      <c r="I4393" t="s">
        <v>5191</v>
      </c>
      <c r="J4393">
        <v>20</v>
      </c>
      <c r="K4393" t="s">
        <v>5238</v>
      </c>
      <c r="L4393">
        <v>179.8</v>
      </c>
      <c r="M4393">
        <v>8.99</v>
      </c>
      <c r="N4393" t="s">
        <v>5272</v>
      </c>
      <c r="O4393" t="s">
        <v>459</v>
      </c>
    </row>
    <row r="4394" spans="1:15" x14ac:dyDescent="0.3">
      <c r="A4394">
        <v>205912</v>
      </c>
      <c r="B4394">
        <v>105</v>
      </c>
      <c r="C4394" t="s">
        <v>557</v>
      </c>
      <c r="D4394" t="s">
        <v>2644</v>
      </c>
      <c r="E4394" t="s">
        <v>3547</v>
      </c>
      <c r="F4394" s="451">
        <v>46043</v>
      </c>
      <c r="G4394">
        <v>21423</v>
      </c>
      <c r="H4394" t="s">
        <v>5248</v>
      </c>
      <c r="I4394" t="s">
        <v>5188</v>
      </c>
      <c r="J4394">
        <v>4</v>
      </c>
      <c r="K4394" t="s">
        <v>5245</v>
      </c>
      <c r="L4394">
        <v>127.28</v>
      </c>
      <c r="M4394">
        <v>31.82</v>
      </c>
      <c r="N4394" t="s">
        <v>5277</v>
      </c>
      <c r="O4394" t="s">
        <v>459</v>
      </c>
    </row>
    <row r="4395" spans="1:15" x14ac:dyDescent="0.3">
      <c r="A4395">
        <v>205911</v>
      </c>
      <c r="B4395">
        <v>105</v>
      </c>
      <c r="C4395" t="s">
        <v>557</v>
      </c>
      <c r="D4395" t="s">
        <v>2571</v>
      </c>
      <c r="E4395" t="s">
        <v>3548</v>
      </c>
      <c r="F4395" s="451">
        <v>46043</v>
      </c>
      <c r="G4395">
        <v>19291</v>
      </c>
      <c r="H4395" t="s">
        <v>4870</v>
      </c>
      <c r="I4395" t="s">
        <v>5191</v>
      </c>
      <c r="J4395">
        <v>7.5</v>
      </c>
      <c r="K4395" t="s">
        <v>4744</v>
      </c>
      <c r="L4395">
        <v>591.75</v>
      </c>
      <c r="M4395">
        <v>78.900000000000006</v>
      </c>
      <c r="N4395" t="s">
        <v>5272</v>
      </c>
      <c r="O4395" t="s">
        <v>459</v>
      </c>
    </row>
    <row r="4396" spans="1:15" x14ac:dyDescent="0.3">
      <c r="A4396">
        <v>205909</v>
      </c>
      <c r="B4396">
        <v>105</v>
      </c>
      <c r="C4396" t="s">
        <v>557</v>
      </c>
      <c r="D4396" t="s">
        <v>2557</v>
      </c>
      <c r="E4396" t="s">
        <v>3549</v>
      </c>
      <c r="F4396" s="451">
        <v>46043</v>
      </c>
      <c r="G4396">
        <v>17465</v>
      </c>
      <c r="H4396" t="s">
        <v>5279</v>
      </c>
      <c r="I4396" t="s">
        <v>5215</v>
      </c>
      <c r="J4396">
        <v>1</v>
      </c>
      <c r="K4396" t="s">
        <v>4749</v>
      </c>
      <c r="L4396">
        <v>670.38</v>
      </c>
      <c r="M4396">
        <v>670.38</v>
      </c>
      <c r="N4396" t="s">
        <v>5394</v>
      </c>
      <c r="O4396" t="s">
        <v>459</v>
      </c>
    </row>
    <row r="4397" spans="1:15" x14ac:dyDescent="0.3">
      <c r="A4397">
        <v>205909</v>
      </c>
      <c r="B4397">
        <v>105</v>
      </c>
      <c r="C4397" t="s">
        <v>557</v>
      </c>
      <c r="D4397" t="s">
        <v>2557</v>
      </c>
      <c r="E4397" t="s">
        <v>3549</v>
      </c>
      <c r="F4397" s="451">
        <v>46043</v>
      </c>
      <c r="G4397">
        <v>21716</v>
      </c>
      <c r="H4397" t="s">
        <v>5281</v>
      </c>
      <c r="I4397" t="s">
        <v>5215</v>
      </c>
      <c r="J4397">
        <v>1</v>
      </c>
      <c r="K4397" t="s">
        <v>4749</v>
      </c>
      <c r="L4397">
        <v>399.5</v>
      </c>
      <c r="M4397">
        <v>399.5</v>
      </c>
      <c r="N4397" t="s">
        <v>5394</v>
      </c>
      <c r="O4397" t="s">
        <v>459</v>
      </c>
    </row>
    <row r="4398" spans="1:15" x14ac:dyDescent="0.3">
      <c r="A4398">
        <v>205907</v>
      </c>
      <c r="B4398">
        <v>105</v>
      </c>
      <c r="C4398" t="s">
        <v>557</v>
      </c>
      <c r="D4398" t="s">
        <v>2607</v>
      </c>
      <c r="E4398" t="s">
        <v>3550</v>
      </c>
      <c r="F4398" s="451">
        <v>46043</v>
      </c>
      <c r="G4398">
        <v>25777</v>
      </c>
      <c r="H4398" t="s">
        <v>4774</v>
      </c>
      <c r="I4398" t="s">
        <v>5191</v>
      </c>
      <c r="J4398">
        <v>13.4</v>
      </c>
      <c r="K4398" t="s">
        <v>4744</v>
      </c>
      <c r="L4398">
        <v>1139</v>
      </c>
      <c r="M4398">
        <v>85</v>
      </c>
      <c r="N4398" t="s">
        <v>5272</v>
      </c>
      <c r="O4398" t="s">
        <v>459</v>
      </c>
    </row>
    <row r="4399" spans="1:15" x14ac:dyDescent="0.3">
      <c r="A4399">
        <v>205905</v>
      </c>
      <c r="B4399">
        <v>105</v>
      </c>
      <c r="C4399" t="s">
        <v>557</v>
      </c>
      <c r="D4399" t="s">
        <v>2581</v>
      </c>
      <c r="E4399" t="s">
        <v>3551</v>
      </c>
      <c r="F4399" s="451">
        <v>46043</v>
      </c>
      <c r="G4399">
        <v>19505</v>
      </c>
      <c r="H4399" t="s">
        <v>4872</v>
      </c>
      <c r="I4399" t="s">
        <v>5191</v>
      </c>
      <c r="J4399">
        <v>2</v>
      </c>
      <c r="K4399" t="s">
        <v>4744</v>
      </c>
      <c r="L4399">
        <v>24</v>
      </c>
      <c r="M4399">
        <v>12</v>
      </c>
      <c r="N4399" t="s">
        <v>5272</v>
      </c>
      <c r="O4399" t="s">
        <v>459</v>
      </c>
    </row>
    <row r="4400" spans="1:15" x14ac:dyDescent="0.3">
      <c r="A4400">
        <v>205905</v>
      </c>
      <c r="B4400">
        <v>105</v>
      </c>
      <c r="C4400" t="s">
        <v>557</v>
      </c>
      <c r="D4400" t="s">
        <v>2581</v>
      </c>
      <c r="E4400" t="s">
        <v>3551</v>
      </c>
      <c r="F4400" s="451">
        <v>46043</v>
      </c>
      <c r="G4400">
        <v>19553</v>
      </c>
      <c r="H4400" t="s">
        <v>4868</v>
      </c>
      <c r="I4400" t="s">
        <v>5191</v>
      </c>
      <c r="J4400">
        <v>2</v>
      </c>
      <c r="K4400" t="s">
        <v>4744</v>
      </c>
      <c r="L4400">
        <v>6.4</v>
      </c>
      <c r="M4400">
        <v>3.2</v>
      </c>
      <c r="N4400" t="s">
        <v>5272</v>
      </c>
      <c r="O4400" t="s">
        <v>459</v>
      </c>
    </row>
    <row r="4401" spans="1:15" x14ac:dyDescent="0.3">
      <c r="A4401">
        <v>205905</v>
      </c>
      <c r="B4401">
        <v>105</v>
      </c>
      <c r="C4401" t="s">
        <v>557</v>
      </c>
      <c r="D4401" t="s">
        <v>2581</v>
      </c>
      <c r="E4401" t="s">
        <v>3551</v>
      </c>
      <c r="F4401" s="451">
        <v>46043</v>
      </c>
      <c r="G4401">
        <v>23108</v>
      </c>
      <c r="H4401" t="s">
        <v>5117</v>
      </c>
      <c r="I4401" t="s">
        <v>5191</v>
      </c>
      <c r="J4401">
        <v>0.2</v>
      </c>
      <c r="K4401" t="s">
        <v>4744</v>
      </c>
      <c r="L4401">
        <v>12</v>
      </c>
      <c r="M4401">
        <v>60</v>
      </c>
      <c r="N4401" t="s">
        <v>5272</v>
      </c>
      <c r="O4401" t="s">
        <v>459</v>
      </c>
    </row>
    <row r="4402" spans="1:15" x14ac:dyDescent="0.3">
      <c r="A4402">
        <v>205904</v>
      </c>
      <c r="B4402">
        <v>105</v>
      </c>
      <c r="C4402" t="s">
        <v>557</v>
      </c>
      <c r="D4402" t="s">
        <v>2552</v>
      </c>
      <c r="E4402" t="s">
        <v>3552</v>
      </c>
      <c r="F4402" s="451">
        <v>46043</v>
      </c>
      <c r="G4402">
        <v>26627</v>
      </c>
      <c r="H4402" t="s">
        <v>5190</v>
      </c>
      <c r="I4402" t="s">
        <v>5191</v>
      </c>
      <c r="J4402">
        <v>20</v>
      </c>
      <c r="K4402" t="s">
        <v>4744</v>
      </c>
      <c r="L4402">
        <v>158</v>
      </c>
      <c r="M4402">
        <v>7.9</v>
      </c>
      <c r="N4402" t="s">
        <v>5272</v>
      </c>
      <c r="O4402" t="s">
        <v>459</v>
      </c>
    </row>
    <row r="4403" spans="1:15" x14ac:dyDescent="0.3">
      <c r="A4403">
        <v>205903</v>
      </c>
      <c r="B4403">
        <v>105</v>
      </c>
      <c r="C4403" t="s">
        <v>557</v>
      </c>
      <c r="D4403" t="s">
        <v>2615</v>
      </c>
      <c r="E4403" t="s">
        <v>3553</v>
      </c>
      <c r="F4403" s="451">
        <v>46043</v>
      </c>
      <c r="G4403">
        <v>20623</v>
      </c>
      <c r="H4403" t="s">
        <v>4814</v>
      </c>
      <c r="I4403" t="s">
        <v>5191</v>
      </c>
      <c r="J4403">
        <v>10</v>
      </c>
      <c r="K4403" t="s">
        <v>4744</v>
      </c>
      <c r="L4403">
        <v>123.9</v>
      </c>
      <c r="M4403">
        <v>12.39</v>
      </c>
      <c r="N4403" t="s">
        <v>5272</v>
      </c>
      <c r="O4403" t="s">
        <v>459</v>
      </c>
    </row>
    <row r="4404" spans="1:15" x14ac:dyDescent="0.3">
      <c r="A4404">
        <v>205534</v>
      </c>
      <c r="B4404">
        <v>105</v>
      </c>
      <c r="C4404" t="s">
        <v>557</v>
      </c>
      <c r="D4404" t="s">
        <v>3328</v>
      </c>
      <c r="E4404" t="s">
        <v>3554</v>
      </c>
      <c r="F4404" s="451">
        <v>46052</v>
      </c>
      <c r="G4404">
        <v>19734</v>
      </c>
      <c r="H4404" t="s">
        <v>4833</v>
      </c>
      <c r="I4404" t="s">
        <v>5191</v>
      </c>
      <c r="J4404">
        <v>4</v>
      </c>
      <c r="K4404" t="s">
        <v>4744</v>
      </c>
      <c r="L4404">
        <v>60</v>
      </c>
      <c r="M4404">
        <v>15</v>
      </c>
      <c r="N4404" t="s">
        <v>5272</v>
      </c>
      <c r="O4404" t="s">
        <v>459</v>
      </c>
    </row>
    <row r="4405" spans="1:15" x14ac:dyDescent="0.3">
      <c r="A4405">
        <v>205534</v>
      </c>
      <c r="B4405">
        <v>105</v>
      </c>
      <c r="C4405" t="s">
        <v>557</v>
      </c>
      <c r="D4405" t="s">
        <v>3328</v>
      </c>
      <c r="E4405" t="s">
        <v>3554</v>
      </c>
      <c r="F4405" s="451">
        <v>46052</v>
      </c>
      <c r="G4405">
        <v>23335</v>
      </c>
      <c r="H4405" t="s">
        <v>4961</v>
      </c>
      <c r="I4405" t="s">
        <v>5191</v>
      </c>
      <c r="J4405">
        <v>1.2</v>
      </c>
      <c r="K4405" t="s">
        <v>4744</v>
      </c>
      <c r="L4405">
        <v>45</v>
      </c>
      <c r="M4405">
        <v>37.5</v>
      </c>
      <c r="N4405" t="s">
        <v>5272</v>
      </c>
      <c r="O4405" t="s">
        <v>459</v>
      </c>
    </row>
    <row r="4406" spans="1:15" x14ac:dyDescent="0.3">
      <c r="A4406">
        <v>205534</v>
      </c>
      <c r="B4406">
        <v>105</v>
      </c>
      <c r="C4406" t="s">
        <v>557</v>
      </c>
      <c r="D4406" t="s">
        <v>3328</v>
      </c>
      <c r="E4406" t="s">
        <v>3554</v>
      </c>
      <c r="F4406" s="451">
        <v>46052</v>
      </c>
      <c r="G4406">
        <v>23385</v>
      </c>
      <c r="H4406" t="s">
        <v>4938</v>
      </c>
      <c r="I4406" t="s">
        <v>5191</v>
      </c>
      <c r="J4406">
        <v>1.5</v>
      </c>
      <c r="K4406" t="s">
        <v>4744</v>
      </c>
      <c r="L4406">
        <v>43.13</v>
      </c>
      <c r="M4406">
        <v>28.753333000000001</v>
      </c>
      <c r="N4406" t="s">
        <v>5272</v>
      </c>
      <c r="O4406" t="s">
        <v>459</v>
      </c>
    </row>
    <row r="4407" spans="1:15" x14ac:dyDescent="0.3">
      <c r="A4407">
        <v>205533</v>
      </c>
      <c r="B4407">
        <v>105</v>
      </c>
      <c r="C4407" t="s">
        <v>557</v>
      </c>
      <c r="D4407" t="s">
        <v>2680</v>
      </c>
      <c r="E4407" t="s">
        <v>3555</v>
      </c>
      <c r="F4407" s="451">
        <v>46056</v>
      </c>
      <c r="G4407">
        <v>19892</v>
      </c>
      <c r="H4407" t="s">
        <v>5150</v>
      </c>
      <c r="I4407" t="s">
        <v>5191</v>
      </c>
      <c r="J4407">
        <v>1</v>
      </c>
      <c r="K4407" t="s">
        <v>4744</v>
      </c>
      <c r="L4407">
        <v>140</v>
      </c>
      <c r="M4407">
        <v>140</v>
      </c>
      <c r="N4407" t="s">
        <v>5272</v>
      </c>
      <c r="O4407" t="s">
        <v>460</v>
      </c>
    </row>
    <row r="4408" spans="1:15" x14ac:dyDescent="0.3">
      <c r="A4408">
        <v>205532</v>
      </c>
      <c r="B4408">
        <v>105</v>
      </c>
      <c r="C4408" t="s">
        <v>557</v>
      </c>
      <c r="D4408" t="s">
        <v>2600</v>
      </c>
      <c r="E4408" t="s">
        <v>3556</v>
      </c>
      <c r="F4408" s="451">
        <v>46056</v>
      </c>
      <c r="G4408">
        <v>24403</v>
      </c>
      <c r="H4408" t="s">
        <v>5149</v>
      </c>
      <c r="I4408" t="s">
        <v>5191</v>
      </c>
      <c r="J4408">
        <v>3.2</v>
      </c>
      <c r="K4408" t="s">
        <v>4744</v>
      </c>
      <c r="L4408">
        <v>41.57</v>
      </c>
      <c r="M4408">
        <v>12.990625</v>
      </c>
      <c r="N4408" t="s">
        <v>5272</v>
      </c>
      <c r="O4408" t="s">
        <v>460</v>
      </c>
    </row>
    <row r="4409" spans="1:15" x14ac:dyDescent="0.3">
      <c r="A4409">
        <v>205531</v>
      </c>
      <c r="B4409">
        <v>105</v>
      </c>
      <c r="C4409" t="s">
        <v>557</v>
      </c>
      <c r="D4409" t="s">
        <v>2563</v>
      </c>
      <c r="E4409" t="s">
        <v>3557</v>
      </c>
      <c r="F4409" s="451">
        <v>46054</v>
      </c>
      <c r="G4409">
        <v>19634</v>
      </c>
      <c r="H4409" t="s">
        <v>4792</v>
      </c>
      <c r="I4409" t="s">
        <v>5191</v>
      </c>
      <c r="J4409">
        <v>3.2</v>
      </c>
      <c r="K4409" t="s">
        <v>4744</v>
      </c>
      <c r="L4409">
        <v>25.5</v>
      </c>
      <c r="M4409">
        <v>7.96875</v>
      </c>
      <c r="N4409" t="s">
        <v>1785</v>
      </c>
      <c r="O4409" t="s">
        <v>460</v>
      </c>
    </row>
    <row r="4410" spans="1:15" x14ac:dyDescent="0.3">
      <c r="A4410">
        <v>205531</v>
      </c>
      <c r="B4410">
        <v>105</v>
      </c>
      <c r="C4410" t="s">
        <v>557</v>
      </c>
      <c r="D4410" t="s">
        <v>2563</v>
      </c>
      <c r="E4410" t="s">
        <v>3557</v>
      </c>
      <c r="F4410" s="451">
        <v>46054</v>
      </c>
      <c r="G4410">
        <v>19502</v>
      </c>
      <c r="H4410" t="s">
        <v>4871</v>
      </c>
      <c r="I4410" t="s">
        <v>5191</v>
      </c>
      <c r="J4410">
        <v>3</v>
      </c>
      <c r="K4410" t="s">
        <v>4744</v>
      </c>
      <c r="L4410">
        <v>54.39</v>
      </c>
      <c r="M4410">
        <v>18.13</v>
      </c>
      <c r="N4410" t="s">
        <v>1785</v>
      </c>
      <c r="O4410" t="s">
        <v>460</v>
      </c>
    </row>
    <row r="4411" spans="1:15" x14ac:dyDescent="0.3">
      <c r="A4411">
        <v>205531</v>
      </c>
      <c r="B4411">
        <v>105</v>
      </c>
      <c r="C4411" t="s">
        <v>557</v>
      </c>
      <c r="D4411" t="s">
        <v>2563</v>
      </c>
      <c r="E4411" t="s">
        <v>3557</v>
      </c>
      <c r="F4411" s="451">
        <v>46054</v>
      </c>
      <c r="G4411">
        <v>19532</v>
      </c>
      <c r="H4411" t="s">
        <v>4753</v>
      </c>
      <c r="I4411" t="s">
        <v>5191</v>
      </c>
      <c r="J4411">
        <v>6.2</v>
      </c>
      <c r="K4411" t="s">
        <v>4744</v>
      </c>
      <c r="L4411">
        <v>59.83</v>
      </c>
      <c r="M4411">
        <v>9.65</v>
      </c>
      <c r="N4411" t="s">
        <v>1785</v>
      </c>
      <c r="O4411" t="s">
        <v>460</v>
      </c>
    </row>
    <row r="4412" spans="1:15" x14ac:dyDescent="0.3">
      <c r="A4412">
        <v>205530</v>
      </c>
      <c r="B4412">
        <v>105</v>
      </c>
      <c r="C4412" t="s">
        <v>557</v>
      </c>
      <c r="D4412" t="s">
        <v>2563</v>
      </c>
      <c r="E4412" t="s">
        <v>3558</v>
      </c>
      <c r="F4412" s="451">
        <v>46056</v>
      </c>
      <c r="G4412">
        <v>19734</v>
      </c>
      <c r="H4412" t="s">
        <v>4833</v>
      </c>
      <c r="I4412" t="s">
        <v>5191</v>
      </c>
      <c r="J4412">
        <v>3.1</v>
      </c>
      <c r="K4412" t="s">
        <v>4744</v>
      </c>
      <c r="L4412">
        <v>47.43</v>
      </c>
      <c r="M4412">
        <v>15.3</v>
      </c>
      <c r="N4412" t="s">
        <v>5272</v>
      </c>
      <c r="O4412" t="s">
        <v>460</v>
      </c>
    </row>
    <row r="4413" spans="1:15" x14ac:dyDescent="0.3">
      <c r="A4413">
        <v>205529</v>
      </c>
      <c r="B4413">
        <v>105</v>
      </c>
      <c r="C4413" t="s">
        <v>557</v>
      </c>
      <c r="D4413" t="s">
        <v>2603</v>
      </c>
      <c r="E4413" t="s">
        <v>3559</v>
      </c>
      <c r="F4413" s="451">
        <v>46056</v>
      </c>
      <c r="G4413">
        <v>19003</v>
      </c>
      <c r="H4413" t="s">
        <v>4810</v>
      </c>
      <c r="I4413" t="s">
        <v>5191</v>
      </c>
      <c r="J4413">
        <v>21.37</v>
      </c>
      <c r="K4413" t="s">
        <v>4744</v>
      </c>
      <c r="L4413">
        <v>852.66</v>
      </c>
      <c r="M4413">
        <v>39.899859999999997</v>
      </c>
      <c r="N4413" t="s">
        <v>5272</v>
      </c>
      <c r="O4413" t="s">
        <v>460</v>
      </c>
    </row>
    <row r="4414" spans="1:15" x14ac:dyDescent="0.3">
      <c r="A4414">
        <v>205529</v>
      </c>
      <c r="B4414">
        <v>105</v>
      </c>
      <c r="C4414" t="s">
        <v>557</v>
      </c>
      <c r="D4414" t="s">
        <v>2603</v>
      </c>
      <c r="E4414" t="s">
        <v>3559</v>
      </c>
      <c r="F4414" s="451">
        <v>46056</v>
      </c>
      <c r="G4414">
        <v>26679</v>
      </c>
      <c r="H4414" t="s">
        <v>4791</v>
      </c>
      <c r="I4414" t="s">
        <v>5191</v>
      </c>
      <c r="J4414">
        <v>44.39</v>
      </c>
      <c r="K4414" t="s">
        <v>4744</v>
      </c>
      <c r="L4414">
        <v>1238.48</v>
      </c>
      <c r="M4414">
        <v>27.899977</v>
      </c>
      <c r="N4414" t="s">
        <v>5272</v>
      </c>
      <c r="O4414" t="s">
        <v>460</v>
      </c>
    </row>
    <row r="4415" spans="1:15" x14ac:dyDescent="0.3">
      <c r="A4415">
        <v>205527</v>
      </c>
      <c r="B4415">
        <v>105</v>
      </c>
      <c r="C4415" t="s">
        <v>557</v>
      </c>
      <c r="D4415" t="s">
        <v>2593</v>
      </c>
      <c r="E4415" t="s">
        <v>3560</v>
      </c>
      <c r="F4415" s="451">
        <v>46054</v>
      </c>
      <c r="G4415">
        <v>24256</v>
      </c>
      <c r="H4415" t="s">
        <v>4773</v>
      </c>
      <c r="I4415" t="s">
        <v>5191</v>
      </c>
      <c r="J4415">
        <v>20</v>
      </c>
      <c r="K4415" t="s">
        <v>4744</v>
      </c>
      <c r="L4415">
        <v>760</v>
      </c>
      <c r="M4415">
        <v>38</v>
      </c>
      <c r="N4415" t="s">
        <v>1785</v>
      </c>
      <c r="O4415" t="s">
        <v>460</v>
      </c>
    </row>
    <row r="4416" spans="1:15" x14ac:dyDescent="0.3">
      <c r="A4416">
        <v>205511</v>
      </c>
      <c r="B4416">
        <v>105</v>
      </c>
      <c r="C4416" t="s">
        <v>557</v>
      </c>
      <c r="D4416" t="s">
        <v>2597</v>
      </c>
      <c r="E4416" t="s">
        <v>3564</v>
      </c>
      <c r="F4416" s="451">
        <v>46055</v>
      </c>
      <c r="G4416">
        <v>24217</v>
      </c>
      <c r="H4416" t="s">
        <v>4778</v>
      </c>
      <c r="I4416" t="s">
        <v>5191</v>
      </c>
      <c r="J4416">
        <v>22.9</v>
      </c>
      <c r="K4416" t="s">
        <v>4744</v>
      </c>
      <c r="L4416">
        <v>721.35</v>
      </c>
      <c r="M4416">
        <v>31.5</v>
      </c>
      <c r="N4416" t="s">
        <v>5272</v>
      </c>
      <c r="O4416" t="s">
        <v>460</v>
      </c>
    </row>
    <row r="4417" spans="1:15" x14ac:dyDescent="0.3">
      <c r="A4417">
        <v>205511</v>
      </c>
      <c r="B4417">
        <v>105</v>
      </c>
      <c r="C4417" t="s">
        <v>557</v>
      </c>
      <c r="D4417" t="s">
        <v>2597</v>
      </c>
      <c r="E4417" t="s">
        <v>3564</v>
      </c>
      <c r="F4417" s="451">
        <v>46055</v>
      </c>
      <c r="G4417">
        <v>18996</v>
      </c>
      <c r="H4417" t="s">
        <v>5130</v>
      </c>
      <c r="I4417" t="s">
        <v>5191</v>
      </c>
      <c r="J4417">
        <v>5.6</v>
      </c>
      <c r="K4417" t="s">
        <v>4744</v>
      </c>
      <c r="L4417">
        <v>83.94</v>
      </c>
      <c r="M4417">
        <v>14.989286</v>
      </c>
      <c r="N4417" t="s">
        <v>5272</v>
      </c>
      <c r="O4417" t="s">
        <v>460</v>
      </c>
    </row>
    <row r="4418" spans="1:15" x14ac:dyDescent="0.3">
      <c r="A4418">
        <v>205511</v>
      </c>
      <c r="B4418">
        <v>105</v>
      </c>
      <c r="C4418" t="s">
        <v>557</v>
      </c>
      <c r="D4418" t="s">
        <v>2597</v>
      </c>
      <c r="E4418" t="s">
        <v>3564</v>
      </c>
      <c r="F4418" s="451">
        <v>46055</v>
      </c>
      <c r="G4418">
        <v>24278</v>
      </c>
      <c r="H4418" t="s">
        <v>4901</v>
      </c>
      <c r="I4418" t="s">
        <v>5191</v>
      </c>
      <c r="J4418">
        <v>6</v>
      </c>
      <c r="K4418" t="s">
        <v>4744</v>
      </c>
      <c r="L4418">
        <v>77.400000000000006</v>
      </c>
      <c r="M4418">
        <v>12.9</v>
      </c>
      <c r="N4418" t="s">
        <v>5272</v>
      </c>
      <c r="O4418" t="s">
        <v>460</v>
      </c>
    </row>
    <row r="4419" spans="1:15" x14ac:dyDescent="0.3">
      <c r="A4419">
        <v>205511</v>
      </c>
      <c r="B4419">
        <v>105</v>
      </c>
      <c r="C4419" t="s">
        <v>557</v>
      </c>
      <c r="D4419" t="s">
        <v>2597</v>
      </c>
      <c r="E4419" t="s">
        <v>3564</v>
      </c>
      <c r="F4419" s="451">
        <v>46055</v>
      </c>
      <c r="G4419">
        <v>24331</v>
      </c>
      <c r="H4419" t="s">
        <v>5166</v>
      </c>
      <c r="I4419" t="s">
        <v>5191</v>
      </c>
      <c r="J4419">
        <v>5</v>
      </c>
      <c r="K4419" t="s">
        <v>4744</v>
      </c>
      <c r="L4419">
        <v>109.5</v>
      </c>
      <c r="M4419">
        <v>21.9</v>
      </c>
      <c r="N4419" t="s">
        <v>5272</v>
      </c>
      <c r="O4419" t="s">
        <v>460</v>
      </c>
    </row>
    <row r="4420" spans="1:15" x14ac:dyDescent="0.3">
      <c r="A4420">
        <v>205511</v>
      </c>
      <c r="B4420">
        <v>105</v>
      </c>
      <c r="C4420" t="s">
        <v>557</v>
      </c>
      <c r="D4420" t="s">
        <v>2597</v>
      </c>
      <c r="E4420" t="s">
        <v>3564</v>
      </c>
      <c r="F4420" s="451">
        <v>46055</v>
      </c>
      <c r="G4420">
        <v>20501</v>
      </c>
      <c r="H4420" t="s">
        <v>4760</v>
      </c>
      <c r="I4420" t="s">
        <v>5191</v>
      </c>
      <c r="J4420">
        <v>10</v>
      </c>
      <c r="K4420" t="s">
        <v>4744</v>
      </c>
      <c r="L4420">
        <v>219</v>
      </c>
      <c r="M4420">
        <v>21.9</v>
      </c>
      <c r="N4420" t="s">
        <v>5272</v>
      </c>
      <c r="O4420" t="s">
        <v>460</v>
      </c>
    </row>
    <row r="4421" spans="1:15" x14ac:dyDescent="0.3">
      <c r="A4421">
        <v>205511</v>
      </c>
      <c r="B4421">
        <v>105</v>
      </c>
      <c r="C4421" t="s">
        <v>557</v>
      </c>
      <c r="D4421" t="s">
        <v>2597</v>
      </c>
      <c r="E4421" t="s">
        <v>3564</v>
      </c>
      <c r="F4421" s="451">
        <v>46055</v>
      </c>
      <c r="G4421">
        <v>19041</v>
      </c>
      <c r="H4421" t="s">
        <v>4762</v>
      </c>
      <c r="I4421" t="s">
        <v>5191</v>
      </c>
      <c r="J4421">
        <v>40</v>
      </c>
      <c r="K4421" t="s">
        <v>4744</v>
      </c>
      <c r="L4421">
        <v>596</v>
      </c>
      <c r="M4421">
        <v>14.9</v>
      </c>
      <c r="N4421" t="s">
        <v>5272</v>
      </c>
      <c r="O4421" t="s">
        <v>460</v>
      </c>
    </row>
    <row r="4422" spans="1:15" x14ac:dyDescent="0.3">
      <c r="A4422">
        <v>205511</v>
      </c>
      <c r="B4422">
        <v>105</v>
      </c>
      <c r="C4422" t="s">
        <v>557</v>
      </c>
      <c r="D4422" t="s">
        <v>2597</v>
      </c>
      <c r="E4422" t="s">
        <v>3564</v>
      </c>
      <c r="F4422" s="451">
        <v>46055</v>
      </c>
      <c r="G4422">
        <v>24096</v>
      </c>
      <c r="H4422" t="s">
        <v>4771</v>
      </c>
      <c r="I4422" t="s">
        <v>5191</v>
      </c>
      <c r="J4422">
        <v>43.2</v>
      </c>
      <c r="K4422" t="s">
        <v>4744</v>
      </c>
      <c r="L4422">
        <v>1810.08</v>
      </c>
      <c r="M4422">
        <v>41.9</v>
      </c>
      <c r="N4422" t="s">
        <v>5272</v>
      </c>
      <c r="O4422" t="s">
        <v>460</v>
      </c>
    </row>
    <row r="4423" spans="1:15" x14ac:dyDescent="0.3">
      <c r="A4423">
        <v>205510</v>
      </c>
      <c r="B4423">
        <v>105</v>
      </c>
      <c r="C4423" t="s">
        <v>557</v>
      </c>
      <c r="D4423" t="s">
        <v>2550</v>
      </c>
      <c r="E4423" t="s">
        <v>3565</v>
      </c>
      <c r="F4423" s="451">
        <v>46055</v>
      </c>
      <c r="G4423">
        <v>25714</v>
      </c>
      <c r="H4423" t="s">
        <v>4927</v>
      </c>
      <c r="I4423" t="s">
        <v>5222</v>
      </c>
      <c r="J4423">
        <v>4</v>
      </c>
      <c r="K4423" t="s">
        <v>4805</v>
      </c>
      <c r="L4423">
        <v>570.4</v>
      </c>
      <c r="M4423">
        <v>142.6</v>
      </c>
      <c r="N4423" t="s">
        <v>5271</v>
      </c>
      <c r="O4423" t="s">
        <v>460</v>
      </c>
    </row>
    <row r="4424" spans="1:15" x14ac:dyDescent="0.3">
      <c r="A4424">
        <v>205510</v>
      </c>
      <c r="B4424">
        <v>105</v>
      </c>
      <c r="C4424" t="s">
        <v>557</v>
      </c>
      <c r="D4424" t="s">
        <v>2550</v>
      </c>
      <c r="E4424" t="s">
        <v>3565</v>
      </c>
      <c r="F4424" s="451">
        <v>46055</v>
      </c>
      <c r="G4424">
        <v>17578</v>
      </c>
      <c r="H4424" t="s">
        <v>4842</v>
      </c>
      <c r="I4424" t="s">
        <v>5222</v>
      </c>
      <c r="J4424">
        <v>4</v>
      </c>
      <c r="K4424" t="s">
        <v>4805</v>
      </c>
      <c r="L4424">
        <v>451.36</v>
      </c>
      <c r="M4424">
        <v>112.84</v>
      </c>
      <c r="N4424" t="s">
        <v>5271</v>
      </c>
      <c r="O4424" t="s">
        <v>460</v>
      </c>
    </row>
    <row r="4425" spans="1:15" x14ac:dyDescent="0.3">
      <c r="A4425">
        <v>205509</v>
      </c>
      <c r="B4425">
        <v>105</v>
      </c>
      <c r="C4425" t="s">
        <v>557</v>
      </c>
      <c r="D4425" t="s">
        <v>2590</v>
      </c>
      <c r="E4425" t="s">
        <v>3566</v>
      </c>
      <c r="F4425" s="451">
        <v>46055</v>
      </c>
      <c r="G4425">
        <v>17881</v>
      </c>
      <c r="H4425" t="s">
        <v>5103</v>
      </c>
      <c r="I4425" t="s">
        <v>5222</v>
      </c>
      <c r="J4425">
        <v>2</v>
      </c>
      <c r="K4425" t="s">
        <v>4738</v>
      </c>
      <c r="L4425">
        <v>65.319999999999993</v>
      </c>
      <c r="M4425">
        <v>32.659999999999997</v>
      </c>
      <c r="N4425" t="s">
        <v>5222</v>
      </c>
      <c r="O4425" t="s">
        <v>460</v>
      </c>
    </row>
    <row r="4426" spans="1:15" x14ac:dyDescent="0.3">
      <c r="A4426">
        <v>205509</v>
      </c>
      <c r="B4426">
        <v>105</v>
      </c>
      <c r="C4426" t="s">
        <v>557</v>
      </c>
      <c r="D4426" t="s">
        <v>2590</v>
      </c>
      <c r="E4426" t="s">
        <v>3566</v>
      </c>
      <c r="F4426" s="451">
        <v>46055</v>
      </c>
      <c r="G4426">
        <v>24141</v>
      </c>
      <c r="H4426" t="s">
        <v>5088</v>
      </c>
      <c r="I4426" t="s">
        <v>5222</v>
      </c>
      <c r="J4426">
        <v>5</v>
      </c>
      <c r="K4426" t="s">
        <v>4749</v>
      </c>
      <c r="L4426">
        <v>492.65</v>
      </c>
      <c r="M4426">
        <v>98.53</v>
      </c>
      <c r="N4426" t="s">
        <v>5222</v>
      </c>
      <c r="O4426" t="s">
        <v>460</v>
      </c>
    </row>
    <row r="4427" spans="1:15" x14ac:dyDescent="0.3">
      <c r="A4427">
        <v>205509</v>
      </c>
      <c r="B4427">
        <v>105</v>
      </c>
      <c r="C4427" t="s">
        <v>557</v>
      </c>
      <c r="D4427" t="s">
        <v>2590</v>
      </c>
      <c r="E4427" t="s">
        <v>3566</v>
      </c>
      <c r="F4427" s="451">
        <v>46055</v>
      </c>
      <c r="G4427">
        <v>18006</v>
      </c>
      <c r="H4427" t="s">
        <v>5094</v>
      </c>
      <c r="I4427" t="s">
        <v>5222</v>
      </c>
      <c r="J4427">
        <v>3</v>
      </c>
      <c r="K4427" t="s">
        <v>4738</v>
      </c>
      <c r="L4427">
        <v>95.43</v>
      </c>
      <c r="M4427">
        <v>31.81</v>
      </c>
      <c r="N4427" t="s">
        <v>5222</v>
      </c>
      <c r="O4427" t="s">
        <v>460</v>
      </c>
    </row>
    <row r="4428" spans="1:15" x14ac:dyDescent="0.3">
      <c r="A4428">
        <v>205509</v>
      </c>
      <c r="B4428">
        <v>105</v>
      </c>
      <c r="C4428" t="s">
        <v>557</v>
      </c>
      <c r="D4428" t="s">
        <v>2590</v>
      </c>
      <c r="E4428" t="s">
        <v>3566</v>
      </c>
      <c r="F4428" s="451">
        <v>46055</v>
      </c>
      <c r="G4428">
        <v>18004</v>
      </c>
      <c r="H4428" t="s">
        <v>5093</v>
      </c>
      <c r="I4428" t="s">
        <v>5222</v>
      </c>
      <c r="J4428">
        <v>3</v>
      </c>
      <c r="K4428" t="s">
        <v>4738</v>
      </c>
      <c r="L4428">
        <v>95.43</v>
      </c>
      <c r="M4428">
        <v>31.81</v>
      </c>
      <c r="N4428" t="s">
        <v>5222</v>
      </c>
      <c r="O4428" t="s">
        <v>460</v>
      </c>
    </row>
    <row r="4429" spans="1:15" x14ac:dyDescent="0.3">
      <c r="A4429">
        <v>205509</v>
      </c>
      <c r="B4429">
        <v>105</v>
      </c>
      <c r="C4429" t="s">
        <v>557</v>
      </c>
      <c r="D4429" t="s">
        <v>2590</v>
      </c>
      <c r="E4429" t="s">
        <v>3566</v>
      </c>
      <c r="F4429" s="451">
        <v>46055</v>
      </c>
      <c r="G4429">
        <v>17916</v>
      </c>
      <c r="H4429" t="s">
        <v>5235</v>
      </c>
      <c r="I4429" t="s">
        <v>5222</v>
      </c>
      <c r="J4429">
        <v>6</v>
      </c>
      <c r="K4429" t="s">
        <v>4738</v>
      </c>
      <c r="L4429">
        <v>492.66</v>
      </c>
      <c r="M4429">
        <v>82.11</v>
      </c>
      <c r="N4429" t="s">
        <v>5222</v>
      </c>
      <c r="O4429" t="s">
        <v>460</v>
      </c>
    </row>
    <row r="4430" spans="1:15" x14ac:dyDescent="0.3">
      <c r="A4430">
        <v>205503</v>
      </c>
      <c r="B4430">
        <v>105</v>
      </c>
      <c r="C4430" t="s">
        <v>557</v>
      </c>
      <c r="D4430" t="s">
        <v>2590</v>
      </c>
      <c r="E4430" t="s">
        <v>3567</v>
      </c>
      <c r="F4430" s="451">
        <v>46052</v>
      </c>
      <c r="G4430">
        <v>26505</v>
      </c>
      <c r="H4430" t="s">
        <v>4750</v>
      </c>
      <c r="I4430" t="s">
        <v>5222</v>
      </c>
      <c r="J4430">
        <v>1</v>
      </c>
      <c r="K4430" t="s">
        <v>4738</v>
      </c>
      <c r="L4430">
        <v>172.11</v>
      </c>
      <c r="M4430">
        <v>172.11</v>
      </c>
      <c r="N4430" t="s">
        <v>5222</v>
      </c>
      <c r="O4430" t="s">
        <v>459</v>
      </c>
    </row>
    <row r="4431" spans="1:15" x14ac:dyDescent="0.3">
      <c r="A4431">
        <v>205502</v>
      </c>
      <c r="B4431">
        <v>105</v>
      </c>
      <c r="C4431" t="s">
        <v>557</v>
      </c>
      <c r="D4431" t="s">
        <v>2590</v>
      </c>
      <c r="E4431" t="s">
        <v>3568</v>
      </c>
      <c r="F4431" s="451">
        <v>46052</v>
      </c>
      <c r="G4431">
        <v>18579</v>
      </c>
      <c r="H4431" t="s">
        <v>5087</v>
      </c>
      <c r="I4431" t="s">
        <v>5222</v>
      </c>
      <c r="J4431">
        <v>4</v>
      </c>
      <c r="K4431" t="s">
        <v>4749</v>
      </c>
      <c r="L4431">
        <v>527.24</v>
      </c>
      <c r="M4431">
        <v>131.81</v>
      </c>
      <c r="N4431" t="s">
        <v>5271</v>
      </c>
      <c r="O4431" t="s">
        <v>459</v>
      </c>
    </row>
    <row r="4432" spans="1:15" x14ac:dyDescent="0.3">
      <c r="A4432">
        <v>205502</v>
      </c>
      <c r="B4432">
        <v>105</v>
      </c>
      <c r="C4432" t="s">
        <v>557</v>
      </c>
      <c r="D4432" t="s">
        <v>2590</v>
      </c>
      <c r="E4432" t="s">
        <v>3568</v>
      </c>
      <c r="F4432" s="451">
        <v>46052</v>
      </c>
      <c r="G4432">
        <v>24141</v>
      </c>
      <c r="H4432" t="s">
        <v>5088</v>
      </c>
      <c r="I4432" t="s">
        <v>5222</v>
      </c>
      <c r="J4432">
        <v>5</v>
      </c>
      <c r="K4432" t="s">
        <v>4749</v>
      </c>
      <c r="L4432">
        <v>492</v>
      </c>
      <c r="M4432">
        <v>98.4</v>
      </c>
      <c r="N4432" t="s">
        <v>5271</v>
      </c>
      <c r="O4432" t="s">
        <v>459</v>
      </c>
    </row>
    <row r="4433" spans="1:15" x14ac:dyDescent="0.3">
      <c r="A4433">
        <v>205502</v>
      </c>
      <c r="B4433">
        <v>105</v>
      </c>
      <c r="C4433" t="s">
        <v>557</v>
      </c>
      <c r="D4433" t="s">
        <v>2590</v>
      </c>
      <c r="E4433" t="s">
        <v>3568</v>
      </c>
      <c r="F4433" s="451">
        <v>46052</v>
      </c>
      <c r="G4433">
        <v>24981</v>
      </c>
      <c r="H4433" t="s">
        <v>5140</v>
      </c>
      <c r="I4433" t="s">
        <v>5222</v>
      </c>
      <c r="J4433">
        <v>1</v>
      </c>
      <c r="K4433" t="s">
        <v>4965</v>
      </c>
      <c r="L4433">
        <v>316.91000000000003</v>
      </c>
      <c r="M4433">
        <v>316.91000000000003</v>
      </c>
      <c r="N4433" t="s">
        <v>5271</v>
      </c>
      <c r="O4433" t="s">
        <v>459</v>
      </c>
    </row>
    <row r="4434" spans="1:15" x14ac:dyDescent="0.3">
      <c r="A4434">
        <v>205501</v>
      </c>
      <c r="B4434">
        <v>105</v>
      </c>
      <c r="C4434" t="s">
        <v>557</v>
      </c>
      <c r="D4434" t="s">
        <v>2705</v>
      </c>
      <c r="E4434" t="s">
        <v>3569</v>
      </c>
      <c r="F4434" s="451">
        <v>46055</v>
      </c>
      <c r="G4434">
        <v>24658</v>
      </c>
      <c r="H4434" t="s">
        <v>5274</v>
      </c>
      <c r="I4434" t="s">
        <v>5232</v>
      </c>
      <c r="J4434">
        <v>20</v>
      </c>
      <c r="K4434" t="s">
        <v>4738</v>
      </c>
      <c r="L4434">
        <v>692</v>
      </c>
      <c r="M4434">
        <v>34.6</v>
      </c>
      <c r="N4434" t="s">
        <v>5275</v>
      </c>
      <c r="O4434" t="s">
        <v>460</v>
      </c>
    </row>
    <row r="4435" spans="1:15" x14ac:dyDescent="0.3">
      <c r="A4435">
        <v>205278</v>
      </c>
      <c r="B4435">
        <v>105</v>
      </c>
      <c r="C4435" t="s">
        <v>557</v>
      </c>
      <c r="D4435" t="s">
        <v>2581</v>
      </c>
      <c r="E4435" t="s">
        <v>3570</v>
      </c>
      <c r="F4435" s="451">
        <v>46054</v>
      </c>
      <c r="G4435">
        <v>24083</v>
      </c>
      <c r="H4435" t="s">
        <v>5165</v>
      </c>
      <c r="I4435" t="s">
        <v>5191</v>
      </c>
      <c r="J4435">
        <v>11</v>
      </c>
      <c r="K4435" t="s">
        <v>4744</v>
      </c>
      <c r="L4435">
        <v>44</v>
      </c>
      <c r="M4435">
        <v>4</v>
      </c>
      <c r="N4435" t="s">
        <v>1785</v>
      </c>
      <c r="O4435" t="s">
        <v>460</v>
      </c>
    </row>
    <row r="4436" spans="1:15" x14ac:dyDescent="0.3">
      <c r="A4436">
        <v>205278</v>
      </c>
      <c r="B4436">
        <v>105</v>
      </c>
      <c r="C4436" t="s">
        <v>557</v>
      </c>
      <c r="D4436" t="s">
        <v>2581</v>
      </c>
      <c r="E4436" t="s">
        <v>3570</v>
      </c>
      <c r="F4436" s="451">
        <v>46054</v>
      </c>
      <c r="G4436">
        <v>19623</v>
      </c>
      <c r="H4436" t="s">
        <v>4764</v>
      </c>
      <c r="I4436" t="s">
        <v>5191</v>
      </c>
      <c r="J4436">
        <v>4</v>
      </c>
      <c r="K4436" t="s">
        <v>4744</v>
      </c>
      <c r="L4436">
        <v>15.2</v>
      </c>
      <c r="M4436">
        <v>3.8</v>
      </c>
      <c r="N4436" t="s">
        <v>1785</v>
      </c>
      <c r="O4436" t="s">
        <v>460</v>
      </c>
    </row>
    <row r="4437" spans="1:15" x14ac:dyDescent="0.3">
      <c r="A4437">
        <v>205278</v>
      </c>
      <c r="B4437">
        <v>105</v>
      </c>
      <c r="C4437" t="s">
        <v>557</v>
      </c>
      <c r="D4437" t="s">
        <v>2581</v>
      </c>
      <c r="E4437" t="s">
        <v>3570</v>
      </c>
      <c r="F4437" s="451">
        <v>46054</v>
      </c>
      <c r="G4437">
        <v>19506</v>
      </c>
      <c r="H4437" t="s">
        <v>5122</v>
      </c>
      <c r="I4437" t="s">
        <v>5191</v>
      </c>
      <c r="J4437">
        <v>1</v>
      </c>
      <c r="K4437" t="s">
        <v>4744</v>
      </c>
      <c r="L4437">
        <v>40</v>
      </c>
      <c r="M4437">
        <v>40</v>
      </c>
      <c r="N4437" t="s">
        <v>1785</v>
      </c>
      <c r="O4437" t="s">
        <v>460</v>
      </c>
    </row>
    <row r="4438" spans="1:15" x14ac:dyDescent="0.3">
      <c r="A4438">
        <v>205278</v>
      </c>
      <c r="B4438">
        <v>105</v>
      </c>
      <c r="C4438" t="s">
        <v>557</v>
      </c>
      <c r="D4438" t="s">
        <v>2581</v>
      </c>
      <c r="E4438" t="s">
        <v>3570</v>
      </c>
      <c r="F4438" s="451">
        <v>46054</v>
      </c>
      <c r="G4438">
        <v>19505</v>
      </c>
      <c r="H4438" t="s">
        <v>4872</v>
      </c>
      <c r="I4438" t="s">
        <v>5191</v>
      </c>
      <c r="J4438">
        <v>4</v>
      </c>
      <c r="K4438" t="s">
        <v>4744</v>
      </c>
      <c r="L4438">
        <v>50</v>
      </c>
      <c r="M4438">
        <v>12.5</v>
      </c>
      <c r="N4438" t="s">
        <v>1785</v>
      </c>
      <c r="O4438" t="s">
        <v>460</v>
      </c>
    </row>
    <row r="4439" spans="1:15" x14ac:dyDescent="0.3">
      <c r="A4439">
        <v>205278</v>
      </c>
      <c r="B4439">
        <v>105</v>
      </c>
      <c r="C4439" t="s">
        <v>557</v>
      </c>
      <c r="D4439" t="s">
        <v>2581</v>
      </c>
      <c r="E4439" t="s">
        <v>3570</v>
      </c>
      <c r="F4439" s="451">
        <v>46054</v>
      </c>
      <c r="G4439">
        <v>19654</v>
      </c>
      <c r="H4439" t="s">
        <v>5099</v>
      </c>
      <c r="I4439" t="s">
        <v>5191</v>
      </c>
      <c r="J4439">
        <v>1</v>
      </c>
      <c r="K4439" t="s">
        <v>4744</v>
      </c>
      <c r="L4439">
        <v>5</v>
      </c>
      <c r="M4439">
        <v>5</v>
      </c>
      <c r="N4439" t="s">
        <v>1785</v>
      </c>
      <c r="O4439" t="s">
        <v>460</v>
      </c>
    </row>
    <row r="4440" spans="1:15" x14ac:dyDescent="0.3">
      <c r="A4440">
        <v>205278</v>
      </c>
      <c r="B4440">
        <v>105</v>
      </c>
      <c r="C4440" t="s">
        <v>557</v>
      </c>
      <c r="D4440" t="s">
        <v>2581</v>
      </c>
      <c r="E4440" t="s">
        <v>3570</v>
      </c>
      <c r="F4440" s="451">
        <v>46054</v>
      </c>
      <c r="G4440">
        <v>23113</v>
      </c>
      <c r="H4440" t="s">
        <v>5074</v>
      </c>
      <c r="I4440" t="s">
        <v>5191</v>
      </c>
      <c r="J4440">
        <v>1.2</v>
      </c>
      <c r="K4440" t="s">
        <v>4744</v>
      </c>
      <c r="L4440">
        <v>10.199999999999999</v>
      </c>
      <c r="M4440">
        <v>8.5</v>
      </c>
      <c r="N4440" t="s">
        <v>1785</v>
      </c>
      <c r="O4440" t="s">
        <v>460</v>
      </c>
    </row>
    <row r="4441" spans="1:15" x14ac:dyDescent="0.3">
      <c r="A4441">
        <v>205278</v>
      </c>
      <c r="B4441">
        <v>105</v>
      </c>
      <c r="C4441" t="s">
        <v>557</v>
      </c>
      <c r="D4441" t="s">
        <v>2581</v>
      </c>
      <c r="E4441" t="s">
        <v>3570</v>
      </c>
      <c r="F4441" s="451">
        <v>46054</v>
      </c>
      <c r="G4441">
        <v>19472</v>
      </c>
      <c r="H4441" t="s">
        <v>4906</v>
      </c>
      <c r="I4441" t="s">
        <v>5191</v>
      </c>
      <c r="J4441">
        <v>1</v>
      </c>
      <c r="K4441" t="s">
        <v>4744</v>
      </c>
      <c r="L4441">
        <v>27</v>
      </c>
      <c r="M4441">
        <v>27</v>
      </c>
      <c r="N4441" t="s">
        <v>1785</v>
      </c>
      <c r="O4441" t="s">
        <v>460</v>
      </c>
    </row>
    <row r="4442" spans="1:15" x14ac:dyDescent="0.3">
      <c r="A4442">
        <v>205277</v>
      </c>
      <c r="B4442">
        <v>105</v>
      </c>
      <c r="C4442" t="s">
        <v>557</v>
      </c>
      <c r="D4442" t="s">
        <v>2581</v>
      </c>
      <c r="E4442" t="s">
        <v>3571</v>
      </c>
      <c r="F4442" s="451">
        <v>46055</v>
      </c>
      <c r="G4442">
        <v>19607</v>
      </c>
      <c r="H4442" t="s">
        <v>4981</v>
      </c>
      <c r="I4442" t="s">
        <v>5191</v>
      </c>
      <c r="J4442">
        <v>0.3</v>
      </c>
      <c r="K4442" t="s">
        <v>4744</v>
      </c>
      <c r="L4442">
        <v>6.6</v>
      </c>
      <c r="M4442">
        <v>22</v>
      </c>
      <c r="N4442" t="s">
        <v>5272</v>
      </c>
      <c r="O4442" t="s">
        <v>460</v>
      </c>
    </row>
    <row r="4443" spans="1:15" x14ac:dyDescent="0.3">
      <c r="A4443">
        <v>205277</v>
      </c>
      <c r="B4443">
        <v>105</v>
      </c>
      <c r="C4443" t="s">
        <v>557</v>
      </c>
      <c r="D4443" t="s">
        <v>2581</v>
      </c>
      <c r="E4443" t="s">
        <v>3571</v>
      </c>
      <c r="F4443" s="451">
        <v>46055</v>
      </c>
      <c r="G4443">
        <v>19480</v>
      </c>
      <c r="H4443" t="s">
        <v>5119</v>
      </c>
      <c r="I4443" t="s">
        <v>5191</v>
      </c>
      <c r="J4443">
        <v>0.4</v>
      </c>
      <c r="K4443" t="s">
        <v>4744</v>
      </c>
      <c r="L4443">
        <v>5.6</v>
      </c>
      <c r="M4443">
        <v>14</v>
      </c>
      <c r="N4443" t="s">
        <v>5272</v>
      </c>
      <c r="O4443" t="s">
        <v>460</v>
      </c>
    </row>
    <row r="4444" spans="1:15" x14ac:dyDescent="0.3">
      <c r="A4444">
        <v>205277</v>
      </c>
      <c r="B4444">
        <v>105</v>
      </c>
      <c r="C4444" t="s">
        <v>557</v>
      </c>
      <c r="D4444" t="s">
        <v>2581</v>
      </c>
      <c r="E4444" t="s">
        <v>3571</v>
      </c>
      <c r="F4444" s="451">
        <v>46055</v>
      </c>
      <c r="G4444">
        <v>19742</v>
      </c>
      <c r="H4444" t="s">
        <v>4900</v>
      </c>
      <c r="I4444" t="s">
        <v>5191</v>
      </c>
      <c r="J4444">
        <v>2</v>
      </c>
      <c r="K4444" t="s">
        <v>4744</v>
      </c>
      <c r="L4444">
        <v>17</v>
      </c>
      <c r="M4444">
        <v>8.5</v>
      </c>
      <c r="N4444" t="s">
        <v>5272</v>
      </c>
      <c r="O4444" t="s">
        <v>460</v>
      </c>
    </row>
    <row r="4445" spans="1:15" x14ac:dyDescent="0.3">
      <c r="A4445">
        <v>205277</v>
      </c>
      <c r="B4445">
        <v>105</v>
      </c>
      <c r="C4445" t="s">
        <v>557</v>
      </c>
      <c r="D4445" t="s">
        <v>2581</v>
      </c>
      <c r="E4445" t="s">
        <v>3571</v>
      </c>
      <c r="F4445" s="451">
        <v>46055</v>
      </c>
      <c r="G4445">
        <v>23359</v>
      </c>
      <c r="H4445" t="s">
        <v>4767</v>
      </c>
      <c r="I4445" t="s">
        <v>5191</v>
      </c>
      <c r="J4445">
        <v>10</v>
      </c>
      <c r="K4445" t="s">
        <v>4744</v>
      </c>
      <c r="L4445">
        <v>27</v>
      </c>
      <c r="M4445">
        <v>2.7</v>
      </c>
      <c r="N4445" t="s">
        <v>5272</v>
      </c>
      <c r="O4445" t="s">
        <v>460</v>
      </c>
    </row>
    <row r="4446" spans="1:15" x14ac:dyDescent="0.3">
      <c r="A4446">
        <v>205277</v>
      </c>
      <c r="B4446">
        <v>105</v>
      </c>
      <c r="C4446" t="s">
        <v>557</v>
      </c>
      <c r="D4446" t="s">
        <v>2581</v>
      </c>
      <c r="E4446" t="s">
        <v>3571</v>
      </c>
      <c r="F4446" s="451">
        <v>46055</v>
      </c>
      <c r="G4446">
        <v>23361</v>
      </c>
      <c r="H4446" t="s">
        <v>4754</v>
      </c>
      <c r="I4446" t="s">
        <v>5191</v>
      </c>
      <c r="J4446">
        <v>15</v>
      </c>
      <c r="K4446" t="s">
        <v>4744</v>
      </c>
      <c r="L4446">
        <v>48.75</v>
      </c>
      <c r="M4446">
        <v>3.25</v>
      </c>
      <c r="N4446" t="s">
        <v>5272</v>
      </c>
      <c r="O4446" t="s">
        <v>460</v>
      </c>
    </row>
    <row r="4447" spans="1:15" x14ac:dyDescent="0.3">
      <c r="A4447">
        <v>205277</v>
      </c>
      <c r="B4447">
        <v>105</v>
      </c>
      <c r="C4447" t="s">
        <v>557</v>
      </c>
      <c r="D4447" t="s">
        <v>2581</v>
      </c>
      <c r="E4447" t="s">
        <v>3571</v>
      </c>
      <c r="F4447" s="451">
        <v>46055</v>
      </c>
      <c r="G4447">
        <v>23365</v>
      </c>
      <c r="H4447" t="s">
        <v>5108</v>
      </c>
      <c r="I4447" t="s">
        <v>5191</v>
      </c>
      <c r="J4447">
        <v>0.5</v>
      </c>
      <c r="K4447" t="s">
        <v>4744</v>
      </c>
      <c r="L4447">
        <v>9.5</v>
      </c>
      <c r="M4447">
        <v>19</v>
      </c>
      <c r="N4447" t="s">
        <v>5272</v>
      </c>
      <c r="O4447" t="s">
        <v>460</v>
      </c>
    </row>
    <row r="4448" spans="1:15" x14ac:dyDescent="0.3">
      <c r="A4448">
        <v>205274</v>
      </c>
      <c r="B4448">
        <v>105</v>
      </c>
      <c r="C4448" t="s">
        <v>557</v>
      </c>
      <c r="D4448" t="s">
        <v>2581</v>
      </c>
      <c r="E4448" t="s">
        <v>3572</v>
      </c>
      <c r="F4448" s="451">
        <v>46056</v>
      </c>
      <c r="G4448">
        <v>19787</v>
      </c>
      <c r="H4448" t="s">
        <v>4793</v>
      </c>
      <c r="I4448" t="s">
        <v>5191</v>
      </c>
      <c r="J4448">
        <v>8</v>
      </c>
      <c r="K4448" t="s">
        <v>4744</v>
      </c>
      <c r="L4448">
        <v>38.4</v>
      </c>
      <c r="M4448">
        <v>4.8</v>
      </c>
      <c r="N4448" t="s">
        <v>5395</v>
      </c>
      <c r="O4448" t="s">
        <v>460</v>
      </c>
    </row>
    <row r="4449" spans="1:15" x14ac:dyDescent="0.3">
      <c r="A4449">
        <v>205274</v>
      </c>
      <c r="B4449">
        <v>105</v>
      </c>
      <c r="C4449" t="s">
        <v>557</v>
      </c>
      <c r="D4449" t="s">
        <v>2581</v>
      </c>
      <c r="E4449" t="s">
        <v>3572</v>
      </c>
      <c r="F4449" s="451">
        <v>46056</v>
      </c>
      <c r="G4449">
        <v>19505</v>
      </c>
      <c r="H4449" t="s">
        <v>4872</v>
      </c>
      <c r="I4449" t="s">
        <v>5191</v>
      </c>
      <c r="J4449">
        <v>4</v>
      </c>
      <c r="K4449" t="s">
        <v>4744</v>
      </c>
      <c r="L4449">
        <v>52</v>
      </c>
      <c r="M4449">
        <v>13</v>
      </c>
      <c r="N4449" t="s">
        <v>5395</v>
      </c>
      <c r="O4449" t="s">
        <v>460</v>
      </c>
    </row>
    <row r="4450" spans="1:15" x14ac:dyDescent="0.3">
      <c r="A4450">
        <v>205274</v>
      </c>
      <c r="B4450">
        <v>105</v>
      </c>
      <c r="C4450" t="s">
        <v>557</v>
      </c>
      <c r="D4450" t="s">
        <v>2581</v>
      </c>
      <c r="E4450" t="s">
        <v>3572</v>
      </c>
      <c r="F4450" s="451">
        <v>46056</v>
      </c>
      <c r="G4450">
        <v>23236</v>
      </c>
      <c r="H4450" t="s">
        <v>5062</v>
      </c>
      <c r="I4450" t="s">
        <v>5191</v>
      </c>
      <c r="J4450">
        <v>1.8</v>
      </c>
      <c r="K4450" t="s">
        <v>4744</v>
      </c>
      <c r="L4450">
        <v>10.8</v>
      </c>
      <c r="M4450">
        <v>6</v>
      </c>
      <c r="N4450" t="s">
        <v>5395</v>
      </c>
      <c r="O4450" t="s">
        <v>460</v>
      </c>
    </row>
    <row r="4451" spans="1:15" x14ac:dyDescent="0.3">
      <c r="A4451">
        <v>205273</v>
      </c>
      <c r="B4451">
        <v>105</v>
      </c>
      <c r="C4451" t="s">
        <v>557</v>
      </c>
      <c r="D4451" t="s">
        <v>2573</v>
      </c>
      <c r="E4451" t="s">
        <v>3573</v>
      </c>
      <c r="F4451" s="451">
        <v>46055</v>
      </c>
      <c r="G4451">
        <v>27211</v>
      </c>
      <c r="H4451" t="s">
        <v>5396</v>
      </c>
      <c r="I4451" t="s">
        <v>5205</v>
      </c>
      <c r="J4451">
        <v>1</v>
      </c>
      <c r="K4451" t="s">
        <v>4749</v>
      </c>
      <c r="L4451">
        <v>82.63</v>
      </c>
      <c r="M4451">
        <v>82.63</v>
      </c>
      <c r="N4451" t="s">
        <v>5397</v>
      </c>
      <c r="O4451" t="s">
        <v>460</v>
      </c>
    </row>
    <row r="4452" spans="1:15" x14ac:dyDescent="0.3">
      <c r="A4452">
        <v>205273</v>
      </c>
      <c r="B4452">
        <v>105</v>
      </c>
      <c r="C4452" t="s">
        <v>557</v>
      </c>
      <c r="D4452" t="s">
        <v>2573</v>
      </c>
      <c r="E4452" t="s">
        <v>3573</v>
      </c>
      <c r="F4452" s="451">
        <v>46055</v>
      </c>
      <c r="G4452">
        <v>27212</v>
      </c>
      <c r="H4452" t="s">
        <v>5230</v>
      </c>
      <c r="I4452" t="s">
        <v>5205</v>
      </c>
      <c r="J4452">
        <v>1</v>
      </c>
      <c r="K4452" t="s">
        <v>4749</v>
      </c>
      <c r="L4452">
        <v>70.11</v>
      </c>
      <c r="M4452">
        <v>70.11</v>
      </c>
      <c r="N4452" t="s">
        <v>5397</v>
      </c>
      <c r="O4452" t="s">
        <v>460</v>
      </c>
    </row>
    <row r="4453" spans="1:15" x14ac:dyDescent="0.3">
      <c r="A4453">
        <v>205273</v>
      </c>
      <c r="B4453">
        <v>105</v>
      </c>
      <c r="C4453" t="s">
        <v>557</v>
      </c>
      <c r="D4453" t="s">
        <v>2573</v>
      </c>
      <c r="E4453" t="s">
        <v>3573</v>
      </c>
      <c r="F4453" s="451">
        <v>46055</v>
      </c>
      <c r="G4453">
        <v>27213</v>
      </c>
      <c r="H4453" t="s">
        <v>5398</v>
      </c>
      <c r="I4453" t="s">
        <v>5205</v>
      </c>
      <c r="J4453">
        <v>1</v>
      </c>
      <c r="K4453" t="s">
        <v>4749</v>
      </c>
      <c r="L4453">
        <v>70.11</v>
      </c>
      <c r="M4453">
        <v>70.11</v>
      </c>
      <c r="N4453" t="s">
        <v>5397</v>
      </c>
      <c r="O4453" t="s">
        <v>460</v>
      </c>
    </row>
    <row r="4454" spans="1:15" x14ac:dyDescent="0.3">
      <c r="A4454">
        <v>205273</v>
      </c>
      <c r="B4454">
        <v>105</v>
      </c>
      <c r="C4454" t="s">
        <v>557</v>
      </c>
      <c r="D4454" t="s">
        <v>2573</v>
      </c>
      <c r="E4454" t="s">
        <v>3573</v>
      </c>
      <c r="F4454" s="451">
        <v>46055</v>
      </c>
      <c r="G4454">
        <v>27214</v>
      </c>
      <c r="H4454" t="s">
        <v>5229</v>
      </c>
      <c r="I4454" t="s">
        <v>5205</v>
      </c>
      <c r="J4454">
        <v>1</v>
      </c>
      <c r="K4454" t="s">
        <v>4749</v>
      </c>
      <c r="L4454">
        <v>70.11</v>
      </c>
      <c r="M4454">
        <v>70.11</v>
      </c>
      <c r="N4454" t="s">
        <v>5397</v>
      </c>
      <c r="O4454" t="s">
        <v>460</v>
      </c>
    </row>
    <row r="4455" spans="1:15" x14ac:dyDescent="0.3">
      <c r="A4455">
        <v>205273</v>
      </c>
      <c r="B4455">
        <v>105</v>
      </c>
      <c r="C4455" t="s">
        <v>557</v>
      </c>
      <c r="D4455" t="s">
        <v>2573</v>
      </c>
      <c r="E4455" t="s">
        <v>3573</v>
      </c>
      <c r="F4455" s="451">
        <v>46055</v>
      </c>
      <c r="G4455">
        <v>27215</v>
      </c>
      <c r="H4455" t="s">
        <v>5399</v>
      </c>
      <c r="I4455" t="s">
        <v>5205</v>
      </c>
      <c r="J4455">
        <v>1</v>
      </c>
      <c r="K4455" t="s">
        <v>4749</v>
      </c>
      <c r="L4455">
        <v>83</v>
      </c>
      <c r="M4455">
        <v>83</v>
      </c>
      <c r="N4455" t="s">
        <v>5397</v>
      </c>
      <c r="O4455" t="s">
        <v>460</v>
      </c>
    </row>
    <row r="4456" spans="1:15" x14ac:dyDescent="0.3">
      <c r="A4456">
        <v>205271</v>
      </c>
      <c r="B4456">
        <v>105</v>
      </c>
      <c r="C4456" t="s">
        <v>557</v>
      </c>
      <c r="D4456" t="s">
        <v>2569</v>
      </c>
      <c r="E4456" t="s">
        <v>3574</v>
      </c>
      <c r="F4456" s="451">
        <v>46055</v>
      </c>
      <c r="G4456">
        <v>17958</v>
      </c>
      <c r="H4456" t="s">
        <v>5076</v>
      </c>
      <c r="I4456" t="s">
        <v>5222</v>
      </c>
      <c r="J4456">
        <v>10</v>
      </c>
      <c r="K4456" t="s">
        <v>4738</v>
      </c>
      <c r="L4456">
        <v>177</v>
      </c>
      <c r="M4456">
        <v>17.7</v>
      </c>
      <c r="N4456" t="s">
        <v>5383</v>
      </c>
      <c r="O4456" t="s">
        <v>460</v>
      </c>
    </row>
    <row r="4457" spans="1:15" x14ac:dyDescent="0.3">
      <c r="A4457">
        <v>205271</v>
      </c>
      <c r="B4457">
        <v>105</v>
      </c>
      <c r="C4457" t="s">
        <v>557</v>
      </c>
      <c r="D4457" t="s">
        <v>2569</v>
      </c>
      <c r="E4457" t="s">
        <v>3574</v>
      </c>
      <c r="F4457" s="451">
        <v>46055</v>
      </c>
      <c r="G4457">
        <v>17950</v>
      </c>
      <c r="H4457" t="s">
        <v>5091</v>
      </c>
      <c r="I4457" t="s">
        <v>5222</v>
      </c>
      <c r="J4457">
        <v>20</v>
      </c>
      <c r="K4457" t="s">
        <v>4738</v>
      </c>
      <c r="L4457">
        <v>374</v>
      </c>
      <c r="M4457">
        <v>18.7</v>
      </c>
      <c r="N4457" t="s">
        <v>5383</v>
      </c>
      <c r="O4457" t="s">
        <v>460</v>
      </c>
    </row>
    <row r="4458" spans="1:15" x14ac:dyDescent="0.3">
      <c r="A4458">
        <v>205270</v>
      </c>
      <c r="B4458">
        <v>105</v>
      </c>
      <c r="C4458" t="s">
        <v>557</v>
      </c>
      <c r="D4458" t="s">
        <v>2605</v>
      </c>
      <c r="E4458" t="s">
        <v>3575</v>
      </c>
      <c r="F4458" s="451">
        <v>46054</v>
      </c>
      <c r="G4458">
        <v>22721</v>
      </c>
      <c r="H4458" t="s">
        <v>4803</v>
      </c>
      <c r="I4458" t="s">
        <v>5191</v>
      </c>
      <c r="J4458">
        <v>4.9000000000000004</v>
      </c>
      <c r="K4458" t="s">
        <v>4744</v>
      </c>
      <c r="L4458">
        <v>138.66999999999999</v>
      </c>
      <c r="M4458">
        <v>28.3</v>
      </c>
      <c r="N4458" t="s">
        <v>1785</v>
      </c>
      <c r="O4458" t="s">
        <v>460</v>
      </c>
    </row>
    <row r="4459" spans="1:15" x14ac:dyDescent="0.3">
      <c r="A4459">
        <v>205269</v>
      </c>
      <c r="B4459">
        <v>105</v>
      </c>
      <c r="C4459" t="s">
        <v>557</v>
      </c>
      <c r="D4459" t="s">
        <v>1786</v>
      </c>
      <c r="E4459" t="s">
        <v>3576</v>
      </c>
      <c r="F4459" s="451">
        <v>46054</v>
      </c>
      <c r="G4459">
        <v>19306</v>
      </c>
      <c r="H4459" t="s">
        <v>5111</v>
      </c>
      <c r="I4459" t="s">
        <v>5191</v>
      </c>
      <c r="J4459">
        <v>2</v>
      </c>
      <c r="K4459" t="s">
        <v>5228</v>
      </c>
      <c r="L4459">
        <v>37.1</v>
      </c>
      <c r="M4459">
        <v>18.55</v>
      </c>
      <c r="N4459" t="s">
        <v>5400</v>
      </c>
      <c r="O4459" t="s">
        <v>460</v>
      </c>
    </row>
    <row r="4460" spans="1:15" x14ac:dyDescent="0.3">
      <c r="A4460">
        <v>205269</v>
      </c>
      <c r="B4460">
        <v>105</v>
      </c>
      <c r="C4460" t="s">
        <v>557</v>
      </c>
      <c r="D4460" t="s">
        <v>1786</v>
      </c>
      <c r="E4460" t="s">
        <v>3576</v>
      </c>
      <c r="F4460" s="451">
        <v>46054</v>
      </c>
      <c r="G4460">
        <v>21021</v>
      </c>
      <c r="H4460" t="s">
        <v>4883</v>
      </c>
      <c r="I4460" t="s">
        <v>5191</v>
      </c>
      <c r="J4460">
        <v>2</v>
      </c>
      <c r="K4460" t="s">
        <v>4736</v>
      </c>
      <c r="L4460">
        <v>351.6</v>
      </c>
      <c r="M4460">
        <v>175.8</v>
      </c>
      <c r="N4460" t="s">
        <v>5400</v>
      </c>
      <c r="O4460" t="s">
        <v>460</v>
      </c>
    </row>
    <row r="4461" spans="1:15" x14ac:dyDescent="0.3">
      <c r="A4461">
        <v>205269</v>
      </c>
      <c r="B4461">
        <v>105</v>
      </c>
      <c r="C4461" t="s">
        <v>557</v>
      </c>
      <c r="D4461" t="s">
        <v>1786</v>
      </c>
      <c r="E4461" t="s">
        <v>3576</v>
      </c>
      <c r="F4461" s="451">
        <v>46054</v>
      </c>
      <c r="G4461">
        <v>19322</v>
      </c>
      <c r="H4461" t="s">
        <v>4830</v>
      </c>
      <c r="I4461" t="s">
        <v>5191</v>
      </c>
      <c r="J4461">
        <v>7.96</v>
      </c>
      <c r="K4461" t="s">
        <v>4744</v>
      </c>
      <c r="L4461">
        <v>302.32</v>
      </c>
      <c r="M4461">
        <v>37.979899000000003</v>
      </c>
      <c r="N4461" t="s">
        <v>5400</v>
      </c>
      <c r="O4461" t="s">
        <v>460</v>
      </c>
    </row>
    <row r="4462" spans="1:15" x14ac:dyDescent="0.3">
      <c r="A4462">
        <v>205269</v>
      </c>
      <c r="B4462">
        <v>105</v>
      </c>
      <c r="C4462" t="s">
        <v>557</v>
      </c>
      <c r="D4462" t="s">
        <v>1786</v>
      </c>
      <c r="E4462" t="s">
        <v>3576</v>
      </c>
      <c r="F4462" s="451">
        <v>46054</v>
      </c>
      <c r="G4462">
        <v>20984</v>
      </c>
      <c r="H4462" t="s">
        <v>5133</v>
      </c>
      <c r="I4462" t="s">
        <v>5191</v>
      </c>
      <c r="J4462">
        <v>12</v>
      </c>
      <c r="K4462" t="s">
        <v>4888</v>
      </c>
      <c r="L4462">
        <v>100.2</v>
      </c>
      <c r="M4462">
        <v>8.35</v>
      </c>
      <c r="N4462" t="s">
        <v>5400</v>
      </c>
      <c r="O4462" t="s">
        <v>460</v>
      </c>
    </row>
    <row r="4463" spans="1:15" x14ac:dyDescent="0.3">
      <c r="A4463">
        <v>205268</v>
      </c>
      <c r="B4463">
        <v>105</v>
      </c>
      <c r="C4463" t="s">
        <v>557</v>
      </c>
      <c r="D4463" t="s">
        <v>2699</v>
      </c>
      <c r="E4463" t="s">
        <v>3577</v>
      </c>
      <c r="F4463" s="451">
        <v>46057</v>
      </c>
      <c r="G4463">
        <v>18232</v>
      </c>
      <c r="H4463" t="s">
        <v>4971</v>
      </c>
      <c r="I4463" t="s">
        <v>5222</v>
      </c>
      <c r="J4463">
        <v>3</v>
      </c>
      <c r="K4463" t="s">
        <v>4805</v>
      </c>
      <c r="L4463">
        <v>299.7</v>
      </c>
      <c r="M4463">
        <v>99.9</v>
      </c>
      <c r="N4463" t="s">
        <v>5271</v>
      </c>
      <c r="O4463" t="s">
        <v>460</v>
      </c>
    </row>
    <row r="4464" spans="1:15" x14ac:dyDescent="0.3">
      <c r="A4464">
        <v>205252</v>
      </c>
      <c r="B4464">
        <v>105</v>
      </c>
      <c r="C4464" t="s">
        <v>557</v>
      </c>
      <c r="D4464" t="s">
        <v>1786</v>
      </c>
      <c r="E4464" t="s">
        <v>3578</v>
      </c>
      <c r="F4464" s="451">
        <v>46041</v>
      </c>
      <c r="G4464">
        <v>20809</v>
      </c>
      <c r="H4464" t="s">
        <v>4822</v>
      </c>
      <c r="I4464" t="s">
        <v>5191</v>
      </c>
      <c r="J4464">
        <v>10</v>
      </c>
      <c r="K4464" t="s">
        <v>4738</v>
      </c>
      <c r="L4464">
        <v>332.3</v>
      </c>
      <c r="M4464">
        <v>33.229999999999997</v>
      </c>
      <c r="N4464" t="s">
        <v>5272</v>
      </c>
      <c r="O4464" t="s">
        <v>459</v>
      </c>
    </row>
    <row r="4465" spans="1:15" x14ac:dyDescent="0.3">
      <c r="A4465">
        <v>205252</v>
      </c>
      <c r="B4465">
        <v>105</v>
      </c>
      <c r="C4465" t="s">
        <v>557</v>
      </c>
      <c r="D4465" t="s">
        <v>1786</v>
      </c>
      <c r="E4465" t="s">
        <v>3578</v>
      </c>
      <c r="F4465" s="451">
        <v>46041</v>
      </c>
      <c r="G4465">
        <v>19306</v>
      </c>
      <c r="H4465" t="s">
        <v>5111</v>
      </c>
      <c r="I4465" t="s">
        <v>5191</v>
      </c>
      <c r="J4465">
        <v>2</v>
      </c>
      <c r="K4465" t="s">
        <v>5228</v>
      </c>
      <c r="L4465">
        <v>36.799999999999997</v>
      </c>
      <c r="M4465">
        <v>18.399999999999999</v>
      </c>
      <c r="N4465" t="s">
        <v>5272</v>
      </c>
      <c r="O4465" t="s">
        <v>459</v>
      </c>
    </row>
    <row r="4466" spans="1:15" x14ac:dyDescent="0.3">
      <c r="A4466">
        <v>205252</v>
      </c>
      <c r="B4466">
        <v>105</v>
      </c>
      <c r="C4466" t="s">
        <v>557</v>
      </c>
      <c r="D4466" t="s">
        <v>1786</v>
      </c>
      <c r="E4466" t="s">
        <v>3578</v>
      </c>
      <c r="F4466" s="451">
        <v>46041</v>
      </c>
      <c r="G4466">
        <v>21021</v>
      </c>
      <c r="H4466" t="s">
        <v>4883</v>
      </c>
      <c r="I4466" t="s">
        <v>5191</v>
      </c>
      <c r="J4466">
        <v>4</v>
      </c>
      <c r="K4466" t="s">
        <v>4736</v>
      </c>
      <c r="L4466">
        <v>699.84</v>
      </c>
      <c r="M4466">
        <v>174.96</v>
      </c>
      <c r="N4466" t="s">
        <v>5272</v>
      </c>
      <c r="O4466" t="s">
        <v>459</v>
      </c>
    </row>
    <row r="4467" spans="1:15" x14ac:dyDescent="0.3">
      <c r="A4467">
        <v>205252</v>
      </c>
      <c r="B4467">
        <v>105</v>
      </c>
      <c r="C4467" t="s">
        <v>557</v>
      </c>
      <c r="D4467" t="s">
        <v>1786</v>
      </c>
      <c r="E4467" t="s">
        <v>3578</v>
      </c>
      <c r="F4467" s="451">
        <v>46041</v>
      </c>
      <c r="G4467">
        <v>19415</v>
      </c>
      <c r="H4467" t="s">
        <v>4919</v>
      </c>
      <c r="I4467" t="s">
        <v>5191</v>
      </c>
      <c r="J4467">
        <v>3</v>
      </c>
      <c r="K4467" t="s">
        <v>4736</v>
      </c>
      <c r="L4467">
        <v>26.52</v>
      </c>
      <c r="M4467">
        <v>8.84</v>
      </c>
      <c r="N4467" t="s">
        <v>5272</v>
      </c>
      <c r="O4467" t="s">
        <v>459</v>
      </c>
    </row>
    <row r="4468" spans="1:15" x14ac:dyDescent="0.3">
      <c r="A4468">
        <v>205252</v>
      </c>
      <c r="B4468">
        <v>105</v>
      </c>
      <c r="C4468" t="s">
        <v>557</v>
      </c>
      <c r="D4468" t="s">
        <v>1786</v>
      </c>
      <c r="E4468" t="s">
        <v>3578</v>
      </c>
      <c r="F4468" s="451">
        <v>46041</v>
      </c>
      <c r="G4468">
        <v>19322</v>
      </c>
      <c r="H4468" t="s">
        <v>4830</v>
      </c>
      <c r="I4468" t="s">
        <v>5191</v>
      </c>
      <c r="J4468">
        <v>12</v>
      </c>
      <c r="K4468" t="s">
        <v>4744</v>
      </c>
      <c r="L4468">
        <v>452.04</v>
      </c>
      <c r="M4468">
        <v>37.67</v>
      </c>
      <c r="N4468" t="s">
        <v>5272</v>
      </c>
      <c r="O4468" t="s">
        <v>459</v>
      </c>
    </row>
    <row r="4469" spans="1:15" x14ac:dyDescent="0.3">
      <c r="A4469">
        <v>205252</v>
      </c>
      <c r="B4469">
        <v>105</v>
      </c>
      <c r="C4469" t="s">
        <v>557</v>
      </c>
      <c r="D4469" t="s">
        <v>1786</v>
      </c>
      <c r="E4469" t="s">
        <v>3578</v>
      </c>
      <c r="F4469" s="451">
        <v>46041</v>
      </c>
      <c r="G4469">
        <v>20984</v>
      </c>
      <c r="H4469" t="s">
        <v>5133</v>
      </c>
      <c r="I4469" t="s">
        <v>5191</v>
      </c>
      <c r="J4469">
        <v>12</v>
      </c>
      <c r="K4469" t="s">
        <v>4888</v>
      </c>
      <c r="L4469">
        <v>103.8</v>
      </c>
      <c r="M4469">
        <v>8.65</v>
      </c>
      <c r="N4469" t="s">
        <v>5272</v>
      </c>
      <c r="O4469" t="s">
        <v>459</v>
      </c>
    </row>
    <row r="4470" spans="1:15" x14ac:dyDescent="0.3">
      <c r="A4470">
        <v>205251</v>
      </c>
      <c r="B4470">
        <v>105</v>
      </c>
      <c r="C4470" t="s">
        <v>557</v>
      </c>
      <c r="D4470" t="s">
        <v>1786</v>
      </c>
      <c r="E4470" t="s">
        <v>3579</v>
      </c>
      <c r="F4470" s="451">
        <v>46045</v>
      </c>
      <c r="G4470">
        <v>19356</v>
      </c>
      <c r="H4470" t="s">
        <v>4799</v>
      </c>
      <c r="I4470" t="s">
        <v>5191</v>
      </c>
      <c r="J4470">
        <v>10</v>
      </c>
      <c r="K4470" t="s">
        <v>4744</v>
      </c>
      <c r="L4470">
        <v>656.2</v>
      </c>
      <c r="M4470">
        <v>65.62</v>
      </c>
      <c r="N4470" t="s">
        <v>1785</v>
      </c>
      <c r="O4470" t="s">
        <v>459</v>
      </c>
    </row>
    <row r="4471" spans="1:15" x14ac:dyDescent="0.3">
      <c r="A4471">
        <v>205251</v>
      </c>
      <c r="B4471">
        <v>105</v>
      </c>
      <c r="C4471" t="s">
        <v>557</v>
      </c>
      <c r="D4471" t="s">
        <v>1786</v>
      </c>
      <c r="E4471" t="s">
        <v>3579</v>
      </c>
      <c r="F4471" s="451">
        <v>46045</v>
      </c>
      <c r="G4471">
        <v>19322</v>
      </c>
      <c r="H4471" t="s">
        <v>4830</v>
      </c>
      <c r="I4471" t="s">
        <v>5191</v>
      </c>
      <c r="J4471">
        <v>10</v>
      </c>
      <c r="K4471" t="s">
        <v>4744</v>
      </c>
      <c r="L4471">
        <v>442.4</v>
      </c>
      <c r="M4471">
        <v>44.24</v>
      </c>
      <c r="N4471" t="s">
        <v>1785</v>
      </c>
      <c r="O4471" t="s">
        <v>459</v>
      </c>
    </row>
    <row r="4472" spans="1:15" x14ac:dyDescent="0.3">
      <c r="A4472">
        <v>205250</v>
      </c>
      <c r="B4472">
        <v>105</v>
      </c>
      <c r="C4472" t="s">
        <v>557</v>
      </c>
      <c r="D4472" t="s">
        <v>2699</v>
      </c>
      <c r="E4472" t="s">
        <v>3580</v>
      </c>
      <c r="F4472" s="451">
        <v>46050</v>
      </c>
      <c r="G4472">
        <v>18172</v>
      </c>
      <c r="H4472" t="s">
        <v>4804</v>
      </c>
      <c r="I4472" t="s">
        <v>5222</v>
      </c>
      <c r="J4472">
        <v>3</v>
      </c>
      <c r="K4472" t="s">
        <v>4805</v>
      </c>
      <c r="L4472">
        <v>94.2</v>
      </c>
      <c r="M4472">
        <v>31.4</v>
      </c>
      <c r="N4472" t="s">
        <v>5271</v>
      </c>
      <c r="O4472" t="s">
        <v>459</v>
      </c>
    </row>
    <row r="4473" spans="1:15" x14ac:dyDescent="0.3">
      <c r="A4473">
        <v>205250</v>
      </c>
      <c r="B4473">
        <v>105</v>
      </c>
      <c r="C4473" t="s">
        <v>557</v>
      </c>
      <c r="D4473" t="s">
        <v>2699</v>
      </c>
      <c r="E4473" t="s">
        <v>3580</v>
      </c>
      <c r="F4473" s="451">
        <v>46050</v>
      </c>
      <c r="G4473">
        <v>18116</v>
      </c>
      <c r="H4473" t="s">
        <v>5045</v>
      </c>
      <c r="I4473" t="s">
        <v>5222</v>
      </c>
      <c r="J4473">
        <v>2</v>
      </c>
      <c r="K4473" t="s">
        <v>4805</v>
      </c>
      <c r="L4473">
        <v>173.8</v>
      </c>
      <c r="M4473">
        <v>86.9</v>
      </c>
      <c r="N4473" t="s">
        <v>5271</v>
      </c>
      <c r="O4473" t="s">
        <v>459</v>
      </c>
    </row>
    <row r="4474" spans="1:15" x14ac:dyDescent="0.3">
      <c r="A4474">
        <v>205249</v>
      </c>
      <c r="B4474">
        <v>105</v>
      </c>
      <c r="C4474" t="s">
        <v>557</v>
      </c>
      <c r="D4474" t="s">
        <v>3328</v>
      </c>
      <c r="E4474" t="s">
        <v>3581</v>
      </c>
      <c r="F4474" s="451">
        <v>46042</v>
      </c>
      <c r="G4474">
        <v>19607</v>
      </c>
      <c r="H4474" t="s">
        <v>4981</v>
      </c>
      <c r="I4474" t="s">
        <v>5191</v>
      </c>
      <c r="J4474">
        <v>0.3</v>
      </c>
      <c r="K4474" t="s">
        <v>4744</v>
      </c>
      <c r="L4474">
        <v>4.5</v>
      </c>
      <c r="M4474">
        <v>15</v>
      </c>
      <c r="N4474" t="s">
        <v>5272</v>
      </c>
      <c r="O4474" t="s">
        <v>459</v>
      </c>
    </row>
    <row r="4475" spans="1:15" x14ac:dyDescent="0.3">
      <c r="A4475">
        <v>205249</v>
      </c>
      <c r="B4475">
        <v>105</v>
      </c>
      <c r="C4475" t="s">
        <v>557</v>
      </c>
      <c r="D4475" t="s">
        <v>3328</v>
      </c>
      <c r="E4475" t="s">
        <v>3581</v>
      </c>
      <c r="F4475" s="451">
        <v>46042</v>
      </c>
      <c r="G4475">
        <v>24522</v>
      </c>
      <c r="H4475" t="s">
        <v>5072</v>
      </c>
      <c r="I4475" t="s">
        <v>5191</v>
      </c>
      <c r="J4475">
        <v>2</v>
      </c>
      <c r="K4475" t="s">
        <v>4744</v>
      </c>
      <c r="L4475">
        <v>46</v>
      </c>
      <c r="M4475">
        <v>23</v>
      </c>
      <c r="N4475" t="s">
        <v>5272</v>
      </c>
      <c r="O4475" t="s">
        <v>459</v>
      </c>
    </row>
    <row r="4476" spans="1:15" x14ac:dyDescent="0.3">
      <c r="A4476">
        <v>205249</v>
      </c>
      <c r="B4476">
        <v>105</v>
      </c>
      <c r="C4476" t="s">
        <v>557</v>
      </c>
      <c r="D4476" t="s">
        <v>3328</v>
      </c>
      <c r="E4476" t="s">
        <v>3581</v>
      </c>
      <c r="F4476" s="451">
        <v>46042</v>
      </c>
      <c r="G4476">
        <v>19623</v>
      </c>
      <c r="H4476" t="s">
        <v>4764</v>
      </c>
      <c r="I4476" t="s">
        <v>5191</v>
      </c>
      <c r="J4476">
        <v>10</v>
      </c>
      <c r="K4476" t="s">
        <v>4744</v>
      </c>
      <c r="L4476">
        <v>37.5</v>
      </c>
      <c r="M4476">
        <v>3.75</v>
      </c>
      <c r="N4476" t="s">
        <v>5272</v>
      </c>
      <c r="O4476" t="s">
        <v>459</v>
      </c>
    </row>
    <row r="4477" spans="1:15" x14ac:dyDescent="0.3">
      <c r="A4477">
        <v>205249</v>
      </c>
      <c r="B4477">
        <v>105</v>
      </c>
      <c r="C4477" t="s">
        <v>557</v>
      </c>
      <c r="D4477" t="s">
        <v>3328</v>
      </c>
      <c r="E4477" t="s">
        <v>3581</v>
      </c>
      <c r="F4477" s="451">
        <v>46042</v>
      </c>
      <c r="G4477">
        <v>24099</v>
      </c>
      <c r="H4477" t="s">
        <v>4933</v>
      </c>
      <c r="I4477" t="s">
        <v>5191</v>
      </c>
      <c r="J4477">
        <v>2.5</v>
      </c>
      <c r="K4477" t="s">
        <v>4744</v>
      </c>
      <c r="L4477">
        <v>52.07</v>
      </c>
      <c r="M4477">
        <v>20.827999999999999</v>
      </c>
      <c r="N4477" t="s">
        <v>5272</v>
      </c>
      <c r="O4477" t="s">
        <v>459</v>
      </c>
    </row>
    <row r="4478" spans="1:15" x14ac:dyDescent="0.3">
      <c r="A4478">
        <v>205249</v>
      </c>
      <c r="B4478">
        <v>105</v>
      </c>
      <c r="C4478" t="s">
        <v>557</v>
      </c>
      <c r="D4478" t="s">
        <v>3328</v>
      </c>
      <c r="E4478" t="s">
        <v>3581</v>
      </c>
      <c r="F4478" s="451">
        <v>46042</v>
      </c>
      <c r="G4478">
        <v>19572</v>
      </c>
      <c r="H4478" t="s">
        <v>4989</v>
      </c>
      <c r="I4478" t="s">
        <v>5191</v>
      </c>
      <c r="J4478">
        <v>1</v>
      </c>
      <c r="K4478" t="s">
        <v>4744</v>
      </c>
      <c r="L4478">
        <v>15</v>
      </c>
      <c r="M4478">
        <v>15</v>
      </c>
      <c r="N4478" t="s">
        <v>5272</v>
      </c>
      <c r="O4478" t="s">
        <v>459</v>
      </c>
    </row>
    <row r="4479" spans="1:15" x14ac:dyDescent="0.3">
      <c r="A4479">
        <v>205249</v>
      </c>
      <c r="B4479">
        <v>105</v>
      </c>
      <c r="C4479" t="s">
        <v>557</v>
      </c>
      <c r="D4479" t="s">
        <v>3328</v>
      </c>
      <c r="E4479" t="s">
        <v>3581</v>
      </c>
      <c r="F4479" s="451">
        <v>46042</v>
      </c>
      <c r="G4479">
        <v>19790</v>
      </c>
      <c r="H4479" t="s">
        <v>5073</v>
      </c>
      <c r="I4479" t="s">
        <v>5191</v>
      </c>
      <c r="J4479">
        <v>3</v>
      </c>
      <c r="K4479" t="s">
        <v>4744</v>
      </c>
      <c r="L4479">
        <v>106.89</v>
      </c>
      <c r="M4479">
        <v>35.630000000000003</v>
      </c>
      <c r="N4479" t="s">
        <v>5272</v>
      </c>
      <c r="O4479" t="s">
        <v>459</v>
      </c>
    </row>
    <row r="4480" spans="1:15" x14ac:dyDescent="0.3">
      <c r="A4480">
        <v>205249</v>
      </c>
      <c r="B4480">
        <v>105</v>
      </c>
      <c r="C4480" t="s">
        <v>557</v>
      </c>
      <c r="D4480" t="s">
        <v>3328</v>
      </c>
      <c r="E4480" t="s">
        <v>3581</v>
      </c>
      <c r="F4480" s="451">
        <v>46042</v>
      </c>
      <c r="G4480">
        <v>19617</v>
      </c>
      <c r="H4480" t="s">
        <v>5071</v>
      </c>
      <c r="I4480" t="s">
        <v>5191</v>
      </c>
      <c r="J4480">
        <v>0.5</v>
      </c>
      <c r="K4480" t="s">
        <v>4744</v>
      </c>
      <c r="L4480">
        <v>13.39</v>
      </c>
      <c r="M4480">
        <v>26.78</v>
      </c>
      <c r="N4480" t="s">
        <v>5272</v>
      </c>
      <c r="O4480" t="s">
        <v>459</v>
      </c>
    </row>
    <row r="4481" spans="1:15" x14ac:dyDescent="0.3">
      <c r="A4481">
        <v>205248</v>
      </c>
      <c r="B4481">
        <v>105</v>
      </c>
      <c r="C4481" t="s">
        <v>557</v>
      </c>
      <c r="D4481" t="s">
        <v>3328</v>
      </c>
      <c r="E4481" t="s">
        <v>3582</v>
      </c>
      <c r="F4481" s="451">
        <v>46048</v>
      </c>
      <c r="G4481">
        <v>19623</v>
      </c>
      <c r="H4481" t="s">
        <v>4764</v>
      </c>
      <c r="I4481" t="s">
        <v>5191</v>
      </c>
      <c r="J4481">
        <v>10</v>
      </c>
      <c r="K4481" t="s">
        <v>4744</v>
      </c>
      <c r="L4481">
        <v>37.5</v>
      </c>
      <c r="M4481">
        <v>3.75</v>
      </c>
      <c r="N4481" t="s">
        <v>5272</v>
      </c>
      <c r="O4481" t="s">
        <v>459</v>
      </c>
    </row>
    <row r="4482" spans="1:15" x14ac:dyDescent="0.3">
      <c r="A4482">
        <v>205248</v>
      </c>
      <c r="B4482">
        <v>105</v>
      </c>
      <c r="C4482" t="s">
        <v>557</v>
      </c>
      <c r="D4482" t="s">
        <v>3328</v>
      </c>
      <c r="E4482" t="s">
        <v>3582</v>
      </c>
      <c r="F4482" s="451">
        <v>46048</v>
      </c>
      <c r="G4482">
        <v>19642</v>
      </c>
      <c r="H4482" t="s">
        <v>4996</v>
      </c>
      <c r="I4482" t="s">
        <v>5191</v>
      </c>
      <c r="J4482">
        <v>1</v>
      </c>
      <c r="K4482" t="s">
        <v>4744</v>
      </c>
      <c r="L4482">
        <v>5.63</v>
      </c>
      <c r="M4482">
        <v>5.63</v>
      </c>
      <c r="N4482" t="s">
        <v>5272</v>
      </c>
      <c r="O4482" t="s">
        <v>459</v>
      </c>
    </row>
    <row r="4483" spans="1:15" x14ac:dyDescent="0.3">
      <c r="A4483">
        <v>205248</v>
      </c>
      <c r="B4483">
        <v>105</v>
      </c>
      <c r="C4483" t="s">
        <v>557</v>
      </c>
      <c r="D4483" t="s">
        <v>3328</v>
      </c>
      <c r="E4483" t="s">
        <v>3582</v>
      </c>
      <c r="F4483" s="451">
        <v>46048</v>
      </c>
      <c r="G4483">
        <v>19526</v>
      </c>
      <c r="H4483" t="s">
        <v>4997</v>
      </c>
      <c r="I4483" t="s">
        <v>5191</v>
      </c>
      <c r="J4483">
        <v>1</v>
      </c>
      <c r="K4483" t="s">
        <v>4744</v>
      </c>
      <c r="L4483">
        <v>38.75</v>
      </c>
      <c r="M4483">
        <v>38.75</v>
      </c>
      <c r="N4483" t="s">
        <v>5272</v>
      </c>
      <c r="O4483" t="s">
        <v>459</v>
      </c>
    </row>
    <row r="4484" spans="1:15" x14ac:dyDescent="0.3">
      <c r="A4484">
        <v>205248</v>
      </c>
      <c r="B4484">
        <v>105</v>
      </c>
      <c r="C4484" t="s">
        <v>557</v>
      </c>
      <c r="D4484" t="s">
        <v>3328</v>
      </c>
      <c r="E4484" t="s">
        <v>3582</v>
      </c>
      <c r="F4484" s="451">
        <v>46048</v>
      </c>
      <c r="G4484">
        <v>24099</v>
      </c>
      <c r="H4484" t="s">
        <v>4933</v>
      </c>
      <c r="I4484" t="s">
        <v>5191</v>
      </c>
      <c r="J4484">
        <v>3.2</v>
      </c>
      <c r="K4484" t="s">
        <v>4744</v>
      </c>
      <c r="L4484">
        <v>73.31</v>
      </c>
      <c r="M4484">
        <v>22.909375000000001</v>
      </c>
      <c r="N4484" t="s">
        <v>5272</v>
      </c>
      <c r="O4484" t="s">
        <v>459</v>
      </c>
    </row>
    <row r="4485" spans="1:15" x14ac:dyDescent="0.3">
      <c r="A4485">
        <v>205248</v>
      </c>
      <c r="B4485">
        <v>105</v>
      </c>
      <c r="C4485" t="s">
        <v>557</v>
      </c>
      <c r="D4485" t="s">
        <v>3328</v>
      </c>
      <c r="E4485" t="s">
        <v>3582</v>
      </c>
      <c r="F4485" s="451">
        <v>46048</v>
      </c>
      <c r="G4485">
        <v>19507</v>
      </c>
      <c r="H4485" t="s">
        <v>4853</v>
      </c>
      <c r="I4485" t="s">
        <v>5191</v>
      </c>
      <c r="J4485">
        <v>1.3</v>
      </c>
      <c r="K4485" t="s">
        <v>4744</v>
      </c>
      <c r="L4485">
        <v>16.25</v>
      </c>
      <c r="M4485">
        <v>12.5</v>
      </c>
      <c r="N4485" t="s">
        <v>5272</v>
      </c>
      <c r="O4485" t="s">
        <v>459</v>
      </c>
    </row>
    <row r="4486" spans="1:15" x14ac:dyDescent="0.3">
      <c r="A4486">
        <v>205248</v>
      </c>
      <c r="B4486">
        <v>105</v>
      </c>
      <c r="C4486" t="s">
        <v>557</v>
      </c>
      <c r="D4486" t="s">
        <v>3328</v>
      </c>
      <c r="E4486" t="s">
        <v>3582</v>
      </c>
      <c r="F4486" s="451">
        <v>46048</v>
      </c>
      <c r="G4486">
        <v>19551</v>
      </c>
      <c r="H4486" t="s">
        <v>4905</v>
      </c>
      <c r="I4486" t="s">
        <v>5191</v>
      </c>
      <c r="J4486">
        <v>2</v>
      </c>
      <c r="K4486" t="s">
        <v>4744</v>
      </c>
      <c r="L4486">
        <v>30</v>
      </c>
      <c r="M4486">
        <v>15</v>
      </c>
      <c r="N4486" t="s">
        <v>5272</v>
      </c>
      <c r="O4486" t="s">
        <v>459</v>
      </c>
    </row>
    <row r="4487" spans="1:15" x14ac:dyDescent="0.3">
      <c r="A4487">
        <v>205248</v>
      </c>
      <c r="B4487">
        <v>105</v>
      </c>
      <c r="C4487" t="s">
        <v>557</v>
      </c>
      <c r="D4487" t="s">
        <v>3328</v>
      </c>
      <c r="E4487" t="s">
        <v>3582</v>
      </c>
      <c r="F4487" s="451">
        <v>46048</v>
      </c>
      <c r="G4487">
        <v>19734</v>
      </c>
      <c r="H4487" t="s">
        <v>4833</v>
      </c>
      <c r="I4487" t="s">
        <v>5191</v>
      </c>
      <c r="J4487">
        <v>3</v>
      </c>
      <c r="K4487" t="s">
        <v>4744</v>
      </c>
      <c r="L4487">
        <v>63.75</v>
      </c>
      <c r="M4487">
        <v>21.25</v>
      </c>
      <c r="N4487" t="s">
        <v>5272</v>
      </c>
      <c r="O4487" t="s">
        <v>459</v>
      </c>
    </row>
    <row r="4488" spans="1:15" x14ac:dyDescent="0.3">
      <c r="A4488">
        <v>205248</v>
      </c>
      <c r="B4488">
        <v>105</v>
      </c>
      <c r="C4488" t="s">
        <v>557</v>
      </c>
      <c r="D4488" t="s">
        <v>3328</v>
      </c>
      <c r="E4488" t="s">
        <v>3582</v>
      </c>
      <c r="F4488" s="451">
        <v>46048</v>
      </c>
      <c r="G4488">
        <v>19555</v>
      </c>
      <c r="H4488" t="s">
        <v>4903</v>
      </c>
      <c r="I4488" t="s">
        <v>5191</v>
      </c>
      <c r="J4488">
        <v>1.3</v>
      </c>
      <c r="K4488" t="s">
        <v>4744</v>
      </c>
      <c r="L4488">
        <v>32.5</v>
      </c>
      <c r="M4488">
        <v>25</v>
      </c>
      <c r="N4488" t="s">
        <v>5272</v>
      </c>
      <c r="O4488" t="s">
        <v>459</v>
      </c>
    </row>
    <row r="4489" spans="1:15" x14ac:dyDescent="0.3">
      <c r="A4489">
        <v>205248</v>
      </c>
      <c r="B4489">
        <v>105</v>
      </c>
      <c r="C4489" t="s">
        <v>557</v>
      </c>
      <c r="D4489" t="s">
        <v>3328</v>
      </c>
      <c r="E4489" t="s">
        <v>3582</v>
      </c>
      <c r="F4489" s="451">
        <v>46048</v>
      </c>
      <c r="G4489">
        <v>19740</v>
      </c>
      <c r="H4489" t="s">
        <v>4779</v>
      </c>
      <c r="I4489" t="s">
        <v>5191</v>
      </c>
      <c r="J4489">
        <v>5</v>
      </c>
      <c r="K4489" t="s">
        <v>4744</v>
      </c>
      <c r="L4489">
        <v>40.65</v>
      </c>
      <c r="M4489">
        <v>8.1300000000000008</v>
      </c>
      <c r="N4489" t="s">
        <v>5272</v>
      </c>
      <c r="O4489" t="s">
        <v>459</v>
      </c>
    </row>
    <row r="4490" spans="1:15" x14ac:dyDescent="0.3">
      <c r="A4490">
        <v>205248</v>
      </c>
      <c r="B4490">
        <v>105</v>
      </c>
      <c r="C4490" t="s">
        <v>557</v>
      </c>
      <c r="D4490" t="s">
        <v>3328</v>
      </c>
      <c r="E4490" t="s">
        <v>3582</v>
      </c>
      <c r="F4490" s="451">
        <v>46048</v>
      </c>
      <c r="G4490">
        <v>19743</v>
      </c>
      <c r="H4490" t="s">
        <v>5047</v>
      </c>
      <c r="I4490" t="s">
        <v>5191</v>
      </c>
      <c r="J4490">
        <v>0.8</v>
      </c>
      <c r="K4490" t="s">
        <v>4744</v>
      </c>
      <c r="L4490">
        <v>11</v>
      </c>
      <c r="M4490">
        <v>13.75</v>
      </c>
      <c r="N4490" t="s">
        <v>5272</v>
      </c>
      <c r="O4490" t="s">
        <v>459</v>
      </c>
    </row>
    <row r="4491" spans="1:15" x14ac:dyDescent="0.3">
      <c r="A4491">
        <v>205248</v>
      </c>
      <c r="B4491">
        <v>105</v>
      </c>
      <c r="C4491" t="s">
        <v>557</v>
      </c>
      <c r="D4491" t="s">
        <v>3328</v>
      </c>
      <c r="E4491" t="s">
        <v>3582</v>
      </c>
      <c r="F4491" s="451">
        <v>46048</v>
      </c>
      <c r="G4491">
        <v>19617</v>
      </c>
      <c r="H4491" t="s">
        <v>5071</v>
      </c>
      <c r="I4491" t="s">
        <v>5191</v>
      </c>
      <c r="J4491">
        <v>0.4</v>
      </c>
      <c r="K4491" t="s">
        <v>4744</v>
      </c>
      <c r="L4491">
        <v>10.71</v>
      </c>
      <c r="M4491">
        <v>26.774999999999999</v>
      </c>
      <c r="N4491" t="s">
        <v>5272</v>
      </c>
      <c r="O4491" t="s">
        <v>459</v>
      </c>
    </row>
    <row r="4492" spans="1:15" x14ac:dyDescent="0.3">
      <c r="A4492">
        <v>205248</v>
      </c>
      <c r="B4492">
        <v>105</v>
      </c>
      <c r="C4492" t="s">
        <v>557</v>
      </c>
      <c r="D4492" t="s">
        <v>3328</v>
      </c>
      <c r="E4492" t="s">
        <v>3582</v>
      </c>
      <c r="F4492" s="451">
        <v>46048</v>
      </c>
      <c r="G4492">
        <v>23113</v>
      </c>
      <c r="H4492" t="s">
        <v>5074</v>
      </c>
      <c r="I4492" t="s">
        <v>5191</v>
      </c>
      <c r="J4492">
        <v>1.5</v>
      </c>
      <c r="K4492" t="s">
        <v>4744</v>
      </c>
      <c r="L4492">
        <v>13.13</v>
      </c>
      <c r="M4492">
        <v>8.7533329999999996</v>
      </c>
      <c r="N4492" t="s">
        <v>5272</v>
      </c>
      <c r="O4492" t="s">
        <v>459</v>
      </c>
    </row>
    <row r="4493" spans="1:15" x14ac:dyDescent="0.3">
      <c r="A4493">
        <v>205248</v>
      </c>
      <c r="B4493">
        <v>105</v>
      </c>
      <c r="C4493" t="s">
        <v>557</v>
      </c>
      <c r="D4493" t="s">
        <v>3328</v>
      </c>
      <c r="E4493" t="s">
        <v>3582</v>
      </c>
      <c r="F4493" s="451">
        <v>46048</v>
      </c>
      <c r="G4493">
        <v>23346</v>
      </c>
      <c r="H4493" t="s">
        <v>4916</v>
      </c>
      <c r="I4493" t="s">
        <v>5191</v>
      </c>
      <c r="J4493">
        <v>2</v>
      </c>
      <c r="K4493" t="s">
        <v>4744</v>
      </c>
      <c r="L4493">
        <v>18.760000000000002</v>
      </c>
      <c r="M4493">
        <v>9.3800000000000008</v>
      </c>
      <c r="N4493" t="s">
        <v>5272</v>
      </c>
      <c r="O4493" t="s">
        <v>459</v>
      </c>
    </row>
    <row r="4494" spans="1:15" x14ac:dyDescent="0.3">
      <c r="A4494">
        <v>205248</v>
      </c>
      <c r="B4494">
        <v>105</v>
      </c>
      <c r="C4494" t="s">
        <v>557</v>
      </c>
      <c r="D4494" t="s">
        <v>3328</v>
      </c>
      <c r="E4494" t="s">
        <v>3582</v>
      </c>
      <c r="F4494" s="451">
        <v>46048</v>
      </c>
      <c r="G4494">
        <v>19472</v>
      </c>
      <c r="H4494" t="s">
        <v>4906</v>
      </c>
      <c r="I4494" t="s">
        <v>5191</v>
      </c>
      <c r="J4494">
        <v>1.5</v>
      </c>
      <c r="K4494" t="s">
        <v>4744</v>
      </c>
      <c r="L4494">
        <v>32.82</v>
      </c>
      <c r="M4494">
        <v>21.88</v>
      </c>
      <c r="N4494" t="s">
        <v>5272</v>
      </c>
      <c r="O4494" t="s">
        <v>459</v>
      </c>
    </row>
    <row r="4495" spans="1:15" x14ac:dyDescent="0.3">
      <c r="A4495">
        <v>205248</v>
      </c>
      <c r="B4495">
        <v>105</v>
      </c>
      <c r="C4495" t="s">
        <v>557</v>
      </c>
      <c r="D4495" t="s">
        <v>3328</v>
      </c>
      <c r="E4495" t="s">
        <v>3582</v>
      </c>
      <c r="F4495" s="451">
        <v>46048</v>
      </c>
      <c r="G4495">
        <v>23184</v>
      </c>
      <c r="H4495" t="s">
        <v>4935</v>
      </c>
      <c r="I4495" t="s">
        <v>5191</v>
      </c>
      <c r="J4495">
        <v>1</v>
      </c>
      <c r="K4495" t="s">
        <v>4744</v>
      </c>
      <c r="L4495">
        <v>8.75</v>
      </c>
      <c r="M4495">
        <v>8.75</v>
      </c>
      <c r="N4495" t="s">
        <v>5272</v>
      </c>
      <c r="O4495" t="s">
        <v>459</v>
      </c>
    </row>
    <row r="4496" spans="1:15" x14ac:dyDescent="0.3">
      <c r="A4496">
        <v>205248</v>
      </c>
      <c r="B4496">
        <v>105</v>
      </c>
      <c r="C4496" t="s">
        <v>557</v>
      </c>
      <c r="D4496" t="s">
        <v>3328</v>
      </c>
      <c r="E4496" t="s">
        <v>3582</v>
      </c>
      <c r="F4496" s="451">
        <v>46048</v>
      </c>
      <c r="G4496">
        <v>19532</v>
      </c>
      <c r="H4496" t="s">
        <v>4753</v>
      </c>
      <c r="I4496" t="s">
        <v>5191</v>
      </c>
      <c r="J4496">
        <v>8</v>
      </c>
      <c r="K4496" t="s">
        <v>4744</v>
      </c>
      <c r="L4496">
        <v>72</v>
      </c>
      <c r="M4496">
        <v>9</v>
      </c>
      <c r="N4496" t="s">
        <v>5272</v>
      </c>
      <c r="O4496" t="s">
        <v>459</v>
      </c>
    </row>
    <row r="4497" spans="1:15" x14ac:dyDescent="0.3">
      <c r="A4497">
        <v>205247</v>
      </c>
      <c r="B4497">
        <v>105</v>
      </c>
      <c r="C4497" t="s">
        <v>557</v>
      </c>
      <c r="D4497" t="s">
        <v>3328</v>
      </c>
      <c r="E4497" t="s">
        <v>3583</v>
      </c>
      <c r="F4497" s="451">
        <v>46051</v>
      </c>
      <c r="G4497">
        <v>19607</v>
      </c>
      <c r="H4497" t="s">
        <v>4981</v>
      </c>
      <c r="I4497" t="s">
        <v>5191</v>
      </c>
      <c r="J4497">
        <v>0.3</v>
      </c>
      <c r="K4497" t="s">
        <v>4744</v>
      </c>
      <c r="L4497">
        <v>5.25</v>
      </c>
      <c r="M4497">
        <v>17.5</v>
      </c>
      <c r="N4497" t="s">
        <v>5272</v>
      </c>
      <c r="O4497" t="s">
        <v>459</v>
      </c>
    </row>
    <row r="4498" spans="1:15" x14ac:dyDescent="0.3">
      <c r="A4498">
        <v>205247</v>
      </c>
      <c r="B4498">
        <v>105</v>
      </c>
      <c r="C4498" t="s">
        <v>557</v>
      </c>
      <c r="D4498" t="s">
        <v>3328</v>
      </c>
      <c r="E4498" t="s">
        <v>3583</v>
      </c>
      <c r="F4498" s="451">
        <v>46051</v>
      </c>
      <c r="G4498">
        <v>19654</v>
      </c>
      <c r="H4498" t="s">
        <v>5099</v>
      </c>
      <c r="I4498" t="s">
        <v>5191</v>
      </c>
      <c r="J4498">
        <v>2</v>
      </c>
      <c r="K4498" t="s">
        <v>4744</v>
      </c>
      <c r="L4498">
        <v>9.26</v>
      </c>
      <c r="M4498">
        <v>4.63</v>
      </c>
      <c r="N4498" t="s">
        <v>5272</v>
      </c>
      <c r="O4498" t="s">
        <v>459</v>
      </c>
    </row>
    <row r="4499" spans="1:15" x14ac:dyDescent="0.3">
      <c r="A4499">
        <v>205247</v>
      </c>
      <c r="B4499">
        <v>105</v>
      </c>
      <c r="C4499" t="s">
        <v>557</v>
      </c>
      <c r="D4499" t="s">
        <v>3328</v>
      </c>
      <c r="E4499" t="s">
        <v>3583</v>
      </c>
      <c r="F4499" s="451">
        <v>46051</v>
      </c>
      <c r="G4499">
        <v>24522</v>
      </c>
      <c r="H4499" t="s">
        <v>5072</v>
      </c>
      <c r="I4499" t="s">
        <v>5191</v>
      </c>
      <c r="J4499">
        <v>1</v>
      </c>
      <c r="K4499" t="s">
        <v>4744</v>
      </c>
      <c r="L4499">
        <v>23</v>
      </c>
      <c r="M4499">
        <v>23</v>
      </c>
      <c r="N4499" t="s">
        <v>5272</v>
      </c>
      <c r="O4499" t="s">
        <v>459</v>
      </c>
    </row>
    <row r="4500" spans="1:15" x14ac:dyDescent="0.3">
      <c r="A4500">
        <v>205247</v>
      </c>
      <c r="B4500">
        <v>105</v>
      </c>
      <c r="C4500" t="s">
        <v>557</v>
      </c>
      <c r="D4500" t="s">
        <v>3328</v>
      </c>
      <c r="E4500" t="s">
        <v>3583</v>
      </c>
      <c r="F4500" s="451">
        <v>46051</v>
      </c>
      <c r="G4500">
        <v>19572</v>
      </c>
      <c r="H4500" t="s">
        <v>4989</v>
      </c>
      <c r="I4500" t="s">
        <v>5191</v>
      </c>
      <c r="J4500">
        <v>1</v>
      </c>
      <c r="K4500" t="s">
        <v>4744</v>
      </c>
      <c r="L4500">
        <v>15</v>
      </c>
      <c r="M4500">
        <v>15</v>
      </c>
      <c r="N4500" t="s">
        <v>5272</v>
      </c>
      <c r="O4500" t="s">
        <v>459</v>
      </c>
    </row>
    <row r="4501" spans="1:15" x14ac:dyDescent="0.3">
      <c r="A4501">
        <v>205247</v>
      </c>
      <c r="B4501">
        <v>105</v>
      </c>
      <c r="C4501" t="s">
        <v>557</v>
      </c>
      <c r="D4501" t="s">
        <v>3328</v>
      </c>
      <c r="E4501" t="s">
        <v>3583</v>
      </c>
      <c r="F4501" s="451">
        <v>46051</v>
      </c>
      <c r="G4501">
        <v>19743</v>
      </c>
      <c r="H4501" t="s">
        <v>5047</v>
      </c>
      <c r="I4501" t="s">
        <v>5191</v>
      </c>
      <c r="J4501">
        <v>0.6</v>
      </c>
      <c r="K4501" t="s">
        <v>4744</v>
      </c>
      <c r="L4501">
        <v>8.25</v>
      </c>
      <c r="M4501">
        <v>13.75</v>
      </c>
      <c r="N4501" t="s">
        <v>5272</v>
      </c>
      <c r="O4501" t="s">
        <v>459</v>
      </c>
    </row>
    <row r="4502" spans="1:15" x14ac:dyDescent="0.3">
      <c r="A4502">
        <v>205247</v>
      </c>
      <c r="B4502">
        <v>105</v>
      </c>
      <c r="C4502" t="s">
        <v>557</v>
      </c>
      <c r="D4502" t="s">
        <v>3328</v>
      </c>
      <c r="E4502" t="s">
        <v>3583</v>
      </c>
      <c r="F4502" s="451">
        <v>46051</v>
      </c>
      <c r="G4502">
        <v>23234</v>
      </c>
      <c r="H4502" t="s">
        <v>4986</v>
      </c>
      <c r="I4502" t="s">
        <v>5191</v>
      </c>
      <c r="J4502">
        <v>1</v>
      </c>
      <c r="K4502" t="s">
        <v>4744</v>
      </c>
      <c r="L4502">
        <v>23</v>
      </c>
      <c r="M4502">
        <v>23</v>
      </c>
      <c r="N4502" t="s">
        <v>5272</v>
      </c>
      <c r="O4502" t="s">
        <v>459</v>
      </c>
    </row>
    <row r="4503" spans="1:15" x14ac:dyDescent="0.3">
      <c r="A4503">
        <v>205247</v>
      </c>
      <c r="B4503">
        <v>105</v>
      </c>
      <c r="C4503" t="s">
        <v>557</v>
      </c>
      <c r="D4503" t="s">
        <v>3328</v>
      </c>
      <c r="E4503" t="s">
        <v>3583</v>
      </c>
      <c r="F4503" s="451">
        <v>46051</v>
      </c>
      <c r="G4503">
        <v>23389</v>
      </c>
      <c r="H4503" t="s">
        <v>4960</v>
      </c>
      <c r="I4503" t="s">
        <v>5191</v>
      </c>
      <c r="J4503">
        <v>3</v>
      </c>
      <c r="K4503" t="s">
        <v>4744</v>
      </c>
      <c r="L4503">
        <v>14.28</v>
      </c>
      <c r="M4503">
        <v>4.76</v>
      </c>
      <c r="N4503" t="s">
        <v>5272</v>
      </c>
      <c r="O4503" t="s">
        <v>459</v>
      </c>
    </row>
    <row r="4504" spans="1:15" x14ac:dyDescent="0.3">
      <c r="A4504">
        <v>205247</v>
      </c>
      <c r="B4504">
        <v>105</v>
      </c>
      <c r="C4504" t="s">
        <v>557</v>
      </c>
      <c r="D4504" t="s">
        <v>3328</v>
      </c>
      <c r="E4504" t="s">
        <v>3583</v>
      </c>
      <c r="F4504" s="451">
        <v>46051</v>
      </c>
      <c r="G4504">
        <v>23385</v>
      </c>
      <c r="H4504" t="s">
        <v>4938</v>
      </c>
      <c r="I4504" t="s">
        <v>5191</v>
      </c>
      <c r="J4504">
        <v>2</v>
      </c>
      <c r="K4504" t="s">
        <v>4744</v>
      </c>
      <c r="L4504">
        <v>57.5</v>
      </c>
      <c r="M4504">
        <v>28.75</v>
      </c>
      <c r="N4504" t="s">
        <v>5272</v>
      </c>
      <c r="O4504" t="s">
        <v>459</v>
      </c>
    </row>
    <row r="4505" spans="1:15" x14ac:dyDescent="0.3">
      <c r="A4505">
        <v>205247</v>
      </c>
      <c r="B4505">
        <v>105</v>
      </c>
      <c r="C4505" t="s">
        <v>557</v>
      </c>
      <c r="D4505" t="s">
        <v>3328</v>
      </c>
      <c r="E4505" t="s">
        <v>3583</v>
      </c>
      <c r="F4505" s="451">
        <v>46051</v>
      </c>
      <c r="G4505">
        <v>23184</v>
      </c>
      <c r="H4505" t="s">
        <v>4935</v>
      </c>
      <c r="I4505" t="s">
        <v>5191</v>
      </c>
      <c r="J4505">
        <v>2.5</v>
      </c>
      <c r="K4505" t="s">
        <v>4744</v>
      </c>
      <c r="L4505">
        <v>24.5</v>
      </c>
      <c r="M4505">
        <v>9.8000000000000007</v>
      </c>
      <c r="N4505" t="s">
        <v>5272</v>
      </c>
      <c r="O4505" t="s">
        <v>459</v>
      </c>
    </row>
    <row r="4506" spans="1:15" x14ac:dyDescent="0.3">
      <c r="A4506">
        <v>205246</v>
      </c>
      <c r="B4506">
        <v>105</v>
      </c>
      <c r="C4506" t="s">
        <v>557</v>
      </c>
      <c r="D4506" t="s">
        <v>2565</v>
      </c>
      <c r="E4506" t="s">
        <v>3584</v>
      </c>
      <c r="F4506" s="451">
        <v>46049</v>
      </c>
      <c r="G4506">
        <v>18179</v>
      </c>
      <c r="H4506" t="s">
        <v>4924</v>
      </c>
      <c r="I4506" t="s">
        <v>5222</v>
      </c>
      <c r="J4506">
        <v>2</v>
      </c>
      <c r="K4506" t="s">
        <v>4805</v>
      </c>
      <c r="L4506">
        <v>214.94</v>
      </c>
      <c r="M4506">
        <v>107.47</v>
      </c>
      <c r="N4506" t="s">
        <v>5222</v>
      </c>
      <c r="O4506" t="s">
        <v>459</v>
      </c>
    </row>
    <row r="4507" spans="1:15" x14ac:dyDescent="0.3">
      <c r="A4507">
        <v>205245</v>
      </c>
      <c r="B4507">
        <v>105</v>
      </c>
      <c r="C4507" t="s">
        <v>557</v>
      </c>
      <c r="D4507" t="s">
        <v>2563</v>
      </c>
      <c r="E4507" t="s">
        <v>3585</v>
      </c>
      <c r="F4507" s="451">
        <v>46042</v>
      </c>
      <c r="G4507">
        <v>19658</v>
      </c>
      <c r="H4507" t="s">
        <v>4784</v>
      </c>
      <c r="I4507" t="s">
        <v>5191</v>
      </c>
      <c r="J4507">
        <v>8.8000000000000007</v>
      </c>
      <c r="K4507" t="s">
        <v>4744</v>
      </c>
      <c r="L4507">
        <v>24.9</v>
      </c>
      <c r="M4507">
        <v>2.829545</v>
      </c>
      <c r="N4507" t="s">
        <v>5272</v>
      </c>
      <c r="O4507" t="s">
        <v>459</v>
      </c>
    </row>
    <row r="4508" spans="1:15" x14ac:dyDescent="0.3">
      <c r="A4508">
        <v>205245</v>
      </c>
      <c r="B4508">
        <v>105</v>
      </c>
      <c r="C4508" t="s">
        <v>557</v>
      </c>
      <c r="D4508" t="s">
        <v>2563</v>
      </c>
      <c r="E4508" t="s">
        <v>3585</v>
      </c>
      <c r="F4508" s="451">
        <v>46042</v>
      </c>
      <c r="G4508">
        <v>19492</v>
      </c>
      <c r="H4508" t="s">
        <v>4937</v>
      </c>
      <c r="I4508" t="s">
        <v>5191</v>
      </c>
      <c r="J4508">
        <v>2.1</v>
      </c>
      <c r="K4508" t="s">
        <v>4744</v>
      </c>
      <c r="L4508">
        <v>36.54</v>
      </c>
      <c r="M4508">
        <v>17.399999999999999</v>
      </c>
      <c r="N4508" t="s">
        <v>5272</v>
      </c>
      <c r="O4508" t="s">
        <v>459</v>
      </c>
    </row>
    <row r="4509" spans="1:15" x14ac:dyDescent="0.3">
      <c r="A4509">
        <v>205245</v>
      </c>
      <c r="B4509">
        <v>105</v>
      </c>
      <c r="C4509" t="s">
        <v>557</v>
      </c>
      <c r="D4509" t="s">
        <v>2563</v>
      </c>
      <c r="E4509" t="s">
        <v>3585</v>
      </c>
      <c r="F4509" s="451">
        <v>46042</v>
      </c>
      <c r="G4509">
        <v>19551</v>
      </c>
      <c r="H4509" t="s">
        <v>4905</v>
      </c>
      <c r="I4509" t="s">
        <v>5191</v>
      </c>
      <c r="J4509">
        <v>2</v>
      </c>
      <c r="K4509" t="s">
        <v>4744</v>
      </c>
      <c r="L4509">
        <v>26.1</v>
      </c>
      <c r="M4509">
        <v>13.05</v>
      </c>
      <c r="N4509" t="s">
        <v>5272</v>
      </c>
      <c r="O4509" t="s">
        <v>459</v>
      </c>
    </row>
    <row r="4510" spans="1:15" x14ac:dyDescent="0.3">
      <c r="A4510">
        <v>205245</v>
      </c>
      <c r="B4510">
        <v>105</v>
      </c>
      <c r="C4510" t="s">
        <v>557</v>
      </c>
      <c r="D4510" t="s">
        <v>2563</v>
      </c>
      <c r="E4510" t="s">
        <v>3585</v>
      </c>
      <c r="F4510" s="451">
        <v>46042</v>
      </c>
      <c r="G4510">
        <v>19562</v>
      </c>
      <c r="H4510" t="s">
        <v>4939</v>
      </c>
      <c r="I4510" t="s">
        <v>5191</v>
      </c>
      <c r="J4510">
        <v>0.7</v>
      </c>
      <c r="K4510" t="s">
        <v>4744</v>
      </c>
      <c r="L4510">
        <v>8.6999999999999993</v>
      </c>
      <c r="M4510">
        <v>12.428571</v>
      </c>
      <c r="N4510" t="s">
        <v>5272</v>
      </c>
      <c r="O4510" t="s">
        <v>459</v>
      </c>
    </row>
    <row r="4511" spans="1:15" x14ac:dyDescent="0.3">
      <c r="A4511">
        <v>205245</v>
      </c>
      <c r="B4511">
        <v>105</v>
      </c>
      <c r="C4511" t="s">
        <v>557</v>
      </c>
      <c r="D4511" t="s">
        <v>2563</v>
      </c>
      <c r="E4511" t="s">
        <v>3585</v>
      </c>
      <c r="F4511" s="451">
        <v>46042</v>
      </c>
      <c r="G4511">
        <v>19502</v>
      </c>
      <c r="H4511" t="s">
        <v>4871</v>
      </c>
      <c r="I4511" t="s">
        <v>5191</v>
      </c>
      <c r="J4511">
        <v>3.2</v>
      </c>
      <c r="K4511" t="s">
        <v>4744</v>
      </c>
      <c r="L4511">
        <v>58.02</v>
      </c>
      <c r="M4511">
        <v>18.131250000000001</v>
      </c>
      <c r="N4511" t="s">
        <v>5272</v>
      </c>
      <c r="O4511" t="s">
        <v>459</v>
      </c>
    </row>
    <row r="4512" spans="1:15" x14ac:dyDescent="0.3">
      <c r="A4512">
        <v>205245</v>
      </c>
      <c r="B4512">
        <v>105</v>
      </c>
      <c r="C4512" t="s">
        <v>557</v>
      </c>
      <c r="D4512" t="s">
        <v>2563</v>
      </c>
      <c r="E4512" t="s">
        <v>3585</v>
      </c>
      <c r="F4512" s="451">
        <v>46042</v>
      </c>
      <c r="G4512">
        <v>19734</v>
      </c>
      <c r="H4512" t="s">
        <v>4833</v>
      </c>
      <c r="I4512" t="s">
        <v>5191</v>
      </c>
      <c r="J4512">
        <v>3.12</v>
      </c>
      <c r="K4512" t="s">
        <v>4744</v>
      </c>
      <c r="L4512">
        <v>47.74</v>
      </c>
      <c r="M4512">
        <v>15.301282</v>
      </c>
      <c r="N4512" t="s">
        <v>5272</v>
      </c>
      <c r="O4512" t="s">
        <v>459</v>
      </c>
    </row>
    <row r="4513" spans="1:15" x14ac:dyDescent="0.3">
      <c r="A4513">
        <v>205245</v>
      </c>
      <c r="B4513">
        <v>105</v>
      </c>
      <c r="C4513" t="s">
        <v>557</v>
      </c>
      <c r="D4513" t="s">
        <v>2563</v>
      </c>
      <c r="E4513" t="s">
        <v>3585</v>
      </c>
      <c r="F4513" s="451">
        <v>46042</v>
      </c>
      <c r="G4513">
        <v>19751</v>
      </c>
      <c r="H4513" t="s">
        <v>4800</v>
      </c>
      <c r="I4513" t="s">
        <v>5191</v>
      </c>
      <c r="J4513">
        <v>3.2</v>
      </c>
      <c r="K4513" t="s">
        <v>4744</v>
      </c>
      <c r="L4513">
        <v>41.54</v>
      </c>
      <c r="M4513">
        <v>12.981249999999999</v>
      </c>
      <c r="N4513" t="s">
        <v>5272</v>
      </c>
      <c r="O4513" t="s">
        <v>459</v>
      </c>
    </row>
    <row r="4514" spans="1:15" x14ac:dyDescent="0.3">
      <c r="A4514">
        <v>205245</v>
      </c>
      <c r="B4514">
        <v>105</v>
      </c>
      <c r="C4514" t="s">
        <v>557</v>
      </c>
      <c r="D4514" t="s">
        <v>2563</v>
      </c>
      <c r="E4514" t="s">
        <v>3585</v>
      </c>
      <c r="F4514" s="451">
        <v>46042</v>
      </c>
      <c r="G4514">
        <v>24598</v>
      </c>
      <c r="H4514" t="s">
        <v>4852</v>
      </c>
      <c r="I4514" t="s">
        <v>5191</v>
      </c>
      <c r="J4514">
        <v>1.7</v>
      </c>
      <c r="K4514" t="s">
        <v>4744</v>
      </c>
      <c r="L4514">
        <v>17.87</v>
      </c>
      <c r="M4514">
        <v>10.511765</v>
      </c>
      <c r="N4514" t="s">
        <v>5272</v>
      </c>
      <c r="O4514" t="s">
        <v>459</v>
      </c>
    </row>
    <row r="4515" spans="1:15" x14ac:dyDescent="0.3">
      <c r="A4515">
        <v>205245</v>
      </c>
      <c r="B4515">
        <v>105</v>
      </c>
      <c r="C4515" t="s">
        <v>557</v>
      </c>
      <c r="D4515" t="s">
        <v>2563</v>
      </c>
      <c r="E4515" t="s">
        <v>3585</v>
      </c>
      <c r="F4515" s="451">
        <v>46042</v>
      </c>
      <c r="G4515">
        <v>23198</v>
      </c>
      <c r="H4515" t="s">
        <v>4962</v>
      </c>
      <c r="I4515" t="s">
        <v>5191</v>
      </c>
      <c r="J4515">
        <v>0.5</v>
      </c>
      <c r="K4515" t="s">
        <v>4744</v>
      </c>
      <c r="L4515">
        <v>4.3499999999999996</v>
      </c>
      <c r="M4515">
        <v>8.6999999999999993</v>
      </c>
      <c r="N4515" t="s">
        <v>5272</v>
      </c>
      <c r="O4515" t="s">
        <v>459</v>
      </c>
    </row>
    <row r="4516" spans="1:15" x14ac:dyDescent="0.3">
      <c r="A4516">
        <v>205245</v>
      </c>
      <c r="B4516">
        <v>105</v>
      </c>
      <c r="C4516" t="s">
        <v>557</v>
      </c>
      <c r="D4516" t="s">
        <v>2563</v>
      </c>
      <c r="E4516" t="s">
        <v>3585</v>
      </c>
      <c r="F4516" s="451">
        <v>46042</v>
      </c>
      <c r="G4516">
        <v>19707</v>
      </c>
      <c r="H4516" t="s">
        <v>5266</v>
      </c>
      <c r="I4516" t="s">
        <v>5191</v>
      </c>
      <c r="J4516">
        <v>0.5</v>
      </c>
      <c r="K4516" t="s">
        <v>4744</v>
      </c>
      <c r="L4516">
        <v>7.54</v>
      </c>
      <c r="M4516">
        <v>15.08</v>
      </c>
      <c r="N4516" t="s">
        <v>5272</v>
      </c>
      <c r="O4516" t="s">
        <v>459</v>
      </c>
    </row>
    <row r="4517" spans="1:15" x14ac:dyDescent="0.3">
      <c r="A4517">
        <v>205245</v>
      </c>
      <c r="B4517">
        <v>105</v>
      </c>
      <c r="C4517" t="s">
        <v>557</v>
      </c>
      <c r="D4517" t="s">
        <v>2563</v>
      </c>
      <c r="E4517" t="s">
        <v>3585</v>
      </c>
      <c r="F4517" s="451">
        <v>46042</v>
      </c>
      <c r="G4517">
        <v>23228</v>
      </c>
      <c r="H4517" t="s">
        <v>4782</v>
      </c>
      <c r="I4517" t="s">
        <v>5191</v>
      </c>
      <c r="J4517">
        <v>5</v>
      </c>
      <c r="K4517" t="s">
        <v>4744</v>
      </c>
      <c r="L4517">
        <v>32.65</v>
      </c>
      <c r="M4517">
        <v>6.53</v>
      </c>
      <c r="N4517" t="s">
        <v>5272</v>
      </c>
      <c r="O4517" t="s">
        <v>459</v>
      </c>
    </row>
    <row r="4518" spans="1:15" x14ac:dyDescent="0.3">
      <c r="A4518">
        <v>205245</v>
      </c>
      <c r="B4518">
        <v>105</v>
      </c>
      <c r="C4518" t="s">
        <v>557</v>
      </c>
      <c r="D4518" t="s">
        <v>2563</v>
      </c>
      <c r="E4518" t="s">
        <v>3585</v>
      </c>
      <c r="F4518" s="451">
        <v>46042</v>
      </c>
      <c r="G4518">
        <v>23349</v>
      </c>
      <c r="H4518" t="s">
        <v>4988</v>
      </c>
      <c r="I4518" t="s">
        <v>5191</v>
      </c>
      <c r="J4518">
        <v>1.31</v>
      </c>
      <c r="K4518" t="s">
        <v>4744</v>
      </c>
      <c r="L4518">
        <v>16.350000000000001</v>
      </c>
      <c r="M4518">
        <v>12.480916000000001</v>
      </c>
      <c r="N4518" t="s">
        <v>5272</v>
      </c>
      <c r="O4518" t="s">
        <v>459</v>
      </c>
    </row>
    <row r="4519" spans="1:15" x14ac:dyDescent="0.3">
      <c r="A4519">
        <v>205245</v>
      </c>
      <c r="B4519">
        <v>105</v>
      </c>
      <c r="C4519" t="s">
        <v>557</v>
      </c>
      <c r="D4519" t="s">
        <v>2563</v>
      </c>
      <c r="E4519" t="s">
        <v>3585</v>
      </c>
      <c r="F4519" s="451">
        <v>46042</v>
      </c>
      <c r="G4519">
        <v>23389</v>
      </c>
      <c r="H4519" t="s">
        <v>4960</v>
      </c>
      <c r="I4519" t="s">
        <v>5191</v>
      </c>
      <c r="J4519">
        <v>3.6</v>
      </c>
      <c r="K4519" t="s">
        <v>4744</v>
      </c>
      <c r="L4519">
        <v>18.68</v>
      </c>
      <c r="M4519">
        <v>5.1888889999999996</v>
      </c>
      <c r="N4519" t="s">
        <v>5272</v>
      </c>
      <c r="O4519" t="s">
        <v>459</v>
      </c>
    </row>
    <row r="4520" spans="1:15" x14ac:dyDescent="0.3">
      <c r="A4520">
        <v>205245</v>
      </c>
      <c r="B4520">
        <v>105</v>
      </c>
      <c r="C4520" t="s">
        <v>557</v>
      </c>
      <c r="D4520" t="s">
        <v>2563</v>
      </c>
      <c r="E4520" t="s">
        <v>3585</v>
      </c>
      <c r="F4520" s="451">
        <v>46042</v>
      </c>
      <c r="G4520">
        <v>19632</v>
      </c>
      <c r="H4520" t="s">
        <v>4936</v>
      </c>
      <c r="I4520" t="s">
        <v>5191</v>
      </c>
      <c r="J4520">
        <v>2.25</v>
      </c>
      <c r="K4520" t="s">
        <v>4744</v>
      </c>
      <c r="L4520">
        <v>6.52</v>
      </c>
      <c r="M4520">
        <v>2.8977780000000002</v>
      </c>
      <c r="N4520" t="s">
        <v>5272</v>
      </c>
      <c r="O4520" t="s">
        <v>459</v>
      </c>
    </row>
    <row r="4521" spans="1:15" x14ac:dyDescent="0.3">
      <c r="A4521">
        <v>205245</v>
      </c>
      <c r="B4521">
        <v>105</v>
      </c>
      <c r="C4521" t="s">
        <v>557</v>
      </c>
      <c r="D4521" t="s">
        <v>2563</v>
      </c>
      <c r="E4521" t="s">
        <v>3585</v>
      </c>
      <c r="F4521" s="451">
        <v>46042</v>
      </c>
      <c r="G4521">
        <v>19532</v>
      </c>
      <c r="H4521" t="s">
        <v>4753</v>
      </c>
      <c r="I4521" t="s">
        <v>5191</v>
      </c>
      <c r="J4521">
        <v>26.2</v>
      </c>
      <c r="K4521" t="s">
        <v>4744</v>
      </c>
      <c r="L4521">
        <v>161.38999999999999</v>
      </c>
      <c r="M4521">
        <v>6.1599240000000002</v>
      </c>
      <c r="N4521" t="s">
        <v>5272</v>
      </c>
      <c r="O4521" t="s">
        <v>459</v>
      </c>
    </row>
    <row r="4522" spans="1:15" x14ac:dyDescent="0.3">
      <c r="A4522">
        <v>205244</v>
      </c>
      <c r="B4522">
        <v>105</v>
      </c>
      <c r="C4522" t="s">
        <v>557</v>
      </c>
      <c r="D4522" t="s">
        <v>2563</v>
      </c>
      <c r="E4522" t="s">
        <v>3586</v>
      </c>
      <c r="F4522" s="451">
        <v>46046</v>
      </c>
      <c r="G4522">
        <v>19502</v>
      </c>
      <c r="H4522" t="s">
        <v>4871</v>
      </c>
      <c r="I4522" t="s">
        <v>5191</v>
      </c>
      <c r="J4522">
        <v>2.5</v>
      </c>
      <c r="K4522" t="s">
        <v>4744</v>
      </c>
      <c r="L4522">
        <v>45.32</v>
      </c>
      <c r="M4522">
        <v>18.128</v>
      </c>
      <c r="N4522" t="s">
        <v>1785</v>
      </c>
      <c r="O4522" t="s">
        <v>459</v>
      </c>
    </row>
    <row r="4523" spans="1:15" x14ac:dyDescent="0.3">
      <c r="A4523">
        <v>205244</v>
      </c>
      <c r="B4523">
        <v>105</v>
      </c>
      <c r="C4523" t="s">
        <v>557</v>
      </c>
      <c r="D4523" t="s">
        <v>2563</v>
      </c>
      <c r="E4523" t="s">
        <v>3586</v>
      </c>
      <c r="F4523" s="451">
        <v>46046</v>
      </c>
      <c r="G4523">
        <v>23349</v>
      </c>
      <c r="H4523" t="s">
        <v>4988</v>
      </c>
      <c r="I4523" t="s">
        <v>5191</v>
      </c>
      <c r="J4523">
        <v>0.8</v>
      </c>
      <c r="K4523" t="s">
        <v>4744</v>
      </c>
      <c r="L4523">
        <v>9.98</v>
      </c>
      <c r="M4523">
        <v>12.475</v>
      </c>
      <c r="N4523" t="s">
        <v>1785</v>
      </c>
      <c r="O4523" t="s">
        <v>459</v>
      </c>
    </row>
    <row r="4524" spans="1:15" x14ac:dyDescent="0.3">
      <c r="A4524">
        <v>205244</v>
      </c>
      <c r="B4524">
        <v>105</v>
      </c>
      <c r="C4524" t="s">
        <v>557</v>
      </c>
      <c r="D4524" t="s">
        <v>2563</v>
      </c>
      <c r="E4524" t="s">
        <v>3586</v>
      </c>
      <c r="F4524" s="451">
        <v>46046</v>
      </c>
      <c r="G4524">
        <v>19532</v>
      </c>
      <c r="H4524" t="s">
        <v>4753</v>
      </c>
      <c r="I4524" t="s">
        <v>5191</v>
      </c>
      <c r="J4524">
        <v>10</v>
      </c>
      <c r="K4524" t="s">
        <v>4744</v>
      </c>
      <c r="L4524">
        <v>61.6</v>
      </c>
      <c r="M4524">
        <v>6.16</v>
      </c>
      <c r="N4524" t="s">
        <v>1785</v>
      </c>
      <c r="O4524" t="s">
        <v>459</v>
      </c>
    </row>
    <row r="4525" spans="1:15" x14ac:dyDescent="0.3">
      <c r="A4525">
        <v>205243</v>
      </c>
      <c r="B4525">
        <v>105</v>
      </c>
      <c r="C4525" t="s">
        <v>557</v>
      </c>
      <c r="D4525" t="s">
        <v>2563</v>
      </c>
      <c r="E4525" t="s">
        <v>3587</v>
      </c>
      <c r="F4525" s="451">
        <v>46050</v>
      </c>
      <c r="G4525">
        <v>24083</v>
      </c>
      <c r="H4525" t="s">
        <v>5165</v>
      </c>
      <c r="I4525" t="s">
        <v>5191</v>
      </c>
      <c r="J4525">
        <v>20</v>
      </c>
      <c r="K4525" t="s">
        <v>4744</v>
      </c>
      <c r="L4525">
        <v>81.2</v>
      </c>
      <c r="M4525">
        <v>4.0599999999999996</v>
      </c>
      <c r="N4525" t="s">
        <v>5272</v>
      </c>
      <c r="O4525" t="s">
        <v>459</v>
      </c>
    </row>
    <row r="4526" spans="1:15" x14ac:dyDescent="0.3">
      <c r="A4526">
        <v>205243</v>
      </c>
      <c r="B4526">
        <v>105</v>
      </c>
      <c r="C4526" t="s">
        <v>557</v>
      </c>
      <c r="D4526" t="s">
        <v>2563</v>
      </c>
      <c r="E4526" t="s">
        <v>3587</v>
      </c>
      <c r="F4526" s="451">
        <v>46050</v>
      </c>
      <c r="G4526">
        <v>19502</v>
      </c>
      <c r="H4526" t="s">
        <v>4871</v>
      </c>
      <c r="I4526" t="s">
        <v>5191</v>
      </c>
      <c r="J4526">
        <v>2.8</v>
      </c>
      <c r="K4526" t="s">
        <v>4744</v>
      </c>
      <c r="L4526">
        <v>50.76</v>
      </c>
      <c r="M4526">
        <v>18.128571000000001</v>
      </c>
      <c r="N4526" t="s">
        <v>5272</v>
      </c>
      <c r="O4526" t="s">
        <v>459</v>
      </c>
    </row>
    <row r="4527" spans="1:15" x14ac:dyDescent="0.3">
      <c r="A4527">
        <v>205243</v>
      </c>
      <c r="B4527">
        <v>105</v>
      </c>
      <c r="C4527" t="s">
        <v>557</v>
      </c>
      <c r="D4527" t="s">
        <v>2563</v>
      </c>
      <c r="E4527" t="s">
        <v>3587</v>
      </c>
      <c r="F4527" s="451">
        <v>46050</v>
      </c>
      <c r="G4527">
        <v>19751</v>
      </c>
      <c r="H4527" t="s">
        <v>4800</v>
      </c>
      <c r="I4527" t="s">
        <v>5191</v>
      </c>
      <c r="J4527">
        <v>2</v>
      </c>
      <c r="K4527" t="s">
        <v>4744</v>
      </c>
      <c r="L4527">
        <v>25.96</v>
      </c>
      <c r="M4527">
        <v>12.98</v>
      </c>
      <c r="N4527" t="s">
        <v>5272</v>
      </c>
      <c r="O4527" t="s">
        <v>459</v>
      </c>
    </row>
    <row r="4528" spans="1:15" x14ac:dyDescent="0.3">
      <c r="A4528">
        <v>205243</v>
      </c>
      <c r="B4528">
        <v>105</v>
      </c>
      <c r="C4528" t="s">
        <v>557</v>
      </c>
      <c r="D4528" t="s">
        <v>2563</v>
      </c>
      <c r="E4528" t="s">
        <v>3587</v>
      </c>
      <c r="F4528" s="451">
        <v>46050</v>
      </c>
      <c r="G4528">
        <v>23346</v>
      </c>
      <c r="H4528" t="s">
        <v>4916</v>
      </c>
      <c r="I4528" t="s">
        <v>5191</v>
      </c>
      <c r="J4528">
        <v>1</v>
      </c>
      <c r="K4528" t="s">
        <v>4744</v>
      </c>
      <c r="L4528">
        <v>6.35</v>
      </c>
      <c r="M4528">
        <v>6.35</v>
      </c>
      <c r="N4528" t="s">
        <v>5272</v>
      </c>
      <c r="O4528" t="s">
        <v>459</v>
      </c>
    </row>
    <row r="4529" spans="1:15" x14ac:dyDescent="0.3">
      <c r="A4529">
        <v>205243</v>
      </c>
      <c r="B4529">
        <v>105</v>
      </c>
      <c r="C4529" t="s">
        <v>557</v>
      </c>
      <c r="D4529" t="s">
        <v>2563</v>
      </c>
      <c r="E4529" t="s">
        <v>3587</v>
      </c>
      <c r="F4529" s="451">
        <v>46050</v>
      </c>
      <c r="G4529">
        <v>19532</v>
      </c>
      <c r="H4529" t="s">
        <v>4753</v>
      </c>
      <c r="I4529" t="s">
        <v>5191</v>
      </c>
      <c r="J4529">
        <v>10</v>
      </c>
      <c r="K4529" t="s">
        <v>4744</v>
      </c>
      <c r="L4529">
        <v>61.6</v>
      </c>
      <c r="M4529">
        <v>6.16</v>
      </c>
      <c r="N4529" t="s">
        <v>5272</v>
      </c>
      <c r="O4529" t="s">
        <v>459</v>
      </c>
    </row>
    <row r="4530" spans="1:15" x14ac:dyDescent="0.3">
      <c r="A4530">
        <v>205242</v>
      </c>
      <c r="B4530">
        <v>105</v>
      </c>
      <c r="C4530" t="s">
        <v>557</v>
      </c>
      <c r="D4530" t="s">
        <v>2563</v>
      </c>
      <c r="E4530" t="s">
        <v>3588</v>
      </c>
      <c r="F4530" s="451">
        <v>46051</v>
      </c>
      <c r="G4530">
        <v>23228</v>
      </c>
      <c r="H4530" t="s">
        <v>4782</v>
      </c>
      <c r="I4530" t="s">
        <v>5191</v>
      </c>
      <c r="J4530">
        <v>5</v>
      </c>
      <c r="K4530" t="s">
        <v>4744</v>
      </c>
      <c r="L4530">
        <v>32.65</v>
      </c>
      <c r="M4530">
        <v>6.53</v>
      </c>
      <c r="N4530" t="s">
        <v>1785</v>
      </c>
      <c r="O4530" t="s">
        <v>459</v>
      </c>
    </row>
    <row r="4531" spans="1:15" x14ac:dyDescent="0.3">
      <c r="A4531">
        <v>205242</v>
      </c>
      <c r="B4531">
        <v>105</v>
      </c>
      <c r="C4531" t="s">
        <v>557</v>
      </c>
      <c r="D4531" t="s">
        <v>2563</v>
      </c>
      <c r="E4531" t="s">
        <v>3588</v>
      </c>
      <c r="F4531" s="451">
        <v>46051</v>
      </c>
      <c r="G4531">
        <v>23349</v>
      </c>
      <c r="H4531" t="s">
        <v>4988</v>
      </c>
      <c r="I4531" t="s">
        <v>5191</v>
      </c>
      <c r="J4531">
        <v>0.8</v>
      </c>
      <c r="K4531" t="s">
        <v>4744</v>
      </c>
      <c r="L4531">
        <v>9.98</v>
      </c>
      <c r="M4531">
        <v>12.475</v>
      </c>
      <c r="N4531" t="s">
        <v>1785</v>
      </c>
      <c r="O4531" t="s">
        <v>459</v>
      </c>
    </row>
    <row r="4532" spans="1:15" x14ac:dyDescent="0.3">
      <c r="A4532">
        <v>205242</v>
      </c>
      <c r="B4532">
        <v>105</v>
      </c>
      <c r="C4532" t="s">
        <v>557</v>
      </c>
      <c r="D4532" t="s">
        <v>2563</v>
      </c>
      <c r="E4532" t="s">
        <v>3588</v>
      </c>
      <c r="F4532" s="451">
        <v>46051</v>
      </c>
      <c r="G4532">
        <v>23346</v>
      </c>
      <c r="H4532" t="s">
        <v>4916</v>
      </c>
      <c r="I4532" t="s">
        <v>5191</v>
      </c>
      <c r="J4532">
        <v>2</v>
      </c>
      <c r="K4532" t="s">
        <v>4744</v>
      </c>
      <c r="L4532">
        <v>12.7</v>
      </c>
      <c r="M4532">
        <v>6.35</v>
      </c>
      <c r="N4532" t="s">
        <v>1785</v>
      </c>
      <c r="O4532" t="s">
        <v>459</v>
      </c>
    </row>
    <row r="4533" spans="1:15" x14ac:dyDescent="0.3">
      <c r="A4533">
        <v>205242</v>
      </c>
      <c r="B4533">
        <v>105</v>
      </c>
      <c r="C4533" t="s">
        <v>557</v>
      </c>
      <c r="D4533" t="s">
        <v>2563</v>
      </c>
      <c r="E4533" t="s">
        <v>3588</v>
      </c>
      <c r="F4533" s="451">
        <v>46051</v>
      </c>
      <c r="G4533">
        <v>19532</v>
      </c>
      <c r="H4533" t="s">
        <v>4753</v>
      </c>
      <c r="I4533" t="s">
        <v>5191</v>
      </c>
      <c r="J4533">
        <v>30</v>
      </c>
      <c r="K4533" t="s">
        <v>4744</v>
      </c>
      <c r="L4533">
        <v>184.8</v>
      </c>
      <c r="M4533">
        <v>6.16</v>
      </c>
      <c r="N4533" t="s">
        <v>1785</v>
      </c>
      <c r="O4533" t="s">
        <v>459</v>
      </c>
    </row>
    <row r="4534" spans="1:15" x14ac:dyDescent="0.3">
      <c r="A4534">
        <v>205242</v>
      </c>
      <c r="B4534">
        <v>105</v>
      </c>
      <c r="C4534" t="s">
        <v>557</v>
      </c>
      <c r="D4534" t="s">
        <v>2563</v>
      </c>
      <c r="E4534" t="s">
        <v>3588</v>
      </c>
      <c r="F4534" s="451">
        <v>46051</v>
      </c>
      <c r="G4534">
        <v>19737</v>
      </c>
      <c r="H4534" t="s">
        <v>4940</v>
      </c>
      <c r="I4534" t="s">
        <v>5191</v>
      </c>
      <c r="J4534">
        <v>2</v>
      </c>
      <c r="K4534" t="s">
        <v>4744</v>
      </c>
      <c r="L4534">
        <v>8.3800000000000008</v>
      </c>
      <c r="M4534">
        <v>4.1900000000000004</v>
      </c>
      <c r="N4534" t="s">
        <v>1785</v>
      </c>
      <c r="O4534" t="s">
        <v>459</v>
      </c>
    </row>
    <row r="4535" spans="1:15" x14ac:dyDescent="0.3">
      <c r="A4535">
        <v>205242</v>
      </c>
      <c r="B4535">
        <v>105</v>
      </c>
      <c r="C4535" t="s">
        <v>557</v>
      </c>
      <c r="D4535" t="s">
        <v>2563</v>
      </c>
      <c r="E4535" t="s">
        <v>3588</v>
      </c>
      <c r="F4535" s="451">
        <v>46051</v>
      </c>
      <c r="G4535">
        <v>24083</v>
      </c>
      <c r="H4535" t="s">
        <v>5165</v>
      </c>
      <c r="I4535" t="s">
        <v>5191</v>
      </c>
      <c r="J4535">
        <v>90</v>
      </c>
      <c r="K4535" t="s">
        <v>4744</v>
      </c>
      <c r="L4535">
        <v>365.4</v>
      </c>
      <c r="M4535">
        <v>4.0599999999999996</v>
      </c>
      <c r="N4535" t="s">
        <v>1785</v>
      </c>
      <c r="O4535" t="s">
        <v>459</v>
      </c>
    </row>
    <row r="4536" spans="1:15" x14ac:dyDescent="0.3">
      <c r="A4536">
        <v>205242</v>
      </c>
      <c r="B4536">
        <v>105</v>
      </c>
      <c r="C4536" t="s">
        <v>557</v>
      </c>
      <c r="D4536" t="s">
        <v>2563</v>
      </c>
      <c r="E4536" t="s">
        <v>3588</v>
      </c>
      <c r="F4536" s="451">
        <v>46051</v>
      </c>
      <c r="G4536">
        <v>19492</v>
      </c>
      <c r="H4536" t="s">
        <v>4937</v>
      </c>
      <c r="I4536" t="s">
        <v>5191</v>
      </c>
      <c r="J4536">
        <v>2</v>
      </c>
      <c r="K4536" t="s">
        <v>4744</v>
      </c>
      <c r="L4536">
        <v>34.799999999999997</v>
      </c>
      <c r="M4536">
        <v>17.399999999999999</v>
      </c>
      <c r="N4536" t="s">
        <v>1785</v>
      </c>
      <c r="O4536" t="s">
        <v>459</v>
      </c>
    </row>
    <row r="4537" spans="1:15" x14ac:dyDescent="0.3">
      <c r="A4537">
        <v>205242</v>
      </c>
      <c r="B4537">
        <v>105</v>
      </c>
      <c r="C4537" t="s">
        <v>557</v>
      </c>
      <c r="D4537" t="s">
        <v>2563</v>
      </c>
      <c r="E4537" t="s">
        <v>3588</v>
      </c>
      <c r="F4537" s="451">
        <v>46051</v>
      </c>
      <c r="G4537">
        <v>19551</v>
      </c>
      <c r="H4537" t="s">
        <v>4905</v>
      </c>
      <c r="I4537" t="s">
        <v>5191</v>
      </c>
      <c r="J4537">
        <v>2</v>
      </c>
      <c r="K4537" t="s">
        <v>4744</v>
      </c>
      <c r="L4537">
        <v>26.1</v>
      </c>
      <c r="M4537">
        <v>13.05</v>
      </c>
      <c r="N4537" t="s">
        <v>1785</v>
      </c>
      <c r="O4537" t="s">
        <v>459</v>
      </c>
    </row>
    <row r="4538" spans="1:15" x14ac:dyDescent="0.3">
      <c r="A4538">
        <v>205242</v>
      </c>
      <c r="B4538">
        <v>105</v>
      </c>
      <c r="C4538" t="s">
        <v>557</v>
      </c>
      <c r="D4538" t="s">
        <v>2563</v>
      </c>
      <c r="E4538" t="s">
        <v>3588</v>
      </c>
      <c r="F4538" s="451">
        <v>46051</v>
      </c>
      <c r="G4538">
        <v>19502</v>
      </c>
      <c r="H4538" t="s">
        <v>4871</v>
      </c>
      <c r="I4538" t="s">
        <v>5191</v>
      </c>
      <c r="J4538">
        <v>4.3</v>
      </c>
      <c r="K4538" t="s">
        <v>4744</v>
      </c>
      <c r="L4538">
        <v>77.959999999999994</v>
      </c>
      <c r="M4538">
        <v>18.130233</v>
      </c>
      <c r="N4538" t="s">
        <v>1785</v>
      </c>
      <c r="O4538" t="s">
        <v>459</v>
      </c>
    </row>
    <row r="4539" spans="1:15" x14ac:dyDescent="0.3">
      <c r="A4539">
        <v>205242</v>
      </c>
      <c r="B4539">
        <v>105</v>
      </c>
      <c r="C4539" t="s">
        <v>557</v>
      </c>
      <c r="D4539" t="s">
        <v>2563</v>
      </c>
      <c r="E4539" t="s">
        <v>3588</v>
      </c>
      <c r="F4539" s="451">
        <v>46051</v>
      </c>
      <c r="G4539">
        <v>19751</v>
      </c>
      <c r="H4539" t="s">
        <v>4800</v>
      </c>
      <c r="I4539" t="s">
        <v>5191</v>
      </c>
      <c r="J4539">
        <v>2</v>
      </c>
      <c r="K4539" t="s">
        <v>4744</v>
      </c>
      <c r="L4539">
        <v>25.96</v>
      </c>
      <c r="M4539">
        <v>12.98</v>
      </c>
      <c r="N4539" t="s">
        <v>1785</v>
      </c>
      <c r="O4539" t="s">
        <v>459</v>
      </c>
    </row>
    <row r="4540" spans="1:15" x14ac:dyDescent="0.3">
      <c r="A4540">
        <v>205242</v>
      </c>
      <c r="B4540">
        <v>105</v>
      </c>
      <c r="C4540" t="s">
        <v>557</v>
      </c>
      <c r="D4540" t="s">
        <v>2563</v>
      </c>
      <c r="E4540" t="s">
        <v>3588</v>
      </c>
      <c r="F4540" s="451">
        <v>46051</v>
      </c>
      <c r="G4540">
        <v>24598</v>
      </c>
      <c r="H4540" t="s">
        <v>4852</v>
      </c>
      <c r="I4540" t="s">
        <v>5191</v>
      </c>
      <c r="J4540">
        <v>1</v>
      </c>
      <c r="K4540" t="s">
        <v>4744</v>
      </c>
      <c r="L4540">
        <v>10.51</v>
      </c>
      <c r="M4540">
        <v>10.51</v>
      </c>
      <c r="N4540" t="s">
        <v>1785</v>
      </c>
      <c r="O4540" t="s">
        <v>459</v>
      </c>
    </row>
    <row r="4541" spans="1:15" x14ac:dyDescent="0.3">
      <c r="A4541">
        <v>205242</v>
      </c>
      <c r="B4541">
        <v>105</v>
      </c>
      <c r="C4541" t="s">
        <v>557</v>
      </c>
      <c r="D4541" t="s">
        <v>2563</v>
      </c>
      <c r="E4541" t="s">
        <v>3588</v>
      </c>
      <c r="F4541" s="451">
        <v>46051</v>
      </c>
      <c r="G4541">
        <v>19765</v>
      </c>
      <c r="H4541" t="s">
        <v>4889</v>
      </c>
      <c r="I4541" t="s">
        <v>5191</v>
      </c>
      <c r="J4541">
        <v>2</v>
      </c>
      <c r="K4541" t="s">
        <v>4744</v>
      </c>
      <c r="L4541">
        <v>68.16</v>
      </c>
      <c r="M4541">
        <v>34.08</v>
      </c>
      <c r="N4541" t="s">
        <v>1785</v>
      </c>
      <c r="O4541" t="s">
        <v>459</v>
      </c>
    </row>
    <row r="4542" spans="1:15" x14ac:dyDescent="0.3">
      <c r="A4542">
        <v>205241</v>
      </c>
      <c r="B4542">
        <v>105</v>
      </c>
      <c r="C4542" t="s">
        <v>557</v>
      </c>
      <c r="D4542" t="s">
        <v>836</v>
      </c>
      <c r="E4542" t="s">
        <v>3589</v>
      </c>
      <c r="F4542" s="451">
        <v>46050</v>
      </c>
      <c r="G4542">
        <v>17205</v>
      </c>
      <c r="H4542" t="s">
        <v>5264</v>
      </c>
      <c r="I4542" t="s">
        <v>5188</v>
      </c>
      <c r="J4542">
        <v>1</v>
      </c>
      <c r="K4542" t="s">
        <v>5265</v>
      </c>
      <c r="L4542">
        <v>170</v>
      </c>
      <c r="M4542">
        <v>170</v>
      </c>
      <c r="N4542" t="s">
        <v>5277</v>
      </c>
      <c r="O4542" t="s">
        <v>459</v>
      </c>
    </row>
    <row r="4543" spans="1:15" x14ac:dyDescent="0.3">
      <c r="A4543">
        <v>205240</v>
      </c>
      <c r="B4543">
        <v>105</v>
      </c>
      <c r="C4543" t="s">
        <v>557</v>
      </c>
      <c r="D4543" t="s">
        <v>3044</v>
      </c>
      <c r="E4543" t="s">
        <v>3590</v>
      </c>
      <c r="F4543" s="451">
        <v>46049</v>
      </c>
      <c r="G4543">
        <v>20544</v>
      </c>
      <c r="H4543" t="s">
        <v>4808</v>
      </c>
      <c r="I4543" t="s">
        <v>5191</v>
      </c>
      <c r="J4543">
        <v>3</v>
      </c>
      <c r="K4543" t="s">
        <v>4749</v>
      </c>
      <c r="L4543">
        <v>643.74</v>
      </c>
      <c r="M4543">
        <v>214.58</v>
      </c>
      <c r="N4543" t="s">
        <v>5272</v>
      </c>
      <c r="O4543" t="s">
        <v>459</v>
      </c>
    </row>
    <row r="4544" spans="1:15" x14ac:dyDescent="0.3">
      <c r="A4544">
        <v>205239</v>
      </c>
      <c r="B4544">
        <v>105</v>
      </c>
      <c r="C4544" t="s">
        <v>557</v>
      </c>
      <c r="D4544" t="s">
        <v>3462</v>
      </c>
      <c r="E4544" t="s">
        <v>3591</v>
      </c>
      <c r="F4544" s="451">
        <v>46044</v>
      </c>
      <c r="G4544">
        <v>26944</v>
      </c>
      <c r="H4544" t="s">
        <v>5325</v>
      </c>
      <c r="I4544" t="s">
        <v>5188</v>
      </c>
      <c r="J4544">
        <v>2</v>
      </c>
      <c r="K4544" t="s">
        <v>4738</v>
      </c>
      <c r="L4544">
        <v>335.8</v>
      </c>
      <c r="M4544">
        <v>167.9</v>
      </c>
      <c r="N4544" t="s">
        <v>5312</v>
      </c>
      <c r="O4544" t="s">
        <v>459</v>
      </c>
    </row>
    <row r="4545" spans="1:15" x14ac:dyDescent="0.3">
      <c r="A4545">
        <v>205238</v>
      </c>
      <c r="B4545">
        <v>105</v>
      </c>
      <c r="C4545" t="s">
        <v>557</v>
      </c>
      <c r="D4545" t="s">
        <v>2597</v>
      </c>
      <c r="E4545" t="s">
        <v>3592</v>
      </c>
      <c r="F4545" s="451">
        <v>46049</v>
      </c>
      <c r="G4545">
        <v>24217</v>
      </c>
      <c r="H4545" t="s">
        <v>4778</v>
      </c>
      <c r="I4545" t="s">
        <v>5191</v>
      </c>
      <c r="J4545">
        <v>32.799999999999997</v>
      </c>
      <c r="K4545" t="s">
        <v>4744</v>
      </c>
      <c r="L4545">
        <v>1033.2</v>
      </c>
      <c r="M4545">
        <v>31.5</v>
      </c>
      <c r="N4545" t="s">
        <v>5272</v>
      </c>
      <c r="O4545" t="s">
        <v>459</v>
      </c>
    </row>
    <row r="4546" spans="1:15" x14ac:dyDescent="0.3">
      <c r="A4546">
        <v>205238</v>
      </c>
      <c r="B4546">
        <v>105</v>
      </c>
      <c r="C4546" t="s">
        <v>557</v>
      </c>
      <c r="D4546" t="s">
        <v>2597</v>
      </c>
      <c r="E4546" t="s">
        <v>3592</v>
      </c>
      <c r="F4546" s="451">
        <v>46049</v>
      </c>
      <c r="G4546">
        <v>24320</v>
      </c>
      <c r="H4546" t="s">
        <v>4861</v>
      </c>
      <c r="I4546" t="s">
        <v>5191</v>
      </c>
      <c r="J4546">
        <v>7.5</v>
      </c>
      <c r="K4546" t="s">
        <v>4744</v>
      </c>
      <c r="L4546">
        <v>253.5</v>
      </c>
      <c r="M4546">
        <v>33.799999999999997</v>
      </c>
      <c r="N4546" t="s">
        <v>5272</v>
      </c>
      <c r="O4546" t="s">
        <v>459</v>
      </c>
    </row>
    <row r="4547" spans="1:15" x14ac:dyDescent="0.3">
      <c r="A4547">
        <v>205238</v>
      </c>
      <c r="B4547">
        <v>105</v>
      </c>
      <c r="C4547" t="s">
        <v>557</v>
      </c>
      <c r="D4547" t="s">
        <v>2597</v>
      </c>
      <c r="E4547" t="s">
        <v>3592</v>
      </c>
      <c r="F4547" s="451">
        <v>46049</v>
      </c>
      <c r="G4547">
        <v>19041</v>
      </c>
      <c r="H4547" t="s">
        <v>4762</v>
      </c>
      <c r="I4547" t="s">
        <v>5191</v>
      </c>
      <c r="J4547">
        <v>23.8</v>
      </c>
      <c r="K4547" t="s">
        <v>4744</v>
      </c>
      <c r="L4547">
        <v>354.62</v>
      </c>
      <c r="M4547">
        <v>14.9</v>
      </c>
      <c r="N4547" t="s">
        <v>5272</v>
      </c>
      <c r="O4547" t="s">
        <v>459</v>
      </c>
    </row>
    <row r="4548" spans="1:15" x14ac:dyDescent="0.3">
      <c r="A4548">
        <v>205238</v>
      </c>
      <c r="B4548">
        <v>105</v>
      </c>
      <c r="C4548" t="s">
        <v>557</v>
      </c>
      <c r="D4548" t="s">
        <v>2597</v>
      </c>
      <c r="E4548" t="s">
        <v>3592</v>
      </c>
      <c r="F4548" s="451">
        <v>46049</v>
      </c>
      <c r="G4548">
        <v>24096</v>
      </c>
      <c r="H4548" t="s">
        <v>4771</v>
      </c>
      <c r="I4548" t="s">
        <v>5191</v>
      </c>
      <c r="J4548">
        <v>41.2</v>
      </c>
      <c r="K4548" t="s">
        <v>4744</v>
      </c>
      <c r="L4548">
        <v>1726.28</v>
      </c>
      <c r="M4548">
        <v>41.9</v>
      </c>
      <c r="N4548" t="s">
        <v>5272</v>
      </c>
      <c r="O4548" t="s">
        <v>459</v>
      </c>
    </row>
    <row r="4549" spans="1:15" x14ac:dyDescent="0.3">
      <c r="A4549">
        <v>205237</v>
      </c>
      <c r="B4549">
        <v>105</v>
      </c>
      <c r="C4549" t="s">
        <v>557</v>
      </c>
      <c r="D4549" t="s">
        <v>2597</v>
      </c>
      <c r="E4549" t="s">
        <v>3593</v>
      </c>
      <c r="F4549" s="451">
        <v>46049</v>
      </c>
      <c r="G4549">
        <v>24278</v>
      </c>
      <c r="H4549" t="s">
        <v>4901</v>
      </c>
      <c r="I4549" t="s">
        <v>5191</v>
      </c>
      <c r="J4549">
        <v>5.2</v>
      </c>
      <c r="K4549" t="s">
        <v>4744</v>
      </c>
      <c r="L4549">
        <v>67.08</v>
      </c>
      <c r="M4549">
        <v>12.9</v>
      </c>
      <c r="N4549" t="s">
        <v>5272</v>
      </c>
      <c r="O4549" t="s">
        <v>459</v>
      </c>
    </row>
    <row r="4550" spans="1:15" x14ac:dyDescent="0.3">
      <c r="A4550">
        <v>205237</v>
      </c>
      <c r="B4550">
        <v>105</v>
      </c>
      <c r="C4550" t="s">
        <v>557</v>
      </c>
      <c r="D4550" t="s">
        <v>2597</v>
      </c>
      <c r="E4550" t="s">
        <v>3593</v>
      </c>
      <c r="F4550" s="451">
        <v>46049</v>
      </c>
      <c r="G4550">
        <v>22858</v>
      </c>
      <c r="H4550" t="s">
        <v>5401</v>
      </c>
      <c r="I4550" t="s">
        <v>5191</v>
      </c>
      <c r="J4550">
        <v>5</v>
      </c>
      <c r="K4550" t="s">
        <v>4744</v>
      </c>
      <c r="L4550">
        <v>209.5</v>
      </c>
      <c r="M4550">
        <v>41.9</v>
      </c>
      <c r="N4550" t="s">
        <v>5272</v>
      </c>
      <c r="O4550" t="s">
        <v>459</v>
      </c>
    </row>
    <row r="4551" spans="1:15" x14ac:dyDescent="0.3">
      <c r="A4551">
        <v>205236</v>
      </c>
      <c r="B4551">
        <v>105</v>
      </c>
      <c r="C4551" t="s">
        <v>557</v>
      </c>
      <c r="D4551" t="s">
        <v>2550</v>
      </c>
      <c r="E4551" t="s">
        <v>3594</v>
      </c>
      <c r="F4551" s="451">
        <v>46048</v>
      </c>
      <c r="G4551">
        <v>26038</v>
      </c>
      <c r="H4551" t="s">
        <v>4976</v>
      </c>
      <c r="I4551" t="s">
        <v>5222</v>
      </c>
      <c r="J4551">
        <v>3</v>
      </c>
      <c r="K4551" t="s">
        <v>4805</v>
      </c>
      <c r="L4551">
        <v>136.5</v>
      </c>
      <c r="M4551">
        <v>45.5</v>
      </c>
      <c r="N4551" t="s">
        <v>5271</v>
      </c>
      <c r="O4551" t="s">
        <v>459</v>
      </c>
    </row>
    <row r="4552" spans="1:15" x14ac:dyDescent="0.3">
      <c r="A4552">
        <v>205236</v>
      </c>
      <c r="B4552">
        <v>105</v>
      </c>
      <c r="C4552" t="s">
        <v>557</v>
      </c>
      <c r="D4552" t="s">
        <v>2550</v>
      </c>
      <c r="E4552" t="s">
        <v>3594</v>
      </c>
      <c r="F4552" s="451">
        <v>46048</v>
      </c>
      <c r="G4552">
        <v>26034</v>
      </c>
      <c r="H4552" t="s">
        <v>4828</v>
      </c>
      <c r="I4552" t="s">
        <v>5222</v>
      </c>
      <c r="J4552">
        <v>2</v>
      </c>
      <c r="K4552" t="s">
        <v>4805</v>
      </c>
      <c r="L4552">
        <v>136.5</v>
      </c>
      <c r="M4552">
        <v>68.25</v>
      </c>
      <c r="N4552" t="s">
        <v>5271</v>
      </c>
      <c r="O4552" t="s">
        <v>459</v>
      </c>
    </row>
    <row r="4553" spans="1:15" x14ac:dyDescent="0.3">
      <c r="A4553">
        <v>205236</v>
      </c>
      <c r="B4553">
        <v>105</v>
      </c>
      <c r="C4553" t="s">
        <v>557</v>
      </c>
      <c r="D4553" t="s">
        <v>2550</v>
      </c>
      <c r="E4553" t="s">
        <v>3594</v>
      </c>
      <c r="F4553" s="451">
        <v>46048</v>
      </c>
      <c r="G4553">
        <v>26040</v>
      </c>
      <c r="H4553" t="s">
        <v>4812</v>
      </c>
      <c r="I4553" t="s">
        <v>5222</v>
      </c>
      <c r="J4553">
        <v>5</v>
      </c>
      <c r="K4553" t="s">
        <v>4805</v>
      </c>
      <c r="L4553">
        <v>227.5</v>
      </c>
      <c r="M4553">
        <v>45.5</v>
      </c>
      <c r="N4553" t="s">
        <v>5271</v>
      </c>
      <c r="O4553" t="s">
        <v>459</v>
      </c>
    </row>
    <row r="4554" spans="1:15" x14ac:dyDescent="0.3">
      <c r="A4554">
        <v>205236</v>
      </c>
      <c r="B4554">
        <v>105</v>
      </c>
      <c r="C4554" t="s">
        <v>557</v>
      </c>
      <c r="D4554" t="s">
        <v>2550</v>
      </c>
      <c r="E4554" t="s">
        <v>3594</v>
      </c>
      <c r="F4554" s="451">
        <v>46048</v>
      </c>
      <c r="G4554">
        <v>17578</v>
      </c>
      <c r="H4554" t="s">
        <v>4842</v>
      </c>
      <c r="I4554" t="s">
        <v>5222</v>
      </c>
      <c r="J4554">
        <v>1</v>
      </c>
      <c r="K4554" t="s">
        <v>4805</v>
      </c>
      <c r="L4554">
        <v>101.4</v>
      </c>
      <c r="M4554">
        <v>101.4</v>
      </c>
      <c r="N4554" t="s">
        <v>5271</v>
      </c>
      <c r="O4554" t="s">
        <v>459</v>
      </c>
    </row>
    <row r="4555" spans="1:15" x14ac:dyDescent="0.3">
      <c r="A4555">
        <v>205235</v>
      </c>
      <c r="B4555">
        <v>105</v>
      </c>
      <c r="C4555" t="s">
        <v>557</v>
      </c>
      <c r="D4555" t="s">
        <v>2644</v>
      </c>
      <c r="E4555" t="s">
        <v>3595</v>
      </c>
      <c r="F4555" s="451">
        <v>46049</v>
      </c>
      <c r="G4555">
        <v>17573</v>
      </c>
      <c r="H4555" t="s">
        <v>5306</v>
      </c>
      <c r="I4555" t="s">
        <v>5188</v>
      </c>
      <c r="J4555">
        <v>1</v>
      </c>
      <c r="K4555" t="s">
        <v>4749</v>
      </c>
      <c r="L4555">
        <v>74.900000000000006</v>
      </c>
      <c r="M4555">
        <v>74.900000000000006</v>
      </c>
      <c r="N4555" t="s">
        <v>5402</v>
      </c>
      <c r="O4555" t="s">
        <v>459</v>
      </c>
    </row>
    <row r="4556" spans="1:15" x14ac:dyDescent="0.3">
      <c r="A4556">
        <v>205235</v>
      </c>
      <c r="B4556">
        <v>105</v>
      </c>
      <c r="C4556" t="s">
        <v>557</v>
      </c>
      <c r="D4556" t="s">
        <v>2644</v>
      </c>
      <c r="E4556" t="s">
        <v>3595</v>
      </c>
      <c r="F4556" s="451">
        <v>46049</v>
      </c>
      <c r="G4556">
        <v>17384</v>
      </c>
      <c r="H4556" t="s">
        <v>5249</v>
      </c>
      <c r="I4556" t="s">
        <v>5188</v>
      </c>
      <c r="J4556">
        <v>1</v>
      </c>
      <c r="K4556" t="s">
        <v>4738</v>
      </c>
      <c r="L4556">
        <v>96</v>
      </c>
      <c r="M4556">
        <v>96</v>
      </c>
      <c r="N4556" t="s">
        <v>5402</v>
      </c>
      <c r="O4556" t="s">
        <v>459</v>
      </c>
    </row>
    <row r="4557" spans="1:15" x14ac:dyDescent="0.3">
      <c r="A4557">
        <v>205234</v>
      </c>
      <c r="B4557">
        <v>105</v>
      </c>
      <c r="C4557" t="s">
        <v>557</v>
      </c>
      <c r="D4557" t="s">
        <v>2607</v>
      </c>
      <c r="E4557" t="s">
        <v>3596</v>
      </c>
      <c r="F4557" s="451">
        <v>46041</v>
      </c>
      <c r="G4557">
        <v>27657</v>
      </c>
      <c r="H4557" t="s">
        <v>5137</v>
      </c>
      <c r="I4557" t="s">
        <v>5191</v>
      </c>
      <c r="J4557">
        <v>9.92</v>
      </c>
      <c r="K4557" t="s">
        <v>4744</v>
      </c>
      <c r="L4557">
        <v>396.3</v>
      </c>
      <c r="M4557">
        <v>39.949596999999997</v>
      </c>
      <c r="N4557" t="s">
        <v>5272</v>
      </c>
      <c r="O4557" t="s">
        <v>459</v>
      </c>
    </row>
    <row r="4558" spans="1:15" x14ac:dyDescent="0.3">
      <c r="A4558">
        <v>205234</v>
      </c>
      <c r="B4558">
        <v>105</v>
      </c>
      <c r="C4558" t="s">
        <v>557</v>
      </c>
      <c r="D4558" t="s">
        <v>2607</v>
      </c>
      <c r="E4558" t="s">
        <v>3596</v>
      </c>
      <c r="F4558" s="451">
        <v>46041</v>
      </c>
      <c r="G4558">
        <v>26135</v>
      </c>
      <c r="H4558" t="s">
        <v>4801</v>
      </c>
      <c r="I4558" t="s">
        <v>5191</v>
      </c>
      <c r="J4558">
        <v>12.1</v>
      </c>
      <c r="K4558" t="s">
        <v>4744</v>
      </c>
      <c r="L4558">
        <v>1087.79</v>
      </c>
      <c r="M4558">
        <v>89.9</v>
      </c>
      <c r="N4558" t="s">
        <v>5272</v>
      </c>
      <c r="O4558" t="s">
        <v>459</v>
      </c>
    </row>
    <row r="4559" spans="1:15" x14ac:dyDescent="0.3">
      <c r="A4559">
        <v>205233</v>
      </c>
      <c r="B4559">
        <v>105</v>
      </c>
      <c r="C4559" t="s">
        <v>557</v>
      </c>
      <c r="D4559" t="s">
        <v>2607</v>
      </c>
      <c r="E4559" t="s">
        <v>3597</v>
      </c>
      <c r="F4559" s="451">
        <v>46042</v>
      </c>
      <c r="G4559">
        <v>25777</v>
      </c>
      <c r="H4559" t="s">
        <v>4774</v>
      </c>
      <c r="I4559" t="s">
        <v>5191</v>
      </c>
      <c r="J4559">
        <v>20</v>
      </c>
      <c r="K4559" t="s">
        <v>4744</v>
      </c>
      <c r="L4559">
        <v>1700</v>
      </c>
      <c r="M4559">
        <v>85</v>
      </c>
      <c r="N4559" t="s">
        <v>5272</v>
      </c>
      <c r="O4559" t="s">
        <v>459</v>
      </c>
    </row>
    <row r="4560" spans="1:15" x14ac:dyDescent="0.3">
      <c r="A4560">
        <v>205233</v>
      </c>
      <c r="B4560">
        <v>105</v>
      </c>
      <c r="C4560" t="s">
        <v>557</v>
      </c>
      <c r="D4560" t="s">
        <v>2607</v>
      </c>
      <c r="E4560" t="s">
        <v>3597</v>
      </c>
      <c r="F4560" s="451">
        <v>46042</v>
      </c>
      <c r="G4560">
        <v>24096</v>
      </c>
      <c r="H4560" t="s">
        <v>4771</v>
      </c>
      <c r="I4560" t="s">
        <v>5191</v>
      </c>
      <c r="J4560">
        <v>71.91</v>
      </c>
      <c r="K4560" t="s">
        <v>4744</v>
      </c>
      <c r="L4560">
        <v>2984.31</v>
      </c>
      <c r="M4560">
        <v>41.500625999999997</v>
      </c>
      <c r="N4560" t="s">
        <v>5272</v>
      </c>
      <c r="O4560" t="s">
        <v>459</v>
      </c>
    </row>
    <row r="4561" spans="1:15" x14ac:dyDescent="0.3">
      <c r="A4561">
        <v>205232</v>
      </c>
      <c r="B4561">
        <v>105</v>
      </c>
      <c r="C4561" t="s">
        <v>557</v>
      </c>
      <c r="D4561" t="s">
        <v>2607</v>
      </c>
      <c r="E4561" t="s">
        <v>3598</v>
      </c>
      <c r="F4561" s="451">
        <v>46048</v>
      </c>
      <c r="G4561">
        <v>26135</v>
      </c>
      <c r="H4561" t="s">
        <v>4801</v>
      </c>
      <c r="I4561" t="s">
        <v>5191</v>
      </c>
      <c r="J4561">
        <v>12.3</v>
      </c>
      <c r="K4561" t="s">
        <v>4744</v>
      </c>
      <c r="L4561">
        <v>1105.77</v>
      </c>
      <c r="M4561">
        <v>89.9</v>
      </c>
      <c r="N4561" t="s">
        <v>5272</v>
      </c>
      <c r="O4561" t="s">
        <v>459</v>
      </c>
    </row>
    <row r="4562" spans="1:15" x14ac:dyDescent="0.3">
      <c r="A4562">
        <v>205231</v>
      </c>
      <c r="B4562">
        <v>105</v>
      </c>
      <c r="C4562" t="s">
        <v>557</v>
      </c>
      <c r="D4562" t="s">
        <v>2607</v>
      </c>
      <c r="E4562" t="s">
        <v>3599</v>
      </c>
      <c r="F4562" s="451">
        <v>46049</v>
      </c>
      <c r="G4562">
        <v>24259</v>
      </c>
      <c r="H4562" t="s">
        <v>4875</v>
      </c>
      <c r="I4562" t="s">
        <v>5191</v>
      </c>
      <c r="J4562">
        <v>17.48</v>
      </c>
      <c r="K4562" t="s">
        <v>4744</v>
      </c>
      <c r="L4562">
        <v>1328.31</v>
      </c>
      <c r="M4562">
        <v>75.990274999999997</v>
      </c>
      <c r="N4562" t="s">
        <v>5272</v>
      </c>
      <c r="O4562" t="s">
        <v>459</v>
      </c>
    </row>
    <row r="4563" spans="1:15" x14ac:dyDescent="0.3">
      <c r="A4563">
        <v>205231</v>
      </c>
      <c r="B4563">
        <v>105</v>
      </c>
      <c r="C4563" t="s">
        <v>557</v>
      </c>
      <c r="D4563" t="s">
        <v>2607</v>
      </c>
      <c r="E4563" t="s">
        <v>3599</v>
      </c>
      <c r="F4563" s="451">
        <v>46049</v>
      </c>
      <c r="G4563">
        <v>25777</v>
      </c>
      <c r="H4563" t="s">
        <v>4774</v>
      </c>
      <c r="I4563" t="s">
        <v>5191</v>
      </c>
      <c r="J4563">
        <v>23.32</v>
      </c>
      <c r="K4563" t="s">
        <v>4744</v>
      </c>
      <c r="L4563">
        <v>1982.2</v>
      </c>
      <c r="M4563">
        <v>85</v>
      </c>
      <c r="N4563" t="s">
        <v>5272</v>
      </c>
      <c r="O4563" t="s">
        <v>459</v>
      </c>
    </row>
    <row r="4564" spans="1:15" x14ac:dyDescent="0.3">
      <c r="A4564">
        <v>205230</v>
      </c>
      <c r="B4564">
        <v>105</v>
      </c>
      <c r="C4564" t="s">
        <v>557</v>
      </c>
      <c r="D4564" t="s">
        <v>2637</v>
      </c>
      <c r="E4564" t="s">
        <v>3600</v>
      </c>
      <c r="F4564" s="451">
        <v>46047</v>
      </c>
      <c r="G4564">
        <v>18475</v>
      </c>
      <c r="H4564" t="s">
        <v>4895</v>
      </c>
      <c r="I4564" t="s">
        <v>5222</v>
      </c>
      <c r="J4564">
        <v>12</v>
      </c>
      <c r="K4564" t="s">
        <v>4805</v>
      </c>
      <c r="L4564">
        <v>394.8</v>
      </c>
      <c r="M4564">
        <v>32.9</v>
      </c>
      <c r="N4564" t="s">
        <v>5222</v>
      </c>
      <c r="O4564" t="s">
        <v>459</v>
      </c>
    </row>
    <row r="4565" spans="1:15" x14ac:dyDescent="0.3">
      <c r="A4565">
        <v>205230</v>
      </c>
      <c r="B4565">
        <v>105</v>
      </c>
      <c r="C4565" t="s">
        <v>557</v>
      </c>
      <c r="D4565" t="s">
        <v>2637</v>
      </c>
      <c r="E4565" t="s">
        <v>3600</v>
      </c>
      <c r="F4565" s="451">
        <v>46047</v>
      </c>
      <c r="G4565">
        <v>18477</v>
      </c>
      <c r="H4565" t="s">
        <v>4920</v>
      </c>
      <c r="I4565" t="s">
        <v>5222</v>
      </c>
      <c r="J4565">
        <v>3</v>
      </c>
      <c r="K4565" t="s">
        <v>4805</v>
      </c>
      <c r="L4565">
        <v>131.69999999999999</v>
      </c>
      <c r="M4565">
        <v>43.9</v>
      </c>
      <c r="N4565" t="s">
        <v>5222</v>
      </c>
      <c r="O4565" t="s">
        <v>459</v>
      </c>
    </row>
    <row r="4566" spans="1:15" x14ac:dyDescent="0.3">
      <c r="A4566">
        <v>205229</v>
      </c>
      <c r="B4566">
        <v>105</v>
      </c>
      <c r="C4566" t="s">
        <v>557</v>
      </c>
      <c r="D4566" t="s">
        <v>2581</v>
      </c>
      <c r="E4566" t="s">
        <v>3601</v>
      </c>
      <c r="F4566" s="451">
        <v>46042</v>
      </c>
      <c r="G4566">
        <v>19787</v>
      </c>
      <c r="H4566" t="s">
        <v>4793</v>
      </c>
      <c r="I4566" t="s">
        <v>5191</v>
      </c>
      <c r="J4566">
        <v>10</v>
      </c>
      <c r="K4566" t="s">
        <v>4744</v>
      </c>
      <c r="L4566">
        <v>55</v>
      </c>
      <c r="M4566">
        <v>5.5</v>
      </c>
      <c r="N4566" t="s">
        <v>5272</v>
      </c>
      <c r="O4566" t="s">
        <v>459</v>
      </c>
    </row>
    <row r="4567" spans="1:15" x14ac:dyDescent="0.3">
      <c r="A4567">
        <v>205229</v>
      </c>
      <c r="B4567">
        <v>105</v>
      </c>
      <c r="C4567" t="s">
        <v>557</v>
      </c>
      <c r="D4567" t="s">
        <v>2581</v>
      </c>
      <c r="E4567" t="s">
        <v>3601</v>
      </c>
      <c r="F4567" s="451">
        <v>46042</v>
      </c>
      <c r="G4567">
        <v>24083</v>
      </c>
      <c r="H4567" t="s">
        <v>5165</v>
      </c>
      <c r="I4567" t="s">
        <v>5191</v>
      </c>
      <c r="J4567">
        <v>20</v>
      </c>
      <c r="K4567" t="s">
        <v>4744</v>
      </c>
      <c r="L4567">
        <v>84</v>
      </c>
      <c r="M4567">
        <v>4.2</v>
      </c>
      <c r="N4567" t="s">
        <v>5272</v>
      </c>
      <c r="O4567" t="s">
        <v>459</v>
      </c>
    </row>
    <row r="4568" spans="1:15" x14ac:dyDescent="0.3">
      <c r="A4568">
        <v>205229</v>
      </c>
      <c r="B4568">
        <v>105</v>
      </c>
      <c r="C4568" t="s">
        <v>557</v>
      </c>
      <c r="D4568" t="s">
        <v>2581</v>
      </c>
      <c r="E4568" t="s">
        <v>3601</v>
      </c>
      <c r="F4568" s="451">
        <v>46042</v>
      </c>
      <c r="G4568">
        <v>19589</v>
      </c>
      <c r="H4568" t="s">
        <v>4983</v>
      </c>
      <c r="I4568" t="s">
        <v>5191</v>
      </c>
      <c r="J4568">
        <v>2</v>
      </c>
      <c r="K4568" t="s">
        <v>4744</v>
      </c>
      <c r="L4568">
        <v>18</v>
      </c>
      <c r="M4568">
        <v>9</v>
      </c>
      <c r="N4568" t="s">
        <v>5272</v>
      </c>
      <c r="O4568" t="s">
        <v>459</v>
      </c>
    </row>
    <row r="4569" spans="1:15" x14ac:dyDescent="0.3">
      <c r="A4569">
        <v>205229</v>
      </c>
      <c r="B4569">
        <v>105</v>
      </c>
      <c r="C4569" t="s">
        <v>557</v>
      </c>
      <c r="D4569" t="s">
        <v>2581</v>
      </c>
      <c r="E4569" t="s">
        <v>3601</v>
      </c>
      <c r="F4569" s="451">
        <v>46042</v>
      </c>
      <c r="G4569">
        <v>19506</v>
      </c>
      <c r="H4569" t="s">
        <v>5122</v>
      </c>
      <c r="I4569" t="s">
        <v>5191</v>
      </c>
      <c r="J4569">
        <v>0.5</v>
      </c>
      <c r="K4569" t="s">
        <v>4744</v>
      </c>
      <c r="L4569">
        <v>20</v>
      </c>
      <c r="M4569">
        <v>40</v>
      </c>
      <c r="N4569" t="s">
        <v>5272</v>
      </c>
      <c r="O4569" t="s">
        <v>459</v>
      </c>
    </row>
    <row r="4570" spans="1:15" x14ac:dyDescent="0.3">
      <c r="A4570">
        <v>205229</v>
      </c>
      <c r="B4570">
        <v>105</v>
      </c>
      <c r="C4570" t="s">
        <v>557</v>
      </c>
      <c r="D4570" t="s">
        <v>2581</v>
      </c>
      <c r="E4570" t="s">
        <v>3601</v>
      </c>
      <c r="F4570" s="451">
        <v>46042</v>
      </c>
      <c r="G4570">
        <v>19505</v>
      </c>
      <c r="H4570" t="s">
        <v>4872</v>
      </c>
      <c r="I4570" t="s">
        <v>5191</v>
      </c>
      <c r="J4570">
        <v>5</v>
      </c>
      <c r="K4570" t="s">
        <v>4744</v>
      </c>
      <c r="L4570">
        <v>59</v>
      </c>
      <c r="M4570">
        <v>11.8</v>
      </c>
      <c r="N4570" t="s">
        <v>5272</v>
      </c>
      <c r="O4570" t="s">
        <v>459</v>
      </c>
    </row>
    <row r="4571" spans="1:15" x14ac:dyDescent="0.3">
      <c r="A4571">
        <v>205229</v>
      </c>
      <c r="B4571">
        <v>105</v>
      </c>
      <c r="C4571" t="s">
        <v>557</v>
      </c>
      <c r="D4571" t="s">
        <v>2581</v>
      </c>
      <c r="E4571" t="s">
        <v>3601</v>
      </c>
      <c r="F4571" s="451">
        <v>46042</v>
      </c>
      <c r="G4571">
        <v>19575</v>
      </c>
      <c r="H4571" t="s">
        <v>5120</v>
      </c>
      <c r="I4571" t="s">
        <v>5191</v>
      </c>
      <c r="J4571">
        <v>0.3</v>
      </c>
      <c r="K4571" t="s">
        <v>4744</v>
      </c>
      <c r="L4571">
        <v>7.5</v>
      </c>
      <c r="M4571">
        <v>25</v>
      </c>
      <c r="N4571" t="s">
        <v>5272</v>
      </c>
      <c r="O4571" t="s">
        <v>459</v>
      </c>
    </row>
    <row r="4572" spans="1:15" x14ac:dyDescent="0.3">
      <c r="A4572">
        <v>205229</v>
      </c>
      <c r="B4572">
        <v>105</v>
      </c>
      <c r="C4572" t="s">
        <v>557</v>
      </c>
      <c r="D4572" t="s">
        <v>2581</v>
      </c>
      <c r="E4572" t="s">
        <v>3601</v>
      </c>
      <c r="F4572" s="451">
        <v>46042</v>
      </c>
      <c r="G4572">
        <v>19480</v>
      </c>
      <c r="H4572" t="s">
        <v>5119</v>
      </c>
      <c r="I4572" t="s">
        <v>5191</v>
      </c>
      <c r="J4572">
        <v>0.4</v>
      </c>
      <c r="K4572" t="s">
        <v>4744</v>
      </c>
      <c r="L4572">
        <v>5.2</v>
      </c>
      <c r="M4572">
        <v>13</v>
      </c>
      <c r="N4572" t="s">
        <v>5272</v>
      </c>
      <c r="O4572" t="s">
        <v>459</v>
      </c>
    </row>
    <row r="4573" spans="1:15" x14ac:dyDescent="0.3">
      <c r="A4573">
        <v>205229</v>
      </c>
      <c r="B4573">
        <v>105</v>
      </c>
      <c r="C4573" t="s">
        <v>557</v>
      </c>
      <c r="D4573" t="s">
        <v>2581</v>
      </c>
      <c r="E4573" t="s">
        <v>3601</v>
      </c>
      <c r="F4573" s="451">
        <v>46042</v>
      </c>
      <c r="G4573">
        <v>19488</v>
      </c>
      <c r="H4573" t="s">
        <v>5107</v>
      </c>
      <c r="I4573" t="s">
        <v>5191</v>
      </c>
      <c r="J4573">
        <v>0.4</v>
      </c>
      <c r="K4573" t="s">
        <v>4744</v>
      </c>
      <c r="L4573">
        <v>4.4000000000000004</v>
      </c>
      <c r="M4573">
        <v>11</v>
      </c>
      <c r="N4573" t="s">
        <v>5272</v>
      </c>
      <c r="O4573" t="s">
        <v>459</v>
      </c>
    </row>
    <row r="4574" spans="1:15" x14ac:dyDescent="0.3">
      <c r="A4574">
        <v>205229</v>
      </c>
      <c r="B4574">
        <v>105</v>
      </c>
      <c r="C4574" t="s">
        <v>557</v>
      </c>
      <c r="D4574" t="s">
        <v>2581</v>
      </c>
      <c r="E4574" t="s">
        <v>3601</v>
      </c>
      <c r="F4574" s="451">
        <v>46042</v>
      </c>
      <c r="G4574">
        <v>24509</v>
      </c>
      <c r="H4574" t="s">
        <v>4788</v>
      </c>
      <c r="I4574" t="s">
        <v>5191</v>
      </c>
      <c r="J4574">
        <v>10</v>
      </c>
      <c r="K4574" t="s">
        <v>4744</v>
      </c>
      <c r="L4574">
        <v>18</v>
      </c>
      <c r="M4574">
        <v>1.8</v>
      </c>
      <c r="N4574" t="s">
        <v>5272</v>
      </c>
      <c r="O4574" t="s">
        <v>459</v>
      </c>
    </row>
    <row r="4575" spans="1:15" x14ac:dyDescent="0.3">
      <c r="A4575">
        <v>205229</v>
      </c>
      <c r="B4575">
        <v>105</v>
      </c>
      <c r="C4575" t="s">
        <v>557</v>
      </c>
      <c r="D4575" t="s">
        <v>2581</v>
      </c>
      <c r="E4575" t="s">
        <v>3601</v>
      </c>
      <c r="F4575" s="451">
        <v>46042</v>
      </c>
      <c r="G4575">
        <v>19507</v>
      </c>
      <c r="H4575" t="s">
        <v>4853</v>
      </c>
      <c r="I4575" t="s">
        <v>5191</v>
      </c>
      <c r="J4575">
        <v>1.5</v>
      </c>
      <c r="K4575" t="s">
        <v>4744</v>
      </c>
      <c r="L4575">
        <v>18.75</v>
      </c>
      <c r="M4575">
        <v>12.5</v>
      </c>
      <c r="N4575" t="s">
        <v>5272</v>
      </c>
      <c r="O4575" t="s">
        <v>459</v>
      </c>
    </row>
    <row r="4576" spans="1:15" x14ac:dyDescent="0.3">
      <c r="A4576">
        <v>205229</v>
      </c>
      <c r="B4576">
        <v>105</v>
      </c>
      <c r="C4576" t="s">
        <v>557</v>
      </c>
      <c r="D4576" t="s">
        <v>2581</v>
      </c>
      <c r="E4576" t="s">
        <v>3601</v>
      </c>
      <c r="F4576" s="451">
        <v>46042</v>
      </c>
      <c r="G4576">
        <v>19740</v>
      </c>
      <c r="H4576" t="s">
        <v>4779</v>
      </c>
      <c r="I4576" t="s">
        <v>5191</v>
      </c>
      <c r="J4576">
        <v>8</v>
      </c>
      <c r="K4576" t="s">
        <v>4744</v>
      </c>
      <c r="L4576">
        <v>76</v>
      </c>
      <c r="M4576">
        <v>9.5</v>
      </c>
      <c r="N4576" t="s">
        <v>5272</v>
      </c>
      <c r="O4576" t="s">
        <v>459</v>
      </c>
    </row>
    <row r="4577" spans="1:15" x14ac:dyDescent="0.3">
      <c r="A4577">
        <v>205229</v>
      </c>
      <c r="B4577">
        <v>105</v>
      </c>
      <c r="C4577" t="s">
        <v>557</v>
      </c>
      <c r="D4577" t="s">
        <v>2581</v>
      </c>
      <c r="E4577" t="s">
        <v>3601</v>
      </c>
      <c r="F4577" s="451">
        <v>46042</v>
      </c>
      <c r="G4577">
        <v>19635</v>
      </c>
      <c r="H4577" t="s">
        <v>4786</v>
      </c>
      <c r="I4577" t="s">
        <v>5191</v>
      </c>
      <c r="J4577">
        <v>6</v>
      </c>
      <c r="K4577" t="s">
        <v>4744</v>
      </c>
      <c r="L4577">
        <v>28.5</v>
      </c>
      <c r="M4577">
        <v>4.75</v>
      </c>
      <c r="N4577" t="s">
        <v>5272</v>
      </c>
      <c r="O4577" t="s">
        <v>459</v>
      </c>
    </row>
    <row r="4578" spans="1:15" x14ac:dyDescent="0.3">
      <c r="A4578">
        <v>205229</v>
      </c>
      <c r="B4578">
        <v>105</v>
      </c>
      <c r="C4578" t="s">
        <v>557</v>
      </c>
      <c r="D4578" t="s">
        <v>2581</v>
      </c>
      <c r="E4578" t="s">
        <v>3601</v>
      </c>
      <c r="F4578" s="451">
        <v>46042</v>
      </c>
      <c r="G4578">
        <v>23113</v>
      </c>
      <c r="H4578" t="s">
        <v>5074</v>
      </c>
      <c r="I4578" t="s">
        <v>5191</v>
      </c>
      <c r="J4578">
        <v>1.2</v>
      </c>
      <c r="K4578" t="s">
        <v>4744</v>
      </c>
      <c r="L4578">
        <v>10.8</v>
      </c>
      <c r="M4578">
        <v>9</v>
      </c>
      <c r="N4578" t="s">
        <v>5272</v>
      </c>
      <c r="O4578" t="s">
        <v>459</v>
      </c>
    </row>
    <row r="4579" spans="1:15" x14ac:dyDescent="0.3">
      <c r="A4579">
        <v>205229</v>
      </c>
      <c r="B4579">
        <v>105</v>
      </c>
      <c r="C4579" t="s">
        <v>557</v>
      </c>
      <c r="D4579" t="s">
        <v>2581</v>
      </c>
      <c r="E4579" t="s">
        <v>3601</v>
      </c>
      <c r="F4579" s="451">
        <v>46042</v>
      </c>
      <c r="G4579">
        <v>23236</v>
      </c>
      <c r="H4579" t="s">
        <v>5062</v>
      </c>
      <c r="I4579" t="s">
        <v>5191</v>
      </c>
      <c r="J4579">
        <v>3</v>
      </c>
      <c r="K4579" t="s">
        <v>4744</v>
      </c>
      <c r="L4579">
        <v>13.5</v>
      </c>
      <c r="M4579">
        <v>4.5</v>
      </c>
      <c r="N4579" t="s">
        <v>5272</v>
      </c>
      <c r="O4579" t="s">
        <v>459</v>
      </c>
    </row>
    <row r="4580" spans="1:15" x14ac:dyDescent="0.3">
      <c r="A4580">
        <v>205229</v>
      </c>
      <c r="B4580">
        <v>105</v>
      </c>
      <c r="C4580" t="s">
        <v>557</v>
      </c>
      <c r="D4580" t="s">
        <v>2581</v>
      </c>
      <c r="E4580" t="s">
        <v>3601</v>
      </c>
      <c r="F4580" s="451">
        <v>46042</v>
      </c>
      <c r="G4580">
        <v>23359</v>
      </c>
      <c r="H4580" t="s">
        <v>4767</v>
      </c>
      <c r="I4580" t="s">
        <v>5191</v>
      </c>
      <c r="J4580">
        <v>8</v>
      </c>
      <c r="K4580" t="s">
        <v>4744</v>
      </c>
      <c r="L4580">
        <v>20.8</v>
      </c>
      <c r="M4580">
        <v>2.6</v>
      </c>
      <c r="N4580" t="s">
        <v>5272</v>
      </c>
      <c r="O4580" t="s">
        <v>459</v>
      </c>
    </row>
    <row r="4581" spans="1:15" x14ac:dyDescent="0.3">
      <c r="A4581">
        <v>205229</v>
      </c>
      <c r="B4581">
        <v>105</v>
      </c>
      <c r="C4581" t="s">
        <v>557</v>
      </c>
      <c r="D4581" t="s">
        <v>2581</v>
      </c>
      <c r="E4581" t="s">
        <v>3601</v>
      </c>
      <c r="F4581" s="451">
        <v>46042</v>
      </c>
      <c r="G4581">
        <v>23365</v>
      </c>
      <c r="H4581" t="s">
        <v>5108</v>
      </c>
      <c r="I4581" t="s">
        <v>5191</v>
      </c>
      <c r="J4581">
        <v>0.5</v>
      </c>
      <c r="K4581" t="s">
        <v>4744</v>
      </c>
      <c r="L4581">
        <v>10.5</v>
      </c>
      <c r="M4581">
        <v>21</v>
      </c>
      <c r="N4581" t="s">
        <v>5272</v>
      </c>
      <c r="O4581" t="s">
        <v>459</v>
      </c>
    </row>
    <row r="4582" spans="1:15" x14ac:dyDescent="0.3">
      <c r="A4582">
        <v>205229</v>
      </c>
      <c r="B4582">
        <v>105</v>
      </c>
      <c r="C4582" t="s">
        <v>557</v>
      </c>
      <c r="D4582" t="s">
        <v>2581</v>
      </c>
      <c r="E4582" t="s">
        <v>3601</v>
      </c>
      <c r="F4582" s="451">
        <v>46042</v>
      </c>
      <c r="G4582">
        <v>23390</v>
      </c>
      <c r="H4582" t="s">
        <v>4873</v>
      </c>
      <c r="I4582" t="s">
        <v>5191</v>
      </c>
      <c r="J4582">
        <v>1.2</v>
      </c>
      <c r="K4582" t="s">
        <v>4744</v>
      </c>
      <c r="L4582">
        <v>10.199999999999999</v>
      </c>
      <c r="M4582">
        <v>8.5</v>
      </c>
      <c r="N4582" t="s">
        <v>5272</v>
      </c>
      <c r="O4582" t="s">
        <v>459</v>
      </c>
    </row>
    <row r="4583" spans="1:15" x14ac:dyDescent="0.3">
      <c r="A4583">
        <v>205229</v>
      </c>
      <c r="B4583">
        <v>105</v>
      </c>
      <c r="C4583" t="s">
        <v>557</v>
      </c>
      <c r="D4583" t="s">
        <v>2581</v>
      </c>
      <c r="E4583" t="s">
        <v>3601</v>
      </c>
      <c r="F4583" s="451">
        <v>46042</v>
      </c>
      <c r="G4583">
        <v>23095</v>
      </c>
      <c r="H4583" t="s">
        <v>4741</v>
      </c>
      <c r="I4583" t="s">
        <v>5191</v>
      </c>
      <c r="J4583">
        <v>100</v>
      </c>
      <c r="K4583" t="s">
        <v>4736</v>
      </c>
      <c r="L4583">
        <v>95</v>
      </c>
      <c r="M4583">
        <v>0.95</v>
      </c>
      <c r="N4583" t="s">
        <v>5272</v>
      </c>
      <c r="O4583" t="s">
        <v>459</v>
      </c>
    </row>
    <row r="4584" spans="1:15" x14ac:dyDescent="0.3">
      <c r="A4584">
        <v>205229</v>
      </c>
      <c r="B4584">
        <v>105</v>
      </c>
      <c r="C4584" t="s">
        <v>557</v>
      </c>
      <c r="D4584" t="s">
        <v>2581</v>
      </c>
      <c r="E4584" t="s">
        <v>3601</v>
      </c>
      <c r="F4584" s="451">
        <v>46042</v>
      </c>
      <c r="G4584">
        <v>19490</v>
      </c>
      <c r="H4584" t="s">
        <v>5116</v>
      </c>
      <c r="I4584" t="s">
        <v>5191</v>
      </c>
      <c r="J4584">
        <v>0.3</v>
      </c>
      <c r="K4584" t="s">
        <v>4744</v>
      </c>
      <c r="L4584">
        <v>19.5</v>
      </c>
      <c r="M4584">
        <v>65</v>
      </c>
      <c r="N4584" t="s">
        <v>5272</v>
      </c>
      <c r="O4584" t="s">
        <v>459</v>
      </c>
    </row>
    <row r="4585" spans="1:15" x14ac:dyDescent="0.3">
      <c r="A4585">
        <v>205229</v>
      </c>
      <c r="B4585">
        <v>105</v>
      </c>
      <c r="C4585" t="s">
        <v>557</v>
      </c>
      <c r="D4585" t="s">
        <v>2581</v>
      </c>
      <c r="E4585" t="s">
        <v>3601</v>
      </c>
      <c r="F4585" s="451">
        <v>46042</v>
      </c>
      <c r="G4585">
        <v>24037</v>
      </c>
      <c r="H4585" t="s">
        <v>5233</v>
      </c>
      <c r="I4585" t="s">
        <v>5191</v>
      </c>
      <c r="J4585">
        <v>2</v>
      </c>
      <c r="K4585" t="s">
        <v>4744</v>
      </c>
      <c r="L4585">
        <v>41</v>
      </c>
      <c r="M4585">
        <v>20.5</v>
      </c>
      <c r="N4585" t="s">
        <v>5272</v>
      </c>
      <c r="O4585" t="s">
        <v>459</v>
      </c>
    </row>
    <row r="4586" spans="1:15" x14ac:dyDescent="0.3">
      <c r="A4586">
        <v>205229</v>
      </c>
      <c r="B4586">
        <v>105</v>
      </c>
      <c r="C4586" t="s">
        <v>557</v>
      </c>
      <c r="D4586" t="s">
        <v>2581</v>
      </c>
      <c r="E4586" t="s">
        <v>3601</v>
      </c>
      <c r="F4586" s="451">
        <v>46042</v>
      </c>
      <c r="G4586">
        <v>19472</v>
      </c>
      <c r="H4586" t="s">
        <v>4906</v>
      </c>
      <c r="I4586" t="s">
        <v>5191</v>
      </c>
      <c r="J4586">
        <v>1.5</v>
      </c>
      <c r="K4586" t="s">
        <v>4744</v>
      </c>
      <c r="L4586">
        <v>30</v>
      </c>
      <c r="M4586">
        <v>20</v>
      </c>
      <c r="N4586" t="s">
        <v>5272</v>
      </c>
      <c r="O4586" t="s">
        <v>459</v>
      </c>
    </row>
    <row r="4587" spans="1:15" x14ac:dyDescent="0.3">
      <c r="A4587">
        <v>205228</v>
      </c>
      <c r="B4587">
        <v>105</v>
      </c>
      <c r="C4587" t="s">
        <v>557</v>
      </c>
      <c r="D4587" t="s">
        <v>2581</v>
      </c>
      <c r="E4587" t="s">
        <v>3602</v>
      </c>
      <c r="F4587" s="451">
        <v>46044</v>
      </c>
      <c r="G4587">
        <v>19634</v>
      </c>
      <c r="H4587" t="s">
        <v>4792</v>
      </c>
      <c r="I4587" t="s">
        <v>5191</v>
      </c>
      <c r="J4587">
        <v>4.5</v>
      </c>
      <c r="K4587" t="s">
        <v>4744</v>
      </c>
      <c r="L4587">
        <v>31.5</v>
      </c>
      <c r="M4587">
        <v>7</v>
      </c>
      <c r="N4587" t="s">
        <v>5272</v>
      </c>
      <c r="O4587" t="s">
        <v>459</v>
      </c>
    </row>
    <row r="4588" spans="1:15" x14ac:dyDescent="0.3">
      <c r="A4588">
        <v>205228</v>
      </c>
      <c r="B4588">
        <v>105</v>
      </c>
      <c r="C4588" t="s">
        <v>557</v>
      </c>
      <c r="D4588" t="s">
        <v>2581</v>
      </c>
      <c r="E4588" t="s">
        <v>3602</v>
      </c>
      <c r="F4588" s="451">
        <v>46044</v>
      </c>
      <c r="G4588">
        <v>24083</v>
      </c>
      <c r="H4588" t="s">
        <v>5165</v>
      </c>
      <c r="I4588" t="s">
        <v>5191</v>
      </c>
      <c r="J4588">
        <v>50</v>
      </c>
      <c r="K4588" t="s">
        <v>4744</v>
      </c>
      <c r="L4588">
        <v>199.5</v>
      </c>
      <c r="M4588">
        <v>3.99</v>
      </c>
      <c r="N4588" t="s">
        <v>5272</v>
      </c>
      <c r="O4588" t="s">
        <v>459</v>
      </c>
    </row>
    <row r="4589" spans="1:15" x14ac:dyDescent="0.3">
      <c r="A4589">
        <v>205228</v>
      </c>
      <c r="B4589">
        <v>105</v>
      </c>
      <c r="C4589" t="s">
        <v>557</v>
      </c>
      <c r="D4589" t="s">
        <v>2581</v>
      </c>
      <c r="E4589" t="s">
        <v>3602</v>
      </c>
      <c r="F4589" s="451">
        <v>46044</v>
      </c>
      <c r="G4589">
        <v>19589</v>
      </c>
      <c r="H4589" t="s">
        <v>4983</v>
      </c>
      <c r="I4589" t="s">
        <v>5191</v>
      </c>
      <c r="J4589">
        <v>2.5</v>
      </c>
      <c r="K4589" t="s">
        <v>4744</v>
      </c>
      <c r="L4589">
        <v>22.5</v>
      </c>
      <c r="M4589">
        <v>9</v>
      </c>
      <c r="N4589" t="s">
        <v>5272</v>
      </c>
      <c r="O4589" t="s">
        <v>459</v>
      </c>
    </row>
    <row r="4590" spans="1:15" x14ac:dyDescent="0.3">
      <c r="A4590">
        <v>205228</v>
      </c>
      <c r="B4590">
        <v>105</v>
      </c>
      <c r="C4590" t="s">
        <v>557</v>
      </c>
      <c r="D4590" t="s">
        <v>2581</v>
      </c>
      <c r="E4590" t="s">
        <v>3602</v>
      </c>
      <c r="F4590" s="451">
        <v>46044</v>
      </c>
      <c r="G4590">
        <v>19654</v>
      </c>
      <c r="H4590" t="s">
        <v>5099</v>
      </c>
      <c r="I4590" t="s">
        <v>5191</v>
      </c>
      <c r="J4590">
        <v>4.5</v>
      </c>
      <c r="K4590" t="s">
        <v>4744</v>
      </c>
      <c r="L4590">
        <v>21.6</v>
      </c>
      <c r="M4590">
        <v>4.8</v>
      </c>
      <c r="N4590" t="s">
        <v>5272</v>
      </c>
      <c r="O4590" t="s">
        <v>459</v>
      </c>
    </row>
    <row r="4591" spans="1:15" x14ac:dyDescent="0.3">
      <c r="A4591">
        <v>205228</v>
      </c>
      <c r="B4591">
        <v>105</v>
      </c>
      <c r="C4591" t="s">
        <v>557</v>
      </c>
      <c r="D4591" t="s">
        <v>2581</v>
      </c>
      <c r="E4591" t="s">
        <v>3602</v>
      </c>
      <c r="F4591" s="451">
        <v>46044</v>
      </c>
      <c r="G4591">
        <v>24509</v>
      </c>
      <c r="H4591" t="s">
        <v>4788</v>
      </c>
      <c r="I4591" t="s">
        <v>5191</v>
      </c>
      <c r="J4591">
        <v>8</v>
      </c>
      <c r="K4591" t="s">
        <v>4744</v>
      </c>
      <c r="L4591">
        <v>14.4</v>
      </c>
      <c r="M4591">
        <v>1.8</v>
      </c>
      <c r="N4591" t="s">
        <v>5272</v>
      </c>
      <c r="O4591" t="s">
        <v>459</v>
      </c>
    </row>
    <row r="4592" spans="1:15" x14ac:dyDescent="0.3">
      <c r="A4592">
        <v>205228</v>
      </c>
      <c r="B4592">
        <v>105</v>
      </c>
      <c r="C4592" t="s">
        <v>557</v>
      </c>
      <c r="D4592" t="s">
        <v>2581</v>
      </c>
      <c r="E4592" t="s">
        <v>3602</v>
      </c>
      <c r="F4592" s="451">
        <v>46044</v>
      </c>
      <c r="G4592">
        <v>19505</v>
      </c>
      <c r="H4592" t="s">
        <v>4872</v>
      </c>
      <c r="I4592" t="s">
        <v>5191</v>
      </c>
      <c r="J4592">
        <v>6</v>
      </c>
      <c r="K4592" t="s">
        <v>4744</v>
      </c>
      <c r="L4592">
        <v>72</v>
      </c>
      <c r="M4592">
        <v>12</v>
      </c>
      <c r="N4592" t="s">
        <v>5272</v>
      </c>
      <c r="O4592" t="s">
        <v>459</v>
      </c>
    </row>
    <row r="4593" spans="1:15" x14ac:dyDescent="0.3">
      <c r="A4593">
        <v>205228</v>
      </c>
      <c r="B4593">
        <v>105</v>
      </c>
      <c r="C4593" t="s">
        <v>557</v>
      </c>
      <c r="D4593" t="s">
        <v>2581</v>
      </c>
      <c r="E4593" t="s">
        <v>3602</v>
      </c>
      <c r="F4593" s="451">
        <v>46044</v>
      </c>
      <c r="G4593">
        <v>19476</v>
      </c>
      <c r="H4593" t="s">
        <v>5115</v>
      </c>
      <c r="I4593" t="s">
        <v>5191</v>
      </c>
      <c r="J4593">
        <v>0.3</v>
      </c>
      <c r="K4593" t="s">
        <v>4744</v>
      </c>
      <c r="L4593">
        <v>19.5</v>
      </c>
      <c r="M4593">
        <v>65</v>
      </c>
      <c r="N4593" t="s">
        <v>5272</v>
      </c>
      <c r="O4593" t="s">
        <v>459</v>
      </c>
    </row>
    <row r="4594" spans="1:15" x14ac:dyDescent="0.3">
      <c r="A4594">
        <v>205228</v>
      </c>
      <c r="B4594">
        <v>105</v>
      </c>
      <c r="C4594" t="s">
        <v>557</v>
      </c>
      <c r="D4594" t="s">
        <v>2581</v>
      </c>
      <c r="E4594" t="s">
        <v>3602</v>
      </c>
      <c r="F4594" s="451">
        <v>46044</v>
      </c>
      <c r="G4594">
        <v>19492</v>
      </c>
      <c r="H4594" t="s">
        <v>4937</v>
      </c>
      <c r="I4594" t="s">
        <v>5191</v>
      </c>
      <c r="J4594">
        <v>2.5</v>
      </c>
      <c r="K4594" t="s">
        <v>4744</v>
      </c>
      <c r="L4594">
        <v>42.5</v>
      </c>
      <c r="M4594">
        <v>17</v>
      </c>
      <c r="N4594" t="s">
        <v>5272</v>
      </c>
      <c r="O4594" t="s">
        <v>459</v>
      </c>
    </row>
    <row r="4595" spans="1:15" x14ac:dyDescent="0.3">
      <c r="A4595">
        <v>205228</v>
      </c>
      <c r="B4595">
        <v>105</v>
      </c>
      <c r="C4595" t="s">
        <v>557</v>
      </c>
      <c r="D4595" t="s">
        <v>2581</v>
      </c>
      <c r="E4595" t="s">
        <v>3602</v>
      </c>
      <c r="F4595" s="451">
        <v>46044</v>
      </c>
      <c r="G4595">
        <v>19558</v>
      </c>
      <c r="H4595" t="s">
        <v>4994</v>
      </c>
      <c r="I4595" t="s">
        <v>5191</v>
      </c>
      <c r="J4595">
        <v>1</v>
      </c>
      <c r="K4595" t="s">
        <v>4744</v>
      </c>
      <c r="L4595">
        <v>12</v>
      </c>
      <c r="M4595">
        <v>12</v>
      </c>
      <c r="N4595" t="s">
        <v>5272</v>
      </c>
      <c r="O4595" t="s">
        <v>459</v>
      </c>
    </row>
    <row r="4596" spans="1:15" x14ac:dyDescent="0.3">
      <c r="A4596">
        <v>205228</v>
      </c>
      <c r="B4596">
        <v>105</v>
      </c>
      <c r="C4596" t="s">
        <v>557</v>
      </c>
      <c r="D4596" t="s">
        <v>2581</v>
      </c>
      <c r="E4596" t="s">
        <v>3602</v>
      </c>
      <c r="F4596" s="451">
        <v>46044</v>
      </c>
      <c r="G4596">
        <v>19562</v>
      </c>
      <c r="H4596" t="s">
        <v>4939</v>
      </c>
      <c r="I4596" t="s">
        <v>5191</v>
      </c>
      <c r="J4596">
        <v>0.5</v>
      </c>
      <c r="K4596" t="s">
        <v>4744</v>
      </c>
      <c r="L4596">
        <v>4.25</v>
      </c>
      <c r="M4596">
        <v>8.5</v>
      </c>
      <c r="N4596" t="s">
        <v>5272</v>
      </c>
      <c r="O4596" t="s">
        <v>459</v>
      </c>
    </row>
    <row r="4597" spans="1:15" x14ac:dyDescent="0.3">
      <c r="A4597">
        <v>205228</v>
      </c>
      <c r="B4597">
        <v>105</v>
      </c>
      <c r="C4597" t="s">
        <v>557</v>
      </c>
      <c r="D4597" t="s">
        <v>2581</v>
      </c>
      <c r="E4597" t="s">
        <v>3602</v>
      </c>
      <c r="F4597" s="451">
        <v>46044</v>
      </c>
      <c r="G4597">
        <v>19622</v>
      </c>
      <c r="H4597" t="s">
        <v>4915</v>
      </c>
      <c r="I4597" t="s">
        <v>5191</v>
      </c>
      <c r="J4597">
        <v>2</v>
      </c>
      <c r="K4597" t="s">
        <v>4744</v>
      </c>
      <c r="L4597">
        <v>6.3</v>
      </c>
      <c r="M4597">
        <v>3.15</v>
      </c>
      <c r="N4597" t="s">
        <v>5272</v>
      </c>
      <c r="O4597" t="s">
        <v>459</v>
      </c>
    </row>
    <row r="4598" spans="1:15" x14ac:dyDescent="0.3">
      <c r="A4598">
        <v>205228</v>
      </c>
      <c r="B4598">
        <v>105</v>
      </c>
      <c r="C4598" t="s">
        <v>557</v>
      </c>
      <c r="D4598" t="s">
        <v>2581</v>
      </c>
      <c r="E4598" t="s">
        <v>3602</v>
      </c>
      <c r="F4598" s="451">
        <v>46044</v>
      </c>
      <c r="G4598">
        <v>19507</v>
      </c>
      <c r="H4598" t="s">
        <v>4853</v>
      </c>
      <c r="I4598" t="s">
        <v>5191</v>
      </c>
      <c r="J4598">
        <v>1.5</v>
      </c>
      <c r="K4598" t="s">
        <v>4744</v>
      </c>
      <c r="L4598">
        <v>16.5</v>
      </c>
      <c r="M4598">
        <v>11</v>
      </c>
      <c r="N4598" t="s">
        <v>5272</v>
      </c>
      <c r="O4598" t="s">
        <v>459</v>
      </c>
    </row>
    <row r="4599" spans="1:15" x14ac:dyDescent="0.3">
      <c r="A4599">
        <v>205228</v>
      </c>
      <c r="B4599">
        <v>105</v>
      </c>
      <c r="C4599" t="s">
        <v>557</v>
      </c>
      <c r="D4599" t="s">
        <v>2581</v>
      </c>
      <c r="E4599" t="s">
        <v>3602</v>
      </c>
      <c r="F4599" s="451">
        <v>46044</v>
      </c>
      <c r="G4599">
        <v>19652</v>
      </c>
      <c r="H4599" t="s">
        <v>4899</v>
      </c>
      <c r="I4599" t="s">
        <v>5191</v>
      </c>
      <c r="J4599">
        <v>2</v>
      </c>
      <c r="K4599" t="s">
        <v>4744</v>
      </c>
      <c r="L4599">
        <v>38</v>
      </c>
      <c r="M4599">
        <v>19</v>
      </c>
      <c r="N4599" t="s">
        <v>5272</v>
      </c>
      <c r="O4599" t="s">
        <v>459</v>
      </c>
    </row>
    <row r="4600" spans="1:15" x14ac:dyDescent="0.3">
      <c r="A4600">
        <v>205228</v>
      </c>
      <c r="B4600">
        <v>105</v>
      </c>
      <c r="C4600" t="s">
        <v>557</v>
      </c>
      <c r="D4600" t="s">
        <v>2581</v>
      </c>
      <c r="E4600" t="s">
        <v>3602</v>
      </c>
      <c r="F4600" s="451">
        <v>46044</v>
      </c>
      <c r="G4600">
        <v>19647</v>
      </c>
      <c r="H4600" t="s">
        <v>5050</v>
      </c>
      <c r="I4600" t="s">
        <v>5191</v>
      </c>
      <c r="J4600">
        <v>0.4</v>
      </c>
      <c r="K4600" t="s">
        <v>4744</v>
      </c>
      <c r="L4600">
        <v>4.8</v>
      </c>
      <c r="M4600">
        <v>12</v>
      </c>
      <c r="N4600" t="s">
        <v>5272</v>
      </c>
      <c r="O4600" t="s">
        <v>459</v>
      </c>
    </row>
    <row r="4601" spans="1:15" x14ac:dyDescent="0.3">
      <c r="A4601">
        <v>205228</v>
      </c>
      <c r="B4601">
        <v>105</v>
      </c>
      <c r="C4601" t="s">
        <v>557</v>
      </c>
      <c r="D4601" t="s">
        <v>2581</v>
      </c>
      <c r="E4601" t="s">
        <v>3602</v>
      </c>
      <c r="F4601" s="451">
        <v>46044</v>
      </c>
      <c r="G4601">
        <v>19742</v>
      </c>
      <c r="H4601" t="s">
        <v>4900</v>
      </c>
      <c r="I4601" t="s">
        <v>5191</v>
      </c>
      <c r="J4601">
        <v>2</v>
      </c>
      <c r="K4601" t="s">
        <v>4744</v>
      </c>
      <c r="L4601">
        <v>18</v>
      </c>
      <c r="M4601">
        <v>9</v>
      </c>
      <c r="N4601" t="s">
        <v>5272</v>
      </c>
      <c r="O4601" t="s">
        <v>459</v>
      </c>
    </row>
    <row r="4602" spans="1:15" x14ac:dyDescent="0.3">
      <c r="A4602">
        <v>205228</v>
      </c>
      <c r="B4602">
        <v>105</v>
      </c>
      <c r="C4602" t="s">
        <v>557</v>
      </c>
      <c r="D4602" t="s">
        <v>2581</v>
      </c>
      <c r="E4602" t="s">
        <v>3602</v>
      </c>
      <c r="F4602" s="451">
        <v>46044</v>
      </c>
      <c r="G4602">
        <v>19635</v>
      </c>
      <c r="H4602" t="s">
        <v>4786</v>
      </c>
      <c r="I4602" t="s">
        <v>5191</v>
      </c>
      <c r="J4602">
        <v>8</v>
      </c>
      <c r="K4602" t="s">
        <v>4744</v>
      </c>
      <c r="L4602">
        <v>38</v>
      </c>
      <c r="M4602">
        <v>4.75</v>
      </c>
      <c r="N4602" t="s">
        <v>5272</v>
      </c>
      <c r="O4602" t="s">
        <v>459</v>
      </c>
    </row>
    <row r="4603" spans="1:15" x14ac:dyDescent="0.3">
      <c r="A4603">
        <v>205228</v>
      </c>
      <c r="B4603">
        <v>105</v>
      </c>
      <c r="C4603" t="s">
        <v>557</v>
      </c>
      <c r="D4603" t="s">
        <v>2581</v>
      </c>
      <c r="E4603" t="s">
        <v>3602</v>
      </c>
      <c r="F4603" s="451">
        <v>46044</v>
      </c>
      <c r="G4603">
        <v>19617</v>
      </c>
      <c r="H4603" t="s">
        <v>5071</v>
      </c>
      <c r="I4603" t="s">
        <v>5191</v>
      </c>
      <c r="J4603">
        <v>0.8</v>
      </c>
      <c r="K4603" t="s">
        <v>4744</v>
      </c>
      <c r="L4603">
        <v>20.8</v>
      </c>
      <c r="M4603">
        <v>26</v>
      </c>
      <c r="N4603" t="s">
        <v>5272</v>
      </c>
      <c r="O4603" t="s">
        <v>459</v>
      </c>
    </row>
    <row r="4604" spans="1:15" x14ac:dyDescent="0.3">
      <c r="A4604">
        <v>205228</v>
      </c>
      <c r="B4604">
        <v>105</v>
      </c>
      <c r="C4604" t="s">
        <v>557</v>
      </c>
      <c r="D4604" t="s">
        <v>2581</v>
      </c>
      <c r="E4604" t="s">
        <v>3602</v>
      </c>
      <c r="F4604" s="451">
        <v>46044</v>
      </c>
      <c r="G4604">
        <v>23108</v>
      </c>
      <c r="H4604" t="s">
        <v>5117</v>
      </c>
      <c r="I4604" t="s">
        <v>5191</v>
      </c>
      <c r="J4604">
        <v>0.3</v>
      </c>
      <c r="K4604" t="s">
        <v>4744</v>
      </c>
      <c r="L4604">
        <v>18</v>
      </c>
      <c r="M4604">
        <v>60</v>
      </c>
      <c r="N4604" t="s">
        <v>5272</v>
      </c>
      <c r="O4604" t="s">
        <v>459</v>
      </c>
    </row>
    <row r="4605" spans="1:15" x14ac:dyDescent="0.3">
      <c r="A4605">
        <v>205228</v>
      </c>
      <c r="B4605">
        <v>105</v>
      </c>
      <c r="C4605" t="s">
        <v>557</v>
      </c>
      <c r="D4605" t="s">
        <v>2581</v>
      </c>
      <c r="E4605" t="s">
        <v>3602</v>
      </c>
      <c r="F4605" s="451">
        <v>46044</v>
      </c>
      <c r="G4605">
        <v>23195</v>
      </c>
      <c r="H4605" t="s">
        <v>5051</v>
      </c>
      <c r="I4605" t="s">
        <v>5191</v>
      </c>
      <c r="J4605">
        <v>1</v>
      </c>
      <c r="K4605" t="s">
        <v>4744</v>
      </c>
      <c r="L4605">
        <v>14</v>
      </c>
      <c r="M4605">
        <v>14</v>
      </c>
      <c r="N4605" t="s">
        <v>5272</v>
      </c>
      <c r="O4605" t="s">
        <v>459</v>
      </c>
    </row>
    <row r="4606" spans="1:15" x14ac:dyDescent="0.3">
      <c r="A4606">
        <v>205228</v>
      </c>
      <c r="B4606">
        <v>105</v>
      </c>
      <c r="C4606" t="s">
        <v>557</v>
      </c>
      <c r="D4606" t="s">
        <v>2581</v>
      </c>
      <c r="E4606" t="s">
        <v>3602</v>
      </c>
      <c r="F4606" s="451">
        <v>46044</v>
      </c>
      <c r="G4606">
        <v>23198</v>
      </c>
      <c r="H4606" t="s">
        <v>4962</v>
      </c>
      <c r="I4606" t="s">
        <v>5191</v>
      </c>
      <c r="J4606">
        <v>0.5</v>
      </c>
      <c r="K4606" t="s">
        <v>4744</v>
      </c>
      <c r="L4606">
        <v>4.25</v>
      </c>
      <c r="M4606">
        <v>8.5</v>
      </c>
      <c r="N4606" t="s">
        <v>5272</v>
      </c>
      <c r="O4606" t="s">
        <v>459</v>
      </c>
    </row>
    <row r="4607" spans="1:15" x14ac:dyDescent="0.3">
      <c r="A4607">
        <v>205228</v>
      </c>
      <c r="B4607">
        <v>105</v>
      </c>
      <c r="C4607" t="s">
        <v>557</v>
      </c>
      <c r="D4607" t="s">
        <v>2581</v>
      </c>
      <c r="E4607" t="s">
        <v>3602</v>
      </c>
      <c r="F4607" s="451">
        <v>46044</v>
      </c>
      <c r="G4607">
        <v>23228</v>
      </c>
      <c r="H4607" t="s">
        <v>4782</v>
      </c>
      <c r="I4607" t="s">
        <v>5191</v>
      </c>
      <c r="J4607">
        <v>3</v>
      </c>
      <c r="K4607" t="s">
        <v>4744</v>
      </c>
      <c r="L4607">
        <v>19.5</v>
      </c>
      <c r="M4607">
        <v>6.5</v>
      </c>
      <c r="N4607" t="s">
        <v>5272</v>
      </c>
      <c r="O4607" t="s">
        <v>459</v>
      </c>
    </row>
    <row r="4608" spans="1:15" x14ac:dyDescent="0.3">
      <c r="A4608">
        <v>205228</v>
      </c>
      <c r="B4608">
        <v>105</v>
      </c>
      <c r="C4608" t="s">
        <v>557</v>
      </c>
      <c r="D4608" t="s">
        <v>2581</v>
      </c>
      <c r="E4608" t="s">
        <v>3602</v>
      </c>
      <c r="F4608" s="451">
        <v>46044</v>
      </c>
      <c r="G4608">
        <v>23236</v>
      </c>
      <c r="H4608" t="s">
        <v>5062</v>
      </c>
      <c r="I4608" t="s">
        <v>5191</v>
      </c>
      <c r="J4608">
        <v>3</v>
      </c>
      <c r="K4608" t="s">
        <v>4744</v>
      </c>
      <c r="L4608">
        <v>16.5</v>
      </c>
      <c r="M4608">
        <v>5.5</v>
      </c>
      <c r="N4608" t="s">
        <v>5272</v>
      </c>
      <c r="O4608" t="s">
        <v>459</v>
      </c>
    </row>
    <row r="4609" spans="1:15" x14ac:dyDescent="0.3">
      <c r="A4609">
        <v>205228</v>
      </c>
      <c r="B4609">
        <v>105</v>
      </c>
      <c r="C4609" t="s">
        <v>557</v>
      </c>
      <c r="D4609" t="s">
        <v>2581</v>
      </c>
      <c r="E4609" t="s">
        <v>3602</v>
      </c>
      <c r="F4609" s="451">
        <v>46044</v>
      </c>
      <c r="G4609">
        <v>23238</v>
      </c>
      <c r="H4609" t="s">
        <v>4934</v>
      </c>
      <c r="I4609" t="s">
        <v>5191</v>
      </c>
      <c r="J4609">
        <v>2</v>
      </c>
      <c r="K4609" t="s">
        <v>4744</v>
      </c>
      <c r="L4609">
        <v>34.5</v>
      </c>
      <c r="M4609">
        <v>17.25</v>
      </c>
      <c r="N4609" t="s">
        <v>5272</v>
      </c>
      <c r="O4609" t="s">
        <v>459</v>
      </c>
    </row>
    <row r="4610" spans="1:15" x14ac:dyDescent="0.3">
      <c r="A4610">
        <v>205228</v>
      </c>
      <c r="B4610">
        <v>105</v>
      </c>
      <c r="C4610" t="s">
        <v>557</v>
      </c>
      <c r="D4610" t="s">
        <v>2581</v>
      </c>
      <c r="E4610" t="s">
        <v>3602</v>
      </c>
      <c r="F4610" s="451">
        <v>46044</v>
      </c>
      <c r="G4610">
        <v>23385</v>
      </c>
      <c r="H4610" t="s">
        <v>4938</v>
      </c>
      <c r="I4610" t="s">
        <v>5191</v>
      </c>
      <c r="J4610">
        <v>1.5</v>
      </c>
      <c r="K4610" t="s">
        <v>4744</v>
      </c>
      <c r="L4610">
        <v>40.5</v>
      </c>
      <c r="M4610">
        <v>27</v>
      </c>
      <c r="N4610" t="s">
        <v>5272</v>
      </c>
      <c r="O4610" t="s">
        <v>459</v>
      </c>
    </row>
    <row r="4611" spans="1:15" x14ac:dyDescent="0.3">
      <c r="A4611">
        <v>205228</v>
      </c>
      <c r="B4611">
        <v>105</v>
      </c>
      <c r="C4611" t="s">
        <v>557</v>
      </c>
      <c r="D4611" t="s">
        <v>2581</v>
      </c>
      <c r="E4611" t="s">
        <v>3602</v>
      </c>
      <c r="F4611" s="451">
        <v>46044</v>
      </c>
      <c r="G4611">
        <v>23389</v>
      </c>
      <c r="H4611" t="s">
        <v>4960</v>
      </c>
      <c r="I4611" t="s">
        <v>5191</v>
      </c>
      <c r="J4611">
        <v>4</v>
      </c>
      <c r="K4611" t="s">
        <v>4744</v>
      </c>
      <c r="L4611">
        <v>20.399999999999999</v>
      </c>
      <c r="M4611">
        <v>5.0999999999999996</v>
      </c>
      <c r="N4611" t="s">
        <v>5272</v>
      </c>
      <c r="O4611" t="s">
        <v>459</v>
      </c>
    </row>
    <row r="4612" spans="1:15" x14ac:dyDescent="0.3">
      <c r="A4612">
        <v>205228</v>
      </c>
      <c r="B4612">
        <v>105</v>
      </c>
      <c r="C4612" t="s">
        <v>557</v>
      </c>
      <c r="D4612" t="s">
        <v>2581</v>
      </c>
      <c r="E4612" t="s">
        <v>3602</v>
      </c>
      <c r="F4612" s="451">
        <v>46044</v>
      </c>
      <c r="G4612">
        <v>23390</v>
      </c>
      <c r="H4612" t="s">
        <v>4873</v>
      </c>
      <c r="I4612" t="s">
        <v>5191</v>
      </c>
      <c r="J4612">
        <v>1</v>
      </c>
      <c r="K4612" t="s">
        <v>4744</v>
      </c>
      <c r="L4612">
        <v>8.5</v>
      </c>
      <c r="M4612">
        <v>8.5</v>
      </c>
      <c r="N4612" t="s">
        <v>5272</v>
      </c>
      <c r="O4612" t="s">
        <v>459</v>
      </c>
    </row>
    <row r="4613" spans="1:15" x14ac:dyDescent="0.3">
      <c r="A4613">
        <v>205228</v>
      </c>
      <c r="B4613">
        <v>105</v>
      </c>
      <c r="C4613" t="s">
        <v>557</v>
      </c>
      <c r="D4613" t="s">
        <v>2581</v>
      </c>
      <c r="E4613" t="s">
        <v>3602</v>
      </c>
      <c r="F4613" s="451">
        <v>46044</v>
      </c>
      <c r="G4613">
        <v>23095</v>
      </c>
      <c r="H4613" t="s">
        <v>4741</v>
      </c>
      <c r="I4613" t="s">
        <v>5191</v>
      </c>
      <c r="J4613">
        <v>100</v>
      </c>
      <c r="K4613" t="s">
        <v>4736</v>
      </c>
      <c r="L4613">
        <v>93</v>
      </c>
      <c r="M4613">
        <v>0.93</v>
      </c>
      <c r="N4613" t="s">
        <v>5272</v>
      </c>
      <c r="O4613" t="s">
        <v>459</v>
      </c>
    </row>
    <row r="4614" spans="1:15" x14ac:dyDescent="0.3">
      <c r="A4614">
        <v>205228</v>
      </c>
      <c r="B4614">
        <v>105</v>
      </c>
      <c r="C4614" t="s">
        <v>557</v>
      </c>
      <c r="D4614" t="s">
        <v>2581</v>
      </c>
      <c r="E4614" t="s">
        <v>3602</v>
      </c>
      <c r="F4614" s="451">
        <v>46044</v>
      </c>
      <c r="G4614">
        <v>23361</v>
      </c>
      <c r="H4614" t="s">
        <v>4754</v>
      </c>
      <c r="I4614" t="s">
        <v>5191</v>
      </c>
      <c r="J4614">
        <v>30</v>
      </c>
      <c r="K4614" t="s">
        <v>4744</v>
      </c>
      <c r="L4614">
        <v>93</v>
      </c>
      <c r="M4614">
        <v>3.1</v>
      </c>
      <c r="N4614" t="s">
        <v>5272</v>
      </c>
      <c r="O4614" t="s">
        <v>459</v>
      </c>
    </row>
    <row r="4615" spans="1:15" x14ac:dyDescent="0.3">
      <c r="A4615">
        <v>205228</v>
      </c>
      <c r="B4615">
        <v>105</v>
      </c>
      <c r="C4615" t="s">
        <v>557</v>
      </c>
      <c r="D4615" t="s">
        <v>2581</v>
      </c>
      <c r="E4615" t="s">
        <v>3602</v>
      </c>
      <c r="F4615" s="451">
        <v>46044</v>
      </c>
      <c r="G4615">
        <v>19632</v>
      </c>
      <c r="H4615" t="s">
        <v>4936</v>
      </c>
      <c r="I4615" t="s">
        <v>5191</v>
      </c>
      <c r="J4615">
        <v>2</v>
      </c>
      <c r="K4615" t="s">
        <v>4744</v>
      </c>
      <c r="L4615">
        <v>5.4</v>
      </c>
      <c r="M4615">
        <v>2.7</v>
      </c>
      <c r="N4615" t="s">
        <v>5272</v>
      </c>
      <c r="O4615" t="s">
        <v>459</v>
      </c>
    </row>
    <row r="4616" spans="1:15" x14ac:dyDescent="0.3">
      <c r="A4616">
        <v>205228</v>
      </c>
      <c r="B4616">
        <v>105</v>
      </c>
      <c r="C4616" t="s">
        <v>557</v>
      </c>
      <c r="D4616" t="s">
        <v>2581</v>
      </c>
      <c r="E4616" t="s">
        <v>3602</v>
      </c>
      <c r="F4616" s="451">
        <v>46044</v>
      </c>
      <c r="G4616">
        <v>19472</v>
      </c>
      <c r="H4616" t="s">
        <v>4906</v>
      </c>
      <c r="I4616" t="s">
        <v>5191</v>
      </c>
      <c r="J4616">
        <v>2</v>
      </c>
      <c r="K4616" t="s">
        <v>4744</v>
      </c>
      <c r="L4616">
        <v>40</v>
      </c>
      <c r="M4616">
        <v>20</v>
      </c>
      <c r="N4616" t="s">
        <v>5272</v>
      </c>
      <c r="O4616" t="s">
        <v>459</v>
      </c>
    </row>
    <row r="4617" spans="1:15" x14ac:dyDescent="0.3">
      <c r="A4617">
        <v>205228</v>
      </c>
      <c r="B4617">
        <v>105</v>
      </c>
      <c r="C4617" t="s">
        <v>557</v>
      </c>
      <c r="D4617" t="s">
        <v>2581</v>
      </c>
      <c r="E4617" t="s">
        <v>3602</v>
      </c>
      <c r="F4617" s="451">
        <v>46044</v>
      </c>
      <c r="G4617">
        <v>19532</v>
      </c>
      <c r="H4617" t="s">
        <v>4753</v>
      </c>
      <c r="I4617" t="s">
        <v>5191</v>
      </c>
      <c r="J4617">
        <v>12</v>
      </c>
      <c r="K4617" t="s">
        <v>4744</v>
      </c>
      <c r="L4617">
        <v>72</v>
      </c>
      <c r="M4617">
        <v>6</v>
      </c>
      <c r="N4617" t="s">
        <v>5272</v>
      </c>
      <c r="O4617" t="s">
        <v>459</v>
      </c>
    </row>
    <row r="4618" spans="1:15" x14ac:dyDescent="0.3">
      <c r="A4618">
        <v>205227</v>
      </c>
      <c r="B4618">
        <v>105</v>
      </c>
      <c r="C4618" t="s">
        <v>557</v>
      </c>
      <c r="D4618" t="s">
        <v>2581</v>
      </c>
      <c r="E4618" t="s">
        <v>3603</v>
      </c>
      <c r="F4618" s="451">
        <v>46045</v>
      </c>
      <c r="G4618">
        <v>23785</v>
      </c>
      <c r="H4618" t="s">
        <v>4858</v>
      </c>
      <c r="I4618" t="s">
        <v>5191</v>
      </c>
      <c r="J4618">
        <v>6</v>
      </c>
      <c r="K4618" t="s">
        <v>4744</v>
      </c>
      <c r="L4618">
        <v>270</v>
      </c>
      <c r="M4618">
        <v>45</v>
      </c>
      <c r="N4618" t="s">
        <v>5272</v>
      </c>
      <c r="O4618" t="s">
        <v>459</v>
      </c>
    </row>
    <row r="4619" spans="1:15" x14ac:dyDescent="0.3">
      <c r="A4619">
        <v>205226</v>
      </c>
      <c r="B4619">
        <v>105</v>
      </c>
      <c r="C4619" t="s">
        <v>557</v>
      </c>
      <c r="D4619" t="s">
        <v>2581</v>
      </c>
      <c r="E4619" t="s">
        <v>3604</v>
      </c>
      <c r="F4619" s="451">
        <v>46045</v>
      </c>
      <c r="G4619">
        <v>24083</v>
      </c>
      <c r="H4619" t="s">
        <v>5165</v>
      </c>
      <c r="I4619" t="s">
        <v>5191</v>
      </c>
      <c r="J4619">
        <v>20</v>
      </c>
      <c r="K4619" t="s">
        <v>4744</v>
      </c>
      <c r="L4619">
        <v>79.8</v>
      </c>
      <c r="M4619">
        <v>3.99</v>
      </c>
      <c r="N4619" t="s">
        <v>5272</v>
      </c>
      <c r="O4619" t="s">
        <v>459</v>
      </c>
    </row>
    <row r="4620" spans="1:15" x14ac:dyDescent="0.3">
      <c r="A4620">
        <v>205226</v>
      </c>
      <c r="B4620">
        <v>105</v>
      </c>
      <c r="C4620" t="s">
        <v>557</v>
      </c>
      <c r="D4620" t="s">
        <v>2581</v>
      </c>
      <c r="E4620" t="s">
        <v>3604</v>
      </c>
      <c r="F4620" s="451">
        <v>46045</v>
      </c>
      <c r="G4620">
        <v>19654</v>
      </c>
      <c r="H4620" t="s">
        <v>5099</v>
      </c>
      <c r="I4620" t="s">
        <v>5191</v>
      </c>
      <c r="J4620">
        <v>4.5</v>
      </c>
      <c r="K4620" t="s">
        <v>4744</v>
      </c>
      <c r="L4620">
        <v>21.6</v>
      </c>
      <c r="M4620">
        <v>4.8</v>
      </c>
      <c r="N4620" t="s">
        <v>5272</v>
      </c>
      <c r="O4620" t="s">
        <v>459</v>
      </c>
    </row>
    <row r="4621" spans="1:15" x14ac:dyDescent="0.3">
      <c r="A4621">
        <v>205226</v>
      </c>
      <c r="B4621">
        <v>105</v>
      </c>
      <c r="C4621" t="s">
        <v>557</v>
      </c>
      <c r="D4621" t="s">
        <v>2581</v>
      </c>
      <c r="E4621" t="s">
        <v>3604</v>
      </c>
      <c r="F4621" s="451">
        <v>46045</v>
      </c>
      <c r="G4621">
        <v>19505</v>
      </c>
      <c r="H4621" t="s">
        <v>4872</v>
      </c>
      <c r="I4621" t="s">
        <v>5191</v>
      </c>
      <c r="J4621">
        <v>3</v>
      </c>
      <c r="K4621" t="s">
        <v>4744</v>
      </c>
      <c r="L4621">
        <v>36</v>
      </c>
      <c r="M4621">
        <v>12</v>
      </c>
      <c r="N4621" t="s">
        <v>5272</v>
      </c>
      <c r="O4621" t="s">
        <v>459</v>
      </c>
    </row>
    <row r="4622" spans="1:15" x14ac:dyDescent="0.3">
      <c r="A4622">
        <v>205226</v>
      </c>
      <c r="B4622">
        <v>105</v>
      </c>
      <c r="C4622" t="s">
        <v>557</v>
      </c>
      <c r="D4622" t="s">
        <v>2581</v>
      </c>
      <c r="E4622" t="s">
        <v>3604</v>
      </c>
      <c r="F4622" s="451">
        <v>46045</v>
      </c>
      <c r="G4622">
        <v>19658</v>
      </c>
      <c r="H4622" t="s">
        <v>4784</v>
      </c>
      <c r="I4622" t="s">
        <v>5191</v>
      </c>
      <c r="J4622">
        <v>8</v>
      </c>
      <c r="K4622" t="s">
        <v>4744</v>
      </c>
      <c r="L4622">
        <v>22.4</v>
      </c>
      <c r="M4622">
        <v>2.8</v>
      </c>
      <c r="N4622" t="s">
        <v>5272</v>
      </c>
      <c r="O4622" t="s">
        <v>459</v>
      </c>
    </row>
    <row r="4623" spans="1:15" x14ac:dyDescent="0.3">
      <c r="A4623">
        <v>205226</v>
      </c>
      <c r="B4623">
        <v>105</v>
      </c>
      <c r="C4623" t="s">
        <v>557</v>
      </c>
      <c r="D4623" t="s">
        <v>2581</v>
      </c>
      <c r="E4623" t="s">
        <v>3604</v>
      </c>
      <c r="F4623" s="451">
        <v>46045</v>
      </c>
      <c r="G4623">
        <v>19465</v>
      </c>
      <c r="H4623" t="s">
        <v>5114</v>
      </c>
      <c r="I4623" t="s">
        <v>5191</v>
      </c>
      <c r="J4623">
        <v>0.8</v>
      </c>
      <c r="K4623" t="s">
        <v>4744</v>
      </c>
      <c r="L4623">
        <v>3.84</v>
      </c>
      <c r="M4623">
        <v>4.8</v>
      </c>
      <c r="N4623" t="s">
        <v>5272</v>
      </c>
      <c r="O4623" t="s">
        <v>459</v>
      </c>
    </row>
    <row r="4624" spans="1:15" x14ac:dyDescent="0.3">
      <c r="A4624">
        <v>205226</v>
      </c>
      <c r="B4624">
        <v>105</v>
      </c>
      <c r="C4624" t="s">
        <v>557</v>
      </c>
      <c r="D4624" t="s">
        <v>2581</v>
      </c>
      <c r="E4624" t="s">
        <v>3604</v>
      </c>
      <c r="F4624" s="451">
        <v>46045</v>
      </c>
      <c r="G4624">
        <v>19480</v>
      </c>
      <c r="H4624" t="s">
        <v>5119</v>
      </c>
      <c r="I4624" t="s">
        <v>5191</v>
      </c>
      <c r="J4624">
        <v>0.4</v>
      </c>
      <c r="K4624" t="s">
        <v>4744</v>
      </c>
      <c r="L4624">
        <v>5.2</v>
      </c>
      <c r="M4624">
        <v>13</v>
      </c>
      <c r="N4624" t="s">
        <v>5272</v>
      </c>
      <c r="O4624" t="s">
        <v>459</v>
      </c>
    </row>
    <row r="4625" spans="1:15" x14ac:dyDescent="0.3">
      <c r="A4625">
        <v>205226</v>
      </c>
      <c r="B4625">
        <v>105</v>
      </c>
      <c r="C4625" t="s">
        <v>557</v>
      </c>
      <c r="D4625" t="s">
        <v>2581</v>
      </c>
      <c r="E4625" t="s">
        <v>3604</v>
      </c>
      <c r="F4625" s="451">
        <v>46045</v>
      </c>
      <c r="G4625">
        <v>19728</v>
      </c>
      <c r="H4625" t="s">
        <v>5106</v>
      </c>
      <c r="I4625" t="s">
        <v>5191</v>
      </c>
      <c r="J4625">
        <v>2</v>
      </c>
      <c r="K4625" t="s">
        <v>4744</v>
      </c>
      <c r="L4625">
        <v>35</v>
      </c>
      <c r="M4625">
        <v>17.5</v>
      </c>
      <c r="N4625" t="s">
        <v>5272</v>
      </c>
      <c r="O4625" t="s">
        <v>459</v>
      </c>
    </row>
    <row r="4626" spans="1:15" x14ac:dyDescent="0.3">
      <c r="A4626">
        <v>205226</v>
      </c>
      <c r="B4626">
        <v>105</v>
      </c>
      <c r="C4626" t="s">
        <v>557</v>
      </c>
      <c r="D4626" t="s">
        <v>2581</v>
      </c>
      <c r="E4626" t="s">
        <v>3604</v>
      </c>
      <c r="F4626" s="451">
        <v>46045</v>
      </c>
      <c r="G4626">
        <v>19635</v>
      </c>
      <c r="H4626" t="s">
        <v>4786</v>
      </c>
      <c r="I4626" t="s">
        <v>5191</v>
      </c>
      <c r="J4626">
        <v>3</v>
      </c>
      <c r="K4626" t="s">
        <v>4744</v>
      </c>
      <c r="L4626">
        <v>14.25</v>
      </c>
      <c r="M4626">
        <v>4.75</v>
      </c>
      <c r="N4626" t="s">
        <v>5272</v>
      </c>
      <c r="O4626" t="s">
        <v>459</v>
      </c>
    </row>
    <row r="4627" spans="1:15" x14ac:dyDescent="0.3">
      <c r="A4627">
        <v>205226</v>
      </c>
      <c r="B4627">
        <v>105</v>
      </c>
      <c r="C4627" t="s">
        <v>557</v>
      </c>
      <c r="D4627" t="s">
        <v>2581</v>
      </c>
      <c r="E4627" t="s">
        <v>3604</v>
      </c>
      <c r="F4627" s="451">
        <v>46045</v>
      </c>
      <c r="G4627">
        <v>23113</v>
      </c>
      <c r="H4627" t="s">
        <v>5074</v>
      </c>
      <c r="I4627" t="s">
        <v>5191</v>
      </c>
      <c r="J4627">
        <v>1</v>
      </c>
      <c r="K4627" t="s">
        <v>4744</v>
      </c>
      <c r="L4627">
        <v>9</v>
      </c>
      <c r="M4627">
        <v>9</v>
      </c>
      <c r="N4627" t="s">
        <v>5272</v>
      </c>
      <c r="O4627" t="s">
        <v>459</v>
      </c>
    </row>
    <row r="4628" spans="1:15" x14ac:dyDescent="0.3">
      <c r="A4628">
        <v>205226</v>
      </c>
      <c r="B4628">
        <v>105</v>
      </c>
      <c r="C4628" t="s">
        <v>557</v>
      </c>
      <c r="D4628" t="s">
        <v>2581</v>
      </c>
      <c r="E4628" t="s">
        <v>3604</v>
      </c>
      <c r="F4628" s="451">
        <v>46045</v>
      </c>
      <c r="G4628">
        <v>23359</v>
      </c>
      <c r="H4628" t="s">
        <v>4767</v>
      </c>
      <c r="I4628" t="s">
        <v>5191</v>
      </c>
      <c r="J4628">
        <v>10</v>
      </c>
      <c r="K4628" t="s">
        <v>4744</v>
      </c>
      <c r="L4628">
        <v>23.5</v>
      </c>
      <c r="M4628">
        <v>2.35</v>
      </c>
      <c r="N4628" t="s">
        <v>5272</v>
      </c>
      <c r="O4628" t="s">
        <v>459</v>
      </c>
    </row>
    <row r="4629" spans="1:15" x14ac:dyDescent="0.3">
      <c r="A4629">
        <v>205226</v>
      </c>
      <c r="B4629">
        <v>105</v>
      </c>
      <c r="C4629" t="s">
        <v>557</v>
      </c>
      <c r="D4629" t="s">
        <v>2581</v>
      </c>
      <c r="E4629" t="s">
        <v>3604</v>
      </c>
      <c r="F4629" s="451">
        <v>46045</v>
      </c>
      <c r="G4629">
        <v>24037</v>
      </c>
      <c r="H4629" t="s">
        <v>5233</v>
      </c>
      <c r="I4629" t="s">
        <v>5191</v>
      </c>
      <c r="J4629">
        <v>3</v>
      </c>
      <c r="K4629" t="s">
        <v>4744</v>
      </c>
      <c r="L4629">
        <v>61.5</v>
      </c>
      <c r="M4629">
        <v>20.5</v>
      </c>
      <c r="N4629" t="s">
        <v>5272</v>
      </c>
      <c r="O4629" t="s">
        <v>459</v>
      </c>
    </row>
    <row r="4630" spans="1:15" x14ac:dyDescent="0.3">
      <c r="A4630">
        <v>205226</v>
      </c>
      <c r="B4630">
        <v>105</v>
      </c>
      <c r="C4630" t="s">
        <v>557</v>
      </c>
      <c r="D4630" t="s">
        <v>2581</v>
      </c>
      <c r="E4630" t="s">
        <v>3604</v>
      </c>
      <c r="F4630" s="451">
        <v>46045</v>
      </c>
      <c r="G4630">
        <v>23095</v>
      </c>
      <c r="H4630" t="s">
        <v>4741</v>
      </c>
      <c r="I4630" t="s">
        <v>5191</v>
      </c>
      <c r="J4630">
        <v>40</v>
      </c>
      <c r="K4630" t="s">
        <v>4736</v>
      </c>
      <c r="L4630">
        <v>37.200000000000003</v>
      </c>
      <c r="M4630">
        <v>0.93</v>
      </c>
      <c r="N4630" t="s">
        <v>5272</v>
      </c>
      <c r="O4630" t="s">
        <v>459</v>
      </c>
    </row>
    <row r="4631" spans="1:15" x14ac:dyDescent="0.3">
      <c r="A4631">
        <v>205225</v>
      </c>
      <c r="B4631">
        <v>105</v>
      </c>
      <c r="C4631" t="s">
        <v>557</v>
      </c>
      <c r="D4631" t="s">
        <v>2581</v>
      </c>
      <c r="E4631" t="s">
        <v>3605</v>
      </c>
      <c r="F4631" s="451">
        <v>46048</v>
      </c>
      <c r="G4631">
        <v>19634</v>
      </c>
      <c r="H4631" t="s">
        <v>4792</v>
      </c>
      <c r="I4631" t="s">
        <v>5191</v>
      </c>
      <c r="J4631">
        <v>5</v>
      </c>
      <c r="K4631" t="s">
        <v>4744</v>
      </c>
      <c r="L4631">
        <v>37.5</v>
      </c>
      <c r="M4631">
        <v>7.5</v>
      </c>
      <c r="N4631" t="s">
        <v>5272</v>
      </c>
      <c r="O4631" t="s">
        <v>459</v>
      </c>
    </row>
    <row r="4632" spans="1:15" x14ac:dyDescent="0.3">
      <c r="A4632">
        <v>205225</v>
      </c>
      <c r="B4632">
        <v>105</v>
      </c>
      <c r="C4632" t="s">
        <v>557</v>
      </c>
      <c r="D4632" t="s">
        <v>2581</v>
      </c>
      <c r="E4632" t="s">
        <v>3605</v>
      </c>
      <c r="F4632" s="451">
        <v>46048</v>
      </c>
      <c r="G4632">
        <v>19787</v>
      </c>
      <c r="H4632" t="s">
        <v>4793</v>
      </c>
      <c r="I4632" t="s">
        <v>5191</v>
      </c>
      <c r="J4632">
        <v>8</v>
      </c>
      <c r="K4632" t="s">
        <v>4744</v>
      </c>
      <c r="L4632">
        <v>39.200000000000003</v>
      </c>
      <c r="M4632">
        <v>4.9000000000000004</v>
      </c>
      <c r="N4632" t="s">
        <v>5272</v>
      </c>
      <c r="O4632" t="s">
        <v>459</v>
      </c>
    </row>
    <row r="4633" spans="1:15" x14ac:dyDescent="0.3">
      <c r="A4633">
        <v>205225</v>
      </c>
      <c r="B4633">
        <v>105</v>
      </c>
      <c r="C4633" t="s">
        <v>557</v>
      </c>
      <c r="D4633" t="s">
        <v>2581</v>
      </c>
      <c r="E4633" t="s">
        <v>3605</v>
      </c>
      <c r="F4633" s="451">
        <v>46048</v>
      </c>
      <c r="G4633">
        <v>19505</v>
      </c>
      <c r="H4633" t="s">
        <v>4872</v>
      </c>
      <c r="I4633" t="s">
        <v>5191</v>
      </c>
      <c r="J4633">
        <v>2.5</v>
      </c>
      <c r="K4633" t="s">
        <v>4744</v>
      </c>
      <c r="L4633">
        <v>32</v>
      </c>
      <c r="M4633">
        <v>12.8</v>
      </c>
      <c r="N4633" t="s">
        <v>5272</v>
      </c>
      <c r="O4633" t="s">
        <v>459</v>
      </c>
    </row>
    <row r="4634" spans="1:15" x14ac:dyDescent="0.3">
      <c r="A4634">
        <v>205225</v>
      </c>
      <c r="B4634">
        <v>105</v>
      </c>
      <c r="C4634" t="s">
        <v>557</v>
      </c>
      <c r="D4634" t="s">
        <v>2581</v>
      </c>
      <c r="E4634" t="s">
        <v>3605</v>
      </c>
      <c r="F4634" s="451">
        <v>46048</v>
      </c>
      <c r="G4634">
        <v>19589</v>
      </c>
      <c r="H4634" t="s">
        <v>4983</v>
      </c>
      <c r="I4634" t="s">
        <v>5191</v>
      </c>
      <c r="J4634">
        <v>3.5</v>
      </c>
      <c r="K4634" t="s">
        <v>4744</v>
      </c>
      <c r="L4634">
        <v>26.25</v>
      </c>
      <c r="M4634">
        <v>7.5</v>
      </c>
      <c r="N4634" t="s">
        <v>5272</v>
      </c>
      <c r="O4634" t="s">
        <v>459</v>
      </c>
    </row>
    <row r="4635" spans="1:15" x14ac:dyDescent="0.3">
      <c r="A4635">
        <v>205225</v>
      </c>
      <c r="B4635">
        <v>105</v>
      </c>
      <c r="C4635" t="s">
        <v>557</v>
      </c>
      <c r="D4635" t="s">
        <v>2581</v>
      </c>
      <c r="E4635" t="s">
        <v>3605</v>
      </c>
      <c r="F4635" s="451">
        <v>46048</v>
      </c>
      <c r="G4635">
        <v>19737</v>
      </c>
      <c r="H4635" t="s">
        <v>4940</v>
      </c>
      <c r="I4635" t="s">
        <v>5191</v>
      </c>
      <c r="J4635">
        <v>1</v>
      </c>
      <c r="K4635" t="s">
        <v>4744</v>
      </c>
      <c r="L4635">
        <v>5.3</v>
      </c>
      <c r="M4635">
        <v>5.3</v>
      </c>
      <c r="N4635" t="s">
        <v>5272</v>
      </c>
      <c r="O4635" t="s">
        <v>459</v>
      </c>
    </row>
    <row r="4636" spans="1:15" x14ac:dyDescent="0.3">
      <c r="A4636">
        <v>205225</v>
      </c>
      <c r="B4636">
        <v>105</v>
      </c>
      <c r="C4636" t="s">
        <v>557</v>
      </c>
      <c r="D4636" t="s">
        <v>2581</v>
      </c>
      <c r="E4636" t="s">
        <v>3605</v>
      </c>
      <c r="F4636" s="451">
        <v>46048</v>
      </c>
      <c r="G4636">
        <v>19552</v>
      </c>
      <c r="H4636" t="s">
        <v>4860</v>
      </c>
      <c r="I4636" t="s">
        <v>5191</v>
      </c>
      <c r="J4636">
        <v>1</v>
      </c>
      <c r="K4636" t="s">
        <v>4744</v>
      </c>
      <c r="L4636">
        <v>3.8</v>
      </c>
      <c r="M4636">
        <v>3.8</v>
      </c>
      <c r="N4636" t="s">
        <v>5272</v>
      </c>
      <c r="O4636" t="s">
        <v>459</v>
      </c>
    </row>
    <row r="4637" spans="1:15" x14ac:dyDescent="0.3">
      <c r="A4637">
        <v>205225</v>
      </c>
      <c r="B4637">
        <v>105</v>
      </c>
      <c r="C4637" t="s">
        <v>557</v>
      </c>
      <c r="D4637" t="s">
        <v>2581</v>
      </c>
      <c r="E4637" t="s">
        <v>3605</v>
      </c>
      <c r="F4637" s="451">
        <v>46048</v>
      </c>
      <c r="G4637">
        <v>24509</v>
      </c>
      <c r="H4637" t="s">
        <v>4788</v>
      </c>
      <c r="I4637" t="s">
        <v>5191</v>
      </c>
      <c r="J4637">
        <v>8</v>
      </c>
      <c r="K4637" t="s">
        <v>4744</v>
      </c>
      <c r="L4637">
        <v>14.4</v>
      </c>
      <c r="M4637">
        <v>1.8</v>
      </c>
      <c r="N4637" t="s">
        <v>5272</v>
      </c>
      <c r="O4637" t="s">
        <v>459</v>
      </c>
    </row>
    <row r="4638" spans="1:15" x14ac:dyDescent="0.3">
      <c r="A4638">
        <v>205225</v>
      </c>
      <c r="B4638">
        <v>105</v>
      </c>
      <c r="C4638" t="s">
        <v>557</v>
      </c>
      <c r="D4638" t="s">
        <v>2581</v>
      </c>
      <c r="E4638" t="s">
        <v>3605</v>
      </c>
      <c r="F4638" s="451">
        <v>46048</v>
      </c>
      <c r="G4638">
        <v>19658</v>
      </c>
      <c r="H4638" t="s">
        <v>4784</v>
      </c>
      <c r="I4638" t="s">
        <v>5191</v>
      </c>
      <c r="J4638">
        <v>8</v>
      </c>
      <c r="K4638" t="s">
        <v>4744</v>
      </c>
      <c r="L4638">
        <v>22.4</v>
      </c>
      <c r="M4638">
        <v>2.8</v>
      </c>
      <c r="N4638" t="s">
        <v>5272</v>
      </c>
      <c r="O4638" t="s">
        <v>459</v>
      </c>
    </row>
    <row r="4639" spans="1:15" x14ac:dyDescent="0.3">
      <c r="A4639">
        <v>205225</v>
      </c>
      <c r="B4639">
        <v>105</v>
      </c>
      <c r="C4639" t="s">
        <v>557</v>
      </c>
      <c r="D4639" t="s">
        <v>2581</v>
      </c>
      <c r="E4639" t="s">
        <v>3605</v>
      </c>
      <c r="F4639" s="451">
        <v>46048</v>
      </c>
      <c r="G4639">
        <v>19553</v>
      </c>
      <c r="H4639" t="s">
        <v>4868</v>
      </c>
      <c r="I4639" t="s">
        <v>5191</v>
      </c>
      <c r="J4639">
        <v>1</v>
      </c>
      <c r="K4639" t="s">
        <v>4744</v>
      </c>
      <c r="L4639">
        <v>3</v>
      </c>
      <c r="M4639">
        <v>3</v>
      </c>
      <c r="N4639" t="s">
        <v>5272</v>
      </c>
      <c r="O4639" t="s">
        <v>459</v>
      </c>
    </row>
    <row r="4640" spans="1:15" x14ac:dyDescent="0.3">
      <c r="A4640">
        <v>205225</v>
      </c>
      <c r="B4640">
        <v>105</v>
      </c>
      <c r="C4640" t="s">
        <v>557</v>
      </c>
      <c r="D4640" t="s">
        <v>2581</v>
      </c>
      <c r="E4640" t="s">
        <v>3605</v>
      </c>
      <c r="F4640" s="451">
        <v>46048</v>
      </c>
      <c r="G4640">
        <v>19488</v>
      </c>
      <c r="H4640" t="s">
        <v>5107</v>
      </c>
      <c r="I4640" t="s">
        <v>5191</v>
      </c>
      <c r="J4640">
        <v>0.4</v>
      </c>
      <c r="K4640" t="s">
        <v>4744</v>
      </c>
      <c r="L4640">
        <v>4.8</v>
      </c>
      <c r="M4640">
        <v>12</v>
      </c>
      <c r="N4640" t="s">
        <v>5272</v>
      </c>
      <c r="O4640" t="s">
        <v>459</v>
      </c>
    </row>
    <row r="4641" spans="1:15" x14ac:dyDescent="0.3">
      <c r="A4641">
        <v>205225</v>
      </c>
      <c r="B4641">
        <v>105</v>
      </c>
      <c r="C4641" t="s">
        <v>557</v>
      </c>
      <c r="D4641" t="s">
        <v>2581</v>
      </c>
      <c r="E4641" t="s">
        <v>3605</v>
      </c>
      <c r="F4641" s="451">
        <v>46048</v>
      </c>
      <c r="G4641">
        <v>19492</v>
      </c>
      <c r="H4641" t="s">
        <v>4937</v>
      </c>
      <c r="I4641" t="s">
        <v>5191</v>
      </c>
      <c r="J4641">
        <v>2.5</v>
      </c>
      <c r="K4641" t="s">
        <v>4744</v>
      </c>
      <c r="L4641">
        <v>55</v>
      </c>
      <c r="M4641">
        <v>22</v>
      </c>
      <c r="N4641" t="s">
        <v>5272</v>
      </c>
      <c r="O4641" t="s">
        <v>459</v>
      </c>
    </row>
    <row r="4642" spans="1:15" x14ac:dyDescent="0.3">
      <c r="A4642">
        <v>205225</v>
      </c>
      <c r="B4642">
        <v>105</v>
      </c>
      <c r="C4642" t="s">
        <v>557</v>
      </c>
      <c r="D4642" t="s">
        <v>2581</v>
      </c>
      <c r="E4642" t="s">
        <v>3605</v>
      </c>
      <c r="F4642" s="451">
        <v>46048</v>
      </c>
      <c r="G4642">
        <v>19562</v>
      </c>
      <c r="H4642" t="s">
        <v>4939</v>
      </c>
      <c r="I4642" t="s">
        <v>5191</v>
      </c>
      <c r="J4642">
        <v>1</v>
      </c>
      <c r="K4642" t="s">
        <v>4744</v>
      </c>
      <c r="L4642">
        <v>9</v>
      </c>
      <c r="M4642">
        <v>9</v>
      </c>
      <c r="N4642" t="s">
        <v>5272</v>
      </c>
      <c r="O4642" t="s">
        <v>459</v>
      </c>
    </row>
    <row r="4643" spans="1:15" x14ac:dyDescent="0.3">
      <c r="A4643">
        <v>205225</v>
      </c>
      <c r="B4643">
        <v>105</v>
      </c>
      <c r="C4643" t="s">
        <v>557</v>
      </c>
      <c r="D4643" t="s">
        <v>2581</v>
      </c>
      <c r="E4643" t="s">
        <v>3605</v>
      </c>
      <c r="F4643" s="451">
        <v>46048</v>
      </c>
      <c r="G4643">
        <v>19647</v>
      </c>
      <c r="H4643" t="s">
        <v>5050</v>
      </c>
      <c r="I4643" t="s">
        <v>5191</v>
      </c>
      <c r="J4643">
        <v>1</v>
      </c>
      <c r="K4643" t="s">
        <v>4744</v>
      </c>
      <c r="L4643">
        <v>10</v>
      </c>
      <c r="M4643">
        <v>10</v>
      </c>
      <c r="N4643" t="s">
        <v>5272</v>
      </c>
      <c r="O4643" t="s">
        <v>459</v>
      </c>
    </row>
    <row r="4644" spans="1:15" x14ac:dyDescent="0.3">
      <c r="A4644">
        <v>205225</v>
      </c>
      <c r="B4644">
        <v>105</v>
      </c>
      <c r="C4644" t="s">
        <v>557</v>
      </c>
      <c r="D4644" t="s">
        <v>2581</v>
      </c>
      <c r="E4644" t="s">
        <v>3605</v>
      </c>
      <c r="F4644" s="451">
        <v>46048</v>
      </c>
      <c r="G4644">
        <v>19558</v>
      </c>
      <c r="H4644" t="s">
        <v>4994</v>
      </c>
      <c r="I4644" t="s">
        <v>5191</v>
      </c>
      <c r="J4644">
        <v>1</v>
      </c>
      <c r="K4644" t="s">
        <v>4744</v>
      </c>
      <c r="L4644">
        <v>18</v>
      </c>
      <c r="M4644">
        <v>18</v>
      </c>
      <c r="N4644" t="s">
        <v>5272</v>
      </c>
      <c r="O4644" t="s">
        <v>459</v>
      </c>
    </row>
    <row r="4645" spans="1:15" x14ac:dyDescent="0.3">
      <c r="A4645">
        <v>205225</v>
      </c>
      <c r="B4645">
        <v>105</v>
      </c>
      <c r="C4645" t="s">
        <v>557</v>
      </c>
      <c r="D4645" t="s">
        <v>2581</v>
      </c>
      <c r="E4645" t="s">
        <v>3605</v>
      </c>
      <c r="F4645" s="451">
        <v>46048</v>
      </c>
      <c r="G4645">
        <v>24489</v>
      </c>
      <c r="H4645" t="s">
        <v>5121</v>
      </c>
      <c r="I4645" t="s">
        <v>5191</v>
      </c>
      <c r="J4645">
        <v>1</v>
      </c>
      <c r="K4645" t="s">
        <v>4744</v>
      </c>
      <c r="L4645">
        <v>25</v>
      </c>
      <c r="M4645">
        <v>25</v>
      </c>
      <c r="N4645" t="s">
        <v>5272</v>
      </c>
      <c r="O4645" t="s">
        <v>459</v>
      </c>
    </row>
    <row r="4646" spans="1:15" x14ac:dyDescent="0.3">
      <c r="A4646">
        <v>205225</v>
      </c>
      <c r="B4646">
        <v>105</v>
      </c>
      <c r="C4646" t="s">
        <v>557</v>
      </c>
      <c r="D4646" t="s">
        <v>2581</v>
      </c>
      <c r="E4646" t="s">
        <v>3605</v>
      </c>
      <c r="F4646" s="451">
        <v>46048</v>
      </c>
      <c r="G4646">
        <v>23198</v>
      </c>
      <c r="H4646" t="s">
        <v>4962</v>
      </c>
      <c r="I4646" t="s">
        <v>5191</v>
      </c>
      <c r="J4646">
        <v>1</v>
      </c>
      <c r="K4646" t="s">
        <v>4744</v>
      </c>
      <c r="L4646">
        <v>9</v>
      </c>
      <c r="M4646">
        <v>9</v>
      </c>
      <c r="N4646" t="s">
        <v>5272</v>
      </c>
      <c r="O4646" t="s">
        <v>459</v>
      </c>
    </row>
    <row r="4647" spans="1:15" x14ac:dyDescent="0.3">
      <c r="A4647">
        <v>205225</v>
      </c>
      <c r="B4647">
        <v>105</v>
      </c>
      <c r="C4647" t="s">
        <v>557</v>
      </c>
      <c r="D4647" t="s">
        <v>2581</v>
      </c>
      <c r="E4647" t="s">
        <v>3605</v>
      </c>
      <c r="F4647" s="451">
        <v>46048</v>
      </c>
      <c r="G4647">
        <v>23228</v>
      </c>
      <c r="H4647" t="s">
        <v>4782</v>
      </c>
      <c r="I4647" t="s">
        <v>5191</v>
      </c>
      <c r="J4647">
        <v>5</v>
      </c>
      <c r="K4647" t="s">
        <v>4744</v>
      </c>
      <c r="L4647">
        <v>34.5</v>
      </c>
      <c r="M4647">
        <v>6.9</v>
      </c>
      <c r="N4647" t="s">
        <v>5272</v>
      </c>
      <c r="O4647" t="s">
        <v>459</v>
      </c>
    </row>
    <row r="4648" spans="1:15" x14ac:dyDescent="0.3">
      <c r="A4648">
        <v>205225</v>
      </c>
      <c r="B4648">
        <v>105</v>
      </c>
      <c r="C4648" t="s">
        <v>557</v>
      </c>
      <c r="D4648" t="s">
        <v>2581</v>
      </c>
      <c r="E4648" t="s">
        <v>3605</v>
      </c>
      <c r="F4648" s="451">
        <v>46048</v>
      </c>
      <c r="G4648">
        <v>23236</v>
      </c>
      <c r="H4648" t="s">
        <v>5062</v>
      </c>
      <c r="I4648" t="s">
        <v>5191</v>
      </c>
      <c r="J4648">
        <v>3.5</v>
      </c>
      <c r="K4648" t="s">
        <v>4744</v>
      </c>
      <c r="L4648">
        <v>17.5</v>
      </c>
      <c r="M4648">
        <v>5</v>
      </c>
      <c r="N4648" t="s">
        <v>5272</v>
      </c>
      <c r="O4648" t="s">
        <v>459</v>
      </c>
    </row>
    <row r="4649" spans="1:15" x14ac:dyDescent="0.3">
      <c r="A4649">
        <v>205225</v>
      </c>
      <c r="B4649">
        <v>105</v>
      </c>
      <c r="C4649" t="s">
        <v>557</v>
      </c>
      <c r="D4649" t="s">
        <v>2581</v>
      </c>
      <c r="E4649" t="s">
        <v>3605</v>
      </c>
      <c r="F4649" s="451">
        <v>46048</v>
      </c>
      <c r="G4649">
        <v>23389</v>
      </c>
      <c r="H4649" t="s">
        <v>4960</v>
      </c>
      <c r="I4649" t="s">
        <v>5191</v>
      </c>
      <c r="J4649">
        <v>3</v>
      </c>
      <c r="K4649" t="s">
        <v>4744</v>
      </c>
      <c r="L4649">
        <v>15.9</v>
      </c>
      <c r="M4649">
        <v>5.3</v>
      </c>
      <c r="N4649" t="s">
        <v>5272</v>
      </c>
      <c r="O4649" t="s">
        <v>459</v>
      </c>
    </row>
    <row r="4650" spans="1:15" x14ac:dyDescent="0.3">
      <c r="A4650">
        <v>205225</v>
      </c>
      <c r="B4650">
        <v>105</v>
      </c>
      <c r="C4650" t="s">
        <v>557</v>
      </c>
      <c r="D4650" t="s">
        <v>2581</v>
      </c>
      <c r="E4650" t="s">
        <v>3605</v>
      </c>
      <c r="F4650" s="451">
        <v>46048</v>
      </c>
      <c r="G4650">
        <v>24037</v>
      </c>
      <c r="H4650" t="s">
        <v>5233</v>
      </c>
      <c r="I4650" t="s">
        <v>5191</v>
      </c>
      <c r="J4650">
        <v>2</v>
      </c>
      <c r="K4650" t="s">
        <v>4744</v>
      </c>
      <c r="L4650">
        <v>41</v>
      </c>
      <c r="M4650">
        <v>20.5</v>
      </c>
      <c r="N4650" t="s">
        <v>5272</v>
      </c>
      <c r="O4650" t="s">
        <v>459</v>
      </c>
    </row>
    <row r="4651" spans="1:15" x14ac:dyDescent="0.3">
      <c r="A4651">
        <v>205224</v>
      </c>
      <c r="B4651">
        <v>105</v>
      </c>
      <c r="C4651" t="s">
        <v>557</v>
      </c>
      <c r="D4651" t="s">
        <v>2581</v>
      </c>
      <c r="E4651" t="s">
        <v>3606</v>
      </c>
      <c r="F4651" s="451">
        <v>46049</v>
      </c>
      <c r="G4651">
        <v>19634</v>
      </c>
      <c r="H4651" t="s">
        <v>4792</v>
      </c>
      <c r="I4651" t="s">
        <v>5191</v>
      </c>
      <c r="J4651">
        <v>5</v>
      </c>
      <c r="K4651" t="s">
        <v>4744</v>
      </c>
      <c r="L4651">
        <v>37.5</v>
      </c>
      <c r="M4651">
        <v>7.5</v>
      </c>
      <c r="N4651" t="s">
        <v>5272</v>
      </c>
      <c r="O4651" t="s">
        <v>459</v>
      </c>
    </row>
    <row r="4652" spans="1:15" x14ac:dyDescent="0.3">
      <c r="A4652">
        <v>205224</v>
      </c>
      <c r="B4652">
        <v>105</v>
      </c>
      <c r="C4652" t="s">
        <v>557</v>
      </c>
      <c r="D4652" t="s">
        <v>2581</v>
      </c>
      <c r="E4652" t="s">
        <v>3606</v>
      </c>
      <c r="F4652" s="451">
        <v>46049</v>
      </c>
      <c r="G4652">
        <v>19621</v>
      </c>
      <c r="H4652" t="s">
        <v>4829</v>
      </c>
      <c r="I4652" t="s">
        <v>5191</v>
      </c>
      <c r="J4652">
        <v>3</v>
      </c>
      <c r="K4652" t="s">
        <v>4744</v>
      </c>
      <c r="L4652">
        <v>8.1</v>
      </c>
      <c r="M4652">
        <v>2.7</v>
      </c>
      <c r="N4652" t="s">
        <v>5272</v>
      </c>
      <c r="O4652" t="s">
        <v>459</v>
      </c>
    </row>
    <row r="4653" spans="1:15" x14ac:dyDescent="0.3">
      <c r="A4653">
        <v>205224</v>
      </c>
      <c r="B4653">
        <v>105</v>
      </c>
      <c r="C4653" t="s">
        <v>557</v>
      </c>
      <c r="D4653" t="s">
        <v>2581</v>
      </c>
      <c r="E4653" t="s">
        <v>3606</v>
      </c>
      <c r="F4653" s="451">
        <v>46049</v>
      </c>
      <c r="G4653">
        <v>19505</v>
      </c>
      <c r="H4653" t="s">
        <v>4872</v>
      </c>
      <c r="I4653" t="s">
        <v>5191</v>
      </c>
      <c r="J4653">
        <v>4</v>
      </c>
      <c r="K4653" t="s">
        <v>4744</v>
      </c>
      <c r="L4653">
        <v>51.2</v>
      </c>
      <c r="M4653">
        <v>12.8</v>
      </c>
      <c r="N4653" t="s">
        <v>5272</v>
      </c>
      <c r="O4653" t="s">
        <v>459</v>
      </c>
    </row>
    <row r="4654" spans="1:15" x14ac:dyDescent="0.3">
      <c r="A4654">
        <v>205224</v>
      </c>
      <c r="B4654">
        <v>105</v>
      </c>
      <c r="C4654" t="s">
        <v>557</v>
      </c>
      <c r="D4654" t="s">
        <v>2581</v>
      </c>
      <c r="E4654" t="s">
        <v>3606</v>
      </c>
      <c r="F4654" s="451">
        <v>46049</v>
      </c>
      <c r="G4654">
        <v>23195</v>
      </c>
      <c r="H4654" t="s">
        <v>5051</v>
      </c>
      <c r="I4654" t="s">
        <v>5191</v>
      </c>
      <c r="J4654">
        <v>0.9</v>
      </c>
      <c r="K4654" t="s">
        <v>4744</v>
      </c>
      <c r="L4654">
        <v>12.15</v>
      </c>
      <c r="M4654">
        <v>13.5</v>
      </c>
      <c r="N4654" t="s">
        <v>5272</v>
      </c>
      <c r="O4654" t="s">
        <v>459</v>
      </c>
    </row>
    <row r="4655" spans="1:15" x14ac:dyDescent="0.3">
      <c r="A4655">
        <v>205223</v>
      </c>
      <c r="B4655">
        <v>105</v>
      </c>
      <c r="C4655" t="s">
        <v>557</v>
      </c>
      <c r="D4655" t="s">
        <v>2581</v>
      </c>
      <c r="E4655" t="s">
        <v>3607</v>
      </c>
      <c r="F4655" s="451">
        <v>46050</v>
      </c>
      <c r="G4655">
        <v>19634</v>
      </c>
      <c r="H4655" t="s">
        <v>4792</v>
      </c>
      <c r="I4655" t="s">
        <v>5191</v>
      </c>
      <c r="J4655">
        <v>3.5</v>
      </c>
      <c r="K4655" t="s">
        <v>4744</v>
      </c>
      <c r="L4655">
        <v>26.25</v>
      </c>
      <c r="M4655">
        <v>7.5</v>
      </c>
      <c r="N4655" t="s">
        <v>5272</v>
      </c>
      <c r="O4655" t="s">
        <v>459</v>
      </c>
    </row>
    <row r="4656" spans="1:15" x14ac:dyDescent="0.3">
      <c r="A4656">
        <v>205223</v>
      </c>
      <c r="B4656">
        <v>105</v>
      </c>
      <c r="C4656" t="s">
        <v>557</v>
      </c>
      <c r="D4656" t="s">
        <v>2581</v>
      </c>
      <c r="E4656" t="s">
        <v>3607</v>
      </c>
      <c r="F4656" s="451">
        <v>46050</v>
      </c>
      <c r="G4656">
        <v>19787</v>
      </c>
      <c r="H4656" t="s">
        <v>4793</v>
      </c>
      <c r="I4656" t="s">
        <v>5191</v>
      </c>
      <c r="J4656">
        <v>10</v>
      </c>
      <c r="K4656" t="s">
        <v>4744</v>
      </c>
      <c r="L4656">
        <v>48</v>
      </c>
      <c r="M4656">
        <v>4.8</v>
      </c>
      <c r="N4656" t="s">
        <v>5272</v>
      </c>
      <c r="O4656" t="s">
        <v>459</v>
      </c>
    </row>
    <row r="4657" spans="1:15" x14ac:dyDescent="0.3">
      <c r="A4657">
        <v>205223</v>
      </c>
      <c r="B4657">
        <v>105</v>
      </c>
      <c r="C4657" t="s">
        <v>557</v>
      </c>
      <c r="D4657" t="s">
        <v>2581</v>
      </c>
      <c r="E4657" t="s">
        <v>3607</v>
      </c>
      <c r="F4657" s="451">
        <v>46050</v>
      </c>
      <c r="G4657">
        <v>19621</v>
      </c>
      <c r="H4657" t="s">
        <v>4829</v>
      </c>
      <c r="I4657" t="s">
        <v>5191</v>
      </c>
      <c r="J4657">
        <v>1.3</v>
      </c>
      <c r="K4657" t="s">
        <v>4744</v>
      </c>
      <c r="L4657">
        <v>3.25</v>
      </c>
      <c r="M4657">
        <v>2.5</v>
      </c>
      <c r="N4657" t="s">
        <v>5272</v>
      </c>
      <c r="O4657" t="s">
        <v>459</v>
      </c>
    </row>
    <row r="4658" spans="1:15" x14ac:dyDescent="0.3">
      <c r="A4658">
        <v>205223</v>
      </c>
      <c r="B4658">
        <v>105</v>
      </c>
      <c r="C4658" t="s">
        <v>557</v>
      </c>
      <c r="D4658" t="s">
        <v>2581</v>
      </c>
      <c r="E4658" t="s">
        <v>3607</v>
      </c>
      <c r="F4658" s="451">
        <v>46050</v>
      </c>
      <c r="G4658">
        <v>19506</v>
      </c>
      <c r="H4658" t="s">
        <v>5122</v>
      </c>
      <c r="I4658" t="s">
        <v>5191</v>
      </c>
      <c r="J4658">
        <v>0.3</v>
      </c>
      <c r="K4658" t="s">
        <v>4744</v>
      </c>
      <c r="L4658">
        <v>12</v>
      </c>
      <c r="M4658">
        <v>40</v>
      </c>
      <c r="N4658" t="s">
        <v>5272</v>
      </c>
      <c r="O4658" t="s">
        <v>459</v>
      </c>
    </row>
    <row r="4659" spans="1:15" x14ac:dyDescent="0.3">
      <c r="A4659">
        <v>205223</v>
      </c>
      <c r="B4659">
        <v>105</v>
      </c>
      <c r="C4659" t="s">
        <v>557</v>
      </c>
      <c r="D4659" t="s">
        <v>2581</v>
      </c>
      <c r="E4659" t="s">
        <v>3607</v>
      </c>
      <c r="F4659" s="451">
        <v>46050</v>
      </c>
      <c r="G4659">
        <v>19589</v>
      </c>
      <c r="H4659" t="s">
        <v>4983</v>
      </c>
      <c r="I4659" t="s">
        <v>5191</v>
      </c>
      <c r="J4659">
        <v>1.8</v>
      </c>
      <c r="K4659" t="s">
        <v>4744</v>
      </c>
      <c r="L4659">
        <v>11.88</v>
      </c>
      <c r="M4659">
        <v>6.6</v>
      </c>
      <c r="N4659" t="s">
        <v>5272</v>
      </c>
      <c r="O4659" t="s">
        <v>459</v>
      </c>
    </row>
    <row r="4660" spans="1:15" x14ac:dyDescent="0.3">
      <c r="A4660">
        <v>205223</v>
      </c>
      <c r="B4660">
        <v>105</v>
      </c>
      <c r="C4660" t="s">
        <v>557</v>
      </c>
      <c r="D4660" t="s">
        <v>2581</v>
      </c>
      <c r="E4660" t="s">
        <v>3607</v>
      </c>
      <c r="F4660" s="451">
        <v>46050</v>
      </c>
      <c r="G4660">
        <v>19555</v>
      </c>
      <c r="H4660" t="s">
        <v>4903</v>
      </c>
      <c r="I4660" t="s">
        <v>5191</v>
      </c>
      <c r="J4660">
        <v>0.8</v>
      </c>
      <c r="K4660" t="s">
        <v>4744</v>
      </c>
      <c r="L4660">
        <v>28</v>
      </c>
      <c r="M4660">
        <v>35</v>
      </c>
      <c r="N4660" t="s">
        <v>5272</v>
      </c>
      <c r="O4660" t="s">
        <v>459</v>
      </c>
    </row>
    <row r="4661" spans="1:15" x14ac:dyDescent="0.3">
      <c r="A4661">
        <v>205223</v>
      </c>
      <c r="B4661">
        <v>105</v>
      </c>
      <c r="C4661" t="s">
        <v>557</v>
      </c>
      <c r="D4661" t="s">
        <v>2581</v>
      </c>
      <c r="E4661" t="s">
        <v>3607</v>
      </c>
      <c r="F4661" s="451">
        <v>46050</v>
      </c>
      <c r="G4661">
        <v>19647</v>
      </c>
      <c r="H4661" t="s">
        <v>5050</v>
      </c>
      <c r="I4661" t="s">
        <v>5191</v>
      </c>
      <c r="J4661">
        <v>0.4</v>
      </c>
      <c r="K4661" t="s">
        <v>4744</v>
      </c>
      <c r="L4661">
        <v>3.96</v>
      </c>
      <c r="M4661">
        <v>9.9</v>
      </c>
      <c r="N4661" t="s">
        <v>5272</v>
      </c>
      <c r="O4661" t="s">
        <v>459</v>
      </c>
    </row>
    <row r="4662" spans="1:15" x14ac:dyDescent="0.3">
      <c r="A4662">
        <v>205223</v>
      </c>
      <c r="B4662">
        <v>105</v>
      </c>
      <c r="C4662" t="s">
        <v>557</v>
      </c>
      <c r="D4662" t="s">
        <v>2581</v>
      </c>
      <c r="E4662" t="s">
        <v>3607</v>
      </c>
      <c r="F4662" s="451">
        <v>46050</v>
      </c>
      <c r="G4662">
        <v>19740</v>
      </c>
      <c r="H4662" t="s">
        <v>4779</v>
      </c>
      <c r="I4662" t="s">
        <v>5191</v>
      </c>
      <c r="J4662">
        <v>10</v>
      </c>
      <c r="K4662" t="s">
        <v>4744</v>
      </c>
      <c r="L4662">
        <v>88</v>
      </c>
      <c r="M4662">
        <v>8.8000000000000007</v>
      </c>
      <c r="N4662" t="s">
        <v>5272</v>
      </c>
      <c r="O4662" t="s">
        <v>459</v>
      </c>
    </row>
    <row r="4663" spans="1:15" x14ac:dyDescent="0.3">
      <c r="A4663">
        <v>205223</v>
      </c>
      <c r="B4663">
        <v>105</v>
      </c>
      <c r="C4663" t="s">
        <v>557</v>
      </c>
      <c r="D4663" t="s">
        <v>2581</v>
      </c>
      <c r="E4663" t="s">
        <v>3607</v>
      </c>
      <c r="F4663" s="451">
        <v>46050</v>
      </c>
      <c r="G4663">
        <v>23113</v>
      </c>
      <c r="H4663" t="s">
        <v>5074</v>
      </c>
      <c r="I4663" t="s">
        <v>5191</v>
      </c>
      <c r="J4663">
        <v>0.5</v>
      </c>
      <c r="K4663" t="s">
        <v>4744</v>
      </c>
      <c r="L4663">
        <v>4.25</v>
      </c>
      <c r="M4663">
        <v>8.5</v>
      </c>
      <c r="N4663" t="s">
        <v>5272</v>
      </c>
      <c r="O4663" t="s">
        <v>459</v>
      </c>
    </row>
    <row r="4664" spans="1:15" x14ac:dyDescent="0.3">
      <c r="A4664">
        <v>205223</v>
      </c>
      <c r="B4664">
        <v>105</v>
      </c>
      <c r="C4664" t="s">
        <v>557</v>
      </c>
      <c r="D4664" t="s">
        <v>2581</v>
      </c>
      <c r="E4664" t="s">
        <v>3607</v>
      </c>
      <c r="F4664" s="451">
        <v>46050</v>
      </c>
      <c r="G4664">
        <v>23361</v>
      </c>
      <c r="H4664" t="s">
        <v>4754</v>
      </c>
      <c r="I4664" t="s">
        <v>5191</v>
      </c>
      <c r="J4664">
        <v>20</v>
      </c>
      <c r="K4664" t="s">
        <v>4744</v>
      </c>
      <c r="L4664">
        <v>62</v>
      </c>
      <c r="M4664">
        <v>3.1</v>
      </c>
      <c r="N4664" t="s">
        <v>5272</v>
      </c>
      <c r="O4664" t="s">
        <v>459</v>
      </c>
    </row>
    <row r="4665" spans="1:15" x14ac:dyDescent="0.3">
      <c r="A4665">
        <v>205223</v>
      </c>
      <c r="B4665">
        <v>105</v>
      </c>
      <c r="C4665" t="s">
        <v>557</v>
      </c>
      <c r="D4665" t="s">
        <v>2581</v>
      </c>
      <c r="E4665" t="s">
        <v>3607</v>
      </c>
      <c r="F4665" s="451">
        <v>46050</v>
      </c>
      <c r="G4665">
        <v>23095</v>
      </c>
      <c r="H4665" t="s">
        <v>4741</v>
      </c>
      <c r="I4665" t="s">
        <v>5191</v>
      </c>
      <c r="J4665">
        <v>40</v>
      </c>
      <c r="K4665" t="s">
        <v>4736</v>
      </c>
      <c r="L4665">
        <v>37.6</v>
      </c>
      <c r="M4665">
        <v>0.94</v>
      </c>
      <c r="N4665" t="s">
        <v>5272</v>
      </c>
      <c r="O4665" t="s">
        <v>459</v>
      </c>
    </row>
    <row r="4666" spans="1:15" x14ac:dyDescent="0.3">
      <c r="A4666">
        <v>205223</v>
      </c>
      <c r="B4666">
        <v>105</v>
      </c>
      <c r="C4666" t="s">
        <v>557</v>
      </c>
      <c r="D4666" t="s">
        <v>2581</v>
      </c>
      <c r="E4666" t="s">
        <v>3607</v>
      </c>
      <c r="F4666" s="451">
        <v>46050</v>
      </c>
      <c r="G4666">
        <v>19632</v>
      </c>
      <c r="H4666" t="s">
        <v>4936</v>
      </c>
      <c r="I4666" t="s">
        <v>5191</v>
      </c>
      <c r="J4666">
        <v>1.5</v>
      </c>
      <c r="K4666" t="s">
        <v>4744</v>
      </c>
      <c r="L4666">
        <v>3.75</v>
      </c>
      <c r="M4666">
        <v>2.5</v>
      </c>
      <c r="N4666" t="s">
        <v>5272</v>
      </c>
      <c r="O4666" t="s">
        <v>459</v>
      </c>
    </row>
    <row r="4667" spans="1:15" x14ac:dyDescent="0.3">
      <c r="A4667">
        <v>205223</v>
      </c>
      <c r="B4667">
        <v>105</v>
      </c>
      <c r="C4667" t="s">
        <v>557</v>
      </c>
      <c r="D4667" t="s">
        <v>2581</v>
      </c>
      <c r="E4667" t="s">
        <v>3607</v>
      </c>
      <c r="F4667" s="451">
        <v>46050</v>
      </c>
      <c r="G4667">
        <v>24037</v>
      </c>
      <c r="H4667" t="s">
        <v>5233</v>
      </c>
      <c r="I4667" t="s">
        <v>5191</v>
      </c>
      <c r="J4667">
        <v>1</v>
      </c>
      <c r="K4667" t="s">
        <v>4744</v>
      </c>
      <c r="L4667">
        <v>20.5</v>
      </c>
      <c r="M4667">
        <v>20.5</v>
      </c>
      <c r="N4667" t="s">
        <v>5272</v>
      </c>
      <c r="O4667" t="s">
        <v>459</v>
      </c>
    </row>
    <row r="4668" spans="1:15" x14ac:dyDescent="0.3">
      <c r="A4668">
        <v>205223</v>
      </c>
      <c r="B4668">
        <v>105</v>
      </c>
      <c r="C4668" t="s">
        <v>557</v>
      </c>
      <c r="D4668" t="s">
        <v>2581</v>
      </c>
      <c r="E4668" t="s">
        <v>3607</v>
      </c>
      <c r="F4668" s="451">
        <v>46050</v>
      </c>
      <c r="G4668">
        <v>19472</v>
      </c>
      <c r="H4668" t="s">
        <v>4906</v>
      </c>
      <c r="I4668" t="s">
        <v>5191</v>
      </c>
      <c r="J4668">
        <v>1.2</v>
      </c>
      <c r="K4668" t="s">
        <v>4744</v>
      </c>
      <c r="L4668">
        <v>32.4</v>
      </c>
      <c r="M4668">
        <v>27</v>
      </c>
      <c r="N4668" t="s">
        <v>5272</v>
      </c>
      <c r="O4668" t="s">
        <v>459</v>
      </c>
    </row>
    <row r="4669" spans="1:15" x14ac:dyDescent="0.3">
      <c r="A4669">
        <v>205222</v>
      </c>
      <c r="B4669">
        <v>105</v>
      </c>
      <c r="C4669" t="s">
        <v>557</v>
      </c>
      <c r="D4669" t="s">
        <v>2581</v>
      </c>
      <c r="E4669" t="s">
        <v>3608</v>
      </c>
      <c r="F4669" s="451">
        <v>46051</v>
      </c>
      <c r="G4669">
        <v>19787</v>
      </c>
      <c r="H4669" t="s">
        <v>4793</v>
      </c>
      <c r="I4669" t="s">
        <v>5191</v>
      </c>
      <c r="J4669">
        <v>8</v>
      </c>
      <c r="K4669" t="s">
        <v>4744</v>
      </c>
      <c r="L4669">
        <v>38.4</v>
      </c>
      <c r="M4669">
        <v>4.8</v>
      </c>
      <c r="N4669" t="s">
        <v>5272</v>
      </c>
      <c r="O4669" t="s">
        <v>459</v>
      </c>
    </row>
    <row r="4670" spans="1:15" x14ac:dyDescent="0.3">
      <c r="A4670">
        <v>205222</v>
      </c>
      <c r="B4670">
        <v>105</v>
      </c>
      <c r="C4670" t="s">
        <v>557</v>
      </c>
      <c r="D4670" t="s">
        <v>2581</v>
      </c>
      <c r="E4670" t="s">
        <v>3608</v>
      </c>
      <c r="F4670" s="451">
        <v>46051</v>
      </c>
      <c r="G4670">
        <v>19634</v>
      </c>
      <c r="H4670" t="s">
        <v>4792</v>
      </c>
      <c r="I4670" t="s">
        <v>5191</v>
      </c>
      <c r="J4670">
        <v>4</v>
      </c>
      <c r="K4670" t="s">
        <v>4744</v>
      </c>
      <c r="L4670">
        <v>28</v>
      </c>
      <c r="M4670">
        <v>7</v>
      </c>
      <c r="N4670" t="s">
        <v>5272</v>
      </c>
      <c r="O4670" t="s">
        <v>459</v>
      </c>
    </row>
    <row r="4671" spans="1:15" x14ac:dyDescent="0.3">
      <c r="A4671">
        <v>205222</v>
      </c>
      <c r="B4671">
        <v>105</v>
      </c>
      <c r="C4671" t="s">
        <v>557</v>
      </c>
      <c r="D4671" t="s">
        <v>2581</v>
      </c>
      <c r="E4671" t="s">
        <v>3608</v>
      </c>
      <c r="F4671" s="451">
        <v>46051</v>
      </c>
      <c r="G4671">
        <v>19621</v>
      </c>
      <c r="H4671" t="s">
        <v>4829</v>
      </c>
      <c r="I4671" t="s">
        <v>5191</v>
      </c>
      <c r="J4671">
        <v>2.6</v>
      </c>
      <c r="K4671" t="s">
        <v>4744</v>
      </c>
      <c r="L4671">
        <v>6.5</v>
      </c>
      <c r="M4671">
        <v>2.5</v>
      </c>
      <c r="N4671" t="s">
        <v>5272</v>
      </c>
      <c r="O4671" t="s">
        <v>459</v>
      </c>
    </row>
    <row r="4672" spans="1:15" x14ac:dyDescent="0.3">
      <c r="A4672">
        <v>205222</v>
      </c>
      <c r="B4672">
        <v>105</v>
      </c>
      <c r="C4672" t="s">
        <v>557</v>
      </c>
      <c r="D4672" t="s">
        <v>2581</v>
      </c>
      <c r="E4672" t="s">
        <v>3608</v>
      </c>
      <c r="F4672" s="451">
        <v>46051</v>
      </c>
      <c r="G4672">
        <v>19505</v>
      </c>
      <c r="H4672" t="s">
        <v>4872</v>
      </c>
      <c r="I4672" t="s">
        <v>5191</v>
      </c>
      <c r="J4672">
        <v>6.5</v>
      </c>
      <c r="K4672" t="s">
        <v>4744</v>
      </c>
      <c r="L4672">
        <v>81.25</v>
      </c>
      <c r="M4672">
        <v>12.5</v>
      </c>
      <c r="N4672" t="s">
        <v>5272</v>
      </c>
      <c r="O4672" t="s">
        <v>459</v>
      </c>
    </row>
    <row r="4673" spans="1:15" x14ac:dyDescent="0.3">
      <c r="A4673">
        <v>205222</v>
      </c>
      <c r="B4673">
        <v>105</v>
      </c>
      <c r="C4673" t="s">
        <v>557</v>
      </c>
      <c r="D4673" t="s">
        <v>2581</v>
      </c>
      <c r="E4673" t="s">
        <v>3608</v>
      </c>
      <c r="F4673" s="451">
        <v>46051</v>
      </c>
      <c r="G4673">
        <v>19623</v>
      </c>
      <c r="H4673" t="s">
        <v>4764</v>
      </c>
      <c r="I4673" t="s">
        <v>5191</v>
      </c>
      <c r="J4673">
        <v>10</v>
      </c>
      <c r="K4673" t="s">
        <v>4744</v>
      </c>
      <c r="L4673">
        <v>38</v>
      </c>
      <c r="M4673">
        <v>3.8</v>
      </c>
      <c r="N4673" t="s">
        <v>5272</v>
      </c>
      <c r="O4673" t="s">
        <v>459</v>
      </c>
    </row>
    <row r="4674" spans="1:15" x14ac:dyDescent="0.3">
      <c r="A4674">
        <v>205222</v>
      </c>
      <c r="B4674">
        <v>105</v>
      </c>
      <c r="C4674" t="s">
        <v>557</v>
      </c>
      <c r="D4674" t="s">
        <v>2581</v>
      </c>
      <c r="E4674" t="s">
        <v>3608</v>
      </c>
      <c r="F4674" s="451">
        <v>46051</v>
      </c>
      <c r="G4674">
        <v>19589</v>
      </c>
      <c r="H4674" t="s">
        <v>4983</v>
      </c>
      <c r="I4674" t="s">
        <v>5191</v>
      </c>
      <c r="J4674">
        <v>2</v>
      </c>
      <c r="K4674" t="s">
        <v>4744</v>
      </c>
      <c r="L4674">
        <v>12</v>
      </c>
      <c r="M4674">
        <v>6</v>
      </c>
      <c r="N4674" t="s">
        <v>5272</v>
      </c>
      <c r="O4674" t="s">
        <v>459</v>
      </c>
    </row>
    <row r="4675" spans="1:15" x14ac:dyDescent="0.3">
      <c r="A4675">
        <v>205222</v>
      </c>
      <c r="B4675">
        <v>105</v>
      </c>
      <c r="C4675" t="s">
        <v>557</v>
      </c>
      <c r="D4675" t="s">
        <v>2581</v>
      </c>
      <c r="E4675" t="s">
        <v>3608</v>
      </c>
      <c r="F4675" s="451">
        <v>46051</v>
      </c>
      <c r="G4675">
        <v>24509</v>
      </c>
      <c r="H4675" t="s">
        <v>4788</v>
      </c>
      <c r="I4675" t="s">
        <v>5191</v>
      </c>
      <c r="J4675">
        <v>10</v>
      </c>
      <c r="K4675" t="s">
        <v>4744</v>
      </c>
      <c r="L4675">
        <v>18</v>
      </c>
      <c r="M4675">
        <v>1.8</v>
      </c>
      <c r="N4675" t="s">
        <v>5272</v>
      </c>
      <c r="O4675" t="s">
        <v>459</v>
      </c>
    </row>
    <row r="4676" spans="1:15" x14ac:dyDescent="0.3">
      <c r="A4676">
        <v>205222</v>
      </c>
      <c r="B4676">
        <v>105</v>
      </c>
      <c r="C4676" t="s">
        <v>557</v>
      </c>
      <c r="D4676" t="s">
        <v>2581</v>
      </c>
      <c r="E4676" t="s">
        <v>3608</v>
      </c>
      <c r="F4676" s="451">
        <v>46051</v>
      </c>
      <c r="G4676">
        <v>19658</v>
      </c>
      <c r="H4676" t="s">
        <v>4784</v>
      </c>
      <c r="I4676" t="s">
        <v>5191</v>
      </c>
      <c r="J4676">
        <v>3</v>
      </c>
      <c r="K4676" t="s">
        <v>4744</v>
      </c>
      <c r="L4676">
        <v>8.4</v>
      </c>
      <c r="M4676">
        <v>2.8</v>
      </c>
      <c r="N4676" t="s">
        <v>5272</v>
      </c>
      <c r="O4676" t="s">
        <v>459</v>
      </c>
    </row>
    <row r="4677" spans="1:15" x14ac:dyDescent="0.3">
      <c r="A4677">
        <v>205222</v>
      </c>
      <c r="B4677">
        <v>105</v>
      </c>
      <c r="C4677" t="s">
        <v>557</v>
      </c>
      <c r="D4677" t="s">
        <v>2581</v>
      </c>
      <c r="E4677" t="s">
        <v>3608</v>
      </c>
      <c r="F4677" s="451">
        <v>46051</v>
      </c>
      <c r="G4677">
        <v>19476</v>
      </c>
      <c r="H4677" t="s">
        <v>5115</v>
      </c>
      <c r="I4677" t="s">
        <v>5191</v>
      </c>
      <c r="J4677">
        <v>0.4</v>
      </c>
      <c r="K4677" t="s">
        <v>4744</v>
      </c>
      <c r="L4677">
        <v>25.2</v>
      </c>
      <c r="M4677">
        <v>63</v>
      </c>
      <c r="N4677" t="s">
        <v>5272</v>
      </c>
      <c r="O4677" t="s">
        <v>459</v>
      </c>
    </row>
    <row r="4678" spans="1:15" x14ac:dyDescent="0.3">
      <c r="A4678">
        <v>205222</v>
      </c>
      <c r="B4678">
        <v>105</v>
      </c>
      <c r="C4678" t="s">
        <v>557</v>
      </c>
      <c r="D4678" t="s">
        <v>2581</v>
      </c>
      <c r="E4678" t="s">
        <v>3608</v>
      </c>
      <c r="F4678" s="451">
        <v>46051</v>
      </c>
      <c r="G4678">
        <v>19480</v>
      </c>
      <c r="H4678" t="s">
        <v>5119</v>
      </c>
      <c r="I4678" t="s">
        <v>5191</v>
      </c>
      <c r="J4678">
        <v>0.4</v>
      </c>
      <c r="K4678" t="s">
        <v>4744</v>
      </c>
      <c r="L4678">
        <v>5.6</v>
      </c>
      <c r="M4678">
        <v>14</v>
      </c>
      <c r="N4678" t="s">
        <v>5272</v>
      </c>
      <c r="O4678" t="s">
        <v>459</v>
      </c>
    </row>
    <row r="4679" spans="1:15" x14ac:dyDescent="0.3">
      <c r="A4679">
        <v>205222</v>
      </c>
      <c r="B4679">
        <v>105</v>
      </c>
      <c r="C4679" t="s">
        <v>557</v>
      </c>
      <c r="D4679" t="s">
        <v>2581</v>
      </c>
      <c r="E4679" t="s">
        <v>3608</v>
      </c>
      <c r="F4679" s="451">
        <v>46051</v>
      </c>
      <c r="G4679">
        <v>19507</v>
      </c>
      <c r="H4679" t="s">
        <v>4853</v>
      </c>
      <c r="I4679" t="s">
        <v>5191</v>
      </c>
      <c r="J4679">
        <v>1.6</v>
      </c>
      <c r="K4679" t="s">
        <v>4744</v>
      </c>
      <c r="L4679">
        <v>19.2</v>
      </c>
      <c r="M4679">
        <v>12</v>
      </c>
      <c r="N4679" t="s">
        <v>5272</v>
      </c>
      <c r="O4679" t="s">
        <v>459</v>
      </c>
    </row>
    <row r="4680" spans="1:15" x14ac:dyDescent="0.3">
      <c r="A4680">
        <v>205222</v>
      </c>
      <c r="B4680">
        <v>105</v>
      </c>
      <c r="C4680" t="s">
        <v>557</v>
      </c>
      <c r="D4680" t="s">
        <v>2581</v>
      </c>
      <c r="E4680" t="s">
        <v>3608</v>
      </c>
      <c r="F4680" s="451">
        <v>46051</v>
      </c>
      <c r="G4680">
        <v>19728</v>
      </c>
      <c r="H4680" t="s">
        <v>5106</v>
      </c>
      <c r="I4680" t="s">
        <v>5191</v>
      </c>
      <c r="J4680">
        <v>1.5</v>
      </c>
      <c r="K4680" t="s">
        <v>4744</v>
      </c>
      <c r="L4680">
        <v>25.5</v>
      </c>
      <c r="M4680">
        <v>17</v>
      </c>
      <c r="N4680" t="s">
        <v>5272</v>
      </c>
      <c r="O4680" t="s">
        <v>459</v>
      </c>
    </row>
    <row r="4681" spans="1:15" x14ac:dyDescent="0.3">
      <c r="A4681">
        <v>205222</v>
      </c>
      <c r="B4681">
        <v>105</v>
      </c>
      <c r="C4681" t="s">
        <v>557</v>
      </c>
      <c r="D4681" t="s">
        <v>2581</v>
      </c>
      <c r="E4681" t="s">
        <v>3608</v>
      </c>
      <c r="F4681" s="451">
        <v>46051</v>
      </c>
      <c r="G4681">
        <v>19740</v>
      </c>
      <c r="H4681" t="s">
        <v>4779</v>
      </c>
      <c r="I4681" t="s">
        <v>5191</v>
      </c>
      <c r="J4681">
        <v>3</v>
      </c>
      <c r="K4681" t="s">
        <v>4744</v>
      </c>
      <c r="L4681">
        <v>25.5</v>
      </c>
      <c r="M4681">
        <v>8.5</v>
      </c>
      <c r="N4681" t="s">
        <v>5272</v>
      </c>
      <c r="O4681" t="s">
        <v>459</v>
      </c>
    </row>
    <row r="4682" spans="1:15" x14ac:dyDescent="0.3">
      <c r="A4682">
        <v>205222</v>
      </c>
      <c r="B4682">
        <v>105</v>
      </c>
      <c r="C4682" t="s">
        <v>557</v>
      </c>
      <c r="D4682" t="s">
        <v>2581</v>
      </c>
      <c r="E4682" t="s">
        <v>3608</v>
      </c>
      <c r="F4682" s="451">
        <v>46051</v>
      </c>
      <c r="G4682">
        <v>19635</v>
      </c>
      <c r="H4682" t="s">
        <v>4786</v>
      </c>
      <c r="I4682" t="s">
        <v>5191</v>
      </c>
      <c r="J4682">
        <v>4</v>
      </c>
      <c r="K4682" t="s">
        <v>4744</v>
      </c>
      <c r="L4682">
        <v>16.8</v>
      </c>
      <c r="M4682">
        <v>4.2</v>
      </c>
      <c r="N4682" t="s">
        <v>5272</v>
      </c>
      <c r="O4682" t="s">
        <v>459</v>
      </c>
    </row>
    <row r="4683" spans="1:15" x14ac:dyDescent="0.3">
      <c r="A4683">
        <v>205222</v>
      </c>
      <c r="B4683">
        <v>105</v>
      </c>
      <c r="C4683" t="s">
        <v>557</v>
      </c>
      <c r="D4683" t="s">
        <v>2581</v>
      </c>
      <c r="E4683" t="s">
        <v>3608</v>
      </c>
      <c r="F4683" s="451">
        <v>46051</v>
      </c>
      <c r="G4683">
        <v>23113</v>
      </c>
      <c r="H4683" t="s">
        <v>5074</v>
      </c>
      <c r="I4683" t="s">
        <v>5191</v>
      </c>
      <c r="J4683">
        <v>1.5</v>
      </c>
      <c r="K4683" t="s">
        <v>4744</v>
      </c>
      <c r="L4683">
        <v>12.75</v>
      </c>
      <c r="M4683">
        <v>8.5</v>
      </c>
      <c r="N4683" t="s">
        <v>5272</v>
      </c>
      <c r="O4683" t="s">
        <v>459</v>
      </c>
    </row>
    <row r="4684" spans="1:15" x14ac:dyDescent="0.3">
      <c r="A4684">
        <v>205222</v>
      </c>
      <c r="B4684">
        <v>105</v>
      </c>
      <c r="C4684" t="s">
        <v>557</v>
      </c>
      <c r="D4684" t="s">
        <v>2581</v>
      </c>
      <c r="E4684" t="s">
        <v>3608</v>
      </c>
      <c r="F4684" s="451">
        <v>46051</v>
      </c>
      <c r="G4684">
        <v>23236</v>
      </c>
      <c r="H4684" t="s">
        <v>5062</v>
      </c>
      <c r="I4684" t="s">
        <v>5191</v>
      </c>
      <c r="J4684">
        <v>3.2</v>
      </c>
      <c r="K4684" t="s">
        <v>4744</v>
      </c>
      <c r="L4684">
        <v>16</v>
      </c>
      <c r="M4684">
        <v>5</v>
      </c>
      <c r="N4684" t="s">
        <v>5272</v>
      </c>
      <c r="O4684" t="s">
        <v>459</v>
      </c>
    </row>
    <row r="4685" spans="1:15" x14ac:dyDescent="0.3">
      <c r="A4685">
        <v>205222</v>
      </c>
      <c r="B4685">
        <v>105</v>
      </c>
      <c r="C4685" t="s">
        <v>557</v>
      </c>
      <c r="D4685" t="s">
        <v>2581</v>
      </c>
      <c r="E4685" t="s">
        <v>3608</v>
      </c>
      <c r="F4685" s="451">
        <v>46051</v>
      </c>
      <c r="G4685">
        <v>23359</v>
      </c>
      <c r="H4685" t="s">
        <v>4767</v>
      </c>
      <c r="I4685" t="s">
        <v>5191</v>
      </c>
      <c r="J4685">
        <v>10</v>
      </c>
      <c r="K4685" t="s">
        <v>4744</v>
      </c>
      <c r="L4685">
        <v>25</v>
      </c>
      <c r="M4685">
        <v>2.5</v>
      </c>
      <c r="N4685" t="s">
        <v>5272</v>
      </c>
      <c r="O4685" t="s">
        <v>459</v>
      </c>
    </row>
    <row r="4686" spans="1:15" x14ac:dyDescent="0.3">
      <c r="A4686">
        <v>205222</v>
      </c>
      <c r="B4686">
        <v>105</v>
      </c>
      <c r="C4686" t="s">
        <v>557</v>
      </c>
      <c r="D4686" t="s">
        <v>2581</v>
      </c>
      <c r="E4686" t="s">
        <v>3608</v>
      </c>
      <c r="F4686" s="451">
        <v>46051</v>
      </c>
      <c r="G4686">
        <v>23361</v>
      </c>
      <c r="H4686" t="s">
        <v>4754</v>
      </c>
      <c r="I4686" t="s">
        <v>5191</v>
      </c>
      <c r="J4686">
        <v>30</v>
      </c>
      <c r="K4686" t="s">
        <v>4744</v>
      </c>
      <c r="L4686">
        <v>93</v>
      </c>
      <c r="M4686">
        <v>3.1</v>
      </c>
      <c r="N4686" t="s">
        <v>5272</v>
      </c>
      <c r="O4686" t="s">
        <v>459</v>
      </c>
    </row>
    <row r="4687" spans="1:15" x14ac:dyDescent="0.3">
      <c r="A4687">
        <v>205222</v>
      </c>
      <c r="B4687">
        <v>105</v>
      </c>
      <c r="C4687" t="s">
        <v>557</v>
      </c>
      <c r="D4687" t="s">
        <v>2581</v>
      </c>
      <c r="E4687" t="s">
        <v>3608</v>
      </c>
      <c r="F4687" s="451">
        <v>46051</v>
      </c>
      <c r="G4687">
        <v>23390</v>
      </c>
      <c r="H4687" t="s">
        <v>4873</v>
      </c>
      <c r="I4687" t="s">
        <v>5191</v>
      </c>
      <c r="J4687">
        <v>1</v>
      </c>
      <c r="K4687" t="s">
        <v>4744</v>
      </c>
      <c r="L4687">
        <v>8.5</v>
      </c>
      <c r="M4687">
        <v>8.5</v>
      </c>
      <c r="N4687" t="s">
        <v>5272</v>
      </c>
      <c r="O4687" t="s">
        <v>459</v>
      </c>
    </row>
    <row r="4688" spans="1:15" x14ac:dyDescent="0.3">
      <c r="A4688">
        <v>205222</v>
      </c>
      <c r="B4688">
        <v>105</v>
      </c>
      <c r="C4688" t="s">
        <v>557</v>
      </c>
      <c r="D4688" t="s">
        <v>2581</v>
      </c>
      <c r="E4688" t="s">
        <v>3608</v>
      </c>
      <c r="F4688" s="451">
        <v>46051</v>
      </c>
      <c r="G4688">
        <v>23095</v>
      </c>
      <c r="H4688" t="s">
        <v>4741</v>
      </c>
      <c r="I4688" t="s">
        <v>5191</v>
      </c>
      <c r="J4688">
        <v>90</v>
      </c>
      <c r="K4688" t="s">
        <v>4736</v>
      </c>
      <c r="L4688">
        <v>84.6</v>
      </c>
      <c r="M4688">
        <v>0.94</v>
      </c>
      <c r="N4688" t="s">
        <v>5272</v>
      </c>
      <c r="O4688" t="s">
        <v>459</v>
      </c>
    </row>
    <row r="4689" spans="1:15" x14ac:dyDescent="0.3">
      <c r="A4689">
        <v>205222</v>
      </c>
      <c r="B4689">
        <v>105</v>
      </c>
      <c r="C4689" t="s">
        <v>557</v>
      </c>
      <c r="D4689" t="s">
        <v>2581</v>
      </c>
      <c r="E4689" t="s">
        <v>3608</v>
      </c>
      <c r="F4689" s="451">
        <v>46051</v>
      </c>
      <c r="G4689">
        <v>19490</v>
      </c>
      <c r="H4689" t="s">
        <v>5116</v>
      </c>
      <c r="I4689" t="s">
        <v>5191</v>
      </c>
      <c r="J4689">
        <v>0.3</v>
      </c>
      <c r="K4689" t="s">
        <v>4744</v>
      </c>
      <c r="L4689">
        <v>21</v>
      </c>
      <c r="M4689">
        <v>70</v>
      </c>
      <c r="N4689" t="s">
        <v>5272</v>
      </c>
      <c r="O4689" t="s">
        <v>459</v>
      </c>
    </row>
    <row r="4690" spans="1:15" x14ac:dyDescent="0.3">
      <c r="A4690">
        <v>205222</v>
      </c>
      <c r="B4690">
        <v>105</v>
      </c>
      <c r="C4690" t="s">
        <v>557</v>
      </c>
      <c r="D4690" t="s">
        <v>2581</v>
      </c>
      <c r="E4690" t="s">
        <v>3608</v>
      </c>
      <c r="F4690" s="451">
        <v>46051</v>
      </c>
      <c r="G4690">
        <v>19632</v>
      </c>
      <c r="H4690" t="s">
        <v>4936</v>
      </c>
      <c r="I4690" t="s">
        <v>5191</v>
      </c>
      <c r="J4690">
        <v>2</v>
      </c>
      <c r="K4690" t="s">
        <v>4744</v>
      </c>
      <c r="L4690">
        <v>5</v>
      </c>
      <c r="M4690">
        <v>2.5</v>
      </c>
      <c r="N4690" t="s">
        <v>5272</v>
      </c>
      <c r="O4690" t="s">
        <v>459</v>
      </c>
    </row>
    <row r="4691" spans="1:15" x14ac:dyDescent="0.3">
      <c r="A4691">
        <v>205222</v>
      </c>
      <c r="B4691">
        <v>105</v>
      </c>
      <c r="C4691" t="s">
        <v>557</v>
      </c>
      <c r="D4691" t="s">
        <v>2581</v>
      </c>
      <c r="E4691" t="s">
        <v>3608</v>
      </c>
      <c r="F4691" s="451">
        <v>46051</v>
      </c>
      <c r="G4691">
        <v>19472</v>
      </c>
      <c r="H4691" t="s">
        <v>4906</v>
      </c>
      <c r="I4691" t="s">
        <v>5191</v>
      </c>
      <c r="J4691">
        <v>2.1</v>
      </c>
      <c r="K4691" t="s">
        <v>4744</v>
      </c>
      <c r="L4691">
        <v>56.7</v>
      </c>
      <c r="M4691">
        <v>27</v>
      </c>
      <c r="N4691" t="s">
        <v>5272</v>
      </c>
      <c r="O4691" t="s">
        <v>459</v>
      </c>
    </row>
    <row r="4692" spans="1:15" x14ac:dyDescent="0.3">
      <c r="A4692">
        <v>205221</v>
      </c>
      <c r="B4692">
        <v>105</v>
      </c>
      <c r="C4692" t="s">
        <v>557</v>
      </c>
      <c r="D4692" t="s">
        <v>2581</v>
      </c>
      <c r="E4692" t="s">
        <v>3609</v>
      </c>
      <c r="F4692" s="451">
        <v>46051</v>
      </c>
      <c r="G4692">
        <v>23785</v>
      </c>
      <c r="H4692" t="s">
        <v>4858</v>
      </c>
      <c r="I4692" t="s">
        <v>5191</v>
      </c>
      <c r="J4692">
        <v>5</v>
      </c>
      <c r="K4692" t="s">
        <v>4744</v>
      </c>
      <c r="L4692">
        <v>210</v>
      </c>
      <c r="M4692">
        <v>42</v>
      </c>
      <c r="N4692" t="s">
        <v>5272</v>
      </c>
      <c r="O4692" t="s">
        <v>459</v>
      </c>
    </row>
    <row r="4693" spans="1:15" x14ac:dyDescent="0.3">
      <c r="A4693">
        <v>205220</v>
      </c>
      <c r="B4693">
        <v>105</v>
      </c>
      <c r="C4693" t="s">
        <v>557</v>
      </c>
      <c r="D4693" t="s">
        <v>2627</v>
      </c>
      <c r="E4693" t="s">
        <v>3610</v>
      </c>
      <c r="F4693" s="451">
        <v>46052</v>
      </c>
      <c r="G4693">
        <v>20301</v>
      </c>
      <c r="H4693" t="s">
        <v>4944</v>
      </c>
      <c r="I4693" t="s">
        <v>5191</v>
      </c>
      <c r="J4693">
        <v>6</v>
      </c>
      <c r="K4693" t="s">
        <v>4738</v>
      </c>
      <c r="L4693">
        <v>124.5</v>
      </c>
      <c r="M4693">
        <v>20.75</v>
      </c>
      <c r="N4693" t="s">
        <v>5272</v>
      </c>
      <c r="O4693" t="s">
        <v>459</v>
      </c>
    </row>
    <row r="4694" spans="1:15" x14ac:dyDescent="0.3">
      <c r="A4694">
        <v>205220</v>
      </c>
      <c r="B4694">
        <v>105</v>
      </c>
      <c r="C4694" t="s">
        <v>557</v>
      </c>
      <c r="D4694" t="s">
        <v>2627</v>
      </c>
      <c r="E4694" t="s">
        <v>3610</v>
      </c>
      <c r="F4694" s="451">
        <v>46052</v>
      </c>
      <c r="G4694">
        <v>19224</v>
      </c>
      <c r="H4694" t="s">
        <v>5100</v>
      </c>
      <c r="I4694" t="s">
        <v>5191</v>
      </c>
      <c r="J4694">
        <v>1</v>
      </c>
      <c r="K4694" t="s">
        <v>4736</v>
      </c>
      <c r="L4694">
        <v>244.5</v>
      </c>
      <c r="M4694">
        <v>244.5</v>
      </c>
      <c r="N4694" t="s">
        <v>5272</v>
      </c>
      <c r="O4694" t="s">
        <v>459</v>
      </c>
    </row>
    <row r="4695" spans="1:15" x14ac:dyDescent="0.3">
      <c r="A4695">
        <v>205220</v>
      </c>
      <c r="B4695">
        <v>105</v>
      </c>
      <c r="C4695" t="s">
        <v>557</v>
      </c>
      <c r="D4695" t="s">
        <v>2627</v>
      </c>
      <c r="E4695" t="s">
        <v>3610</v>
      </c>
      <c r="F4695" s="451">
        <v>46052</v>
      </c>
      <c r="G4695">
        <v>23808</v>
      </c>
      <c r="H4695" t="s">
        <v>4982</v>
      </c>
      <c r="I4695" t="s">
        <v>5191</v>
      </c>
      <c r="J4695">
        <v>1</v>
      </c>
      <c r="K4695" t="s">
        <v>4744</v>
      </c>
      <c r="L4695">
        <v>63.9</v>
      </c>
      <c r="M4695">
        <v>63.9</v>
      </c>
      <c r="N4695" t="s">
        <v>5272</v>
      </c>
      <c r="O4695" t="s">
        <v>459</v>
      </c>
    </row>
    <row r="4696" spans="1:15" x14ac:dyDescent="0.3">
      <c r="A4696">
        <v>205219</v>
      </c>
      <c r="B4696">
        <v>105</v>
      </c>
      <c r="C4696" t="s">
        <v>557</v>
      </c>
      <c r="D4696" t="s">
        <v>3328</v>
      </c>
      <c r="E4696" t="s">
        <v>3611</v>
      </c>
      <c r="F4696" s="451">
        <v>46044</v>
      </c>
      <c r="G4696">
        <v>19787</v>
      </c>
      <c r="H4696" t="s">
        <v>4793</v>
      </c>
      <c r="I4696" t="s">
        <v>5191</v>
      </c>
      <c r="J4696">
        <v>14</v>
      </c>
      <c r="K4696" t="s">
        <v>4744</v>
      </c>
      <c r="L4696">
        <v>70</v>
      </c>
      <c r="M4696">
        <v>5</v>
      </c>
      <c r="N4696" t="s">
        <v>5272</v>
      </c>
      <c r="O4696" t="s">
        <v>459</v>
      </c>
    </row>
    <row r="4697" spans="1:15" x14ac:dyDescent="0.3">
      <c r="A4697">
        <v>205219</v>
      </c>
      <c r="B4697">
        <v>105</v>
      </c>
      <c r="C4697" t="s">
        <v>557</v>
      </c>
      <c r="D4697" t="s">
        <v>3328</v>
      </c>
      <c r="E4697" t="s">
        <v>3611</v>
      </c>
      <c r="F4697" s="451">
        <v>46044</v>
      </c>
      <c r="G4697">
        <v>24099</v>
      </c>
      <c r="H4697" t="s">
        <v>4933</v>
      </c>
      <c r="I4697" t="s">
        <v>5191</v>
      </c>
      <c r="J4697">
        <v>2.5</v>
      </c>
      <c r="K4697" t="s">
        <v>4744</v>
      </c>
      <c r="L4697">
        <v>52.07</v>
      </c>
      <c r="M4697">
        <v>20.827999999999999</v>
      </c>
      <c r="N4697" t="s">
        <v>5272</v>
      </c>
      <c r="O4697" t="s">
        <v>459</v>
      </c>
    </row>
    <row r="4698" spans="1:15" x14ac:dyDescent="0.3">
      <c r="A4698">
        <v>205219</v>
      </c>
      <c r="B4698">
        <v>105</v>
      </c>
      <c r="C4698" t="s">
        <v>557</v>
      </c>
      <c r="D4698" t="s">
        <v>3328</v>
      </c>
      <c r="E4698" t="s">
        <v>3611</v>
      </c>
      <c r="F4698" s="451">
        <v>46044</v>
      </c>
      <c r="G4698">
        <v>19740</v>
      </c>
      <c r="H4698" t="s">
        <v>4779</v>
      </c>
      <c r="I4698" t="s">
        <v>5191</v>
      </c>
      <c r="J4698">
        <v>8</v>
      </c>
      <c r="K4698" t="s">
        <v>4744</v>
      </c>
      <c r="L4698">
        <v>65.040000000000006</v>
      </c>
      <c r="M4698">
        <v>8.1300000000000008</v>
      </c>
      <c r="N4698" t="s">
        <v>5272</v>
      </c>
      <c r="O4698" t="s">
        <v>459</v>
      </c>
    </row>
    <row r="4699" spans="1:15" x14ac:dyDescent="0.3">
      <c r="A4699">
        <v>205219</v>
      </c>
      <c r="B4699">
        <v>105</v>
      </c>
      <c r="C4699" t="s">
        <v>557</v>
      </c>
      <c r="D4699" t="s">
        <v>3328</v>
      </c>
      <c r="E4699" t="s">
        <v>3611</v>
      </c>
      <c r="F4699" s="451">
        <v>46044</v>
      </c>
      <c r="G4699">
        <v>19752</v>
      </c>
      <c r="H4699" t="s">
        <v>4807</v>
      </c>
      <c r="I4699" t="s">
        <v>5191</v>
      </c>
      <c r="J4699">
        <v>2</v>
      </c>
      <c r="K4699" t="s">
        <v>4744</v>
      </c>
      <c r="L4699">
        <v>40</v>
      </c>
      <c r="M4699">
        <v>20</v>
      </c>
      <c r="N4699" t="s">
        <v>5272</v>
      </c>
      <c r="O4699" t="s">
        <v>459</v>
      </c>
    </row>
    <row r="4700" spans="1:15" x14ac:dyDescent="0.3">
      <c r="A4700">
        <v>205219</v>
      </c>
      <c r="B4700">
        <v>105</v>
      </c>
      <c r="C4700" t="s">
        <v>557</v>
      </c>
      <c r="D4700" t="s">
        <v>3328</v>
      </c>
      <c r="E4700" t="s">
        <v>3611</v>
      </c>
      <c r="F4700" s="451">
        <v>46044</v>
      </c>
      <c r="G4700">
        <v>23335</v>
      </c>
      <c r="H4700" t="s">
        <v>4961</v>
      </c>
      <c r="I4700" t="s">
        <v>5191</v>
      </c>
      <c r="J4700">
        <v>1</v>
      </c>
      <c r="K4700" t="s">
        <v>4744</v>
      </c>
      <c r="L4700">
        <v>18.75</v>
      </c>
      <c r="M4700">
        <v>18.75</v>
      </c>
      <c r="N4700" t="s">
        <v>5272</v>
      </c>
      <c r="O4700" t="s">
        <v>459</v>
      </c>
    </row>
    <row r="4701" spans="1:15" x14ac:dyDescent="0.3">
      <c r="A4701">
        <v>205219</v>
      </c>
      <c r="B4701">
        <v>105</v>
      </c>
      <c r="C4701" t="s">
        <v>557</v>
      </c>
      <c r="D4701" t="s">
        <v>3328</v>
      </c>
      <c r="E4701" t="s">
        <v>3611</v>
      </c>
      <c r="F4701" s="451">
        <v>46044</v>
      </c>
      <c r="G4701">
        <v>23359</v>
      </c>
      <c r="H4701" t="s">
        <v>4767</v>
      </c>
      <c r="I4701" t="s">
        <v>5191</v>
      </c>
      <c r="J4701">
        <v>20</v>
      </c>
      <c r="K4701" t="s">
        <v>4744</v>
      </c>
      <c r="L4701">
        <v>50</v>
      </c>
      <c r="M4701">
        <v>2.5</v>
      </c>
      <c r="N4701" t="s">
        <v>5272</v>
      </c>
      <c r="O4701" t="s">
        <v>459</v>
      </c>
    </row>
    <row r="4702" spans="1:15" x14ac:dyDescent="0.3">
      <c r="A4702">
        <v>205219</v>
      </c>
      <c r="B4702">
        <v>105</v>
      </c>
      <c r="C4702" t="s">
        <v>557</v>
      </c>
      <c r="D4702" t="s">
        <v>3328</v>
      </c>
      <c r="E4702" t="s">
        <v>3611</v>
      </c>
      <c r="F4702" s="451">
        <v>46044</v>
      </c>
      <c r="G4702">
        <v>23184</v>
      </c>
      <c r="H4702" t="s">
        <v>4935</v>
      </c>
      <c r="I4702" t="s">
        <v>5191</v>
      </c>
      <c r="J4702">
        <v>2</v>
      </c>
      <c r="K4702" t="s">
        <v>4744</v>
      </c>
      <c r="L4702">
        <v>17.5</v>
      </c>
      <c r="M4702">
        <v>8.75</v>
      </c>
      <c r="N4702" t="s">
        <v>5272</v>
      </c>
      <c r="O4702" t="s">
        <v>459</v>
      </c>
    </row>
    <row r="4703" spans="1:15" x14ac:dyDescent="0.3">
      <c r="A4703">
        <v>205218</v>
      </c>
      <c r="B4703">
        <v>105</v>
      </c>
      <c r="C4703" t="s">
        <v>557</v>
      </c>
      <c r="D4703" t="s">
        <v>3328</v>
      </c>
      <c r="E4703" t="s">
        <v>3612</v>
      </c>
      <c r="F4703" s="451">
        <v>46045</v>
      </c>
      <c r="G4703">
        <v>19787</v>
      </c>
      <c r="H4703" t="s">
        <v>4793</v>
      </c>
      <c r="I4703" t="s">
        <v>5191</v>
      </c>
      <c r="J4703">
        <v>10</v>
      </c>
      <c r="K4703" t="s">
        <v>4744</v>
      </c>
      <c r="L4703">
        <v>50</v>
      </c>
      <c r="M4703">
        <v>5</v>
      </c>
      <c r="N4703" t="s">
        <v>5272</v>
      </c>
      <c r="O4703" t="s">
        <v>459</v>
      </c>
    </row>
    <row r="4704" spans="1:15" x14ac:dyDescent="0.3">
      <c r="A4704">
        <v>205218</v>
      </c>
      <c r="B4704">
        <v>105</v>
      </c>
      <c r="C4704" t="s">
        <v>557</v>
      </c>
      <c r="D4704" t="s">
        <v>3328</v>
      </c>
      <c r="E4704" t="s">
        <v>3612</v>
      </c>
      <c r="F4704" s="451">
        <v>46045</v>
      </c>
      <c r="G4704">
        <v>19634</v>
      </c>
      <c r="H4704" t="s">
        <v>4792</v>
      </c>
      <c r="I4704" t="s">
        <v>5191</v>
      </c>
      <c r="J4704">
        <v>4.5</v>
      </c>
      <c r="K4704" t="s">
        <v>4744</v>
      </c>
      <c r="L4704">
        <v>33.75</v>
      </c>
      <c r="M4704">
        <v>7.5</v>
      </c>
      <c r="N4704" t="s">
        <v>5272</v>
      </c>
      <c r="O4704" t="s">
        <v>459</v>
      </c>
    </row>
    <row r="4705" spans="1:15" x14ac:dyDescent="0.3">
      <c r="A4705">
        <v>205218</v>
      </c>
      <c r="B4705">
        <v>105</v>
      </c>
      <c r="C4705" t="s">
        <v>557</v>
      </c>
      <c r="D4705" t="s">
        <v>3328</v>
      </c>
      <c r="E4705" t="s">
        <v>3612</v>
      </c>
      <c r="F4705" s="451">
        <v>46045</v>
      </c>
      <c r="G4705">
        <v>19472</v>
      </c>
      <c r="H4705" t="s">
        <v>4906</v>
      </c>
      <c r="I4705" t="s">
        <v>5191</v>
      </c>
      <c r="J4705">
        <v>1.2</v>
      </c>
      <c r="K4705" t="s">
        <v>4744</v>
      </c>
      <c r="L4705">
        <v>26.26</v>
      </c>
      <c r="M4705">
        <v>21.883333</v>
      </c>
      <c r="N4705" t="s">
        <v>5272</v>
      </c>
      <c r="O4705" t="s">
        <v>459</v>
      </c>
    </row>
    <row r="4706" spans="1:15" x14ac:dyDescent="0.3">
      <c r="A4706">
        <v>205217</v>
      </c>
      <c r="B4706">
        <v>105</v>
      </c>
      <c r="C4706" t="s">
        <v>557</v>
      </c>
      <c r="D4706" t="s">
        <v>3328</v>
      </c>
      <c r="E4706" t="s">
        <v>3613</v>
      </c>
      <c r="F4706" s="451">
        <v>46050</v>
      </c>
      <c r="G4706">
        <v>19654</v>
      </c>
      <c r="H4706" t="s">
        <v>5099</v>
      </c>
      <c r="I4706" t="s">
        <v>5191</v>
      </c>
      <c r="J4706">
        <v>3.5</v>
      </c>
      <c r="K4706" t="s">
        <v>4744</v>
      </c>
      <c r="L4706">
        <v>18.13</v>
      </c>
      <c r="M4706">
        <v>5.18</v>
      </c>
      <c r="N4706" t="s">
        <v>5272</v>
      </c>
      <c r="O4706" t="s">
        <v>459</v>
      </c>
    </row>
    <row r="4707" spans="1:15" x14ac:dyDescent="0.3">
      <c r="A4707">
        <v>205217</v>
      </c>
      <c r="B4707">
        <v>105</v>
      </c>
      <c r="C4707" t="s">
        <v>557</v>
      </c>
      <c r="D4707" t="s">
        <v>3328</v>
      </c>
      <c r="E4707" t="s">
        <v>3613</v>
      </c>
      <c r="F4707" s="451">
        <v>46050</v>
      </c>
      <c r="G4707">
        <v>23238</v>
      </c>
      <c r="H4707" t="s">
        <v>4934</v>
      </c>
      <c r="I4707" t="s">
        <v>5191</v>
      </c>
      <c r="J4707">
        <v>2.2999999999999998</v>
      </c>
      <c r="K4707" t="s">
        <v>4744</v>
      </c>
      <c r="L4707">
        <v>45.08</v>
      </c>
      <c r="M4707">
        <v>19.600000000000001</v>
      </c>
      <c r="N4707" t="s">
        <v>5272</v>
      </c>
      <c r="O4707" t="s">
        <v>459</v>
      </c>
    </row>
    <row r="4708" spans="1:15" x14ac:dyDescent="0.3">
      <c r="A4708">
        <v>205217</v>
      </c>
      <c r="B4708">
        <v>105</v>
      </c>
      <c r="C4708" t="s">
        <v>557</v>
      </c>
      <c r="D4708" t="s">
        <v>3328</v>
      </c>
      <c r="E4708" t="s">
        <v>3613</v>
      </c>
      <c r="F4708" s="451">
        <v>46050</v>
      </c>
      <c r="G4708">
        <v>23389</v>
      </c>
      <c r="H4708" t="s">
        <v>4960</v>
      </c>
      <c r="I4708" t="s">
        <v>5191</v>
      </c>
      <c r="J4708">
        <v>1.4</v>
      </c>
      <c r="K4708" t="s">
        <v>4744</v>
      </c>
      <c r="L4708">
        <v>6.66</v>
      </c>
      <c r="M4708">
        <v>4.7571430000000001</v>
      </c>
      <c r="N4708" t="s">
        <v>5272</v>
      </c>
      <c r="O4708" t="s">
        <v>459</v>
      </c>
    </row>
    <row r="4709" spans="1:15" x14ac:dyDescent="0.3">
      <c r="A4709">
        <v>205217</v>
      </c>
      <c r="B4709">
        <v>105</v>
      </c>
      <c r="C4709" t="s">
        <v>557</v>
      </c>
      <c r="D4709" t="s">
        <v>3328</v>
      </c>
      <c r="E4709" t="s">
        <v>3613</v>
      </c>
      <c r="F4709" s="451">
        <v>46050</v>
      </c>
      <c r="G4709">
        <v>23184</v>
      </c>
      <c r="H4709" t="s">
        <v>4935</v>
      </c>
      <c r="I4709" t="s">
        <v>5191</v>
      </c>
      <c r="J4709">
        <v>1</v>
      </c>
      <c r="K4709" t="s">
        <v>4744</v>
      </c>
      <c r="L4709">
        <v>9.8000000000000007</v>
      </c>
      <c r="M4709">
        <v>9.8000000000000007</v>
      </c>
      <c r="N4709" t="s">
        <v>5272</v>
      </c>
      <c r="O4709" t="s">
        <v>459</v>
      </c>
    </row>
    <row r="4710" spans="1:15" x14ac:dyDescent="0.3">
      <c r="A4710">
        <v>205146</v>
      </c>
      <c r="B4710">
        <v>105</v>
      </c>
      <c r="C4710" t="s">
        <v>557</v>
      </c>
      <c r="D4710" t="s">
        <v>2605</v>
      </c>
      <c r="E4710" t="s">
        <v>3614</v>
      </c>
      <c r="F4710" s="451">
        <v>46051</v>
      </c>
      <c r="G4710">
        <v>20242</v>
      </c>
      <c r="H4710" t="s">
        <v>4824</v>
      </c>
      <c r="I4710" t="s">
        <v>5191</v>
      </c>
      <c r="J4710">
        <v>5</v>
      </c>
      <c r="K4710" t="s">
        <v>4738</v>
      </c>
      <c r="L4710">
        <v>70.5</v>
      </c>
      <c r="M4710">
        <v>14.1</v>
      </c>
      <c r="N4710" t="s">
        <v>5191</v>
      </c>
      <c r="O4710" t="s">
        <v>459</v>
      </c>
    </row>
    <row r="4711" spans="1:15" x14ac:dyDescent="0.3">
      <c r="A4711">
        <v>205146</v>
      </c>
      <c r="B4711">
        <v>105</v>
      </c>
      <c r="C4711" t="s">
        <v>557</v>
      </c>
      <c r="D4711" t="s">
        <v>2605</v>
      </c>
      <c r="E4711" t="s">
        <v>3614</v>
      </c>
      <c r="F4711" s="451">
        <v>46051</v>
      </c>
      <c r="G4711">
        <v>20887</v>
      </c>
      <c r="H4711" t="s">
        <v>4953</v>
      </c>
      <c r="I4711" t="s">
        <v>5191</v>
      </c>
      <c r="J4711">
        <v>2</v>
      </c>
      <c r="K4711" t="s">
        <v>4879</v>
      </c>
      <c r="L4711">
        <v>72.599999999999994</v>
      </c>
      <c r="M4711">
        <v>36.299999999999997</v>
      </c>
      <c r="N4711" t="s">
        <v>5191</v>
      </c>
      <c r="O4711" t="s">
        <v>459</v>
      </c>
    </row>
    <row r="4712" spans="1:15" x14ac:dyDescent="0.3">
      <c r="A4712">
        <v>205146</v>
      </c>
      <c r="B4712">
        <v>105</v>
      </c>
      <c r="C4712" t="s">
        <v>557</v>
      </c>
      <c r="D4712" t="s">
        <v>2605</v>
      </c>
      <c r="E4712" t="s">
        <v>3614</v>
      </c>
      <c r="F4712" s="451">
        <v>46051</v>
      </c>
      <c r="G4712">
        <v>20660</v>
      </c>
      <c r="H4712" t="s">
        <v>5011</v>
      </c>
      <c r="I4712" t="s">
        <v>5191</v>
      </c>
      <c r="J4712">
        <v>1</v>
      </c>
      <c r="K4712" t="s">
        <v>5242</v>
      </c>
      <c r="L4712">
        <v>59.9</v>
      </c>
      <c r="M4712">
        <v>59.9</v>
      </c>
      <c r="N4712" t="s">
        <v>5191</v>
      </c>
      <c r="O4712" t="s">
        <v>459</v>
      </c>
    </row>
    <row r="4713" spans="1:15" x14ac:dyDescent="0.3">
      <c r="A4713">
        <v>205146</v>
      </c>
      <c r="B4713">
        <v>105</v>
      </c>
      <c r="C4713" t="s">
        <v>557</v>
      </c>
      <c r="D4713" t="s">
        <v>2605</v>
      </c>
      <c r="E4713" t="s">
        <v>3614</v>
      </c>
      <c r="F4713" s="451">
        <v>46051</v>
      </c>
      <c r="G4713">
        <v>19710</v>
      </c>
      <c r="H4713" t="s">
        <v>4963</v>
      </c>
      <c r="I4713" t="s">
        <v>5191</v>
      </c>
      <c r="J4713">
        <v>0.5</v>
      </c>
      <c r="K4713" t="s">
        <v>5228</v>
      </c>
      <c r="L4713">
        <v>10.75</v>
      </c>
      <c r="M4713">
        <v>21.5</v>
      </c>
      <c r="N4713" t="s">
        <v>5191</v>
      </c>
      <c r="O4713" t="s">
        <v>459</v>
      </c>
    </row>
    <row r="4714" spans="1:15" x14ac:dyDescent="0.3">
      <c r="A4714">
        <v>205146</v>
      </c>
      <c r="B4714">
        <v>105</v>
      </c>
      <c r="C4714" t="s">
        <v>557</v>
      </c>
      <c r="D4714" t="s">
        <v>2605</v>
      </c>
      <c r="E4714" t="s">
        <v>3614</v>
      </c>
      <c r="F4714" s="451">
        <v>46051</v>
      </c>
      <c r="G4714">
        <v>20689</v>
      </c>
      <c r="H4714" t="s">
        <v>5007</v>
      </c>
      <c r="I4714" t="s">
        <v>5191</v>
      </c>
      <c r="J4714">
        <v>4</v>
      </c>
      <c r="K4714" t="s">
        <v>4736</v>
      </c>
      <c r="L4714">
        <v>139.6</v>
      </c>
      <c r="M4714">
        <v>34.9</v>
      </c>
      <c r="N4714" t="s">
        <v>5191</v>
      </c>
      <c r="O4714" t="s">
        <v>459</v>
      </c>
    </row>
    <row r="4715" spans="1:15" x14ac:dyDescent="0.3">
      <c r="A4715">
        <v>205146</v>
      </c>
      <c r="B4715">
        <v>105</v>
      </c>
      <c r="C4715" t="s">
        <v>557</v>
      </c>
      <c r="D4715" t="s">
        <v>2605</v>
      </c>
      <c r="E4715" t="s">
        <v>3614</v>
      </c>
      <c r="F4715" s="451">
        <v>46051</v>
      </c>
      <c r="G4715">
        <v>20030</v>
      </c>
      <c r="H4715" t="s">
        <v>5125</v>
      </c>
      <c r="I4715" t="s">
        <v>5191</v>
      </c>
      <c r="J4715">
        <v>1</v>
      </c>
      <c r="K4715" t="s">
        <v>4736</v>
      </c>
      <c r="L4715">
        <v>7.4</v>
      </c>
      <c r="M4715">
        <v>7.4</v>
      </c>
      <c r="N4715" t="s">
        <v>5191</v>
      </c>
      <c r="O4715" t="s">
        <v>459</v>
      </c>
    </row>
    <row r="4716" spans="1:15" x14ac:dyDescent="0.3">
      <c r="A4716">
        <v>205146</v>
      </c>
      <c r="B4716">
        <v>105</v>
      </c>
      <c r="C4716" t="s">
        <v>557</v>
      </c>
      <c r="D4716" t="s">
        <v>2605</v>
      </c>
      <c r="E4716" t="s">
        <v>3614</v>
      </c>
      <c r="F4716" s="451">
        <v>46051</v>
      </c>
      <c r="G4716">
        <v>20657</v>
      </c>
      <c r="H4716" t="s">
        <v>5109</v>
      </c>
      <c r="I4716" t="s">
        <v>5191</v>
      </c>
      <c r="J4716">
        <v>3</v>
      </c>
      <c r="K4716" t="s">
        <v>5206</v>
      </c>
      <c r="L4716">
        <v>19.079999999999998</v>
      </c>
      <c r="M4716">
        <v>6.36</v>
      </c>
      <c r="N4716" t="s">
        <v>5191</v>
      </c>
      <c r="O4716" t="s">
        <v>459</v>
      </c>
    </row>
    <row r="4717" spans="1:15" x14ac:dyDescent="0.3">
      <c r="A4717">
        <v>205146</v>
      </c>
      <c r="B4717">
        <v>105</v>
      </c>
      <c r="C4717" t="s">
        <v>557</v>
      </c>
      <c r="D4717" t="s">
        <v>2605</v>
      </c>
      <c r="E4717" t="s">
        <v>3614</v>
      </c>
      <c r="F4717" s="451">
        <v>46051</v>
      </c>
      <c r="G4717">
        <v>19415</v>
      </c>
      <c r="H4717" t="s">
        <v>4919</v>
      </c>
      <c r="I4717" t="s">
        <v>5191</v>
      </c>
      <c r="J4717">
        <v>3</v>
      </c>
      <c r="K4717" t="s">
        <v>4736</v>
      </c>
      <c r="L4717">
        <v>26.4</v>
      </c>
      <c r="M4717">
        <v>8.8000000000000007</v>
      </c>
      <c r="N4717" t="s">
        <v>5191</v>
      </c>
      <c r="O4717" t="s">
        <v>459</v>
      </c>
    </row>
    <row r="4718" spans="1:15" x14ac:dyDescent="0.3">
      <c r="A4718">
        <v>205146</v>
      </c>
      <c r="B4718">
        <v>105</v>
      </c>
      <c r="C4718" t="s">
        <v>557</v>
      </c>
      <c r="D4718" t="s">
        <v>2605</v>
      </c>
      <c r="E4718" t="s">
        <v>3614</v>
      </c>
      <c r="F4718" s="451">
        <v>46051</v>
      </c>
      <c r="G4718">
        <v>20751</v>
      </c>
      <c r="H4718" t="s">
        <v>5004</v>
      </c>
      <c r="I4718" t="s">
        <v>5191</v>
      </c>
      <c r="J4718">
        <v>1</v>
      </c>
      <c r="K4718" t="s">
        <v>4884</v>
      </c>
      <c r="L4718">
        <v>103.9</v>
      </c>
      <c r="M4718">
        <v>103.9</v>
      </c>
      <c r="N4718" t="s">
        <v>5191</v>
      </c>
      <c r="O4718" t="s">
        <v>459</v>
      </c>
    </row>
    <row r="4719" spans="1:15" x14ac:dyDescent="0.3">
      <c r="A4719">
        <v>205146</v>
      </c>
      <c r="B4719">
        <v>105</v>
      </c>
      <c r="C4719" t="s">
        <v>557</v>
      </c>
      <c r="D4719" t="s">
        <v>2605</v>
      </c>
      <c r="E4719" t="s">
        <v>3614</v>
      </c>
      <c r="F4719" s="451">
        <v>46051</v>
      </c>
      <c r="G4719">
        <v>19346</v>
      </c>
      <c r="H4719" t="s">
        <v>4835</v>
      </c>
      <c r="I4719" t="s">
        <v>5191</v>
      </c>
      <c r="J4719">
        <v>3</v>
      </c>
      <c r="K4719" t="s">
        <v>4744</v>
      </c>
      <c r="L4719">
        <v>173.1</v>
      </c>
      <c r="M4719">
        <v>57.7</v>
      </c>
      <c r="N4719" t="s">
        <v>5191</v>
      </c>
      <c r="O4719" t="s">
        <v>459</v>
      </c>
    </row>
    <row r="4720" spans="1:15" x14ac:dyDescent="0.3">
      <c r="A4720">
        <v>205146</v>
      </c>
      <c r="B4720">
        <v>105</v>
      </c>
      <c r="C4720" t="s">
        <v>557</v>
      </c>
      <c r="D4720" t="s">
        <v>2605</v>
      </c>
      <c r="E4720" t="s">
        <v>3614</v>
      </c>
      <c r="F4720" s="451">
        <v>46051</v>
      </c>
      <c r="G4720">
        <v>20007</v>
      </c>
      <c r="H4720" t="s">
        <v>5101</v>
      </c>
      <c r="I4720" t="s">
        <v>5191</v>
      </c>
      <c r="J4720">
        <v>3</v>
      </c>
      <c r="K4720" t="s">
        <v>4884</v>
      </c>
      <c r="L4720">
        <v>152.69999999999999</v>
      </c>
      <c r="M4720">
        <v>50.9</v>
      </c>
      <c r="N4720" t="s">
        <v>5191</v>
      </c>
      <c r="O4720" t="s">
        <v>459</v>
      </c>
    </row>
    <row r="4721" spans="1:15" x14ac:dyDescent="0.3">
      <c r="A4721">
        <v>205146</v>
      </c>
      <c r="B4721">
        <v>105</v>
      </c>
      <c r="C4721" t="s">
        <v>557</v>
      </c>
      <c r="D4721" t="s">
        <v>2605</v>
      </c>
      <c r="E4721" t="s">
        <v>3614</v>
      </c>
      <c r="F4721" s="451">
        <v>46051</v>
      </c>
      <c r="G4721">
        <v>19439</v>
      </c>
      <c r="H4721" t="s">
        <v>4917</v>
      </c>
      <c r="I4721" t="s">
        <v>5191</v>
      </c>
      <c r="J4721">
        <v>4</v>
      </c>
      <c r="K4721" t="s">
        <v>4738</v>
      </c>
      <c r="L4721">
        <v>133.52000000000001</v>
      </c>
      <c r="M4721">
        <v>33.380000000000003</v>
      </c>
      <c r="N4721" t="s">
        <v>5191</v>
      </c>
      <c r="O4721" t="s">
        <v>459</v>
      </c>
    </row>
    <row r="4722" spans="1:15" x14ac:dyDescent="0.3">
      <c r="A4722">
        <v>205146</v>
      </c>
      <c r="B4722">
        <v>105</v>
      </c>
      <c r="C4722" t="s">
        <v>557</v>
      </c>
      <c r="D4722" t="s">
        <v>2605</v>
      </c>
      <c r="E4722" t="s">
        <v>3614</v>
      </c>
      <c r="F4722" s="451">
        <v>46051</v>
      </c>
      <c r="G4722">
        <v>20624</v>
      </c>
      <c r="H4722" t="s">
        <v>5019</v>
      </c>
      <c r="I4722" t="s">
        <v>5191</v>
      </c>
      <c r="J4722">
        <v>1</v>
      </c>
      <c r="K4722" t="s">
        <v>4736</v>
      </c>
      <c r="L4722">
        <v>69.900000000000006</v>
      </c>
      <c r="M4722">
        <v>69.900000000000006</v>
      </c>
      <c r="N4722" t="s">
        <v>5191</v>
      </c>
      <c r="O4722" t="s">
        <v>459</v>
      </c>
    </row>
    <row r="4723" spans="1:15" x14ac:dyDescent="0.3">
      <c r="A4723">
        <v>205146</v>
      </c>
      <c r="B4723">
        <v>105</v>
      </c>
      <c r="C4723" t="s">
        <v>557</v>
      </c>
      <c r="D4723" t="s">
        <v>2605</v>
      </c>
      <c r="E4723" t="s">
        <v>3614</v>
      </c>
      <c r="F4723" s="451">
        <v>46051</v>
      </c>
      <c r="G4723">
        <v>26020</v>
      </c>
      <c r="H4723" t="s">
        <v>5102</v>
      </c>
      <c r="I4723" t="s">
        <v>5191</v>
      </c>
      <c r="J4723">
        <v>4</v>
      </c>
      <c r="K4723" t="s">
        <v>4736</v>
      </c>
      <c r="L4723">
        <v>55.8</v>
      </c>
      <c r="M4723">
        <v>13.95</v>
      </c>
      <c r="N4723" t="s">
        <v>5191</v>
      </c>
      <c r="O4723" t="s">
        <v>459</v>
      </c>
    </row>
    <row r="4724" spans="1:15" x14ac:dyDescent="0.3">
      <c r="A4724">
        <v>205145</v>
      </c>
      <c r="B4724">
        <v>105</v>
      </c>
      <c r="C4724" t="s">
        <v>557</v>
      </c>
      <c r="D4724" t="s">
        <v>2605</v>
      </c>
      <c r="E4724" t="s">
        <v>3615</v>
      </c>
      <c r="F4724" s="451">
        <v>46048</v>
      </c>
      <c r="G4724">
        <v>22721</v>
      </c>
      <c r="H4724" t="s">
        <v>4803</v>
      </c>
      <c r="I4724" t="s">
        <v>5191</v>
      </c>
      <c r="J4724">
        <v>4.8600000000000003</v>
      </c>
      <c r="K4724" t="s">
        <v>4744</v>
      </c>
      <c r="L4724">
        <v>137.54</v>
      </c>
      <c r="M4724">
        <v>28.300412000000001</v>
      </c>
      <c r="N4724" t="s">
        <v>5272</v>
      </c>
      <c r="O4724" t="s">
        <v>459</v>
      </c>
    </row>
    <row r="4725" spans="1:15" x14ac:dyDescent="0.3">
      <c r="A4725">
        <v>205143</v>
      </c>
      <c r="B4725">
        <v>105</v>
      </c>
      <c r="C4725" t="s">
        <v>557</v>
      </c>
      <c r="D4725" t="s">
        <v>2644</v>
      </c>
      <c r="E4725" t="s">
        <v>3616</v>
      </c>
      <c r="F4725" s="451">
        <v>46049</v>
      </c>
      <c r="G4725">
        <v>20887</v>
      </c>
      <c r="H4725" t="s">
        <v>4953</v>
      </c>
      <c r="I4725" t="s">
        <v>5191</v>
      </c>
      <c r="J4725">
        <v>5</v>
      </c>
      <c r="K4725" t="s">
        <v>4879</v>
      </c>
      <c r="L4725">
        <v>170</v>
      </c>
      <c r="M4725">
        <v>34</v>
      </c>
      <c r="N4725" t="s">
        <v>5272</v>
      </c>
      <c r="O4725" t="s">
        <v>459</v>
      </c>
    </row>
    <row r="4726" spans="1:15" x14ac:dyDescent="0.3">
      <c r="A4726">
        <v>205143</v>
      </c>
      <c r="B4726">
        <v>105</v>
      </c>
      <c r="C4726" t="s">
        <v>557</v>
      </c>
      <c r="D4726" t="s">
        <v>2644</v>
      </c>
      <c r="E4726" t="s">
        <v>3616</v>
      </c>
      <c r="F4726" s="451">
        <v>46049</v>
      </c>
      <c r="G4726">
        <v>23934</v>
      </c>
      <c r="H4726" t="s">
        <v>4845</v>
      </c>
      <c r="I4726" t="s">
        <v>5191</v>
      </c>
      <c r="J4726">
        <v>4</v>
      </c>
      <c r="K4726" t="s">
        <v>4736</v>
      </c>
      <c r="L4726">
        <v>43.6</v>
      </c>
      <c r="M4726">
        <v>10.9</v>
      </c>
      <c r="N4726" t="s">
        <v>5272</v>
      </c>
      <c r="O4726" t="s">
        <v>459</v>
      </c>
    </row>
    <row r="4727" spans="1:15" x14ac:dyDescent="0.3">
      <c r="A4727">
        <v>205139</v>
      </c>
      <c r="B4727">
        <v>105</v>
      </c>
      <c r="C4727" t="s">
        <v>557</v>
      </c>
      <c r="D4727" t="s">
        <v>2571</v>
      </c>
      <c r="E4727" t="s">
        <v>3617</v>
      </c>
      <c r="F4727" s="451">
        <v>46042</v>
      </c>
      <c r="G4727">
        <v>20660</v>
      </c>
      <c r="H4727" t="s">
        <v>5011</v>
      </c>
      <c r="I4727" t="s">
        <v>5191</v>
      </c>
      <c r="J4727">
        <v>1</v>
      </c>
      <c r="K4727" t="s">
        <v>5242</v>
      </c>
      <c r="L4727">
        <v>59.88</v>
      </c>
      <c r="M4727">
        <v>59.88</v>
      </c>
      <c r="N4727" t="s">
        <v>5272</v>
      </c>
      <c r="O4727" t="s">
        <v>459</v>
      </c>
    </row>
    <row r="4728" spans="1:15" x14ac:dyDescent="0.3">
      <c r="A4728">
        <v>205139</v>
      </c>
      <c r="B4728">
        <v>105</v>
      </c>
      <c r="C4728" t="s">
        <v>557</v>
      </c>
      <c r="D4728" t="s">
        <v>2571</v>
      </c>
      <c r="E4728" t="s">
        <v>3617</v>
      </c>
      <c r="F4728" s="451">
        <v>46042</v>
      </c>
      <c r="G4728">
        <v>21093</v>
      </c>
      <c r="H4728" t="s">
        <v>4855</v>
      </c>
      <c r="I4728" t="s">
        <v>5191</v>
      </c>
      <c r="J4728">
        <v>20</v>
      </c>
      <c r="K4728" t="s">
        <v>4736</v>
      </c>
      <c r="L4728">
        <v>93.8</v>
      </c>
      <c r="M4728">
        <v>4.6900000000000004</v>
      </c>
      <c r="N4728" t="s">
        <v>5272</v>
      </c>
      <c r="O4728" t="s">
        <v>459</v>
      </c>
    </row>
    <row r="4729" spans="1:15" x14ac:dyDescent="0.3">
      <c r="A4729">
        <v>205139</v>
      </c>
      <c r="B4729">
        <v>105</v>
      </c>
      <c r="C4729" t="s">
        <v>557</v>
      </c>
      <c r="D4729" t="s">
        <v>2571</v>
      </c>
      <c r="E4729" t="s">
        <v>3617</v>
      </c>
      <c r="F4729" s="451">
        <v>46042</v>
      </c>
      <c r="G4729">
        <v>20644</v>
      </c>
      <c r="H4729" t="s">
        <v>5016</v>
      </c>
      <c r="I4729" t="s">
        <v>5191</v>
      </c>
      <c r="J4729">
        <v>3</v>
      </c>
      <c r="K4729" t="s">
        <v>4736</v>
      </c>
      <c r="L4729">
        <v>11.67</v>
      </c>
      <c r="M4729">
        <v>3.89</v>
      </c>
      <c r="N4729" t="s">
        <v>5272</v>
      </c>
      <c r="O4729" t="s">
        <v>459</v>
      </c>
    </row>
    <row r="4730" spans="1:15" x14ac:dyDescent="0.3">
      <c r="A4730">
        <v>205139</v>
      </c>
      <c r="B4730">
        <v>105</v>
      </c>
      <c r="C4730" t="s">
        <v>557</v>
      </c>
      <c r="D4730" t="s">
        <v>2571</v>
      </c>
      <c r="E4730" t="s">
        <v>3617</v>
      </c>
      <c r="F4730" s="451">
        <v>46042</v>
      </c>
      <c r="G4730">
        <v>20301</v>
      </c>
      <c r="H4730" t="s">
        <v>4944</v>
      </c>
      <c r="I4730" t="s">
        <v>5191</v>
      </c>
      <c r="J4730">
        <v>8</v>
      </c>
      <c r="K4730" t="s">
        <v>4738</v>
      </c>
      <c r="L4730">
        <v>166.24</v>
      </c>
      <c r="M4730">
        <v>20.78</v>
      </c>
      <c r="N4730" t="s">
        <v>5272</v>
      </c>
      <c r="O4730" t="s">
        <v>459</v>
      </c>
    </row>
    <row r="4731" spans="1:15" x14ac:dyDescent="0.3">
      <c r="A4731">
        <v>205139</v>
      </c>
      <c r="B4731">
        <v>105</v>
      </c>
      <c r="C4731" t="s">
        <v>557</v>
      </c>
      <c r="D4731" t="s">
        <v>2571</v>
      </c>
      <c r="E4731" t="s">
        <v>3617</v>
      </c>
      <c r="F4731" s="451">
        <v>46042</v>
      </c>
      <c r="G4731">
        <v>25022</v>
      </c>
      <c r="H4731" t="s">
        <v>4912</v>
      </c>
      <c r="I4731" t="s">
        <v>5191</v>
      </c>
      <c r="J4731">
        <v>4</v>
      </c>
      <c r="K4731" t="s">
        <v>4738</v>
      </c>
      <c r="L4731">
        <v>14.8</v>
      </c>
      <c r="M4731">
        <v>3.7</v>
      </c>
      <c r="N4731" t="s">
        <v>5272</v>
      </c>
      <c r="O4731" t="s">
        <v>459</v>
      </c>
    </row>
    <row r="4732" spans="1:15" x14ac:dyDescent="0.3">
      <c r="A4732">
        <v>205139</v>
      </c>
      <c r="B4732">
        <v>105</v>
      </c>
      <c r="C4732" t="s">
        <v>557</v>
      </c>
      <c r="D4732" t="s">
        <v>2571</v>
      </c>
      <c r="E4732" t="s">
        <v>3617</v>
      </c>
      <c r="F4732" s="451">
        <v>46042</v>
      </c>
      <c r="G4732">
        <v>23808</v>
      </c>
      <c r="H4732" t="s">
        <v>4982</v>
      </c>
      <c r="I4732" t="s">
        <v>5191</v>
      </c>
      <c r="J4732">
        <v>1</v>
      </c>
      <c r="K4732" t="s">
        <v>4744</v>
      </c>
      <c r="L4732">
        <v>67.099999999999994</v>
      </c>
      <c r="M4732">
        <v>67.099999999999994</v>
      </c>
      <c r="N4732" t="s">
        <v>5272</v>
      </c>
      <c r="O4732" t="s">
        <v>459</v>
      </c>
    </row>
    <row r="4733" spans="1:15" x14ac:dyDescent="0.3">
      <c r="A4733">
        <v>205139</v>
      </c>
      <c r="B4733">
        <v>105</v>
      </c>
      <c r="C4733" t="s">
        <v>557</v>
      </c>
      <c r="D4733" t="s">
        <v>2571</v>
      </c>
      <c r="E4733" t="s">
        <v>3617</v>
      </c>
      <c r="F4733" s="451">
        <v>46042</v>
      </c>
      <c r="G4733">
        <v>19967</v>
      </c>
      <c r="H4733" t="s">
        <v>4956</v>
      </c>
      <c r="I4733" t="s">
        <v>5191</v>
      </c>
      <c r="J4733">
        <v>1</v>
      </c>
      <c r="K4733" t="s">
        <v>4848</v>
      </c>
      <c r="L4733">
        <v>49.88</v>
      </c>
      <c r="M4733">
        <v>49.88</v>
      </c>
      <c r="N4733" t="s">
        <v>5272</v>
      </c>
      <c r="O4733" t="s">
        <v>459</v>
      </c>
    </row>
    <row r="4734" spans="1:15" x14ac:dyDescent="0.3">
      <c r="A4734">
        <v>205139</v>
      </c>
      <c r="B4734">
        <v>105</v>
      </c>
      <c r="C4734" t="s">
        <v>557</v>
      </c>
      <c r="D4734" t="s">
        <v>2571</v>
      </c>
      <c r="E4734" t="s">
        <v>3617</v>
      </c>
      <c r="F4734" s="451">
        <v>46042</v>
      </c>
      <c r="G4734">
        <v>23088</v>
      </c>
      <c r="H4734" t="s">
        <v>5027</v>
      </c>
      <c r="I4734" t="s">
        <v>5191</v>
      </c>
      <c r="J4734">
        <v>1</v>
      </c>
      <c r="K4734" t="s">
        <v>4736</v>
      </c>
      <c r="L4734">
        <v>25.6</v>
      </c>
      <c r="M4734">
        <v>25.6</v>
      </c>
      <c r="N4734" t="s">
        <v>5272</v>
      </c>
      <c r="O4734" t="s">
        <v>459</v>
      </c>
    </row>
    <row r="4735" spans="1:15" x14ac:dyDescent="0.3">
      <c r="A4735">
        <v>205139</v>
      </c>
      <c r="B4735">
        <v>105</v>
      </c>
      <c r="C4735" t="s">
        <v>557</v>
      </c>
      <c r="D4735" t="s">
        <v>2571</v>
      </c>
      <c r="E4735" t="s">
        <v>3617</v>
      </c>
      <c r="F4735" s="451">
        <v>46042</v>
      </c>
      <c r="G4735">
        <v>27397</v>
      </c>
      <c r="H4735" t="s">
        <v>4913</v>
      </c>
      <c r="I4735" t="s">
        <v>5191</v>
      </c>
      <c r="J4735">
        <v>4</v>
      </c>
      <c r="K4735" t="s">
        <v>4736</v>
      </c>
      <c r="L4735">
        <v>251.92</v>
      </c>
      <c r="M4735">
        <v>62.98</v>
      </c>
      <c r="N4735" t="s">
        <v>5272</v>
      </c>
      <c r="O4735" t="s">
        <v>459</v>
      </c>
    </row>
    <row r="4736" spans="1:15" x14ac:dyDescent="0.3">
      <c r="A4736">
        <v>205139</v>
      </c>
      <c r="B4736">
        <v>105</v>
      </c>
      <c r="C4736" t="s">
        <v>557</v>
      </c>
      <c r="D4736" t="s">
        <v>2571</v>
      </c>
      <c r="E4736" t="s">
        <v>3617</v>
      </c>
      <c r="F4736" s="451">
        <v>46042</v>
      </c>
      <c r="G4736">
        <v>19421</v>
      </c>
      <c r="H4736" t="s">
        <v>4918</v>
      </c>
      <c r="I4736" t="s">
        <v>5191</v>
      </c>
      <c r="J4736">
        <v>2</v>
      </c>
      <c r="K4736" t="s">
        <v>4749</v>
      </c>
      <c r="L4736">
        <v>106.08</v>
      </c>
      <c r="M4736">
        <v>53.04</v>
      </c>
      <c r="N4736" t="s">
        <v>5272</v>
      </c>
      <c r="O4736" t="s">
        <v>459</v>
      </c>
    </row>
    <row r="4737" spans="1:15" x14ac:dyDescent="0.3">
      <c r="A4737">
        <v>205139</v>
      </c>
      <c r="B4737">
        <v>105</v>
      </c>
      <c r="C4737" t="s">
        <v>557</v>
      </c>
      <c r="D4737" t="s">
        <v>2571</v>
      </c>
      <c r="E4737" t="s">
        <v>3617</v>
      </c>
      <c r="F4737" s="451">
        <v>46042</v>
      </c>
      <c r="G4737">
        <v>19906</v>
      </c>
      <c r="H4737" t="s">
        <v>5159</v>
      </c>
      <c r="I4737" t="s">
        <v>5191</v>
      </c>
      <c r="J4737">
        <v>1</v>
      </c>
      <c r="K4737" t="s">
        <v>4738</v>
      </c>
      <c r="L4737">
        <v>33.6</v>
      </c>
      <c r="M4737">
        <v>33.6</v>
      </c>
      <c r="N4737" t="s">
        <v>5272</v>
      </c>
      <c r="O4737" t="s">
        <v>459</v>
      </c>
    </row>
    <row r="4738" spans="1:15" x14ac:dyDescent="0.3">
      <c r="A4738">
        <v>205139</v>
      </c>
      <c r="B4738">
        <v>105</v>
      </c>
      <c r="C4738" t="s">
        <v>557</v>
      </c>
      <c r="D4738" t="s">
        <v>2571</v>
      </c>
      <c r="E4738" t="s">
        <v>3617</v>
      </c>
      <c r="F4738" s="451">
        <v>46042</v>
      </c>
      <c r="G4738">
        <v>19916</v>
      </c>
      <c r="H4738" t="s">
        <v>4826</v>
      </c>
      <c r="I4738" t="s">
        <v>5191</v>
      </c>
      <c r="J4738">
        <v>1</v>
      </c>
      <c r="K4738" t="s">
        <v>4738</v>
      </c>
      <c r="L4738">
        <v>34.5</v>
      </c>
      <c r="M4738">
        <v>34.5</v>
      </c>
      <c r="N4738" t="s">
        <v>5272</v>
      </c>
      <c r="O4738" t="s">
        <v>459</v>
      </c>
    </row>
    <row r="4739" spans="1:15" x14ac:dyDescent="0.3">
      <c r="A4739">
        <v>205129</v>
      </c>
      <c r="B4739">
        <v>105</v>
      </c>
      <c r="C4739" t="s">
        <v>557</v>
      </c>
      <c r="D4739" t="s">
        <v>2571</v>
      </c>
      <c r="E4739" t="s">
        <v>3618</v>
      </c>
      <c r="F4739" s="451">
        <v>46045</v>
      </c>
      <c r="G4739">
        <v>20242</v>
      </c>
      <c r="H4739" t="s">
        <v>4824</v>
      </c>
      <c r="I4739" t="s">
        <v>5191</v>
      </c>
      <c r="J4739">
        <v>5</v>
      </c>
      <c r="K4739" t="s">
        <v>4738</v>
      </c>
      <c r="L4739">
        <v>70.5</v>
      </c>
      <c r="M4739">
        <v>14.1</v>
      </c>
      <c r="N4739" t="s">
        <v>5272</v>
      </c>
      <c r="O4739" t="s">
        <v>459</v>
      </c>
    </row>
    <row r="4740" spans="1:15" x14ac:dyDescent="0.3">
      <c r="A4740">
        <v>205129</v>
      </c>
      <c r="B4740">
        <v>105</v>
      </c>
      <c r="C4740" t="s">
        <v>557</v>
      </c>
      <c r="D4740" t="s">
        <v>2571</v>
      </c>
      <c r="E4740" t="s">
        <v>3618</v>
      </c>
      <c r="F4740" s="451">
        <v>46045</v>
      </c>
      <c r="G4740">
        <v>20809</v>
      </c>
      <c r="H4740" t="s">
        <v>4822</v>
      </c>
      <c r="I4740" t="s">
        <v>5191</v>
      </c>
      <c r="J4740">
        <v>8</v>
      </c>
      <c r="K4740" t="s">
        <v>4738</v>
      </c>
      <c r="L4740">
        <v>263.83999999999997</v>
      </c>
      <c r="M4740">
        <v>32.979999999999997</v>
      </c>
      <c r="N4740" t="s">
        <v>5272</v>
      </c>
      <c r="O4740" t="s">
        <v>459</v>
      </c>
    </row>
    <row r="4741" spans="1:15" x14ac:dyDescent="0.3">
      <c r="A4741">
        <v>205129</v>
      </c>
      <c r="B4741">
        <v>105</v>
      </c>
      <c r="C4741" t="s">
        <v>557</v>
      </c>
      <c r="D4741" t="s">
        <v>2571</v>
      </c>
      <c r="E4741" t="s">
        <v>3618</v>
      </c>
      <c r="F4741" s="451">
        <v>46045</v>
      </c>
      <c r="G4741">
        <v>19291</v>
      </c>
      <c r="H4741" t="s">
        <v>4870</v>
      </c>
      <c r="I4741" t="s">
        <v>5191</v>
      </c>
      <c r="J4741">
        <v>5</v>
      </c>
      <c r="K4741" t="s">
        <v>4744</v>
      </c>
      <c r="L4741">
        <v>394.5</v>
      </c>
      <c r="M4741">
        <v>78.900000000000006</v>
      </c>
      <c r="N4741" t="s">
        <v>5272</v>
      </c>
      <c r="O4741" t="s">
        <v>459</v>
      </c>
    </row>
    <row r="4742" spans="1:15" x14ac:dyDescent="0.3">
      <c r="A4742">
        <v>205129</v>
      </c>
      <c r="B4742">
        <v>105</v>
      </c>
      <c r="C4742" t="s">
        <v>557</v>
      </c>
      <c r="D4742" t="s">
        <v>2571</v>
      </c>
      <c r="E4742" t="s">
        <v>3618</v>
      </c>
      <c r="F4742" s="451">
        <v>46045</v>
      </c>
      <c r="G4742">
        <v>20653</v>
      </c>
      <c r="H4742" t="s">
        <v>5013</v>
      </c>
      <c r="I4742" t="s">
        <v>5191</v>
      </c>
      <c r="J4742">
        <v>1</v>
      </c>
      <c r="K4742" t="s">
        <v>4736</v>
      </c>
      <c r="L4742">
        <v>24.7</v>
      </c>
      <c r="M4742">
        <v>24.7</v>
      </c>
      <c r="N4742" t="s">
        <v>5272</v>
      </c>
      <c r="O4742" t="s">
        <v>459</v>
      </c>
    </row>
    <row r="4743" spans="1:15" x14ac:dyDescent="0.3">
      <c r="A4743">
        <v>205129</v>
      </c>
      <c r="B4743">
        <v>105</v>
      </c>
      <c r="C4743" t="s">
        <v>557</v>
      </c>
      <c r="D4743" t="s">
        <v>2571</v>
      </c>
      <c r="E4743" t="s">
        <v>3618</v>
      </c>
      <c r="F4743" s="451">
        <v>46045</v>
      </c>
      <c r="G4743">
        <v>21093</v>
      </c>
      <c r="H4743" t="s">
        <v>4855</v>
      </c>
      <c r="I4743" t="s">
        <v>5191</v>
      </c>
      <c r="J4743">
        <v>10</v>
      </c>
      <c r="K4743" t="s">
        <v>4736</v>
      </c>
      <c r="L4743">
        <v>46.4</v>
      </c>
      <c r="M4743">
        <v>4.6399999999999997</v>
      </c>
      <c r="N4743" t="s">
        <v>5272</v>
      </c>
      <c r="O4743" t="s">
        <v>459</v>
      </c>
    </row>
    <row r="4744" spans="1:15" x14ac:dyDescent="0.3">
      <c r="A4744">
        <v>205129</v>
      </c>
      <c r="B4744">
        <v>105</v>
      </c>
      <c r="C4744" t="s">
        <v>557</v>
      </c>
      <c r="D4744" t="s">
        <v>2571</v>
      </c>
      <c r="E4744" t="s">
        <v>3618</v>
      </c>
      <c r="F4744" s="451">
        <v>46045</v>
      </c>
      <c r="G4744">
        <v>20138</v>
      </c>
      <c r="H4744" t="s">
        <v>4886</v>
      </c>
      <c r="I4744" t="s">
        <v>5191</v>
      </c>
      <c r="J4744">
        <v>3</v>
      </c>
      <c r="K4744" t="s">
        <v>4738</v>
      </c>
      <c r="L4744">
        <v>15.45</v>
      </c>
      <c r="M4744">
        <v>5.15</v>
      </c>
      <c r="N4744" t="s">
        <v>5272</v>
      </c>
      <c r="O4744" t="s">
        <v>459</v>
      </c>
    </row>
    <row r="4745" spans="1:15" x14ac:dyDescent="0.3">
      <c r="A4745">
        <v>205129</v>
      </c>
      <c r="B4745">
        <v>105</v>
      </c>
      <c r="C4745" t="s">
        <v>557</v>
      </c>
      <c r="D4745" t="s">
        <v>2571</v>
      </c>
      <c r="E4745" t="s">
        <v>3618</v>
      </c>
      <c r="F4745" s="451">
        <v>46045</v>
      </c>
      <c r="G4745">
        <v>21024</v>
      </c>
      <c r="H4745" t="s">
        <v>5403</v>
      </c>
      <c r="I4745" t="s">
        <v>5191</v>
      </c>
      <c r="J4745">
        <v>3</v>
      </c>
      <c r="K4745" t="s">
        <v>4884</v>
      </c>
      <c r="L4745">
        <v>525.6</v>
      </c>
      <c r="M4745">
        <v>175.2</v>
      </c>
      <c r="N4745" t="s">
        <v>5272</v>
      </c>
      <c r="O4745" t="s">
        <v>459</v>
      </c>
    </row>
    <row r="4746" spans="1:15" x14ac:dyDescent="0.3">
      <c r="A4746">
        <v>205129</v>
      </c>
      <c r="B4746">
        <v>105</v>
      </c>
      <c r="C4746" t="s">
        <v>557</v>
      </c>
      <c r="D4746" t="s">
        <v>2571</v>
      </c>
      <c r="E4746" t="s">
        <v>3618</v>
      </c>
      <c r="F4746" s="451">
        <v>46045</v>
      </c>
      <c r="G4746">
        <v>20644</v>
      </c>
      <c r="H4746" t="s">
        <v>5016</v>
      </c>
      <c r="I4746" t="s">
        <v>5191</v>
      </c>
      <c r="J4746">
        <v>2</v>
      </c>
      <c r="K4746" t="s">
        <v>4736</v>
      </c>
      <c r="L4746">
        <v>7.78</v>
      </c>
      <c r="M4746">
        <v>3.89</v>
      </c>
      <c r="N4746" t="s">
        <v>5272</v>
      </c>
      <c r="O4746" t="s">
        <v>459</v>
      </c>
    </row>
    <row r="4747" spans="1:15" x14ac:dyDescent="0.3">
      <c r="A4747">
        <v>205129</v>
      </c>
      <c r="B4747">
        <v>105</v>
      </c>
      <c r="C4747" t="s">
        <v>557</v>
      </c>
      <c r="D4747" t="s">
        <v>2571</v>
      </c>
      <c r="E4747" t="s">
        <v>3618</v>
      </c>
      <c r="F4747" s="451">
        <v>46045</v>
      </c>
      <c r="G4747">
        <v>20301</v>
      </c>
      <c r="H4747" t="s">
        <v>4944</v>
      </c>
      <c r="I4747" t="s">
        <v>5191</v>
      </c>
      <c r="J4747">
        <v>6</v>
      </c>
      <c r="K4747" t="s">
        <v>4738</v>
      </c>
      <c r="L4747">
        <v>124.68</v>
      </c>
      <c r="M4747">
        <v>20.78</v>
      </c>
      <c r="N4747" t="s">
        <v>5272</v>
      </c>
      <c r="O4747" t="s">
        <v>459</v>
      </c>
    </row>
    <row r="4748" spans="1:15" x14ac:dyDescent="0.3">
      <c r="A4748">
        <v>205129</v>
      </c>
      <c r="B4748">
        <v>105</v>
      </c>
      <c r="C4748" t="s">
        <v>557</v>
      </c>
      <c r="D4748" t="s">
        <v>2571</v>
      </c>
      <c r="E4748" t="s">
        <v>3618</v>
      </c>
      <c r="F4748" s="451">
        <v>46045</v>
      </c>
      <c r="G4748">
        <v>21047</v>
      </c>
      <c r="H4748" t="s">
        <v>4847</v>
      </c>
      <c r="I4748" t="s">
        <v>5191</v>
      </c>
      <c r="J4748">
        <v>1</v>
      </c>
      <c r="K4748" t="s">
        <v>4848</v>
      </c>
      <c r="L4748">
        <v>121.5</v>
      </c>
      <c r="M4748">
        <v>121.5</v>
      </c>
      <c r="N4748" t="s">
        <v>5272</v>
      </c>
      <c r="O4748" t="s">
        <v>459</v>
      </c>
    </row>
    <row r="4749" spans="1:15" x14ac:dyDescent="0.3">
      <c r="A4749">
        <v>205129</v>
      </c>
      <c r="B4749">
        <v>105</v>
      </c>
      <c r="C4749" t="s">
        <v>557</v>
      </c>
      <c r="D4749" t="s">
        <v>2571</v>
      </c>
      <c r="E4749" t="s">
        <v>3618</v>
      </c>
      <c r="F4749" s="451">
        <v>46045</v>
      </c>
      <c r="G4749">
        <v>25022</v>
      </c>
      <c r="H4749" t="s">
        <v>4912</v>
      </c>
      <c r="I4749" t="s">
        <v>5191</v>
      </c>
      <c r="J4749">
        <v>4</v>
      </c>
      <c r="K4749" t="s">
        <v>4738</v>
      </c>
      <c r="L4749">
        <v>14.8</v>
      </c>
      <c r="M4749">
        <v>3.7</v>
      </c>
      <c r="N4749" t="s">
        <v>5272</v>
      </c>
      <c r="O4749" t="s">
        <v>459</v>
      </c>
    </row>
    <row r="4750" spans="1:15" x14ac:dyDescent="0.3">
      <c r="A4750">
        <v>205129</v>
      </c>
      <c r="B4750">
        <v>105</v>
      </c>
      <c r="C4750" t="s">
        <v>557</v>
      </c>
      <c r="D4750" t="s">
        <v>2571</v>
      </c>
      <c r="E4750" t="s">
        <v>3618</v>
      </c>
      <c r="F4750" s="451">
        <v>46045</v>
      </c>
      <c r="G4750">
        <v>26020</v>
      </c>
      <c r="H4750" t="s">
        <v>5102</v>
      </c>
      <c r="I4750" t="s">
        <v>5191</v>
      </c>
      <c r="J4750">
        <v>3</v>
      </c>
      <c r="K4750" t="s">
        <v>4736</v>
      </c>
      <c r="L4750">
        <v>43.14</v>
      </c>
      <c r="M4750">
        <v>14.38</v>
      </c>
      <c r="N4750" t="s">
        <v>5272</v>
      </c>
      <c r="O4750" t="s">
        <v>459</v>
      </c>
    </row>
    <row r="4751" spans="1:15" x14ac:dyDescent="0.3">
      <c r="A4751">
        <v>205129</v>
      </c>
      <c r="B4751">
        <v>105</v>
      </c>
      <c r="C4751" t="s">
        <v>557</v>
      </c>
      <c r="D4751" t="s">
        <v>2571</v>
      </c>
      <c r="E4751" t="s">
        <v>3618</v>
      </c>
      <c r="F4751" s="451">
        <v>46045</v>
      </c>
      <c r="G4751">
        <v>19421</v>
      </c>
      <c r="H4751" t="s">
        <v>4918</v>
      </c>
      <c r="I4751" t="s">
        <v>5191</v>
      </c>
      <c r="J4751">
        <v>2</v>
      </c>
      <c r="K4751" t="s">
        <v>4749</v>
      </c>
      <c r="L4751">
        <v>105.96</v>
      </c>
      <c r="M4751">
        <v>52.98</v>
      </c>
      <c r="N4751" t="s">
        <v>5272</v>
      </c>
      <c r="O4751" t="s">
        <v>459</v>
      </c>
    </row>
    <row r="4752" spans="1:15" x14ac:dyDescent="0.3">
      <c r="A4752">
        <v>205129</v>
      </c>
      <c r="B4752">
        <v>105</v>
      </c>
      <c r="C4752" t="s">
        <v>557</v>
      </c>
      <c r="D4752" t="s">
        <v>2571</v>
      </c>
      <c r="E4752" t="s">
        <v>3618</v>
      </c>
      <c r="F4752" s="451">
        <v>46045</v>
      </c>
      <c r="G4752">
        <v>20057</v>
      </c>
      <c r="H4752" t="s">
        <v>4949</v>
      </c>
      <c r="I4752" t="s">
        <v>5191</v>
      </c>
      <c r="J4752">
        <v>1</v>
      </c>
      <c r="K4752" t="s">
        <v>4848</v>
      </c>
      <c r="L4752">
        <v>41.99</v>
      </c>
      <c r="M4752">
        <v>41.99</v>
      </c>
      <c r="N4752" t="s">
        <v>5272</v>
      </c>
      <c r="O4752" t="s">
        <v>459</v>
      </c>
    </row>
    <row r="4753" spans="1:15" x14ac:dyDescent="0.3">
      <c r="A4753">
        <v>205129</v>
      </c>
      <c r="B4753">
        <v>105</v>
      </c>
      <c r="C4753" t="s">
        <v>557</v>
      </c>
      <c r="D4753" t="s">
        <v>2571</v>
      </c>
      <c r="E4753" t="s">
        <v>3618</v>
      </c>
      <c r="F4753" s="451">
        <v>46045</v>
      </c>
      <c r="G4753">
        <v>20984</v>
      </c>
      <c r="H4753" t="s">
        <v>5133</v>
      </c>
      <c r="I4753" t="s">
        <v>5191</v>
      </c>
      <c r="J4753">
        <v>12</v>
      </c>
      <c r="K4753" t="s">
        <v>4888</v>
      </c>
      <c r="L4753">
        <v>103.44</v>
      </c>
      <c r="M4753">
        <v>8.6199999999999992</v>
      </c>
      <c r="N4753" t="s">
        <v>5272</v>
      </c>
      <c r="O4753" t="s">
        <v>459</v>
      </c>
    </row>
    <row r="4754" spans="1:15" x14ac:dyDescent="0.3">
      <c r="A4754">
        <v>205129</v>
      </c>
      <c r="B4754">
        <v>105</v>
      </c>
      <c r="C4754" t="s">
        <v>557</v>
      </c>
      <c r="D4754" t="s">
        <v>2571</v>
      </c>
      <c r="E4754" t="s">
        <v>3618</v>
      </c>
      <c r="F4754" s="451">
        <v>46045</v>
      </c>
      <c r="G4754">
        <v>27397</v>
      </c>
      <c r="H4754" t="s">
        <v>4913</v>
      </c>
      <c r="I4754" t="s">
        <v>5191</v>
      </c>
      <c r="J4754">
        <v>3</v>
      </c>
      <c r="K4754" t="s">
        <v>4736</v>
      </c>
      <c r="L4754">
        <v>188.94</v>
      </c>
      <c r="M4754">
        <v>62.98</v>
      </c>
      <c r="N4754" t="s">
        <v>5272</v>
      </c>
      <c r="O4754" t="s">
        <v>459</v>
      </c>
    </row>
    <row r="4755" spans="1:15" x14ac:dyDescent="0.3">
      <c r="A4755">
        <v>205115</v>
      </c>
      <c r="B4755">
        <v>105</v>
      </c>
      <c r="C4755" t="s">
        <v>557</v>
      </c>
      <c r="D4755" t="s">
        <v>2571</v>
      </c>
      <c r="E4755" t="s">
        <v>3619</v>
      </c>
      <c r="F4755" s="451">
        <v>46049</v>
      </c>
      <c r="G4755">
        <v>17878</v>
      </c>
      <c r="H4755" t="s">
        <v>4926</v>
      </c>
      <c r="I4755" t="s">
        <v>5222</v>
      </c>
      <c r="J4755">
        <v>2</v>
      </c>
      <c r="K4755" t="s">
        <v>4736</v>
      </c>
      <c r="L4755">
        <v>50.96</v>
      </c>
      <c r="M4755">
        <v>25.48</v>
      </c>
      <c r="N4755" t="s">
        <v>1785</v>
      </c>
      <c r="O4755" t="s">
        <v>459</v>
      </c>
    </row>
    <row r="4756" spans="1:15" x14ac:dyDescent="0.3">
      <c r="A4756">
        <v>205114</v>
      </c>
      <c r="B4756">
        <v>105</v>
      </c>
      <c r="C4756" t="s">
        <v>557</v>
      </c>
      <c r="D4756" t="s">
        <v>2571</v>
      </c>
      <c r="E4756" t="s">
        <v>3620</v>
      </c>
      <c r="F4756" s="451">
        <v>46052</v>
      </c>
      <c r="G4756">
        <v>20322</v>
      </c>
      <c r="H4756" t="s">
        <v>4882</v>
      </c>
      <c r="I4756" t="s">
        <v>5191</v>
      </c>
      <c r="J4756">
        <v>1</v>
      </c>
      <c r="K4756" t="s">
        <v>5238</v>
      </c>
      <c r="L4756">
        <v>10.8</v>
      </c>
      <c r="M4756">
        <v>10.8</v>
      </c>
      <c r="N4756" t="s">
        <v>5191</v>
      </c>
      <c r="O4756" t="s">
        <v>459</v>
      </c>
    </row>
    <row r="4757" spans="1:15" x14ac:dyDescent="0.3">
      <c r="A4757">
        <v>205114</v>
      </c>
      <c r="B4757">
        <v>105</v>
      </c>
      <c r="C4757" t="s">
        <v>557</v>
      </c>
      <c r="D4757" t="s">
        <v>2571</v>
      </c>
      <c r="E4757" t="s">
        <v>3620</v>
      </c>
      <c r="F4757" s="451">
        <v>46052</v>
      </c>
      <c r="G4757">
        <v>21093</v>
      </c>
      <c r="H4757" t="s">
        <v>4855</v>
      </c>
      <c r="I4757" t="s">
        <v>5191</v>
      </c>
      <c r="J4757">
        <v>10</v>
      </c>
      <c r="K4757" t="s">
        <v>4736</v>
      </c>
      <c r="L4757">
        <v>46.4</v>
      </c>
      <c r="M4757">
        <v>4.6399999999999997</v>
      </c>
      <c r="N4757" t="s">
        <v>5191</v>
      </c>
      <c r="O4757" t="s">
        <v>459</v>
      </c>
    </row>
    <row r="4758" spans="1:15" x14ac:dyDescent="0.3">
      <c r="A4758">
        <v>205114</v>
      </c>
      <c r="B4758">
        <v>105</v>
      </c>
      <c r="C4758" t="s">
        <v>557</v>
      </c>
      <c r="D4758" t="s">
        <v>2571</v>
      </c>
      <c r="E4758" t="s">
        <v>3620</v>
      </c>
      <c r="F4758" s="451">
        <v>46052</v>
      </c>
      <c r="G4758">
        <v>20138</v>
      </c>
      <c r="H4758" t="s">
        <v>4886</v>
      </c>
      <c r="I4758" t="s">
        <v>5191</v>
      </c>
      <c r="J4758">
        <v>5</v>
      </c>
      <c r="K4758" t="s">
        <v>4738</v>
      </c>
      <c r="L4758">
        <v>25.75</v>
      </c>
      <c r="M4758">
        <v>5.15</v>
      </c>
      <c r="N4758" t="s">
        <v>5191</v>
      </c>
      <c r="O4758" t="s">
        <v>459</v>
      </c>
    </row>
    <row r="4759" spans="1:15" x14ac:dyDescent="0.3">
      <c r="A4759">
        <v>205114</v>
      </c>
      <c r="B4759">
        <v>105</v>
      </c>
      <c r="C4759" t="s">
        <v>557</v>
      </c>
      <c r="D4759" t="s">
        <v>2571</v>
      </c>
      <c r="E4759" t="s">
        <v>3620</v>
      </c>
      <c r="F4759" s="451">
        <v>46052</v>
      </c>
      <c r="G4759">
        <v>25022</v>
      </c>
      <c r="H4759" t="s">
        <v>4912</v>
      </c>
      <c r="I4759" t="s">
        <v>5191</v>
      </c>
      <c r="J4759">
        <v>5</v>
      </c>
      <c r="K4759" t="s">
        <v>4738</v>
      </c>
      <c r="L4759">
        <v>18.5</v>
      </c>
      <c r="M4759">
        <v>3.7</v>
      </c>
      <c r="N4759" t="s">
        <v>5191</v>
      </c>
      <c r="O4759" t="s">
        <v>459</v>
      </c>
    </row>
    <row r="4760" spans="1:15" x14ac:dyDescent="0.3">
      <c r="A4760">
        <v>205114</v>
      </c>
      <c r="B4760">
        <v>105</v>
      </c>
      <c r="C4760" t="s">
        <v>557</v>
      </c>
      <c r="D4760" t="s">
        <v>2571</v>
      </c>
      <c r="E4760" t="s">
        <v>3620</v>
      </c>
      <c r="F4760" s="451">
        <v>46052</v>
      </c>
      <c r="G4760">
        <v>23088</v>
      </c>
      <c r="H4760" t="s">
        <v>5027</v>
      </c>
      <c r="I4760" t="s">
        <v>5191</v>
      </c>
      <c r="J4760">
        <v>1</v>
      </c>
      <c r="K4760" t="s">
        <v>4736</v>
      </c>
      <c r="L4760">
        <v>25.6</v>
      </c>
      <c r="M4760">
        <v>25.6</v>
      </c>
      <c r="N4760" t="s">
        <v>5191</v>
      </c>
      <c r="O4760" t="s">
        <v>459</v>
      </c>
    </row>
    <row r="4761" spans="1:15" x14ac:dyDescent="0.3">
      <c r="A4761">
        <v>205114</v>
      </c>
      <c r="B4761">
        <v>105</v>
      </c>
      <c r="C4761" t="s">
        <v>557</v>
      </c>
      <c r="D4761" t="s">
        <v>2571</v>
      </c>
      <c r="E4761" t="s">
        <v>3620</v>
      </c>
      <c r="F4761" s="451">
        <v>46052</v>
      </c>
      <c r="G4761">
        <v>27397</v>
      </c>
      <c r="H4761" t="s">
        <v>4913</v>
      </c>
      <c r="I4761" t="s">
        <v>5191</v>
      </c>
      <c r="J4761">
        <v>2</v>
      </c>
      <c r="K4761" t="s">
        <v>4736</v>
      </c>
      <c r="L4761">
        <v>125.96</v>
      </c>
      <c r="M4761">
        <v>62.98</v>
      </c>
      <c r="N4761" t="s">
        <v>5191</v>
      </c>
      <c r="O4761" t="s">
        <v>459</v>
      </c>
    </row>
    <row r="4762" spans="1:15" x14ac:dyDescent="0.3">
      <c r="A4762">
        <v>205113</v>
      </c>
      <c r="B4762">
        <v>105</v>
      </c>
      <c r="C4762" t="s">
        <v>557</v>
      </c>
      <c r="D4762" t="s">
        <v>2569</v>
      </c>
      <c r="E4762" t="s">
        <v>3621</v>
      </c>
      <c r="F4762" s="451">
        <v>46041</v>
      </c>
      <c r="G4762">
        <v>17958</v>
      </c>
      <c r="H4762" t="s">
        <v>5076</v>
      </c>
      <c r="I4762" t="s">
        <v>5222</v>
      </c>
      <c r="J4762">
        <v>8</v>
      </c>
      <c r="K4762" t="s">
        <v>4738</v>
      </c>
      <c r="L4762">
        <v>141.6</v>
      </c>
      <c r="M4762">
        <v>17.7</v>
      </c>
      <c r="N4762" t="s">
        <v>5271</v>
      </c>
      <c r="O4762" t="s">
        <v>459</v>
      </c>
    </row>
    <row r="4763" spans="1:15" x14ac:dyDescent="0.3">
      <c r="A4763">
        <v>205113</v>
      </c>
      <c r="B4763">
        <v>105</v>
      </c>
      <c r="C4763" t="s">
        <v>557</v>
      </c>
      <c r="D4763" t="s">
        <v>2569</v>
      </c>
      <c r="E4763" t="s">
        <v>3621</v>
      </c>
      <c r="F4763" s="451">
        <v>46041</v>
      </c>
      <c r="G4763">
        <v>17950</v>
      </c>
      <c r="H4763" t="s">
        <v>5091</v>
      </c>
      <c r="I4763" t="s">
        <v>5222</v>
      </c>
      <c r="J4763">
        <v>8</v>
      </c>
      <c r="K4763" t="s">
        <v>4738</v>
      </c>
      <c r="L4763">
        <v>149.6</v>
      </c>
      <c r="M4763">
        <v>18.7</v>
      </c>
      <c r="N4763" t="s">
        <v>5271</v>
      </c>
      <c r="O4763" t="s">
        <v>459</v>
      </c>
    </row>
    <row r="4764" spans="1:15" x14ac:dyDescent="0.3">
      <c r="A4764">
        <v>205112</v>
      </c>
      <c r="B4764">
        <v>105</v>
      </c>
      <c r="C4764" t="s">
        <v>557</v>
      </c>
      <c r="D4764" t="s">
        <v>2569</v>
      </c>
      <c r="E4764" t="s">
        <v>3622</v>
      </c>
      <c r="F4764" s="451">
        <v>46048</v>
      </c>
      <c r="G4764">
        <v>17958</v>
      </c>
      <c r="H4764" t="s">
        <v>5076</v>
      </c>
      <c r="I4764" t="s">
        <v>5222</v>
      </c>
      <c r="J4764">
        <v>7</v>
      </c>
      <c r="K4764" t="s">
        <v>4738</v>
      </c>
      <c r="L4764">
        <v>123.9</v>
      </c>
      <c r="M4764">
        <v>17.7</v>
      </c>
      <c r="N4764" t="s">
        <v>5383</v>
      </c>
      <c r="O4764" t="s">
        <v>459</v>
      </c>
    </row>
    <row r="4765" spans="1:15" x14ac:dyDescent="0.3">
      <c r="A4765">
        <v>205112</v>
      </c>
      <c r="B4765">
        <v>105</v>
      </c>
      <c r="C4765" t="s">
        <v>557</v>
      </c>
      <c r="D4765" t="s">
        <v>2569</v>
      </c>
      <c r="E4765" t="s">
        <v>3622</v>
      </c>
      <c r="F4765" s="451">
        <v>46048</v>
      </c>
      <c r="G4765">
        <v>17950</v>
      </c>
      <c r="H4765" t="s">
        <v>5091</v>
      </c>
      <c r="I4765" t="s">
        <v>5222</v>
      </c>
      <c r="J4765">
        <v>10</v>
      </c>
      <c r="K4765" t="s">
        <v>4738</v>
      </c>
      <c r="L4765">
        <v>187</v>
      </c>
      <c r="M4765">
        <v>18.7</v>
      </c>
      <c r="N4765" t="s">
        <v>5383</v>
      </c>
      <c r="O4765" t="s">
        <v>459</v>
      </c>
    </row>
    <row r="4766" spans="1:15" x14ac:dyDescent="0.3">
      <c r="A4766">
        <v>205111</v>
      </c>
      <c r="B4766">
        <v>105</v>
      </c>
      <c r="C4766" t="s">
        <v>557</v>
      </c>
      <c r="D4766" t="s">
        <v>2563</v>
      </c>
      <c r="E4766" t="s">
        <v>3623</v>
      </c>
      <c r="F4766" s="451">
        <v>46044</v>
      </c>
      <c r="G4766">
        <v>19737</v>
      </c>
      <c r="H4766" t="s">
        <v>4940</v>
      </c>
      <c r="I4766" t="s">
        <v>5191</v>
      </c>
      <c r="J4766">
        <v>1</v>
      </c>
      <c r="K4766" t="s">
        <v>4744</v>
      </c>
      <c r="L4766">
        <v>7.12</v>
      </c>
      <c r="M4766">
        <v>7.12</v>
      </c>
      <c r="N4766" t="s">
        <v>5272</v>
      </c>
      <c r="O4766" t="s">
        <v>459</v>
      </c>
    </row>
    <row r="4767" spans="1:15" x14ac:dyDescent="0.3">
      <c r="A4767">
        <v>205111</v>
      </c>
      <c r="B4767">
        <v>105</v>
      </c>
      <c r="C4767" t="s">
        <v>557</v>
      </c>
      <c r="D4767" t="s">
        <v>2563</v>
      </c>
      <c r="E4767" t="s">
        <v>3623</v>
      </c>
      <c r="F4767" s="451">
        <v>46044</v>
      </c>
      <c r="G4767">
        <v>19502</v>
      </c>
      <c r="H4767" t="s">
        <v>4871</v>
      </c>
      <c r="I4767" t="s">
        <v>5191</v>
      </c>
      <c r="J4767">
        <v>3.8</v>
      </c>
      <c r="K4767" t="s">
        <v>4744</v>
      </c>
      <c r="L4767">
        <v>68.89</v>
      </c>
      <c r="M4767">
        <v>18.128947</v>
      </c>
      <c r="N4767" t="s">
        <v>5272</v>
      </c>
      <c r="O4767" t="s">
        <v>459</v>
      </c>
    </row>
    <row r="4768" spans="1:15" x14ac:dyDescent="0.3">
      <c r="A4768">
        <v>205111</v>
      </c>
      <c r="B4768">
        <v>105</v>
      </c>
      <c r="C4768" t="s">
        <v>557</v>
      </c>
      <c r="D4768" t="s">
        <v>2563</v>
      </c>
      <c r="E4768" t="s">
        <v>3623</v>
      </c>
      <c r="F4768" s="451">
        <v>46044</v>
      </c>
      <c r="G4768">
        <v>19551</v>
      </c>
      <c r="H4768" t="s">
        <v>4905</v>
      </c>
      <c r="I4768" t="s">
        <v>5191</v>
      </c>
      <c r="J4768">
        <v>2</v>
      </c>
      <c r="K4768" t="s">
        <v>4744</v>
      </c>
      <c r="L4768">
        <v>26.1</v>
      </c>
      <c r="M4768">
        <v>13.05</v>
      </c>
      <c r="N4768" t="s">
        <v>5272</v>
      </c>
      <c r="O4768" t="s">
        <v>459</v>
      </c>
    </row>
    <row r="4769" spans="1:15" x14ac:dyDescent="0.3">
      <c r="A4769">
        <v>205111</v>
      </c>
      <c r="B4769">
        <v>105</v>
      </c>
      <c r="C4769" t="s">
        <v>557</v>
      </c>
      <c r="D4769" t="s">
        <v>2563</v>
      </c>
      <c r="E4769" t="s">
        <v>3623</v>
      </c>
      <c r="F4769" s="451">
        <v>46044</v>
      </c>
      <c r="G4769">
        <v>19734</v>
      </c>
      <c r="H4769" t="s">
        <v>4833</v>
      </c>
      <c r="I4769" t="s">
        <v>5191</v>
      </c>
      <c r="J4769">
        <v>1</v>
      </c>
      <c r="K4769" t="s">
        <v>4744</v>
      </c>
      <c r="L4769">
        <v>15.3</v>
      </c>
      <c r="M4769">
        <v>15.3</v>
      </c>
      <c r="N4769" t="s">
        <v>5272</v>
      </c>
      <c r="O4769" t="s">
        <v>459</v>
      </c>
    </row>
    <row r="4770" spans="1:15" x14ac:dyDescent="0.3">
      <c r="A4770">
        <v>205110</v>
      </c>
      <c r="B4770">
        <v>105</v>
      </c>
      <c r="C4770" t="s">
        <v>557</v>
      </c>
      <c r="D4770" t="s">
        <v>2563</v>
      </c>
      <c r="E4770" t="s">
        <v>3624</v>
      </c>
      <c r="F4770" s="451">
        <v>46050</v>
      </c>
      <c r="G4770">
        <v>19502</v>
      </c>
      <c r="H4770" t="s">
        <v>4871</v>
      </c>
      <c r="I4770" t="s">
        <v>5191</v>
      </c>
      <c r="J4770">
        <v>2.5</v>
      </c>
      <c r="K4770" t="s">
        <v>4744</v>
      </c>
      <c r="L4770">
        <v>45.32</v>
      </c>
      <c r="M4770">
        <v>18.128</v>
      </c>
      <c r="N4770" t="s">
        <v>5272</v>
      </c>
      <c r="O4770" t="s">
        <v>459</v>
      </c>
    </row>
    <row r="4771" spans="1:15" x14ac:dyDescent="0.3">
      <c r="A4771">
        <v>205110</v>
      </c>
      <c r="B4771">
        <v>105</v>
      </c>
      <c r="C4771" t="s">
        <v>557</v>
      </c>
      <c r="D4771" t="s">
        <v>2563</v>
      </c>
      <c r="E4771" t="s">
        <v>3624</v>
      </c>
      <c r="F4771" s="451">
        <v>46050</v>
      </c>
      <c r="G4771">
        <v>23389</v>
      </c>
      <c r="H4771" t="s">
        <v>4960</v>
      </c>
      <c r="I4771" t="s">
        <v>5191</v>
      </c>
      <c r="J4771">
        <v>3.5</v>
      </c>
      <c r="K4771" t="s">
        <v>4744</v>
      </c>
      <c r="L4771">
        <v>18.170000000000002</v>
      </c>
      <c r="M4771">
        <v>5.1914290000000003</v>
      </c>
      <c r="N4771" t="s">
        <v>5272</v>
      </c>
      <c r="O4771" t="s">
        <v>459</v>
      </c>
    </row>
    <row r="4772" spans="1:15" x14ac:dyDescent="0.3">
      <c r="A4772">
        <v>205109</v>
      </c>
      <c r="B4772">
        <v>105</v>
      </c>
      <c r="C4772" t="s">
        <v>557</v>
      </c>
      <c r="D4772" t="s">
        <v>2605</v>
      </c>
      <c r="E4772" t="s">
        <v>3625</v>
      </c>
      <c r="F4772" s="451">
        <v>46041</v>
      </c>
      <c r="G4772">
        <v>20242</v>
      </c>
      <c r="H4772" t="s">
        <v>4824</v>
      </c>
      <c r="I4772" t="s">
        <v>5191</v>
      </c>
      <c r="J4772">
        <v>10</v>
      </c>
      <c r="K4772" t="s">
        <v>4738</v>
      </c>
      <c r="L4772">
        <v>142</v>
      </c>
      <c r="M4772">
        <v>14.2</v>
      </c>
      <c r="N4772" t="s">
        <v>5272</v>
      </c>
      <c r="O4772" t="s">
        <v>459</v>
      </c>
    </row>
    <row r="4773" spans="1:15" x14ac:dyDescent="0.3">
      <c r="A4773">
        <v>205109</v>
      </c>
      <c r="B4773">
        <v>105</v>
      </c>
      <c r="C4773" t="s">
        <v>557</v>
      </c>
      <c r="D4773" t="s">
        <v>2605</v>
      </c>
      <c r="E4773" t="s">
        <v>3625</v>
      </c>
      <c r="F4773" s="451">
        <v>46041</v>
      </c>
      <c r="G4773">
        <v>20227</v>
      </c>
      <c r="H4773" t="s">
        <v>4825</v>
      </c>
      <c r="I4773" t="s">
        <v>5191</v>
      </c>
      <c r="J4773">
        <v>10</v>
      </c>
      <c r="K4773" t="s">
        <v>4738</v>
      </c>
      <c r="L4773">
        <v>100</v>
      </c>
      <c r="M4773">
        <v>10</v>
      </c>
      <c r="N4773" t="s">
        <v>5272</v>
      </c>
      <c r="O4773" t="s">
        <v>459</v>
      </c>
    </row>
    <row r="4774" spans="1:15" x14ac:dyDescent="0.3">
      <c r="A4774">
        <v>205109</v>
      </c>
      <c r="B4774">
        <v>105</v>
      </c>
      <c r="C4774" t="s">
        <v>557</v>
      </c>
      <c r="D4774" t="s">
        <v>2605</v>
      </c>
      <c r="E4774" t="s">
        <v>3625</v>
      </c>
      <c r="F4774" s="451">
        <v>46041</v>
      </c>
      <c r="G4774">
        <v>20122</v>
      </c>
      <c r="H4774" t="s">
        <v>4781</v>
      </c>
      <c r="I4774" t="s">
        <v>5191</v>
      </c>
      <c r="J4774">
        <v>8</v>
      </c>
      <c r="K4774" t="s">
        <v>4738</v>
      </c>
      <c r="L4774">
        <v>116.8</v>
      </c>
      <c r="M4774">
        <v>14.6</v>
      </c>
      <c r="N4774" t="s">
        <v>5272</v>
      </c>
      <c r="O4774" t="s">
        <v>459</v>
      </c>
    </row>
    <row r="4775" spans="1:15" x14ac:dyDescent="0.3">
      <c r="A4775">
        <v>205109</v>
      </c>
      <c r="B4775">
        <v>105</v>
      </c>
      <c r="C4775" t="s">
        <v>557</v>
      </c>
      <c r="D4775" t="s">
        <v>2605</v>
      </c>
      <c r="E4775" t="s">
        <v>3625</v>
      </c>
      <c r="F4775" s="451">
        <v>46041</v>
      </c>
      <c r="G4775">
        <v>19710</v>
      </c>
      <c r="H4775" t="s">
        <v>4963</v>
      </c>
      <c r="I4775" t="s">
        <v>5191</v>
      </c>
      <c r="J4775">
        <v>0.5</v>
      </c>
      <c r="K4775" t="s">
        <v>5228</v>
      </c>
      <c r="L4775">
        <v>21.5</v>
      </c>
      <c r="M4775">
        <v>43</v>
      </c>
      <c r="N4775" t="s">
        <v>5272</v>
      </c>
      <c r="O4775" t="s">
        <v>459</v>
      </c>
    </row>
    <row r="4776" spans="1:15" x14ac:dyDescent="0.3">
      <c r="A4776">
        <v>205109</v>
      </c>
      <c r="B4776">
        <v>105</v>
      </c>
      <c r="C4776" t="s">
        <v>557</v>
      </c>
      <c r="D4776" t="s">
        <v>2605</v>
      </c>
      <c r="E4776" t="s">
        <v>3625</v>
      </c>
      <c r="F4776" s="451">
        <v>46041</v>
      </c>
      <c r="G4776">
        <v>20689</v>
      </c>
      <c r="H4776" t="s">
        <v>5007</v>
      </c>
      <c r="I4776" t="s">
        <v>5191</v>
      </c>
      <c r="J4776">
        <v>2</v>
      </c>
      <c r="K4776" t="s">
        <v>4736</v>
      </c>
      <c r="L4776">
        <v>73.8</v>
      </c>
      <c r="M4776">
        <v>36.9</v>
      </c>
      <c r="N4776" t="s">
        <v>5272</v>
      </c>
      <c r="O4776" t="s">
        <v>459</v>
      </c>
    </row>
    <row r="4777" spans="1:15" x14ac:dyDescent="0.3">
      <c r="A4777">
        <v>205109</v>
      </c>
      <c r="B4777">
        <v>105</v>
      </c>
      <c r="C4777" t="s">
        <v>557</v>
      </c>
      <c r="D4777" t="s">
        <v>2605</v>
      </c>
      <c r="E4777" t="s">
        <v>3625</v>
      </c>
      <c r="F4777" s="451">
        <v>46041</v>
      </c>
      <c r="G4777">
        <v>20657</v>
      </c>
      <c r="H4777" t="s">
        <v>5109</v>
      </c>
      <c r="I4777" t="s">
        <v>5191</v>
      </c>
      <c r="J4777">
        <v>4</v>
      </c>
      <c r="K4777" t="s">
        <v>5206</v>
      </c>
      <c r="L4777">
        <v>25.44</v>
      </c>
      <c r="M4777">
        <v>6.36</v>
      </c>
      <c r="N4777" t="s">
        <v>5272</v>
      </c>
      <c r="O4777" t="s">
        <v>459</v>
      </c>
    </row>
    <row r="4778" spans="1:15" x14ac:dyDescent="0.3">
      <c r="A4778">
        <v>205109</v>
      </c>
      <c r="B4778">
        <v>105</v>
      </c>
      <c r="C4778" t="s">
        <v>557</v>
      </c>
      <c r="D4778" t="s">
        <v>2605</v>
      </c>
      <c r="E4778" t="s">
        <v>3625</v>
      </c>
      <c r="F4778" s="451">
        <v>46041</v>
      </c>
      <c r="G4778">
        <v>20007</v>
      </c>
      <c r="H4778" t="s">
        <v>5101</v>
      </c>
      <c r="I4778" t="s">
        <v>5191</v>
      </c>
      <c r="J4778">
        <v>2</v>
      </c>
      <c r="K4778" t="s">
        <v>4884</v>
      </c>
      <c r="L4778">
        <v>97.6</v>
      </c>
      <c r="M4778">
        <v>48.8</v>
      </c>
      <c r="N4778" t="s">
        <v>5272</v>
      </c>
      <c r="O4778" t="s">
        <v>459</v>
      </c>
    </row>
    <row r="4779" spans="1:15" x14ac:dyDescent="0.3">
      <c r="A4779">
        <v>205109</v>
      </c>
      <c r="B4779">
        <v>105</v>
      </c>
      <c r="C4779" t="s">
        <v>557</v>
      </c>
      <c r="D4779" t="s">
        <v>2605</v>
      </c>
      <c r="E4779" t="s">
        <v>3625</v>
      </c>
      <c r="F4779" s="451">
        <v>46041</v>
      </c>
      <c r="G4779">
        <v>19224</v>
      </c>
      <c r="H4779" t="s">
        <v>5100</v>
      </c>
      <c r="I4779" t="s">
        <v>5191</v>
      </c>
      <c r="J4779">
        <v>1</v>
      </c>
      <c r="K4779" t="s">
        <v>4736</v>
      </c>
      <c r="L4779">
        <v>247.8</v>
      </c>
      <c r="M4779">
        <v>247.8</v>
      </c>
      <c r="N4779" t="s">
        <v>5272</v>
      </c>
      <c r="O4779" t="s">
        <v>459</v>
      </c>
    </row>
    <row r="4780" spans="1:15" x14ac:dyDescent="0.3">
      <c r="A4780">
        <v>205109</v>
      </c>
      <c r="B4780">
        <v>105</v>
      </c>
      <c r="C4780" t="s">
        <v>557</v>
      </c>
      <c r="D4780" t="s">
        <v>2605</v>
      </c>
      <c r="E4780" t="s">
        <v>3625</v>
      </c>
      <c r="F4780" s="451">
        <v>46041</v>
      </c>
      <c r="G4780">
        <v>19439</v>
      </c>
      <c r="H4780" t="s">
        <v>4917</v>
      </c>
      <c r="I4780" t="s">
        <v>5191</v>
      </c>
      <c r="J4780">
        <v>3</v>
      </c>
      <c r="K4780" t="s">
        <v>4738</v>
      </c>
      <c r="L4780">
        <v>100.14</v>
      </c>
      <c r="M4780">
        <v>33.380000000000003</v>
      </c>
      <c r="N4780" t="s">
        <v>5272</v>
      </c>
      <c r="O4780" t="s">
        <v>459</v>
      </c>
    </row>
    <row r="4781" spans="1:15" x14ac:dyDescent="0.3">
      <c r="A4781">
        <v>205109</v>
      </c>
      <c r="B4781">
        <v>105</v>
      </c>
      <c r="C4781" t="s">
        <v>557</v>
      </c>
      <c r="D4781" t="s">
        <v>2605</v>
      </c>
      <c r="E4781" t="s">
        <v>3625</v>
      </c>
      <c r="F4781" s="451">
        <v>46041</v>
      </c>
      <c r="G4781">
        <v>20585</v>
      </c>
      <c r="H4781" t="s">
        <v>5025</v>
      </c>
      <c r="I4781" t="s">
        <v>5191</v>
      </c>
      <c r="J4781">
        <v>1</v>
      </c>
      <c r="K4781" t="s">
        <v>4736</v>
      </c>
      <c r="L4781">
        <v>29</v>
      </c>
      <c r="M4781">
        <v>29</v>
      </c>
      <c r="N4781" t="s">
        <v>5272</v>
      </c>
      <c r="O4781" t="s">
        <v>459</v>
      </c>
    </row>
    <row r="4782" spans="1:15" x14ac:dyDescent="0.3">
      <c r="A4782">
        <v>205109</v>
      </c>
      <c r="B4782">
        <v>105</v>
      </c>
      <c r="C4782" t="s">
        <v>557</v>
      </c>
      <c r="D4782" t="s">
        <v>2605</v>
      </c>
      <c r="E4782" t="s">
        <v>3625</v>
      </c>
      <c r="F4782" s="451">
        <v>46041</v>
      </c>
      <c r="G4782">
        <v>20624</v>
      </c>
      <c r="H4782" t="s">
        <v>5019</v>
      </c>
      <c r="I4782" t="s">
        <v>5191</v>
      </c>
      <c r="J4782">
        <v>1</v>
      </c>
      <c r="K4782" t="s">
        <v>4736</v>
      </c>
      <c r="L4782">
        <v>68.2</v>
      </c>
      <c r="M4782">
        <v>68.2</v>
      </c>
      <c r="N4782" t="s">
        <v>5272</v>
      </c>
      <c r="O4782" t="s">
        <v>459</v>
      </c>
    </row>
    <row r="4783" spans="1:15" x14ac:dyDescent="0.3">
      <c r="A4783">
        <v>205109</v>
      </c>
      <c r="B4783">
        <v>105</v>
      </c>
      <c r="C4783" t="s">
        <v>557</v>
      </c>
      <c r="D4783" t="s">
        <v>2605</v>
      </c>
      <c r="E4783" t="s">
        <v>3625</v>
      </c>
      <c r="F4783" s="451">
        <v>46041</v>
      </c>
      <c r="G4783">
        <v>21257</v>
      </c>
      <c r="H4783" t="s">
        <v>4952</v>
      </c>
      <c r="I4783" t="s">
        <v>5191</v>
      </c>
      <c r="J4783">
        <v>3</v>
      </c>
      <c r="K4783" t="s">
        <v>4736</v>
      </c>
      <c r="L4783">
        <v>56.25</v>
      </c>
      <c r="M4783">
        <v>18.75</v>
      </c>
      <c r="N4783" t="s">
        <v>5272</v>
      </c>
      <c r="O4783" t="s">
        <v>459</v>
      </c>
    </row>
    <row r="4784" spans="1:15" x14ac:dyDescent="0.3">
      <c r="A4784">
        <v>205109</v>
      </c>
      <c r="B4784">
        <v>105</v>
      </c>
      <c r="C4784" t="s">
        <v>557</v>
      </c>
      <c r="D4784" t="s">
        <v>2605</v>
      </c>
      <c r="E4784" t="s">
        <v>3625</v>
      </c>
      <c r="F4784" s="451">
        <v>46041</v>
      </c>
      <c r="G4784">
        <v>23502</v>
      </c>
      <c r="H4784" t="s">
        <v>4930</v>
      </c>
      <c r="I4784" t="s">
        <v>5191</v>
      </c>
      <c r="J4784">
        <v>2</v>
      </c>
      <c r="K4784" t="s">
        <v>4744</v>
      </c>
      <c r="L4784">
        <v>14.5</v>
      </c>
      <c r="M4784">
        <v>7.25</v>
      </c>
      <c r="N4784" t="s">
        <v>5272</v>
      </c>
      <c r="O4784" t="s">
        <v>459</v>
      </c>
    </row>
    <row r="4785" spans="1:15" x14ac:dyDescent="0.3">
      <c r="A4785">
        <v>205107</v>
      </c>
      <c r="B4785">
        <v>105</v>
      </c>
      <c r="C4785" t="s">
        <v>557</v>
      </c>
      <c r="D4785" t="s">
        <v>2605</v>
      </c>
      <c r="E4785" t="s">
        <v>3626</v>
      </c>
      <c r="F4785" s="451">
        <v>46045</v>
      </c>
      <c r="G4785">
        <v>19241</v>
      </c>
      <c r="H4785" t="s">
        <v>4890</v>
      </c>
      <c r="I4785" t="s">
        <v>5191</v>
      </c>
      <c r="J4785">
        <v>3</v>
      </c>
      <c r="K4785" t="s">
        <v>5206</v>
      </c>
      <c r="L4785">
        <v>11.25</v>
      </c>
      <c r="M4785">
        <v>3.75</v>
      </c>
      <c r="N4785" t="s">
        <v>5272</v>
      </c>
      <c r="O4785" t="s">
        <v>459</v>
      </c>
    </row>
    <row r="4786" spans="1:15" x14ac:dyDescent="0.3">
      <c r="A4786">
        <v>205107</v>
      </c>
      <c r="B4786">
        <v>105</v>
      </c>
      <c r="C4786" t="s">
        <v>557</v>
      </c>
      <c r="D4786" t="s">
        <v>2605</v>
      </c>
      <c r="E4786" t="s">
        <v>3626</v>
      </c>
      <c r="F4786" s="451">
        <v>46045</v>
      </c>
      <c r="G4786">
        <v>24322</v>
      </c>
      <c r="H4786" t="s">
        <v>5064</v>
      </c>
      <c r="I4786" t="s">
        <v>5191</v>
      </c>
      <c r="J4786">
        <v>1</v>
      </c>
      <c r="K4786" t="s">
        <v>5238</v>
      </c>
      <c r="L4786">
        <v>22</v>
      </c>
      <c r="M4786">
        <v>22</v>
      </c>
      <c r="N4786" t="s">
        <v>5272</v>
      </c>
      <c r="O4786" t="s">
        <v>459</v>
      </c>
    </row>
    <row r="4787" spans="1:15" x14ac:dyDescent="0.3">
      <c r="A4787">
        <v>205107</v>
      </c>
      <c r="B4787">
        <v>105</v>
      </c>
      <c r="C4787" t="s">
        <v>557</v>
      </c>
      <c r="D4787" t="s">
        <v>2605</v>
      </c>
      <c r="E4787" t="s">
        <v>3626</v>
      </c>
      <c r="F4787" s="451">
        <v>46045</v>
      </c>
      <c r="G4787">
        <v>20007</v>
      </c>
      <c r="H4787" t="s">
        <v>5101</v>
      </c>
      <c r="I4787" t="s">
        <v>5191</v>
      </c>
      <c r="J4787">
        <v>3</v>
      </c>
      <c r="K4787" t="s">
        <v>4884</v>
      </c>
      <c r="L4787">
        <v>146.4</v>
      </c>
      <c r="M4787">
        <v>48.8</v>
      </c>
      <c r="N4787" t="s">
        <v>5272</v>
      </c>
      <c r="O4787" t="s">
        <v>459</v>
      </c>
    </row>
    <row r="4788" spans="1:15" x14ac:dyDescent="0.3">
      <c r="A4788">
        <v>205107</v>
      </c>
      <c r="B4788">
        <v>105</v>
      </c>
      <c r="C4788" t="s">
        <v>557</v>
      </c>
      <c r="D4788" t="s">
        <v>2605</v>
      </c>
      <c r="E4788" t="s">
        <v>3626</v>
      </c>
      <c r="F4788" s="451">
        <v>46045</v>
      </c>
      <c r="G4788">
        <v>19224</v>
      </c>
      <c r="H4788" t="s">
        <v>5100</v>
      </c>
      <c r="I4788" t="s">
        <v>5191</v>
      </c>
      <c r="J4788">
        <v>1</v>
      </c>
      <c r="K4788" t="s">
        <v>4736</v>
      </c>
      <c r="L4788">
        <v>247.8</v>
      </c>
      <c r="M4788">
        <v>247.8</v>
      </c>
      <c r="N4788" t="s">
        <v>5272</v>
      </c>
      <c r="O4788" t="s">
        <v>459</v>
      </c>
    </row>
    <row r="4789" spans="1:15" x14ac:dyDescent="0.3">
      <c r="A4789">
        <v>205107</v>
      </c>
      <c r="B4789">
        <v>105</v>
      </c>
      <c r="C4789" t="s">
        <v>557</v>
      </c>
      <c r="D4789" t="s">
        <v>2605</v>
      </c>
      <c r="E4789" t="s">
        <v>3626</v>
      </c>
      <c r="F4789" s="451">
        <v>46045</v>
      </c>
      <c r="G4789">
        <v>19415</v>
      </c>
      <c r="H4789" t="s">
        <v>4919</v>
      </c>
      <c r="I4789" t="s">
        <v>5191</v>
      </c>
      <c r="J4789">
        <v>2</v>
      </c>
      <c r="K4789" t="s">
        <v>4736</v>
      </c>
      <c r="L4789">
        <v>15.6</v>
      </c>
      <c r="M4789">
        <v>7.8</v>
      </c>
      <c r="N4789" t="s">
        <v>5272</v>
      </c>
      <c r="O4789" t="s">
        <v>459</v>
      </c>
    </row>
    <row r="4790" spans="1:15" x14ac:dyDescent="0.3">
      <c r="A4790">
        <v>205107</v>
      </c>
      <c r="B4790">
        <v>105</v>
      </c>
      <c r="C4790" t="s">
        <v>557</v>
      </c>
      <c r="D4790" t="s">
        <v>2605</v>
      </c>
      <c r="E4790" t="s">
        <v>3626</v>
      </c>
      <c r="F4790" s="451">
        <v>46045</v>
      </c>
      <c r="G4790">
        <v>23808</v>
      </c>
      <c r="H4790" t="s">
        <v>4982</v>
      </c>
      <c r="I4790" t="s">
        <v>5191</v>
      </c>
      <c r="J4790">
        <v>1</v>
      </c>
      <c r="K4790" t="s">
        <v>4744</v>
      </c>
      <c r="L4790">
        <v>67.099999999999994</v>
      </c>
      <c r="M4790">
        <v>67.099999999999994</v>
      </c>
      <c r="N4790" t="s">
        <v>5272</v>
      </c>
      <c r="O4790" t="s">
        <v>459</v>
      </c>
    </row>
    <row r="4791" spans="1:15" x14ac:dyDescent="0.3">
      <c r="A4791">
        <v>205107</v>
      </c>
      <c r="B4791">
        <v>105</v>
      </c>
      <c r="C4791" t="s">
        <v>557</v>
      </c>
      <c r="D4791" t="s">
        <v>2605</v>
      </c>
      <c r="E4791" t="s">
        <v>3626</v>
      </c>
      <c r="F4791" s="451">
        <v>46045</v>
      </c>
      <c r="G4791">
        <v>20624</v>
      </c>
      <c r="H4791" t="s">
        <v>5019</v>
      </c>
      <c r="I4791" t="s">
        <v>5191</v>
      </c>
      <c r="J4791">
        <v>1</v>
      </c>
      <c r="K4791" t="s">
        <v>4736</v>
      </c>
      <c r="L4791">
        <v>68.2</v>
      </c>
      <c r="M4791">
        <v>68.2</v>
      </c>
      <c r="N4791" t="s">
        <v>5272</v>
      </c>
      <c r="O4791" t="s">
        <v>459</v>
      </c>
    </row>
    <row r="4792" spans="1:15" x14ac:dyDescent="0.3">
      <c r="A4792">
        <v>205107</v>
      </c>
      <c r="B4792">
        <v>105</v>
      </c>
      <c r="C4792" t="s">
        <v>557</v>
      </c>
      <c r="D4792" t="s">
        <v>2605</v>
      </c>
      <c r="E4792" t="s">
        <v>3626</v>
      </c>
      <c r="F4792" s="451">
        <v>46045</v>
      </c>
      <c r="G4792">
        <v>23884</v>
      </c>
      <c r="H4792" t="s">
        <v>5070</v>
      </c>
      <c r="I4792" t="s">
        <v>5191</v>
      </c>
      <c r="J4792">
        <v>2</v>
      </c>
      <c r="K4792" t="s">
        <v>4736</v>
      </c>
      <c r="L4792">
        <v>17.98</v>
      </c>
      <c r="M4792">
        <v>8.99</v>
      </c>
      <c r="N4792" t="s">
        <v>5272</v>
      </c>
      <c r="O4792" t="s">
        <v>459</v>
      </c>
    </row>
    <row r="4793" spans="1:15" x14ac:dyDescent="0.3">
      <c r="A4793">
        <v>205107</v>
      </c>
      <c r="B4793">
        <v>105</v>
      </c>
      <c r="C4793" t="s">
        <v>557</v>
      </c>
      <c r="D4793" t="s">
        <v>2605</v>
      </c>
      <c r="E4793" t="s">
        <v>3626</v>
      </c>
      <c r="F4793" s="451">
        <v>46045</v>
      </c>
      <c r="G4793">
        <v>19967</v>
      </c>
      <c r="H4793" t="s">
        <v>4956</v>
      </c>
      <c r="I4793" t="s">
        <v>5191</v>
      </c>
      <c r="J4793">
        <v>1</v>
      </c>
      <c r="K4793" t="s">
        <v>4848</v>
      </c>
      <c r="L4793">
        <v>49.1</v>
      </c>
      <c r="M4793">
        <v>49.1</v>
      </c>
      <c r="N4793" t="s">
        <v>5272</v>
      </c>
      <c r="O4793" t="s">
        <v>459</v>
      </c>
    </row>
    <row r="4794" spans="1:15" x14ac:dyDescent="0.3">
      <c r="A4794">
        <v>205103</v>
      </c>
      <c r="B4794">
        <v>105</v>
      </c>
      <c r="C4794" t="s">
        <v>557</v>
      </c>
      <c r="D4794" t="s">
        <v>2605</v>
      </c>
      <c r="E4794" t="s">
        <v>3627</v>
      </c>
      <c r="F4794" s="451">
        <v>46049</v>
      </c>
      <c r="G4794">
        <v>18550</v>
      </c>
      <c r="H4794" t="s">
        <v>4967</v>
      </c>
      <c r="I4794" t="s">
        <v>5222</v>
      </c>
      <c r="J4794">
        <v>1</v>
      </c>
      <c r="K4794" t="s">
        <v>4736</v>
      </c>
      <c r="L4794">
        <v>374.8</v>
      </c>
      <c r="M4794">
        <v>374.8</v>
      </c>
      <c r="N4794" t="s">
        <v>5271</v>
      </c>
      <c r="O4794" t="s">
        <v>459</v>
      </c>
    </row>
    <row r="4795" spans="1:15" x14ac:dyDescent="0.3">
      <c r="A4795">
        <v>205103</v>
      </c>
      <c r="B4795">
        <v>105</v>
      </c>
      <c r="C4795" t="s">
        <v>557</v>
      </c>
      <c r="D4795" t="s">
        <v>2605</v>
      </c>
      <c r="E4795" t="s">
        <v>3627</v>
      </c>
      <c r="F4795" s="451">
        <v>46049</v>
      </c>
      <c r="G4795">
        <v>18327</v>
      </c>
      <c r="H4795" t="s">
        <v>5035</v>
      </c>
      <c r="I4795" t="s">
        <v>5222</v>
      </c>
      <c r="J4795">
        <v>1</v>
      </c>
      <c r="K4795" t="s">
        <v>4805</v>
      </c>
      <c r="L4795">
        <v>105.9</v>
      </c>
      <c r="M4795">
        <v>105.9</v>
      </c>
      <c r="N4795" t="s">
        <v>5271</v>
      </c>
      <c r="O4795" t="s">
        <v>459</v>
      </c>
    </row>
    <row r="4796" spans="1:15" x14ac:dyDescent="0.3">
      <c r="A4796">
        <v>205103</v>
      </c>
      <c r="B4796">
        <v>105</v>
      </c>
      <c r="C4796" t="s">
        <v>557</v>
      </c>
      <c r="D4796" t="s">
        <v>2605</v>
      </c>
      <c r="E4796" t="s">
        <v>3627</v>
      </c>
      <c r="F4796" s="451">
        <v>46049</v>
      </c>
      <c r="G4796">
        <v>18085</v>
      </c>
      <c r="H4796" t="s">
        <v>4973</v>
      </c>
      <c r="I4796" t="s">
        <v>5222</v>
      </c>
      <c r="J4796">
        <v>1</v>
      </c>
      <c r="K4796" t="s">
        <v>4805</v>
      </c>
      <c r="L4796">
        <v>47.6</v>
      </c>
      <c r="M4796">
        <v>47.6</v>
      </c>
      <c r="N4796" t="s">
        <v>5271</v>
      </c>
      <c r="O4796" t="s">
        <v>459</v>
      </c>
    </row>
    <row r="4797" spans="1:15" x14ac:dyDescent="0.3">
      <c r="A4797">
        <v>205102</v>
      </c>
      <c r="B4797">
        <v>105</v>
      </c>
      <c r="C4797" t="s">
        <v>557</v>
      </c>
      <c r="D4797" t="s">
        <v>2690</v>
      </c>
      <c r="E4797" t="s">
        <v>3628</v>
      </c>
      <c r="F4797" s="451">
        <v>46050</v>
      </c>
      <c r="G4797">
        <v>18253</v>
      </c>
      <c r="H4797" t="s">
        <v>4969</v>
      </c>
      <c r="I4797" t="s">
        <v>5222</v>
      </c>
      <c r="J4797">
        <v>3</v>
      </c>
      <c r="K4797" t="s">
        <v>4805</v>
      </c>
      <c r="L4797">
        <v>84.93</v>
      </c>
      <c r="M4797">
        <v>28.31</v>
      </c>
      <c r="N4797" t="s">
        <v>5271</v>
      </c>
      <c r="O4797" t="s">
        <v>459</v>
      </c>
    </row>
    <row r="4798" spans="1:15" x14ac:dyDescent="0.3">
      <c r="A4798">
        <v>205102</v>
      </c>
      <c r="B4798">
        <v>105</v>
      </c>
      <c r="C4798" t="s">
        <v>557</v>
      </c>
      <c r="D4798" t="s">
        <v>2690</v>
      </c>
      <c r="E4798" t="s">
        <v>3628</v>
      </c>
      <c r="F4798" s="451">
        <v>46050</v>
      </c>
      <c r="G4798">
        <v>18502</v>
      </c>
      <c r="H4798" t="s">
        <v>4893</v>
      </c>
      <c r="I4798" t="s">
        <v>5222</v>
      </c>
      <c r="J4798">
        <v>3</v>
      </c>
      <c r="K4798" t="s">
        <v>4805</v>
      </c>
      <c r="L4798">
        <v>179.1</v>
      </c>
      <c r="M4798">
        <v>59.7</v>
      </c>
      <c r="N4798" t="s">
        <v>5271</v>
      </c>
      <c r="O4798" t="s">
        <v>459</v>
      </c>
    </row>
    <row r="4799" spans="1:15" x14ac:dyDescent="0.3">
      <c r="A4799">
        <v>205071</v>
      </c>
      <c r="B4799">
        <v>105</v>
      </c>
      <c r="C4799" t="s">
        <v>557</v>
      </c>
      <c r="D4799" t="s">
        <v>1786</v>
      </c>
      <c r="E4799" t="s">
        <v>1787</v>
      </c>
      <c r="F4799" s="451">
        <v>46041</v>
      </c>
      <c r="G4799">
        <v>24339</v>
      </c>
      <c r="H4799" t="s">
        <v>4885</v>
      </c>
      <c r="I4799" t="s">
        <v>5191</v>
      </c>
      <c r="J4799">
        <v>2.5</v>
      </c>
      <c r="K4799" t="s">
        <v>4744</v>
      </c>
      <c r="L4799">
        <v>59.75</v>
      </c>
      <c r="M4799">
        <v>23.9</v>
      </c>
      <c r="N4799" t="s">
        <v>5404</v>
      </c>
      <c r="O4799" t="s">
        <v>459</v>
      </c>
    </row>
    <row r="4800" spans="1:15" x14ac:dyDescent="0.3">
      <c r="A4800">
        <v>205071</v>
      </c>
      <c r="B4800">
        <v>105</v>
      </c>
      <c r="C4800" t="s">
        <v>557</v>
      </c>
      <c r="D4800" t="s">
        <v>1786</v>
      </c>
      <c r="E4800" t="s">
        <v>1787</v>
      </c>
      <c r="F4800" s="451">
        <v>46041</v>
      </c>
      <c r="G4800">
        <v>20501</v>
      </c>
      <c r="H4800" t="s">
        <v>4760</v>
      </c>
      <c r="I4800" t="s">
        <v>5191</v>
      </c>
      <c r="J4800">
        <v>25</v>
      </c>
      <c r="K4800" t="s">
        <v>4744</v>
      </c>
      <c r="L4800">
        <v>525</v>
      </c>
      <c r="M4800">
        <v>21</v>
      </c>
      <c r="N4800" t="s">
        <v>5404</v>
      </c>
      <c r="O4800" t="s">
        <v>459</v>
      </c>
    </row>
    <row r="4801" spans="1:15" x14ac:dyDescent="0.3">
      <c r="A4801">
        <v>205061</v>
      </c>
      <c r="B4801">
        <v>105</v>
      </c>
      <c r="C4801" t="s">
        <v>557</v>
      </c>
      <c r="D4801" t="s">
        <v>2605</v>
      </c>
      <c r="E4801" t="s">
        <v>3629</v>
      </c>
      <c r="F4801" s="451">
        <v>46024</v>
      </c>
      <c r="G4801">
        <v>19322</v>
      </c>
      <c r="H4801" t="s">
        <v>4830</v>
      </c>
      <c r="I4801" t="s">
        <v>5191</v>
      </c>
      <c r="J4801">
        <v>8</v>
      </c>
      <c r="K4801" t="s">
        <v>4744</v>
      </c>
      <c r="L4801">
        <v>332</v>
      </c>
      <c r="M4801">
        <v>41.5</v>
      </c>
      <c r="N4801" t="s">
        <v>5405</v>
      </c>
      <c r="O4801" t="s">
        <v>459</v>
      </c>
    </row>
    <row r="4802" spans="1:15" x14ac:dyDescent="0.3">
      <c r="A4802">
        <v>203392</v>
      </c>
      <c r="B4802">
        <v>105</v>
      </c>
      <c r="C4802" t="s">
        <v>557</v>
      </c>
      <c r="D4802" t="s">
        <v>2590</v>
      </c>
      <c r="E4802" t="s">
        <v>3630</v>
      </c>
      <c r="F4802" s="451">
        <v>46041</v>
      </c>
      <c r="G4802">
        <v>17895</v>
      </c>
      <c r="H4802" t="s">
        <v>5086</v>
      </c>
      <c r="I4802" t="s">
        <v>5222</v>
      </c>
      <c r="J4802">
        <v>3</v>
      </c>
      <c r="K4802" t="s">
        <v>4738</v>
      </c>
      <c r="L4802">
        <v>69.180000000000007</v>
      </c>
      <c r="M4802">
        <v>23.06</v>
      </c>
      <c r="N4802" t="s">
        <v>5222</v>
      </c>
      <c r="O4802" t="s">
        <v>459</v>
      </c>
    </row>
    <row r="4803" spans="1:15" x14ac:dyDescent="0.3">
      <c r="A4803">
        <v>203392</v>
      </c>
      <c r="B4803">
        <v>105</v>
      </c>
      <c r="C4803" t="s">
        <v>557</v>
      </c>
      <c r="D4803" t="s">
        <v>2590</v>
      </c>
      <c r="E4803" t="s">
        <v>3630</v>
      </c>
      <c r="F4803" s="451">
        <v>46041</v>
      </c>
      <c r="G4803">
        <v>17886</v>
      </c>
      <c r="H4803" t="s">
        <v>5083</v>
      </c>
      <c r="I4803" t="s">
        <v>5222</v>
      </c>
      <c r="J4803">
        <v>5</v>
      </c>
      <c r="K4803" t="s">
        <v>4738</v>
      </c>
      <c r="L4803">
        <v>115.3</v>
      </c>
      <c r="M4803">
        <v>23.06</v>
      </c>
      <c r="N4803" t="s">
        <v>5222</v>
      </c>
      <c r="O4803" t="s">
        <v>459</v>
      </c>
    </row>
    <row r="4804" spans="1:15" x14ac:dyDescent="0.3">
      <c r="A4804">
        <v>203392</v>
      </c>
      <c r="B4804">
        <v>105</v>
      </c>
      <c r="C4804" t="s">
        <v>557</v>
      </c>
      <c r="D4804" t="s">
        <v>2590</v>
      </c>
      <c r="E4804" t="s">
        <v>3630</v>
      </c>
      <c r="F4804" s="451">
        <v>46041</v>
      </c>
      <c r="G4804">
        <v>17903</v>
      </c>
      <c r="H4804" t="s">
        <v>5084</v>
      </c>
      <c r="I4804" t="s">
        <v>5222</v>
      </c>
      <c r="J4804">
        <v>4</v>
      </c>
      <c r="K4804" t="s">
        <v>4738</v>
      </c>
      <c r="L4804">
        <v>79.88</v>
      </c>
      <c r="M4804">
        <v>19.97</v>
      </c>
      <c r="N4804" t="s">
        <v>5222</v>
      </c>
      <c r="O4804" t="s">
        <v>459</v>
      </c>
    </row>
    <row r="4805" spans="1:15" x14ac:dyDescent="0.3">
      <c r="A4805">
        <v>203392</v>
      </c>
      <c r="B4805">
        <v>105</v>
      </c>
      <c r="C4805" t="s">
        <v>557</v>
      </c>
      <c r="D4805" t="s">
        <v>2590</v>
      </c>
      <c r="E4805" t="s">
        <v>3630</v>
      </c>
      <c r="F4805" s="451">
        <v>46041</v>
      </c>
      <c r="G4805">
        <v>24141</v>
      </c>
      <c r="H4805" t="s">
        <v>5088</v>
      </c>
      <c r="I4805" t="s">
        <v>5222</v>
      </c>
      <c r="J4805">
        <v>2</v>
      </c>
      <c r="K4805" t="s">
        <v>4749</v>
      </c>
      <c r="L4805">
        <v>197.06</v>
      </c>
      <c r="M4805">
        <v>98.53</v>
      </c>
      <c r="N4805" t="s">
        <v>5222</v>
      </c>
      <c r="O4805" t="s">
        <v>459</v>
      </c>
    </row>
    <row r="4806" spans="1:15" x14ac:dyDescent="0.3">
      <c r="A4806">
        <v>203121</v>
      </c>
      <c r="B4806">
        <v>105</v>
      </c>
      <c r="C4806" t="s">
        <v>557</v>
      </c>
      <c r="D4806" t="s">
        <v>2615</v>
      </c>
      <c r="E4806" t="s">
        <v>3631</v>
      </c>
      <c r="F4806" s="451">
        <v>46048</v>
      </c>
      <c r="G4806">
        <v>20623</v>
      </c>
      <c r="H4806" t="s">
        <v>4814</v>
      </c>
      <c r="I4806" t="s">
        <v>5191</v>
      </c>
      <c r="J4806">
        <v>10</v>
      </c>
      <c r="K4806" t="s">
        <v>4744</v>
      </c>
      <c r="L4806">
        <v>110.7</v>
      </c>
      <c r="M4806">
        <v>11.07</v>
      </c>
      <c r="N4806" t="s">
        <v>5272</v>
      </c>
      <c r="O4806" t="s">
        <v>459</v>
      </c>
    </row>
    <row r="4807" spans="1:15" x14ac:dyDescent="0.3">
      <c r="A4807">
        <v>203119</v>
      </c>
      <c r="B4807">
        <v>105</v>
      </c>
      <c r="C4807" t="s">
        <v>557</v>
      </c>
      <c r="D4807" t="s">
        <v>2590</v>
      </c>
      <c r="E4807" t="s">
        <v>3632</v>
      </c>
      <c r="F4807" s="451">
        <v>46046</v>
      </c>
      <c r="G4807">
        <v>18636</v>
      </c>
      <c r="H4807" t="s">
        <v>4964</v>
      </c>
      <c r="I4807" t="s">
        <v>5222</v>
      </c>
      <c r="J4807">
        <v>3</v>
      </c>
      <c r="K4807" t="s">
        <v>4965</v>
      </c>
      <c r="L4807">
        <v>1448.4</v>
      </c>
      <c r="M4807">
        <v>482.8</v>
      </c>
      <c r="N4807" t="s">
        <v>5406</v>
      </c>
      <c r="O4807" t="s">
        <v>459</v>
      </c>
    </row>
    <row r="4808" spans="1:15" x14ac:dyDescent="0.3">
      <c r="A4808">
        <v>203119</v>
      </c>
      <c r="B4808">
        <v>105</v>
      </c>
      <c r="C4808" t="s">
        <v>557</v>
      </c>
      <c r="D4808" t="s">
        <v>2590</v>
      </c>
      <c r="E4808" t="s">
        <v>3632</v>
      </c>
      <c r="F4808" s="451">
        <v>46046</v>
      </c>
      <c r="G4808">
        <v>18589</v>
      </c>
      <c r="H4808" t="s">
        <v>5089</v>
      </c>
      <c r="I4808" t="s">
        <v>5222</v>
      </c>
      <c r="J4808">
        <v>5</v>
      </c>
      <c r="K4808" t="s">
        <v>4738</v>
      </c>
      <c r="L4808">
        <v>483.2</v>
      </c>
      <c r="M4808">
        <v>96.64</v>
      </c>
      <c r="N4808" t="s">
        <v>5406</v>
      </c>
      <c r="O4808" t="s">
        <v>459</v>
      </c>
    </row>
    <row r="4809" spans="1:15" x14ac:dyDescent="0.3">
      <c r="A4809">
        <v>203119</v>
      </c>
      <c r="B4809">
        <v>105</v>
      </c>
      <c r="C4809" t="s">
        <v>557</v>
      </c>
      <c r="D4809" t="s">
        <v>2590</v>
      </c>
      <c r="E4809" t="s">
        <v>3632</v>
      </c>
      <c r="F4809" s="451">
        <v>46046</v>
      </c>
      <c r="G4809">
        <v>18595</v>
      </c>
      <c r="H4809" t="s">
        <v>5092</v>
      </c>
      <c r="I4809" t="s">
        <v>5222</v>
      </c>
      <c r="J4809">
        <v>5</v>
      </c>
      <c r="K4809" t="s">
        <v>4738</v>
      </c>
      <c r="L4809">
        <v>752.4</v>
      </c>
      <c r="M4809">
        <v>150.47999999999999</v>
      </c>
      <c r="N4809" t="s">
        <v>5406</v>
      </c>
      <c r="O4809" t="s">
        <v>459</v>
      </c>
    </row>
    <row r="4810" spans="1:15" x14ac:dyDescent="0.3">
      <c r="A4810">
        <v>203119</v>
      </c>
      <c r="B4810">
        <v>105</v>
      </c>
      <c r="C4810" t="s">
        <v>557</v>
      </c>
      <c r="D4810" t="s">
        <v>2590</v>
      </c>
      <c r="E4810" t="s">
        <v>3632</v>
      </c>
      <c r="F4810" s="451">
        <v>46046</v>
      </c>
      <c r="G4810">
        <v>17905</v>
      </c>
      <c r="H4810" t="s">
        <v>5085</v>
      </c>
      <c r="I4810" t="s">
        <v>5222</v>
      </c>
      <c r="J4810">
        <v>20</v>
      </c>
      <c r="K4810" t="s">
        <v>4738</v>
      </c>
      <c r="L4810">
        <v>510.6</v>
      </c>
      <c r="M4810">
        <v>25.53</v>
      </c>
      <c r="N4810" t="s">
        <v>5406</v>
      </c>
      <c r="O4810" t="s">
        <v>459</v>
      </c>
    </row>
    <row r="4811" spans="1:15" x14ac:dyDescent="0.3">
      <c r="A4811">
        <v>203119</v>
      </c>
      <c r="B4811">
        <v>105</v>
      </c>
      <c r="C4811" t="s">
        <v>557</v>
      </c>
      <c r="D4811" t="s">
        <v>2590</v>
      </c>
      <c r="E4811" t="s">
        <v>3632</v>
      </c>
      <c r="F4811" s="451">
        <v>46046</v>
      </c>
      <c r="G4811">
        <v>17883</v>
      </c>
      <c r="H4811" t="s">
        <v>5113</v>
      </c>
      <c r="I4811" t="s">
        <v>5222</v>
      </c>
      <c r="J4811">
        <v>2</v>
      </c>
      <c r="K4811" t="s">
        <v>4738</v>
      </c>
      <c r="L4811">
        <v>56.64</v>
      </c>
      <c r="M4811">
        <v>28.32</v>
      </c>
      <c r="N4811" t="s">
        <v>5406</v>
      </c>
      <c r="O4811" t="s">
        <v>459</v>
      </c>
    </row>
    <row r="4812" spans="1:15" x14ac:dyDescent="0.3">
      <c r="A4812">
        <v>203119</v>
      </c>
      <c r="B4812">
        <v>105</v>
      </c>
      <c r="C4812" t="s">
        <v>557</v>
      </c>
      <c r="D4812" t="s">
        <v>2590</v>
      </c>
      <c r="E4812" t="s">
        <v>3632</v>
      </c>
      <c r="F4812" s="451">
        <v>46046</v>
      </c>
      <c r="G4812">
        <v>17881</v>
      </c>
      <c r="H4812" t="s">
        <v>5103</v>
      </c>
      <c r="I4812" t="s">
        <v>5222</v>
      </c>
      <c r="J4812">
        <v>2</v>
      </c>
      <c r="K4812" t="s">
        <v>4738</v>
      </c>
      <c r="L4812">
        <v>51.06</v>
      </c>
      <c r="M4812">
        <v>25.53</v>
      </c>
      <c r="N4812" t="s">
        <v>5406</v>
      </c>
      <c r="O4812" t="s">
        <v>459</v>
      </c>
    </row>
    <row r="4813" spans="1:15" x14ac:dyDescent="0.3">
      <c r="A4813">
        <v>203119</v>
      </c>
      <c r="B4813">
        <v>105</v>
      </c>
      <c r="C4813" t="s">
        <v>557</v>
      </c>
      <c r="D4813" t="s">
        <v>2590</v>
      </c>
      <c r="E4813" t="s">
        <v>3632</v>
      </c>
      <c r="F4813" s="451">
        <v>46046</v>
      </c>
      <c r="G4813">
        <v>24973</v>
      </c>
      <c r="H4813" t="s">
        <v>4819</v>
      </c>
      <c r="I4813" t="s">
        <v>5222</v>
      </c>
      <c r="J4813">
        <v>2</v>
      </c>
      <c r="K4813" t="s">
        <v>4738</v>
      </c>
      <c r="L4813">
        <v>159.28</v>
      </c>
      <c r="M4813">
        <v>79.64</v>
      </c>
      <c r="N4813" t="s">
        <v>5406</v>
      </c>
      <c r="O4813" t="s">
        <v>459</v>
      </c>
    </row>
    <row r="4814" spans="1:15" x14ac:dyDescent="0.3">
      <c r="A4814">
        <v>203119</v>
      </c>
      <c r="B4814">
        <v>105</v>
      </c>
      <c r="C4814" t="s">
        <v>557</v>
      </c>
      <c r="D4814" t="s">
        <v>2590</v>
      </c>
      <c r="E4814" t="s">
        <v>3632</v>
      </c>
      <c r="F4814" s="451">
        <v>46046</v>
      </c>
      <c r="G4814">
        <v>17886</v>
      </c>
      <c r="H4814" t="s">
        <v>5083</v>
      </c>
      <c r="I4814" t="s">
        <v>5222</v>
      </c>
      <c r="J4814">
        <v>25</v>
      </c>
      <c r="K4814" t="s">
        <v>4738</v>
      </c>
      <c r="L4814">
        <v>805</v>
      </c>
      <c r="M4814">
        <v>32.200000000000003</v>
      </c>
      <c r="N4814" t="s">
        <v>5406</v>
      </c>
      <c r="O4814" t="s">
        <v>459</v>
      </c>
    </row>
    <row r="4815" spans="1:15" x14ac:dyDescent="0.3">
      <c r="A4815">
        <v>203119</v>
      </c>
      <c r="B4815">
        <v>105</v>
      </c>
      <c r="C4815" t="s">
        <v>557</v>
      </c>
      <c r="D4815" t="s">
        <v>2590</v>
      </c>
      <c r="E4815" t="s">
        <v>3632</v>
      </c>
      <c r="F4815" s="451">
        <v>46046</v>
      </c>
      <c r="G4815">
        <v>17918</v>
      </c>
      <c r="H4815" t="s">
        <v>5368</v>
      </c>
      <c r="I4815" t="s">
        <v>5222</v>
      </c>
      <c r="J4815">
        <v>2</v>
      </c>
      <c r="K4815" t="s">
        <v>4738</v>
      </c>
      <c r="L4815">
        <v>86.4</v>
      </c>
      <c r="M4815">
        <v>43.2</v>
      </c>
      <c r="N4815" t="s">
        <v>5406</v>
      </c>
      <c r="O4815" t="s">
        <v>459</v>
      </c>
    </row>
    <row r="4816" spans="1:15" x14ac:dyDescent="0.3">
      <c r="A4816">
        <v>203119</v>
      </c>
      <c r="B4816">
        <v>105</v>
      </c>
      <c r="C4816" t="s">
        <v>557</v>
      </c>
      <c r="D4816" t="s">
        <v>2590</v>
      </c>
      <c r="E4816" t="s">
        <v>3632</v>
      </c>
      <c r="F4816" s="451">
        <v>46046</v>
      </c>
      <c r="G4816">
        <v>18586</v>
      </c>
      <c r="H4816" t="s">
        <v>4966</v>
      </c>
      <c r="I4816" t="s">
        <v>5222</v>
      </c>
      <c r="J4816">
        <v>1</v>
      </c>
      <c r="K4816" t="s">
        <v>4738</v>
      </c>
      <c r="L4816">
        <v>132.07</v>
      </c>
      <c r="M4816">
        <v>132.07</v>
      </c>
      <c r="N4816" t="s">
        <v>5406</v>
      </c>
      <c r="O4816" t="s">
        <v>459</v>
      </c>
    </row>
    <row r="4817" spans="1:15" x14ac:dyDescent="0.3">
      <c r="A4817">
        <v>203119</v>
      </c>
      <c r="B4817">
        <v>105</v>
      </c>
      <c r="C4817" t="s">
        <v>557</v>
      </c>
      <c r="D4817" t="s">
        <v>2590</v>
      </c>
      <c r="E4817" t="s">
        <v>3632</v>
      </c>
      <c r="F4817" s="451">
        <v>46046</v>
      </c>
      <c r="G4817">
        <v>25561</v>
      </c>
      <c r="H4817" t="s">
        <v>5095</v>
      </c>
      <c r="I4817" t="s">
        <v>5222</v>
      </c>
      <c r="J4817">
        <v>1</v>
      </c>
      <c r="K4817" t="s">
        <v>4738</v>
      </c>
      <c r="L4817">
        <v>132.07</v>
      </c>
      <c r="M4817">
        <v>132.07</v>
      </c>
      <c r="N4817" t="s">
        <v>5406</v>
      </c>
      <c r="O4817" t="s">
        <v>459</v>
      </c>
    </row>
    <row r="4818" spans="1:15" x14ac:dyDescent="0.3">
      <c r="A4818">
        <v>203119</v>
      </c>
      <c r="B4818">
        <v>105</v>
      </c>
      <c r="C4818" t="s">
        <v>557</v>
      </c>
      <c r="D4818" t="s">
        <v>2590</v>
      </c>
      <c r="E4818" t="s">
        <v>3632</v>
      </c>
      <c r="F4818" s="451">
        <v>46046</v>
      </c>
      <c r="G4818">
        <v>18006</v>
      </c>
      <c r="H4818" t="s">
        <v>5094</v>
      </c>
      <c r="I4818" t="s">
        <v>5222</v>
      </c>
      <c r="J4818">
        <v>2</v>
      </c>
      <c r="K4818" t="s">
        <v>4738</v>
      </c>
      <c r="L4818">
        <v>59.28</v>
      </c>
      <c r="M4818">
        <v>29.64</v>
      </c>
      <c r="N4818" t="s">
        <v>5406</v>
      </c>
      <c r="O4818" t="s">
        <v>459</v>
      </c>
    </row>
    <row r="4819" spans="1:15" x14ac:dyDescent="0.3">
      <c r="A4819">
        <v>203118</v>
      </c>
      <c r="B4819">
        <v>105</v>
      </c>
      <c r="C4819" t="s">
        <v>557</v>
      </c>
      <c r="D4819" t="s">
        <v>2705</v>
      </c>
      <c r="E4819" t="s">
        <v>3633</v>
      </c>
      <c r="F4819" s="451">
        <v>46049</v>
      </c>
      <c r="G4819">
        <v>24658</v>
      </c>
      <c r="H4819" t="s">
        <v>5274</v>
      </c>
      <c r="I4819" t="s">
        <v>5232</v>
      </c>
      <c r="J4819">
        <v>15</v>
      </c>
      <c r="K4819" t="s">
        <v>4738</v>
      </c>
      <c r="L4819">
        <v>519</v>
      </c>
      <c r="M4819">
        <v>34.6</v>
      </c>
      <c r="N4819" t="s">
        <v>5275</v>
      </c>
      <c r="O4819" t="s">
        <v>459</v>
      </c>
    </row>
    <row r="4820" spans="1:15" x14ac:dyDescent="0.3">
      <c r="A4820">
        <v>203116</v>
      </c>
      <c r="B4820">
        <v>105</v>
      </c>
      <c r="C4820" t="s">
        <v>557</v>
      </c>
      <c r="D4820" t="s">
        <v>2779</v>
      </c>
      <c r="E4820" t="s">
        <v>3634</v>
      </c>
      <c r="F4820" s="451">
        <v>46050</v>
      </c>
      <c r="G4820">
        <v>19003</v>
      </c>
      <c r="H4820" t="s">
        <v>4810</v>
      </c>
      <c r="I4820" t="s">
        <v>5191</v>
      </c>
      <c r="J4820">
        <v>15.7</v>
      </c>
      <c r="K4820" t="s">
        <v>4744</v>
      </c>
      <c r="L4820">
        <v>626.42999999999995</v>
      </c>
      <c r="M4820">
        <v>39.9</v>
      </c>
      <c r="N4820" t="s">
        <v>5272</v>
      </c>
      <c r="O4820" t="s">
        <v>459</v>
      </c>
    </row>
    <row r="4821" spans="1:15" x14ac:dyDescent="0.3">
      <c r="A4821">
        <v>203116</v>
      </c>
      <c r="B4821">
        <v>105</v>
      </c>
      <c r="C4821" t="s">
        <v>557</v>
      </c>
      <c r="D4821" t="s">
        <v>2779</v>
      </c>
      <c r="E4821" t="s">
        <v>3634</v>
      </c>
      <c r="F4821" s="451">
        <v>46050</v>
      </c>
      <c r="G4821">
        <v>26679</v>
      </c>
      <c r="H4821" t="s">
        <v>4791</v>
      </c>
      <c r="I4821" t="s">
        <v>5191</v>
      </c>
      <c r="J4821">
        <v>40.299999999999997</v>
      </c>
      <c r="K4821" t="s">
        <v>4744</v>
      </c>
      <c r="L4821">
        <v>1124.3699999999999</v>
      </c>
      <c r="M4821">
        <v>27.9</v>
      </c>
      <c r="N4821" t="s">
        <v>5272</v>
      </c>
      <c r="O4821" t="s">
        <v>459</v>
      </c>
    </row>
    <row r="4822" spans="1:15" x14ac:dyDescent="0.3">
      <c r="A4822">
        <v>203114</v>
      </c>
      <c r="B4822">
        <v>105</v>
      </c>
      <c r="C4822" t="s">
        <v>557</v>
      </c>
      <c r="D4822" t="s">
        <v>2627</v>
      </c>
      <c r="E4822" t="s">
        <v>3635</v>
      </c>
      <c r="F4822" s="451">
        <v>46042</v>
      </c>
      <c r="G4822">
        <v>17838</v>
      </c>
      <c r="H4822" t="s">
        <v>4925</v>
      </c>
      <c r="I4822" t="s">
        <v>5222</v>
      </c>
      <c r="J4822">
        <v>2</v>
      </c>
      <c r="K4822" t="s">
        <v>4749</v>
      </c>
      <c r="L4822">
        <v>16.899999999999999</v>
      </c>
      <c r="M4822">
        <v>8.4499999999999993</v>
      </c>
      <c r="N4822" t="s">
        <v>5191</v>
      </c>
      <c r="O4822" t="s">
        <v>459</v>
      </c>
    </row>
    <row r="4823" spans="1:15" x14ac:dyDescent="0.3">
      <c r="A4823">
        <v>203114</v>
      </c>
      <c r="B4823">
        <v>105</v>
      </c>
      <c r="C4823" t="s">
        <v>557</v>
      </c>
      <c r="D4823" t="s">
        <v>2627</v>
      </c>
      <c r="E4823" t="s">
        <v>3635</v>
      </c>
      <c r="F4823" s="451">
        <v>46042</v>
      </c>
      <c r="G4823">
        <v>19979</v>
      </c>
      <c r="H4823" t="s">
        <v>5270</v>
      </c>
      <c r="I4823" t="s">
        <v>5191</v>
      </c>
      <c r="J4823">
        <v>5</v>
      </c>
      <c r="K4823" t="s">
        <v>4888</v>
      </c>
      <c r="L4823">
        <v>109.5</v>
      </c>
      <c r="M4823">
        <v>21.9</v>
      </c>
      <c r="N4823" t="s">
        <v>5191</v>
      </c>
      <c r="O4823" t="s">
        <v>459</v>
      </c>
    </row>
    <row r="4824" spans="1:15" x14ac:dyDescent="0.3">
      <c r="A4824">
        <v>203114</v>
      </c>
      <c r="B4824">
        <v>105</v>
      </c>
      <c r="C4824" t="s">
        <v>557</v>
      </c>
      <c r="D4824" t="s">
        <v>2627</v>
      </c>
      <c r="E4824" t="s">
        <v>3635</v>
      </c>
      <c r="F4824" s="451">
        <v>46042</v>
      </c>
      <c r="G4824">
        <v>20928</v>
      </c>
      <c r="H4824" t="s">
        <v>4950</v>
      </c>
      <c r="I4824" t="s">
        <v>5191</v>
      </c>
      <c r="J4824">
        <v>1</v>
      </c>
      <c r="K4824" t="s">
        <v>4736</v>
      </c>
      <c r="L4824">
        <v>223</v>
      </c>
      <c r="M4824">
        <v>223</v>
      </c>
      <c r="N4824" t="s">
        <v>5191</v>
      </c>
      <c r="O4824" t="s">
        <v>459</v>
      </c>
    </row>
    <row r="4825" spans="1:15" x14ac:dyDescent="0.3">
      <c r="A4825">
        <v>203112</v>
      </c>
      <c r="B4825">
        <v>105</v>
      </c>
      <c r="C4825" t="s">
        <v>557</v>
      </c>
      <c r="D4825" t="s">
        <v>3636</v>
      </c>
      <c r="E4825" t="s">
        <v>3637</v>
      </c>
      <c r="F4825" s="451">
        <v>46048</v>
      </c>
      <c r="G4825">
        <v>24788</v>
      </c>
      <c r="H4825" t="s">
        <v>5407</v>
      </c>
      <c r="I4825" t="s">
        <v>5188</v>
      </c>
      <c r="J4825">
        <v>2</v>
      </c>
      <c r="K4825" t="s">
        <v>4749</v>
      </c>
      <c r="L4825">
        <v>640</v>
      </c>
      <c r="M4825">
        <v>320</v>
      </c>
      <c r="N4825" t="s">
        <v>5342</v>
      </c>
      <c r="O4825" t="s">
        <v>459</v>
      </c>
    </row>
    <row r="4826" spans="1:15" x14ac:dyDescent="0.3">
      <c r="A4826">
        <v>203112</v>
      </c>
      <c r="B4826">
        <v>105</v>
      </c>
      <c r="C4826" t="s">
        <v>557</v>
      </c>
      <c r="D4826" t="s">
        <v>3636</v>
      </c>
      <c r="E4826" t="s">
        <v>3637</v>
      </c>
      <c r="F4826" s="451">
        <v>46048</v>
      </c>
      <c r="G4826">
        <v>24789</v>
      </c>
      <c r="H4826" t="s">
        <v>5408</v>
      </c>
      <c r="I4826" t="s">
        <v>5188</v>
      </c>
      <c r="J4826">
        <v>1</v>
      </c>
      <c r="K4826" t="s">
        <v>4749</v>
      </c>
      <c r="L4826">
        <v>320</v>
      </c>
      <c r="M4826">
        <v>320</v>
      </c>
      <c r="N4826" t="s">
        <v>5342</v>
      </c>
      <c r="O4826" t="s">
        <v>459</v>
      </c>
    </row>
    <row r="4827" spans="1:15" x14ac:dyDescent="0.3">
      <c r="A4827">
        <v>203105</v>
      </c>
      <c r="B4827">
        <v>105</v>
      </c>
      <c r="C4827" t="s">
        <v>557</v>
      </c>
      <c r="D4827" t="s">
        <v>2716</v>
      </c>
      <c r="E4827" t="s">
        <v>3638</v>
      </c>
      <c r="F4827" s="451">
        <v>46042</v>
      </c>
      <c r="G4827">
        <v>24351</v>
      </c>
      <c r="H4827" t="s">
        <v>5014</v>
      </c>
      <c r="I4827" t="s">
        <v>5191</v>
      </c>
      <c r="J4827">
        <v>20</v>
      </c>
      <c r="K4827" t="s">
        <v>4744</v>
      </c>
      <c r="L4827">
        <v>240</v>
      </c>
      <c r="M4827">
        <v>12</v>
      </c>
      <c r="N4827" t="s">
        <v>5272</v>
      </c>
      <c r="O4827" t="s">
        <v>459</v>
      </c>
    </row>
    <row r="4828" spans="1:15" x14ac:dyDescent="0.3">
      <c r="A4828">
        <v>203096</v>
      </c>
      <c r="B4828">
        <v>105</v>
      </c>
      <c r="C4828" t="s">
        <v>557</v>
      </c>
      <c r="D4828" t="s">
        <v>2565</v>
      </c>
      <c r="E4828" t="s">
        <v>3639</v>
      </c>
      <c r="F4828" s="451">
        <v>46045</v>
      </c>
      <c r="G4828">
        <v>18030</v>
      </c>
      <c r="H4828" t="s">
        <v>4840</v>
      </c>
      <c r="I4828" t="s">
        <v>5222</v>
      </c>
      <c r="J4828">
        <v>2</v>
      </c>
      <c r="K4828" t="s">
        <v>4805</v>
      </c>
      <c r="L4828">
        <v>66</v>
      </c>
      <c r="M4828">
        <v>33</v>
      </c>
      <c r="N4828" t="s">
        <v>5222</v>
      </c>
      <c r="O4828" t="s">
        <v>459</v>
      </c>
    </row>
    <row r="4829" spans="1:15" x14ac:dyDescent="0.3">
      <c r="A4829">
        <v>203096</v>
      </c>
      <c r="B4829">
        <v>105</v>
      </c>
      <c r="C4829" t="s">
        <v>557</v>
      </c>
      <c r="D4829" t="s">
        <v>2565</v>
      </c>
      <c r="E4829" t="s">
        <v>3639</v>
      </c>
      <c r="F4829" s="451">
        <v>46045</v>
      </c>
      <c r="G4829">
        <v>18359</v>
      </c>
      <c r="H4829" t="s">
        <v>4921</v>
      </c>
      <c r="I4829" t="s">
        <v>5222</v>
      </c>
      <c r="J4829">
        <v>3</v>
      </c>
      <c r="K4829" t="s">
        <v>4805</v>
      </c>
      <c r="L4829">
        <v>303</v>
      </c>
      <c r="M4829">
        <v>101</v>
      </c>
      <c r="N4829" t="s">
        <v>5222</v>
      </c>
      <c r="O4829" t="s">
        <v>459</v>
      </c>
    </row>
    <row r="4830" spans="1:15" x14ac:dyDescent="0.3">
      <c r="A4830">
        <v>203096</v>
      </c>
      <c r="B4830">
        <v>105</v>
      </c>
      <c r="C4830" t="s">
        <v>557</v>
      </c>
      <c r="D4830" t="s">
        <v>2565</v>
      </c>
      <c r="E4830" t="s">
        <v>3639</v>
      </c>
      <c r="F4830" s="451">
        <v>46045</v>
      </c>
      <c r="G4830">
        <v>18119</v>
      </c>
      <c r="H4830" t="s">
        <v>5044</v>
      </c>
      <c r="I4830" t="s">
        <v>5222</v>
      </c>
      <c r="J4830">
        <v>1</v>
      </c>
      <c r="K4830" t="s">
        <v>4805</v>
      </c>
      <c r="L4830">
        <v>181</v>
      </c>
      <c r="M4830">
        <v>181</v>
      </c>
      <c r="N4830" t="s">
        <v>5222</v>
      </c>
      <c r="O4830" t="s">
        <v>459</v>
      </c>
    </row>
    <row r="4831" spans="1:15" x14ac:dyDescent="0.3">
      <c r="A4831">
        <v>203096</v>
      </c>
      <c r="B4831">
        <v>105</v>
      </c>
      <c r="C4831" t="s">
        <v>557</v>
      </c>
      <c r="D4831" t="s">
        <v>2565</v>
      </c>
      <c r="E4831" t="s">
        <v>3639</v>
      </c>
      <c r="F4831" s="451">
        <v>46045</v>
      </c>
      <c r="G4831">
        <v>18111</v>
      </c>
      <c r="H4831" t="s">
        <v>5049</v>
      </c>
      <c r="I4831" t="s">
        <v>5222</v>
      </c>
      <c r="J4831">
        <v>1</v>
      </c>
      <c r="K4831" t="s">
        <v>4805</v>
      </c>
      <c r="L4831">
        <v>88.19</v>
      </c>
      <c r="M4831">
        <v>88.19</v>
      </c>
      <c r="N4831" t="s">
        <v>5222</v>
      </c>
      <c r="O4831" t="s">
        <v>459</v>
      </c>
    </row>
    <row r="4832" spans="1:15" x14ac:dyDescent="0.3">
      <c r="A4832">
        <v>203096</v>
      </c>
      <c r="B4832">
        <v>105</v>
      </c>
      <c r="C4832" t="s">
        <v>557</v>
      </c>
      <c r="D4832" t="s">
        <v>2565</v>
      </c>
      <c r="E4832" t="s">
        <v>3639</v>
      </c>
      <c r="F4832" s="451">
        <v>46045</v>
      </c>
      <c r="G4832">
        <v>18172</v>
      </c>
      <c r="H4832" t="s">
        <v>4804</v>
      </c>
      <c r="I4832" t="s">
        <v>5222</v>
      </c>
      <c r="J4832">
        <v>10</v>
      </c>
      <c r="K4832" t="s">
        <v>4805</v>
      </c>
      <c r="L4832">
        <v>321.2</v>
      </c>
      <c r="M4832">
        <v>32.119999999999997</v>
      </c>
      <c r="N4832" t="s">
        <v>5222</v>
      </c>
      <c r="O4832" t="s">
        <v>459</v>
      </c>
    </row>
    <row r="4833" spans="1:15" x14ac:dyDescent="0.3">
      <c r="A4833">
        <v>203086</v>
      </c>
      <c r="B4833">
        <v>105</v>
      </c>
      <c r="C4833" t="s">
        <v>557</v>
      </c>
      <c r="D4833" t="s">
        <v>2552</v>
      </c>
      <c r="E4833" t="s">
        <v>3640</v>
      </c>
      <c r="F4833" s="451">
        <v>46049</v>
      </c>
      <c r="G4833">
        <v>26627</v>
      </c>
      <c r="H4833" t="s">
        <v>5190</v>
      </c>
      <c r="I4833" t="s">
        <v>5191</v>
      </c>
      <c r="J4833">
        <v>10</v>
      </c>
      <c r="K4833" t="s">
        <v>4744</v>
      </c>
      <c r="L4833">
        <v>79</v>
      </c>
      <c r="M4833">
        <v>7.9</v>
      </c>
      <c r="N4833" t="s">
        <v>5272</v>
      </c>
      <c r="O4833" t="s">
        <v>459</v>
      </c>
    </row>
    <row r="4834" spans="1:15" x14ac:dyDescent="0.3">
      <c r="A4834">
        <v>203081</v>
      </c>
      <c r="B4834">
        <v>105</v>
      </c>
      <c r="C4834" t="s">
        <v>557</v>
      </c>
      <c r="D4834" t="s">
        <v>2600</v>
      </c>
      <c r="E4834" t="s">
        <v>3641</v>
      </c>
      <c r="F4834" s="451">
        <v>46042</v>
      </c>
      <c r="G4834">
        <v>24403</v>
      </c>
      <c r="H4834" t="s">
        <v>5149</v>
      </c>
      <c r="I4834" t="s">
        <v>5191</v>
      </c>
      <c r="J4834">
        <v>3</v>
      </c>
      <c r="K4834" t="s">
        <v>4744</v>
      </c>
      <c r="L4834">
        <v>45.48</v>
      </c>
      <c r="M4834">
        <v>15.16</v>
      </c>
      <c r="O4834" t="s">
        <v>459</v>
      </c>
    </row>
    <row r="4835" spans="1:15" x14ac:dyDescent="0.3">
      <c r="A4835">
        <v>203081</v>
      </c>
      <c r="B4835">
        <v>105</v>
      </c>
      <c r="C4835" t="s">
        <v>557</v>
      </c>
      <c r="D4835" t="s">
        <v>2600</v>
      </c>
      <c r="E4835" t="s">
        <v>3641</v>
      </c>
      <c r="F4835" s="451">
        <v>46042</v>
      </c>
      <c r="G4835">
        <v>24197</v>
      </c>
      <c r="H4835" t="s">
        <v>5237</v>
      </c>
      <c r="I4835" t="s">
        <v>5191</v>
      </c>
      <c r="J4835">
        <v>11.2</v>
      </c>
      <c r="K4835" t="s">
        <v>4744</v>
      </c>
      <c r="L4835">
        <v>223.89</v>
      </c>
      <c r="M4835">
        <v>19.990179000000001</v>
      </c>
      <c r="O4835" t="s">
        <v>459</v>
      </c>
    </row>
    <row r="4836" spans="1:15" x14ac:dyDescent="0.3">
      <c r="A4836">
        <v>203075</v>
      </c>
      <c r="B4836">
        <v>105</v>
      </c>
      <c r="C4836" t="s">
        <v>557</v>
      </c>
      <c r="D4836" t="s">
        <v>2593</v>
      </c>
      <c r="E4836" t="s">
        <v>3642</v>
      </c>
      <c r="F4836" s="451">
        <v>46041</v>
      </c>
      <c r="G4836">
        <v>24256</v>
      </c>
      <c r="H4836" t="s">
        <v>4773</v>
      </c>
      <c r="I4836" t="s">
        <v>5191</v>
      </c>
      <c r="J4836">
        <v>20</v>
      </c>
      <c r="K4836" t="s">
        <v>4744</v>
      </c>
      <c r="L4836">
        <v>760</v>
      </c>
      <c r="M4836">
        <v>38</v>
      </c>
      <c r="N4836" t="s">
        <v>5372</v>
      </c>
      <c r="O4836" t="s">
        <v>459</v>
      </c>
    </row>
    <row r="4837" spans="1:15" x14ac:dyDescent="0.3">
      <c r="A4837">
        <v>203071</v>
      </c>
      <c r="B4837">
        <v>105</v>
      </c>
      <c r="C4837" t="s">
        <v>557</v>
      </c>
      <c r="D4837" t="s">
        <v>2554</v>
      </c>
      <c r="E4837" t="s">
        <v>3643</v>
      </c>
      <c r="F4837" s="451">
        <v>46051</v>
      </c>
      <c r="G4837">
        <v>17405</v>
      </c>
      <c r="H4837" t="s">
        <v>5200</v>
      </c>
      <c r="I4837" t="s">
        <v>5188</v>
      </c>
      <c r="J4837">
        <v>1</v>
      </c>
      <c r="K4837" t="s">
        <v>4736</v>
      </c>
      <c r="L4837">
        <v>10</v>
      </c>
      <c r="M4837">
        <v>10</v>
      </c>
      <c r="N4837" t="s">
        <v>5277</v>
      </c>
      <c r="O4837" t="s">
        <v>459</v>
      </c>
    </row>
    <row r="4838" spans="1:15" x14ac:dyDescent="0.3">
      <c r="A4838">
        <v>203071</v>
      </c>
      <c r="B4838">
        <v>105</v>
      </c>
      <c r="C4838" t="s">
        <v>557</v>
      </c>
      <c r="D4838" t="s">
        <v>2554</v>
      </c>
      <c r="E4838" t="s">
        <v>3643</v>
      </c>
      <c r="F4838" s="451">
        <v>46051</v>
      </c>
      <c r="G4838">
        <v>17532</v>
      </c>
      <c r="H4838" t="s">
        <v>5259</v>
      </c>
      <c r="I4838" t="s">
        <v>5188</v>
      </c>
      <c r="J4838">
        <v>1</v>
      </c>
      <c r="K4838" t="s">
        <v>4749</v>
      </c>
      <c r="L4838">
        <v>97.5</v>
      </c>
      <c r="M4838">
        <v>97.5</v>
      </c>
      <c r="N4838" t="s">
        <v>5277</v>
      </c>
      <c r="O4838" t="s">
        <v>459</v>
      </c>
    </row>
    <row r="4839" spans="1:15" x14ac:dyDescent="0.3">
      <c r="A4839">
        <v>203071</v>
      </c>
      <c r="B4839">
        <v>105</v>
      </c>
      <c r="C4839" t="s">
        <v>557</v>
      </c>
      <c r="D4839" t="s">
        <v>2554</v>
      </c>
      <c r="E4839" t="s">
        <v>3643</v>
      </c>
      <c r="F4839" s="451">
        <v>46051</v>
      </c>
      <c r="G4839">
        <v>17437</v>
      </c>
      <c r="H4839" t="s">
        <v>5203</v>
      </c>
      <c r="I4839" t="s">
        <v>5188</v>
      </c>
      <c r="J4839">
        <v>10</v>
      </c>
      <c r="K4839" t="s">
        <v>4736</v>
      </c>
      <c r="L4839">
        <v>25</v>
      </c>
      <c r="M4839">
        <v>2.5</v>
      </c>
      <c r="N4839" t="s">
        <v>5277</v>
      </c>
      <c r="O4839" t="s">
        <v>459</v>
      </c>
    </row>
    <row r="4840" spans="1:15" x14ac:dyDescent="0.3">
      <c r="A4840">
        <v>203071</v>
      </c>
      <c r="B4840">
        <v>105</v>
      </c>
      <c r="C4840" t="s">
        <v>557</v>
      </c>
      <c r="D4840" t="s">
        <v>2554</v>
      </c>
      <c r="E4840" t="s">
        <v>3643</v>
      </c>
      <c r="F4840" s="451">
        <v>46051</v>
      </c>
      <c r="G4840">
        <v>17455</v>
      </c>
      <c r="H4840" t="s">
        <v>5290</v>
      </c>
      <c r="I4840" t="s">
        <v>5188</v>
      </c>
      <c r="J4840">
        <v>1</v>
      </c>
      <c r="K4840" t="s">
        <v>4736</v>
      </c>
      <c r="L4840">
        <v>38</v>
      </c>
      <c r="M4840">
        <v>38</v>
      </c>
      <c r="N4840" t="s">
        <v>5277</v>
      </c>
      <c r="O4840" t="s">
        <v>459</v>
      </c>
    </row>
    <row r="4841" spans="1:15" x14ac:dyDescent="0.3">
      <c r="A4841">
        <v>203071</v>
      </c>
      <c r="B4841">
        <v>105</v>
      </c>
      <c r="C4841" t="s">
        <v>557</v>
      </c>
      <c r="D4841" t="s">
        <v>2554</v>
      </c>
      <c r="E4841" t="s">
        <v>3643</v>
      </c>
      <c r="F4841" s="451">
        <v>46051</v>
      </c>
      <c r="G4841">
        <v>17314</v>
      </c>
      <c r="H4841" t="s">
        <v>5208</v>
      </c>
      <c r="I4841" t="s">
        <v>5188</v>
      </c>
      <c r="J4841">
        <v>2</v>
      </c>
      <c r="K4841" t="s">
        <v>4848</v>
      </c>
      <c r="L4841">
        <v>12.2</v>
      </c>
      <c r="M4841">
        <v>6.1</v>
      </c>
      <c r="N4841" t="s">
        <v>5277</v>
      </c>
      <c r="O4841" t="s">
        <v>459</v>
      </c>
    </row>
    <row r="4842" spans="1:15" x14ac:dyDescent="0.3">
      <c r="A4842">
        <v>203071</v>
      </c>
      <c r="B4842">
        <v>105</v>
      </c>
      <c r="C4842" t="s">
        <v>557</v>
      </c>
      <c r="D4842" t="s">
        <v>2554</v>
      </c>
      <c r="E4842" t="s">
        <v>3643</v>
      </c>
      <c r="F4842" s="451">
        <v>46051</v>
      </c>
      <c r="G4842">
        <v>17404</v>
      </c>
      <c r="H4842" t="s">
        <v>5295</v>
      </c>
      <c r="I4842" t="s">
        <v>5188</v>
      </c>
      <c r="J4842">
        <v>1</v>
      </c>
      <c r="K4842" t="s">
        <v>4736</v>
      </c>
      <c r="L4842">
        <v>19.899999999999999</v>
      </c>
      <c r="M4842">
        <v>19.899999999999999</v>
      </c>
      <c r="N4842" t="s">
        <v>5277</v>
      </c>
      <c r="O4842" t="s">
        <v>459</v>
      </c>
    </row>
    <row r="4843" spans="1:15" x14ac:dyDescent="0.3">
      <c r="A4843">
        <v>203071</v>
      </c>
      <c r="B4843">
        <v>105</v>
      </c>
      <c r="C4843" t="s">
        <v>557</v>
      </c>
      <c r="D4843" t="s">
        <v>2554</v>
      </c>
      <c r="E4843" t="s">
        <v>3643</v>
      </c>
      <c r="F4843" s="451">
        <v>46051</v>
      </c>
      <c r="G4843">
        <v>17473</v>
      </c>
      <c r="H4843" t="s">
        <v>5256</v>
      </c>
      <c r="I4843" t="s">
        <v>5215</v>
      </c>
      <c r="J4843">
        <v>1</v>
      </c>
      <c r="K4843" t="s">
        <v>4749</v>
      </c>
      <c r="L4843">
        <v>88</v>
      </c>
      <c r="M4843">
        <v>88</v>
      </c>
      <c r="N4843" t="s">
        <v>5277</v>
      </c>
      <c r="O4843" t="s">
        <v>459</v>
      </c>
    </row>
    <row r="4844" spans="1:15" x14ac:dyDescent="0.3">
      <c r="A4844">
        <v>203071</v>
      </c>
      <c r="B4844">
        <v>105</v>
      </c>
      <c r="C4844" t="s">
        <v>557</v>
      </c>
      <c r="D4844" t="s">
        <v>2554</v>
      </c>
      <c r="E4844" t="s">
        <v>3643</v>
      </c>
      <c r="F4844" s="451">
        <v>46051</v>
      </c>
      <c r="G4844">
        <v>17196</v>
      </c>
      <c r="H4844" t="s">
        <v>5258</v>
      </c>
      <c r="I4844" t="s">
        <v>5188</v>
      </c>
      <c r="J4844">
        <v>1</v>
      </c>
      <c r="K4844" t="s">
        <v>4738</v>
      </c>
      <c r="L4844">
        <v>8.9</v>
      </c>
      <c r="M4844">
        <v>8.9</v>
      </c>
      <c r="N4844" t="s">
        <v>5277</v>
      </c>
      <c r="O4844" t="s">
        <v>459</v>
      </c>
    </row>
    <row r="4845" spans="1:15" x14ac:dyDescent="0.3">
      <c r="A4845">
        <v>203071</v>
      </c>
      <c r="B4845">
        <v>105</v>
      </c>
      <c r="C4845" t="s">
        <v>557</v>
      </c>
      <c r="D4845" t="s">
        <v>2554</v>
      </c>
      <c r="E4845" t="s">
        <v>3643</v>
      </c>
      <c r="F4845" s="451">
        <v>46051</v>
      </c>
      <c r="G4845">
        <v>17474</v>
      </c>
      <c r="H4845" t="s">
        <v>5213</v>
      </c>
      <c r="I4845" t="s">
        <v>5188</v>
      </c>
      <c r="J4845">
        <v>1</v>
      </c>
      <c r="K4845" t="s">
        <v>4749</v>
      </c>
      <c r="L4845">
        <v>78</v>
      </c>
      <c r="M4845">
        <v>78</v>
      </c>
      <c r="N4845" t="s">
        <v>5277</v>
      </c>
      <c r="O4845" t="s">
        <v>459</v>
      </c>
    </row>
    <row r="4846" spans="1:15" x14ac:dyDescent="0.3">
      <c r="A4846">
        <v>203071</v>
      </c>
      <c r="B4846">
        <v>105</v>
      </c>
      <c r="C4846" t="s">
        <v>557</v>
      </c>
      <c r="D4846" t="s">
        <v>2554</v>
      </c>
      <c r="E4846" t="s">
        <v>3643</v>
      </c>
      <c r="F4846" s="451">
        <v>46051</v>
      </c>
      <c r="G4846">
        <v>17162</v>
      </c>
      <c r="H4846" t="s">
        <v>5255</v>
      </c>
      <c r="I4846" t="s">
        <v>5188</v>
      </c>
      <c r="J4846">
        <v>1</v>
      </c>
      <c r="K4846" t="s">
        <v>4736</v>
      </c>
      <c r="L4846">
        <v>54.98</v>
      </c>
      <c r="M4846">
        <v>54.98</v>
      </c>
      <c r="N4846" t="s">
        <v>5277</v>
      </c>
      <c r="O4846" t="s">
        <v>459</v>
      </c>
    </row>
    <row r="4847" spans="1:15" x14ac:dyDescent="0.3">
      <c r="A4847">
        <v>203071</v>
      </c>
      <c r="B4847">
        <v>105</v>
      </c>
      <c r="C4847" t="s">
        <v>557</v>
      </c>
      <c r="D4847" t="s">
        <v>2554</v>
      </c>
      <c r="E4847" t="s">
        <v>3643</v>
      </c>
      <c r="F4847" s="451">
        <v>46051</v>
      </c>
      <c r="G4847">
        <v>24787</v>
      </c>
      <c r="H4847" t="s">
        <v>5212</v>
      </c>
      <c r="I4847" t="s">
        <v>5188</v>
      </c>
      <c r="J4847">
        <v>1</v>
      </c>
      <c r="K4847" t="s">
        <v>4738</v>
      </c>
      <c r="L4847">
        <v>89</v>
      </c>
      <c r="M4847">
        <v>89</v>
      </c>
      <c r="N4847" t="s">
        <v>5277</v>
      </c>
      <c r="O4847" t="s">
        <v>459</v>
      </c>
    </row>
    <row r="4848" spans="1:15" x14ac:dyDescent="0.3">
      <c r="A4848">
        <v>203071</v>
      </c>
      <c r="B4848">
        <v>105</v>
      </c>
      <c r="C4848" t="s">
        <v>557</v>
      </c>
      <c r="D4848" t="s">
        <v>2554</v>
      </c>
      <c r="E4848" t="s">
        <v>3643</v>
      </c>
      <c r="F4848" s="451">
        <v>46051</v>
      </c>
      <c r="G4848">
        <v>24596</v>
      </c>
      <c r="H4848" t="s">
        <v>5197</v>
      </c>
      <c r="I4848" t="s">
        <v>5188</v>
      </c>
      <c r="J4848">
        <v>2</v>
      </c>
      <c r="K4848" t="s">
        <v>4736</v>
      </c>
      <c r="L4848">
        <v>33</v>
      </c>
      <c r="M4848">
        <v>16.5</v>
      </c>
      <c r="N4848" t="s">
        <v>5277</v>
      </c>
      <c r="O4848" t="s">
        <v>459</v>
      </c>
    </row>
    <row r="4849" spans="1:15" x14ac:dyDescent="0.3">
      <c r="A4849">
        <v>203071</v>
      </c>
      <c r="B4849">
        <v>105</v>
      </c>
      <c r="C4849" t="s">
        <v>557</v>
      </c>
      <c r="D4849" t="s">
        <v>2554</v>
      </c>
      <c r="E4849" t="s">
        <v>3643</v>
      </c>
      <c r="F4849" s="451">
        <v>46051</v>
      </c>
      <c r="G4849">
        <v>25425</v>
      </c>
      <c r="H4849" t="s">
        <v>5345</v>
      </c>
      <c r="I4849" t="s">
        <v>5205</v>
      </c>
      <c r="J4849">
        <v>1</v>
      </c>
      <c r="K4849" t="s">
        <v>4736</v>
      </c>
      <c r="L4849">
        <v>52</v>
      </c>
      <c r="M4849">
        <v>52</v>
      </c>
      <c r="N4849" t="s">
        <v>5277</v>
      </c>
      <c r="O4849" t="s">
        <v>459</v>
      </c>
    </row>
    <row r="4850" spans="1:15" x14ac:dyDescent="0.3">
      <c r="A4850">
        <v>203071</v>
      </c>
      <c r="B4850">
        <v>105</v>
      </c>
      <c r="C4850" t="s">
        <v>557</v>
      </c>
      <c r="D4850" t="s">
        <v>2554</v>
      </c>
      <c r="E4850" t="s">
        <v>3643</v>
      </c>
      <c r="F4850" s="451">
        <v>46051</v>
      </c>
      <c r="G4850">
        <v>17333</v>
      </c>
      <c r="H4850" t="s">
        <v>5211</v>
      </c>
      <c r="I4850" t="s">
        <v>5188</v>
      </c>
      <c r="J4850">
        <v>1</v>
      </c>
      <c r="K4850" t="s">
        <v>4738</v>
      </c>
      <c r="L4850">
        <v>68.64</v>
      </c>
      <c r="M4850">
        <v>68.64</v>
      </c>
      <c r="N4850" t="s">
        <v>5277</v>
      </c>
      <c r="O4850" t="s">
        <v>459</v>
      </c>
    </row>
    <row r="4851" spans="1:15" x14ac:dyDescent="0.3">
      <c r="A4851">
        <v>203071</v>
      </c>
      <c r="B4851">
        <v>105</v>
      </c>
      <c r="C4851" t="s">
        <v>557</v>
      </c>
      <c r="D4851" t="s">
        <v>2554</v>
      </c>
      <c r="E4851" t="s">
        <v>3643</v>
      </c>
      <c r="F4851" s="451">
        <v>46051</v>
      </c>
      <c r="G4851">
        <v>17215</v>
      </c>
      <c r="H4851" t="s">
        <v>5299</v>
      </c>
      <c r="I4851" t="s">
        <v>5188</v>
      </c>
      <c r="J4851">
        <v>5</v>
      </c>
      <c r="K4851" t="s">
        <v>4848</v>
      </c>
      <c r="L4851">
        <v>100</v>
      </c>
      <c r="M4851">
        <v>20</v>
      </c>
      <c r="N4851" t="s">
        <v>5277</v>
      </c>
      <c r="O4851" t="s">
        <v>459</v>
      </c>
    </row>
    <row r="4852" spans="1:15" x14ac:dyDescent="0.3">
      <c r="A4852">
        <v>203071</v>
      </c>
      <c r="B4852">
        <v>105</v>
      </c>
      <c r="C4852" t="s">
        <v>557</v>
      </c>
      <c r="D4852" t="s">
        <v>2554</v>
      </c>
      <c r="E4852" t="s">
        <v>3643</v>
      </c>
      <c r="F4852" s="451">
        <v>46051</v>
      </c>
      <c r="G4852">
        <v>17304</v>
      </c>
      <c r="H4852" t="s">
        <v>5195</v>
      </c>
      <c r="I4852" t="s">
        <v>5188</v>
      </c>
      <c r="J4852">
        <v>1</v>
      </c>
      <c r="K4852" t="s">
        <v>4848</v>
      </c>
      <c r="L4852">
        <v>7.1</v>
      </c>
      <c r="M4852">
        <v>7.1</v>
      </c>
      <c r="N4852" t="s">
        <v>5277</v>
      </c>
      <c r="O4852" t="s">
        <v>459</v>
      </c>
    </row>
    <row r="4853" spans="1:15" x14ac:dyDescent="0.3">
      <c r="A4853">
        <v>203071</v>
      </c>
      <c r="B4853">
        <v>105</v>
      </c>
      <c r="C4853" t="s">
        <v>557</v>
      </c>
      <c r="D4853" t="s">
        <v>2554</v>
      </c>
      <c r="E4853" t="s">
        <v>3643</v>
      </c>
      <c r="F4853" s="451">
        <v>46051</v>
      </c>
      <c r="G4853">
        <v>24758</v>
      </c>
      <c r="H4853" t="s">
        <v>5326</v>
      </c>
      <c r="I4853" t="s">
        <v>5215</v>
      </c>
      <c r="J4853">
        <v>1</v>
      </c>
      <c r="K4853" t="s">
        <v>4738</v>
      </c>
      <c r="L4853">
        <v>29.9</v>
      </c>
      <c r="M4853">
        <v>29.9</v>
      </c>
      <c r="N4853" t="s">
        <v>5277</v>
      </c>
      <c r="O4853" t="s">
        <v>459</v>
      </c>
    </row>
    <row r="4854" spans="1:15" x14ac:dyDescent="0.3">
      <c r="A4854">
        <v>203071</v>
      </c>
      <c r="B4854">
        <v>105</v>
      </c>
      <c r="C4854" t="s">
        <v>557</v>
      </c>
      <c r="D4854" t="s">
        <v>2554</v>
      </c>
      <c r="E4854" t="s">
        <v>3643</v>
      </c>
      <c r="F4854" s="451">
        <v>46051</v>
      </c>
      <c r="G4854">
        <v>26224</v>
      </c>
      <c r="H4854" t="s">
        <v>5214</v>
      </c>
      <c r="I4854" t="s">
        <v>5215</v>
      </c>
      <c r="J4854">
        <v>2</v>
      </c>
      <c r="K4854" t="s">
        <v>4736</v>
      </c>
      <c r="L4854">
        <v>11</v>
      </c>
      <c r="M4854">
        <v>5.5</v>
      </c>
      <c r="N4854" t="s">
        <v>5277</v>
      </c>
      <c r="O4854" t="s">
        <v>459</v>
      </c>
    </row>
    <row r="4855" spans="1:15" x14ac:dyDescent="0.3">
      <c r="A4855">
        <v>203071</v>
      </c>
      <c r="B4855">
        <v>105</v>
      </c>
      <c r="C4855" t="s">
        <v>557</v>
      </c>
      <c r="D4855" t="s">
        <v>2554</v>
      </c>
      <c r="E4855" t="s">
        <v>3643</v>
      </c>
      <c r="F4855" s="451">
        <v>46051</v>
      </c>
      <c r="G4855">
        <v>17418</v>
      </c>
      <c r="H4855" t="s">
        <v>5207</v>
      </c>
      <c r="I4855" t="s">
        <v>5188</v>
      </c>
      <c r="J4855">
        <v>2</v>
      </c>
      <c r="K4855" t="s">
        <v>4749</v>
      </c>
      <c r="L4855">
        <v>117.8</v>
      </c>
      <c r="M4855">
        <v>58.9</v>
      </c>
      <c r="N4855" t="s">
        <v>5277</v>
      </c>
      <c r="O4855" t="s">
        <v>459</v>
      </c>
    </row>
    <row r="4856" spans="1:15" x14ac:dyDescent="0.3">
      <c r="A4856">
        <v>203071</v>
      </c>
      <c r="B4856">
        <v>105</v>
      </c>
      <c r="C4856" t="s">
        <v>557</v>
      </c>
      <c r="D4856" t="s">
        <v>2554</v>
      </c>
      <c r="E4856" t="s">
        <v>3643</v>
      </c>
      <c r="F4856" s="451">
        <v>46051</v>
      </c>
      <c r="G4856">
        <v>17416</v>
      </c>
      <c r="H4856" t="s">
        <v>5209</v>
      </c>
      <c r="I4856" t="s">
        <v>5188</v>
      </c>
      <c r="J4856">
        <v>2</v>
      </c>
      <c r="K4856" t="s">
        <v>4749</v>
      </c>
      <c r="L4856">
        <v>97.16</v>
      </c>
      <c r="M4856">
        <v>48.58</v>
      </c>
      <c r="N4856" t="s">
        <v>5277</v>
      </c>
      <c r="O4856" t="s">
        <v>459</v>
      </c>
    </row>
    <row r="4857" spans="1:15" x14ac:dyDescent="0.3">
      <c r="A4857">
        <v>203071</v>
      </c>
      <c r="B4857">
        <v>105</v>
      </c>
      <c r="C4857" t="s">
        <v>557</v>
      </c>
      <c r="D4857" t="s">
        <v>2554</v>
      </c>
      <c r="E4857" t="s">
        <v>3643</v>
      </c>
      <c r="F4857" s="451">
        <v>46051</v>
      </c>
      <c r="G4857">
        <v>24505</v>
      </c>
      <c r="H4857" t="s">
        <v>5198</v>
      </c>
      <c r="I4857" t="s">
        <v>5188</v>
      </c>
      <c r="J4857">
        <v>3</v>
      </c>
      <c r="K4857" t="s">
        <v>4738</v>
      </c>
      <c r="L4857">
        <v>17.670000000000002</v>
      </c>
      <c r="M4857">
        <v>5.89</v>
      </c>
      <c r="N4857" t="s">
        <v>5277</v>
      </c>
      <c r="O4857" t="s">
        <v>459</v>
      </c>
    </row>
    <row r="4858" spans="1:15" x14ac:dyDescent="0.3">
      <c r="A4858">
        <v>203071</v>
      </c>
      <c r="B4858">
        <v>105</v>
      </c>
      <c r="C4858" t="s">
        <v>557</v>
      </c>
      <c r="D4858" t="s">
        <v>2554</v>
      </c>
      <c r="E4858" t="s">
        <v>3643</v>
      </c>
      <c r="F4858" s="451">
        <v>46051</v>
      </c>
      <c r="G4858">
        <v>27798</v>
      </c>
      <c r="H4858" t="s">
        <v>5257</v>
      </c>
      <c r="I4858" t="s">
        <v>5215</v>
      </c>
      <c r="J4858">
        <v>1</v>
      </c>
      <c r="K4858" t="s">
        <v>5245</v>
      </c>
      <c r="L4858">
        <v>175</v>
      </c>
      <c r="M4858">
        <v>175</v>
      </c>
      <c r="N4858" t="s">
        <v>5277</v>
      </c>
      <c r="O4858" t="s">
        <v>459</v>
      </c>
    </row>
    <row r="4859" spans="1:15" x14ac:dyDescent="0.3">
      <c r="A4859">
        <v>203071</v>
      </c>
      <c r="B4859">
        <v>105</v>
      </c>
      <c r="C4859" t="s">
        <v>557</v>
      </c>
      <c r="D4859" t="s">
        <v>2554</v>
      </c>
      <c r="E4859" t="s">
        <v>3643</v>
      </c>
      <c r="F4859" s="451">
        <v>46051</v>
      </c>
      <c r="G4859">
        <v>26554</v>
      </c>
      <c r="H4859" t="s">
        <v>5319</v>
      </c>
      <c r="I4859" t="s">
        <v>5215</v>
      </c>
      <c r="J4859">
        <v>1</v>
      </c>
      <c r="K4859" t="s">
        <v>4749</v>
      </c>
      <c r="L4859">
        <v>280</v>
      </c>
      <c r="M4859">
        <v>280</v>
      </c>
      <c r="N4859" t="s">
        <v>5277</v>
      </c>
      <c r="O4859" t="s">
        <v>459</v>
      </c>
    </row>
    <row r="4860" spans="1:15" x14ac:dyDescent="0.3">
      <c r="A4860">
        <v>203069</v>
      </c>
      <c r="B4860">
        <v>105</v>
      </c>
      <c r="C4860" t="s">
        <v>557</v>
      </c>
      <c r="D4860" t="s">
        <v>2653</v>
      </c>
      <c r="E4860" t="s">
        <v>3644</v>
      </c>
      <c r="F4860" s="451">
        <v>46051</v>
      </c>
      <c r="G4860">
        <v>24200</v>
      </c>
      <c r="H4860" t="s">
        <v>4820</v>
      </c>
      <c r="I4860" t="s">
        <v>5191</v>
      </c>
      <c r="J4860">
        <v>5</v>
      </c>
      <c r="K4860" t="s">
        <v>4744</v>
      </c>
      <c r="L4860">
        <v>164.5</v>
      </c>
      <c r="M4860">
        <v>32.9</v>
      </c>
      <c r="N4860" t="s">
        <v>5272</v>
      </c>
      <c r="O4860" t="s">
        <v>459</v>
      </c>
    </row>
    <row r="4861" spans="1:15" x14ac:dyDescent="0.3">
      <c r="A4861">
        <v>203067</v>
      </c>
      <c r="B4861">
        <v>105</v>
      </c>
      <c r="C4861" t="s">
        <v>557</v>
      </c>
      <c r="D4861" t="s">
        <v>2884</v>
      </c>
      <c r="E4861" t="s">
        <v>3645</v>
      </c>
      <c r="F4861" s="451">
        <v>46051</v>
      </c>
      <c r="G4861">
        <v>17658</v>
      </c>
      <c r="H4861" t="s">
        <v>4978</v>
      </c>
      <c r="I4861" t="s">
        <v>5222</v>
      </c>
      <c r="J4861">
        <v>3</v>
      </c>
      <c r="K4861" t="s">
        <v>4736</v>
      </c>
      <c r="L4861">
        <v>174</v>
      </c>
      <c r="M4861">
        <v>58</v>
      </c>
      <c r="N4861" t="s">
        <v>5271</v>
      </c>
      <c r="O4861" t="s">
        <v>459</v>
      </c>
    </row>
    <row r="4862" spans="1:15" x14ac:dyDescent="0.3">
      <c r="A4862">
        <v>203065</v>
      </c>
      <c r="B4862">
        <v>105</v>
      </c>
      <c r="C4862" t="s">
        <v>557</v>
      </c>
      <c r="D4862" t="s">
        <v>3646</v>
      </c>
      <c r="E4862" t="s">
        <v>3647</v>
      </c>
      <c r="F4862" s="451">
        <v>46055</v>
      </c>
      <c r="G4862">
        <v>27264</v>
      </c>
      <c r="H4862" t="s">
        <v>5075</v>
      </c>
      <c r="I4862" t="s">
        <v>5191</v>
      </c>
      <c r="J4862">
        <v>22.62</v>
      </c>
      <c r="K4862" t="s">
        <v>4744</v>
      </c>
      <c r="L4862">
        <v>1237.42</v>
      </c>
      <c r="M4862">
        <v>54.704686000000002</v>
      </c>
      <c r="N4862" t="s">
        <v>5272</v>
      </c>
      <c r="O4862" t="s">
        <v>460</v>
      </c>
    </row>
    <row r="4863" spans="1:15" x14ac:dyDescent="0.3">
      <c r="A4863">
        <v>197989</v>
      </c>
      <c r="B4863">
        <v>105</v>
      </c>
      <c r="C4863" t="s">
        <v>557</v>
      </c>
      <c r="D4863" t="s">
        <v>3044</v>
      </c>
      <c r="E4863" t="s">
        <v>3648</v>
      </c>
      <c r="F4863" s="451">
        <v>46044</v>
      </c>
      <c r="G4863">
        <v>20544</v>
      </c>
      <c r="H4863" t="s">
        <v>4808</v>
      </c>
      <c r="I4863" t="s">
        <v>5191</v>
      </c>
      <c r="J4863">
        <v>3</v>
      </c>
      <c r="K4863" t="s">
        <v>4749</v>
      </c>
      <c r="L4863">
        <v>643.74</v>
      </c>
      <c r="M4863">
        <v>214.58</v>
      </c>
      <c r="N4863" t="s">
        <v>5191</v>
      </c>
      <c r="O4863" t="s">
        <v>459</v>
      </c>
    </row>
    <row r="4864" spans="1:15" x14ac:dyDescent="0.3">
      <c r="A4864">
        <v>197988</v>
      </c>
      <c r="B4864">
        <v>105</v>
      </c>
      <c r="C4864" t="s">
        <v>557</v>
      </c>
      <c r="D4864" t="s">
        <v>3646</v>
      </c>
      <c r="E4864" t="s">
        <v>3649</v>
      </c>
      <c r="F4864" s="451">
        <v>46048</v>
      </c>
      <c r="G4864">
        <v>18822</v>
      </c>
      <c r="H4864" t="s">
        <v>4811</v>
      </c>
      <c r="I4864" t="s">
        <v>5191</v>
      </c>
      <c r="J4864">
        <v>21.83</v>
      </c>
      <c r="K4864" t="s">
        <v>4744</v>
      </c>
      <c r="L4864">
        <v>2523.7800000000002</v>
      </c>
      <c r="M4864">
        <v>115.61062800000001</v>
      </c>
      <c r="N4864" t="s">
        <v>5272</v>
      </c>
      <c r="O4864" t="s">
        <v>459</v>
      </c>
    </row>
    <row r="4865" spans="1:15" x14ac:dyDescent="0.3">
      <c r="A4865">
        <v>197988</v>
      </c>
      <c r="B4865">
        <v>105</v>
      </c>
      <c r="C4865" t="s">
        <v>557</v>
      </c>
      <c r="D4865" t="s">
        <v>3646</v>
      </c>
      <c r="E4865" t="s">
        <v>3649</v>
      </c>
      <c r="F4865" s="451">
        <v>46048</v>
      </c>
      <c r="G4865">
        <v>27264</v>
      </c>
      <c r="H4865" t="s">
        <v>5075</v>
      </c>
      <c r="I4865" t="s">
        <v>5191</v>
      </c>
      <c r="J4865">
        <v>12.7</v>
      </c>
      <c r="K4865" t="s">
        <v>4744</v>
      </c>
      <c r="L4865">
        <v>694.42</v>
      </c>
      <c r="M4865">
        <v>54.678739999999998</v>
      </c>
      <c r="N4865" t="s">
        <v>5272</v>
      </c>
      <c r="O4865" t="s">
        <v>459</v>
      </c>
    </row>
    <row r="4866" spans="1:15" x14ac:dyDescent="0.3">
      <c r="A4866">
        <v>197011</v>
      </c>
      <c r="B4866">
        <v>105</v>
      </c>
      <c r="C4866" t="s">
        <v>557</v>
      </c>
      <c r="D4866" t="s">
        <v>2732</v>
      </c>
      <c r="E4866" t="s">
        <v>3650</v>
      </c>
      <c r="F4866" s="451">
        <v>46041</v>
      </c>
      <c r="G4866">
        <v>22871</v>
      </c>
      <c r="H4866" t="s">
        <v>4898</v>
      </c>
      <c r="I4866" t="s">
        <v>5191</v>
      </c>
      <c r="J4866">
        <v>7.9</v>
      </c>
      <c r="K4866" t="s">
        <v>4744</v>
      </c>
      <c r="L4866">
        <v>225.15</v>
      </c>
      <c r="M4866">
        <v>28.5</v>
      </c>
      <c r="N4866" t="s">
        <v>5272</v>
      </c>
      <c r="O4866" t="s">
        <v>459</v>
      </c>
    </row>
    <row r="4867" spans="1:15" x14ac:dyDescent="0.3">
      <c r="A4867">
        <v>197011</v>
      </c>
      <c r="B4867">
        <v>105</v>
      </c>
      <c r="C4867" t="s">
        <v>557</v>
      </c>
      <c r="D4867" t="s">
        <v>2732</v>
      </c>
      <c r="E4867" t="s">
        <v>3650</v>
      </c>
      <c r="F4867" s="451">
        <v>46041</v>
      </c>
      <c r="G4867">
        <v>25205</v>
      </c>
      <c r="H4867" t="s">
        <v>4850</v>
      </c>
      <c r="I4867" t="s">
        <v>5191</v>
      </c>
      <c r="J4867">
        <v>5</v>
      </c>
      <c r="K4867" t="s">
        <v>4744</v>
      </c>
      <c r="L4867">
        <v>92.5</v>
      </c>
      <c r="M4867">
        <v>18.5</v>
      </c>
      <c r="N4867" t="s">
        <v>5272</v>
      </c>
      <c r="O4867" t="s">
        <v>459</v>
      </c>
    </row>
    <row r="4868" spans="1:15" x14ac:dyDescent="0.3">
      <c r="A4868">
        <v>197011</v>
      </c>
      <c r="B4868">
        <v>105</v>
      </c>
      <c r="C4868" t="s">
        <v>557</v>
      </c>
      <c r="D4868" t="s">
        <v>2732</v>
      </c>
      <c r="E4868" t="s">
        <v>3650</v>
      </c>
      <c r="F4868" s="451">
        <v>46041</v>
      </c>
      <c r="G4868">
        <v>19041</v>
      </c>
      <c r="H4868" t="s">
        <v>4762</v>
      </c>
      <c r="I4868" t="s">
        <v>5191</v>
      </c>
      <c r="J4868">
        <v>40</v>
      </c>
      <c r="K4868" t="s">
        <v>4744</v>
      </c>
      <c r="L4868">
        <v>580</v>
      </c>
      <c r="M4868">
        <v>14.5</v>
      </c>
      <c r="N4868" t="s">
        <v>5272</v>
      </c>
      <c r="O4868" t="s">
        <v>459</v>
      </c>
    </row>
    <row r="4869" spans="1:15" x14ac:dyDescent="0.3">
      <c r="A4869">
        <v>197010</v>
      </c>
      <c r="B4869">
        <v>105</v>
      </c>
      <c r="C4869" t="s">
        <v>557</v>
      </c>
      <c r="D4869" t="s">
        <v>2554</v>
      </c>
      <c r="E4869" t="s">
        <v>3651</v>
      </c>
      <c r="F4869" s="451">
        <v>46044</v>
      </c>
      <c r="G4869">
        <v>17564</v>
      </c>
      <c r="H4869" t="s">
        <v>5187</v>
      </c>
      <c r="I4869" t="s">
        <v>5188</v>
      </c>
      <c r="J4869">
        <v>1</v>
      </c>
      <c r="K4869" t="s">
        <v>4736</v>
      </c>
      <c r="L4869">
        <v>58</v>
      </c>
      <c r="M4869">
        <v>58</v>
      </c>
      <c r="N4869" t="s">
        <v>5277</v>
      </c>
      <c r="O4869" t="s">
        <v>459</v>
      </c>
    </row>
    <row r="4870" spans="1:15" x14ac:dyDescent="0.3">
      <c r="A4870">
        <v>197010</v>
      </c>
      <c r="B4870">
        <v>105</v>
      </c>
      <c r="C4870" t="s">
        <v>557</v>
      </c>
      <c r="D4870" t="s">
        <v>2554</v>
      </c>
      <c r="E4870" t="s">
        <v>3651</v>
      </c>
      <c r="F4870" s="451">
        <v>46044</v>
      </c>
      <c r="G4870">
        <v>17314</v>
      </c>
      <c r="H4870" t="s">
        <v>5208</v>
      </c>
      <c r="I4870" t="s">
        <v>5188</v>
      </c>
      <c r="J4870">
        <v>2</v>
      </c>
      <c r="K4870" t="s">
        <v>4848</v>
      </c>
      <c r="L4870">
        <v>12.2</v>
      </c>
      <c r="M4870">
        <v>6.1</v>
      </c>
      <c r="N4870" t="s">
        <v>5277</v>
      </c>
      <c r="O4870" t="s">
        <v>459</v>
      </c>
    </row>
    <row r="4871" spans="1:15" x14ac:dyDescent="0.3">
      <c r="A4871">
        <v>197010</v>
      </c>
      <c r="B4871">
        <v>105</v>
      </c>
      <c r="C4871" t="s">
        <v>557</v>
      </c>
      <c r="D4871" t="s">
        <v>2554</v>
      </c>
      <c r="E4871" t="s">
        <v>3651</v>
      </c>
      <c r="F4871" s="451">
        <v>46044</v>
      </c>
      <c r="G4871">
        <v>17215</v>
      </c>
      <c r="H4871" t="s">
        <v>5299</v>
      </c>
      <c r="I4871" t="s">
        <v>5188</v>
      </c>
      <c r="J4871">
        <v>6</v>
      </c>
      <c r="K4871" t="s">
        <v>4848</v>
      </c>
      <c r="L4871">
        <v>120</v>
      </c>
      <c r="M4871">
        <v>20</v>
      </c>
      <c r="N4871" t="s">
        <v>5277</v>
      </c>
      <c r="O4871" t="s">
        <v>459</v>
      </c>
    </row>
    <row r="4872" spans="1:15" x14ac:dyDescent="0.3">
      <c r="A4872">
        <v>197010</v>
      </c>
      <c r="B4872">
        <v>105</v>
      </c>
      <c r="C4872" t="s">
        <v>557</v>
      </c>
      <c r="D4872" t="s">
        <v>2554</v>
      </c>
      <c r="E4872" t="s">
        <v>3651</v>
      </c>
      <c r="F4872" s="451">
        <v>46044</v>
      </c>
      <c r="G4872">
        <v>27557</v>
      </c>
      <c r="H4872" t="s">
        <v>5409</v>
      </c>
      <c r="J4872">
        <v>1</v>
      </c>
      <c r="K4872" t="s">
        <v>4736</v>
      </c>
      <c r="L4872">
        <v>12.9</v>
      </c>
      <c r="M4872">
        <v>12.9</v>
      </c>
      <c r="N4872" t="s">
        <v>5277</v>
      </c>
      <c r="O4872" t="s">
        <v>459</v>
      </c>
    </row>
    <row r="4873" spans="1:15" x14ac:dyDescent="0.3">
      <c r="A4873">
        <v>197010</v>
      </c>
      <c r="B4873">
        <v>105</v>
      </c>
      <c r="C4873" t="s">
        <v>557</v>
      </c>
      <c r="D4873" t="s">
        <v>2554</v>
      </c>
      <c r="E4873" t="s">
        <v>3651</v>
      </c>
      <c r="F4873" s="451">
        <v>46044</v>
      </c>
      <c r="G4873">
        <v>27798</v>
      </c>
      <c r="H4873" t="s">
        <v>5257</v>
      </c>
      <c r="I4873" t="s">
        <v>5215</v>
      </c>
      <c r="J4873">
        <v>1</v>
      </c>
      <c r="K4873" t="s">
        <v>5245</v>
      </c>
      <c r="L4873">
        <v>175</v>
      </c>
      <c r="M4873">
        <v>175</v>
      </c>
      <c r="N4873" t="s">
        <v>5277</v>
      </c>
      <c r="O4873" t="s">
        <v>459</v>
      </c>
    </row>
    <row r="4874" spans="1:15" x14ac:dyDescent="0.3">
      <c r="A4874">
        <v>197009</v>
      </c>
      <c r="B4874">
        <v>105</v>
      </c>
      <c r="C4874" t="s">
        <v>557</v>
      </c>
      <c r="D4874" t="s">
        <v>2707</v>
      </c>
      <c r="E4874" t="s">
        <v>3652</v>
      </c>
      <c r="F4874" s="451">
        <v>46042</v>
      </c>
      <c r="G4874">
        <v>24081</v>
      </c>
      <c r="H4874" t="s">
        <v>4834</v>
      </c>
      <c r="I4874" t="s">
        <v>5191</v>
      </c>
      <c r="J4874">
        <v>10.6</v>
      </c>
      <c r="K4874" t="s">
        <v>4744</v>
      </c>
      <c r="L4874">
        <v>252.28</v>
      </c>
      <c r="M4874">
        <v>23.8</v>
      </c>
      <c r="N4874" t="s">
        <v>5272</v>
      </c>
      <c r="O4874" t="s">
        <v>459</v>
      </c>
    </row>
    <row r="4875" spans="1:15" x14ac:dyDescent="0.3">
      <c r="A4875">
        <v>197008</v>
      </c>
      <c r="B4875">
        <v>105</v>
      </c>
      <c r="C4875" t="s">
        <v>557</v>
      </c>
      <c r="D4875" t="s">
        <v>2705</v>
      </c>
      <c r="E4875" t="s">
        <v>3653</v>
      </c>
      <c r="F4875" s="451">
        <v>46041</v>
      </c>
      <c r="G4875">
        <v>24658</v>
      </c>
      <c r="H4875" t="s">
        <v>5274</v>
      </c>
      <c r="I4875" t="s">
        <v>5232</v>
      </c>
      <c r="J4875">
        <v>15</v>
      </c>
      <c r="K4875" t="s">
        <v>4738</v>
      </c>
      <c r="L4875">
        <v>519</v>
      </c>
      <c r="M4875">
        <v>34.6</v>
      </c>
      <c r="N4875" t="s">
        <v>5275</v>
      </c>
      <c r="O4875" t="s">
        <v>459</v>
      </c>
    </row>
    <row r="4876" spans="1:15" x14ac:dyDescent="0.3">
      <c r="A4876">
        <v>197005</v>
      </c>
      <c r="B4876">
        <v>105</v>
      </c>
      <c r="C4876" t="s">
        <v>557</v>
      </c>
      <c r="D4876" t="s">
        <v>2697</v>
      </c>
      <c r="E4876" t="s">
        <v>3654</v>
      </c>
      <c r="F4876" s="451">
        <v>46042</v>
      </c>
      <c r="G4876">
        <v>23974</v>
      </c>
      <c r="H4876" t="s">
        <v>4862</v>
      </c>
      <c r="I4876" t="s">
        <v>5222</v>
      </c>
      <c r="J4876">
        <v>3</v>
      </c>
      <c r="K4876" t="s">
        <v>4738</v>
      </c>
      <c r="L4876">
        <v>168.48</v>
      </c>
      <c r="M4876">
        <v>56.16</v>
      </c>
      <c r="N4876" t="s">
        <v>5410</v>
      </c>
      <c r="O4876" t="s">
        <v>459</v>
      </c>
    </row>
    <row r="4877" spans="1:15" x14ac:dyDescent="0.3">
      <c r="A4877">
        <v>197003</v>
      </c>
      <c r="B4877">
        <v>105</v>
      </c>
      <c r="C4877" t="s">
        <v>557</v>
      </c>
      <c r="D4877" t="s">
        <v>2603</v>
      </c>
      <c r="E4877" t="s">
        <v>3655</v>
      </c>
      <c r="F4877" s="451">
        <v>46043</v>
      </c>
      <c r="G4877">
        <v>19003</v>
      </c>
      <c r="H4877" t="s">
        <v>4810</v>
      </c>
      <c r="I4877" t="s">
        <v>5191</v>
      </c>
      <c r="J4877">
        <v>29.7</v>
      </c>
      <c r="K4877" t="s">
        <v>4744</v>
      </c>
      <c r="L4877">
        <v>1066.23</v>
      </c>
      <c r="M4877">
        <v>35.9</v>
      </c>
      <c r="N4877" t="s">
        <v>5272</v>
      </c>
      <c r="O4877" t="s">
        <v>459</v>
      </c>
    </row>
    <row r="4878" spans="1:15" x14ac:dyDescent="0.3">
      <c r="A4878">
        <v>197003</v>
      </c>
      <c r="B4878">
        <v>105</v>
      </c>
      <c r="C4878" t="s">
        <v>557</v>
      </c>
      <c r="D4878" t="s">
        <v>2603</v>
      </c>
      <c r="E4878" t="s">
        <v>3655</v>
      </c>
      <c r="F4878" s="451">
        <v>46043</v>
      </c>
      <c r="G4878">
        <v>26679</v>
      </c>
      <c r="H4878" t="s">
        <v>4791</v>
      </c>
      <c r="I4878" t="s">
        <v>5191</v>
      </c>
      <c r="J4878">
        <v>45.57</v>
      </c>
      <c r="K4878" t="s">
        <v>4744</v>
      </c>
      <c r="L4878">
        <v>1271.4000000000001</v>
      </c>
      <c r="M4878">
        <v>27.899933999999998</v>
      </c>
      <c r="N4878" t="s">
        <v>5272</v>
      </c>
      <c r="O4878" t="s">
        <v>459</v>
      </c>
    </row>
    <row r="4879" spans="1:15" x14ac:dyDescent="0.3">
      <c r="A4879">
        <v>194674</v>
      </c>
      <c r="B4879">
        <v>105</v>
      </c>
      <c r="C4879" t="s">
        <v>557</v>
      </c>
      <c r="D4879" t="s">
        <v>3646</v>
      </c>
      <c r="E4879" t="s">
        <v>3656</v>
      </c>
      <c r="F4879" s="451">
        <v>46042</v>
      </c>
      <c r="G4879">
        <v>18822</v>
      </c>
      <c r="H4879" t="s">
        <v>4811</v>
      </c>
      <c r="I4879" t="s">
        <v>5191</v>
      </c>
      <c r="J4879">
        <v>23.21</v>
      </c>
      <c r="K4879" t="s">
        <v>4744</v>
      </c>
      <c r="L4879">
        <v>2682.73</v>
      </c>
      <c r="M4879">
        <v>115.585093</v>
      </c>
      <c r="N4879" t="s">
        <v>5272</v>
      </c>
      <c r="O4879" t="s">
        <v>459</v>
      </c>
    </row>
    <row r="4880" spans="1:15" x14ac:dyDescent="0.3">
      <c r="A4880">
        <v>194674</v>
      </c>
      <c r="B4880">
        <v>105</v>
      </c>
      <c r="C4880" t="s">
        <v>557</v>
      </c>
      <c r="D4880" t="s">
        <v>3646</v>
      </c>
      <c r="E4880" t="s">
        <v>3656</v>
      </c>
      <c r="F4880" s="451">
        <v>46042</v>
      </c>
      <c r="G4880">
        <v>27264</v>
      </c>
      <c r="H4880" t="s">
        <v>5075</v>
      </c>
      <c r="I4880" t="s">
        <v>5191</v>
      </c>
      <c r="J4880">
        <v>12.05</v>
      </c>
      <c r="K4880" t="s">
        <v>4744</v>
      </c>
      <c r="L4880">
        <v>658.86</v>
      </c>
      <c r="M4880">
        <v>54.677177999999998</v>
      </c>
      <c r="N4880" t="s">
        <v>5272</v>
      </c>
      <c r="O4880" t="s">
        <v>459</v>
      </c>
    </row>
    <row r="4881" spans="1:15" x14ac:dyDescent="0.3">
      <c r="A4881">
        <v>194673</v>
      </c>
      <c r="B4881">
        <v>105</v>
      </c>
      <c r="C4881" t="s">
        <v>557</v>
      </c>
      <c r="D4881" t="s">
        <v>2597</v>
      </c>
      <c r="E4881" t="s">
        <v>3657</v>
      </c>
      <c r="F4881" s="451">
        <v>46042</v>
      </c>
      <c r="G4881">
        <v>24259</v>
      </c>
      <c r="H4881" t="s">
        <v>4875</v>
      </c>
      <c r="I4881" t="s">
        <v>5191</v>
      </c>
      <c r="J4881">
        <v>21.9</v>
      </c>
      <c r="K4881" t="s">
        <v>4744</v>
      </c>
      <c r="L4881">
        <v>1707.98</v>
      </c>
      <c r="M4881">
        <v>77.989953999999997</v>
      </c>
      <c r="N4881" t="s">
        <v>5272</v>
      </c>
      <c r="O4881" t="s">
        <v>459</v>
      </c>
    </row>
    <row r="4882" spans="1:15" x14ac:dyDescent="0.3">
      <c r="A4882">
        <v>194673</v>
      </c>
      <c r="B4882">
        <v>105</v>
      </c>
      <c r="C4882" t="s">
        <v>557</v>
      </c>
      <c r="D4882" t="s">
        <v>2597</v>
      </c>
      <c r="E4882" t="s">
        <v>3657</v>
      </c>
      <c r="F4882" s="451">
        <v>46042</v>
      </c>
      <c r="G4882">
        <v>18996</v>
      </c>
      <c r="H4882" t="s">
        <v>5130</v>
      </c>
      <c r="I4882" t="s">
        <v>5191</v>
      </c>
      <c r="J4882">
        <v>6</v>
      </c>
      <c r="K4882" t="s">
        <v>4744</v>
      </c>
      <c r="L4882">
        <v>101.94</v>
      </c>
      <c r="M4882">
        <v>16.989999999999998</v>
      </c>
      <c r="N4882" t="s">
        <v>5272</v>
      </c>
      <c r="O4882" t="s">
        <v>459</v>
      </c>
    </row>
    <row r="4883" spans="1:15" x14ac:dyDescent="0.3">
      <c r="A4883">
        <v>194673</v>
      </c>
      <c r="B4883">
        <v>105</v>
      </c>
      <c r="C4883" t="s">
        <v>557</v>
      </c>
      <c r="D4883" t="s">
        <v>2597</v>
      </c>
      <c r="E4883" t="s">
        <v>3657</v>
      </c>
      <c r="F4883" s="451">
        <v>46042</v>
      </c>
      <c r="G4883">
        <v>24320</v>
      </c>
      <c r="H4883" t="s">
        <v>4861</v>
      </c>
      <c r="I4883" t="s">
        <v>5191</v>
      </c>
      <c r="J4883">
        <v>5.5</v>
      </c>
      <c r="K4883" t="s">
        <v>4744</v>
      </c>
      <c r="L4883">
        <v>185.9</v>
      </c>
      <c r="M4883">
        <v>33.799999999999997</v>
      </c>
      <c r="N4883" t="s">
        <v>5272</v>
      </c>
      <c r="O4883" t="s">
        <v>459</v>
      </c>
    </row>
    <row r="4884" spans="1:15" x14ac:dyDescent="0.3">
      <c r="A4884">
        <v>194672</v>
      </c>
      <c r="B4884">
        <v>105</v>
      </c>
      <c r="C4884" t="s">
        <v>557</v>
      </c>
      <c r="D4884" t="s">
        <v>2552</v>
      </c>
      <c r="E4884" t="s">
        <v>3658</v>
      </c>
      <c r="F4884" s="451">
        <v>46036</v>
      </c>
      <c r="G4884">
        <v>26627</v>
      </c>
      <c r="H4884" t="s">
        <v>5190</v>
      </c>
      <c r="I4884" t="s">
        <v>5191</v>
      </c>
      <c r="J4884">
        <v>30</v>
      </c>
      <c r="K4884" t="s">
        <v>4744</v>
      </c>
      <c r="L4884">
        <v>237</v>
      </c>
      <c r="M4884">
        <v>7.9</v>
      </c>
      <c r="N4884" t="s">
        <v>5272</v>
      </c>
      <c r="O4884" t="s">
        <v>459</v>
      </c>
    </row>
    <row r="4885" spans="1:15" x14ac:dyDescent="0.3">
      <c r="A4885">
        <v>194241</v>
      </c>
      <c r="B4885">
        <v>105</v>
      </c>
      <c r="C4885" t="s">
        <v>557</v>
      </c>
      <c r="D4885" t="s">
        <v>3328</v>
      </c>
      <c r="E4885" t="s">
        <v>3659</v>
      </c>
      <c r="F4885" s="451">
        <v>46037</v>
      </c>
      <c r="G4885">
        <v>19623</v>
      </c>
      <c r="H4885" t="s">
        <v>4764</v>
      </c>
      <c r="I4885" t="s">
        <v>5191</v>
      </c>
      <c r="J4885">
        <v>9</v>
      </c>
      <c r="K4885" t="s">
        <v>4744</v>
      </c>
      <c r="L4885">
        <v>36</v>
      </c>
      <c r="M4885">
        <v>4</v>
      </c>
      <c r="N4885" t="s">
        <v>5272</v>
      </c>
      <c r="O4885" t="s">
        <v>459</v>
      </c>
    </row>
    <row r="4886" spans="1:15" x14ac:dyDescent="0.3">
      <c r="A4886">
        <v>194241</v>
      </c>
      <c r="B4886">
        <v>105</v>
      </c>
      <c r="C4886" t="s">
        <v>557</v>
      </c>
      <c r="D4886" t="s">
        <v>3328</v>
      </c>
      <c r="E4886" t="s">
        <v>3659</v>
      </c>
      <c r="F4886" s="451">
        <v>46037</v>
      </c>
      <c r="G4886">
        <v>24509</v>
      </c>
      <c r="H4886" t="s">
        <v>4788</v>
      </c>
      <c r="I4886" t="s">
        <v>5191</v>
      </c>
      <c r="J4886">
        <v>8</v>
      </c>
      <c r="K4886" t="s">
        <v>4744</v>
      </c>
      <c r="L4886">
        <v>15.04</v>
      </c>
      <c r="M4886">
        <v>1.88</v>
      </c>
      <c r="N4886" t="s">
        <v>5272</v>
      </c>
      <c r="O4886" t="s">
        <v>459</v>
      </c>
    </row>
    <row r="4887" spans="1:15" x14ac:dyDescent="0.3">
      <c r="A4887">
        <v>194241</v>
      </c>
      <c r="B4887">
        <v>105</v>
      </c>
      <c r="C4887" t="s">
        <v>557</v>
      </c>
      <c r="D4887" t="s">
        <v>3328</v>
      </c>
      <c r="E4887" t="s">
        <v>3659</v>
      </c>
      <c r="F4887" s="451">
        <v>46037</v>
      </c>
      <c r="G4887">
        <v>19642</v>
      </c>
      <c r="H4887" t="s">
        <v>4996</v>
      </c>
      <c r="I4887" t="s">
        <v>5191</v>
      </c>
      <c r="J4887">
        <v>1</v>
      </c>
      <c r="K4887" t="s">
        <v>4744</v>
      </c>
      <c r="L4887">
        <v>5.63</v>
      </c>
      <c r="M4887">
        <v>5.63</v>
      </c>
      <c r="N4887" t="s">
        <v>5272</v>
      </c>
      <c r="O4887" t="s">
        <v>459</v>
      </c>
    </row>
    <row r="4888" spans="1:15" x14ac:dyDescent="0.3">
      <c r="A4888">
        <v>194241</v>
      </c>
      <c r="B4888">
        <v>105</v>
      </c>
      <c r="C4888" t="s">
        <v>557</v>
      </c>
      <c r="D4888" t="s">
        <v>3328</v>
      </c>
      <c r="E4888" t="s">
        <v>3659</v>
      </c>
      <c r="F4888" s="451">
        <v>46037</v>
      </c>
      <c r="G4888">
        <v>19555</v>
      </c>
      <c r="H4888" t="s">
        <v>4903</v>
      </c>
      <c r="I4888" t="s">
        <v>5191</v>
      </c>
      <c r="J4888">
        <v>1</v>
      </c>
      <c r="K4888" t="s">
        <v>4744</v>
      </c>
      <c r="L4888">
        <v>25</v>
      </c>
      <c r="M4888">
        <v>25</v>
      </c>
      <c r="N4888" t="s">
        <v>5272</v>
      </c>
      <c r="O4888" t="s">
        <v>459</v>
      </c>
    </row>
    <row r="4889" spans="1:15" x14ac:dyDescent="0.3">
      <c r="A4889">
        <v>194241</v>
      </c>
      <c r="B4889">
        <v>105</v>
      </c>
      <c r="C4889" t="s">
        <v>557</v>
      </c>
      <c r="D4889" t="s">
        <v>3328</v>
      </c>
      <c r="E4889" t="s">
        <v>3659</v>
      </c>
      <c r="F4889" s="451">
        <v>46037</v>
      </c>
      <c r="G4889">
        <v>19551</v>
      </c>
      <c r="H4889" t="s">
        <v>4905</v>
      </c>
      <c r="I4889" t="s">
        <v>5191</v>
      </c>
      <c r="J4889">
        <v>2</v>
      </c>
      <c r="K4889" t="s">
        <v>4744</v>
      </c>
      <c r="L4889">
        <v>30</v>
      </c>
      <c r="M4889">
        <v>15</v>
      </c>
      <c r="N4889" t="s">
        <v>5272</v>
      </c>
      <c r="O4889" t="s">
        <v>459</v>
      </c>
    </row>
    <row r="4890" spans="1:15" x14ac:dyDescent="0.3">
      <c r="A4890">
        <v>194241</v>
      </c>
      <c r="B4890">
        <v>105</v>
      </c>
      <c r="C4890" t="s">
        <v>557</v>
      </c>
      <c r="D4890" t="s">
        <v>3328</v>
      </c>
      <c r="E4890" t="s">
        <v>3659</v>
      </c>
      <c r="F4890" s="451">
        <v>46037</v>
      </c>
      <c r="G4890">
        <v>19728</v>
      </c>
      <c r="H4890" t="s">
        <v>5106</v>
      </c>
      <c r="I4890" t="s">
        <v>5191</v>
      </c>
      <c r="J4890">
        <v>2</v>
      </c>
      <c r="K4890" t="s">
        <v>4744</v>
      </c>
      <c r="L4890">
        <v>42.5</v>
      </c>
      <c r="M4890">
        <v>21.25</v>
      </c>
      <c r="N4890" t="s">
        <v>5272</v>
      </c>
      <c r="O4890" t="s">
        <v>459</v>
      </c>
    </row>
    <row r="4891" spans="1:15" x14ac:dyDescent="0.3">
      <c r="A4891">
        <v>194241</v>
      </c>
      <c r="B4891">
        <v>105</v>
      </c>
      <c r="C4891" t="s">
        <v>557</v>
      </c>
      <c r="D4891" t="s">
        <v>3328</v>
      </c>
      <c r="E4891" t="s">
        <v>3659</v>
      </c>
      <c r="F4891" s="451">
        <v>46037</v>
      </c>
      <c r="G4891">
        <v>19572</v>
      </c>
      <c r="H4891" t="s">
        <v>4989</v>
      </c>
      <c r="I4891" t="s">
        <v>5191</v>
      </c>
      <c r="J4891">
        <v>2.2999999999999998</v>
      </c>
      <c r="K4891" t="s">
        <v>4744</v>
      </c>
      <c r="L4891">
        <v>34.5</v>
      </c>
      <c r="M4891">
        <v>15</v>
      </c>
      <c r="N4891" t="s">
        <v>5272</v>
      </c>
      <c r="O4891" t="s">
        <v>459</v>
      </c>
    </row>
    <row r="4892" spans="1:15" x14ac:dyDescent="0.3">
      <c r="A4892">
        <v>194241</v>
      </c>
      <c r="B4892">
        <v>105</v>
      </c>
      <c r="C4892" t="s">
        <v>557</v>
      </c>
      <c r="D4892" t="s">
        <v>3328</v>
      </c>
      <c r="E4892" t="s">
        <v>3659</v>
      </c>
      <c r="F4892" s="451">
        <v>46037</v>
      </c>
      <c r="G4892">
        <v>19622</v>
      </c>
      <c r="H4892" t="s">
        <v>4915</v>
      </c>
      <c r="I4892" t="s">
        <v>5191</v>
      </c>
      <c r="J4892">
        <v>1.5</v>
      </c>
      <c r="K4892" t="s">
        <v>4744</v>
      </c>
      <c r="L4892">
        <v>5.63</v>
      </c>
      <c r="M4892">
        <v>3.753333</v>
      </c>
      <c r="N4892" t="s">
        <v>5272</v>
      </c>
      <c r="O4892" t="s">
        <v>459</v>
      </c>
    </row>
    <row r="4893" spans="1:15" x14ac:dyDescent="0.3">
      <c r="A4893">
        <v>194241</v>
      </c>
      <c r="B4893">
        <v>105</v>
      </c>
      <c r="C4893" t="s">
        <v>557</v>
      </c>
      <c r="D4893" t="s">
        <v>3328</v>
      </c>
      <c r="E4893" t="s">
        <v>3659</v>
      </c>
      <c r="F4893" s="451">
        <v>46037</v>
      </c>
      <c r="G4893">
        <v>19617</v>
      </c>
      <c r="H4893" t="s">
        <v>5071</v>
      </c>
      <c r="I4893" t="s">
        <v>5191</v>
      </c>
      <c r="J4893">
        <v>0.5</v>
      </c>
      <c r="K4893" t="s">
        <v>4744</v>
      </c>
      <c r="L4893">
        <v>13.39</v>
      </c>
      <c r="M4893">
        <v>26.78</v>
      </c>
      <c r="N4893" t="s">
        <v>5272</v>
      </c>
      <c r="O4893" t="s">
        <v>459</v>
      </c>
    </row>
    <row r="4894" spans="1:15" x14ac:dyDescent="0.3">
      <c r="A4894">
        <v>194241</v>
      </c>
      <c r="B4894">
        <v>105</v>
      </c>
      <c r="C4894" t="s">
        <v>557</v>
      </c>
      <c r="D4894" t="s">
        <v>3328</v>
      </c>
      <c r="E4894" t="s">
        <v>3659</v>
      </c>
      <c r="F4894" s="451">
        <v>46037</v>
      </c>
      <c r="G4894">
        <v>23390</v>
      </c>
      <c r="H4894" t="s">
        <v>4873</v>
      </c>
      <c r="I4894" t="s">
        <v>5191</v>
      </c>
      <c r="J4894">
        <v>0.5</v>
      </c>
      <c r="K4894" t="s">
        <v>4744</v>
      </c>
      <c r="L4894">
        <v>4.57</v>
      </c>
      <c r="M4894">
        <v>9.14</v>
      </c>
      <c r="N4894" t="s">
        <v>5272</v>
      </c>
      <c r="O4894" t="s">
        <v>459</v>
      </c>
    </row>
    <row r="4895" spans="1:15" x14ac:dyDescent="0.3">
      <c r="A4895">
        <v>194241</v>
      </c>
      <c r="B4895">
        <v>105</v>
      </c>
      <c r="C4895" t="s">
        <v>557</v>
      </c>
      <c r="D4895" t="s">
        <v>3328</v>
      </c>
      <c r="E4895" t="s">
        <v>3659</v>
      </c>
      <c r="F4895" s="451">
        <v>46037</v>
      </c>
      <c r="G4895">
        <v>19472</v>
      </c>
      <c r="H4895" t="s">
        <v>4906</v>
      </c>
      <c r="I4895" t="s">
        <v>5191</v>
      </c>
      <c r="J4895">
        <v>1.3</v>
      </c>
      <c r="K4895" t="s">
        <v>4744</v>
      </c>
      <c r="L4895">
        <v>28.44</v>
      </c>
      <c r="M4895">
        <v>21.876923000000001</v>
      </c>
      <c r="N4895" t="s">
        <v>5272</v>
      </c>
      <c r="O4895" t="s">
        <v>459</v>
      </c>
    </row>
    <row r="4896" spans="1:15" x14ac:dyDescent="0.3">
      <c r="A4896">
        <v>194241</v>
      </c>
      <c r="B4896">
        <v>105</v>
      </c>
      <c r="C4896" t="s">
        <v>557</v>
      </c>
      <c r="D4896" t="s">
        <v>3328</v>
      </c>
      <c r="E4896" t="s">
        <v>3659</v>
      </c>
      <c r="F4896" s="451">
        <v>46037</v>
      </c>
      <c r="G4896">
        <v>23184</v>
      </c>
      <c r="H4896" t="s">
        <v>4935</v>
      </c>
      <c r="I4896" t="s">
        <v>5191</v>
      </c>
      <c r="J4896">
        <v>1</v>
      </c>
      <c r="K4896" t="s">
        <v>4744</v>
      </c>
      <c r="L4896">
        <v>8.75</v>
      </c>
      <c r="M4896">
        <v>8.75</v>
      </c>
      <c r="N4896" t="s">
        <v>5272</v>
      </c>
      <c r="O4896" t="s">
        <v>459</v>
      </c>
    </row>
    <row r="4897" spans="1:15" x14ac:dyDescent="0.3">
      <c r="A4897">
        <v>194241</v>
      </c>
      <c r="B4897">
        <v>105</v>
      </c>
      <c r="C4897" t="s">
        <v>557</v>
      </c>
      <c r="D4897" t="s">
        <v>3328</v>
      </c>
      <c r="E4897" t="s">
        <v>3659</v>
      </c>
      <c r="F4897" s="451">
        <v>46037</v>
      </c>
      <c r="G4897">
        <v>19532</v>
      </c>
      <c r="H4897" t="s">
        <v>4753</v>
      </c>
      <c r="I4897" t="s">
        <v>5191</v>
      </c>
      <c r="J4897">
        <v>30</v>
      </c>
      <c r="K4897" t="s">
        <v>4744</v>
      </c>
      <c r="L4897">
        <v>202.5</v>
      </c>
      <c r="M4897">
        <v>6.75</v>
      </c>
      <c r="N4897" t="s">
        <v>5272</v>
      </c>
      <c r="O4897" t="s">
        <v>459</v>
      </c>
    </row>
    <row r="4898" spans="1:15" x14ac:dyDescent="0.3">
      <c r="A4898">
        <v>194239</v>
      </c>
      <c r="B4898">
        <v>105</v>
      </c>
      <c r="C4898" t="s">
        <v>557</v>
      </c>
      <c r="D4898" t="s">
        <v>2710</v>
      </c>
      <c r="E4898" t="s">
        <v>3660</v>
      </c>
      <c r="F4898" s="451">
        <v>46035</v>
      </c>
      <c r="G4898">
        <v>25050</v>
      </c>
      <c r="H4898" t="s">
        <v>5110</v>
      </c>
      <c r="I4898" t="s">
        <v>5191</v>
      </c>
      <c r="J4898">
        <v>2</v>
      </c>
      <c r="K4898" t="s">
        <v>4744</v>
      </c>
      <c r="L4898">
        <v>157.80000000000001</v>
      </c>
      <c r="M4898">
        <v>78.900000000000006</v>
      </c>
      <c r="N4898" t="s">
        <v>5272</v>
      </c>
      <c r="O4898" t="s">
        <v>459</v>
      </c>
    </row>
    <row r="4899" spans="1:15" x14ac:dyDescent="0.3">
      <c r="A4899">
        <v>194225</v>
      </c>
      <c r="B4899">
        <v>105</v>
      </c>
      <c r="C4899" t="s">
        <v>557</v>
      </c>
      <c r="D4899" t="s">
        <v>2600</v>
      </c>
      <c r="E4899" t="s">
        <v>1889</v>
      </c>
      <c r="F4899" s="451">
        <v>46036</v>
      </c>
      <c r="G4899">
        <v>24197</v>
      </c>
      <c r="H4899" t="s">
        <v>5237</v>
      </c>
      <c r="I4899" t="s">
        <v>5191</v>
      </c>
      <c r="J4899">
        <v>6.2</v>
      </c>
      <c r="K4899" t="s">
        <v>4744</v>
      </c>
      <c r="L4899">
        <v>123.94</v>
      </c>
      <c r="M4899">
        <v>19.990323</v>
      </c>
      <c r="N4899" t="s">
        <v>5272</v>
      </c>
      <c r="O4899" t="s">
        <v>459</v>
      </c>
    </row>
    <row r="4900" spans="1:15" x14ac:dyDescent="0.3">
      <c r="A4900">
        <v>194223</v>
      </c>
      <c r="B4900">
        <v>105</v>
      </c>
      <c r="C4900" t="s">
        <v>557</v>
      </c>
      <c r="D4900" t="s">
        <v>2597</v>
      </c>
      <c r="E4900" t="s">
        <v>3661</v>
      </c>
      <c r="F4900" s="451">
        <v>46036</v>
      </c>
      <c r="G4900">
        <v>24217</v>
      </c>
      <c r="H4900" t="s">
        <v>4778</v>
      </c>
      <c r="I4900" t="s">
        <v>5191</v>
      </c>
      <c r="J4900">
        <v>31.9</v>
      </c>
      <c r="K4900" t="s">
        <v>4744</v>
      </c>
      <c r="L4900">
        <v>1004.85</v>
      </c>
      <c r="M4900">
        <v>31.5</v>
      </c>
      <c r="N4900" t="s">
        <v>5272</v>
      </c>
      <c r="O4900" t="s">
        <v>459</v>
      </c>
    </row>
    <row r="4901" spans="1:15" x14ac:dyDescent="0.3">
      <c r="A4901">
        <v>194223</v>
      </c>
      <c r="B4901">
        <v>105</v>
      </c>
      <c r="C4901" t="s">
        <v>557</v>
      </c>
      <c r="D4901" t="s">
        <v>2597</v>
      </c>
      <c r="E4901" t="s">
        <v>3661</v>
      </c>
      <c r="F4901" s="451">
        <v>46036</v>
      </c>
      <c r="G4901">
        <v>20501</v>
      </c>
      <c r="H4901" t="s">
        <v>4760</v>
      </c>
      <c r="I4901" t="s">
        <v>5191</v>
      </c>
      <c r="J4901">
        <v>30</v>
      </c>
      <c r="K4901" t="s">
        <v>4744</v>
      </c>
      <c r="L4901">
        <v>657</v>
      </c>
      <c r="M4901">
        <v>21.9</v>
      </c>
      <c r="N4901" t="s">
        <v>5272</v>
      </c>
      <c r="O4901" t="s">
        <v>459</v>
      </c>
    </row>
    <row r="4902" spans="1:15" x14ac:dyDescent="0.3">
      <c r="A4902">
        <v>194222</v>
      </c>
      <c r="B4902">
        <v>105</v>
      </c>
      <c r="C4902" t="s">
        <v>557</v>
      </c>
      <c r="D4902" t="s">
        <v>2550</v>
      </c>
      <c r="E4902" t="s">
        <v>3662</v>
      </c>
      <c r="F4902" s="451">
        <v>46034</v>
      </c>
      <c r="G4902">
        <v>26034</v>
      </c>
      <c r="H4902" t="s">
        <v>4828</v>
      </c>
      <c r="I4902" t="s">
        <v>5222</v>
      </c>
      <c r="J4902">
        <v>10</v>
      </c>
      <c r="K4902" t="s">
        <v>4805</v>
      </c>
      <c r="L4902">
        <v>455</v>
      </c>
      <c r="M4902">
        <v>45.5</v>
      </c>
      <c r="N4902" t="s">
        <v>5222</v>
      </c>
      <c r="O4902" t="s">
        <v>459</v>
      </c>
    </row>
    <row r="4903" spans="1:15" x14ac:dyDescent="0.3">
      <c r="A4903">
        <v>194222</v>
      </c>
      <c r="B4903">
        <v>105</v>
      </c>
      <c r="C4903" t="s">
        <v>557</v>
      </c>
      <c r="D4903" t="s">
        <v>2550</v>
      </c>
      <c r="E4903" t="s">
        <v>3662</v>
      </c>
      <c r="F4903" s="451">
        <v>46034</v>
      </c>
      <c r="G4903">
        <v>26040</v>
      </c>
      <c r="H4903" t="s">
        <v>4812</v>
      </c>
      <c r="I4903" t="s">
        <v>5222</v>
      </c>
      <c r="J4903">
        <v>3</v>
      </c>
      <c r="K4903" t="s">
        <v>4805</v>
      </c>
      <c r="L4903">
        <v>136.5</v>
      </c>
      <c r="M4903">
        <v>45.5</v>
      </c>
      <c r="N4903" t="s">
        <v>5222</v>
      </c>
      <c r="O4903" t="s">
        <v>459</v>
      </c>
    </row>
    <row r="4904" spans="1:15" x14ac:dyDescent="0.3">
      <c r="A4904">
        <v>194221</v>
      </c>
      <c r="B4904">
        <v>105</v>
      </c>
      <c r="C4904" t="s">
        <v>557</v>
      </c>
      <c r="D4904" t="s">
        <v>2615</v>
      </c>
      <c r="E4904" t="s">
        <v>3663</v>
      </c>
      <c r="F4904" s="451">
        <v>46035</v>
      </c>
      <c r="G4904">
        <v>20623</v>
      </c>
      <c r="H4904" t="s">
        <v>4814</v>
      </c>
      <c r="I4904" t="s">
        <v>5191</v>
      </c>
      <c r="J4904">
        <v>10</v>
      </c>
      <c r="K4904" t="s">
        <v>4744</v>
      </c>
      <c r="L4904">
        <v>123.9</v>
      </c>
      <c r="M4904">
        <v>12.39</v>
      </c>
      <c r="N4904" t="s">
        <v>5272</v>
      </c>
      <c r="O4904" t="s">
        <v>459</v>
      </c>
    </row>
    <row r="4905" spans="1:15" x14ac:dyDescent="0.3">
      <c r="A4905">
        <v>194220</v>
      </c>
      <c r="B4905">
        <v>105</v>
      </c>
      <c r="C4905" t="s">
        <v>557</v>
      </c>
      <c r="D4905" t="s">
        <v>2590</v>
      </c>
      <c r="E4905" t="s">
        <v>3664</v>
      </c>
      <c r="F4905" s="451">
        <v>46032</v>
      </c>
      <c r="G4905">
        <v>18636</v>
      </c>
      <c r="H4905" t="s">
        <v>4964</v>
      </c>
      <c r="I4905" t="s">
        <v>5222</v>
      </c>
      <c r="J4905">
        <v>6</v>
      </c>
      <c r="K4905" t="s">
        <v>4965</v>
      </c>
      <c r="L4905">
        <v>2896.8</v>
      </c>
      <c r="M4905">
        <v>482.8</v>
      </c>
      <c r="N4905" t="s">
        <v>5271</v>
      </c>
      <c r="O4905" t="s">
        <v>459</v>
      </c>
    </row>
    <row r="4906" spans="1:15" x14ac:dyDescent="0.3">
      <c r="A4906">
        <v>194220</v>
      </c>
      <c r="B4906">
        <v>105</v>
      </c>
      <c r="C4906" t="s">
        <v>557</v>
      </c>
      <c r="D4906" t="s">
        <v>2590</v>
      </c>
      <c r="E4906" t="s">
        <v>3664</v>
      </c>
      <c r="F4906" s="451">
        <v>46032</v>
      </c>
      <c r="G4906">
        <v>17905</v>
      </c>
      <c r="H4906" t="s">
        <v>5085</v>
      </c>
      <c r="I4906" t="s">
        <v>5222</v>
      </c>
      <c r="J4906">
        <v>5</v>
      </c>
      <c r="K4906" t="s">
        <v>4738</v>
      </c>
      <c r="L4906">
        <v>99.85</v>
      </c>
      <c r="M4906">
        <v>19.97</v>
      </c>
      <c r="N4906" t="s">
        <v>5271</v>
      </c>
      <c r="O4906" t="s">
        <v>459</v>
      </c>
    </row>
    <row r="4907" spans="1:15" x14ac:dyDescent="0.3">
      <c r="A4907">
        <v>194220</v>
      </c>
      <c r="B4907">
        <v>105</v>
      </c>
      <c r="C4907" t="s">
        <v>557</v>
      </c>
      <c r="D4907" t="s">
        <v>2590</v>
      </c>
      <c r="E4907" t="s">
        <v>3664</v>
      </c>
      <c r="F4907" s="451">
        <v>46032</v>
      </c>
      <c r="G4907">
        <v>17883</v>
      </c>
      <c r="H4907" t="s">
        <v>5113</v>
      </c>
      <c r="I4907" t="s">
        <v>5222</v>
      </c>
      <c r="J4907">
        <v>2</v>
      </c>
      <c r="K4907" t="s">
        <v>4738</v>
      </c>
      <c r="L4907">
        <v>46.9</v>
      </c>
      <c r="M4907">
        <v>23.45</v>
      </c>
      <c r="N4907" t="s">
        <v>5271</v>
      </c>
      <c r="O4907" t="s">
        <v>459</v>
      </c>
    </row>
    <row r="4908" spans="1:15" x14ac:dyDescent="0.3">
      <c r="A4908">
        <v>194220</v>
      </c>
      <c r="B4908">
        <v>105</v>
      </c>
      <c r="C4908" t="s">
        <v>557</v>
      </c>
      <c r="D4908" t="s">
        <v>2590</v>
      </c>
      <c r="E4908" t="s">
        <v>3664</v>
      </c>
      <c r="F4908" s="451">
        <v>46032</v>
      </c>
      <c r="G4908">
        <v>17895</v>
      </c>
      <c r="H4908" t="s">
        <v>5086</v>
      </c>
      <c r="I4908" t="s">
        <v>5222</v>
      </c>
      <c r="J4908">
        <v>3</v>
      </c>
      <c r="K4908" t="s">
        <v>4738</v>
      </c>
      <c r="L4908">
        <v>69.180000000000007</v>
      </c>
      <c r="M4908">
        <v>23.06</v>
      </c>
      <c r="N4908" t="s">
        <v>5271</v>
      </c>
      <c r="O4908" t="s">
        <v>459</v>
      </c>
    </row>
    <row r="4909" spans="1:15" x14ac:dyDescent="0.3">
      <c r="A4909">
        <v>194220</v>
      </c>
      <c r="B4909">
        <v>105</v>
      </c>
      <c r="C4909" t="s">
        <v>557</v>
      </c>
      <c r="D4909" t="s">
        <v>2590</v>
      </c>
      <c r="E4909" t="s">
        <v>3664</v>
      </c>
      <c r="F4909" s="451">
        <v>46032</v>
      </c>
      <c r="G4909">
        <v>17881</v>
      </c>
      <c r="H4909" t="s">
        <v>5103</v>
      </c>
      <c r="I4909" t="s">
        <v>5222</v>
      </c>
      <c r="J4909">
        <v>2</v>
      </c>
      <c r="K4909" t="s">
        <v>4738</v>
      </c>
      <c r="L4909">
        <v>40.22</v>
      </c>
      <c r="M4909">
        <v>20.11</v>
      </c>
      <c r="N4909" t="s">
        <v>5271</v>
      </c>
      <c r="O4909" t="s">
        <v>459</v>
      </c>
    </row>
    <row r="4910" spans="1:15" x14ac:dyDescent="0.3">
      <c r="A4910">
        <v>194220</v>
      </c>
      <c r="B4910">
        <v>105</v>
      </c>
      <c r="C4910" t="s">
        <v>557</v>
      </c>
      <c r="D4910" t="s">
        <v>2590</v>
      </c>
      <c r="E4910" t="s">
        <v>3664</v>
      </c>
      <c r="F4910" s="451">
        <v>46032</v>
      </c>
      <c r="G4910">
        <v>24973</v>
      </c>
      <c r="H4910" t="s">
        <v>4819</v>
      </c>
      <c r="I4910" t="s">
        <v>5222</v>
      </c>
      <c r="J4910">
        <v>2</v>
      </c>
      <c r="K4910" t="s">
        <v>4738</v>
      </c>
      <c r="L4910">
        <v>159.28</v>
      </c>
      <c r="M4910">
        <v>79.64</v>
      </c>
      <c r="N4910" t="s">
        <v>5271</v>
      </c>
      <c r="O4910" t="s">
        <v>459</v>
      </c>
    </row>
    <row r="4911" spans="1:15" x14ac:dyDescent="0.3">
      <c r="A4911">
        <v>194220</v>
      </c>
      <c r="B4911">
        <v>105</v>
      </c>
      <c r="C4911" t="s">
        <v>557</v>
      </c>
      <c r="D4911" t="s">
        <v>2590</v>
      </c>
      <c r="E4911" t="s">
        <v>3664</v>
      </c>
      <c r="F4911" s="451">
        <v>46032</v>
      </c>
      <c r="G4911">
        <v>17886</v>
      </c>
      <c r="H4911" t="s">
        <v>5083</v>
      </c>
      <c r="I4911" t="s">
        <v>5222</v>
      </c>
      <c r="J4911">
        <v>5</v>
      </c>
      <c r="K4911" t="s">
        <v>4738</v>
      </c>
      <c r="L4911">
        <v>115.3</v>
      </c>
      <c r="M4911">
        <v>23.06</v>
      </c>
      <c r="N4911" t="s">
        <v>5271</v>
      </c>
      <c r="O4911" t="s">
        <v>459</v>
      </c>
    </row>
    <row r="4912" spans="1:15" x14ac:dyDescent="0.3">
      <c r="A4912">
        <v>194220</v>
      </c>
      <c r="B4912">
        <v>105</v>
      </c>
      <c r="C4912" t="s">
        <v>557</v>
      </c>
      <c r="D4912" t="s">
        <v>2590</v>
      </c>
      <c r="E4912" t="s">
        <v>3664</v>
      </c>
      <c r="F4912" s="451">
        <v>46032</v>
      </c>
      <c r="G4912">
        <v>17903</v>
      </c>
      <c r="H4912" t="s">
        <v>5084</v>
      </c>
      <c r="I4912" t="s">
        <v>5222</v>
      </c>
      <c r="J4912">
        <v>5</v>
      </c>
      <c r="K4912" t="s">
        <v>4738</v>
      </c>
      <c r="L4912">
        <v>99.85</v>
      </c>
      <c r="M4912">
        <v>19.97</v>
      </c>
      <c r="N4912" t="s">
        <v>5271</v>
      </c>
      <c r="O4912" t="s">
        <v>459</v>
      </c>
    </row>
    <row r="4913" spans="1:15" x14ac:dyDescent="0.3">
      <c r="A4913">
        <v>194220</v>
      </c>
      <c r="B4913">
        <v>105</v>
      </c>
      <c r="C4913" t="s">
        <v>557</v>
      </c>
      <c r="D4913" t="s">
        <v>2590</v>
      </c>
      <c r="E4913" t="s">
        <v>3664</v>
      </c>
      <c r="F4913" s="451">
        <v>46032</v>
      </c>
      <c r="G4913">
        <v>25561</v>
      </c>
      <c r="H4913" t="s">
        <v>5095</v>
      </c>
      <c r="I4913" t="s">
        <v>5222</v>
      </c>
      <c r="J4913">
        <v>2</v>
      </c>
      <c r="K4913" t="s">
        <v>4738</v>
      </c>
      <c r="L4913">
        <v>220.6</v>
      </c>
      <c r="M4913">
        <v>110.3</v>
      </c>
      <c r="N4913" t="s">
        <v>5271</v>
      </c>
      <c r="O4913" t="s">
        <v>459</v>
      </c>
    </row>
    <row r="4914" spans="1:15" x14ac:dyDescent="0.3">
      <c r="A4914">
        <v>194219</v>
      </c>
      <c r="B4914">
        <v>105</v>
      </c>
      <c r="C4914" t="s">
        <v>557</v>
      </c>
      <c r="D4914" t="s">
        <v>2644</v>
      </c>
      <c r="E4914" t="s">
        <v>3095</v>
      </c>
      <c r="F4914" s="451">
        <v>46035</v>
      </c>
      <c r="G4914">
        <v>17399</v>
      </c>
      <c r="H4914" t="s">
        <v>5244</v>
      </c>
      <c r="I4914" t="s">
        <v>5188</v>
      </c>
      <c r="J4914">
        <v>1</v>
      </c>
      <c r="K4914" t="s">
        <v>5245</v>
      </c>
      <c r="L4914">
        <v>18.899999999999999</v>
      </c>
      <c r="M4914">
        <v>18.899999999999999</v>
      </c>
      <c r="N4914" t="s">
        <v>5277</v>
      </c>
      <c r="O4914" t="s">
        <v>459</v>
      </c>
    </row>
    <row r="4915" spans="1:15" x14ac:dyDescent="0.3">
      <c r="A4915">
        <v>194219</v>
      </c>
      <c r="B4915">
        <v>105</v>
      </c>
      <c r="C4915" t="s">
        <v>557</v>
      </c>
      <c r="D4915" t="s">
        <v>2644</v>
      </c>
      <c r="E4915" t="s">
        <v>3095</v>
      </c>
      <c r="F4915" s="451">
        <v>46035</v>
      </c>
      <c r="G4915">
        <v>17397</v>
      </c>
      <c r="H4915" t="s">
        <v>5246</v>
      </c>
      <c r="I4915" t="s">
        <v>5188</v>
      </c>
      <c r="J4915">
        <v>2</v>
      </c>
      <c r="K4915" t="s">
        <v>5245</v>
      </c>
      <c r="L4915">
        <v>63.64</v>
      </c>
      <c r="M4915">
        <v>31.82</v>
      </c>
      <c r="N4915" t="s">
        <v>5277</v>
      </c>
      <c r="O4915" t="s">
        <v>459</v>
      </c>
    </row>
    <row r="4916" spans="1:15" x14ac:dyDescent="0.3">
      <c r="A4916">
        <v>194219</v>
      </c>
      <c r="B4916">
        <v>105</v>
      </c>
      <c r="C4916" t="s">
        <v>557</v>
      </c>
      <c r="D4916" t="s">
        <v>2644</v>
      </c>
      <c r="E4916" t="s">
        <v>3095</v>
      </c>
      <c r="F4916" s="451">
        <v>46035</v>
      </c>
      <c r="G4916">
        <v>21423</v>
      </c>
      <c r="H4916" t="s">
        <v>5248</v>
      </c>
      <c r="I4916" t="s">
        <v>5188</v>
      </c>
      <c r="J4916">
        <v>2</v>
      </c>
      <c r="K4916" t="s">
        <v>5245</v>
      </c>
      <c r="L4916">
        <v>63.64</v>
      </c>
      <c r="M4916">
        <v>31.82</v>
      </c>
      <c r="N4916" t="s">
        <v>5277</v>
      </c>
      <c r="O4916" t="s">
        <v>459</v>
      </c>
    </row>
    <row r="4917" spans="1:15" x14ac:dyDescent="0.3">
      <c r="A4917">
        <v>194217</v>
      </c>
      <c r="B4917">
        <v>105</v>
      </c>
      <c r="C4917" t="s">
        <v>557</v>
      </c>
      <c r="D4917" t="s">
        <v>2644</v>
      </c>
      <c r="E4917" t="s">
        <v>3665</v>
      </c>
      <c r="F4917" s="451">
        <v>46035</v>
      </c>
      <c r="G4917">
        <v>20105</v>
      </c>
      <c r="H4917" t="s">
        <v>4831</v>
      </c>
      <c r="I4917" t="s">
        <v>5191</v>
      </c>
      <c r="J4917">
        <v>8</v>
      </c>
      <c r="K4917" t="s">
        <v>4744</v>
      </c>
      <c r="L4917">
        <v>210.32</v>
      </c>
      <c r="M4917">
        <v>26.29</v>
      </c>
      <c r="N4917" t="s">
        <v>5191</v>
      </c>
      <c r="O4917" t="s">
        <v>459</v>
      </c>
    </row>
    <row r="4918" spans="1:15" x14ac:dyDescent="0.3">
      <c r="A4918">
        <v>194215</v>
      </c>
      <c r="B4918">
        <v>105</v>
      </c>
      <c r="C4918" t="s">
        <v>557</v>
      </c>
      <c r="D4918" t="s">
        <v>3425</v>
      </c>
      <c r="E4918" t="s">
        <v>3666</v>
      </c>
      <c r="F4918" s="451">
        <v>46035</v>
      </c>
      <c r="G4918">
        <v>18030</v>
      </c>
      <c r="H4918" t="s">
        <v>4840</v>
      </c>
      <c r="I4918" t="s">
        <v>5222</v>
      </c>
      <c r="J4918">
        <v>7</v>
      </c>
      <c r="K4918" t="s">
        <v>4805</v>
      </c>
      <c r="L4918">
        <v>192.5</v>
      </c>
      <c r="M4918">
        <v>27.5</v>
      </c>
      <c r="N4918" t="s">
        <v>5271</v>
      </c>
      <c r="O4918" t="s">
        <v>459</v>
      </c>
    </row>
    <row r="4919" spans="1:15" x14ac:dyDescent="0.3">
      <c r="A4919">
        <v>194215</v>
      </c>
      <c r="B4919">
        <v>105</v>
      </c>
      <c r="C4919" t="s">
        <v>557</v>
      </c>
      <c r="D4919" t="s">
        <v>3425</v>
      </c>
      <c r="E4919" t="s">
        <v>3666</v>
      </c>
      <c r="F4919" s="451">
        <v>46035</v>
      </c>
      <c r="G4919">
        <v>18547</v>
      </c>
      <c r="H4919" t="s">
        <v>4863</v>
      </c>
      <c r="I4919" t="s">
        <v>5222</v>
      </c>
      <c r="J4919">
        <v>3</v>
      </c>
      <c r="K4919" t="s">
        <v>4805</v>
      </c>
      <c r="L4919">
        <v>109.5</v>
      </c>
      <c r="M4919">
        <v>36.5</v>
      </c>
      <c r="N4919" t="s">
        <v>5271</v>
      </c>
      <c r="O4919" t="s">
        <v>459</v>
      </c>
    </row>
    <row r="4920" spans="1:15" x14ac:dyDescent="0.3">
      <c r="A4920">
        <v>194213</v>
      </c>
      <c r="B4920">
        <v>105</v>
      </c>
      <c r="C4920" t="s">
        <v>557</v>
      </c>
      <c r="D4920" t="s">
        <v>2607</v>
      </c>
      <c r="E4920" t="s">
        <v>3667</v>
      </c>
      <c r="F4920" s="451">
        <v>46035</v>
      </c>
      <c r="G4920">
        <v>25783</v>
      </c>
      <c r="H4920" t="s">
        <v>5391</v>
      </c>
      <c r="I4920" t="s">
        <v>5191</v>
      </c>
      <c r="J4920">
        <v>15</v>
      </c>
      <c r="K4920" t="s">
        <v>4744</v>
      </c>
      <c r="L4920">
        <v>1650</v>
      </c>
      <c r="M4920">
        <v>110</v>
      </c>
      <c r="N4920" t="s">
        <v>5272</v>
      </c>
      <c r="O4920" t="s">
        <v>459</v>
      </c>
    </row>
    <row r="4921" spans="1:15" x14ac:dyDescent="0.3">
      <c r="A4921">
        <v>194207</v>
      </c>
      <c r="B4921">
        <v>105</v>
      </c>
      <c r="C4921" t="s">
        <v>557</v>
      </c>
      <c r="D4921" t="s">
        <v>2581</v>
      </c>
      <c r="E4921" t="s">
        <v>3668</v>
      </c>
      <c r="F4921" s="451">
        <v>46031</v>
      </c>
      <c r="G4921">
        <v>19787</v>
      </c>
      <c r="H4921" t="s">
        <v>4793</v>
      </c>
      <c r="I4921" t="s">
        <v>5191</v>
      </c>
      <c r="J4921">
        <v>15</v>
      </c>
      <c r="K4921" t="s">
        <v>4744</v>
      </c>
      <c r="L4921">
        <v>73.5</v>
      </c>
      <c r="M4921">
        <v>4.9000000000000004</v>
      </c>
      <c r="N4921" t="s">
        <v>5272</v>
      </c>
      <c r="O4921" t="s">
        <v>459</v>
      </c>
    </row>
    <row r="4922" spans="1:15" x14ac:dyDescent="0.3">
      <c r="A4922">
        <v>194207</v>
      </c>
      <c r="B4922">
        <v>105</v>
      </c>
      <c r="C4922" t="s">
        <v>557</v>
      </c>
      <c r="D4922" t="s">
        <v>2581</v>
      </c>
      <c r="E4922" t="s">
        <v>3668</v>
      </c>
      <c r="F4922" s="451">
        <v>46031</v>
      </c>
      <c r="G4922">
        <v>19634</v>
      </c>
      <c r="H4922" t="s">
        <v>4792</v>
      </c>
      <c r="I4922" t="s">
        <v>5191</v>
      </c>
      <c r="J4922">
        <v>3</v>
      </c>
      <c r="K4922" t="s">
        <v>4744</v>
      </c>
      <c r="L4922">
        <v>19.8</v>
      </c>
      <c r="M4922">
        <v>6.6</v>
      </c>
      <c r="N4922" t="s">
        <v>5272</v>
      </c>
      <c r="O4922" t="s">
        <v>459</v>
      </c>
    </row>
    <row r="4923" spans="1:15" x14ac:dyDescent="0.3">
      <c r="A4923">
        <v>194207</v>
      </c>
      <c r="B4923">
        <v>105</v>
      </c>
      <c r="C4923" t="s">
        <v>557</v>
      </c>
      <c r="D4923" t="s">
        <v>2581</v>
      </c>
      <c r="E4923" t="s">
        <v>3668</v>
      </c>
      <c r="F4923" s="451">
        <v>46031</v>
      </c>
      <c r="G4923">
        <v>19505</v>
      </c>
      <c r="H4923" t="s">
        <v>4872</v>
      </c>
      <c r="I4923" t="s">
        <v>5191</v>
      </c>
      <c r="J4923">
        <v>3</v>
      </c>
      <c r="K4923" t="s">
        <v>4744</v>
      </c>
      <c r="L4923">
        <v>25.5</v>
      </c>
      <c r="M4923">
        <v>8.5</v>
      </c>
      <c r="N4923" t="s">
        <v>5272</v>
      </c>
      <c r="O4923" t="s">
        <v>459</v>
      </c>
    </row>
    <row r="4924" spans="1:15" x14ac:dyDescent="0.3">
      <c r="A4924">
        <v>194207</v>
      </c>
      <c r="B4924">
        <v>105</v>
      </c>
      <c r="C4924" t="s">
        <v>557</v>
      </c>
      <c r="D4924" t="s">
        <v>2581</v>
      </c>
      <c r="E4924" t="s">
        <v>3668</v>
      </c>
      <c r="F4924" s="451">
        <v>46031</v>
      </c>
      <c r="G4924">
        <v>19654</v>
      </c>
      <c r="H4924" t="s">
        <v>5099</v>
      </c>
      <c r="I4924" t="s">
        <v>5191</v>
      </c>
      <c r="J4924">
        <v>3</v>
      </c>
      <c r="K4924" t="s">
        <v>4744</v>
      </c>
      <c r="L4924">
        <v>29.4</v>
      </c>
      <c r="M4924">
        <v>9.8000000000000007</v>
      </c>
      <c r="N4924" t="s">
        <v>5272</v>
      </c>
      <c r="O4924" t="s">
        <v>459</v>
      </c>
    </row>
    <row r="4925" spans="1:15" x14ac:dyDescent="0.3">
      <c r="A4925">
        <v>194207</v>
      </c>
      <c r="B4925">
        <v>105</v>
      </c>
      <c r="C4925" t="s">
        <v>557</v>
      </c>
      <c r="D4925" t="s">
        <v>2581</v>
      </c>
      <c r="E4925" t="s">
        <v>3668</v>
      </c>
      <c r="F4925" s="451">
        <v>46031</v>
      </c>
      <c r="G4925">
        <v>19476</v>
      </c>
      <c r="H4925" t="s">
        <v>5115</v>
      </c>
      <c r="I4925" t="s">
        <v>5191</v>
      </c>
      <c r="J4925">
        <v>0.3</v>
      </c>
      <c r="K4925" t="s">
        <v>4744</v>
      </c>
      <c r="L4925">
        <v>22.5</v>
      </c>
      <c r="M4925">
        <v>75</v>
      </c>
      <c r="N4925" t="s">
        <v>5272</v>
      </c>
      <c r="O4925" t="s">
        <v>459</v>
      </c>
    </row>
    <row r="4926" spans="1:15" x14ac:dyDescent="0.3">
      <c r="A4926">
        <v>194207</v>
      </c>
      <c r="B4926">
        <v>105</v>
      </c>
      <c r="C4926" t="s">
        <v>557</v>
      </c>
      <c r="D4926" t="s">
        <v>2581</v>
      </c>
      <c r="E4926" t="s">
        <v>3668</v>
      </c>
      <c r="F4926" s="451">
        <v>46031</v>
      </c>
      <c r="G4926">
        <v>19492</v>
      </c>
      <c r="H4926" t="s">
        <v>4937</v>
      </c>
      <c r="I4926" t="s">
        <v>5191</v>
      </c>
      <c r="J4926">
        <v>2</v>
      </c>
      <c r="K4926" t="s">
        <v>4744</v>
      </c>
      <c r="L4926">
        <v>28</v>
      </c>
      <c r="M4926">
        <v>14</v>
      </c>
      <c r="N4926" t="s">
        <v>5272</v>
      </c>
      <c r="O4926" t="s">
        <v>459</v>
      </c>
    </row>
    <row r="4927" spans="1:15" x14ac:dyDescent="0.3">
      <c r="A4927">
        <v>194207</v>
      </c>
      <c r="B4927">
        <v>105</v>
      </c>
      <c r="C4927" t="s">
        <v>557</v>
      </c>
      <c r="D4927" t="s">
        <v>2581</v>
      </c>
      <c r="E4927" t="s">
        <v>3668</v>
      </c>
      <c r="F4927" s="451">
        <v>46031</v>
      </c>
      <c r="G4927">
        <v>19647</v>
      </c>
      <c r="H4927" t="s">
        <v>5050</v>
      </c>
      <c r="I4927" t="s">
        <v>5191</v>
      </c>
      <c r="J4927">
        <v>0.3</v>
      </c>
      <c r="K4927" t="s">
        <v>4744</v>
      </c>
      <c r="L4927">
        <v>3.45</v>
      </c>
      <c r="M4927">
        <v>11.5</v>
      </c>
      <c r="N4927" t="s">
        <v>5272</v>
      </c>
      <c r="O4927" t="s">
        <v>459</v>
      </c>
    </row>
    <row r="4928" spans="1:15" x14ac:dyDescent="0.3">
      <c r="A4928">
        <v>194207</v>
      </c>
      <c r="B4928">
        <v>105</v>
      </c>
      <c r="C4928" t="s">
        <v>557</v>
      </c>
      <c r="D4928" t="s">
        <v>2581</v>
      </c>
      <c r="E4928" t="s">
        <v>3668</v>
      </c>
      <c r="F4928" s="451">
        <v>46031</v>
      </c>
      <c r="G4928">
        <v>23361</v>
      </c>
      <c r="H4928" t="s">
        <v>4754</v>
      </c>
      <c r="I4928" t="s">
        <v>5191</v>
      </c>
      <c r="J4928">
        <v>20</v>
      </c>
      <c r="K4928" t="s">
        <v>4744</v>
      </c>
      <c r="L4928">
        <v>62</v>
      </c>
      <c r="M4928">
        <v>3.1</v>
      </c>
      <c r="N4928" t="s">
        <v>5272</v>
      </c>
      <c r="O4928" t="s">
        <v>459</v>
      </c>
    </row>
    <row r="4929" spans="1:15" x14ac:dyDescent="0.3">
      <c r="A4929">
        <v>194207</v>
      </c>
      <c r="B4929">
        <v>105</v>
      </c>
      <c r="C4929" t="s">
        <v>557</v>
      </c>
      <c r="D4929" t="s">
        <v>2581</v>
      </c>
      <c r="E4929" t="s">
        <v>3668</v>
      </c>
      <c r="F4929" s="451">
        <v>46031</v>
      </c>
      <c r="G4929">
        <v>23359</v>
      </c>
      <c r="H4929" t="s">
        <v>4767</v>
      </c>
      <c r="I4929" t="s">
        <v>5191</v>
      </c>
      <c r="J4929">
        <v>10</v>
      </c>
      <c r="K4929" t="s">
        <v>4744</v>
      </c>
      <c r="L4929">
        <v>31</v>
      </c>
      <c r="M4929">
        <v>3.1</v>
      </c>
      <c r="N4929" t="s">
        <v>5272</v>
      </c>
      <c r="O4929" t="s">
        <v>459</v>
      </c>
    </row>
    <row r="4930" spans="1:15" x14ac:dyDescent="0.3">
      <c r="A4930">
        <v>194207</v>
      </c>
      <c r="B4930">
        <v>105</v>
      </c>
      <c r="C4930" t="s">
        <v>557</v>
      </c>
      <c r="D4930" t="s">
        <v>2581</v>
      </c>
      <c r="E4930" t="s">
        <v>3668</v>
      </c>
      <c r="F4930" s="451">
        <v>46031</v>
      </c>
      <c r="G4930">
        <v>23095</v>
      </c>
      <c r="H4930" t="s">
        <v>4741</v>
      </c>
      <c r="I4930" t="s">
        <v>5191</v>
      </c>
      <c r="J4930">
        <v>40</v>
      </c>
      <c r="K4930" t="s">
        <v>4736</v>
      </c>
      <c r="L4930">
        <v>37.6</v>
      </c>
      <c r="M4930">
        <v>0.94</v>
      </c>
      <c r="N4930" t="s">
        <v>5272</v>
      </c>
      <c r="O4930" t="s">
        <v>459</v>
      </c>
    </row>
    <row r="4931" spans="1:15" x14ac:dyDescent="0.3">
      <c r="A4931">
        <v>194207</v>
      </c>
      <c r="B4931">
        <v>105</v>
      </c>
      <c r="C4931" t="s">
        <v>557</v>
      </c>
      <c r="D4931" t="s">
        <v>2581</v>
      </c>
      <c r="E4931" t="s">
        <v>3668</v>
      </c>
      <c r="F4931" s="451">
        <v>46031</v>
      </c>
      <c r="G4931">
        <v>23389</v>
      </c>
      <c r="H4931" t="s">
        <v>4960</v>
      </c>
      <c r="I4931" t="s">
        <v>5191</v>
      </c>
      <c r="J4931">
        <v>2</v>
      </c>
      <c r="K4931" t="s">
        <v>4744</v>
      </c>
      <c r="L4931">
        <v>11.6</v>
      </c>
      <c r="M4931">
        <v>5.8</v>
      </c>
      <c r="N4931" t="s">
        <v>5272</v>
      </c>
      <c r="O4931" t="s">
        <v>459</v>
      </c>
    </row>
    <row r="4932" spans="1:15" x14ac:dyDescent="0.3">
      <c r="A4932">
        <v>194205</v>
      </c>
      <c r="B4932">
        <v>105</v>
      </c>
      <c r="C4932" t="s">
        <v>557</v>
      </c>
      <c r="D4932" t="s">
        <v>2581</v>
      </c>
      <c r="E4932" t="s">
        <v>3669</v>
      </c>
      <c r="F4932" s="451">
        <v>46034</v>
      </c>
      <c r="G4932">
        <v>19634</v>
      </c>
      <c r="H4932" t="s">
        <v>4792</v>
      </c>
      <c r="I4932" t="s">
        <v>5191</v>
      </c>
      <c r="J4932">
        <v>2.8</v>
      </c>
      <c r="K4932" t="s">
        <v>4744</v>
      </c>
      <c r="L4932">
        <v>12.6</v>
      </c>
      <c r="M4932">
        <v>4.5</v>
      </c>
      <c r="N4932" t="s">
        <v>5272</v>
      </c>
      <c r="O4932" t="s">
        <v>459</v>
      </c>
    </row>
    <row r="4933" spans="1:15" x14ac:dyDescent="0.3">
      <c r="A4933">
        <v>194205</v>
      </c>
      <c r="B4933">
        <v>105</v>
      </c>
      <c r="C4933" t="s">
        <v>557</v>
      </c>
      <c r="D4933" t="s">
        <v>2581</v>
      </c>
      <c r="E4933" t="s">
        <v>3669</v>
      </c>
      <c r="F4933" s="451">
        <v>46034</v>
      </c>
      <c r="G4933">
        <v>19506</v>
      </c>
      <c r="H4933" t="s">
        <v>5122</v>
      </c>
      <c r="I4933" t="s">
        <v>5191</v>
      </c>
      <c r="J4933">
        <v>0.4</v>
      </c>
      <c r="K4933" t="s">
        <v>4744</v>
      </c>
      <c r="L4933">
        <v>16.8</v>
      </c>
      <c r="M4933">
        <v>42</v>
      </c>
      <c r="N4933" t="s">
        <v>5272</v>
      </c>
      <c r="O4933" t="s">
        <v>459</v>
      </c>
    </row>
    <row r="4934" spans="1:15" x14ac:dyDescent="0.3">
      <c r="A4934">
        <v>194205</v>
      </c>
      <c r="B4934">
        <v>105</v>
      </c>
      <c r="C4934" t="s">
        <v>557</v>
      </c>
      <c r="D4934" t="s">
        <v>2581</v>
      </c>
      <c r="E4934" t="s">
        <v>3669</v>
      </c>
      <c r="F4934" s="451">
        <v>46034</v>
      </c>
      <c r="G4934">
        <v>19505</v>
      </c>
      <c r="H4934" t="s">
        <v>4872</v>
      </c>
      <c r="I4934" t="s">
        <v>5191</v>
      </c>
      <c r="J4934">
        <v>4</v>
      </c>
      <c r="K4934" t="s">
        <v>4744</v>
      </c>
      <c r="L4934">
        <v>48</v>
      </c>
      <c r="M4934">
        <v>12</v>
      </c>
      <c r="N4934" t="s">
        <v>5272</v>
      </c>
      <c r="O4934" t="s">
        <v>459</v>
      </c>
    </row>
    <row r="4935" spans="1:15" x14ac:dyDescent="0.3">
      <c r="A4935">
        <v>194205</v>
      </c>
      <c r="B4935">
        <v>105</v>
      </c>
      <c r="C4935" t="s">
        <v>557</v>
      </c>
      <c r="D4935" t="s">
        <v>2581</v>
      </c>
      <c r="E4935" t="s">
        <v>3669</v>
      </c>
      <c r="F4935" s="451">
        <v>46034</v>
      </c>
      <c r="G4935">
        <v>19502</v>
      </c>
      <c r="H4935" t="s">
        <v>4871</v>
      </c>
      <c r="I4935" t="s">
        <v>5191</v>
      </c>
      <c r="J4935">
        <v>3</v>
      </c>
      <c r="K4935" t="s">
        <v>4744</v>
      </c>
      <c r="L4935">
        <v>45</v>
      </c>
      <c r="M4935">
        <v>15</v>
      </c>
      <c r="N4935" t="s">
        <v>5272</v>
      </c>
      <c r="O4935" t="s">
        <v>459</v>
      </c>
    </row>
    <row r="4936" spans="1:15" x14ac:dyDescent="0.3">
      <c r="A4936">
        <v>194205</v>
      </c>
      <c r="B4936">
        <v>105</v>
      </c>
      <c r="C4936" t="s">
        <v>557</v>
      </c>
      <c r="D4936" t="s">
        <v>2581</v>
      </c>
      <c r="E4936" t="s">
        <v>3669</v>
      </c>
      <c r="F4936" s="451">
        <v>46034</v>
      </c>
      <c r="G4936">
        <v>19507</v>
      </c>
      <c r="H4936" t="s">
        <v>4853</v>
      </c>
      <c r="I4936" t="s">
        <v>5191</v>
      </c>
      <c r="J4936">
        <v>2</v>
      </c>
      <c r="K4936" t="s">
        <v>4744</v>
      </c>
      <c r="L4936">
        <v>23</v>
      </c>
      <c r="M4936">
        <v>11.5</v>
      </c>
      <c r="N4936" t="s">
        <v>5272</v>
      </c>
      <c r="O4936" t="s">
        <v>459</v>
      </c>
    </row>
    <row r="4937" spans="1:15" x14ac:dyDescent="0.3">
      <c r="A4937">
        <v>194205</v>
      </c>
      <c r="B4937">
        <v>105</v>
      </c>
      <c r="C4937" t="s">
        <v>557</v>
      </c>
      <c r="D4937" t="s">
        <v>2581</v>
      </c>
      <c r="E4937" t="s">
        <v>3669</v>
      </c>
      <c r="F4937" s="451">
        <v>46034</v>
      </c>
      <c r="G4937">
        <v>19465</v>
      </c>
      <c r="H4937" t="s">
        <v>5114</v>
      </c>
      <c r="I4937" t="s">
        <v>5191</v>
      </c>
      <c r="J4937">
        <v>1</v>
      </c>
      <c r="K4937" t="s">
        <v>4744</v>
      </c>
      <c r="L4937">
        <v>4.9000000000000004</v>
      </c>
      <c r="M4937">
        <v>4.9000000000000004</v>
      </c>
      <c r="N4937" t="s">
        <v>5272</v>
      </c>
      <c r="O4937" t="s">
        <v>459</v>
      </c>
    </row>
    <row r="4938" spans="1:15" x14ac:dyDescent="0.3">
      <c r="A4938">
        <v>194205</v>
      </c>
      <c r="B4938">
        <v>105</v>
      </c>
      <c r="C4938" t="s">
        <v>557</v>
      </c>
      <c r="D4938" t="s">
        <v>2581</v>
      </c>
      <c r="E4938" t="s">
        <v>3669</v>
      </c>
      <c r="F4938" s="451">
        <v>46034</v>
      </c>
      <c r="G4938">
        <v>19476</v>
      </c>
      <c r="H4938" t="s">
        <v>5115</v>
      </c>
      <c r="I4938" t="s">
        <v>5191</v>
      </c>
      <c r="J4938">
        <v>0.2</v>
      </c>
      <c r="K4938" t="s">
        <v>4744</v>
      </c>
      <c r="L4938">
        <v>14</v>
      </c>
      <c r="M4938">
        <v>70</v>
      </c>
      <c r="N4938" t="s">
        <v>5272</v>
      </c>
      <c r="O4938" t="s">
        <v>459</v>
      </c>
    </row>
    <row r="4939" spans="1:15" x14ac:dyDescent="0.3">
      <c r="A4939">
        <v>194205</v>
      </c>
      <c r="B4939">
        <v>105</v>
      </c>
      <c r="C4939" t="s">
        <v>557</v>
      </c>
      <c r="D4939" t="s">
        <v>2581</v>
      </c>
      <c r="E4939" t="s">
        <v>3669</v>
      </c>
      <c r="F4939" s="451">
        <v>46034</v>
      </c>
      <c r="G4939">
        <v>19647</v>
      </c>
      <c r="H4939" t="s">
        <v>5050</v>
      </c>
      <c r="I4939" t="s">
        <v>5191</v>
      </c>
      <c r="J4939">
        <v>0.3</v>
      </c>
      <c r="K4939" t="s">
        <v>4744</v>
      </c>
      <c r="L4939">
        <v>3.3</v>
      </c>
      <c r="M4939">
        <v>11</v>
      </c>
      <c r="N4939" t="s">
        <v>5272</v>
      </c>
      <c r="O4939" t="s">
        <v>459</v>
      </c>
    </row>
    <row r="4940" spans="1:15" x14ac:dyDescent="0.3">
      <c r="A4940">
        <v>194205</v>
      </c>
      <c r="B4940">
        <v>105</v>
      </c>
      <c r="C4940" t="s">
        <v>557</v>
      </c>
      <c r="D4940" t="s">
        <v>2581</v>
      </c>
      <c r="E4940" t="s">
        <v>3669</v>
      </c>
      <c r="F4940" s="451">
        <v>46034</v>
      </c>
      <c r="G4940">
        <v>23108</v>
      </c>
      <c r="H4940" t="s">
        <v>5117</v>
      </c>
      <c r="I4940" t="s">
        <v>5191</v>
      </c>
      <c r="J4940">
        <v>0.2</v>
      </c>
      <c r="K4940" t="s">
        <v>4744</v>
      </c>
      <c r="L4940">
        <v>12</v>
      </c>
      <c r="M4940">
        <v>60</v>
      </c>
      <c r="N4940" t="s">
        <v>5272</v>
      </c>
      <c r="O4940" t="s">
        <v>459</v>
      </c>
    </row>
    <row r="4941" spans="1:15" x14ac:dyDescent="0.3">
      <c r="A4941">
        <v>194205</v>
      </c>
      <c r="B4941">
        <v>105</v>
      </c>
      <c r="C4941" t="s">
        <v>557</v>
      </c>
      <c r="D4941" t="s">
        <v>2581</v>
      </c>
      <c r="E4941" t="s">
        <v>3669</v>
      </c>
      <c r="F4941" s="451">
        <v>46034</v>
      </c>
      <c r="G4941">
        <v>23365</v>
      </c>
      <c r="H4941" t="s">
        <v>5108</v>
      </c>
      <c r="I4941" t="s">
        <v>5191</v>
      </c>
      <c r="J4941">
        <v>1</v>
      </c>
      <c r="K4941" t="s">
        <v>4744</v>
      </c>
      <c r="L4941">
        <v>22</v>
      </c>
      <c r="M4941">
        <v>22</v>
      </c>
      <c r="N4941" t="s">
        <v>5272</v>
      </c>
      <c r="O4941" t="s">
        <v>459</v>
      </c>
    </row>
    <row r="4942" spans="1:15" x14ac:dyDescent="0.3">
      <c r="A4942">
        <v>194205</v>
      </c>
      <c r="B4942">
        <v>105</v>
      </c>
      <c r="C4942" t="s">
        <v>557</v>
      </c>
      <c r="D4942" t="s">
        <v>2581</v>
      </c>
      <c r="E4942" t="s">
        <v>3669</v>
      </c>
      <c r="F4942" s="451">
        <v>46034</v>
      </c>
      <c r="G4942">
        <v>24037</v>
      </c>
      <c r="H4942" t="s">
        <v>5233</v>
      </c>
      <c r="I4942" t="s">
        <v>5191</v>
      </c>
      <c r="J4942">
        <v>2</v>
      </c>
      <c r="K4942" t="s">
        <v>4744</v>
      </c>
      <c r="L4942">
        <v>42</v>
      </c>
      <c r="M4942">
        <v>21</v>
      </c>
      <c r="N4942" t="s">
        <v>5272</v>
      </c>
      <c r="O4942" t="s">
        <v>459</v>
      </c>
    </row>
    <row r="4943" spans="1:15" x14ac:dyDescent="0.3">
      <c r="A4943">
        <v>194204</v>
      </c>
      <c r="B4943">
        <v>105</v>
      </c>
      <c r="C4943" t="s">
        <v>557</v>
      </c>
      <c r="D4943" t="s">
        <v>2581</v>
      </c>
      <c r="E4943" t="s">
        <v>3670</v>
      </c>
      <c r="F4943" s="451">
        <v>46035</v>
      </c>
      <c r="G4943">
        <v>19480</v>
      </c>
      <c r="H4943" t="s">
        <v>5119</v>
      </c>
      <c r="I4943" t="s">
        <v>5191</v>
      </c>
      <c r="J4943">
        <v>0.4</v>
      </c>
      <c r="K4943" t="s">
        <v>4744</v>
      </c>
      <c r="L4943">
        <v>5.2</v>
      </c>
      <c r="M4943">
        <v>13</v>
      </c>
      <c r="O4943" t="s">
        <v>459</v>
      </c>
    </row>
    <row r="4944" spans="1:15" x14ac:dyDescent="0.3">
      <c r="A4944">
        <v>194204</v>
      </c>
      <c r="B4944">
        <v>105</v>
      </c>
      <c r="C4944" t="s">
        <v>557</v>
      </c>
      <c r="D4944" t="s">
        <v>2581</v>
      </c>
      <c r="E4944" t="s">
        <v>3670</v>
      </c>
      <c r="F4944" s="451">
        <v>46035</v>
      </c>
      <c r="G4944">
        <v>23236</v>
      </c>
      <c r="H4944" t="s">
        <v>5062</v>
      </c>
      <c r="I4944" t="s">
        <v>5191</v>
      </c>
      <c r="J4944">
        <v>3</v>
      </c>
      <c r="K4944" t="s">
        <v>4744</v>
      </c>
      <c r="L4944">
        <v>18</v>
      </c>
      <c r="M4944">
        <v>6</v>
      </c>
      <c r="O4944" t="s">
        <v>459</v>
      </c>
    </row>
    <row r="4945" spans="1:15" x14ac:dyDescent="0.3">
      <c r="A4945">
        <v>194204</v>
      </c>
      <c r="B4945">
        <v>105</v>
      </c>
      <c r="C4945" t="s">
        <v>557</v>
      </c>
      <c r="D4945" t="s">
        <v>2581</v>
      </c>
      <c r="E4945" t="s">
        <v>3670</v>
      </c>
      <c r="F4945" s="451">
        <v>46035</v>
      </c>
      <c r="G4945">
        <v>23359</v>
      </c>
      <c r="H4945" t="s">
        <v>4767</v>
      </c>
      <c r="I4945" t="s">
        <v>5191</v>
      </c>
      <c r="J4945">
        <v>5</v>
      </c>
      <c r="K4945" t="s">
        <v>4744</v>
      </c>
      <c r="L4945">
        <v>15</v>
      </c>
      <c r="M4945">
        <v>3</v>
      </c>
      <c r="O4945" t="s">
        <v>459</v>
      </c>
    </row>
    <row r="4946" spans="1:15" x14ac:dyDescent="0.3">
      <c r="A4946">
        <v>194191</v>
      </c>
      <c r="B4946">
        <v>105</v>
      </c>
      <c r="C4946" t="s">
        <v>557</v>
      </c>
      <c r="D4946" t="s">
        <v>2581</v>
      </c>
      <c r="E4946" t="s">
        <v>3671</v>
      </c>
      <c r="F4946" s="451">
        <v>46036</v>
      </c>
      <c r="G4946">
        <v>23785</v>
      </c>
      <c r="H4946" t="s">
        <v>4858</v>
      </c>
      <c r="I4946" t="s">
        <v>5191</v>
      </c>
      <c r="J4946">
        <v>5</v>
      </c>
      <c r="K4946" t="s">
        <v>4744</v>
      </c>
      <c r="L4946">
        <v>210</v>
      </c>
      <c r="M4946">
        <v>42</v>
      </c>
      <c r="N4946" t="s">
        <v>5272</v>
      </c>
      <c r="O4946" t="s">
        <v>459</v>
      </c>
    </row>
    <row r="4947" spans="1:15" x14ac:dyDescent="0.3">
      <c r="A4947">
        <v>194190</v>
      </c>
      <c r="B4947">
        <v>105</v>
      </c>
      <c r="C4947" t="s">
        <v>557</v>
      </c>
      <c r="D4947" t="s">
        <v>2581</v>
      </c>
      <c r="E4947" t="s">
        <v>3672</v>
      </c>
      <c r="F4947" s="451">
        <v>46036</v>
      </c>
      <c r="G4947">
        <v>19505</v>
      </c>
      <c r="H4947" t="s">
        <v>4872</v>
      </c>
      <c r="I4947" t="s">
        <v>5191</v>
      </c>
      <c r="J4947">
        <v>4.5</v>
      </c>
      <c r="K4947" t="s">
        <v>4744</v>
      </c>
      <c r="L4947">
        <v>54</v>
      </c>
      <c r="M4947">
        <v>12</v>
      </c>
      <c r="N4947" t="s">
        <v>5272</v>
      </c>
      <c r="O4947" t="s">
        <v>459</v>
      </c>
    </row>
    <row r="4948" spans="1:15" x14ac:dyDescent="0.3">
      <c r="A4948">
        <v>194190</v>
      </c>
      <c r="B4948">
        <v>105</v>
      </c>
      <c r="C4948" t="s">
        <v>557</v>
      </c>
      <c r="D4948" t="s">
        <v>2581</v>
      </c>
      <c r="E4948" t="s">
        <v>3672</v>
      </c>
      <c r="F4948" s="451">
        <v>46036</v>
      </c>
      <c r="G4948">
        <v>23184</v>
      </c>
      <c r="H4948" t="s">
        <v>4935</v>
      </c>
      <c r="I4948" t="s">
        <v>5191</v>
      </c>
      <c r="J4948">
        <v>2</v>
      </c>
      <c r="K4948" t="s">
        <v>4744</v>
      </c>
      <c r="L4948">
        <v>32</v>
      </c>
      <c r="M4948">
        <v>16</v>
      </c>
      <c r="N4948" t="s">
        <v>5272</v>
      </c>
      <c r="O4948" t="s">
        <v>459</v>
      </c>
    </row>
    <row r="4949" spans="1:15" x14ac:dyDescent="0.3">
      <c r="A4949">
        <v>194189</v>
      </c>
      <c r="B4949">
        <v>105</v>
      </c>
      <c r="C4949" t="s">
        <v>557</v>
      </c>
      <c r="D4949" t="s">
        <v>2581</v>
      </c>
      <c r="E4949" t="s">
        <v>3673</v>
      </c>
      <c r="F4949" s="451">
        <v>46037</v>
      </c>
      <c r="G4949">
        <v>24083</v>
      </c>
      <c r="H4949" t="s">
        <v>5165</v>
      </c>
      <c r="I4949" t="s">
        <v>5191</v>
      </c>
      <c r="J4949">
        <v>80</v>
      </c>
      <c r="K4949" t="s">
        <v>4744</v>
      </c>
      <c r="L4949">
        <v>336</v>
      </c>
      <c r="M4949">
        <v>4.2</v>
      </c>
      <c r="N4949" t="s">
        <v>5272</v>
      </c>
      <c r="O4949" t="s">
        <v>459</v>
      </c>
    </row>
    <row r="4950" spans="1:15" x14ac:dyDescent="0.3">
      <c r="A4950">
        <v>194189</v>
      </c>
      <c r="B4950">
        <v>105</v>
      </c>
      <c r="C4950" t="s">
        <v>557</v>
      </c>
      <c r="D4950" t="s">
        <v>2581</v>
      </c>
      <c r="E4950" t="s">
        <v>3673</v>
      </c>
      <c r="F4950" s="451">
        <v>46037</v>
      </c>
      <c r="G4950">
        <v>19505</v>
      </c>
      <c r="H4950" t="s">
        <v>4872</v>
      </c>
      <c r="I4950" t="s">
        <v>5191</v>
      </c>
      <c r="J4950">
        <v>4.5</v>
      </c>
      <c r="K4950" t="s">
        <v>4744</v>
      </c>
      <c r="L4950">
        <v>54</v>
      </c>
      <c r="M4950">
        <v>12</v>
      </c>
      <c r="N4950" t="s">
        <v>5272</v>
      </c>
      <c r="O4950" t="s">
        <v>459</v>
      </c>
    </row>
    <row r="4951" spans="1:15" x14ac:dyDescent="0.3">
      <c r="A4951">
        <v>194189</v>
      </c>
      <c r="B4951">
        <v>105</v>
      </c>
      <c r="C4951" t="s">
        <v>557</v>
      </c>
      <c r="D4951" t="s">
        <v>2581</v>
      </c>
      <c r="E4951" t="s">
        <v>3673</v>
      </c>
      <c r="F4951" s="451">
        <v>46037</v>
      </c>
      <c r="G4951">
        <v>19589</v>
      </c>
      <c r="H4951" t="s">
        <v>4983</v>
      </c>
      <c r="I4951" t="s">
        <v>5191</v>
      </c>
      <c r="J4951">
        <v>4</v>
      </c>
      <c r="K4951" t="s">
        <v>4744</v>
      </c>
      <c r="L4951">
        <v>46</v>
      </c>
      <c r="M4951">
        <v>11.5</v>
      </c>
      <c r="N4951" t="s">
        <v>5272</v>
      </c>
      <c r="O4951" t="s">
        <v>459</v>
      </c>
    </row>
    <row r="4952" spans="1:15" x14ac:dyDescent="0.3">
      <c r="A4952">
        <v>194189</v>
      </c>
      <c r="B4952">
        <v>105</v>
      </c>
      <c r="C4952" t="s">
        <v>557</v>
      </c>
      <c r="D4952" t="s">
        <v>2581</v>
      </c>
      <c r="E4952" t="s">
        <v>3673</v>
      </c>
      <c r="F4952" s="451">
        <v>46037</v>
      </c>
      <c r="G4952">
        <v>19658</v>
      </c>
      <c r="H4952" t="s">
        <v>4784</v>
      </c>
      <c r="I4952" t="s">
        <v>5191</v>
      </c>
      <c r="J4952">
        <v>8</v>
      </c>
      <c r="K4952" t="s">
        <v>4744</v>
      </c>
      <c r="L4952">
        <v>22.4</v>
      </c>
      <c r="M4952">
        <v>2.8</v>
      </c>
      <c r="N4952" t="s">
        <v>5272</v>
      </c>
      <c r="O4952" t="s">
        <v>459</v>
      </c>
    </row>
    <row r="4953" spans="1:15" x14ac:dyDescent="0.3">
      <c r="A4953">
        <v>194189</v>
      </c>
      <c r="B4953">
        <v>105</v>
      </c>
      <c r="C4953" t="s">
        <v>557</v>
      </c>
      <c r="D4953" t="s">
        <v>2581</v>
      </c>
      <c r="E4953" t="s">
        <v>3673</v>
      </c>
      <c r="F4953" s="451">
        <v>46037</v>
      </c>
      <c r="G4953">
        <v>19476</v>
      </c>
      <c r="H4953" t="s">
        <v>5115</v>
      </c>
      <c r="I4953" t="s">
        <v>5191</v>
      </c>
      <c r="J4953">
        <v>0.3</v>
      </c>
      <c r="K4953" t="s">
        <v>4744</v>
      </c>
      <c r="L4953">
        <v>20.399999999999999</v>
      </c>
      <c r="M4953">
        <v>68</v>
      </c>
      <c r="N4953" t="s">
        <v>5272</v>
      </c>
      <c r="O4953" t="s">
        <v>459</v>
      </c>
    </row>
    <row r="4954" spans="1:15" x14ac:dyDescent="0.3">
      <c r="A4954">
        <v>194189</v>
      </c>
      <c r="B4954">
        <v>105</v>
      </c>
      <c r="C4954" t="s">
        <v>557</v>
      </c>
      <c r="D4954" t="s">
        <v>2581</v>
      </c>
      <c r="E4954" t="s">
        <v>3673</v>
      </c>
      <c r="F4954" s="451">
        <v>46037</v>
      </c>
      <c r="G4954">
        <v>19488</v>
      </c>
      <c r="H4954" t="s">
        <v>5107</v>
      </c>
      <c r="I4954" t="s">
        <v>5191</v>
      </c>
      <c r="J4954">
        <v>0.5</v>
      </c>
      <c r="K4954" t="s">
        <v>4744</v>
      </c>
      <c r="L4954">
        <v>6</v>
      </c>
      <c r="M4954">
        <v>12</v>
      </c>
      <c r="N4954" t="s">
        <v>5272</v>
      </c>
      <c r="O4954" t="s">
        <v>459</v>
      </c>
    </row>
    <row r="4955" spans="1:15" x14ac:dyDescent="0.3">
      <c r="A4955">
        <v>194189</v>
      </c>
      <c r="B4955">
        <v>105</v>
      </c>
      <c r="C4955" t="s">
        <v>557</v>
      </c>
      <c r="D4955" t="s">
        <v>2581</v>
      </c>
      <c r="E4955" t="s">
        <v>3673</v>
      </c>
      <c r="F4955" s="451">
        <v>46037</v>
      </c>
      <c r="G4955">
        <v>19502</v>
      </c>
      <c r="H4955" t="s">
        <v>4871</v>
      </c>
      <c r="I4955" t="s">
        <v>5191</v>
      </c>
      <c r="J4955">
        <v>4.5</v>
      </c>
      <c r="K4955" t="s">
        <v>4744</v>
      </c>
      <c r="L4955">
        <v>81</v>
      </c>
      <c r="M4955">
        <v>18</v>
      </c>
      <c r="N4955" t="s">
        <v>5272</v>
      </c>
      <c r="O4955" t="s">
        <v>459</v>
      </c>
    </row>
    <row r="4956" spans="1:15" x14ac:dyDescent="0.3">
      <c r="A4956">
        <v>194189</v>
      </c>
      <c r="B4956">
        <v>105</v>
      </c>
      <c r="C4956" t="s">
        <v>557</v>
      </c>
      <c r="D4956" t="s">
        <v>2581</v>
      </c>
      <c r="E4956" t="s">
        <v>3673</v>
      </c>
      <c r="F4956" s="451">
        <v>46037</v>
      </c>
      <c r="G4956">
        <v>19553</v>
      </c>
      <c r="H4956" t="s">
        <v>4868</v>
      </c>
      <c r="I4956" t="s">
        <v>5191</v>
      </c>
      <c r="J4956">
        <v>1</v>
      </c>
      <c r="K4956" t="s">
        <v>4744</v>
      </c>
      <c r="L4956">
        <v>2.7</v>
      </c>
      <c r="M4956">
        <v>2.7</v>
      </c>
      <c r="N4956" t="s">
        <v>5272</v>
      </c>
      <c r="O4956" t="s">
        <v>459</v>
      </c>
    </row>
    <row r="4957" spans="1:15" x14ac:dyDescent="0.3">
      <c r="A4957">
        <v>194189</v>
      </c>
      <c r="B4957">
        <v>105</v>
      </c>
      <c r="C4957" t="s">
        <v>557</v>
      </c>
      <c r="D4957" t="s">
        <v>2581</v>
      </c>
      <c r="E4957" t="s">
        <v>3673</v>
      </c>
      <c r="F4957" s="451">
        <v>46037</v>
      </c>
      <c r="G4957">
        <v>19507</v>
      </c>
      <c r="H4957" t="s">
        <v>4853</v>
      </c>
      <c r="I4957" t="s">
        <v>5191</v>
      </c>
      <c r="J4957">
        <v>1.2</v>
      </c>
      <c r="K4957" t="s">
        <v>4744</v>
      </c>
      <c r="L4957">
        <v>13.2</v>
      </c>
      <c r="M4957">
        <v>11</v>
      </c>
      <c r="N4957" t="s">
        <v>5272</v>
      </c>
      <c r="O4957" t="s">
        <v>459</v>
      </c>
    </row>
    <row r="4958" spans="1:15" x14ac:dyDescent="0.3">
      <c r="A4958">
        <v>194189</v>
      </c>
      <c r="B4958">
        <v>105</v>
      </c>
      <c r="C4958" t="s">
        <v>557</v>
      </c>
      <c r="D4958" t="s">
        <v>2581</v>
      </c>
      <c r="E4958" t="s">
        <v>3673</v>
      </c>
      <c r="F4958" s="451">
        <v>46037</v>
      </c>
      <c r="G4958">
        <v>23113</v>
      </c>
      <c r="H4958" t="s">
        <v>5074</v>
      </c>
      <c r="I4958" t="s">
        <v>5191</v>
      </c>
      <c r="J4958">
        <v>0.5</v>
      </c>
      <c r="K4958" t="s">
        <v>4744</v>
      </c>
      <c r="L4958">
        <v>6.25</v>
      </c>
      <c r="M4958">
        <v>12.5</v>
      </c>
      <c r="N4958" t="s">
        <v>5272</v>
      </c>
      <c r="O4958" t="s">
        <v>459</v>
      </c>
    </row>
    <row r="4959" spans="1:15" x14ac:dyDescent="0.3">
      <c r="A4959">
        <v>194189</v>
      </c>
      <c r="B4959">
        <v>105</v>
      </c>
      <c r="C4959" t="s">
        <v>557</v>
      </c>
      <c r="D4959" t="s">
        <v>2581</v>
      </c>
      <c r="E4959" t="s">
        <v>3673</v>
      </c>
      <c r="F4959" s="451">
        <v>46037</v>
      </c>
      <c r="G4959">
        <v>19635</v>
      </c>
      <c r="H4959" t="s">
        <v>4786</v>
      </c>
      <c r="I4959" t="s">
        <v>5191</v>
      </c>
      <c r="J4959">
        <v>6</v>
      </c>
      <c r="K4959" t="s">
        <v>4744</v>
      </c>
      <c r="L4959">
        <v>27</v>
      </c>
      <c r="M4959">
        <v>4.5</v>
      </c>
      <c r="N4959" t="s">
        <v>5272</v>
      </c>
      <c r="O4959" t="s">
        <v>459</v>
      </c>
    </row>
    <row r="4960" spans="1:15" x14ac:dyDescent="0.3">
      <c r="A4960">
        <v>194189</v>
      </c>
      <c r="B4960">
        <v>105</v>
      </c>
      <c r="C4960" t="s">
        <v>557</v>
      </c>
      <c r="D4960" t="s">
        <v>2581</v>
      </c>
      <c r="E4960" t="s">
        <v>3673</v>
      </c>
      <c r="F4960" s="451">
        <v>46037</v>
      </c>
      <c r="G4960">
        <v>23228</v>
      </c>
      <c r="H4960" t="s">
        <v>4782</v>
      </c>
      <c r="I4960" t="s">
        <v>5191</v>
      </c>
      <c r="J4960">
        <v>8</v>
      </c>
      <c r="K4960" t="s">
        <v>4744</v>
      </c>
      <c r="L4960">
        <v>60</v>
      </c>
      <c r="M4960">
        <v>7.5</v>
      </c>
      <c r="N4960" t="s">
        <v>5272</v>
      </c>
      <c r="O4960" t="s">
        <v>459</v>
      </c>
    </row>
    <row r="4961" spans="1:15" x14ac:dyDescent="0.3">
      <c r="A4961">
        <v>194189</v>
      </c>
      <c r="B4961">
        <v>105</v>
      </c>
      <c r="C4961" t="s">
        <v>557</v>
      </c>
      <c r="D4961" t="s">
        <v>2581</v>
      </c>
      <c r="E4961" t="s">
        <v>3673</v>
      </c>
      <c r="F4961" s="451">
        <v>46037</v>
      </c>
      <c r="G4961">
        <v>23359</v>
      </c>
      <c r="H4961" t="s">
        <v>4767</v>
      </c>
      <c r="I4961" t="s">
        <v>5191</v>
      </c>
      <c r="J4961">
        <v>8</v>
      </c>
      <c r="K4961" t="s">
        <v>4744</v>
      </c>
      <c r="L4961">
        <v>22</v>
      </c>
      <c r="M4961">
        <v>2.75</v>
      </c>
      <c r="N4961" t="s">
        <v>5272</v>
      </c>
      <c r="O4961" t="s">
        <v>459</v>
      </c>
    </row>
    <row r="4962" spans="1:15" x14ac:dyDescent="0.3">
      <c r="A4962">
        <v>194189</v>
      </c>
      <c r="B4962">
        <v>105</v>
      </c>
      <c r="C4962" t="s">
        <v>557</v>
      </c>
      <c r="D4962" t="s">
        <v>2581</v>
      </c>
      <c r="E4962" t="s">
        <v>3673</v>
      </c>
      <c r="F4962" s="451">
        <v>46037</v>
      </c>
      <c r="G4962">
        <v>23361</v>
      </c>
      <c r="H4962" t="s">
        <v>4754</v>
      </c>
      <c r="I4962" t="s">
        <v>5191</v>
      </c>
      <c r="J4962">
        <v>30</v>
      </c>
      <c r="K4962" t="s">
        <v>4744</v>
      </c>
      <c r="L4962">
        <v>93</v>
      </c>
      <c r="M4962">
        <v>3.1</v>
      </c>
      <c r="N4962" t="s">
        <v>5272</v>
      </c>
      <c r="O4962" t="s">
        <v>459</v>
      </c>
    </row>
    <row r="4963" spans="1:15" x14ac:dyDescent="0.3">
      <c r="A4963">
        <v>194189</v>
      </c>
      <c r="B4963">
        <v>105</v>
      </c>
      <c r="C4963" t="s">
        <v>557</v>
      </c>
      <c r="D4963" t="s">
        <v>2581</v>
      </c>
      <c r="E4963" t="s">
        <v>3673</v>
      </c>
      <c r="F4963" s="451">
        <v>46037</v>
      </c>
      <c r="G4963">
        <v>23385</v>
      </c>
      <c r="H4963" t="s">
        <v>4938</v>
      </c>
      <c r="I4963" t="s">
        <v>5191</v>
      </c>
      <c r="J4963">
        <v>1</v>
      </c>
      <c r="K4963" t="s">
        <v>4744</v>
      </c>
      <c r="L4963">
        <v>27.5</v>
      </c>
      <c r="M4963">
        <v>27.5</v>
      </c>
      <c r="N4963" t="s">
        <v>5272</v>
      </c>
      <c r="O4963" t="s">
        <v>459</v>
      </c>
    </row>
    <row r="4964" spans="1:15" x14ac:dyDescent="0.3">
      <c r="A4964">
        <v>194189</v>
      </c>
      <c r="B4964">
        <v>105</v>
      </c>
      <c r="C4964" t="s">
        <v>557</v>
      </c>
      <c r="D4964" t="s">
        <v>2581</v>
      </c>
      <c r="E4964" t="s">
        <v>3673</v>
      </c>
      <c r="F4964" s="451">
        <v>46037</v>
      </c>
      <c r="G4964">
        <v>23389</v>
      </c>
      <c r="H4964" t="s">
        <v>4960</v>
      </c>
      <c r="I4964" t="s">
        <v>5191</v>
      </c>
      <c r="J4964">
        <v>2.5</v>
      </c>
      <c r="K4964" t="s">
        <v>4744</v>
      </c>
      <c r="L4964">
        <v>15</v>
      </c>
      <c r="M4964">
        <v>6</v>
      </c>
      <c r="N4964" t="s">
        <v>5272</v>
      </c>
      <c r="O4964" t="s">
        <v>459</v>
      </c>
    </row>
    <row r="4965" spans="1:15" x14ac:dyDescent="0.3">
      <c r="A4965">
        <v>194189</v>
      </c>
      <c r="B4965">
        <v>105</v>
      </c>
      <c r="C4965" t="s">
        <v>557</v>
      </c>
      <c r="D4965" t="s">
        <v>2581</v>
      </c>
      <c r="E4965" t="s">
        <v>3673</v>
      </c>
      <c r="F4965" s="451">
        <v>46037</v>
      </c>
      <c r="G4965">
        <v>23095</v>
      </c>
      <c r="H4965" t="s">
        <v>4741</v>
      </c>
      <c r="I4965" t="s">
        <v>5191</v>
      </c>
      <c r="J4965">
        <v>40</v>
      </c>
      <c r="K4965" t="s">
        <v>4736</v>
      </c>
      <c r="L4965">
        <v>38.799999999999997</v>
      </c>
      <c r="M4965">
        <v>0.97</v>
      </c>
      <c r="N4965" t="s">
        <v>5272</v>
      </c>
      <c r="O4965" t="s">
        <v>459</v>
      </c>
    </row>
    <row r="4966" spans="1:15" x14ac:dyDescent="0.3">
      <c r="A4966">
        <v>194189</v>
      </c>
      <c r="B4966">
        <v>105</v>
      </c>
      <c r="C4966" t="s">
        <v>557</v>
      </c>
      <c r="D4966" t="s">
        <v>2581</v>
      </c>
      <c r="E4966" t="s">
        <v>3673</v>
      </c>
      <c r="F4966" s="451">
        <v>46037</v>
      </c>
      <c r="G4966">
        <v>24037</v>
      </c>
      <c r="H4966" t="s">
        <v>5233</v>
      </c>
      <c r="I4966" t="s">
        <v>5191</v>
      </c>
      <c r="J4966">
        <v>4</v>
      </c>
      <c r="K4966" t="s">
        <v>4744</v>
      </c>
      <c r="L4966">
        <v>82</v>
      </c>
      <c r="M4966">
        <v>20.5</v>
      </c>
      <c r="N4966" t="s">
        <v>5272</v>
      </c>
      <c r="O4966" t="s">
        <v>459</v>
      </c>
    </row>
    <row r="4967" spans="1:15" x14ac:dyDescent="0.3">
      <c r="A4967">
        <v>194188</v>
      </c>
      <c r="B4967">
        <v>105</v>
      </c>
      <c r="C4967" t="s">
        <v>557</v>
      </c>
      <c r="D4967" t="s">
        <v>2605</v>
      </c>
      <c r="E4967" t="s">
        <v>3674</v>
      </c>
      <c r="F4967" s="451">
        <v>46036</v>
      </c>
      <c r="G4967">
        <v>20242</v>
      </c>
      <c r="H4967" t="s">
        <v>4824</v>
      </c>
      <c r="I4967" t="s">
        <v>5191</v>
      </c>
      <c r="J4967">
        <v>5</v>
      </c>
      <c r="K4967" t="s">
        <v>4738</v>
      </c>
      <c r="L4967">
        <v>71</v>
      </c>
      <c r="M4967">
        <v>14.2</v>
      </c>
      <c r="N4967" t="s">
        <v>5272</v>
      </c>
      <c r="O4967" t="s">
        <v>459</v>
      </c>
    </row>
    <row r="4968" spans="1:15" x14ac:dyDescent="0.3">
      <c r="A4968">
        <v>194188</v>
      </c>
      <c r="B4968">
        <v>105</v>
      </c>
      <c r="C4968" t="s">
        <v>557</v>
      </c>
      <c r="D4968" t="s">
        <v>2605</v>
      </c>
      <c r="E4968" t="s">
        <v>3674</v>
      </c>
      <c r="F4968" s="451">
        <v>46036</v>
      </c>
      <c r="G4968">
        <v>19969</v>
      </c>
      <c r="H4968" t="s">
        <v>5018</v>
      </c>
      <c r="I4968" t="s">
        <v>5191</v>
      </c>
      <c r="J4968">
        <v>1</v>
      </c>
      <c r="K4968" t="s">
        <v>4888</v>
      </c>
      <c r="L4968">
        <v>10.1</v>
      </c>
      <c r="M4968">
        <v>10.1</v>
      </c>
      <c r="N4968" t="s">
        <v>5272</v>
      </c>
      <c r="O4968" t="s">
        <v>459</v>
      </c>
    </row>
    <row r="4969" spans="1:15" x14ac:dyDescent="0.3">
      <c r="A4969">
        <v>194188</v>
      </c>
      <c r="B4969">
        <v>105</v>
      </c>
      <c r="C4969" t="s">
        <v>557</v>
      </c>
      <c r="D4969" t="s">
        <v>2605</v>
      </c>
      <c r="E4969" t="s">
        <v>3674</v>
      </c>
      <c r="F4969" s="451">
        <v>46036</v>
      </c>
      <c r="G4969">
        <v>20689</v>
      </c>
      <c r="H4969" t="s">
        <v>5007</v>
      </c>
      <c r="I4969" t="s">
        <v>5191</v>
      </c>
      <c r="J4969">
        <v>2</v>
      </c>
      <c r="K4969" t="s">
        <v>4736</v>
      </c>
      <c r="L4969">
        <v>73.8</v>
      </c>
      <c r="M4969">
        <v>36.9</v>
      </c>
      <c r="N4969" t="s">
        <v>5272</v>
      </c>
      <c r="O4969" t="s">
        <v>459</v>
      </c>
    </row>
    <row r="4970" spans="1:15" x14ac:dyDescent="0.3">
      <c r="A4970">
        <v>194188</v>
      </c>
      <c r="B4970">
        <v>105</v>
      </c>
      <c r="C4970" t="s">
        <v>557</v>
      </c>
      <c r="D4970" t="s">
        <v>2605</v>
      </c>
      <c r="E4970" t="s">
        <v>3674</v>
      </c>
      <c r="F4970" s="451">
        <v>46036</v>
      </c>
      <c r="G4970">
        <v>19306</v>
      </c>
      <c r="H4970" t="s">
        <v>5111</v>
      </c>
      <c r="I4970" t="s">
        <v>5191</v>
      </c>
      <c r="J4970">
        <v>3</v>
      </c>
      <c r="K4970" t="s">
        <v>5228</v>
      </c>
      <c r="L4970">
        <v>65.7</v>
      </c>
      <c r="M4970">
        <v>21.9</v>
      </c>
      <c r="N4970" t="s">
        <v>5272</v>
      </c>
      <c r="O4970" t="s">
        <v>459</v>
      </c>
    </row>
    <row r="4971" spans="1:15" x14ac:dyDescent="0.3">
      <c r="A4971">
        <v>194188</v>
      </c>
      <c r="B4971">
        <v>105</v>
      </c>
      <c r="C4971" t="s">
        <v>557</v>
      </c>
      <c r="D4971" t="s">
        <v>2605</v>
      </c>
      <c r="E4971" t="s">
        <v>3674</v>
      </c>
      <c r="F4971" s="451">
        <v>46036</v>
      </c>
      <c r="G4971">
        <v>20660</v>
      </c>
      <c r="H4971" t="s">
        <v>5011</v>
      </c>
      <c r="I4971" t="s">
        <v>5191</v>
      </c>
      <c r="J4971">
        <v>2</v>
      </c>
      <c r="K4971" t="s">
        <v>5242</v>
      </c>
      <c r="L4971">
        <v>119.8</v>
      </c>
      <c r="M4971">
        <v>59.9</v>
      </c>
      <c r="N4971" t="s">
        <v>5272</v>
      </c>
      <c r="O4971" t="s">
        <v>459</v>
      </c>
    </row>
    <row r="4972" spans="1:15" x14ac:dyDescent="0.3">
      <c r="A4972">
        <v>194188</v>
      </c>
      <c r="B4972">
        <v>105</v>
      </c>
      <c r="C4972" t="s">
        <v>557</v>
      </c>
      <c r="D4972" t="s">
        <v>2605</v>
      </c>
      <c r="E4972" t="s">
        <v>3674</v>
      </c>
      <c r="F4972" s="451">
        <v>46036</v>
      </c>
      <c r="G4972">
        <v>20122</v>
      </c>
      <c r="H4972" t="s">
        <v>4781</v>
      </c>
      <c r="I4972" t="s">
        <v>5191</v>
      </c>
      <c r="J4972">
        <v>3</v>
      </c>
      <c r="K4972" t="s">
        <v>4738</v>
      </c>
      <c r="L4972">
        <v>43.8</v>
      </c>
      <c r="M4972">
        <v>14.6</v>
      </c>
      <c r="N4972" t="s">
        <v>5272</v>
      </c>
      <c r="O4972" t="s">
        <v>459</v>
      </c>
    </row>
    <row r="4973" spans="1:15" x14ac:dyDescent="0.3">
      <c r="A4973">
        <v>194188</v>
      </c>
      <c r="B4973">
        <v>105</v>
      </c>
      <c r="C4973" t="s">
        <v>557</v>
      </c>
      <c r="D4973" t="s">
        <v>2605</v>
      </c>
      <c r="E4973" t="s">
        <v>3674</v>
      </c>
      <c r="F4973" s="451">
        <v>46036</v>
      </c>
      <c r="G4973">
        <v>20007</v>
      </c>
      <c r="H4973" t="s">
        <v>5101</v>
      </c>
      <c r="I4973" t="s">
        <v>5191</v>
      </c>
      <c r="J4973">
        <v>3</v>
      </c>
      <c r="K4973" t="s">
        <v>4884</v>
      </c>
      <c r="L4973">
        <v>145.5</v>
      </c>
      <c r="M4973">
        <v>48.5</v>
      </c>
      <c r="N4973" t="s">
        <v>5272</v>
      </c>
      <c r="O4973" t="s">
        <v>459</v>
      </c>
    </row>
    <row r="4974" spans="1:15" x14ac:dyDescent="0.3">
      <c r="A4974">
        <v>194188</v>
      </c>
      <c r="B4974">
        <v>105</v>
      </c>
      <c r="C4974" t="s">
        <v>557</v>
      </c>
      <c r="D4974" t="s">
        <v>2605</v>
      </c>
      <c r="E4974" t="s">
        <v>3674</v>
      </c>
      <c r="F4974" s="451">
        <v>46036</v>
      </c>
      <c r="G4974">
        <v>19224</v>
      </c>
      <c r="H4974" t="s">
        <v>5100</v>
      </c>
      <c r="I4974" t="s">
        <v>5191</v>
      </c>
      <c r="J4974">
        <v>2</v>
      </c>
      <c r="K4974" t="s">
        <v>4736</v>
      </c>
      <c r="L4974">
        <v>495.8</v>
      </c>
      <c r="M4974">
        <v>247.9</v>
      </c>
      <c r="N4974" t="s">
        <v>5272</v>
      </c>
      <c r="O4974" t="s">
        <v>459</v>
      </c>
    </row>
    <row r="4975" spans="1:15" x14ac:dyDescent="0.3">
      <c r="A4975">
        <v>194188</v>
      </c>
      <c r="B4975">
        <v>105</v>
      </c>
      <c r="C4975" t="s">
        <v>557</v>
      </c>
      <c r="D4975" t="s">
        <v>2605</v>
      </c>
      <c r="E4975" t="s">
        <v>3674</v>
      </c>
      <c r="F4975" s="451">
        <v>46036</v>
      </c>
      <c r="G4975">
        <v>19439</v>
      </c>
      <c r="H4975" t="s">
        <v>4917</v>
      </c>
      <c r="I4975" t="s">
        <v>5191</v>
      </c>
      <c r="J4975">
        <v>2</v>
      </c>
      <c r="K4975" t="s">
        <v>4738</v>
      </c>
      <c r="L4975">
        <v>66.760000000000005</v>
      </c>
      <c r="M4975">
        <v>33.380000000000003</v>
      </c>
      <c r="N4975" t="s">
        <v>5272</v>
      </c>
      <c r="O4975" t="s">
        <v>459</v>
      </c>
    </row>
    <row r="4976" spans="1:15" x14ac:dyDescent="0.3">
      <c r="A4976">
        <v>194188</v>
      </c>
      <c r="B4976">
        <v>105</v>
      </c>
      <c r="C4976" t="s">
        <v>557</v>
      </c>
      <c r="D4976" t="s">
        <v>2605</v>
      </c>
      <c r="E4976" t="s">
        <v>3674</v>
      </c>
      <c r="F4976" s="451">
        <v>46036</v>
      </c>
      <c r="G4976">
        <v>20624</v>
      </c>
      <c r="H4976" t="s">
        <v>5019</v>
      </c>
      <c r="I4976" t="s">
        <v>5191</v>
      </c>
      <c r="J4976">
        <v>1</v>
      </c>
      <c r="K4976" t="s">
        <v>4736</v>
      </c>
      <c r="L4976">
        <v>68.3</v>
      </c>
      <c r="M4976">
        <v>68.3</v>
      </c>
      <c r="N4976" t="s">
        <v>5272</v>
      </c>
      <c r="O4976" t="s">
        <v>459</v>
      </c>
    </row>
    <row r="4977" spans="1:15" x14ac:dyDescent="0.3">
      <c r="A4977">
        <v>194186</v>
      </c>
      <c r="B4977">
        <v>105</v>
      </c>
      <c r="C4977" t="s">
        <v>557</v>
      </c>
      <c r="D4977" t="s">
        <v>2644</v>
      </c>
      <c r="E4977" t="s">
        <v>3675</v>
      </c>
      <c r="F4977" s="451">
        <v>46037</v>
      </c>
      <c r="G4977">
        <v>17162</v>
      </c>
      <c r="H4977" t="s">
        <v>5255</v>
      </c>
      <c r="I4977" t="s">
        <v>5188</v>
      </c>
      <c r="J4977">
        <v>1</v>
      </c>
      <c r="K4977" t="s">
        <v>4736</v>
      </c>
      <c r="L4977">
        <v>54.99</v>
      </c>
      <c r="M4977">
        <v>54.99</v>
      </c>
      <c r="N4977" t="s">
        <v>5277</v>
      </c>
      <c r="O4977" t="s">
        <v>459</v>
      </c>
    </row>
    <row r="4978" spans="1:15" x14ac:dyDescent="0.3">
      <c r="A4978">
        <v>194186</v>
      </c>
      <c r="B4978">
        <v>105</v>
      </c>
      <c r="C4978" t="s">
        <v>557</v>
      </c>
      <c r="D4978" t="s">
        <v>2644</v>
      </c>
      <c r="E4978" t="s">
        <v>3675</v>
      </c>
      <c r="F4978" s="451">
        <v>46037</v>
      </c>
      <c r="G4978">
        <v>17573</v>
      </c>
      <c r="H4978" t="s">
        <v>5306</v>
      </c>
      <c r="I4978" t="s">
        <v>5188</v>
      </c>
      <c r="J4978">
        <v>1</v>
      </c>
      <c r="K4978" t="s">
        <v>4749</v>
      </c>
      <c r="L4978">
        <v>74.8</v>
      </c>
      <c r="M4978">
        <v>74.8</v>
      </c>
      <c r="N4978" t="s">
        <v>5277</v>
      </c>
      <c r="O4978" t="s">
        <v>459</v>
      </c>
    </row>
    <row r="4979" spans="1:15" x14ac:dyDescent="0.3">
      <c r="A4979">
        <v>194186</v>
      </c>
      <c r="B4979">
        <v>105</v>
      </c>
      <c r="C4979" t="s">
        <v>557</v>
      </c>
      <c r="D4979" t="s">
        <v>2644</v>
      </c>
      <c r="E4979" t="s">
        <v>3675</v>
      </c>
      <c r="F4979" s="451">
        <v>46037</v>
      </c>
      <c r="G4979">
        <v>17266</v>
      </c>
      <c r="H4979" t="s">
        <v>5192</v>
      </c>
      <c r="I4979" t="s">
        <v>5188</v>
      </c>
      <c r="J4979">
        <v>3</v>
      </c>
      <c r="K4979" t="s">
        <v>4736</v>
      </c>
      <c r="L4979">
        <v>14.97</v>
      </c>
      <c r="M4979">
        <v>4.99</v>
      </c>
      <c r="N4979" t="s">
        <v>5277</v>
      </c>
      <c r="O4979" t="s">
        <v>459</v>
      </c>
    </row>
    <row r="4980" spans="1:15" x14ac:dyDescent="0.3">
      <c r="A4980">
        <v>194186</v>
      </c>
      <c r="B4980">
        <v>105</v>
      </c>
      <c r="C4980" t="s">
        <v>557</v>
      </c>
      <c r="D4980" t="s">
        <v>2644</v>
      </c>
      <c r="E4980" t="s">
        <v>3675</v>
      </c>
      <c r="F4980" s="451">
        <v>46037</v>
      </c>
      <c r="G4980">
        <v>17504</v>
      </c>
      <c r="H4980" t="s">
        <v>5260</v>
      </c>
      <c r="I4980" t="s">
        <v>5205</v>
      </c>
      <c r="J4980">
        <v>1</v>
      </c>
      <c r="K4980" t="s">
        <v>4736</v>
      </c>
      <c r="L4980">
        <v>22.68</v>
      </c>
      <c r="M4980">
        <v>22.68</v>
      </c>
      <c r="N4980" t="s">
        <v>5277</v>
      </c>
      <c r="O4980" t="s">
        <v>459</v>
      </c>
    </row>
    <row r="4981" spans="1:15" x14ac:dyDescent="0.3">
      <c r="A4981">
        <v>194186</v>
      </c>
      <c r="B4981">
        <v>105</v>
      </c>
      <c r="C4981" t="s">
        <v>557</v>
      </c>
      <c r="D4981" t="s">
        <v>2644</v>
      </c>
      <c r="E4981" t="s">
        <v>3675</v>
      </c>
      <c r="F4981" s="451">
        <v>46037</v>
      </c>
      <c r="G4981">
        <v>21433</v>
      </c>
      <c r="H4981" t="s">
        <v>5250</v>
      </c>
      <c r="I4981" t="s">
        <v>5188</v>
      </c>
      <c r="J4981">
        <v>1</v>
      </c>
      <c r="K4981" t="s">
        <v>4738</v>
      </c>
      <c r="L4981">
        <v>96</v>
      </c>
      <c r="M4981">
        <v>96</v>
      </c>
      <c r="N4981" t="s">
        <v>5277</v>
      </c>
      <c r="O4981" t="s">
        <v>459</v>
      </c>
    </row>
    <row r="4982" spans="1:15" x14ac:dyDescent="0.3">
      <c r="A4982">
        <v>194185</v>
      </c>
      <c r="B4982">
        <v>105</v>
      </c>
      <c r="C4982" t="s">
        <v>557</v>
      </c>
      <c r="D4982" t="s">
        <v>2571</v>
      </c>
      <c r="E4982" t="s">
        <v>3676</v>
      </c>
      <c r="F4982" s="451">
        <v>46037</v>
      </c>
      <c r="G4982">
        <v>19434</v>
      </c>
      <c r="H4982" t="s">
        <v>5078</v>
      </c>
      <c r="I4982" t="s">
        <v>5191</v>
      </c>
      <c r="J4982">
        <v>2</v>
      </c>
      <c r="K4982" t="s">
        <v>5242</v>
      </c>
      <c r="L4982">
        <v>47.96</v>
      </c>
      <c r="M4982">
        <v>23.98</v>
      </c>
      <c r="N4982" t="s">
        <v>5272</v>
      </c>
      <c r="O4982" t="s">
        <v>459</v>
      </c>
    </row>
    <row r="4983" spans="1:15" x14ac:dyDescent="0.3">
      <c r="A4983">
        <v>194185</v>
      </c>
      <c r="B4983">
        <v>105</v>
      </c>
      <c r="C4983" t="s">
        <v>557</v>
      </c>
      <c r="D4983" t="s">
        <v>2571</v>
      </c>
      <c r="E4983" t="s">
        <v>3676</v>
      </c>
      <c r="F4983" s="451">
        <v>46037</v>
      </c>
      <c r="G4983">
        <v>20661</v>
      </c>
      <c r="H4983" t="s">
        <v>5012</v>
      </c>
      <c r="I4983" t="s">
        <v>5191</v>
      </c>
      <c r="J4983">
        <v>6</v>
      </c>
      <c r="K4983" t="s">
        <v>4736</v>
      </c>
      <c r="L4983">
        <v>53.28</v>
      </c>
      <c r="M4983">
        <v>8.8800000000000008</v>
      </c>
      <c r="N4983" t="s">
        <v>5272</v>
      </c>
      <c r="O4983" t="s">
        <v>459</v>
      </c>
    </row>
    <row r="4984" spans="1:15" x14ac:dyDescent="0.3">
      <c r="A4984">
        <v>194185</v>
      </c>
      <c r="B4984">
        <v>105</v>
      </c>
      <c r="C4984" t="s">
        <v>557</v>
      </c>
      <c r="D4984" t="s">
        <v>2571</v>
      </c>
      <c r="E4984" t="s">
        <v>3676</v>
      </c>
      <c r="F4984" s="451">
        <v>46037</v>
      </c>
      <c r="G4984">
        <v>20301</v>
      </c>
      <c r="H4984" t="s">
        <v>4944</v>
      </c>
      <c r="I4984" t="s">
        <v>5191</v>
      </c>
      <c r="J4984">
        <v>6</v>
      </c>
      <c r="K4984" t="s">
        <v>4738</v>
      </c>
      <c r="L4984">
        <v>124.68</v>
      </c>
      <c r="M4984">
        <v>20.78</v>
      </c>
      <c r="N4984" t="s">
        <v>5272</v>
      </c>
      <c r="O4984" t="s">
        <v>459</v>
      </c>
    </row>
    <row r="4985" spans="1:15" x14ac:dyDescent="0.3">
      <c r="A4985">
        <v>194185</v>
      </c>
      <c r="B4985">
        <v>105</v>
      </c>
      <c r="C4985" t="s">
        <v>557</v>
      </c>
      <c r="D4985" t="s">
        <v>2571</v>
      </c>
      <c r="E4985" t="s">
        <v>3676</v>
      </c>
      <c r="F4985" s="451">
        <v>46037</v>
      </c>
      <c r="G4985">
        <v>26020</v>
      </c>
      <c r="H4985" t="s">
        <v>5102</v>
      </c>
      <c r="I4985" t="s">
        <v>5191</v>
      </c>
      <c r="J4985">
        <v>4</v>
      </c>
      <c r="K4985" t="s">
        <v>4736</v>
      </c>
      <c r="L4985">
        <v>57.52</v>
      </c>
      <c r="M4985">
        <v>14.38</v>
      </c>
      <c r="N4985" t="s">
        <v>5272</v>
      </c>
      <c r="O4985" t="s">
        <v>459</v>
      </c>
    </row>
    <row r="4986" spans="1:15" x14ac:dyDescent="0.3">
      <c r="A4986">
        <v>194185</v>
      </c>
      <c r="B4986">
        <v>105</v>
      </c>
      <c r="C4986" t="s">
        <v>557</v>
      </c>
      <c r="D4986" t="s">
        <v>2571</v>
      </c>
      <c r="E4986" t="s">
        <v>3676</v>
      </c>
      <c r="F4986" s="451">
        <v>46037</v>
      </c>
      <c r="G4986">
        <v>19421</v>
      </c>
      <c r="H4986" t="s">
        <v>4918</v>
      </c>
      <c r="I4986" t="s">
        <v>5191</v>
      </c>
      <c r="J4986">
        <v>1</v>
      </c>
      <c r="K4986" t="s">
        <v>4749</v>
      </c>
      <c r="L4986">
        <v>52.98</v>
      </c>
      <c r="M4986">
        <v>52.98</v>
      </c>
      <c r="N4986" t="s">
        <v>5272</v>
      </c>
      <c r="O4986" t="s">
        <v>459</v>
      </c>
    </row>
    <row r="4987" spans="1:15" x14ac:dyDescent="0.3">
      <c r="A4987">
        <v>194185</v>
      </c>
      <c r="B4987">
        <v>105</v>
      </c>
      <c r="C4987" t="s">
        <v>557</v>
      </c>
      <c r="D4987" t="s">
        <v>2571</v>
      </c>
      <c r="E4987" t="s">
        <v>3676</v>
      </c>
      <c r="F4987" s="451">
        <v>46037</v>
      </c>
      <c r="G4987">
        <v>23808</v>
      </c>
      <c r="H4987" t="s">
        <v>4982</v>
      </c>
      <c r="I4987" t="s">
        <v>5191</v>
      </c>
      <c r="J4987">
        <v>1</v>
      </c>
      <c r="K4987" t="s">
        <v>4744</v>
      </c>
      <c r="L4987">
        <v>67.099999999999994</v>
      </c>
      <c r="M4987">
        <v>67.099999999999994</v>
      </c>
      <c r="N4987" t="s">
        <v>5272</v>
      </c>
      <c r="O4987" t="s">
        <v>459</v>
      </c>
    </row>
    <row r="4988" spans="1:15" x14ac:dyDescent="0.3">
      <c r="A4988">
        <v>194184</v>
      </c>
      <c r="B4988">
        <v>105</v>
      </c>
      <c r="C4988" t="s">
        <v>557</v>
      </c>
      <c r="D4988" t="s">
        <v>2569</v>
      </c>
      <c r="E4988" t="s">
        <v>3677</v>
      </c>
      <c r="F4988" s="451">
        <v>46034</v>
      </c>
      <c r="G4988">
        <v>17958</v>
      </c>
      <c r="H4988" t="s">
        <v>5076</v>
      </c>
      <c r="I4988" t="s">
        <v>5222</v>
      </c>
      <c r="J4988">
        <v>15</v>
      </c>
      <c r="K4988" t="s">
        <v>4738</v>
      </c>
      <c r="L4988">
        <v>265.5</v>
      </c>
      <c r="M4988">
        <v>17.7</v>
      </c>
      <c r="N4988" t="s">
        <v>5271</v>
      </c>
      <c r="O4988" t="s">
        <v>459</v>
      </c>
    </row>
    <row r="4989" spans="1:15" x14ac:dyDescent="0.3">
      <c r="A4989">
        <v>194184</v>
      </c>
      <c r="B4989">
        <v>105</v>
      </c>
      <c r="C4989" t="s">
        <v>557</v>
      </c>
      <c r="D4989" t="s">
        <v>2569</v>
      </c>
      <c r="E4989" t="s">
        <v>3677</v>
      </c>
      <c r="F4989" s="451">
        <v>46034</v>
      </c>
      <c r="G4989">
        <v>17950</v>
      </c>
      <c r="H4989" t="s">
        <v>5091</v>
      </c>
      <c r="I4989" t="s">
        <v>5222</v>
      </c>
      <c r="J4989">
        <v>15</v>
      </c>
      <c r="K4989" t="s">
        <v>4738</v>
      </c>
      <c r="L4989">
        <v>280.5</v>
      </c>
      <c r="M4989">
        <v>18.7</v>
      </c>
      <c r="N4989" t="s">
        <v>5271</v>
      </c>
      <c r="O4989" t="s">
        <v>459</v>
      </c>
    </row>
    <row r="4990" spans="1:15" x14ac:dyDescent="0.3">
      <c r="A4990">
        <v>194183</v>
      </c>
      <c r="B4990">
        <v>105</v>
      </c>
      <c r="C4990" t="s">
        <v>557</v>
      </c>
      <c r="D4990" t="s">
        <v>2563</v>
      </c>
      <c r="E4990" t="s">
        <v>3678</v>
      </c>
      <c r="F4990" s="451">
        <v>46032</v>
      </c>
      <c r="G4990">
        <v>19621</v>
      </c>
      <c r="H4990" t="s">
        <v>4829</v>
      </c>
      <c r="I4990" t="s">
        <v>5191</v>
      </c>
      <c r="J4990">
        <v>2</v>
      </c>
      <c r="K4990" t="s">
        <v>4744</v>
      </c>
      <c r="L4990">
        <v>6.52</v>
      </c>
      <c r="M4990">
        <v>3.26</v>
      </c>
      <c r="N4990" t="s">
        <v>5272</v>
      </c>
      <c r="O4990" t="s">
        <v>459</v>
      </c>
    </row>
    <row r="4991" spans="1:15" x14ac:dyDescent="0.3">
      <c r="A4991">
        <v>194183</v>
      </c>
      <c r="B4991">
        <v>105</v>
      </c>
      <c r="C4991" t="s">
        <v>557</v>
      </c>
      <c r="D4991" t="s">
        <v>2563</v>
      </c>
      <c r="E4991" t="s">
        <v>3678</v>
      </c>
      <c r="F4991" s="451">
        <v>46032</v>
      </c>
      <c r="G4991">
        <v>19751</v>
      </c>
      <c r="H4991" t="s">
        <v>4800</v>
      </c>
      <c r="I4991" t="s">
        <v>5191</v>
      </c>
      <c r="J4991">
        <v>3</v>
      </c>
      <c r="K4991" t="s">
        <v>4744</v>
      </c>
      <c r="L4991">
        <v>31.32</v>
      </c>
      <c r="M4991">
        <v>10.44</v>
      </c>
      <c r="N4991" t="s">
        <v>5272</v>
      </c>
      <c r="O4991" t="s">
        <v>459</v>
      </c>
    </row>
    <row r="4992" spans="1:15" x14ac:dyDescent="0.3">
      <c r="A4992">
        <v>194183</v>
      </c>
      <c r="B4992">
        <v>105</v>
      </c>
      <c r="C4992" t="s">
        <v>557</v>
      </c>
      <c r="D4992" t="s">
        <v>2563</v>
      </c>
      <c r="E4992" t="s">
        <v>3678</v>
      </c>
      <c r="F4992" s="451">
        <v>46032</v>
      </c>
      <c r="G4992">
        <v>19632</v>
      </c>
      <c r="H4992" t="s">
        <v>4936</v>
      </c>
      <c r="I4992" t="s">
        <v>5191</v>
      </c>
      <c r="J4992">
        <v>2.5</v>
      </c>
      <c r="K4992" t="s">
        <v>4744</v>
      </c>
      <c r="L4992">
        <v>6.52</v>
      </c>
      <c r="M4992">
        <v>2.6080000000000001</v>
      </c>
      <c r="N4992" t="s">
        <v>5272</v>
      </c>
      <c r="O4992" t="s">
        <v>459</v>
      </c>
    </row>
    <row r="4993" spans="1:15" x14ac:dyDescent="0.3">
      <c r="A4993">
        <v>194181</v>
      </c>
      <c r="B4993">
        <v>105</v>
      </c>
      <c r="C4993" t="s">
        <v>557</v>
      </c>
      <c r="D4993" t="s">
        <v>2563</v>
      </c>
      <c r="E4993" t="s">
        <v>3679</v>
      </c>
      <c r="F4993" s="451">
        <v>46034</v>
      </c>
      <c r="G4993">
        <v>19621</v>
      </c>
      <c r="H4993" t="s">
        <v>4829</v>
      </c>
      <c r="I4993" t="s">
        <v>5191</v>
      </c>
      <c r="J4993">
        <v>2.9</v>
      </c>
      <c r="K4993" t="s">
        <v>4744</v>
      </c>
      <c r="L4993">
        <v>10.73</v>
      </c>
      <c r="M4993">
        <v>3.7</v>
      </c>
      <c r="N4993" t="s">
        <v>5272</v>
      </c>
      <c r="O4993" t="s">
        <v>459</v>
      </c>
    </row>
    <row r="4994" spans="1:15" x14ac:dyDescent="0.3">
      <c r="A4994">
        <v>194181</v>
      </c>
      <c r="B4994">
        <v>105</v>
      </c>
      <c r="C4994" t="s">
        <v>557</v>
      </c>
      <c r="D4994" t="s">
        <v>2563</v>
      </c>
      <c r="E4994" t="s">
        <v>3679</v>
      </c>
      <c r="F4994" s="451">
        <v>46034</v>
      </c>
      <c r="G4994">
        <v>19658</v>
      </c>
      <c r="H4994" t="s">
        <v>4784</v>
      </c>
      <c r="I4994" t="s">
        <v>5191</v>
      </c>
      <c r="J4994">
        <v>9.1999999999999993</v>
      </c>
      <c r="K4994" t="s">
        <v>4744</v>
      </c>
      <c r="L4994">
        <v>26.04</v>
      </c>
      <c r="M4994">
        <v>2.830435</v>
      </c>
      <c r="N4994" t="s">
        <v>5272</v>
      </c>
      <c r="O4994" t="s">
        <v>459</v>
      </c>
    </row>
    <row r="4995" spans="1:15" x14ac:dyDescent="0.3">
      <c r="A4995">
        <v>194181</v>
      </c>
      <c r="B4995">
        <v>105</v>
      </c>
      <c r="C4995" t="s">
        <v>557</v>
      </c>
      <c r="D4995" t="s">
        <v>2563</v>
      </c>
      <c r="E4995" t="s">
        <v>3679</v>
      </c>
      <c r="F4995" s="451">
        <v>46034</v>
      </c>
      <c r="G4995">
        <v>19558</v>
      </c>
      <c r="H4995" t="s">
        <v>4994</v>
      </c>
      <c r="I4995" t="s">
        <v>5191</v>
      </c>
      <c r="J4995">
        <v>1</v>
      </c>
      <c r="K4995" t="s">
        <v>4744</v>
      </c>
      <c r="L4995">
        <v>12.4</v>
      </c>
      <c r="M4995">
        <v>12.4</v>
      </c>
      <c r="N4995" t="s">
        <v>5272</v>
      </c>
      <c r="O4995" t="s">
        <v>459</v>
      </c>
    </row>
    <row r="4996" spans="1:15" x14ac:dyDescent="0.3">
      <c r="A4996">
        <v>194181</v>
      </c>
      <c r="B4996">
        <v>105</v>
      </c>
      <c r="C4996" t="s">
        <v>557</v>
      </c>
      <c r="D4996" t="s">
        <v>2563</v>
      </c>
      <c r="E4996" t="s">
        <v>3679</v>
      </c>
      <c r="F4996" s="451">
        <v>46034</v>
      </c>
      <c r="G4996">
        <v>19622</v>
      </c>
      <c r="H4996" t="s">
        <v>4915</v>
      </c>
      <c r="I4996" t="s">
        <v>5191</v>
      </c>
      <c r="J4996">
        <v>2.2999999999999998</v>
      </c>
      <c r="K4996" t="s">
        <v>4744</v>
      </c>
      <c r="L4996">
        <v>4.3499999999999996</v>
      </c>
      <c r="M4996">
        <v>1.8913040000000001</v>
      </c>
      <c r="N4996" t="s">
        <v>5272</v>
      </c>
      <c r="O4996" t="s">
        <v>459</v>
      </c>
    </row>
    <row r="4997" spans="1:15" x14ac:dyDescent="0.3">
      <c r="A4997">
        <v>194181</v>
      </c>
      <c r="B4997">
        <v>105</v>
      </c>
      <c r="C4997" t="s">
        <v>557</v>
      </c>
      <c r="D4997" t="s">
        <v>2563</v>
      </c>
      <c r="E4997" t="s">
        <v>3679</v>
      </c>
      <c r="F4997" s="451">
        <v>46034</v>
      </c>
      <c r="G4997">
        <v>24598</v>
      </c>
      <c r="H4997" t="s">
        <v>4852</v>
      </c>
      <c r="I4997" t="s">
        <v>5191</v>
      </c>
      <c r="J4997">
        <v>1</v>
      </c>
      <c r="K4997" t="s">
        <v>4744</v>
      </c>
      <c r="L4997">
        <v>15.77</v>
      </c>
      <c r="M4997">
        <v>15.77</v>
      </c>
      <c r="N4997" t="s">
        <v>5272</v>
      </c>
      <c r="O4997" t="s">
        <v>459</v>
      </c>
    </row>
    <row r="4998" spans="1:15" x14ac:dyDescent="0.3">
      <c r="A4998">
        <v>194181</v>
      </c>
      <c r="B4998">
        <v>105</v>
      </c>
      <c r="C4998" t="s">
        <v>557</v>
      </c>
      <c r="D4998" t="s">
        <v>2563</v>
      </c>
      <c r="E4998" t="s">
        <v>3679</v>
      </c>
      <c r="F4998" s="451">
        <v>46034</v>
      </c>
      <c r="G4998">
        <v>23238</v>
      </c>
      <c r="H4998" t="s">
        <v>4934</v>
      </c>
      <c r="I4998" t="s">
        <v>5191</v>
      </c>
      <c r="J4998">
        <v>1.4</v>
      </c>
      <c r="K4998" t="s">
        <v>4744</v>
      </c>
      <c r="L4998">
        <v>35.99</v>
      </c>
      <c r="M4998">
        <v>25.707142999999999</v>
      </c>
      <c r="N4998" t="s">
        <v>5272</v>
      </c>
      <c r="O4998" t="s">
        <v>459</v>
      </c>
    </row>
    <row r="4999" spans="1:15" x14ac:dyDescent="0.3">
      <c r="A4999">
        <v>194181</v>
      </c>
      <c r="B4999">
        <v>105</v>
      </c>
      <c r="C4999" t="s">
        <v>557</v>
      </c>
      <c r="D4999" t="s">
        <v>2563</v>
      </c>
      <c r="E4999" t="s">
        <v>3679</v>
      </c>
      <c r="F4999" s="451">
        <v>46034</v>
      </c>
      <c r="G4999">
        <v>19635</v>
      </c>
      <c r="H4999" t="s">
        <v>4786</v>
      </c>
      <c r="I4999" t="s">
        <v>5191</v>
      </c>
      <c r="J4999">
        <v>6</v>
      </c>
      <c r="K4999" t="s">
        <v>4744</v>
      </c>
      <c r="L4999">
        <v>33.840000000000003</v>
      </c>
      <c r="M4999">
        <v>5.64</v>
      </c>
      <c r="N4999" t="s">
        <v>5272</v>
      </c>
      <c r="O4999" t="s">
        <v>459</v>
      </c>
    </row>
    <row r="5000" spans="1:15" x14ac:dyDescent="0.3">
      <c r="A5000">
        <v>194181</v>
      </c>
      <c r="B5000">
        <v>105</v>
      </c>
      <c r="C5000" t="s">
        <v>557</v>
      </c>
      <c r="D5000" t="s">
        <v>2563</v>
      </c>
      <c r="E5000" t="s">
        <v>3679</v>
      </c>
      <c r="F5000" s="451">
        <v>46034</v>
      </c>
      <c r="G5000">
        <v>23346</v>
      </c>
      <c r="H5000" t="s">
        <v>4916</v>
      </c>
      <c r="I5000" t="s">
        <v>5191</v>
      </c>
      <c r="J5000">
        <v>2</v>
      </c>
      <c r="K5000" t="s">
        <v>4744</v>
      </c>
      <c r="L5000">
        <v>12.76</v>
      </c>
      <c r="M5000">
        <v>6.38</v>
      </c>
      <c r="N5000" t="s">
        <v>5272</v>
      </c>
      <c r="O5000" t="s">
        <v>459</v>
      </c>
    </row>
    <row r="5001" spans="1:15" x14ac:dyDescent="0.3">
      <c r="A5001">
        <v>194180</v>
      </c>
      <c r="B5001">
        <v>105</v>
      </c>
      <c r="C5001" t="s">
        <v>557</v>
      </c>
      <c r="D5001" t="s">
        <v>2563</v>
      </c>
      <c r="E5001" t="s">
        <v>3680</v>
      </c>
      <c r="F5001" s="451">
        <v>46035</v>
      </c>
      <c r="G5001">
        <v>23389</v>
      </c>
      <c r="H5001" t="s">
        <v>4960</v>
      </c>
      <c r="I5001" t="s">
        <v>5191</v>
      </c>
      <c r="J5001">
        <v>3</v>
      </c>
      <c r="K5001" t="s">
        <v>4744</v>
      </c>
      <c r="L5001">
        <v>16.62</v>
      </c>
      <c r="M5001">
        <v>5.54</v>
      </c>
      <c r="N5001" t="s">
        <v>1785</v>
      </c>
      <c r="O5001" t="s">
        <v>459</v>
      </c>
    </row>
    <row r="5002" spans="1:15" x14ac:dyDescent="0.3">
      <c r="A5002">
        <v>194180</v>
      </c>
      <c r="B5002">
        <v>105</v>
      </c>
      <c r="C5002" t="s">
        <v>557</v>
      </c>
      <c r="D5002" t="s">
        <v>2563</v>
      </c>
      <c r="E5002" t="s">
        <v>3680</v>
      </c>
      <c r="F5002" s="451">
        <v>46035</v>
      </c>
      <c r="G5002">
        <v>19490</v>
      </c>
      <c r="H5002" t="s">
        <v>5116</v>
      </c>
      <c r="I5002" t="s">
        <v>5191</v>
      </c>
      <c r="J5002">
        <v>0.35</v>
      </c>
      <c r="K5002" t="s">
        <v>4744</v>
      </c>
      <c r="L5002">
        <v>43.14</v>
      </c>
      <c r="M5002">
        <v>123.257143</v>
      </c>
      <c r="N5002" t="s">
        <v>1785</v>
      </c>
      <c r="O5002" t="s">
        <v>459</v>
      </c>
    </row>
    <row r="5003" spans="1:15" x14ac:dyDescent="0.3">
      <c r="A5003">
        <v>194179</v>
      </c>
      <c r="B5003">
        <v>105</v>
      </c>
      <c r="C5003" t="s">
        <v>557</v>
      </c>
      <c r="D5003" t="s">
        <v>2690</v>
      </c>
      <c r="E5003" t="s">
        <v>3681</v>
      </c>
      <c r="F5003" s="451">
        <v>46036</v>
      </c>
      <c r="G5003">
        <v>24638</v>
      </c>
      <c r="H5003" t="s">
        <v>4948</v>
      </c>
      <c r="I5003" t="s">
        <v>5191</v>
      </c>
      <c r="J5003">
        <v>2</v>
      </c>
      <c r="K5003" t="s">
        <v>4749</v>
      </c>
      <c r="L5003">
        <v>37.5</v>
      </c>
      <c r="M5003">
        <v>18.75</v>
      </c>
      <c r="N5003" t="s">
        <v>5271</v>
      </c>
      <c r="O5003" t="s">
        <v>459</v>
      </c>
    </row>
    <row r="5004" spans="1:15" x14ac:dyDescent="0.3">
      <c r="A5004">
        <v>194179</v>
      </c>
      <c r="B5004">
        <v>105</v>
      </c>
      <c r="C5004" t="s">
        <v>557</v>
      </c>
      <c r="D5004" t="s">
        <v>2690</v>
      </c>
      <c r="E5004" t="s">
        <v>3681</v>
      </c>
      <c r="F5004" s="451">
        <v>46036</v>
      </c>
      <c r="G5004">
        <v>18518</v>
      </c>
      <c r="H5004" t="s">
        <v>4838</v>
      </c>
      <c r="I5004" t="s">
        <v>5222</v>
      </c>
      <c r="J5004">
        <v>11</v>
      </c>
      <c r="K5004" t="s">
        <v>4805</v>
      </c>
      <c r="L5004">
        <v>517.99</v>
      </c>
      <c r="M5004">
        <v>47.09</v>
      </c>
      <c r="N5004" t="s">
        <v>5271</v>
      </c>
      <c r="O5004" t="s">
        <v>459</v>
      </c>
    </row>
    <row r="5005" spans="1:15" x14ac:dyDescent="0.3">
      <c r="A5005">
        <v>194178</v>
      </c>
      <c r="B5005">
        <v>105</v>
      </c>
      <c r="C5005" t="s">
        <v>557</v>
      </c>
      <c r="D5005" t="s">
        <v>2716</v>
      </c>
      <c r="E5005" t="s">
        <v>3682</v>
      </c>
      <c r="F5005" s="451">
        <v>46034</v>
      </c>
      <c r="G5005">
        <v>24351</v>
      </c>
      <c r="H5005" t="s">
        <v>5014</v>
      </c>
      <c r="I5005" t="s">
        <v>5191</v>
      </c>
      <c r="J5005">
        <v>16</v>
      </c>
      <c r="K5005" t="s">
        <v>4744</v>
      </c>
      <c r="L5005">
        <v>240</v>
      </c>
      <c r="M5005">
        <v>15</v>
      </c>
      <c r="N5005" t="s">
        <v>5191</v>
      </c>
      <c r="O5005" t="s">
        <v>459</v>
      </c>
    </row>
    <row r="5006" spans="1:15" x14ac:dyDescent="0.3">
      <c r="A5006">
        <v>194177</v>
      </c>
      <c r="B5006">
        <v>105</v>
      </c>
      <c r="C5006" t="s">
        <v>557</v>
      </c>
      <c r="D5006" t="s">
        <v>3328</v>
      </c>
      <c r="E5006" t="s">
        <v>3683</v>
      </c>
      <c r="F5006" s="451">
        <v>46034</v>
      </c>
      <c r="G5006">
        <v>19526</v>
      </c>
      <c r="H5006" t="s">
        <v>4997</v>
      </c>
      <c r="I5006" t="s">
        <v>5191</v>
      </c>
      <c r="J5006">
        <v>1</v>
      </c>
      <c r="K5006" t="s">
        <v>4744</v>
      </c>
      <c r="L5006">
        <v>38.75</v>
      </c>
      <c r="M5006">
        <v>38.75</v>
      </c>
      <c r="N5006" t="s">
        <v>5272</v>
      </c>
      <c r="O5006" t="s">
        <v>459</v>
      </c>
    </row>
    <row r="5007" spans="1:15" x14ac:dyDescent="0.3">
      <c r="A5007">
        <v>194177</v>
      </c>
      <c r="B5007">
        <v>105</v>
      </c>
      <c r="C5007" t="s">
        <v>557</v>
      </c>
      <c r="D5007" t="s">
        <v>3328</v>
      </c>
      <c r="E5007" t="s">
        <v>3683</v>
      </c>
      <c r="F5007" s="451">
        <v>46034</v>
      </c>
      <c r="G5007">
        <v>19654</v>
      </c>
      <c r="H5007" t="s">
        <v>5099</v>
      </c>
      <c r="I5007" t="s">
        <v>5191</v>
      </c>
      <c r="J5007">
        <v>3.4</v>
      </c>
      <c r="K5007" t="s">
        <v>4744</v>
      </c>
      <c r="L5007">
        <v>22.1</v>
      </c>
      <c r="M5007">
        <v>6.5</v>
      </c>
      <c r="N5007" t="s">
        <v>5272</v>
      </c>
      <c r="O5007" t="s">
        <v>459</v>
      </c>
    </row>
    <row r="5008" spans="1:15" x14ac:dyDescent="0.3">
      <c r="A5008">
        <v>194177</v>
      </c>
      <c r="B5008">
        <v>105</v>
      </c>
      <c r="C5008" t="s">
        <v>557</v>
      </c>
      <c r="D5008" t="s">
        <v>3328</v>
      </c>
      <c r="E5008" t="s">
        <v>3683</v>
      </c>
      <c r="F5008" s="451">
        <v>46034</v>
      </c>
      <c r="G5008">
        <v>19562</v>
      </c>
      <c r="H5008" t="s">
        <v>4939</v>
      </c>
      <c r="I5008" t="s">
        <v>5191</v>
      </c>
      <c r="J5008">
        <v>1</v>
      </c>
      <c r="K5008" t="s">
        <v>4744</v>
      </c>
      <c r="L5008">
        <v>17.5</v>
      </c>
      <c r="M5008">
        <v>17.5</v>
      </c>
      <c r="N5008" t="s">
        <v>5272</v>
      </c>
      <c r="O5008" t="s">
        <v>459</v>
      </c>
    </row>
    <row r="5009" spans="1:15" x14ac:dyDescent="0.3">
      <c r="A5009">
        <v>194177</v>
      </c>
      <c r="B5009">
        <v>105</v>
      </c>
      <c r="C5009" t="s">
        <v>557</v>
      </c>
      <c r="D5009" t="s">
        <v>3328</v>
      </c>
      <c r="E5009" t="s">
        <v>3683</v>
      </c>
      <c r="F5009" s="451">
        <v>46034</v>
      </c>
      <c r="G5009">
        <v>19740</v>
      </c>
      <c r="H5009" t="s">
        <v>4779</v>
      </c>
      <c r="I5009" t="s">
        <v>5191</v>
      </c>
      <c r="J5009">
        <v>8</v>
      </c>
      <c r="K5009" t="s">
        <v>4744</v>
      </c>
      <c r="L5009">
        <v>120</v>
      </c>
      <c r="M5009">
        <v>15</v>
      </c>
      <c r="N5009" t="s">
        <v>5272</v>
      </c>
      <c r="O5009" t="s">
        <v>459</v>
      </c>
    </row>
    <row r="5010" spans="1:15" x14ac:dyDescent="0.3">
      <c r="A5010">
        <v>194177</v>
      </c>
      <c r="B5010">
        <v>105</v>
      </c>
      <c r="C5010" t="s">
        <v>557</v>
      </c>
      <c r="D5010" t="s">
        <v>3328</v>
      </c>
      <c r="E5010" t="s">
        <v>3683</v>
      </c>
      <c r="F5010" s="451">
        <v>46034</v>
      </c>
      <c r="G5010">
        <v>19743</v>
      </c>
      <c r="H5010" t="s">
        <v>5047</v>
      </c>
      <c r="I5010" t="s">
        <v>5191</v>
      </c>
      <c r="J5010">
        <v>1.4</v>
      </c>
      <c r="K5010" t="s">
        <v>4744</v>
      </c>
      <c r="L5010">
        <v>19.25</v>
      </c>
      <c r="M5010">
        <v>13.75</v>
      </c>
      <c r="N5010" t="s">
        <v>5272</v>
      </c>
      <c r="O5010" t="s">
        <v>459</v>
      </c>
    </row>
    <row r="5011" spans="1:15" x14ac:dyDescent="0.3">
      <c r="A5011">
        <v>194177</v>
      </c>
      <c r="B5011">
        <v>105</v>
      </c>
      <c r="C5011" t="s">
        <v>557</v>
      </c>
      <c r="D5011" t="s">
        <v>3328</v>
      </c>
      <c r="E5011" t="s">
        <v>3683</v>
      </c>
      <c r="F5011" s="451">
        <v>46034</v>
      </c>
      <c r="G5011">
        <v>23198</v>
      </c>
      <c r="H5011" t="s">
        <v>4962</v>
      </c>
      <c r="I5011" t="s">
        <v>5191</v>
      </c>
      <c r="J5011">
        <v>1.3</v>
      </c>
      <c r="K5011" t="s">
        <v>4744</v>
      </c>
      <c r="L5011">
        <v>16.25</v>
      </c>
      <c r="M5011">
        <v>12.5</v>
      </c>
      <c r="N5011" t="s">
        <v>5272</v>
      </c>
      <c r="O5011" t="s">
        <v>459</v>
      </c>
    </row>
    <row r="5012" spans="1:15" x14ac:dyDescent="0.3">
      <c r="A5012">
        <v>194177</v>
      </c>
      <c r="B5012">
        <v>105</v>
      </c>
      <c r="C5012" t="s">
        <v>557</v>
      </c>
      <c r="D5012" t="s">
        <v>3328</v>
      </c>
      <c r="E5012" t="s">
        <v>3683</v>
      </c>
      <c r="F5012" s="451">
        <v>46034</v>
      </c>
      <c r="G5012">
        <v>23184</v>
      </c>
      <c r="H5012" t="s">
        <v>4935</v>
      </c>
      <c r="I5012" t="s">
        <v>5191</v>
      </c>
      <c r="J5012">
        <v>2</v>
      </c>
      <c r="K5012" t="s">
        <v>4744</v>
      </c>
      <c r="L5012">
        <v>17.5</v>
      </c>
      <c r="M5012">
        <v>8.75</v>
      </c>
      <c r="N5012" t="s">
        <v>5272</v>
      </c>
      <c r="O5012" t="s">
        <v>459</v>
      </c>
    </row>
    <row r="5013" spans="1:15" x14ac:dyDescent="0.3">
      <c r="A5013">
        <v>194177</v>
      </c>
      <c r="B5013">
        <v>105</v>
      </c>
      <c r="C5013" t="s">
        <v>557</v>
      </c>
      <c r="D5013" t="s">
        <v>3328</v>
      </c>
      <c r="E5013" t="s">
        <v>3683</v>
      </c>
      <c r="F5013" s="451">
        <v>46034</v>
      </c>
      <c r="G5013">
        <v>19472</v>
      </c>
      <c r="H5013" t="s">
        <v>4906</v>
      </c>
      <c r="I5013" t="s">
        <v>5191</v>
      </c>
      <c r="J5013">
        <v>1.4</v>
      </c>
      <c r="K5013" t="s">
        <v>4744</v>
      </c>
      <c r="L5013">
        <v>30.63</v>
      </c>
      <c r="M5013">
        <v>21.878571000000001</v>
      </c>
      <c r="N5013" t="s">
        <v>5272</v>
      </c>
      <c r="O5013" t="s">
        <v>459</v>
      </c>
    </row>
    <row r="5014" spans="1:15" x14ac:dyDescent="0.3">
      <c r="A5014">
        <v>194176</v>
      </c>
      <c r="B5014">
        <v>105</v>
      </c>
      <c r="C5014" t="s">
        <v>557</v>
      </c>
      <c r="D5014" t="s">
        <v>3328</v>
      </c>
      <c r="E5014" t="s">
        <v>3684</v>
      </c>
      <c r="F5014" s="451">
        <v>46035</v>
      </c>
      <c r="G5014">
        <v>24099</v>
      </c>
      <c r="H5014" t="s">
        <v>4933</v>
      </c>
      <c r="I5014" t="s">
        <v>5191</v>
      </c>
      <c r="J5014">
        <v>2.4</v>
      </c>
      <c r="K5014" t="s">
        <v>4744</v>
      </c>
      <c r="L5014">
        <v>62.5</v>
      </c>
      <c r="M5014">
        <v>26.041667</v>
      </c>
      <c r="N5014" t="s">
        <v>5272</v>
      </c>
      <c r="O5014" t="s">
        <v>459</v>
      </c>
    </row>
    <row r="5015" spans="1:15" x14ac:dyDescent="0.3">
      <c r="A5015">
        <v>194176</v>
      </c>
      <c r="B5015">
        <v>105</v>
      </c>
      <c r="C5015" t="s">
        <v>557</v>
      </c>
      <c r="D5015" t="s">
        <v>3328</v>
      </c>
      <c r="E5015" t="s">
        <v>3684</v>
      </c>
      <c r="F5015" s="451">
        <v>46035</v>
      </c>
      <c r="G5015">
        <v>19742</v>
      </c>
      <c r="H5015" t="s">
        <v>4900</v>
      </c>
      <c r="I5015" t="s">
        <v>5191</v>
      </c>
      <c r="J5015">
        <v>2</v>
      </c>
      <c r="K5015" t="s">
        <v>4744</v>
      </c>
      <c r="L5015">
        <v>22.5</v>
      </c>
      <c r="M5015">
        <v>11.25</v>
      </c>
      <c r="N5015" t="s">
        <v>5272</v>
      </c>
      <c r="O5015" t="s">
        <v>459</v>
      </c>
    </row>
    <row r="5016" spans="1:15" x14ac:dyDescent="0.3">
      <c r="A5016">
        <v>194176</v>
      </c>
      <c r="B5016">
        <v>105</v>
      </c>
      <c r="C5016" t="s">
        <v>557</v>
      </c>
      <c r="D5016" t="s">
        <v>3328</v>
      </c>
      <c r="E5016" t="s">
        <v>3684</v>
      </c>
      <c r="F5016" s="451">
        <v>46035</v>
      </c>
      <c r="G5016">
        <v>23238</v>
      </c>
      <c r="H5016" t="s">
        <v>4934</v>
      </c>
      <c r="I5016" t="s">
        <v>5191</v>
      </c>
      <c r="J5016">
        <v>1.5</v>
      </c>
      <c r="K5016" t="s">
        <v>4744</v>
      </c>
      <c r="L5016">
        <v>29.57</v>
      </c>
      <c r="M5016">
        <v>19.713332999999999</v>
      </c>
      <c r="N5016" t="s">
        <v>5272</v>
      </c>
      <c r="O5016" t="s">
        <v>459</v>
      </c>
    </row>
    <row r="5017" spans="1:15" x14ac:dyDescent="0.3">
      <c r="A5017">
        <v>194176</v>
      </c>
      <c r="B5017">
        <v>105</v>
      </c>
      <c r="C5017" t="s">
        <v>557</v>
      </c>
      <c r="D5017" t="s">
        <v>3328</v>
      </c>
      <c r="E5017" t="s">
        <v>3684</v>
      </c>
      <c r="F5017" s="451">
        <v>46035</v>
      </c>
      <c r="G5017">
        <v>23390</v>
      </c>
      <c r="H5017" t="s">
        <v>4873</v>
      </c>
      <c r="I5017" t="s">
        <v>5191</v>
      </c>
      <c r="J5017">
        <v>1.2</v>
      </c>
      <c r="K5017" t="s">
        <v>4744</v>
      </c>
      <c r="L5017">
        <v>10.96</v>
      </c>
      <c r="M5017">
        <v>9.1333330000000004</v>
      </c>
      <c r="N5017" t="s">
        <v>5272</v>
      </c>
      <c r="O5017" t="s">
        <v>459</v>
      </c>
    </row>
    <row r="5018" spans="1:15" x14ac:dyDescent="0.3">
      <c r="A5018">
        <v>193883</v>
      </c>
      <c r="B5018">
        <v>105</v>
      </c>
      <c r="C5018" t="s">
        <v>557</v>
      </c>
      <c r="D5018" t="s">
        <v>2653</v>
      </c>
      <c r="E5018" t="s">
        <v>3685</v>
      </c>
      <c r="F5018" s="451">
        <v>46035</v>
      </c>
      <c r="G5018">
        <v>24200</v>
      </c>
      <c r="H5018" t="s">
        <v>4820</v>
      </c>
      <c r="I5018" t="s">
        <v>5191</v>
      </c>
      <c r="J5018">
        <v>6.2</v>
      </c>
      <c r="K5018" t="s">
        <v>4744</v>
      </c>
      <c r="L5018">
        <v>203.98</v>
      </c>
      <c r="M5018">
        <v>32.9</v>
      </c>
      <c r="N5018" t="s">
        <v>5272</v>
      </c>
      <c r="O5018" t="s">
        <v>459</v>
      </c>
    </row>
    <row r="5019" spans="1:15" x14ac:dyDescent="0.3">
      <c r="A5019">
        <v>193882</v>
      </c>
      <c r="B5019">
        <v>105</v>
      </c>
      <c r="C5019" t="s">
        <v>557</v>
      </c>
      <c r="D5019" t="s">
        <v>2554</v>
      </c>
      <c r="E5019" t="s">
        <v>3686</v>
      </c>
      <c r="F5019" s="451">
        <v>46036</v>
      </c>
      <c r="G5019">
        <v>17455</v>
      </c>
      <c r="H5019" t="s">
        <v>5290</v>
      </c>
      <c r="I5019" t="s">
        <v>5188</v>
      </c>
      <c r="J5019">
        <v>1</v>
      </c>
      <c r="K5019" t="s">
        <v>4736</v>
      </c>
      <c r="L5019">
        <v>38</v>
      </c>
      <c r="M5019">
        <v>38</v>
      </c>
      <c r="N5019" t="s">
        <v>5277</v>
      </c>
      <c r="O5019" t="s">
        <v>459</v>
      </c>
    </row>
    <row r="5020" spans="1:15" x14ac:dyDescent="0.3">
      <c r="A5020">
        <v>193882</v>
      </c>
      <c r="B5020">
        <v>105</v>
      </c>
      <c r="C5020" t="s">
        <v>557</v>
      </c>
      <c r="D5020" t="s">
        <v>2554</v>
      </c>
      <c r="E5020" t="s">
        <v>3686</v>
      </c>
      <c r="F5020" s="451">
        <v>46036</v>
      </c>
      <c r="G5020">
        <v>17437</v>
      </c>
      <c r="H5020" t="s">
        <v>5203</v>
      </c>
      <c r="I5020" t="s">
        <v>5188</v>
      </c>
      <c r="J5020">
        <v>10</v>
      </c>
      <c r="K5020" t="s">
        <v>4736</v>
      </c>
      <c r="L5020">
        <v>25</v>
      </c>
      <c r="M5020">
        <v>2.5</v>
      </c>
      <c r="N5020" t="s">
        <v>5277</v>
      </c>
      <c r="O5020" t="s">
        <v>459</v>
      </c>
    </row>
    <row r="5021" spans="1:15" x14ac:dyDescent="0.3">
      <c r="A5021">
        <v>193882</v>
      </c>
      <c r="B5021">
        <v>105</v>
      </c>
      <c r="C5021" t="s">
        <v>557</v>
      </c>
      <c r="D5021" t="s">
        <v>2554</v>
      </c>
      <c r="E5021" t="s">
        <v>3686</v>
      </c>
      <c r="F5021" s="451">
        <v>46036</v>
      </c>
      <c r="G5021">
        <v>17314</v>
      </c>
      <c r="H5021" t="s">
        <v>5208</v>
      </c>
      <c r="I5021" t="s">
        <v>5188</v>
      </c>
      <c r="J5021">
        <v>2</v>
      </c>
      <c r="K5021" t="s">
        <v>4848</v>
      </c>
      <c r="L5021">
        <v>12.2</v>
      </c>
      <c r="M5021">
        <v>6.1</v>
      </c>
      <c r="N5021" t="s">
        <v>5277</v>
      </c>
      <c r="O5021" t="s">
        <v>459</v>
      </c>
    </row>
    <row r="5022" spans="1:15" x14ac:dyDescent="0.3">
      <c r="A5022">
        <v>193882</v>
      </c>
      <c r="B5022">
        <v>105</v>
      </c>
      <c r="C5022" t="s">
        <v>557</v>
      </c>
      <c r="D5022" t="s">
        <v>2554</v>
      </c>
      <c r="E5022" t="s">
        <v>3686</v>
      </c>
      <c r="F5022" s="451">
        <v>46036</v>
      </c>
      <c r="G5022">
        <v>17404</v>
      </c>
      <c r="H5022" t="s">
        <v>5295</v>
      </c>
      <c r="I5022" t="s">
        <v>5188</v>
      </c>
      <c r="J5022">
        <v>1</v>
      </c>
      <c r="K5022" t="s">
        <v>4736</v>
      </c>
      <c r="L5022">
        <v>19.899999999999999</v>
      </c>
      <c r="M5022">
        <v>19.899999999999999</v>
      </c>
      <c r="N5022" t="s">
        <v>5277</v>
      </c>
      <c r="O5022" t="s">
        <v>459</v>
      </c>
    </row>
    <row r="5023" spans="1:15" x14ac:dyDescent="0.3">
      <c r="A5023">
        <v>193882</v>
      </c>
      <c r="B5023">
        <v>105</v>
      </c>
      <c r="C5023" t="s">
        <v>557</v>
      </c>
      <c r="D5023" t="s">
        <v>2554</v>
      </c>
      <c r="E5023" t="s">
        <v>3686</v>
      </c>
      <c r="F5023" s="451">
        <v>46036</v>
      </c>
      <c r="G5023">
        <v>23970</v>
      </c>
      <c r="H5023" t="s">
        <v>5385</v>
      </c>
      <c r="I5023" t="s">
        <v>5232</v>
      </c>
      <c r="J5023">
        <v>2</v>
      </c>
      <c r="K5023" t="s">
        <v>4736</v>
      </c>
      <c r="L5023">
        <v>25</v>
      </c>
      <c r="M5023">
        <v>12.5</v>
      </c>
      <c r="N5023" t="s">
        <v>5277</v>
      </c>
      <c r="O5023" t="s">
        <v>459</v>
      </c>
    </row>
    <row r="5024" spans="1:15" x14ac:dyDescent="0.3">
      <c r="A5024">
        <v>193882</v>
      </c>
      <c r="B5024">
        <v>105</v>
      </c>
      <c r="C5024" t="s">
        <v>557</v>
      </c>
      <c r="D5024" t="s">
        <v>2554</v>
      </c>
      <c r="E5024" t="s">
        <v>3686</v>
      </c>
      <c r="F5024" s="451">
        <v>46036</v>
      </c>
      <c r="G5024">
        <v>17381</v>
      </c>
      <c r="H5024" t="s">
        <v>5262</v>
      </c>
      <c r="I5024" t="s">
        <v>5188</v>
      </c>
      <c r="J5024">
        <v>2</v>
      </c>
      <c r="K5024" t="s">
        <v>4736</v>
      </c>
      <c r="L5024">
        <v>84</v>
      </c>
      <c r="M5024">
        <v>42</v>
      </c>
      <c r="N5024" t="s">
        <v>5277</v>
      </c>
      <c r="O5024" t="s">
        <v>459</v>
      </c>
    </row>
    <row r="5025" spans="1:15" x14ac:dyDescent="0.3">
      <c r="A5025">
        <v>193882</v>
      </c>
      <c r="B5025">
        <v>105</v>
      </c>
      <c r="C5025" t="s">
        <v>557</v>
      </c>
      <c r="D5025" t="s">
        <v>2554</v>
      </c>
      <c r="E5025" t="s">
        <v>3686</v>
      </c>
      <c r="F5025" s="451">
        <v>46036</v>
      </c>
      <c r="G5025">
        <v>24787</v>
      </c>
      <c r="H5025" t="s">
        <v>5212</v>
      </c>
      <c r="I5025" t="s">
        <v>5188</v>
      </c>
      <c r="J5025">
        <v>3</v>
      </c>
      <c r="K5025" t="s">
        <v>4738</v>
      </c>
      <c r="L5025">
        <v>267</v>
      </c>
      <c r="M5025">
        <v>89</v>
      </c>
      <c r="N5025" t="s">
        <v>5277</v>
      </c>
      <c r="O5025" t="s">
        <v>459</v>
      </c>
    </row>
    <row r="5026" spans="1:15" x14ac:dyDescent="0.3">
      <c r="A5026">
        <v>193882</v>
      </c>
      <c r="B5026">
        <v>105</v>
      </c>
      <c r="C5026" t="s">
        <v>557</v>
      </c>
      <c r="D5026" t="s">
        <v>2554</v>
      </c>
      <c r="E5026" t="s">
        <v>3686</v>
      </c>
      <c r="F5026" s="451">
        <v>46036</v>
      </c>
      <c r="G5026">
        <v>24596</v>
      </c>
      <c r="H5026" t="s">
        <v>5197</v>
      </c>
      <c r="I5026" t="s">
        <v>5188</v>
      </c>
      <c r="J5026">
        <v>3</v>
      </c>
      <c r="K5026" t="s">
        <v>4736</v>
      </c>
      <c r="L5026">
        <v>49.5</v>
      </c>
      <c r="M5026">
        <v>16.5</v>
      </c>
      <c r="N5026" t="s">
        <v>5277</v>
      </c>
      <c r="O5026" t="s">
        <v>459</v>
      </c>
    </row>
    <row r="5027" spans="1:15" x14ac:dyDescent="0.3">
      <c r="A5027">
        <v>193882</v>
      </c>
      <c r="B5027">
        <v>105</v>
      </c>
      <c r="C5027" t="s">
        <v>557</v>
      </c>
      <c r="D5027" t="s">
        <v>2554</v>
      </c>
      <c r="E5027" t="s">
        <v>3686</v>
      </c>
      <c r="F5027" s="451">
        <v>46036</v>
      </c>
      <c r="G5027">
        <v>17182</v>
      </c>
      <c r="H5027" t="s">
        <v>5201</v>
      </c>
      <c r="I5027" t="s">
        <v>5188</v>
      </c>
      <c r="J5027">
        <v>1</v>
      </c>
      <c r="K5027" t="s">
        <v>4848</v>
      </c>
      <c r="L5027">
        <v>42</v>
      </c>
      <c r="M5027">
        <v>42</v>
      </c>
      <c r="N5027" t="s">
        <v>5277</v>
      </c>
      <c r="O5027" t="s">
        <v>459</v>
      </c>
    </row>
    <row r="5028" spans="1:15" x14ac:dyDescent="0.3">
      <c r="A5028">
        <v>193882</v>
      </c>
      <c r="B5028">
        <v>105</v>
      </c>
      <c r="C5028" t="s">
        <v>557</v>
      </c>
      <c r="D5028" t="s">
        <v>2554</v>
      </c>
      <c r="E5028" t="s">
        <v>3686</v>
      </c>
      <c r="F5028" s="451">
        <v>46036</v>
      </c>
      <c r="G5028">
        <v>26224</v>
      </c>
      <c r="H5028" t="s">
        <v>5214</v>
      </c>
      <c r="I5028" t="s">
        <v>5215</v>
      </c>
      <c r="J5028">
        <v>2</v>
      </c>
      <c r="K5028" t="s">
        <v>4736</v>
      </c>
      <c r="L5028">
        <v>9.8000000000000007</v>
      </c>
      <c r="M5028">
        <v>4.9000000000000004</v>
      </c>
      <c r="N5028" t="s">
        <v>5277</v>
      </c>
      <c r="O5028" t="s">
        <v>459</v>
      </c>
    </row>
    <row r="5029" spans="1:15" x14ac:dyDescent="0.3">
      <c r="A5029">
        <v>193882</v>
      </c>
      <c r="B5029">
        <v>105</v>
      </c>
      <c r="C5029" t="s">
        <v>557</v>
      </c>
      <c r="D5029" t="s">
        <v>2554</v>
      </c>
      <c r="E5029" t="s">
        <v>3686</v>
      </c>
      <c r="F5029" s="451">
        <v>46036</v>
      </c>
      <c r="G5029">
        <v>17418</v>
      </c>
      <c r="H5029" t="s">
        <v>5207</v>
      </c>
      <c r="I5029" t="s">
        <v>5188</v>
      </c>
      <c r="J5029">
        <v>2</v>
      </c>
      <c r="K5029" t="s">
        <v>4749</v>
      </c>
      <c r="L5029">
        <v>117.8</v>
      </c>
      <c r="M5029">
        <v>58.9</v>
      </c>
      <c r="N5029" t="s">
        <v>5277</v>
      </c>
      <c r="O5029" t="s">
        <v>459</v>
      </c>
    </row>
    <row r="5030" spans="1:15" x14ac:dyDescent="0.3">
      <c r="A5030">
        <v>193882</v>
      </c>
      <c r="B5030">
        <v>105</v>
      </c>
      <c r="C5030" t="s">
        <v>557</v>
      </c>
      <c r="D5030" t="s">
        <v>2554</v>
      </c>
      <c r="E5030" t="s">
        <v>3686</v>
      </c>
      <c r="F5030" s="451">
        <v>46036</v>
      </c>
      <c r="G5030">
        <v>17416</v>
      </c>
      <c r="H5030" t="s">
        <v>5209</v>
      </c>
      <c r="I5030" t="s">
        <v>5188</v>
      </c>
      <c r="J5030">
        <v>2</v>
      </c>
      <c r="K5030" t="s">
        <v>4749</v>
      </c>
      <c r="L5030">
        <v>97.16</v>
      </c>
      <c r="M5030">
        <v>48.58</v>
      </c>
      <c r="N5030" t="s">
        <v>5277</v>
      </c>
      <c r="O5030" t="s">
        <v>459</v>
      </c>
    </row>
    <row r="5031" spans="1:15" x14ac:dyDescent="0.3">
      <c r="A5031">
        <v>193882</v>
      </c>
      <c r="B5031">
        <v>105</v>
      </c>
      <c r="C5031" t="s">
        <v>557</v>
      </c>
      <c r="D5031" t="s">
        <v>2554</v>
      </c>
      <c r="E5031" t="s">
        <v>3686</v>
      </c>
      <c r="F5031" s="451">
        <v>46036</v>
      </c>
      <c r="G5031">
        <v>24505</v>
      </c>
      <c r="H5031" t="s">
        <v>5198</v>
      </c>
      <c r="I5031" t="s">
        <v>5188</v>
      </c>
      <c r="J5031">
        <v>3</v>
      </c>
      <c r="K5031" t="s">
        <v>4738</v>
      </c>
      <c r="L5031">
        <v>17.670000000000002</v>
      </c>
      <c r="M5031">
        <v>5.89</v>
      </c>
      <c r="N5031" t="s">
        <v>5277</v>
      </c>
      <c r="O5031" t="s">
        <v>459</v>
      </c>
    </row>
    <row r="5032" spans="1:15" x14ac:dyDescent="0.3">
      <c r="A5032">
        <v>193882</v>
      </c>
      <c r="B5032">
        <v>105</v>
      </c>
      <c r="C5032" t="s">
        <v>557</v>
      </c>
      <c r="D5032" t="s">
        <v>2554</v>
      </c>
      <c r="E5032" t="s">
        <v>3686</v>
      </c>
      <c r="F5032" s="451">
        <v>46036</v>
      </c>
      <c r="G5032">
        <v>26554</v>
      </c>
      <c r="H5032" t="s">
        <v>5319</v>
      </c>
      <c r="I5032" t="s">
        <v>5215</v>
      </c>
      <c r="J5032">
        <v>1</v>
      </c>
      <c r="K5032" t="s">
        <v>4749</v>
      </c>
      <c r="L5032">
        <v>0</v>
      </c>
      <c r="M5032">
        <v>0</v>
      </c>
      <c r="N5032" t="s">
        <v>5277</v>
      </c>
      <c r="O5032" t="s">
        <v>459</v>
      </c>
    </row>
    <row r="5033" spans="1:15" x14ac:dyDescent="0.3">
      <c r="A5033">
        <v>193882</v>
      </c>
      <c r="B5033">
        <v>105</v>
      </c>
      <c r="C5033" t="s">
        <v>557</v>
      </c>
      <c r="D5033" t="s">
        <v>2554</v>
      </c>
      <c r="E5033" t="s">
        <v>3686</v>
      </c>
      <c r="F5033" s="451">
        <v>46036</v>
      </c>
      <c r="G5033">
        <v>27410</v>
      </c>
      <c r="H5033" t="s">
        <v>5390</v>
      </c>
      <c r="I5033" t="s">
        <v>5215</v>
      </c>
      <c r="J5033">
        <v>1</v>
      </c>
      <c r="K5033" t="s">
        <v>4736</v>
      </c>
      <c r="L5033">
        <v>4.8</v>
      </c>
      <c r="M5033">
        <v>4.8</v>
      </c>
      <c r="N5033" t="s">
        <v>5277</v>
      </c>
      <c r="O5033" t="s">
        <v>459</v>
      </c>
    </row>
    <row r="5034" spans="1:15" x14ac:dyDescent="0.3">
      <c r="A5034">
        <v>193881</v>
      </c>
      <c r="B5034">
        <v>105</v>
      </c>
      <c r="C5034" t="s">
        <v>557</v>
      </c>
      <c r="D5034" t="s">
        <v>2554</v>
      </c>
      <c r="E5034" t="s">
        <v>3687</v>
      </c>
      <c r="F5034" s="451">
        <v>46036</v>
      </c>
      <c r="G5034">
        <v>26554</v>
      </c>
      <c r="H5034" t="s">
        <v>5319</v>
      </c>
      <c r="I5034" t="s">
        <v>5215</v>
      </c>
      <c r="J5034">
        <v>1</v>
      </c>
      <c r="K5034" t="s">
        <v>4749</v>
      </c>
      <c r="L5034">
        <v>280</v>
      </c>
      <c r="M5034">
        <v>280</v>
      </c>
      <c r="N5034" t="s">
        <v>5411</v>
      </c>
      <c r="O5034" t="s">
        <v>459</v>
      </c>
    </row>
    <row r="5035" spans="1:15" x14ac:dyDescent="0.3">
      <c r="A5035">
        <v>193880</v>
      </c>
      <c r="B5035">
        <v>105</v>
      </c>
      <c r="C5035" t="s">
        <v>557</v>
      </c>
      <c r="D5035" t="s">
        <v>2798</v>
      </c>
      <c r="E5035" t="s">
        <v>3688</v>
      </c>
      <c r="F5035" s="451">
        <v>46036</v>
      </c>
      <c r="G5035">
        <v>18991</v>
      </c>
      <c r="H5035" t="s">
        <v>4815</v>
      </c>
      <c r="I5035" t="s">
        <v>5191</v>
      </c>
      <c r="J5035">
        <v>8</v>
      </c>
      <c r="K5035" t="s">
        <v>4744</v>
      </c>
      <c r="L5035">
        <v>339.36</v>
      </c>
      <c r="M5035">
        <v>42.42</v>
      </c>
      <c r="N5035" t="s">
        <v>5272</v>
      </c>
      <c r="O5035" t="s">
        <v>459</v>
      </c>
    </row>
    <row r="5036" spans="1:15" x14ac:dyDescent="0.3">
      <c r="A5036">
        <v>193880</v>
      </c>
      <c r="B5036">
        <v>105</v>
      </c>
      <c r="C5036" t="s">
        <v>557</v>
      </c>
      <c r="D5036" t="s">
        <v>2798</v>
      </c>
      <c r="E5036" t="s">
        <v>3688</v>
      </c>
      <c r="F5036" s="451">
        <v>46036</v>
      </c>
      <c r="G5036">
        <v>19353</v>
      </c>
      <c r="H5036" t="s">
        <v>4851</v>
      </c>
      <c r="I5036" t="s">
        <v>5191</v>
      </c>
      <c r="J5036">
        <v>12</v>
      </c>
      <c r="K5036" t="s">
        <v>4744</v>
      </c>
      <c r="L5036">
        <v>295.2</v>
      </c>
      <c r="M5036">
        <v>24.6</v>
      </c>
      <c r="N5036" t="s">
        <v>5272</v>
      </c>
      <c r="O5036" t="s">
        <v>459</v>
      </c>
    </row>
    <row r="5037" spans="1:15" x14ac:dyDescent="0.3">
      <c r="A5037">
        <v>193880</v>
      </c>
      <c r="B5037">
        <v>105</v>
      </c>
      <c r="C5037" t="s">
        <v>557</v>
      </c>
      <c r="D5037" t="s">
        <v>2798</v>
      </c>
      <c r="E5037" t="s">
        <v>3688</v>
      </c>
      <c r="F5037" s="451">
        <v>46036</v>
      </c>
      <c r="G5037">
        <v>18945</v>
      </c>
      <c r="H5037" t="s">
        <v>4768</v>
      </c>
      <c r="I5037" t="s">
        <v>5191</v>
      </c>
      <c r="J5037">
        <v>12</v>
      </c>
      <c r="K5037" t="s">
        <v>4744</v>
      </c>
      <c r="L5037">
        <v>699</v>
      </c>
      <c r="M5037">
        <v>58.25</v>
      </c>
      <c r="N5037" t="s">
        <v>5272</v>
      </c>
      <c r="O5037" t="s">
        <v>459</v>
      </c>
    </row>
    <row r="5038" spans="1:15" x14ac:dyDescent="0.3">
      <c r="A5038">
        <v>193879</v>
      </c>
      <c r="B5038">
        <v>105</v>
      </c>
      <c r="C5038" t="s">
        <v>557</v>
      </c>
      <c r="D5038" t="s">
        <v>3462</v>
      </c>
      <c r="E5038" t="s">
        <v>3689</v>
      </c>
      <c r="F5038" s="451">
        <v>46036</v>
      </c>
      <c r="G5038">
        <v>17190</v>
      </c>
      <c r="H5038" t="s">
        <v>5193</v>
      </c>
      <c r="I5038" t="s">
        <v>5188</v>
      </c>
      <c r="J5038">
        <v>2</v>
      </c>
      <c r="K5038" t="s">
        <v>4738</v>
      </c>
      <c r="L5038">
        <v>16.12</v>
      </c>
      <c r="M5038">
        <v>8.06</v>
      </c>
      <c r="N5038" t="s">
        <v>5277</v>
      </c>
      <c r="O5038" t="s">
        <v>459</v>
      </c>
    </row>
    <row r="5039" spans="1:15" x14ac:dyDescent="0.3">
      <c r="A5039">
        <v>193879</v>
      </c>
      <c r="B5039">
        <v>105</v>
      </c>
      <c r="C5039" t="s">
        <v>557</v>
      </c>
      <c r="D5039" t="s">
        <v>3462</v>
      </c>
      <c r="E5039" t="s">
        <v>3689</v>
      </c>
      <c r="F5039" s="451">
        <v>46036</v>
      </c>
      <c r="G5039">
        <v>17215</v>
      </c>
      <c r="H5039" t="s">
        <v>5299</v>
      </c>
      <c r="I5039" t="s">
        <v>5188</v>
      </c>
      <c r="J5039">
        <v>5</v>
      </c>
      <c r="K5039" t="s">
        <v>4848</v>
      </c>
      <c r="L5039">
        <v>104.5</v>
      </c>
      <c r="M5039">
        <v>20.9</v>
      </c>
      <c r="N5039" t="s">
        <v>5277</v>
      </c>
      <c r="O5039" t="s">
        <v>459</v>
      </c>
    </row>
    <row r="5040" spans="1:15" x14ac:dyDescent="0.3">
      <c r="A5040">
        <v>193879</v>
      </c>
      <c r="B5040">
        <v>105</v>
      </c>
      <c r="C5040" t="s">
        <v>557</v>
      </c>
      <c r="D5040" t="s">
        <v>3462</v>
      </c>
      <c r="E5040" t="s">
        <v>3689</v>
      </c>
      <c r="F5040" s="451">
        <v>46036</v>
      </c>
      <c r="G5040">
        <v>17017</v>
      </c>
      <c r="H5040" t="s">
        <v>5199</v>
      </c>
      <c r="I5040" t="s">
        <v>5188</v>
      </c>
      <c r="J5040">
        <v>1</v>
      </c>
      <c r="K5040" t="s">
        <v>4738</v>
      </c>
      <c r="L5040">
        <v>2.95</v>
      </c>
      <c r="M5040">
        <v>2.95</v>
      </c>
      <c r="N5040" t="s">
        <v>5277</v>
      </c>
      <c r="O5040" t="s">
        <v>459</v>
      </c>
    </row>
    <row r="5041" spans="1:15" x14ac:dyDescent="0.3">
      <c r="A5041">
        <v>193878</v>
      </c>
      <c r="B5041">
        <v>105</v>
      </c>
      <c r="C5041" t="s">
        <v>557</v>
      </c>
      <c r="D5041" t="s">
        <v>2615</v>
      </c>
      <c r="E5041" t="s">
        <v>3690</v>
      </c>
      <c r="F5041" s="451">
        <v>46029</v>
      </c>
      <c r="G5041">
        <v>20623</v>
      </c>
      <c r="H5041" t="s">
        <v>4814</v>
      </c>
      <c r="I5041" t="s">
        <v>5191</v>
      </c>
      <c r="J5041">
        <v>10</v>
      </c>
      <c r="K5041" t="s">
        <v>4744</v>
      </c>
      <c r="L5041">
        <v>110.7</v>
      </c>
      <c r="M5041">
        <v>11.07</v>
      </c>
      <c r="N5041" t="s">
        <v>5272</v>
      </c>
      <c r="O5041" t="s">
        <v>459</v>
      </c>
    </row>
    <row r="5042" spans="1:15" x14ac:dyDescent="0.3">
      <c r="A5042">
        <v>193877</v>
      </c>
      <c r="B5042">
        <v>105</v>
      </c>
      <c r="C5042" t="s">
        <v>557</v>
      </c>
      <c r="D5042" t="s">
        <v>2705</v>
      </c>
      <c r="E5042" t="s">
        <v>3691</v>
      </c>
      <c r="F5042" s="451">
        <v>46034</v>
      </c>
      <c r="G5042">
        <v>24658</v>
      </c>
      <c r="H5042" t="s">
        <v>5274</v>
      </c>
      <c r="I5042" t="s">
        <v>5232</v>
      </c>
      <c r="J5042">
        <v>20</v>
      </c>
      <c r="K5042" t="s">
        <v>4738</v>
      </c>
      <c r="L5042">
        <v>692</v>
      </c>
      <c r="M5042">
        <v>34.6</v>
      </c>
      <c r="N5042" t="s">
        <v>5275</v>
      </c>
      <c r="O5042" t="s">
        <v>459</v>
      </c>
    </row>
    <row r="5043" spans="1:15" x14ac:dyDescent="0.3">
      <c r="A5043">
        <v>193876</v>
      </c>
      <c r="B5043">
        <v>105</v>
      </c>
      <c r="C5043" t="s">
        <v>557</v>
      </c>
      <c r="D5043" t="s">
        <v>2779</v>
      </c>
      <c r="E5043" t="s">
        <v>3692</v>
      </c>
      <c r="F5043" s="451">
        <v>46036</v>
      </c>
      <c r="G5043">
        <v>19003</v>
      </c>
      <c r="H5043" t="s">
        <v>4810</v>
      </c>
      <c r="I5043" t="s">
        <v>5191</v>
      </c>
      <c r="J5043">
        <v>25.7</v>
      </c>
      <c r="K5043" t="s">
        <v>4744</v>
      </c>
      <c r="L5043">
        <v>922.63</v>
      </c>
      <c r="M5043">
        <v>35.9</v>
      </c>
      <c r="N5043" t="s">
        <v>5272</v>
      </c>
      <c r="O5043" t="s">
        <v>459</v>
      </c>
    </row>
    <row r="5044" spans="1:15" x14ac:dyDescent="0.3">
      <c r="A5044">
        <v>191765</v>
      </c>
      <c r="B5044">
        <v>105</v>
      </c>
      <c r="C5044" t="s">
        <v>557</v>
      </c>
      <c r="D5044" t="s">
        <v>2963</v>
      </c>
      <c r="E5044" t="s">
        <v>3693</v>
      </c>
      <c r="F5044" s="451">
        <v>46031</v>
      </c>
      <c r="G5044">
        <v>17062</v>
      </c>
      <c r="H5044" t="s">
        <v>4880</v>
      </c>
      <c r="I5044" t="s">
        <v>5191</v>
      </c>
      <c r="J5044">
        <v>3</v>
      </c>
      <c r="K5044" t="s">
        <v>5323</v>
      </c>
      <c r="L5044">
        <v>378.09</v>
      </c>
      <c r="M5044">
        <v>126.03</v>
      </c>
      <c r="N5044" t="s">
        <v>5272</v>
      </c>
      <c r="O5044" t="s">
        <v>459</v>
      </c>
    </row>
    <row r="5045" spans="1:15" x14ac:dyDescent="0.3">
      <c r="A5045">
        <v>191765</v>
      </c>
      <c r="B5045">
        <v>105</v>
      </c>
      <c r="C5045" t="s">
        <v>557</v>
      </c>
      <c r="D5045" t="s">
        <v>2963</v>
      </c>
      <c r="E5045" t="s">
        <v>3693</v>
      </c>
      <c r="F5045" s="451">
        <v>46031</v>
      </c>
      <c r="G5045">
        <v>21150</v>
      </c>
      <c r="H5045" t="s">
        <v>4878</v>
      </c>
      <c r="I5045" t="s">
        <v>5191</v>
      </c>
      <c r="J5045">
        <v>3</v>
      </c>
      <c r="K5045" t="s">
        <v>4736</v>
      </c>
      <c r="L5045">
        <v>339.93</v>
      </c>
      <c r="M5045">
        <v>113.31</v>
      </c>
      <c r="N5045" t="s">
        <v>5272</v>
      </c>
      <c r="O5045" t="s">
        <v>459</v>
      </c>
    </row>
    <row r="5046" spans="1:15" x14ac:dyDescent="0.3">
      <c r="A5046">
        <v>191764</v>
      </c>
      <c r="B5046">
        <v>105</v>
      </c>
      <c r="C5046" t="s">
        <v>557</v>
      </c>
      <c r="D5046" t="s">
        <v>2705</v>
      </c>
      <c r="E5046" t="s">
        <v>3691</v>
      </c>
      <c r="F5046" s="451">
        <v>46034</v>
      </c>
      <c r="G5046">
        <v>24658</v>
      </c>
      <c r="H5046" t="s">
        <v>5274</v>
      </c>
      <c r="I5046" t="s">
        <v>5232</v>
      </c>
      <c r="J5046">
        <v>20</v>
      </c>
      <c r="K5046" t="s">
        <v>4738</v>
      </c>
      <c r="L5046">
        <v>692</v>
      </c>
      <c r="M5046">
        <v>34.6</v>
      </c>
      <c r="N5046" t="s">
        <v>5287</v>
      </c>
      <c r="O5046" t="s">
        <v>459</v>
      </c>
    </row>
    <row r="5047" spans="1:15" x14ac:dyDescent="0.3">
      <c r="A5047">
        <v>191763</v>
      </c>
      <c r="B5047">
        <v>105</v>
      </c>
      <c r="C5047" t="s">
        <v>557</v>
      </c>
      <c r="D5047" t="s">
        <v>2603</v>
      </c>
      <c r="E5047" t="s">
        <v>3694</v>
      </c>
      <c r="F5047" s="451">
        <v>46035</v>
      </c>
      <c r="G5047">
        <v>19003</v>
      </c>
      <c r="H5047" t="s">
        <v>4810</v>
      </c>
      <c r="I5047" t="s">
        <v>5191</v>
      </c>
      <c r="J5047">
        <v>25</v>
      </c>
      <c r="K5047" t="s">
        <v>4744</v>
      </c>
      <c r="L5047">
        <v>0</v>
      </c>
      <c r="M5047">
        <v>0</v>
      </c>
      <c r="N5047" t="s">
        <v>5272</v>
      </c>
      <c r="O5047" t="s">
        <v>459</v>
      </c>
    </row>
    <row r="5048" spans="1:15" x14ac:dyDescent="0.3">
      <c r="A5048">
        <v>191763</v>
      </c>
      <c r="B5048">
        <v>105</v>
      </c>
      <c r="C5048" t="s">
        <v>557</v>
      </c>
      <c r="D5048" t="s">
        <v>2603</v>
      </c>
      <c r="E5048" t="s">
        <v>3694</v>
      </c>
      <c r="F5048" s="451">
        <v>46035</v>
      </c>
      <c r="G5048">
        <v>26679</v>
      </c>
      <c r="H5048" t="s">
        <v>4791</v>
      </c>
      <c r="I5048" t="s">
        <v>5191</v>
      </c>
      <c r="J5048">
        <v>34.75</v>
      </c>
      <c r="K5048" t="s">
        <v>4744</v>
      </c>
      <c r="L5048">
        <v>969.52</v>
      </c>
      <c r="M5048">
        <v>27.899856</v>
      </c>
      <c r="N5048" t="s">
        <v>5272</v>
      </c>
      <c r="O5048" t="s">
        <v>459</v>
      </c>
    </row>
    <row r="5049" spans="1:15" x14ac:dyDescent="0.3">
      <c r="A5049">
        <v>191457</v>
      </c>
      <c r="B5049">
        <v>105</v>
      </c>
      <c r="C5049" t="s">
        <v>557</v>
      </c>
      <c r="D5049" t="s">
        <v>3328</v>
      </c>
      <c r="E5049" t="s">
        <v>3695</v>
      </c>
      <c r="F5049" s="451">
        <v>46029</v>
      </c>
      <c r="G5049">
        <v>19617</v>
      </c>
      <c r="H5049" t="s">
        <v>5071</v>
      </c>
      <c r="I5049" t="s">
        <v>5191</v>
      </c>
      <c r="J5049">
        <v>0.5</v>
      </c>
      <c r="K5049" t="s">
        <v>4744</v>
      </c>
      <c r="L5049">
        <v>13.39</v>
      </c>
      <c r="M5049">
        <v>26.78</v>
      </c>
      <c r="N5049" t="s">
        <v>5191</v>
      </c>
      <c r="O5049" t="s">
        <v>459</v>
      </c>
    </row>
    <row r="5050" spans="1:15" x14ac:dyDescent="0.3">
      <c r="A5050">
        <v>191457</v>
      </c>
      <c r="B5050">
        <v>105</v>
      </c>
      <c r="C5050" t="s">
        <v>557</v>
      </c>
      <c r="D5050" t="s">
        <v>3328</v>
      </c>
      <c r="E5050" t="s">
        <v>3695</v>
      </c>
      <c r="F5050" s="451">
        <v>46029</v>
      </c>
      <c r="G5050">
        <v>20224</v>
      </c>
      <c r="H5050" t="s">
        <v>5118</v>
      </c>
      <c r="I5050" t="s">
        <v>5191</v>
      </c>
      <c r="J5050">
        <v>0.5</v>
      </c>
      <c r="K5050" t="s">
        <v>4744</v>
      </c>
      <c r="L5050">
        <v>26</v>
      </c>
      <c r="M5050">
        <v>52</v>
      </c>
      <c r="N5050" t="s">
        <v>5191</v>
      </c>
      <c r="O5050" t="s">
        <v>459</v>
      </c>
    </row>
    <row r="5051" spans="1:15" x14ac:dyDescent="0.3">
      <c r="A5051">
        <v>191457</v>
      </c>
      <c r="B5051">
        <v>105</v>
      </c>
      <c r="C5051" t="s">
        <v>557</v>
      </c>
      <c r="D5051" t="s">
        <v>3328</v>
      </c>
      <c r="E5051" t="s">
        <v>3695</v>
      </c>
      <c r="F5051" s="451">
        <v>46029</v>
      </c>
      <c r="G5051">
        <v>19472</v>
      </c>
      <c r="H5051" t="s">
        <v>4906</v>
      </c>
      <c r="I5051" t="s">
        <v>5191</v>
      </c>
      <c r="J5051">
        <v>2.2999999999999998</v>
      </c>
      <c r="K5051" t="s">
        <v>4744</v>
      </c>
      <c r="L5051">
        <v>53.91</v>
      </c>
      <c r="M5051">
        <v>23.439129999999999</v>
      </c>
      <c r="N5051" t="s">
        <v>5191</v>
      </c>
      <c r="O5051" t="s">
        <v>459</v>
      </c>
    </row>
    <row r="5052" spans="1:15" x14ac:dyDescent="0.3">
      <c r="A5052">
        <v>191454</v>
      </c>
      <c r="B5052">
        <v>105</v>
      </c>
      <c r="C5052" t="s">
        <v>557</v>
      </c>
      <c r="D5052" t="s">
        <v>3328</v>
      </c>
      <c r="E5052" t="s">
        <v>3696</v>
      </c>
      <c r="F5052" s="451">
        <v>46030</v>
      </c>
      <c r="G5052">
        <v>19634</v>
      </c>
      <c r="H5052" t="s">
        <v>4792</v>
      </c>
      <c r="I5052" t="s">
        <v>5191</v>
      </c>
      <c r="J5052">
        <v>4</v>
      </c>
      <c r="K5052" t="s">
        <v>4744</v>
      </c>
      <c r="L5052">
        <v>25</v>
      </c>
      <c r="M5052">
        <v>6.25</v>
      </c>
      <c r="N5052" t="s">
        <v>5272</v>
      </c>
      <c r="O5052" t="s">
        <v>459</v>
      </c>
    </row>
    <row r="5053" spans="1:15" x14ac:dyDescent="0.3">
      <c r="A5053">
        <v>191454</v>
      </c>
      <c r="B5053">
        <v>105</v>
      </c>
      <c r="C5053" t="s">
        <v>557</v>
      </c>
      <c r="D5053" t="s">
        <v>3328</v>
      </c>
      <c r="E5053" t="s">
        <v>3696</v>
      </c>
      <c r="F5053" s="451">
        <v>46030</v>
      </c>
      <c r="G5053">
        <v>24522</v>
      </c>
      <c r="H5053" t="s">
        <v>5072</v>
      </c>
      <c r="I5053" t="s">
        <v>5191</v>
      </c>
      <c r="J5053">
        <v>1</v>
      </c>
      <c r="K5053" t="s">
        <v>4744</v>
      </c>
      <c r="L5053">
        <v>22</v>
      </c>
      <c r="M5053">
        <v>22</v>
      </c>
      <c r="N5053" t="s">
        <v>5272</v>
      </c>
      <c r="O5053" t="s">
        <v>459</v>
      </c>
    </row>
    <row r="5054" spans="1:15" x14ac:dyDescent="0.3">
      <c r="A5054">
        <v>191454</v>
      </c>
      <c r="B5054">
        <v>105</v>
      </c>
      <c r="C5054" t="s">
        <v>557</v>
      </c>
      <c r="D5054" t="s">
        <v>3328</v>
      </c>
      <c r="E5054" t="s">
        <v>3696</v>
      </c>
      <c r="F5054" s="451">
        <v>46030</v>
      </c>
      <c r="G5054">
        <v>19642</v>
      </c>
      <c r="H5054" t="s">
        <v>4996</v>
      </c>
      <c r="I5054" t="s">
        <v>5191</v>
      </c>
      <c r="J5054">
        <v>1</v>
      </c>
      <c r="K5054" t="s">
        <v>4744</v>
      </c>
      <c r="L5054">
        <v>6.88</v>
      </c>
      <c r="M5054">
        <v>6.88</v>
      </c>
      <c r="N5054" t="s">
        <v>5272</v>
      </c>
      <c r="O5054" t="s">
        <v>459</v>
      </c>
    </row>
    <row r="5055" spans="1:15" x14ac:dyDescent="0.3">
      <c r="A5055">
        <v>191454</v>
      </c>
      <c r="B5055">
        <v>105</v>
      </c>
      <c r="C5055" t="s">
        <v>557</v>
      </c>
      <c r="D5055" t="s">
        <v>3328</v>
      </c>
      <c r="E5055" t="s">
        <v>3696</v>
      </c>
      <c r="F5055" s="451">
        <v>46030</v>
      </c>
      <c r="G5055">
        <v>19502</v>
      </c>
      <c r="H5055" t="s">
        <v>4871</v>
      </c>
      <c r="I5055" t="s">
        <v>5191</v>
      </c>
      <c r="J5055">
        <v>3.4</v>
      </c>
      <c r="K5055" t="s">
        <v>4744</v>
      </c>
      <c r="L5055">
        <v>48.55</v>
      </c>
      <c r="M5055">
        <v>14.279412000000001</v>
      </c>
      <c r="N5055" t="s">
        <v>5272</v>
      </c>
      <c r="O5055" t="s">
        <v>459</v>
      </c>
    </row>
    <row r="5056" spans="1:15" x14ac:dyDescent="0.3">
      <c r="A5056">
        <v>191454</v>
      </c>
      <c r="B5056">
        <v>105</v>
      </c>
      <c r="C5056" t="s">
        <v>557</v>
      </c>
      <c r="D5056" t="s">
        <v>3328</v>
      </c>
      <c r="E5056" t="s">
        <v>3696</v>
      </c>
      <c r="F5056" s="451">
        <v>46030</v>
      </c>
      <c r="G5056">
        <v>19561</v>
      </c>
      <c r="H5056" t="s">
        <v>5365</v>
      </c>
      <c r="I5056" t="s">
        <v>5191</v>
      </c>
      <c r="J5056">
        <v>0.5</v>
      </c>
      <c r="K5056" t="s">
        <v>4744</v>
      </c>
      <c r="L5056">
        <v>3.75</v>
      </c>
      <c r="M5056">
        <v>7.5</v>
      </c>
      <c r="N5056" t="s">
        <v>5272</v>
      </c>
      <c r="O5056" t="s">
        <v>459</v>
      </c>
    </row>
    <row r="5057" spans="1:15" x14ac:dyDescent="0.3">
      <c r="A5057">
        <v>191454</v>
      </c>
      <c r="B5057">
        <v>105</v>
      </c>
      <c r="C5057" t="s">
        <v>557</v>
      </c>
      <c r="D5057" t="s">
        <v>3328</v>
      </c>
      <c r="E5057" t="s">
        <v>3696</v>
      </c>
      <c r="F5057" s="451">
        <v>46030</v>
      </c>
      <c r="G5057">
        <v>19562</v>
      </c>
      <c r="H5057" t="s">
        <v>4939</v>
      </c>
      <c r="I5057" t="s">
        <v>5191</v>
      </c>
      <c r="J5057">
        <v>0.5</v>
      </c>
      <c r="K5057" t="s">
        <v>4744</v>
      </c>
      <c r="L5057">
        <v>6.25</v>
      </c>
      <c r="M5057">
        <v>12.5</v>
      </c>
      <c r="N5057" t="s">
        <v>5272</v>
      </c>
      <c r="O5057" t="s">
        <v>459</v>
      </c>
    </row>
    <row r="5058" spans="1:15" x14ac:dyDescent="0.3">
      <c r="A5058">
        <v>191454</v>
      </c>
      <c r="B5058">
        <v>105</v>
      </c>
      <c r="C5058" t="s">
        <v>557</v>
      </c>
      <c r="D5058" t="s">
        <v>3328</v>
      </c>
      <c r="E5058" t="s">
        <v>3696</v>
      </c>
      <c r="F5058" s="451">
        <v>46030</v>
      </c>
      <c r="G5058">
        <v>19572</v>
      </c>
      <c r="H5058" t="s">
        <v>4989</v>
      </c>
      <c r="I5058" t="s">
        <v>5191</v>
      </c>
      <c r="J5058">
        <v>1</v>
      </c>
      <c r="K5058" t="s">
        <v>4744</v>
      </c>
      <c r="L5058">
        <v>20</v>
      </c>
      <c r="M5058">
        <v>20</v>
      </c>
      <c r="N5058" t="s">
        <v>5272</v>
      </c>
      <c r="O5058" t="s">
        <v>459</v>
      </c>
    </row>
    <row r="5059" spans="1:15" x14ac:dyDescent="0.3">
      <c r="A5059">
        <v>191454</v>
      </c>
      <c r="B5059">
        <v>105</v>
      </c>
      <c r="C5059" t="s">
        <v>557</v>
      </c>
      <c r="D5059" t="s">
        <v>3328</v>
      </c>
      <c r="E5059" t="s">
        <v>3696</v>
      </c>
      <c r="F5059" s="451">
        <v>46030</v>
      </c>
      <c r="G5059">
        <v>19742</v>
      </c>
      <c r="H5059" t="s">
        <v>4900</v>
      </c>
      <c r="I5059" t="s">
        <v>5191</v>
      </c>
      <c r="J5059">
        <v>2.5</v>
      </c>
      <c r="K5059" t="s">
        <v>4744</v>
      </c>
      <c r="L5059">
        <v>28.13</v>
      </c>
      <c r="M5059">
        <v>11.252000000000001</v>
      </c>
      <c r="N5059" t="s">
        <v>5272</v>
      </c>
      <c r="O5059" t="s">
        <v>459</v>
      </c>
    </row>
    <row r="5060" spans="1:15" x14ac:dyDescent="0.3">
      <c r="A5060">
        <v>191454</v>
      </c>
      <c r="B5060">
        <v>105</v>
      </c>
      <c r="C5060" t="s">
        <v>557</v>
      </c>
      <c r="D5060" t="s">
        <v>3328</v>
      </c>
      <c r="E5060" t="s">
        <v>3696</v>
      </c>
      <c r="F5060" s="451">
        <v>46030</v>
      </c>
      <c r="G5060">
        <v>19635</v>
      </c>
      <c r="H5060" t="s">
        <v>4786</v>
      </c>
      <c r="I5060" t="s">
        <v>5191</v>
      </c>
      <c r="J5060">
        <v>8</v>
      </c>
      <c r="K5060" t="s">
        <v>4744</v>
      </c>
      <c r="L5060">
        <v>30</v>
      </c>
      <c r="M5060">
        <v>3.75</v>
      </c>
      <c r="N5060" t="s">
        <v>5272</v>
      </c>
      <c r="O5060" t="s">
        <v>459</v>
      </c>
    </row>
    <row r="5061" spans="1:15" x14ac:dyDescent="0.3">
      <c r="A5061">
        <v>191454</v>
      </c>
      <c r="B5061">
        <v>105</v>
      </c>
      <c r="C5061" t="s">
        <v>557</v>
      </c>
      <c r="D5061" t="s">
        <v>3328</v>
      </c>
      <c r="E5061" t="s">
        <v>3696</v>
      </c>
      <c r="F5061" s="451">
        <v>46030</v>
      </c>
      <c r="G5061">
        <v>23198</v>
      </c>
      <c r="H5061" t="s">
        <v>4962</v>
      </c>
      <c r="I5061" t="s">
        <v>5191</v>
      </c>
      <c r="J5061">
        <v>0.5</v>
      </c>
      <c r="K5061" t="s">
        <v>4744</v>
      </c>
      <c r="L5061">
        <v>6.25</v>
      </c>
      <c r="M5061">
        <v>12.5</v>
      </c>
      <c r="N5061" t="s">
        <v>5272</v>
      </c>
      <c r="O5061" t="s">
        <v>459</v>
      </c>
    </row>
    <row r="5062" spans="1:15" x14ac:dyDescent="0.3">
      <c r="A5062">
        <v>191454</v>
      </c>
      <c r="B5062">
        <v>105</v>
      </c>
      <c r="C5062" t="s">
        <v>557</v>
      </c>
      <c r="D5062" t="s">
        <v>3328</v>
      </c>
      <c r="E5062" t="s">
        <v>3696</v>
      </c>
      <c r="F5062" s="451">
        <v>46030</v>
      </c>
      <c r="G5062">
        <v>23335</v>
      </c>
      <c r="H5062" t="s">
        <v>4961</v>
      </c>
      <c r="I5062" t="s">
        <v>5191</v>
      </c>
      <c r="J5062">
        <v>1.5</v>
      </c>
      <c r="K5062" t="s">
        <v>4744</v>
      </c>
      <c r="L5062">
        <v>30.95</v>
      </c>
      <c r="M5062">
        <v>20.633333</v>
      </c>
      <c r="N5062" t="s">
        <v>5272</v>
      </c>
      <c r="O5062" t="s">
        <v>459</v>
      </c>
    </row>
    <row r="5063" spans="1:15" x14ac:dyDescent="0.3">
      <c r="A5063">
        <v>191454</v>
      </c>
      <c r="B5063">
        <v>105</v>
      </c>
      <c r="C5063" t="s">
        <v>557</v>
      </c>
      <c r="D5063" t="s">
        <v>3328</v>
      </c>
      <c r="E5063" t="s">
        <v>3696</v>
      </c>
      <c r="F5063" s="451">
        <v>46030</v>
      </c>
      <c r="G5063">
        <v>23234</v>
      </c>
      <c r="H5063" t="s">
        <v>4986</v>
      </c>
      <c r="I5063" t="s">
        <v>5191</v>
      </c>
      <c r="J5063">
        <v>1</v>
      </c>
      <c r="K5063" t="s">
        <v>4744</v>
      </c>
      <c r="L5063">
        <v>23</v>
      </c>
      <c r="M5063">
        <v>23</v>
      </c>
      <c r="N5063" t="s">
        <v>5272</v>
      </c>
      <c r="O5063" t="s">
        <v>459</v>
      </c>
    </row>
    <row r="5064" spans="1:15" x14ac:dyDescent="0.3">
      <c r="A5064">
        <v>191454</v>
      </c>
      <c r="B5064">
        <v>105</v>
      </c>
      <c r="C5064" t="s">
        <v>557</v>
      </c>
      <c r="D5064" t="s">
        <v>3328</v>
      </c>
      <c r="E5064" t="s">
        <v>3696</v>
      </c>
      <c r="F5064" s="451">
        <v>46030</v>
      </c>
      <c r="G5064">
        <v>23184</v>
      </c>
      <c r="H5064" t="s">
        <v>4935</v>
      </c>
      <c r="I5064" t="s">
        <v>5191</v>
      </c>
      <c r="J5064">
        <v>2</v>
      </c>
      <c r="K5064" t="s">
        <v>4744</v>
      </c>
      <c r="L5064">
        <v>17.5</v>
      </c>
      <c r="M5064">
        <v>8.75</v>
      </c>
      <c r="N5064" t="s">
        <v>5272</v>
      </c>
      <c r="O5064" t="s">
        <v>459</v>
      </c>
    </row>
    <row r="5065" spans="1:15" x14ac:dyDescent="0.3">
      <c r="A5065">
        <v>191454</v>
      </c>
      <c r="B5065">
        <v>105</v>
      </c>
      <c r="C5065" t="s">
        <v>557</v>
      </c>
      <c r="D5065" t="s">
        <v>3328</v>
      </c>
      <c r="E5065" t="s">
        <v>3696</v>
      </c>
      <c r="F5065" s="451">
        <v>46030</v>
      </c>
      <c r="G5065">
        <v>19472</v>
      </c>
      <c r="H5065" t="s">
        <v>4906</v>
      </c>
      <c r="I5065" t="s">
        <v>5191</v>
      </c>
      <c r="J5065">
        <v>2</v>
      </c>
      <c r="K5065" t="s">
        <v>4744</v>
      </c>
      <c r="L5065">
        <v>46.88</v>
      </c>
      <c r="M5065">
        <v>23.44</v>
      </c>
      <c r="N5065" t="s">
        <v>5272</v>
      </c>
      <c r="O5065" t="s">
        <v>459</v>
      </c>
    </row>
    <row r="5066" spans="1:15" x14ac:dyDescent="0.3">
      <c r="A5066">
        <v>191450</v>
      </c>
      <c r="B5066">
        <v>105</v>
      </c>
      <c r="C5066" t="s">
        <v>557</v>
      </c>
      <c r="D5066" t="s">
        <v>2552</v>
      </c>
      <c r="E5066" t="s">
        <v>3697</v>
      </c>
      <c r="F5066" s="451">
        <v>46030</v>
      </c>
      <c r="G5066">
        <v>26627</v>
      </c>
      <c r="H5066" t="s">
        <v>5190</v>
      </c>
      <c r="I5066" t="s">
        <v>5191</v>
      </c>
      <c r="J5066">
        <v>10</v>
      </c>
      <c r="K5066" t="s">
        <v>4744</v>
      </c>
      <c r="L5066">
        <v>79</v>
      </c>
      <c r="M5066">
        <v>7.9</v>
      </c>
      <c r="O5066" t="s">
        <v>459</v>
      </c>
    </row>
    <row r="5067" spans="1:15" x14ac:dyDescent="0.3">
      <c r="A5067">
        <v>191449</v>
      </c>
      <c r="B5067">
        <v>105</v>
      </c>
      <c r="C5067" t="s">
        <v>557</v>
      </c>
      <c r="D5067" t="s">
        <v>2554</v>
      </c>
      <c r="E5067" t="s">
        <v>3698</v>
      </c>
      <c r="F5067" s="451">
        <v>46028</v>
      </c>
      <c r="G5067">
        <v>17437</v>
      </c>
      <c r="H5067" t="s">
        <v>5203</v>
      </c>
      <c r="I5067" t="s">
        <v>5188</v>
      </c>
      <c r="J5067">
        <v>15</v>
      </c>
      <c r="K5067" t="s">
        <v>4736</v>
      </c>
      <c r="L5067">
        <v>37.5</v>
      </c>
      <c r="M5067">
        <v>2.5</v>
      </c>
      <c r="N5067" t="s">
        <v>5277</v>
      </c>
      <c r="O5067" t="s">
        <v>459</v>
      </c>
    </row>
    <row r="5068" spans="1:15" x14ac:dyDescent="0.3">
      <c r="A5068">
        <v>191449</v>
      </c>
      <c r="B5068">
        <v>105</v>
      </c>
      <c r="C5068" t="s">
        <v>557</v>
      </c>
      <c r="D5068" t="s">
        <v>2554</v>
      </c>
      <c r="E5068" t="s">
        <v>3698</v>
      </c>
      <c r="F5068" s="451">
        <v>46028</v>
      </c>
      <c r="G5068">
        <v>17341</v>
      </c>
      <c r="H5068" t="s">
        <v>5291</v>
      </c>
      <c r="I5068" t="s">
        <v>5188</v>
      </c>
      <c r="J5068">
        <v>2</v>
      </c>
      <c r="K5068" t="s">
        <v>4888</v>
      </c>
      <c r="L5068">
        <v>170</v>
      </c>
      <c r="M5068">
        <v>85</v>
      </c>
      <c r="N5068" t="s">
        <v>5277</v>
      </c>
      <c r="O5068" t="s">
        <v>459</v>
      </c>
    </row>
    <row r="5069" spans="1:15" x14ac:dyDescent="0.3">
      <c r="A5069">
        <v>191449</v>
      </c>
      <c r="B5069">
        <v>105</v>
      </c>
      <c r="C5069" t="s">
        <v>557</v>
      </c>
      <c r="D5069" t="s">
        <v>2554</v>
      </c>
      <c r="E5069" t="s">
        <v>3698</v>
      </c>
      <c r="F5069" s="451">
        <v>46028</v>
      </c>
      <c r="G5069">
        <v>17046</v>
      </c>
      <c r="H5069" t="s">
        <v>5194</v>
      </c>
      <c r="I5069" t="s">
        <v>5188</v>
      </c>
      <c r="J5069">
        <v>2</v>
      </c>
      <c r="K5069" t="s">
        <v>4736</v>
      </c>
      <c r="L5069">
        <v>76</v>
      </c>
      <c r="M5069">
        <v>38</v>
      </c>
      <c r="N5069" t="s">
        <v>5277</v>
      </c>
      <c r="O5069" t="s">
        <v>459</v>
      </c>
    </row>
    <row r="5070" spans="1:15" x14ac:dyDescent="0.3">
      <c r="A5070">
        <v>191449</v>
      </c>
      <c r="B5070">
        <v>105</v>
      </c>
      <c r="C5070" t="s">
        <v>557</v>
      </c>
      <c r="D5070" t="s">
        <v>2554</v>
      </c>
      <c r="E5070" t="s">
        <v>3698</v>
      </c>
      <c r="F5070" s="451">
        <v>46028</v>
      </c>
      <c r="G5070">
        <v>17314</v>
      </c>
      <c r="H5070" t="s">
        <v>5208</v>
      </c>
      <c r="I5070" t="s">
        <v>5188</v>
      </c>
      <c r="J5070">
        <v>3</v>
      </c>
      <c r="K5070" t="s">
        <v>4848</v>
      </c>
      <c r="L5070">
        <v>18.3</v>
      </c>
      <c r="M5070">
        <v>6.1</v>
      </c>
      <c r="N5070" t="s">
        <v>5277</v>
      </c>
      <c r="O5070" t="s">
        <v>459</v>
      </c>
    </row>
    <row r="5071" spans="1:15" x14ac:dyDescent="0.3">
      <c r="A5071">
        <v>191449</v>
      </c>
      <c r="B5071">
        <v>105</v>
      </c>
      <c r="C5071" t="s">
        <v>557</v>
      </c>
      <c r="D5071" t="s">
        <v>2554</v>
      </c>
      <c r="E5071" t="s">
        <v>3698</v>
      </c>
      <c r="F5071" s="451">
        <v>46028</v>
      </c>
      <c r="G5071">
        <v>17473</v>
      </c>
      <c r="H5071" t="s">
        <v>5256</v>
      </c>
      <c r="I5071" t="s">
        <v>5215</v>
      </c>
      <c r="J5071">
        <v>1</v>
      </c>
      <c r="K5071" t="s">
        <v>4749</v>
      </c>
      <c r="L5071">
        <v>88</v>
      </c>
      <c r="M5071">
        <v>88</v>
      </c>
      <c r="N5071" t="s">
        <v>5277</v>
      </c>
      <c r="O5071" t="s">
        <v>459</v>
      </c>
    </row>
    <row r="5072" spans="1:15" x14ac:dyDescent="0.3">
      <c r="A5072">
        <v>191449</v>
      </c>
      <c r="B5072">
        <v>105</v>
      </c>
      <c r="C5072" t="s">
        <v>557</v>
      </c>
      <c r="D5072" t="s">
        <v>2554</v>
      </c>
      <c r="E5072" t="s">
        <v>3698</v>
      </c>
      <c r="F5072" s="451">
        <v>46028</v>
      </c>
      <c r="G5072">
        <v>17304</v>
      </c>
      <c r="H5072" t="s">
        <v>5195</v>
      </c>
      <c r="I5072" t="s">
        <v>5188</v>
      </c>
      <c r="J5072">
        <v>3</v>
      </c>
      <c r="K5072" t="s">
        <v>4848</v>
      </c>
      <c r="L5072">
        <v>21.3</v>
      </c>
      <c r="M5072">
        <v>7.1</v>
      </c>
      <c r="N5072" t="s">
        <v>5277</v>
      </c>
      <c r="O5072" t="s">
        <v>459</v>
      </c>
    </row>
    <row r="5073" spans="1:15" x14ac:dyDescent="0.3">
      <c r="A5073">
        <v>191449</v>
      </c>
      <c r="B5073">
        <v>105</v>
      </c>
      <c r="C5073" t="s">
        <v>557</v>
      </c>
      <c r="D5073" t="s">
        <v>2554</v>
      </c>
      <c r="E5073" t="s">
        <v>3698</v>
      </c>
      <c r="F5073" s="451">
        <v>46028</v>
      </c>
      <c r="G5073">
        <v>17474</v>
      </c>
      <c r="H5073" t="s">
        <v>5213</v>
      </c>
      <c r="I5073" t="s">
        <v>5188</v>
      </c>
      <c r="J5073">
        <v>1</v>
      </c>
      <c r="K5073" t="s">
        <v>4749</v>
      </c>
      <c r="L5073">
        <v>78</v>
      </c>
      <c r="M5073">
        <v>78</v>
      </c>
      <c r="N5073" t="s">
        <v>5277</v>
      </c>
      <c r="O5073" t="s">
        <v>459</v>
      </c>
    </row>
    <row r="5074" spans="1:15" x14ac:dyDescent="0.3">
      <c r="A5074">
        <v>191449</v>
      </c>
      <c r="B5074">
        <v>105</v>
      </c>
      <c r="C5074" t="s">
        <v>557</v>
      </c>
      <c r="D5074" t="s">
        <v>2554</v>
      </c>
      <c r="E5074" t="s">
        <v>3698</v>
      </c>
      <c r="F5074" s="451">
        <v>46028</v>
      </c>
      <c r="G5074">
        <v>17266</v>
      </c>
      <c r="H5074" t="s">
        <v>5192</v>
      </c>
      <c r="I5074" t="s">
        <v>5188</v>
      </c>
      <c r="J5074">
        <v>4</v>
      </c>
      <c r="K5074" t="s">
        <v>4736</v>
      </c>
      <c r="L5074">
        <v>20.32</v>
      </c>
      <c r="M5074">
        <v>5.08</v>
      </c>
      <c r="N5074" t="s">
        <v>5277</v>
      </c>
      <c r="O5074" t="s">
        <v>459</v>
      </c>
    </row>
    <row r="5075" spans="1:15" x14ac:dyDescent="0.3">
      <c r="A5075">
        <v>191449</v>
      </c>
      <c r="B5075">
        <v>105</v>
      </c>
      <c r="C5075" t="s">
        <v>557</v>
      </c>
      <c r="D5075" t="s">
        <v>2554</v>
      </c>
      <c r="E5075" t="s">
        <v>3698</v>
      </c>
      <c r="F5075" s="451">
        <v>46028</v>
      </c>
      <c r="G5075">
        <v>24596</v>
      </c>
      <c r="H5075" t="s">
        <v>5197</v>
      </c>
      <c r="I5075" t="s">
        <v>5188</v>
      </c>
      <c r="J5075">
        <v>2</v>
      </c>
      <c r="K5075" t="s">
        <v>4736</v>
      </c>
      <c r="L5075">
        <v>33</v>
      </c>
      <c r="M5075">
        <v>16.5</v>
      </c>
      <c r="N5075" t="s">
        <v>5277</v>
      </c>
      <c r="O5075" t="s">
        <v>459</v>
      </c>
    </row>
    <row r="5076" spans="1:15" x14ac:dyDescent="0.3">
      <c r="A5076">
        <v>191449</v>
      </c>
      <c r="B5076">
        <v>105</v>
      </c>
      <c r="C5076" t="s">
        <v>557</v>
      </c>
      <c r="D5076" t="s">
        <v>2554</v>
      </c>
      <c r="E5076" t="s">
        <v>3698</v>
      </c>
      <c r="F5076" s="451">
        <v>46028</v>
      </c>
      <c r="G5076">
        <v>26928</v>
      </c>
      <c r="H5076" t="s">
        <v>5298</v>
      </c>
      <c r="I5076" t="s">
        <v>5188</v>
      </c>
      <c r="J5076">
        <v>3</v>
      </c>
      <c r="K5076" t="s">
        <v>4736</v>
      </c>
      <c r="L5076">
        <v>29.4</v>
      </c>
      <c r="M5076">
        <v>9.8000000000000007</v>
      </c>
      <c r="N5076" t="s">
        <v>5277</v>
      </c>
      <c r="O5076" t="s">
        <v>459</v>
      </c>
    </row>
    <row r="5077" spans="1:15" x14ac:dyDescent="0.3">
      <c r="A5077">
        <v>191449</v>
      </c>
      <c r="B5077">
        <v>105</v>
      </c>
      <c r="C5077" t="s">
        <v>557</v>
      </c>
      <c r="D5077" t="s">
        <v>2554</v>
      </c>
      <c r="E5077" t="s">
        <v>3698</v>
      </c>
      <c r="F5077" s="451">
        <v>46028</v>
      </c>
      <c r="G5077">
        <v>17333</v>
      </c>
      <c r="H5077" t="s">
        <v>5211</v>
      </c>
      <c r="I5077" t="s">
        <v>5188</v>
      </c>
      <c r="J5077">
        <v>3</v>
      </c>
      <c r="K5077" t="s">
        <v>4738</v>
      </c>
      <c r="L5077">
        <v>225</v>
      </c>
      <c r="M5077">
        <v>75</v>
      </c>
      <c r="N5077" t="s">
        <v>5277</v>
      </c>
      <c r="O5077" t="s">
        <v>459</v>
      </c>
    </row>
    <row r="5078" spans="1:15" x14ac:dyDescent="0.3">
      <c r="A5078">
        <v>191449</v>
      </c>
      <c r="B5078">
        <v>105</v>
      </c>
      <c r="C5078" t="s">
        <v>557</v>
      </c>
      <c r="D5078" t="s">
        <v>2554</v>
      </c>
      <c r="E5078" t="s">
        <v>3698</v>
      </c>
      <c r="F5078" s="451">
        <v>46028</v>
      </c>
      <c r="G5078">
        <v>17418</v>
      </c>
      <c r="H5078" t="s">
        <v>5207</v>
      </c>
      <c r="I5078" t="s">
        <v>5188</v>
      </c>
      <c r="J5078">
        <v>4</v>
      </c>
      <c r="K5078" t="s">
        <v>4749</v>
      </c>
      <c r="L5078">
        <v>248</v>
      </c>
      <c r="M5078">
        <v>62</v>
      </c>
      <c r="N5078" t="s">
        <v>5277</v>
      </c>
      <c r="O5078" t="s">
        <v>459</v>
      </c>
    </row>
    <row r="5079" spans="1:15" x14ac:dyDescent="0.3">
      <c r="A5079">
        <v>191449</v>
      </c>
      <c r="B5079">
        <v>105</v>
      </c>
      <c r="C5079" t="s">
        <v>557</v>
      </c>
      <c r="D5079" t="s">
        <v>2554</v>
      </c>
      <c r="E5079" t="s">
        <v>3698</v>
      </c>
      <c r="F5079" s="451">
        <v>46028</v>
      </c>
      <c r="G5079">
        <v>17416</v>
      </c>
      <c r="H5079" t="s">
        <v>5209</v>
      </c>
      <c r="I5079" t="s">
        <v>5188</v>
      </c>
      <c r="J5079">
        <v>2</v>
      </c>
      <c r="K5079" t="s">
        <v>4749</v>
      </c>
      <c r="L5079">
        <v>110.4</v>
      </c>
      <c r="M5079">
        <v>55.2</v>
      </c>
      <c r="N5079" t="s">
        <v>5277</v>
      </c>
      <c r="O5079" t="s">
        <v>459</v>
      </c>
    </row>
    <row r="5080" spans="1:15" x14ac:dyDescent="0.3">
      <c r="A5080">
        <v>191449</v>
      </c>
      <c r="B5080">
        <v>105</v>
      </c>
      <c r="C5080" t="s">
        <v>557</v>
      </c>
      <c r="D5080" t="s">
        <v>2554</v>
      </c>
      <c r="E5080" t="s">
        <v>3698</v>
      </c>
      <c r="F5080" s="451">
        <v>46028</v>
      </c>
      <c r="G5080">
        <v>24505</v>
      </c>
      <c r="H5080" t="s">
        <v>5198</v>
      </c>
      <c r="I5080" t="s">
        <v>5188</v>
      </c>
      <c r="J5080">
        <v>5</v>
      </c>
      <c r="K5080" t="s">
        <v>4738</v>
      </c>
      <c r="L5080">
        <v>29.45</v>
      </c>
      <c r="M5080">
        <v>5.89</v>
      </c>
      <c r="N5080" t="s">
        <v>5277</v>
      </c>
      <c r="O5080" t="s">
        <v>459</v>
      </c>
    </row>
    <row r="5081" spans="1:15" x14ac:dyDescent="0.3">
      <c r="A5081">
        <v>191449</v>
      </c>
      <c r="B5081">
        <v>105</v>
      </c>
      <c r="C5081" t="s">
        <v>557</v>
      </c>
      <c r="D5081" t="s">
        <v>2554</v>
      </c>
      <c r="E5081" t="s">
        <v>3698</v>
      </c>
      <c r="F5081" s="451">
        <v>46028</v>
      </c>
      <c r="G5081">
        <v>24931</v>
      </c>
      <c r="H5081" t="s">
        <v>5308</v>
      </c>
      <c r="I5081" t="s">
        <v>5188</v>
      </c>
      <c r="J5081">
        <v>3</v>
      </c>
      <c r="K5081" t="s">
        <v>4738</v>
      </c>
      <c r="L5081">
        <v>126</v>
      </c>
      <c r="M5081">
        <v>42</v>
      </c>
      <c r="N5081" t="s">
        <v>5277</v>
      </c>
      <c r="O5081" t="s">
        <v>459</v>
      </c>
    </row>
    <row r="5082" spans="1:15" x14ac:dyDescent="0.3">
      <c r="A5082">
        <v>191449</v>
      </c>
      <c r="B5082">
        <v>105</v>
      </c>
      <c r="C5082" t="s">
        <v>557</v>
      </c>
      <c r="D5082" t="s">
        <v>2554</v>
      </c>
      <c r="E5082" t="s">
        <v>3698</v>
      </c>
      <c r="F5082" s="451">
        <v>46028</v>
      </c>
      <c r="G5082">
        <v>28171</v>
      </c>
      <c r="H5082" t="s">
        <v>5412</v>
      </c>
      <c r="I5082" t="s">
        <v>5188</v>
      </c>
      <c r="J5082">
        <v>3</v>
      </c>
      <c r="K5082" t="s">
        <v>5240</v>
      </c>
      <c r="L5082">
        <v>195</v>
      </c>
      <c r="M5082">
        <v>65</v>
      </c>
      <c r="N5082" t="s">
        <v>5277</v>
      </c>
      <c r="O5082" t="s">
        <v>459</v>
      </c>
    </row>
    <row r="5083" spans="1:15" x14ac:dyDescent="0.3">
      <c r="A5083">
        <v>191449</v>
      </c>
      <c r="B5083">
        <v>105</v>
      </c>
      <c r="C5083" t="s">
        <v>557</v>
      </c>
      <c r="D5083" t="s">
        <v>2554</v>
      </c>
      <c r="E5083" t="s">
        <v>3698</v>
      </c>
      <c r="F5083" s="451">
        <v>46028</v>
      </c>
      <c r="G5083">
        <v>27798</v>
      </c>
      <c r="H5083" t="s">
        <v>5257</v>
      </c>
      <c r="I5083" t="s">
        <v>5215</v>
      </c>
      <c r="J5083">
        <v>2</v>
      </c>
      <c r="K5083" t="s">
        <v>5245</v>
      </c>
      <c r="L5083">
        <v>350</v>
      </c>
      <c r="M5083">
        <v>175</v>
      </c>
      <c r="N5083" t="s">
        <v>5277</v>
      </c>
      <c r="O5083" t="s">
        <v>459</v>
      </c>
    </row>
    <row r="5084" spans="1:15" x14ac:dyDescent="0.3">
      <c r="A5084">
        <v>191448</v>
      </c>
      <c r="B5084">
        <v>105</v>
      </c>
      <c r="C5084" t="s">
        <v>557</v>
      </c>
      <c r="D5084" t="s">
        <v>2607</v>
      </c>
      <c r="E5084" t="s">
        <v>3699</v>
      </c>
      <c r="F5084" s="451">
        <v>46029</v>
      </c>
      <c r="G5084">
        <v>25777</v>
      </c>
      <c r="H5084" t="s">
        <v>4774</v>
      </c>
      <c r="I5084" t="s">
        <v>5191</v>
      </c>
      <c r="J5084">
        <v>20.7</v>
      </c>
      <c r="K5084" t="s">
        <v>4744</v>
      </c>
      <c r="L5084">
        <v>1759.5</v>
      </c>
      <c r="M5084">
        <v>85</v>
      </c>
      <c r="N5084" t="s">
        <v>5272</v>
      </c>
      <c r="O5084" t="s">
        <v>459</v>
      </c>
    </row>
    <row r="5085" spans="1:15" x14ac:dyDescent="0.3">
      <c r="A5085">
        <v>191447</v>
      </c>
      <c r="B5085">
        <v>105</v>
      </c>
      <c r="C5085" t="s">
        <v>557</v>
      </c>
      <c r="D5085" t="s">
        <v>2607</v>
      </c>
      <c r="E5085" t="s">
        <v>3700</v>
      </c>
      <c r="F5085" s="451">
        <v>46030</v>
      </c>
      <c r="G5085">
        <v>21548</v>
      </c>
      <c r="H5085" t="s">
        <v>5413</v>
      </c>
      <c r="I5085" t="s">
        <v>5191</v>
      </c>
      <c r="J5085">
        <v>31.2</v>
      </c>
      <c r="K5085" t="s">
        <v>4744</v>
      </c>
      <c r="L5085">
        <v>3432</v>
      </c>
      <c r="M5085">
        <v>110</v>
      </c>
      <c r="N5085" t="s">
        <v>5272</v>
      </c>
      <c r="O5085" t="s">
        <v>459</v>
      </c>
    </row>
    <row r="5086" spans="1:15" x14ac:dyDescent="0.3">
      <c r="A5086">
        <v>191446</v>
      </c>
      <c r="B5086">
        <v>105</v>
      </c>
      <c r="C5086" t="s">
        <v>557</v>
      </c>
      <c r="D5086" t="s">
        <v>2845</v>
      </c>
      <c r="E5086" t="s">
        <v>3701</v>
      </c>
      <c r="F5086" s="451">
        <v>46030</v>
      </c>
      <c r="G5086">
        <v>18642</v>
      </c>
      <c r="H5086" t="s">
        <v>5127</v>
      </c>
      <c r="I5086" t="s">
        <v>5191</v>
      </c>
      <c r="J5086">
        <v>6</v>
      </c>
      <c r="K5086" t="s">
        <v>4744</v>
      </c>
      <c r="L5086">
        <v>1151.4000000000001</v>
      </c>
      <c r="M5086">
        <v>191.9</v>
      </c>
      <c r="N5086" t="s">
        <v>5191</v>
      </c>
      <c r="O5086" t="s">
        <v>459</v>
      </c>
    </row>
    <row r="5087" spans="1:15" x14ac:dyDescent="0.3">
      <c r="A5087">
        <v>191445</v>
      </c>
      <c r="B5087">
        <v>105</v>
      </c>
      <c r="C5087" t="s">
        <v>557</v>
      </c>
      <c r="D5087" t="s">
        <v>2705</v>
      </c>
      <c r="E5087" t="s">
        <v>3702</v>
      </c>
      <c r="F5087" s="451">
        <v>46030</v>
      </c>
      <c r="G5087">
        <v>24658</v>
      </c>
      <c r="H5087" t="s">
        <v>5274</v>
      </c>
      <c r="I5087" t="s">
        <v>5232</v>
      </c>
      <c r="J5087">
        <v>20</v>
      </c>
      <c r="K5087" t="s">
        <v>4738</v>
      </c>
      <c r="L5087">
        <v>692</v>
      </c>
      <c r="M5087">
        <v>34.6</v>
      </c>
      <c r="N5087" t="s">
        <v>5275</v>
      </c>
      <c r="O5087" t="s">
        <v>459</v>
      </c>
    </row>
    <row r="5088" spans="1:15" x14ac:dyDescent="0.3">
      <c r="A5088">
        <v>191444</v>
      </c>
      <c r="B5088">
        <v>105</v>
      </c>
      <c r="C5088" t="s">
        <v>557</v>
      </c>
      <c r="D5088" t="s">
        <v>2581</v>
      </c>
      <c r="E5088" t="s">
        <v>3703</v>
      </c>
      <c r="F5088" s="451">
        <v>46029</v>
      </c>
      <c r="G5088">
        <v>19634</v>
      </c>
      <c r="H5088" t="s">
        <v>4792</v>
      </c>
      <c r="I5088" t="s">
        <v>5191</v>
      </c>
      <c r="J5088">
        <v>4</v>
      </c>
      <c r="K5088" t="s">
        <v>4744</v>
      </c>
      <c r="L5088">
        <v>24</v>
      </c>
      <c r="M5088">
        <v>6</v>
      </c>
      <c r="N5088" t="s">
        <v>5272</v>
      </c>
      <c r="O5088" t="s">
        <v>459</v>
      </c>
    </row>
    <row r="5089" spans="1:15" x14ac:dyDescent="0.3">
      <c r="A5089">
        <v>191444</v>
      </c>
      <c r="B5089">
        <v>105</v>
      </c>
      <c r="C5089" t="s">
        <v>557</v>
      </c>
      <c r="D5089" t="s">
        <v>2581</v>
      </c>
      <c r="E5089" t="s">
        <v>3703</v>
      </c>
      <c r="F5089" s="451">
        <v>46029</v>
      </c>
      <c r="G5089">
        <v>19787</v>
      </c>
      <c r="H5089" t="s">
        <v>4793</v>
      </c>
      <c r="I5089" t="s">
        <v>5191</v>
      </c>
      <c r="J5089">
        <v>7</v>
      </c>
      <c r="K5089" t="s">
        <v>4744</v>
      </c>
      <c r="L5089">
        <v>34.299999999999997</v>
      </c>
      <c r="M5089">
        <v>4.9000000000000004</v>
      </c>
      <c r="N5089" t="s">
        <v>5272</v>
      </c>
      <c r="O5089" t="s">
        <v>459</v>
      </c>
    </row>
    <row r="5090" spans="1:15" x14ac:dyDescent="0.3">
      <c r="A5090">
        <v>191444</v>
      </c>
      <c r="B5090">
        <v>105</v>
      </c>
      <c r="C5090" t="s">
        <v>557</v>
      </c>
      <c r="D5090" t="s">
        <v>2581</v>
      </c>
      <c r="E5090" t="s">
        <v>3703</v>
      </c>
      <c r="F5090" s="451">
        <v>46029</v>
      </c>
      <c r="G5090">
        <v>19621</v>
      </c>
      <c r="H5090" t="s">
        <v>4829</v>
      </c>
      <c r="I5090" t="s">
        <v>5191</v>
      </c>
      <c r="J5090">
        <v>3</v>
      </c>
      <c r="K5090" t="s">
        <v>4744</v>
      </c>
      <c r="L5090">
        <v>9.6</v>
      </c>
      <c r="M5090">
        <v>3.2</v>
      </c>
      <c r="N5090" t="s">
        <v>5272</v>
      </c>
      <c r="O5090" t="s">
        <v>459</v>
      </c>
    </row>
    <row r="5091" spans="1:15" x14ac:dyDescent="0.3">
      <c r="A5091">
        <v>191444</v>
      </c>
      <c r="B5091">
        <v>105</v>
      </c>
      <c r="C5091" t="s">
        <v>557</v>
      </c>
      <c r="D5091" t="s">
        <v>2581</v>
      </c>
      <c r="E5091" t="s">
        <v>3703</v>
      </c>
      <c r="F5091" s="451">
        <v>46029</v>
      </c>
      <c r="G5091">
        <v>19623</v>
      </c>
      <c r="H5091" t="s">
        <v>4764</v>
      </c>
      <c r="I5091" t="s">
        <v>5191</v>
      </c>
      <c r="J5091">
        <v>10</v>
      </c>
      <c r="K5091" t="s">
        <v>4744</v>
      </c>
      <c r="L5091">
        <v>49</v>
      </c>
      <c r="M5091">
        <v>4.9000000000000004</v>
      </c>
      <c r="N5091" t="s">
        <v>5272</v>
      </c>
      <c r="O5091" t="s">
        <v>459</v>
      </c>
    </row>
    <row r="5092" spans="1:15" x14ac:dyDescent="0.3">
      <c r="A5092">
        <v>191444</v>
      </c>
      <c r="B5092">
        <v>105</v>
      </c>
      <c r="C5092" t="s">
        <v>557</v>
      </c>
      <c r="D5092" t="s">
        <v>2581</v>
      </c>
      <c r="E5092" t="s">
        <v>3703</v>
      </c>
      <c r="F5092" s="451">
        <v>46029</v>
      </c>
      <c r="G5092">
        <v>19505</v>
      </c>
      <c r="H5092" t="s">
        <v>4872</v>
      </c>
      <c r="I5092" t="s">
        <v>5191</v>
      </c>
      <c r="J5092">
        <v>2</v>
      </c>
      <c r="K5092" t="s">
        <v>4744</v>
      </c>
      <c r="L5092">
        <v>17</v>
      </c>
      <c r="M5092">
        <v>8.5</v>
      </c>
      <c r="N5092" t="s">
        <v>5272</v>
      </c>
      <c r="O5092" t="s">
        <v>459</v>
      </c>
    </row>
    <row r="5093" spans="1:15" x14ac:dyDescent="0.3">
      <c r="A5093">
        <v>191444</v>
      </c>
      <c r="B5093">
        <v>105</v>
      </c>
      <c r="C5093" t="s">
        <v>557</v>
      </c>
      <c r="D5093" t="s">
        <v>2581</v>
      </c>
      <c r="E5093" t="s">
        <v>3703</v>
      </c>
      <c r="F5093" s="451">
        <v>46029</v>
      </c>
      <c r="G5093">
        <v>24509</v>
      </c>
      <c r="H5093" t="s">
        <v>4788</v>
      </c>
      <c r="I5093" t="s">
        <v>5191</v>
      </c>
      <c r="J5093">
        <v>8</v>
      </c>
      <c r="K5093" t="s">
        <v>4744</v>
      </c>
      <c r="L5093">
        <v>14.4</v>
      </c>
      <c r="M5093">
        <v>1.8</v>
      </c>
      <c r="N5093" t="s">
        <v>5272</v>
      </c>
      <c r="O5093" t="s">
        <v>459</v>
      </c>
    </row>
    <row r="5094" spans="1:15" x14ac:dyDescent="0.3">
      <c r="A5094">
        <v>191444</v>
      </c>
      <c r="B5094">
        <v>105</v>
      </c>
      <c r="C5094" t="s">
        <v>557</v>
      </c>
      <c r="D5094" t="s">
        <v>2581</v>
      </c>
      <c r="E5094" t="s">
        <v>3703</v>
      </c>
      <c r="F5094" s="451">
        <v>46029</v>
      </c>
      <c r="G5094">
        <v>23113</v>
      </c>
      <c r="H5094" t="s">
        <v>5074</v>
      </c>
      <c r="I5094" t="s">
        <v>5191</v>
      </c>
      <c r="J5094">
        <v>1</v>
      </c>
      <c r="K5094" t="s">
        <v>4744</v>
      </c>
      <c r="L5094">
        <v>13</v>
      </c>
      <c r="M5094">
        <v>13</v>
      </c>
      <c r="N5094" t="s">
        <v>5272</v>
      </c>
      <c r="O5094" t="s">
        <v>459</v>
      </c>
    </row>
    <row r="5095" spans="1:15" x14ac:dyDescent="0.3">
      <c r="A5095">
        <v>191444</v>
      </c>
      <c r="B5095">
        <v>105</v>
      </c>
      <c r="C5095" t="s">
        <v>557</v>
      </c>
      <c r="D5095" t="s">
        <v>2581</v>
      </c>
      <c r="E5095" t="s">
        <v>3703</v>
      </c>
      <c r="F5095" s="451">
        <v>46029</v>
      </c>
      <c r="G5095">
        <v>23359</v>
      </c>
      <c r="H5095" t="s">
        <v>4767</v>
      </c>
      <c r="I5095" t="s">
        <v>5191</v>
      </c>
      <c r="J5095">
        <v>10</v>
      </c>
      <c r="K5095" t="s">
        <v>4744</v>
      </c>
      <c r="L5095">
        <v>34</v>
      </c>
      <c r="M5095">
        <v>3.4</v>
      </c>
      <c r="N5095" t="s">
        <v>5272</v>
      </c>
      <c r="O5095" t="s">
        <v>459</v>
      </c>
    </row>
    <row r="5096" spans="1:15" x14ac:dyDescent="0.3">
      <c r="A5096">
        <v>191444</v>
      </c>
      <c r="B5096">
        <v>105</v>
      </c>
      <c r="C5096" t="s">
        <v>557</v>
      </c>
      <c r="D5096" t="s">
        <v>2581</v>
      </c>
      <c r="E5096" t="s">
        <v>3703</v>
      </c>
      <c r="F5096" s="451">
        <v>46029</v>
      </c>
      <c r="G5096">
        <v>23361</v>
      </c>
      <c r="H5096" t="s">
        <v>4754</v>
      </c>
      <c r="I5096" t="s">
        <v>5191</v>
      </c>
      <c r="J5096">
        <v>15</v>
      </c>
      <c r="K5096" t="s">
        <v>4744</v>
      </c>
      <c r="L5096">
        <v>46.5</v>
      </c>
      <c r="M5096">
        <v>3.1</v>
      </c>
      <c r="N5096" t="s">
        <v>5272</v>
      </c>
      <c r="O5096" t="s">
        <v>459</v>
      </c>
    </row>
    <row r="5097" spans="1:15" x14ac:dyDescent="0.3">
      <c r="A5097">
        <v>191444</v>
      </c>
      <c r="B5097">
        <v>105</v>
      </c>
      <c r="C5097" t="s">
        <v>557</v>
      </c>
      <c r="D5097" t="s">
        <v>2581</v>
      </c>
      <c r="E5097" t="s">
        <v>3703</v>
      </c>
      <c r="F5097" s="451">
        <v>46029</v>
      </c>
      <c r="G5097">
        <v>19532</v>
      </c>
      <c r="H5097" t="s">
        <v>4753</v>
      </c>
      <c r="I5097" t="s">
        <v>5191</v>
      </c>
      <c r="J5097">
        <v>10</v>
      </c>
      <c r="K5097" t="s">
        <v>4744</v>
      </c>
      <c r="L5097">
        <v>58</v>
      </c>
      <c r="M5097">
        <v>5.8</v>
      </c>
      <c r="N5097" t="s">
        <v>5272</v>
      </c>
      <c r="O5097" t="s">
        <v>459</v>
      </c>
    </row>
    <row r="5098" spans="1:15" x14ac:dyDescent="0.3">
      <c r="A5098">
        <v>191444</v>
      </c>
      <c r="B5098">
        <v>105</v>
      </c>
      <c r="C5098" t="s">
        <v>557</v>
      </c>
      <c r="D5098" t="s">
        <v>2581</v>
      </c>
      <c r="E5098" t="s">
        <v>3703</v>
      </c>
      <c r="F5098" s="451">
        <v>46029</v>
      </c>
      <c r="G5098">
        <v>24037</v>
      </c>
      <c r="H5098" t="s">
        <v>5233</v>
      </c>
      <c r="I5098" t="s">
        <v>5191</v>
      </c>
      <c r="J5098">
        <v>3</v>
      </c>
      <c r="K5098" t="s">
        <v>4744</v>
      </c>
      <c r="L5098">
        <v>63</v>
      </c>
      <c r="M5098">
        <v>21</v>
      </c>
      <c r="N5098" t="s">
        <v>5272</v>
      </c>
      <c r="O5098" t="s">
        <v>459</v>
      </c>
    </row>
    <row r="5099" spans="1:15" x14ac:dyDescent="0.3">
      <c r="A5099">
        <v>191443</v>
      </c>
      <c r="B5099">
        <v>105</v>
      </c>
      <c r="C5099" t="s">
        <v>557</v>
      </c>
      <c r="D5099" t="s">
        <v>2581</v>
      </c>
      <c r="E5099" t="s">
        <v>3704</v>
      </c>
      <c r="F5099" s="451">
        <v>46030</v>
      </c>
      <c r="G5099">
        <v>19787</v>
      </c>
      <c r="H5099" t="s">
        <v>4793</v>
      </c>
      <c r="I5099" t="s">
        <v>5191</v>
      </c>
      <c r="J5099">
        <v>16</v>
      </c>
      <c r="K5099" t="s">
        <v>4744</v>
      </c>
      <c r="L5099">
        <v>78.400000000000006</v>
      </c>
      <c r="M5099">
        <v>4.9000000000000004</v>
      </c>
      <c r="N5099" t="s">
        <v>5272</v>
      </c>
      <c r="O5099" t="s">
        <v>459</v>
      </c>
    </row>
    <row r="5100" spans="1:15" x14ac:dyDescent="0.3">
      <c r="A5100">
        <v>191443</v>
      </c>
      <c r="B5100">
        <v>105</v>
      </c>
      <c r="C5100" t="s">
        <v>557</v>
      </c>
      <c r="D5100" t="s">
        <v>2581</v>
      </c>
      <c r="E5100" t="s">
        <v>3704</v>
      </c>
      <c r="F5100" s="451">
        <v>46030</v>
      </c>
      <c r="G5100">
        <v>24083</v>
      </c>
      <c r="H5100" t="s">
        <v>5165</v>
      </c>
      <c r="I5100" t="s">
        <v>5191</v>
      </c>
      <c r="J5100">
        <v>80</v>
      </c>
      <c r="K5100" t="s">
        <v>4744</v>
      </c>
      <c r="L5100">
        <v>320</v>
      </c>
      <c r="M5100">
        <v>4</v>
      </c>
      <c r="N5100" t="s">
        <v>5272</v>
      </c>
      <c r="O5100" t="s">
        <v>459</v>
      </c>
    </row>
    <row r="5101" spans="1:15" x14ac:dyDescent="0.3">
      <c r="A5101">
        <v>191443</v>
      </c>
      <c r="B5101">
        <v>105</v>
      </c>
      <c r="C5101" t="s">
        <v>557</v>
      </c>
      <c r="D5101" t="s">
        <v>2581</v>
      </c>
      <c r="E5101" t="s">
        <v>3704</v>
      </c>
      <c r="F5101" s="451">
        <v>46030</v>
      </c>
      <c r="G5101">
        <v>19589</v>
      </c>
      <c r="H5101" t="s">
        <v>4983</v>
      </c>
      <c r="I5101" t="s">
        <v>5191</v>
      </c>
      <c r="J5101">
        <v>1.5</v>
      </c>
      <c r="K5101" t="s">
        <v>4744</v>
      </c>
      <c r="L5101">
        <v>13.5</v>
      </c>
      <c r="M5101">
        <v>9</v>
      </c>
      <c r="N5101" t="s">
        <v>5272</v>
      </c>
      <c r="O5101" t="s">
        <v>459</v>
      </c>
    </row>
    <row r="5102" spans="1:15" x14ac:dyDescent="0.3">
      <c r="A5102">
        <v>191443</v>
      </c>
      <c r="B5102">
        <v>105</v>
      </c>
      <c r="C5102" t="s">
        <v>557</v>
      </c>
      <c r="D5102" t="s">
        <v>2581</v>
      </c>
      <c r="E5102" t="s">
        <v>3704</v>
      </c>
      <c r="F5102" s="451">
        <v>46030</v>
      </c>
      <c r="G5102">
        <v>19505</v>
      </c>
      <c r="H5102" t="s">
        <v>4872</v>
      </c>
      <c r="I5102" t="s">
        <v>5191</v>
      </c>
      <c r="J5102">
        <v>5</v>
      </c>
      <c r="K5102" t="s">
        <v>4744</v>
      </c>
      <c r="L5102">
        <v>42.5</v>
      </c>
      <c r="M5102">
        <v>8.5</v>
      </c>
      <c r="N5102" t="s">
        <v>5272</v>
      </c>
      <c r="O5102" t="s">
        <v>459</v>
      </c>
    </row>
    <row r="5103" spans="1:15" x14ac:dyDescent="0.3">
      <c r="A5103">
        <v>191443</v>
      </c>
      <c r="B5103">
        <v>105</v>
      </c>
      <c r="C5103" t="s">
        <v>557</v>
      </c>
      <c r="D5103" t="s">
        <v>2581</v>
      </c>
      <c r="E5103" t="s">
        <v>3704</v>
      </c>
      <c r="F5103" s="451">
        <v>46030</v>
      </c>
      <c r="G5103">
        <v>24509</v>
      </c>
      <c r="H5103" t="s">
        <v>4788</v>
      </c>
      <c r="I5103" t="s">
        <v>5191</v>
      </c>
      <c r="J5103">
        <v>8</v>
      </c>
      <c r="K5103" t="s">
        <v>4744</v>
      </c>
      <c r="L5103">
        <v>14</v>
      </c>
      <c r="M5103">
        <v>1.75</v>
      </c>
      <c r="N5103" t="s">
        <v>5272</v>
      </c>
      <c r="O5103" t="s">
        <v>459</v>
      </c>
    </row>
    <row r="5104" spans="1:15" x14ac:dyDescent="0.3">
      <c r="A5104">
        <v>191443</v>
      </c>
      <c r="B5104">
        <v>105</v>
      </c>
      <c r="C5104" t="s">
        <v>557</v>
      </c>
      <c r="D5104" t="s">
        <v>2581</v>
      </c>
      <c r="E5104" t="s">
        <v>3704</v>
      </c>
      <c r="F5104" s="451">
        <v>46030</v>
      </c>
      <c r="G5104">
        <v>19480</v>
      </c>
      <c r="H5104" t="s">
        <v>5119</v>
      </c>
      <c r="I5104" t="s">
        <v>5191</v>
      </c>
      <c r="J5104">
        <v>0.4</v>
      </c>
      <c r="K5104" t="s">
        <v>4744</v>
      </c>
      <c r="L5104">
        <v>5.2</v>
      </c>
      <c r="M5104">
        <v>13</v>
      </c>
      <c r="N5104" t="s">
        <v>5272</v>
      </c>
      <c r="O5104" t="s">
        <v>459</v>
      </c>
    </row>
    <row r="5105" spans="1:15" x14ac:dyDescent="0.3">
      <c r="A5105">
        <v>191443</v>
      </c>
      <c r="B5105">
        <v>105</v>
      </c>
      <c r="C5105" t="s">
        <v>557</v>
      </c>
      <c r="D5105" t="s">
        <v>2581</v>
      </c>
      <c r="E5105" t="s">
        <v>3704</v>
      </c>
      <c r="F5105" s="451">
        <v>46030</v>
      </c>
      <c r="G5105">
        <v>19565</v>
      </c>
      <c r="H5105" t="s">
        <v>5252</v>
      </c>
      <c r="I5105" t="s">
        <v>5191</v>
      </c>
      <c r="J5105">
        <v>0.5</v>
      </c>
      <c r="K5105" t="s">
        <v>4744</v>
      </c>
      <c r="L5105">
        <v>24</v>
      </c>
      <c r="M5105">
        <v>48</v>
      </c>
      <c r="N5105" t="s">
        <v>5272</v>
      </c>
      <c r="O5105" t="s">
        <v>459</v>
      </c>
    </row>
    <row r="5106" spans="1:15" x14ac:dyDescent="0.3">
      <c r="A5106">
        <v>191443</v>
      </c>
      <c r="B5106">
        <v>105</v>
      </c>
      <c r="C5106" t="s">
        <v>557</v>
      </c>
      <c r="D5106" t="s">
        <v>2581</v>
      </c>
      <c r="E5106" t="s">
        <v>3704</v>
      </c>
      <c r="F5106" s="451">
        <v>46030</v>
      </c>
      <c r="G5106">
        <v>19617</v>
      </c>
      <c r="H5106" t="s">
        <v>5071</v>
      </c>
      <c r="I5106" t="s">
        <v>5191</v>
      </c>
      <c r="J5106">
        <v>0.5</v>
      </c>
      <c r="K5106" t="s">
        <v>4744</v>
      </c>
      <c r="L5106">
        <v>12</v>
      </c>
      <c r="M5106">
        <v>24</v>
      </c>
      <c r="N5106" t="s">
        <v>5272</v>
      </c>
      <c r="O5106" t="s">
        <v>459</v>
      </c>
    </row>
    <row r="5107" spans="1:15" x14ac:dyDescent="0.3">
      <c r="A5107">
        <v>191443</v>
      </c>
      <c r="B5107">
        <v>105</v>
      </c>
      <c r="C5107" t="s">
        <v>557</v>
      </c>
      <c r="D5107" t="s">
        <v>2581</v>
      </c>
      <c r="E5107" t="s">
        <v>3704</v>
      </c>
      <c r="F5107" s="451">
        <v>46030</v>
      </c>
      <c r="G5107">
        <v>23359</v>
      </c>
      <c r="H5107" t="s">
        <v>4767</v>
      </c>
      <c r="I5107" t="s">
        <v>5191</v>
      </c>
      <c r="J5107">
        <v>20</v>
      </c>
      <c r="K5107" t="s">
        <v>4744</v>
      </c>
      <c r="L5107">
        <v>64</v>
      </c>
      <c r="M5107">
        <v>3.2</v>
      </c>
      <c r="N5107" t="s">
        <v>5272</v>
      </c>
      <c r="O5107" t="s">
        <v>459</v>
      </c>
    </row>
    <row r="5108" spans="1:15" x14ac:dyDescent="0.3">
      <c r="A5108">
        <v>191443</v>
      </c>
      <c r="B5108">
        <v>105</v>
      </c>
      <c r="C5108" t="s">
        <v>557</v>
      </c>
      <c r="D5108" t="s">
        <v>2581</v>
      </c>
      <c r="E5108" t="s">
        <v>3704</v>
      </c>
      <c r="F5108" s="451">
        <v>46030</v>
      </c>
      <c r="G5108">
        <v>23236</v>
      </c>
      <c r="H5108" t="s">
        <v>5062</v>
      </c>
      <c r="I5108" t="s">
        <v>5191</v>
      </c>
      <c r="J5108">
        <v>3</v>
      </c>
      <c r="K5108" t="s">
        <v>4744</v>
      </c>
      <c r="L5108">
        <v>16.5</v>
      </c>
      <c r="M5108">
        <v>5.5</v>
      </c>
      <c r="N5108" t="s">
        <v>5272</v>
      </c>
      <c r="O5108" t="s">
        <v>459</v>
      </c>
    </row>
    <row r="5109" spans="1:15" x14ac:dyDescent="0.3">
      <c r="A5109">
        <v>191443</v>
      </c>
      <c r="B5109">
        <v>105</v>
      </c>
      <c r="C5109" t="s">
        <v>557</v>
      </c>
      <c r="D5109" t="s">
        <v>2581</v>
      </c>
      <c r="E5109" t="s">
        <v>3704</v>
      </c>
      <c r="F5109" s="451">
        <v>46030</v>
      </c>
      <c r="G5109">
        <v>23385</v>
      </c>
      <c r="H5109" t="s">
        <v>4938</v>
      </c>
      <c r="I5109" t="s">
        <v>5191</v>
      </c>
      <c r="J5109">
        <v>0.8</v>
      </c>
      <c r="K5109" t="s">
        <v>4744</v>
      </c>
      <c r="L5109">
        <v>28</v>
      </c>
      <c r="M5109">
        <v>35</v>
      </c>
      <c r="N5109" t="s">
        <v>5272</v>
      </c>
      <c r="O5109" t="s">
        <v>459</v>
      </c>
    </row>
    <row r="5110" spans="1:15" x14ac:dyDescent="0.3">
      <c r="A5110">
        <v>191443</v>
      </c>
      <c r="B5110">
        <v>105</v>
      </c>
      <c r="C5110" t="s">
        <v>557</v>
      </c>
      <c r="D5110" t="s">
        <v>2581</v>
      </c>
      <c r="E5110" t="s">
        <v>3704</v>
      </c>
      <c r="F5110" s="451">
        <v>46030</v>
      </c>
      <c r="G5110">
        <v>23361</v>
      </c>
      <c r="H5110" t="s">
        <v>4754</v>
      </c>
      <c r="I5110" t="s">
        <v>5191</v>
      </c>
      <c r="J5110">
        <v>20</v>
      </c>
      <c r="K5110" t="s">
        <v>4744</v>
      </c>
      <c r="L5110">
        <v>62</v>
      </c>
      <c r="M5110">
        <v>3.1</v>
      </c>
      <c r="N5110" t="s">
        <v>5272</v>
      </c>
      <c r="O5110" t="s">
        <v>459</v>
      </c>
    </row>
    <row r="5111" spans="1:15" x14ac:dyDescent="0.3">
      <c r="A5111">
        <v>191443</v>
      </c>
      <c r="B5111">
        <v>105</v>
      </c>
      <c r="C5111" t="s">
        <v>557</v>
      </c>
      <c r="D5111" t="s">
        <v>2581</v>
      </c>
      <c r="E5111" t="s">
        <v>3704</v>
      </c>
      <c r="F5111" s="451">
        <v>46030</v>
      </c>
      <c r="G5111">
        <v>23095</v>
      </c>
      <c r="H5111" t="s">
        <v>4741</v>
      </c>
      <c r="I5111" t="s">
        <v>5191</v>
      </c>
      <c r="J5111">
        <v>100</v>
      </c>
      <c r="K5111" t="s">
        <v>4736</v>
      </c>
      <c r="L5111">
        <v>94</v>
      </c>
      <c r="M5111">
        <v>0.94</v>
      </c>
      <c r="N5111" t="s">
        <v>5272</v>
      </c>
      <c r="O5111" t="s">
        <v>459</v>
      </c>
    </row>
    <row r="5112" spans="1:15" x14ac:dyDescent="0.3">
      <c r="A5112">
        <v>191443</v>
      </c>
      <c r="B5112">
        <v>105</v>
      </c>
      <c r="C5112" t="s">
        <v>557</v>
      </c>
      <c r="D5112" t="s">
        <v>2581</v>
      </c>
      <c r="E5112" t="s">
        <v>3704</v>
      </c>
      <c r="F5112" s="451">
        <v>46030</v>
      </c>
      <c r="G5112">
        <v>23390</v>
      </c>
      <c r="H5112" t="s">
        <v>4873</v>
      </c>
      <c r="I5112" t="s">
        <v>5191</v>
      </c>
      <c r="J5112">
        <v>1</v>
      </c>
      <c r="K5112" t="s">
        <v>4744</v>
      </c>
      <c r="L5112">
        <v>9</v>
      </c>
      <c r="M5112">
        <v>9</v>
      </c>
      <c r="N5112" t="s">
        <v>5272</v>
      </c>
      <c r="O5112" t="s">
        <v>459</v>
      </c>
    </row>
    <row r="5113" spans="1:15" x14ac:dyDescent="0.3">
      <c r="A5113">
        <v>191443</v>
      </c>
      <c r="B5113">
        <v>105</v>
      </c>
      <c r="C5113" t="s">
        <v>557</v>
      </c>
      <c r="D5113" t="s">
        <v>2581</v>
      </c>
      <c r="E5113" t="s">
        <v>3704</v>
      </c>
      <c r="F5113" s="451">
        <v>46030</v>
      </c>
      <c r="G5113">
        <v>19532</v>
      </c>
      <c r="H5113" t="s">
        <v>4753</v>
      </c>
      <c r="I5113" t="s">
        <v>5191</v>
      </c>
      <c r="J5113">
        <v>15</v>
      </c>
      <c r="K5113" t="s">
        <v>4744</v>
      </c>
      <c r="L5113">
        <v>82.5</v>
      </c>
      <c r="M5113">
        <v>5.5</v>
      </c>
      <c r="N5113" t="s">
        <v>5272</v>
      </c>
      <c r="O5113" t="s">
        <v>459</v>
      </c>
    </row>
    <row r="5114" spans="1:15" x14ac:dyDescent="0.3">
      <c r="A5114">
        <v>191442</v>
      </c>
      <c r="B5114">
        <v>105</v>
      </c>
      <c r="C5114" t="s">
        <v>557</v>
      </c>
      <c r="D5114" t="s">
        <v>2581</v>
      </c>
      <c r="E5114" t="s">
        <v>3705</v>
      </c>
      <c r="F5114" s="451">
        <v>46030</v>
      </c>
      <c r="G5114">
        <v>23785</v>
      </c>
      <c r="H5114" t="s">
        <v>4858</v>
      </c>
      <c r="I5114" t="s">
        <v>5191</v>
      </c>
      <c r="J5114">
        <v>5</v>
      </c>
      <c r="K5114" t="s">
        <v>4744</v>
      </c>
      <c r="L5114">
        <v>210</v>
      </c>
      <c r="M5114">
        <v>42</v>
      </c>
      <c r="N5114" t="s">
        <v>5272</v>
      </c>
      <c r="O5114" t="s">
        <v>459</v>
      </c>
    </row>
    <row r="5115" spans="1:15" x14ac:dyDescent="0.3">
      <c r="A5115">
        <v>191441</v>
      </c>
      <c r="B5115">
        <v>105</v>
      </c>
      <c r="C5115" t="s">
        <v>557</v>
      </c>
      <c r="D5115" t="s">
        <v>2605</v>
      </c>
      <c r="E5115" t="s">
        <v>3706</v>
      </c>
      <c r="F5115" s="451">
        <v>46030</v>
      </c>
      <c r="G5115">
        <v>20227</v>
      </c>
      <c r="H5115" t="s">
        <v>4825</v>
      </c>
      <c r="I5115" t="s">
        <v>5191</v>
      </c>
      <c r="J5115">
        <v>5</v>
      </c>
      <c r="K5115" t="s">
        <v>4738</v>
      </c>
      <c r="L5115">
        <v>50</v>
      </c>
      <c r="M5115">
        <v>10</v>
      </c>
      <c r="N5115" t="s">
        <v>5191</v>
      </c>
      <c r="O5115" t="s">
        <v>459</v>
      </c>
    </row>
    <row r="5116" spans="1:15" x14ac:dyDescent="0.3">
      <c r="A5116">
        <v>191441</v>
      </c>
      <c r="B5116">
        <v>105</v>
      </c>
      <c r="C5116" t="s">
        <v>557</v>
      </c>
      <c r="D5116" t="s">
        <v>2605</v>
      </c>
      <c r="E5116" t="s">
        <v>3706</v>
      </c>
      <c r="F5116" s="451">
        <v>46030</v>
      </c>
      <c r="G5116">
        <v>19710</v>
      </c>
      <c r="H5116" t="s">
        <v>4963</v>
      </c>
      <c r="I5116" t="s">
        <v>5191</v>
      </c>
      <c r="J5116">
        <v>0.5</v>
      </c>
      <c r="K5116" t="s">
        <v>5228</v>
      </c>
      <c r="L5116">
        <v>10.75</v>
      </c>
      <c r="M5116">
        <v>21.5</v>
      </c>
      <c r="N5116" t="s">
        <v>5191</v>
      </c>
      <c r="O5116" t="s">
        <v>459</v>
      </c>
    </row>
    <row r="5117" spans="1:15" x14ac:dyDescent="0.3">
      <c r="A5117">
        <v>191441</v>
      </c>
      <c r="B5117">
        <v>105</v>
      </c>
      <c r="C5117" t="s">
        <v>557</v>
      </c>
      <c r="D5117" t="s">
        <v>2605</v>
      </c>
      <c r="E5117" t="s">
        <v>3706</v>
      </c>
      <c r="F5117" s="451">
        <v>46030</v>
      </c>
      <c r="G5117">
        <v>20429</v>
      </c>
      <c r="H5117" t="s">
        <v>5317</v>
      </c>
      <c r="I5117" t="s">
        <v>5191</v>
      </c>
      <c r="J5117">
        <v>1</v>
      </c>
      <c r="K5117" t="s">
        <v>4749</v>
      </c>
      <c r="L5117">
        <v>19.600000000000001</v>
      </c>
      <c r="M5117">
        <v>19.600000000000001</v>
      </c>
      <c r="N5117" t="s">
        <v>5191</v>
      </c>
      <c r="O5117" t="s">
        <v>459</v>
      </c>
    </row>
    <row r="5118" spans="1:15" x14ac:dyDescent="0.3">
      <c r="A5118">
        <v>191441</v>
      </c>
      <c r="B5118">
        <v>105</v>
      </c>
      <c r="C5118" t="s">
        <v>557</v>
      </c>
      <c r="D5118" t="s">
        <v>2605</v>
      </c>
      <c r="E5118" t="s">
        <v>3706</v>
      </c>
      <c r="F5118" s="451">
        <v>46030</v>
      </c>
      <c r="G5118">
        <v>19306</v>
      </c>
      <c r="H5118" t="s">
        <v>5111</v>
      </c>
      <c r="I5118" t="s">
        <v>5191</v>
      </c>
      <c r="J5118">
        <v>2</v>
      </c>
      <c r="K5118" t="s">
        <v>5228</v>
      </c>
      <c r="L5118">
        <v>43.8</v>
      </c>
      <c r="M5118">
        <v>21.9</v>
      </c>
      <c r="N5118" t="s">
        <v>5191</v>
      </c>
      <c r="O5118" t="s">
        <v>459</v>
      </c>
    </row>
    <row r="5119" spans="1:15" x14ac:dyDescent="0.3">
      <c r="A5119">
        <v>191441</v>
      </c>
      <c r="B5119">
        <v>105</v>
      </c>
      <c r="C5119" t="s">
        <v>557</v>
      </c>
      <c r="D5119" t="s">
        <v>2605</v>
      </c>
      <c r="E5119" t="s">
        <v>3706</v>
      </c>
      <c r="F5119" s="451">
        <v>46030</v>
      </c>
      <c r="G5119">
        <v>20689</v>
      </c>
      <c r="H5119" t="s">
        <v>5007</v>
      </c>
      <c r="I5119" t="s">
        <v>5191</v>
      </c>
      <c r="J5119">
        <v>2</v>
      </c>
      <c r="K5119" t="s">
        <v>4736</v>
      </c>
      <c r="L5119">
        <v>73.8</v>
      </c>
      <c r="M5119">
        <v>36.9</v>
      </c>
      <c r="N5119" t="s">
        <v>5191</v>
      </c>
      <c r="O5119" t="s">
        <v>459</v>
      </c>
    </row>
    <row r="5120" spans="1:15" x14ac:dyDescent="0.3">
      <c r="A5120">
        <v>191441</v>
      </c>
      <c r="B5120">
        <v>105</v>
      </c>
      <c r="C5120" t="s">
        <v>557</v>
      </c>
      <c r="D5120" t="s">
        <v>2605</v>
      </c>
      <c r="E5120" t="s">
        <v>3706</v>
      </c>
      <c r="F5120" s="451">
        <v>46030</v>
      </c>
      <c r="G5120">
        <v>19969</v>
      </c>
      <c r="H5120" t="s">
        <v>5018</v>
      </c>
      <c r="I5120" t="s">
        <v>5191</v>
      </c>
      <c r="J5120">
        <v>1</v>
      </c>
      <c r="K5120" t="s">
        <v>4888</v>
      </c>
      <c r="L5120">
        <v>10.1</v>
      </c>
      <c r="M5120">
        <v>10.1</v>
      </c>
      <c r="N5120" t="s">
        <v>5191</v>
      </c>
      <c r="O5120" t="s">
        <v>459</v>
      </c>
    </row>
    <row r="5121" spans="1:15" x14ac:dyDescent="0.3">
      <c r="A5121">
        <v>191441</v>
      </c>
      <c r="B5121">
        <v>105</v>
      </c>
      <c r="C5121" t="s">
        <v>557</v>
      </c>
      <c r="D5121" t="s">
        <v>2605</v>
      </c>
      <c r="E5121" t="s">
        <v>3706</v>
      </c>
      <c r="F5121" s="451">
        <v>46030</v>
      </c>
      <c r="G5121">
        <v>19356</v>
      </c>
      <c r="H5121" t="s">
        <v>4799</v>
      </c>
      <c r="I5121" t="s">
        <v>5191</v>
      </c>
      <c r="J5121">
        <v>10</v>
      </c>
      <c r="K5121" t="s">
        <v>4744</v>
      </c>
      <c r="L5121">
        <v>555</v>
      </c>
      <c r="M5121">
        <v>55.5</v>
      </c>
      <c r="N5121" t="s">
        <v>5191</v>
      </c>
      <c r="O5121" t="s">
        <v>459</v>
      </c>
    </row>
    <row r="5122" spans="1:15" x14ac:dyDescent="0.3">
      <c r="A5122">
        <v>191441</v>
      </c>
      <c r="B5122">
        <v>105</v>
      </c>
      <c r="C5122" t="s">
        <v>557</v>
      </c>
      <c r="D5122" t="s">
        <v>2605</v>
      </c>
      <c r="E5122" t="s">
        <v>3706</v>
      </c>
      <c r="F5122" s="451">
        <v>46030</v>
      </c>
      <c r="G5122">
        <v>20644</v>
      </c>
      <c r="H5122" t="s">
        <v>5016</v>
      </c>
      <c r="I5122" t="s">
        <v>5191</v>
      </c>
      <c r="J5122">
        <v>2</v>
      </c>
      <c r="K5122" t="s">
        <v>4736</v>
      </c>
      <c r="L5122">
        <v>7.94</v>
      </c>
      <c r="M5122">
        <v>3.97</v>
      </c>
      <c r="N5122" t="s">
        <v>5191</v>
      </c>
      <c r="O5122" t="s">
        <v>459</v>
      </c>
    </row>
    <row r="5123" spans="1:15" x14ac:dyDescent="0.3">
      <c r="A5123">
        <v>191441</v>
      </c>
      <c r="B5123">
        <v>105</v>
      </c>
      <c r="C5123" t="s">
        <v>557</v>
      </c>
      <c r="D5123" t="s">
        <v>2605</v>
      </c>
      <c r="E5123" t="s">
        <v>3706</v>
      </c>
      <c r="F5123" s="451">
        <v>46030</v>
      </c>
      <c r="G5123">
        <v>20657</v>
      </c>
      <c r="H5123" t="s">
        <v>5109</v>
      </c>
      <c r="I5123" t="s">
        <v>5191</v>
      </c>
      <c r="J5123">
        <v>2</v>
      </c>
      <c r="K5123" t="s">
        <v>5206</v>
      </c>
      <c r="L5123">
        <v>12.72</v>
      </c>
      <c r="M5123">
        <v>6.36</v>
      </c>
      <c r="N5123" t="s">
        <v>5191</v>
      </c>
      <c r="O5123" t="s">
        <v>459</v>
      </c>
    </row>
    <row r="5124" spans="1:15" x14ac:dyDescent="0.3">
      <c r="A5124">
        <v>191441</v>
      </c>
      <c r="B5124">
        <v>105</v>
      </c>
      <c r="C5124" t="s">
        <v>557</v>
      </c>
      <c r="D5124" t="s">
        <v>2605</v>
      </c>
      <c r="E5124" t="s">
        <v>3706</v>
      </c>
      <c r="F5124" s="451">
        <v>46030</v>
      </c>
      <c r="G5124">
        <v>24322</v>
      </c>
      <c r="H5124" t="s">
        <v>5064</v>
      </c>
      <c r="I5124" t="s">
        <v>5191</v>
      </c>
      <c r="J5124">
        <v>2</v>
      </c>
      <c r="K5124" t="s">
        <v>5238</v>
      </c>
      <c r="L5124">
        <v>44</v>
      </c>
      <c r="M5124">
        <v>22</v>
      </c>
      <c r="N5124" t="s">
        <v>5191</v>
      </c>
      <c r="O5124" t="s">
        <v>459</v>
      </c>
    </row>
    <row r="5125" spans="1:15" x14ac:dyDescent="0.3">
      <c r="A5125">
        <v>191441</v>
      </c>
      <c r="B5125">
        <v>105</v>
      </c>
      <c r="C5125" t="s">
        <v>557</v>
      </c>
      <c r="D5125" t="s">
        <v>2605</v>
      </c>
      <c r="E5125" t="s">
        <v>3706</v>
      </c>
      <c r="F5125" s="451">
        <v>46030</v>
      </c>
      <c r="G5125">
        <v>20007</v>
      </c>
      <c r="H5125" t="s">
        <v>5101</v>
      </c>
      <c r="I5125" t="s">
        <v>5191</v>
      </c>
      <c r="J5125">
        <v>3</v>
      </c>
      <c r="K5125" t="s">
        <v>4884</v>
      </c>
      <c r="L5125">
        <v>145.5</v>
      </c>
      <c r="M5125">
        <v>48.5</v>
      </c>
      <c r="N5125" t="s">
        <v>5191</v>
      </c>
      <c r="O5125" t="s">
        <v>459</v>
      </c>
    </row>
    <row r="5126" spans="1:15" x14ac:dyDescent="0.3">
      <c r="A5126">
        <v>191441</v>
      </c>
      <c r="B5126">
        <v>105</v>
      </c>
      <c r="C5126" t="s">
        <v>557</v>
      </c>
      <c r="D5126" t="s">
        <v>2605</v>
      </c>
      <c r="E5126" t="s">
        <v>3706</v>
      </c>
      <c r="F5126" s="451">
        <v>46030</v>
      </c>
      <c r="G5126">
        <v>21047</v>
      </c>
      <c r="H5126" t="s">
        <v>4847</v>
      </c>
      <c r="I5126" t="s">
        <v>5191</v>
      </c>
      <c r="J5126">
        <v>3</v>
      </c>
      <c r="K5126" t="s">
        <v>4848</v>
      </c>
      <c r="L5126">
        <v>367.5</v>
      </c>
      <c r="M5126">
        <v>122.5</v>
      </c>
      <c r="N5126" t="s">
        <v>5191</v>
      </c>
      <c r="O5126" t="s">
        <v>459</v>
      </c>
    </row>
    <row r="5127" spans="1:15" x14ac:dyDescent="0.3">
      <c r="A5127">
        <v>191441</v>
      </c>
      <c r="B5127">
        <v>105</v>
      </c>
      <c r="C5127" t="s">
        <v>557</v>
      </c>
      <c r="D5127" t="s">
        <v>2605</v>
      </c>
      <c r="E5127" t="s">
        <v>3706</v>
      </c>
      <c r="F5127" s="451">
        <v>46030</v>
      </c>
      <c r="G5127">
        <v>19322</v>
      </c>
      <c r="H5127" t="s">
        <v>4830</v>
      </c>
      <c r="I5127" t="s">
        <v>5191</v>
      </c>
      <c r="J5127">
        <v>12</v>
      </c>
      <c r="K5127" t="s">
        <v>4744</v>
      </c>
      <c r="L5127">
        <v>498</v>
      </c>
      <c r="M5127">
        <v>41.5</v>
      </c>
      <c r="N5127" t="s">
        <v>5191</v>
      </c>
      <c r="O5127" t="s">
        <v>459</v>
      </c>
    </row>
    <row r="5128" spans="1:15" x14ac:dyDescent="0.3">
      <c r="A5128">
        <v>191441</v>
      </c>
      <c r="B5128">
        <v>105</v>
      </c>
      <c r="C5128" t="s">
        <v>557</v>
      </c>
      <c r="D5128" t="s">
        <v>2605</v>
      </c>
      <c r="E5128" t="s">
        <v>3706</v>
      </c>
      <c r="F5128" s="451">
        <v>46030</v>
      </c>
      <c r="G5128">
        <v>19224</v>
      </c>
      <c r="H5128" t="s">
        <v>5100</v>
      </c>
      <c r="I5128" t="s">
        <v>5191</v>
      </c>
      <c r="J5128">
        <v>2</v>
      </c>
      <c r="K5128" t="s">
        <v>4736</v>
      </c>
      <c r="L5128">
        <v>495.8</v>
      </c>
      <c r="M5128">
        <v>247.9</v>
      </c>
      <c r="N5128" t="s">
        <v>5191</v>
      </c>
      <c r="O5128" t="s">
        <v>459</v>
      </c>
    </row>
    <row r="5129" spans="1:15" x14ac:dyDescent="0.3">
      <c r="A5129">
        <v>191441</v>
      </c>
      <c r="B5129">
        <v>105</v>
      </c>
      <c r="C5129" t="s">
        <v>557</v>
      </c>
      <c r="D5129" t="s">
        <v>2605</v>
      </c>
      <c r="E5129" t="s">
        <v>3706</v>
      </c>
      <c r="F5129" s="451">
        <v>46030</v>
      </c>
      <c r="G5129">
        <v>23808</v>
      </c>
      <c r="H5129" t="s">
        <v>4982</v>
      </c>
      <c r="I5129" t="s">
        <v>5191</v>
      </c>
      <c r="J5129">
        <v>1</v>
      </c>
      <c r="K5129" t="s">
        <v>4744</v>
      </c>
      <c r="L5129">
        <v>33.549999999999997</v>
      </c>
      <c r="M5129">
        <v>33.549999999999997</v>
      </c>
      <c r="N5129" t="s">
        <v>5191</v>
      </c>
      <c r="O5129" t="s">
        <v>459</v>
      </c>
    </row>
    <row r="5130" spans="1:15" x14ac:dyDescent="0.3">
      <c r="A5130">
        <v>191441</v>
      </c>
      <c r="B5130">
        <v>105</v>
      </c>
      <c r="C5130" t="s">
        <v>557</v>
      </c>
      <c r="D5130" t="s">
        <v>2605</v>
      </c>
      <c r="E5130" t="s">
        <v>3706</v>
      </c>
      <c r="F5130" s="451">
        <v>46030</v>
      </c>
      <c r="G5130">
        <v>19439</v>
      </c>
      <c r="H5130" t="s">
        <v>4917</v>
      </c>
      <c r="I5130" t="s">
        <v>5191</v>
      </c>
      <c r="J5130">
        <v>4</v>
      </c>
      <c r="K5130" t="s">
        <v>4738</v>
      </c>
      <c r="L5130">
        <v>133.52000000000001</v>
      </c>
      <c r="M5130">
        <v>33.380000000000003</v>
      </c>
      <c r="N5130" t="s">
        <v>5191</v>
      </c>
      <c r="O5130" t="s">
        <v>459</v>
      </c>
    </row>
    <row r="5131" spans="1:15" x14ac:dyDescent="0.3">
      <c r="A5131">
        <v>191441</v>
      </c>
      <c r="B5131">
        <v>105</v>
      </c>
      <c r="C5131" t="s">
        <v>557</v>
      </c>
      <c r="D5131" t="s">
        <v>2605</v>
      </c>
      <c r="E5131" t="s">
        <v>3706</v>
      </c>
      <c r="F5131" s="451">
        <v>46030</v>
      </c>
      <c r="G5131">
        <v>20624</v>
      </c>
      <c r="H5131" t="s">
        <v>5019</v>
      </c>
      <c r="I5131" t="s">
        <v>5191</v>
      </c>
      <c r="J5131">
        <v>1</v>
      </c>
      <c r="K5131" t="s">
        <v>4736</v>
      </c>
      <c r="L5131">
        <v>68.3</v>
      </c>
      <c r="M5131">
        <v>68.3</v>
      </c>
      <c r="N5131" t="s">
        <v>5191</v>
      </c>
      <c r="O5131" t="s">
        <v>459</v>
      </c>
    </row>
    <row r="5132" spans="1:15" x14ac:dyDescent="0.3">
      <c r="A5132">
        <v>191441</v>
      </c>
      <c r="B5132">
        <v>105</v>
      </c>
      <c r="C5132" t="s">
        <v>557</v>
      </c>
      <c r="D5132" t="s">
        <v>2605</v>
      </c>
      <c r="E5132" t="s">
        <v>3706</v>
      </c>
      <c r="F5132" s="451">
        <v>46030</v>
      </c>
      <c r="G5132">
        <v>21257</v>
      </c>
      <c r="H5132" t="s">
        <v>4952</v>
      </c>
      <c r="I5132" t="s">
        <v>5191</v>
      </c>
      <c r="J5132">
        <v>4</v>
      </c>
      <c r="K5132" t="s">
        <v>4736</v>
      </c>
      <c r="L5132">
        <v>75</v>
      </c>
      <c r="M5132">
        <v>18.75</v>
      </c>
      <c r="N5132" t="s">
        <v>5191</v>
      </c>
      <c r="O5132" t="s">
        <v>459</v>
      </c>
    </row>
    <row r="5133" spans="1:15" x14ac:dyDescent="0.3">
      <c r="A5133">
        <v>191441</v>
      </c>
      <c r="B5133">
        <v>105</v>
      </c>
      <c r="C5133" t="s">
        <v>557</v>
      </c>
      <c r="D5133" t="s">
        <v>2605</v>
      </c>
      <c r="E5133" t="s">
        <v>3706</v>
      </c>
      <c r="F5133" s="451">
        <v>46030</v>
      </c>
      <c r="G5133">
        <v>23819</v>
      </c>
      <c r="H5133" t="s">
        <v>4947</v>
      </c>
      <c r="I5133" t="s">
        <v>5191</v>
      </c>
      <c r="J5133">
        <v>3</v>
      </c>
      <c r="K5133" t="s">
        <v>4736</v>
      </c>
      <c r="L5133">
        <v>27.48</v>
      </c>
      <c r="M5133">
        <v>9.16</v>
      </c>
      <c r="N5133" t="s">
        <v>5191</v>
      </c>
      <c r="O5133" t="s">
        <v>459</v>
      </c>
    </row>
    <row r="5134" spans="1:15" x14ac:dyDescent="0.3">
      <c r="A5134">
        <v>191441</v>
      </c>
      <c r="B5134">
        <v>105</v>
      </c>
      <c r="C5134" t="s">
        <v>557</v>
      </c>
      <c r="D5134" t="s">
        <v>2605</v>
      </c>
      <c r="E5134" t="s">
        <v>3706</v>
      </c>
      <c r="F5134" s="451">
        <v>46030</v>
      </c>
      <c r="G5134">
        <v>19965</v>
      </c>
      <c r="H5134" t="s">
        <v>5251</v>
      </c>
      <c r="I5134" t="s">
        <v>5191</v>
      </c>
      <c r="J5134">
        <v>3</v>
      </c>
      <c r="K5134" t="s">
        <v>4736</v>
      </c>
      <c r="L5134">
        <v>39.9</v>
      </c>
      <c r="M5134">
        <v>13.3</v>
      </c>
      <c r="N5134" t="s">
        <v>5191</v>
      </c>
      <c r="O5134" t="s">
        <v>459</v>
      </c>
    </row>
    <row r="5135" spans="1:15" x14ac:dyDescent="0.3">
      <c r="A5135">
        <v>191440</v>
      </c>
      <c r="B5135">
        <v>105</v>
      </c>
      <c r="C5135" t="s">
        <v>557</v>
      </c>
      <c r="D5135" t="s">
        <v>2644</v>
      </c>
      <c r="E5135" t="s">
        <v>3707</v>
      </c>
      <c r="F5135" s="451">
        <v>46030</v>
      </c>
      <c r="G5135">
        <v>19983</v>
      </c>
      <c r="H5135" t="s">
        <v>5068</v>
      </c>
      <c r="I5135" t="s">
        <v>5191</v>
      </c>
      <c r="J5135">
        <v>2</v>
      </c>
      <c r="K5135" t="s">
        <v>5241</v>
      </c>
      <c r="L5135">
        <v>39.6</v>
      </c>
      <c r="M5135">
        <v>19.8</v>
      </c>
      <c r="N5135" t="s">
        <v>5272</v>
      </c>
      <c r="O5135" t="s">
        <v>459</v>
      </c>
    </row>
    <row r="5136" spans="1:15" x14ac:dyDescent="0.3">
      <c r="A5136">
        <v>191440</v>
      </c>
      <c r="B5136">
        <v>105</v>
      </c>
      <c r="C5136" t="s">
        <v>557</v>
      </c>
      <c r="D5136" t="s">
        <v>2644</v>
      </c>
      <c r="E5136" t="s">
        <v>3707</v>
      </c>
      <c r="F5136" s="451">
        <v>46030</v>
      </c>
      <c r="G5136">
        <v>20887</v>
      </c>
      <c r="H5136" t="s">
        <v>4953</v>
      </c>
      <c r="I5136" t="s">
        <v>5191</v>
      </c>
      <c r="J5136">
        <v>5</v>
      </c>
      <c r="K5136" t="s">
        <v>4879</v>
      </c>
      <c r="L5136">
        <v>170</v>
      </c>
      <c r="M5136">
        <v>34</v>
      </c>
      <c r="N5136" t="s">
        <v>5272</v>
      </c>
      <c r="O5136" t="s">
        <v>459</v>
      </c>
    </row>
    <row r="5137" spans="1:15" x14ac:dyDescent="0.3">
      <c r="A5137">
        <v>191440</v>
      </c>
      <c r="B5137">
        <v>105</v>
      </c>
      <c r="C5137" t="s">
        <v>557</v>
      </c>
      <c r="D5137" t="s">
        <v>2644</v>
      </c>
      <c r="E5137" t="s">
        <v>3707</v>
      </c>
      <c r="F5137" s="451">
        <v>46030</v>
      </c>
      <c r="G5137">
        <v>20871</v>
      </c>
      <c r="H5137" t="s">
        <v>5015</v>
      </c>
      <c r="I5137" t="s">
        <v>5191</v>
      </c>
      <c r="J5137">
        <v>1</v>
      </c>
      <c r="K5137" t="s">
        <v>4879</v>
      </c>
      <c r="L5137">
        <v>18.899999999999999</v>
      </c>
      <c r="M5137">
        <v>18.899999999999999</v>
      </c>
      <c r="N5137" t="s">
        <v>5272</v>
      </c>
      <c r="O5137" t="s">
        <v>459</v>
      </c>
    </row>
    <row r="5138" spans="1:15" x14ac:dyDescent="0.3">
      <c r="A5138">
        <v>191440</v>
      </c>
      <c r="B5138">
        <v>105</v>
      </c>
      <c r="C5138" t="s">
        <v>557</v>
      </c>
      <c r="D5138" t="s">
        <v>2644</v>
      </c>
      <c r="E5138" t="s">
        <v>3707</v>
      </c>
      <c r="F5138" s="451">
        <v>46030</v>
      </c>
      <c r="G5138">
        <v>19415</v>
      </c>
      <c r="H5138" t="s">
        <v>4919</v>
      </c>
      <c r="I5138" t="s">
        <v>5191</v>
      </c>
      <c r="J5138">
        <v>2</v>
      </c>
      <c r="K5138" t="s">
        <v>4736</v>
      </c>
      <c r="L5138">
        <v>27.98</v>
      </c>
      <c r="M5138">
        <v>13.99</v>
      </c>
      <c r="N5138" t="s">
        <v>5272</v>
      </c>
      <c r="O5138" t="s">
        <v>459</v>
      </c>
    </row>
    <row r="5139" spans="1:15" x14ac:dyDescent="0.3">
      <c r="A5139">
        <v>191440</v>
      </c>
      <c r="B5139">
        <v>105</v>
      </c>
      <c r="C5139" t="s">
        <v>557</v>
      </c>
      <c r="D5139" t="s">
        <v>2644</v>
      </c>
      <c r="E5139" t="s">
        <v>3707</v>
      </c>
      <c r="F5139" s="451">
        <v>46030</v>
      </c>
      <c r="G5139">
        <v>20382</v>
      </c>
      <c r="H5139" t="s">
        <v>4780</v>
      </c>
      <c r="I5139" t="s">
        <v>5191</v>
      </c>
      <c r="J5139">
        <v>20</v>
      </c>
      <c r="K5139" t="s">
        <v>5238</v>
      </c>
      <c r="L5139">
        <v>179.8</v>
      </c>
      <c r="M5139">
        <v>8.99</v>
      </c>
      <c r="N5139" t="s">
        <v>5272</v>
      </c>
      <c r="O5139" t="s">
        <v>459</v>
      </c>
    </row>
    <row r="5140" spans="1:15" x14ac:dyDescent="0.3">
      <c r="A5140">
        <v>191440</v>
      </c>
      <c r="B5140">
        <v>105</v>
      </c>
      <c r="C5140" t="s">
        <v>557</v>
      </c>
      <c r="D5140" t="s">
        <v>2644</v>
      </c>
      <c r="E5140" t="s">
        <v>3707</v>
      </c>
      <c r="F5140" s="451">
        <v>46030</v>
      </c>
      <c r="G5140">
        <v>20105</v>
      </c>
      <c r="H5140" t="s">
        <v>4831</v>
      </c>
      <c r="I5140" t="s">
        <v>5191</v>
      </c>
      <c r="J5140">
        <v>5</v>
      </c>
      <c r="K5140" t="s">
        <v>4744</v>
      </c>
      <c r="L5140">
        <v>131.44999999999999</v>
      </c>
      <c r="M5140">
        <v>26.29</v>
      </c>
      <c r="N5140" t="s">
        <v>5272</v>
      </c>
      <c r="O5140" t="s">
        <v>459</v>
      </c>
    </row>
    <row r="5141" spans="1:15" x14ac:dyDescent="0.3">
      <c r="A5141">
        <v>191440</v>
      </c>
      <c r="B5141">
        <v>105</v>
      </c>
      <c r="C5141" t="s">
        <v>557</v>
      </c>
      <c r="D5141" t="s">
        <v>2644</v>
      </c>
      <c r="E5141" t="s">
        <v>3707</v>
      </c>
      <c r="F5141" s="451">
        <v>46030</v>
      </c>
      <c r="G5141">
        <v>23088</v>
      </c>
      <c r="H5141" t="s">
        <v>5027</v>
      </c>
      <c r="I5141" t="s">
        <v>5191</v>
      </c>
      <c r="J5141">
        <v>2</v>
      </c>
      <c r="K5141" t="s">
        <v>4736</v>
      </c>
      <c r="L5141">
        <v>49.98</v>
      </c>
      <c r="M5141">
        <v>24.99</v>
      </c>
      <c r="N5141" t="s">
        <v>5272</v>
      </c>
      <c r="O5141" t="s">
        <v>459</v>
      </c>
    </row>
    <row r="5142" spans="1:15" x14ac:dyDescent="0.3">
      <c r="A5142">
        <v>191440</v>
      </c>
      <c r="B5142">
        <v>105</v>
      </c>
      <c r="C5142" t="s">
        <v>557</v>
      </c>
      <c r="D5142" t="s">
        <v>2644</v>
      </c>
      <c r="E5142" t="s">
        <v>3707</v>
      </c>
      <c r="F5142" s="451">
        <v>46030</v>
      </c>
      <c r="G5142">
        <v>23934</v>
      </c>
      <c r="H5142" t="s">
        <v>4845</v>
      </c>
      <c r="I5142" t="s">
        <v>5191</v>
      </c>
      <c r="J5142">
        <v>5</v>
      </c>
      <c r="K5142" t="s">
        <v>4736</v>
      </c>
      <c r="L5142">
        <v>54.5</v>
      </c>
      <c r="M5142">
        <v>10.9</v>
      </c>
      <c r="N5142" t="s">
        <v>5272</v>
      </c>
      <c r="O5142" t="s">
        <v>459</v>
      </c>
    </row>
    <row r="5143" spans="1:15" x14ac:dyDescent="0.3">
      <c r="A5143">
        <v>191438</v>
      </c>
      <c r="B5143">
        <v>105</v>
      </c>
      <c r="C5143" t="s">
        <v>557</v>
      </c>
      <c r="D5143" t="s">
        <v>3646</v>
      </c>
      <c r="E5143" t="s">
        <v>3708</v>
      </c>
      <c r="F5143" s="451">
        <v>46034</v>
      </c>
      <c r="G5143">
        <v>27264</v>
      </c>
      <c r="H5143" t="s">
        <v>5075</v>
      </c>
      <c r="I5143" t="s">
        <v>5191</v>
      </c>
      <c r="J5143">
        <v>24.71</v>
      </c>
      <c r="K5143" t="s">
        <v>4744</v>
      </c>
      <c r="L5143">
        <v>1351.47</v>
      </c>
      <c r="M5143">
        <v>54.693241999999998</v>
      </c>
      <c r="N5143" t="s">
        <v>5272</v>
      </c>
      <c r="O5143" t="s">
        <v>459</v>
      </c>
    </row>
    <row r="5144" spans="1:15" x14ac:dyDescent="0.3">
      <c r="A5144">
        <v>191147</v>
      </c>
      <c r="B5144">
        <v>105</v>
      </c>
      <c r="C5144" t="s">
        <v>557</v>
      </c>
      <c r="D5144" t="s">
        <v>3709</v>
      </c>
      <c r="E5144" t="s">
        <v>3710</v>
      </c>
      <c r="F5144" s="451">
        <v>46028</v>
      </c>
      <c r="G5144">
        <v>27123</v>
      </c>
      <c r="H5144" t="s">
        <v>5414</v>
      </c>
      <c r="I5144" t="s">
        <v>5205</v>
      </c>
      <c r="J5144">
        <v>1</v>
      </c>
      <c r="K5144" t="s">
        <v>4736</v>
      </c>
      <c r="L5144">
        <v>107.33</v>
      </c>
      <c r="M5144">
        <v>107.33</v>
      </c>
      <c r="N5144" t="s">
        <v>1296</v>
      </c>
      <c r="O5144" t="s">
        <v>459</v>
      </c>
    </row>
    <row r="5145" spans="1:15" x14ac:dyDescent="0.3">
      <c r="A5145">
        <v>191147</v>
      </c>
      <c r="B5145">
        <v>105</v>
      </c>
      <c r="C5145" t="s">
        <v>557</v>
      </c>
      <c r="D5145" t="s">
        <v>3709</v>
      </c>
      <c r="E5145" t="s">
        <v>3710</v>
      </c>
      <c r="F5145" s="451">
        <v>46028</v>
      </c>
      <c r="G5145">
        <v>27726</v>
      </c>
      <c r="H5145" t="s">
        <v>5415</v>
      </c>
      <c r="I5145" t="s">
        <v>5205</v>
      </c>
      <c r="J5145">
        <v>1</v>
      </c>
      <c r="K5145" t="s">
        <v>4736</v>
      </c>
      <c r="L5145">
        <v>357</v>
      </c>
      <c r="M5145">
        <v>357</v>
      </c>
      <c r="N5145" t="s">
        <v>1296</v>
      </c>
      <c r="O5145" t="s">
        <v>459</v>
      </c>
    </row>
    <row r="5146" spans="1:15" x14ac:dyDescent="0.3">
      <c r="A5146">
        <v>191147</v>
      </c>
      <c r="B5146">
        <v>105</v>
      </c>
      <c r="C5146" t="s">
        <v>557</v>
      </c>
      <c r="D5146" t="s">
        <v>3709</v>
      </c>
      <c r="E5146" t="s">
        <v>3710</v>
      </c>
      <c r="F5146" s="451">
        <v>46028</v>
      </c>
      <c r="G5146">
        <v>27727</v>
      </c>
      <c r="H5146" t="s">
        <v>5416</v>
      </c>
      <c r="I5146" t="s">
        <v>5205</v>
      </c>
      <c r="J5146">
        <v>1</v>
      </c>
      <c r="K5146" t="s">
        <v>4736</v>
      </c>
      <c r="L5146">
        <v>48.29</v>
      </c>
      <c r="M5146">
        <v>48.29</v>
      </c>
      <c r="N5146" t="s">
        <v>1296</v>
      </c>
      <c r="O5146" t="s">
        <v>459</v>
      </c>
    </row>
    <row r="5147" spans="1:15" x14ac:dyDescent="0.3">
      <c r="A5147">
        <v>191146</v>
      </c>
      <c r="B5147">
        <v>105</v>
      </c>
      <c r="C5147" t="s">
        <v>557</v>
      </c>
      <c r="D5147" t="s">
        <v>2697</v>
      </c>
      <c r="E5147" t="s">
        <v>3711</v>
      </c>
      <c r="F5147" s="451">
        <v>46030</v>
      </c>
      <c r="G5147">
        <v>23974</v>
      </c>
      <c r="H5147" t="s">
        <v>4862</v>
      </c>
      <c r="I5147" t="s">
        <v>5222</v>
      </c>
      <c r="J5147">
        <v>4</v>
      </c>
      <c r="K5147" t="s">
        <v>4738</v>
      </c>
      <c r="L5147">
        <v>224.64</v>
      </c>
      <c r="M5147">
        <v>56.16</v>
      </c>
      <c r="N5147" t="s">
        <v>5271</v>
      </c>
      <c r="O5147" t="s">
        <v>459</v>
      </c>
    </row>
    <row r="5148" spans="1:15" x14ac:dyDescent="0.3">
      <c r="A5148">
        <v>191144</v>
      </c>
      <c r="B5148">
        <v>105</v>
      </c>
      <c r="C5148" t="s">
        <v>557</v>
      </c>
      <c r="D5148" t="s">
        <v>2644</v>
      </c>
      <c r="E5148" t="s">
        <v>3712</v>
      </c>
      <c r="F5148" s="451">
        <v>46027</v>
      </c>
      <c r="G5148">
        <v>17399</v>
      </c>
      <c r="H5148" t="s">
        <v>5244</v>
      </c>
      <c r="I5148" t="s">
        <v>5188</v>
      </c>
      <c r="J5148">
        <v>1</v>
      </c>
      <c r="K5148" t="s">
        <v>5245</v>
      </c>
      <c r="L5148">
        <v>18.899999999999999</v>
      </c>
      <c r="M5148">
        <v>18.899999999999999</v>
      </c>
      <c r="N5148" t="s">
        <v>5277</v>
      </c>
      <c r="O5148" t="s">
        <v>459</v>
      </c>
    </row>
    <row r="5149" spans="1:15" x14ac:dyDescent="0.3">
      <c r="A5149">
        <v>191144</v>
      </c>
      <c r="B5149">
        <v>105</v>
      </c>
      <c r="C5149" t="s">
        <v>557</v>
      </c>
      <c r="D5149" t="s">
        <v>2644</v>
      </c>
      <c r="E5149" t="s">
        <v>3712</v>
      </c>
      <c r="F5149" s="451">
        <v>46027</v>
      </c>
      <c r="G5149">
        <v>17397</v>
      </c>
      <c r="H5149" t="s">
        <v>5246</v>
      </c>
      <c r="I5149" t="s">
        <v>5188</v>
      </c>
      <c r="J5149">
        <v>1</v>
      </c>
      <c r="K5149" t="s">
        <v>5245</v>
      </c>
      <c r="L5149">
        <v>31.82</v>
      </c>
      <c r="M5149">
        <v>31.82</v>
      </c>
      <c r="N5149" t="s">
        <v>5277</v>
      </c>
      <c r="O5149" t="s">
        <v>459</v>
      </c>
    </row>
    <row r="5150" spans="1:15" x14ac:dyDescent="0.3">
      <c r="A5150">
        <v>191144</v>
      </c>
      <c r="B5150">
        <v>105</v>
      </c>
      <c r="C5150" t="s">
        <v>557</v>
      </c>
      <c r="D5150" t="s">
        <v>2644</v>
      </c>
      <c r="E5150" t="s">
        <v>3712</v>
      </c>
      <c r="F5150" s="451">
        <v>46027</v>
      </c>
      <c r="G5150">
        <v>21423</v>
      </c>
      <c r="H5150" t="s">
        <v>5248</v>
      </c>
      <c r="I5150" t="s">
        <v>5188</v>
      </c>
      <c r="J5150">
        <v>1</v>
      </c>
      <c r="K5150" t="s">
        <v>5245</v>
      </c>
      <c r="L5150">
        <v>31.82</v>
      </c>
      <c r="M5150">
        <v>31.82</v>
      </c>
      <c r="N5150" t="s">
        <v>5277</v>
      </c>
      <c r="O5150" t="s">
        <v>459</v>
      </c>
    </row>
    <row r="5151" spans="1:15" x14ac:dyDescent="0.3">
      <c r="A5151">
        <v>191143</v>
      </c>
      <c r="B5151">
        <v>105</v>
      </c>
      <c r="C5151" t="s">
        <v>557</v>
      </c>
      <c r="D5151" t="s">
        <v>2571</v>
      </c>
      <c r="E5151" t="s">
        <v>3713</v>
      </c>
      <c r="F5151" s="451">
        <v>46030</v>
      </c>
      <c r="G5151">
        <v>20242</v>
      </c>
      <c r="H5151" t="s">
        <v>4824</v>
      </c>
      <c r="I5151" t="s">
        <v>5191</v>
      </c>
      <c r="J5151">
        <v>5</v>
      </c>
      <c r="K5151" t="s">
        <v>4738</v>
      </c>
      <c r="L5151">
        <v>70.900000000000006</v>
      </c>
      <c r="M5151">
        <v>14.18</v>
      </c>
      <c r="N5151" t="s">
        <v>5272</v>
      </c>
      <c r="O5151" t="s">
        <v>459</v>
      </c>
    </row>
    <row r="5152" spans="1:15" x14ac:dyDescent="0.3">
      <c r="A5152">
        <v>191143</v>
      </c>
      <c r="B5152">
        <v>105</v>
      </c>
      <c r="C5152" t="s">
        <v>557</v>
      </c>
      <c r="D5152" t="s">
        <v>2571</v>
      </c>
      <c r="E5152" t="s">
        <v>3713</v>
      </c>
      <c r="F5152" s="451">
        <v>46030</v>
      </c>
      <c r="G5152">
        <v>20809</v>
      </c>
      <c r="H5152" t="s">
        <v>4822</v>
      </c>
      <c r="I5152" t="s">
        <v>5191</v>
      </c>
      <c r="J5152">
        <v>10</v>
      </c>
      <c r="K5152" t="s">
        <v>4738</v>
      </c>
      <c r="L5152">
        <v>218.4</v>
      </c>
      <c r="M5152">
        <v>21.84</v>
      </c>
      <c r="N5152" t="s">
        <v>5272</v>
      </c>
      <c r="O5152" t="s">
        <v>459</v>
      </c>
    </row>
    <row r="5153" spans="1:15" x14ac:dyDescent="0.3">
      <c r="A5153">
        <v>191143</v>
      </c>
      <c r="B5153">
        <v>105</v>
      </c>
      <c r="C5153" t="s">
        <v>557</v>
      </c>
      <c r="D5153" t="s">
        <v>2571</v>
      </c>
      <c r="E5153" t="s">
        <v>3713</v>
      </c>
      <c r="F5153" s="451">
        <v>46030</v>
      </c>
      <c r="G5153">
        <v>20653</v>
      </c>
      <c r="H5153" t="s">
        <v>5013</v>
      </c>
      <c r="I5153" t="s">
        <v>5191</v>
      </c>
      <c r="J5153">
        <v>1</v>
      </c>
      <c r="K5153" t="s">
        <v>4736</v>
      </c>
      <c r="L5153">
        <v>24.7</v>
      </c>
      <c r="M5153">
        <v>24.7</v>
      </c>
      <c r="N5153" t="s">
        <v>5272</v>
      </c>
      <c r="O5153" t="s">
        <v>459</v>
      </c>
    </row>
    <row r="5154" spans="1:15" x14ac:dyDescent="0.3">
      <c r="A5154">
        <v>191143</v>
      </c>
      <c r="B5154">
        <v>105</v>
      </c>
      <c r="C5154" t="s">
        <v>557</v>
      </c>
      <c r="D5154" t="s">
        <v>2571</v>
      </c>
      <c r="E5154" t="s">
        <v>3713</v>
      </c>
      <c r="F5154" s="451">
        <v>46030</v>
      </c>
      <c r="G5154">
        <v>21060</v>
      </c>
      <c r="H5154" t="s">
        <v>4946</v>
      </c>
      <c r="I5154" t="s">
        <v>5191</v>
      </c>
      <c r="J5154">
        <v>1</v>
      </c>
      <c r="K5154" t="s">
        <v>4736</v>
      </c>
      <c r="L5154">
        <v>25.9</v>
      </c>
      <c r="M5154">
        <v>25.9</v>
      </c>
      <c r="N5154" t="s">
        <v>5272</v>
      </c>
      <c r="O5154" t="s">
        <v>459</v>
      </c>
    </row>
    <row r="5155" spans="1:15" x14ac:dyDescent="0.3">
      <c r="A5155">
        <v>191143</v>
      </c>
      <c r="B5155">
        <v>105</v>
      </c>
      <c r="C5155" t="s">
        <v>557</v>
      </c>
      <c r="D5155" t="s">
        <v>2571</v>
      </c>
      <c r="E5155" t="s">
        <v>3713</v>
      </c>
      <c r="F5155" s="451">
        <v>46030</v>
      </c>
      <c r="G5155">
        <v>21093</v>
      </c>
      <c r="H5155" t="s">
        <v>4855</v>
      </c>
      <c r="I5155" t="s">
        <v>5191</v>
      </c>
      <c r="J5155">
        <v>20</v>
      </c>
      <c r="K5155" t="s">
        <v>4736</v>
      </c>
      <c r="L5155">
        <v>93.8</v>
      </c>
      <c r="M5155">
        <v>4.6900000000000004</v>
      </c>
      <c r="N5155" t="s">
        <v>5272</v>
      </c>
      <c r="O5155" t="s">
        <v>459</v>
      </c>
    </row>
    <row r="5156" spans="1:15" x14ac:dyDescent="0.3">
      <c r="A5156">
        <v>191143</v>
      </c>
      <c r="B5156">
        <v>105</v>
      </c>
      <c r="C5156" t="s">
        <v>557</v>
      </c>
      <c r="D5156" t="s">
        <v>2571</v>
      </c>
      <c r="E5156" t="s">
        <v>3713</v>
      </c>
      <c r="F5156" s="451">
        <v>46030</v>
      </c>
      <c r="G5156">
        <v>21021</v>
      </c>
      <c r="H5156" t="s">
        <v>4883</v>
      </c>
      <c r="I5156" t="s">
        <v>5191</v>
      </c>
      <c r="J5156">
        <v>4</v>
      </c>
      <c r="K5156" t="s">
        <v>4736</v>
      </c>
      <c r="L5156">
        <v>741.16</v>
      </c>
      <c r="M5156">
        <v>185.29</v>
      </c>
      <c r="N5156" t="s">
        <v>5272</v>
      </c>
      <c r="O5156" t="s">
        <v>459</v>
      </c>
    </row>
    <row r="5157" spans="1:15" x14ac:dyDescent="0.3">
      <c r="A5157">
        <v>191143</v>
      </c>
      <c r="B5157">
        <v>105</v>
      </c>
      <c r="C5157" t="s">
        <v>557</v>
      </c>
      <c r="D5157" t="s">
        <v>2571</v>
      </c>
      <c r="E5157" t="s">
        <v>3713</v>
      </c>
      <c r="F5157" s="451">
        <v>46030</v>
      </c>
      <c r="G5157">
        <v>20301</v>
      </c>
      <c r="H5157" t="s">
        <v>4944</v>
      </c>
      <c r="I5157" t="s">
        <v>5191</v>
      </c>
      <c r="J5157">
        <v>6</v>
      </c>
      <c r="K5157" t="s">
        <v>4738</v>
      </c>
      <c r="L5157">
        <v>124.68</v>
      </c>
      <c r="M5157">
        <v>20.78</v>
      </c>
      <c r="N5157" t="s">
        <v>5272</v>
      </c>
      <c r="O5157" t="s">
        <v>459</v>
      </c>
    </row>
    <row r="5158" spans="1:15" x14ac:dyDescent="0.3">
      <c r="A5158">
        <v>191143</v>
      </c>
      <c r="B5158">
        <v>105</v>
      </c>
      <c r="C5158" t="s">
        <v>557</v>
      </c>
      <c r="D5158" t="s">
        <v>2571</v>
      </c>
      <c r="E5158" t="s">
        <v>3713</v>
      </c>
      <c r="F5158" s="451">
        <v>46030</v>
      </c>
      <c r="G5158">
        <v>25022</v>
      </c>
      <c r="H5158" t="s">
        <v>4912</v>
      </c>
      <c r="I5158" t="s">
        <v>5191</v>
      </c>
      <c r="J5158">
        <v>4</v>
      </c>
      <c r="K5158" t="s">
        <v>4738</v>
      </c>
      <c r="L5158">
        <v>14.8</v>
      </c>
      <c r="M5158">
        <v>3.7</v>
      </c>
      <c r="N5158" t="s">
        <v>5272</v>
      </c>
      <c r="O5158" t="s">
        <v>459</v>
      </c>
    </row>
    <row r="5159" spans="1:15" x14ac:dyDescent="0.3">
      <c r="A5159">
        <v>191143</v>
      </c>
      <c r="B5159">
        <v>105</v>
      </c>
      <c r="C5159" t="s">
        <v>557</v>
      </c>
      <c r="D5159" t="s">
        <v>2571</v>
      </c>
      <c r="E5159" t="s">
        <v>3713</v>
      </c>
      <c r="F5159" s="451">
        <v>46030</v>
      </c>
      <c r="G5159">
        <v>25807</v>
      </c>
      <c r="H5159" t="s">
        <v>4951</v>
      </c>
      <c r="I5159" t="s">
        <v>5191</v>
      </c>
      <c r="J5159">
        <v>1</v>
      </c>
      <c r="K5159" t="s">
        <v>4736</v>
      </c>
      <c r="L5159">
        <v>202</v>
      </c>
      <c r="M5159">
        <v>202</v>
      </c>
      <c r="N5159" t="s">
        <v>5272</v>
      </c>
      <c r="O5159" t="s">
        <v>459</v>
      </c>
    </row>
    <row r="5160" spans="1:15" x14ac:dyDescent="0.3">
      <c r="A5160">
        <v>191143</v>
      </c>
      <c r="B5160">
        <v>105</v>
      </c>
      <c r="C5160" t="s">
        <v>557</v>
      </c>
      <c r="D5160" t="s">
        <v>2571</v>
      </c>
      <c r="E5160" t="s">
        <v>3713</v>
      </c>
      <c r="F5160" s="451">
        <v>46030</v>
      </c>
      <c r="G5160">
        <v>26020</v>
      </c>
      <c r="H5160" t="s">
        <v>5102</v>
      </c>
      <c r="I5160" t="s">
        <v>5191</v>
      </c>
      <c r="J5160">
        <v>4</v>
      </c>
      <c r="K5160" t="s">
        <v>4736</v>
      </c>
      <c r="L5160">
        <v>57.52</v>
      </c>
      <c r="M5160">
        <v>14.38</v>
      </c>
      <c r="N5160" t="s">
        <v>5272</v>
      </c>
      <c r="O5160" t="s">
        <v>459</v>
      </c>
    </row>
    <row r="5161" spans="1:15" x14ac:dyDescent="0.3">
      <c r="A5161">
        <v>191143</v>
      </c>
      <c r="B5161">
        <v>105</v>
      </c>
      <c r="C5161" t="s">
        <v>557</v>
      </c>
      <c r="D5161" t="s">
        <v>2571</v>
      </c>
      <c r="E5161" t="s">
        <v>3713</v>
      </c>
      <c r="F5161" s="451">
        <v>46030</v>
      </c>
      <c r="G5161">
        <v>19421</v>
      </c>
      <c r="H5161" t="s">
        <v>4918</v>
      </c>
      <c r="I5161" t="s">
        <v>5191</v>
      </c>
      <c r="J5161">
        <v>2</v>
      </c>
      <c r="K5161" t="s">
        <v>4749</v>
      </c>
      <c r="L5161">
        <v>105.96</v>
      </c>
      <c r="M5161">
        <v>52.98</v>
      </c>
      <c r="N5161" t="s">
        <v>5272</v>
      </c>
      <c r="O5161" t="s">
        <v>459</v>
      </c>
    </row>
    <row r="5162" spans="1:15" x14ac:dyDescent="0.3">
      <c r="A5162">
        <v>191143</v>
      </c>
      <c r="B5162">
        <v>105</v>
      </c>
      <c r="C5162" t="s">
        <v>557</v>
      </c>
      <c r="D5162" t="s">
        <v>2571</v>
      </c>
      <c r="E5162" t="s">
        <v>3713</v>
      </c>
      <c r="F5162" s="451">
        <v>46030</v>
      </c>
      <c r="G5162">
        <v>23884</v>
      </c>
      <c r="H5162" t="s">
        <v>5070</v>
      </c>
      <c r="I5162" t="s">
        <v>5191</v>
      </c>
      <c r="J5162">
        <v>3</v>
      </c>
      <c r="K5162" t="s">
        <v>4736</v>
      </c>
      <c r="L5162">
        <v>27.45</v>
      </c>
      <c r="M5162">
        <v>9.15</v>
      </c>
      <c r="N5162" t="s">
        <v>5272</v>
      </c>
      <c r="O5162" t="s">
        <v>459</v>
      </c>
    </row>
    <row r="5163" spans="1:15" x14ac:dyDescent="0.3">
      <c r="A5163">
        <v>191143</v>
      </c>
      <c r="B5163">
        <v>105</v>
      </c>
      <c r="C5163" t="s">
        <v>557</v>
      </c>
      <c r="D5163" t="s">
        <v>2571</v>
      </c>
      <c r="E5163" t="s">
        <v>3713</v>
      </c>
      <c r="F5163" s="451">
        <v>46030</v>
      </c>
      <c r="G5163">
        <v>25237</v>
      </c>
      <c r="H5163" t="s">
        <v>5143</v>
      </c>
      <c r="I5163" t="s">
        <v>5191</v>
      </c>
      <c r="J5163">
        <v>15</v>
      </c>
      <c r="K5163" t="s">
        <v>4738</v>
      </c>
      <c r="L5163">
        <v>83.85</v>
      </c>
      <c r="M5163">
        <v>5.59</v>
      </c>
      <c r="N5163" t="s">
        <v>5272</v>
      </c>
      <c r="O5163" t="s">
        <v>459</v>
      </c>
    </row>
    <row r="5164" spans="1:15" x14ac:dyDescent="0.3">
      <c r="A5164">
        <v>191143</v>
      </c>
      <c r="B5164">
        <v>105</v>
      </c>
      <c r="C5164" t="s">
        <v>557</v>
      </c>
      <c r="D5164" t="s">
        <v>2571</v>
      </c>
      <c r="E5164" t="s">
        <v>3713</v>
      </c>
      <c r="F5164" s="451">
        <v>46030</v>
      </c>
      <c r="G5164">
        <v>20984</v>
      </c>
      <c r="H5164" t="s">
        <v>5133</v>
      </c>
      <c r="I5164" t="s">
        <v>5191</v>
      </c>
      <c r="J5164">
        <v>24</v>
      </c>
      <c r="K5164" t="s">
        <v>4888</v>
      </c>
      <c r="L5164">
        <v>218.16</v>
      </c>
      <c r="M5164">
        <v>9.09</v>
      </c>
      <c r="N5164" t="s">
        <v>5272</v>
      </c>
      <c r="O5164" t="s">
        <v>459</v>
      </c>
    </row>
    <row r="5165" spans="1:15" x14ac:dyDescent="0.3">
      <c r="A5165">
        <v>191143</v>
      </c>
      <c r="B5165">
        <v>105</v>
      </c>
      <c r="C5165" t="s">
        <v>557</v>
      </c>
      <c r="D5165" t="s">
        <v>2571</v>
      </c>
      <c r="E5165" t="s">
        <v>3713</v>
      </c>
      <c r="F5165" s="451">
        <v>46030</v>
      </c>
      <c r="G5165">
        <v>27397</v>
      </c>
      <c r="H5165" t="s">
        <v>4913</v>
      </c>
      <c r="I5165" t="s">
        <v>5191</v>
      </c>
      <c r="J5165">
        <v>5</v>
      </c>
      <c r="K5165" t="s">
        <v>4736</v>
      </c>
      <c r="L5165">
        <v>314.89999999999998</v>
      </c>
      <c r="M5165">
        <v>62.98</v>
      </c>
      <c r="N5165" t="s">
        <v>5272</v>
      </c>
      <c r="O5165" t="s">
        <v>459</v>
      </c>
    </row>
    <row r="5166" spans="1:15" x14ac:dyDescent="0.3">
      <c r="A5166">
        <v>191143</v>
      </c>
      <c r="B5166">
        <v>105</v>
      </c>
      <c r="C5166" t="s">
        <v>557</v>
      </c>
      <c r="D5166" t="s">
        <v>2571</v>
      </c>
      <c r="E5166" t="s">
        <v>3713</v>
      </c>
      <c r="F5166" s="451">
        <v>46030</v>
      </c>
      <c r="G5166">
        <v>19916</v>
      </c>
      <c r="H5166" t="s">
        <v>4826</v>
      </c>
      <c r="I5166" t="s">
        <v>5191</v>
      </c>
      <c r="J5166">
        <v>10</v>
      </c>
      <c r="K5166" t="s">
        <v>4738</v>
      </c>
      <c r="L5166">
        <v>34.5</v>
      </c>
      <c r="M5166">
        <v>3.45</v>
      </c>
      <c r="N5166" t="s">
        <v>5272</v>
      </c>
      <c r="O5166" t="s">
        <v>459</v>
      </c>
    </row>
    <row r="5167" spans="1:15" x14ac:dyDescent="0.3">
      <c r="A5167">
        <v>191143</v>
      </c>
      <c r="B5167">
        <v>105</v>
      </c>
      <c r="C5167" t="s">
        <v>557</v>
      </c>
      <c r="D5167" t="s">
        <v>2571</v>
      </c>
      <c r="E5167" t="s">
        <v>3713</v>
      </c>
      <c r="F5167" s="451">
        <v>46030</v>
      </c>
      <c r="G5167">
        <v>19967</v>
      </c>
      <c r="H5167" t="s">
        <v>4956</v>
      </c>
      <c r="I5167" t="s">
        <v>5191</v>
      </c>
      <c r="J5167">
        <v>1</v>
      </c>
      <c r="K5167" t="s">
        <v>4848</v>
      </c>
      <c r="L5167">
        <v>49.88</v>
      </c>
      <c r="M5167">
        <v>49.88</v>
      </c>
      <c r="N5167" t="s">
        <v>5272</v>
      </c>
      <c r="O5167" t="s">
        <v>459</v>
      </c>
    </row>
    <row r="5168" spans="1:15" x14ac:dyDescent="0.3">
      <c r="A5168">
        <v>191143</v>
      </c>
      <c r="B5168">
        <v>105</v>
      </c>
      <c r="C5168" t="s">
        <v>557</v>
      </c>
      <c r="D5168" t="s">
        <v>2571</v>
      </c>
      <c r="E5168" t="s">
        <v>3713</v>
      </c>
      <c r="F5168" s="451">
        <v>46030</v>
      </c>
      <c r="G5168">
        <v>19906</v>
      </c>
      <c r="H5168" t="s">
        <v>5159</v>
      </c>
      <c r="I5168" t="s">
        <v>5191</v>
      </c>
      <c r="J5168">
        <v>10</v>
      </c>
      <c r="K5168" t="s">
        <v>4738</v>
      </c>
      <c r="L5168">
        <v>33.6</v>
      </c>
      <c r="M5168">
        <v>3.36</v>
      </c>
      <c r="N5168" t="s">
        <v>5272</v>
      </c>
      <c r="O5168" t="s">
        <v>459</v>
      </c>
    </row>
    <row r="5169" spans="1:15" x14ac:dyDescent="0.3">
      <c r="A5169">
        <v>191141</v>
      </c>
      <c r="B5169">
        <v>105</v>
      </c>
      <c r="C5169" t="s">
        <v>557</v>
      </c>
      <c r="D5169" t="s">
        <v>2563</v>
      </c>
      <c r="E5169" t="s">
        <v>3714</v>
      </c>
      <c r="F5169" s="451">
        <v>46029</v>
      </c>
      <c r="G5169">
        <v>19654</v>
      </c>
      <c r="H5169" t="s">
        <v>5099</v>
      </c>
      <c r="I5169" t="s">
        <v>5191</v>
      </c>
      <c r="J5169">
        <v>4</v>
      </c>
      <c r="K5169" t="s">
        <v>4744</v>
      </c>
      <c r="L5169">
        <v>14.52</v>
      </c>
      <c r="M5169">
        <v>3.63</v>
      </c>
      <c r="N5169" t="s">
        <v>5272</v>
      </c>
      <c r="O5169" t="s">
        <v>459</v>
      </c>
    </row>
    <row r="5170" spans="1:15" x14ac:dyDescent="0.3">
      <c r="A5170">
        <v>191141</v>
      </c>
      <c r="B5170">
        <v>105</v>
      </c>
      <c r="C5170" t="s">
        <v>557</v>
      </c>
      <c r="D5170" t="s">
        <v>2563</v>
      </c>
      <c r="E5170" t="s">
        <v>3714</v>
      </c>
      <c r="F5170" s="451">
        <v>46029</v>
      </c>
      <c r="G5170">
        <v>19658</v>
      </c>
      <c r="H5170" t="s">
        <v>4784</v>
      </c>
      <c r="I5170" t="s">
        <v>5191</v>
      </c>
      <c r="J5170">
        <v>6</v>
      </c>
      <c r="K5170" t="s">
        <v>4744</v>
      </c>
      <c r="L5170">
        <v>16.98</v>
      </c>
      <c r="M5170">
        <v>2.83</v>
      </c>
      <c r="N5170" t="s">
        <v>5272</v>
      </c>
      <c r="O5170" t="s">
        <v>459</v>
      </c>
    </row>
    <row r="5171" spans="1:15" x14ac:dyDescent="0.3">
      <c r="A5171">
        <v>191141</v>
      </c>
      <c r="B5171">
        <v>105</v>
      </c>
      <c r="C5171" t="s">
        <v>557</v>
      </c>
      <c r="D5171" t="s">
        <v>2563</v>
      </c>
      <c r="E5171" t="s">
        <v>3714</v>
      </c>
      <c r="F5171" s="451">
        <v>46029</v>
      </c>
      <c r="G5171">
        <v>19488</v>
      </c>
      <c r="H5171" t="s">
        <v>5107</v>
      </c>
      <c r="I5171" t="s">
        <v>5191</v>
      </c>
      <c r="J5171">
        <v>0.8</v>
      </c>
      <c r="K5171" t="s">
        <v>4744</v>
      </c>
      <c r="L5171">
        <v>10.44</v>
      </c>
      <c r="M5171">
        <v>13.05</v>
      </c>
      <c r="N5171" t="s">
        <v>5272</v>
      </c>
      <c r="O5171" t="s">
        <v>459</v>
      </c>
    </row>
    <row r="5172" spans="1:15" x14ac:dyDescent="0.3">
      <c r="A5172">
        <v>191140</v>
      </c>
      <c r="B5172">
        <v>105</v>
      </c>
      <c r="C5172" t="s">
        <v>557</v>
      </c>
      <c r="D5172" t="s">
        <v>2563</v>
      </c>
      <c r="E5172" t="s">
        <v>3715</v>
      </c>
      <c r="F5172" s="451">
        <v>46030</v>
      </c>
      <c r="G5172">
        <v>19621</v>
      </c>
      <c r="H5172" t="s">
        <v>4829</v>
      </c>
      <c r="I5172" t="s">
        <v>5191</v>
      </c>
      <c r="J5172">
        <v>2</v>
      </c>
      <c r="K5172" t="s">
        <v>4744</v>
      </c>
      <c r="L5172">
        <v>6.52</v>
      </c>
      <c r="M5172">
        <v>3.26</v>
      </c>
      <c r="N5172" t="s">
        <v>5272</v>
      </c>
      <c r="O5172" t="s">
        <v>459</v>
      </c>
    </row>
    <row r="5173" spans="1:15" x14ac:dyDescent="0.3">
      <c r="A5173">
        <v>191140</v>
      </c>
      <c r="B5173">
        <v>105</v>
      </c>
      <c r="C5173" t="s">
        <v>557</v>
      </c>
      <c r="D5173" t="s">
        <v>2563</v>
      </c>
      <c r="E5173" t="s">
        <v>3715</v>
      </c>
      <c r="F5173" s="451">
        <v>46030</v>
      </c>
      <c r="G5173">
        <v>19551</v>
      </c>
      <c r="H5173" t="s">
        <v>4905</v>
      </c>
      <c r="I5173" t="s">
        <v>5191</v>
      </c>
      <c r="J5173">
        <v>2</v>
      </c>
      <c r="K5173" t="s">
        <v>4744</v>
      </c>
      <c r="L5173">
        <v>26.1</v>
      </c>
      <c r="M5173">
        <v>13.05</v>
      </c>
      <c r="N5173" t="s">
        <v>5272</v>
      </c>
      <c r="O5173" t="s">
        <v>459</v>
      </c>
    </row>
    <row r="5174" spans="1:15" x14ac:dyDescent="0.3">
      <c r="A5174">
        <v>191140</v>
      </c>
      <c r="B5174">
        <v>105</v>
      </c>
      <c r="C5174" t="s">
        <v>557</v>
      </c>
      <c r="D5174" t="s">
        <v>2563</v>
      </c>
      <c r="E5174" t="s">
        <v>3715</v>
      </c>
      <c r="F5174" s="451">
        <v>46030</v>
      </c>
      <c r="G5174">
        <v>19488</v>
      </c>
      <c r="H5174" t="s">
        <v>5107</v>
      </c>
      <c r="I5174" t="s">
        <v>5191</v>
      </c>
      <c r="J5174">
        <v>0.4</v>
      </c>
      <c r="K5174" t="s">
        <v>4744</v>
      </c>
      <c r="L5174">
        <v>5.22</v>
      </c>
      <c r="M5174">
        <v>13.05</v>
      </c>
      <c r="N5174" t="s">
        <v>5272</v>
      </c>
      <c r="O5174" t="s">
        <v>459</v>
      </c>
    </row>
    <row r="5175" spans="1:15" x14ac:dyDescent="0.3">
      <c r="A5175">
        <v>191140</v>
      </c>
      <c r="B5175">
        <v>105</v>
      </c>
      <c r="C5175" t="s">
        <v>557</v>
      </c>
      <c r="D5175" t="s">
        <v>2563</v>
      </c>
      <c r="E5175" t="s">
        <v>3715</v>
      </c>
      <c r="F5175" s="451">
        <v>46030</v>
      </c>
      <c r="G5175">
        <v>19566</v>
      </c>
      <c r="H5175" t="s">
        <v>5371</v>
      </c>
      <c r="I5175" t="s">
        <v>5191</v>
      </c>
      <c r="J5175">
        <v>0.5</v>
      </c>
      <c r="K5175" t="s">
        <v>4744</v>
      </c>
      <c r="L5175">
        <v>25.38</v>
      </c>
      <c r="M5175">
        <v>50.76</v>
      </c>
      <c r="N5175" t="s">
        <v>5272</v>
      </c>
      <c r="O5175" t="s">
        <v>459</v>
      </c>
    </row>
    <row r="5176" spans="1:15" x14ac:dyDescent="0.3">
      <c r="A5176">
        <v>191140</v>
      </c>
      <c r="B5176">
        <v>105</v>
      </c>
      <c r="C5176" t="s">
        <v>557</v>
      </c>
      <c r="D5176" t="s">
        <v>2563</v>
      </c>
      <c r="E5176" t="s">
        <v>3715</v>
      </c>
      <c r="F5176" s="451">
        <v>46030</v>
      </c>
      <c r="G5176">
        <v>19740</v>
      </c>
      <c r="H5176" t="s">
        <v>4779</v>
      </c>
      <c r="I5176" t="s">
        <v>5191</v>
      </c>
      <c r="J5176">
        <v>8</v>
      </c>
      <c r="K5176" t="s">
        <v>4744</v>
      </c>
      <c r="L5176">
        <v>127.6</v>
      </c>
      <c r="M5176">
        <v>15.95</v>
      </c>
      <c r="N5176" t="s">
        <v>5272</v>
      </c>
      <c r="O5176" t="s">
        <v>459</v>
      </c>
    </row>
    <row r="5177" spans="1:15" x14ac:dyDescent="0.3">
      <c r="A5177">
        <v>191140</v>
      </c>
      <c r="B5177">
        <v>105</v>
      </c>
      <c r="C5177" t="s">
        <v>557</v>
      </c>
      <c r="D5177" t="s">
        <v>2563</v>
      </c>
      <c r="E5177" t="s">
        <v>3715</v>
      </c>
      <c r="F5177" s="451">
        <v>46030</v>
      </c>
      <c r="G5177">
        <v>19728</v>
      </c>
      <c r="H5177" t="s">
        <v>5106</v>
      </c>
      <c r="I5177" t="s">
        <v>5191</v>
      </c>
      <c r="J5177">
        <v>1</v>
      </c>
      <c r="K5177" t="s">
        <v>4744</v>
      </c>
      <c r="L5177">
        <v>17.11</v>
      </c>
      <c r="M5177">
        <v>17.11</v>
      </c>
      <c r="N5177" t="s">
        <v>5272</v>
      </c>
      <c r="O5177" t="s">
        <v>459</v>
      </c>
    </row>
    <row r="5178" spans="1:15" x14ac:dyDescent="0.3">
      <c r="A5178">
        <v>191140</v>
      </c>
      <c r="B5178">
        <v>105</v>
      </c>
      <c r="C5178" t="s">
        <v>557</v>
      </c>
      <c r="D5178" t="s">
        <v>2563</v>
      </c>
      <c r="E5178" t="s">
        <v>3715</v>
      </c>
      <c r="F5178" s="451">
        <v>46030</v>
      </c>
      <c r="G5178">
        <v>19765</v>
      </c>
      <c r="H5178" t="s">
        <v>4889</v>
      </c>
      <c r="I5178" t="s">
        <v>5191</v>
      </c>
      <c r="J5178">
        <v>1</v>
      </c>
      <c r="K5178" t="s">
        <v>4744</v>
      </c>
      <c r="L5178">
        <v>34.08</v>
      </c>
      <c r="M5178">
        <v>34.08</v>
      </c>
      <c r="N5178" t="s">
        <v>5272</v>
      </c>
      <c r="O5178" t="s">
        <v>459</v>
      </c>
    </row>
    <row r="5179" spans="1:15" x14ac:dyDescent="0.3">
      <c r="A5179">
        <v>191140</v>
      </c>
      <c r="B5179">
        <v>105</v>
      </c>
      <c r="C5179" t="s">
        <v>557</v>
      </c>
      <c r="D5179" t="s">
        <v>2563</v>
      </c>
      <c r="E5179" t="s">
        <v>3715</v>
      </c>
      <c r="F5179" s="451">
        <v>46030</v>
      </c>
      <c r="G5179">
        <v>19751</v>
      </c>
      <c r="H5179" t="s">
        <v>4800</v>
      </c>
      <c r="I5179" t="s">
        <v>5191</v>
      </c>
      <c r="J5179">
        <v>2</v>
      </c>
      <c r="K5179" t="s">
        <v>4744</v>
      </c>
      <c r="L5179">
        <v>20.88</v>
      </c>
      <c r="M5179">
        <v>10.44</v>
      </c>
      <c r="N5179" t="s">
        <v>5272</v>
      </c>
      <c r="O5179" t="s">
        <v>459</v>
      </c>
    </row>
    <row r="5180" spans="1:15" x14ac:dyDescent="0.3">
      <c r="A5180">
        <v>191140</v>
      </c>
      <c r="B5180">
        <v>105</v>
      </c>
      <c r="C5180" t="s">
        <v>557</v>
      </c>
      <c r="D5180" t="s">
        <v>2563</v>
      </c>
      <c r="E5180" t="s">
        <v>3715</v>
      </c>
      <c r="F5180" s="451">
        <v>46030</v>
      </c>
      <c r="G5180">
        <v>23228</v>
      </c>
      <c r="H5180" t="s">
        <v>4782</v>
      </c>
      <c r="I5180" t="s">
        <v>5191</v>
      </c>
      <c r="J5180">
        <v>8</v>
      </c>
      <c r="K5180" t="s">
        <v>4744</v>
      </c>
      <c r="L5180">
        <v>52.24</v>
      </c>
      <c r="M5180">
        <v>6.53</v>
      </c>
      <c r="N5180" t="s">
        <v>5272</v>
      </c>
      <c r="O5180" t="s">
        <v>459</v>
      </c>
    </row>
    <row r="5181" spans="1:15" x14ac:dyDescent="0.3">
      <c r="A5181">
        <v>191140</v>
      </c>
      <c r="B5181">
        <v>105</v>
      </c>
      <c r="C5181" t="s">
        <v>557</v>
      </c>
      <c r="D5181" t="s">
        <v>2563</v>
      </c>
      <c r="E5181" t="s">
        <v>3715</v>
      </c>
      <c r="F5181" s="451">
        <v>46030</v>
      </c>
      <c r="G5181">
        <v>23238</v>
      </c>
      <c r="H5181" t="s">
        <v>4934</v>
      </c>
      <c r="I5181" t="s">
        <v>5191</v>
      </c>
      <c r="J5181">
        <v>2</v>
      </c>
      <c r="K5181" t="s">
        <v>4744</v>
      </c>
      <c r="L5181">
        <v>26.68</v>
      </c>
      <c r="M5181">
        <v>13.34</v>
      </c>
      <c r="N5181" t="s">
        <v>5272</v>
      </c>
      <c r="O5181" t="s">
        <v>459</v>
      </c>
    </row>
    <row r="5182" spans="1:15" x14ac:dyDescent="0.3">
      <c r="A5182">
        <v>191140</v>
      </c>
      <c r="B5182">
        <v>105</v>
      </c>
      <c r="C5182" t="s">
        <v>557</v>
      </c>
      <c r="D5182" t="s">
        <v>2563</v>
      </c>
      <c r="E5182" t="s">
        <v>3715</v>
      </c>
      <c r="F5182" s="451">
        <v>46030</v>
      </c>
      <c r="G5182">
        <v>23346</v>
      </c>
      <c r="H5182" t="s">
        <v>4916</v>
      </c>
      <c r="I5182" t="s">
        <v>5191</v>
      </c>
      <c r="J5182">
        <v>1.8</v>
      </c>
      <c r="K5182" t="s">
        <v>4744</v>
      </c>
      <c r="L5182">
        <v>11.48</v>
      </c>
      <c r="M5182">
        <v>6.3777780000000002</v>
      </c>
      <c r="N5182" t="s">
        <v>5272</v>
      </c>
      <c r="O5182" t="s">
        <v>459</v>
      </c>
    </row>
    <row r="5183" spans="1:15" x14ac:dyDescent="0.3">
      <c r="A5183">
        <v>191140</v>
      </c>
      <c r="B5183">
        <v>105</v>
      </c>
      <c r="C5183" t="s">
        <v>557</v>
      </c>
      <c r="D5183" t="s">
        <v>2563</v>
      </c>
      <c r="E5183" t="s">
        <v>3715</v>
      </c>
      <c r="F5183" s="451">
        <v>46030</v>
      </c>
      <c r="G5183">
        <v>23389</v>
      </c>
      <c r="H5183" t="s">
        <v>4960</v>
      </c>
      <c r="I5183" t="s">
        <v>5191</v>
      </c>
      <c r="J5183">
        <v>4.5</v>
      </c>
      <c r="K5183" t="s">
        <v>4744</v>
      </c>
      <c r="L5183">
        <v>23.36</v>
      </c>
      <c r="M5183">
        <v>5.1911110000000003</v>
      </c>
      <c r="N5183" t="s">
        <v>5272</v>
      </c>
      <c r="O5183" t="s">
        <v>459</v>
      </c>
    </row>
    <row r="5184" spans="1:15" x14ac:dyDescent="0.3">
      <c r="A5184">
        <v>191140</v>
      </c>
      <c r="B5184">
        <v>105</v>
      </c>
      <c r="C5184" t="s">
        <v>557</v>
      </c>
      <c r="D5184" t="s">
        <v>2563</v>
      </c>
      <c r="E5184" t="s">
        <v>3715</v>
      </c>
      <c r="F5184" s="451">
        <v>46030</v>
      </c>
      <c r="G5184">
        <v>19632</v>
      </c>
      <c r="H5184" t="s">
        <v>4936</v>
      </c>
      <c r="I5184" t="s">
        <v>5191</v>
      </c>
      <c r="J5184">
        <v>3.5</v>
      </c>
      <c r="K5184" t="s">
        <v>4744</v>
      </c>
      <c r="L5184">
        <v>7.1</v>
      </c>
      <c r="M5184">
        <v>2.0285709999999999</v>
      </c>
      <c r="N5184" t="s">
        <v>5272</v>
      </c>
      <c r="O5184" t="s">
        <v>459</v>
      </c>
    </row>
    <row r="5185" spans="1:15" x14ac:dyDescent="0.3">
      <c r="A5185">
        <v>191139</v>
      </c>
      <c r="B5185">
        <v>105</v>
      </c>
      <c r="C5185" t="s">
        <v>557</v>
      </c>
      <c r="D5185" t="s">
        <v>2690</v>
      </c>
      <c r="E5185" t="s">
        <v>3716</v>
      </c>
      <c r="F5185" s="451">
        <v>46030</v>
      </c>
      <c r="G5185">
        <v>18547</v>
      </c>
      <c r="H5185" t="s">
        <v>4863</v>
      </c>
      <c r="I5185" t="s">
        <v>5222</v>
      </c>
      <c r="J5185">
        <v>2</v>
      </c>
      <c r="K5185" t="s">
        <v>4805</v>
      </c>
      <c r="L5185">
        <v>71.86</v>
      </c>
      <c r="M5185">
        <v>35.93</v>
      </c>
      <c r="N5185" t="s">
        <v>5271</v>
      </c>
      <c r="O5185" t="s">
        <v>459</v>
      </c>
    </row>
    <row r="5186" spans="1:15" x14ac:dyDescent="0.3">
      <c r="A5186">
        <v>191138</v>
      </c>
      <c r="B5186">
        <v>105</v>
      </c>
      <c r="C5186" t="s">
        <v>557</v>
      </c>
      <c r="D5186" t="s">
        <v>2699</v>
      </c>
      <c r="E5186" t="s">
        <v>3717</v>
      </c>
      <c r="F5186" s="451">
        <v>46030</v>
      </c>
      <c r="G5186">
        <v>18146</v>
      </c>
      <c r="H5186" t="s">
        <v>5112</v>
      </c>
      <c r="I5186" t="s">
        <v>5222</v>
      </c>
      <c r="J5186">
        <v>1</v>
      </c>
      <c r="K5186" t="s">
        <v>4805</v>
      </c>
      <c r="L5186">
        <v>107.9</v>
      </c>
      <c r="M5186">
        <v>107.9</v>
      </c>
      <c r="N5186" t="s">
        <v>5271</v>
      </c>
      <c r="O5186" t="s">
        <v>459</v>
      </c>
    </row>
    <row r="5187" spans="1:15" x14ac:dyDescent="0.3">
      <c r="A5187">
        <v>191137</v>
      </c>
      <c r="B5187">
        <v>105</v>
      </c>
      <c r="C5187" t="s">
        <v>557</v>
      </c>
      <c r="D5187" t="s">
        <v>2716</v>
      </c>
      <c r="E5187" t="s">
        <v>3718</v>
      </c>
      <c r="F5187" s="451">
        <v>46029</v>
      </c>
      <c r="G5187">
        <v>24351</v>
      </c>
      <c r="H5187" t="s">
        <v>5014</v>
      </c>
      <c r="I5187" t="s">
        <v>5191</v>
      </c>
      <c r="J5187">
        <v>20</v>
      </c>
      <c r="K5187" t="s">
        <v>4744</v>
      </c>
      <c r="L5187">
        <v>240</v>
      </c>
      <c r="M5187">
        <v>12</v>
      </c>
      <c r="N5187" t="s">
        <v>5272</v>
      </c>
      <c r="O5187" t="s">
        <v>459</v>
      </c>
    </row>
    <row r="5188" spans="1:15" x14ac:dyDescent="0.3">
      <c r="A5188">
        <v>190416</v>
      </c>
      <c r="B5188">
        <v>105</v>
      </c>
      <c r="C5188" t="s">
        <v>557</v>
      </c>
      <c r="D5188" t="s">
        <v>2550</v>
      </c>
      <c r="E5188" t="s">
        <v>3719</v>
      </c>
      <c r="F5188" s="451">
        <v>46027</v>
      </c>
      <c r="G5188">
        <v>25702</v>
      </c>
      <c r="H5188" t="s">
        <v>5135</v>
      </c>
      <c r="I5188" t="s">
        <v>5222</v>
      </c>
      <c r="J5188">
        <v>4</v>
      </c>
      <c r="K5188" t="s">
        <v>4805</v>
      </c>
      <c r="L5188">
        <v>288.60000000000002</v>
      </c>
      <c r="M5188">
        <v>72.150000000000006</v>
      </c>
      <c r="N5188" t="s">
        <v>5222</v>
      </c>
      <c r="O5188" t="s">
        <v>459</v>
      </c>
    </row>
    <row r="5189" spans="1:15" x14ac:dyDescent="0.3">
      <c r="A5189">
        <v>190416</v>
      </c>
      <c r="B5189">
        <v>105</v>
      </c>
      <c r="C5189" t="s">
        <v>557</v>
      </c>
      <c r="D5189" t="s">
        <v>2550</v>
      </c>
      <c r="E5189" t="s">
        <v>3719</v>
      </c>
      <c r="F5189" s="451">
        <v>46027</v>
      </c>
      <c r="G5189">
        <v>26034</v>
      </c>
      <c r="H5189" t="s">
        <v>4828</v>
      </c>
      <c r="I5189" t="s">
        <v>5222</v>
      </c>
      <c r="J5189">
        <v>6</v>
      </c>
      <c r="K5189" t="s">
        <v>4805</v>
      </c>
      <c r="L5189">
        <v>273</v>
      </c>
      <c r="M5189">
        <v>45.5</v>
      </c>
      <c r="N5189" t="s">
        <v>5222</v>
      </c>
      <c r="O5189" t="s">
        <v>459</v>
      </c>
    </row>
    <row r="5190" spans="1:15" x14ac:dyDescent="0.3">
      <c r="A5190">
        <v>190416</v>
      </c>
      <c r="B5190">
        <v>105</v>
      </c>
      <c r="C5190" t="s">
        <v>557</v>
      </c>
      <c r="D5190" t="s">
        <v>2550</v>
      </c>
      <c r="E5190" t="s">
        <v>3719</v>
      </c>
      <c r="F5190" s="451">
        <v>46027</v>
      </c>
      <c r="G5190">
        <v>26236</v>
      </c>
      <c r="H5190" t="s">
        <v>5077</v>
      </c>
      <c r="I5190" t="s">
        <v>5222</v>
      </c>
      <c r="J5190">
        <v>1</v>
      </c>
      <c r="K5190" t="s">
        <v>4805</v>
      </c>
      <c r="L5190">
        <v>128.05000000000001</v>
      </c>
      <c r="M5190">
        <v>128.05000000000001</v>
      </c>
      <c r="N5190" t="s">
        <v>5222</v>
      </c>
      <c r="O5190" t="s">
        <v>459</v>
      </c>
    </row>
    <row r="5191" spans="1:15" x14ac:dyDescent="0.3">
      <c r="A5191">
        <v>190416</v>
      </c>
      <c r="B5191">
        <v>105</v>
      </c>
      <c r="C5191" t="s">
        <v>557</v>
      </c>
      <c r="D5191" t="s">
        <v>2550</v>
      </c>
      <c r="E5191" t="s">
        <v>3719</v>
      </c>
      <c r="F5191" s="451">
        <v>46027</v>
      </c>
      <c r="G5191">
        <v>26040</v>
      </c>
      <c r="H5191" t="s">
        <v>4812</v>
      </c>
      <c r="I5191" t="s">
        <v>5222</v>
      </c>
      <c r="J5191">
        <v>6</v>
      </c>
      <c r="K5191" t="s">
        <v>4805</v>
      </c>
      <c r="L5191">
        <v>273</v>
      </c>
      <c r="M5191">
        <v>45.5</v>
      </c>
      <c r="N5191" t="s">
        <v>5222</v>
      </c>
      <c r="O5191" t="s">
        <v>459</v>
      </c>
    </row>
    <row r="5192" spans="1:15" x14ac:dyDescent="0.3">
      <c r="A5192">
        <v>190414</v>
      </c>
      <c r="B5192">
        <v>105</v>
      </c>
      <c r="C5192" t="s">
        <v>557</v>
      </c>
      <c r="D5192" t="s">
        <v>2597</v>
      </c>
      <c r="E5192" t="s">
        <v>3720</v>
      </c>
      <c r="F5192" s="451">
        <v>46028</v>
      </c>
      <c r="G5192">
        <v>24217</v>
      </c>
      <c r="H5192" t="s">
        <v>4778</v>
      </c>
      <c r="I5192" t="s">
        <v>5191</v>
      </c>
      <c r="J5192">
        <v>30</v>
      </c>
      <c r="K5192" t="s">
        <v>4744</v>
      </c>
      <c r="L5192">
        <v>988.8</v>
      </c>
      <c r="M5192">
        <v>32.96</v>
      </c>
      <c r="N5192" t="s">
        <v>1785</v>
      </c>
      <c r="O5192" t="s">
        <v>459</v>
      </c>
    </row>
    <row r="5193" spans="1:15" x14ac:dyDescent="0.3">
      <c r="A5193">
        <v>190414</v>
      </c>
      <c r="B5193">
        <v>105</v>
      </c>
      <c r="C5193" t="s">
        <v>557</v>
      </c>
      <c r="D5193" t="s">
        <v>2597</v>
      </c>
      <c r="E5193" t="s">
        <v>3720</v>
      </c>
      <c r="F5193" s="451">
        <v>46028</v>
      </c>
      <c r="G5193">
        <v>24259</v>
      </c>
      <c r="H5193" t="s">
        <v>4875</v>
      </c>
      <c r="I5193" t="s">
        <v>5191</v>
      </c>
      <c r="J5193">
        <v>20</v>
      </c>
      <c r="K5193" t="s">
        <v>4744</v>
      </c>
      <c r="L5193">
        <v>1670.6</v>
      </c>
      <c r="M5193">
        <v>83.53</v>
      </c>
      <c r="N5193" t="s">
        <v>1785</v>
      </c>
      <c r="O5193" t="s">
        <v>459</v>
      </c>
    </row>
    <row r="5194" spans="1:15" x14ac:dyDescent="0.3">
      <c r="A5194">
        <v>190414</v>
      </c>
      <c r="B5194">
        <v>105</v>
      </c>
      <c r="C5194" t="s">
        <v>557</v>
      </c>
      <c r="D5194" t="s">
        <v>2597</v>
      </c>
      <c r="E5194" t="s">
        <v>3720</v>
      </c>
      <c r="F5194" s="451">
        <v>46028</v>
      </c>
      <c r="G5194">
        <v>24339</v>
      </c>
      <c r="H5194" t="s">
        <v>4885</v>
      </c>
      <c r="I5194" t="s">
        <v>5191</v>
      </c>
      <c r="J5194">
        <v>5</v>
      </c>
      <c r="K5194" t="s">
        <v>4744</v>
      </c>
      <c r="L5194">
        <v>180</v>
      </c>
      <c r="M5194">
        <v>36</v>
      </c>
      <c r="N5194" t="s">
        <v>1785</v>
      </c>
      <c r="O5194" t="s">
        <v>459</v>
      </c>
    </row>
    <row r="5195" spans="1:15" x14ac:dyDescent="0.3">
      <c r="A5195">
        <v>190414</v>
      </c>
      <c r="B5195">
        <v>105</v>
      </c>
      <c r="C5195" t="s">
        <v>557</v>
      </c>
      <c r="D5195" t="s">
        <v>2597</v>
      </c>
      <c r="E5195" t="s">
        <v>3720</v>
      </c>
      <c r="F5195" s="451">
        <v>46028</v>
      </c>
      <c r="G5195">
        <v>20501</v>
      </c>
      <c r="H5195" t="s">
        <v>4760</v>
      </c>
      <c r="I5195" t="s">
        <v>5191</v>
      </c>
      <c r="J5195">
        <v>30</v>
      </c>
      <c r="K5195" t="s">
        <v>4744</v>
      </c>
      <c r="L5195">
        <v>717</v>
      </c>
      <c r="M5195">
        <v>23.9</v>
      </c>
      <c r="N5195" t="s">
        <v>1785</v>
      </c>
      <c r="O5195" t="s">
        <v>459</v>
      </c>
    </row>
    <row r="5196" spans="1:15" x14ac:dyDescent="0.3">
      <c r="A5196">
        <v>190414</v>
      </c>
      <c r="B5196">
        <v>105</v>
      </c>
      <c r="C5196" t="s">
        <v>557</v>
      </c>
      <c r="D5196" t="s">
        <v>2597</v>
      </c>
      <c r="E5196" t="s">
        <v>3720</v>
      </c>
      <c r="F5196" s="451">
        <v>46028</v>
      </c>
      <c r="G5196">
        <v>19041</v>
      </c>
      <c r="H5196" t="s">
        <v>4762</v>
      </c>
      <c r="I5196" t="s">
        <v>5191</v>
      </c>
      <c r="J5196">
        <v>45</v>
      </c>
      <c r="K5196" t="s">
        <v>4744</v>
      </c>
      <c r="L5196">
        <v>595.79999999999995</v>
      </c>
      <c r="M5196">
        <v>13.24</v>
      </c>
      <c r="N5196" t="s">
        <v>1785</v>
      </c>
      <c r="O5196" t="s">
        <v>459</v>
      </c>
    </row>
    <row r="5197" spans="1:15" x14ac:dyDescent="0.3">
      <c r="A5197">
        <v>190414</v>
      </c>
      <c r="B5197">
        <v>105</v>
      </c>
      <c r="C5197" t="s">
        <v>557</v>
      </c>
      <c r="D5197" t="s">
        <v>2597</v>
      </c>
      <c r="E5197" t="s">
        <v>3720</v>
      </c>
      <c r="F5197" s="451">
        <v>46028</v>
      </c>
      <c r="G5197">
        <v>24096</v>
      </c>
      <c r="H5197" t="s">
        <v>4771</v>
      </c>
      <c r="I5197" t="s">
        <v>5191</v>
      </c>
      <c r="J5197">
        <v>70</v>
      </c>
      <c r="K5197" t="s">
        <v>4744</v>
      </c>
      <c r="L5197">
        <v>3064.6</v>
      </c>
      <c r="M5197">
        <v>43.78</v>
      </c>
      <c r="N5197" t="s">
        <v>1785</v>
      </c>
      <c r="O5197" t="s">
        <v>459</v>
      </c>
    </row>
    <row r="5198" spans="1:15" x14ac:dyDescent="0.3">
      <c r="A5198">
        <v>190413</v>
      </c>
      <c r="B5198">
        <v>105</v>
      </c>
      <c r="C5198" t="s">
        <v>557</v>
      </c>
      <c r="D5198" t="s">
        <v>3462</v>
      </c>
      <c r="E5198" t="s">
        <v>3721</v>
      </c>
      <c r="F5198" s="451">
        <v>46028</v>
      </c>
      <c r="G5198">
        <v>17129</v>
      </c>
      <c r="H5198" t="s">
        <v>5202</v>
      </c>
      <c r="I5198" t="s">
        <v>5188</v>
      </c>
      <c r="J5198">
        <v>1</v>
      </c>
      <c r="K5198" t="s">
        <v>4738</v>
      </c>
      <c r="L5198">
        <v>27.9</v>
      </c>
      <c r="M5198">
        <v>27.9</v>
      </c>
      <c r="N5198" t="s">
        <v>5277</v>
      </c>
      <c r="O5198" t="s">
        <v>459</v>
      </c>
    </row>
    <row r="5199" spans="1:15" x14ac:dyDescent="0.3">
      <c r="A5199">
        <v>190413</v>
      </c>
      <c r="B5199">
        <v>105</v>
      </c>
      <c r="C5199" t="s">
        <v>557</v>
      </c>
      <c r="D5199" t="s">
        <v>3462</v>
      </c>
      <c r="E5199" t="s">
        <v>3721</v>
      </c>
      <c r="F5199" s="451">
        <v>46028</v>
      </c>
      <c r="G5199">
        <v>17190</v>
      </c>
      <c r="H5199" t="s">
        <v>5193</v>
      </c>
      <c r="I5199" t="s">
        <v>5188</v>
      </c>
      <c r="J5199">
        <v>3</v>
      </c>
      <c r="K5199" t="s">
        <v>4738</v>
      </c>
      <c r="L5199">
        <v>22.8</v>
      </c>
      <c r="M5199">
        <v>7.6</v>
      </c>
      <c r="N5199" t="s">
        <v>5277</v>
      </c>
      <c r="O5199" t="s">
        <v>459</v>
      </c>
    </row>
    <row r="5200" spans="1:15" x14ac:dyDescent="0.3">
      <c r="A5200">
        <v>190413</v>
      </c>
      <c r="B5200">
        <v>105</v>
      </c>
      <c r="C5200" t="s">
        <v>557</v>
      </c>
      <c r="D5200" t="s">
        <v>3462</v>
      </c>
      <c r="E5200" t="s">
        <v>3721</v>
      </c>
      <c r="F5200" s="451">
        <v>46028</v>
      </c>
      <c r="G5200">
        <v>17554</v>
      </c>
      <c r="H5200" t="s">
        <v>5320</v>
      </c>
      <c r="I5200" t="s">
        <v>5188</v>
      </c>
      <c r="J5200">
        <v>1</v>
      </c>
      <c r="K5200" t="s">
        <v>4749</v>
      </c>
      <c r="L5200">
        <v>199.9</v>
      </c>
      <c r="M5200">
        <v>199.9</v>
      </c>
      <c r="N5200" t="s">
        <v>5277</v>
      </c>
      <c r="O5200" t="s">
        <v>459</v>
      </c>
    </row>
    <row r="5201" spans="1:15" x14ac:dyDescent="0.3">
      <c r="A5201">
        <v>190413</v>
      </c>
      <c r="B5201">
        <v>105</v>
      </c>
      <c r="C5201" t="s">
        <v>557</v>
      </c>
      <c r="D5201" t="s">
        <v>3462</v>
      </c>
      <c r="E5201" t="s">
        <v>3721</v>
      </c>
      <c r="F5201" s="451">
        <v>46028</v>
      </c>
      <c r="G5201">
        <v>17196</v>
      </c>
      <c r="H5201" t="s">
        <v>5258</v>
      </c>
      <c r="I5201" t="s">
        <v>5188</v>
      </c>
      <c r="J5201">
        <v>2</v>
      </c>
      <c r="K5201" t="s">
        <v>4738</v>
      </c>
      <c r="L5201">
        <v>12.7</v>
      </c>
      <c r="M5201">
        <v>6.35</v>
      </c>
      <c r="N5201" t="s">
        <v>5277</v>
      </c>
      <c r="O5201" t="s">
        <v>459</v>
      </c>
    </row>
    <row r="5202" spans="1:15" x14ac:dyDescent="0.3">
      <c r="A5202">
        <v>190413</v>
      </c>
      <c r="B5202">
        <v>105</v>
      </c>
      <c r="C5202" t="s">
        <v>557</v>
      </c>
      <c r="D5202" t="s">
        <v>3462</v>
      </c>
      <c r="E5202" t="s">
        <v>3721</v>
      </c>
      <c r="F5202" s="451">
        <v>46028</v>
      </c>
      <c r="G5202">
        <v>17215</v>
      </c>
      <c r="H5202" t="s">
        <v>5299</v>
      </c>
      <c r="I5202" t="s">
        <v>5188</v>
      </c>
      <c r="J5202">
        <v>7</v>
      </c>
      <c r="K5202" t="s">
        <v>4848</v>
      </c>
      <c r="L5202">
        <v>153.30000000000001</v>
      </c>
      <c r="M5202">
        <v>21.9</v>
      </c>
      <c r="N5202" t="s">
        <v>5277</v>
      </c>
      <c r="O5202" t="s">
        <v>459</v>
      </c>
    </row>
    <row r="5203" spans="1:15" x14ac:dyDescent="0.3">
      <c r="A5203">
        <v>190413</v>
      </c>
      <c r="B5203">
        <v>105</v>
      </c>
      <c r="C5203" t="s">
        <v>557</v>
      </c>
      <c r="D5203" t="s">
        <v>3462</v>
      </c>
      <c r="E5203" t="s">
        <v>3721</v>
      </c>
      <c r="F5203" s="451">
        <v>46028</v>
      </c>
      <c r="G5203">
        <v>28246</v>
      </c>
      <c r="H5203" t="s">
        <v>5417</v>
      </c>
      <c r="I5203" t="s">
        <v>5205</v>
      </c>
      <c r="J5203">
        <v>2</v>
      </c>
      <c r="K5203" t="s">
        <v>5240</v>
      </c>
      <c r="L5203">
        <v>85.8</v>
      </c>
      <c r="M5203">
        <v>42.9</v>
      </c>
      <c r="N5203" t="s">
        <v>5277</v>
      </c>
      <c r="O5203" t="s">
        <v>459</v>
      </c>
    </row>
    <row r="5204" spans="1:15" x14ac:dyDescent="0.3">
      <c r="A5204">
        <v>190410</v>
      </c>
      <c r="B5204">
        <v>105</v>
      </c>
      <c r="C5204" t="s">
        <v>557</v>
      </c>
      <c r="D5204" t="s">
        <v>2593</v>
      </c>
      <c r="E5204" t="s">
        <v>3722</v>
      </c>
      <c r="F5204" s="451">
        <v>46027</v>
      </c>
      <c r="G5204">
        <v>18731</v>
      </c>
      <c r="H5204" t="s">
        <v>4832</v>
      </c>
      <c r="I5204" t="s">
        <v>5191</v>
      </c>
      <c r="J5204">
        <v>5</v>
      </c>
      <c r="K5204" t="s">
        <v>4744</v>
      </c>
      <c r="L5204">
        <v>394.5</v>
      </c>
      <c r="M5204">
        <v>78.900000000000006</v>
      </c>
      <c r="N5204" t="s">
        <v>5272</v>
      </c>
      <c r="O5204" t="s">
        <v>459</v>
      </c>
    </row>
    <row r="5205" spans="1:15" x14ac:dyDescent="0.3">
      <c r="A5205">
        <v>190410</v>
      </c>
      <c r="B5205">
        <v>105</v>
      </c>
      <c r="C5205" t="s">
        <v>557</v>
      </c>
      <c r="D5205" t="s">
        <v>2593</v>
      </c>
      <c r="E5205" t="s">
        <v>3722</v>
      </c>
      <c r="F5205" s="451">
        <v>46027</v>
      </c>
      <c r="G5205">
        <v>24256</v>
      </c>
      <c r="H5205" t="s">
        <v>4773</v>
      </c>
      <c r="I5205" t="s">
        <v>5191</v>
      </c>
      <c r="J5205">
        <v>15</v>
      </c>
      <c r="K5205" t="s">
        <v>4744</v>
      </c>
      <c r="L5205">
        <v>583.5</v>
      </c>
      <c r="M5205">
        <v>38.9</v>
      </c>
      <c r="N5205" t="s">
        <v>5272</v>
      </c>
      <c r="O5205" t="s">
        <v>459</v>
      </c>
    </row>
    <row r="5206" spans="1:15" x14ac:dyDescent="0.3">
      <c r="A5206">
        <v>190408</v>
      </c>
      <c r="B5206">
        <v>105</v>
      </c>
      <c r="C5206" t="s">
        <v>557</v>
      </c>
      <c r="D5206" t="s">
        <v>3723</v>
      </c>
      <c r="E5206" t="s">
        <v>3724</v>
      </c>
      <c r="F5206" s="451">
        <v>46027</v>
      </c>
      <c r="G5206">
        <v>19623</v>
      </c>
      <c r="H5206" t="s">
        <v>4764</v>
      </c>
      <c r="I5206" t="s">
        <v>5191</v>
      </c>
      <c r="J5206">
        <v>20</v>
      </c>
      <c r="K5206" t="s">
        <v>4744</v>
      </c>
      <c r="L5206">
        <v>100</v>
      </c>
      <c r="M5206">
        <v>5</v>
      </c>
      <c r="N5206" t="s">
        <v>5191</v>
      </c>
      <c r="O5206" t="s">
        <v>459</v>
      </c>
    </row>
    <row r="5207" spans="1:15" x14ac:dyDescent="0.3">
      <c r="A5207">
        <v>190408</v>
      </c>
      <c r="B5207">
        <v>105</v>
      </c>
      <c r="C5207" t="s">
        <v>557</v>
      </c>
      <c r="D5207" t="s">
        <v>3723</v>
      </c>
      <c r="E5207" t="s">
        <v>3724</v>
      </c>
      <c r="F5207" s="451">
        <v>46027</v>
      </c>
      <c r="G5207">
        <v>19589</v>
      </c>
      <c r="H5207" t="s">
        <v>4983</v>
      </c>
      <c r="I5207" t="s">
        <v>5191</v>
      </c>
      <c r="J5207">
        <v>2</v>
      </c>
      <c r="K5207" t="s">
        <v>4744</v>
      </c>
      <c r="L5207">
        <v>10</v>
      </c>
      <c r="M5207">
        <v>5</v>
      </c>
      <c r="N5207" t="s">
        <v>5191</v>
      </c>
      <c r="O5207" t="s">
        <v>459</v>
      </c>
    </row>
    <row r="5208" spans="1:15" x14ac:dyDescent="0.3">
      <c r="A5208">
        <v>190408</v>
      </c>
      <c r="B5208">
        <v>105</v>
      </c>
      <c r="C5208" t="s">
        <v>557</v>
      </c>
      <c r="D5208" t="s">
        <v>3723</v>
      </c>
      <c r="E5208" t="s">
        <v>3724</v>
      </c>
      <c r="F5208" s="451">
        <v>46027</v>
      </c>
      <c r="G5208">
        <v>19526</v>
      </c>
      <c r="H5208" t="s">
        <v>4997</v>
      </c>
      <c r="I5208" t="s">
        <v>5191</v>
      </c>
      <c r="J5208">
        <v>1.5</v>
      </c>
      <c r="K5208" t="s">
        <v>4744</v>
      </c>
      <c r="L5208">
        <v>58.13</v>
      </c>
      <c r="M5208">
        <v>38.753332999999998</v>
      </c>
      <c r="N5208" t="s">
        <v>5191</v>
      </c>
      <c r="O5208" t="s">
        <v>459</v>
      </c>
    </row>
    <row r="5209" spans="1:15" x14ac:dyDescent="0.3">
      <c r="A5209">
        <v>190408</v>
      </c>
      <c r="B5209">
        <v>105</v>
      </c>
      <c r="C5209" t="s">
        <v>557</v>
      </c>
      <c r="D5209" t="s">
        <v>3723</v>
      </c>
      <c r="E5209" t="s">
        <v>3724</v>
      </c>
      <c r="F5209" s="451">
        <v>46027</v>
      </c>
      <c r="G5209">
        <v>19555</v>
      </c>
      <c r="H5209" t="s">
        <v>4903</v>
      </c>
      <c r="I5209" t="s">
        <v>5191</v>
      </c>
      <c r="J5209">
        <v>1.8</v>
      </c>
      <c r="K5209" t="s">
        <v>4744</v>
      </c>
      <c r="L5209">
        <v>40.5</v>
      </c>
      <c r="M5209">
        <v>22.5</v>
      </c>
      <c r="N5209" t="s">
        <v>5191</v>
      </c>
      <c r="O5209" t="s">
        <v>459</v>
      </c>
    </row>
    <row r="5210" spans="1:15" x14ac:dyDescent="0.3">
      <c r="A5210">
        <v>190408</v>
      </c>
      <c r="B5210">
        <v>105</v>
      </c>
      <c r="C5210" t="s">
        <v>557</v>
      </c>
      <c r="D5210" t="s">
        <v>3723</v>
      </c>
      <c r="E5210" t="s">
        <v>3724</v>
      </c>
      <c r="F5210" s="451">
        <v>46027</v>
      </c>
      <c r="G5210">
        <v>19734</v>
      </c>
      <c r="H5210" t="s">
        <v>4833</v>
      </c>
      <c r="I5210" t="s">
        <v>5191</v>
      </c>
      <c r="J5210">
        <v>5</v>
      </c>
      <c r="K5210" t="s">
        <v>4744</v>
      </c>
      <c r="L5210">
        <v>75</v>
      </c>
      <c r="M5210">
        <v>15</v>
      </c>
      <c r="N5210" t="s">
        <v>5191</v>
      </c>
      <c r="O5210" t="s">
        <v>459</v>
      </c>
    </row>
    <row r="5211" spans="1:15" x14ac:dyDescent="0.3">
      <c r="A5211">
        <v>190408</v>
      </c>
      <c r="B5211">
        <v>105</v>
      </c>
      <c r="C5211" t="s">
        <v>557</v>
      </c>
      <c r="D5211" t="s">
        <v>3723</v>
      </c>
      <c r="E5211" t="s">
        <v>3724</v>
      </c>
      <c r="F5211" s="451">
        <v>46027</v>
      </c>
      <c r="G5211">
        <v>19572</v>
      </c>
      <c r="H5211" t="s">
        <v>4989</v>
      </c>
      <c r="I5211" t="s">
        <v>5191</v>
      </c>
      <c r="J5211">
        <v>1.5</v>
      </c>
      <c r="K5211" t="s">
        <v>4744</v>
      </c>
      <c r="L5211">
        <v>30</v>
      </c>
      <c r="M5211">
        <v>20</v>
      </c>
      <c r="N5211" t="s">
        <v>5191</v>
      </c>
      <c r="O5211" t="s">
        <v>459</v>
      </c>
    </row>
    <row r="5212" spans="1:15" x14ac:dyDescent="0.3">
      <c r="A5212">
        <v>190408</v>
      </c>
      <c r="B5212">
        <v>105</v>
      </c>
      <c r="C5212" t="s">
        <v>557</v>
      </c>
      <c r="D5212" t="s">
        <v>3723</v>
      </c>
      <c r="E5212" t="s">
        <v>3724</v>
      </c>
      <c r="F5212" s="451">
        <v>46027</v>
      </c>
      <c r="G5212">
        <v>19617</v>
      </c>
      <c r="H5212" t="s">
        <v>5071</v>
      </c>
      <c r="I5212" t="s">
        <v>5191</v>
      </c>
      <c r="J5212">
        <v>0.5</v>
      </c>
      <c r="K5212" t="s">
        <v>4744</v>
      </c>
      <c r="L5212">
        <v>13.39</v>
      </c>
      <c r="M5212">
        <v>26.78</v>
      </c>
      <c r="N5212" t="s">
        <v>5191</v>
      </c>
      <c r="O5212" t="s">
        <v>459</v>
      </c>
    </row>
    <row r="5213" spans="1:15" x14ac:dyDescent="0.3">
      <c r="A5213">
        <v>190408</v>
      </c>
      <c r="B5213">
        <v>105</v>
      </c>
      <c r="C5213" t="s">
        <v>557</v>
      </c>
      <c r="D5213" t="s">
        <v>3723</v>
      </c>
      <c r="E5213" t="s">
        <v>3724</v>
      </c>
      <c r="F5213" s="451">
        <v>46027</v>
      </c>
      <c r="G5213">
        <v>23361</v>
      </c>
      <c r="H5213" t="s">
        <v>4754</v>
      </c>
      <c r="I5213" t="s">
        <v>5191</v>
      </c>
      <c r="J5213">
        <v>20</v>
      </c>
      <c r="K5213" t="s">
        <v>4744</v>
      </c>
      <c r="L5213">
        <v>62.6</v>
      </c>
      <c r="M5213">
        <v>3.13</v>
      </c>
      <c r="N5213" t="s">
        <v>5191</v>
      </c>
      <c r="O5213" t="s">
        <v>459</v>
      </c>
    </row>
    <row r="5214" spans="1:15" x14ac:dyDescent="0.3">
      <c r="A5214">
        <v>190408</v>
      </c>
      <c r="B5214">
        <v>105</v>
      </c>
      <c r="C5214" t="s">
        <v>557</v>
      </c>
      <c r="D5214" t="s">
        <v>3723</v>
      </c>
      <c r="E5214" t="s">
        <v>3724</v>
      </c>
      <c r="F5214" s="451">
        <v>46027</v>
      </c>
      <c r="G5214">
        <v>19472</v>
      </c>
      <c r="H5214" t="s">
        <v>4906</v>
      </c>
      <c r="I5214" t="s">
        <v>5191</v>
      </c>
      <c r="J5214">
        <v>1</v>
      </c>
      <c r="K5214" t="s">
        <v>4744</v>
      </c>
      <c r="L5214">
        <v>23.44</v>
      </c>
      <c r="M5214">
        <v>23.44</v>
      </c>
      <c r="N5214" t="s">
        <v>5191</v>
      </c>
      <c r="O5214" t="s">
        <v>459</v>
      </c>
    </row>
    <row r="5215" spans="1:15" x14ac:dyDescent="0.3">
      <c r="A5215">
        <v>190402</v>
      </c>
      <c r="B5215">
        <v>105</v>
      </c>
      <c r="C5215" t="s">
        <v>557</v>
      </c>
      <c r="D5215" t="s">
        <v>2603</v>
      </c>
      <c r="E5215" t="s">
        <v>3725</v>
      </c>
      <c r="F5215" s="451">
        <v>46029</v>
      </c>
      <c r="G5215">
        <v>23968</v>
      </c>
      <c r="H5215" t="s">
        <v>5418</v>
      </c>
      <c r="I5215" t="s">
        <v>5191</v>
      </c>
      <c r="J5215">
        <v>21.41</v>
      </c>
      <c r="K5215" t="s">
        <v>4744</v>
      </c>
      <c r="L5215">
        <v>768.62</v>
      </c>
      <c r="M5215">
        <v>35.900047000000001</v>
      </c>
      <c r="N5215" t="s">
        <v>5272</v>
      </c>
      <c r="O5215" t="s">
        <v>459</v>
      </c>
    </row>
    <row r="5216" spans="1:15" x14ac:dyDescent="0.3">
      <c r="A5216">
        <v>190402</v>
      </c>
      <c r="B5216">
        <v>105</v>
      </c>
      <c r="C5216" t="s">
        <v>557</v>
      </c>
      <c r="D5216" t="s">
        <v>2603</v>
      </c>
      <c r="E5216" t="s">
        <v>3725</v>
      </c>
      <c r="F5216" s="451">
        <v>46029</v>
      </c>
      <c r="G5216">
        <v>19047</v>
      </c>
      <c r="H5216" t="s">
        <v>5393</v>
      </c>
      <c r="I5216" t="s">
        <v>5191</v>
      </c>
      <c r="J5216">
        <v>6</v>
      </c>
      <c r="K5216" t="s">
        <v>4744</v>
      </c>
      <c r="L5216">
        <v>215.4</v>
      </c>
      <c r="M5216">
        <v>35.9</v>
      </c>
      <c r="N5216" t="s">
        <v>5272</v>
      </c>
      <c r="O5216" t="s">
        <v>459</v>
      </c>
    </row>
    <row r="5217" spans="1:15" x14ac:dyDescent="0.3">
      <c r="A5217">
        <v>190393</v>
      </c>
      <c r="B5217">
        <v>105</v>
      </c>
      <c r="C5217" t="s">
        <v>557</v>
      </c>
      <c r="D5217" t="s">
        <v>2563</v>
      </c>
      <c r="E5217" t="s">
        <v>3726</v>
      </c>
      <c r="F5217" s="451">
        <v>46028</v>
      </c>
      <c r="G5217">
        <v>19621</v>
      </c>
      <c r="H5217" t="s">
        <v>4829</v>
      </c>
      <c r="I5217" t="s">
        <v>5191</v>
      </c>
      <c r="J5217">
        <v>2.7</v>
      </c>
      <c r="K5217" t="s">
        <v>4744</v>
      </c>
      <c r="L5217">
        <v>9.8000000000000007</v>
      </c>
      <c r="M5217">
        <v>3.6296300000000001</v>
      </c>
      <c r="N5217" t="s">
        <v>5272</v>
      </c>
      <c r="O5217" t="s">
        <v>459</v>
      </c>
    </row>
    <row r="5218" spans="1:15" x14ac:dyDescent="0.3">
      <c r="A5218">
        <v>190393</v>
      </c>
      <c r="B5218">
        <v>105</v>
      </c>
      <c r="C5218" t="s">
        <v>557</v>
      </c>
      <c r="D5218" t="s">
        <v>2563</v>
      </c>
      <c r="E5218" t="s">
        <v>3726</v>
      </c>
      <c r="F5218" s="451">
        <v>46028</v>
      </c>
      <c r="G5218">
        <v>19654</v>
      </c>
      <c r="H5218" t="s">
        <v>5099</v>
      </c>
      <c r="I5218" t="s">
        <v>5191</v>
      </c>
      <c r="J5218">
        <v>2.7</v>
      </c>
      <c r="K5218" t="s">
        <v>4744</v>
      </c>
      <c r="L5218">
        <v>9.8000000000000007</v>
      </c>
      <c r="M5218">
        <v>3.6296300000000001</v>
      </c>
      <c r="N5218" t="s">
        <v>5272</v>
      </c>
      <c r="O5218" t="s">
        <v>459</v>
      </c>
    </row>
    <row r="5219" spans="1:15" x14ac:dyDescent="0.3">
      <c r="A5219">
        <v>190393</v>
      </c>
      <c r="B5219">
        <v>105</v>
      </c>
      <c r="C5219" t="s">
        <v>557</v>
      </c>
      <c r="D5219" t="s">
        <v>2563</v>
      </c>
      <c r="E5219" t="s">
        <v>3726</v>
      </c>
      <c r="F5219" s="451">
        <v>46028</v>
      </c>
      <c r="G5219">
        <v>19562</v>
      </c>
      <c r="H5219" t="s">
        <v>4939</v>
      </c>
      <c r="I5219" t="s">
        <v>5191</v>
      </c>
      <c r="J5219">
        <v>0.3</v>
      </c>
      <c r="K5219" t="s">
        <v>4744</v>
      </c>
      <c r="L5219">
        <v>4.3499999999999996</v>
      </c>
      <c r="M5219">
        <v>14.5</v>
      </c>
      <c r="N5219" t="s">
        <v>5272</v>
      </c>
      <c r="O5219" t="s">
        <v>459</v>
      </c>
    </row>
    <row r="5220" spans="1:15" x14ac:dyDescent="0.3">
      <c r="A5220">
        <v>190393</v>
      </c>
      <c r="B5220">
        <v>105</v>
      </c>
      <c r="C5220" t="s">
        <v>557</v>
      </c>
      <c r="D5220" t="s">
        <v>2563</v>
      </c>
      <c r="E5220" t="s">
        <v>3726</v>
      </c>
      <c r="F5220" s="451">
        <v>46028</v>
      </c>
      <c r="G5220">
        <v>19622</v>
      </c>
      <c r="H5220" t="s">
        <v>4915</v>
      </c>
      <c r="I5220" t="s">
        <v>5191</v>
      </c>
      <c r="J5220">
        <v>1</v>
      </c>
      <c r="K5220" t="s">
        <v>4744</v>
      </c>
      <c r="L5220">
        <v>3.26</v>
      </c>
      <c r="M5220">
        <v>3.26</v>
      </c>
      <c r="N5220" t="s">
        <v>5272</v>
      </c>
      <c r="O5220" t="s">
        <v>459</v>
      </c>
    </row>
    <row r="5221" spans="1:15" x14ac:dyDescent="0.3">
      <c r="A5221">
        <v>190393</v>
      </c>
      <c r="B5221">
        <v>105</v>
      </c>
      <c r="C5221" t="s">
        <v>557</v>
      </c>
      <c r="D5221" t="s">
        <v>2563</v>
      </c>
      <c r="E5221" t="s">
        <v>3726</v>
      </c>
      <c r="F5221" s="451">
        <v>46028</v>
      </c>
      <c r="G5221">
        <v>19743</v>
      </c>
      <c r="H5221" t="s">
        <v>5047</v>
      </c>
      <c r="I5221" t="s">
        <v>5191</v>
      </c>
      <c r="J5221">
        <v>1.25</v>
      </c>
      <c r="K5221" t="s">
        <v>4744</v>
      </c>
      <c r="L5221">
        <v>19.34</v>
      </c>
      <c r="M5221">
        <v>15.472</v>
      </c>
      <c r="N5221" t="s">
        <v>5272</v>
      </c>
      <c r="O5221" t="s">
        <v>459</v>
      </c>
    </row>
    <row r="5222" spans="1:15" x14ac:dyDescent="0.3">
      <c r="A5222">
        <v>190393</v>
      </c>
      <c r="B5222">
        <v>105</v>
      </c>
      <c r="C5222" t="s">
        <v>557</v>
      </c>
      <c r="D5222" t="s">
        <v>2563</v>
      </c>
      <c r="E5222" t="s">
        <v>3726</v>
      </c>
      <c r="F5222" s="451">
        <v>46028</v>
      </c>
      <c r="G5222">
        <v>23113</v>
      </c>
      <c r="H5222" t="s">
        <v>5074</v>
      </c>
      <c r="I5222" t="s">
        <v>5191</v>
      </c>
      <c r="J5222">
        <v>5</v>
      </c>
      <c r="K5222" t="s">
        <v>4744</v>
      </c>
      <c r="L5222">
        <v>68.900000000000006</v>
      </c>
      <c r="M5222">
        <v>13.78</v>
      </c>
      <c r="N5222" t="s">
        <v>5272</v>
      </c>
      <c r="O5222" t="s">
        <v>459</v>
      </c>
    </row>
    <row r="5223" spans="1:15" x14ac:dyDescent="0.3">
      <c r="A5223">
        <v>190393</v>
      </c>
      <c r="B5223">
        <v>105</v>
      </c>
      <c r="C5223" t="s">
        <v>557</v>
      </c>
      <c r="D5223" t="s">
        <v>2563</v>
      </c>
      <c r="E5223" t="s">
        <v>3726</v>
      </c>
      <c r="F5223" s="451">
        <v>46028</v>
      </c>
      <c r="G5223">
        <v>23198</v>
      </c>
      <c r="H5223" t="s">
        <v>4962</v>
      </c>
      <c r="I5223" t="s">
        <v>5191</v>
      </c>
      <c r="J5223">
        <v>0.3</v>
      </c>
      <c r="K5223" t="s">
        <v>4744</v>
      </c>
      <c r="L5223">
        <v>4.3499999999999996</v>
      </c>
      <c r="M5223">
        <v>14.5</v>
      </c>
      <c r="N5223" t="s">
        <v>5272</v>
      </c>
      <c r="O5223" t="s">
        <v>459</v>
      </c>
    </row>
    <row r="5224" spans="1:15" x14ac:dyDescent="0.3">
      <c r="A5224">
        <v>190393</v>
      </c>
      <c r="B5224">
        <v>105</v>
      </c>
      <c r="C5224" t="s">
        <v>557</v>
      </c>
      <c r="D5224" t="s">
        <v>2563</v>
      </c>
      <c r="E5224" t="s">
        <v>3726</v>
      </c>
      <c r="F5224" s="451">
        <v>46028</v>
      </c>
      <c r="G5224">
        <v>23349</v>
      </c>
      <c r="H5224" t="s">
        <v>4988</v>
      </c>
      <c r="I5224" t="s">
        <v>5191</v>
      </c>
      <c r="J5224">
        <v>1</v>
      </c>
      <c r="K5224" t="s">
        <v>4744</v>
      </c>
      <c r="L5224">
        <v>14.22</v>
      </c>
      <c r="M5224">
        <v>14.22</v>
      </c>
      <c r="N5224" t="s">
        <v>5272</v>
      </c>
      <c r="O5224" t="s">
        <v>459</v>
      </c>
    </row>
    <row r="5225" spans="1:15" x14ac:dyDescent="0.3">
      <c r="A5225">
        <v>190393</v>
      </c>
      <c r="B5225">
        <v>105</v>
      </c>
      <c r="C5225" t="s">
        <v>557</v>
      </c>
      <c r="D5225" t="s">
        <v>2563</v>
      </c>
      <c r="E5225" t="s">
        <v>3726</v>
      </c>
      <c r="F5225" s="451">
        <v>46028</v>
      </c>
      <c r="G5225">
        <v>23389</v>
      </c>
      <c r="H5225" t="s">
        <v>4960</v>
      </c>
      <c r="I5225" t="s">
        <v>5191</v>
      </c>
      <c r="J5225">
        <v>3.8</v>
      </c>
      <c r="K5225" t="s">
        <v>4744</v>
      </c>
      <c r="L5225">
        <v>19.72</v>
      </c>
      <c r="M5225">
        <v>5.1894739999999997</v>
      </c>
      <c r="N5225" t="s">
        <v>5272</v>
      </c>
      <c r="O5225" t="s">
        <v>459</v>
      </c>
    </row>
    <row r="5226" spans="1:15" x14ac:dyDescent="0.3">
      <c r="A5226">
        <v>190393</v>
      </c>
      <c r="B5226">
        <v>105</v>
      </c>
      <c r="C5226" t="s">
        <v>557</v>
      </c>
      <c r="D5226" t="s">
        <v>2563</v>
      </c>
      <c r="E5226" t="s">
        <v>3726</v>
      </c>
      <c r="F5226" s="451">
        <v>46028</v>
      </c>
      <c r="G5226">
        <v>19632</v>
      </c>
      <c r="H5226" t="s">
        <v>4936</v>
      </c>
      <c r="I5226" t="s">
        <v>5191</v>
      </c>
      <c r="J5226">
        <v>2</v>
      </c>
      <c r="K5226" t="s">
        <v>4744</v>
      </c>
      <c r="L5226">
        <v>4.0599999999999996</v>
      </c>
      <c r="M5226">
        <v>2.0299999999999998</v>
      </c>
      <c r="N5226" t="s">
        <v>5272</v>
      </c>
      <c r="O5226" t="s">
        <v>459</v>
      </c>
    </row>
    <row r="5227" spans="1:15" x14ac:dyDescent="0.3">
      <c r="A5227">
        <v>190393</v>
      </c>
      <c r="B5227">
        <v>105</v>
      </c>
      <c r="C5227" t="s">
        <v>557</v>
      </c>
      <c r="D5227" t="s">
        <v>2563</v>
      </c>
      <c r="E5227" t="s">
        <v>3726</v>
      </c>
      <c r="F5227" s="451">
        <v>46028</v>
      </c>
      <c r="G5227">
        <v>19532</v>
      </c>
      <c r="H5227" t="s">
        <v>4753</v>
      </c>
      <c r="I5227" t="s">
        <v>5191</v>
      </c>
      <c r="J5227">
        <v>10</v>
      </c>
      <c r="K5227" t="s">
        <v>4744</v>
      </c>
      <c r="L5227">
        <v>64.5</v>
      </c>
      <c r="M5227">
        <v>6.45</v>
      </c>
      <c r="N5227" t="s">
        <v>5272</v>
      </c>
      <c r="O5227" t="s">
        <v>459</v>
      </c>
    </row>
    <row r="5228" spans="1:15" x14ac:dyDescent="0.3">
      <c r="A5228">
        <v>190392</v>
      </c>
      <c r="B5228">
        <v>105</v>
      </c>
      <c r="C5228" t="s">
        <v>557</v>
      </c>
      <c r="D5228" t="s">
        <v>2792</v>
      </c>
      <c r="E5228" t="s">
        <v>3727</v>
      </c>
      <c r="F5228" s="451">
        <v>46028</v>
      </c>
      <c r="G5228">
        <v>18735</v>
      </c>
      <c r="H5228" t="s">
        <v>4891</v>
      </c>
      <c r="I5228" t="s">
        <v>5191</v>
      </c>
      <c r="J5228">
        <v>4</v>
      </c>
      <c r="K5228" t="s">
        <v>4744</v>
      </c>
      <c r="L5228">
        <v>547.20000000000005</v>
      </c>
      <c r="M5228">
        <v>136.80000000000001</v>
      </c>
      <c r="N5228" t="s">
        <v>5272</v>
      </c>
      <c r="O5228" t="s">
        <v>459</v>
      </c>
    </row>
    <row r="5229" spans="1:15" x14ac:dyDescent="0.3">
      <c r="A5229">
        <v>190391</v>
      </c>
      <c r="B5229">
        <v>105</v>
      </c>
      <c r="C5229" t="s">
        <v>557</v>
      </c>
      <c r="D5229" t="s">
        <v>3044</v>
      </c>
      <c r="E5229" t="s">
        <v>3728</v>
      </c>
      <c r="F5229" s="451">
        <v>46027</v>
      </c>
      <c r="G5229">
        <v>20544</v>
      </c>
      <c r="H5229" t="s">
        <v>4808</v>
      </c>
      <c r="I5229" t="s">
        <v>5191</v>
      </c>
      <c r="J5229">
        <v>3</v>
      </c>
      <c r="K5229" t="s">
        <v>4749</v>
      </c>
      <c r="L5229">
        <v>643.74</v>
      </c>
      <c r="M5229">
        <v>214.58</v>
      </c>
      <c r="N5229" t="s">
        <v>5272</v>
      </c>
      <c r="O5229" t="s">
        <v>459</v>
      </c>
    </row>
    <row r="5230" spans="1:15" x14ac:dyDescent="0.3">
      <c r="A5230">
        <v>190390</v>
      </c>
      <c r="B5230">
        <v>105</v>
      </c>
      <c r="C5230" t="s">
        <v>557</v>
      </c>
      <c r="D5230" t="s">
        <v>3723</v>
      </c>
      <c r="E5230" t="s">
        <v>3729</v>
      </c>
      <c r="F5230" s="451">
        <v>46027</v>
      </c>
      <c r="G5230">
        <v>19634</v>
      </c>
      <c r="H5230" t="s">
        <v>4792</v>
      </c>
      <c r="I5230" t="s">
        <v>5191</v>
      </c>
      <c r="J5230">
        <v>3</v>
      </c>
      <c r="K5230" t="s">
        <v>4744</v>
      </c>
      <c r="L5230">
        <v>18.75</v>
      </c>
      <c r="M5230">
        <v>6.25</v>
      </c>
      <c r="N5230" t="s">
        <v>5400</v>
      </c>
      <c r="O5230" t="s">
        <v>459</v>
      </c>
    </row>
    <row r="5231" spans="1:15" x14ac:dyDescent="0.3">
      <c r="A5231">
        <v>190390</v>
      </c>
      <c r="B5231">
        <v>105</v>
      </c>
      <c r="C5231" t="s">
        <v>557</v>
      </c>
      <c r="D5231" t="s">
        <v>3723</v>
      </c>
      <c r="E5231" t="s">
        <v>3729</v>
      </c>
      <c r="F5231" s="451">
        <v>46027</v>
      </c>
      <c r="G5231">
        <v>19621</v>
      </c>
      <c r="H5231" t="s">
        <v>4829</v>
      </c>
      <c r="I5231" t="s">
        <v>5191</v>
      </c>
      <c r="J5231">
        <v>3</v>
      </c>
      <c r="K5231" t="s">
        <v>4744</v>
      </c>
      <c r="L5231">
        <v>13.14</v>
      </c>
      <c r="M5231">
        <v>4.38</v>
      </c>
      <c r="N5231" t="s">
        <v>5400</v>
      </c>
      <c r="O5231" t="s">
        <v>459</v>
      </c>
    </row>
    <row r="5232" spans="1:15" x14ac:dyDescent="0.3">
      <c r="A5232">
        <v>190390</v>
      </c>
      <c r="B5232">
        <v>105</v>
      </c>
      <c r="C5232" t="s">
        <v>557</v>
      </c>
      <c r="D5232" t="s">
        <v>3723</v>
      </c>
      <c r="E5232" t="s">
        <v>3729</v>
      </c>
      <c r="F5232" s="451">
        <v>46027</v>
      </c>
      <c r="G5232">
        <v>24083</v>
      </c>
      <c r="H5232" t="s">
        <v>5165</v>
      </c>
      <c r="I5232" t="s">
        <v>5191</v>
      </c>
      <c r="J5232">
        <v>30</v>
      </c>
      <c r="K5232" t="s">
        <v>4744</v>
      </c>
      <c r="L5232">
        <v>93.9</v>
      </c>
      <c r="M5232">
        <v>3.13</v>
      </c>
      <c r="N5232" t="s">
        <v>5400</v>
      </c>
      <c r="O5232" t="s">
        <v>459</v>
      </c>
    </row>
    <row r="5233" spans="1:15" x14ac:dyDescent="0.3">
      <c r="A5233">
        <v>190390</v>
      </c>
      <c r="B5233">
        <v>105</v>
      </c>
      <c r="C5233" t="s">
        <v>557</v>
      </c>
      <c r="D5233" t="s">
        <v>3723</v>
      </c>
      <c r="E5233" t="s">
        <v>3729</v>
      </c>
      <c r="F5233" s="451">
        <v>46027</v>
      </c>
      <c r="G5233">
        <v>19505</v>
      </c>
      <c r="H5233" t="s">
        <v>4872</v>
      </c>
      <c r="I5233" t="s">
        <v>5191</v>
      </c>
      <c r="J5233">
        <v>3</v>
      </c>
      <c r="K5233" t="s">
        <v>4744</v>
      </c>
      <c r="L5233">
        <v>37.5</v>
      </c>
      <c r="M5233">
        <v>12.5</v>
      </c>
      <c r="N5233" t="s">
        <v>5400</v>
      </c>
      <c r="O5233" t="s">
        <v>459</v>
      </c>
    </row>
    <row r="5234" spans="1:15" x14ac:dyDescent="0.3">
      <c r="A5234">
        <v>190390</v>
      </c>
      <c r="B5234">
        <v>105</v>
      </c>
      <c r="C5234" t="s">
        <v>557</v>
      </c>
      <c r="D5234" t="s">
        <v>3723</v>
      </c>
      <c r="E5234" t="s">
        <v>3729</v>
      </c>
      <c r="F5234" s="451">
        <v>46027</v>
      </c>
      <c r="G5234">
        <v>19480</v>
      </c>
      <c r="H5234" t="s">
        <v>5119</v>
      </c>
      <c r="I5234" t="s">
        <v>5191</v>
      </c>
      <c r="J5234">
        <v>0.5</v>
      </c>
      <c r="K5234" t="s">
        <v>4744</v>
      </c>
      <c r="L5234">
        <v>8.75</v>
      </c>
      <c r="M5234">
        <v>17.5</v>
      </c>
      <c r="N5234" t="s">
        <v>5400</v>
      </c>
      <c r="O5234" t="s">
        <v>459</v>
      </c>
    </row>
    <row r="5235" spans="1:15" x14ac:dyDescent="0.3">
      <c r="A5235">
        <v>190390</v>
      </c>
      <c r="B5235">
        <v>105</v>
      </c>
      <c r="C5235" t="s">
        <v>557</v>
      </c>
      <c r="D5235" t="s">
        <v>3723</v>
      </c>
      <c r="E5235" t="s">
        <v>3729</v>
      </c>
      <c r="F5235" s="451">
        <v>46027</v>
      </c>
      <c r="G5235">
        <v>19502</v>
      </c>
      <c r="H5235" t="s">
        <v>4871</v>
      </c>
      <c r="I5235" t="s">
        <v>5191</v>
      </c>
      <c r="J5235">
        <v>3</v>
      </c>
      <c r="K5235" t="s">
        <v>4744</v>
      </c>
      <c r="L5235">
        <v>42.84</v>
      </c>
      <c r="M5235">
        <v>14.28</v>
      </c>
      <c r="N5235" t="s">
        <v>5400</v>
      </c>
      <c r="O5235" t="s">
        <v>459</v>
      </c>
    </row>
    <row r="5236" spans="1:15" x14ac:dyDescent="0.3">
      <c r="A5236">
        <v>190390</v>
      </c>
      <c r="B5236">
        <v>105</v>
      </c>
      <c r="C5236" t="s">
        <v>557</v>
      </c>
      <c r="D5236" t="s">
        <v>3723</v>
      </c>
      <c r="E5236" t="s">
        <v>3729</v>
      </c>
      <c r="F5236" s="451">
        <v>46027</v>
      </c>
      <c r="G5236">
        <v>19507</v>
      </c>
      <c r="H5236" t="s">
        <v>4853</v>
      </c>
      <c r="I5236" t="s">
        <v>5191</v>
      </c>
      <c r="J5236">
        <v>2</v>
      </c>
      <c r="K5236" t="s">
        <v>4744</v>
      </c>
      <c r="L5236">
        <v>28.12</v>
      </c>
      <c r="M5236">
        <v>14.06</v>
      </c>
      <c r="N5236" t="s">
        <v>5400</v>
      </c>
      <c r="O5236" t="s">
        <v>459</v>
      </c>
    </row>
    <row r="5237" spans="1:15" x14ac:dyDescent="0.3">
      <c r="A5237">
        <v>190390</v>
      </c>
      <c r="B5237">
        <v>105</v>
      </c>
      <c r="C5237" t="s">
        <v>557</v>
      </c>
      <c r="D5237" t="s">
        <v>3723</v>
      </c>
      <c r="E5237" t="s">
        <v>3729</v>
      </c>
      <c r="F5237" s="451">
        <v>46027</v>
      </c>
      <c r="G5237">
        <v>19562</v>
      </c>
      <c r="H5237" t="s">
        <v>4939</v>
      </c>
      <c r="I5237" t="s">
        <v>5191</v>
      </c>
      <c r="J5237">
        <v>1</v>
      </c>
      <c r="K5237" t="s">
        <v>4744</v>
      </c>
      <c r="L5237">
        <v>15</v>
      </c>
      <c r="M5237">
        <v>15</v>
      </c>
      <c r="N5237" t="s">
        <v>5400</v>
      </c>
      <c r="O5237" t="s">
        <v>459</v>
      </c>
    </row>
    <row r="5238" spans="1:15" x14ac:dyDescent="0.3">
      <c r="A5238">
        <v>190390</v>
      </c>
      <c r="B5238">
        <v>105</v>
      </c>
      <c r="C5238" t="s">
        <v>557</v>
      </c>
      <c r="D5238" t="s">
        <v>3723</v>
      </c>
      <c r="E5238" t="s">
        <v>3729</v>
      </c>
      <c r="F5238" s="451">
        <v>46027</v>
      </c>
      <c r="G5238">
        <v>19734</v>
      </c>
      <c r="H5238" t="s">
        <v>4833</v>
      </c>
      <c r="I5238" t="s">
        <v>5191</v>
      </c>
      <c r="J5238">
        <v>8.5</v>
      </c>
      <c r="K5238" t="s">
        <v>4744</v>
      </c>
      <c r="L5238">
        <v>127.5</v>
      </c>
      <c r="M5238">
        <v>15</v>
      </c>
      <c r="N5238" t="s">
        <v>5400</v>
      </c>
      <c r="O5238" t="s">
        <v>459</v>
      </c>
    </row>
    <row r="5239" spans="1:15" x14ac:dyDescent="0.3">
      <c r="A5239">
        <v>190390</v>
      </c>
      <c r="B5239">
        <v>105</v>
      </c>
      <c r="C5239" t="s">
        <v>557</v>
      </c>
      <c r="D5239" t="s">
        <v>3723</v>
      </c>
      <c r="E5239" t="s">
        <v>3729</v>
      </c>
      <c r="F5239" s="451">
        <v>46027</v>
      </c>
      <c r="G5239">
        <v>24489</v>
      </c>
      <c r="H5239" t="s">
        <v>5121</v>
      </c>
      <c r="I5239" t="s">
        <v>5191</v>
      </c>
      <c r="J5239">
        <v>1</v>
      </c>
      <c r="K5239" t="s">
        <v>4744</v>
      </c>
      <c r="L5239">
        <v>25</v>
      </c>
      <c r="M5239">
        <v>25</v>
      </c>
      <c r="N5239" t="s">
        <v>5400</v>
      </c>
      <c r="O5239" t="s">
        <v>459</v>
      </c>
    </row>
    <row r="5240" spans="1:15" x14ac:dyDescent="0.3">
      <c r="A5240">
        <v>190390</v>
      </c>
      <c r="B5240">
        <v>105</v>
      </c>
      <c r="C5240" t="s">
        <v>557</v>
      </c>
      <c r="D5240" t="s">
        <v>3723</v>
      </c>
      <c r="E5240" t="s">
        <v>3729</v>
      </c>
      <c r="F5240" s="451">
        <v>46027</v>
      </c>
      <c r="G5240">
        <v>19635</v>
      </c>
      <c r="H5240" t="s">
        <v>4786</v>
      </c>
      <c r="I5240" t="s">
        <v>5191</v>
      </c>
      <c r="J5240">
        <v>8</v>
      </c>
      <c r="K5240" t="s">
        <v>4744</v>
      </c>
      <c r="L5240">
        <v>30</v>
      </c>
      <c r="M5240">
        <v>3.75</v>
      </c>
      <c r="N5240" t="s">
        <v>5400</v>
      </c>
      <c r="O5240" t="s">
        <v>459</v>
      </c>
    </row>
    <row r="5241" spans="1:15" x14ac:dyDescent="0.3">
      <c r="A5241">
        <v>190390</v>
      </c>
      <c r="B5241">
        <v>105</v>
      </c>
      <c r="C5241" t="s">
        <v>557</v>
      </c>
      <c r="D5241" t="s">
        <v>3723</v>
      </c>
      <c r="E5241" t="s">
        <v>3729</v>
      </c>
      <c r="F5241" s="451">
        <v>46027</v>
      </c>
      <c r="G5241">
        <v>23096</v>
      </c>
      <c r="H5241" t="s">
        <v>5164</v>
      </c>
      <c r="I5241" t="s">
        <v>5191</v>
      </c>
      <c r="J5241">
        <v>60</v>
      </c>
      <c r="K5241" t="s">
        <v>4736</v>
      </c>
      <c r="L5241">
        <v>32.4</v>
      </c>
      <c r="M5241">
        <v>0.54</v>
      </c>
      <c r="N5241" t="s">
        <v>5400</v>
      </c>
      <c r="O5241" t="s">
        <v>459</v>
      </c>
    </row>
    <row r="5242" spans="1:15" x14ac:dyDescent="0.3">
      <c r="A5242">
        <v>190390</v>
      </c>
      <c r="B5242">
        <v>105</v>
      </c>
      <c r="C5242" t="s">
        <v>557</v>
      </c>
      <c r="D5242" t="s">
        <v>3723</v>
      </c>
      <c r="E5242" t="s">
        <v>3729</v>
      </c>
      <c r="F5242" s="451">
        <v>46027</v>
      </c>
      <c r="G5242">
        <v>23198</v>
      </c>
      <c r="H5242" t="s">
        <v>4962</v>
      </c>
      <c r="I5242" t="s">
        <v>5191</v>
      </c>
      <c r="J5242">
        <v>1</v>
      </c>
      <c r="K5242" t="s">
        <v>4744</v>
      </c>
      <c r="L5242">
        <v>15</v>
      </c>
      <c r="M5242">
        <v>15</v>
      </c>
      <c r="N5242" t="s">
        <v>5400</v>
      </c>
      <c r="O5242" t="s">
        <v>459</v>
      </c>
    </row>
    <row r="5243" spans="1:15" x14ac:dyDescent="0.3">
      <c r="A5243">
        <v>190390</v>
      </c>
      <c r="B5243">
        <v>105</v>
      </c>
      <c r="C5243" t="s">
        <v>557</v>
      </c>
      <c r="D5243" t="s">
        <v>3723</v>
      </c>
      <c r="E5243" t="s">
        <v>3729</v>
      </c>
      <c r="F5243" s="451">
        <v>46027</v>
      </c>
      <c r="G5243">
        <v>23385</v>
      </c>
      <c r="H5243" t="s">
        <v>4938</v>
      </c>
      <c r="I5243" t="s">
        <v>5191</v>
      </c>
      <c r="J5243">
        <v>1.2</v>
      </c>
      <c r="K5243" t="s">
        <v>4744</v>
      </c>
      <c r="L5243">
        <v>46.5</v>
      </c>
      <c r="M5243">
        <v>38.75</v>
      </c>
      <c r="N5243" t="s">
        <v>5400</v>
      </c>
      <c r="O5243" t="s">
        <v>459</v>
      </c>
    </row>
    <row r="5244" spans="1:15" x14ac:dyDescent="0.3">
      <c r="A5244">
        <v>190390</v>
      </c>
      <c r="B5244">
        <v>105</v>
      </c>
      <c r="C5244" t="s">
        <v>557</v>
      </c>
      <c r="D5244" t="s">
        <v>3723</v>
      </c>
      <c r="E5244" t="s">
        <v>3729</v>
      </c>
      <c r="F5244" s="451">
        <v>46027</v>
      </c>
      <c r="G5244">
        <v>19490</v>
      </c>
      <c r="H5244" t="s">
        <v>5116</v>
      </c>
      <c r="I5244" t="s">
        <v>5191</v>
      </c>
      <c r="J5244">
        <v>1.5</v>
      </c>
      <c r="K5244" t="s">
        <v>4744</v>
      </c>
      <c r="L5244">
        <v>99.99</v>
      </c>
      <c r="M5244">
        <v>66.66</v>
      </c>
      <c r="N5244" t="s">
        <v>5400</v>
      </c>
      <c r="O5244" t="s">
        <v>459</v>
      </c>
    </row>
    <row r="5245" spans="1:15" x14ac:dyDescent="0.3">
      <c r="A5245">
        <v>190390</v>
      </c>
      <c r="B5245">
        <v>105</v>
      </c>
      <c r="C5245" t="s">
        <v>557</v>
      </c>
      <c r="D5245" t="s">
        <v>3723</v>
      </c>
      <c r="E5245" t="s">
        <v>3729</v>
      </c>
      <c r="F5245" s="451">
        <v>46027</v>
      </c>
      <c r="G5245">
        <v>19472</v>
      </c>
      <c r="H5245" t="s">
        <v>4906</v>
      </c>
      <c r="I5245" t="s">
        <v>5191</v>
      </c>
      <c r="J5245">
        <v>2</v>
      </c>
      <c r="K5245" t="s">
        <v>4744</v>
      </c>
      <c r="L5245">
        <v>46.88</v>
      </c>
      <c r="M5245">
        <v>23.44</v>
      </c>
      <c r="N5245" t="s">
        <v>5400</v>
      </c>
      <c r="O5245" t="s">
        <v>459</v>
      </c>
    </row>
    <row r="5246" spans="1:15" x14ac:dyDescent="0.3">
      <c r="A5246">
        <v>190390</v>
      </c>
      <c r="B5246">
        <v>105</v>
      </c>
      <c r="C5246" t="s">
        <v>557</v>
      </c>
      <c r="D5246" t="s">
        <v>3723</v>
      </c>
      <c r="E5246" t="s">
        <v>3729</v>
      </c>
      <c r="F5246" s="451">
        <v>46027</v>
      </c>
      <c r="G5246">
        <v>19532</v>
      </c>
      <c r="H5246" t="s">
        <v>4753</v>
      </c>
      <c r="I5246" t="s">
        <v>5191</v>
      </c>
      <c r="J5246">
        <v>20</v>
      </c>
      <c r="K5246" t="s">
        <v>4744</v>
      </c>
      <c r="L5246">
        <v>145</v>
      </c>
      <c r="M5246">
        <v>7.25</v>
      </c>
      <c r="N5246" t="s">
        <v>5400</v>
      </c>
      <c r="O5246" t="s">
        <v>459</v>
      </c>
    </row>
    <row r="5247" spans="1:15" x14ac:dyDescent="0.3">
      <c r="A5247">
        <v>190376</v>
      </c>
      <c r="B5247">
        <v>105</v>
      </c>
      <c r="C5247" t="s">
        <v>557</v>
      </c>
      <c r="D5247" t="s">
        <v>3723</v>
      </c>
      <c r="E5247" t="s">
        <v>3730</v>
      </c>
      <c r="F5247" s="451">
        <v>46024</v>
      </c>
      <c r="G5247">
        <v>19617</v>
      </c>
      <c r="H5247" t="s">
        <v>5071</v>
      </c>
      <c r="I5247" t="s">
        <v>5191</v>
      </c>
      <c r="J5247">
        <v>0.4</v>
      </c>
      <c r="K5247" t="s">
        <v>4744</v>
      </c>
      <c r="L5247">
        <v>10.28</v>
      </c>
      <c r="M5247">
        <v>25.7</v>
      </c>
      <c r="N5247" t="s">
        <v>5191</v>
      </c>
      <c r="O5247" t="s">
        <v>459</v>
      </c>
    </row>
    <row r="5248" spans="1:15" x14ac:dyDescent="0.3">
      <c r="A5248">
        <v>190376</v>
      </c>
      <c r="B5248">
        <v>105</v>
      </c>
      <c r="C5248" t="s">
        <v>557</v>
      </c>
      <c r="D5248" t="s">
        <v>3723</v>
      </c>
      <c r="E5248" t="s">
        <v>3730</v>
      </c>
      <c r="F5248" s="451">
        <v>46024</v>
      </c>
      <c r="G5248">
        <v>19502</v>
      </c>
      <c r="H5248" t="s">
        <v>4871</v>
      </c>
      <c r="I5248" t="s">
        <v>5191</v>
      </c>
      <c r="J5248">
        <v>2.5</v>
      </c>
      <c r="K5248" t="s">
        <v>4744</v>
      </c>
      <c r="L5248">
        <v>34.25</v>
      </c>
      <c r="M5248">
        <v>13.7</v>
      </c>
      <c r="N5248" t="s">
        <v>5191</v>
      </c>
      <c r="O5248" t="s">
        <v>459</v>
      </c>
    </row>
    <row r="5249" spans="1:15" x14ac:dyDescent="0.3">
      <c r="A5249">
        <v>190376</v>
      </c>
      <c r="B5249">
        <v>105</v>
      </c>
      <c r="C5249" t="s">
        <v>557</v>
      </c>
      <c r="D5249" t="s">
        <v>3723</v>
      </c>
      <c r="E5249" t="s">
        <v>3730</v>
      </c>
      <c r="F5249" s="451">
        <v>46024</v>
      </c>
      <c r="G5249">
        <v>23198</v>
      </c>
      <c r="H5249" t="s">
        <v>4962</v>
      </c>
      <c r="I5249" t="s">
        <v>5191</v>
      </c>
      <c r="J5249">
        <v>1</v>
      </c>
      <c r="K5249" t="s">
        <v>4744</v>
      </c>
      <c r="L5249">
        <v>12</v>
      </c>
      <c r="M5249">
        <v>12</v>
      </c>
      <c r="N5249" t="s">
        <v>5191</v>
      </c>
      <c r="O5249" t="s">
        <v>459</v>
      </c>
    </row>
    <row r="5250" spans="1:15" x14ac:dyDescent="0.3">
      <c r="A5250">
        <v>190376</v>
      </c>
      <c r="B5250">
        <v>105</v>
      </c>
      <c r="C5250" t="s">
        <v>557</v>
      </c>
      <c r="D5250" t="s">
        <v>3723</v>
      </c>
      <c r="E5250" t="s">
        <v>3730</v>
      </c>
      <c r="F5250" s="451">
        <v>46024</v>
      </c>
      <c r="G5250">
        <v>23361</v>
      </c>
      <c r="H5250" t="s">
        <v>4754</v>
      </c>
      <c r="I5250" t="s">
        <v>5191</v>
      </c>
      <c r="J5250">
        <v>20</v>
      </c>
      <c r="K5250" t="s">
        <v>4744</v>
      </c>
      <c r="L5250">
        <v>60</v>
      </c>
      <c r="M5250">
        <v>3</v>
      </c>
      <c r="N5250" t="s">
        <v>5191</v>
      </c>
      <c r="O5250" t="s">
        <v>459</v>
      </c>
    </row>
    <row r="5251" spans="1:15" x14ac:dyDescent="0.3">
      <c r="A5251">
        <v>190376</v>
      </c>
      <c r="B5251">
        <v>105</v>
      </c>
      <c r="C5251" t="s">
        <v>557</v>
      </c>
      <c r="D5251" t="s">
        <v>3723</v>
      </c>
      <c r="E5251" t="s">
        <v>3730</v>
      </c>
      <c r="F5251" s="451">
        <v>46024</v>
      </c>
      <c r="G5251">
        <v>23390</v>
      </c>
      <c r="H5251" t="s">
        <v>4873</v>
      </c>
      <c r="I5251" t="s">
        <v>5191</v>
      </c>
      <c r="J5251">
        <v>1</v>
      </c>
      <c r="K5251" t="s">
        <v>4744</v>
      </c>
      <c r="L5251">
        <v>9</v>
      </c>
      <c r="M5251">
        <v>9</v>
      </c>
      <c r="N5251" t="s">
        <v>5191</v>
      </c>
      <c r="O5251" t="s">
        <v>459</v>
      </c>
    </row>
    <row r="5252" spans="1:15" x14ac:dyDescent="0.3">
      <c r="A5252">
        <v>190375</v>
      </c>
      <c r="B5252">
        <v>105</v>
      </c>
      <c r="C5252" t="s">
        <v>557</v>
      </c>
      <c r="D5252" t="s">
        <v>2716</v>
      </c>
      <c r="E5252" t="s">
        <v>3731</v>
      </c>
      <c r="F5252" s="451">
        <v>46023</v>
      </c>
      <c r="G5252">
        <v>24351</v>
      </c>
      <c r="H5252" t="s">
        <v>5014</v>
      </c>
      <c r="I5252" t="s">
        <v>5191</v>
      </c>
      <c r="J5252">
        <v>6</v>
      </c>
      <c r="K5252" t="s">
        <v>4744</v>
      </c>
      <c r="L5252">
        <v>180</v>
      </c>
      <c r="M5252">
        <v>30</v>
      </c>
      <c r="N5252" t="s">
        <v>5191</v>
      </c>
      <c r="O5252" t="s">
        <v>459</v>
      </c>
    </row>
    <row r="5253" spans="1:15" x14ac:dyDescent="0.3">
      <c r="A5253">
        <v>190373</v>
      </c>
      <c r="B5253">
        <v>105</v>
      </c>
      <c r="C5253" t="s">
        <v>557</v>
      </c>
      <c r="D5253" t="s">
        <v>2590</v>
      </c>
      <c r="E5253" t="s">
        <v>3732</v>
      </c>
      <c r="F5253" s="451">
        <v>46027</v>
      </c>
      <c r="G5253">
        <v>18589</v>
      </c>
      <c r="H5253" t="s">
        <v>5089</v>
      </c>
      <c r="I5253" t="s">
        <v>5222</v>
      </c>
      <c r="J5253">
        <v>1</v>
      </c>
      <c r="K5253" t="s">
        <v>4738</v>
      </c>
      <c r="L5253">
        <v>67.39</v>
      </c>
      <c r="M5253">
        <v>67.39</v>
      </c>
      <c r="N5253" t="s">
        <v>5271</v>
      </c>
      <c r="O5253" t="s">
        <v>459</v>
      </c>
    </row>
    <row r="5254" spans="1:15" x14ac:dyDescent="0.3">
      <c r="A5254">
        <v>190373</v>
      </c>
      <c r="B5254">
        <v>105</v>
      </c>
      <c r="C5254" t="s">
        <v>557</v>
      </c>
      <c r="D5254" t="s">
        <v>2590</v>
      </c>
      <c r="E5254" t="s">
        <v>3732</v>
      </c>
      <c r="F5254" s="451">
        <v>46027</v>
      </c>
      <c r="G5254">
        <v>17905</v>
      </c>
      <c r="H5254" t="s">
        <v>5085</v>
      </c>
      <c r="I5254" t="s">
        <v>5222</v>
      </c>
      <c r="J5254">
        <v>8</v>
      </c>
      <c r="K5254" t="s">
        <v>4738</v>
      </c>
      <c r="L5254">
        <v>159.76</v>
      </c>
      <c r="M5254">
        <v>19.97</v>
      </c>
      <c r="N5254" t="s">
        <v>5271</v>
      </c>
      <c r="O5254" t="s">
        <v>459</v>
      </c>
    </row>
    <row r="5255" spans="1:15" x14ac:dyDescent="0.3">
      <c r="A5255">
        <v>190373</v>
      </c>
      <c r="B5255">
        <v>105</v>
      </c>
      <c r="C5255" t="s">
        <v>557</v>
      </c>
      <c r="D5255" t="s">
        <v>2590</v>
      </c>
      <c r="E5255" t="s">
        <v>3732</v>
      </c>
      <c r="F5255" s="451">
        <v>46027</v>
      </c>
      <c r="G5255">
        <v>17895</v>
      </c>
      <c r="H5255" t="s">
        <v>5086</v>
      </c>
      <c r="I5255" t="s">
        <v>5222</v>
      </c>
      <c r="J5255">
        <v>2</v>
      </c>
      <c r="K5255" t="s">
        <v>4738</v>
      </c>
      <c r="L5255">
        <v>46.12</v>
      </c>
      <c r="M5255">
        <v>23.06</v>
      </c>
      <c r="N5255" t="s">
        <v>5271</v>
      </c>
      <c r="O5255" t="s">
        <v>459</v>
      </c>
    </row>
    <row r="5256" spans="1:15" x14ac:dyDescent="0.3">
      <c r="A5256">
        <v>190373</v>
      </c>
      <c r="B5256">
        <v>105</v>
      </c>
      <c r="C5256" t="s">
        <v>557</v>
      </c>
      <c r="D5256" t="s">
        <v>2590</v>
      </c>
      <c r="E5256" t="s">
        <v>3732</v>
      </c>
      <c r="F5256" s="451">
        <v>46027</v>
      </c>
      <c r="G5256">
        <v>17886</v>
      </c>
      <c r="H5256" t="s">
        <v>5083</v>
      </c>
      <c r="I5256" t="s">
        <v>5222</v>
      </c>
      <c r="J5256">
        <v>7</v>
      </c>
      <c r="K5256" t="s">
        <v>4738</v>
      </c>
      <c r="L5256">
        <v>161.41999999999999</v>
      </c>
      <c r="M5256">
        <v>23.06</v>
      </c>
      <c r="N5256" t="s">
        <v>5271</v>
      </c>
      <c r="O5256" t="s">
        <v>459</v>
      </c>
    </row>
    <row r="5257" spans="1:15" x14ac:dyDescent="0.3">
      <c r="A5257">
        <v>190373</v>
      </c>
      <c r="B5257">
        <v>105</v>
      </c>
      <c r="C5257" t="s">
        <v>557</v>
      </c>
      <c r="D5257" t="s">
        <v>2590</v>
      </c>
      <c r="E5257" t="s">
        <v>3732</v>
      </c>
      <c r="F5257" s="451">
        <v>46027</v>
      </c>
      <c r="G5257">
        <v>18586</v>
      </c>
      <c r="H5257" t="s">
        <v>4966</v>
      </c>
      <c r="I5257" t="s">
        <v>5222</v>
      </c>
      <c r="J5257">
        <v>1</v>
      </c>
      <c r="K5257" t="s">
        <v>4738</v>
      </c>
      <c r="L5257">
        <v>107.63</v>
      </c>
      <c r="M5257">
        <v>107.63</v>
      </c>
      <c r="N5257" t="s">
        <v>5271</v>
      </c>
      <c r="O5257" t="s">
        <v>459</v>
      </c>
    </row>
    <row r="5258" spans="1:15" x14ac:dyDescent="0.3">
      <c r="A5258">
        <v>190373</v>
      </c>
      <c r="B5258">
        <v>105</v>
      </c>
      <c r="C5258" t="s">
        <v>557</v>
      </c>
      <c r="D5258" t="s">
        <v>2590</v>
      </c>
      <c r="E5258" t="s">
        <v>3732</v>
      </c>
      <c r="F5258" s="451">
        <v>46027</v>
      </c>
      <c r="G5258">
        <v>17903</v>
      </c>
      <c r="H5258" t="s">
        <v>5084</v>
      </c>
      <c r="I5258" t="s">
        <v>5222</v>
      </c>
      <c r="J5258">
        <v>8</v>
      </c>
      <c r="K5258" t="s">
        <v>4738</v>
      </c>
      <c r="L5258">
        <v>159.76</v>
      </c>
      <c r="M5258">
        <v>19.97</v>
      </c>
      <c r="N5258" t="s">
        <v>5271</v>
      </c>
      <c r="O5258" t="s">
        <v>459</v>
      </c>
    </row>
    <row r="5259" spans="1:15" x14ac:dyDescent="0.3">
      <c r="A5259">
        <v>190370</v>
      </c>
      <c r="B5259">
        <v>105</v>
      </c>
      <c r="C5259" t="s">
        <v>557</v>
      </c>
      <c r="D5259" t="s">
        <v>2590</v>
      </c>
      <c r="E5259" t="s">
        <v>3733</v>
      </c>
      <c r="F5259" s="451">
        <v>46026</v>
      </c>
      <c r="G5259">
        <v>18636</v>
      </c>
      <c r="H5259" t="s">
        <v>4964</v>
      </c>
      <c r="I5259" t="s">
        <v>5222</v>
      </c>
      <c r="J5259">
        <v>8</v>
      </c>
      <c r="K5259" t="s">
        <v>4965</v>
      </c>
      <c r="L5259">
        <v>2813.92</v>
      </c>
      <c r="M5259">
        <v>351.74</v>
      </c>
      <c r="N5259" t="s">
        <v>5271</v>
      </c>
      <c r="O5259" t="s">
        <v>459</v>
      </c>
    </row>
    <row r="5260" spans="1:15" x14ac:dyDescent="0.3">
      <c r="A5260">
        <v>190370</v>
      </c>
      <c r="B5260">
        <v>105</v>
      </c>
      <c r="C5260" t="s">
        <v>557</v>
      </c>
      <c r="D5260" t="s">
        <v>2590</v>
      </c>
      <c r="E5260" t="s">
        <v>3733</v>
      </c>
      <c r="F5260" s="451">
        <v>46026</v>
      </c>
      <c r="G5260">
        <v>17905</v>
      </c>
      <c r="H5260" t="s">
        <v>5085</v>
      </c>
      <c r="I5260" t="s">
        <v>5222</v>
      </c>
      <c r="J5260">
        <v>4</v>
      </c>
      <c r="K5260" t="s">
        <v>4738</v>
      </c>
      <c r="L5260">
        <v>79.88</v>
      </c>
      <c r="M5260">
        <v>19.97</v>
      </c>
      <c r="N5260" t="s">
        <v>5271</v>
      </c>
      <c r="O5260" t="s">
        <v>459</v>
      </c>
    </row>
    <row r="5261" spans="1:15" x14ac:dyDescent="0.3">
      <c r="A5261">
        <v>190370</v>
      </c>
      <c r="B5261">
        <v>105</v>
      </c>
      <c r="C5261" t="s">
        <v>557</v>
      </c>
      <c r="D5261" t="s">
        <v>2590</v>
      </c>
      <c r="E5261" t="s">
        <v>3733</v>
      </c>
      <c r="F5261" s="451">
        <v>46026</v>
      </c>
      <c r="G5261">
        <v>17883</v>
      </c>
      <c r="H5261" t="s">
        <v>5113</v>
      </c>
      <c r="I5261" t="s">
        <v>5222</v>
      </c>
      <c r="J5261">
        <v>5</v>
      </c>
      <c r="K5261" t="s">
        <v>4738</v>
      </c>
      <c r="L5261">
        <v>117.25</v>
      </c>
      <c r="M5261">
        <v>23.45</v>
      </c>
      <c r="N5261" t="s">
        <v>5271</v>
      </c>
      <c r="O5261" t="s">
        <v>459</v>
      </c>
    </row>
    <row r="5262" spans="1:15" x14ac:dyDescent="0.3">
      <c r="A5262">
        <v>190370</v>
      </c>
      <c r="B5262">
        <v>105</v>
      </c>
      <c r="C5262" t="s">
        <v>557</v>
      </c>
      <c r="D5262" t="s">
        <v>2590</v>
      </c>
      <c r="E5262" t="s">
        <v>3733</v>
      </c>
      <c r="F5262" s="451">
        <v>46026</v>
      </c>
      <c r="G5262">
        <v>17881</v>
      </c>
      <c r="H5262" t="s">
        <v>5103</v>
      </c>
      <c r="I5262" t="s">
        <v>5222</v>
      </c>
      <c r="J5262">
        <v>5</v>
      </c>
      <c r="K5262" t="s">
        <v>4738</v>
      </c>
      <c r="L5262">
        <v>100.55</v>
      </c>
      <c r="M5262">
        <v>20.11</v>
      </c>
      <c r="N5262" t="s">
        <v>5271</v>
      </c>
      <c r="O5262" t="s">
        <v>459</v>
      </c>
    </row>
    <row r="5263" spans="1:15" x14ac:dyDescent="0.3">
      <c r="A5263">
        <v>190370</v>
      </c>
      <c r="B5263">
        <v>105</v>
      </c>
      <c r="C5263" t="s">
        <v>557</v>
      </c>
      <c r="D5263" t="s">
        <v>2590</v>
      </c>
      <c r="E5263" t="s">
        <v>3733</v>
      </c>
      <c r="F5263" s="451">
        <v>46026</v>
      </c>
      <c r="G5263">
        <v>17886</v>
      </c>
      <c r="H5263" t="s">
        <v>5083</v>
      </c>
      <c r="I5263" t="s">
        <v>5222</v>
      </c>
      <c r="J5263">
        <v>6</v>
      </c>
      <c r="K5263" t="s">
        <v>4738</v>
      </c>
      <c r="L5263">
        <v>138.36000000000001</v>
      </c>
      <c r="M5263">
        <v>23.06</v>
      </c>
      <c r="N5263" t="s">
        <v>5271</v>
      </c>
      <c r="O5263" t="s">
        <v>459</v>
      </c>
    </row>
    <row r="5264" spans="1:15" x14ac:dyDescent="0.3">
      <c r="A5264">
        <v>190370</v>
      </c>
      <c r="B5264">
        <v>105</v>
      </c>
      <c r="C5264" t="s">
        <v>557</v>
      </c>
      <c r="D5264" t="s">
        <v>2590</v>
      </c>
      <c r="E5264" t="s">
        <v>3733</v>
      </c>
      <c r="F5264" s="451">
        <v>46026</v>
      </c>
      <c r="G5264">
        <v>17903</v>
      </c>
      <c r="H5264" t="s">
        <v>5084</v>
      </c>
      <c r="I5264" t="s">
        <v>5222</v>
      </c>
      <c r="J5264">
        <v>4</v>
      </c>
      <c r="K5264" t="s">
        <v>4738</v>
      </c>
      <c r="L5264">
        <v>79.88</v>
      </c>
      <c r="M5264">
        <v>19.97</v>
      </c>
      <c r="N5264" t="s">
        <v>5271</v>
      </c>
      <c r="O5264" t="s">
        <v>459</v>
      </c>
    </row>
    <row r="5265" spans="1:15" x14ac:dyDescent="0.3">
      <c r="A5265">
        <v>190370</v>
      </c>
      <c r="B5265">
        <v>105</v>
      </c>
      <c r="C5265" t="s">
        <v>557</v>
      </c>
      <c r="D5265" t="s">
        <v>2590</v>
      </c>
      <c r="E5265" t="s">
        <v>3733</v>
      </c>
      <c r="F5265" s="451">
        <v>46026</v>
      </c>
      <c r="G5265">
        <v>24981</v>
      </c>
      <c r="H5265" t="s">
        <v>5140</v>
      </c>
      <c r="I5265" t="s">
        <v>5222</v>
      </c>
      <c r="J5265">
        <v>2</v>
      </c>
      <c r="K5265" t="s">
        <v>4965</v>
      </c>
      <c r="L5265">
        <v>672.92</v>
      </c>
      <c r="M5265">
        <v>336.46</v>
      </c>
      <c r="N5265" t="s">
        <v>5271</v>
      </c>
      <c r="O5265" t="s">
        <v>459</v>
      </c>
    </row>
    <row r="5266" spans="1:15" x14ac:dyDescent="0.3">
      <c r="A5266">
        <v>190369</v>
      </c>
      <c r="B5266">
        <v>105</v>
      </c>
      <c r="C5266" t="s">
        <v>557</v>
      </c>
      <c r="D5266" t="s">
        <v>3425</v>
      </c>
      <c r="E5266" t="s">
        <v>3734</v>
      </c>
      <c r="F5266" s="451">
        <v>46027</v>
      </c>
      <c r="G5266">
        <v>18194</v>
      </c>
      <c r="H5266" t="s">
        <v>4923</v>
      </c>
      <c r="I5266" t="s">
        <v>5222</v>
      </c>
      <c r="J5266">
        <v>2</v>
      </c>
      <c r="K5266" t="s">
        <v>4805</v>
      </c>
      <c r="L5266">
        <v>126</v>
      </c>
      <c r="M5266">
        <v>63</v>
      </c>
      <c r="N5266" t="s">
        <v>5271</v>
      </c>
      <c r="O5266" t="s">
        <v>459</v>
      </c>
    </row>
    <row r="5267" spans="1:15" x14ac:dyDescent="0.3">
      <c r="A5267">
        <v>190369</v>
      </c>
      <c r="B5267">
        <v>105</v>
      </c>
      <c r="C5267" t="s">
        <v>557</v>
      </c>
      <c r="D5267" t="s">
        <v>3425</v>
      </c>
      <c r="E5267" t="s">
        <v>3734</v>
      </c>
      <c r="F5267" s="451">
        <v>46027</v>
      </c>
      <c r="G5267">
        <v>18129</v>
      </c>
      <c r="H5267" t="s">
        <v>5043</v>
      </c>
      <c r="I5267" t="s">
        <v>5222</v>
      </c>
      <c r="J5267">
        <v>1</v>
      </c>
      <c r="K5267" t="s">
        <v>4805</v>
      </c>
      <c r="L5267">
        <v>114</v>
      </c>
      <c r="M5267">
        <v>114</v>
      </c>
      <c r="N5267" t="s">
        <v>5271</v>
      </c>
      <c r="O5267" t="s">
        <v>459</v>
      </c>
    </row>
    <row r="5268" spans="1:15" x14ac:dyDescent="0.3">
      <c r="A5268">
        <v>190369</v>
      </c>
      <c r="B5268">
        <v>105</v>
      </c>
      <c r="C5268" t="s">
        <v>557</v>
      </c>
      <c r="D5268" t="s">
        <v>3425</v>
      </c>
      <c r="E5268" t="s">
        <v>3734</v>
      </c>
      <c r="F5268" s="451">
        <v>46027</v>
      </c>
      <c r="G5268">
        <v>18157</v>
      </c>
      <c r="H5268" t="s">
        <v>5041</v>
      </c>
      <c r="I5268" t="s">
        <v>5222</v>
      </c>
      <c r="J5268">
        <v>1</v>
      </c>
      <c r="K5268" t="s">
        <v>4805</v>
      </c>
      <c r="L5268">
        <v>179.29</v>
      </c>
      <c r="M5268">
        <v>179.29</v>
      </c>
      <c r="N5268" t="s">
        <v>5271</v>
      </c>
      <c r="O5268" t="s">
        <v>459</v>
      </c>
    </row>
    <row r="5269" spans="1:15" x14ac:dyDescent="0.3">
      <c r="A5269">
        <v>190369</v>
      </c>
      <c r="B5269">
        <v>105</v>
      </c>
      <c r="C5269" t="s">
        <v>557</v>
      </c>
      <c r="D5269" t="s">
        <v>3425</v>
      </c>
      <c r="E5269" t="s">
        <v>3734</v>
      </c>
      <c r="F5269" s="451">
        <v>46027</v>
      </c>
      <c r="G5269">
        <v>18030</v>
      </c>
      <c r="H5269" t="s">
        <v>4840</v>
      </c>
      <c r="I5269" t="s">
        <v>5222</v>
      </c>
      <c r="J5269">
        <v>6</v>
      </c>
      <c r="K5269" t="s">
        <v>4805</v>
      </c>
      <c r="L5269">
        <v>165</v>
      </c>
      <c r="M5269">
        <v>27.5</v>
      </c>
      <c r="N5269" t="s">
        <v>5271</v>
      </c>
      <c r="O5269" t="s">
        <v>459</v>
      </c>
    </row>
    <row r="5270" spans="1:15" x14ac:dyDescent="0.3">
      <c r="A5270">
        <v>190369</v>
      </c>
      <c r="B5270">
        <v>105</v>
      </c>
      <c r="C5270" t="s">
        <v>557</v>
      </c>
      <c r="D5270" t="s">
        <v>3425</v>
      </c>
      <c r="E5270" t="s">
        <v>3734</v>
      </c>
      <c r="F5270" s="451">
        <v>46027</v>
      </c>
      <c r="G5270">
        <v>26150</v>
      </c>
      <c r="H5270" t="s">
        <v>5105</v>
      </c>
      <c r="I5270" t="s">
        <v>5222</v>
      </c>
      <c r="J5270">
        <v>1</v>
      </c>
      <c r="K5270" t="s">
        <v>4805</v>
      </c>
      <c r="L5270">
        <v>86.5</v>
      </c>
      <c r="M5270">
        <v>86.5</v>
      </c>
      <c r="N5270" t="s">
        <v>5271</v>
      </c>
      <c r="O5270" t="s">
        <v>459</v>
      </c>
    </row>
    <row r="5271" spans="1:15" x14ac:dyDescent="0.3">
      <c r="A5271">
        <v>190367</v>
      </c>
      <c r="B5271">
        <v>105</v>
      </c>
      <c r="C5271" t="s">
        <v>557</v>
      </c>
      <c r="D5271" t="s">
        <v>2637</v>
      </c>
      <c r="E5271" t="s">
        <v>3547</v>
      </c>
      <c r="F5271" s="451">
        <v>46028</v>
      </c>
      <c r="G5271">
        <v>18475</v>
      </c>
      <c r="H5271" t="s">
        <v>4895</v>
      </c>
      <c r="I5271" t="s">
        <v>5222</v>
      </c>
      <c r="J5271">
        <v>12</v>
      </c>
      <c r="K5271" t="s">
        <v>4805</v>
      </c>
      <c r="L5271">
        <v>394.8</v>
      </c>
      <c r="M5271">
        <v>32.9</v>
      </c>
      <c r="N5271" t="s">
        <v>5271</v>
      </c>
      <c r="O5271" t="s">
        <v>459</v>
      </c>
    </row>
    <row r="5272" spans="1:15" x14ac:dyDescent="0.3">
      <c r="A5272">
        <v>190366</v>
      </c>
      <c r="B5272">
        <v>105</v>
      </c>
      <c r="C5272" t="s">
        <v>557</v>
      </c>
      <c r="D5272" t="s">
        <v>2581</v>
      </c>
      <c r="E5272" t="s">
        <v>3735</v>
      </c>
      <c r="F5272" s="451">
        <v>46025</v>
      </c>
      <c r="G5272">
        <v>24083</v>
      </c>
      <c r="H5272" t="s">
        <v>5165</v>
      </c>
      <c r="I5272" t="s">
        <v>5191</v>
      </c>
      <c r="J5272">
        <v>40</v>
      </c>
      <c r="K5272" t="s">
        <v>4744</v>
      </c>
      <c r="L5272">
        <v>156</v>
      </c>
      <c r="M5272">
        <v>3.9</v>
      </c>
      <c r="N5272" t="s">
        <v>5272</v>
      </c>
      <c r="O5272" t="s">
        <v>459</v>
      </c>
    </row>
    <row r="5273" spans="1:15" x14ac:dyDescent="0.3">
      <c r="A5273">
        <v>190366</v>
      </c>
      <c r="B5273">
        <v>105</v>
      </c>
      <c r="C5273" t="s">
        <v>557</v>
      </c>
      <c r="D5273" t="s">
        <v>2581</v>
      </c>
      <c r="E5273" t="s">
        <v>3735</v>
      </c>
      <c r="F5273" s="451">
        <v>46025</v>
      </c>
      <c r="G5273">
        <v>19787</v>
      </c>
      <c r="H5273" t="s">
        <v>4793</v>
      </c>
      <c r="I5273" t="s">
        <v>5191</v>
      </c>
      <c r="J5273">
        <v>10</v>
      </c>
      <c r="K5273" t="s">
        <v>4744</v>
      </c>
      <c r="L5273">
        <v>50</v>
      </c>
      <c r="M5273">
        <v>5</v>
      </c>
      <c r="N5273" t="s">
        <v>5272</v>
      </c>
      <c r="O5273" t="s">
        <v>459</v>
      </c>
    </row>
    <row r="5274" spans="1:15" x14ac:dyDescent="0.3">
      <c r="A5274">
        <v>190366</v>
      </c>
      <c r="B5274">
        <v>105</v>
      </c>
      <c r="C5274" t="s">
        <v>557</v>
      </c>
      <c r="D5274" t="s">
        <v>2581</v>
      </c>
      <c r="E5274" t="s">
        <v>3735</v>
      </c>
      <c r="F5274" s="451">
        <v>46025</v>
      </c>
      <c r="G5274">
        <v>19506</v>
      </c>
      <c r="H5274" t="s">
        <v>5122</v>
      </c>
      <c r="I5274" t="s">
        <v>5191</v>
      </c>
      <c r="J5274">
        <v>0.4</v>
      </c>
      <c r="K5274" t="s">
        <v>4744</v>
      </c>
      <c r="L5274">
        <v>18</v>
      </c>
      <c r="M5274">
        <v>45</v>
      </c>
      <c r="N5274" t="s">
        <v>5272</v>
      </c>
      <c r="O5274" t="s">
        <v>459</v>
      </c>
    </row>
    <row r="5275" spans="1:15" x14ac:dyDescent="0.3">
      <c r="A5275">
        <v>190366</v>
      </c>
      <c r="B5275">
        <v>105</v>
      </c>
      <c r="C5275" t="s">
        <v>557</v>
      </c>
      <c r="D5275" t="s">
        <v>2581</v>
      </c>
      <c r="E5275" t="s">
        <v>3735</v>
      </c>
      <c r="F5275" s="451">
        <v>46025</v>
      </c>
      <c r="G5275">
        <v>19480</v>
      </c>
      <c r="H5275" t="s">
        <v>5119</v>
      </c>
      <c r="I5275" t="s">
        <v>5191</v>
      </c>
      <c r="J5275">
        <v>0.4</v>
      </c>
      <c r="K5275" t="s">
        <v>4744</v>
      </c>
      <c r="L5275">
        <v>5.2</v>
      </c>
      <c r="M5275">
        <v>13</v>
      </c>
      <c r="N5275" t="s">
        <v>5272</v>
      </c>
      <c r="O5275" t="s">
        <v>459</v>
      </c>
    </row>
    <row r="5276" spans="1:15" x14ac:dyDescent="0.3">
      <c r="A5276">
        <v>190366</v>
      </c>
      <c r="B5276">
        <v>105</v>
      </c>
      <c r="C5276" t="s">
        <v>557</v>
      </c>
      <c r="D5276" t="s">
        <v>2581</v>
      </c>
      <c r="E5276" t="s">
        <v>3735</v>
      </c>
      <c r="F5276" s="451">
        <v>46025</v>
      </c>
      <c r="G5276">
        <v>24509</v>
      </c>
      <c r="H5276" t="s">
        <v>4788</v>
      </c>
      <c r="I5276" t="s">
        <v>5191</v>
      </c>
      <c r="J5276">
        <v>10</v>
      </c>
      <c r="K5276" t="s">
        <v>4744</v>
      </c>
      <c r="L5276">
        <v>18</v>
      </c>
      <c r="M5276">
        <v>1.8</v>
      </c>
      <c r="N5276" t="s">
        <v>5272</v>
      </c>
      <c r="O5276" t="s">
        <v>459</v>
      </c>
    </row>
    <row r="5277" spans="1:15" x14ac:dyDescent="0.3">
      <c r="A5277">
        <v>190366</v>
      </c>
      <c r="B5277">
        <v>105</v>
      </c>
      <c r="C5277" t="s">
        <v>557</v>
      </c>
      <c r="D5277" t="s">
        <v>2581</v>
      </c>
      <c r="E5277" t="s">
        <v>3735</v>
      </c>
      <c r="F5277" s="451">
        <v>46025</v>
      </c>
      <c r="G5277">
        <v>19728</v>
      </c>
      <c r="H5277" t="s">
        <v>5106</v>
      </c>
      <c r="I5277" t="s">
        <v>5191</v>
      </c>
      <c r="J5277">
        <v>1</v>
      </c>
      <c r="K5277" t="s">
        <v>4744</v>
      </c>
      <c r="L5277">
        <v>15</v>
      </c>
      <c r="M5277">
        <v>15</v>
      </c>
      <c r="N5277" t="s">
        <v>5272</v>
      </c>
      <c r="O5277" t="s">
        <v>459</v>
      </c>
    </row>
    <row r="5278" spans="1:15" x14ac:dyDescent="0.3">
      <c r="A5278">
        <v>190366</v>
      </c>
      <c r="B5278">
        <v>105</v>
      </c>
      <c r="C5278" t="s">
        <v>557</v>
      </c>
      <c r="D5278" t="s">
        <v>2581</v>
      </c>
      <c r="E5278" t="s">
        <v>3735</v>
      </c>
      <c r="F5278" s="451">
        <v>46025</v>
      </c>
      <c r="G5278">
        <v>23236</v>
      </c>
      <c r="H5278" t="s">
        <v>5062</v>
      </c>
      <c r="I5278" t="s">
        <v>5191</v>
      </c>
      <c r="J5278">
        <v>4</v>
      </c>
      <c r="K5278" t="s">
        <v>4744</v>
      </c>
      <c r="L5278">
        <v>24</v>
      </c>
      <c r="M5278">
        <v>6</v>
      </c>
      <c r="N5278" t="s">
        <v>5272</v>
      </c>
      <c r="O5278" t="s">
        <v>459</v>
      </c>
    </row>
    <row r="5279" spans="1:15" x14ac:dyDescent="0.3">
      <c r="A5279">
        <v>190366</v>
      </c>
      <c r="B5279">
        <v>105</v>
      </c>
      <c r="C5279" t="s">
        <v>557</v>
      </c>
      <c r="D5279" t="s">
        <v>2581</v>
      </c>
      <c r="E5279" t="s">
        <v>3735</v>
      </c>
      <c r="F5279" s="451">
        <v>46025</v>
      </c>
      <c r="G5279">
        <v>19635</v>
      </c>
      <c r="H5279" t="s">
        <v>4786</v>
      </c>
      <c r="I5279" t="s">
        <v>5191</v>
      </c>
      <c r="J5279">
        <v>5</v>
      </c>
      <c r="K5279" t="s">
        <v>4744</v>
      </c>
      <c r="L5279">
        <v>17.5</v>
      </c>
      <c r="M5279">
        <v>3.5</v>
      </c>
      <c r="N5279" t="s">
        <v>5272</v>
      </c>
      <c r="O5279" t="s">
        <v>459</v>
      </c>
    </row>
    <row r="5280" spans="1:15" x14ac:dyDescent="0.3">
      <c r="A5280">
        <v>190366</v>
      </c>
      <c r="B5280">
        <v>105</v>
      </c>
      <c r="C5280" t="s">
        <v>557</v>
      </c>
      <c r="D5280" t="s">
        <v>2581</v>
      </c>
      <c r="E5280" t="s">
        <v>3735</v>
      </c>
      <c r="F5280" s="451">
        <v>46025</v>
      </c>
      <c r="G5280">
        <v>19472</v>
      </c>
      <c r="H5280" t="s">
        <v>4906</v>
      </c>
      <c r="I5280" t="s">
        <v>5191</v>
      </c>
      <c r="J5280">
        <v>1.8</v>
      </c>
      <c r="K5280" t="s">
        <v>4744</v>
      </c>
      <c r="L5280">
        <v>36</v>
      </c>
      <c r="M5280">
        <v>20</v>
      </c>
      <c r="N5280" t="s">
        <v>5272</v>
      </c>
      <c r="O5280" t="s">
        <v>459</v>
      </c>
    </row>
    <row r="5281" spans="1:15" x14ac:dyDescent="0.3">
      <c r="A5281">
        <v>190366</v>
      </c>
      <c r="B5281">
        <v>105</v>
      </c>
      <c r="C5281" t="s">
        <v>557</v>
      </c>
      <c r="D5281" t="s">
        <v>2581</v>
      </c>
      <c r="E5281" t="s">
        <v>3735</v>
      </c>
      <c r="F5281" s="451">
        <v>46025</v>
      </c>
      <c r="G5281">
        <v>23095</v>
      </c>
      <c r="H5281" t="s">
        <v>4741</v>
      </c>
      <c r="I5281" t="s">
        <v>5191</v>
      </c>
      <c r="J5281">
        <v>80</v>
      </c>
      <c r="K5281" t="s">
        <v>4736</v>
      </c>
      <c r="L5281">
        <v>75.2</v>
      </c>
      <c r="M5281">
        <v>0.94</v>
      </c>
      <c r="N5281" t="s">
        <v>5272</v>
      </c>
      <c r="O5281" t="s">
        <v>459</v>
      </c>
    </row>
    <row r="5282" spans="1:15" x14ac:dyDescent="0.3">
      <c r="A5282">
        <v>190364</v>
      </c>
      <c r="B5282">
        <v>105</v>
      </c>
      <c r="C5282" t="s">
        <v>557</v>
      </c>
      <c r="D5282" t="s">
        <v>2581</v>
      </c>
      <c r="E5282" t="s">
        <v>3736</v>
      </c>
      <c r="F5282" s="451">
        <v>46027</v>
      </c>
      <c r="G5282">
        <v>19634</v>
      </c>
      <c r="H5282" t="s">
        <v>4792</v>
      </c>
      <c r="I5282" t="s">
        <v>5191</v>
      </c>
      <c r="J5282">
        <v>2.5</v>
      </c>
      <c r="K5282" t="s">
        <v>4744</v>
      </c>
      <c r="L5282">
        <v>13.75</v>
      </c>
      <c r="M5282">
        <v>5.5</v>
      </c>
      <c r="N5282" t="s">
        <v>5272</v>
      </c>
      <c r="O5282" t="s">
        <v>459</v>
      </c>
    </row>
    <row r="5283" spans="1:15" x14ac:dyDescent="0.3">
      <c r="A5283">
        <v>190364</v>
      </c>
      <c r="B5283">
        <v>105</v>
      </c>
      <c r="C5283" t="s">
        <v>557</v>
      </c>
      <c r="D5283" t="s">
        <v>2581</v>
      </c>
      <c r="E5283" t="s">
        <v>3736</v>
      </c>
      <c r="F5283" s="451">
        <v>46027</v>
      </c>
      <c r="G5283">
        <v>19787</v>
      </c>
      <c r="H5283" t="s">
        <v>4793</v>
      </c>
      <c r="I5283" t="s">
        <v>5191</v>
      </c>
      <c r="J5283">
        <v>14</v>
      </c>
      <c r="K5283" t="s">
        <v>4744</v>
      </c>
      <c r="L5283">
        <v>77</v>
      </c>
      <c r="M5283">
        <v>5.5</v>
      </c>
      <c r="N5283" t="s">
        <v>5272</v>
      </c>
      <c r="O5283" t="s">
        <v>459</v>
      </c>
    </row>
    <row r="5284" spans="1:15" x14ac:dyDescent="0.3">
      <c r="A5284">
        <v>190364</v>
      </c>
      <c r="B5284">
        <v>105</v>
      </c>
      <c r="C5284" t="s">
        <v>557</v>
      </c>
      <c r="D5284" t="s">
        <v>2581</v>
      </c>
      <c r="E5284" t="s">
        <v>3736</v>
      </c>
      <c r="F5284" s="451">
        <v>46027</v>
      </c>
      <c r="G5284">
        <v>19654</v>
      </c>
      <c r="H5284" t="s">
        <v>5099</v>
      </c>
      <c r="I5284" t="s">
        <v>5191</v>
      </c>
      <c r="J5284">
        <v>3</v>
      </c>
      <c r="K5284" t="s">
        <v>4744</v>
      </c>
      <c r="L5284">
        <v>9.9</v>
      </c>
      <c r="M5284">
        <v>3.3</v>
      </c>
      <c r="N5284" t="s">
        <v>5272</v>
      </c>
      <c r="O5284" t="s">
        <v>459</v>
      </c>
    </row>
    <row r="5285" spans="1:15" x14ac:dyDescent="0.3">
      <c r="A5285">
        <v>190364</v>
      </c>
      <c r="B5285">
        <v>105</v>
      </c>
      <c r="C5285" t="s">
        <v>557</v>
      </c>
      <c r="D5285" t="s">
        <v>2581</v>
      </c>
      <c r="E5285" t="s">
        <v>3736</v>
      </c>
      <c r="F5285" s="451">
        <v>46027</v>
      </c>
      <c r="G5285">
        <v>19575</v>
      </c>
      <c r="H5285" t="s">
        <v>5120</v>
      </c>
      <c r="I5285" t="s">
        <v>5191</v>
      </c>
      <c r="J5285">
        <v>0.5</v>
      </c>
      <c r="K5285" t="s">
        <v>4744</v>
      </c>
      <c r="L5285">
        <v>15</v>
      </c>
      <c r="M5285">
        <v>30</v>
      </c>
      <c r="N5285" t="s">
        <v>5272</v>
      </c>
      <c r="O5285" t="s">
        <v>459</v>
      </c>
    </row>
    <row r="5286" spans="1:15" x14ac:dyDescent="0.3">
      <c r="A5286">
        <v>190364</v>
      </c>
      <c r="B5286">
        <v>105</v>
      </c>
      <c r="C5286" t="s">
        <v>557</v>
      </c>
      <c r="D5286" t="s">
        <v>2581</v>
      </c>
      <c r="E5286" t="s">
        <v>3736</v>
      </c>
      <c r="F5286" s="451">
        <v>46027</v>
      </c>
      <c r="G5286">
        <v>19552</v>
      </c>
      <c r="H5286" t="s">
        <v>4860</v>
      </c>
      <c r="I5286" t="s">
        <v>5191</v>
      </c>
      <c r="J5286">
        <v>2</v>
      </c>
      <c r="K5286" t="s">
        <v>4744</v>
      </c>
      <c r="L5286">
        <v>8</v>
      </c>
      <c r="M5286">
        <v>4</v>
      </c>
      <c r="N5286" t="s">
        <v>5272</v>
      </c>
      <c r="O5286" t="s">
        <v>459</v>
      </c>
    </row>
    <row r="5287" spans="1:15" x14ac:dyDescent="0.3">
      <c r="A5287">
        <v>190364</v>
      </c>
      <c r="B5287">
        <v>105</v>
      </c>
      <c r="C5287" t="s">
        <v>557</v>
      </c>
      <c r="D5287" t="s">
        <v>2581</v>
      </c>
      <c r="E5287" t="s">
        <v>3736</v>
      </c>
      <c r="F5287" s="451">
        <v>46027</v>
      </c>
      <c r="G5287">
        <v>19505</v>
      </c>
      <c r="H5287" t="s">
        <v>4872</v>
      </c>
      <c r="I5287" t="s">
        <v>5191</v>
      </c>
      <c r="J5287">
        <v>3.5</v>
      </c>
      <c r="K5287" t="s">
        <v>4744</v>
      </c>
      <c r="L5287">
        <v>29.75</v>
      </c>
      <c r="M5287">
        <v>8.5</v>
      </c>
      <c r="N5287" t="s">
        <v>5272</v>
      </c>
      <c r="O5287" t="s">
        <v>459</v>
      </c>
    </row>
    <row r="5288" spans="1:15" x14ac:dyDescent="0.3">
      <c r="A5288">
        <v>190364</v>
      </c>
      <c r="B5288">
        <v>105</v>
      </c>
      <c r="C5288" t="s">
        <v>557</v>
      </c>
      <c r="D5288" t="s">
        <v>2581</v>
      </c>
      <c r="E5288" t="s">
        <v>3736</v>
      </c>
      <c r="F5288" s="451">
        <v>46027</v>
      </c>
      <c r="G5288">
        <v>19465</v>
      </c>
      <c r="H5288" t="s">
        <v>5114</v>
      </c>
      <c r="I5288" t="s">
        <v>5191</v>
      </c>
      <c r="J5288">
        <v>1</v>
      </c>
      <c r="K5288" t="s">
        <v>4744</v>
      </c>
      <c r="L5288">
        <v>5.5</v>
      </c>
      <c r="M5288">
        <v>5.5</v>
      </c>
      <c r="N5288" t="s">
        <v>5272</v>
      </c>
      <c r="O5288" t="s">
        <v>459</v>
      </c>
    </row>
    <row r="5289" spans="1:15" x14ac:dyDescent="0.3">
      <c r="A5289">
        <v>190364</v>
      </c>
      <c r="B5289">
        <v>105</v>
      </c>
      <c r="C5289" t="s">
        <v>557</v>
      </c>
      <c r="D5289" t="s">
        <v>2581</v>
      </c>
      <c r="E5289" t="s">
        <v>3736</v>
      </c>
      <c r="F5289" s="451">
        <v>46027</v>
      </c>
      <c r="G5289">
        <v>24509</v>
      </c>
      <c r="H5289" t="s">
        <v>4788</v>
      </c>
      <c r="I5289" t="s">
        <v>5191</v>
      </c>
      <c r="J5289">
        <v>15</v>
      </c>
      <c r="K5289" t="s">
        <v>4744</v>
      </c>
      <c r="L5289">
        <v>26.25</v>
      </c>
      <c r="M5289">
        <v>1.75</v>
      </c>
      <c r="N5289" t="s">
        <v>5272</v>
      </c>
      <c r="O5289" t="s">
        <v>459</v>
      </c>
    </row>
    <row r="5290" spans="1:15" x14ac:dyDescent="0.3">
      <c r="A5290">
        <v>190364</v>
      </c>
      <c r="B5290">
        <v>105</v>
      </c>
      <c r="C5290" t="s">
        <v>557</v>
      </c>
      <c r="D5290" t="s">
        <v>2581</v>
      </c>
      <c r="E5290" t="s">
        <v>3736</v>
      </c>
      <c r="F5290" s="451">
        <v>46027</v>
      </c>
      <c r="G5290">
        <v>19502</v>
      </c>
      <c r="H5290" t="s">
        <v>4871</v>
      </c>
      <c r="I5290" t="s">
        <v>5191</v>
      </c>
      <c r="J5290">
        <v>2</v>
      </c>
      <c r="K5290" t="s">
        <v>4744</v>
      </c>
      <c r="L5290">
        <v>28</v>
      </c>
      <c r="M5290">
        <v>14</v>
      </c>
      <c r="N5290" t="s">
        <v>5272</v>
      </c>
      <c r="O5290" t="s">
        <v>459</v>
      </c>
    </row>
    <row r="5291" spans="1:15" x14ac:dyDescent="0.3">
      <c r="A5291">
        <v>190364</v>
      </c>
      <c r="B5291">
        <v>105</v>
      </c>
      <c r="C5291" t="s">
        <v>557</v>
      </c>
      <c r="D5291" t="s">
        <v>2581</v>
      </c>
      <c r="E5291" t="s">
        <v>3736</v>
      </c>
      <c r="F5291" s="451">
        <v>46027</v>
      </c>
      <c r="G5291">
        <v>19507</v>
      </c>
      <c r="H5291" t="s">
        <v>4853</v>
      </c>
      <c r="I5291" t="s">
        <v>5191</v>
      </c>
      <c r="J5291">
        <v>1.3</v>
      </c>
      <c r="K5291" t="s">
        <v>4744</v>
      </c>
      <c r="L5291">
        <v>16.899999999999999</v>
      </c>
      <c r="M5291">
        <v>13</v>
      </c>
      <c r="N5291" t="s">
        <v>5272</v>
      </c>
      <c r="O5291" t="s">
        <v>459</v>
      </c>
    </row>
    <row r="5292" spans="1:15" x14ac:dyDescent="0.3">
      <c r="A5292">
        <v>190364</v>
      </c>
      <c r="B5292">
        <v>105</v>
      </c>
      <c r="C5292" t="s">
        <v>557</v>
      </c>
      <c r="D5292" t="s">
        <v>2581</v>
      </c>
      <c r="E5292" t="s">
        <v>3736</v>
      </c>
      <c r="F5292" s="451">
        <v>46027</v>
      </c>
      <c r="G5292">
        <v>19553</v>
      </c>
      <c r="H5292" t="s">
        <v>4868</v>
      </c>
      <c r="I5292" t="s">
        <v>5191</v>
      </c>
      <c r="J5292">
        <v>2</v>
      </c>
      <c r="K5292" t="s">
        <v>4744</v>
      </c>
      <c r="L5292">
        <v>6</v>
      </c>
      <c r="M5292">
        <v>3</v>
      </c>
      <c r="N5292" t="s">
        <v>5272</v>
      </c>
      <c r="O5292" t="s">
        <v>459</v>
      </c>
    </row>
    <row r="5293" spans="1:15" x14ac:dyDescent="0.3">
      <c r="A5293">
        <v>190364</v>
      </c>
      <c r="B5293">
        <v>105</v>
      </c>
      <c r="C5293" t="s">
        <v>557</v>
      </c>
      <c r="D5293" t="s">
        <v>2581</v>
      </c>
      <c r="E5293" t="s">
        <v>3736</v>
      </c>
      <c r="F5293" s="451">
        <v>46027</v>
      </c>
      <c r="G5293">
        <v>19480</v>
      </c>
      <c r="H5293" t="s">
        <v>5119</v>
      </c>
      <c r="I5293" t="s">
        <v>5191</v>
      </c>
      <c r="J5293">
        <v>0.5</v>
      </c>
      <c r="K5293" t="s">
        <v>4744</v>
      </c>
      <c r="L5293">
        <v>6.5</v>
      </c>
      <c r="M5293">
        <v>13</v>
      </c>
      <c r="N5293" t="s">
        <v>5272</v>
      </c>
      <c r="O5293" t="s">
        <v>459</v>
      </c>
    </row>
    <row r="5294" spans="1:15" x14ac:dyDescent="0.3">
      <c r="A5294">
        <v>190364</v>
      </c>
      <c r="B5294">
        <v>105</v>
      </c>
      <c r="C5294" t="s">
        <v>557</v>
      </c>
      <c r="D5294" t="s">
        <v>2581</v>
      </c>
      <c r="E5294" t="s">
        <v>3736</v>
      </c>
      <c r="F5294" s="451">
        <v>46027</v>
      </c>
      <c r="G5294">
        <v>23108</v>
      </c>
      <c r="H5294" t="s">
        <v>5117</v>
      </c>
      <c r="I5294" t="s">
        <v>5191</v>
      </c>
      <c r="J5294">
        <v>0.2</v>
      </c>
      <c r="K5294" t="s">
        <v>4744</v>
      </c>
      <c r="L5294">
        <v>12</v>
      </c>
      <c r="M5294">
        <v>60</v>
      </c>
      <c r="N5294" t="s">
        <v>5272</v>
      </c>
      <c r="O5294" t="s">
        <v>459</v>
      </c>
    </row>
    <row r="5295" spans="1:15" x14ac:dyDescent="0.3">
      <c r="A5295">
        <v>190364</v>
      </c>
      <c r="B5295">
        <v>105</v>
      </c>
      <c r="C5295" t="s">
        <v>557</v>
      </c>
      <c r="D5295" t="s">
        <v>2581</v>
      </c>
      <c r="E5295" t="s">
        <v>3736</v>
      </c>
      <c r="F5295" s="451">
        <v>46027</v>
      </c>
      <c r="G5295">
        <v>23236</v>
      </c>
      <c r="H5295" t="s">
        <v>5062</v>
      </c>
      <c r="I5295" t="s">
        <v>5191</v>
      </c>
      <c r="J5295">
        <v>4</v>
      </c>
      <c r="K5295" t="s">
        <v>4744</v>
      </c>
      <c r="L5295">
        <v>24</v>
      </c>
      <c r="M5295">
        <v>6</v>
      </c>
      <c r="N5295" t="s">
        <v>5272</v>
      </c>
      <c r="O5295" t="s">
        <v>459</v>
      </c>
    </row>
    <row r="5296" spans="1:15" x14ac:dyDescent="0.3">
      <c r="A5296">
        <v>190364</v>
      </c>
      <c r="B5296">
        <v>105</v>
      </c>
      <c r="C5296" t="s">
        <v>557</v>
      </c>
      <c r="D5296" t="s">
        <v>2581</v>
      </c>
      <c r="E5296" t="s">
        <v>3736</v>
      </c>
      <c r="F5296" s="451">
        <v>46027</v>
      </c>
      <c r="G5296">
        <v>23095</v>
      </c>
      <c r="H5296" t="s">
        <v>4741</v>
      </c>
      <c r="I5296" t="s">
        <v>5191</v>
      </c>
      <c r="J5296">
        <v>40</v>
      </c>
      <c r="K5296" t="s">
        <v>4736</v>
      </c>
      <c r="L5296">
        <v>37.6</v>
      </c>
      <c r="M5296">
        <v>0.94</v>
      </c>
      <c r="N5296" t="s">
        <v>5272</v>
      </c>
      <c r="O5296" t="s">
        <v>459</v>
      </c>
    </row>
    <row r="5297" spans="1:15" x14ac:dyDescent="0.3">
      <c r="A5297">
        <v>190363</v>
      </c>
      <c r="B5297">
        <v>105</v>
      </c>
      <c r="C5297" t="s">
        <v>557</v>
      </c>
      <c r="D5297" t="s">
        <v>2581</v>
      </c>
      <c r="E5297" t="s">
        <v>3737</v>
      </c>
      <c r="F5297" s="451">
        <v>46028</v>
      </c>
      <c r="G5297">
        <v>19634</v>
      </c>
      <c r="H5297" t="s">
        <v>4792</v>
      </c>
      <c r="I5297" t="s">
        <v>5191</v>
      </c>
      <c r="J5297">
        <v>3.5</v>
      </c>
      <c r="K5297" t="s">
        <v>4744</v>
      </c>
      <c r="L5297">
        <v>21</v>
      </c>
      <c r="M5297">
        <v>6</v>
      </c>
      <c r="N5297" t="s">
        <v>5191</v>
      </c>
      <c r="O5297" t="s">
        <v>459</v>
      </c>
    </row>
    <row r="5298" spans="1:15" x14ac:dyDescent="0.3">
      <c r="A5298">
        <v>190363</v>
      </c>
      <c r="B5298">
        <v>105</v>
      </c>
      <c r="C5298" t="s">
        <v>557</v>
      </c>
      <c r="D5298" t="s">
        <v>2581</v>
      </c>
      <c r="E5298" t="s">
        <v>3737</v>
      </c>
      <c r="F5298" s="451">
        <v>46028</v>
      </c>
      <c r="G5298">
        <v>19505</v>
      </c>
      <c r="H5298" t="s">
        <v>4872</v>
      </c>
      <c r="I5298" t="s">
        <v>5191</v>
      </c>
      <c r="J5298">
        <v>2.5</v>
      </c>
      <c r="K5298" t="s">
        <v>4744</v>
      </c>
      <c r="L5298">
        <v>21.25</v>
      </c>
      <c r="M5298">
        <v>8.5</v>
      </c>
      <c r="N5298" t="s">
        <v>5191</v>
      </c>
      <c r="O5298" t="s">
        <v>459</v>
      </c>
    </row>
    <row r="5299" spans="1:15" x14ac:dyDescent="0.3">
      <c r="A5299">
        <v>190363</v>
      </c>
      <c r="B5299">
        <v>105</v>
      </c>
      <c r="C5299" t="s">
        <v>557</v>
      </c>
      <c r="D5299" t="s">
        <v>2581</v>
      </c>
      <c r="E5299" t="s">
        <v>3737</v>
      </c>
      <c r="F5299" s="451">
        <v>46028</v>
      </c>
      <c r="G5299">
        <v>24598</v>
      </c>
      <c r="H5299" t="s">
        <v>4852</v>
      </c>
      <c r="I5299" t="s">
        <v>5191</v>
      </c>
      <c r="J5299">
        <v>2</v>
      </c>
      <c r="K5299" t="s">
        <v>4744</v>
      </c>
      <c r="L5299">
        <v>20</v>
      </c>
      <c r="M5299">
        <v>10</v>
      </c>
      <c r="N5299" t="s">
        <v>5191</v>
      </c>
      <c r="O5299" t="s">
        <v>459</v>
      </c>
    </row>
    <row r="5300" spans="1:15" x14ac:dyDescent="0.3">
      <c r="A5300">
        <v>190363</v>
      </c>
      <c r="B5300">
        <v>105</v>
      </c>
      <c r="C5300" t="s">
        <v>557</v>
      </c>
      <c r="D5300" t="s">
        <v>2581</v>
      </c>
      <c r="E5300" t="s">
        <v>3737</v>
      </c>
      <c r="F5300" s="451">
        <v>46028</v>
      </c>
      <c r="G5300">
        <v>23365</v>
      </c>
      <c r="H5300" t="s">
        <v>5108</v>
      </c>
      <c r="I5300" t="s">
        <v>5191</v>
      </c>
      <c r="J5300">
        <v>1</v>
      </c>
      <c r="K5300" t="s">
        <v>4744</v>
      </c>
      <c r="L5300">
        <v>26</v>
      </c>
      <c r="M5300">
        <v>26</v>
      </c>
      <c r="N5300" t="s">
        <v>5191</v>
      </c>
      <c r="O5300" t="s">
        <v>459</v>
      </c>
    </row>
    <row r="5301" spans="1:15" x14ac:dyDescent="0.3">
      <c r="A5301">
        <v>190363</v>
      </c>
      <c r="B5301">
        <v>105</v>
      </c>
      <c r="C5301" t="s">
        <v>557</v>
      </c>
      <c r="D5301" t="s">
        <v>2581</v>
      </c>
      <c r="E5301" t="s">
        <v>3737</v>
      </c>
      <c r="F5301" s="451">
        <v>46028</v>
      </c>
      <c r="G5301">
        <v>23390</v>
      </c>
      <c r="H5301" t="s">
        <v>4873</v>
      </c>
      <c r="I5301" t="s">
        <v>5191</v>
      </c>
      <c r="J5301">
        <v>1</v>
      </c>
      <c r="K5301" t="s">
        <v>4744</v>
      </c>
      <c r="L5301">
        <v>9</v>
      </c>
      <c r="M5301">
        <v>9</v>
      </c>
      <c r="N5301" t="s">
        <v>5191</v>
      </c>
      <c r="O5301" t="s">
        <v>459</v>
      </c>
    </row>
    <row r="5302" spans="1:15" x14ac:dyDescent="0.3">
      <c r="A5302">
        <v>190363</v>
      </c>
      <c r="B5302">
        <v>105</v>
      </c>
      <c r="C5302" t="s">
        <v>557</v>
      </c>
      <c r="D5302" t="s">
        <v>2581</v>
      </c>
      <c r="E5302" t="s">
        <v>3737</v>
      </c>
      <c r="F5302" s="451">
        <v>46028</v>
      </c>
      <c r="G5302">
        <v>23095</v>
      </c>
      <c r="H5302" t="s">
        <v>4741</v>
      </c>
      <c r="I5302" t="s">
        <v>5191</v>
      </c>
      <c r="J5302">
        <v>30</v>
      </c>
      <c r="K5302" t="s">
        <v>4736</v>
      </c>
      <c r="L5302">
        <v>28.2</v>
      </c>
      <c r="M5302">
        <v>0.94</v>
      </c>
      <c r="N5302" t="s">
        <v>5191</v>
      </c>
      <c r="O5302" t="s">
        <v>459</v>
      </c>
    </row>
    <row r="5303" spans="1:15" x14ac:dyDescent="0.3">
      <c r="A5303">
        <v>190362</v>
      </c>
      <c r="B5303">
        <v>105</v>
      </c>
      <c r="C5303" t="s">
        <v>557</v>
      </c>
      <c r="D5303" t="s">
        <v>3738</v>
      </c>
      <c r="E5303" t="s">
        <v>3739</v>
      </c>
      <c r="F5303" s="451">
        <v>46027</v>
      </c>
      <c r="G5303">
        <v>24497</v>
      </c>
      <c r="H5303" t="s">
        <v>5231</v>
      </c>
      <c r="I5303" t="s">
        <v>5232</v>
      </c>
      <c r="J5303">
        <v>3</v>
      </c>
      <c r="K5303" t="s">
        <v>4736</v>
      </c>
      <c r="L5303">
        <v>417.06</v>
      </c>
      <c r="M5303">
        <v>139.02000000000001</v>
      </c>
      <c r="N5303" t="s">
        <v>5288</v>
      </c>
      <c r="O5303" t="s">
        <v>459</v>
      </c>
    </row>
    <row r="5304" spans="1:15" x14ac:dyDescent="0.3">
      <c r="A5304">
        <v>190361</v>
      </c>
      <c r="B5304">
        <v>105</v>
      </c>
      <c r="C5304" t="s">
        <v>557</v>
      </c>
      <c r="D5304" t="s">
        <v>2569</v>
      </c>
      <c r="E5304" t="s">
        <v>3740</v>
      </c>
      <c r="F5304" s="451">
        <v>46027</v>
      </c>
      <c r="G5304">
        <v>17958</v>
      </c>
      <c r="H5304" t="s">
        <v>5076</v>
      </c>
      <c r="I5304" t="s">
        <v>5222</v>
      </c>
      <c r="J5304">
        <v>15</v>
      </c>
      <c r="K5304" t="s">
        <v>4738</v>
      </c>
      <c r="L5304">
        <v>244.5</v>
      </c>
      <c r="M5304">
        <v>16.3</v>
      </c>
      <c r="N5304" t="s">
        <v>5272</v>
      </c>
      <c r="O5304" t="s">
        <v>459</v>
      </c>
    </row>
    <row r="5305" spans="1:15" x14ac:dyDescent="0.3">
      <c r="A5305">
        <v>190361</v>
      </c>
      <c r="B5305">
        <v>105</v>
      </c>
      <c r="C5305" t="s">
        <v>557</v>
      </c>
      <c r="D5305" t="s">
        <v>2569</v>
      </c>
      <c r="E5305" t="s">
        <v>3740</v>
      </c>
      <c r="F5305" s="451">
        <v>46027</v>
      </c>
      <c r="G5305">
        <v>17950</v>
      </c>
      <c r="H5305" t="s">
        <v>5091</v>
      </c>
      <c r="I5305" t="s">
        <v>5222</v>
      </c>
      <c r="J5305">
        <v>15</v>
      </c>
      <c r="K5305" t="s">
        <v>4738</v>
      </c>
      <c r="L5305">
        <v>259.5</v>
      </c>
      <c r="M5305">
        <v>17.3</v>
      </c>
      <c r="N5305" t="s">
        <v>5272</v>
      </c>
      <c r="O5305" t="s">
        <v>459</v>
      </c>
    </row>
    <row r="5306" spans="1:15" x14ac:dyDescent="0.3">
      <c r="A5306">
        <v>190349</v>
      </c>
      <c r="B5306">
        <v>105</v>
      </c>
      <c r="C5306" t="s">
        <v>557</v>
      </c>
      <c r="D5306" t="s">
        <v>2563</v>
      </c>
      <c r="E5306" t="s">
        <v>3741</v>
      </c>
      <c r="F5306" s="451">
        <v>46024</v>
      </c>
      <c r="G5306">
        <v>19505</v>
      </c>
      <c r="H5306" t="s">
        <v>4872</v>
      </c>
      <c r="I5306" t="s">
        <v>5191</v>
      </c>
      <c r="J5306">
        <v>4</v>
      </c>
      <c r="K5306" t="s">
        <v>4744</v>
      </c>
      <c r="L5306">
        <v>38</v>
      </c>
      <c r="M5306">
        <v>9.5</v>
      </c>
      <c r="N5306" t="s">
        <v>5272</v>
      </c>
      <c r="O5306" t="s">
        <v>459</v>
      </c>
    </row>
    <row r="5307" spans="1:15" x14ac:dyDescent="0.3">
      <c r="A5307">
        <v>190349</v>
      </c>
      <c r="B5307">
        <v>105</v>
      </c>
      <c r="C5307" t="s">
        <v>557</v>
      </c>
      <c r="D5307" t="s">
        <v>2563</v>
      </c>
      <c r="E5307" t="s">
        <v>3741</v>
      </c>
      <c r="F5307" s="451">
        <v>46024</v>
      </c>
      <c r="G5307">
        <v>19737</v>
      </c>
      <c r="H5307" t="s">
        <v>4940</v>
      </c>
      <c r="I5307" t="s">
        <v>5191</v>
      </c>
      <c r="J5307">
        <v>2</v>
      </c>
      <c r="K5307" t="s">
        <v>4744</v>
      </c>
      <c r="L5307">
        <v>8.3800000000000008</v>
      </c>
      <c r="M5307">
        <v>4.1900000000000004</v>
      </c>
      <c r="N5307" t="s">
        <v>5272</v>
      </c>
      <c r="O5307" t="s">
        <v>459</v>
      </c>
    </row>
    <row r="5308" spans="1:15" x14ac:dyDescent="0.3">
      <c r="A5308">
        <v>190349</v>
      </c>
      <c r="B5308">
        <v>105</v>
      </c>
      <c r="C5308" t="s">
        <v>557</v>
      </c>
      <c r="D5308" t="s">
        <v>2563</v>
      </c>
      <c r="E5308" t="s">
        <v>3741</v>
      </c>
      <c r="F5308" s="451">
        <v>46024</v>
      </c>
      <c r="G5308">
        <v>24099</v>
      </c>
      <c r="H5308" t="s">
        <v>4933</v>
      </c>
      <c r="I5308" t="s">
        <v>5191</v>
      </c>
      <c r="J5308">
        <v>2</v>
      </c>
      <c r="K5308" t="s">
        <v>4744</v>
      </c>
      <c r="L5308">
        <v>24.64</v>
      </c>
      <c r="M5308">
        <v>12.32</v>
      </c>
      <c r="N5308" t="s">
        <v>5272</v>
      </c>
      <c r="O5308" t="s">
        <v>459</v>
      </c>
    </row>
    <row r="5309" spans="1:15" x14ac:dyDescent="0.3">
      <c r="A5309">
        <v>190349</v>
      </c>
      <c r="B5309">
        <v>105</v>
      </c>
      <c r="C5309" t="s">
        <v>557</v>
      </c>
      <c r="D5309" t="s">
        <v>2563</v>
      </c>
      <c r="E5309" t="s">
        <v>3741</v>
      </c>
      <c r="F5309" s="451">
        <v>46024</v>
      </c>
      <c r="G5309">
        <v>19476</v>
      </c>
      <c r="H5309" t="s">
        <v>5115</v>
      </c>
      <c r="I5309" t="s">
        <v>5191</v>
      </c>
      <c r="J5309">
        <v>0.3</v>
      </c>
      <c r="K5309" t="s">
        <v>4744</v>
      </c>
      <c r="L5309">
        <v>22.18</v>
      </c>
      <c r="M5309">
        <v>73.933333000000005</v>
      </c>
      <c r="N5309" t="s">
        <v>5272</v>
      </c>
      <c r="O5309" t="s">
        <v>459</v>
      </c>
    </row>
    <row r="5310" spans="1:15" x14ac:dyDescent="0.3">
      <c r="A5310">
        <v>190349</v>
      </c>
      <c r="B5310">
        <v>105</v>
      </c>
      <c r="C5310" t="s">
        <v>557</v>
      </c>
      <c r="D5310" t="s">
        <v>2563</v>
      </c>
      <c r="E5310" t="s">
        <v>3741</v>
      </c>
      <c r="F5310" s="451">
        <v>46024</v>
      </c>
      <c r="G5310">
        <v>19492</v>
      </c>
      <c r="H5310" t="s">
        <v>4937</v>
      </c>
      <c r="I5310" t="s">
        <v>5191</v>
      </c>
      <c r="J5310">
        <v>2</v>
      </c>
      <c r="K5310" t="s">
        <v>4744</v>
      </c>
      <c r="L5310">
        <v>32.479999999999997</v>
      </c>
      <c r="M5310">
        <v>16.239999999999998</v>
      </c>
      <c r="N5310" t="s">
        <v>5272</v>
      </c>
      <c r="O5310" t="s">
        <v>459</v>
      </c>
    </row>
    <row r="5311" spans="1:15" x14ac:dyDescent="0.3">
      <c r="A5311">
        <v>190349</v>
      </c>
      <c r="B5311">
        <v>105</v>
      </c>
      <c r="C5311" t="s">
        <v>557</v>
      </c>
      <c r="D5311" t="s">
        <v>2563</v>
      </c>
      <c r="E5311" t="s">
        <v>3741</v>
      </c>
      <c r="F5311" s="451">
        <v>46024</v>
      </c>
      <c r="G5311">
        <v>19658</v>
      </c>
      <c r="H5311" t="s">
        <v>4784</v>
      </c>
      <c r="I5311" t="s">
        <v>5191</v>
      </c>
      <c r="J5311">
        <v>8</v>
      </c>
      <c r="K5311" t="s">
        <v>4744</v>
      </c>
      <c r="L5311">
        <v>20.88</v>
      </c>
      <c r="M5311">
        <v>2.61</v>
      </c>
      <c r="N5311" t="s">
        <v>5272</v>
      </c>
      <c r="O5311" t="s">
        <v>459</v>
      </c>
    </row>
    <row r="5312" spans="1:15" x14ac:dyDescent="0.3">
      <c r="A5312">
        <v>190349</v>
      </c>
      <c r="B5312">
        <v>105</v>
      </c>
      <c r="C5312" t="s">
        <v>557</v>
      </c>
      <c r="D5312" t="s">
        <v>2563</v>
      </c>
      <c r="E5312" t="s">
        <v>3741</v>
      </c>
      <c r="F5312" s="451">
        <v>46024</v>
      </c>
      <c r="G5312">
        <v>19740</v>
      </c>
      <c r="H5312" t="s">
        <v>4779</v>
      </c>
      <c r="I5312" t="s">
        <v>5191</v>
      </c>
      <c r="J5312">
        <v>8</v>
      </c>
      <c r="K5312" t="s">
        <v>4744</v>
      </c>
      <c r="L5312">
        <v>127.6</v>
      </c>
      <c r="M5312">
        <v>15.95</v>
      </c>
      <c r="N5312" t="s">
        <v>5272</v>
      </c>
      <c r="O5312" t="s">
        <v>459</v>
      </c>
    </row>
    <row r="5313" spans="1:15" x14ac:dyDescent="0.3">
      <c r="A5313">
        <v>190349</v>
      </c>
      <c r="B5313">
        <v>105</v>
      </c>
      <c r="C5313" t="s">
        <v>557</v>
      </c>
      <c r="D5313" t="s">
        <v>2563</v>
      </c>
      <c r="E5313" t="s">
        <v>3741</v>
      </c>
      <c r="F5313" s="451">
        <v>46024</v>
      </c>
      <c r="G5313">
        <v>19751</v>
      </c>
      <c r="H5313" t="s">
        <v>4800</v>
      </c>
      <c r="I5313" t="s">
        <v>5191</v>
      </c>
      <c r="J5313">
        <v>5</v>
      </c>
      <c r="K5313" t="s">
        <v>4744</v>
      </c>
      <c r="L5313">
        <v>52.2</v>
      </c>
      <c r="M5313">
        <v>10.44</v>
      </c>
      <c r="N5313" t="s">
        <v>5272</v>
      </c>
      <c r="O5313" t="s">
        <v>459</v>
      </c>
    </row>
    <row r="5314" spans="1:15" x14ac:dyDescent="0.3">
      <c r="A5314">
        <v>190349</v>
      </c>
      <c r="B5314">
        <v>105</v>
      </c>
      <c r="C5314" t="s">
        <v>557</v>
      </c>
      <c r="D5314" t="s">
        <v>2563</v>
      </c>
      <c r="E5314" t="s">
        <v>3741</v>
      </c>
      <c r="F5314" s="451">
        <v>46024</v>
      </c>
      <c r="G5314">
        <v>19507</v>
      </c>
      <c r="H5314" t="s">
        <v>4853</v>
      </c>
      <c r="I5314" t="s">
        <v>5191</v>
      </c>
      <c r="J5314">
        <v>1.5</v>
      </c>
      <c r="K5314" t="s">
        <v>4744</v>
      </c>
      <c r="L5314">
        <v>12.62</v>
      </c>
      <c r="M5314">
        <v>8.4133329999999997</v>
      </c>
      <c r="N5314" t="s">
        <v>5272</v>
      </c>
      <c r="O5314" t="s">
        <v>459</v>
      </c>
    </row>
    <row r="5315" spans="1:15" x14ac:dyDescent="0.3">
      <c r="A5315">
        <v>190349</v>
      </c>
      <c r="B5315">
        <v>105</v>
      </c>
      <c r="C5315" t="s">
        <v>557</v>
      </c>
      <c r="D5315" t="s">
        <v>2563</v>
      </c>
      <c r="E5315" t="s">
        <v>3741</v>
      </c>
      <c r="F5315" s="451">
        <v>46024</v>
      </c>
      <c r="G5315">
        <v>19647</v>
      </c>
      <c r="H5315" t="s">
        <v>5050</v>
      </c>
      <c r="I5315" t="s">
        <v>5191</v>
      </c>
      <c r="J5315">
        <v>1.5</v>
      </c>
      <c r="K5315" t="s">
        <v>4744</v>
      </c>
      <c r="L5315">
        <v>19.579999999999998</v>
      </c>
      <c r="M5315">
        <v>13.053333</v>
      </c>
      <c r="N5315" t="s">
        <v>5272</v>
      </c>
      <c r="O5315" t="s">
        <v>459</v>
      </c>
    </row>
    <row r="5316" spans="1:15" x14ac:dyDescent="0.3">
      <c r="A5316">
        <v>190349</v>
      </c>
      <c r="B5316">
        <v>105</v>
      </c>
      <c r="C5316" t="s">
        <v>557</v>
      </c>
      <c r="D5316" t="s">
        <v>2563</v>
      </c>
      <c r="E5316" t="s">
        <v>3741</v>
      </c>
      <c r="F5316" s="451">
        <v>46024</v>
      </c>
      <c r="G5316">
        <v>23171</v>
      </c>
      <c r="H5316" t="s">
        <v>5419</v>
      </c>
      <c r="I5316" t="s">
        <v>5191</v>
      </c>
      <c r="J5316">
        <v>2</v>
      </c>
      <c r="K5316" t="s">
        <v>4744</v>
      </c>
      <c r="L5316">
        <v>12.9</v>
      </c>
      <c r="M5316">
        <v>6.45</v>
      </c>
      <c r="N5316" t="s">
        <v>5272</v>
      </c>
      <c r="O5316" t="s">
        <v>459</v>
      </c>
    </row>
    <row r="5317" spans="1:15" x14ac:dyDescent="0.3">
      <c r="A5317">
        <v>190349</v>
      </c>
      <c r="B5317">
        <v>105</v>
      </c>
      <c r="C5317" t="s">
        <v>557</v>
      </c>
      <c r="D5317" t="s">
        <v>2563</v>
      </c>
      <c r="E5317" t="s">
        <v>3741</v>
      </c>
      <c r="F5317" s="451">
        <v>46024</v>
      </c>
      <c r="G5317">
        <v>23228</v>
      </c>
      <c r="H5317" t="s">
        <v>4782</v>
      </c>
      <c r="I5317" t="s">
        <v>5191</v>
      </c>
      <c r="J5317">
        <v>8</v>
      </c>
      <c r="K5317" t="s">
        <v>4744</v>
      </c>
      <c r="L5317">
        <v>52.24</v>
      </c>
      <c r="M5317">
        <v>6.53</v>
      </c>
      <c r="N5317" t="s">
        <v>5272</v>
      </c>
      <c r="O5317" t="s">
        <v>459</v>
      </c>
    </row>
    <row r="5318" spans="1:15" x14ac:dyDescent="0.3">
      <c r="A5318">
        <v>190349</v>
      </c>
      <c r="B5318">
        <v>105</v>
      </c>
      <c r="C5318" t="s">
        <v>557</v>
      </c>
      <c r="D5318" t="s">
        <v>2563</v>
      </c>
      <c r="E5318" t="s">
        <v>3741</v>
      </c>
      <c r="F5318" s="451">
        <v>46024</v>
      </c>
      <c r="G5318">
        <v>23389</v>
      </c>
      <c r="H5318" t="s">
        <v>4960</v>
      </c>
      <c r="I5318" t="s">
        <v>5191</v>
      </c>
      <c r="J5318">
        <v>3</v>
      </c>
      <c r="K5318" t="s">
        <v>4744</v>
      </c>
      <c r="L5318">
        <v>15.57</v>
      </c>
      <c r="M5318">
        <v>5.19</v>
      </c>
      <c r="N5318" t="s">
        <v>5272</v>
      </c>
      <c r="O5318" t="s">
        <v>459</v>
      </c>
    </row>
    <row r="5319" spans="1:15" x14ac:dyDescent="0.3">
      <c r="A5319">
        <v>190349</v>
      </c>
      <c r="B5319">
        <v>105</v>
      </c>
      <c r="C5319" t="s">
        <v>557</v>
      </c>
      <c r="D5319" t="s">
        <v>2563</v>
      </c>
      <c r="E5319" t="s">
        <v>3741</v>
      </c>
      <c r="F5319" s="451">
        <v>46024</v>
      </c>
      <c r="G5319">
        <v>23113</v>
      </c>
      <c r="H5319" t="s">
        <v>5074</v>
      </c>
      <c r="I5319" t="s">
        <v>5191</v>
      </c>
      <c r="J5319">
        <v>1.5</v>
      </c>
      <c r="K5319" t="s">
        <v>4744</v>
      </c>
      <c r="L5319">
        <v>20.67</v>
      </c>
      <c r="M5319">
        <v>13.78</v>
      </c>
      <c r="N5319" t="s">
        <v>5272</v>
      </c>
      <c r="O5319" t="s">
        <v>459</v>
      </c>
    </row>
    <row r="5320" spans="1:15" x14ac:dyDescent="0.3">
      <c r="A5320">
        <v>190349</v>
      </c>
      <c r="B5320">
        <v>105</v>
      </c>
      <c r="C5320" t="s">
        <v>557</v>
      </c>
      <c r="D5320" t="s">
        <v>2563</v>
      </c>
      <c r="E5320" t="s">
        <v>3741</v>
      </c>
      <c r="F5320" s="451">
        <v>46024</v>
      </c>
      <c r="G5320">
        <v>19532</v>
      </c>
      <c r="H5320" t="s">
        <v>4753</v>
      </c>
      <c r="I5320" t="s">
        <v>5191</v>
      </c>
      <c r="J5320">
        <v>15</v>
      </c>
      <c r="K5320" t="s">
        <v>4744</v>
      </c>
      <c r="L5320">
        <v>84.9</v>
      </c>
      <c r="M5320">
        <v>5.66</v>
      </c>
      <c r="N5320" t="s">
        <v>5272</v>
      </c>
      <c r="O5320" t="s">
        <v>459</v>
      </c>
    </row>
    <row r="5321" spans="1:15" x14ac:dyDescent="0.3">
      <c r="A5321">
        <v>190334</v>
      </c>
      <c r="B5321">
        <v>105</v>
      </c>
      <c r="C5321" t="s">
        <v>557</v>
      </c>
      <c r="D5321" t="s">
        <v>2563</v>
      </c>
      <c r="E5321" t="s">
        <v>3742</v>
      </c>
      <c r="F5321" s="451">
        <v>46027</v>
      </c>
      <c r="G5321">
        <v>19621</v>
      </c>
      <c r="H5321" t="s">
        <v>4829</v>
      </c>
      <c r="I5321" t="s">
        <v>5191</v>
      </c>
      <c r="J5321">
        <v>3</v>
      </c>
      <c r="K5321" t="s">
        <v>4744</v>
      </c>
      <c r="L5321">
        <v>9.7799999999999994</v>
      </c>
      <c r="M5321">
        <v>3.26</v>
      </c>
      <c r="N5321" t="s">
        <v>5272</v>
      </c>
      <c r="O5321" t="s">
        <v>459</v>
      </c>
    </row>
    <row r="5322" spans="1:15" x14ac:dyDescent="0.3">
      <c r="A5322">
        <v>190334</v>
      </c>
      <c r="B5322">
        <v>105</v>
      </c>
      <c r="C5322" t="s">
        <v>557</v>
      </c>
      <c r="D5322" t="s">
        <v>2563</v>
      </c>
      <c r="E5322" t="s">
        <v>3742</v>
      </c>
      <c r="F5322" s="451">
        <v>46027</v>
      </c>
      <c r="G5322">
        <v>24083</v>
      </c>
      <c r="H5322" t="s">
        <v>5165</v>
      </c>
      <c r="I5322" t="s">
        <v>5191</v>
      </c>
      <c r="J5322">
        <v>20</v>
      </c>
      <c r="K5322" t="s">
        <v>4744</v>
      </c>
      <c r="L5322">
        <v>81.2</v>
      </c>
      <c r="M5322">
        <v>4.0599999999999996</v>
      </c>
      <c r="N5322" t="s">
        <v>5272</v>
      </c>
      <c r="O5322" t="s">
        <v>459</v>
      </c>
    </row>
    <row r="5323" spans="1:15" x14ac:dyDescent="0.3">
      <c r="A5323">
        <v>190334</v>
      </c>
      <c r="B5323">
        <v>105</v>
      </c>
      <c r="C5323" t="s">
        <v>557</v>
      </c>
      <c r="D5323" t="s">
        <v>2563</v>
      </c>
      <c r="E5323" t="s">
        <v>3742</v>
      </c>
      <c r="F5323" s="451">
        <v>46027</v>
      </c>
      <c r="G5323">
        <v>19737</v>
      </c>
      <c r="H5323" t="s">
        <v>4940</v>
      </c>
      <c r="I5323" t="s">
        <v>5191</v>
      </c>
      <c r="J5323">
        <v>2</v>
      </c>
      <c r="K5323" t="s">
        <v>4744</v>
      </c>
      <c r="L5323">
        <v>8.3800000000000008</v>
      </c>
      <c r="M5323">
        <v>4.1900000000000004</v>
      </c>
      <c r="N5323" t="s">
        <v>5272</v>
      </c>
      <c r="O5323" t="s">
        <v>459</v>
      </c>
    </row>
    <row r="5324" spans="1:15" x14ac:dyDescent="0.3">
      <c r="A5324">
        <v>190334</v>
      </c>
      <c r="B5324">
        <v>105</v>
      </c>
      <c r="C5324" t="s">
        <v>557</v>
      </c>
      <c r="D5324" t="s">
        <v>2563</v>
      </c>
      <c r="E5324" t="s">
        <v>3742</v>
      </c>
      <c r="F5324" s="451">
        <v>46027</v>
      </c>
      <c r="G5324">
        <v>19658</v>
      </c>
      <c r="H5324" t="s">
        <v>4784</v>
      </c>
      <c r="I5324" t="s">
        <v>5191</v>
      </c>
      <c r="J5324">
        <v>8</v>
      </c>
      <c r="K5324" t="s">
        <v>4744</v>
      </c>
      <c r="L5324">
        <v>22.64</v>
      </c>
      <c r="M5324">
        <v>2.83</v>
      </c>
      <c r="N5324" t="s">
        <v>5272</v>
      </c>
      <c r="O5324" t="s">
        <v>459</v>
      </c>
    </row>
    <row r="5325" spans="1:15" x14ac:dyDescent="0.3">
      <c r="A5325">
        <v>190334</v>
      </c>
      <c r="B5325">
        <v>105</v>
      </c>
      <c r="C5325" t="s">
        <v>557</v>
      </c>
      <c r="D5325" t="s">
        <v>2563</v>
      </c>
      <c r="E5325" t="s">
        <v>3742</v>
      </c>
      <c r="F5325" s="451">
        <v>46027</v>
      </c>
      <c r="G5325">
        <v>24099</v>
      </c>
      <c r="H5325" t="s">
        <v>4933</v>
      </c>
      <c r="I5325" t="s">
        <v>5191</v>
      </c>
      <c r="J5325">
        <v>2</v>
      </c>
      <c r="K5325" t="s">
        <v>4744</v>
      </c>
      <c r="L5325">
        <v>24.64</v>
      </c>
      <c r="M5325">
        <v>12.32</v>
      </c>
      <c r="N5325" t="s">
        <v>5272</v>
      </c>
      <c r="O5325" t="s">
        <v>459</v>
      </c>
    </row>
    <row r="5326" spans="1:15" x14ac:dyDescent="0.3">
      <c r="A5326">
        <v>190334</v>
      </c>
      <c r="B5326">
        <v>105</v>
      </c>
      <c r="C5326" t="s">
        <v>557</v>
      </c>
      <c r="D5326" t="s">
        <v>2563</v>
      </c>
      <c r="E5326" t="s">
        <v>3742</v>
      </c>
      <c r="F5326" s="451">
        <v>46027</v>
      </c>
      <c r="G5326">
        <v>19476</v>
      </c>
      <c r="H5326" t="s">
        <v>5115</v>
      </c>
      <c r="I5326" t="s">
        <v>5191</v>
      </c>
      <c r="J5326">
        <v>0.2</v>
      </c>
      <c r="K5326" t="s">
        <v>4744</v>
      </c>
      <c r="L5326">
        <v>14.79</v>
      </c>
      <c r="M5326">
        <v>73.95</v>
      </c>
      <c r="N5326" t="s">
        <v>5272</v>
      </c>
      <c r="O5326" t="s">
        <v>459</v>
      </c>
    </row>
    <row r="5327" spans="1:15" x14ac:dyDescent="0.3">
      <c r="A5327">
        <v>190334</v>
      </c>
      <c r="B5327">
        <v>105</v>
      </c>
      <c r="C5327" t="s">
        <v>557</v>
      </c>
      <c r="D5327" t="s">
        <v>2563</v>
      </c>
      <c r="E5327" t="s">
        <v>3742</v>
      </c>
      <c r="F5327" s="451">
        <v>46027</v>
      </c>
      <c r="G5327">
        <v>19492</v>
      </c>
      <c r="H5327" t="s">
        <v>4937</v>
      </c>
      <c r="I5327" t="s">
        <v>5191</v>
      </c>
      <c r="J5327">
        <v>2</v>
      </c>
      <c r="K5327" t="s">
        <v>4744</v>
      </c>
      <c r="L5327">
        <v>34.799999999999997</v>
      </c>
      <c r="M5327">
        <v>17.399999999999999</v>
      </c>
      <c r="N5327" t="s">
        <v>5272</v>
      </c>
      <c r="O5327" t="s">
        <v>459</v>
      </c>
    </row>
    <row r="5328" spans="1:15" x14ac:dyDescent="0.3">
      <c r="A5328">
        <v>190334</v>
      </c>
      <c r="B5328">
        <v>105</v>
      </c>
      <c r="C5328" t="s">
        <v>557</v>
      </c>
      <c r="D5328" t="s">
        <v>2563</v>
      </c>
      <c r="E5328" t="s">
        <v>3742</v>
      </c>
      <c r="F5328" s="451">
        <v>46027</v>
      </c>
      <c r="G5328">
        <v>19740</v>
      </c>
      <c r="H5328" t="s">
        <v>4779</v>
      </c>
      <c r="I5328" t="s">
        <v>5191</v>
      </c>
      <c r="J5328">
        <v>10</v>
      </c>
      <c r="K5328" t="s">
        <v>4744</v>
      </c>
      <c r="L5328">
        <v>159.5</v>
      </c>
      <c r="M5328">
        <v>15.95</v>
      </c>
      <c r="N5328" t="s">
        <v>5272</v>
      </c>
      <c r="O5328" t="s">
        <v>459</v>
      </c>
    </row>
    <row r="5329" spans="1:15" x14ac:dyDescent="0.3">
      <c r="A5329">
        <v>190334</v>
      </c>
      <c r="B5329">
        <v>105</v>
      </c>
      <c r="C5329" t="s">
        <v>557</v>
      </c>
      <c r="D5329" t="s">
        <v>2563</v>
      </c>
      <c r="E5329" t="s">
        <v>3742</v>
      </c>
      <c r="F5329" s="451">
        <v>46027</v>
      </c>
      <c r="G5329">
        <v>19558</v>
      </c>
      <c r="H5329" t="s">
        <v>4994</v>
      </c>
      <c r="I5329" t="s">
        <v>5191</v>
      </c>
      <c r="J5329">
        <v>2</v>
      </c>
      <c r="K5329" t="s">
        <v>4744</v>
      </c>
      <c r="L5329">
        <v>24.8</v>
      </c>
      <c r="M5329">
        <v>12.4</v>
      </c>
      <c r="N5329" t="s">
        <v>5272</v>
      </c>
      <c r="O5329" t="s">
        <v>459</v>
      </c>
    </row>
    <row r="5330" spans="1:15" x14ac:dyDescent="0.3">
      <c r="A5330">
        <v>190334</v>
      </c>
      <c r="B5330">
        <v>105</v>
      </c>
      <c r="C5330" t="s">
        <v>557</v>
      </c>
      <c r="D5330" t="s">
        <v>2563</v>
      </c>
      <c r="E5330" t="s">
        <v>3742</v>
      </c>
      <c r="F5330" s="451">
        <v>46027</v>
      </c>
      <c r="G5330">
        <v>19765</v>
      </c>
      <c r="H5330" t="s">
        <v>4889</v>
      </c>
      <c r="I5330" t="s">
        <v>5191</v>
      </c>
      <c r="J5330">
        <v>1</v>
      </c>
      <c r="K5330" t="s">
        <v>4744</v>
      </c>
      <c r="L5330">
        <v>34.08</v>
      </c>
      <c r="M5330">
        <v>34.08</v>
      </c>
      <c r="N5330" t="s">
        <v>5272</v>
      </c>
      <c r="O5330" t="s">
        <v>459</v>
      </c>
    </row>
    <row r="5331" spans="1:15" x14ac:dyDescent="0.3">
      <c r="A5331">
        <v>190334</v>
      </c>
      <c r="B5331">
        <v>105</v>
      </c>
      <c r="C5331" t="s">
        <v>557</v>
      </c>
      <c r="D5331" t="s">
        <v>2563</v>
      </c>
      <c r="E5331" t="s">
        <v>3742</v>
      </c>
      <c r="F5331" s="451">
        <v>46027</v>
      </c>
      <c r="G5331">
        <v>24489</v>
      </c>
      <c r="H5331" t="s">
        <v>5121</v>
      </c>
      <c r="I5331" t="s">
        <v>5191</v>
      </c>
      <c r="J5331">
        <v>1</v>
      </c>
      <c r="K5331" t="s">
        <v>4744</v>
      </c>
      <c r="L5331">
        <v>17.399999999999999</v>
      </c>
      <c r="M5331">
        <v>17.399999999999999</v>
      </c>
      <c r="N5331" t="s">
        <v>5272</v>
      </c>
      <c r="O5331" t="s">
        <v>459</v>
      </c>
    </row>
    <row r="5332" spans="1:15" x14ac:dyDescent="0.3">
      <c r="A5332">
        <v>190334</v>
      </c>
      <c r="B5332">
        <v>105</v>
      </c>
      <c r="C5332" t="s">
        <v>557</v>
      </c>
      <c r="D5332" t="s">
        <v>2563</v>
      </c>
      <c r="E5332" t="s">
        <v>3742</v>
      </c>
      <c r="F5332" s="451">
        <v>46027</v>
      </c>
      <c r="G5332">
        <v>19751</v>
      </c>
      <c r="H5332" t="s">
        <v>4800</v>
      </c>
      <c r="I5332" t="s">
        <v>5191</v>
      </c>
      <c r="J5332">
        <v>2.5</v>
      </c>
      <c r="K5332" t="s">
        <v>4744</v>
      </c>
      <c r="L5332">
        <v>26.1</v>
      </c>
      <c r="M5332">
        <v>10.44</v>
      </c>
      <c r="N5332" t="s">
        <v>5272</v>
      </c>
      <c r="O5332" t="s">
        <v>459</v>
      </c>
    </row>
    <row r="5333" spans="1:15" x14ac:dyDescent="0.3">
      <c r="A5333">
        <v>190334</v>
      </c>
      <c r="B5333">
        <v>105</v>
      </c>
      <c r="C5333" t="s">
        <v>557</v>
      </c>
      <c r="D5333" t="s">
        <v>2563</v>
      </c>
      <c r="E5333" t="s">
        <v>3742</v>
      </c>
      <c r="F5333" s="451">
        <v>46027</v>
      </c>
      <c r="G5333">
        <v>23113</v>
      </c>
      <c r="H5333" t="s">
        <v>5074</v>
      </c>
      <c r="I5333" t="s">
        <v>5191</v>
      </c>
      <c r="J5333">
        <v>1</v>
      </c>
      <c r="K5333" t="s">
        <v>4744</v>
      </c>
      <c r="L5333">
        <v>13.78</v>
      </c>
      <c r="M5333">
        <v>13.78</v>
      </c>
      <c r="N5333" t="s">
        <v>5272</v>
      </c>
      <c r="O5333" t="s">
        <v>459</v>
      </c>
    </row>
    <row r="5334" spans="1:15" x14ac:dyDescent="0.3">
      <c r="A5334">
        <v>190334</v>
      </c>
      <c r="B5334">
        <v>105</v>
      </c>
      <c r="C5334" t="s">
        <v>557</v>
      </c>
      <c r="D5334" t="s">
        <v>2563</v>
      </c>
      <c r="E5334" t="s">
        <v>3742</v>
      </c>
      <c r="F5334" s="451">
        <v>46027</v>
      </c>
      <c r="G5334">
        <v>23228</v>
      </c>
      <c r="H5334" t="s">
        <v>4782</v>
      </c>
      <c r="I5334" t="s">
        <v>5191</v>
      </c>
      <c r="J5334">
        <v>8</v>
      </c>
      <c r="K5334" t="s">
        <v>4744</v>
      </c>
      <c r="L5334">
        <v>52.24</v>
      </c>
      <c r="M5334">
        <v>6.53</v>
      </c>
      <c r="N5334" t="s">
        <v>5272</v>
      </c>
      <c r="O5334" t="s">
        <v>459</v>
      </c>
    </row>
    <row r="5335" spans="1:15" x14ac:dyDescent="0.3">
      <c r="A5335">
        <v>190334</v>
      </c>
      <c r="B5335">
        <v>105</v>
      </c>
      <c r="C5335" t="s">
        <v>557</v>
      </c>
      <c r="D5335" t="s">
        <v>2563</v>
      </c>
      <c r="E5335" t="s">
        <v>3742</v>
      </c>
      <c r="F5335" s="451">
        <v>46027</v>
      </c>
      <c r="G5335">
        <v>23346</v>
      </c>
      <c r="H5335" t="s">
        <v>4916</v>
      </c>
      <c r="I5335" t="s">
        <v>5191</v>
      </c>
      <c r="J5335">
        <v>1.8</v>
      </c>
      <c r="K5335" t="s">
        <v>4744</v>
      </c>
      <c r="L5335">
        <v>11.48</v>
      </c>
      <c r="M5335">
        <v>6.3777780000000002</v>
      </c>
      <c r="N5335" t="s">
        <v>5272</v>
      </c>
      <c r="O5335" t="s">
        <v>459</v>
      </c>
    </row>
    <row r="5336" spans="1:15" x14ac:dyDescent="0.3">
      <c r="A5336">
        <v>190334</v>
      </c>
      <c r="B5336">
        <v>105</v>
      </c>
      <c r="C5336" t="s">
        <v>557</v>
      </c>
      <c r="D5336" t="s">
        <v>2563</v>
      </c>
      <c r="E5336" t="s">
        <v>3742</v>
      </c>
      <c r="F5336" s="451">
        <v>46027</v>
      </c>
      <c r="G5336">
        <v>23359</v>
      </c>
      <c r="H5336" t="s">
        <v>4767</v>
      </c>
      <c r="I5336" t="s">
        <v>5191</v>
      </c>
      <c r="J5336">
        <v>20</v>
      </c>
      <c r="K5336" t="s">
        <v>4744</v>
      </c>
      <c r="L5336">
        <v>72.599999999999994</v>
      </c>
      <c r="M5336">
        <v>3.63</v>
      </c>
      <c r="N5336" t="s">
        <v>5272</v>
      </c>
      <c r="O5336" t="s">
        <v>459</v>
      </c>
    </row>
    <row r="5337" spans="1:15" x14ac:dyDescent="0.3">
      <c r="A5337">
        <v>190334</v>
      </c>
      <c r="B5337">
        <v>105</v>
      </c>
      <c r="C5337" t="s">
        <v>557</v>
      </c>
      <c r="D5337" t="s">
        <v>2563</v>
      </c>
      <c r="E5337" t="s">
        <v>3742</v>
      </c>
      <c r="F5337" s="451">
        <v>46027</v>
      </c>
      <c r="G5337">
        <v>23238</v>
      </c>
      <c r="H5337" t="s">
        <v>4934</v>
      </c>
      <c r="I5337" t="s">
        <v>5191</v>
      </c>
      <c r="J5337">
        <v>2</v>
      </c>
      <c r="K5337" t="s">
        <v>4744</v>
      </c>
      <c r="L5337">
        <v>26.68</v>
      </c>
      <c r="M5337">
        <v>13.34</v>
      </c>
      <c r="N5337" t="s">
        <v>5272</v>
      </c>
      <c r="O5337" t="s">
        <v>459</v>
      </c>
    </row>
    <row r="5338" spans="1:15" x14ac:dyDescent="0.3">
      <c r="A5338">
        <v>190334</v>
      </c>
      <c r="B5338">
        <v>105</v>
      </c>
      <c r="C5338" t="s">
        <v>557</v>
      </c>
      <c r="D5338" t="s">
        <v>2563</v>
      </c>
      <c r="E5338" t="s">
        <v>3742</v>
      </c>
      <c r="F5338" s="451">
        <v>46027</v>
      </c>
      <c r="G5338">
        <v>19532</v>
      </c>
      <c r="H5338" t="s">
        <v>4753</v>
      </c>
      <c r="I5338" t="s">
        <v>5191</v>
      </c>
      <c r="J5338">
        <v>10</v>
      </c>
      <c r="K5338" t="s">
        <v>4744</v>
      </c>
      <c r="L5338">
        <v>64.5</v>
      </c>
      <c r="M5338">
        <v>6.45</v>
      </c>
      <c r="N5338" t="s">
        <v>5272</v>
      </c>
      <c r="O5338" t="s">
        <v>459</v>
      </c>
    </row>
    <row r="5339" spans="1:15" x14ac:dyDescent="0.3">
      <c r="A5339">
        <v>190334</v>
      </c>
      <c r="B5339">
        <v>105</v>
      </c>
      <c r="C5339" t="s">
        <v>557</v>
      </c>
      <c r="D5339" t="s">
        <v>2563</v>
      </c>
      <c r="E5339" t="s">
        <v>3742</v>
      </c>
      <c r="F5339" s="451">
        <v>46027</v>
      </c>
      <c r="G5339">
        <v>23184</v>
      </c>
      <c r="H5339" t="s">
        <v>4935</v>
      </c>
      <c r="I5339" t="s">
        <v>5191</v>
      </c>
      <c r="J5339">
        <v>2</v>
      </c>
      <c r="K5339" t="s">
        <v>4744</v>
      </c>
      <c r="L5339">
        <v>21.76</v>
      </c>
      <c r="M5339">
        <v>10.88</v>
      </c>
      <c r="N5339" t="s">
        <v>5272</v>
      </c>
      <c r="O5339" t="s">
        <v>459</v>
      </c>
    </row>
    <row r="5340" spans="1:15" x14ac:dyDescent="0.3">
      <c r="A5340">
        <v>190333</v>
      </c>
      <c r="B5340">
        <v>105</v>
      </c>
      <c r="C5340" t="s">
        <v>557</v>
      </c>
      <c r="D5340" t="s">
        <v>2605</v>
      </c>
      <c r="E5340" t="s">
        <v>3743</v>
      </c>
      <c r="F5340" s="451">
        <v>46028</v>
      </c>
      <c r="G5340">
        <v>18073</v>
      </c>
      <c r="H5340" t="s">
        <v>4974</v>
      </c>
      <c r="I5340" t="s">
        <v>5222</v>
      </c>
      <c r="J5340">
        <v>2</v>
      </c>
      <c r="K5340" t="s">
        <v>4805</v>
      </c>
      <c r="L5340">
        <v>95.2</v>
      </c>
      <c r="M5340">
        <v>47.6</v>
      </c>
      <c r="N5340" t="s">
        <v>5271</v>
      </c>
      <c r="O5340" t="s">
        <v>459</v>
      </c>
    </row>
    <row r="5341" spans="1:15" x14ac:dyDescent="0.3">
      <c r="A5341">
        <v>190333</v>
      </c>
      <c r="B5341">
        <v>105</v>
      </c>
      <c r="C5341" t="s">
        <v>557</v>
      </c>
      <c r="D5341" t="s">
        <v>2605</v>
      </c>
      <c r="E5341" t="s">
        <v>3743</v>
      </c>
      <c r="F5341" s="451">
        <v>46028</v>
      </c>
      <c r="G5341">
        <v>18550</v>
      </c>
      <c r="H5341" t="s">
        <v>4967</v>
      </c>
      <c r="I5341" t="s">
        <v>5222</v>
      </c>
      <c r="J5341">
        <v>1</v>
      </c>
      <c r="K5341" t="s">
        <v>4736</v>
      </c>
      <c r="L5341">
        <v>374.8</v>
      </c>
      <c r="M5341">
        <v>374.8</v>
      </c>
      <c r="N5341" t="s">
        <v>5271</v>
      </c>
      <c r="O5341" t="s">
        <v>459</v>
      </c>
    </row>
    <row r="5342" spans="1:15" x14ac:dyDescent="0.3">
      <c r="A5342">
        <v>190333</v>
      </c>
      <c r="B5342">
        <v>105</v>
      </c>
      <c r="C5342" t="s">
        <v>557</v>
      </c>
      <c r="D5342" t="s">
        <v>2605</v>
      </c>
      <c r="E5342" t="s">
        <v>3743</v>
      </c>
      <c r="F5342" s="451">
        <v>46028</v>
      </c>
      <c r="G5342">
        <v>18538</v>
      </c>
      <c r="H5342" t="s">
        <v>5030</v>
      </c>
      <c r="I5342" t="s">
        <v>5222</v>
      </c>
      <c r="J5342">
        <v>1</v>
      </c>
      <c r="K5342" t="s">
        <v>4805</v>
      </c>
      <c r="L5342">
        <v>104.9</v>
      </c>
      <c r="M5342">
        <v>104.9</v>
      </c>
      <c r="N5342" t="s">
        <v>5271</v>
      </c>
      <c r="O5342" t="s">
        <v>459</v>
      </c>
    </row>
    <row r="5343" spans="1:15" x14ac:dyDescent="0.3">
      <c r="A5343">
        <v>190333</v>
      </c>
      <c r="B5343">
        <v>105</v>
      </c>
      <c r="C5343" t="s">
        <v>557</v>
      </c>
      <c r="D5343" t="s">
        <v>2605</v>
      </c>
      <c r="E5343" t="s">
        <v>3743</v>
      </c>
      <c r="F5343" s="451">
        <v>46028</v>
      </c>
      <c r="G5343">
        <v>18085</v>
      </c>
      <c r="H5343" t="s">
        <v>4973</v>
      </c>
      <c r="I5343" t="s">
        <v>5222</v>
      </c>
      <c r="J5343">
        <v>1</v>
      </c>
      <c r="K5343" t="s">
        <v>4805</v>
      </c>
      <c r="L5343">
        <v>47.6</v>
      </c>
      <c r="M5343">
        <v>47.6</v>
      </c>
      <c r="N5343" t="s">
        <v>5271</v>
      </c>
      <c r="O5343" t="s">
        <v>459</v>
      </c>
    </row>
    <row r="5344" spans="1:15" x14ac:dyDescent="0.3">
      <c r="A5344">
        <v>190333</v>
      </c>
      <c r="B5344">
        <v>105</v>
      </c>
      <c r="C5344" t="s">
        <v>557</v>
      </c>
      <c r="D5344" t="s">
        <v>2605</v>
      </c>
      <c r="E5344" t="s">
        <v>3743</v>
      </c>
      <c r="F5344" s="451">
        <v>46028</v>
      </c>
      <c r="G5344">
        <v>26210</v>
      </c>
      <c r="H5344" t="s">
        <v>4975</v>
      </c>
      <c r="I5344" t="s">
        <v>5222</v>
      </c>
      <c r="J5344">
        <v>1</v>
      </c>
      <c r="K5344" t="s">
        <v>4805</v>
      </c>
      <c r="L5344">
        <v>47.6</v>
      </c>
      <c r="M5344">
        <v>47.6</v>
      </c>
      <c r="N5344" t="s">
        <v>5271</v>
      </c>
      <c r="O5344" t="s">
        <v>459</v>
      </c>
    </row>
    <row r="5345" spans="1:15" x14ac:dyDescent="0.3">
      <c r="A5345">
        <v>190319</v>
      </c>
      <c r="B5345">
        <v>105</v>
      </c>
      <c r="C5345" t="s">
        <v>557</v>
      </c>
      <c r="D5345" t="s">
        <v>2690</v>
      </c>
      <c r="E5345" t="s">
        <v>3744</v>
      </c>
      <c r="F5345" s="451">
        <v>46028</v>
      </c>
      <c r="G5345">
        <v>18253</v>
      </c>
      <c r="H5345" t="s">
        <v>4969</v>
      </c>
      <c r="I5345" t="s">
        <v>5222</v>
      </c>
      <c r="J5345">
        <v>4</v>
      </c>
      <c r="K5345" t="s">
        <v>4805</v>
      </c>
      <c r="L5345">
        <v>114.2</v>
      </c>
      <c r="M5345">
        <v>28.55</v>
      </c>
      <c r="N5345" t="s">
        <v>5222</v>
      </c>
      <c r="O5345" t="s">
        <v>459</v>
      </c>
    </row>
    <row r="5346" spans="1:15" x14ac:dyDescent="0.3">
      <c r="A5346">
        <v>190319</v>
      </c>
      <c r="B5346">
        <v>105</v>
      </c>
      <c r="C5346" t="s">
        <v>557</v>
      </c>
      <c r="D5346" t="s">
        <v>2690</v>
      </c>
      <c r="E5346" t="s">
        <v>3744</v>
      </c>
      <c r="F5346" s="451">
        <v>46028</v>
      </c>
      <c r="G5346">
        <v>24638</v>
      </c>
      <c r="H5346" t="s">
        <v>4948</v>
      </c>
      <c r="I5346" t="s">
        <v>5191</v>
      </c>
      <c r="J5346">
        <v>1</v>
      </c>
      <c r="K5346" t="s">
        <v>4749</v>
      </c>
      <c r="L5346">
        <v>18.75</v>
      </c>
      <c r="M5346">
        <v>18.75</v>
      </c>
      <c r="N5346" t="s">
        <v>5222</v>
      </c>
      <c r="O5346" t="s">
        <v>459</v>
      </c>
    </row>
    <row r="5347" spans="1:15" x14ac:dyDescent="0.3">
      <c r="A5347">
        <v>189845</v>
      </c>
      <c r="B5347">
        <v>105</v>
      </c>
      <c r="C5347" t="s">
        <v>557</v>
      </c>
      <c r="D5347" t="s">
        <v>3646</v>
      </c>
      <c r="E5347" t="s">
        <v>3745</v>
      </c>
      <c r="F5347" s="451">
        <v>46023</v>
      </c>
      <c r="G5347">
        <v>27264</v>
      </c>
      <c r="H5347" t="s">
        <v>5075</v>
      </c>
      <c r="I5347" t="s">
        <v>5191</v>
      </c>
      <c r="J5347">
        <v>37</v>
      </c>
      <c r="K5347" t="s">
        <v>4744</v>
      </c>
      <c r="L5347">
        <v>2000.22</v>
      </c>
      <c r="M5347">
        <v>54.06</v>
      </c>
      <c r="N5347" t="s">
        <v>5272</v>
      </c>
      <c r="O5347" t="s">
        <v>459</v>
      </c>
    </row>
    <row r="5348" spans="1:15" x14ac:dyDescent="0.3">
      <c r="A5348">
        <v>189823</v>
      </c>
      <c r="B5348">
        <v>105</v>
      </c>
      <c r="C5348" t="s">
        <v>557</v>
      </c>
      <c r="D5348" t="s">
        <v>3636</v>
      </c>
      <c r="E5348" t="s">
        <v>5420</v>
      </c>
      <c r="F5348" s="451">
        <v>45999</v>
      </c>
      <c r="G5348">
        <v>24788</v>
      </c>
      <c r="H5348" t="s">
        <v>5407</v>
      </c>
      <c r="I5348" t="s">
        <v>5188</v>
      </c>
      <c r="J5348">
        <v>2</v>
      </c>
      <c r="K5348" t="s">
        <v>4749</v>
      </c>
      <c r="L5348">
        <v>640</v>
      </c>
      <c r="M5348">
        <v>320</v>
      </c>
      <c r="N5348" t="s">
        <v>5205</v>
      </c>
      <c r="O5348" t="s">
        <v>458</v>
      </c>
    </row>
    <row r="5349" spans="1:15" x14ac:dyDescent="0.3">
      <c r="A5349">
        <v>189823</v>
      </c>
      <c r="B5349">
        <v>105</v>
      </c>
      <c r="C5349" t="s">
        <v>557</v>
      </c>
      <c r="D5349" t="s">
        <v>3636</v>
      </c>
      <c r="E5349" t="s">
        <v>5420</v>
      </c>
      <c r="F5349" s="451">
        <v>45999</v>
      </c>
      <c r="G5349">
        <v>24789</v>
      </c>
      <c r="H5349" t="s">
        <v>5408</v>
      </c>
      <c r="I5349" t="s">
        <v>5188</v>
      </c>
      <c r="J5349">
        <v>2</v>
      </c>
      <c r="K5349" t="s">
        <v>4749</v>
      </c>
      <c r="L5349">
        <v>640</v>
      </c>
      <c r="M5349">
        <v>320</v>
      </c>
      <c r="N5349" t="s">
        <v>5205</v>
      </c>
      <c r="O5349" t="s">
        <v>458</v>
      </c>
    </row>
    <row r="5350" spans="1:15" x14ac:dyDescent="0.3">
      <c r="A5350">
        <v>189821</v>
      </c>
      <c r="B5350">
        <v>105</v>
      </c>
      <c r="C5350" t="s">
        <v>557</v>
      </c>
      <c r="D5350" t="s">
        <v>2600</v>
      </c>
      <c r="E5350" t="s">
        <v>3746</v>
      </c>
      <c r="F5350" s="451">
        <v>46000</v>
      </c>
      <c r="G5350">
        <v>20549</v>
      </c>
      <c r="H5350" t="s">
        <v>4823</v>
      </c>
      <c r="I5350" t="s">
        <v>5191</v>
      </c>
      <c r="J5350">
        <v>22</v>
      </c>
      <c r="K5350" t="s">
        <v>4744</v>
      </c>
      <c r="L5350">
        <v>439.78</v>
      </c>
      <c r="M5350">
        <v>19.989999999999998</v>
      </c>
      <c r="N5350" t="s">
        <v>5272</v>
      </c>
      <c r="O5350" t="s">
        <v>458</v>
      </c>
    </row>
    <row r="5351" spans="1:15" x14ac:dyDescent="0.3">
      <c r="A5351">
        <v>189725</v>
      </c>
      <c r="B5351">
        <v>105</v>
      </c>
      <c r="C5351" t="s">
        <v>557</v>
      </c>
      <c r="D5351" t="s">
        <v>2569</v>
      </c>
      <c r="E5351" t="s">
        <v>3747</v>
      </c>
      <c r="F5351" s="451">
        <v>45999</v>
      </c>
      <c r="G5351">
        <v>17958</v>
      </c>
      <c r="H5351" t="s">
        <v>5076</v>
      </c>
      <c r="I5351" t="s">
        <v>5222</v>
      </c>
      <c r="J5351">
        <v>30</v>
      </c>
      <c r="K5351" t="s">
        <v>4738</v>
      </c>
      <c r="L5351">
        <v>477</v>
      </c>
      <c r="M5351">
        <v>15.9</v>
      </c>
      <c r="N5351" t="s">
        <v>5222</v>
      </c>
      <c r="O5351" t="s">
        <v>458</v>
      </c>
    </row>
    <row r="5352" spans="1:15" x14ac:dyDescent="0.3">
      <c r="A5352">
        <v>189725</v>
      </c>
      <c r="B5352">
        <v>105</v>
      </c>
      <c r="C5352" t="s">
        <v>557</v>
      </c>
      <c r="D5352" t="s">
        <v>2569</v>
      </c>
      <c r="E5352" t="s">
        <v>3747</v>
      </c>
      <c r="F5352" s="451">
        <v>45999</v>
      </c>
      <c r="G5352">
        <v>17950</v>
      </c>
      <c r="H5352" t="s">
        <v>5091</v>
      </c>
      <c r="I5352" t="s">
        <v>5222</v>
      </c>
      <c r="J5352">
        <v>25</v>
      </c>
      <c r="K5352" t="s">
        <v>4738</v>
      </c>
      <c r="L5352">
        <v>427.5</v>
      </c>
      <c r="M5352">
        <v>17.100000000000001</v>
      </c>
      <c r="N5352" t="s">
        <v>5222</v>
      </c>
      <c r="O5352" t="s">
        <v>458</v>
      </c>
    </row>
    <row r="5353" spans="1:15" x14ac:dyDescent="0.3">
      <c r="A5353">
        <v>189724</v>
      </c>
      <c r="B5353">
        <v>105</v>
      </c>
      <c r="C5353" t="s">
        <v>557</v>
      </c>
      <c r="D5353" t="s">
        <v>3425</v>
      </c>
      <c r="E5353" t="s">
        <v>3748</v>
      </c>
      <c r="F5353" s="451">
        <v>45999</v>
      </c>
      <c r="G5353">
        <v>18315</v>
      </c>
      <c r="H5353" t="s">
        <v>4922</v>
      </c>
      <c r="I5353" t="s">
        <v>5222</v>
      </c>
      <c r="J5353">
        <v>1</v>
      </c>
      <c r="K5353" t="s">
        <v>4805</v>
      </c>
      <c r="L5353">
        <v>120.99</v>
      </c>
      <c r="M5353">
        <v>120.99</v>
      </c>
      <c r="N5353" t="s">
        <v>5271</v>
      </c>
      <c r="O5353" t="s">
        <v>458</v>
      </c>
    </row>
    <row r="5354" spans="1:15" x14ac:dyDescent="0.3">
      <c r="A5354">
        <v>189724</v>
      </c>
      <c r="B5354">
        <v>105</v>
      </c>
      <c r="C5354" t="s">
        <v>557</v>
      </c>
      <c r="D5354" t="s">
        <v>3425</v>
      </c>
      <c r="E5354" t="s">
        <v>3748</v>
      </c>
      <c r="F5354" s="451">
        <v>45999</v>
      </c>
      <c r="G5354">
        <v>18030</v>
      </c>
      <c r="H5354" t="s">
        <v>4840</v>
      </c>
      <c r="I5354" t="s">
        <v>5222</v>
      </c>
      <c r="J5354">
        <v>12</v>
      </c>
      <c r="K5354" t="s">
        <v>4805</v>
      </c>
      <c r="L5354">
        <v>330</v>
      </c>
      <c r="M5354">
        <v>27.5</v>
      </c>
      <c r="N5354" t="s">
        <v>5271</v>
      </c>
      <c r="O5354" t="s">
        <v>458</v>
      </c>
    </row>
    <row r="5355" spans="1:15" x14ac:dyDescent="0.3">
      <c r="A5355">
        <v>189724</v>
      </c>
      <c r="B5355">
        <v>105</v>
      </c>
      <c r="C5355" t="s">
        <v>557</v>
      </c>
      <c r="D5355" t="s">
        <v>3425</v>
      </c>
      <c r="E5355" t="s">
        <v>3748</v>
      </c>
      <c r="F5355" s="451">
        <v>45999</v>
      </c>
      <c r="G5355">
        <v>24685</v>
      </c>
      <c r="H5355" t="s">
        <v>5055</v>
      </c>
      <c r="I5355" t="s">
        <v>5222</v>
      </c>
      <c r="J5355">
        <v>1</v>
      </c>
      <c r="K5355" t="s">
        <v>4805</v>
      </c>
      <c r="L5355">
        <v>147.25</v>
      </c>
      <c r="M5355">
        <v>147.25</v>
      </c>
      <c r="N5355" t="s">
        <v>5271</v>
      </c>
      <c r="O5355" t="s">
        <v>458</v>
      </c>
    </row>
    <row r="5356" spans="1:15" x14ac:dyDescent="0.3">
      <c r="A5356">
        <v>189724</v>
      </c>
      <c r="B5356">
        <v>105</v>
      </c>
      <c r="C5356" t="s">
        <v>557</v>
      </c>
      <c r="D5356" t="s">
        <v>3425</v>
      </c>
      <c r="E5356" t="s">
        <v>3748</v>
      </c>
      <c r="F5356" s="451">
        <v>45999</v>
      </c>
      <c r="G5356">
        <v>18233</v>
      </c>
      <c r="H5356" t="s">
        <v>4970</v>
      </c>
      <c r="I5356" t="s">
        <v>5222</v>
      </c>
      <c r="J5356">
        <v>1</v>
      </c>
      <c r="K5356" t="s">
        <v>4805</v>
      </c>
      <c r="L5356">
        <v>97.5</v>
      </c>
      <c r="M5356">
        <v>97.5</v>
      </c>
      <c r="N5356" t="s">
        <v>5271</v>
      </c>
      <c r="O5356" t="s">
        <v>458</v>
      </c>
    </row>
    <row r="5357" spans="1:15" x14ac:dyDescent="0.3">
      <c r="A5357">
        <v>189724</v>
      </c>
      <c r="B5357">
        <v>105</v>
      </c>
      <c r="C5357" t="s">
        <v>557</v>
      </c>
      <c r="D5357" t="s">
        <v>3425</v>
      </c>
      <c r="E5357" t="s">
        <v>3748</v>
      </c>
      <c r="F5357" s="451">
        <v>45999</v>
      </c>
      <c r="G5357">
        <v>18232</v>
      </c>
      <c r="H5357" t="s">
        <v>4971</v>
      </c>
      <c r="I5357" t="s">
        <v>5222</v>
      </c>
      <c r="J5357">
        <v>1</v>
      </c>
      <c r="K5357" t="s">
        <v>4805</v>
      </c>
      <c r="L5357">
        <v>97.5</v>
      </c>
      <c r="M5357">
        <v>97.5</v>
      </c>
      <c r="N5357" t="s">
        <v>5271</v>
      </c>
      <c r="O5357" t="s">
        <v>458</v>
      </c>
    </row>
    <row r="5358" spans="1:15" x14ac:dyDescent="0.3">
      <c r="A5358">
        <v>189724</v>
      </c>
      <c r="B5358">
        <v>105</v>
      </c>
      <c r="C5358" t="s">
        <v>557</v>
      </c>
      <c r="D5358" t="s">
        <v>3425</v>
      </c>
      <c r="E5358" t="s">
        <v>3748</v>
      </c>
      <c r="F5358" s="451">
        <v>45999</v>
      </c>
      <c r="G5358">
        <v>18547</v>
      </c>
      <c r="H5358" t="s">
        <v>4863</v>
      </c>
      <c r="I5358" t="s">
        <v>5222</v>
      </c>
      <c r="J5358">
        <v>4</v>
      </c>
      <c r="K5358" t="s">
        <v>4805</v>
      </c>
      <c r="L5358">
        <v>139.56</v>
      </c>
      <c r="M5358">
        <v>34.89</v>
      </c>
      <c r="N5358" t="s">
        <v>5271</v>
      </c>
      <c r="O5358" t="s">
        <v>458</v>
      </c>
    </row>
    <row r="5359" spans="1:15" x14ac:dyDescent="0.3">
      <c r="A5359">
        <v>189723</v>
      </c>
      <c r="B5359">
        <v>105</v>
      </c>
      <c r="C5359" t="s">
        <v>557</v>
      </c>
      <c r="D5359" t="s">
        <v>2607</v>
      </c>
      <c r="E5359" t="s">
        <v>3749</v>
      </c>
      <c r="F5359" s="451">
        <v>45999</v>
      </c>
      <c r="G5359">
        <v>27657</v>
      </c>
      <c r="H5359" t="s">
        <v>5137</v>
      </c>
      <c r="I5359" t="s">
        <v>5191</v>
      </c>
      <c r="J5359">
        <v>11.2</v>
      </c>
      <c r="K5359" t="s">
        <v>4744</v>
      </c>
      <c r="L5359">
        <v>447.44</v>
      </c>
      <c r="M5359">
        <v>39.950000000000003</v>
      </c>
      <c r="N5359" t="s">
        <v>5191</v>
      </c>
      <c r="O5359" t="s">
        <v>458</v>
      </c>
    </row>
    <row r="5360" spans="1:15" x14ac:dyDescent="0.3">
      <c r="A5360">
        <v>189723</v>
      </c>
      <c r="B5360">
        <v>105</v>
      </c>
      <c r="C5360" t="s">
        <v>557</v>
      </c>
      <c r="D5360" t="s">
        <v>2607</v>
      </c>
      <c r="E5360" t="s">
        <v>3749</v>
      </c>
      <c r="F5360" s="451">
        <v>45999</v>
      </c>
      <c r="G5360">
        <v>26135</v>
      </c>
      <c r="H5360" t="s">
        <v>4801</v>
      </c>
      <c r="I5360" t="s">
        <v>5191</v>
      </c>
      <c r="J5360">
        <v>15.2</v>
      </c>
      <c r="K5360" t="s">
        <v>4744</v>
      </c>
      <c r="L5360">
        <v>1366.48</v>
      </c>
      <c r="M5360">
        <v>89.9</v>
      </c>
      <c r="N5360" t="s">
        <v>5191</v>
      </c>
      <c r="O5360" t="s">
        <v>458</v>
      </c>
    </row>
    <row r="5361" spans="1:15" x14ac:dyDescent="0.3">
      <c r="A5361">
        <v>189722</v>
      </c>
      <c r="B5361">
        <v>105</v>
      </c>
      <c r="C5361" t="s">
        <v>557</v>
      </c>
      <c r="D5361" t="s">
        <v>2607</v>
      </c>
      <c r="E5361" t="s">
        <v>3750</v>
      </c>
      <c r="F5361" s="451">
        <v>45999</v>
      </c>
      <c r="G5361">
        <v>25777</v>
      </c>
      <c r="H5361" t="s">
        <v>4774</v>
      </c>
      <c r="I5361" t="s">
        <v>5191</v>
      </c>
      <c r="J5361">
        <v>15.3</v>
      </c>
      <c r="K5361" t="s">
        <v>4744</v>
      </c>
      <c r="L5361">
        <v>1300.5</v>
      </c>
      <c r="M5361">
        <v>85</v>
      </c>
      <c r="N5361" t="s">
        <v>5272</v>
      </c>
      <c r="O5361" t="s">
        <v>458</v>
      </c>
    </row>
    <row r="5362" spans="1:15" x14ac:dyDescent="0.3">
      <c r="A5362">
        <v>189722</v>
      </c>
      <c r="B5362">
        <v>105</v>
      </c>
      <c r="C5362" t="s">
        <v>557</v>
      </c>
      <c r="D5362" t="s">
        <v>2607</v>
      </c>
      <c r="E5362" t="s">
        <v>3750</v>
      </c>
      <c r="F5362" s="451">
        <v>45999</v>
      </c>
      <c r="G5362">
        <v>24954</v>
      </c>
      <c r="H5362" t="s">
        <v>4769</v>
      </c>
      <c r="I5362" t="s">
        <v>5191</v>
      </c>
      <c r="J5362">
        <v>13.2</v>
      </c>
      <c r="K5362" t="s">
        <v>4744</v>
      </c>
      <c r="L5362">
        <v>1669.8</v>
      </c>
      <c r="M5362">
        <v>126.5</v>
      </c>
      <c r="N5362" t="s">
        <v>5272</v>
      </c>
      <c r="O5362" t="s">
        <v>458</v>
      </c>
    </row>
    <row r="5363" spans="1:15" x14ac:dyDescent="0.3">
      <c r="A5363">
        <v>189722</v>
      </c>
      <c r="B5363">
        <v>105</v>
      </c>
      <c r="C5363" t="s">
        <v>557</v>
      </c>
      <c r="D5363" t="s">
        <v>2607</v>
      </c>
      <c r="E5363" t="s">
        <v>3750</v>
      </c>
      <c r="F5363" s="451">
        <v>45999</v>
      </c>
      <c r="G5363">
        <v>18996</v>
      </c>
      <c r="H5363" t="s">
        <v>5130</v>
      </c>
      <c r="I5363" t="s">
        <v>5191</v>
      </c>
      <c r="J5363">
        <v>5.0999999999999996</v>
      </c>
      <c r="K5363" t="s">
        <v>4744</v>
      </c>
      <c r="L5363">
        <v>94.35</v>
      </c>
      <c r="M5363">
        <v>18.5</v>
      </c>
      <c r="N5363" t="s">
        <v>5272</v>
      </c>
      <c r="O5363" t="s">
        <v>458</v>
      </c>
    </row>
    <row r="5364" spans="1:15" x14ac:dyDescent="0.3">
      <c r="A5364">
        <v>189721</v>
      </c>
      <c r="B5364">
        <v>105</v>
      </c>
      <c r="C5364" t="s">
        <v>557</v>
      </c>
      <c r="D5364" t="s">
        <v>2716</v>
      </c>
      <c r="E5364" t="s">
        <v>3751</v>
      </c>
      <c r="F5364" s="451">
        <v>45999</v>
      </c>
      <c r="G5364">
        <v>24351</v>
      </c>
      <c r="H5364" t="s">
        <v>5014</v>
      </c>
      <c r="I5364" t="s">
        <v>5191</v>
      </c>
      <c r="J5364">
        <v>10</v>
      </c>
      <c r="K5364" t="s">
        <v>4744</v>
      </c>
      <c r="L5364">
        <v>120</v>
      </c>
      <c r="M5364">
        <v>12</v>
      </c>
      <c r="N5364" t="s">
        <v>5191</v>
      </c>
      <c r="O5364" t="s">
        <v>458</v>
      </c>
    </row>
    <row r="5365" spans="1:15" x14ac:dyDescent="0.3">
      <c r="A5365">
        <v>189720</v>
      </c>
      <c r="B5365">
        <v>105</v>
      </c>
      <c r="C5365" t="s">
        <v>557</v>
      </c>
      <c r="D5365" t="s">
        <v>2581</v>
      </c>
      <c r="E5365" t="s">
        <v>3752</v>
      </c>
      <c r="F5365" s="451">
        <v>45999</v>
      </c>
      <c r="G5365">
        <v>19787</v>
      </c>
      <c r="H5365" t="s">
        <v>4793</v>
      </c>
      <c r="I5365" t="s">
        <v>5191</v>
      </c>
      <c r="J5365">
        <v>15</v>
      </c>
      <c r="K5365" t="s">
        <v>4744</v>
      </c>
      <c r="L5365">
        <v>67.5</v>
      </c>
      <c r="M5365">
        <v>4.5</v>
      </c>
      <c r="N5365" t="s">
        <v>5272</v>
      </c>
      <c r="O5365" t="s">
        <v>458</v>
      </c>
    </row>
    <row r="5366" spans="1:15" x14ac:dyDescent="0.3">
      <c r="A5366">
        <v>189720</v>
      </c>
      <c r="B5366">
        <v>105</v>
      </c>
      <c r="C5366" t="s">
        <v>557</v>
      </c>
      <c r="D5366" t="s">
        <v>2581</v>
      </c>
      <c r="E5366" t="s">
        <v>3752</v>
      </c>
      <c r="F5366" s="451">
        <v>45999</v>
      </c>
      <c r="G5366">
        <v>19621</v>
      </c>
      <c r="H5366" t="s">
        <v>4829</v>
      </c>
      <c r="I5366" t="s">
        <v>5191</v>
      </c>
      <c r="J5366">
        <v>3</v>
      </c>
      <c r="K5366" t="s">
        <v>4744</v>
      </c>
      <c r="L5366">
        <v>7.8</v>
      </c>
      <c r="M5366">
        <v>2.6</v>
      </c>
      <c r="N5366" t="s">
        <v>5272</v>
      </c>
      <c r="O5366" t="s">
        <v>458</v>
      </c>
    </row>
    <row r="5367" spans="1:15" x14ac:dyDescent="0.3">
      <c r="A5367">
        <v>189720</v>
      </c>
      <c r="B5367">
        <v>105</v>
      </c>
      <c r="C5367" t="s">
        <v>557</v>
      </c>
      <c r="D5367" t="s">
        <v>2581</v>
      </c>
      <c r="E5367" t="s">
        <v>3752</v>
      </c>
      <c r="F5367" s="451">
        <v>45999</v>
      </c>
      <c r="G5367">
        <v>19589</v>
      </c>
      <c r="H5367" t="s">
        <v>4983</v>
      </c>
      <c r="I5367" t="s">
        <v>5191</v>
      </c>
      <c r="J5367">
        <v>2.5</v>
      </c>
      <c r="K5367" t="s">
        <v>4744</v>
      </c>
      <c r="L5367">
        <v>8.75</v>
      </c>
      <c r="M5367">
        <v>3.5</v>
      </c>
      <c r="N5367" t="s">
        <v>5272</v>
      </c>
      <c r="O5367" t="s">
        <v>458</v>
      </c>
    </row>
    <row r="5368" spans="1:15" x14ac:dyDescent="0.3">
      <c r="A5368">
        <v>189720</v>
      </c>
      <c r="B5368">
        <v>105</v>
      </c>
      <c r="C5368" t="s">
        <v>557</v>
      </c>
      <c r="D5368" t="s">
        <v>2581</v>
      </c>
      <c r="E5368" t="s">
        <v>3752</v>
      </c>
      <c r="F5368" s="451">
        <v>45999</v>
      </c>
      <c r="G5368">
        <v>19505</v>
      </c>
      <c r="H5368" t="s">
        <v>4872</v>
      </c>
      <c r="I5368" t="s">
        <v>5191</v>
      </c>
      <c r="J5368">
        <v>4</v>
      </c>
      <c r="K5368" t="s">
        <v>4744</v>
      </c>
      <c r="L5368">
        <v>23.2</v>
      </c>
      <c r="M5368">
        <v>5.8</v>
      </c>
      <c r="N5368" t="s">
        <v>5272</v>
      </c>
      <c r="O5368" t="s">
        <v>458</v>
      </c>
    </row>
    <row r="5369" spans="1:15" x14ac:dyDescent="0.3">
      <c r="A5369">
        <v>189720</v>
      </c>
      <c r="B5369">
        <v>105</v>
      </c>
      <c r="C5369" t="s">
        <v>557</v>
      </c>
      <c r="D5369" t="s">
        <v>2581</v>
      </c>
      <c r="E5369" t="s">
        <v>3752</v>
      </c>
      <c r="F5369" s="451">
        <v>45999</v>
      </c>
      <c r="G5369">
        <v>19552</v>
      </c>
      <c r="H5369" t="s">
        <v>4860</v>
      </c>
      <c r="I5369" t="s">
        <v>5191</v>
      </c>
      <c r="J5369">
        <v>1</v>
      </c>
      <c r="K5369" t="s">
        <v>4744</v>
      </c>
      <c r="L5369">
        <v>3.9</v>
      </c>
      <c r="M5369">
        <v>3.9</v>
      </c>
      <c r="N5369" t="s">
        <v>5272</v>
      </c>
      <c r="O5369" t="s">
        <v>458</v>
      </c>
    </row>
    <row r="5370" spans="1:15" x14ac:dyDescent="0.3">
      <c r="A5370">
        <v>189720</v>
      </c>
      <c r="B5370">
        <v>105</v>
      </c>
      <c r="C5370" t="s">
        <v>557</v>
      </c>
      <c r="D5370" t="s">
        <v>2581</v>
      </c>
      <c r="E5370" t="s">
        <v>3752</v>
      </c>
      <c r="F5370" s="451">
        <v>45999</v>
      </c>
      <c r="G5370">
        <v>19506</v>
      </c>
      <c r="H5370" t="s">
        <v>5122</v>
      </c>
      <c r="I5370" t="s">
        <v>5191</v>
      </c>
      <c r="J5370">
        <v>0.5</v>
      </c>
      <c r="K5370" t="s">
        <v>4744</v>
      </c>
      <c r="L5370">
        <v>22.5</v>
      </c>
      <c r="M5370">
        <v>45</v>
      </c>
      <c r="N5370" t="s">
        <v>5272</v>
      </c>
      <c r="O5370" t="s">
        <v>458</v>
      </c>
    </row>
    <row r="5371" spans="1:15" x14ac:dyDescent="0.3">
      <c r="A5371">
        <v>189720</v>
      </c>
      <c r="B5371">
        <v>105</v>
      </c>
      <c r="C5371" t="s">
        <v>557</v>
      </c>
      <c r="D5371" t="s">
        <v>2581</v>
      </c>
      <c r="E5371" t="s">
        <v>3752</v>
      </c>
      <c r="F5371" s="451">
        <v>45999</v>
      </c>
      <c r="G5371">
        <v>19480</v>
      </c>
      <c r="H5371" t="s">
        <v>5119</v>
      </c>
      <c r="I5371" t="s">
        <v>5191</v>
      </c>
      <c r="J5371">
        <v>0.5</v>
      </c>
      <c r="K5371" t="s">
        <v>4744</v>
      </c>
      <c r="L5371">
        <v>6.5</v>
      </c>
      <c r="M5371">
        <v>13</v>
      </c>
      <c r="N5371" t="s">
        <v>5272</v>
      </c>
      <c r="O5371" t="s">
        <v>458</v>
      </c>
    </row>
    <row r="5372" spans="1:15" x14ac:dyDescent="0.3">
      <c r="A5372">
        <v>189720</v>
      </c>
      <c r="B5372">
        <v>105</v>
      </c>
      <c r="C5372" t="s">
        <v>557</v>
      </c>
      <c r="D5372" t="s">
        <v>2581</v>
      </c>
      <c r="E5372" t="s">
        <v>3752</v>
      </c>
      <c r="F5372" s="451">
        <v>45999</v>
      </c>
      <c r="G5372">
        <v>19492</v>
      </c>
      <c r="H5372" t="s">
        <v>4937</v>
      </c>
      <c r="I5372" t="s">
        <v>5191</v>
      </c>
      <c r="J5372">
        <v>2.5</v>
      </c>
      <c r="K5372" t="s">
        <v>4744</v>
      </c>
      <c r="L5372">
        <v>32.5</v>
      </c>
      <c r="M5372">
        <v>13</v>
      </c>
      <c r="N5372" t="s">
        <v>5272</v>
      </c>
      <c r="O5372" t="s">
        <v>458</v>
      </c>
    </row>
    <row r="5373" spans="1:15" x14ac:dyDescent="0.3">
      <c r="A5373">
        <v>189720</v>
      </c>
      <c r="B5373">
        <v>105</v>
      </c>
      <c r="C5373" t="s">
        <v>557</v>
      </c>
      <c r="D5373" t="s">
        <v>2581</v>
      </c>
      <c r="E5373" t="s">
        <v>3752</v>
      </c>
      <c r="F5373" s="451">
        <v>45999</v>
      </c>
      <c r="G5373">
        <v>19502</v>
      </c>
      <c r="H5373" t="s">
        <v>4871</v>
      </c>
      <c r="I5373" t="s">
        <v>5191</v>
      </c>
      <c r="J5373">
        <v>2</v>
      </c>
      <c r="K5373" t="s">
        <v>4744</v>
      </c>
      <c r="L5373">
        <v>17</v>
      </c>
      <c r="M5373">
        <v>8.5</v>
      </c>
      <c r="N5373" t="s">
        <v>5272</v>
      </c>
      <c r="O5373" t="s">
        <v>458</v>
      </c>
    </row>
    <row r="5374" spans="1:15" x14ac:dyDescent="0.3">
      <c r="A5374">
        <v>189720</v>
      </c>
      <c r="B5374">
        <v>105</v>
      </c>
      <c r="C5374" t="s">
        <v>557</v>
      </c>
      <c r="D5374" t="s">
        <v>2581</v>
      </c>
      <c r="E5374" t="s">
        <v>3752</v>
      </c>
      <c r="F5374" s="451">
        <v>45999</v>
      </c>
      <c r="G5374">
        <v>19551</v>
      </c>
      <c r="H5374" t="s">
        <v>4905</v>
      </c>
      <c r="I5374" t="s">
        <v>5191</v>
      </c>
      <c r="J5374">
        <v>2</v>
      </c>
      <c r="K5374" t="s">
        <v>4744</v>
      </c>
      <c r="L5374">
        <v>26</v>
      </c>
      <c r="M5374">
        <v>13</v>
      </c>
      <c r="N5374" t="s">
        <v>5272</v>
      </c>
      <c r="O5374" t="s">
        <v>458</v>
      </c>
    </row>
    <row r="5375" spans="1:15" x14ac:dyDescent="0.3">
      <c r="A5375">
        <v>189720</v>
      </c>
      <c r="B5375">
        <v>105</v>
      </c>
      <c r="C5375" t="s">
        <v>557</v>
      </c>
      <c r="D5375" t="s">
        <v>2581</v>
      </c>
      <c r="E5375" t="s">
        <v>3752</v>
      </c>
      <c r="F5375" s="451">
        <v>45999</v>
      </c>
      <c r="G5375">
        <v>19476</v>
      </c>
      <c r="H5375" t="s">
        <v>5115</v>
      </c>
      <c r="I5375" t="s">
        <v>5191</v>
      </c>
      <c r="J5375">
        <v>0.3</v>
      </c>
      <c r="K5375" t="s">
        <v>4744</v>
      </c>
      <c r="L5375">
        <v>21</v>
      </c>
      <c r="M5375">
        <v>70</v>
      </c>
      <c r="N5375" t="s">
        <v>5272</v>
      </c>
      <c r="O5375" t="s">
        <v>458</v>
      </c>
    </row>
    <row r="5376" spans="1:15" x14ac:dyDescent="0.3">
      <c r="A5376">
        <v>189720</v>
      </c>
      <c r="B5376">
        <v>105</v>
      </c>
      <c r="C5376" t="s">
        <v>557</v>
      </c>
      <c r="D5376" t="s">
        <v>2581</v>
      </c>
      <c r="E5376" t="s">
        <v>3752</v>
      </c>
      <c r="F5376" s="451">
        <v>45999</v>
      </c>
      <c r="G5376">
        <v>19572</v>
      </c>
      <c r="H5376" t="s">
        <v>4989</v>
      </c>
      <c r="I5376" t="s">
        <v>5191</v>
      </c>
      <c r="J5376">
        <v>0.5</v>
      </c>
      <c r="K5376" t="s">
        <v>4744</v>
      </c>
      <c r="L5376">
        <v>10</v>
      </c>
      <c r="M5376">
        <v>20</v>
      </c>
      <c r="N5376" t="s">
        <v>5272</v>
      </c>
      <c r="O5376" t="s">
        <v>458</v>
      </c>
    </row>
    <row r="5377" spans="1:15" x14ac:dyDescent="0.3">
      <c r="A5377">
        <v>189720</v>
      </c>
      <c r="B5377">
        <v>105</v>
      </c>
      <c r="C5377" t="s">
        <v>557</v>
      </c>
      <c r="D5377" t="s">
        <v>2581</v>
      </c>
      <c r="E5377" t="s">
        <v>3752</v>
      </c>
      <c r="F5377" s="451">
        <v>45999</v>
      </c>
      <c r="G5377">
        <v>19647</v>
      </c>
      <c r="H5377" t="s">
        <v>5050</v>
      </c>
      <c r="I5377" t="s">
        <v>5191</v>
      </c>
      <c r="J5377">
        <v>0.4</v>
      </c>
      <c r="K5377" t="s">
        <v>4744</v>
      </c>
      <c r="L5377">
        <v>2.72</v>
      </c>
      <c r="M5377">
        <v>6.8</v>
      </c>
      <c r="N5377" t="s">
        <v>5272</v>
      </c>
      <c r="O5377" t="s">
        <v>458</v>
      </c>
    </row>
    <row r="5378" spans="1:15" x14ac:dyDescent="0.3">
      <c r="A5378">
        <v>189720</v>
      </c>
      <c r="B5378">
        <v>105</v>
      </c>
      <c r="C5378" t="s">
        <v>557</v>
      </c>
      <c r="D5378" t="s">
        <v>2581</v>
      </c>
      <c r="E5378" t="s">
        <v>3752</v>
      </c>
      <c r="F5378" s="451">
        <v>45999</v>
      </c>
      <c r="G5378">
        <v>19728</v>
      </c>
      <c r="H5378" t="s">
        <v>5106</v>
      </c>
      <c r="I5378" t="s">
        <v>5191</v>
      </c>
      <c r="J5378">
        <v>1</v>
      </c>
      <c r="K5378" t="s">
        <v>4744</v>
      </c>
      <c r="L5378">
        <v>14.5</v>
      </c>
      <c r="M5378">
        <v>14.5</v>
      </c>
      <c r="N5378" t="s">
        <v>5272</v>
      </c>
      <c r="O5378" t="s">
        <v>458</v>
      </c>
    </row>
    <row r="5379" spans="1:15" x14ac:dyDescent="0.3">
      <c r="A5379">
        <v>189720</v>
      </c>
      <c r="B5379">
        <v>105</v>
      </c>
      <c r="C5379" t="s">
        <v>557</v>
      </c>
      <c r="D5379" t="s">
        <v>2581</v>
      </c>
      <c r="E5379" t="s">
        <v>3752</v>
      </c>
      <c r="F5379" s="451">
        <v>45999</v>
      </c>
      <c r="G5379">
        <v>19740</v>
      </c>
      <c r="H5379" t="s">
        <v>4779</v>
      </c>
      <c r="I5379" t="s">
        <v>5191</v>
      </c>
      <c r="J5379">
        <v>8</v>
      </c>
      <c r="K5379" t="s">
        <v>4744</v>
      </c>
      <c r="L5379">
        <v>124</v>
      </c>
      <c r="M5379">
        <v>15.5</v>
      </c>
      <c r="N5379" t="s">
        <v>5272</v>
      </c>
      <c r="O5379" t="s">
        <v>458</v>
      </c>
    </row>
    <row r="5380" spans="1:15" x14ac:dyDescent="0.3">
      <c r="A5380">
        <v>189720</v>
      </c>
      <c r="B5380">
        <v>105</v>
      </c>
      <c r="C5380" t="s">
        <v>557</v>
      </c>
      <c r="D5380" t="s">
        <v>2581</v>
      </c>
      <c r="E5380" t="s">
        <v>3752</v>
      </c>
      <c r="F5380" s="451">
        <v>45999</v>
      </c>
      <c r="G5380">
        <v>19752</v>
      </c>
      <c r="H5380" t="s">
        <v>4807</v>
      </c>
      <c r="I5380" t="s">
        <v>5191</v>
      </c>
      <c r="J5380">
        <v>4</v>
      </c>
      <c r="K5380" t="s">
        <v>4744</v>
      </c>
      <c r="L5380">
        <v>56</v>
      </c>
      <c r="M5380">
        <v>14</v>
      </c>
      <c r="N5380" t="s">
        <v>5272</v>
      </c>
      <c r="O5380" t="s">
        <v>458</v>
      </c>
    </row>
    <row r="5381" spans="1:15" x14ac:dyDescent="0.3">
      <c r="A5381">
        <v>189720</v>
      </c>
      <c r="B5381">
        <v>105</v>
      </c>
      <c r="C5381" t="s">
        <v>557</v>
      </c>
      <c r="D5381" t="s">
        <v>2581</v>
      </c>
      <c r="E5381" t="s">
        <v>3752</v>
      </c>
      <c r="F5381" s="451">
        <v>45999</v>
      </c>
      <c r="G5381">
        <v>24489</v>
      </c>
      <c r="H5381" t="s">
        <v>5121</v>
      </c>
      <c r="I5381" t="s">
        <v>5191</v>
      </c>
      <c r="J5381">
        <v>1</v>
      </c>
      <c r="K5381" t="s">
        <v>4744</v>
      </c>
      <c r="L5381">
        <v>12</v>
      </c>
      <c r="M5381">
        <v>12</v>
      </c>
      <c r="N5381" t="s">
        <v>5272</v>
      </c>
      <c r="O5381" t="s">
        <v>458</v>
      </c>
    </row>
    <row r="5382" spans="1:15" x14ac:dyDescent="0.3">
      <c r="A5382">
        <v>189720</v>
      </c>
      <c r="B5382">
        <v>105</v>
      </c>
      <c r="C5382" t="s">
        <v>557</v>
      </c>
      <c r="D5382" t="s">
        <v>2581</v>
      </c>
      <c r="E5382" t="s">
        <v>3752</v>
      </c>
      <c r="F5382" s="451">
        <v>45999</v>
      </c>
      <c r="G5382">
        <v>19617</v>
      </c>
      <c r="H5382" t="s">
        <v>5071</v>
      </c>
      <c r="I5382" t="s">
        <v>5191</v>
      </c>
      <c r="J5382">
        <v>0.5</v>
      </c>
      <c r="K5382" t="s">
        <v>4744</v>
      </c>
      <c r="L5382">
        <v>9</v>
      </c>
      <c r="M5382">
        <v>18</v>
      </c>
      <c r="N5382" t="s">
        <v>5272</v>
      </c>
      <c r="O5382" t="s">
        <v>458</v>
      </c>
    </row>
    <row r="5383" spans="1:15" x14ac:dyDescent="0.3">
      <c r="A5383">
        <v>189720</v>
      </c>
      <c r="B5383">
        <v>105</v>
      </c>
      <c r="C5383" t="s">
        <v>557</v>
      </c>
      <c r="D5383" t="s">
        <v>2581</v>
      </c>
      <c r="E5383" t="s">
        <v>3752</v>
      </c>
      <c r="F5383" s="451">
        <v>45999</v>
      </c>
      <c r="G5383">
        <v>19635</v>
      </c>
      <c r="H5383" t="s">
        <v>4786</v>
      </c>
      <c r="I5383" t="s">
        <v>5191</v>
      </c>
      <c r="J5383">
        <v>8</v>
      </c>
      <c r="K5383" t="s">
        <v>4744</v>
      </c>
      <c r="L5383">
        <v>33.6</v>
      </c>
      <c r="M5383">
        <v>4.2</v>
      </c>
      <c r="N5383" t="s">
        <v>5272</v>
      </c>
      <c r="O5383" t="s">
        <v>458</v>
      </c>
    </row>
    <row r="5384" spans="1:15" x14ac:dyDescent="0.3">
      <c r="A5384">
        <v>189720</v>
      </c>
      <c r="B5384">
        <v>105</v>
      </c>
      <c r="C5384" t="s">
        <v>557</v>
      </c>
      <c r="D5384" t="s">
        <v>2581</v>
      </c>
      <c r="E5384" t="s">
        <v>3752</v>
      </c>
      <c r="F5384" s="451">
        <v>45999</v>
      </c>
      <c r="G5384">
        <v>23108</v>
      </c>
      <c r="H5384" t="s">
        <v>5117</v>
      </c>
      <c r="I5384" t="s">
        <v>5191</v>
      </c>
      <c r="J5384">
        <v>0.1</v>
      </c>
      <c r="K5384" t="s">
        <v>4744</v>
      </c>
      <c r="L5384">
        <v>5.5</v>
      </c>
      <c r="M5384">
        <v>55</v>
      </c>
      <c r="N5384" t="s">
        <v>5272</v>
      </c>
      <c r="O5384" t="s">
        <v>458</v>
      </c>
    </row>
    <row r="5385" spans="1:15" x14ac:dyDescent="0.3">
      <c r="A5385">
        <v>189720</v>
      </c>
      <c r="B5385">
        <v>105</v>
      </c>
      <c r="C5385" t="s">
        <v>557</v>
      </c>
      <c r="D5385" t="s">
        <v>2581</v>
      </c>
      <c r="E5385" t="s">
        <v>3752</v>
      </c>
      <c r="F5385" s="451">
        <v>45999</v>
      </c>
      <c r="G5385">
        <v>23113</v>
      </c>
      <c r="H5385" t="s">
        <v>5074</v>
      </c>
      <c r="I5385" t="s">
        <v>5191</v>
      </c>
      <c r="J5385">
        <v>1</v>
      </c>
      <c r="K5385" t="s">
        <v>4744</v>
      </c>
      <c r="L5385">
        <v>7.5</v>
      </c>
      <c r="M5385">
        <v>7.5</v>
      </c>
      <c r="N5385" t="s">
        <v>5272</v>
      </c>
      <c r="O5385" t="s">
        <v>458</v>
      </c>
    </row>
    <row r="5386" spans="1:15" x14ac:dyDescent="0.3">
      <c r="A5386">
        <v>189720</v>
      </c>
      <c r="B5386">
        <v>105</v>
      </c>
      <c r="C5386" t="s">
        <v>557</v>
      </c>
      <c r="D5386" t="s">
        <v>2581</v>
      </c>
      <c r="E5386" t="s">
        <v>3752</v>
      </c>
      <c r="F5386" s="451">
        <v>45999</v>
      </c>
      <c r="G5386">
        <v>23195</v>
      </c>
      <c r="H5386" t="s">
        <v>5051</v>
      </c>
      <c r="I5386" t="s">
        <v>5191</v>
      </c>
      <c r="J5386">
        <v>0.8</v>
      </c>
      <c r="K5386" t="s">
        <v>4744</v>
      </c>
      <c r="L5386">
        <v>6</v>
      </c>
      <c r="M5386">
        <v>7.5</v>
      </c>
      <c r="N5386" t="s">
        <v>5272</v>
      </c>
      <c r="O5386" t="s">
        <v>458</v>
      </c>
    </row>
    <row r="5387" spans="1:15" x14ac:dyDescent="0.3">
      <c r="A5387">
        <v>189720</v>
      </c>
      <c r="B5387">
        <v>105</v>
      </c>
      <c r="C5387" t="s">
        <v>557</v>
      </c>
      <c r="D5387" t="s">
        <v>2581</v>
      </c>
      <c r="E5387" t="s">
        <v>3752</v>
      </c>
      <c r="F5387" s="451">
        <v>45999</v>
      </c>
      <c r="G5387">
        <v>23236</v>
      </c>
      <c r="H5387" t="s">
        <v>5062</v>
      </c>
      <c r="I5387" t="s">
        <v>5191</v>
      </c>
      <c r="J5387">
        <v>3.5</v>
      </c>
      <c r="K5387" t="s">
        <v>4744</v>
      </c>
      <c r="L5387">
        <v>21</v>
      </c>
      <c r="M5387">
        <v>6</v>
      </c>
      <c r="N5387" t="s">
        <v>5272</v>
      </c>
      <c r="O5387" t="s">
        <v>458</v>
      </c>
    </row>
    <row r="5388" spans="1:15" x14ac:dyDescent="0.3">
      <c r="A5388">
        <v>189720</v>
      </c>
      <c r="B5388">
        <v>105</v>
      </c>
      <c r="C5388" t="s">
        <v>557</v>
      </c>
      <c r="D5388" t="s">
        <v>2581</v>
      </c>
      <c r="E5388" t="s">
        <v>3752</v>
      </c>
      <c r="F5388" s="451">
        <v>45999</v>
      </c>
      <c r="G5388">
        <v>23361</v>
      </c>
      <c r="H5388" t="s">
        <v>4754</v>
      </c>
      <c r="I5388" t="s">
        <v>5191</v>
      </c>
      <c r="J5388">
        <v>20</v>
      </c>
      <c r="K5388" t="s">
        <v>4744</v>
      </c>
      <c r="L5388">
        <v>62</v>
      </c>
      <c r="M5388">
        <v>3.1</v>
      </c>
      <c r="N5388" t="s">
        <v>5272</v>
      </c>
      <c r="O5388" t="s">
        <v>458</v>
      </c>
    </row>
    <row r="5389" spans="1:15" x14ac:dyDescent="0.3">
      <c r="A5389">
        <v>189720</v>
      </c>
      <c r="B5389">
        <v>105</v>
      </c>
      <c r="C5389" t="s">
        <v>557</v>
      </c>
      <c r="D5389" t="s">
        <v>2581</v>
      </c>
      <c r="E5389" t="s">
        <v>3752</v>
      </c>
      <c r="F5389" s="451">
        <v>45999</v>
      </c>
      <c r="G5389">
        <v>23095</v>
      </c>
      <c r="H5389" t="s">
        <v>4741</v>
      </c>
      <c r="I5389" t="s">
        <v>5191</v>
      </c>
      <c r="J5389">
        <v>100</v>
      </c>
      <c r="K5389" t="s">
        <v>4736</v>
      </c>
      <c r="L5389">
        <v>94</v>
      </c>
      <c r="M5389">
        <v>0.94</v>
      </c>
      <c r="N5389" t="s">
        <v>5272</v>
      </c>
      <c r="O5389" t="s">
        <v>458</v>
      </c>
    </row>
    <row r="5390" spans="1:15" x14ac:dyDescent="0.3">
      <c r="A5390">
        <v>189720</v>
      </c>
      <c r="B5390">
        <v>105</v>
      </c>
      <c r="C5390" t="s">
        <v>557</v>
      </c>
      <c r="D5390" t="s">
        <v>2581</v>
      </c>
      <c r="E5390" t="s">
        <v>3752</v>
      </c>
      <c r="F5390" s="451">
        <v>45999</v>
      </c>
      <c r="G5390">
        <v>24037</v>
      </c>
      <c r="H5390" t="s">
        <v>5233</v>
      </c>
      <c r="I5390" t="s">
        <v>5191</v>
      </c>
      <c r="J5390">
        <v>2</v>
      </c>
      <c r="K5390" t="s">
        <v>4744</v>
      </c>
      <c r="L5390">
        <v>40</v>
      </c>
      <c r="M5390">
        <v>20</v>
      </c>
      <c r="N5390" t="s">
        <v>5272</v>
      </c>
      <c r="O5390" t="s">
        <v>458</v>
      </c>
    </row>
    <row r="5391" spans="1:15" x14ac:dyDescent="0.3">
      <c r="A5391">
        <v>189720</v>
      </c>
      <c r="B5391">
        <v>105</v>
      </c>
      <c r="C5391" t="s">
        <v>557</v>
      </c>
      <c r="D5391" t="s">
        <v>2581</v>
      </c>
      <c r="E5391" t="s">
        <v>3752</v>
      </c>
      <c r="F5391" s="451">
        <v>45999</v>
      </c>
      <c r="G5391">
        <v>19532</v>
      </c>
      <c r="H5391" t="s">
        <v>4753</v>
      </c>
      <c r="I5391" t="s">
        <v>5191</v>
      </c>
      <c r="J5391">
        <v>20</v>
      </c>
      <c r="K5391" t="s">
        <v>4744</v>
      </c>
      <c r="L5391">
        <v>98</v>
      </c>
      <c r="M5391">
        <v>4.9000000000000004</v>
      </c>
      <c r="N5391" t="s">
        <v>5272</v>
      </c>
      <c r="O5391" t="s">
        <v>458</v>
      </c>
    </row>
    <row r="5392" spans="1:15" x14ac:dyDescent="0.3">
      <c r="A5392">
        <v>189719</v>
      </c>
      <c r="B5392">
        <v>105</v>
      </c>
      <c r="C5392" t="s">
        <v>557</v>
      </c>
      <c r="D5392" t="s">
        <v>2565</v>
      </c>
      <c r="E5392" t="s">
        <v>3753</v>
      </c>
      <c r="F5392" s="451">
        <v>46000</v>
      </c>
      <c r="G5392">
        <v>18359</v>
      </c>
      <c r="H5392" t="s">
        <v>4921</v>
      </c>
      <c r="I5392" t="s">
        <v>5222</v>
      </c>
      <c r="J5392">
        <v>5</v>
      </c>
      <c r="K5392" t="s">
        <v>4805</v>
      </c>
      <c r="L5392">
        <v>499.5</v>
      </c>
      <c r="M5392">
        <v>99.9</v>
      </c>
      <c r="N5392" t="s">
        <v>5222</v>
      </c>
      <c r="O5392" t="s">
        <v>458</v>
      </c>
    </row>
    <row r="5393" spans="1:15" x14ac:dyDescent="0.3">
      <c r="A5393">
        <v>189719</v>
      </c>
      <c r="B5393">
        <v>105</v>
      </c>
      <c r="C5393" t="s">
        <v>557</v>
      </c>
      <c r="D5393" t="s">
        <v>2565</v>
      </c>
      <c r="E5393" t="s">
        <v>3753</v>
      </c>
      <c r="F5393" s="451">
        <v>46000</v>
      </c>
      <c r="G5393">
        <v>18119</v>
      </c>
      <c r="H5393" t="s">
        <v>5044</v>
      </c>
      <c r="I5393" t="s">
        <v>5222</v>
      </c>
      <c r="J5393">
        <v>1</v>
      </c>
      <c r="K5393" t="s">
        <v>4805</v>
      </c>
      <c r="L5393">
        <v>180</v>
      </c>
      <c r="M5393">
        <v>180</v>
      </c>
      <c r="N5393" t="s">
        <v>5222</v>
      </c>
      <c r="O5393" t="s">
        <v>458</v>
      </c>
    </row>
    <row r="5394" spans="1:15" x14ac:dyDescent="0.3">
      <c r="A5394">
        <v>189719</v>
      </c>
      <c r="B5394">
        <v>105</v>
      </c>
      <c r="C5394" t="s">
        <v>557</v>
      </c>
      <c r="D5394" t="s">
        <v>2565</v>
      </c>
      <c r="E5394" t="s">
        <v>3753</v>
      </c>
      <c r="F5394" s="451">
        <v>46000</v>
      </c>
      <c r="G5394">
        <v>18179</v>
      </c>
      <c r="H5394" t="s">
        <v>4924</v>
      </c>
      <c r="I5394" t="s">
        <v>5222</v>
      </c>
      <c r="J5394">
        <v>2</v>
      </c>
      <c r="K5394" t="s">
        <v>4805</v>
      </c>
      <c r="L5394">
        <v>221.84</v>
      </c>
      <c r="M5394">
        <v>110.92</v>
      </c>
      <c r="N5394" t="s">
        <v>5222</v>
      </c>
      <c r="O5394" t="s">
        <v>458</v>
      </c>
    </row>
    <row r="5395" spans="1:15" x14ac:dyDescent="0.3">
      <c r="A5395">
        <v>189718</v>
      </c>
      <c r="B5395">
        <v>105</v>
      </c>
      <c r="C5395" t="s">
        <v>557</v>
      </c>
      <c r="D5395" t="s">
        <v>2561</v>
      </c>
      <c r="E5395" t="s">
        <v>3754</v>
      </c>
      <c r="F5395" s="451">
        <v>46025</v>
      </c>
      <c r="G5395">
        <v>24259</v>
      </c>
      <c r="H5395" t="s">
        <v>4875</v>
      </c>
      <c r="I5395" t="s">
        <v>5191</v>
      </c>
      <c r="J5395">
        <v>16.73</v>
      </c>
      <c r="K5395" t="s">
        <v>4744</v>
      </c>
      <c r="L5395">
        <v>1472.42</v>
      </c>
      <c r="M5395">
        <v>88.010758999999993</v>
      </c>
      <c r="N5395" t="s">
        <v>5272</v>
      </c>
      <c r="O5395" t="s">
        <v>459</v>
      </c>
    </row>
    <row r="5396" spans="1:15" x14ac:dyDescent="0.3">
      <c r="A5396">
        <v>189717</v>
      </c>
      <c r="B5396">
        <v>105</v>
      </c>
      <c r="C5396" t="s">
        <v>557</v>
      </c>
      <c r="D5396" t="s">
        <v>3723</v>
      </c>
      <c r="E5396" t="s">
        <v>3755</v>
      </c>
      <c r="F5396" s="451">
        <v>45999</v>
      </c>
      <c r="G5396">
        <v>19634</v>
      </c>
      <c r="H5396" t="s">
        <v>4792</v>
      </c>
      <c r="I5396" t="s">
        <v>5191</v>
      </c>
      <c r="J5396">
        <v>3.5</v>
      </c>
      <c r="K5396" t="s">
        <v>4744</v>
      </c>
      <c r="L5396">
        <v>17.5</v>
      </c>
      <c r="M5396">
        <v>5</v>
      </c>
      <c r="N5396" t="s">
        <v>5272</v>
      </c>
      <c r="O5396" t="s">
        <v>458</v>
      </c>
    </row>
    <row r="5397" spans="1:15" x14ac:dyDescent="0.3">
      <c r="A5397">
        <v>189717</v>
      </c>
      <c r="B5397">
        <v>105</v>
      </c>
      <c r="C5397" t="s">
        <v>557</v>
      </c>
      <c r="D5397" t="s">
        <v>3723</v>
      </c>
      <c r="E5397" t="s">
        <v>3755</v>
      </c>
      <c r="F5397" s="451">
        <v>45999</v>
      </c>
      <c r="G5397">
        <v>19623</v>
      </c>
      <c r="H5397" t="s">
        <v>4764</v>
      </c>
      <c r="I5397" t="s">
        <v>5191</v>
      </c>
      <c r="J5397">
        <v>10</v>
      </c>
      <c r="K5397" t="s">
        <v>4744</v>
      </c>
      <c r="L5397">
        <v>60</v>
      </c>
      <c r="M5397">
        <v>6</v>
      </c>
      <c r="N5397" t="s">
        <v>5272</v>
      </c>
      <c r="O5397" t="s">
        <v>458</v>
      </c>
    </row>
    <row r="5398" spans="1:15" x14ac:dyDescent="0.3">
      <c r="A5398">
        <v>189717</v>
      </c>
      <c r="B5398">
        <v>105</v>
      </c>
      <c r="C5398" t="s">
        <v>557</v>
      </c>
      <c r="D5398" t="s">
        <v>3723</v>
      </c>
      <c r="E5398" t="s">
        <v>3755</v>
      </c>
      <c r="F5398" s="451">
        <v>45999</v>
      </c>
      <c r="G5398">
        <v>19642</v>
      </c>
      <c r="H5398" t="s">
        <v>4996</v>
      </c>
      <c r="I5398" t="s">
        <v>5191</v>
      </c>
      <c r="J5398">
        <v>1</v>
      </c>
      <c r="K5398" t="s">
        <v>4744</v>
      </c>
      <c r="L5398">
        <v>4.38</v>
      </c>
      <c r="M5398">
        <v>4.38</v>
      </c>
      <c r="N5398" t="s">
        <v>5272</v>
      </c>
      <c r="O5398" t="s">
        <v>458</v>
      </c>
    </row>
    <row r="5399" spans="1:15" x14ac:dyDescent="0.3">
      <c r="A5399">
        <v>189717</v>
      </c>
      <c r="B5399">
        <v>105</v>
      </c>
      <c r="C5399" t="s">
        <v>557</v>
      </c>
      <c r="D5399" t="s">
        <v>3723</v>
      </c>
      <c r="E5399" t="s">
        <v>3755</v>
      </c>
      <c r="F5399" s="451">
        <v>45999</v>
      </c>
      <c r="G5399">
        <v>24099</v>
      </c>
      <c r="H5399" t="s">
        <v>4933</v>
      </c>
      <c r="I5399" t="s">
        <v>5191</v>
      </c>
      <c r="J5399">
        <v>1.5</v>
      </c>
      <c r="K5399" t="s">
        <v>4744</v>
      </c>
      <c r="L5399">
        <v>17.82</v>
      </c>
      <c r="M5399">
        <v>11.88</v>
      </c>
      <c r="N5399" t="s">
        <v>5272</v>
      </c>
      <c r="O5399" t="s">
        <v>458</v>
      </c>
    </row>
    <row r="5400" spans="1:15" x14ac:dyDescent="0.3">
      <c r="A5400">
        <v>189717</v>
      </c>
      <c r="B5400">
        <v>105</v>
      </c>
      <c r="C5400" t="s">
        <v>557</v>
      </c>
      <c r="D5400" t="s">
        <v>3723</v>
      </c>
      <c r="E5400" t="s">
        <v>3755</v>
      </c>
      <c r="F5400" s="451">
        <v>45999</v>
      </c>
      <c r="G5400">
        <v>19734</v>
      </c>
      <c r="H5400" t="s">
        <v>4833</v>
      </c>
      <c r="I5400" t="s">
        <v>5191</v>
      </c>
      <c r="J5400">
        <v>2.5</v>
      </c>
      <c r="K5400" t="s">
        <v>4744</v>
      </c>
      <c r="L5400">
        <v>34.380000000000003</v>
      </c>
      <c r="M5400">
        <v>13.752000000000001</v>
      </c>
      <c r="N5400" t="s">
        <v>5272</v>
      </c>
      <c r="O5400" t="s">
        <v>458</v>
      </c>
    </row>
    <row r="5401" spans="1:15" x14ac:dyDescent="0.3">
      <c r="A5401">
        <v>189717</v>
      </c>
      <c r="B5401">
        <v>105</v>
      </c>
      <c r="C5401" t="s">
        <v>557</v>
      </c>
      <c r="D5401" t="s">
        <v>3723</v>
      </c>
      <c r="E5401" t="s">
        <v>3755</v>
      </c>
      <c r="F5401" s="451">
        <v>45999</v>
      </c>
      <c r="G5401">
        <v>23228</v>
      </c>
      <c r="H5401" t="s">
        <v>4782</v>
      </c>
      <c r="I5401" t="s">
        <v>5191</v>
      </c>
      <c r="J5401">
        <v>3</v>
      </c>
      <c r="K5401" t="s">
        <v>4744</v>
      </c>
      <c r="L5401">
        <v>19.5</v>
      </c>
      <c r="M5401">
        <v>6.5</v>
      </c>
      <c r="N5401" t="s">
        <v>5272</v>
      </c>
      <c r="O5401" t="s">
        <v>458</v>
      </c>
    </row>
    <row r="5402" spans="1:15" x14ac:dyDescent="0.3">
      <c r="A5402">
        <v>189717</v>
      </c>
      <c r="B5402">
        <v>105</v>
      </c>
      <c r="C5402" t="s">
        <v>557</v>
      </c>
      <c r="D5402" t="s">
        <v>3723</v>
      </c>
      <c r="E5402" t="s">
        <v>3755</v>
      </c>
      <c r="F5402" s="451">
        <v>45999</v>
      </c>
      <c r="G5402">
        <v>23234</v>
      </c>
      <c r="H5402" t="s">
        <v>4986</v>
      </c>
      <c r="I5402" t="s">
        <v>5191</v>
      </c>
      <c r="J5402">
        <v>1</v>
      </c>
      <c r="K5402" t="s">
        <v>4744</v>
      </c>
      <c r="L5402">
        <v>23</v>
      </c>
      <c r="M5402">
        <v>23</v>
      </c>
      <c r="N5402" t="s">
        <v>5272</v>
      </c>
      <c r="O5402" t="s">
        <v>458</v>
      </c>
    </row>
    <row r="5403" spans="1:15" x14ac:dyDescent="0.3">
      <c r="A5403">
        <v>189717</v>
      </c>
      <c r="B5403">
        <v>105</v>
      </c>
      <c r="C5403" t="s">
        <v>557</v>
      </c>
      <c r="D5403" t="s">
        <v>3723</v>
      </c>
      <c r="E5403" t="s">
        <v>3755</v>
      </c>
      <c r="F5403" s="451">
        <v>45999</v>
      </c>
      <c r="G5403">
        <v>23359</v>
      </c>
      <c r="H5403" t="s">
        <v>4767</v>
      </c>
      <c r="I5403" t="s">
        <v>5191</v>
      </c>
      <c r="J5403">
        <v>20</v>
      </c>
      <c r="K5403" t="s">
        <v>4744</v>
      </c>
      <c r="L5403">
        <v>62.6</v>
      </c>
      <c r="M5403">
        <v>3.13</v>
      </c>
      <c r="N5403" t="s">
        <v>5272</v>
      </c>
      <c r="O5403" t="s">
        <v>458</v>
      </c>
    </row>
    <row r="5404" spans="1:15" x14ac:dyDescent="0.3">
      <c r="A5404">
        <v>189717</v>
      </c>
      <c r="B5404">
        <v>105</v>
      </c>
      <c r="C5404" t="s">
        <v>557</v>
      </c>
      <c r="D5404" t="s">
        <v>3723</v>
      </c>
      <c r="E5404" t="s">
        <v>3755</v>
      </c>
      <c r="F5404" s="451">
        <v>45999</v>
      </c>
      <c r="G5404">
        <v>23390</v>
      </c>
      <c r="H5404" t="s">
        <v>4873</v>
      </c>
      <c r="I5404" t="s">
        <v>5191</v>
      </c>
      <c r="J5404">
        <v>0.5</v>
      </c>
      <c r="K5404" t="s">
        <v>4744</v>
      </c>
      <c r="L5404">
        <v>4.6900000000000004</v>
      </c>
      <c r="M5404">
        <v>9.3800000000000008</v>
      </c>
      <c r="N5404" t="s">
        <v>5272</v>
      </c>
      <c r="O5404" t="s">
        <v>458</v>
      </c>
    </row>
    <row r="5405" spans="1:15" x14ac:dyDescent="0.3">
      <c r="A5405">
        <v>189717</v>
      </c>
      <c r="B5405">
        <v>105</v>
      </c>
      <c r="C5405" t="s">
        <v>557</v>
      </c>
      <c r="D5405" t="s">
        <v>3723</v>
      </c>
      <c r="E5405" t="s">
        <v>3755</v>
      </c>
      <c r="F5405" s="451">
        <v>45999</v>
      </c>
      <c r="G5405">
        <v>23238</v>
      </c>
      <c r="H5405" t="s">
        <v>4934</v>
      </c>
      <c r="I5405" t="s">
        <v>5191</v>
      </c>
      <c r="J5405">
        <v>2</v>
      </c>
      <c r="K5405" t="s">
        <v>4744</v>
      </c>
      <c r="L5405">
        <v>25</v>
      </c>
      <c r="M5405">
        <v>12.5</v>
      </c>
      <c r="N5405" t="s">
        <v>5272</v>
      </c>
      <c r="O5405" t="s">
        <v>458</v>
      </c>
    </row>
    <row r="5406" spans="1:15" x14ac:dyDescent="0.3">
      <c r="A5406">
        <v>189717</v>
      </c>
      <c r="B5406">
        <v>105</v>
      </c>
      <c r="C5406" t="s">
        <v>557</v>
      </c>
      <c r="D5406" t="s">
        <v>3723</v>
      </c>
      <c r="E5406" t="s">
        <v>3755</v>
      </c>
      <c r="F5406" s="451">
        <v>45999</v>
      </c>
      <c r="G5406">
        <v>23335</v>
      </c>
      <c r="H5406" t="s">
        <v>4961</v>
      </c>
      <c r="I5406" t="s">
        <v>5191</v>
      </c>
      <c r="J5406">
        <v>0.5</v>
      </c>
      <c r="K5406" t="s">
        <v>4744</v>
      </c>
      <c r="L5406">
        <v>8.75</v>
      </c>
      <c r="M5406">
        <v>17.5</v>
      </c>
      <c r="N5406" t="s">
        <v>5272</v>
      </c>
      <c r="O5406" t="s">
        <v>458</v>
      </c>
    </row>
    <row r="5407" spans="1:15" x14ac:dyDescent="0.3">
      <c r="A5407">
        <v>189717</v>
      </c>
      <c r="B5407">
        <v>105</v>
      </c>
      <c r="C5407" t="s">
        <v>557</v>
      </c>
      <c r="D5407" t="s">
        <v>3723</v>
      </c>
      <c r="E5407" t="s">
        <v>3755</v>
      </c>
      <c r="F5407" s="451">
        <v>45999</v>
      </c>
      <c r="G5407">
        <v>19490</v>
      </c>
      <c r="H5407" t="s">
        <v>5116</v>
      </c>
      <c r="I5407" t="s">
        <v>5191</v>
      </c>
      <c r="J5407">
        <v>0.3</v>
      </c>
      <c r="K5407" t="s">
        <v>4744</v>
      </c>
      <c r="L5407">
        <v>18.75</v>
      </c>
      <c r="M5407">
        <v>62.5</v>
      </c>
      <c r="N5407" t="s">
        <v>5272</v>
      </c>
      <c r="O5407" t="s">
        <v>458</v>
      </c>
    </row>
    <row r="5408" spans="1:15" x14ac:dyDescent="0.3">
      <c r="A5408">
        <v>189717</v>
      </c>
      <c r="B5408">
        <v>105</v>
      </c>
      <c r="C5408" t="s">
        <v>557</v>
      </c>
      <c r="D5408" t="s">
        <v>3723</v>
      </c>
      <c r="E5408" t="s">
        <v>3755</v>
      </c>
      <c r="F5408" s="451">
        <v>45999</v>
      </c>
      <c r="G5408">
        <v>19472</v>
      </c>
      <c r="H5408" t="s">
        <v>4906</v>
      </c>
      <c r="I5408" t="s">
        <v>5191</v>
      </c>
      <c r="J5408">
        <v>1.8</v>
      </c>
      <c r="K5408" t="s">
        <v>4744</v>
      </c>
      <c r="L5408">
        <v>25.31</v>
      </c>
      <c r="M5408">
        <v>14.061111</v>
      </c>
      <c r="N5408" t="s">
        <v>5272</v>
      </c>
      <c r="O5408" t="s">
        <v>458</v>
      </c>
    </row>
    <row r="5409" spans="1:15" x14ac:dyDescent="0.3">
      <c r="A5409">
        <v>189717</v>
      </c>
      <c r="B5409">
        <v>105</v>
      </c>
      <c r="C5409" t="s">
        <v>557</v>
      </c>
      <c r="D5409" t="s">
        <v>3723</v>
      </c>
      <c r="E5409" t="s">
        <v>3755</v>
      </c>
      <c r="F5409" s="451">
        <v>45999</v>
      </c>
      <c r="G5409">
        <v>23184</v>
      </c>
      <c r="H5409" t="s">
        <v>4935</v>
      </c>
      <c r="I5409" t="s">
        <v>5191</v>
      </c>
      <c r="J5409">
        <v>2</v>
      </c>
      <c r="K5409" t="s">
        <v>4744</v>
      </c>
      <c r="L5409">
        <v>15</v>
      </c>
      <c r="M5409">
        <v>7.5</v>
      </c>
      <c r="N5409" t="s">
        <v>5272</v>
      </c>
      <c r="O5409" t="s">
        <v>458</v>
      </c>
    </row>
    <row r="5410" spans="1:15" x14ac:dyDescent="0.3">
      <c r="A5410">
        <v>188923</v>
      </c>
      <c r="B5410">
        <v>105</v>
      </c>
      <c r="C5410" t="s">
        <v>557</v>
      </c>
      <c r="D5410" t="s">
        <v>2563</v>
      </c>
      <c r="E5410" t="s">
        <v>3756</v>
      </c>
      <c r="F5410" s="451">
        <v>45995</v>
      </c>
      <c r="G5410">
        <v>24083</v>
      </c>
      <c r="H5410" t="s">
        <v>5165</v>
      </c>
      <c r="I5410" t="s">
        <v>5191</v>
      </c>
      <c r="J5410">
        <v>30</v>
      </c>
      <c r="K5410" t="s">
        <v>4744</v>
      </c>
      <c r="L5410">
        <v>108.9</v>
      </c>
      <c r="M5410">
        <v>3.63</v>
      </c>
      <c r="N5410" t="s">
        <v>5272</v>
      </c>
      <c r="O5410" t="s">
        <v>458</v>
      </c>
    </row>
    <row r="5411" spans="1:15" x14ac:dyDescent="0.3">
      <c r="A5411">
        <v>188923</v>
      </c>
      <c r="B5411">
        <v>105</v>
      </c>
      <c r="C5411" t="s">
        <v>557</v>
      </c>
      <c r="D5411" t="s">
        <v>2563</v>
      </c>
      <c r="E5411" t="s">
        <v>3756</v>
      </c>
      <c r="F5411" s="451">
        <v>45995</v>
      </c>
      <c r="G5411">
        <v>19607</v>
      </c>
      <c r="H5411" t="s">
        <v>4981</v>
      </c>
      <c r="I5411" t="s">
        <v>5191</v>
      </c>
      <c r="J5411">
        <v>0.4</v>
      </c>
      <c r="K5411" t="s">
        <v>4744</v>
      </c>
      <c r="L5411">
        <v>2.46</v>
      </c>
      <c r="M5411">
        <v>6.15</v>
      </c>
      <c r="N5411" t="s">
        <v>5272</v>
      </c>
      <c r="O5411" t="s">
        <v>458</v>
      </c>
    </row>
    <row r="5412" spans="1:15" x14ac:dyDescent="0.3">
      <c r="A5412">
        <v>188923</v>
      </c>
      <c r="B5412">
        <v>105</v>
      </c>
      <c r="C5412" t="s">
        <v>557</v>
      </c>
      <c r="D5412" t="s">
        <v>2563</v>
      </c>
      <c r="E5412" t="s">
        <v>3756</v>
      </c>
      <c r="F5412" s="451">
        <v>45995</v>
      </c>
      <c r="G5412">
        <v>24509</v>
      </c>
      <c r="H5412" t="s">
        <v>4788</v>
      </c>
      <c r="I5412" t="s">
        <v>5191</v>
      </c>
      <c r="J5412">
        <v>10</v>
      </c>
      <c r="K5412" t="s">
        <v>4744</v>
      </c>
      <c r="L5412">
        <v>22.5</v>
      </c>
      <c r="M5412">
        <v>2.25</v>
      </c>
      <c r="N5412" t="s">
        <v>5272</v>
      </c>
      <c r="O5412" t="s">
        <v>458</v>
      </c>
    </row>
    <row r="5413" spans="1:15" x14ac:dyDescent="0.3">
      <c r="A5413">
        <v>188923</v>
      </c>
      <c r="B5413">
        <v>105</v>
      </c>
      <c r="C5413" t="s">
        <v>557</v>
      </c>
      <c r="D5413" t="s">
        <v>2563</v>
      </c>
      <c r="E5413" t="s">
        <v>3756</v>
      </c>
      <c r="F5413" s="451">
        <v>45995</v>
      </c>
      <c r="G5413">
        <v>19658</v>
      </c>
      <c r="H5413" t="s">
        <v>4784</v>
      </c>
      <c r="I5413" t="s">
        <v>5191</v>
      </c>
      <c r="J5413">
        <v>8</v>
      </c>
      <c r="K5413" t="s">
        <v>4744</v>
      </c>
      <c r="L5413">
        <v>22.64</v>
      </c>
      <c r="M5413">
        <v>2.83</v>
      </c>
      <c r="N5413" t="s">
        <v>5272</v>
      </c>
      <c r="O5413" t="s">
        <v>458</v>
      </c>
    </row>
    <row r="5414" spans="1:15" x14ac:dyDescent="0.3">
      <c r="A5414">
        <v>188923</v>
      </c>
      <c r="B5414">
        <v>105</v>
      </c>
      <c r="C5414" t="s">
        <v>557</v>
      </c>
      <c r="D5414" t="s">
        <v>2563</v>
      </c>
      <c r="E5414" t="s">
        <v>3756</v>
      </c>
      <c r="F5414" s="451">
        <v>45995</v>
      </c>
      <c r="G5414">
        <v>19507</v>
      </c>
      <c r="H5414" t="s">
        <v>4853</v>
      </c>
      <c r="I5414" t="s">
        <v>5191</v>
      </c>
      <c r="J5414">
        <v>2</v>
      </c>
      <c r="K5414" t="s">
        <v>4744</v>
      </c>
      <c r="L5414">
        <v>19.579999999999998</v>
      </c>
      <c r="M5414">
        <v>9.7899999999999991</v>
      </c>
      <c r="N5414" t="s">
        <v>5272</v>
      </c>
      <c r="O5414" t="s">
        <v>458</v>
      </c>
    </row>
    <row r="5415" spans="1:15" x14ac:dyDescent="0.3">
      <c r="A5415">
        <v>188923</v>
      </c>
      <c r="B5415">
        <v>105</v>
      </c>
      <c r="C5415" t="s">
        <v>557</v>
      </c>
      <c r="D5415" t="s">
        <v>2563</v>
      </c>
      <c r="E5415" t="s">
        <v>3756</v>
      </c>
      <c r="F5415" s="451">
        <v>45995</v>
      </c>
      <c r="G5415">
        <v>19622</v>
      </c>
      <c r="H5415" t="s">
        <v>4915</v>
      </c>
      <c r="I5415" t="s">
        <v>5191</v>
      </c>
      <c r="J5415">
        <v>1.5</v>
      </c>
      <c r="K5415" t="s">
        <v>4744</v>
      </c>
      <c r="L5415">
        <v>4.8899999999999997</v>
      </c>
      <c r="M5415">
        <v>3.26</v>
      </c>
      <c r="N5415" t="s">
        <v>5272</v>
      </c>
      <c r="O5415" t="s">
        <v>458</v>
      </c>
    </row>
    <row r="5416" spans="1:15" x14ac:dyDescent="0.3">
      <c r="A5416">
        <v>188923</v>
      </c>
      <c r="B5416">
        <v>105</v>
      </c>
      <c r="C5416" t="s">
        <v>557</v>
      </c>
      <c r="D5416" t="s">
        <v>2563</v>
      </c>
      <c r="E5416" t="s">
        <v>3756</v>
      </c>
      <c r="F5416" s="451">
        <v>45995</v>
      </c>
      <c r="G5416">
        <v>19742</v>
      </c>
      <c r="H5416" t="s">
        <v>4900</v>
      </c>
      <c r="I5416" t="s">
        <v>5191</v>
      </c>
      <c r="J5416">
        <v>1.4</v>
      </c>
      <c r="K5416" t="s">
        <v>4744</v>
      </c>
      <c r="L5416">
        <v>11.59</v>
      </c>
      <c r="M5416">
        <v>8.2785709999999995</v>
      </c>
      <c r="N5416" t="s">
        <v>5272</v>
      </c>
      <c r="O5416" t="s">
        <v>458</v>
      </c>
    </row>
    <row r="5417" spans="1:15" x14ac:dyDescent="0.3">
      <c r="A5417">
        <v>188923</v>
      </c>
      <c r="B5417">
        <v>105</v>
      </c>
      <c r="C5417" t="s">
        <v>557</v>
      </c>
      <c r="D5417" t="s">
        <v>2563</v>
      </c>
      <c r="E5417" t="s">
        <v>3756</v>
      </c>
      <c r="F5417" s="451">
        <v>45995</v>
      </c>
      <c r="G5417">
        <v>23346</v>
      </c>
      <c r="H5417" t="s">
        <v>4916</v>
      </c>
      <c r="I5417" t="s">
        <v>5191</v>
      </c>
      <c r="J5417">
        <v>2.7</v>
      </c>
      <c r="K5417" t="s">
        <v>4744</v>
      </c>
      <c r="L5417">
        <v>17.82</v>
      </c>
      <c r="M5417">
        <v>6.6</v>
      </c>
      <c r="N5417" t="s">
        <v>5272</v>
      </c>
      <c r="O5417" t="s">
        <v>458</v>
      </c>
    </row>
    <row r="5418" spans="1:15" x14ac:dyDescent="0.3">
      <c r="A5418">
        <v>188923</v>
      </c>
      <c r="B5418">
        <v>105</v>
      </c>
      <c r="C5418" t="s">
        <v>557</v>
      </c>
      <c r="D5418" t="s">
        <v>2563</v>
      </c>
      <c r="E5418" t="s">
        <v>3756</v>
      </c>
      <c r="F5418" s="451">
        <v>45995</v>
      </c>
      <c r="G5418">
        <v>23349</v>
      </c>
      <c r="H5418" t="s">
        <v>4988</v>
      </c>
      <c r="I5418" t="s">
        <v>5191</v>
      </c>
      <c r="J5418">
        <v>1</v>
      </c>
      <c r="K5418" t="s">
        <v>4744</v>
      </c>
      <c r="L5418">
        <v>11.28</v>
      </c>
      <c r="M5418">
        <v>11.28</v>
      </c>
      <c r="N5418" t="s">
        <v>5272</v>
      </c>
      <c r="O5418" t="s">
        <v>458</v>
      </c>
    </row>
    <row r="5419" spans="1:15" x14ac:dyDescent="0.3">
      <c r="A5419">
        <v>188923</v>
      </c>
      <c r="B5419">
        <v>105</v>
      </c>
      <c r="C5419" t="s">
        <v>557</v>
      </c>
      <c r="D5419" t="s">
        <v>2563</v>
      </c>
      <c r="E5419" t="s">
        <v>3756</v>
      </c>
      <c r="F5419" s="451">
        <v>45995</v>
      </c>
      <c r="G5419">
        <v>23389</v>
      </c>
      <c r="H5419" t="s">
        <v>4960</v>
      </c>
      <c r="I5419" t="s">
        <v>5191</v>
      </c>
      <c r="J5419">
        <v>4.2</v>
      </c>
      <c r="K5419" t="s">
        <v>4744</v>
      </c>
      <c r="L5419">
        <v>25.28</v>
      </c>
      <c r="M5419">
        <v>6.0190479999999997</v>
      </c>
      <c r="N5419" t="s">
        <v>5272</v>
      </c>
      <c r="O5419" t="s">
        <v>458</v>
      </c>
    </row>
    <row r="5420" spans="1:15" x14ac:dyDescent="0.3">
      <c r="A5420">
        <v>188923</v>
      </c>
      <c r="B5420">
        <v>105</v>
      </c>
      <c r="C5420" t="s">
        <v>557</v>
      </c>
      <c r="D5420" t="s">
        <v>2563</v>
      </c>
      <c r="E5420" t="s">
        <v>3756</v>
      </c>
      <c r="F5420" s="451">
        <v>45995</v>
      </c>
      <c r="G5420">
        <v>19632</v>
      </c>
      <c r="H5420" t="s">
        <v>4936</v>
      </c>
      <c r="I5420" t="s">
        <v>5191</v>
      </c>
      <c r="J5420">
        <v>2.1</v>
      </c>
      <c r="K5420" t="s">
        <v>4744</v>
      </c>
      <c r="L5420">
        <v>4.12</v>
      </c>
      <c r="M5420">
        <v>1.961905</v>
      </c>
      <c r="N5420" t="s">
        <v>5272</v>
      </c>
      <c r="O5420" t="s">
        <v>458</v>
      </c>
    </row>
    <row r="5421" spans="1:15" x14ac:dyDescent="0.3">
      <c r="A5421">
        <v>188918</v>
      </c>
      <c r="B5421">
        <v>105</v>
      </c>
      <c r="C5421" t="s">
        <v>557</v>
      </c>
      <c r="D5421" t="s">
        <v>3044</v>
      </c>
      <c r="E5421" t="s">
        <v>3757</v>
      </c>
      <c r="F5421" s="451">
        <v>46000</v>
      </c>
      <c r="G5421">
        <v>20544</v>
      </c>
      <c r="H5421" t="s">
        <v>4808</v>
      </c>
      <c r="I5421" t="s">
        <v>5191</v>
      </c>
      <c r="J5421">
        <v>3</v>
      </c>
      <c r="K5421" t="s">
        <v>4749</v>
      </c>
      <c r="L5421">
        <v>643.74</v>
      </c>
      <c r="M5421">
        <v>214.58</v>
      </c>
      <c r="N5421" t="s">
        <v>5272</v>
      </c>
      <c r="O5421" t="s">
        <v>458</v>
      </c>
    </row>
    <row r="5422" spans="1:15" x14ac:dyDescent="0.3">
      <c r="A5422">
        <v>187166</v>
      </c>
      <c r="B5422">
        <v>105</v>
      </c>
      <c r="C5422" t="s">
        <v>557</v>
      </c>
      <c r="D5422" t="s">
        <v>3636</v>
      </c>
      <c r="E5422" t="s">
        <v>3758</v>
      </c>
      <c r="F5422" s="451">
        <v>45999</v>
      </c>
      <c r="G5422">
        <v>24788</v>
      </c>
      <c r="H5422" t="s">
        <v>5407</v>
      </c>
      <c r="I5422" t="s">
        <v>5188</v>
      </c>
      <c r="J5422">
        <v>2</v>
      </c>
      <c r="K5422" t="s">
        <v>4749</v>
      </c>
      <c r="L5422">
        <v>660</v>
      </c>
      <c r="M5422">
        <v>330</v>
      </c>
      <c r="N5422" t="s">
        <v>5342</v>
      </c>
      <c r="O5422" t="s">
        <v>458</v>
      </c>
    </row>
    <row r="5423" spans="1:15" x14ac:dyDescent="0.3">
      <c r="A5423">
        <v>187166</v>
      </c>
      <c r="B5423">
        <v>105</v>
      </c>
      <c r="C5423" t="s">
        <v>557</v>
      </c>
      <c r="D5423" t="s">
        <v>3636</v>
      </c>
      <c r="E5423" t="s">
        <v>3758</v>
      </c>
      <c r="F5423" s="451">
        <v>45999</v>
      </c>
      <c r="G5423">
        <v>24789</v>
      </c>
      <c r="H5423" t="s">
        <v>5408</v>
      </c>
      <c r="I5423" t="s">
        <v>5188</v>
      </c>
      <c r="J5423">
        <v>2</v>
      </c>
      <c r="K5423" t="s">
        <v>4749</v>
      </c>
      <c r="L5423">
        <v>640</v>
      </c>
      <c r="M5423">
        <v>320</v>
      </c>
      <c r="N5423" t="s">
        <v>5342</v>
      </c>
      <c r="O5423" t="s">
        <v>458</v>
      </c>
    </row>
    <row r="5424" spans="1:15" x14ac:dyDescent="0.3">
      <c r="A5424">
        <v>186319</v>
      </c>
      <c r="B5424">
        <v>105</v>
      </c>
      <c r="C5424" t="s">
        <v>557</v>
      </c>
      <c r="D5424" t="s">
        <v>2716</v>
      </c>
      <c r="E5424" t="s">
        <v>3759</v>
      </c>
      <c r="F5424" s="451">
        <v>46009</v>
      </c>
      <c r="G5424">
        <v>24351</v>
      </c>
      <c r="H5424" t="s">
        <v>5014</v>
      </c>
      <c r="I5424" t="s">
        <v>5191</v>
      </c>
      <c r="J5424">
        <v>15</v>
      </c>
      <c r="K5424" t="s">
        <v>4744</v>
      </c>
      <c r="L5424">
        <v>180</v>
      </c>
      <c r="M5424">
        <v>12</v>
      </c>
      <c r="N5424" t="s">
        <v>5272</v>
      </c>
      <c r="O5424" t="s">
        <v>458</v>
      </c>
    </row>
    <row r="5425" spans="1:15" x14ac:dyDescent="0.3">
      <c r="A5425">
        <v>186318</v>
      </c>
      <c r="B5425">
        <v>105</v>
      </c>
      <c r="C5425" t="s">
        <v>557</v>
      </c>
      <c r="D5425" t="s">
        <v>836</v>
      </c>
      <c r="E5425" t="s">
        <v>2017</v>
      </c>
      <c r="F5425" s="451">
        <v>46003</v>
      </c>
      <c r="G5425">
        <v>17205</v>
      </c>
      <c r="H5425" t="s">
        <v>5264</v>
      </c>
      <c r="I5425" t="s">
        <v>5188</v>
      </c>
      <c r="J5425">
        <v>1</v>
      </c>
      <c r="K5425" t="s">
        <v>5265</v>
      </c>
      <c r="L5425">
        <v>170</v>
      </c>
      <c r="M5425">
        <v>170</v>
      </c>
      <c r="N5425" t="s">
        <v>5277</v>
      </c>
      <c r="O5425" t="s">
        <v>458</v>
      </c>
    </row>
    <row r="5426" spans="1:15" x14ac:dyDescent="0.3">
      <c r="A5426">
        <v>186318</v>
      </c>
      <c r="B5426">
        <v>105</v>
      </c>
      <c r="C5426" t="s">
        <v>557</v>
      </c>
      <c r="D5426" t="s">
        <v>836</v>
      </c>
      <c r="E5426" t="s">
        <v>2017</v>
      </c>
      <c r="F5426" s="451">
        <v>46003</v>
      </c>
      <c r="G5426">
        <v>17212</v>
      </c>
      <c r="H5426" t="s">
        <v>5322</v>
      </c>
      <c r="I5426" t="s">
        <v>5188</v>
      </c>
      <c r="J5426">
        <v>1</v>
      </c>
      <c r="K5426" t="s">
        <v>5265</v>
      </c>
      <c r="L5426">
        <v>230</v>
      </c>
      <c r="M5426">
        <v>230</v>
      </c>
      <c r="N5426" t="s">
        <v>5277</v>
      </c>
      <c r="O5426" t="s">
        <v>458</v>
      </c>
    </row>
    <row r="5427" spans="1:15" x14ac:dyDescent="0.3">
      <c r="A5427">
        <v>186317</v>
      </c>
      <c r="B5427">
        <v>105</v>
      </c>
      <c r="C5427" t="s">
        <v>557</v>
      </c>
      <c r="D5427" t="s">
        <v>836</v>
      </c>
      <c r="E5427" t="s">
        <v>1170</v>
      </c>
      <c r="F5427" s="451">
        <v>45999</v>
      </c>
      <c r="G5427">
        <v>17212</v>
      </c>
      <c r="H5427" t="s">
        <v>5322</v>
      </c>
      <c r="I5427" t="s">
        <v>5188</v>
      </c>
      <c r="J5427">
        <v>1</v>
      </c>
      <c r="K5427" t="s">
        <v>5265</v>
      </c>
      <c r="L5427">
        <v>230</v>
      </c>
      <c r="M5427">
        <v>230</v>
      </c>
      <c r="N5427" t="s">
        <v>5277</v>
      </c>
      <c r="O5427" t="s">
        <v>458</v>
      </c>
    </row>
    <row r="5428" spans="1:15" x14ac:dyDescent="0.3">
      <c r="A5428">
        <v>186317</v>
      </c>
      <c r="B5428">
        <v>105</v>
      </c>
      <c r="C5428" t="s">
        <v>557</v>
      </c>
      <c r="D5428" t="s">
        <v>836</v>
      </c>
      <c r="E5428" t="s">
        <v>1170</v>
      </c>
      <c r="F5428" s="451">
        <v>45999</v>
      </c>
      <c r="G5428">
        <v>17205</v>
      </c>
      <c r="H5428" t="s">
        <v>5264</v>
      </c>
      <c r="I5428" t="s">
        <v>5188</v>
      </c>
      <c r="J5428">
        <v>1</v>
      </c>
      <c r="K5428" t="s">
        <v>5265</v>
      </c>
      <c r="L5428">
        <v>170</v>
      </c>
      <c r="M5428">
        <v>170</v>
      </c>
      <c r="N5428" t="s">
        <v>5277</v>
      </c>
      <c r="O5428" t="s">
        <v>458</v>
      </c>
    </row>
    <row r="5429" spans="1:15" x14ac:dyDescent="0.3">
      <c r="A5429">
        <v>186316</v>
      </c>
      <c r="B5429">
        <v>105</v>
      </c>
      <c r="C5429" t="s">
        <v>557</v>
      </c>
      <c r="D5429" t="s">
        <v>2699</v>
      </c>
      <c r="E5429" t="s">
        <v>3760</v>
      </c>
      <c r="F5429" s="451">
        <v>46008</v>
      </c>
      <c r="G5429">
        <v>18114</v>
      </c>
      <c r="H5429" t="s">
        <v>5046</v>
      </c>
      <c r="I5429" t="s">
        <v>5222</v>
      </c>
      <c r="J5429">
        <v>2</v>
      </c>
      <c r="K5429" t="s">
        <v>4805</v>
      </c>
      <c r="L5429">
        <v>542.4</v>
      </c>
      <c r="M5429">
        <v>271.2</v>
      </c>
      <c r="N5429" t="s">
        <v>5222</v>
      </c>
      <c r="O5429" t="s">
        <v>458</v>
      </c>
    </row>
    <row r="5430" spans="1:15" x14ac:dyDescent="0.3">
      <c r="A5430">
        <v>186315</v>
      </c>
      <c r="B5430">
        <v>105</v>
      </c>
      <c r="C5430" t="s">
        <v>557</v>
      </c>
      <c r="D5430" t="s">
        <v>2699</v>
      </c>
      <c r="E5430" t="s">
        <v>3761</v>
      </c>
      <c r="F5430" s="451">
        <v>46007</v>
      </c>
      <c r="G5430">
        <v>18146</v>
      </c>
      <c r="H5430" t="s">
        <v>5112</v>
      </c>
      <c r="I5430" t="s">
        <v>5222</v>
      </c>
      <c r="J5430">
        <v>1</v>
      </c>
      <c r="K5430" t="s">
        <v>4805</v>
      </c>
      <c r="L5430">
        <v>104.66</v>
      </c>
      <c r="M5430">
        <v>104.66</v>
      </c>
      <c r="N5430" t="s">
        <v>5271</v>
      </c>
      <c r="O5430" t="s">
        <v>458</v>
      </c>
    </row>
    <row r="5431" spans="1:15" x14ac:dyDescent="0.3">
      <c r="A5431">
        <v>186315</v>
      </c>
      <c r="B5431">
        <v>105</v>
      </c>
      <c r="C5431" t="s">
        <v>557</v>
      </c>
      <c r="D5431" t="s">
        <v>2699</v>
      </c>
      <c r="E5431" t="s">
        <v>3761</v>
      </c>
      <c r="F5431" s="451">
        <v>46007</v>
      </c>
      <c r="G5431">
        <v>18253</v>
      </c>
      <c r="H5431" t="s">
        <v>4969</v>
      </c>
      <c r="I5431" t="s">
        <v>5222</v>
      </c>
      <c r="J5431">
        <v>5</v>
      </c>
      <c r="K5431" t="s">
        <v>4805</v>
      </c>
      <c r="L5431">
        <v>149.75</v>
      </c>
      <c r="M5431">
        <v>29.95</v>
      </c>
      <c r="N5431" t="s">
        <v>5271</v>
      </c>
      <c r="O5431" t="s">
        <v>458</v>
      </c>
    </row>
    <row r="5432" spans="1:15" x14ac:dyDescent="0.3">
      <c r="A5432">
        <v>186315</v>
      </c>
      <c r="B5432">
        <v>105</v>
      </c>
      <c r="C5432" t="s">
        <v>557</v>
      </c>
      <c r="D5432" t="s">
        <v>2699</v>
      </c>
      <c r="E5432" t="s">
        <v>3761</v>
      </c>
      <c r="F5432" s="451">
        <v>46007</v>
      </c>
      <c r="G5432">
        <v>18172</v>
      </c>
      <c r="H5432" t="s">
        <v>4804</v>
      </c>
      <c r="I5432" t="s">
        <v>5222</v>
      </c>
      <c r="J5432">
        <v>8</v>
      </c>
      <c r="K5432" t="s">
        <v>4805</v>
      </c>
      <c r="L5432">
        <v>247.2</v>
      </c>
      <c r="M5432">
        <v>30.9</v>
      </c>
      <c r="N5432" t="s">
        <v>5271</v>
      </c>
      <c r="O5432" t="s">
        <v>458</v>
      </c>
    </row>
    <row r="5433" spans="1:15" x14ac:dyDescent="0.3">
      <c r="A5433">
        <v>186315</v>
      </c>
      <c r="B5433">
        <v>105</v>
      </c>
      <c r="C5433" t="s">
        <v>557</v>
      </c>
      <c r="D5433" t="s">
        <v>2699</v>
      </c>
      <c r="E5433" t="s">
        <v>3761</v>
      </c>
      <c r="F5433" s="451">
        <v>46007</v>
      </c>
      <c r="G5433">
        <v>18116</v>
      </c>
      <c r="H5433" t="s">
        <v>5045</v>
      </c>
      <c r="I5433" t="s">
        <v>5222</v>
      </c>
      <c r="J5433">
        <v>1</v>
      </c>
      <c r="K5433" t="s">
        <v>4805</v>
      </c>
      <c r="L5433">
        <v>85.9</v>
      </c>
      <c r="M5433">
        <v>85.9</v>
      </c>
      <c r="N5433" t="s">
        <v>5271</v>
      </c>
      <c r="O5433" t="s">
        <v>458</v>
      </c>
    </row>
    <row r="5434" spans="1:15" x14ac:dyDescent="0.3">
      <c r="A5434">
        <v>186314</v>
      </c>
      <c r="B5434">
        <v>105</v>
      </c>
      <c r="C5434" t="s">
        <v>557</v>
      </c>
      <c r="D5434" t="s">
        <v>2690</v>
      </c>
      <c r="E5434" t="s">
        <v>3762</v>
      </c>
      <c r="F5434" s="451">
        <v>46010</v>
      </c>
      <c r="G5434">
        <v>18518</v>
      </c>
      <c r="H5434" t="s">
        <v>4838</v>
      </c>
      <c r="I5434" t="s">
        <v>5222</v>
      </c>
      <c r="J5434">
        <v>4</v>
      </c>
      <c r="K5434" t="s">
        <v>4805</v>
      </c>
      <c r="L5434">
        <v>186.04</v>
      </c>
      <c r="M5434">
        <v>46.51</v>
      </c>
      <c r="N5434" t="s">
        <v>5271</v>
      </c>
      <c r="O5434" t="s">
        <v>458</v>
      </c>
    </row>
    <row r="5435" spans="1:15" x14ac:dyDescent="0.3">
      <c r="A5435">
        <v>186314</v>
      </c>
      <c r="B5435">
        <v>105</v>
      </c>
      <c r="C5435" t="s">
        <v>557</v>
      </c>
      <c r="D5435" t="s">
        <v>2690</v>
      </c>
      <c r="E5435" t="s">
        <v>3762</v>
      </c>
      <c r="F5435" s="451">
        <v>46010</v>
      </c>
      <c r="G5435">
        <v>17721</v>
      </c>
      <c r="H5435" t="s">
        <v>4977</v>
      </c>
      <c r="I5435" t="s">
        <v>5222</v>
      </c>
      <c r="J5435">
        <v>1</v>
      </c>
      <c r="K5435" t="s">
        <v>4805</v>
      </c>
      <c r="L5435">
        <v>9.6999999999999993</v>
      </c>
      <c r="M5435">
        <v>9.6999999999999993</v>
      </c>
      <c r="N5435" t="s">
        <v>5271</v>
      </c>
      <c r="O5435" t="s">
        <v>458</v>
      </c>
    </row>
    <row r="5436" spans="1:15" x14ac:dyDescent="0.3">
      <c r="A5436">
        <v>186313</v>
      </c>
      <c r="B5436">
        <v>105</v>
      </c>
      <c r="C5436" t="s">
        <v>557</v>
      </c>
      <c r="D5436" t="s">
        <v>2563</v>
      </c>
      <c r="E5436" t="s">
        <v>3763</v>
      </c>
      <c r="F5436" s="451">
        <v>46010</v>
      </c>
      <c r="G5436">
        <v>19507</v>
      </c>
      <c r="H5436" t="s">
        <v>4853</v>
      </c>
      <c r="I5436" t="s">
        <v>5191</v>
      </c>
      <c r="J5436">
        <v>1.9</v>
      </c>
      <c r="K5436" t="s">
        <v>4744</v>
      </c>
      <c r="L5436">
        <v>15.98</v>
      </c>
      <c r="M5436">
        <v>8.4105260000000008</v>
      </c>
      <c r="N5436" t="s">
        <v>5191</v>
      </c>
      <c r="O5436" t="s">
        <v>458</v>
      </c>
    </row>
    <row r="5437" spans="1:15" x14ac:dyDescent="0.3">
      <c r="A5437">
        <v>186313</v>
      </c>
      <c r="B5437">
        <v>105</v>
      </c>
      <c r="C5437" t="s">
        <v>557</v>
      </c>
      <c r="D5437" t="s">
        <v>2563</v>
      </c>
      <c r="E5437" t="s">
        <v>3763</v>
      </c>
      <c r="F5437" s="451">
        <v>46010</v>
      </c>
      <c r="G5437">
        <v>19472</v>
      </c>
      <c r="H5437" t="s">
        <v>4906</v>
      </c>
      <c r="I5437" t="s">
        <v>5191</v>
      </c>
      <c r="J5437">
        <v>2.2000000000000002</v>
      </c>
      <c r="K5437" t="s">
        <v>4744</v>
      </c>
      <c r="L5437">
        <v>35.090000000000003</v>
      </c>
      <c r="M5437">
        <v>15.95</v>
      </c>
      <c r="N5437" t="s">
        <v>5191</v>
      </c>
      <c r="O5437" t="s">
        <v>458</v>
      </c>
    </row>
    <row r="5438" spans="1:15" x14ac:dyDescent="0.3">
      <c r="A5438">
        <v>186312</v>
      </c>
      <c r="B5438">
        <v>105</v>
      </c>
      <c r="C5438" t="s">
        <v>557</v>
      </c>
      <c r="D5438" t="s">
        <v>2563</v>
      </c>
      <c r="E5438" t="s">
        <v>3764</v>
      </c>
      <c r="F5438" s="451">
        <v>46008</v>
      </c>
      <c r="G5438">
        <v>19634</v>
      </c>
      <c r="H5438" t="s">
        <v>4792</v>
      </c>
      <c r="I5438" t="s">
        <v>5191</v>
      </c>
      <c r="J5438">
        <v>4</v>
      </c>
      <c r="K5438" t="s">
        <v>4744</v>
      </c>
      <c r="L5438">
        <v>20.32</v>
      </c>
      <c r="M5438">
        <v>5.08</v>
      </c>
      <c r="N5438" t="s">
        <v>5191</v>
      </c>
      <c r="O5438" t="s">
        <v>458</v>
      </c>
    </row>
    <row r="5439" spans="1:15" x14ac:dyDescent="0.3">
      <c r="A5439">
        <v>186312</v>
      </c>
      <c r="B5439">
        <v>105</v>
      </c>
      <c r="C5439" t="s">
        <v>557</v>
      </c>
      <c r="D5439" t="s">
        <v>2563</v>
      </c>
      <c r="E5439" t="s">
        <v>3764</v>
      </c>
      <c r="F5439" s="451">
        <v>46008</v>
      </c>
      <c r="G5439">
        <v>19737</v>
      </c>
      <c r="H5439" t="s">
        <v>4940</v>
      </c>
      <c r="I5439" t="s">
        <v>5191</v>
      </c>
      <c r="J5439">
        <v>1.6</v>
      </c>
      <c r="K5439" t="s">
        <v>4744</v>
      </c>
      <c r="L5439">
        <v>6.7</v>
      </c>
      <c r="M5439">
        <v>4.1875</v>
      </c>
      <c r="N5439" t="s">
        <v>5191</v>
      </c>
      <c r="O5439" t="s">
        <v>458</v>
      </c>
    </row>
    <row r="5440" spans="1:15" x14ac:dyDescent="0.3">
      <c r="A5440">
        <v>186312</v>
      </c>
      <c r="B5440">
        <v>105</v>
      </c>
      <c r="C5440" t="s">
        <v>557</v>
      </c>
      <c r="D5440" t="s">
        <v>2563</v>
      </c>
      <c r="E5440" t="s">
        <v>3764</v>
      </c>
      <c r="F5440" s="451">
        <v>46008</v>
      </c>
      <c r="G5440">
        <v>19642</v>
      </c>
      <c r="H5440" t="s">
        <v>4996</v>
      </c>
      <c r="I5440" t="s">
        <v>5191</v>
      </c>
      <c r="J5440">
        <v>1.2</v>
      </c>
      <c r="K5440" t="s">
        <v>4744</v>
      </c>
      <c r="L5440">
        <v>5.75</v>
      </c>
      <c r="M5440">
        <v>4.7916670000000003</v>
      </c>
      <c r="N5440" t="s">
        <v>5191</v>
      </c>
      <c r="O5440" t="s">
        <v>458</v>
      </c>
    </row>
    <row r="5441" spans="1:15" x14ac:dyDescent="0.3">
      <c r="A5441">
        <v>186312</v>
      </c>
      <c r="B5441">
        <v>105</v>
      </c>
      <c r="C5441" t="s">
        <v>557</v>
      </c>
      <c r="D5441" t="s">
        <v>2563</v>
      </c>
      <c r="E5441" t="s">
        <v>3764</v>
      </c>
      <c r="F5441" s="451">
        <v>46008</v>
      </c>
      <c r="G5441">
        <v>19658</v>
      </c>
      <c r="H5441" t="s">
        <v>4784</v>
      </c>
      <c r="I5441" t="s">
        <v>5191</v>
      </c>
      <c r="J5441">
        <v>8.1999999999999993</v>
      </c>
      <c r="K5441" t="s">
        <v>4744</v>
      </c>
      <c r="L5441">
        <v>20.170000000000002</v>
      </c>
      <c r="M5441">
        <v>2.4597560000000001</v>
      </c>
      <c r="N5441" t="s">
        <v>5191</v>
      </c>
      <c r="O5441" t="s">
        <v>458</v>
      </c>
    </row>
    <row r="5442" spans="1:15" x14ac:dyDescent="0.3">
      <c r="A5442">
        <v>186312</v>
      </c>
      <c r="B5442">
        <v>105</v>
      </c>
      <c r="C5442" t="s">
        <v>557</v>
      </c>
      <c r="D5442" t="s">
        <v>2563</v>
      </c>
      <c r="E5442" t="s">
        <v>3764</v>
      </c>
      <c r="F5442" s="451">
        <v>46008</v>
      </c>
      <c r="G5442">
        <v>19622</v>
      </c>
      <c r="H5442" t="s">
        <v>4915</v>
      </c>
      <c r="I5442" t="s">
        <v>5191</v>
      </c>
      <c r="J5442">
        <v>1</v>
      </c>
      <c r="K5442" t="s">
        <v>4744</v>
      </c>
      <c r="L5442">
        <v>3.26</v>
      </c>
      <c r="M5442">
        <v>3.26</v>
      </c>
      <c r="N5442" t="s">
        <v>5191</v>
      </c>
      <c r="O5442" t="s">
        <v>458</v>
      </c>
    </row>
    <row r="5443" spans="1:15" x14ac:dyDescent="0.3">
      <c r="A5443">
        <v>186312</v>
      </c>
      <c r="B5443">
        <v>105</v>
      </c>
      <c r="C5443" t="s">
        <v>557</v>
      </c>
      <c r="D5443" t="s">
        <v>2563</v>
      </c>
      <c r="E5443" t="s">
        <v>3764</v>
      </c>
      <c r="F5443" s="451">
        <v>46008</v>
      </c>
      <c r="G5443">
        <v>23228</v>
      </c>
      <c r="H5443" t="s">
        <v>4782</v>
      </c>
      <c r="I5443" t="s">
        <v>5191</v>
      </c>
      <c r="J5443">
        <v>5</v>
      </c>
      <c r="K5443" t="s">
        <v>4744</v>
      </c>
      <c r="L5443">
        <v>32.65</v>
      </c>
      <c r="M5443">
        <v>6.53</v>
      </c>
      <c r="N5443" t="s">
        <v>5191</v>
      </c>
      <c r="O5443" t="s">
        <v>458</v>
      </c>
    </row>
    <row r="5444" spans="1:15" x14ac:dyDescent="0.3">
      <c r="A5444">
        <v>186312</v>
      </c>
      <c r="B5444">
        <v>105</v>
      </c>
      <c r="C5444" t="s">
        <v>557</v>
      </c>
      <c r="D5444" t="s">
        <v>2563</v>
      </c>
      <c r="E5444" t="s">
        <v>3764</v>
      </c>
      <c r="F5444" s="451">
        <v>46008</v>
      </c>
      <c r="G5444">
        <v>23346</v>
      </c>
      <c r="H5444" t="s">
        <v>4916</v>
      </c>
      <c r="I5444" t="s">
        <v>5191</v>
      </c>
      <c r="J5444">
        <v>2.5</v>
      </c>
      <c r="K5444" t="s">
        <v>4744</v>
      </c>
      <c r="L5444">
        <v>15.95</v>
      </c>
      <c r="M5444">
        <v>6.38</v>
      </c>
      <c r="N5444" t="s">
        <v>5191</v>
      </c>
      <c r="O5444" t="s">
        <v>458</v>
      </c>
    </row>
    <row r="5445" spans="1:15" x14ac:dyDescent="0.3">
      <c r="A5445">
        <v>186312</v>
      </c>
      <c r="B5445">
        <v>105</v>
      </c>
      <c r="C5445" t="s">
        <v>557</v>
      </c>
      <c r="D5445" t="s">
        <v>2563</v>
      </c>
      <c r="E5445" t="s">
        <v>3764</v>
      </c>
      <c r="F5445" s="451">
        <v>46008</v>
      </c>
      <c r="G5445">
        <v>23389</v>
      </c>
      <c r="H5445" t="s">
        <v>4960</v>
      </c>
      <c r="I5445" t="s">
        <v>5191</v>
      </c>
      <c r="J5445">
        <v>4</v>
      </c>
      <c r="K5445" t="s">
        <v>4744</v>
      </c>
      <c r="L5445">
        <v>20.76</v>
      </c>
      <c r="M5445">
        <v>5.19</v>
      </c>
      <c r="N5445" t="s">
        <v>5191</v>
      </c>
      <c r="O5445" t="s">
        <v>458</v>
      </c>
    </row>
    <row r="5446" spans="1:15" x14ac:dyDescent="0.3">
      <c r="A5446">
        <v>186311</v>
      </c>
      <c r="B5446">
        <v>105</v>
      </c>
      <c r="C5446" t="s">
        <v>557</v>
      </c>
      <c r="D5446" t="s">
        <v>2563</v>
      </c>
      <c r="E5446" t="s">
        <v>3765</v>
      </c>
      <c r="F5446" s="451">
        <v>46007</v>
      </c>
      <c r="G5446">
        <v>19492</v>
      </c>
      <c r="H5446" t="s">
        <v>4937</v>
      </c>
      <c r="I5446" t="s">
        <v>5191</v>
      </c>
      <c r="J5446">
        <v>2</v>
      </c>
      <c r="K5446" t="s">
        <v>4744</v>
      </c>
      <c r="L5446">
        <v>26.82</v>
      </c>
      <c r="M5446">
        <v>13.41</v>
      </c>
      <c r="N5446" t="s">
        <v>5272</v>
      </c>
      <c r="O5446" t="s">
        <v>458</v>
      </c>
    </row>
    <row r="5447" spans="1:15" x14ac:dyDescent="0.3">
      <c r="A5447">
        <v>186311</v>
      </c>
      <c r="B5447">
        <v>105</v>
      </c>
      <c r="C5447" t="s">
        <v>557</v>
      </c>
      <c r="D5447" t="s">
        <v>2563</v>
      </c>
      <c r="E5447" t="s">
        <v>3765</v>
      </c>
      <c r="F5447" s="451">
        <v>46007</v>
      </c>
      <c r="G5447">
        <v>24099</v>
      </c>
      <c r="H5447" t="s">
        <v>4933</v>
      </c>
      <c r="I5447" t="s">
        <v>5191</v>
      </c>
      <c r="J5447">
        <v>2</v>
      </c>
      <c r="K5447" t="s">
        <v>4744</v>
      </c>
      <c r="L5447">
        <v>24.64</v>
      </c>
      <c r="M5447">
        <v>12.32</v>
      </c>
      <c r="N5447" t="s">
        <v>5272</v>
      </c>
      <c r="O5447" t="s">
        <v>458</v>
      </c>
    </row>
    <row r="5448" spans="1:15" x14ac:dyDescent="0.3">
      <c r="A5448">
        <v>186310</v>
      </c>
      <c r="B5448">
        <v>105</v>
      </c>
      <c r="C5448" t="s">
        <v>557</v>
      </c>
      <c r="D5448" t="s">
        <v>2569</v>
      </c>
      <c r="E5448" t="s">
        <v>3766</v>
      </c>
      <c r="F5448" s="451">
        <v>46009</v>
      </c>
      <c r="G5448">
        <v>17958</v>
      </c>
      <c r="H5448" t="s">
        <v>5076</v>
      </c>
      <c r="I5448" t="s">
        <v>5222</v>
      </c>
      <c r="J5448">
        <v>25</v>
      </c>
      <c r="K5448" t="s">
        <v>4738</v>
      </c>
      <c r="L5448">
        <v>397.5</v>
      </c>
      <c r="M5448">
        <v>15.9</v>
      </c>
      <c r="N5448" t="s">
        <v>5271</v>
      </c>
      <c r="O5448" t="s">
        <v>458</v>
      </c>
    </row>
    <row r="5449" spans="1:15" x14ac:dyDescent="0.3">
      <c r="A5449">
        <v>186310</v>
      </c>
      <c r="B5449">
        <v>105</v>
      </c>
      <c r="C5449" t="s">
        <v>557</v>
      </c>
      <c r="D5449" t="s">
        <v>2569</v>
      </c>
      <c r="E5449" t="s">
        <v>3766</v>
      </c>
      <c r="F5449" s="451">
        <v>46009</v>
      </c>
      <c r="G5449">
        <v>17950</v>
      </c>
      <c r="H5449" t="s">
        <v>5091</v>
      </c>
      <c r="I5449" t="s">
        <v>5222</v>
      </c>
      <c r="J5449">
        <v>20</v>
      </c>
      <c r="K5449" t="s">
        <v>4738</v>
      </c>
      <c r="L5449">
        <v>318</v>
      </c>
      <c r="M5449">
        <v>15.9</v>
      </c>
      <c r="N5449" t="s">
        <v>5271</v>
      </c>
      <c r="O5449" t="s">
        <v>458</v>
      </c>
    </row>
    <row r="5450" spans="1:15" x14ac:dyDescent="0.3">
      <c r="A5450">
        <v>186309</v>
      </c>
      <c r="B5450">
        <v>105</v>
      </c>
      <c r="C5450" t="s">
        <v>557</v>
      </c>
      <c r="D5450" t="s">
        <v>2571</v>
      </c>
      <c r="E5450" t="s">
        <v>3767</v>
      </c>
      <c r="F5450" s="451">
        <v>46006</v>
      </c>
      <c r="G5450">
        <v>20242</v>
      </c>
      <c r="H5450" t="s">
        <v>4824</v>
      </c>
      <c r="I5450" t="s">
        <v>5191</v>
      </c>
      <c r="J5450">
        <v>3</v>
      </c>
      <c r="K5450" t="s">
        <v>4738</v>
      </c>
      <c r="L5450">
        <v>42.6</v>
      </c>
      <c r="M5450">
        <v>14.2</v>
      </c>
      <c r="N5450" t="s">
        <v>5421</v>
      </c>
      <c r="O5450" t="s">
        <v>458</v>
      </c>
    </row>
    <row r="5451" spans="1:15" x14ac:dyDescent="0.3">
      <c r="A5451">
        <v>186309</v>
      </c>
      <c r="B5451">
        <v>105</v>
      </c>
      <c r="C5451" t="s">
        <v>557</v>
      </c>
      <c r="D5451" t="s">
        <v>2571</v>
      </c>
      <c r="E5451" t="s">
        <v>3767</v>
      </c>
      <c r="F5451" s="451">
        <v>46006</v>
      </c>
      <c r="G5451">
        <v>20227</v>
      </c>
      <c r="H5451" t="s">
        <v>4825</v>
      </c>
      <c r="I5451" t="s">
        <v>5191</v>
      </c>
      <c r="J5451">
        <v>7</v>
      </c>
      <c r="K5451" t="s">
        <v>4738</v>
      </c>
      <c r="L5451">
        <v>69.930000000000007</v>
      </c>
      <c r="M5451">
        <v>9.99</v>
      </c>
      <c r="N5451" t="s">
        <v>5421</v>
      </c>
      <c r="O5451" t="s">
        <v>458</v>
      </c>
    </row>
    <row r="5452" spans="1:15" x14ac:dyDescent="0.3">
      <c r="A5452">
        <v>186309</v>
      </c>
      <c r="B5452">
        <v>105</v>
      </c>
      <c r="C5452" t="s">
        <v>557</v>
      </c>
      <c r="D5452" t="s">
        <v>2571</v>
      </c>
      <c r="E5452" t="s">
        <v>3767</v>
      </c>
      <c r="F5452" s="451">
        <v>46006</v>
      </c>
      <c r="G5452">
        <v>19969</v>
      </c>
      <c r="H5452" t="s">
        <v>5018</v>
      </c>
      <c r="I5452" t="s">
        <v>5191</v>
      </c>
      <c r="J5452">
        <v>1</v>
      </c>
      <c r="K5452" t="s">
        <v>4888</v>
      </c>
      <c r="L5452">
        <v>10.1</v>
      </c>
      <c r="M5452">
        <v>10.1</v>
      </c>
      <c r="N5452" t="s">
        <v>5421</v>
      </c>
      <c r="O5452" t="s">
        <v>458</v>
      </c>
    </row>
    <row r="5453" spans="1:15" x14ac:dyDescent="0.3">
      <c r="A5453">
        <v>186309</v>
      </c>
      <c r="B5453">
        <v>105</v>
      </c>
      <c r="C5453" t="s">
        <v>557</v>
      </c>
      <c r="D5453" t="s">
        <v>2571</v>
      </c>
      <c r="E5453" t="s">
        <v>3767</v>
      </c>
      <c r="F5453" s="451">
        <v>46006</v>
      </c>
      <c r="G5453">
        <v>20653</v>
      </c>
      <c r="H5453" t="s">
        <v>5013</v>
      </c>
      <c r="I5453" t="s">
        <v>5191</v>
      </c>
      <c r="J5453">
        <v>1</v>
      </c>
      <c r="K5453" t="s">
        <v>4736</v>
      </c>
      <c r="L5453">
        <v>24.72</v>
      </c>
      <c r="M5453">
        <v>24.72</v>
      </c>
      <c r="N5453" t="s">
        <v>5421</v>
      </c>
      <c r="O5453" t="s">
        <v>458</v>
      </c>
    </row>
    <row r="5454" spans="1:15" x14ac:dyDescent="0.3">
      <c r="A5454">
        <v>186309</v>
      </c>
      <c r="B5454">
        <v>105</v>
      </c>
      <c r="C5454" t="s">
        <v>557</v>
      </c>
      <c r="D5454" t="s">
        <v>2571</v>
      </c>
      <c r="E5454" t="s">
        <v>3767</v>
      </c>
      <c r="F5454" s="451">
        <v>46006</v>
      </c>
      <c r="G5454">
        <v>20213</v>
      </c>
      <c r="H5454" t="s">
        <v>5160</v>
      </c>
      <c r="I5454" t="s">
        <v>5191</v>
      </c>
      <c r="J5454">
        <v>2</v>
      </c>
      <c r="K5454" t="s">
        <v>5228</v>
      </c>
      <c r="L5454">
        <v>63.44</v>
      </c>
      <c r="M5454">
        <v>31.72</v>
      </c>
      <c r="N5454" t="s">
        <v>5421</v>
      </c>
      <c r="O5454" t="s">
        <v>458</v>
      </c>
    </row>
    <row r="5455" spans="1:15" x14ac:dyDescent="0.3">
      <c r="A5455">
        <v>186309</v>
      </c>
      <c r="B5455">
        <v>105</v>
      </c>
      <c r="C5455" t="s">
        <v>557</v>
      </c>
      <c r="D5455" t="s">
        <v>2571</v>
      </c>
      <c r="E5455" t="s">
        <v>3767</v>
      </c>
      <c r="F5455" s="451">
        <v>46006</v>
      </c>
      <c r="G5455">
        <v>20660</v>
      </c>
      <c r="H5455" t="s">
        <v>5011</v>
      </c>
      <c r="I5455" t="s">
        <v>5191</v>
      </c>
      <c r="J5455">
        <v>2</v>
      </c>
      <c r="K5455" t="s">
        <v>5242</v>
      </c>
      <c r="L5455">
        <v>123.8</v>
      </c>
      <c r="M5455">
        <v>61.9</v>
      </c>
      <c r="N5455" t="s">
        <v>5421</v>
      </c>
      <c r="O5455" t="s">
        <v>458</v>
      </c>
    </row>
    <row r="5456" spans="1:15" x14ac:dyDescent="0.3">
      <c r="A5456">
        <v>186309</v>
      </c>
      <c r="B5456">
        <v>105</v>
      </c>
      <c r="C5456" t="s">
        <v>557</v>
      </c>
      <c r="D5456" t="s">
        <v>2571</v>
      </c>
      <c r="E5456" t="s">
        <v>3767</v>
      </c>
      <c r="F5456" s="451">
        <v>46006</v>
      </c>
      <c r="G5456">
        <v>21093</v>
      </c>
      <c r="H5456" t="s">
        <v>4855</v>
      </c>
      <c r="I5456" t="s">
        <v>5191</v>
      </c>
      <c r="J5456">
        <v>10</v>
      </c>
      <c r="K5456" t="s">
        <v>4736</v>
      </c>
      <c r="L5456">
        <v>47.6</v>
      </c>
      <c r="M5456">
        <v>4.76</v>
      </c>
      <c r="N5456" t="s">
        <v>5421</v>
      </c>
      <c r="O5456" t="s">
        <v>458</v>
      </c>
    </row>
    <row r="5457" spans="1:15" x14ac:dyDescent="0.3">
      <c r="A5457">
        <v>186309</v>
      </c>
      <c r="B5457">
        <v>105</v>
      </c>
      <c r="C5457" t="s">
        <v>557</v>
      </c>
      <c r="D5457" t="s">
        <v>2571</v>
      </c>
      <c r="E5457" t="s">
        <v>3767</v>
      </c>
      <c r="F5457" s="451">
        <v>46006</v>
      </c>
      <c r="G5457">
        <v>20231</v>
      </c>
      <c r="H5457" t="s">
        <v>5273</v>
      </c>
      <c r="I5457" t="s">
        <v>5191</v>
      </c>
      <c r="J5457">
        <v>1</v>
      </c>
      <c r="K5457" t="s">
        <v>4738</v>
      </c>
      <c r="L5457">
        <v>16.2</v>
      </c>
      <c r="M5457">
        <v>16.2</v>
      </c>
      <c r="N5457" t="s">
        <v>5421</v>
      </c>
      <c r="O5457" t="s">
        <v>458</v>
      </c>
    </row>
    <row r="5458" spans="1:15" x14ac:dyDescent="0.3">
      <c r="A5458">
        <v>186309</v>
      </c>
      <c r="B5458">
        <v>105</v>
      </c>
      <c r="C5458" t="s">
        <v>557</v>
      </c>
      <c r="D5458" t="s">
        <v>2571</v>
      </c>
      <c r="E5458" t="s">
        <v>3767</v>
      </c>
      <c r="F5458" s="451">
        <v>46006</v>
      </c>
      <c r="G5458">
        <v>20007</v>
      </c>
      <c r="H5458" t="s">
        <v>5101</v>
      </c>
      <c r="I5458" t="s">
        <v>5191</v>
      </c>
      <c r="J5458">
        <v>1</v>
      </c>
      <c r="K5458" t="s">
        <v>4884</v>
      </c>
      <c r="L5458">
        <v>47.8</v>
      </c>
      <c r="M5458">
        <v>47.8</v>
      </c>
      <c r="N5458" t="s">
        <v>5421</v>
      </c>
      <c r="O5458" t="s">
        <v>458</v>
      </c>
    </row>
    <row r="5459" spans="1:15" x14ac:dyDescent="0.3">
      <c r="A5459">
        <v>186309</v>
      </c>
      <c r="B5459">
        <v>105</v>
      </c>
      <c r="C5459" t="s">
        <v>557</v>
      </c>
      <c r="D5459" t="s">
        <v>2571</v>
      </c>
      <c r="E5459" t="s">
        <v>3767</v>
      </c>
      <c r="F5459" s="451">
        <v>46006</v>
      </c>
      <c r="G5459">
        <v>20301</v>
      </c>
      <c r="H5459" t="s">
        <v>4944</v>
      </c>
      <c r="I5459" t="s">
        <v>5191</v>
      </c>
      <c r="J5459">
        <v>9</v>
      </c>
      <c r="K5459" t="s">
        <v>4738</v>
      </c>
      <c r="L5459">
        <v>187.2</v>
      </c>
      <c r="M5459">
        <v>20.8</v>
      </c>
      <c r="N5459" t="s">
        <v>5421</v>
      </c>
      <c r="O5459" t="s">
        <v>458</v>
      </c>
    </row>
    <row r="5460" spans="1:15" x14ac:dyDescent="0.3">
      <c r="A5460">
        <v>186309</v>
      </c>
      <c r="B5460">
        <v>105</v>
      </c>
      <c r="C5460" t="s">
        <v>557</v>
      </c>
      <c r="D5460" t="s">
        <v>2571</v>
      </c>
      <c r="E5460" t="s">
        <v>3767</v>
      </c>
      <c r="F5460" s="451">
        <v>46006</v>
      </c>
      <c r="G5460">
        <v>21047</v>
      </c>
      <c r="H5460" t="s">
        <v>4847</v>
      </c>
      <c r="I5460" t="s">
        <v>5191</v>
      </c>
      <c r="J5460">
        <v>1</v>
      </c>
      <c r="K5460" t="s">
        <v>4848</v>
      </c>
      <c r="L5460">
        <v>123</v>
      </c>
      <c r="M5460">
        <v>123</v>
      </c>
      <c r="N5460" t="s">
        <v>5421</v>
      </c>
      <c r="O5460" t="s">
        <v>458</v>
      </c>
    </row>
    <row r="5461" spans="1:15" x14ac:dyDescent="0.3">
      <c r="A5461">
        <v>186309</v>
      </c>
      <c r="B5461">
        <v>105</v>
      </c>
      <c r="C5461" t="s">
        <v>557</v>
      </c>
      <c r="D5461" t="s">
        <v>2571</v>
      </c>
      <c r="E5461" t="s">
        <v>3767</v>
      </c>
      <c r="F5461" s="451">
        <v>46006</v>
      </c>
      <c r="G5461">
        <v>20138</v>
      </c>
      <c r="H5461" t="s">
        <v>4886</v>
      </c>
      <c r="I5461" t="s">
        <v>5191</v>
      </c>
      <c r="J5461">
        <v>3</v>
      </c>
      <c r="K5461" t="s">
        <v>4738</v>
      </c>
      <c r="L5461">
        <v>15.6</v>
      </c>
      <c r="M5461">
        <v>5.2</v>
      </c>
      <c r="N5461" t="s">
        <v>5421</v>
      </c>
      <c r="O5461" t="s">
        <v>458</v>
      </c>
    </row>
    <row r="5462" spans="1:15" x14ac:dyDescent="0.3">
      <c r="A5462">
        <v>186309</v>
      </c>
      <c r="B5462">
        <v>105</v>
      </c>
      <c r="C5462" t="s">
        <v>557</v>
      </c>
      <c r="D5462" t="s">
        <v>2571</v>
      </c>
      <c r="E5462" t="s">
        <v>3767</v>
      </c>
      <c r="F5462" s="451">
        <v>46006</v>
      </c>
      <c r="G5462">
        <v>20792</v>
      </c>
      <c r="H5462" t="s">
        <v>5022</v>
      </c>
      <c r="I5462" t="s">
        <v>5191</v>
      </c>
      <c r="J5462">
        <v>1</v>
      </c>
      <c r="K5462" t="s">
        <v>5206</v>
      </c>
      <c r="L5462">
        <v>10.29</v>
      </c>
      <c r="M5462">
        <v>10.29</v>
      </c>
      <c r="N5462" t="s">
        <v>5421</v>
      </c>
      <c r="O5462" t="s">
        <v>458</v>
      </c>
    </row>
    <row r="5463" spans="1:15" x14ac:dyDescent="0.3">
      <c r="A5463">
        <v>186309</v>
      </c>
      <c r="B5463">
        <v>105</v>
      </c>
      <c r="C5463" t="s">
        <v>557</v>
      </c>
      <c r="D5463" t="s">
        <v>2571</v>
      </c>
      <c r="E5463" t="s">
        <v>3767</v>
      </c>
      <c r="F5463" s="451">
        <v>46006</v>
      </c>
      <c r="G5463">
        <v>25022</v>
      </c>
      <c r="H5463" t="s">
        <v>4912</v>
      </c>
      <c r="I5463" t="s">
        <v>5191</v>
      </c>
      <c r="J5463">
        <v>3</v>
      </c>
      <c r="K5463" t="s">
        <v>4738</v>
      </c>
      <c r="L5463">
        <v>11.1</v>
      </c>
      <c r="M5463">
        <v>3.7</v>
      </c>
      <c r="N5463" t="s">
        <v>5421</v>
      </c>
      <c r="O5463" t="s">
        <v>458</v>
      </c>
    </row>
    <row r="5464" spans="1:15" x14ac:dyDescent="0.3">
      <c r="A5464">
        <v>186309</v>
      </c>
      <c r="B5464">
        <v>105</v>
      </c>
      <c r="C5464" t="s">
        <v>557</v>
      </c>
      <c r="D5464" t="s">
        <v>2571</v>
      </c>
      <c r="E5464" t="s">
        <v>3767</v>
      </c>
      <c r="F5464" s="451">
        <v>46006</v>
      </c>
      <c r="G5464">
        <v>21257</v>
      </c>
      <c r="H5464" t="s">
        <v>4952</v>
      </c>
      <c r="I5464" t="s">
        <v>5191</v>
      </c>
      <c r="J5464">
        <v>1</v>
      </c>
      <c r="K5464" t="s">
        <v>4736</v>
      </c>
      <c r="L5464">
        <v>18.600000000000001</v>
      </c>
      <c r="M5464">
        <v>18.600000000000001</v>
      </c>
      <c r="N5464" t="s">
        <v>5421</v>
      </c>
      <c r="O5464" t="s">
        <v>458</v>
      </c>
    </row>
    <row r="5465" spans="1:15" x14ac:dyDescent="0.3">
      <c r="A5465">
        <v>186309</v>
      </c>
      <c r="B5465">
        <v>105</v>
      </c>
      <c r="C5465" t="s">
        <v>557</v>
      </c>
      <c r="D5465" t="s">
        <v>2571</v>
      </c>
      <c r="E5465" t="s">
        <v>3767</v>
      </c>
      <c r="F5465" s="451">
        <v>46006</v>
      </c>
      <c r="G5465">
        <v>26020</v>
      </c>
      <c r="H5465" t="s">
        <v>5102</v>
      </c>
      <c r="I5465" t="s">
        <v>5191</v>
      </c>
      <c r="J5465">
        <v>4</v>
      </c>
      <c r="K5465" t="s">
        <v>4736</v>
      </c>
      <c r="L5465">
        <v>57.6</v>
      </c>
      <c r="M5465">
        <v>14.4</v>
      </c>
      <c r="N5465" t="s">
        <v>5421</v>
      </c>
      <c r="O5465" t="s">
        <v>458</v>
      </c>
    </row>
    <row r="5466" spans="1:15" x14ac:dyDescent="0.3">
      <c r="A5466">
        <v>186309</v>
      </c>
      <c r="B5466">
        <v>105</v>
      </c>
      <c r="C5466" t="s">
        <v>557</v>
      </c>
      <c r="D5466" t="s">
        <v>2571</v>
      </c>
      <c r="E5466" t="s">
        <v>3767</v>
      </c>
      <c r="F5466" s="451">
        <v>46006</v>
      </c>
      <c r="G5466">
        <v>20365</v>
      </c>
      <c r="H5466" t="s">
        <v>4796</v>
      </c>
      <c r="I5466" t="s">
        <v>5191</v>
      </c>
      <c r="J5466">
        <v>10</v>
      </c>
      <c r="K5466" t="s">
        <v>4736</v>
      </c>
      <c r="L5466">
        <v>46.2</v>
      </c>
      <c r="M5466">
        <v>4.62</v>
      </c>
      <c r="N5466" t="s">
        <v>5421</v>
      </c>
      <c r="O5466" t="s">
        <v>458</v>
      </c>
    </row>
    <row r="5467" spans="1:15" x14ac:dyDescent="0.3">
      <c r="A5467">
        <v>186309</v>
      </c>
      <c r="B5467">
        <v>105</v>
      </c>
      <c r="C5467" t="s">
        <v>557</v>
      </c>
      <c r="D5467" t="s">
        <v>2571</v>
      </c>
      <c r="E5467" t="s">
        <v>3767</v>
      </c>
      <c r="F5467" s="451">
        <v>46006</v>
      </c>
      <c r="G5467">
        <v>19421</v>
      </c>
      <c r="H5467" t="s">
        <v>4918</v>
      </c>
      <c r="I5467" t="s">
        <v>5191</v>
      </c>
      <c r="J5467">
        <v>3</v>
      </c>
      <c r="K5467" t="s">
        <v>4749</v>
      </c>
      <c r="L5467">
        <v>173.04</v>
      </c>
      <c r="M5467">
        <v>57.68</v>
      </c>
      <c r="N5467" t="s">
        <v>5421</v>
      </c>
      <c r="O5467" t="s">
        <v>458</v>
      </c>
    </row>
    <row r="5468" spans="1:15" x14ac:dyDescent="0.3">
      <c r="A5468">
        <v>186308</v>
      </c>
      <c r="B5468">
        <v>105</v>
      </c>
      <c r="C5468" t="s">
        <v>557</v>
      </c>
      <c r="D5468" t="s">
        <v>2644</v>
      </c>
      <c r="E5468" t="s">
        <v>3768</v>
      </c>
      <c r="F5468" s="451">
        <v>46007</v>
      </c>
      <c r="G5468">
        <v>17399</v>
      </c>
      <c r="H5468" t="s">
        <v>5244</v>
      </c>
      <c r="I5468" t="s">
        <v>5188</v>
      </c>
      <c r="J5468">
        <v>1</v>
      </c>
      <c r="K5468" t="s">
        <v>5245</v>
      </c>
      <c r="L5468">
        <v>18.899999999999999</v>
      </c>
      <c r="M5468">
        <v>18.899999999999999</v>
      </c>
      <c r="N5468" t="s">
        <v>5277</v>
      </c>
      <c r="O5468" t="s">
        <v>458</v>
      </c>
    </row>
    <row r="5469" spans="1:15" x14ac:dyDescent="0.3">
      <c r="A5469">
        <v>186308</v>
      </c>
      <c r="B5469">
        <v>105</v>
      </c>
      <c r="C5469" t="s">
        <v>557</v>
      </c>
      <c r="D5469" t="s">
        <v>2644</v>
      </c>
      <c r="E5469" t="s">
        <v>3768</v>
      </c>
      <c r="F5469" s="451">
        <v>46007</v>
      </c>
      <c r="G5469">
        <v>17397</v>
      </c>
      <c r="H5469" t="s">
        <v>5246</v>
      </c>
      <c r="I5469" t="s">
        <v>5188</v>
      </c>
      <c r="J5469">
        <v>2</v>
      </c>
      <c r="K5469" t="s">
        <v>5245</v>
      </c>
      <c r="L5469">
        <v>63.64</v>
      </c>
      <c r="M5469">
        <v>31.82</v>
      </c>
      <c r="N5469" t="s">
        <v>5277</v>
      </c>
      <c r="O5469" t="s">
        <v>458</v>
      </c>
    </row>
    <row r="5470" spans="1:15" x14ac:dyDescent="0.3">
      <c r="A5470">
        <v>186308</v>
      </c>
      <c r="B5470">
        <v>105</v>
      </c>
      <c r="C5470" t="s">
        <v>557</v>
      </c>
      <c r="D5470" t="s">
        <v>2644</v>
      </c>
      <c r="E5470" t="s">
        <v>3768</v>
      </c>
      <c r="F5470" s="451">
        <v>46007</v>
      </c>
      <c r="G5470">
        <v>21423</v>
      </c>
      <c r="H5470" t="s">
        <v>5248</v>
      </c>
      <c r="I5470" t="s">
        <v>5188</v>
      </c>
      <c r="J5470">
        <v>3</v>
      </c>
      <c r="K5470" t="s">
        <v>5245</v>
      </c>
      <c r="L5470">
        <v>95.46</v>
      </c>
      <c r="M5470">
        <v>31.82</v>
      </c>
      <c r="N5470" t="s">
        <v>5277</v>
      </c>
      <c r="O5470" t="s">
        <v>458</v>
      </c>
    </row>
    <row r="5471" spans="1:15" x14ac:dyDescent="0.3">
      <c r="A5471">
        <v>186307</v>
      </c>
      <c r="B5471">
        <v>105</v>
      </c>
      <c r="C5471" t="s">
        <v>557</v>
      </c>
      <c r="D5471" t="s">
        <v>3769</v>
      </c>
      <c r="E5471" t="s">
        <v>3770</v>
      </c>
      <c r="F5471" s="451">
        <v>46010</v>
      </c>
      <c r="G5471">
        <v>18146</v>
      </c>
      <c r="H5471" t="s">
        <v>5112</v>
      </c>
      <c r="I5471" t="s">
        <v>5222</v>
      </c>
      <c r="J5471">
        <v>3</v>
      </c>
      <c r="K5471" t="s">
        <v>4805</v>
      </c>
      <c r="L5471">
        <v>375</v>
      </c>
      <c r="M5471">
        <v>125</v>
      </c>
      <c r="N5471" t="s">
        <v>5271</v>
      </c>
      <c r="O5471" t="s">
        <v>458</v>
      </c>
    </row>
    <row r="5472" spans="1:15" x14ac:dyDescent="0.3">
      <c r="A5472">
        <v>186306</v>
      </c>
      <c r="B5472">
        <v>105</v>
      </c>
      <c r="C5472" t="s">
        <v>557</v>
      </c>
      <c r="D5472" t="s">
        <v>2605</v>
      </c>
      <c r="E5472" t="s">
        <v>3771</v>
      </c>
      <c r="F5472" s="451">
        <v>46007</v>
      </c>
      <c r="G5472">
        <v>19306</v>
      </c>
      <c r="H5472" t="s">
        <v>5111</v>
      </c>
      <c r="I5472" t="s">
        <v>5191</v>
      </c>
      <c r="J5472">
        <v>1</v>
      </c>
      <c r="K5472" t="s">
        <v>5228</v>
      </c>
      <c r="L5472">
        <v>21.9</v>
      </c>
      <c r="M5472">
        <v>21.9</v>
      </c>
      <c r="N5472" t="s">
        <v>5272</v>
      </c>
      <c r="O5472" t="s">
        <v>458</v>
      </c>
    </row>
    <row r="5473" spans="1:15" x14ac:dyDescent="0.3">
      <c r="A5473">
        <v>186306</v>
      </c>
      <c r="B5473">
        <v>105</v>
      </c>
      <c r="C5473" t="s">
        <v>557</v>
      </c>
      <c r="D5473" t="s">
        <v>2605</v>
      </c>
      <c r="E5473" t="s">
        <v>3771</v>
      </c>
      <c r="F5473" s="451">
        <v>46007</v>
      </c>
      <c r="G5473">
        <v>19241</v>
      </c>
      <c r="H5473" t="s">
        <v>4890</v>
      </c>
      <c r="I5473" t="s">
        <v>5191</v>
      </c>
      <c r="J5473">
        <v>1</v>
      </c>
      <c r="K5473" t="s">
        <v>5206</v>
      </c>
      <c r="L5473">
        <v>3.75</v>
      </c>
      <c r="M5473">
        <v>3.75</v>
      </c>
      <c r="N5473" t="s">
        <v>5272</v>
      </c>
      <c r="O5473" t="s">
        <v>458</v>
      </c>
    </row>
    <row r="5474" spans="1:15" x14ac:dyDescent="0.3">
      <c r="A5474">
        <v>186306</v>
      </c>
      <c r="B5474">
        <v>105</v>
      </c>
      <c r="C5474" t="s">
        <v>557</v>
      </c>
      <c r="D5474" t="s">
        <v>2605</v>
      </c>
      <c r="E5474" t="s">
        <v>3771</v>
      </c>
      <c r="F5474" s="451">
        <v>46007</v>
      </c>
      <c r="G5474">
        <v>19356</v>
      </c>
      <c r="H5474" t="s">
        <v>4799</v>
      </c>
      <c r="I5474" t="s">
        <v>5191</v>
      </c>
      <c r="J5474">
        <v>6.22</v>
      </c>
      <c r="K5474" t="s">
        <v>4744</v>
      </c>
      <c r="L5474">
        <v>345.21</v>
      </c>
      <c r="M5474">
        <v>55.5</v>
      </c>
      <c r="N5474" t="s">
        <v>5272</v>
      </c>
      <c r="O5474" t="s">
        <v>458</v>
      </c>
    </row>
    <row r="5475" spans="1:15" x14ac:dyDescent="0.3">
      <c r="A5475">
        <v>186306</v>
      </c>
      <c r="B5475">
        <v>105</v>
      </c>
      <c r="C5475" t="s">
        <v>557</v>
      </c>
      <c r="D5475" t="s">
        <v>2605</v>
      </c>
      <c r="E5475" t="s">
        <v>3771</v>
      </c>
      <c r="F5475" s="451">
        <v>46007</v>
      </c>
      <c r="G5475">
        <v>19415</v>
      </c>
      <c r="H5475" t="s">
        <v>4919</v>
      </c>
      <c r="I5475" t="s">
        <v>5191</v>
      </c>
      <c r="J5475">
        <v>2</v>
      </c>
      <c r="K5475" t="s">
        <v>4736</v>
      </c>
      <c r="L5475">
        <v>15.8</v>
      </c>
      <c r="M5475">
        <v>7.9</v>
      </c>
      <c r="N5475" t="s">
        <v>5272</v>
      </c>
      <c r="O5475" t="s">
        <v>458</v>
      </c>
    </row>
    <row r="5476" spans="1:15" x14ac:dyDescent="0.3">
      <c r="A5476">
        <v>186306</v>
      </c>
      <c r="B5476">
        <v>105</v>
      </c>
      <c r="C5476" t="s">
        <v>557</v>
      </c>
      <c r="D5476" t="s">
        <v>2605</v>
      </c>
      <c r="E5476" t="s">
        <v>3771</v>
      </c>
      <c r="F5476" s="451">
        <v>46007</v>
      </c>
      <c r="G5476">
        <v>19346</v>
      </c>
      <c r="H5476" t="s">
        <v>4835</v>
      </c>
      <c r="I5476" t="s">
        <v>5191</v>
      </c>
      <c r="J5476">
        <v>3</v>
      </c>
      <c r="K5476" t="s">
        <v>4744</v>
      </c>
      <c r="L5476">
        <v>149.69999999999999</v>
      </c>
      <c r="M5476">
        <v>49.9</v>
      </c>
      <c r="N5476" t="s">
        <v>5272</v>
      </c>
      <c r="O5476" t="s">
        <v>458</v>
      </c>
    </row>
    <row r="5477" spans="1:15" x14ac:dyDescent="0.3">
      <c r="A5477">
        <v>186306</v>
      </c>
      <c r="B5477">
        <v>105</v>
      </c>
      <c r="C5477" t="s">
        <v>557</v>
      </c>
      <c r="D5477" t="s">
        <v>2605</v>
      </c>
      <c r="E5477" t="s">
        <v>3771</v>
      </c>
      <c r="F5477" s="451">
        <v>46007</v>
      </c>
      <c r="G5477">
        <v>19322</v>
      </c>
      <c r="H5477" t="s">
        <v>4830</v>
      </c>
      <c r="I5477" t="s">
        <v>5191</v>
      </c>
      <c r="J5477">
        <v>4</v>
      </c>
      <c r="K5477" t="s">
        <v>4744</v>
      </c>
      <c r="L5477">
        <v>166</v>
      </c>
      <c r="M5477">
        <v>41.5</v>
      </c>
      <c r="N5477" t="s">
        <v>5272</v>
      </c>
      <c r="O5477" t="s">
        <v>458</v>
      </c>
    </row>
    <row r="5478" spans="1:15" x14ac:dyDescent="0.3">
      <c r="A5478">
        <v>186306</v>
      </c>
      <c r="B5478">
        <v>105</v>
      </c>
      <c r="C5478" t="s">
        <v>557</v>
      </c>
      <c r="D5478" t="s">
        <v>2605</v>
      </c>
      <c r="E5478" t="s">
        <v>3771</v>
      </c>
      <c r="F5478" s="451">
        <v>46007</v>
      </c>
      <c r="G5478">
        <v>19224</v>
      </c>
      <c r="H5478" t="s">
        <v>5100</v>
      </c>
      <c r="I5478" t="s">
        <v>5191</v>
      </c>
      <c r="J5478">
        <v>1</v>
      </c>
      <c r="K5478" t="s">
        <v>4736</v>
      </c>
      <c r="L5478">
        <v>247.9</v>
      </c>
      <c r="M5478">
        <v>247.9</v>
      </c>
      <c r="N5478" t="s">
        <v>5272</v>
      </c>
      <c r="O5478" t="s">
        <v>458</v>
      </c>
    </row>
    <row r="5479" spans="1:15" x14ac:dyDescent="0.3">
      <c r="A5479">
        <v>186305</v>
      </c>
      <c r="B5479">
        <v>105</v>
      </c>
      <c r="C5479" t="s">
        <v>557</v>
      </c>
      <c r="D5479" t="s">
        <v>2605</v>
      </c>
      <c r="E5479" t="s">
        <v>3772</v>
      </c>
      <c r="F5479" s="451">
        <v>46006</v>
      </c>
      <c r="G5479">
        <v>22721</v>
      </c>
      <c r="H5479" t="s">
        <v>4803</v>
      </c>
      <c r="I5479" t="s">
        <v>5191</v>
      </c>
      <c r="J5479">
        <v>4.45</v>
      </c>
      <c r="K5479" t="s">
        <v>4744</v>
      </c>
      <c r="L5479">
        <v>125.94</v>
      </c>
      <c r="M5479">
        <v>28.301124000000002</v>
      </c>
      <c r="N5479" t="s">
        <v>5272</v>
      </c>
      <c r="O5479" t="s">
        <v>458</v>
      </c>
    </row>
    <row r="5480" spans="1:15" x14ac:dyDescent="0.3">
      <c r="A5480">
        <v>186304</v>
      </c>
      <c r="B5480">
        <v>105</v>
      </c>
      <c r="C5480" t="s">
        <v>557</v>
      </c>
      <c r="D5480" t="s">
        <v>2581</v>
      </c>
      <c r="E5480" t="s">
        <v>3773</v>
      </c>
      <c r="F5480" s="451">
        <v>46010</v>
      </c>
      <c r="G5480">
        <v>19505</v>
      </c>
      <c r="H5480" t="s">
        <v>4872</v>
      </c>
      <c r="I5480" t="s">
        <v>5191</v>
      </c>
      <c r="J5480">
        <v>4.5</v>
      </c>
      <c r="K5480" t="s">
        <v>4744</v>
      </c>
      <c r="L5480">
        <v>26.1</v>
      </c>
      <c r="M5480">
        <v>5.8</v>
      </c>
      <c r="N5480" t="s">
        <v>5272</v>
      </c>
      <c r="O5480" t="s">
        <v>458</v>
      </c>
    </row>
    <row r="5481" spans="1:15" x14ac:dyDescent="0.3">
      <c r="A5481">
        <v>186304</v>
      </c>
      <c r="B5481">
        <v>105</v>
      </c>
      <c r="C5481" t="s">
        <v>557</v>
      </c>
      <c r="D5481" t="s">
        <v>2581</v>
      </c>
      <c r="E5481" t="s">
        <v>3773</v>
      </c>
      <c r="F5481" s="451">
        <v>46010</v>
      </c>
      <c r="G5481">
        <v>19480</v>
      </c>
      <c r="H5481" t="s">
        <v>5119</v>
      </c>
      <c r="I5481" t="s">
        <v>5191</v>
      </c>
      <c r="J5481">
        <v>0.5</v>
      </c>
      <c r="K5481" t="s">
        <v>4744</v>
      </c>
      <c r="L5481">
        <v>6</v>
      </c>
      <c r="M5481">
        <v>12</v>
      </c>
      <c r="N5481" t="s">
        <v>5272</v>
      </c>
      <c r="O5481" t="s">
        <v>458</v>
      </c>
    </row>
    <row r="5482" spans="1:15" x14ac:dyDescent="0.3">
      <c r="A5482">
        <v>186304</v>
      </c>
      <c r="B5482">
        <v>105</v>
      </c>
      <c r="C5482" t="s">
        <v>557</v>
      </c>
      <c r="D5482" t="s">
        <v>2581</v>
      </c>
      <c r="E5482" t="s">
        <v>3773</v>
      </c>
      <c r="F5482" s="451">
        <v>46010</v>
      </c>
      <c r="G5482">
        <v>23236</v>
      </c>
      <c r="H5482" t="s">
        <v>5062</v>
      </c>
      <c r="I5482" t="s">
        <v>5191</v>
      </c>
      <c r="J5482">
        <v>2.8</v>
      </c>
      <c r="K5482" t="s">
        <v>4744</v>
      </c>
      <c r="L5482">
        <v>14</v>
      </c>
      <c r="M5482">
        <v>5</v>
      </c>
      <c r="N5482" t="s">
        <v>5272</v>
      </c>
      <c r="O5482" t="s">
        <v>458</v>
      </c>
    </row>
    <row r="5483" spans="1:15" x14ac:dyDescent="0.3">
      <c r="A5483">
        <v>186303</v>
      </c>
      <c r="B5483">
        <v>105</v>
      </c>
      <c r="C5483" t="s">
        <v>557</v>
      </c>
      <c r="D5483" t="s">
        <v>2581</v>
      </c>
      <c r="E5483" t="s">
        <v>3774</v>
      </c>
      <c r="F5483" s="451">
        <v>46009</v>
      </c>
      <c r="G5483">
        <v>23785</v>
      </c>
      <c r="H5483" t="s">
        <v>4858</v>
      </c>
      <c r="I5483" t="s">
        <v>5191</v>
      </c>
      <c r="J5483">
        <v>6</v>
      </c>
      <c r="K5483" t="s">
        <v>4744</v>
      </c>
      <c r="L5483">
        <v>252</v>
      </c>
      <c r="M5483">
        <v>42</v>
      </c>
      <c r="N5483" t="s">
        <v>5272</v>
      </c>
      <c r="O5483" t="s">
        <v>458</v>
      </c>
    </row>
    <row r="5484" spans="1:15" x14ac:dyDescent="0.3">
      <c r="A5484">
        <v>186302</v>
      </c>
      <c r="B5484">
        <v>105</v>
      </c>
      <c r="C5484" t="s">
        <v>557</v>
      </c>
      <c r="D5484" t="s">
        <v>2581</v>
      </c>
      <c r="E5484" t="s">
        <v>3775</v>
      </c>
      <c r="F5484" s="451">
        <v>46009</v>
      </c>
      <c r="G5484">
        <v>19787</v>
      </c>
      <c r="H5484" t="s">
        <v>4793</v>
      </c>
      <c r="I5484" t="s">
        <v>5191</v>
      </c>
      <c r="J5484">
        <v>15</v>
      </c>
      <c r="K5484" t="s">
        <v>4744</v>
      </c>
      <c r="L5484">
        <v>66</v>
      </c>
      <c r="M5484">
        <v>4.4000000000000004</v>
      </c>
      <c r="N5484" t="s">
        <v>5272</v>
      </c>
      <c r="O5484" t="s">
        <v>458</v>
      </c>
    </row>
    <row r="5485" spans="1:15" x14ac:dyDescent="0.3">
      <c r="A5485">
        <v>186302</v>
      </c>
      <c r="B5485">
        <v>105</v>
      </c>
      <c r="C5485" t="s">
        <v>557</v>
      </c>
      <c r="D5485" t="s">
        <v>2581</v>
      </c>
      <c r="E5485" t="s">
        <v>3775</v>
      </c>
      <c r="F5485" s="451">
        <v>46009</v>
      </c>
      <c r="G5485">
        <v>23359</v>
      </c>
      <c r="H5485" t="s">
        <v>4767</v>
      </c>
      <c r="I5485" t="s">
        <v>5191</v>
      </c>
      <c r="J5485">
        <v>25</v>
      </c>
      <c r="K5485" t="s">
        <v>4744</v>
      </c>
      <c r="L5485">
        <v>75</v>
      </c>
      <c r="M5485">
        <v>3</v>
      </c>
      <c r="N5485" t="s">
        <v>5272</v>
      </c>
      <c r="O5485" t="s">
        <v>458</v>
      </c>
    </row>
    <row r="5486" spans="1:15" x14ac:dyDescent="0.3">
      <c r="A5486">
        <v>186302</v>
      </c>
      <c r="B5486">
        <v>105</v>
      </c>
      <c r="C5486" t="s">
        <v>557</v>
      </c>
      <c r="D5486" t="s">
        <v>2581</v>
      </c>
      <c r="E5486" t="s">
        <v>3775</v>
      </c>
      <c r="F5486" s="451">
        <v>46009</v>
      </c>
      <c r="G5486">
        <v>23361</v>
      </c>
      <c r="H5486" t="s">
        <v>4754</v>
      </c>
      <c r="I5486" t="s">
        <v>5191</v>
      </c>
      <c r="J5486">
        <v>70</v>
      </c>
      <c r="K5486" t="s">
        <v>4744</v>
      </c>
      <c r="L5486">
        <v>210</v>
      </c>
      <c r="M5486">
        <v>3</v>
      </c>
      <c r="N5486" t="s">
        <v>5272</v>
      </c>
      <c r="O5486" t="s">
        <v>458</v>
      </c>
    </row>
    <row r="5487" spans="1:15" x14ac:dyDescent="0.3">
      <c r="A5487">
        <v>186301</v>
      </c>
      <c r="B5487">
        <v>105</v>
      </c>
      <c r="C5487" t="s">
        <v>557</v>
      </c>
      <c r="D5487" t="s">
        <v>2705</v>
      </c>
      <c r="E5487" t="s">
        <v>3776</v>
      </c>
      <c r="F5487" s="451">
        <v>46009</v>
      </c>
      <c r="G5487">
        <v>24658</v>
      </c>
      <c r="H5487" t="s">
        <v>5274</v>
      </c>
      <c r="I5487" t="s">
        <v>5232</v>
      </c>
      <c r="J5487">
        <v>25</v>
      </c>
      <c r="K5487" t="s">
        <v>4738</v>
      </c>
      <c r="L5487">
        <v>865</v>
      </c>
      <c r="M5487">
        <v>34.6</v>
      </c>
      <c r="N5487" t="s">
        <v>5275</v>
      </c>
      <c r="O5487" t="s">
        <v>458</v>
      </c>
    </row>
    <row r="5488" spans="1:15" x14ac:dyDescent="0.3">
      <c r="A5488">
        <v>186300</v>
      </c>
      <c r="B5488">
        <v>105</v>
      </c>
      <c r="C5488" t="s">
        <v>557</v>
      </c>
      <c r="D5488" t="s">
        <v>3425</v>
      </c>
      <c r="E5488" t="s">
        <v>3777</v>
      </c>
      <c r="F5488" s="451">
        <v>46010</v>
      </c>
      <c r="G5488">
        <v>18315</v>
      </c>
      <c r="H5488" t="s">
        <v>4922</v>
      </c>
      <c r="I5488" t="s">
        <v>5222</v>
      </c>
      <c r="J5488">
        <v>4</v>
      </c>
      <c r="K5488" t="s">
        <v>4805</v>
      </c>
      <c r="L5488">
        <v>496</v>
      </c>
      <c r="M5488">
        <v>124</v>
      </c>
      <c r="N5488" t="s">
        <v>5271</v>
      </c>
      <c r="O5488" t="s">
        <v>458</v>
      </c>
    </row>
    <row r="5489" spans="1:15" x14ac:dyDescent="0.3">
      <c r="A5489">
        <v>186300</v>
      </c>
      <c r="B5489">
        <v>105</v>
      </c>
      <c r="C5489" t="s">
        <v>557</v>
      </c>
      <c r="D5489" t="s">
        <v>3425</v>
      </c>
      <c r="E5489" t="s">
        <v>3777</v>
      </c>
      <c r="F5489" s="451">
        <v>46010</v>
      </c>
      <c r="G5489">
        <v>18253</v>
      </c>
      <c r="H5489" t="s">
        <v>4969</v>
      </c>
      <c r="I5489" t="s">
        <v>5222</v>
      </c>
      <c r="J5489">
        <v>4</v>
      </c>
      <c r="K5489" t="s">
        <v>4805</v>
      </c>
      <c r="L5489">
        <v>128</v>
      </c>
      <c r="M5489">
        <v>32</v>
      </c>
      <c r="N5489" t="s">
        <v>5271</v>
      </c>
      <c r="O5489" t="s">
        <v>458</v>
      </c>
    </row>
    <row r="5490" spans="1:15" x14ac:dyDescent="0.3">
      <c r="A5490">
        <v>186298</v>
      </c>
      <c r="B5490">
        <v>105</v>
      </c>
      <c r="C5490" t="s">
        <v>557</v>
      </c>
      <c r="D5490" t="s">
        <v>2590</v>
      </c>
      <c r="E5490" t="s">
        <v>3778</v>
      </c>
      <c r="F5490" s="451">
        <v>46006</v>
      </c>
      <c r="G5490">
        <v>18636</v>
      </c>
      <c r="H5490" t="s">
        <v>4964</v>
      </c>
      <c r="I5490" t="s">
        <v>5222</v>
      </c>
      <c r="J5490">
        <v>9</v>
      </c>
      <c r="K5490" t="s">
        <v>4965</v>
      </c>
      <c r="L5490">
        <v>4345.2</v>
      </c>
      <c r="M5490">
        <v>482.8</v>
      </c>
      <c r="N5490" t="s">
        <v>5222</v>
      </c>
      <c r="O5490" t="s">
        <v>458</v>
      </c>
    </row>
    <row r="5491" spans="1:15" x14ac:dyDescent="0.3">
      <c r="A5491">
        <v>186297</v>
      </c>
      <c r="B5491">
        <v>105</v>
      </c>
      <c r="C5491" t="s">
        <v>557</v>
      </c>
      <c r="D5491" t="s">
        <v>2550</v>
      </c>
      <c r="E5491" t="s">
        <v>3779</v>
      </c>
      <c r="F5491" s="451">
        <v>46007</v>
      </c>
      <c r="G5491">
        <v>24614</v>
      </c>
      <c r="H5491" t="s">
        <v>4897</v>
      </c>
      <c r="I5491" t="s">
        <v>5222</v>
      </c>
      <c r="J5491">
        <v>2</v>
      </c>
      <c r="K5491" t="s">
        <v>4805</v>
      </c>
      <c r="L5491">
        <v>158.6</v>
      </c>
      <c r="M5491">
        <v>79.3</v>
      </c>
      <c r="N5491" t="s">
        <v>5222</v>
      </c>
      <c r="O5491" t="s">
        <v>458</v>
      </c>
    </row>
    <row r="5492" spans="1:15" x14ac:dyDescent="0.3">
      <c r="A5492">
        <v>186297</v>
      </c>
      <c r="B5492">
        <v>105</v>
      </c>
      <c r="C5492" t="s">
        <v>557</v>
      </c>
      <c r="D5492" t="s">
        <v>2550</v>
      </c>
      <c r="E5492" t="s">
        <v>3779</v>
      </c>
      <c r="F5492" s="451">
        <v>46007</v>
      </c>
      <c r="G5492">
        <v>26034</v>
      </c>
      <c r="H5492" t="s">
        <v>4828</v>
      </c>
      <c r="I5492" t="s">
        <v>5222</v>
      </c>
      <c r="J5492">
        <v>3</v>
      </c>
      <c r="K5492" t="s">
        <v>4805</v>
      </c>
      <c r="L5492">
        <v>136.5</v>
      </c>
      <c r="M5492">
        <v>45.5</v>
      </c>
      <c r="N5492" t="s">
        <v>5222</v>
      </c>
      <c r="O5492" t="s">
        <v>458</v>
      </c>
    </row>
    <row r="5493" spans="1:15" x14ac:dyDescent="0.3">
      <c r="A5493">
        <v>186297</v>
      </c>
      <c r="B5493">
        <v>105</v>
      </c>
      <c r="C5493" t="s">
        <v>557</v>
      </c>
      <c r="D5493" t="s">
        <v>2550</v>
      </c>
      <c r="E5493" t="s">
        <v>3779</v>
      </c>
      <c r="F5493" s="451">
        <v>46007</v>
      </c>
      <c r="G5493">
        <v>26036</v>
      </c>
      <c r="H5493" t="s">
        <v>4841</v>
      </c>
      <c r="I5493" t="s">
        <v>5222</v>
      </c>
      <c r="J5493">
        <v>3</v>
      </c>
      <c r="K5493" t="s">
        <v>4805</v>
      </c>
      <c r="L5493">
        <v>195</v>
      </c>
      <c r="M5493">
        <v>65</v>
      </c>
      <c r="N5493" t="s">
        <v>5222</v>
      </c>
      <c r="O5493" t="s">
        <v>458</v>
      </c>
    </row>
    <row r="5494" spans="1:15" x14ac:dyDescent="0.3">
      <c r="A5494">
        <v>186297</v>
      </c>
      <c r="B5494">
        <v>105</v>
      </c>
      <c r="C5494" t="s">
        <v>557</v>
      </c>
      <c r="D5494" t="s">
        <v>2550</v>
      </c>
      <c r="E5494" t="s">
        <v>3779</v>
      </c>
      <c r="F5494" s="451">
        <v>46007</v>
      </c>
      <c r="G5494">
        <v>26236</v>
      </c>
      <c r="H5494" t="s">
        <v>5077</v>
      </c>
      <c r="I5494" t="s">
        <v>5222</v>
      </c>
      <c r="J5494">
        <v>1</v>
      </c>
      <c r="K5494" t="s">
        <v>4805</v>
      </c>
      <c r="L5494">
        <v>128.05000000000001</v>
      </c>
      <c r="M5494">
        <v>128.05000000000001</v>
      </c>
      <c r="N5494" t="s">
        <v>5222</v>
      </c>
      <c r="O5494" t="s">
        <v>458</v>
      </c>
    </row>
    <row r="5495" spans="1:15" x14ac:dyDescent="0.3">
      <c r="A5495">
        <v>186297</v>
      </c>
      <c r="B5495">
        <v>105</v>
      </c>
      <c r="C5495" t="s">
        <v>557</v>
      </c>
      <c r="D5495" t="s">
        <v>2550</v>
      </c>
      <c r="E5495" t="s">
        <v>3779</v>
      </c>
      <c r="F5495" s="451">
        <v>46007</v>
      </c>
      <c r="G5495">
        <v>26040</v>
      </c>
      <c r="H5495" t="s">
        <v>4812</v>
      </c>
      <c r="I5495" t="s">
        <v>5222</v>
      </c>
      <c r="J5495">
        <v>5</v>
      </c>
      <c r="K5495" t="s">
        <v>4805</v>
      </c>
      <c r="L5495">
        <v>227.5</v>
      </c>
      <c r="M5495">
        <v>45.5</v>
      </c>
      <c r="N5495" t="s">
        <v>5222</v>
      </c>
      <c r="O5495" t="s">
        <v>458</v>
      </c>
    </row>
    <row r="5496" spans="1:15" x14ac:dyDescent="0.3">
      <c r="A5496">
        <v>186296</v>
      </c>
      <c r="B5496">
        <v>105</v>
      </c>
      <c r="C5496" t="s">
        <v>557</v>
      </c>
      <c r="D5496" t="s">
        <v>2597</v>
      </c>
      <c r="E5496" t="s">
        <v>3780</v>
      </c>
      <c r="F5496" s="451">
        <v>46008</v>
      </c>
      <c r="G5496">
        <v>24096</v>
      </c>
      <c r="H5496" t="s">
        <v>4771</v>
      </c>
      <c r="I5496" t="s">
        <v>5191</v>
      </c>
      <c r="J5496">
        <v>48.6</v>
      </c>
      <c r="K5496" t="s">
        <v>4744</v>
      </c>
      <c r="L5496">
        <v>1939.14</v>
      </c>
      <c r="M5496">
        <v>39.9</v>
      </c>
      <c r="N5496" t="s">
        <v>5272</v>
      </c>
      <c r="O5496" t="s">
        <v>458</v>
      </c>
    </row>
    <row r="5497" spans="1:15" x14ac:dyDescent="0.3">
      <c r="A5497">
        <v>186295</v>
      </c>
      <c r="B5497">
        <v>105</v>
      </c>
      <c r="C5497" t="s">
        <v>557</v>
      </c>
      <c r="D5497" t="s">
        <v>2597</v>
      </c>
      <c r="E5497" t="s">
        <v>3781</v>
      </c>
      <c r="F5497" s="451">
        <v>46006</v>
      </c>
      <c r="G5497">
        <v>24217</v>
      </c>
      <c r="H5497" t="s">
        <v>4778</v>
      </c>
      <c r="I5497" t="s">
        <v>5191</v>
      </c>
      <c r="J5497">
        <v>13</v>
      </c>
      <c r="K5497" t="s">
        <v>4744</v>
      </c>
      <c r="L5497">
        <v>414.7</v>
      </c>
      <c r="M5497">
        <v>31.9</v>
      </c>
      <c r="N5497" t="s">
        <v>5272</v>
      </c>
      <c r="O5497" t="s">
        <v>458</v>
      </c>
    </row>
    <row r="5498" spans="1:15" x14ac:dyDescent="0.3">
      <c r="A5498">
        <v>186295</v>
      </c>
      <c r="B5498">
        <v>105</v>
      </c>
      <c r="C5498" t="s">
        <v>557</v>
      </c>
      <c r="D5498" t="s">
        <v>2597</v>
      </c>
      <c r="E5498" t="s">
        <v>3781</v>
      </c>
      <c r="F5498" s="451">
        <v>46006</v>
      </c>
      <c r="G5498">
        <v>22871</v>
      </c>
      <c r="H5498" t="s">
        <v>4898</v>
      </c>
      <c r="I5498" t="s">
        <v>5191</v>
      </c>
      <c r="J5498">
        <v>7.65</v>
      </c>
      <c r="K5498" t="s">
        <v>4744</v>
      </c>
      <c r="L5498">
        <v>240.98</v>
      </c>
      <c r="M5498">
        <v>31.500654000000001</v>
      </c>
      <c r="N5498" t="s">
        <v>5272</v>
      </c>
      <c r="O5498" t="s">
        <v>458</v>
      </c>
    </row>
    <row r="5499" spans="1:15" x14ac:dyDescent="0.3">
      <c r="A5499">
        <v>186295</v>
      </c>
      <c r="B5499">
        <v>105</v>
      </c>
      <c r="C5499" t="s">
        <v>557</v>
      </c>
      <c r="D5499" t="s">
        <v>2597</v>
      </c>
      <c r="E5499" t="s">
        <v>3781</v>
      </c>
      <c r="F5499" s="451">
        <v>46006</v>
      </c>
      <c r="G5499">
        <v>24320</v>
      </c>
      <c r="H5499" t="s">
        <v>4861</v>
      </c>
      <c r="I5499" t="s">
        <v>5191</v>
      </c>
      <c r="J5499">
        <v>5.3</v>
      </c>
      <c r="K5499" t="s">
        <v>4744</v>
      </c>
      <c r="L5499">
        <v>179.14</v>
      </c>
      <c r="M5499">
        <v>33.799999999999997</v>
      </c>
      <c r="N5499" t="s">
        <v>5272</v>
      </c>
      <c r="O5499" t="s">
        <v>458</v>
      </c>
    </row>
    <row r="5500" spans="1:15" x14ac:dyDescent="0.3">
      <c r="A5500">
        <v>186295</v>
      </c>
      <c r="B5500">
        <v>105</v>
      </c>
      <c r="C5500" t="s">
        <v>557</v>
      </c>
      <c r="D5500" t="s">
        <v>2597</v>
      </c>
      <c r="E5500" t="s">
        <v>3781</v>
      </c>
      <c r="F5500" s="451">
        <v>46006</v>
      </c>
      <c r="G5500">
        <v>24116</v>
      </c>
      <c r="H5500" t="s">
        <v>4777</v>
      </c>
      <c r="I5500" t="s">
        <v>5191</v>
      </c>
      <c r="J5500">
        <v>10</v>
      </c>
      <c r="K5500" t="s">
        <v>4744</v>
      </c>
      <c r="L5500">
        <v>419</v>
      </c>
      <c r="M5500">
        <v>41.9</v>
      </c>
      <c r="N5500" t="s">
        <v>5272</v>
      </c>
      <c r="O5500" t="s">
        <v>458</v>
      </c>
    </row>
    <row r="5501" spans="1:15" x14ac:dyDescent="0.3">
      <c r="A5501">
        <v>186295</v>
      </c>
      <c r="B5501">
        <v>105</v>
      </c>
      <c r="C5501" t="s">
        <v>557</v>
      </c>
      <c r="D5501" t="s">
        <v>2597</v>
      </c>
      <c r="E5501" t="s">
        <v>3781</v>
      </c>
      <c r="F5501" s="451">
        <v>46006</v>
      </c>
      <c r="G5501">
        <v>20501</v>
      </c>
      <c r="H5501" t="s">
        <v>4760</v>
      </c>
      <c r="I5501" t="s">
        <v>5191</v>
      </c>
      <c r="J5501">
        <v>25</v>
      </c>
      <c r="K5501" t="s">
        <v>4744</v>
      </c>
      <c r="L5501">
        <v>547.5</v>
      </c>
      <c r="M5501">
        <v>21.9</v>
      </c>
      <c r="N5501" t="s">
        <v>5272</v>
      </c>
      <c r="O5501" t="s">
        <v>458</v>
      </c>
    </row>
    <row r="5502" spans="1:15" x14ac:dyDescent="0.3">
      <c r="A5502">
        <v>186295</v>
      </c>
      <c r="B5502">
        <v>105</v>
      </c>
      <c r="C5502" t="s">
        <v>557</v>
      </c>
      <c r="D5502" t="s">
        <v>2597</v>
      </c>
      <c r="E5502" t="s">
        <v>3781</v>
      </c>
      <c r="F5502" s="451">
        <v>46006</v>
      </c>
      <c r="G5502">
        <v>24096</v>
      </c>
      <c r="H5502" t="s">
        <v>4771</v>
      </c>
      <c r="I5502" t="s">
        <v>5191</v>
      </c>
      <c r="J5502">
        <v>24.6</v>
      </c>
      <c r="K5502" t="s">
        <v>4744</v>
      </c>
      <c r="L5502">
        <v>981.54</v>
      </c>
      <c r="M5502">
        <v>39.9</v>
      </c>
      <c r="N5502" t="s">
        <v>5272</v>
      </c>
      <c r="O5502" t="s">
        <v>458</v>
      </c>
    </row>
    <row r="5503" spans="1:15" x14ac:dyDescent="0.3">
      <c r="A5503">
        <v>186295</v>
      </c>
      <c r="B5503">
        <v>105</v>
      </c>
      <c r="C5503" t="s">
        <v>557</v>
      </c>
      <c r="D5503" t="s">
        <v>2597</v>
      </c>
      <c r="E5503" t="s">
        <v>3781</v>
      </c>
      <c r="F5503" s="451">
        <v>46006</v>
      </c>
      <c r="G5503">
        <v>19041</v>
      </c>
      <c r="H5503" t="s">
        <v>4762</v>
      </c>
      <c r="I5503" t="s">
        <v>5191</v>
      </c>
      <c r="J5503">
        <v>36</v>
      </c>
      <c r="K5503" t="s">
        <v>4744</v>
      </c>
      <c r="L5503">
        <v>554.4</v>
      </c>
      <c r="M5503">
        <v>15.4</v>
      </c>
      <c r="N5503" t="s">
        <v>5272</v>
      </c>
      <c r="O5503" t="s">
        <v>458</v>
      </c>
    </row>
    <row r="5504" spans="1:15" x14ac:dyDescent="0.3">
      <c r="A5504">
        <v>186295</v>
      </c>
      <c r="B5504">
        <v>105</v>
      </c>
      <c r="C5504" t="s">
        <v>557</v>
      </c>
      <c r="D5504" t="s">
        <v>2597</v>
      </c>
      <c r="E5504" t="s">
        <v>3781</v>
      </c>
      <c r="F5504" s="451">
        <v>46006</v>
      </c>
      <c r="G5504">
        <v>24331</v>
      </c>
      <c r="H5504" t="s">
        <v>5166</v>
      </c>
      <c r="I5504" t="s">
        <v>5191</v>
      </c>
      <c r="J5504">
        <v>5</v>
      </c>
      <c r="K5504" t="s">
        <v>4744</v>
      </c>
      <c r="L5504">
        <v>109.5</v>
      </c>
      <c r="M5504">
        <v>21.9</v>
      </c>
      <c r="N5504" t="s">
        <v>5272</v>
      </c>
      <c r="O5504" t="s">
        <v>458</v>
      </c>
    </row>
    <row r="5505" spans="1:15" x14ac:dyDescent="0.3">
      <c r="A5505">
        <v>186294</v>
      </c>
      <c r="B5505">
        <v>105</v>
      </c>
      <c r="C5505" t="s">
        <v>557</v>
      </c>
      <c r="D5505" t="s">
        <v>3044</v>
      </c>
      <c r="E5505" t="s">
        <v>3782</v>
      </c>
      <c r="F5505" s="451">
        <v>46002</v>
      </c>
      <c r="G5505">
        <v>20544</v>
      </c>
      <c r="H5505" t="s">
        <v>4808</v>
      </c>
      <c r="I5505" t="s">
        <v>5191</v>
      </c>
      <c r="J5505">
        <v>3</v>
      </c>
      <c r="K5505" t="s">
        <v>4749</v>
      </c>
      <c r="L5505">
        <v>643.74</v>
      </c>
      <c r="M5505">
        <v>214.58</v>
      </c>
      <c r="N5505" t="s">
        <v>5272</v>
      </c>
      <c r="O5505" t="s">
        <v>458</v>
      </c>
    </row>
    <row r="5506" spans="1:15" x14ac:dyDescent="0.3">
      <c r="A5506">
        <v>186293</v>
      </c>
      <c r="B5506">
        <v>105</v>
      </c>
      <c r="C5506" t="s">
        <v>557</v>
      </c>
      <c r="D5506" t="s">
        <v>2554</v>
      </c>
      <c r="E5506" t="s">
        <v>3783</v>
      </c>
      <c r="F5506" s="451">
        <v>46008</v>
      </c>
      <c r="G5506">
        <v>17190</v>
      </c>
      <c r="H5506" t="s">
        <v>5193</v>
      </c>
      <c r="I5506" t="s">
        <v>5188</v>
      </c>
      <c r="J5506">
        <v>3</v>
      </c>
      <c r="K5506" t="s">
        <v>4738</v>
      </c>
      <c r="L5506">
        <v>31.5</v>
      </c>
      <c r="M5506">
        <v>10.5</v>
      </c>
      <c r="N5506" t="s">
        <v>5277</v>
      </c>
      <c r="O5506" t="s">
        <v>458</v>
      </c>
    </row>
    <row r="5507" spans="1:15" x14ac:dyDescent="0.3">
      <c r="A5507">
        <v>186293</v>
      </c>
      <c r="B5507">
        <v>105</v>
      </c>
      <c r="C5507" t="s">
        <v>557</v>
      </c>
      <c r="D5507" t="s">
        <v>2554</v>
      </c>
      <c r="E5507" t="s">
        <v>3783</v>
      </c>
      <c r="F5507" s="451">
        <v>46008</v>
      </c>
      <c r="G5507">
        <v>17046</v>
      </c>
      <c r="H5507" t="s">
        <v>5194</v>
      </c>
      <c r="I5507" t="s">
        <v>5188</v>
      </c>
      <c r="J5507">
        <v>2</v>
      </c>
      <c r="K5507" t="s">
        <v>4736</v>
      </c>
      <c r="L5507">
        <v>77.8</v>
      </c>
      <c r="M5507">
        <v>38.9</v>
      </c>
      <c r="N5507" t="s">
        <v>5277</v>
      </c>
      <c r="O5507" t="s">
        <v>458</v>
      </c>
    </row>
    <row r="5508" spans="1:15" x14ac:dyDescent="0.3">
      <c r="A5508">
        <v>186293</v>
      </c>
      <c r="B5508">
        <v>105</v>
      </c>
      <c r="C5508" t="s">
        <v>557</v>
      </c>
      <c r="D5508" t="s">
        <v>2554</v>
      </c>
      <c r="E5508" t="s">
        <v>3783</v>
      </c>
      <c r="F5508" s="451">
        <v>46008</v>
      </c>
      <c r="G5508">
        <v>17314</v>
      </c>
      <c r="H5508" t="s">
        <v>5208</v>
      </c>
      <c r="I5508" t="s">
        <v>5188</v>
      </c>
      <c r="J5508">
        <v>3</v>
      </c>
      <c r="K5508" t="s">
        <v>4848</v>
      </c>
      <c r="L5508">
        <v>18.3</v>
      </c>
      <c r="M5508">
        <v>6.1</v>
      </c>
      <c r="N5508" t="s">
        <v>5277</v>
      </c>
      <c r="O5508" t="s">
        <v>458</v>
      </c>
    </row>
    <row r="5509" spans="1:15" x14ac:dyDescent="0.3">
      <c r="A5509">
        <v>186293</v>
      </c>
      <c r="B5509">
        <v>105</v>
      </c>
      <c r="C5509" t="s">
        <v>557</v>
      </c>
      <c r="D5509" t="s">
        <v>2554</v>
      </c>
      <c r="E5509" t="s">
        <v>3783</v>
      </c>
      <c r="F5509" s="451">
        <v>46008</v>
      </c>
      <c r="G5509">
        <v>17404</v>
      </c>
      <c r="H5509" t="s">
        <v>5295</v>
      </c>
      <c r="I5509" t="s">
        <v>5188</v>
      </c>
      <c r="J5509">
        <v>2</v>
      </c>
      <c r="K5509" t="s">
        <v>4736</v>
      </c>
      <c r="L5509">
        <v>39.799999999999997</v>
      </c>
      <c r="M5509">
        <v>19.899999999999999</v>
      </c>
      <c r="N5509" t="s">
        <v>5277</v>
      </c>
      <c r="O5509" t="s">
        <v>458</v>
      </c>
    </row>
    <row r="5510" spans="1:15" x14ac:dyDescent="0.3">
      <c r="A5510">
        <v>186293</v>
      </c>
      <c r="B5510">
        <v>105</v>
      </c>
      <c r="C5510" t="s">
        <v>557</v>
      </c>
      <c r="D5510" t="s">
        <v>2554</v>
      </c>
      <c r="E5510" t="s">
        <v>3783</v>
      </c>
      <c r="F5510" s="451">
        <v>46008</v>
      </c>
      <c r="G5510">
        <v>21587</v>
      </c>
      <c r="H5510" t="s">
        <v>5349</v>
      </c>
      <c r="I5510" t="s">
        <v>5188</v>
      </c>
      <c r="J5510">
        <v>2</v>
      </c>
      <c r="K5510" t="s">
        <v>4736</v>
      </c>
      <c r="L5510">
        <v>19.8</v>
      </c>
      <c r="M5510">
        <v>9.9</v>
      </c>
      <c r="N5510" t="s">
        <v>5277</v>
      </c>
      <c r="O5510" t="s">
        <v>458</v>
      </c>
    </row>
    <row r="5511" spans="1:15" x14ac:dyDescent="0.3">
      <c r="A5511">
        <v>186293</v>
      </c>
      <c r="B5511">
        <v>105</v>
      </c>
      <c r="C5511" t="s">
        <v>557</v>
      </c>
      <c r="D5511" t="s">
        <v>2554</v>
      </c>
      <c r="E5511" t="s">
        <v>3783</v>
      </c>
      <c r="F5511" s="451">
        <v>46008</v>
      </c>
      <c r="G5511">
        <v>17196</v>
      </c>
      <c r="H5511" t="s">
        <v>5258</v>
      </c>
      <c r="I5511" t="s">
        <v>5188</v>
      </c>
      <c r="J5511">
        <v>1</v>
      </c>
      <c r="K5511" t="s">
        <v>4738</v>
      </c>
      <c r="L5511">
        <v>8.9</v>
      </c>
      <c r="M5511">
        <v>8.9</v>
      </c>
      <c r="N5511" t="s">
        <v>5277</v>
      </c>
      <c r="O5511" t="s">
        <v>458</v>
      </c>
    </row>
    <row r="5512" spans="1:15" x14ac:dyDescent="0.3">
      <c r="A5512">
        <v>186293</v>
      </c>
      <c r="B5512">
        <v>105</v>
      </c>
      <c r="C5512" t="s">
        <v>557</v>
      </c>
      <c r="D5512" t="s">
        <v>2554</v>
      </c>
      <c r="E5512" t="s">
        <v>3783</v>
      </c>
      <c r="F5512" s="451">
        <v>46008</v>
      </c>
      <c r="G5512">
        <v>17266</v>
      </c>
      <c r="H5512" t="s">
        <v>5192</v>
      </c>
      <c r="I5512" t="s">
        <v>5188</v>
      </c>
      <c r="J5512">
        <v>10</v>
      </c>
      <c r="K5512" t="s">
        <v>4736</v>
      </c>
      <c r="L5512">
        <v>50.8</v>
      </c>
      <c r="M5512">
        <v>5.08</v>
      </c>
      <c r="N5512" t="s">
        <v>5277</v>
      </c>
      <c r="O5512" t="s">
        <v>458</v>
      </c>
    </row>
    <row r="5513" spans="1:15" x14ac:dyDescent="0.3">
      <c r="A5513">
        <v>186293</v>
      </c>
      <c r="B5513">
        <v>105</v>
      </c>
      <c r="C5513" t="s">
        <v>557</v>
      </c>
      <c r="D5513" t="s">
        <v>2554</v>
      </c>
      <c r="E5513" t="s">
        <v>3783</v>
      </c>
      <c r="F5513" s="451">
        <v>46008</v>
      </c>
      <c r="G5513">
        <v>17215</v>
      </c>
      <c r="H5513" t="s">
        <v>5299</v>
      </c>
      <c r="I5513" t="s">
        <v>5188</v>
      </c>
      <c r="J5513">
        <v>6</v>
      </c>
      <c r="K5513" t="s">
        <v>4848</v>
      </c>
      <c r="L5513">
        <v>120</v>
      </c>
      <c r="M5513">
        <v>20</v>
      </c>
      <c r="N5513" t="s">
        <v>5277</v>
      </c>
      <c r="O5513" t="s">
        <v>458</v>
      </c>
    </row>
    <row r="5514" spans="1:15" x14ac:dyDescent="0.3">
      <c r="A5514">
        <v>186293</v>
      </c>
      <c r="B5514">
        <v>105</v>
      </c>
      <c r="C5514" t="s">
        <v>557</v>
      </c>
      <c r="D5514" t="s">
        <v>2554</v>
      </c>
      <c r="E5514" t="s">
        <v>3783</v>
      </c>
      <c r="F5514" s="451">
        <v>46008</v>
      </c>
      <c r="G5514">
        <v>21783</v>
      </c>
      <c r="H5514" t="s">
        <v>5210</v>
      </c>
      <c r="I5514" t="s">
        <v>5205</v>
      </c>
      <c r="J5514">
        <v>2</v>
      </c>
      <c r="K5514" t="s">
        <v>4736</v>
      </c>
      <c r="L5514">
        <v>25</v>
      </c>
      <c r="M5514">
        <v>12.5</v>
      </c>
      <c r="N5514" t="s">
        <v>5277</v>
      </c>
      <c r="O5514" t="s">
        <v>458</v>
      </c>
    </row>
    <row r="5515" spans="1:15" x14ac:dyDescent="0.3">
      <c r="A5515">
        <v>186293</v>
      </c>
      <c r="B5515">
        <v>105</v>
      </c>
      <c r="C5515" t="s">
        <v>557</v>
      </c>
      <c r="D5515" t="s">
        <v>2554</v>
      </c>
      <c r="E5515" t="s">
        <v>3783</v>
      </c>
      <c r="F5515" s="451">
        <v>46008</v>
      </c>
      <c r="G5515">
        <v>17533</v>
      </c>
      <c r="H5515" t="s">
        <v>5373</v>
      </c>
      <c r="I5515" t="s">
        <v>5188</v>
      </c>
      <c r="J5515">
        <v>2</v>
      </c>
      <c r="K5515" t="s">
        <v>4738</v>
      </c>
      <c r="L5515">
        <v>22</v>
      </c>
      <c r="M5515">
        <v>11</v>
      </c>
      <c r="N5515" t="s">
        <v>5277</v>
      </c>
      <c r="O5515" t="s">
        <v>458</v>
      </c>
    </row>
    <row r="5516" spans="1:15" x14ac:dyDescent="0.3">
      <c r="A5516">
        <v>186293</v>
      </c>
      <c r="B5516">
        <v>105</v>
      </c>
      <c r="C5516" t="s">
        <v>557</v>
      </c>
      <c r="D5516" t="s">
        <v>2554</v>
      </c>
      <c r="E5516" t="s">
        <v>3783</v>
      </c>
      <c r="F5516" s="451">
        <v>46008</v>
      </c>
      <c r="G5516">
        <v>24787</v>
      </c>
      <c r="H5516" t="s">
        <v>5212</v>
      </c>
      <c r="I5516" t="s">
        <v>5188</v>
      </c>
      <c r="J5516">
        <v>3</v>
      </c>
      <c r="K5516" t="s">
        <v>4738</v>
      </c>
      <c r="L5516">
        <v>267</v>
      </c>
      <c r="M5516">
        <v>89</v>
      </c>
      <c r="N5516" t="s">
        <v>5277</v>
      </c>
      <c r="O5516" t="s">
        <v>458</v>
      </c>
    </row>
    <row r="5517" spans="1:15" x14ac:dyDescent="0.3">
      <c r="A5517">
        <v>186293</v>
      </c>
      <c r="B5517">
        <v>105</v>
      </c>
      <c r="C5517" t="s">
        <v>557</v>
      </c>
      <c r="D5517" t="s">
        <v>2554</v>
      </c>
      <c r="E5517" t="s">
        <v>3783</v>
      </c>
      <c r="F5517" s="451">
        <v>46008</v>
      </c>
      <c r="G5517">
        <v>17473</v>
      </c>
      <c r="H5517" t="s">
        <v>5256</v>
      </c>
      <c r="I5517" t="s">
        <v>5215</v>
      </c>
      <c r="J5517">
        <v>1</v>
      </c>
      <c r="K5517" t="s">
        <v>4749</v>
      </c>
      <c r="L5517">
        <v>88</v>
      </c>
      <c r="M5517">
        <v>88</v>
      </c>
      <c r="N5517" t="s">
        <v>5277</v>
      </c>
      <c r="O5517" t="s">
        <v>458</v>
      </c>
    </row>
    <row r="5518" spans="1:15" x14ac:dyDescent="0.3">
      <c r="A5518">
        <v>186293</v>
      </c>
      <c r="B5518">
        <v>105</v>
      </c>
      <c r="C5518" t="s">
        <v>557</v>
      </c>
      <c r="D5518" t="s">
        <v>2554</v>
      </c>
      <c r="E5518" t="s">
        <v>3783</v>
      </c>
      <c r="F5518" s="451">
        <v>46008</v>
      </c>
      <c r="G5518">
        <v>24505</v>
      </c>
      <c r="H5518" t="s">
        <v>5198</v>
      </c>
      <c r="I5518" t="s">
        <v>5188</v>
      </c>
      <c r="J5518">
        <v>8</v>
      </c>
      <c r="K5518" t="s">
        <v>4738</v>
      </c>
      <c r="L5518">
        <v>47.12</v>
      </c>
      <c r="M5518">
        <v>5.89</v>
      </c>
      <c r="N5518" t="s">
        <v>5277</v>
      </c>
      <c r="O5518" t="s">
        <v>458</v>
      </c>
    </row>
    <row r="5519" spans="1:15" x14ac:dyDescent="0.3">
      <c r="A5519">
        <v>186293</v>
      </c>
      <c r="B5519">
        <v>105</v>
      </c>
      <c r="C5519" t="s">
        <v>557</v>
      </c>
      <c r="D5519" t="s">
        <v>2554</v>
      </c>
      <c r="E5519" t="s">
        <v>3783</v>
      </c>
      <c r="F5519" s="451">
        <v>46008</v>
      </c>
      <c r="G5519">
        <v>27798</v>
      </c>
      <c r="H5519" t="s">
        <v>5257</v>
      </c>
      <c r="I5519" t="s">
        <v>5215</v>
      </c>
      <c r="J5519">
        <v>1</v>
      </c>
      <c r="K5519" t="s">
        <v>5245</v>
      </c>
      <c r="L5519">
        <v>175</v>
      </c>
      <c r="M5519">
        <v>175</v>
      </c>
      <c r="N5519" t="s">
        <v>5277</v>
      </c>
      <c r="O5519" t="s">
        <v>458</v>
      </c>
    </row>
    <row r="5520" spans="1:15" x14ac:dyDescent="0.3">
      <c r="A5520">
        <v>186293</v>
      </c>
      <c r="B5520">
        <v>105</v>
      </c>
      <c r="C5520" t="s">
        <v>557</v>
      </c>
      <c r="D5520" t="s">
        <v>2554</v>
      </c>
      <c r="E5520" t="s">
        <v>3783</v>
      </c>
      <c r="F5520" s="451">
        <v>46008</v>
      </c>
      <c r="G5520">
        <v>24596</v>
      </c>
      <c r="H5520" t="s">
        <v>5197</v>
      </c>
      <c r="I5520" t="s">
        <v>5188</v>
      </c>
      <c r="J5520">
        <v>2</v>
      </c>
      <c r="K5520" t="s">
        <v>4736</v>
      </c>
      <c r="L5520">
        <v>33</v>
      </c>
      <c r="M5520">
        <v>16.5</v>
      </c>
      <c r="N5520" t="s">
        <v>5277</v>
      </c>
      <c r="O5520" t="s">
        <v>458</v>
      </c>
    </row>
    <row r="5521" spans="1:15" x14ac:dyDescent="0.3">
      <c r="A5521">
        <v>186293</v>
      </c>
      <c r="B5521">
        <v>105</v>
      </c>
      <c r="C5521" t="s">
        <v>557</v>
      </c>
      <c r="D5521" t="s">
        <v>2554</v>
      </c>
      <c r="E5521" t="s">
        <v>3783</v>
      </c>
      <c r="F5521" s="451">
        <v>46008</v>
      </c>
      <c r="G5521">
        <v>17504</v>
      </c>
      <c r="H5521" t="s">
        <v>5260</v>
      </c>
      <c r="I5521" t="s">
        <v>5205</v>
      </c>
      <c r="J5521">
        <v>3</v>
      </c>
      <c r="K5521" t="s">
        <v>4736</v>
      </c>
      <c r="L5521">
        <v>68.7</v>
      </c>
      <c r="M5521">
        <v>22.9</v>
      </c>
      <c r="N5521" t="s">
        <v>5277</v>
      </c>
      <c r="O5521" t="s">
        <v>458</v>
      </c>
    </row>
    <row r="5522" spans="1:15" x14ac:dyDescent="0.3">
      <c r="A5522">
        <v>186293</v>
      </c>
      <c r="B5522">
        <v>105</v>
      </c>
      <c r="C5522" t="s">
        <v>557</v>
      </c>
      <c r="D5522" t="s">
        <v>2554</v>
      </c>
      <c r="E5522" t="s">
        <v>3783</v>
      </c>
      <c r="F5522" s="451">
        <v>46008</v>
      </c>
      <c r="G5522">
        <v>24843</v>
      </c>
      <c r="H5522" t="s">
        <v>5422</v>
      </c>
      <c r="I5522" t="s">
        <v>5188</v>
      </c>
      <c r="J5522">
        <v>3</v>
      </c>
      <c r="K5522" t="s">
        <v>4749</v>
      </c>
      <c r="L5522">
        <v>186</v>
      </c>
      <c r="M5522">
        <v>62</v>
      </c>
      <c r="N5522" t="s">
        <v>5277</v>
      </c>
      <c r="O5522" t="s">
        <v>458</v>
      </c>
    </row>
    <row r="5523" spans="1:15" x14ac:dyDescent="0.3">
      <c r="A5523">
        <v>186293</v>
      </c>
      <c r="B5523">
        <v>105</v>
      </c>
      <c r="C5523" t="s">
        <v>557</v>
      </c>
      <c r="D5523" t="s">
        <v>2554</v>
      </c>
      <c r="E5523" t="s">
        <v>3783</v>
      </c>
      <c r="F5523" s="451">
        <v>46008</v>
      </c>
      <c r="G5523">
        <v>24594</v>
      </c>
      <c r="H5523" t="s">
        <v>5382</v>
      </c>
      <c r="I5523" t="s">
        <v>5205</v>
      </c>
      <c r="J5523">
        <v>2</v>
      </c>
      <c r="L5523">
        <v>57.8</v>
      </c>
      <c r="M5523">
        <v>28.9</v>
      </c>
      <c r="N5523" t="s">
        <v>5277</v>
      </c>
      <c r="O5523" t="s">
        <v>458</v>
      </c>
    </row>
    <row r="5524" spans="1:15" x14ac:dyDescent="0.3">
      <c r="A5524">
        <v>186292</v>
      </c>
      <c r="B5524">
        <v>105</v>
      </c>
      <c r="C5524" t="s">
        <v>557</v>
      </c>
      <c r="D5524" t="s">
        <v>2593</v>
      </c>
      <c r="E5524" t="s">
        <v>3784</v>
      </c>
      <c r="F5524" s="451">
        <v>46003</v>
      </c>
      <c r="G5524">
        <v>18735</v>
      </c>
      <c r="H5524" t="s">
        <v>4891</v>
      </c>
      <c r="I5524" t="s">
        <v>5191</v>
      </c>
      <c r="J5524">
        <v>10</v>
      </c>
      <c r="K5524" t="s">
        <v>4744</v>
      </c>
      <c r="L5524">
        <v>670</v>
      </c>
      <c r="M5524">
        <v>67</v>
      </c>
      <c r="N5524" t="s">
        <v>5272</v>
      </c>
      <c r="O5524" t="s">
        <v>458</v>
      </c>
    </row>
    <row r="5525" spans="1:15" x14ac:dyDescent="0.3">
      <c r="A5525">
        <v>186292</v>
      </c>
      <c r="B5525">
        <v>105</v>
      </c>
      <c r="C5525" t="s">
        <v>557</v>
      </c>
      <c r="D5525" t="s">
        <v>2593</v>
      </c>
      <c r="E5525" t="s">
        <v>3784</v>
      </c>
      <c r="F5525" s="451">
        <v>46003</v>
      </c>
      <c r="G5525">
        <v>24256</v>
      </c>
      <c r="H5525" t="s">
        <v>4773</v>
      </c>
      <c r="I5525" t="s">
        <v>5191</v>
      </c>
      <c r="J5525">
        <v>15</v>
      </c>
      <c r="K5525" t="s">
        <v>4744</v>
      </c>
      <c r="L5525">
        <v>570</v>
      </c>
      <c r="M5525">
        <v>38</v>
      </c>
      <c r="N5525" t="s">
        <v>5272</v>
      </c>
      <c r="O5525" t="s">
        <v>458</v>
      </c>
    </row>
    <row r="5526" spans="1:15" x14ac:dyDescent="0.3">
      <c r="A5526">
        <v>186291</v>
      </c>
      <c r="B5526">
        <v>105</v>
      </c>
      <c r="C5526" t="s">
        <v>557</v>
      </c>
      <c r="D5526" t="s">
        <v>3723</v>
      </c>
      <c r="E5526" t="s">
        <v>3785</v>
      </c>
      <c r="F5526" s="451">
        <v>46010</v>
      </c>
      <c r="G5526">
        <v>26631</v>
      </c>
      <c r="H5526" t="s">
        <v>5423</v>
      </c>
      <c r="I5526" t="s">
        <v>5191</v>
      </c>
      <c r="J5526">
        <v>0.2</v>
      </c>
      <c r="K5526" t="s">
        <v>4744</v>
      </c>
      <c r="L5526">
        <v>9.6</v>
      </c>
      <c r="M5526">
        <v>48</v>
      </c>
      <c r="N5526" t="s">
        <v>5191</v>
      </c>
      <c r="O5526" t="s">
        <v>458</v>
      </c>
    </row>
    <row r="5527" spans="1:15" x14ac:dyDescent="0.3">
      <c r="A5527">
        <v>186291</v>
      </c>
      <c r="B5527">
        <v>105</v>
      </c>
      <c r="C5527" t="s">
        <v>557</v>
      </c>
      <c r="D5527" t="s">
        <v>3723</v>
      </c>
      <c r="E5527" t="s">
        <v>3785</v>
      </c>
      <c r="F5527" s="451">
        <v>46010</v>
      </c>
      <c r="G5527">
        <v>19532</v>
      </c>
      <c r="H5527" t="s">
        <v>4753</v>
      </c>
      <c r="I5527" t="s">
        <v>5191</v>
      </c>
      <c r="J5527">
        <v>10</v>
      </c>
      <c r="K5527" t="s">
        <v>4744</v>
      </c>
      <c r="L5527">
        <v>50.4</v>
      </c>
      <c r="M5527">
        <v>5.04</v>
      </c>
      <c r="N5527" t="s">
        <v>5191</v>
      </c>
      <c r="O5527" t="s">
        <v>458</v>
      </c>
    </row>
    <row r="5528" spans="1:15" x14ac:dyDescent="0.3">
      <c r="A5528">
        <v>186290</v>
      </c>
      <c r="B5528">
        <v>105</v>
      </c>
      <c r="C5528" t="s">
        <v>557</v>
      </c>
      <c r="D5528" t="s">
        <v>3723</v>
      </c>
      <c r="E5528" t="s">
        <v>3786</v>
      </c>
      <c r="F5528" s="451">
        <v>46003</v>
      </c>
      <c r="G5528">
        <v>19734</v>
      </c>
      <c r="H5528" t="s">
        <v>4833</v>
      </c>
      <c r="I5528" t="s">
        <v>5191</v>
      </c>
      <c r="J5528">
        <v>4</v>
      </c>
      <c r="K5528" t="s">
        <v>4744</v>
      </c>
      <c r="L5528">
        <v>55</v>
      </c>
      <c r="M5528">
        <v>13.75</v>
      </c>
      <c r="N5528" t="s">
        <v>5272</v>
      </c>
      <c r="O5528" t="s">
        <v>458</v>
      </c>
    </row>
    <row r="5529" spans="1:15" x14ac:dyDescent="0.3">
      <c r="A5529">
        <v>186290</v>
      </c>
      <c r="B5529">
        <v>105</v>
      </c>
      <c r="C5529" t="s">
        <v>557</v>
      </c>
      <c r="D5529" t="s">
        <v>3723</v>
      </c>
      <c r="E5529" t="s">
        <v>3786</v>
      </c>
      <c r="F5529" s="451">
        <v>46003</v>
      </c>
      <c r="G5529">
        <v>23184</v>
      </c>
      <c r="H5529" t="s">
        <v>4935</v>
      </c>
      <c r="I5529" t="s">
        <v>5191</v>
      </c>
      <c r="J5529">
        <v>2.5</v>
      </c>
      <c r="K5529" t="s">
        <v>4744</v>
      </c>
      <c r="L5529">
        <v>18.75</v>
      </c>
      <c r="M5529">
        <v>7.5</v>
      </c>
      <c r="N5529" t="s">
        <v>5272</v>
      </c>
      <c r="O5529" t="s">
        <v>458</v>
      </c>
    </row>
    <row r="5530" spans="1:15" x14ac:dyDescent="0.3">
      <c r="A5530">
        <v>186289</v>
      </c>
      <c r="B5530">
        <v>105</v>
      </c>
      <c r="C5530" t="s">
        <v>557</v>
      </c>
      <c r="D5530" t="s">
        <v>3723</v>
      </c>
      <c r="E5530" t="s">
        <v>3787</v>
      </c>
      <c r="F5530" s="451">
        <v>46003</v>
      </c>
      <c r="G5530">
        <v>19787</v>
      </c>
      <c r="H5530" t="s">
        <v>4793</v>
      </c>
      <c r="I5530" t="s">
        <v>5191</v>
      </c>
      <c r="J5530">
        <v>14</v>
      </c>
      <c r="K5530" t="s">
        <v>4744</v>
      </c>
      <c r="L5530">
        <v>70</v>
      </c>
      <c r="M5530">
        <v>5</v>
      </c>
      <c r="N5530" t="s">
        <v>5272</v>
      </c>
      <c r="O5530" t="s">
        <v>458</v>
      </c>
    </row>
    <row r="5531" spans="1:15" x14ac:dyDescent="0.3">
      <c r="A5531">
        <v>186289</v>
      </c>
      <c r="B5531">
        <v>105</v>
      </c>
      <c r="C5531" t="s">
        <v>557</v>
      </c>
      <c r="D5531" t="s">
        <v>3723</v>
      </c>
      <c r="E5531" t="s">
        <v>3787</v>
      </c>
      <c r="F5531" s="451">
        <v>46003</v>
      </c>
      <c r="G5531">
        <v>19765</v>
      </c>
      <c r="H5531" t="s">
        <v>4889</v>
      </c>
      <c r="I5531" t="s">
        <v>5191</v>
      </c>
      <c r="J5531">
        <v>3</v>
      </c>
      <c r="K5531" t="s">
        <v>4744</v>
      </c>
      <c r="L5531">
        <v>105</v>
      </c>
      <c r="M5531">
        <v>35</v>
      </c>
      <c r="N5531" t="s">
        <v>5272</v>
      </c>
      <c r="O5531" t="s">
        <v>458</v>
      </c>
    </row>
    <row r="5532" spans="1:15" x14ac:dyDescent="0.3">
      <c r="A5532">
        <v>186289</v>
      </c>
      <c r="B5532">
        <v>105</v>
      </c>
      <c r="C5532" t="s">
        <v>557</v>
      </c>
      <c r="D5532" t="s">
        <v>3723</v>
      </c>
      <c r="E5532" t="s">
        <v>3787</v>
      </c>
      <c r="F5532" s="451">
        <v>46003</v>
      </c>
      <c r="G5532">
        <v>23335</v>
      </c>
      <c r="H5532" t="s">
        <v>4961</v>
      </c>
      <c r="I5532" t="s">
        <v>5191</v>
      </c>
      <c r="J5532">
        <v>2.5</v>
      </c>
      <c r="K5532" t="s">
        <v>4744</v>
      </c>
      <c r="L5532">
        <v>43.75</v>
      </c>
      <c r="M5532">
        <v>17.5</v>
      </c>
      <c r="N5532" t="s">
        <v>5272</v>
      </c>
      <c r="O5532" t="s">
        <v>458</v>
      </c>
    </row>
    <row r="5533" spans="1:15" x14ac:dyDescent="0.3">
      <c r="A5533">
        <v>186288</v>
      </c>
      <c r="B5533">
        <v>105</v>
      </c>
      <c r="C5533" t="s">
        <v>557</v>
      </c>
      <c r="D5533" t="s">
        <v>3723</v>
      </c>
      <c r="E5533" t="s">
        <v>3788</v>
      </c>
      <c r="F5533" s="451">
        <v>46008</v>
      </c>
      <c r="G5533">
        <v>19623</v>
      </c>
      <c r="H5533" t="s">
        <v>4764</v>
      </c>
      <c r="I5533" t="s">
        <v>5191</v>
      </c>
      <c r="J5533">
        <v>8</v>
      </c>
      <c r="K5533" t="s">
        <v>4744</v>
      </c>
      <c r="L5533">
        <v>45.04</v>
      </c>
      <c r="M5533">
        <v>5.63</v>
      </c>
      <c r="N5533" t="s">
        <v>5191</v>
      </c>
      <c r="O5533" t="s">
        <v>458</v>
      </c>
    </row>
    <row r="5534" spans="1:15" x14ac:dyDescent="0.3">
      <c r="A5534">
        <v>186288</v>
      </c>
      <c r="B5534">
        <v>105</v>
      </c>
      <c r="C5534" t="s">
        <v>557</v>
      </c>
      <c r="D5534" t="s">
        <v>3723</v>
      </c>
      <c r="E5534" t="s">
        <v>3788</v>
      </c>
      <c r="F5534" s="451">
        <v>46008</v>
      </c>
      <c r="G5534">
        <v>24509</v>
      </c>
      <c r="H5534" t="s">
        <v>4788</v>
      </c>
      <c r="I5534" t="s">
        <v>5191</v>
      </c>
      <c r="J5534">
        <v>5</v>
      </c>
      <c r="K5534" t="s">
        <v>4744</v>
      </c>
      <c r="L5534">
        <v>9.4</v>
      </c>
      <c r="M5534">
        <v>1.88</v>
      </c>
      <c r="N5534" t="s">
        <v>5191</v>
      </c>
      <c r="O5534" t="s">
        <v>458</v>
      </c>
    </row>
    <row r="5535" spans="1:15" x14ac:dyDescent="0.3">
      <c r="A5535">
        <v>186288</v>
      </c>
      <c r="B5535">
        <v>105</v>
      </c>
      <c r="C5535" t="s">
        <v>557</v>
      </c>
      <c r="D5535" t="s">
        <v>3723</v>
      </c>
      <c r="E5535" t="s">
        <v>3788</v>
      </c>
      <c r="F5535" s="451">
        <v>46008</v>
      </c>
      <c r="G5535">
        <v>19740</v>
      </c>
      <c r="H5535" t="s">
        <v>4779</v>
      </c>
      <c r="I5535" t="s">
        <v>5191</v>
      </c>
      <c r="J5535">
        <v>15</v>
      </c>
      <c r="K5535" t="s">
        <v>4744</v>
      </c>
      <c r="L5535">
        <v>225</v>
      </c>
      <c r="M5535">
        <v>15</v>
      </c>
      <c r="N5535" t="s">
        <v>5191</v>
      </c>
      <c r="O5535" t="s">
        <v>458</v>
      </c>
    </row>
    <row r="5536" spans="1:15" x14ac:dyDescent="0.3">
      <c r="A5536">
        <v>186288</v>
      </c>
      <c r="B5536">
        <v>105</v>
      </c>
      <c r="C5536" t="s">
        <v>557</v>
      </c>
      <c r="D5536" t="s">
        <v>3723</v>
      </c>
      <c r="E5536" t="s">
        <v>3788</v>
      </c>
      <c r="F5536" s="451">
        <v>46008</v>
      </c>
      <c r="G5536">
        <v>19790</v>
      </c>
      <c r="H5536" t="s">
        <v>5073</v>
      </c>
      <c r="I5536" t="s">
        <v>5191</v>
      </c>
      <c r="J5536">
        <v>3</v>
      </c>
      <c r="K5536" t="s">
        <v>4744</v>
      </c>
      <c r="L5536">
        <v>106.89</v>
      </c>
      <c r="M5536">
        <v>35.630000000000003</v>
      </c>
      <c r="N5536" t="s">
        <v>5191</v>
      </c>
      <c r="O5536" t="s">
        <v>458</v>
      </c>
    </row>
    <row r="5537" spans="1:15" x14ac:dyDescent="0.3">
      <c r="A5537">
        <v>186288</v>
      </c>
      <c r="B5537">
        <v>105</v>
      </c>
      <c r="C5537" t="s">
        <v>557</v>
      </c>
      <c r="D5537" t="s">
        <v>3723</v>
      </c>
      <c r="E5537" t="s">
        <v>3788</v>
      </c>
      <c r="F5537" s="451">
        <v>46008</v>
      </c>
      <c r="G5537">
        <v>23238</v>
      </c>
      <c r="H5537" t="s">
        <v>4934</v>
      </c>
      <c r="I5537" t="s">
        <v>5191</v>
      </c>
      <c r="J5537">
        <v>2</v>
      </c>
      <c r="K5537" t="s">
        <v>4744</v>
      </c>
      <c r="L5537">
        <v>25</v>
      </c>
      <c r="M5537">
        <v>12.5</v>
      </c>
      <c r="N5537" t="s">
        <v>5191</v>
      </c>
      <c r="O5537" t="s">
        <v>458</v>
      </c>
    </row>
    <row r="5538" spans="1:15" x14ac:dyDescent="0.3">
      <c r="A5538">
        <v>186288</v>
      </c>
      <c r="B5538">
        <v>105</v>
      </c>
      <c r="C5538" t="s">
        <v>557</v>
      </c>
      <c r="D5538" t="s">
        <v>3723</v>
      </c>
      <c r="E5538" t="s">
        <v>3788</v>
      </c>
      <c r="F5538" s="451">
        <v>46008</v>
      </c>
      <c r="G5538">
        <v>23234</v>
      </c>
      <c r="H5538" t="s">
        <v>4986</v>
      </c>
      <c r="I5538" t="s">
        <v>5191</v>
      </c>
      <c r="J5538">
        <v>1</v>
      </c>
      <c r="K5538" t="s">
        <v>4744</v>
      </c>
      <c r="L5538">
        <v>23</v>
      </c>
      <c r="M5538">
        <v>23</v>
      </c>
      <c r="N5538" t="s">
        <v>5191</v>
      </c>
      <c r="O5538" t="s">
        <v>458</v>
      </c>
    </row>
    <row r="5539" spans="1:15" x14ac:dyDescent="0.3">
      <c r="A5539">
        <v>186288</v>
      </c>
      <c r="B5539">
        <v>105</v>
      </c>
      <c r="C5539" t="s">
        <v>557</v>
      </c>
      <c r="D5539" t="s">
        <v>3723</v>
      </c>
      <c r="E5539" t="s">
        <v>3788</v>
      </c>
      <c r="F5539" s="451">
        <v>46008</v>
      </c>
      <c r="G5539">
        <v>23385</v>
      </c>
      <c r="H5539" t="s">
        <v>4938</v>
      </c>
      <c r="I5539" t="s">
        <v>5191</v>
      </c>
      <c r="J5539">
        <v>1.8</v>
      </c>
      <c r="K5539" t="s">
        <v>4744</v>
      </c>
      <c r="L5539">
        <v>51.75</v>
      </c>
      <c r="M5539">
        <v>28.75</v>
      </c>
      <c r="N5539" t="s">
        <v>5191</v>
      </c>
      <c r="O5539" t="s">
        <v>458</v>
      </c>
    </row>
    <row r="5540" spans="1:15" x14ac:dyDescent="0.3">
      <c r="A5540">
        <v>186288</v>
      </c>
      <c r="B5540">
        <v>105</v>
      </c>
      <c r="C5540" t="s">
        <v>557</v>
      </c>
      <c r="D5540" t="s">
        <v>3723</v>
      </c>
      <c r="E5540" t="s">
        <v>3788</v>
      </c>
      <c r="F5540" s="451">
        <v>46008</v>
      </c>
      <c r="G5540">
        <v>23184</v>
      </c>
      <c r="H5540" t="s">
        <v>4935</v>
      </c>
      <c r="I5540" t="s">
        <v>5191</v>
      </c>
      <c r="J5540">
        <v>2</v>
      </c>
      <c r="K5540" t="s">
        <v>4744</v>
      </c>
      <c r="L5540">
        <v>17.5</v>
      </c>
      <c r="M5540">
        <v>8.75</v>
      </c>
      <c r="N5540" t="s">
        <v>5191</v>
      </c>
      <c r="O5540" t="s">
        <v>458</v>
      </c>
    </row>
    <row r="5541" spans="1:15" x14ac:dyDescent="0.3">
      <c r="A5541">
        <v>186288</v>
      </c>
      <c r="B5541">
        <v>105</v>
      </c>
      <c r="C5541" t="s">
        <v>557</v>
      </c>
      <c r="D5541" t="s">
        <v>3723</v>
      </c>
      <c r="E5541" t="s">
        <v>3788</v>
      </c>
      <c r="F5541" s="451">
        <v>46008</v>
      </c>
      <c r="G5541">
        <v>19532</v>
      </c>
      <c r="H5541" t="s">
        <v>4753</v>
      </c>
      <c r="I5541" t="s">
        <v>5191</v>
      </c>
      <c r="J5541">
        <v>10</v>
      </c>
      <c r="K5541" t="s">
        <v>4744</v>
      </c>
      <c r="L5541">
        <v>52.5</v>
      </c>
      <c r="M5541">
        <v>5.25</v>
      </c>
      <c r="N5541" t="s">
        <v>5191</v>
      </c>
      <c r="O5541" t="s">
        <v>458</v>
      </c>
    </row>
    <row r="5542" spans="1:15" x14ac:dyDescent="0.3">
      <c r="A5542">
        <v>186288</v>
      </c>
      <c r="B5542">
        <v>105</v>
      </c>
      <c r="C5542" t="s">
        <v>557</v>
      </c>
      <c r="D5542" t="s">
        <v>3723</v>
      </c>
      <c r="E5542" t="s">
        <v>3788</v>
      </c>
      <c r="F5542" s="451">
        <v>46008</v>
      </c>
      <c r="G5542">
        <v>19490</v>
      </c>
      <c r="H5542" t="s">
        <v>5116</v>
      </c>
      <c r="I5542" t="s">
        <v>5191</v>
      </c>
      <c r="J5542">
        <v>0.5</v>
      </c>
      <c r="K5542" t="s">
        <v>4744</v>
      </c>
      <c r="L5542">
        <v>31.25</v>
      </c>
      <c r="M5542">
        <v>62.5</v>
      </c>
      <c r="N5542" t="s">
        <v>5191</v>
      </c>
      <c r="O5542" t="s">
        <v>458</v>
      </c>
    </row>
    <row r="5543" spans="1:15" x14ac:dyDescent="0.3">
      <c r="A5543">
        <v>186287</v>
      </c>
      <c r="B5543">
        <v>105</v>
      </c>
      <c r="C5543" t="s">
        <v>557</v>
      </c>
      <c r="D5543" t="s">
        <v>3723</v>
      </c>
      <c r="E5543" t="s">
        <v>3789</v>
      </c>
      <c r="F5543" s="451">
        <v>46009</v>
      </c>
      <c r="G5543">
        <v>23228</v>
      </c>
      <c r="H5543" t="s">
        <v>4782</v>
      </c>
      <c r="I5543" t="s">
        <v>5191</v>
      </c>
      <c r="J5543">
        <v>3</v>
      </c>
      <c r="K5543" t="s">
        <v>4744</v>
      </c>
      <c r="L5543">
        <v>21</v>
      </c>
      <c r="M5543">
        <v>7</v>
      </c>
      <c r="N5543" t="s">
        <v>5272</v>
      </c>
      <c r="O5543" t="s">
        <v>458</v>
      </c>
    </row>
    <row r="5544" spans="1:15" x14ac:dyDescent="0.3">
      <c r="A5544">
        <v>186287</v>
      </c>
      <c r="B5544">
        <v>105</v>
      </c>
      <c r="C5544" t="s">
        <v>557</v>
      </c>
      <c r="D5544" t="s">
        <v>3723</v>
      </c>
      <c r="E5544" t="s">
        <v>3789</v>
      </c>
      <c r="F5544" s="451">
        <v>46009</v>
      </c>
      <c r="G5544">
        <v>23335</v>
      </c>
      <c r="H5544" t="s">
        <v>4961</v>
      </c>
      <c r="I5544" t="s">
        <v>5191</v>
      </c>
      <c r="J5544">
        <v>1.5</v>
      </c>
      <c r="K5544" t="s">
        <v>4744</v>
      </c>
      <c r="L5544">
        <v>39.6</v>
      </c>
      <c r="M5544">
        <v>26.4</v>
      </c>
      <c r="N5544" t="s">
        <v>5272</v>
      </c>
      <c r="O5544" t="s">
        <v>458</v>
      </c>
    </row>
    <row r="5545" spans="1:15" x14ac:dyDescent="0.3">
      <c r="A5545">
        <v>186287</v>
      </c>
      <c r="B5545">
        <v>105</v>
      </c>
      <c r="C5545" t="s">
        <v>557</v>
      </c>
      <c r="D5545" t="s">
        <v>3723</v>
      </c>
      <c r="E5545" t="s">
        <v>3789</v>
      </c>
      <c r="F5545" s="451">
        <v>46009</v>
      </c>
      <c r="G5545">
        <v>23385</v>
      </c>
      <c r="H5545" t="s">
        <v>4938</v>
      </c>
      <c r="I5545" t="s">
        <v>5191</v>
      </c>
      <c r="J5545">
        <v>1.5</v>
      </c>
      <c r="K5545" t="s">
        <v>4744</v>
      </c>
      <c r="L5545">
        <v>43.13</v>
      </c>
      <c r="M5545">
        <v>28.753333000000001</v>
      </c>
      <c r="N5545" t="s">
        <v>5272</v>
      </c>
      <c r="O5545" t="s">
        <v>458</v>
      </c>
    </row>
    <row r="5546" spans="1:15" x14ac:dyDescent="0.3">
      <c r="A5546">
        <v>186286</v>
      </c>
      <c r="B5546">
        <v>105</v>
      </c>
      <c r="C5546" t="s">
        <v>557</v>
      </c>
      <c r="D5546" t="s">
        <v>2563</v>
      </c>
      <c r="E5546" t="s">
        <v>3790</v>
      </c>
      <c r="F5546" s="451">
        <v>46004</v>
      </c>
      <c r="G5546">
        <v>24083</v>
      </c>
      <c r="H5546" t="s">
        <v>5165</v>
      </c>
      <c r="I5546" t="s">
        <v>5191</v>
      </c>
      <c r="J5546">
        <v>60</v>
      </c>
      <c r="K5546" t="s">
        <v>4744</v>
      </c>
      <c r="L5546">
        <v>235.2</v>
      </c>
      <c r="M5546">
        <v>3.92</v>
      </c>
      <c r="N5546" t="s">
        <v>5272</v>
      </c>
      <c r="O5546" t="s">
        <v>458</v>
      </c>
    </row>
    <row r="5547" spans="1:15" x14ac:dyDescent="0.3">
      <c r="A5547">
        <v>186286</v>
      </c>
      <c r="B5547">
        <v>105</v>
      </c>
      <c r="C5547" t="s">
        <v>557</v>
      </c>
      <c r="D5547" t="s">
        <v>2563</v>
      </c>
      <c r="E5547" t="s">
        <v>3790</v>
      </c>
      <c r="F5547" s="451">
        <v>46004</v>
      </c>
      <c r="G5547">
        <v>19607</v>
      </c>
      <c r="H5547" t="s">
        <v>4981</v>
      </c>
      <c r="I5547" t="s">
        <v>5191</v>
      </c>
      <c r="J5547">
        <v>1.5</v>
      </c>
      <c r="K5547" t="s">
        <v>4744</v>
      </c>
      <c r="L5547">
        <v>11.42</v>
      </c>
      <c r="M5547">
        <v>7.6133329999999999</v>
      </c>
      <c r="N5547" t="s">
        <v>5272</v>
      </c>
      <c r="O5547" t="s">
        <v>458</v>
      </c>
    </row>
    <row r="5548" spans="1:15" x14ac:dyDescent="0.3">
      <c r="A5548">
        <v>186286</v>
      </c>
      <c r="B5548">
        <v>105</v>
      </c>
      <c r="C5548" t="s">
        <v>557</v>
      </c>
      <c r="D5548" t="s">
        <v>2563</v>
      </c>
      <c r="E5548" t="s">
        <v>3790</v>
      </c>
      <c r="F5548" s="451">
        <v>46004</v>
      </c>
      <c r="G5548">
        <v>19658</v>
      </c>
      <c r="H5548" t="s">
        <v>4784</v>
      </c>
      <c r="I5548" t="s">
        <v>5191</v>
      </c>
      <c r="J5548">
        <v>8</v>
      </c>
      <c r="K5548" t="s">
        <v>4744</v>
      </c>
      <c r="L5548">
        <v>19.68</v>
      </c>
      <c r="M5548">
        <v>2.46</v>
      </c>
      <c r="N5548" t="s">
        <v>5272</v>
      </c>
      <c r="O5548" t="s">
        <v>458</v>
      </c>
    </row>
    <row r="5549" spans="1:15" x14ac:dyDescent="0.3">
      <c r="A5549">
        <v>186286</v>
      </c>
      <c r="B5549">
        <v>105</v>
      </c>
      <c r="C5549" t="s">
        <v>557</v>
      </c>
      <c r="D5549" t="s">
        <v>2563</v>
      </c>
      <c r="E5549" t="s">
        <v>3790</v>
      </c>
      <c r="F5549" s="451">
        <v>46004</v>
      </c>
      <c r="G5549">
        <v>19507</v>
      </c>
      <c r="H5549" t="s">
        <v>4853</v>
      </c>
      <c r="I5549" t="s">
        <v>5191</v>
      </c>
      <c r="J5549">
        <v>1.9</v>
      </c>
      <c r="K5549" t="s">
        <v>4744</v>
      </c>
      <c r="L5549">
        <v>15.98</v>
      </c>
      <c r="M5549">
        <v>8.4105260000000008</v>
      </c>
      <c r="N5549" t="s">
        <v>5272</v>
      </c>
      <c r="O5549" t="s">
        <v>458</v>
      </c>
    </row>
    <row r="5550" spans="1:15" x14ac:dyDescent="0.3">
      <c r="A5550">
        <v>186286</v>
      </c>
      <c r="B5550">
        <v>105</v>
      </c>
      <c r="C5550" t="s">
        <v>557</v>
      </c>
      <c r="D5550" t="s">
        <v>2563</v>
      </c>
      <c r="E5550" t="s">
        <v>3790</v>
      </c>
      <c r="F5550" s="451">
        <v>46004</v>
      </c>
      <c r="G5550">
        <v>19562</v>
      </c>
      <c r="H5550" t="s">
        <v>4939</v>
      </c>
      <c r="I5550" t="s">
        <v>5191</v>
      </c>
      <c r="J5550">
        <v>1.2</v>
      </c>
      <c r="K5550" t="s">
        <v>4744</v>
      </c>
      <c r="L5550">
        <v>17.399999999999999</v>
      </c>
      <c r="M5550">
        <v>14.5</v>
      </c>
      <c r="N5550" t="s">
        <v>5272</v>
      </c>
      <c r="O5550" t="s">
        <v>458</v>
      </c>
    </row>
    <row r="5551" spans="1:15" x14ac:dyDescent="0.3">
      <c r="A5551">
        <v>186286</v>
      </c>
      <c r="B5551">
        <v>105</v>
      </c>
      <c r="C5551" t="s">
        <v>557</v>
      </c>
      <c r="D5551" t="s">
        <v>2563</v>
      </c>
      <c r="E5551" t="s">
        <v>3790</v>
      </c>
      <c r="F5551" s="451">
        <v>46004</v>
      </c>
      <c r="G5551">
        <v>19740</v>
      </c>
      <c r="H5551" t="s">
        <v>4779</v>
      </c>
      <c r="I5551" t="s">
        <v>5191</v>
      </c>
      <c r="J5551">
        <v>5</v>
      </c>
      <c r="K5551" t="s">
        <v>4744</v>
      </c>
      <c r="L5551">
        <v>79.75</v>
      </c>
      <c r="M5551">
        <v>15.95</v>
      </c>
      <c r="N5551" t="s">
        <v>5272</v>
      </c>
      <c r="O5551" t="s">
        <v>458</v>
      </c>
    </row>
    <row r="5552" spans="1:15" x14ac:dyDescent="0.3">
      <c r="A5552">
        <v>186286</v>
      </c>
      <c r="B5552">
        <v>105</v>
      </c>
      <c r="C5552" t="s">
        <v>557</v>
      </c>
      <c r="D5552" t="s">
        <v>2563</v>
      </c>
      <c r="E5552" t="s">
        <v>3790</v>
      </c>
      <c r="F5552" s="451">
        <v>46004</v>
      </c>
      <c r="G5552">
        <v>23198</v>
      </c>
      <c r="H5552" t="s">
        <v>4962</v>
      </c>
      <c r="I5552" t="s">
        <v>5191</v>
      </c>
      <c r="J5552">
        <v>1.2</v>
      </c>
      <c r="K5552" t="s">
        <v>4744</v>
      </c>
      <c r="L5552">
        <v>17.399999999999999</v>
      </c>
      <c r="M5552">
        <v>14.5</v>
      </c>
      <c r="N5552" t="s">
        <v>5272</v>
      </c>
      <c r="O5552" t="s">
        <v>458</v>
      </c>
    </row>
    <row r="5553" spans="1:15" x14ac:dyDescent="0.3">
      <c r="A5553">
        <v>186286</v>
      </c>
      <c r="B5553">
        <v>105</v>
      </c>
      <c r="C5553" t="s">
        <v>557</v>
      </c>
      <c r="D5553" t="s">
        <v>2563</v>
      </c>
      <c r="E5553" t="s">
        <v>3790</v>
      </c>
      <c r="F5553" s="451">
        <v>46004</v>
      </c>
      <c r="G5553">
        <v>23389</v>
      </c>
      <c r="H5553" t="s">
        <v>4960</v>
      </c>
      <c r="I5553" t="s">
        <v>5191</v>
      </c>
      <c r="J5553">
        <v>4.5</v>
      </c>
      <c r="K5553" t="s">
        <v>4744</v>
      </c>
      <c r="L5553">
        <v>23.36</v>
      </c>
      <c r="M5553">
        <v>5.1911110000000003</v>
      </c>
      <c r="N5553" t="s">
        <v>5272</v>
      </c>
      <c r="O5553" t="s">
        <v>458</v>
      </c>
    </row>
    <row r="5554" spans="1:15" x14ac:dyDescent="0.3">
      <c r="A5554">
        <v>186285</v>
      </c>
      <c r="B5554">
        <v>105</v>
      </c>
      <c r="C5554" t="s">
        <v>557</v>
      </c>
      <c r="D5554" t="s">
        <v>2600</v>
      </c>
      <c r="E5554" t="s">
        <v>3791</v>
      </c>
      <c r="F5554" s="451">
        <v>46008</v>
      </c>
      <c r="G5554">
        <v>24197</v>
      </c>
      <c r="H5554" t="s">
        <v>5237</v>
      </c>
      <c r="I5554" t="s">
        <v>5191</v>
      </c>
      <c r="J5554">
        <v>10</v>
      </c>
      <c r="K5554" t="s">
        <v>4744</v>
      </c>
      <c r="L5554">
        <v>199.9</v>
      </c>
      <c r="M5554">
        <v>19.989999999999998</v>
      </c>
      <c r="N5554" t="s">
        <v>5272</v>
      </c>
      <c r="O5554" t="s">
        <v>458</v>
      </c>
    </row>
    <row r="5555" spans="1:15" x14ac:dyDescent="0.3">
      <c r="A5555">
        <v>186284</v>
      </c>
      <c r="B5555">
        <v>105</v>
      </c>
      <c r="C5555" t="s">
        <v>557</v>
      </c>
      <c r="D5555" t="s">
        <v>3723</v>
      </c>
      <c r="E5555" t="s">
        <v>3792</v>
      </c>
      <c r="F5555" s="451">
        <v>46006</v>
      </c>
      <c r="G5555">
        <v>19740</v>
      </c>
      <c r="H5555" t="s">
        <v>4779</v>
      </c>
      <c r="I5555" t="s">
        <v>5191</v>
      </c>
      <c r="J5555">
        <v>8</v>
      </c>
      <c r="K5555" t="s">
        <v>4744</v>
      </c>
      <c r="L5555">
        <v>120</v>
      </c>
      <c r="M5555">
        <v>15</v>
      </c>
      <c r="N5555" t="s">
        <v>5272</v>
      </c>
      <c r="O5555" t="s">
        <v>458</v>
      </c>
    </row>
    <row r="5556" spans="1:15" x14ac:dyDescent="0.3">
      <c r="A5556">
        <v>186284</v>
      </c>
      <c r="B5556">
        <v>105</v>
      </c>
      <c r="C5556" t="s">
        <v>557</v>
      </c>
      <c r="D5556" t="s">
        <v>3723</v>
      </c>
      <c r="E5556" t="s">
        <v>3792</v>
      </c>
      <c r="F5556" s="451">
        <v>46006</v>
      </c>
      <c r="G5556">
        <v>19472</v>
      </c>
      <c r="H5556" t="s">
        <v>4906</v>
      </c>
      <c r="I5556" t="s">
        <v>5191</v>
      </c>
      <c r="J5556">
        <v>2</v>
      </c>
      <c r="K5556" t="s">
        <v>4744</v>
      </c>
      <c r="L5556">
        <v>28.12</v>
      </c>
      <c r="M5556">
        <v>14.06</v>
      </c>
      <c r="N5556" t="s">
        <v>5272</v>
      </c>
      <c r="O5556" t="s">
        <v>458</v>
      </c>
    </row>
    <row r="5557" spans="1:15" x14ac:dyDescent="0.3">
      <c r="A5557">
        <v>185923</v>
      </c>
      <c r="B5557">
        <v>105</v>
      </c>
      <c r="C5557" t="s">
        <v>557</v>
      </c>
      <c r="D5557" t="s">
        <v>2554</v>
      </c>
      <c r="E5557" t="s">
        <v>3793</v>
      </c>
      <c r="F5557" s="451">
        <v>46008</v>
      </c>
      <c r="G5557">
        <v>17416</v>
      </c>
      <c r="H5557" t="s">
        <v>5209</v>
      </c>
      <c r="I5557" t="s">
        <v>5188</v>
      </c>
      <c r="J5557">
        <v>6</v>
      </c>
      <c r="K5557" t="s">
        <v>4749</v>
      </c>
      <c r="L5557">
        <v>331.2</v>
      </c>
      <c r="M5557">
        <v>55.2</v>
      </c>
      <c r="N5557" t="s">
        <v>5277</v>
      </c>
      <c r="O5557" t="s">
        <v>458</v>
      </c>
    </row>
    <row r="5558" spans="1:15" x14ac:dyDescent="0.3">
      <c r="A5558">
        <v>185923</v>
      </c>
      <c r="B5558">
        <v>105</v>
      </c>
      <c r="C5558" t="s">
        <v>557</v>
      </c>
      <c r="D5558" t="s">
        <v>2554</v>
      </c>
      <c r="E5558" t="s">
        <v>3793</v>
      </c>
      <c r="F5558" s="451">
        <v>46008</v>
      </c>
      <c r="G5558">
        <v>17333</v>
      </c>
      <c r="H5558" t="s">
        <v>5211</v>
      </c>
      <c r="I5558" t="s">
        <v>5188</v>
      </c>
      <c r="J5558">
        <v>3</v>
      </c>
      <c r="K5558" t="s">
        <v>4738</v>
      </c>
      <c r="L5558">
        <v>234</v>
      </c>
      <c r="M5558">
        <v>78</v>
      </c>
      <c r="N5558" t="s">
        <v>5277</v>
      </c>
      <c r="O5558" t="s">
        <v>458</v>
      </c>
    </row>
    <row r="5559" spans="1:15" x14ac:dyDescent="0.3">
      <c r="A5559">
        <v>185242</v>
      </c>
      <c r="B5559">
        <v>105</v>
      </c>
      <c r="C5559" t="s">
        <v>557</v>
      </c>
      <c r="D5559" t="s">
        <v>3646</v>
      </c>
      <c r="E5559" t="s">
        <v>3794</v>
      </c>
      <c r="F5559" s="451">
        <v>46008</v>
      </c>
      <c r="G5559">
        <v>18822</v>
      </c>
      <c r="H5559" t="s">
        <v>4811</v>
      </c>
      <c r="I5559" t="s">
        <v>5191</v>
      </c>
      <c r="J5559">
        <v>30</v>
      </c>
      <c r="K5559" t="s">
        <v>4744</v>
      </c>
      <c r="L5559">
        <v>3300</v>
      </c>
      <c r="M5559">
        <v>110</v>
      </c>
      <c r="N5559" t="s">
        <v>5272</v>
      </c>
      <c r="O5559" t="s">
        <v>458</v>
      </c>
    </row>
    <row r="5560" spans="1:15" x14ac:dyDescent="0.3">
      <c r="A5560">
        <v>185242</v>
      </c>
      <c r="B5560">
        <v>105</v>
      </c>
      <c r="C5560" t="s">
        <v>557</v>
      </c>
      <c r="D5560" t="s">
        <v>3646</v>
      </c>
      <c r="E5560" t="s">
        <v>3794</v>
      </c>
      <c r="F5560" s="451">
        <v>46008</v>
      </c>
      <c r="G5560">
        <v>27264</v>
      </c>
      <c r="H5560" t="s">
        <v>5075</v>
      </c>
      <c r="I5560" t="s">
        <v>5191</v>
      </c>
      <c r="J5560">
        <v>15</v>
      </c>
      <c r="K5560" t="s">
        <v>4744</v>
      </c>
      <c r="L5560">
        <v>780</v>
      </c>
      <c r="M5560">
        <v>52</v>
      </c>
      <c r="N5560" t="s">
        <v>5272</v>
      </c>
      <c r="O5560" t="s">
        <v>458</v>
      </c>
    </row>
    <row r="5561" spans="1:15" x14ac:dyDescent="0.3">
      <c r="A5561">
        <v>185236</v>
      </c>
      <c r="B5561">
        <v>105</v>
      </c>
      <c r="C5561" t="s">
        <v>557</v>
      </c>
      <c r="D5561" t="s">
        <v>2590</v>
      </c>
      <c r="E5561" t="s">
        <v>3795</v>
      </c>
      <c r="F5561" s="451">
        <v>46001</v>
      </c>
      <c r="G5561">
        <v>18636</v>
      </c>
      <c r="H5561" t="s">
        <v>4964</v>
      </c>
      <c r="I5561" t="s">
        <v>5222</v>
      </c>
      <c r="J5561">
        <v>7</v>
      </c>
      <c r="K5561" t="s">
        <v>4965</v>
      </c>
      <c r="L5561">
        <v>3379.6</v>
      </c>
      <c r="M5561">
        <v>482.8</v>
      </c>
      <c r="N5561" t="s">
        <v>5271</v>
      </c>
      <c r="O5561" t="s">
        <v>458</v>
      </c>
    </row>
    <row r="5562" spans="1:15" x14ac:dyDescent="0.3">
      <c r="A5562">
        <v>185236</v>
      </c>
      <c r="B5562">
        <v>105</v>
      </c>
      <c r="C5562" t="s">
        <v>557</v>
      </c>
      <c r="D5562" t="s">
        <v>2590</v>
      </c>
      <c r="E5562" t="s">
        <v>3795</v>
      </c>
      <c r="F5562" s="451">
        <v>46001</v>
      </c>
      <c r="G5562">
        <v>18579</v>
      </c>
      <c r="H5562" t="s">
        <v>5087</v>
      </c>
      <c r="I5562" t="s">
        <v>5222</v>
      </c>
      <c r="J5562">
        <v>2</v>
      </c>
      <c r="K5562" t="s">
        <v>4749</v>
      </c>
      <c r="L5562">
        <v>327.84</v>
      </c>
      <c r="M5562">
        <v>163.92</v>
      </c>
      <c r="N5562" t="s">
        <v>5271</v>
      </c>
      <c r="O5562" t="s">
        <v>458</v>
      </c>
    </row>
    <row r="5563" spans="1:15" x14ac:dyDescent="0.3">
      <c r="A5563">
        <v>185236</v>
      </c>
      <c r="B5563">
        <v>105</v>
      </c>
      <c r="C5563" t="s">
        <v>557</v>
      </c>
      <c r="D5563" t="s">
        <v>2590</v>
      </c>
      <c r="E5563" t="s">
        <v>3795</v>
      </c>
      <c r="F5563" s="451">
        <v>46001</v>
      </c>
      <c r="G5563">
        <v>18589</v>
      </c>
      <c r="H5563" t="s">
        <v>5089</v>
      </c>
      <c r="I5563" t="s">
        <v>5222</v>
      </c>
      <c r="J5563">
        <v>3</v>
      </c>
      <c r="K5563" t="s">
        <v>4738</v>
      </c>
      <c r="L5563">
        <v>289.92</v>
      </c>
      <c r="M5563">
        <v>96.64</v>
      </c>
      <c r="N5563" t="s">
        <v>5271</v>
      </c>
      <c r="O5563" t="s">
        <v>458</v>
      </c>
    </row>
    <row r="5564" spans="1:15" x14ac:dyDescent="0.3">
      <c r="A5564">
        <v>185236</v>
      </c>
      <c r="B5564">
        <v>105</v>
      </c>
      <c r="C5564" t="s">
        <v>557</v>
      </c>
      <c r="D5564" t="s">
        <v>2590</v>
      </c>
      <c r="E5564" t="s">
        <v>3795</v>
      </c>
      <c r="F5564" s="451">
        <v>46001</v>
      </c>
      <c r="G5564">
        <v>18595</v>
      </c>
      <c r="H5564" t="s">
        <v>5092</v>
      </c>
      <c r="I5564" t="s">
        <v>5222</v>
      </c>
      <c r="J5564">
        <v>3</v>
      </c>
      <c r="K5564" t="s">
        <v>4738</v>
      </c>
      <c r="L5564">
        <v>396.21</v>
      </c>
      <c r="M5564">
        <v>132.07</v>
      </c>
      <c r="N5564" t="s">
        <v>5271</v>
      </c>
      <c r="O5564" t="s">
        <v>458</v>
      </c>
    </row>
    <row r="5565" spans="1:15" x14ac:dyDescent="0.3">
      <c r="A5565">
        <v>185236</v>
      </c>
      <c r="B5565">
        <v>105</v>
      </c>
      <c r="C5565" t="s">
        <v>557</v>
      </c>
      <c r="D5565" t="s">
        <v>2590</v>
      </c>
      <c r="E5565" t="s">
        <v>3795</v>
      </c>
      <c r="F5565" s="451">
        <v>46001</v>
      </c>
      <c r="G5565">
        <v>17905</v>
      </c>
      <c r="H5565" t="s">
        <v>5085</v>
      </c>
      <c r="I5565" t="s">
        <v>5222</v>
      </c>
      <c r="J5565">
        <v>9</v>
      </c>
      <c r="K5565" t="s">
        <v>4738</v>
      </c>
      <c r="L5565">
        <v>266.76</v>
      </c>
      <c r="M5565">
        <v>29.64</v>
      </c>
      <c r="N5565" t="s">
        <v>5271</v>
      </c>
      <c r="O5565" t="s">
        <v>458</v>
      </c>
    </row>
    <row r="5566" spans="1:15" x14ac:dyDescent="0.3">
      <c r="A5566">
        <v>185236</v>
      </c>
      <c r="B5566">
        <v>105</v>
      </c>
      <c r="C5566" t="s">
        <v>557</v>
      </c>
      <c r="D5566" t="s">
        <v>2590</v>
      </c>
      <c r="E5566" t="s">
        <v>3795</v>
      </c>
      <c r="F5566" s="451">
        <v>46001</v>
      </c>
      <c r="G5566">
        <v>17883</v>
      </c>
      <c r="H5566" t="s">
        <v>5113</v>
      </c>
      <c r="I5566" t="s">
        <v>5222</v>
      </c>
      <c r="J5566">
        <v>3</v>
      </c>
      <c r="K5566" t="s">
        <v>4738</v>
      </c>
      <c r="L5566">
        <v>84.96</v>
      </c>
      <c r="M5566">
        <v>28.32</v>
      </c>
      <c r="N5566" t="s">
        <v>5271</v>
      </c>
      <c r="O5566" t="s">
        <v>458</v>
      </c>
    </row>
    <row r="5567" spans="1:15" x14ac:dyDescent="0.3">
      <c r="A5567">
        <v>185236</v>
      </c>
      <c r="B5567">
        <v>105</v>
      </c>
      <c r="C5567" t="s">
        <v>557</v>
      </c>
      <c r="D5567" t="s">
        <v>2590</v>
      </c>
      <c r="E5567" t="s">
        <v>3795</v>
      </c>
      <c r="F5567" s="451">
        <v>46001</v>
      </c>
      <c r="G5567">
        <v>18632</v>
      </c>
      <c r="H5567" t="s">
        <v>5096</v>
      </c>
      <c r="I5567" t="s">
        <v>5222</v>
      </c>
      <c r="J5567">
        <v>2</v>
      </c>
      <c r="K5567" t="s">
        <v>4749</v>
      </c>
      <c r="L5567">
        <v>381.6</v>
      </c>
      <c r="M5567">
        <v>190.8</v>
      </c>
      <c r="N5567" t="s">
        <v>5271</v>
      </c>
      <c r="O5567" t="s">
        <v>458</v>
      </c>
    </row>
    <row r="5568" spans="1:15" x14ac:dyDescent="0.3">
      <c r="A5568">
        <v>185236</v>
      </c>
      <c r="B5568">
        <v>105</v>
      </c>
      <c r="C5568" t="s">
        <v>557</v>
      </c>
      <c r="D5568" t="s">
        <v>2590</v>
      </c>
      <c r="E5568" t="s">
        <v>3795</v>
      </c>
      <c r="F5568" s="451">
        <v>46001</v>
      </c>
      <c r="G5568">
        <v>17886</v>
      </c>
      <c r="H5568" t="s">
        <v>5083</v>
      </c>
      <c r="I5568" t="s">
        <v>5222</v>
      </c>
      <c r="J5568">
        <v>10</v>
      </c>
      <c r="K5568" t="s">
        <v>4738</v>
      </c>
      <c r="L5568">
        <v>283.2</v>
      </c>
      <c r="M5568">
        <v>28.32</v>
      </c>
      <c r="N5568" t="s">
        <v>5271</v>
      </c>
      <c r="O5568" t="s">
        <v>458</v>
      </c>
    </row>
    <row r="5569" spans="1:15" x14ac:dyDescent="0.3">
      <c r="A5569">
        <v>185236</v>
      </c>
      <c r="B5569">
        <v>105</v>
      </c>
      <c r="C5569" t="s">
        <v>557</v>
      </c>
      <c r="D5569" t="s">
        <v>2590</v>
      </c>
      <c r="E5569" t="s">
        <v>3795</v>
      </c>
      <c r="F5569" s="451">
        <v>46001</v>
      </c>
      <c r="G5569">
        <v>18586</v>
      </c>
      <c r="H5569" t="s">
        <v>4966</v>
      </c>
      <c r="I5569" t="s">
        <v>5222</v>
      </c>
      <c r="J5569">
        <v>4</v>
      </c>
      <c r="K5569" t="s">
        <v>4738</v>
      </c>
      <c r="L5569">
        <v>528.28</v>
      </c>
      <c r="M5569">
        <v>132.07</v>
      </c>
      <c r="N5569" t="s">
        <v>5271</v>
      </c>
      <c r="O5569" t="s">
        <v>458</v>
      </c>
    </row>
    <row r="5570" spans="1:15" x14ac:dyDescent="0.3">
      <c r="A5570">
        <v>185236</v>
      </c>
      <c r="B5570">
        <v>105</v>
      </c>
      <c r="C5570" t="s">
        <v>557</v>
      </c>
      <c r="D5570" t="s">
        <v>2590</v>
      </c>
      <c r="E5570" t="s">
        <v>3795</v>
      </c>
      <c r="F5570" s="451">
        <v>46001</v>
      </c>
      <c r="G5570">
        <v>17903</v>
      </c>
      <c r="H5570" t="s">
        <v>5084</v>
      </c>
      <c r="I5570" t="s">
        <v>5222</v>
      </c>
      <c r="J5570">
        <v>9</v>
      </c>
      <c r="K5570" t="s">
        <v>4738</v>
      </c>
      <c r="L5570">
        <v>266.76</v>
      </c>
      <c r="M5570">
        <v>29.64</v>
      </c>
      <c r="N5570" t="s">
        <v>5271</v>
      </c>
      <c r="O5570" t="s">
        <v>458</v>
      </c>
    </row>
    <row r="5571" spans="1:15" x14ac:dyDescent="0.3">
      <c r="A5571">
        <v>185236</v>
      </c>
      <c r="B5571">
        <v>105</v>
      </c>
      <c r="C5571" t="s">
        <v>557</v>
      </c>
      <c r="D5571" t="s">
        <v>2590</v>
      </c>
      <c r="E5571" t="s">
        <v>3795</v>
      </c>
      <c r="F5571" s="451">
        <v>46001</v>
      </c>
      <c r="G5571">
        <v>24141</v>
      </c>
      <c r="H5571" t="s">
        <v>5088</v>
      </c>
      <c r="I5571" t="s">
        <v>5222</v>
      </c>
      <c r="J5571">
        <v>11</v>
      </c>
      <c r="K5571" t="s">
        <v>4749</v>
      </c>
      <c r="L5571">
        <v>1480.6</v>
      </c>
      <c r="M5571">
        <v>134.6</v>
      </c>
      <c r="N5571" t="s">
        <v>5271</v>
      </c>
      <c r="O5571" t="s">
        <v>458</v>
      </c>
    </row>
    <row r="5572" spans="1:15" x14ac:dyDescent="0.3">
      <c r="A5572">
        <v>185236</v>
      </c>
      <c r="B5572">
        <v>105</v>
      </c>
      <c r="C5572" t="s">
        <v>557</v>
      </c>
      <c r="D5572" t="s">
        <v>2590</v>
      </c>
      <c r="E5572" t="s">
        <v>3795</v>
      </c>
      <c r="F5572" s="451">
        <v>46001</v>
      </c>
      <c r="G5572">
        <v>25561</v>
      </c>
      <c r="H5572" t="s">
        <v>5095</v>
      </c>
      <c r="I5572" t="s">
        <v>5222</v>
      </c>
      <c r="J5572">
        <v>3</v>
      </c>
      <c r="K5572" t="s">
        <v>4738</v>
      </c>
      <c r="L5572">
        <v>396.21</v>
      </c>
      <c r="M5572">
        <v>132.07</v>
      </c>
      <c r="N5572" t="s">
        <v>5271</v>
      </c>
      <c r="O5572" t="s">
        <v>458</v>
      </c>
    </row>
    <row r="5573" spans="1:15" x14ac:dyDescent="0.3">
      <c r="A5573">
        <v>185236</v>
      </c>
      <c r="B5573">
        <v>105</v>
      </c>
      <c r="C5573" t="s">
        <v>557</v>
      </c>
      <c r="D5573" t="s">
        <v>2590</v>
      </c>
      <c r="E5573" t="s">
        <v>3795</v>
      </c>
      <c r="F5573" s="451">
        <v>46001</v>
      </c>
      <c r="G5573">
        <v>18006</v>
      </c>
      <c r="H5573" t="s">
        <v>5094</v>
      </c>
      <c r="I5573" t="s">
        <v>5222</v>
      </c>
      <c r="J5573">
        <v>6</v>
      </c>
      <c r="K5573" t="s">
        <v>4738</v>
      </c>
      <c r="L5573">
        <v>177.84</v>
      </c>
      <c r="M5573">
        <v>29.64</v>
      </c>
      <c r="N5573" t="s">
        <v>5271</v>
      </c>
      <c r="O5573" t="s">
        <v>458</v>
      </c>
    </row>
    <row r="5574" spans="1:15" x14ac:dyDescent="0.3">
      <c r="A5574">
        <v>185236</v>
      </c>
      <c r="B5574">
        <v>105</v>
      </c>
      <c r="C5574" t="s">
        <v>557</v>
      </c>
      <c r="D5574" t="s">
        <v>2590</v>
      </c>
      <c r="E5574" t="s">
        <v>3795</v>
      </c>
      <c r="F5574" s="451">
        <v>46001</v>
      </c>
      <c r="G5574">
        <v>26505</v>
      </c>
      <c r="H5574" t="s">
        <v>4750</v>
      </c>
      <c r="I5574" t="s">
        <v>5222</v>
      </c>
      <c r="J5574">
        <v>1</v>
      </c>
      <c r="K5574" t="s">
        <v>4738</v>
      </c>
      <c r="L5574">
        <v>216</v>
      </c>
      <c r="M5574">
        <v>216</v>
      </c>
      <c r="N5574" t="s">
        <v>5271</v>
      </c>
      <c r="O5574" t="s">
        <v>458</v>
      </c>
    </row>
    <row r="5575" spans="1:15" x14ac:dyDescent="0.3">
      <c r="A5575">
        <v>185236</v>
      </c>
      <c r="B5575">
        <v>105</v>
      </c>
      <c r="C5575" t="s">
        <v>557</v>
      </c>
      <c r="D5575" t="s">
        <v>2590</v>
      </c>
      <c r="E5575" t="s">
        <v>3795</v>
      </c>
      <c r="F5575" s="451">
        <v>46001</v>
      </c>
      <c r="G5575">
        <v>18004</v>
      </c>
      <c r="H5575" t="s">
        <v>5093</v>
      </c>
      <c r="I5575" t="s">
        <v>5222</v>
      </c>
      <c r="J5575">
        <v>3</v>
      </c>
      <c r="K5575" t="s">
        <v>4738</v>
      </c>
      <c r="L5575">
        <v>88.92</v>
      </c>
      <c r="M5575">
        <v>29.64</v>
      </c>
      <c r="N5575" t="s">
        <v>5271</v>
      </c>
      <c r="O5575" t="s">
        <v>458</v>
      </c>
    </row>
    <row r="5576" spans="1:15" x14ac:dyDescent="0.3">
      <c r="A5576">
        <v>185236</v>
      </c>
      <c r="B5576">
        <v>105</v>
      </c>
      <c r="C5576" t="s">
        <v>557</v>
      </c>
      <c r="D5576" t="s">
        <v>2590</v>
      </c>
      <c r="E5576" t="s">
        <v>3795</v>
      </c>
      <c r="F5576" s="451">
        <v>46001</v>
      </c>
      <c r="G5576">
        <v>17916</v>
      </c>
      <c r="H5576" t="s">
        <v>5235</v>
      </c>
      <c r="I5576" t="s">
        <v>5222</v>
      </c>
      <c r="J5576">
        <v>8</v>
      </c>
      <c r="K5576" t="s">
        <v>4738</v>
      </c>
      <c r="L5576">
        <v>230.4</v>
      </c>
      <c r="M5576">
        <v>28.8</v>
      </c>
      <c r="N5576" t="s">
        <v>5271</v>
      </c>
      <c r="O5576" t="s">
        <v>458</v>
      </c>
    </row>
    <row r="5577" spans="1:15" x14ac:dyDescent="0.3">
      <c r="A5577">
        <v>185234</v>
      </c>
      <c r="B5577">
        <v>105</v>
      </c>
      <c r="C5577" t="s">
        <v>557</v>
      </c>
      <c r="D5577" t="s">
        <v>2590</v>
      </c>
      <c r="E5577" t="s">
        <v>3796</v>
      </c>
      <c r="F5577" s="451">
        <v>46001</v>
      </c>
      <c r="G5577">
        <v>18636</v>
      </c>
      <c r="H5577" t="s">
        <v>4964</v>
      </c>
      <c r="I5577" t="s">
        <v>5222</v>
      </c>
      <c r="J5577">
        <v>7</v>
      </c>
      <c r="K5577" t="s">
        <v>4965</v>
      </c>
      <c r="L5577">
        <v>3379.6</v>
      </c>
      <c r="M5577">
        <v>482.8</v>
      </c>
      <c r="N5577" t="s">
        <v>5271</v>
      </c>
      <c r="O5577" t="s">
        <v>458</v>
      </c>
    </row>
    <row r="5578" spans="1:15" x14ac:dyDescent="0.3">
      <c r="A5578">
        <v>185232</v>
      </c>
      <c r="B5578">
        <v>105</v>
      </c>
      <c r="C5578" t="s">
        <v>557</v>
      </c>
      <c r="D5578" t="s">
        <v>2605</v>
      </c>
      <c r="E5578" t="s">
        <v>3797</v>
      </c>
      <c r="F5578" s="451">
        <v>46008</v>
      </c>
      <c r="G5578">
        <v>20689</v>
      </c>
      <c r="H5578" t="s">
        <v>5007</v>
      </c>
      <c r="I5578" t="s">
        <v>5191</v>
      </c>
      <c r="J5578">
        <v>3</v>
      </c>
      <c r="K5578" t="s">
        <v>4736</v>
      </c>
      <c r="L5578">
        <v>110.7</v>
      </c>
      <c r="M5578">
        <v>36.9</v>
      </c>
      <c r="N5578" t="s">
        <v>5272</v>
      </c>
      <c r="O5578" t="s">
        <v>458</v>
      </c>
    </row>
    <row r="5579" spans="1:15" x14ac:dyDescent="0.3">
      <c r="A5579">
        <v>185229</v>
      </c>
      <c r="B5579">
        <v>105</v>
      </c>
      <c r="C5579" t="s">
        <v>557</v>
      </c>
      <c r="D5579" t="s">
        <v>2605</v>
      </c>
      <c r="E5579" t="s">
        <v>3798</v>
      </c>
      <c r="F5579" s="451">
        <v>46006</v>
      </c>
      <c r="G5579">
        <v>20358</v>
      </c>
      <c r="H5579" t="s">
        <v>4911</v>
      </c>
      <c r="I5579" t="s">
        <v>5191</v>
      </c>
      <c r="J5579">
        <v>3</v>
      </c>
      <c r="K5579" t="s">
        <v>4738</v>
      </c>
      <c r="L5579">
        <v>42.9</v>
      </c>
      <c r="M5579">
        <v>14.3</v>
      </c>
      <c r="N5579" t="s">
        <v>5272</v>
      </c>
      <c r="O5579" t="s">
        <v>458</v>
      </c>
    </row>
    <row r="5580" spans="1:15" x14ac:dyDescent="0.3">
      <c r="A5580">
        <v>185229</v>
      </c>
      <c r="B5580">
        <v>105</v>
      </c>
      <c r="C5580" t="s">
        <v>557</v>
      </c>
      <c r="D5580" t="s">
        <v>2605</v>
      </c>
      <c r="E5580" t="s">
        <v>3798</v>
      </c>
      <c r="F5580" s="451">
        <v>46006</v>
      </c>
      <c r="G5580">
        <v>20795</v>
      </c>
      <c r="H5580" t="s">
        <v>5024</v>
      </c>
      <c r="I5580" t="s">
        <v>5191</v>
      </c>
      <c r="J5580">
        <v>1</v>
      </c>
      <c r="K5580" t="s">
        <v>5206</v>
      </c>
      <c r="L5580">
        <v>10.3</v>
      </c>
      <c r="M5580">
        <v>10.3</v>
      </c>
      <c r="N5580" t="s">
        <v>5272</v>
      </c>
      <c r="O5580" t="s">
        <v>458</v>
      </c>
    </row>
    <row r="5581" spans="1:15" x14ac:dyDescent="0.3">
      <c r="A5581">
        <v>185229</v>
      </c>
      <c r="B5581">
        <v>105</v>
      </c>
      <c r="C5581" t="s">
        <v>557</v>
      </c>
      <c r="D5581" t="s">
        <v>2605</v>
      </c>
      <c r="E5581" t="s">
        <v>3798</v>
      </c>
      <c r="F5581" s="451">
        <v>46006</v>
      </c>
      <c r="G5581">
        <v>19710</v>
      </c>
      <c r="H5581" t="s">
        <v>4963</v>
      </c>
      <c r="I5581" t="s">
        <v>5191</v>
      </c>
      <c r="J5581">
        <v>1</v>
      </c>
      <c r="K5581" t="s">
        <v>5228</v>
      </c>
      <c r="L5581">
        <v>21.5</v>
      </c>
      <c r="M5581">
        <v>21.5</v>
      </c>
      <c r="N5581" t="s">
        <v>5272</v>
      </c>
      <c r="O5581" t="s">
        <v>458</v>
      </c>
    </row>
    <row r="5582" spans="1:15" x14ac:dyDescent="0.3">
      <c r="A5582">
        <v>185229</v>
      </c>
      <c r="B5582">
        <v>105</v>
      </c>
      <c r="C5582" t="s">
        <v>557</v>
      </c>
      <c r="D5582" t="s">
        <v>2605</v>
      </c>
      <c r="E5582" t="s">
        <v>3798</v>
      </c>
      <c r="F5582" s="451">
        <v>46006</v>
      </c>
      <c r="G5582">
        <v>20657</v>
      </c>
      <c r="H5582" t="s">
        <v>5109</v>
      </c>
      <c r="I5582" t="s">
        <v>5191</v>
      </c>
      <c r="J5582">
        <v>3</v>
      </c>
      <c r="K5582" t="s">
        <v>5206</v>
      </c>
      <c r="L5582">
        <v>19.079999999999998</v>
      </c>
      <c r="M5582">
        <v>6.36</v>
      </c>
      <c r="N5582" t="s">
        <v>5272</v>
      </c>
      <c r="O5582" t="s">
        <v>458</v>
      </c>
    </row>
    <row r="5583" spans="1:15" x14ac:dyDescent="0.3">
      <c r="A5583">
        <v>185229</v>
      </c>
      <c r="B5583">
        <v>105</v>
      </c>
      <c r="C5583" t="s">
        <v>557</v>
      </c>
      <c r="D5583" t="s">
        <v>2605</v>
      </c>
      <c r="E5583" t="s">
        <v>3798</v>
      </c>
      <c r="F5583" s="451">
        <v>46006</v>
      </c>
      <c r="G5583">
        <v>20295</v>
      </c>
      <c r="H5583" t="s">
        <v>4881</v>
      </c>
      <c r="I5583" t="s">
        <v>5191</v>
      </c>
      <c r="J5583">
        <v>2</v>
      </c>
      <c r="K5583" t="s">
        <v>4738</v>
      </c>
      <c r="L5583">
        <v>19.079999999999998</v>
      </c>
      <c r="M5583">
        <v>9.5399999999999991</v>
      </c>
      <c r="N5583" t="s">
        <v>5272</v>
      </c>
      <c r="O5583" t="s">
        <v>458</v>
      </c>
    </row>
    <row r="5584" spans="1:15" x14ac:dyDescent="0.3">
      <c r="A5584">
        <v>185229</v>
      </c>
      <c r="B5584">
        <v>105</v>
      </c>
      <c r="C5584" t="s">
        <v>557</v>
      </c>
      <c r="D5584" t="s">
        <v>2605</v>
      </c>
      <c r="E5584" t="s">
        <v>3798</v>
      </c>
      <c r="F5584" s="451">
        <v>46006</v>
      </c>
      <c r="G5584">
        <v>20585</v>
      </c>
      <c r="H5584" t="s">
        <v>5025</v>
      </c>
      <c r="I5584" t="s">
        <v>5191</v>
      </c>
      <c r="J5584">
        <v>1</v>
      </c>
      <c r="K5584" t="s">
        <v>4736</v>
      </c>
      <c r="L5584">
        <v>29</v>
      </c>
      <c r="M5584">
        <v>29</v>
      </c>
      <c r="N5584" t="s">
        <v>5272</v>
      </c>
      <c r="O5584" t="s">
        <v>458</v>
      </c>
    </row>
    <row r="5585" spans="1:15" x14ac:dyDescent="0.3">
      <c r="A5585">
        <v>185229</v>
      </c>
      <c r="B5585">
        <v>105</v>
      </c>
      <c r="C5585" t="s">
        <v>557</v>
      </c>
      <c r="D5585" t="s">
        <v>2605</v>
      </c>
      <c r="E5585" t="s">
        <v>3798</v>
      </c>
      <c r="F5585" s="451">
        <v>46006</v>
      </c>
      <c r="G5585">
        <v>23884</v>
      </c>
      <c r="H5585" t="s">
        <v>5070</v>
      </c>
      <c r="I5585" t="s">
        <v>5191</v>
      </c>
      <c r="J5585">
        <v>1</v>
      </c>
      <c r="K5585" t="s">
        <v>4736</v>
      </c>
      <c r="L5585">
        <v>9.35</v>
      </c>
      <c r="M5585">
        <v>9.35</v>
      </c>
      <c r="N5585" t="s">
        <v>5272</v>
      </c>
      <c r="O5585" t="s">
        <v>458</v>
      </c>
    </row>
    <row r="5586" spans="1:15" x14ac:dyDescent="0.3">
      <c r="A5586">
        <v>185229</v>
      </c>
      <c r="B5586">
        <v>105</v>
      </c>
      <c r="C5586" t="s">
        <v>557</v>
      </c>
      <c r="D5586" t="s">
        <v>2605</v>
      </c>
      <c r="E5586" t="s">
        <v>3798</v>
      </c>
      <c r="F5586" s="451">
        <v>46006</v>
      </c>
      <c r="G5586">
        <v>27397</v>
      </c>
      <c r="H5586" t="s">
        <v>4913</v>
      </c>
      <c r="I5586" t="s">
        <v>5191</v>
      </c>
      <c r="J5586">
        <v>3</v>
      </c>
      <c r="K5586" t="s">
        <v>4736</v>
      </c>
      <c r="L5586">
        <v>183.3</v>
      </c>
      <c r="M5586">
        <v>61.1</v>
      </c>
      <c r="N5586" t="s">
        <v>5272</v>
      </c>
      <c r="O5586" t="s">
        <v>458</v>
      </c>
    </row>
    <row r="5587" spans="1:15" x14ac:dyDescent="0.3">
      <c r="A5587">
        <v>185225</v>
      </c>
      <c r="B5587">
        <v>105</v>
      </c>
      <c r="C5587" t="s">
        <v>557</v>
      </c>
      <c r="D5587" t="s">
        <v>2627</v>
      </c>
      <c r="E5587" t="s">
        <v>3799</v>
      </c>
      <c r="F5587" s="451">
        <v>46006</v>
      </c>
      <c r="G5587">
        <v>21021</v>
      </c>
      <c r="H5587" t="s">
        <v>4883</v>
      </c>
      <c r="I5587" t="s">
        <v>5191</v>
      </c>
      <c r="J5587">
        <v>4</v>
      </c>
      <c r="K5587" t="s">
        <v>4736</v>
      </c>
      <c r="L5587">
        <v>796</v>
      </c>
      <c r="M5587">
        <v>199</v>
      </c>
      <c r="N5587" t="s">
        <v>5272</v>
      </c>
      <c r="O5587" t="s">
        <v>458</v>
      </c>
    </row>
    <row r="5588" spans="1:15" x14ac:dyDescent="0.3">
      <c r="A5588">
        <v>185225</v>
      </c>
      <c r="B5588">
        <v>105</v>
      </c>
      <c r="C5588" t="s">
        <v>557</v>
      </c>
      <c r="D5588" t="s">
        <v>2627</v>
      </c>
      <c r="E5588" t="s">
        <v>3799</v>
      </c>
      <c r="F5588" s="451">
        <v>46006</v>
      </c>
      <c r="G5588">
        <v>25075</v>
      </c>
      <c r="H5588" t="s">
        <v>4790</v>
      </c>
      <c r="I5588" t="s">
        <v>5191</v>
      </c>
      <c r="J5588">
        <v>6</v>
      </c>
      <c r="K5588" t="s">
        <v>5228</v>
      </c>
      <c r="L5588">
        <v>53.7</v>
      </c>
      <c r="M5588">
        <v>8.9499999999999993</v>
      </c>
      <c r="N5588" t="s">
        <v>5272</v>
      </c>
      <c r="O5588" t="s">
        <v>458</v>
      </c>
    </row>
    <row r="5589" spans="1:15" x14ac:dyDescent="0.3">
      <c r="A5589">
        <v>185225</v>
      </c>
      <c r="B5589">
        <v>105</v>
      </c>
      <c r="C5589" t="s">
        <v>557</v>
      </c>
      <c r="D5589" t="s">
        <v>2627</v>
      </c>
      <c r="E5589" t="s">
        <v>3799</v>
      </c>
      <c r="F5589" s="451">
        <v>46006</v>
      </c>
      <c r="G5589">
        <v>20105</v>
      </c>
      <c r="H5589" t="s">
        <v>4831</v>
      </c>
      <c r="I5589" t="s">
        <v>5191</v>
      </c>
      <c r="J5589">
        <v>5</v>
      </c>
      <c r="K5589" t="s">
        <v>4744</v>
      </c>
      <c r="L5589">
        <v>67.75</v>
      </c>
      <c r="M5589">
        <v>13.55</v>
      </c>
      <c r="N5589" t="s">
        <v>5272</v>
      </c>
      <c r="O5589" t="s">
        <v>458</v>
      </c>
    </row>
    <row r="5590" spans="1:15" x14ac:dyDescent="0.3">
      <c r="A5590">
        <v>185224</v>
      </c>
      <c r="B5590">
        <v>105</v>
      </c>
      <c r="C5590" t="s">
        <v>557</v>
      </c>
      <c r="D5590" t="s">
        <v>2581</v>
      </c>
      <c r="E5590" t="s">
        <v>3800</v>
      </c>
      <c r="F5590" s="451">
        <v>46008</v>
      </c>
      <c r="G5590">
        <v>19787</v>
      </c>
      <c r="H5590" t="s">
        <v>4793</v>
      </c>
      <c r="I5590" t="s">
        <v>5191</v>
      </c>
      <c r="J5590">
        <v>12</v>
      </c>
      <c r="K5590" t="s">
        <v>4744</v>
      </c>
      <c r="L5590">
        <v>54</v>
      </c>
      <c r="M5590">
        <v>4.5</v>
      </c>
      <c r="N5590" t="s">
        <v>5272</v>
      </c>
      <c r="O5590" t="s">
        <v>458</v>
      </c>
    </row>
    <row r="5591" spans="1:15" x14ac:dyDescent="0.3">
      <c r="A5591">
        <v>185224</v>
      </c>
      <c r="B5591">
        <v>105</v>
      </c>
      <c r="C5591" t="s">
        <v>557</v>
      </c>
      <c r="D5591" t="s">
        <v>2581</v>
      </c>
      <c r="E5591" t="s">
        <v>3800</v>
      </c>
      <c r="F5591" s="451">
        <v>46008</v>
      </c>
      <c r="G5591">
        <v>24083</v>
      </c>
      <c r="H5591" t="s">
        <v>5165</v>
      </c>
      <c r="I5591" t="s">
        <v>5191</v>
      </c>
      <c r="J5591">
        <v>20</v>
      </c>
      <c r="K5591" t="s">
        <v>4744</v>
      </c>
      <c r="L5591">
        <v>73</v>
      </c>
      <c r="M5591">
        <v>3.65</v>
      </c>
      <c r="N5591" t="s">
        <v>5272</v>
      </c>
      <c r="O5591" t="s">
        <v>458</v>
      </c>
    </row>
    <row r="5592" spans="1:15" x14ac:dyDescent="0.3">
      <c r="A5592">
        <v>185224</v>
      </c>
      <c r="B5592">
        <v>105</v>
      </c>
      <c r="C5592" t="s">
        <v>557</v>
      </c>
      <c r="D5592" t="s">
        <v>2581</v>
      </c>
      <c r="E5592" t="s">
        <v>3800</v>
      </c>
      <c r="F5592" s="451">
        <v>46008</v>
      </c>
      <c r="G5592">
        <v>19621</v>
      </c>
      <c r="H5592" t="s">
        <v>4829</v>
      </c>
      <c r="I5592" t="s">
        <v>5191</v>
      </c>
      <c r="J5592">
        <v>3</v>
      </c>
      <c r="K5592" t="s">
        <v>4744</v>
      </c>
      <c r="L5592">
        <v>7.2</v>
      </c>
      <c r="M5592">
        <v>2.4</v>
      </c>
      <c r="N5592" t="s">
        <v>5272</v>
      </c>
      <c r="O5592" t="s">
        <v>458</v>
      </c>
    </row>
    <row r="5593" spans="1:15" x14ac:dyDescent="0.3">
      <c r="A5593">
        <v>185224</v>
      </c>
      <c r="B5593">
        <v>105</v>
      </c>
      <c r="C5593" t="s">
        <v>557</v>
      </c>
      <c r="D5593" t="s">
        <v>2581</v>
      </c>
      <c r="E5593" t="s">
        <v>3800</v>
      </c>
      <c r="F5593" s="451">
        <v>46008</v>
      </c>
      <c r="G5593">
        <v>19505</v>
      </c>
      <c r="H5593" t="s">
        <v>4872</v>
      </c>
      <c r="I5593" t="s">
        <v>5191</v>
      </c>
      <c r="J5593">
        <v>5</v>
      </c>
      <c r="K5593" t="s">
        <v>4744</v>
      </c>
      <c r="L5593">
        <v>31</v>
      </c>
      <c r="M5593">
        <v>6.2</v>
      </c>
      <c r="N5593" t="s">
        <v>5272</v>
      </c>
      <c r="O5593" t="s">
        <v>458</v>
      </c>
    </row>
    <row r="5594" spans="1:15" x14ac:dyDescent="0.3">
      <c r="A5594">
        <v>185224</v>
      </c>
      <c r="B5594">
        <v>105</v>
      </c>
      <c r="C5594" t="s">
        <v>557</v>
      </c>
      <c r="D5594" t="s">
        <v>2581</v>
      </c>
      <c r="E5594" t="s">
        <v>3800</v>
      </c>
      <c r="F5594" s="451">
        <v>46008</v>
      </c>
      <c r="G5594">
        <v>19654</v>
      </c>
      <c r="H5594" t="s">
        <v>5099</v>
      </c>
      <c r="I5594" t="s">
        <v>5191</v>
      </c>
      <c r="J5594">
        <v>4</v>
      </c>
      <c r="K5594" t="s">
        <v>4744</v>
      </c>
      <c r="L5594">
        <v>12.8</v>
      </c>
      <c r="M5594">
        <v>3.2</v>
      </c>
      <c r="N5594" t="s">
        <v>5272</v>
      </c>
      <c r="O5594" t="s">
        <v>458</v>
      </c>
    </row>
    <row r="5595" spans="1:15" x14ac:dyDescent="0.3">
      <c r="A5595">
        <v>185224</v>
      </c>
      <c r="B5595">
        <v>105</v>
      </c>
      <c r="C5595" t="s">
        <v>557</v>
      </c>
      <c r="D5595" t="s">
        <v>2581</v>
      </c>
      <c r="E5595" t="s">
        <v>3800</v>
      </c>
      <c r="F5595" s="451">
        <v>46008</v>
      </c>
      <c r="G5595">
        <v>19476</v>
      </c>
      <c r="H5595" t="s">
        <v>5115</v>
      </c>
      <c r="I5595" t="s">
        <v>5191</v>
      </c>
      <c r="J5595">
        <v>0.1</v>
      </c>
      <c r="K5595" t="s">
        <v>4744</v>
      </c>
      <c r="L5595">
        <v>7</v>
      </c>
      <c r="M5595">
        <v>70</v>
      </c>
      <c r="N5595" t="s">
        <v>5272</v>
      </c>
      <c r="O5595" t="s">
        <v>458</v>
      </c>
    </row>
    <row r="5596" spans="1:15" x14ac:dyDescent="0.3">
      <c r="A5596">
        <v>185224</v>
      </c>
      <c r="B5596">
        <v>105</v>
      </c>
      <c r="C5596" t="s">
        <v>557</v>
      </c>
      <c r="D5596" t="s">
        <v>2581</v>
      </c>
      <c r="E5596" t="s">
        <v>3800</v>
      </c>
      <c r="F5596" s="451">
        <v>46008</v>
      </c>
      <c r="G5596">
        <v>19480</v>
      </c>
      <c r="H5596" t="s">
        <v>5119</v>
      </c>
      <c r="I5596" t="s">
        <v>5191</v>
      </c>
      <c r="J5596">
        <v>0.6</v>
      </c>
      <c r="K5596" t="s">
        <v>4744</v>
      </c>
      <c r="L5596">
        <v>7.8</v>
      </c>
      <c r="M5596">
        <v>13</v>
      </c>
      <c r="N5596" t="s">
        <v>5272</v>
      </c>
      <c r="O5596" t="s">
        <v>458</v>
      </c>
    </row>
    <row r="5597" spans="1:15" x14ac:dyDescent="0.3">
      <c r="A5597">
        <v>185224</v>
      </c>
      <c r="B5597">
        <v>105</v>
      </c>
      <c r="C5597" t="s">
        <v>557</v>
      </c>
      <c r="D5597" t="s">
        <v>2581</v>
      </c>
      <c r="E5597" t="s">
        <v>3800</v>
      </c>
      <c r="F5597" s="451">
        <v>46008</v>
      </c>
      <c r="G5597">
        <v>19551</v>
      </c>
      <c r="H5597" t="s">
        <v>4905</v>
      </c>
      <c r="I5597" t="s">
        <v>5191</v>
      </c>
      <c r="J5597">
        <v>2</v>
      </c>
      <c r="K5597" t="s">
        <v>4744</v>
      </c>
      <c r="L5597">
        <v>26</v>
      </c>
      <c r="M5597">
        <v>13</v>
      </c>
      <c r="N5597" t="s">
        <v>5272</v>
      </c>
      <c r="O5597" t="s">
        <v>458</v>
      </c>
    </row>
    <row r="5598" spans="1:15" x14ac:dyDescent="0.3">
      <c r="A5598">
        <v>185224</v>
      </c>
      <c r="B5598">
        <v>105</v>
      </c>
      <c r="C5598" t="s">
        <v>557</v>
      </c>
      <c r="D5598" t="s">
        <v>2581</v>
      </c>
      <c r="E5598" t="s">
        <v>3800</v>
      </c>
      <c r="F5598" s="451">
        <v>46008</v>
      </c>
      <c r="G5598">
        <v>19617</v>
      </c>
      <c r="H5598" t="s">
        <v>5071</v>
      </c>
      <c r="I5598" t="s">
        <v>5191</v>
      </c>
      <c r="J5598">
        <v>0.5</v>
      </c>
      <c r="K5598" t="s">
        <v>4744</v>
      </c>
      <c r="L5598">
        <v>7.5</v>
      </c>
      <c r="M5598">
        <v>15</v>
      </c>
      <c r="N5598" t="s">
        <v>5272</v>
      </c>
      <c r="O5598" t="s">
        <v>458</v>
      </c>
    </row>
    <row r="5599" spans="1:15" x14ac:dyDescent="0.3">
      <c r="A5599">
        <v>185224</v>
      </c>
      <c r="B5599">
        <v>105</v>
      </c>
      <c r="C5599" t="s">
        <v>557</v>
      </c>
      <c r="D5599" t="s">
        <v>2581</v>
      </c>
      <c r="E5599" t="s">
        <v>3800</v>
      </c>
      <c r="F5599" s="451">
        <v>46008</v>
      </c>
      <c r="G5599">
        <v>19635</v>
      </c>
      <c r="H5599" t="s">
        <v>4786</v>
      </c>
      <c r="I5599" t="s">
        <v>5191</v>
      </c>
      <c r="J5599">
        <v>6</v>
      </c>
      <c r="K5599" t="s">
        <v>4744</v>
      </c>
      <c r="L5599">
        <v>22.5</v>
      </c>
      <c r="M5599">
        <v>3.75</v>
      </c>
      <c r="N5599" t="s">
        <v>5272</v>
      </c>
      <c r="O5599" t="s">
        <v>458</v>
      </c>
    </row>
    <row r="5600" spans="1:15" x14ac:dyDescent="0.3">
      <c r="A5600">
        <v>185224</v>
      </c>
      <c r="B5600">
        <v>105</v>
      </c>
      <c r="C5600" t="s">
        <v>557</v>
      </c>
      <c r="D5600" t="s">
        <v>2581</v>
      </c>
      <c r="E5600" t="s">
        <v>3800</v>
      </c>
      <c r="F5600" s="451">
        <v>46008</v>
      </c>
      <c r="G5600">
        <v>23113</v>
      </c>
      <c r="H5600" t="s">
        <v>5074</v>
      </c>
      <c r="I5600" t="s">
        <v>5191</v>
      </c>
      <c r="J5600">
        <v>5</v>
      </c>
      <c r="K5600" t="s">
        <v>4744</v>
      </c>
      <c r="L5600">
        <v>45</v>
      </c>
      <c r="M5600">
        <v>9</v>
      </c>
      <c r="N5600" t="s">
        <v>5272</v>
      </c>
      <c r="O5600" t="s">
        <v>458</v>
      </c>
    </row>
    <row r="5601" spans="1:15" x14ac:dyDescent="0.3">
      <c r="A5601">
        <v>185224</v>
      </c>
      <c r="B5601">
        <v>105</v>
      </c>
      <c r="C5601" t="s">
        <v>557</v>
      </c>
      <c r="D5601" t="s">
        <v>2581</v>
      </c>
      <c r="E5601" t="s">
        <v>3800</v>
      </c>
      <c r="F5601" s="451">
        <v>46008</v>
      </c>
      <c r="G5601">
        <v>23108</v>
      </c>
      <c r="H5601" t="s">
        <v>5117</v>
      </c>
      <c r="I5601" t="s">
        <v>5191</v>
      </c>
      <c r="J5601">
        <v>0.1</v>
      </c>
      <c r="K5601" t="s">
        <v>4744</v>
      </c>
      <c r="L5601">
        <v>5.5</v>
      </c>
      <c r="M5601">
        <v>55</v>
      </c>
      <c r="N5601" t="s">
        <v>5272</v>
      </c>
      <c r="O5601" t="s">
        <v>458</v>
      </c>
    </row>
    <row r="5602" spans="1:15" x14ac:dyDescent="0.3">
      <c r="A5602">
        <v>185224</v>
      </c>
      <c r="B5602">
        <v>105</v>
      </c>
      <c r="C5602" t="s">
        <v>557</v>
      </c>
      <c r="D5602" t="s">
        <v>2581</v>
      </c>
      <c r="E5602" t="s">
        <v>3800</v>
      </c>
      <c r="F5602" s="451">
        <v>46008</v>
      </c>
      <c r="G5602">
        <v>23359</v>
      </c>
      <c r="H5602" t="s">
        <v>4767</v>
      </c>
      <c r="I5602" t="s">
        <v>5191</v>
      </c>
      <c r="J5602">
        <v>15</v>
      </c>
      <c r="K5602" t="s">
        <v>4744</v>
      </c>
      <c r="L5602">
        <v>45</v>
      </c>
      <c r="M5602">
        <v>3</v>
      </c>
      <c r="N5602" t="s">
        <v>5272</v>
      </c>
      <c r="O5602" t="s">
        <v>458</v>
      </c>
    </row>
    <row r="5603" spans="1:15" x14ac:dyDescent="0.3">
      <c r="A5603">
        <v>185224</v>
      </c>
      <c r="B5603">
        <v>105</v>
      </c>
      <c r="C5603" t="s">
        <v>557</v>
      </c>
      <c r="D5603" t="s">
        <v>2581</v>
      </c>
      <c r="E5603" t="s">
        <v>3800</v>
      </c>
      <c r="F5603" s="451">
        <v>46008</v>
      </c>
      <c r="G5603">
        <v>23390</v>
      </c>
      <c r="H5603" t="s">
        <v>4873</v>
      </c>
      <c r="I5603" t="s">
        <v>5191</v>
      </c>
      <c r="J5603">
        <v>0.5</v>
      </c>
      <c r="K5603" t="s">
        <v>4744</v>
      </c>
      <c r="L5603">
        <v>4.5</v>
      </c>
      <c r="M5603">
        <v>9</v>
      </c>
      <c r="N5603" t="s">
        <v>5272</v>
      </c>
      <c r="O5603" t="s">
        <v>458</v>
      </c>
    </row>
    <row r="5604" spans="1:15" x14ac:dyDescent="0.3">
      <c r="A5604">
        <v>185224</v>
      </c>
      <c r="B5604">
        <v>105</v>
      </c>
      <c r="C5604" t="s">
        <v>557</v>
      </c>
      <c r="D5604" t="s">
        <v>2581</v>
      </c>
      <c r="E5604" t="s">
        <v>3800</v>
      </c>
      <c r="F5604" s="451">
        <v>46008</v>
      </c>
      <c r="G5604">
        <v>23095</v>
      </c>
      <c r="H5604" t="s">
        <v>4741</v>
      </c>
      <c r="I5604" t="s">
        <v>5191</v>
      </c>
      <c r="J5604">
        <v>50</v>
      </c>
      <c r="K5604" t="s">
        <v>4736</v>
      </c>
      <c r="L5604">
        <v>47</v>
      </c>
      <c r="M5604">
        <v>0.94</v>
      </c>
      <c r="N5604" t="s">
        <v>5272</v>
      </c>
      <c r="O5604" t="s">
        <v>458</v>
      </c>
    </row>
    <row r="5605" spans="1:15" x14ac:dyDescent="0.3">
      <c r="A5605">
        <v>185224</v>
      </c>
      <c r="B5605">
        <v>105</v>
      </c>
      <c r="C5605" t="s">
        <v>557</v>
      </c>
      <c r="D5605" t="s">
        <v>2581</v>
      </c>
      <c r="E5605" t="s">
        <v>3800</v>
      </c>
      <c r="F5605" s="451">
        <v>46008</v>
      </c>
      <c r="G5605">
        <v>23361</v>
      </c>
      <c r="H5605" t="s">
        <v>4754</v>
      </c>
      <c r="I5605" t="s">
        <v>5191</v>
      </c>
      <c r="J5605">
        <v>15</v>
      </c>
      <c r="K5605" t="s">
        <v>4744</v>
      </c>
      <c r="L5605">
        <v>46.5</v>
      </c>
      <c r="M5605">
        <v>3.1</v>
      </c>
      <c r="N5605" t="s">
        <v>5272</v>
      </c>
      <c r="O5605" t="s">
        <v>458</v>
      </c>
    </row>
    <row r="5606" spans="1:15" x14ac:dyDescent="0.3">
      <c r="A5606">
        <v>185224</v>
      </c>
      <c r="B5606">
        <v>105</v>
      </c>
      <c r="C5606" t="s">
        <v>557</v>
      </c>
      <c r="D5606" t="s">
        <v>2581</v>
      </c>
      <c r="E5606" t="s">
        <v>3800</v>
      </c>
      <c r="F5606" s="451">
        <v>46008</v>
      </c>
      <c r="G5606">
        <v>24037</v>
      </c>
      <c r="H5606" t="s">
        <v>5233</v>
      </c>
      <c r="I5606" t="s">
        <v>5191</v>
      </c>
      <c r="J5606">
        <v>4</v>
      </c>
      <c r="K5606" t="s">
        <v>4744</v>
      </c>
      <c r="L5606">
        <v>80</v>
      </c>
      <c r="M5606">
        <v>20</v>
      </c>
      <c r="N5606" t="s">
        <v>5272</v>
      </c>
      <c r="O5606" t="s">
        <v>458</v>
      </c>
    </row>
    <row r="5607" spans="1:15" x14ac:dyDescent="0.3">
      <c r="A5607">
        <v>185223</v>
      </c>
      <c r="B5607">
        <v>105</v>
      </c>
      <c r="C5607" t="s">
        <v>557</v>
      </c>
      <c r="D5607" t="s">
        <v>2581</v>
      </c>
      <c r="E5607" t="s">
        <v>3801</v>
      </c>
      <c r="F5607" s="451">
        <v>46007</v>
      </c>
      <c r="G5607">
        <v>19505</v>
      </c>
      <c r="H5607" t="s">
        <v>4872</v>
      </c>
      <c r="I5607" t="s">
        <v>5191</v>
      </c>
      <c r="J5607">
        <v>5</v>
      </c>
      <c r="K5607" t="s">
        <v>4744</v>
      </c>
      <c r="L5607">
        <v>32.5</v>
      </c>
      <c r="M5607">
        <v>6.5</v>
      </c>
      <c r="N5607" t="s">
        <v>5272</v>
      </c>
      <c r="O5607" t="s">
        <v>458</v>
      </c>
    </row>
    <row r="5608" spans="1:15" x14ac:dyDescent="0.3">
      <c r="A5608">
        <v>185223</v>
      </c>
      <c r="B5608">
        <v>105</v>
      </c>
      <c r="C5608" t="s">
        <v>557</v>
      </c>
      <c r="D5608" t="s">
        <v>2581</v>
      </c>
      <c r="E5608" t="s">
        <v>3801</v>
      </c>
      <c r="F5608" s="451">
        <v>46007</v>
      </c>
      <c r="G5608">
        <v>23095</v>
      </c>
      <c r="H5608" t="s">
        <v>4741</v>
      </c>
      <c r="I5608" t="s">
        <v>5191</v>
      </c>
      <c r="J5608">
        <v>50</v>
      </c>
      <c r="K5608" t="s">
        <v>4736</v>
      </c>
      <c r="L5608">
        <v>47</v>
      </c>
      <c r="M5608">
        <v>0.94</v>
      </c>
      <c r="N5608" t="s">
        <v>5272</v>
      </c>
      <c r="O5608" t="s">
        <v>458</v>
      </c>
    </row>
    <row r="5609" spans="1:15" x14ac:dyDescent="0.3">
      <c r="A5609">
        <v>185223</v>
      </c>
      <c r="B5609">
        <v>105</v>
      </c>
      <c r="C5609" t="s">
        <v>557</v>
      </c>
      <c r="D5609" t="s">
        <v>2581</v>
      </c>
      <c r="E5609" t="s">
        <v>3801</v>
      </c>
      <c r="F5609" s="451">
        <v>46007</v>
      </c>
      <c r="G5609">
        <v>19532</v>
      </c>
      <c r="H5609" t="s">
        <v>4753</v>
      </c>
      <c r="I5609" t="s">
        <v>5191</v>
      </c>
      <c r="J5609">
        <v>15</v>
      </c>
      <c r="K5609" t="s">
        <v>4744</v>
      </c>
      <c r="L5609">
        <v>64.5</v>
      </c>
      <c r="M5609">
        <v>4.3</v>
      </c>
      <c r="N5609" t="s">
        <v>5272</v>
      </c>
      <c r="O5609" t="s">
        <v>458</v>
      </c>
    </row>
    <row r="5610" spans="1:15" x14ac:dyDescent="0.3">
      <c r="A5610">
        <v>185222</v>
      </c>
      <c r="B5610">
        <v>105</v>
      </c>
      <c r="C5610" t="s">
        <v>557</v>
      </c>
      <c r="D5610" t="s">
        <v>2581</v>
      </c>
      <c r="E5610" t="s">
        <v>3802</v>
      </c>
      <c r="F5610" s="451">
        <v>46006</v>
      </c>
      <c r="G5610">
        <v>19505</v>
      </c>
      <c r="H5610" t="s">
        <v>4872</v>
      </c>
      <c r="I5610" t="s">
        <v>5191</v>
      </c>
      <c r="J5610">
        <v>4.3</v>
      </c>
      <c r="K5610" t="s">
        <v>4744</v>
      </c>
      <c r="L5610">
        <v>27.95</v>
      </c>
      <c r="M5610">
        <v>6.5</v>
      </c>
      <c r="N5610" t="s">
        <v>5272</v>
      </c>
      <c r="O5610" t="s">
        <v>458</v>
      </c>
    </row>
    <row r="5611" spans="1:15" x14ac:dyDescent="0.3">
      <c r="A5611">
        <v>185220</v>
      </c>
      <c r="B5611">
        <v>105</v>
      </c>
      <c r="C5611" t="s">
        <v>557</v>
      </c>
      <c r="D5611" t="s">
        <v>2581</v>
      </c>
      <c r="E5611" t="s">
        <v>3803</v>
      </c>
      <c r="F5611" s="451">
        <v>46004</v>
      </c>
      <c r="G5611">
        <v>23785</v>
      </c>
      <c r="H5611" t="s">
        <v>4858</v>
      </c>
      <c r="I5611" t="s">
        <v>5191</v>
      </c>
      <c r="J5611">
        <v>6</v>
      </c>
      <c r="K5611" t="s">
        <v>4744</v>
      </c>
      <c r="L5611">
        <v>252</v>
      </c>
      <c r="M5611">
        <v>42</v>
      </c>
      <c r="N5611" t="s">
        <v>5272</v>
      </c>
      <c r="O5611" t="s">
        <v>458</v>
      </c>
    </row>
    <row r="5612" spans="1:15" x14ac:dyDescent="0.3">
      <c r="A5612">
        <v>185219</v>
      </c>
      <c r="B5612">
        <v>105</v>
      </c>
      <c r="C5612" t="s">
        <v>557</v>
      </c>
      <c r="D5612" t="s">
        <v>2581</v>
      </c>
      <c r="E5612" t="s">
        <v>3804</v>
      </c>
      <c r="F5612" s="451">
        <v>46003</v>
      </c>
      <c r="G5612">
        <v>19787</v>
      </c>
      <c r="H5612" t="s">
        <v>4793</v>
      </c>
      <c r="I5612" t="s">
        <v>5191</v>
      </c>
      <c r="J5612">
        <v>14</v>
      </c>
      <c r="K5612" t="s">
        <v>4744</v>
      </c>
      <c r="L5612">
        <v>61.6</v>
      </c>
      <c r="M5612">
        <v>4.4000000000000004</v>
      </c>
      <c r="N5612" t="s">
        <v>5272</v>
      </c>
      <c r="O5612" t="s">
        <v>458</v>
      </c>
    </row>
    <row r="5613" spans="1:15" x14ac:dyDescent="0.3">
      <c r="A5613">
        <v>185219</v>
      </c>
      <c r="B5613">
        <v>105</v>
      </c>
      <c r="C5613" t="s">
        <v>557</v>
      </c>
      <c r="D5613" t="s">
        <v>2581</v>
      </c>
      <c r="E5613" t="s">
        <v>3804</v>
      </c>
      <c r="F5613" s="451">
        <v>46003</v>
      </c>
      <c r="G5613">
        <v>19621</v>
      </c>
      <c r="H5613" t="s">
        <v>4829</v>
      </c>
      <c r="I5613" t="s">
        <v>5191</v>
      </c>
      <c r="J5613">
        <v>4</v>
      </c>
      <c r="K5613" t="s">
        <v>4744</v>
      </c>
      <c r="L5613">
        <v>9.1999999999999993</v>
      </c>
      <c r="M5613">
        <v>2.2999999999999998</v>
      </c>
      <c r="N5613" t="s">
        <v>5272</v>
      </c>
      <c r="O5613" t="s">
        <v>458</v>
      </c>
    </row>
    <row r="5614" spans="1:15" x14ac:dyDescent="0.3">
      <c r="A5614">
        <v>185219</v>
      </c>
      <c r="B5614">
        <v>105</v>
      </c>
      <c r="C5614" t="s">
        <v>557</v>
      </c>
      <c r="D5614" t="s">
        <v>2581</v>
      </c>
      <c r="E5614" t="s">
        <v>3804</v>
      </c>
      <c r="F5614" s="451">
        <v>46003</v>
      </c>
      <c r="G5614">
        <v>19589</v>
      </c>
      <c r="H5614" t="s">
        <v>4983</v>
      </c>
      <c r="I5614" t="s">
        <v>5191</v>
      </c>
      <c r="J5614">
        <v>3</v>
      </c>
      <c r="K5614" t="s">
        <v>4744</v>
      </c>
      <c r="L5614">
        <v>11.55</v>
      </c>
      <c r="M5614">
        <v>3.85</v>
      </c>
      <c r="N5614" t="s">
        <v>5272</v>
      </c>
      <c r="O5614" t="s">
        <v>458</v>
      </c>
    </row>
    <row r="5615" spans="1:15" x14ac:dyDescent="0.3">
      <c r="A5615">
        <v>185219</v>
      </c>
      <c r="B5615">
        <v>105</v>
      </c>
      <c r="C5615" t="s">
        <v>557</v>
      </c>
      <c r="D5615" t="s">
        <v>2581</v>
      </c>
      <c r="E5615" t="s">
        <v>3804</v>
      </c>
      <c r="F5615" s="451">
        <v>46003</v>
      </c>
      <c r="G5615">
        <v>19505</v>
      </c>
      <c r="H5615" t="s">
        <v>4872</v>
      </c>
      <c r="I5615" t="s">
        <v>5191</v>
      </c>
      <c r="J5615">
        <v>3</v>
      </c>
      <c r="K5615" t="s">
        <v>4744</v>
      </c>
      <c r="L5615">
        <v>18</v>
      </c>
      <c r="M5615">
        <v>6</v>
      </c>
      <c r="N5615" t="s">
        <v>5272</v>
      </c>
      <c r="O5615" t="s">
        <v>458</v>
      </c>
    </row>
    <row r="5616" spans="1:15" x14ac:dyDescent="0.3">
      <c r="A5616">
        <v>185219</v>
      </c>
      <c r="B5616">
        <v>105</v>
      </c>
      <c r="C5616" t="s">
        <v>557</v>
      </c>
      <c r="D5616" t="s">
        <v>2581</v>
      </c>
      <c r="E5616" t="s">
        <v>3804</v>
      </c>
      <c r="F5616" s="451">
        <v>46003</v>
      </c>
      <c r="G5616">
        <v>19502</v>
      </c>
      <c r="H5616" t="s">
        <v>4871</v>
      </c>
      <c r="I5616" t="s">
        <v>5191</v>
      </c>
      <c r="J5616">
        <v>1.9</v>
      </c>
      <c r="K5616" t="s">
        <v>4744</v>
      </c>
      <c r="L5616">
        <v>14.25</v>
      </c>
      <c r="M5616">
        <v>7.5</v>
      </c>
      <c r="N5616" t="s">
        <v>5272</v>
      </c>
      <c r="O5616" t="s">
        <v>458</v>
      </c>
    </row>
    <row r="5617" spans="1:15" x14ac:dyDescent="0.3">
      <c r="A5617">
        <v>185219</v>
      </c>
      <c r="B5617">
        <v>105</v>
      </c>
      <c r="C5617" t="s">
        <v>557</v>
      </c>
      <c r="D5617" t="s">
        <v>2581</v>
      </c>
      <c r="E5617" t="s">
        <v>3804</v>
      </c>
      <c r="F5617" s="451">
        <v>46003</v>
      </c>
      <c r="G5617">
        <v>19617</v>
      </c>
      <c r="H5617" t="s">
        <v>5071</v>
      </c>
      <c r="I5617" t="s">
        <v>5191</v>
      </c>
      <c r="J5617">
        <v>0.5</v>
      </c>
      <c r="K5617" t="s">
        <v>4744</v>
      </c>
      <c r="L5617">
        <v>8.5</v>
      </c>
      <c r="M5617">
        <v>17</v>
      </c>
      <c r="N5617" t="s">
        <v>5272</v>
      </c>
      <c r="O5617" t="s">
        <v>458</v>
      </c>
    </row>
    <row r="5618" spans="1:15" x14ac:dyDescent="0.3">
      <c r="A5618">
        <v>185219</v>
      </c>
      <c r="B5618">
        <v>105</v>
      </c>
      <c r="C5618" t="s">
        <v>557</v>
      </c>
      <c r="D5618" t="s">
        <v>2581</v>
      </c>
      <c r="E5618" t="s">
        <v>3804</v>
      </c>
      <c r="F5618" s="451">
        <v>46003</v>
      </c>
      <c r="G5618">
        <v>23113</v>
      </c>
      <c r="H5618" t="s">
        <v>5074</v>
      </c>
      <c r="I5618" t="s">
        <v>5191</v>
      </c>
      <c r="J5618">
        <v>2</v>
      </c>
      <c r="K5618" t="s">
        <v>4744</v>
      </c>
      <c r="L5618">
        <v>14</v>
      </c>
      <c r="M5618">
        <v>7</v>
      </c>
      <c r="N5618" t="s">
        <v>5272</v>
      </c>
      <c r="O5618" t="s">
        <v>458</v>
      </c>
    </row>
    <row r="5619" spans="1:15" x14ac:dyDescent="0.3">
      <c r="A5619">
        <v>185219</v>
      </c>
      <c r="B5619">
        <v>105</v>
      </c>
      <c r="C5619" t="s">
        <v>557</v>
      </c>
      <c r="D5619" t="s">
        <v>2581</v>
      </c>
      <c r="E5619" t="s">
        <v>3804</v>
      </c>
      <c r="F5619" s="451">
        <v>46003</v>
      </c>
      <c r="G5619">
        <v>23195</v>
      </c>
      <c r="H5619" t="s">
        <v>5051</v>
      </c>
      <c r="I5619" t="s">
        <v>5191</v>
      </c>
      <c r="J5619">
        <v>2</v>
      </c>
      <c r="K5619" t="s">
        <v>4744</v>
      </c>
      <c r="L5619">
        <v>15</v>
      </c>
      <c r="M5619">
        <v>7.5</v>
      </c>
      <c r="N5619" t="s">
        <v>5272</v>
      </c>
      <c r="O5619" t="s">
        <v>458</v>
      </c>
    </row>
    <row r="5620" spans="1:15" x14ac:dyDescent="0.3">
      <c r="A5620">
        <v>185219</v>
      </c>
      <c r="B5620">
        <v>105</v>
      </c>
      <c r="C5620" t="s">
        <v>557</v>
      </c>
      <c r="D5620" t="s">
        <v>2581</v>
      </c>
      <c r="E5620" t="s">
        <v>3804</v>
      </c>
      <c r="F5620" s="451">
        <v>46003</v>
      </c>
      <c r="G5620">
        <v>23095</v>
      </c>
      <c r="H5620" t="s">
        <v>4741</v>
      </c>
      <c r="I5620" t="s">
        <v>5191</v>
      </c>
      <c r="J5620">
        <v>50</v>
      </c>
      <c r="K5620" t="s">
        <v>4736</v>
      </c>
      <c r="L5620">
        <v>47</v>
      </c>
      <c r="M5620">
        <v>0.94</v>
      </c>
      <c r="N5620" t="s">
        <v>5272</v>
      </c>
      <c r="O5620" t="s">
        <v>458</v>
      </c>
    </row>
    <row r="5621" spans="1:15" x14ac:dyDescent="0.3">
      <c r="A5621">
        <v>185219</v>
      </c>
      <c r="B5621">
        <v>105</v>
      </c>
      <c r="C5621" t="s">
        <v>557</v>
      </c>
      <c r="D5621" t="s">
        <v>2581</v>
      </c>
      <c r="E5621" t="s">
        <v>3804</v>
      </c>
      <c r="F5621" s="451">
        <v>46003</v>
      </c>
      <c r="G5621">
        <v>19472</v>
      </c>
      <c r="H5621" t="s">
        <v>4906</v>
      </c>
      <c r="I5621" t="s">
        <v>5191</v>
      </c>
      <c r="J5621">
        <v>2.5</v>
      </c>
      <c r="K5621" t="s">
        <v>4744</v>
      </c>
      <c r="L5621">
        <v>31.25</v>
      </c>
      <c r="M5621">
        <v>12.5</v>
      </c>
      <c r="N5621" t="s">
        <v>5272</v>
      </c>
      <c r="O5621" t="s">
        <v>458</v>
      </c>
    </row>
    <row r="5622" spans="1:15" x14ac:dyDescent="0.3">
      <c r="A5622">
        <v>185219</v>
      </c>
      <c r="B5622">
        <v>105</v>
      </c>
      <c r="C5622" t="s">
        <v>557</v>
      </c>
      <c r="D5622" t="s">
        <v>2581</v>
      </c>
      <c r="E5622" t="s">
        <v>3804</v>
      </c>
      <c r="F5622" s="451">
        <v>46003</v>
      </c>
      <c r="G5622">
        <v>19632</v>
      </c>
      <c r="H5622" t="s">
        <v>4936</v>
      </c>
      <c r="I5622" t="s">
        <v>5191</v>
      </c>
      <c r="J5622">
        <v>2</v>
      </c>
      <c r="K5622" t="s">
        <v>4744</v>
      </c>
      <c r="L5622">
        <v>5</v>
      </c>
      <c r="M5622">
        <v>2.5</v>
      </c>
      <c r="N5622" t="s">
        <v>5272</v>
      </c>
      <c r="O5622" t="s">
        <v>458</v>
      </c>
    </row>
    <row r="5623" spans="1:15" x14ac:dyDescent="0.3">
      <c r="A5623">
        <v>185216</v>
      </c>
      <c r="B5623">
        <v>105</v>
      </c>
      <c r="C5623" t="s">
        <v>557</v>
      </c>
      <c r="D5623" t="s">
        <v>2637</v>
      </c>
      <c r="E5623" t="s">
        <v>3805</v>
      </c>
      <c r="F5623" s="451">
        <v>46006</v>
      </c>
      <c r="G5623">
        <v>18475</v>
      </c>
      <c r="H5623" t="s">
        <v>4895</v>
      </c>
      <c r="I5623" t="s">
        <v>5222</v>
      </c>
      <c r="J5623">
        <v>12</v>
      </c>
      <c r="K5623" t="s">
        <v>4805</v>
      </c>
      <c r="L5623">
        <v>394.8</v>
      </c>
      <c r="M5623">
        <v>32.9</v>
      </c>
      <c r="N5623" t="s">
        <v>5222</v>
      </c>
      <c r="O5623" t="s">
        <v>458</v>
      </c>
    </row>
    <row r="5624" spans="1:15" x14ac:dyDescent="0.3">
      <c r="A5624">
        <v>185214</v>
      </c>
      <c r="B5624">
        <v>105</v>
      </c>
      <c r="C5624" t="s">
        <v>557</v>
      </c>
      <c r="D5624" t="s">
        <v>2607</v>
      </c>
      <c r="E5624" t="s">
        <v>3806</v>
      </c>
      <c r="F5624" s="451">
        <v>46008</v>
      </c>
      <c r="G5624">
        <v>21548</v>
      </c>
      <c r="H5624" t="s">
        <v>5413</v>
      </c>
      <c r="I5624" t="s">
        <v>5191</v>
      </c>
      <c r="J5624">
        <v>20.7</v>
      </c>
      <c r="K5624" t="s">
        <v>4744</v>
      </c>
      <c r="L5624">
        <v>2401.1999999999998</v>
      </c>
      <c r="M5624">
        <v>116</v>
      </c>
      <c r="N5624" t="s">
        <v>5272</v>
      </c>
      <c r="O5624" t="s">
        <v>458</v>
      </c>
    </row>
    <row r="5625" spans="1:15" x14ac:dyDescent="0.3">
      <c r="A5625">
        <v>185213</v>
      </c>
      <c r="B5625">
        <v>105</v>
      </c>
      <c r="C5625" t="s">
        <v>557</v>
      </c>
      <c r="D5625" t="s">
        <v>2607</v>
      </c>
      <c r="E5625" t="s">
        <v>3807</v>
      </c>
      <c r="F5625" s="451">
        <v>46006</v>
      </c>
      <c r="G5625">
        <v>27657</v>
      </c>
      <c r="H5625" t="s">
        <v>5137</v>
      </c>
      <c r="I5625" t="s">
        <v>5191</v>
      </c>
      <c r="J5625">
        <v>5.76</v>
      </c>
      <c r="K5625" t="s">
        <v>4744</v>
      </c>
      <c r="L5625">
        <v>227.52</v>
      </c>
      <c r="M5625">
        <v>39.5</v>
      </c>
      <c r="N5625" t="s">
        <v>5272</v>
      </c>
      <c r="O5625" t="s">
        <v>458</v>
      </c>
    </row>
    <row r="5626" spans="1:15" x14ac:dyDescent="0.3">
      <c r="A5626">
        <v>185212</v>
      </c>
      <c r="B5626">
        <v>105</v>
      </c>
      <c r="C5626" t="s">
        <v>557</v>
      </c>
      <c r="D5626" t="s">
        <v>2607</v>
      </c>
      <c r="E5626" t="s">
        <v>3808</v>
      </c>
      <c r="F5626" s="451">
        <v>46006</v>
      </c>
      <c r="G5626">
        <v>19047</v>
      </c>
      <c r="H5626" t="s">
        <v>5393</v>
      </c>
      <c r="I5626" t="s">
        <v>5191</v>
      </c>
      <c r="J5626">
        <v>5.12</v>
      </c>
      <c r="K5626" t="s">
        <v>4744</v>
      </c>
      <c r="L5626">
        <v>130.56</v>
      </c>
      <c r="M5626">
        <v>25.5</v>
      </c>
      <c r="N5626" t="s">
        <v>5272</v>
      </c>
      <c r="O5626" t="s">
        <v>458</v>
      </c>
    </row>
    <row r="5627" spans="1:15" x14ac:dyDescent="0.3">
      <c r="A5627">
        <v>185212</v>
      </c>
      <c r="B5627">
        <v>105</v>
      </c>
      <c r="C5627" t="s">
        <v>557</v>
      </c>
      <c r="D5627" t="s">
        <v>2607</v>
      </c>
      <c r="E5627" t="s">
        <v>3808</v>
      </c>
      <c r="F5627" s="451">
        <v>46006</v>
      </c>
      <c r="G5627">
        <v>18996</v>
      </c>
      <c r="H5627" t="s">
        <v>5130</v>
      </c>
      <c r="I5627" t="s">
        <v>5191</v>
      </c>
      <c r="J5627">
        <v>3.4</v>
      </c>
      <c r="K5627" t="s">
        <v>4744</v>
      </c>
      <c r="L5627">
        <v>62.9</v>
      </c>
      <c r="M5627">
        <v>18.5</v>
      </c>
      <c r="N5627" t="s">
        <v>5272</v>
      </c>
      <c r="O5627" t="s">
        <v>458</v>
      </c>
    </row>
    <row r="5628" spans="1:15" x14ac:dyDescent="0.3">
      <c r="A5628">
        <v>185212</v>
      </c>
      <c r="B5628">
        <v>105</v>
      </c>
      <c r="C5628" t="s">
        <v>557</v>
      </c>
      <c r="D5628" t="s">
        <v>2607</v>
      </c>
      <c r="E5628" t="s">
        <v>3808</v>
      </c>
      <c r="F5628" s="451">
        <v>46006</v>
      </c>
      <c r="G5628">
        <v>25777</v>
      </c>
      <c r="H5628" t="s">
        <v>4774</v>
      </c>
      <c r="I5628" t="s">
        <v>5191</v>
      </c>
      <c r="J5628">
        <v>11.2</v>
      </c>
      <c r="K5628" t="s">
        <v>4744</v>
      </c>
      <c r="L5628">
        <v>952</v>
      </c>
      <c r="M5628">
        <v>85</v>
      </c>
      <c r="N5628" t="s">
        <v>5272</v>
      </c>
      <c r="O5628" t="s">
        <v>458</v>
      </c>
    </row>
    <row r="5629" spans="1:15" x14ac:dyDescent="0.3">
      <c r="A5629">
        <v>185206</v>
      </c>
      <c r="B5629">
        <v>105</v>
      </c>
      <c r="C5629" t="s">
        <v>557</v>
      </c>
      <c r="D5629" t="s">
        <v>3425</v>
      </c>
      <c r="E5629" t="s">
        <v>3809</v>
      </c>
      <c r="F5629" s="451">
        <v>46007</v>
      </c>
      <c r="G5629">
        <v>18545</v>
      </c>
      <c r="H5629" t="s">
        <v>4864</v>
      </c>
      <c r="I5629" t="s">
        <v>5222</v>
      </c>
      <c r="J5629">
        <v>2</v>
      </c>
      <c r="K5629" t="s">
        <v>4805</v>
      </c>
      <c r="L5629">
        <v>88.9</v>
      </c>
      <c r="M5629">
        <v>44.45</v>
      </c>
      <c r="N5629" t="s">
        <v>5222</v>
      </c>
      <c r="O5629" t="s">
        <v>458</v>
      </c>
    </row>
    <row r="5630" spans="1:15" x14ac:dyDescent="0.3">
      <c r="A5630">
        <v>185206</v>
      </c>
      <c r="B5630">
        <v>105</v>
      </c>
      <c r="C5630" t="s">
        <v>557</v>
      </c>
      <c r="D5630" t="s">
        <v>3425</v>
      </c>
      <c r="E5630" t="s">
        <v>3809</v>
      </c>
      <c r="F5630" s="451">
        <v>46007</v>
      </c>
      <c r="G5630">
        <v>18219</v>
      </c>
      <c r="H5630" t="s">
        <v>4972</v>
      </c>
      <c r="I5630" t="s">
        <v>5222</v>
      </c>
      <c r="J5630">
        <v>1</v>
      </c>
      <c r="K5630" t="s">
        <v>4805</v>
      </c>
      <c r="L5630">
        <v>86.5</v>
      </c>
      <c r="M5630">
        <v>86.5</v>
      </c>
      <c r="N5630" t="s">
        <v>5222</v>
      </c>
      <c r="O5630" t="s">
        <v>458</v>
      </c>
    </row>
    <row r="5631" spans="1:15" x14ac:dyDescent="0.3">
      <c r="A5631">
        <v>185206</v>
      </c>
      <c r="B5631">
        <v>105</v>
      </c>
      <c r="C5631" t="s">
        <v>557</v>
      </c>
      <c r="D5631" t="s">
        <v>3425</v>
      </c>
      <c r="E5631" t="s">
        <v>3809</v>
      </c>
      <c r="F5631" s="451">
        <v>46007</v>
      </c>
      <c r="G5631">
        <v>18129</v>
      </c>
      <c r="H5631" t="s">
        <v>5043</v>
      </c>
      <c r="I5631" t="s">
        <v>5222</v>
      </c>
      <c r="J5631">
        <v>2</v>
      </c>
      <c r="K5631" t="s">
        <v>4805</v>
      </c>
      <c r="L5631">
        <v>232</v>
      </c>
      <c r="M5631">
        <v>116</v>
      </c>
      <c r="N5631" t="s">
        <v>5222</v>
      </c>
      <c r="O5631" t="s">
        <v>458</v>
      </c>
    </row>
    <row r="5632" spans="1:15" x14ac:dyDescent="0.3">
      <c r="A5632">
        <v>185206</v>
      </c>
      <c r="B5632">
        <v>105</v>
      </c>
      <c r="C5632" t="s">
        <v>557</v>
      </c>
      <c r="D5632" t="s">
        <v>3425</v>
      </c>
      <c r="E5632" t="s">
        <v>3809</v>
      </c>
      <c r="F5632" s="451">
        <v>46007</v>
      </c>
      <c r="G5632">
        <v>18502</v>
      </c>
      <c r="H5632" t="s">
        <v>4893</v>
      </c>
      <c r="I5632" t="s">
        <v>5222</v>
      </c>
      <c r="J5632">
        <v>5</v>
      </c>
      <c r="K5632" t="s">
        <v>4805</v>
      </c>
      <c r="L5632">
        <v>280</v>
      </c>
      <c r="M5632">
        <v>56</v>
      </c>
      <c r="N5632" t="s">
        <v>5222</v>
      </c>
      <c r="O5632" t="s">
        <v>458</v>
      </c>
    </row>
    <row r="5633" spans="1:15" x14ac:dyDescent="0.3">
      <c r="A5633">
        <v>185206</v>
      </c>
      <c r="B5633">
        <v>105</v>
      </c>
      <c r="C5633" t="s">
        <v>557</v>
      </c>
      <c r="D5633" t="s">
        <v>3425</v>
      </c>
      <c r="E5633" t="s">
        <v>3809</v>
      </c>
      <c r="F5633" s="451">
        <v>46007</v>
      </c>
      <c r="G5633">
        <v>20955</v>
      </c>
      <c r="H5633" t="s">
        <v>4959</v>
      </c>
      <c r="I5633" t="s">
        <v>5191</v>
      </c>
      <c r="J5633">
        <v>1</v>
      </c>
      <c r="K5633" t="s">
        <v>4805</v>
      </c>
      <c r="L5633">
        <v>10.48</v>
      </c>
      <c r="M5633">
        <v>10.48</v>
      </c>
      <c r="N5633" t="s">
        <v>5222</v>
      </c>
      <c r="O5633" t="s">
        <v>458</v>
      </c>
    </row>
    <row r="5634" spans="1:15" x14ac:dyDescent="0.3">
      <c r="A5634">
        <v>184574</v>
      </c>
      <c r="B5634">
        <v>105</v>
      </c>
      <c r="C5634" t="s">
        <v>557</v>
      </c>
      <c r="D5634" t="s">
        <v>2581</v>
      </c>
      <c r="E5634" t="s">
        <v>3810</v>
      </c>
      <c r="F5634" s="451">
        <v>45993</v>
      </c>
      <c r="G5634">
        <v>19505</v>
      </c>
      <c r="H5634" t="s">
        <v>4872</v>
      </c>
      <c r="I5634" t="s">
        <v>5191</v>
      </c>
      <c r="J5634">
        <v>3</v>
      </c>
      <c r="K5634" t="s">
        <v>4744</v>
      </c>
      <c r="L5634">
        <v>18</v>
      </c>
      <c r="M5634">
        <v>6</v>
      </c>
      <c r="N5634" t="s">
        <v>5272</v>
      </c>
      <c r="O5634" t="s">
        <v>458</v>
      </c>
    </row>
    <row r="5635" spans="1:15" x14ac:dyDescent="0.3">
      <c r="A5635">
        <v>184574</v>
      </c>
      <c r="B5635">
        <v>105</v>
      </c>
      <c r="C5635" t="s">
        <v>557</v>
      </c>
      <c r="D5635" t="s">
        <v>2581</v>
      </c>
      <c r="E5635" t="s">
        <v>3810</v>
      </c>
      <c r="F5635" s="451">
        <v>45993</v>
      </c>
      <c r="G5635">
        <v>19480</v>
      </c>
      <c r="H5635" t="s">
        <v>5119</v>
      </c>
      <c r="I5635" t="s">
        <v>5191</v>
      </c>
      <c r="J5635">
        <v>0.4</v>
      </c>
      <c r="K5635" t="s">
        <v>4744</v>
      </c>
      <c r="L5635">
        <v>4.8</v>
      </c>
      <c r="M5635">
        <v>12</v>
      </c>
      <c r="N5635" t="s">
        <v>5272</v>
      </c>
      <c r="O5635" t="s">
        <v>458</v>
      </c>
    </row>
    <row r="5636" spans="1:15" x14ac:dyDescent="0.3">
      <c r="A5636">
        <v>184574</v>
      </c>
      <c r="B5636">
        <v>105</v>
      </c>
      <c r="C5636" t="s">
        <v>557</v>
      </c>
      <c r="D5636" t="s">
        <v>2581</v>
      </c>
      <c r="E5636" t="s">
        <v>3810</v>
      </c>
      <c r="F5636" s="451">
        <v>45993</v>
      </c>
      <c r="G5636">
        <v>23236</v>
      </c>
      <c r="H5636" t="s">
        <v>5062</v>
      </c>
      <c r="I5636" t="s">
        <v>5191</v>
      </c>
      <c r="J5636">
        <v>2.2999999999999998</v>
      </c>
      <c r="K5636" t="s">
        <v>4744</v>
      </c>
      <c r="L5636">
        <v>11.5</v>
      </c>
      <c r="M5636">
        <v>5</v>
      </c>
      <c r="N5636" t="s">
        <v>5272</v>
      </c>
      <c r="O5636" t="s">
        <v>458</v>
      </c>
    </row>
    <row r="5637" spans="1:15" x14ac:dyDescent="0.3">
      <c r="A5637">
        <v>184522</v>
      </c>
      <c r="B5637">
        <v>105</v>
      </c>
      <c r="C5637" t="s">
        <v>557</v>
      </c>
      <c r="D5637" t="s">
        <v>2552</v>
      </c>
      <c r="E5637" t="s">
        <v>3811</v>
      </c>
      <c r="F5637" s="451">
        <v>46008</v>
      </c>
      <c r="G5637">
        <v>26627</v>
      </c>
      <c r="H5637" t="s">
        <v>5190</v>
      </c>
      <c r="I5637" t="s">
        <v>5191</v>
      </c>
      <c r="J5637">
        <v>25</v>
      </c>
      <c r="K5637" t="s">
        <v>4744</v>
      </c>
      <c r="L5637">
        <v>197.5</v>
      </c>
      <c r="M5637">
        <v>7.9</v>
      </c>
      <c r="N5637" t="s">
        <v>5272</v>
      </c>
      <c r="O5637" t="s">
        <v>458</v>
      </c>
    </row>
    <row r="5638" spans="1:15" x14ac:dyDescent="0.3">
      <c r="A5638">
        <v>184518</v>
      </c>
      <c r="B5638">
        <v>105</v>
      </c>
      <c r="C5638" t="s">
        <v>557</v>
      </c>
      <c r="D5638" t="s">
        <v>2565</v>
      </c>
      <c r="E5638" t="s">
        <v>3812</v>
      </c>
      <c r="F5638" s="451">
        <v>46007</v>
      </c>
      <c r="G5638">
        <v>18293</v>
      </c>
      <c r="H5638" t="s">
        <v>5034</v>
      </c>
      <c r="I5638" t="s">
        <v>5222</v>
      </c>
      <c r="J5638">
        <v>1</v>
      </c>
      <c r="K5638" t="s">
        <v>4805</v>
      </c>
      <c r="L5638">
        <v>132.77000000000001</v>
      </c>
      <c r="M5638">
        <v>132.77000000000001</v>
      </c>
      <c r="N5638" t="s">
        <v>5222</v>
      </c>
      <c r="O5638" t="s">
        <v>458</v>
      </c>
    </row>
    <row r="5639" spans="1:15" x14ac:dyDescent="0.3">
      <c r="A5639">
        <v>184518</v>
      </c>
      <c r="B5639">
        <v>105</v>
      </c>
      <c r="C5639" t="s">
        <v>557</v>
      </c>
      <c r="D5639" t="s">
        <v>2565</v>
      </c>
      <c r="E5639" t="s">
        <v>3812</v>
      </c>
      <c r="F5639" s="451">
        <v>46007</v>
      </c>
      <c r="G5639">
        <v>18359</v>
      </c>
      <c r="H5639" t="s">
        <v>4921</v>
      </c>
      <c r="I5639" t="s">
        <v>5222</v>
      </c>
      <c r="J5639">
        <v>2</v>
      </c>
      <c r="K5639" t="s">
        <v>4805</v>
      </c>
      <c r="L5639">
        <v>198</v>
      </c>
      <c r="M5639">
        <v>99</v>
      </c>
      <c r="N5639" t="s">
        <v>5222</v>
      </c>
      <c r="O5639" t="s">
        <v>458</v>
      </c>
    </row>
    <row r="5640" spans="1:15" x14ac:dyDescent="0.3">
      <c r="A5640">
        <v>184514</v>
      </c>
      <c r="B5640">
        <v>105</v>
      </c>
      <c r="C5640" t="s">
        <v>557</v>
      </c>
      <c r="D5640" t="s">
        <v>2792</v>
      </c>
      <c r="E5640" t="s">
        <v>3813</v>
      </c>
      <c r="F5640" s="451">
        <v>46008</v>
      </c>
      <c r="G5640">
        <v>18735</v>
      </c>
      <c r="H5640" t="s">
        <v>4891</v>
      </c>
      <c r="I5640" t="s">
        <v>5191</v>
      </c>
      <c r="J5640">
        <v>5.4</v>
      </c>
      <c r="K5640" t="s">
        <v>4744</v>
      </c>
      <c r="L5640">
        <v>496.8</v>
      </c>
      <c r="M5640">
        <v>92</v>
      </c>
      <c r="N5640" t="s">
        <v>5191</v>
      </c>
      <c r="O5640" t="s">
        <v>458</v>
      </c>
    </row>
    <row r="5641" spans="1:15" x14ac:dyDescent="0.3">
      <c r="A5641">
        <v>184512</v>
      </c>
      <c r="B5641">
        <v>105</v>
      </c>
      <c r="C5641" t="s">
        <v>557</v>
      </c>
      <c r="D5641" t="s">
        <v>2707</v>
      </c>
      <c r="E5641" t="s">
        <v>3814</v>
      </c>
      <c r="F5641" s="451">
        <v>46006</v>
      </c>
      <c r="G5641">
        <v>24081</v>
      </c>
      <c r="H5641" t="s">
        <v>4834</v>
      </c>
      <c r="I5641" t="s">
        <v>5191</v>
      </c>
      <c r="J5641">
        <v>10</v>
      </c>
      <c r="K5641" t="s">
        <v>4744</v>
      </c>
      <c r="L5641">
        <v>238</v>
      </c>
      <c r="M5641">
        <v>23.8</v>
      </c>
      <c r="N5641" t="s">
        <v>5272</v>
      </c>
      <c r="O5641" t="s">
        <v>458</v>
      </c>
    </row>
    <row r="5642" spans="1:15" x14ac:dyDescent="0.3">
      <c r="A5642">
        <v>184511</v>
      </c>
      <c r="B5642">
        <v>105</v>
      </c>
      <c r="C5642" t="s">
        <v>557</v>
      </c>
      <c r="D5642" t="s">
        <v>2603</v>
      </c>
      <c r="E5642" t="s">
        <v>3815</v>
      </c>
      <c r="F5642" s="451">
        <v>46007</v>
      </c>
      <c r="G5642">
        <v>19003</v>
      </c>
      <c r="H5642" t="s">
        <v>4810</v>
      </c>
      <c r="I5642" t="s">
        <v>5191</v>
      </c>
      <c r="J5642">
        <v>12.67</v>
      </c>
      <c r="K5642" t="s">
        <v>4744</v>
      </c>
      <c r="L5642">
        <v>454.85</v>
      </c>
      <c r="M5642">
        <v>35.899763</v>
      </c>
      <c r="N5642" t="s">
        <v>5191</v>
      </c>
      <c r="O5642" t="s">
        <v>458</v>
      </c>
    </row>
    <row r="5643" spans="1:15" x14ac:dyDescent="0.3">
      <c r="A5643">
        <v>184511</v>
      </c>
      <c r="B5643">
        <v>105</v>
      </c>
      <c r="C5643" t="s">
        <v>557</v>
      </c>
      <c r="D5643" t="s">
        <v>2603</v>
      </c>
      <c r="E5643" t="s">
        <v>3815</v>
      </c>
      <c r="F5643" s="451">
        <v>46007</v>
      </c>
      <c r="G5643">
        <v>26679</v>
      </c>
      <c r="H5643" t="s">
        <v>4791</v>
      </c>
      <c r="I5643" t="s">
        <v>5191</v>
      </c>
      <c r="J5643">
        <v>51.32</v>
      </c>
      <c r="K5643" t="s">
        <v>4744</v>
      </c>
      <c r="L5643">
        <v>1431.69</v>
      </c>
      <c r="M5643">
        <v>27.897310999999998</v>
      </c>
      <c r="N5643" t="s">
        <v>5191</v>
      </c>
      <c r="O5643" t="s">
        <v>458</v>
      </c>
    </row>
    <row r="5644" spans="1:15" x14ac:dyDescent="0.3">
      <c r="A5644">
        <v>184510</v>
      </c>
      <c r="B5644">
        <v>105</v>
      </c>
      <c r="C5644" t="s">
        <v>557</v>
      </c>
      <c r="D5644" t="s">
        <v>2603</v>
      </c>
      <c r="E5644" t="s">
        <v>3815</v>
      </c>
      <c r="F5644" s="451">
        <v>46007</v>
      </c>
      <c r="G5644">
        <v>19003</v>
      </c>
      <c r="H5644" t="s">
        <v>4810</v>
      </c>
      <c r="I5644" t="s">
        <v>5191</v>
      </c>
      <c r="J5644">
        <v>12.67</v>
      </c>
      <c r="K5644" t="s">
        <v>4744</v>
      </c>
      <c r="L5644">
        <v>454.85</v>
      </c>
      <c r="M5644">
        <v>35.899763</v>
      </c>
      <c r="N5644" t="s">
        <v>5191</v>
      </c>
      <c r="O5644" t="s">
        <v>458</v>
      </c>
    </row>
    <row r="5645" spans="1:15" x14ac:dyDescent="0.3">
      <c r="A5645">
        <v>184510</v>
      </c>
      <c r="B5645">
        <v>105</v>
      </c>
      <c r="C5645" t="s">
        <v>557</v>
      </c>
      <c r="D5645" t="s">
        <v>2603</v>
      </c>
      <c r="E5645" t="s">
        <v>3815</v>
      </c>
      <c r="F5645" s="451">
        <v>46007</v>
      </c>
      <c r="G5645">
        <v>26679</v>
      </c>
      <c r="H5645" t="s">
        <v>4791</v>
      </c>
      <c r="I5645" t="s">
        <v>5191</v>
      </c>
      <c r="J5645">
        <v>51.32</v>
      </c>
      <c r="K5645" t="s">
        <v>4744</v>
      </c>
      <c r="L5645">
        <v>1431.69</v>
      </c>
      <c r="M5645">
        <v>27.897310999999998</v>
      </c>
      <c r="N5645" t="s">
        <v>5191</v>
      </c>
      <c r="O5645" t="s">
        <v>458</v>
      </c>
    </row>
    <row r="5646" spans="1:15" x14ac:dyDescent="0.3">
      <c r="A5646">
        <v>184509</v>
      </c>
      <c r="B5646">
        <v>105</v>
      </c>
      <c r="C5646" t="s">
        <v>557</v>
      </c>
      <c r="D5646" t="s">
        <v>2603</v>
      </c>
      <c r="E5646" t="s">
        <v>3816</v>
      </c>
      <c r="F5646" s="451">
        <v>46000</v>
      </c>
      <c r="G5646">
        <v>26679</v>
      </c>
      <c r="H5646" t="s">
        <v>4791</v>
      </c>
      <c r="I5646" t="s">
        <v>5191</v>
      </c>
      <c r="J5646">
        <v>45.3</v>
      </c>
      <c r="K5646" t="s">
        <v>4744</v>
      </c>
      <c r="L5646">
        <v>1263.8699999999999</v>
      </c>
      <c r="M5646">
        <v>27.9</v>
      </c>
      <c r="N5646" t="s">
        <v>5272</v>
      </c>
      <c r="O5646" t="s">
        <v>458</v>
      </c>
    </row>
    <row r="5647" spans="1:15" x14ac:dyDescent="0.3">
      <c r="A5647">
        <v>184509</v>
      </c>
      <c r="B5647">
        <v>105</v>
      </c>
      <c r="C5647" t="s">
        <v>557</v>
      </c>
      <c r="D5647" t="s">
        <v>2603</v>
      </c>
      <c r="E5647" t="s">
        <v>3816</v>
      </c>
      <c r="F5647" s="451">
        <v>46000</v>
      </c>
      <c r="G5647">
        <v>19003</v>
      </c>
      <c r="H5647" t="s">
        <v>4810</v>
      </c>
      <c r="I5647" t="s">
        <v>5191</v>
      </c>
      <c r="J5647">
        <v>10.79</v>
      </c>
      <c r="K5647" t="s">
        <v>4744</v>
      </c>
      <c r="L5647">
        <v>387.36</v>
      </c>
      <c r="M5647">
        <v>35.899906999999999</v>
      </c>
      <c r="N5647" t="s">
        <v>5272</v>
      </c>
      <c r="O5647" t="s">
        <v>458</v>
      </c>
    </row>
    <row r="5648" spans="1:15" x14ac:dyDescent="0.3">
      <c r="A5648">
        <v>184509</v>
      </c>
      <c r="B5648">
        <v>105</v>
      </c>
      <c r="C5648" t="s">
        <v>557</v>
      </c>
      <c r="D5648" t="s">
        <v>2603</v>
      </c>
      <c r="E5648" t="s">
        <v>3816</v>
      </c>
      <c r="F5648" s="451">
        <v>46000</v>
      </c>
      <c r="G5648">
        <v>27264</v>
      </c>
      <c r="H5648" t="s">
        <v>5075</v>
      </c>
      <c r="I5648" t="s">
        <v>5191</v>
      </c>
      <c r="J5648">
        <v>10</v>
      </c>
      <c r="K5648" t="s">
        <v>4744</v>
      </c>
      <c r="L5648">
        <v>699</v>
      </c>
      <c r="M5648">
        <v>69.900000000000006</v>
      </c>
      <c r="N5648" t="s">
        <v>5272</v>
      </c>
      <c r="O5648" t="s">
        <v>458</v>
      </c>
    </row>
    <row r="5649" spans="1:15" x14ac:dyDescent="0.3">
      <c r="A5649">
        <v>184506</v>
      </c>
      <c r="B5649">
        <v>105</v>
      </c>
      <c r="C5649" t="s">
        <v>557</v>
      </c>
      <c r="D5649" t="s">
        <v>2603</v>
      </c>
      <c r="E5649" t="s">
        <v>3817</v>
      </c>
      <c r="F5649" s="451">
        <v>46000</v>
      </c>
      <c r="G5649">
        <v>19047</v>
      </c>
      <c r="H5649" t="s">
        <v>5393</v>
      </c>
      <c r="I5649" t="s">
        <v>5191</v>
      </c>
      <c r="J5649">
        <v>5</v>
      </c>
      <c r="K5649" t="s">
        <v>4744</v>
      </c>
      <c r="L5649">
        <v>179.5</v>
      </c>
      <c r="M5649">
        <v>35.9</v>
      </c>
      <c r="N5649" t="s">
        <v>5272</v>
      </c>
      <c r="O5649" t="s">
        <v>458</v>
      </c>
    </row>
    <row r="5650" spans="1:15" x14ac:dyDescent="0.3">
      <c r="A5650">
        <v>184503</v>
      </c>
      <c r="B5650">
        <v>105</v>
      </c>
      <c r="C5650" t="s">
        <v>557</v>
      </c>
      <c r="D5650" t="s">
        <v>2697</v>
      </c>
      <c r="E5650" t="s">
        <v>3818</v>
      </c>
      <c r="F5650" s="451">
        <v>46002</v>
      </c>
      <c r="G5650">
        <v>23974</v>
      </c>
      <c r="H5650" t="s">
        <v>4862</v>
      </c>
      <c r="I5650" t="s">
        <v>5222</v>
      </c>
      <c r="J5650">
        <v>4</v>
      </c>
      <c r="K5650" t="s">
        <v>4738</v>
      </c>
      <c r="L5650">
        <v>224.64</v>
      </c>
      <c r="M5650">
        <v>56.16</v>
      </c>
      <c r="N5650" t="s">
        <v>5271</v>
      </c>
      <c r="O5650" t="s">
        <v>458</v>
      </c>
    </row>
    <row r="5651" spans="1:15" x14ac:dyDescent="0.3">
      <c r="A5651">
        <v>184501</v>
      </c>
      <c r="B5651">
        <v>105</v>
      </c>
      <c r="C5651" t="s">
        <v>557</v>
      </c>
      <c r="D5651" t="s">
        <v>2690</v>
      </c>
      <c r="E5651" t="s">
        <v>3819</v>
      </c>
      <c r="F5651" s="451">
        <v>46004</v>
      </c>
      <c r="G5651">
        <v>18073</v>
      </c>
      <c r="H5651" t="s">
        <v>4974</v>
      </c>
      <c r="I5651" t="s">
        <v>5222</v>
      </c>
      <c r="J5651">
        <v>2</v>
      </c>
      <c r="K5651" t="s">
        <v>4805</v>
      </c>
      <c r="L5651">
        <v>99.8</v>
      </c>
      <c r="M5651">
        <v>49.9</v>
      </c>
      <c r="N5651" t="s">
        <v>5222</v>
      </c>
      <c r="O5651" t="s">
        <v>458</v>
      </c>
    </row>
    <row r="5652" spans="1:15" x14ac:dyDescent="0.3">
      <c r="A5652">
        <v>183941</v>
      </c>
      <c r="B5652">
        <v>105</v>
      </c>
      <c r="C5652" t="s">
        <v>557</v>
      </c>
      <c r="D5652" t="s">
        <v>3425</v>
      </c>
      <c r="E5652" t="s">
        <v>3820</v>
      </c>
      <c r="F5652" s="451">
        <v>46002</v>
      </c>
      <c r="G5652">
        <v>18423</v>
      </c>
      <c r="H5652" t="s">
        <v>4987</v>
      </c>
      <c r="I5652" t="s">
        <v>5222</v>
      </c>
      <c r="J5652">
        <v>2</v>
      </c>
      <c r="K5652" t="s">
        <v>4805</v>
      </c>
      <c r="L5652">
        <v>81.12</v>
      </c>
      <c r="M5652">
        <v>40.56</v>
      </c>
      <c r="N5652" t="s">
        <v>5271</v>
      </c>
      <c r="O5652" t="s">
        <v>458</v>
      </c>
    </row>
    <row r="5653" spans="1:15" x14ac:dyDescent="0.3">
      <c r="A5653">
        <v>183941</v>
      </c>
      <c r="B5653">
        <v>105</v>
      </c>
      <c r="C5653" t="s">
        <v>557</v>
      </c>
      <c r="D5653" t="s">
        <v>3425</v>
      </c>
      <c r="E5653" t="s">
        <v>3820</v>
      </c>
      <c r="F5653" s="451">
        <v>46002</v>
      </c>
      <c r="G5653">
        <v>18359</v>
      </c>
      <c r="H5653" t="s">
        <v>4921</v>
      </c>
      <c r="I5653" t="s">
        <v>5222</v>
      </c>
      <c r="J5653">
        <v>4</v>
      </c>
      <c r="K5653" t="s">
        <v>4805</v>
      </c>
      <c r="L5653">
        <v>381.04</v>
      </c>
      <c r="M5653">
        <v>95.26</v>
      </c>
      <c r="N5653" t="s">
        <v>5271</v>
      </c>
      <c r="O5653" t="s">
        <v>458</v>
      </c>
    </row>
    <row r="5654" spans="1:15" x14ac:dyDescent="0.3">
      <c r="A5654">
        <v>183941</v>
      </c>
      <c r="B5654">
        <v>105</v>
      </c>
      <c r="C5654" t="s">
        <v>557</v>
      </c>
      <c r="D5654" t="s">
        <v>3425</v>
      </c>
      <c r="E5654" t="s">
        <v>3820</v>
      </c>
      <c r="F5654" s="451">
        <v>46002</v>
      </c>
      <c r="G5654">
        <v>18179</v>
      </c>
      <c r="H5654" t="s">
        <v>4924</v>
      </c>
      <c r="I5654" t="s">
        <v>5222</v>
      </c>
      <c r="J5654">
        <v>4</v>
      </c>
      <c r="K5654" t="s">
        <v>4805</v>
      </c>
      <c r="L5654">
        <v>378.64</v>
      </c>
      <c r="M5654">
        <v>94.66</v>
      </c>
      <c r="N5654" t="s">
        <v>5271</v>
      </c>
      <c r="O5654" t="s">
        <v>458</v>
      </c>
    </row>
    <row r="5655" spans="1:15" x14ac:dyDescent="0.3">
      <c r="A5655">
        <v>183650</v>
      </c>
      <c r="B5655">
        <v>105</v>
      </c>
      <c r="C5655" t="s">
        <v>557</v>
      </c>
      <c r="D5655" t="s">
        <v>2557</v>
      </c>
      <c r="E5655" t="s">
        <v>3821</v>
      </c>
      <c r="F5655" s="451">
        <v>46002</v>
      </c>
      <c r="G5655">
        <v>17465</v>
      </c>
      <c r="H5655" t="s">
        <v>5279</v>
      </c>
      <c r="I5655" t="s">
        <v>5215</v>
      </c>
      <c r="J5655">
        <v>1</v>
      </c>
      <c r="K5655" t="s">
        <v>4749</v>
      </c>
      <c r="L5655">
        <v>670.38</v>
      </c>
      <c r="M5655">
        <v>670.38</v>
      </c>
      <c r="N5655" t="s">
        <v>5312</v>
      </c>
      <c r="O5655" t="s">
        <v>458</v>
      </c>
    </row>
    <row r="5656" spans="1:15" x14ac:dyDescent="0.3">
      <c r="A5656">
        <v>183650</v>
      </c>
      <c r="B5656">
        <v>105</v>
      </c>
      <c r="C5656" t="s">
        <v>557</v>
      </c>
      <c r="D5656" t="s">
        <v>2557</v>
      </c>
      <c r="E5656" t="s">
        <v>3821</v>
      </c>
      <c r="F5656" s="451">
        <v>46002</v>
      </c>
      <c r="G5656">
        <v>24527</v>
      </c>
      <c r="H5656" t="s">
        <v>5313</v>
      </c>
      <c r="I5656" t="s">
        <v>5215</v>
      </c>
      <c r="J5656">
        <v>1</v>
      </c>
      <c r="K5656" t="s">
        <v>4749</v>
      </c>
      <c r="L5656">
        <v>989.38</v>
      </c>
      <c r="M5656">
        <v>989.38</v>
      </c>
      <c r="N5656" t="s">
        <v>5312</v>
      </c>
      <c r="O5656" t="s">
        <v>458</v>
      </c>
    </row>
    <row r="5657" spans="1:15" x14ac:dyDescent="0.3">
      <c r="A5657">
        <v>183650</v>
      </c>
      <c r="B5657">
        <v>105</v>
      </c>
      <c r="C5657" t="s">
        <v>557</v>
      </c>
      <c r="D5657" t="s">
        <v>2557</v>
      </c>
      <c r="E5657" t="s">
        <v>3821</v>
      </c>
      <c r="F5657" s="451">
        <v>46002</v>
      </c>
      <c r="G5657">
        <v>21716</v>
      </c>
      <c r="H5657" t="s">
        <v>5281</v>
      </c>
      <c r="I5657" t="s">
        <v>5215</v>
      </c>
      <c r="J5657">
        <v>1</v>
      </c>
      <c r="K5657" t="s">
        <v>4749</v>
      </c>
      <c r="L5657">
        <v>399.5</v>
      </c>
      <c r="M5657">
        <v>399.5</v>
      </c>
      <c r="N5657" t="s">
        <v>5312</v>
      </c>
      <c r="O5657" t="s">
        <v>458</v>
      </c>
    </row>
    <row r="5658" spans="1:15" x14ac:dyDescent="0.3">
      <c r="A5658">
        <v>183645</v>
      </c>
      <c r="B5658">
        <v>105</v>
      </c>
      <c r="C5658" t="s">
        <v>557</v>
      </c>
      <c r="D5658" t="s">
        <v>3723</v>
      </c>
      <c r="E5658" t="s">
        <v>3822</v>
      </c>
      <c r="F5658" s="451">
        <v>46002</v>
      </c>
      <c r="G5658">
        <v>19607</v>
      </c>
      <c r="H5658" t="s">
        <v>4981</v>
      </c>
      <c r="I5658" t="s">
        <v>5191</v>
      </c>
      <c r="J5658">
        <v>0.8</v>
      </c>
      <c r="K5658" t="s">
        <v>4744</v>
      </c>
      <c r="L5658">
        <v>7</v>
      </c>
      <c r="M5658">
        <v>8.75</v>
      </c>
      <c r="N5658" t="s">
        <v>5272</v>
      </c>
      <c r="O5658" t="s">
        <v>458</v>
      </c>
    </row>
    <row r="5659" spans="1:15" x14ac:dyDescent="0.3">
      <c r="A5659">
        <v>183645</v>
      </c>
      <c r="B5659">
        <v>105</v>
      </c>
      <c r="C5659" t="s">
        <v>557</v>
      </c>
      <c r="D5659" t="s">
        <v>3723</v>
      </c>
      <c r="E5659" t="s">
        <v>3822</v>
      </c>
      <c r="F5659" s="451">
        <v>46002</v>
      </c>
      <c r="G5659">
        <v>19654</v>
      </c>
      <c r="H5659" t="s">
        <v>5099</v>
      </c>
      <c r="I5659" t="s">
        <v>5191</v>
      </c>
      <c r="J5659">
        <v>3.5</v>
      </c>
      <c r="K5659" t="s">
        <v>4744</v>
      </c>
      <c r="L5659">
        <v>5.25</v>
      </c>
      <c r="M5659">
        <v>1.5</v>
      </c>
      <c r="N5659" t="s">
        <v>5272</v>
      </c>
      <c r="O5659" t="s">
        <v>458</v>
      </c>
    </row>
    <row r="5660" spans="1:15" x14ac:dyDescent="0.3">
      <c r="A5660">
        <v>183645</v>
      </c>
      <c r="B5660">
        <v>105</v>
      </c>
      <c r="C5660" t="s">
        <v>557</v>
      </c>
      <c r="D5660" t="s">
        <v>3723</v>
      </c>
      <c r="E5660" t="s">
        <v>3822</v>
      </c>
      <c r="F5660" s="451">
        <v>46002</v>
      </c>
      <c r="G5660">
        <v>19642</v>
      </c>
      <c r="H5660" t="s">
        <v>4996</v>
      </c>
      <c r="I5660" t="s">
        <v>5191</v>
      </c>
      <c r="J5660">
        <v>2</v>
      </c>
      <c r="K5660" t="s">
        <v>4744</v>
      </c>
      <c r="L5660">
        <v>8.76</v>
      </c>
      <c r="M5660">
        <v>4.38</v>
      </c>
      <c r="N5660" t="s">
        <v>5272</v>
      </c>
      <c r="O5660" t="s">
        <v>458</v>
      </c>
    </row>
    <row r="5661" spans="1:15" x14ac:dyDescent="0.3">
      <c r="A5661">
        <v>183645</v>
      </c>
      <c r="B5661">
        <v>105</v>
      </c>
      <c r="C5661" t="s">
        <v>557</v>
      </c>
      <c r="D5661" t="s">
        <v>3723</v>
      </c>
      <c r="E5661" t="s">
        <v>3822</v>
      </c>
      <c r="F5661" s="451">
        <v>46002</v>
      </c>
      <c r="G5661">
        <v>24099</v>
      </c>
      <c r="H5661" t="s">
        <v>4933</v>
      </c>
      <c r="I5661" t="s">
        <v>5191</v>
      </c>
      <c r="J5661">
        <v>2</v>
      </c>
      <c r="K5661" t="s">
        <v>4744</v>
      </c>
      <c r="L5661">
        <v>23.76</v>
      </c>
      <c r="M5661">
        <v>11.88</v>
      </c>
      <c r="N5661" t="s">
        <v>5272</v>
      </c>
      <c r="O5661" t="s">
        <v>458</v>
      </c>
    </row>
    <row r="5662" spans="1:15" x14ac:dyDescent="0.3">
      <c r="A5662">
        <v>183645</v>
      </c>
      <c r="B5662">
        <v>105</v>
      </c>
      <c r="C5662" t="s">
        <v>557</v>
      </c>
      <c r="D5662" t="s">
        <v>3723</v>
      </c>
      <c r="E5662" t="s">
        <v>3822</v>
      </c>
      <c r="F5662" s="451">
        <v>46002</v>
      </c>
      <c r="G5662">
        <v>24522</v>
      </c>
      <c r="H5662" t="s">
        <v>5072</v>
      </c>
      <c r="I5662" t="s">
        <v>5191</v>
      </c>
      <c r="J5662">
        <v>1</v>
      </c>
      <c r="K5662" t="s">
        <v>4744</v>
      </c>
      <c r="L5662">
        <v>22</v>
      </c>
      <c r="M5662">
        <v>22</v>
      </c>
      <c r="N5662" t="s">
        <v>5272</v>
      </c>
      <c r="O5662" t="s">
        <v>458</v>
      </c>
    </row>
    <row r="5663" spans="1:15" x14ac:dyDescent="0.3">
      <c r="A5663">
        <v>183645</v>
      </c>
      <c r="B5663">
        <v>105</v>
      </c>
      <c r="C5663" t="s">
        <v>557</v>
      </c>
      <c r="D5663" t="s">
        <v>3723</v>
      </c>
      <c r="E5663" t="s">
        <v>3822</v>
      </c>
      <c r="F5663" s="451">
        <v>46002</v>
      </c>
      <c r="G5663">
        <v>24509</v>
      </c>
      <c r="H5663" t="s">
        <v>4788</v>
      </c>
      <c r="I5663" t="s">
        <v>5191</v>
      </c>
      <c r="J5663">
        <v>10</v>
      </c>
      <c r="K5663" t="s">
        <v>4744</v>
      </c>
      <c r="L5663">
        <v>23.8</v>
      </c>
      <c r="M5663">
        <v>2.38</v>
      </c>
      <c r="N5663" t="s">
        <v>5272</v>
      </c>
      <c r="O5663" t="s">
        <v>458</v>
      </c>
    </row>
    <row r="5664" spans="1:15" x14ac:dyDescent="0.3">
      <c r="A5664">
        <v>183645</v>
      </c>
      <c r="B5664">
        <v>105</v>
      </c>
      <c r="C5664" t="s">
        <v>557</v>
      </c>
      <c r="D5664" t="s">
        <v>3723</v>
      </c>
      <c r="E5664" t="s">
        <v>3822</v>
      </c>
      <c r="F5664" s="451">
        <v>46002</v>
      </c>
      <c r="G5664">
        <v>19751</v>
      </c>
      <c r="H5664" t="s">
        <v>4800</v>
      </c>
      <c r="I5664" t="s">
        <v>5191</v>
      </c>
      <c r="J5664">
        <v>4.5</v>
      </c>
      <c r="K5664" t="s">
        <v>4744</v>
      </c>
      <c r="L5664">
        <v>48.38</v>
      </c>
      <c r="M5664">
        <v>10.751111</v>
      </c>
      <c r="N5664" t="s">
        <v>5272</v>
      </c>
      <c r="O5664" t="s">
        <v>458</v>
      </c>
    </row>
    <row r="5665" spans="1:15" x14ac:dyDescent="0.3">
      <c r="A5665">
        <v>183645</v>
      </c>
      <c r="B5665">
        <v>105</v>
      </c>
      <c r="C5665" t="s">
        <v>557</v>
      </c>
      <c r="D5665" t="s">
        <v>3723</v>
      </c>
      <c r="E5665" t="s">
        <v>3822</v>
      </c>
      <c r="F5665" s="451">
        <v>46002</v>
      </c>
      <c r="G5665">
        <v>19734</v>
      </c>
      <c r="H5665" t="s">
        <v>4833</v>
      </c>
      <c r="I5665" t="s">
        <v>5191</v>
      </c>
      <c r="J5665">
        <v>10</v>
      </c>
      <c r="K5665" t="s">
        <v>4744</v>
      </c>
      <c r="L5665">
        <v>137.5</v>
      </c>
      <c r="M5665">
        <v>13.75</v>
      </c>
      <c r="N5665" t="s">
        <v>5272</v>
      </c>
      <c r="O5665" t="s">
        <v>458</v>
      </c>
    </row>
    <row r="5666" spans="1:15" x14ac:dyDescent="0.3">
      <c r="A5666">
        <v>183645</v>
      </c>
      <c r="B5666">
        <v>105</v>
      </c>
      <c r="C5666" t="s">
        <v>557</v>
      </c>
      <c r="D5666" t="s">
        <v>3723</v>
      </c>
      <c r="E5666" t="s">
        <v>3822</v>
      </c>
      <c r="F5666" s="451">
        <v>46002</v>
      </c>
      <c r="G5666">
        <v>19765</v>
      </c>
      <c r="H5666" t="s">
        <v>4889</v>
      </c>
      <c r="I5666" t="s">
        <v>5191</v>
      </c>
      <c r="J5666">
        <v>2</v>
      </c>
      <c r="K5666" t="s">
        <v>4744</v>
      </c>
      <c r="L5666">
        <v>70</v>
      </c>
      <c r="M5666">
        <v>35</v>
      </c>
      <c r="N5666" t="s">
        <v>5272</v>
      </c>
      <c r="O5666" t="s">
        <v>458</v>
      </c>
    </row>
    <row r="5667" spans="1:15" x14ac:dyDescent="0.3">
      <c r="A5667">
        <v>183645</v>
      </c>
      <c r="B5667">
        <v>105</v>
      </c>
      <c r="C5667" t="s">
        <v>557</v>
      </c>
      <c r="D5667" t="s">
        <v>3723</v>
      </c>
      <c r="E5667" t="s">
        <v>3822</v>
      </c>
      <c r="F5667" s="451">
        <v>46002</v>
      </c>
      <c r="G5667">
        <v>23234</v>
      </c>
      <c r="H5667" t="s">
        <v>4986</v>
      </c>
      <c r="I5667" t="s">
        <v>5191</v>
      </c>
      <c r="J5667">
        <v>1</v>
      </c>
      <c r="K5667" t="s">
        <v>4744</v>
      </c>
      <c r="L5667">
        <v>23</v>
      </c>
      <c r="M5667">
        <v>23</v>
      </c>
      <c r="N5667" t="s">
        <v>5272</v>
      </c>
      <c r="O5667" t="s">
        <v>458</v>
      </c>
    </row>
    <row r="5668" spans="1:15" x14ac:dyDescent="0.3">
      <c r="A5668">
        <v>183645</v>
      </c>
      <c r="B5668">
        <v>105</v>
      </c>
      <c r="C5668" t="s">
        <v>557</v>
      </c>
      <c r="D5668" t="s">
        <v>3723</v>
      </c>
      <c r="E5668" t="s">
        <v>3822</v>
      </c>
      <c r="F5668" s="451">
        <v>46002</v>
      </c>
      <c r="G5668">
        <v>23335</v>
      </c>
      <c r="H5668" t="s">
        <v>4961</v>
      </c>
      <c r="I5668" t="s">
        <v>5191</v>
      </c>
      <c r="J5668">
        <v>2</v>
      </c>
      <c r="K5668" t="s">
        <v>4744</v>
      </c>
      <c r="L5668">
        <v>35</v>
      </c>
      <c r="M5668">
        <v>17.5</v>
      </c>
      <c r="N5668" t="s">
        <v>5272</v>
      </c>
      <c r="O5668" t="s">
        <v>458</v>
      </c>
    </row>
    <row r="5669" spans="1:15" x14ac:dyDescent="0.3">
      <c r="A5669">
        <v>183645</v>
      </c>
      <c r="B5669">
        <v>105</v>
      </c>
      <c r="C5669" t="s">
        <v>557</v>
      </c>
      <c r="D5669" t="s">
        <v>3723</v>
      </c>
      <c r="E5669" t="s">
        <v>3822</v>
      </c>
      <c r="F5669" s="451">
        <v>46002</v>
      </c>
      <c r="G5669">
        <v>23359</v>
      </c>
      <c r="H5669" t="s">
        <v>4767</v>
      </c>
      <c r="I5669" t="s">
        <v>5191</v>
      </c>
      <c r="J5669">
        <v>30</v>
      </c>
      <c r="K5669" t="s">
        <v>4744</v>
      </c>
      <c r="L5669">
        <v>112.5</v>
      </c>
      <c r="M5669">
        <v>3.75</v>
      </c>
      <c r="N5669" t="s">
        <v>5272</v>
      </c>
      <c r="O5669" t="s">
        <v>458</v>
      </c>
    </row>
    <row r="5670" spans="1:15" x14ac:dyDescent="0.3">
      <c r="A5670">
        <v>183645</v>
      </c>
      <c r="B5670">
        <v>105</v>
      </c>
      <c r="C5670" t="s">
        <v>557</v>
      </c>
      <c r="D5670" t="s">
        <v>3723</v>
      </c>
      <c r="E5670" t="s">
        <v>3822</v>
      </c>
      <c r="F5670" s="451">
        <v>46002</v>
      </c>
      <c r="G5670">
        <v>23385</v>
      </c>
      <c r="H5670" t="s">
        <v>4938</v>
      </c>
      <c r="I5670" t="s">
        <v>5191</v>
      </c>
      <c r="J5670">
        <v>2.5</v>
      </c>
      <c r="K5670" t="s">
        <v>4744</v>
      </c>
      <c r="L5670">
        <v>71.88</v>
      </c>
      <c r="M5670">
        <v>28.751999999999999</v>
      </c>
      <c r="N5670" t="s">
        <v>5272</v>
      </c>
      <c r="O5670" t="s">
        <v>458</v>
      </c>
    </row>
    <row r="5671" spans="1:15" x14ac:dyDescent="0.3">
      <c r="A5671">
        <v>183645</v>
      </c>
      <c r="B5671">
        <v>105</v>
      </c>
      <c r="C5671" t="s">
        <v>557</v>
      </c>
      <c r="D5671" t="s">
        <v>3723</v>
      </c>
      <c r="E5671" t="s">
        <v>3822</v>
      </c>
      <c r="F5671" s="451">
        <v>46002</v>
      </c>
      <c r="G5671">
        <v>23390</v>
      </c>
      <c r="H5671" t="s">
        <v>4873</v>
      </c>
      <c r="I5671" t="s">
        <v>5191</v>
      </c>
      <c r="J5671">
        <v>1.5</v>
      </c>
      <c r="K5671" t="s">
        <v>4744</v>
      </c>
      <c r="L5671">
        <v>14.07</v>
      </c>
      <c r="M5671">
        <v>9.3800000000000008</v>
      </c>
      <c r="N5671" t="s">
        <v>5272</v>
      </c>
      <c r="O5671" t="s">
        <v>458</v>
      </c>
    </row>
    <row r="5672" spans="1:15" x14ac:dyDescent="0.3">
      <c r="A5672">
        <v>183645</v>
      </c>
      <c r="B5672">
        <v>105</v>
      </c>
      <c r="C5672" t="s">
        <v>557</v>
      </c>
      <c r="D5672" t="s">
        <v>3723</v>
      </c>
      <c r="E5672" t="s">
        <v>3822</v>
      </c>
      <c r="F5672" s="451">
        <v>46002</v>
      </c>
      <c r="G5672">
        <v>23184</v>
      </c>
      <c r="H5672" t="s">
        <v>4935</v>
      </c>
      <c r="I5672" t="s">
        <v>5191</v>
      </c>
      <c r="J5672">
        <v>3</v>
      </c>
      <c r="K5672" t="s">
        <v>4744</v>
      </c>
      <c r="L5672">
        <v>22.5</v>
      </c>
      <c r="M5672">
        <v>7.5</v>
      </c>
      <c r="N5672" t="s">
        <v>5272</v>
      </c>
      <c r="O5672" t="s">
        <v>458</v>
      </c>
    </row>
    <row r="5673" spans="1:15" x14ac:dyDescent="0.3">
      <c r="A5673">
        <v>183645</v>
      </c>
      <c r="B5673">
        <v>105</v>
      </c>
      <c r="C5673" t="s">
        <v>557</v>
      </c>
      <c r="D5673" t="s">
        <v>3723</v>
      </c>
      <c r="E5673" t="s">
        <v>3822</v>
      </c>
      <c r="F5673" s="451">
        <v>46002</v>
      </c>
      <c r="G5673">
        <v>19490</v>
      </c>
      <c r="H5673" t="s">
        <v>5116</v>
      </c>
      <c r="I5673" t="s">
        <v>5191</v>
      </c>
      <c r="J5673">
        <v>0.3</v>
      </c>
      <c r="K5673" t="s">
        <v>4744</v>
      </c>
      <c r="L5673">
        <v>18.75</v>
      </c>
      <c r="M5673">
        <v>62.5</v>
      </c>
      <c r="N5673" t="s">
        <v>5272</v>
      </c>
      <c r="O5673" t="s">
        <v>458</v>
      </c>
    </row>
    <row r="5674" spans="1:15" x14ac:dyDescent="0.3">
      <c r="A5674">
        <v>183643</v>
      </c>
      <c r="B5674">
        <v>105</v>
      </c>
      <c r="C5674" t="s">
        <v>557</v>
      </c>
      <c r="D5674" t="s">
        <v>2716</v>
      </c>
      <c r="E5674" t="s">
        <v>3823</v>
      </c>
      <c r="F5674" s="451">
        <v>46002</v>
      </c>
      <c r="G5674">
        <v>24351</v>
      </c>
      <c r="H5674" t="s">
        <v>5014</v>
      </c>
      <c r="I5674" t="s">
        <v>5191</v>
      </c>
      <c r="J5674">
        <v>20</v>
      </c>
      <c r="K5674" t="s">
        <v>4744</v>
      </c>
      <c r="L5674">
        <v>240</v>
      </c>
      <c r="M5674">
        <v>12</v>
      </c>
      <c r="N5674" t="s">
        <v>5272</v>
      </c>
      <c r="O5674" t="s">
        <v>458</v>
      </c>
    </row>
    <row r="5675" spans="1:15" x14ac:dyDescent="0.3">
      <c r="A5675">
        <v>183639</v>
      </c>
      <c r="B5675">
        <v>105</v>
      </c>
      <c r="C5675" t="s">
        <v>557</v>
      </c>
      <c r="D5675" t="s">
        <v>2563</v>
      </c>
      <c r="E5675" t="s">
        <v>3824</v>
      </c>
      <c r="F5675" s="451">
        <v>46002</v>
      </c>
      <c r="G5675">
        <v>24083</v>
      </c>
      <c r="H5675" t="s">
        <v>5165</v>
      </c>
      <c r="I5675" t="s">
        <v>5191</v>
      </c>
      <c r="J5675">
        <v>60</v>
      </c>
      <c r="K5675" t="s">
        <v>4744</v>
      </c>
      <c r="L5675">
        <v>235.2</v>
      </c>
      <c r="M5675">
        <v>3.92</v>
      </c>
      <c r="N5675" t="s">
        <v>5272</v>
      </c>
      <c r="O5675" t="s">
        <v>458</v>
      </c>
    </row>
    <row r="5676" spans="1:15" x14ac:dyDescent="0.3">
      <c r="A5676">
        <v>183639</v>
      </c>
      <c r="B5676">
        <v>105</v>
      </c>
      <c r="C5676" t="s">
        <v>557</v>
      </c>
      <c r="D5676" t="s">
        <v>2563</v>
      </c>
      <c r="E5676" t="s">
        <v>3824</v>
      </c>
      <c r="F5676" s="451">
        <v>46002</v>
      </c>
      <c r="G5676">
        <v>19737</v>
      </c>
      <c r="H5676" t="s">
        <v>4940</v>
      </c>
      <c r="I5676" t="s">
        <v>5191</v>
      </c>
      <c r="J5676">
        <v>2.5</v>
      </c>
      <c r="K5676" t="s">
        <v>4744</v>
      </c>
      <c r="L5676">
        <v>10.48</v>
      </c>
      <c r="M5676">
        <v>4.1920000000000002</v>
      </c>
      <c r="N5676" t="s">
        <v>5272</v>
      </c>
      <c r="O5676" t="s">
        <v>458</v>
      </c>
    </row>
    <row r="5677" spans="1:15" x14ac:dyDescent="0.3">
      <c r="A5677">
        <v>183639</v>
      </c>
      <c r="B5677">
        <v>105</v>
      </c>
      <c r="C5677" t="s">
        <v>557</v>
      </c>
      <c r="D5677" t="s">
        <v>2563</v>
      </c>
      <c r="E5677" t="s">
        <v>3824</v>
      </c>
      <c r="F5677" s="451">
        <v>46002</v>
      </c>
      <c r="G5677">
        <v>19526</v>
      </c>
      <c r="H5677" t="s">
        <v>4997</v>
      </c>
      <c r="I5677" t="s">
        <v>5191</v>
      </c>
      <c r="J5677">
        <v>1</v>
      </c>
      <c r="K5677" t="s">
        <v>4744</v>
      </c>
      <c r="L5677">
        <v>29</v>
      </c>
      <c r="M5677">
        <v>29</v>
      </c>
      <c r="N5677" t="s">
        <v>5272</v>
      </c>
      <c r="O5677" t="s">
        <v>458</v>
      </c>
    </row>
    <row r="5678" spans="1:15" x14ac:dyDescent="0.3">
      <c r="A5678">
        <v>183639</v>
      </c>
      <c r="B5678">
        <v>105</v>
      </c>
      <c r="C5678" t="s">
        <v>557</v>
      </c>
      <c r="D5678" t="s">
        <v>2563</v>
      </c>
      <c r="E5678" t="s">
        <v>3824</v>
      </c>
      <c r="F5678" s="451">
        <v>46002</v>
      </c>
      <c r="G5678">
        <v>19507</v>
      </c>
      <c r="H5678" t="s">
        <v>4853</v>
      </c>
      <c r="I5678" t="s">
        <v>5191</v>
      </c>
      <c r="J5678">
        <v>1.8</v>
      </c>
      <c r="K5678" t="s">
        <v>4744</v>
      </c>
      <c r="L5678">
        <v>15.14</v>
      </c>
      <c r="M5678">
        <v>8.411111</v>
      </c>
      <c r="N5678" t="s">
        <v>5272</v>
      </c>
      <c r="O5678" t="s">
        <v>458</v>
      </c>
    </row>
    <row r="5679" spans="1:15" x14ac:dyDescent="0.3">
      <c r="A5679">
        <v>183639</v>
      </c>
      <c r="B5679">
        <v>105</v>
      </c>
      <c r="C5679" t="s">
        <v>557</v>
      </c>
      <c r="D5679" t="s">
        <v>2563</v>
      </c>
      <c r="E5679" t="s">
        <v>3824</v>
      </c>
      <c r="F5679" s="451">
        <v>46002</v>
      </c>
      <c r="G5679">
        <v>19562</v>
      </c>
      <c r="H5679" t="s">
        <v>4939</v>
      </c>
      <c r="I5679" t="s">
        <v>5191</v>
      </c>
      <c r="J5679">
        <v>1.5</v>
      </c>
      <c r="K5679" t="s">
        <v>4744</v>
      </c>
      <c r="L5679">
        <v>21.75</v>
      </c>
      <c r="M5679">
        <v>14.5</v>
      </c>
      <c r="N5679" t="s">
        <v>5272</v>
      </c>
      <c r="O5679" t="s">
        <v>458</v>
      </c>
    </row>
    <row r="5680" spans="1:15" x14ac:dyDescent="0.3">
      <c r="A5680">
        <v>183639</v>
      </c>
      <c r="B5680">
        <v>105</v>
      </c>
      <c r="C5680" t="s">
        <v>557</v>
      </c>
      <c r="D5680" t="s">
        <v>2563</v>
      </c>
      <c r="E5680" t="s">
        <v>3824</v>
      </c>
      <c r="F5680" s="451">
        <v>46002</v>
      </c>
      <c r="G5680">
        <v>19572</v>
      </c>
      <c r="H5680" t="s">
        <v>4989</v>
      </c>
      <c r="I5680" t="s">
        <v>5191</v>
      </c>
      <c r="J5680">
        <v>3</v>
      </c>
      <c r="K5680" t="s">
        <v>4744</v>
      </c>
      <c r="L5680">
        <v>52.2</v>
      </c>
      <c r="M5680">
        <v>17.399999999999999</v>
      </c>
      <c r="N5680" t="s">
        <v>5272</v>
      </c>
      <c r="O5680" t="s">
        <v>458</v>
      </c>
    </row>
    <row r="5681" spans="1:15" x14ac:dyDescent="0.3">
      <c r="A5681">
        <v>183639</v>
      </c>
      <c r="B5681">
        <v>105</v>
      </c>
      <c r="C5681" t="s">
        <v>557</v>
      </c>
      <c r="D5681" t="s">
        <v>2563</v>
      </c>
      <c r="E5681" t="s">
        <v>3824</v>
      </c>
      <c r="F5681" s="451">
        <v>46002</v>
      </c>
      <c r="G5681">
        <v>23198</v>
      </c>
      <c r="H5681" t="s">
        <v>4962</v>
      </c>
      <c r="I5681" t="s">
        <v>5191</v>
      </c>
      <c r="J5681">
        <v>1.5</v>
      </c>
      <c r="K5681" t="s">
        <v>4744</v>
      </c>
      <c r="L5681">
        <v>21.75</v>
      </c>
      <c r="M5681">
        <v>14.5</v>
      </c>
      <c r="N5681" t="s">
        <v>5272</v>
      </c>
      <c r="O5681" t="s">
        <v>458</v>
      </c>
    </row>
    <row r="5682" spans="1:15" x14ac:dyDescent="0.3">
      <c r="A5682">
        <v>183639</v>
      </c>
      <c r="B5682">
        <v>105</v>
      </c>
      <c r="C5682" t="s">
        <v>557</v>
      </c>
      <c r="D5682" t="s">
        <v>2563</v>
      </c>
      <c r="E5682" t="s">
        <v>3824</v>
      </c>
      <c r="F5682" s="451">
        <v>46002</v>
      </c>
      <c r="G5682">
        <v>23346</v>
      </c>
      <c r="H5682" t="s">
        <v>4916</v>
      </c>
      <c r="I5682" t="s">
        <v>5191</v>
      </c>
      <c r="J5682">
        <v>4</v>
      </c>
      <c r="K5682" t="s">
        <v>4744</v>
      </c>
      <c r="L5682">
        <v>25.52</v>
      </c>
      <c r="M5682">
        <v>6.38</v>
      </c>
      <c r="N5682" t="s">
        <v>5272</v>
      </c>
      <c r="O5682" t="s">
        <v>458</v>
      </c>
    </row>
    <row r="5683" spans="1:15" x14ac:dyDescent="0.3">
      <c r="A5683">
        <v>183639</v>
      </c>
      <c r="B5683">
        <v>105</v>
      </c>
      <c r="C5683" t="s">
        <v>557</v>
      </c>
      <c r="D5683" t="s">
        <v>2563</v>
      </c>
      <c r="E5683" t="s">
        <v>3824</v>
      </c>
      <c r="F5683" s="451">
        <v>46002</v>
      </c>
      <c r="G5683">
        <v>23389</v>
      </c>
      <c r="H5683" t="s">
        <v>4960</v>
      </c>
      <c r="I5683" t="s">
        <v>5191</v>
      </c>
      <c r="J5683">
        <v>5</v>
      </c>
      <c r="K5683" t="s">
        <v>4744</v>
      </c>
      <c r="L5683">
        <v>25.95</v>
      </c>
      <c r="M5683">
        <v>5.19</v>
      </c>
      <c r="N5683" t="s">
        <v>5272</v>
      </c>
      <c r="O5683" t="s">
        <v>458</v>
      </c>
    </row>
    <row r="5684" spans="1:15" x14ac:dyDescent="0.3">
      <c r="A5684">
        <v>183638</v>
      </c>
      <c r="B5684">
        <v>105</v>
      </c>
      <c r="C5684" t="s">
        <v>557</v>
      </c>
      <c r="D5684" t="s">
        <v>2569</v>
      </c>
      <c r="E5684" t="s">
        <v>3825</v>
      </c>
      <c r="F5684" s="451">
        <v>46003</v>
      </c>
      <c r="G5684">
        <v>17958</v>
      </c>
      <c r="H5684" t="s">
        <v>5076</v>
      </c>
      <c r="I5684" t="s">
        <v>5222</v>
      </c>
      <c r="J5684">
        <v>10</v>
      </c>
      <c r="K5684" t="s">
        <v>4738</v>
      </c>
      <c r="L5684">
        <v>159</v>
      </c>
      <c r="M5684">
        <v>15.9</v>
      </c>
      <c r="N5684" t="s">
        <v>5222</v>
      </c>
      <c r="O5684" t="s">
        <v>458</v>
      </c>
    </row>
    <row r="5685" spans="1:15" x14ac:dyDescent="0.3">
      <c r="A5685">
        <v>183638</v>
      </c>
      <c r="B5685">
        <v>105</v>
      </c>
      <c r="C5685" t="s">
        <v>557</v>
      </c>
      <c r="D5685" t="s">
        <v>2569</v>
      </c>
      <c r="E5685" t="s">
        <v>3825</v>
      </c>
      <c r="F5685" s="451">
        <v>46003</v>
      </c>
      <c r="G5685">
        <v>17950</v>
      </c>
      <c r="H5685" t="s">
        <v>5091</v>
      </c>
      <c r="I5685" t="s">
        <v>5222</v>
      </c>
      <c r="J5685">
        <v>10</v>
      </c>
      <c r="K5685" t="s">
        <v>4738</v>
      </c>
      <c r="L5685">
        <v>171</v>
      </c>
      <c r="M5685">
        <v>17.100000000000001</v>
      </c>
      <c r="N5685" t="s">
        <v>5222</v>
      </c>
      <c r="O5685" t="s">
        <v>458</v>
      </c>
    </row>
    <row r="5686" spans="1:15" x14ac:dyDescent="0.3">
      <c r="A5686">
        <v>183634</v>
      </c>
      <c r="B5686">
        <v>105</v>
      </c>
      <c r="C5686" t="s">
        <v>557</v>
      </c>
      <c r="D5686" t="s">
        <v>2569</v>
      </c>
      <c r="E5686" t="s">
        <v>3826</v>
      </c>
      <c r="F5686" s="451">
        <v>46002</v>
      </c>
      <c r="G5686">
        <v>17950</v>
      </c>
      <c r="H5686" t="s">
        <v>5091</v>
      </c>
      <c r="I5686" t="s">
        <v>5222</v>
      </c>
      <c r="J5686">
        <v>15</v>
      </c>
      <c r="K5686" t="s">
        <v>4738</v>
      </c>
      <c r="L5686">
        <v>268.5</v>
      </c>
      <c r="M5686">
        <v>17.899999999999999</v>
      </c>
      <c r="N5686" t="s">
        <v>5222</v>
      </c>
      <c r="O5686" t="s">
        <v>458</v>
      </c>
    </row>
    <row r="5687" spans="1:15" x14ac:dyDescent="0.3">
      <c r="A5687">
        <v>183632</v>
      </c>
      <c r="B5687">
        <v>105</v>
      </c>
      <c r="C5687" t="s">
        <v>557</v>
      </c>
      <c r="D5687" t="s">
        <v>2581</v>
      </c>
      <c r="E5687" t="s">
        <v>3827</v>
      </c>
      <c r="F5687" s="451">
        <v>46002</v>
      </c>
      <c r="G5687">
        <v>19787</v>
      </c>
      <c r="H5687" t="s">
        <v>4793</v>
      </c>
      <c r="I5687" t="s">
        <v>5191</v>
      </c>
      <c r="J5687">
        <v>18</v>
      </c>
      <c r="K5687" t="s">
        <v>4744</v>
      </c>
      <c r="L5687">
        <v>79.2</v>
      </c>
      <c r="M5687">
        <v>4.4000000000000004</v>
      </c>
      <c r="N5687" t="s">
        <v>5272</v>
      </c>
      <c r="O5687" t="s">
        <v>458</v>
      </c>
    </row>
    <row r="5688" spans="1:15" x14ac:dyDescent="0.3">
      <c r="A5688">
        <v>183632</v>
      </c>
      <c r="B5688">
        <v>105</v>
      </c>
      <c r="C5688" t="s">
        <v>557</v>
      </c>
      <c r="D5688" t="s">
        <v>2581</v>
      </c>
      <c r="E5688" t="s">
        <v>3827</v>
      </c>
      <c r="F5688" s="451">
        <v>46002</v>
      </c>
      <c r="G5688">
        <v>19634</v>
      </c>
      <c r="H5688" t="s">
        <v>4792</v>
      </c>
      <c r="I5688" t="s">
        <v>5191</v>
      </c>
      <c r="J5688">
        <v>5</v>
      </c>
      <c r="K5688" t="s">
        <v>4744</v>
      </c>
      <c r="L5688">
        <v>24</v>
      </c>
      <c r="M5688">
        <v>4.8</v>
      </c>
      <c r="N5688" t="s">
        <v>5272</v>
      </c>
      <c r="O5688" t="s">
        <v>458</v>
      </c>
    </row>
    <row r="5689" spans="1:15" x14ac:dyDescent="0.3">
      <c r="A5689">
        <v>183632</v>
      </c>
      <c r="B5689">
        <v>105</v>
      </c>
      <c r="C5689" t="s">
        <v>557</v>
      </c>
      <c r="D5689" t="s">
        <v>2581</v>
      </c>
      <c r="E5689" t="s">
        <v>3827</v>
      </c>
      <c r="F5689" s="451">
        <v>46002</v>
      </c>
      <c r="G5689">
        <v>19623</v>
      </c>
      <c r="H5689" t="s">
        <v>4764</v>
      </c>
      <c r="I5689" t="s">
        <v>5191</v>
      </c>
      <c r="J5689">
        <v>10</v>
      </c>
      <c r="K5689" t="s">
        <v>4744</v>
      </c>
      <c r="L5689">
        <v>59.5</v>
      </c>
      <c r="M5689">
        <v>5.95</v>
      </c>
      <c r="N5689" t="s">
        <v>5272</v>
      </c>
      <c r="O5689" t="s">
        <v>458</v>
      </c>
    </row>
    <row r="5690" spans="1:15" x14ac:dyDescent="0.3">
      <c r="A5690">
        <v>183632</v>
      </c>
      <c r="B5690">
        <v>105</v>
      </c>
      <c r="C5690" t="s">
        <v>557</v>
      </c>
      <c r="D5690" t="s">
        <v>2581</v>
      </c>
      <c r="E5690" t="s">
        <v>3827</v>
      </c>
      <c r="F5690" s="451">
        <v>46002</v>
      </c>
      <c r="G5690">
        <v>19589</v>
      </c>
      <c r="H5690" t="s">
        <v>4983</v>
      </c>
      <c r="I5690" t="s">
        <v>5191</v>
      </c>
      <c r="J5690">
        <v>3</v>
      </c>
      <c r="K5690" t="s">
        <v>4744</v>
      </c>
      <c r="L5690">
        <v>11.55</v>
      </c>
      <c r="M5690">
        <v>3.85</v>
      </c>
      <c r="N5690" t="s">
        <v>5272</v>
      </c>
      <c r="O5690" t="s">
        <v>458</v>
      </c>
    </row>
    <row r="5691" spans="1:15" x14ac:dyDescent="0.3">
      <c r="A5691">
        <v>183632</v>
      </c>
      <c r="B5691">
        <v>105</v>
      </c>
      <c r="C5691" t="s">
        <v>557</v>
      </c>
      <c r="D5691" t="s">
        <v>2581</v>
      </c>
      <c r="E5691" t="s">
        <v>3827</v>
      </c>
      <c r="F5691" s="451">
        <v>46002</v>
      </c>
      <c r="G5691">
        <v>19621</v>
      </c>
      <c r="H5691" t="s">
        <v>4829</v>
      </c>
      <c r="I5691" t="s">
        <v>5191</v>
      </c>
      <c r="J5691">
        <v>5</v>
      </c>
      <c r="K5691" t="s">
        <v>4744</v>
      </c>
      <c r="L5691">
        <v>12.5</v>
      </c>
      <c r="M5691">
        <v>2.5</v>
      </c>
      <c r="N5691" t="s">
        <v>5272</v>
      </c>
      <c r="O5691" t="s">
        <v>458</v>
      </c>
    </row>
    <row r="5692" spans="1:15" x14ac:dyDescent="0.3">
      <c r="A5692">
        <v>183632</v>
      </c>
      <c r="B5692">
        <v>105</v>
      </c>
      <c r="C5692" t="s">
        <v>557</v>
      </c>
      <c r="D5692" t="s">
        <v>2581</v>
      </c>
      <c r="E5692" t="s">
        <v>3827</v>
      </c>
      <c r="F5692" s="451">
        <v>46002</v>
      </c>
      <c r="G5692">
        <v>19552</v>
      </c>
      <c r="H5692" t="s">
        <v>4860</v>
      </c>
      <c r="I5692" t="s">
        <v>5191</v>
      </c>
      <c r="J5692">
        <v>1</v>
      </c>
      <c r="K5692" t="s">
        <v>4744</v>
      </c>
      <c r="L5692">
        <v>3.8</v>
      </c>
      <c r="M5692">
        <v>3.8</v>
      </c>
      <c r="N5692" t="s">
        <v>5272</v>
      </c>
      <c r="O5692" t="s">
        <v>458</v>
      </c>
    </row>
    <row r="5693" spans="1:15" x14ac:dyDescent="0.3">
      <c r="A5693">
        <v>183632</v>
      </c>
      <c r="B5693">
        <v>105</v>
      </c>
      <c r="C5693" t="s">
        <v>557</v>
      </c>
      <c r="D5693" t="s">
        <v>2581</v>
      </c>
      <c r="E5693" t="s">
        <v>3827</v>
      </c>
      <c r="F5693" s="451">
        <v>46002</v>
      </c>
      <c r="G5693">
        <v>19505</v>
      </c>
      <c r="H5693" t="s">
        <v>4872</v>
      </c>
      <c r="I5693" t="s">
        <v>5191</v>
      </c>
      <c r="J5693">
        <v>8</v>
      </c>
      <c r="K5693" t="s">
        <v>4744</v>
      </c>
      <c r="L5693">
        <v>44</v>
      </c>
      <c r="M5693">
        <v>5.5</v>
      </c>
      <c r="N5693" t="s">
        <v>5272</v>
      </c>
      <c r="O5693" t="s">
        <v>458</v>
      </c>
    </row>
    <row r="5694" spans="1:15" x14ac:dyDescent="0.3">
      <c r="A5694">
        <v>183632</v>
      </c>
      <c r="B5694">
        <v>105</v>
      </c>
      <c r="C5694" t="s">
        <v>557</v>
      </c>
      <c r="D5694" t="s">
        <v>2581</v>
      </c>
      <c r="E5694" t="s">
        <v>3827</v>
      </c>
      <c r="F5694" s="451">
        <v>46002</v>
      </c>
      <c r="G5694">
        <v>19465</v>
      </c>
      <c r="H5694" t="s">
        <v>5114</v>
      </c>
      <c r="I5694" t="s">
        <v>5191</v>
      </c>
      <c r="J5694">
        <v>0.8</v>
      </c>
      <c r="K5694" t="s">
        <v>4744</v>
      </c>
      <c r="L5694">
        <v>4</v>
      </c>
      <c r="M5694">
        <v>5</v>
      </c>
      <c r="N5694" t="s">
        <v>5272</v>
      </c>
      <c r="O5694" t="s">
        <v>458</v>
      </c>
    </row>
    <row r="5695" spans="1:15" x14ac:dyDescent="0.3">
      <c r="A5695">
        <v>183632</v>
      </c>
      <c r="B5695">
        <v>105</v>
      </c>
      <c r="C5695" t="s">
        <v>557</v>
      </c>
      <c r="D5695" t="s">
        <v>2581</v>
      </c>
      <c r="E5695" t="s">
        <v>3827</v>
      </c>
      <c r="F5695" s="451">
        <v>46002</v>
      </c>
      <c r="G5695">
        <v>19476</v>
      </c>
      <c r="H5695" t="s">
        <v>5115</v>
      </c>
      <c r="I5695" t="s">
        <v>5191</v>
      </c>
      <c r="J5695">
        <v>0.2</v>
      </c>
      <c r="K5695" t="s">
        <v>4744</v>
      </c>
      <c r="L5695">
        <v>14</v>
      </c>
      <c r="M5695">
        <v>70</v>
      </c>
      <c r="N5695" t="s">
        <v>5272</v>
      </c>
      <c r="O5695" t="s">
        <v>458</v>
      </c>
    </row>
    <row r="5696" spans="1:15" x14ac:dyDescent="0.3">
      <c r="A5696">
        <v>183632</v>
      </c>
      <c r="B5696">
        <v>105</v>
      </c>
      <c r="C5696" t="s">
        <v>557</v>
      </c>
      <c r="D5696" t="s">
        <v>2581</v>
      </c>
      <c r="E5696" t="s">
        <v>3827</v>
      </c>
      <c r="F5696" s="451">
        <v>46002</v>
      </c>
      <c r="G5696">
        <v>19492</v>
      </c>
      <c r="H5696" t="s">
        <v>4937</v>
      </c>
      <c r="I5696" t="s">
        <v>5191</v>
      </c>
      <c r="J5696">
        <v>2</v>
      </c>
      <c r="K5696" t="s">
        <v>4744</v>
      </c>
      <c r="L5696">
        <v>24</v>
      </c>
      <c r="M5696">
        <v>12</v>
      </c>
      <c r="N5696" t="s">
        <v>5272</v>
      </c>
      <c r="O5696" t="s">
        <v>458</v>
      </c>
    </row>
    <row r="5697" spans="1:15" x14ac:dyDescent="0.3">
      <c r="A5697">
        <v>183632</v>
      </c>
      <c r="B5697">
        <v>105</v>
      </c>
      <c r="C5697" t="s">
        <v>557</v>
      </c>
      <c r="D5697" t="s">
        <v>2581</v>
      </c>
      <c r="E5697" t="s">
        <v>3827</v>
      </c>
      <c r="F5697" s="451">
        <v>46002</v>
      </c>
      <c r="G5697">
        <v>19502</v>
      </c>
      <c r="H5697" t="s">
        <v>4871</v>
      </c>
      <c r="I5697" t="s">
        <v>5191</v>
      </c>
      <c r="J5697">
        <v>5</v>
      </c>
      <c r="K5697" t="s">
        <v>4744</v>
      </c>
      <c r="L5697">
        <v>37.5</v>
      </c>
      <c r="M5697">
        <v>7.5</v>
      </c>
      <c r="N5697" t="s">
        <v>5272</v>
      </c>
      <c r="O5697" t="s">
        <v>458</v>
      </c>
    </row>
    <row r="5698" spans="1:15" x14ac:dyDescent="0.3">
      <c r="A5698">
        <v>183632</v>
      </c>
      <c r="B5698">
        <v>105</v>
      </c>
      <c r="C5698" t="s">
        <v>557</v>
      </c>
      <c r="D5698" t="s">
        <v>2581</v>
      </c>
      <c r="E5698" t="s">
        <v>3827</v>
      </c>
      <c r="F5698" s="451">
        <v>46002</v>
      </c>
      <c r="G5698">
        <v>19480</v>
      </c>
      <c r="H5698" t="s">
        <v>5119</v>
      </c>
      <c r="I5698" t="s">
        <v>5191</v>
      </c>
      <c r="J5698">
        <v>0.5</v>
      </c>
      <c r="K5698" t="s">
        <v>4744</v>
      </c>
      <c r="L5698">
        <v>6</v>
      </c>
      <c r="M5698">
        <v>12</v>
      </c>
      <c r="N5698" t="s">
        <v>5272</v>
      </c>
      <c r="O5698" t="s">
        <v>458</v>
      </c>
    </row>
    <row r="5699" spans="1:15" x14ac:dyDescent="0.3">
      <c r="A5699">
        <v>183632</v>
      </c>
      <c r="B5699">
        <v>105</v>
      </c>
      <c r="C5699" t="s">
        <v>557</v>
      </c>
      <c r="D5699" t="s">
        <v>2581</v>
      </c>
      <c r="E5699" t="s">
        <v>3827</v>
      </c>
      <c r="F5699" s="451">
        <v>46002</v>
      </c>
      <c r="G5699">
        <v>19551</v>
      </c>
      <c r="H5699" t="s">
        <v>4905</v>
      </c>
      <c r="I5699" t="s">
        <v>5191</v>
      </c>
      <c r="J5699">
        <v>3</v>
      </c>
      <c r="K5699" t="s">
        <v>4744</v>
      </c>
      <c r="L5699">
        <v>39</v>
      </c>
      <c r="M5699">
        <v>13</v>
      </c>
      <c r="N5699" t="s">
        <v>5272</v>
      </c>
      <c r="O5699" t="s">
        <v>458</v>
      </c>
    </row>
    <row r="5700" spans="1:15" x14ac:dyDescent="0.3">
      <c r="A5700">
        <v>183632</v>
      </c>
      <c r="B5700">
        <v>105</v>
      </c>
      <c r="C5700" t="s">
        <v>557</v>
      </c>
      <c r="D5700" t="s">
        <v>2581</v>
      </c>
      <c r="E5700" t="s">
        <v>3827</v>
      </c>
      <c r="F5700" s="451">
        <v>46002</v>
      </c>
      <c r="G5700">
        <v>19553</v>
      </c>
      <c r="H5700" t="s">
        <v>4868</v>
      </c>
      <c r="I5700" t="s">
        <v>5191</v>
      </c>
      <c r="J5700">
        <v>1</v>
      </c>
      <c r="K5700" t="s">
        <v>4744</v>
      </c>
      <c r="L5700">
        <v>2.2999999999999998</v>
      </c>
      <c r="M5700">
        <v>2.2999999999999998</v>
      </c>
      <c r="N5700" t="s">
        <v>5272</v>
      </c>
      <c r="O5700" t="s">
        <v>458</v>
      </c>
    </row>
    <row r="5701" spans="1:15" x14ac:dyDescent="0.3">
      <c r="A5701">
        <v>183632</v>
      </c>
      <c r="B5701">
        <v>105</v>
      </c>
      <c r="C5701" t="s">
        <v>557</v>
      </c>
      <c r="D5701" t="s">
        <v>2581</v>
      </c>
      <c r="E5701" t="s">
        <v>3827</v>
      </c>
      <c r="F5701" s="451">
        <v>46002</v>
      </c>
      <c r="G5701">
        <v>19622</v>
      </c>
      <c r="H5701" t="s">
        <v>4915</v>
      </c>
      <c r="I5701" t="s">
        <v>5191</v>
      </c>
      <c r="J5701">
        <v>1</v>
      </c>
      <c r="K5701" t="s">
        <v>4744</v>
      </c>
      <c r="L5701">
        <v>3</v>
      </c>
      <c r="M5701">
        <v>3</v>
      </c>
      <c r="N5701" t="s">
        <v>5272</v>
      </c>
      <c r="O5701" t="s">
        <v>458</v>
      </c>
    </row>
    <row r="5702" spans="1:15" x14ac:dyDescent="0.3">
      <c r="A5702">
        <v>183632</v>
      </c>
      <c r="B5702">
        <v>105</v>
      </c>
      <c r="C5702" t="s">
        <v>557</v>
      </c>
      <c r="D5702" t="s">
        <v>2581</v>
      </c>
      <c r="E5702" t="s">
        <v>3827</v>
      </c>
      <c r="F5702" s="451">
        <v>46002</v>
      </c>
      <c r="G5702">
        <v>19740</v>
      </c>
      <c r="H5702" t="s">
        <v>4779</v>
      </c>
      <c r="I5702" t="s">
        <v>5191</v>
      </c>
      <c r="J5702">
        <v>10</v>
      </c>
      <c r="K5702" t="s">
        <v>4744</v>
      </c>
      <c r="L5702">
        <v>150</v>
      </c>
      <c r="M5702">
        <v>15</v>
      </c>
      <c r="N5702" t="s">
        <v>5272</v>
      </c>
      <c r="O5702" t="s">
        <v>458</v>
      </c>
    </row>
    <row r="5703" spans="1:15" x14ac:dyDescent="0.3">
      <c r="A5703">
        <v>183632</v>
      </c>
      <c r="B5703">
        <v>105</v>
      </c>
      <c r="C5703" t="s">
        <v>557</v>
      </c>
      <c r="D5703" t="s">
        <v>2581</v>
      </c>
      <c r="E5703" t="s">
        <v>3827</v>
      </c>
      <c r="F5703" s="451">
        <v>46002</v>
      </c>
      <c r="G5703">
        <v>19742</v>
      </c>
      <c r="H5703" t="s">
        <v>4900</v>
      </c>
      <c r="I5703" t="s">
        <v>5191</v>
      </c>
      <c r="J5703">
        <v>4.5</v>
      </c>
      <c r="K5703" t="s">
        <v>4744</v>
      </c>
      <c r="L5703">
        <v>42.75</v>
      </c>
      <c r="M5703">
        <v>9.5</v>
      </c>
      <c r="N5703" t="s">
        <v>5272</v>
      </c>
      <c r="O5703" t="s">
        <v>458</v>
      </c>
    </row>
    <row r="5704" spans="1:15" x14ac:dyDescent="0.3">
      <c r="A5704">
        <v>183632</v>
      </c>
      <c r="B5704">
        <v>105</v>
      </c>
      <c r="C5704" t="s">
        <v>557</v>
      </c>
      <c r="D5704" t="s">
        <v>2581</v>
      </c>
      <c r="E5704" t="s">
        <v>3827</v>
      </c>
      <c r="F5704" s="451">
        <v>46002</v>
      </c>
      <c r="G5704">
        <v>19743</v>
      </c>
      <c r="H5704" t="s">
        <v>5047</v>
      </c>
      <c r="I5704" t="s">
        <v>5191</v>
      </c>
      <c r="J5704">
        <v>1.1000000000000001</v>
      </c>
      <c r="K5704" t="s">
        <v>4744</v>
      </c>
      <c r="L5704">
        <v>15.95</v>
      </c>
      <c r="M5704">
        <v>14.5</v>
      </c>
      <c r="N5704" t="s">
        <v>5272</v>
      </c>
      <c r="O5704" t="s">
        <v>458</v>
      </c>
    </row>
    <row r="5705" spans="1:15" x14ac:dyDescent="0.3">
      <c r="A5705">
        <v>183632</v>
      </c>
      <c r="B5705">
        <v>105</v>
      </c>
      <c r="C5705" t="s">
        <v>557</v>
      </c>
      <c r="D5705" t="s">
        <v>2581</v>
      </c>
      <c r="E5705" t="s">
        <v>3827</v>
      </c>
      <c r="F5705" s="451">
        <v>46002</v>
      </c>
      <c r="G5705">
        <v>19728</v>
      </c>
      <c r="H5705" t="s">
        <v>5106</v>
      </c>
      <c r="I5705" t="s">
        <v>5191</v>
      </c>
      <c r="J5705">
        <v>1</v>
      </c>
      <c r="K5705" t="s">
        <v>4744</v>
      </c>
      <c r="L5705">
        <v>14.5</v>
      </c>
      <c r="M5705">
        <v>14.5</v>
      </c>
      <c r="N5705" t="s">
        <v>5272</v>
      </c>
      <c r="O5705" t="s">
        <v>458</v>
      </c>
    </row>
    <row r="5706" spans="1:15" x14ac:dyDescent="0.3">
      <c r="A5706">
        <v>183632</v>
      </c>
      <c r="B5706">
        <v>105</v>
      </c>
      <c r="C5706" t="s">
        <v>557</v>
      </c>
      <c r="D5706" t="s">
        <v>2581</v>
      </c>
      <c r="E5706" t="s">
        <v>3827</v>
      </c>
      <c r="F5706" s="451">
        <v>46002</v>
      </c>
      <c r="G5706">
        <v>19752</v>
      </c>
      <c r="H5706" t="s">
        <v>4807</v>
      </c>
      <c r="I5706" t="s">
        <v>5191</v>
      </c>
      <c r="J5706">
        <v>4.5</v>
      </c>
      <c r="K5706" t="s">
        <v>4744</v>
      </c>
      <c r="L5706">
        <v>51.75</v>
      </c>
      <c r="M5706">
        <v>11.5</v>
      </c>
      <c r="N5706" t="s">
        <v>5272</v>
      </c>
      <c r="O5706" t="s">
        <v>458</v>
      </c>
    </row>
    <row r="5707" spans="1:15" x14ac:dyDescent="0.3">
      <c r="A5707">
        <v>183632</v>
      </c>
      <c r="B5707">
        <v>105</v>
      </c>
      <c r="C5707" t="s">
        <v>557</v>
      </c>
      <c r="D5707" t="s">
        <v>2581</v>
      </c>
      <c r="E5707" t="s">
        <v>3827</v>
      </c>
      <c r="F5707" s="451">
        <v>46002</v>
      </c>
      <c r="G5707">
        <v>19617</v>
      </c>
      <c r="H5707" t="s">
        <v>5071</v>
      </c>
      <c r="I5707" t="s">
        <v>5191</v>
      </c>
      <c r="J5707">
        <v>0.5</v>
      </c>
      <c r="K5707" t="s">
        <v>4744</v>
      </c>
      <c r="L5707">
        <v>7.5</v>
      </c>
      <c r="M5707">
        <v>15</v>
      </c>
      <c r="N5707" t="s">
        <v>5272</v>
      </c>
      <c r="O5707" t="s">
        <v>458</v>
      </c>
    </row>
    <row r="5708" spans="1:15" x14ac:dyDescent="0.3">
      <c r="A5708">
        <v>183632</v>
      </c>
      <c r="B5708">
        <v>105</v>
      </c>
      <c r="C5708" t="s">
        <v>557</v>
      </c>
      <c r="D5708" t="s">
        <v>2581</v>
      </c>
      <c r="E5708" t="s">
        <v>3827</v>
      </c>
      <c r="F5708" s="451">
        <v>46002</v>
      </c>
      <c r="G5708">
        <v>19635</v>
      </c>
      <c r="H5708" t="s">
        <v>4786</v>
      </c>
      <c r="I5708" t="s">
        <v>5191</v>
      </c>
      <c r="J5708">
        <v>5</v>
      </c>
      <c r="K5708" t="s">
        <v>4744</v>
      </c>
      <c r="L5708">
        <v>14</v>
      </c>
      <c r="M5708">
        <v>2.8</v>
      </c>
      <c r="N5708" t="s">
        <v>5272</v>
      </c>
      <c r="O5708" t="s">
        <v>458</v>
      </c>
    </row>
    <row r="5709" spans="1:15" x14ac:dyDescent="0.3">
      <c r="A5709">
        <v>183632</v>
      </c>
      <c r="B5709">
        <v>105</v>
      </c>
      <c r="C5709" t="s">
        <v>557</v>
      </c>
      <c r="D5709" t="s">
        <v>2581</v>
      </c>
      <c r="E5709" t="s">
        <v>3827</v>
      </c>
      <c r="F5709" s="451">
        <v>46002</v>
      </c>
      <c r="G5709">
        <v>23108</v>
      </c>
      <c r="H5709" t="s">
        <v>5117</v>
      </c>
      <c r="I5709" t="s">
        <v>5191</v>
      </c>
      <c r="J5709">
        <v>0.2</v>
      </c>
      <c r="K5709" t="s">
        <v>4744</v>
      </c>
      <c r="L5709">
        <v>11.6</v>
      </c>
      <c r="M5709">
        <v>58</v>
      </c>
      <c r="N5709" t="s">
        <v>5272</v>
      </c>
      <c r="O5709" t="s">
        <v>458</v>
      </c>
    </row>
    <row r="5710" spans="1:15" x14ac:dyDescent="0.3">
      <c r="A5710">
        <v>183632</v>
      </c>
      <c r="B5710">
        <v>105</v>
      </c>
      <c r="C5710" t="s">
        <v>557</v>
      </c>
      <c r="D5710" t="s">
        <v>2581</v>
      </c>
      <c r="E5710" t="s">
        <v>3827</v>
      </c>
      <c r="F5710" s="451">
        <v>46002</v>
      </c>
      <c r="G5710">
        <v>23113</v>
      </c>
      <c r="H5710" t="s">
        <v>5074</v>
      </c>
      <c r="I5710" t="s">
        <v>5191</v>
      </c>
      <c r="J5710">
        <v>2</v>
      </c>
      <c r="K5710" t="s">
        <v>4744</v>
      </c>
      <c r="L5710">
        <v>14</v>
      </c>
      <c r="M5710">
        <v>7</v>
      </c>
      <c r="N5710" t="s">
        <v>5272</v>
      </c>
      <c r="O5710" t="s">
        <v>458</v>
      </c>
    </row>
    <row r="5711" spans="1:15" x14ac:dyDescent="0.3">
      <c r="A5711">
        <v>183632</v>
      </c>
      <c r="B5711">
        <v>105</v>
      </c>
      <c r="C5711" t="s">
        <v>557</v>
      </c>
      <c r="D5711" t="s">
        <v>2581</v>
      </c>
      <c r="E5711" t="s">
        <v>3827</v>
      </c>
      <c r="F5711" s="451">
        <v>46002</v>
      </c>
      <c r="G5711">
        <v>23195</v>
      </c>
      <c r="H5711" t="s">
        <v>5051</v>
      </c>
      <c r="I5711" t="s">
        <v>5191</v>
      </c>
      <c r="J5711">
        <v>2</v>
      </c>
      <c r="K5711" t="s">
        <v>4744</v>
      </c>
      <c r="L5711">
        <v>15</v>
      </c>
      <c r="M5711">
        <v>7.5</v>
      </c>
      <c r="N5711" t="s">
        <v>5272</v>
      </c>
      <c r="O5711" t="s">
        <v>458</v>
      </c>
    </row>
    <row r="5712" spans="1:15" x14ac:dyDescent="0.3">
      <c r="A5712">
        <v>183632</v>
      </c>
      <c r="B5712">
        <v>105</v>
      </c>
      <c r="C5712" t="s">
        <v>557</v>
      </c>
      <c r="D5712" t="s">
        <v>2581</v>
      </c>
      <c r="E5712" t="s">
        <v>3827</v>
      </c>
      <c r="F5712" s="451">
        <v>46002</v>
      </c>
      <c r="G5712">
        <v>23236</v>
      </c>
      <c r="H5712" t="s">
        <v>5062</v>
      </c>
      <c r="I5712" t="s">
        <v>5191</v>
      </c>
      <c r="J5712">
        <v>2.5</v>
      </c>
      <c r="K5712" t="s">
        <v>4744</v>
      </c>
      <c r="L5712">
        <v>12.5</v>
      </c>
      <c r="M5712">
        <v>5</v>
      </c>
      <c r="N5712" t="s">
        <v>5272</v>
      </c>
      <c r="O5712" t="s">
        <v>458</v>
      </c>
    </row>
    <row r="5713" spans="1:15" x14ac:dyDescent="0.3">
      <c r="A5713">
        <v>183632</v>
      </c>
      <c r="B5713">
        <v>105</v>
      </c>
      <c r="C5713" t="s">
        <v>557</v>
      </c>
      <c r="D5713" t="s">
        <v>2581</v>
      </c>
      <c r="E5713" t="s">
        <v>3827</v>
      </c>
      <c r="F5713" s="451">
        <v>46002</v>
      </c>
      <c r="G5713">
        <v>23361</v>
      </c>
      <c r="H5713" t="s">
        <v>4754</v>
      </c>
      <c r="I5713" t="s">
        <v>5191</v>
      </c>
      <c r="J5713">
        <v>20</v>
      </c>
      <c r="K5713" t="s">
        <v>4744</v>
      </c>
      <c r="L5713">
        <v>62</v>
      </c>
      <c r="M5713">
        <v>3.1</v>
      </c>
      <c r="N5713" t="s">
        <v>5272</v>
      </c>
      <c r="O5713" t="s">
        <v>458</v>
      </c>
    </row>
    <row r="5714" spans="1:15" x14ac:dyDescent="0.3">
      <c r="A5714">
        <v>183632</v>
      </c>
      <c r="B5714">
        <v>105</v>
      </c>
      <c r="C5714" t="s">
        <v>557</v>
      </c>
      <c r="D5714" t="s">
        <v>2581</v>
      </c>
      <c r="E5714" t="s">
        <v>3827</v>
      </c>
      <c r="F5714" s="451">
        <v>46002</v>
      </c>
      <c r="G5714">
        <v>23365</v>
      </c>
      <c r="H5714" t="s">
        <v>5108</v>
      </c>
      <c r="I5714" t="s">
        <v>5191</v>
      </c>
      <c r="J5714">
        <v>1</v>
      </c>
      <c r="K5714" t="s">
        <v>4744</v>
      </c>
      <c r="L5714">
        <v>25</v>
      </c>
      <c r="M5714">
        <v>25</v>
      </c>
      <c r="N5714" t="s">
        <v>5272</v>
      </c>
      <c r="O5714" t="s">
        <v>458</v>
      </c>
    </row>
    <row r="5715" spans="1:15" x14ac:dyDescent="0.3">
      <c r="A5715">
        <v>183632</v>
      </c>
      <c r="B5715">
        <v>105</v>
      </c>
      <c r="C5715" t="s">
        <v>557</v>
      </c>
      <c r="D5715" t="s">
        <v>2581</v>
      </c>
      <c r="E5715" t="s">
        <v>3827</v>
      </c>
      <c r="F5715" s="451">
        <v>46002</v>
      </c>
      <c r="G5715">
        <v>23238</v>
      </c>
      <c r="H5715" t="s">
        <v>4934</v>
      </c>
      <c r="I5715" t="s">
        <v>5191</v>
      </c>
      <c r="J5715">
        <v>1.5</v>
      </c>
      <c r="K5715" t="s">
        <v>4744</v>
      </c>
      <c r="L5715">
        <v>16.5</v>
      </c>
      <c r="M5715">
        <v>11</v>
      </c>
      <c r="N5715" t="s">
        <v>5272</v>
      </c>
      <c r="O5715" t="s">
        <v>458</v>
      </c>
    </row>
    <row r="5716" spans="1:15" x14ac:dyDescent="0.3">
      <c r="A5716">
        <v>183632</v>
      </c>
      <c r="B5716">
        <v>105</v>
      </c>
      <c r="C5716" t="s">
        <v>557</v>
      </c>
      <c r="D5716" t="s">
        <v>2581</v>
      </c>
      <c r="E5716" t="s">
        <v>3827</v>
      </c>
      <c r="F5716" s="451">
        <v>46002</v>
      </c>
      <c r="G5716">
        <v>23095</v>
      </c>
      <c r="H5716" t="s">
        <v>4741</v>
      </c>
      <c r="I5716" t="s">
        <v>5191</v>
      </c>
      <c r="J5716">
        <v>80</v>
      </c>
      <c r="K5716" t="s">
        <v>4736</v>
      </c>
      <c r="L5716">
        <v>75.2</v>
      </c>
      <c r="M5716">
        <v>0.94</v>
      </c>
      <c r="N5716" t="s">
        <v>5272</v>
      </c>
      <c r="O5716" t="s">
        <v>458</v>
      </c>
    </row>
    <row r="5717" spans="1:15" x14ac:dyDescent="0.3">
      <c r="A5717">
        <v>183632</v>
      </c>
      <c r="B5717">
        <v>105</v>
      </c>
      <c r="C5717" t="s">
        <v>557</v>
      </c>
      <c r="D5717" t="s">
        <v>2581</v>
      </c>
      <c r="E5717" t="s">
        <v>3827</v>
      </c>
      <c r="F5717" s="451">
        <v>46002</v>
      </c>
      <c r="G5717">
        <v>24037</v>
      </c>
      <c r="H5717" t="s">
        <v>5233</v>
      </c>
      <c r="I5717" t="s">
        <v>5191</v>
      </c>
      <c r="J5717">
        <v>5</v>
      </c>
      <c r="K5717" t="s">
        <v>4744</v>
      </c>
      <c r="L5717">
        <v>100</v>
      </c>
      <c r="M5717">
        <v>20</v>
      </c>
      <c r="N5717" t="s">
        <v>5272</v>
      </c>
      <c r="O5717" t="s">
        <v>458</v>
      </c>
    </row>
    <row r="5718" spans="1:15" x14ac:dyDescent="0.3">
      <c r="A5718">
        <v>183632</v>
      </c>
      <c r="B5718">
        <v>105</v>
      </c>
      <c r="C5718" t="s">
        <v>557</v>
      </c>
      <c r="D5718" t="s">
        <v>2581</v>
      </c>
      <c r="E5718" t="s">
        <v>3827</v>
      </c>
      <c r="F5718" s="451">
        <v>46002</v>
      </c>
      <c r="G5718">
        <v>19472</v>
      </c>
      <c r="H5718" t="s">
        <v>4906</v>
      </c>
      <c r="I5718" t="s">
        <v>5191</v>
      </c>
      <c r="J5718">
        <v>1.8</v>
      </c>
      <c r="K5718" t="s">
        <v>4744</v>
      </c>
      <c r="L5718">
        <v>19.8</v>
      </c>
      <c r="M5718">
        <v>11</v>
      </c>
      <c r="N5718" t="s">
        <v>5272</v>
      </c>
      <c r="O5718" t="s">
        <v>458</v>
      </c>
    </row>
    <row r="5719" spans="1:15" x14ac:dyDescent="0.3">
      <c r="A5719">
        <v>183630</v>
      </c>
      <c r="B5719">
        <v>105</v>
      </c>
      <c r="C5719" t="s">
        <v>557</v>
      </c>
      <c r="D5719" t="s">
        <v>2705</v>
      </c>
      <c r="E5719" t="s">
        <v>3828</v>
      </c>
      <c r="F5719" s="451">
        <v>46002</v>
      </c>
      <c r="G5719">
        <v>24658</v>
      </c>
      <c r="H5719" t="s">
        <v>5274</v>
      </c>
      <c r="I5719" t="s">
        <v>5232</v>
      </c>
      <c r="J5719">
        <v>20</v>
      </c>
      <c r="K5719" t="s">
        <v>4738</v>
      </c>
      <c r="L5719">
        <v>692</v>
      </c>
      <c r="M5719">
        <v>34.6</v>
      </c>
      <c r="N5719" t="s">
        <v>5287</v>
      </c>
      <c r="O5719" t="s">
        <v>458</v>
      </c>
    </row>
    <row r="5720" spans="1:15" x14ac:dyDescent="0.3">
      <c r="A5720">
        <v>183629</v>
      </c>
      <c r="B5720">
        <v>105</v>
      </c>
      <c r="C5720" t="s">
        <v>557</v>
      </c>
      <c r="D5720" t="s">
        <v>2615</v>
      </c>
      <c r="E5720" t="s">
        <v>3829</v>
      </c>
      <c r="F5720" s="451">
        <v>46002</v>
      </c>
      <c r="G5720">
        <v>20623</v>
      </c>
      <c r="H5720" t="s">
        <v>4814</v>
      </c>
      <c r="I5720" t="s">
        <v>5191</v>
      </c>
      <c r="J5720">
        <v>10</v>
      </c>
      <c r="K5720" t="s">
        <v>4744</v>
      </c>
      <c r="L5720">
        <v>110.7</v>
      </c>
      <c r="M5720">
        <v>11.07</v>
      </c>
      <c r="N5720" t="s">
        <v>5272</v>
      </c>
      <c r="O5720" t="s">
        <v>458</v>
      </c>
    </row>
    <row r="5721" spans="1:15" x14ac:dyDescent="0.3">
      <c r="A5721">
        <v>183628</v>
      </c>
      <c r="B5721">
        <v>105</v>
      </c>
      <c r="C5721" t="s">
        <v>557</v>
      </c>
      <c r="D5721" t="s">
        <v>2554</v>
      </c>
      <c r="E5721" t="s">
        <v>3830</v>
      </c>
      <c r="F5721" s="451">
        <v>46001</v>
      </c>
      <c r="G5721">
        <v>17554</v>
      </c>
      <c r="H5721" t="s">
        <v>5320</v>
      </c>
      <c r="I5721" t="s">
        <v>5188</v>
      </c>
      <c r="J5721">
        <v>1</v>
      </c>
      <c r="K5721" t="s">
        <v>4749</v>
      </c>
      <c r="L5721">
        <v>258</v>
      </c>
      <c r="M5721">
        <v>258</v>
      </c>
      <c r="N5721" t="s">
        <v>5205</v>
      </c>
      <c r="O5721" t="s">
        <v>458</v>
      </c>
    </row>
    <row r="5722" spans="1:15" x14ac:dyDescent="0.3">
      <c r="A5722">
        <v>183627</v>
      </c>
      <c r="B5722">
        <v>105</v>
      </c>
      <c r="C5722" t="s">
        <v>557</v>
      </c>
      <c r="D5722" t="s">
        <v>2554</v>
      </c>
      <c r="E5722" t="s">
        <v>3831</v>
      </c>
      <c r="F5722" s="451">
        <v>46001</v>
      </c>
      <c r="G5722">
        <v>17437</v>
      </c>
      <c r="H5722" t="s">
        <v>5203</v>
      </c>
      <c r="I5722" t="s">
        <v>5188</v>
      </c>
      <c r="J5722">
        <v>15</v>
      </c>
      <c r="K5722" t="s">
        <v>4736</v>
      </c>
      <c r="L5722">
        <v>37.5</v>
      </c>
      <c r="M5722">
        <v>2.5</v>
      </c>
      <c r="N5722" t="s">
        <v>5277</v>
      </c>
      <c r="O5722" t="s">
        <v>458</v>
      </c>
    </row>
    <row r="5723" spans="1:15" x14ac:dyDescent="0.3">
      <c r="A5723">
        <v>183627</v>
      </c>
      <c r="B5723">
        <v>105</v>
      </c>
      <c r="C5723" t="s">
        <v>557</v>
      </c>
      <c r="D5723" t="s">
        <v>2554</v>
      </c>
      <c r="E5723" t="s">
        <v>3831</v>
      </c>
      <c r="F5723" s="451">
        <v>46001</v>
      </c>
      <c r="G5723">
        <v>17314</v>
      </c>
      <c r="H5723" t="s">
        <v>5208</v>
      </c>
      <c r="I5723" t="s">
        <v>5188</v>
      </c>
      <c r="J5723">
        <v>2</v>
      </c>
      <c r="K5723" t="s">
        <v>4848</v>
      </c>
      <c r="L5723">
        <v>12.2</v>
      </c>
      <c r="M5723">
        <v>6.1</v>
      </c>
      <c r="N5723" t="s">
        <v>5277</v>
      </c>
      <c r="O5723" t="s">
        <v>458</v>
      </c>
    </row>
    <row r="5724" spans="1:15" x14ac:dyDescent="0.3">
      <c r="A5724">
        <v>183627</v>
      </c>
      <c r="B5724">
        <v>105</v>
      </c>
      <c r="C5724" t="s">
        <v>557</v>
      </c>
      <c r="D5724" t="s">
        <v>2554</v>
      </c>
      <c r="E5724" t="s">
        <v>3831</v>
      </c>
      <c r="F5724" s="451">
        <v>46001</v>
      </c>
      <c r="G5724">
        <v>17266</v>
      </c>
      <c r="H5724" t="s">
        <v>5192</v>
      </c>
      <c r="I5724" t="s">
        <v>5188</v>
      </c>
      <c r="J5724">
        <v>6</v>
      </c>
      <c r="K5724" t="s">
        <v>4736</v>
      </c>
      <c r="L5724">
        <v>30.54</v>
      </c>
      <c r="M5724">
        <v>5.09</v>
      </c>
      <c r="N5724" t="s">
        <v>5277</v>
      </c>
      <c r="O5724" t="s">
        <v>458</v>
      </c>
    </row>
    <row r="5725" spans="1:15" x14ac:dyDescent="0.3">
      <c r="A5725">
        <v>183627</v>
      </c>
      <c r="B5725">
        <v>105</v>
      </c>
      <c r="C5725" t="s">
        <v>557</v>
      </c>
      <c r="D5725" t="s">
        <v>2554</v>
      </c>
      <c r="E5725" t="s">
        <v>3831</v>
      </c>
      <c r="F5725" s="451">
        <v>46001</v>
      </c>
      <c r="G5725">
        <v>17215</v>
      </c>
      <c r="H5725" t="s">
        <v>5299</v>
      </c>
      <c r="I5725" t="s">
        <v>5188</v>
      </c>
      <c r="J5725">
        <v>6</v>
      </c>
      <c r="K5725" t="s">
        <v>4848</v>
      </c>
      <c r="L5725">
        <v>120</v>
      </c>
      <c r="M5725">
        <v>20</v>
      </c>
      <c r="N5725" t="s">
        <v>5277</v>
      </c>
      <c r="O5725" t="s">
        <v>458</v>
      </c>
    </row>
    <row r="5726" spans="1:15" x14ac:dyDescent="0.3">
      <c r="A5726">
        <v>183627</v>
      </c>
      <c r="B5726">
        <v>105</v>
      </c>
      <c r="C5726" t="s">
        <v>557</v>
      </c>
      <c r="D5726" t="s">
        <v>2554</v>
      </c>
      <c r="E5726" t="s">
        <v>3831</v>
      </c>
      <c r="F5726" s="451">
        <v>46001</v>
      </c>
      <c r="G5726">
        <v>17304</v>
      </c>
      <c r="H5726" t="s">
        <v>5195</v>
      </c>
      <c r="I5726" t="s">
        <v>5188</v>
      </c>
      <c r="J5726">
        <v>2</v>
      </c>
      <c r="K5726" t="s">
        <v>4848</v>
      </c>
      <c r="L5726">
        <v>14.2</v>
      </c>
      <c r="M5726">
        <v>7.1</v>
      </c>
      <c r="N5726" t="s">
        <v>5277</v>
      </c>
      <c r="O5726" t="s">
        <v>458</v>
      </c>
    </row>
    <row r="5727" spans="1:15" x14ac:dyDescent="0.3">
      <c r="A5727">
        <v>183627</v>
      </c>
      <c r="B5727">
        <v>105</v>
      </c>
      <c r="C5727" t="s">
        <v>557</v>
      </c>
      <c r="D5727" t="s">
        <v>2554</v>
      </c>
      <c r="E5727" t="s">
        <v>3831</v>
      </c>
      <c r="F5727" s="451">
        <v>46001</v>
      </c>
      <c r="G5727">
        <v>24758</v>
      </c>
      <c r="H5727" t="s">
        <v>5326</v>
      </c>
      <c r="I5727" t="s">
        <v>5215</v>
      </c>
      <c r="J5727">
        <v>2</v>
      </c>
      <c r="K5727" t="s">
        <v>4738</v>
      </c>
      <c r="L5727">
        <v>57.8</v>
      </c>
      <c r="M5727">
        <v>28.9</v>
      </c>
      <c r="N5727" t="s">
        <v>5277</v>
      </c>
      <c r="O5727" t="s">
        <v>458</v>
      </c>
    </row>
    <row r="5728" spans="1:15" x14ac:dyDescent="0.3">
      <c r="A5728">
        <v>183627</v>
      </c>
      <c r="B5728">
        <v>105</v>
      </c>
      <c r="C5728" t="s">
        <v>557</v>
      </c>
      <c r="D5728" t="s">
        <v>2554</v>
      </c>
      <c r="E5728" t="s">
        <v>3831</v>
      </c>
      <c r="F5728" s="451">
        <v>46001</v>
      </c>
      <c r="G5728">
        <v>24596</v>
      </c>
      <c r="H5728" t="s">
        <v>5197</v>
      </c>
      <c r="I5728" t="s">
        <v>5188</v>
      </c>
      <c r="J5728">
        <v>2</v>
      </c>
      <c r="K5728" t="s">
        <v>4736</v>
      </c>
      <c r="L5728">
        <v>33</v>
      </c>
      <c r="M5728">
        <v>16.5</v>
      </c>
      <c r="N5728" t="s">
        <v>5277</v>
      </c>
      <c r="O5728" t="s">
        <v>458</v>
      </c>
    </row>
    <row r="5729" spans="1:15" x14ac:dyDescent="0.3">
      <c r="A5729">
        <v>183627</v>
      </c>
      <c r="B5729">
        <v>105</v>
      </c>
      <c r="C5729" t="s">
        <v>557</v>
      </c>
      <c r="D5729" t="s">
        <v>2554</v>
      </c>
      <c r="E5729" t="s">
        <v>3831</v>
      </c>
      <c r="F5729" s="451">
        <v>46001</v>
      </c>
      <c r="G5729">
        <v>17333</v>
      </c>
      <c r="H5729" t="s">
        <v>5211</v>
      </c>
      <c r="I5729" t="s">
        <v>5188</v>
      </c>
      <c r="J5729">
        <v>2</v>
      </c>
      <c r="K5729" t="s">
        <v>4738</v>
      </c>
      <c r="L5729">
        <v>156</v>
      </c>
      <c r="M5729">
        <v>78</v>
      </c>
      <c r="N5729" t="s">
        <v>5277</v>
      </c>
      <c r="O5729" t="s">
        <v>458</v>
      </c>
    </row>
    <row r="5730" spans="1:15" x14ac:dyDescent="0.3">
      <c r="A5730">
        <v>183627</v>
      </c>
      <c r="B5730">
        <v>105</v>
      </c>
      <c r="C5730" t="s">
        <v>557</v>
      </c>
      <c r="D5730" t="s">
        <v>2554</v>
      </c>
      <c r="E5730" t="s">
        <v>3831</v>
      </c>
      <c r="F5730" s="451">
        <v>46001</v>
      </c>
      <c r="G5730">
        <v>17418</v>
      </c>
      <c r="H5730" t="s">
        <v>5207</v>
      </c>
      <c r="I5730" t="s">
        <v>5188</v>
      </c>
      <c r="J5730">
        <v>3</v>
      </c>
      <c r="K5730" t="s">
        <v>4749</v>
      </c>
      <c r="L5730">
        <v>186</v>
      </c>
      <c r="M5730">
        <v>62</v>
      </c>
      <c r="N5730" t="s">
        <v>5277</v>
      </c>
      <c r="O5730" t="s">
        <v>458</v>
      </c>
    </row>
    <row r="5731" spans="1:15" x14ac:dyDescent="0.3">
      <c r="A5731">
        <v>183627</v>
      </c>
      <c r="B5731">
        <v>105</v>
      </c>
      <c r="C5731" t="s">
        <v>557</v>
      </c>
      <c r="D5731" t="s">
        <v>2554</v>
      </c>
      <c r="E5731" t="s">
        <v>3831</v>
      </c>
      <c r="F5731" s="451">
        <v>46001</v>
      </c>
      <c r="G5731">
        <v>17416</v>
      </c>
      <c r="H5731" t="s">
        <v>5209</v>
      </c>
      <c r="I5731" t="s">
        <v>5188</v>
      </c>
      <c r="J5731">
        <v>2</v>
      </c>
      <c r="K5731" t="s">
        <v>4749</v>
      </c>
      <c r="L5731">
        <v>110.6</v>
      </c>
      <c r="M5731">
        <v>55.3</v>
      </c>
      <c r="N5731" t="s">
        <v>5277</v>
      </c>
      <c r="O5731" t="s">
        <v>458</v>
      </c>
    </row>
    <row r="5732" spans="1:15" x14ac:dyDescent="0.3">
      <c r="A5732">
        <v>183627</v>
      </c>
      <c r="B5732">
        <v>105</v>
      </c>
      <c r="C5732" t="s">
        <v>557</v>
      </c>
      <c r="D5732" t="s">
        <v>2554</v>
      </c>
      <c r="E5732" t="s">
        <v>3831</v>
      </c>
      <c r="F5732" s="451">
        <v>46001</v>
      </c>
      <c r="G5732">
        <v>24505</v>
      </c>
      <c r="H5732" t="s">
        <v>5198</v>
      </c>
      <c r="I5732" t="s">
        <v>5188</v>
      </c>
      <c r="J5732">
        <v>4</v>
      </c>
      <c r="K5732" t="s">
        <v>4738</v>
      </c>
      <c r="L5732">
        <v>23.56</v>
      </c>
      <c r="M5732">
        <v>5.89</v>
      </c>
      <c r="N5732" t="s">
        <v>5277</v>
      </c>
      <c r="O5732" t="s">
        <v>458</v>
      </c>
    </row>
    <row r="5733" spans="1:15" x14ac:dyDescent="0.3">
      <c r="A5733">
        <v>183627</v>
      </c>
      <c r="B5733">
        <v>105</v>
      </c>
      <c r="C5733" t="s">
        <v>557</v>
      </c>
      <c r="D5733" t="s">
        <v>2554</v>
      </c>
      <c r="E5733" t="s">
        <v>3831</v>
      </c>
      <c r="F5733" s="451">
        <v>46001</v>
      </c>
      <c r="G5733">
        <v>26554</v>
      </c>
      <c r="H5733" t="s">
        <v>5319</v>
      </c>
      <c r="I5733" t="s">
        <v>5215</v>
      </c>
      <c r="J5733">
        <v>1</v>
      </c>
      <c r="K5733" t="s">
        <v>4749</v>
      </c>
      <c r="L5733">
        <v>280</v>
      </c>
      <c r="M5733">
        <v>280</v>
      </c>
      <c r="N5733" t="s">
        <v>5277</v>
      </c>
      <c r="O5733" t="s">
        <v>458</v>
      </c>
    </row>
    <row r="5734" spans="1:15" x14ac:dyDescent="0.3">
      <c r="A5734">
        <v>183625</v>
      </c>
      <c r="B5734">
        <v>105</v>
      </c>
      <c r="C5734" t="s">
        <v>557</v>
      </c>
      <c r="D5734" t="s">
        <v>3723</v>
      </c>
      <c r="E5734" t="s">
        <v>3832</v>
      </c>
      <c r="F5734" s="451">
        <v>46001</v>
      </c>
      <c r="G5734">
        <v>19623</v>
      </c>
      <c r="H5734" t="s">
        <v>4764</v>
      </c>
      <c r="I5734" t="s">
        <v>5191</v>
      </c>
      <c r="J5734">
        <v>8</v>
      </c>
      <c r="K5734" t="s">
        <v>4744</v>
      </c>
      <c r="L5734">
        <v>48</v>
      </c>
      <c r="M5734">
        <v>6</v>
      </c>
      <c r="N5734" t="s">
        <v>5272</v>
      </c>
      <c r="O5734" t="s">
        <v>458</v>
      </c>
    </row>
    <row r="5735" spans="1:15" x14ac:dyDescent="0.3">
      <c r="A5735">
        <v>183625</v>
      </c>
      <c r="B5735">
        <v>105</v>
      </c>
      <c r="C5735" t="s">
        <v>557</v>
      </c>
      <c r="D5735" t="s">
        <v>3723</v>
      </c>
      <c r="E5735" t="s">
        <v>3832</v>
      </c>
      <c r="F5735" s="451">
        <v>46001</v>
      </c>
      <c r="G5735">
        <v>19654</v>
      </c>
      <c r="H5735" t="s">
        <v>5099</v>
      </c>
      <c r="I5735" t="s">
        <v>5191</v>
      </c>
      <c r="J5735">
        <v>3</v>
      </c>
      <c r="K5735" t="s">
        <v>4744</v>
      </c>
      <c r="L5735">
        <v>4.5</v>
      </c>
      <c r="M5735">
        <v>1.5</v>
      </c>
      <c r="N5735" t="s">
        <v>5272</v>
      </c>
      <c r="O5735" t="s">
        <v>458</v>
      </c>
    </row>
    <row r="5736" spans="1:15" x14ac:dyDescent="0.3">
      <c r="A5736">
        <v>183625</v>
      </c>
      <c r="B5736">
        <v>105</v>
      </c>
      <c r="C5736" t="s">
        <v>557</v>
      </c>
      <c r="D5736" t="s">
        <v>3723</v>
      </c>
      <c r="E5736" t="s">
        <v>3832</v>
      </c>
      <c r="F5736" s="451">
        <v>46001</v>
      </c>
      <c r="G5736">
        <v>19555</v>
      </c>
      <c r="H5736" t="s">
        <v>4903</v>
      </c>
      <c r="I5736" t="s">
        <v>5191</v>
      </c>
      <c r="J5736">
        <v>1</v>
      </c>
      <c r="K5736" t="s">
        <v>4744</v>
      </c>
      <c r="L5736">
        <v>17.5</v>
      </c>
      <c r="M5736">
        <v>17.5</v>
      </c>
      <c r="N5736" t="s">
        <v>5272</v>
      </c>
      <c r="O5736" t="s">
        <v>458</v>
      </c>
    </row>
    <row r="5737" spans="1:15" x14ac:dyDescent="0.3">
      <c r="A5737">
        <v>183625</v>
      </c>
      <c r="B5737">
        <v>105</v>
      </c>
      <c r="C5737" t="s">
        <v>557</v>
      </c>
      <c r="D5737" t="s">
        <v>3723</v>
      </c>
      <c r="E5737" t="s">
        <v>3832</v>
      </c>
      <c r="F5737" s="451">
        <v>46001</v>
      </c>
      <c r="G5737">
        <v>23335</v>
      </c>
      <c r="H5737" t="s">
        <v>4961</v>
      </c>
      <c r="I5737" t="s">
        <v>5191</v>
      </c>
      <c r="J5737">
        <v>2</v>
      </c>
      <c r="K5737" t="s">
        <v>4744</v>
      </c>
      <c r="L5737">
        <v>35</v>
      </c>
      <c r="M5737">
        <v>17.5</v>
      </c>
      <c r="N5737" t="s">
        <v>5272</v>
      </c>
      <c r="O5737" t="s">
        <v>458</v>
      </c>
    </row>
    <row r="5738" spans="1:15" x14ac:dyDescent="0.3">
      <c r="A5738">
        <v>183625</v>
      </c>
      <c r="B5738">
        <v>105</v>
      </c>
      <c r="C5738" t="s">
        <v>557</v>
      </c>
      <c r="D5738" t="s">
        <v>3723</v>
      </c>
      <c r="E5738" t="s">
        <v>3832</v>
      </c>
      <c r="F5738" s="451">
        <v>46001</v>
      </c>
      <c r="G5738">
        <v>23184</v>
      </c>
      <c r="H5738" t="s">
        <v>4935</v>
      </c>
      <c r="I5738" t="s">
        <v>5191</v>
      </c>
      <c r="J5738">
        <v>2</v>
      </c>
      <c r="K5738" t="s">
        <v>4744</v>
      </c>
      <c r="L5738">
        <v>15</v>
      </c>
      <c r="M5738">
        <v>7.5</v>
      </c>
      <c r="N5738" t="s">
        <v>5272</v>
      </c>
      <c r="O5738" t="s">
        <v>458</v>
      </c>
    </row>
    <row r="5739" spans="1:15" x14ac:dyDescent="0.3">
      <c r="A5739">
        <v>183624</v>
      </c>
      <c r="B5739">
        <v>105</v>
      </c>
      <c r="C5739" t="s">
        <v>557</v>
      </c>
      <c r="D5739" t="s">
        <v>2699</v>
      </c>
      <c r="E5739" t="s">
        <v>3833</v>
      </c>
      <c r="F5739" s="451">
        <v>46000</v>
      </c>
      <c r="G5739">
        <v>18111</v>
      </c>
      <c r="H5739" t="s">
        <v>5049</v>
      </c>
      <c r="I5739" t="s">
        <v>5222</v>
      </c>
      <c r="J5739">
        <v>1</v>
      </c>
      <c r="K5739" t="s">
        <v>4805</v>
      </c>
      <c r="L5739">
        <v>89.9</v>
      </c>
      <c r="M5739">
        <v>89.9</v>
      </c>
      <c r="N5739" t="s">
        <v>5222</v>
      </c>
      <c r="O5739" t="s">
        <v>458</v>
      </c>
    </row>
    <row r="5740" spans="1:15" x14ac:dyDescent="0.3">
      <c r="A5740">
        <v>183624</v>
      </c>
      <c r="B5740">
        <v>105</v>
      </c>
      <c r="C5740" t="s">
        <v>557</v>
      </c>
      <c r="D5740" t="s">
        <v>2699</v>
      </c>
      <c r="E5740" t="s">
        <v>3833</v>
      </c>
      <c r="F5740" s="451">
        <v>46000</v>
      </c>
      <c r="G5740">
        <v>18172</v>
      </c>
      <c r="H5740" t="s">
        <v>4804</v>
      </c>
      <c r="I5740" t="s">
        <v>5222</v>
      </c>
      <c r="J5740">
        <v>12</v>
      </c>
      <c r="K5740" t="s">
        <v>4805</v>
      </c>
      <c r="L5740">
        <v>365.4</v>
      </c>
      <c r="M5740">
        <v>30.45</v>
      </c>
      <c r="N5740" t="s">
        <v>5222</v>
      </c>
      <c r="O5740" t="s">
        <v>458</v>
      </c>
    </row>
    <row r="5741" spans="1:15" x14ac:dyDescent="0.3">
      <c r="A5741">
        <v>183624</v>
      </c>
      <c r="B5741">
        <v>105</v>
      </c>
      <c r="C5741" t="s">
        <v>557</v>
      </c>
      <c r="D5741" t="s">
        <v>2699</v>
      </c>
      <c r="E5741" t="s">
        <v>3833</v>
      </c>
      <c r="F5741" s="451">
        <v>46000</v>
      </c>
      <c r="G5741">
        <v>18233</v>
      </c>
      <c r="H5741" t="s">
        <v>4970</v>
      </c>
      <c r="I5741" t="s">
        <v>5222</v>
      </c>
      <c r="J5741">
        <v>1</v>
      </c>
      <c r="K5741" t="s">
        <v>4805</v>
      </c>
      <c r="L5741">
        <v>97.9</v>
      </c>
      <c r="M5741">
        <v>97.9</v>
      </c>
      <c r="N5741" t="s">
        <v>5222</v>
      </c>
      <c r="O5741" t="s">
        <v>458</v>
      </c>
    </row>
    <row r="5742" spans="1:15" x14ac:dyDescent="0.3">
      <c r="A5742">
        <v>183622</v>
      </c>
      <c r="B5742">
        <v>105</v>
      </c>
      <c r="C5742" t="s">
        <v>557</v>
      </c>
      <c r="D5742" t="s">
        <v>2699</v>
      </c>
      <c r="E5742" t="s">
        <v>3834</v>
      </c>
      <c r="F5742" s="451">
        <v>46000</v>
      </c>
      <c r="G5742">
        <v>18327</v>
      </c>
      <c r="H5742" t="s">
        <v>5035</v>
      </c>
      <c r="I5742" t="s">
        <v>5222</v>
      </c>
      <c r="J5742">
        <v>1</v>
      </c>
      <c r="K5742" t="s">
        <v>4805</v>
      </c>
      <c r="L5742">
        <v>106.47</v>
      </c>
      <c r="M5742">
        <v>106.47</v>
      </c>
      <c r="N5742" t="s">
        <v>5222</v>
      </c>
      <c r="O5742" t="s">
        <v>458</v>
      </c>
    </row>
    <row r="5743" spans="1:15" x14ac:dyDescent="0.3">
      <c r="A5743">
        <v>183622</v>
      </c>
      <c r="B5743">
        <v>105</v>
      </c>
      <c r="C5743" t="s">
        <v>557</v>
      </c>
      <c r="D5743" t="s">
        <v>2699</v>
      </c>
      <c r="E5743" t="s">
        <v>3834</v>
      </c>
      <c r="F5743" s="451">
        <v>46000</v>
      </c>
      <c r="G5743">
        <v>18538</v>
      </c>
      <c r="H5743" t="s">
        <v>5030</v>
      </c>
      <c r="I5743" t="s">
        <v>5222</v>
      </c>
      <c r="J5743">
        <v>1</v>
      </c>
      <c r="K5743" t="s">
        <v>4805</v>
      </c>
      <c r="L5743">
        <v>101.65</v>
      </c>
      <c r="M5743">
        <v>101.65</v>
      </c>
      <c r="N5743" t="s">
        <v>5222</v>
      </c>
      <c r="O5743" t="s">
        <v>458</v>
      </c>
    </row>
    <row r="5744" spans="1:15" x14ac:dyDescent="0.3">
      <c r="A5744">
        <v>183622</v>
      </c>
      <c r="B5744">
        <v>105</v>
      </c>
      <c r="C5744" t="s">
        <v>557</v>
      </c>
      <c r="D5744" t="s">
        <v>2699</v>
      </c>
      <c r="E5744" t="s">
        <v>3834</v>
      </c>
      <c r="F5744" s="451">
        <v>46000</v>
      </c>
      <c r="G5744">
        <v>18111</v>
      </c>
      <c r="H5744" t="s">
        <v>5049</v>
      </c>
      <c r="I5744" t="s">
        <v>5222</v>
      </c>
      <c r="J5744">
        <v>1</v>
      </c>
      <c r="K5744" t="s">
        <v>4805</v>
      </c>
      <c r="L5744">
        <v>89.9</v>
      </c>
      <c r="M5744">
        <v>89.9</v>
      </c>
      <c r="N5744" t="s">
        <v>5222</v>
      </c>
      <c r="O5744" t="s">
        <v>458</v>
      </c>
    </row>
    <row r="5745" spans="1:15" x14ac:dyDescent="0.3">
      <c r="A5745">
        <v>183619</v>
      </c>
      <c r="B5745">
        <v>105</v>
      </c>
      <c r="C5745" t="s">
        <v>557</v>
      </c>
      <c r="D5745" t="s">
        <v>2605</v>
      </c>
      <c r="E5745" t="s">
        <v>3835</v>
      </c>
      <c r="F5745" s="451">
        <v>46000</v>
      </c>
      <c r="G5745">
        <v>19322</v>
      </c>
      <c r="H5745" t="s">
        <v>4830</v>
      </c>
      <c r="I5745" t="s">
        <v>5191</v>
      </c>
      <c r="J5745">
        <v>8</v>
      </c>
      <c r="K5745" t="s">
        <v>4744</v>
      </c>
      <c r="L5745">
        <v>332</v>
      </c>
      <c r="M5745">
        <v>41.5</v>
      </c>
      <c r="N5745" t="s">
        <v>5191</v>
      </c>
      <c r="O5745" t="s">
        <v>458</v>
      </c>
    </row>
    <row r="5746" spans="1:15" x14ac:dyDescent="0.3">
      <c r="A5746">
        <v>183617</v>
      </c>
      <c r="B5746">
        <v>105</v>
      </c>
      <c r="C5746" t="s">
        <v>557</v>
      </c>
      <c r="D5746" t="s">
        <v>2581</v>
      </c>
      <c r="E5746" t="s">
        <v>3836</v>
      </c>
      <c r="F5746" s="451">
        <v>46001</v>
      </c>
      <c r="G5746">
        <v>19634</v>
      </c>
      <c r="H5746" t="s">
        <v>4792</v>
      </c>
      <c r="I5746" t="s">
        <v>5191</v>
      </c>
      <c r="J5746">
        <v>3</v>
      </c>
      <c r="K5746" t="s">
        <v>4744</v>
      </c>
      <c r="L5746">
        <v>15</v>
      </c>
      <c r="M5746">
        <v>5</v>
      </c>
      <c r="N5746" t="s">
        <v>5191</v>
      </c>
      <c r="O5746" t="s">
        <v>458</v>
      </c>
    </row>
    <row r="5747" spans="1:15" x14ac:dyDescent="0.3">
      <c r="A5747">
        <v>183617</v>
      </c>
      <c r="B5747">
        <v>105</v>
      </c>
      <c r="C5747" t="s">
        <v>557</v>
      </c>
      <c r="D5747" t="s">
        <v>2581</v>
      </c>
      <c r="E5747" t="s">
        <v>3836</v>
      </c>
      <c r="F5747" s="451">
        <v>46001</v>
      </c>
      <c r="G5747">
        <v>19787</v>
      </c>
      <c r="H5747" t="s">
        <v>4793</v>
      </c>
      <c r="I5747" t="s">
        <v>5191</v>
      </c>
      <c r="J5747">
        <v>8</v>
      </c>
      <c r="K5747" t="s">
        <v>4744</v>
      </c>
      <c r="L5747">
        <v>36</v>
      </c>
      <c r="M5747">
        <v>4.5</v>
      </c>
      <c r="N5747" t="s">
        <v>5191</v>
      </c>
      <c r="O5747" t="s">
        <v>458</v>
      </c>
    </row>
    <row r="5748" spans="1:15" x14ac:dyDescent="0.3">
      <c r="A5748">
        <v>183617</v>
      </c>
      <c r="B5748">
        <v>105</v>
      </c>
      <c r="C5748" t="s">
        <v>557</v>
      </c>
      <c r="D5748" t="s">
        <v>2581</v>
      </c>
      <c r="E5748" t="s">
        <v>3836</v>
      </c>
      <c r="F5748" s="451">
        <v>46001</v>
      </c>
      <c r="G5748">
        <v>19621</v>
      </c>
      <c r="H5748" t="s">
        <v>4829</v>
      </c>
      <c r="I5748" t="s">
        <v>5191</v>
      </c>
      <c r="J5748">
        <v>4</v>
      </c>
      <c r="K5748" t="s">
        <v>4744</v>
      </c>
      <c r="L5748">
        <v>11.2</v>
      </c>
      <c r="M5748">
        <v>2.8</v>
      </c>
      <c r="N5748" t="s">
        <v>5191</v>
      </c>
      <c r="O5748" t="s">
        <v>458</v>
      </c>
    </row>
    <row r="5749" spans="1:15" x14ac:dyDescent="0.3">
      <c r="A5749">
        <v>183617</v>
      </c>
      <c r="B5749">
        <v>105</v>
      </c>
      <c r="C5749" t="s">
        <v>557</v>
      </c>
      <c r="D5749" t="s">
        <v>2581</v>
      </c>
      <c r="E5749" t="s">
        <v>3836</v>
      </c>
      <c r="F5749" s="451">
        <v>46001</v>
      </c>
      <c r="G5749">
        <v>19589</v>
      </c>
      <c r="H5749" t="s">
        <v>4983</v>
      </c>
      <c r="I5749" t="s">
        <v>5191</v>
      </c>
      <c r="J5749">
        <v>2</v>
      </c>
      <c r="K5749" t="s">
        <v>4744</v>
      </c>
      <c r="L5749">
        <v>7</v>
      </c>
      <c r="M5749">
        <v>3.5</v>
      </c>
      <c r="N5749" t="s">
        <v>5191</v>
      </c>
      <c r="O5749" t="s">
        <v>458</v>
      </c>
    </row>
    <row r="5750" spans="1:15" x14ac:dyDescent="0.3">
      <c r="A5750">
        <v>183617</v>
      </c>
      <c r="B5750">
        <v>105</v>
      </c>
      <c r="C5750" t="s">
        <v>557</v>
      </c>
      <c r="D5750" t="s">
        <v>2581</v>
      </c>
      <c r="E5750" t="s">
        <v>3836</v>
      </c>
      <c r="F5750" s="451">
        <v>46001</v>
      </c>
      <c r="G5750">
        <v>19505</v>
      </c>
      <c r="H5750" t="s">
        <v>4872</v>
      </c>
      <c r="I5750" t="s">
        <v>5191</v>
      </c>
      <c r="J5750">
        <v>5</v>
      </c>
      <c r="K5750" t="s">
        <v>4744</v>
      </c>
      <c r="L5750">
        <v>27.5</v>
      </c>
      <c r="M5750">
        <v>5.5</v>
      </c>
      <c r="N5750" t="s">
        <v>5191</v>
      </c>
      <c r="O5750" t="s">
        <v>458</v>
      </c>
    </row>
    <row r="5751" spans="1:15" x14ac:dyDescent="0.3">
      <c r="A5751">
        <v>183617</v>
      </c>
      <c r="B5751">
        <v>105</v>
      </c>
      <c r="C5751" t="s">
        <v>557</v>
      </c>
      <c r="D5751" t="s">
        <v>2581</v>
      </c>
      <c r="E5751" t="s">
        <v>3836</v>
      </c>
      <c r="F5751" s="451">
        <v>46001</v>
      </c>
      <c r="G5751">
        <v>19506</v>
      </c>
      <c r="H5751" t="s">
        <v>5122</v>
      </c>
      <c r="I5751" t="s">
        <v>5191</v>
      </c>
      <c r="J5751">
        <v>0.5</v>
      </c>
      <c r="K5751" t="s">
        <v>4744</v>
      </c>
      <c r="L5751">
        <v>21</v>
      </c>
      <c r="M5751">
        <v>42</v>
      </c>
      <c r="N5751" t="s">
        <v>5191</v>
      </c>
      <c r="O5751" t="s">
        <v>458</v>
      </c>
    </row>
    <row r="5752" spans="1:15" x14ac:dyDescent="0.3">
      <c r="A5752">
        <v>183617</v>
      </c>
      <c r="B5752">
        <v>105</v>
      </c>
      <c r="C5752" t="s">
        <v>557</v>
      </c>
      <c r="D5752" t="s">
        <v>2581</v>
      </c>
      <c r="E5752" t="s">
        <v>3836</v>
      </c>
      <c r="F5752" s="451">
        <v>46001</v>
      </c>
      <c r="G5752">
        <v>19476</v>
      </c>
      <c r="H5752" t="s">
        <v>5115</v>
      </c>
      <c r="I5752" t="s">
        <v>5191</v>
      </c>
      <c r="J5752">
        <v>0.3</v>
      </c>
      <c r="K5752" t="s">
        <v>4744</v>
      </c>
      <c r="L5752">
        <v>21</v>
      </c>
      <c r="M5752">
        <v>70</v>
      </c>
      <c r="N5752" t="s">
        <v>5191</v>
      </c>
      <c r="O5752" t="s">
        <v>458</v>
      </c>
    </row>
    <row r="5753" spans="1:15" x14ac:dyDescent="0.3">
      <c r="A5753">
        <v>183617</v>
      </c>
      <c r="B5753">
        <v>105</v>
      </c>
      <c r="C5753" t="s">
        <v>557</v>
      </c>
      <c r="D5753" t="s">
        <v>2581</v>
      </c>
      <c r="E5753" t="s">
        <v>3836</v>
      </c>
      <c r="F5753" s="451">
        <v>46001</v>
      </c>
      <c r="G5753">
        <v>19502</v>
      </c>
      <c r="H5753" t="s">
        <v>4871</v>
      </c>
      <c r="I5753" t="s">
        <v>5191</v>
      </c>
      <c r="J5753">
        <v>3</v>
      </c>
      <c r="K5753" t="s">
        <v>4744</v>
      </c>
      <c r="L5753">
        <v>24</v>
      </c>
      <c r="M5753">
        <v>8</v>
      </c>
      <c r="N5753" t="s">
        <v>5191</v>
      </c>
      <c r="O5753" t="s">
        <v>458</v>
      </c>
    </row>
    <row r="5754" spans="1:15" x14ac:dyDescent="0.3">
      <c r="A5754">
        <v>183617</v>
      </c>
      <c r="B5754">
        <v>105</v>
      </c>
      <c r="C5754" t="s">
        <v>557</v>
      </c>
      <c r="D5754" t="s">
        <v>2581</v>
      </c>
      <c r="E5754" t="s">
        <v>3836</v>
      </c>
      <c r="F5754" s="451">
        <v>46001</v>
      </c>
      <c r="G5754">
        <v>19553</v>
      </c>
      <c r="H5754" t="s">
        <v>4868</v>
      </c>
      <c r="I5754" t="s">
        <v>5191</v>
      </c>
      <c r="J5754">
        <v>1.5</v>
      </c>
      <c r="K5754" t="s">
        <v>4744</v>
      </c>
      <c r="L5754">
        <v>3.45</v>
      </c>
      <c r="M5754">
        <v>2.2999999999999998</v>
      </c>
      <c r="N5754" t="s">
        <v>5191</v>
      </c>
      <c r="O5754" t="s">
        <v>458</v>
      </c>
    </row>
    <row r="5755" spans="1:15" x14ac:dyDescent="0.3">
      <c r="A5755">
        <v>183617</v>
      </c>
      <c r="B5755">
        <v>105</v>
      </c>
      <c r="C5755" t="s">
        <v>557</v>
      </c>
      <c r="D5755" t="s">
        <v>2581</v>
      </c>
      <c r="E5755" t="s">
        <v>3836</v>
      </c>
      <c r="F5755" s="451">
        <v>46001</v>
      </c>
      <c r="G5755">
        <v>19480</v>
      </c>
      <c r="H5755" t="s">
        <v>5119</v>
      </c>
      <c r="I5755" t="s">
        <v>5191</v>
      </c>
      <c r="J5755">
        <v>0.5</v>
      </c>
      <c r="K5755" t="s">
        <v>4744</v>
      </c>
      <c r="L5755">
        <v>6.5</v>
      </c>
      <c r="M5755">
        <v>13</v>
      </c>
      <c r="N5755" t="s">
        <v>5191</v>
      </c>
      <c r="O5755" t="s">
        <v>458</v>
      </c>
    </row>
    <row r="5756" spans="1:15" x14ac:dyDescent="0.3">
      <c r="A5756">
        <v>183617</v>
      </c>
      <c r="B5756">
        <v>105</v>
      </c>
      <c r="C5756" t="s">
        <v>557</v>
      </c>
      <c r="D5756" t="s">
        <v>2581</v>
      </c>
      <c r="E5756" t="s">
        <v>3836</v>
      </c>
      <c r="F5756" s="451">
        <v>46001</v>
      </c>
      <c r="G5756">
        <v>19752</v>
      </c>
      <c r="H5756" t="s">
        <v>4807</v>
      </c>
      <c r="I5756" t="s">
        <v>5191</v>
      </c>
      <c r="J5756">
        <v>3</v>
      </c>
      <c r="K5756" t="s">
        <v>4744</v>
      </c>
      <c r="L5756">
        <v>34.5</v>
      </c>
      <c r="M5756">
        <v>11.5</v>
      </c>
      <c r="N5756" t="s">
        <v>5191</v>
      </c>
      <c r="O5756" t="s">
        <v>458</v>
      </c>
    </row>
    <row r="5757" spans="1:15" x14ac:dyDescent="0.3">
      <c r="A5757">
        <v>183617</v>
      </c>
      <c r="B5757">
        <v>105</v>
      </c>
      <c r="C5757" t="s">
        <v>557</v>
      </c>
      <c r="D5757" t="s">
        <v>2581</v>
      </c>
      <c r="E5757" t="s">
        <v>3836</v>
      </c>
      <c r="F5757" s="451">
        <v>46001</v>
      </c>
      <c r="G5757">
        <v>23095</v>
      </c>
      <c r="H5757" t="s">
        <v>4741</v>
      </c>
      <c r="I5757" t="s">
        <v>5191</v>
      </c>
      <c r="J5757">
        <v>40</v>
      </c>
      <c r="K5757" t="s">
        <v>4736</v>
      </c>
      <c r="L5757">
        <v>37.6</v>
      </c>
      <c r="M5757">
        <v>0.94</v>
      </c>
      <c r="N5757" t="s">
        <v>5191</v>
      </c>
      <c r="O5757" t="s">
        <v>458</v>
      </c>
    </row>
    <row r="5758" spans="1:15" x14ac:dyDescent="0.3">
      <c r="A5758">
        <v>183617</v>
      </c>
      <c r="B5758">
        <v>105</v>
      </c>
      <c r="C5758" t="s">
        <v>557</v>
      </c>
      <c r="D5758" t="s">
        <v>2581</v>
      </c>
      <c r="E5758" t="s">
        <v>3836</v>
      </c>
      <c r="F5758" s="451">
        <v>46001</v>
      </c>
      <c r="G5758">
        <v>19472</v>
      </c>
      <c r="H5758" t="s">
        <v>4906</v>
      </c>
      <c r="I5758" t="s">
        <v>5191</v>
      </c>
      <c r="J5758">
        <v>2</v>
      </c>
      <c r="K5758" t="s">
        <v>4744</v>
      </c>
      <c r="L5758">
        <v>27</v>
      </c>
      <c r="M5758">
        <v>13.5</v>
      </c>
      <c r="N5758" t="s">
        <v>5191</v>
      </c>
      <c r="O5758" t="s">
        <v>458</v>
      </c>
    </row>
    <row r="5759" spans="1:15" x14ac:dyDescent="0.3">
      <c r="A5759">
        <v>183617</v>
      </c>
      <c r="B5759">
        <v>105</v>
      </c>
      <c r="C5759" t="s">
        <v>557</v>
      </c>
      <c r="D5759" t="s">
        <v>2581</v>
      </c>
      <c r="E5759" t="s">
        <v>3836</v>
      </c>
      <c r="F5759" s="451">
        <v>46001</v>
      </c>
      <c r="G5759">
        <v>19532</v>
      </c>
      <c r="H5759" t="s">
        <v>4753</v>
      </c>
      <c r="I5759" t="s">
        <v>5191</v>
      </c>
      <c r="J5759">
        <v>35</v>
      </c>
      <c r="K5759" t="s">
        <v>4744</v>
      </c>
      <c r="L5759">
        <v>164.5</v>
      </c>
      <c r="M5759">
        <v>4.7</v>
      </c>
      <c r="N5759" t="s">
        <v>5191</v>
      </c>
      <c r="O5759" t="s">
        <v>458</v>
      </c>
    </row>
    <row r="5760" spans="1:15" x14ac:dyDescent="0.3">
      <c r="A5760">
        <v>183617</v>
      </c>
      <c r="B5760">
        <v>105</v>
      </c>
      <c r="C5760" t="s">
        <v>557</v>
      </c>
      <c r="D5760" t="s">
        <v>2581</v>
      </c>
      <c r="E5760" t="s">
        <v>3836</v>
      </c>
      <c r="F5760" s="451">
        <v>46001</v>
      </c>
      <c r="G5760">
        <v>23359</v>
      </c>
      <c r="H5760" t="s">
        <v>4767</v>
      </c>
      <c r="I5760" t="s">
        <v>5191</v>
      </c>
      <c r="J5760">
        <v>20</v>
      </c>
      <c r="K5760" t="s">
        <v>4744</v>
      </c>
      <c r="L5760">
        <v>64</v>
      </c>
      <c r="M5760">
        <v>3.2</v>
      </c>
      <c r="N5760" t="s">
        <v>5191</v>
      </c>
      <c r="O5760" t="s">
        <v>458</v>
      </c>
    </row>
    <row r="5761" spans="1:15" x14ac:dyDescent="0.3">
      <c r="A5761">
        <v>183617</v>
      </c>
      <c r="B5761">
        <v>105</v>
      </c>
      <c r="C5761" t="s">
        <v>557</v>
      </c>
      <c r="D5761" t="s">
        <v>2581</v>
      </c>
      <c r="E5761" t="s">
        <v>3836</v>
      </c>
      <c r="F5761" s="451">
        <v>46001</v>
      </c>
      <c r="G5761">
        <v>23361</v>
      </c>
      <c r="H5761" t="s">
        <v>4754</v>
      </c>
      <c r="I5761" t="s">
        <v>5191</v>
      </c>
      <c r="J5761">
        <v>40</v>
      </c>
      <c r="K5761" t="s">
        <v>4744</v>
      </c>
      <c r="L5761">
        <v>124</v>
      </c>
      <c r="M5761">
        <v>3.1</v>
      </c>
      <c r="N5761" t="s">
        <v>5191</v>
      </c>
      <c r="O5761" t="s">
        <v>458</v>
      </c>
    </row>
    <row r="5762" spans="1:15" x14ac:dyDescent="0.3">
      <c r="A5762">
        <v>183615</v>
      </c>
      <c r="B5762">
        <v>105</v>
      </c>
      <c r="C5762" t="s">
        <v>557</v>
      </c>
      <c r="D5762" t="s">
        <v>2563</v>
      </c>
      <c r="E5762" t="s">
        <v>3837</v>
      </c>
      <c r="F5762" s="451">
        <v>46001</v>
      </c>
      <c r="G5762">
        <v>24083</v>
      </c>
      <c r="H5762" t="s">
        <v>5165</v>
      </c>
      <c r="I5762" t="s">
        <v>5191</v>
      </c>
      <c r="J5762">
        <v>40</v>
      </c>
      <c r="K5762" t="s">
        <v>4744</v>
      </c>
      <c r="L5762">
        <v>156.80000000000001</v>
      </c>
      <c r="M5762">
        <v>3.92</v>
      </c>
      <c r="N5762" t="s">
        <v>5191</v>
      </c>
      <c r="O5762" t="s">
        <v>458</v>
      </c>
    </row>
    <row r="5763" spans="1:15" x14ac:dyDescent="0.3">
      <c r="A5763">
        <v>183615</v>
      </c>
      <c r="B5763">
        <v>105</v>
      </c>
      <c r="C5763" t="s">
        <v>557</v>
      </c>
      <c r="D5763" t="s">
        <v>2563</v>
      </c>
      <c r="E5763" t="s">
        <v>3837</v>
      </c>
      <c r="F5763" s="451">
        <v>46001</v>
      </c>
      <c r="G5763">
        <v>24509</v>
      </c>
      <c r="H5763" t="s">
        <v>4788</v>
      </c>
      <c r="I5763" t="s">
        <v>5191</v>
      </c>
      <c r="J5763">
        <v>8</v>
      </c>
      <c r="K5763" t="s">
        <v>4744</v>
      </c>
      <c r="L5763">
        <v>18</v>
      </c>
      <c r="M5763">
        <v>2.25</v>
      </c>
      <c r="N5763" t="s">
        <v>5191</v>
      </c>
      <c r="O5763" t="s">
        <v>458</v>
      </c>
    </row>
    <row r="5764" spans="1:15" x14ac:dyDescent="0.3">
      <c r="A5764">
        <v>183615</v>
      </c>
      <c r="B5764">
        <v>105</v>
      </c>
      <c r="C5764" t="s">
        <v>557</v>
      </c>
      <c r="D5764" t="s">
        <v>2563</v>
      </c>
      <c r="E5764" t="s">
        <v>3837</v>
      </c>
      <c r="F5764" s="451">
        <v>46001</v>
      </c>
      <c r="G5764">
        <v>19507</v>
      </c>
      <c r="H5764" t="s">
        <v>4853</v>
      </c>
      <c r="I5764" t="s">
        <v>5191</v>
      </c>
      <c r="J5764">
        <v>2</v>
      </c>
      <c r="K5764" t="s">
        <v>4744</v>
      </c>
      <c r="L5764">
        <v>16.82</v>
      </c>
      <c r="M5764">
        <v>8.41</v>
      </c>
      <c r="N5764" t="s">
        <v>5191</v>
      </c>
      <c r="O5764" t="s">
        <v>458</v>
      </c>
    </row>
    <row r="5765" spans="1:15" x14ac:dyDescent="0.3">
      <c r="A5765">
        <v>183615</v>
      </c>
      <c r="B5765">
        <v>105</v>
      </c>
      <c r="C5765" t="s">
        <v>557</v>
      </c>
      <c r="D5765" t="s">
        <v>2563</v>
      </c>
      <c r="E5765" t="s">
        <v>3837</v>
      </c>
      <c r="F5765" s="451">
        <v>46001</v>
      </c>
      <c r="G5765">
        <v>19558</v>
      </c>
      <c r="H5765" t="s">
        <v>4994</v>
      </c>
      <c r="I5765" t="s">
        <v>5191</v>
      </c>
      <c r="J5765">
        <v>1</v>
      </c>
      <c r="K5765" t="s">
        <v>4744</v>
      </c>
      <c r="L5765">
        <v>9.7100000000000009</v>
      </c>
      <c r="M5765">
        <v>9.7100000000000009</v>
      </c>
      <c r="N5765" t="s">
        <v>5191</v>
      </c>
      <c r="O5765" t="s">
        <v>458</v>
      </c>
    </row>
    <row r="5766" spans="1:15" x14ac:dyDescent="0.3">
      <c r="A5766">
        <v>183615</v>
      </c>
      <c r="B5766">
        <v>105</v>
      </c>
      <c r="C5766" t="s">
        <v>557</v>
      </c>
      <c r="D5766" t="s">
        <v>2563</v>
      </c>
      <c r="E5766" t="s">
        <v>3837</v>
      </c>
      <c r="F5766" s="451">
        <v>46001</v>
      </c>
      <c r="G5766">
        <v>19751</v>
      </c>
      <c r="H5766" t="s">
        <v>4800</v>
      </c>
      <c r="I5766" t="s">
        <v>5191</v>
      </c>
      <c r="J5766">
        <v>2.5</v>
      </c>
      <c r="K5766" t="s">
        <v>4744</v>
      </c>
      <c r="L5766">
        <v>22.65</v>
      </c>
      <c r="M5766">
        <v>9.06</v>
      </c>
      <c r="N5766" t="s">
        <v>5191</v>
      </c>
      <c r="O5766" t="s">
        <v>458</v>
      </c>
    </row>
    <row r="5767" spans="1:15" x14ac:dyDescent="0.3">
      <c r="A5767">
        <v>183615</v>
      </c>
      <c r="B5767">
        <v>105</v>
      </c>
      <c r="C5767" t="s">
        <v>557</v>
      </c>
      <c r="D5767" t="s">
        <v>2563</v>
      </c>
      <c r="E5767" t="s">
        <v>3837</v>
      </c>
      <c r="F5767" s="451">
        <v>46001</v>
      </c>
      <c r="G5767">
        <v>19707</v>
      </c>
      <c r="H5767" t="s">
        <v>5266</v>
      </c>
      <c r="I5767" t="s">
        <v>5191</v>
      </c>
      <c r="J5767">
        <v>0.5</v>
      </c>
      <c r="K5767" t="s">
        <v>4744</v>
      </c>
      <c r="L5767">
        <v>7.54</v>
      </c>
      <c r="M5767">
        <v>15.08</v>
      </c>
      <c r="N5767" t="s">
        <v>5191</v>
      </c>
      <c r="O5767" t="s">
        <v>458</v>
      </c>
    </row>
    <row r="5768" spans="1:15" x14ac:dyDescent="0.3">
      <c r="A5768">
        <v>183615</v>
      </c>
      <c r="B5768">
        <v>105</v>
      </c>
      <c r="C5768" t="s">
        <v>557</v>
      </c>
      <c r="D5768" t="s">
        <v>2563</v>
      </c>
      <c r="E5768" t="s">
        <v>3837</v>
      </c>
      <c r="F5768" s="451">
        <v>46001</v>
      </c>
      <c r="G5768">
        <v>23389</v>
      </c>
      <c r="H5768" t="s">
        <v>4960</v>
      </c>
      <c r="I5768" t="s">
        <v>5191</v>
      </c>
      <c r="J5768">
        <v>4</v>
      </c>
      <c r="K5768" t="s">
        <v>4744</v>
      </c>
      <c r="L5768">
        <v>20.76</v>
      </c>
      <c r="M5768">
        <v>5.19</v>
      </c>
      <c r="N5768" t="s">
        <v>5191</v>
      </c>
      <c r="O5768" t="s">
        <v>458</v>
      </c>
    </row>
    <row r="5769" spans="1:15" x14ac:dyDescent="0.3">
      <c r="A5769">
        <v>183611</v>
      </c>
      <c r="B5769">
        <v>105</v>
      </c>
      <c r="C5769" t="s">
        <v>557</v>
      </c>
      <c r="D5769" t="s">
        <v>2569</v>
      </c>
      <c r="E5769" t="s">
        <v>3838</v>
      </c>
      <c r="F5769" s="451">
        <v>46002</v>
      </c>
      <c r="G5769">
        <v>17958</v>
      </c>
      <c r="H5769" t="s">
        <v>5076</v>
      </c>
      <c r="I5769" t="s">
        <v>5222</v>
      </c>
      <c r="J5769">
        <v>17</v>
      </c>
      <c r="K5769" t="s">
        <v>4738</v>
      </c>
      <c r="L5769">
        <v>270.3</v>
      </c>
      <c r="M5769">
        <v>15.9</v>
      </c>
      <c r="N5769" t="s">
        <v>5271</v>
      </c>
      <c r="O5769" t="s">
        <v>458</v>
      </c>
    </row>
    <row r="5770" spans="1:15" x14ac:dyDescent="0.3">
      <c r="A5770">
        <v>183609</v>
      </c>
      <c r="B5770">
        <v>105</v>
      </c>
      <c r="C5770" t="s">
        <v>557</v>
      </c>
      <c r="D5770" t="s">
        <v>2644</v>
      </c>
      <c r="E5770" t="s">
        <v>3839</v>
      </c>
      <c r="F5770" s="451">
        <v>46000</v>
      </c>
      <c r="G5770">
        <v>17162</v>
      </c>
      <c r="H5770" t="s">
        <v>5255</v>
      </c>
      <c r="I5770" t="s">
        <v>5188</v>
      </c>
      <c r="J5770">
        <v>1</v>
      </c>
      <c r="K5770" t="s">
        <v>4736</v>
      </c>
      <c r="L5770">
        <v>59</v>
      </c>
      <c r="M5770">
        <v>59</v>
      </c>
      <c r="N5770" t="s">
        <v>5277</v>
      </c>
      <c r="O5770" t="s">
        <v>458</v>
      </c>
    </row>
    <row r="5771" spans="1:15" x14ac:dyDescent="0.3">
      <c r="A5771">
        <v>183609</v>
      </c>
      <c r="B5771">
        <v>105</v>
      </c>
      <c r="C5771" t="s">
        <v>557</v>
      </c>
      <c r="D5771" t="s">
        <v>2644</v>
      </c>
      <c r="E5771" t="s">
        <v>3839</v>
      </c>
      <c r="F5771" s="451">
        <v>46000</v>
      </c>
      <c r="G5771">
        <v>17504</v>
      </c>
      <c r="H5771" t="s">
        <v>5260</v>
      </c>
      <c r="I5771" t="s">
        <v>5205</v>
      </c>
      <c r="J5771">
        <v>2</v>
      </c>
      <c r="K5771" t="s">
        <v>4736</v>
      </c>
      <c r="L5771">
        <v>46</v>
      </c>
      <c r="M5771">
        <v>23</v>
      </c>
      <c r="N5771" t="s">
        <v>5277</v>
      </c>
      <c r="O5771" t="s">
        <v>458</v>
      </c>
    </row>
    <row r="5772" spans="1:15" x14ac:dyDescent="0.3">
      <c r="A5772">
        <v>183606</v>
      </c>
      <c r="B5772">
        <v>105</v>
      </c>
      <c r="C5772" t="s">
        <v>557</v>
      </c>
      <c r="D5772" t="s">
        <v>2644</v>
      </c>
      <c r="E5772" t="s">
        <v>3840</v>
      </c>
      <c r="F5772" s="451">
        <v>45999</v>
      </c>
      <c r="G5772">
        <v>19983</v>
      </c>
      <c r="H5772" t="s">
        <v>5068</v>
      </c>
      <c r="I5772" t="s">
        <v>5191</v>
      </c>
      <c r="J5772">
        <v>1</v>
      </c>
      <c r="K5772" t="s">
        <v>5241</v>
      </c>
      <c r="L5772">
        <v>19.8</v>
      </c>
      <c r="M5772">
        <v>19.8</v>
      </c>
      <c r="N5772" t="s">
        <v>5272</v>
      </c>
      <c r="O5772" t="s">
        <v>458</v>
      </c>
    </row>
    <row r="5773" spans="1:15" x14ac:dyDescent="0.3">
      <c r="A5773">
        <v>183606</v>
      </c>
      <c r="B5773">
        <v>105</v>
      </c>
      <c r="C5773" t="s">
        <v>557</v>
      </c>
      <c r="D5773" t="s">
        <v>2644</v>
      </c>
      <c r="E5773" t="s">
        <v>3840</v>
      </c>
      <c r="F5773" s="451">
        <v>45999</v>
      </c>
      <c r="G5773">
        <v>19923</v>
      </c>
      <c r="H5773" t="s">
        <v>5069</v>
      </c>
      <c r="I5773" t="s">
        <v>5191</v>
      </c>
      <c r="J5773">
        <v>1</v>
      </c>
      <c r="K5773" t="s">
        <v>4738</v>
      </c>
      <c r="L5773">
        <v>39.9</v>
      </c>
      <c r="M5773">
        <v>39.9</v>
      </c>
      <c r="N5773" t="s">
        <v>5272</v>
      </c>
      <c r="O5773" t="s">
        <v>458</v>
      </c>
    </row>
    <row r="5774" spans="1:15" x14ac:dyDescent="0.3">
      <c r="A5774">
        <v>183606</v>
      </c>
      <c r="B5774">
        <v>105</v>
      </c>
      <c r="C5774" t="s">
        <v>557</v>
      </c>
      <c r="D5774" t="s">
        <v>2644</v>
      </c>
      <c r="E5774" t="s">
        <v>3840</v>
      </c>
      <c r="F5774" s="451">
        <v>45999</v>
      </c>
      <c r="G5774">
        <v>20382</v>
      </c>
      <c r="H5774" t="s">
        <v>4780</v>
      </c>
      <c r="I5774" t="s">
        <v>5191</v>
      </c>
      <c r="J5774">
        <v>30</v>
      </c>
      <c r="K5774" t="s">
        <v>5238</v>
      </c>
      <c r="L5774">
        <v>269.7</v>
      </c>
      <c r="M5774">
        <v>8.99</v>
      </c>
      <c r="N5774" t="s">
        <v>5272</v>
      </c>
      <c r="O5774" t="s">
        <v>458</v>
      </c>
    </row>
    <row r="5775" spans="1:15" x14ac:dyDescent="0.3">
      <c r="A5775">
        <v>183606</v>
      </c>
      <c r="B5775">
        <v>105</v>
      </c>
      <c r="C5775" t="s">
        <v>557</v>
      </c>
      <c r="D5775" t="s">
        <v>2644</v>
      </c>
      <c r="E5775" t="s">
        <v>3840</v>
      </c>
      <c r="F5775" s="451">
        <v>45999</v>
      </c>
      <c r="G5775">
        <v>20624</v>
      </c>
      <c r="H5775" t="s">
        <v>5019</v>
      </c>
      <c r="I5775" t="s">
        <v>5191</v>
      </c>
      <c r="J5775">
        <v>1</v>
      </c>
      <c r="K5775" t="s">
        <v>4736</v>
      </c>
      <c r="L5775">
        <v>67.5</v>
      </c>
      <c r="M5775">
        <v>67.5</v>
      </c>
      <c r="N5775" t="s">
        <v>5272</v>
      </c>
      <c r="O5775" t="s">
        <v>458</v>
      </c>
    </row>
    <row r="5776" spans="1:15" x14ac:dyDescent="0.3">
      <c r="A5776">
        <v>183606</v>
      </c>
      <c r="B5776">
        <v>105</v>
      </c>
      <c r="C5776" t="s">
        <v>557</v>
      </c>
      <c r="D5776" t="s">
        <v>2644</v>
      </c>
      <c r="E5776" t="s">
        <v>3840</v>
      </c>
      <c r="F5776" s="451">
        <v>45999</v>
      </c>
      <c r="G5776">
        <v>23088</v>
      </c>
      <c r="H5776" t="s">
        <v>5027</v>
      </c>
      <c r="I5776" t="s">
        <v>5191</v>
      </c>
      <c r="J5776">
        <v>2</v>
      </c>
      <c r="K5776" t="s">
        <v>4736</v>
      </c>
      <c r="L5776">
        <v>49.98</v>
      </c>
      <c r="M5776">
        <v>24.99</v>
      </c>
      <c r="N5776" t="s">
        <v>5272</v>
      </c>
      <c r="O5776" t="s">
        <v>458</v>
      </c>
    </row>
    <row r="5777" spans="1:15" x14ac:dyDescent="0.3">
      <c r="A5777">
        <v>183606</v>
      </c>
      <c r="B5777">
        <v>105</v>
      </c>
      <c r="C5777" t="s">
        <v>557</v>
      </c>
      <c r="D5777" t="s">
        <v>2644</v>
      </c>
      <c r="E5777" t="s">
        <v>3840</v>
      </c>
      <c r="F5777" s="451">
        <v>45999</v>
      </c>
      <c r="G5777">
        <v>23934</v>
      </c>
      <c r="H5777" t="s">
        <v>4845</v>
      </c>
      <c r="I5777" t="s">
        <v>5191</v>
      </c>
      <c r="J5777">
        <v>3</v>
      </c>
      <c r="K5777" t="s">
        <v>4736</v>
      </c>
      <c r="L5777">
        <v>28.62</v>
      </c>
      <c r="M5777">
        <v>9.5399999999999991</v>
      </c>
      <c r="N5777" t="s">
        <v>5272</v>
      </c>
      <c r="O5777" t="s">
        <v>458</v>
      </c>
    </row>
    <row r="5778" spans="1:15" x14ac:dyDescent="0.3">
      <c r="A5778">
        <v>183604</v>
      </c>
      <c r="B5778">
        <v>105</v>
      </c>
      <c r="C5778" t="s">
        <v>557</v>
      </c>
      <c r="D5778" t="s">
        <v>2644</v>
      </c>
      <c r="E5778" t="s">
        <v>3841</v>
      </c>
      <c r="F5778" s="451">
        <v>45999</v>
      </c>
      <c r="G5778">
        <v>20321</v>
      </c>
      <c r="H5778" t="s">
        <v>5067</v>
      </c>
      <c r="I5778" t="s">
        <v>5191</v>
      </c>
      <c r="J5778">
        <v>0.5</v>
      </c>
      <c r="K5778" t="s">
        <v>4744</v>
      </c>
      <c r="L5778">
        <v>69.150000000000006</v>
      </c>
      <c r="M5778">
        <v>138.30000000000001</v>
      </c>
      <c r="N5778" t="s">
        <v>5191</v>
      </c>
      <c r="O5778" t="s">
        <v>458</v>
      </c>
    </row>
    <row r="5779" spans="1:15" x14ac:dyDescent="0.3">
      <c r="A5779">
        <v>183602</v>
      </c>
      <c r="B5779">
        <v>105</v>
      </c>
      <c r="C5779" t="s">
        <v>557</v>
      </c>
      <c r="D5779" t="s">
        <v>2605</v>
      </c>
      <c r="E5779" t="s">
        <v>3842</v>
      </c>
      <c r="F5779" s="451">
        <v>46001</v>
      </c>
      <c r="G5779">
        <v>17878</v>
      </c>
      <c r="H5779" t="s">
        <v>4926</v>
      </c>
      <c r="I5779" t="s">
        <v>5222</v>
      </c>
      <c r="J5779">
        <v>3</v>
      </c>
      <c r="K5779" t="s">
        <v>4736</v>
      </c>
      <c r="L5779">
        <v>71.7</v>
      </c>
      <c r="M5779">
        <v>23.9</v>
      </c>
      <c r="N5779" t="s">
        <v>5271</v>
      </c>
      <c r="O5779" t="s">
        <v>458</v>
      </c>
    </row>
    <row r="5780" spans="1:15" x14ac:dyDescent="0.3">
      <c r="A5780">
        <v>183602</v>
      </c>
      <c r="B5780">
        <v>105</v>
      </c>
      <c r="C5780" t="s">
        <v>557</v>
      </c>
      <c r="D5780" t="s">
        <v>2605</v>
      </c>
      <c r="E5780" t="s">
        <v>3842</v>
      </c>
      <c r="F5780" s="451">
        <v>46001</v>
      </c>
      <c r="G5780">
        <v>18462</v>
      </c>
      <c r="H5780" t="s">
        <v>5031</v>
      </c>
      <c r="I5780" t="s">
        <v>5222</v>
      </c>
      <c r="J5780">
        <v>1</v>
      </c>
      <c r="K5780" t="s">
        <v>4805</v>
      </c>
      <c r="L5780">
        <v>50.5</v>
      </c>
      <c r="M5780">
        <v>50.5</v>
      </c>
      <c r="N5780" t="s">
        <v>5271</v>
      </c>
      <c r="O5780" t="s">
        <v>458</v>
      </c>
    </row>
    <row r="5781" spans="1:15" x14ac:dyDescent="0.3">
      <c r="A5781">
        <v>183602</v>
      </c>
      <c r="B5781">
        <v>105</v>
      </c>
      <c r="C5781" t="s">
        <v>557</v>
      </c>
      <c r="D5781" t="s">
        <v>2605</v>
      </c>
      <c r="E5781" t="s">
        <v>3842</v>
      </c>
      <c r="F5781" s="451">
        <v>46001</v>
      </c>
      <c r="G5781">
        <v>18085</v>
      </c>
      <c r="H5781" t="s">
        <v>4973</v>
      </c>
      <c r="I5781" t="s">
        <v>5222</v>
      </c>
      <c r="J5781">
        <v>1</v>
      </c>
      <c r="K5781" t="s">
        <v>4805</v>
      </c>
      <c r="L5781">
        <v>47.6</v>
      </c>
      <c r="M5781">
        <v>47.6</v>
      </c>
      <c r="N5781" t="s">
        <v>5271</v>
      </c>
      <c r="O5781" t="s">
        <v>458</v>
      </c>
    </row>
    <row r="5782" spans="1:15" x14ac:dyDescent="0.3">
      <c r="A5782">
        <v>183602</v>
      </c>
      <c r="B5782">
        <v>105</v>
      </c>
      <c r="C5782" t="s">
        <v>557</v>
      </c>
      <c r="D5782" t="s">
        <v>2605</v>
      </c>
      <c r="E5782" t="s">
        <v>3842</v>
      </c>
      <c r="F5782" s="451">
        <v>46001</v>
      </c>
      <c r="G5782">
        <v>26210</v>
      </c>
      <c r="H5782" t="s">
        <v>4975</v>
      </c>
      <c r="I5782" t="s">
        <v>5222</v>
      </c>
      <c r="J5782">
        <v>1</v>
      </c>
      <c r="K5782" t="s">
        <v>4805</v>
      </c>
      <c r="L5782">
        <v>47.6</v>
      </c>
      <c r="M5782">
        <v>47.6</v>
      </c>
      <c r="N5782" t="s">
        <v>5271</v>
      </c>
      <c r="O5782" t="s">
        <v>458</v>
      </c>
    </row>
    <row r="5783" spans="1:15" x14ac:dyDescent="0.3">
      <c r="A5783">
        <v>183389</v>
      </c>
      <c r="B5783">
        <v>105</v>
      </c>
      <c r="C5783" t="s">
        <v>557</v>
      </c>
      <c r="D5783" t="s">
        <v>2798</v>
      </c>
      <c r="E5783" t="s">
        <v>3843</v>
      </c>
      <c r="F5783" s="451">
        <v>46003</v>
      </c>
      <c r="G5783">
        <v>19353</v>
      </c>
      <c r="H5783" t="s">
        <v>4851</v>
      </c>
      <c r="I5783" t="s">
        <v>5191</v>
      </c>
      <c r="J5783">
        <v>25</v>
      </c>
      <c r="K5783" t="s">
        <v>4744</v>
      </c>
      <c r="L5783">
        <v>615</v>
      </c>
      <c r="M5783">
        <v>24.6</v>
      </c>
      <c r="N5783" t="s">
        <v>5272</v>
      </c>
      <c r="O5783" t="s">
        <v>458</v>
      </c>
    </row>
    <row r="5784" spans="1:15" x14ac:dyDescent="0.3">
      <c r="A5784">
        <v>183352</v>
      </c>
      <c r="B5784">
        <v>105</v>
      </c>
      <c r="C5784" t="s">
        <v>557</v>
      </c>
      <c r="D5784" t="s">
        <v>2571</v>
      </c>
      <c r="E5784" t="s">
        <v>3844</v>
      </c>
      <c r="F5784" s="451">
        <v>45996</v>
      </c>
      <c r="G5784">
        <v>20242</v>
      </c>
      <c r="H5784" t="s">
        <v>4824</v>
      </c>
      <c r="I5784" t="s">
        <v>5191</v>
      </c>
      <c r="J5784">
        <v>6</v>
      </c>
      <c r="K5784" t="s">
        <v>4738</v>
      </c>
      <c r="L5784">
        <v>85.2</v>
      </c>
      <c r="M5784">
        <v>14.2</v>
      </c>
      <c r="N5784" t="s">
        <v>5191</v>
      </c>
      <c r="O5784" t="s">
        <v>458</v>
      </c>
    </row>
    <row r="5785" spans="1:15" x14ac:dyDescent="0.3">
      <c r="A5785">
        <v>183352</v>
      </c>
      <c r="B5785">
        <v>105</v>
      </c>
      <c r="C5785" t="s">
        <v>557</v>
      </c>
      <c r="D5785" t="s">
        <v>2571</v>
      </c>
      <c r="E5785" t="s">
        <v>3844</v>
      </c>
      <c r="F5785" s="451">
        <v>45996</v>
      </c>
      <c r="G5785">
        <v>21085</v>
      </c>
      <c r="H5785" t="s">
        <v>5066</v>
      </c>
      <c r="I5785" t="s">
        <v>5191</v>
      </c>
      <c r="J5785">
        <v>1</v>
      </c>
      <c r="K5785" t="s">
        <v>4749</v>
      </c>
      <c r="L5785">
        <v>19.98</v>
      </c>
      <c r="M5785">
        <v>19.98</v>
      </c>
      <c r="N5785" t="s">
        <v>5191</v>
      </c>
      <c r="O5785" t="s">
        <v>458</v>
      </c>
    </row>
    <row r="5786" spans="1:15" x14ac:dyDescent="0.3">
      <c r="A5786">
        <v>183352</v>
      </c>
      <c r="B5786">
        <v>105</v>
      </c>
      <c r="C5786" t="s">
        <v>557</v>
      </c>
      <c r="D5786" t="s">
        <v>2571</v>
      </c>
      <c r="E5786" t="s">
        <v>3844</v>
      </c>
      <c r="F5786" s="451">
        <v>45996</v>
      </c>
      <c r="G5786">
        <v>20661</v>
      </c>
      <c r="H5786" t="s">
        <v>5012</v>
      </c>
      <c r="I5786" t="s">
        <v>5191</v>
      </c>
      <c r="J5786">
        <v>5</v>
      </c>
      <c r="K5786" t="s">
        <v>4736</v>
      </c>
      <c r="L5786">
        <v>43.7</v>
      </c>
      <c r="M5786">
        <v>8.74</v>
      </c>
      <c r="N5786" t="s">
        <v>5191</v>
      </c>
      <c r="O5786" t="s">
        <v>458</v>
      </c>
    </row>
    <row r="5787" spans="1:15" x14ac:dyDescent="0.3">
      <c r="A5787">
        <v>183352</v>
      </c>
      <c r="B5787">
        <v>105</v>
      </c>
      <c r="C5787" t="s">
        <v>557</v>
      </c>
      <c r="D5787" t="s">
        <v>2571</v>
      </c>
      <c r="E5787" t="s">
        <v>3844</v>
      </c>
      <c r="F5787" s="451">
        <v>45996</v>
      </c>
      <c r="G5787">
        <v>20660</v>
      </c>
      <c r="H5787" t="s">
        <v>5011</v>
      </c>
      <c r="I5787" t="s">
        <v>5191</v>
      </c>
      <c r="J5787">
        <v>2</v>
      </c>
      <c r="K5787" t="s">
        <v>5242</v>
      </c>
      <c r="L5787">
        <v>123.8</v>
      </c>
      <c r="M5787">
        <v>61.9</v>
      </c>
      <c r="N5787" t="s">
        <v>5191</v>
      </c>
      <c r="O5787" t="s">
        <v>458</v>
      </c>
    </row>
    <row r="5788" spans="1:15" x14ac:dyDescent="0.3">
      <c r="A5788">
        <v>183352</v>
      </c>
      <c r="B5788">
        <v>105</v>
      </c>
      <c r="C5788" t="s">
        <v>557</v>
      </c>
      <c r="D5788" t="s">
        <v>2571</v>
      </c>
      <c r="E5788" t="s">
        <v>3844</v>
      </c>
      <c r="F5788" s="451">
        <v>45996</v>
      </c>
      <c r="G5788">
        <v>21021</v>
      </c>
      <c r="H5788" t="s">
        <v>4883</v>
      </c>
      <c r="I5788" t="s">
        <v>5191</v>
      </c>
      <c r="J5788">
        <v>3</v>
      </c>
      <c r="K5788" t="s">
        <v>4736</v>
      </c>
      <c r="L5788">
        <v>545.1</v>
      </c>
      <c r="M5788">
        <v>181.7</v>
      </c>
      <c r="N5788" t="s">
        <v>5191</v>
      </c>
      <c r="O5788" t="s">
        <v>458</v>
      </c>
    </row>
    <row r="5789" spans="1:15" x14ac:dyDescent="0.3">
      <c r="A5789">
        <v>183352</v>
      </c>
      <c r="B5789">
        <v>105</v>
      </c>
      <c r="C5789" t="s">
        <v>557</v>
      </c>
      <c r="D5789" t="s">
        <v>2571</v>
      </c>
      <c r="E5789" t="s">
        <v>3844</v>
      </c>
      <c r="F5789" s="451">
        <v>45996</v>
      </c>
      <c r="G5789">
        <v>20301</v>
      </c>
      <c r="H5789" t="s">
        <v>4944</v>
      </c>
      <c r="I5789" t="s">
        <v>5191</v>
      </c>
      <c r="J5789">
        <v>10</v>
      </c>
      <c r="K5789" t="s">
        <v>4738</v>
      </c>
      <c r="L5789">
        <v>209</v>
      </c>
      <c r="M5789">
        <v>20.9</v>
      </c>
      <c r="N5789" t="s">
        <v>5191</v>
      </c>
      <c r="O5789" t="s">
        <v>458</v>
      </c>
    </row>
    <row r="5790" spans="1:15" x14ac:dyDescent="0.3">
      <c r="A5790">
        <v>183352</v>
      </c>
      <c r="B5790">
        <v>105</v>
      </c>
      <c r="C5790" t="s">
        <v>557</v>
      </c>
      <c r="D5790" t="s">
        <v>2571</v>
      </c>
      <c r="E5790" t="s">
        <v>3844</v>
      </c>
      <c r="F5790" s="451">
        <v>45996</v>
      </c>
      <c r="G5790">
        <v>20791</v>
      </c>
      <c r="H5790" t="s">
        <v>5021</v>
      </c>
      <c r="I5790" t="s">
        <v>5191</v>
      </c>
      <c r="J5790">
        <v>1</v>
      </c>
      <c r="K5790" t="s">
        <v>5206</v>
      </c>
      <c r="L5790">
        <v>10.39</v>
      </c>
      <c r="M5790">
        <v>10.39</v>
      </c>
      <c r="N5790" t="s">
        <v>5191</v>
      </c>
      <c r="O5790" t="s">
        <v>458</v>
      </c>
    </row>
    <row r="5791" spans="1:15" x14ac:dyDescent="0.3">
      <c r="A5791">
        <v>183352</v>
      </c>
      <c r="B5791">
        <v>105</v>
      </c>
      <c r="C5791" t="s">
        <v>557</v>
      </c>
      <c r="D5791" t="s">
        <v>2571</v>
      </c>
      <c r="E5791" t="s">
        <v>3844</v>
      </c>
      <c r="F5791" s="451">
        <v>45996</v>
      </c>
      <c r="G5791">
        <v>25022</v>
      </c>
      <c r="H5791" t="s">
        <v>4912</v>
      </c>
      <c r="I5791" t="s">
        <v>5191</v>
      </c>
      <c r="J5791">
        <v>3</v>
      </c>
      <c r="K5791" t="s">
        <v>4738</v>
      </c>
      <c r="L5791">
        <v>11.1</v>
      </c>
      <c r="M5791">
        <v>3.7</v>
      </c>
      <c r="N5791" t="s">
        <v>5191</v>
      </c>
      <c r="O5791" t="s">
        <v>458</v>
      </c>
    </row>
    <row r="5792" spans="1:15" x14ac:dyDescent="0.3">
      <c r="A5792">
        <v>183352</v>
      </c>
      <c r="B5792">
        <v>105</v>
      </c>
      <c r="C5792" t="s">
        <v>557</v>
      </c>
      <c r="D5792" t="s">
        <v>2571</v>
      </c>
      <c r="E5792" t="s">
        <v>3844</v>
      </c>
      <c r="F5792" s="451">
        <v>45996</v>
      </c>
      <c r="G5792">
        <v>25807</v>
      </c>
      <c r="H5792" t="s">
        <v>4951</v>
      </c>
      <c r="I5792" t="s">
        <v>5191</v>
      </c>
      <c r="J5792">
        <v>1</v>
      </c>
      <c r="K5792" t="s">
        <v>4736</v>
      </c>
      <c r="L5792">
        <v>198.48</v>
      </c>
      <c r="M5792">
        <v>198.48</v>
      </c>
      <c r="N5792" t="s">
        <v>5191</v>
      </c>
      <c r="O5792" t="s">
        <v>458</v>
      </c>
    </row>
    <row r="5793" spans="1:15" x14ac:dyDescent="0.3">
      <c r="A5793">
        <v>183352</v>
      </c>
      <c r="B5793">
        <v>105</v>
      </c>
      <c r="C5793" t="s">
        <v>557</v>
      </c>
      <c r="D5793" t="s">
        <v>2571</v>
      </c>
      <c r="E5793" t="s">
        <v>3844</v>
      </c>
      <c r="F5793" s="451">
        <v>45996</v>
      </c>
      <c r="G5793">
        <v>20585</v>
      </c>
      <c r="H5793" t="s">
        <v>5025</v>
      </c>
      <c r="I5793" t="s">
        <v>5191</v>
      </c>
      <c r="J5793">
        <v>1</v>
      </c>
      <c r="K5793" t="s">
        <v>4736</v>
      </c>
      <c r="L5793">
        <v>26.8</v>
      </c>
      <c r="M5793">
        <v>26.8</v>
      </c>
      <c r="N5793" t="s">
        <v>5191</v>
      </c>
      <c r="O5793" t="s">
        <v>458</v>
      </c>
    </row>
    <row r="5794" spans="1:15" x14ac:dyDescent="0.3">
      <c r="A5794">
        <v>183352</v>
      </c>
      <c r="B5794">
        <v>105</v>
      </c>
      <c r="C5794" t="s">
        <v>557</v>
      </c>
      <c r="D5794" t="s">
        <v>2571</v>
      </c>
      <c r="E5794" t="s">
        <v>3844</v>
      </c>
      <c r="F5794" s="451">
        <v>45996</v>
      </c>
      <c r="G5794">
        <v>23808</v>
      </c>
      <c r="H5794" t="s">
        <v>4982</v>
      </c>
      <c r="I5794" t="s">
        <v>5191</v>
      </c>
      <c r="J5794">
        <v>1</v>
      </c>
      <c r="K5794" t="s">
        <v>4744</v>
      </c>
      <c r="L5794">
        <v>33.6</v>
      </c>
      <c r="M5794">
        <v>33.6</v>
      </c>
      <c r="N5794" t="s">
        <v>5191</v>
      </c>
      <c r="O5794" t="s">
        <v>458</v>
      </c>
    </row>
    <row r="5795" spans="1:15" x14ac:dyDescent="0.3">
      <c r="A5795">
        <v>183352</v>
      </c>
      <c r="B5795">
        <v>105</v>
      </c>
      <c r="C5795" t="s">
        <v>557</v>
      </c>
      <c r="D5795" t="s">
        <v>2571</v>
      </c>
      <c r="E5795" t="s">
        <v>3844</v>
      </c>
      <c r="F5795" s="451">
        <v>45996</v>
      </c>
      <c r="G5795">
        <v>23502</v>
      </c>
      <c r="H5795" t="s">
        <v>4930</v>
      </c>
      <c r="I5795" t="s">
        <v>5191</v>
      </c>
      <c r="J5795">
        <v>1</v>
      </c>
      <c r="K5795" t="s">
        <v>4744</v>
      </c>
      <c r="L5795">
        <v>12.92</v>
      </c>
      <c r="M5795">
        <v>12.92</v>
      </c>
      <c r="N5795" t="s">
        <v>5191</v>
      </c>
      <c r="O5795" t="s">
        <v>458</v>
      </c>
    </row>
    <row r="5796" spans="1:15" x14ac:dyDescent="0.3">
      <c r="A5796">
        <v>183352</v>
      </c>
      <c r="B5796">
        <v>105</v>
      </c>
      <c r="C5796" t="s">
        <v>557</v>
      </c>
      <c r="D5796" t="s">
        <v>2571</v>
      </c>
      <c r="E5796" t="s">
        <v>3844</v>
      </c>
      <c r="F5796" s="451">
        <v>45996</v>
      </c>
      <c r="G5796">
        <v>26020</v>
      </c>
      <c r="H5796" t="s">
        <v>5102</v>
      </c>
      <c r="I5796" t="s">
        <v>5191</v>
      </c>
      <c r="J5796">
        <v>5</v>
      </c>
      <c r="K5796" t="s">
        <v>4736</v>
      </c>
      <c r="L5796">
        <v>72</v>
      </c>
      <c r="M5796">
        <v>14.4</v>
      </c>
      <c r="N5796" t="s">
        <v>5191</v>
      </c>
      <c r="O5796" t="s">
        <v>458</v>
      </c>
    </row>
    <row r="5797" spans="1:15" x14ac:dyDescent="0.3">
      <c r="A5797">
        <v>183352</v>
      </c>
      <c r="B5797">
        <v>105</v>
      </c>
      <c r="C5797" t="s">
        <v>557</v>
      </c>
      <c r="D5797" t="s">
        <v>2571</v>
      </c>
      <c r="E5797" t="s">
        <v>3844</v>
      </c>
      <c r="F5797" s="451">
        <v>45996</v>
      </c>
      <c r="G5797">
        <v>23884</v>
      </c>
      <c r="H5797" t="s">
        <v>5070</v>
      </c>
      <c r="I5797" t="s">
        <v>5191</v>
      </c>
      <c r="J5797">
        <v>1</v>
      </c>
      <c r="K5797" t="s">
        <v>4736</v>
      </c>
      <c r="L5797">
        <v>9.15</v>
      </c>
      <c r="M5797">
        <v>9.15</v>
      </c>
      <c r="N5797" t="s">
        <v>5191</v>
      </c>
      <c r="O5797" t="s">
        <v>458</v>
      </c>
    </row>
    <row r="5798" spans="1:15" x14ac:dyDescent="0.3">
      <c r="A5798">
        <v>183352</v>
      </c>
      <c r="B5798">
        <v>105</v>
      </c>
      <c r="C5798" t="s">
        <v>557</v>
      </c>
      <c r="D5798" t="s">
        <v>2571</v>
      </c>
      <c r="E5798" t="s">
        <v>3844</v>
      </c>
      <c r="F5798" s="451">
        <v>45996</v>
      </c>
      <c r="G5798">
        <v>20057</v>
      </c>
      <c r="H5798" t="s">
        <v>4949</v>
      </c>
      <c r="I5798" t="s">
        <v>5191</v>
      </c>
      <c r="J5798">
        <v>1</v>
      </c>
      <c r="K5798" t="s">
        <v>4848</v>
      </c>
      <c r="L5798">
        <v>40.1</v>
      </c>
      <c r="M5798">
        <v>40.1</v>
      </c>
      <c r="N5798" t="s">
        <v>5191</v>
      </c>
      <c r="O5798" t="s">
        <v>458</v>
      </c>
    </row>
    <row r="5799" spans="1:15" x14ac:dyDescent="0.3">
      <c r="A5799">
        <v>183352</v>
      </c>
      <c r="B5799">
        <v>105</v>
      </c>
      <c r="C5799" t="s">
        <v>557</v>
      </c>
      <c r="D5799" t="s">
        <v>2571</v>
      </c>
      <c r="E5799" t="s">
        <v>3844</v>
      </c>
      <c r="F5799" s="451">
        <v>45996</v>
      </c>
      <c r="G5799">
        <v>19967</v>
      </c>
      <c r="H5799" t="s">
        <v>4956</v>
      </c>
      <c r="I5799" t="s">
        <v>5191</v>
      </c>
      <c r="J5799">
        <v>3</v>
      </c>
      <c r="K5799" t="s">
        <v>4848</v>
      </c>
      <c r="L5799">
        <v>144.6</v>
      </c>
      <c r="M5799">
        <v>48.2</v>
      </c>
      <c r="N5799" t="s">
        <v>5191</v>
      </c>
      <c r="O5799" t="s">
        <v>458</v>
      </c>
    </row>
    <row r="5800" spans="1:15" x14ac:dyDescent="0.3">
      <c r="A5800">
        <v>183352</v>
      </c>
      <c r="B5800">
        <v>105</v>
      </c>
      <c r="C5800" t="s">
        <v>557</v>
      </c>
      <c r="D5800" t="s">
        <v>2571</v>
      </c>
      <c r="E5800" t="s">
        <v>3844</v>
      </c>
      <c r="F5800" s="451">
        <v>45996</v>
      </c>
      <c r="G5800">
        <v>20928</v>
      </c>
      <c r="H5800" t="s">
        <v>4950</v>
      </c>
      <c r="I5800" t="s">
        <v>5191</v>
      </c>
      <c r="J5800">
        <v>1</v>
      </c>
      <c r="K5800" t="s">
        <v>4736</v>
      </c>
      <c r="L5800">
        <v>203.4</v>
      </c>
      <c r="M5800">
        <v>203.4</v>
      </c>
      <c r="N5800" t="s">
        <v>5191</v>
      </c>
      <c r="O5800" t="s">
        <v>458</v>
      </c>
    </row>
    <row r="5801" spans="1:15" x14ac:dyDescent="0.3">
      <c r="A5801">
        <v>183346</v>
      </c>
      <c r="B5801">
        <v>105</v>
      </c>
      <c r="C5801" t="s">
        <v>557</v>
      </c>
      <c r="D5801" t="s">
        <v>2690</v>
      </c>
      <c r="E5801" t="s">
        <v>3845</v>
      </c>
      <c r="F5801" s="451">
        <v>45996</v>
      </c>
      <c r="G5801">
        <v>18253</v>
      </c>
      <c r="H5801" t="s">
        <v>4969</v>
      </c>
      <c r="I5801" t="s">
        <v>5222</v>
      </c>
      <c r="J5801">
        <v>3</v>
      </c>
      <c r="K5801" t="s">
        <v>4805</v>
      </c>
      <c r="L5801">
        <v>85.65</v>
      </c>
      <c r="M5801">
        <v>28.55</v>
      </c>
      <c r="N5801" t="s">
        <v>5271</v>
      </c>
      <c r="O5801" t="s">
        <v>458</v>
      </c>
    </row>
    <row r="5802" spans="1:15" x14ac:dyDescent="0.3">
      <c r="A5802">
        <v>183346</v>
      </c>
      <c r="B5802">
        <v>105</v>
      </c>
      <c r="C5802" t="s">
        <v>557</v>
      </c>
      <c r="D5802" t="s">
        <v>2690</v>
      </c>
      <c r="E5802" t="s">
        <v>3845</v>
      </c>
      <c r="F5802" s="451">
        <v>45996</v>
      </c>
      <c r="G5802">
        <v>18502</v>
      </c>
      <c r="H5802" t="s">
        <v>4893</v>
      </c>
      <c r="I5802" t="s">
        <v>5222</v>
      </c>
      <c r="J5802">
        <v>6</v>
      </c>
      <c r="K5802" t="s">
        <v>4805</v>
      </c>
      <c r="L5802">
        <v>358.2</v>
      </c>
      <c r="M5802">
        <v>59.7</v>
      </c>
      <c r="N5802" t="s">
        <v>5271</v>
      </c>
      <c r="O5802" t="s">
        <v>458</v>
      </c>
    </row>
    <row r="5803" spans="1:15" x14ac:dyDescent="0.3">
      <c r="A5803">
        <v>183342</v>
      </c>
      <c r="B5803">
        <v>105</v>
      </c>
      <c r="C5803" t="s">
        <v>557</v>
      </c>
      <c r="D5803" t="s">
        <v>2732</v>
      </c>
      <c r="E5803" t="s">
        <v>3846</v>
      </c>
      <c r="F5803" s="451">
        <v>45999</v>
      </c>
      <c r="G5803">
        <v>19041</v>
      </c>
      <c r="H5803" t="s">
        <v>4762</v>
      </c>
      <c r="I5803" t="s">
        <v>5191</v>
      </c>
      <c r="J5803">
        <v>30.4</v>
      </c>
      <c r="K5803" t="s">
        <v>4744</v>
      </c>
      <c r="L5803">
        <v>468.16</v>
      </c>
      <c r="M5803">
        <v>15.4</v>
      </c>
      <c r="N5803" t="s">
        <v>5191</v>
      </c>
      <c r="O5803" t="s">
        <v>458</v>
      </c>
    </row>
    <row r="5804" spans="1:15" x14ac:dyDescent="0.3">
      <c r="A5804">
        <v>183339</v>
      </c>
      <c r="B5804">
        <v>105</v>
      </c>
      <c r="C5804" t="s">
        <v>557</v>
      </c>
      <c r="D5804" t="s">
        <v>2597</v>
      </c>
      <c r="E5804" t="s">
        <v>3847</v>
      </c>
      <c r="F5804" s="451">
        <v>45999</v>
      </c>
      <c r="G5804">
        <v>24217</v>
      </c>
      <c r="H5804" t="s">
        <v>4778</v>
      </c>
      <c r="I5804" t="s">
        <v>5191</v>
      </c>
      <c r="J5804">
        <v>10.8</v>
      </c>
      <c r="K5804" t="s">
        <v>4744</v>
      </c>
      <c r="L5804">
        <v>344.52</v>
      </c>
      <c r="M5804">
        <v>31.9</v>
      </c>
      <c r="N5804" t="s">
        <v>5191</v>
      </c>
      <c r="O5804" t="s">
        <v>458</v>
      </c>
    </row>
    <row r="5805" spans="1:15" x14ac:dyDescent="0.3">
      <c r="A5805">
        <v>183339</v>
      </c>
      <c r="B5805">
        <v>105</v>
      </c>
      <c r="C5805" t="s">
        <v>557</v>
      </c>
      <c r="D5805" t="s">
        <v>2597</v>
      </c>
      <c r="E5805" t="s">
        <v>3847</v>
      </c>
      <c r="F5805" s="451">
        <v>45999</v>
      </c>
      <c r="G5805">
        <v>18832</v>
      </c>
      <c r="H5805" t="s">
        <v>4785</v>
      </c>
      <c r="I5805" t="s">
        <v>5191</v>
      </c>
      <c r="J5805">
        <v>31.3</v>
      </c>
      <c r="K5805" t="s">
        <v>4744</v>
      </c>
      <c r="L5805">
        <v>1311.47</v>
      </c>
      <c r="M5805">
        <v>41.9</v>
      </c>
      <c r="N5805" t="s">
        <v>5191</v>
      </c>
      <c r="O5805" t="s">
        <v>458</v>
      </c>
    </row>
    <row r="5806" spans="1:15" x14ac:dyDescent="0.3">
      <c r="A5806">
        <v>183339</v>
      </c>
      <c r="B5806">
        <v>105</v>
      </c>
      <c r="C5806" t="s">
        <v>557</v>
      </c>
      <c r="D5806" t="s">
        <v>2597</v>
      </c>
      <c r="E5806" t="s">
        <v>3847</v>
      </c>
      <c r="F5806" s="451">
        <v>45999</v>
      </c>
      <c r="G5806">
        <v>24259</v>
      </c>
      <c r="H5806" t="s">
        <v>4875</v>
      </c>
      <c r="I5806" t="s">
        <v>5191</v>
      </c>
      <c r="J5806">
        <v>15.4</v>
      </c>
      <c r="K5806" t="s">
        <v>4744</v>
      </c>
      <c r="L5806">
        <v>1324.25</v>
      </c>
      <c r="M5806">
        <v>85.990260000000006</v>
      </c>
      <c r="N5806" t="s">
        <v>5191</v>
      </c>
      <c r="O5806" t="s">
        <v>458</v>
      </c>
    </row>
    <row r="5807" spans="1:15" x14ac:dyDescent="0.3">
      <c r="A5807">
        <v>183339</v>
      </c>
      <c r="B5807">
        <v>105</v>
      </c>
      <c r="C5807" t="s">
        <v>557</v>
      </c>
      <c r="D5807" t="s">
        <v>2597</v>
      </c>
      <c r="E5807" t="s">
        <v>3847</v>
      </c>
      <c r="F5807" s="451">
        <v>45999</v>
      </c>
      <c r="G5807">
        <v>22843</v>
      </c>
      <c r="H5807" t="s">
        <v>4849</v>
      </c>
      <c r="I5807" t="s">
        <v>5191</v>
      </c>
      <c r="J5807">
        <v>8.5</v>
      </c>
      <c r="K5807" t="s">
        <v>4744</v>
      </c>
      <c r="L5807">
        <v>316.2</v>
      </c>
      <c r="M5807">
        <v>37.200000000000003</v>
      </c>
      <c r="N5807" t="s">
        <v>5191</v>
      </c>
      <c r="O5807" t="s">
        <v>458</v>
      </c>
    </row>
    <row r="5808" spans="1:15" x14ac:dyDescent="0.3">
      <c r="A5808">
        <v>183339</v>
      </c>
      <c r="B5808">
        <v>105</v>
      </c>
      <c r="C5808" t="s">
        <v>557</v>
      </c>
      <c r="D5808" t="s">
        <v>2597</v>
      </c>
      <c r="E5808" t="s">
        <v>3847</v>
      </c>
      <c r="F5808" s="451">
        <v>45999</v>
      </c>
      <c r="G5808">
        <v>24278</v>
      </c>
      <c r="H5808" t="s">
        <v>4901</v>
      </c>
      <c r="I5808" t="s">
        <v>5191</v>
      </c>
      <c r="J5808">
        <v>6.2</v>
      </c>
      <c r="K5808" t="s">
        <v>4744</v>
      </c>
      <c r="L5808">
        <v>79.98</v>
      </c>
      <c r="M5808">
        <v>12.9</v>
      </c>
      <c r="N5808" t="s">
        <v>5191</v>
      </c>
      <c r="O5808" t="s">
        <v>458</v>
      </c>
    </row>
    <row r="5809" spans="1:15" x14ac:dyDescent="0.3">
      <c r="A5809">
        <v>183339</v>
      </c>
      <c r="B5809">
        <v>105</v>
      </c>
      <c r="C5809" t="s">
        <v>557</v>
      </c>
      <c r="D5809" t="s">
        <v>2597</v>
      </c>
      <c r="E5809" t="s">
        <v>3847</v>
      </c>
      <c r="F5809" s="451">
        <v>45999</v>
      </c>
      <c r="G5809">
        <v>24096</v>
      </c>
      <c r="H5809" t="s">
        <v>4771</v>
      </c>
      <c r="I5809" t="s">
        <v>5191</v>
      </c>
      <c r="J5809">
        <v>64</v>
      </c>
      <c r="K5809" t="s">
        <v>4744</v>
      </c>
      <c r="L5809">
        <v>2553.6</v>
      </c>
      <c r="M5809">
        <v>39.9</v>
      </c>
      <c r="N5809" t="s">
        <v>5191</v>
      </c>
      <c r="O5809" t="s">
        <v>458</v>
      </c>
    </row>
    <row r="5810" spans="1:15" x14ac:dyDescent="0.3">
      <c r="A5810">
        <v>183339</v>
      </c>
      <c r="B5810">
        <v>105</v>
      </c>
      <c r="C5810" t="s">
        <v>557</v>
      </c>
      <c r="D5810" t="s">
        <v>2597</v>
      </c>
      <c r="E5810" t="s">
        <v>3847</v>
      </c>
      <c r="F5810" s="451">
        <v>45999</v>
      </c>
      <c r="G5810">
        <v>20501</v>
      </c>
      <c r="H5810" t="s">
        <v>4760</v>
      </c>
      <c r="I5810" t="s">
        <v>5191</v>
      </c>
      <c r="J5810">
        <v>20</v>
      </c>
      <c r="K5810" t="s">
        <v>4744</v>
      </c>
      <c r="L5810">
        <v>476</v>
      </c>
      <c r="M5810">
        <v>23.8</v>
      </c>
      <c r="N5810" t="s">
        <v>5191</v>
      </c>
      <c r="O5810" t="s">
        <v>458</v>
      </c>
    </row>
    <row r="5811" spans="1:15" x14ac:dyDescent="0.3">
      <c r="A5811">
        <v>183335</v>
      </c>
      <c r="B5811">
        <v>105</v>
      </c>
      <c r="C5811" t="s">
        <v>557</v>
      </c>
      <c r="D5811" t="s">
        <v>2563</v>
      </c>
      <c r="E5811" t="s">
        <v>3848</v>
      </c>
      <c r="F5811" s="451">
        <v>45995</v>
      </c>
      <c r="G5811">
        <v>24083</v>
      </c>
      <c r="H5811" t="s">
        <v>5165</v>
      </c>
      <c r="I5811" t="s">
        <v>5191</v>
      </c>
      <c r="J5811">
        <v>30</v>
      </c>
      <c r="K5811" t="s">
        <v>4744</v>
      </c>
      <c r="L5811">
        <v>108.9</v>
      </c>
      <c r="M5811">
        <v>3.63</v>
      </c>
      <c r="N5811" t="s">
        <v>5272</v>
      </c>
      <c r="O5811" t="s">
        <v>458</v>
      </c>
    </row>
    <row r="5812" spans="1:15" x14ac:dyDescent="0.3">
      <c r="A5812">
        <v>183335</v>
      </c>
      <c r="B5812">
        <v>105</v>
      </c>
      <c r="C5812" t="s">
        <v>557</v>
      </c>
      <c r="D5812" t="s">
        <v>2563</v>
      </c>
      <c r="E5812" t="s">
        <v>3848</v>
      </c>
      <c r="F5812" s="451">
        <v>45995</v>
      </c>
      <c r="G5812">
        <v>19737</v>
      </c>
      <c r="H5812" t="s">
        <v>4940</v>
      </c>
      <c r="I5812" t="s">
        <v>5191</v>
      </c>
      <c r="J5812">
        <v>2</v>
      </c>
      <c r="K5812" t="s">
        <v>4744</v>
      </c>
      <c r="L5812">
        <v>8.3800000000000008</v>
      </c>
      <c r="M5812">
        <v>4.1900000000000004</v>
      </c>
      <c r="N5812" t="s">
        <v>5272</v>
      </c>
      <c r="O5812" t="s">
        <v>458</v>
      </c>
    </row>
    <row r="5813" spans="1:15" x14ac:dyDescent="0.3">
      <c r="A5813">
        <v>183335</v>
      </c>
      <c r="B5813">
        <v>105</v>
      </c>
      <c r="C5813" t="s">
        <v>557</v>
      </c>
      <c r="D5813" t="s">
        <v>2563</v>
      </c>
      <c r="E5813" t="s">
        <v>3848</v>
      </c>
      <c r="F5813" s="451">
        <v>45995</v>
      </c>
      <c r="G5813">
        <v>19658</v>
      </c>
      <c r="H5813" t="s">
        <v>4784</v>
      </c>
      <c r="I5813" t="s">
        <v>5191</v>
      </c>
      <c r="J5813">
        <v>4</v>
      </c>
      <c r="K5813" t="s">
        <v>4744</v>
      </c>
      <c r="L5813">
        <v>11.32</v>
      </c>
      <c r="M5813">
        <v>2.83</v>
      </c>
      <c r="N5813" t="s">
        <v>5272</v>
      </c>
      <c r="O5813" t="s">
        <v>458</v>
      </c>
    </row>
    <row r="5814" spans="1:15" x14ac:dyDescent="0.3">
      <c r="A5814">
        <v>183335</v>
      </c>
      <c r="B5814">
        <v>105</v>
      </c>
      <c r="C5814" t="s">
        <v>557</v>
      </c>
      <c r="D5814" t="s">
        <v>2563</v>
      </c>
      <c r="E5814" t="s">
        <v>3848</v>
      </c>
      <c r="F5814" s="451">
        <v>45995</v>
      </c>
      <c r="G5814">
        <v>24598</v>
      </c>
      <c r="H5814" t="s">
        <v>4852</v>
      </c>
      <c r="I5814" t="s">
        <v>5191</v>
      </c>
      <c r="J5814">
        <v>1</v>
      </c>
      <c r="K5814" t="s">
        <v>4744</v>
      </c>
      <c r="L5814">
        <v>7.97</v>
      </c>
      <c r="M5814">
        <v>7.97</v>
      </c>
      <c r="N5814" t="s">
        <v>5272</v>
      </c>
      <c r="O5814" t="s">
        <v>458</v>
      </c>
    </row>
    <row r="5815" spans="1:15" x14ac:dyDescent="0.3">
      <c r="A5815">
        <v>183335</v>
      </c>
      <c r="B5815">
        <v>105</v>
      </c>
      <c r="C5815" t="s">
        <v>557</v>
      </c>
      <c r="D5815" t="s">
        <v>2563</v>
      </c>
      <c r="E5815" t="s">
        <v>3848</v>
      </c>
      <c r="F5815" s="451">
        <v>45995</v>
      </c>
      <c r="G5815">
        <v>23228</v>
      </c>
      <c r="H5815" t="s">
        <v>4782</v>
      </c>
      <c r="I5815" t="s">
        <v>5191</v>
      </c>
      <c r="J5815">
        <v>3</v>
      </c>
      <c r="K5815" t="s">
        <v>4744</v>
      </c>
      <c r="L5815">
        <v>19.59</v>
      </c>
      <c r="M5815">
        <v>6.53</v>
      </c>
      <c r="N5815" t="s">
        <v>5272</v>
      </c>
      <c r="O5815" t="s">
        <v>458</v>
      </c>
    </row>
    <row r="5816" spans="1:15" x14ac:dyDescent="0.3">
      <c r="A5816">
        <v>183335</v>
      </c>
      <c r="B5816">
        <v>105</v>
      </c>
      <c r="C5816" t="s">
        <v>557</v>
      </c>
      <c r="D5816" t="s">
        <v>2563</v>
      </c>
      <c r="E5816" t="s">
        <v>3848</v>
      </c>
      <c r="F5816" s="451">
        <v>45995</v>
      </c>
      <c r="G5816">
        <v>23346</v>
      </c>
      <c r="H5816" t="s">
        <v>4916</v>
      </c>
      <c r="I5816" t="s">
        <v>5191</v>
      </c>
      <c r="J5816">
        <v>2</v>
      </c>
      <c r="K5816" t="s">
        <v>4744</v>
      </c>
      <c r="L5816">
        <v>13.2</v>
      </c>
      <c r="M5816">
        <v>6.6</v>
      </c>
      <c r="N5816" t="s">
        <v>5272</v>
      </c>
      <c r="O5816" t="s">
        <v>458</v>
      </c>
    </row>
    <row r="5817" spans="1:15" x14ac:dyDescent="0.3">
      <c r="A5817">
        <v>183332</v>
      </c>
      <c r="B5817">
        <v>105</v>
      </c>
      <c r="C5817" t="s">
        <v>557</v>
      </c>
      <c r="D5817" t="s">
        <v>2637</v>
      </c>
      <c r="E5817" t="s">
        <v>3849</v>
      </c>
      <c r="F5817" s="451">
        <v>46000</v>
      </c>
      <c r="G5817">
        <v>18475</v>
      </c>
      <c r="H5817" t="s">
        <v>4895</v>
      </c>
      <c r="I5817" t="s">
        <v>5222</v>
      </c>
      <c r="J5817">
        <v>12</v>
      </c>
      <c r="K5817" t="s">
        <v>4805</v>
      </c>
      <c r="L5817">
        <v>394.8</v>
      </c>
      <c r="M5817">
        <v>32.9</v>
      </c>
      <c r="N5817" t="s">
        <v>5222</v>
      </c>
      <c r="O5817" t="s">
        <v>458</v>
      </c>
    </row>
    <row r="5818" spans="1:15" x14ac:dyDescent="0.3">
      <c r="A5818">
        <v>183331</v>
      </c>
      <c r="B5818">
        <v>105</v>
      </c>
      <c r="C5818" t="s">
        <v>557</v>
      </c>
      <c r="D5818" t="s">
        <v>2705</v>
      </c>
      <c r="E5818" t="s">
        <v>3850</v>
      </c>
      <c r="F5818" s="451">
        <v>45997</v>
      </c>
      <c r="G5818">
        <v>24658</v>
      </c>
      <c r="H5818" t="s">
        <v>5274</v>
      </c>
      <c r="I5818" t="s">
        <v>5232</v>
      </c>
      <c r="J5818">
        <v>25</v>
      </c>
      <c r="K5818" t="s">
        <v>4738</v>
      </c>
      <c r="L5818">
        <v>865</v>
      </c>
      <c r="M5818">
        <v>34.6</v>
      </c>
      <c r="N5818" t="s">
        <v>5287</v>
      </c>
      <c r="O5818" t="s">
        <v>458</v>
      </c>
    </row>
    <row r="5819" spans="1:15" x14ac:dyDescent="0.3">
      <c r="A5819">
        <v>183330</v>
      </c>
      <c r="B5819">
        <v>105</v>
      </c>
      <c r="C5819" t="s">
        <v>557</v>
      </c>
      <c r="D5819" t="s">
        <v>2581</v>
      </c>
      <c r="E5819" t="s">
        <v>3851</v>
      </c>
      <c r="F5819" s="451">
        <v>46000</v>
      </c>
      <c r="G5819">
        <v>19589</v>
      </c>
      <c r="H5819" t="s">
        <v>4983</v>
      </c>
      <c r="I5819" t="s">
        <v>5191</v>
      </c>
      <c r="J5819">
        <v>2</v>
      </c>
      <c r="K5819" t="s">
        <v>4744</v>
      </c>
      <c r="L5819">
        <v>7</v>
      </c>
      <c r="M5819">
        <v>3.5</v>
      </c>
      <c r="N5819" t="s">
        <v>5191</v>
      </c>
      <c r="O5819" t="s">
        <v>458</v>
      </c>
    </row>
    <row r="5820" spans="1:15" x14ac:dyDescent="0.3">
      <c r="A5820">
        <v>183330</v>
      </c>
      <c r="B5820">
        <v>105</v>
      </c>
      <c r="C5820" t="s">
        <v>557</v>
      </c>
      <c r="D5820" t="s">
        <v>2581</v>
      </c>
      <c r="E5820" t="s">
        <v>3851</v>
      </c>
      <c r="F5820" s="451">
        <v>46000</v>
      </c>
      <c r="G5820">
        <v>19505</v>
      </c>
      <c r="H5820" t="s">
        <v>4872</v>
      </c>
      <c r="I5820" t="s">
        <v>5191</v>
      </c>
      <c r="J5820">
        <v>5</v>
      </c>
      <c r="K5820" t="s">
        <v>4744</v>
      </c>
      <c r="L5820">
        <v>30</v>
      </c>
      <c r="M5820">
        <v>6</v>
      </c>
      <c r="N5820" t="s">
        <v>5191</v>
      </c>
      <c r="O5820" t="s">
        <v>458</v>
      </c>
    </row>
    <row r="5821" spans="1:15" x14ac:dyDescent="0.3">
      <c r="A5821">
        <v>183330</v>
      </c>
      <c r="B5821">
        <v>105</v>
      </c>
      <c r="C5821" t="s">
        <v>557</v>
      </c>
      <c r="D5821" t="s">
        <v>2581</v>
      </c>
      <c r="E5821" t="s">
        <v>3851</v>
      </c>
      <c r="F5821" s="451">
        <v>46000</v>
      </c>
      <c r="G5821">
        <v>24083</v>
      </c>
      <c r="H5821" t="s">
        <v>5165</v>
      </c>
      <c r="I5821" t="s">
        <v>5191</v>
      </c>
      <c r="J5821">
        <v>60</v>
      </c>
      <c r="K5821" t="s">
        <v>4744</v>
      </c>
      <c r="L5821">
        <v>237</v>
      </c>
      <c r="M5821">
        <v>3.95</v>
      </c>
      <c r="N5821" t="s">
        <v>5191</v>
      </c>
      <c r="O5821" t="s">
        <v>458</v>
      </c>
    </row>
    <row r="5822" spans="1:15" x14ac:dyDescent="0.3">
      <c r="A5822">
        <v>183330</v>
      </c>
      <c r="B5822">
        <v>105</v>
      </c>
      <c r="C5822" t="s">
        <v>557</v>
      </c>
      <c r="D5822" t="s">
        <v>2581</v>
      </c>
      <c r="E5822" t="s">
        <v>3851</v>
      </c>
      <c r="F5822" s="451">
        <v>46000</v>
      </c>
      <c r="G5822">
        <v>19502</v>
      </c>
      <c r="H5822" t="s">
        <v>4871</v>
      </c>
      <c r="I5822" t="s">
        <v>5191</v>
      </c>
      <c r="J5822">
        <v>4</v>
      </c>
      <c r="K5822" t="s">
        <v>4744</v>
      </c>
      <c r="L5822">
        <v>34</v>
      </c>
      <c r="M5822">
        <v>8.5</v>
      </c>
      <c r="N5822" t="s">
        <v>5191</v>
      </c>
      <c r="O5822" t="s">
        <v>458</v>
      </c>
    </row>
    <row r="5823" spans="1:15" x14ac:dyDescent="0.3">
      <c r="A5823">
        <v>183330</v>
      </c>
      <c r="B5823">
        <v>105</v>
      </c>
      <c r="C5823" t="s">
        <v>557</v>
      </c>
      <c r="D5823" t="s">
        <v>2581</v>
      </c>
      <c r="E5823" t="s">
        <v>3851</v>
      </c>
      <c r="F5823" s="451">
        <v>46000</v>
      </c>
      <c r="G5823">
        <v>19752</v>
      </c>
      <c r="H5823" t="s">
        <v>4807</v>
      </c>
      <c r="I5823" t="s">
        <v>5191</v>
      </c>
      <c r="J5823">
        <v>4</v>
      </c>
      <c r="K5823" t="s">
        <v>4744</v>
      </c>
      <c r="L5823">
        <v>52</v>
      </c>
      <c r="M5823">
        <v>13</v>
      </c>
      <c r="N5823" t="s">
        <v>5191</v>
      </c>
      <c r="O5823" t="s">
        <v>458</v>
      </c>
    </row>
    <row r="5824" spans="1:15" x14ac:dyDescent="0.3">
      <c r="A5824">
        <v>183330</v>
      </c>
      <c r="B5824">
        <v>105</v>
      </c>
      <c r="C5824" t="s">
        <v>557</v>
      </c>
      <c r="D5824" t="s">
        <v>2581</v>
      </c>
      <c r="E5824" t="s">
        <v>3851</v>
      </c>
      <c r="F5824" s="451">
        <v>46000</v>
      </c>
      <c r="G5824">
        <v>19617</v>
      </c>
      <c r="H5824" t="s">
        <v>5071</v>
      </c>
      <c r="I5824" t="s">
        <v>5191</v>
      </c>
      <c r="J5824">
        <v>0.4</v>
      </c>
      <c r="K5824" t="s">
        <v>4744</v>
      </c>
      <c r="L5824">
        <v>7.2</v>
      </c>
      <c r="M5824">
        <v>18</v>
      </c>
      <c r="N5824" t="s">
        <v>5191</v>
      </c>
      <c r="O5824" t="s">
        <v>458</v>
      </c>
    </row>
    <row r="5825" spans="1:15" x14ac:dyDescent="0.3">
      <c r="A5825">
        <v>183330</v>
      </c>
      <c r="B5825">
        <v>105</v>
      </c>
      <c r="C5825" t="s">
        <v>557</v>
      </c>
      <c r="D5825" t="s">
        <v>2581</v>
      </c>
      <c r="E5825" t="s">
        <v>3851</v>
      </c>
      <c r="F5825" s="451">
        <v>46000</v>
      </c>
      <c r="G5825">
        <v>23361</v>
      </c>
      <c r="H5825" t="s">
        <v>4754</v>
      </c>
      <c r="I5825" t="s">
        <v>5191</v>
      </c>
      <c r="J5825">
        <v>40</v>
      </c>
      <c r="K5825" t="s">
        <v>4744</v>
      </c>
      <c r="L5825">
        <v>124</v>
      </c>
      <c r="M5825">
        <v>3.1</v>
      </c>
      <c r="N5825" t="s">
        <v>5191</v>
      </c>
      <c r="O5825" t="s">
        <v>458</v>
      </c>
    </row>
    <row r="5826" spans="1:15" x14ac:dyDescent="0.3">
      <c r="A5826">
        <v>183330</v>
      </c>
      <c r="B5826">
        <v>105</v>
      </c>
      <c r="C5826" t="s">
        <v>557</v>
      </c>
      <c r="D5826" t="s">
        <v>2581</v>
      </c>
      <c r="E5826" t="s">
        <v>3851</v>
      </c>
      <c r="F5826" s="451">
        <v>46000</v>
      </c>
      <c r="G5826">
        <v>23359</v>
      </c>
      <c r="H5826" t="s">
        <v>4767</v>
      </c>
      <c r="I5826" t="s">
        <v>5191</v>
      </c>
      <c r="J5826">
        <v>15</v>
      </c>
      <c r="K5826" t="s">
        <v>4744</v>
      </c>
      <c r="L5826">
        <v>51</v>
      </c>
      <c r="M5826">
        <v>3.4</v>
      </c>
      <c r="N5826" t="s">
        <v>5191</v>
      </c>
      <c r="O5826" t="s">
        <v>458</v>
      </c>
    </row>
    <row r="5827" spans="1:15" x14ac:dyDescent="0.3">
      <c r="A5827">
        <v>183330</v>
      </c>
      <c r="B5827">
        <v>105</v>
      </c>
      <c r="C5827" t="s">
        <v>557</v>
      </c>
      <c r="D5827" t="s">
        <v>2581</v>
      </c>
      <c r="E5827" t="s">
        <v>3851</v>
      </c>
      <c r="F5827" s="451">
        <v>46000</v>
      </c>
      <c r="G5827">
        <v>23095</v>
      </c>
      <c r="H5827" t="s">
        <v>4741</v>
      </c>
      <c r="I5827" t="s">
        <v>5191</v>
      </c>
      <c r="J5827">
        <v>30</v>
      </c>
      <c r="K5827" t="s">
        <v>4736</v>
      </c>
      <c r="L5827">
        <v>28.2</v>
      </c>
      <c r="M5827">
        <v>0.94</v>
      </c>
      <c r="N5827" t="s">
        <v>5191</v>
      </c>
      <c r="O5827" t="s">
        <v>458</v>
      </c>
    </row>
    <row r="5828" spans="1:15" x14ac:dyDescent="0.3">
      <c r="A5828">
        <v>183330</v>
      </c>
      <c r="B5828">
        <v>105</v>
      </c>
      <c r="C5828" t="s">
        <v>557</v>
      </c>
      <c r="D5828" t="s">
        <v>2581</v>
      </c>
      <c r="E5828" t="s">
        <v>3851</v>
      </c>
      <c r="F5828" s="451">
        <v>46000</v>
      </c>
      <c r="G5828">
        <v>19532</v>
      </c>
      <c r="H5828" t="s">
        <v>4753</v>
      </c>
      <c r="I5828" t="s">
        <v>5191</v>
      </c>
      <c r="J5828">
        <v>10</v>
      </c>
      <c r="K5828" t="s">
        <v>4744</v>
      </c>
      <c r="L5828">
        <v>49</v>
      </c>
      <c r="M5828">
        <v>4.9000000000000004</v>
      </c>
      <c r="N5828" t="s">
        <v>5191</v>
      </c>
      <c r="O5828" t="s">
        <v>458</v>
      </c>
    </row>
    <row r="5829" spans="1:15" x14ac:dyDescent="0.3">
      <c r="A5829">
        <v>183329</v>
      </c>
      <c r="B5829">
        <v>105</v>
      </c>
      <c r="C5829" t="s">
        <v>557</v>
      </c>
      <c r="D5829" t="s">
        <v>2563</v>
      </c>
      <c r="E5829" t="s">
        <v>3852</v>
      </c>
      <c r="F5829" s="451">
        <v>46000</v>
      </c>
      <c r="G5829">
        <v>19621</v>
      </c>
      <c r="H5829" t="s">
        <v>4829</v>
      </c>
      <c r="I5829" t="s">
        <v>5191</v>
      </c>
      <c r="J5829">
        <v>3.5</v>
      </c>
      <c r="K5829" t="s">
        <v>4744</v>
      </c>
      <c r="L5829">
        <v>10.4</v>
      </c>
      <c r="M5829">
        <v>2.9714290000000001</v>
      </c>
      <c r="N5829" t="s">
        <v>5191</v>
      </c>
      <c r="O5829" t="s">
        <v>458</v>
      </c>
    </row>
    <row r="5830" spans="1:15" x14ac:dyDescent="0.3">
      <c r="A5830">
        <v>183329</v>
      </c>
      <c r="B5830">
        <v>105</v>
      </c>
      <c r="C5830" t="s">
        <v>557</v>
      </c>
      <c r="D5830" t="s">
        <v>2563</v>
      </c>
      <c r="E5830" t="s">
        <v>3852</v>
      </c>
      <c r="F5830" s="451">
        <v>46000</v>
      </c>
      <c r="G5830">
        <v>19507</v>
      </c>
      <c r="H5830" t="s">
        <v>4853</v>
      </c>
      <c r="I5830" t="s">
        <v>5191</v>
      </c>
      <c r="J5830">
        <v>1.2</v>
      </c>
      <c r="K5830" t="s">
        <v>4744</v>
      </c>
      <c r="L5830">
        <v>11.75</v>
      </c>
      <c r="M5830">
        <v>9.7916670000000003</v>
      </c>
      <c r="N5830" t="s">
        <v>5191</v>
      </c>
      <c r="O5830" t="s">
        <v>458</v>
      </c>
    </row>
    <row r="5831" spans="1:15" x14ac:dyDescent="0.3">
      <c r="A5831">
        <v>183329</v>
      </c>
      <c r="B5831">
        <v>105</v>
      </c>
      <c r="C5831" t="s">
        <v>557</v>
      </c>
      <c r="D5831" t="s">
        <v>2563</v>
      </c>
      <c r="E5831" t="s">
        <v>3852</v>
      </c>
      <c r="F5831" s="451">
        <v>46000</v>
      </c>
      <c r="G5831">
        <v>23346</v>
      </c>
      <c r="H5831" t="s">
        <v>4916</v>
      </c>
      <c r="I5831" t="s">
        <v>5191</v>
      </c>
      <c r="J5831">
        <v>2</v>
      </c>
      <c r="K5831" t="s">
        <v>4744</v>
      </c>
      <c r="L5831">
        <v>13.2</v>
      </c>
      <c r="M5831">
        <v>6.6</v>
      </c>
      <c r="N5831" t="s">
        <v>5191</v>
      </c>
      <c r="O5831" t="s">
        <v>458</v>
      </c>
    </row>
    <row r="5832" spans="1:15" x14ac:dyDescent="0.3">
      <c r="A5832">
        <v>183329</v>
      </c>
      <c r="B5832">
        <v>105</v>
      </c>
      <c r="C5832" t="s">
        <v>557</v>
      </c>
      <c r="D5832" t="s">
        <v>2563</v>
      </c>
      <c r="E5832" t="s">
        <v>3852</v>
      </c>
      <c r="F5832" s="451">
        <v>46000</v>
      </c>
      <c r="G5832">
        <v>19539</v>
      </c>
      <c r="H5832" t="s">
        <v>5424</v>
      </c>
      <c r="I5832" t="s">
        <v>5191</v>
      </c>
      <c r="J5832">
        <v>15</v>
      </c>
      <c r="K5832" t="s">
        <v>4744</v>
      </c>
      <c r="L5832">
        <v>63.15</v>
      </c>
      <c r="M5832">
        <v>4.21</v>
      </c>
      <c r="N5832" t="s">
        <v>5191</v>
      </c>
      <c r="O5832" t="s">
        <v>458</v>
      </c>
    </row>
    <row r="5833" spans="1:15" x14ac:dyDescent="0.3">
      <c r="A5833">
        <v>183327</v>
      </c>
      <c r="B5833">
        <v>105</v>
      </c>
      <c r="C5833" t="s">
        <v>557</v>
      </c>
      <c r="D5833" t="s">
        <v>2690</v>
      </c>
      <c r="E5833" t="s">
        <v>3853</v>
      </c>
      <c r="F5833" s="451">
        <v>46000</v>
      </c>
      <c r="G5833">
        <v>18518</v>
      </c>
      <c r="H5833" t="s">
        <v>4838</v>
      </c>
      <c r="I5833" t="s">
        <v>5222</v>
      </c>
      <c r="J5833">
        <v>5</v>
      </c>
      <c r="K5833" t="s">
        <v>4805</v>
      </c>
      <c r="L5833">
        <v>250.15</v>
      </c>
      <c r="M5833">
        <v>50.03</v>
      </c>
      <c r="N5833" t="s">
        <v>5222</v>
      </c>
      <c r="O5833" t="s">
        <v>458</v>
      </c>
    </row>
    <row r="5834" spans="1:15" x14ac:dyDescent="0.3">
      <c r="A5834">
        <v>183327</v>
      </c>
      <c r="B5834">
        <v>105</v>
      </c>
      <c r="C5834" t="s">
        <v>557</v>
      </c>
      <c r="D5834" t="s">
        <v>2690</v>
      </c>
      <c r="E5834" t="s">
        <v>3853</v>
      </c>
      <c r="F5834" s="451">
        <v>46000</v>
      </c>
      <c r="G5834">
        <v>18293</v>
      </c>
      <c r="H5834" t="s">
        <v>5034</v>
      </c>
      <c r="I5834" t="s">
        <v>5222</v>
      </c>
      <c r="J5834">
        <v>1</v>
      </c>
      <c r="K5834" t="s">
        <v>4805</v>
      </c>
      <c r="L5834">
        <v>110.8</v>
      </c>
      <c r="M5834">
        <v>110.8</v>
      </c>
      <c r="N5834" t="s">
        <v>5222</v>
      </c>
      <c r="O5834" t="s">
        <v>458</v>
      </c>
    </row>
    <row r="5835" spans="1:15" x14ac:dyDescent="0.3">
      <c r="A5835">
        <v>183327</v>
      </c>
      <c r="B5835">
        <v>105</v>
      </c>
      <c r="C5835" t="s">
        <v>557</v>
      </c>
      <c r="D5835" t="s">
        <v>2690</v>
      </c>
      <c r="E5835" t="s">
        <v>3853</v>
      </c>
      <c r="F5835" s="451">
        <v>46000</v>
      </c>
      <c r="G5835">
        <v>18423</v>
      </c>
      <c r="H5835" t="s">
        <v>4987</v>
      </c>
      <c r="I5835" t="s">
        <v>5222</v>
      </c>
      <c r="J5835">
        <v>1</v>
      </c>
      <c r="K5835" t="s">
        <v>4805</v>
      </c>
      <c r="L5835">
        <v>39.21</v>
      </c>
      <c r="M5835">
        <v>39.21</v>
      </c>
      <c r="N5835" t="s">
        <v>5222</v>
      </c>
      <c r="O5835" t="s">
        <v>458</v>
      </c>
    </row>
    <row r="5836" spans="1:15" x14ac:dyDescent="0.3">
      <c r="A5836">
        <v>183327</v>
      </c>
      <c r="B5836">
        <v>105</v>
      </c>
      <c r="C5836" t="s">
        <v>557</v>
      </c>
      <c r="D5836" t="s">
        <v>2690</v>
      </c>
      <c r="E5836" t="s">
        <v>3853</v>
      </c>
      <c r="F5836" s="451">
        <v>46000</v>
      </c>
      <c r="G5836">
        <v>18253</v>
      </c>
      <c r="H5836" t="s">
        <v>4969</v>
      </c>
      <c r="I5836" t="s">
        <v>5222</v>
      </c>
      <c r="J5836">
        <v>5</v>
      </c>
      <c r="K5836" t="s">
        <v>4805</v>
      </c>
      <c r="L5836">
        <v>142.75</v>
      </c>
      <c r="M5836">
        <v>28.55</v>
      </c>
      <c r="N5836" t="s">
        <v>5222</v>
      </c>
      <c r="O5836" t="s">
        <v>458</v>
      </c>
    </row>
    <row r="5837" spans="1:15" x14ac:dyDescent="0.3">
      <c r="A5837">
        <v>183326</v>
      </c>
      <c r="B5837">
        <v>105</v>
      </c>
      <c r="C5837" t="s">
        <v>557</v>
      </c>
      <c r="D5837" t="s">
        <v>3723</v>
      </c>
      <c r="E5837" t="s">
        <v>3854</v>
      </c>
      <c r="F5837" s="451">
        <v>46000</v>
      </c>
      <c r="G5837">
        <v>19634</v>
      </c>
      <c r="H5837" t="s">
        <v>4792</v>
      </c>
      <c r="I5837" t="s">
        <v>5191</v>
      </c>
      <c r="J5837">
        <v>2</v>
      </c>
      <c r="K5837" t="s">
        <v>4744</v>
      </c>
      <c r="L5837">
        <v>10</v>
      </c>
      <c r="M5837">
        <v>5</v>
      </c>
      <c r="N5837" t="s">
        <v>5272</v>
      </c>
      <c r="O5837" t="s">
        <v>458</v>
      </c>
    </row>
    <row r="5838" spans="1:15" x14ac:dyDescent="0.3">
      <c r="A5838">
        <v>183326</v>
      </c>
      <c r="B5838">
        <v>105</v>
      </c>
      <c r="C5838" t="s">
        <v>557</v>
      </c>
      <c r="D5838" t="s">
        <v>3723</v>
      </c>
      <c r="E5838" t="s">
        <v>3854</v>
      </c>
      <c r="F5838" s="451">
        <v>46000</v>
      </c>
      <c r="G5838">
        <v>19654</v>
      </c>
      <c r="H5838" t="s">
        <v>5099</v>
      </c>
      <c r="I5838" t="s">
        <v>5191</v>
      </c>
      <c r="J5838">
        <v>2</v>
      </c>
      <c r="K5838" t="s">
        <v>4744</v>
      </c>
      <c r="L5838">
        <v>3</v>
      </c>
      <c r="M5838">
        <v>1.5</v>
      </c>
      <c r="N5838" t="s">
        <v>5272</v>
      </c>
      <c r="O5838" t="s">
        <v>458</v>
      </c>
    </row>
    <row r="5839" spans="1:15" x14ac:dyDescent="0.3">
      <c r="A5839">
        <v>183326</v>
      </c>
      <c r="B5839">
        <v>105</v>
      </c>
      <c r="C5839" t="s">
        <v>557</v>
      </c>
      <c r="D5839" t="s">
        <v>3723</v>
      </c>
      <c r="E5839" t="s">
        <v>3854</v>
      </c>
      <c r="F5839" s="451">
        <v>46000</v>
      </c>
      <c r="G5839">
        <v>19562</v>
      </c>
      <c r="H5839" t="s">
        <v>4939</v>
      </c>
      <c r="I5839" t="s">
        <v>5191</v>
      </c>
      <c r="J5839">
        <v>0.5</v>
      </c>
      <c r="K5839" t="s">
        <v>4744</v>
      </c>
      <c r="L5839">
        <v>7.5</v>
      </c>
      <c r="M5839">
        <v>15</v>
      </c>
      <c r="N5839" t="s">
        <v>5272</v>
      </c>
      <c r="O5839" t="s">
        <v>458</v>
      </c>
    </row>
    <row r="5840" spans="1:15" x14ac:dyDescent="0.3">
      <c r="A5840">
        <v>183326</v>
      </c>
      <c r="B5840">
        <v>105</v>
      </c>
      <c r="C5840" t="s">
        <v>557</v>
      </c>
      <c r="D5840" t="s">
        <v>3723</v>
      </c>
      <c r="E5840" t="s">
        <v>3854</v>
      </c>
      <c r="F5840" s="451">
        <v>46000</v>
      </c>
      <c r="G5840">
        <v>19734</v>
      </c>
      <c r="H5840" t="s">
        <v>4833</v>
      </c>
      <c r="I5840" t="s">
        <v>5191</v>
      </c>
      <c r="J5840">
        <v>8</v>
      </c>
      <c r="K5840" t="s">
        <v>4744</v>
      </c>
      <c r="L5840">
        <v>110</v>
      </c>
      <c r="M5840">
        <v>13.75</v>
      </c>
      <c r="N5840" t="s">
        <v>5272</v>
      </c>
      <c r="O5840" t="s">
        <v>458</v>
      </c>
    </row>
    <row r="5841" spans="1:15" x14ac:dyDescent="0.3">
      <c r="A5841">
        <v>183326</v>
      </c>
      <c r="B5841">
        <v>105</v>
      </c>
      <c r="C5841" t="s">
        <v>557</v>
      </c>
      <c r="D5841" t="s">
        <v>3723</v>
      </c>
      <c r="E5841" t="s">
        <v>3854</v>
      </c>
      <c r="F5841" s="451">
        <v>46000</v>
      </c>
      <c r="G5841">
        <v>19751</v>
      </c>
      <c r="H5841" t="s">
        <v>4800</v>
      </c>
      <c r="I5841" t="s">
        <v>5191</v>
      </c>
      <c r="J5841">
        <v>3</v>
      </c>
      <c r="K5841" t="s">
        <v>4744</v>
      </c>
      <c r="L5841">
        <v>32.25</v>
      </c>
      <c r="M5841">
        <v>10.75</v>
      </c>
      <c r="N5841" t="s">
        <v>5272</v>
      </c>
      <c r="O5841" t="s">
        <v>458</v>
      </c>
    </row>
    <row r="5842" spans="1:15" x14ac:dyDescent="0.3">
      <c r="A5842">
        <v>183326</v>
      </c>
      <c r="B5842">
        <v>105</v>
      </c>
      <c r="C5842" t="s">
        <v>557</v>
      </c>
      <c r="D5842" t="s">
        <v>3723</v>
      </c>
      <c r="E5842" t="s">
        <v>3854</v>
      </c>
      <c r="F5842" s="451">
        <v>46000</v>
      </c>
      <c r="G5842">
        <v>23198</v>
      </c>
      <c r="H5842" t="s">
        <v>4962</v>
      </c>
      <c r="I5842" t="s">
        <v>5191</v>
      </c>
      <c r="J5842">
        <v>0.5</v>
      </c>
      <c r="K5842" t="s">
        <v>4744</v>
      </c>
      <c r="L5842">
        <v>7.5</v>
      </c>
      <c r="M5842">
        <v>15</v>
      </c>
      <c r="N5842" t="s">
        <v>5272</v>
      </c>
      <c r="O5842" t="s">
        <v>458</v>
      </c>
    </row>
    <row r="5843" spans="1:15" x14ac:dyDescent="0.3">
      <c r="A5843">
        <v>183326</v>
      </c>
      <c r="B5843">
        <v>105</v>
      </c>
      <c r="C5843" t="s">
        <v>557</v>
      </c>
      <c r="D5843" t="s">
        <v>3723</v>
      </c>
      <c r="E5843" t="s">
        <v>3854</v>
      </c>
      <c r="F5843" s="451">
        <v>46000</v>
      </c>
      <c r="G5843">
        <v>23385</v>
      </c>
      <c r="H5843" t="s">
        <v>4938</v>
      </c>
      <c r="I5843" t="s">
        <v>5191</v>
      </c>
      <c r="J5843">
        <v>1.5</v>
      </c>
      <c r="K5843" t="s">
        <v>4744</v>
      </c>
      <c r="L5843">
        <v>43.13</v>
      </c>
      <c r="M5843">
        <v>28.753333000000001</v>
      </c>
      <c r="N5843" t="s">
        <v>5272</v>
      </c>
      <c r="O5843" t="s">
        <v>458</v>
      </c>
    </row>
    <row r="5844" spans="1:15" x14ac:dyDescent="0.3">
      <c r="A5844">
        <v>183326</v>
      </c>
      <c r="B5844">
        <v>105</v>
      </c>
      <c r="C5844" t="s">
        <v>557</v>
      </c>
      <c r="D5844" t="s">
        <v>3723</v>
      </c>
      <c r="E5844" t="s">
        <v>3854</v>
      </c>
      <c r="F5844" s="451">
        <v>46000</v>
      </c>
      <c r="G5844">
        <v>23389</v>
      </c>
      <c r="H5844" t="s">
        <v>4960</v>
      </c>
      <c r="I5844" t="s">
        <v>5191</v>
      </c>
      <c r="J5844">
        <v>2</v>
      </c>
      <c r="K5844" t="s">
        <v>4744</v>
      </c>
      <c r="L5844">
        <v>14</v>
      </c>
      <c r="M5844">
        <v>7</v>
      </c>
      <c r="N5844" t="s">
        <v>5272</v>
      </c>
      <c r="O5844" t="s">
        <v>458</v>
      </c>
    </row>
    <row r="5845" spans="1:15" x14ac:dyDescent="0.3">
      <c r="A5845">
        <v>183326</v>
      </c>
      <c r="B5845">
        <v>105</v>
      </c>
      <c r="C5845" t="s">
        <v>557</v>
      </c>
      <c r="D5845" t="s">
        <v>3723</v>
      </c>
      <c r="E5845" t="s">
        <v>3854</v>
      </c>
      <c r="F5845" s="451">
        <v>46000</v>
      </c>
      <c r="G5845">
        <v>23184</v>
      </c>
      <c r="H5845" t="s">
        <v>4935</v>
      </c>
      <c r="I5845" t="s">
        <v>5191</v>
      </c>
      <c r="J5845">
        <v>2</v>
      </c>
      <c r="K5845" t="s">
        <v>4744</v>
      </c>
      <c r="L5845">
        <v>15</v>
      </c>
      <c r="M5845">
        <v>7.5</v>
      </c>
      <c r="N5845" t="s">
        <v>5272</v>
      </c>
      <c r="O5845" t="s">
        <v>458</v>
      </c>
    </row>
    <row r="5846" spans="1:15" x14ac:dyDescent="0.3">
      <c r="A5846">
        <v>183326</v>
      </c>
      <c r="B5846">
        <v>105</v>
      </c>
      <c r="C5846" t="s">
        <v>557</v>
      </c>
      <c r="D5846" t="s">
        <v>3723</v>
      </c>
      <c r="E5846" t="s">
        <v>3854</v>
      </c>
      <c r="F5846" s="451">
        <v>46000</v>
      </c>
      <c r="G5846">
        <v>19472</v>
      </c>
      <c r="H5846" t="s">
        <v>4906</v>
      </c>
      <c r="I5846" t="s">
        <v>5191</v>
      </c>
      <c r="J5846">
        <v>1</v>
      </c>
      <c r="K5846" t="s">
        <v>4744</v>
      </c>
      <c r="L5846">
        <v>14.06</v>
      </c>
      <c r="M5846">
        <v>14.06</v>
      </c>
      <c r="N5846" t="s">
        <v>5272</v>
      </c>
      <c r="O5846" t="s">
        <v>458</v>
      </c>
    </row>
    <row r="5847" spans="1:15" x14ac:dyDescent="0.3">
      <c r="A5847">
        <v>183325</v>
      </c>
      <c r="B5847">
        <v>105</v>
      </c>
      <c r="C5847" t="s">
        <v>557</v>
      </c>
      <c r="D5847" t="s">
        <v>3462</v>
      </c>
      <c r="E5847" t="s">
        <v>3855</v>
      </c>
      <c r="F5847" s="451">
        <v>46000</v>
      </c>
      <c r="G5847">
        <v>17532</v>
      </c>
      <c r="H5847" t="s">
        <v>5259</v>
      </c>
      <c r="I5847" t="s">
        <v>5188</v>
      </c>
      <c r="J5847">
        <v>1</v>
      </c>
      <c r="K5847" t="s">
        <v>4749</v>
      </c>
      <c r="L5847">
        <v>100</v>
      </c>
      <c r="M5847">
        <v>100</v>
      </c>
      <c r="N5847" t="s">
        <v>5277</v>
      </c>
      <c r="O5847" t="s">
        <v>458</v>
      </c>
    </row>
    <row r="5848" spans="1:15" x14ac:dyDescent="0.3">
      <c r="A5848">
        <v>183325</v>
      </c>
      <c r="B5848">
        <v>105</v>
      </c>
      <c r="C5848" t="s">
        <v>557</v>
      </c>
      <c r="D5848" t="s">
        <v>3462</v>
      </c>
      <c r="E5848" t="s">
        <v>3855</v>
      </c>
      <c r="F5848" s="451">
        <v>46000</v>
      </c>
      <c r="G5848">
        <v>17341</v>
      </c>
      <c r="H5848" t="s">
        <v>5291</v>
      </c>
      <c r="I5848" t="s">
        <v>5188</v>
      </c>
      <c r="J5848">
        <v>1</v>
      </c>
      <c r="K5848" t="s">
        <v>4888</v>
      </c>
      <c r="L5848">
        <v>62.9</v>
      </c>
      <c r="M5848">
        <v>62.9</v>
      </c>
      <c r="N5848" t="s">
        <v>5277</v>
      </c>
      <c r="O5848" t="s">
        <v>458</v>
      </c>
    </row>
    <row r="5849" spans="1:15" x14ac:dyDescent="0.3">
      <c r="A5849">
        <v>183325</v>
      </c>
      <c r="B5849">
        <v>105</v>
      </c>
      <c r="C5849" t="s">
        <v>557</v>
      </c>
      <c r="D5849" t="s">
        <v>3462</v>
      </c>
      <c r="E5849" t="s">
        <v>3855</v>
      </c>
      <c r="F5849" s="451">
        <v>46000</v>
      </c>
      <c r="G5849">
        <v>17196</v>
      </c>
      <c r="H5849" t="s">
        <v>5258</v>
      </c>
      <c r="I5849" t="s">
        <v>5188</v>
      </c>
      <c r="J5849">
        <v>1</v>
      </c>
      <c r="K5849" t="s">
        <v>4738</v>
      </c>
      <c r="L5849">
        <v>6.35</v>
      </c>
      <c r="M5849">
        <v>6.35</v>
      </c>
      <c r="N5849" t="s">
        <v>5277</v>
      </c>
      <c r="O5849" t="s">
        <v>458</v>
      </c>
    </row>
    <row r="5850" spans="1:15" x14ac:dyDescent="0.3">
      <c r="A5850">
        <v>183325</v>
      </c>
      <c r="B5850">
        <v>105</v>
      </c>
      <c r="C5850" t="s">
        <v>557</v>
      </c>
      <c r="D5850" t="s">
        <v>3462</v>
      </c>
      <c r="E5850" t="s">
        <v>3855</v>
      </c>
      <c r="F5850" s="451">
        <v>46000</v>
      </c>
      <c r="G5850">
        <v>21783</v>
      </c>
      <c r="H5850" t="s">
        <v>5210</v>
      </c>
      <c r="I5850" t="s">
        <v>5205</v>
      </c>
      <c r="J5850">
        <v>1</v>
      </c>
      <c r="K5850" t="s">
        <v>4736</v>
      </c>
      <c r="L5850">
        <v>10.68</v>
      </c>
      <c r="M5850">
        <v>10.68</v>
      </c>
      <c r="N5850" t="s">
        <v>5277</v>
      </c>
      <c r="O5850" t="s">
        <v>458</v>
      </c>
    </row>
    <row r="5851" spans="1:15" x14ac:dyDescent="0.3">
      <c r="A5851">
        <v>183325</v>
      </c>
      <c r="B5851">
        <v>105</v>
      </c>
      <c r="C5851" t="s">
        <v>557</v>
      </c>
      <c r="D5851" t="s">
        <v>3462</v>
      </c>
      <c r="E5851" t="s">
        <v>3855</v>
      </c>
      <c r="F5851" s="451">
        <v>46000</v>
      </c>
      <c r="G5851">
        <v>17381</v>
      </c>
      <c r="H5851" t="s">
        <v>5262</v>
      </c>
      <c r="I5851" t="s">
        <v>5188</v>
      </c>
      <c r="J5851">
        <v>2</v>
      </c>
      <c r="K5851" t="s">
        <v>4736</v>
      </c>
      <c r="L5851">
        <v>65.8</v>
      </c>
      <c r="M5851">
        <v>32.9</v>
      </c>
      <c r="N5851" t="s">
        <v>5277</v>
      </c>
      <c r="O5851" t="s">
        <v>458</v>
      </c>
    </row>
    <row r="5852" spans="1:15" x14ac:dyDescent="0.3">
      <c r="A5852">
        <v>183325</v>
      </c>
      <c r="B5852">
        <v>105</v>
      </c>
      <c r="C5852" t="s">
        <v>557</v>
      </c>
      <c r="D5852" t="s">
        <v>3462</v>
      </c>
      <c r="E5852" t="s">
        <v>3855</v>
      </c>
      <c r="F5852" s="451">
        <v>46000</v>
      </c>
      <c r="G5852">
        <v>17533</v>
      </c>
      <c r="H5852" t="s">
        <v>5373</v>
      </c>
      <c r="I5852" t="s">
        <v>5188</v>
      </c>
      <c r="J5852">
        <v>2</v>
      </c>
      <c r="K5852" t="s">
        <v>4738</v>
      </c>
      <c r="L5852">
        <v>20.46</v>
      </c>
      <c r="M5852">
        <v>10.23</v>
      </c>
      <c r="N5852" t="s">
        <v>5277</v>
      </c>
      <c r="O5852" t="s">
        <v>458</v>
      </c>
    </row>
    <row r="5853" spans="1:15" x14ac:dyDescent="0.3">
      <c r="A5853">
        <v>183325</v>
      </c>
      <c r="B5853">
        <v>105</v>
      </c>
      <c r="C5853" t="s">
        <v>557</v>
      </c>
      <c r="D5853" t="s">
        <v>3462</v>
      </c>
      <c r="E5853" t="s">
        <v>3855</v>
      </c>
      <c r="F5853" s="451">
        <v>46000</v>
      </c>
      <c r="G5853">
        <v>17285</v>
      </c>
      <c r="H5853" t="s">
        <v>5347</v>
      </c>
      <c r="I5853" t="s">
        <v>5188</v>
      </c>
      <c r="J5853">
        <v>1</v>
      </c>
      <c r="K5853" t="s">
        <v>4848</v>
      </c>
      <c r="L5853">
        <v>34.5</v>
      </c>
      <c r="M5853">
        <v>34.5</v>
      </c>
      <c r="N5853" t="s">
        <v>5277</v>
      </c>
      <c r="O5853" t="s">
        <v>458</v>
      </c>
    </row>
    <row r="5854" spans="1:15" x14ac:dyDescent="0.3">
      <c r="A5854">
        <v>183325</v>
      </c>
      <c r="B5854">
        <v>105</v>
      </c>
      <c r="C5854" t="s">
        <v>557</v>
      </c>
      <c r="D5854" t="s">
        <v>3462</v>
      </c>
      <c r="E5854" t="s">
        <v>3855</v>
      </c>
      <c r="F5854" s="451">
        <v>46000</v>
      </c>
      <c r="G5854">
        <v>17518</v>
      </c>
      <c r="H5854" t="s">
        <v>5425</v>
      </c>
      <c r="I5854" t="s">
        <v>5188</v>
      </c>
      <c r="J5854">
        <v>2</v>
      </c>
      <c r="K5854" t="s">
        <v>5240</v>
      </c>
      <c r="L5854">
        <v>6.48</v>
      </c>
      <c r="M5854">
        <v>3.24</v>
      </c>
      <c r="N5854" t="s">
        <v>5277</v>
      </c>
      <c r="O5854" t="s">
        <v>458</v>
      </c>
    </row>
    <row r="5855" spans="1:15" x14ac:dyDescent="0.3">
      <c r="A5855">
        <v>183325</v>
      </c>
      <c r="B5855">
        <v>105</v>
      </c>
      <c r="C5855" t="s">
        <v>557</v>
      </c>
      <c r="D5855" t="s">
        <v>3462</v>
      </c>
      <c r="E5855" t="s">
        <v>3855</v>
      </c>
      <c r="F5855" s="451">
        <v>46000</v>
      </c>
      <c r="G5855">
        <v>21673</v>
      </c>
      <c r="H5855" t="s">
        <v>5426</v>
      </c>
      <c r="I5855" t="s">
        <v>5188</v>
      </c>
      <c r="J5855">
        <v>1</v>
      </c>
      <c r="K5855" t="s">
        <v>4736</v>
      </c>
      <c r="L5855">
        <v>18.899999999999999</v>
      </c>
      <c r="M5855">
        <v>18.899999999999999</v>
      </c>
      <c r="N5855" t="s">
        <v>5277</v>
      </c>
      <c r="O5855" t="s">
        <v>458</v>
      </c>
    </row>
    <row r="5856" spans="1:15" x14ac:dyDescent="0.3">
      <c r="A5856">
        <v>183324</v>
      </c>
      <c r="B5856">
        <v>105</v>
      </c>
      <c r="C5856" t="s">
        <v>557</v>
      </c>
      <c r="D5856" t="s">
        <v>2707</v>
      </c>
      <c r="E5856" t="s">
        <v>3856</v>
      </c>
      <c r="F5856" s="451">
        <v>45999</v>
      </c>
      <c r="G5856">
        <v>24081</v>
      </c>
      <c r="H5856" t="s">
        <v>4834</v>
      </c>
      <c r="I5856" t="s">
        <v>5191</v>
      </c>
      <c r="J5856">
        <v>10.5</v>
      </c>
      <c r="K5856" t="s">
        <v>4744</v>
      </c>
      <c r="L5856">
        <v>249.9</v>
      </c>
      <c r="M5856">
        <v>23.8</v>
      </c>
      <c r="N5856" t="s">
        <v>5272</v>
      </c>
      <c r="O5856" t="s">
        <v>458</v>
      </c>
    </row>
    <row r="5857" spans="1:15" x14ac:dyDescent="0.3">
      <c r="A5857">
        <v>183323</v>
      </c>
      <c r="B5857">
        <v>105</v>
      </c>
      <c r="C5857" t="s">
        <v>557</v>
      </c>
      <c r="D5857" t="s">
        <v>2581</v>
      </c>
      <c r="E5857" t="s">
        <v>3857</v>
      </c>
      <c r="F5857" s="451">
        <v>45996</v>
      </c>
      <c r="G5857">
        <v>23785</v>
      </c>
      <c r="H5857" t="s">
        <v>4858</v>
      </c>
      <c r="I5857" t="s">
        <v>5191</v>
      </c>
      <c r="J5857">
        <v>5</v>
      </c>
      <c r="K5857" t="s">
        <v>4744</v>
      </c>
      <c r="L5857">
        <v>170</v>
      </c>
      <c r="M5857">
        <v>34</v>
      </c>
      <c r="N5857" t="s">
        <v>5191</v>
      </c>
      <c r="O5857" t="s">
        <v>458</v>
      </c>
    </row>
    <row r="5858" spans="1:15" x14ac:dyDescent="0.3">
      <c r="A5858">
        <v>183322</v>
      </c>
      <c r="B5858">
        <v>105</v>
      </c>
      <c r="C5858" t="s">
        <v>557</v>
      </c>
      <c r="D5858" t="s">
        <v>2627</v>
      </c>
      <c r="E5858" t="s">
        <v>3858</v>
      </c>
      <c r="F5858" s="451">
        <v>45999</v>
      </c>
      <c r="G5858">
        <v>20809</v>
      </c>
      <c r="H5858" t="s">
        <v>4822</v>
      </c>
      <c r="I5858" t="s">
        <v>5191</v>
      </c>
      <c r="J5858">
        <v>4</v>
      </c>
      <c r="K5858" t="s">
        <v>4738</v>
      </c>
      <c r="L5858">
        <v>291.2</v>
      </c>
      <c r="M5858">
        <v>72.8</v>
      </c>
      <c r="N5858" t="s">
        <v>5272</v>
      </c>
      <c r="O5858" t="s">
        <v>458</v>
      </c>
    </row>
    <row r="5859" spans="1:15" x14ac:dyDescent="0.3">
      <c r="A5859">
        <v>183322</v>
      </c>
      <c r="B5859">
        <v>105</v>
      </c>
      <c r="C5859" t="s">
        <v>557</v>
      </c>
      <c r="D5859" t="s">
        <v>2627</v>
      </c>
      <c r="E5859" t="s">
        <v>3858</v>
      </c>
      <c r="F5859" s="451">
        <v>45999</v>
      </c>
      <c r="G5859">
        <v>20644</v>
      </c>
      <c r="H5859" t="s">
        <v>5016</v>
      </c>
      <c r="I5859" t="s">
        <v>5191</v>
      </c>
      <c r="J5859">
        <v>3</v>
      </c>
      <c r="K5859" t="s">
        <v>4736</v>
      </c>
      <c r="L5859">
        <v>10.199999999999999</v>
      </c>
      <c r="M5859">
        <v>3.4</v>
      </c>
      <c r="N5859" t="s">
        <v>5272</v>
      </c>
      <c r="O5859" t="s">
        <v>458</v>
      </c>
    </row>
    <row r="5860" spans="1:15" x14ac:dyDescent="0.3">
      <c r="A5860">
        <v>183322</v>
      </c>
      <c r="B5860">
        <v>105</v>
      </c>
      <c r="C5860" t="s">
        <v>557</v>
      </c>
      <c r="D5860" t="s">
        <v>2627</v>
      </c>
      <c r="E5860" t="s">
        <v>3858</v>
      </c>
      <c r="F5860" s="451">
        <v>45999</v>
      </c>
      <c r="G5860">
        <v>21093</v>
      </c>
      <c r="H5860" t="s">
        <v>4855</v>
      </c>
      <c r="I5860" t="s">
        <v>5191</v>
      </c>
      <c r="J5860">
        <v>20</v>
      </c>
      <c r="K5860" t="s">
        <v>4736</v>
      </c>
      <c r="L5860">
        <v>97</v>
      </c>
      <c r="M5860">
        <v>4.8499999999999996</v>
      </c>
      <c r="N5860" t="s">
        <v>5272</v>
      </c>
      <c r="O5860" t="s">
        <v>458</v>
      </c>
    </row>
    <row r="5861" spans="1:15" x14ac:dyDescent="0.3">
      <c r="A5861">
        <v>183322</v>
      </c>
      <c r="B5861">
        <v>105</v>
      </c>
      <c r="C5861" t="s">
        <v>557</v>
      </c>
      <c r="D5861" t="s">
        <v>2627</v>
      </c>
      <c r="E5861" t="s">
        <v>3858</v>
      </c>
      <c r="F5861" s="451">
        <v>45999</v>
      </c>
      <c r="G5861">
        <v>23515</v>
      </c>
      <c r="H5861" t="s">
        <v>4816</v>
      </c>
      <c r="I5861" t="s">
        <v>5191</v>
      </c>
      <c r="J5861">
        <v>5</v>
      </c>
      <c r="K5861" t="s">
        <v>4955</v>
      </c>
      <c r="L5861">
        <v>104</v>
      </c>
      <c r="M5861">
        <v>20.8</v>
      </c>
      <c r="N5861" t="s">
        <v>5272</v>
      </c>
      <c r="O5861" t="s">
        <v>458</v>
      </c>
    </row>
    <row r="5862" spans="1:15" x14ac:dyDescent="0.3">
      <c r="A5862">
        <v>183322</v>
      </c>
      <c r="B5862">
        <v>105</v>
      </c>
      <c r="C5862" t="s">
        <v>557</v>
      </c>
      <c r="D5862" t="s">
        <v>2627</v>
      </c>
      <c r="E5862" t="s">
        <v>3858</v>
      </c>
      <c r="F5862" s="451">
        <v>45999</v>
      </c>
      <c r="G5862">
        <v>20984</v>
      </c>
      <c r="H5862" t="s">
        <v>5133</v>
      </c>
      <c r="I5862" t="s">
        <v>5191</v>
      </c>
      <c r="J5862">
        <v>20</v>
      </c>
      <c r="K5862" t="s">
        <v>4888</v>
      </c>
      <c r="L5862">
        <v>177.4</v>
      </c>
      <c r="M5862">
        <v>8.8699999999999992</v>
      </c>
      <c r="N5862" t="s">
        <v>5272</v>
      </c>
      <c r="O5862" t="s">
        <v>458</v>
      </c>
    </row>
    <row r="5863" spans="1:15" x14ac:dyDescent="0.3">
      <c r="A5863">
        <v>183322</v>
      </c>
      <c r="B5863">
        <v>105</v>
      </c>
      <c r="C5863" t="s">
        <v>557</v>
      </c>
      <c r="D5863" t="s">
        <v>2627</v>
      </c>
      <c r="E5863" t="s">
        <v>3858</v>
      </c>
      <c r="F5863" s="451">
        <v>45999</v>
      </c>
      <c r="G5863">
        <v>19906</v>
      </c>
      <c r="H5863" t="s">
        <v>5159</v>
      </c>
      <c r="I5863" t="s">
        <v>5191</v>
      </c>
      <c r="J5863">
        <v>1</v>
      </c>
      <c r="K5863" t="s">
        <v>4738</v>
      </c>
      <c r="L5863">
        <v>26</v>
      </c>
      <c r="M5863">
        <v>26</v>
      </c>
      <c r="N5863" t="s">
        <v>5272</v>
      </c>
      <c r="O5863" t="s">
        <v>458</v>
      </c>
    </row>
    <row r="5864" spans="1:15" x14ac:dyDescent="0.3">
      <c r="A5864">
        <v>183321</v>
      </c>
      <c r="B5864">
        <v>105</v>
      </c>
      <c r="C5864" t="s">
        <v>557</v>
      </c>
      <c r="D5864" t="s">
        <v>2605</v>
      </c>
      <c r="E5864" t="s">
        <v>3859</v>
      </c>
      <c r="F5864" s="451">
        <v>45996</v>
      </c>
      <c r="G5864">
        <v>20358</v>
      </c>
      <c r="H5864" t="s">
        <v>4911</v>
      </c>
      <c r="I5864" t="s">
        <v>5191</v>
      </c>
      <c r="J5864">
        <v>4</v>
      </c>
      <c r="K5864" t="s">
        <v>4738</v>
      </c>
      <c r="L5864">
        <v>57.2</v>
      </c>
      <c r="M5864">
        <v>14.3</v>
      </c>
      <c r="N5864" t="s">
        <v>5427</v>
      </c>
      <c r="O5864" t="s">
        <v>458</v>
      </c>
    </row>
    <row r="5865" spans="1:15" x14ac:dyDescent="0.3">
      <c r="A5865">
        <v>183321</v>
      </c>
      <c r="B5865">
        <v>105</v>
      </c>
      <c r="C5865" t="s">
        <v>557</v>
      </c>
      <c r="D5865" t="s">
        <v>2605</v>
      </c>
      <c r="E5865" t="s">
        <v>3859</v>
      </c>
      <c r="F5865" s="451">
        <v>45996</v>
      </c>
      <c r="G5865">
        <v>25358</v>
      </c>
      <c r="H5865" t="s">
        <v>4980</v>
      </c>
      <c r="I5865" t="s">
        <v>5191</v>
      </c>
      <c r="J5865">
        <v>1</v>
      </c>
      <c r="K5865" t="s">
        <v>5238</v>
      </c>
      <c r="L5865">
        <v>74.3</v>
      </c>
      <c r="M5865">
        <v>74.3</v>
      </c>
      <c r="N5865" t="s">
        <v>5427</v>
      </c>
      <c r="O5865" t="s">
        <v>458</v>
      </c>
    </row>
    <row r="5866" spans="1:15" x14ac:dyDescent="0.3">
      <c r="A5866">
        <v>183321</v>
      </c>
      <c r="B5866">
        <v>105</v>
      </c>
      <c r="C5866" t="s">
        <v>557</v>
      </c>
      <c r="D5866" t="s">
        <v>2605</v>
      </c>
      <c r="E5866" t="s">
        <v>3859</v>
      </c>
      <c r="F5866" s="451">
        <v>45996</v>
      </c>
      <c r="G5866">
        <v>20429</v>
      </c>
      <c r="H5866" t="s">
        <v>5317</v>
      </c>
      <c r="I5866" t="s">
        <v>5191</v>
      </c>
      <c r="J5866">
        <v>1</v>
      </c>
      <c r="K5866" t="s">
        <v>4749</v>
      </c>
      <c r="L5866">
        <v>19.600000000000001</v>
      </c>
      <c r="M5866">
        <v>19.600000000000001</v>
      </c>
      <c r="N5866" t="s">
        <v>5427</v>
      </c>
      <c r="O5866" t="s">
        <v>458</v>
      </c>
    </row>
    <row r="5867" spans="1:15" x14ac:dyDescent="0.3">
      <c r="A5867">
        <v>183321</v>
      </c>
      <c r="B5867">
        <v>105</v>
      </c>
      <c r="C5867" t="s">
        <v>557</v>
      </c>
      <c r="D5867" t="s">
        <v>2605</v>
      </c>
      <c r="E5867" t="s">
        <v>3859</v>
      </c>
      <c r="F5867" s="451">
        <v>45996</v>
      </c>
      <c r="G5867">
        <v>19306</v>
      </c>
      <c r="H5867" t="s">
        <v>5111</v>
      </c>
      <c r="I5867" t="s">
        <v>5191</v>
      </c>
      <c r="J5867">
        <v>3</v>
      </c>
      <c r="K5867" t="s">
        <v>5228</v>
      </c>
      <c r="L5867">
        <v>65.7</v>
      </c>
      <c r="M5867">
        <v>21.9</v>
      </c>
      <c r="N5867" t="s">
        <v>5427</v>
      </c>
      <c r="O5867" t="s">
        <v>458</v>
      </c>
    </row>
    <row r="5868" spans="1:15" x14ac:dyDescent="0.3">
      <c r="A5868">
        <v>183321</v>
      </c>
      <c r="B5868">
        <v>105</v>
      </c>
      <c r="C5868" t="s">
        <v>557</v>
      </c>
      <c r="D5868" t="s">
        <v>2605</v>
      </c>
      <c r="E5868" t="s">
        <v>3859</v>
      </c>
      <c r="F5868" s="451">
        <v>45996</v>
      </c>
      <c r="G5868">
        <v>19356</v>
      </c>
      <c r="H5868" t="s">
        <v>4799</v>
      </c>
      <c r="I5868" t="s">
        <v>5191</v>
      </c>
      <c r="J5868">
        <v>6.44</v>
      </c>
      <c r="K5868" t="s">
        <v>4744</v>
      </c>
      <c r="L5868">
        <v>357.42</v>
      </c>
      <c r="M5868">
        <v>55.5</v>
      </c>
      <c r="N5868" t="s">
        <v>5427</v>
      </c>
      <c r="O5868" t="s">
        <v>458</v>
      </c>
    </row>
    <row r="5869" spans="1:15" x14ac:dyDescent="0.3">
      <c r="A5869">
        <v>183321</v>
      </c>
      <c r="B5869">
        <v>105</v>
      </c>
      <c r="C5869" t="s">
        <v>557</v>
      </c>
      <c r="D5869" t="s">
        <v>2605</v>
      </c>
      <c r="E5869" t="s">
        <v>3859</v>
      </c>
      <c r="F5869" s="451">
        <v>45996</v>
      </c>
      <c r="G5869">
        <v>20794</v>
      </c>
      <c r="H5869" t="s">
        <v>5023</v>
      </c>
      <c r="I5869" t="s">
        <v>5191</v>
      </c>
      <c r="J5869">
        <v>1</v>
      </c>
      <c r="K5869" t="s">
        <v>5206</v>
      </c>
      <c r="L5869">
        <v>10.3</v>
      </c>
      <c r="M5869">
        <v>10.3</v>
      </c>
      <c r="N5869" t="s">
        <v>5427</v>
      </c>
      <c r="O5869" t="s">
        <v>458</v>
      </c>
    </row>
    <row r="5870" spans="1:15" x14ac:dyDescent="0.3">
      <c r="A5870">
        <v>183321</v>
      </c>
      <c r="B5870">
        <v>105</v>
      </c>
      <c r="C5870" t="s">
        <v>557</v>
      </c>
      <c r="D5870" t="s">
        <v>2605</v>
      </c>
      <c r="E5870" t="s">
        <v>3859</v>
      </c>
      <c r="F5870" s="451">
        <v>45996</v>
      </c>
      <c r="G5870">
        <v>19978</v>
      </c>
      <c r="H5870" t="s">
        <v>4887</v>
      </c>
      <c r="I5870" t="s">
        <v>5191</v>
      </c>
      <c r="J5870">
        <v>2</v>
      </c>
      <c r="K5870" t="s">
        <v>4736</v>
      </c>
      <c r="L5870">
        <v>36.200000000000003</v>
      </c>
      <c r="M5870">
        <v>18.100000000000001</v>
      </c>
      <c r="N5870" t="s">
        <v>5427</v>
      </c>
      <c r="O5870" t="s">
        <v>458</v>
      </c>
    </row>
    <row r="5871" spans="1:15" x14ac:dyDescent="0.3">
      <c r="A5871">
        <v>183321</v>
      </c>
      <c r="B5871">
        <v>105</v>
      </c>
      <c r="C5871" t="s">
        <v>557</v>
      </c>
      <c r="D5871" t="s">
        <v>2605</v>
      </c>
      <c r="E5871" t="s">
        <v>3859</v>
      </c>
      <c r="F5871" s="451">
        <v>45996</v>
      </c>
      <c r="G5871">
        <v>20007</v>
      </c>
      <c r="H5871" t="s">
        <v>5101</v>
      </c>
      <c r="I5871" t="s">
        <v>5191</v>
      </c>
      <c r="J5871">
        <v>2</v>
      </c>
      <c r="K5871" t="s">
        <v>4884</v>
      </c>
      <c r="L5871">
        <v>95.6</v>
      </c>
      <c r="M5871">
        <v>47.8</v>
      </c>
      <c r="N5871" t="s">
        <v>5427</v>
      </c>
      <c r="O5871" t="s">
        <v>458</v>
      </c>
    </row>
    <row r="5872" spans="1:15" x14ac:dyDescent="0.3">
      <c r="A5872">
        <v>183321</v>
      </c>
      <c r="B5872">
        <v>105</v>
      </c>
      <c r="C5872" t="s">
        <v>557</v>
      </c>
      <c r="D5872" t="s">
        <v>2605</v>
      </c>
      <c r="E5872" t="s">
        <v>3859</v>
      </c>
      <c r="F5872" s="451">
        <v>45996</v>
      </c>
      <c r="G5872">
        <v>19415</v>
      </c>
      <c r="H5872" t="s">
        <v>4919</v>
      </c>
      <c r="I5872" t="s">
        <v>5191</v>
      </c>
      <c r="J5872">
        <v>2</v>
      </c>
      <c r="K5872" t="s">
        <v>4736</v>
      </c>
      <c r="L5872">
        <v>15.8</v>
      </c>
      <c r="M5872">
        <v>7.9</v>
      </c>
      <c r="N5872" t="s">
        <v>5427</v>
      </c>
      <c r="O5872" t="s">
        <v>458</v>
      </c>
    </row>
    <row r="5873" spans="1:15" x14ac:dyDescent="0.3">
      <c r="A5873">
        <v>183321</v>
      </c>
      <c r="B5873">
        <v>105</v>
      </c>
      <c r="C5873" t="s">
        <v>557</v>
      </c>
      <c r="D5873" t="s">
        <v>2605</v>
      </c>
      <c r="E5873" t="s">
        <v>3859</v>
      </c>
      <c r="F5873" s="451">
        <v>45996</v>
      </c>
      <c r="G5873">
        <v>21047</v>
      </c>
      <c r="H5873" t="s">
        <v>4847</v>
      </c>
      <c r="I5873" t="s">
        <v>5191</v>
      </c>
      <c r="J5873">
        <v>2</v>
      </c>
      <c r="K5873" t="s">
        <v>4848</v>
      </c>
      <c r="L5873">
        <v>246.2</v>
      </c>
      <c r="M5873">
        <v>123.1</v>
      </c>
      <c r="N5873" t="s">
        <v>5427</v>
      </c>
      <c r="O5873" t="s">
        <v>458</v>
      </c>
    </row>
    <row r="5874" spans="1:15" x14ac:dyDescent="0.3">
      <c r="A5874">
        <v>183321</v>
      </c>
      <c r="B5874">
        <v>105</v>
      </c>
      <c r="C5874" t="s">
        <v>557</v>
      </c>
      <c r="D5874" t="s">
        <v>2605</v>
      </c>
      <c r="E5874" t="s">
        <v>3859</v>
      </c>
      <c r="F5874" s="451">
        <v>45996</v>
      </c>
      <c r="G5874">
        <v>19322</v>
      </c>
      <c r="H5874" t="s">
        <v>4830</v>
      </c>
      <c r="I5874" t="s">
        <v>5191</v>
      </c>
      <c r="J5874">
        <v>4.33</v>
      </c>
      <c r="K5874" t="s">
        <v>4744</v>
      </c>
      <c r="L5874">
        <v>179.69</v>
      </c>
      <c r="M5874">
        <v>41.498845000000003</v>
      </c>
      <c r="N5874" t="s">
        <v>5427</v>
      </c>
      <c r="O5874" t="s">
        <v>458</v>
      </c>
    </row>
    <row r="5875" spans="1:15" x14ac:dyDescent="0.3">
      <c r="A5875">
        <v>183321</v>
      </c>
      <c r="B5875">
        <v>105</v>
      </c>
      <c r="C5875" t="s">
        <v>557</v>
      </c>
      <c r="D5875" t="s">
        <v>2605</v>
      </c>
      <c r="E5875" t="s">
        <v>3859</v>
      </c>
      <c r="F5875" s="451">
        <v>45996</v>
      </c>
      <c r="G5875">
        <v>19439</v>
      </c>
      <c r="H5875" t="s">
        <v>4917</v>
      </c>
      <c r="I5875" t="s">
        <v>5191</v>
      </c>
      <c r="J5875">
        <v>3</v>
      </c>
      <c r="K5875" t="s">
        <v>4738</v>
      </c>
      <c r="L5875">
        <v>98.46</v>
      </c>
      <c r="M5875">
        <v>32.82</v>
      </c>
      <c r="N5875" t="s">
        <v>5427</v>
      </c>
      <c r="O5875" t="s">
        <v>458</v>
      </c>
    </row>
    <row r="5876" spans="1:15" x14ac:dyDescent="0.3">
      <c r="A5876">
        <v>183321</v>
      </c>
      <c r="B5876">
        <v>105</v>
      </c>
      <c r="C5876" t="s">
        <v>557</v>
      </c>
      <c r="D5876" t="s">
        <v>2605</v>
      </c>
      <c r="E5876" t="s">
        <v>3859</v>
      </c>
      <c r="F5876" s="451">
        <v>45996</v>
      </c>
      <c r="G5876">
        <v>23819</v>
      </c>
      <c r="H5876" t="s">
        <v>4947</v>
      </c>
      <c r="I5876" t="s">
        <v>5191</v>
      </c>
      <c r="J5876">
        <v>3</v>
      </c>
      <c r="K5876" t="s">
        <v>4736</v>
      </c>
      <c r="L5876">
        <v>27.15</v>
      </c>
      <c r="M5876">
        <v>9.0500000000000007</v>
      </c>
      <c r="N5876" t="s">
        <v>5427</v>
      </c>
      <c r="O5876" t="s">
        <v>458</v>
      </c>
    </row>
    <row r="5877" spans="1:15" x14ac:dyDescent="0.3">
      <c r="A5877">
        <v>183321</v>
      </c>
      <c r="B5877">
        <v>105</v>
      </c>
      <c r="C5877" t="s">
        <v>557</v>
      </c>
      <c r="D5877" t="s">
        <v>2605</v>
      </c>
      <c r="E5877" t="s">
        <v>3859</v>
      </c>
      <c r="F5877" s="451">
        <v>45996</v>
      </c>
      <c r="G5877">
        <v>19224</v>
      </c>
      <c r="H5877" t="s">
        <v>5100</v>
      </c>
      <c r="I5877" t="s">
        <v>5191</v>
      </c>
      <c r="J5877">
        <v>1</v>
      </c>
      <c r="K5877" t="s">
        <v>4736</v>
      </c>
      <c r="L5877">
        <v>247.9</v>
      </c>
      <c r="M5877">
        <v>247.9</v>
      </c>
      <c r="N5877" t="s">
        <v>5427</v>
      </c>
      <c r="O5877" t="s">
        <v>458</v>
      </c>
    </row>
    <row r="5878" spans="1:15" x14ac:dyDescent="0.3">
      <c r="A5878">
        <v>183321</v>
      </c>
      <c r="B5878">
        <v>105</v>
      </c>
      <c r="C5878" t="s">
        <v>557</v>
      </c>
      <c r="D5878" t="s">
        <v>2605</v>
      </c>
      <c r="E5878" t="s">
        <v>3859</v>
      </c>
      <c r="F5878" s="451">
        <v>45996</v>
      </c>
      <c r="G5878">
        <v>27397</v>
      </c>
      <c r="H5878" t="s">
        <v>4913</v>
      </c>
      <c r="I5878" t="s">
        <v>5191</v>
      </c>
      <c r="J5878">
        <v>2</v>
      </c>
      <c r="K5878" t="s">
        <v>4736</v>
      </c>
      <c r="L5878">
        <v>122.2</v>
      </c>
      <c r="M5878">
        <v>61.1</v>
      </c>
      <c r="N5878" t="s">
        <v>5427</v>
      </c>
      <c r="O5878" t="s">
        <v>458</v>
      </c>
    </row>
    <row r="5879" spans="1:15" x14ac:dyDescent="0.3">
      <c r="A5879">
        <v>182322</v>
      </c>
      <c r="B5879">
        <v>105</v>
      </c>
      <c r="C5879" t="s">
        <v>557</v>
      </c>
      <c r="D5879" t="s">
        <v>3646</v>
      </c>
      <c r="E5879" t="s">
        <v>3860</v>
      </c>
      <c r="F5879" s="451">
        <v>46001</v>
      </c>
      <c r="G5879">
        <v>18822</v>
      </c>
      <c r="H5879" t="s">
        <v>4811</v>
      </c>
      <c r="I5879" t="s">
        <v>5191</v>
      </c>
      <c r="J5879">
        <v>36.090000000000003</v>
      </c>
      <c r="K5879" t="s">
        <v>4744</v>
      </c>
      <c r="L5879">
        <v>3969.35</v>
      </c>
      <c r="M5879">
        <v>109.98475999999999</v>
      </c>
      <c r="N5879" t="s">
        <v>5272</v>
      </c>
      <c r="O5879" t="s">
        <v>458</v>
      </c>
    </row>
    <row r="5880" spans="1:15" x14ac:dyDescent="0.3">
      <c r="A5880">
        <v>182312</v>
      </c>
      <c r="B5880">
        <v>105</v>
      </c>
      <c r="C5880" t="s">
        <v>557</v>
      </c>
      <c r="D5880" t="s">
        <v>2798</v>
      </c>
      <c r="E5880" t="s">
        <v>3861</v>
      </c>
      <c r="F5880" s="451">
        <v>46001</v>
      </c>
      <c r="G5880">
        <v>18991</v>
      </c>
      <c r="H5880" t="s">
        <v>4815</v>
      </c>
      <c r="I5880" t="s">
        <v>5191</v>
      </c>
      <c r="J5880">
        <v>20</v>
      </c>
      <c r="K5880" t="s">
        <v>4744</v>
      </c>
      <c r="L5880">
        <v>848.4</v>
      </c>
      <c r="M5880">
        <v>42.42</v>
      </c>
      <c r="N5880" t="s">
        <v>5191</v>
      </c>
      <c r="O5880" t="s">
        <v>458</v>
      </c>
    </row>
    <row r="5881" spans="1:15" x14ac:dyDescent="0.3">
      <c r="A5881">
        <v>182312</v>
      </c>
      <c r="B5881">
        <v>105</v>
      </c>
      <c r="C5881" t="s">
        <v>557</v>
      </c>
      <c r="D5881" t="s">
        <v>2798</v>
      </c>
      <c r="E5881" t="s">
        <v>3861</v>
      </c>
      <c r="F5881" s="451">
        <v>46001</v>
      </c>
      <c r="G5881">
        <v>19353</v>
      </c>
      <c r="H5881" t="s">
        <v>4851</v>
      </c>
      <c r="I5881" t="s">
        <v>5191</v>
      </c>
      <c r="J5881">
        <v>30</v>
      </c>
      <c r="K5881" t="s">
        <v>4744</v>
      </c>
      <c r="L5881">
        <v>738</v>
      </c>
      <c r="M5881">
        <v>24.6</v>
      </c>
      <c r="N5881" t="s">
        <v>5191</v>
      </c>
      <c r="O5881" t="s">
        <v>458</v>
      </c>
    </row>
    <row r="5882" spans="1:15" x14ac:dyDescent="0.3">
      <c r="A5882">
        <v>182312</v>
      </c>
      <c r="B5882">
        <v>105</v>
      </c>
      <c r="C5882" t="s">
        <v>557</v>
      </c>
      <c r="D5882" t="s">
        <v>2798</v>
      </c>
      <c r="E5882" t="s">
        <v>3861</v>
      </c>
      <c r="F5882" s="451">
        <v>46001</v>
      </c>
      <c r="G5882">
        <v>18945</v>
      </c>
      <c r="H5882" t="s">
        <v>4768</v>
      </c>
      <c r="I5882" t="s">
        <v>5191</v>
      </c>
      <c r="J5882">
        <v>50</v>
      </c>
      <c r="K5882" t="s">
        <v>4744</v>
      </c>
      <c r="L5882">
        <v>2912.5</v>
      </c>
      <c r="M5882">
        <v>58.25</v>
      </c>
      <c r="N5882" t="s">
        <v>5191</v>
      </c>
      <c r="O5882" t="s">
        <v>458</v>
      </c>
    </row>
    <row r="5883" spans="1:15" x14ac:dyDescent="0.3">
      <c r="A5883">
        <v>182296</v>
      </c>
      <c r="B5883">
        <v>105</v>
      </c>
      <c r="C5883" t="s">
        <v>557</v>
      </c>
      <c r="D5883" t="s">
        <v>2615</v>
      </c>
      <c r="E5883" t="s">
        <v>3862</v>
      </c>
      <c r="F5883" s="451">
        <v>45995</v>
      </c>
      <c r="G5883">
        <v>20623</v>
      </c>
      <c r="H5883" t="s">
        <v>4814</v>
      </c>
      <c r="I5883" t="s">
        <v>5191</v>
      </c>
      <c r="J5883">
        <v>10</v>
      </c>
      <c r="K5883" t="s">
        <v>4744</v>
      </c>
      <c r="L5883">
        <v>110.7</v>
      </c>
      <c r="M5883">
        <v>11.07</v>
      </c>
      <c r="N5883" t="s">
        <v>5191</v>
      </c>
      <c r="O5883" t="s">
        <v>458</v>
      </c>
    </row>
    <row r="5884" spans="1:15" x14ac:dyDescent="0.3">
      <c r="A5884">
        <v>182295</v>
      </c>
      <c r="B5884">
        <v>105</v>
      </c>
      <c r="C5884" t="s">
        <v>557</v>
      </c>
      <c r="D5884" t="s">
        <v>3863</v>
      </c>
      <c r="E5884" t="s">
        <v>3864</v>
      </c>
      <c r="F5884" s="451">
        <v>45996</v>
      </c>
      <c r="G5884">
        <v>17042</v>
      </c>
      <c r="H5884" t="s">
        <v>4748</v>
      </c>
      <c r="I5884" t="s">
        <v>5191</v>
      </c>
      <c r="J5884">
        <v>240</v>
      </c>
      <c r="K5884" t="s">
        <v>4736</v>
      </c>
      <c r="L5884">
        <v>345.6</v>
      </c>
      <c r="M5884">
        <v>1.44</v>
      </c>
      <c r="N5884" t="s">
        <v>5272</v>
      </c>
      <c r="O5884" t="s">
        <v>458</v>
      </c>
    </row>
    <row r="5885" spans="1:15" x14ac:dyDescent="0.3">
      <c r="A5885">
        <v>182294</v>
      </c>
      <c r="B5885">
        <v>105</v>
      </c>
      <c r="C5885" t="s">
        <v>557</v>
      </c>
      <c r="D5885" t="s">
        <v>3205</v>
      </c>
      <c r="E5885" t="s">
        <v>3865</v>
      </c>
      <c r="F5885" s="451">
        <v>45997</v>
      </c>
      <c r="G5885">
        <v>24256</v>
      </c>
      <c r="H5885" t="s">
        <v>4773</v>
      </c>
      <c r="I5885" t="s">
        <v>5191</v>
      </c>
      <c r="J5885">
        <v>20</v>
      </c>
      <c r="K5885" t="s">
        <v>4744</v>
      </c>
      <c r="L5885">
        <v>758</v>
      </c>
      <c r="M5885">
        <v>37.9</v>
      </c>
      <c r="N5885" t="s">
        <v>5191</v>
      </c>
      <c r="O5885" t="s">
        <v>458</v>
      </c>
    </row>
    <row r="5886" spans="1:15" x14ac:dyDescent="0.3">
      <c r="A5886">
        <v>181506</v>
      </c>
      <c r="B5886">
        <v>105</v>
      </c>
      <c r="C5886" t="s">
        <v>557</v>
      </c>
      <c r="D5886" t="s">
        <v>3561</v>
      </c>
      <c r="E5886" t="s">
        <v>3866</v>
      </c>
      <c r="F5886" s="451">
        <v>45995</v>
      </c>
      <c r="G5886">
        <v>25748</v>
      </c>
      <c r="H5886" t="s">
        <v>4999</v>
      </c>
      <c r="I5886" t="s">
        <v>5191</v>
      </c>
      <c r="J5886">
        <v>14</v>
      </c>
      <c r="K5886" t="s">
        <v>4736</v>
      </c>
      <c r="L5886">
        <v>79.099999999999994</v>
      </c>
      <c r="M5886">
        <v>5.65</v>
      </c>
      <c r="O5886" t="s">
        <v>458</v>
      </c>
    </row>
    <row r="5887" spans="1:15" x14ac:dyDescent="0.3">
      <c r="A5887">
        <v>181506</v>
      </c>
      <c r="B5887">
        <v>105</v>
      </c>
      <c r="C5887" t="s">
        <v>557</v>
      </c>
      <c r="D5887" t="s">
        <v>3561</v>
      </c>
      <c r="E5887" t="s">
        <v>3866</v>
      </c>
      <c r="F5887" s="451">
        <v>45995</v>
      </c>
      <c r="G5887">
        <v>25756</v>
      </c>
      <c r="H5887" t="s">
        <v>4854</v>
      </c>
      <c r="I5887" t="s">
        <v>5191</v>
      </c>
      <c r="J5887">
        <v>14</v>
      </c>
      <c r="K5887" t="s">
        <v>4736</v>
      </c>
      <c r="L5887">
        <v>111.86</v>
      </c>
      <c r="M5887">
        <v>7.99</v>
      </c>
      <c r="O5887" t="s">
        <v>458</v>
      </c>
    </row>
    <row r="5888" spans="1:15" x14ac:dyDescent="0.3">
      <c r="A5888">
        <v>181506</v>
      </c>
      <c r="B5888">
        <v>105</v>
      </c>
      <c r="C5888" t="s">
        <v>557</v>
      </c>
      <c r="D5888" t="s">
        <v>3561</v>
      </c>
      <c r="E5888" t="s">
        <v>3866</v>
      </c>
      <c r="F5888" s="451">
        <v>45995</v>
      </c>
      <c r="G5888">
        <v>25759</v>
      </c>
      <c r="H5888" t="s">
        <v>4877</v>
      </c>
      <c r="I5888" t="s">
        <v>5191</v>
      </c>
      <c r="J5888">
        <v>14</v>
      </c>
      <c r="K5888" t="s">
        <v>4736</v>
      </c>
      <c r="L5888">
        <v>107.1</v>
      </c>
      <c r="M5888">
        <v>7.65</v>
      </c>
      <c r="O5888" t="s">
        <v>458</v>
      </c>
    </row>
    <row r="5889" spans="1:15" x14ac:dyDescent="0.3">
      <c r="A5889">
        <v>181506</v>
      </c>
      <c r="B5889">
        <v>105</v>
      </c>
      <c r="C5889" t="s">
        <v>557</v>
      </c>
      <c r="D5889" t="s">
        <v>3561</v>
      </c>
      <c r="E5889" t="s">
        <v>3866</v>
      </c>
      <c r="F5889" s="451">
        <v>45995</v>
      </c>
      <c r="G5889">
        <v>26006</v>
      </c>
      <c r="H5889" t="s">
        <v>4941</v>
      </c>
      <c r="I5889" t="s">
        <v>5191</v>
      </c>
      <c r="J5889">
        <v>12</v>
      </c>
      <c r="K5889" t="s">
        <v>4736</v>
      </c>
      <c r="L5889">
        <v>151.44</v>
      </c>
      <c r="M5889">
        <v>12.62</v>
      </c>
      <c r="O5889" t="s">
        <v>458</v>
      </c>
    </row>
    <row r="5890" spans="1:15" x14ac:dyDescent="0.3">
      <c r="A5890">
        <v>181506</v>
      </c>
      <c r="B5890">
        <v>105</v>
      </c>
      <c r="C5890" t="s">
        <v>557</v>
      </c>
      <c r="D5890" t="s">
        <v>3561</v>
      </c>
      <c r="E5890" t="s">
        <v>3866</v>
      </c>
      <c r="F5890" s="451">
        <v>45995</v>
      </c>
      <c r="G5890">
        <v>26005</v>
      </c>
      <c r="H5890" t="s">
        <v>4907</v>
      </c>
      <c r="I5890" t="s">
        <v>5191</v>
      </c>
      <c r="J5890">
        <v>12</v>
      </c>
      <c r="K5890" t="s">
        <v>4736</v>
      </c>
      <c r="L5890">
        <v>151.44</v>
      </c>
      <c r="M5890">
        <v>12.62</v>
      </c>
      <c r="O5890" t="s">
        <v>458</v>
      </c>
    </row>
    <row r="5891" spans="1:15" x14ac:dyDescent="0.3">
      <c r="A5891">
        <v>181506</v>
      </c>
      <c r="B5891">
        <v>105</v>
      </c>
      <c r="C5891" t="s">
        <v>557</v>
      </c>
      <c r="D5891" t="s">
        <v>3561</v>
      </c>
      <c r="E5891" t="s">
        <v>3866</v>
      </c>
      <c r="F5891" s="451">
        <v>45995</v>
      </c>
      <c r="G5891">
        <v>25752</v>
      </c>
      <c r="H5891" t="s">
        <v>5000</v>
      </c>
      <c r="I5891" t="s">
        <v>5191</v>
      </c>
      <c r="J5891">
        <v>14</v>
      </c>
      <c r="K5891" t="s">
        <v>4736</v>
      </c>
      <c r="L5891">
        <v>92.54</v>
      </c>
      <c r="M5891">
        <v>6.61</v>
      </c>
      <c r="O5891" t="s">
        <v>458</v>
      </c>
    </row>
    <row r="5892" spans="1:15" x14ac:dyDescent="0.3">
      <c r="A5892">
        <v>181506</v>
      </c>
      <c r="B5892">
        <v>105</v>
      </c>
      <c r="C5892" t="s">
        <v>557</v>
      </c>
      <c r="D5892" t="s">
        <v>3561</v>
      </c>
      <c r="E5892" t="s">
        <v>3866</v>
      </c>
      <c r="F5892" s="451">
        <v>45995</v>
      </c>
      <c r="G5892">
        <v>27757</v>
      </c>
      <c r="H5892" t="s">
        <v>4942</v>
      </c>
      <c r="I5892" t="s">
        <v>5191</v>
      </c>
      <c r="J5892">
        <v>14</v>
      </c>
      <c r="K5892" t="s">
        <v>4736</v>
      </c>
      <c r="L5892">
        <v>92.54</v>
      </c>
      <c r="M5892">
        <v>6.61</v>
      </c>
      <c r="O5892" t="s">
        <v>458</v>
      </c>
    </row>
    <row r="5893" spans="1:15" x14ac:dyDescent="0.3">
      <c r="A5893">
        <v>181505</v>
      </c>
      <c r="B5893">
        <v>105</v>
      </c>
      <c r="C5893" t="s">
        <v>557</v>
      </c>
      <c r="D5893" t="s">
        <v>3723</v>
      </c>
      <c r="E5893" t="s">
        <v>3867</v>
      </c>
      <c r="F5893" s="451">
        <v>45995</v>
      </c>
      <c r="G5893">
        <v>19623</v>
      </c>
      <c r="H5893" t="s">
        <v>4764</v>
      </c>
      <c r="I5893" t="s">
        <v>5191</v>
      </c>
      <c r="J5893">
        <v>13</v>
      </c>
      <c r="K5893" t="s">
        <v>4744</v>
      </c>
      <c r="L5893">
        <v>65</v>
      </c>
      <c r="M5893">
        <v>5</v>
      </c>
      <c r="O5893" t="s">
        <v>458</v>
      </c>
    </row>
    <row r="5894" spans="1:15" x14ac:dyDescent="0.3">
      <c r="A5894">
        <v>181505</v>
      </c>
      <c r="B5894">
        <v>105</v>
      </c>
      <c r="C5894" t="s">
        <v>557</v>
      </c>
      <c r="D5894" t="s">
        <v>3723</v>
      </c>
      <c r="E5894" t="s">
        <v>3867</v>
      </c>
      <c r="F5894" s="451">
        <v>45995</v>
      </c>
      <c r="G5894">
        <v>19654</v>
      </c>
      <c r="H5894" t="s">
        <v>5099</v>
      </c>
      <c r="I5894" t="s">
        <v>5191</v>
      </c>
      <c r="J5894">
        <v>3.5</v>
      </c>
      <c r="K5894" t="s">
        <v>4744</v>
      </c>
      <c r="L5894">
        <v>6.13</v>
      </c>
      <c r="M5894">
        <v>1.7514289999999999</v>
      </c>
      <c r="O5894" t="s">
        <v>458</v>
      </c>
    </row>
    <row r="5895" spans="1:15" x14ac:dyDescent="0.3">
      <c r="A5895">
        <v>181505</v>
      </c>
      <c r="B5895">
        <v>105</v>
      </c>
      <c r="C5895" t="s">
        <v>557</v>
      </c>
      <c r="D5895" t="s">
        <v>3723</v>
      </c>
      <c r="E5895" t="s">
        <v>3867</v>
      </c>
      <c r="F5895" s="451">
        <v>45995</v>
      </c>
      <c r="G5895">
        <v>19476</v>
      </c>
      <c r="H5895" t="s">
        <v>5115</v>
      </c>
      <c r="I5895" t="s">
        <v>5191</v>
      </c>
      <c r="J5895">
        <v>0.2</v>
      </c>
      <c r="K5895" t="s">
        <v>4744</v>
      </c>
      <c r="L5895">
        <v>12.5</v>
      </c>
      <c r="M5895">
        <v>62.5</v>
      </c>
      <c r="O5895" t="s">
        <v>458</v>
      </c>
    </row>
    <row r="5896" spans="1:15" x14ac:dyDescent="0.3">
      <c r="A5896">
        <v>181505</v>
      </c>
      <c r="B5896">
        <v>105</v>
      </c>
      <c r="C5896" t="s">
        <v>557</v>
      </c>
      <c r="D5896" t="s">
        <v>3723</v>
      </c>
      <c r="E5896" t="s">
        <v>3867</v>
      </c>
      <c r="F5896" s="451">
        <v>45995</v>
      </c>
      <c r="G5896">
        <v>19555</v>
      </c>
      <c r="H5896" t="s">
        <v>4903</v>
      </c>
      <c r="I5896" t="s">
        <v>5191</v>
      </c>
      <c r="J5896">
        <v>1</v>
      </c>
      <c r="K5896" t="s">
        <v>4744</v>
      </c>
      <c r="L5896">
        <v>20</v>
      </c>
      <c r="M5896">
        <v>20</v>
      </c>
      <c r="O5896" t="s">
        <v>458</v>
      </c>
    </row>
    <row r="5897" spans="1:15" x14ac:dyDescent="0.3">
      <c r="A5897">
        <v>181505</v>
      </c>
      <c r="B5897">
        <v>105</v>
      </c>
      <c r="C5897" t="s">
        <v>557</v>
      </c>
      <c r="D5897" t="s">
        <v>3723</v>
      </c>
      <c r="E5897" t="s">
        <v>3867</v>
      </c>
      <c r="F5897" s="451">
        <v>45995</v>
      </c>
      <c r="G5897">
        <v>19734</v>
      </c>
      <c r="H5897" t="s">
        <v>4833</v>
      </c>
      <c r="I5897" t="s">
        <v>5191</v>
      </c>
      <c r="J5897">
        <v>8</v>
      </c>
      <c r="K5897" t="s">
        <v>4744</v>
      </c>
      <c r="L5897">
        <v>110</v>
      </c>
      <c r="M5897">
        <v>13.75</v>
      </c>
      <c r="O5897" t="s">
        <v>458</v>
      </c>
    </row>
    <row r="5898" spans="1:15" x14ac:dyDescent="0.3">
      <c r="A5898">
        <v>181505</v>
      </c>
      <c r="B5898">
        <v>105</v>
      </c>
      <c r="C5898" t="s">
        <v>557</v>
      </c>
      <c r="D5898" t="s">
        <v>3723</v>
      </c>
      <c r="E5898" t="s">
        <v>3867</v>
      </c>
      <c r="F5898" s="451">
        <v>45995</v>
      </c>
      <c r="G5898">
        <v>19751</v>
      </c>
      <c r="H5898" t="s">
        <v>4800</v>
      </c>
      <c r="I5898" t="s">
        <v>5191</v>
      </c>
      <c r="J5898">
        <v>1</v>
      </c>
      <c r="K5898" t="s">
        <v>4744</v>
      </c>
      <c r="L5898">
        <v>11.25</v>
      </c>
      <c r="M5898">
        <v>11.25</v>
      </c>
      <c r="O5898" t="s">
        <v>458</v>
      </c>
    </row>
    <row r="5899" spans="1:15" x14ac:dyDescent="0.3">
      <c r="A5899">
        <v>181505</v>
      </c>
      <c r="B5899">
        <v>105</v>
      </c>
      <c r="C5899" t="s">
        <v>557</v>
      </c>
      <c r="D5899" t="s">
        <v>3723</v>
      </c>
      <c r="E5899" t="s">
        <v>3867</v>
      </c>
      <c r="F5899" s="451">
        <v>45995</v>
      </c>
      <c r="G5899">
        <v>19790</v>
      </c>
      <c r="H5899" t="s">
        <v>5073</v>
      </c>
      <c r="I5899" t="s">
        <v>5191</v>
      </c>
      <c r="J5899">
        <v>2</v>
      </c>
      <c r="K5899" t="s">
        <v>4744</v>
      </c>
      <c r="L5899">
        <v>71.260000000000005</v>
      </c>
      <c r="M5899">
        <v>35.630000000000003</v>
      </c>
      <c r="O5899" t="s">
        <v>458</v>
      </c>
    </row>
    <row r="5900" spans="1:15" x14ac:dyDescent="0.3">
      <c r="A5900">
        <v>181505</v>
      </c>
      <c r="B5900">
        <v>105</v>
      </c>
      <c r="C5900" t="s">
        <v>557</v>
      </c>
      <c r="D5900" t="s">
        <v>3723</v>
      </c>
      <c r="E5900" t="s">
        <v>3867</v>
      </c>
      <c r="F5900" s="451">
        <v>45995</v>
      </c>
      <c r="G5900">
        <v>23096</v>
      </c>
      <c r="H5900" t="s">
        <v>5164</v>
      </c>
      <c r="I5900" t="s">
        <v>5191</v>
      </c>
      <c r="J5900">
        <v>60</v>
      </c>
      <c r="K5900" t="s">
        <v>4736</v>
      </c>
      <c r="L5900">
        <v>34.799999999999997</v>
      </c>
      <c r="M5900">
        <v>0.57999999999999996</v>
      </c>
      <c r="O5900" t="s">
        <v>458</v>
      </c>
    </row>
    <row r="5901" spans="1:15" x14ac:dyDescent="0.3">
      <c r="A5901">
        <v>181505</v>
      </c>
      <c r="B5901">
        <v>105</v>
      </c>
      <c r="C5901" t="s">
        <v>557</v>
      </c>
      <c r="D5901" t="s">
        <v>3723</v>
      </c>
      <c r="E5901" t="s">
        <v>3867</v>
      </c>
      <c r="F5901" s="451">
        <v>45995</v>
      </c>
      <c r="G5901">
        <v>23335</v>
      </c>
      <c r="H5901" t="s">
        <v>4961</v>
      </c>
      <c r="I5901" t="s">
        <v>5191</v>
      </c>
      <c r="J5901">
        <v>1.5</v>
      </c>
      <c r="K5901" t="s">
        <v>4744</v>
      </c>
      <c r="L5901">
        <v>34.700000000000003</v>
      </c>
      <c r="M5901">
        <v>23.133333</v>
      </c>
      <c r="O5901" t="s">
        <v>458</v>
      </c>
    </row>
    <row r="5902" spans="1:15" x14ac:dyDescent="0.3">
      <c r="A5902">
        <v>181505</v>
      </c>
      <c r="B5902">
        <v>105</v>
      </c>
      <c r="C5902" t="s">
        <v>557</v>
      </c>
      <c r="D5902" t="s">
        <v>3723</v>
      </c>
      <c r="E5902" t="s">
        <v>3867</v>
      </c>
      <c r="F5902" s="451">
        <v>45995</v>
      </c>
      <c r="G5902">
        <v>23359</v>
      </c>
      <c r="H5902" t="s">
        <v>4767</v>
      </c>
      <c r="I5902" t="s">
        <v>5191</v>
      </c>
      <c r="J5902">
        <v>20</v>
      </c>
      <c r="K5902" t="s">
        <v>4744</v>
      </c>
      <c r="L5902">
        <v>57.6</v>
      </c>
      <c r="M5902">
        <v>2.88</v>
      </c>
      <c r="O5902" t="s">
        <v>458</v>
      </c>
    </row>
    <row r="5903" spans="1:15" x14ac:dyDescent="0.3">
      <c r="A5903">
        <v>181505</v>
      </c>
      <c r="B5903">
        <v>105</v>
      </c>
      <c r="C5903" t="s">
        <v>557</v>
      </c>
      <c r="D5903" t="s">
        <v>3723</v>
      </c>
      <c r="E5903" t="s">
        <v>3867</v>
      </c>
      <c r="F5903" s="451">
        <v>45995</v>
      </c>
      <c r="G5903">
        <v>23390</v>
      </c>
      <c r="H5903" t="s">
        <v>4873</v>
      </c>
      <c r="I5903" t="s">
        <v>5191</v>
      </c>
      <c r="J5903">
        <v>1</v>
      </c>
      <c r="K5903" t="s">
        <v>4744</v>
      </c>
      <c r="L5903">
        <v>8.75</v>
      </c>
      <c r="M5903">
        <v>8.75</v>
      </c>
      <c r="O5903" t="s">
        <v>458</v>
      </c>
    </row>
    <row r="5904" spans="1:15" x14ac:dyDescent="0.3">
      <c r="A5904">
        <v>181505</v>
      </c>
      <c r="B5904">
        <v>105</v>
      </c>
      <c r="C5904" t="s">
        <v>557</v>
      </c>
      <c r="D5904" t="s">
        <v>3723</v>
      </c>
      <c r="E5904" t="s">
        <v>3867</v>
      </c>
      <c r="F5904" s="451">
        <v>45995</v>
      </c>
      <c r="G5904">
        <v>23184</v>
      </c>
      <c r="H5904" t="s">
        <v>4935</v>
      </c>
      <c r="I5904" t="s">
        <v>5191</v>
      </c>
      <c r="J5904">
        <v>2</v>
      </c>
      <c r="K5904" t="s">
        <v>4744</v>
      </c>
      <c r="L5904">
        <v>17.5</v>
      </c>
      <c r="M5904">
        <v>8.75</v>
      </c>
      <c r="O5904" t="s">
        <v>458</v>
      </c>
    </row>
    <row r="5905" spans="1:15" x14ac:dyDescent="0.3">
      <c r="A5905">
        <v>181503</v>
      </c>
      <c r="B5905">
        <v>105</v>
      </c>
      <c r="C5905" t="s">
        <v>557</v>
      </c>
      <c r="D5905" t="s">
        <v>2600</v>
      </c>
      <c r="E5905" t="s">
        <v>3868</v>
      </c>
      <c r="F5905" s="451">
        <v>45996</v>
      </c>
      <c r="G5905">
        <v>24197</v>
      </c>
      <c r="H5905" t="s">
        <v>5237</v>
      </c>
      <c r="I5905" t="s">
        <v>5191</v>
      </c>
      <c r="J5905">
        <v>10</v>
      </c>
      <c r="K5905" t="s">
        <v>4744</v>
      </c>
      <c r="L5905">
        <v>199.9</v>
      </c>
      <c r="M5905">
        <v>19.989999999999998</v>
      </c>
      <c r="O5905" t="s">
        <v>458</v>
      </c>
    </row>
    <row r="5906" spans="1:15" x14ac:dyDescent="0.3">
      <c r="A5906">
        <v>181502</v>
      </c>
      <c r="B5906">
        <v>105</v>
      </c>
      <c r="C5906" t="s">
        <v>557</v>
      </c>
      <c r="D5906" t="s">
        <v>2600</v>
      </c>
      <c r="E5906" t="s">
        <v>3848</v>
      </c>
      <c r="F5906" s="451">
        <v>45995</v>
      </c>
      <c r="G5906">
        <v>20549</v>
      </c>
      <c r="H5906" t="s">
        <v>4823</v>
      </c>
      <c r="I5906" t="s">
        <v>5191</v>
      </c>
      <c r="J5906">
        <v>25</v>
      </c>
      <c r="K5906" t="s">
        <v>4744</v>
      </c>
      <c r="L5906">
        <v>499.75</v>
      </c>
      <c r="M5906">
        <v>19.989999999999998</v>
      </c>
      <c r="O5906" t="s">
        <v>458</v>
      </c>
    </row>
    <row r="5907" spans="1:15" x14ac:dyDescent="0.3">
      <c r="A5907">
        <v>181499</v>
      </c>
      <c r="B5907">
        <v>105</v>
      </c>
      <c r="C5907" t="s">
        <v>557</v>
      </c>
      <c r="D5907" t="s">
        <v>2581</v>
      </c>
      <c r="E5907" t="s">
        <v>3869</v>
      </c>
      <c r="F5907" s="451">
        <v>45995</v>
      </c>
      <c r="G5907">
        <v>19787</v>
      </c>
      <c r="H5907" t="s">
        <v>4793</v>
      </c>
      <c r="I5907" t="s">
        <v>5191</v>
      </c>
      <c r="J5907">
        <v>6</v>
      </c>
      <c r="K5907" t="s">
        <v>4744</v>
      </c>
      <c r="L5907">
        <v>27.6</v>
      </c>
      <c r="M5907">
        <v>4.5999999999999996</v>
      </c>
      <c r="O5907" t="s">
        <v>458</v>
      </c>
    </row>
    <row r="5908" spans="1:15" x14ac:dyDescent="0.3">
      <c r="A5908">
        <v>181499</v>
      </c>
      <c r="B5908">
        <v>105</v>
      </c>
      <c r="C5908" t="s">
        <v>557</v>
      </c>
      <c r="D5908" t="s">
        <v>2581</v>
      </c>
      <c r="E5908" t="s">
        <v>3869</v>
      </c>
      <c r="F5908" s="451">
        <v>45995</v>
      </c>
      <c r="G5908">
        <v>19621</v>
      </c>
      <c r="H5908" t="s">
        <v>4829</v>
      </c>
      <c r="I5908" t="s">
        <v>5191</v>
      </c>
      <c r="J5908">
        <v>2.5</v>
      </c>
      <c r="K5908" t="s">
        <v>4744</v>
      </c>
      <c r="L5908">
        <v>6</v>
      </c>
      <c r="M5908">
        <v>2.4</v>
      </c>
      <c r="O5908" t="s">
        <v>458</v>
      </c>
    </row>
    <row r="5909" spans="1:15" x14ac:dyDescent="0.3">
      <c r="A5909">
        <v>181499</v>
      </c>
      <c r="B5909">
        <v>105</v>
      </c>
      <c r="C5909" t="s">
        <v>557</v>
      </c>
      <c r="D5909" t="s">
        <v>2581</v>
      </c>
      <c r="E5909" t="s">
        <v>3869</v>
      </c>
      <c r="F5909" s="451">
        <v>45995</v>
      </c>
      <c r="G5909">
        <v>19589</v>
      </c>
      <c r="H5909" t="s">
        <v>4983</v>
      </c>
      <c r="I5909" t="s">
        <v>5191</v>
      </c>
      <c r="J5909">
        <v>1.5</v>
      </c>
      <c r="K5909" t="s">
        <v>4744</v>
      </c>
      <c r="L5909">
        <v>5.25</v>
      </c>
      <c r="M5909">
        <v>3.5</v>
      </c>
      <c r="O5909" t="s">
        <v>458</v>
      </c>
    </row>
    <row r="5910" spans="1:15" x14ac:dyDescent="0.3">
      <c r="A5910">
        <v>181499</v>
      </c>
      <c r="B5910">
        <v>105</v>
      </c>
      <c r="C5910" t="s">
        <v>557</v>
      </c>
      <c r="D5910" t="s">
        <v>2581</v>
      </c>
      <c r="E5910" t="s">
        <v>3869</v>
      </c>
      <c r="F5910" s="451">
        <v>45995</v>
      </c>
      <c r="G5910">
        <v>19505</v>
      </c>
      <c r="H5910" t="s">
        <v>4872</v>
      </c>
      <c r="I5910" t="s">
        <v>5191</v>
      </c>
      <c r="J5910">
        <v>5</v>
      </c>
      <c r="K5910" t="s">
        <v>4744</v>
      </c>
      <c r="L5910">
        <v>25</v>
      </c>
      <c r="M5910">
        <v>5</v>
      </c>
      <c r="O5910" t="s">
        <v>458</v>
      </c>
    </row>
    <row r="5911" spans="1:15" x14ac:dyDescent="0.3">
      <c r="A5911">
        <v>181499</v>
      </c>
      <c r="B5911">
        <v>105</v>
      </c>
      <c r="C5911" t="s">
        <v>557</v>
      </c>
      <c r="D5911" t="s">
        <v>2581</v>
      </c>
      <c r="E5911" t="s">
        <v>3869</v>
      </c>
      <c r="F5911" s="451">
        <v>45995</v>
      </c>
      <c r="G5911">
        <v>19465</v>
      </c>
      <c r="H5911" t="s">
        <v>5114</v>
      </c>
      <c r="I5911" t="s">
        <v>5191</v>
      </c>
      <c r="J5911">
        <v>0.5</v>
      </c>
      <c r="K5911" t="s">
        <v>4744</v>
      </c>
      <c r="L5911">
        <v>2.1</v>
      </c>
      <c r="M5911">
        <v>4.2</v>
      </c>
      <c r="O5911" t="s">
        <v>458</v>
      </c>
    </row>
    <row r="5912" spans="1:15" x14ac:dyDescent="0.3">
      <c r="A5912">
        <v>181499</v>
      </c>
      <c r="B5912">
        <v>105</v>
      </c>
      <c r="C5912" t="s">
        <v>557</v>
      </c>
      <c r="D5912" t="s">
        <v>2581</v>
      </c>
      <c r="E5912" t="s">
        <v>3869</v>
      </c>
      <c r="F5912" s="451">
        <v>45995</v>
      </c>
      <c r="G5912">
        <v>19480</v>
      </c>
      <c r="H5912" t="s">
        <v>5119</v>
      </c>
      <c r="I5912" t="s">
        <v>5191</v>
      </c>
      <c r="J5912">
        <v>0.3</v>
      </c>
      <c r="K5912" t="s">
        <v>4744</v>
      </c>
      <c r="L5912">
        <v>3.6</v>
      </c>
      <c r="M5912">
        <v>12</v>
      </c>
      <c r="O5912" t="s">
        <v>458</v>
      </c>
    </row>
    <row r="5913" spans="1:15" x14ac:dyDescent="0.3">
      <c r="A5913">
        <v>181499</v>
      </c>
      <c r="B5913">
        <v>105</v>
      </c>
      <c r="C5913" t="s">
        <v>557</v>
      </c>
      <c r="D5913" t="s">
        <v>2581</v>
      </c>
      <c r="E5913" t="s">
        <v>3869</v>
      </c>
      <c r="F5913" s="451">
        <v>45995</v>
      </c>
      <c r="G5913">
        <v>19502</v>
      </c>
      <c r="H5913" t="s">
        <v>4871</v>
      </c>
      <c r="I5913" t="s">
        <v>5191</v>
      </c>
      <c r="J5913">
        <v>3</v>
      </c>
      <c r="K5913" t="s">
        <v>4744</v>
      </c>
      <c r="L5913">
        <v>22.5</v>
      </c>
      <c r="M5913">
        <v>7.5</v>
      </c>
      <c r="O5913" t="s">
        <v>458</v>
      </c>
    </row>
    <row r="5914" spans="1:15" x14ac:dyDescent="0.3">
      <c r="A5914">
        <v>181499</v>
      </c>
      <c r="B5914">
        <v>105</v>
      </c>
      <c r="C5914" t="s">
        <v>557</v>
      </c>
      <c r="D5914" t="s">
        <v>2581</v>
      </c>
      <c r="E5914" t="s">
        <v>3869</v>
      </c>
      <c r="F5914" s="451">
        <v>45995</v>
      </c>
      <c r="G5914">
        <v>19551</v>
      </c>
      <c r="H5914" t="s">
        <v>4905</v>
      </c>
      <c r="I5914" t="s">
        <v>5191</v>
      </c>
      <c r="J5914">
        <v>2.5</v>
      </c>
      <c r="K5914" t="s">
        <v>4744</v>
      </c>
      <c r="L5914">
        <v>32.5</v>
      </c>
      <c r="M5914">
        <v>13</v>
      </c>
      <c r="O5914" t="s">
        <v>458</v>
      </c>
    </row>
    <row r="5915" spans="1:15" x14ac:dyDescent="0.3">
      <c r="A5915">
        <v>181499</v>
      </c>
      <c r="B5915">
        <v>105</v>
      </c>
      <c r="C5915" t="s">
        <v>557</v>
      </c>
      <c r="D5915" t="s">
        <v>2581</v>
      </c>
      <c r="E5915" t="s">
        <v>3869</v>
      </c>
      <c r="F5915" s="451">
        <v>45995</v>
      </c>
      <c r="G5915">
        <v>19572</v>
      </c>
      <c r="H5915" t="s">
        <v>4989</v>
      </c>
      <c r="I5915" t="s">
        <v>5191</v>
      </c>
      <c r="J5915">
        <v>0.5</v>
      </c>
      <c r="K5915" t="s">
        <v>4744</v>
      </c>
      <c r="L5915">
        <v>7.5</v>
      </c>
      <c r="M5915">
        <v>15</v>
      </c>
      <c r="O5915" t="s">
        <v>458</v>
      </c>
    </row>
    <row r="5916" spans="1:15" x14ac:dyDescent="0.3">
      <c r="A5916">
        <v>181499</v>
      </c>
      <c r="B5916">
        <v>105</v>
      </c>
      <c r="C5916" t="s">
        <v>557</v>
      </c>
      <c r="D5916" t="s">
        <v>2581</v>
      </c>
      <c r="E5916" t="s">
        <v>3869</v>
      </c>
      <c r="F5916" s="451">
        <v>45995</v>
      </c>
      <c r="G5916">
        <v>19647</v>
      </c>
      <c r="H5916" t="s">
        <v>5050</v>
      </c>
      <c r="I5916" t="s">
        <v>5191</v>
      </c>
      <c r="J5916">
        <v>0.5</v>
      </c>
      <c r="K5916" t="s">
        <v>4744</v>
      </c>
      <c r="L5916">
        <v>3</v>
      </c>
      <c r="M5916">
        <v>6</v>
      </c>
      <c r="O5916" t="s">
        <v>458</v>
      </c>
    </row>
    <row r="5917" spans="1:15" x14ac:dyDescent="0.3">
      <c r="A5917">
        <v>181499</v>
      </c>
      <c r="B5917">
        <v>105</v>
      </c>
      <c r="C5917" t="s">
        <v>557</v>
      </c>
      <c r="D5917" t="s">
        <v>2581</v>
      </c>
      <c r="E5917" t="s">
        <v>3869</v>
      </c>
      <c r="F5917" s="451">
        <v>45995</v>
      </c>
      <c r="G5917">
        <v>19558</v>
      </c>
      <c r="H5917" t="s">
        <v>4994</v>
      </c>
      <c r="I5917" t="s">
        <v>5191</v>
      </c>
      <c r="J5917">
        <v>1</v>
      </c>
      <c r="K5917" t="s">
        <v>4744</v>
      </c>
      <c r="L5917">
        <v>14</v>
      </c>
      <c r="M5917">
        <v>14</v>
      </c>
      <c r="O5917" t="s">
        <v>458</v>
      </c>
    </row>
    <row r="5918" spans="1:15" x14ac:dyDescent="0.3">
      <c r="A5918">
        <v>181499</v>
      </c>
      <c r="B5918">
        <v>105</v>
      </c>
      <c r="C5918" t="s">
        <v>557</v>
      </c>
      <c r="D5918" t="s">
        <v>2581</v>
      </c>
      <c r="E5918" t="s">
        <v>3869</v>
      </c>
      <c r="F5918" s="451">
        <v>45995</v>
      </c>
      <c r="G5918">
        <v>19740</v>
      </c>
      <c r="H5918" t="s">
        <v>4779</v>
      </c>
      <c r="I5918" t="s">
        <v>5191</v>
      </c>
      <c r="J5918">
        <v>10</v>
      </c>
      <c r="K5918" t="s">
        <v>4744</v>
      </c>
      <c r="L5918">
        <v>150</v>
      </c>
      <c r="M5918">
        <v>15</v>
      </c>
      <c r="O5918" t="s">
        <v>458</v>
      </c>
    </row>
    <row r="5919" spans="1:15" x14ac:dyDescent="0.3">
      <c r="A5919">
        <v>181499</v>
      </c>
      <c r="B5919">
        <v>105</v>
      </c>
      <c r="C5919" t="s">
        <v>557</v>
      </c>
      <c r="D5919" t="s">
        <v>2581</v>
      </c>
      <c r="E5919" t="s">
        <v>3869</v>
      </c>
      <c r="F5919" s="451">
        <v>45995</v>
      </c>
      <c r="G5919">
        <v>19752</v>
      </c>
      <c r="H5919" t="s">
        <v>4807</v>
      </c>
      <c r="I5919" t="s">
        <v>5191</v>
      </c>
      <c r="J5919">
        <v>2</v>
      </c>
      <c r="K5919" t="s">
        <v>4744</v>
      </c>
      <c r="L5919">
        <v>26</v>
      </c>
      <c r="M5919">
        <v>13</v>
      </c>
      <c r="O5919" t="s">
        <v>458</v>
      </c>
    </row>
    <row r="5920" spans="1:15" x14ac:dyDescent="0.3">
      <c r="A5920">
        <v>181499</v>
      </c>
      <c r="B5920">
        <v>105</v>
      </c>
      <c r="C5920" t="s">
        <v>557</v>
      </c>
      <c r="D5920" t="s">
        <v>2581</v>
      </c>
      <c r="E5920" t="s">
        <v>3869</v>
      </c>
      <c r="F5920" s="451">
        <v>45995</v>
      </c>
      <c r="G5920">
        <v>19617</v>
      </c>
      <c r="H5920" t="s">
        <v>5071</v>
      </c>
      <c r="I5920" t="s">
        <v>5191</v>
      </c>
      <c r="J5920">
        <v>0.5</v>
      </c>
      <c r="K5920" t="s">
        <v>4744</v>
      </c>
      <c r="L5920">
        <v>5.75</v>
      </c>
      <c r="M5920">
        <v>11.5</v>
      </c>
      <c r="O5920" t="s">
        <v>458</v>
      </c>
    </row>
    <row r="5921" spans="1:15" x14ac:dyDescent="0.3">
      <c r="A5921">
        <v>181499</v>
      </c>
      <c r="B5921">
        <v>105</v>
      </c>
      <c r="C5921" t="s">
        <v>557</v>
      </c>
      <c r="D5921" t="s">
        <v>2581</v>
      </c>
      <c r="E5921" t="s">
        <v>3869</v>
      </c>
      <c r="F5921" s="451">
        <v>45995</v>
      </c>
      <c r="G5921">
        <v>19635</v>
      </c>
      <c r="H5921" t="s">
        <v>4786</v>
      </c>
      <c r="I5921" t="s">
        <v>5191</v>
      </c>
      <c r="J5921">
        <v>10</v>
      </c>
      <c r="K5921" t="s">
        <v>4744</v>
      </c>
      <c r="L5921">
        <v>27</v>
      </c>
      <c r="M5921">
        <v>2.7</v>
      </c>
      <c r="O5921" t="s">
        <v>458</v>
      </c>
    </row>
    <row r="5922" spans="1:15" x14ac:dyDescent="0.3">
      <c r="A5922">
        <v>181499</v>
      </c>
      <c r="B5922">
        <v>105</v>
      </c>
      <c r="C5922" t="s">
        <v>557</v>
      </c>
      <c r="D5922" t="s">
        <v>2581</v>
      </c>
      <c r="E5922" t="s">
        <v>3869</v>
      </c>
      <c r="F5922" s="451">
        <v>45995</v>
      </c>
      <c r="G5922">
        <v>23108</v>
      </c>
      <c r="H5922" t="s">
        <v>5117</v>
      </c>
      <c r="I5922" t="s">
        <v>5191</v>
      </c>
      <c r="J5922">
        <v>0.1</v>
      </c>
      <c r="K5922" t="s">
        <v>4744</v>
      </c>
      <c r="L5922">
        <v>5.2</v>
      </c>
      <c r="M5922">
        <v>52</v>
      </c>
      <c r="O5922" t="s">
        <v>458</v>
      </c>
    </row>
    <row r="5923" spans="1:15" x14ac:dyDescent="0.3">
      <c r="A5923">
        <v>181499</v>
      </c>
      <c r="B5923">
        <v>105</v>
      </c>
      <c r="C5923" t="s">
        <v>557</v>
      </c>
      <c r="D5923" t="s">
        <v>2581</v>
      </c>
      <c r="E5923" t="s">
        <v>3869</v>
      </c>
      <c r="F5923" s="451">
        <v>45995</v>
      </c>
      <c r="G5923">
        <v>23113</v>
      </c>
      <c r="H5923" t="s">
        <v>5074</v>
      </c>
      <c r="I5923" t="s">
        <v>5191</v>
      </c>
      <c r="J5923">
        <v>2</v>
      </c>
      <c r="K5923" t="s">
        <v>4744</v>
      </c>
      <c r="L5923">
        <v>14</v>
      </c>
      <c r="M5923">
        <v>7</v>
      </c>
      <c r="O5923" t="s">
        <v>458</v>
      </c>
    </row>
    <row r="5924" spans="1:15" x14ac:dyDescent="0.3">
      <c r="A5924">
        <v>181499</v>
      </c>
      <c r="B5924">
        <v>105</v>
      </c>
      <c r="C5924" t="s">
        <v>557</v>
      </c>
      <c r="D5924" t="s">
        <v>2581</v>
      </c>
      <c r="E5924" t="s">
        <v>3869</v>
      </c>
      <c r="F5924" s="451">
        <v>45995</v>
      </c>
      <c r="G5924">
        <v>23195</v>
      </c>
      <c r="H5924" t="s">
        <v>5051</v>
      </c>
      <c r="I5924" t="s">
        <v>5191</v>
      </c>
      <c r="J5924">
        <v>0.3</v>
      </c>
      <c r="K5924" t="s">
        <v>4744</v>
      </c>
      <c r="L5924">
        <v>1.95</v>
      </c>
      <c r="M5924">
        <v>6.5</v>
      </c>
      <c r="O5924" t="s">
        <v>458</v>
      </c>
    </row>
    <row r="5925" spans="1:15" x14ac:dyDescent="0.3">
      <c r="A5925">
        <v>181499</v>
      </c>
      <c r="B5925">
        <v>105</v>
      </c>
      <c r="C5925" t="s">
        <v>557</v>
      </c>
      <c r="D5925" t="s">
        <v>2581</v>
      </c>
      <c r="E5925" t="s">
        <v>3869</v>
      </c>
      <c r="F5925" s="451">
        <v>45995</v>
      </c>
      <c r="G5925">
        <v>23236</v>
      </c>
      <c r="H5925" t="s">
        <v>5062</v>
      </c>
      <c r="I5925" t="s">
        <v>5191</v>
      </c>
      <c r="J5925">
        <v>2</v>
      </c>
      <c r="K5925" t="s">
        <v>4744</v>
      </c>
      <c r="L5925">
        <v>10</v>
      </c>
      <c r="M5925">
        <v>5</v>
      </c>
      <c r="O5925" t="s">
        <v>458</v>
      </c>
    </row>
    <row r="5926" spans="1:15" x14ac:dyDescent="0.3">
      <c r="A5926">
        <v>181499</v>
      </c>
      <c r="B5926">
        <v>105</v>
      </c>
      <c r="C5926" t="s">
        <v>557</v>
      </c>
      <c r="D5926" t="s">
        <v>2581</v>
      </c>
      <c r="E5926" t="s">
        <v>3869</v>
      </c>
      <c r="F5926" s="451">
        <v>45995</v>
      </c>
      <c r="G5926">
        <v>23238</v>
      </c>
      <c r="H5926" t="s">
        <v>4934</v>
      </c>
      <c r="I5926" t="s">
        <v>5191</v>
      </c>
      <c r="J5926">
        <v>2</v>
      </c>
      <c r="K5926" t="s">
        <v>4744</v>
      </c>
      <c r="L5926">
        <v>24</v>
      </c>
      <c r="M5926">
        <v>12</v>
      </c>
      <c r="O5926" t="s">
        <v>458</v>
      </c>
    </row>
    <row r="5927" spans="1:15" x14ac:dyDescent="0.3">
      <c r="A5927">
        <v>181499</v>
      </c>
      <c r="B5927">
        <v>105</v>
      </c>
      <c r="C5927" t="s">
        <v>557</v>
      </c>
      <c r="D5927" t="s">
        <v>2581</v>
      </c>
      <c r="E5927" t="s">
        <v>3869</v>
      </c>
      <c r="F5927" s="451">
        <v>45995</v>
      </c>
      <c r="G5927">
        <v>23365</v>
      </c>
      <c r="H5927" t="s">
        <v>5108</v>
      </c>
      <c r="I5927" t="s">
        <v>5191</v>
      </c>
      <c r="J5927">
        <v>1</v>
      </c>
      <c r="K5927" t="s">
        <v>4744</v>
      </c>
      <c r="L5927">
        <v>25</v>
      </c>
      <c r="M5927">
        <v>25</v>
      </c>
      <c r="O5927" t="s">
        <v>458</v>
      </c>
    </row>
    <row r="5928" spans="1:15" x14ac:dyDescent="0.3">
      <c r="A5928">
        <v>181499</v>
      </c>
      <c r="B5928">
        <v>105</v>
      </c>
      <c r="C5928" t="s">
        <v>557</v>
      </c>
      <c r="D5928" t="s">
        <v>2581</v>
      </c>
      <c r="E5928" t="s">
        <v>3869</v>
      </c>
      <c r="F5928" s="451">
        <v>45995</v>
      </c>
      <c r="G5928">
        <v>23385</v>
      </c>
      <c r="H5928" t="s">
        <v>4938</v>
      </c>
      <c r="I5928" t="s">
        <v>5191</v>
      </c>
      <c r="J5928">
        <v>2</v>
      </c>
      <c r="K5928" t="s">
        <v>4744</v>
      </c>
      <c r="L5928">
        <v>56</v>
      </c>
      <c r="M5928">
        <v>28</v>
      </c>
      <c r="O5928" t="s">
        <v>458</v>
      </c>
    </row>
    <row r="5929" spans="1:15" x14ac:dyDescent="0.3">
      <c r="A5929">
        <v>181499</v>
      </c>
      <c r="B5929">
        <v>105</v>
      </c>
      <c r="C5929" t="s">
        <v>557</v>
      </c>
      <c r="D5929" t="s">
        <v>2581</v>
      </c>
      <c r="E5929" t="s">
        <v>3869</v>
      </c>
      <c r="F5929" s="451">
        <v>45995</v>
      </c>
      <c r="G5929">
        <v>23361</v>
      </c>
      <c r="H5929" t="s">
        <v>4754</v>
      </c>
      <c r="I5929" t="s">
        <v>5191</v>
      </c>
      <c r="J5929">
        <v>20</v>
      </c>
      <c r="K5929" t="s">
        <v>4744</v>
      </c>
      <c r="L5929">
        <v>62</v>
      </c>
      <c r="M5929">
        <v>3.1</v>
      </c>
      <c r="O5929" t="s">
        <v>458</v>
      </c>
    </row>
    <row r="5930" spans="1:15" x14ac:dyDescent="0.3">
      <c r="A5930">
        <v>181499</v>
      </c>
      <c r="B5930">
        <v>105</v>
      </c>
      <c r="C5930" t="s">
        <v>557</v>
      </c>
      <c r="D5930" t="s">
        <v>2581</v>
      </c>
      <c r="E5930" t="s">
        <v>3869</v>
      </c>
      <c r="F5930" s="451">
        <v>45995</v>
      </c>
      <c r="G5930">
        <v>23095</v>
      </c>
      <c r="H5930" t="s">
        <v>4741</v>
      </c>
      <c r="I5930" t="s">
        <v>5191</v>
      </c>
      <c r="J5930">
        <v>100</v>
      </c>
      <c r="K5930" t="s">
        <v>4736</v>
      </c>
      <c r="L5930">
        <v>94</v>
      </c>
      <c r="M5930">
        <v>0.94</v>
      </c>
      <c r="O5930" t="s">
        <v>458</v>
      </c>
    </row>
    <row r="5931" spans="1:15" x14ac:dyDescent="0.3">
      <c r="A5931">
        <v>181499</v>
      </c>
      <c r="B5931">
        <v>105</v>
      </c>
      <c r="C5931" t="s">
        <v>557</v>
      </c>
      <c r="D5931" t="s">
        <v>2581</v>
      </c>
      <c r="E5931" t="s">
        <v>3869</v>
      </c>
      <c r="F5931" s="451">
        <v>45995</v>
      </c>
      <c r="G5931">
        <v>23389</v>
      </c>
      <c r="H5931" t="s">
        <v>4960</v>
      </c>
      <c r="I5931" t="s">
        <v>5191</v>
      </c>
      <c r="J5931">
        <v>3</v>
      </c>
      <c r="K5931" t="s">
        <v>4744</v>
      </c>
      <c r="L5931">
        <v>17.399999999999999</v>
      </c>
      <c r="M5931">
        <v>5.8</v>
      </c>
      <c r="O5931" t="s">
        <v>458</v>
      </c>
    </row>
    <row r="5932" spans="1:15" x14ac:dyDescent="0.3">
      <c r="A5932">
        <v>181499</v>
      </c>
      <c r="B5932">
        <v>105</v>
      </c>
      <c r="C5932" t="s">
        <v>557</v>
      </c>
      <c r="D5932" t="s">
        <v>2581</v>
      </c>
      <c r="E5932" t="s">
        <v>3869</v>
      </c>
      <c r="F5932" s="451">
        <v>45995</v>
      </c>
      <c r="G5932">
        <v>24037</v>
      </c>
      <c r="H5932" t="s">
        <v>5233</v>
      </c>
      <c r="I5932" t="s">
        <v>5191</v>
      </c>
      <c r="J5932">
        <v>2</v>
      </c>
      <c r="K5932" t="s">
        <v>4744</v>
      </c>
      <c r="L5932">
        <v>40</v>
      </c>
      <c r="M5932">
        <v>20</v>
      </c>
      <c r="O5932" t="s">
        <v>458</v>
      </c>
    </row>
    <row r="5933" spans="1:15" x14ac:dyDescent="0.3">
      <c r="A5933">
        <v>181499</v>
      </c>
      <c r="B5933">
        <v>105</v>
      </c>
      <c r="C5933" t="s">
        <v>557</v>
      </c>
      <c r="D5933" t="s">
        <v>2581</v>
      </c>
      <c r="E5933" t="s">
        <v>3869</v>
      </c>
      <c r="F5933" s="451">
        <v>45995</v>
      </c>
      <c r="G5933">
        <v>19472</v>
      </c>
      <c r="H5933" t="s">
        <v>4906</v>
      </c>
      <c r="I5933" t="s">
        <v>5191</v>
      </c>
      <c r="J5933">
        <v>1.5</v>
      </c>
      <c r="K5933" t="s">
        <v>4744</v>
      </c>
      <c r="L5933">
        <v>18</v>
      </c>
      <c r="M5933">
        <v>12</v>
      </c>
      <c r="O5933" t="s">
        <v>458</v>
      </c>
    </row>
    <row r="5934" spans="1:15" x14ac:dyDescent="0.3">
      <c r="A5934">
        <v>181499</v>
      </c>
      <c r="B5934">
        <v>105</v>
      </c>
      <c r="C5934" t="s">
        <v>557</v>
      </c>
      <c r="D5934" t="s">
        <v>2581</v>
      </c>
      <c r="E5934" t="s">
        <v>3869</v>
      </c>
      <c r="F5934" s="451">
        <v>45995</v>
      </c>
      <c r="G5934">
        <v>19532</v>
      </c>
      <c r="H5934" t="s">
        <v>4753</v>
      </c>
      <c r="I5934" t="s">
        <v>5191</v>
      </c>
      <c r="J5934">
        <v>25</v>
      </c>
      <c r="K5934" t="s">
        <v>4744</v>
      </c>
      <c r="L5934">
        <v>105</v>
      </c>
      <c r="M5934">
        <v>4.2</v>
      </c>
      <c r="O5934" t="s">
        <v>458</v>
      </c>
    </row>
    <row r="5935" spans="1:15" x14ac:dyDescent="0.3">
      <c r="A5935">
        <v>181497</v>
      </c>
      <c r="B5935">
        <v>105</v>
      </c>
      <c r="C5935" t="s">
        <v>557</v>
      </c>
      <c r="D5935" t="s">
        <v>2554</v>
      </c>
      <c r="E5935" t="s">
        <v>3870</v>
      </c>
      <c r="F5935" s="451">
        <v>45994</v>
      </c>
      <c r="G5935">
        <v>17129</v>
      </c>
      <c r="H5935" t="s">
        <v>5202</v>
      </c>
      <c r="I5935" t="s">
        <v>5188</v>
      </c>
      <c r="J5935">
        <v>1</v>
      </c>
      <c r="K5935" t="s">
        <v>4738</v>
      </c>
      <c r="L5935">
        <v>29.9</v>
      </c>
      <c r="M5935">
        <v>29.9</v>
      </c>
      <c r="O5935" t="s">
        <v>458</v>
      </c>
    </row>
    <row r="5936" spans="1:15" x14ac:dyDescent="0.3">
      <c r="A5936">
        <v>181497</v>
      </c>
      <c r="B5936">
        <v>105</v>
      </c>
      <c r="C5936" t="s">
        <v>557</v>
      </c>
      <c r="D5936" t="s">
        <v>2554</v>
      </c>
      <c r="E5936" t="s">
        <v>3870</v>
      </c>
      <c r="F5936" s="451">
        <v>45994</v>
      </c>
      <c r="G5936">
        <v>17437</v>
      </c>
      <c r="H5936" t="s">
        <v>5203</v>
      </c>
      <c r="I5936" t="s">
        <v>5188</v>
      </c>
      <c r="J5936">
        <v>8</v>
      </c>
      <c r="K5936" t="s">
        <v>4736</v>
      </c>
      <c r="L5936">
        <v>20</v>
      </c>
      <c r="M5936">
        <v>2.5</v>
      </c>
      <c r="O5936" t="s">
        <v>458</v>
      </c>
    </row>
    <row r="5937" spans="1:15" x14ac:dyDescent="0.3">
      <c r="A5937">
        <v>181497</v>
      </c>
      <c r="B5937">
        <v>105</v>
      </c>
      <c r="C5937" t="s">
        <v>557</v>
      </c>
      <c r="D5937" t="s">
        <v>2554</v>
      </c>
      <c r="E5937" t="s">
        <v>3870</v>
      </c>
      <c r="F5937" s="451">
        <v>45994</v>
      </c>
      <c r="G5937">
        <v>17455</v>
      </c>
      <c r="H5937" t="s">
        <v>5290</v>
      </c>
      <c r="I5937" t="s">
        <v>5188</v>
      </c>
      <c r="J5937">
        <v>1</v>
      </c>
      <c r="K5937" t="s">
        <v>4736</v>
      </c>
      <c r="L5937">
        <v>38.9</v>
      </c>
      <c r="M5937">
        <v>38.9</v>
      </c>
      <c r="O5937" t="s">
        <v>458</v>
      </c>
    </row>
    <row r="5938" spans="1:15" x14ac:dyDescent="0.3">
      <c r="A5938">
        <v>181497</v>
      </c>
      <c r="B5938">
        <v>105</v>
      </c>
      <c r="C5938" t="s">
        <v>557</v>
      </c>
      <c r="D5938" t="s">
        <v>2554</v>
      </c>
      <c r="E5938" t="s">
        <v>3870</v>
      </c>
      <c r="F5938" s="451">
        <v>45994</v>
      </c>
      <c r="G5938">
        <v>17046</v>
      </c>
      <c r="H5938" t="s">
        <v>5194</v>
      </c>
      <c r="I5938" t="s">
        <v>5188</v>
      </c>
      <c r="J5938">
        <v>1</v>
      </c>
      <c r="K5938" t="s">
        <v>4736</v>
      </c>
      <c r="L5938">
        <v>39.9</v>
      </c>
      <c r="M5938">
        <v>39.9</v>
      </c>
      <c r="O5938" t="s">
        <v>458</v>
      </c>
    </row>
    <row r="5939" spans="1:15" x14ac:dyDescent="0.3">
      <c r="A5939">
        <v>181497</v>
      </c>
      <c r="B5939">
        <v>105</v>
      </c>
      <c r="C5939" t="s">
        <v>557</v>
      </c>
      <c r="D5939" t="s">
        <v>2554</v>
      </c>
      <c r="E5939" t="s">
        <v>3870</v>
      </c>
      <c r="F5939" s="451">
        <v>45994</v>
      </c>
      <c r="G5939">
        <v>17215</v>
      </c>
      <c r="H5939" t="s">
        <v>5299</v>
      </c>
      <c r="I5939" t="s">
        <v>5188</v>
      </c>
      <c r="J5939">
        <v>5</v>
      </c>
      <c r="K5939" t="s">
        <v>4848</v>
      </c>
      <c r="L5939">
        <v>100</v>
      </c>
      <c r="M5939">
        <v>20</v>
      </c>
      <c r="O5939" t="s">
        <v>458</v>
      </c>
    </row>
    <row r="5940" spans="1:15" x14ac:dyDescent="0.3">
      <c r="A5940">
        <v>181497</v>
      </c>
      <c r="B5940">
        <v>105</v>
      </c>
      <c r="C5940" t="s">
        <v>557</v>
      </c>
      <c r="D5940" t="s">
        <v>2554</v>
      </c>
      <c r="E5940" t="s">
        <v>3870</v>
      </c>
      <c r="F5940" s="451">
        <v>45994</v>
      </c>
      <c r="G5940">
        <v>17399</v>
      </c>
      <c r="H5940" t="s">
        <v>5244</v>
      </c>
      <c r="I5940" t="s">
        <v>5188</v>
      </c>
      <c r="J5940">
        <v>1</v>
      </c>
      <c r="K5940" t="s">
        <v>4736</v>
      </c>
      <c r="L5940">
        <v>22</v>
      </c>
      <c r="M5940">
        <v>22</v>
      </c>
      <c r="O5940" t="s">
        <v>458</v>
      </c>
    </row>
    <row r="5941" spans="1:15" x14ac:dyDescent="0.3">
      <c r="A5941">
        <v>181497</v>
      </c>
      <c r="B5941">
        <v>105</v>
      </c>
      <c r="C5941" t="s">
        <v>557</v>
      </c>
      <c r="D5941" t="s">
        <v>2554</v>
      </c>
      <c r="E5941" t="s">
        <v>3870</v>
      </c>
      <c r="F5941" s="451">
        <v>45994</v>
      </c>
      <c r="G5941">
        <v>24787</v>
      </c>
      <c r="H5941" t="s">
        <v>5212</v>
      </c>
      <c r="I5941" t="s">
        <v>5188</v>
      </c>
      <c r="J5941">
        <v>2</v>
      </c>
      <c r="K5941" t="s">
        <v>4738</v>
      </c>
      <c r="L5941">
        <v>176</v>
      </c>
      <c r="M5941">
        <v>88</v>
      </c>
      <c r="O5941" t="s">
        <v>458</v>
      </c>
    </row>
    <row r="5942" spans="1:15" x14ac:dyDescent="0.3">
      <c r="A5942">
        <v>181497</v>
      </c>
      <c r="B5942">
        <v>105</v>
      </c>
      <c r="C5942" t="s">
        <v>557</v>
      </c>
      <c r="D5942" t="s">
        <v>2554</v>
      </c>
      <c r="E5942" t="s">
        <v>3870</v>
      </c>
      <c r="F5942" s="451">
        <v>45994</v>
      </c>
      <c r="G5942">
        <v>17182</v>
      </c>
      <c r="H5942" t="s">
        <v>5201</v>
      </c>
      <c r="I5942" t="s">
        <v>5188</v>
      </c>
      <c r="J5942">
        <v>1</v>
      </c>
      <c r="K5942" t="s">
        <v>4848</v>
      </c>
      <c r="L5942">
        <v>42</v>
      </c>
      <c r="M5942">
        <v>42</v>
      </c>
      <c r="O5942" t="s">
        <v>458</v>
      </c>
    </row>
    <row r="5943" spans="1:15" x14ac:dyDescent="0.3">
      <c r="A5943">
        <v>181497</v>
      </c>
      <c r="B5943">
        <v>105</v>
      </c>
      <c r="C5943" t="s">
        <v>557</v>
      </c>
      <c r="D5943" t="s">
        <v>2554</v>
      </c>
      <c r="E5943" t="s">
        <v>3870</v>
      </c>
      <c r="F5943" s="451">
        <v>45994</v>
      </c>
      <c r="G5943">
        <v>17138</v>
      </c>
      <c r="H5943" t="s">
        <v>5297</v>
      </c>
      <c r="I5943" t="s">
        <v>5188</v>
      </c>
      <c r="J5943">
        <v>1</v>
      </c>
      <c r="K5943" t="s">
        <v>4736</v>
      </c>
      <c r="L5943">
        <v>10.5</v>
      </c>
      <c r="M5943">
        <v>10.5</v>
      </c>
      <c r="O5943" t="s">
        <v>458</v>
      </c>
    </row>
    <row r="5944" spans="1:15" x14ac:dyDescent="0.3">
      <c r="A5944">
        <v>181497</v>
      </c>
      <c r="B5944">
        <v>105</v>
      </c>
      <c r="C5944" t="s">
        <v>557</v>
      </c>
      <c r="D5944" t="s">
        <v>2554</v>
      </c>
      <c r="E5944" t="s">
        <v>3870</v>
      </c>
      <c r="F5944" s="451">
        <v>45994</v>
      </c>
      <c r="G5944">
        <v>17314</v>
      </c>
      <c r="H5944" t="s">
        <v>5208</v>
      </c>
      <c r="I5944" t="s">
        <v>5188</v>
      </c>
      <c r="J5944">
        <v>2</v>
      </c>
      <c r="K5944" t="s">
        <v>4848</v>
      </c>
      <c r="L5944">
        <v>12.6</v>
      </c>
      <c r="M5944">
        <v>6.3</v>
      </c>
      <c r="O5944" t="s">
        <v>458</v>
      </c>
    </row>
    <row r="5945" spans="1:15" x14ac:dyDescent="0.3">
      <c r="A5945">
        <v>181497</v>
      </c>
      <c r="B5945">
        <v>105</v>
      </c>
      <c r="C5945" t="s">
        <v>557</v>
      </c>
      <c r="D5945" t="s">
        <v>2554</v>
      </c>
      <c r="E5945" t="s">
        <v>3870</v>
      </c>
      <c r="F5945" s="451">
        <v>45994</v>
      </c>
      <c r="G5945">
        <v>17573</v>
      </c>
      <c r="H5945" t="s">
        <v>5306</v>
      </c>
      <c r="I5945" t="s">
        <v>5188</v>
      </c>
      <c r="J5945">
        <v>1</v>
      </c>
      <c r="K5945" t="s">
        <v>4749</v>
      </c>
      <c r="L5945">
        <v>78</v>
      </c>
      <c r="M5945">
        <v>78</v>
      </c>
      <c r="O5945" t="s">
        <v>458</v>
      </c>
    </row>
    <row r="5946" spans="1:15" x14ac:dyDescent="0.3">
      <c r="A5946">
        <v>181497</v>
      </c>
      <c r="B5946">
        <v>105</v>
      </c>
      <c r="C5946" t="s">
        <v>557</v>
      </c>
      <c r="D5946" t="s">
        <v>2554</v>
      </c>
      <c r="E5946" t="s">
        <v>3870</v>
      </c>
      <c r="F5946" s="451">
        <v>45994</v>
      </c>
      <c r="G5946">
        <v>17504</v>
      </c>
      <c r="H5946" t="s">
        <v>5260</v>
      </c>
      <c r="I5946" t="s">
        <v>5205</v>
      </c>
      <c r="J5946">
        <v>2</v>
      </c>
      <c r="K5946" t="s">
        <v>4736</v>
      </c>
      <c r="L5946">
        <v>47.8</v>
      </c>
      <c r="M5946">
        <v>23.9</v>
      </c>
      <c r="O5946" t="s">
        <v>458</v>
      </c>
    </row>
    <row r="5947" spans="1:15" x14ac:dyDescent="0.3">
      <c r="A5947">
        <v>181497</v>
      </c>
      <c r="B5947">
        <v>105</v>
      </c>
      <c r="C5947" t="s">
        <v>557</v>
      </c>
      <c r="D5947" t="s">
        <v>2554</v>
      </c>
      <c r="E5947" t="s">
        <v>3870</v>
      </c>
      <c r="F5947" s="451">
        <v>45994</v>
      </c>
      <c r="G5947">
        <v>26944</v>
      </c>
      <c r="H5947" t="s">
        <v>5325</v>
      </c>
      <c r="I5947" t="s">
        <v>5188</v>
      </c>
      <c r="J5947">
        <v>1</v>
      </c>
      <c r="K5947" t="s">
        <v>4738</v>
      </c>
      <c r="L5947">
        <v>230</v>
      </c>
      <c r="M5947">
        <v>230</v>
      </c>
      <c r="O5947" t="s">
        <v>458</v>
      </c>
    </row>
    <row r="5948" spans="1:15" x14ac:dyDescent="0.3">
      <c r="A5948">
        <v>181497</v>
      </c>
      <c r="B5948">
        <v>105</v>
      </c>
      <c r="C5948" t="s">
        <v>557</v>
      </c>
      <c r="D5948" t="s">
        <v>2554</v>
      </c>
      <c r="E5948" t="s">
        <v>3870</v>
      </c>
      <c r="F5948" s="451">
        <v>45994</v>
      </c>
      <c r="G5948">
        <v>17416</v>
      </c>
      <c r="H5948" t="s">
        <v>5209</v>
      </c>
      <c r="I5948" t="s">
        <v>5188</v>
      </c>
      <c r="J5948">
        <v>2</v>
      </c>
      <c r="K5948" t="s">
        <v>4749</v>
      </c>
      <c r="L5948">
        <v>110.4</v>
      </c>
      <c r="M5948">
        <v>55.2</v>
      </c>
      <c r="O5948" t="s">
        <v>458</v>
      </c>
    </row>
    <row r="5949" spans="1:15" x14ac:dyDescent="0.3">
      <c r="A5949">
        <v>181497</v>
      </c>
      <c r="B5949">
        <v>105</v>
      </c>
      <c r="C5949" t="s">
        <v>557</v>
      </c>
      <c r="D5949" t="s">
        <v>2554</v>
      </c>
      <c r="E5949" t="s">
        <v>3870</v>
      </c>
      <c r="F5949" s="451">
        <v>45994</v>
      </c>
      <c r="G5949">
        <v>24505</v>
      </c>
      <c r="H5949" t="s">
        <v>5198</v>
      </c>
      <c r="I5949" t="s">
        <v>5188</v>
      </c>
      <c r="J5949">
        <v>2</v>
      </c>
      <c r="K5949" t="s">
        <v>4738</v>
      </c>
      <c r="L5949">
        <v>11.78</v>
      </c>
      <c r="M5949">
        <v>5.89</v>
      </c>
      <c r="O5949" t="s">
        <v>458</v>
      </c>
    </row>
    <row r="5950" spans="1:15" x14ac:dyDescent="0.3">
      <c r="A5950">
        <v>181497</v>
      </c>
      <c r="B5950">
        <v>105</v>
      </c>
      <c r="C5950" t="s">
        <v>557</v>
      </c>
      <c r="D5950" t="s">
        <v>2554</v>
      </c>
      <c r="E5950" t="s">
        <v>3870</v>
      </c>
      <c r="F5950" s="451">
        <v>45994</v>
      </c>
      <c r="G5950">
        <v>17361</v>
      </c>
      <c r="H5950" t="s">
        <v>5309</v>
      </c>
      <c r="I5950" t="s">
        <v>5188</v>
      </c>
      <c r="J5950">
        <v>2</v>
      </c>
      <c r="K5950" t="s">
        <v>4738</v>
      </c>
      <c r="L5950">
        <v>17.8</v>
      </c>
      <c r="M5950">
        <v>8.9</v>
      </c>
      <c r="O5950" t="s">
        <v>458</v>
      </c>
    </row>
    <row r="5951" spans="1:15" x14ac:dyDescent="0.3">
      <c r="A5951">
        <v>181497</v>
      </c>
      <c r="B5951">
        <v>105</v>
      </c>
      <c r="C5951" t="s">
        <v>557</v>
      </c>
      <c r="D5951" t="s">
        <v>2554</v>
      </c>
      <c r="E5951" t="s">
        <v>3870</v>
      </c>
      <c r="F5951" s="451">
        <v>45994</v>
      </c>
      <c r="G5951">
        <v>21423</v>
      </c>
      <c r="H5951" t="s">
        <v>5248</v>
      </c>
      <c r="I5951" t="s">
        <v>5188</v>
      </c>
      <c r="J5951">
        <v>2</v>
      </c>
      <c r="K5951" t="s">
        <v>4736</v>
      </c>
      <c r="L5951">
        <v>84</v>
      </c>
      <c r="M5951">
        <v>42</v>
      </c>
      <c r="O5951" t="s">
        <v>458</v>
      </c>
    </row>
    <row r="5952" spans="1:15" x14ac:dyDescent="0.3">
      <c r="A5952">
        <v>181497</v>
      </c>
      <c r="B5952">
        <v>105</v>
      </c>
      <c r="C5952" t="s">
        <v>557</v>
      </c>
      <c r="D5952" t="s">
        <v>2554</v>
      </c>
      <c r="E5952" t="s">
        <v>3870</v>
      </c>
      <c r="F5952" s="451">
        <v>45994</v>
      </c>
      <c r="G5952">
        <v>26928</v>
      </c>
      <c r="H5952" t="s">
        <v>5298</v>
      </c>
      <c r="I5952" t="s">
        <v>5188</v>
      </c>
      <c r="J5952">
        <v>1</v>
      </c>
      <c r="K5952" t="s">
        <v>4736</v>
      </c>
      <c r="L5952">
        <v>10.9</v>
      </c>
      <c r="M5952">
        <v>10.9</v>
      </c>
      <c r="O5952" t="s">
        <v>458</v>
      </c>
    </row>
    <row r="5953" spans="1:15" x14ac:dyDescent="0.3">
      <c r="A5953">
        <v>181497</v>
      </c>
      <c r="B5953">
        <v>105</v>
      </c>
      <c r="C5953" t="s">
        <v>557</v>
      </c>
      <c r="D5953" t="s">
        <v>2554</v>
      </c>
      <c r="E5953" t="s">
        <v>3870</v>
      </c>
      <c r="F5953" s="451">
        <v>45994</v>
      </c>
      <c r="G5953">
        <v>17333</v>
      </c>
      <c r="H5953" t="s">
        <v>5211</v>
      </c>
      <c r="I5953" t="s">
        <v>5188</v>
      </c>
      <c r="J5953">
        <v>1</v>
      </c>
      <c r="K5953" t="s">
        <v>4738</v>
      </c>
      <c r="L5953">
        <v>75</v>
      </c>
      <c r="M5953">
        <v>75</v>
      </c>
      <c r="O5953" t="s">
        <v>458</v>
      </c>
    </row>
    <row r="5954" spans="1:15" x14ac:dyDescent="0.3">
      <c r="A5954">
        <v>181497</v>
      </c>
      <c r="B5954">
        <v>105</v>
      </c>
      <c r="C5954" t="s">
        <v>557</v>
      </c>
      <c r="D5954" t="s">
        <v>2554</v>
      </c>
      <c r="E5954" t="s">
        <v>3870</v>
      </c>
      <c r="F5954" s="451">
        <v>45994</v>
      </c>
      <c r="G5954">
        <v>17418</v>
      </c>
      <c r="H5954" t="s">
        <v>5207</v>
      </c>
      <c r="I5954" t="s">
        <v>5188</v>
      </c>
      <c r="J5954">
        <v>3</v>
      </c>
      <c r="K5954" t="s">
        <v>4749</v>
      </c>
      <c r="L5954">
        <v>186</v>
      </c>
      <c r="M5954">
        <v>62</v>
      </c>
      <c r="O5954" t="s">
        <v>458</v>
      </c>
    </row>
    <row r="5955" spans="1:15" x14ac:dyDescent="0.3">
      <c r="A5955">
        <v>181497</v>
      </c>
      <c r="B5955">
        <v>105</v>
      </c>
      <c r="C5955" t="s">
        <v>557</v>
      </c>
      <c r="D5955" t="s">
        <v>2554</v>
      </c>
      <c r="E5955" t="s">
        <v>3870</v>
      </c>
      <c r="F5955" s="451">
        <v>45994</v>
      </c>
      <c r="G5955">
        <v>27798</v>
      </c>
      <c r="H5955" t="s">
        <v>5257</v>
      </c>
      <c r="I5955" t="s">
        <v>5215</v>
      </c>
      <c r="J5955">
        <v>2</v>
      </c>
      <c r="K5955" t="s">
        <v>5245</v>
      </c>
      <c r="L5955">
        <v>350</v>
      </c>
      <c r="M5955">
        <v>175</v>
      </c>
      <c r="O5955" t="s">
        <v>458</v>
      </c>
    </row>
    <row r="5956" spans="1:15" x14ac:dyDescent="0.3">
      <c r="A5956">
        <v>181497</v>
      </c>
      <c r="B5956">
        <v>105</v>
      </c>
      <c r="C5956" t="s">
        <v>557</v>
      </c>
      <c r="D5956" t="s">
        <v>2554</v>
      </c>
      <c r="E5956" t="s">
        <v>3870</v>
      </c>
      <c r="F5956" s="451">
        <v>45994</v>
      </c>
      <c r="G5956">
        <v>24931</v>
      </c>
      <c r="H5956" t="s">
        <v>5308</v>
      </c>
      <c r="I5956" t="s">
        <v>5188</v>
      </c>
      <c r="J5956">
        <v>2</v>
      </c>
      <c r="K5956" t="s">
        <v>4738</v>
      </c>
      <c r="L5956">
        <v>100</v>
      </c>
      <c r="M5956">
        <v>50</v>
      </c>
      <c r="O5956" t="s">
        <v>458</v>
      </c>
    </row>
    <row r="5957" spans="1:15" x14ac:dyDescent="0.3">
      <c r="A5957">
        <v>181497</v>
      </c>
      <c r="B5957">
        <v>105</v>
      </c>
      <c r="C5957" t="s">
        <v>557</v>
      </c>
      <c r="D5957" t="s">
        <v>2554</v>
      </c>
      <c r="E5957" t="s">
        <v>3870</v>
      </c>
      <c r="F5957" s="451">
        <v>45994</v>
      </c>
      <c r="G5957">
        <v>21432</v>
      </c>
      <c r="H5957" t="s">
        <v>5346</v>
      </c>
      <c r="I5957" t="s">
        <v>5188</v>
      </c>
      <c r="J5957">
        <v>1</v>
      </c>
      <c r="K5957" t="s">
        <v>4738</v>
      </c>
      <c r="L5957">
        <v>118</v>
      </c>
      <c r="M5957">
        <v>118</v>
      </c>
      <c r="O5957" t="s">
        <v>458</v>
      </c>
    </row>
    <row r="5958" spans="1:15" x14ac:dyDescent="0.3">
      <c r="A5958">
        <v>181487</v>
      </c>
      <c r="B5958">
        <v>105</v>
      </c>
      <c r="C5958" t="s">
        <v>557</v>
      </c>
      <c r="D5958" t="s">
        <v>2548</v>
      </c>
      <c r="E5958" t="s">
        <v>3292</v>
      </c>
      <c r="F5958" s="451">
        <v>45993</v>
      </c>
      <c r="G5958">
        <v>20887</v>
      </c>
      <c r="H5958" t="s">
        <v>4953</v>
      </c>
      <c r="I5958" t="s">
        <v>5191</v>
      </c>
      <c r="J5958">
        <v>2</v>
      </c>
      <c r="K5958" t="s">
        <v>4879</v>
      </c>
      <c r="L5958">
        <v>69.8</v>
      </c>
      <c r="M5958">
        <v>34.9</v>
      </c>
      <c r="O5958" t="s">
        <v>458</v>
      </c>
    </row>
    <row r="5959" spans="1:15" x14ac:dyDescent="0.3">
      <c r="A5959">
        <v>181487</v>
      </c>
      <c r="B5959">
        <v>105</v>
      </c>
      <c r="C5959" t="s">
        <v>557</v>
      </c>
      <c r="D5959" t="s">
        <v>2548</v>
      </c>
      <c r="E5959" t="s">
        <v>3292</v>
      </c>
      <c r="F5959" s="451">
        <v>45993</v>
      </c>
      <c r="G5959">
        <v>19983</v>
      </c>
      <c r="H5959" t="s">
        <v>5068</v>
      </c>
      <c r="I5959" t="s">
        <v>5191</v>
      </c>
      <c r="J5959">
        <v>1</v>
      </c>
      <c r="K5959" t="s">
        <v>5241</v>
      </c>
      <c r="L5959">
        <v>19.8</v>
      </c>
      <c r="M5959">
        <v>19.8</v>
      </c>
      <c r="O5959" t="s">
        <v>458</v>
      </c>
    </row>
    <row r="5960" spans="1:15" x14ac:dyDescent="0.3">
      <c r="A5960">
        <v>181487</v>
      </c>
      <c r="B5960">
        <v>105</v>
      </c>
      <c r="C5960" t="s">
        <v>557</v>
      </c>
      <c r="D5960" t="s">
        <v>2548</v>
      </c>
      <c r="E5960" t="s">
        <v>3292</v>
      </c>
      <c r="F5960" s="451">
        <v>45993</v>
      </c>
      <c r="G5960">
        <v>20871</v>
      </c>
      <c r="H5960" t="s">
        <v>5015</v>
      </c>
      <c r="I5960" t="s">
        <v>5191</v>
      </c>
      <c r="J5960">
        <v>2</v>
      </c>
      <c r="K5960" t="s">
        <v>4879</v>
      </c>
      <c r="L5960">
        <v>37</v>
      </c>
      <c r="M5960">
        <v>18.5</v>
      </c>
      <c r="O5960" t="s">
        <v>458</v>
      </c>
    </row>
    <row r="5961" spans="1:15" x14ac:dyDescent="0.3">
      <c r="A5961">
        <v>181487</v>
      </c>
      <c r="B5961">
        <v>105</v>
      </c>
      <c r="C5961" t="s">
        <v>557</v>
      </c>
      <c r="D5961" t="s">
        <v>2548</v>
      </c>
      <c r="E5961" t="s">
        <v>3292</v>
      </c>
      <c r="F5961" s="451">
        <v>45993</v>
      </c>
      <c r="G5961">
        <v>20382</v>
      </c>
      <c r="H5961" t="s">
        <v>4780</v>
      </c>
      <c r="I5961" t="s">
        <v>5191</v>
      </c>
      <c r="J5961">
        <v>40</v>
      </c>
      <c r="K5961" t="s">
        <v>5238</v>
      </c>
      <c r="L5961">
        <v>359.6</v>
      </c>
      <c r="M5961">
        <v>8.99</v>
      </c>
      <c r="O5961" t="s">
        <v>458</v>
      </c>
    </row>
    <row r="5962" spans="1:15" x14ac:dyDescent="0.3">
      <c r="A5962">
        <v>181487</v>
      </c>
      <c r="B5962">
        <v>105</v>
      </c>
      <c r="C5962" t="s">
        <v>557</v>
      </c>
      <c r="D5962" t="s">
        <v>2548</v>
      </c>
      <c r="E5962" t="s">
        <v>3292</v>
      </c>
      <c r="F5962" s="451">
        <v>45993</v>
      </c>
      <c r="G5962">
        <v>23088</v>
      </c>
      <c r="H5962" t="s">
        <v>5027</v>
      </c>
      <c r="I5962" t="s">
        <v>5191</v>
      </c>
      <c r="J5962">
        <v>1</v>
      </c>
      <c r="K5962" t="s">
        <v>4736</v>
      </c>
      <c r="L5962">
        <v>25.9</v>
      </c>
      <c r="M5962">
        <v>25.9</v>
      </c>
      <c r="O5962" t="s">
        <v>458</v>
      </c>
    </row>
    <row r="5963" spans="1:15" x14ac:dyDescent="0.3">
      <c r="A5963">
        <v>181484</v>
      </c>
      <c r="B5963">
        <v>105</v>
      </c>
      <c r="C5963" t="s">
        <v>557</v>
      </c>
      <c r="D5963" t="s">
        <v>3646</v>
      </c>
      <c r="E5963" t="s">
        <v>3871</v>
      </c>
      <c r="F5963" s="451">
        <v>45994</v>
      </c>
      <c r="G5963">
        <v>18822</v>
      </c>
      <c r="H5963" t="s">
        <v>4811</v>
      </c>
      <c r="I5963" t="s">
        <v>5191</v>
      </c>
      <c r="J5963">
        <v>45.8</v>
      </c>
      <c r="K5963" t="s">
        <v>4744</v>
      </c>
      <c r="L5963">
        <v>5038</v>
      </c>
      <c r="M5963">
        <v>110</v>
      </c>
      <c r="O5963" t="s">
        <v>458</v>
      </c>
    </row>
    <row r="5964" spans="1:15" x14ac:dyDescent="0.3">
      <c r="A5964">
        <v>181482</v>
      </c>
      <c r="B5964">
        <v>105</v>
      </c>
      <c r="C5964" t="s">
        <v>557</v>
      </c>
      <c r="D5964" t="s">
        <v>3646</v>
      </c>
      <c r="E5964" t="s">
        <v>3872</v>
      </c>
      <c r="F5964" s="451">
        <v>45994</v>
      </c>
      <c r="G5964">
        <v>18822</v>
      </c>
      <c r="H5964" t="s">
        <v>4811</v>
      </c>
      <c r="I5964" t="s">
        <v>5191</v>
      </c>
      <c r="J5964">
        <v>34.71</v>
      </c>
      <c r="K5964" t="s">
        <v>4744</v>
      </c>
      <c r="L5964">
        <v>3817.77</v>
      </c>
      <c r="M5964">
        <v>109.990493</v>
      </c>
      <c r="O5964" t="s">
        <v>458</v>
      </c>
    </row>
    <row r="5965" spans="1:15" x14ac:dyDescent="0.3">
      <c r="A5965">
        <v>181480</v>
      </c>
      <c r="B5965">
        <v>105</v>
      </c>
      <c r="C5965" t="s">
        <v>557</v>
      </c>
      <c r="D5965" t="s">
        <v>2581</v>
      </c>
      <c r="E5965" t="s">
        <v>3873</v>
      </c>
      <c r="F5965" s="451">
        <v>45994</v>
      </c>
      <c r="G5965">
        <v>19589</v>
      </c>
      <c r="H5965" t="s">
        <v>4983</v>
      </c>
      <c r="I5965" t="s">
        <v>5191</v>
      </c>
      <c r="J5965">
        <v>2</v>
      </c>
      <c r="K5965" t="s">
        <v>4744</v>
      </c>
      <c r="L5965">
        <v>7</v>
      </c>
      <c r="M5965">
        <v>3.5</v>
      </c>
      <c r="O5965" t="s">
        <v>458</v>
      </c>
    </row>
    <row r="5966" spans="1:15" x14ac:dyDescent="0.3">
      <c r="A5966">
        <v>181480</v>
      </c>
      <c r="B5966">
        <v>105</v>
      </c>
      <c r="C5966" t="s">
        <v>557</v>
      </c>
      <c r="D5966" t="s">
        <v>2581</v>
      </c>
      <c r="E5966" t="s">
        <v>3873</v>
      </c>
      <c r="F5966" s="451">
        <v>45994</v>
      </c>
      <c r="G5966">
        <v>19642</v>
      </c>
      <c r="H5966" t="s">
        <v>4996</v>
      </c>
      <c r="I5966" t="s">
        <v>5191</v>
      </c>
      <c r="J5966">
        <v>1</v>
      </c>
      <c r="K5966" t="s">
        <v>4744</v>
      </c>
      <c r="L5966">
        <v>4.5</v>
      </c>
      <c r="M5966">
        <v>4.5</v>
      </c>
      <c r="O5966" t="s">
        <v>458</v>
      </c>
    </row>
    <row r="5967" spans="1:15" x14ac:dyDescent="0.3">
      <c r="A5967">
        <v>181480</v>
      </c>
      <c r="B5967">
        <v>105</v>
      </c>
      <c r="C5967" t="s">
        <v>557</v>
      </c>
      <c r="D5967" t="s">
        <v>2581</v>
      </c>
      <c r="E5967" t="s">
        <v>3873</v>
      </c>
      <c r="F5967" s="451">
        <v>45994</v>
      </c>
      <c r="G5967">
        <v>19658</v>
      </c>
      <c r="H5967" t="s">
        <v>4784</v>
      </c>
      <c r="I5967" t="s">
        <v>5191</v>
      </c>
      <c r="J5967">
        <v>8</v>
      </c>
      <c r="K5967" t="s">
        <v>4744</v>
      </c>
      <c r="L5967">
        <v>22.4</v>
      </c>
      <c r="M5967">
        <v>2.8</v>
      </c>
      <c r="O5967" t="s">
        <v>458</v>
      </c>
    </row>
    <row r="5968" spans="1:15" x14ac:dyDescent="0.3">
      <c r="A5968">
        <v>181480</v>
      </c>
      <c r="B5968">
        <v>105</v>
      </c>
      <c r="C5968" t="s">
        <v>557</v>
      </c>
      <c r="D5968" t="s">
        <v>2581</v>
      </c>
      <c r="E5968" t="s">
        <v>3873</v>
      </c>
      <c r="F5968" s="451">
        <v>45994</v>
      </c>
      <c r="G5968">
        <v>19505</v>
      </c>
      <c r="H5968" t="s">
        <v>4872</v>
      </c>
      <c r="I5968" t="s">
        <v>5191</v>
      </c>
      <c r="J5968">
        <v>2.5</v>
      </c>
      <c r="K5968" t="s">
        <v>4744</v>
      </c>
      <c r="L5968">
        <v>12.5</v>
      </c>
      <c r="M5968">
        <v>5</v>
      </c>
      <c r="O5968" t="s">
        <v>458</v>
      </c>
    </row>
    <row r="5969" spans="1:15" x14ac:dyDescent="0.3">
      <c r="A5969">
        <v>181480</v>
      </c>
      <c r="B5969">
        <v>105</v>
      </c>
      <c r="C5969" t="s">
        <v>557</v>
      </c>
      <c r="D5969" t="s">
        <v>2581</v>
      </c>
      <c r="E5969" t="s">
        <v>3873</v>
      </c>
      <c r="F5969" s="451">
        <v>45994</v>
      </c>
      <c r="G5969">
        <v>19488</v>
      </c>
      <c r="H5969" t="s">
        <v>5107</v>
      </c>
      <c r="I5969" t="s">
        <v>5191</v>
      </c>
      <c r="J5969">
        <v>3.5</v>
      </c>
      <c r="K5969" t="s">
        <v>4744</v>
      </c>
      <c r="L5969">
        <v>38.5</v>
      </c>
      <c r="M5969">
        <v>11</v>
      </c>
      <c r="O5969" t="s">
        <v>458</v>
      </c>
    </row>
    <row r="5970" spans="1:15" x14ac:dyDescent="0.3">
      <c r="A5970">
        <v>181480</v>
      </c>
      <c r="B5970">
        <v>105</v>
      </c>
      <c r="C5970" t="s">
        <v>557</v>
      </c>
      <c r="D5970" t="s">
        <v>2581</v>
      </c>
      <c r="E5970" t="s">
        <v>3873</v>
      </c>
      <c r="F5970" s="451">
        <v>45994</v>
      </c>
      <c r="G5970">
        <v>19492</v>
      </c>
      <c r="H5970" t="s">
        <v>4937</v>
      </c>
      <c r="I5970" t="s">
        <v>5191</v>
      </c>
      <c r="J5970">
        <v>2</v>
      </c>
      <c r="K5970" t="s">
        <v>4744</v>
      </c>
      <c r="L5970">
        <v>22</v>
      </c>
      <c r="M5970">
        <v>11</v>
      </c>
      <c r="O5970" t="s">
        <v>458</v>
      </c>
    </row>
    <row r="5971" spans="1:15" x14ac:dyDescent="0.3">
      <c r="A5971">
        <v>181480</v>
      </c>
      <c r="B5971">
        <v>105</v>
      </c>
      <c r="C5971" t="s">
        <v>557</v>
      </c>
      <c r="D5971" t="s">
        <v>2581</v>
      </c>
      <c r="E5971" t="s">
        <v>3873</v>
      </c>
      <c r="F5971" s="451">
        <v>45994</v>
      </c>
      <c r="G5971">
        <v>19502</v>
      </c>
      <c r="H5971" t="s">
        <v>4871</v>
      </c>
      <c r="I5971" t="s">
        <v>5191</v>
      </c>
      <c r="J5971">
        <v>1.5</v>
      </c>
      <c r="K5971" t="s">
        <v>4744</v>
      </c>
      <c r="L5971">
        <v>12</v>
      </c>
      <c r="M5971">
        <v>8</v>
      </c>
      <c r="O5971" t="s">
        <v>458</v>
      </c>
    </row>
    <row r="5972" spans="1:15" x14ac:dyDescent="0.3">
      <c r="A5972">
        <v>181480</v>
      </c>
      <c r="B5972">
        <v>105</v>
      </c>
      <c r="C5972" t="s">
        <v>557</v>
      </c>
      <c r="D5972" t="s">
        <v>2581</v>
      </c>
      <c r="E5972" t="s">
        <v>3873</v>
      </c>
      <c r="F5972" s="451">
        <v>45994</v>
      </c>
      <c r="G5972">
        <v>19507</v>
      </c>
      <c r="H5972" t="s">
        <v>4853</v>
      </c>
      <c r="I5972" t="s">
        <v>5191</v>
      </c>
      <c r="J5972">
        <v>1</v>
      </c>
      <c r="K5972" t="s">
        <v>4744</v>
      </c>
      <c r="L5972">
        <v>9</v>
      </c>
      <c r="M5972">
        <v>9</v>
      </c>
      <c r="O5972" t="s">
        <v>458</v>
      </c>
    </row>
    <row r="5973" spans="1:15" x14ac:dyDescent="0.3">
      <c r="A5973">
        <v>181480</v>
      </c>
      <c r="B5973">
        <v>105</v>
      </c>
      <c r="C5973" t="s">
        <v>557</v>
      </c>
      <c r="D5973" t="s">
        <v>2581</v>
      </c>
      <c r="E5973" t="s">
        <v>3873</v>
      </c>
      <c r="F5973" s="451">
        <v>45994</v>
      </c>
      <c r="G5973">
        <v>19647</v>
      </c>
      <c r="H5973" t="s">
        <v>5050</v>
      </c>
      <c r="I5973" t="s">
        <v>5191</v>
      </c>
      <c r="J5973">
        <v>0.3</v>
      </c>
      <c r="K5973" t="s">
        <v>4744</v>
      </c>
      <c r="L5973">
        <v>1.8</v>
      </c>
      <c r="M5973">
        <v>6</v>
      </c>
      <c r="O5973" t="s">
        <v>458</v>
      </c>
    </row>
    <row r="5974" spans="1:15" x14ac:dyDescent="0.3">
      <c r="A5974">
        <v>181480</v>
      </c>
      <c r="B5974">
        <v>105</v>
      </c>
      <c r="C5974" t="s">
        <v>557</v>
      </c>
      <c r="D5974" t="s">
        <v>2581</v>
      </c>
      <c r="E5974" t="s">
        <v>3873</v>
      </c>
      <c r="F5974" s="451">
        <v>45994</v>
      </c>
      <c r="G5974">
        <v>19728</v>
      </c>
      <c r="H5974" t="s">
        <v>5106</v>
      </c>
      <c r="I5974" t="s">
        <v>5191</v>
      </c>
      <c r="J5974">
        <v>2</v>
      </c>
      <c r="K5974" t="s">
        <v>4744</v>
      </c>
      <c r="L5974">
        <v>28</v>
      </c>
      <c r="M5974">
        <v>14</v>
      </c>
      <c r="O5974" t="s">
        <v>458</v>
      </c>
    </row>
    <row r="5975" spans="1:15" x14ac:dyDescent="0.3">
      <c r="A5975">
        <v>181480</v>
      </c>
      <c r="B5975">
        <v>105</v>
      </c>
      <c r="C5975" t="s">
        <v>557</v>
      </c>
      <c r="D5975" t="s">
        <v>2581</v>
      </c>
      <c r="E5975" t="s">
        <v>3873</v>
      </c>
      <c r="F5975" s="451">
        <v>45994</v>
      </c>
      <c r="G5975">
        <v>19635</v>
      </c>
      <c r="H5975" t="s">
        <v>4786</v>
      </c>
      <c r="I5975" t="s">
        <v>5191</v>
      </c>
      <c r="J5975">
        <v>5</v>
      </c>
      <c r="K5975" t="s">
        <v>4744</v>
      </c>
      <c r="L5975">
        <v>13.5</v>
      </c>
      <c r="M5975">
        <v>2.7</v>
      </c>
      <c r="O5975" t="s">
        <v>458</v>
      </c>
    </row>
    <row r="5976" spans="1:15" x14ac:dyDescent="0.3">
      <c r="A5976">
        <v>181480</v>
      </c>
      <c r="B5976">
        <v>105</v>
      </c>
      <c r="C5976" t="s">
        <v>557</v>
      </c>
      <c r="D5976" t="s">
        <v>2581</v>
      </c>
      <c r="E5976" t="s">
        <v>3873</v>
      </c>
      <c r="F5976" s="451">
        <v>45994</v>
      </c>
      <c r="G5976">
        <v>23113</v>
      </c>
      <c r="H5976" t="s">
        <v>5074</v>
      </c>
      <c r="I5976" t="s">
        <v>5191</v>
      </c>
      <c r="J5976">
        <v>0.5</v>
      </c>
      <c r="K5976" t="s">
        <v>4744</v>
      </c>
      <c r="L5976">
        <v>3.75</v>
      </c>
      <c r="M5976">
        <v>7.5</v>
      </c>
      <c r="O5976" t="s">
        <v>458</v>
      </c>
    </row>
    <row r="5977" spans="1:15" x14ac:dyDescent="0.3">
      <c r="A5977">
        <v>181480</v>
      </c>
      <c r="B5977">
        <v>105</v>
      </c>
      <c r="C5977" t="s">
        <v>557</v>
      </c>
      <c r="D5977" t="s">
        <v>2581</v>
      </c>
      <c r="E5977" t="s">
        <v>3873</v>
      </c>
      <c r="F5977" s="451">
        <v>45994</v>
      </c>
      <c r="G5977">
        <v>23198</v>
      </c>
      <c r="H5977" t="s">
        <v>4962</v>
      </c>
      <c r="I5977" t="s">
        <v>5191</v>
      </c>
      <c r="J5977">
        <v>0.5</v>
      </c>
      <c r="K5977" t="s">
        <v>4744</v>
      </c>
      <c r="L5977">
        <v>6</v>
      </c>
      <c r="M5977">
        <v>12</v>
      </c>
      <c r="O5977" t="s">
        <v>458</v>
      </c>
    </row>
    <row r="5978" spans="1:15" x14ac:dyDescent="0.3">
      <c r="A5978">
        <v>181480</v>
      </c>
      <c r="B5978">
        <v>105</v>
      </c>
      <c r="C5978" t="s">
        <v>557</v>
      </c>
      <c r="D5978" t="s">
        <v>2581</v>
      </c>
      <c r="E5978" t="s">
        <v>3873</v>
      </c>
      <c r="F5978" s="451">
        <v>45994</v>
      </c>
      <c r="G5978">
        <v>23389</v>
      </c>
      <c r="H5978" t="s">
        <v>4960</v>
      </c>
      <c r="I5978" t="s">
        <v>5191</v>
      </c>
      <c r="J5978">
        <v>1.4</v>
      </c>
      <c r="K5978" t="s">
        <v>4744</v>
      </c>
      <c r="L5978">
        <v>8.1199999999999992</v>
      </c>
      <c r="M5978">
        <v>5.8</v>
      </c>
      <c r="O5978" t="s">
        <v>458</v>
      </c>
    </row>
    <row r="5979" spans="1:15" x14ac:dyDescent="0.3">
      <c r="A5979">
        <v>181480</v>
      </c>
      <c r="B5979">
        <v>105</v>
      </c>
      <c r="C5979" t="s">
        <v>557</v>
      </c>
      <c r="D5979" t="s">
        <v>2581</v>
      </c>
      <c r="E5979" t="s">
        <v>3873</v>
      </c>
      <c r="F5979" s="451">
        <v>45994</v>
      </c>
      <c r="G5979">
        <v>23095</v>
      </c>
      <c r="H5979" t="s">
        <v>4741</v>
      </c>
      <c r="I5979" t="s">
        <v>5191</v>
      </c>
      <c r="J5979">
        <v>30</v>
      </c>
      <c r="K5979" t="s">
        <v>4736</v>
      </c>
      <c r="L5979">
        <v>28.2</v>
      </c>
      <c r="M5979">
        <v>0.94</v>
      </c>
      <c r="O5979" t="s">
        <v>458</v>
      </c>
    </row>
    <row r="5980" spans="1:15" x14ac:dyDescent="0.3">
      <c r="A5980">
        <v>181480</v>
      </c>
      <c r="B5980">
        <v>105</v>
      </c>
      <c r="C5980" t="s">
        <v>557</v>
      </c>
      <c r="D5980" t="s">
        <v>2581</v>
      </c>
      <c r="E5980" t="s">
        <v>3873</v>
      </c>
      <c r="F5980" s="451">
        <v>45994</v>
      </c>
      <c r="G5980">
        <v>19472</v>
      </c>
      <c r="H5980" t="s">
        <v>4906</v>
      </c>
      <c r="I5980" t="s">
        <v>5191</v>
      </c>
      <c r="J5980">
        <v>2</v>
      </c>
      <c r="K5980" t="s">
        <v>4744</v>
      </c>
      <c r="L5980">
        <v>25</v>
      </c>
      <c r="M5980">
        <v>12.5</v>
      </c>
      <c r="O5980" t="s">
        <v>458</v>
      </c>
    </row>
    <row r="5981" spans="1:15" x14ac:dyDescent="0.3">
      <c r="A5981">
        <v>181480</v>
      </c>
      <c r="B5981">
        <v>105</v>
      </c>
      <c r="C5981" t="s">
        <v>557</v>
      </c>
      <c r="D5981" t="s">
        <v>2581</v>
      </c>
      <c r="E5981" t="s">
        <v>3873</v>
      </c>
      <c r="F5981" s="451">
        <v>45994</v>
      </c>
      <c r="G5981">
        <v>19532</v>
      </c>
      <c r="H5981" t="s">
        <v>4753</v>
      </c>
      <c r="I5981" t="s">
        <v>5191</v>
      </c>
      <c r="J5981">
        <v>10</v>
      </c>
      <c r="K5981" t="s">
        <v>4744</v>
      </c>
      <c r="L5981">
        <v>43</v>
      </c>
      <c r="M5981">
        <v>4.3</v>
      </c>
      <c r="O5981" t="s">
        <v>458</v>
      </c>
    </row>
    <row r="5982" spans="1:15" x14ac:dyDescent="0.3">
      <c r="A5982">
        <v>181477</v>
      </c>
      <c r="B5982">
        <v>105</v>
      </c>
      <c r="C5982" t="s">
        <v>557</v>
      </c>
      <c r="D5982" t="s">
        <v>2798</v>
      </c>
      <c r="E5982" t="s">
        <v>3874</v>
      </c>
      <c r="F5982" s="451">
        <v>45995</v>
      </c>
      <c r="G5982">
        <v>18991</v>
      </c>
      <c r="H5982" t="s">
        <v>4815</v>
      </c>
      <c r="I5982" t="s">
        <v>5191</v>
      </c>
      <c r="J5982">
        <v>20</v>
      </c>
      <c r="K5982" t="s">
        <v>4744</v>
      </c>
      <c r="L5982">
        <v>848.4</v>
      </c>
      <c r="M5982">
        <v>42.42</v>
      </c>
      <c r="O5982" t="s">
        <v>458</v>
      </c>
    </row>
    <row r="5983" spans="1:15" x14ac:dyDescent="0.3">
      <c r="A5983">
        <v>181477</v>
      </c>
      <c r="B5983">
        <v>105</v>
      </c>
      <c r="C5983" t="s">
        <v>557</v>
      </c>
      <c r="D5983" t="s">
        <v>2798</v>
      </c>
      <c r="E5983" t="s">
        <v>3874</v>
      </c>
      <c r="F5983" s="451">
        <v>45995</v>
      </c>
      <c r="G5983">
        <v>19353</v>
      </c>
      <c r="H5983" t="s">
        <v>4851</v>
      </c>
      <c r="I5983" t="s">
        <v>5191</v>
      </c>
      <c r="J5983">
        <v>25</v>
      </c>
      <c r="K5983" t="s">
        <v>4744</v>
      </c>
      <c r="L5983">
        <v>615</v>
      </c>
      <c r="M5983">
        <v>24.6</v>
      </c>
      <c r="O5983" t="s">
        <v>458</v>
      </c>
    </row>
    <row r="5984" spans="1:15" x14ac:dyDescent="0.3">
      <c r="A5984">
        <v>181477</v>
      </c>
      <c r="B5984">
        <v>105</v>
      </c>
      <c r="C5984" t="s">
        <v>557</v>
      </c>
      <c r="D5984" t="s">
        <v>2798</v>
      </c>
      <c r="E5984" t="s">
        <v>3874</v>
      </c>
      <c r="F5984" s="451">
        <v>45995</v>
      </c>
      <c r="G5984">
        <v>18945</v>
      </c>
      <c r="H5984" t="s">
        <v>4768</v>
      </c>
      <c r="I5984" t="s">
        <v>5191</v>
      </c>
      <c r="J5984">
        <v>50</v>
      </c>
      <c r="K5984" t="s">
        <v>4744</v>
      </c>
      <c r="L5984">
        <v>2912.5</v>
      </c>
      <c r="M5984">
        <v>58.25</v>
      </c>
      <c r="O5984" t="s">
        <v>458</v>
      </c>
    </row>
    <row r="5985" spans="1:15" x14ac:dyDescent="0.3">
      <c r="A5985">
        <v>181474</v>
      </c>
      <c r="B5985">
        <v>105</v>
      </c>
      <c r="C5985" t="s">
        <v>557</v>
      </c>
      <c r="D5985" t="s">
        <v>2563</v>
      </c>
      <c r="E5985" t="s">
        <v>3875</v>
      </c>
      <c r="F5985" s="451">
        <v>45994</v>
      </c>
      <c r="G5985">
        <v>24509</v>
      </c>
      <c r="H5985" t="s">
        <v>4788</v>
      </c>
      <c r="I5985" t="s">
        <v>5191</v>
      </c>
      <c r="J5985">
        <v>8.4</v>
      </c>
      <c r="K5985" t="s">
        <v>4744</v>
      </c>
      <c r="L5985">
        <v>18.899999999999999</v>
      </c>
      <c r="M5985">
        <v>2.25</v>
      </c>
      <c r="O5985" t="s">
        <v>458</v>
      </c>
    </row>
    <row r="5986" spans="1:15" x14ac:dyDescent="0.3">
      <c r="A5986">
        <v>181474</v>
      </c>
      <c r="B5986">
        <v>105</v>
      </c>
      <c r="C5986" t="s">
        <v>557</v>
      </c>
      <c r="D5986" t="s">
        <v>2563</v>
      </c>
      <c r="E5986" t="s">
        <v>3875</v>
      </c>
      <c r="F5986" s="451">
        <v>45994</v>
      </c>
      <c r="G5986">
        <v>19707</v>
      </c>
      <c r="H5986" t="s">
        <v>5266</v>
      </c>
      <c r="I5986" t="s">
        <v>5191</v>
      </c>
      <c r="J5986">
        <v>0.5</v>
      </c>
      <c r="K5986" t="s">
        <v>4744</v>
      </c>
      <c r="L5986">
        <v>7.54</v>
      </c>
      <c r="M5986">
        <v>15.08</v>
      </c>
      <c r="O5986" t="s">
        <v>458</v>
      </c>
    </row>
    <row r="5987" spans="1:15" x14ac:dyDescent="0.3">
      <c r="A5987">
        <v>181474</v>
      </c>
      <c r="B5987">
        <v>105</v>
      </c>
      <c r="C5987" t="s">
        <v>557</v>
      </c>
      <c r="D5987" t="s">
        <v>2563</v>
      </c>
      <c r="E5987" t="s">
        <v>3875</v>
      </c>
      <c r="F5987" s="451">
        <v>45994</v>
      </c>
      <c r="G5987">
        <v>19632</v>
      </c>
      <c r="H5987" t="s">
        <v>4936</v>
      </c>
      <c r="I5987" t="s">
        <v>5191</v>
      </c>
      <c r="J5987">
        <v>2</v>
      </c>
      <c r="K5987" t="s">
        <v>4744</v>
      </c>
      <c r="L5987">
        <v>3.92</v>
      </c>
      <c r="M5987">
        <v>1.96</v>
      </c>
      <c r="O5987" t="s">
        <v>458</v>
      </c>
    </row>
    <row r="5988" spans="1:15" x14ac:dyDescent="0.3">
      <c r="A5988">
        <v>181473</v>
      </c>
      <c r="B5988">
        <v>105</v>
      </c>
      <c r="C5988" t="s">
        <v>557</v>
      </c>
      <c r="D5988" t="s">
        <v>3723</v>
      </c>
      <c r="E5988" t="s">
        <v>3876</v>
      </c>
      <c r="F5988" s="451">
        <v>45994</v>
      </c>
      <c r="G5988">
        <v>19634</v>
      </c>
      <c r="H5988" t="s">
        <v>4792</v>
      </c>
      <c r="I5988" t="s">
        <v>5191</v>
      </c>
      <c r="J5988">
        <v>3.2</v>
      </c>
      <c r="K5988" t="s">
        <v>4744</v>
      </c>
      <c r="L5988">
        <v>16</v>
      </c>
      <c r="M5988">
        <v>5</v>
      </c>
      <c r="O5988" t="s">
        <v>458</v>
      </c>
    </row>
    <row r="5989" spans="1:15" x14ac:dyDescent="0.3">
      <c r="A5989">
        <v>181473</v>
      </c>
      <c r="B5989">
        <v>105</v>
      </c>
      <c r="C5989" t="s">
        <v>557</v>
      </c>
      <c r="D5989" t="s">
        <v>3723</v>
      </c>
      <c r="E5989" t="s">
        <v>3876</v>
      </c>
      <c r="F5989" s="451">
        <v>45994</v>
      </c>
      <c r="G5989">
        <v>19654</v>
      </c>
      <c r="H5989" t="s">
        <v>5099</v>
      </c>
      <c r="I5989" t="s">
        <v>5191</v>
      </c>
      <c r="J5989">
        <v>4.7</v>
      </c>
      <c r="K5989" t="s">
        <v>4744</v>
      </c>
      <c r="L5989">
        <v>8.2200000000000006</v>
      </c>
      <c r="M5989">
        <v>1.748936</v>
      </c>
      <c r="O5989" t="s">
        <v>458</v>
      </c>
    </row>
    <row r="5990" spans="1:15" x14ac:dyDescent="0.3">
      <c r="A5990">
        <v>181473</v>
      </c>
      <c r="B5990">
        <v>105</v>
      </c>
      <c r="C5990" t="s">
        <v>557</v>
      </c>
      <c r="D5990" t="s">
        <v>3723</v>
      </c>
      <c r="E5990" t="s">
        <v>3876</v>
      </c>
      <c r="F5990" s="451">
        <v>45994</v>
      </c>
      <c r="G5990">
        <v>24522</v>
      </c>
      <c r="H5990" t="s">
        <v>5072</v>
      </c>
      <c r="I5990" t="s">
        <v>5191</v>
      </c>
      <c r="J5990">
        <v>1</v>
      </c>
      <c r="K5990" t="s">
        <v>4744</v>
      </c>
      <c r="L5990">
        <v>22</v>
      </c>
      <c r="M5990">
        <v>22</v>
      </c>
      <c r="O5990" t="s">
        <v>458</v>
      </c>
    </row>
    <row r="5991" spans="1:15" x14ac:dyDescent="0.3">
      <c r="A5991">
        <v>181473</v>
      </c>
      <c r="B5991">
        <v>105</v>
      </c>
      <c r="C5991" t="s">
        <v>557</v>
      </c>
      <c r="D5991" t="s">
        <v>3723</v>
      </c>
      <c r="E5991" t="s">
        <v>3876</v>
      </c>
      <c r="F5991" s="451">
        <v>45994</v>
      </c>
      <c r="G5991">
        <v>19476</v>
      </c>
      <c r="H5991" t="s">
        <v>5115</v>
      </c>
      <c r="I5991" t="s">
        <v>5191</v>
      </c>
      <c r="J5991">
        <v>0.2</v>
      </c>
      <c r="K5991" t="s">
        <v>4744</v>
      </c>
      <c r="L5991">
        <v>12.5</v>
      </c>
      <c r="M5991">
        <v>62.5</v>
      </c>
      <c r="O5991" t="s">
        <v>458</v>
      </c>
    </row>
    <row r="5992" spans="1:15" x14ac:dyDescent="0.3">
      <c r="A5992">
        <v>181473</v>
      </c>
      <c r="B5992">
        <v>105</v>
      </c>
      <c r="C5992" t="s">
        <v>557</v>
      </c>
      <c r="D5992" t="s">
        <v>3723</v>
      </c>
      <c r="E5992" t="s">
        <v>3876</v>
      </c>
      <c r="F5992" s="451">
        <v>45994</v>
      </c>
      <c r="G5992">
        <v>24099</v>
      </c>
      <c r="H5992" t="s">
        <v>4933</v>
      </c>
      <c r="I5992" t="s">
        <v>5191</v>
      </c>
      <c r="J5992">
        <v>2.8</v>
      </c>
      <c r="K5992" t="s">
        <v>4744</v>
      </c>
      <c r="L5992">
        <v>31.5</v>
      </c>
      <c r="M5992">
        <v>11.25</v>
      </c>
      <c r="O5992" t="s">
        <v>458</v>
      </c>
    </row>
    <row r="5993" spans="1:15" x14ac:dyDescent="0.3">
      <c r="A5993">
        <v>181473</v>
      </c>
      <c r="B5993">
        <v>105</v>
      </c>
      <c r="C5993" t="s">
        <v>557</v>
      </c>
      <c r="D5993" t="s">
        <v>3723</v>
      </c>
      <c r="E5993" t="s">
        <v>3876</v>
      </c>
      <c r="F5993" s="451">
        <v>45994</v>
      </c>
      <c r="G5993">
        <v>19751</v>
      </c>
      <c r="H5993" t="s">
        <v>4800</v>
      </c>
      <c r="I5993" t="s">
        <v>5191</v>
      </c>
      <c r="J5993">
        <v>2</v>
      </c>
      <c r="K5993" t="s">
        <v>4744</v>
      </c>
      <c r="L5993">
        <v>22.5</v>
      </c>
      <c r="M5993">
        <v>11.25</v>
      </c>
      <c r="O5993" t="s">
        <v>458</v>
      </c>
    </row>
    <row r="5994" spans="1:15" x14ac:dyDescent="0.3">
      <c r="A5994">
        <v>181473</v>
      </c>
      <c r="B5994">
        <v>105</v>
      </c>
      <c r="C5994" t="s">
        <v>557</v>
      </c>
      <c r="D5994" t="s">
        <v>3723</v>
      </c>
      <c r="E5994" t="s">
        <v>3876</v>
      </c>
      <c r="F5994" s="451">
        <v>45994</v>
      </c>
      <c r="G5994">
        <v>19752</v>
      </c>
      <c r="H5994" t="s">
        <v>4807</v>
      </c>
      <c r="I5994" t="s">
        <v>5191</v>
      </c>
      <c r="J5994">
        <v>2</v>
      </c>
      <c r="K5994" t="s">
        <v>4744</v>
      </c>
      <c r="L5994">
        <v>25</v>
      </c>
      <c r="M5994">
        <v>12.5</v>
      </c>
      <c r="O5994" t="s">
        <v>458</v>
      </c>
    </row>
    <row r="5995" spans="1:15" x14ac:dyDescent="0.3">
      <c r="A5995">
        <v>181473</v>
      </c>
      <c r="B5995">
        <v>105</v>
      </c>
      <c r="C5995" t="s">
        <v>557</v>
      </c>
      <c r="D5995" t="s">
        <v>3723</v>
      </c>
      <c r="E5995" t="s">
        <v>3876</v>
      </c>
      <c r="F5995" s="451">
        <v>45994</v>
      </c>
      <c r="G5995">
        <v>23234</v>
      </c>
      <c r="H5995" t="s">
        <v>4986</v>
      </c>
      <c r="I5995" t="s">
        <v>5191</v>
      </c>
      <c r="J5995">
        <v>1</v>
      </c>
      <c r="K5995" t="s">
        <v>4744</v>
      </c>
      <c r="L5995">
        <v>23</v>
      </c>
      <c r="M5995">
        <v>23</v>
      </c>
      <c r="O5995" t="s">
        <v>458</v>
      </c>
    </row>
    <row r="5996" spans="1:15" x14ac:dyDescent="0.3">
      <c r="A5996">
        <v>181469</v>
      </c>
      <c r="B5996">
        <v>105</v>
      </c>
      <c r="C5996" t="s">
        <v>557</v>
      </c>
      <c r="D5996" t="s">
        <v>2699</v>
      </c>
      <c r="E5996" t="s">
        <v>3877</v>
      </c>
      <c r="F5996" s="451">
        <v>45993</v>
      </c>
      <c r="G5996">
        <v>18030</v>
      </c>
      <c r="H5996" t="s">
        <v>4840</v>
      </c>
      <c r="I5996" t="s">
        <v>5222</v>
      </c>
      <c r="J5996">
        <v>3</v>
      </c>
      <c r="K5996" t="s">
        <v>4805</v>
      </c>
      <c r="L5996">
        <v>89.7</v>
      </c>
      <c r="M5996">
        <v>29.9</v>
      </c>
      <c r="O5996" t="s">
        <v>458</v>
      </c>
    </row>
    <row r="5997" spans="1:15" x14ac:dyDescent="0.3">
      <c r="A5997">
        <v>181469</v>
      </c>
      <c r="B5997">
        <v>105</v>
      </c>
      <c r="C5997" t="s">
        <v>557</v>
      </c>
      <c r="D5997" t="s">
        <v>2699</v>
      </c>
      <c r="E5997" t="s">
        <v>3877</v>
      </c>
      <c r="F5997" s="451">
        <v>45993</v>
      </c>
      <c r="G5997">
        <v>18194</v>
      </c>
      <c r="H5997" t="s">
        <v>4923</v>
      </c>
      <c r="I5997" t="s">
        <v>5222</v>
      </c>
      <c r="J5997">
        <v>2</v>
      </c>
      <c r="K5997" t="s">
        <v>4805</v>
      </c>
      <c r="L5997">
        <v>133.80000000000001</v>
      </c>
      <c r="M5997">
        <v>66.900000000000006</v>
      </c>
      <c r="O5997" t="s">
        <v>458</v>
      </c>
    </row>
    <row r="5998" spans="1:15" x14ac:dyDescent="0.3">
      <c r="A5998">
        <v>181469</v>
      </c>
      <c r="B5998">
        <v>105</v>
      </c>
      <c r="C5998" t="s">
        <v>557</v>
      </c>
      <c r="D5998" t="s">
        <v>2699</v>
      </c>
      <c r="E5998" t="s">
        <v>3877</v>
      </c>
      <c r="F5998" s="451">
        <v>45993</v>
      </c>
      <c r="G5998">
        <v>18219</v>
      </c>
      <c r="H5998" t="s">
        <v>4972</v>
      </c>
      <c r="I5998" t="s">
        <v>5222</v>
      </c>
      <c r="J5998">
        <v>1</v>
      </c>
      <c r="K5998" t="s">
        <v>4805</v>
      </c>
      <c r="L5998">
        <v>97.8</v>
      </c>
      <c r="M5998">
        <v>97.8</v>
      </c>
      <c r="O5998" t="s">
        <v>458</v>
      </c>
    </row>
    <row r="5999" spans="1:15" x14ac:dyDescent="0.3">
      <c r="A5999">
        <v>181469</v>
      </c>
      <c r="B5999">
        <v>105</v>
      </c>
      <c r="C5999" t="s">
        <v>557</v>
      </c>
      <c r="D5999" t="s">
        <v>2699</v>
      </c>
      <c r="E5999" t="s">
        <v>3877</v>
      </c>
      <c r="F5999" s="451">
        <v>45993</v>
      </c>
      <c r="G5999">
        <v>18547</v>
      </c>
      <c r="H5999" t="s">
        <v>4863</v>
      </c>
      <c r="I5999" t="s">
        <v>5222</v>
      </c>
      <c r="J5999">
        <v>2</v>
      </c>
      <c r="K5999" t="s">
        <v>4805</v>
      </c>
      <c r="L5999">
        <v>76.400000000000006</v>
      </c>
      <c r="M5999">
        <v>38.200000000000003</v>
      </c>
      <c r="O5999" t="s">
        <v>458</v>
      </c>
    </row>
    <row r="6000" spans="1:15" x14ac:dyDescent="0.3">
      <c r="A6000">
        <v>181469</v>
      </c>
      <c r="B6000">
        <v>105</v>
      </c>
      <c r="C6000" t="s">
        <v>557</v>
      </c>
      <c r="D6000" t="s">
        <v>2699</v>
      </c>
      <c r="E6000" t="s">
        <v>3877</v>
      </c>
      <c r="F6000" s="451">
        <v>45993</v>
      </c>
      <c r="G6000">
        <v>18172</v>
      </c>
      <c r="H6000" t="s">
        <v>4804</v>
      </c>
      <c r="I6000" t="s">
        <v>5222</v>
      </c>
      <c r="J6000">
        <v>5</v>
      </c>
      <c r="K6000" t="s">
        <v>4805</v>
      </c>
      <c r="L6000">
        <v>153.69999999999999</v>
      </c>
      <c r="M6000">
        <v>30.74</v>
      </c>
      <c r="O6000" t="s">
        <v>458</v>
      </c>
    </row>
    <row r="6001" spans="1:15" x14ac:dyDescent="0.3">
      <c r="A6001">
        <v>181468</v>
      </c>
      <c r="B6001">
        <v>105</v>
      </c>
      <c r="C6001" t="s">
        <v>557</v>
      </c>
      <c r="D6001" t="s">
        <v>2812</v>
      </c>
      <c r="E6001" t="s">
        <v>3878</v>
      </c>
      <c r="F6001" s="451">
        <v>45992</v>
      </c>
      <c r="G6001">
        <v>26366</v>
      </c>
      <c r="H6001" t="s">
        <v>5301</v>
      </c>
      <c r="I6001" t="s">
        <v>5215</v>
      </c>
      <c r="J6001">
        <v>10</v>
      </c>
      <c r="K6001" t="s">
        <v>4736</v>
      </c>
      <c r="L6001">
        <v>690</v>
      </c>
      <c r="M6001">
        <v>69</v>
      </c>
      <c r="O6001" t="s">
        <v>458</v>
      </c>
    </row>
    <row r="6002" spans="1:15" x14ac:dyDescent="0.3">
      <c r="A6002">
        <v>181467</v>
      </c>
      <c r="B6002">
        <v>105</v>
      </c>
      <c r="C6002" t="s">
        <v>557</v>
      </c>
      <c r="D6002" t="s">
        <v>2597</v>
      </c>
      <c r="E6002" t="s">
        <v>3879</v>
      </c>
      <c r="F6002" s="451">
        <v>45994</v>
      </c>
      <c r="G6002">
        <v>24320</v>
      </c>
      <c r="H6002" t="s">
        <v>4861</v>
      </c>
      <c r="I6002" t="s">
        <v>5191</v>
      </c>
      <c r="J6002">
        <v>5</v>
      </c>
      <c r="K6002" t="s">
        <v>4744</v>
      </c>
      <c r="L6002">
        <v>184.5</v>
      </c>
      <c r="M6002">
        <v>36.9</v>
      </c>
      <c r="O6002" t="s">
        <v>458</v>
      </c>
    </row>
    <row r="6003" spans="1:15" x14ac:dyDescent="0.3">
      <c r="A6003">
        <v>181466</v>
      </c>
      <c r="B6003">
        <v>105</v>
      </c>
      <c r="C6003" t="s">
        <v>557</v>
      </c>
      <c r="D6003" t="s">
        <v>2552</v>
      </c>
      <c r="E6003" t="s">
        <v>3880</v>
      </c>
      <c r="F6003" s="451">
        <v>45994</v>
      </c>
      <c r="G6003">
        <v>26627</v>
      </c>
      <c r="H6003" t="s">
        <v>5190</v>
      </c>
      <c r="I6003" t="s">
        <v>5191</v>
      </c>
      <c r="J6003">
        <v>30</v>
      </c>
      <c r="K6003" t="s">
        <v>4744</v>
      </c>
      <c r="L6003">
        <v>237</v>
      </c>
      <c r="M6003">
        <v>7.9</v>
      </c>
      <c r="O6003" t="s">
        <v>458</v>
      </c>
    </row>
    <row r="6004" spans="1:15" x14ac:dyDescent="0.3">
      <c r="A6004">
        <v>181465</v>
      </c>
      <c r="B6004">
        <v>105</v>
      </c>
      <c r="C6004" t="s">
        <v>557</v>
      </c>
      <c r="D6004" t="s">
        <v>2637</v>
      </c>
      <c r="E6004" t="s">
        <v>3881</v>
      </c>
      <c r="F6004" s="451">
        <v>45993</v>
      </c>
      <c r="G6004">
        <v>18475</v>
      </c>
      <c r="H6004" t="s">
        <v>4895</v>
      </c>
      <c r="I6004" t="s">
        <v>5222</v>
      </c>
      <c r="J6004">
        <v>12</v>
      </c>
      <c r="K6004" t="s">
        <v>4805</v>
      </c>
      <c r="L6004">
        <v>394.8</v>
      </c>
      <c r="M6004">
        <v>32.9</v>
      </c>
      <c r="O6004" t="s">
        <v>458</v>
      </c>
    </row>
    <row r="6005" spans="1:15" x14ac:dyDescent="0.3">
      <c r="A6005">
        <v>181464</v>
      </c>
      <c r="B6005">
        <v>105</v>
      </c>
      <c r="C6005" t="s">
        <v>557</v>
      </c>
      <c r="D6005" t="s">
        <v>3044</v>
      </c>
      <c r="E6005" t="s">
        <v>3882</v>
      </c>
      <c r="F6005" s="451">
        <v>45992</v>
      </c>
      <c r="G6005">
        <v>20544</v>
      </c>
      <c r="H6005" t="s">
        <v>4808</v>
      </c>
      <c r="I6005" t="s">
        <v>5191</v>
      </c>
      <c r="J6005">
        <v>3</v>
      </c>
      <c r="K6005" t="s">
        <v>4749</v>
      </c>
      <c r="L6005">
        <v>643.74</v>
      </c>
      <c r="M6005">
        <v>214.58</v>
      </c>
      <c r="O6005" t="s">
        <v>458</v>
      </c>
    </row>
    <row r="6006" spans="1:15" x14ac:dyDescent="0.3">
      <c r="A6006">
        <v>181462</v>
      </c>
      <c r="B6006">
        <v>105</v>
      </c>
      <c r="C6006" t="s">
        <v>557</v>
      </c>
      <c r="D6006" t="s">
        <v>2595</v>
      </c>
      <c r="E6006" t="s">
        <v>3883</v>
      </c>
      <c r="F6006" s="451">
        <v>45992</v>
      </c>
      <c r="G6006">
        <v>24259</v>
      </c>
      <c r="H6006" t="s">
        <v>4875</v>
      </c>
      <c r="I6006" t="s">
        <v>5191</v>
      </c>
      <c r="J6006">
        <v>16.149999999999999</v>
      </c>
      <c r="K6006" t="s">
        <v>4744</v>
      </c>
      <c r="L6006">
        <v>1290.3800000000001</v>
      </c>
      <c r="M6006">
        <v>79.899690000000007</v>
      </c>
      <c r="O6006" t="s">
        <v>458</v>
      </c>
    </row>
    <row r="6007" spans="1:15" x14ac:dyDescent="0.3">
      <c r="A6007">
        <v>181461</v>
      </c>
      <c r="B6007">
        <v>105</v>
      </c>
      <c r="C6007" t="s">
        <v>557</v>
      </c>
      <c r="D6007" t="s">
        <v>2603</v>
      </c>
      <c r="E6007" t="s">
        <v>3884</v>
      </c>
      <c r="F6007" s="451">
        <v>45993</v>
      </c>
      <c r="G6007">
        <v>19003</v>
      </c>
      <c r="H6007" t="s">
        <v>4810</v>
      </c>
      <c r="I6007" t="s">
        <v>5191</v>
      </c>
      <c r="J6007">
        <v>11.1</v>
      </c>
      <c r="K6007" t="s">
        <v>4744</v>
      </c>
      <c r="L6007">
        <v>398.49</v>
      </c>
      <c r="M6007">
        <v>35.9</v>
      </c>
      <c r="O6007" t="s">
        <v>458</v>
      </c>
    </row>
    <row r="6008" spans="1:15" x14ac:dyDescent="0.3">
      <c r="A6008">
        <v>181461</v>
      </c>
      <c r="B6008">
        <v>105</v>
      </c>
      <c r="C6008" t="s">
        <v>557</v>
      </c>
      <c r="D6008" t="s">
        <v>2603</v>
      </c>
      <c r="E6008" t="s">
        <v>3884</v>
      </c>
      <c r="F6008" s="451">
        <v>45993</v>
      </c>
      <c r="G6008">
        <v>26679</v>
      </c>
      <c r="H6008" t="s">
        <v>4791</v>
      </c>
      <c r="I6008" t="s">
        <v>5191</v>
      </c>
      <c r="J6008">
        <v>69.75</v>
      </c>
      <c r="K6008" t="s">
        <v>4744</v>
      </c>
      <c r="L6008">
        <v>1946.02</v>
      </c>
      <c r="M6008">
        <v>27.899927999999999</v>
      </c>
      <c r="O6008" t="s">
        <v>458</v>
      </c>
    </row>
    <row r="6009" spans="1:15" x14ac:dyDescent="0.3">
      <c r="A6009">
        <v>181460</v>
      </c>
      <c r="B6009">
        <v>105</v>
      </c>
      <c r="C6009" t="s">
        <v>557</v>
      </c>
      <c r="D6009" t="s">
        <v>2550</v>
      </c>
      <c r="E6009" t="s">
        <v>3885</v>
      </c>
      <c r="F6009" s="451">
        <v>45994</v>
      </c>
      <c r="G6009">
        <v>26038</v>
      </c>
      <c r="H6009" t="s">
        <v>4976</v>
      </c>
      <c r="I6009" t="s">
        <v>5222</v>
      </c>
      <c r="J6009">
        <v>5</v>
      </c>
      <c r="K6009" t="s">
        <v>4805</v>
      </c>
      <c r="L6009">
        <v>242.25</v>
      </c>
      <c r="M6009">
        <v>48.45</v>
      </c>
      <c r="O6009" t="s">
        <v>458</v>
      </c>
    </row>
    <row r="6010" spans="1:15" x14ac:dyDescent="0.3">
      <c r="A6010">
        <v>181460</v>
      </c>
      <c r="B6010">
        <v>105</v>
      </c>
      <c r="C6010" t="s">
        <v>557</v>
      </c>
      <c r="D6010" t="s">
        <v>2550</v>
      </c>
      <c r="E6010" t="s">
        <v>3885</v>
      </c>
      <c r="F6010" s="451">
        <v>45994</v>
      </c>
      <c r="G6010">
        <v>26034</v>
      </c>
      <c r="H6010" t="s">
        <v>4828</v>
      </c>
      <c r="I6010" t="s">
        <v>5222</v>
      </c>
      <c r="J6010">
        <v>7</v>
      </c>
      <c r="K6010" t="s">
        <v>4805</v>
      </c>
      <c r="L6010">
        <v>348.88</v>
      </c>
      <c r="M6010">
        <v>49.84</v>
      </c>
      <c r="O6010" t="s">
        <v>458</v>
      </c>
    </row>
    <row r="6011" spans="1:15" x14ac:dyDescent="0.3">
      <c r="A6011">
        <v>179848</v>
      </c>
      <c r="B6011">
        <v>105</v>
      </c>
      <c r="C6011" t="s">
        <v>557</v>
      </c>
      <c r="D6011" t="s">
        <v>2581</v>
      </c>
      <c r="E6011" t="s">
        <v>3886</v>
      </c>
      <c r="F6011" s="451">
        <v>45992</v>
      </c>
      <c r="G6011">
        <v>19505</v>
      </c>
      <c r="H6011" t="s">
        <v>4872</v>
      </c>
      <c r="I6011" t="s">
        <v>5191</v>
      </c>
      <c r="J6011">
        <v>3</v>
      </c>
      <c r="K6011" t="s">
        <v>4744</v>
      </c>
      <c r="L6011">
        <v>16.5</v>
      </c>
      <c r="M6011">
        <v>5.5</v>
      </c>
      <c r="O6011" t="s">
        <v>458</v>
      </c>
    </row>
    <row r="6012" spans="1:15" x14ac:dyDescent="0.3">
      <c r="A6012">
        <v>179848</v>
      </c>
      <c r="B6012">
        <v>105</v>
      </c>
      <c r="C6012" t="s">
        <v>557</v>
      </c>
      <c r="D6012" t="s">
        <v>2581</v>
      </c>
      <c r="E6012" t="s">
        <v>3886</v>
      </c>
      <c r="F6012" s="451">
        <v>45992</v>
      </c>
      <c r="G6012">
        <v>19480</v>
      </c>
      <c r="H6012" t="s">
        <v>5119</v>
      </c>
      <c r="I6012" t="s">
        <v>5191</v>
      </c>
      <c r="J6012">
        <v>0.4</v>
      </c>
      <c r="K6012" t="s">
        <v>4744</v>
      </c>
      <c r="L6012">
        <v>4.8</v>
      </c>
      <c r="M6012">
        <v>12</v>
      </c>
      <c r="O6012" t="s">
        <v>458</v>
      </c>
    </row>
    <row r="6013" spans="1:15" x14ac:dyDescent="0.3">
      <c r="A6013">
        <v>179848</v>
      </c>
      <c r="B6013">
        <v>105</v>
      </c>
      <c r="C6013" t="s">
        <v>557</v>
      </c>
      <c r="D6013" t="s">
        <v>2581</v>
      </c>
      <c r="E6013" t="s">
        <v>3886</v>
      </c>
      <c r="F6013" s="451">
        <v>45992</v>
      </c>
      <c r="G6013">
        <v>23236</v>
      </c>
      <c r="H6013" t="s">
        <v>5062</v>
      </c>
      <c r="I6013" t="s">
        <v>5191</v>
      </c>
      <c r="J6013">
        <v>2.2999999999999998</v>
      </c>
      <c r="K6013" t="s">
        <v>4744</v>
      </c>
      <c r="L6013">
        <v>11.5</v>
      </c>
      <c r="M6013">
        <v>5</v>
      </c>
      <c r="O6013" t="s">
        <v>458</v>
      </c>
    </row>
    <row r="6014" spans="1:15" x14ac:dyDescent="0.3">
      <c r="A6014">
        <v>179846</v>
      </c>
      <c r="B6014">
        <v>105</v>
      </c>
      <c r="C6014" t="s">
        <v>557</v>
      </c>
      <c r="D6014" t="s">
        <v>2590</v>
      </c>
      <c r="E6014" t="s">
        <v>3887</v>
      </c>
      <c r="F6014" s="451">
        <v>45992</v>
      </c>
      <c r="G6014">
        <v>18636</v>
      </c>
      <c r="H6014" t="s">
        <v>4964</v>
      </c>
      <c r="I6014" t="s">
        <v>5222</v>
      </c>
      <c r="J6014">
        <v>8</v>
      </c>
      <c r="K6014" t="s">
        <v>4965</v>
      </c>
      <c r="L6014">
        <v>3862.4</v>
      </c>
      <c r="M6014">
        <v>482.8</v>
      </c>
      <c r="O6014" t="s">
        <v>458</v>
      </c>
    </row>
    <row r="6015" spans="1:15" x14ac:dyDescent="0.3">
      <c r="A6015">
        <v>179846</v>
      </c>
      <c r="B6015">
        <v>105</v>
      </c>
      <c r="C6015" t="s">
        <v>557</v>
      </c>
      <c r="D6015" t="s">
        <v>2590</v>
      </c>
      <c r="E6015" t="s">
        <v>3887</v>
      </c>
      <c r="F6015" s="451">
        <v>45992</v>
      </c>
      <c r="G6015">
        <v>24981</v>
      </c>
      <c r="H6015" t="s">
        <v>5140</v>
      </c>
      <c r="I6015" t="s">
        <v>5222</v>
      </c>
      <c r="J6015">
        <v>1</v>
      </c>
      <c r="K6015" t="s">
        <v>4965</v>
      </c>
      <c r="L6015">
        <v>435</v>
      </c>
      <c r="M6015">
        <v>435</v>
      </c>
      <c r="O6015" t="s">
        <v>458</v>
      </c>
    </row>
    <row r="6016" spans="1:15" x14ac:dyDescent="0.3">
      <c r="A6016">
        <v>179845</v>
      </c>
      <c r="B6016">
        <v>105</v>
      </c>
      <c r="C6016" t="s">
        <v>557</v>
      </c>
      <c r="D6016" t="s">
        <v>2590</v>
      </c>
      <c r="E6016" t="s">
        <v>3888</v>
      </c>
      <c r="F6016" s="451">
        <v>45992</v>
      </c>
      <c r="G6016">
        <v>18636</v>
      </c>
      <c r="H6016" t="s">
        <v>4964</v>
      </c>
      <c r="I6016" t="s">
        <v>5222</v>
      </c>
      <c r="J6016">
        <v>8</v>
      </c>
      <c r="K6016" t="s">
        <v>4965</v>
      </c>
      <c r="L6016">
        <v>3862.4</v>
      </c>
      <c r="M6016">
        <v>482.8</v>
      </c>
      <c r="O6016" t="s">
        <v>458</v>
      </c>
    </row>
    <row r="6017" spans="1:15" x14ac:dyDescent="0.3">
      <c r="A6017">
        <v>179845</v>
      </c>
      <c r="B6017">
        <v>105</v>
      </c>
      <c r="C6017" t="s">
        <v>557</v>
      </c>
      <c r="D6017" t="s">
        <v>2590</v>
      </c>
      <c r="E6017" t="s">
        <v>3888</v>
      </c>
      <c r="F6017" s="451">
        <v>45992</v>
      </c>
      <c r="G6017">
        <v>24142</v>
      </c>
      <c r="H6017" t="s">
        <v>5090</v>
      </c>
      <c r="I6017" t="s">
        <v>5222</v>
      </c>
      <c r="J6017">
        <v>5</v>
      </c>
      <c r="K6017" t="s">
        <v>4749</v>
      </c>
      <c r="L6017">
        <v>782.55</v>
      </c>
      <c r="M6017">
        <v>156.51</v>
      </c>
      <c r="O6017" t="s">
        <v>458</v>
      </c>
    </row>
    <row r="6018" spans="1:15" x14ac:dyDescent="0.3">
      <c r="A6018">
        <v>179845</v>
      </c>
      <c r="B6018">
        <v>105</v>
      </c>
      <c r="C6018" t="s">
        <v>557</v>
      </c>
      <c r="D6018" t="s">
        <v>2590</v>
      </c>
      <c r="E6018" t="s">
        <v>3888</v>
      </c>
      <c r="F6018" s="451">
        <v>45992</v>
      </c>
      <c r="G6018">
        <v>18579</v>
      </c>
      <c r="H6018" t="s">
        <v>5087</v>
      </c>
      <c r="I6018" t="s">
        <v>5222</v>
      </c>
      <c r="J6018">
        <v>2</v>
      </c>
      <c r="K6018" t="s">
        <v>4749</v>
      </c>
      <c r="L6018">
        <v>327.84</v>
      </c>
      <c r="M6018">
        <v>163.92</v>
      </c>
      <c r="O6018" t="s">
        <v>458</v>
      </c>
    </row>
    <row r="6019" spans="1:15" x14ac:dyDescent="0.3">
      <c r="A6019">
        <v>179845</v>
      </c>
      <c r="B6019">
        <v>105</v>
      </c>
      <c r="C6019" t="s">
        <v>557</v>
      </c>
      <c r="D6019" t="s">
        <v>2590</v>
      </c>
      <c r="E6019" t="s">
        <v>3888</v>
      </c>
      <c r="F6019" s="451">
        <v>45992</v>
      </c>
      <c r="G6019">
        <v>18595</v>
      </c>
      <c r="H6019" t="s">
        <v>5092</v>
      </c>
      <c r="I6019" t="s">
        <v>5222</v>
      </c>
      <c r="J6019">
        <v>1</v>
      </c>
      <c r="K6019" t="s">
        <v>4738</v>
      </c>
      <c r="L6019">
        <v>132.07</v>
      </c>
      <c r="M6019">
        <v>132.07</v>
      </c>
      <c r="O6019" t="s">
        <v>458</v>
      </c>
    </row>
    <row r="6020" spans="1:15" x14ac:dyDescent="0.3">
      <c r="A6020">
        <v>179845</v>
      </c>
      <c r="B6020">
        <v>105</v>
      </c>
      <c r="C6020" t="s">
        <v>557</v>
      </c>
      <c r="D6020" t="s">
        <v>2590</v>
      </c>
      <c r="E6020" t="s">
        <v>3888</v>
      </c>
      <c r="F6020" s="451">
        <v>45992</v>
      </c>
      <c r="G6020">
        <v>17905</v>
      </c>
      <c r="H6020" t="s">
        <v>5085</v>
      </c>
      <c r="I6020" t="s">
        <v>5222</v>
      </c>
      <c r="J6020">
        <v>1</v>
      </c>
      <c r="K6020" t="s">
        <v>4738</v>
      </c>
      <c r="L6020">
        <v>29.64</v>
      </c>
      <c r="M6020">
        <v>29.64</v>
      </c>
      <c r="O6020" t="s">
        <v>458</v>
      </c>
    </row>
    <row r="6021" spans="1:15" x14ac:dyDescent="0.3">
      <c r="A6021">
        <v>179845</v>
      </c>
      <c r="B6021">
        <v>105</v>
      </c>
      <c r="C6021" t="s">
        <v>557</v>
      </c>
      <c r="D6021" t="s">
        <v>2590</v>
      </c>
      <c r="E6021" t="s">
        <v>3888</v>
      </c>
      <c r="F6021" s="451">
        <v>45992</v>
      </c>
      <c r="G6021">
        <v>17883</v>
      </c>
      <c r="H6021" t="s">
        <v>5113</v>
      </c>
      <c r="I6021" t="s">
        <v>5222</v>
      </c>
      <c r="J6021">
        <v>1</v>
      </c>
      <c r="K6021" t="s">
        <v>4738</v>
      </c>
      <c r="L6021">
        <v>28.32</v>
      </c>
      <c r="M6021">
        <v>28.32</v>
      </c>
      <c r="O6021" t="s">
        <v>458</v>
      </c>
    </row>
    <row r="6022" spans="1:15" x14ac:dyDescent="0.3">
      <c r="A6022">
        <v>179845</v>
      </c>
      <c r="B6022">
        <v>105</v>
      </c>
      <c r="C6022" t="s">
        <v>557</v>
      </c>
      <c r="D6022" t="s">
        <v>2590</v>
      </c>
      <c r="E6022" t="s">
        <v>3888</v>
      </c>
      <c r="F6022" s="451">
        <v>45992</v>
      </c>
      <c r="G6022">
        <v>17895</v>
      </c>
      <c r="H6022" t="s">
        <v>5086</v>
      </c>
      <c r="I6022" t="s">
        <v>5222</v>
      </c>
      <c r="J6022">
        <v>15</v>
      </c>
      <c r="K6022" t="s">
        <v>4738</v>
      </c>
      <c r="L6022">
        <v>424.8</v>
      </c>
      <c r="M6022">
        <v>28.32</v>
      </c>
      <c r="O6022" t="s">
        <v>458</v>
      </c>
    </row>
    <row r="6023" spans="1:15" x14ac:dyDescent="0.3">
      <c r="A6023">
        <v>179845</v>
      </c>
      <c r="B6023">
        <v>105</v>
      </c>
      <c r="C6023" t="s">
        <v>557</v>
      </c>
      <c r="D6023" t="s">
        <v>2590</v>
      </c>
      <c r="E6023" t="s">
        <v>3888</v>
      </c>
      <c r="F6023" s="451">
        <v>45992</v>
      </c>
      <c r="G6023">
        <v>17881</v>
      </c>
      <c r="H6023" t="s">
        <v>5103</v>
      </c>
      <c r="I6023" t="s">
        <v>5222</v>
      </c>
      <c r="J6023">
        <v>2</v>
      </c>
      <c r="K6023" t="s">
        <v>4738</v>
      </c>
      <c r="L6023">
        <v>56.64</v>
      </c>
      <c r="M6023">
        <v>28.32</v>
      </c>
      <c r="O6023" t="s">
        <v>458</v>
      </c>
    </row>
    <row r="6024" spans="1:15" x14ac:dyDescent="0.3">
      <c r="A6024">
        <v>179845</v>
      </c>
      <c r="B6024">
        <v>105</v>
      </c>
      <c r="C6024" t="s">
        <v>557</v>
      </c>
      <c r="D6024" t="s">
        <v>2590</v>
      </c>
      <c r="E6024" t="s">
        <v>3888</v>
      </c>
      <c r="F6024" s="451">
        <v>45992</v>
      </c>
      <c r="G6024">
        <v>17886</v>
      </c>
      <c r="H6024" t="s">
        <v>5083</v>
      </c>
      <c r="I6024" t="s">
        <v>5222</v>
      </c>
      <c r="J6024">
        <v>15</v>
      </c>
      <c r="K6024" t="s">
        <v>4738</v>
      </c>
      <c r="L6024">
        <v>424.8</v>
      </c>
      <c r="M6024">
        <v>28.32</v>
      </c>
      <c r="O6024" t="s">
        <v>458</v>
      </c>
    </row>
    <row r="6025" spans="1:15" x14ac:dyDescent="0.3">
      <c r="A6025">
        <v>179845</v>
      </c>
      <c r="B6025">
        <v>105</v>
      </c>
      <c r="C6025" t="s">
        <v>557</v>
      </c>
      <c r="D6025" t="s">
        <v>2590</v>
      </c>
      <c r="E6025" t="s">
        <v>3888</v>
      </c>
      <c r="F6025" s="451">
        <v>45992</v>
      </c>
      <c r="G6025">
        <v>17918</v>
      </c>
      <c r="H6025" t="s">
        <v>5368</v>
      </c>
      <c r="I6025" t="s">
        <v>5222</v>
      </c>
      <c r="J6025">
        <v>2</v>
      </c>
      <c r="K6025" t="s">
        <v>4738</v>
      </c>
      <c r="L6025">
        <v>86.4</v>
      </c>
      <c r="M6025">
        <v>43.2</v>
      </c>
      <c r="O6025" t="s">
        <v>458</v>
      </c>
    </row>
    <row r="6026" spans="1:15" x14ac:dyDescent="0.3">
      <c r="A6026">
        <v>179845</v>
      </c>
      <c r="B6026">
        <v>105</v>
      </c>
      <c r="C6026" t="s">
        <v>557</v>
      </c>
      <c r="D6026" t="s">
        <v>2590</v>
      </c>
      <c r="E6026" t="s">
        <v>3888</v>
      </c>
      <c r="F6026" s="451">
        <v>45992</v>
      </c>
      <c r="G6026">
        <v>17903</v>
      </c>
      <c r="H6026" t="s">
        <v>5084</v>
      </c>
      <c r="I6026" t="s">
        <v>5222</v>
      </c>
      <c r="J6026">
        <v>8</v>
      </c>
      <c r="K6026" t="s">
        <v>4738</v>
      </c>
      <c r="L6026">
        <v>237.12</v>
      </c>
      <c r="M6026">
        <v>29.64</v>
      </c>
      <c r="O6026" t="s">
        <v>458</v>
      </c>
    </row>
    <row r="6027" spans="1:15" x14ac:dyDescent="0.3">
      <c r="A6027">
        <v>179845</v>
      </c>
      <c r="B6027">
        <v>105</v>
      </c>
      <c r="C6027" t="s">
        <v>557</v>
      </c>
      <c r="D6027" t="s">
        <v>2590</v>
      </c>
      <c r="E6027" t="s">
        <v>3888</v>
      </c>
      <c r="F6027" s="451">
        <v>45992</v>
      </c>
      <c r="G6027">
        <v>24141</v>
      </c>
      <c r="H6027" t="s">
        <v>5088</v>
      </c>
      <c r="I6027" t="s">
        <v>5222</v>
      </c>
      <c r="J6027">
        <v>6</v>
      </c>
      <c r="K6027" t="s">
        <v>4749</v>
      </c>
      <c r="L6027">
        <v>807.6</v>
      </c>
      <c r="M6027">
        <v>134.6</v>
      </c>
      <c r="O6027" t="s">
        <v>458</v>
      </c>
    </row>
    <row r="6028" spans="1:15" x14ac:dyDescent="0.3">
      <c r="A6028">
        <v>179845</v>
      </c>
      <c r="B6028">
        <v>105</v>
      </c>
      <c r="C6028" t="s">
        <v>557</v>
      </c>
      <c r="D6028" t="s">
        <v>2590</v>
      </c>
      <c r="E6028" t="s">
        <v>3888</v>
      </c>
      <c r="F6028" s="451">
        <v>45992</v>
      </c>
      <c r="G6028">
        <v>25561</v>
      </c>
      <c r="H6028" t="s">
        <v>5095</v>
      </c>
      <c r="I6028" t="s">
        <v>5222</v>
      </c>
      <c r="J6028">
        <v>1</v>
      </c>
      <c r="K6028" t="s">
        <v>4738</v>
      </c>
      <c r="L6028">
        <v>132.07</v>
      </c>
      <c r="M6028">
        <v>132.07</v>
      </c>
      <c r="O6028" t="s">
        <v>458</v>
      </c>
    </row>
    <row r="6029" spans="1:15" x14ac:dyDescent="0.3">
      <c r="A6029">
        <v>179845</v>
      </c>
      <c r="B6029">
        <v>105</v>
      </c>
      <c r="C6029" t="s">
        <v>557</v>
      </c>
      <c r="D6029" t="s">
        <v>2590</v>
      </c>
      <c r="E6029" t="s">
        <v>3888</v>
      </c>
      <c r="F6029" s="451">
        <v>45992</v>
      </c>
      <c r="G6029">
        <v>26505</v>
      </c>
      <c r="H6029" t="s">
        <v>4750</v>
      </c>
      <c r="I6029" t="s">
        <v>5222</v>
      </c>
      <c r="J6029">
        <v>3</v>
      </c>
      <c r="K6029" t="s">
        <v>4738</v>
      </c>
      <c r="L6029">
        <v>648</v>
      </c>
      <c r="M6029">
        <v>216</v>
      </c>
      <c r="O6029" t="s">
        <v>458</v>
      </c>
    </row>
    <row r="6030" spans="1:15" x14ac:dyDescent="0.3">
      <c r="A6030">
        <v>179845</v>
      </c>
      <c r="B6030">
        <v>105</v>
      </c>
      <c r="C6030" t="s">
        <v>557</v>
      </c>
      <c r="D6030" t="s">
        <v>2590</v>
      </c>
      <c r="E6030" t="s">
        <v>3888</v>
      </c>
      <c r="F6030" s="451">
        <v>45992</v>
      </c>
      <c r="G6030">
        <v>18004</v>
      </c>
      <c r="H6030" t="s">
        <v>5093</v>
      </c>
      <c r="I6030" t="s">
        <v>5222</v>
      </c>
      <c r="J6030">
        <v>2</v>
      </c>
      <c r="K6030" t="s">
        <v>4738</v>
      </c>
      <c r="L6030">
        <v>59.28</v>
      </c>
      <c r="M6030">
        <v>29.64</v>
      </c>
      <c r="O6030" t="s">
        <v>458</v>
      </c>
    </row>
    <row r="6031" spans="1:15" x14ac:dyDescent="0.3">
      <c r="A6031">
        <v>179845</v>
      </c>
      <c r="B6031">
        <v>105</v>
      </c>
      <c r="C6031" t="s">
        <v>557</v>
      </c>
      <c r="D6031" t="s">
        <v>2590</v>
      </c>
      <c r="E6031" t="s">
        <v>3888</v>
      </c>
      <c r="F6031" s="451">
        <v>45992</v>
      </c>
      <c r="G6031">
        <v>17916</v>
      </c>
      <c r="H6031" t="s">
        <v>5235</v>
      </c>
      <c r="I6031" t="s">
        <v>5222</v>
      </c>
      <c r="J6031">
        <v>2</v>
      </c>
      <c r="K6031" t="s">
        <v>4738</v>
      </c>
      <c r="L6031">
        <v>57.6</v>
      </c>
      <c r="M6031">
        <v>28.8</v>
      </c>
      <c r="O6031" t="s">
        <v>458</v>
      </c>
    </row>
    <row r="6032" spans="1:15" x14ac:dyDescent="0.3">
      <c r="A6032">
        <v>179845</v>
      </c>
      <c r="B6032">
        <v>105</v>
      </c>
      <c r="C6032" t="s">
        <v>557</v>
      </c>
      <c r="D6032" t="s">
        <v>2590</v>
      </c>
      <c r="E6032" t="s">
        <v>3888</v>
      </c>
      <c r="F6032" s="451">
        <v>45992</v>
      </c>
      <c r="G6032">
        <v>24981</v>
      </c>
      <c r="H6032" t="s">
        <v>5140</v>
      </c>
      <c r="I6032" t="s">
        <v>5222</v>
      </c>
      <c r="J6032">
        <v>1</v>
      </c>
      <c r="K6032" t="s">
        <v>4965</v>
      </c>
      <c r="L6032">
        <v>435</v>
      </c>
      <c r="M6032">
        <v>435</v>
      </c>
      <c r="O6032" t="s">
        <v>458</v>
      </c>
    </row>
    <row r="6033" spans="1:15" x14ac:dyDescent="0.3">
      <c r="A6033">
        <v>179844</v>
      </c>
      <c r="B6033">
        <v>105</v>
      </c>
      <c r="C6033" t="s">
        <v>557</v>
      </c>
      <c r="D6033" t="s">
        <v>2590</v>
      </c>
      <c r="E6033" t="s">
        <v>3889</v>
      </c>
      <c r="F6033" s="451">
        <v>45992</v>
      </c>
      <c r="G6033">
        <v>18636</v>
      </c>
      <c r="H6033" t="s">
        <v>4964</v>
      </c>
      <c r="I6033" t="s">
        <v>5222</v>
      </c>
      <c r="J6033">
        <v>4</v>
      </c>
      <c r="K6033" t="s">
        <v>4965</v>
      </c>
      <c r="L6033">
        <v>1931.2</v>
      </c>
      <c r="M6033">
        <v>482.8</v>
      </c>
      <c r="O6033" t="s">
        <v>458</v>
      </c>
    </row>
    <row r="6034" spans="1:15" x14ac:dyDescent="0.3">
      <c r="A6034">
        <v>179844</v>
      </c>
      <c r="B6034">
        <v>105</v>
      </c>
      <c r="C6034" t="s">
        <v>557</v>
      </c>
      <c r="D6034" t="s">
        <v>2590</v>
      </c>
      <c r="E6034" t="s">
        <v>3889</v>
      </c>
      <c r="F6034" s="451">
        <v>45992</v>
      </c>
      <c r="G6034">
        <v>24142</v>
      </c>
      <c r="H6034" t="s">
        <v>5090</v>
      </c>
      <c r="I6034" t="s">
        <v>5222</v>
      </c>
      <c r="J6034">
        <v>3</v>
      </c>
      <c r="K6034" t="s">
        <v>4749</v>
      </c>
      <c r="L6034">
        <v>469.53</v>
      </c>
      <c r="M6034">
        <v>156.51</v>
      </c>
      <c r="O6034" t="s">
        <v>458</v>
      </c>
    </row>
    <row r="6035" spans="1:15" x14ac:dyDescent="0.3">
      <c r="A6035">
        <v>179844</v>
      </c>
      <c r="B6035">
        <v>105</v>
      </c>
      <c r="C6035" t="s">
        <v>557</v>
      </c>
      <c r="D6035" t="s">
        <v>2590</v>
      </c>
      <c r="E6035" t="s">
        <v>3889</v>
      </c>
      <c r="F6035" s="451">
        <v>45992</v>
      </c>
      <c r="G6035">
        <v>18579</v>
      </c>
      <c r="H6035" t="s">
        <v>5087</v>
      </c>
      <c r="I6035" t="s">
        <v>5222</v>
      </c>
      <c r="J6035">
        <v>3</v>
      </c>
      <c r="K6035" t="s">
        <v>4749</v>
      </c>
      <c r="L6035">
        <v>491.76</v>
      </c>
      <c r="M6035">
        <v>163.92</v>
      </c>
      <c r="O6035" t="s">
        <v>458</v>
      </c>
    </row>
    <row r="6036" spans="1:15" x14ac:dyDescent="0.3">
      <c r="A6036">
        <v>179844</v>
      </c>
      <c r="B6036">
        <v>105</v>
      </c>
      <c r="C6036" t="s">
        <v>557</v>
      </c>
      <c r="D6036" t="s">
        <v>2590</v>
      </c>
      <c r="E6036" t="s">
        <v>3889</v>
      </c>
      <c r="F6036" s="451">
        <v>45992</v>
      </c>
      <c r="G6036">
        <v>18595</v>
      </c>
      <c r="H6036" t="s">
        <v>5092</v>
      </c>
      <c r="I6036" t="s">
        <v>5222</v>
      </c>
      <c r="J6036">
        <v>1</v>
      </c>
      <c r="K6036" t="s">
        <v>4738</v>
      </c>
      <c r="L6036">
        <v>132.07</v>
      </c>
      <c r="M6036">
        <v>132.07</v>
      </c>
      <c r="O6036" t="s">
        <v>458</v>
      </c>
    </row>
    <row r="6037" spans="1:15" x14ac:dyDescent="0.3">
      <c r="A6037">
        <v>179844</v>
      </c>
      <c r="B6037">
        <v>105</v>
      </c>
      <c r="C6037" t="s">
        <v>557</v>
      </c>
      <c r="D6037" t="s">
        <v>2590</v>
      </c>
      <c r="E6037" t="s">
        <v>3889</v>
      </c>
      <c r="F6037" s="451">
        <v>45992</v>
      </c>
      <c r="G6037">
        <v>17905</v>
      </c>
      <c r="H6037" t="s">
        <v>5085</v>
      </c>
      <c r="I6037" t="s">
        <v>5222</v>
      </c>
      <c r="J6037">
        <v>6</v>
      </c>
      <c r="K6037" t="s">
        <v>4738</v>
      </c>
      <c r="L6037">
        <v>177.84</v>
      </c>
      <c r="M6037">
        <v>29.64</v>
      </c>
      <c r="O6037" t="s">
        <v>458</v>
      </c>
    </row>
    <row r="6038" spans="1:15" x14ac:dyDescent="0.3">
      <c r="A6038">
        <v>179844</v>
      </c>
      <c r="B6038">
        <v>105</v>
      </c>
      <c r="C6038" t="s">
        <v>557</v>
      </c>
      <c r="D6038" t="s">
        <v>2590</v>
      </c>
      <c r="E6038" t="s">
        <v>3889</v>
      </c>
      <c r="F6038" s="451">
        <v>45992</v>
      </c>
      <c r="G6038">
        <v>17883</v>
      </c>
      <c r="H6038" t="s">
        <v>5113</v>
      </c>
      <c r="I6038" t="s">
        <v>5222</v>
      </c>
      <c r="J6038">
        <v>3</v>
      </c>
      <c r="K6038" t="s">
        <v>4738</v>
      </c>
      <c r="L6038">
        <v>84.96</v>
      </c>
      <c r="M6038">
        <v>28.32</v>
      </c>
      <c r="O6038" t="s">
        <v>458</v>
      </c>
    </row>
    <row r="6039" spans="1:15" x14ac:dyDescent="0.3">
      <c r="A6039">
        <v>179844</v>
      </c>
      <c r="B6039">
        <v>105</v>
      </c>
      <c r="C6039" t="s">
        <v>557</v>
      </c>
      <c r="D6039" t="s">
        <v>2590</v>
      </c>
      <c r="E6039" t="s">
        <v>3889</v>
      </c>
      <c r="F6039" s="451">
        <v>45992</v>
      </c>
      <c r="G6039">
        <v>17881</v>
      </c>
      <c r="H6039" t="s">
        <v>5103</v>
      </c>
      <c r="I6039" t="s">
        <v>5222</v>
      </c>
      <c r="J6039">
        <v>2</v>
      </c>
      <c r="K6039" t="s">
        <v>4738</v>
      </c>
      <c r="L6039">
        <v>56.64</v>
      </c>
      <c r="M6039">
        <v>28.32</v>
      </c>
      <c r="O6039" t="s">
        <v>458</v>
      </c>
    </row>
    <row r="6040" spans="1:15" x14ac:dyDescent="0.3">
      <c r="A6040">
        <v>179844</v>
      </c>
      <c r="B6040">
        <v>105</v>
      </c>
      <c r="C6040" t="s">
        <v>557</v>
      </c>
      <c r="D6040" t="s">
        <v>2590</v>
      </c>
      <c r="E6040" t="s">
        <v>3889</v>
      </c>
      <c r="F6040" s="451">
        <v>45992</v>
      </c>
      <c r="G6040">
        <v>17886</v>
      </c>
      <c r="H6040" t="s">
        <v>5083</v>
      </c>
      <c r="I6040" t="s">
        <v>5222</v>
      </c>
      <c r="J6040">
        <v>6</v>
      </c>
      <c r="K6040" t="s">
        <v>4738</v>
      </c>
      <c r="L6040">
        <v>169.92</v>
      </c>
      <c r="M6040">
        <v>28.32</v>
      </c>
      <c r="O6040" t="s">
        <v>458</v>
      </c>
    </row>
    <row r="6041" spans="1:15" x14ac:dyDescent="0.3">
      <c r="A6041">
        <v>179844</v>
      </c>
      <c r="B6041">
        <v>105</v>
      </c>
      <c r="C6041" t="s">
        <v>557</v>
      </c>
      <c r="D6041" t="s">
        <v>2590</v>
      </c>
      <c r="E6041" t="s">
        <v>3889</v>
      </c>
      <c r="F6041" s="451">
        <v>45992</v>
      </c>
      <c r="G6041">
        <v>17903</v>
      </c>
      <c r="H6041" t="s">
        <v>5084</v>
      </c>
      <c r="I6041" t="s">
        <v>5222</v>
      </c>
      <c r="J6041">
        <v>4</v>
      </c>
      <c r="K6041" t="s">
        <v>4738</v>
      </c>
      <c r="L6041">
        <v>118.56</v>
      </c>
      <c r="M6041">
        <v>29.64</v>
      </c>
      <c r="O6041" t="s">
        <v>458</v>
      </c>
    </row>
    <row r="6042" spans="1:15" x14ac:dyDescent="0.3">
      <c r="A6042">
        <v>179844</v>
      </c>
      <c r="B6042">
        <v>105</v>
      </c>
      <c r="C6042" t="s">
        <v>557</v>
      </c>
      <c r="D6042" t="s">
        <v>2590</v>
      </c>
      <c r="E6042" t="s">
        <v>3889</v>
      </c>
      <c r="F6042" s="451">
        <v>45992</v>
      </c>
      <c r="G6042">
        <v>24141</v>
      </c>
      <c r="H6042" t="s">
        <v>5088</v>
      </c>
      <c r="I6042" t="s">
        <v>5222</v>
      </c>
      <c r="J6042">
        <v>3</v>
      </c>
      <c r="K6042" t="s">
        <v>4749</v>
      </c>
      <c r="L6042">
        <v>403.8</v>
      </c>
      <c r="M6042">
        <v>134.6</v>
      </c>
      <c r="O6042" t="s">
        <v>458</v>
      </c>
    </row>
    <row r="6043" spans="1:15" x14ac:dyDescent="0.3">
      <c r="A6043">
        <v>179841</v>
      </c>
      <c r="B6043">
        <v>105</v>
      </c>
      <c r="C6043" t="s">
        <v>557</v>
      </c>
      <c r="D6043" t="s">
        <v>2569</v>
      </c>
      <c r="E6043" t="s">
        <v>3890</v>
      </c>
      <c r="F6043" s="451">
        <v>45992</v>
      </c>
      <c r="G6043">
        <v>17958</v>
      </c>
      <c r="H6043" t="s">
        <v>5076</v>
      </c>
      <c r="I6043" t="s">
        <v>5222</v>
      </c>
      <c r="J6043">
        <v>13</v>
      </c>
      <c r="K6043" t="s">
        <v>4738</v>
      </c>
      <c r="L6043">
        <v>206.7</v>
      </c>
      <c r="M6043">
        <v>15.9</v>
      </c>
      <c r="O6043" t="s">
        <v>458</v>
      </c>
    </row>
    <row r="6044" spans="1:15" x14ac:dyDescent="0.3">
      <c r="A6044">
        <v>179841</v>
      </c>
      <c r="B6044">
        <v>105</v>
      </c>
      <c r="C6044" t="s">
        <v>557</v>
      </c>
      <c r="D6044" t="s">
        <v>2569</v>
      </c>
      <c r="E6044" t="s">
        <v>3890</v>
      </c>
      <c r="F6044" s="451">
        <v>45992</v>
      </c>
      <c r="G6044">
        <v>17950</v>
      </c>
      <c r="H6044" t="s">
        <v>5091</v>
      </c>
      <c r="I6044" t="s">
        <v>5222</v>
      </c>
      <c r="J6044">
        <v>14</v>
      </c>
      <c r="K6044" t="s">
        <v>4738</v>
      </c>
      <c r="L6044">
        <v>222.6</v>
      </c>
      <c r="M6044">
        <v>15.9</v>
      </c>
      <c r="O6044" t="s">
        <v>458</v>
      </c>
    </row>
    <row r="6045" spans="1:15" x14ac:dyDescent="0.3">
      <c r="A6045">
        <v>179840</v>
      </c>
      <c r="B6045">
        <v>105</v>
      </c>
      <c r="C6045" t="s">
        <v>557</v>
      </c>
      <c r="D6045" t="s">
        <v>2563</v>
      </c>
      <c r="E6045" t="s">
        <v>3891</v>
      </c>
      <c r="F6045" s="451">
        <v>45992</v>
      </c>
      <c r="G6045">
        <v>19737</v>
      </c>
      <c r="H6045" t="s">
        <v>4940</v>
      </c>
      <c r="I6045" t="s">
        <v>5191</v>
      </c>
      <c r="J6045">
        <v>3.1</v>
      </c>
      <c r="K6045" t="s">
        <v>4744</v>
      </c>
      <c r="L6045">
        <v>12.99</v>
      </c>
      <c r="M6045">
        <v>4.1903230000000002</v>
      </c>
      <c r="O6045" t="s">
        <v>458</v>
      </c>
    </row>
    <row r="6046" spans="1:15" x14ac:dyDescent="0.3">
      <c r="A6046">
        <v>179840</v>
      </c>
      <c r="B6046">
        <v>105</v>
      </c>
      <c r="C6046" t="s">
        <v>557</v>
      </c>
      <c r="D6046" t="s">
        <v>2563</v>
      </c>
      <c r="E6046" t="s">
        <v>3891</v>
      </c>
      <c r="F6046" s="451">
        <v>45992</v>
      </c>
      <c r="G6046">
        <v>24509</v>
      </c>
      <c r="H6046" t="s">
        <v>4788</v>
      </c>
      <c r="I6046" t="s">
        <v>5191</v>
      </c>
      <c r="J6046">
        <v>10</v>
      </c>
      <c r="K6046" t="s">
        <v>4744</v>
      </c>
      <c r="L6046">
        <v>22.5</v>
      </c>
      <c r="M6046">
        <v>2.25</v>
      </c>
      <c r="O6046" t="s">
        <v>458</v>
      </c>
    </row>
    <row r="6047" spans="1:15" x14ac:dyDescent="0.3">
      <c r="A6047">
        <v>179839</v>
      </c>
      <c r="B6047">
        <v>105</v>
      </c>
      <c r="C6047" t="s">
        <v>557</v>
      </c>
      <c r="D6047" t="s">
        <v>2607</v>
      </c>
      <c r="E6047" t="s">
        <v>3892</v>
      </c>
      <c r="F6047" s="451">
        <v>45992</v>
      </c>
      <c r="G6047">
        <v>19047</v>
      </c>
      <c r="H6047" t="s">
        <v>5393</v>
      </c>
      <c r="I6047" t="s">
        <v>5191</v>
      </c>
      <c r="J6047">
        <v>3.1</v>
      </c>
      <c r="K6047" t="s">
        <v>4744</v>
      </c>
      <c r="L6047">
        <v>86.8</v>
      </c>
      <c r="M6047">
        <v>28</v>
      </c>
      <c r="O6047" t="s">
        <v>458</v>
      </c>
    </row>
    <row r="6048" spans="1:15" x14ac:dyDescent="0.3">
      <c r="A6048">
        <v>179839</v>
      </c>
      <c r="B6048">
        <v>105</v>
      </c>
      <c r="C6048" t="s">
        <v>557</v>
      </c>
      <c r="D6048" t="s">
        <v>2607</v>
      </c>
      <c r="E6048" t="s">
        <v>3892</v>
      </c>
      <c r="F6048" s="451">
        <v>45992</v>
      </c>
      <c r="G6048">
        <v>18996</v>
      </c>
      <c r="H6048" t="s">
        <v>5130</v>
      </c>
      <c r="I6048" t="s">
        <v>5191</v>
      </c>
      <c r="J6048">
        <v>5</v>
      </c>
      <c r="K6048" t="s">
        <v>4744</v>
      </c>
      <c r="L6048">
        <v>92.5</v>
      </c>
      <c r="M6048">
        <v>18.5</v>
      </c>
      <c r="O6048" t="s">
        <v>458</v>
      </c>
    </row>
    <row r="6049" spans="1:15" x14ac:dyDescent="0.3">
      <c r="A6049">
        <v>179839</v>
      </c>
      <c r="B6049">
        <v>105</v>
      </c>
      <c r="C6049" t="s">
        <v>557</v>
      </c>
      <c r="D6049" t="s">
        <v>2607</v>
      </c>
      <c r="E6049" t="s">
        <v>3892</v>
      </c>
      <c r="F6049" s="451">
        <v>45992</v>
      </c>
      <c r="G6049">
        <v>25205</v>
      </c>
      <c r="H6049" t="s">
        <v>4850</v>
      </c>
      <c r="I6049" t="s">
        <v>5191</v>
      </c>
      <c r="J6049">
        <v>5</v>
      </c>
      <c r="K6049" t="s">
        <v>4744</v>
      </c>
      <c r="L6049">
        <v>110</v>
      </c>
      <c r="M6049">
        <v>22</v>
      </c>
      <c r="O6049" t="s">
        <v>458</v>
      </c>
    </row>
    <row r="6050" spans="1:15" x14ac:dyDescent="0.3">
      <c r="A6050">
        <v>179839</v>
      </c>
      <c r="B6050">
        <v>105</v>
      </c>
      <c r="C6050" t="s">
        <v>557</v>
      </c>
      <c r="D6050" t="s">
        <v>2607</v>
      </c>
      <c r="E6050" t="s">
        <v>3892</v>
      </c>
      <c r="F6050" s="451">
        <v>45992</v>
      </c>
      <c r="G6050">
        <v>25777</v>
      </c>
      <c r="H6050" t="s">
        <v>4774</v>
      </c>
      <c r="I6050" t="s">
        <v>5191</v>
      </c>
      <c r="J6050">
        <v>15.4</v>
      </c>
      <c r="K6050" t="s">
        <v>4744</v>
      </c>
      <c r="L6050">
        <v>1309</v>
      </c>
      <c r="M6050">
        <v>85</v>
      </c>
      <c r="O6050" t="s">
        <v>458</v>
      </c>
    </row>
    <row r="6051" spans="1:15" x14ac:dyDescent="0.3">
      <c r="A6051">
        <v>179839</v>
      </c>
      <c r="B6051">
        <v>105</v>
      </c>
      <c r="C6051" t="s">
        <v>557</v>
      </c>
      <c r="D6051" t="s">
        <v>2607</v>
      </c>
      <c r="E6051" t="s">
        <v>3892</v>
      </c>
      <c r="F6051" s="451">
        <v>45992</v>
      </c>
      <c r="G6051">
        <v>24954</v>
      </c>
      <c r="H6051" t="s">
        <v>4769</v>
      </c>
      <c r="I6051" t="s">
        <v>5191</v>
      </c>
      <c r="J6051">
        <v>19</v>
      </c>
      <c r="K6051" t="s">
        <v>4744</v>
      </c>
      <c r="L6051">
        <v>2403.5</v>
      </c>
      <c r="M6051">
        <v>126.5</v>
      </c>
      <c r="O6051" t="s">
        <v>458</v>
      </c>
    </row>
    <row r="6052" spans="1:15" x14ac:dyDescent="0.3">
      <c r="A6052">
        <v>179838</v>
      </c>
      <c r="B6052">
        <v>105</v>
      </c>
      <c r="C6052" t="s">
        <v>557</v>
      </c>
      <c r="D6052" t="s">
        <v>3723</v>
      </c>
      <c r="E6052" t="s">
        <v>3893</v>
      </c>
      <c r="F6052" s="451">
        <v>45992</v>
      </c>
      <c r="G6052">
        <v>19634</v>
      </c>
      <c r="H6052" t="s">
        <v>4792</v>
      </c>
      <c r="I6052" t="s">
        <v>5191</v>
      </c>
      <c r="J6052">
        <v>4</v>
      </c>
      <c r="K6052" t="s">
        <v>4744</v>
      </c>
      <c r="L6052">
        <v>20</v>
      </c>
      <c r="M6052">
        <v>5</v>
      </c>
      <c r="O6052" t="s">
        <v>458</v>
      </c>
    </row>
    <row r="6053" spans="1:15" x14ac:dyDescent="0.3">
      <c r="A6053">
        <v>179838</v>
      </c>
      <c r="B6053">
        <v>105</v>
      </c>
      <c r="C6053" t="s">
        <v>557</v>
      </c>
      <c r="D6053" t="s">
        <v>3723</v>
      </c>
      <c r="E6053" t="s">
        <v>3893</v>
      </c>
      <c r="F6053" s="451">
        <v>45992</v>
      </c>
      <c r="G6053">
        <v>19623</v>
      </c>
      <c r="H6053" t="s">
        <v>4764</v>
      </c>
      <c r="I6053" t="s">
        <v>5191</v>
      </c>
      <c r="J6053">
        <v>10</v>
      </c>
      <c r="K6053" t="s">
        <v>4744</v>
      </c>
      <c r="L6053">
        <v>50</v>
      </c>
      <c r="M6053">
        <v>5</v>
      </c>
      <c r="O6053" t="s">
        <v>458</v>
      </c>
    </row>
    <row r="6054" spans="1:15" x14ac:dyDescent="0.3">
      <c r="A6054">
        <v>179838</v>
      </c>
      <c r="B6054">
        <v>105</v>
      </c>
      <c r="C6054" t="s">
        <v>557</v>
      </c>
      <c r="D6054" t="s">
        <v>3723</v>
      </c>
      <c r="E6054" t="s">
        <v>3893</v>
      </c>
      <c r="F6054" s="451">
        <v>45992</v>
      </c>
      <c r="G6054">
        <v>19506</v>
      </c>
      <c r="H6054" t="s">
        <v>5122</v>
      </c>
      <c r="I6054" t="s">
        <v>5191</v>
      </c>
      <c r="J6054">
        <v>0.5</v>
      </c>
      <c r="K6054" t="s">
        <v>4744</v>
      </c>
      <c r="L6054">
        <v>20.83</v>
      </c>
      <c r="M6054">
        <v>41.66</v>
      </c>
      <c r="O6054" t="s">
        <v>458</v>
      </c>
    </row>
    <row r="6055" spans="1:15" x14ac:dyDescent="0.3">
      <c r="A6055">
        <v>179838</v>
      </c>
      <c r="B6055">
        <v>105</v>
      </c>
      <c r="C6055" t="s">
        <v>557</v>
      </c>
      <c r="D6055" t="s">
        <v>3723</v>
      </c>
      <c r="E6055" t="s">
        <v>3893</v>
      </c>
      <c r="F6055" s="451">
        <v>45992</v>
      </c>
      <c r="G6055">
        <v>19654</v>
      </c>
      <c r="H6055" t="s">
        <v>5099</v>
      </c>
      <c r="I6055" t="s">
        <v>5191</v>
      </c>
      <c r="J6055">
        <v>4.3</v>
      </c>
      <c r="K6055" t="s">
        <v>4744</v>
      </c>
      <c r="L6055">
        <v>7.52</v>
      </c>
      <c r="M6055">
        <v>1.748837</v>
      </c>
      <c r="O6055" t="s">
        <v>458</v>
      </c>
    </row>
    <row r="6056" spans="1:15" x14ac:dyDescent="0.3">
      <c r="A6056">
        <v>179838</v>
      </c>
      <c r="B6056">
        <v>105</v>
      </c>
      <c r="C6056" t="s">
        <v>557</v>
      </c>
      <c r="D6056" t="s">
        <v>3723</v>
      </c>
      <c r="E6056" t="s">
        <v>3893</v>
      </c>
      <c r="F6056" s="451">
        <v>45992</v>
      </c>
      <c r="G6056">
        <v>19734</v>
      </c>
      <c r="H6056" t="s">
        <v>4833</v>
      </c>
      <c r="I6056" t="s">
        <v>5191</v>
      </c>
      <c r="J6056">
        <v>2</v>
      </c>
      <c r="K6056" t="s">
        <v>4744</v>
      </c>
      <c r="L6056">
        <v>27.5</v>
      </c>
      <c r="M6056">
        <v>13.75</v>
      </c>
      <c r="O6056" t="s">
        <v>458</v>
      </c>
    </row>
    <row r="6057" spans="1:15" x14ac:dyDescent="0.3">
      <c r="A6057">
        <v>179838</v>
      </c>
      <c r="B6057">
        <v>105</v>
      </c>
      <c r="C6057" t="s">
        <v>557</v>
      </c>
      <c r="D6057" t="s">
        <v>3723</v>
      </c>
      <c r="E6057" t="s">
        <v>3893</v>
      </c>
      <c r="F6057" s="451">
        <v>45992</v>
      </c>
      <c r="G6057">
        <v>23359</v>
      </c>
      <c r="H6057" t="s">
        <v>4767</v>
      </c>
      <c r="I6057" t="s">
        <v>5191</v>
      </c>
      <c r="J6057">
        <v>10</v>
      </c>
      <c r="K6057" t="s">
        <v>4744</v>
      </c>
      <c r="L6057">
        <v>28.8</v>
      </c>
      <c r="M6057">
        <v>2.88</v>
      </c>
      <c r="O6057" t="s">
        <v>458</v>
      </c>
    </row>
    <row r="6058" spans="1:15" x14ac:dyDescent="0.3">
      <c r="A6058">
        <v>179838</v>
      </c>
      <c r="B6058">
        <v>105</v>
      </c>
      <c r="C6058" t="s">
        <v>557</v>
      </c>
      <c r="D6058" t="s">
        <v>3723</v>
      </c>
      <c r="E6058" t="s">
        <v>3893</v>
      </c>
      <c r="F6058" s="451">
        <v>45992</v>
      </c>
      <c r="G6058">
        <v>23390</v>
      </c>
      <c r="H6058" t="s">
        <v>4873</v>
      </c>
      <c r="I6058" t="s">
        <v>5191</v>
      </c>
      <c r="J6058">
        <v>1.4</v>
      </c>
      <c r="K6058" t="s">
        <v>4744</v>
      </c>
      <c r="L6058">
        <v>12.25</v>
      </c>
      <c r="M6058">
        <v>8.75</v>
      </c>
      <c r="O6058" t="s">
        <v>458</v>
      </c>
    </row>
    <row r="6059" spans="1:15" x14ac:dyDescent="0.3">
      <c r="A6059">
        <v>179838</v>
      </c>
      <c r="B6059">
        <v>105</v>
      </c>
      <c r="C6059" t="s">
        <v>557</v>
      </c>
      <c r="D6059" t="s">
        <v>3723</v>
      </c>
      <c r="E6059" t="s">
        <v>3893</v>
      </c>
      <c r="F6059" s="451">
        <v>45992</v>
      </c>
      <c r="G6059">
        <v>23184</v>
      </c>
      <c r="H6059" t="s">
        <v>4935</v>
      </c>
      <c r="I6059" t="s">
        <v>5191</v>
      </c>
      <c r="J6059">
        <v>1</v>
      </c>
      <c r="K6059" t="s">
        <v>4744</v>
      </c>
      <c r="L6059">
        <v>8.75</v>
      </c>
      <c r="M6059">
        <v>8.75</v>
      </c>
      <c r="O6059" t="s">
        <v>458</v>
      </c>
    </row>
    <row r="6060" spans="1:15" x14ac:dyDescent="0.3">
      <c r="A6060">
        <v>179836</v>
      </c>
      <c r="B6060">
        <v>105</v>
      </c>
      <c r="C6060" t="s">
        <v>557</v>
      </c>
      <c r="D6060" t="s">
        <v>2707</v>
      </c>
      <c r="E6060" t="s">
        <v>3894</v>
      </c>
      <c r="F6060" s="451">
        <v>45992</v>
      </c>
      <c r="G6060">
        <v>24081</v>
      </c>
      <c r="H6060" t="s">
        <v>4834</v>
      </c>
      <c r="I6060" t="s">
        <v>5191</v>
      </c>
      <c r="J6060">
        <v>5.6</v>
      </c>
      <c r="K6060" t="s">
        <v>4744</v>
      </c>
      <c r="L6060">
        <v>133.28</v>
      </c>
      <c r="M6060">
        <v>23.8</v>
      </c>
      <c r="O6060" t="s">
        <v>458</v>
      </c>
    </row>
    <row r="6061" spans="1:15" x14ac:dyDescent="0.3">
      <c r="A6061">
        <v>179835</v>
      </c>
      <c r="B6061">
        <v>105</v>
      </c>
      <c r="C6061" t="s">
        <v>557</v>
      </c>
      <c r="D6061" t="s">
        <v>2627</v>
      </c>
      <c r="E6061" t="s">
        <v>3895</v>
      </c>
      <c r="F6061" s="451">
        <v>45992</v>
      </c>
      <c r="G6061">
        <v>20809</v>
      </c>
      <c r="H6061" t="s">
        <v>4822</v>
      </c>
      <c r="I6061" t="s">
        <v>5191</v>
      </c>
      <c r="J6061">
        <v>9</v>
      </c>
      <c r="K6061" t="s">
        <v>4738</v>
      </c>
      <c r="L6061">
        <v>295.2</v>
      </c>
      <c r="M6061">
        <v>32.799999999999997</v>
      </c>
      <c r="O6061" t="s">
        <v>458</v>
      </c>
    </row>
    <row r="6062" spans="1:15" x14ac:dyDescent="0.3">
      <c r="A6062">
        <v>179835</v>
      </c>
      <c r="B6062">
        <v>105</v>
      </c>
      <c r="C6062" t="s">
        <v>557</v>
      </c>
      <c r="D6062" t="s">
        <v>2627</v>
      </c>
      <c r="E6062" t="s">
        <v>3895</v>
      </c>
      <c r="F6062" s="451">
        <v>45992</v>
      </c>
      <c r="G6062">
        <v>25358</v>
      </c>
      <c r="H6062" t="s">
        <v>4980</v>
      </c>
      <c r="I6062" t="s">
        <v>5191</v>
      </c>
      <c r="J6062">
        <v>1</v>
      </c>
      <c r="K6062" t="s">
        <v>5238</v>
      </c>
      <c r="L6062">
        <v>73</v>
      </c>
      <c r="M6062">
        <v>73</v>
      </c>
      <c r="O6062" t="s">
        <v>458</v>
      </c>
    </row>
    <row r="6063" spans="1:15" x14ac:dyDescent="0.3">
      <c r="A6063">
        <v>179835</v>
      </c>
      <c r="B6063">
        <v>105</v>
      </c>
      <c r="C6063" t="s">
        <v>557</v>
      </c>
      <c r="D6063" t="s">
        <v>2627</v>
      </c>
      <c r="E6063" t="s">
        <v>3895</v>
      </c>
      <c r="F6063" s="451">
        <v>45992</v>
      </c>
      <c r="G6063">
        <v>20301</v>
      </c>
      <c r="H6063" t="s">
        <v>4944</v>
      </c>
      <c r="I6063" t="s">
        <v>5191</v>
      </c>
      <c r="J6063">
        <v>12</v>
      </c>
      <c r="K6063" t="s">
        <v>4738</v>
      </c>
      <c r="L6063">
        <v>255.6</v>
      </c>
      <c r="M6063">
        <v>21.3</v>
      </c>
      <c r="O6063" t="s">
        <v>458</v>
      </c>
    </row>
    <row r="6064" spans="1:15" x14ac:dyDescent="0.3">
      <c r="A6064">
        <v>179835</v>
      </c>
      <c r="B6064">
        <v>105</v>
      </c>
      <c r="C6064" t="s">
        <v>557</v>
      </c>
      <c r="D6064" t="s">
        <v>2627</v>
      </c>
      <c r="E6064" t="s">
        <v>3895</v>
      </c>
      <c r="F6064" s="451">
        <v>45992</v>
      </c>
      <c r="G6064">
        <v>25807</v>
      </c>
      <c r="H6064" t="s">
        <v>4951</v>
      </c>
      <c r="I6064" t="s">
        <v>5191</v>
      </c>
      <c r="J6064">
        <v>1</v>
      </c>
      <c r="K6064" t="s">
        <v>4736</v>
      </c>
      <c r="L6064">
        <v>202</v>
      </c>
      <c r="M6064">
        <v>202</v>
      </c>
      <c r="O6064" t="s">
        <v>458</v>
      </c>
    </row>
    <row r="6065" spans="1:15" x14ac:dyDescent="0.3">
      <c r="A6065">
        <v>179831</v>
      </c>
      <c r="B6065">
        <v>105</v>
      </c>
      <c r="C6065" t="s">
        <v>557</v>
      </c>
      <c r="D6065" t="s">
        <v>2653</v>
      </c>
      <c r="E6065" t="s">
        <v>3896</v>
      </c>
      <c r="F6065" s="451">
        <v>45992</v>
      </c>
      <c r="G6065">
        <v>24200</v>
      </c>
      <c r="H6065" t="s">
        <v>4820</v>
      </c>
      <c r="I6065" t="s">
        <v>5191</v>
      </c>
      <c r="J6065">
        <v>6.9</v>
      </c>
      <c r="K6065" t="s">
        <v>4744</v>
      </c>
      <c r="L6065">
        <v>227.01</v>
      </c>
      <c r="M6065">
        <v>32.9</v>
      </c>
      <c r="O6065" t="s">
        <v>458</v>
      </c>
    </row>
    <row r="6066" spans="1:15" x14ac:dyDescent="0.3">
      <c r="A6066">
        <v>179830</v>
      </c>
      <c r="B6066">
        <v>105</v>
      </c>
      <c r="C6066" t="s">
        <v>557</v>
      </c>
      <c r="D6066" t="s">
        <v>2600</v>
      </c>
      <c r="E6066" t="s">
        <v>3897</v>
      </c>
      <c r="F6066" s="451">
        <v>45992</v>
      </c>
      <c r="G6066">
        <v>24403</v>
      </c>
      <c r="H6066" t="s">
        <v>5149</v>
      </c>
      <c r="I6066" t="s">
        <v>5191</v>
      </c>
      <c r="J6066">
        <v>3</v>
      </c>
      <c r="K6066" t="s">
        <v>4744</v>
      </c>
      <c r="L6066">
        <v>36</v>
      </c>
      <c r="M6066">
        <v>12</v>
      </c>
      <c r="O6066" t="s">
        <v>458</v>
      </c>
    </row>
    <row r="6067" spans="1:15" x14ac:dyDescent="0.3">
      <c r="A6067">
        <v>179830</v>
      </c>
      <c r="B6067">
        <v>105</v>
      </c>
      <c r="C6067" t="s">
        <v>557</v>
      </c>
      <c r="D6067" t="s">
        <v>2600</v>
      </c>
      <c r="E6067" t="s">
        <v>3897</v>
      </c>
      <c r="F6067" s="451">
        <v>45992</v>
      </c>
      <c r="G6067">
        <v>20549</v>
      </c>
      <c r="H6067" t="s">
        <v>4823</v>
      </c>
      <c r="I6067" t="s">
        <v>5191</v>
      </c>
      <c r="J6067">
        <v>5</v>
      </c>
      <c r="K6067" t="s">
        <v>4744</v>
      </c>
      <c r="L6067">
        <v>99.95</v>
      </c>
      <c r="M6067">
        <v>19.989999999999998</v>
      </c>
      <c r="O6067" t="s">
        <v>458</v>
      </c>
    </row>
    <row r="6068" spans="1:15" x14ac:dyDescent="0.3">
      <c r="A6068">
        <v>179830</v>
      </c>
      <c r="B6068">
        <v>105</v>
      </c>
      <c r="C6068" t="s">
        <v>557</v>
      </c>
      <c r="D6068" t="s">
        <v>2600</v>
      </c>
      <c r="E6068" t="s">
        <v>3897</v>
      </c>
      <c r="F6068" s="451">
        <v>45992</v>
      </c>
      <c r="G6068">
        <v>24197</v>
      </c>
      <c r="H6068" t="s">
        <v>5237</v>
      </c>
      <c r="I6068" t="s">
        <v>5191</v>
      </c>
      <c r="J6068">
        <v>5</v>
      </c>
      <c r="K6068" t="s">
        <v>4744</v>
      </c>
      <c r="L6068">
        <v>99.95</v>
      </c>
      <c r="M6068">
        <v>19.989999999999998</v>
      </c>
      <c r="O6068" t="s">
        <v>458</v>
      </c>
    </row>
    <row r="6069" spans="1:15" x14ac:dyDescent="0.3">
      <c r="A6069">
        <v>179828</v>
      </c>
      <c r="B6069">
        <v>105</v>
      </c>
      <c r="C6069" t="s">
        <v>557</v>
      </c>
      <c r="D6069" t="s">
        <v>2607</v>
      </c>
      <c r="E6069" t="s">
        <v>3898</v>
      </c>
      <c r="F6069" s="451">
        <v>45992</v>
      </c>
      <c r="G6069">
        <v>27657</v>
      </c>
      <c r="H6069" t="s">
        <v>5137</v>
      </c>
      <c r="I6069" t="s">
        <v>5191</v>
      </c>
      <c r="J6069">
        <v>5.12</v>
      </c>
      <c r="K6069" t="s">
        <v>4744</v>
      </c>
      <c r="L6069">
        <v>202.24</v>
      </c>
      <c r="M6069">
        <v>39.5</v>
      </c>
      <c r="O6069" t="s">
        <v>458</v>
      </c>
    </row>
    <row r="6070" spans="1:15" x14ac:dyDescent="0.3">
      <c r="A6070">
        <v>179828</v>
      </c>
      <c r="B6070">
        <v>105</v>
      </c>
      <c r="C6070" t="s">
        <v>557</v>
      </c>
      <c r="D6070" t="s">
        <v>2607</v>
      </c>
      <c r="E6070" t="s">
        <v>3898</v>
      </c>
      <c r="F6070" s="451">
        <v>45992</v>
      </c>
      <c r="G6070">
        <v>26135</v>
      </c>
      <c r="H6070" t="s">
        <v>4801</v>
      </c>
      <c r="I6070" t="s">
        <v>5191</v>
      </c>
      <c r="J6070">
        <v>16.600000000000001</v>
      </c>
      <c r="K6070" t="s">
        <v>4744</v>
      </c>
      <c r="L6070">
        <v>1492.34</v>
      </c>
      <c r="M6070">
        <v>89.9</v>
      </c>
      <c r="O6070" t="s">
        <v>458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6568"/>
  <sheetViews>
    <sheetView workbookViewId="0"/>
  </sheetViews>
  <sheetFormatPr defaultRowHeight="14.4" x14ac:dyDescent="0.3"/>
  <sheetData>
    <row r="1" spans="1:17" x14ac:dyDescent="0.3">
      <c r="A1" t="s">
        <v>4729</v>
      </c>
      <c r="B1" t="s">
        <v>2538</v>
      </c>
      <c r="C1" t="s">
        <v>2539</v>
      </c>
      <c r="D1" t="s">
        <v>4730</v>
      </c>
      <c r="E1" t="s">
        <v>4731</v>
      </c>
      <c r="F1" t="s">
        <v>4732</v>
      </c>
      <c r="G1" t="s">
        <v>5428</v>
      </c>
      <c r="H1" t="s">
        <v>4733</v>
      </c>
      <c r="I1" t="s">
        <v>4734</v>
      </c>
      <c r="J1" t="s">
        <v>5429</v>
      </c>
      <c r="K1" t="s">
        <v>556</v>
      </c>
      <c r="L1" t="s">
        <v>5430</v>
      </c>
      <c r="M1" t="s">
        <v>5431</v>
      </c>
      <c r="N1" t="s">
        <v>5432</v>
      </c>
      <c r="O1" t="s">
        <v>5433</v>
      </c>
      <c r="P1" t="s">
        <v>5434</v>
      </c>
      <c r="Q1" t="s">
        <v>767</v>
      </c>
    </row>
    <row r="2" spans="1:17" x14ac:dyDescent="0.3">
      <c r="A2">
        <v>90642</v>
      </c>
      <c r="B2">
        <v>105</v>
      </c>
      <c r="C2" t="s">
        <v>557</v>
      </c>
      <c r="D2" s="452">
        <v>46174</v>
      </c>
      <c r="E2">
        <v>24259</v>
      </c>
      <c r="F2" t="s">
        <v>4875</v>
      </c>
      <c r="G2">
        <v>2938</v>
      </c>
      <c r="H2">
        <v>28.2</v>
      </c>
      <c r="I2" t="s">
        <v>4744</v>
      </c>
      <c r="J2" t="s">
        <v>5191</v>
      </c>
      <c r="K2" t="s">
        <v>463</v>
      </c>
      <c r="L2">
        <v>80.45</v>
      </c>
      <c r="M2" s="452">
        <v>46164</v>
      </c>
      <c r="N2">
        <v>81.489999999999995</v>
      </c>
      <c r="O2">
        <v>80.989999999999995</v>
      </c>
      <c r="P2">
        <v>2268.69</v>
      </c>
    </row>
    <row r="3" spans="1:17" x14ac:dyDescent="0.3">
      <c r="A3">
        <v>90470</v>
      </c>
      <c r="B3">
        <v>105</v>
      </c>
      <c r="C3" t="s">
        <v>557</v>
      </c>
      <c r="D3" s="452">
        <v>46174</v>
      </c>
      <c r="E3">
        <v>18822</v>
      </c>
      <c r="F3" t="s">
        <v>4811</v>
      </c>
      <c r="G3">
        <v>2953</v>
      </c>
      <c r="H3">
        <v>18.45</v>
      </c>
      <c r="I3" t="s">
        <v>4744</v>
      </c>
      <c r="J3" t="s">
        <v>5191</v>
      </c>
      <c r="K3" t="s">
        <v>463</v>
      </c>
      <c r="L3">
        <v>102.13</v>
      </c>
      <c r="M3" s="452">
        <v>46173</v>
      </c>
      <c r="N3">
        <v>0</v>
      </c>
      <c r="O3">
        <v>0</v>
      </c>
      <c r="P3">
        <v>1884.3</v>
      </c>
    </row>
    <row r="4" spans="1:17" x14ac:dyDescent="0.3">
      <c r="A4">
        <v>90676</v>
      </c>
      <c r="B4">
        <v>105</v>
      </c>
      <c r="C4" t="s">
        <v>557</v>
      </c>
      <c r="D4" s="452">
        <v>46174</v>
      </c>
      <c r="E4">
        <v>25777</v>
      </c>
      <c r="F4" t="s">
        <v>4774</v>
      </c>
      <c r="G4">
        <v>6322</v>
      </c>
      <c r="H4">
        <v>20</v>
      </c>
      <c r="I4" t="s">
        <v>4744</v>
      </c>
      <c r="J4" t="s">
        <v>5191</v>
      </c>
      <c r="K4" t="s">
        <v>463</v>
      </c>
      <c r="L4">
        <v>88.65</v>
      </c>
      <c r="M4" s="452">
        <v>46164</v>
      </c>
      <c r="N4">
        <v>89.8</v>
      </c>
      <c r="O4">
        <v>89.8</v>
      </c>
      <c r="P4">
        <v>1773</v>
      </c>
    </row>
    <row r="5" spans="1:17" x14ac:dyDescent="0.3">
      <c r="A5">
        <v>90466</v>
      </c>
      <c r="B5">
        <v>105</v>
      </c>
      <c r="C5" t="s">
        <v>557</v>
      </c>
      <c r="D5" s="452">
        <v>46174</v>
      </c>
      <c r="E5">
        <v>18636</v>
      </c>
      <c r="F5" t="s">
        <v>4964</v>
      </c>
      <c r="G5">
        <v>3075</v>
      </c>
      <c r="H5">
        <v>4.05</v>
      </c>
      <c r="I5" t="s">
        <v>4965</v>
      </c>
      <c r="J5" t="s">
        <v>5222</v>
      </c>
      <c r="K5" t="s">
        <v>463</v>
      </c>
      <c r="L5">
        <v>435.14</v>
      </c>
      <c r="M5" s="452">
        <v>46167</v>
      </c>
      <c r="N5">
        <v>482.8</v>
      </c>
      <c r="O5">
        <v>351.74</v>
      </c>
      <c r="P5">
        <v>1762.32</v>
      </c>
    </row>
    <row r="6" spans="1:17" x14ac:dyDescent="0.3">
      <c r="A6">
        <v>90632</v>
      </c>
      <c r="B6">
        <v>105</v>
      </c>
      <c r="C6" t="s">
        <v>557</v>
      </c>
      <c r="D6" s="452">
        <v>46174</v>
      </c>
      <c r="E6">
        <v>24096</v>
      </c>
      <c r="F6" t="s">
        <v>4771</v>
      </c>
      <c r="G6">
        <v>2958</v>
      </c>
      <c r="H6">
        <v>35.549999999999997</v>
      </c>
      <c r="I6" t="s">
        <v>4744</v>
      </c>
      <c r="J6" t="s">
        <v>5191</v>
      </c>
      <c r="K6" t="s">
        <v>463</v>
      </c>
      <c r="L6">
        <v>42.19</v>
      </c>
      <c r="M6" s="452">
        <v>46167</v>
      </c>
      <c r="N6">
        <v>42</v>
      </c>
      <c r="O6">
        <v>42</v>
      </c>
      <c r="P6">
        <v>1499.85</v>
      </c>
    </row>
    <row r="7" spans="1:17" x14ac:dyDescent="0.3">
      <c r="A7">
        <v>90635</v>
      </c>
      <c r="B7">
        <v>105</v>
      </c>
      <c r="C7" t="s">
        <v>557</v>
      </c>
      <c r="D7" s="452">
        <v>46174</v>
      </c>
      <c r="E7">
        <v>24141</v>
      </c>
      <c r="F7" t="s">
        <v>5088</v>
      </c>
      <c r="G7">
        <v>3083</v>
      </c>
      <c r="H7">
        <v>10.88</v>
      </c>
      <c r="I7" t="s">
        <v>4749</v>
      </c>
      <c r="J7" t="s">
        <v>5222</v>
      </c>
      <c r="K7" t="s">
        <v>463</v>
      </c>
      <c r="L7">
        <v>130.28</v>
      </c>
      <c r="M7" s="452">
        <v>46161</v>
      </c>
      <c r="N7">
        <v>151.44999999999999</v>
      </c>
      <c r="O7">
        <v>151.44999999999999</v>
      </c>
      <c r="P7">
        <v>1417.45</v>
      </c>
    </row>
    <row r="8" spans="1:17" x14ac:dyDescent="0.3">
      <c r="A8">
        <v>90467</v>
      </c>
      <c r="B8">
        <v>105</v>
      </c>
      <c r="C8" t="s">
        <v>557</v>
      </c>
      <c r="D8" s="452">
        <v>46174</v>
      </c>
      <c r="E8">
        <v>18642</v>
      </c>
      <c r="F8" t="s">
        <v>5127</v>
      </c>
      <c r="G8">
        <v>3072</v>
      </c>
      <c r="H8">
        <v>7.1</v>
      </c>
      <c r="I8" t="s">
        <v>4744</v>
      </c>
      <c r="J8" t="s">
        <v>5191</v>
      </c>
      <c r="K8" t="s">
        <v>463</v>
      </c>
      <c r="L8">
        <v>192.51</v>
      </c>
      <c r="M8" s="452">
        <v>46155</v>
      </c>
      <c r="N8">
        <v>192.51</v>
      </c>
      <c r="O8">
        <v>192.51</v>
      </c>
      <c r="P8">
        <v>1366.82</v>
      </c>
    </row>
    <row r="9" spans="1:17" x14ac:dyDescent="0.3">
      <c r="A9">
        <v>90568</v>
      </c>
      <c r="B9">
        <v>105</v>
      </c>
      <c r="C9" t="s">
        <v>557</v>
      </c>
      <c r="D9" s="452">
        <v>46174</v>
      </c>
      <c r="E9">
        <v>20544</v>
      </c>
      <c r="F9" t="s">
        <v>4808</v>
      </c>
      <c r="G9">
        <v>2144</v>
      </c>
      <c r="H9">
        <v>35.119999999999997</v>
      </c>
      <c r="I9" t="s">
        <v>4744</v>
      </c>
      <c r="J9" t="s">
        <v>5191</v>
      </c>
      <c r="K9" t="s">
        <v>463</v>
      </c>
      <c r="L9">
        <v>0</v>
      </c>
      <c r="M9" s="452">
        <v>46142</v>
      </c>
      <c r="N9">
        <v>225</v>
      </c>
      <c r="O9">
        <v>225</v>
      </c>
      <c r="P9">
        <v>1345.8</v>
      </c>
    </row>
    <row r="10" spans="1:17" x14ac:dyDescent="0.3">
      <c r="A10">
        <v>90692</v>
      </c>
      <c r="B10">
        <v>105</v>
      </c>
      <c r="C10" t="s">
        <v>557</v>
      </c>
      <c r="D10" s="452">
        <v>46174</v>
      </c>
      <c r="E10">
        <v>26679</v>
      </c>
      <c r="F10" t="s">
        <v>4791</v>
      </c>
      <c r="G10">
        <v>6847</v>
      </c>
      <c r="H10">
        <v>43.08</v>
      </c>
      <c r="I10" t="s">
        <v>4744</v>
      </c>
      <c r="J10" t="s">
        <v>5191</v>
      </c>
      <c r="K10" t="s">
        <v>463</v>
      </c>
      <c r="L10">
        <v>29.9</v>
      </c>
      <c r="M10" s="452">
        <v>46167</v>
      </c>
      <c r="N10">
        <v>29.9</v>
      </c>
      <c r="O10">
        <v>29.9</v>
      </c>
      <c r="P10">
        <v>1288.0899999999999</v>
      </c>
    </row>
    <row r="11" spans="1:17" x14ac:dyDescent="0.3">
      <c r="A11">
        <v>90471</v>
      </c>
      <c r="B11">
        <v>105</v>
      </c>
      <c r="C11" t="s">
        <v>557</v>
      </c>
      <c r="D11" s="452">
        <v>46174</v>
      </c>
      <c r="E11">
        <v>18945</v>
      </c>
      <c r="F11" t="s">
        <v>4768</v>
      </c>
      <c r="G11">
        <v>2929</v>
      </c>
      <c r="H11">
        <v>15.6</v>
      </c>
      <c r="I11" t="s">
        <v>4744</v>
      </c>
      <c r="J11" t="s">
        <v>5191</v>
      </c>
      <c r="K11" t="s">
        <v>463</v>
      </c>
      <c r="L11">
        <v>61.68</v>
      </c>
      <c r="M11" s="452">
        <v>46171</v>
      </c>
      <c r="N11">
        <v>61.68</v>
      </c>
      <c r="O11">
        <v>61.68</v>
      </c>
      <c r="P11">
        <v>962.21</v>
      </c>
    </row>
    <row r="12" spans="1:17" x14ac:dyDescent="0.3">
      <c r="A12">
        <v>90483</v>
      </c>
      <c r="B12">
        <v>105</v>
      </c>
      <c r="C12" t="s">
        <v>557</v>
      </c>
      <c r="D12" s="452">
        <v>46174</v>
      </c>
      <c r="E12">
        <v>19356</v>
      </c>
      <c r="F12" t="s">
        <v>4799</v>
      </c>
      <c r="G12">
        <v>2768</v>
      </c>
      <c r="H12">
        <v>9.3800000000000008</v>
      </c>
      <c r="I12" t="s">
        <v>4744</v>
      </c>
      <c r="J12" t="s">
        <v>5191</v>
      </c>
      <c r="K12" t="s">
        <v>463</v>
      </c>
      <c r="L12">
        <v>90.74</v>
      </c>
      <c r="M12" s="452">
        <v>46160</v>
      </c>
      <c r="N12">
        <v>322.43</v>
      </c>
      <c r="O12">
        <v>55.21</v>
      </c>
      <c r="P12">
        <v>851.14</v>
      </c>
    </row>
    <row r="13" spans="1:17" x14ac:dyDescent="0.3">
      <c r="A13">
        <v>90462</v>
      </c>
      <c r="B13">
        <v>105</v>
      </c>
      <c r="C13" t="s">
        <v>557</v>
      </c>
      <c r="D13" s="452">
        <v>46174</v>
      </c>
      <c r="E13">
        <v>18579</v>
      </c>
      <c r="F13" t="s">
        <v>5087</v>
      </c>
      <c r="G13">
        <v>3106</v>
      </c>
      <c r="H13">
        <v>5.75</v>
      </c>
      <c r="I13" t="s">
        <v>4749</v>
      </c>
      <c r="J13" t="s">
        <v>5222</v>
      </c>
      <c r="K13" t="s">
        <v>463</v>
      </c>
      <c r="L13">
        <v>145.54</v>
      </c>
      <c r="M13" s="452">
        <v>46167</v>
      </c>
      <c r="N13">
        <v>163.92</v>
      </c>
      <c r="O13">
        <v>163.92</v>
      </c>
      <c r="P13">
        <v>836.85</v>
      </c>
    </row>
    <row r="14" spans="1:17" x14ac:dyDescent="0.3">
      <c r="A14">
        <v>90640</v>
      </c>
      <c r="B14">
        <v>105</v>
      </c>
      <c r="C14" t="s">
        <v>557</v>
      </c>
      <c r="D14" s="452">
        <v>46174</v>
      </c>
      <c r="E14">
        <v>24217</v>
      </c>
      <c r="F14" t="s">
        <v>4778</v>
      </c>
      <c r="G14">
        <v>2937</v>
      </c>
      <c r="H14">
        <v>24.08</v>
      </c>
      <c r="I14" t="s">
        <v>4744</v>
      </c>
      <c r="J14" t="s">
        <v>5191</v>
      </c>
      <c r="K14" t="s">
        <v>463</v>
      </c>
      <c r="L14">
        <v>33.799999999999997</v>
      </c>
      <c r="M14" s="452">
        <v>46167</v>
      </c>
      <c r="N14">
        <v>35.5</v>
      </c>
      <c r="O14">
        <v>32.9</v>
      </c>
      <c r="P14">
        <v>813.9</v>
      </c>
    </row>
    <row r="15" spans="1:17" x14ac:dyDescent="0.3">
      <c r="A15">
        <v>90567</v>
      </c>
      <c r="B15">
        <v>105</v>
      </c>
      <c r="C15" t="s">
        <v>557</v>
      </c>
      <c r="D15" s="452">
        <v>46174</v>
      </c>
      <c r="E15">
        <v>20501</v>
      </c>
      <c r="F15" t="s">
        <v>4760</v>
      </c>
      <c r="G15">
        <v>2154</v>
      </c>
      <c r="H15">
        <v>36</v>
      </c>
      <c r="I15" t="s">
        <v>4744</v>
      </c>
      <c r="J15" t="s">
        <v>5191</v>
      </c>
      <c r="K15" t="s">
        <v>463</v>
      </c>
      <c r="L15">
        <v>21.85</v>
      </c>
      <c r="M15" s="452">
        <v>46167</v>
      </c>
      <c r="N15">
        <v>21.9</v>
      </c>
      <c r="O15">
        <v>22.2</v>
      </c>
      <c r="P15">
        <v>786.6</v>
      </c>
    </row>
    <row r="16" spans="1:17" x14ac:dyDescent="0.3">
      <c r="A16">
        <v>90469</v>
      </c>
      <c r="B16">
        <v>105</v>
      </c>
      <c r="C16" t="s">
        <v>557</v>
      </c>
      <c r="D16" s="452">
        <v>46174</v>
      </c>
      <c r="E16">
        <v>18735</v>
      </c>
      <c r="F16" t="s">
        <v>4891</v>
      </c>
      <c r="G16">
        <v>3018</v>
      </c>
      <c r="H16">
        <v>7.15</v>
      </c>
      <c r="I16" t="s">
        <v>4744</v>
      </c>
      <c r="J16" t="s">
        <v>5191</v>
      </c>
      <c r="K16" t="s">
        <v>463</v>
      </c>
      <c r="L16">
        <v>110</v>
      </c>
      <c r="M16" s="452">
        <v>46160</v>
      </c>
      <c r="N16">
        <v>110</v>
      </c>
      <c r="O16">
        <v>110</v>
      </c>
      <c r="P16">
        <v>786.5</v>
      </c>
    </row>
    <row r="17" spans="1:16" x14ac:dyDescent="0.3">
      <c r="A17">
        <v>90636</v>
      </c>
      <c r="B17">
        <v>105</v>
      </c>
      <c r="C17" t="s">
        <v>557</v>
      </c>
      <c r="D17" s="452">
        <v>46174</v>
      </c>
      <c r="E17">
        <v>24142</v>
      </c>
      <c r="F17" t="s">
        <v>5090</v>
      </c>
      <c r="G17">
        <v>3085</v>
      </c>
      <c r="H17">
        <v>4.8</v>
      </c>
      <c r="I17" t="s">
        <v>4749</v>
      </c>
      <c r="J17" t="s">
        <v>5222</v>
      </c>
      <c r="K17" t="s">
        <v>463</v>
      </c>
      <c r="L17">
        <v>161.52000000000001</v>
      </c>
      <c r="M17" s="452">
        <v>46161</v>
      </c>
      <c r="N17">
        <v>161.52000000000001</v>
      </c>
      <c r="O17">
        <v>161.52000000000001</v>
      </c>
      <c r="P17">
        <v>775.3</v>
      </c>
    </row>
    <row r="18" spans="1:16" x14ac:dyDescent="0.3">
      <c r="A18">
        <v>90679</v>
      </c>
      <c r="B18">
        <v>105</v>
      </c>
      <c r="C18" t="s">
        <v>557</v>
      </c>
      <c r="D18" s="452">
        <v>46174</v>
      </c>
      <c r="E18">
        <v>26014</v>
      </c>
      <c r="F18" t="s">
        <v>5128</v>
      </c>
      <c r="G18">
        <v>3130</v>
      </c>
      <c r="H18">
        <v>2.0499999999999998</v>
      </c>
      <c r="I18" t="s">
        <v>4805</v>
      </c>
      <c r="J18" t="s">
        <v>5222</v>
      </c>
      <c r="K18" t="s">
        <v>463</v>
      </c>
      <c r="L18">
        <v>0</v>
      </c>
      <c r="M18" s="452">
        <v>46091</v>
      </c>
      <c r="N18">
        <v>375.8</v>
      </c>
      <c r="O18">
        <v>375.8</v>
      </c>
      <c r="P18">
        <v>770.39</v>
      </c>
    </row>
    <row r="19" spans="1:16" x14ac:dyDescent="0.3">
      <c r="A19">
        <v>90472</v>
      </c>
      <c r="B19">
        <v>105</v>
      </c>
      <c r="C19" t="s">
        <v>557</v>
      </c>
      <c r="D19" s="452">
        <v>46174</v>
      </c>
      <c r="E19">
        <v>18991</v>
      </c>
      <c r="F19" t="s">
        <v>4815</v>
      </c>
      <c r="G19">
        <v>2900</v>
      </c>
      <c r="H19">
        <v>18</v>
      </c>
      <c r="I19" t="s">
        <v>4744</v>
      </c>
      <c r="J19" t="s">
        <v>5191</v>
      </c>
      <c r="K19" t="s">
        <v>463</v>
      </c>
      <c r="L19">
        <v>42.42</v>
      </c>
      <c r="M19" s="452">
        <v>46171</v>
      </c>
      <c r="N19">
        <v>42.42</v>
      </c>
      <c r="O19">
        <v>42.42</v>
      </c>
      <c r="P19">
        <v>763.56</v>
      </c>
    </row>
    <row r="20" spans="1:16" x14ac:dyDescent="0.3">
      <c r="A20">
        <v>90693</v>
      </c>
      <c r="B20">
        <v>105</v>
      </c>
      <c r="C20" t="s">
        <v>557</v>
      </c>
      <c r="D20" s="452">
        <v>46174</v>
      </c>
      <c r="E20">
        <v>27264</v>
      </c>
      <c r="F20" t="s">
        <v>5075</v>
      </c>
      <c r="G20">
        <v>7390</v>
      </c>
      <c r="H20">
        <v>9.82</v>
      </c>
      <c r="I20" t="s">
        <v>4744</v>
      </c>
      <c r="J20" t="s">
        <v>5191</v>
      </c>
      <c r="K20" t="s">
        <v>463</v>
      </c>
      <c r="L20">
        <v>71.98</v>
      </c>
      <c r="M20" s="452">
        <v>46173</v>
      </c>
      <c r="N20">
        <v>55.23</v>
      </c>
      <c r="O20">
        <v>55.23</v>
      </c>
      <c r="P20">
        <v>706.84</v>
      </c>
    </row>
    <row r="21" spans="1:16" x14ac:dyDescent="0.3">
      <c r="A21">
        <v>90484</v>
      </c>
      <c r="B21">
        <v>105</v>
      </c>
      <c r="C21" t="s">
        <v>557</v>
      </c>
      <c r="D21" s="452">
        <v>46174</v>
      </c>
      <c r="E21">
        <v>19401</v>
      </c>
      <c r="F21" t="s">
        <v>4809</v>
      </c>
      <c r="G21">
        <v>2761</v>
      </c>
      <c r="H21">
        <v>3.55</v>
      </c>
      <c r="I21" t="s">
        <v>4744</v>
      </c>
      <c r="J21" t="s">
        <v>5191</v>
      </c>
      <c r="K21" t="s">
        <v>463</v>
      </c>
      <c r="L21">
        <v>197.45</v>
      </c>
      <c r="M21" s="452">
        <v>46160</v>
      </c>
      <c r="N21">
        <v>196.9</v>
      </c>
      <c r="O21">
        <v>229.9</v>
      </c>
      <c r="P21">
        <v>700.95</v>
      </c>
    </row>
    <row r="22" spans="1:16" x14ac:dyDescent="0.3">
      <c r="A22">
        <v>90590</v>
      </c>
      <c r="B22">
        <v>105</v>
      </c>
      <c r="C22" t="s">
        <v>557</v>
      </c>
      <c r="D22" s="452">
        <v>46174</v>
      </c>
      <c r="E22">
        <v>21047</v>
      </c>
      <c r="F22" t="s">
        <v>4847</v>
      </c>
      <c r="G22">
        <v>1999</v>
      </c>
      <c r="H22">
        <v>5.78</v>
      </c>
      <c r="I22" t="s">
        <v>4848</v>
      </c>
      <c r="J22" t="s">
        <v>5191</v>
      </c>
      <c r="K22" t="s">
        <v>463</v>
      </c>
      <c r="L22">
        <v>0</v>
      </c>
      <c r="M22" s="452">
        <v>46094</v>
      </c>
      <c r="N22">
        <v>114.5</v>
      </c>
      <c r="O22">
        <v>122.8</v>
      </c>
      <c r="P22">
        <v>661.81</v>
      </c>
    </row>
    <row r="23" spans="1:16" x14ac:dyDescent="0.3">
      <c r="A23">
        <v>90473</v>
      </c>
      <c r="B23">
        <v>105</v>
      </c>
      <c r="C23" t="s">
        <v>557</v>
      </c>
      <c r="D23" s="452">
        <v>46174</v>
      </c>
      <c r="E23">
        <v>19003</v>
      </c>
      <c r="F23" t="s">
        <v>4810</v>
      </c>
      <c r="G23">
        <v>2897</v>
      </c>
      <c r="H23">
        <v>15.35</v>
      </c>
      <c r="I23" t="s">
        <v>4744</v>
      </c>
      <c r="J23" t="s">
        <v>5191</v>
      </c>
      <c r="K23" t="s">
        <v>463</v>
      </c>
      <c r="L23">
        <v>39.69</v>
      </c>
      <c r="M23" s="452">
        <v>46167</v>
      </c>
      <c r="N23">
        <v>39.9</v>
      </c>
      <c r="O23">
        <v>39.9</v>
      </c>
      <c r="P23">
        <v>609.24</v>
      </c>
    </row>
    <row r="24" spans="1:16" x14ac:dyDescent="0.3">
      <c r="A24">
        <v>90691</v>
      </c>
      <c r="B24">
        <v>105</v>
      </c>
      <c r="C24" t="s">
        <v>557</v>
      </c>
      <c r="D24" s="452">
        <v>46174</v>
      </c>
      <c r="E24">
        <v>26505</v>
      </c>
      <c r="F24" t="s">
        <v>4750</v>
      </c>
      <c r="G24">
        <v>6762</v>
      </c>
      <c r="H24">
        <v>2.66</v>
      </c>
      <c r="I24" t="s">
        <v>4738</v>
      </c>
      <c r="J24" t="s">
        <v>5222</v>
      </c>
      <c r="K24" t="s">
        <v>463</v>
      </c>
      <c r="L24">
        <v>216</v>
      </c>
      <c r="M24" s="452">
        <v>46161</v>
      </c>
      <c r="N24">
        <v>216</v>
      </c>
      <c r="O24">
        <v>216</v>
      </c>
      <c r="P24">
        <v>574.55999999999995</v>
      </c>
    </row>
    <row r="25" spans="1:16" x14ac:dyDescent="0.3">
      <c r="A25">
        <v>90478</v>
      </c>
      <c r="B25">
        <v>105</v>
      </c>
      <c r="C25" t="s">
        <v>557</v>
      </c>
      <c r="D25" s="452">
        <v>46174</v>
      </c>
      <c r="E25">
        <v>19291</v>
      </c>
      <c r="F25" t="s">
        <v>4870</v>
      </c>
      <c r="G25">
        <v>2775</v>
      </c>
      <c r="H25">
        <v>7.7</v>
      </c>
      <c r="I25" t="s">
        <v>4744</v>
      </c>
      <c r="J25" t="s">
        <v>5191</v>
      </c>
      <c r="K25" t="s">
        <v>463</v>
      </c>
      <c r="L25">
        <v>72.819999999999993</v>
      </c>
      <c r="M25" s="452">
        <v>46157</v>
      </c>
      <c r="N25">
        <v>70.900000000000006</v>
      </c>
      <c r="O25">
        <v>59.98</v>
      </c>
      <c r="P25">
        <v>560.71</v>
      </c>
    </row>
    <row r="26" spans="1:16" x14ac:dyDescent="0.3">
      <c r="A26">
        <v>90682</v>
      </c>
      <c r="B26">
        <v>105</v>
      </c>
      <c r="C26" t="s">
        <v>557</v>
      </c>
      <c r="D26" s="452">
        <v>46174</v>
      </c>
      <c r="E26">
        <v>26036</v>
      </c>
      <c r="F26" t="s">
        <v>4841</v>
      </c>
      <c r="G26">
        <v>6505</v>
      </c>
      <c r="H26">
        <v>10</v>
      </c>
      <c r="I26" t="s">
        <v>4805</v>
      </c>
      <c r="J26" t="s">
        <v>5222</v>
      </c>
      <c r="K26" t="s">
        <v>463</v>
      </c>
      <c r="L26">
        <v>55.25</v>
      </c>
      <c r="M26" s="452">
        <v>46146</v>
      </c>
      <c r="N26">
        <v>55.25</v>
      </c>
      <c r="O26">
        <v>55.25</v>
      </c>
      <c r="P26">
        <v>552.5</v>
      </c>
    </row>
    <row r="27" spans="1:16" x14ac:dyDescent="0.3">
      <c r="A27">
        <v>90405</v>
      </c>
      <c r="B27">
        <v>105</v>
      </c>
      <c r="C27" t="s">
        <v>557</v>
      </c>
      <c r="D27" s="452">
        <v>46174</v>
      </c>
      <c r="E27">
        <v>17062</v>
      </c>
      <c r="F27" t="s">
        <v>4880</v>
      </c>
      <c r="G27">
        <v>1954</v>
      </c>
      <c r="H27">
        <v>4.3</v>
      </c>
      <c r="I27" t="s">
        <v>4879</v>
      </c>
      <c r="J27" t="s">
        <v>5191</v>
      </c>
      <c r="K27" t="s">
        <v>463</v>
      </c>
      <c r="L27">
        <v>126.03</v>
      </c>
      <c r="M27" s="452">
        <v>46156</v>
      </c>
      <c r="N27">
        <v>126.03</v>
      </c>
      <c r="O27">
        <v>126.03</v>
      </c>
      <c r="P27">
        <v>541.92999999999995</v>
      </c>
    </row>
    <row r="28" spans="1:16" x14ac:dyDescent="0.3">
      <c r="A28">
        <v>90480</v>
      </c>
      <c r="B28">
        <v>105</v>
      </c>
      <c r="C28" t="s">
        <v>557</v>
      </c>
      <c r="D28" s="452">
        <v>46174</v>
      </c>
      <c r="E28">
        <v>19322</v>
      </c>
      <c r="F28" t="s">
        <v>4830</v>
      </c>
      <c r="G28">
        <v>2773</v>
      </c>
      <c r="H28">
        <v>9.9600000000000009</v>
      </c>
      <c r="I28" t="s">
        <v>4744</v>
      </c>
      <c r="J28" t="s">
        <v>5191</v>
      </c>
      <c r="K28" t="s">
        <v>463</v>
      </c>
      <c r="L28">
        <v>51.76</v>
      </c>
      <c r="M28" s="452">
        <v>46172</v>
      </c>
      <c r="N28">
        <v>51.25</v>
      </c>
      <c r="O28">
        <v>51.25</v>
      </c>
      <c r="P28">
        <v>515.53</v>
      </c>
    </row>
    <row r="29" spans="1:16" x14ac:dyDescent="0.3">
      <c r="A29">
        <v>90433</v>
      </c>
      <c r="B29">
        <v>105</v>
      </c>
      <c r="C29" t="s">
        <v>557</v>
      </c>
      <c r="D29" s="452">
        <v>46174</v>
      </c>
      <c r="E29">
        <v>18172</v>
      </c>
      <c r="F29" t="s">
        <v>4804</v>
      </c>
      <c r="G29">
        <v>3450</v>
      </c>
      <c r="H29">
        <v>16.02</v>
      </c>
      <c r="I29" t="s">
        <v>4805</v>
      </c>
      <c r="J29" t="s">
        <v>5222</v>
      </c>
      <c r="K29" t="s">
        <v>463</v>
      </c>
      <c r="L29">
        <v>0</v>
      </c>
      <c r="M29" s="452">
        <v>46126</v>
      </c>
      <c r="N29">
        <v>31.4</v>
      </c>
      <c r="O29">
        <v>29.83</v>
      </c>
      <c r="P29">
        <v>503.03</v>
      </c>
    </row>
    <row r="30" spans="1:16" x14ac:dyDescent="0.3">
      <c r="A30">
        <v>90610</v>
      </c>
      <c r="B30">
        <v>105</v>
      </c>
      <c r="C30" t="s">
        <v>557</v>
      </c>
      <c r="D30" s="452">
        <v>46174</v>
      </c>
      <c r="E30">
        <v>23268</v>
      </c>
      <c r="F30" t="s">
        <v>4743</v>
      </c>
      <c r="G30">
        <v>2592</v>
      </c>
      <c r="H30">
        <v>110.6</v>
      </c>
      <c r="I30" t="s">
        <v>4744</v>
      </c>
      <c r="J30" t="s">
        <v>5191</v>
      </c>
      <c r="K30" t="s">
        <v>463</v>
      </c>
      <c r="L30">
        <v>0</v>
      </c>
      <c r="M30" s="452">
        <v>45681</v>
      </c>
      <c r="N30">
        <v>4.42</v>
      </c>
      <c r="O30">
        <v>5.0999999999999996</v>
      </c>
      <c r="P30">
        <v>488.85</v>
      </c>
    </row>
    <row r="31" spans="1:16" x14ac:dyDescent="0.3">
      <c r="A31">
        <v>90454</v>
      </c>
      <c r="B31">
        <v>105</v>
      </c>
      <c r="C31" t="s">
        <v>557</v>
      </c>
      <c r="D31" s="452">
        <v>46174</v>
      </c>
      <c r="E31">
        <v>18475</v>
      </c>
      <c r="F31" t="s">
        <v>4895</v>
      </c>
      <c r="G31">
        <v>3181</v>
      </c>
      <c r="H31">
        <v>14.03</v>
      </c>
      <c r="I31" t="s">
        <v>4805</v>
      </c>
      <c r="J31" t="s">
        <v>5222</v>
      </c>
      <c r="K31" t="s">
        <v>463</v>
      </c>
      <c r="L31">
        <v>32.9</v>
      </c>
      <c r="M31" s="452">
        <v>46168</v>
      </c>
      <c r="N31">
        <v>32.9</v>
      </c>
      <c r="O31">
        <v>32.9</v>
      </c>
      <c r="P31">
        <v>461.59</v>
      </c>
    </row>
    <row r="32" spans="1:16" x14ac:dyDescent="0.3">
      <c r="A32">
        <v>90416</v>
      </c>
      <c r="B32">
        <v>105</v>
      </c>
      <c r="C32" t="s">
        <v>557</v>
      </c>
      <c r="D32" s="452">
        <v>46174</v>
      </c>
      <c r="E32">
        <v>17905</v>
      </c>
      <c r="F32" t="s">
        <v>5085</v>
      </c>
      <c r="G32">
        <v>3656</v>
      </c>
      <c r="H32">
        <v>17.420000000000002</v>
      </c>
      <c r="I32" t="s">
        <v>4738</v>
      </c>
      <c r="J32" t="s">
        <v>5222</v>
      </c>
      <c r="K32" t="s">
        <v>463</v>
      </c>
      <c r="L32">
        <v>25.53</v>
      </c>
      <c r="M32" s="452">
        <v>46167</v>
      </c>
      <c r="N32">
        <v>25.53</v>
      </c>
      <c r="O32">
        <v>19.97</v>
      </c>
      <c r="P32">
        <v>444.73</v>
      </c>
    </row>
    <row r="33" spans="1:16" x14ac:dyDescent="0.3">
      <c r="A33">
        <v>90420</v>
      </c>
      <c r="B33">
        <v>105</v>
      </c>
      <c r="C33" t="s">
        <v>557</v>
      </c>
      <c r="D33" s="452">
        <v>46174</v>
      </c>
      <c r="E33">
        <v>17958</v>
      </c>
      <c r="F33" t="s">
        <v>5076</v>
      </c>
      <c r="G33">
        <v>3622</v>
      </c>
      <c r="H33">
        <v>27.33</v>
      </c>
      <c r="I33" t="s">
        <v>4738</v>
      </c>
      <c r="J33" t="s">
        <v>5222</v>
      </c>
      <c r="K33" t="s">
        <v>463</v>
      </c>
      <c r="L33">
        <v>15.71</v>
      </c>
      <c r="M33" s="452">
        <v>46167</v>
      </c>
      <c r="N33">
        <v>13.8</v>
      </c>
      <c r="O33">
        <v>14.38</v>
      </c>
      <c r="P33">
        <v>429.35</v>
      </c>
    </row>
    <row r="34" spans="1:16" x14ac:dyDescent="0.3">
      <c r="A34">
        <v>90419</v>
      </c>
      <c r="B34">
        <v>105</v>
      </c>
      <c r="C34" t="s">
        <v>557</v>
      </c>
      <c r="D34" s="452">
        <v>46174</v>
      </c>
      <c r="E34">
        <v>17950</v>
      </c>
      <c r="F34" t="s">
        <v>5091</v>
      </c>
      <c r="G34">
        <v>3626</v>
      </c>
      <c r="H34">
        <v>25.16</v>
      </c>
      <c r="I34" t="s">
        <v>4738</v>
      </c>
      <c r="J34" t="s">
        <v>5222</v>
      </c>
      <c r="K34" t="s">
        <v>463</v>
      </c>
      <c r="L34">
        <v>17.010000000000002</v>
      </c>
      <c r="M34" s="452">
        <v>46167</v>
      </c>
      <c r="N34">
        <v>14.52</v>
      </c>
      <c r="O34">
        <v>14.75</v>
      </c>
      <c r="P34">
        <v>427.97</v>
      </c>
    </row>
    <row r="35" spans="1:16" x14ac:dyDescent="0.3">
      <c r="A35">
        <v>90485</v>
      </c>
      <c r="B35">
        <v>105</v>
      </c>
      <c r="C35" t="s">
        <v>557</v>
      </c>
      <c r="D35" s="452">
        <v>46174</v>
      </c>
      <c r="E35">
        <v>19405</v>
      </c>
      <c r="F35" t="s">
        <v>5158</v>
      </c>
      <c r="G35">
        <v>2761</v>
      </c>
      <c r="H35">
        <v>2</v>
      </c>
      <c r="I35" t="s">
        <v>4744</v>
      </c>
      <c r="J35" t="s">
        <v>5191</v>
      </c>
      <c r="K35" t="s">
        <v>463</v>
      </c>
      <c r="L35">
        <v>0</v>
      </c>
      <c r="M35" s="452">
        <v>46142</v>
      </c>
      <c r="N35">
        <v>212.9</v>
      </c>
      <c r="O35">
        <v>154.9</v>
      </c>
      <c r="P35">
        <v>425.8</v>
      </c>
    </row>
    <row r="36" spans="1:16" x14ac:dyDescent="0.3">
      <c r="A36">
        <v>90407</v>
      </c>
      <c r="B36">
        <v>105</v>
      </c>
      <c r="C36" t="s">
        <v>557</v>
      </c>
      <c r="D36" s="452">
        <v>46174</v>
      </c>
      <c r="E36">
        <v>17578</v>
      </c>
      <c r="F36" t="s">
        <v>4842</v>
      </c>
      <c r="G36">
        <v>3948</v>
      </c>
      <c r="H36">
        <v>4</v>
      </c>
      <c r="I36" t="s">
        <v>4805</v>
      </c>
      <c r="J36" t="s">
        <v>5222</v>
      </c>
      <c r="K36" t="s">
        <v>463</v>
      </c>
      <c r="L36">
        <v>0</v>
      </c>
      <c r="M36" s="452">
        <v>46098</v>
      </c>
      <c r="N36">
        <v>105.95</v>
      </c>
      <c r="O36">
        <v>112.84</v>
      </c>
      <c r="P36">
        <v>423.8</v>
      </c>
    </row>
    <row r="37" spans="1:16" x14ac:dyDescent="0.3">
      <c r="A37">
        <v>90475</v>
      </c>
      <c r="B37">
        <v>105</v>
      </c>
      <c r="C37" t="s">
        <v>557</v>
      </c>
      <c r="D37" s="452">
        <v>46174</v>
      </c>
      <c r="E37">
        <v>19041</v>
      </c>
      <c r="F37" t="s">
        <v>4762</v>
      </c>
      <c r="G37">
        <v>2890</v>
      </c>
      <c r="H37">
        <v>27.15</v>
      </c>
      <c r="I37" t="s">
        <v>4744</v>
      </c>
      <c r="J37" t="s">
        <v>5191</v>
      </c>
      <c r="K37" t="s">
        <v>463</v>
      </c>
      <c r="L37">
        <v>14.9</v>
      </c>
      <c r="M37" s="452">
        <v>46167</v>
      </c>
      <c r="N37">
        <v>14.9</v>
      </c>
      <c r="O37">
        <v>14.9</v>
      </c>
      <c r="P37">
        <v>404.54</v>
      </c>
    </row>
    <row r="38" spans="1:16" x14ac:dyDescent="0.3">
      <c r="A38">
        <v>90664</v>
      </c>
      <c r="B38">
        <v>105</v>
      </c>
      <c r="C38" t="s">
        <v>557</v>
      </c>
      <c r="D38" s="452">
        <v>46174</v>
      </c>
      <c r="E38">
        <v>25561</v>
      </c>
      <c r="F38" t="s">
        <v>5095</v>
      </c>
      <c r="G38">
        <v>6169</v>
      </c>
      <c r="H38">
        <v>3.04</v>
      </c>
      <c r="I38" t="s">
        <v>4738</v>
      </c>
      <c r="J38" t="s">
        <v>5222</v>
      </c>
      <c r="K38" t="s">
        <v>463</v>
      </c>
      <c r="L38">
        <v>132</v>
      </c>
      <c r="M38" s="452">
        <v>46167</v>
      </c>
      <c r="N38">
        <v>132</v>
      </c>
      <c r="O38">
        <v>166.96</v>
      </c>
      <c r="P38">
        <v>401.28</v>
      </c>
    </row>
    <row r="39" spans="1:16" x14ac:dyDescent="0.3">
      <c r="A39">
        <v>90465</v>
      </c>
      <c r="B39">
        <v>105</v>
      </c>
      <c r="C39" t="s">
        <v>557</v>
      </c>
      <c r="D39" s="452">
        <v>46174</v>
      </c>
      <c r="E39">
        <v>18595</v>
      </c>
      <c r="F39" t="s">
        <v>5092</v>
      </c>
      <c r="G39">
        <v>3099</v>
      </c>
      <c r="H39">
        <v>2.66</v>
      </c>
      <c r="I39" t="s">
        <v>4738</v>
      </c>
      <c r="J39" t="s">
        <v>5222</v>
      </c>
      <c r="K39" t="s">
        <v>463</v>
      </c>
      <c r="L39">
        <v>150.47999999999999</v>
      </c>
      <c r="M39" s="452">
        <v>46167</v>
      </c>
      <c r="N39">
        <v>150.47999999999999</v>
      </c>
      <c r="O39">
        <v>155.97</v>
      </c>
      <c r="P39">
        <v>400.28</v>
      </c>
    </row>
    <row r="40" spans="1:16" x14ac:dyDescent="0.3">
      <c r="A40">
        <v>90458</v>
      </c>
      <c r="B40">
        <v>105</v>
      </c>
      <c r="C40" t="s">
        <v>557</v>
      </c>
      <c r="D40" s="452">
        <v>46174</v>
      </c>
      <c r="E40">
        <v>18518</v>
      </c>
      <c r="F40" t="s">
        <v>4838</v>
      </c>
      <c r="G40">
        <v>3148</v>
      </c>
      <c r="H40">
        <v>10</v>
      </c>
      <c r="I40" t="s">
        <v>4805</v>
      </c>
      <c r="J40" t="s">
        <v>5222</v>
      </c>
      <c r="K40" t="s">
        <v>463</v>
      </c>
      <c r="L40">
        <v>40</v>
      </c>
      <c r="M40" s="452">
        <v>46169</v>
      </c>
      <c r="N40">
        <v>40</v>
      </c>
      <c r="O40">
        <v>40</v>
      </c>
      <c r="P40">
        <v>400</v>
      </c>
    </row>
    <row r="41" spans="1:16" x14ac:dyDescent="0.3">
      <c r="A41">
        <v>90447</v>
      </c>
      <c r="B41">
        <v>105</v>
      </c>
      <c r="C41" t="s">
        <v>557</v>
      </c>
      <c r="D41" s="452">
        <v>46174</v>
      </c>
      <c r="E41">
        <v>18315</v>
      </c>
      <c r="F41" t="s">
        <v>4922</v>
      </c>
      <c r="G41">
        <v>3318</v>
      </c>
      <c r="H41">
        <v>3</v>
      </c>
      <c r="I41" t="s">
        <v>4805</v>
      </c>
      <c r="J41" t="s">
        <v>5222</v>
      </c>
      <c r="K41" t="s">
        <v>463</v>
      </c>
      <c r="L41">
        <v>0</v>
      </c>
      <c r="M41" s="452">
        <v>46104</v>
      </c>
      <c r="N41">
        <v>133</v>
      </c>
      <c r="O41">
        <v>127</v>
      </c>
      <c r="P41">
        <v>399</v>
      </c>
    </row>
    <row r="42" spans="1:16" x14ac:dyDescent="0.3">
      <c r="A42">
        <v>90418</v>
      </c>
      <c r="B42">
        <v>105</v>
      </c>
      <c r="C42" t="s">
        <v>557</v>
      </c>
      <c r="D42" s="452">
        <v>46174</v>
      </c>
      <c r="E42">
        <v>17917</v>
      </c>
      <c r="F42" t="s">
        <v>5098</v>
      </c>
      <c r="G42">
        <v>3647</v>
      </c>
      <c r="H42">
        <v>2.42</v>
      </c>
      <c r="I42" t="s">
        <v>4738</v>
      </c>
      <c r="J42" t="s">
        <v>5222</v>
      </c>
      <c r="K42" t="s">
        <v>463</v>
      </c>
      <c r="L42">
        <v>0</v>
      </c>
      <c r="M42" s="452">
        <v>45646</v>
      </c>
      <c r="N42">
        <v>163.68</v>
      </c>
      <c r="O42">
        <v>8.49</v>
      </c>
      <c r="P42">
        <v>396.11</v>
      </c>
    </row>
    <row r="43" spans="1:16" x14ac:dyDescent="0.3">
      <c r="A43">
        <v>90543</v>
      </c>
      <c r="B43">
        <v>105</v>
      </c>
      <c r="C43" t="s">
        <v>557</v>
      </c>
      <c r="D43" s="452">
        <v>46174</v>
      </c>
      <c r="E43">
        <v>19967</v>
      </c>
      <c r="F43" t="s">
        <v>4956</v>
      </c>
      <c r="G43">
        <v>2356</v>
      </c>
      <c r="H43">
        <v>8</v>
      </c>
      <c r="I43" t="s">
        <v>4888</v>
      </c>
      <c r="J43" t="s">
        <v>5191</v>
      </c>
      <c r="K43" t="s">
        <v>463</v>
      </c>
      <c r="L43">
        <v>49.28</v>
      </c>
      <c r="M43" s="452">
        <v>46164</v>
      </c>
      <c r="N43">
        <v>49.28</v>
      </c>
      <c r="O43">
        <v>49.8</v>
      </c>
      <c r="P43">
        <v>394.24</v>
      </c>
    </row>
    <row r="44" spans="1:16" x14ac:dyDescent="0.3">
      <c r="A44">
        <v>90461</v>
      </c>
      <c r="B44">
        <v>105</v>
      </c>
      <c r="C44" t="s">
        <v>557</v>
      </c>
      <c r="D44" s="452">
        <v>46174</v>
      </c>
      <c r="E44">
        <v>18547</v>
      </c>
      <c r="F44" t="s">
        <v>4863</v>
      </c>
      <c r="G44">
        <v>3132</v>
      </c>
      <c r="H44">
        <v>10.53</v>
      </c>
      <c r="I44" t="s">
        <v>4805</v>
      </c>
      <c r="J44" t="s">
        <v>5222</v>
      </c>
      <c r="K44" t="s">
        <v>463</v>
      </c>
      <c r="L44">
        <v>37.35</v>
      </c>
      <c r="M44" s="452">
        <v>46168</v>
      </c>
      <c r="N44">
        <v>37.5</v>
      </c>
      <c r="O44">
        <v>37.5</v>
      </c>
      <c r="P44">
        <v>393.3</v>
      </c>
    </row>
    <row r="45" spans="1:16" x14ac:dyDescent="0.3">
      <c r="A45">
        <v>90646</v>
      </c>
      <c r="B45">
        <v>105</v>
      </c>
      <c r="C45" t="s">
        <v>557</v>
      </c>
      <c r="D45" s="452">
        <v>46174</v>
      </c>
      <c r="E45">
        <v>24351</v>
      </c>
      <c r="F45" t="s">
        <v>5014</v>
      </c>
      <c r="G45">
        <v>2287</v>
      </c>
      <c r="H45">
        <v>19.5</v>
      </c>
      <c r="I45" t="s">
        <v>4736</v>
      </c>
      <c r="J45" t="s">
        <v>5191</v>
      </c>
      <c r="K45" t="s">
        <v>463</v>
      </c>
      <c r="L45">
        <v>19.71</v>
      </c>
      <c r="M45" s="452">
        <v>46156</v>
      </c>
      <c r="N45">
        <v>30</v>
      </c>
      <c r="O45">
        <v>30</v>
      </c>
      <c r="P45">
        <v>384.34</v>
      </c>
    </row>
    <row r="46" spans="1:16" x14ac:dyDescent="0.3">
      <c r="A46">
        <v>90690</v>
      </c>
      <c r="B46">
        <v>105</v>
      </c>
      <c r="C46" t="s">
        <v>557</v>
      </c>
      <c r="D46" s="452">
        <v>46174</v>
      </c>
      <c r="E46">
        <v>26236</v>
      </c>
      <c r="F46" t="s">
        <v>5077</v>
      </c>
      <c r="G46">
        <v>6638</v>
      </c>
      <c r="H46">
        <v>3</v>
      </c>
      <c r="I46" t="s">
        <v>4805</v>
      </c>
      <c r="J46" t="s">
        <v>5222</v>
      </c>
      <c r="K46" t="s">
        <v>463</v>
      </c>
      <c r="L46">
        <v>0</v>
      </c>
      <c r="M46" s="452">
        <v>46027</v>
      </c>
      <c r="N46">
        <v>128.05000000000001</v>
      </c>
      <c r="O46">
        <v>138.02000000000001</v>
      </c>
      <c r="P46">
        <v>384.15</v>
      </c>
    </row>
    <row r="47" spans="1:16" x14ac:dyDescent="0.3">
      <c r="A47">
        <v>90415</v>
      </c>
      <c r="B47">
        <v>105</v>
      </c>
      <c r="C47" t="s">
        <v>557</v>
      </c>
      <c r="D47" s="452">
        <v>46174</v>
      </c>
      <c r="E47">
        <v>17903</v>
      </c>
      <c r="F47" t="s">
        <v>5084</v>
      </c>
      <c r="G47">
        <v>3658</v>
      </c>
      <c r="H47">
        <v>11.6</v>
      </c>
      <c r="I47" t="s">
        <v>4738</v>
      </c>
      <c r="J47" t="s">
        <v>5222</v>
      </c>
      <c r="K47" t="s">
        <v>463</v>
      </c>
      <c r="L47">
        <v>0</v>
      </c>
      <c r="M47" s="452">
        <v>46142</v>
      </c>
      <c r="N47">
        <v>32.729999999999997</v>
      </c>
      <c r="O47">
        <v>25.53</v>
      </c>
      <c r="P47">
        <v>379.67</v>
      </c>
    </row>
    <row r="48" spans="1:16" x14ac:dyDescent="0.3">
      <c r="A48">
        <v>90588</v>
      </c>
      <c r="B48">
        <v>105</v>
      </c>
      <c r="C48" t="s">
        <v>557</v>
      </c>
      <c r="D48" s="452">
        <v>46174</v>
      </c>
      <c r="E48">
        <v>21021</v>
      </c>
      <c r="F48" t="s">
        <v>4883</v>
      </c>
      <c r="G48">
        <v>2003</v>
      </c>
      <c r="H48">
        <v>2</v>
      </c>
      <c r="I48" t="s">
        <v>4884</v>
      </c>
      <c r="J48" t="s">
        <v>5191</v>
      </c>
      <c r="K48" t="s">
        <v>463</v>
      </c>
      <c r="L48">
        <v>187.76</v>
      </c>
      <c r="M48" s="452">
        <v>46164</v>
      </c>
      <c r="N48">
        <v>187.76</v>
      </c>
      <c r="O48">
        <v>187.76</v>
      </c>
      <c r="P48">
        <v>375.52</v>
      </c>
    </row>
    <row r="49" spans="1:16" x14ac:dyDescent="0.3">
      <c r="A49">
        <v>90641</v>
      </c>
      <c r="B49">
        <v>105</v>
      </c>
      <c r="C49" t="s">
        <v>557</v>
      </c>
      <c r="D49" s="452">
        <v>46174</v>
      </c>
      <c r="E49">
        <v>24256</v>
      </c>
      <c r="F49" t="s">
        <v>4773</v>
      </c>
      <c r="G49">
        <v>3003</v>
      </c>
      <c r="H49">
        <v>9.93</v>
      </c>
      <c r="I49" t="s">
        <v>4744</v>
      </c>
      <c r="J49" t="s">
        <v>5191</v>
      </c>
      <c r="K49" t="s">
        <v>463</v>
      </c>
      <c r="L49">
        <v>37.5</v>
      </c>
      <c r="M49" s="452">
        <v>46164</v>
      </c>
      <c r="N49">
        <v>37.5</v>
      </c>
      <c r="O49">
        <v>37.5</v>
      </c>
      <c r="P49">
        <v>372.38</v>
      </c>
    </row>
    <row r="50" spans="1:16" x14ac:dyDescent="0.3">
      <c r="A50">
        <v>90572</v>
      </c>
      <c r="B50">
        <v>105</v>
      </c>
      <c r="C50" t="s">
        <v>557</v>
      </c>
      <c r="D50" s="452">
        <v>46174</v>
      </c>
      <c r="E50">
        <v>20623</v>
      </c>
      <c r="F50" t="s">
        <v>4814</v>
      </c>
      <c r="G50">
        <v>2116</v>
      </c>
      <c r="H50">
        <v>30</v>
      </c>
      <c r="I50" t="s">
        <v>4736</v>
      </c>
      <c r="J50" t="s">
        <v>5191</v>
      </c>
      <c r="K50" t="s">
        <v>463</v>
      </c>
      <c r="L50">
        <v>12.39</v>
      </c>
      <c r="M50" s="452">
        <v>46160</v>
      </c>
      <c r="N50">
        <v>12.39</v>
      </c>
      <c r="O50">
        <v>12.39</v>
      </c>
      <c r="P50">
        <v>371.7</v>
      </c>
    </row>
    <row r="51" spans="1:16" x14ac:dyDescent="0.3">
      <c r="A51">
        <v>90681</v>
      </c>
      <c r="B51">
        <v>105</v>
      </c>
      <c r="C51" t="s">
        <v>557</v>
      </c>
      <c r="D51" s="452">
        <v>46174</v>
      </c>
      <c r="E51">
        <v>26034</v>
      </c>
      <c r="F51" t="s">
        <v>4828</v>
      </c>
      <c r="G51">
        <v>6504</v>
      </c>
      <c r="H51">
        <v>7.2</v>
      </c>
      <c r="I51" t="s">
        <v>4805</v>
      </c>
      <c r="J51" t="s">
        <v>5222</v>
      </c>
      <c r="K51" t="s">
        <v>463</v>
      </c>
      <c r="L51">
        <v>47.45</v>
      </c>
      <c r="M51" s="452">
        <v>46167</v>
      </c>
      <c r="N51">
        <v>47.45</v>
      </c>
      <c r="O51">
        <v>47.45</v>
      </c>
      <c r="P51">
        <v>341.64</v>
      </c>
    </row>
    <row r="52" spans="1:16" x14ac:dyDescent="0.3">
      <c r="A52">
        <v>90596</v>
      </c>
      <c r="B52">
        <v>105</v>
      </c>
      <c r="C52" t="s">
        <v>557</v>
      </c>
      <c r="D52" s="452">
        <v>46174</v>
      </c>
      <c r="E52">
        <v>21150</v>
      </c>
      <c r="F52" t="s">
        <v>4878</v>
      </c>
      <c r="G52">
        <v>1951</v>
      </c>
      <c r="H52">
        <v>3</v>
      </c>
      <c r="I52" t="s">
        <v>4879</v>
      </c>
      <c r="J52" t="s">
        <v>5191</v>
      </c>
      <c r="K52" t="s">
        <v>463</v>
      </c>
      <c r="L52">
        <v>113.31</v>
      </c>
      <c r="M52" s="452">
        <v>46156</v>
      </c>
      <c r="N52">
        <v>113.31</v>
      </c>
      <c r="O52">
        <v>113.31</v>
      </c>
      <c r="P52">
        <v>339.93</v>
      </c>
    </row>
    <row r="53" spans="1:16" x14ac:dyDescent="0.3">
      <c r="A53">
        <v>90581</v>
      </c>
      <c r="B53">
        <v>105</v>
      </c>
      <c r="C53" t="s">
        <v>557</v>
      </c>
      <c r="D53" s="452">
        <v>46174</v>
      </c>
      <c r="E53">
        <v>20809</v>
      </c>
      <c r="F53" t="s">
        <v>4822</v>
      </c>
      <c r="G53">
        <v>2074</v>
      </c>
      <c r="H53">
        <v>11.3</v>
      </c>
      <c r="I53" t="s">
        <v>4738</v>
      </c>
      <c r="J53" t="s">
        <v>5191</v>
      </c>
      <c r="K53" t="s">
        <v>463</v>
      </c>
      <c r="L53">
        <v>29.95</v>
      </c>
      <c r="M53" s="452">
        <v>46157</v>
      </c>
      <c r="N53">
        <v>29.99</v>
      </c>
      <c r="O53">
        <v>29.66</v>
      </c>
      <c r="P53">
        <v>338.44</v>
      </c>
    </row>
    <row r="54" spans="1:16" x14ac:dyDescent="0.3">
      <c r="A54">
        <v>90423</v>
      </c>
      <c r="B54">
        <v>105</v>
      </c>
      <c r="C54" t="s">
        <v>557</v>
      </c>
      <c r="D54" s="452">
        <v>46174</v>
      </c>
      <c r="E54">
        <v>18030</v>
      </c>
      <c r="F54" t="s">
        <v>4840</v>
      </c>
      <c r="G54">
        <v>3568</v>
      </c>
      <c r="H54">
        <v>12.01</v>
      </c>
      <c r="I54" t="s">
        <v>4805</v>
      </c>
      <c r="J54" t="s">
        <v>5222</v>
      </c>
      <c r="K54" t="s">
        <v>463</v>
      </c>
      <c r="L54">
        <v>28</v>
      </c>
      <c r="M54" s="452">
        <v>46168</v>
      </c>
      <c r="N54">
        <v>28</v>
      </c>
      <c r="O54">
        <v>28</v>
      </c>
      <c r="P54">
        <v>336.28</v>
      </c>
    </row>
    <row r="55" spans="1:16" x14ac:dyDescent="0.3">
      <c r="A55">
        <v>90651</v>
      </c>
      <c r="B55">
        <v>105</v>
      </c>
      <c r="C55" t="s">
        <v>557</v>
      </c>
      <c r="D55" s="452">
        <v>46174</v>
      </c>
      <c r="E55">
        <v>24614</v>
      </c>
      <c r="F55" t="s">
        <v>4897</v>
      </c>
      <c r="G55">
        <v>3855</v>
      </c>
      <c r="H55">
        <v>4</v>
      </c>
      <c r="I55" t="s">
        <v>4805</v>
      </c>
      <c r="J55" t="s">
        <v>5222</v>
      </c>
      <c r="K55" t="s">
        <v>463</v>
      </c>
      <c r="L55">
        <v>83.2</v>
      </c>
      <c r="M55" s="452">
        <v>46167</v>
      </c>
      <c r="N55">
        <v>83.2</v>
      </c>
      <c r="O55">
        <v>83.2</v>
      </c>
      <c r="P55">
        <v>332.8</v>
      </c>
    </row>
    <row r="56" spans="1:16" x14ac:dyDescent="0.3">
      <c r="A56">
        <v>90684</v>
      </c>
      <c r="B56">
        <v>105</v>
      </c>
      <c r="C56" t="s">
        <v>557</v>
      </c>
      <c r="D56" s="452">
        <v>46174</v>
      </c>
      <c r="E56">
        <v>26040</v>
      </c>
      <c r="F56" t="s">
        <v>4812</v>
      </c>
      <c r="G56">
        <v>6507</v>
      </c>
      <c r="H56">
        <v>7</v>
      </c>
      <c r="I56" t="s">
        <v>4805</v>
      </c>
      <c r="J56" t="s">
        <v>5222</v>
      </c>
      <c r="K56" t="s">
        <v>463</v>
      </c>
      <c r="L56">
        <v>47.45</v>
      </c>
      <c r="M56" s="452">
        <v>46167</v>
      </c>
      <c r="N56">
        <v>47.45</v>
      </c>
      <c r="O56">
        <v>47.45</v>
      </c>
      <c r="P56">
        <v>332.15</v>
      </c>
    </row>
    <row r="57" spans="1:16" x14ac:dyDescent="0.3">
      <c r="A57">
        <v>90455</v>
      </c>
      <c r="B57">
        <v>105</v>
      </c>
      <c r="C57" t="s">
        <v>557</v>
      </c>
      <c r="D57" s="452">
        <v>46174</v>
      </c>
      <c r="E57">
        <v>18477</v>
      </c>
      <c r="F57" t="s">
        <v>4920</v>
      </c>
      <c r="G57">
        <v>3179</v>
      </c>
      <c r="H57">
        <v>8.1999999999999993</v>
      </c>
      <c r="I57" t="s">
        <v>4805</v>
      </c>
      <c r="J57" t="s">
        <v>5222</v>
      </c>
      <c r="K57" t="s">
        <v>463</v>
      </c>
      <c r="L57">
        <v>39.9</v>
      </c>
      <c r="M57" s="452">
        <v>46160</v>
      </c>
      <c r="N57">
        <v>39.9</v>
      </c>
      <c r="O57">
        <v>39.9</v>
      </c>
      <c r="P57">
        <v>327.18</v>
      </c>
    </row>
    <row r="58" spans="1:16" x14ac:dyDescent="0.3">
      <c r="A58">
        <v>90665</v>
      </c>
      <c r="B58">
        <v>105</v>
      </c>
      <c r="C58" t="s">
        <v>557</v>
      </c>
      <c r="D58" s="452">
        <v>46174</v>
      </c>
      <c r="E58">
        <v>25683</v>
      </c>
      <c r="F58" t="s">
        <v>4928</v>
      </c>
      <c r="G58">
        <v>6244</v>
      </c>
      <c r="H58">
        <v>3</v>
      </c>
      <c r="I58" t="s">
        <v>4805</v>
      </c>
      <c r="J58" t="s">
        <v>5222</v>
      </c>
      <c r="K58" t="s">
        <v>463</v>
      </c>
      <c r="L58">
        <v>0</v>
      </c>
      <c r="M58" s="452">
        <v>45789</v>
      </c>
      <c r="N58">
        <v>107.99</v>
      </c>
      <c r="O58">
        <v>112.84</v>
      </c>
      <c r="P58">
        <v>323.97000000000003</v>
      </c>
    </row>
    <row r="59" spans="1:16" x14ac:dyDescent="0.3">
      <c r="A59">
        <v>90694</v>
      </c>
      <c r="B59">
        <v>105</v>
      </c>
      <c r="C59" t="s">
        <v>557</v>
      </c>
      <c r="D59" s="452">
        <v>46174</v>
      </c>
      <c r="E59">
        <v>27397</v>
      </c>
      <c r="F59" t="s">
        <v>4913</v>
      </c>
      <c r="G59">
        <v>7399</v>
      </c>
      <c r="H59">
        <v>5</v>
      </c>
      <c r="I59" t="s">
        <v>4736</v>
      </c>
      <c r="J59" t="s">
        <v>5191</v>
      </c>
      <c r="K59" t="s">
        <v>463</v>
      </c>
      <c r="L59">
        <v>61.87</v>
      </c>
      <c r="M59" s="452">
        <v>46157</v>
      </c>
      <c r="N59">
        <v>61.85</v>
      </c>
      <c r="O59">
        <v>61.85</v>
      </c>
      <c r="P59">
        <v>309.35000000000002</v>
      </c>
    </row>
    <row r="60" spans="1:16" x14ac:dyDescent="0.3">
      <c r="A60">
        <v>90643</v>
      </c>
      <c r="B60">
        <v>105</v>
      </c>
      <c r="C60" t="s">
        <v>557</v>
      </c>
      <c r="D60" s="452">
        <v>46174</v>
      </c>
      <c r="E60">
        <v>24320</v>
      </c>
      <c r="F60" t="s">
        <v>4861</v>
      </c>
      <c r="G60">
        <v>2942</v>
      </c>
      <c r="H60">
        <v>8.6</v>
      </c>
      <c r="I60" t="s">
        <v>4744</v>
      </c>
      <c r="J60" t="s">
        <v>5191</v>
      </c>
      <c r="K60" t="s">
        <v>463</v>
      </c>
      <c r="L60">
        <v>0</v>
      </c>
      <c r="M60" s="452">
        <v>46142</v>
      </c>
      <c r="N60">
        <v>35.799999999999997</v>
      </c>
      <c r="O60">
        <v>35.799999999999997</v>
      </c>
      <c r="P60">
        <v>307.88</v>
      </c>
    </row>
    <row r="61" spans="1:16" x14ac:dyDescent="0.3">
      <c r="A61">
        <v>90414</v>
      </c>
      <c r="B61">
        <v>105</v>
      </c>
      <c r="C61" t="s">
        <v>557</v>
      </c>
      <c r="D61" s="452">
        <v>46174</v>
      </c>
      <c r="E61">
        <v>17895</v>
      </c>
      <c r="F61" t="s">
        <v>5086</v>
      </c>
      <c r="G61">
        <v>3665</v>
      </c>
      <c r="H61">
        <v>10.75</v>
      </c>
      <c r="I61" t="s">
        <v>4738</v>
      </c>
      <c r="J61" t="s">
        <v>5222</v>
      </c>
      <c r="K61" t="s">
        <v>463</v>
      </c>
      <c r="L61">
        <v>28.32</v>
      </c>
      <c r="M61" s="452">
        <v>46157</v>
      </c>
      <c r="N61">
        <v>28.32</v>
      </c>
      <c r="O61">
        <v>28.52</v>
      </c>
      <c r="P61">
        <v>304.44</v>
      </c>
    </row>
    <row r="62" spans="1:16" x14ac:dyDescent="0.3">
      <c r="A62">
        <v>90487</v>
      </c>
      <c r="B62">
        <v>105</v>
      </c>
      <c r="C62" t="s">
        <v>557</v>
      </c>
      <c r="D62" s="452">
        <v>46174</v>
      </c>
      <c r="E62">
        <v>19421</v>
      </c>
      <c r="F62" t="s">
        <v>4918</v>
      </c>
      <c r="G62">
        <v>2758</v>
      </c>
      <c r="H62">
        <v>3.65</v>
      </c>
      <c r="I62" t="s">
        <v>4749</v>
      </c>
      <c r="J62" t="s">
        <v>5191</v>
      </c>
      <c r="K62" t="s">
        <v>463</v>
      </c>
      <c r="L62">
        <v>81.84</v>
      </c>
      <c r="M62" s="452">
        <v>46164</v>
      </c>
      <c r="N62">
        <v>81.84</v>
      </c>
      <c r="O62">
        <v>81.84</v>
      </c>
      <c r="P62">
        <v>298.72000000000003</v>
      </c>
    </row>
    <row r="63" spans="1:16" x14ac:dyDescent="0.3">
      <c r="A63">
        <v>90451</v>
      </c>
      <c r="B63">
        <v>105</v>
      </c>
      <c r="C63" t="s">
        <v>557</v>
      </c>
      <c r="D63" s="452">
        <v>46174</v>
      </c>
      <c r="E63">
        <v>18359</v>
      </c>
      <c r="F63" t="s">
        <v>4921</v>
      </c>
      <c r="G63">
        <v>3278</v>
      </c>
      <c r="H63">
        <v>3.1</v>
      </c>
      <c r="I63" t="s">
        <v>4805</v>
      </c>
      <c r="J63" t="s">
        <v>5222</v>
      </c>
      <c r="K63" t="s">
        <v>463</v>
      </c>
      <c r="L63">
        <v>0</v>
      </c>
      <c r="M63" s="452">
        <v>46126</v>
      </c>
      <c r="N63">
        <v>94.8</v>
      </c>
      <c r="O63">
        <v>88.9</v>
      </c>
      <c r="P63">
        <v>293.88</v>
      </c>
    </row>
    <row r="64" spans="1:16" x14ac:dyDescent="0.3">
      <c r="A64">
        <v>90445</v>
      </c>
      <c r="B64">
        <v>105</v>
      </c>
      <c r="C64" t="s">
        <v>557</v>
      </c>
      <c r="D64" s="452">
        <v>46174</v>
      </c>
      <c r="E64">
        <v>18295</v>
      </c>
      <c r="F64" t="s">
        <v>4968</v>
      </c>
      <c r="G64">
        <v>3334</v>
      </c>
      <c r="H64">
        <v>2.2799999999999998</v>
      </c>
      <c r="I64" t="s">
        <v>4805</v>
      </c>
      <c r="J64" t="s">
        <v>5222</v>
      </c>
      <c r="K64" t="s">
        <v>463</v>
      </c>
      <c r="L64">
        <v>0</v>
      </c>
      <c r="M64" s="452">
        <v>45979</v>
      </c>
      <c r="N64">
        <v>124.54</v>
      </c>
      <c r="O64">
        <v>135</v>
      </c>
      <c r="P64">
        <v>283.95</v>
      </c>
    </row>
    <row r="65" spans="1:16" x14ac:dyDescent="0.3">
      <c r="A65">
        <v>90661</v>
      </c>
      <c r="B65">
        <v>105</v>
      </c>
      <c r="C65" t="s">
        <v>557</v>
      </c>
      <c r="D65" s="452">
        <v>46174</v>
      </c>
      <c r="E65">
        <v>25167</v>
      </c>
      <c r="F65" t="s">
        <v>4758</v>
      </c>
      <c r="G65">
        <v>5930</v>
      </c>
      <c r="H65">
        <v>35</v>
      </c>
      <c r="I65" t="s">
        <v>4744</v>
      </c>
      <c r="J65" t="s">
        <v>5191</v>
      </c>
      <c r="K65" t="s">
        <v>463</v>
      </c>
      <c r="L65">
        <v>0</v>
      </c>
      <c r="M65" s="452">
        <v>45833</v>
      </c>
      <c r="N65">
        <v>7.9</v>
      </c>
      <c r="O65">
        <v>7.9</v>
      </c>
      <c r="P65">
        <v>276.5</v>
      </c>
    </row>
    <row r="66" spans="1:16" x14ac:dyDescent="0.3">
      <c r="A66">
        <v>90427</v>
      </c>
      <c r="B66">
        <v>105</v>
      </c>
      <c r="C66" t="s">
        <v>557</v>
      </c>
      <c r="D66" s="452">
        <v>46174</v>
      </c>
      <c r="E66">
        <v>18114</v>
      </c>
      <c r="F66" t="s">
        <v>5046</v>
      </c>
      <c r="G66">
        <v>3498</v>
      </c>
      <c r="H66">
        <v>1</v>
      </c>
      <c r="I66" t="s">
        <v>4805</v>
      </c>
      <c r="J66" t="s">
        <v>5222</v>
      </c>
      <c r="K66" t="s">
        <v>463</v>
      </c>
      <c r="L66">
        <v>0</v>
      </c>
      <c r="M66" s="452">
        <v>46008</v>
      </c>
      <c r="N66">
        <v>271.2</v>
      </c>
      <c r="O66">
        <v>279.89999999999998</v>
      </c>
      <c r="P66">
        <v>271.2</v>
      </c>
    </row>
    <row r="67" spans="1:16" x14ac:dyDescent="0.3">
      <c r="A67">
        <v>90688</v>
      </c>
      <c r="B67">
        <v>105</v>
      </c>
      <c r="C67" t="s">
        <v>557</v>
      </c>
      <c r="D67" s="452">
        <v>46174</v>
      </c>
      <c r="E67">
        <v>26135</v>
      </c>
      <c r="F67" t="s">
        <v>4801</v>
      </c>
      <c r="G67">
        <v>6585</v>
      </c>
      <c r="H67">
        <v>3</v>
      </c>
      <c r="I67" t="s">
        <v>4744</v>
      </c>
      <c r="J67" t="s">
        <v>5191</v>
      </c>
      <c r="K67" t="s">
        <v>463</v>
      </c>
      <c r="L67">
        <v>89.9</v>
      </c>
      <c r="M67" s="452">
        <v>46160</v>
      </c>
      <c r="N67">
        <v>89.9</v>
      </c>
      <c r="O67">
        <v>89.9</v>
      </c>
      <c r="P67">
        <v>269.7</v>
      </c>
    </row>
    <row r="68" spans="1:16" x14ac:dyDescent="0.3">
      <c r="A68">
        <v>90705</v>
      </c>
      <c r="B68">
        <v>105</v>
      </c>
      <c r="C68" t="s">
        <v>557</v>
      </c>
      <c r="D68" s="452">
        <v>46174</v>
      </c>
      <c r="E68">
        <v>29210</v>
      </c>
      <c r="F68" t="s">
        <v>5178</v>
      </c>
      <c r="G68">
        <v>9155</v>
      </c>
      <c r="H68">
        <v>6.6</v>
      </c>
      <c r="I68" t="s">
        <v>4736</v>
      </c>
      <c r="J68" t="s">
        <v>5191</v>
      </c>
      <c r="K68" t="s">
        <v>463</v>
      </c>
      <c r="L68">
        <v>38.99</v>
      </c>
      <c r="M68" s="452">
        <v>46157</v>
      </c>
      <c r="N68">
        <v>38.979999999999997</v>
      </c>
      <c r="O68">
        <v>39</v>
      </c>
      <c r="P68">
        <v>257.33</v>
      </c>
    </row>
    <row r="69" spans="1:16" x14ac:dyDescent="0.3">
      <c r="A69">
        <v>90626</v>
      </c>
      <c r="B69">
        <v>105</v>
      </c>
      <c r="C69" t="s">
        <v>557</v>
      </c>
      <c r="D69" s="452">
        <v>46174</v>
      </c>
      <c r="E69">
        <v>23785</v>
      </c>
      <c r="F69" t="s">
        <v>4858</v>
      </c>
      <c r="G69">
        <v>2114</v>
      </c>
      <c r="H69">
        <v>8</v>
      </c>
      <c r="I69" t="s">
        <v>4744</v>
      </c>
      <c r="J69" t="s">
        <v>5191</v>
      </c>
      <c r="K69" t="s">
        <v>463</v>
      </c>
      <c r="L69">
        <v>31.63</v>
      </c>
      <c r="M69" s="452">
        <v>46160</v>
      </c>
      <c r="N69">
        <v>31.99</v>
      </c>
      <c r="O69">
        <v>31.99</v>
      </c>
      <c r="P69">
        <v>253.04</v>
      </c>
    </row>
    <row r="70" spans="1:16" x14ac:dyDescent="0.3">
      <c r="A70">
        <v>90457</v>
      </c>
      <c r="B70">
        <v>105</v>
      </c>
      <c r="C70" t="s">
        <v>557</v>
      </c>
      <c r="D70" s="452">
        <v>46174</v>
      </c>
      <c r="E70">
        <v>18502</v>
      </c>
      <c r="F70" t="s">
        <v>4893</v>
      </c>
      <c r="G70">
        <v>3155</v>
      </c>
      <c r="H70">
        <v>3.86</v>
      </c>
      <c r="I70" t="s">
        <v>4805</v>
      </c>
      <c r="J70" t="s">
        <v>5222</v>
      </c>
      <c r="K70" t="s">
        <v>463</v>
      </c>
      <c r="L70">
        <v>0</v>
      </c>
      <c r="M70" s="452">
        <v>46107</v>
      </c>
      <c r="N70">
        <v>60.39</v>
      </c>
      <c r="O70">
        <v>60.39</v>
      </c>
      <c r="P70">
        <v>233.11</v>
      </c>
    </row>
    <row r="71" spans="1:16" x14ac:dyDescent="0.3">
      <c r="A71">
        <v>90408</v>
      </c>
      <c r="B71">
        <v>105</v>
      </c>
      <c r="C71" t="s">
        <v>557</v>
      </c>
      <c r="D71" s="452">
        <v>46174</v>
      </c>
      <c r="E71">
        <v>17658</v>
      </c>
      <c r="F71" t="s">
        <v>4978</v>
      </c>
      <c r="G71">
        <v>3871</v>
      </c>
      <c r="H71">
        <v>4</v>
      </c>
      <c r="I71" t="s">
        <v>4805</v>
      </c>
      <c r="J71" t="s">
        <v>5222</v>
      </c>
      <c r="K71" t="s">
        <v>463</v>
      </c>
      <c r="L71">
        <v>58</v>
      </c>
      <c r="M71" s="452">
        <v>46143</v>
      </c>
      <c r="N71">
        <v>58</v>
      </c>
      <c r="O71">
        <v>58</v>
      </c>
      <c r="P71">
        <v>232</v>
      </c>
    </row>
    <row r="72" spans="1:16" x14ac:dyDescent="0.3">
      <c r="A72">
        <v>90569</v>
      </c>
      <c r="B72">
        <v>105</v>
      </c>
      <c r="C72" t="s">
        <v>557</v>
      </c>
      <c r="D72" s="452">
        <v>46174</v>
      </c>
      <c r="E72">
        <v>20549</v>
      </c>
      <c r="F72" t="s">
        <v>4823</v>
      </c>
      <c r="G72">
        <v>2141</v>
      </c>
      <c r="H72">
        <v>11.45</v>
      </c>
      <c r="I72" t="s">
        <v>4744</v>
      </c>
      <c r="J72" t="s">
        <v>5191</v>
      </c>
      <c r="K72" t="s">
        <v>463</v>
      </c>
      <c r="L72">
        <v>19.989999999999998</v>
      </c>
      <c r="M72" s="452">
        <v>46169</v>
      </c>
      <c r="N72">
        <v>19.989999999999998</v>
      </c>
      <c r="O72">
        <v>19.989999999999998</v>
      </c>
      <c r="P72">
        <v>228.89</v>
      </c>
    </row>
    <row r="73" spans="1:16" x14ac:dyDescent="0.3">
      <c r="A73">
        <v>90657</v>
      </c>
      <c r="B73">
        <v>105</v>
      </c>
      <c r="C73" t="s">
        <v>557</v>
      </c>
      <c r="D73" s="452">
        <v>46174</v>
      </c>
      <c r="E73">
        <v>25050</v>
      </c>
      <c r="F73" t="s">
        <v>5110</v>
      </c>
      <c r="G73">
        <v>2763</v>
      </c>
      <c r="H73">
        <v>1.44</v>
      </c>
      <c r="I73" t="s">
        <v>4744</v>
      </c>
      <c r="J73" t="s">
        <v>5191</v>
      </c>
      <c r="K73" t="s">
        <v>463</v>
      </c>
      <c r="L73">
        <v>0</v>
      </c>
      <c r="M73" s="452">
        <v>46125</v>
      </c>
      <c r="N73">
        <v>154.6</v>
      </c>
      <c r="O73">
        <v>81.900000000000006</v>
      </c>
      <c r="P73">
        <v>222.62</v>
      </c>
    </row>
    <row r="74" spans="1:16" x14ac:dyDescent="0.3">
      <c r="A74">
        <v>90686</v>
      </c>
      <c r="B74">
        <v>105</v>
      </c>
      <c r="C74" t="s">
        <v>557</v>
      </c>
      <c r="D74" s="452">
        <v>46174</v>
      </c>
      <c r="E74">
        <v>26046</v>
      </c>
      <c r="F74" t="s">
        <v>5148</v>
      </c>
      <c r="G74">
        <v>6510</v>
      </c>
      <c r="H74">
        <v>3</v>
      </c>
      <c r="I74" t="s">
        <v>4805</v>
      </c>
      <c r="J74" t="s">
        <v>5222</v>
      </c>
      <c r="K74" t="s">
        <v>463</v>
      </c>
      <c r="L74">
        <v>0</v>
      </c>
      <c r="M74" s="452">
        <v>45638</v>
      </c>
      <c r="N74">
        <v>74.2</v>
      </c>
      <c r="O74">
        <v>75.48</v>
      </c>
      <c r="P74">
        <v>222.6</v>
      </c>
    </row>
    <row r="75" spans="1:16" x14ac:dyDescent="0.3">
      <c r="A75">
        <v>90685</v>
      </c>
      <c r="B75">
        <v>105</v>
      </c>
      <c r="C75" t="s">
        <v>557</v>
      </c>
      <c r="D75" s="452">
        <v>46174</v>
      </c>
      <c r="E75">
        <v>26044</v>
      </c>
      <c r="F75" t="s">
        <v>4843</v>
      </c>
      <c r="G75">
        <v>6509</v>
      </c>
      <c r="H75">
        <v>4</v>
      </c>
      <c r="I75" t="s">
        <v>4805</v>
      </c>
      <c r="J75" t="s">
        <v>5222</v>
      </c>
      <c r="K75" t="s">
        <v>463</v>
      </c>
      <c r="L75">
        <v>55.25</v>
      </c>
      <c r="M75" s="452">
        <v>46146</v>
      </c>
      <c r="N75">
        <v>55.25</v>
      </c>
      <c r="O75">
        <v>55.25</v>
      </c>
      <c r="P75">
        <v>221</v>
      </c>
    </row>
    <row r="76" spans="1:16" x14ac:dyDescent="0.3">
      <c r="A76">
        <v>90634</v>
      </c>
      <c r="B76">
        <v>105</v>
      </c>
      <c r="C76" t="s">
        <v>557</v>
      </c>
      <c r="D76" s="452">
        <v>46174</v>
      </c>
      <c r="E76">
        <v>24116</v>
      </c>
      <c r="F76" t="s">
        <v>4777</v>
      </c>
      <c r="G76">
        <v>2924</v>
      </c>
      <c r="H76">
        <v>5</v>
      </c>
      <c r="I76" t="s">
        <v>4744</v>
      </c>
      <c r="J76" t="s">
        <v>5191</v>
      </c>
      <c r="K76" t="s">
        <v>463</v>
      </c>
      <c r="L76">
        <v>43.23</v>
      </c>
      <c r="M76" s="452">
        <v>46167</v>
      </c>
      <c r="N76">
        <v>43.9</v>
      </c>
      <c r="O76">
        <v>43.9</v>
      </c>
      <c r="P76">
        <v>216.15</v>
      </c>
    </row>
    <row r="77" spans="1:16" x14ac:dyDescent="0.3">
      <c r="A77">
        <v>90434</v>
      </c>
      <c r="B77">
        <v>105</v>
      </c>
      <c r="C77" t="s">
        <v>557</v>
      </c>
      <c r="D77" s="452">
        <v>46174</v>
      </c>
      <c r="E77">
        <v>18179</v>
      </c>
      <c r="F77" t="s">
        <v>4924</v>
      </c>
      <c r="G77">
        <v>3443</v>
      </c>
      <c r="H77">
        <v>2</v>
      </c>
      <c r="I77" t="s">
        <v>4805</v>
      </c>
      <c r="J77" t="s">
        <v>5222</v>
      </c>
      <c r="K77" t="s">
        <v>463</v>
      </c>
      <c r="L77">
        <v>0</v>
      </c>
      <c r="M77" s="452">
        <v>46049</v>
      </c>
      <c r="N77">
        <v>107.47</v>
      </c>
      <c r="O77">
        <v>116.41</v>
      </c>
      <c r="P77">
        <v>214.94</v>
      </c>
    </row>
    <row r="78" spans="1:16" x14ac:dyDescent="0.3">
      <c r="A78">
        <v>90502</v>
      </c>
      <c r="B78">
        <v>105</v>
      </c>
      <c r="C78" t="s">
        <v>557</v>
      </c>
      <c r="D78" s="452">
        <v>46174</v>
      </c>
      <c r="E78">
        <v>19532</v>
      </c>
      <c r="F78" t="s">
        <v>4753</v>
      </c>
      <c r="G78">
        <v>2683</v>
      </c>
      <c r="H78">
        <v>20.350000000000001</v>
      </c>
      <c r="I78" t="s">
        <v>4744</v>
      </c>
      <c r="J78" t="s">
        <v>5191</v>
      </c>
      <c r="K78" t="s">
        <v>463</v>
      </c>
      <c r="L78">
        <v>10.33</v>
      </c>
      <c r="M78" s="452">
        <v>46170</v>
      </c>
      <c r="N78">
        <v>11.74</v>
      </c>
      <c r="O78">
        <v>11.74</v>
      </c>
      <c r="P78">
        <v>210.22</v>
      </c>
    </row>
    <row r="79" spans="1:16" x14ac:dyDescent="0.3">
      <c r="A79">
        <v>90438</v>
      </c>
      <c r="B79">
        <v>105</v>
      </c>
      <c r="C79" t="s">
        <v>557</v>
      </c>
      <c r="D79" s="452">
        <v>46174</v>
      </c>
      <c r="E79">
        <v>18220</v>
      </c>
      <c r="F79" t="s">
        <v>5147</v>
      </c>
      <c r="G79">
        <v>3408</v>
      </c>
      <c r="H79">
        <v>2.6</v>
      </c>
      <c r="I79" t="s">
        <v>4805</v>
      </c>
      <c r="J79" t="s">
        <v>5222</v>
      </c>
      <c r="K79" t="s">
        <v>463</v>
      </c>
      <c r="L79">
        <v>80</v>
      </c>
      <c r="M79" s="452">
        <v>46160</v>
      </c>
      <c r="N79">
        <v>80</v>
      </c>
      <c r="O79">
        <v>79.55</v>
      </c>
      <c r="P79">
        <v>208</v>
      </c>
    </row>
    <row r="80" spans="1:16" x14ac:dyDescent="0.3">
      <c r="A80">
        <v>90463</v>
      </c>
      <c r="B80">
        <v>105</v>
      </c>
      <c r="C80" t="s">
        <v>557</v>
      </c>
      <c r="D80" s="452">
        <v>46174</v>
      </c>
      <c r="E80">
        <v>18586</v>
      </c>
      <c r="F80" t="s">
        <v>4966</v>
      </c>
      <c r="G80">
        <v>3104</v>
      </c>
      <c r="H80">
        <v>1.8</v>
      </c>
      <c r="I80" t="s">
        <v>4738</v>
      </c>
      <c r="J80" t="s">
        <v>5222</v>
      </c>
      <c r="K80" t="s">
        <v>463</v>
      </c>
      <c r="L80">
        <v>113.68</v>
      </c>
      <c r="M80" s="452">
        <v>46157</v>
      </c>
      <c r="N80">
        <v>132.07</v>
      </c>
      <c r="O80">
        <v>132.07</v>
      </c>
      <c r="P80">
        <v>204.62</v>
      </c>
    </row>
    <row r="81" spans="1:16" x14ac:dyDescent="0.3">
      <c r="A81">
        <v>90413</v>
      </c>
      <c r="B81">
        <v>105</v>
      </c>
      <c r="C81" t="s">
        <v>557</v>
      </c>
      <c r="D81" s="452">
        <v>46174</v>
      </c>
      <c r="E81">
        <v>17886</v>
      </c>
      <c r="F81" t="s">
        <v>5083</v>
      </c>
      <c r="G81">
        <v>3670</v>
      </c>
      <c r="H81">
        <v>7.6</v>
      </c>
      <c r="I81" t="s">
        <v>4738</v>
      </c>
      <c r="J81" t="s">
        <v>5222</v>
      </c>
      <c r="K81" t="s">
        <v>463</v>
      </c>
      <c r="L81">
        <v>26.76</v>
      </c>
      <c r="M81" s="452">
        <v>46167</v>
      </c>
      <c r="N81">
        <v>28.32</v>
      </c>
      <c r="O81">
        <v>28.32</v>
      </c>
      <c r="P81">
        <v>203.38</v>
      </c>
    </row>
    <row r="82" spans="1:16" x14ac:dyDescent="0.3">
      <c r="A82">
        <v>90631</v>
      </c>
      <c r="B82">
        <v>105</v>
      </c>
      <c r="C82" t="s">
        <v>557</v>
      </c>
      <c r="D82" s="452">
        <v>46174</v>
      </c>
      <c r="E82">
        <v>24081</v>
      </c>
      <c r="F82" t="s">
        <v>4834</v>
      </c>
      <c r="G82">
        <v>3034</v>
      </c>
      <c r="H82">
        <v>8.4499999999999993</v>
      </c>
      <c r="I82" t="s">
        <v>4744</v>
      </c>
      <c r="J82" t="s">
        <v>5191</v>
      </c>
      <c r="K82" t="s">
        <v>463</v>
      </c>
      <c r="L82">
        <v>23.8</v>
      </c>
      <c r="M82" s="452">
        <v>46169</v>
      </c>
      <c r="N82">
        <v>23.8</v>
      </c>
      <c r="O82">
        <v>23.8</v>
      </c>
      <c r="P82">
        <v>201.11</v>
      </c>
    </row>
    <row r="83" spans="1:16" x14ac:dyDescent="0.3">
      <c r="A83">
        <v>90464</v>
      </c>
      <c r="B83">
        <v>105</v>
      </c>
      <c r="C83" t="s">
        <v>557</v>
      </c>
      <c r="D83" s="452">
        <v>46174</v>
      </c>
      <c r="E83">
        <v>18589</v>
      </c>
      <c r="F83" t="s">
        <v>5089</v>
      </c>
      <c r="G83">
        <v>3103</v>
      </c>
      <c r="H83">
        <v>2</v>
      </c>
      <c r="I83" t="s">
        <v>4738</v>
      </c>
      <c r="J83" t="s">
        <v>5222</v>
      </c>
      <c r="K83" t="s">
        <v>463</v>
      </c>
      <c r="L83">
        <v>96.64</v>
      </c>
      <c r="M83" s="452">
        <v>46161</v>
      </c>
      <c r="N83">
        <v>96.64</v>
      </c>
      <c r="O83">
        <v>81.040000000000006</v>
      </c>
      <c r="P83">
        <v>193.28</v>
      </c>
    </row>
    <row r="84" spans="1:16" x14ac:dyDescent="0.3">
      <c r="A84">
        <v>90439</v>
      </c>
      <c r="B84">
        <v>105</v>
      </c>
      <c r="C84" t="s">
        <v>557</v>
      </c>
      <c r="D84" s="452">
        <v>46174</v>
      </c>
      <c r="E84">
        <v>18232</v>
      </c>
      <c r="F84" t="s">
        <v>4971</v>
      </c>
      <c r="G84">
        <v>3396</v>
      </c>
      <c r="H84">
        <v>1.86</v>
      </c>
      <c r="I84" t="s">
        <v>4805</v>
      </c>
      <c r="J84" t="s">
        <v>5222</v>
      </c>
      <c r="K84" t="s">
        <v>463</v>
      </c>
      <c r="L84">
        <v>101.9</v>
      </c>
      <c r="M84" s="452">
        <v>46161</v>
      </c>
      <c r="N84">
        <v>101.9</v>
      </c>
      <c r="O84">
        <v>99.9</v>
      </c>
      <c r="P84">
        <v>189.53</v>
      </c>
    </row>
    <row r="85" spans="1:16" x14ac:dyDescent="0.3">
      <c r="A85">
        <v>90456</v>
      </c>
      <c r="B85">
        <v>105</v>
      </c>
      <c r="C85" t="s">
        <v>557</v>
      </c>
      <c r="D85" s="452">
        <v>46174</v>
      </c>
      <c r="E85">
        <v>18491</v>
      </c>
      <c r="F85" t="s">
        <v>4839</v>
      </c>
      <c r="G85">
        <v>3166</v>
      </c>
      <c r="H85">
        <v>5.0999999999999996</v>
      </c>
      <c r="I85" t="s">
        <v>4805</v>
      </c>
      <c r="J85" t="s">
        <v>5222</v>
      </c>
      <c r="K85" t="s">
        <v>463</v>
      </c>
      <c r="L85">
        <v>0</v>
      </c>
      <c r="M85" s="452">
        <v>45555</v>
      </c>
      <c r="N85">
        <v>35.9</v>
      </c>
      <c r="O85">
        <v>33.9</v>
      </c>
      <c r="P85">
        <v>183.09</v>
      </c>
    </row>
    <row r="86" spans="1:16" x14ac:dyDescent="0.3">
      <c r="A86">
        <v>90549</v>
      </c>
      <c r="B86">
        <v>105</v>
      </c>
      <c r="C86" t="s">
        <v>557</v>
      </c>
      <c r="D86" s="452">
        <v>46174</v>
      </c>
      <c r="E86">
        <v>20054</v>
      </c>
      <c r="F86" t="s">
        <v>4856</v>
      </c>
      <c r="G86">
        <v>2325</v>
      </c>
      <c r="H86">
        <v>16</v>
      </c>
      <c r="I86" t="s">
        <v>4736</v>
      </c>
      <c r="J86" t="s">
        <v>5191</v>
      </c>
      <c r="K86" t="s">
        <v>463</v>
      </c>
      <c r="L86">
        <v>0</v>
      </c>
      <c r="M86" s="452">
        <v>46142</v>
      </c>
      <c r="N86">
        <v>11.42</v>
      </c>
      <c r="O86">
        <v>11.42</v>
      </c>
      <c r="P86">
        <v>182.72</v>
      </c>
    </row>
    <row r="87" spans="1:16" x14ac:dyDescent="0.3">
      <c r="A87">
        <v>90429</v>
      </c>
      <c r="B87">
        <v>105</v>
      </c>
      <c r="C87" t="s">
        <v>557</v>
      </c>
      <c r="D87" s="452">
        <v>46174</v>
      </c>
      <c r="E87">
        <v>18119</v>
      </c>
      <c r="F87" t="s">
        <v>5044</v>
      </c>
      <c r="G87">
        <v>3494</v>
      </c>
      <c r="H87">
        <v>1.1000000000000001</v>
      </c>
      <c r="I87" t="s">
        <v>4805</v>
      </c>
      <c r="J87" t="s">
        <v>5222</v>
      </c>
      <c r="K87" t="s">
        <v>463</v>
      </c>
      <c r="L87">
        <v>0</v>
      </c>
      <c r="M87" s="452">
        <v>46126</v>
      </c>
      <c r="N87">
        <v>162.16</v>
      </c>
      <c r="O87">
        <v>166.62</v>
      </c>
      <c r="P87">
        <v>178.38</v>
      </c>
    </row>
    <row r="88" spans="1:16" x14ac:dyDescent="0.3">
      <c r="A88">
        <v>90430</v>
      </c>
      <c r="B88">
        <v>105</v>
      </c>
      <c r="C88" t="s">
        <v>557</v>
      </c>
      <c r="D88" s="452">
        <v>46174</v>
      </c>
      <c r="E88">
        <v>18129</v>
      </c>
      <c r="F88" t="s">
        <v>5043</v>
      </c>
      <c r="G88">
        <v>3486</v>
      </c>
      <c r="H88">
        <v>1.55</v>
      </c>
      <c r="I88" t="s">
        <v>4805</v>
      </c>
      <c r="J88" t="s">
        <v>5222</v>
      </c>
      <c r="K88" t="s">
        <v>463</v>
      </c>
      <c r="L88">
        <v>112.9</v>
      </c>
      <c r="M88" s="452">
        <v>46155</v>
      </c>
      <c r="N88">
        <v>112.9</v>
      </c>
      <c r="O88">
        <v>115.62</v>
      </c>
      <c r="P88">
        <v>175</v>
      </c>
    </row>
    <row r="89" spans="1:16" x14ac:dyDescent="0.3">
      <c r="A89">
        <v>90411</v>
      </c>
      <c r="B89">
        <v>105</v>
      </c>
      <c r="C89" t="s">
        <v>557</v>
      </c>
      <c r="D89" s="452">
        <v>46174</v>
      </c>
      <c r="E89">
        <v>17881</v>
      </c>
      <c r="F89" t="s">
        <v>5103</v>
      </c>
      <c r="G89">
        <v>3675</v>
      </c>
      <c r="H89">
        <v>6.75</v>
      </c>
      <c r="I89" t="s">
        <v>4738</v>
      </c>
      <c r="J89" t="s">
        <v>5222</v>
      </c>
      <c r="K89" t="s">
        <v>463</v>
      </c>
      <c r="L89">
        <v>25.53</v>
      </c>
      <c r="M89" s="452">
        <v>46167</v>
      </c>
      <c r="N89">
        <v>25.53</v>
      </c>
      <c r="O89">
        <v>25.53</v>
      </c>
      <c r="P89">
        <v>172.33</v>
      </c>
    </row>
    <row r="90" spans="1:16" x14ac:dyDescent="0.3">
      <c r="A90">
        <v>90578</v>
      </c>
      <c r="B90">
        <v>105</v>
      </c>
      <c r="C90" t="s">
        <v>557</v>
      </c>
      <c r="D90" s="452">
        <v>46174</v>
      </c>
      <c r="E90">
        <v>20751</v>
      </c>
      <c r="F90" t="s">
        <v>5004</v>
      </c>
      <c r="G90">
        <v>2088</v>
      </c>
      <c r="H90">
        <v>1.56</v>
      </c>
      <c r="I90" t="s">
        <v>4884</v>
      </c>
      <c r="J90" t="s">
        <v>5191</v>
      </c>
      <c r="K90" t="s">
        <v>463</v>
      </c>
      <c r="L90">
        <v>0</v>
      </c>
      <c r="M90" s="452">
        <v>46119</v>
      </c>
      <c r="N90">
        <v>109.9</v>
      </c>
      <c r="O90">
        <v>106.9</v>
      </c>
      <c r="P90">
        <v>171.44</v>
      </c>
    </row>
    <row r="91" spans="1:16" x14ac:dyDescent="0.3">
      <c r="A91">
        <v>90639</v>
      </c>
      <c r="B91">
        <v>105</v>
      </c>
      <c r="C91" t="s">
        <v>557</v>
      </c>
      <c r="D91" s="452">
        <v>46174</v>
      </c>
      <c r="E91">
        <v>24200</v>
      </c>
      <c r="F91" t="s">
        <v>4820</v>
      </c>
      <c r="G91">
        <v>3039</v>
      </c>
      <c r="H91">
        <v>5.0999999999999996</v>
      </c>
      <c r="I91" t="s">
        <v>4744</v>
      </c>
      <c r="J91" t="s">
        <v>5191</v>
      </c>
      <c r="K91" t="s">
        <v>463</v>
      </c>
      <c r="L91">
        <v>32.9</v>
      </c>
      <c r="M91" s="452">
        <v>46169</v>
      </c>
      <c r="N91">
        <v>32.9</v>
      </c>
      <c r="O91">
        <v>32.9</v>
      </c>
      <c r="P91">
        <v>167.79</v>
      </c>
    </row>
    <row r="92" spans="1:16" x14ac:dyDescent="0.3">
      <c r="A92">
        <v>90614</v>
      </c>
      <c r="B92">
        <v>105</v>
      </c>
      <c r="C92" t="s">
        <v>557</v>
      </c>
      <c r="D92" s="452">
        <v>46174</v>
      </c>
      <c r="E92">
        <v>23361</v>
      </c>
      <c r="F92" t="s">
        <v>4754</v>
      </c>
      <c r="G92">
        <v>2497</v>
      </c>
      <c r="H92">
        <v>58.54</v>
      </c>
      <c r="I92" t="s">
        <v>4744</v>
      </c>
      <c r="J92" t="s">
        <v>5191</v>
      </c>
      <c r="K92" t="s">
        <v>463</v>
      </c>
      <c r="L92">
        <v>2.83</v>
      </c>
      <c r="M92" s="452">
        <v>46170</v>
      </c>
      <c r="N92">
        <v>2.6</v>
      </c>
      <c r="O92">
        <v>2.6</v>
      </c>
      <c r="P92">
        <v>165.67</v>
      </c>
    </row>
    <row r="93" spans="1:16" x14ac:dyDescent="0.3">
      <c r="A93">
        <v>90637</v>
      </c>
      <c r="B93">
        <v>105</v>
      </c>
      <c r="C93" t="s">
        <v>557</v>
      </c>
      <c r="D93" s="452">
        <v>46174</v>
      </c>
      <c r="E93">
        <v>24191</v>
      </c>
      <c r="F93" t="s">
        <v>4846</v>
      </c>
      <c r="G93">
        <v>2889</v>
      </c>
      <c r="H93">
        <v>4.5999999999999996</v>
      </c>
      <c r="I93" t="s">
        <v>4744</v>
      </c>
      <c r="J93" t="s">
        <v>5191</v>
      </c>
      <c r="K93" t="s">
        <v>463</v>
      </c>
      <c r="L93">
        <v>0</v>
      </c>
      <c r="M93" s="452">
        <v>46098</v>
      </c>
      <c r="N93">
        <v>35.9</v>
      </c>
      <c r="O93">
        <v>35.97</v>
      </c>
      <c r="P93">
        <v>165.14</v>
      </c>
    </row>
    <row r="94" spans="1:16" x14ac:dyDescent="0.3">
      <c r="A94">
        <v>90417</v>
      </c>
      <c r="B94">
        <v>105</v>
      </c>
      <c r="C94" t="s">
        <v>557</v>
      </c>
      <c r="D94" s="452">
        <v>46174</v>
      </c>
      <c r="E94">
        <v>17915</v>
      </c>
      <c r="F94" t="s">
        <v>5104</v>
      </c>
      <c r="G94">
        <v>3648</v>
      </c>
      <c r="H94">
        <v>1</v>
      </c>
      <c r="I94" t="s">
        <v>4738</v>
      </c>
      <c r="J94" t="s">
        <v>5222</v>
      </c>
      <c r="K94" t="s">
        <v>463</v>
      </c>
      <c r="L94">
        <v>0</v>
      </c>
      <c r="M94" s="452">
        <v>45653</v>
      </c>
      <c r="N94">
        <v>163.68</v>
      </c>
      <c r="O94">
        <v>203.76</v>
      </c>
      <c r="P94">
        <v>163.68</v>
      </c>
    </row>
    <row r="95" spans="1:16" x14ac:dyDescent="0.3">
      <c r="A95">
        <v>90440</v>
      </c>
      <c r="B95">
        <v>105</v>
      </c>
      <c r="C95" t="s">
        <v>557</v>
      </c>
      <c r="D95" s="452">
        <v>46174</v>
      </c>
      <c r="E95">
        <v>18233</v>
      </c>
      <c r="F95" t="s">
        <v>4970</v>
      </c>
      <c r="G95">
        <v>3395</v>
      </c>
      <c r="H95">
        <v>1.66</v>
      </c>
      <c r="I95" t="s">
        <v>4805</v>
      </c>
      <c r="J95" t="s">
        <v>5222</v>
      </c>
      <c r="K95" t="s">
        <v>463</v>
      </c>
      <c r="L95">
        <v>0</v>
      </c>
      <c r="M95" s="452">
        <v>46000</v>
      </c>
      <c r="N95">
        <v>97.9</v>
      </c>
      <c r="O95">
        <v>101.9</v>
      </c>
      <c r="P95">
        <v>162.51</v>
      </c>
    </row>
    <row r="96" spans="1:16" x14ac:dyDescent="0.3">
      <c r="A96">
        <v>90426</v>
      </c>
      <c r="B96">
        <v>105</v>
      </c>
      <c r="C96" t="s">
        <v>557</v>
      </c>
      <c r="D96" s="452">
        <v>46174</v>
      </c>
      <c r="E96">
        <v>18111</v>
      </c>
      <c r="F96" t="s">
        <v>5049</v>
      </c>
      <c r="G96">
        <v>3500</v>
      </c>
      <c r="H96">
        <v>1.9</v>
      </c>
      <c r="I96" t="s">
        <v>4805</v>
      </c>
      <c r="J96" t="s">
        <v>5222</v>
      </c>
      <c r="K96" t="s">
        <v>463</v>
      </c>
      <c r="L96">
        <v>84.8</v>
      </c>
      <c r="M96" s="452">
        <v>46161</v>
      </c>
      <c r="N96">
        <v>84.8</v>
      </c>
      <c r="O96">
        <v>84.8</v>
      </c>
      <c r="P96">
        <v>161.12</v>
      </c>
    </row>
    <row r="97" spans="1:16" x14ac:dyDescent="0.3">
      <c r="A97">
        <v>90443</v>
      </c>
      <c r="B97">
        <v>105</v>
      </c>
      <c r="C97" t="s">
        <v>557</v>
      </c>
      <c r="D97" s="452">
        <v>46174</v>
      </c>
      <c r="E97">
        <v>18289</v>
      </c>
      <c r="F97" t="s">
        <v>5036</v>
      </c>
      <c r="G97">
        <v>3339</v>
      </c>
      <c r="H97">
        <v>1.1399999999999999</v>
      </c>
      <c r="I97" t="s">
        <v>4736</v>
      </c>
      <c r="J97" t="s">
        <v>5222</v>
      </c>
      <c r="K97" t="s">
        <v>463</v>
      </c>
      <c r="L97">
        <v>0</v>
      </c>
      <c r="N97">
        <v>0</v>
      </c>
      <c r="O97">
        <v>0</v>
      </c>
      <c r="P97">
        <v>159.6</v>
      </c>
    </row>
    <row r="98" spans="1:16" x14ac:dyDescent="0.3">
      <c r="A98">
        <v>90432</v>
      </c>
      <c r="B98">
        <v>105</v>
      </c>
      <c r="C98" t="s">
        <v>557</v>
      </c>
      <c r="D98" s="452">
        <v>46174</v>
      </c>
      <c r="E98">
        <v>18157</v>
      </c>
      <c r="F98" t="s">
        <v>5041</v>
      </c>
      <c r="G98">
        <v>3463</v>
      </c>
      <c r="H98">
        <v>0.87</v>
      </c>
      <c r="I98" t="s">
        <v>4805</v>
      </c>
      <c r="J98" t="s">
        <v>5222</v>
      </c>
      <c r="K98" t="s">
        <v>463</v>
      </c>
      <c r="L98">
        <v>0</v>
      </c>
      <c r="M98" s="452">
        <v>46027</v>
      </c>
      <c r="N98">
        <v>179.29</v>
      </c>
      <c r="O98">
        <v>207.7</v>
      </c>
      <c r="P98">
        <v>155.97999999999999</v>
      </c>
    </row>
    <row r="99" spans="1:16" x14ac:dyDescent="0.3">
      <c r="A99">
        <v>90589</v>
      </c>
      <c r="B99">
        <v>105</v>
      </c>
      <c r="C99" t="s">
        <v>557</v>
      </c>
      <c r="D99" s="452">
        <v>46174</v>
      </c>
      <c r="E99">
        <v>21030</v>
      </c>
      <c r="F99" t="s">
        <v>5145</v>
      </c>
      <c r="G99">
        <v>2001</v>
      </c>
      <c r="H99">
        <v>8</v>
      </c>
      <c r="I99" t="s">
        <v>4736</v>
      </c>
      <c r="J99" t="s">
        <v>5191</v>
      </c>
      <c r="K99" t="s">
        <v>463</v>
      </c>
      <c r="L99">
        <v>0</v>
      </c>
      <c r="M99" s="452">
        <v>46093</v>
      </c>
      <c r="N99">
        <v>19.059999999999999</v>
      </c>
      <c r="O99">
        <v>19.899999999999999</v>
      </c>
      <c r="P99">
        <v>152.47999999999999</v>
      </c>
    </row>
    <row r="100" spans="1:16" x14ac:dyDescent="0.3">
      <c r="A100">
        <v>90404</v>
      </c>
      <c r="B100">
        <v>105</v>
      </c>
      <c r="C100" t="s">
        <v>557</v>
      </c>
      <c r="D100" s="452">
        <v>46174</v>
      </c>
      <c r="E100">
        <v>16973</v>
      </c>
      <c r="F100" t="s">
        <v>4827</v>
      </c>
      <c r="G100">
        <v>3710</v>
      </c>
      <c r="H100">
        <v>4</v>
      </c>
      <c r="I100" t="s">
        <v>4749</v>
      </c>
      <c r="J100" t="s">
        <v>5222</v>
      </c>
      <c r="K100" t="s">
        <v>463</v>
      </c>
      <c r="L100">
        <v>0</v>
      </c>
      <c r="M100" s="452">
        <v>45740</v>
      </c>
      <c r="N100">
        <v>0</v>
      </c>
      <c r="O100">
        <v>135</v>
      </c>
      <c r="P100">
        <v>152</v>
      </c>
    </row>
    <row r="101" spans="1:16" x14ac:dyDescent="0.3">
      <c r="A101">
        <v>90441</v>
      </c>
      <c r="B101">
        <v>105</v>
      </c>
      <c r="C101" t="s">
        <v>557</v>
      </c>
      <c r="D101" s="452">
        <v>46174</v>
      </c>
      <c r="E101">
        <v>18253</v>
      </c>
      <c r="F101" t="s">
        <v>4969</v>
      </c>
      <c r="G101">
        <v>3376</v>
      </c>
      <c r="H101">
        <v>5.3</v>
      </c>
      <c r="I101" t="s">
        <v>4805</v>
      </c>
      <c r="J101" t="s">
        <v>5222</v>
      </c>
      <c r="K101" t="s">
        <v>463</v>
      </c>
      <c r="L101">
        <v>0</v>
      </c>
      <c r="M101" s="452">
        <v>46142</v>
      </c>
      <c r="N101">
        <v>28.4</v>
      </c>
      <c r="O101">
        <v>27.6</v>
      </c>
      <c r="P101">
        <v>150.52000000000001</v>
      </c>
    </row>
    <row r="102" spans="1:16" x14ac:dyDescent="0.3">
      <c r="A102">
        <v>90431</v>
      </c>
      <c r="B102">
        <v>105</v>
      </c>
      <c r="C102" t="s">
        <v>557</v>
      </c>
      <c r="D102" s="452">
        <v>46174</v>
      </c>
      <c r="E102">
        <v>18146</v>
      </c>
      <c r="F102" t="s">
        <v>5112</v>
      </c>
      <c r="G102">
        <v>3471</v>
      </c>
      <c r="H102">
        <v>1.55</v>
      </c>
      <c r="I102" t="s">
        <v>4805</v>
      </c>
      <c r="J102" t="s">
        <v>5222</v>
      </c>
      <c r="K102" t="s">
        <v>463</v>
      </c>
      <c r="L102">
        <v>0</v>
      </c>
      <c r="M102" s="452">
        <v>46097</v>
      </c>
      <c r="N102">
        <v>96</v>
      </c>
      <c r="O102">
        <v>93.9</v>
      </c>
      <c r="P102">
        <v>148.80000000000001</v>
      </c>
    </row>
    <row r="103" spans="1:16" x14ac:dyDescent="0.3">
      <c r="A103">
        <v>90547</v>
      </c>
      <c r="B103">
        <v>105</v>
      </c>
      <c r="C103" t="s">
        <v>557</v>
      </c>
      <c r="D103" s="452">
        <v>46174</v>
      </c>
      <c r="E103">
        <v>20007</v>
      </c>
      <c r="F103" t="s">
        <v>5101</v>
      </c>
      <c r="G103">
        <v>2343</v>
      </c>
      <c r="H103">
        <v>3</v>
      </c>
      <c r="I103" t="s">
        <v>4884</v>
      </c>
      <c r="J103" t="s">
        <v>5191</v>
      </c>
      <c r="K103" t="s">
        <v>463</v>
      </c>
      <c r="L103">
        <v>49.6</v>
      </c>
      <c r="M103" s="452">
        <v>46164</v>
      </c>
      <c r="N103">
        <v>49.6</v>
      </c>
      <c r="O103">
        <v>49.6</v>
      </c>
      <c r="P103">
        <v>148.80000000000001</v>
      </c>
    </row>
    <row r="104" spans="1:16" x14ac:dyDescent="0.3">
      <c r="A104">
        <v>90435</v>
      </c>
      <c r="B104">
        <v>105</v>
      </c>
      <c r="C104" t="s">
        <v>557</v>
      </c>
      <c r="D104" s="452">
        <v>46174</v>
      </c>
      <c r="E104">
        <v>18194</v>
      </c>
      <c r="F104" t="s">
        <v>4923</v>
      </c>
      <c r="G104">
        <v>3430</v>
      </c>
      <c r="H104">
        <v>2.5</v>
      </c>
      <c r="I104" t="s">
        <v>4805</v>
      </c>
      <c r="J104" t="s">
        <v>5222</v>
      </c>
      <c r="K104" t="s">
        <v>463</v>
      </c>
      <c r="L104">
        <v>59</v>
      </c>
      <c r="M104" s="452">
        <v>46153</v>
      </c>
      <c r="N104">
        <v>59</v>
      </c>
      <c r="O104">
        <v>57</v>
      </c>
      <c r="P104">
        <v>147.5</v>
      </c>
    </row>
    <row r="105" spans="1:16" x14ac:dyDescent="0.3">
      <c r="A105">
        <v>90561</v>
      </c>
      <c r="B105">
        <v>105</v>
      </c>
      <c r="C105" t="s">
        <v>557</v>
      </c>
      <c r="D105" s="452">
        <v>46174</v>
      </c>
      <c r="E105">
        <v>20301</v>
      </c>
      <c r="F105" t="s">
        <v>4944</v>
      </c>
      <c r="G105">
        <v>2223</v>
      </c>
      <c r="H105">
        <v>7</v>
      </c>
      <c r="I105" t="s">
        <v>4738</v>
      </c>
      <c r="J105" t="s">
        <v>5191</v>
      </c>
      <c r="K105" t="s">
        <v>463</v>
      </c>
      <c r="L105">
        <v>21</v>
      </c>
      <c r="M105" s="452">
        <v>46167</v>
      </c>
      <c r="N105">
        <v>21</v>
      </c>
      <c r="O105">
        <v>21</v>
      </c>
      <c r="P105">
        <v>147</v>
      </c>
    </row>
    <row r="106" spans="1:16" x14ac:dyDescent="0.3">
      <c r="A106">
        <v>90481</v>
      </c>
      <c r="B106">
        <v>105</v>
      </c>
      <c r="C106" t="s">
        <v>557</v>
      </c>
      <c r="D106" s="452">
        <v>46174</v>
      </c>
      <c r="E106">
        <v>19346</v>
      </c>
      <c r="F106" t="s">
        <v>4835</v>
      </c>
      <c r="G106">
        <v>2770</v>
      </c>
      <c r="H106">
        <v>2.44</v>
      </c>
      <c r="I106" t="s">
        <v>4744</v>
      </c>
      <c r="J106" t="s">
        <v>5191</v>
      </c>
      <c r="K106" t="s">
        <v>463</v>
      </c>
      <c r="L106">
        <v>60</v>
      </c>
      <c r="M106" s="452">
        <v>46157</v>
      </c>
      <c r="N106">
        <v>60</v>
      </c>
      <c r="O106">
        <v>60</v>
      </c>
      <c r="P106">
        <v>146.4</v>
      </c>
    </row>
    <row r="107" spans="1:16" x14ac:dyDescent="0.3">
      <c r="A107">
        <v>90627</v>
      </c>
      <c r="B107">
        <v>105</v>
      </c>
      <c r="C107" t="s">
        <v>557</v>
      </c>
      <c r="D107" s="452">
        <v>46174</v>
      </c>
      <c r="E107">
        <v>23808</v>
      </c>
      <c r="F107" t="s">
        <v>4982</v>
      </c>
      <c r="G107">
        <v>2096</v>
      </c>
      <c r="H107">
        <v>2.86</v>
      </c>
      <c r="I107" t="s">
        <v>4744</v>
      </c>
      <c r="J107" t="s">
        <v>5191</v>
      </c>
      <c r="K107" t="s">
        <v>463</v>
      </c>
      <c r="L107">
        <v>50.53</v>
      </c>
      <c r="M107" s="452">
        <v>46157</v>
      </c>
      <c r="N107">
        <v>67.099999999999994</v>
      </c>
      <c r="O107">
        <v>37.28</v>
      </c>
      <c r="P107">
        <v>144.52000000000001</v>
      </c>
    </row>
    <row r="108" spans="1:16" x14ac:dyDescent="0.3">
      <c r="A108">
        <v>90537</v>
      </c>
      <c r="B108">
        <v>105</v>
      </c>
      <c r="C108" t="s">
        <v>557</v>
      </c>
      <c r="D108" s="452">
        <v>46174</v>
      </c>
      <c r="E108">
        <v>19790</v>
      </c>
      <c r="F108" t="s">
        <v>5073</v>
      </c>
      <c r="G108">
        <v>2469</v>
      </c>
      <c r="H108">
        <v>3</v>
      </c>
      <c r="I108" t="s">
        <v>4744</v>
      </c>
      <c r="J108" t="s">
        <v>5191</v>
      </c>
      <c r="K108" t="s">
        <v>463</v>
      </c>
      <c r="L108">
        <v>48</v>
      </c>
      <c r="M108" s="452">
        <v>46167</v>
      </c>
      <c r="N108">
        <v>48</v>
      </c>
      <c r="O108">
        <v>48</v>
      </c>
      <c r="P108">
        <v>144</v>
      </c>
    </row>
    <row r="109" spans="1:16" x14ac:dyDescent="0.3">
      <c r="A109">
        <v>90594</v>
      </c>
      <c r="B109">
        <v>105</v>
      </c>
      <c r="C109" t="s">
        <v>557</v>
      </c>
      <c r="D109" s="452">
        <v>46174</v>
      </c>
      <c r="E109">
        <v>21093</v>
      </c>
      <c r="F109" t="s">
        <v>4855</v>
      </c>
      <c r="G109">
        <v>1988</v>
      </c>
      <c r="H109">
        <v>32.5</v>
      </c>
      <c r="I109" t="s">
        <v>4744</v>
      </c>
      <c r="J109" t="s">
        <v>5191</v>
      </c>
      <c r="K109" t="s">
        <v>463</v>
      </c>
      <c r="L109">
        <v>4.3899999999999997</v>
      </c>
      <c r="M109" s="452">
        <v>46164</v>
      </c>
      <c r="N109">
        <v>4.3899999999999997</v>
      </c>
      <c r="O109">
        <v>4.3899999999999997</v>
      </c>
      <c r="P109">
        <v>142.66999999999999</v>
      </c>
    </row>
    <row r="110" spans="1:16" x14ac:dyDescent="0.3">
      <c r="A110">
        <v>90683</v>
      </c>
      <c r="B110">
        <v>105</v>
      </c>
      <c r="C110" t="s">
        <v>557</v>
      </c>
      <c r="D110" s="452">
        <v>46174</v>
      </c>
      <c r="E110">
        <v>26038</v>
      </c>
      <c r="F110" t="s">
        <v>4976</v>
      </c>
      <c r="G110">
        <v>6506</v>
      </c>
      <c r="H110">
        <v>3</v>
      </c>
      <c r="I110" t="s">
        <v>4805</v>
      </c>
      <c r="J110" t="s">
        <v>5222</v>
      </c>
      <c r="K110" t="s">
        <v>463</v>
      </c>
      <c r="L110">
        <v>47.45</v>
      </c>
      <c r="M110" s="452">
        <v>46157</v>
      </c>
      <c r="N110">
        <v>47.45</v>
      </c>
      <c r="O110">
        <v>47.45</v>
      </c>
      <c r="P110">
        <v>142.35</v>
      </c>
    </row>
    <row r="111" spans="1:16" x14ac:dyDescent="0.3">
      <c r="A111">
        <v>90444</v>
      </c>
      <c r="B111">
        <v>105</v>
      </c>
      <c r="C111" t="s">
        <v>557</v>
      </c>
      <c r="D111" s="452">
        <v>46174</v>
      </c>
      <c r="E111">
        <v>18293</v>
      </c>
      <c r="F111" t="s">
        <v>5034</v>
      </c>
      <c r="G111">
        <v>3336</v>
      </c>
      <c r="H111">
        <v>1</v>
      </c>
      <c r="I111" t="s">
        <v>4805</v>
      </c>
      <c r="J111" t="s">
        <v>5222</v>
      </c>
      <c r="K111" t="s">
        <v>463</v>
      </c>
      <c r="L111">
        <v>0</v>
      </c>
      <c r="M111" s="452">
        <v>46079</v>
      </c>
      <c r="N111">
        <v>137.69999999999999</v>
      </c>
      <c r="O111">
        <v>126.32</v>
      </c>
      <c r="P111">
        <v>137.69999999999999</v>
      </c>
    </row>
    <row r="112" spans="1:16" x14ac:dyDescent="0.3">
      <c r="A112">
        <v>90422</v>
      </c>
      <c r="B112">
        <v>105</v>
      </c>
      <c r="C112" t="s">
        <v>557</v>
      </c>
      <c r="D112" s="452">
        <v>46174</v>
      </c>
      <c r="E112">
        <v>18006</v>
      </c>
      <c r="F112" t="s">
        <v>5094</v>
      </c>
      <c r="G112">
        <v>3591</v>
      </c>
      <c r="H112">
        <v>5.66</v>
      </c>
      <c r="I112" t="s">
        <v>4738</v>
      </c>
      <c r="J112" t="s">
        <v>5222</v>
      </c>
      <c r="K112" t="s">
        <v>463</v>
      </c>
      <c r="L112">
        <v>24.09</v>
      </c>
      <c r="M112" s="452">
        <v>46153</v>
      </c>
      <c r="N112">
        <v>24.09</v>
      </c>
      <c r="O112">
        <v>29.64</v>
      </c>
      <c r="P112">
        <v>136.35</v>
      </c>
    </row>
    <row r="113" spans="1:16" x14ac:dyDescent="0.3">
      <c r="A113">
        <v>90698</v>
      </c>
      <c r="B113">
        <v>105</v>
      </c>
      <c r="C113" t="s">
        <v>557</v>
      </c>
      <c r="D113" s="452">
        <v>46174</v>
      </c>
      <c r="E113">
        <v>28568</v>
      </c>
      <c r="F113" t="s">
        <v>5177</v>
      </c>
      <c r="G113">
        <v>9090</v>
      </c>
      <c r="H113">
        <v>1.92</v>
      </c>
      <c r="I113" t="s">
        <v>4749</v>
      </c>
      <c r="J113" t="s">
        <v>5191</v>
      </c>
      <c r="K113" t="s">
        <v>463</v>
      </c>
      <c r="L113">
        <v>70.8</v>
      </c>
      <c r="M113" s="452">
        <v>46164</v>
      </c>
      <c r="N113">
        <v>70.8</v>
      </c>
      <c r="O113">
        <v>70.8</v>
      </c>
      <c r="P113">
        <v>135.94</v>
      </c>
    </row>
    <row r="114" spans="1:16" x14ac:dyDescent="0.3">
      <c r="A114">
        <v>90663</v>
      </c>
      <c r="B114">
        <v>105</v>
      </c>
      <c r="C114" t="s">
        <v>557</v>
      </c>
      <c r="D114" s="452">
        <v>46174</v>
      </c>
      <c r="E114">
        <v>25358</v>
      </c>
      <c r="F114" t="s">
        <v>4980</v>
      </c>
      <c r="G114">
        <v>6047</v>
      </c>
      <c r="H114">
        <v>1.71</v>
      </c>
      <c r="I114" t="s">
        <v>4744</v>
      </c>
      <c r="J114" t="s">
        <v>5191</v>
      </c>
      <c r="K114" t="s">
        <v>463</v>
      </c>
      <c r="L114">
        <v>79.47</v>
      </c>
      <c r="M114" s="452">
        <v>46157</v>
      </c>
      <c r="N114">
        <v>84.6</v>
      </c>
      <c r="O114">
        <v>78.900000000000006</v>
      </c>
      <c r="P114">
        <v>135.88999999999999</v>
      </c>
    </row>
    <row r="115" spans="1:16" x14ac:dyDescent="0.3">
      <c r="A115">
        <v>90538</v>
      </c>
      <c r="B115">
        <v>105</v>
      </c>
      <c r="C115" t="s">
        <v>557</v>
      </c>
      <c r="D115" s="452">
        <v>46174</v>
      </c>
      <c r="E115">
        <v>19892</v>
      </c>
      <c r="F115" t="s">
        <v>5150</v>
      </c>
      <c r="G115">
        <v>2386</v>
      </c>
      <c r="H115">
        <v>0.97</v>
      </c>
      <c r="I115" t="s">
        <v>4744</v>
      </c>
      <c r="J115" t="s">
        <v>5191</v>
      </c>
      <c r="K115" t="s">
        <v>463</v>
      </c>
      <c r="L115">
        <v>0</v>
      </c>
      <c r="M115" s="452">
        <v>46056</v>
      </c>
      <c r="N115">
        <v>140</v>
      </c>
      <c r="O115">
        <v>145</v>
      </c>
      <c r="P115">
        <v>135.80000000000001</v>
      </c>
    </row>
    <row r="116" spans="1:16" x14ac:dyDescent="0.3">
      <c r="A116">
        <v>90412</v>
      </c>
      <c r="B116">
        <v>105</v>
      </c>
      <c r="C116" t="s">
        <v>557</v>
      </c>
      <c r="D116" s="452">
        <v>46174</v>
      </c>
      <c r="E116">
        <v>17883</v>
      </c>
      <c r="F116" t="s">
        <v>5113</v>
      </c>
      <c r="G116">
        <v>3673</v>
      </c>
      <c r="H116">
        <v>5.5</v>
      </c>
      <c r="I116" t="s">
        <v>4738</v>
      </c>
      <c r="J116" t="s">
        <v>5222</v>
      </c>
      <c r="K116" t="s">
        <v>463</v>
      </c>
      <c r="L116">
        <v>24.53</v>
      </c>
      <c r="M116" s="452">
        <v>46167</v>
      </c>
      <c r="N116">
        <v>28.32</v>
      </c>
      <c r="O116">
        <v>28.32</v>
      </c>
      <c r="P116">
        <v>134.91999999999999</v>
      </c>
    </row>
    <row r="117" spans="1:16" x14ac:dyDescent="0.3">
      <c r="A117">
        <v>90566</v>
      </c>
      <c r="B117">
        <v>105</v>
      </c>
      <c r="C117" t="s">
        <v>557</v>
      </c>
      <c r="D117" s="452">
        <v>46174</v>
      </c>
      <c r="E117">
        <v>20382</v>
      </c>
      <c r="F117" t="s">
        <v>4780</v>
      </c>
      <c r="G117">
        <v>2196</v>
      </c>
      <c r="H117">
        <v>15</v>
      </c>
      <c r="I117" t="s">
        <v>4738</v>
      </c>
      <c r="J117" t="s">
        <v>5191</v>
      </c>
      <c r="K117" t="s">
        <v>463</v>
      </c>
      <c r="L117">
        <v>8.99</v>
      </c>
      <c r="M117" s="452">
        <v>46167</v>
      </c>
      <c r="N117">
        <v>8.99</v>
      </c>
      <c r="O117">
        <v>8.99</v>
      </c>
      <c r="P117">
        <v>134.85</v>
      </c>
    </row>
    <row r="118" spans="1:16" x14ac:dyDescent="0.3">
      <c r="A118">
        <v>90421</v>
      </c>
      <c r="B118">
        <v>105</v>
      </c>
      <c r="C118" t="s">
        <v>557</v>
      </c>
      <c r="D118" s="452">
        <v>46174</v>
      </c>
      <c r="E118">
        <v>18004</v>
      </c>
      <c r="F118" t="s">
        <v>5093</v>
      </c>
      <c r="G118">
        <v>3592</v>
      </c>
      <c r="H118">
        <v>6.92</v>
      </c>
      <c r="I118" t="s">
        <v>4738</v>
      </c>
      <c r="J118" t="s">
        <v>5222</v>
      </c>
      <c r="K118" t="s">
        <v>463</v>
      </c>
      <c r="L118">
        <v>19.190000000000001</v>
      </c>
      <c r="M118" s="452">
        <v>46153</v>
      </c>
      <c r="N118">
        <v>19.190000000000001</v>
      </c>
      <c r="O118">
        <v>25.53</v>
      </c>
      <c r="P118">
        <v>132.79</v>
      </c>
    </row>
    <row r="119" spans="1:16" x14ac:dyDescent="0.3">
      <c r="A119">
        <v>90452</v>
      </c>
      <c r="B119">
        <v>105</v>
      </c>
      <c r="C119" t="s">
        <v>557</v>
      </c>
      <c r="D119" s="452">
        <v>46174</v>
      </c>
      <c r="E119">
        <v>18394</v>
      </c>
      <c r="F119" t="s">
        <v>5032</v>
      </c>
      <c r="G119">
        <v>3246</v>
      </c>
      <c r="H119">
        <v>1</v>
      </c>
      <c r="I119" t="s">
        <v>4805</v>
      </c>
      <c r="J119" t="s">
        <v>5222</v>
      </c>
      <c r="K119" t="s">
        <v>463</v>
      </c>
      <c r="L119">
        <v>0</v>
      </c>
      <c r="M119" s="452">
        <v>45867</v>
      </c>
      <c r="N119">
        <v>132.36000000000001</v>
      </c>
      <c r="O119">
        <v>132</v>
      </c>
      <c r="P119">
        <v>132.36000000000001</v>
      </c>
    </row>
    <row r="120" spans="1:16" x14ac:dyDescent="0.3">
      <c r="A120">
        <v>90669</v>
      </c>
      <c r="B120">
        <v>105</v>
      </c>
      <c r="C120" t="s">
        <v>557</v>
      </c>
      <c r="D120" s="452">
        <v>46174</v>
      </c>
      <c r="E120">
        <v>25753</v>
      </c>
      <c r="F120" t="s">
        <v>5144</v>
      </c>
      <c r="G120">
        <v>6304</v>
      </c>
      <c r="H120">
        <v>12</v>
      </c>
      <c r="I120" t="s">
        <v>4736</v>
      </c>
      <c r="J120" t="s">
        <v>5191</v>
      </c>
      <c r="K120" t="s">
        <v>463</v>
      </c>
      <c r="L120">
        <v>0</v>
      </c>
      <c r="N120">
        <v>0</v>
      </c>
      <c r="O120">
        <v>0</v>
      </c>
      <c r="P120">
        <v>132.12</v>
      </c>
    </row>
    <row r="121" spans="1:16" x14ac:dyDescent="0.3">
      <c r="A121">
        <v>90701</v>
      </c>
      <c r="B121">
        <v>105</v>
      </c>
      <c r="C121" t="s">
        <v>557</v>
      </c>
      <c r="D121" s="452">
        <v>46174</v>
      </c>
      <c r="E121">
        <v>29083</v>
      </c>
      <c r="F121" t="s">
        <v>5153</v>
      </c>
      <c r="G121">
        <v>9017</v>
      </c>
      <c r="H121">
        <v>1</v>
      </c>
      <c r="I121" t="s">
        <v>4736</v>
      </c>
      <c r="J121" t="s">
        <v>5191</v>
      </c>
      <c r="K121" t="s">
        <v>463</v>
      </c>
      <c r="L121">
        <v>0</v>
      </c>
      <c r="M121" s="452">
        <v>46113</v>
      </c>
      <c r="N121">
        <v>132.12</v>
      </c>
      <c r="O121">
        <v>132.12</v>
      </c>
      <c r="P121">
        <v>132.12</v>
      </c>
    </row>
    <row r="122" spans="1:16" x14ac:dyDescent="0.3">
      <c r="A122">
        <v>90459</v>
      </c>
      <c r="B122">
        <v>105</v>
      </c>
      <c r="C122" t="s">
        <v>557</v>
      </c>
      <c r="D122" s="452">
        <v>46174</v>
      </c>
      <c r="E122">
        <v>18538</v>
      </c>
      <c r="F122" t="s">
        <v>5030</v>
      </c>
      <c r="G122">
        <v>3139</v>
      </c>
      <c r="H122">
        <v>1.28</v>
      </c>
      <c r="I122" t="s">
        <v>4805</v>
      </c>
      <c r="J122" t="s">
        <v>5222</v>
      </c>
      <c r="K122" t="s">
        <v>463</v>
      </c>
      <c r="L122">
        <v>102.37</v>
      </c>
      <c r="M122" s="452">
        <v>46163</v>
      </c>
      <c r="N122">
        <v>102.9</v>
      </c>
      <c r="O122">
        <v>102.9</v>
      </c>
      <c r="P122">
        <v>131.03</v>
      </c>
    </row>
    <row r="123" spans="1:16" x14ac:dyDescent="0.3">
      <c r="A123">
        <v>90586</v>
      </c>
      <c r="B123">
        <v>105</v>
      </c>
      <c r="C123" t="s">
        <v>557</v>
      </c>
      <c r="D123" s="452">
        <v>46174</v>
      </c>
      <c r="E123">
        <v>20984</v>
      </c>
      <c r="F123" t="s">
        <v>5133</v>
      </c>
      <c r="G123">
        <v>2011</v>
      </c>
      <c r="H123">
        <v>16.05</v>
      </c>
      <c r="I123" t="s">
        <v>4888</v>
      </c>
      <c r="J123" t="s">
        <v>5191</v>
      </c>
      <c r="K123" t="s">
        <v>463</v>
      </c>
      <c r="L123">
        <v>8.15</v>
      </c>
      <c r="M123" s="452">
        <v>46167</v>
      </c>
      <c r="N123">
        <v>8.15</v>
      </c>
      <c r="O123">
        <v>9.17</v>
      </c>
      <c r="P123">
        <v>130.81</v>
      </c>
    </row>
    <row r="124" spans="1:16" x14ac:dyDescent="0.3">
      <c r="A124">
        <v>90583</v>
      </c>
      <c r="B124">
        <v>105</v>
      </c>
      <c r="C124" t="s">
        <v>557</v>
      </c>
      <c r="D124" s="452">
        <v>46174</v>
      </c>
      <c r="E124">
        <v>20887</v>
      </c>
      <c r="F124" t="s">
        <v>4953</v>
      </c>
      <c r="G124">
        <v>2040</v>
      </c>
      <c r="H124">
        <v>3.5</v>
      </c>
      <c r="I124" t="s">
        <v>4879</v>
      </c>
      <c r="J124" t="s">
        <v>5191</v>
      </c>
      <c r="K124" t="s">
        <v>463</v>
      </c>
      <c r="L124">
        <v>36.9</v>
      </c>
      <c r="M124" s="452">
        <v>46167</v>
      </c>
      <c r="N124">
        <v>36.9</v>
      </c>
      <c r="O124">
        <v>36.9</v>
      </c>
      <c r="P124">
        <v>129.15</v>
      </c>
    </row>
    <row r="125" spans="1:16" x14ac:dyDescent="0.3">
      <c r="A125">
        <v>90653</v>
      </c>
      <c r="B125">
        <v>105</v>
      </c>
      <c r="C125" t="s">
        <v>557</v>
      </c>
      <c r="D125" s="452">
        <v>46174</v>
      </c>
      <c r="E125">
        <v>24685</v>
      </c>
      <c r="F125" t="s">
        <v>5055</v>
      </c>
      <c r="G125">
        <v>5714</v>
      </c>
      <c r="H125">
        <v>0.85</v>
      </c>
      <c r="I125" t="s">
        <v>4805</v>
      </c>
      <c r="J125" t="s">
        <v>5222</v>
      </c>
      <c r="K125" t="s">
        <v>463</v>
      </c>
      <c r="L125">
        <v>0</v>
      </c>
      <c r="M125" s="452">
        <v>45999</v>
      </c>
      <c r="N125">
        <v>147.25</v>
      </c>
      <c r="O125">
        <v>230</v>
      </c>
      <c r="P125">
        <v>125.16</v>
      </c>
    </row>
    <row r="126" spans="1:16" x14ac:dyDescent="0.3">
      <c r="A126">
        <v>90528</v>
      </c>
      <c r="B126">
        <v>105</v>
      </c>
      <c r="C126" t="s">
        <v>557</v>
      </c>
      <c r="D126" s="452">
        <v>46174</v>
      </c>
      <c r="E126">
        <v>19734</v>
      </c>
      <c r="F126" t="s">
        <v>4833</v>
      </c>
      <c r="G126">
        <v>2519</v>
      </c>
      <c r="H126">
        <v>9.3800000000000008</v>
      </c>
      <c r="I126" t="s">
        <v>4744</v>
      </c>
      <c r="J126" t="s">
        <v>5191</v>
      </c>
      <c r="K126" t="s">
        <v>463</v>
      </c>
      <c r="L126">
        <v>13.16</v>
      </c>
      <c r="M126" s="452">
        <v>46170</v>
      </c>
      <c r="N126">
        <v>13.78</v>
      </c>
      <c r="O126">
        <v>13.78</v>
      </c>
      <c r="P126">
        <v>123.44</v>
      </c>
    </row>
    <row r="127" spans="1:16" x14ac:dyDescent="0.3">
      <c r="A127">
        <v>90516</v>
      </c>
      <c r="B127">
        <v>105</v>
      </c>
      <c r="C127" t="s">
        <v>557</v>
      </c>
      <c r="D127" s="452">
        <v>46174</v>
      </c>
      <c r="E127">
        <v>19623</v>
      </c>
      <c r="F127" t="s">
        <v>4764</v>
      </c>
      <c r="G127">
        <v>2611</v>
      </c>
      <c r="H127">
        <v>19.93</v>
      </c>
      <c r="I127" t="s">
        <v>4744</v>
      </c>
      <c r="J127" t="s">
        <v>5191</v>
      </c>
      <c r="K127" t="s">
        <v>463</v>
      </c>
      <c r="L127">
        <v>6.09</v>
      </c>
      <c r="M127" s="452">
        <v>46170</v>
      </c>
      <c r="N127">
        <v>6.31</v>
      </c>
      <c r="O127">
        <v>6.3</v>
      </c>
      <c r="P127">
        <v>121.37</v>
      </c>
    </row>
    <row r="128" spans="1:16" x14ac:dyDescent="0.3">
      <c r="A128">
        <v>90489</v>
      </c>
      <c r="B128">
        <v>105</v>
      </c>
      <c r="C128" t="s">
        <v>557</v>
      </c>
      <c r="D128" s="452">
        <v>46174</v>
      </c>
      <c r="E128">
        <v>19439</v>
      </c>
      <c r="F128" t="s">
        <v>4917</v>
      </c>
      <c r="G128">
        <v>2756</v>
      </c>
      <c r="H128">
        <v>4</v>
      </c>
      <c r="I128" t="s">
        <v>4744</v>
      </c>
      <c r="J128" t="s">
        <v>5191</v>
      </c>
      <c r="K128" t="s">
        <v>463</v>
      </c>
      <c r="L128">
        <v>30.28</v>
      </c>
      <c r="M128" s="452">
        <v>46172</v>
      </c>
      <c r="N128">
        <v>28.32</v>
      </c>
      <c r="O128">
        <v>28.32</v>
      </c>
      <c r="P128">
        <v>121.12</v>
      </c>
    </row>
    <row r="129" spans="1:16" x14ac:dyDescent="0.3">
      <c r="A129">
        <v>90497</v>
      </c>
      <c r="B129">
        <v>105</v>
      </c>
      <c r="C129" t="s">
        <v>557</v>
      </c>
      <c r="D129" s="452">
        <v>46174</v>
      </c>
      <c r="E129">
        <v>19502</v>
      </c>
      <c r="F129" t="s">
        <v>4871</v>
      </c>
      <c r="G129">
        <v>2708</v>
      </c>
      <c r="H129">
        <v>7.2</v>
      </c>
      <c r="I129" t="s">
        <v>4744</v>
      </c>
      <c r="J129" t="s">
        <v>5191</v>
      </c>
      <c r="K129" t="s">
        <v>463</v>
      </c>
      <c r="L129">
        <v>16.71</v>
      </c>
      <c r="M129" s="452">
        <v>46170</v>
      </c>
      <c r="N129">
        <v>17</v>
      </c>
      <c r="O129">
        <v>17</v>
      </c>
      <c r="P129">
        <v>120.31</v>
      </c>
    </row>
    <row r="130" spans="1:16" x14ac:dyDescent="0.3">
      <c r="A130">
        <v>90662</v>
      </c>
      <c r="B130">
        <v>105</v>
      </c>
      <c r="C130" t="s">
        <v>557</v>
      </c>
      <c r="D130" s="452">
        <v>46174</v>
      </c>
      <c r="E130">
        <v>25205</v>
      </c>
      <c r="F130" t="s">
        <v>4850</v>
      </c>
      <c r="G130">
        <v>5944</v>
      </c>
      <c r="H130">
        <v>6.7</v>
      </c>
      <c r="I130" t="s">
        <v>4744</v>
      </c>
      <c r="J130" t="s">
        <v>5191</v>
      </c>
      <c r="K130" t="s">
        <v>463</v>
      </c>
      <c r="L130">
        <v>17.899999999999999</v>
      </c>
      <c r="M130" s="452">
        <v>46153</v>
      </c>
      <c r="N130">
        <v>17.899999999999999</v>
      </c>
      <c r="O130">
        <v>17.899999999999999</v>
      </c>
      <c r="P130">
        <v>119.93</v>
      </c>
    </row>
    <row r="131" spans="1:16" x14ac:dyDescent="0.3">
      <c r="A131">
        <v>90595</v>
      </c>
      <c r="B131">
        <v>105</v>
      </c>
      <c r="C131" t="s">
        <v>557</v>
      </c>
      <c r="D131" s="452">
        <v>46174</v>
      </c>
      <c r="E131">
        <v>21147</v>
      </c>
      <c r="F131" t="s">
        <v>4876</v>
      </c>
      <c r="G131">
        <v>1952</v>
      </c>
      <c r="H131">
        <v>6</v>
      </c>
      <c r="I131" t="s">
        <v>4736</v>
      </c>
      <c r="J131" t="s">
        <v>5191</v>
      </c>
      <c r="K131" t="s">
        <v>463</v>
      </c>
      <c r="L131">
        <v>19.899999999999999</v>
      </c>
      <c r="M131" s="452">
        <v>46160</v>
      </c>
      <c r="N131">
        <v>19.899999999999999</v>
      </c>
      <c r="O131">
        <v>19.899999999999999</v>
      </c>
      <c r="P131">
        <v>119.4</v>
      </c>
    </row>
    <row r="132" spans="1:16" x14ac:dyDescent="0.3">
      <c r="A132">
        <v>90446</v>
      </c>
      <c r="B132">
        <v>105</v>
      </c>
      <c r="C132" t="s">
        <v>557</v>
      </c>
      <c r="D132" s="452">
        <v>46174</v>
      </c>
      <c r="E132">
        <v>18312</v>
      </c>
      <c r="F132" t="s">
        <v>5037</v>
      </c>
      <c r="G132">
        <v>3321</v>
      </c>
      <c r="H132">
        <v>0.85</v>
      </c>
      <c r="I132" t="s">
        <v>4805</v>
      </c>
      <c r="J132" t="s">
        <v>5222</v>
      </c>
      <c r="K132" t="s">
        <v>463</v>
      </c>
      <c r="L132">
        <v>0</v>
      </c>
      <c r="N132">
        <v>0</v>
      </c>
      <c r="O132">
        <v>93.9</v>
      </c>
      <c r="P132">
        <v>115.51</v>
      </c>
    </row>
    <row r="133" spans="1:16" x14ac:dyDescent="0.3">
      <c r="A133">
        <v>90607</v>
      </c>
      <c r="B133">
        <v>105</v>
      </c>
      <c r="C133" t="s">
        <v>557</v>
      </c>
      <c r="D133" s="452">
        <v>46174</v>
      </c>
      <c r="E133">
        <v>23234</v>
      </c>
      <c r="F133" t="s">
        <v>4986</v>
      </c>
      <c r="G133">
        <v>2622</v>
      </c>
      <c r="H133">
        <v>4.5999999999999996</v>
      </c>
      <c r="I133" t="s">
        <v>4744</v>
      </c>
      <c r="J133" t="s">
        <v>5191</v>
      </c>
      <c r="K133" t="s">
        <v>463</v>
      </c>
      <c r="L133">
        <v>25</v>
      </c>
      <c r="M133" s="452">
        <v>46167</v>
      </c>
      <c r="N133">
        <v>25</v>
      </c>
      <c r="O133">
        <v>25</v>
      </c>
      <c r="P133">
        <v>115</v>
      </c>
    </row>
    <row r="134" spans="1:16" x14ac:dyDescent="0.3">
      <c r="A134">
        <v>90579</v>
      </c>
      <c r="B134">
        <v>105</v>
      </c>
      <c r="C134" t="s">
        <v>557</v>
      </c>
      <c r="D134" s="452">
        <v>46174</v>
      </c>
      <c r="E134">
        <v>20757</v>
      </c>
      <c r="F134" t="s">
        <v>5176</v>
      </c>
      <c r="G134">
        <v>2086</v>
      </c>
      <c r="H134">
        <v>1.5</v>
      </c>
      <c r="I134" t="s">
        <v>4884</v>
      </c>
      <c r="J134" t="s">
        <v>5191</v>
      </c>
      <c r="K134" t="s">
        <v>463</v>
      </c>
      <c r="L134">
        <v>76.099999999999994</v>
      </c>
      <c r="M134" s="452">
        <v>46153</v>
      </c>
      <c r="N134">
        <v>78.3</v>
      </c>
      <c r="O134">
        <v>77.8</v>
      </c>
      <c r="P134">
        <v>114.15</v>
      </c>
    </row>
    <row r="135" spans="1:16" x14ac:dyDescent="0.3">
      <c r="A135">
        <v>90582</v>
      </c>
      <c r="B135">
        <v>105</v>
      </c>
      <c r="C135" t="s">
        <v>557</v>
      </c>
      <c r="D135" s="452">
        <v>46174</v>
      </c>
      <c r="E135">
        <v>20871</v>
      </c>
      <c r="F135" t="s">
        <v>5015</v>
      </c>
      <c r="G135">
        <v>2043</v>
      </c>
      <c r="H135">
        <v>5.7</v>
      </c>
      <c r="I135" t="s">
        <v>4879</v>
      </c>
      <c r="J135" t="s">
        <v>5191</v>
      </c>
      <c r="K135" t="s">
        <v>463</v>
      </c>
      <c r="L135">
        <v>0</v>
      </c>
      <c r="M135" s="452">
        <v>46142</v>
      </c>
      <c r="N135">
        <v>19.989999999999998</v>
      </c>
      <c r="O135">
        <v>19.989999999999998</v>
      </c>
      <c r="P135">
        <v>113.94</v>
      </c>
    </row>
    <row r="136" spans="1:16" x14ac:dyDescent="0.3">
      <c r="A136">
        <v>90428</v>
      </c>
      <c r="B136">
        <v>105</v>
      </c>
      <c r="C136" t="s">
        <v>557</v>
      </c>
      <c r="D136" s="452">
        <v>46174</v>
      </c>
      <c r="E136">
        <v>18116</v>
      </c>
      <c r="F136" t="s">
        <v>5045</v>
      </c>
      <c r="G136">
        <v>3496</v>
      </c>
      <c r="H136">
        <v>1.26</v>
      </c>
      <c r="I136" t="s">
        <v>4805</v>
      </c>
      <c r="J136" t="s">
        <v>5222</v>
      </c>
      <c r="K136" t="s">
        <v>463</v>
      </c>
      <c r="L136">
        <v>88.08</v>
      </c>
      <c r="M136" s="452">
        <v>46148</v>
      </c>
      <c r="N136">
        <v>88.08</v>
      </c>
      <c r="O136">
        <v>86.6</v>
      </c>
      <c r="P136">
        <v>110.98</v>
      </c>
    </row>
    <row r="137" spans="1:16" x14ac:dyDescent="0.3">
      <c r="A137">
        <v>90557</v>
      </c>
      <c r="B137">
        <v>105</v>
      </c>
      <c r="C137" t="s">
        <v>557</v>
      </c>
      <c r="D137" s="452">
        <v>46174</v>
      </c>
      <c r="E137">
        <v>20224</v>
      </c>
      <c r="F137" t="s">
        <v>5118</v>
      </c>
      <c r="G137">
        <v>2249</v>
      </c>
      <c r="H137">
        <v>1.5</v>
      </c>
      <c r="I137" t="s">
        <v>4744</v>
      </c>
      <c r="J137" t="s">
        <v>5191</v>
      </c>
      <c r="K137" t="s">
        <v>463</v>
      </c>
      <c r="L137">
        <v>0</v>
      </c>
      <c r="M137" s="452">
        <v>46135</v>
      </c>
      <c r="N137">
        <v>72</v>
      </c>
      <c r="O137">
        <v>72</v>
      </c>
      <c r="P137">
        <v>108</v>
      </c>
    </row>
    <row r="138" spans="1:16" x14ac:dyDescent="0.3">
      <c r="A138">
        <v>90550</v>
      </c>
      <c r="B138">
        <v>105</v>
      </c>
      <c r="C138" t="s">
        <v>557</v>
      </c>
      <c r="D138" s="452">
        <v>46174</v>
      </c>
      <c r="E138">
        <v>20057</v>
      </c>
      <c r="F138" t="s">
        <v>4949</v>
      </c>
      <c r="G138">
        <v>2324</v>
      </c>
      <c r="H138">
        <v>2.5</v>
      </c>
      <c r="I138" t="s">
        <v>4736</v>
      </c>
      <c r="J138" t="s">
        <v>5191</v>
      </c>
      <c r="K138" t="s">
        <v>463</v>
      </c>
      <c r="L138">
        <v>0</v>
      </c>
      <c r="M138" s="452">
        <v>46102</v>
      </c>
      <c r="N138">
        <v>42.18</v>
      </c>
      <c r="O138">
        <v>42.18</v>
      </c>
      <c r="P138">
        <v>105.45</v>
      </c>
    </row>
    <row r="139" spans="1:16" x14ac:dyDescent="0.3">
      <c r="A139">
        <v>90645</v>
      </c>
      <c r="B139">
        <v>105</v>
      </c>
      <c r="C139" t="s">
        <v>557</v>
      </c>
      <c r="D139" s="452">
        <v>46174</v>
      </c>
      <c r="E139">
        <v>24331</v>
      </c>
      <c r="F139" t="s">
        <v>5166</v>
      </c>
      <c r="G139">
        <v>2146</v>
      </c>
      <c r="H139">
        <v>5</v>
      </c>
      <c r="I139" t="s">
        <v>4744</v>
      </c>
      <c r="J139" t="s">
        <v>5191</v>
      </c>
      <c r="K139" t="s">
        <v>463</v>
      </c>
      <c r="L139">
        <v>20.85</v>
      </c>
      <c r="M139" s="452">
        <v>46172</v>
      </c>
      <c r="N139">
        <v>20.85</v>
      </c>
      <c r="O139">
        <v>20.85</v>
      </c>
      <c r="P139">
        <v>104.25</v>
      </c>
    </row>
    <row r="140" spans="1:16" x14ac:dyDescent="0.3">
      <c r="A140">
        <v>90621</v>
      </c>
      <c r="B140">
        <v>105</v>
      </c>
      <c r="C140" t="s">
        <v>557</v>
      </c>
      <c r="D140" s="452">
        <v>46174</v>
      </c>
      <c r="E140">
        <v>23515</v>
      </c>
      <c r="F140" t="s">
        <v>4816</v>
      </c>
      <c r="G140">
        <v>2353</v>
      </c>
      <c r="H140">
        <v>5</v>
      </c>
      <c r="I140" t="s">
        <v>4736</v>
      </c>
      <c r="J140" t="s">
        <v>5191</v>
      </c>
      <c r="K140" t="s">
        <v>463</v>
      </c>
      <c r="L140">
        <v>0</v>
      </c>
      <c r="M140" s="452">
        <v>45999</v>
      </c>
      <c r="N140">
        <v>20.8</v>
      </c>
      <c r="O140">
        <v>19.27</v>
      </c>
      <c r="P140">
        <v>104</v>
      </c>
    </row>
    <row r="141" spans="1:16" x14ac:dyDescent="0.3">
      <c r="A141">
        <v>90530</v>
      </c>
      <c r="B141">
        <v>105</v>
      </c>
      <c r="C141" t="s">
        <v>557</v>
      </c>
      <c r="D141" s="452">
        <v>46174</v>
      </c>
      <c r="E141">
        <v>19740</v>
      </c>
      <c r="F141" t="s">
        <v>4779</v>
      </c>
      <c r="G141">
        <v>2513</v>
      </c>
      <c r="H141">
        <v>11</v>
      </c>
      <c r="I141" t="s">
        <v>4744</v>
      </c>
      <c r="J141" t="s">
        <v>5191</v>
      </c>
      <c r="K141" t="s">
        <v>463</v>
      </c>
      <c r="L141">
        <v>9.26</v>
      </c>
      <c r="M141" s="452">
        <v>46170</v>
      </c>
      <c r="N141">
        <v>9.1</v>
      </c>
      <c r="O141">
        <v>9.1</v>
      </c>
      <c r="P141">
        <v>101.86</v>
      </c>
    </row>
    <row r="142" spans="1:16" x14ac:dyDescent="0.3">
      <c r="A142">
        <v>90649</v>
      </c>
      <c r="B142">
        <v>105</v>
      </c>
      <c r="C142" t="s">
        <v>557</v>
      </c>
      <c r="D142" s="452">
        <v>46174</v>
      </c>
      <c r="E142">
        <v>24522</v>
      </c>
      <c r="F142" t="s">
        <v>5072</v>
      </c>
      <c r="G142">
        <v>5651</v>
      </c>
      <c r="H142">
        <v>4.05</v>
      </c>
      <c r="I142" t="s">
        <v>4744</v>
      </c>
      <c r="J142" t="s">
        <v>5191</v>
      </c>
      <c r="K142" t="s">
        <v>463</v>
      </c>
      <c r="L142">
        <v>25</v>
      </c>
      <c r="M142" s="452">
        <v>46160</v>
      </c>
      <c r="N142">
        <v>25</v>
      </c>
      <c r="O142">
        <v>25</v>
      </c>
      <c r="P142">
        <v>101.25</v>
      </c>
    </row>
    <row r="143" spans="1:16" x14ac:dyDescent="0.3">
      <c r="A143">
        <v>90533</v>
      </c>
      <c r="B143">
        <v>105</v>
      </c>
      <c r="C143" t="s">
        <v>557</v>
      </c>
      <c r="D143" s="452">
        <v>46174</v>
      </c>
      <c r="E143">
        <v>19751</v>
      </c>
      <c r="F143" t="s">
        <v>4800</v>
      </c>
      <c r="G143">
        <v>2502</v>
      </c>
      <c r="H143">
        <v>11.3</v>
      </c>
      <c r="I143" t="s">
        <v>4744</v>
      </c>
      <c r="J143" t="s">
        <v>5191</v>
      </c>
      <c r="K143" t="s">
        <v>463</v>
      </c>
      <c r="L143">
        <v>8.91</v>
      </c>
      <c r="M143" s="452">
        <v>46164</v>
      </c>
      <c r="N143">
        <v>8.5</v>
      </c>
      <c r="O143">
        <v>8.6999999999999993</v>
      </c>
      <c r="P143">
        <v>100.68</v>
      </c>
    </row>
    <row r="144" spans="1:16" x14ac:dyDescent="0.3">
      <c r="A144">
        <v>90539</v>
      </c>
      <c r="B144">
        <v>105</v>
      </c>
      <c r="C144" t="s">
        <v>557</v>
      </c>
      <c r="D144" s="452">
        <v>46174</v>
      </c>
      <c r="E144">
        <v>19895</v>
      </c>
      <c r="F144" t="s">
        <v>5080</v>
      </c>
      <c r="G144">
        <v>2385</v>
      </c>
      <c r="H144">
        <v>1</v>
      </c>
      <c r="I144" t="s">
        <v>4888</v>
      </c>
      <c r="J144" t="s">
        <v>5191</v>
      </c>
      <c r="K144" t="s">
        <v>463</v>
      </c>
      <c r="L144">
        <v>0</v>
      </c>
      <c r="M144" s="452">
        <v>45887</v>
      </c>
      <c r="N144">
        <v>99.99</v>
      </c>
      <c r="O144">
        <v>32.1</v>
      </c>
      <c r="P144">
        <v>99.99</v>
      </c>
    </row>
    <row r="145" spans="1:16" x14ac:dyDescent="0.3">
      <c r="A145">
        <v>90695</v>
      </c>
      <c r="B145">
        <v>105</v>
      </c>
      <c r="C145" t="s">
        <v>557</v>
      </c>
      <c r="D145" s="452">
        <v>46174</v>
      </c>
      <c r="E145">
        <v>27475</v>
      </c>
      <c r="F145" t="s">
        <v>5123</v>
      </c>
      <c r="G145">
        <v>7475</v>
      </c>
      <c r="H145">
        <v>6</v>
      </c>
      <c r="I145" t="s">
        <v>4736</v>
      </c>
      <c r="J145" t="s">
        <v>5191</v>
      </c>
      <c r="K145" t="s">
        <v>463</v>
      </c>
      <c r="L145">
        <v>16.440000000000001</v>
      </c>
      <c r="M145" s="452">
        <v>46153</v>
      </c>
      <c r="N145">
        <v>16.8</v>
      </c>
      <c r="O145">
        <v>16.899999999999999</v>
      </c>
      <c r="P145">
        <v>98.64</v>
      </c>
    </row>
    <row r="146" spans="1:16" x14ac:dyDescent="0.3">
      <c r="A146">
        <v>90498</v>
      </c>
      <c r="B146">
        <v>105</v>
      </c>
      <c r="C146" t="s">
        <v>557</v>
      </c>
      <c r="D146" s="452">
        <v>46174</v>
      </c>
      <c r="E146">
        <v>19505</v>
      </c>
      <c r="F146" t="s">
        <v>4872</v>
      </c>
      <c r="G146">
        <v>2706</v>
      </c>
      <c r="H146">
        <v>9.65</v>
      </c>
      <c r="I146" t="s">
        <v>4744</v>
      </c>
      <c r="J146" t="s">
        <v>5191</v>
      </c>
      <c r="K146" t="s">
        <v>463</v>
      </c>
      <c r="L146">
        <v>10.199999999999999</v>
      </c>
      <c r="M146" s="452">
        <v>46170</v>
      </c>
      <c r="N146">
        <v>11</v>
      </c>
      <c r="O146">
        <v>11</v>
      </c>
      <c r="P146">
        <v>98.43</v>
      </c>
    </row>
    <row r="147" spans="1:16" x14ac:dyDescent="0.3">
      <c r="A147">
        <v>90449</v>
      </c>
      <c r="B147">
        <v>105</v>
      </c>
      <c r="C147" t="s">
        <v>557</v>
      </c>
      <c r="D147" s="452">
        <v>46174</v>
      </c>
      <c r="E147">
        <v>18327</v>
      </c>
      <c r="F147" t="s">
        <v>5035</v>
      </c>
      <c r="G147">
        <v>3306</v>
      </c>
      <c r="H147">
        <v>1</v>
      </c>
      <c r="I147" t="s">
        <v>4805</v>
      </c>
      <c r="J147" t="s">
        <v>5222</v>
      </c>
      <c r="K147" t="s">
        <v>463</v>
      </c>
      <c r="L147">
        <v>98.24</v>
      </c>
      <c r="M147" s="452">
        <v>46147</v>
      </c>
      <c r="N147">
        <v>98.24</v>
      </c>
      <c r="O147">
        <v>97.92</v>
      </c>
      <c r="P147">
        <v>98.24</v>
      </c>
    </row>
    <row r="148" spans="1:16" x14ac:dyDescent="0.3">
      <c r="A148">
        <v>90648</v>
      </c>
      <c r="B148">
        <v>105</v>
      </c>
      <c r="C148" t="s">
        <v>557</v>
      </c>
      <c r="D148" s="452">
        <v>46174</v>
      </c>
      <c r="E148">
        <v>24509</v>
      </c>
      <c r="F148" t="s">
        <v>4788</v>
      </c>
      <c r="G148">
        <v>2607</v>
      </c>
      <c r="H148">
        <v>21.4</v>
      </c>
      <c r="I148" t="s">
        <v>4744</v>
      </c>
      <c r="J148" t="s">
        <v>5191</v>
      </c>
      <c r="K148" t="s">
        <v>463</v>
      </c>
      <c r="L148">
        <v>4.57</v>
      </c>
      <c r="M148" s="452">
        <v>46170</v>
      </c>
      <c r="N148">
        <v>4.55</v>
      </c>
      <c r="O148">
        <v>4.55</v>
      </c>
      <c r="P148">
        <v>97.8</v>
      </c>
    </row>
    <row r="149" spans="1:16" x14ac:dyDescent="0.3">
      <c r="A149">
        <v>90677</v>
      </c>
      <c r="B149">
        <v>105</v>
      </c>
      <c r="C149" t="s">
        <v>557</v>
      </c>
      <c r="D149" s="452">
        <v>46174</v>
      </c>
      <c r="E149">
        <v>25807</v>
      </c>
      <c r="F149" t="s">
        <v>4951</v>
      </c>
      <c r="G149">
        <v>6344</v>
      </c>
      <c r="H149">
        <v>0.56000000000000005</v>
      </c>
      <c r="I149" t="s">
        <v>4736</v>
      </c>
      <c r="J149" t="s">
        <v>5191</v>
      </c>
      <c r="K149" t="s">
        <v>463</v>
      </c>
      <c r="L149">
        <v>0</v>
      </c>
      <c r="M149" s="452">
        <v>46108</v>
      </c>
      <c r="N149">
        <v>173.99</v>
      </c>
      <c r="O149">
        <v>168.77</v>
      </c>
      <c r="P149">
        <v>97.43</v>
      </c>
    </row>
    <row r="150" spans="1:16" x14ac:dyDescent="0.3">
      <c r="A150">
        <v>90482</v>
      </c>
      <c r="B150">
        <v>105</v>
      </c>
      <c r="C150" t="s">
        <v>557</v>
      </c>
      <c r="D150" s="452">
        <v>46174</v>
      </c>
      <c r="E150">
        <v>19353</v>
      </c>
      <c r="F150" t="s">
        <v>4851</v>
      </c>
      <c r="G150">
        <v>2768</v>
      </c>
      <c r="H150">
        <v>3.8</v>
      </c>
      <c r="I150" t="s">
        <v>4744</v>
      </c>
      <c r="J150" t="s">
        <v>5191</v>
      </c>
      <c r="K150" t="s">
        <v>463</v>
      </c>
      <c r="L150">
        <v>25.56</v>
      </c>
      <c r="M150" s="452">
        <v>46171</v>
      </c>
      <c r="N150">
        <v>25.56</v>
      </c>
      <c r="O150">
        <v>25.56</v>
      </c>
      <c r="P150">
        <v>97.13</v>
      </c>
    </row>
    <row r="151" spans="1:16" x14ac:dyDescent="0.3">
      <c r="A151">
        <v>90565</v>
      </c>
      <c r="B151">
        <v>105</v>
      </c>
      <c r="C151" t="s">
        <v>557</v>
      </c>
      <c r="D151" s="452">
        <v>46174</v>
      </c>
      <c r="E151">
        <v>20365</v>
      </c>
      <c r="F151" t="s">
        <v>4796</v>
      </c>
      <c r="G151">
        <v>2199</v>
      </c>
      <c r="H151">
        <v>17.63</v>
      </c>
      <c r="I151" t="s">
        <v>4736</v>
      </c>
      <c r="J151" t="s">
        <v>5191</v>
      </c>
      <c r="K151" t="s">
        <v>463</v>
      </c>
      <c r="L151">
        <v>0</v>
      </c>
      <c r="M151" s="452">
        <v>46120</v>
      </c>
      <c r="N151">
        <v>5.29</v>
      </c>
      <c r="O151">
        <v>5.29</v>
      </c>
      <c r="P151">
        <v>93.26</v>
      </c>
    </row>
    <row r="152" spans="1:16" x14ac:dyDescent="0.3">
      <c r="A152">
        <v>90667</v>
      </c>
      <c r="B152">
        <v>105</v>
      </c>
      <c r="C152" t="s">
        <v>557</v>
      </c>
      <c r="D152" s="452">
        <v>46174</v>
      </c>
      <c r="E152">
        <v>25750</v>
      </c>
      <c r="F152" t="s">
        <v>4908</v>
      </c>
      <c r="G152">
        <v>6301</v>
      </c>
      <c r="H152">
        <v>1</v>
      </c>
      <c r="I152" t="s">
        <v>4736</v>
      </c>
      <c r="J152" t="s">
        <v>5191</v>
      </c>
      <c r="K152" t="s">
        <v>463</v>
      </c>
      <c r="L152">
        <v>0</v>
      </c>
      <c r="M152" s="452">
        <v>46113</v>
      </c>
      <c r="N152">
        <v>92.54</v>
      </c>
      <c r="O152">
        <v>92.54</v>
      </c>
      <c r="P152">
        <v>92.54</v>
      </c>
    </row>
    <row r="153" spans="1:16" x14ac:dyDescent="0.3">
      <c r="A153">
        <v>90460</v>
      </c>
      <c r="B153">
        <v>105</v>
      </c>
      <c r="C153" t="s">
        <v>557</v>
      </c>
      <c r="D153" s="452">
        <v>46174</v>
      </c>
      <c r="E153">
        <v>18545</v>
      </c>
      <c r="F153" t="s">
        <v>4864</v>
      </c>
      <c r="G153">
        <v>3134</v>
      </c>
      <c r="H153">
        <v>2</v>
      </c>
      <c r="I153" t="s">
        <v>4805</v>
      </c>
      <c r="J153" t="s">
        <v>5222</v>
      </c>
      <c r="K153" t="s">
        <v>463</v>
      </c>
      <c r="L153">
        <v>44.37</v>
      </c>
      <c r="M153" s="452">
        <v>46168</v>
      </c>
      <c r="N153">
        <v>44.5</v>
      </c>
      <c r="O153">
        <v>44.5</v>
      </c>
      <c r="P153">
        <v>88.74</v>
      </c>
    </row>
    <row r="154" spans="1:16" x14ac:dyDescent="0.3">
      <c r="A154">
        <v>90704</v>
      </c>
      <c r="B154">
        <v>105</v>
      </c>
      <c r="C154" t="s">
        <v>557</v>
      </c>
      <c r="D154" s="452">
        <v>46174</v>
      </c>
      <c r="E154">
        <v>29087</v>
      </c>
      <c r="F154" t="s">
        <v>5155</v>
      </c>
      <c r="G154">
        <v>9021</v>
      </c>
      <c r="H154">
        <v>0.79</v>
      </c>
      <c r="I154" t="s">
        <v>4736</v>
      </c>
      <c r="J154" t="s">
        <v>5191</v>
      </c>
      <c r="K154" t="s">
        <v>463</v>
      </c>
      <c r="L154">
        <v>0</v>
      </c>
      <c r="M154" s="452">
        <v>46113</v>
      </c>
      <c r="N154">
        <v>111.86</v>
      </c>
      <c r="O154">
        <v>111.86</v>
      </c>
      <c r="P154">
        <v>88.37</v>
      </c>
    </row>
    <row r="155" spans="1:16" x14ac:dyDescent="0.3">
      <c r="A155">
        <v>90689</v>
      </c>
      <c r="B155">
        <v>105</v>
      </c>
      <c r="C155" t="s">
        <v>557</v>
      </c>
      <c r="D155" s="452">
        <v>46174</v>
      </c>
      <c r="E155">
        <v>26210</v>
      </c>
      <c r="F155" t="s">
        <v>4975</v>
      </c>
      <c r="G155">
        <v>6624</v>
      </c>
      <c r="H155">
        <v>1.85</v>
      </c>
      <c r="I155" t="s">
        <v>4805</v>
      </c>
      <c r="J155" t="s">
        <v>5222</v>
      </c>
      <c r="K155" t="s">
        <v>463</v>
      </c>
      <c r="L155">
        <v>0</v>
      </c>
      <c r="M155" s="452">
        <v>46112</v>
      </c>
      <c r="N155">
        <v>47.6</v>
      </c>
      <c r="O155">
        <v>47.6</v>
      </c>
      <c r="P155">
        <v>88.06</v>
      </c>
    </row>
    <row r="156" spans="1:16" x14ac:dyDescent="0.3">
      <c r="A156">
        <v>90562</v>
      </c>
      <c r="B156">
        <v>105</v>
      </c>
      <c r="C156" t="s">
        <v>557</v>
      </c>
      <c r="D156" s="452">
        <v>46174</v>
      </c>
      <c r="E156">
        <v>20308</v>
      </c>
      <c r="F156" t="s">
        <v>4909</v>
      </c>
      <c r="G156">
        <v>2222</v>
      </c>
      <c r="H156">
        <v>2.5299999999999998</v>
      </c>
      <c r="I156" t="s">
        <v>4738</v>
      </c>
      <c r="J156" t="s">
        <v>5191</v>
      </c>
      <c r="K156" t="s">
        <v>463</v>
      </c>
      <c r="L156">
        <v>0</v>
      </c>
      <c r="M156" s="452">
        <v>45831</v>
      </c>
      <c r="N156">
        <v>33.799999999999997</v>
      </c>
      <c r="O156">
        <v>24.9</v>
      </c>
      <c r="P156">
        <v>85.51</v>
      </c>
    </row>
    <row r="157" spans="1:16" x14ac:dyDescent="0.3">
      <c r="A157">
        <v>90673</v>
      </c>
      <c r="B157">
        <v>105</v>
      </c>
      <c r="C157" t="s">
        <v>557</v>
      </c>
      <c r="D157" s="452">
        <v>46174</v>
      </c>
      <c r="E157">
        <v>25758</v>
      </c>
      <c r="F157" t="s">
        <v>4775</v>
      </c>
      <c r="G157">
        <v>9066</v>
      </c>
      <c r="H157">
        <v>11</v>
      </c>
      <c r="I157" t="s">
        <v>4736</v>
      </c>
      <c r="J157" t="s">
        <v>5191</v>
      </c>
      <c r="K157" t="s">
        <v>463</v>
      </c>
      <c r="L157">
        <v>0</v>
      </c>
      <c r="M157" s="452">
        <v>46113</v>
      </c>
      <c r="N157">
        <v>7.65</v>
      </c>
      <c r="O157">
        <v>7.65</v>
      </c>
      <c r="P157">
        <v>84.15</v>
      </c>
    </row>
    <row r="158" spans="1:16" x14ac:dyDescent="0.3">
      <c r="A158">
        <v>90522</v>
      </c>
      <c r="B158">
        <v>105</v>
      </c>
      <c r="C158" t="s">
        <v>557</v>
      </c>
      <c r="D158" s="452">
        <v>46174</v>
      </c>
      <c r="E158">
        <v>19649</v>
      </c>
      <c r="F158" t="s">
        <v>4859</v>
      </c>
      <c r="G158">
        <v>2589</v>
      </c>
      <c r="H158">
        <v>3</v>
      </c>
      <c r="I158" t="s">
        <v>4744</v>
      </c>
      <c r="J158" t="s">
        <v>5191</v>
      </c>
      <c r="K158" t="s">
        <v>463</v>
      </c>
      <c r="L158">
        <v>0</v>
      </c>
      <c r="M158" s="452">
        <v>45820</v>
      </c>
      <c r="N158">
        <v>27.9</v>
      </c>
      <c r="O158">
        <v>23.5</v>
      </c>
      <c r="P158">
        <v>83.7</v>
      </c>
    </row>
    <row r="159" spans="1:16" x14ac:dyDescent="0.3">
      <c r="A159">
        <v>90500</v>
      </c>
      <c r="B159">
        <v>105</v>
      </c>
      <c r="C159" t="s">
        <v>557</v>
      </c>
      <c r="D159" s="452">
        <v>46174</v>
      </c>
      <c r="E159">
        <v>19507</v>
      </c>
      <c r="F159" t="s">
        <v>4853</v>
      </c>
      <c r="G159">
        <v>2704</v>
      </c>
      <c r="H159">
        <v>5.45</v>
      </c>
      <c r="I159" t="s">
        <v>4744</v>
      </c>
      <c r="J159" t="s">
        <v>5191</v>
      </c>
      <c r="K159" t="s">
        <v>463</v>
      </c>
      <c r="L159">
        <v>15.32</v>
      </c>
      <c r="M159" s="452">
        <v>46170</v>
      </c>
      <c r="N159">
        <v>16.239999999999998</v>
      </c>
      <c r="O159">
        <v>16.239999999999998</v>
      </c>
      <c r="P159">
        <v>83.49</v>
      </c>
    </row>
    <row r="160" spans="1:16" x14ac:dyDescent="0.3">
      <c r="A160">
        <v>90450</v>
      </c>
      <c r="B160">
        <v>105</v>
      </c>
      <c r="C160" t="s">
        <v>557</v>
      </c>
      <c r="D160" s="452">
        <v>46174</v>
      </c>
      <c r="E160">
        <v>18339</v>
      </c>
      <c r="F160" t="s">
        <v>5033</v>
      </c>
      <c r="G160">
        <v>3296</v>
      </c>
      <c r="H160">
        <v>1.42</v>
      </c>
      <c r="I160" t="s">
        <v>4805</v>
      </c>
      <c r="J160" t="s">
        <v>5222</v>
      </c>
      <c r="K160" t="s">
        <v>463</v>
      </c>
      <c r="L160">
        <v>0</v>
      </c>
      <c r="N160">
        <v>0</v>
      </c>
      <c r="O160">
        <v>60.45</v>
      </c>
      <c r="P160">
        <v>80.27</v>
      </c>
    </row>
    <row r="161" spans="1:16" x14ac:dyDescent="0.3">
      <c r="A161">
        <v>90492</v>
      </c>
      <c r="B161">
        <v>105</v>
      </c>
      <c r="C161" t="s">
        <v>557</v>
      </c>
      <c r="D161" s="452">
        <v>46174</v>
      </c>
      <c r="E161">
        <v>19476</v>
      </c>
      <c r="F161" t="s">
        <v>5115</v>
      </c>
      <c r="G161">
        <v>2729</v>
      </c>
      <c r="H161">
        <v>1.3</v>
      </c>
      <c r="I161" t="s">
        <v>4744</v>
      </c>
      <c r="J161" t="s">
        <v>5191</v>
      </c>
      <c r="K161" t="s">
        <v>463</v>
      </c>
      <c r="L161">
        <v>61.68</v>
      </c>
      <c r="M161" s="452">
        <v>46170</v>
      </c>
      <c r="N161">
        <v>50.05</v>
      </c>
      <c r="O161">
        <v>50</v>
      </c>
      <c r="P161">
        <v>80.180000000000007</v>
      </c>
    </row>
    <row r="162" spans="1:16" x14ac:dyDescent="0.3">
      <c r="A162">
        <v>90699</v>
      </c>
      <c r="B162">
        <v>105</v>
      </c>
      <c r="C162" t="s">
        <v>557</v>
      </c>
      <c r="D162" s="452">
        <v>46174</v>
      </c>
      <c r="E162">
        <v>29081</v>
      </c>
      <c r="F162" t="s">
        <v>5152</v>
      </c>
      <c r="G162">
        <v>9015</v>
      </c>
      <c r="H162">
        <v>1</v>
      </c>
      <c r="I162" t="s">
        <v>4749</v>
      </c>
      <c r="J162" t="s">
        <v>5191</v>
      </c>
      <c r="K162" t="s">
        <v>463</v>
      </c>
      <c r="L162">
        <v>0</v>
      </c>
      <c r="M162" s="452">
        <v>46113</v>
      </c>
      <c r="N162">
        <v>79.099999999999994</v>
      </c>
      <c r="O162">
        <v>79.099999999999994</v>
      </c>
      <c r="P162">
        <v>79.099999999999994</v>
      </c>
    </row>
    <row r="163" spans="1:16" x14ac:dyDescent="0.3">
      <c r="A163">
        <v>90618</v>
      </c>
      <c r="B163">
        <v>105</v>
      </c>
      <c r="C163" t="s">
        <v>557</v>
      </c>
      <c r="D163" s="452">
        <v>46174</v>
      </c>
      <c r="E163">
        <v>23494</v>
      </c>
      <c r="F163" t="s">
        <v>4991</v>
      </c>
      <c r="G163">
        <v>2375</v>
      </c>
      <c r="H163">
        <v>1</v>
      </c>
      <c r="I163" t="s">
        <v>4744</v>
      </c>
      <c r="J163" t="s">
        <v>5191</v>
      </c>
      <c r="K163" t="s">
        <v>463</v>
      </c>
      <c r="L163">
        <v>0</v>
      </c>
      <c r="M163" s="452">
        <v>46134</v>
      </c>
      <c r="N163">
        <v>78</v>
      </c>
      <c r="O163">
        <v>78</v>
      </c>
      <c r="P163">
        <v>78</v>
      </c>
    </row>
    <row r="164" spans="1:16" x14ac:dyDescent="0.3">
      <c r="A164">
        <v>90453</v>
      </c>
      <c r="B164">
        <v>105</v>
      </c>
      <c r="C164" t="s">
        <v>557</v>
      </c>
      <c r="D164" s="452">
        <v>46174</v>
      </c>
      <c r="E164">
        <v>18423</v>
      </c>
      <c r="F164" t="s">
        <v>4987</v>
      </c>
      <c r="G164">
        <v>3220</v>
      </c>
      <c r="H164">
        <v>2</v>
      </c>
      <c r="I164" t="s">
        <v>4805</v>
      </c>
      <c r="J164" t="s">
        <v>5222</v>
      </c>
      <c r="K164" t="s">
        <v>463</v>
      </c>
      <c r="L164">
        <v>38.72</v>
      </c>
      <c r="M164" s="452">
        <v>46161</v>
      </c>
      <c r="N164">
        <v>41</v>
      </c>
      <c r="O164">
        <v>41</v>
      </c>
      <c r="P164">
        <v>77.44</v>
      </c>
    </row>
    <row r="165" spans="1:16" x14ac:dyDescent="0.3">
      <c r="A165">
        <v>90654</v>
      </c>
      <c r="B165">
        <v>105</v>
      </c>
      <c r="C165" t="s">
        <v>557</v>
      </c>
      <c r="D165" s="452">
        <v>46174</v>
      </c>
      <c r="E165">
        <v>24690</v>
      </c>
      <c r="F165" t="s">
        <v>5168</v>
      </c>
      <c r="G165">
        <v>5716</v>
      </c>
      <c r="H165">
        <v>4</v>
      </c>
      <c r="I165" t="s">
        <v>4749</v>
      </c>
      <c r="J165" t="s">
        <v>5222</v>
      </c>
      <c r="K165" t="s">
        <v>463</v>
      </c>
      <c r="L165">
        <v>18.75</v>
      </c>
      <c r="M165" s="452">
        <v>46153</v>
      </c>
      <c r="N165">
        <v>18.75</v>
      </c>
      <c r="O165">
        <v>18.75</v>
      </c>
      <c r="P165">
        <v>75</v>
      </c>
    </row>
    <row r="166" spans="1:16" x14ac:dyDescent="0.3">
      <c r="A166">
        <v>90519</v>
      </c>
      <c r="B166">
        <v>105</v>
      </c>
      <c r="C166" t="s">
        <v>557</v>
      </c>
      <c r="D166" s="452">
        <v>46174</v>
      </c>
      <c r="E166">
        <v>19635</v>
      </c>
      <c r="F166" t="s">
        <v>4786</v>
      </c>
      <c r="G166">
        <v>2601</v>
      </c>
      <c r="H166">
        <v>15.46</v>
      </c>
      <c r="I166" t="s">
        <v>4744</v>
      </c>
      <c r="J166" t="s">
        <v>5191</v>
      </c>
      <c r="K166" t="s">
        <v>463</v>
      </c>
      <c r="L166">
        <v>4.8099999999999996</v>
      </c>
      <c r="M166" s="452">
        <v>46170</v>
      </c>
      <c r="N166">
        <v>4.5</v>
      </c>
      <c r="O166">
        <v>4.22</v>
      </c>
      <c r="P166">
        <v>74.36</v>
      </c>
    </row>
    <row r="167" spans="1:16" x14ac:dyDescent="0.3">
      <c r="A167">
        <v>90630</v>
      </c>
      <c r="B167">
        <v>105</v>
      </c>
      <c r="C167" t="s">
        <v>557</v>
      </c>
      <c r="D167" s="452">
        <v>46174</v>
      </c>
      <c r="E167">
        <v>23934</v>
      </c>
      <c r="F167" t="s">
        <v>4845</v>
      </c>
      <c r="G167">
        <v>1965</v>
      </c>
      <c r="H167">
        <v>6.8</v>
      </c>
      <c r="I167" t="s">
        <v>4744</v>
      </c>
      <c r="J167" t="s">
        <v>5191</v>
      </c>
      <c r="K167" t="s">
        <v>463</v>
      </c>
      <c r="L167">
        <v>0</v>
      </c>
      <c r="M167" s="452">
        <v>46142</v>
      </c>
      <c r="N167">
        <v>10.9</v>
      </c>
      <c r="O167">
        <v>10.9</v>
      </c>
      <c r="P167">
        <v>74.12</v>
      </c>
    </row>
    <row r="168" spans="1:16" x14ac:dyDescent="0.3">
      <c r="A168">
        <v>90476</v>
      </c>
      <c r="B168">
        <v>105</v>
      </c>
      <c r="C168" t="s">
        <v>557</v>
      </c>
      <c r="D168" s="452">
        <v>46174</v>
      </c>
      <c r="E168">
        <v>19130</v>
      </c>
      <c r="F168" t="s">
        <v>4990</v>
      </c>
      <c r="G168">
        <v>2839</v>
      </c>
      <c r="H168">
        <v>3.28</v>
      </c>
      <c r="I168" t="s">
        <v>4744</v>
      </c>
      <c r="J168" t="s">
        <v>5191</v>
      </c>
      <c r="K168" t="s">
        <v>463</v>
      </c>
      <c r="L168">
        <v>0</v>
      </c>
      <c r="N168">
        <v>0</v>
      </c>
      <c r="O168">
        <v>22.5</v>
      </c>
      <c r="P168">
        <v>73.790000000000006</v>
      </c>
    </row>
    <row r="169" spans="1:16" x14ac:dyDescent="0.3">
      <c r="A169">
        <v>90518</v>
      </c>
      <c r="B169">
        <v>105</v>
      </c>
      <c r="C169" t="s">
        <v>557</v>
      </c>
      <c r="D169" s="452">
        <v>46174</v>
      </c>
      <c r="E169">
        <v>19634</v>
      </c>
      <c r="F169" t="s">
        <v>4792</v>
      </c>
      <c r="G169">
        <v>2602</v>
      </c>
      <c r="H169">
        <v>9.42</v>
      </c>
      <c r="I169" t="s">
        <v>4744</v>
      </c>
      <c r="J169" t="s">
        <v>5191</v>
      </c>
      <c r="K169" t="s">
        <v>463</v>
      </c>
      <c r="L169">
        <v>7.8</v>
      </c>
      <c r="M169" s="452">
        <v>46170</v>
      </c>
      <c r="N169">
        <v>8</v>
      </c>
      <c r="O169">
        <v>7.89</v>
      </c>
      <c r="P169">
        <v>73.48</v>
      </c>
    </row>
    <row r="170" spans="1:16" x14ac:dyDescent="0.3">
      <c r="A170">
        <v>90468</v>
      </c>
      <c r="B170">
        <v>105</v>
      </c>
      <c r="C170" t="s">
        <v>557</v>
      </c>
      <c r="D170" s="452">
        <v>46174</v>
      </c>
      <c r="E170">
        <v>18731</v>
      </c>
      <c r="F170" t="s">
        <v>4832</v>
      </c>
      <c r="G170">
        <v>3020</v>
      </c>
      <c r="H170">
        <v>1</v>
      </c>
      <c r="I170" t="s">
        <v>4744</v>
      </c>
      <c r="J170" t="s">
        <v>5191</v>
      </c>
      <c r="K170" t="s">
        <v>463</v>
      </c>
      <c r="L170">
        <v>0</v>
      </c>
      <c r="M170" s="452">
        <v>46076</v>
      </c>
      <c r="N170">
        <v>72</v>
      </c>
      <c r="O170">
        <v>60</v>
      </c>
      <c r="P170">
        <v>72</v>
      </c>
    </row>
    <row r="171" spans="1:16" x14ac:dyDescent="0.3">
      <c r="A171">
        <v>90577</v>
      </c>
      <c r="B171">
        <v>105</v>
      </c>
      <c r="C171" t="s">
        <v>557</v>
      </c>
      <c r="D171" s="452">
        <v>46174</v>
      </c>
      <c r="E171">
        <v>20689</v>
      </c>
      <c r="F171" t="s">
        <v>5007</v>
      </c>
      <c r="G171">
        <v>2105</v>
      </c>
      <c r="H171">
        <v>2.2200000000000002</v>
      </c>
      <c r="I171" t="s">
        <v>4736</v>
      </c>
      <c r="J171" t="s">
        <v>5191</v>
      </c>
      <c r="K171" t="s">
        <v>463</v>
      </c>
      <c r="L171">
        <v>31.96</v>
      </c>
      <c r="M171" s="452">
        <v>46167</v>
      </c>
      <c r="N171">
        <v>32.4</v>
      </c>
      <c r="O171">
        <v>32</v>
      </c>
      <c r="P171">
        <v>70.95</v>
      </c>
    </row>
    <row r="172" spans="1:16" x14ac:dyDescent="0.3">
      <c r="A172">
        <v>90573</v>
      </c>
      <c r="B172">
        <v>105</v>
      </c>
      <c r="C172" t="s">
        <v>557</v>
      </c>
      <c r="D172" s="452">
        <v>46174</v>
      </c>
      <c r="E172">
        <v>20624</v>
      </c>
      <c r="F172" t="s">
        <v>5019</v>
      </c>
      <c r="G172">
        <v>2116</v>
      </c>
      <c r="H172">
        <v>1</v>
      </c>
      <c r="I172" t="s">
        <v>4884</v>
      </c>
      <c r="J172" t="s">
        <v>5191</v>
      </c>
      <c r="K172" t="s">
        <v>463</v>
      </c>
      <c r="L172">
        <v>70.900000000000006</v>
      </c>
      <c r="M172" s="452">
        <v>46160</v>
      </c>
      <c r="N172">
        <v>70.900000000000006</v>
      </c>
      <c r="O172">
        <v>70.900000000000006</v>
      </c>
      <c r="P172">
        <v>70.900000000000006</v>
      </c>
    </row>
    <row r="173" spans="1:16" x14ac:dyDescent="0.3">
      <c r="A173">
        <v>90703</v>
      </c>
      <c r="B173">
        <v>105</v>
      </c>
      <c r="C173" t="s">
        <v>557</v>
      </c>
      <c r="D173" s="452">
        <v>46174</v>
      </c>
      <c r="E173">
        <v>29086</v>
      </c>
      <c r="F173" t="s">
        <v>5172</v>
      </c>
      <c r="G173">
        <v>9020</v>
      </c>
      <c r="H173">
        <v>9</v>
      </c>
      <c r="I173" t="s">
        <v>4736</v>
      </c>
      <c r="J173" t="s">
        <v>5191</v>
      </c>
      <c r="K173" t="s">
        <v>463</v>
      </c>
      <c r="L173">
        <v>0</v>
      </c>
      <c r="N173">
        <v>0</v>
      </c>
      <c r="O173">
        <v>0</v>
      </c>
      <c r="P173">
        <v>68.849999999999994</v>
      </c>
    </row>
    <row r="174" spans="1:16" x14ac:dyDescent="0.3">
      <c r="A174">
        <v>90628</v>
      </c>
      <c r="B174">
        <v>105</v>
      </c>
      <c r="C174" t="s">
        <v>557</v>
      </c>
      <c r="D174" s="452">
        <v>46174</v>
      </c>
      <c r="E174">
        <v>23819</v>
      </c>
      <c r="F174" t="s">
        <v>4947</v>
      </c>
      <c r="G174">
        <v>2083</v>
      </c>
      <c r="H174">
        <v>7.5</v>
      </c>
      <c r="I174" t="s">
        <v>4736</v>
      </c>
      <c r="J174" t="s">
        <v>5191</v>
      </c>
      <c r="K174" t="s">
        <v>463</v>
      </c>
      <c r="L174">
        <v>9.16</v>
      </c>
      <c r="M174" s="452">
        <v>46153</v>
      </c>
      <c r="N174">
        <v>9.16</v>
      </c>
      <c r="O174">
        <v>9.16</v>
      </c>
      <c r="P174">
        <v>68.7</v>
      </c>
    </row>
    <row r="175" spans="1:16" x14ac:dyDescent="0.3">
      <c r="A175">
        <v>90702</v>
      </c>
      <c r="B175">
        <v>105</v>
      </c>
      <c r="C175" t="s">
        <v>557</v>
      </c>
      <c r="D175" s="452">
        <v>46174</v>
      </c>
      <c r="E175">
        <v>29084</v>
      </c>
      <c r="F175" t="s">
        <v>5154</v>
      </c>
      <c r="G175">
        <v>9018</v>
      </c>
      <c r="H175">
        <v>0.5</v>
      </c>
      <c r="I175" t="s">
        <v>4736</v>
      </c>
      <c r="J175" t="s">
        <v>5191</v>
      </c>
      <c r="K175" t="s">
        <v>463</v>
      </c>
      <c r="L175">
        <v>0</v>
      </c>
      <c r="M175" s="452">
        <v>46113</v>
      </c>
      <c r="N175">
        <v>132.12</v>
      </c>
      <c r="O175">
        <v>132.12</v>
      </c>
      <c r="P175">
        <v>66.06</v>
      </c>
    </row>
    <row r="176" spans="1:16" x14ac:dyDescent="0.3">
      <c r="A176">
        <v>90584</v>
      </c>
      <c r="B176">
        <v>105</v>
      </c>
      <c r="C176" t="s">
        <v>557</v>
      </c>
      <c r="D176" s="452">
        <v>46174</v>
      </c>
      <c r="E176">
        <v>20928</v>
      </c>
      <c r="F176" t="s">
        <v>4950</v>
      </c>
      <c r="G176">
        <v>2033</v>
      </c>
      <c r="H176">
        <v>0.35</v>
      </c>
      <c r="I176" t="s">
        <v>4736</v>
      </c>
      <c r="J176" t="s">
        <v>5191</v>
      </c>
      <c r="K176" t="s">
        <v>463</v>
      </c>
      <c r="L176">
        <v>0</v>
      </c>
      <c r="M176" s="452">
        <v>46108</v>
      </c>
      <c r="N176">
        <v>183.59</v>
      </c>
      <c r="O176">
        <v>204.13</v>
      </c>
      <c r="P176">
        <v>64.260000000000005</v>
      </c>
    </row>
    <row r="177" spans="1:16" x14ac:dyDescent="0.3">
      <c r="A177">
        <v>90556</v>
      </c>
      <c r="B177">
        <v>105</v>
      </c>
      <c r="C177" t="s">
        <v>557</v>
      </c>
      <c r="D177" s="452">
        <v>46174</v>
      </c>
      <c r="E177">
        <v>20213</v>
      </c>
      <c r="F177" t="s">
        <v>5160</v>
      </c>
      <c r="G177">
        <v>2251</v>
      </c>
      <c r="H177">
        <v>2</v>
      </c>
      <c r="I177" t="s">
        <v>4738</v>
      </c>
      <c r="J177" t="s">
        <v>5191</v>
      </c>
      <c r="K177" t="s">
        <v>463</v>
      </c>
      <c r="L177">
        <v>0</v>
      </c>
      <c r="M177" s="452">
        <v>46120</v>
      </c>
      <c r="N177">
        <v>31.6</v>
      </c>
      <c r="O177">
        <v>32.94</v>
      </c>
      <c r="P177">
        <v>63.2</v>
      </c>
    </row>
    <row r="178" spans="1:16" x14ac:dyDescent="0.3">
      <c r="A178">
        <v>90659</v>
      </c>
      <c r="B178">
        <v>105</v>
      </c>
      <c r="C178" t="s">
        <v>557</v>
      </c>
      <c r="D178" s="452">
        <v>46174</v>
      </c>
      <c r="E178">
        <v>25075</v>
      </c>
      <c r="F178" t="s">
        <v>4790</v>
      </c>
      <c r="G178">
        <v>5883</v>
      </c>
      <c r="H178">
        <v>9</v>
      </c>
      <c r="I178" t="s">
        <v>4738</v>
      </c>
      <c r="J178" t="s">
        <v>5191</v>
      </c>
      <c r="K178" t="s">
        <v>463</v>
      </c>
      <c r="L178">
        <v>6.87</v>
      </c>
      <c r="M178" s="452">
        <v>46154</v>
      </c>
      <c r="N178">
        <v>5.9</v>
      </c>
      <c r="O178">
        <v>7.77</v>
      </c>
      <c r="P178">
        <v>61.83</v>
      </c>
    </row>
    <row r="179" spans="1:16" x14ac:dyDescent="0.3">
      <c r="A179">
        <v>90503</v>
      </c>
      <c r="B179">
        <v>105</v>
      </c>
      <c r="C179" t="s">
        <v>557</v>
      </c>
      <c r="D179" s="452">
        <v>46174</v>
      </c>
      <c r="E179">
        <v>19551</v>
      </c>
      <c r="F179" t="s">
        <v>4905</v>
      </c>
      <c r="G179">
        <v>2665</v>
      </c>
      <c r="H179">
        <v>3.51</v>
      </c>
      <c r="I179" t="s">
        <v>4744</v>
      </c>
      <c r="J179" t="s">
        <v>5191</v>
      </c>
      <c r="K179" t="s">
        <v>463</v>
      </c>
      <c r="L179">
        <v>17.45</v>
      </c>
      <c r="M179" s="452">
        <v>46167</v>
      </c>
      <c r="N179">
        <v>17.760000000000002</v>
      </c>
      <c r="O179">
        <v>17.760000000000002</v>
      </c>
      <c r="P179">
        <v>61.25</v>
      </c>
    </row>
    <row r="180" spans="1:16" x14ac:dyDescent="0.3">
      <c r="A180">
        <v>90425</v>
      </c>
      <c r="B180">
        <v>105</v>
      </c>
      <c r="C180" t="s">
        <v>557</v>
      </c>
      <c r="D180" s="452">
        <v>46174</v>
      </c>
      <c r="E180">
        <v>18085</v>
      </c>
      <c r="F180" t="s">
        <v>4973</v>
      </c>
      <c r="G180">
        <v>3524</v>
      </c>
      <c r="H180">
        <v>1.28</v>
      </c>
      <c r="I180" t="s">
        <v>4805</v>
      </c>
      <c r="J180" t="s">
        <v>5222</v>
      </c>
      <c r="K180" t="s">
        <v>463</v>
      </c>
      <c r="L180">
        <v>0</v>
      </c>
      <c r="M180" s="452">
        <v>46112</v>
      </c>
      <c r="N180">
        <v>47.6</v>
      </c>
      <c r="O180">
        <v>47.6</v>
      </c>
      <c r="P180">
        <v>60.93</v>
      </c>
    </row>
    <row r="181" spans="1:16" x14ac:dyDescent="0.3">
      <c r="A181">
        <v>90675</v>
      </c>
      <c r="B181">
        <v>105</v>
      </c>
      <c r="C181" t="s">
        <v>557</v>
      </c>
      <c r="D181" s="452">
        <v>46174</v>
      </c>
      <c r="E181">
        <v>25763</v>
      </c>
      <c r="F181" t="s">
        <v>4943</v>
      </c>
      <c r="G181">
        <v>6314</v>
      </c>
      <c r="H181">
        <v>0.5</v>
      </c>
      <c r="I181" t="s">
        <v>4736</v>
      </c>
      <c r="J181" t="s">
        <v>5191</v>
      </c>
      <c r="K181" t="s">
        <v>463</v>
      </c>
      <c r="L181">
        <v>0</v>
      </c>
      <c r="M181" s="452">
        <v>46113</v>
      </c>
      <c r="N181">
        <v>117.04</v>
      </c>
      <c r="O181">
        <v>117.04</v>
      </c>
      <c r="P181">
        <v>58.52</v>
      </c>
    </row>
    <row r="182" spans="1:16" x14ac:dyDescent="0.3">
      <c r="A182">
        <v>90597</v>
      </c>
      <c r="B182">
        <v>105</v>
      </c>
      <c r="C182" t="s">
        <v>557</v>
      </c>
      <c r="D182" s="452">
        <v>46174</v>
      </c>
      <c r="E182">
        <v>21257</v>
      </c>
      <c r="F182" t="s">
        <v>4952</v>
      </c>
      <c r="G182">
        <v>2187</v>
      </c>
      <c r="H182">
        <v>3</v>
      </c>
      <c r="I182" t="s">
        <v>4736</v>
      </c>
      <c r="J182" t="s">
        <v>5191</v>
      </c>
      <c r="K182" t="s">
        <v>463</v>
      </c>
      <c r="L182">
        <v>18.920000000000002</v>
      </c>
      <c r="M182" s="452">
        <v>46157</v>
      </c>
      <c r="N182">
        <v>18.95</v>
      </c>
      <c r="O182">
        <v>18.95</v>
      </c>
      <c r="P182">
        <v>56.76</v>
      </c>
    </row>
    <row r="183" spans="1:16" x14ac:dyDescent="0.3">
      <c r="A183">
        <v>90680</v>
      </c>
      <c r="B183">
        <v>105</v>
      </c>
      <c r="C183" t="s">
        <v>557</v>
      </c>
      <c r="D183" s="452">
        <v>46174</v>
      </c>
      <c r="E183">
        <v>26020</v>
      </c>
      <c r="F183" t="s">
        <v>5102</v>
      </c>
      <c r="G183">
        <v>2105</v>
      </c>
      <c r="H183">
        <v>4</v>
      </c>
      <c r="I183" t="s">
        <v>4736</v>
      </c>
      <c r="J183" t="s">
        <v>5191</v>
      </c>
      <c r="K183" t="s">
        <v>463</v>
      </c>
      <c r="L183">
        <v>13.95</v>
      </c>
      <c r="M183" s="452">
        <v>46148</v>
      </c>
      <c r="N183">
        <v>13.95</v>
      </c>
      <c r="O183">
        <v>13.95</v>
      </c>
      <c r="P183">
        <v>55.8</v>
      </c>
    </row>
    <row r="184" spans="1:16" x14ac:dyDescent="0.3">
      <c r="A184">
        <v>90524</v>
      </c>
      <c r="B184">
        <v>105</v>
      </c>
      <c r="C184" t="s">
        <v>557</v>
      </c>
      <c r="D184" s="452">
        <v>46174</v>
      </c>
      <c r="E184">
        <v>19654</v>
      </c>
      <c r="F184" t="s">
        <v>5099</v>
      </c>
      <c r="G184">
        <v>2586</v>
      </c>
      <c r="H184">
        <v>10.85</v>
      </c>
      <c r="I184" t="s">
        <v>4744</v>
      </c>
      <c r="J184" t="s">
        <v>5191</v>
      </c>
      <c r="K184" t="s">
        <v>463</v>
      </c>
      <c r="L184">
        <v>5.0599999999999996</v>
      </c>
      <c r="M184" s="452">
        <v>46170</v>
      </c>
      <c r="N184">
        <v>6.5</v>
      </c>
      <c r="O184">
        <v>6.5</v>
      </c>
      <c r="P184">
        <v>54.9</v>
      </c>
    </row>
    <row r="185" spans="1:16" x14ac:dyDescent="0.3">
      <c r="A185">
        <v>90424</v>
      </c>
      <c r="B185">
        <v>105</v>
      </c>
      <c r="C185" t="s">
        <v>557</v>
      </c>
      <c r="D185" s="452">
        <v>46174</v>
      </c>
      <c r="E185">
        <v>18073</v>
      </c>
      <c r="F185" t="s">
        <v>4974</v>
      </c>
      <c r="G185">
        <v>3536</v>
      </c>
      <c r="H185">
        <v>1.1399999999999999</v>
      </c>
      <c r="I185" t="s">
        <v>4805</v>
      </c>
      <c r="J185" t="s">
        <v>5222</v>
      </c>
      <c r="K185" t="s">
        <v>463</v>
      </c>
      <c r="L185">
        <v>0</v>
      </c>
      <c r="M185" s="452">
        <v>46098</v>
      </c>
      <c r="N185">
        <v>47.6</v>
      </c>
      <c r="O185">
        <v>47.6</v>
      </c>
      <c r="P185">
        <v>54.26</v>
      </c>
    </row>
    <row r="186" spans="1:16" x14ac:dyDescent="0.3">
      <c r="A186">
        <v>90670</v>
      </c>
      <c r="B186">
        <v>105</v>
      </c>
      <c r="C186" t="s">
        <v>557</v>
      </c>
      <c r="D186" s="452">
        <v>46174</v>
      </c>
      <c r="E186">
        <v>25754</v>
      </c>
      <c r="F186" t="s">
        <v>5142</v>
      </c>
      <c r="G186">
        <v>6305</v>
      </c>
      <c r="H186">
        <v>7</v>
      </c>
      <c r="I186" t="s">
        <v>4736</v>
      </c>
      <c r="J186" t="s">
        <v>5191</v>
      </c>
      <c r="K186" t="s">
        <v>463</v>
      </c>
      <c r="L186">
        <v>0</v>
      </c>
      <c r="M186" s="452">
        <v>45653</v>
      </c>
      <c r="N186">
        <v>7.73</v>
      </c>
      <c r="O186">
        <v>7.65</v>
      </c>
      <c r="P186">
        <v>54.11</v>
      </c>
    </row>
    <row r="187" spans="1:16" x14ac:dyDescent="0.3">
      <c r="A187">
        <v>90644</v>
      </c>
      <c r="B187">
        <v>105</v>
      </c>
      <c r="C187" t="s">
        <v>557</v>
      </c>
      <c r="D187" s="452">
        <v>46174</v>
      </c>
      <c r="E187">
        <v>24322</v>
      </c>
      <c r="F187" t="s">
        <v>5064</v>
      </c>
      <c r="G187">
        <v>2342</v>
      </c>
      <c r="H187">
        <v>2.44</v>
      </c>
      <c r="I187" t="s">
        <v>4744</v>
      </c>
      <c r="J187" t="s">
        <v>5191</v>
      </c>
      <c r="K187" t="s">
        <v>463</v>
      </c>
      <c r="L187">
        <v>22</v>
      </c>
      <c r="M187" s="452">
        <v>46157</v>
      </c>
      <c r="N187">
        <v>22</v>
      </c>
      <c r="O187">
        <v>22</v>
      </c>
      <c r="P187">
        <v>53.68</v>
      </c>
    </row>
    <row r="188" spans="1:16" x14ac:dyDescent="0.3">
      <c r="A188">
        <v>90633</v>
      </c>
      <c r="B188">
        <v>105</v>
      </c>
      <c r="C188" t="s">
        <v>557</v>
      </c>
      <c r="D188" s="452">
        <v>46174</v>
      </c>
      <c r="E188">
        <v>24099</v>
      </c>
      <c r="F188" t="s">
        <v>4933</v>
      </c>
      <c r="G188">
        <v>2716</v>
      </c>
      <c r="H188">
        <v>3.13</v>
      </c>
      <c r="I188" t="s">
        <v>4744</v>
      </c>
      <c r="J188" t="s">
        <v>5191</v>
      </c>
      <c r="K188" t="s">
        <v>463</v>
      </c>
      <c r="L188">
        <v>16.670000000000002</v>
      </c>
      <c r="M188" s="452">
        <v>46167</v>
      </c>
      <c r="N188">
        <v>20</v>
      </c>
      <c r="O188">
        <v>18</v>
      </c>
      <c r="P188">
        <v>52.18</v>
      </c>
    </row>
    <row r="189" spans="1:16" x14ac:dyDescent="0.3">
      <c r="A189">
        <v>90638</v>
      </c>
      <c r="B189">
        <v>105</v>
      </c>
      <c r="C189" t="s">
        <v>557</v>
      </c>
      <c r="D189" s="452">
        <v>46174</v>
      </c>
      <c r="E189">
        <v>24199</v>
      </c>
      <c r="F189" t="s">
        <v>4783</v>
      </c>
      <c r="G189">
        <v>5084</v>
      </c>
      <c r="H189">
        <v>2.58</v>
      </c>
      <c r="I189" t="s">
        <v>4744</v>
      </c>
      <c r="J189" t="s">
        <v>5191</v>
      </c>
      <c r="K189" t="s">
        <v>463</v>
      </c>
      <c r="L189">
        <v>19.989999999999998</v>
      </c>
      <c r="M189" s="452">
        <v>46147</v>
      </c>
      <c r="N189">
        <v>19.989999999999998</v>
      </c>
      <c r="O189">
        <v>19.989999999999998</v>
      </c>
      <c r="P189">
        <v>51.57</v>
      </c>
    </row>
    <row r="190" spans="1:16" x14ac:dyDescent="0.3">
      <c r="A190">
        <v>90559</v>
      </c>
      <c r="B190">
        <v>105</v>
      </c>
      <c r="C190" t="s">
        <v>557</v>
      </c>
      <c r="D190" s="452">
        <v>46174</v>
      </c>
      <c r="E190">
        <v>20242</v>
      </c>
      <c r="F190" t="s">
        <v>4824</v>
      </c>
      <c r="G190">
        <v>2242</v>
      </c>
      <c r="H190">
        <v>4</v>
      </c>
      <c r="I190" t="s">
        <v>4738</v>
      </c>
      <c r="J190" t="s">
        <v>5191</v>
      </c>
      <c r="K190" t="s">
        <v>463</v>
      </c>
      <c r="L190">
        <v>12.79</v>
      </c>
      <c r="M190" s="452">
        <v>46154</v>
      </c>
      <c r="N190">
        <v>19.190000000000001</v>
      </c>
      <c r="O190">
        <v>19.739999999999998</v>
      </c>
      <c r="P190">
        <v>51.16</v>
      </c>
    </row>
    <row r="191" spans="1:16" x14ac:dyDescent="0.3">
      <c r="A191">
        <v>90551</v>
      </c>
      <c r="B191">
        <v>105</v>
      </c>
      <c r="C191" t="s">
        <v>557</v>
      </c>
      <c r="D191" s="452">
        <v>46174</v>
      </c>
      <c r="E191">
        <v>20105</v>
      </c>
      <c r="F191" t="s">
        <v>4831</v>
      </c>
      <c r="G191">
        <v>2298</v>
      </c>
      <c r="H191">
        <v>2.5</v>
      </c>
      <c r="I191" t="s">
        <v>4744</v>
      </c>
      <c r="J191" t="s">
        <v>5191</v>
      </c>
      <c r="K191" t="s">
        <v>463</v>
      </c>
      <c r="L191">
        <v>20.440000000000001</v>
      </c>
      <c r="M191" s="452">
        <v>46160</v>
      </c>
      <c r="N191">
        <v>26</v>
      </c>
      <c r="O191">
        <v>26</v>
      </c>
      <c r="P191">
        <v>51.1</v>
      </c>
    </row>
    <row r="192" spans="1:16" x14ac:dyDescent="0.3">
      <c r="A192">
        <v>90541</v>
      </c>
      <c r="B192">
        <v>105</v>
      </c>
      <c r="C192" t="s">
        <v>557</v>
      </c>
      <c r="D192" s="452">
        <v>46174</v>
      </c>
      <c r="E192">
        <v>19917</v>
      </c>
      <c r="F192" t="s">
        <v>5131</v>
      </c>
      <c r="G192">
        <v>2379</v>
      </c>
      <c r="H192">
        <v>16.3</v>
      </c>
      <c r="I192" t="s">
        <v>4738</v>
      </c>
      <c r="J192" t="s">
        <v>5191</v>
      </c>
      <c r="K192" t="s">
        <v>463</v>
      </c>
      <c r="L192">
        <v>0</v>
      </c>
      <c r="M192" s="452">
        <v>45660</v>
      </c>
      <c r="N192">
        <v>3.09</v>
      </c>
      <c r="O192">
        <v>3.35</v>
      </c>
      <c r="P192">
        <v>50.37</v>
      </c>
    </row>
    <row r="193" spans="1:16" x14ac:dyDescent="0.3">
      <c r="A193">
        <v>90592</v>
      </c>
      <c r="B193">
        <v>105</v>
      </c>
      <c r="C193" t="s">
        <v>557</v>
      </c>
      <c r="D193" s="452">
        <v>46174</v>
      </c>
      <c r="E193">
        <v>21078</v>
      </c>
      <c r="F193" t="s">
        <v>5162</v>
      </c>
      <c r="G193">
        <v>1991</v>
      </c>
      <c r="H193">
        <v>1</v>
      </c>
      <c r="I193" t="s">
        <v>4749</v>
      </c>
      <c r="J193" t="s">
        <v>5191</v>
      </c>
      <c r="K193" t="s">
        <v>463</v>
      </c>
      <c r="L193">
        <v>0</v>
      </c>
      <c r="M193" s="452">
        <v>46126</v>
      </c>
      <c r="N193">
        <v>49.38</v>
      </c>
      <c r="O193">
        <v>52.41</v>
      </c>
      <c r="P193">
        <v>49.38</v>
      </c>
    </row>
    <row r="194" spans="1:16" x14ac:dyDescent="0.3">
      <c r="A194">
        <v>90510</v>
      </c>
      <c r="B194">
        <v>105</v>
      </c>
      <c r="C194" t="s">
        <v>557</v>
      </c>
      <c r="D194" s="452">
        <v>46174</v>
      </c>
      <c r="E194">
        <v>19577</v>
      </c>
      <c r="F194" t="s">
        <v>4984</v>
      </c>
      <c r="G194">
        <v>2641</v>
      </c>
      <c r="H194">
        <v>3.14</v>
      </c>
      <c r="I194" t="s">
        <v>4736</v>
      </c>
      <c r="J194" t="s">
        <v>5191</v>
      </c>
      <c r="K194" t="s">
        <v>463</v>
      </c>
      <c r="L194">
        <v>0</v>
      </c>
      <c r="M194" s="452">
        <v>45971</v>
      </c>
      <c r="N194">
        <v>15.6</v>
      </c>
      <c r="O194">
        <v>23.49</v>
      </c>
      <c r="P194">
        <v>48.98</v>
      </c>
    </row>
    <row r="195" spans="1:16" x14ac:dyDescent="0.3">
      <c r="A195">
        <v>90525</v>
      </c>
      <c r="B195">
        <v>105</v>
      </c>
      <c r="C195" t="s">
        <v>557</v>
      </c>
      <c r="D195" s="452">
        <v>46174</v>
      </c>
      <c r="E195">
        <v>19658</v>
      </c>
      <c r="F195" t="s">
        <v>4784</v>
      </c>
      <c r="G195">
        <v>2582</v>
      </c>
      <c r="H195">
        <v>13.3</v>
      </c>
      <c r="I195" t="s">
        <v>4744</v>
      </c>
      <c r="J195" t="s">
        <v>5191</v>
      </c>
      <c r="K195" t="s">
        <v>463</v>
      </c>
      <c r="L195">
        <v>3.63</v>
      </c>
      <c r="M195" s="452">
        <v>46169</v>
      </c>
      <c r="N195">
        <v>3.65</v>
      </c>
      <c r="O195">
        <v>3.55</v>
      </c>
      <c r="P195">
        <v>48.28</v>
      </c>
    </row>
    <row r="196" spans="1:16" x14ac:dyDescent="0.3">
      <c r="A196">
        <v>90442</v>
      </c>
      <c r="B196">
        <v>105</v>
      </c>
      <c r="C196" t="s">
        <v>557</v>
      </c>
      <c r="D196" s="452">
        <v>46174</v>
      </c>
      <c r="E196">
        <v>18273</v>
      </c>
      <c r="F196" t="s">
        <v>5058</v>
      </c>
      <c r="G196">
        <v>3357</v>
      </c>
      <c r="H196">
        <v>1.25</v>
      </c>
      <c r="I196" t="s">
        <v>4805</v>
      </c>
      <c r="J196" t="s">
        <v>5222</v>
      </c>
      <c r="K196" t="s">
        <v>463</v>
      </c>
      <c r="L196">
        <v>37.21</v>
      </c>
      <c r="M196" s="452">
        <v>46163</v>
      </c>
      <c r="N196">
        <v>37.21</v>
      </c>
      <c r="O196">
        <v>37.21</v>
      </c>
      <c r="P196">
        <v>46.51</v>
      </c>
    </row>
    <row r="197" spans="1:16" x14ac:dyDescent="0.3">
      <c r="A197">
        <v>90564</v>
      </c>
      <c r="B197">
        <v>105</v>
      </c>
      <c r="C197" t="s">
        <v>557</v>
      </c>
      <c r="D197" s="452">
        <v>46174</v>
      </c>
      <c r="E197">
        <v>20358</v>
      </c>
      <c r="F197" t="s">
        <v>4911</v>
      </c>
      <c r="G197">
        <v>2200</v>
      </c>
      <c r="H197">
        <v>3.17</v>
      </c>
      <c r="I197" t="s">
        <v>4738</v>
      </c>
      <c r="J197" t="s">
        <v>5191</v>
      </c>
      <c r="K197" t="s">
        <v>463</v>
      </c>
      <c r="L197">
        <v>14.53</v>
      </c>
      <c r="M197" s="452">
        <v>46157</v>
      </c>
      <c r="N197">
        <v>14.96</v>
      </c>
      <c r="O197">
        <v>14.25</v>
      </c>
      <c r="P197">
        <v>46.06</v>
      </c>
    </row>
    <row r="198" spans="1:16" x14ac:dyDescent="0.3">
      <c r="A198">
        <v>90496</v>
      </c>
      <c r="B198">
        <v>105</v>
      </c>
      <c r="C198" t="s">
        <v>557</v>
      </c>
      <c r="D198" s="452">
        <v>46174</v>
      </c>
      <c r="E198">
        <v>19492</v>
      </c>
      <c r="F198" t="s">
        <v>4937</v>
      </c>
      <c r="G198">
        <v>2717</v>
      </c>
      <c r="H198">
        <v>2.1</v>
      </c>
      <c r="I198" t="s">
        <v>4744</v>
      </c>
      <c r="J198" t="s">
        <v>5191</v>
      </c>
      <c r="K198" t="s">
        <v>463</v>
      </c>
      <c r="L198">
        <v>21.62</v>
      </c>
      <c r="M198" s="452">
        <v>46170</v>
      </c>
      <c r="N198">
        <v>21.45</v>
      </c>
      <c r="O198">
        <v>20</v>
      </c>
      <c r="P198">
        <v>45.4</v>
      </c>
    </row>
    <row r="199" spans="1:16" x14ac:dyDescent="0.3">
      <c r="A199">
        <v>90655</v>
      </c>
      <c r="B199">
        <v>105</v>
      </c>
      <c r="C199" t="s">
        <v>557</v>
      </c>
      <c r="D199" s="452">
        <v>46174</v>
      </c>
      <c r="E199">
        <v>24973</v>
      </c>
      <c r="F199" t="s">
        <v>4819</v>
      </c>
      <c r="G199">
        <v>5845</v>
      </c>
      <c r="H199">
        <v>0.66</v>
      </c>
      <c r="I199" t="s">
        <v>4738</v>
      </c>
      <c r="J199" t="s">
        <v>5222</v>
      </c>
      <c r="K199" t="s">
        <v>463</v>
      </c>
      <c r="L199">
        <v>0</v>
      </c>
      <c r="M199" s="452">
        <v>46142</v>
      </c>
      <c r="N199">
        <v>68.790000000000006</v>
      </c>
      <c r="O199">
        <v>68.790000000000006</v>
      </c>
      <c r="P199">
        <v>45.4</v>
      </c>
    </row>
    <row r="200" spans="1:16" x14ac:dyDescent="0.3">
      <c r="A200">
        <v>90598</v>
      </c>
      <c r="B200">
        <v>105</v>
      </c>
      <c r="C200" t="s">
        <v>557</v>
      </c>
      <c r="D200" s="452">
        <v>46174</v>
      </c>
      <c r="E200">
        <v>22721</v>
      </c>
      <c r="F200" t="s">
        <v>4803</v>
      </c>
      <c r="G200">
        <v>3033</v>
      </c>
      <c r="H200">
        <v>1.53</v>
      </c>
      <c r="I200" t="s">
        <v>4744</v>
      </c>
      <c r="J200" t="s">
        <v>5191</v>
      </c>
      <c r="K200" t="s">
        <v>463</v>
      </c>
      <c r="L200">
        <v>29.5</v>
      </c>
      <c r="M200" s="452">
        <v>46146</v>
      </c>
      <c r="N200">
        <v>29.5</v>
      </c>
      <c r="O200">
        <v>29.5</v>
      </c>
      <c r="P200">
        <v>45.14</v>
      </c>
    </row>
    <row r="201" spans="1:16" x14ac:dyDescent="0.3">
      <c r="A201">
        <v>90593</v>
      </c>
      <c r="B201">
        <v>105</v>
      </c>
      <c r="C201" t="s">
        <v>557</v>
      </c>
      <c r="D201" s="452">
        <v>46174</v>
      </c>
      <c r="E201">
        <v>21085</v>
      </c>
      <c r="F201" t="s">
        <v>5066</v>
      </c>
      <c r="G201">
        <v>1989</v>
      </c>
      <c r="H201">
        <v>1</v>
      </c>
      <c r="I201" t="s">
        <v>4749</v>
      </c>
      <c r="J201" t="s">
        <v>5191</v>
      </c>
      <c r="K201" t="s">
        <v>463</v>
      </c>
      <c r="L201">
        <v>0</v>
      </c>
      <c r="M201" s="452">
        <v>46127</v>
      </c>
      <c r="N201">
        <v>44.75</v>
      </c>
      <c r="O201">
        <v>51.14</v>
      </c>
      <c r="P201">
        <v>44.75</v>
      </c>
    </row>
    <row r="202" spans="1:16" x14ac:dyDescent="0.3">
      <c r="A202">
        <v>90585</v>
      </c>
      <c r="B202">
        <v>105</v>
      </c>
      <c r="C202" t="s">
        <v>557</v>
      </c>
      <c r="D202" s="452">
        <v>46174</v>
      </c>
      <c r="E202">
        <v>20955</v>
      </c>
      <c r="F202" t="s">
        <v>4959</v>
      </c>
      <c r="G202">
        <v>2019</v>
      </c>
      <c r="H202">
        <v>4</v>
      </c>
      <c r="I202" t="s">
        <v>4805</v>
      </c>
      <c r="J202" t="s">
        <v>5191</v>
      </c>
      <c r="K202" t="s">
        <v>463</v>
      </c>
      <c r="L202">
        <v>0</v>
      </c>
      <c r="M202" s="452">
        <v>46126</v>
      </c>
      <c r="N202">
        <v>10.9</v>
      </c>
      <c r="O202">
        <v>12.87</v>
      </c>
      <c r="P202">
        <v>43.6</v>
      </c>
    </row>
    <row r="203" spans="1:16" x14ac:dyDescent="0.3">
      <c r="A203">
        <v>90536</v>
      </c>
      <c r="B203">
        <v>105</v>
      </c>
      <c r="C203" t="s">
        <v>557</v>
      </c>
      <c r="D203" s="452">
        <v>46174</v>
      </c>
      <c r="E203">
        <v>19787</v>
      </c>
      <c r="F203" t="s">
        <v>4793</v>
      </c>
      <c r="G203">
        <v>2471</v>
      </c>
      <c r="H203">
        <v>6.83</v>
      </c>
      <c r="I203" t="s">
        <v>4744</v>
      </c>
      <c r="J203" t="s">
        <v>5191</v>
      </c>
      <c r="K203" t="s">
        <v>463</v>
      </c>
      <c r="L203">
        <v>6.15</v>
      </c>
      <c r="M203" s="452">
        <v>46167</v>
      </c>
      <c r="N203">
        <v>5.75</v>
      </c>
      <c r="O203">
        <v>5.5</v>
      </c>
      <c r="P203">
        <v>42</v>
      </c>
    </row>
    <row r="204" spans="1:16" x14ac:dyDescent="0.3">
      <c r="A204">
        <v>90580</v>
      </c>
      <c r="B204">
        <v>105</v>
      </c>
      <c r="C204" t="s">
        <v>557</v>
      </c>
      <c r="D204" s="452">
        <v>46174</v>
      </c>
      <c r="E204">
        <v>20792</v>
      </c>
      <c r="F204" t="s">
        <v>5022</v>
      </c>
      <c r="G204">
        <v>2076</v>
      </c>
      <c r="H204">
        <v>4</v>
      </c>
      <c r="I204" t="s">
        <v>4738</v>
      </c>
      <c r="J204" t="s">
        <v>5191</v>
      </c>
      <c r="K204" t="s">
        <v>463</v>
      </c>
      <c r="L204">
        <v>0</v>
      </c>
      <c r="M204" s="452">
        <v>46142</v>
      </c>
      <c r="N204">
        <v>10.29</v>
      </c>
      <c r="O204">
        <v>10.59</v>
      </c>
      <c r="P204">
        <v>41.16</v>
      </c>
    </row>
    <row r="205" spans="1:16" x14ac:dyDescent="0.3">
      <c r="A205">
        <v>90479</v>
      </c>
      <c r="B205">
        <v>105</v>
      </c>
      <c r="C205" t="s">
        <v>557</v>
      </c>
      <c r="D205" s="452">
        <v>46174</v>
      </c>
      <c r="E205">
        <v>19306</v>
      </c>
      <c r="F205" t="s">
        <v>5111</v>
      </c>
      <c r="G205">
        <v>2774</v>
      </c>
      <c r="H205">
        <v>2.2000000000000002</v>
      </c>
      <c r="I205" t="s">
        <v>4738</v>
      </c>
      <c r="J205" t="s">
        <v>5191</v>
      </c>
      <c r="K205" t="s">
        <v>463</v>
      </c>
      <c r="L205">
        <v>18.309999999999999</v>
      </c>
      <c r="M205" s="452">
        <v>46150</v>
      </c>
      <c r="N205">
        <v>18.2</v>
      </c>
      <c r="O205">
        <v>18.2</v>
      </c>
      <c r="P205">
        <v>40.28</v>
      </c>
    </row>
    <row r="206" spans="1:16" x14ac:dyDescent="0.3">
      <c r="A206">
        <v>90600</v>
      </c>
      <c r="B206">
        <v>105</v>
      </c>
      <c r="C206" t="s">
        <v>557</v>
      </c>
      <c r="D206" s="452">
        <v>46174</v>
      </c>
      <c r="E206">
        <v>23096</v>
      </c>
      <c r="F206" t="s">
        <v>5164</v>
      </c>
      <c r="G206">
        <v>2753</v>
      </c>
      <c r="H206">
        <v>62</v>
      </c>
      <c r="I206" t="s">
        <v>4736</v>
      </c>
      <c r="J206" t="s">
        <v>5191</v>
      </c>
      <c r="K206" t="s">
        <v>463</v>
      </c>
      <c r="L206">
        <v>0.63</v>
      </c>
      <c r="M206" s="452">
        <v>46170</v>
      </c>
      <c r="N206">
        <v>0.61</v>
      </c>
      <c r="O206">
        <v>0.66</v>
      </c>
      <c r="P206">
        <v>39.06</v>
      </c>
    </row>
    <row r="207" spans="1:16" x14ac:dyDescent="0.3">
      <c r="A207">
        <v>90534</v>
      </c>
      <c r="B207">
        <v>105</v>
      </c>
      <c r="C207" t="s">
        <v>557</v>
      </c>
      <c r="D207" s="452">
        <v>46174</v>
      </c>
      <c r="E207">
        <v>19752</v>
      </c>
      <c r="F207" t="s">
        <v>4807</v>
      </c>
      <c r="G207">
        <v>2501</v>
      </c>
      <c r="H207">
        <v>6.05</v>
      </c>
      <c r="I207" t="s">
        <v>4744</v>
      </c>
      <c r="J207" t="s">
        <v>5191</v>
      </c>
      <c r="K207" t="s">
        <v>463</v>
      </c>
      <c r="L207">
        <v>6.22</v>
      </c>
      <c r="M207" s="452">
        <v>46170</v>
      </c>
      <c r="N207">
        <v>5</v>
      </c>
      <c r="O207">
        <v>5</v>
      </c>
      <c r="P207">
        <v>37.630000000000003</v>
      </c>
    </row>
    <row r="208" spans="1:16" x14ac:dyDescent="0.3">
      <c r="A208">
        <v>90410</v>
      </c>
      <c r="B208">
        <v>105</v>
      </c>
      <c r="C208" t="s">
        <v>557</v>
      </c>
      <c r="D208" s="452">
        <v>46174</v>
      </c>
      <c r="E208">
        <v>17878</v>
      </c>
      <c r="F208" t="s">
        <v>4926</v>
      </c>
      <c r="G208">
        <v>3677</v>
      </c>
      <c r="H208">
        <v>2</v>
      </c>
      <c r="I208" t="s">
        <v>4736</v>
      </c>
      <c r="J208" t="s">
        <v>5222</v>
      </c>
      <c r="K208" t="s">
        <v>463</v>
      </c>
      <c r="L208">
        <v>0</v>
      </c>
      <c r="M208" s="452">
        <v>46120</v>
      </c>
      <c r="N208">
        <v>18.09</v>
      </c>
      <c r="O208">
        <v>18.899999999999999</v>
      </c>
      <c r="P208">
        <v>36.18</v>
      </c>
    </row>
    <row r="209" spans="1:16" x14ac:dyDescent="0.3">
      <c r="A209">
        <v>90527</v>
      </c>
      <c r="B209">
        <v>105</v>
      </c>
      <c r="C209" t="s">
        <v>557</v>
      </c>
      <c r="D209" s="452">
        <v>46174</v>
      </c>
      <c r="E209">
        <v>19728</v>
      </c>
      <c r="F209" t="s">
        <v>5106</v>
      </c>
      <c r="G209">
        <v>2525</v>
      </c>
      <c r="H209">
        <v>3.3</v>
      </c>
      <c r="I209" t="s">
        <v>4744</v>
      </c>
      <c r="J209" t="s">
        <v>5191</v>
      </c>
      <c r="K209" t="s">
        <v>463</v>
      </c>
      <c r="L209">
        <v>10.77</v>
      </c>
      <c r="M209" s="452">
        <v>46170</v>
      </c>
      <c r="N209">
        <v>10.01</v>
      </c>
      <c r="O209">
        <v>10.01</v>
      </c>
      <c r="P209">
        <v>35.54</v>
      </c>
    </row>
    <row r="210" spans="1:16" x14ac:dyDescent="0.3">
      <c r="A210">
        <v>90535</v>
      </c>
      <c r="B210">
        <v>105</v>
      </c>
      <c r="C210" t="s">
        <v>557</v>
      </c>
      <c r="D210" s="452">
        <v>46174</v>
      </c>
      <c r="E210">
        <v>19765</v>
      </c>
      <c r="F210" t="s">
        <v>4889</v>
      </c>
      <c r="G210">
        <v>2488</v>
      </c>
      <c r="H210">
        <v>1</v>
      </c>
      <c r="I210" t="s">
        <v>4744</v>
      </c>
      <c r="J210" t="s">
        <v>5191</v>
      </c>
      <c r="K210" t="s">
        <v>463</v>
      </c>
      <c r="L210">
        <v>35.5</v>
      </c>
      <c r="M210" s="452">
        <v>46160</v>
      </c>
      <c r="N210">
        <v>36</v>
      </c>
      <c r="O210">
        <v>35.299999999999997</v>
      </c>
      <c r="P210">
        <v>35.5</v>
      </c>
    </row>
    <row r="211" spans="1:16" x14ac:dyDescent="0.3">
      <c r="A211">
        <v>90658</v>
      </c>
      <c r="B211">
        <v>105</v>
      </c>
      <c r="C211" t="s">
        <v>557</v>
      </c>
      <c r="D211" s="452">
        <v>46174</v>
      </c>
      <c r="E211">
        <v>25055</v>
      </c>
      <c r="F211" t="s">
        <v>5003</v>
      </c>
      <c r="G211">
        <v>2184</v>
      </c>
      <c r="H211">
        <v>1.79</v>
      </c>
      <c r="I211" t="s">
        <v>4744</v>
      </c>
      <c r="J211" t="s">
        <v>5191</v>
      </c>
      <c r="K211" t="s">
        <v>463</v>
      </c>
      <c r="L211">
        <v>0</v>
      </c>
      <c r="M211" s="452">
        <v>45887</v>
      </c>
      <c r="N211">
        <v>19.8</v>
      </c>
      <c r="O211">
        <v>19.8</v>
      </c>
      <c r="P211">
        <v>35.44</v>
      </c>
    </row>
    <row r="212" spans="1:16" x14ac:dyDescent="0.3">
      <c r="A212">
        <v>90506</v>
      </c>
      <c r="B212">
        <v>105</v>
      </c>
      <c r="C212" t="s">
        <v>557</v>
      </c>
      <c r="D212" s="452">
        <v>46174</v>
      </c>
      <c r="E212">
        <v>19555</v>
      </c>
      <c r="F212" t="s">
        <v>4903</v>
      </c>
      <c r="G212">
        <v>2662</v>
      </c>
      <c r="H212">
        <v>2.42</v>
      </c>
      <c r="I212" t="s">
        <v>4744</v>
      </c>
      <c r="J212" t="s">
        <v>5191</v>
      </c>
      <c r="K212" t="s">
        <v>463</v>
      </c>
      <c r="L212">
        <v>14.33</v>
      </c>
      <c r="M212" s="452">
        <v>46170</v>
      </c>
      <c r="N212">
        <v>14</v>
      </c>
      <c r="O212">
        <v>14</v>
      </c>
      <c r="P212">
        <v>34.68</v>
      </c>
    </row>
    <row r="213" spans="1:16" x14ac:dyDescent="0.3">
      <c r="A213">
        <v>90514</v>
      </c>
      <c r="B213">
        <v>105</v>
      </c>
      <c r="C213" t="s">
        <v>557</v>
      </c>
      <c r="D213" s="452">
        <v>46174</v>
      </c>
      <c r="E213">
        <v>19621</v>
      </c>
      <c r="F213" t="s">
        <v>4829</v>
      </c>
      <c r="G213">
        <v>2613</v>
      </c>
      <c r="H213">
        <v>4.2</v>
      </c>
      <c r="I213" t="s">
        <v>4744</v>
      </c>
      <c r="J213" t="s">
        <v>5191</v>
      </c>
      <c r="K213" t="s">
        <v>463</v>
      </c>
      <c r="L213">
        <v>8.1999999999999993</v>
      </c>
      <c r="M213" s="452">
        <v>46170</v>
      </c>
      <c r="N213">
        <v>7.8</v>
      </c>
      <c r="O213">
        <v>7.5</v>
      </c>
      <c r="P213">
        <v>34.44</v>
      </c>
    </row>
    <row r="214" spans="1:16" x14ac:dyDescent="0.3">
      <c r="A214">
        <v>90575</v>
      </c>
      <c r="B214">
        <v>105</v>
      </c>
      <c r="C214" t="s">
        <v>557</v>
      </c>
      <c r="D214" s="452">
        <v>46174</v>
      </c>
      <c r="E214">
        <v>20661</v>
      </c>
      <c r="F214" t="s">
        <v>5012</v>
      </c>
      <c r="G214">
        <v>2110</v>
      </c>
      <c r="H214">
        <v>4</v>
      </c>
      <c r="I214" t="s">
        <v>4736</v>
      </c>
      <c r="J214" t="s">
        <v>5191</v>
      </c>
      <c r="K214" t="s">
        <v>463</v>
      </c>
      <c r="L214">
        <v>8.59</v>
      </c>
      <c r="M214" s="452">
        <v>46154</v>
      </c>
      <c r="N214">
        <v>8.59</v>
      </c>
      <c r="O214">
        <v>8.59</v>
      </c>
      <c r="P214">
        <v>34.36</v>
      </c>
    </row>
    <row r="215" spans="1:16" x14ac:dyDescent="0.3">
      <c r="A215">
        <v>90508</v>
      </c>
      <c r="B215">
        <v>105</v>
      </c>
      <c r="C215" t="s">
        <v>557</v>
      </c>
      <c r="D215" s="452">
        <v>46174</v>
      </c>
      <c r="E215">
        <v>19562</v>
      </c>
      <c r="F215" t="s">
        <v>4939</v>
      </c>
      <c r="G215">
        <v>2655</v>
      </c>
      <c r="H215">
        <v>2.15</v>
      </c>
      <c r="I215" t="s">
        <v>4744</v>
      </c>
      <c r="J215" t="s">
        <v>5191</v>
      </c>
      <c r="K215" t="s">
        <v>463</v>
      </c>
      <c r="L215">
        <v>15.92</v>
      </c>
      <c r="M215" s="452">
        <v>46170</v>
      </c>
      <c r="N215">
        <v>13</v>
      </c>
      <c r="O215">
        <v>13</v>
      </c>
      <c r="P215">
        <v>34.229999999999997</v>
      </c>
    </row>
    <row r="216" spans="1:16" x14ac:dyDescent="0.3">
      <c r="A216">
        <v>90554</v>
      </c>
      <c r="B216">
        <v>105</v>
      </c>
      <c r="C216" t="s">
        <v>557</v>
      </c>
      <c r="D216" s="452">
        <v>46174</v>
      </c>
      <c r="E216">
        <v>20176</v>
      </c>
      <c r="F216" t="s">
        <v>5175</v>
      </c>
      <c r="G216">
        <v>2262</v>
      </c>
      <c r="H216">
        <v>1</v>
      </c>
      <c r="I216" t="s">
        <v>4736</v>
      </c>
      <c r="J216" t="s">
        <v>5191</v>
      </c>
      <c r="K216" t="s">
        <v>463</v>
      </c>
      <c r="L216">
        <v>33.119999999999997</v>
      </c>
      <c r="M216" s="452">
        <v>46148</v>
      </c>
      <c r="N216">
        <v>33.119999999999997</v>
      </c>
      <c r="O216">
        <v>33.119999999999997</v>
      </c>
      <c r="P216">
        <v>33.119999999999997</v>
      </c>
    </row>
    <row r="217" spans="1:16" x14ac:dyDescent="0.3">
      <c r="A217">
        <v>90613</v>
      </c>
      <c r="B217">
        <v>105</v>
      </c>
      <c r="C217" t="s">
        <v>557</v>
      </c>
      <c r="D217" s="452">
        <v>46174</v>
      </c>
      <c r="E217">
        <v>23359</v>
      </c>
      <c r="F217" t="s">
        <v>4767</v>
      </c>
      <c r="G217">
        <v>2499</v>
      </c>
      <c r="H217">
        <v>14.24</v>
      </c>
      <c r="I217" t="s">
        <v>4744</v>
      </c>
      <c r="J217" t="s">
        <v>5191</v>
      </c>
      <c r="K217" t="s">
        <v>463</v>
      </c>
      <c r="L217">
        <v>2.29</v>
      </c>
      <c r="M217" s="452">
        <v>46170</v>
      </c>
      <c r="N217">
        <v>2.25</v>
      </c>
      <c r="O217">
        <v>2.2000000000000002</v>
      </c>
      <c r="P217">
        <v>32.61</v>
      </c>
    </row>
    <row r="218" spans="1:16" x14ac:dyDescent="0.3">
      <c r="A218">
        <v>90652</v>
      </c>
      <c r="B218">
        <v>105</v>
      </c>
      <c r="C218" t="s">
        <v>557</v>
      </c>
      <c r="D218" s="452">
        <v>46174</v>
      </c>
      <c r="E218">
        <v>24683</v>
      </c>
      <c r="F218" t="s">
        <v>5167</v>
      </c>
      <c r="G218">
        <v>5713</v>
      </c>
      <c r="H218">
        <v>0.25</v>
      </c>
      <c r="I218" t="s">
        <v>4879</v>
      </c>
      <c r="J218" t="s">
        <v>5191</v>
      </c>
      <c r="K218" t="s">
        <v>463</v>
      </c>
      <c r="L218">
        <v>0</v>
      </c>
      <c r="N218">
        <v>0</v>
      </c>
      <c r="O218">
        <v>129.9</v>
      </c>
      <c r="P218">
        <v>32.479999999999997</v>
      </c>
    </row>
    <row r="219" spans="1:16" x14ac:dyDescent="0.3">
      <c r="A219">
        <v>90563</v>
      </c>
      <c r="B219">
        <v>105</v>
      </c>
      <c r="C219" t="s">
        <v>557</v>
      </c>
      <c r="D219" s="452">
        <v>46174</v>
      </c>
      <c r="E219">
        <v>20322</v>
      </c>
      <c r="F219" t="s">
        <v>4882</v>
      </c>
      <c r="G219">
        <v>2212</v>
      </c>
      <c r="H219">
        <v>3</v>
      </c>
      <c r="I219" t="s">
        <v>4738</v>
      </c>
      <c r="J219" t="s">
        <v>5191</v>
      </c>
      <c r="K219" t="s">
        <v>463</v>
      </c>
      <c r="L219">
        <v>0</v>
      </c>
      <c r="M219" s="452">
        <v>46120</v>
      </c>
      <c r="N219">
        <v>10.8</v>
      </c>
      <c r="O219">
        <v>14.6</v>
      </c>
      <c r="P219">
        <v>32.4</v>
      </c>
    </row>
    <row r="220" spans="1:16" x14ac:dyDescent="0.3">
      <c r="A220">
        <v>90437</v>
      </c>
      <c r="B220">
        <v>105</v>
      </c>
      <c r="C220" t="s">
        <v>557</v>
      </c>
      <c r="D220" s="452">
        <v>46174</v>
      </c>
      <c r="E220">
        <v>18214</v>
      </c>
      <c r="F220" t="s">
        <v>5039</v>
      </c>
      <c r="G220">
        <v>3413</v>
      </c>
      <c r="H220">
        <v>1</v>
      </c>
      <c r="I220" t="s">
        <v>4805</v>
      </c>
      <c r="J220" t="s">
        <v>5222</v>
      </c>
      <c r="K220" t="s">
        <v>463</v>
      </c>
      <c r="L220">
        <v>0</v>
      </c>
      <c r="M220" s="452">
        <v>45378</v>
      </c>
      <c r="N220">
        <v>32.200000000000003</v>
      </c>
      <c r="O220">
        <v>37.47</v>
      </c>
      <c r="P220">
        <v>32.200000000000003</v>
      </c>
    </row>
    <row r="221" spans="1:16" x14ac:dyDescent="0.3">
      <c r="A221">
        <v>90501</v>
      </c>
      <c r="B221">
        <v>105</v>
      </c>
      <c r="C221" t="s">
        <v>557</v>
      </c>
      <c r="D221" s="452">
        <v>46174</v>
      </c>
      <c r="E221">
        <v>19526</v>
      </c>
      <c r="F221" t="s">
        <v>4997</v>
      </c>
      <c r="G221">
        <v>2687</v>
      </c>
      <c r="H221">
        <v>0.6</v>
      </c>
      <c r="I221" t="s">
        <v>4744</v>
      </c>
      <c r="J221" t="s">
        <v>5191</v>
      </c>
      <c r="K221" t="s">
        <v>463</v>
      </c>
      <c r="L221">
        <v>51.99</v>
      </c>
      <c r="M221" s="452">
        <v>46170</v>
      </c>
      <c r="N221">
        <v>50</v>
      </c>
      <c r="O221">
        <v>50</v>
      </c>
      <c r="P221">
        <v>31.19</v>
      </c>
    </row>
    <row r="222" spans="1:16" x14ac:dyDescent="0.3">
      <c r="A222">
        <v>90700</v>
      </c>
      <c r="B222">
        <v>105</v>
      </c>
      <c r="C222" t="s">
        <v>557</v>
      </c>
      <c r="D222" s="452">
        <v>46174</v>
      </c>
      <c r="E222">
        <v>29082</v>
      </c>
      <c r="F222" t="s">
        <v>5171</v>
      </c>
      <c r="G222">
        <v>9016</v>
      </c>
      <c r="H222">
        <v>4</v>
      </c>
      <c r="I222" t="s">
        <v>4736</v>
      </c>
      <c r="J222" t="s">
        <v>5191</v>
      </c>
      <c r="K222" t="s">
        <v>463</v>
      </c>
      <c r="L222">
        <v>0</v>
      </c>
      <c r="N222">
        <v>0</v>
      </c>
      <c r="O222">
        <v>0</v>
      </c>
      <c r="P222">
        <v>30.6</v>
      </c>
    </row>
    <row r="223" spans="1:16" x14ac:dyDescent="0.3">
      <c r="A223">
        <v>90622</v>
      </c>
      <c r="B223">
        <v>105</v>
      </c>
      <c r="C223" t="s">
        <v>557</v>
      </c>
      <c r="D223" s="452">
        <v>46174</v>
      </c>
      <c r="E223">
        <v>23539</v>
      </c>
      <c r="F223" t="s">
        <v>4995</v>
      </c>
      <c r="G223">
        <v>2332</v>
      </c>
      <c r="H223">
        <v>2.5299999999999998</v>
      </c>
      <c r="I223" t="s">
        <v>4744</v>
      </c>
      <c r="J223" t="s">
        <v>5191</v>
      </c>
      <c r="K223" t="s">
        <v>463</v>
      </c>
      <c r="L223">
        <v>0</v>
      </c>
      <c r="M223" s="452">
        <v>45989</v>
      </c>
      <c r="N223">
        <v>12</v>
      </c>
      <c r="O223">
        <v>11.2</v>
      </c>
      <c r="P223">
        <v>30.36</v>
      </c>
    </row>
    <row r="224" spans="1:16" x14ac:dyDescent="0.3">
      <c r="A224">
        <v>90474</v>
      </c>
      <c r="B224">
        <v>105</v>
      </c>
      <c r="C224" t="s">
        <v>557</v>
      </c>
      <c r="D224" s="452">
        <v>46174</v>
      </c>
      <c r="E224">
        <v>19017</v>
      </c>
      <c r="F224" t="s">
        <v>5174</v>
      </c>
      <c r="G224">
        <v>2893</v>
      </c>
      <c r="H224">
        <v>2</v>
      </c>
      <c r="I224" t="s">
        <v>4744</v>
      </c>
      <c r="J224" t="s">
        <v>5191</v>
      </c>
      <c r="K224" t="s">
        <v>463</v>
      </c>
      <c r="L224">
        <v>15</v>
      </c>
      <c r="M224" s="452">
        <v>46153</v>
      </c>
      <c r="N224">
        <v>15</v>
      </c>
      <c r="O224">
        <v>16</v>
      </c>
      <c r="P224">
        <v>30</v>
      </c>
    </row>
    <row r="225" spans="1:16" x14ac:dyDescent="0.3">
      <c r="A225">
        <v>90488</v>
      </c>
      <c r="B225">
        <v>105</v>
      </c>
      <c r="C225" t="s">
        <v>557</v>
      </c>
      <c r="D225" s="452">
        <v>46174</v>
      </c>
      <c r="E225">
        <v>19434</v>
      </c>
      <c r="F225" t="s">
        <v>5078</v>
      </c>
      <c r="G225">
        <v>2757</v>
      </c>
      <c r="H225">
        <v>1</v>
      </c>
      <c r="I225" t="s">
        <v>4738</v>
      </c>
      <c r="J225" t="s">
        <v>5191</v>
      </c>
      <c r="K225" t="s">
        <v>463</v>
      </c>
      <c r="L225">
        <v>0</v>
      </c>
      <c r="M225" s="452">
        <v>46127</v>
      </c>
      <c r="N225">
        <v>29.96</v>
      </c>
      <c r="O225">
        <v>23.1</v>
      </c>
      <c r="P225">
        <v>29.96</v>
      </c>
    </row>
    <row r="226" spans="1:16" x14ac:dyDescent="0.3">
      <c r="A226">
        <v>90576</v>
      </c>
      <c r="B226">
        <v>105</v>
      </c>
      <c r="C226" t="s">
        <v>557</v>
      </c>
      <c r="D226" s="452">
        <v>46174</v>
      </c>
      <c r="E226">
        <v>20672</v>
      </c>
      <c r="F226" t="s">
        <v>4857</v>
      </c>
      <c r="G226">
        <v>2107</v>
      </c>
      <c r="H226">
        <v>1</v>
      </c>
      <c r="I226" t="s">
        <v>4738</v>
      </c>
      <c r="J226" t="s">
        <v>5191</v>
      </c>
      <c r="K226" t="s">
        <v>463</v>
      </c>
      <c r="L226">
        <v>29.55</v>
      </c>
      <c r="M226" s="452">
        <v>46164</v>
      </c>
      <c r="N226">
        <v>29.55</v>
      </c>
      <c r="O226">
        <v>29.55</v>
      </c>
      <c r="P226">
        <v>29.55</v>
      </c>
    </row>
    <row r="227" spans="1:16" x14ac:dyDescent="0.3">
      <c r="A227">
        <v>90552</v>
      </c>
      <c r="B227">
        <v>105</v>
      </c>
      <c r="C227" t="s">
        <v>557</v>
      </c>
      <c r="D227" s="452">
        <v>46174</v>
      </c>
      <c r="E227">
        <v>20122</v>
      </c>
      <c r="F227" t="s">
        <v>4781</v>
      </c>
      <c r="G227">
        <v>2290</v>
      </c>
      <c r="H227">
        <v>2</v>
      </c>
      <c r="I227" t="s">
        <v>4738</v>
      </c>
      <c r="J227" t="s">
        <v>5191</v>
      </c>
      <c r="K227" t="s">
        <v>463</v>
      </c>
      <c r="L227">
        <v>14.38</v>
      </c>
      <c r="M227" s="452">
        <v>46157</v>
      </c>
      <c r="N227">
        <v>14.38</v>
      </c>
      <c r="O227">
        <v>14.38</v>
      </c>
      <c r="P227">
        <v>28.76</v>
      </c>
    </row>
    <row r="228" spans="1:16" x14ac:dyDescent="0.3">
      <c r="A228">
        <v>90495</v>
      </c>
      <c r="B228">
        <v>105</v>
      </c>
      <c r="C228" t="s">
        <v>557</v>
      </c>
      <c r="D228" s="452">
        <v>46174</v>
      </c>
      <c r="E228">
        <v>19490</v>
      </c>
      <c r="F228" t="s">
        <v>5116</v>
      </c>
      <c r="G228">
        <v>2718</v>
      </c>
      <c r="H228">
        <v>0.47</v>
      </c>
      <c r="I228" t="s">
        <v>4744</v>
      </c>
      <c r="J228" t="s">
        <v>5191</v>
      </c>
      <c r="K228" t="s">
        <v>463</v>
      </c>
      <c r="L228">
        <v>61.09</v>
      </c>
      <c r="M228" s="452">
        <v>46160</v>
      </c>
      <c r="N228">
        <v>60</v>
      </c>
      <c r="O228">
        <v>35.75</v>
      </c>
      <c r="P228">
        <v>28.71</v>
      </c>
    </row>
    <row r="229" spans="1:16" x14ac:dyDescent="0.3">
      <c r="A229">
        <v>90570</v>
      </c>
      <c r="B229">
        <v>105</v>
      </c>
      <c r="C229" t="s">
        <v>557</v>
      </c>
      <c r="D229" s="452">
        <v>46174</v>
      </c>
      <c r="E229">
        <v>20585</v>
      </c>
      <c r="F229" t="s">
        <v>5025</v>
      </c>
      <c r="G229">
        <v>2121</v>
      </c>
      <c r="H229">
        <v>1</v>
      </c>
      <c r="I229" t="s">
        <v>4736</v>
      </c>
      <c r="J229" t="s">
        <v>5191</v>
      </c>
      <c r="K229" t="s">
        <v>463</v>
      </c>
      <c r="L229">
        <v>28.33</v>
      </c>
      <c r="M229" s="452">
        <v>46164</v>
      </c>
      <c r="N229">
        <v>29.25</v>
      </c>
      <c r="O229">
        <v>29.25</v>
      </c>
      <c r="P229">
        <v>28.33</v>
      </c>
    </row>
    <row r="230" spans="1:16" x14ac:dyDescent="0.3">
      <c r="A230">
        <v>90625</v>
      </c>
      <c r="B230">
        <v>105</v>
      </c>
      <c r="C230" t="s">
        <v>557</v>
      </c>
      <c r="D230" s="452">
        <v>46174</v>
      </c>
      <c r="E230">
        <v>23656</v>
      </c>
      <c r="F230" t="s">
        <v>4945</v>
      </c>
      <c r="G230">
        <v>2228</v>
      </c>
      <c r="H230">
        <v>1</v>
      </c>
      <c r="I230" t="s">
        <v>4744</v>
      </c>
      <c r="J230" t="s">
        <v>5191</v>
      </c>
      <c r="K230" t="s">
        <v>463</v>
      </c>
      <c r="L230">
        <v>0</v>
      </c>
      <c r="M230" s="452">
        <v>45873</v>
      </c>
      <c r="N230">
        <v>28</v>
      </c>
      <c r="O230">
        <v>27.3</v>
      </c>
      <c r="P230">
        <v>28</v>
      </c>
    </row>
    <row r="231" spans="1:16" x14ac:dyDescent="0.3">
      <c r="A231">
        <v>90647</v>
      </c>
      <c r="B231">
        <v>105</v>
      </c>
      <c r="C231" t="s">
        <v>557</v>
      </c>
      <c r="D231" s="452">
        <v>46174</v>
      </c>
      <c r="E231">
        <v>24403</v>
      </c>
      <c r="F231" t="s">
        <v>5149</v>
      </c>
      <c r="G231">
        <v>3049</v>
      </c>
      <c r="H231">
        <v>2.1</v>
      </c>
      <c r="I231" t="s">
        <v>4744</v>
      </c>
      <c r="J231" t="s">
        <v>5191</v>
      </c>
      <c r="K231" t="s">
        <v>463</v>
      </c>
      <c r="L231">
        <v>0</v>
      </c>
      <c r="M231" s="452">
        <v>46142</v>
      </c>
      <c r="N231">
        <v>12.99</v>
      </c>
      <c r="O231">
        <v>12</v>
      </c>
      <c r="P231">
        <v>27.28</v>
      </c>
    </row>
    <row r="232" spans="1:16" x14ac:dyDescent="0.3">
      <c r="A232">
        <v>90606</v>
      </c>
      <c r="B232">
        <v>105</v>
      </c>
      <c r="C232" t="s">
        <v>557</v>
      </c>
      <c r="D232" s="452">
        <v>46174</v>
      </c>
      <c r="E232">
        <v>23228</v>
      </c>
      <c r="F232" t="s">
        <v>4782</v>
      </c>
      <c r="G232">
        <v>2627</v>
      </c>
      <c r="H232">
        <v>4.07</v>
      </c>
      <c r="I232" t="s">
        <v>4744</v>
      </c>
      <c r="J232" t="s">
        <v>5191</v>
      </c>
      <c r="K232" t="s">
        <v>463</v>
      </c>
      <c r="L232">
        <v>6.68</v>
      </c>
      <c r="M232" s="452">
        <v>46167</v>
      </c>
      <c r="N232">
        <v>6.82</v>
      </c>
      <c r="O232">
        <v>7.5</v>
      </c>
      <c r="P232">
        <v>27.19</v>
      </c>
    </row>
    <row r="233" spans="1:16" x14ac:dyDescent="0.3">
      <c r="A233">
        <v>90507</v>
      </c>
      <c r="B233">
        <v>105</v>
      </c>
      <c r="C233" t="s">
        <v>557</v>
      </c>
      <c r="D233" s="452">
        <v>46174</v>
      </c>
      <c r="E233">
        <v>19558</v>
      </c>
      <c r="F233" t="s">
        <v>4994</v>
      </c>
      <c r="G233">
        <v>2659</v>
      </c>
      <c r="H233">
        <v>1.45</v>
      </c>
      <c r="I233" t="s">
        <v>4744</v>
      </c>
      <c r="J233" t="s">
        <v>5191</v>
      </c>
      <c r="K233" t="s">
        <v>463</v>
      </c>
      <c r="L233">
        <v>18.73</v>
      </c>
      <c r="M233" s="452">
        <v>46170</v>
      </c>
      <c r="N233">
        <v>20.3</v>
      </c>
      <c r="O233">
        <v>20.3</v>
      </c>
      <c r="P233">
        <v>27.16</v>
      </c>
    </row>
    <row r="234" spans="1:16" x14ac:dyDescent="0.3">
      <c r="A234">
        <v>90591</v>
      </c>
      <c r="B234">
        <v>105</v>
      </c>
      <c r="C234" t="s">
        <v>557</v>
      </c>
      <c r="D234" s="452">
        <v>46174</v>
      </c>
      <c r="E234">
        <v>21060</v>
      </c>
      <c r="F234" t="s">
        <v>4946</v>
      </c>
      <c r="G234">
        <v>1998</v>
      </c>
      <c r="H234">
        <v>1.04</v>
      </c>
      <c r="I234" t="s">
        <v>4736</v>
      </c>
      <c r="J234" t="s">
        <v>5191</v>
      </c>
      <c r="K234" t="s">
        <v>463</v>
      </c>
      <c r="L234">
        <v>0</v>
      </c>
      <c r="M234" s="452">
        <v>46062</v>
      </c>
      <c r="N234">
        <v>26.1</v>
      </c>
      <c r="O234">
        <v>21.99</v>
      </c>
      <c r="P234">
        <v>27.14</v>
      </c>
    </row>
    <row r="235" spans="1:16" x14ac:dyDescent="0.3">
      <c r="A235">
        <v>90486</v>
      </c>
      <c r="B235">
        <v>105</v>
      </c>
      <c r="C235" t="s">
        <v>557</v>
      </c>
      <c r="D235" s="452">
        <v>46174</v>
      </c>
      <c r="E235">
        <v>19415</v>
      </c>
      <c r="F235" t="s">
        <v>4919</v>
      </c>
      <c r="G235">
        <v>2759</v>
      </c>
      <c r="H235">
        <v>3</v>
      </c>
      <c r="I235" t="s">
        <v>4736</v>
      </c>
      <c r="J235" t="s">
        <v>5191</v>
      </c>
      <c r="K235" t="s">
        <v>463</v>
      </c>
      <c r="L235">
        <v>8.8000000000000007</v>
      </c>
      <c r="M235" s="452">
        <v>46157</v>
      </c>
      <c r="N235">
        <v>8.8000000000000007</v>
      </c>
      <c r="O235">
        <v>8.8000000000000007</v>
      </c>
      <c r="P235">
        <v>26.4</v>
      </c>
    </row>
    <row r="236" spans="1:16" x14ac:dyDescent="0.3">
      <c r="A236">
        <v>90574</v>
      </c>
      <c r="B236">
        <v>105</v>
      </c>
      <c r="C236" t="s">
        <v>557</v>
      </c>
      <c r="D236" s="452">
        <v>46174</v>
      </c>
      <c r="E236">
        <v>20653</v>
      </c>
      <c r="F236" t="s">
        <v>5013</v>
      </c>
      <c r="G236">
        <v>2111</v>
      </c>
      <c r="H236">
        <v>1</v>
      </c>
      <c r="I236" t="s">
        <v>4736</v>
      </c>
      <c r="J236" t="s">
        <v>5191</v>
      </c>
      <c r="K236" t="s">
        <v>463</v>
      </c>
      <c r="L236">
        <v>25.96</v>
      </c>
      <c r="M236" s="452">
        <v>46164</v>
      </c>
      <c r="N236">
        <v>25.96</v>
      </c>
      <c r="O236">
        <v>25.96</v>
      </c>
      <c r="P236">
        <v>25.96</v>
      </c>
    </row>
    <row r="237" spans="1:16" x14ac:dyDescent="0.3">
      <c r="A237">
        <v>90619</v>
      </c>
      <c r="B237">
        <v>105</v>
      </c>
      <c r="C237" t="s">
        <v>557</v>
      </c>
      <c r="D237" s="452">
        <v>46174</v>
      </c>
      <c r="E237">
        <v>23502</v>
      </c>
      <c r="F237" t="s">
        <v>4930</v>
      </c>
      <c r="G237">
        <v>2367</v>
      </c>
      <c r="H237">
        <v>1.73</v>
      </c>
      <c r="I237" t="s">
        <v>4736</v>
      </c>
      <c r="J237" t="s">
        <v>5191</v>
      </c>
      <c r="K237" t="s">
        <v>463</v>
      </c>
      <c r="L237">
        <v>14.9</v>
      </c>
      <c r="M237" s="452">
        <v>46148</v>
      </c>
      <c r="N237">
        <v>14.9</v>
      </c>
      <c r="O237">
        <v>1</v>
      </c>
      <c r="P237">
        <v>25.78</v>
      </c>
    </row>
    <row r="238" spans="1:16" x14ac:dyDescent="0.3">
      <c r="A238">
        <v>90553</v>
      </c>
      <c r="B238">
        <v>105</v>
      </c>
      <c r="C238" t="s">
        <v>557</v>
      </c>
      <c r="D238" s="452">
        <v>46174</v>
      </c>
      <c r="E238">
        <v>20138</v>
      </c>
      <c r="F238" t="s">
        <v>4886</v>
      </c>
      <c r="G238">
        <v>2284</v>
      </c>
      <c r="H238">
        <v>5</v>
      </c>
      <c r="I238" t="s">
        <v>4738</v>
      </c>
      <c r="J238" t="s">
        <v>5191</v>
      </c>
      <c r="K238" t="s">
        <v>463</v>
      </c>
      <c r="L238">
        <v>0</v>
      </c>
      <c r="M238" s="452">
        <v>46142</v>
      </c>
      <c r="N238">
        <v>5.0999999999999996</v>
      </c>
      <c r="O238">
        <v>5.59</v>
      </c>
      <c r="P238">
        <v>25.5</v>
      </c>
    </row>
    <row r="239" spans="1:16" x14ac:dyDescent="0.3">
      <c r="A239">
        <v>90504</v>
      </c>
      <c r="B239">
        <v>105</v>
      </c>
      <c r="C239" t="s">
        <v>557</v>
      </c>
      <c r="D239" s="452">
        <v>46174</v>
      </c>
      <c r="E239">
        <v>19552</v>
      </c>
      <c r="F239" t="s">
        <v>4860</v>
      </c>
      <c r="G239">
        <v>2664</v>
      </c>
      <c r="H239">
        <v>3</v>
      </c>
      <c r="I239" t="s">
        <v>4744</v>
      </c>
      <c r="J239" t="s">
        <v>5191</v>
      </c>
      <c r="K239" t="s">
        <v>463</v>
      </c>
      <c r="L239">
        <v>8.33</v>
      </c>
      <c r="M239" s="452">
        <v>46170</v>
      </c>
      <c r="N239">
        <v>8.5</v>
      </c>
      <c r="O239">
        <v>8.5</v>
      </c>
      <c r="P239">
        <v>24.99</v>
      </c>
    </row>
    <row r="240" spans="1:16" x14ac:dyDescent="0.3">
      <c r="A240">
        <v>90520</v>
      </c>
      <c r="B240">
        <v>105</v>
      </c>
      <c r="C240" t="s">
        <v>557</v>
      </c>
      <c r="D240" s="452">
        <v>46174</v>
      </c>
      <c r="E240">
        <v>19642</v>
      </c>
      <c r="F240" t="s">
        <v>4996</v>
      </c>
      <c r="G240">
        <v>2596</v>
      </c>
      <c r="H240">
        <v>4.5</v>
      </c>
      <c r="I240" t="s">
        <v>4744</v>
      </c>
      <c r="J240" t="s">
        <v>5191</v>
      </c>
      <c r="K240" t="s">
        <v>463</v>
      </c>
      <c r="L240">
        <v>5.54</v>
      </c>
      <c r="M240" s="452">
        <v>46167</v>
      </c>
      <c r="N240">
        <v>5.51</v>
      </c>
      <c r="O240">
        <v>5.48</v>
      </c>
      <c r="P240">
        <v>24.93</v>
      </c>
    </row>
    <row r="241" spans="1:16" x14ac:dyDescent="0.3">
      <c r="A241">
        <v>90526</v>
      </c>
      <c r="B241">
        <v>105</v>
      </c>
      <c r="C241" t="s">
        <v>557</v>
      </c>
      <c r="D241" s="452">
        <v>46174</v>
      </c>
      <c r="E241">
        <v>19710</v>
      </c>
      <c r="F241" t="s">
        <v>4963</v>
      </c>
      <c r="G241">
        <v>2540</v>
      </c>
      <c r="H241">
        <v>1.2</v>
      </c>
      <c r="I241" t="s">
        <v>4738</v>
      </c>
      <c r="J241" t="s">
        <v>5191</v>
      </c>
      <c r="K241" t="s">
        <v>463</v>
      </c>
      <c r="L241">
        <v>20.65</v>
      </c>
      <c r="M241" s="452">
        <v>46160</v>
      </c>
      <c r="N241">
        <v>20.65</v>
      </c>
      <c r="O241">
        <v>20.52</v>
      </c>
      <c r="P241">
        <v>24.78</v>
      </c>
    </row>
    <row r="242" spans="1:16" x14ac:dyDescent="0.3">
      <c r="A242">
        <v>90599</v>
      </c>
      <c r="B242">
        <v>105</v>
      </c>
      <c r="C242" t="s">
        <v>557</v>
      </c>
      <c r="D242" s="452">
        <v>46174</v>
      </c>
      <c r="E242">
        <v>23088</v>
      </c>
      <c r="F242" t="s">
        <v>5027</v>
      </c>
      <c r="G242">
        <v>2760</v>
      </c>
      <c r="H242">
        <v>1</v>
      </c>
      <c r="I242" t="s">
        <v>4736</v>
      </c>
      <c r="J242" t="s">
        <v>5191</v>
      </c>
      <c r="K242" t="s">
        <v>463</v>
      </c>
      <c r="L242">
        <v>24.5</v>
      </c>
      <c r="M242" s="452">
        <v>46154</v>
      </c>
      <c r="N242">
        <v>24.5</v>
      </c>
      <c r="O242">
        <v>24.5</v>
      </c>
      <c r="P242">
        <v>24.5</v>
      </c>
    </row>
    <row r="243" spans="1:16" x14ac:dyDescent="0.3">
      <c r="A243">
        <v>90555</v>
      </c>
      <c r="B243">
        <v>105</v>
      </c>
      <c r="C243" t="s">
        <v>557</v>
      </c>
      <c r="D243" s="452">
        <v>46174</v>
      </c>
      <c r="E243">
        <v>20186</v>
      </c>
      <c r="F243" t="s">
        <v>5061</v>
      </c>
      <c r="G243">
        <v>2259</v>
      </c>
      <c r="H243">
        <v>1</v>
      </c>
      <c r="I243" t="s">
        <v>4744</v>
      </c>
      <c r="J243" t="s">
        <v>5191</v>
      </c>
      <c r="K243" t="s">
        <v>463</v>
      </c>
      <c r="L243">
        <v>0</v>
      </c>
      <c r="M243" s="452">
        <v>45926</v>
      </c>
      <c r="N243">
        <v>24</v>
      </c>
      <c r="O243">
        <v>55</v>
      </c>
      <c r="P243">
        <v>24</v>
      </c>
    </row>
    <row r="244" spans="1:16" x14ac:dyDescent="0.3">
      <c r="A244">
        <v>90605</v>
      </c>
      <c r="B244">
        <v>105</v>
      </c>
      <c r="C244" t="s">
        <v>557</v>
      </c>
      <c r="D244" s="452">
        <v>46174</v>
      </c>
      <c r="E244">
        <v>23198</v>
      </c>
      <c r="F244" t="s">
        <v>4962</v>
      </c>
      <c r="G244">
        <v>2657</v>
      </c>
      <c r="H244">
        <v>1.55</v>
      </c>
      <c r="I244" t="s">
        <v>4744</v>
      </c>
      <c r="J244" t="s">
        <v>5191</v>
      </c>
      <c r="K244" t="s">
        <v>463</v>
      </c>
      <c r="L244">
        <v>15.45</v>
      </c>
      <c r="M244" s="452">
        <v>46170</v>
      </c>
      <c r="N244">
        <v>13</v>
      </c>
      <c r="O244">
        <v>13</v>
      </c>
      <c r="P244">
        <v>23.95</v>
      </c>
    </row>
    <row r="245" spans="1:16" x14ac:dyDescent="0.3">
      <c r="A245">
        <v>90523</v>
      </c>
      <c r="B245">
        <v>105</v>
      </c>
      <c r="C245" t="s">
        <v>557</v>
      </c>
      <c r="D245" s="452">
        <v>46174</v>
      </c>
      <c r="E245">
        <v>19652</v>
      </c>
      <c r="F245" t="s">
        <v>4899</v>
      </c>
      <c r="G245">
        <v>2587</v>
      </c>
      <c r="H245">
        <v>1.25</v>
      </c>
      <c r="I245" t="s">
        <v>4744</v>
      </c>
      <c r="J245" t="s">
        <v>5191</v>
      </c>
      <c r="K245" t="s">
        <v>463</v>
      </c>
      <c r="L245">
        <v>0</v>
      </c>
      <c r="M245" s="452">
        <v>46072</v>
      </c>
      <c r="N245">
        <v>19.079999999999998</v>
      </c>
      <c r="O245">
        <v>20.16</v>
      </c>
      <c r="P245">
        <v>23.85</v>
      </c>
    </row>
    <row r="246" spans="1:16" x14ac:dyDescent="0.3">
      <c r="A246">
        <v>90509</v>
      </c>
      <c r="B246">
        <v>105</v>
      </c>
      <c r="C246" t="s">
        <v>557</v>
      </c>
      <c r="D246" s="452">
        <v>46174</v>
      </c>
      <c r="E246">
        <v>19572</v>
      </c>
      <c r="F246" t="s">
        <v>4989</v>
      </c>
      <c r="G246">
        <v>2646</v>
      </c>
      <c r="H246">
        <v>2.65</v>
      </c>
      <c r="I246" t="s">
        <v>4744</v>
      </c>
      <c r="J246" t="s">
        <v>5191</v>
      </c>
      <c r="K246" t="s">
        <v>463</v>
      </c>
      <c r="L246">
        <v>8.76</v>
      </c>
      <c r="M246" s="452">
        <v>46167</v>
      </c>
      <c r="N246">
        <v>9.07</v>
      </c>
      <c r="O246">
        <v>9.06</v>
      </c>
      <c r="P246">
        <v>23.21</v>
      </c>
    </row>
    <row r="247" spans="1:16" x14ac:dyDescent="0.3">
      <c r="A247">
        <v>90560</v>
      </c>
      <c r="B247">
        <v>105</v>
      </c>
      <c r="C247" t="s">
        <v>557</v>
      </c>
      <c r="D247" s="452">
        <v>46174</v>
      </c>
      <c r="E247">
        <v>20295</v>
      </c>
      <c r="F247" t="s">
        <v>4881</v>
      </c>
      <c r="G247">
        <v>2226</v>
      </c>
      <c r="H247">
        <v>2.0499999999999998</v>
      </c>
      <c r="I247" t="s">
        <v>4736</v>
      </c>
      <c r="J247" t="s">
        <v>5191</v>
      </c>
      <c r="K247" t="s">
        <v>463</v>
      </c>
      <c r="L247">
        <v>11.28</v>
      </c>
      <c r="M247" s="452">
        <v>46148</v>
      </c>
      <c r="N247">
        <v>11.28</v>
      </c>
      <c r="O247">
        <v>11.28</v>
      </c>
      <c r="P247">
        <v>23.12</v>
      </c>
    </row>
    <row r="248" spans="1:16" x14ac:dyDescent="0.3">
      <c r="A248">
        <v>90540</v>
      </c>
      <c r="B248">
        <v>105</v>
      </c>
      <c r="C248" t="s">
        <v>557</v>
      </c>
      <c r="D248" s="452">
        <v>46174</v>
      </c>
      <c r="E248">
        <v>19906</v>
      </c>
      <c r="F248" t="s">
        <v>5159</v>
      </c>
      <c r="G248">
        <v>2381</v>
      </c>
      <c r="H248">
        <v>1.07</v>
      </c>
      <c r="I248" t="s">
        <v>4738</v>
      </c>
      <c r="J248" t="s">
        <v>5191</v>
      </c>
      <c r="K248" t="s">
        <v>463</v>
      </c>
      <c r="L248">
        <v>20.9</v>
      </c>
      <c r="M248" s="452">
        <v>46157</v>
      </c>
      <c r="N248">
        <v>38</v>
      </c>
      <c r="O248">
        <v>38</v>
      </c>
      <c r="P248">
        <v>22.36</v>
      </c>
    </row>
    <row r="249" spans="1:16" x14ac:dyDescent="0.3">
      <c r="A249">
        <v>90609</v>
      </c>
      <c r="B249">
        <v>105</v>
      </c>
      <c r="C249" t="s">
        <v>557</v>
      </c>
      <c r="D249" s="452">
        <v>46174</v>
      </c>
      <c r="E249">
        <v>23238</v>
      </c>
      <c r="F249" t="s">
        <v>4934</v>
      </c>
      <c r="G249">
        <v>2618</v>
      </c>
      <c r="H249">
        <v>1</v>
      </c>
      <c r="I249" t="s">
        <v>4744</v>
      </c>
      <c r="J249" t="s">
        <v>5191</v>
      </c>
      <c r="K249" t="s">
        <v>463</v>
      </c>
      <c r="L249">
        <v>21.94</v>
      </c>
      <c r="M249" s="452">
        <v>46170</v>
      </c>
      <c r="N249">
        <v>14.3</v>
      </c>
      <c r="O249">
        <v>14.3</v>
      </c>
      <c r="P249">
        <v>21.94</v>
      </c>
    </row>
    <row r="250" spans="1:16" x14ac:dyDescent="0.3">
      <c r="A250">
        <v>90548</v>
      </c>
      <c r="B250">
        <v>105</v>
      </c>
      <c r="C250" t="s">
        <v>557</v>
      </c>
      <c r="D250" s="452">
        <v>46174</v>
      </c>
      <c r="E250">
        <v>20025</v>
      </c>
      <c r="F250" t="s">
        <v>5010</v>
      </c>
      <c r="G250">
        <v>2339</v>
      </c>
      <c r="H250">
        <v>1</v>
      </c>
      <c r="I250" t="s">
        <v>4736</v>
      </c>
      <c r="J250" t="s">
        <v>5191</v>
      </c>
      <c r="K250" t="s">
        <v>463</v>
      </c>
      <c r="L250">
        <v>0</v>
      </c>
      <c r="M250" s="452">
        <v>45989</v>
      </c>
      <c r="N250">
        <v>21.75</v>
      </c>
      <c r="O250">
        <v>23.27</v>
      </c>
      <c r="P250">
        <v>21.75</v>
      </c>
    </row>
    <row r="251" spans="1:16" x14ac:dyDescent="0.3">
      <c r="A251">
        <v>90545</v>
      </c>
      <c r="B251">
        <v>105</v>
      </c>
      <c r="C251" t="s">
        <v>557</v>
      </c>
      <c r="D251" s="452">
        <v>46174</v>
      </c>
      <c r="E251">
        <v>19978</v>
      </c>
      <c r="F251" t="s">
        <v>4887</v>
      </c>
      <c r="G251">
        <v>2353</v>
      </c>
      <c r="H251">
        <v>1</v>
      </c>
      <c r="I251" t="s">
        <v>4888</v>
      </c>
      <c r="J251" t="s">
        <v>5191</v>
      </c>
      <c r="K251" t="s">
        <v>463</v>
      </c>
      <c r="L251">
        <v>0</v>
      </c>
      <c r="M251" s="452">
        <v>46142</v>
      </c>
      <c r="N251">
        <v>21.45</v>
      </c>
      <c r="O251">
        <v>21.45</v>
      </c>
      <c r="P251">
        <v>21.45</v>
      </c>
    </row>
    <row r="252" spans="1:16" x14ac:dyDescent="0.3">
      <c r="A252">
        <v>90544</v>
      </c>
      <c r="B252">
        <v>105</v>
      </c>
      <c r="C252" t="s">
        <v>557</v>
      </c>
      <c r="D252" s="452">
        <v>46174</v>
      </c>
      <c r="E252">
        <v>19969</v>
      </c>
      <c r="F252" t="s">
        <v>5018</v>
      </c>
      <c r="G252">
        <v>2354</v>
      </c>
      <c r="H252">
        <v>2</v>
      </c>
      <c r="I252" t="s">
        <v>4888</v>
      </c>
      <c r="J252" t="s">
        <v>5191</v>
      </c>
      <c r="K252" t="s">
        <v>463</v>
      </c>
      <c r="L252">
        <v>0</v>
      </c>
      <c r="M252" s="452">
        <v>46142</v>
      </c>
      <c r="N252">
        <v>10.65</v>
      </c>
      <c r="O252">
        <v>10.76</v>
      </c>
      <c r="P252">
        <v>21.3</v>
      </c>
    </row>
    <row r="253" spans="1:16" x14ac:dyDescent="0.3">
      <c r="A253">
        <v>90515</v>
      </c>
      <c r="B253">
        <v>105</v>
      </c>
      <c r="C253" t="s">
        <v>557</v>
      </c>
      <c r="D253" s="452">
        <v>46174</v>
      </c>
      <c r="E253">
        <v>19622</v>
      </c>
      <c r="F253" t="s">
        <v>4915</v>
      </c>
      <c r="G253">
        <v>2612</v>
      </c>
      <c r="H253">
        <v>3.79</v>
      </c>
      <c r="I253" t="s">
        <v>4744</v>
      </c>
      <c r="J253" t="s">
        <v>5191</v>
      </c>
      <c r="K253" t="s">
        <v>463</v>
      </c>
      <c r="L253">
        <v>5.24</v>
      </c>
      <c r="M253" s="452">
        <v>46156</v>
      </c>
      <c r="N253">
        <v>5</v>
      </c>
      <c r="O253">
        <v>5.5</v>
      </c>
      <c r="P253">
        <v>19.86</v>
      </c>
    </row>
    <row r="254" spans="1:16" x14ac:dyDescent="0.3">
      <c r="A254">
        <v>90650</v>
      </c>
      <c r="B254">
        <v>105</v>
      </c>
      <c r="C254" t="s">
        <v>557</v>
      </c>
      <c r="D254" s="452">
        <v>46174</v>
      </c>
      <c r="E254">
        <v>24598</v>
      </c>
      <c r="F254" t="s">
        <v>4852</v>
      </c>
      <c r="G254">
        <v>2725</v>
      </c>
      <c r="H254">
        <v>1.35</v>
      </c>
      <c r="I254" t="s">
        <v>4744</v>
      </c>
      <c r="J254" t="s">
        <v>5191</v>
      </c>
      <c r="K254" t="s">
        <v>463</v>
      </c>
      <c r="L254">
        <v>14.11</v>
      </c>
      <c r="M254" s="452">
        <v>46169</v>
      </c>
      <c r="N254">
        <v>11.91</v>
      </c>
      <c r="O254">
        <v>11.91</v>
      </c>
      <c r="P254">
        <v>19.05</v>
      </c>
    </row>
    <row r="255" spans="1:16" x14ac:dyDescent="0.3">
      <c r="A255">
        <v>90603</v>
      </c>
      <c r="B255">
        <v>105</v>
      </c>
      <c r="C255" t="s">
        <v>557</v>
      </c>
      <c r="D255" s="452">
        <v>46174</v>
      </c>
      <c r="E255">
        <v>23184</v>
      </c>
      <c r="F255" t="s">
        <v>4935</v>
      </c>
      <c r="G255">
        <v>2670</v>
      </c>
      <c r="H255">
        <v>0.8</v>
      </c>
      <c r="I255" t="s">
        <v>4744</v>
      </c>
      <c r="J255" t="s">
        <v>5191</v>
      </c>
      <c r="K255" t="s">
        <v>463</v>
      </c>
      <c r="L255">
        <v>23.41</v>
      </c>
      <c r="M255" s="452">
        <v>46170</v>
      </c>
      <c r="N255">
        <v>26</v>
      </c>
      <c r="O255">
        <v>26</v>
      </c>
      <c r="P255">
        <v>18.73</v>
      </c>
    </row>
    <row r="256" spans="1:16" x14ac:dyDescent="0.3">
      <c r="A256">
        <v>90611</v>
      </c>
      <c r="B256">
        <v>105</v>
      </c>
      <c r="C256" t="s">
        <v>557</v>
      </c>
      <c r="D256" s="452">
        <v>46174</v>
      </c>
      <c r="E256">
        <v>23335</v>
      </c>
      <c r="F256" t="s">
        <v>4961</v>
      </c>
      <c r="G256">
        <v>2523</v>
      </c>
      <c r="H256">
        <v>0.5</v>
      </c>
      <c r="I256" t="s">
        <v>4744</v>
      </c>
      <c r="J256" t="s">
        <v>5191</v>
      </c>
      <c r="K256" t="s">
        <v>463</v>
      </c>
      <c r="L256">
        <v>37.090000000000003</v>
      </c>
      <c r="M256" s="452">
        <v>46170</v>
      </c>
      <c r="N256">
        <v>33.35</v>
      </c>
      <c r="O256">
        <v>33.35</v>
      </c>
      <c r="P256">
        <v>18.55</v>
      </c>
    </row>
    <row r="257" spans="1:16" x14ac:dyDescent="0.3">
      <c r="A257">
        <v>90448</v>
      </c>
      <c r="B257">
        <v>105</v>
      </c>
      <c r="C257" t="s">
        <v>557</v>
      </c>
      <c r="D257" s="452">
        <v>46174</v>
      </c>
      <c r="E257">
        <v>18317</v>
      </c>
      <c r="F257" t="s">
        <v>5056</v>
      </c>
      <c r="G257">
        <v>3316</v>
      </c>
      <c r="H257">
        <v>0.5</v>
      </c>
      <c r="I257" t="s">
        <v>4805</v>
      </c>
      <c r="J257" t="s">
        <v>5222</v>
      </c>
      <c r="K257" t="s">
        <v>463</v>
      </c>
      <c r="L257">
        <v>0</v>
      </c>
      <c r="N257">
        <v>0</v>
      </c>
      <c r="O257">
        <v>37.25</v>
      </c>
      <c r="P257">
        <v>18.440000000000001</v>
      </c>
    </row>
    <row r="258" spans="1:16" x14ac:dyDescent="0.3">
      <c r="A258">
        <v>90513</v>
      </c>
      <c r="B258">
        <v>105</v>
      </c>
      <c r="C258" t="s">
        <v>557</v>
      </c>
      <c r="D258" s="452">
        <v>46174</v>
      </c>
      <c r="E258">
        <v>19617</v>
      </c>
      <c r="F258" t="s">
        <v>5071</v>
      </c>
      <c r="G258">
        <v>2617</v>
      </c>
      <c r="H258">
        <v>0.6</v>
      </c>
      <c r="I258" t="s">
        <v>4744</v>
      </c>
      <c r="J258" t="s">
        <v>5191</v>
      </c>
      <c r="K258" t="s">
        <v>463</v>
      </c>
      <c r="L258">
        <v>29.76</v>
      </c>
      <c r="M258" s="452">
        <v>46170</v>
      </c>
      <c r="N258">
        <v>30</v>
      </c>
      <c r="O258">
        <v>30</v>
      </c>
      <c r="P258">
        <v>17.86</v>
      </c>
    </row>
    <row r="259" spans="1:16" x14ac:dyDescent="0.3">
      <c r="A259">
        <v>90624</v>
      </c>
      <c r="B259">
        <v>105</v>
      </c>
      <c r="C259" t="s">
        <v>557</v>
      </c>
      <c r="D259" s="452">
        <v>46174</v>
      </c>
      <c r="E259">
        <v>23635</v>
      </c>
      <c r="F259" t="s">
        <v>4837</v>
      </c>
      <c r="G259">
        <v>2247</v>
      </c>
      <c r="H259">
        <v>2</v>
      </c>
      <c r="I259" t="s">
        <v>4744</v>
      </c>
      <c r="J259" t="s">
        <v>5191</v>
      </c>
      <c r="K259" t="s">
        <v>463</v>
      </c>
      <c r="L259">
        <v>0</v>
      </c>
      <c r="M259" s="452">
        <v>45845</v>
      </c>
      <c r="N259">
        <v>8.7100000000000009</v>
      </c>
      <c r="O259">
        <v>8.5</v>
      </c>
      <c r="P259">
        <v>17.420000000000002</v>
      </c>
    </row>
    <row r="260" spans="1:16" x14ac:dyDescent="0.3">
      <c r="A260">
        <v>90587</v>
      </c>
      <c r="B260">
        <v>105</v>
      </c>
      <c r="C260" t="s">
        <v>557</v>
      </c>
      <c r="D260" s="452">
        <v>46174</v>
      </c>
      <c r="E260">
        <v>21005</v>
      </c>
      <c r="F260" t="s">
        <v>5161</v>
      </c>
      <c r="G260">
        <v>2007</v>
      </c>
      <c r="H260">
        <v>0.5</v>
      </c>
      <c r="I260" t="s">
        <v>4888</v>
      </c>
      <c r="J260" t="s">
        <v>5191</v>
      </c>
      <c r="K260" t="s">
        <v>463</v>
      </c>
      <c r="L260">
        <v>0</v>
      </c>
      <c r="M260" s="452">
        <v>45831</v>
      </c>
      <c r="N260">
        <v>32.9</v>
      </c>
      <c r="O260">
        <v>95.7</v>
      </c>
      <c r="P260">
        <v>16.45</v>
      </c>
    </row>
    <row r="261" spans="1:16" x14ac:dyDescent="0.3">
      <c r="A261">
        <v>90629</v>
      </c>
      <c r="B261">
        <v>105</v>
      </c>
      <c r="C261" t="s">
        <v>557</v>
      </c>
      <c r="D261" s="452">
        <v>46174</v>
      </c>
      <c r="E261">
        <v>23884</v>
      </c>
      <c r="F261" t="s">
        <v>5070</v>
      </c>
      <c r="G261">
        <v>2015</v>
      </c>
      <c r="H261">
        <v>1.67</v>
      </c>
      <c r="I261" t="s">
        <v>4955</v>
      </c>
      <c r="J261" t="s">
        <v>5191</v>
      </c>
      <c r="K261" t="s">
        <v>463</v>
      </c>
      <c r="L261">
        <v>8.9</v>
      </c>
      <c r="M261" s="452">
        <v>46148</v>
      </c>
      <c r="N261">
        <v>8.9</v>
      </c>
      <c r="O261">
        <v>9.1</v>
      </c>
      <c r="P261">
        <v>14.86</v>
      </c>
    </row>
    <row r="262" spans="1:16" x14ac:dyDescent="0.3">
      <c r="A262">
        <v>90531</v>
      </c>
      <c r="B262">
        <v>105</v>
      </c>
      <c r="C262" t="s">
        <v>557</v>
      </c>
      <c r="D262" s="452">
        <v>46174</v>
      </c>
      <c r="E262">
        <v>19742</v>
      </c>
      <c r="F262" t="s">
        <v>4900</v>
      </c>
      <c r="G262">
        <v>2511</v>
      </c>
      <c r="H262">
        <v>1.2</v>
      </c>
      <c r="I262" t="s">
        <v>4744</v>
      </c>
      <c r="J262" t="s">
        <v>5191</v>
      </c>
      <c r="K262" t="s">
        <v>463</v>
      </c>
      <c r="L262">
        <v>12.23</v>
      </c>
      <c r="M262" s="452">
        <v>46156</v>
      </c>
      <c r="N262">
        <v>14</v>
      </c>
      <c r="O262">
        <v>13</v>
      </c>
      <c r="P262">
        <v>14.68</v>
      </c>
    </row>
    <row r="263" spans="1:16" x14ac:dyDescent="0.3">
      <c r="A263">
        <v>90612</v>
      </c>
      <c r="B263">
        <v>105</v>
      </c>
      <c r="C263" t="s">
        <v>557</v>
      </c>
      <c r="D263" s="452">
        <v>46174</v>
      </c>
      <c r="E263">
        <v>23346</v>
      </c>
      <c r="F263" t="s">
        <v>4916</v>
      </c>
      <c r="G263">
        <v>2512</v>
      </c>
      <c r="H263">
        <v>1.8</v>
      </c>
      <c r="I263" t="s">
        <v>4744</v>
      </c>
      <c r="J263" t="s">
        <v>5191</v>
      </c>
      <c r="K263" t="s">
        <v>463</v>
      </c>
      <c r="L263">
        <v>7.8</v>
      </c>
      <c r="M263" s="452">
        <v>46167</v>
      </c>
      <c r="N263">
        <v>7.5</v>
      </c>
      <c r="O263">
        <v>6</v>
      </c>
      <c r="P263">
        <v>14.04</v>
      </c>
    </row>
    <row r="264" spans="1:16" x14ac:dyDescent="0.3">
      <c r="A264">
        <v>90499</v>
      </c>
      <c r="B264">
        <v>105</v>
      </c>
      <c r="C264" t="s">
        <v>557</v>
      </c>
      <c r="D264" s="452">
        <v>46174</v>
      </c>
      <c r="E264">
        <v>19506</v>
      </c>
      <c r="F264" t="s">
        <v>5122</v>
      </c>
      <c r="G264">
        <v>2705</v>
      </c>
      <c r="H264">
        <v>0.3</v>
      </c>
      <c r="I264" t="s">
        <v>4744</v>
      </c>
      <c r="J264" t="s">
        <v>5191</v>
      </c>
      <c r="K264" t="s">
        <v>463</v>
      </c>
      <c r="L264">
        <v>46.15</v>
      </c>
      <c r="M264" s="452">
        <v>46170</v>
      </c>
      <c r="N264">
        <v>35.729999999999997</v>
      </c>
      <c r="O264">
        <v>35.799999999999997</v>
      </c>
      <c r="P264">
        <v>13.84</v>
      </c>
    </row>
    <row r="265" spans="1:16" x14ac:dyDescent="0.3">
      <c r="A265">
        <v>90409</v>
      </c>
      <c r="B265">
        <v>105</v>
      </c>
      <c r="C265" t="s">
        <v>557</v>
      </c>
      <c r="D265" s="452">
        <v>46174</v>
      </c>
      <c r="E265">
        <v>17721</v>
      </c>
      <c r="F265" t="s">
        <v>4977</v>
      </c>
      <c r="G265">
        <v>3818</v>
      </c>
      <c r="H265">
        <v>1</v>
      </c>
      <c r="I265" t="s">
        <v>4805</v>
      </c>
      <c r="J265" t="s">
        <v>5222</v>
      </c>
      <c r="K265" t="s">
        <v>463</v>
      </c>
      <c r="L265">
        <v>0</v>
      </c>
      <c r="M265" s="452">
        <v>46098</v>
      </c>
      <c r="N265">
        <v>13.8</v>
      </c>
      <c r="O265">
        <v>12.11</v>
      </c>
      <c r="P265">
        <v>13.8</v>
      </c>
    </row>
    <row r="266" spans="1:16" x14ac:dyDescent="0.3">
      <c r="A266">
        <v>90620</v>
      </c>
      <c r="B266">
        <v>105</v>
      </c>
      <c r="C266" t="s">
        <v>557</v>
      </c>
      <c r="D266" s="452">
        <v>46174</v>
      </c>
      <c r="E266">
        <v>23503</v>
      </c>
      <c r="F266" t="s">
        <v>5048</v>
      </c>
      <c r="G266">
        <v>2366</v>
      </c>
      <c r="H266">
        <v>0.56999999999999995</v>
      </c>
      <c r="I266" t="s">
        <v>4744</v>
      </c>
      <c r="J266" t="s">
        <v>5191</v>
      </c>
      <c r="K266" t="s">
        <v>463</v>
      </c>
      <c r="L266">
        <v>0</v>
      </c>
      <c r="M266" s="452">
        <v>46094</v>
      </c>
      <c r="N266">
        <v>23.3</v>
      </c>
      <c r="O266">
        <v>23.6</v>
      </c>
      <c r="P266">
        <v>13.28</v>
      </c>
    </row>
    <row r="267" spans="1:16" x14ac:dyDescent="0.3">
      <c r="A267">
        <v>90558</v>
      </c>
      <c r="B267">
        <v>105</v>
      </c>
      <c r="C267" t="s">
        <v>557</v>
      </c>
      <c r="D267" s="452">
        <v>46174</v>
      </c>
      <c r="E267">
        <v>20227</v>
      </c>
      <c r="F267" t="s">
        <v>4825</v>
      </c>
      <c r="G267">
        <v>2248</v>
      </c>
      <c r="H267">
        <v>1</v>
      </c>
      <c r="I267" t="s">
        <v>4738</v>
      </c>
      <c r="J267" t="s">
        <v>5191</v>
      </c>
      <c r="K267" t="s">
        <v>463</v>
      </c>
      <c r="L267">
        <v>13.04</v>
      </c>
      <c r="M267" s="452">
        <v>46157</v>
      </c>
      <c r="N267">
        <v>13.3</v>
      </c>
      <c r="O267">
        <v>13.29</v>
      </c>
      <c r="P267">
        <v>13.04</v>
      </c>
    </row>
    <row r="268" spans="1:16" x14ac:dyDescent="0.3">
      <c r="A268">
        <v>90529</v>
      </c>
      <c r="B268">
        <v>105</v>
      </c>
      <c r="C268" t="s">
        <v>557</v>
      </c>
      <c r="D268" s="452">
        <v>46174</v>
      </c>
      <c r="E268">
        <v>19737</v>
      </c>
      <c r="F268" t="s">
        <v>4940</v>
      </c>
      <c r="G268">
        <v>2516</v>
      </c>
      <c r="H268">
        <v>1.7</v>
      </c>
      <c r="I268" t="s">
        <v>4744</v>
      </c>
      <c r="J268" t="s">
        <v>5191</v>
      </c>
      <c r="K268" t="s">
        <v>463</v>
      </c>
      <c r="L268">
        <v>6.8</v>
      </c>
      <c r="M268" s="452">
        <v>46170</v>
      </c>
      <c r="N268">
        <v>5.8</v>
      </c>
      <c r="O268">
        <v>5.8</v>
      </c>
      <c r="P268">
        <v>11.56</v>
      </c>
    </row>
    <row r="269" spans="1:16" x14ac:dyDescent="0.3">
      <c r="A269">
        <v>90542</v>
      </c>
      <c r="B269">
        <v>105</v>
      </c>
      <c r="C269" t="s">
        <v>557</v>
      </c>
      <c r="D269" s="452">
        <v>46174</v>
      </c>
      <c r="E269">
        <v>19939</v>
      </c>
      <c r="F269" t="s">
        <v>5057</v>
      </c>
      <c r="G269">
        <v>2365</v>
      </c>
      <c r="H269">
        <v>0.5</v>
      </c>
      <c r="I269" t="s">
        <v>4744</v>
      </c>
      <c r="J269" t="s">
        <v>5191</v>
      </c>
      <c r="K269" t="s">
        <v>463</v>
      </c>
      <c r="L269">
        <v>0</v>
      </c>
      <c r="N269">
        <v>0</v>
      </c>
      <c r="O269">
        <v>22.55</v>
      </c>
      <c r="P269">
        <v>11</v>
      </c>
    </row>
    <row r="270" spans="1:16" x14ac:dyDescent="0.3">
      <c r="A270">
        <v>90608</v>
      </c>
      <c r="B270">
        <v>105</v>
      </c>
      <c r="C270" t="s">
        <v>557</v>
      </c>
      <c r="D270" s="452">
        <v>46174</v>
      </c>
      <c r="E270">
        <v>23236</v>
      </c>
      <c r="F270" t="s">
        <v>5062</v>
      </c>
      <c r="G270">
        <v>2620</v>
      </c>
      <c r="H270">
        <v>1</v>
      </c>
      <c r="I270" t="s">
        <v>4744</v>
      </c>
      <c r="J270" t="s">
        <v>5191</v>
      </c>
      <c r="K270" t="s">
        <v>463</v>
      </c>
      <c r="L270">
        <v>10.48</v>
      </c>
      <c r="M270" s="452">
        <v>46170</v>
      </c>
      <c r="N270">
        <v>11</v>
      </c>
      <c r="O270">
        <v>11</v>
      </c>
      <c r="P270">
        <v>10.48</v>
      </c>
    </row>
    <row r="271" spans="1:16" x14ac:dyDescent="0.3">
      <c r="A271">
        <v>90517</v>
      </c>
      <c r="B271">
        <v>105</v>
      </c>
      <c r="C271" t="s">
        <v>557</v>
      </c>
      <c r="D271" s="452">
        <v>46174</v>
      </c>
      <c r="E271">
        <v>19632</v>
      </c>
      <c r="F271" t="s">
        <v>4936</v>
      </c>
      <c r="G271">
        <v>2604</v>
      </c>
      <c r="H271">
        <v>1.9</v>
      </c>
      <c r="I271" t="s">
        <v>4744</v>
      </c>
      <c r="J271" t="s">
        <v>5191</v>
      </c>
      <c r="K271" t="s">
        <v>463</v>
      </c>
      <c r="L271">
        <v>5.26</v>
      </c>
      <c r="M271" s="452">
        <v>46169</v>
      </c>
      <c r="N271">
        <v>5</v>
      </c>
      <c r="O271">
        <v>4.5</v>
      </c>
      <c r="P271">
        <v>9.99</v>
      </c>
    </row>
    <row r="272" spans="1:16" x14ac:dyDescent="0.3">
      <c r="A272">
        <v>90436</v>
      </c>
      <c r="B272">
        <v>105</v>
      </c>
      <c r="C272" t="s">
        <v>557</v>
      </c>
      <c r="D272" s="452">
        <v>46174</v>
      </c>
      <c r="E272">
        <v>18212</v>
      </c>
      <c r="F272" t="s">
        <v>5040</v>
      </c>
      <c r="G272">
        <v>3415</v>
      </c>
      <c r="H272">
        <v>0.26</v>
      </c>
      <c r="I272" t="s">
        <v>4805</v>
      </c>
      <c r="J272" t="s">
        <v>5222</v>
      </c>
      <c r="K272" t="s">
        <v>463</v>
      </c>
      <c r="L272">
        <v>0</v>
      </c>
      <c r="N272">
        <v>0</v>
      </c>
      <c r="O272">
        <v>35.51</v>
      </c>
      <c r="P272">
        <v>9.89</v>
      </c>
    </row>
    <row r="273" spans="1:16" x14ac:dyDescent="0.3">
      <c r="A273">
        <v>90604</v>
      </c>
      <c r="B273">
        <v>105</v>
      </c>
      <c r="C273" t="s">
        <v>557</v>
      </c>
      <c r="D273" s="452">
        <v>46174</v>
      </c>
      <c r="E273">
        <v>23195</v>
      </c>
      <c r="F273" t="s">
        <v>5051</v>
      </c>
      <c r="G273">
        <v>2660</v>
      </c>
      <c r="H273">
        <v>0.9</v>
      </c>
      <c r="I273" t="s">
        <v>4744</v>
      </c>
      <c r="J273" t="s">
        <v>5191</v>
      </c>
      <c r="K273" t="s">
        <v>463</v>
      </c>
      <c r="L273">
        <v>10.8</v>
      </c>
      <c r="M273" s="452">
        <v>46163</v>
      </c>
      <c r="N273">
        <v>10</v>
      </c>
      <c r="O273">
        <v>10</v>
      </c>
      <c r="P273">
        <v>9.7200000000000006</v>
      </c>
    </row>
    <row r="274" spans="1:16" x14ac:dyDescent="0.3">
      <c r="A274">
        <v>90490</v>
      </c>
      <c r="B274">
        <v>105</v>
      </c>
      <c r="C274" t="s">
        <v>557</v>
      </c>
      <c r="D274" s="452">
        <v>46174</v>
      </c>
      <c r="E274">
        <v>19465</v>
      </c>
      <c r="F274" t="s">
        <v>5114</v>
      </c>
      <c r="G274">
        <v>2737</v>
      </c>
      <c r="H274">
        <v>1.5</v>
      </c>
      <c r="I274" t="s">
        <v>4744</v>
      </c>
      <c r="J274" t="s">
        <v>5191</v>
      </c>
      <c r="K274" t="s">
        <v>463</v>
      </c>
      <c r="L274">
        <v>6.17</v>
      </c>
      <c r="M274" s="452">
        <v>46170</v>
      </c>
      <c r="N274">
        <v>6.5</v>
      </c>
      <c r="O274">
        <v>6.53</v>
      </c>
      <c r="P274">
        <v>9.25</v>
      </c>
    </row>
    <row r="275" spans="1:16" x14ac:dyDescent="0.3">
      <c r="A275">
        <v>90660</v>
      </c>
      <c r="B275">
        <v>105</v>
      </c>
      <c r="C275" t="s">
        <v>557</v>
      </c>
      <c r="D275" s="452">
        <v>46174</v>
      </c>
      <c r="E275">
        <v>25079</v>
      </c>
      <c r="F275" t="s">
        <v>5006</v>
      </c>
      <c r="G275">
        <v>2239</v>
      </c>
      <c r="H275">
        <v>1</v>
      </c>
      <c r="I275" t="s">
        <v>4738</v>
      </c>
      <c r="J275" t="s">
        <v>5191</v>
      </c>
      <c r="K275" t="s">
        <v>463</v>
      </c>
      <c r="L275">
        <v>0</v>
      </c>
      <c r="N275">
        <v>0</v>
      </c>
      <c r="O275">
        <v>8.9499999999999993</v>
      </c>
      <c r="P275">
        <v>9</v>
      </c>
    </row>
    <row r="276" spans="1:16" x14ac:dyDescent="0.3">
      <c r="A276">
        <v>90512</v>
      </c>
      <c r="B276">
        <v>105</v>
      </c>
      <c r="C276" t="s">
        <v>557</v>
      </c>
      <c r="D276" s="452">
        <v>46174</v>
      </c>
      <c r="E276">
        <v>19607</v>
      </c>
      <c r="F276" t="s">
        <v>4981</v>
      </c>
      <c r="G276">
        <v>2623</v>
      </c>
      <c r="H276">
        <v>0.75</v>
      </c>
      <c r="I276" t="s">
        <v>4744</v>
      </c>
      <c r="J276" t="s">
        <v>5191</v>
      </c>
      <c r="K276" t="s">
        <v>463</v>
      </c>
      <c r="L276">
        <v>11.39</v>
      </c>
      <c r="M276" s="452">
        <v>46167</v>
      </c>
      <c r="N276">
        <v>11.52</v>
      </c>
      <c r="O276">
        <v>10</v>
      </c>
      <c r="P276">
        <v>8.5399999999999991</v>
      </c>
    </row>
    <row r="277" spans="1:16" x14ac:dyDescent="0.3">
      <c r="A277">
        <v>90656</v>
      </c>
      <c r="B277">
        <v>105</v>
      </c>
      <c r="C277" t="s">
        <v>557</v>
      </c>
      <c r="D277" s="452">
        <v>46174</v>
      </c>
      <c r="E277">
        <v>25022</v>
      </c>
      <c r="F277" t="s">
        <v>4912</v>
      </c>
      <c r="G277">
        <v>5868</v>
      </c>
      <c r="H277">
        <v>2</v>
      </c>
      <c r="I277" t="s">
        <v>4738</v>
      </c>
      <c r="J277" t="s">
        <v>5191</v>
      </c>
      <c r="K277" t="s">
        <v>463</v>
      </c>
      <c r="L277">
        <v>4.2</v>
      </c>
      <c r="M277" s="452">
        <v>46157</v>
      </c>
      <c r="N277">
        <v>4.2</v>
      </c>
      <c r="O277">
        <v>4.2</v>
      </c>
      <c r="P277">
        <v>8.4</v>
      </c>
    </row>
    <row r="278" spans="1:16" x14ac:dyDescent="0.3">
      <c r="A278">
        <v>90521</v>
      </c>
      <c r="B278">
        <v>105</v>
      </c>
      <c r="C278" t="s">
        <v>557</v>
      </c>
      <c r="D278" s="452">
        <v>46174</v>
      </c>
      <c r="E278">
        <v>19647</v>
      </c>
      <c r="F278" t="s">
        <v>5050</v>
      </c>
      <c r="G278">
        <v>2591</v>
      </c>
      <c r="H278">
        <v>0.5</v>
      </c>
      <c r="I278" t="s">
        <v>4744</v>
      </c>
      <c r="J278" t="s">
        <v>5191</v>
      </c>
      <c r="K278" t="s">
        <v>463</v>
      </c>
      <c r="L278">
        <v>16.72</v>
      </c>
      <c r="M278" s="452">
        <v>46167</v>
      </c>
      <c r="N278">
        <v>17</v>
      </c>
      <c r="O278">
        <v>14.3</v>
      </c>
      <c r="P278">
        <v>8.36</v>
      </c>
    </row>
    <row r="279" spans="1:16" x14ac:dyDescent="0.3">
      <c r="A279">
        <v>90616</v>
      </c>
      <c r="B279">
        <v>105</v>
      </c>
      <c r="C279" t="s">
        <v>557</v>
      </c>
      <c r="D279" s="452">
        <v>46174</v>
      </c>
      <c r="E279">
        <v>23389</v>
      </c>
      <c r="F279" t="s">
        <v>4960</v>
      </c>
      <c r="G279">
        <v>2475</v>
      </c>
      <c r="H279">
        <v>1.65</v>
      </c>
      <c r="I279" t="s">
        <v>4744</v>
      </c>
      <c r="J279" t="s">
        <v>5191</v>
      </c>
      <c r="K279" t="s">
        <v>463</v>
      </c>
      <c r="L279">
        <v>5</v>
      </c>
      <c r="M279" s="452">
        <v>46170</v>
      </c>
      <c r="N279">
        <v>4.83</v>
      </c>
      <c r="O279">
        <v>4.83</v>
      </c>
      <c r="P279">
        <v>8.25</v>
      </c>
    </row>
    <row r="280" spans="1:16" x14ac:dyDescent="0.3">
      <c r="A280">
        <v>90491</v>
      </c>
      <c r="B280">
        <v>105</v>
      </c>
      <c r="C280" t="s">
        <v>557</v>
      </c>
      <c r="D280" s="452">
        <v>46174</v>
      </c>
      <c r="E280">
        <v>19472</v>
      </c>
      <c r="F280" t="s">
        <v>4906</v>
      </c>
      <c r="G280">
        <v>2733</v>
      </c>
      <c r="H280">
        <v>0.44</v>
      </c>
      <c r="I280" t="s">
        <v>4744</v>
      </c>
      <c r="J280" t="s">
        <v>5191</v>
      </c>
      <c r="K280" t="s">
        <v>463</v>
      </c>
      <c r="L280">
        <v>18.63</v>
      </c>
      <c r="M280" s="452">
        <v>46170</v>
      </c>
      <c r="N280">
        <v>19.059999999999999</v>
      </c>
      <c r="O280">
        <v>23.66</v>
      </c>
      <c r="P280">
        <v>8.1999999999999993</v>
      </c>
    </row>
    <row r="281" spans="1:16" x14ac:dyDescent="0.3">
      <c r="A281">
        <v>90505</v>
      </c>
      <c r="B281">
        <v>105</v>
      </c>
      <c r="C281" t="s">
        <v>557</v>
      </c>
      <c r="D281" s="452">
        <v>46174</v>
      </c>
      <c r="E281">
        <v>19553</v>
      </c>
      <c r="F281" t="s">
        <v>4868</v>
      </c>
      <c r="G281">
        <v>2663</v>
      </c>
      <c r="H281">
        <v>1.55</v>
      </c>
      <c r="I281" t="s">
        <v>4744</v>
      </c>
      <c r="J281" t="s">
        <v>5191</v>
      </c>
      <c r="K281" t="s">
        <v>463</v>
      </c>
      <c r="L281">
        <v>5.23</v>
      </c>
      <c r="M281" s="452">
        <v>46170</v>
      </c>
      <c r="N281">
        <v>5.5</v>
      </c>
      <c r="O281">
        <v>5.5</v>
      </c>
      <c r="P281">
        <v>8.11</v>
      </c>
    </row>
    <row r="282" spans="1:16" x14ac:dyDescent="0.3">
      <c r="A282">
        <v>90615</v>
      </c>
      <c r="B282">
        <v>105</v>
      </c>
      <c r="C282" t="s">
        <v>557</v>
      </c>
      <c r="D282" s="452">
        <v>46174</v>
      </c>
      <c r="E282">
        <v>23365</v>
      </c>
      <c r="F282" t="s">
        <v>5108</v>
      </c>
      <c r="G282">
        <v>2493</v>
      </c>
      <c r="H282">
        <v>0.4</v>
      </c>
      <c r="I282" t="s">
        <v>4744</v>
      </c>
      <c r="J282" t="s">
        <v>5191</v>
      </c>
      <c r="K282" t="s">
        <v>463</v>
      </c>
      <c r="L282">
        <v>19.5</v>
      </c>
      <c r="M282" s="452">
        <v>46160</v>
      </c>
      <c r="N282">
        <v>21</v>
      </c>
      <c r="O282">
        <v>20</v>
      </c>
      <c r="P282">
        <v>7.8</v>
      </c>
    </row>
    <row r="283" spans="1:16" x14ac:dyDescent="0.3">
      <c r="A283">
        <v>90477</v>
      </c>
      <c r="B283">
        <v>105</v>
      </c>
      <c r="C283" t="s">
        <v>557</v>
      </c>
      <c r="D283" s="452">
        <v>46174</v>
      </c>
      <c r="E283">
        <v>19241</v>
      </c>
      <c r="F283" t="s">
        <v>4890</v>
      </c>
      <c r="G283">
        <v>2785</v>
      </c>
      <c r="H283">
        <v>2</v>
      </c>
      <c r="I283" t="s">
        <v>4736</v>
      </c>
      <c r="J283" t="s">
        <v>5191</v>
      </c>
      <c r="K283" t="s">
        <v>463</v>
      </c>
      <c r="L283">
        <v>3.8</v>
      </c>
      <c r="M283" s="452">
        <v>46157</v>
      </c>
      <c r="N283">
        <v>3.8</v>
      </c>
      <c r="O283">
        <v>3.8</v>
      </c>
      <c r="P283">
        <v>7.6</v>
      </c>
    </row>
    <row r="284" spans="1:16" x14ac:dyDescent="0.3">
      <c r="A284">
        <v>90546</v>
      </c>
      <c r="B284">
        <v>105</v>
      </c>
      <c r="C284" t="s">
        <v>557</v>
      </c>
      <c r="D284" s="452">
        <v>46174</v>
      </c>
      <c r="E284">
        <v>19982</v>
      </c>
      <c r="F284" t="s">
        <v>5017</v>
      </c>
      <c r="G284">
        <v>2351</v>
      </c>
      <c r="H284">
        <v>1</v>
      </c>
      <c r="I284" t="s">
        <v>4888</v>
      </c>
      <c r="J284" t="s">
        <v>5191</v>
      </c>
      <c r="K284" t="s">
        <v>463</v>
      </c>
      <c r="L284">
        <v>0</v>
      </c>
      <c r="M284" s="452">
        <v>46135</v>
      </c>
      <c r="N284">
        <v>7.29</v>
      </c>
      <c r="O284">
        <v>7.29</v>
      </c>
      <c r="P284">
        <v>7.29</v>
      </c>
    </row>
    <row r="285" spans="1:16" x14ac:dyDescent="0.3">
      <c r="A285">
        <v>90493</v>
      </c>
      <c r="B285">
        <v>105</v>
      </c>
      <c r="C285" t="s">
        <v>557</v>
      </c>
      <c r="D285" s="452">
        <v>46174</v>
      </c>
      <c r="E285">
        <v>19480</v>
      </c>
      <c r="F285" t="s">
        <v>5119</v>
      </c>
      <c r="G285">
        <v>2726</v>
      </c>
      <c r="H285">
        <v>0.42</v>
      </c>
      <c r="I285" t="s">
        <v>4744</v>
      </c>
      <c r="J285" t="s">
        <v>5191</v>
      </c>
      <c r="K285" t="s">
        <v>463</v>
      </c>
      <c r="L285">
        <v>17.23</v>
      </c>
      <c r="M285" s="452">
        <v>46167</v>
      </c>
      <c r="N285">
        <v>17</v>
      </c>
      <c r="O285">
        <v>16</v>
      </c>
      <c r="P285">
        <v>7.24</v>
      </c>
    </row>
    <row r="286" spans="1:16" x14ac:dyDescent="0.3">
      <c r="A286">
        <v>90571</v>
      </c>
      <c r="B286">
        <v>105</v>
      </c>
      <c r="C286" t="s">
        <v>557</v>
      </c>
      <c r="D286" s="452">
        <v>46174</v>
      </c>
      <c r="E286">
        <v>20614</v>
      </c>
      <c r="F286" t="s">
        <v>4958</v>
      </c>
      <c r="G286">
        <v>2119</v>
      </c>
      <c r="H286">
        <v>0.23</v>
      </c>
      <c r="I286" t="s">
        <v>4736</v>
      </c>
      <c r="J286" t="s">
        <v>5191</v>
      </c>
      <c r="K286" t="s">
        <v>463</v>
      </c>
      <c r="L286">
        <v>0</v>
      </c>
      <c r="M286" s="452">
        <v>45852</v>
      </c>
      <c r="N286">
        <v>29.9</v>
      </c>
      <c r="O286">
        <v>34.36</v>
      </c>
      <c r="P286">
        <v>6.88</v>
      </c>
    </row>
    <row r="287" spans="1:16" x14ac:dyDescent="0.3">
      <c r="A287">
        <v>90668</v>
      </c>
      <c r="B287">
        <v>105</v>
      </c>
      <c r="C287" t="s">
        <v>557</v>
      </c>
      <c r="D287" s="452">
        <v>46174</v>
      </c>
      <c r="E287">
        <v>25752</v>
      </c>
      <c r="F287" t="s">
        <v>5000</v>
      </c>
      <c r="G287">
        <v>6303</v>
      </c>
      <c r="H287">
        <v>1</v>
      </c>
      <c r="I287" t="s">
        <v>4749</v>
      </c>
      <c r="J287" t="s">
        <v>5191</v>
      </c>
      <c r="K287" t="s">
        <v>463</v>
      </c>
      <c r="L287">
        <v>0</v>
      </c>
      <c r="M287" s="452">
        <v>45995</v>
      </c>
      <c r="N287">
        <v>6.61</v>
      </c>
      <c r="O287">
        <v>6.61</v>
      </c>
      <c r="P287">
        <v>6.61</v>
      </c>
    </row>
    <row r="288" spans="1:16" x14ac:dyDescent="0.3">
      <c r="A288">
        <v>90697</v>
      </c>
      <c r="B288">
        <v>105</v>
      </c>
      <c r="C288" t="s">
        <v>557</v>
      </c>
      <c r="D288" s="452">
        <v>46174</v>
      </c>
      <c r="E288">
        <v>27757</v>
      </c>
      <c r="F288" t="s">
        <v>4942</v>
      </c>
      <c r="G288">
        <v>9067</v>
      </c>
      <c r="H288">
        <v>1</v>
      </c>
      <c r="I288" t="s">
        <v>4749</v>
      </c>
      <c r="J288" t="s">
        <v>5191</v>
      </c>
      <c r="K288" t="s">
        <v>463</v>
      </c>
      <c r="L288">
        <v>0</v>
      </c>
      <c r="M288" s="452">
        <v>46113</v>
      </c>
      <c r="N288">
        <v>6.61</v>
      </c>
      <c r="O288">
        <v>6.61</v>
      </c>
      <c r="P288">
        <v>6.61</v>
      </c>
    </row>
    <row r="289" spans="1:16" x14ac:dyDescent="0.3">
      <c r="A289">
        <v>90406</v>
      </c>
      <c r="B289">
        <v>105</v>
      </c>
      <c r="C289" t="s">
        <v>557</v>
      </c>
      <c r="D289" s="452">
        <v>46174</v>
      </c>
      <c r="E289">
        <v>17092</v>
      </c>
      <c r="F289" t="s">
        <v>5146</v>
      </c>
      <c r="G289">
        <v>4165</v>
      </c>
      <c r="H289">
        <v>3</v>
      </c>
      <c r="I289" t="s">
        <v>4736</v>
      </c>
      <c r="J289" t="s">
        <v>5222</v>
      </c>
      <c r="K289" t="s">
        <v>463</v>
      </c>
      <c r="L289">
        <v>0</v>
      </c>
      <c r="M289" s="452">
        <v>46106</v>
      </c>
      <c r="N289">
        <v>2.16</v>
      </c>
      <c r="O289">
        <v>2.16</v>
      </c>
      <c r="P289">
        <v>6.48</v>
      </c>
    </row>
    <row r="290" spans="1:16" x14ac:dyDescent="0.3">
      <c r="A290">
        <v>90602</v>
      </c>
      <c r="B290">
        <v>105</v>
      </c>
      <c r="C290" t="s">
        <v>557</v>
      </c>
      <c r="D290" s="452">
        <v>46174</v>
      </c>
      <c r="E290">
        <v>23124</v>
      </c>
      <c r="F290" t="s">
        <v>5126</v>
      </c>
      <c r="G290">
        <v>2727</v>
      </c>
      <c r="H290">
        <v>0.13</v>
      </c>
      <c r="I290" t="s">
        <v>4744</v>
      </c>
      <c r="J290" t="s">
        <v>5191</v>
      </c>
      <c r="K290" t="s">
        <v>463</v>
      </c>
      <c r="L290">
        <v>0</v>
      </c>
      <c r="M290" s="452">
        <v>45925</v>
      </c>
      <c r="N290">
        <v>49</v>
      </c>
      <c r="O290">
        <v>62.5</v>
      </c>
      <c r="P290">
        <v>6.37</v>
      </c>
    </row>
    <row r="291" spans="1:16" x14ac:dyDescent="0.3">
      <c r="A291">
        <v>90623</v>
      </c>
      <c r="B291">
        <v>105</v>
      </c>
      <c r="C291" t="s">
        <v>557</v>
      </c>
      <c r="D291" s="452">
        <v>46174</v>
      </c>
      <c r="E291">
        <v>23554</v>
      </c>
      <c r="F291" t="s">
        <v>4931</v>
      </c>
      <c r="G291">
        <v>2316</v>
      </c>
      <c r="H291">
        <v>0.72</v>
      </c>
      <c r="I291" t="s">
        <v>4744</v>
      </c>
      <c r="J291" t="s">
        <v>5191</v>
      </c>
      <c r="K291" t="s">
        <v>463</v>
      </c>
      <c r="L291">
        <v>0</v>
      </c>
      <c r="M291" s="452">
        <v>45887</v>
      </c>
      <c r="N291">
        <v>8.5</v>
      </c>
      <c r="O291">
        <v>8.5</v>
      </c>
      <c r="P291">
        <v>6.12</v>
      </c>
    </row>
    <row r="292" spans="1:16" x14ac:dyDescent="0.3">
      <c r="A292">
        <v>90687</v>
      </c>
      <c r="B292">
        <v>105</v>
      </c>
      <c r="C292" t="s">
        <v>557</v>
      </c>
      <c r="D292" s="452">
        <v>46174</v>
      </c>
      <c r="E292">
        <v>26103</v>
      </c>
      <c r="F292" t="s">
        <v>4776</v>
      </c>
      <c r="G292">
        <v>9072</v>
      </c>
      <c r="H292">
        <v>0.5</v>
      </c>
      <c r="I292" t="s">
        <v>4749</v>
      </c>
      <c r="J292" t="s">
        <v>5191</v>
      </c>
      <c r="K292" t="s">
        <v>463</v>
      </c>
      <c r="L292">
        <v>0</v>
      </c>
      <c r="M292" s="452">
        <v>46113</v>
      </c>
      <c r="N292">
        <v>11.01</v>
      </c>
      <c r="O292">
        <v>11.01</v>
      </c>
      <c r="P292">
        <v>5.5</v>
      </c>
    </row>
    <row r="293" spans="1:16" x14ac:dyDescent="0.3">
      <c r="A293">
        <v>90678</v>
      </c>
      <c r="B293">
        <v>105</v>
      </c>
      <c r="C293" t="s">
        <v>557</v>
      </c>
      <c r="D293" s="452">
        <v>46174</v>
      </c>
      <c r="E293">
        <v>26006</v>
      </c>
      <c r="F293" t="s">
        <v>4941</v>
      </c>
      <c r="G293">
        <v>6491</v>
      </c>
      <c r="H293">
        <v>0.5</v>
      </c>
      <c r="I293" t="s">
        <v>4749</v>
      </c>
      <c r="J293" t="s">
        <v>5191</v>
      </c>
      <c r="K293" t="s">
        <v>463</v>
      </c>
      <c r="L293">
        <v>0</v>
      </c>
      <c r="M293" s="452">
        <v>46113</v>
      </c>
      <c r="N293">
        <v>10.82</v>
      </c>
      <c r="O293">
        <v>10.82</v>
      </c>
      <c r="P293">
        <v>5.41</v>
      </c>
    </row>
    <row r="294" spans="1:16" x14ac:dyDescent="0.3">
      <c r="A294">
        <v>90617</v>
      </c>
      <c r="B294">
        <v>105</v>
      </c>
      <c r="C294" t="s">
        <v>557</v>
      </c>
      <c r="D294" s="452">
        <v>46174</v>
      </c>
      <c r="E294">
        <v>23390</v>
      </c>
      <c r="F294" t="s">
        <v>4873</v>
      </c>
      <c r="G294">
        <v>2474</v>
      </c>
      <c r="H294">
        <v>0.6</v>
      </c>
      <c r="I294" t="s">
        <v>4744</v>
      </c>
      <c r="J294" t="s">
        <v>5191</v>
      </c>
      <c r="K294" t="s">
        <v>463</v>
      </c>
      <c r="L294">
        <v>8</v>
      </c>
      <c r="M294" s="452">
        <v>46169</v>
      </c>
      <c r="N294">
        <v>8</v>
      </c>
      <c r="O294">
        <v>8</v>
      </c>
      <c r="P294">
        <v>4.8</v>
      </c>
    </row>
    <row r="295" spans="1:16" x14ac:dyDescent="0.3">
      <c r="A295">
        <v>90672</v>
      </c>
      <c r="B295">
        <v>105</v>
      </c>
      <c r="C295" t="s">
        <v>557</v>
      </c>
      <c r="D295" s="452">
        <v>46174</v>
      </c>
      <c r="E295">
        <v>25756</v>
      </c>
      <c r="F295" t="s">
        <v>4854</v>
      </c>
      <c r="G295">
        <v>9069</v>
      </c>
      <c r="H295">
        <v>0.56999999999999995</v>
      </c>
      <c r="I295" t="s">
        <v>4749</v>
      </c>
      <c r="J295" t="s">
        <v>5191</v>
      </c>
      <c r="K295" t="s">
        <v>463</v>
      </c>
      <c r="L295">
        <v>0</v>
      </c>
      <c r="M295" s="452">
        <v>46113</v>
      </c>
      <c r="N295">
        <v>7.99</v>
      </c>
      <c r="O295">
        <v>7.99</v>
      </c>
      <c r="P295">
        <v>4.55</v>
      </c>
    </row>
    <row r="296" spans="1:16" x14ac:dyDescent="0.3">
      <c r="A296">
        <v>90511</v>
      </c>
      <c r="B296">
        <v>105</v>
      </c>
      <c r="C296" t="s">
        <v>557</v>
      </c>
      <c r="D296" s="452">
        <v>46174</v>
      </c>
      <c r="E296">
        <v>19589</v>
      </c>
      <c r="F296" t="s">
        <v>4983</v>
      </c>
      <c r="G296">
        <v>2637</v>
      </c>
      <c r="H296">
        <v>0.55000000000000004</v>
      </c>
      <c r="I296" t="s">
        <v>4744</v>
      </c>
      <c r="J296" t="s">
        <v>5191</v>
      </c>
      <c r="K296" t="s">
        <v>463</v>
      </c>
      <c r="L296">
        <v>7.8</v>
      </c>
      <c r="M296" s="452">
        <v>46170</v>
      </c>
      <c r="N296">
        <v>9.5</v>
      </c>
      <c r="O296">
        <v>9.5</v>
      </c>
      <c r="P296">
        <v>4.29</v>
      </c>
    </row>
    <row r="297" spans="1:16" x14ac:dyDescent="0.3">
      <c r="A297">
        <v>90601</v>
      </c>
      <c r="B297">
        <v>105</v>
      </c>
      <c r="C297" t="s">
        <v>557</v>
      </c>
      <c r="D297" s="452">
        <v>46174</v>
      </c>
      <c r="E297">
        <v>23113</v>
      </c>
      <c r="F297" t="s">
        <v>5074</v>
      </c>
      <c r="G297">
        <v>2736</v>
      </c>
      <c r="H297">
        <v>0.25</v>
      </c>
      <c r="I297" t="s">
        <v>4744</v>
      </c>
      <c r="J297" t="s">
        <v>5191</v>
      </c>
      <c r="K297" t="s">
        <v>463</v>
      </c>
      <c r="L297">
        <v>14.05</v>
      </c>
      <c r="M297" s="452">
        <v>46170</v>
      </c>
      <c r="N297">
        <v>13</v>
      </c>
      <c r="O297">
        <v>13</v>
      </c>
      <c r="P297">
        <v>3.51</v>
      </c>
    </row>
    <row r="298" spans="1:16" x14ac:dyDescent="0.3">
      <c r="A298">
        <v>90666</v>
      </c>
      <c r="B298">
        <v>105</v>
      </c>
      <c r="C298" t="s">
        <v>557</v>
      </c>
      <c r="D298" s="452">
        <v>46174</v>
      </c>
      <c r="E298">
        <v>25748</v>
      </c>
      <c r="F298" t="s">
        <v>4999</v>
      </c>
      <c r="G298">
        <v>9068</v>
      </c>
      <c r="H298">
        <v>0.5</v>
      </c>
      <c r="I298" t="s">
        <v>4749</v>
      </c>
      <c r="J298" t="s">
        <v>5191</v>
      </c>
      <c r="K298" t="s">
        <v>463</v>
      </c>
      <c r="L298">
        <v>0</v>
      </c>
      <c r="M298" s="452">
        <v>46113</v>
      </c>
      <c r="N298">
        <v>5.65</v>
      </c>
      <c r="O298">
        <v>5.65</v>
      </c>
      <c r="P298">
        <v>2.82</v>
      </c>
    </row>
    <row r="299" spans="1:16" x14ac:dyDescent="0.3">
      <c r="A299">
        <v>90494</v>
      </c>
      <c r="B299">
        <v>105</v>
      </c>
      <c r="C299" t="s">
        <v>557</v>
      </c>
      <c r="D299" s="452">
        <v>46174</v>
      </c>
      <c r="E299">
        <v>19488</v>
      </c>
      <c r="F299" t="s">
        <v>5107</v>
      </c>
      <c r="G299">
        <v>2720</v>
      </c>
      <c r="H299">
        <v>0.2</v>
      </c>
      <c r="I299" t="s">
        <v>4744</v>
      </c>
      <c r="J299" t="s">
        <v>5191</v>
      </c>
      <c r="K299" t="s">
        <v>463</v>
      </c>
      <c r="L299">
        <v>13.84</v>
      </c>
      <c r="M299" s="452">
        <v>46170</v>
      </c>
      <c r="N299">
        <v>13</v>
      </c>
      <c r="O299">
        <v>13</v>
      </c>
      <c r="P299">
        <v>2.77</v>
      </c>
    </row>
    <row r="300" spans="1:16" x14ac:dyDescent="0.3">
      <c r="A300">
        <v>90532</v>
      </c>
      <c r="B300">
        <v>105</v>
      </c>
      <c r="C300" t="s">
        <v>557</v>
      </c>
      <c r="D300" s="452">
        <v>46174</v>
      </c>
      <c r="E300">
        <v>19743</v>
      </c>
      <c r="F300" t="s">
        <v>5047</v>
      </c>
      <c r="G300">
        <v>2510</v>
      </c>
      <c r="H300">
        <v>0.18</v>
      </c>
      <c r="I300" t="s">
        <v>4744</v>
      </c>
      <c r="J300" t="s">
        <v>5191</v>
      </c>
      <c r="K300" t="s">
        <v>463</v>
      </c>
      <c r="L300">
        <v>15.3</v>
      </c>
      <c r="M300" s="452">
        <v>46163</v>
      </c>
      <c r="N300">
        <v>15.3</v>
      </c>
      <c r="O300">
        <v>14</v>
      </c>
      <c r="P300">
        <v>2.75</v>
      </c>
    </row>
    <row r="301" spans="1:16" x14ac:dyDescent="0.3">
      <c r="A301">
        <v>90671</v>
      </c>
      <c r="B301">
        <v>105</v>
      </c>
      <c r="C301" t="s">
        <v>557</v>
      </c>
      <c r="D301" s="452">
        <v>46174</v>
      </c>
      <c r="E301">
        <v>25755</v>
      </c>
      <c r="F301" t="s">
        <v>4821</v>
      </c>
      <c r="G301">
        <v>9071</v>
      </c>
      <c r="H301">
        <v>0.36</v>
      </c>
      <c r="I301" t="s">
        <v>4749</v>
      </c>
      <c r="J301" t="s">
        <v>5191</v>
      </c>
      <c r="K301" t="s">
        <v>463</v>
      </c>
      <c r="L301">
        <v>0</v>
      </c>
      <c r="M301" s="452">
        <v>46113</v>
      </c>
      <c r="N301">
        <v>7.65</v>
      </c>
      <c r="O301">
        <v>7.65</v>
      </c>
      <c r="P301">
        <v>2.75</v>
      </c>
    </row>
    <row r="302" spans="1:16" x14ac:dyDescent="0.3">
      <c r="A302">
        <v>90674</v>
      </c>
      <c r="B302">
        <v>105</v>
      </c>
      <c r="C302" t="s">
        <v>557</v>
      </c>
      <c r="D302" s="452">
        <v>46174</v>
      </c>
      <c r="E302">
        <v>25762</v>
      </c>
      <c r="F302" t="s">
        <v>4770</v>
      </c>
      <c r="G302">
        <v>9070</v>
      </c>
      <c r="H302">
        <v>0.28999999999999998</v>
      </c>
      <c r="I302" t="s">
        <v>4736</v>
      </c>
      <c r="J302" t="s">
        <v>5191</v>
      </c>
      <c r="K302" t="s">
        <v>463</v>
      </c>
      <c r="L302">
        <v>0</v>
      </c>
      <c r="M302" s="452">
        <v>46113</v>
      </c>
      <c r="N302">
        <v>8.36</v>
      </c>
      <c r="O302">
        <v>8.36</v>
      </c>
      <c r="P302">
        <v>2.42</v>
      </c>
    </row>
    <row r="303" spans="1:16" x14ac:dyDescent="0.3">
      <c r="A303">
        <v>90696</v>
      </c>
      <c r="B303">
        <v>105</v>
      </c>
      <c r="C303" t="s">
        <v>557</v>
      </c>
      <c r="D303" s="452">
        <v>46174</v>
      </c>
      <c r="E303">
        <v>27689</v>
      </c>
      <c r="F303" t="s">
        <v>5139</v>
      </c>
      <c r="G303">
        <v>7656</v>
      </c>
      <c r="H303">
        <v>0.25</v>
      </c>
      <c r="I303" t="s">
        <v>4749</v>
      </c>
      <c r="J303" t="s">
        <v>5191</v>
      </c>
      <c r="K303" t="s">
        <v>463</v>
      </c>
      <c r="L303">
        <v>0</v>
      </c>
      <c r="M303" s="452">
        <v>46101</v>
      </c>
      <c r="N303">
        <v>0.95</v>
      </c>
      <c r="O303">
        <v>57</v>
      </c>
      <c r="P303">
        <v>0.24</v>
      </c>
    </row>
    <row r="304" spans="1:16" x14ac:dyDescent="0.3">
      <c r="A304">
        <v>85205</v>
      </c>
      <c r="B304">
        <v>105</v>
      </c>
      <c r="C304" t="s">
        <v>557</v>
      </c>
      <c r="D304" s="452">
        <v>46143</v>
      </c>
      <c r="E304">
        <v>18822</v>
      </c>
      <c r="F304" t="s">
        <v>4811</v>
      </c>
      <c r="G304">
        <v>2953</v>
      </c>
      <c r="H304">
        <v>37.28</v>
      </c>
      <c r="I304" t="s">
        <v>4744</v>
      </c>
      <c r="J304" t="s">
        <v>5191</v>
      </c>
      <c r="K304" t="s">
        <v>462</v>
      </c>
      <c r="L304">
        <v>98.71</v>
      </c>
      <c r="M304" s="452">
        <v>46136</v>
      </c>
      <c r="N304">
        <v>102.17</v>
      </c>
      <c r="O304">
        <v>102.17</v>
      </c>
      <c r="P304">
        <v>3679.91</v>
      </c>
    </row>
    <row r="305" spans="1:16" x14ac:dyDescent="0.3">
      <c r="A305">
        <v>85371</v>
      </c>
      <c r="B305">
        <v>105</v>
      </c>
      <c r="C305" t="s">
        <v>557</v>
      </c>
      <c r="D305" s="452">
        <v>46143</v>
      </c>
      <c r="E305">
        <v>24096</v>
      </c>
      <c r="F305" t="s">
        <v>4771</v>
      </c>
      <c r="G305">
        <v>2958</v>
      </c>
      <c r="H305">
        <v>70.95</v>
      </c>
      <c r="I305" t="s">
        <v>4744</v>
      </c>
      <c r="J305" t="s">
        <v>5191</v>
      </c>
      <c r="K305" t="s">
        <v>462</v>
      </c>
      <c r="L305">
        <v>42.9</v>
      </c>
      <c r="M305" s="452">
        <v>46139</v>
      </c>
      <c r="N305">
        <v>42.9</v>
      </c>
      <c r="O305">
        <v>42.9</v>
      </c>
      <c r="P305">
        <v>3043.76</v>
      </c>
    </row>
    <row r="306" spans="1:16" x14ac:dyDescent="0.3">
      <c r="A306">
        <v>85384</v>
      </c>
      <c r="B306">
        <v>105</v>
      </c>
      <c r="C306" t="s">
        <v>557</v>
      </c>
      <c r="D306" s="452">
        <v>46143</v>
      </c>
      <c r="E306">
        <v>24331</v>
      </c>
      <c r="F306" t="s">
        <v>5166</v>
      </c>
      <c r="G306">
        <v>2146</v>
      </c>
      <c r="H306">
        <v>24</v>
      </c>
      <c r="I306" t="s">
        <v>4744</v>
      </c>
      <c r="J306" t="s">
        <v>5191</v>
      </c>
      <c r="K306" t="s">
        <v>462</v>
      </c>
      <c r="L306">
        <v>104.45</v>
      </c>
      <c r="M306" s="452">
        <v>46122</v>
      </c>
      <c r="N306">
        <v>104.45</v>
      </c>
      <c r="O306">
        <v>22.41</v>
      </c>
      <c r="P306">
        <v>2506.8000000000002</v>
      </c>
    </row>
    <row r="307" spans="1:16" x14ac:dyDescent="0.3">
      <c r="A307">
        <v>85416</v>
      </c>
      <c r="B307">
        <v>105</v>
      </c>
      <c r="C307" t="s">
        <v>557</v>
      </c>
      <c r="D307" s="452">
        <v>46143</v>
      </c>
      <c r="E307">
        <v>25777</v>
      </c>
      <c r="F307" t="s">
        <v>4774</v>
      </c>
      <c r="G307">
        <v>6322</v>
      </c>
      <c r="H307">
        <v>26.73</v>
      </c>
      <c r="I307" t="s">
        <v>4744</v>
      </c>
      <c r="J307" t="s">
        <v>5191</v>
      </c>
      <c r="K307" t="s">
        <v>462</v>
      </c>
      <c r="L307">
        <v>86.18</v>
      </c>
      <c r="M307" s="452">
        <v>46136</v>
      </c>
      <c r="N307">
        <v>89.8</v>
      </c>
      <c r="O307">
        <v>89.8</v>
      </c>
      <c r="P307">
        <v>2303.59</v>
      </c>
    </row>
    <row r="308" spans="1:16" x14ac:dyDescent="0.3">
      <c r="A308">
        <v>85200</v>
      </c>
      <c r="B308">
        <v>105</v>
      </c>
      <c r="C308" t="s">
        <v>557</v>
      </c>
      <c r="D308" s="452">
        <v>46143</v>
      </c>
      <c r="E308">
        <v>18636</v>
      </c>
      <c r="F308" t="s">
        <v>4964</v>
      </c>
      <c r="G308">
        <v>3075</v>
      </c>
      <c r="H308">
        <v>6</v>
      </c>
      <c r="I308" t="s">
        <v>4965</v>
      </c>
      <c r="J308" t="s">
        <v>5222</v>
      </c>
      <c r="K308" t="s">
        <v>462</v>
      </c>
      <c r="L308">
        <v>351.74</v>
      </c>
      <c r="M308" s="452">
        <v>46126</v>
      </c>
      <c r="N308">
        <v>351.74</v>
      </c>
      <c r="O308">
        <v>482.8</v>
      </c>
      <c r="P308">
        <v>2110.44</v>
      </c>
    </row>
    <row r="309" spans="1:16" x14ac:dyDescent="0.3">
      <c r="A309">
        <v>85434</v>
      </c>
      <c r="B309">
        <v>105</v>
      </c>
      <c r="C309" t="s">
        <v>557</v>
      </c>
      <c r="D309" s="452">
        <v>46143</v>
      </c>
      <c r="E309">
        <v>26679</v>
      </c>
      <c r="F309" t="s">
        <v>4791</v>
      </c>
      <c r="G309">
        <v>6847</v>
      </c>
      <c r="H309">
        <v>52.83</v>
      </c>
      <c r="I309" t="s">
        <v>4744</v>
      </c>
      <c r="J309" t="s">
        <v>5191</v>
      </c>
      <c r="K309" t="s">
        <v>462</v>
      </c>
      <c r="L309">
        <v>27.9</v>
      </c>
      <c r="M309" s="452">
        <v>46126</v>
      </c>
      <c r="N309">
        <v>27.9</v>
      </c>
      <c r="O309">
        <v>27.9</v>
      </c>
      <c r="P309">
        <v>1473.96</v>
      </c>
    </row>
    <row r="310" spans="1:16" x14ac:dyDescent="0.3">
      <c r="A310">
        <v>85374</v>
      </c>
      <c r="B310">
        <v>105</v>
      </c>
      <c r="C310" t="s">
        <v>557</v>
      </c>
      <c r="D310" s="452">
        <v>46143</v>
      </c>
      <c r="E310">
        <v>24141</v>
      </c>
      <c r="F310" t="s">
        <v>5088</v>
      </c>
      <c r="G310">
        <v>3083</v>
      </c>
      <c r="H310">
        <v>9.7100000000000009</v>
      </c>
      <c r="I310" t="s">
        <v>4749</v>
      </c>
      <c r="J310" t="s">
        <v>5222</v>
      </c>
      <c r="K310" t="s">
        <v>462</v>
      </c>
      <c r="L310">
        <v>135.88999999999999</v>
      </c>
      <c r="M310" s="452">
        <v>46128</v>
      </c>
      <c r="N310">
        <v>151.44999999999999</v>
      </c>
      <c r="O310">
        <v>113.65</v>
      </c>
      <c r="P310">
        <v>1319.49</v>
      </c>
    </row>
    <row r="311" spans="1:16" x14ac:dyDescent="0.3">
      <c r="A311">
        <v>85321</v>
      </c>
      <c r="B311">
        <v>105</v>
      </c>
      <c r="C311" t="s">
        <v>557</v>
      </c>
      <c r="D311" s="452">
        <v>46143</v>
      </c>
      <c r="E311">
        <v>21021</v>
      </c>
      <c r="F311" t="s">
        <v>4883</v>
      </c>
      <c r="G311">
        <v>2003</v>
      </c>
      <c r="H311">
        <v>7</v>
      </c>
      <c r="I311" t="s">
        <v>4884</v>
      </c>
      <c r="J311" t="s">
        <v>5191</v>
      </c>
      <c r="K311" t="s">
        <v>462</v>
      </c>
      <c r="L311">
        <v>187.76</v>
      </c>
      <c r="M311" s="452">
        <v>46135</v>
      </c>
      <c r="N311">
        <v>187.76</v>
      </c>
      <c r="O311">
        <v>187.76</v>
      </c>
      <c r="P311">
        <v>1314.32</v>
      </c>
    </row>
    <row r="312" spans="1:16" x14ac:dyDescent="0.3">
      <c r="A312">
        <v>85220</v>
      </c>
      <c r="B312">
        <v>105</v>
      </c>
      <c r="C312" t="s">
        <v>557</v>
      </c>
      <c r="D312" s="452">
        <v>46143</v>
      </c>
      <c r="E312">
        <v>19405</v>
      </c>
      <c r="F312" t="s">
        <v>5158</v>
      </c>
      <c r="G312">
        <v>2761</v>
      </c>
      <c r="H312">
        <v>8.25</v>
      </c>
      <c r="I312" t="s">
        <v>4744</v>
      </c>
      <c r="J312" t="s">
        <v>5191</v>
      </c>
      <c r="K312" t="s">
        <v>462</v>
      </c>
      <c r="L312">
        <v>152.9</v>
      </c>
      <c r="M312" s="452">
        <v>46119</v>
      </c>
      <c r="N312">
        <v>152.9</v>
      </c>
      <c r="O312">
        <v>165.9</v>
      </c>
      <c r="P312">
        <v>1261.42</v>
      </c>
    </row>
    <row r="313" spans="1:16" x14ac:dyDescent="0.3">
      <c r="A313">
        <v>85208</v>
      </c>
      <c r="B313">
        <v>105</v>
      </c>
      <c r="C313" t="s">
        <v>557</v>
      </c>
      <c r="D313" s="452">
        <v>46143</v>
      </c>
      <c r="E313">
        <v>19003</v>
      </c>
      <c r="F313" t="s">
        <v>4810</v>
      </c>
      <c r="G313">
        <v>2897</v>
      </c>
      <c r="H313">
        <v>27.01</v>
      </c>
      <c r="I313" t="s">
        <v>4744</v>
      </c>
      <c r="J313" t="s">
        <v>5191</v>
      </c>
      <c r="K313" t="s">
        <v>462</v>
      </c>
      <c r="L313">
        <v>39.520000000000003</v>
      </c>
      <c r="M313" s="452">
        <v>46126</v>
      </c>
      <c r="N313">
        <v>39</v>
      </c>
      <c r="O313">
        <v>39</v>
      </c>
      <c r="P313">
        <v>1067.44</v>
      </c>
    </row>
    <row r="314" spans="1:16" x14ac:dyDescent="0.3">
      <c r="A314">
        <v>85420</v>
      </c>
      <c r="B314">
        <v>105</v>
      </c>
      <c r="C314" t="s">
        <v>557</v>
      </c>
      <c r="D314" s="452">
        <v>46143</v>
      </c>
      <c r="E314">
        <v>26014</v>
      </c>
      <c r="F314" t="s">
        <v>5128</v>
      </c>
      <c r="G314">
        <v>3130</v>
      </c>
      <c r="H314">
        <v>2.73</v>
      </c>
      <c r="I314" t="s">
        <v>4805</v>
      </c>
      <c r="J314" t="s">
        <v>5222</v>
      </c>
      <c r="K314" t="s">
        <v>462</v>
      </c>
      <c r="L314">
        <v>0</v>
      </c>
      <c r="M314" s="452">
        <v>46091</v>
      </c>
      <c r="N314">
        <v>375.8</v>
      </c>
      <c r="O314">
        <v>375.8</v>
      </c>
      <c r="P314">
        <v>1025.93</v>
      </c>
    </row>
    <row r="315" spans="1:16" x14ac:dyDescent="0.3">
      <c r="A315">
        <v>85436</v>
      </c>
      <c r="B315">
        <v>105</v>
      </c>
      <c r="C315" t="s">
        <v>557</v>
      </c>
      <c r="D315" s="452">
        <v>46143</v>
      </c>
      <c r="E315">
        <v>27264</v>
      </c>
      <c r="F315" t="s">
        <v>5075</v>
      </c>
      <c r="G315">
        <v>7390</v>
      </c>
      <c r="H315">
        <v>19.649999999999999</v>
      </c>
      <c r="I315" t="s">
        <v>4744</v>
      </c>
      <c r="J315" t="s">
        <v>5191</v>
      </c>
      <c r="K315" t="s">
        <v>462</v>
      </c>
      <c r="L315">
        <v>52.13</v>
      </c>
      <c r="M315" s="452">
        <v>46136</v>
      </c>
      <c r="N315">
        <v>53.2</v>
      </c>
      <c r="O315">
        <v>53.2</v>
      </c>
      <c r="P315">
        <v>1024.3499999999999</v>
      </c>
    </row>
    <row r="316" spans="1:16" x14ac:dyDescent="0.3">
      <c r="A316">
        <v>85432</v>
      </c>
      <c r="B316">
        <v>105</v>
      </c>
      <c r="C316" t="s">
        <v>557</v>
      </c>
      <c r="D316" s="452">
        <v>46143</v>
      </c>
      <c r="E316">
        <v>26505</v>
      </c>
      <c r="F316" t="s">
        <v>4750</v>
      </c>
      <c r="G316">
        <v>6762</v>
      </c>
      <c r="H316">
        <v>4.55</v>
      </c>
      <c r="I316" t="s">
        <v>4738</v>
      </c>
      <c r="J316" t="s">
        <v>5222</v>
      </c>
      <c r="K316" t="s">
        <v>462</v>
      </c>
      <c r="L316">
        <v>215.03</v>
      </c>
      <c r="M316" s="452">
        <v>46120</v>
      </c>
      <c r="N316">
        <v>215.03</v>
      </c>
      <c r="O316">
        <v>215.03</v>
      </c>
      <c r="P316">
        <v>978.39</v>
      </c>
    </row>
    <row r="317" spans="1:16" x14ac:dyDescent="0.3">
      <c r="A317">
        <v>85386</v>
      </c>
      <c r="B317">
        <v>105</v>
      </c>
      <c r="C317" t="s">
        <v>557</v>
      </c>
      <c r="D317" s="452">
        <v>46143</v>
      </c>
      <c r="E317">
        <v>24351</v>
      </c>
      <c r="F317" t="s">
        <v>5014</v>
      </c>
      <c r="G317">
        <v>2287</v>
      </c>
      <c r="H317">
        <v>45.44</v>
      </c>
      <c r="I317" t="s">
        <v>4736</v>
      </c>
      <c r="J317" t="s">
        <v>5191</v>
      </c>
      <c r="K317" t="s">
        <v>462</v>
      </c>
      <c r="L317">
        <v>21</v>
      </c>
      <c r="M317" s="452">
        <v>46135</v>
      </c>
      <c r="N317">
        <v>30</v>
      </c>
      <c r="O317">
        <v>12</v>
      </c>
      <c r="P317">
        <v>954.24</v>
      </c>
    </row>
    <row r="318" spans="1:16" x14ac:dyDescent="0.3">
      <c r="A318">
        <v>85380</v>
      </c>
      <c r="B318">
        <v>105</v>
      </c>
      <c r="C318" t="s">
        <v>557</v>
      </c>
      <c r="D318" s="452">
        <v>46143</v>
      </c>
      <c r="E318">
        <v>24259</v>
      </c>
      <c r="F318" t="s">
        <v>4875</v>
      </c>
      <c r="G318">
        <v>2938</v>
      </c>
      <c r="H318">
        <v>11.35</v>
      </c>
      <c r="I318" t="s">
        <v>4744</v>
      </c>
      <c r="J318" t="s">
        <v>5191</v>
      </c>
      <c r="K318" t="s">
        <v>462</v>
      </c>
      <c r="L318">
        <v>78.67</v>
      </c>
      <c r="M318" s="452">
        <v>46139</v>
      </c>
      <c r="N318">
        <v>79.900000000000006</v>
      </c>
      <c r="O318">
        <v>79.900000000000006</v>
      </c>
      <c r="P318">
        <v>892.9</v>
      </c>
    </row>
    <row r="319" spans="1:16" x14ac:dyDescent="0.3">
      <c r="A319">
        <v>85323</v>
      </c>
      <c r="B319">
        <v>105</v>
      </c>
      <c r="C319" t="s">
        <v>557</v>
      </c>
      <c r="D319" s="452">
        <v>46143</v>
      </c>
      <c r="E319">
        <v>21047</v>
      </c>
      <c r="F319" t="s">
        <v>4847</v>
      </c>
      <c r="G319">
        <v>1999</v>
      </c>
      <c r="H319">
        <v>7.7</v>
      </c>
      <c r="I319" t="s">
        <v>4848</v>
      </c>
      <c r="J319" t="s">
        <v>5191</v>
      </c>
      <c r="K319" t="s">
        <v>462</v>
      </c>
      <c r="L319">
        <v>0</v>
      </c>
      <c r="M319" s="452">
        <v>46094</v>
      </c>
      <c r="N319">
        <v>114.5</v>
      </c>
      <c r="O319">
        <v>122.8</v>
      </c>
      <c r="P319">
        <v>881.65</v>
      </c>
    </row>
    <row r="320" spans="1:16" x14ac:dyDescent="0.3">
      <c r="A320">
        <v>85219</v>
      </c>
      <c r="B320">
        <v>105</v>
      </c>
      <c r="C320" t="s">
        <v>557</v>
      </c>
      <c r="D320" s="452">
        <v>46143</v>
      </c>
      <c r="E320">
        <v>19401</v>
      </c>
      <c r="F320" t="s">
        <v>4809</v>
      </c>
      <c r="G320">
        <v>2761</v>
      </c>
      <c r="H320">
        <v>3.5</v>
      </c>
      <c r="I320" t="s">
        <v>4744</v>
      </c>
      <c r="J320" t="s">
        <v>5191</v>
      </c>
      <c r="K320" t="s">
        <v>462</v>
      </c>
      <c r="L320">
        <v>229.63</v>
      </c>
      <c r="M320" s="452">
        <v>46127</v>
      </c>
      <c r="N320">
        <v>209.08</v>
      </c>
      <c r="O320">
        <v>212.9</v>
      </c>
      <c r="P320">
        <v>803.7</v>
      </c>
    </row>
    <row r="321" spans="1:16" x14ac:dyDescent="0.3">
      <c r="A321">
        <v>85189</v>
      </c>
      <c r="B321">
        <v>105</v>
      </c>
      <c r="C321" t="s">
        <v>557</v>
      </c>
      <c r="D321" s="452">
        <v>46143</v>
      </c>
      <c r="E321">
        <v>18475</v>
      </c>
      <c r="F321" t="s">
        <v>4895</v>
      </c>
      <c r="G321">
        <v>3181</v>
      </c>
      <c r="H321">
        <v>21</v>
      </c>
      <c r="I321" t="s">
        <v>4805</v>
      </c>
      <c r="J321" t="s">
        <v>5222</v>
      </c>
      <c r="K321" t="s">
        <v>462</v>
      </c>
      <c r="L321">
        <v>32.9</v>
      </c>
      <c r="M321" s="452">
        <v>46119</v>
      </c>
      <c r="N321">
        <v>32.9</v>
      </c>
      <c r="O321">
        <v>32.9</v>
      </c>
      <c r="P321">
        <v>690.9</v>
      </c>
    </row>
    <row r="322" spans="1:16" x14ac:dyDescent="0.3">
      <c r="A322">
        <v>85369</v>
      </c>
      <c r="B322">
        <v>105</v>
      </c>
      <c r="C322" t="s">
        <v>557</v>
      </c>
      <c r="D322" s="452">
        <v>46143</v>
      </c>
      <c r="E322">
        <v>24081</v>
      </c>
      <c r="F322" t="s">
        <v>4834</v>
      </c>
      <c r="G322">
        <v>3034</v>
      </c>
      <c r="H322">
        <v>27.7</v>
      </c>
      <c r="I322" t="s">
        <v>4744</v>
      </c>
      <c r="J322" t="s">
        <v>5191</v>
      </c>
      <c r="K322" t="s">
        <v>462</v>
      </c>
      <c r="L322">
        <v>23.8</v>
      </c>
      <c r="M322" s="452">
        <v>46125</v>
      </c>
      <c r="N322">
        <v>23.8</v>
      </c>
      <c r="O322">
        <v>23.8</v>
      </c>
      <c r="P322">
        <v>659.26</v>
      </c>
    </row>
    <row r="323" spans="1:16" x14ac:dyDescent="0.3">
      <c r="A323">
        <v>85204</v>
      </c>
      <c r="B323">
        <v>105</v>
      </c>
      <c r="C323" t="s">
        <v>557</v>
      </c>
      <c r="D323" s="452">
        <v>46143</v>
      </c>
      <c r="E323">
        <v>18735</v>
      </c>
      <c r="F323" t="s">
        <v>4891</v>
      </c>
      <c r="G323">
        <v>3018</v>
      </c>
      <c r="H323">
        <v>5.95</v>
      </c>
      <c r="I323" t="s">
        <v>4744</v>
      </c>
      <c r="J323" t="s">
        <v>5191</v>
      </c>
      <c r="K323" t="s">
        <v>462</v>
      </c>
      <c r="L323">
        <v>110</v>
      </c>
      <c r="M323" s="452">
        <v>46119</v>
      </c>
      <c r="N323">
        <v>110</v>
      </c>
      <c r="O323">
        <v>110</v>
      </c>
      <c r="P323">
        <v>654.5</v>
      </c>
    </row>
    <row r="324" spans="1:16" x14ac:dyDescent="0.3">
      <c r="A324">
        <v>85299</v>
      </c>
      <c r="B324">
        <v>105</v>
      </c>
      <c r="C324" t="s">
        <v>557</v>
      </c>
      <c r="D324" s="452">
        <v>46143</v>
      </c>
      <c r="E324">
        <v>20501</v>
      </c>
      <c r="F324" t="s">
        <v>4760</v>
      </c>
      <c r="G324">
        <v>2154</v>
      </c>
      <c r="H324">
        <v>28.87</v>
      </c>
      <c r="I324" t="s">
        <v>4744</v>
      </c>
      <c r="J324" t="s">
        <v>5191</v>
      </c>
      <c r="K324" t="s">
        <v>462</v>
      </c>
      <c r="L324">
        <v>22.07</v>
      </c>
      <c r="M324" s="452">
        <v>46139</v>
      </c>
      <c r="N324">
        <v>22.2</v>
      </c>
      <c r="O324">
        <v>22.2</v>
      </c>
      <c r="P324">
        <v>637.16</v>
      </c>
    </row>
    <row r="325" spans="1:16" x14ac:dyDescent="0.3">
      <c r="A325">
        <v>85206</v>
      </c>
      <c r="B325">
        <v>105</v>
      </c>
      <c r="C325" t="s">
        <v>557</v>
      </c>
      <c r="D325" s="452">
        <v>46143</v>
      </c>
      <c r="E325">
        <v>18945</v>
      </c>
      <c r="F325" t="s">
        <v>4768</v>
      </c>
      <c r="G325">
        <v>2929</v>
      </c>
      <c r="H325">
        <v>10.8</v>
      </c>
      <c r="I325" t="s">
        <v>4744</v>
      </c>
      <c r="J325" t="s">
        <v>5191</v>
      </c>
      <c r="K325" t="s">
        <v>462</v>
      </c>
      <c r="L325">
        <v>0</v>
      </c>
      <c r="M325" s="452">
        <v>46105</v>
      </c>
      <c r="N325">
        <v>58.25</v>
      </c>
      <c r="O325">
        <v>58.25</v>
      </c>
      <c r="P325">
        <v>629.1</v>
      </c>
    </row>
    <row r="326" spans="1:16" x14ac:dyDescent="0.3">
      <c r="A326">
        <v>85403</v>
      </c>
      <c r="B326">
        <v>105</v>
      </c>
      <c r="C326" t="s">
        <v>557</v>
      </c>
      <c r="D326" s="452">
        <v>46143</v>
      </c>
      <c r="E326">
        <v>25561</v>
      </c>
      <c r="F326" t="s">
        <v>5095</v>
      </c>
      <c r="G326">
        <v>6169</v>
      </c>
      <c r="H326">
        <v>4.67</v>
      </c>
      <c r="I326" t="s">
        <v>4738</v>
      </c>
      <c r="J326" t="s">
        <v>5222</v>
      </c>
      <c r="K326" t="s">
        <v>462</v>
      </c>
      <c r="L326">
        <v>0</v>
      </c>
      <c r="M326" s="452">
        <v>46112</v>
      </c>
      <c r="N326">
        <v>132.22999999999999</v>
      </c>
      <c r="O326">
        <v>110.3</v>
      </c>
      <c r="P326">
        <v>617.51</v>
      </c>
    </row>
    <row r="327" spans="1:16" x14ac:dyDescent="0.3">
      <c r="A327">
        <v>85429</v>
      </c>
      <c r="B327">
        <v>105</v>
      </c>
      <c r="C327" t="s">
        <v>557</v>
      </c>
      <c r="D327" s="452">
        <v>46143</v>
      </c>
      <c r="E327">
        <v>26135</v>
      </c>
      <c r="F327" t="s">
        <v>4801</v>
      </c>
      <c r="G327">
        <v>6585</v>
      </c>
      <c r="H327">
        <v>6.78</v>
      </c>
      <c r="I327" t="s">
        <v>4744</v>
      </c>
      <c r="J327" t="s">
        <v>5191</v>
      </c>
      <c r="K327" t="s">
        <v>462</v>
      </c>
      <c r="L327">
        <v>89.9</v>
      </c>
      <c r="M327" s="452">
        <v>46118</v>
      </c>
      <c r="N327">
        <v>89.9</v>
      </c>
      <c r="O327">
        <v>89.9</v>
      </c>
      <c r="P327">
        <v>609.52</v>
      </c>
    </row>
    <row r="328" spans="1:16" x14ac:dyDescent="0.3">
      <c r="A328">
        <v>85433</v>
      </c>
      <c r="B328">
        <v>105</v>
      </c>
      <c r="C328" t="s">
        <v>557</v>
      </c>
      <c r="D328" s="452">
        <v>46143</v>
      </c>
      <c r="E328">
        <v>26592</v>
      </c>
      <c r="F328" t="s">
        <v>5141</v>
      </c>
      <c r="G328">
        <v>6806</v>
      </c>
      <c r="H328">
        <v>15.89</v>
      </c>
      <c r="I328" t="s">
        <v>4744</v>
      </c>
      <c r="J328" t="s">
        <v>5191</v>
      </c>
      <c r="K328" t="s">
        <v>462</v>
      </c>
      <c r="L328">
        <v>0</v>
      </c>
      <c r="M328" s="452">
        <v>46099</v>
      </c>
      <c r="N328">
        <v>37</v>
      </c>
      <c r="O328">
        <v>37</v>
      </c>
      <c r="P328">
        <v>587.92999999999995</v>
      </c>
    </row>
    <row r="329" spans="1:16" x14ac:dyDescent="0.3">
      <c r="A329">
        <v>85394</v>
      </c>
      <c r="B329">
        <v>105</v>
      </c>
      <c r="C329" t="s">
        <v>557</v>
      </c>
      <c r="D329" s="452">
        <v>46143</v>
      </c>
      <c r="E329">
        <v>24981</v>
      </c>
      <c r="F329" t="s">
        <v>5140</v>
      </c>
      <c r="G329">
        <v>5849</v>
      </c>
      <c r="H329">
        <v>1.5</v>
      </c>
      <c r="I329" t="s">
        <v>4965</v>
      </c>
      <c r="J329" t="s">
        <v>5222</v>
      </c>
      <c r="K329" t="s">
        <v>462</v>
      </c>
      <c r="L329">
        <v>375.96</v>
      </c>
      <c r="M329" s="452">
        <v>46126</v>
      </c>
      <c r="N329">
        <v>316.91000000000003</v>
      </c>
      <c r="O329">
        <v>316.91000000000003</v>
      </c>
      <c r="P329">
        <v>563.94000000000005</v>
      </c>
    </row>
    <row r="330" spans="1:16" x14ac:dyDescent="0.3">
      <c r="A330">
        <v>85181</v>
      </c>
      <c r="B330">
        <v>105</v>
      </c>
      <c r="C330" t="s">
        <v>557</v>
      </c>
      <c r="D330" s="452">
        <v>46143</v>
      </c>
      <c r="E330">
        <v>18315</v>
      </c>
      <c r="F330" t="s">
        <v>4922</v>
      </c>
      <c r="G330">
        <v>3318</v>
      </c>
      <c r="H330">
        <v>4.2</v>
      </c>
      <c r="I330" t="s">
        <v>4805</v>
      </c>
      <c r="J330" t="s">
        <v>5222</v>
      </c>
      <c r="K330" t="s">
        <v>462</v>
      </c>
      <c r="L330">
        <v>0</v>
      </c>
      <c r="M330" s="452">
        <v>46104</v>
      </c>
      <c r="N330">
        <v>133</v>
      </c>
      <c r="O330">
        <v>130.99</v>
      </c>
      <c r="P330">
        <v>558.6</v>
      </c>
    </row>
    <row r="331" spans="1:16" x14ac:dyDescent="0.3">
      <c r="A331">
        <v>85379</v>
      </c>
      <c r="B331">
        <v>105</v>
      </c>
      <c r="C331" t="s">
        <v>557</v>
      </c>
      <c r="D331" s="452">
        <v>46143</v>
      </c>
      <c r="E331">
        <v>24256</v>
      </c>
      <c r="F331" t="s">
        <v>4773</v>
      </c>
      <c r="G331">
        <v>3003</v>
      </c>
      <c r="H331">
        <v>14.8</v>
      </c>
      <c r="I331" t="s">
        <v>4744</v>
      </c>
      <c r="J331" t="s">
        <v>5191</v>
      </c>
      <c r="K331" t="s">
        <v>462</v>
      </c>
      <c r="L331">
        <v>37.57</v>
      </c>
      <c r="M331" s="452">
        <v>46136</v>
      </c>
      <c r="N331">
        <v>37.5</v>
      </c>
      <c r="O331">
        <v>37.5</v>
      </c>
      <c r="P331">
        <v>556.04</v>
      </c>
    </row>
    <row r="332" spans="1:16" x14ac:dyDescent="0.3">
      <c r="A332">
        <v>85375</v>
      </c>
      <c r="B332">
        <v>105</v>
      </c>
      <c r="C332" t="s">
        <v>557</v>
      </c>
      <c r="D332" s="452">
        <v>46143</v>
      </c>
      <c r="E332">
        <v>24142</v>
      </c>
      <c r="F332" t="s">
        <v>5090</v>
      </c>
      <c r="G332">
        <v>3085</v>
      </c>
      <c r="H332">
        <v>4.96</v>
      </c>
      <c r="I332" t="s">
        <v>4749</v>
      </c>
      <c r="J332" t="s">
        <v>5222</v>
      </c>
      <c r="K332" t="s">
        <v>462</v>
      </c>
      <c r="L332">
        <v>110.73</v>
      </c>
      <c r="M332" s="452">
        <v>46126</v>
      </c>
      <c r="N332">
        <v>110.73</v>
      </c>
      <c r="O332">
        <v>110.73</v>
      </c>
      <c r="P332">
        <v>549.22</v>
      </c>
    </row>
    <row r="333" spans="1:16" x14ac:dyDescent="0.3">
      <c r="A333">
        <v>85378</v>
      </c>
      <c r="B333">
        <v>105</v>
      </c>
      <c r="C333" t="s">
        <v>557</v>
      </c>
      <c r="D333" s="452">
        <v>46143</v>
      </c>
      <c r="E333">
        <v>24217</v>
      </c>
      <c r="F333" t="s">
        <v>4778</v>
      </c>
      <c r="G333">
        <v>2937</v>
      </c>
      <c r="H333">
        <v>15.57</v>
      </c>
      <c r="I333" t="s">
        <v>4744</v>
      </c>
      <c r="J333" t="s">
        <v>5191</v>
      </c>
      <c r="K333" t="s">
        <v>462</v>
      </c>
      <c r="L333">
        <v>32.409999999999997</v>
      </c>
      <c r="M333" s="452">
        <v>46139</v>
      </c>
      <c r="N333">
        <v>32.9</v>
      </c>
      <c r="O333">
        <v>32.9</v>
      </c>
      <c r="P333">
        <v>504.62</v>
      </c>
    </row>
    <row r="334" spans="1:16" x14ac:dyDescent="0.3">
      <c r="A334">
        <v>85214</v>
      </c>
      <c r="B334">
        <v>105</v>
      </c>
      <c r="C334" t="s">
        <v>557</v>
      </c>
      <c r="D334" s="452">
        <v>46143</v>
      </c>
      <c r="E334">
        <v>19322</v>
      </c>
      <c r="F334" t="s">
        <v>4830</v>
      </c>
      <c r="G334">
        <v>2773</v>
      </c>
      <c r="H334">
        <v>10.55</v>
      </c>
      <c r="I334" t="s">
        <v>4744</v>
      </c>
      <c r="J334" t="s">
        <v>5191</v>
      </c>
      <c r="K334" t="s">
        <v>462</v>
      </c>
      <c r="L334">
        <v>0</v>
      </c>
      <c r="M334" s="452">
        <v>46108</v>
      </c>
      <c r="N334">
        <v>44.6</v>
      </c>
      <c r="O334">
        <v>44.6</v>
      </c>
      <c r="P334">
        <v>470.53</v>
      </c>
    </row>
    <row r="335" spans="1:16" x14ac:dyDescent="0.3">
      <c r="A335">
        <v>85300</v>
      </c>
      <c r="B335">
        <v>105</v>
      </c>
      <c r="C335" t="s">
        <v>557</v>
      </c>
      <c r="D335" s="452">
        <v>46143</v>
      </c>
      <c r="E335">
        <v>20544</v>
      </c>
      <c r="F335" t="s">
        <v>4808</v>
      </c>
      <c r="G335">
        <v>2144</v>
      </c>
      <c r="H335">
        <v>12.33</v>
      </c>
      <c r="I335" t="s">
        <v>4744</v>
      </c>
      <c r="J335" t="s">
        <v>5191</v>
      </c>
      <c r="K335" t="s">
        <v>462</v>
      </c>
      <c r="L335">
        <v>0</v>
      </c>
      <c r="M335" s="452">
        <v>46049</v>
      </c>
      <c r="N335">
        <v>214.58</v>
      </c>
      <c r="O335">
        <v>214.58</v>
      </c>
      <c r="P335">
        <v>468.54</v>
      </c>
    </row>
    <row r="336" spans="1:16" x14ac:dyDescent="0.3">
      <c r="A336">
        <v>85207</v>
      </c>
      <c r="B336">
        <v>105</v>
      </c>
      <c r="C336" t="s">
        <v>557</v>
      </c>
      <c r="D336" s="452">
        <v>46143</v>
      </c>
      <c r="E336">
        <v>18991</v>
      </c>
      <c r="F336" t="s">
        <v>4815</v>
      </c>
      <c r="G336">
        <v>2900</v>
      </c>
      <c r="H336">
        <v>10.8</v>
      </c>
      <c r="I336" t="s">
        <v>4744</v>
      </c>
      <c r="J336" t="s">
        <v>5191</v>
      </c>
      <c r="K336" t="s">
        <v>462</v>
      </c>
      <c r="L336">
        <v>0</v>
      </c>
      <c r="M336" s="452">
        <v>46105</v>
      </c>
      <c r="N336">
        <v>42.42</v>
      </c>
      <c r="O336">
        <v>42.42</v>
      </c>
      <c r="P336">
        <v>458.14</v>
      </c>
    </row>
    <row r="337" spans="1:16" x14ac:dyDescent="0.3">
      <c r="A337">
        <v>85154</v>
      </c>
      <c r="B337">
        <v>105</v>
      </c>
      <c r="C337" t="s">
        <v>557</v>
      </c>
      <c r="D337" s="452">
        <v>46143</v>
      </c>
      <c r="E337">
        <v>17958</v>
      </c>
      <c r="F337" t="s">
        <v>5076</v>
      </c>
      <c r="G337">
        <v>3622</v>
      </c>
      <c r="H337">
        <v>26.09</v>
      </c>
      <c r="I337" t="s">
        <v>4738</v>
      </c>
      <c r="J337" t="s">
        <v>5222</v>
      </c>
      <c r="K337" t="s">
        <v>462</v>
      </c>
      <c r="L337">
        <v>16.57</v>
      </c>
      <c r="M337" s="452">
        <v>46125</v>
      </c>
      <c r="N337">
        <v>16.57</v>
      </c>
      <c r="O337">
        <v>16.57</v>
      </c>
      <c r="P337">
        <v>432.31</v>
      </c>
    </row>
    <row r="338" spans="1:16" x14ac:dyDescent="0.3">
      <c r="A338">
        <v>85404</v>
      </c>
      <c r="B338">
        <v>105</v>
      </c>
      <c r="C338" t="s">
        <v>557</v>
      </c>
      <c r="D338" s="452">
        <v>46143</v>
      </c>
      <c r="E338">
        <v>25683</v>
      </c>
      <c r="F338" t="s">
        <v>4928</v>
      </c>
      <c r="G338">
        <v>6244</v>
      </c>
      <c r="H338">
        <v>4</v>
      </c>
      <c r="I338" t="s">
        <v>4805</v>
      </c>
      <c r="J338" t="s">
        <v>5222</v>
      </c>
      <c r="K338" t="s">
        <v>462</v>
      </c>
      <c r="L338">
        <v>0</v>
      </c>
      <c r="M338" s="452">
        <v>45789</v>
      </c>
      <c r="N338">
        <v>107.99</v>
      </c>
      <c r="O338">
        <v>84.82</v>
      </c>
      <c r="P338">
        <v>431.96</v>
      </c>
    </row>
    <row r="339" spans="1:16" x14ac:dyDescent="0.3">
      <c r="A339">
        <v>85209</v>
      </c>
      <c r="B339">
        <v>105</v>
      </c>
      <c r="C339" t="s">
        <v>557</v>
      </c>
      <c r="D339" s="452">
        <v>46143</v>
      </c>
      <c r="E339">
        <v>19041</v>
      </c>
      <c r="F339" t="s">
        <v>4762</v>
      </c>
      <c r="G339">
        <v>2890</v>
      </c>
      <c r="H339">
        <v>27.53</v>
      </c>
      <c r="I339" t="s">
        <v>4744</v>
      </c>
      <c r="J339" t="s">
        <v>5191</v>
      </c>
      <c r="K339" t="s">
        <v>462</v>
      </c>
      <c r="L339">
        <v>14.9</v>
      </c>
      <c r="M339" s="452">
        <v>46139</v>
      </c>
      <c r="N339">
        <v>14.9</v>
      </c>
      <c r="O339">
        <v>14.88</v>
      </c>
      <c r="P339">
        <v>410.2</v>
      </c>
    </row>
    <row r="340" spans="1:16" x14ac:dyDescent="0.3">
      <c r="A340">
        <v>85304</v>
      </c>
      <c r="B340">
        <v>105</v>
      </c>
      <c r="C340" t="s">
        <v>557</v>
      </c>
      <c r="D340" s="452">
        <v>46143</v>
      </c>
      <c r="E340">
        <v>20623</v>
      </c>
      <c r="F340" t="s">
        <v>4814</v>
      </c>
      <c r="G340">
        <v>2116</v>
      </c>
      <c r="H340">
        <v>33</v>
      </c>
      <c r="I340" t="s">
        <v>4736</v>
      </c>
      <c r="J340" t="s">
        <v>5191</v>
      </c>
      <c r="K340" t="s">
        <v>462</v>
      </c>
      <c r="L340">
        <v>12.39</v>
      </c>
      <c r="M340" s="452">
        <v>46129</v>
      </c>
      <c r="N340">
        <v>12.39</v>
      </c>
      <c r="O340">
        <v>12.39</v>
      </c>
      <c r="P340">
        <v>408.87</v>
      </c>
    </row>
    <row r="341" spans="1:16" x14ac:dyDescent="0.3">
      <c r="A341">
        <v>85152</v>
      </c>
      <c r="B341">
        <v>105</v>
      </c>
      <c r="C341" t="s">
        <v>557</v>
      </c>
      <c r="D341" s="452">
        <v>46143</v>
      </c>
      <c r="E341">
        <v>17917</v>
      </c>
      <c r="F341" t="s">
        <v>5098</v>
      </c>
      <c r="G341">
        <v>3647</v>
      </c>
      <c r="H341">
        <v>2.4700000000000002</v>
      </c>
      <c r="I341" t="s">
        <v>4738</v>
      </c>
      <c r="J341" t="s">
        <v>5222</v>
      </c>
      <c r="K341" t="s">
        <v>462</v>
      </c>
      <c r="L341">
        <v>0</v>
      </c>
      <c r="M341" s="452">
        <v>45646</v>
      </c>
      <c r="N341">
        <v>163.68</v>
      </c>
      <c r="O341">
        <v>8.49</v>
      </c>
      <c r="P341">
        <v>404.29</v>
      </c>
    </row>
    <row r="342" spans="1:16" x14ac:dyDescent="0.3">
      <c r="A342">
        <v>85161</v>
      </c>
      <c r="B342">
        <v>105</v>
      </c>
      <c r="C342" t="s">
        <v>557</v>
      </c>
      <c r="D342" s="452">
        <v>46143</v>
      </c>
      <c r="E342">
        <v>18114</v>
      </c>
      <c r="F342" t="s">
        <v>5046</v>
      </c>
      <c r="G342">
        <v>3498</v>
      </c>
      <c r="H342">
        <v>1.48</v>
      </c>
      <c r="I342" t="s">
        <v>4805</v>
      </c>
      <c r="J342" t="s">
        <v>5222</v>
      </c>
      <c r="K342" t="s">
        <v>462</v>
      </c>
      <c r="L342">
        <v>0</v>
      </c>
      <c r="M342" s="452">
        <v>46008</v>
      </c>
      <c r="N342">
        <v>271.2</v>
      </c>
      <c r="O342">
        <v>274.95</v>
      </c>
      <c r="P342">
        <v>401.38</v>
      </c>
    </row>
    <row r="343" spans="1:16" x14ac:dyDescent="0.3">
      <c r="A343">
        <v>85293</v>
      </c>
      <c r="B343">
        <v>105</v>
      </c>
      <c r="C343" t="s">
        <v>557</v>
      </c>
      <c r="D343" s="452">
        <v>46143</v>
      </c>
      <c r="E343">
        <v>20301</v>
      </c>
      <c r="F343" t="s">
        <v>4944</v>
      </c>
      <c r="G343">
        <v>2223</v>
      </c>
      <c r="H343">
        <v>19.100000000000001</v>
      </c>
      <c r="I343" t="s">
        <v>4738</v>
      </c>
      <c r="J343" t="s">
        <v>5191</v>
      </c>
      <c r="K343" t="s">
        <v>462</v>
      </c>
      <c r="L343">
        <v>21</v>
      </c>
      <c r="M343" s="452">
        <v>46135</v>
      </c>
      <c r="N343">
        <v>21</v>
      </c>
      <c r="O343">
        <v>21</v>
      </c>
      <c r="P343">
        <v>401.1</v>
      </c>
    </row>
    <row r="344" spans="1:16" x14ac:dyDescent="0.3">
      <c r="A344">
        <v>85425</v>
      </c>
      <c r="B344">
        <v>105</v>
      </c>
      <c r="C344" t="s">
        <v>557</v>
      </c>
      <c r="D344" s="452">
        <v>46143</v>
      </c>
      <c r="E344">
        <v>26040</v>
      </c>
      <c r="F344" t="s">
        <v>4812</v>
      </c>
      <c r="G344">
        <v>6507</v>
      </c>
      <c r="H344">
        <v>8.3000000000000007</v>
      </c>
      <c r="I344" t="s">
        <v>4805</v>
      </c>
      <c r="J344" t="s">
        <v>5222</v>
      </c>
      <c r="K344" t="s">
        <v>462</v>
      </c>
      <c r="L344">
        <v>47.45</v>
      </c>
      <c r="M344" s="452">
        <v>46121</v>
      </c>
      <c r="N344">
        <v>47.45</v>
      </c>
      <c r="O344">
        <v>47.45</v>
      </c>
      <c r="P344">
        <v>393.84</v>
      </c>
    </row>
    <row r="345" spans="1:16" x14ac:dyDescent="0.3">
      <c r="A345">
        <v>85381</v>
      </c>
      <c r="B345">
        <v>105</v>
      </c>
      <c r="C345" t="s">
        <v>557</v>
      </c>
      <c r="D345" s="452">
        <v>46143</v>
      </c>
      <c r="E345">
        <v>24320</v>
      </c>
      <c r="F345" t="s">
        <v>4861</v>
      </c>
      <c r="G345">
        <v>2942</v>
      </c>
      <c r="H345">
        <v>10.9</v>
      </c>
      <c r="I345" t="s">
        <v>4744</v>
      </c>
      <c r="J345" t="s">
        <v>5191</v>
      </c>
      <c r="K345" t="s">
        <v>462</v>
      </c>
      <c r="L345">
        <v>0</v>
      </c>
      <c r="M345" s="452">
        <v>46090</v>
      </c>
      <c r="N345">
        <v>35.9</v>
      </c>
      <c r="O345">
        <v>36.799999999999997</v>
      </c>
      <c r="P345">
        <v>391.31</v>
      </c>
    </row>
    <row r="346" spans="1:16" x14ac:dyDescent="0.3">
      <c r="A346">
        <v>85168</v>
      </c>
      <c r="B346">
        <v>105</v>
      </c>
      <c r="C346" t="s">
        <v>557</v>
      </c>
      <c r="D346" s="452">
        <v>46143</v>
      </c>
      <c r="E346">
        <v>18179</v>
      </c>
      <c r="F346" t="s">
        <v>4924</v>
      </c>
      <c r="G346">
        <v>3443</v>
      </c>
      <c r="H346">
        <v>3.6</v>
      </c>
      <c r="I346" t="s">
        <v>4805</v>
      </c>
      <c r="J346" t="s">
        <v>5222</v>
      </c>
      <c r="K346" t="s">
        <v>462</v>
      </c>
      <c r="L346">
        <v>0</v>
      </c>
      <c r="M346" s="452">
        <v>46049</v>
      </c>
      <c r="N346">
        <v>107.47</v>
      </c>
      <c r="O346">
        <v>116.4</v>
      </c>
      <c r="P346">
        <v>386.89</v>
      </c>
    </row>
    <row r="347" spans="1:16" x14ac:dyDescent="0.3">
      <c r="A347">
        <v>85431</v>
      </c>
      <c r="B347">
        <v>105</v>
      </c>
      <c r="C347" t="s">
        <v>557</v>
      </c>
      <c r="D347" s="452">
        <v>46143</v>
      </c>
      <c r="E347">
        <v>26236</v>
      </c>
      <c r="F347" t="s">
        <v>5077</v>
      </c>
      <c r="G347">
        <v>6638</v>
      </c>
      <c r="H347">
        <v>3</v>
      </c>
      <c r="I347" t="s">
        <v>4805</v>
      </c>
      <c r="J347" t="s">
        <v>5222</v>
      </c>
      <c r="K347" t="s">
        <v>462</v>
      </c>
      <c r="L347">
        <v>0</v>
      </c>
      <c r="M347" s="452">
        <v>46027</v>
      </c>
      <c r="N347">
        <v>128.05000000000001</v>
      </c>
      <c r="O347">
        <v>138.02000000000001</v>
      </c>
      <c r="P347">
        <v>384.15</v>
      </c>
    </row>
    <row r="348" spans="1:16" x14ac:dyDescent="0.3">
      <c r="A348">
        <v>85167</v>
      </c>
      <c r="B348">
        <v>105</v>
      </c>
      <c r="C348" t="s">
        <v>557</v>
      </c>
      <c r="D348" s="452">
        <v>46143</v>
      </c>
      <c r="E348">
        <v>18172</v>
      </c>
      <c r="F348" t="s">
        <v>4804</v>
      </c>
      <c r="G348">
        <v>3450</v>
      </c>
      <c r="H348">
        <v>12</v>
      </c>
      <c r="I348" t="s">
        <v>4805</v>
      </c>
      <c r="J348" t="s">
        <v>5222</v>
      </c>
      <c r="K348" t="s">
        <v>462</v>
      </c>
      <c r="L348">
        <v>31.4</v>
      </c>
      <c r="M348" s="452">
        <v>46126</v>
      </c>
      <c r="N348">
        <v>31.4</v>
      </c>
      <c r="O348">
        <v>27.11</v>
      </c>
      <c r="P348">
        <v>376.8</v>
      </c>
    </row>
    <row r="349" spans="1:16" x14ac:dyDescent="0.3">
      <c r="A349">
        <v>85332</v>
      </c>
      <c r="B349">
        <v>105</v>
      </c>
      <c r="C349" t="s">
        <v>557</v>
      </c>
      <c r="D349" s="452">
        <v>46143</v>
      </c>
      <c r="E349">
        <v>22734</v>
      </c>
      <c r="F349" t="s">
        <v>5163</v>
      </c>
      <c r="G349">
        <v>3024</v>
      </c>
      <c r="H349">
        <v>3.75</v>
      </c>
      <c r="I349" t="s">
        <v>4744</v>
      </c>
      <c r="J349" t="s">
        <v>5191</v>
      </c>
      <c r="K349" t="s">
        <v>462</v>
      </c>
      <c r="L349">
        <v>0</v>
      </c>
      <c r="M349" s="452">
        <v>46104</v>
      </c>
      <c r="N349">
        <v>98.81</v>
      </c>
      <c r="O349">
        <v>99</v>
      </c>
      <c r="P349">
        <v>370.54</v>
      </c>
    </row>
    <row r="350" spans="1:16" x14ac:dyDescent="0.3">
      <c r="A350">
        <v>85185</v>
      </c>
      <c r="B350">
        <v>105</v>
      </c>
      <c r="C350" t="s">
        <v>557</v>
      </c>
      <c r="D350" s="452">
        <v>46143</v>
      </c>
      <c r="E350">
        <v>18359</v>
      </c>
      <c r="F350" t="s">
        <v>4921</v>
      </c>
      <c r="G350">
        <v>3278</v>
      </c>
      <c r="H350">
        <v>3.6</v>
      </c>
      <c r="I350" t="s">
        <v>4805</v>
      </c>
      <c r="J350" t="s">
        <v>5222</v>
      </c>
      <c r="K350" t="s">
        <v>462</v>
      </c>
      <c r="L350">
        <v>94.8</v>
      </c>
      <c r="M350" s="452">
        <v>46126</v>
      </c>
      <c r="N350">
        <v>94.8</v>
      </c>
      <c r="O350">
        <v>94.9</v>
      </c>
      <c r="P350">
        <v>341.28</v>
      </c>
    </row>
    <row r="351" spans="1:16" x14ac:dyDescent="0.3">
      <c r="A351">
        <v>85422</v>
      </c>
      <c r="B351">
        <v>105</v>
      </c>
      <c r="C351" t="s">
        <v>557</v>
      </c>
      <c r="D351" s="452">
        <v>46143</v>
      </c>
      <c r="E351">
        <v>26034</v>
      </c>
      <c r="F351" t="s">
        <v>4828</v>
      </c>
      <c r="G351">
        <v>6504</v>
      </c>
      <c r="H351">
        <v>7</v>
      </c>
      <c r="I351" t="s">
        <v>4805</v>
      </c>
      <c r="J351" t="s">
        <v>5222</v>
      </c>
      <c r="K351" t="s">
        <v>462</v>
      </c>
      <c r="L351">
        <v>0</v>
      </c>
      <c r="M351" s="452">
        <v>46098</v>
      </c>
      <c r="N351">
        <v>47.45</v>
      </c>
      <c r="O351">
        <v>47.45</v>
      </c>
      <c r="P351">
        <v>332.15</v>
      </c>
    </row>
    <row r="352" spans="1:16" x14ac:dyDescent="0.3">
      <c r="A352">
        <v>85218</v>
      </c>
      <c r="B352">
        <v>105</v>
      </c>
      <c r="C352" t="s">
        <v>557</v>
      </c>
      <c r="D352" s="452">
        <v>46143</v>
      </c>
      <c r="E352">
        <v>19356</v>
      </c>
      <c r="F352" t="s">
        <v>4799</v>
      </c>
      <c r="G352">
        <v>2768</v>
      </c>
      <c r="H352">
        <v>5.68</v>
      </c>
      <c r="I352" t="s">
        <v>4744</v>
      </c>
      <c r="J352" t="s">
        <v>5191</v>
      </c>
      <c r="K352" t="s">
        <v>462</v>
      </c>
      <c r="L352">
        <v>57.9</v>
      </c>
      <c r="M352" s="452">
        <v>46119</v>
      </c>
      <c r="N352">
        <v>57.9</v>
      </c>
      <c r="O352">
        <v>51.6</v>
      </c>
      <c r="P352">
        <v>328.87</v>
      </c>
    </row>
    <row r="353" spans="1:16" x14ac:dyDescent="0.3">
      <c r="A353">
        <v>85149</v>
      </c>
      <c r="B353">
        <v>105</v>
      </c>
      <c r="C353" t="s">
        <v>557</v>
      </c>
      <c r="D353" s="452">
        <v>46143</v>
      </c>
      <c r="E353">
        <v>17903</v>
      </c>
      <c r="F353" t="s">
        <v>5084</v>
      </c>
      <c r="G353">
        <v>3658</v>
      </c>
      <c r="H353">
        <v>10.25</v>
      </c>
      <c r="I353" t="s">
        <v>4738</v>
      </c>
      <c r="J353" t="s">
        <v>5222</v>
      </c>
      <c r="K353" t="s">
        <v>462</v>
      </c>
      <c r="L353">
        <v>31.42</v>
      </c>
      <c r="M353" s="452">
        <v>46120</v>
      </c>
      <c r="N353">
        <v>31.42</v>
      </c>
      <c r="O353">
        <v>25.53</v>
      </c>
      <c r="P353">
        <v>322.06</v>
      </c>
    </row>
    <row r="354" spans="1:16" x14ac:dyDescent="0.3">
      <c r="A354">
        <v>85140</v>
      </c>
      <c r="B354">
        <v>105</v>
      </c>
      <c r="C354" t="s">
        <v>557</v>
      </c>
      <c r="D354" s="452">
        <v>46143</v>
      </c>
      <c r="E354">
        <v>17578</v>
      </c>
      <c r="F354" t="s">
        <v>4842</v>
      </c>
      <c r="G354">
        <v>3948</v>
      </c>
      <c r="H354">
        <v>3</v>
      </c>
      <c r="I354" t="s">
        <v>4805</v>
      </c>
      <c r="J354" t="s">
        <v>5222</v>
      </c>
      <c r="K354" t="s">
        <v>462</v>
      </c>
      <c r="L354">
        <v>0</v>
      </c>
      <c r="M354" s="452">
        <v>46098</v>
      </c>
      <c r="N354">
        <v>105.95</v>
      </c>
      <c r="O354">
        <v>112.84</v>
      </c>
      <c r="P354">
        <v>317.85000000000002</v>
      </c>
    </row>
    <row r="355" spans="1:16" x14ac:dyDescent="0.3">
      <c r="A355">
        <v>85389</v>
      </c>
      <c r="B355">
        <v>105</v>
      </c>
      <c r="C355" t="s">
        <v>557</v>
      </c>
      <c r="D355" s="452">
        <v>46143</v>
      </c>
      <c r="E355">
        <v>24614</v>
      </c>
      <c r="F355" t="s">
        <v>4897</v>
      </c>
      <c r="G355">
        <v>3855</v>
      </c>
      <c r="H355">
        <v>4</v>
      </c>
      <c r="I355" t="s">
        <v>4805</v>
      </c>
      <c r="J355" t="s">
        <v>5222</v>
      </c>
      <c r="K355" t="s">
        <v>462</v>
      </c>
      <c r="L355">
        <v>0</v>
      </c>
      <c r="M355" s="452">
        <v>46007</v>
      </c>
      <c r="N355">
        <v>79.3</v>
      </c>
      <c r="O355">
        <v>79.3</v>
      </c>
      <c r="P355">
        <v>317.2</v>
      </c>
    </row>
    <row r="356" spans="1:16" x14ac:dyDescent="0.3">
      <c r="A356">
        <v>85447</v>
      </c>
      <c r="B356">
        <v>105</v>
      </c>
      <c r="C356" t="s">
        <v>557</v>
      </c>
      <c r="D356" s="452">
        <v>46143</v>
      </c>
      <c r="E356">
        <v>29225</v>
      </c>
      <c r="F356" t="s">
        <v>5173</v>
      </c>
      <c r="G356">
        <v>9169</v>
      </c>
      <c r="H356">
        <v>4.91</v>
      </c>
      <c r="I356" t="s">
        <v>4736</v>
      </c>
      <c r="J356" t="s">
        <v>5222</v>
      </c>
      <c r="K356" t="s">
        <v>462</v>
      </c>
      <c r="L356">
        <v>0</v>
      </c>
      <c r="N356">
        <v>0</v>
      </c>
      <c r="O356">
        <v>0</v>
      </c>
      <c r="P356">
        <v>313.85000000000002</v>
      </c>
    </row>
    <row r="357" spans="1:16" x14ac:dyDescent="0.3">
      <c r="A357">
        <v>85405</v>
      </c>
      <c r="B357">
        <v>105</v>
      </c>
      <c r="C357" t="s">
        <v>557</v>
      </c>
      <c r="D357" s="452">
        <v>46143</v>
      </c>
      <c r="E357">
        <v>25702</v>
      </c>
      <c r="F357" t="s">
        <v>5135</v>
      </c>
      <c r="G357">
        <v>6263</v>
      </c>
      <c r="H357">
        <v>4</v>
      </c>
      <c r="I357" t="s">
        <v>4805</v>
      </c>
      <c r="J357" t="s">
        <v>5222</v>
      </c>
      <c r="K357" t="s">
        <v>462</v>
      </c>
      <c r="L357">
        <v>0</v>
      </c>
      <c r="M357" s="452">
        <v>46098</v>
      </c>
      <c r="N357">
        <v>75.400000000000006</v>
      </c>
      <c r="O357">
        <v>75.400000000000006</v>
      </c>
      <c r="P357">
        <v>301.60000000000002</v>
      </c>
    </row>
    <row r="358" spans="1:16" x14ac:dyDescent="0.3">
      <c r="A358">
        <v>85273</v>
      </c>
      <c r="B358">
        <v>105</v>
      </c>
      <c r="C358" t="s">
        <v>557</v>
      </c>
      <c r="D358" s="452">
        <v>46143</v>
      </c>
      <c r="E358">
        <v>19895</v>
      </c>
      <c r="F358" t="s">
        <v>5080</v>
      </c>
      <c r="G358">
        <v>2385</v>
      </c>
      <c r="H358">
        <v>3</v>
      </c>
      <c r="I358" t="s">
        <v>4888</v>
      </c>
      <c r="J358" t="s">
        <v>5191</v>
      </c>
      <c r="K358" t="s">
        <v>462</v>
      </c>
      <c r="L358">
        <v>0</v>
      </c>
      <c r="M358" s="452">
        <v>45887</v>
      </c>
      <c r="N358">
        <v>99.99</v>
      </c>
      <c r="O358">
        <v>32</v>
      </c>
      <c r="P358">
        <v>299.97000000000003</v>
      </c>
    </row>
    <row r="359" spans="1:16" x14ac:dyDescent="0.3">
      <c r="A359">
        <v>85201</v>
      </c>
      <c r="B359">
        <v>105</v>
      </c>
      <c r="C359" t="s">
        <v>557</v>
      </c>
      <c r="D359" s="452">
        <v>46143</v>
      </c>
      <c r="E359">
        <v>18642</v>
      </c>
      <c r="F359" t="s">
        <v>5127</v>
      </c>
      <c r="G359">
        <v>3072</v>
      </c>
      <c r="H359">
        <v>1.55</v>
      </c>
      <c r="I359" t="s">
        <v>4744</v>
      </c>
      <c r="J359" t="s">
        <v>5191</v>
      </c>
      <c r="K359" t="s">
        <v>462</v>
      </c>
      <c r="L359">
        <v>0</v>
      </c>
      <c r="M359" s="452">
        <v>46030</v>
      </c>
      <c r="N359">
        <v>191.9</v>
      </c>
      <c r="O359">
        <v>191.9</v>
      </c>
      <c r="P359">
        <v>297.44</v>
      </c>
    </row>
    <row r="360" spans="1:16" x14ac:dyDescent="0.3">
      <c r="A360">
        <v>85192</v>
      </c>
      <c r="B360">
        <v>105</v>
      </c>
      <c r="C360" t="s">
        <v>557</v>
      </c>
      <c r="D360" s="452">
        <v>46143</v>
      </c>
      <c r="E360">
        <v>18502</v>
      </c>
      <c r="F360" t="s">
        <v>4893</v>
      </c>
      <c r="G360">
        <v>3155</v>
      </c>
      <c r="H360">
        <v>4.7</v>
      </c>
      <c r="I360" t="s">
        <v>4805</v>
      </c>
      <c r="J360" t="s">
        <v>5222</v>
      </c>
      <c r="K360" t="s">
        <v>462</v>
      </c>
      <c r="L360">
        <v>0</v>
      </c>
      <c r="M360" s="452">
        <v>46107</v>
      </c>
      <c r="N360">
        <v>60.39</v>
      </c>
      <c r="O360">
        <v>60.39</v>
      </c>
      <c r="P360">
        <v>283.83</v>
      </c>
    </row>
    <row r="361" spans="1:16" x14ac:dyDescent="0.3">
      <c r="A361">
        <v>85314</v>
      </c>
      <c r="B361">
        <v>105</v>
      </c>
      <c r="C361" t="s">
        <v>557</v>
      </c>
      <c r="D361" s="452">
        <v>46143</v>
      </c>
      <c r="E361">
        <v>20809</v>
      </c>
      <c r="F361" t="s">
        <v>4822</v>
      </c>
      <c r="G361">
        <v>2074</v>
      </c>
      <c r="H361">
        <v>9.4</v>
      </c>
      <c r="I361" t="s">
        <v>4738</v>
      </c>
      <c r="J361" t="s">
        <v>5191</v>
      </c>
      <c r="K361" t="s">
        <v>462</v>
      </c>
      <c r="L361">
        <v>29.95</v>
      </c>
      <c r="M361" s="452">
        <v>46135</v>
      </c>
      <c r="N361">
        <v>29.9</v>
      </c>
      <c r="O361">
        <v>29.9</v>
      </c>
      <c r="P361">
        <v>281.52999999999997</v>
      </c>
    </row>
    <row r="362" spans="1:16" x14ac:dyDescent="0.3">
      <c r="A362">
        <v>85153</v>
      </c>
      <c r="B362">
        <v>105</v>
      </c>
      <c r="C362" t="s">
        <v>557</v>
      </c>
      <c r="D362" s="452">
        <v>46143</v>
      </c>
      <c r="E362">
        <v>17950</v>
      </c>
      <c r="F362" t="s">
        <v>5091</v>
      </c>
      <c r="G362">
        <v>3626</v>
      </c>
      <c r="H362">
        <v>16.09</v>
      </c>
      <c r="I362" t="s">
        <v>4738</v>
      </c>
      <c r="J362" t="s">
        <v>5222</v>
      </c>
      <c r="K362" t="s">
        <v>462</v>
      </c>
      <c r="L362">
        <v>17.48</v>
      </c>
      <c r="M362" s="452">
        <v>46126</v>
      </c>
      <c r="N362">
        <v>17.48</v>
      </c>
      <c r="O362">
        <v>17.48</v>
      </c>
      <c r="P362">
        <v>281.25</v>
      </c>
    </row>
    <row r="363" spans="1:16" x14ac:dyDescent="0.3">
      <c r="A363">
        <v>85333</v>
      </c>
      <c r="B363">
        <v>105</v>
      </c>
      <c r="C363" t="s">
        <v>557</v>
      </c>
      <c r="D363" s="452">
        <v>46143</v>
      </c>
      <c r="E363">
        <v>22843</v>
      </c>
      <c r="F363" t="s">
        <v>4849</v>
      </c>
      <c r="G363">
        <v>2936</v>
      </c>
      <c r="H363">
        <v>7.15</v>
      </c>
      <c r="I363" t="s">
        <v>4744</v>
      </c>
      <c r="J363" t="s">
        <v>5191</v>
      </c>
      <c r="K363" t="s">
        <v>462</v>
      </c>
      <c r="L363">
        <v>38.799999999999997</v>
      </c>
      <c r="M363" s="452">
        <v>46139</v>
      </c>
      <c r="N363">
        <v>38.799999999999997</v>
      </c>
      <c r="O363">
        <v>38.799999999999997</v>
      </c>
      <c r="P363">
        <v>277.42</v>
      </c>
    </row>
    <row r="364" spans="1:16" x14ac:dyDescent="0.3">
      <c r="A364">
        <v>85423</v>
      </c>
      <c r="B364">
        <v>105</v>
      </c>
      <c r="C364" t="s">
        <v>557</v>
      </c>
      <c r="D364" s="452">
        <v>46143</v>
      </c>
      <c r="E364">
        <v>26036</v>
      </c>
      <c r="F364" t="s">
        <v>4841</v>
      </c>
      <c r="G364">
        <v>6505</v>
      </c>
      <c r="H364">
        <v>5</v>
      </c>
      <c r="I364" t="s">
        <v>4805</v>
      </c>
      <c r="J364" t="s">
        <v>5222</v>
      </c>
      <c r="K364" t="s">
        <v>462</v>
      </c>
      <c r="L364">
        <v>0</v>
      </c>
      <c r="M364" s="452">
        <v>46098</v>
      </c>
      <c r="N364">
        <v>55.25</v>
      </c>
      <c r="O364">
        <v>56.95</v>
      </c>
      <c r="P364">
        <v>276.25</v>
      </c>
    </row>
    <row r="365" spans="1:16" x14ac:dyDescent="0.3">
      <c r="A365">
        <v>85163</v>
      </c>
      <c r="B365">
        <v>105</v>
      </c>
      <c r="C365" t="s">
        <v>557</v>
      </c>
      <c r="D365" s="452">
        <v>46143</v>
      </c>
      <c r="E365">
        <v>18119</v>
      </c>
      <c r="F365" t="s">
        <v>5044</v>
      </c>
      <c r="G365">
        <v>3494</v>
      </c>
      <c r="H365">
        <v>1.7</v>
      </c>
      <c r="I365" t="s">
        <v>4805</v>
      </c>
      <c r="J365" t="s">
        <v>5222</v>
      </c>
      <c r="K365" t="s">
        <v>462</v>
      </c>
      <c r="L365">
        <v>162.16</v>
      </c>
      <c r="M365" s="452">
        <v>46126</v>
      </c>
      <c r="N365">
        <v>162.16</v>
      </c>
      <c r="O365">
        <v>166.62</v>
      </c>
      <c r="P365">
        <v>275.67</v>
      </c>
    </row>
    <row r="366" spans="1:16" x14ac:dyDescent="0.3">
      <c r="A366">
        <v>85179</v>
      </c>
      <c r="B366">
        <v>105</v>
      </c>
      <c r="C366" t="s">
        <v>557</v>
      </c>
      <c r="D366" s="452">
        <v>46143</v>
      </c>
      <c r="E366">
        <v>18295</v>
      </c>
      <c r="F366" t="s">
        <v>4968</v>
      </c>
      <c r="G366">
        <v>3334</v>
      </c>
      <c r="H366">
        <v>2.1800000000000002</v>
      </c>
      <c r="I366" t="s">
        <v>4805</v>
      </c>
      <c r="J366" t="s">
        <v>5222</v>
      </c>
      <c r="K366" t="s">
        <v>462</v>
      </c>
      <c r="L366">
        <v>0</v>
      </c>
      <c r="M366" s="452">
        <v>45979</v>
      </c>
      <c r="N366">
        <v>124.54</v>
      </c>
      <c r="O366">
        <v>123</v>
      </c>
      <c r="P366">
        <v>271.5</v>
      </c>
    </row>
    <row r="367" spans="1:16" x14ac:dyDescent="0.3">
      <c r="A367">
        <v>85390</v>
      </c>
      <c r="B367">
        <v>105</v>
      </c>
      <c r="C367" t="s">
        <v>557</v>
      </c>
      <c r="D367" s="452">
        <v>46143</v>
      </c>
      <c r="E367">
        <v>24683</v>
      </c>
      <c r="F367" t="s">
        <v>5167</v>
      </c>
      <c r="G367">
        <v>5713</v>
      </c>
      <c r="H367">
        <v>2</v>
      </c>
      <c r="I367" t="s">
        <v>4879</v>
      </c>
      <c r="J367" t="s">
        <v>5191</v>
      </c>
      <c r="K367" t="s">
        <v>462</v>
      </c>
      <c r="L367">
        <v>0</v>
      </c>
      <c r="N367">
        <v>0</v>
      </c>
      <c r="O367">
        <v>129.9</v>
      </c>
      <c r="P367">
        <v>259.8</v>
      </c>
    </row>
    <row r="368" spans="1:16" x14ac:dyDescent="0.3">
      <c r="A368">
        <v>85196</v>
      </c>
      <c r="B368">
        <v>105</v>
      </c>
      <c r="C368" t="s">
        <v>557</v>
      </c>
      <c r="D368" s="452">
        <v>46143</v>
      </c>
      <c r="E368">
        <v>18579</v>
      </c>
      <c r="F368" t="s">
        <v>5087</v>
      </c>
      <c r="G368">
        <v>3106</v>
      </c>
      <c r="H368">
        <v>1.97</v>
      </c>
      <c r="I368" t="s">
        <v>4749</v>
      </c>
      <c r="J368" t="s">
        <v>5222</v>
      </c>
      <c r="K368" t="s">
        <v>462</v>
      </c>
      <c r="L368">
        <v>131.81</v>
      </c>
      <c r="M368" s="452">
        <v>46126</v>
      </c>
      <c r="N368">
        <v>131.81</v>
      </c>
      <c r="O368">
        <v>131.81</v>
      </c>
      <c r="P368">
        <v>259.67</v>
      </c>
    </row>
    <row r="369" spans="1:16" x14ac:dyDescent="0.3">
      <c r="A369">
        <v>85377</v>
      </c>
      <c r="B369">
        <v>105</v>
      </c>
      <c r="C369" t="s">
        <v>557</v>
      </c>
      <c r="D369" s="452">
        <v>46143</v>
      </c>
      <c r="E369">
        <v>24199</v>
      </c>
      <c r="F369" t="s">
        <v>4783</v>
      </c>
      <c r="G369">
        <v>5084</v>
      </c>
      <c r="H369">
        <v>12.75</v>
      </c>
      <c r="I369" t="s">
        <v>4744</v>
      </c>
      <c r="J369" t="s">
        <v>5191</v>
      </c>
      <c r="K369" t="s">
        <v>462</v>
      </c>
      <c r="L369">
        <v>0</v>
      </c>
      <c r="M369" s="452">
        <v>46112</v>
      </c>
      <c r="N369">
        <v>19.989999999999998</v>
      </c>
      <c r="O369">
        <v>19.989999999999998</v>
      </c>
      <c r="P369">
        <v>254.87</v>
      </c>
    </row>
    <row r="370" spans="1:16" x14ac:dyDescent="0.3">
      <c r="A370">
        <v>85301</v>
      </c>
      <c r="B370">
        <v>105</v>
      </c>
      <c r="C370" t="s">
        <v>557</v>
      </c>
      <c r="D370" s="452">
        <v>46143</v>
      </c>
      <c r="E370">
        <v>20549</v>
      </c>
      <c r="F370" t="s">
        <v>4823</v>
      </c>
      <c r="G370">
        <v>2141</v>
      </c>
      <c r="H370">
        <v>12.7</v>
      </c>
      <c r="I370" t="s">
        <v>4744</v>
      </c>
      <c r="J370" t="s">
        <v>5191</v>
      </c>
      <c r="K370" t="s">
        <v>462</v>
      </c>
      <c r="L370">
        <v>19.989999999999998</v>
      </c>
      <c r="M370" s="452">
        <v>46126</v>
      </c>
      <c r="N370">
        <v>19.989999999999998</v>
      </c>
      <c r="O370">
        <v>19.989999999999998</v>
      </c>
      <c r="P370">
        <v>253.87</v>
      </c>
    </row>
    <row r="371" spans="1:16" x14ac:dyDescent="0.3">
      <c r="A371">
        <v>85138</v>
      </c>
      <c r="B371">
        <v>105</v>
      </c>
      <c r="C371" t="s">
        <v>557</v>
      </c>
      <c r="D371" s="452">
        <v>46143</v>
      </c>
      <c r="E371">
        <v>17062</v>
      </c>
      <c r="F371" t="s">
        <v>4880</v>
      </c>
      <c r="G371">
        <v>1954</v>
      </c>
      <c r="H371">
        <v>2</v>
      </c>
      <c r="I371" t="s">
        <v>4879</v>
      </c>
      <c r="J371" t="s">
        <v>5191</v>
      </c>
      <c r="K371" t="s">
        <v>462</v>
      </c>
      <c r="L371">
        <v>0</v>
      </c>
      <c r="M371" s="452">
        <v>46091</v>
      </c>
      <c r="N371">
        <v>126.03</v>
      </c>
      <c r="O371">
        <v>126.03</v>
      </c>
      <c r="P371">
        <v>252.06</v>
      </c>
    </row>
    <row r="372" spans="1:16" x14ac:dyDescent="0.3">
      <c r="A372">
        <v>85396</v>
      </c>
      <c r="B372">
        <v>105</v>
      </c>
      <c r="C372" t="s">
        <v>557</v>
      </c>
      <c r="D372" s="452">
        <v>46143</v>
      </c>
      <c r="E372">
        <v>25050</v>
      </c>
      <c r="F372" t="s">
        <v>5110</v>
      </c>
      <c r="G372">
        <v>2763</v>
      </c>
      <c r="H372">
        <v>1.61</v>
      </c>
      <c r="I372" t="s">
        <v>4744</v>
      </c>
      <c r="J372" t="s">
        <v>5191</v>
      </c>
      <c r="K372" t="s">
        <v>462</v>
      </c>
      <c r="L372">
        <v>154.6</v>
      </c>
      <c r="M372" s="452">
        <v>46125</v>
      </c>
      <c r="N372">
        <v>154.6</v>
      </c>
      <c r="O372">
        <v>81.900000000000006</v>
      </c>
      <c r="P372">
        <v>248.91</v>
      </c>
    </row>
    <row r="373" spans="1:16" x14ac:dyDescent="0.3">
      <c r="A373">
        <v>85437</v>
      </c>
      <c r="B373">
        <v>105</v>
      </c>
      <c r="C373" t="s">
        <v>557</v>
      </c>
      <c r="D373" s="452">
        <v>46143</v>
      </c>
      <c r="E373">
        <v>27397</v>
      </c>
      <c r="F373" t="s">
        <v>4913</v>
      </c>
      <c r="G373">
        <v>7399</v>
      </c>
      <c r="H373">
        <v>4</v>
      </c>
      <c r="I373" t="s">
        <v>4736</v>
      </c>
      <c r="J373" t="s">
        <v>5191</v>
      </c>
      <c r="K373" t="s">
        <v>462</v>
      </c>
      <c r="L373">
        <v>61.93</v>
      </c>
      <c r="M373" s="452">
        <v>46127</v>
      </c>
      <c r="N373">
        <v>61.9</v>
      </c>
      <c r="O373">
        <v>61.9</v>
      </c>
      <c r="P373">
        <v>247.72</v>
      </c>
    </row>
    <row r="374" spans="1:16" x14ac:dyDescent="0.3">
      <c r="A374">
        <v>85157</v>
      </c>
      <c r="B374">
        <v>105</v>
      </c>
      <c r="C374" t="s">
        <v>557</v>
      </c>
      <c r="D374" s="452">
        <v>46143</v>
      </c>
      <c r="E374">
        <v>18030</v>
      </c>
      <c r="F374" t="s">
        <v>4840</v>
      </c>
      <c r="G374">
        <v>3568</v>
      </c>
      <c r="H374">
        <v>8.8000000000000007</v>
      </c>
      <c r="I374" t="s">
        <v>4805</v>
      </c>
      <c r="J374" t="s">
        <v>5222</v>
      </c>
      <c r="K374" t="s">
        <v>462</v>
      </c>
      <c r="L374">
        <v>28.04</v>
      </c>
      <c r="M374" s="452">
        <v>46125</v>
      </c>
      <c r="N374">
        <v>28</v>
      </c>
      <c r="O374">
        <v>28</v>
      </c>
      <c r="P374">
        <v>246.75</v>
      </c>
    </row>
    <row r="375" spans="1:16" x14ac:dyDescent="0.3">
      <c r="A375">
        <v>85236</v>
      </c>
      <c r="B375">
        <v>105</v>
      </c>
      <c r="C375" t="s">
        <v>557</v>
      </c>
      <c r="D375" s="452">
        <v>46143</v>
      </c>
      <c r="E375">
        <v>19526</v>
      </c>
      <c r="F375" t="s">
        <v>4997</v>
      </c>
      <c r="G375">
        <v>2687</v>
      </c>
      <c r="H375">
        <v>4.5</v>
      </c>
      <c r="I375" t="s">
        <v>4744</v>
      </c>
      <c r="J375" t="s">
        <v>5191</v>
      </c>
      <c r="K375" t="s">
        <v>462</v>
      </c>
      <c r="L375">
        <v>53.16</v>
      </c>
      <c r="M375" s="452">
        <v>46127</v>
      </c>
      <c r="N375">
        <v>53.65</v>
      </c>
      <c r="O375">
        <v>55</v>
      </c>
      <c r="P375">
        <v>239.22</v>
      </c>
    </row>
    <row r="376" spans="1:16" x14ac:dyDescent="0.3">
      <c r="A376">
        <v>85195</v>
      </c>
      <c r="B376">
        <v>105</v>
      </c>
      <c r="C376" t="s">
        <v>557</v>
      </c>
      <c r="D376" s="452">
        <v>46143</v>
      </c>
      <c r="E376">
        <v>18547</v>
      </c>
      <c r="F376" t="s">
        <v>4863</v>
      </c>
      <c r="G376">
        <v>3132</v>
      </c>
      <c r="H376">
        <v>6</v>
      </c>
      <c r="I376" t="s">
        <v>4805</v>
      </c>
      <c r="J376" t="s">
        <v>5222</v>
      </c>
      <c r="K376" t="s">
        <v>462</v>
      </c>
      <c r="L376">
        <v>37.5</v>
      </c>
      <c r="M376" s="452">
        <v>46125</v>
      </c>
      <c r="N376">
        <v>37.5</v>
      </c>
      <c r="O376">
        <v>37.99</v>
      </c>
      <c r="P376">
        <v>225</v>
      </c>
    </row>
    <row r="377" spans="1:16" x14ac:dyDescent="0.3">
      <c r="A377">
        <v>85427</v>
      </c>
      <c r="B377">
        <v>105</v>
      </c>
      <c r="C377" t="s">
        <v>557</v>
      </c>
      <c r="D377" s="452">
        <v>46143</v>
      </c>
      <c r="E377">
        <v>26046</v>
      </c>
      <c r="F377" t="s">
        <v>5148</v>
      </c>
      <c r="G377">
        <v>6510</v>
      </c>
      <c r="H377">
        <v>3</v>
      </c>
      <c r="I377" t="s">
        <v>4805</v>
      </c>
      <c r="J377" t="s">
        <v>5222</v>
      </c>
      <c r="K377" t="s">
        <v>462</v>
      </c>
      <c r="L377">
        <v>0</v>
      </c>
      <c r="M377" s="452">
        <v>45638</v>
      </c>
      <c r="N377">
        <v>74.2</v>
      </c>
      <c r="O377">
        <v>75.48</v>
      </c>
      <c r="P377">
        <v>222.6</v>
      </c>
    </row>
    <row r="378" spans="1:16" x14ac:dyDescent="0.3">
      <c r="A378">
        <v>85212</v>
      </c>
      <c r="B378">
        <v>105</v>
      </c>
      <c r="C378" t="s">
        <v>557</v>
      </c>
      <c r="D378" s="452">
        <v>46143</v>
      </c>
      <c r="E378">
        <v>19291</v>
      </c>
      <c r="F378" t="s">
        <v>4870</v>
      </c>
      <c r="G378">
        <v>2775</v>
      </c>
      <c r="H378">
        <v>2.9</v>
      </c>
      <c r="I378" t="s">
        <v>4744</v>
      </c>
      <c r="J378" t="s">
        <v>5191</v>
      </c>
      <c r="K378" t="s">
        <v>462</v>
      </c>
      <c r="L378">
        <v>74.900000000000006</v>
      </c>
      <c r="M378" s="452">
        <v>46127</v>
      </c>
      <c r="N378">
        <v>74.900000000000006</v>
      </c>
      <c r="O378">
        <v>59.99</v>
      </c>
      <c r="P378">
        <v>217.21</v>
      </c>
    </row>
    <row r="379" spans="1:16" x14ac:dyDescent="0.3">
      <c r="A379">
        <v>85237</v>
      </c>
      <c r="B379">
        <v>105</v>
      </c>
      <c r="C379" t="s">
        <v>557</v>
      </c>
      <c r="D379" s="452">
        <v>46143</v>
      </c>
      <c r="E379">
        <v>19532</v>
      </c>
      <c r="F379" t="s">
        <v>4753</v>
      </c>
      <c r="G379">
        <v>2683</v>
      </c>
      <c r="H379">
        <v>22.4</v>
      </c>
      <c r="I379" t="s">
        <v>4744</v>
      </c>
      <c r="J379" t="s">
        <v>5191</v>
      </c>
      <c r="K379" t="s">
        <v>462</v>
      </c>
      <c r="L379">
        <v>9.43</v>
      </c>
      <c r="M379" s="452">
        <v>46135</v>
      </c>
      <c r="N379">
        <v>8.27</v>
      </c>
      <c r="O379">
        <v>8.27</v>
      </c>
      <c r="P379">
        <v>211.23</v>
      </c>
    </row>
    <row r="380" spans="1:16" x14ac:dyDescent="0.3">
      <c r="A380">
        <v>85169</v>
      </c>
      <c r="B380">
        <v>105</v>
      </c>
      <c r="C380" t="s">
        <v>557</v>
      </c>
      <c r="D380" s="452">
        <v>46143</v>
      </c>
      <c r="E380">
        <v>18194</v>
      </c>
      <c r="F380" t="s">
        <v>4923</v>
      </c>
      <c r="G380">
        <v>3430</v>
      </c>
      <c r="H380">
        <v>3.1</v>
      </c>
      <c r="I380" t="s">
        <v>4805</v>
      </c>
      <c r="J380" t="s">
        <v>5222</v>
      </c>
      <c r="K380" t="s">
        <v>462</v>
      </c>
      <c r="L380">
        <v>65.5</v>
      </c>
      <c r="M380" s="452">
        <v>46120</v>
      </c>
      <c r="N380">
        <v>65.5</v>
      </c>
      <c r="O380">
        <v>60</v>
      </c>
      <c r="P380">
        <v>203.05</v>
      </c>
    </row>
    <row r="381" spans="1:16" x14ac:dyDescent="0.3">
      <c r="A381">
        <v>85317</v>
      </c>
      <c r="B381">
        <v>105</v>
      </c>
      <c r="C381" t="s">
        <v>557</v>
      </c>
      <c r="D381" s="452">
        <v>46143</v>
      </c>
      <c r="E381">
        <v>20928</v>
      </c>
      <c r="F381" t="s">
        <v>4950</v>
      </c>
      <c r="G381">
        <v>2033</v>
      </c>
      <c r="H381">
        <v>1.1000000000000001</v>
      </c>
      <c r="I381" t="s">
        <v>4736</v>
      </c>
      <c r="J381" t="s">
        <v>5191</v>
      </c>
      <c r="K381" t="s">
        <v>462</v>
      </c>
      <c r="L381">
        <v>0</v>
      </c>
      <c r="M381" s="452">
        <v>46108</v>
      </c>
      <c r="N381">
        <v>183.59</v>
      </c>
      <c r="O381">
        <v>185.43</v>
      </c>
      <c r="P381">
        <v>201.95</v>
      </c>
    </row>
    <row r="382" spans="1:16" x14ac:dyDescent="0.3">
      <c r="A382">
        <v>85145</v>
      </c>
      <c r="B382">
        <v>105</v>
      </c>
      <c r="C382" t="s">
        <v>557</v>
      </c>
      <c r="D382" s="452">
        <v>46143</v>
      </c>
      <c r="E382">
        <v>17881</v>
      </c>
      <c r="F382" t="s">
        <v>5103</v>
      </c>
      <c r="G382">
        <v>3675</v>
      </c>
      <c r="H382">
        <v>6.17</v>
      </c>
      <c r="I382" t="s">
        <v>4738</v>
      </c>
      <c r="J382" t="s">
        <v>5222</v>
      </c>
      <c r="K382" t="s">
        <v>462</v>
      </c>
      <c r="L382">
        <v>32.65</v>
      </c>
      <c r="M382" s="452">
        <v>46126</v>
      </c>
      <c r="N382">
        <v>32.65</v>
      </c>
      <c r="O382">
        <v>25.53</v>
      </c>
      <c r="P382">
        <v>201.45</v>
      </c>
    </row>
    <row r="383" spans="1:16" x14ac:dyDescent="0.3">
      <c r="A383">
        <v>85150</v>
      </c>
      <c r="B383">
        <v>105</v>
      </c>
      <c r="C383" t="s">
        <v>557</v>
      </c>
      <c r="D383" s="452">
        <v>46143</v>
      </c>
      <c r="E383">
        <v>17905</v>
      </c>
      <c r="F383" t="s">
        <v>5085</v>
      </c>
      <c r="G383">
        <v>3656</v>
      </c>
      <c r="H383">
        <v>6.1</v>
      </c>
      <c r="I383" t="s">
        <v>4738</v>
      </c>
      <c r="J383" t="s">
        <v>5222</v>
      </c>
      <c r="K383" t="s">
        <v>462</v>
      </c>
      <c r="L383">
        <v>32.729999999999997</v>
      </c>
      <c r="M383" s="452">
        <v>46126</v>
      </c>
      <c r="N383">
        <v>32.729999999999997</v>
      </c>
      <c r="O383">
        <v>25.53</v>
      </c>
      <c r="P383">
        <v>199.65</v>
      </c>
    </row>
    <row r="384" spans="1:16" x14ac:dyDescent="0.3">
      <c r="A384">
        <v>85426</v>
      </c>
      <c r="B384">
        <v>105</v>
      </c>
      <c r="C384" t="s">
        <v>557</v>
      </c>
      <c r="D384" s="452">
        <v>46143</v>
      </c>
      <c r="E384">
        <v>26044</v>
      </c>
      <c r="F384" t="s">
        <v>4843</v>
      </c>
      <c r="G384">
        <v>6509</v>
      </c>
      <c r="H384">
        <v>3</v>
      </c>
      <c r="I384" t="s">
        <v>4805</v>
      </c>
      <c r="J384" t="s">
        <v>5222</v>
      </c>
      <c r="K384" t="s">
        <v>462</v>
      </c>
      <c r="L384">
        <v>0</v>
      </c>
      <c r="M384" s="452">
        <v>45987</v>
      </c>
      <c r="N384">
        <v>65</v>
      </c>
      <c r="O384">
        <v>68</v>
      </c>
      <c r="P384">
        <v>195</v>
      </c>
    </row>
    <row r="385" spans="1:16" x14ac:dyDescent="0.3">
      <c r="A385">
        <v>85271</v>
      </c>
      <c r="B385">
        <v>105</v>
      </c>
      <c r="C385" t="s">
        <v>557</v>
      </c>
      <c r="D385" s="452">
        <v>46143</v>
      </c>
      <c r="E385">
        <v>19790</v>
      </c>
      <c r="F385" t="s">
        <v>5073</v>
      </c>
      <c r="G385">
        <v>2469</v>
      </c>
      <c r="H385">
        <v>4.2</v>
      </c>
      <c r="I385" t="s">
        <v>4744</v>
      </c>
      <c r="J385" t="s">
        <v>5191</v>
      </c>
      <c r="K385" t="s">
        <v>462</v>
      </c>
      <c r="L385">
        <v>46.4</v>
      </c>
      <c r="M385" s="452">
        <v>46127</v>
      </c>
      <c r="N385">
        <v>46.4</v>
      </c>
      <c r="O385">
        <v>46.4</v>
      </c>
      <c r="P385">
        <v>194.88</v>
      </c>
    </row>
    <row r="386" spans="1:16" x14ac:dyDescent="0.3">
      <c r="A386">
        <v>85446</v>
      </c>
      <c r="B386">
        <v>105</v>
      </c>
      <c r="C386" t="s">
        <v>557</v>
      </c>
      <c r="D386" s="452">
        <v>46143</v>
      </c>
      <c r="E386">
        <v>29087</v>
      </c>
      <c r="F386" t="s">
        <v>5155</v>
      </c>
      <c r="G386">
        <v>9021</v>
      </c>
      <c r="H386">
        <v>1.71</v>
      </c>
      <c r="I386" t="s">
        <v>4736</v>
      </c>
      <c r="J386" t="s">
        <v>5191</v>
      </c>
      <c r="K386" t="s">
        <v>462</v>
      </c>
      <c r="L386">
        <v>111.86</v>
      </c>
      <c r="M386" s="452">
        <v>46113</v>
      </c>
      <c r="N386">
        <v>111.86</v>
      </c>
      <c r="O386">
        <v>111.86</v>
      </c>
      <c r="P386">
        <v>191.76</v>
      </c>
    </row>
    <row r="387" spans="1:16" x14ac:dyDescent="0.3">
      <c r="A387">
        <v>85156</v>
      </c>
      <c r="B387">
        <v>105</v>
      </c>
      <c r="C387" t="s">
        <v>557</v>
      </c>
      <c r="D387" s="452">
        <v>46143</v>
      </c>
      <c r="E387">
        <v>18006</v>
      </c>
      <c r="F387" t="s">
        <v>5094</v>
      </c>
      <c r="G387">
        <v>3591</v>
      </c>
      <c r="H387">
        <v>6</v>
      </c>
      <c r="I387" t="s">
        <v>4738</v>
      </c>
      <c r="J387" t="s">
        <v>5222</v>
      </c>
      <c r="K387" t="s">
        <v>462</v>
      </c>
      <c r="L387">
        <v>31.81</v>
      </c>
      <c r="M387" s="452">
        <v>46126</v>
      </c>
      <c r="N387">
        <v>31.81</v>
      </c>
      <c r="O387">
        <v>29.64</v>
      </c>
      <c r="P387">
        <v>190.86</v>
      </c>
    </row>
    <row r="388" spans="1:16" x14ac:dyDescent="0.3">
      <c r="A388">
        <v>85191</v>
      </c>
      <c r="B388">
        <v>105</v>
      </c>
      <c r="C388" t="s">
        <v>557</v>
      </c>
      <c r="D388" s="452">
        <v>46143</v>
      </c>
      <c r="E388">
        <v>18491</v>
      </c>
      <c r="F388" t="s">
        <v>4839</v>
      </c>
      <c r="G388">
        <v>3166</v>
      </c>
      <c r="H388">
        <v>5.3</v>
      </c>
      <c r="I388" t="s">
        <v>4805</v>
      </c>
      <c r="J388" t="s">
        <v>5222</v>
      </c>
      <c r="K388" t="s">
        <v>462</v>
      </c>
      <c r="L388">
        <v>0</v>
      </c>
      <c r="M388" s="452">
        <v>45555</v>
      </c>
      <c r="N388">
        <v>35.9</v>
      </c>
      <c r="O388">
        <v>33.9</v>
      </c>
      <c r="P388">
        <v>190.27</v>
      </c>
    </row>
    <row r="389" spans="1:16" x14ac:dyDescent="0.3">
      <c r="A389">
        <v>85360</v>
      </c>
      <c r="B389">
        <v>105</v>
      </c>
      <c r="C389" t="s">
        <v>557</v>
      </c>
      <c r="D389" s="452">
        <v>46143</v>
      </c>
      <c r="E389">
        <v>23515</v>
      </c>
      <c r="F389" t="s">
        <v>4816</v>
      </c>
      <c r="G389">
        <v>2353</v>
      </c>
      <c r="H389">
        <v>9</v>
      </c>
      <c r="I389" t="s">
        <v>4736</v>
      </c>
      <c r="J389" t="s">
        <v>5191</v>
      </c>
      <c r="K389" t="s">
        <v>462</v>
      </c>
      <c r="L389">
        <v>0</v>
      </c>
      <c r="M389" s="452">
        <v>45999</v>
      </c>
      <c r="N389">
        <v>20.8</v>
      </c>
      <c r="O389">
        <v>19.27</v>
      </c>
      <c r="P389">
        <v>187.2</v>
      </c>
    </row>
    <row r="390" spans="1:16" x14ac:dyDescent="0.3">
      <c r="A390">
        <v>85172</v>
      </c>
      <c r="B390">
        <v>105</v>
      </c>
      <c r="C390" t="s">
        <v>557</v>
      </c>
      <c r="D390" s="452">
        <v>46143</v>
      </c>
      <c r="E390">
        <v>18220</v>
      </c>
      <c r="F390" t="s">
        <v>5147</v>
      </c>
      <c r="G390">
        <v>3408</v>
      </c>
      <c r="H390">
        <v>2.4500000000000002</v>
      </c>
      <c r="I390" t="s">
        <v>4805</v>
      </c>
      <c r="J390" t="s">
        <v>5222</v>
      </c>
      <c r="K390" t="s">
        <v>462</v>
      </c>
      <c r="L390">
        <v>74.989999999999995</v>
      </c>
      <c r="M390" s="452">
        <v>46113</v>
      </c>
      <c r="N390">
        <v>74.989999999999995</v>
      </c>
      <c r="O390">
        <v>42</v>
      </c>
      <c r="P390">
        <v>183.73</v>
      </c>
    </row>
    <row r="391" spans="1:16" x14ac:dyDescent="0.3">
      <c r="A391">
        <v>85417</v>
      </c>
      <c r="B391">
        <v>105</v>
      </c>
      <c r="C391" t="s">
        <v>557</v>
      </c>
      <c r="D391" s="452">
        <v>46143</v>
      </c>
      <c r="E391">
        <v>25807</v>
      </c>
      <c r="F391" t="s">
        <v>4951</v>
      </c>
      <c r="G391">
        <v>6344</v>
      </c>
      <c r="H391">
        <v>1.05</v>
      </c>
      <c r="I391" t="s">
        <v>4736</v>
      </c>
      <c r="J391" t="s">
        <v>5191</v>
      </c>
      <c r="K391" t="s">
        <v>462</v>
      </c>
      <c r="L391">
        <v>0</v>
      </c>
      <c r="M391" s="452">
        <v>46108</v>
      </c>
      <c r="N391">
        <v>173.99</v>
      </c>
      <c r="O391">
        <v>173.99</v>
      </c>
      <c r="P391">
        <v>182.69</v>
      </c>
    </row>
    <row r="392" spans="1:16" x14ac:dyDescent="0.3">
      <c r="A392">
        <v>85164</v>
      </c>
      <c r="B392">
        <v>105</v>
      </c>
      <c r="C392" t="s">
        <v>557</v>
      </c>
      <c r="D392" s="452">
        <v>46143</v>
      </c>
      <c r="E392">
        <v>18129</v>
      </c>
      <c r="F392" t="s">
        <v>5043</v>
      </c>
      <c r="G392">
        <v>3486</v>
      </c>
      <c r="H392">
        <v>1.53</v>
      </c>
      <c r="I392" t="s">
        <v>4805</v>
      </c>
      <c r="J392" t="s">
        <v>5222</v>
      </c>
      <c r="K392" t="s">
        <v>462</v>
      </c>
      <c r="L392">
        <v>118</v>
      </c>
      <c r="M392" s="452">
        <v>46120</v>
      </c>
      <c r="N392">
        <v>118</v>
      </c>
      <c r="O392">
        <v>112.94</v>
      </c>
      <c r="P392">
        <v>180.54</v>
      </c>
    </row>
    <row r="393" spans="1:16" x14ac:dyDescent="0.3">
      <c r="A393">
        <v>85166</v>
      </c>
      <c r="B393">
        <v>105</v>
      </c>
      <c r="C393" t="s">
        <v>557</v>
      </c>
      <c r="D393" s="452">
        <v>46143</v>
      </c>
      <c r="E393">
        <v>18157</v>
      </c>
      <c r="F393" t="s">
        <v>5041</v>
      </c>
      <c r="G393">
        <v>3463</v>
      </c>
      <c r="H393">
        <v>1</v>
      </c>
      <c r="I393" t="s">
        <v>4805</v>
      </c>
      <c r="J393" t="s">
        <v>5222</v>
      </c>
      <c r="K393" t="s">
        <v>462</v>
      </c>
      <c r="L393">
        <v>0</v>
      </c>
      <c r="M393" s="452">
        <v>46027</v>
      </c>
      <c r="N393">
        <v>179.29</v>
      </c>
      <c r="O393">
        <v>197.42</v>
      </c>
      <c r="P393">
        <v>179.29</v>
      </c>
    </row>
    <row r="394" spans="1:16" x14ac:dyDescent="0.3">
      <c r="A394">
        <v>85155</v>
      </c>
      <c r="B394">
        <v>105</v>
      </c>
      <c r="C394" t="s">
        <v>557</v>
      </c>
      <c r="D394" s="452">
        <v>46143</v>
      </c>
      <c r="E394">
        <v>18004</v>
      </c>
      <c r="F394" t="s">
        <v>5093</v>
      </c>
      <c r="G394">
        <v>3592</v>
      </c>
      <c r="H394">
        <v>5.6</v>
      </c>
      <c r="I394" t="s">
        <v>4738</v>
      </c>
      <c r="J394" t="s">
        <v>5222</v>
      </c>
      <c r="K394" t="s">
        <v>462</v>
      </c>
      <c r="L394">
        <v>31.81</v>
      </c>
      <c r="M394" s="452">
        <v>46126</v>
      </c>
      <c r="N394">
        <v>31.81</v>
      </c>
      <c r="O394">
        <v>29.64</v>
      </c>
      <c r="P394">
        <v>178.14</v>
      </c>
    </row>
    <row r="395" spans="1:16" x14ac:dyDescent="0.3">
      <c r="A395">
        <v>85262</v>
      </c>
      <c r="B395">
        <v>105</v>
      </c>
      <c r="C395" t="s">
        <v>557</v>
      </c>
      <c r="D395" s="452">
        <v>46143</v>
      </c>
      <c r="E395">
        <v>19734</v>
      </c>
      <c r="F395" t="s">
        <v>4833</v>
      </c>
      <c r="G395">
        <v>2519</v>
      </c>
      <c r="H395">
        <v>13.03</v>
      </c>
      <c r="I395" t="s">
        <v>4744</v>
      </c>
      <c r="J395" t="s">
        <v>5191</v>
      </c>
      <c r="K395" t="s">
        <v>462</v>
      </c>
      <c r="L395">
        <v>13.51</v>
      </c>
      <c r="M395" s="452">
        <v>46135</v>
      </c>
      <c r="N395">
        <v>13.05</v>
      </c>
      <c r="O395">
        <v>13.05</v>
      </c>
      <c r="P395">
        <v>176.04</v>
      </c>
    </row>
    <row r="396" spans="1:16" x14ac:dyDescent="0.3">
      <c r="A396">
        <v>85147</v>
      </c>
      <c r="B396">
        <v>105</v>
      </c>
      <c r="C396" t="s">
        <v>557</v>
      </c>
      <c r="D396" s="452">
        <v>46143</v>
      </c>
      <c r="E396">
        <v>17886</v>
      </c>
      <c r="F396" t="s">
        <v>5083</v>
      </c>
      <c r="G396">
        <v>3670</v>
      </c>
      <c r="H396">
        <v>5.42</v>
      </c>
      <c r="I396" t="s">
        <v>4738</v>
      </c>
      <c r="J396" t="s">
        <v>5222</v>
      </c>
      <c r="K396" t="s">
        <v>462</v>
      </c>
      <c r="L396">
        <v>32.200000000000003</v>
      </c>
      <c r="M396" s="452">
        <v>46120</v>
      </c>
      <c r="N396">
        <v>32.200000000000003</v>
      </c>
      <c r="O396">
        <v>28.32</v>
      </c>
      <c r="P396">
        <v>174.52</v>
      </c>
    </row>
    <row r="397" spans="1:16" x14ac:dyDescent="0.3">
      <c r="A397">
        <v>85175</v>
      </c>
      <c r="B397">
        <v>105</v>
      </c>
      <c r="C397" t="s">
        <v>557</v>
      </c>
      <c r="D397" s="452">
        <v>46143</v>
      </c>
      <c r="E397">
        <v>18253</v>
      </c>
      <c r="F397" t="s">
        <v>4969</v>
      </c>
      <c r="G397">
        <v>3376</v>
      </c>
      <c r="H397">
        <v>6.15</v>
      </c>
      <c r="I397" t="s">
        <v>4805</v>
      </c>
      <c r="J397" t="s">
        <v>5222</v>
      </c>
      <c r="K397" t="s">
        <v>462</v>
      </c>
      <c r="L397">
        <v>0</v>
      </c>
      <c r="M397" s="452">
        <v>46105</v>
      </c>
      <c r="N397">
        <v>28.31</v>
      </c>
      <c r="O397">
        <v>28.31</v>
      </c>
      <c r="P397">
        <v>174.11</v>
      </c>
    </row>
    <row r="398" spans="1:16" x14ac:dyDescent="0.3">
      <c r="A398">
        <v>85186</v>
      </c>
      <c r="B398">
        <v>105</v>
      </c>
      <c r="C398" t="s">
        <v>557</v>
      </c>
      <c r="D398" s="452">
        <v>46143</v>
      </c>
      <c r="E398">
        <v>18394</v>
      </c>
      <c r="F398" t="s">
        <v>5032</v>
      </c>
      <c r="G398">
        <v>3246</v>
      </c>
      <c r="H398">
        <v>1.27</v>
      </c>
      <c r="I398" t="s">
        <v>4805</v>
      </c>
      <c r="J398" t="s">
        <v>5222</v>
      </c>
      <c r="K398" t="s">
        <v>462</v>
      </c>
      <c r="L398">
        <v>0</v>
      </c>
      <c r="M398" s="452">
        <v>45867</v>
      </c>
      <c r="N398">
        <v>132.36000000000001</v>
      </c>
      <c r="O398">
        <v>132</v>
      </c>
      <c r="P398">
        <v>168.1</v>
      </c>
    </row>
    <row r="399" spans="1:16" x14ac:dyDescent="0.3">
      <c r="A399">
        <v>85281</v>
      </c>
      <c r="B399">
        <v>105</v>
      </c>
      <c r="C399" t="s">
        <v>557</v>
      </c>
      <c r="D399" s="452">
        <v>46143</v>
      </c>
      <c r="E399">
        <v>20007</v>
      </c>
      <c r="F399" t="s">
        <v>5101</v>
      </c>
      <c r="G399">
        <v>2343</v>
      </c>
      <c r="H399">
        <v>3.17</v>
      </c>
      <c r="I399" t="s">
        <v>4884</v>
      </c>
      <c r="J399" t="s">
        <v>5191</v>
      </c>
      <c r="K399" t="s">
        <v>462</v>
      </c>
      <c r="L399">
        <v>51.5</v>
      </c>
      <c r="M399" s="452">
        <v>46127</v>
      </c>
      <c r="N399">
        <v>50.4</v>
      </c>
      <c r="O399">
        <v>50.37</v>
      </c>
      <c r="P399">
        <v>163.26</v>
      </c>
    </row>
    <row r="400" spans="1:16" x14ac:dyDescent="0.3">
      <c r="A400">
        <v>85151</v>
      </c>
      <c r="B400">
        <v>105</v>
      </c>
      <c r="C400" t="s">
        <v>557</v>
      </c>
      <c r="D400" s="452">
        <v>46143</v>
      </c>
      <c r="E400">
        <v>17915</v>
      </c>
      <c r="F400" t="s">
        <v>5104</v>
      </c>
      <c r="G400">
        <v>3648</v>
      </c>
      <c r="H400">
        <v>0.99</v>
      </c>
      <c r="I400" t="s">
        <v>4738</v>
      </c>
      <c r="J400" t="s">
        <v>5222</v>
      </c>
      <c r="K400" t="s">
        <v>462</v>
      </c>
      <c r="L400">
        <v>0</v>
      </c>
      <c r="M400" s="452">
        <v>45653</v>
      </c>
      <c r="N400">
        <v>163.68</v>
      </c>
      <c r="O400">
        <v>8.49</v>
      </c>
      <c r="P400">
        <v>162.04</v>
      </c>
    </row>
    <row r="401" spans="1:16" x14ac:dyDescent="0.3">
      <c r="A401">
        <v>85352</v>
      </c>
      <c r="B401">
        <v>105</v>
      </c>
      <c r="C401" t="s">
        <v>557</v>
      </c>
      <c r="D401" s="452">
        <v>46143</v>
      </c>
      <c r="E401">
        <v>23361</v>
      </c>
      <c r="F401" t="s">
        <v>4754</v>
      </c>
      <c r="G401">
        <v>2497</v>
      </c>
      <c r="H401">
        <v>54.14</v>
      </c>
      <c r="I401" t="s">
        <v>4744</v>
      </c>
      <c r="J401" t="s">
        <v>5191</v>
      </c>
      <c r="K401" t="s">
        <v>462</v>
      </c>
      <c r="L401">
        <v>2.98</v>
      </c>
      <c r="M401" s="452">
        <v>46128</v>
      </c>
      <c r="N401">
        <v>2.99</v>
      </c>
      <c r="O401">
        <v>3</v>
      </c>
      <c r="P401">
        <v>161.34</v>
      </c>
    </row>
    <row r="402" spans="1:16" x14ac:dyDescent="0.3">
      <c r="A402">
        <v>85215</v>
      </c>
      <c r="B402">
        <v>105</v>
      </c>
      <c r="C402" t="s">
        <v>557</v>
      </c>
      <c r="D402" s="452">
        <v>46143</v>
      </c>
      <c r="E402">
        <v>19324</v>
      </c>
      <c r="F402" t="s">
        <v>5157</v>
      </c>
      <c r="G402">
        <v>2773</v>
      </c>
      <c r="H402">
        <v>3.75</v>
      </c>
      <c r="I402" t="s">
        <v>4744</v>
      </c>
      <c r="J402" t="s">
        <v>5191</v>
      </c>
      <c r="K402" t="s">
        <v>462</v>
      </c>
      <c r="L402">
        <v>42.95</v>
      </c>
      <c r="M402" s="452">
        <v>46127</v>
      </c>
      <c r="N402">
        <v>42.95</v>
      </c>
      <c r="O402">
        <v>41.59</v>
      </c>
      <c r="P402">
        <v>161.06</v>
      </c>
    </row>
    <row r="403" spans="1:16" x14ac:dyDescent="0.3">
      <c r="A403">
        <v>85148</v>
      </c>
      <c r="B403">
        <v>105</v>
      </c>
      <c r="C403" t="s">
        <v>557</v>
      </c>
      <c r="D403" s="452">
        <v>46143</v>
      </c>
      <c r="E403">
        <v>17895</v>
      </c>
      <c r="F403" t="s">
        <v>5086</v>
      </c>
      <c r="G403">
        <v>3665</v>
      </c>
      <c r="H403">
        <v>5</v>
      </c>
      <c r="I403" t="s">
        <v>4738</v>
      </c>
      <c r="J403" t="s">
        <v>5222</v>
      </c>
      <c r="K403" t="s">
        <v>462</v>
      </c>
      <c r="L403">
        <v>32.200000000000003</v>
      </c>
      <c r="M403" s="452">
        <v>46126</v>
      </c>
      <c r="N403">
        <v>32.200000000000003</v>
      </c>
      <c r="O403">
        <v>24.03</v>
      </c>
      <c r="P403">
        <v>161</v>
      </c>
    </row>
    <row r="404" spans="1:16" x14ac:dyDescent="0.3">
      <c r="A404">
        <v>85400</v>
      </c>
      <c r="B404">
        <v>105</v>
      </c>
      <c r="C404" t="s">
        <v>557</v>
      </c>
      <c r="D404" s="452">
        <v>46143</v>
      </c>
      <c r="E404">
        <v>25167</v>
      </c>
      <c r="F404" t="s">
        <v>4758</v>
      </c>
      <c r="G404">
        <v>5930</v>
      </c>
      <c r="H404">
        <v>20</v>
      </c>
      <c r="I404" t="s">
        <v>4744</v>
      </c>
      <c r="J404" t="s">
        <v>5191</v>
      </c>
      <c r="K404" t="s">
        <v>462</v>
      </c>
      <c r="L404">
        <v>0</v>
      </c>
      <c r="M404" s="452">
        <v>45833</v>
      </c>
      <c r="N404">
        <v>7.9</v>
      </c>
      <c r="O404">
        <v>7.9</v>
      </c>
      <c r="P404">
        <v>158</v>
      </c>
    </row>
    <row r="405" spans="1:16" x14ac:dyDescent="0.3">
      <c r="A405">
        <v>85165</v>
      </c>
      <c r="B405">
        <v>105</v>
      </c>
      <c r="C405" t="s">
        <v>557</v>
      </c>
      <c r="D405" s="452">
        <v>46143</v>
      </c>
      <c r="E405">
        <v>18146</v>
      </c>
      <c r="F405" t="s">
        <v>5112</v>
      </c>
      <c r="G405">
        <v>3471</v>
      </c>
      <c r="H405">
        <v>1.63</v>
      </c>
      <c r="I405" t="s">
        <v>4805</v>
      </c>
      <c r="J405" t="s">
        <v>5222</v>
      </c>
      <c r="K405" t="s">
        <v>462</v>
      </c>
      <c r="L405">
        <v>0</v>
      </c>
      <c r="M405" s="452">
        <v>46097</v>
      </c>
      <c r="N405">
        <v>96</v>
      </c>
      <c r="O405">
        <v>99.9</v>
      </c>
      <c r="P405">
        <v>156.47999999999999</v>
      </c>
    </row>
    <row r="406" spans="1:16" x14ac:dyDescent="0.3">
      <c r="A406">
        <v>85198</v>
      </c>
      <c r="B406">
        <v>105</v>
      </c>
      <c r="C406" t="s">
        <v>557</v>
      </c>
      <c r="D406" s="452">
        <v>46143</v>
      </c>
      <c r="E406">
        <v>18589</v>
      </c>
      <c r="F406" t="s">
        <v>5089</v>
      </c>
      <c r="G406">
        <v>3103</v>
      </c>
      <c r="H406">
        <v>2.2999999999999998</v>
      </c>
      <c r="I406" t="s">
        <v>4738</v>
      </c>
      <c r="J406" t="s">
        <v>5222</v>
      </c>
      <c r="K406" t="s">
        <v>462</v>
      </c>
      <c r="L406">
        <v>67.39</v>
      </c>
      <c r="M406" s="452">
        <v>46126</v>
      </c>
      <c r="N406">
        <v>67.39</v>
      </c>
      <c r="O406">
        <v>96.64</v>
      </c>
      <c r="P406">
        <v>155</v>
      </c>
    </row>
    <row r="407" spans="1:16" x14ac:dyDescent="0.3">
      <c r="A407">
        <v>85174</v>
      </c>
      <c r="B407">
        <v>105</v>
      </c>
      <c r="C407" t="s">
        <v>557</v>
      </c>
      <c r="D407" s="452">
        <v>46143</v>
      </c>
      <c r="E407">
        <v>18233</v>
      </c>
      <c r="F407" t="s">
        <v>4970</v>
      </c>
      <c r="G407">
        <v>3395</v>
      </c>
      <c r="H407">
        <v>1.58</v>
      </c>
      <c r="I407" t="s">
        <v>4805</v>
      </c>
      <c r="J407" t="s">
        <v>5222</v>
      </c>
      <c r="K407" t="s">
        <v>462</v>
      </c>
      <c r="L407">
        <v>0</v>
      </c>
      <c r="M407" s="452">
        <v>46000</v>
      </c>
      <c r="N407">
        <v>97.9</v>
      </c>
      <c r="O407">
        <v>102.75</v>
      </c>
      <c r="P407">
        <v>154.68</v>
      </c>
    </row>
    <row r="408" spans="1:16" x14ac:dyDescent="0.3">
      <c r="A408">
        <v>85334</v>
      </c>
      <c r="B408">
        <v>105</v>
      </c>
      <c r="C408" t="s">
        <v>557</v>
      </c>
      <c r="D408" s="452">
        <v>46143</v>
      </c>
      <c r="E408">
        <v>22871</v>
      </c>
      <c r="F408" t="s">
        <v>4898</v>
      </c>
      <c r="G408">
        <v>2915</v>
      </c>
      <c r="H408">
        <v>5</v>
      </c>
      <c r="I408" t="s">
        <v>4744</v>
      </c>
      <c r="J408" t="s">
        <v>5191</v>
      </c>
      <c r="K408" t="s">
        <v>462</v>
      </c>
      <c r="L408">
        <v>0</v>
      </c>
      <c r="M408" s="452">
        <v>46076</v>
      </c>
      <c r="N408">
        <v>30.9</v>
      </c>
      <c r="O408">
        <v>30.9</v>
      </c>
      <c r="P408">
        <v>154.5</v>
      </c>
    </row>
    <row r="409" spans="1:16" x14ac:dyDescent="0.3">
      <c r="A409">
        <v>85410</v>
      </c>
      <c r="B409">
        <v>105</v>
      </c>
      <c r="C409" t="s">
        <v>557</v>
      </c>
      <c r="D409" s="452">
        <v>46143</v>
      </c>
      <c r="E409">
        <v>25753</v>
      </c>
      <c r="F409" t="s">
        <v>5144</v>
      </c>
      <c r="G409">
        <v>6304</v>
      </c>
      <c r="H409">
        <v>14</v>
      </c>
      <c r="I409" t="s">
        <v>4736</v>
      </c>
      <c r="J409" t="s">
        <v>5191</v>
      </c>
      <c r="K409" t="s">
        <v>462</v>
      </c>
      <c r="L409">
        <v>0</v>
      </c>
      <c r="N409">
        <v>0</v>
      </c>
      <c r="O409">
        <v>0</v>
      </c>
      <c r="P409">
        <v>154.13999999999999</v>
      </c>
    </row>
    <row r="410" spans="1:16" x14ac:dyDescent="0.3">
      <c r="A410">
        <v>85199</v>
      </c>
      <c r="B410">
        <v>105</v>
      </c>
      <c r="C410" t="s">
        <v>557</v>
      </c>
      <c r="D410" s="452">
        <v>46143</v>
      </c>
      <c r="E410">
        <v>18595</v>
      </c>
      <c r="F410" t="s">
        <v>5092</v>
      </c>
      <c r="G410">
        <v>3099</v>
      </c>
      <c r="H410">
        <v>1.5</v>
      </c>
      <c r="I410" t="s">
        <v>4738</v>
      </c>
      <c r="J410" t="s">
        <v>5222</v>
      </c>
      <c r="K410" t="s">
        <v>462</v>
      </c>
      <c r="L410">
        <v>102.54</v>
      </c>
      <c r="M410" s="452">
        <v>46120</v>
      </c>
      <c r="N410">
        <v>102.54</v>
      </c>
      <c r="O410">
        <v>150.47999999999999</v>
      </c>
      <c r="P410">
        <v>153.81</v>
      </c>
    </row>
    <row r="411" spans="1:16" x14ac:dyDescent="0.3">
      <c r="A411">
        <v>85315</v>
      </c>
      <c r="B411">
        <v>105</v>
      </c>
      <c r="C411" t="s">
        <v>557</v>
      </c>
      <c r="D411" s="452">
        <v>46143</v>
      </c>
      <c r="E411">
        <v>20871</v>
      </c>
      <c r="F411" t="s">
        <v>5015</v>
      </c>
      <c r="G411">
        <v>2043</v>
      </c>
      <c r="H411">
        <v>7.68</v>
      </c>
      <c r="I411" t="s">
        <v>4879</v>
      </c>
      <c r="J411" t="s">
        <v>5191</v>
      </c>
      <c r="K411" t="s">
        <v>462</v>
      </c>
      <c r="L411">
        <v>19.899999999999999</v>
      </c>
      <c r="M411" s="452">
        <v>46119</v>
      </c>
      <c r="N411">
        <v>19.899999999999999</v>
      </c>
      <c r="O411">
        <v>19.899999999999999</v>
      </c>
      <c r="P411">
        <v>152.83000000000001</v>
      </c>
    </row>
    <row r="412" spans="1:16" x14ac:dyDescent="0.3">
      <c r="A412">
        <v>85322</v>
      </c>
      <c r="B412">
        <v>105</v>
      </c>
      <c r="C412" t="s">
        <v>557</v>
      </c>
      <c r="D412" s="452">
        <v>46143</v>
      </c>
      <c r="E412">
        <v>21030</v>
      </c>
      <c r="F412" t="s">
        <v>5145</v>
      </c>
      <c r="G412">
        <v>2001</v>
      </c>
      <c r="H412">
        <v>8</v>
      </c>
      <c r="I412" t="s">
        <v>4736</v>
      </c>
      <c r="J412" t="s">
        <v>5191</v>
      </c>
      <c r="K412" t="s">
        <v>462</v>
      </c>
      <c r="L412">
        <v>0</v>
      </c>
      <c r="M412" s="452">
        <v>46093</v>
      </c>
      <c r="N412">
        <v>19.059999999999999</v>
      </c>
      <c r="O412">
        <v>19.899999999999999</v>
      </c>
      <c r="P412">
        <v>152.47999999999999</v>
      </c>
    </row>
    <row r="413" spans="1:16" x14ac:dyDescent="0.3">
      <c r="A413">
        <v>85267</v>
      </c>
      <c r="B413">
        <v>105</v>
      </c>
      <c r="C413" t="s">
        <v>557</v>
      </c>
      <c r="D413" s="452">
        <v>46143</v>
      </c>
      <c r="E413">
        <v>19751</v>
      </c>
      <c r="F413" t="s">
        <v>4800</v>
      </c>
      <c r="G413">
        <v>2502</v>
      </c>
      <c r="H413">
        <v>14.54</v>
      </c>
      <c r="I413" t="s">
        <v>4744</v>
      </c>
      <c r="J413" t="s">
        <v>5191</v>
      </c>
      <c r="K413" t="s">
        <v>462</v>
      </c>
      <c r="L413">
        <v>10.47</v>
      </c>
      <c r="M413" s="452">
        <v>46135</v>
      </c>
      <c r="N413">
        <v>9.6999999999999993</v>
      </c>
      <c r="O413">
        <v>10.33</v>
      </c>
      <c r="P413">
        <v>152.22999999999999</v>
      </c>
    </row>
    <row r="414" spans="1:16" x14ac:dyDescent="0.3">
      <c r="A414">
        <v>85202</v>
      </c>
      <c r="B414">
        <v>105</v>
      </c>
      <c r="C414" t="s">
        <v>557</v>
      </c>
      <c r="D414" s="452">
        <v>46143</v>
      </c>
      <c r="E414">
        <v>18731</v>
      </c>
      <c r="F414" t="s">
        <v>4832</v>
      </c>
      <c r="G414">
        <v>3020</v>
      </c>
      <c r="H414">
        <v>2.1</v>
      </c>
      <c r="I414" t="s">
        <v>4744</v>
      </c>
      <c r="J414" t="s">
        <v>5191</v>
      </c>
      <c r="K414" t="s">
        <v>462</v>
      </c>
      <c r="L414">
        <v>0</v>
      </c>
      <c r="M414" s="452">
        <v>46076</v>
      </c>
      <c r="N414">
        <v>72</v>
      </c>
      <c r="O414">
        <v>60</v>
      </c>
      <c r="P414">
        <v>151.19999999999999</v>
      </c>
    </row>
    <row r="415" spans="1:16" x14ac:dyDescent="0.3">
      <c r="A415">
        <v>85203</v>
      </c>
      <c r="B415">
        <v>105</v>
      </c>
      <c r="C415" t="s">
        <v>557</v>
      </c>
      <c r="D415" s="452">
        <v>46143</v>
      </c>
      <c r="E415">
        <v>18732</v>
      </c>
      <c r="F415" t="s">
        <v>5156</v>
      </c>
      <c r="G415">
        <v>3020</v>
      </c>
      <c r="H415">
        <v>2.1</v>
      </c>
      <c r="I415" t="s">
        <v>4744</v>
      </c>
      <c r="J415" t="s">
        <v>5191</v>
      </c>
      <c r="K415" t="s">
        <v>462</v>
      </c>
      <c r="L415">
        <v>72</v>
      </c>
      <c r="M415" s="452">
        <v>46128</v>
      </c>
      <c r="N415">
        <v>72</v>
      </c>
      <c r="O415">
        <v>72</v>
      </c>
      <c r="P415">
        <v>151.19999999999999</v>
      </c>
    </row>
    <row r="416" spans="1:16" x14ac:dyDescent="0.3">
      <c r="A416">
        <v>85329</v>
      </c>
      <c r="B416">
        <v>105</v>
      </c>
      <c r="C416" t="s">
        <v>557</v>
      </c>
      <c r="D416" s="452">
        <v>46143</v>
      </c>
      <c r="E416">
        <v>21150</v>
      </c>
      <c r="F416" t="s">
        <v>4878</v>
      </c>
      <c r="G416">
        <v>1951</v>
      </c>
      <c r="H416">
        <v>1.28</v>
      </c>
      <c r="I416" t="s">
        <v>4879</v>
      </c>
      <c r="J416" t="s">
        <v>5191</v>
      </c>
      <c r="K416" t="s">
        <v>462</v>
      </c>
      <c r="L416">
        <v>0</v>
      </c>
      <c r="M416" s="452">
        <v>46091</v>
      </c>
      <c r="N416">
        <v>113.31</v>
      </c>
      <c r="O416">
        <v>113.31</v>
      </c>
      <c r="P416">
        <v>145.04</v>
      </c>
    </row>
    <row r="417" spans="1:16" x14ac:dyDescent="0.3">
      <c r="A417">
        <v>85269</v>
      </c>
      <c r="B417">
        <v>105</v>
      </c>
      <c r="C417" t="s">
        <v>557</v>
      </c>
      <c r="D417" s="452">
        <v>46143</v>
      </c>
      <c r="E417">
        <v>19765</v>
      </c>
      <c r="F417" t="s">
        <v>4889</v>
      </c>
      <c r="G417">
        <v>2488</v>
      </c>
      <c r="H417">
        <v>4</v>
      </c>
      <c r="I417" t="s">
        <v>4744</v>
      </c>
      <c r="J417" t="s">
        <v>5191</v>
      </c>
      <c r="K417" t="s">
        <v>462</v>
      </c>
      <c r="L417">
        <v>36.06</v>
      </c>
      <c r="M417" s="452">
        <v>46127</v>
      </c>
      <c r="N417">
        <v>35.5</v>
      </c>
      <c r="O417">
        <v>36.25</v>
      </c>
      <c r="P417">
        <v>144.24</v>
      </c>
    </row>
    <row r="418" spans="1:16" x14ac:dyDescent="0.3">
      <c r="A418">
        <v>85286</v>
      </c>
      <c r="B418">
        <v>105</v>
      </c>
      <c r="C418" t="s">
        <v>557</v>
      </c>
      <c r="D418" s="452">
        <v>46143</v>
      </c>
      <c r="E418">
        <v>20122</v>
      </c>
      <c r="F418" t="s">
        <v>4781</v>
      </c>
      <c r="G418">
        <v>2290</v>
      </c>
      <c r="H418">
        <v>10</v>
      </c>
      <c r="I418" t="s">
        <v>4738</v>
      </c>
      <c r="J418" t="s">
        <v>5191</v>
      </c>
      <c r="K418" t="s">
        <v>462</v>
      </c>
      <c r="L418">
        <v>14.38</v>
      </c>
      <c r="M418" s="452">
        <v>46119</v>
      </c>
      <c r="N418">
        <v>14.38</v>
      </c>
      <c r="O418">
        <v>14.38</v>
      </c>
      <c r="P418">
        <v>143.80000000000001</v>
      </c>
    </row>
    <row r="419" spans="1:16" x14ac:dyDescent="0.3">
      <c r="A419">
        <v>85336</v>
      </c>
      <c r="B419">
        <v>105</v>
      </c>
      <c r="C419" t="s">
        <v>557</v>
      </c>
      <c r="D419" s="452">
        <v>46143</v>
      </c>
      <c r="E419">
        <v>23096</v>
      </c>
      <c r="F419" t="s">
        <v>5164</v>
      </c>
      <c r="G419">
        <v>2753</v>
      </c>
      <c r="H419">
        <v>202</v>
      </c>
      <c r="I419" t="s">
        <v>4736</v>
      </c>
      <c r="J419" t="s">
        <v>5191</v>
      </c>
      <c r="K419" t="s">
        <v>462</v>
      </c>
      <c r="L419">
        <v>0.7</v>
      </c>
      <c r="M419" s="452">
        <v>46128</v>
      </c>
      <c r="N419">
        <v>0.7</v>
      </c>
      <c r="O419">
        <v>0.65</v>
      </c>
      <c r="P419">
        <v>141.4</v>
      </c>
    </row>
    <row r="420" spans="1:16" x14ac:dyDescent="0.3">
      <c r="A420">
        <v>85178</v>
      </c>
      <c r="B420">
        <v>105</v>
      </c>
      <c r="C420" t="s">
        <v>557</v>
      </c>
      <c r="D420" s="452">
        <v>46143</v>
      </c>
      <c r="E420">
        <v>18293</v>
      </c>
      <c r="F420" t="s">
        <v>5034</v>
      </c>
      <c r="G420">
        <v>3336</v>
      </c>
      <c r="H420">
        <v>1</v>
      </c>
      <c r="I420" t="s">
        <v>4805</v>
      </c>
      <c r="J420" t="s">
        <v>5222</v>
      </c>
      <c r="K420" t="s">
        <v>462</v>
      </c>
      <c r="L420">
        <v>0</v>
      </c>
      <c r="M420" s="452">
        <v>46079</v>
      </c>
      <c r="N420">
        <v>137.69999999999999</v>
      </c>
      <c r="O420">
        <v>137.69999999999999</v>
      </c>
      <c r="P420">
        <v>137.69999999999999</v>
      </c>
    </row>
    <row r="421" spans="1:16" x14ac:dyDescent="0.3">
      <c r="A421">
        <v>85443</v>
      </c>
      <c r="B421">
        <v>105</v>
      </c>
      <c r="C421" t="s">
        <v>557</v>
      </c>
      <c r="D421" s="452">
        <v>46143</v>
      </c>
      <c r="E421">
        <v>29083</v>
      </c>
      <c r="F421" t="s">
        <v>5153</v>
      </c>
      <c r="G421">
        <v>9017</v>
      </c>
      <c r="H421">
        <v>1</v>
      </c>
      <c r="I421" t="s">
        <v>4736</v>
      </c>
      <c r="J421" t="s">
        <v>5191</v>
      </c>
      <c r="K421" t="s">
        <v>462</v>
      </c>
      <c r="L421">
        <v>132.12</v>
      </c>
      <c r="M421" s="452">
        <v>46113</v>
      </c>
      <c r="N421">
        <v>132.12</v>
      </c>
      <c r="O421">
        <v>132.12</v>
      </c>
      <c r="P421">
        <v>132.12</v>
      </c>
    </row>
    <row r="422" spans="1:16" x14ac:dyDescent="0.3">
      <c r="A422">
        <v>85190</v>
      </c>
      <c r="B422">
        <v>105</v>
      </c>
      <c r="C422" t="s">
        <v>557</v>
      </c>
      <c r="D422" s="452">
        <v>46143</v>
      </c>
      <c r="E422">
        <v>18477</v>
      </c>
      <c r="F422" t="s">
        <v>4920</v>
      </c>
      <c r="G422">
        <v>3179</v>
      </c>
      <c r="H422">
        <v>3</v>
      </c>
      <c r="I422" t="s">
        <v>4805</v>
      </c>
      <c r="J422" t="s">
        <v>5222</v>
      </c>
      <c r="K422" t="s">
        <v>462</v>
      </c>
      <c r="L422">
        <v>0</v>
      </c>
      <c r="M422" s="452">
        <v>46047</v>
      </c>
      <c r="N422">
        <v>43.9</v>
      </c>
      <c r="O422">
        <v>43.9</v>
      </c>
      <c r="P422">
        <v>131.69999999999999</v>
      </c>
    </row>
    <row r="423" spans="1:16" x14ac:dyDescent="0.3">
      <c r="A423">
        <v>85284</v>
      </c>
      <c r="B423">
        <v>105</v>
      </c>
      <c r="C423" t="s">
        <v>557</v>
      </c>
      <c r="D423" s="452">
        <v>46143</v>
      </c>
      <c r="E423">
        <v>20057</v>
      </c>
      <c r="F423" t="s">
        <v>4949</v>
      </c>
      <c r="G423">
        <v>2324</v>
      </c>
      <c r="H423">
        <v>3.12</v>
      </c>
      <c r="I423" t="s">
        <v>4736</v>
      </c>
      <c r="J423" t="s">
        <v>5191</v>
      </c>
      <c r="K423" t="s">
        <v>462</v>
      </c>
      <c r="L423">
        <v>0</v>
      </c>
      <c r="M423" s="452">
        <v>46102</v>
      </c>
      <c r="N423">
        <v>42.18</v>
      </c>
      <c r="O423">
        <v>42.18</v>
      </c>
      <c r="P423">
        <v>131.6</v>
      </c>
    </row>
    <row r="424" spans="1:16" x14ac:dyDescent="0.3">
      <c r="A424">
        <v>85272</v>
      </c>
      <c r="B424">
        <v>105</v>
      </c>
      <c r="C424" t="s">
        <v>557</v>
      </c>
      <c r="D424" s="452">
        <v>46143</v>
      </c>
      <c r="E424">
        <v>19892</v>
      </c>
      <c r="F424" t="s">
        <v>5150</v>
      </c>
      <c r="G424">
        <v>2386</v>
      </c>
      <c r="H424">
        <v>0.92</v>
      </c>
      <c r="I424" t="s">
        <v>4744</v>
      </c>
      <c r="J424" t="s">
        <v>5191</v>
      </c>
      <c r="K424" t="s">
        <v>462</v>
      </c>
      <c r="L424">
        <v>0</v>
      </c>
      <c r="M424" s="452">
        <v>46056</v>
      </c>
      <c r="N424">
        <v>140</v>
      </c>
      <c r="O424">
        <v>145</v>
      </c>
      <c r="P424">
        <v>128.80000000000001</v>
      </c>
    </row>
    <row r="425" spans="1:16" x14ac:dyDescent="0.3">
      <c r="A425">
        <v>85173</v>
      </c>
      <c r="B425">
        <v>105</v>
      </c>
      <c r="C425" t="s">
        <v>557</v>
      </c>
      <c r="D425" s="452">
        <v>46143</v>
      </c>
      <c r="E425">
        <v>18232</v>
      </c>
      <c r="F425" t="s">
        <v>4971</v>
      </c>
      <c r="G425">
        <v>3396</v>
      </c>
      <c r="H425">
        <v>1.27</v>
      </c>
      <c r="I425" t="s">
        <v>4805</v>
      </c>
      <c r="J425" t="s">
        <v>5222</v>
      </c>
      <c r="K425" t="s">
        <v>462</v>
      </c>
      <c r="L425">
        <v>0</v>
      </c>
      <c r="M425" s="452">
        <v>46057</v>
      </c>
      <c r="N425">
        <v>99.9</v>
      </c>
      <c r="O425">
        <v>102</v>
      </c>
      <c r="P425">
        <v>126.87</v>
      </c>
    </row>
    <row r="426" spans="1:16" x14ac:dyDescent="0.3">
      <c r="A426">
        <v>85292</v>
      </c>
      <c r="B426">
        <v>105</v>
      </c>
      <c r="C426" t="s">
        <v>557</v>
      </c>
      <c r="D426" s="452">
        <v>46143</v>
      </c>
      <c r="E426">
        <v>20242</v>
      </c>
      <c r="F426" t="s">
        <v>4824</v>
      </c>
      <c r="G426">
        <v>2242</v>
      </c>
      <c r="H426">
        <v>7</v>
      </c>
      <c r="I426" t="s">
        <v>4738</v>
      </c>
      <c r="J426" t="s">
        <v>5191</v>
      </c>
      <c r="K426" t="s">
        <v>462</v>
      </c>
      <c r="L426">
        <v>17.809999999999999</v>
      </c>
      <c r="M426" s="452">
        <v>46126</v>
      </c>
      <c r="N426">
        <v>17.8</v>
      </c>
      <c r="O426">
        <v>18.059999999999999</v>
      </c>
      <c r="P426">
        <v>124.67</v>
      </c>
    </row>
    <row r="427" spans="1:16" x14ac:dyDescent="0.3">
      <c r="A427">
        <v>85264</v>
      </c>
      <c r="B427">
        <v>105</v>
      </c>
      <c r="C427" t="s">
        <v>557</v>
      </c>
      <c r="D427" s="452">
        <v>46143</v>
      </c>
      <c r="E427">
        <v>19740</v>
      </c>
      <c r="F427" t="s">
        <v>4779</v>
      </c>
      <c r="G427">
        <v>2513</v>
      </c>
      <c r="H427">
        <v>14.22</v>
      </c>
      <c r="I427" t="s">
        <v>4744</v>
      </c>
      <c r="J427" t="s">
        <v>5191</v>
      </c>
      <c r="K427" t="s">
        <v>462</v>
      </c>
      <c r="L427">
        <v>8.7200000000000006</v>
      </c>
      <c r="M427" s="452">
        <v>46135</v>
      </c>
      <c r="N427">
        <v>9.5</v>
      </c>
      <c r="O427">
        <v>9.5</v>
      </c>
      <c r="P427">
        <v>124</v>
      </c>
    </row>
    <row r="428" spans="1:16" x14ac:dyDescent="0.3">
      <c r="A428">
        <v>85146</v>
      </c>
      <c r="B428">
        <v>105</v>
      </c>
      <c r="C428" t="s">
        <v>557</v>
      </c>
      <c r="D428" s="452">
        <v>46143</v>
      </c>
      <c r="E428">
        <v>17883</v>
      </c>
      <c r="F428" t="s">
        <v>5113</v>
      </c>
      <c r="G428">
        <v>3673</v>
      </c>
      <c r="H428">
        <v>3.75</v>
      </c>
      <c r="I428" t="s">
        <v>4738</v>
      </c>
      <c r="J428" t="s">
        <v>5222</v>
      </c>
      <c r="K428" t="s">
        <v>462</v>
      </c>
      <c r="L428">
        <v>32.65</v>
      </c>
      <c r="M428" s="452">
        <v>46126</v>
      </c>
      <c r="N428">
        <v>32.65</v>
      </c>
      <c r="O428">
        <v>28.32</v>
      </c>
      <c r="P428">
        <v>122.44</v>
      </c>
    </row>
    <row r="429" spans="1:16" x14ac:dyDescent="0.3">
      <c r="A429">
        <v>85366</v>
      </c>
      <c r="B429">
        <v>105</v>
      </c>
      <c r="C429" t="s">
        <v>557</v>
      </c>
      <c r="D429" s="452">
        <v>46143</v>
      </c>
      <c r="E429">
        <v>23808</v>
      </c>
      <c r="F429" t="s">
        <v>4982</v>
      </c>
      <c r="G429">
        <v>2096</v>
      </c>
      <c r="H429">
        <v>1.8</v>
      </c>
      <c r="I429" t="s">
        <v>4744</v>
      </c>
      <c r="J429" t="s">
        <v>5191</v>
      </c>
      <c r="K429" t="s">
        <v>462</v>
      </c>
      <c r="L429">
        <v>67.5</v>
      </c>
      <c r="M429" s="452">
        <v>46127</v>
      </c>
      <c r="N429">
        <v>67.900000000000006</v>
      </c>
      <c r="O429">
        <v>67.900000000000006</v>
      </c>
      <c r="P429">
        <v>121.5</v>
      </c>
    </row>
    <row r="430" spans="1:16" x14ac:dyDescent="0.3">
      <c r="A430">
        <v>85193</v>
      </c>
      <c r="B430">
        <v>105</v>
      </c>
      <c r="C430" t="s">
        <v>557</v>
      </c>
      <c r="D430" s="452">
        <v>46143</v>
      </c>
      <c r="E430">
        <v>18538</v>
      </c>
      <c r="F430" t="s">
        <v>5030</v>
      </c>
      <c r="G430">
        <v>3139</v>
      </c>
      <c r="H430">
        <v>1.1499999999999999</v>
      </c>
      <c r="I430" t="s">
        <v>4805</v>
      </c>
      <c r="J430" t="s">
        <v>5222</v>
      </c>
      <c r="K430" t="s">
        <v>462</v>
      </c>
      <c r="L430">
        <v>0</v>
      </c>
      <c r="M430" s="452">
        <v>46028</v>
      </c>
      <c r="N430">
        <v>104.9</v>
      </c>
      <c r="O430">
        <v>105.9</v>
      </c>
      <c r="P430">
        <v>120.64</v>
      </c>
    </row>
    <row r="431" spans="1:16" x14ac:dyDescent="0.3">
      <c r="A431">
        <v>85391</v>
      </c>
      <c r="B431">
        <v>105</v>
      </c>
      <c r="C431" t="s">
        <v>557</v>
      </c>
      <c r="D431" s="452">
        <v>46143</v>
      </c>
      <c r="E431">
        <v>24685</v>
      </c>
      <c r="F431" t="s">
        <v>5055</v>
      </c>
      <c r="G431">
        <v>5714</v>
      </c>
      <c r="H431">
        <v>0.81</v>
      </c>
      <c r="I431" t="s">
        <v>4805</v>
      </c>
      <c r="J431" t="s">
        <v>5222</v>
      </c>
      <c r="K431" t="s">
        <v>462</v>
      </c>
      <c r="L431">
        <v>0</v>
      </c>
      <c r="M431" s="452">
        <v>45999</v>
      </c>
      <c r="N431">
        <v>147.25</v>
      </c>
      <c r="O431">
        <v>198</v>
      </c>
      <c r="P431">
        <v>119.27</v>
      </c>
    </row>
    <row r="432" spans="1:16" x14ac:dyDescent="0.3">
      <c r="A432">
        <v>85415</v>
      </c>
      <c r="B432">
        <v>105</v>
      </c>
      <c r="C432" t="s">
        <v>557</v>
      </c>
      <c r="D432" s="452">
        <v>46143</v>
      </c>
      <c r="E432">
        <v>25763</v>
      </c>
      <c r="F432" t="s">
        <v>4943</v>
      </c>
      <c r="G432">
        <v>6314</v>
      </c>
      <c r="H432">
        <v>1</v>
      </c>
      <c r="I432" t="s">
        <v>4736</v>
      </c>
      <c r="J432" t="s">
        <v>5191</v>
      </c>
      <c r="K432" t="s">
        <v>462</v>
      </c>
      <c r="L432">
        <v>117.04</v>
      </c>
      <c r="M432" s="452">
        <v>46113</v>
      </c>
      <c r="N432">
        <v>117.04</v>
      </c>
      <c r="O432">
        <v>117.04</v>
      </c>
      <c r="P432">
        <v>117.04</v>
      </c>
    </row>
    <row r="433" spans="1:16" x14ac:dyDescent="0.3">
      <c r="A433">
        <v>85141</v>
      </c>
      <c r="B433">
        <v>105</v>
      </c>
      <c r="C433" t="s">
        <v>557</v>
      </c>
      <c r="D433" s="452">
        <v>46143</v>
      </c>
      <c r="E433">
        <v>17658</v>
      </c>
      <c r="F433" t="s">
        <v>4978</v>
      </c>
      <c r="G433">
        <v>3871</v>
      </c>
      <c r="H433">
        <v>2</v>
      </c>
      <c r="I433" t="s">
        <v>4805</v>
      </c>
      <c r="J433" t="s">
        <v>5222</v>
      </c>
      <c r="K433" t="s">
        <v>462</v>
      </c>
      <c r="L433">
        <v>0</v>
      </c>
      <c r="M433" s="452">
        <v>46051</v>
      </c>
      <c r="N433">
        <v>58</v>
      </c>
      <c r="O433">
        <v>58</v>
      </c>
      <c r="P433">
        <v>116</v>
      </c>
    </row>
    <row r="434" spans="1:16" x14ac:dyDescent="0.3">
      <c r="A434">
        <v>85435</v>
      </c>
      <c r="B434">
        <v>105</v>
      </c>
      <c r="C434" t="s">
        <v>557</v>
      </c>
      <c r="D434" s="452">
        <v>46143</v>
      </c>
      <c r="E434">
        <v>27018</v>
      </c>
      <c r="F434" t="s">
        <v>4737</v>
      </c>
      <c r="G434">
        <v>7070</v>
      </c>
      <c r="H434">
        <v>1.45</v>
      </c>
      <c r="I434" t="s">
        <v>4738</v>
      </c>
      <c r="J434" t="s">
        <v>5222</v>
      </c>
      <c r="K434" t="s">
        <v>462</v>
      </c>
      <c r="L434">
        <v>0</v>
      </c>
      <c r="M434" s="452">
        <v>45978</v>
      </c>
      <c r="N434">
        <v>79.64</v>
      </c>
      <c r="O434">
        <v>79.64</v>
      </c>
      <c r="P434">
        <v>115.48</v>
      </c>
    </row>
    <row r="435" spans="1:16" x14ac:dyDescent="0.3">
      <c r="A435">
        <v>85365</v>
      </c>
      <c r="B435">
        <v>105</v>
      </c>
      <c r="C435" t="s">
        <v>557</v>
      </c>
      <c r="D435" s="452">
        <v>46143</v>
      </c>
      <c r="E435">
        <v>23785</v>
      </c>
      <c r="F435" t="s">
        <v>4858</v>
      </c>
      <c r="G435">
        <v>2114</v>
      </c>
      <c r="H435">
        <v>3</v>
      </c>
      <c r="I435" t="s">
        <v>4744</v>
      </c>
      <c r="J435" t="s">
        <v>5191</v>
      </c>
      <c r="K435" t="s">
        <v>462</v>
      </c>
      <c r="L435">
        <v>38.43</v>
      </c>
      <c r="M435" s="452">
        <v>46126</v>
      </c>
      <c r="N435">
        <v>48</v>
      </c>
      <c r="O435">
        <v>48</v>
      </c>
      <c r="P435">
        <v>115.29</v>
      </c>
    </row>
    <row r="436" spans="1:16" x14ac:dyDescent="0.3">
      <c r="A436">
        <v>85277</v>
      </c>
      <c r="B436">
        <v>105</v>
      </c>
      <c r="C436" t="s">
        <v>557</v>
      </c>
      <c r="D436" s="452">
        <v>46143</v>
      </c>
      <c r="E436">
        <v>19967</v>
      </c>
      <c r="F436" t="s">
        <v>4956</v>
      </c>
      <c r="G436">
        <v>2356</v>
      </c>
      <c r="H436">
        <v>2.2999999999999998</v>
      </c>
      <c r="I436" t="s">
        <v>4888</v>
      </c>
      <c r="J436" t="s">
        <v>5191</v>
      </c>
      <c r="K436" t="s">
        <v>462</v>
      </c>
      <c r="L436">
        <v>49.28</v>
      </c>
      <c r="M436" s="452">
        <v>46135</v>
      </c>
      <c r="N436">
        <v>49.28</v>
      </c>
      <c r="O436">
        <v>49.29</v>
      </c>
      <c r="P436">
        <v>113.34</v>
      </c>
    </row>
    <row r="437" spans="1:16" x14ac:dyDescent="0.3">
      <c r="A437">
        <v>85197</v>
      </c>
      <c r="B437">
        <v>105</v>
      </c>
      <c r="C437" t="s">
        <v>557</v>
      </c>
      <c r="D437" s="452">
        <v>46143</v>
      </c>
      <c r="E437">
        <v>18586</v>
      </c>
      <c r="F437" t="s">
        <v>4966</v>
      </c>
      <c r="G437">
        <v>3104</v>
      </c>
      <c r="H437">
        <v>1.05</v>
      </c>
      <c r="I437" t="s">
        <v>4738</v>
      </c>
      <c r="J437" t="s">
        <v>5222</v>
      </c>
      <c r="K437" t="s">
        <v>462</v>
      </c>
      <c r="L437">
        <v>107.63</v>
      </c>
      <c r="M437" s="452">
        <v>46126</v>
      </c>
      <c r="N437">
        <v>107.63</v>
      </c>
      <c r="O437">
        <v>132.07</v>
      </c>
      <c r="P437">
        <v>113.01</v>
      </c>
    </row>
    <row r="438" spans="1:16" x14ac:dyDescent="0.3">
      <c r="A438">
        <v>85421</v>
      </c>
      <c r="B438">
        <v>105</v>
      </c>
      <c r="C438" t="s">
        <v>557</v>
      </c>
      <c r="D438" s="452">
        <v>46143</v>
      </c>
      <c r="E438">
        <v>26020</v>
      </c>
      <c r="F438" t="s">
        <v>5102</v>
      </c>
      <c r="G438">
        <v>2105</v>
      </c>
      <c r="H438">
        <v>8</v>
      </c>
      <c r="I438" t="s">
        <v>4736</v>
      </c>
      <c r="J438" t="s">
        <v>5191</v>
      </c>
      <c r="K438" t="s">
        <v>462</v>
      </c>
      <c r="L438">
        <v>13.69</v>
      </c>
      <c r="M438" s="452">
        <v>46126</v>
      </c>
      <c r="N438">
        <v>13.69</v>
      </c>
      <c r="O438">
        <v>15.26</v>
      </c>
      <c r="P438">
        <v>109.52</v>
      </c>
    </row>
    <row r="439" spans="1:16" x14ac:dyDescent="0.3">
      <c r="A439">
        <v>85253</v>
      </c>
      <c r="B439">
        <v>105</v>
      </c>
      <c r="C439" t="s">
        <v>557</v>
      </c>
      <c r="D439" s="452">
        <v>46143</v>
      </c>
      <c r="E439">
        <v>19635</v>
      </c>
      <c r="F439" t="s">
        <v>4786</v>
      </c>
      <c r="G439">
        <v>2601</v>
      </c>
      <c r="H439">
        <v>17.39</v>
      </c>
      <c r="I439" t="s">
        <v>4744</v>
      </c>
      <c r="J439" t="s">
        <v>5191</v>
      </c>
      <c r="K439" t="s">
        <v>462</v>
      </c>
      <c r="L439">
        <v>6.28</v>
      </c>
      <c r="M439" s="452">
        <v>46128</v>
      </c>
      <c r="N439">
        <v>6.2</v>
      </c>
      <c r="O439">
        <v>4.42</v>
      </c>
      <c r="P439">
        <v>109.21</v>
      </c>
    </row>
    <row r="440" spans="1:16" x14ac:dyDescent="0.3">
      <c r="A440">
        <v>85290</v>
      </c>
      <c r="B440">
        <v>105</v>
      </c>
      <c r="C440" t="s">
        <v>557</v>
      </c>
      <c r="D440" s="452">
        <v>46143</v>
      </c>
      <c r="E440">
        <v>20224</v>
      </c>
      <c r="F440" t="s">
        <v>5118</v>
      </c>
      <c r="G440">
        <v>2249</v>
      </c>
      <c r="H440">
        <v>1.5</v>
      </c>
      <c r="I440" t="s">
        <v>4744</v>
      </c>
      <c r="J440" t="s">
        <v>5191</v>
      </c>
      <c r="K440" t="s">
        <v>462</v>
      </c>
      <c r="L440">
        <v>72</v>
      </c>
      <c r="M440" s="452">
        <v>46135</v>
      </c>
      <c r="N440">
        <v>72</v>
      </c>
      <c r="O440">
        <v>72</v>
      </c>
      <c r="P440">
        <v>108</v>
      </c>
    </row>
    <row r="441" spans="1:16" x14ac:dyDescent="0.3">
      <c r="A441">
        <v>85224</v>
      </c>
      <c r="B441">
        <v>105</v>
      </c>
      <c r="C441" t="s">
        <v>557</v>
      </c>
      <c r="D441" s="452">
        <v>46143</v>
      </c>
      <c r="E441">
        <v>19439</v>
      </c>
      <c r="F441" t="s">
        <v>4917</v>
      </c>
      <c r="G441">
        <v>2756</v>
      </c>
      <c r="H441">
        <v>3.4</v>
      </c>
      <c r="I441" t="s">
        <v>4744</v>
      </c>
      <c r="J441" t="s">
        <v>5191</v>
      </c>
      <c r="K441" t="s">
        <v>462</v>
      </c>
      <c r="L441">
        <v>31.68</v>
      </c>
      <c r="M441" s="452">
        <v>46127</v>
      </c>
      <c r="N441">
        <v>30.91</v>
      </c>
      <c r="O441">
        <v>31.67</v>
      </c>
      <c r="P441">
        <v>107.71</v>
      </c>
    </row>
    <row r="442" spans="1:16" x14ac:dyDescent="0.3">
      <c r="A442">
        <v>85279</v>
      </c>
      <c r="B442">
        <v>105</v>
      </c>
      <c r="C442" t="s">
        <v>557</v>
      </c>
      <c r="D442" s="452">
        <v>46143</v>
      </c>
      <c r="E442">
        <v>19978</v>
      </c>
      <c r="F442" t="s">
        <v>4887</v>
      </c>
      <c r="G442">
        <v>2353</v>
      </c>
      <c r="H442">
        <v>5</v>
      </c>
      <c r="I442" t="s">
        <v>4888</v>
      </c>
      <c r="J442" t="s">
        <v>5191</v>
      </c>
      <c r="K442" t="s">
        <v>462</v>
      </c>
      <c r="L442">
        <v>0</v>
      </c>
      <c r="M442" s="452">
        <v>46094</v>
      </c>
      <c r="N442">
        <v>21.45</v>
      </c>
      <c r="O442">
        <v>21.45</v>
      </c>
      <c r="P442">
        <v>107.25</v>
      </c>
    </row>
    <row r="443" spans="1:16" x14ac:dyDescent="0.3">
      <c r="A443">
        <v>85393</v>
      </c>
      <c r="B443">
        <v>105</v>
      </c>
      <c r="C443" t="s">
        <v>557</v>
      </c>
      <c r="D443" s="452">
        <v>46143</v>
      </c>
      <c r="E443">
        <v>24973</v>
      </c>
      <c r="F443" t="s">
        <v>4819</v>
      </c>
      <c r="G443">
        <v>5845</v>
      </c>
      <c r="H443">
        <v>1.5</v>
      </c>
      <c r="I443" t="s">
        <v>4738</v>
      </c>
      <c r="J443" t="s">
        <v>5222</v>
      </c>
      <c r="K443" t="s">
        <v>462</v>
      </c>
      <c r="L443">
        <v>0</v>
      </c>
      <c r="M443" s="452">
        <v>46083</v>
      </c>
      <c r="N443">
        <v>68.790000000000006</v>
      </c>
      <c r="O443">
        <v>68.790000000000006</v>
      </c>
      <c r="P443">
        <v>103.18</v>
      </c>
    </row>
    <row r="444" spans="1:16" x14ac:dyDescent="0.3">
      <c r="A444">
        <v>85226</v>
      </c>
      <c r="B444">
        <v>105</v>
      </c>
      <c r="C444" t="s">
        <v>557</v>
      </c>
      <c r="D444" s="452">
        <v>46143</v>
      </c>
      <c r="E444">
        <v>19472</v>
      </c>
      <c r="F444" t="s">
        <v>4906</v>
      </c>
      <c r="G444">
        <v>2733</v>
      </c>
      <c r="H444">
        <v>4.92</v>
      </c>
      <c r="I444" t="s">
        <v>4744</v>
      </c>
      <c r="J444" t="s">
        <v>5191</v>
      </c>
      <c r="K444" t="s">
        <v>462</v>
      </c>
      <c r="L444">
        <v>20.78</v>
      </c>
      <c r="M444" s="452">
        <v>46128</v>
      </c>
      <c r="N444">
        <v>17.2</v>
      </c>
      <c r="O444">
        <v>17.2</v>
      </c>
      <c r="P444">
        <v>102.24</v>
      </c>
    </row>
    <row r="445" spans="1:16" x14ac:dyDescent="0.3">
      <c r="A445">
        <v>85387</v>
      </c>
      <c r="B445">
        <v>105</v>
      </c>
      <c r="C445" t="s">
        <v>557</v>
      </c>
      <c r="D445" s="452">
        <v>46143</v>
      </c>
      <c r="E445">
        <v>24403</v>
      </c>
      <c r="F445" t="s">
        <v>5149</v>
      </c>
      <c r="G445">
        <v>3049</v>
      </c>
      <c r="H445">
        <v>7.8</v>
      </c>
      <c r="I445" t="s">
        <v>4744</v>
      </c>
      <c r="J445" t="s">
        <v>5191</v>
      </c>
      <c r="K445" t="s">
        <v>462</v>
      </c>
      <c r="L445">
        <v>0</v>
      </c>
      <c r="M445" s="452">
        <v>46098</v>
      </c>
      <c r="N445">
        <v>12.99</v>
      </c>
      <c r="O445">
        <v>12.99</v>
      </c>
      <c r="P445">
        <v>101.33</v>
      </c>
    </row>
    <row r="446" spans="1:16" x14ac:dyDescent="0.3">
      <c r="A446">
        <v>85250</v>
      </c>
      <c r="B446">
        <v>105</v>
      </c>
      <c r="C446" t="s">
        <v>557</v>
      </c>
      <c r="D446" s="452">
        <v>46143</v>
      </c>
      <c r="E446">
        <v>19623</v>
      </c>
      <c r="F446" t="s">
        <v>4764</v>
      </c>
      <c r="G446">
        <v>2611</v>
      </c>
      <c r="H446">
        <v>20.329999999999998</v>
      </c>
      <c r="I446" t="s">
        <v>4744</v>
      </c>
      <c r="J446" t="s">
        <v>5191</v>
      </c>
      <c r="K446" t="s">
        <v>462</v>
      </c>
      <c r="L446">
        <v>4.9400000000000004</v>
      </c>
      <c r="M446" s="452">
        <v>46135</v>
      </c>
      <c r="N446">
        <v>5.8</v>
      </c>
      <c r="O446">
        <v>5.5</v>
      </c>
      <c r="P446">
        <v>100.43</v>
      </c>
    </row>
    <row r="447" spans="1:16" x14ac:dyDescent="0.3">
      <c r="A447">
        <v>85233</v>
      </c>
      <c r="B447">
        <v>105</v>
      </c>
      <c r="C447" t="s">
        <v>557</v>
      </c>
      <c r="D447" s="452">
        <v>46143</v>
      </c>
      <c r="E447">
        <v>19505</v>
      </c>
      <c r="F447" t="s">
        <v>4872</v>
      </c>
      <c r="G447">
        <v>2706</v>
      </c>
      <c r="H447">
        <v>9.3000000000000007</v>
      </c>
      <c r="I447" t="s">
        <v>4744</v>
      </c>
      <c r="J447" t="s">
        <v>5191</v>
      </c>
      <c r="K447" t="s">
        <v>462</v>
      </c>
      <c r="L447">
        <v>10.72</v>
      </c>
      <c r="M447" s="452">
        <v>46135</v>
      </c>
      <c r="N447">
        <v>10</v>
      </c>
      <c r="O447">
        <v>9.67</v>
      </c>
      <c r="P447">
        <v>99.7</v>
      </c>
    </row>
    <row r="448" spans="1:16" x14ac:dyDescent="0.3">
      <c r="A448">
        <v>85444</v>
      </c>
      <c r="B448">
        <v>105</v>
      </c>
      <c r="C448" t="s">
        <v>557</v>
      </c>
      <c r="D448" s="452">
        <v>46143</v>
      </c>
      <c r="E448">
        <v>29084</v>
      </c>
      <c r="F448" t="s">
        <v>5154</v>
      </c>
      <c r="G448">
        <v>9018</v>
      </c>
      <c r="H448">
        <v>0.75</v>
      </c>
      <c r="I448" t="s">
        <v>4736</v>
      </c>
      <c r="J448" t="s">
        <v>5191</v>
      </c>
      <c r="K448" t="s">
        <v>462</v>
      </c>
      <c r="L448">
        <v>132.12</v>
      </c>
      <c r="M448" s="452">
        <v>46113</v>
      </c>
      <c r="N448">
        <v>132.12</v>
      </c>
      <c r="O448">
        <v>132.12</v>
      </c>
      <c r="P448">
        <v>99.09</v>
      </c>
    </row>
    <row r="449" spans="1:16" x14ac:dyDescent="0.3">
      <c r="A449">
        <v>85298</v>
      </c>
      <c r="B449">
        <v>105</v>
      </c>
      <c r="C449" t="s">
        <v>557</v>
      </c>
      <c r="D449" s="452">
        <v>46143</v>
      </c>
      <c r="E449">
        <v>20382</v>
      </c>
      <c r="F449" t="s">
        <v>4780</v>
      </c>
      <c r="G449">
        <v>2196</v>
      </c>
      <c r="H449">
        <v>11</v>
      </c>
      <c r="I449" t="s">
        <v>4738</v>
      </c>
      <c r="J449" t="s">
        <v>5191</v>
      </c>
      <c r="K449" t="s">
        <v>462</v>
      </c>
      <c r="L449">
        <v>8.99</v>
      </c>
      <c r="M449" s="452">
        <v>46134</v>
      </c>
      <c r="N449">
        <v>8.99</v>
      </c>
      <c r="O449">
        <v>8.99</v>
      </c>
      <c r="P449">
        <v>98.89</v>
      </c>
    </row>
    <row r="450" spans="1:16" x14ac:dyDescent="0.3">
      <c r="A450">
        <v>85430</v>
      </c>
      <c r="B450">
        <v>105</v>
      </c>
      <c r="C450" t="s">
        <v>557</v>
      </c>
      <c r="D450" s="452">
        <v>46143</v>
      </c>
      <c r="E450">
        <v>26210</v>
      </c>
      <c r="F450" t="s">
        <v>4975</v>
      </c>
      <c r="G450">
        <v>6624</v>
      </c>
      <c r="H450">
        <v>2.04</v>
      </c>
      <c r="I450" t="s">
        <v>4805</v>
      </c>
      <c r="J450" t="s">
        <v>5222</v>
      </c>
      <c r="K450" t="s">
        <v>462</v>
      </c>
      <c r="L450">
        <v>0</v>
      </c>
      <c r="M450" s="452">
        <v>46112</v>
      </c>
      <c r="N450">
        <v>47.6</v>
      </c>
      <c r="O450">
        <v>47.6</v>
      </c>
      <c r="P450">
        <v>97.1</v>
      </c>
    </row>
    <row r="451" spans="1:16" x14ac:dyDescent="0.3">
      <c r="A451">
        <v>85283</v>
      </c>
      <c r="B451">
        <v>105</v>
      </c>
      <c r="C451" t="s">
        <v>557</v>
      </c>
      <c r="D451" s="452">
        <v>46143</v>
      </c>
      <c r="E451">
        <v>20054</v>
      </c>
      <c r="F451" t="s">
        <v>4856</v>
      </c>
      <c r="G451">
        <v>2325</v>
      </c>
      <c r="H451">
        <v>8</v>
      </c>
      <c r="I451" t="s">
        <v>4736</v>
      </c>
      <c r="J451" t="s">
        <v>5191</v>
      </c>
      <c r="K451" t="s">
        <v>462</v>
      </c>
      <c r="L451">
        <v>0</v>
      </c>
      <c r="M451" s="452">
        <v>46077</v>
      </c>
      <c r="N451">
        <v>11.85</v>
      </c>
      <c r="O451">
        <v>22.9</v>
      </c>
      <c r="P451">
        <v>94.8</v>
      </c>
    </row>
    <row r="452" spans="1:16" x14ac:dyDescent="0.3">
      <c r="A452">
        <v>85311</v>
      </c>
      <c r="B452">
        <v>105</v>
      </c>
      <c r="C452" t="s">
        <v>557</v>
      </c>
      <c r="D452" s="452">
        <v>46143</v>
      </c>
      <c r="E452">
        <v>20689</v>
      </c>
      <c r="F452" t="s">
        <v>5007</v>
      </c>
      <c r="G452">
        <v>2105</v>
      </c>
      <c r="H452">
        <v>3</v>
      </c>
      <c r="I452" t="s">
        <v>4736</v>
      </c>
      <c r="J452" t="s">
        <v>5191</v>
      </c>
      <c r="K452" t="s">
        <v>462</v>
      </c>
      <c r="L452">
        <v>31.6</v>
      </c>
      <c r="M452" s="452">
        <v>46127</v>
      </c>
      <c r="N452">
        <v>31.6</v>
      </c>
      <c r="O452">
        <v>31.6</v>
      </c>
      <c r="P452">
        <v>94.8</v>
      </c>
    </row>
    <row r="453" spans="1:16" x14ac:dyDescent="0.3">
      <c r="A453">
        <v>85407</v>
      </c>
      <c r="B453">
        <v>105</v>
      </c>
      <c r="C453" t="s">
        <v>557</v>
      </c>
      <c r="D453" s="452">
        <v>46143</v>
      </c>
      <c r="E453">
        <v>25750</v>
      </c>
      <c r="F453" t="s">
        <v>4908</v>
      </c>
      <c r="G453">
        <v>6301</v>
      </c>
      <c r="H453">
        <v>1</v>
      </c>
      <c r="I453" t="s">
        <v>4736</v>
      </c>
      <c r="J453" t="s">
        <v>5191</v>
      </c>
      <c r="K453" t="s">
        <v>462</v>
      </c>
      <c r="L453">
        <v>92.54</v>
      </c>
      <c r="M453" s="452">
        <v>46113</v>
      </c>
      <c r="N453">
        <v>92.54</v>
      </c>
      <c r="O453">
        <v>92.54</v>
      </c>
      <c r="P453">
        <v>92.54</v>
      </c>
    </row>
    <row r="454" spans="1:16" x14ac:dyDescent="0.3">
      <c r="A454">
        <v>85408</v>
      </c>
      <c r="B454">
        <v>105</v>
      </c>
      <c r="C454" t="s">
        <v>557</v>
      </c>
      <c r="D454" s="452">
        <v>46143</v>
      </c>
      <c r="E454">
        <v>25751</v>
      </c>
      <c r="F454" t="s">
        <v>5169</v>
      </c>
      <c r="G454">
        <v>6302</v>
      </c>
      <c r="H454">
        <v>14</v>
      </c>
      <c r="I454" t="s">
        <v>4736</v>
      </c>
      <c r="J454" t="s">
        <v>5191</v>
      </c>
      <c r="K454" t="s">
        <v>462</v>
      </c>
      <c r="L454">
        <v>0</v>
      </c>
      <c r="N454">
        <v>0</v>
      </c>
      <c r="O454">
        <v>6.61</v>
      </c>
      <c r="P454">
        <v>92.54</v>
      </c>
    </row>
    <row r="455" spans="1:16" x14ac:dyDescent="0.3">
      <c r="A455">
        <v>85180</v>
      </c>
      <c r="B455">
        <v>105</v>
      </c>
      <c r="C455" t="s">
        <v>557</v>
      </c>
      <c r="D455" s="452">
        <v>46143</v>
      </c>
      <c r="E455">
        <v>18312</v>
      </c>
      <c r="F455" t="s">
        <v>5037</v>
      </c>
      <c r="G455">
        <v>3321</v>
      </c>
      <c r="H455">
        <v>0.68</v>
      </c>
      <c r="I455" t="s">
        <v>4805</v>
      </c>
      <c r="J455" t="s">
        <v>5222</v>
      </c>
      <c r="K455" t="s">
        <v>462</v>
      </c>
      <c r="L455">
        <v>0</v>
      </c>
      <c r="N455">
        <v>0</v>
      </c>
      <c r="O455">
        <v>93.9</v>
      </c>
      <c r="P455">
        <v>92.41</v>
      </c>
    </row>
    <row r="456" spans="1:16" x14ac:dyDescent="0.3">
      <c r="A456">
        <v>85270</v>
      </c>
      <c r="B456">
        <v>105</v>
      </c>
      <c r="C456" t="s">
        <v>557</v>
      </c>
      <c r="D456" s="452">
        <v>46143</v>
      </c>
      <c r="E456">
        <v>19787</v>
      </c>
      <c r="F456" t="s">
        <v>4793</v>
      </c>
      <c r="G456">
        <v>2471</v>
      </c>
      <c r="H456">
        <v>15.6</v>
      </c>
      <c r="I456" t="s">
        <v>4744</v>
      </c>
      <c r="J456" t="s">
        <v>5191</v>
      </c>
      <c r="K456" t="s">
        <v>462</v>
      </c>
      <c r="L456">
        <v>5.85</v>
      </c>
      <c r="M456" s="452">
        <v>46135</v>
      </c>
      <c r="N456">
        <v>6.4</v>
      </c>
      <c r="O456">
        <v>5.6</v>
      </c>
      <c r="P456">
        <v>91.26</v>
      </c>
    </row>
    <row r="457" spans="1:16" x14ac:dyDescent="0.3">
      <c r="A457">
        <v>85424</v>
      </c>
      <c r="B457">
        <v>105</v>
      </c>
      <c r="C457" t="s">
        <v>557</v>
      </c>
      <c r="D457" s="452">
        <v>46143</v>
      </c>
      <c r="E457">
        <v>26038</v>
      </c>
      <c r="F457" t="s">
        <v>4976</v>
      </c>
      <c r="G457">
        <v>6506</v>
      </c>
      <c r="H457">
        <v>2</v>
      </c>
      <c r="I457" t="s">
        <v>4805</v>
      </c>
      <c r="J457" t="s">
        <v>5222</v>
      </c>
      <c r="K457" t="s">
        <v>462</v>
      </c>
      <c r="L457">
        <v>0</v>
      </c>
      <c r="M457" s="452">
        <v>46048</v>
      </c>
      <c r="N457">
        <v>45.5</v>
      </c>
      <c r="O457">
        <v>45.5</v>
      </c>
      <c r="P457">
        <v>91</v>
      </c>
    </row>
    <row r="458" spans="1:16" x14ac:dyDescent="0.3">
      <c r="A458">
        <v>85388</v>
      </c>
      <c r="B458">
        <v>105</v>
      </c>
      <c r="C458" t="s">
        <v>557</v>
      </c>
      <c r="D458" s="452">
        <v>46143</v>
      </c>
      <c r="E458">
        <v>24509</v>
      </c>
      <c r="F458" t="s">
        <v>4788</v>
      </c>
      <c r="G458">
        <v>2607</v>
      </c>
      <c r="H458">
        <v>24.14</v>
      </c>
      <c r="I458" t="s">
        <v>4744</v>
      </c>
      <c r="J458" t="s">
        <v>5191</v>
      </c>
      <c r="K458" t="s">
        <v>462</v>
      </c>
      <c r="L458">
        <v>3.74</v>
      </c>
      <c r="M458" s="452">
        <v>46135</v>
      </c>
      <c r="N458">
        <v>3.8</v>
      </c>
      <c r="O458">
        <v>4</v>
      </c>
      <c r="P458">
        <v>90.28</v>
      </c>
    </row>
    <row r="459" spans="1:16" x14ac:dyDescent="0.3">
      <c r="A459">
        <v>85401</v>
      </c>
      <c r="B459">
        <v>105</v>
      </c>
      <c r="C459" t="s">
        <v>557</v>
      </c>
      <c r="D459" s="452">
        <v>46143</v>
      </c>
      <c r="E459">
        <v>25205</v>
      </c>
      <c r="F459" t="s">
        <v>4850</v>
      </c>
      <c r="G459">
        <v>5944</v>
      </c>
      <c r="H459">
        <v>4.4000000000000004</v>
      </c>
      <c r="I459" t="s">
        <v>4744</v>
      </c>
      <c r="J459" t="s">
        <v>5191</v>
      </c>
      <c r="K459" t="s">
        <v>462</v>
      </c>
      <c r="L459">
        <v>0</v>
      </c>
      <c r="M459" s="452">
        <v>46090</v>
      </c>
      <c r="N459">
        <v>19.899999999999999</v>
      </c>
      <c r="O459">
        <v>17.899999999999999</v>
      </c>
      <c r="P459">
        <v>87.56</v>
      </c>
    </row>
    <row r="460" spans="1:16" x14ac:dyDescent="0.3">
      <c r="A460">
        <v>85376</v>
      </c>
      <c r="B460">
        <v>105</v>
      </c>
      <c r="C460" t="s">
        <v>557</v>
      </c>
      <c r="D460" s="452">
        <v>46143</v>
      </c>
      <c r="E460">
        <v>24191</v>
      </c>
      <c r="F460" t="s">
        <v>4846</v>
      </c>
      <c r="G460">
        <v>2889</v>
      </c>
      <c r="H460">
        <v>2.4</v>
      </c>
      <c r="I460" t="s">
        <v>4744</v>
      </c>
      <c r="J460" t="s">
        <v>5191</v>
      </c>
      <c r="K460" t="s">
        <v>462</v>
      </c>
      <c r="L460">
        <v>0</v>
      </c>
      <c r="M460" s="452">
        <v>46098</v>
      </c>
      <c r="N460">
        <v>35.9</v>
      </c>
      <c r="O460">
        <v>35.9</v>
      </c>
      <c r="P460">
        <v>86.16</v>
      </c>
    </row>
    <row r="461" spans="1:16" x14ac:dyDescent="0.3">
      <c r="A461">
        <v>85235</v>
      </c>
      <c r="B461">
        <v>105</v>
      </c>
      <c r="C461" t="s">
        <v>557</v>
      </c>
      <c r="D461" s="452">
        <v>46143</v>
      </c>
      <c r="E461">
        <v>19507</v>
      </c>
      <c r="F461" t="s">
        <v>4853</v>
      </c>
      <c r="G461">
        <v>2704</v>
      </c>
      <c r="H461">
        <v>5.9</v>
      </c>
      <c r="I461" t="s">
        <v>4744</v>
      </c>
      <c r="J461" t="s">
        <v>5191</v>
      </c>
      <c r="K461" t="s">
        <v>462</v>
      </c>
      <c r="L461">
        <v>14.58</v>
      </c>
      <c r="M461" s="452">
        <v>46135</v>
      </c>
      <c r="N461">
        <v>15</v>
      </c>
      <c r="O461">
        <v>15.8</v>
      </c>
      <c r="P461">
        <v>86.02</v>
      </c>
    </row>
    <row r="462" spans="1:16" x14ac:dyDescent="0.3">
      <c r="A462">
        <v>85411</v>
      </c>
      <c r="B462">
        <v>105</v>
      </c>
      <c r="C462" t="s">
        <v>557</v>
      </c>
      <c r="D462" s="452">
        <v>46143</v>
      </c>
      <c r="E462">
        <v>25754</v>
      </c>
      <c r="F462" t="s">
        <v>5142</v>
      </c>
      <c r="G462">
        <v>6305</v>
      </c>
      <c r="H462">
        <v>11</v>
      </c>
      <c r="I462" t="s">
        <v>4736</v>
      </c>
      <c r="J462" t="s">
        <v>5191</v>
      </c>
      <c r="K462" t="s">
        <v>462</v>
      </c>
      <c r="L462">
        <v>0</v>
      </c>
      <c r="M462" s="452">
        <v>45653</v>
      </c>
      <c r="N462">
        <v>7.73</v>
      </c>
      <c r="O462">
        <v>7.65</v>
      </c>
      <c r="P462">
        <v>85.03</v>
      </c>
    </row>
    <row r="463" spans="1:16" x14ac:dyDescent="0.3">
      <c r="A463">
        <v>85294</v>
      </c>
      <c r="B463">
        <v>105</v>
      </c>
      <c r="C463" t="s">
        <v>557</v>
      </c>
      <c r="D463" s="452">
        <v>46143</v>
      </c>
      <c r="E463">
        <v>20308</v>
      </c>
      <c r="F463" t="s">
        <v>4909</v>
      </c>
      <c r="G463">
        <v>2222</v>
      </c>
      <c r="H463">
        <v>2.5</v>
      </c>
      <c r="I463" t="s">
        <v>4738</v>
      </c>
      <c r="J463" t="s">
        <v>5191</v>
      </c>
      <c r="K463" t="s">
        <v>462</v>
      </c>
      <c r="L463">
        <v>0</v>
      </c>
      <c r="M463" s="452">
        <v>45831</v>
      </c>
      <c r="N463">
        <v>33.799999999999997</v>
      </c>
      <c r="O463">
        <v>24.9</v>
      </c>
      <c r="P463">
        <v>84.5</v>
      </c>
    </row>
    <row r="464" spans="1:16" x14ac:dyDescent="0.3">
      <c r="A464">
        <v>85327</v>
      </c>
      <c r="B464">
        <v>105</v>
      </c>
      <c r="C464" t="s">
        <v>557</v>
      </c>
      <c r="D464" s="452">
        <v>46143</v>
      </c>
      <c r="E464">
        <v>21093</v>
      </c>
      <c r="F464" t="s">
        <v>4855</v>
      </c>
      <c r="G464">
        <v>1988</v>
      </c>
      <c r="H464">
        <v>19</v>
      </c>
      <c r="I464" t="s">
        <v>4744</v>
      </c>
      <c r="J464" t="s">
        <v>5191</v>
      </c>
      <c r="K464" t="s">
        <v>462</v>
      </c>
      <c r="L464">
        <v>4.3899999999999997</v>
      </c>
      <c r="M464" s="452">
        <v>46126</v>
      </c>
      <c r="N464">
        <v>4.3899999999999997</v>
      </c>
      <c r="O464">
        <v>4.3899999999999997</v>
      </c>
      <c r="P464">
        <v>83.41</v>
      </c>
    </row>
    <row r="465" spans="1:16" x14ac:dyDescent="0.3">
      <c r="A465">
        <v>85402</v>
      </c>
      <c r="B465">
        <v>105</v>
      </c>
      <c r="C465" t="s">
        <v>557</v>
      </c>
      <c r="D465" s="452">
        <v>46143</v>
      </c>
      <c r="E465">
        <v>25358</v>
      </c>
      <c r="F465" t="s">
        <v>4980</v>
      </c>
      <c r="G465">
        <v>6047</v>
      </c>
      <c r="H465">
        <v>1</v>
      </c>
      <c r="I465" t="s">
        <v>4744</v>
      </c>
      <c r="J465" t="s">
        <v>5191</v>
      </c>
      <c r="K465" t="s">
        <v>462</v>
      </c>
      <c r="L465">
        <v>81.599999999999994</v>
      </c>
      <c r="M465" s="452">
        <v>46119</v>
      </c>
      <c r="N465">
        <v>81.599999999999994</v>
      </c>
      <c r="O465">
        <v>81.599999999999994</v>
      </c>
      <c r="P465">
        <v>81.599999999999994</v>
      </c>
    </row>
    <row r="466" spans="1:16" x14ac:dyDescent="0.3">
      <c r="A466">
        <v>85177</v>
      </c>
      <c r="B466">
        <v>105</v>
      </c>
      <c r="C466" t="s">
        <v>557</v>
      </c>
      <c r="D466" s="452">
        <v>46143</v>
      </c>
      <c r="E466">
        <v>18289</v>
      </c>
      <c r="F466" t="s">
        <v>5036</v>
      </c>
      <c r="G466">
        <v>3339</v>
      </c>
      <c r="H466">
        <v>0.57999999999999996</v>
      </c>
      <c r="I466" t="s">
        <v>4736</v>
      </c>
      <c r="J466" t="s">
        <v>5222</v>
      </c>
      <c r="K466" t="s">
        <v>462</v>
      </c>
      <c r="L466">
        <v>0</v>
      </c>
      <c r="N466">
        <v>0</v>
      </c>
      <c r="O466">
        <v>0</v>
      </c>
      <c r="P466">
        <v>81.2</v>
      </c>
    </row>
    <row r="467" spans="1:16" x14ac:dyDescent="0.3">
      <c r="A467">
        <v>85385</v>
      </c>
      <c r="B467">
        <v>105</v>
      </c>
      <c r="C467" t="s">
        <v>557</v>
      </c>
      <c r="D467" s="452">
        <v>46143</v>
      </c>
      <c r="E467">
        <v>24339</v>
      </c>
      <c r="F467" t="s">
        <v>4885</v>
      </c>
      <c r="G467">
        <v>2153</v>
      </c>
      <c r="H467">
        <v>2.9</v>
      </c>
      <c r="I467" t="s">
        <v>4744</v>
      </c>
      <c r="J467" t="s">
        <v>5191</v>
      </c>
      <c r="K467" t="s">
        <v>462</v>
      </c>
      <c r="L467">
        <v>27.57</v>
      </c>
      <c r="M467" s="452">
        <v>46139</v>
      </c>
      <c r="N467">
        <v>29.8</v>
      </c>
      <c r="O467">
        <v>29.8</v>
      </c>
      <c r="P467">
        <v>79.95</v>
      </c>
    </row>
    <row r="468" spans="1:16" x14ac:dyDescent="0.3">
      <c r="A468">
        <v>85441</v>
      </c>
      <c r="B468">
        <v>105</v>
      </c>
      <c r="C468" t="s">
        <v>557</v>
      </c>
      <c r="D468" s="452">
        <v>46143</v>
      </c>
      <c r="E468">
        <v>29081</v>
      </c>
      <c r="F468" t="s">
        <v>5152</v>
      </c>
      <c r="G468">
        <v>9015</v>
      </c>
      <c r="H468">
        <v>1</v>
      </c>
      <c r="I468" t="s">
        <v>4749</v>
      </c>
      <c r="J468" t="s">
        <v>5191</v>
      </c>
      <c r="K468" t="s">
        <v>462</v>
      </c>
      <c r="L468">
        <v>79.099999999999994</v>
      </c>
      <c r="M468" s="452">
        <v>46113</v>
      </c>
      <c r="N468">
        <v>79.099999999999994</v>
      </c>
      <c r="O468">
        <v>79.099999999999994</v>
      </c>
      <c r="P468">
        <v>79.099999999999994</v>
      </c>
    </row>
    <row r="469" spans="1:16" x14ac:dyDescent="0.3">
      <c r="A469">
        <v>85144</v>
      </c>
      <c r="B469">
        <v>105</v>
      </c>
      <c r="C469" t="s">
        <v>557</v>
      </c>
      <c r="D469" s="452">
        <v>46143</v>
      </c>
      <c r="E469">
        <v>17878</v>
      </c>
      <c r="F469" t="s">
        <v>4926</v>
      </c>
      <c r="G469">
        <v>3677</v>
      </c>
      <c r="H469">
        <v>4</v>
      </c>
      <c r="I469" t="s">
        <v>4736</v>
      </c>
      <c r="J469" t="s">
        <v>5222</v>
      </c>
      <c r="K469" t="s">
        <v>462</v>
      </c>
      <c r="L469">
        <v>19.7</v>
      </c>
      <c r="M469" s="452">
        <v>46120</v>
      </c>
      <c r="N469">
        <v>18.09</v>
      </c>
      <c r="O469">
        <v>18.899999999999999</v>
      </c>
      <c r="P469">
        <v>78.8</v>
      </c>
    </row>
    <row r="470" spans="1:16" x14ac:dyDescent="0.3">
      <c r="A470">
        <v>85184</v>
      </c>
      <c r="B470">
        <v>105</v>
      </c>
      <c r="C470" t="s">
        <v>557</v>
      </c>
      <c r="D470" s="452">
        <v>46143</v>
      </c>
      <c r="E470">
        <v>18339</v>
      </c>
      <c r="F470" t="s">
        <v>5033</v>
      </c>
      <c r="G470">
        <v>3296</v>
      </c>
      <c r="H470">
        <v>1.35</v>
      </c>
      <c r="I470" t="s">
        <v>4805</v>
      </c>
      <c r="J470" t="s">
        <v>5222</v>
      </c>
      <c r="K470" t="s">
        <v>462</v>
      </c>
      <c r="L470">
        <v>0</v>
      </c>
      <c r="N470">
        <v>0</v>
      </c>
      <c r="O470">
        <v>60.45</v>
      </c>
      <c r="P470">
        <v>76.31</v>
      </c>
    </row>
    <row r="471" spans="1:16" x14ac:dyDescent="0.3">
      <c r="A471">
        <v>85291</v>
      </c>
      <c r="B471">
        <v>105</v>
      </c>
      <c r="C471" t="s">
        <v>557</v>
      </c>
      <c r="D471" s="452">
        <v>46143</v>
      </c>
      <c r="E471">
        <v>20227</v>
      </c>
      <c r="F471" t="s">
        <v>4825</v>
      </c>
      <c r="G471">
        <v>2248</v>
      </c>
      <c r="H471">
        <v>6</v>
      </c>
      <c r="I471" t="s">
        <v>4738</v>
      </c>
      <c r="J471" t="s">
        <v>5191</v>
      </c>
      <c r="K471" t="s">
        <v>462</v>
      </c>
      <c r="L471">
        <v>12.7</v>
      </c>
      <c r="M471" s="452">
        <v>46126</v>
      </c>
      <c r="N471">
        <v>12.7</v>
      </c>
      <c r="O471">
        <v>12.7</v>
      </c>
      <c r="P471">
        <v>76.2</v>
      </c>
    </row>
    <row r="472" spans="1:16" x14ac:dyDescent="0.3">
      <c r="A472">
        <v>85370</v>
      </c>
      <c r="B472">
        <v>105</v>
      </c>
      <c r="C472" t="s">
        <v>557</v>
      </c>
      <c r="D472" s="452">
        <v>46143</v>
      </c>
      <c r="E472">
        <v>24083</v>
      </c>
      <c r="F472" t="s">
        <v>5165</v>
      </c>
      <c r="G472">
        <v>2592</v>
      </c>
      <c r="H472">
        <v>14.3</v>
      </c>
      <c r="I472" t="s">
        <v>4744</v>
      </c>
      <c r="J472" t="s">
        <v>5191</v>
      </c>
      <c r="K472" t="s">
        <v>462</v>
      </c>
      <c r="L472">
        <v>5.32</v>
      </c>
      <c r="M472" s="452">
        <v>46135</v>
      </c>
      <c r="N472">
        <v>5.44</v>
      </c>
      <c r="O472">
        <v>5.44</v>
      </c>
      <c r="P472">
        <v>76.08</v>
      </c>
    </row>
    <row r="473" spans="1:16" x14ac:dyDescent="0.3">
      <c r="A473">
        <v>85136</v>
      </c>
      <c r="B473">
        <v>105</v>
      </c>
      <c r="C473" t="s">
        <v>557</v>
      </c>
      <c r="D473" s="452">
        <v>46143</v>
      </c>
      <c r="E473">
        <v>16973</v>
      </c>
      <c r="F473" t="s">
        <v>4827</v>
      </c>
      <c r="G473">
        <v>3710</v>
      </c>
      <c r="H473">
        <v>2</v>
      </c>
      <c r="I473" t="s">
        <v>4749</v>
      </c>
      <c r="J473" t="s">
        <v>5222</v>
      </c>
      <c r="K473" t="s">
        <v>462</v>
      </c>
      <c r="L473">
        <v>0</v>
      </c>
      <c r="M473" s="452">
        <v>45740</v>
      </c>
      <c r="N473">
        <v>0</v>
      </c>
      <c r="O473">
        <v>135</v>
      </c>
      <c r="P473">
        <v>76</v>
      </c>
    </row>
    <row r="474" spans="1:16" x14ac:dyDescent="0.3">
      <c r="A474">
        <v>85216</v>
      </c>
      <c r="B474">
        <v>105</v>
      </c>
      <c r="C474" t="s">
        <v>557</v>
      </c>
      <c r="D474" s="452">
        <v>46143</v>
      </c>
      <c r="E474">
        <v>19346</v>
      </c>
      <c r="F474" t="s">
        <v>4835</v>
      </c>
      <c r="G474">
        <v>2770</v>
      </c>
      <c r="H474">
        <v>1.3</v>
      </c>
      <c r="I474" t="s">
        <v>4744</v>
      </c>
      <c r="J474" t="s">
        <v>5191</v>
      </c>
      <c r="K474" t="s">
        <v>462</v>
      </c>
      <c r="L474">
        <v>0</v>
      </c>
      <c r="M474" s="452">
        <v>46097</v>
      </c>
      <c r="N474">
        <v>58.3</v>
      </c>
      <c r="O474">
        <v>58.3</v>
      </c>
      <c r="P474">
        <v>75.790000000000006</v>
      </c>
    </row>
    <row r="475" spans="1:16" x14ac:dyDescent="0.3">
      <c r="A475">
        <v>85343</v>
      </c>
      <c r="B475">
        <v>105</v>
      </c>
      <c r="C475" t="s">
        <v>557</v>
      </c>
      <c r="D475" s="452">
        <v>46143</v>
      </c>
      <c r="E475">
        <v>23228</v>
      </c>
      <c r="F475" t="s">
        <v>4782</v>
      </c>
      <c r="G475">
        <v>2627</v>
      </c>
      <c r="H475">
        <v>10.77</v>
      </c>
      <c r="I475" t="s">
        <v>4744</v>
      </c>
      <c r="J475" t="s">
        <v>5191</v>
      </c>
      <c r="K475" t="s">
        <v>462</v>
      </c>
      <c r="L475">
        <v>6.86</v>
      </c>
      <c r="M475" s="452">
        <v>46128</v>
      </c>
      <c r="N475">
        <v>7.9</v>
      </c>
      <c r="O475">
        <v>6.53</v>
      </c>
      <c r="P475">
        <v>73.88</v>
      </c>
    </row>
    <row r="476" spans="1:16" x14ac:dyDescent="0.3">
      <c r="A476">
        <v>85194</v>
      </c>
      <c r="B476">
        <v>105</v>
      </c>
      <c r="C476" t="s">
        <v>557</v>
      </c>
      <c r="D476" s="452">
        <v>46143</v>
      </c>
      <c r="E476">
        <v>18545</v>
      </c>
      <c r="F476" t="s">
        <v>4864</v>
      </c>
      <c r="G476">
        <v>3134</v>
      </c>
      <c r="H476">
        <v>1.58</v>
      </c>
      <c r="I476" t="s">
        <v>4805</v>
      </c>
      <c r="J476" t="s">
        <v>5222</v>
      </c>
      <c r="K476" t="s">
        <v>462</v>
      </c>
      <c r="L476">
        <v>46</v>
      </c>
      <c r="M476" s="452">
        <v>46113</v>
      </c>
      <c r="N476">
        <v>46</v>
      </c>
      <c r="O476">
        <v>45.99</v>
      </c>
      <c r="P476">
        <v>72.680000000000007</v>
      </c>
    </row>
    <row r="477" spans="1:16" x14ac:dyDescent="0.3">
      <c r="A477">
        <v>85259</v>
      </c>
      <c r="B477">
        <v>105</v>
      </c>
      <c r="C477" t="s">
        <v>557</v>
      </c>
      <c r="D477" s="452">
        <v>46143</v>
      </c>
      <c r="E477">
        <v>19658</v>
      </c>
      <c r="F477" t="s">
        <v>4784</v>
      </c>
      <c r="G477">
        <v>2582</v>
      </c>
      <c r="H477">
        <v>19.010000000000002</v>
      </c>
      <c r="I477" t="s">
        <v>4744</v>
      </c>
      <c r="J477" t="s">
        <v>5191</v>
      </c>
      <c r="K477" t="s">
        <v>462</v>
      </c>
      <c r="L477">
        <v>3.8</v>
      </c>
      <c r="M477" s="452">
        <v>46128</v>
      </c>
      <c r="N477">
        <v>3.73</v>
      </c>
      <c r="O477">
        <v>3.65</v>
      </c>
      <c r="P477">
        <v>72.239999999999995</v>
      </c>
    </row>
    <row r="478" spans="1:16" x14ac:dyDescent="0.3">
      <c r="A478">
        <v>85296</v>
      </c>
      <c r="B478">
        <v>105</v>
      </c>
      <c r="C478" t="s">
        <v>557</v>
      </c>
      <c r="D478" s="452">
        <v>46143</v>
      </c>
      <c r="E478">
        <v>20358</v>
      </c>
      <c r="F478" t="s">
        <v>4911</v>
      </c>
      <c r="G478">
        <v>2200</v>
      </c>
      <c r="H478">
        <v>5</v>
      </c>
      <c r="I478" t="s">
        <v>4738</v>
      </c>
      <c r="J478" t="s">
        <v>5191</v>
      </c>
      <c r="K478" t="s">
        <v>462</v>
      </c>
      <c r="L478">
        <v>14.25</v>
      </c>
      <c r="M478" s="452">
        <v>46135</v>
      </c>
      <c r="N478">
        <v>14.25</v>
      </c>
      <c r="O478">
        <v>14.25</v>
      </c>
      <c r="P478">
        <v>71.25</v>
      </c>
    </row>
    <row r="479" spans="1:16" x14ac:dyDescent="0.3">
      <c r="A479">
        <v>85305</v>
      </c>
      <c r="B479">
        <v>105</v>
      </c>
      <c r="C479" t="s">
        <v>557</v>
      </c>
      <c r="D479" s="452">
        <v>46143</v>
      </c>
      <c r="E479">
        <v>20624</v>
      </c>
      <c r="F479" t="s">
        <v>5019</v>
      </c>
      <c r="G479">
        <v>2116</v>
      </c>
      <c r="H479">
        <v>1</v>
      </c>
      <c r="I479" t="s">
        <v>4884</v>
      </c>
      <c r="J479" t="s">
        <v>5191</v>
      </c>
      <c r="K479" t="s">
        <v>462</v>
      </c>
      <c r="L479">
        <v>70.569999999999993</v>
      </c>
      <c r="M479" s="452">
        <v>46127</v>
      </c>
      <c r="N479">
        <v>70.900000000000006</v>
      </c>
      <c r="O479">
        <v>70.900000000000006</v>
      </c>
      <c r="P479">
        <v>70.569999999999993</v>
      </c>
    </row>
    <row r="480" spans="1:16" x14ac:dyDescent="0.3">
      <c r="A480">
        <v>85244</v>
      </c>
      <c r="B480">
        <v>105</v>
      </c>
      <c r="C480" t="s">
        <v>557</v>
      </c>
      <c r="D480" s="452">
        <v>46143</v>
      </c>
      <c r="E480">
        <v>19577</v>
      </c>
      <c r="F480" t="s">
        <v>4984</v>
      </c>
      <c r="G480">
        <v>2641</v>
      </c>
      <c r="H480">
        <v>4.5</v>
      </c>
      <c r="I480" t="s">
        <v>4736</v>
      </c>
      <c r="J480" t="s">
        <v>5191</v>
      </c>
      <c r="K480" t="s">
        <v>462</v>
      </c>
      <c r="L480">
        <v>0</v>
      </c>
      <c r="M480" s="452">
        <v>45971</v>
      </c>
      <c r="N480">
        <v>15.6</v>
      </c>
      <c r="O480">
        <v>23.49</v>
      </c>
      <c r="P480">
        <v>70.2</v>
      </c>
    </row>
    <row r="481" spans="1:16" x14ac:dyDescent="0.3">
      <c r="A481">
        <v>85357</v>
      </c>
      <c r="B481">
        <v>105</v>
      </c>
      <c r="C481" t="s">
        <v>557</v>
      </c>
      <c r="D481" s="452">
        <v>46143</v>
      </c>
      <c r="E481">
        <v>23494</v>
      </c>
      <c r="F481" t="s">
        <v>4991</v>
      </c>
      <c r="G481">
        <v>2375</v>
      </c>
      <c r="H481">
        <v>0.9</v>
      </c>
      <c r="I481" t="s">
        <v>4744</v>
      </c>
      <c r="J481" t="s">
        <v>5191</v>
      </c>
      <c r="K481" t="s">
        <v>462</v>
      </c>
      <c r="L481">
        <v>78</v>
      </c>
      <c r="M481" s="452">
        <v>46134</v>
      </c>
      <c r="N481">
        <v>78</v>
      </c>
      <c r="O481">
        <v>78</v>
      </c>
      <c r="P481">
        <v>70.2</v>
      </c>
    </row>
    <row r="482" spans="1:16" x14ac:dyDescent="0.3">
      <c r="A482">
        <v>85316</v>
      </c>
      <c r="B482">
        <v>105</v>
      </c>
      <c r="C482" t="s">
        <v>557</v>
      </c>
      <c r="D482" s="452">
        <v>46143</v>
      </c>
      <c r="E482">
        <v>20887</v>
      </c>
      <c r="F482" t="s">
        <v>4953</v>
      </c>
      <c r="G482">
        <v>2040</v>
      </c>
      <c r="H482">
        <v>1.9</v>
      </c>
      <c r="I482" t="s">
        <v>4879</v>
      </c>
      <c r="J482" t="s">
        <v>5191</v>
      </c>
      <c r="K482" t="s">
        <v>462</v>
      </c>
      <c r="L482">
        <v>36.5</v>
      </c>
      <c r="M482" s="452">
        <v>46119</v>
      </c>
      <c r="N482">
        <v>36.5</v>
      </c>
      <c r="O482">
        <v>36.9</v>
      </c>
      <c r="P482">
        <v>69.349999999999994</v>
      </c>
    </row>
    <row r="483" spans="1:16" x14ac:dyDescent="0.3">
      <c r="A483">
        <v>85445</v>
      </c>
      <c r="B483">
        <v>105</v>
      </c>
      <c r="C483" t="s">
        <v>557</v>
      </c>
      <c r="D483" s="452">
        <v>46143</v>
      </c>
      <c r="E483">
        <v>29086</v>
      </c>
      <c r="F483" t="s">
        <v>5172</v>
      </c>
      <c r="G483">
        <v>9020</v>
      </c>
      <c r="H483">
        <v>9</v>
      </c>
      <c r="I483" t="s">
        <v>4736</v>
      </c>
      <c r="J483" t="s">
        <v>5191</v>
      </c>
      <c r="K483" t="s">
        <v>462</v>
      </c>
      <c r="L483">
        <v>0</v>
      </c>
      <c r="N483">
        <v>0</v>
      </c>
      <c r="O483">
        <v>0</v>
      </c>
      <c r="P483">
        <v>68.849999999999994</v>
      </c>
    </row>
    <row r="484" spans="1:16" x14ac:dyDescent="0.3">
      <c r="A484">
        <v>85217</v>
      </c>
      <c r="B484">
        <v>105</v>
      </c>
      <c r="C484" t="s">
        <v>557</v>
      </c>
      <c r="D484" s="452">
        <v>46143</v>
      </c>
      <c r="E484">
        <v>19353</v>
      </c>
      <c r="F484" t="s">
        <v>4851</v>
      </c>
      <c r="G484">
        <v>2768</v>
      </c>
      <c r="H484">
        <v>2.7</v>
      </c>
      <c r="I484" t="s">
        <v>4744</v>
      </c>
      <c r="J484" t="s">
        <v>5191</v>
      </c>
      <c r="K484" t="s">
        <v>462</v>
      </c>
      <c r="L484">
        <v>0</v>
      </c>
      <c r="M484" s="452">
        <v>46105</v>
      </c>
      <c r="N484">
        <v>24.6</v>
      </c>
      <c r="O484">
        <v>24.6</v>
      </c>
      <c r="P484">
        <v>66.42</v>
      </c>
    </row>
    <row r="485" spans="1:16" x14ac:dyDescent="0.3">
      <c r="A485">
        <v>85348</v>
      </c>
      <c r="B485">
        <v>105</v>
      </c>
      <c r="C485" t="s">
        <v>557</v>
      </c>
      <c r="D485" s="452">
        <v>46143</v>
      </c>
      <c r="E485">
        <v>23335</v>
      </c>
      <c r="F485" t="s">
        <v>4961</v>
      </c>
      <c r="G485">
        <v>2523</v>
      </c>
      <c r="H485">
        <v>1.6</v>
      </c>
      <c r="I485" t="s">
        <v>4744</v>
      </c>
      <c r="J485" t="s">
        <v>5191</v>
      </c>
      <c r="K485" t="s">
        <v>462</v>
      </c>
      <c r="L485">
        <v>41.01</v>
      </c>
      <c r="M485" s="452">
        <v>46135</v>
      </c>
      <c r="N485">
        <v>39.15</v>
      </c>
      <c r="O485">
        <v>32.5</v>
      </c>
      <c r="P485">
        <v>65.62</v>
      </c>
    </row>
    <row r="486" spans="1:16" x14ac:dyDescent="0.3">
      <c r="A486">
        <v>85419</v>
      </c>
      <c r="B486">
        <v>105</v>
      </c>
      <c r="C486" t="s">
        <v>557</v>
      </c>
      <c r="D486" s="452">
        <v>46143</v>
      </c>
      <c r="E486">
        <v>26006</v>
      </c>
      <c r="F486" t="s">
        <v>4941</v>
      </c>
      <c r="G486">
        <v>6491</v>
      </c>
      <c r="H486">
        <v>6</v>
      </c>
      <c r="I486" t="s">
        <v>4749</v>
      </c>
      <c r="J486" t="s">
        <v>5191</v>
      </c>
      <c r="K486" t="s">
        <v>462</v>
      </c>
      <c r="L486">
        <v>10.82</v>
      </c>
      <c r="M486" s="452">
        <v>46113</v>
      </c>
      <c r="N486">
        <v>10.82</v>
      </c>
      <c r="O486">
        <v>10.82</v>
      </c>
      <c r="P486">
        <v>64.92</v>
      </c>
    </row>
    <row r="487" spans="1:16" x14ac:dyDescent="0.3">
      <c r="A487">
        <v>85289</v>
      </c>
      <c r="B487">
        <v>105</v>
      </c>
      <c r="C487" t="s">
        <v>557</v>
      </c>
      <c r="D487" s="452">
        <v>46143</v>
      </c>
      <c r="E487">
        <v>20213</v>
      </c>
      <c r="F487" t="s">
        <v>5160</v>
      </c>
      <c r="G487">
        <v>2251</v>
      </c>
      <c r="H487">
        <v>2</v>
      </c>
      <c r="I487" t="s">
        <v>4738</v>
      </c>
      <c r="J487" t="s">
        <v>5191</v>
      </c>
      <c r="K487" t="s">
        <v>462</v>
      </c>
      <c r="L487">
        <v>31.6</v>
      </c>
      <c r="M487" s="452">
        <v>46120</v>
      </c>
      <c r="N487">
        <v>31.6</v>
      </c>
      <c r="O487">
        <v>32.340000000000003</v>
      </c>
      <c r="P487">
        <v>63.2</v>
      </c>
    </row>
    <row r="488" spans="1:16" x14ac:dyDescent="0.3">
      <c r="A488">
        <v>85318</v>
      </c>
      <c r="B488">
        <v>105</v>
      </c>
      <c r="C488" t="s">
        <v>557</v>
      </c>
      <c r="D488" s="452">
        <v>46143</v>
      </c>
      <c r="E488">
        <v>20955</v>
      </c>
      <c r="F488" t="s">
        <v>4959</v>
      </c>
      <c r="G488">
        <v>2019</v>
      </c>
      <c r="H488">
        <v>5.5</v>
      </c>
      <c r="I488" t="s">
        <v>4805</v>
      </c>
      <c r="J488" t="s">
        <v>5191</v>
      </c>
      <c r="K488" t="s">
        <v>462</v>
      </c>
      <c r="L488">
        <v>10.9</v>
      </c>
      <c r="M488" s="452">
        <v>46126</v>
      </c>
      <c r="N488">
        <v>10.9</v>
      </c>
      <c r="O488">
        <v>12.54</v>
      </c>
      <c r="P488">
        <v>59.95</v>
      </c>
    </row>
    <row r="489" spans="1:16" x14ac:dyDescent="0.3">
      <c r="A489">
        <v>85310</v>
      </c>
      <c r="B489">
        <v>105</v>
      </c>
      <c r="C489" t="s">
        <v>557</v>
      </c>
      <c r="D489" s="452">
        <v>46143</v>
      </c>
      <c r="E489">
        <v>20672</v>
      </c>
      <c r="F489" t="s">
        <v>4857</v>
      </c>
      <c r="G489">
        <v>2107</v>
      </c>
      <c r="H489">
        <v>2</v>
      </c>
      <c r="I489" t="s">
        <v>4738</v>
      </c>
      <c r="J489" t="s">
        <v>5191</v>
      </c>
      <c r="K489" t="s">
        <v>462</v>
      </c>
      <c r="L489">
        <v>29.55</v>
      </c>
      <c r="M489" s="452">
        <v>46120</v>
      </c>
      <c r="N489">
        <v>29.55</v>
      </c>
      <c r="O489">
        <v>29.55</v>
      </c>
      <c r="P489">
        <v>59.1</v>
      </c>
    </row>
    <row r="490" spans="1:16" x14ac:dyDescent="0.3">
      <c r="A490">
        <v>85275</v>
      </c>
      <c r="B490">
        <v>105</v>
      </c>
      <c r="C490" t="s">
        <v>557</v>
      </c>
      <c r="D490" s="452">
        <v>46143</v>
      </c>
      <c r="E490">
        <v>19917</v>
      </c>
      <c r="F490" t="s">
        <v>5131</v>
      </c>
      <c r="G490">
        <v>2379</v>
      </c>
      <c r="H490">
        <v>19</v>
      </c>
      <c r="I490" t="s">
        <v>4738</v>
      </c>
      <c r="J490" t="s">
        <v>5191</v>
      </c>
      <c r="K490" t="s">
        <v>462</v>
      </c>
      <c r="L490">
        <v>0</v>
      </c>
      <c r="M490" s="452">
        <v>45660</v>
      </c>
      <c r="N490">
        <v>3.09</v>
      </c>
      <c r="O490">
        <v>3.35</v>
      </c>
      <c r="P490">
        <v>58.71</v>
      </c>
    </row>
    <row r="491" spans="1:16" x14ac:dyDescent="0.3">
      <c r="A491">
        <v>85373</v>
      </c>
      <c r="B491">
        <v>105</v>
      </c>
      <c r="C491" t="s">
        <v>557</v>
      </c>
      <c r="D491" s="452">
        <v>46143</v>
      </c>
      <c r="E491">
        <v>24116</v>
      </c>
      <c r="F491" t="s">
        <v>4777</v>
      </c>
      <c r="G491">
        <v>2924</v>
      </c>
      <c r="H491">
        <v>1.4</v>
      </c>
      <c r="I491" t="s">
        <v>4744</v>
      </c>
      <c r="J491" t="s">
        <v>5191</v>
      </c>
      <c r="K491" t="s">
        <v>462</v>
      </c>
      <c r="L491">
        <v>41.9</v>
      </c>
      <c r="M491" s="452">
        <v>46118</v>
      </c>
      <c r="N491">
        <v>41.9</v>
      </c>
      <c r="O491">
        <v>41.9</v>
      </c>
      <c r="P491">
        <v>58.66</v>
      </c>
    </row>
    <row r="492" spans="1:16" x14ac:dyDescent="0.3">
      <c r="A492">
        <v>85160</v>
      </c>
      <c r="B492">
        <v>105</v>
      </c>
      <c r="C492" t="s">
        <v>557</v>
      </c>
      <c r="D492" s="452">
        <v>46143</v>
      </c>
      <c r="E492">
        <v>18111</v>
      </c>
      <c r="F492" t="s">
        <v>5049</v>
      </c>
      <c r="G492">
        <v>3500</v>
      </c>
      <c r="H492">
        <v>0.65</v>
      </c>
      <c r="I492" t="s">
        <v>4805</v>
      </c>
      <c r="J492" t="s">
        <v>5222</v>
      </c>
      <c r="K492" t="s">
        <v>462</v>
      </c>
      <c r="L492">
        <v>0</v>
      </c>
      <c r="M492" s="452">
        <v>46045</v>
      </c>
      <c r="N492">
        <v>88.19</v>
      </c>
      <c r="O492">
        <v>84.8</v>
      </c>
      <c r="P492">
        <v>57.32</v>
      </c>
    </row>
    <row r="493" spans="1:16" x14ac:dyDescent="0.3">
      <c r="A493">
        <v>85162</v>
      </c>
      <c r="B493">
        <v>105</v>
      </c>
      <c r="C493" t="s">
        <v>557</v>
      </c>
      <c r="D493" s="452">
        <v>46143</v>
      </c>
      <c r="E493">
        <v>18116</v>
      </c>
      <c r="F493" t="s">
        <v>5045</v>
      </c>
      <c r="G493">
        <v>3496</v>
      </c>
      <c r="H493">
        <v>0.66</v>
      </c>
      <c r="I493" t="s">
        <v>4805</v>
      </c>
      <c r="J493" t="s">
        <v>5222</v>
      </c>
      <c r="K493" t="s">
        <v>462</v>
      </c>
      <c r="L493">
        <v>0</v>
      </c>
      <c r="M493" s="452">
        <v>46098</v>
      </c>
      <c r="N493">
        <v>86.6</v>
      </c>
      <c r="O493">
        <v>86.6</v>
      </c>
      <c r="P493">
        <v>57.16</v>
      </c>
    </row>
    <row r="494" spans="1:16" x14ac:dyDescent="0.3">
      <c r="A494">
        <v>85232</v>
      </c>
      <c r="B494">
        <v>105</v>
      </c>
      <c r="C494" t="s">
        <v>557</v>
      </c>
      <c r="D494" s="452">
        <v>46143</v>
      </c>
      <c r="E494">
        <v>19502</v>
      </c>
      <c r="F494" t="s">
        <v>4871</v>
      </c>
      <c r="G494">
        <v>2708</v>
      </c>
      <c r="H494">
        <v>2.8</v>
      </c>
      <c r="I494" t="s">
        <v>4744</v>
      </c>
      <c r="J494" t="s">
        <v>5191</v>
      </c>
      <c r="K494" t="s">
        <v>462</v>
      </c>
      <c r="L494">
        <v>20.41</v>
      </c>
      <c r="M494" s="452">
        <v>46135</v>
      </c>
      <c r="N494">
        <v>17</v>
      </c>
      <c r="O494">
        <v>18.670000000000002</v>
      </c>
      <c r="P494">
        <v>57.15</v>
      </c>
    </row>
    <row r="495" spans="1:16" x14ac:dyDescent="0.3">
      <c r="A495">
        <v>85319</v>
      </c>
      <c r="B495">
        <v>105</v>
      </c>
      <c r="C495" t="s">
        <v>557</v>
      </c>
      <c r="D495" s="452">
        <v>46143</v>
      </c>
      <c r="E495">
        <v>20984</v>
      </c>
      <c r="F495" t="s">
        <v>5133</v>
      </c>
      <c r="G495">
        <v>2011</v>
      </c>
      <c r="H495">
        <v>7</v>
      </c>
      <c r="I495" t="s">
        <v>4888</v>
      </c>
      <c r="J495" t="s">
        <v>5191</v>
      </c>
      <c r="K495" t="s">
        <v>462</v>
      </c>
      <c r="L495">
        <v>8.15</v>
      </c>
      <c r="M495" s="452">
        <v>46135</v>
      </c>
      <c r="N495">
        <v>8.15</v>
      </c>
      <c r="O495">
        <v>8.15</v>
      </c>
      <c r="P495">
        <v>57.05</v>
      </c>
    </row>
    <row r="496" spans="1:16" x14ac:dyDescent="0.3">
      <c r="A496">
        <v>85392</v>
      </c>
      <c r="B496">
        <v>105</v>
      </c>
      <c r="C496" t="s">
        <v>557</v>
      </c>
      <c r="D496" s="452">
        <v>46143</v>
      </c>
      <c r="E496">
        <v>24690</v>
      </c>
      <c r="F496" t="s">
        <v>5168</v>
      </c>
      <c r="G496">
        <v>5716</v>
      </c>
      <c r="H496">
        <v>3</v>
      </c>
      <c r="I496" t="s">
        <v>4749</v>
      </c>
      <c r="J496" t="s">
        <v>5222</v>
      </c>
      <c r="K496" t="s">
        <v>462</v>
      </c>
      <c r="L496">
        <v>18.75</v>
      </c>
      <c r="M496" s="452">
        <v>46118</v>
      </c>
      <c r="N496">
        <v>18.75</v>
      </c>
      <c r="O496">
        <v>18.75</v>
      </c>
      <c r="P496">
        <v>56.25</v>
      </c>
    </row>
    <row r="497" spans="1:16" x14ac:dyDescent="0.3">
      <c r="A497">
        <v>85222</v>
      </c>
      <c r="B497">
        <v>105</v>
      </c>
      <c r="C497" t="s">
        <v>557</v>
      </c>
      <c r="D497" s="452">
        <v>46143</v>
      </c>
      <c r="E497">
        <v>19421</v>
      </c>
      <c r="F497" t="s">
        <v>4918</v>
      </c>
      <c r="G497">
        <v>2758</v>
      </c>
      <c r="H497">
        <v>3.2</v>
      </c>
      <c r="I497" t="s">
        <v>4749</v>
      </c>
      <c r="J497" t="s">
        <v>5191</v>
      </c>
      <c r="K497" t="s">
        <v>462</v>
      </c>
      <c r="L497">
        <v>17.54</v>
      </c>
      <c r="M497" s="452">
        <v>46135</v>
      </c>
      <c r="N497">
        <v>81.84</v>
      </c>
      <c r="O497">
        <v>6.53</v>
      </c>
      <c r="P497">
        <v>56.13</v>
      </c>
    </row>
    <row r="498" spans="1:16" x14ac:dyDescent="0.3">
      <c r="A498">
        <v>85364</v>
      </c>
      <c r="B498">
        <v>105</v>
      </c>
      <c r="C498" t="s">
        <v>557</v>
      </c>
      <c r="D498" s="452">
        <v>46143</v>
      </c>
      <c r="E498">
        <v>23656</v>
      </c>
      <c r="F498" t="s">
        <v>4945</v>
      </c>
      <c r="G498">
        <v>2228</v>
      </c>
      <c r="H498">
        <v>2</v>
      </c>
      <c r="I498" t="s">
        <v>4744</v>
      </c>
      <c r="J498" t="s">
        <v>5191</v>
      </c>
      <c r="K498" t="s">
        <v>462</v>
      </c>
      <c r="L498">
        <v>0</v>
      </c>
      <c r="M498" s="452">
        <v>45873</v>
      </c>
      <c r="N498">
        <v>28</v>
      </c>
      <c r="O498">
        <v>27.3</v>
      </c>
      <c r="P498">
        <v>56</v>
      </c>
    </row>
    <row r="499" spans="1:16" x14ac:dyDescent="0.3">
      <c r="A499">
        <v>85256</v>
      </c>
      <c r="B499">
        <v>105</v>
      </c>
      <c r="C499" t="s">
        <v>557</v>
      </c>
      <c r="D499" s="452">
        <v>46143</v>
      </c>
      <c r="E499">
        <v>19649</v>
      </c>
      <c r="F499" t="s">
        <v>4859</v>
      </c>
      <c r="G499">
        <v>2589</v>
      </c>
      <c r="H499">
        <v>2</v>
      </c>
      <c r="I499" t="s">
        <v>4744</v>
      </c>
      <c r="J499" t="s">
        <v>5191</v>
      </c>
      <c r="K499" t="s">
        <v>462</v>
      </c>
      <c r="L499">
        <v>0</v>
      </c>
      <c r="M499" s="452">
        <v>45820</v>
      </c>
      <c r="N499">
        <v>27.9</v>
      </c>
      <c r="O499">
        <v>23.5</v>
      </c>
      <c r="P499">
        <v>55.8</v>
      </c>
    </row>
    <row r="500" spans="1:16" x14ac:dyDescent="0.3">
      <c r="A500">
        <v>85331</v>
      </c>
      <c r="B500">
        <v>105</v>
      </c>
      <c r="C500" t="s">
        <v>557</v>
      </c>
      <c r="D500" s="452">
        <v>46143</v>
      </c>
      <c r="E500">
        <v>22721</v>
      </c>
      <c r="F500" t="s">
        <v>4803</v>
      </c>
      <c r="G500">
        <v>3033</v>
      </c>
      <c r="H500">
        <v>1.81</v>
      </c>
      <c r="I500" t="s">
        <v>4744</v>
      </c>
      <c r="J500" t="s">
        <v>5191</v>
      </c>
      <c r="K500" t="s">
        <v>462</v>
      </c>
      <c r="L500">
        <v>29.5</v>
      </c>
      <c r="M500" s="452">
        <v>46135</v>
      </c>
      <c r="N500">
        <v>29.5</v>
      </c>
      <c r="O500">
        <v>29.5</v>
      </c>
      <c r="P500">
        <v>53.4</v>
      </c>
    </row>
    <row r="501" spans="1:16" x14ac:dyDescent="0.3">
      <c r="A501">
        <v>85158</v>
      </c>
      <c r="B501">
        <v>105</v>
      </c>
      <c r="C501" t="s">
        <v>557</v>
      </c>
      <c r="D501" s="452">
        <v>46143</v>
      </c>
      <c r="E501">
        <v>18073</v>
      </c>
      <c r="F501" t="s">
        <v>4974</v>
      </c>
      <c r="G501">
        <v>3536</v>
      </c>
      <c r="H501">
        <v>1.1200000000000001</v>
      </c>
      <c r="I501" t="s">
        <v>4805</v>
      </c>
      <c r="J501" t="s">
        <v>5222</v>
      </c>
      <c r="K501" t="s">
        <v>462</v>
      </c>
      <c r="L501">
        <v>0</v>
      </c>
      <c r="M501" s="452">
        <v>46098</v>
      </c>
      <c r="N501">
        <v>47.6</v>
      </c>
      <c r="O501">
        <v>47.6</v>
      </c>
      <c r="P501">
        <v>53.31</v>
      </c>
    </row>
    <row r="502" spans="1:16" x14ac:dyDescent="0.3">
      <c r="A502">
        <v>85159</v>
      </c>
      <c r="B502">
        <v>105</v>
      </c>
      <c r="C502" t="s">
        <v>557</v>
      </c>
      <c r="D502" s="452">
        <v>46143</v>
      </c>
      <c r="E502">
        <v>18085</v>
      </c>
      <c r="F502" t="s">
        <v>4973</v>
      </c>
      <c r="G502">
        <v>3524</v>
      </c>
      <c r="H502">
        <v>1.1200000000000001</v>
      </c>
      <c r="I502" t="s">
        <v>4805</v>
      </c>
      <c r="J502" t="s">
        <v>5222</v>
      </c>
      <c r="K502" t="s">
        <v>462</v>
      </c>
      <c r="L502">
        <v>0</v>
      </c>
      <c r="M502" s="452">
        <v>46112</v>
      </c>
      <c r="N502">
        <v>47.6</v>
      </c>
      <c r="O502">
        <v>47.6</v>
      </c>
      <c r="P502">
        <v>53.31</v>
      </c>
    </row>
    <row r="503" spans="1:16" x14ac:dyDescent="0.3">
      <c r="A503">
        <v>85324</v>
      </c>
      <c r="B503">
        <v>105</v>
      </c>
      <c r="C503" t="s">
        <v>557</v>
      </c>
      <c r="D503" s="452">
        <v>46143</v>
      </c>
      <c r="E503">
        <v>21060</v>
      </c>
      <c r="F503" t="s">
        <v>4946</v>
      </c>
      <c r="G503">
        <v>1998</v>
      </c>
      <c r="H503">
        <v>2.0099999999999998</v>
      </c>
      <c r="I503" t="s">
        <v>4736</v>
      </c>
      <c r="J503" t="s">
        <v>5191</v>
      </c>
      <c r="K503" t="s">
        <v>462</v>
      </c>
      <c r="L503">
        <v>0</v>
      </c>
      <c r="M503" s="452">
        <v>46062</v>
      </c>
      <c r="N503">
        <v>26.1</v>
      </c>
      <c r="O503">
        <v>21.99</v>
      </c>
      <c r="P503">
        <v>52.46</v>
      </c>
    </row>
    <row r="504" spans="1:16" x14ac:dyDescent="0.3">
      <c r="A504">
        <v>85285</v>
      </c>
      <c r="B504">
        <v>105</v>
      </c>
      <c r="C504" t="s">
        <v>557</v>
      </c>
      <c r="D504" s="452">
        <v>46143</v>
      </c>
      <c r="E504">
        <v>20105</v>
      </c>
      <c r="F504" t="s">
        <v>4831</v>
      </c>
      <c r="G504">
        <v>2298</v>
      </c>
      <c r="H504">
        <v>2</v>
      </c>
      <c r="I504" t="s">
        <v>4744</v>
      </c>
      <c r="J504" t="s">
        <v>5191</v>
      </c>
      <c r="K504" t="s">
        <v>462</v>
      </c>
      <c r="L504">
        <v>26</v>
      </c>
      <c r="M504" s="452">
        <v>46134</v>
      </c>
      <c r="N504">
        <v>26</v>
      </c>
      <c r="O504">
        <v>26</v>
      </c>
      <c r="P504">
        <v>52</v>
      </c>
    </row>
    <row r="505" spans="1:16" x14ac:dyDescent="0.3">
      <c r="A505">
        <v>85307</v>
      </c>
      <c r="B505">
        <v>105</v>
      </c>
      <c r="C505" t="s">
        <v>557</v>
      </c>
      <c r="D505" s="452">
        <v>46143</v>
      </c>
      <c r="E505">
        <v>20653</v>
      </c>
      <c r="F505" t="s">
        <v>5013</v>
      </c>
      <c r="G505">
        <v>2111</v>
      </c>
      <c r="H505">
        <v>2</v>
      </c>
      <c r="I505" t="s">
        <v>4736</v>
      </c>
      <c r="J505" t="s">
        <v>5191</v>
      </c>
      <c r="K505" t="s">
        <v>462</v>
      </c>
      <c r="L505">
        <v>25.96</v>
      </c>
      <c r="M505" s="452">
        <v>46135</v>
      </c>
      <c r="N505">
        <v>25.96</v>
      </c>
      <c r="O505">
        <v>25.96</v>
      </c>
      <c r="P505">
        <v>51.92</v>
      </c>
    </row>
    <row r="506" spans="1:16" x14ac:dyDescent="0.3">
      <c r="A506">
        <v>85383</v>
      </c>
      <c r="B506">
        <v>105</v>
      </c>
      <c r="C506" t="s">
        <v>557</v>
      </c>
      <c r="D506" s="452">
        <v>46143</v>
      </c>
      <c r="E506">
        <v>24323</v>
      </c>
      <c r="F506" t="s">
        <v>4844</v>
      </c>
      <c r="G506">
        <v>2262</v>
      </c>
      <c r="H506">
        <v>3.2</v>
      </c>
      <c r="I506" t="s">
        <v>4744</v>
      </c>
      <c r="J506" t="s">
        <v>5191</v>
      </c>
      <c r="K506" t="s">
        <v>462</v>
      </c>
      <c r="L506">
        <v>0</v>
      </c>
      <c r="M506" s="452">
        <v>45817</v>
      </c>
      <c r="N506">
        <v>16.2</v>
      </c>
      <c r="O506">
        <v>12.9</v>
      </c>
      <c r="P506">
        <v>51.84</v>
      </c>
    </row>
    <row r="507" spans="1:16" x14ac:dyDescent="0.3">
      <c r="A507">
        <v>85252</v>
      </c>
      <c r="B507">
        <v>105</v>
      </c>
      <c r="C507" t="s">
        <v>557</v>
      </c>
      <c r="D507" s="452">
        <v>46143</v>
      </c>
      <c r="E507">
        <v>19634</v>
      </c>
      <c r="F507" t="s">
        <v>4792</v>
      </c>
      <c r="G507">
        <v>2602</v>
      </c>
      <c r="H507">
        <v>6.84</v>
      </c>
      <c r="I507" t="s">
        <v>4744</v>
      </c>
      <c r="J507" t="s">
        <v>5191</v>
      </c>
      <c r="K507" t="s">
        <v>462</v>
      </c>
      <c r="L507">
        <v>7.53</v>
      </c>
      <c r="M507" s="452">
        <v>46128</v>
      </c>
      <c r="N507">
        <v>7.39</v>
      </c>
      <c r="O507">
        <v>7.8</v>
      </c>
      <c r="P507">
        <v>51.51</v>
      </c>
    </row>
    <row r="508" spans="1:16" x14ac:dyDescent="0.3">
      <c r="A508">
        <v>85188</v>
      </c>
      <c r="B508">
        <v>105</v>
      </c>
      <c r="C508" t="s">
        <v>557</v>
      </c>
      <c r="D508" s="452">
        <v>46143</v>
      </c>
      <c r="E508">
        <v>18462</v>
      </c>
      <c r="F508" t="s">
        <v>5031</v>
      </c>
      <c r="G508">
        <v>3193</v>
      </c>
      <c r="H508">
        <v>1</v>
      </c>
      <c r="I508" t="s">
        <v>4805</v>
      </c>
      <c r="J508" t="s">
        <v>5222</v>
      </c>
      <c r="K508" t="s">
        <v>462</v>
      </c>
      <c r="L508">
        <v>0</v>
      </c>
      <c r="M508" s="452">
        <v>46112</v>
      </c>
      <c r="N508">
        <v>50.4</v>
      </c>
      <c r="O508">
        <v>50.4</v>
      </c>
      <c r="P508">
        <v>50.4</v>
      </c>
    </row>
    <row r="509" spans="1:16" x14ac:dyDescent="0.3">
      <c r="A509">
        <v>85344</v>
      </c>
      <c r="B509">
        <v>105</v>
      </c>
      <c r="C509" t="s">
        <v>557</v>
      </c>
      <c r="D509" s="452">
        <v>46143</v>
      </c>
      <c r="E509">
        <v>23234</v>
      </c>
      <c r="F509" t="s">
        <v>4986</v>
      </c>
      <c r="G509">
        <v>2622</v>
      </c>
      <c r="H509">
        <v>2</v>
      </c>
      <c r="I509" t="s">
        <v>4744</v>
      </c>
      <c r="J509" t="s">
        <v>5191</v>
      </c>
      <c r="K509" t="s">
        <v>462</v>
      </c>
      <c r="L509">
        <v>0</v>
      </c>
      <c r="M509" s="452">
        <v>46104</v>
      </c>
      <c r="N509">
        <v>25</v>
      </c>
      <c r="O509">
        <v>25</v>
      </c>
      <c r="P509">
        <v>50</v>
      </c>
    </row>
    <row r="510" spans="1:16" x14ac:dyDescent="0.3">
      <c r="A510">
        <v>85325</v>
      </c>
      <c r="B510">
        <v>105</v>
      </c>
      <c r="C510" t="s">
        <v>557</v>
      </c>
      <c r="D510" s="452">
        <v>46143</v>
      </c>
      <c r="E510">
        <v>21078</v>
      </c>
      <c r="F510" t="s">
        <v>5162</v>
      </c>
      <c r="G510">
        <v>1991</v>
      </c>
      <c r="H510">
        <v>1</v>
      </c>
      <c r="I510" t="s">
        <v>4749</v>
      </c>
      <c r="J510" t="s">
        <v>5191</v>
      </c>
      <c r="K510" t="s">
        <v>462</v>
      </c>
      <c r="L510">
        <v>49.38</v>
      </c>
      <c r="M510" s="452">
        <v>46126</v>
      </c>
      <c r="N510">
        <v>49.38</v>
      </c>
      <c r="O510">
        <v>49.64</v>
      </c>
      <c r="P510">
        <v>49.38</v>
      </c>
    </row>
    <row r="511" spans="1:16" x14ac:dyDescent="0.3">
      <c r="A511">
        <v>85295</v>
      </c>
      <c r="B511">
        <v>105</v>
      </c>
      <c r="C511" t="s">
        <v>557</v>
      </c>
      <c r="D511" s="452">
        <v>46143</v>
      </c>
      <c r="E511">
        <v>20322</v>
      </c>
      <c r="F511" t="s">
        <v>4882</v>
      </c>
      <c r="G511">
        <v>2212</v>
      </c>
      <c r="H511">
        <v>4.5</v>
      </c>
      <c r="I511" t="s">
        <v>4738</v>
      </c>
      <c r="J511" t="s">
        <v>5191</v>
      </c>
      <c r="K511" t="s">
        <v>462</v>
      </c>
      <c r="L511">
        <v>10.8</v>
      </c>
      <c r="M511" s="452">
        <v>46120</v>
      </c>
      <c r="N511">
        <v>10.8</v>
      </c>
      <c r="O511">
        <v>10.8</v>
      </c>
      <c r="P511">
        <v>48.6</v>
      </c>
    </row>
    <row r="512" spans="1:16" x14ac:dyDescent="0.3">
      <c r="A512">
        <v>85187</v>
      </c>
      <c r="B512">
        <v>105</v>
      </c>
      <c r="C512" t="s">
        <v>557</v>
      </c>
      <c r="D512" s="452">
        <v>46143</v>
      </c>
      <c r="E512">
        <v>18423</v>
      </c>
      <c r="F512" t="s">
        <v>4987</v>
      </c>
      <c r="G512">
        <v>3220</v>
      </c>
      <c r="H512">
        <v>1.5</v>
      </c>
      <c r="I512" t="s">
        <v>4805</v>
      </c>
      <c r="J512" t="s">
        <v>5222</v>
      </c>
      <c r="K512" t="s">
        <v>462</v>
      </c>
      <c r="L512">
        <v>31.93</v>
      </c>
      <c r="M512" s="452">
        <v>46120</v>
      </c>
      <c r="N512">
        <v>31.93</v>
      </c>
      <c r="O512">
        <v>31.93</v>
      </c>
      <c r="P512">
        <v>47.9</v>
      </c>
    </row>
    <row r="513" spans="1:16" x14ac:dyDescent="0.3">
      <c r="A513">
        <v>85312</v>
      </c>
      <c r="B513">
        <v>105</v>
      </c>
      <c r="C513" t="s">
        <v>557</v>
      </c>
      <c r="D513" s="452">
        <v>46143</v>
      </c>
      <c r="E513">
        <v>20751</v>
      </c>
      <c r="F513" t="s">
        <v>5004</v>
      </c>
      <c r="G513">
        <v>2088</v>
      </c>
      <c r="H513">
        <v>0.43</v>
      </c>
      <c r="I513" t="s">
        <v>4884</v>
      </c>
      <c r="J513" t="s">
        <v>5191</v>
      </c>
      <c r="K513" t="s">
        <v>462</v>
      </c>
      <c r="L513">
        <v>109.9</v>
      </c>
      <c r="M513" s="452">
        <v>46119</v>
      </c>
      <c r="N513">
        <v>109.9</v>
      </c>
      <c r="O513">
        <v>108.9</v>
      </c>
      <c r="P513">
        <v>47.26</v>
      </c>
    </row>
    <row r="514" spans="1:16" x14ac:dyDescent="0.3">
      <c r="A514">
        <v>85354</v>
      </c>
      <c r="B514">
        <v>105</v>
      </c>
      <c r="C514" t="s">
        <v>557</v>
      </c>
      <c r="D514" s="452">
        <v>46143</v>
      </c>
      <c r="E514">
        <v>23385</v>
      </c>
      <c r="F514" t="s">
        <v>4938</v>
      </c>
      <c r="G514">
        <v>2479</v>
      </c>
      <c r="H514">
        <v>0.79</v>
      </c>
      <c r="I514" t="s">
        <v>4744</v>
      </c>
      <c r="J514" t="s">
        <v>5191</v>
      </c>
      <c r="K514" t="s">
        <v>462</v>
      </c>
      <c r="L514">
        <v>59.22</v>
      </c>
      <c r="M514" s="452">
        <v>46135</v>
      </c>
      <c r="N514">
        <v>65</v>
      </c>
      <c r="O514">
        <v>78</v>
      </c>
      <c r="P514">
        <v>46.78</v>
      </c>
    </row>
    <row r="515" spans="1:16" x14ac:dyDescent="0.3">
      <c r="A515">
        <v>85287</v>
      </c>
      <c r="B515">
        <v>105</v>
      </c>
      <c r="C515" t="s">
        <v>557</v>
      </c>
      <c r="D515" s="452">
        <v>46143</v>
      </c>
      <c r="E515">
        <v>20138</v>
      </c>
      <c r="F515" t="s">
        <v>4886</v>
      </c>
      <c r="G515">
        <v>2284</v>
      </c>
      <c r="H515">
        <v>9</v>
      </c>
      <c r="I515" t="s">
        <v>4738</v>
      </c>
      <c r="J515" t="s">
        <v>5191</v>
      </c>
      <c r="K515" t="s">
        <v>462</v>
      </c>
      <c r="L515">
        <v>5.0999999999999996</v>
      </c>
      <c r="M515" s="452">
        <v>46120</v>
      </c>
      <c r="N515">
        <v>5.0999999999999996</v>
      </c>
      <c r="O515">
        <v>5.0999999999999996</v>
      </c>
      <c r="P515">
        <v>45.9</v>
      </c>
    </row>
    <row r="516" spans="1:16" x14ac:dyDescent="0.3">
      <c r="A516">
        <v>85183</v>
      </c>
      <c r="B516">
        <v>105</v>
      </c>
      <c r="C516" t="s">
        <v>557</v>
      </c>
      <c r="D516" s="452">
        <v>46143</v>
      </c>
      <c r="E516">
        <v>18327</v>
      </c>
      <c r="F516" t="s">
        <v>5035</v>
      </c>
      <c r="G516">
        <v>3306</v>
      </c>
      <c r="H516">
        <v>0.46</v>
      </c>
      <c r="I516" t="s">
        <v>4805</v>
      </c>
      <c r="J516" t="s">
        <v>5222</v>
      </c>
      <c r="K516" t="s">
        <v>462</v>
      </c>
      <c r="L516">
        <v>98.24</v>
      </c>
      <c r="M516" s="452">
        <v>46120</v>
      </c>
      <c r="N516">
        <v>98.24</v>
      </c>
      <c r="O516">
        <v>98.24</v>
      </c>
      <c r="P516">
        <v>45.19</v>
      </c>
    </row>
    <row r="517" spans="1:16" x14ac:dyDescent="0.3">
      <c r="A517">
        <v>85243</v>
      </c>
      <c r="B517">
        <v>105</v>
      </c>
      <c r="C517" t="s">
        <v>557</v>
      </c>
      <c r="D517" s="452">
        <v>46143</v>
      </c>
      <c r="E517">
        <v>19572</v>
      </c>
      <c r="F517" t="s">
        <v>4989</v>
      </c>
      <c r="G517">
        <v>2646</v>
      </c>
      <c r="H517">
        <v>3.97</v>
      </c>
      <c r="I517" t="s">
        <v>4744</v>
      </c>
      <c r="J517" t="s">
        <v>5191</v>
      </c>
      <c r="K517" t="s">
        <v>462</v>
      </c>
      <c r="L517">
        <v>11.36</v>
      </c>
      <c r="M517" s="452">
        <v>46135</v>
      </c>
      <c r="N517">
        <v>10</v>
      </c>
      <c r="O517">
        <v>10.95</v>
      </c>
      <c r="P517">
        <v>45.1</v>
      </c>
    </row>
    <row r="518" spans="1:16" x14ac:dyDescent="0.3">
      <c r="A518">
        <v>85326</v>
      </c>
      <c r="B518">
        <v>105</v>
      </c>
      <c r="C518" t="s">
        <v>557</v>
      </c>
      <c r="D518" s="452">
        <v>46143</v>
      </c>
      <c r="E518">
        <v>21085</v>
      </c>
      <c r="F518" t="s">
        <v>5066</v>
      </c>
      <c r="G518">
        <v>1989</v>
      </c>
      <c r="H518">
        <v>1</v>
      </c>
      <c r="I518" t="s">
        <v>4749</v>
      </c>
      <c r="J518" t="s">
        <v>5191</v>
      </c>
      <c r="K518" t="s">
        <v>462</v>
      </c>
      <c r="L518">
        <v>44.75</v>
      </c>
      <c r="M518" s="452">
        <v>46127</v>
      </c>
      <c r="N518">
        <v>44.75</v>
      </c>
      <c r="O518">
        <v>44.75</v>
      </c>
      <c r="P518">
        <v>44.75</v>
      </c>
    </row>
    <row r="519" spans="1:16" x14ac:dyDescent="0.3">
      <c r="A519">
        <v>85395</v>
      </c>
      <c r="B519">
        <v>105</v>
      </c>
      <c r="C519" t="s">
        <v>557</v>
      </c>
      <c r="D519" s="452">
        <v>46143</v>
      </c>
      <c r="E519">
        <v>25022</v>
      </c>
      <c r="F519" t="s">
        <v>4912</v>
      </c>
      <c r="G519">
        <v>5868</v>
      </c>
      <c r="H519">
        <v>12</v>
      </c>
      <c r="I519" t="s">
        <v>4738</v>
      </c>
      <c r="J519" t="s">
        <v>5191</v>
      </c>
      <c r="K519" t="s">
        <v>462</v>
      </c>
      <c r="L519">
        <v>3.7</v>
      </c>
      <c r="M519" s="452">
        <v>46120</v>
      </c>
      <c r="N519">
        <v>3.7</v>
      </c>
      <c r="O519">
        <v>3.7</v>
      </c>
      <c r="P519">
        <v>44.4</v>
      </c>
    </row>
    <row r="520" spans="1:16" x14ac:dyDescent="0.3">
      <c r="A520">
        <v>85382</v>
      </c>
      <c r="B520">
        <v>105</v>
      </c>
      <c r="C520" t="s">
        <v>557</v>
      </c>
      <c r="D520" s="452">
        <v>46143</v>
      </c>
      <c r="E520">
        <v>24322</v>
      </c>
      <c r="F520" t="s">
        <v>5064</v>
      </c>
      <c r="G520">
        <v>2342</v>
      </c>
      <c r="H520">
        <v>2</v>
      </c>
      <c r="I520" t="s">
        <v>4744</v>
      </c>
      <c r="J520" t="s">
        <v>5191</v>
      </c>
      <c r="K520" t="s">
        <v>462</v>
      </c>
      <c r="L520">
        <v>22</v>
      </c>
      <c r="M520" s="452">
        <v>46119</v>
      </c>
      <c r="N520">
        <v>22</v>
      </c>
      <c r="O520">
        <v>22</v>
      </c>
      <c r="P520">
        <v>44</v>
      </c>
    </row>
    <row r="521" spans="1:16" x14ac:dyDescent="0.3">
      <c r="A521">
        <v>85368</v>
      </c>
      <c r="B521">
        <v>105</v>
      </c>
      <c r="C521" t="s">
        <v>557</v>
      </c>
      <c r="D521" s="452">
        <v>46143</v>
      </c>
      <c r="E521">
        <v>23934</v>
      </c>
      <c r="F521" t="s">
        <v>4845</v>
      </c>
      <c r="G521">
        <v>1965</v>
      </c>
      <c r="H521">
        <v>4</v>
      </c>
      <c r="I521" t="s">
        <v>4744</v>
      </c>
      <c r="J521" t="s">
        <v>5191</v>
      </c>
      <c r="K521" t="s">
        <v>462</v>
      </c>
      <c r="L521">
        <v>10.9</v>
      </c>
      <c r="M521" s="452">
        <v>46134</v>
      </c>
      <c r="N521">
        <v>10.9</v>
      </c>
      <c r="O521">
        <v>10.9</v>
      </c>
      <c r="P521">
        <v>43.6</v>
      </c>
    </row>
    <row r="522" spans="1:16" x14ac:dyDescent="0.3">
      <c r="A522">
        <v>85340</v>
      </c>
      <c r="B522">
        <v>105</v>
      </c>
      <c r="C522" t="s">
        <v>557</v>
      </c>
      <c r="D522" s="452">
        <v>46143</v>
      </c>
      <c r="E522">
        <v>23184</v>
      </c>
      <c r="F522" t="s">
        <v>4935</v>
      </c>
      <c r="G522">
        <v>2670</v>
      </c>
      <c r="H522">
        <v>3.04</v>
      </c>
      <c r="I522" t="s">
        <v>4744</v>
      </c>
      <c r="J522" t="s">
        <v>5191</v>
      </c>
      <c r="K522" t="s">
        <v>462</v>
      </c>
      <c r="L522">
        <v>14.08</v>
      </c>
      <c r="M522" s="452">
        <v>46135</v>
      </c>
      <c r="N522">
        <v>13</v>
      </c>
      <c r="O522">
        <v>20.8</v>
      </c>
      <c r="P522">
        <v>42.8</v>
      </c>
    </row>
    <row r="523" spans="1:16" x14ac:dyDescent="0.3">
      <c r="A523">
        <v>85268</v>
      </c>
      <c r="B523">
        <v>105</v>
      </c>
      <c r="C523" t="s">
        <v>557</v>
      </c>
      <c r="D523" s="452">
        <v>46143</v>
      </c>
      <c r="E523">
        <v>19752</v>
      </c>
      <c r="F523" t="s">
        <v>4807</v>
      </c>
      <c r="G523">
        <v>2501</v>
      </c>
      <c r="H523">
        <v>6.45</v>
      </c>
      <c r="I523" t="s">
        <v>4744</v>
      </c>
      <c r="J523" t="s">
        <v>5191</v>
      </c>
      <c r="K523" t="s">
        <v>462</v>
      </c>
      <c r="L523">
        <v>6.48</v>
      </c>
      <c r="M523" s="452">
        <v>46140</v>
      </c>
      <c r="N523">
        <v>5.18</v>
      </c>
      <c r="O523">
        <v>5.18</v>
      </c>
      <c r="P523">
        <v>41.8</v>
      </c>
    </row>
    <row r="524" spans="1:16" x14ac:dyDescent="0.3">
      <c r="A524">
        <v>85372</v>
      </c>
      <c r="B524">
        <v>105</v>
      </c>
      <c r="C524" t="s">
        <v>557</v>
      </c>
      <c r="D524" s="452">
        <v>46143</v>
      </c>
      <c r="E524">
        <v>24099</v>
      </c>
      <c r="F524" t="s">
        <v>4933</v>
      </c>
      <c r="G524">
        <v>2716</v>
      </c>
      <c r="H524">
        <v>3.25</v>
      </c>
      <c r="I524" t="s">
        <v>4744</v>
      </c>
      <c r="J524" t="s">
        <v>5191</v>
      </c>
      <c r="K524" t="s">
        <v>462</v>
      </c>
      <c r="L524">
        <v>12.36</v>
      </c>
      <c r="M524" s="452">
        <v>46127</v>
      </c>
      <c r="N524">
        <v>13</v>
      </c>
      <c r="O524">
        <v>13</v>
      </c>
      <c r="P524">
        <v>40.17</v>
      </c>
    </row>
    <row r="525" spans="1:16" x14ac:dyDescent="0.3">
      <c r="A525">
        <v>85210</v>
      </c>
      <c r="B525">
        <v>105</v>
      </c>
      <c r="C525" t="s">
        <v>557</v>
      </c>
      <c r="D525" s="452">
        <v>46143</v>
      </c>
      <c r="E525">
        <v>19130</v>
      </c>
      <c r="F525" t="s">
        <v>4990</v>
      </c>
      <c r="G525">
        <v>2839</v>
      </c>
      <c r="H525">
        <v>1.73</v>
      </c>
      <c r="I525" t="s">
        <v>4744</v>
      </c>
      <c r="J525" t="s">
        <v>5191</v>
      </c>
      <c r="K525" t="s">
        <v>462</v>
      </c>
      <c r="L525">
        <v>0</v>
      </c>
      <c r="N525">
        <v>0</v>
      </c>
      <c r="O525">
        <v>22.5</v>
      </c>
      <c r="P525">
        <v>38.92</v>
      </c>
    </row>
    <row r="526" spans="1:16" x14ac:dyDescent="0.3">
      <c r="A526">
        <v>85335</v>
      </c>
      <c r="B526">
        <v>105</v>
      </c>
      <c r="C526" t="s">
        <v>557</v>
      </c>
      <c r="D526" s="452">
        <v>46143</v>
      </c>
      <c r="E526">
        <v>23088</v>
      </c>
      <c r="F526" t="s">
        <v>5027</v>
      </c>
      <c r="G526">
        <v>2760</v>
      </c>
      <c r="H526">
        <v>1.5</v>
      </c>
      <c r="I526" t="s">
        <v>4736</v>
      </c>
      <c r="J526" t="s">
        <v>5191</v>
      </c>
      <c r="K526" t="s">
        <v>462</v>
      </c>
      <c r="L526">
        <v>24.5</v>
      </c>
      <c r="M526" s="452">
        <v>46127</v>
      </c>
      <c r="N526">
        <v>24.5</v>
      </c>
      <c r="O526">
        <v>24.5</v>
      </c>
      <c r="P526">
        <v>36.75</v>
      </c>
    </row>
    <row r="527" spans="1:16" x14ac:dyDescent="0.3">
      <c r="A527">
        <v>85274</v>
      </c>
      <c r="B527">
        <v>105</v>
      </c>
      <c r="C527" t="s">
        <v>557</v>
      </c>
      <c r="D527" s="452">
        <v>46143</v>
      </c>
      <c r="E527">
        <v>19906</v>
      </c>
      <c r="F527" t="s">
        <v>5159</v>
      </c>
      <c r="G527">
        <v>2381</v>
      </c>
      <c r="H527">
        <v>1</v>
      </c>
      <c r="I527" t="s">
        <v>4738</v>
      </c>
      <c r="J527" t="s">
        <v>5191</v>
      </c>
      <c r="K527" t="s">
        <v>462</v>
      </c>
      <c r="L527">
        <v>36.299999999999997</v>
      </c>
      <c r="M527" s="452">
        <v>46120</v>
      </c>
      <c r="N527">
        <v>36.299999999999997</v>
      </c>
      <c r="O527">
        <v>38.9</v>
      </c>
      <c r="P527">
        <v>36.299999999999997</v>
      </c>
    </row>
    <row r="528" spans="1:16" x14ac:dyDescent="0.3">
      <c r="A528">
        <v>85353</v>
      </c>
      <c r="B528">
        <v>105</v>
      </c>
      <c r="C528" t="s">
        <v>557</v>
      </c>
      <c r="D528" s="452">
        <v>46143</v>
      </c>
      <c r="E528">
        <v>23365</v>
      </c>
      <c r="F528" t="s">
        <v>5108</v>
      </c>
      <c r="G528">
        <v>2493</v>
      </c>
      <c r="H528">
        <v>1.7</v>
      </c>
      <c r="I528" t="s">
        <v>4744</v>
      </c>
      <c r="J528" t="s">
        <v>5191</v>
      </c>
      <c r="K528" t="s">
        <v>462</v>
      </c>
      <c r="L528">
        <v>21</v>
      </c>
      <c r="M528" s="452">
        <v>46127</v>
      </c>
      <c r="N528">
        <v>21</v>
      </c>
      <c r="O528">
        <v>20</v>
      </c>
      <c r="P528">
        <v>35.700000000000003</v>
      </c>
    </row>
    <row r="529" spans="1:16" x14ac:dyDescent="0.3">
      <c r="A529">
        <v>85238</v>
      </c>
      <c r="B529">
        <v>105</v>
      </c>
      <c r="C529" t="s">
        <v>557</v>
      </c>
      <c r="D529" s="452">
        <v>46143</v>
      </c>
      <c r="E529">
        <v>19551</v>
      </c>
      <c r="F529" t="s">
        <v>4905</v>
      </c>
      <c r="G529">
        <v>2665</v>
      </c>
      <c r="H529">
        <v>2.2799999999999998</v>
      </c>
      <c r="I529" t="s">
        <v>4744</v>
      </c>
      <c r="J529" t="s">
        <v>5191</v>
      </c>
      <c r="K529" t="s">
        <v>462</v>
      </c>
      <c r="L529">
        <v>15.6</v>
      </c>
      <c r="M529" s="452">
        <v>46135</v>
      </c>
      <c r="N529">
        <v>17.760000000000002</v>
      </c>
      <c r="O529">
        <v>16</v>
      </c>
      <c r="P529">
        <v>35.57</v>
      </c>
    </row>
    <row r="530" spans="1:16" x14ac:dyDescent="0.3">
      <c r="A530">
        <v>85355</v>
      </c>
      <c r="B530">
        <v>105</v>
      </c>
      <c r="C530" t="s">
        <v>557</v>
      </c>
      <c r="D530" s="452">
        <v>46143</v>
      </c>
      <c r="E530">
        <v>23389</v>
      </c>
      <c r="F530" t="s">
        <v>4960</v>
      </c>
      <c r="G530">
        <v>2475</v>
      </c>
      <c r="H530">
        <v>6.9</v>
      </c>
      <c r="I530" t="s">
        <v>4744</v>
      </c>
      <c r="J530" t="s">
        <v>5191</v>
      </c>
      <c r="K530" t="s">
        <v>462</v>
      </c>
      <c r="L530">
        <v>5.15</v>
      </c>
      <c r="M530" s="452">
        <v>46135</v>
      </c>
      <c r="N530">
        <v>5</v>
      </c>
      <c r="O530">
        <v>4.55</v>
      </c>
      <c r="P530">
        <v>35.54</v>
      </c>
    </row>
    <row r="531" spans="1:16" x14ac:dyDescent="0.3">
      <c r="A531">
        <v>85328</v>
      </c>
      <c r="B531">
        <v>105</v>
      </c>
      <c r="C531" t="s">
        <v>557</v>
      </c>
      <c r="D531" s="452">
        <v>46143</v>
      </c>
      <c r="E531">
        <v>21147</v>
      </c>
      <c r="F531" t="s">
        <v>4876</v>
      </c>
      <c r="G531">
        <v>1952</v>
      </c>
      <c r="H531">
        <v>1.78</v>
      </c>
      <c r="I531" t="s">
        <v>4736</v>
      </c>
      <c r="J531" t="s">
        <v>5191</v>
      </c>
      <c r="K531" t="s">
        <v>462</v>
      </c>
      <c r="L531">
        <v>0</v>
      </c>
      <c r="M531" s="452">
        <v>45933</v>
      </c>
      <c r="N531">
        <v>19.899999999999999</v>
      </c>
      <c r="O531">
        <v>19.899999999999999</v>
      </c>
      <c r="P531">
        <v>35.42</v>
      </c>
    </row>
    <row r="532" spans="1:16" x14ac:dyDescent="0.3">
      <c r="A532">
        <v>85351</v>
      </c>
      <c r="B532">
        <v>105</v>
      </c>
      <c r="C532" t="s">
        <v>557</v>
      </c>
      <c r="D532" s="452">
        <v>46143</v>
      </c>
      <c r="E532">
        <v>23359</v>
      </c>
      <c r="F532" t="s">
        <v>4767</v>
      </c>
      <c r="G532">
        <v>2499</v>
      </c>
      <c r="H532">
        <v>15.76</v>
      </c>
      <c r="I532" t="s">
        <v>4744</v>
      </c>
      <c r="J532" t="s">
        <v>5191</v>
      </c>
      <c r="K532" t="s">
        <v>462</v>
      </c>
      <c r="L532">
        <v>2.23</v>
      </c>
      <c r="M532" s="452">
        <v>46135</v>
      </c>
      <c r="N532">
        <v>2.2000000000000002</v>
      </c>
      <c r="O532">
        <v>2.2400000000000002</v>
      </c>
      <c r="P532">
        <v>35.14</v>
      </c>
    </row>
    <row r="533" spans="1:16" x14ac:dyDescent="0.3">
      <c r="A533">
        <v>85347</v>
      </c>
      <c r="B533">
        <v>105</v>
      </c>
      <c r="C533" t="s">
        <v>557</v>
      </c>
      <c r="D533" s="452">
        <v>46143</v>
      </c>
      <c r="E533">
        <v>23268</v>
      </c>
      <c r="F533" t="s">
        <v>4743</v>
      </c>
      <c r="G533">
        <v>2592</v>
      </c>
      <c r="H533">
        <v>7.82</v>
      </c>
      <c r="I533" t="s">
        <v>4744</v>
      </c>
      <c r="J533" t="s">
        <v>5191</v>
      </c>
      <c r="K533" t="s">
        <v>462</v>
      </c>
      <c r="L533">
        <v>0</v>
      </c>
      <c r="M533" s="452">
        <v>45681</v>
      </c>
      <c r="N533">
        <v>4.42</v>
      </c>
      <c r="O533">
        <v>5.0999999999999996</v>
      </c>
      <c r="P533">
        <v>34.56</v>
      </c>
    </row>
    <row r="534" spans="1:16" x14ac:dyDescent="0.3">
      <c r="A534">
        <v>85223</v>
      </c>
      <c r="B534">
        <v>105</v>
      </c>
      <c r="C534" t="s">
        <v>557</v>
      </c>
      <c r="D534" s="452">
        <v>46143</v>
      </c>
      <c r="E534">
        <v>19434</v>
      </c>
      <c r="F534" t="s">
        <v>5078</v>
      </c>
      <c r="G534">
        <v>2757</v>
      </c>
      <c r="H534">
        <v>1.3</v>
      </c>
      <c r="I534" t="s">
        <v>4738</v>
      </c>
      <c r="J534" t="s">
        <v>5191</v>
      </c>
      <c r="K534" t="s">
        <v>462</v>
      </c>
      <c r="L534">
        <v>26.13</v>
      </c>
      <c r="M534" s="452">
        <v>46127</v>
      </c>
      <c r="N534">
        <v>29.96</v>
      </c>
      <c r="O534">
        <v>23.05</v>
      </c>
      <c r="P534">
        <v>33.97</v>
      </c>
    </row>
    <row r="535" spans="1:16" x14ac:dyDescent="0.3">
      <c r="A535">
        <v>85266</v>
      </c>
      <c r="B535">
        <v>105</v>
      </c>
      <c r="C535" t="s">
        <v>557</v>
      </c>
      <c r="D535" s="452">
        <v>46143</v>
      </c>
      <c r="E535">
        <v>19743</v>
      </c>
      <c r="F535" t="s">
        <v>5047</v>
      </c>
      <c r="G535">
        <v>2510</v>
      </c>
      <c r="H535">
        <v>2.2000000000000002</v>
      </c>
      <c r="I535" t="s">
        <v>4744</v>
      </c>
      <c r="J535" t="s">
        <v>5191</v>
      </c>
      <c r="K535" t="s">
        <v>462</v>
      </c>
      <c r="L535">
        <v>15</v>
      </c>
      <c r="M535" s="452">
        <v>46127</v>
      </c>
      <c r="N535">
        <v>15</v>
      </c>
      <c r="O535">
        <v>15.6</v>
      </c>
      <c r="P535">
        <v>33</v>
      </c>
    </row>
    <row r="536" spans="1:16" x14ac:dyDescent="0.3">
      <c r="A536">
        <v>85358</v>
      </c>
      <c r="B536">
        <v>105</v>
      </c>
      <c r="C536" t="s">
        <v>557</v>
      </c>
      <c r="D536" s="452">
        <v>46143</v>
      </c>
      <c r="E536">
        <v>23502</v>
      </c>
      <c r="F536" t="s">
        <v>4930</v>
      </c>
      <c r="G536">
        <v>2367</v>
      </c>
      <c r="H536">
        <v>2.2000000000000002</v>
      </c>
      <c r="I536" t="s">
        <v>4736</v>
      </c>
      <c r="J536" t="s">
        <v>5191</v>
      </c>
      <c r="K536" t="s">
        <v>462</v>
      </c>
      <c r="L536">
        <v>14.9</v>
      </c>
      <c r="M536" s="452">
        <v>46135</v>
      </c>
      <c r="N536">
        <v>14.9</v>
      </c>
      <c r="O536">
        <v>14.9</v>
      </c>
      <c r="P536">
        <v>32.78</v>
      </c>
    </row>
    <row r="537" spans="1:16" x14ac:dyDescent="0.3">
      <c r="A537">
        <v>85418</v>
      </c>
      <c r="B537">
        <v>105</v>
      </c>
      <c r="C537" t="s">
        <v>557</v>
      </c>
      <c r="D537" s="452">
        <v>46143</v>
      </c>
      <c r="E537">
        <v>26005</v>
      </c>
      <c r="F537" t="s">
        <v>4907</v>
      </c>
      <c r="G537">
        <v>9065</v>
      </c>
      <c r="H537">
        <v>3</v>
      </c>
      <c r="I537" t="s">
        <v>4749</v>
      </c>
      <c r="J537" t="s">
        <v>5191</v>
      </c>
      <c r="K537" t="s">
        <v>462</v>
      </c>
      <c r="L537">
        <v>10.82</v>
      </c>
      <c r="M537" s="452">
        <v>46113</v>
      </c>
      <c r="N537">
        <v>10.82</v>
      </c>
      <c r="O537">
        <v>10.82</v>
      </c>
      <c r="P537">
        <v>32.46</v>
      </c>
    </row>
    <row r="538" spans="1:16" x14ac:dyDescent="0.3">
      <c r="A538">
        <v>85257</v>
      </c>
      <c r="B538">
        <v>105</v>
      </c>
      <c r="C538" t="s">
        <v>557</v>
      </c>
      <c r="D538" s="452">
        <v>46143</v>
      </c>
      <c r="E538">
        <v>19652</v>
      </c>
      <c r="F538" t="s">
        <v>4899</v>
      </c>
      <c r="G538">
        <v>2587</v>
      </c>
      <c r="H538">
        <v>1.7</v>
      </c>
      <c r="I538" t="s">
        <v>4744</v>
      </c>
      <c r="J538" t="s">
        <v>5191</v>
      </c>
      <c r="K538" t="s">
        <v>462</v>
      </c>
      <c r="L538">
        <v>0</v>
      </c>
      <c r="M538" s="452">
        <v>46072</v>
      </c>
      <c r="N538">
        <v>19.079999999999998</v>
      </c>
      <c r="O538">
        <v>17.559999999999999</v>
      </c>
      <c r="P538">
        <v>32.44</v>
      </c>
    </row>
    <row r="539" spans="1:16" x14ac:dyDescent="0.3">
      <c r="A539">
        <v>85171</v>
      </c>
      <c r="B539">
        <v>105</v>
      </c>
      <c r="C539" t="s">
        <v>557</v>
      </c>
      <c r="D539" s="452">
        <v>46143</v>
      </c>
      <c r="E539">
        <v>18214</v>
      </c>
      <c r="F539" t="s">
        <v>5039</v>
      </c>
      <c r="G539">
        <v>3413</v>
      </c>
      <c r="H539">
        <v>1</v>
      </c>
      <c r="I539" t="s">
        <v>4805</v>
      </c>
      <c r="J539" t="s">
        <v>5222</v>
      </c>
      <c r="K539" t="s">
        <v>462</v>
      </c>
      <c r="L539">
        <v>0</v>
      </c>
      <c r="M539" s="452">
        <v>45378</v>
      </c>
      <c r="N539">
        <v>32.200000000000003</v>
      </c>
      <c r="O539">
        <v>37.47</v>
      </c>
      <c r="P539">
        <v>32.200000000000003</v>
      </c>
    </row>
    <row r="540" spans="1:16" x14ac:dyDescent="0.3">
      <c r="A540">
        <v>85176</v>
      </c>
      <c r="B540">
        <v>105</v>
      </c>
      <c r="C540" t="s">
        <v>557</v>
      </c>
      <c r="D540" s="452">
        <v>46143</v>
      </c>
      <c r="E540">
        <v>18273</v>
      </c>
      <c r="F540" t="s">
        <v>5058</v>
      </c>
      <c r="G540">
        <v>3357</v>
      </c>
      <c r="H540">
        <v>0.8</v>
      </c>
      <c r="I540" t="s">
        <v>4805</v>
      </c>
      <c r="J540" t="s">
        <v>5222</v>
      </c>
      <c r="K540" t="s">
        <v>462</v>
      </c>
      <c r="L540">
        <v>0</v>
      </c>
      <c r="M540" s="452">
        <v>46078</v>
      </c>
      <c r="N540">
        <v>39</v>
      </c>
      <c r="O540">
        <v>39</v>
      </c>
      <c r="P540">
        <v>31.2</v>
      </c>
    </row>
    <row r="541" spans="1:16" x14ac:dyDescent="0.3">
      <c r="A541">
        <v>85313</v>
      </c>
      <c r="B541">
        <v>105</v>
      </c>
      <c r="C541" t="s">
        <v>557</v>
      </c>
      <c r="D541" s="452">
        <v>46143</v>
      </c>
      <c r="E541">
        <v>20792</v>
      </c>
      <c r="F541" t="s">
        <v>5022</v>
      </c>
      <c r="G541">
        <v>2076</v>
      </c>
      <c r="H541">
        <v>3</v>
      </c>
      <c r="I541" t="s">
        <v>4738</v>
      </c>
      <c r="J541" t="s">
        <v>5191</v>
      </c>
      <c r="K541" t="s">
        <v>462</v>
      </c>
      <c r="L541">
        <v>0</v>
      </c>
      <c r="M541" s="452">
        <v>46006</v>
      </c>
      <c r="N541">
        <v>10.29</v>
      </c>
      <c r="O541">
        <v>10.29</v>
      </c>
      <c r="P541">
        <v>30.87</v>
      </c>
    </row>
    <row r="542" spans="1:16" x14ac:dyDescent="0.3">
      <c r="A542">
        <v>85442</v>
      </c>
      <c r="B542">
        <v>105</v>
      </c>
      <c r="C542" t="s">
        <v>557</v>
      </c>
      <c r="D542" s="452">
        <v>46143</v>
      </c>
      <c r="E542">
        <v>29082</v>
      </c>
      <c r="F542" t="s">
        <v>5171</v>
      </c>
      <c r="G542">
        <v>9016</v>
      </c>
      <c r="H542">
        <v>4</v>
      </c>
      <c r="I542" t="s">
        <v>4736</v>
      </c>
      <c r="J542" t="s">
        <v>5191</v>
      </c>
      <c r="K542" t="s">
        <v>462</v>
      </c>
      <c r="L542">
        <v>0</v>
      </c>
      <c r="N542">
        <v>0</v>
      </c>
      <c r="O542">
        <v>0</v>
      </c>
      <c r="P542">
        <v>30.6</v>
      </c>
    </row>
    <row r="543" spans="1:16" x14ac:dyDescent="0.3">
      <c r="A543">
        <v>85361</v>
      </c>
      <c r="B543">
        <v>105</v>
      </c>
      <c r="C543" t="s">
        <v>557</v>
      </c>
      <c r="D543" s="452">
        <v>46143</v>
      </c>
      <c r="E543">
        <v>23539</v>
      </c>
      <c r="F543" t="s">
        <v>4995</v>
      </c>
      <c r="G543">
        <v>2332</v>
      </c>
      <c r="H543">
        <v>2.5299999999999998</v>
      </c>
      <c r="I543" t="s">
        <v>4744</v>
      </c>
      <c r="J543" t="s">
        <v>5191</v>
      </c>
      <c r="K543" t="s">
        <v>462</v>
      </c>
      <c r="L543">
        <v>0</v>
      </c>
      <c r="M543" s="452">
        <v>45989</v>
      </c>
      <c r="N543">
        <v>12</v>
      </c>
      <c r="O543">
        <v>11.2</v>
      </c>
      <c r="P543">
        <v>30.36</v>
      </c>
    </row>
    <row r="544" spans="1:16" x14ac:dyDescent="0.3">
      <c r="A544">
        <v>85260</v>
      </c>
      <c r="B544">
        <v>105</v>
      </c>
      <c r="C544" t="s">
        <v>557</v>
      </c>
      <c r="D544" s="452">
        <v>46143</v>
      </c>
      <c r="E544">
        <v>19710</v>
      </c>
      <c r="F544" t="s">
        <v>4963</v>
      </c>
      <c r="G544">
        <v>2540</v>
      </c>
      <c r="H544">
        <v>1.39</v>
      </c>
      <c r="I544" t="s">
        <v>4738</v>
      </c>
      <c r="J544" t="s">
        <v>5191</v>
      </c>
      <c r="K544" t="s">
        <v>462</v>
      </c>
      <c r="L544">
        <v>21.5</v>
      </c>
      <c r="M544" s="452">
        <v>46119</v>
      </c>
      <c r="N544">
        <v>21.5</v>
      </c>
      <c r="O544">
        <v>21.5</v>
      </c>
      <c r="P544">
        <v>29.88</v>
      </c>
    </row>
    <row r="545" spans="1:16" x14ac:dyDescent="0.3">
      <c r="A545">
        <v>85338</v>
      </c>
      <c r="B545">
        <v>105</v>
      </c>
      <c r="C545" t="s">
        <v>557</v>
      </c>
      <c r="D545" s="452">
        <v>46143</v>
      </c>
      <c r="E545">
        <v>23113</v>
      </c>
      <c r="F545" t="s">
        <v>5074</v>
      </c>
      <c r="G545">
        <v>2736</v>
      </c>
      <c r="H545">
        <v>2.4500000000000002</v>
      </c>
      <c r="I545" t="s">
        <v>4744</v>
      </c>
      <c r="J545" t="s">
        <v>5191</v>
      </c>
      <c r="K545" t="s">
        <v>462</v>
      </c>
      <c r="L545">
        <v>12.03</v>
      </c>
      <c r="M545" s="452">
        <v>46140</v>
      </c>
      <c r="N545">
        <v>9.73</v>
      </c>
      <c r="O545">
        <v>14.5</v>
      </c>
      <c r="P545">
        <v>29.47</v>
      </c>
    </row>
    <row r="546" spans="1:16" x14ac:dyDescent="0.3">
      <c r="A546">
        <v>85263</v>
      </c>
      <c r="B546">
        <v>105</v>
      </c>
      <c r="C546" t="s">
        <v>557</v>
      </c>
      <c r="D546" s="452">
        <v>46143</v>
      </c>
      <c r="E546">
        <v>19737</v>
      </c>
      <c r="F546" t="s">
        <v>4940</v>
      </c>
      <c r="G546">
        <v>2516</v>
      </c>
      <c r="H546">
        <v>4.8</v>
      </c>
      <c r="I546" t="s">
        <v>4744</v>
      </c>
      <c r="J546" t="s">
        <v>5191</v>
      </c>
      <c r="K546" t="s">
        <v>462</v>
      </c>
      <c r="L546">
        <v>6.08</v>
      </c>
      <c r="M546" s="452">
        <v>46125</v>
      </c>
      <c r="N546">
        <v>6.08</v>
      </c>
      <c r="O546">
        <v>7.15</v>
      </c>
      <c r="P546">
        <v>29.18</v>
      </c>
    </row>
    <row r="547" spans="1:16" x14ac:dyDescent="0.3">
      <c r="A547">
        <v>85248</v>
      </c>
      <c r="B547">
        <v>105</v>
      </c>
      <c r="C547" t="s">
        <v>557</v>
      </c>
      <c r="D547" s="452">
        <v>46143</v>
      </c>
      <c r="E547">
        <v>19621</v>
      </c>
      <c r="F547" t="s">
        <v>4829</v>
      </c>
      <c r="G547">
        <v>2613</v>
      </c>
      <c r="H547">
        <v>4.92</v>
      </c>
      <c r="I547" t="s">
        <v>4744</v>
      </c>
      <c r="J547" t="s">
        <v>5191</v>
      </c>
      <c r="K547" t="s">
        <v>462</v>
      </c>
      <c r="L547">
        <v>5.8</v>
      </c>
      <c r="M547" s="452">
        <v>46125</v>
      </c>
      <c r="N547">
        <v>5.8</v>
      </c>
      <c r="O547">
        <v>7.97</v>
      </c>
      <c r="P547">
        <v>28.54</v>
      </c>
    </row>
    <row r="548" spans="1:16" x14ac:dyDescent="0.3">
      <c r="A548">
        <v>85342</v>
      </c>
      <c r="B548">
        <v>105</v>
      </c>
      <c r="C548" t="s">
        <v>557</v>
      </c>
      <c r="D548" s="452">
        <v>46143</v>
      </c>
      <c r="E548">
        <v>23198</v>
      </c>
      <c r="F548" t="s">
        <v>4962</v>
      </c>
      <c r="G548">
        <v>2657</v>
      </c>
      <c r="H548">
        <v>2</v>
      </c>
      <c r="I548" t="s">
        <v>4744</v>
      </c>
      <c r="J548" t="s">
        <v>5191</v>
      </c>
      <c r="K548" t="s">
        <v>462</v>
      </c>
      <c r="L548">
        <v>13.96</v>
      </c>
      <c r="M548" s="452">
        <v>46125</v>
      </c>
      <c r="N548">
        <v>13</v>
      </c>
      <c r="O548">
        <v>11.7</v>
      </c>
      <c r="P548">
        <v>27.92</v>
      </c>
    </row>
    <row r="549" spans="1:16" x14ac:dyDescent="0.3">
      <c r="A549">
        <v>85142</v>
      </c>
      <c r="B549">
        <v>105</v>
      </c>
      <c r="C549" t="s">
        <v>557</v>
      </c>
      <c r="D549" s="452">
        <v>46143</v>
      </c>
      <c r="E549">
        <v>17721</v>
      </c>
      <c r="F549" t="s">
        <v>4977</v>
      </c>
      <c r="G549">
        <v>3818</v>
      </c>
      <c r="H549">
        <v>2</v>
      </c>
      <c r="I549" t="s">
        <v>4805</v>
      </c>
      <c r="J549" t="s">
        <v>5222</v>
      </c>
      <c r="K549" t="s">
        <v>462</v>
      </c>
      <c r="L549">
        <v>0</v>
      </c>
      <c r="M549" s="452">
        <v>46098</v>
      </c>
      <c r="N549">
        <v>13.8</v>
      </c>
      <c r="O549">
        <v>12.32</v>
      </c>
      <c r="P549">
        <v>27.6</v>
      </c>
    </row>
    <row r="550" spans="1:16" x14ac:dyDescent="0.3">
      <c r="A550">
        <v>85302</v>
      </c>
      <c r="B550">
        <v>105</v>
      </c>
      <c r="C550" t="s">
        <v>557</v>
      </c>
      <c r="D550" s="452">
        <v>46143</v>
      </c>
      <c r="E550">
        <v>20585</v>
      </c>
      <c r="F550" t="s">
        <v>5025</v>
      </c>
      <c r="G550">
        <v>2121</v>
      </c>
      <c r="H550">
        <v>1</v>
      </c>
      <c r="I550" t="s">
        <v>4736</v>
      </c>
      <c r="J550" t="s">
        <v>5191</v>
      </c>
      <c r="K550" t="s">
        <v>462</v>
      </c>
      <c r="L550">
        <v>0</v>
      </c>
      <c r="M550" s="452">
        <v>46094</v>
      </c>
      <c r="N550">
        <v>27.4</v>
      </c>
      <c r="O550">
        <v>27.4</v>
      </c>
      <c r="P550">
        <v>27.4</v>
      </c>
    </row>
    <row r="551" spans="1:16" x14ac:dyDescent="0.3">
      <c r="A551">
        <v>85227</v>
      </c>
      <c r="B551">
        <v>105</v>
      </c>
      <c r="C551" t="s">
        <v>557</v>
      </c>
      <c r="D551" s="452">
        <v>46143</v>
      </c>
      <c r="E551">
        <v>19476</v>
      </c>
      <c r="F551" t="s">
        <v>5115</v>
      </c>
      <c r="G551">
        <v>2729</v>
      </c>
      <c r="H551">
        <v>0.41</v>
      </c>
      <c r="I551" t="s">
        <v>4744</v>
      </c>
      <c r="J551" t="s">
        <v>5191</v>
      </c>
      <c r="K551" t="s">
        <v>462</v>
      </c>
      <c r="L551">
        <v>66.8</v>
      </c>
      <c r="M551" s="452">
        <v>46121</v>
      </c>
      <c r="N551">
        <v>68.150000000000006</v>
      </c>
      <c r="O551">
        <v>67.040000000000006</v>
      </c>
      <c r="P551">
        <v>27.39</v>
      </c>
    </row>
    <row r="552" spans="1:16" x14ac:dyDescent="0.3">
      <c r="A552">
        <v>85242</v>
      </c>
      <c r="B552">
        <v>105</v>
      </c>
      <c r="C552" t="s">
        <v>557</v>
      </c>
      <c r="D552" s="452">
        <v>46143</v>
      </c>
      <c r="E552">
        <v>19562</v>
      </c>
      <c r="F552" t="s">
        <v>4939</v>
      </c>
      <c r="G552">
        <v>2655</v>
      </c>
      <c r="H552">
        <v>1.8</v>
      </c>
      <c r="I552" t="s">
        <v>4744</v>
      </c>
      <c r="J552" t="s">
        <v>5191</v>
      </c>
      <c r="K552" t="s">
        <v>462</v>
      </c>
      <c r="L552">
        <v>15.09</v>
      </c>
      <c r="M552" s="452">
        <v>46125</v>
      </c>
      <c r="N552">
        <v>14.3</v>
      </c>
      <c r="O552">
        <v>11.7</v>
      </c>
      <c r="P552">
        <v>27.16</v>
      </c>
    </row>
    <row r="553" spans="1:16" x14ac:dyDescent="0.3">
      <c r="A553">
        <v>85240</v>
      </c>
      <c r="B553">
        <v>105</v>
      </c>
      <c r="C553" t="s">
        <v>557</v>
      </c>
      <c r="D553" s="452">
        <v>46143</v>
      </c>
      <c r="E553">
        <v>19553</v>
      </c>
      <c r="F553" t="s">
        <v>4868</v>
      </c>
      <c r="G553">
        <v>2663</v>
      </c>
      <c r="H553">
        <v>4.5999999999999996</v>
      </c>
      <c r="I553" t="s">
        <v>4744</v>
      </c>
      <c r="J553" t="s">
        <v>5191</v>
      </c>
      <c r="K553" t="s">
        <v>462</v>
      </c>
      <c r="L553">
        <v>5.8</v>
      </c>
      <c r="M553" s="452">
        <v>46127</v>
      </c>
      <c r="N553">
        <v>5.8</v>
      </c>
      <c r="O553">
        <v>7.25</v>
      </c>
      <c r="P553">
        <v>26.68</v>
      </c>
    </row>
    <row r="554" spans="1:16" x14ac:dyDescent="0.3">
      <c r="A554">
        <v>85297</v>
      </c>
      <c r="B554">
        <v>105</v>
      </c>
      <c r="C554" t="s">
        <v>557</v>
      </c>
      <c r="D554" s="452">
        <v>46143</v>
      </c>
      <c r="E554">
        <v>20365</v>
      </c>
      <c r="F554" t="s">
        <v>4796</v>
      </c>
      <c r="G554">
        <v>2199</v>
      </c>
      <c r="H554">
        <v>5.0199999999999996</v>
      </c>
      <c r="I554" t="s">
        <v>4736</v>
      </c>
      <c r="J554" t="s">
        <v>5191</v>
      </c>
      <c r="K554" t="s">
        <v>462</v>
      </c>
      <c r="L554">
        <v>5.29</v>
      </c>
      <c r="M554" s="452">
        <v>46120</v>
      </c>
      <c r="N554">
        <v>5.29</v>
      </c>
      <c r="O554">
        <v>5.29</v>
      </c>
      <c r="P554">
        <v>26.56</v>
      </c>
    </row>
    <row r="555" spans="1:16" x14ac:dyDescent="0.3">
      <c r="A555">
        <v>85221</v>
      </c>
      <c r="B555">
        <v>105</v>
      </c>
      <c r="C555" t="s">
        <v>557</v>
      </c>
      <c r="D555" s="452">
        <v>46143</v>
      </c>
      <c r="E555">
        <v>19415</v>
      </c>
      <c r="F555" t="s">
        <v>4919</v>
      </c>
      <c r="G555">
        <v>2759</v>
      </c>
      <c r="H555">
        <v>3</v>
      </c>
      <c r="I555" t="s">
        <v>4736</v>
      </c>
      <c r="J555" t="s">
        <v>5191</v>
      </c>
      <c r="K555" t="s">
        <v>462</v>
      </c>
      <c r="L555">
        <v>8.8000000000000007</v>
      </c>
      <c r="M555" s="452">
        <v>46127</v>
      </c>
      <c r="N555">
        <v>8.8000000000000007</v>
      </c>
      <c r="O555">
        <v>8.8000000000000007</v>
      </c>
      <c r="P555">
        <v>26.4</v>
      </c>
    </row>
    <row r="556" spans="1:16" x14ac:dyDescent="0.3">
      <c r="A556">
        <v>85337</v>
      </c>
      <c r="B556">
        <v>105</v>
      </c>
      <c r="C556" t="s">
        <v>557</v>
      </c>
      <c r="D556" s="452">
        <v>46143</v>
      </c>
      <c r="E556">
        <v>23108</v>
      </c>
      <c r="F556" t="s">
        <v>5117</v>
      </c>
      <c r="G556">
        <v>2739</v>
      </c>
      <c r="H556">
        <v>0.3</v>
      </c>
      <c r="I556" t="s">
        <v>4744</v>
      </c>
      <c r="J556" t="s">
        <v>5191</v>
      </c>
      <c r="K556" t="s">
        <v>462</v>
      </c>
      <c r="L556">
        <v>87</v>
      </c>
      <c r="M556" s="452">
        <v>46125</v>
      </c>
      <c r="N556">
        <v>87</v>
      </c>
      <c r="O556">
        <v>94.5</v>
      </c>
      <c r="P556">
        <v>26.1</v>
      </c>
    </row>
    <row r="557" spans="1:16" x14ac:dyDescent="0.3">
      <c r="A557">
        <v>85182</v>
      </c>
      <c r="B557">
        <v>105</v>
      </c>
      <c r="C557" t="s">
        <v>557</v>
      </c>
      <c r="D557" s="452">
        <v>46143</v>
      </c>
      <c r="E557">
        <v>18317</v>
      </c>
      <c r="F557" t="s">
        <v>5056</v>
      </c>
      <c r="G557">
        <v>3316</v>
      </c>
      <c r="H557">
        <v>0.7</v>
      </c>
      <c r="I557" t="s">
        <v>4805</v>
      </c>
      <c r="J557" t="s">
        <v>5222</v>
      </c>
      <c r="K557" t="s">
        <v>462</v>
      </c>
      <c r="L557">
        <v>0</v>
      </c>
      <c r="N557">
        <v>0</v>
      </c>
      <c r="O557">
        <v>37.25</v>
      </c>
      <c r="P557">
        <v>25.82</v>
      </c>
    </row>
    <row r="558" spans="1:16" x14ac:dyDescent="0.3">
      <c r="A558">
        <v>85234</v>
      </c>
      <c r="B558">
        <v>105</v>
      </c>
      <c r="C558" t="s">
        <v>557</v>
      </c>
      <c r="D558" s="452">
        <v>46143</v>
      </c>
      <c r="E558">
        <v>19506</v>
      </c>
      <c r="F558" t="s">
        <v>5122</v>
      </c>
      <c r="G558">
        <v>2705</v>
      </c>
      <c r="H558">
        <v>0.4</v>
      </c>
      <c r="I558" t="s">
        <v>4744</v>
      </c>
      <c r="J558" t="s">
        <v>5191</v>
      </c>
      <c r="K558" t="s">
        <v>462</v>
      </c>
      <c r="L558">
        <v>64.41</v>
      </c>
      <c r="M558" s="452">
        <v>46135</v>
      </c>
      <c r="N558">
        <v>65</v>
      </c>
      <c r="O558">
        <v>60</v>
      </c>
      <c r="P558">
        <v>25.76</v>
      </c>
    </row>
    <row r="559" spans="1:16" x14ac:dyDescent="0.3">
      <c r="A559">
        <v>85346</v>
      </c>
      <c r="B559">
        <v>105</v>
      </c>
      <c r="C559" t="s">
        <v>557</v>
      </c>
      <c r="D559" s="452">
        <v>46143</v>
      </c>
      <c r="E559">
        <v>23238</v>
      </c>
      <c r="F559" t="s">
        <v>4934</v>
      </c>
      <c r="G559">
        <v>2618</v>
      </c>
      <c r="H559">
        <v>1.1000000000000001</v>
      </c>
      <c r="I559" t="s">
        <v>4744</v>
      </c>
      <c r="J559" t="s">
        <v>5191</v>
      </c>
      <c r="K559" t="s">
        <v>462</v>
      </c>
      <c r="L559">
        <v>23.13</v>
      </c>
      <c r="M559" s="452">
        <v>46125</v>
      </c>
      <c r="N559">
        <v>23.13</v>
      </c>
      <c r="O559">
        <v>19.57</v>
      </c>
      <c r="P559">
        <v>25.44</v>
      </c>
    </row>
    <row r="560" spans="1:16" x14ac:dyDescent="0.3">
      <c r="A560">
        <v>85282</v>
      </c>
      <c r="B560">
        <v>105</v>
      </c>
      <c r="C560" t="s">
        <v>557</v>
      </c>
      <c r="D560" s="452">
        <v>46143</v>
      </c>
      <c r="E560">
        <v>20025</v>
      </c>
      <c r="F560" t="s">
        <v>5010</v>
      </c>
      <c r="G560">
        <v>2339</v>
      </c>
      <c r="H560">
        <v>1.03</v>
      </c>
      <c r="I560" t="s">
        <v>4736</v>
      </c>
      <c r="J560" t="s">
        <v>5191</v>
      </c>
      <c r="K560" t="s">
        <v>462</v>
      </c>
      <c r="L560">
        <v>0</v>
      </c>
      <c r="M560" s="452">
        <v>45989</v>
      </c>
      <c r="N560">
        <v>21.75</v>
      </c>
      <c r="O560">
        <v>25</v>
      </c>
      <c r="P560">
        <v>22.4</v>
      </c>
    </row>
    <row r="561" spans="1:16" x14ac:dyDescent="0.3">
      <c r="A561">
        <v>85359</v>
      </c>
      <c r="B561">
        <v>105</v>
      </c>
      <c r="C561" t="s">
        <v>557</v>
      </c>
      <c r="D561" s="452">
        <v>46143</v>
      </c>
      <c r="E561">
        <v>23503</v>
      </c>
      <c r="F561" t="s">
        <v>5048</v>
      </c>
      <c r="G561">
        <v>2366</v>
      </c>
      <c r="H561">
        <v>0.94</v>
      </c>
      <c r="I561" t="s">
        <v>4744</v>
      </c>
      <c r="J561" t="s">
        <v>5191</v>
      </c>
      <c r="K561" t="s">
        <v>462</v>
      </c>
      <c r="L561">
        <v>0</v>
      </c>
      <c r="M561" s="452">
        <v>46094</v>
      </c>
      <c r="N561">
        <v>23.3</v>
      </c>
      <c r="O561">
        <v>23.3</v>
      </c>
      <c r="P561">
        <v>21.9</v>
      </c>
    </row>
    <row r="562" spans="1:16" x14ac:dyDescent="0.3">
      <c r="A562">
        <v>85231</v>
      </c>
      <c r="B562">
        <v>105</v>
      </c>
      <c r="C562" t="s">
        <v>557</v>
      </c>
      <c r="D562" s="452">
        <v>46143</v>
      </c>
      <c r="E562">
        <v>19492</v>
      </c>
      <c r="F562" t="s">
        <v>4937</v>
      </c>
      <c r="G562">
        <v>2717</v>
      </c>
      <c r="H562">
        <v>1.01</v>
      </c>
      <c r="I562" t="s">
        <v>4744</v>
      </c>
      <c r="J562" t="s">
        <v>5191</v>
      </c>
      <c r="K562" t="s">
        <v>462</v>
      </c>
      <c r="L562">
        <v>21.42</v>
      </c>
      <c r="M562" s="452">
        <v>46127</v>
      </c>
      <c r="N562">
        <v>18.63</v>
      </c>
      <c r="O562">
        <v>19</v>
      </c>
      <c r="P562">
        <v>21.63</v>
      </c>
    </row>
    <row r="563" spans="1:16" x14ac:dyDescent="0.3">
      <c r="A563">
        <v>85265</v>
      </c>
      <c r="B563">
        <v>105</v>
      </c>
      <c r="C563" t="s">
        <v>557</v>
      </c>
      <c r="D563" s="452">
        <v>46143</v>
      </c>
      <c r="E563">
        <v>19742</v>
      </c>
      <c r="F563" t="s">
        <v>4900</v>
      </c>
      <c r="G563">
        <v>2511</v>
      </c>
      <c r="H563">
        <v>2</v>
      </c>
      <c r="I563" t="s">
        <v>4744</v>
      </c>
      <c r="J563" t="s">
        <v>5191</v>
      </c>
      <c r="K563" t="s">
        <v>462</v>
      </c>
      <c r="L563">
        <v>10.79</v>
      </c>
      <c r="M563" s="452">
        <v>46128</v>
      </c>
      <c r="N563">
        <v>11.7</v>
      </c>
      <c r="O563">
        <v>11</v>
      </c>
      <c r="P563">
        <v>21.58</v>
      </c>
    </row>
    <row r="564" spans="1:16" x14ac:dyDescent="0.3">
      <c r="A564">
        <v>85308</v>
      </c>
      <c r="B564">
        <v>105</v>
      </c>
      <c r="C564" t="s">
        <v>557</v>
      </c>
      <c r="D564" s="452">
        <v>46143</v>
      </c>
      <c r="E564">
        <v>20657</v>
      </c>
      <c r="F564" t="s">
        <v>5109</v>
      </c>
      <c r="G564">
        <v>2110</v>
      </c>
      <c r="H564">
        <v>3</v>
      </c>
      <c r="I564" t="s">
        <v>4736</v>
      </c>
      <c r="J564" t="s">
        <v>5191</v>
      </c>
      <c r="K564" t="s">
        <v>462</v>
      </c>
      <c r="L564">
        <v>7.11</v>
      </c>
      <c r="M564" s="452">
        <v>46127</v>
      </c>
      <c r="N564">
        <v>6.9</v>
      </c>
      <c r="O564">
        <v>6.82</v>
      </c>
      <c r="P564">
        <v>21.33</v>
      </c>
    </row>
    <row r="565" spans="1:16" x14ac:dyDescent="0.3">
      <c r="A565">
        <v>85239</v>
      </c>
      <c r="B565">
        <v>105</v>
      </c>
      <c r="C565" t="s">
        <v>557</v>
      </c>
      <c r="D565" s="452">
        <v>46143</v>
      </c>
      <c r="E565">
        <v>19552</v>
      </c>
      <c r="F565" t="s">
        <v>4860</v>
      </c>
      <c r="G565">
        <v>2664</v>
      </c>
      <c r="H565">
        <v>2.35</v>
      </c>
      <c r="I565" t="s">
        <v>4744</v>
      </c>
      <c r="J565" t="s">
        <v>5191</v>
      </c>
      <c r="K565" t="s">
        <v>462</v>
      </c>
      <c r="L565">
        <v>8.5</v>
      </c>
      <c r="M565" s="452">
        <v>46127</v>
      </c>
      <c r="N565">
        <v>8.5</v>
      </c>
      <c r="O565">
        <v>7.2</v>
      </c>
      <c r="P565">
        <v>19.98</v>
      </c>
    </row>
    <row r="566" spans="1:16" x14ac:dyDescent="0.3">
      <c r="A566">
        <v>85397</v>
      </c>
      <c r="B566">
        <v>105</v>
      </c>
      <c r="C566" t="s">
        <v>557</v>
      </c>
      <c r="D566" s="452">
        <v>46143</v>
      </c>
      <c r="E566">
        <v>25055</v>
      </c>
      <c r="F566" t="s">
        <v>5003</v>
      </c>
      <c r="G566">
        <v>2184</v>
      </c>
      <c r="H566">
        <v>1</v>
      </c>
      <c r="I566" t="s">
        <v>4744</v>
      </c>
      <c r="J566" t="s">
        <v>5191</v>
      </c>
      <c r="K566" t="s">
        <v>462</v>
      </c>
      <c r="L566">
        <v>0</v>
      </c>
      <c r="M566" s="452">
        <v>45887</v>
      </c>
      <c r="N566">
        <v>19.8</v>
      </c>
      <c r="O566">
        <v>19.8</v>
      </c>
      <c r="P566">
        <v>19.8</v>
      </c>
    </row>
    <row r="567" spans="1:16" x14ac:dyDescent="0.3">
      <c r="A567">
        <v>85213</v>
      </c>
      <c r="B567">
        <v>105</v>
      </c>
      <c r="C567" t="s">
        <v>557</v>
      </c>
      <c r="D567" s="452">
        <v>46143</v>
      </c>
      <c r="E567">
        <v>19306</v>
      </c>
      <c r="F567" t="s">
        <v>5111</v>
      </c>
      <c r="G567">
        <v>2774</v>
      </c>
      <c r="H567">
        <v>1.1000000000000001</v>
      </c>
      <c r="I567" t="s">
        <v>4738</v>
      </c>
      <c r="J567" t="s">
        <v>5191</v>
      </c>
      <c r="K567" t="s">
        <v>462</v>
      </c>
      <c r="L567">
        <v>17.989999999999998</v>
      </c>
      <c r="M567" s="452">
        <v>46121</v>
      </c>
      <c r="N567">
        <v>17.989999999999998</v>
      </c>
      <c r="O567">
        <v>18.2</v>
      </c>
      <c r="P567">
        <v>19.79</v>
      </c>
    </row>
    <row r="568" spans="1:16" x14ac:dyDescent="0.3">
      <c r="A568">
        <v>85330</v>
      </c>
      <c r="B568">
        <v>105</v>
      </c>
      <c r="C568" t="s">
        <v>557</v>
      </c>
      <c r="D568" s="452">
        <v>46143</v>
      </c>
      <c r="E568">
        <v>21257</v>
      </c>
      <c r="F568" t="s">
        <v>4952</v>
      </c>
      <c r="G568">
        <v>2187</v>
      </c>
      <c r="H568">
        <v>1</v>
      </c>
      <c r="I568" t="s">
        <v>4736</v>
      </c>
      <c r="J568" t="s">
        <v>5191</v>
      </c>
      <c r="K568" t="s">
        <v>462</v>
      </c>
      <c r="L568">
        <v>18.8</v>
      </c>
      <c r="M568" s="452">
        <v>46126</v>
      </c>
      <c r="N568">
        <v>18.8</v>
      </c>
      <c r="O568">
        <v>18.850000000000001</v>
      </c>
      <c r="P568">
        <v>18.8</v>
      </c>
    </row>
    <row r="569" spans="1:16" x14ac:dyDescent="0.3">
      <c r="A569">
        <v>85143</v>
      </c>
      <c r="B569">
        <v>105</v>
      </c>
      <c r="C569" t="s">
        <v>557</v>
      </c>
      <c r="D569" s="452">
        <v>46143</v>
      </c>
      <c r="E569">
        <v>17838</v>
      </c>
      <c r="F569" t="s">
        <v>4925</v>
      </c>
      <c r="G569">
        <v>3712</v>
      </c>
      <c r="H569">
        <v>2</v>
      </c>
      <c r="I569" t="s">
        <v>4749</v>
      </c>
      <c r="J569" t="s">
        <v>5222</v>
      </c>
      <c r="K569" t="s">
        <v>462</v>
      </c>
      <c r="L569">
        <v>0</v>
      </c>
      <c r="M569" s="452">
        <v>46092</v>
      </c>
      <c r="N569">
        <v>9.1999999999999993</v>
      </c>
      <c r="O569">
        <v>8.9499999999999993</v>
      </c>
      <c r="P569">
        <v>18.399999999999999</v>
      </c>
    </row>
    <row r="570" spans="1:16" x14ac:dyDescent="0.3">
      <c r="A570">
        <v>85258</v>
      </c>
      <c r="B570">
        <v>105</v>
      </c>
      <c r="C570" t="s">
        <v>557</v>
      </c>
      <c r="D570" s="452">
        <v>46143</v>
      </c>
      <c r="E570">
        <v>19654</v>
      </c>
      <c r="F570" t="s">
        <v>5099</v>
      </c>
      <c r="G570">
        <v>2586</v>
      </c>
      <c r="H570">
        <v>3.15</v>
      </c>
      <c r="I570" t="s">
        <v>4744</v>
      </c>
      <c r="J570" t="s">
        <v>5191</v>
      </c>
      <c r="K570" t="s">
        <v>462</v>
      </c>
      <c r="L570">
        <v>5.82</v>
      </c>
      <c r="M570" s="452">
        <v>46127</v>
      </c>
      <c r="N570">
        <v>6.89</v>
      </c>
      <c r="O570">
        <v>3.51</v>
      </c>
      <c r="P570">
        <v>18.329999999999998</v>
      </c>
    </row>
    <row r="571" spans="1:16" x14ac:dyDescent="0.3">
      <c r="A571">
        <v>85367</v>
      </c>
      <c r="B571">
        <v>105</v>
      </c>
      <c r="C571" t="s">
        <v>557</v>
      </c>
      <c r="D571" s="452">
        <v>46143</v>
      </c>
      <c r="E571">
        <v>23819</v>
      </c>
      <c r="F571" t="s">
        <v>4947</v>
      </c>
      <c r="G571">
        <v>2083</v>
      </c>
      <c r="H571">
        <v>2</v>
      </c>
      <c r="I571" t="s">
        <v>4736</v>
      </c>
      <c r="J571" t="s">
        <v>5191</v>
      </c>
      <c r="K571" t="s">
        <v>462</v>
      </c>
      <c r="L571">
        <v>9.16</v>
      </c>
      <c r="M571" s="452">
        <v>46119</v>
      </c>
      <c r="N571">
        <v>9.16</v>
      </c>
      <c r="O571">
        <v>9.16</v>
      </c>
      <c r="P571">
        <v>18.32</v>
      </c>
    </row>
    <row r="572" spans="1:16" x14ac:dyDescent="0.3">
      <c r="A572">
        <v>85398</v>
      </c>
      <c r="B572">
        <v>105</v>
      </c>
      <c r="C572" t="s">
        <v>557</v>
      </c>
      <c r="D572" s="452">
        <v>46143</v>
      </c>
      <c r="E572">
        <v>25075</v>
      </c>
      <c r="F572" t="s">
        <v>4790</v>
      </c>
      <c r="G572">
        <v>5883</v>
      </c>
      <c r="H572">
        <v>2</v>
      </c>
      <c r="I572" t="s">
        <v>4738</v>
      </c>
      <c r="J572" t="s">
        <v>5191</v>
      </c>
      <c r="K572" t="s">
        <v>462</v>
      </c>
      <c r="L572">
        <v>8.48</v>
      </c>
      <c r="M572" s="452">
        <v>46120</v>
      </c>
      <c r="N572">
        <v>8.48</v>
      </c>
      <c r="O572">
        <v>16</v>
      </c>
      <c r="P572">
        <v>16.96</v>
      </c>
    </row>
    <row r="573" spans="1:16" x14ac:dyDescent="0.3">
      <c r="A573">
        <v>85246</v>
      </c>
      <c r="B573">
        <v>105</v>
      </c>
      <c r="C573" t="s">
        <v>557</v>
      </c>
      <c r="D573" s="452">
        <v>46143</v>
      </c>
      <c r="E573">
        <v>19607</v>
      </c>
      <c r="F573" t="s">
        <v>4981</v>
      </c>
      <c r="G573">
        <v>2623</v>
      </c>
      <c r="H573">
        <v>1.3</v>
      </c>
      <c r="I573" t="s">
        <v>4744</v>
      </c>
      <c r="J573" t="s">
        <v>5191</v>
      </c>
      <c r="K573" t="s">
        <v>462</v>
      </c>
      <c r="L573">
        <v>13</v>
      </c>
      <c r="M573" s="452">
        <v>46114</v>
      </c>
      <c r="N573">
        <v>13</v>
      </c>
      <c r="O573">
        <v>11.53</v>
      </c>
      <c r="P573">
        <v>16.899999999999999</v>
      </c>
    </row>
    <row r="574" spans="1:16" x14ac:dyDescent="0.3">
      <c r="A574">
        <v>85309</v>
      </c>
      <c r="B574">
        <v>105</v>
      </c>
      <c r="C574" t="s">
        <v>557</v>
      </c>
      <c r="D574" s="452">
        <v>46143</v>
      </c>
      <c r="E574">
        <v>20661</v>
      </c>
      <c r="F574" t="s">
        <v>5012</v>
      </c>
      <c r="G574">
        <v>2110</v>
      </c>
      <c r="H574">
        <v>2</v>
      </c>
      <c r="I574" t="s">
        <v>4736</v>
      </c>
      <c r="J574" t="s">
        <v>5191</v>
      </c>
      <c r="K574" t="s">
        <v>462</v>
      </c>
      <c r="L574">
        <v>8.39</v>
      </c>
      <c r="M574" s="452">
        <v>46120</v>
      </c>
      <c r="N574">
        <v>8.39</v>
      </c>
      <c r="O574">
        <v>8.8800000000000008</v>
      </c>
      <c r="P574">
        <v>16.78</v>
      </c>
    </row>
    <row r="575" spans="1:16" x14ac:dyDescent="0.3">
      <c r="A575">
        <v>85228</v>
      </c>
      <c r="B575">
        <v>105</v>
      </c>
      <c r="C575" t="s">
        <v>557</v>
      </c>
      <c r="D575" s="452">
        <v>46143</v>
      </c>
      <c r="E575">
        <v>19480</v>
      </c>
      <c r="F575" t="s">
        <v>5119</v>
      </c>
      <c r="G575">
        <v>2726</v>
      </c>
      <c r="H575">
        <v>0.99</v>
      </c>
      <c r="I575" t="s">
        <v>4744</v>
      </c>
      <c r="J575" t="s">
        <v>5191</v>
      </c>
      <c r="K575" t="s">
        <v>462</v>
      </c>
      <c r="L575">
        <v>16.72</v>
      </c>
      <c r="M575" s="452">
        <v>46127</v>
      </c>
      <c r="N575">
        <v>16</v>
      </c>
      <c r="O575">
        <v>17</v>
      </c>
      <c r="P575">
        <v>16.55</v>
      </c>
    </row>
    <row r="576" spans="1:16" x14ac:dyDescent="0.3">
      <c r="A576">
        <v>85363</v>
      </c>
      <c r="B576">
        <v>105</v>
      </c>
      <c r="C576" t="s">
        <v>557</v>
      </c>
      <c r="D576" s="452">
        <v>46143</v>
      </c>
      <c r="E576">
        <v>23635</v>
      </c>
      <c r="F576" t="s">
        <v>4837</v>
      </c>
      <c r="G576">
        <v>2247</v>
      </c>
      <c r="H576">
        <v>1.8</v>
      </c>
      <c r="I576" t="s">
        <v>4744</v>
      </c>
      <c r="J576" t="s">
        <v>5191</v>
      </c>
      <c r="K576" t="s">
        <v>462</v>
      </c>
      <c r="L576">
        <v>0</v>
      </c>
      <c r="M576" s="452">
        <v>45845</v>
      </c>
      <c r="N576">
        <v>8.7100000000000009</v>
      </c>
      <c r="O576">
        <v>16.8</v>
      </c>
      <c r="P576">
        <v>15.68</v>
      </c>
    </row>
    <row r="577" spans="1:16" x14ac:dyDescent="0.3">
      <c r="A577">
        <v>85241</v>
      </c>
      <c r="B577">
        <v>105</v>
      </c>
      <c r="C577" t="s">
        <v>557</v>
      </c>
      <c r="D577" s="452">
        <v>46143</v>
      </c>
      <c r="E577">
        <v>19558</v>
      </c>
      <c r="F577" t="s">
        <v>4994</v>
      </c>
      <c r="G577">
        <v>2659</v>
      </c>
      <c r="H577">
        <v>1</v>
      </c>
      <c r="I577" t="s">
        <v>4744</v>
      </c>
      <c r="J577" t="s">
        <v>5191</v>
      </c>
      <c r="K577" t="s">
        <v>462</v>
      </c>
      <c r="L577">
        <v>15.5</v>
      </c>
      <c r="M577" s="452">
        <v>46125</v>
      </c>
      <c r="N577">
        <v>16</v>
      </c>
      <c r="O577">
        <v>13.8</v>
      </c>
      <c r="P577">
        <v>15.5</v>
      </c>
    </row>
    <row r="578" spans="1:16" x14ac:dyDescent="0.3">
      <c r="A578">
        <v>85230</v>
      </c>
      <c r="B578">
        <v>105</v>
      </c>
      <c r="C578" t="s">
        <v>557</v>
      </c>
      <c r="D578" s="452">
        <v>46143</v>
      </c>
      <c r="E578">
        <v>19490</v>
      </c>
      <c r="F578" t="s">
        <v>5116</v>
      </c>
      <c r="G578">
        <v>2718</v>
      </c>
      <c r="H578">
        <v>0.25</v>
      </c>
      <c r="I578" t="s">
        <v>4744</v>
      </c>
      <c r="J578" t="s">
        <v>5191</v>
      </c>
      <c r="K578" t="s">
        <v>462</v>
      </c>
      <c r="L578">
        <v>59.63</v>
      </c>
      <c r="M578" s="452">
        <v>46127</v>
      </c>
      <c r="N578">
        <v>58.5</v>
      </c>
      <c r="O578">
        <v>59.4</v>
      </c>
      <c r="P578">
        <v>14.91</v>
      </c>
    </row>
    <row r="579" spans="1:16" x14ac:dyDescent="0.3">
      <c r="A579">
        <v>85320</v>
      </c>
      <c r="B579">
        <v>105</v>
      </c>
      <c r="C579" t="s">
        <v>557</v>
      </c>
      <c r="D579" s="452">
        <v>46143</v>
      </c>
      <c r="E579">
        <v>21005</v>
      </c>
      <c r="F579" t="s">
        <v>5161</v>
      </c>
      <c r="G579">
        <v>2007</v>
      </c>
      <c r="H579">
        <v>0.45</v>
      </c>
      <c r="I579" t="s">
        <v>4888</v>
      </c>
      <c r="J579" t="s">
        <v>5191</v>
      </c>
      <c r="K579" t="s">
        <v>462</v>
      </c>
      <c r="L579">
        <v>0</v>
      </c>
      <c r="M579" s="452">
        <v>45831</v>
      </c>
      <c r="N579">
        <v>32.9</v>
      </c>
      <c r="O579">
        <v>95.7</v>
      </c>
      <c r="P579">
        <v>14.8</v>
      </c>
    </row>
    <row r="580" spans="1:16" x14ac:dyDescent="0.3">
      <c r="A580">
        <v>85349</v>
      </c>
      <c r="B580">
        <v>105</v>
      </c>
      <c r="C580" t="s">
        <v>557</v>
      </c>
      <c r="D580" s="452">
        <v>46143</v>
      </c>
      <c r="E580">
        <v>23346</v>
      </c>
      <c r="F580" t="s">
        <v>4916</v>
      </c>
      <c r="G580">
        <v>2512</v>
      </c>
      <c r="H580">
        <v>1.95</v>
      </c>
      <c r="I580" t="s">
        <v>4744</v>
      </c>
      <c r="J580" t="s">
        <v>5191</v>
      </c>
      <c r="K580" t="s">
        <v>462</v>
      </c>
      <c r="L580">
        <v>7.52</v>
      </c>
      <c r="M580" s="452">
        <v>46127</v>
      </c>
      <c r="N580">
        <v>6.53</v>
      </c>
      <c r="O580">
        <v>7.1</v>
      </c>
      <c r="P580">
        <v>14.66</v>
      </c>
    </row>
    <row r="581" spans="1:16" x14ac:dyDescent="0.3">
      <c r="A581">
        <v>85255</v>
      </c>
      <c r="B581">
        <v>105</v>
      </c>
      <c r="C581" t="s">
        <v>557</v>
      </c>
      <c r="D581" s="452">
        <v>46143</v>
      </c>
      <c r="E581">
        <v>19647</v>
      </c>
      <c r="F581" t="s">
        <v>5050</v>
      </c>
      <c r="G581">
        <v>2591</v>
      </c>
      <c r="H581">
        <v>0.81</v>
      </c>
      <c r="I581" t="s">
        <v>4744</v>
      </c>
      <c r="J581" t="s">
        <v>5191</v>
      </c>
      <c r="K581" t="s">
        <v>462</v>
      </c>
      <c r="L581">
        <v>0</v>
      </c>
      <c r="M581" s="452">
        <v>46104</v>
      </c>
      <c r="N581">
        <v>16</v>
      </c>
      <c r="O581">
        <v>15</v>
      </c>
      <c r="P581">
        <v>12.96</v>
      </c>
    </row>
    <row r="582" spans="1:16" x14ac:dyDescent="0.3">
      <c r="A582">
        <v>85362</v>
      </c>
      <c r="B582">
        <v>105</v>
      </c>
      <c r="C582" t="s">
        <v>557</v>
      </c>
      <c r="D582" s="452">
        <v>46143</v>
      </c>
      <c r="E582">
        <v>23554</v>
      </c>
      <c r="F582" t="s">
        <v>4931</v>
      </c>
      <c r="G582">
        <v>2316</v>
      </c>
      <c r="H582">
        <v>1.48</v>
      </c>
      <c r="I582" t="s">
        <v>4744</v>
      </c>
      <c r="J582" t="s">
        <v>5191</v>
      </c>
      <c r="K582" t="s">
        <v>462</v>
      </c>
      <c r="L582">
        <v>0</v>
      </c>
      <c r="M582" s="452">
        <v>45887</v>
      </c>
      <c r="N582">
        <v>8.5</v>
      </c>
      <c r="O582">
        <v>8.5</v>
      </c>
      <c r="P582">
        <v>12.58</v>
      </c>
    </row>
    <row r="583" spans="1:16" x14ac:dyDescent="0.3">
      <c r="A583">
        <v>85247</v>
      </c>
      <c r="B583">
        <v>105</v>
      </c>
      <c r="C583" t="s">
        <v>557</v>
      </c>
      <c r="D583" s="452">
        <v>46143</v>
      </c>
      <c r="E583">
        <v>19617</v>
      </c>
      <c r="F583" t="s">
        <v>5071</v>
      </c>
      <c r="G583">
        <v>2617</v>
      </c>
      <c r="H583">
        <v>0.8</v>
      </c>
      <c r="I583" t="s">
        <v>4744</v>
      </c>
      <c r="J583" t="s">
        <v>5191</v>
      </c>
      <c r="K583" t="s">
        <v>462</v>
      </c>
      <c r="L583">
        <v>15.63</v>
      </c>
      <c r="M583" s="452">
        <v>46135</v>
      </c>
      <c r="N583">
        <v>27</v>
      </c>
      <c r="O583">
        <v>28</v>
      </c>
      <c r="P583">
        <v>12.5</v>
      </c>
    </row>
    <row r="584" spans="1:16" x14ac:dyDescent="0.3">
      <c r="A584">
        <v>85356</v>
      </c>
      <c r="B584">
        <v>105</v>
      </c>
      <c r="C584" t="s">
        <v>557</v>
      </c>
      <c r="D584" s="452">
        <v>46143</v>
      </c>
      <c r="E584">
        <v>23390</v>
      </c>
      <c r="F584" t="s">
        <v>4873</v>
      </c>
      <c r="G584">
        <v>2474</v>
      </c>
      <c r="H584">
        <v>1.4</v>
      </c>
      <c r="I584" t="s">
        <v>4744</v>
      </c>
      <c r="J584" t="s">
        <v>5191</v>
      </c>
      <c r="K584" t="s">
        <v>462</v>
      </c>
      <c r="L584">
        <v>8.83</v>
      </c>
      <c r="M584" s="452">
        <v>46125</v>
      </c>
      <c r="N584">
        <v>9</v>
      </c>
      <c r="O584">
        <v>8</v>
      </c>
      <c r="P584">
        <v>12.36</v>
      </c>
    </row>
    <row r="585" spans="1:16" x14ac:dyDescent="0.3">
      <c r="A585">
        <v>85339</v>
      </c>
      <c r="B585">
        <v>105</v>
      </c>
      <c r="C585" t="s">
        <v>557</v>
      </c>
      <c r="D585" s="452">
        <v>46143</v>
      </c>
      <c r="E585">
        <v>23124</v>
      </c>
      <c r="F585" t="s">
        <v>5126</v>
      </c>
      <c r="G585">
        <v>2727</v>
      </c>
      <c r="H585">
        <v>0.25</v>
      </c>
      <c r="I585" t="s">
        <v>4744</v>
      </c>
      <c r="J585" t="s">
        <v>5191</v>
      </c>
      <c r="K585" t="s">
        <v>462</v>
      </c>
      <c r="L585">
        <v>0</v>
      </c>
      <c r="M585" s="452">
        <v>45925</v>
      </c>
      <c r="N585">
        <v>49</v>
      </c>
      <c r="O585">
        <v>62.5</v>
      </c>
      <c r="P585">
        <v>12.25</v>
      </c>
    </row>
    <row r="586" spans="1:16" x14ac:dyDescent="0.3">
      <c r="A586">
        <v>85399</v>
      </c>
      <c r="B586">
        <v>105</v>
      </c>
      <c r="C586" t="s">
        <v>557</v>
      </c>
      <c r="D586" s="452">
        <v>46143</v>
      </c>
      <c r="E586">
        <v>25079</v>
      </c>
      <c r="F586" t="s">
        <v>5006</v>
      </c>
      <c r="G586">
        <v>2239</v>
      </c>
      <c r="H586">
        <v>1.34</v>
      </c>
      <c r="I586" t="s">
        <v>4738</v>
      </c>
      <c r="J586" t="s">
        <v>5191</v>
      </c>
      <c r="K586" t="s">
        <v>462</v>
      </c>
      <c r="L586">
        <v>0</v>
      </c>
      <c r="N586">
        <v>0</v>
      </c>
      <c r="O586">
        <v>8.9499999999999993</v>
      </c>
      <c r="P586">
        <v>12.06</v>
      </c>
    </row>
    <row r="587" spans="1:16" x14ac:dyDescent="0.3">
      <c r="A587">
        <v>85288</v>
      </c>
      <c r="B587">
        <v>105</v>
      </c>
      <c r="C587" t="s">
        <v>557</v>
      </c>
      <c r="D587" s="452">
        <v>46143</v>
      </c>
      <c r="E587">
        <v>20186</v>
      </c>
      <c r="F587" t="s">
        <v>5061</v>
      </c>
      <c r="G587">
        <v>2259</v>
      </c>
      <c r="H587">
        <v>0.5</v>
      </c>
      <c r="I587" t="s">
        <v>4744</v>
      </c>
      <c r="J587" t="s">
        <v>5191</v>
      </c>
      <c r="K587" t="s">
        <v>462</v>
      </c>
      <c r="L587">
        <v>0</v>
      </c>
      <c r="M587" s="452">
        <v>45926</v>
      </c>
      <c r="N587">
        <v>24</v>
      </c>
      <c r="O587">
        <v>55</v>
      </c>
      <c r="P587">
        <v>12</v>
      </c>
    </row>
    <row r="588" spans="1:16" x14ac:dyDescent="0.3">
      <c r="A588">
        <v>85276</v>
      </c>
      <c r="B588">
        <v>105</v>
      </c>
      <c r="C588" t="s">
        <v>557</v>
      </c>
      <c r="D588" s="452">
        <v>46143</v>
      </c>
      <c r="E588">
        <v>19939</v>
      </c>
      <c r="F588" t="s">
        <v>5057</v>
      </c>
      <c r="G588">
        <v>2365</v>
      </c>
      <c r="H588">
        <v>0.5</v>
      </c>
      <c r="I588" t="s">
        <v>4744</v>
      </c>
      <c r="J588" t="s">
        <v>5191</v>
      </c>
      <c r="K588" t="s">
        <v>462</v>
      </c>
      <c r="L588">
        <v>0</v>
      </c>
      <c r="N588">
        <v>0</v>
      </c>
      <c r="O588">
        <v>97.2</v>
      </c>
      <c r="P588">
        <v>11</v>
      </c>
    </row>
    <row r="589" spans="1:16" x14ac:dyDescent="0.3">
      <c r="A589">
        <v>85261</v>
      </c>
      <c r="B589">
        <v>105</v>
      </c>
      <c r="C589" t="s">
        <v>557</v>
      </c>
      <c r="D589" s="452">
        <v>46143</v>
      </c>
      <c r="E589">
        <v>19728</v>
      </c>
      <c r="F589" t="s">
        <v>5106</v>
      </c>
      <c r="G589">
        <v>2525</v>
      </c>
      <c r="H589">
        <v>0.89</v>
      </c>
      <c r="I589" t="s">
        <v>4744</v>
      </c>
      <c r="J589" t="s">
        <v>5191</v>
      </c>
      <c r="K589" t="s">
        <v>462</v>
      </c>
      <c r="L589">
        <v>12.26</v>
      </c>
      <c r="M589" s="452">
        <v>46125</v>
      </c>
      <c r="N589">
        <v>13</v>
      </c>
      <c r="O589">
        <v>11.82</v>
      </c>
      <c r="P589">
        <v>10.91</v>
      </c>
    </row>
    <row r="590" spans="1:16" x14ac:dyDescent="0.3">
      <c r="A590">
        <v>85428</v>
      </c>
      <c r="B590">
        <v>105</v>
      </c>
      <c r="C590" t="s">
        <v>557</v>
      </c>
      <c r="D590" s="452">
        <v>46143</v>
      </c>
      <c r="E590">
        <v>26103</v>
      </c>
      <c r="F590" t="s">
        <v>4776</v>
      </c>
      <c r="G590">
        <v>9072</v>
      </c>
      <c r="H590">
        <v>0.9</v>
      </c>
      <c r="I590" t="s">
        <v>4749</v>
      </c>
      <c r="J590" t="s">
        <v>5191</v>
      </c>
      <c r="K590" t="s">
        <v>462</v>
      </c>
      <c r="L590">
        <v>11.01</v>
      </c>
      <c r="M590" s="452">
        <v>46113</v>
      </c>
      <c r="N590">
        <v>11.01</v>
      </c>
      <c r="O590">
        <v>11.01</v>
      </c>
      <c r="P590">
        <v>9.91</v>
      </c>
    </row>
    <row r="591" spans="1:16" x14ac:dyDescent="0.3">
      <c r="A591">
        <v>85345</v>
      </c>
      <c r="B591">
        <v>105</v>
      </c>
      <c r="C591" t="s">
        <v>557</v>
      </c>
      <c r="D591" s="452">
        <v>46143</v>
      </c>
      <c r="E591">
        <v>23236</v>
      </c>
      <c r="F591" t="s">
        <v>5062</v>
      </c>
      <c r="G591">
        <v>2620</v>
      </c>
      <c r="H591">
        <v>0.95</v>
      </c>
      <c r="I591" t="s">
        <v>4744</v>
      </c>
      <c r="J591" t="s">
        <v>5191</v>
      </c>
      <c r="K591" t="s">
        <v>462</v>
      </c>
      <c r="L591">
        <v>10.33</v>
      </c>
      <c r="M591" s="452">
        <v>46128</v>
      </c>
      <c r="N591">
        <v>8.5</v>
      </c>
      <c r="O591">
        <v>9.39</v>
      </c>
      <c r="P591">
        <v>9.81</v>
      </c>
    </row>
    <row r="592" spans="1:16" x14ac:dyDescent="0.3">
      <c r="A592">
        <v>85278</v>
      </c>
      <c r="B592">
        <v>105</v>
      </c>
      <c r="C592" t="s">
        <v>557</v>
      </c>
      <c r="D592" s="452">
        <v>46143</v>
      </c>
      <c r="E592">
        <v>19969</v>
      </c>
      <c r="F592" t="s">
        <v>5018</v>
      </c>
      <c r="G592">
        <v>2354</v>
      </c>
      <c r="H592">
        <v>1</v>
      </c>
      <c r="I592" t="s">
        <v>4888</v>
      </c>
      <c r="J592" t="s">
        <v>5191</v>
      </c>
      <c r="K592" t="s">
        <v>462</v>
      </c>
      <c r="L592">
        <v>0</v>
      </c>
      <c r="M592" s="452">
        <v>46109</v>
      </c>
      <c r="N592">
        <v>9.7899999999999991</v>
      </c>
      <c r="O592">
        <v>17</v>
      </c>
      <c r="P592">
        <v>9.7899999999999991</v>
      </c>
    </row>
    <row r="593" spans="1:16" x14ac:dyDescent="0.3">
      <c r="A593">
        <v>85303</v>
      </c>
      <c r="B593">
        <v>105</v>
      </c>
      <c r="C593" t="s">
        <v>557</v>
      </c>
      <c r="D593" s="452">
        <v>46143</v>
      </c>
      <c r="E593">
        <v>20614</v>
      </c>
      <c r="F593" t="s">
        <v>4958</v>
      </c>
      <c r="G593">
        <v>2119</v>
      </c>
      <c r="H593">
        <v>0.32</v>
      </c>
      <c r="I593" t="s">
        <v>4736</v>
      </c>
      <c r="J593" t="s">
        <v>5191</v>
      </c>
      <c r="K593" t="s">
        <v>462</v>
      </c>
      <c r="L593">
        <v>0</v>
      </c>
      <c r="M593" s="452">
        <v>45852</v>
      </c>
      <c r="N593">
        <v>29.9</v>
      </c>
      <c r="O593">
        <v>32.43</v>
      </c>
      <c r="P593">
        <v>9.57</v>
      </c>
    </row>
    <row r="594" spans="1:16" x14ac:dyDescent="0.3">
      <c r="A594">
        <v>85139</v>
      </c>
      <c r="B594">
        <v>105</v>
      </c>
      <c r="C594" t="s">
        <v>557</v>
      </c>
      <c r="D594" s="452">
        <v>46143</v>
      </c>
      <c r="E594">
        <v>17092</v>
      </c>
      <c r="F594" t="s">
        <v>5146</v>
      </c>
      <c r="G594">
        <v>4165</v>
      </c>
      <c r="H594">
        <v>4</v>
      </c>
      <c r="I594" t="s">
        <v>4736</v>
      </c>
      <c r="J594" t="s">
        <v>5222</v>
      </c>
      <c r="K594" t="s">
        <v>462</v>
      </c>
      <c r="L594">
        <v>0</v>
      </c>
      <c r="M594" s="452">
        <v>46106</v>
      </c>
      <c r="N594">
        <v>2.16</v>
      </c>
      <c r="O594">
        <v>5.0999999999999996</v>
      </c>
      <c r="P594">
        <v>8.64</v>
      </c>
    </row>
    <row r="595" spans="1:16" x14ac:dyDescent="0.3">
      <c r="A595">
        <v>85229</v>
      </c>
      <c r="B595">
        <v>105</v>
      </c>
      <c r="C595" t="s">
        <v>557</v>
      </c>
      <c r="D595" s="452">
        <v>46143</v>
      </c>
      <c r="E595">
        <v>19488</v>
      </c>
      <c r="F595" t="s">
        <v>5107</v>
      </c>
      <c r="G595">
        <v>2720</v>
      </c>
      <c r="H595">
        <v>0.6</v>
      </c>
      <c r="I595" t="s">
        <v>4744</v>
      </c>
      <c r="J595" t="s">
        <v>5191</v>
      </c>
      <c r="K595" t="s">
        <v>462</v>
      </c>
      <c r="L595">
        <v>14.25</v>
      </c>
      <c r="M595" s="452">
        <v>46120</v>
      </c>
      <c r="N595">
        <v>14.5</v>
      </c>
      <c r="O595">
        <v>14</v>
      </c>
      <c r="P595">
        <v>8.5500000000000007</v>
      </c>
    </row>
    <row r="596" spans="1:16" x14ac:dyDescent="0.3">
      <c r="A596">
        <v>85249</v>
      </c>
      <c r="B596">
        <v>105</v>
      </c>
      <c r="C596" t="s">
        <v>557</v>
      </c>
      <c r="D596" s="452">
        <v>46143</v>
      </c>
      <c r="E596">
        <v>19622</v>
      </c>
      <c r="F596" t="s">
        <v>4915</v>
      </c>
      <c r="G596">
        <v>2612</v>
      </c>
      <c r="H596">
        <v>1.55</v>
      </c>
      <c r="I596" t="s">
        <v>4744</v>
      </c>
      <c r="J596" t="s">
        <v>5191</v>
      </c>
      <c r="K596" t="s">
        <v>462</v>
      </c>
      <c r="L596">
        <v>5.5</v>
      </c>
      <c r="M596" s="452">
        <v>46135</v>
      </c>
      <c r="N596">
        <v>4.5</v>
      </c>
      <c r="O596">
        <v>4.5</v>
      </c>
      <c r="P596">
        <v>8.52</v>
      </c>
    </row>
    <row r="597" spans="1:16" x14ac:dyDescent="0.3">
      <c r="A597">
        <v>85254</v>
      </c>
      <c r="B597">
        <v>105</v>
      </c>
      <c r="C597" t="s">
        <v>557</v>
      </c>
      <c r="D597" s="452">
        <v>46143</v>
      </c>
      <c r="E597">
        <v>19642</v>
      </c>
      <c r="F597" t="s">
        <v>4996</v>
      </c>
      <c r="G597">
        <v>2596</v>
      </c>
      <c r="H597">
        <v>1.38</v>
      </c>
      <c r="I597" t="s">
        <v>4744</v>
      </c>
      <c r="J597" t="s">
        <v>5191</v>
      </c>
      <c r="K597" t="s">
        <v>462</v>
      </c>
      <c r="L597">
        <v>5.8</v>
      </c>
      <c r="M597" s="452">
        <v>46135</v>
      </c>
      <c r="N597">
        <v>5.58</v>
      </c>
      <c r="O597">
        <v>5.58</v>
      </c>
      <c r="P597">
        <v>8</v>
      </c>
    </row>
    <row r="598" spans="1:16" x14ac:dyDescent="0.3">
      <c r="A598">
        <v>85306</v>
      </c>
      <c r="B598">
        <v>105</v>
      </c>
      <c r="C598" t="s">
        <v>557</v>
      </c>
      <c r="D598" s="452">
        <v>46143</v>
      </c>
      <c r="E598">
        <v>20644</v>
      </c>
      <c r="F598" t="s">
        <v>5016</v>
      </c>
      <c r="G598">
        <v>2113</v>
      </c>
      <c r="H598">
        <v>2</v>
      </c>
      <c r="I598" t="s">
        <v>4955</v>
      </c>
      <c r="J598" t="s">
        <v>5191</v>
      </c>
      <c r="K598" t="s">
        <v>462</v>
      </c>
      <c r="L598">
        <v>3.89</v>
      </c>
      <c r="M598" s="452">
        <v>46126</v>
      </c>
      <c r="N598">
        <v>3.89</v>
      </c>
      <c r="O598">
        <v>3.9</v>
      </c>
      <c r="P598">
        <v>7.78</v>
      </c>
    </row>
    <row r="599" spans="1:16" x14ac:dyDescent="0.3">
      <c r="A599">
        <v>85409</v>
      </c>
      <c r="B599">
        <v>105</v>
      </c>
      <c r="C599" t="s">
        <v>557</v>
      </c>
      <c r="D599" s="452">
        <v>46143</v>
      </c>
      <c r="E599">
        <v>25752</v>
      </c>
      <c r="F599" t="s">
        <v>5000</v>
      </c>
      <c r="G599">
        <v>6303</v>
      </c>
      <c r="H599">
        <v>1.1399999999999999</v>
      </c>
      <c r="I599" t="s">
        <v>4749</v>
      </c>
      <c r="J599" t="s">
        <v>5191</v>
      </c>
      <c r="K599" t="s">
        <v>462</v>
      </c>
      <c r="L599">
        <v>0</v>
      </c>
      <c r="M599" s="452">
        <v>45995</v>
      </c>
      <c r="N599">
        <v>6.61</v>
      </c>
      <c r="O599">
        <v>6.61</v>
      </c>
      <c r="P599">
        <v>7.54</v>
      </c>
    </row>
    <row r="600" spans="1:16" x14ac:dyDescent="0.3">
      <c r="A600">
        <v>85211</v>
      </c>
      <c r="B600">
        <v>105</v>
      </c>
      <c r="C600" t="s">
        <v>557</v>
      </c>
      <c r="D600" s="452">
        <v>46143</v>
      </c>
      <c r="E600">
        <v>19241</v>
      </c>
      <c r="F600" t="s">
        <v>4890</v>
      </c>
      <c r="G600">
        <v>2785</v>
      </c>
      <c r="H600">
        <v>2</v>
      </c>
      <c r="I600" t="s">
        <v>4736</v>
      </c>
      <c r="J600" t="s">
        <v>5191</v>
      </c>
      <c r="K600" t="s">
        <v>462</v>
      </c>
      <c r="L600">
        <v>3.7</v>
      </c>
      <c r="M600" s="452">
        <v>46127</v>
      </c>
      <c r="N600">
        <v>3.7</v>
      </c>
      <c r="O600">
        <v>3.7</v>
      </c>
      <c r="P600">
        <v>7.4</v>
      </c>
    </row>
    <row r="601" spans="1:16" x14ac:dyDescent="0.3">
      <c r="A601">
        <v>85280</v>
      </c>
      <c r="B601">
        <v>105</v>
      </c>
      <c r="C601" t="s">
        <v>557</v>
      </c>
      <c r="D601" s="452">
        <v>46143</v>
      </c>
      <c r="E601">
        <v>19982</v>
      </c>
      <c r="F601" t="s">
        <v>5017</v>
      </c>
      <c r="G601">
        <v>2351</v>
      </c>
      <c r="H601">
        <v>1</v>
      </c>
      <c r="I601" t="s">
        <v>4888</v>
      </c>
      <c r="J601" t="s">
        <v>5191</v>
      </c>
      <c r="K601" t="s">
        <v>462</v>
      </c>
      <c r="L601">
        <v>7.29</v>
      </c>
      <c r="M601" s="452">
        <v>46135</v>
      </c>
      <c r="N601">
        <v>7.29</v>
      </c>
      <c r="O601">
        <v>7.29</v>
      </c>
      <c r="P601">
        <v>7.29</v>
      </c>
    </row>
    <row r="602" spans="1:16" x14ac:dyDescent="0.3">
      <c r="A602">
        <v>85170</v>
      </c>
      <c r="B602">
        <v>105</v>
      </c>
      <c r="C602" t="s">
        <v>557</v>
      </c>
      <c r="D602" s="452">
        <v>46143</v>
      </c>
      <c r="E602">
        <v>18212</v>
      </c>
      <c r="F602" t="s">
        <v>5040</v>
      </c>
      <c r="G602">
        <v>3415</v>
      </c>
      <c r="H602">
        <v>0.19</v>
      </c>
      <c r="I602" t="s">
        <v>4805</v>
      </c>
      <c r="J602" t="s">
        <v>5222</v>
      </c>
      <c r="K602" t="s">
        <v>462</v>
      </c>
      <c r="L602">
        <v>0</v>
      </c>
      <c r="N602">
        <v>0</v>
      </c>
      <c r="O602">
        <v>35.51</v>
      </c>
      <c r="P602">
        <v>7.23</v>
      </c>
    </row>
    <row r="603" spans="1:16" x14ac:dyDescent="0.3">
      <c r="A603">
        <v>85412</v>
      </c>
      <c r="B603">
        <v>105</v>
      </c>
      <c r="C603" t="s">
        <v>557</v>
      </c>
      <c r="D603" s="452">
        <v>46143</v>
      </c>
      <c r="E603">
        <v>25755</v>
      </c>
      <c r="F603" t="s">
        <v>4821</v>
      </c>
      <c r="G603">
        <v>9071</v>
      </c>
      <c r="H603">
        <v>0.88</v>
      </c>
      <c r="I603" t="s">
        <v>4749</v>
      </c>
      <c r="J603" t="s">
        <v>5191</v>
      </c>
      <c r="K603" t="s">
        <v>462</v>
      </c>
      <c r="L603">
        <v>7.65</v>
      </c>
      <c r="M603" s="452">
        <v>46113</v>
      </c>
      <c r="N603">
        <v>7.65</v>
      </c>
      <c r="O603">
        <v>7.65</v>
      </c>
      <c r="P603">
        <v>6.73</v>
      </c>
    </row>
    <row r="604" spans="1:16" x14ac:dyDescent="0.3">
      <c r="A604">
        <v>85439</v>
      </c>
      <c r="B604">
        <v>105</v>
      </c>
      <c r="C604" t="s">
        <v>557</v>
      </c>
      <c r="D604" s="452">
        <v>46143</v>
      </c>
      <c r="E604">
        <v>27757</v>
      </c>
      <c r="F604" t="s">
        <v>4942</v>
      </c>
      <c r="G604">
        <v>9067</v>
      </c>
      <c r="H604">
        <v>1</v>
      </c>
      <c r="I604" t="s">
        <v>4749</v>
      </c>
      <c r="J604" t="s">
        <v>5191</v>
      </c>
      <c r="K604" t="s">
        <v>462</v>
      </c>
      <c r="L604">
        <v>6.61</v>
      </c>
      <c r="M604" s="452">
        <v>46113</v>
      </c>
      <c r="N604">
        <v>6.61</v>
      </c>
      <c r="O604">
        <v>6.61</v>
      </c>
      <c r="P604">
        <v>6.61</v>
      </c>
    </row>
    <row r="605" spans="1:16" x14ac:dyDescent="0.3">
      <c r="A605">
        <v>85341</v>
      </c>
      <c r="B605">
        <v>105</v>
      </c>
      <c r="C605" t="s">
        <v>557</v>
      </c>
      <c r="D605" s="452">
        <v>46143</v>
      </c>
      <c r="E605">
        <v>23195</v>
      </c>
      <c r="F605" t="s">
        <v>5051</v>
      </c>
      <c r="G605">
        <v>2660</v>
      </c>
      <c r="H605">
        <v>0.5</v>
      </c>
      <c r="I605" t="s">
        <v>4744</v>
      </c>
      <c r="J605" t="s">
        <v>5191</v>
      </c>
      <c r="K605" t="s">
        <v>462</v>
      </c>
      <c r="L605">
        <v>13</v>
      </c>
      <c r="M605" s="452">
        <v>46125</v>
      </c>
      <c r="N605">
        <v>13</v>
      </c>
      <c r="O605">
        <v>10</v>
      </c>
      <c r="P605">
        <v>6.5</v>
      </c>
    </row>
    <row r="606" spans="1:16" x14ac:dyDescent="0.3">
      <c r="A606">
        <v>85413</v>
      </c>
      <c r="B606">
        <v>105</v>
      </c>
      <c r="C606" t="s">
        <v>557</v>
      </c>
      <c r="D606" s="452">
        <v>46143</v>
      </c>
      <c r="E606">
        <v>25756</v>
      </c>
      <c r="F606" t="s">
        <v>4854</v>
      </c>
      <c r="G606">
        <v>9069</v>
      </c>
      <c r="H606">
        <v>0.8</v>
      </c>
      <c r="I606" t="s">
        <v>4749</v>
      </c>
      <c r="J606" t="s">
        <v>5191</v>
      </c>
      <c r="K606" t="s">
        <v>462</v>
      </c>
      <c r="L606">
        <v>7.99</v>
      </c>
      <c r="M606" s="452">
        <v>46113</v>
      </c>
      <c r="N606">
        <v>7.99</v>
      </c>
      <c r="O606">
        <v>7.99</v>
      </c>
      <c r="P606">
        <v>6.39</v>
      </c>
    </row>
    <row r="607" spans="1:16" x14ac:dyDescent="0.3">
      <c r="A607">
        <v>85440</v>
      </c>
      <c r="B607">
        <v>105</v>
      </c>
      <c r="C607" t="s">
        <v>557</v>
      </c>
      <c r="D607" s="452">
        <v>46143</v>
      </c>
      <c r="E607">
        <v>28222</v>
      </c>
      <c r="F607" t="s">
        <v>5170</v>
      </c>
      <c r="G607">
        <v>8184</v>
      </c>
      <c r="H607">
        <v>0.15</v>
      </c>
      <c r="I607" t="s">
        <v>4744</v>
      </c>
      <c r="J607" t="s">
        <v>5191</v>
      </c>
      <c r="K607" t="s">
        <v>462</v>
      </c>
      <c r="L607">
        <v>0</v>
      </c>
      <c r="N607">
        <v>0</v>
      </c>
      <c r="O607">
        <v>42</v>
      </c>
      <c r="P607">
        <v>6.3</v>
      </c>
    </row>
    <row r="608" spans="1:16" x14ac:dyDescent="0.3">
      <c r="A608">
        <v>85245</v>
      </c>
      <c r="B608">
        <v>105</v>
      </c>
      <c r="C608" t="s">
        <v>557</v>
      </c>
      <c r="D608" s="452">
        <v>46143</v>
      </c>
      <c r="E608">
        <v>19589</v>
      </c>
      <c r="F608" t="s">
        <v>4983</v>
      </c>
      <c r="G608">
        <v>2637</v>
      </c>
      <c r="H608">
        <v>0.83</v>
      </c>
      <c r="I608" t="s">
        <v>4744</v>
      </c>
      <c r="J608" t="s">
        <v>5191</v>
      </c>
      <c r="K608" t="s">
        <v>462</v>
      </c>
      <c r="L608">
        <v>6.51</v>
      </c>
      <c r="M608" s="452">
        <v>46128</v>
      </c>
      <c r="N608">
        <v>7.61</v>
      </c>
      <c r="O608">
        <v>7</v>
      </c>
      <c r="P608">
        <v>5.4</v>
      </c>
    </row>
    <row r="609" spans="1:16" x14ac:dyDescent="0.3">
      <c r="A609">
        <v>85414</v>
      </c>
      <c r="B609">
        <v>105</v>
      </c>
      <c r="C609" t="s">
        <v>557</v>
      </c>
      <c r="D609" s="452">
        <v>46143</v>
      </c>
      <c r="E609">
        <v>25758</v>
      </c>
      <c r="F609" t="s">
        <v>4775</v>
      </c>
      <c r="G609">
        <v>9066</v>
      </c>
      <c r="H609">
        <v>0.65</v>
      </c>
      <c r="I609" t="s">
        <v>4736</v>
      </c>
      <c r="J609" t="s">
        <v>5191</v>
      </c>
      <c r="K609" t="s">
        <v>462</v>
      </c>
      <c r="L609">
        <v>7.65</v>
      </c>
      <c r="M609" s="452">
        <v>46113</v>
      </c>
      <c r="N609">
        <v>7.65</v>
      </c>
      <c r="O609">
        <v>7.65</v>
      </c>
      <c r="P609">
        <v>4.97</v>
      </c>
    </row>
    <row r="610" spans="1:16" x14ac:dyDescent="0.3">
      <c r="A610">
        <v>85406</v>
      </c>
      <c r="B610">
        <v>105</v>
      </c>
      <c r="C610" t="s">
        <v>557</v>
      </c>
      <c r="D610" s="452">
        <v>46143</v>
      </c>
      <c r="E610">
        <v>25748</v>
      </c>
      <c r="F610" t="s">
        <v>4999</v>
      </c>
      <c r="G610">
        <v>9068</v>
      </c>
      <c r="H610">
        <v>0.72</v>
      </c>
      <c r="I610" t="s">
        <v>4749</v>
      </c>
      <c r="J610" t="s">
        <v>5191</v>
      </c>
      <c r="K610" t="s">
        <v>462</v>
      </c>
      <c r="L610">
        <v>5.65</v>
      </c>
      <c r="M610" s="452">
        <v>46113</v>
      </c>
      <c r="N610">
        <v>5.65</v>
      </c>
      <c r="O610">
        <v>5.65</v>
      </c>
      <c r="P610">
        <v>4.07</v>
      </c>
    </row>
    <row r="611" spans="1:16" x14ac:dyDescent="0.3">
      <c r="A611">
        <v>85251</v>
      </c>
      <c r="B611">
        <v>105</v>
      </c>
      <c r="C611" t="s">
        <v>557</v>
      </c>
      <c r="D611" s="452">
        <v>46143</v>
      </c>
      <c r="E611">
        <v>19632</v>
      </c>
      <c r="F611" t="s">
        <v>4936</v>
      </c>
      <c r="G611">
        <v>2604</v>
      </c>
      <c r="H611">
        <v>0.75</v>
      </c>
      <c r="I611" t="s">
        <v>4744</v>
      </c>
      <c r="J611" t="s">
        <v>5191</v>
      </c>
      <c r="K611" t="s">
        <v>462</v>
      </c>
      <c r="L611">
        <v>5.36</v>
      </c>
      <c r="M611" s="452">
        <v>46127</v>
      </c>
      <c r="N611">
        <v>5.51</v>
      </c>
      <c r="O611">
        <v>5.51</v>
      </c>
      <c r="P611">
        <v>4.0199999999999996</v>
      </c>
    </row>
    <row r="612" spans="1:16" x14ac:dyDescent="0.3">
      <c r="A612">
        <v>85225</v>
      </c>
      <c r="B612">
        <v>105</v>
      </c>
      <c r="C612" t="s">
        <v>557</v>
      </c>
      <c r="D612" s="452">
        <v>46143</v>
      </c>
      <c r="E612">
        <v>19465</v>
      </c>
      <c r="F612" t="s">
        <v>5114</v>
      </c>
      <c r="G612">
        <v>2737</v>
      </c>
      <c r="H612">
        <v>0.53</v>
      </c>
      <c r="I612" t="s">
        <v>4744</v>
      </c>
      <c r="J612" t="s">
        <v>5191</v>
      </c>
      <c r="K612" t="s">
        <v>462</v>
      </c>
      <c r="L612">
        <v>0</v>
      </c>
      <c r="M612" s="452">
        <v>46105</v>
      </c>
      <c r="N612">
        <v>5.8</v>
      </c>
      <c r="O612">
        <v>5.8</v>
      </c>
      <c r="P612">
        <v>3.07</v>
      </c>
    </row>
    <row r="613" spans="1:16" x14ac:dyDescent="0.3">
      <c r="A613">
        <v>85350</v>
      </c>
      <c r="B613">
        <v>105</v>
      </c>
      <c r="C613" t="s">
        <v>557</v>
      </c>
      <c r="D613" s="452">
        <v>46143</v>
      </c>
      <c r="E613">
        <v>23349</v>
      </c>
      <c r="F613" t="s">
        <v>4988</v>
      </c>
      <c r="G613">
        <v>2509</v>
      </c>
      <c r="H613">
        <v>0.2</v>
      </c>
      <c r="I613" t="s">
        <v>4744</v>
      </c>
      <c r="J613" t="s">
        <v>5191</v>
      </c>
      <c r="K613" t="s">
        <v>462</v>
      </c>
      <c r="L613">
        <v>9.64</v>
      </c>
      <c r="M613" s="452">
        <v>46114</v>
      </c>
      <c r="N613">
        <v>9.64</v>
      </c>
      <c r="O613">
        <v>9.27</v>
      </c>
      <c r="P613">
        <v>1.93</v>
      </c>
    </row>
    <row r="614" spans="1:16" x14ac:dyDescent="0.3">
      <c r="A614">
        <v>85438</v>
      </c>
      <c r="B614">
        <v>105</v>
      </c>
      <c r="C614" t="s">
        <v>557</v>
      </c>
      <c r="D614" s="452">
        <v>46143</v>
      </c>
      <c r="E614">
        <v>27689</v>
      </c>
      <c r="F614" t="s">
        <v>5139</v>
      </c>
      <c r="G614">
        <v>7656</v>
      </c>
      <c r="H614">
        <v>1.25</v>
      </c>
      <c r="I614" t="s">
        <v>4749</v>
      </c>
      <c r="J614" t="s">
        <v>5191</v>
      </c>
      <c r="K614" t="s">
        <v>462</v>
      </c>
      <c r="L614">
        <v>0</v>
      </c>
      <c r="M614" s="452">
        <v>46101</v>
      </c>
      <c r="N614">
        <v>0.95</v>
      </c>
      <c r="O614">
        <v>57</v>
      </c>
      <c r="P614">
        <v>1.19</v>
      </c>
    </row>
    <row r="615" spans="1:16" x14ac:dyDescent="0.3">
      <c r="A615">
        <v>85137</v>
      </c>
      <c r="B615">
        <v>105</v>
      </c>
      <c r="C615" t="s">
        <v>557</v>
      </c>
      <c r="D615" s="452">
        <v>46143</v>
      </c>
      <c r="E615">
        <v>17042</v>
      </c>
      <c r="F615" t="s">
        <v>4748</v>
      </c>
      <c r="G615">
        <v>2830</v>
      </c>
      <c r="H615">
        <v>0.5</v>
      </c>
      <c r="I615" t="s">
        <v>4749</v>
      </c>
      <c r="J615" t="s">
        <v>5191</v>
      </c>
      <c r="K615" t="s">
        <v>462</v>
      </c>
      <c r="L615">
        <v>0</v>
      </c>
      <c r="M615" s="452">
        <v>45996</v>
      </c>
      <c r="N615">
        <v>1.44</v>
      </c>
      <c r="O615">
        <v>72.650000000000006</v>
      </c>
      <c r="P615">
        <v>0.72</v>
      </c>
    </row>
    <row r="616" spans="1:16" x14ac:dyDescent="0.3">
      <c r="A616">
        <v>78909</v>
      </c>
      <c r="B616">
        <v>105</v>
      </c>
      <c r="C616" t="s">
        <v>557</v>
      </c>
      <c r="D616" s="452">
        <v>46113</v>
      </c>
      <c r="E616">
        <v>24096</v>
      </c>
      <c r="F616" t="s">
        <v>4771</v>
      </c>
      <c r="G616">
        <v>2958</v>
      </c>
      <c r="H616">
        <v>87.1</v>
      </c>
      <c r="I616" t="s">
        <v>4744</v>
      </c>
      <c r="J616" t="s">
        <v>5191</v>
      </c>
      <c r="K616" t="s">
        <v>461</v>
      </c>
      <c r="L616">
        <v>42.9</v>
      </c>
      <c r="M616" s="452">
        <v>46090</v>
      </c>
      <c r="N616">
        <v>42.9</v>
      </c>
      <c r="O616">
        <v>42.9</v>
      </c>
      <c r="P616">
        <v>3736.59</v>
      </c>
    </row>
    <row r="617" spans="1:16" x14ac:dyDescent="0.3">
      <c r="A617">
        <v>78910</v>
      </c>
      <c r="B617">
        <v>105</v>
      </c>
      <c r="C617" t="s">
        <v>557</v>
      </c>
      <c r="D617" s="452">
        <v>46113</v>
      </c>
      <c r="E617">
        <v>26679</v>
      </c>
      <c r="F617" t="s">
        <v>4791</v>
      </c>
      <c r="G617">
        <v>6847</v>
      </c>
      <c r="H617">
        <v>84.7</v>
      </c>
      <c r="I617" t="s">
        <v>4744</v>
      </c>
      <c r="J617" t="s">
        <v>5191</v>
      </c>
      <c r="K617" t="s">
        <v>461</v>
      </c>
      <c r="L617">
        <v>27.9</v>
      </c>
      <c r="M617" s="452">
        <v>46112</v>
      </c>
      <c r="N617">
        <v>27.9</v>
      </c>
      <c r="O617">
        <v>27.9</v>
      </c>
      <c r="P617">
        <v>2363.13</v>
      </c>
    </row>
    <row r="618" spans="1:16" x14ac:dyDescent="0.3">
      <c r="A618">
        <v>78977</v>
      </c>
      <c r="B618">
        <v>105</v>
      </c>
      <c r="C618" t="s">
        <v>557</v>
      </c>
      <c r="D618" s="452">
        <v>46113</v>
      </c>
      <c r="E618">
        <v>20544</v>
      </c>
      <c r="F618" t="s">
        <v>4808</v>
      </c>
      <c r="G618">
        <v>2144</v>
      </c>
      <c r="H618">
        <v>10.95</v>
      </c>
      <c r="I618" t="s">
        <v>4744</v>
      </c>
      <c r="J618" t="s">
        <v>5191</v>
      </c>
      <c r="K618" t="s">
        <v>461</v>
      </c>
      <c r="L618">
        <v>0</v>
      </c>
      <c r="M618" s="452">
        <v>46049</v>
      </c>
      <c r="N618">
        <v>214.58</v>
      </c>
      <c r="O618">
        <v>214.58</v>
      </c>
      <c r="P618">
        <v>2349.65</v>
      </c>
    </row>
    <row r="619" spans="1:16" x14ac:dyDescent="0.3">
      <c r="A619">
        <v>78931</v>
      </c>
      <c r="B619">
        <v>105</v>
      </c>
      <c r="C619" t="s">
        <v>557</v>
      </c>
      <c r="D619" s="452">
        <v>46113</v>
      </c>
      <c r="E619">
        <v>25777</v>
      </c>
      <c r="F619" t="s">
        <v>4774</v>
      </c>
      <c r="G619">
        <v>6322</v>
      </c>
      <c r="H619">
        <v>21.3</v>
      </c>
      <c r="I619" t="s">
        <v>4744</v>
      </c>
      <c r="J619" t="s">
        <v>5191</v>
      </c>
      <c r="K619" t="s">
        <v>461</v>
      </c>
      <c r="L619">
        <v>85</v>
      </c>
      <c r="M619" s="452">
        <v>46111</v>
      </c>
      <c r="N619">
        <v>85</v>
      </c>
      <c r="O619">
        <v>85</v>
      </c>
      <c r="P619">
        <v>1810.5</v>
      </c>
    </row>
    <row r="620" spans="1:16" x14ac:dyDescent="0.3">
      <c r="A620">
        <v>79031</v>
      </c>
      <c r="B620">
        <v>105</v>
      </c>
      <c r="C620" t="s">
        <v>557</v>
      </c>
      <c r="D620" s="452">
        <v>46113</v>
      </c>
      <c r="E620">
        <v>18636</v>
      </c>
      <c r="F620" t="s">
        <v>4964</v>
      </c>
      <c r="G620">
        <v>3075</v>
      </c>
      <c r="H620">
        <v>4.2</v>
      </c>
      <c r="I620" t="s">
        <v>4965</v>
      </c>
      <c r="J620" t="s">
        <v>5222</v>
      </c>
      <c r="K620" t="s">
        <v>461</v>
      </c>
      <c r="L620">
        <v>351.74</v>
      </c>
      <c r="M620" s="452">
        <v>46090</v>
      </c>
      <c r="N620">
        <v>351.74</v>
      </c>
      <c r="O620">
        <v>480.62</v>
      </c>
      <c r="P620">
        <v>1477.31</v>
      </c>
    </row>
    <row r="621" spans="1:16" x14ac:dyDescent="0.3">
      <c r="A621">
        <v>78920</v>
      </c>
      <c r="B621">
        <v>105</v>
      </c>
      <c r="C621" t="s">
        <v>557</v>
      </c>
      <c r="D621" s="452">
        <v>46113</v>
      </c>
      <c r="E621">
        <v>19003</v>
      </c>
      <c r="F621" t="s">
        <v>4810</v>
      </c>
      <c r="G621">
        <v>2897</v>
      </c>
      <c r="H621">
        <v>34.18</v>
      </c>
      <c r="I621" t="s">
        <v>4744</v>
      </c>
      <c r="J621" t="s">
        <v>5191</v>
      </c>
      <c r="K621" t="s">
        <v>461</v>
      </c>
      <c r="L621">
        <v>39.9</v>
      </c>
      <c r="M621" s="452">
        <v>46098</v>
      </c>
      <c r="N621">
        <v>39.9</v>
      </c>
      <c r="O621">
        <v>39.9</v>
      </c>
      <c r="P621">
        <v>1363.78</v>
      </c>
    </row>
    <row r="622" spans="1:16" x14ac:dyDescent="0.3">
      <c r="A622">
        <v>78917</v>
      </c>
      <c r="B622">
        <v>105</v>
      </c>
      <c r="C622" t="s">
        <v>557</v>
      </c>
      <c r="D622" s="452">
        <v>46113</v>
      </c>
      <c r="E622">
        <v>24217</v>
      </c>
      <c r="F622" t="s">
        <v>4778</v>
      </c>
      <c r="G622">
        <v>2937</v>
      </c>
      <c r="H622">
        <v>38.049999999999997</v>
      </c>
      <c r="I622" t="s">
        <v>4744</v>
      </c>
      <c r="J622" t="s">
        <v>5191</v>
      </c>
      <c r="K622" t="s">
        <v>461</v>
      </c>
      <c r="L622">
        <v>31.9</v>
      </c>
      <c r="M622" s="452">
        <v>46090</v>
      </c>
      <c r="N622">
        <v>31.9</v>
      </c>
      <c r="O622">
        <v>31.9</v>
      </c>
      <c r="P622">
        <v>1213.79</v>
      </c>
    </row>
    <row r="623" spans="1:16" x14ac:dyDescent="0.3">
      <c r="A623">
        <v>79087</v>
      </c>
      <c r="B623">
        <v>105</v>
      </c>
      <c r="C623" t="s">
        <v>557</v>
      </c>
      <c r="D623" s="452">
        <v>46113</v>
      </c>
      <c r="E623">
        <v>26014</v>
      </c>
      <c r="F623" t="s">
        <v>5128</v>
      </c>
      <c r="G623">
        <v>3130</v>
      </c>
      <c r="H623">
        <v>2.5</v>
      </c>
      <c r="I623" t="s">
        <v>4805</v>
      </c>
      <c r="J623" t="s">
        <v>5222</v>
      </c>
      <c r="K623" t="s">
        <v>461</v>
      </c>
      <c r="L623">
        <v>375.8</v>
      </c>
      <c r="M623" s="452">
        <v>46091</v>
      </c>
      <c r="N623">
        <v>375.8</v>
      </c>
      <c r="O623">
        <v>375.8</v>
      </c>
      <c r="P623">
        <v>939.5</v>
      </c>
    </row>
    <row r="624" spans="1:16" x14ac:dyDescent="0.3">
      <c r="A624">
        <v>78992</v>
      </c>
      <c r="B624">
        <v>105</v>
      </c>
      <c r="C624" t="s">
        <v>557</v>
      </c>
      <c r="D624" s="452">
        <v>46113</v>
      </c>
      <c r="E624">
        <v>21047</v>
      </c>
      <c r="F624" t="s">
        <v>4847</v>
      </c>
      <c r="G624">
        <v>1999</v>
      </c>
      <c r="H624">
        <v>8.1999999999999993</v>
      </c>
      <c r="I624" t="s">
        <v>4848</v>
      </c>
      <c r="J624" t="s">
        <v>5191</v>
      </c>
      <c r="K624" t="s">
        <v>461</v>
      </c>
      <c r="L624">
        <v>114.5</v>
      </c>
      <c r="M624" s="452">
        <v>46094</v>
      </c>
      <c r="N624">
        <v>114.5</v>
      </c>
      <c r="O624">
        <v>118.2</v>
      </c>
      <c r="P624">
        <v>938.9</v>
      </c>
    </row>
    <row r="625" spans="1:16" x14ac:dyDescent="0.3">
      <c r="A625">
        <v>79017</v>
      </c>
      <c r="B625">
        <v>105</v>
      </c>
      <c r="C625" t="s">
        <v>557</v>
      </c>
      <c r="D625" s="452">
        <v>46113</v>
      </c>
      <c r="E625">
        <v>21021</v>
      </c>
      <c r="F625" t="s">
        <v>4883</v>
      </c>
      <c r="G625">
        <v>2003</v>
      </c>
      <c r="H625">
        <v>5</v>
      </c>
      <c r="I625" t="s">
        <v>4884</v>
      </c>
      <c r="J625" t="s">
        <v>5191</v>
      </c>
      <c r="K625" t="s">
        <v>461</v>
      </c>
      <c r="L625">
        <v>182.98</v>
      </c>
      <c r="M625" s="452">
        <v>46102</v>
      </c>
      <c r="N625">
        <v>187.76</v>
      </c>
      <c r="O625">
        <v>187.76</v>
      </c>
      <c r="P625">
        <v>914.9</v>
      </c>
    </row>
    <row r="626" spans="1:16" x14ac:dyDescent="0.3">
      <c r="A626">
        <v>78983</v>
      </c>
      <c r="B626">
        <v>105</v>
      </c>
      <c r="C626" t="s">
        <v>557</v>
      </c>
      <c r="D626" s="452">
        <v>46113</v>
      </c>
      <c r="E626">
        <v>18822</v>
      </c>
      <c r="F626" t="s">
        <v>4811</v>
      </c>
      <c r="G626">
        <v>2953</v>
      </c>
      <c r="H626">
        <v>9.4</v>
      </c>
      <c r="I626" t="s">
        <v>4744</v>
      </c>
      <c r="J626" t="s">
        <v>5191</v>
      </c>
      <c r="K626" t="s">
        <v>461</v>
      </c>
      <c r="L626">
        <v>92.9</v>
      </c>
      <c r="M626" s="452">
        <v>46112</v>
      </c>
      <c r="N626">
        <v>99.02</v>
      </c>
      <c r="O626">
        <v>99.02</v>
      </c>
      <c r="P626">
        <v>873.26</v>
      </c>
    </row>
    <row r="627" spans="1:16" x14ac:dyDescent="0.3">
      <c r="A627">
        <v>78978</v>
      </c>
      <c r="B627">
        <v>105</v>
      </c>
      <c r="C627" t="s">
        <v>557</v>
      </c>
      <c r="D627" s="452">
        <v>46113</v>
      </c>
      <c r="E627">
        <v>24259</v>
      </c>
      <c r="F627" t="s">
        <v>4875</v>
      </c>
      <c r="G627">
        <v>2938</v>
      </c>
      <c r="H627">
        <v>10.9</v>
      </c>
      <c r="I627" t="s">
        <v>4744</v>
      </c>
      <c r="J627" t="s">
        <v>5191</v>
      </c>
      <c r="K627" t="s">
        <v>461</v>
      </c>
      <c r="L627">
        <v>77.790000000000006</v>
      </c>
      <c r="M627" s="452">
        <v>46090</v>
      </c>
      <c r="N627">
        <v>77.7</v>
      </c>
      <c r="O627">
        <v>77.599999999999994</v>
      </c>
      <c r="P627">
        <v>847.91</v>
      </c>
    </row>
    <row r="628" spans="1:16" x14ac:dyDescent="0.3">
      <c r="A628">
        <v>78984</v>
      </c>
      <c r="B628">
        <v>105</v>
      </c>
      <c r="C628" t="s">
        <v>557</v>
      </c>
      <c r="D628" s="452">
        <v>46113</v>
      </c>
      <c r="E628">
        <v>26135</v>
      </c>
      <c r="F628" t="s">
        <v>4801</v>
      </c>
      <c r="G628">
        <v>6585</v>
      </c>
      <c r="H628">
        <v>9.4</v>
      </c>
      <c r="I628" t="s">
        <v>4744</v>
      </c>
      <c r="J628" t="s">
        <v>5191</v>
      </c>
      <c r="K628" t="s">
        <v>461</v>
      </c>
      <c r="L628">
        <v>89.9</v>
      </c>
      <c r="M628" s="452">
        <v>46095</v>
      </c>
      <c r="N628">
        <v>89.9</v>
      </c>
      <c r="O628">
        <v>89.9</v>
      </c>
      <c r="P628">
        <v>845.06</v>
      </c>
    </row>
    <row r="629" spans="1:16" x14ac:dyDescent="0.3">
      <c r="A629">
        <v>78914</v>
      </c>
      <c r="B629">
        <v>105</v>
      </c>
      <c r="C629" t="s">
        <v>557</v>
      </c>
      <c r="D629" s="452">
        <v>46113</v>
      </c>
      <c r="E629">
        <v>19041</v>
      </c>
      <c r="F629" t="s">
        <v>4762</v>
      </c>
      <c r="G629">
        <v>2890</v>
      </c>
      <c r="H629">
        <v>56</v>
      </c>
      <c r="I629" t="s">
        <v>4744</v>
      </c>
      <c r="J629" t="s">
        <v>5191</v>
      </c>
      <c r="K629" t="s">
        <v>461</v>
      </c>
      <c r="L629">
        <v>14.9</v>
      </c>
      <c r="M629" s="452">
        <v>46112</v>
      </c>
      <c r="N629">
        <v>14.9</v>
      </c>
      <c r="O629">
        <v>14.9</v>
      </c>
      <c r="P629">
        <v>834.4</v>
      </c>
    </row>
    <row r="630" spans="1:16" x14ac:dyDescent="0.3">
      <c r="A630">
        <v>78918</v>
      </c>
      <c r="B630">
        <v>105</v>
      </c>
      <c r="C630" t="s">
        <v>557</v>
      </c>
      <c r="D630" s="452">
        <v>46113</v>
      </c>
      <c r="E630">
        <v>20501</v>
      </c>
      <c r="F630" t="s">
        <v>4760</v>
      </c>
      <c r="G630">
        <v>2154</v>
      </c>
      <c r="H630">
        <v>38</v>
      </c>
      <c r="I630" t="s">
        <v>4744</v>
      </c>
      <c r="J630" t="s">
        <v>5191</v>
      </c>
      <c r="K630" t="s">
        <v>461</v>
      </c>
      <c r="L630">
        <v>21.9</v>
      </c>
      <c r="M630" s="452">
        <v>46090</v>
      </c>
      <c r="N630">
        <v>21.9</v>
      </c>
      <c r="O630">
        <v>21.9</v>
      </c>
      <c r="P630">
        <v>832.2</v>
      </c>
    </row>
    <row r="631" spans="1:16" x14ac:dyDescent="0.3">
      <c r="A631">
        <v>79005</v>
      </c>
      <c r="B631">
        <v>105</v>
      </c>
      <c r="C631" t="s">
        <v>557</v>
      </c>
      <c r="D631" s="452">
        <v>46113</v>
      </c>
      <c r="E631">
        <v>18315</v>
      </c>
      <c r="F631" t="s">
        <v>4922</v>
      </c>
      <c r="G631">
        <v>3318</v>
      </c>
      <c r="H631">
        <v>6.5</v>
      </c>
      <c r="I631" t="s">
        <v>4805</v>
      </c>
      <c r="J631" t="s">
        <v>5222</v>
      </c>
      <c r="K631" t="s">
        <v>461</v>
      </c>
      <c r="L631">
        <v>0</v>
      </c>
      <c r="M631" s="452">
        <v>46010</v>
      </c>
      <c r="N631">
        <v>124</v>
      </c>
      <c r="O631">
        <v>133</v>
      </c>
      <c r="P631">
        <v>806</v>
      </c>
    </row>
    <row r="632" spans="1:16" x14ac:dyDescent="0.3">
      <c r="A632">
        <v>78965</v>
      </c>
      <c r="B632">
        <v>105</v>
      </c>
      <c r="C632" t="s">
        <v>557</v>
      </c>
      <c r="D632" s="452">
        <v>46113</v>
      </c>
      <c r="E632">
        <v>18945</v>
      </c>
      <c r="F632" t="s">
        <v>4768</v>
      </c>
      <c r="G632">
        <v>2929</v>
      </c>
      <c r="H632">
        <v>13</v>
      </c>
      <c r="I632" t="s">
        <v>4744</v>
      </c>
      <c r="J632" t="s">
        <v>5191</v>
      </c>
      <c r="K632" t="s">
        <v>461</v>
      </c>
      <c r="L632">
        <v>58.25</v>
      </c>
      <c r="M632" s="452">
        <v>46105</v>
      </c>
      <c r="N632">
        <v>58.25</v>
      </c>
      <c r="O632">
        <v>58.25</v>
      </c>
      <c r="P632">
        <v>757.25</v>
      </c>
    </row>
    <row r="633" spans="1:16" x14ac:dyDescent="0.3">
      <c r="A633">
        <v>79055</v>
      </c>
      <c r="B633">
        <v>105</v>
      </c>
      <c r="C633" t="s">
        <v>557</v>
      </c>
      <c r="D633" s="452">
        <v>46113</v>
      </c>
      <c r="E633">
        <v>18632</v>
      </c>
      <c r="F633" t="s">
        <v>5096</v>
      </c>
      <c r="G633">
        <v>3076</v>
      </c>
      <c r="H633">
        <v>3.59</v>
      </c>
      <c r="I633" t="s">
        <v>4749</v>
      </c>
      <c r="J633" t="s">
        <v>5222</v>
      </c>
      <c r="K633" t="s">
        <v>461</v>
      </c>
      <c r="L633">
        <v>0</v>
      </c>
      <c r="M633" s="452">
        <v>46077</v>
      </c>
      <c r="N633">
        <v>190.8</v>
      </c>
      <c r="O633">
        <v>190.8</v>
      </c>
      <c r="P633">
        <v>684.97</v>
      </c>
    </row>
    <row r="634" spans="1:16" x14ac:dyDescent="0.3">
      <c r="A634">
        <v>78938</v>
      </c>
      <c r="B634">
        <v>105</v>
      </c>
      <c r="C634" t="s">
        <v>557</v>
      </c>
      <c r="D634" s="452">
        <v>46113</v>
      </c>
      <c r="E634">
        <v>19322</v>
      </c>
      <c r="F634" t="s">
        <v>4830</v>
      </c>
      <c r="G634">
        <v>2773</v>
      </c>
      <c r="H634">
        <v>16.05</v>
      </c>
      <c r="I634" t="s">
        <v>4744</v>
      </c>
      <c r="J634" t="s">
        <v>5191</v>
      </c>
      <c r="K634" t="s">
        <v>461</v>
      </c>
      <c r="L634">
        <v>42.63</v>
      </c>
      <c r="M634" s="452">
        <v>46092</v>
      </c>
      <c r="N634">
        <v>39.71</v>
      </c>
      <c r="O634">
        <v>40.229999999999997</v>
      </c>
      <c r="P634">
        <v>684.21</v>
      </c>
    </row>
    <row r="635" spans="1:16" x14ac:dyDescent="0.3">
      <c r="A635">
        <v>79030</v>
      </c>
      <c r="B635">
        <v>105</v>
      </c>
      <c r="C635" t="s">
        <v>557</v>
      </c>
      <c r="D635" s="452">
        <v>46113</v>
      </c>
      <c r="E635">
        <v>26505</v>
      </c>
      <c r="F635" t="s">
        <v>4750</v>
      </c>
      <c r="G635">
        <v>6762</v>
      </c>
      <c r="H635">
        <v>4.3</v>
      </c>
      <c r="I635" t="s">
        <v>4738</v>
      </c>
      <c r="J635" t="s">
        <v>5222</v>
      </c>
      <c r="K635" t="s">
        <v>461</v>
      </c>
      <c r="L635">
        <v>157.84</v>
      </c>
      <c r="M635" s="452">
        <v>46090</v>
      </c>
      <c r="N635">
        <v>136.49</v>
      </c>
      <c r="O635">
        <v>136.49</v>
      </c>
      <c r="P635">
        <v>678.71</v>
      </c>
    </row>
    <row r="636" spans="1:16" x14ac:dyDescent="0.3">
      <c r="A636">
        <v>78966</v>
      </c>
      <c r="B636">
        <v>105</v>
      </c>
      <c r="C636" t="s">
        <v>557</v>
      </c>
      <c r="D636" s="452">
        <v>46113</v>
      </c>
      <c r="E636">
        <v>19356</v>
      </c>
      <c r="F636" t="s">
        <v>4799</v>
      </c>
      <c r="G636">
        <v>2768</v>
      </c>
      <c r="H636">
        <v>12.57</v>
      </c>
      <c r="I636" t="s">
        <v>4744</v>
      </c>
      <c r="J636" t="s">
        <v>5191</v>
      </c>
      <c r="K636" t="s">
        <v>461</v>
      </c>
      <c r="L636">
        <v>51.6</v>
      </c>
      <c r="M636" s="452">
        <v>46083</v>
      </c>
      <c r="N636">
        <v>51.6</v>
      </c>
      <c r="O636">
        <v>51.6</v>
      </c>
      <c r="P636">
        <v>648.61</v>
      </c>
    </row>
    <row r="637" spans="1:16" x14ac:dyDescent="0.3">
      <c r="A637">
        <v>79011</v>
      </c>
      <c r="B637">
        <v>105</v>
      </c>
      <c r="C637" t="s">
        <v>557</v>
      </c>
      <c r="D637" s="452">
        <v>46113</v>
      </c>
      <c r="E637">
        <v>18735</v>
      </c>
      <c r="F637" t="s">
        <v>4891</v>
      </c>
      <c r="G637">
        <v>3018</v>
      </c>
      <c r="H637">
        <v>5.8</v>
      </c>
      <c r="I637" t="s">
        <v>4744</v>
      </c>
      <c r="J637" t="s">
        <v>5191</v>
      </c>
      <c r="K637" t="s">
        <v>461</v>
      </c>
      <c r="L637">
        <v>110</v>
      </c>
      <c r="M637" s="452">
        <v>46090</v>
      </c>
      <c r="N637">
        <v>110</v>
      </c>
      <c r="O637">
        <v>110</v>
      </c>
      <c r="P637">
        <v>638</v>
      </c>
    </row>
    <row r="638" spans="1:16" x14ac:dyDescent="0.3">
      <c r="A638">
        <v>78946</v>
      </c>
      <c r="B638">
        <v>105</v>
      </c>
      <c r="C638" t="s">
        <v>557</v>
      </c>
      <c r="D638" s="452">
        <v>46113</v>
      </c>
      <c r="E638">
        <v>24256</v>
      </c>
      <c r="F638" t="s">
        <v>4773</v>
      </c>
      <c r="G638">
        <v>3003</v>
      </c>
      <c r="H638">
        <v>15.5</v>
      </c>
      <c r="I638" t="s">
        <v>4744</v>
      </c>
      <c r="J638" t="s">
        <v>5191</v>
      </c>
      <c r="K638" t="s">
        <v>461</v>
      </c>
      <c r="L638">
        <v>37.700000000000003</v>
      </c>
      <c r="M638" s="452">
        <v>46112</v>
      </c>
      <c r="N638">
        <v>36.9</v>
      </c>
      <c r="O638">
        <v>36.9</v>
      </c>
      <c r="P638">
        <v>584.35</v>
      </c>
    </row>
    <row r="639" spans="1:16" x14ac:dyDescent="0.3">
      <c r="A639">
        <v>78970</v>
      </c>
      <c r="B639">
        <v>105</v>
      </c>
      <c r="C639" t="s">
        <v>557</v>
      </c>
      <c r="D639" s="452">
        <v>46113</v>
      </c>
      <c r="E639">
        <v>26040</v>
      </c>
      <c r="F639" t="s">
        <v>4812</v>
      </c>
      <c r="G639">
        <v>6507</v>
      </c>
      <c r="H639">
        <v>12</v>
      </c>
      <c r="I639" t="s">
        <v>4805</v>
      </c>
      <c r="J639" t="s">
        <v>5222</v>
      </c>
      <c r="K639" t="s">
        <v>461</v>
      </c>
      <c r="L639">
        <v>47.45</v>
      </c>
      <c r="M639" s="452">
        <v>46083</v>
      </c>
      <c r="N639">
        <v>47.45</v>
      </c>
      <c r="O639">
        <v>49.5</v>
      </c>
      <c r="P639">
        <v>569.4</v>
      </c>
    </row>
    <row r="640" spans="1:16" x14ac:dyDescent="0.3">
      <c r="A640">
        <v>78935</v>
      </c>
      <c r="B640">
        <v>105</v>
      </c>
      <c r="C640" t="s">
        <v>557</v>
      </c>
      <c r="D640" s="452">
        <v>46113</v>
      </c>
      <c r="E640">
        <v>20809</v>
      </c>
      <c r="F640" t="s">
        <v>4822</v>
      </c>
      <c r="G640">
        <v>2074</v>
      </c>
      <c r="H640">
        <v>19</v>
      </c>
      <c r="I640" t="s">
        <v>4738</v>
      </c>
      <c r="J640" t="s">
        <v>5191</v>
      </c>
      <c r="K640" t="s">
        <v>461</v>
      </c>
      <c r="L640">
        <v>29.9</v>
      </c>
      <c r="M640" s="452">
        <v>46102</v>
      </c>
      <c r="N640">
        <v>29.9</v>
      </c>
      <c r="O640">
        <v>29.92</v>
      </c>
      <c r="P640">
        <v>568.1</v>
      </c>
    </row>
    <row r="641" spans="1:16" x14ac:dyDescent="0.3">
      <c r="A641">
        <v>79082</v>
      </c>
      <c r="B641">
        <v>105</v>
      </c>
      <c r="C641" t="s">
        <v>557</v>
      </c>
      <c r="D641" s="452">
        <v>46113</v>
      </c>
      <c r="E641">
        <v>18642</v>
      </c>
      <c r="F641" t="s">
        <v>5127</v>
      </c>
      <c r="G641">
        <v>3072</v>
      </c>
      <c r="H641">
        <v>2.9</v>
      </c>
      <c r="I641" t="s">
        <v>4744</v>
      </c>
      <c r="J641" t="s">
        <v>5191</v>
      </c>
      <c r="K641" t="s">
        <v>461</v>
      </c>
      <c r="L641">
        <v>0</v>
      </c>
      <c r="M641" s="452">
        <v>46030</v>
      </c>
      <c r="N641">
        <v>191.9</v>
      </c>
      <c r="O641">
        <v>191.9</v>
      </c>
      <c r="P641">
        <v>556.51</v>
      </c>
    </row>
    <row r="642" spans="1:16" x14ac:dyDescent="0.3">
      <c r="A642">
        <v>78921</v>
      </c>
      <c r="B642">
        <v>105</v>
      </c>
      <c r="C642" t="s">
        <v>557</v>
      </c>
      <c r="D642" s="452">
        <v>46113</v>
      </c>
      <c r="E642">
        <v>17958</v>
      </c>
      <c r="F642" t="s">
        <v>5076</v>
      </c>
      <c r="G642">
        <v>3622</v>
      </c>
      <c r="H642">
        <v>33.25</v>
      </c>
      <c r="I642" t="s">
        <v>4738</v>
      </c>
      <c r="J642" t="s">
        <v>5222</v>
      </c>
      <c r="K642" t="s">
        <v>461</v>
      </c>
      <c r="L642">
        <v>16.29</v>
      </c>
      <c r="M642" s="452">
        <v>46111</v>
      </c>
      <c r="N642">
        <v>16.29</v>
      </c>
      <c r="O642">
        <v>16.29</v>
      </c>
      <c r="P642">
        <v>541.64</v>
      </c>
    </row>
    <row r="643" spans="1:16" x14ac:dyDescent="0.3">
      <c r="A643">
        <v>78937</v>
      </c>
      <c r="B643">
        <v>105</v>
      </c>
      <c r="C643" t="s">
        <v>557</v>
      </c>
      <c r="D643" s="452">
        <v>46113</v>
      </c>
      <c r="E643">
        <v>18172</v>
      </c>
      <c r="F643" t="s">
        <v>4804</v>
      </c>
      <c r="G643">
        <v>3450</v>
      </c>
      <c r="H643">
        <v>17</v>
      </c>
      <c r="I643" t="s">
        <v>4805</v>
      </c>
      <c r="J643" t="s">
        <v>5222</v>
      </c>
      <c r="K643" t="s">
        <v>461</v>
      </c>
      <c r="L643">
        <v>31.41</v>
      </c>
      <c r="M643" s="452">
        <v>46091</v>
      </c>
      <c r="N643">
        <v>31.42</v>
      </c>
      <c r="O643">
        <v>31.4</v>
      </c>
      <c r="P643">
        <v>533.97</v>
      </c>
    </row>
    <row r="644" spans="1:16" x14ac:dyDescent="0.3">
      <c r="A644">
        <v>78950</v>
      </c>
      <c r="B644">
        <v>105</v>
      </c>
      <c r="C644" t="s">
        <v>557</v>
      </c>
      <c r="D644" s="452">
        <v>46113</v>
      </c>
      <c r="E644">
        <v>26592</v>
      </c>
      <c r="F644" t="s">
        <v>5141</v>
      </c>
      <c r="G644">
        <v>6806</v>
      </c>
      <c r="H644">
        <v>14.4</v>
      </c>
      <c r="I644" t="s">
        <v>4744</v>
      </c>
      <c r="J644" t="s">
        <v>5191</v>
      </c>
      <c r="K644" t="s">
        <v>461</v>
      </c>
      <c r="L644">
        <v>37</v>
      </c>
      <c r="M644" s="452">
        <v>46099</v>
      </c>
      <c r="N644">
        <v>37</v>
      </c>
      <c r="O644">
        <v>37</v>
      </c>
      <c r="P644">
        <v>532.79999999999995</v>
      </c>
    </row>
    <row r="645" spans="1:16" x14ac:dyDescent="0.3">
      <c r="A645">
        <v>79083</v>
      </c>
      <c r="B645">
        <v>105</v>
      </c>
      <c r="C645" t="s">
        <v>557</v>
      </c>
      <c r="D645" s="452">
        <v>46113</v>
      </c>
      <c r="E645">
        <v>20928</v>
      </c>
      <c r="F645" t="s">
        <v>4950</v>
      </c>
      <c r="G645">
        <v>2033</v>
      </c>
      <c r="H645">
        <v>2.75</v>
      </c>
      <c r="I645" t="s">
        <v>4736</v>
      </c>
      <c r="J645" t="s">
        <v>5191</v>
      </c>
      <c r="K645" t="s">
        <v>461</v>
      </c>
      <c r="L645">
        <v>191.75</v>
      </c>
      <c r="M645" s="452">
        <v>46108</v>
      </c>
      <c r="N645">
        <v>183.59</v>
      </c>
      <c r="O645">
        <v>183.59</v>
      </c>
      <c r="P645">
        <v>527.30999999999995</v>
      </c>
    </row>
    <row r="646" spans="1:16" x14ac:dyDescent="0.3">
      <c r="A646">
        <v>79045</v>
      </c>
      <c r="B646">
        <v>105</v>
      </c>
      <c r="C646" t="s">
        <v>557</v>
      </c>
      <c r="D646" s="452">
        <v>46113</v>
      </c>
      <c r="E646">
        <v>26236</v>
      </c>
      <c r="F646" t="s">
        <v>5077</v>
      </c>
      <c r="G646">
        <v>6638</v>
      </c>
      <c r="H646">
        <v>4</v>
      </c>
      <c r="I646" t="s">
        <v>4805</v>
      </c>
      <c r="J646" t="s">
        <v>5222</v>
      </c>
      <c r="K646" t="s">
        <v>461</v>
      </c>
      <c r="L646">
        <v>0</v>
      </c>
      <c r="M646" s="452">
        <v>46027</v>
      </c>
      <c r="N646">
        <v>128.05000000000001</v>
      </c>
      <c r="O646">
        <v>128.05000000000001</v>
      </c>
      <c r="P646">
        <v>512.20000000000005</v>
      </c>
    </row>
    <row r="647" spans="1:16" x14ac:dyDescent="0.3">
      <c r="A647">
        <v>78969</v>
      </c>
      <c r="B647">
        <v>105</v>
      </c>
      <c r="C647" t="s">
        <v>557</v>
      </c>
      <c r="D647" s="452">
        <v>46113</v>
      </c>
      <c r="E647">
        <v>18991</v>
      </c>
      <c r="F647" t="s">
        <v>4815</v>
      </c>
      <c r="G647">
        <v>2900</v>
      </c>
      <c r="H647">
        <v>12</v>
      </c>
      <c r="I647" t="s">
        <v>4744</v>
      </c>
      <c r="J647" t="s">
        <v>5191</v>
      </c>
      <c r="K647" t="s">
        <v>461</v>
      </c>
      <c r="L647">
        <v>42.42</v>
      </c>
      <c r="M647" s="452">
        <v>46105</v>
      </c>
      <c r="N647">
        <v>42.42</v>
      </c>
      <c r="O647">
        <v>42.42</v>
      </c>
      <c r="P647">
        <v>509.04</v>
      </c>
    </row>
    <row r="648" spans="1:16" x14ac:dyDescent="0.3">
      <c r="A648">
        <v>79022</v>
      </c>
      <c r="B648">
        <v>105</v>
      </c>
      <c r="C648" t="s">
        <v>557</v>
      </c>
      <c r="D648" s="452">
        <v>46113</v>
      </c>
      <c r="E648">
        <v>18179</v>
      </c>
      <c r="F648" t="s">
        <v>4924</v>
      </c>
      <c r="G648">
        <v>3443</v>
      </c>
      <c r="H648">
        <v>4.7</v>
      </c>
      <c r="I648" t="s">
        <v>4805</v>
      </c>
      <c r="J648" t="s">
        <v>5222</v>
      </c>
      <c r="K648" t="s">
        <v>461</v>
      </c>
      <c r="L648">
        <v>0</v>
      </c>
      <c r="M648" s="452">
        <v>46049</v>
      </c>
      <c r="N648">
        <v>107.47</v>
      </c>
      <c r="O648">
        <v>112.05</v>
      </c>
      <c r="P648">
        <v>505.11</v>
      </c>
    </row>
    <row r="649" spans="1:16" x14ac:dyDescent="0.3">
      <c r="A649">
        <v>78924</v>
      </c>
      <c r="B649">
        <v>105</v>
      </c>
      <c r="C649" t="s">
        <v>557</v>
      </c>
      <c r="D649" s="452">
        <v>46113</v>
      </c>
      <c r="E649">
        <v>17950</v>
      </c>
      <c r="F649" t="s">
        <v>5091</v>
      </c>
      <c r="G649">
        <v>3626</v>
      </c>
      <c r="H649">
        <v>29.41</v>
      </c>
      <c r="I649" t="s">
        <v>4738</v>
      </c>
      <c r="J649" t="s">
        <v>5222</v>
      </c>
      <c r="K649" t="s">
        <v>461</v>
      </c>
      <c r="L649">
        <v>16.989999999999998</v>
      </c>
      <c r="M649" s="452">
        <v>46111</v>
      </c>
      <c r="N649">
        <v>16.989999999999998</v>
      </c>
      <c r="O649">
        <v>16.989999999999998</v>
      </c>
      <c r="P649">
        <v>499.68</v>
      </c>
    </row>
    <row r="650" spans="1:16" x14ac:dyDescent="0.3">
      <c r="A650">
        <v>78998</v>
      </c>
      <c r="B650">
        <v>105</v>
      </c>
      <c r="C650" t="s">
        <v>557</v>
      </c>
      <c r="D650" s="452">
        <v>46113</v>
      </c>
      <c r="E650">
        <v>19291</v>
      </c>
      <c r="F650" t="s">
        <v>4870</v>
      </c>
      <c r="G650">
        <v>2775</v>
      </c>
      <c r="H650">
        <v>7</v>
      </c>
      <c r="I650" t="s">
        <v>4744</v>
      </c>
      <c r="J650" t="s">
        <v>5191</v>
      </c>
      <c r="K650" t="s">
        <v>461</v>
      </c>
      <c r="L650">
        <v>70.900000000000006</v>
      </c>
      <c r="M650" s="452">
        <v>46094</v>
      </c>
      <c r="N650">
        <v>70.900000000000006</v>
      </c>
      <c r="O650">
        <v>79</v>
      </c>
      <c r="P650">
        <v>496.3</v>
      </c>
    </row>
    <row r="651" spans="1:16" x14ac:dyDescent="0.3">
      <c r="A651">
        <v>79014</v>
      </c>
      <c r="B651">
        <v>105</v>
      </c>
      <c r="C651" t="s">
        <v>557</v>
      </c>
      <c r="D651" s="452">
        <v>46113</v>
      </c>
      <c r="E651">
        <v>18359</v>
      </c>
      <c r="F651" t="s">
        <v>4921</v>
      </c>
      <c r="G651">
        <v>3278</v>
      </c>
      <c r="H651">
        <v>5.2</v>
      </c>
      <c r="I651" t="s">
        <v>4805</v>
      </c>
      <c r="J651" t="s">
        <v>5222</v>
      </c>
      <c r="K651" t="s">
        <v>461</v>
      </c>
      <c r="L651">
        <v>94.8</v>
      </c>
      <c r="M651" s="452">
        <v>46104</v>
      </c>
      <c r="N651">
        <v>94.8</v>
      </c>
      <c r="O651">
        <v>94.8</v>
      </c>
      <c r="P651">
        <v>492.96</v>
      </c>
    </row>
    <row r="652" spans="1:16" x14ac:dyDescent="0.3">
      <c r="A652">
        <v>78993</v>
      </c>
      <c r="B652">
        <v>105</v>
      </c>
      <c r="C652" t="s">
        <v>557</v>
      </c>
      <c r="D652" s="452">
        <v>46113</v>
      </c>
      <c r="E652">
        <v>19346</v>
      </c>
      <c r="F652" t="s">
        <v>4835</v>
      </c>
      <c r="G652">
        <v>2770</v>
      </c>
      <c r="H652">
        <v>8.1999999999999993</v>
      </c>
      <c r="I652" t="s">
        <v>4744</v>
      </c>
      <c r="J652" t="s">
        <v>5191</v>
      </c>
      <c r="K652" t="s">
        <v>461</v>
      </c>
      <c r="L652">
        <v>58.3</v>
      </c>
      <c r="M652" s="452">
        <v>46097</v>
      </c>
      <c r="N652">
        <v>58.3</v>
      </c>
      <c r="O652">
        <v>60.94</v>
      </c>
      <c r="P652">
        <v>478.06</v>
      </c>
    </row>
    <row r="653" spans="1:16" x14ac:dyDescent="0.3">
      <c r="A653">
        <v>78953</v>
      </c>
      <c r="B653">
        <v>105</v>
      </c>
      <c r="C653" t="s">
        <v>557</v>
      </c>
      <c r="D653" s="452">
        <v>46113</v>
      </c>
      <c r="E653">
        <v>18475</v>
      </c>
      <c r="F653" t="s">
        <v>4895</v>
      </c>
      <c r="G653">
        <v>3181</v>
      </c>
      <c r="H653">
        <v>14</v>
      </c>
      <c r="I653" t="s">
        <v>4805</v>
      </c>
      <c r="J653" t="s">
        <v>5222</v>
      </c>
      <c r="K653" t="s">
        <v>461</v>
      </c>
      <c r="L653">
        <v>32.9</v>
      </c>
      <c r="M653" s="452">
        <v>46084</v>
      </c>
      <c r="N653">
        <v>32.9</v>
      </c>
      <c r="O653">
        <v>32.9</v>
      </c>
      <c r="P653">
        <v>460.6</v>
      </c>
    </row>
    <row r="654" spans="1:16" x14ac:dyDescent="0.3">
      <c r="A654">
        <v>79046</v>
      </c>
      <c r="B654">
        <v>105</v>
      </c>
      <c r="C654" t="s">
        <v>557</v>
      </c>
      <c r="D654" s="452">
        <v>46113</v>
      </c>
      <c r="E654">
        <v>17578</v>
      </c>
      <c r="F654" t="s">
        <v>4842</v>
      </c>
      <c r="G654">
        <v>3948</v>
      </c>
      <c r="H654">
        <v>4</v>
      </c>
      <c r="I654" t="s">
        <v>4805</v>
      </c>
      <c r="J654" t="s">
        <v>5222</v>
      </c>
      <c r="K654" t="s">
        <v>461</v>
      </c>
      <c r="L654">
        <v>0</v>
      </c>
      <c r="M654" s="452">
        <v>46055</v>
      </c>
      <c r="N654">
        <v>112.84</v>
      </c>
      <c r="O654">
        <v>112.84</v>
      </c>
      <c r="P654">
        <v>451.36</v>
      </c>
    </row>
    <row r="655" spans="1:16" x14ac:dyDescent="0.3">
      <c r="A655">
        <v>79057</v>
      </c>
      <c r="B655">
        <v>105</v>
      </c>
      <c r="C655" t="s">
        <v>557</v>
      </c>
      <c r="D655" s="452">
        <v>46113</v>
      </c>
      <c r="E655">
        <v>24142</v>
      </c>
      <c r="F655" t="s">
        <v>5090</v>
      </c>
      <c r="G655">
        <v>3085</v>
      </c>
      <c r="H655">
        <v>3.58</v>
      </c>
      <c r="I655" t="s">
        <v>4749</v>
      </c>
      <c r="J655" t="s">
        <v>5222</v>
      </c>
      <c r="K655" t="s">
        <v>461</v>
      </c>
      <c r="L655">
        <v>110.68</v>
      </c>
      <c r="M655" s="452">
        <v>46090</v>
      </c>
      <c r="N655">
        <v>110.67</v>
      </c>
      <c r="O655">
        <v>161.54</v>
      </c>
      <c r="P655">
        <v>396.23</v>
      </c>
    </row>
    <row r="656" spans="1:16" x14ac:dyDescent="0.3">
      <c r="A656">
        <v>78985</v>
      </c>
      <c r="B656">
        <v>105</v>
      </c>
      <c r="C656" t="s">
        <v>557</v>
      </c>
      <c r="D656" s="452">
        <v>46113</v>
      </c>
      <c r="E656">
        <v>27657</v>
      </c>
      <c r="F656" t="s">
        <v>5137</v>
      </c>
      <c r="G656">
        <v>7623</v>
      </c>
      <c r="H656">
        <v>9.1999999999999993</v>
      </c>
      <c r="I656" t="s">
        <v>4744</v>
      </c>
      <c r="J656" t="s">
        <v>5191</v>
      </c>
      <c r="K656" t="s">
        <v>461</v>
      </c>
      <c r="L656">
        <v>39.950000000000003</v>
      </c>
      <c r="M656" s="452">
        <v>46095</v>
      </c>
      <c r="N656">
        <v>39.950000000000003</v>
      </c>
      <c r="O656">
        <v>39.950000000000003</v>
      </c>
      <c r="P656">
        <v>367.54</v>
      </c>
    </row>
    <row r="657" spans="1:16" x14ac:dyDescent="0.3">
      <c r="A657">
        <v>79114</v>
      </c>
      <c r="B657">
        <v>105</v>
      </c>
      <c r="C657" t="s">
        <v>557</v>
      </c>
      <c r="D657" s="452">
        <v>46113</v>
      </c>
      <c r="E657">
        <v>25807</v>
      </c>
      <c r="F657" t="s">
        <v>4951</v>
      </c>
      <c r="G657">
        <v>6344</v>
      </c>
      <c r="H657">
        <v>2</v>
      </c>
      <c r="I657" t="s">
        <v>4736</v>
      </c>
      <c r="J657" t="s">
        <v>5191</v>
      </c>
      <c r="K657" t="s">
        <v>461</v>
      </c>
      <c r="L657">
        <v>178.76</v>
      </c>
      <c r="M657" s="452">
        <v>46108</v>
      </c>
      <c r="N657">
        <v>173.99</v>
      </c>
      <c r="O657">
        <v>173.99</v>
      </c>
      <c r="P657">
        <v>357.52</v>
      </c>
    </row>
    <row r="658" spans="1:16" x14ac:dyDescent="0.3">
      <c r="A658">
        <v>78967</v>
      </c>
      <c r="B658">
        <v>105</v>
      </c>
      <c r="C658" t="s">
        <v>557</v>
      </c>
      <c r="D658" s="452">
        <v>46113</v>
      </c>
      <c r="E658">
        <v>18030</v>
      </c>
      <c r="F658" t="s">
        <v>4840</v>
      </c>
      <c r="G658">
        <v>3568</v>
      </c>
      <c r="H658">
        <v>12.5</v>
      </c>
      <c r="I658" t="s">
        <v>4805</v>
      </c>
      <c r="J658" t="s">
        <v>5222</v>
      </c>
      <c r="K658" t="s">
        <v>461</v>
      </c>
      <c r="L658">
        <v>27.86</v>
      </c>
      <c r="M658" s="452">
        <v>46093</v>
      </c>
      <c r="N658">
        <v>27.86</v>
      </c>
      <c r="O658">
        <v>27.99</v>
      </c>
      <c r="P658">
        <v>348.25</v>
      </c>
    </row>
    <row r="659" spans="1:16" x14ac:dyDescent="0.3">
      <c r="A659">
        <v>79026</v>
      </c>
      <c r="B659">
        <v>105</v>
      </c>
      <c r="C659" t="s">
        <v>557</v>
      </c>
      <c r="D659" s="452">
        <v>46113</v>
      </c>
      <c r="E659">
        <v>18220</v>
      </c>
      <c r="F659" t="s">
        <v>5147</v>
      </c>
      <c r="G659">
        <v>3408</v>
      </c>
      <c r="H659">
        <v>4.3499999999999996</v>
      </c>
      <c r="I659" t="s">
        <v>4805</v>
      </c>
      <c r="J659" t="s">
        <v>5222</v>
      </c>
      <c r="K659" t="s">
        <v>461</v>
      </c>
      <c r="L659">
        <v>0</v>
      </c>
      <c r="M659" s="452">
        <v>46078</v>
      </c>
      <c r="N659">
        <v>77</v>
      </c>
      <c r="O659">
        <v>75</v>
      </c>
      <c r="P659">
        <v>334.95</v>
      </c>
    </row>
    <row r="660" spans="1:16" x14ac:dyDescent="0.3">
      <c r="A660">
        <v>79019</v>
      </c>
      <c r="B660">
        <v>105</v>
      </c>
      <c r="C660" t="s">
        <v>557</v>
      </c>
      <c r="D660" s="452">
        <v>46113</v>
      </c>
      <c r="E660">
        <v>26036</v>
      </c>
      <c r="F660" t="s">
        <v>4841</v>
      </c>
      <c r="G660">
        <v>6505</v>
      </c>
      <c r="H660">
        <v>5</v>
      </c>
      <c r="I660" t="s">
        <v>4805</v>
      </c>
      <c r="J660" t="s">
        <v>5222</v>
      </c>
      <c r="K660" t="s">
        <v>461</v>
      </c>
      <c r="L660">
        <v>0</v>
      </c>
      <c r="M660" s="452">
        <v>46007</v>
      </c>
      <c r="N660">
        <v>65</v>
      </c>
      <c r="O660">
        <v>56.95</v>
      </c>
      <c r="P660">
        <v>325</v>
      </c>
    </row>
    <row r="661" spans="1:16" x14ac:dyDescent="0.3">
      <c r="A661">
        <v>79042</v>
      </c>
      <c r="B661">
        <v>105</v>
      </c>
      <c r="C661" t="s">
        <v>557</v>
      </c>
      <c r="D661" s="452">
        <v>46113</v>
      </c>
      <c r="E661">
        <v>24614</v>
      </c>
      <c r="F661" t="s">
        <v>4897</v>
      </c>
      <c r="G661">
        <v>3855</v>
      </c>
      <c r="H661">
        <v>4</v>
      </c>
      <c r="I661" t="s">
        <v>4805</v>
      </c>
      <c r="J661" t="s">
        <v>5222</v>
      </c>
      <c r="K661" t="s">
        <v>461</v>
      </c>
      <c r="L661">
        <v>0</v>
      </c>
      <c r="M661" s="452">
        <v>46007</v>
      </c>
      <c r="N661">
        <v>79.3</v>
      </c>
      <c r="O661">
        <v>79.3</v>
      </c>
      <c r="P661">
        <v>317.2</v>
      </c>
    </row>
    <row r="662" spans="1:16" x14ac:dyDescent="0.3">
      <c r="A662">
        <v>78990</v>
      </c>
      <c r="B662">
        <v>105</v>
      </c>
      <c r="C662" t="s">
        <v>557</v>
      </c>
      <c r="D662" s="452">
        <v>46113</v>
      </c>
      <c r="E662">
        <v>23785</v>
      </c>
      <c r="F662" t="s">
        <v>4858</v>
      </c>
      <c r="G662">
        <v>2114</v>
      </c>
      <c r="H662">
        <v>8.5</v>
      </c>
      <c r="I662" t="s">
        <v>4744</v>
      </c>
      <c r="J662" t="s">
        <v>5191</v>
      </c>
      <c r="K662" t="s">
        <v>461</v>
      </c>
      <c r="L662">
        <v>36.950000000000003</v>
      </c>
      <c r="M662" s="452">
        <v>46092</v>
      </c>
      <c r="N662">
        <v>28.9</v>
      </c>
      <c r="O662">
        <v>28.9</v>
      </c>
      <c r="P662">
        <v>314.08</v>
      </c>
    </row>
    <row r="663" spans="1:16" x14ac:dyDescent="0.3">
      <c r="A663">
        <v>79090</v>
      </c>
      <c r="B663">
        <v>105</v>
      </c>
      <c r="C663" t="s">
        <v>557</v>
      </c>
      <c r="D663" s="452">
        <v>46113</v>
      </c>
      <c r="E663">
        <v>17062</v>
      </c>
      <c r="F663" t="s">
        <v>4880</v>
      </c>
      <c r="G663">
        <v>1954</v>
      </c>
      <c r="H663">
        <v>2.4</v>
      </c>
      <c r="I663" t="s">
        <v>4879</v>
      </c>
      <c r="J663" t="s">
        <v>5191</v>
      </c>
      <c r="K663" t="s">
        <v>461</v>
      </c>
      <c r="L663">
        <v>126.03</v>
      </c>
      <c r="M663" s="452">
        <v>46091</v>
      </c>
      <c r="N663">
        <v>126.03</v>
      </c>
      <c r="O663">
        <v>126.03</v>
      </c>
      <c r="P663">
        <v>302.47000000000003</v>
      </c>
    </row>
    <row r="664" spans="1:16" x14ac:dyDescent="0.3">
      <c r="A664">
        <v>79043</v>
      </c>
      <c r="B664">
        <v>105</v>
      </c>
      <c r="C664" t="s">
        <v>557</v>
      </c>
      <c r="D664" s="452">
        <v>46113</v>
      </c>
      <c r="E664">
        <v>25702</v>
      </c>
      <c r="F664" t="s">
        <v>5135</v>
      </c>
      <c r="G664">
        <v>6263</v>
      </c>
      <c r="H664">
        <v>4</v>
      </c>
      <c r="I664" t="s">
        <v>4805</v>
      </c>
      <c r="J664" t="s">
        <v>5222</v>
      </c>
      <c r="K664" t="s">
        <v>461</v>
      </c>
      <c r="L664">
        <v>0</v>
      </c>
      <c r="M664" s="452">
        <v>46063</v>
      </c>
      <c r="N664">
        <v>75.400000000000006</v>
      </c>
      <c r="O664">
        <v>75.400000000000006</v>
      </c>
      <c r="P664">
        <v>301.60000000000002</v>
      </c>
    </row>
    <row r="665" spans="1:16" x14ac:dyDescent="0.3">
      <c r="A665">
        <v>79070</v>
      </c>
      <c r="B665">
        <v>105</v>
      </c>
      <c r="C665" t="s">
        <v>557</v>
      </c>
      <c r="D665" s="452">
        <v>46113</v>
      </c>
      <c r="E665">
        <v>19895</v>
      </c>
      <c r="F665" t="s">
        <v>5080</v>
      </c>
      <c r="G665">
        <v>2385</v>
      </c>
      <c r="H665">
        <v>3</v>
      </c>
      <c r="I665" t="s">
        <v>4888</v>
      </c>
      <c r="J665" t="s">
        <v>5191</v>
      </c>
      <c r="K665" t="s">
        <v>461</v>
      </c>
      <c r="L665">
        <v>0</v>
      </c>
      <c r="M665" s="452">
        <v>45887</v>
      </c>
      <c r="N665">
        <v>99.99</v>
      </c>
      <c r="O665">
        <v>32</v>
      </c>
      <c r="P665">
        <v>299.97000000000003</v>
      </c>
    </row>
    <row r="666" spans="1:16" x14ac:dyDescent="0.3">
      <c r="A666">
        <v>79047</v>
      </c>
      <c r="B666">
        <v>105</v>
      </c>
      <c r="C666" t="s">
        <v>557</v>
      </c>
      <c r="D666" s="452">
        <v>46113</v>
      </c>
      <c r="E666">
        <v>26046</v>
      </c>
      <c r="F666" t="s">
        <v>5148</v>
      </c>
      <c r="G666">
        <v>6510</v>
      </c>
      <c r="H666">
        <v>4</v>
      </c>
      <c r="I666" t="s">
        <v>4805</v>
      </c>
      <c r="J666" t="s">
        <v>5222</v>
      </c>
      <c r="K666" t="s">
        <v>461</v>
      </c>
      <c r="L666">
        <v>0</v>
      </c>
      <c r="M666" s="452">
        <v>45638</v>
      </c>
      <c r="N666">
        <v>74.2</v>
      </c>
      <c r="O666">
        <v>75.48</v>
      </c>
      <c r="P666">
        <v>296.8</v>
      </c>
    </row>
    <row r="667" spans="1:16" x14ac:dyDescent="0.3">
      <c r="A667">
        <v>78996</v>
      </c>
      <c r="B667">
        <v>105</v>
      </c>
      <c r="C667" t="s">
        <v>557</v>
      </c>
      <c r="D667" s="452">
        <v>46113</v>
      </c>
      <c r="E667">
        <v>18547</v>
      </c>
      <c r="F667" t="s">
        <v>4863</v>
      </c>
      <c r="G667">
        <v>3132</v>
      </c>
      <c r="H667">
        <v>7.6</v>
      </c>
      <c r="I667" t="s">
        <v>4805</v>
      </c>
      <c r="J667" t="s">
        <v>5222</v>
      </c>
      <c r="K667" t="s">
        <v>461</v>
      </c>
      <c r="L667">
        <v>38.9</v>
      </c>
      <c r="M667" s="452">
        <v>46085</v>
      </c>
      <c r="N667">
        <v>38.9</v>
      </c>
      <c r="O667">
        <v>37.5</v>
      </c>
      <c r="P667">
        <v>295.64</v>
      </c>
    </row>
    <row r="668" spans="1:16" x14ac:dyDescent="0.3">
      <c r="A668">
        <v>78988</v>
      </c>
      <c r="B668">
        <v>105</v>
      </c>
      <c r="C668" t="s">
        <v>557</v>
      </c>
      <c r="D668" s="452">
        <v>46113</v>
      </c>
      <c r="E668">
        <v>24339</v>
      </c>
      <c r="F668" t="s">
        <v>4885</v>
      </c>
      <c r="G668">
        <v>2153</v>
      </c>
      <c r="H668">
        <v>9</v>
      </c>
      <c r="I668" t="s">
        <v>4744</v>
      </c>
      <c r="J668" t="s">
        <v>5191</v>
      </c>
      <c r="K668" t="s">
        <v>461</v>
      </c>
      <c r="L668">
        <v>32.799999999999997</v>
      </c>
      <c r="M668" s="452">
        <v>46092</v>
      </c>
      <c r="N668">
        <v>32.799999999999997</v>
      </c>
      <c r="O668">
        <v>24.99</v>
      </c>
      <c r="P668">
        <v>295.2</v>
      </c>
    </row>
    <row r="669" spans="1:16" x14ac:dyDescent="0.3">
      <c r="A669">
        <v>79020</v>
      </c>
      <c r="B669">
        <v>105</v>
      </c>
      <c r="C669" t="s">
        <v>557</v>
      </c>
      <c r="D669" s="452">
        <v>46113</v>
      </c>
      <c r="E669">
        <v>18502</v>
      </c>
      <c r="F669" t="s">
        <v>4893</v>
      </c>
      <c r="G669">
        <v>3155</v>
      </c>
      <c r="H669">
        <v>4.9000000000000004</v>
      </c>
      <c r="I669" t="s">
        <v>4805</v>
      </c>
      <c r="J669" t="s">
        <v>5222</v>
      </c>
      <c r="K669" t="s">
        <v>461</v>
      </c>
      <c r="L669">
        <v>0</v>
      </c>
      <c r="M669" s="452">
        <v>46050</v>
      </c>
      <c r="N669">
        <v>59.7</v>
      </c>
      <c r="O669">
        <v>59.7</v>
      </c>
      <c r="P669">
        <v>292.52999999999997</v>
      </c>
    </row>
    <row r="670" spans="1:16" x14ac:dyDescent="0.3">
      <c r="A670">
        <v>79093</v>
      </c>
      <c r="B670">
        <v>105</v>
      </c>
      <c r="C670" t="s">
        <v>557</v>
      </c>
      <c r="D670" s="452">
        <v>46113</v>
      </c>
      <c r="E670">
        <v>18295</v>
      </c>
      <c r="F670" t="s">
        <v>4968</v>
      </c>
      <c r="G670">
        <v>3334</v>
      </c>
      <c r="H670">
        <v>2.2999999999999998</v>
      </c>
      <c r="I670" t="s">
        <v>4805</v>
      </c>
      <c r="J670" t="s">
        <v>5222</v>
      </c>
      <c r="K670" t="s">
        <v>461</v>
      </c>
      <c r="L670">
        <v>0</v>
      </c>
      <c r="M670" s="452">
        <v>45979</v>
      </c>
      <c r="N670">
        <v>124.54</v>
      </c>
      <c r="O670">
        <v>124</v>
      </c>
      <c r="P670">
        <v>286.44</v>
      </c>
    </row>
    <row r="671" spans="1:16" x14ac:dyDescent="0.3">
      <c r="A671">
        <v>78955</v>
      </c>
      <c r="B671">
        <v>105</v>
      </c>
      <c r="C671" t="s">
        <v>557</v>
      </c>
      <c r="D671" s="452">
        <v>46113</v>
      </c>
      <c r="E671">
        <v>20301</v>
      </c>
      <c r="F671" t="s">
        <v>4944</v>
      </c>
      <c r="G671">
        <v>2223</v>
      </c>
      <c r="H671">
        <v>14</v>
      </c>
      <c r="I671" t="s">
        <v>4738</v>
      </c>
      <c r="J671" t="s">
        <v>5191</v>
      </c>
      <c r="K671" t="s">
        <v>461</v>
      </c>
      <c r="L671">
        <v>20.12</v>
      </c>
      <c r="M671" s="452">
        <v>46101</v>
      </c>
      <c r="N671">
        <v>22.06</v>
      </c>
      <c r="O671">
        <v>18.899999999999999</v>
      </c>
      <c r="P671">
        <v>281.68</v>
      </c>
    </row>
    <row r="672" spans="1:16" x14ac:dyDescent="0.3">
      <c r="A672">
        <v>78968</v>
      </c>
      <c r="B672">
        <v>105</v>
      </c>
      <c r="C672" t="s">
        <v>557</v>
      </c>
      <c r="D672" s="452">
        <v>46113</v>
      </c>
      <c r="E672">
        <v>20521</v>
      </c>
      <c r="F672" t="s">
        <v>4797</v>
      </c>
      <c r="G672">
        <v>2149</v>
      </c>
      <c r="H672">
        <v>12.5</v>
      </c>
      <c r="I672" t="s">
        <v>4744</v>
      </c>
      <c r="J672" t="s">
        <v>5191</v>
      </c>
      <c r="K672" t="s">
        <v>461</v>
      </c>
      <c r="L672">
        <v>0</v>
      </c>
      <c r="M672" s="452">
        <v>45936</v>
      </c>
      <c r="N672">
        <v>21.99</v>
      </c>
      <c r="O672">
        <v>21.99</v>
      </c>
      <c r="P672">
        <v>274.88</v>
      </c>
    </row>
    <row r="673" spans="1:16" x14ac:dyDescent="0.3">
      <c r="A673">
        <v>79010</v>
      </c>
      <c r="B673">
        <v>105</v>
      </c>
      <c r="C673" t="s">
        <v>557</v>
      </c>
      <c r="D673" s="452">
        <v>46113</v>
      </c>
      <c r="E673">
        <v>26038</v>
      </c>
      <c r="F673" t="s">
        <v>4976</v>
      </c>
      <c r="G673">
        <v>6506</v>
      </c>
      <c r="H673">
        <v>6</v>
      </c>
      <c r="I673" t="s">
        <v>4805</v>
      </c>
      <c r="J673" t="s">
        <v>5222</v>
      </c>
      <c r="K673" t="s">
        <v>461</v>
      </c>
      <c r="L673">
        <v>0</v>
      </c>
      <c r="M673" s="452">
        <v>46048</v>
      </c>
      <c r="N673">
        <v>45.5</v>
      </c>
      <c r="O673">
        <v>45.5</v>
      </c>
      <c r="P673">
        <v>273</v>
      </c>
    </row>
    <row r="674" spans="1:16" x14ac:dyDescent="0.3">
      <c r="A674">
        <v>78941</v>
      </c>
      <c r="B674">
        <v>105</v>
      </c>
      <c r="C674" t="s">
        <v>557</v>
      </c>
      <c r="D674" s="452">
        <v>46113</v>
      </c>
      <c r="E674">
        <v>25075</v>
      </c>
      <c r="F674" t="s">
        <v>4790</v>
      </c>
      <c r="G674">
        <v>5883</v>
      </c>
      <c r="H674">
        <v>16</v>
      </c>
      <c r="I674" t="s">
        <v>4738</v>
      </c>
      <c r="J674" t="s">
        <v>5191</v>
      </c>
      <c r="K674" t="s">
        <v>461</v>
      </c>
      <c r="L674">
        <v>16.8</v>
      </c>
      <c r="M674" s="452">
        <v>46094</v>
      </c>
      <c r="N674">
        <v>16.8</v>
      </c>
      <c r="O674">
        <v>16.8</v>
      </c>
      <c r="P674">
        <v>268.8</v>
      </c>
    </row>
    <row r="675" spans="1:16" x14ac:dyDescent="0.3">
      <c r="A675">
        <v>78933</v>
      </c>
      <c r="B675">
        <v>105</v>
      </c>
      <c r="C675" t="s">
        <v>557</v>
      </c>
      <c r="D675" s="452">
        <v>46113</v>
      </c>
      <c r="E675">
        <v>20623</v>
      </c>
      <c r="F675" t="s">
        <v>4814</v>
      </c>
      <c r="G675">
        <v>2116</v>
      </c>
      <c r="H675">
        <v>21</v>
      </c>
      <c r="I675" t="s">
        <v>4736</v>
      </c>
      <c r="J675" t="s">
        <v>5191</v>
      </c>
      <c r="K675" t="s">
        <v>461</v>
      </c>
      <c r="L675">
        <v>12.39</v>
      </c>
      <c r="M675" s="452">
        <v>46100</v>
      </c>
      <c r="N675">
        <v>12.39</v>
      </c>
      <c r="O675">
        <v>12.39</v>
      </c>
      <c r="P675">
        <v>260.19</v>
      </c>
    </row>
    <row r="676" spans="1:16" x14ac:dyDescent="0.3">
      <c r="A676">
        <v>79044</v>
      </c>
      <c r="B676">
        <v>105</v>
      </c>
      <c r="C676" t="s">
        <v>557</v>
      </c>
      <c r="D676" s="452">
        <v>46113</v>
      </c>
      <c r="E676">
        <v>26044</v>
      </c>
      <c r="F676" t="s">
        <v>4843</v>
      </c>
      <c r="G676">
        <v>6509</v>
      </c>
      <c r="H676">
        <v>4</v>
      </c>
      <c r="I676" t="s">
        <v>4805</v>
      </c>
      <c r="J676" t="s">
        <v>5222</v>
      </c>
      <c r="K676" t="s">
        <v>461</v>
      </c>
      <c r="L676">
        <v>0</v>
      </c>
      <c r="M676" s="452">
        <v>45987</v>
      </c>
      <c r="N676">
        <v>65</v>
      </c>
      <c r="O676">
        <v>69.680000000000007</v>
      </c>
      <c r="P676">
        <v>260</v>
      </c>
    </row>
    <row r="677" spans="1:16" x14ac:dyDescent="0.3">
      <c r="A677">
        <v>79102</v>
      </c>
      <c r="B677">
        <v>105</v>
      </c>
      <c r="C677" t="s">
        <v>557</v>
      </c>
      <c r="D677" s="452">
        <v>46113</v>
      </c>
      <c r="E677">
        <v>18586</v>
      </c>
      <c r="F677" t="s">
        <v>4966</v>
      </c>
      <c r="G677">
        <v>3104</v>
      </c>
      <c r="H677">
        <v>2</v>
      </c>
      <c r="I677" t="s">
        <v>4738</v>
      </c>
      <c r="J677" t="s">
        <v>5222</v>
      </c>
      <c r="K677" t="s">
        <v>461</v>
      </c>
      <c r="L677">
        <v>128.97</v>
      </c>
      <c r="M677" s="452">
        <v>46083</v>
      </c>
      <c r="N677">
        <v>128.97</v>
      </c>
      <c r="O677">
        <v>132.07</v>
      </c>
      <c r="P677">
        <v>257.94</v>
      </c>
    </row>
    <row r="678" spans="1:16" x14ac:dyDescent="0.3">
      <c r="A678">
        <v>78986</v>
      </c>
      <c r="B678">
        <v>105</v>
      </c>
      <c r="C678" t="s">
        <v>557</v>
      </c>
      <c r="D678" s="452">
        <v>46113</v>
      </c>
      <c r="E678">
        <v>18253</v>
      </c>
      <c r="F678" t="s">
        <v>4969</v>
      </c>
      <c r="G678">
        <v>3376</v>
      </c>
      <c r="H678">
        <v>9</v>
      </c>
      <c r="I678" t="s">
        <v>4805</v>
      </c>
      <c r="J678" t="s">
        <v>5222</v>
      </c>
      <c r="K678" t="s">
        <v>461</v>
      </c>
      <c r="L678">
        <v>28.3</v>
      </c>
      <c r="M678" s="452">
        <v>46091</v>
      </c>
      <c r="N678">
        <v>28.3</v>
      </c>
      <c r="O678">
        <v>28.6</v>
      </c>
      <c r="P678">
        <v>254.7</v>
      </c>
    </row>
    <row r="679" spans="1:16" x14ac:dyDescent="0.3">
      <c r="A679">
        <v>79027</v>
      </c>
      <c r="B679">
        <v>105</v>
      </c>
      <c r="C679" t="s">
        <v>557</v>
      </c>
      <c r="D679" s="452">
        <v>46113</v>
      </c>
      <c r="E679">
        <v>27264</v>
      </c>
      <c r="F679" t="s">
        <v>5075</v>
      </c>
      <c r="G679">
        <v>7390</v>
      </c>
      <c r="H679">
        <v>4.3099999999999996</v>
      </c>
      <c r="I679" t="s">
        <v>4744</v>
      </c>
      <c r="J679" t="s">
        <v>5191</v>
      </c>
      <c r="K679" t="s">
        <v>461</v>
      </c>
      <c r="L679">
        <v>58.57</v>
      </c>
      <c r="M679" s="452">
        <v>46112</v>
      </c>
      <c r="N679">
        <v>53.2</v>
      </c>
      <c r="O679">
        <v>53.2</v>
      </c>
      <c r="P679">
        <v>252.44</v>
      </c>
    </row>
    <row r="680" spans="1:16" x14ac:dyDescent="0.3">
      <c r="A680">
        <v>79097</v>
      </c>
      <c r="B680">
        <v>105</v>
      </c>
      <c r="C680" t="s">
        <v>557</v>
      </c>
      <c r="D680" s="452">
        <v>46113</v>
      </c>
      <c r="E680">
        <v>21150</v>
      </c>
      <c r="F680" t="s">
        <v>4878</v>
      </c>
      <c r="G680">
        <v>1951</v>
      </c>
      <c r="H680">
        <v>2.2000000000000002</v>
      </c>
      <c r="I680" t="s">
        <v>4879</v>
      </c>
      <c r="J680" t="s">
        <v>5191</v>
      </c>
      <c r="K680" t="s">
        <v>461</v>
      </c>
      <c r="L680">
        <v>113.31</v>
      </c>
      <c r="M680" s="452">
        <v>46091</v>
      </c>
      <c r="N680">
        <v>113.31</v>
      </c>
      <c r="O680">
        <v>113.31</v>
      </c>
      <c r="P680">
        <v>249.28</v>
      </c>
    </row>
    <row r="681" spans="1:16" x14ac:dyDescent="0.3">
      <c r="A681">
        <v>78907</v>
      </c>
      <c r="B681">
        <v>105</v>
      </c>
      <c r="C681" t="s">
        <v>557</v>
      </c>
      <c r="D681" s="452">
        <v>46113</v>
      </c>
      <c r="E681">
        <v>17895</v>
      </c>
      <c r="F681" t="s">
        <v>5086</v>
      </c>
      <c r="G681">
        <v>3665</v>
      </c>
      <c r="H681">
        <v>10.67</v>
      </c>
      <c r="I681" t="s">
        <v>4738</v>
      </c>
      <c r="J681" t="s">
        <v>5222</v>
      </c>
      <c r="K681" t="s">
        <v>461</v>
      </c>
      <c r="L681">
        <v>23.06</v>
      </c>
      <c r="M681" s="452">
        <v>46083</v>
      </c>
      <c r="N681">
        <v>23.06</v>
      </c>
      <c r="O681">
        <v>26.57</v>
      </c>
      <c r="P681">
        <v>246.05</v>
      </c>
    </row>
    <row r="682" spans="1:16" x14ac:dyDescent="0.3">
      <c r="A682">
        <v>79004</v>
      </c>
      <c r="B682">
        <v>105</v>
      </c>
      <c r="C682" t="s">
        <v>557</v>
      </c>
      <c r="D682" s="452">
        <v>46113</v>
      </c>
      <c r="E682">
        <v>24320</v>
      </c>
      <c r="F682" t="s">
        <v>4861</v>
      </c>
      <c r="G682">
        <v>2942</v>
      </c>
      <c r="H682">
        <v>6.84</v>
      </c>
      <c r="I682" t="s">
        <v>4744</v>
      </c>
      <c r="J682" t="s">
        <v>5191</v>
      </c>
      <c r="K682" t="s">
        <v>461</v>
      </c>
      <c r="L682">
        <v>35.9</v>
      </c>
      <c r="M682" s="452">
        <v>46090</v>
      </c>
      <c r="N682">
        <v>35.9</v>
      </c>
      <c r="O682">
        <v>34</v>
      </c>
      <c r="P682">
        <v>245.56</v>
      </c>
    </row>
    <row r="683" spans="1:16" x14ac:dyDescent="0.3">
      <c r="A683">
        <v>79078</v>
      </c>
      <c r="B683">
        <v>105</v>
      </c>
      <c r="C683" t="s">
        <v>557</v>
      </c>
      <c r="D683" s="452">
        <v>46113</v>
      </c>
      <c r="E683">
        <v>27018</v>
      </c>
      <c r="F683" t="s">
        <v>4737</v>
      </c>
      <c r="G683">
        <v>7070</v>
      </c>
      <c r="H683">
        <v>3</v>
      </c>
      <c r="I683" t="s">
        <v>4738</v>
      </c>
      <c r="J683" t="s">
        <v>5222</v>
      </c>
      <c r="K683" t="s">
        <v>461</v>
      </c>
      <c r="L683">
        <v>0</v>
      </c>
      <c r="M683" s="452">
        <v>45978</v>
      </c>
      <c r="N683">
        <v>79.64</v>
      </c>
      <c r="O683">
        <v>79.64</v>
      </c>
      <c r="P683">
        <v>238.92</v>
      </c>
    </row>
    <row r="684" spans="1:16" x14ac:dyDescent="0.3">
      <c r="A684">
        <v>78936</v>
      </c>
      <c r="B684">
        <v>105</v>
      </c>
      <c r="C684" t="s">
        <v>557</v>
      </c>
      <c r="D684" s="452">
        <v>46113</v>
      </c>
      <c r="E684">
        <v>19734</v>
      </c>
      <c r="F684" t="s">
        <v>4833</v>
      </c>
      <c r="G684">
        <v>2519</v>
      </c>
      <c r="H684">
        <v>18.5</v>
      </c>
      <c r="I684" t="s">
        <v>4744</v>
      </c>
      <c r="J684" t="s">
        <v>5191</v>
      </c>
      <c r="K684" t="s">
        <v>461</v>
      </c>
      <c r="L684">
        <v>12.87</v>
      </c>
      <c r="M684" s="452">
        <v>46094</v>
      </c>
      <c r="N684">
        <v>13.05</v>
      </c>
      <c r="O684">
        <v>13.05</v>
      </c>
      <c r="P684">
        <v>238.1</v>
      </c>
    </row>
    <row r="685" spans="1:16" x14ac:dyDescent="0.3">
      <c r="A685">
        <v>79134</v>
      </c>
      <c r="B685">
        <v>105</v>
      </c>
      <c r="C685" t="s">
        <v>557</v>
      </c>
      <c r="D685" s="452">
        <v>46113</v>
      </c>
      <c r="E685">
        <v>18119</v>
      </c>
      <c r="F685" t="s">
        <v>5044</v>
      </c>
      <c r="G685">
        <v>3494</v>
      </c>
      <c r="H685">
        <v>1.3</v>
      </c>
      <c r="I685" t="s">
        <v>4805</v>
      </c>
      <c r="J685" t="s">
        <v>5222</v>
      </c>
      <c r="K685" t="s">
        <v>461</v>
      </c>
      <c r="L685">
        <v>0</v>
      </c>
      <c r="M685" s="452">
        <v>46045</v>
      </c>
      <c r="N685">
        <v>181</v>
      </c>
      <c r="O685">
        <v>175.4</v>
      </c>
      <c r="P685">
        <v>235.3</v>
      </c>
    </row>
    <row r="686" spans="1:16" x14ac:dyDescent="0.3">
      <c r="A686">
        <v>79007</v>
      </c>
      <c r="B686">
        <v>105</v>
      </c>
      <c r="C686" t="s">
        <v>557</v>
      </c>
      <c r="D686" s="452">
        <v>46113</v>
      </c>
      <c r="E686">
        <v>18491</v>
      </c>
      <c r="F686" t="s">
        <v>4839</v>
      </c>
      <c r="G686">
        <v>3166</v>
      </c>
      <c r="H686">
        <v>6.3</v>
      </c>
      <c r="I686" t="s">
        <v>4805</v>
      </c>
      <c r="J686" t="s">
        <v>5222</v>
      </c>
      <c r="K686" t="s">
        <v>461</v>
      </c>
      <c r="L686">
        <v>0</v>
      </c>
      <c r="M686" s="452">
        <v>45555</v>
      </c>
      <c r="N686">
        <v>35.9</v>
      </c>
      <c r="O686">
        <v>33.9</v>
      </c>
      <c r="P686">
        <v>226.17</v>
      </c>
    </row>
    <row r="687" spans="1:16" x14ac:dyDescent="0.3">
      <c r="A687">
        <v>78905</v>
      </c>
      <c r="B687">
        <v>105</v>
      </c>
      <c r="C687" t="s">
        <v>557</v>
      </c>
      <c r="D687" s="452">
        <v>46113</v>
      </c>
      <c r="E687">
        <v>23095</v>
      </c>
      <c r="F687" t="s">
        <v>4741</v>
      </c>
      <c r="G687">
        <v>2754</v>
      </c>
      <c r="H687">
        <v>168</v>
      </c>
      <c r="I687" t="s">
        <v>4736</v>
      </c>
      <c r="J687" t="s">
        <v>5191</v>
      </c>
      <c r="K687" t="s">
        <v>461</v>
      </c>
      <c r="L687">
        <v>1.31</v>
      </c>
      <c r="M687" s="452">
        <v>46112</v>
      </c>
      <c r="N687">
        <v>1.35</v>
      </c>
      <c r="O687">
        <v>1.35</v>
      </c>
      <c r="P687">
        <v>220.08</v>
      </c>
    </row>
    <row r="688" spans="1:16" x14ac:dyDescent="0.3">
      <c r="A688">
        <v>79098</v>
      </c>
      <c r="B688">
        <v>105</v>
      </c>
      <c r="C688" t="s">
        <v>557</v>
      </c>
      <c r="D688" s="452">
        <v>46113</v>
      </c>
      <c r="E688">
        <v>18232</v>
      </c>
      <c r="F688" t="s">
        <v>4971</v>
      </c>
      <c r="G688">
        <v>3396</v>
      </c>
      <c r="H688">
        <v>2.1800000000000002</v>
      </c>
      <c r="I688" t="s">
        <v>4805</v>
      </c>
      <c r="J688" t="s">
        <v>5222</v>
      </c>
      <c r="K688" t="s">
        <v>461</v>
      </c>
      <c r="L688">
        <v>0</v>
      </c>
      <c r="M688" s="452">
        <v>46057</v>
      </c>
      <c r="N688">
        <v>99.9</v>
      </c>
      <c r="O688">
        <v>101</v>
      </c>
      <c r="P688">
        <v>217.78</v>
      </c>
    </row>
    <row r="689" spans="1:16" x14ac:dyDescent="0.3">
      <c r="A689">
        <v>79008</v>
      </c>
      <c r="B689">
        <v>105</v>
      </c>
      <c r="C689" t="s">
        <v>557</v>
      </c>
      <c r="D689" s="452">
        <v>46113</v>
      </c>
      <c r="E689">
        <v>20122</v>
      </c>
      <c r="F689" t="s">
        <v>4781</v>
      </c>
      <c r="G689">
        <v>2290</v>
      </c>
      <c r="H689">
        <v>6</v>
      </c>
      <c r="I689" t="s">
        <v>4738</v>
      </c>
      <c r="J689" t="s">
        <v>5191</v>
      </c>
      <c r="K689" t="s">
        <v>461</v>
      </c>
      <c r="L689">
        <v>35.880000000000003</v>
      </c>
      <c r="M689" s="452">
        <v>46104</v>
      </c>
      <c r="N689">
        <v>44.6</v>
      </c>
      <c r="O689">
        <v>14.38</v>
      </c>
      <c r="P689">
        <v>215.28</v>
      </c>
    </row>
    <row r="690" spans="1:16" x14ac:dyDescent="0.3">
      <c r="A690">
        <v>79029</v>
      </c>
      <c r="B690">
        <v>105</v>
      </c>
      <c r="C690" t="s">
        <v>557</v>
      </c>
      <c r="D690" s="452">
        <v>46113</v>
      </c>
      <c r="E690">
        <v>19967</v>
      </c>
      <c r="F690" t="s">
        <v>4956</v>
      </c>
      <c r="G690">
        <v>2356</v>
      </c>
      <c r="H690">
        <v>4.3</v>
      </c>
      <c r="I690" t="s">
        <v>4888</v>
      </c>
      <c r="J690" t="s">
        <v>5191</v>
      </c>
      <c r="K690" t="s">
        <v>461</v>
      </c>
      <c r="L690">
        <v>49.23</v>
      </c>
      <c r="M690" s="452">
        <v>46102</v>
      </c>
      <c r="N690">
        <v>49.28</v>
      </c>
      <c r="O690">
        <v>49.28</v>
      </c>
      <c r="P690">
        <v>211.69</v>
      </c>
    </row>
    <row r="691" spans="1:16" x14ac:dyDescent="0.3">
      <c r="A691">
        <v>78932</v>
      </c>
      <c r="B691">
        <v>105</v>
      </c>
      <c r="C691" t="s">
        <v>557</v>
      </c>
      <c r="D691" s="452">
        <v>46113</v>
      </c>
      <c r="E691">
        <v>19532</v>
      </c>
      <c r="F691" t="s">
        <v>4753</v>
      </c>
      <c r="G691">
        <v>2683</v>
      </c>
      <c r="H691">
        <v>21</v>
      </c>
      <c r="I691" t="s">
        <v>4744</v>
      </c>
      <c r="J691" t="s">
        <v>5191</v>
      </c>
      <c r="K691" t="s">
        <v>461</v>
      </c>
      <c r="L691">
        <v>10.029999999999999</v>
      </c>
      <c r="M691" s="452">
        <v>46112</v>
      </c>
      <c r="N691">
        <v>8.5</v>
      </c>
      <c r="O691">
        <v>8.5</v>
      </c>
      <c r="P691">
        <v>210.63</v>
      </c>
    </row>
    <row r="692" spans="1:16" x14ac:dyDescent="0.3">
      <c r="A692">
        <v>79034</v>
      </c>
      <c r="B692">
        <v>105</v>
      </c>
      <c r="C692" t="s">
        <v>557</v>
      </c>
      <c r="D692" s="452">
        <v>46113</v>
      </c>
      <c r="E692">
        <v>20007</v>
      </c>
      <c r="F692" t="s">
        <v>5101</v>
      </c>
      <c r="G692">
        <v>2343</v>
      </c>
      <c r="H692">
        <v>4.0999999999999996</v>
      </c>
      <c r="I692" t="s">
        <v>4884</v>
      </c>
      <c r="J692" t="s">
        <v>5191</v>
      </c>
      <c r="K692" t="s">
        <v>461</v>
      </c>
      <c r="L692">
        <v>50.11</v>
      </c>
      <c r="M692" s="452">
        <v>46108</v>
      </c>
      <c r="N692">
        <v>49.86</v>
      </c>
      <c r="O692">
        <v>49.86</v>
      </c>
      <c r="P692">
        <v>205.45</v>
      </c>
    </row>
    <row r="693" spans="1:16" x14ac:dyDescent="0.3">
      <c r="A693">
        <v>78916</v>
      </c>
      <c r="B693">
        <v>105</v>
      </c>
      <c r="C693" t="s">
        <v>557</v>
      </c>
      <c r="D693" s="452">
        <v>46113</v>
      </c>
      <c r="E693">
        <v>21093</v>
      </c>
      <c r="F693" t="s">
        <v>4855</v>
      </c>
      <c r="G693">
        <v>1988</v>
      </c>
      <c r="H693">
        <v>46</v>
      </c>
      <c r="I693" t="s">
        <v>4744</v>
      </c>
      <c r="J693" t="s">
        <v>5191</v>
      </c>
      <c r="K693" t="s">
        <v>461</v>
      </c>
      <c r="L693">
        <v>4.3899999999999997</v>
      </c>
      <c r="M693" s="452">
        <v>46102</v>
      </c>
      <c r="N693">
        <v>4.3899999999999997</v>
      </c>
      <c r="O693">
        <v>4.3899999999999997</v>
      </c>
      <c r="P693">
        <v>201.94</v>
      </c>
    </row>
    <row r="694" spans="1:16" x14ac:dyDescent="0.3">
      <c r="A694">
        <v>79035</v>
      </c>
      <c r="B694">
        <v>105</v>
      </c>
      <c r="C694" t="s">
        <v>557</v>
      </c>
      <c r="D694" s="452">
        <v>46113</v>
      </c>
      <c r="E694">
        <v>18518</v>
      </c>
      <c r="F694" t="s">
        <v>4838</v>
      </c>
      <c r="G694">
        <v>3148</v>
      </c>
      <c r="H694">
        <v>4</v>
      </c>
      <c r="I694" t="s">
        <v>4805</v>
      </c>
      <c r="J694" t="s">
        <v>5222</v>
      </c>
      <c r="K694" t="s">
        <v>461</v>
      </c>
      <c r="L694">
        <v>50</v>
      </c>
      <c r="M694" s="452">
        <v>46091</v>
      </c>
      <c r="N694">
        <v>50</v>
      </c>
      <c r="O694">
        <v>50</v>
      </c>
      <c r="P694">
        <v>200</v>
      </c>
    </row>
    <row r="695" spans="1:16" x14ac:dyDescent="0.3">
      <c r="A695">
        <v>78912</v>
      </c>
      <c r="B695">
        <v>105</v>
      </c>
      <c r="C695" t="s">
        <v>557</v>
      </c>
      <c r="D695" s="452">
        <v>46113</v>
      </c>
      <c r="E695">
        <v>18004</v>
      </c>
      <c r="F695" t="s">
        <v>5093</v>
      </c>
      <c r="G695">
        <v>3592</v>
      </c>
      <c r="H695">
        <v>6.08</v>
      </c>
      <c r="I695" t="s">
        <v>4738</v>
      </c>
      <c r="J695" t="s">
        <v>5222</v>
      </c>
      <c r="K695" t="s">
        <v>461</v>
      </c>
      <c r="L695">
        <v>32.57</v>
      </c>
      <c r="M695" s="452">
        <v>46090</v>
      </c>
      <c r="N695">
        <v>32.57</v>
      </c>
      <c r="O695">
        <v>29.64</v>
      </c>
      <c r="P695">
        <v>198.03</v>
      </c>
    </row>
    <row r="696" spans="1:16" x14ac:dyDescent="0.3">
      <c r="A696">
        <v>78999</v>
      </c>
      <c r="B696">
        <v>105</v>
      </c>
      <c r="C696" t="s">
        <v>557</v>
      </c>
      <c r="D696" s="452">
        <v>46113</v>
      </c>
      <c r="E696">
        <v>19649</v>
      </c>
      <c r="F696" t="s">
        <v>4859</v>
      </c>
      <c r="G696">
        <v>2589</v>
      </c>
      <c r="H696">
        <v>7</v>
      </c>
      <c r="I696" t="s">
        <v>4744</v>
      </c>
      <c r="J696" t="s">
        <v>5191</v>
      </c>
      <c r="K696" t="s">
        <v>461</v>
      </c>
      <c r="L696">
        <v>0</v>
      </c>
      <c r="M696" s="452">
        <v>45820</v>
      </c>
      <c r="N696">
        <v>27.9</v>
      </c>
      <c r="O696">
        <v>23.5</v>
      </c>
      <c r="P696">
        <v>195.3</v>
      </c>
    </row>
    <row r="697" spans="1:16" x14ac:dyDescent="0.3">
      <c r="A697">
        <v>79137</v>
      </c>
      <c r="B697">
        <v>105</v>
      </c>
      <c r="C697" t="s">
        <v>557</v>
      </c>
      <c r="D697" s="452">
        <v>46113</v>
      </c>
      <c r="E697">
        <v>18157</v>
      </c>
      <c r="F697" t="s">
        <v>5041</v>
      </c>
      <c r="G697">
        <v>3463</v>
      </c>
      <c r="H697">
        <v>1.07</v>
      </c>
      <c r="I697" t="s">
        <v>4805</v>
      </c>
      <c r="J697" t="s">
        <v>5222</v>
      </c>
      <c r="K697" t="s">
        <v>461</v>
      </c>
      <c r="L697">
        <v>0</v>
      </c>
      <c r="M697" s="452">
        <v>46027</v>
      </c>
      <c r="N697">
        <v>179.29</v>
      </c>
      <c r="O697">
        <v>207.7</v>
      </c>
      <c r="P697">
        <v>191.84</v>
      </c>
    </row>
    <row r="698" spans="1:16" x14ac:dyDescent="0.3">
      <c r="A698">
        <v>79122</v>
      </c>
      <c r="B698">
        <v>105</v>
      </c>
      <c r="C698" t="s">
        <v>557</v>
      </c>
      <c r="D698" s="452">
        <v>46113</v>
      </c>
      <c r="E698">
        <v>18595</v>
      </c>
      <c r="F698" t="s">
        <v>5092</v>
      </c>
      <c r="G698">
        <v>3099</v>
      </c>
      <c r="H698">
        <v>1.5</v>
      </c>
      <c r="I698" t="s">
        <v>4738</v>
      </c>
      <c r="J698" t="s">
        <v>5222</v>
      </c>
      <c r="K698" t="s">
        <v>461</v>
      </c>
      <c r="L698">
        <v>126.19</v>
      </c>
      <c r="M698" s="452">
        <v>46083</v>
      </c>
      <c r="N698">
        <v>126.19</v>
      </c>
      <c r="O698">
        <v>150.78</v>
      </c>
      <c r="P698">
        <v>189.28</v>
      </c>
    </row>
    <row r="699" spans="1:16" x14ac:dyDescent="0.3">
      <c r="A699">
        <v>79068</v>
      </c>
      <c r="B699">
        <v>105</v>
      </c>
      <c r="C699" t="s">
        <v>557</v>
      </c>
      <c r="D699" s="452">
        <v>46113</v>
      </c>
      <c r="E699">
        <v>18194</v>
      </c>
      <c r="F699" t="s">
        <v>4923</v>
      </c>
      <c r="G699">
        <v>3430</v>
      </c>
      <c r="H699">
        <v>3</v>
      </c>
      <c r="I699" t="s">
        <v>4805</v>
      </c>
      <c r="J699" t="s">
        <v>5222</v>
      </c>
      <c r="K699" t="s">
        <v>461</v>
      </c>
      <c r="L699">
        <v>0</v>
      </c>
      <c r="M699" s="452">
        <v>46078</v>
      </c>
      <c r="N699">
        <v>63</v>
      </c>
      <c r="O699">
        <v>60</v>
      </c>
      <c r="P699">
        <v>189</v>
      </c>
    </row>
    <row r="700" spans="1:16" x14ac:dyDescent="0.3">
      <c r="A700">
        <v>79049</v>
      </c>
      <c r="B700">
        <v>105</v>
      </c>
      <c r="C700" t="s">
        <v>557</v>
      </c>
      <c r="D700" s="452">
        <v>46113</v>
      </c>
      <c r="E700">
        <v>18545</v>
      </c>
      <c r="F700" t="s">
        <v>4864</v>
      </c>
      <c r="G700">
        <v>3134</v>
      </c>
      <c r="H700">
        <v>3.9</v>
      </c>
      <c r="I700" t="s">
        <v>4805</v>
      </c>
      <c r="J700" t="s">
        <v>5222</v>
      </c>
      <c r="K700" t="s">
        <v>461</v>
      </c>
      <c r="L700">
        <v>47.8</v>
      </c>
      <c r="M700" s="452">
        <v>46085</v>
      </c>
      <c r="N700">
        <v>47.8</v>
      </c>
      <c r="O700">
        <v>44</v>
      </c>
      <c r="P700">
        <v>186.42</v>
      </c>
    </row>
    <row r="701" spans="1:16" x14ac:dyDescent="0.3">
      <c r="A701">
        <v>79079</v>
      </c>
      <c r="B701">
        <v>105</v>
      </c>
      <c r="C701" t="s">
        <v>557</v>
      </c>
      <c r="D701" s="452">
        <v>46113</v>
      </c>
      <c r="E701">
        <v>27397</v>
      </c>
      <c r="F701" t="s">
        <v>4913</v>
      </c>
      <c r="G701">
        <v>7399</v>
      </c>
      <c r="H701">
        <v>3</v>
      </c>
      <c r="I701" t="s">
        <v>4736</v>
      </c>
      <c r="J701" t="s">
        <v>5191</v>
      </c>
      <c r="K701" t="s">
        <v>461</v>
      </c>
      <c r="L701">
        <v>61</v>
      </c>
      <c r="M701" s="452">
        <v>46094</v>
      </c>
      <c r="N701">
        <v>61</v>
      </c>
      <c r="O701">
        <v>61</v>
      </c>
      <c r="P701">
        <v>183</v>
      </c>
    </row>
    <row r="702" spans="1:16" x14ac:dyDescent="0.3">
      <c r="A702">
        <v>79016</v>
      </c>
      <c r="B702">
        <v>105</v>
      </c>
      <c r="C702" t="s">
        <v>557</v>
      </c>
      <c r="D702" s="452">
        <v>46113</v>
      </c>
      <c r="E702">
        <v>20887</v>
      </c>
      <c r="F702" t="s">
        <v>4953</v>
      </c>
      <c r="G702">
        <v>2040</v>
      </c>
      <c r="H702">
        <v>5</v>
      </c>
      <c r="I702" t="s">
        <v>4879</v>
      </c>
      <c r="J702" t="s">
        <v>5191</v>
      </c>
      <c r="K702" t="s">
        <v>461</v>
      </c>
      <c r="L702">
        <v>0</v>
      </c>
      <c r="M702" s="452">
        <v>46051</v>
      </c>
      <c r="N702">
        <v>36.299999999999997</v>
      </c>
      <c r="O702">
        <v>36.5</v>
      </c>
      <c r="P702">
        <v>181.5</v>
      </c>
    </row>
    <row r="703" spans="1:16" x14ac:dyDescent="0.3">
      <c r="A703">
        <v>79013</v>
      </c>
      <c r="B703">
        <v>105</v>
      </c>
      <c r="C703" t="s">
        <v>557</v>
      </c>
      <c r="D703" s="452">
        <v>46113</v>
      </c>
      <c r="E703">
        <v>24200</v>
      </c>
      <c r="F703" t="s">
        <v>4820</v>
      </c>
      <c r="G703">
        <v>3039</v>
      </c>
      <c r="H703">
        <v>5.5</v>
      </c>
      <c r="I703" t="s">
        <v>4744</v>
      </c>
      <c r="J703" t="s">
        <v>5191</v>
      </c>
      <c r="K703" t="s">
        <v>461</v>
      </c>
      <c r="L703">
        <v>32.9</v>
      </c>
      <c r="M703" s="452">
        <v>46104</v>
      </c>
      <c r="N703">
        <v>32.9</v>
      </c>
      <c r="O703">
        <v>32.9</v>
      </c>
      <c r="P703">
        <v>180.95</v>
      </c>
    </row>
    <row r="704" spans="1:16" x14ac:dyDescent="0.3">
      <c r="A704">
        <v>79069</v>
      </c>
      <c r="B704">
        <v>105</v>
      </c>
      <c r="C704" t="s">
        <v>557</v>
      </c>
      <c r="D704" s="452">
        <v>46113</v>
      </c>
      <c r="E704">
        <v>19421</v>
      </c>
      <c r="F704" t="s">
        <v>4918</v>
      </c>
      <c r="G704">
        <v>2758</v>
      </c>
      <c r="H704">
        <v>3</v>
      </c>
      <c r="I704" t="s">
        <v>4749</v>
      </c>
      <c r="J704" t="s">
        <v>5191</v>
      </c>
      <c r="K704" t="s">
        <v>461</v>
      </c>
      <c r="L704">
        <v>59.23</v>
      </c>
      <c r="M704" s="452">
        <v>46102</v>
      </c>
      <c r="N704">
        <v>66.06</v>
      </c>
      <c r="O704">
        <v>73.95</v>
      </c>
      <c r="P704">
        <v>177.69</v>
      </c>
    </row>
    <row r="705" spans="1:16" x14ac:dyDescent="0.3">
      <c r="A705">
        <v>78926</v>
      </c>
      <c r="B705">
        <v>105</v>
      </c>
      <c r="C705" t="s">
        <v>557</v>
      </c>
      <c r="D705" s="452">
        <v>46113</v>
      </c>
      <c r="E705">
        <v>17915</v>
      </c>
      <c r="F705" t="s">
        <v>5104</v>
      </c>
      <c r="G705">
        <v>3648</v>
      </c>
      <c r="H705">
        <v>1.08</v>
      </c>
      <c r="I705" t="s">
        <v>4738</v>
      </c>
      <c r="J705" t="s">
        <v>5222</v>
      </c>
      <c r="K705" t="s">
        <v>461</v>
      </c>
      <c r="L705">
        <v>0</v>
      </c>
      <c r="M705" s="452">
        <v>45653</v>
      </c>
      <c r="N705">
        <v>163.68</v>
      </c>
      <c r="O705">
        <v>192.96</v>
      </c>
      <c r="P705">
        <v>176.77</v>
      </c>
    </row>
    <row r="706" spans="1:16" x14ac:dyDescent="0.3">
      <c r="A706">
        <v>78927</v>
      </c>
      <c r="B706">
        <v>105</v>
      </c>
      <c r="C706" t="s">
        <v>557</v>
      </c>
      <c r="D706" s="452">
        <v>46113</v>
      </c>
      <c r="E706">
        <v>17917</v>
      </c>
      <c r="F706" t="s">
        <v>5098</v>
      </c>
      <c r="G706">
        <v>3647</v>
      </c>
      <c r="H706">
        <v>1.08</v>
      </c>
      <c r="I706" t="s">
        <v>4738</v>
      </c>
      <c r="J706" t="s">
        <v>5222</v>
      </c>
      <c r="K706" t="s">
        <v>461</v>
      </c>
      <c r="L706">
        <v>0</v>
      </c>
      <c r="M706" s="452">
        <v>45646</v>
      </c>
      <c r="N706">
        <v>163.68</v>
      </c>
      <c r="O706">
        <v>192.96</v>
      </c>
      <c r="P706">
        <v>176.77</v>
      </c>
    </row>
    <row r="707" spans="1:16" x14ac:dyDescent="0.3">
      <c r="A707">
        <v>78925</v>
      </c>
      <c r="B707">
        <v>105</v>
      </c>
      <c r="C707" t="s">
        <v>557</v>
      </c>
      <c r="D707" s="452">
        <v>46113</v>
      </c>
      <c r="E707">
        <v>23228</v>
      </c>
      <c r="F707" t="s">
        <v>4782</v>
      </c>
      <c r="G707">
        <v>2627</v>
      </c>
      <c r="H707">
        <v>27</v>
      </c>
      <c r="I707" t="s">
        <v>4744</v>
      </c>
      <c r="J707" t="s">
        <v>5191</v>
      </c>
      <c r="K707" t="s">
        <v>461</v>
      </c>
      <c r="L707">
        <v>6.53</v>
      </c>
      <c r="M707" s="452">
        <v>46111</v>
      </c>
      <c r="N707">
        <v>6.53</v>
      </c>
      <c r="O707">
        <v>6.53</v>
      </c>
      <c r="P707">
        <v>176.31</v>
      </c>
    </row>
    <row r="708" spans="1:16" x14ac:dyDescent="0.3">
      <c r="A708">
        <v>79066</v>
      </c>
      <c r="B708">
        <v>105</v>
      </c>
      <c r="C708" t="s">
        <v>557</v>
      </c>
      <c r="D708" s="452">
        <v>46113</v>
      </c>
      <c r="E708">
        <v>17658</v>
      </c>
      <c r="F708" t="s">
        <v>4978</v>
      </c>
      <c r="G708">
        <v>3871</v>
      </c>
      <c r="H708">
        <v>3</v>
      </c>
      <c r="I708" t="s">
        <v>4805</v>
      </c>
      <c r="J708" t="s">
        <v>5222</v>
      </c>
      <c r="K708" t="s">
        <v>461</v>
      </c>
      <c r="L708">
        <v>0</v>
      </c>
      <c r="M708" s="452">
        <v>46051</v>
      </c>
      <c r="N708">
        <v>58</v>
      </c>
      <c r="O708">
        <v>58</v>
      </c>
      <c r="P708">
        <v>174</v>
      </c>
    </row>
    <row r="709" spans="1:16" x14ac:dyDescent="0.3">
      <c r="A709">
        <v>78954</v>
      </c>
      <c r="B709">
        <v>105</v>
      </c>
      <c r="C709" t="s">
        <v>557</v>
      </c>
      <c r="D709" s="452">
        <v>46113</v>
      </c>
      <c r="E709">
        <v>19751</v>
      </c>
      <c r="F709" t="s">
        <v>4800</v>
      </c>
      <c r="G709">
        <v>2502</v>
      </c>
      <c r="H709">
        <v>14</v>
      </c>
      <c r="I709" t="s">
        <v>4744</v>
      </c>
      <c r="J709" t="s">
        <v>5191</v>
      </c>
      <c r="K709" t="s">
        <v>461</v>
      </c>
      <c r="L709">
        <v>12.37</v>
      </c>
      <c r="M709" s="452">
        <v>46111</v>
      </c>
      <c r="N709">
        <v>11.5</v>
      </c>
      <c r="O709">
        <v>11.5</v>
      </c>
      <c r="P709">
        <v>173.18</v>
      </c>
    </row>
    <row r="710" spans="1:16" x14ac:dyDescent="0.3">
      <c r="A710">
        <v>79131</v>
      </c>
      <c r="B710">
        <v>105</v>
      </c>
      <c r="C710" t="s">
        <v>557</v>
      </c>
      <c r="D710" s="452">
        <v>46113</v>
      </c>
      <c r="E710">
        <v>18394</v>
      </c>
      <c r="F710" t="s">
        <v>5032</v>
      </c>
      <c r="G710">
        <v>3246</v>
      </c>
      <c r="H710">
        <v>1.3</v>
      </c>
      <c r="I710" t="s">
        <v>4805</v>
      </c>
      <c r="J710" t="s">
        <v>5222</v>
      </c>
      <c r="K710" t="s">
        <v>461</v>
      </c>
      <c r="L710">
        <v>0</v>
      </c>
      <c r="M710" s="452">
        <v>45867</v>
      </c>
      <c r="N710">
        <v>132.36000000000001</v>
      </c>
      <c r="O710">
        <v>132</v>
      </c>
      <c r="P710">
        <v>172.07</v>
      </c>
    </row>
    <row r="711" spans="1:16" x14ac:dyDescent="0.3">
      <c r="A711">
        <v>79115</v>
      </c>
      <c r="B711">
        <v>105</v>
      </c>
      <c r="C711" t="s">
        <v>557</v>
      </c>
      <c r="D711" s="452">
        <v>46113</v>
      </c>
      <c r="E711">
        <v>18111</v>
      </c>
      <c r="F711" t="s">
        <v>5049</v>
      </c>
      <c r="G711">
        <v>3500</v>
      </c>
      <c r="H711">
        <v>1.95</v>
      </c>
      <c r="I711" t="s">
        <v>4805</v>
      </c>
      <c r="J711" t="s">
        <v>5222</v>
      </c>
      <c r="K711" t="s">
        <v>461</v>
      </c>
      <c r="L711">
        <v>0</v>
      </c>
      <c r="M711" s="452">
        <v>46045</v>
      </c>
      <c r="N711">
        <v>88.19</v>
      </c>
      <c r="O711">
        <v>88</v>
      </c>
      <c r="P711">
        <v>171.97</v>
      </c>
    </row>
    <row r="712" spans="1:16" x14ac:dyDescent="0.3">
      <c r="A712">
        <v>79056</v>
      </c>
      <c r="B712">
        <v>105</v>
      </c>
      <c r="C712" t="s">
        <v>557</v>
      </c>
      <c r="D712" s="452">
        <v>46113</v>
      </c>
      <c r="E712">
        <v>18073</v>
      </c>
      <c r="F712" t="s">
        <v>4974</v>
      </c>
      <c r="G712">
        <v>3536</v>
      </c>
      <c r="H712">
        <v>3.58</v>
      </c>
      <c r="I712" t="s">
        <v>4805</v>
      </c>
      <c r="J712" t="s">
        <v>5222</v>
      </c>
      <c r="K712" t="s">
        <v>461</v>
      </c>
      <c r="L712">
        <v>48</v>
      </c>
      <c r="M712" s="452">
        <v>46085</v>
      </c>
      <c r="N712">
        <v>48</v>
      </c>
      <c r="O712">
        <v>47.6</v>
      </c>
      <c r="P712">
        <v>171.84</v>
      </c>
    </row>
    <row r="713" spans="1:16" x14ac:dyDescent="0.3">
      <c r="A713">
        <v>78989</v>
      </c>
      <c r="B713">
        <v>105</v>
      </c>
      <c r="C713" t="s">
        <v>557</v>
      </c>
      <c r="D713" s="452">
        <v>46113</v>
      </c>
      <c r="E713">
        <v>21030</v>
      </c>
      <c r="F713" t="s">
        <v>5145</v>
      </c>
      <c r="G713">
        <v>2001</v>
      </c>
      <c r="H713">
        <v>9</v>
      </c>
      <c r="I713" t="s">
        <v>4736</v>
      </c>
      <c r="J713" t="s">
        <v>5191</v>
      </c>
      <c r="K713" t="s">
        <v>461</v>
      </c>
      <c r="L713">
        <v>19.059999999999999</v>
      </c>
      <c r="M713" s="452">
        <v>46093</v>
      </c>
      <c r="N713">
        <v>19.059999999999999</v>
      </c>
      <c r="O713">
        <v>19.059999999999999</v>
      </c>
      <c r="P713">
        <v>171.54</v>
      </c>
    </row>
    <row r="714" spans="1:16" x14ac:dyDescent="0.3">
      <c r="A714">
        <v>78942</v>
      </c>
      <c r="B714">
        <v>105</v>
      </c>
      <c r="C714" t="s">
        <v>557</v>
      </c>
      <c r="D714" s="452">
        <v>46113</v>
      </c>
      <c r="E714">
        <v>25758</v>
      </c>
      <c r="F714" t="s">
        <v>4775</v>
      </c>
      <c r="G714">
        <v>9066</v>
      </c>
      <c r="H714">
        <v>16</v>
      </c>
      <c r="I714" t="s">
        <v>4736</v>
      </c>
      <c r="J714" t="s">
        <v>5191</v>
      </c>
      <c r="K714" t="s">
        <v>461</v>
      </c>
      <c r="L714">
        <v>0</v>
      </c>
      <c r="M714" s="452">
        <v>45918</v>
      </c>
      <c r="N714">
        <v>10.71</v>
      </c>
      <c r="O714">
        <v>10.71</v>
      </c>
      <c r="P714">
        <v>171.36</v>
      </c>
    </row>
    <row r="715" spans="1:16" x14ac:dyDescent="0.3">
      <c r="A715">
        <v>79037</v>
      </c>
      <c r="B715">
        <v>105</v>
      </c>
      <c r="C715" t="s">
        <v>557</v>
      </c>
      <c r="D715" s="452">
        <v>46113</v>
      </c>
      <c r="E715">
        <v>20057</v>
      </c>
      <c r="F715" t="s">
        <v>4949</v>
      </c>
      <c r="G715">
        <v>2324</v>
      </c>
      <c r="H715">
        <v>4</v>
      </c>
      <c r="I715" t="s">
        <v>4736</v>
      </c>
      <c r="J715" t="s">
        <v>5191</v>
      </c>
      <c r="K715" t="s">
        <v>461</v>
      </c>
      <c r="L715">
        <v>42.18</v>
      </c>
      <c r="M715" s="452">
        <v>46102</v>
      </c>
      <c r="N715">
        <v>42.18</v>
      </c>
      <c r="O715">
        <v>42.18</v>
      </c>
      <c r="P715">
        <v>168.72</v>
      </c>
    </row>
    <row r="716" spans="1:16" x14ac:dyDescent="0.3">
      <c r="A716">
        <v>79059</v>
      </c>
      <c r="B716">
        <v>105</v>
      </c>
      <c r="C716" t="s">
        <v>557</v>
      </c>
      <c r="D716" s="452">
        <v>46113</v>
      </c>
      <c r="E716">
        <v>23808</v>
      </c>
      <c r="F716" t="s">
        <v>4982</v>
      </c>
      <c r="G716">
        <v>2096</v>
      </c>
      <c r="H716">
        <v>3.33</v>
      </c>
      <c r="I716" t="s">
        <v>4744</v>
      </c>
      <c r="J716" t="s">
        <v>5191</v>
      </c>
      <c r="K716" t="s">
        <v>461</v>
      </c>
      <c r="L716">
        <v>50.33</v>
      </c>
      <c r="M716" s="452">
        <v>46094</v>
      </c>
      <c r="N716">
        <v>33.549999999999997</v>
      </c>
      <c r="O716">
        <v>33.549999999999997</v>
      </c>
      <c r="P716">
        <v>167.6</v>
      </c>
    </row>
    <row r="717" spans="1:16" x14ac:dyDescent="0.3">
      <c r="A717">
        <v>79116</v>
      </c>
      <c r="B717">
        <v>105</v>
      </c>
      <c r="C717" t="s">
        <v>557</v>
      </c>
      <c r="D717" s="452">
        <v>46113</v>
      </c>
      <c r="E717">
        <v>18116</v>
      </c>
      <c r="F717" t="s">
        <v>5045</v>
      </c>
      <c r="G717">
        <v>3496</v>
      </c>
      <c r="H717">
        <v>1.9</v>
      </c>
      <c r="I717" t="s">
        <v>4805</v>
      </c>
      <c r="J717" t="s">
        <v>5222</v>
      </c>
      <c r="K717" t="s">
        <v>461</v>
      </c>
      <c r="L717">
        <v>0</v>
      </c>
      <c r="M717" s="452">
        <v>46050</v>
      </c>
      <c r="N717">
        <v>86.9</v>
      </c>
      <c r="O717">
        <v>86.6</v>
      </c>
      <c r="P717">
        <v>165.11</v>
      </c>
    </row>
    <row r="718" spans="1:16" x14ac:dyDescent="0.3">
      <c r="A718">
        <v>78908</v>
      </c>
      <c r="B718">
        <v>105</v>
      </c>
      <c r="C718" t="s">
        <v>557</v>
      </c>
      <c r="D718" s="452">
        <v>46113</v>
      </c>
      <c r="E718">
        <v>17905</v>
      </c>
      <c r="F718" t="s">
        <v>5085</v>
      </c>
      <c r="G718">
        <v>3656</v>
      </c>
      <c r="H718">
        <v>8.17</v>
      </c>
      <c r="I718" t="s">
        <v>4738</v>
      </c>
      <c r="J718" t="s">
        <v>5222</v>
      </c>
      <c r="K718" t="s">
        <v>461</v>
      </c>
      <c r="L718">
        <v>19.97</v>
      </c>
      <c r="M718" s="452">
        <v>46090</v>
      </c>
      <c r="N718">
        <v>19.97</v>
      </c>
      <c r="O718">
        <v>26.13</v>
      </c>
      <c r="P718">
        <v>163.15</v>
      </c>
    </row>
    <row r="719" spans="1:16" x14ac:dyDescent="0.3">
      <c r="A719">
        <v>79052</v>
      </c>
      <c r="B719">
        <v>105</v>
      </c>
      <c r="C719" t="s">
        <v>557</v>
      </c>
      <c r="D719" s="452">
        <v>46113</v>
      </c>
      <c r="E719">
        <v>18477</v>
      </c>
      <c r="F719" t="s">
        <v>4920</v>
      </c>
      <c r="G719">
        <v>3179</v>
      </c>
      <c r="H719">
        <v>3.7</v>
      </c>
      <c r="I719" t="s">
        <v>4805</v>
      </c>
      <c r="J719" t="s">
        <v>5222</v>
      </c>
      <c r="K719" t="s">
        <v>461</v>
      </c>
      <c r="L719">
        <v>0</v>
      </c>
      <c r="M719" s="452">
        <v>46047</v>
      </c>
      <c r="N719">
        <v>43.9</v>
      </c>
      <c r="O719">
        <v>43.9</v>
      </c>
      <c r="P719">
        <v>162.43</v>
      </c>
    </row>
    <row r="720" spans="1:16" x14ac:dyDescent="0.3">
      <c r="A720">
        <v>79025</v>
      </c>
      <c r="B720">
        <v>105</v>
      </c>
      <c r="C720" t="s">
        <v>557</v>
      </c>
      <c r="D720" s="452">
        <v>46113</v>
      </c>
      <c r="E720">
        <v>24191</v>
      </c>
      <c r="F720" t="s">
        <v>4846</v>
      </c>
      <c r="G720">
        <v>2889</v>
      </c>
      <c r="H720">
        <v>4.5</v>
      </c>
      <c r="I720" t="s">
        <v>4744</v>
      </c>
      <c r="J720" t="s">
        <v>5191</v>
      </c>
      <c r="K720" t="s">
        <v>461</v>
      </c>
      <c r="L720">
        <v>35.9</v>
      </c>
      <c r="M720" s="452">
        <v>46098</v>
      </c>
      <c r="N720">
        <v>35.9</v>
      </c>
      <c r="O720">
        <v>35.9</v>
      </c>
      <c r="P720">
        <v>161.55000000000001</v>
      </c>
    </row>
    <row r="721" spans="1:16" x14ac:dyDescent="0.3">
      <c r="A721">
        <v>79121</v>
      </c>
      <c r="B721">
        <v>105</v>
      </c>
      <c r="C721" t="s">
        <v>557</v>
      </c>
      <c r="D721" s="452">
        <v>46113</v>
      </c>
      <c r="E721">
        <v>18538</v>
      </c>
      <c r="F721" t="s">
        <v>5030</v>
      </c>
      <c r="G721">
        <v>3139</v>
      </c>
      <c r="H721">
        <v>1.54</v>
      </c>
      <c r="I721" t="s">
        <v>4805</v>
      </c>
      <c r="J721" t="s">
        <v>5222</v>
      </c>
      <c r="K721" t="s">
        <v>461</v>
      </c>
      <c r="L721">
        <v>0</v>
      </c>
      <c r="M721" s="452">
        <v>46028</v>
      </c>
      <c r="N721">
        <v>104.9</v>
      </c>
      <c r="O721">
        <v>105.9</v>
      </c>
      <c r="P721">
        <v>161.55000000000001</v>
      </c>
    </row>
    <row r="722" spans="1:16" x14ac:dyDescent="0.3">
      <c r="A722">
        <v>79120</v>
      </c>
      <c r="B722">
        <v>105</v>
      </c>
      <c r="C722" t="s">
        <v>557</v>
      </c>
      <c r="D722" s="452">
        <v>46113</v>
      </c>
      <c r="E722">
        <v>18233</v>
      </c>
      <c r="F722" t="s">
        <v>4970</v>
      </c>
      <c r="G722">
        <v>3395</v>
      </c>
      <c r="H722">
        <v>1.65</v>
      </c>
      <c r="I722" t="s">
        <v>4805</v>
      </c>
      <c r="J722" t="s">
        <v>5222</v>
      </c>
      <c r="K722" t="s">
        <v>461</v>
      </c>
      <c r="L722">
        <v>0</v>
      </c>
      <c r="M722" s="452">
        <v>46000</v>
      </c>
      <c r="N722">
        <v>97.9</v>
      </c>
      <c r="O722">
        <v>99.9</v>
      </c>
      <c r="P722">
        <v>161.54</v>
      </c>
    </row>
    <row r="723" spans="1:16" x14ac:dyDescent="0.3">
      <c r="A723">
        <v>78911</v>
      </c>
      <c r="B723">
        <v>105</v>
      </c>
      <c r="C723" t="s">
        <v>557</v>
      </c>
      <c r="D723" s="452">
        <v>46113</v>
      </c>
      <c r="E723">
        <v>17886</v>
      </c>
      <c r="F723" t="s">
        <v>5083</v>
      </c>
      <c r="G723">
        <v>3670</v>
      </c>
      <c r="H723">
        <v>6.25</v>
      </c>
      <c r="I723" t="s">
        <v>4738</v>
      </c>
      <c r="J723" t="s">
        <v>5222</v>
      </c>
      <c r="K723" t="s">
        <v>461</v>
      </c>
      <c r="L723">
        <v>25.82</v>
      </c>
      <c r="M723" s="452">
        <v>46090</v>
      </c>
      <c r="N723">
        <v>23.06</v>
      </c>
      <c r="O723">
        <v>32.21</v>
      </c>
      <c r="P723">
        <v>161.38</v>
      </c>
    </row>
    <row r="724" spans="1:16" x14ac:dyDescent="0.3">
      <c r="A724">
        <v>79127</v>
      </c>
      <c r="B724">
        <v>105</v>
      </c>
      <c r="C724" t="s">
        <v>557</v>
      </c>
      <c r="D724" s="452">
        <v>46113</v>
      </c>
      <c r="E724">
        <v>18589</v>
      </c>
      <c r="F724" t="s">
        <v>5089</v>
      </c>
      <c r="G724">
        <v>3103</v>
      </c>
      <c r="H724">
        <v>1.45</v>
      </c>
      <c r="I724" t="s">
        <v>4738</v>
      </c>
      <c r="J724" t="s">
        <v>5222</v>
      </c>
      <c r="K724" t="s">
        <v>461</v>
      </c>
      <c r="L724">
        <v>110.68</v>
      </c>
      <c r="M724" s="452">
        <v>46083</v>
      </c>
      <c r="N724">
        <v>110.68</v>
      </c>
      <c r="O724">
        <v>117.56</v>
      </c>
      <c r="P724">
        <v>160.49</v>
      </c>
    </row>
    <row r="725" spans="1:16" x14ac:dyDescent="0.3">
      <c r="A725">
        <v>78980</v>
      </c>
      <c r="B725">
        <v>105</v>
      </c>
      <c r="C725" t="s">
        <v>557</v>
      </c>
      <c r="D725" s="452">
        <v>46113</v>
      </c>
      <c r="E725">
        <v>24351</v>
      </c>
      <c r="F725" t="s">
        <v>5014</v>
      </c>
      <c r="G725">
        <v>2287</v>
      </c>
      <c r="H725">
        <v>10.1</v>
      </c>
      <c r="I725" t="s">
        <v>4736</v>
      </c>
      <c r="J725" t="s">
        <v>5191</v>
      </c>
      <c r="K725" t="s">
        <v>461</v>
      </c>
      <c r="L725">
        <v>15.79</v>
      </c>
      <c r="M725" s="452">
        <v>46101</v>
      </c>
      <c r="N725">
        <v>30</v>
      </c>
      <c r="O725">
        <v>17.14</v>
      </c>
      <c r="P725">
        <v>159.47999999999999</v>
      </c>
    </row>
    <row r="726" spans="1:16" x14ac:dyDescent="0.3">
      <c r="A726">
        <v>78949</v>
      </c>
      <c r="B726">
        <v>105</v>
      </c>
      <c r="C726" t="s">
        <v>557</v>
      </c>
      <c r="D726" s="452">
        <v>46113</v>
      </c>
      <c r="E726">
        <v>24981</v>
      </c>
      <c r="F726" t="s">
        <v>5140</v>
      </c>
      <c r="G726">
        <v>5849</v>
      </c>
      <c r="H726">
        <v>0.5</v>
      </c>
      <c r="I726" t="s">
        <v>4965</v>
      </c>
      <c r="J726" t="s">
        <v>5222</v>
      </c>
      <c r="K726" t="s">
        <v>461</v>
      </c>
      <c r="L726">
        <v>316.91000000000003</v>
      </c>
      <c r="M726" s="452">
        <v>46083</v>
      </c>
      <c r="N726">
        <v>316.91000000000003</v>
      </c>
      <c r="O726">
        <v>316.91000000000003</v>
      </c>
      <c r="P726">
        <v>158.46</v>
      </c>
    </row>
    <row r="727" spans="1:16" x14ac:dyDescent="0.3">
      <c r="A727">
        <v>78934</v>
      </c>
      <c r="B727">
        <v>105</v>
      </c>
      <c r="C727" t="s">
        <v>557</v>
      </c>
      <c r="D727" s="452">
        <v>46113</v>
      </c>
      <c r="E727">
        <v>25167</v>
      </c>
      <c r="F727" t="s">
        <v>4758</v>
      </c>
      <c r="G727">
        <v>5930</v>
      </c>
      <c r="H727">
        <v>20</v>
      </c>
      <c r="I727" t="s">
        <v>4744</v>
      </c>
      <c r="J727" t="s">
        <v>5191</v>
      </c>
      <c r="K727" t="s">
        <v>461</v>
      </c>
      <c r="L727">
        <v>0</v>
      </c>
      <c r="M727" s="452">
        <v>45833</v>
      </c>
      <c r="N727">
        <v>7.9</v>
      </c>
      <c r="O727">
        <v>7.9</v>
      </c>
      <c r="P727">
        <v>158</v>
      </c>
    </row>
    <row r="728" spans="1:16" x14ac:dyDescent="0.3">
      <c r="A728">
        <v>78962</v>
      </c>
      <c r="B728">
        <v>105</v>
      </c>
      <c r="C728" t="s">
        <v>557</v>
      </c>
      <c r="D728" s="452">
        <v>46113</v>
      </c>
      <c r="E728">
        <v>19740</v>
      </c>
      <c r="F728" t="s">
        <v>4779</v>
      </c>
      <c r="G728">
        <v>2513</v>
      </c>
      <c r="H728">
        <v>13</v>
      </c>
      <c r="I728" t="s">
        <v>4744</v>
      </c>
      <c r="J728" t="s">
        <v>5191</v>
      </c>
      <c r="K728" t="s">
        <v>461</v>
      </c>
      <c r="L728">
        <v>11.43</v>
      </c>
      <c r="M728" s="452">
        <v>46111</v>
      </c>
      <c r="N728">
        <v>7.97</v>
      </c>
      <c r="O728">
        <v>7.97</v>
      </c>
      <c r="P728">
        <v>148.59</v>
      </c>
    </row>
    <row r="729" spans="1:16" x14ac:dyDescent="0.3">
      <c r="A729">
        <v>79138</v>
      </c>
      <c r="B729">
        <v>105</v>
      </c>
      <c r="C729" t="s">
        <v>557</v>
      </c>
      <c r="D729" s="452">
        <v>46113</v>
      </c>
      <c r="E729">
        <v>18293</v>
      </c>
      <c r="F729" t="s">
        <v>5034</v>
      </c>
      <c r="G729">
        <v>3336</v>
      </c>
      <c r="H729">
        <v>1.05</v>
      </c>
      <c r="I729" t="s">
        <v>4805</v>
      </c>
      <c r="J729" t="s">
        <v>5222</v>
      </c>
      <c r="K729" t="s">
        <v>461</v>
      </c>
      <c r="L729">
        <v>0</v>
      </c>
      <c r="M729" s="452">
        <v>46079</v>
      </c>
      <c r="N729">
        <v>137.69999999999999</v>
      </c>
      <c r="O729">
        <v>137.69999999999999</v>
      </c>
      <c r="P729">
        <v>144.58000000000001</v>
      </c>
    </row>
    <row r="730" spans="1:16" x14ac:dyDescent="0.3">
      <c r="A730">
        <v>79103</v>
      </c>
      <c r="B730">
        <v>105</v>
      </c>
      <c r="C730" t="s">
        <v>557</v>
      </c>
      <c r="D730" s="452">
        <v>46113</v>
      </c>
      <c r="E730">
        <v>18731</v>
      </c>
      <c r="F730" t="s">
        <v>4832</v>
      </c>
      <c r="G730">
        <v>3020</v>
      </c>
      <c r="H730">
        <v>2</v>
      </c>
      <c r="I730" t="s">
        <v>4744</v>
      </c>
      <c r="J730" t="s">
        <v>5191</v>
      </c>
      <c r="K730" t="s">
        <v>461</v>
      </c>
      <c r="L730">
        <v>0</v>
      </c>
      <c r="M730" s="452">
        <v>46076</v>
      </c>
      <c r="N730">
        <v>72</v>
      </c>
      <c r="O730">
        <v>72</v>
      </c>
      <c r="P730">
        <v>144</v>
      </c>
    </row>
    <row r="731" spans="1:16" x14ac:dyDescent="0.3">
      <c r="A731">
        <v>79015</v>
      </c>
      <c r="B731">
        <v>105</v>
      </c>
      <c r="C731" t="s">
        <v>557</v>
      </c>
      <c r="D731" s="452">
        <v>46113</v>
      </c>
      <c r="E731">
        <v>19439</v>
      </c>
      <c r="F731" t="s">
        <v>4917</v>
      </c>
      <c r="G731">
        <v>2756</v>
      </c>
      <c r="H731">
        <v>5</v>
      </c>
      <c r="I731" t="s">
        <v>4744</v>
      </c>
      <c r="J731" t="s">
        <v>5191</v>
      </c>
      <c r="K731" t="s">
        <v>461</v>
      </c>
      <c r="L731">
        <v>28.64</v>
      </c>
      <c r="M731" s="452">
        <v>46108</v>
      </c>
      <c r="N731">
        <v>26.99</v>
      </c>
      <c r="O731">
        <v>26.99</v>
      </c>
      <c r="P731">
        <v>143.19999999999999</v>
      </c>
    </row>
    <row r="732" spans="1:16" x14ac:dyDescent="0.3">
      <c r="A732">
        <v>79196</v>
      </c>
      <c r="B732">
        <v>105</v>
      </c>
      <c r="C732" t="s">
        <v>557</v>
      </c>
      <c r="D732" s="452">
        <v>46113</v>
      </c>
      <c r="E732">
        <v>29083</v>
      </c>
      <c r="F732" t="s">
        <v>5153</v>
      </c>
      <c r="G732">
        <v>9017</v>
      </c>
      <c r="H732">
        <v>1.08</v>
      </c>
      <c r="I732" t="s">
        <v>4736</v>
      </c>
      <c r="J732" t="s">
        <v>5191</v>
      </c>
      <c r="K732" t="s">
        <v>461</v>
      </c>
      <c r="L732">
        <v>0</v>
      </c>
      <c r="N732">
        <v>0</v>
      </c>
      <c r="O732">
        <v>0</v>
      </c>
      <c r="P732">
        <v>142.69</v>
      </c>
    </row>
    <row r="733" spans="1:16" x14ac:dyDescent="0.3">
      <c r="A733">
        <v>79195</v>
      </c>
      <c r="B733">
        <v>105</v>
      </c>
      <c r="C733" t="s">
        <v>557</v>
      </c>
      <c r="D733" s="452">
        <v>46113</v>
      </c>
      <c r="E733">
        <v>29081</v>
      </c>
      <c r="F733" t="s">
        <v>5152</v>
      </c>
      <c r="G733">
        <v>9015</v>
      </c>
      <c r="H733">
        <v>1.07</v>
      </c>
      <c r="I733" t="s">
        <v>4749</v>
      </c>
      <c r="J733" t="s">
        <v>5191</v>
      </c>
      <c r="K733" t="s">
        <v>461</v>
      </c>
      <c r="L733">
        <v>0</v>
      </c>
      <c r="N733">
        <v>0</v>
      </c>
      <c r="O733">
        <v>0</v>
      </c>
      <c r="P733">
        <v>141.37</v>
      </c>
    </row>
    <row r="734" spans="1:16" x14ac:dyDescent="0.3">
      <c r="A734">
        <v>79198</v>
      </c>
      <c r="B734">
        <v>105</v>
      </c>
      <c r="C734" t="s">
        <v>557</v>
      </c>
      <c r="D734" s="452">
        <v>46113</v>
      </c>
      <c r="E734">
        <v>29087</v>
      </c>
      <c r="F734" t="s">
        <v>5155</v>
      </c>
      <c r="G734">
        <v>9021</v>
      </c>
      <c r="H734">
        <v>1.07</v>
      </c>
      <c r="I734" t="s">
        <v>4736</v>
      </c>
      <c r="J734" t="s">
        <v>5191</v>
      </c>
      <c r="K734" t="s">
        <v>461</v>
      </c>
      <c r="L734">
        <v>0</v>
      </c>
      <c r="N734">
        <v>0</v>
      </c>
      <c r="O734">
        <v>0</v>
      </c>
      <c r="P734">
        <v>141.37</v>
      </c>
    </row>
    <row r="735" spans="1:16" x14ac:dyDescent="0.3">
      <c r="A735">
        <v>78987</v>
      </c>
      <c r="B735">
        <v>105</v>
      </c>
      <c r="C735" t="s">
        <v>557</v>
      </c>
      <c r="D735" s="452">
        <v>46113</v>
      </c>
      <c r="E735">
        <v>20242</v>
      </c>
      <c r="F735" t="s">
        <v>4824</v>
      </c>
      <c r="G735">
        <v>2242</v>
      </c>
      <c r="H735">
        <v>9</v>
      </c>
      <c r="I735" t="s">
        <v>4738</v>
      </c>
      <c r="J735" t="s">
        <v>5191</v>
      </c>
      <c r="K735" t="s">
        <v>461</v>
      </c>
      <c r="L735">
        <v>15.04</v>
      </c>
      <c r="M735" s="452">
        <v>46104</v>
      </c>
      <c r="N735">
        <v>8.8000000000000007</v>
      </c>
      <c r="O735">
        <v>17.82</v>
      </c>
      <c r="P735">
        <v>135.36000000000001</v>
      </c>
    </row>
    <row r="736" spans="1:16" x14ac:dyDescent="0.3">
      <c r="A736">
        <v>78951</v>
      </c>
      <c r="B736">
        <v>105</v>
      </c>
      <c r="C736" t="s">
        <v>557</v>
      </c>
      <c r="D736" s="452">
        <v>46113</v>
      </c>
      <c r="E736">
        <v>19634</v>
      </c>
      <c r="F736" t="s">
        <v>4792</v>
      </c>
      <c r="G736">
        <v>2602</v>
      </c>
      <c r="H736">
        <v>14.3</v>
      </c>
      <c r="I736" t="s">
        <v>4744</v>
      </c>
      <c r="J736" t="s">
        <v>5191</v>
      </c>
      <c r="K736" t="s">
        <v>461</v>
      </c>
      <c r="L736">
        <v>9.4600000000000009</v>
      </c>
      <c r="M736" s="452">
        <v>46112</v>
      </c>
      <c r="N736">
        <v>7.8</v>
      </c>
      <c r="O736">
        <v>7.8</v>
      </c>
      <c r="P736">
        <v>135.28</v>
      </c>
    </row>
    <row r="737" spans="1:16" x14ac:dyDescent="0.3">
      <c r="A737">
        <v>78991</v>
      </c>
      <c r="B737">
        <v>105</v>
      </c>
      <c r="C737" t="s">
        <v>557</v>
      </c>
      <c r="D737" s="452">
        <v>46113</v>
      </c>
      <c r="E737">
        <v>18996</v>
      </c>
      <c r="F737" t="s">
        <v>5130</v>
      </c>
      <c r="G737">
        <v>2900</v>
      </c>
      <c r="H737">
        <v>8.1999999999999993</v>
      </c>
      <c r="I737" t="s">
        <v>4744</v>
      </c>
      <c r="J737" t="s">
        <v>5191</v>
      </c>
      <c r="K737" t="s">
        <v>461</v>
      </c>
      <c r="L737">
        <v>0</v>
      </c>
      <c r="M737" s="452">
        <v>46078</v>
      </c>
      <c r="N737">
        <v>16.489999999999998</v>
      </c>
      <c r="O737">
        <v>15.12</v>
      </c>
      <c r="P737">
        <v>135.22</v>
      </c>
    </row>
    <row r="738" spans="1:16" x14ac:dyDescent="0.3">
      <c r="A738">
        <v>78929</v>
      </c>
      <c r="B738">
        <v>105</v>
      </c>
      <c r="C738" t="s">
        <v>557</v>
      </c>
      <c r="D738" s="452">
        <v>46113</v>
      </c>
      <c r="E738">
        <v>19635</v>
      </c>
      <c r="F738" t="s">
        <v>4786</v>
      </c>
      <c r="G738">
        <v>2601</v>
      </c>
      <c r="H738">
        <v>22.3</v>
      </c>
      <c r="I738" t="s">
        <v>4744</v>
      </c>
      <c r="J738" t="s">
        <v>5191</v>
      </c>
      <c r="K738" t="s">
        <v>461</v>
      </c>
      <c r="L738">
        <v>6.02</v>
      </c>
      <c r="M738" s="452">
        <v>46112</v>
      </c>
      <c r="N738">
        <v>6.5</v>
      </c>
      <c r="O738">
        <v>6.5</v>
      </c>
      <c r="P738">
        <v>134.25</v>
      </c>
    </row>
    <row r="739" spans="1:16" x14ac:dyDescent="0.3">
      <c r="A739">
        <v>78971</v>
      </c>
      <c r="B739">
        <v>105</v>
      </c>
      <c r="C739" t="s">
        <v>557</v>
      </c>
      <c r="D739" s="452">
        <v>46113</v>
      </c>
      <c r="E739">
        <v>25753</v>
      </c>
      <c r="F739" t="s">
        <v>5144</v>
      </c>
      <c r="G739">
        <v>6304</v>
      </c>
      <c r="H739">
        <v>12</v>
      </c>
      <c r="I739" t="s">
        <v>4736</v>
      </c>
      <c r="J739" t="s">
        <v>5191</v>
      </c>
      <c r="K739" t="s">
        <v>461</v>
      </c>
      <c r="L739">
        <v>0</v>
      </c>
      <c r="N739">
        <v>0</v>
      </c>
      <c r="O739">
        <v>0</v>
      </c>
      <c r="P739">
        <v>132.12</v>
      </c>
    </row>
    <row r="740" spans="1:16" x14ac:dyDescent="0.3">
      <c r="A740">
        <v>78972</v>
      </c>
      <c r="B740">
        <v>105</v>
      </c>
      <c r="C740" t="s">
        <v>557</v>
      </c>
      <c r="D740" s="452">
        <v>46113</v>
      </c>
      <c r="E740">
        <v>25763</v>
      </c>
      <c r="F740" t="s">
        <v>4943</v>
      </c>
      <c r="G740">
        <v>6314</v>
      </c>
      <c r="H740">
        <v>12</v>
      </c>
      <c r="I740" t="s">
        <v>4736</v>
      </c>
      <c r="J740" t="s">
        <v>5191</v>
      </c>
      <c r="K740" t="s">
        <v>461</v>
      </c>
      <c r="L740">
        <v>0</v>
      </c>
      <c r="N740">
        <v>0</v>
      </c>
      <c r="O740">
        <v>0</v>
      </c>
      <c r="P740">
        <v>132.12</v>
      </c>
    </row>
    <row r="741" spans="1:16" x14ac:dyDescent="0.3">
      <c r="A741">
        <v>79197</v>
      </c>
      <c r="B741">
        <v>105</v>
      </c>
      <c r="C741" t="s">
        <v>557</v>
      </c>
      <c r="D741" s="452">
        <v>46113</v>
      </c>
      <c r="E741">
        <v>29084</v>
      </c>
      <c r="F741" t="s">
        <v>5154</v>
      </c>
      <c r="G741">
        <v>9018</v>
      </c>
      <c r="H741">
        <v>1</v>
      </c>
      <c r="I741" t="s">
        <v>4736</v>
      </c>
      <c r="J741" t="s">
        <v>5191</v>
      </c>
      <c r="K741" t="s">
        <v>461</v>
      </c>
      <c r="L741">
        <v>0</v>
      </c>
      <c r="N741">
        <v>0</v>
      </c>
      <c r="O741">
        <v>0</v>
      </c>
      <c r="P741">
        <v>132.12</v>
      </c>
    </row>
    <row r="742" spans="1:16" x14ac:dyDescent="0.3">
      <c r="A742">
        <v>78923</v>
      </c>
      <c r="B742">
        <v>105</v>
      </c>
      <c r="C742" t="s">
        <v>557</v>
      </c>
      <c r="D742" s="452">
        <v>46113</v>
      </c>
      <c r="E742">
        <v>23268</v>
      </c>
      <c r="F742" t="s">
        <v>4743</v>
      </c>
      <c r="G742">
        <v>2592</v>
      </c>
      <c r="H742">
        <v>29.73</v>
      </c>
      <c r="I742" t="s">
        <v>4744</v>
      </c>
      <c r="J742" t="s">
        <v>5191</v>
      </c>
      <c r="K742" t="s">
        <v>461</v>
      </c>
      <c r="L742">
        <v>0</v>
      </c>
      <c r="M742" s="452">
        <v>45681</v>
      </c>
      <c r="N742">
        <v>4.42</v>
      </c>
      <c r="O742">
        <v>5.0999999999999996</v>
      </c>
      <c r="P742">
        <v>131.41</v>
      </c>
    </row>
    <row r="743" spans="1:16" x14ac:dyDescent="0.3">
      <c r="A743">
        <v>79006</v>
      </c>
      <c r="B743">
        <v>105</v>
      </c>
      <c r="C743" t="s">
        <v>557</v>
      </c>
      <c r="D743" s="452">
        <v>46113</v>
      </c>
      <c r="E743">
        <v>20549</v>
      </c>
      <c r="F743" t="s">
        <v>4823</v>
      </c>
      <c r="G743">
        <v>2141</v>
      </c>
      <c r="H743">
        <v>6.5</v>
      </c>
      <c r="I743" t="s">
        <v>4744</v>
      </c>
      <c r="J743" t="s">
        <v>5191</v>
      </c>
      <c r="K743" t="s">
        <v>461</v>
      </c>
      <c r="L743">
        <v>0</v>
      </c>
      <c r="M743" s="452">
        <v>46071</v>
      </c>
      <c r="N743">
        <v>19.989999999999998</v>
      </c>
      <c r="O743">
        <v>19.989999999999998</v>
      </c>
      <c r="P743">
        <v>129.94</v>
      </c>
    </row>
    <row r="744" spans="1:16" x14ac:dyDescent="0.3">
      <c r="A744">
        <v>79100</v>
      </c>
      <c r="B744">
        <v>105</v>
      </c>
      <c r="C744" t="s">
        <v>557</v>
      </c>
      <c r="D744" s="452">
        <v>46113</v>
      </c>
      <c r="E744">
        <v>25561</v>
      </c>
      <c r="F744" t="s">
        <v>5095</v>
      </c>
      <c r="G744">
        <v>6169</v>
      </c>
      <c r="H744">
        <v>2.0099999999999998</v>
      </c>
      <c r="I744" t="s">
        <v>4738</v>
      </c>
      <c r="J744" t="s">
        <v>5222</v>
      </c>
      <c r="K744" t="s">
        <v>461</v>
      </c>
      <c r="L744">
        <v>64.58</v>
      </c>
      <c r="M744" s="452">
        <v>46083</v>
      </c>
      <c r="N744">
        <v>64.58</v>
      </c>
      <c r="O744">
        <v>133.38999999999999</v>
      </c>
      <c r="P744">
        <v>129.81</v>
      </c>
    </row>
    <row r="745" spans="1:16" x14ac:dyDescent="0.3">
      <c r="A745">
        <v>78945</v>
      </c>
      <c r="B745">
        <v>105</v>
      </c>
      <c r="C745" t="s">
        <v>557</v>
      </c>
      <c r="D745" s="452">
        <v>46113</v>
      </c>
      <c r="E745">
        <v>25756</v>
      </c>
      <c r="F745" t="s">
        <v>4854</v>
      </c>
      <c r="G745">
        <v>9069</v>
      </c>
      <c r="H745">
        <v>16</v>
      </c>
      <c r="I745" t="s">
        <v>4749</v>
      </c>
      <c r="J745" t="s">
        <v>5191</v>
      </c>
      <c r="K745" t="s">
        <v>461</v>
      </c>
      <c r="L745">
        <v>0</v>
      </c>
      <c r="M745" s="452">
        <v>45995</v>
      </c>
      <c r="N745">
        <v>7.99</v>
      </c>
      <c r="O745">
        <v>7.99</v>
      </c>
      <c r="P745">
        <v>127.84</v>
      </c>
    </row>
    <row r="746" spans="1:16" x14ac:dyDescent="0.3">
      <c r="A746">
        <v>79159</v>
      </c>
      <c r="B746">
        <v>105</v>
      </c>
      <c r="C746" t="s">
        <v>557</v>
      </c>
      <c r="D746" s="452">
        <v>46113</v>
      </c>
      <c r="E746">
        <v>19892</v>
      </c>
      <c r="F746" t="s">
        <v>5150</v>
      </c>
      <c r="G746">
        <v>2386</v>
      </c>
      <c r="H746">
        <v>0.9</v>
      </c>
      <c r="I746" t="s">
        <v>4744</v>
      </c>
      <c r="J746" t="s">
        <v>5191</v>
      </c>
      <c r="K746" t="s">
        <v>461</v>
      </c>
      <c r="L746">
        <v>0</v>
      </c>
      <c r="M746" s="452">
        <v>46056</v>
      </c>
      <c r="N746">
        <v>140</v>
      </c>
      <c r="O746">
        <v>145</v>
      </c>
      <c r="P746">
        <v>126</v>
      </c>
    </row>
    <row r="747" spans="1:16" x14ac:dyDescent="0.3">
      <c r="A747">
        <v>78919</v>
      </c>
      <c r="B747">
        <v>105</v>
      </c>
      <c r="C747" t="s">
        <v>557</v>
      </c>
      <c r="D747" s="452">
        <v>46113</v>
      </c>
      <c r="E747">
        <v>23361</v>
      </c>
      <c r="F747" t="s">
        <v>4754</v>
      </c>
      <c r="G747">
        <v>2497</v>
      </c>
      <c r="H747">
        <v>35.700000000000003</v>
      </c>
      <c r="I747" t="s">
        <v>4744</v>
      </c>
      <c r="J747" t="s">
        <v>5191</v>
      </c>
      <c r="K747" t="s">
        <v>461</v>
      </c>
      <c r="L747">
        <v>3.37</v>
      </c>
      <c r="M747" s="452">
        <v>46111</v>
      </c>
      <c r="N747">
        <v>3.45</v>
      </c>
      <c r="O747">
        <v>3.45</v>
      </c>
      <c r="P747">
        <v>120.31</v>
      </c>
    </row>
    <row r="748" spans="1:16" x14ac:dyDescent="0.3">
      <c r="A748">
        <v>79033</v>
      </c>
      <c r="B748">
        <v>105</v>
      </c>
      <c r="C748" t="s">
        <v>557</v>
      </c>
      <c r="D748" s="452">
        <v>46113</v>
      </c>
      <c r="E748">
        <v>22721</v>
      </c>
      <c r="F748" t="s">
        <v>4803</v>
      </c>
      <c r="G748">
        <v>3033</v>
      </c>
      <c r="H748">
        <v>4.18</v>
      </c>
      <c r="I748" t="s">
        <v>4744</v>
      </c>
      <c r="J748" t="s">
        <v>5191</v>
      </c>
      <c r="K748" t="s">
        <v>461</v>
      </c>
      <c r="L748">
        <v>0</v>
      </c>
      <c r="M748" s="452">
        <v>46059</v>
      </c>
      <c r="N748">
        <v>28.3</v>
      </c>
      <c r="O748">
        <v>29.5</v>
      </c>
      <c r="P748">
        <v>118.29</v>
      </c>
    </row>
    <row r="749" spans="1:16" x14ac:dyDescent="0.3">
      <c r="A749">
        <v>79024</v>
      </c>
      <c r="B749">
        <v>105</v>
      </c>
      <c r="C749" t="s">
        <v>557</v>
      </c>
      <c r="D749" s="452">
        <v>46113</v>
      </c>
      <c r="E749">
        <v>23335</v>
      </c>
      <c r="F749" t="s">
        <v>4961</v>
      </c>
      <c r="G749">
        <v>2523</v>
      </c>
      <c r="H749">
        <v>4.5</v>
      </c>
      <c r="I749" t="s">
        <v>4744</v>
      </c>
      <c r="J749" t="s">
        <v>5191</v>
      </c>
      <c r="K749" t="s">
        <v>461</v>
      </c>
      <c r="L749">
        <v>26.05</v>
      </c>
      <c r="M749" s="452">
        <v>46093</v>
      </c>
      <c r="N749">
        <v>25</v>
      </c>
      <c r="O749">
        <v>33.04</v>
      </c>
      <c r="P749">
        <v>117.22</v>
      </c>
    </row>
    <row r="750" spans="1:16" x14ac:dyDescent="0.3">
      <c r="A750">
        <v>78961</v>
      </c>
      <c r="B750">
        <v>105</v>
      </c>
      <c r="C750" t="s">
        <v>557</v>
      </c>
      <c r="D750" s="452">
        <v>46113</v>
      </c>
      <c r="E750">
        <v>25762</v>
      </c>
      <c r="F750" t="s">
        <v>4770</v>
      </c>
      <c r="G750">
        <v>9070</v>
      </c>
      <c r="H750">
        <v>14</v>
      </c>
      <c r="I750" t="s">
        <v>4736</v>
      </c>
      <c r="J750" t="s">
        <v>5191</v>
      </c>
      <c r="K750" t="s">
        <v>461</v>
      </c>
      <c r="L750">
        <v>0</v>
      </c>
      <c r="M750" s="452">
        <v>45922</v>
      </c>
      <c r="N750">
        <v>8.36</v>
      </c>
      <c r="O750">
        <v>8.36</v>
      </c>
      <c r="P750">
        <v>117.04</v>
      </c>
    </row>
    <row r="751" spans="1:16" x14ac:dyDescent="0.3">
      <c r="A751">
        <v>78973</v>
      </c>
      <c r="B751">
        <v>105</v>
      </c>
      <c r="C751" t="s">
        <v>557</v>
      </c>
      <c r="D751" s="452">
        <v>46113</v>
      </c>
      <c r="E751">
        <v>26103</v>
      </c>
      <c r="F751" t="s">
        <v>4776</v>
      </c>
      <c r="G751">
        <v>9072</v>
      </c>
      <c r="H751">
        <v>12</v>
      </c>
      <c r="I751" t="s">
        <v>4749</v>
      </c>
      <c r="J751" t="s">
        <v>5191</v>
      </c>
      <c r="K751" t="s">
        <v>461</v>
      </c>
      <c r="L751">
        <v>0</v>
      </c>
      <c r="M751" s="452">
        <v>45918</v>
      </c>
      <c r="N751">
        <v>9.44</v>
      </c>
      <c r="O751">
        <v>9.44</v>
      </c>
      <c r="P751">
        <v>113.25</v>
      </c>
    </row>
    <row r="752" spans="1:16" x14ac:dyDescent="0.3">
      <c r="A752">
        <v>79009</v>
      </c>
      <c r="B752">
        <v>105</v>
      </c>
      <c r="C752" t="s">
        <v>557</v>
      </c>
      <c r="D752" s="452">
        <v>46113</v>
      </c>
      <c r="E752">
        <v>21257</v>
      </c>
      <c r="F752" t="s">
        <v>4952</v>
      </c>
      <c r="G752">
        <v>2187</v>
      </c>
      <c r="H752">
        <v>6</v>
      </c>
      <c r="I752" t="s">
        <v>4736</v>
      </c>
      <c r="J752" t="s">
        <v>5191</v>
      </c>
      <c r="K752" t="s">
        <v>461</v>
      </c>
      <c r="L752">
        <v>18.829999999999998</v>
      </c>
      <c r="M752" s="452">
        <v>46092</v>
      </c>
      <c r="N752">
        <v>18.8</v>
      </c>
      <c r="O752">
        <v>18.8</v>
      </c>
      <c r="P752">
        <v>112.98</v>
      </c>
    </row>
    <row r="753" spans="1:16" x14ac:dyDescent="0.3">
      <c r="A753">
        <v>78943</v>
      </c>
      <c r="B753">
        <v>105</v>
      </c>
      <c r="C753" t="s">
        <v>557</v>
      </c>
      <c r="D753" s="452">
        <v>46113</v>
      </c>
      <c r="E753">
        <v>18579</v>
      </c>
      <c r="F753" t="s">
        <v>5087</v>
      </c>
      <c r="G753">
        <v>3106</v>
      </c>
      <c r="H753">
        <v>0.67</v>
      </c>
      <c r="I753" t="s">
        <v>4749</v>
      </c>
      <c r="J753" t="s">
        <v>5222</v>
      </c>
      <c r="K753" t="s">
        <v>461</v>
      </c>
      <c r="L753">
        <v>0</v>
      </c>
      <c r="M753" s="452">
        <v>46072</v>
      </c>
      <c r="N753">
        <v>163.92</v>
      </c>
      <c r="O753">
        <v>163.92</v>
      </c>
      <c r="P753">
        <v>109.83</v>
      </c>
    </row>
    <row r="754" spans="1:16" x14ac:dyDescent="0.3">
      <c r="A754">
        <v>79063</v>
      </c>
      <c r="B754">
        <v>105</v>
      </c>
      <c r="C754" t="s">
        <v>557</v>
      </c>
      <c r="D754" s="452">
        <v>46113</v>
      </c>
      <c r="E754">
        <v>19765</v>
      </c>
      <c r="F754" t="s">
        <v>4889</v>
      </c>
      <c r="G754">
        <v>2488</v>
      </c>
      <c r="H754">
        <v>3.1</v>
      </c>
      <c r="I754" t="s">
        <v>4744</v>
      </c>
      <c r="J754" t="s">
        <v>5191</v>
      </c>
      <c r="K754" t="s">
        <v>461</v>
      </c>
      <c r="L754">
        <v>35</v>
      </c>
      <c r="M754" s="452">
        <v>46083</v>
      </c>
      <c r="N754">
        <v>35</v>
      </c>
      <c r="O754">
        <v>36.25</v>
      </c>
      <c r="P754">
        <v>108.5</v>
      </c>
    </row>
    <row r="755" spans="1:16" x14ac:dyDescent="0.3">
      <c r="A755">
        <v>78913</v>
      </c>
      <c r="B755">
        <v>105</v>
      </c>
      <c r="C755" t="s">
        <v>557</v>
      </c>
      <c r="D755" s="452">
        <v>46113</v>
      </c>
      <c r="E755">
        <v>17903</v>
      </c>
      <c r="F755" t="s">
        <v>5084</v>
      </c>
      <c r="G755">
        <v>3658</v>
      </c>
      <c r="H755">
        <v>5.42</v>
      </c>
      <c r="I755" t="s">
        <v>4738</v>
      </c>
      <c r="J755" t="s">
        <v>5222</v>
      </c>
      <c r="K755" t="s">
        <v>461</v>
      </c>
      <c r="L755">
        <v>19.97</v>
      </c>
      <c r="M755" s="452">
        <v>46083</v>
      </c>
      <c r="N755">
        <v>19.97</v>
      </c>
      <c r="O755">
        <v>23</v>
      </c>
      <c r="P755">
        <v>108.24</v>
      </c>
    </row>
    <row r="756" spans="1:16" x14ac:dyDescent="0.3">
      <c r="A756">
        <v>78960</v>
      </c>
      <c r="B756">
        <v>105</v>
      </c>
      <c r="C756" t="s">
        <v>557</v>
      </c>
      <c r="D756" s="452">
        <v>46113</v>
      </c>
      <c r="E756">
        <v>25754</v>
      </c>
      <c r="F756" t="s">
        <v>5142</v>
      </c>
      <c r="G756">
        <v>6305</v>
      </c>
      <c r="H756">
        <v>14</v>
      </c>
      <c r="I756" t="s">
        <v>4736</v>
      </c>
      <c r="J756" t="s">
        <v>5191</v>
      </c>
      <c r="K756" t="s">
        <v>461</v>
      </c>
      <c r="L756">
        <v>0</v>
      </c>
      <c r="M756" s="452">
        <v>45653</v>
      </c>
      <c r="N756">
        <v>7.73</v>
      </c>
      <c r="O756">
        <v>7.65</v>
      </c>
      <c r="P756">
        <v>108.22</v>
      </c>
    </row>
    <row r="757" spans="1:16" x14ac:dyDescent="0.3">
      <c r="A757">
        <v>78957</v>
      </c>
      <c r="B757">
        <v>105</v>
      </c>
      <c r="C757" t="s">
        <v>557</v>
      </c>
      <c r="D757" s="452">
        <v>46113</v>
      </c>
      <c r="E757">
        <v>25755</v>
      </c>
      <c r="F757" t="s">
        <v>4821</v>
      </c>
      <c r="G757">
        <v>9071</v>
      </c>
      <c r="H757">
        <v>14</v>
      </c>
      <c r="I757" t="s">
        <v>4749</v>
      </c>
      <c r="J757" t="s">
        <v>5191</v>
      </c>
      <c r="K757" t="s">
        <v>461</v>
      </c>
      <c r="L757">
        <v>0</v>
      </c>
      <c r="M757" s="452">
        <v>45922</v>
      </c>
      <c r="N757">
        <v>7.65</v>
      </c>
      <c r="O757">
        <v>7.65</v>
      </c>
      <c r="P757">
        <v>107.1</v>
      </c>
    </row>
    <row r="758" spans="1:16" x14ac:dyDescent="0.3">
      <c r="A758">
        <v>78944</v>
      </c>
      <c r="B758">
        <v>105</v>
      </c>
      <c r="C758" t="s">
        <v>557</v>
      </c>
      <c r="D758" s="452">
        <v>46113</v>
      </c>
      <c r="E758">
        <v>25752</v>
      </c>
      <c r="F758" t="s">
        <v>5000</v>
      </c>
      <c r="G758">
        <v>6303</v>
      </c>
      <c r="H758">
        <v>16</v>
      </c>
      <c r="I758" t="s">
        <v>4749</v>
      </c>
      <c r="J758" t="s">
        <v>5191</v>
      </c>
      <c r="K758" t="s">
        <v>461</v>
      </c>
      <c r="L758">
        <v>0</v>
      </c>
      <c r="M758" s="452">
        <v>45995</v>
      </c>
      <c r="N758">
        <v>6.61</v>
      </c>
      <c r="O758">
        <v>6.61</v>
      </c>
      <c r="P758">
        <v>105.76</v>
      </c>
    </row>
    <row r="759" spans="1:16" x14ac:dyDescent="0.3">
      <c r="A759">
        <v>79074</v>
      </c>
      <c r="B759">
        <v>105</v>
      </c>
      <c r="C759" t="s">
        <v>557</v>
      </c>
      <c r="D759" s="452">
        <v>46113</v>
      </c>
      <c r="E759">
        <v>20689</v>
      </c>
      <c r="F759" t="s">
        <v>5007</v>
      </c>
      <c r="G759">
        <v>2105</v>
      </c>
      <c r="H759">
        <v>3</v>
      </c>
      <c r="I759" t="s">
        <v>4736</v>
      </c>
      <c r="J759" t="s">
        <v>5191</v>
      </c>
      <c r="K759" t="s">
        <v>461</v>
      </c>
      <c r="L759">
        <v>34.9</v>
      </c>
      <c r="M759" s="452">
        <v>46094</v>
      </c>
      <c r="N759">
        <v>34.9</v>
      </c>
      <c r="O759">
        <v>32</v>
      </c>
      <c r="P759">
        <v>104.7</v>
      </c>
    </row>
    <row r="760" spans="1:16" x14ac:dyDescent="0.3">
      <c r="A760">
        <v>79160</v>
      </c>
      <c r="B760">
        <v>105</v>
      </c>
      <c r="C760" t="s">
        <v>557</v>
      </c>
      <c r="D760" s="452">
        <v>46113</v>
      </c>
      <c r="E760">
        <v>18129</v>
      </c>
      <c r="F760" t="s">
        <v>5043</v>
      </c>
      <c r="G760">
        <v>3486</v>
      </c>
      <c r="H760">
        <v>0.88</v>
      </c>
      <c r="I760" t="s">
        <v>4805</v>
      </c>
      <c r="J760" t="s">
        <v>5222</v>
      </c>
      <c r="K760" t="s">
        <v>461</v>
      </c>
      <c r="L760">
        <v>0</v>
      </c>
      <c r="M760" s="452">
        <v>46078</v>
      </c>
      <c r="N760">
        <v>116</v>
      </c>
      <c r="O760">
        <v>121.05</v>
      </c>
      <c r="P760">
        <v>102.08</v>
      </c>
    </row>
    <row r="761" spans="1:16" x14ac:dyDescent="0.3">
      <c r="A761">
        <v>79073</v>
      </c>
      <c r="B761">
        <v>105</v>
      </c>
      <c r="C761" t="s">
        <v>557</v>
      </c>
      <c r="D761" s="452">
        <v>46113</v>
      </c>
      <c r="E761">
        <v>20308</v>
      </c>
      <c r="F761" t="s">
        <v>4909</v>
      </c>
      <c r="G761">
        <v>2222</v>
      </c>
      <c r="H761">
        <v>3</v>
      </c>
      <c r="I761" t="s">
        <v>4738</v>
      </c>
      <c r="J761" t="s">
        <v>5191</v>
      </c>
      <c r="K761" t="s">
        <v>461</v>
      </c>
      <c r="L761">
        <v>0</v>
      </c>
      <c r="M761" s="452">
        <v>45831</v>
      </c>
      <c r="N761">
        <v>33.799999999999997</v>
      </c>
      <c r="O761">
        <v>24.9</v>
      </c>
      <c r="P761">
        <v>101.4</v>
      </c>
    </row>
    <row r="762" spans="1:16" x14ac:dyDescent="0.3">
      <c r="A762">
        <v>78964</v>
      </c>
      <c r="B762">
        <v>105</v>
      </c>
      <c r="C762" t="s">
        <v>557</v>
      </c>
      <c r="D762" s="452">
        <v>46113</v>
      </c>
      <c r="E762">
        <v>25759</v>
      </c>
      <c r="F762" t="s">
        <v>4877</v>
      </c>
      <c r="G762">
        <v>9073</v>
      </c>
      <c r="H762">
        <v>13</v>
      </c>
      <c r="I762" t="s">
        <v>4736</v>
      </c>
      <c r="J762" t="s">
        <v>5191</v>
      </c>
      <c r="K762" t="s">
        <v>461</v>
      </c>
      <c r="L762">
        <v>0</v>
      </c>
      <c r="M762" s="452">
        <v>45995</v>
      </c>
      <c r="N762">
        <v>7.65</v>
      </c>
      <c r="O762">
        <v>7.65</v>
      </c>
      <c r="P762">
        <v>99.45</v>
      </c>
    </row>
    <row r="763" spans="1:16" x14ac:dyDescent="0.3">
      <c r="A763">
        <v>79191</v>
      </c>
      <c r="B763">
        <v>105</v>
      </c>
      <c r="C763" t="s">
        <v>557</v>
      </c>
      <c r="D763" s="452">
        <v>46113</v>
      </c>
      <c r="E763">
        <v>18114</v>
      </c>
      <c r="F763" t="s">
        <v>5046</v>
      </c>
      <c r="G763">
        <v>3498</v>
      </c>
      <c r="H763">
        <v>0.36</v>
      </c>
      <c r="I763" t="s">
        <v>4805</v>
      </c>
      <c r="J763" t="s">
        <v>5222</v>
      </c>
      <c r="K763" t="s">
        <v>461</v>
      </c>
      <c r="L763">
        <v>0</v>
      </c>
      <c r="M763" s="452">
        <v>46008</v>
      </c>
      <c r="N763">
        <v>271.2</v>
      </c>
      <c r="O763">
        <v>276.86</v>
      </c>
      <c r="P763">
        <v>97.63</v>
      </c>
    </row>
    <row r="764" spans="1:16" x14ac:dyDescent="0.3">
      <c r="A764">
        <v>78959</v>
      </c>
      <c r="B764">
        <v>105</v>
      </c>
      <c r="C764" t="s">
        <v>557</v>
      </c>
      <c r="D764" s="452">
        <v>46113</v>
      </c>
      <c r="E764">
        <v>25750</v>
      </c>
      <c r="F764" t="s">
        <v>4908</v>
      </c>
      <c r="G764">
        <v>6301</v>
      </c>
      <c r="H764">
        <v>14</v>
      </c>
      <c r="I764" t="s">
        <v>4736</v>
      </c>
      <c r="J764" t="s">
        <v>5191</v>
      </c>
      <c r="K764" t="s">
        <v>461</v>
      </c>
      <c r="L764">
        <v>0</v>
      </c>
      <c r="M764" s="452">
        <v>45653</v>
      </c>
      <c r="N764">
        <v>6.87</v>
      </c>
      <c r="O764">
        <v>6.87</v>
      </c>
      <c r="P764">
        <v>96.18</v>
      </c>
    </row>
    <row r="765" spans="1:16" x14ac:dyDescent="0.3">
      <c r="A765">
        <v>78997</v>
      </c>
      <c r="B765">
        <v>105</v>
      </c>
      <c r="C765" t="s">
        <v>557</v>
      </c>
      <c r="D765" s="452">
        <v>46113</v>
      </c>
      <c r="E765">
        <v>19505</v>
      </c>
      <c r="F765" t="s">
        <v>4872</v>
      </c>
      <c r="G765">
        <v>2706</v>
      </c>
      <c r="H765">
        <v>7.2</v>
      </c>
      <c r="I765" t="s">
        <v>4744</v>
      </c>
      <c r="J765" t="s">
        <v>5191</v>
      </c>
      <c r="K765" t="s">
        <v>461</v>
      </c>
      <c r="L765">
        <v>13.31</v>
      </c>
      <c r="M765" s="452">
        <v>46112</v>
      </c>
      <c r="N765">
        <v>11.5</v>
      </c>
      <c r="O765">
        <v>11.5</v>
      </c>
      <c r="P765">
        <v>95.83</v>
      </c>
    </row>
    <row r="766" spans="1:16" x14ac:dyDescent="0.3">
      <c r="A766">
        <v>79157</v>
      </c>
      <c r="B766">
        <v>105</v>
      </c>
      <c r="C766" t="s">
        <v>557</v>
      </c>
      <c r="D766" s="452">
        <v>46113</v>
      </c>
      <c r="E766">
        <v>26150</v>
      </c>
      <c r="F766" t="s">
        <v>5105</v>
      </c>
      <c r="G766">
        <v>3409</v>
      </c>
      <c r="H766">
        <v>1</v>
      </c>
      <c r="I766" t="s">
        <v>4805</v>
      </c>
      <c r="J766" t="s">
        <v>5222</v>
      </c>
      <c r="K766" t="s">
        <v>461</v>
      </c>
      <c r="L766">
        <v>95.3</v>
      </c>
      <c r="M766" s="452">
        <v>46084</v>
      </c>
      <c r="N766">
        <v>95.3</v>
      </c>
      <c r="O766">
        <v>80</v>
      </c>
      <c r="P766">
        <v>95.3</v>
      </c>
    </row>
    <row r="767" spans="1:16" x14ac:dyDescent="0.3">
      <c r="A767">
        <v>79080</v>
      </c>
      <c r="B767">
        <v>105</v>
      </c>
      <c r="C767" t="s">
        <v>557</v>
      </c>
      <c r="D767" s="452">
        <v>46113</v>
      </c>
      <c r="E767">
        <v>22871</v>
      </c>
      <c r="F767" t="s">
        <v>4898</v>
      </c>
      <c r="G767">
        <v>2915</v>
      </c>
      <c r="H767">
        <v>3</v>
      </c>
      <c r="I767" t="s">
        <v>4744</v>
      </c>
      <c r="J767" t="s">
        <v>5191</v>
      </c>
      <c r="K767" t="s">
        <v>461</v>
      </c>
      <c r="L767">
        <v>0</v>
      </c>
      <c r="M767" s="452">
        <v>46076</v>
      </c>
      <c r="N767">
        <v>30.9</v>
      </c>
      <c r="O767">
        <v>30.9</v>
      </c>
      <c r="P767">
        <v>92.7</v>
      </c>
    </row>
    <row r="768" spans="1:16" x14ac:dyDescent="0.3">
      <c r="A768">
        <v>78958</v>
      </c>
      <c r="B768">
        <v>105</v>
      </c>
      <c r="C768" t="s">
        <v>557</v>
      </c>
      <c r="D768" s="452">
        <v>46113</v>
      </c>
      <c r="E768">
        <v>27757</v>
      </c>
      <c r="F768" t="s">
        <v>4942</v>
      </c>
      <c r="G768">
        <v>9067</v>
      </c>
      <c r="H768">
        <v>14</v>
      </c>
      <c r="I768" t="s">
        <v>4749</v>
      </c>
      <c r="J768" t="s">
        <v>5191</v>
      </c>
      <c r="K768" t="s">
        <v>461</v>
      </c>
      <c r="L768">
        <v>0</v>
      </c>
      <c r="M768" s="452">
        <v>45995</v>
      </c>
      <c r="N768">
        <v>6.61</v>
      </c>
      <c r="O768">
        <v>6.61</v>
      </c>
      <c r="P768">
        <v>92.54</v>
      </c>
    </row>
    <row r="769" spans="1:16" x14ac:dyDescent="0.3">
      <c r="A769">
        <v>78979</v>
      </c>
      <c r="B769">
        <v>105</v>
      </c>
      <c r="C769" t="s">
        <v>557</v>
      </c>
      <c r="D769" s="452">
        <v>46113</v>
      </c>
      <c r="E769">
        <v>19752</v>
      </c>
      <c r="F769" t="s">
        <v>4807</v>
      </c>
      <c r="G769">
        <v>2501</v>
      </c>
      <c r="H769">
        <v>10.7</v>
      </c>
      <c r="I769" t="s">
        <v>4744</v>
      </c>
      <c r="J769" t="s">
        <v>5191</v>
      </c>
      <c r="K769" t="s">
        <v>461</v>
      </c>
      <c r="L769">
        <v>8.58</v>
      </c>
      <c r="M769" s="452">
        <v>46092</v>
      </c>
      <c r="N769">
        <v>8.5</v>
      </c>
      <c r="O769">
        <v>7.5</v>
      </c>
      <c r="P769">
        <v>91.81</v>
      </c>
    </row>
    <row r="770" spans="1:16" x14ac:dyDescent="0.3">
      <c r="A770">
        <v>79089</v>
      </c>
      <c r="B770">
        <v>105</v>
      </c>
      <c r="C770" t="s">
        <v>557</v>
      </c>
      <c r="D770" s="452">
        <v>46113</v>
      </c>
      <c r="E770">
        <v>16973</v>
      </c>
      <c r="F770" t="s">
        <v>4827</v>
      </c>
      <c r="G770">
        <v>3710</v>
      </c>
      <c r="H770">
        <v>2.4</v>
      </c>
      <c r="I770" t="s">
        <v>4749</v>
      </c>
      <c r="J770" t="s">
        <v>5222</v>
      </c>
      <c r="K770" t="s">
        <v>461</v>
      </c>
      <c r="L770">
        <v>0</v>
      </c>
      <c r="M770" s="452">
        <v>45740</v>
      </c>
      <c r="N770">
        <v>0</v>
      </c>
      <c r="O770">
        <v>135</v>
      </c>
      <c r="P770">
        <v>91.2</v>
      </c>
    </row>
    <row r="771" spans="1:16" x14ac:dyDescent="0.3">
      <c r="A771">
        <v>79172</v>
      </c>
      <c r="B771">
        <v>105</v>
      </c>
      <c r="C771" t="s">
        <v>557</v>
      </c>
      <c r="D771" s="452">
        <v>46113</v>
      </c>
      <c r="E771">
        <v>24685</v>
      </c>
      <c r="F771" t="s">
        <v>5055</v>
      </c>
      <c r="G771">
        <v>5714</v>
      </c>
      <c r="H771">
        <v>0.6</v>
      </c>
      <c r="I771" t="s">
        <v>4805</v>
      </c>
      <c r="J771" t="s">
        <v>5222</v>
      </c>
      <c r="K771" t="s">
        <v>461</v>
      </c>
      <c r="L771">
        <v>0</v>
      </c>
      <c r="M771" s="452">
        <v>45999</v>
      </c>
      <c r="N771">
        <v>147.25</v>
      </c>
      <c r="O771">
        <v>195</v>
      </c>
      <c r="P771">
        <v>88.35</v>
      </c>
    </row>
    <row r="772" spans="1:16" x14ac:dyDescent="0.3">
      <c r="A772">
        <v>79058</v>
      </c>
      <c r="B772">
        <v>105</v>
      </c>
      <c r="C772" t="s">
        <v>557</v>
      </c>
      <c r="D772" s="452">
        <v>46113</v>
      </c>
      <c r="E772">
        <v>19353</v>
      </c>
      <c r="F772" t="s">
        <v>4851</v>
      </c>
      <c r="G772">
        <v>2768</v>
      </c>
      <c r="H772">
        <v>3.5</v>
      </c>
      <c r="I772" t="s">
        <v>4744</v>
      </c>
      <c r="J772" t="s">
        <v>5191</v>
      </c>
      <c r="K772" t="s">
        <v>461</v>
      </c>
      <c r="L772">
        <v>24.6</v>
      </c>
      <c r="M772" s="452">
        <v>46105</v>
      </c>
      <c r="N772">
        <v>24.6</v>
      </c>
      <c r="O772">
        <v>24.6</v>
      </c>
      <c r="P772">
        <v>86.1</v>
      </c>
    </row>
    <row r="773" spans="1:16" x14ac:dyDescent="0.3">
      <c r="A773">
        <v>79001</v>
      </c>
      <c r="B773">
        <v>105</v>
      </c>
      <c r="C773" t="s">
        <v>557</v>
      </c>
      <c r="D773" s="452">
        <v>46113</v>
      </c>
      <c r="E773">
        <v>20227</v>
      </c>
      <c r="F773" t="s">
        <v>4825</v>
      </c>
      <c r="G773">
        <v>2248</v>
      </c>
      <c r="H773">
        <v>7</v>
      </c>
      <c r="I773" t="s">
        <v>4738</v>
      </c>
      <c r="J773" t="s">
        <v>5191</v>
      </c>
      <c r="K773" t="s">
        <v>461</v>
      </c>
      <c r="L773">
        <v>12.17</v>
      </c>
      <c r="M773" s="452">
        <v>46094</v>
      </c>
      <c r="N773">
        <v>12.3</v>
      </c>
      <c r="O773">
        <v>12.72</v>
      </c>
      <c r="P773">
        <v>85.19</v>
      </c>
    </row>
    <row r="774" spans="1:16" x14ac:dyDescent="0.3">
      <c r="A774">
        <v>78915</v>
      </c>
      <c r="B774">
        <v>105</v>
      </c>
      <c r="C774" t="s">
        <v>557</v>
      </c>
      <c r="D774" s="452">
        <v>46113</v>
      </c>
      <c r="E774">
        <v>17881</v>
      </c>
      <c r="F774" t="s">
        <v>5103</v>
      </c>
      <c r="G774">
        <v>3675</v>
      </c>
      <c r="H774">
        <v>4.17</v>
      </c>
      <c r="I774" t="s">
        <v>4738</v>
      </c>
      <c r="J774" t="s">
        <v>5222</v>
      </c>
      <c r="K774" t="s">
        <v>461</v>
      </c>
      <c r="L774">
        <v>20.11</v>
      </c>
      <c r="M774" s="452">
        <v>46083</v>
      </c>
      <c r="N774">
        <v>20.11</v>
      </c>
      <c r="O774">
        <v>21.01</v>
      </c>
      <c r="P774">
        <v>83.86</v>
      </c>
    </row>
    <row r="775" spans="1:16" x14ac:dyDescent="0.3">
      <c r="A775">
        <v>79032</v>
      </c>
      <c r="B775">
        <v>105</v>
      </c>
      <c r="C775" t="s">
        <v>557</v>
      </c>
      <c r="D775" s="452">
        <v>46113</v>
      </c>
      <c r="E775">
        <v>25205</v>
      </c>
      <c r="F775" t="s">
        <v>4850</v>
      </c>
      <c r="G775">
        <v>5944</v>
      </c>
      <c r="H775">
        <v>4.2</v>
      </c>
      <c r="I775" t="s">
        <v>4744</v>
      </c>
      <c r="J775" t="s">
        <v>5191</v>
      </c>
      <c r="K775" t="s">
        <v>461</v>
      </c>
      <c r="L775">
        <v>19.899999999999999</v>
      </c>
      <c r="M775" s="452">
        <v>46090</v>
      </c>
      <c r="N775">
        <v>19.899999999999999</v>
      </c>
      <c r="O775">
        <v>17.989999999999998</v>
      </c>
      <c r="P775">
        <v>83.58</v>
      </c>
    </row>
    <row r="776" spans="1:16" x14ac:dyDescent="0.3">
      <c r="A776">
        <v>79040</v>
      </c>
      <c r="B776">
        <v>105</v>
      </c>
      <c r="C776" t="s">
        <v>557</v>
      </c>
      <c r="D776" s="452">
        <v>46113</v>
      </c>
      <c r="E776">
        <v>23515</v>
      </c>
      <c r="F776" t="s">
        <v>4816</v>
      </c>
      <c r="G776">
        <v>2353</v>
      </c>
      <c r="H776">
        <v>4</v>
      </c>
      <c r="I776" t="s">
        <v>4736</v>
      </c>
      <c r="J776" t="s">
        <v>5191</v>
      </c>
      <c r="K776" t="s">
        <v>461</v>
      </c>
      <c r="L776">
        <v>0</v>
      </c>
      <c r="M776" s="452">
        <v>45999</v>
      </c>
      <c r="N776">
        <v>20.8</v>
      </c>
      <c r="O776">
        <v>19.27</v>
      </c>
      <c r="P776">
        <v>83.2</v>
      </c>
    </row>
    <row r="777" spans="1:16" x14ac:dyDescent="0.3">
      <c r="A777">
        <v>79000</v>
      </c>
      <c r="B777">
        <v>105</v>
      </c>
      <c r="C777" t="s">
        <v>557</v>
      </c>
      <c r="D777" s="452">
        <v>46113</v>
      </c>
      <c r="E777">
        <v>20054</v>
      </c>
      <c r="F777" t="s">
        <v>4856</v>
      </c>
      <c r="G777">
        <v>2325</v>
      </c>
      <c r="H777">
        <v>7</v>
      </c>
      <c r="I777" t="s">
        <v>4736</v>
      </c>
      <c r="J777" t="s">
        <v>5191</v>
      </c>
      <c r="K777" t="s">
        <v>461</v>
      </c>
      <c r="L777">
        <v>0</v>
      </c>
      <c r="M777" s="452">
        <v>46077</v>
      </c>
      <c r="N777">
        <v>11.85</v>
      </c>
      <c r="O777">
        <v>11.85</v>
      </c>
      <c r="P777">
        <v>82.95</v>
      </c>
    </row>
    <row r="778" spans="1:16" x14ac:dyDescent="0.3">
      <c r="A778">
        <v>78975</v>
      </c>
      <c r="B778">
        <v>105</v>
      </c>
      <c r="C778" t="s">
        <v>557</v>
      </c>
      <c r="D778" s="452">
        <v>46113</v>
      </c>
      <c r="E778">
        <v>19654</v>
      </c>
      <c r="F778" t="s">
        <v>5099</v>
      </c>
      <c r="G778">
        <v>2586</v>
      </c>
      <c r="H778">
        <v>11.55</v>
      </c>
      <c r="I778" t="s">
        <v>4744</v>
      </c>
      <c r="J778" t="s">
        <v>5191</v>
      </c>
      <c r="K778" t="s">
        <v>461</v>
      </c>
      <c r="L778">
        <v>7.1</v>
      </c>
      <c r="M778" s="452">
        <v>46111</v>
      </c>
      <c r="N778">
        <v>6.5</v>
      </c>
      <c r="O778">
        <v>6.5</v>
      </c>
      <c r="P778">
        <v>82</v>
      </c>
    </row>
    <row r="779" spans="1:16" x14ac:dyDescent="0.3">
      <c r="A779">
        <v>79155</v>
      </c>
      <c r="B779">
        <v>105</v>
      </c>
      <c r="C779" t="s">
        <v>557</v>
      </c>
      <c r="D779" s="452">
        <v>46113</v>
      </c>
      <c r="E779">
        <v>25358</v>
      </c>
      <c r="F779" t="s">
        <v>4980</v>
      </c>
      <c r="G779">
        <v>6047</v>
      </c>
      <c r="H779">
        <v>1</v>
      </c>
      <c r="I779" t="s">
        <v>4744</v>
      </c>
      <c r="J779" t="s">
        <v>5191</v>
      </c>
      <c r="K779" t="s">
        <v>461</v>
      </c>
      <c r="L779">
        <v>81.599999999999994</v>
      </c>
      <c r="M779" s="452">
        <v>46094</v>
      </c>
      <c r="N779">
        <v>81.599999999999994</v>
      </c>
      <c r="O779">
        <v>81.599999999999994</v>
      </c>
      <c r="P779">
        <v>81.599999999999994</v>
      </c>
    </row>
    <row r="780" spans="1:16" x14ac:dyDescent="0.3">
      <c r="A780">
        <v>79170</v>
      </c>
      <c r="B780">
        <v>105</v>
      </c>
      <c r="C780" t="s">
        <v>557</v>
      </c>
      <c r="D780" s="452">
        <v>46113</v>
      </c>
      <c r="E780">
        <v>18312</v>
      </c>
      <c r="F780" t="s">
        <v>5037</v>
      </c>
      <c r="G780">
        <v>3321</v>
      </c>
      <c r="H780">
        <v>0.6</v>
      </c>
      <c r="I780" t="s">
        <v>4805</v>
      </c>
      <c r="J780" t="s">
        <v>5222</v>
      </c>
      <c r="K780" t="s">
        <v>461</v>
      </c>
      <c r="L780">
        <v>0</v>
      </c>
      <c r="N780">
        <v>0</v>
      </c>
      <c r="O780">
        <v>93.9</v>
      </c>
      <c r="P780">
        <v>81.540000000000006</v>
      </c>
    </row>
    <row r="781" spans="1:16" x14ac:dyDescent="0.3">
      <c r="A781">
        <v>79173</v>
      </c>
      <c r="B781">
        <v>105</v>
      </c>
      <c r="C781" t="s">
        <v>557</v>
      </c>
      <c r="D781" s="452">
        <v>46113</v>
      </c>
      <c r="E781">
        <v>18289</v>
      </c>
      <c r="F781" t="s">
        <v>5036</v>
      </c>
      <c r="G781">
        <v>3339</v>
      </c>
      <c r="H781">
        <v>0.57999999999999996</v>
      </c>
      <c r="I781" t="s">
        <v>4736</v>
      </c>
      <c r="J781" t="s">
        <v>5222</v>
      </c>
      <c r="K781" t="s">
        <v>461</v>
      </c>
      <c r="L781">
        <v>0</v>
      </c>
      <c r="N781">
        <v>0</v>
      </c>
      <c r="O781">
        <v>0</v>
      </c>
      <c r="P781">
        <v>81.2</v>
      </c>
    </row>
    <row r="782" spans="1:16" x14ac:dyDescent="0.3">
      <c r="A782">
        <v>78922</v>
      </c>
      <c r="B782">
        <v>105</v>
      </c>
      <c r="C782" t="s">
        <v>557</v>
      </c>
      <c r="D782" s="452">
        <v>46113</v>
      </c>
      <c r="E782">
        <v>18006</v>
      </c>
      <c r="F782" t="s">
        <v>5094</v>
      </c>
      <c r="G782">
        <v>3591</v>
      </c>
      <c r="H782">
        <v>2.67</v>
      </c>
      <c r="I782" t="s">
        <v>4738</v>
      </c>
      <c r="J782" t="s">
        <v>5222</v>
      </c>
      <c r="K782" t="s">
        <v>461</v>
      </c>
      <c r="L782">
        <v>29.64</v>
      </c>
      <c r="M782" s="452">
        <v>46090</v>
      </c>
      <c r="N782">
        <v>29.64</v>
      </c>
      <c r="O782">
        <v>29.64</v>
      </c>
      <c r="P782">
        <v>79.14</v>
      </c>
    </row>
    <row r="783" spans="1:16" x14ac:dyDescent="0.3">
      <c r="A783">
        <v>79128</v>
      </c>
      <c r="B783">
        <v>105</v>
      </c>
      <c r="C783" t="s">
        <v>557</v>
      </c>
      <c r="D783" s="452">
        <v>46113</v>
      </c>
      <c r="E783">
        <v>18339</v>
      </c>
      <c r="F783" t="s">
        <v>5033</v>
      </c>
      <c r="G783">
        <v>3296</v>
      </c>
      <c r="H783">
        <v>1.4</v>
      </c>
      <c r="I783" t="s">
        <v>4805</v>
      </c>
      <c r="J783" t="s">
        <v>5222</v>
      </c>
      <c r="K783" t="s">
        <v>461</v>
      </c>
      <c r="L783">
        <v>0</v>
      </c>
      <c r="N783">
        <v>0</v>
      </c>
      <c r="O783">
        <v>62.9</v>
      </c>
      <c r="P783">
        <v>79.14</v>
      </c>
    </row>
    <row r="784" spans="1:16" x14ac:dyDescent="0.3">
      <c r="A784">
        <v>78956</v>
      </c>
      <c r="B784">
        <v>105</v>
      </c>
      <c r="C784" t="s">
        <v>557</v>
      </c>
      <c r="D784" s="452">
        <v>46113</v>
      </c>
      <c r="E784">
        <v>25748</v>
      </c>
      <c r="F784" t="s">
        <v>4999</v>
      </c>
      <c r="G784">
        <v>9068</v>
      </c>
      <c r="H784">
        <v>14</v>
      </c>
      <c r="I784" t="s">
        <v>4749</v>
      </c>
      <c r="J784" t="s">
        <v>5191</v>
      </c>
      <c r="K784" t="s">
        <v>461</v>
      </c>
      <c r="L784">
        <v>0</v>
      </c>
      <c r="M784" s="452">
        <v>45995</v>
      </c>
      <c r="N784">
        <v>5.65</v>
      </c>
      <c r="O784">
        <v>5.65</v>
      </c>
      <c r="P784">
        <v>79.099999999999994</v>
      </c>
    </row>
    <row r="785" spans="1:16" x14ac:dyDescent="0.3">
      <c r="A785">
        <v>79051</v>
      </c>
      <c r="B785">
        <v>105</v>
      </c>
      <c r="C785" t="s">
        <v>557</v>
      </c>
      <c r="D785" s="452">
        <v>46113</v>
      </c>
      <c r="E785">
        <v>24099</v>
      </c>
      <c r="F785" t="s">
        <v>4933</v>
      </c>
      <c r="G785">
        <v>2716</v>
      </c>
      <c r="H785">
        <v>3.85</v>
      </c>
      <c r="I785" t="s">
        <v>4744</v>
      </c>
      <c r="J785" t="s">
        <v>5191</v>
      </c>
      <c r="K785" t="s">
        <v>461</v>
      </c>
      <c r="L785">
        <v>19.84</v>
      </c>
      <c r="M785" s="452">
        <v>46092</v>
      </c>
      <c r="N785">
        <v>22.73</v>
      </c>
      <c r="O785">
        <v>12.8</v>
      </c>
      <c r="P785">
        <v>76.38</v>
      </c>
    </row>
    <row r="786" spans="1:16" x14ac:dyDescent="0.3">
      <c r="A786">
        <v>79156</v>
      </c>
      <c r="B786">
        <v>105</v>
      </c>
      <c r="C786" t="s">
        <v>557</v>
      </c>
      <c r="D786" s="452">
        <v>46113</v>
      </c>
      <c r="E786">
        <v>26030</v>
      </c>
      <c r="F786" t="s">
        <v>5136</v>
      </c>
      <c r="G786">
        <v>6502</v>
      </c>
      <c r="H786">
        <v>1</v>
      </c>
      <c r="I786" t="s">
        <v>4805</v>
      </c>
      <c r="J786" t="s">
        <v>5222</v>
      </c>
      <c r="K786" t="s">
        <v>461</v>
      </c>
      <c r="L786">
        <v>0</v>
      </c>
      <c r="M786" s="452">
        <v>46063</v>
      </c>
      <c r="N786">
        <v>75.400000000000006</v>
      </c>
      <c r="O786">
        <v>75.400000000000006</v>
      </c>
      <c r="P786">
        <v>75.400000000000006</v>
      </c>
    </row>
    <row r="787" spans="1:16" x14ac:dyDescent="0.3">
      <c r="A787">
        <v>78952</v>
      </c>
      <c r="B787">
        <v>105</v>
      </c>
      <c r="C787" t="s">
        <v>557</v>
      </c>
      <c r="D787" s="452">
        <v>46113</v>
      </c>
      <c r="E787">
        <v>19787</v>
      </c>
      <c r="F787" t="s">
        <v>4793</v>
      </c>
      <c r="G787">
        <v>2471</v>
      </c>
      <c r="H787">
        <v>14.1</v>
      </c>
      <c r="I787" t="s">
        <v>4744</v>
      </c>
      <c r="J787" t="s">
        <v>5191</v>
      </c>
      <c r="K787" t="s">
        <v>461</v>
      </c>
      <c r="L787">
        <v>5.19</v>
      </c>
      <c r="M787" s="452">
        <v>46112</v>
      </c>
      <c r="N787">
        <v>5.5</v>
      </c>
      <c r="O787">
        <v>5.5</v>
      </c>
      <c r="P787">
        <v>73.180000000000007</v>
      </c>
    </row>
    <row r="788" spans="1:16" x14ac:dyDescent="0.3">
      <c r="A788">
        <v>79146</v>
      </c>
      <c r="B788">
        <v>105</v>
      </c>
      <c r="C788" t="s">
        <v>557</v>
      </c>
      <c r="D788" s="452">
        <v>46113</v>
      </c>
      <c r="E788">
        <v>20673</v>
      </c>
      <c r="F788" t="s">
        <v>5132</v>
      </c>
      <c r="G788">
        <v>2107</v>
      </c>
      <c r="H788">
        <v>1</v>
      </c>
      <c r="I788" t="s">
        <v>4955</v>
      </c>
      <c r="J788" t="s">
        <v>5191</v>
      </c>
      <c r="K788" t="s">
        <v>461</v>
      </c>
      <c r="L788">
        <v>72.44</v>
      </c>
      <c r="M788" s="452">
        <v>46101</v>
      </c>
      <c r="N788">
        <v>72.44</v>
      </c>
      <c r="O788">
        <v>72.44</v>
      </c>
      <c r="P788">
        <v>72.44</v>
      </c>
    </row>
    <row r="789" spans="1:16" x14ac:dyDescent="0.3">
      <c r="A789">
        <v>78995</v>
      </c>
      <c r="B789">
        <v>105</v>
      </c>
      <c r="C789" t="s">
        <v>557</v>
      </c>
      <c r="D789" s="452">
        <v>46113</v>
      </c>
      <c r="E789">
        <v>20382</v>
      </c>
      <c r="F789" t="s">
        <v>4780</v>
      </c>
      <c r="G789">
        <v>2196</v>
      </c>
      <c r="H789">
        <v>8</v>
      </c>
      <c r="I789" t="s">
        <v>4738</v>
      </c>
      <c r="J789" t="s">
        <v>5191</v>
      </c>
      <c r="K789" t="s">
        <v>461</v>
      </c>
      <c r="L789">
        <v>8.99</v>
      </c>
      <c r="M789" s="452">
        <v>46092</v>
      </c>
      <c r="N789">
        <v>8.99</v>
      </c>
      <c r="O789">
        <v>8.99</v>
      </c>
      <c r="P789">
        <v>71.92</v>
      </c>
    </row>
    <row r="790" spans="1:16" x14ac:dyDescent="0.3">
      <c r="A790">
        <v>79064</v>
      </c>
      <c r="B790">
        <v>105</v>
      </c>
      <c r="C790" t="s">
        <v>557</v>
      </c>
      <c r="D790" s="452">
        <v>46113</v>
      </c>
      <c r="E790">
        <v>23234</v>
      </c>
      <c r="F790" t="s">
        <v>4986</v>
      </c>
      <c r="G790">
        <v>2622</v>
      </c>
      <c r="H790">
        <v>3.1</v>
      </c>
      <c r="I790" t="s">
        <v>4744</v>
      </c>
      <c r="J790" t="s">
        <v>5191</v>
      </c>
      <c r="K790" t="s">
        <v>461</v>
      </c>
      <c r="L790">
        <v>23</v>
      </c>
      <c r="M790" s="452">
        <v>46093</v>
      </c>
      <c r="N790">
        <v>23</v>
      </c>
      <c r="O790">
        <v>25</v>
      </c>
      <c r="P790">
        <v>71.3</v>
      </c>
    </row>
    <row r="791" spans="1:16" x14ac:dyDescent="0.3">
      <c r="A791">
        <v>78963</v>
      </c>
      <c r="B791">
        <v>105</v>
      </c>
      <c r="C791" t="s">
        <v>557</v>
      </c>
      <c r="D791" s="452">
        <v>46113</v>
      </c>
      <c r="E791">
        <v>25237</v>
      </c>
      <c r="F791" t="s">
        <v>5143</v>
      </c>
      <c r="G791">
        <v>5960</v>
      </c>
      <c r="H791">
        <v>13</v>
      </c>
      <c r="I791" t="s">
        <v>4736</v>
      </c>
      <c r="J791" t="s">
        <v>5191</v>
      </c>
      <c r="K791" t="s">
        <v>461</v>
      </c>
      <c r="L791">
        <v>5.34</v>
      </c>
      <c r="M791" s="452">
        <v>46092</v>
      </c>
      <c r="N791">
        <v>5.34</v>
      </c>
      <c r="O791">
        <v>5.29</v>
      </c>
      <c r="P791">
        <v>69.42</v>
      </c>
    </row>
    <row r="792" spans="1:16" x14ac:dyDescent="0.3">
      <c r="A792">
        <v>79169</v>
      </c>
      <c r="B792">
        <v>105</v>
      </c>
      <c r="C792" t="s">
        <v>557</v>
      </c>
      <c r="D792" s="452">
        <v>46113</v>
      </c>
      <c r="E792">
        <v>18146</v>
      </c>
      <c r="F792" t="s">
        <v>5112</v>
      </c>
      <c r="G792">
        <v>3471</v>
      </c>
      <c r="H792">
        <v>0.64</v>
      </c>
      <c r="I792" t="s">
        <v>4805</v>
      </c>
      <c r="J792" t="s">
        <v>5222</v>
      </c>
      <c r="K792" t="s">
        <v>461</v>
      </c>
      <c r="L792">
        <v>0</v>
      </c>
      <c r="M792" s="452">
        <v>46030</v>
      </c>
      <c r="N792">
        <v>107.9</v>
      </c>
      <c r="O792">
        <v>96</v>
      </c>
      <c r="P792">
        <v>69.06</v>
      </c>
    </row>
    <row r="793" spans="1:16" x14ac:dyDescent="0.3">
      <c r="A793">
        <v>79168</v>
      </c>
      <c r="B793">
        <v>105</v>
      </c>
      <c r="C793" t="s">
        <v>557</v>
      </c>
      <c r="D793" s="452">
        <v>46113</v>
      </c>
      <c r="E793">
        <v>20751</v>
      </c>
      <c r="F793" t="s">
        <v>5004</v>
      </c>
      <c r="G793">
        <v>2088</v>
      </c>
      <c r="H793">
        <v>0.65</v>
      </c>
      <c r="I793" t="s">
        <v>4884</v>
      </c>
      <c r="J793" t="s">
        <v>5191</v>
      </c>
      <c r="K793" t="s">
        <v>461</v>
      </c>
      <c r="L793">
        <v>0</v>
      </c>
      <c r="M793" s="452">
        <v>46080</v>
      </c>
      <c r="N793">
        <v>102.9</v>
      </c>
      <c r="O793">
        <v>107.1</v>
      </c>
      <c r="P793">
        <v>66.89</v>
      </c>
    </row>
    <row r="794" spans="1:16" x14ac:dyDescent="0.3">
      <c r="A794">
        <v>78939</v>
      </c>
      <c r="B794">
        <v>105</v>
      </c>
      <c r="C794" t="s">
        <v>557</v>
      </c>
      <c r="D794" s="452">
        <v>46113</v>
      </c>
      <c r="E794">
        <v>19623</v>
      </c>
      <c r="F794" t="s">
        <v>4764</v>
      </c>
      <c r="G794">
        <v>2611</v>
      </c>
      <c r="H794">
        <v>16</v>
      </c>
      <c r="I794" t="s">
        <v>4744</v>
      </c>
      <c r="J794" t="s">
        <v>5191</v>
      </c>
      <c r="K794" t="s">
        <v>461</v>
      </c>
      <c r="L794">
        <v>4.08</v>
      </c>
      <c r="M794" s="452">
        <v>46112</v>
      </c>
      <c r="N794">
        <v>4.13</v>
      </c>
      <c r="O794">
        <v>4.13</v>
      </c>
      <c r="P794">
        <v>65.28</v>
      </c>
    </row>
    <row r="795" spans="1:16" x14ac:dyDescent="0.3">
      <c r="A795">
        <v>79018</v>
      </c>
      <c r="B795">
        <v>105</v>
      </c>
      <c r="C795" t="s">
        <v>557</v>
      </c>
      <c r="D795" s="452">
        <v>46113</v>
      </c>
      <c r="E795">
        <v>24278</v>
      </c>
      <c r="F795" t="s">
        <v>4901</v>
      </c>
      <c r="G795">
        <v>2896</v>
      </c>
      <c r="H795">
        <v>5</v>
      </c>
      <c r="I795" t="s">
        <v>4744</v>
      </c>
      <c r="J795" t="s">
        <v>5191</v>
      </c>
      <c r="K795" t="s">
        <v>461</v>
      </c>
      <c r="L795">
        <v>12.9</v>
      </c>
      <c r="M795" s="452">
        <v>46083</v>
      </c>
      <c r="N795">
        <v>12.9</v>
      </c>
      <c r="O795">
        <v>8.99</v>
      </c>
      <c r="P795">
        <v>64.5</v>
      </c>
    </row>
    <row r="796" spans="1:16" x14ac:dyDescent="0.3">
      <c r="A796">
        <v>79071</v>
      </c>
      <c r="B796">
        <v>105</v>
      </c>
      <c r="C796" t="s">
        <v>557</v>
      </c>
      <c r="D796" s="452">
        <v>46113</v>
      </c>
      <c r="E796">
        <v>19978</v>
      </c>
      <c r="F796" t="s">
        <v>4887</v>
      </c>
      <c r="G796">
        <v>2353</v>
      </c>
      <c r="H796">
        <v>3</v>
      </c>
      <c r="I796" t="s">
        <v>4888</v>
      </c>
      <c r="J796" t="s">
        <v>5191</v>
      </c>
      <c r="K796" t="s">
        <v>461</v>
      </c>
      <c r="L796">
        <v>21.45</v>
      </c>
      <c r="M796" s="452">
        <v>46094</v>
      </c>
      <c r="N796">
        <v>21.45</v>
      </c>
      <c r="O796">
        <v>21.45</v>
      </c>
      <c r="P796">
        <v>64.349999999999994</v>
      </c>
    </row>
    <row r="797" spans="1:16" x14ac:dyDescent="0.3">
      <c r="A797">
        <v>79050</v>
      </c>
      <c r="B797">
        <v>105</v>
      </c>
      <c r="C797" t="s">
        <v>557</v>
      </c>
      <c r="D797" s="452">
        <v>46113</v>
      </c>
      <c r="E797">
        <v>24323</v>
      </c>
      <c r="F797" t="s">
        <v>4844</v>
      </c>
      <c r="G797">
        <v>2262</v>
      </c>
      <c r="H797">
        <v>3.9</v>
      </c>
      <c r="I797" t="s">
        <v>4744</v>
      </c>
      <c r="J797" t="s">
        <v>5191</v>
      </c>
      <c r="K797" t="s">
        <v>461</v>
      </c>
      <c r="L797">
        <v>0</v>
      </c>
      <c r="M797" s="452">
        <v>45817</v>
      </c>
      <c r="N797">
        <v>16.2</v>
      </c>
      <c r="O797">
        <v>12.9</v>
      </c>
      <c r="P797">
        <v>63.18</v>
      </c>
    </row>
    <row r="798" spans="1:16" x14ac:dyDescent="0.3">
      <c r="A798">
        <v>79086</v>
      </c>
      <c r="B798">
        <v>105</v>
      </c>
      <c r="C798" t="s">
        <v>557</v>
      </c>
      <c r="D798" s="452">
        <v>46113</v>
      </c>
      <c r="E798">
        <v>19472</v>
      </c>
      <c r="F798" t="s">
        <v>4906</v>
      </c>
      <c r="G798">
        <v>2733</v>
      </c>
      <c r="H798">
        <v>2.62</v>
      </c>
      <c r="I798" t="s">
        <v>4744</v>
      </c>
      <c r="J798" t="s">
        <v>5191</v>
      </c>
      <c r="K798" t="s">
        <v>461</v>
      </c>
      <c r="L798">
        <v>23.96</v>
      </c>
      <c r="M798" s="452">
        <v>46112</v>
      </c>
      <c r="N798">
        <v>28</v>
      </c>
      <c r="O798">
        <v>28</v>
      </c>
      <c r="P798">
        <v>62.78</v>
      </c>
    </row>
    <row r="799" spans="1:16" x14ac:dyDescent="0.3">
      <c r="A799">
        <v>79092</v>
      </c>
      <c r="B799">
        <v>105</v>
      </c>
      <c r="C799" t="s">
        <v>557</v>
      </c>
      <c r="D799" s="452">
        <v>46113</v>
      </c>
      <c r="E799">
        <v>21060</v>
      </c>
      <c r="F799" t="s">
        <v>4946</v>
      </c>
      <c r="G799">
        <v>1998</v>
      </c>
      <c r="H799">
        <v>2.4</v>
      </c>
      <c r="I799" t="s">
        <v>4736</v>
      </c>
      <c r="J799" t="s">
        <v>5191</v>
      </c>
      <c r="K799" t="s">
        <v>461</v>
      </c>
      <c r="L799">
        <v>0</v>
      </c>
      <c r="M799" s="452">
        <v>46062</v>
      </c>
      <c r="N799">
        <v>26.1</v>
      </c>
      <c r="O799">
        <v>21.99</v>
      </c>
      <c r="P799">
        <v>62.64</v>
      </c>
    </row>
    <row r="800" spans="1:16" x14ac:dyDescent="0.3">
      <c r="A800">
        <v>79084</v>
      </c>
      <c r="B800">
        <v>105</v>
      </c>
      <c r="C800" t="s">
        <v>557</v>
      </c>
      <c r="D800" s="452">
        <v>46113</v>
      </c>
      <c r="E800">
        <v>24322</v>
      </c>
      <c r="F800" t="s">
        <v>5064</v>
      </c>
      <c r="G800">
        <v>2342</v>
      </c>
      <c r="H800">
        <v>2.7</v>
      </c>
      <c r="I800" t="s">
        <v>4744</v>
      </c>
      <c r="J800" t="s">
        <v>5191</v>
      </c>
      <c r="K800" t="s">
        <v>461</v>
      </c>
      <c r="L800">
        <v>22</v>
      </c>
      <c r="M800" s="452">
        <v>46094</v>
      </c>
      <c r="N800">
        <v>22</v>
      </c>
      <c r="O800">
        <v>22</v>
      </c>
      <c r="P800">
        <v>59.4</v>
      </c>
    </row>
    <row r="801" spans="1:16" x14ac:dyDescent="0.3">
      <c r="A801">
        <v>79111</v>
      </c>
      <c r="B801">
        <v>105</v>
      </c>
      <c r="C801" t="s">
        <v>557</v>
      </c>
      <c r="D801" s="452">
        <v>46113</v>
      </c>
      <c r="E801">
        <v>23656</v>
      </c>
      <c r="F801" t="s">
        <v>4945</v>
      </c>
      <c r="G801">
        <v>2228</v>
      </c>
      <c r="H801">
        <v>2</v>
      </c>
      <c r="I801" t="s">
        <v>4744</v>
      </c>
      <c r="J801" t="s">
        <v>5191</v>
      </c>
      <c r="K801" t="s">
        <v>461</v>
      </c>
      <c r="L801">
        <v>0</v>
      </c>
      <c r="M801" s="452">
        <v>45873</v>
      </c>
      <c r="N801">
        <v>28</v>
      </c>
      <c r="O801">
        <v>27.3</v>
      </c>
      <c r="P801">
        <v>56</v>
      </c>
    </row>
    <row r="802" spans="1:16" x14ac:dyDescent="0.3">
      <c r="A802">
        <v>79135</v>
      </c>
      <c r="B802">
        <v>105</v>
      </c>
      <c r="C802" t="s">
        <v>557</v>
      </c>
      <c r="D802" s="452">
        <v>46113</v>
      </c>
      <c r="E802">
        <v>26210</v>
      </c>
      <c r="F802" t="s">
        <v>4975</v>
      </c>
      <c r="G802">
        <v>6624</v>
      </c>
      <c r="H802">
        <v>1.17</v>
      </c>
      <c r="I802" t="s">
        <v>4805</v>
      </c>
      <c r="J802" t="s">
        <v>5222</v>
      </c>
      <c r="K802" t="s">
        <v>461</v>
      </c>
      <c r="L802">
        <v>47.6</v>
      </c>
      <c r="M802" s="452">
        <v>46112</v>
      </c>
      <c r="N802">
        <v>47.6</v>
      </c>
      <c r="O802">
        <v>47.6</v>
      </c>
      <c r="P802">
        <v>55.69</v>
      </c>
    </row>
    <row r="803" spans="1:16" x14ac:dyDescent="0.3">
      <c r="A803">
        <v>79164</v>
      </c>
      <c r="B803">
        <v>105</v>
      </c>
      <c r="C803" t="s">
        <v>557</v>
      </c>
      <c r="D803" s="452">
        <v>46113</v>
      </c>
      <c r="E803">
        <v>24973</v>
      </c>
      <c r="F803" t="s">
        <v>4819</v>
      </c>
      <c r="G803">
        <v>5845</v>
      </c>
      <c r="H803">
        <v>0.8</v>
      </c>
      <c r="I803" t="s">
        <v>4738</v>
      </c>
      <c r="J803" t="s">
        <v>5222</v>
      </c>
      <c r="K803" t="s">
        <v>461</v>
      </c>
      <c r="L803">
        <v>68.790000000000006</v>
      </c>
      <c r="M803" s="452">
        <v>46083</v>
      </c>
      <c r="N803">
        <v>68.790000000000006</v>
      </c>
      <c r="O803">
        <v>68.790000000000006</v>
      </c>
      <c r="P803">
        <v>55.03</v>
      </c>
    </row>
    <row r="804" spans="1:16" x14ac:dyDescent="0.3">
      <c r="A804">
        <v>78940</v>
      </c>
      <c r="B804">
        <v>105</v>
      </c>
      <c r="C804" t="s">
        <v>557</v>
      </c>
      <c r="D804" s="452">
        <v>46113</v>
      </c>
      <c r="E804">
        <v>24509</v>
      </c>
      <c r="F804" t="s">
        <v>4788</v>
      </c>
      <c r="G804">
        <v>2607</v>
      </c>
      <c r="H804">
        <v>16</v>
      </c>
      <c r="I804" t="s">
        <v>4744</v>
      </c>
      <c r="J804" t="s">
        <v>5191</v>
      </c>
      <c r="K804" t="s">
        <v>461</v>
      </c>
      <c r="L804">
        <v>3.41</v>
      </c>
      <c r="M804" s="452">
        <v>46111</v>
      </c>
      <c r="N804">
        <v>3.3</v>
      </c>
      <c r="O804">
        <v>3.3</v>
      </c>
      <c r="P804">
        <v>54.56</v>
      </c>
    </row>
    <row r="805" spans="1:16" x14ac:dyDescent="0.3">
      <c r="A805">
        <v>79021</v>
      </c>
      <c r="B805">
        <v>105</v>
      </c>
      <c r="C805" t="s">
        <v>557</v>
      </c>
      <c r="D805" s="452">
        <v>46113</v>
      </c>
      <c r="E805">
        <v>19742</v>
      </c>
      <c r="F805" t="s">
        <v>4900</v>
      </c>
      <c r="G805">
        <v>2511</v>
      </c>
      <c r="H805">
        <v>4.71</v>
      </c>
      <c r="I805" t="s">
        <v>4744</v>
      </c>
      <c r="J805" t="s">
        <v>5191</v>
      </c>
      <c r="K805" t="s">
        <v>461</v>
      </c>
      <c r="L805">
        <v>11.2</v>
      </c>
      <c r="M805" s="452">
        <v>46111</v>
      </c>
      <c r="N805">
        <v>9.35</v>
      </c>
      <c r="O805">
        <v>9.35</v>
      </c>
      <c r="P805">
        <v>52.75</v>
      </c>
    </row>
    <row r="806" spans="1:16" x14ac:dyDescent="0.3">
      <c r="A806">
        <v>78930</v>
      </c>
      <c r="B806">
        <v>105</v>
      </c>
      <c r="C806" t="s">
        <v>557</v>
      </c>
      <c r="D806" s="452">
        <v>46113</v>
      </c>
      <c r="E806">
        <v>23359</v>
      </c>
      <c r="F806" t="s">
        <v>4767</v>
      </c>
      <c r="G806">
        <v>2499</v>
      </c>
      <c r="H806">
        <v>22.3</v>
      </c>
      <c r="I806" t="s">
        <v>4744</v>
      </c>
      <c r="J806" t="s">
        <v>5191</v>
      </c>
      <c r="K806" t="s">
        <v>461</v>
      </c>
      <c r="L806">
        <v>2.33</v>
      </c>
      <c r="M806" s="452">
        <v>46112</v>
      </c>
      <c r="N806">
        <v>2.2999999999999998</v>
      </c>
      <c r="O806">
        <v>2.34</v>
      </c>
      <c r="P806">
        <v>51.96</v>
      </c>
    </row>
    <row r="807" spans="1:16" x14ac:dyDescent="0.3">
      <c r="A807">
        <v>79109</v>
      </c>
      <c r="B807">
        <v>105</v>
      </c>
      <c r="C807" t="s">
        <v>557</v>
      </c>
      <c r="D807" s="452">
        <v>46113</v>
      </c>
      <c r="E807">
        <v>20653</v>
      </c>
      <c r="F807" t="s">
        <v>5013</v>
      </c>
      <c r="G807">
        <v>2111</v>
      </c>
      <c r="H807">
        <v>2</v>
      </c>
      <c r="I807" t="s">
        <v>4736</v>
      </c>
      <c r="J807" t="s">
        <v>5191</v>
      </c>
      <c r="K807" t="s">
        <v>461</v>
      </c>
      <c r="L807">
        <v>25.96</v>
      </c>
      <c r="M807" s="452">
        <v>46102</v>
      </c>
      <c r="N807">
        <v>25.96</v>
      </c>
      <c r="O807">
        <v>25.96</v>
      </c>
      <c r="P807">
        <v>51.92</v>
      </c>
    </row>
    <row r="808" spans="1:16" x14ac:dyDescent="0.3">
      <c r="A808">
        <v>78974</v>
      </c>
      <c r="B808">
        <v>105</v>
      </c>
      <c r="C808" t="s">
        <v>557</v>
      </c>
      <c r="D808" s="452">
        <v>46113</v>
      </c>
      <c r="E808">
        <v>19621</v>
      </c>
      <c r="F808" t="s">
        <v>4829</v>
      </c>
      <c r="G808">
        <v>2613</v>
      </c>
      <c r="H808">
        <v>11.75</v>
      </c>
      <c r="I808" t="s">
        <v>4744</v>
      </c>
      <c r="J808" t="s">
        <v>5191</v>
      </c>
      <c r="K808" t="s">
        <v>461</v>
      </c>
      <c r="L808">
        <v>4.2699999999999996</v>
      </c>
      <c r="M808" s="452">
        <v>46092</v>
      </c>
      <c r="N808">
        <v>4.2</v>
      </c>
      <c r="O808">
        <v>5.8</v>
      </c>
      <c r="P808">
        <v>50.17</v>
      </c>
    </row>
    <row r="809" spans="1:16" x14ac:dyDescent="0.3">
      <c r="A809">
        <v>79101</v>
      </c>
      <c r="B809">
        <v>105</v>
      </c>
      <c r="C809" t="s">
        <v>557</v>
      </c>
      <c r="D809" s="452">
        <v>46113</v>
      </c>
      <c r="E809">
        <v>17878</v>
      </c>
      <c r="F809" t="s">
        <v>4926</v>
      </c>
      <c r="G809">
        <v>3677</v>
      </c>
      <c r="H809">
        <v>2</v>
      </c>
      <c r="I809" t="s">
        <v>4736</v>
      </c>
      <c r="J809" t="s">
        <v>5222</v>
      </c>
      <c r="K809" t="s">
        <v>461</v>
      </c>
      <c r="L809">
        <v>0</v>
      </c>
      <c r="M809" s="452">
        <v>46079</v>
      </c>
      <c r="N809">
        <v>24.94</v>
      </c>
      <c r="O809">
        <v>22.5</v>
      </c>
      <c r="P809">
        <v>49.88</v>
      </c>
    </row>
    <row r="810" spans="1:16" x14ac:dyDescent="0.3">
      <c r="A810">
        <v>79152</v>
      </c>
      <c r="B810">
        <v>105</v>
      </c>
      <c r="C810" t="s">
        <v>557</v>
      </c>
      <c r="D810" s="452">
        <v>46113</v>
      </c>
      <c r="E810">
        <v>23124</v>
      </c>
      <c r="F810" t="s">
        <v>5126</v>
      </c>
      <c r="G810">
        <v>2727</v>
      </c>
      <c r="H810">
        <v>1</v>
      </c>
      <c r="I810" t="s">
        <v>4744</v>
      </c>
      <c r="J810" t="s">
        <v>5191</v>
      </c>
      <c r="K810" t="s">
        <v>461</v>
      </c>
      <c r="L810">
        <v>0</v>
      </c>
      <c r="M810" s="452">
        <v>45925</v>
      </c>
      <c r="N810">
        <v>49</v>
      </c>
      <c r="O810">
        <v>62.5</v>
      </c>
      <c r="P810">
        <v>49</v>
      </c>
    </row>
    <row r="811" spans="1:16" x14ac:dyDescent="0.3">
      <c r="A811">
        <v>79023</v>
      </c>
      <c r="B811">
        <v>105</v>
      </c>
      <c r="C811" t="s">
        <v>557</v>
      </c>
      <c r="D811" s="452">
        <v>46113</v>
      </c>
      <c r="E811">
        <v>20322</v>
      </c>
      <c r="F811" t="s">
        <v>4882</v>
      </c>
      <c r="G811">
        <v>2212</v>
      </c>
      <c r="H811">
        <v>4.5</v>
      </c>
      <c r="I811" t="s">
        <v>4738</v>
      </c>
      <c r="J811" t="s">
        <v>5191</v>
      </c>
      <c r="K811" t="s">
        <v>461</v>
      </c>
      <c r="L811">
        <v>10.8</v>
      </c>
      <c r="M811" s="452">
        <v>46101</v>
      </c>
      <c r="N811">
        <v>10.8</v>
      </c>
      <c r="O811">
        <v>10.8</v>
      </c>
      <c r="P811">
        <v>48.6</v>
      </c>
    </row>
    <row r="812" spans="1:16" x14ac:dyDescent="0.3">
      <c r="A812">
        <v>78982</v>
      </c>
      <c r="B812">
        <v>105</v>
      </c>
      <c r="C812" t="s">
        <v>557</v>
      </c>
      <c r="D812" s="452">
        <v>46113</v>
      </c>
      <c r="E812">
        <v>23389</v>
      </c>
      <c r="F812" t="s">
        <v>4960</v>
      </c>
      <c r="G812">
        <v>2475</v>
      </c>
      <c r="H812">
        <v>10</v>
      </c>
      <c r="I812" t="s">
        <v>4744</v>
      </c>
      <c r="J812" t="s">
        <v>5191</v>
      </c>
      <c r="K812" t="s">
        <v>461</v>
      </c>
      <c r="L812">
        <v>4.8099999999999996</v>
      </c>
      <c r="M812" s="452">
        <v>46111</v>
      </c>
      <c r="N812">
        <v>5</v>
      </c>
      <c r="O812">
        <v>5</v>
      </c>
      <c r="P812">
        <v>48.1</v>
      </c>
    </row>
    <row r="813" spans="1:16" x14ac:dyDescent="0.3">
      <c r="A813">
        <v>78947</v>
      </c>
      <c r="B813">
        <v>105</v>
      </c>
      <c r="C813" t="s">
        <v>557</v>
      </c>
      <c r="D813" s="452">
        <v>46113</v>
      </c>
      <c r="E813">
        <v>19658</v>
      </c>
      <c r="F813" t="s">
        <v>4784</v>
      </c>
      <c r="G813">
        <v>2582</v>
      </c>
      <c r="H813">
        <v>15.3</v>
      </c>
      <c r="I813" t="s">
        <v>4744</v>
      </c>
      <c r="J813" t="s">
        <v>5191</v>
      </c>
      <c r="K813" t="s">
        <v>461</v>
      </c>
      <c r="L813">
        <v>3.12</v>
      </c>
      <c r="M813" s="452">
        <v>46111</v>
      </c>
      <c r="N813">
        <v>3.7</v>
      </c>
      <c r="O813">
        <v>3.7</v>
      </c>
      <c r="P813">
        <v>47.74</v>
      </c>
    </row>
    <row r="814" spans="1:16" x14ac:dyDescent="0.3">
      <c r="A814">
        <v>79112</v>
      </c>
      <c r="B814">
        <v>105</v>
      </c>
      <c r="C814" t="s">
        <v>557</v>
      </c>
      <c r="D814" s="452">
        <v>46113</v>
      </c>
      <c r="E814">
        <v>24081</v>
      </c>
      <c r="F814" t="s">
        <v>4834</v>
      </c>
      <c r="G814">
        <v>3034</v>
      </c>
      <c r="H814">
        <v>2</v>
      </c>
      <c r="I814" t="s">
        <v>4744</v>
      </c>
      <c r="J814" t="s">
        <v>5191</v>
      </c>
      <c r="K814" t="s">
        <v>461</v>
      </c>
      <c r="L814">
        <v>23.8</v>
      </c>
      <c r="M814" s="452">
        <v>46097</v>
      </c>
      <c r="N814">
        <v>23.8</v>
      </c>
      <c r="O814">
        <v>23.8</v>
      </c>
      <c r="P814">
        <v>47.6</v>
      </c>
    </row>
    <row r="815" spans="1:16" x14ac:dyDescent="0.3">
      <c r="A815">
        <v>79132</v>
      </c>
      <c r="B815">
        <v>105</v>
      </c>
      <c r="C815" t="s">
        <v>557</v>
      </c>
      <c r="D815" s="452">
        <v>46113</v>
      </c>
      <c r="E815">
        <v>19916</v>
      </c>
      <c r="F815" t="s">
        <v>4826</v>
      </c>
      <c r="G815">
        <v>2379</v>
      </c>
      <c r="H815">
        <v>1.3</v>
      </c>
      <c r="I815" t="s">
        <v>4738</v>
      </c>
      <c r="J815" t="s">
        <v>5191</v>
      </c>
      <c r="K815" t="s">
        <v>461</v>
      </c>
      <c r="L815">
        <v>35.299999999999997</v>
      </c>
      <c r="M815" s="452">
        <v>46092</v>
      </c>
      <c r="N815">
        <v>35.299999999999997</v>
      </c>
      <c r="O815">
        <v>39.9</v>
      </c>
      <c r="P815">
        <v>45.89</v>
      </c>
    </row>
    <row r="816" spans="1:16" x14ac:dyDescent="0.3">
      <c r="A816">
        <v>79054</v>
      </c>
      <c r="B816">
        <v>105</v>
      </c>
      <c r="C816" t="s">
        <v>557</v>
      </c>
      <c r="D816" s="452">
        <v>46113</v>
      </c>
      <c r="E816">
        <v>23184</v>
      </c>
      <c r="F816" t="s">
        <v>4935</v>
      </c>
      <c r="G816">
        <v>2670</v>
      </c>
      <c r="H816">
        <v>3.63</v>
      </c>
      <c r="I816" t="s">
        <v>4744</v>
      </c>
      <c r="J816" t="s">
        <v>5191</v>
      </c>
      <c r="K816" t="s">
        <v>461</v>
      </c>
      <c r="L816">
        <v>12.64</v>
      </c>
      <c r="M816" s="452">
        <v>46111</v>
      </c>
      <c r="N816">
        <v>15.6</v>
      </c>
      <c r="O816">
        <v>15.6</v>
      </c>
      <c r="P816">
        <v>45.88</v>
      </c>
    </row>
    <row r="817" spans="1:16" x14ac:dyDescent="0.3">
      <c r="A817">
        <v>79061</v>
      </c>
      <c r="B817">
        <v>105</v>
      </c>
      <c r="C817" t="s">
        <v>557</v>
      </c>
      <c r="D817" s="452">
        <v>46113</v>
      </c>
      <c r="E817">
        <v>20358</v>
      </c>
      <c r="F817" t="s">
        <v>4911</v>
      </c>
      <c r="G817">
        <v>2200</v>
      </c>
      <c r="H817">
        <v>3.2</v>
      </c>
      <c r="I817" t="s">
        <v>4738</v>
      </c>
      <c r="J817" t="s">
        <v>5191</v>
      </c>
      <c r="K817" t="s">
        <v>461</v>
      </c>
      <c r="L817">
        <v>14.32</v>
      </c>
      <c r="M817" s="452">
        <v>46104</v>
      </c>
      <c r="N817">
        <v>14.4</v>
      </c>
      <c r="O817">
        <v>14.25</v>
      </c>
      <c r="P817">
        <v>45.82</v>
      </c>
    </row>
    <row r="818" spans="1:16" x14ac:dyDescent="0.3">
      <c r="A818">
        <v>79095</v>
      </c>
      <c r="B818">
        <v>105</v>
      </c>
      <c r="C818" t="s">
        <v>557</v>
      </c>
      <c r="D818" s="452">
        <v>46113</v>
      </c>
      <c r="E818">
        <v>19306</v>
      </c>
      <c r="F818" t="s">
        <v>5111</v>
      </c>
      <c r="G818">
        <v>2774</v>
      </c>
      <c r="H818">
        <v>2.2000000000000002</v>
      </c>
      <c r="I818" t="s">
        <v>4738</v>
      </c>
      <c r="J818" t="s">
        <v>5191</v>
      </c>
      <c r="K818" t="s">
        <v>461</v>
      </c>
      <c r="L818">
        <v>20.13</v>
      </c>
      <c r="M818" s="452">
        <v>46094</v>
      </c>
      <c r="N818">
        <v>18.350000000000001</v>
      </c>
      <c r="O818">
        <v>17.989999999999998</v>
      </c>
      <c r="P818">
        <v>44.29</v>
      </c>
    </row>
    <row r="819" spans="1:16" x14ac:dyDescent="0.3">
      <c r="A819">
        <v>79002</v>
      </c>
      <c r="B819">
        <v>105</v>
      </c>
      <c r="C819" t="s">
        <v>557</v>
      </c>
      <c r="D819" s="452">
        <v>46113</v>
      </c>
      <c r="E819">
        <v>20657</v>
      </c>
      <c r="F819" t="s">
        <v>5109</v>
      </c>
      <c r="G819">
        <v>2110</v>
      </c>
      <c r="H819">
        <v>7</v>
      </c>
      <c r="I819" t="s">
        <v>4736</v>
      </c>
      <c r="J819" t="s">
        <v>5191</v>
      </c>
      <c r="K819" t="s">
        <v>461</v>
      </c>
      <c r="L819">
        <v>6.32</v>
      </c>
      <c r="M819" s="452">
        <v>46092</v>
      </c>
      <c r="N819">
        <v>6.3</v>
      </c>
      <c r="O819">
        <v>6.3</v>
      </c>
      <c r="P819">
        <v>44.24</v>
      </c>
    </row>
    <row r="820" spans="1:16" x14ac:dyDescent="0.3">
      <c r="A820">
        <v>79185</v>
      </c>
      <c r="B820">
        <v>105</v>
      </c>
      <c r="C820" t="s">
        <v>557</v>
      </c>
      <c r="D820" s="452">
        <v>46113</v>
      </c>
      <c r="E820">
        <v>18327</v>
      </c>
      <c r="F820" t="s">
        <v>5035</v>
      </c>
      <c r="G820">
        <v>3306</v>
      </c>
      <c r="H820">
        <v>0.42</v>
      </c>
      <c r="I820" t="s">
        <v>4805</v>
      </c>
      <c r="J820" t="s">
        <v>5222</v>
      </c>
      <c r="K820" t="s">
        <v>461</v>
      </c>
      <c r="L820">
        <v>104.73</v>
      </c>
      <c r="M820" s="452">
        <v>46085</v>
      </c>
      <c r="N820">
        <v>104.73</v>
      </c>
      <c r="O820">
        <v>105.9</v>
      </c>
      <c r="P820">
        <v>43.99</v>
      </c>
    </row>
    <row r="821" spans="1:16" x14ac:dyDescent="0.3">
      <c r="A821">
        <v>79094</v>
      </c>
      <c r="B821">
        <v>105</v>
      </c>
      <c r="C821" t="s">
        <v>557</v>
      </c>
      <c r="D821" s="452">
        <v>46113</v>
      </c>
      <c r="E821">
        <v>19652</v>
      </c>
      <c r="F821" t="s">
        <v>4899</v>
      </c>
      <c r="G821">
        <v>2587</v>
      </c>
      <c r="H821">
        <v>2.2999999999999998</v>
      </c>
      <c r="I821" t="s">
        <v>4744</v>
      </c>
      <c r="J821" t="s">
        <v>5191</v>
      </c>
      <c r="K821" t="s">
        <v>461</v>
      </c>
      <c r="L821">
        <v>0</v>
      </c>
      <c r="M821" s="452">
        <v>46072</v>
      </c>
      <c r="N821">
        <v>19.079999999999998</v>
      </c>
      <c r="O821">
        <v>19.84</v>
      </c>
      <c r="P821">
        <v>43.88</v>
      </c>
    </row>
    <row r="822" spans="1:16" x14ac:dyDescent="0.3">
      <c r="A822">
        <v>79108</v>
      </c>
      <c r="B822">
        <v>105</v>
      </c>
      <c r="C822" t="s">
        <v>557</v>
      </c>
      <c r="D822" s="452">
        <v>46113</v>
      </c>
      <c r="E822">
        <v>20025</v>
      </c>
      <c r="F822" t="s">
        <v>5010</v>
      </c>
      <c r="G822">
        <v>2339</v>
      </c>
      <c r="H822">
        <v>2</v>
      </c>
      <c r="I822" t="s">
        <v>4736</v>
      </c>
      <c r="J822" t="s">
        <v>5191</v>
      </c>
      <c r="K822" t="s">
        <v>461</v>
      </c>
      <c r="L822">
        <v>0</v>
      </c>
      <c r="M822" s="452">
        <v>45989</v>
      </c>
      <c r="N822">
        <v>21.75</v>
      </c>
      <c r="O822">
        <v>21.7</v>
      </c>
      <c r="P822">
        <v>43.5</v>
      </c>
    </row>
    <row r="823" spans="1:16" x14ac:dyDescent="0.3">
      <c r="A823">
        <v>79060</v>
      </c>
      <c r="B823">
        <v>105</v>
      </c>
      <c r="C823" t="s">
        <v>557</v>
      </c>
      <c r="D823" s="452">
        <v>46113</v>
      </c>
      <c r="E823">
        <v>26020</v>
      </c>
      <c r="F823" t="s">
        <v>5102</v>
      </c>
      <c r="G823">
        <v>2105</v>
      </c>
      <c r="H823">
        <v>3.25</v>
      </c>
      <c r="I823" t="s">
        <v>4736</v>
      </c>
      <c r="J823" t="s">
        <v>5191</v>
      </c>
      <c r="K823" t="s">
        <v>461</v>
      </c>
      <c r="L823">
        <v>13.29</v>
      </c>
      <c r="M823" s="452">
        <v>46101</v>
      </c>
      <c r="N823">
        <v>13.69</v>
      </c>
      <c r="O823">
        <v>13.69</v>
      </c>
      <c r="P823">
        <v>43.19</v>
      </c>
    </row>
    <row r="824" spans="1:16" x14ac:dyDescent="0.3">
      <c r="A824">
        <v>79099</v>
      </c>
      <c r="B824">
        <v>105</v>
      </c>
      <c r="C824" t="s">
        <v>557</v>
      </c>
      <c r="D824" s="452">
        <v>46113</v>
      </c>
      <c r="E824">
        <v>24199</v>
      </c>
      <c r="F824" t="s">
        <v>4783</v>
      </c>
      <c r="G824">
        <v>5084</v>
      </c>
      <c r="H824">
        <v>2.13</v>
      </c>
      <c r="I824" t="s">
        <v>4744</v>
      </c>
      <c r="J824" t="s">
        <v>5191</v>
      </c>
      <c r="K824" t="s">
        <v>461</v>
      </c>
      <c r="L824">
        <v>19.989999999999998</v>
      </c>
      <c r="M824" s="452">
        <v>46092</v>
      </c>
      <c r="N824">
        <v>19.989999999999998</v>
      </c>
      <c r="O824">
        <v>19.989999999999998</v>
      </c>
      <c r="P824">
        <v>42.58</v>
      </c>
    </row>
    <row r="825" spans="1:16" x14ac:dyDescent="0.3">
      <c r="A825">
        <v>78981</v>
      </c>
      <c r="B825">
        <v>105</v>
      </c>
      <c r="C825" t="s">
        <v>557</v>
      </c>
      <c r="D825" s="452">
        <v>46113</v>
      </c>
      <c r="E825">
        <v>24141</v>
      </c>
      <c r="F825" t="s">
        <v>5088</v>
      </c>
      <c r="G825">
        <v>3083</v>
      </c>
      <c r="H825">
        <v>0.42</v>
      </c>
      <c r="I825" t="s">
        <v>4749</v>
      </c>
      <c r="J825" t="s">
        <v>5222</v>
      </c>
      <c r="K825" t="s">
        <v>461</v>
      </c>
      <c r="L825">
        <v>98.52</v>
      </c>
      <c r="M825" s="452">
        <v>46090</v>
      </c>
      <c r="N825">
        <v>98.52</v>
      </c>
      <c r="O825">
        <v>151.44999999999999</v>
      </c>
      <c r="P825">
        <v>41.38</v>
      </c>
    </row>
    <row r="826" spans="1:16" x14ac:dyDescent="0.3">
      <c r="A826">
        <v>79180</v>
      </c>
      <c r="B826">
        <v>105</v>
      </c>
      <c r="C826" t="s">
        <v>557</v>
      </c>
      <c r="D826" s="452">
        <v>46113</v>
      </c>
      <c r="E826">
        <v>25050</v>
      </c>
      <c r="F826" t="s">
        <v>5110</v>
      </c>
      <c r="G826">
        <v>2763</v>
      </c>
      <c r="H826">
        <v>0.5</v>
      </c>
      <c r="I826" t="s">
        <v>4744</v>
      </c>
      <c r="J826" t="s">
        <v>5191</v>
      </c>
      <c r="K826" t="s">
        <v>461</v>
      </c>
      <c r="L826">
        <v>0</v>
      </c>
      <c r="M826" s="452">
        <v>46070</v>
      </c>
      <c r="N826">
        <v>81.900000000000006</v>
      </c>
      <c r="O826">
        <v>81.900000000000006</v>
      </c>
      <c r="P826">
        <v>40.950000000000003</v>
      </c>
    </row>
    <row r="827" spans="1:16" x14ac:dyDescent="0.3">
      <c r="A827">
        <v>79053</v>
      </c>
      <c r="B827">
        <v>105</v>
      </c>
      <c r="C827" t="s">
        <v>557</v>
      </c>
      <c r="D827" s="452">
        <v>46113</v>
      </c>
      <c r="E827">
        <v>23934</v>
      </c>
      <c r="F827" t="s">
        <v>4845</v>
      </c>
      <c r="G827">
        <v>1965</v>
      </c>
      <c r="H827">
        <v>3.7</v>
      </c>
      <c r="I827" t="s">
        <v>4744</v>
      </c>
      <c r="J827" t="s">
        <v>5191</v>
      </c>
      <c r="K827" t="s">
        <v>461</v>
      </c>
      <c r="L827">
        <v>10.9</v>
      </c>
      <c r="M827" s="452">
        <v>46092</v>
      </c>
      <c r="N827">
        <v>10.9</v>
      </c>
      <c r="O827">
        <v>10.9</v>
      </c>
      <c r="P827">
        <v>40.33</v>
      </c>
    </row>
    <row r="828" spans="1:16" x14ac:dyDescent="0.3">
      <c r="A828">
        <v>79110</v>
      </c>
      <c r="B828">
        <v>105</v>
      </c>
      <c r="C828" t="s">
        <v>557</v>
      </c>
      <c r="D828" s="452">
        <v>46113</v>
      </c>
      <c r="E828">
        <v>21147</v>
      </c>
      <c r="F828" t="s">
        <v>4876</v>
      </c>
      <c r="G828">
        <v>1952</v>
      </c>
      <c r="H828">
        <v>2</v>
      </c>
      <c r="I828" t="s">
        <v>4736</v>
      </c>
      <c r="J828" t="s">
        <v>5191</v>
      </c>
      <c r="K828" t="s">
        <v>461</v>
      </c>
      <c r="L828">
        <v>0</v>
      </c>
      <c r="M828" s="452">
        <v>45933</v>
      </c>
      <c r="N828">
        <v>19.899999999999999</v>
      </c>
      <c r="O828">
        <v>19.899999999999999</v>
      </c>
      <c r="P828">
        <v>39.799999999999997</v>
      </c>
    </row>
    <row r="829" spans="1:16" x14ac:dyDescent="0.3">
      <c r="A829">
        <v>79117</v>
      </c>
      <c r="B829">
        <v>105</v>
      </c>
      <c r="C829" t="s">
        <v>557</v>
      </c>
      <c r="D829" s="452">
        <v>46113</v>
      </c>
      <c r="E829">
        <v>24674</v>
      </c>
      <c r="F829" t="s">
        <v>5060</v>
      </c>
      <c r="G829">
        <v>5709</v>
      </c>
      <c r="H829">
        <v>1.76</v>
      </c>
      <c r="I829" t="s">
        <v>4744</v>
      </c>
      <c r="J829" t="s">
        <v>5191</v>
      </c>
      <c r="K829" t="s">
        <v>461</v>
      </c>
      <c r="L829">
        <v>0</v>
      </c>
      <c r="N829">
        <v>0</v>
      </c>
      <c r="O829">
        <v>22.38</v>
      </c>
      <c r="P829">
        <v>39.4</v>
      </c>
    </row>
    <row r="830" spans="1:16" x14ac:dyDescent="0.3">
      <c r="A830">
        <v>79077</v>
      </c>
      <c r="B830">
        <v>105</v>
      </c>
      <c r="C830" t="s">
        <v>557</v>
      </c>
      <c r="D830" s="452">
        <v>46113</v>
      </c>
      <c r="E830">
        <v>24403</v>
      </c>
      <c r="F830" t="s">
        <v>5149</v>
      </c>
      <c r="G830">
        <v>3049</v>
      </c>
      <c r="H830">
        <v>3</v>
      </c>
      <c r="I830" t="s">
        <v>4744</v>
      </c>
      <c r="J830" t="s">
        <v>5191</v>
      </c>
      <c r="K830" t="s">
        <v>461</v>
      </c>
      <c r="L830">
        <v>12.99</v>
      </c>
      <c r="M830" s="452">
        <v>46092</v>
      </c>
      <c r="N830">
        <v>12.99</v>
      </c>
      <c r="O830">
        <v>12</v>
      </c>
      <c r="P830">
        <v>38.97</v>
      </c>
    </row>
    <row r="831" spans="1:16" x14ac:dyDescent="0.3">
      <c r="A831">
        <v>79075</v>
      </c>
      <c r="B831">
        <v>105</v>
      </c>
      <c r="C831" t="s">
        <v>557</v>
      </c>
      <c r="D831" s="452">
        <v>46113</v>
      </c>
      <c r="E831">
        <v>20955</v>
      </c>
      <c r="F831" t="s">
        <v>4959</v>
      </c>
      <c r="G831">
        <v>2019</v>
      </c>
      <c r="H831">
        <v>3</v>
      </c>
      <c r="I831" t="s">
        <v>4805</v>
      </c>
      <c r="J831" t="s">
        <v>5191</v>
      </c>
      <c r="K831" t="s">
        <v>461</v>
      </c>
      <c r="L831">
        <v>0</v>
      </c>
      <c r="M831" s="452">
        <v>46064</v>
      </c>
      <c r="N831">
        <v>12.95</v>
      </c>
      <c r="O831">
        <v>12.36</v>
      </c>
      <c r="P831">
        <v>38.85</v>
      </c>
    </row>
    <row r="832" spans="1:16" x14ac:dyDescent="0.3">
      <c r="A832">
        <v>79091</v>
      </c>
      <c r="B832">
        <v>105</v>
      </c>
      <c r="C832" t="s">
        <v>557</v>
      </c>
      <c r="D832" s="452">
        <v>46113</v>
      </c>
      <c r="E832">
        <v>19507</v>
      </c>
      <c r="F832" t="s">
        <v>4853</v>
      </c>
      <c r="G832">
        <v>2704</v>
      </c>
      <c r="H832">
        <v>2.4</v>
      </c>
      <c r="I832" t="s">
        <v>4744</v>
      </c>
      <c r="J832" t="s">
        <v>5191</v>
      </c>
      <c r="K832" t="s">
        <v>461</v>
      </c>
      <c r="L832">
        <v>15.11</v>
      </c>
      <c r="M832" s="452">
        <v>46112</v>
      </c>
      <c r="N832">
        <v>15</v>
      </c>
      <c r="O832">
        <v>15</v>
      </c>
      <c r="P832">
        <v>36.26</v>
      </c>
    </row>
    <row r="833" spans="1:16" x14ac:dyDescent="0.3">
      <c r="A833">
        <v>79041</v>
      </c>
      <c r="B833">
        <v>105</v>
      </c>
      <c r="C833" t="s">
        <v>557</v>
      </c>
      <c r="D833" s="452">
        <v>46113</v>
      </c>
      <c r="E833">
        <v>23635</v>
      </c>
      <c r="F833" t="s">
        <v>4837</v>
      </c>
      <c r="G833">
        <v>2247</v>
      </c>
      <c r="H833">
        <v>4</v>
      </c>
      <c r="I833" t="s">
        <v>4744</v>
      </c>
      <c r="J833" t="s">
        <v>5191</v>
      </c>
      <c r="K833" t="s">
        <v>461</v>
      </c>
      <c r="L833">
        <v>0</v>
      </c>
      <c r="M833" s="452">
        <v>45845</v>
      </c>
      <c r="N833">
        <v>8.7100000000000009</v>
      </c>
      <c r="O833">
        <v>8.1999999999999993</v>
      </c>
      <c r="P833">
        <v>34.840000000000003</v>
      </c>
    </row>
    <row r="834" spans="1:16" x14ac:dyDescent="0.3">
      <c r="A834">
        <v>79028</v>
      </c>
      <c r="B834">
        <v>105</v>
      </c>
      <c r="C834" t="s">
        <v>557</v>
      </c>
      <c r="D834" s="452">
        <v>46113</v>
      </c>
      <c r="E834">
        <v>19589</v>
      </c>
      <c r="F834" t="s">
        <v>4983</v>
      </c>
      <c r="G834">
        <v>2637</v>
      </c>
      <c r="H834">
        <v>4.3</v>
      </c>
      <c r="I834" t="s">
        <v>4744</v>
      </c>
      <c r="J834" t="s">
        <v>5191</v>
      </c>
      <c r="K834" t="s">
        <v>461</v>
      </c>
      <c r="L834">
        <v>8.1</v>
      </c>
      <c r="M834" s="452">
        <v>46111</v>
      </c>
      <c r="N834">
        <v>6</v>
      </c>
      <c r="O834">
        <v>6</v>
      </c>
      <c r="P834">
        <v>34.83</v>
      </c>
    </row>
    <row r="835" spans="1:16" x14ac:dyDescent="0.3">
      <c r="A835">
        <v>79039</v>
      </c>
      <c r="B835">
        <v>105</v>
      </c>
      <c r="C835" t="s">
        <v>557</v>
      </c>
      <c r="D835" s="452">
        <v>46113</v>
      </c>
      <c r="E835">
        <v>20661</v>
      </c>
      <c r="F835" t="s">
        <v>5012</v>
      </c>
      <c r="G835">
        <v>2110</v>
      </c>
      <c r="H835">
        <v>4</v>
      </c>
      <c r="I835" t="s">
        <v>4736</v>
      </c>
      <c r="J835" t="s">
        <v>5191</v>
      </c>
      <c r="K835" t="s">
        <v>461</v>
      </c>
      <c r="L835">
        <v>8.33</v>
      </c>
      <c r="M835" s="452">
        <v>46101</v>
      </c>
      <c r="N835">
        <v>8.2899999999999991</v>
      </c>
      <c r="O835">
        <v>8.39</v>
      </c>
      <c r="P835">
        <v>33.32</v>
      </c>
    </row>
    <row r="836" spans="1:16" x14ac:dyDescent="0.3">
      <c r="A836">
        <v>79129</v>
      </c>
      <c r="B836">
        <v>105</v>
      </c>
      <c r="C836" t="s">
        <v>557</v>
      </c>
      <c r="D836" s="452">
        <v>46113</v>
      </c>
      <c r="E836">
        <v>24489</v>
      </c>
      <c r="F836" t="s">
        <v>5121</v>
      </c>
      <c r="G836">
        <v>2686</v>
      </c>
      <c r="H836">
        <v>1.4</v>
      </c>
      <c r="I836" t="s">
        <v>4744</v>
      </c>
      <c r="J836" t="s">
        <v>5191</v>
      </c>
      <c r="K836" t="s">
        <v>461</v>
      </c>
      <c r="L836">
        <v>23.51</v>
      </c>
      <c r="M836" s="452">
        <v>46111</v>
      </c>
      <c r="N836">
        <v>32</v>
      </c>
      <c r="O836">
        <v>32</v>
      </c>
      <c r="P836">
        <v>32.909999999999997</v>
      </c>
    </row>
    <row r="837" spans="1:16" x14ac:dyDescent="0.3">
      <c r="A837">
        <v>79166</v>
      </c>
      <c r="B837">
        <v>105</v>
      </c>
      <c r="C837" t="s">
        <v>557</v>
      </c>
      <c r="D837" s="452">
        <v>46113</v>
      </c>
      <c r="E837">
        <v>19506</v>
      </c>
      <c r="F837" t="s">
        <v>5122</v>
      </c>
      <c r="G837">
        <v>2705</v>
      </c>
      <c r="H837">
        <v>0.7</v>
      </c>
      <c r="I837" t="s">
        <v>4744</v>
      </c>
      <c r="J837" t="s">
        <v>5191</v>
      </c>
      <c r="K837" t="s">
        <v>461</v>
      </c>
      <c r="L837">
        <v>46.82</v>
      </c>
      <c r="M837" s="452">
        <v>46111</v>
      </c>
      <c r="N837">
        <v>65</v>
      </c>
      <c r="O837">
        <v>65</v>
      </c>
      <c r="P837">
        <v>32.770000000000003</v>
      </c>
    </row>
    <row r="838" spans="1:16" x14ac:dyDescent="0.3">
      <c r="A838">
        <v>79123</v>
      </c>
      <c r="B838">
        <v>105</v>
      </c>
      <c r="C838" t="s">
        <v>557</v>
      </c>
      <c r="D838" s="452">
        <v>46113</v>
      </c>
      <c r="E838">
        <v>19502</v>
      </c>
      <c r="F838" t="s">
        <v>4871</v>
      </c>
      <c r="G838">
        <v>2708</v>
      </c>
      <c r="H838">
        <v>1.5</v>
      </c>
      <c r="I838" t="s">
        <v>4744</v>
      </c>
      <c r="J838" t="s">
        <v>5191</v>
      </c>
      <c r="K838" t="s">
        <v>461</v>
      </c>
      <c r="L838">
        <v>21.61</v>
      </c>
      <c r="M838" s="452">
        <v>46112</v>
      </c>
      <c r="N838">
        <v>20</v>
      </c>
      <c r="O838">
        <v>20</v>
      </c>
      <c r="P838">
        <v>32.42</v>
      </c>
    </row>
    <row r="839" spans="1:16" x14ac:dyDescent="0.3">
      <c r="A839">
        <v>79140</v>
      </c>
      <c r="B839">
        <v>105</v>
      </c>
      <c r="C839" t="s">
        <v>557</v>
      </c>
      <c r="D839" s="452">
        <v>46113</v>
      </c>
      <c r="E839">
        <v>18214</v>
      </c>
      <c r="F839" t="s">
        <v>5039</v>
      </c>
      <c r="G839">
        <v>3413</v>
      </c>
      <c r="H839">
        <v>1</v>
      </c>
      <c r="I839" t="s">
        <v>4805</v>
      </c>
      <c r="J839" t="s">
        <v>5222</v>
      </c>
      <c r="K839" t="s">
        <v>461</v>
      </c>
      <c r="L839">
        <v>0</v>
      </c>
      <c r="M839" s="452">
        <v>45378</v>
      </c>
      <c r="N839">
        <v>32.200000000000003</v>
      </c>
      <c r="O839">
        <v>37.47</v>
      </c>
      <c r="P839">
        <v>32.200000000000003</v>
      </c>
    </row>
    <row r="840" spans="1:16" x14ac:dyDescent="0.3">
      <c r="A840">
        <v>79104</v>
      </c>
      <c r="B840">
        <v>105</v>
      </c>
      <c r="C840" t="s">
        <v>557</v>
      </c>
      <c r="D840" s="452">
        <v>46113</v>
      </c>
      <c r="E840">
        <v>19577</v>
      </c>
      <c r="F840" t="s">
        <v>4984</v>
      </c>
      <c r="G840">
        <v>2641</v>
      </c>
      <c r="H840">
        <v>2</v>
      </c>
      <c r="I840" t="s">
        <v>4736</v>
      </c>
      <c r="J840" t="s">
        <v>5191</v>
      </c>
      <c r="K840" t="s">
        <v>461</v>
      </c>
      <c r="L840">
        <v>0</v>
      </c>
      <c r="M840" s="452">
        <v>45971</v>
      </c>
      <c r="N840">
        <v>15.6</v>
      </c>
      <c r="O840">
        <v>15.6</v>
      </c>
      <c r="P840">
        <v>31.2</v>
      </c>
    </row>
    <row r="841" spans="1:16" x14ac:dyDescent="0.3">
      <c r="A841">
        <v>79162</v>
      </c>
      <c r="B841">
        <v>105</v>
      </c>
      <c r="C841" t="s">
        <v>557</v>
      </c>
      <c r="D841" s="452">
        <v>46113</v>
      </c>
      <c r="E841">
        <v>18273</v>
      </c>
      <c r="F841" t="s">
        <v>5058</v>
      </c>
      <c r="G841">
        <v>3357</v>
      </c>
      <c r="H841">
        <v>0.8</v>
      </c>
      <c r="I841" t="s">
        <v>4805</v>
      </c>
      <c r="J841" t="s">
        <v>5222</v>
      </c>
      <c r="K841" t="s">
        <v>461</v>
      </c>
      <c r="L841">
        <v>0</v>
      </c>
      <c r="M841" s="452">
        <v>46078</v>
      </c>
      <c r="N841">
        <v>39</v>
      </c>
      <c r="O841">
        <v>39</v>
      </c>
      <c r="P841">
        <v>31.2</v>
      </c>
    </row>
    <row r="842" spans="1:16" x14ac:dyDescent="0.3">
      <c r="A842">
        <v>79190</v>
      </c>
      <c r="B842">
        <v>105</v>
      </c>
      <c r="C842" t="s">
        <v>557</v>
      </c>
      <c r="D842" s="452">
        <v>46113</v>
      </c>
      <c r="E842">
        <v>23494</v>
      </c>
      <c r="F842" t="s">
        <v>4991</v>
      </c>
      <c r="G842">
        <v>2375</v>
      </c>
      <c r="H842">
        <v>0.4</v>
      </c>
      <c r="I842" t="s">
        <v>4744</v>
      </c>
      <c r="J842" t="s">
        <v>5191</v>
      </c>
      <c r="K842" t="s">
        <v>461</v>
      </c>
      <c r="L842">
        <v>0</v>
      </c>
      <c r="M842" s="452">
        <v>45908</v>
      </c>
      <c r="N842">
        <v>78</v>
      </c>
      <c r="O842">
        <v>39.450000000000003</v>
      </c>
      <c r="P842">
        <v>31.2</v>
      </c>
    </row>
    <row r="843" spans="1:16" x14ac:dyDescent="0.3">
      <c r="A843">
        <v>79133</v>
      </c>
      <c r="B843">
        <v>105</v>
      </c>
      <c r="C843" t="s">
        <v>557</v>
      </c>
      <c r="D843" s="452">
        <v>46113</v>
      </c>
      <c r="E843">
        <v>23503</v>
      </c>
      <c r="F843" t="s">
        <v>5048</v>
      </c>
      <c r="G843">
        <v>2366</v>
      </c>
      <c r="H843">
        <v>1.3</v>
      </c>
      <c r="I843" t="s">
        <v>4744</v>
      </c>
      <c r="J843" t="s">
        <v>5191</v>
      </c>
      <c r="K843" t="s">
        <v>461</v>
      </c>
      <c r="L843">
        <v>23.3</v>
      </c>
      <c r="M843" s="452">
        <v>46094</v>
      </c>
      <c r="N843">
        <v>23.3</v>
      </c>
      <c r="O843">
        <v>23.3</v>
      </c>
      <c r="P843">
        <v>30.29</v>
      </c>
    </row>
    <row r="844" spans="1:16" x14ac:dyDescent="0.3">
      <c r="A844">
        <v>79145</v>
      </c>
      <c r="B844">
        <v>105</v>
      </c>
      <c r="C844" t="s">
        <v>557</v>
      </c>
      <c r="D844" s="452">
        <v>46113</v>
      </c>
      <c r="E844">
        <v>20614</v>
      </c>
      <c r="F844" t="s">
        <v>4958</v>
      </c>
      <c r="G844">
        <v>2119</v>
      </c>
      <c r="H844">
        <v>1</v>
      </c>
      <c r="I844" t="s">
        <v>4736</v>
      </c>
      <c r="J844" t="s">
        <v>5191</v>
      </c>
      <c r="K844" t="s">
        <v>461</v>
      </c>
      <c r="L844">
        <v>0</v>
      </c>
      <c r="M844" s="452">
        <v>45852</v>
      </c>
      <c r="N844">
        <v>29.9</v>
      </c>
      <c r="O844">
        <v>32.43</v>
      </c>
      <c r="P844">
        <v>29.9</v>
      </c>
    </row>
    <row r="845" spans="1:16" x14ac:dyDescent="0.3">
      <c r="A845">
        <v>79072</v>
      </c>
      <c r="B845">
        <v>105</v>
      </c>
      <c r="C845" t="s">
        <v>557</v>
      </c>
      <c r="D845" s="452">
        <v>46113</v>
      </c>
      <c r="E845">
        <v>20295</v>
      </c>
      <c r="F845" t="s">
        <v>4881</v>
      </c>
      <c r="G845">
        <v>2226</v>
      </c>
      <c r="H845">
        <v>3</v>
      </c>
      <c r="I845" t="s">
        <v>4736</v>
      </c>
      <c r="J845" t="s">
        <v>5191</v>
      </c>
      <c r="K845" t="s">
        <v>461</v>
      </c>
      <c r="L845">
        <v>9.9</v>
      </c>
      <c r="M845" s="452">
        <v>46092</v>
      </c>
      <c r="N845">
        <v>9.9</v>
      </c>
      <c r="O845">
        <v>10.58</v>
      </c>
      <c r="P845">
        <v>29.7</v>
      </c>
    </row>
    <row r="846" spans="1:16" x14ac:dyDescent="0.3">
      <c r="A846">
        <v>79124</v>
      </c>
      <c r="B846">
        <v>105</v>
      </c>
      <c r="C846" t="s">
        <v>557</v>
      </c>
      <c r="D846" s="452">
        <v>46113</v>
      </c>
      <c r="E846">
        <v>19983</v>
      </c>
      <c r="F846" t="s">
        <v>5068</v>
      </c>
      <c r="G846">
        <v>2351</v>
      </c>
      <c r="H846">
        <v>1.5</v>
      </c>
      <c r="I846" t="s">
        <v>4888</v>
      </c>
      <c r="J846" t="s">
        <v>5191</v>
      </c>
      <c r="K846" t="s">
        <v>461</v>
      </c>
      <c r="L846">
        <v>19.8</v>
      </c>
      <c r="M846" s="452">
        <v>46092</v>
      </c>
      <c r="N846">
        <v>19.8</v>
      </c>
      <c r="O846">
        <v>19.8</v>
      </c>
      <c r="P846">
        <v>29.7</v>
      </c>
    </row>
    <row r="847" spans="1:16" x14ac:dyDescent="0.3">
      <c r="A847">
        <v>79125</v>
      </c>
      <c r="B847">
        <v>105</v>
      </c>
      <c r="C847" t="s">
        <v>557</v>
      </c>
      <c r="D847" s="452">
        <v>46113</v>
      </c>
      <c r="E847">
        <v>25055</v>
      </c>
      <c r="F847" t="s">
        <v>5003</v>
      </c>
      <c r="G847">
        <v>2184</v>
      </c>
      <c r="H847">
        <v>1.5</v>
      </c>
      <c r="I847" t="s">
        <v>4744</v>
      </c>
      <c r="J847" t="s">
        <v>5191</v>
      </c>
      <c r="K847" t="s">
        <v>461</v>
      </c>
      <c r="L847">
        <v>0</v>
      </c>
      <c r="M847" s="452">
        <v>45887</v>
      </c>
      <c r="N847">
        <v>19.8</v>
      </c>
      <c r="O847">
        <v>19.8</v>
      </c>
      <c r="P847">
        <v>29.7</v>
      </c>
    </row>
    <row r="848" spans="1:16" x14ac:dyDescent="0.3">
      <c r="A848">
        <v>78928</v>
      </c>
      <c r="B848">
        <v>105</v>
      </c>
      <c r="C848" t="s">
        <v>557</v>
      </c>
      <c r="D848" s="452">
        <v>46113</v>
      </c>
      <c r="E848">
        <v>17883</v>
      </c>
      <c r="F848" t="s">
        <v>5113</v>
      </c>
      <c r="G848">
        <v>3673</v>
      </c>
      <c r="H848">
        <v>1.08</v>
      </c>
      <c r="I848" t="s">
        <v>4738</v>
      </c>
      <c r="J848" t="s">
        <v>5222</v>
      </c>
      <c r="K848" t="s">
        <v>461</v>
      </c>
      <c r="L848">
        <v>26.71</v>
      </c>
      <c r="M848" s="452">
        <v>46090</v>
      </c>
      <c r="N848">
        <v>33.24</v>
      </c>
      <c r="O848">
        <v>28.32</v>
      </c>
      <c r="P848">
        <v>28.85</v>
      </c>
    </row>
    <row r="849" spans="1:16" x14ac:dyDescent="0.3">
      <c r="A849">
        <v>79012</v>
      </c>
      <c r="B849">
        <v>105</v>
      </c>
      <c r="C849" t="s">
        <v>557</v>
      </c>
      <c r="D849" s="452">
        <v>46113</v>
      </c>
      <c r="E849">
        <v>20138</v>
      </c>
      <c r="F849" t="s">
        <v>4886</v>
      </c>
      <c r="G849">
        <v>2284</v>
      </c>
      <c r="H849">
        <v>5.5</v>
      </c>
      <c r="I849" t="s">
        <v>4738</v>
      </c>
      <c r="J849" t="s">
        <v>5191</v>
      </c>
      <c r="K849" t="s">
        <v>461</v>
      </c>
      <c r="L849">
        <v>5.0999999999999996</v>
      </c>
      <c r="M849" s="452">
        <v>46094</v>
      </c>
      <c r="N849">
        <v>5.0999999999999996</v>
      </c>
      <c r="O849">
        <v>5.0999999999999996</v>
      </c>
      <c r="P849">
        <v>28.05</v>
      </c>
    </row>
    <row r="850" spans="1:16" x14ac:dyDescent="0.3">
      <c r="A850">
        <v>79067</v>
      </c>
      <c r="B850">
        <v>105</v>
      </c>
      <c r="C850" t="s">
        <v>557</v>
      </c>
      <c r="D850" s="452">
        <v>46113</v>
      </c>
      <c r="E850">
        <v>17838</v>
      </c>
      <c r="F850" t="s">
        <v>4925</v>
      </c>
      <c r="G850">
        <v>3712</v>
      </c>
      <c r="H850">
        <v>3</v>
      </c>
      <c r="I850" t="s">
        <v>4749</v>
      </c>
      <c r="J850" t="s">
        <v>5222</v>
      </c>
      <c r="K850" t="s">
        <v>461</v>
      </c>
      <c r="L850">
        <v>9.1999999999999993</v>
      </c>
      <c r="M850" s="452">
        <v>46092</v>
      </c>
      <c r="N850">
        <v>9.1999999999999993</v>
      </c>
      <c r="O850">
        <v>9.1999999999999993</v>
      </c>
      <c r="P850">
        <v>27.6</v>
      </c>
    </row>
    <row r="851" spans="1:16" x14ac:dyDescent="0.3">
      <c r="A851">
        <v>79076</v>
      </c>
      <c r="B851">
        <v>105</v>
      </c>
      <c r="C851" t="s">
        <v>557</v>
      </c>
      <c r="D851" s="452">
        <v>46113</v>
      </c>
      <c r="E851">
        <v>23819</v>
      </c>
      <c r="F851" t="s">
        <v>4947</v>
      </c>
      <c r="G851">
        <v>2083</v>
      </c>
      <c r="H851">
        <v>3</v>
      </c>
      <c r="I851" t="s">
        <v>4736</v>
      </c>
      <c r="J851" t="s">
        <v>5191</v>
      </c>
      <c r="K851" t="s">
        <v>461</v>
      </c>
      <c r="L851">
        <v>9.16</v>
      </c>
      <c r="M851" s="452">
        <v>46094</v>
      </c>
      <c r="N851">
        <v>9.16</v>
      </c>
      <c r="O851">
        <v>9.16</v>
      </c>
      <c r="P851">
        <v>27.48</v>
      </c>
    </row>
    <row r="852" spans="1:16" x14ac:dyDescent="0.3">
      <c r="A852">
        <v>79144</v>
      </c>
      <c r="B852">
        <v>105</v>
      </c>
      <c r="C852" t="s">
        <v>557</v>
      </c>
      <c r="D852" s="452">
        <v>46113</v>
      </c>
      <c r="E852">
        <v>20585</v>
      </c>
      <c r="F852" t="s">
        <v>5025</v>
      </c>
      <c r="G852">
        <v>2121</v>
      </c>
      <c r="H852">
        <v>1</v>
      </c>
      <c r="I852" t="s">
        <v>4736</v>
      </c>
      <c r="J852" t="s">
        <v>5191</v>
      </c>
      <c r="K852" t="s">
        <v>461</v>
      </c>
      <c r="L852">
        <v>27.4</v>
      </c>
      <c r="M852" s="452">
        <v>46094</v>
      </c>
      <c r="N852">
        <v>27.4</v>
      </c>
      <c r="O852">
        <v>27.4</v>
      </c>
      <c r="P852">
        <v>27.4</v>
      </c>
    </row>
    <row r="853" spans="1:16" x14ac:dyDescent="0.3">
      <c r="A853">
        <v>79096</v>
      </c>
      <c r="B853">
        <v>105</v>
      </c>
      <c r="C853" t="s">
        <v>557</v>
      </c>
      <c r="D853" s="452">
        <v>46113</v>
      </c>
      <c r="E853">
        <v>19562</v>
      </c>
      <c r="F853" t="s">
        <v>4939</v>
      </c>
      <c r="G853">
        <v>2655</v>
      </c>
      <c r="H853">
        <v>2.2000000000000002</v>
      </c>
      <c r="I853" t="s">
        <v>4744</v>
      </c>
      <c r="J853" t="s">
        <v>5191</v>
      </c>
      <c r="K853" t="s">
        <v>461</v>
      </c>
      <c r="L853">
        <v>12.17</v>
      </c>
      <c r="M853" s="452">
        <v>46086</v>
      </c>
      <c r="N853">
        <v>12</v>
      </c>
      <c r="O853">
        <v>16.68</v>
      </c>
      <c r="P853">
        <v>26.77</v>
      </c>
    </row>
    <row r="854" spans="1:16" x14ac:dyDescent="0.3">
      <c r="A854">
        <v>79188</v>
      </c>
      <c r="B854">
        <v>105</v>
      </c>
      <c r="C854" t="s">
        <v>557</v>
      </c>
      <c r="D854" s="452">
        <v>46113</v>
      </c>
      <c r="E854">
        <v>20624</v>
      </c>
      <c r="F854" t="s">
        <v>5019</v>
      </c>
      <c r="G854">
        <v>2116</v>
      </c>
      <c r="H854">
        <v>0.4</v>
      </c>
      <c r="I854" t="s">
        <v>4884</v>
      </c>
      <c r="J854" t="s">
        <v>5191</v>
      </c>
      <c r="K854" t="s">
        <v>461</v>
      </c>
      <c r="L854">
        <v>66.819999999999993</v>
      </c>
      <c r="M854" s="452">
        <v>46092</v>
      </c>
      <c r="N854">
        <v>66.819999999999993</v>
      </c>
      <c r="O854">
        <v>72.900000000000006</v>
      </c>
      <c r="P854">
        <v>26.73</v>
      </c>
    </row>
    <row r="855" spans="1:16" x14ac:dyDescent="0.3">
      <c r="A855">
        <v>79174</v>
      </c>
      <c r="B855">
        <v>105</v>
      </c>
      <c r="C855" t="s">
        <v>557</v>
      </c>
      <c r="D855" s="452">
        <v>46113</v>
      </c>
      <c r="E855">
        <v>18085</v>
      </c>
      <c r="F855" t="s">
        <v>4973</v>
      </c>
      <c r="G855">
        <v>3524</v>
      </c>
      <c r="H855">
        <v>0.56000000000000005</v>
      </c>
      <c r="I855" t="s">
        <v>4805</v>
      </c>
      <c r="J855" t="s">
        <v>5222</v>
      </c>
      <c r="K855" t="s">
        <v>461</v>
      </c>
      <c r="L855">
        <v>47.6</v>
      </c>
      <c r="M855" s="452">
        <v>46112</v>
      </c>
      <c r="N855">
        <v>47.6</v>
      </c>
      <c r="O855">
        <v>47.6</v>
      </c>
      <c r="P855">
        <v>26.66</v>
      </c>
    </row>
    <row r="856" spans="1:16" x14ac:dyDescent="0.3">
      <c r="A856">
        <v>79143</v>
      </c>
      <c r="B856">
        <v>105</v>
      </c>
      <c r="C856" t="s">
        <v>557</v>
      </c>
      <c r="D856" s="452">
        <v>46113</v>
      </c>
      <c r="E856">
        <v>20105</v>
      </c>
      <c r="F856" t="s">
        <v>4831</v>
      </c>
      <c r="G856">
        <v>2298</v>
      </c>
      <c r="H856">
        <v>1</v>
      </c>
      <c r="I856" t="s">
        <v>4744</v>
      </c>
      <c r="J856" t="s">
        <v>5191</v>
      </c>
      <c r="K856" t="s">
        <v>461</v>
      </c>
      <c r="L856">
        <v>0</v>
      </c>
      <c r="M856" s="452">
        <v>46078</v>
      </c>
      <c r="N856">
        <v>26.3</v>
      </c>
      <c r="O856">
        <v>26.3</v>
      </c>
      <c r="P856">
        <v>26.3</v>
      </c>
    </row>
    <row r="857" spans="1:16" x14ac:dyDescent="0.3">
      <c r="A857">
        <v>79165</v>
      </c>
      <c r="B857">
        <v>105</v>
      </c>
      <c r="C857" t="s">
        <v>557</v>
      </c>
      <c r="D857" s="452">
        <v>46113</v>
      </c>
      <c r="E857">
        <v>18317</v>
      </c>
      <c r="F857" t="s">
        <v>5056</v>
      </c>
      <c r="G857">
        <v>3316</v>
      </c>
      <c r="H857">
        <v>0.7</v>
      </c>
      <c r="I857" t="s">
        <v>4805</v>
      </c>
      <c r="J857" t="s">
        <v>5222</v>
      </c>
      <c r="K857" t="s">
        <v>461</v>
      </c>
      <c r="L857">
        <v>0</v>
      </c>
      <c r="N857">
        <v>0</v>
      </c>
      <c r="O857">
        <v>37.25</v>
      </c>
      <c r="P857">
        <v>25.82</v>
      </c>
    </row>
    <row r="858" spans="1:16" x14ac:dyDescent="0.3">
      <c r="A858">
        <v>79184</v>
      </c>
      <c r="B858">
        <v>105</v>
      </c>
      <c r="C858" t="s">
        <v>557</v>
      </c>
      <c r="D858" s="452">
        <v>46113</v>
      </c>
      <c r="E858">
        <v>19490</v>
      </c>
      <c r="F858" t="s">
        <v>5116</v>
      </c>
      <c r="G858">
        <v>2718</v>
      </c>
      <c r="H858">
        <v>0.42</v>
      </c>
      <c r="I858" t="s">
        <v>4744</v>
      </c>
      <c r="J858" t="s">
        <v>5191</v>
      </c>
      <c r="K858" t="s">
        <v>461</v>
      </c>
      <c r="L858">
        <v>60.18</v>
      </c>
      <c r="M858" s="452">
        <v>46112</v>
      </c>
      <c r="N858">
        <v>58.5</v>
      </c>
      <c r="O858">
        <v>58.5</v>
      </c>
      <c r="P858">
        <v>25.28</v>
      </c>
    </row>
    <row r="859" spans="1:16" x14ac:dyDescent="0.3">
      <c r="A859">
        <v>79126</v>
      </c>
      <c r="B859">
        <v>105</v>
      </c>
      <c r="C859" t="s">
        <v>557</v>
      </c>
      <c r="D859" s="452">
        <v>46113</v>
      </c>
      <c r="E859">
        <v>19572</v>
      </c>
      <c r="F859" t="s">
        <v>4989</v>
      </c>
      <c r="G859">
        <v>2646</v>
      </c>
      <c r="H859">
        <v>1.47</v>
      </c>
      <c r="I859" t="s">
        <v>4744</v>
      </c>
      <c r="J859" t="s">
        <v>5191</v>
      </c>
      <c r="K859" t="s">
        <v>461</v>
      </c>
      <c r="L859">
        <v>17.12</v>
      </c>
      <c r="M859" s="452">
        <v>46111</v>
      </c>
      <c r="N859">
        <v>14</v>
      </c>
      <c r="O859">
        <v>14</v>
      </c>
      <c r="P859">
        <v>25.17</v>
      </c>
    </row>
    <row r="860" spans="1:16" x14ac:dyDescent="0.3">
      <c r="A860">
        <v>79150</v>
      </c>
      <c r="B860">
        <v>105</v>
      </c>
      <c r="C860" t="s">
        <v>557</v>
      </c>
      <c r="D860" s="452">
        <v>46113</v>
      </c>
      <c r="E860">
        <v>23088</v>
      </c>
      <c r="F860" t="s">
        <v>5027</v>
      </c>
      <c r="G860">
        <v>2760</v>
      </c>
      <c r="H860">
        <v>1</v>
      </c>
      <c r="I860" t="s">
        <v>4736</v>
      </c>
      <c r="J860" t="s">
        <v>5191</v>
      </c>
      <c r="K860" t="s">
        <v>461</v>
      </c>
      <c r="L860">
        <v>24.9</v>
      </c>
      <c r="M860" s="452">
        <v>46085</v>
      </c>
      <c r="N860">
        <v>24.9</v>
      </c>
      <c r="O860">
        <v>24.9</v>
      </c>
      <c r="P860">
        <v>24.9</v>
      </c>
    </row>
    <row r="861" spans="1:16" x14ac:dyDescent="0.3">
      <c r="A861">
        <v>79136</v>
      </c>
      <c r="B861">
        <v>105</v>
      </c>
      <c r="C861" t="s">
        <v>557</v>
      </c>
      <c r="D861" s="452">
        <v>46113</v>
      </c>
      <c r="E861">
        <v>19130</v>
      </c>
      <c r="F861" t="s">
        <v>4990</v>
      </c>
      <c r="G861">
        <v>2839</v>
      </c>
      <c r="H861">
        <v>1.1000000000000001</v>
      </c>
      <c r="I861" t="s">
        <v>4744</v>
      </c>
      <c r="J861" t="s">
        <v>5191</v>
      </c>
      <c r="K861" t="s">
        <v>461</v>
      </c>
      <c r="L861">
        <v>0</v>
      </c>
      <c r="N861">
        <v>0</v>
      </c>
      <c r="O861">
        <v>22.5</v>
      </c>
      <c r="P861">
        <v>24.75</v>
      </c>
    </row>
    <row r="862" spans="1:16" x14ac:dyDescent="0.3">
      <c r="A862">
        <v>78994</v>
      </c>
      <c r="B862">
        <v>105</v>
      </c>
      <c r="C862" t="s">
        <v>557</v>
      </c>
      <c r="D862" s="452">
        <v>46113</v>
      </c>
      <c r="E862">
        <v>19917</v>
      </c>
      <c r="F862" t="s">
        <v>5131</v>
      </c>
      <c r="G862">
        <v>2379</v>
      </c>
      <c r="H862">
        <v>8</v>
      </c>
      <c r="I862" t="s">
        <v>4738</v>
      </c>
      <c r="J862" t="s">
        <v>5191</v>
      </c>
      <c r="K862" t="s">
        <v>461</v>
      </c>
      <c r="L862">
        <v>0</v>
      </c>
      <c r="M862" s="452">
        <v>45660</v>
      </c>
      <c r="N862">
        <v>3.09</v>
      </c>
      <c r="O862">
        <v>3.35</v>
      </c>
      <c r="P862">
        <v>24.72</v>
      </c>
    </row>
    <row r="863" spans="1:16" x14ac:dyDescent="0.3">
      <c r="A863">
        <v>79171</v>
      </c>
      <c r="B863">
        <v>105</v>
      </c>
      <c r="C863" t="s">
        <v>557</v>
      </c>
      <c r="D863" s="452">
        <v>46113</v>
      </c>
      <c r="E863">
        <v>18423</v>
      </c>
      <c r="F863" t="s">
        <v>4987</v>
      </c>
      <c r="G863">
        <v>3220</v>
      </c>
      <c r="H863">
        <v>0.6</v>
      </c>
      <c r="I863" t="s">
        <v>4805</v>
      </c>
      <c r="J863" t="s">
        <v>5222</v>
      </c>
      <c r="K863" t="s">
        <v>461</v>
      </c>
      <c r="L863">
        <v>0</v>
      </c>
      <c r="M863" s="452">
        <v>46078</v>
      </c>
      <c r="N863">
        <v>41</v>
      </c>
      <c r="O863">
        <v>41</v>
      </c>
      <c r="P863">
        <v>24.6</v>
      </c>
    </row>
    <row r="864" spans="1:16" x14ac:dyDescent="0.3">
      <c r="A864">
        <v>79153</v>
      </c>
      <c r="B864">
        <v>105</v>
      </c>
      <c r="C864" t="s">
        <v>557</v>
      </c>
      <c r="D864" s="452">
        <v>46113</v>
      </c>
      <c r="E864">
        <v>24522</v>
      </c>
      <c r="F864" t="s">
        <v>5072</v>
      </c>
      <c r="G864">
        <v>5651</v>
      </c>
      <c r="H864">
        <v>1</v>
      </c>
      <c r="I864" t="s">
        <v>4744</v>
      </c>
      <c r="J864" t="s">
        <v>5191</v>
      </c>
      <c r="K864" t="s">
        <v>461</v>
      </c>
      <c r="L864">
        <v>24</v>
      </c>
      <c r="M864" s="452">
        <v>46111</v>
      </c>
      <c r="N864">
        <v>25</v>
      </c>
      <c r="O864">
        <v>25</v>
      </c>
      <c r="P864">
        <v>24</v>
      </c>
    </row>
    <row r="865" spans="1:16" x14ac:dyDescent="0.3">
      <c r="A865">
        <v>79175</v>
      </c>
      <c r="B865">
        <v>105</v>
      </c>
      <c r="C865" t="s">
        <v>557</v>
      </c>
      <c r="D865" s="452">
        <v>46113</v>
      </c>
      <c r="E865">
        <v>24116</v>
      </c>
      <c r="F865" t="s">
        <v>4777</v>
      </c>
      <c r="G865">
        <v>2924</v>
      </c>
      <c r="H865">
        <v>0.52</v>
      </c>
      <c r="I865" t="s">
        <v>4744</v>
      </c>
      <c r="J865" t="s">
        <v>5191</v>
      </c>
      <c r="K865" t="s">
        <v>461</v>
      </c>
      <c r="L865">
        <v>0</v>
      </c>
      <c r="M865" s="452">
        <v>46073</v>
      </c>
      <c r="N865">
        <v>41.9</v>
      </c>
      <c r="O865">
        <v>41.9</v>
      </c>
      <c r="P865">
        <v>21.79</v>
      </c>
    </row>
    <row r="866" spans="1:16" x14ac:dyDescent="0.3">
      <c r="A866">
        <v>79141</v>
      </c>
      <c r="B866">
        <v>105</v>
      </c>
      <c r="C866" t="s">
        <v>557</v>
      </c>
      <c r="D866" s="452">
        <v>46113</v>
      </c>
      <c r="E866">
        <v>19434</v>
      </c>
      <c r="F866" t="s">
        <v>5078</v>
      </c>
      <c r="G866">
        <v>2757</v>
      </c>
      <c r="H866">
        <v>1</v>
      </c>
      <c r="I866" t="s">
        <v>4738</v>
      </c>
      <c r="J866" t="s">
        <v>5191</v>
      </c>
      <c r="K866" t="s">
        <v>461</v>
      </c>
      <c r="L866">
        <v>21.42</v>
      </c>
      <c r="M866" s="452">
        <v>46092</v>
      </c>
      <c r="N866">
        <v>21.42</v>
      </c>
      <c r="O866">
        <v>23.4</v>
      </c>
      <c r="P866">
        <v>21.42</v>
      </c>
    </row>
    <row r="867" spans="1:16" x14ac:dyDescent="0.3">
      <c r="A867">
        <v>79085</v>
      </c>
      <c r="B867">
        <v>105</v>
      </c>
      <c r="C867" t="s">
        <v>557</v>
      </c>
      <c r="D867" s="452">
        <v>46113</v>
      </c>
      <c r="E867">
        <v>23346</v>
      </c>
      <c r="F867" t="s">
        <v>4916</v>
      </c>
      <c r="G867">
        <v>2512</v>
      </c>
      <c r="H867">
        <v>2.67</v>
      </c>
      <c r="I867" t="s">
        <v>4744</v>
      </c>
      <c r="J867" t="s">
        <v>5191</v>
      </c>
      <c r="K867" t="s">
        <v>461</v>
      </c>
      <c r="L867">
        <v>7.95</v>
      </c>
      <c r="M867" s="452">
        <v>46111</v>
      </c>
      <c r="N867">
        <v>8.48</v>
      </c>
      <c r="O867">
        <v>8.48</v>
      </c>
      <c r="P867">
        <v>21.23</v>
      </c>
    </row>
    <row r="868" spans="1:16" x14ac:dyDescent="0.3">
      <c r="A868">
        <v>79048</v>
      </c>
      <c r="B868">
        <v>105</v>
      </c>
      <c r="C868" t="s">
        <v>557</v>
      </c>
      <c r="D868" s="452">
        <v>46113</v>
      </c>
      <c r="E868">
        <v>19642</v>
      </c>
      <c r="F868" t="s">
        <v>4996</v>
      </c>
      <c r="G868">
        <v>2596</v>
      </c>
      <c r="H868">
        <v>3.9</v>
      </c>
      <c r="I868" t="s">
        <v>4744</v>
      </c>
      <c r="J868" t="s">
        <v>5191</v>
      </c>
      <c r="K868" t="s">
        <v>461</v>
      </c>
      <c r="L868">
        <v>5.39</v>
      </c>
      <c r="M868" s="452">
        <v>46111</v>
      </c>
      <c r="N868">
        <v>5.85</v>
      </c>
      <c r="O868">
        <v>5.54</v>
      </c>
      <c r="P868">
        <v>21.02</v>
      </c>
    </row>
    <row r="869" spans="1:16" x14ac:dyDescent="0.3">
      <c r="A869">
        <v>79119</v>
      </c>
      <c r="B869">
        <v>105</v>
      </c>
      <c r="C869" t="s">
        <v>557</v>
      </c>
      <c r="D869" s="452">
        <v>46113</v>
      </c>
      <c r="E869">
        <v>23539</v>
      </c>
      <c r="F869" t="s">
        <v>4995</v>
      </c>
      <c r="G869">
        <v>2332</v>
      </c>
      <c r="H869">
        <v>1.7</v>
      </c>
      <c r="I869" t="s">
        <v>4744</v>
      </c>
      <c r="J869" t="s">
        <v>5191</v>
      </c>
      <c r="K869" t="s">
        <v>461</v>
      </c>
      <c r="L869">
        <v>0</v>
      </c>
      <c r="M869" s="452">
        <v>45989</v>
      </c>
      <c r="N869">
        <v>12</v>
      </c>
      <c r="O869">
        <v>13</v>
      </c>
      <c r="P869">
        <v>20.399999999999999</v>
      </c>
    </row>
    <row r="870" spans="1:16" x14ac:dyDescent="0.3">
      <c r="A870">
        <v>79107</v>
      </c>
      <c r="B870">
        <v>105</v>
      </c>
      <c r="C870" t="s">
        <v>557</v>
      </c>
      <c r="D870" s="452">
        <v>46113</v>
      </c>
      <c r="E870">
        <v>19969</v>
      </c>
      <c r="F870" t="s">
        <v>5018</v>
      </c>
      <c r="G870">
        <v>2354</v>
      </c>
      <c r="H870">
        <v>2</v>
      </c>
      <c r="I870" t="s">
        <v>4888</v>
      </c>
      <c r="J870" t="s">
        <v>5191</v>
      </c>
      <c r="K870" t="s">
        <v>461</v>
      </c>
      <c r="L870">
        <v>9.9600000000000009</v>
      </c>
      <c r="M870" s="452">
        <v>46101</v>
      </c>
      <c r="N870">
        <v>9.7899999999999991</v>
      </c>
      <c r="O870">
        <v>10.65</v>
      </c>
      <c r="P870">
        <v>19.920000000000002</v>
      </c>
    </row>
    <row r="871" spans="1:16" x14ac:dyDescent="0.3">
      <c r="A871">
        <v>79130</v>
      </c>
      <c r="B871">
        <v>105</v>
      </c>
      <c r="C871" t="s">
        <v>557</v>
      </c>
      <c r="D871" s="452">
        <v>46113</v>
      </c>
      <c r="E871">
        <v>19607</v>
      </c>
      <c r="F871" t="s">
        <v>4981</v>
      </c>
      <c r="G871">
        <v>2623</v>
      </c>
      <c r="H871">
        <v>1.35</v>
      </c>
      <c r="I871" t="s">
        <v>4744</v>
      </c>
      <c r="J871" t="s">
        <v>5191</v>
      </c>
      <c r="K871" t="s">
        <v>461</v>
      </c>
      <c r="L871">
        <v>14.75</v>
      </c>
      <c r="M871" s="452">
        <v>46111</v>
      </c>
      <c r="N871">
        <v>13</v>
      </c>
      <c r="O871">
        <v>13</v>
      </c>
      <c r="P871">
        <v>19.91</v>
      </c>
    </row>
    <row r="872" spans="1:16" x14ac:dyDescent="0.3">
      <c r="A872">
        <v>79148</v>
      </c>
      <c r="B872">
        <v>105</v>
      </c>
      <c r="C872" t="s">
        <v>557</v>
      </c>
      <c r="D872" s="452">
        <v>46113</v>
      </c>
      <c r="E872">
        <v>20871</v>
      </c>
      <c r="F872" t="s">
        <v>5015</v>
      </c>
      <c r="G872">
        <v>2043</v>
      </c>
      <c r="H872">
        <v>1</v>
      </c>
      <c r="I872" t="s">
        <v>4879</v>
      </c>
      <c r="J872" t="s">
        <v>5191</v>
      </c>
      <c r="K872" t="s">
        <v>461</v>
      </c>
      <c r="L872">
        <v>19.89</v>
      </c>
      <c r="M872" s="452">
        <v>46092</v>
      </c>
      <c r="N872">
        <v>19.89</v>
      </c>
      <c r="O872">
        <v>19.8</v>
      </c>
      <c r="P872">
        <v>19.89</v>
      </c>
    </row>
    <row r="873" spans="1:16" x14ac:dyDescent="0.3">
      <c r="A873">
        <v>79163</v>
      </c>
      <c r="B873">
        <v>105</v>
      </c>
      <c r="C873" t="s">
        <v>557</v>
      </c>
      <c r="D873" s="452">
        <v>46113</v>
      </c>
      <c r="E873">
        <v>23365</v>
      </c>
      <c r="F873" t="s">
        <v>5108</v>
      </c>
      <c r="G873">
        <v>2493</v>
      </c>
      <c r="H873">
        <v>0.8</v>
      </c>
      <c r="I873" t="s">
        <v>4744</v>
      </c>
      <c r="J873" t="s">
        <v>5191</v>
      </c>
      <c r="K873" t="s">
        <v>461</v>
      </c>
      <c r="L873">
        <v>22.67</v>
      </c>
      <c r="M873" s="452">
        <v>46090</v>
      </c>
      <c r="N873">
        <v>23</v>
      </c>
      <c r="O873">
        <v>24.32</v>
      </c>
      <c r="P873">
        <v>18.14</v>
      </c>
    </row>
    <row r="874" spans="1:16" x14ac:dyDescent="0.3">
      <c r="A874">
        <v>79088</v>
      </c>
      <c r="B874">
        <v>105</v>
      </c>
      <c r="C874" t="s">
        <v>557</v>
      </c>
      <c r="D874" s="452">
        <v>46113</v>
      </c>
      <c r="E874">
        <v>19465</v>
      </c>
      <c r="F874" t="s">
        <v>5114</v>
      </c>
      <c r="G874">
        <v>2737</v>
      </c>
      <c r="H874">
        <v>2.4700000000000002</v>
      </c>
      <c r="I874" t="s">
        <v>4744</v>
      </c>
      <c r="J874" t="s">
        <v>5191</v>
      </c>
      <c r="K874" t="s">
        <v>461</v>
      </c>
      <c r="L874">
        <v>7</v>
      </c>
      <c r="M874" s="452">
        <v>46092</v>
      </c>
      <c r="N874">
        <v>7</v>
      </c>
      <c r="O874">
        <v>5.91</v>
      </c>
      <c r="P874">
        <v>17.29</v>
      </c>
    </row>
    <row r="875" spans="1:16" x14ac:dyDescent="0.3">
      <c r="A875">
        <v>79193</v>
      </c>
      <c r="B875">
        <v>105</v>
      </c>
      <c r="C875" t="s">
        <v>557</v>
      </c>
      <c r="D875" s="452">
        <v>46113</v>
      </c>
      <c r="E875">
        <v>19476</v>
      </c>
      <c r="F875" t="s">
        <v>5115</v>
      </c>
      <c r="G875">
        <v>2729</v>
      </c>
      <c r="H875">
        <v>0.25</v>
      </c>
      <c r="I875" t="s">
        <v>4744</v>
      </c>
      <c r="J875" t="s">
        <v>5191</v>
      </c>
      <c r="K875" t="s">
        <v>461</v>
      </c>
      <c r="L875">
        <v>65.53</v>
      </c>
      <c r="M875" s="452">
        <v>46112</v>
      </c>
      <c r="N875">
        <v>65</v>
      </c>
      <c r="O875">
        <v>65</v>
      </c>
      <c r="P875">
        <v>16.38</v>
      </c>
    </row>
    <row r="876" spans="1:16" x14ac:dyDescent="0.3">
      <c r="A876">
        <v>79081</v>
      </c>
      <c r="B876">
        <v>105</v>
      </c>
      <c r="C876" t="s">
        <v>557</v>
      </c>
      <c r="D876" s="452">
        <v>46113</v>
      </c>
      <c r="E876">
        <v>19553</v>
      </c>
      <c r="F876" t="s">
        <v>4868</v>
      </c>
      <c r="G876">
        <v>2663</v>
      </c>
      <c r="H876">
        <v>2.95</v>
      </c>
      <c r="I876" t="s">
        <v>4744</v>
      </c>
      <c r="J876" t="s">
        <v>5191</v>
      </c>
      <c r="K876" t="s">
        <v>461</v>
      </c>
      <c r="L876">
        <v>5.54</v>
      </c>
      <c r="M876" s="452">
        <v>46085</v>
      </c>
      <c r="N876">
        <v>5.8</v>
      </c>
      <c r="O876">
        <v>4.8</v>
      </c>
      <c r="P876">
        <v>16.34</v>
      </c>
    </row>
    <row r="877" spans="1:16" x14ac:dyDescent="0.3">
      <c r="A877">
        <v>78948</v>
      </c>
      <c r="B877">
        <v>105</v>
      </c>
      <c r="C877" t="s">
        <v>557</v>
      </c>
      <c r="D877" s="452">
        <v>46113</v>
      </c>
      <c r="E877">
        <v>26006</v>
      </c>
      <c r="F877" t="s">
        <v>4941</v>
      </c>
      <c r="G877">
        <v>6491</v>
      </c>
      <c r="H877">
        <v>1.25</v>
      </c>
      <c r="I877" t="s">
        <v>4749</v>
      </c>
      <c r="J877" t="s">
        <v>5191</v>
      </c>
      <c r="K877" t="s">
        <v>461</v>
      </c>
      <c r="L877">
        <v>0</v>
      </c>
      <c r="M877" s="452">
        <v>45995</v>
      </c>
      <c r="N877">
        <v>12.62</v>
      </c>
      <c r="O877">
        <v>12.62</v>
      </c>
      <c r="P877">
        <v>15.77</v>
      </c>
    </row>
    <row r="878" spans="1:16" x14ac:dyDescent="0.3">
      <c r="A878">
        <v>79118</v>
      </c>
      <c r="B878">
        <v>105</v>
      </c>
      <c r="C878" t="s">
        <v>557</v>
      </c>
      <c r="D878" s="452">
        <v>46113</v>
      </c>
      <c r="E878">
        <v>25079</v>
      </c>
      <c r="F878" t="s">
        <v>5006</v>
      </c>
      <c r="G878">
        <v>2239</v>
      </c>
      <c r="H878">
        <v>1.75</v>
      </c>
      <c r="I878" t="s">
        <v>4738</v>
      </c>
      <c r="J878" t="s">
        <v>5191</v>
      </c>
      <c r="K878" t="s">
        <v>461</v>
      </c>
      <c r="L878">
        <v>0</v>
      </c>
      <c r="N878">
        <v>0</v>
      </c>
      <c r="O878">
        <v>8.9499999999999993</v>
      </c>
      <c r="P878">
        <v>15.75</v>
      </c>
    </row>
    <row r="879" spans="1:16" x14ac:dyDescent="0.3">
      <c r="A879">
        <v>79038</v>
      </c>
      <c r="B879">
        <v>105</v>
      </c>
      <c r="C879" t="s">
        <v>557</v>
      </c>
      <c r="D879" s="452">
        <v>46113</v>
      </c>
      <c r="E879">
        <v>20644</v>
      </c>
      <c r="F879" t="s">
        <v>5016</v>
      </c>
      <c r="G879">
        <v>2113</v>
      </c>
      <c r="H879">
        <v>4</v>
      </c>
      <c r="I879" t="s">
        <v>4955</v>
      </c>
      <c r="J879" t="s">
        <v>5191</v>
      </c>
      <c r="K879" t="s">
        <v>461</v>
      </c>
      <c r="L879">
        <v>3.89</v>
      </c>
      <c r="M879" s="452">
        <v>46101</v>
      </c>
      <c r="N879">
        <v>3.89</v>
      </c>
      <c r="O879">
        <v>3.89</v>
      </c>
      <c r="P879">
        <v>15.56</v>
      </c>
    </row>
    <row r="880" spans="1:16" x14ac:dyDescent="0.3">
      <c r="A880">
        <v>79003</v>
      </c>
      <c r="B880">
        <v>105</v>
      </c>
      <c r="C880" t="s">
        <v>557</v>
      </c>
      <c r="D880" s="452">
        <v>46113</v>
      </c>
      <c r="E880">
        <v>17092</v>
      </c>
      <c r="F880" t="s">
        <v>5146</v>
      </c>
      <c r="G880">
        <v>4165</v>
      </c>
      <c r="H880">
        <v>7</v>
      </c>
      <c r="I880" t="s">
        <v>4736</v>
      </c>
      <c r="J880" t="s">
        <v>5222</v>
      </c>
      <c r="K880" t="s">
        <v>461</v>
      </c>
      <c r="L880">
        <v>2.16</v>
      </c>
      <c r="M880" s="452">
        <v>46106</v>
      </c>
      <c r="N880">
        <v>2.16</v>
      </c>
      <c r="O880">
        <v>5.0999999999999996</v>
      </c>
      <c r="P880">
        <v>15.12</v>
      </c>
    </row>
    <row r="881" spans="1:16" x14ac:dyDescent="0.3">
      <c r="A881">
        <v>79182</v>
      </c>
      <c r="B881">
        <v>105</v>
      </c>
      <c r="C881" t="s">
        <v>557</v>
      </c>
      <c r="D881" s="452">
        <v>46113</v>
      </c>
      <c r="E881">
        <v>20207</v>
      </c>
      <c r="F881" t="s">
        <v>4929</v>
      </c>
      <c r="G881">
        <v>2253</v>
      </c>
      <c r="H881">
        <v>0.5</v>
      </c>
      <c r="I881" t="s">
        <v>4744</v>
      </c>
      <c r="J881" t="s">
        <v>5191</v>
      </c>
      <c r="K881" t="s">
        <v>461</v>
      </c>
      <c r="L881">
        <v>0</v>
      </c>
      <c r="M881" s="452">
        <v>45895</v>
      </c>
      <c r="N881">
        <v>29.9</v>
      </c>
      <c r="O881">
        <v>29.9</v>
      </c>
      <c r="P881">
        <v>14.95</v>
      </c>
    </row>
    <row r="882" spans="1:16" x14ac:dyDescent="0.3">
      <c r="A882">
        <v>79036</v>
      </c>
      <c r="B882">
        <v>105</v>
      </c>
      <c r="C882" t="s">
        <v>557</v>
      </c>
      <c r="D882" s="452">
        <v>46113</v>
      </c>
      <c r="E882">
        <v>19241</v>
      </c>
      <c r="F882" t="s">
        <v>4890</v>
      </c>
      <c r="G882">
        <v>2785</v>
      </c>
      <c r="H882">
        <v>4</v>
      </c>
      <c r="I882" t="s">
        <v>4736</v>
      </c>
      <c r="J882" t="s">
        <v>5191</v>
      </c>
      <c r="K882" t="s">
        <v>461</v>
      </c>
      <c r="L882">
        <v>3.6</v>
      </c>
      <c r="M882" s="452">
        <v>46094</v>
      </c>
      <c r="N882">
        <v>3.6</v>
      </c>
      <c r="O882">
        <v>3.6</v>
      </c>
      <c r="P882">
        <v>14.4</v>
      </c>
    </row>
    <row r="883" spans="1:16" x14ac:dyDescent="0.3">
      <c r="A883">
        <v>79142</v>
      </c>
      <c r="B883">
        <v>105</v>
      </c>
      <c r="C883" t="s">
        <v>557</v>
      </c>
      <c r="D883" s="452">
        <v>46113</v>
      </c>
      <c r="E883">
        <v>19558</v>
      </c>
      <c r="F883" t="s">
        <v>4994</v>
      </c>
      <c r="G883">
        <v>2659</v>
      </c>
      <c r="H883">
        <v>1</v>
      </c>
      <c r="I883" t="s">
        <v>4744</v>
      </c>
      <c r="J883" t="s">
        <v>5191</v>
      </c>
      <c r="K883" t="s">
        <v>461</v>
      </c>
      <c r="L883">
        <v>13.83</v>
      </c>
      <c r="M883" s="452">
        <v>46111</v>
      </c>
      <c r="N883">
        <v>15</v>
      </c>
      <c r="O883">
        <v>15</v>
      </c>
      <c r="P883">
        <v>13.83</v>
      </c>
    </row>
    <row r="884" spans="1:16" x14ac:dyDescent="0.3">
      <c r="A884">
        <v>79158</v>
      </c>
      <c r="B884">
        <v>105</v>
      </c>
      <c r="C884" t="s">
        <v>557</v>
      </c>
      <c r="D884" s="452">
        <v>46113</v>
      </c>
      <c r="E884">
        <v>24400</v>
      </c>
      <c r="F884" t="s">
        <v>5052</v>
      </c>
      <c r="G884">
        <v>2368</v>
      </c>
      <c r="H884">
        <v>1</v>
      </c>
      <c r="I884" t="s">
        <v>4736</v>
      </c>
      <c r="J884" t="s">
        <v>5191</v>
      </c>
      <c r="K884" t="s">
        <v>461</v>
      </c>
      <c r="L884">
        <v>0</v>
      </c>
      <c r="M884" s="452">
        <v>45901</v>
      </c>
      <c r="N884">
        <v>13.8</v>
      </c>
      <c r="O884">
        <v>14</v>
      </c>
      <c r="P884">
        <v>13.8</v>
      </c>
    </row>
    <row r="885" spans="1:16" x14ac:dyDescent="0.3">
      <c r="A885">
        <v>79154</v>
      </c>
      <c r="B885">
        <v>105</v>
      </c>
      <c r="C885" t="s">
        <v>557</v>
      </c>
      <c r="D885" s="452">
        <v>46113</v>
      </c>
      <c r="E885">
        <v>24598</v>
      </c>
      <c r="F885" t="s">
        <v>4852</v>
      </c>
      <c r="G885">
        <v>2725</v>
      </c>
      <c r="H885">
        <v>1</v>
      </c>
      <c r="I885" t="s">
        <v>4744</v>
      </c>
      <c r="J885" t="s">
        <v>5191</v>
      </c>
      <c r="K885" t="s">
        <v>461</v>
      </c>
      <c r="L885">
        <v>13.11</v>
      </c>
      <c r="M885" s="452">
        <v>46111</v>
      </c>
      <c r="N885">
        <v>14.28</v>
      </c>
      <c r="O885">
        <v>14.28</v>
      </c>
      <c r="P885">
        <v>13.11</v>
      </c>
    </row>
    <row r="886" spans="1:16" x14ac:dyDescent="0.3">
      <c r="A886">
        <v>79194</v>
      </c>
      <c r="B886">
        <v>105</v>
      </c>
      <c r="C886" t="s">
        <v>557</v>
      </c>
      <c r="D886" s="452">
        <v>46113</v>
      </c>
      <c r="E886">
        <v>23108</v>
      </c>
      <c r="F886" t="s">
        <v>5117</v>
      </c>
      <c r="G886">
        <v>2739</v>
      </c>
      <c r="H886">
        <v>0.15</v>
      </c>
      <c r="I886" t="s">
        <v>4744</v>
      </c>
      <c r="J886" t="s">
        <v>5191</v>
      </c>
      <c r="K886" t="s">
        <v>461</v>
      </c>
      <c r="L886">
        <v>81.430000000000007</v>
      </c>
      <c r="M886" s="452">
        <v>46112</v>
      </c>
      <c r="N886">
        <v>85</v>
      </c>
      <c r="O886">
        <v>85</v>
      </c>
      <c r="P886">
        <v>12.21</v>
      </c>
    </row>
    <row r="887" spans="1:16" x14ac:dyDescent="0.3">
      <c r="A887">
        <v>79181</v>
      </c>
      <c r="B887">
        <v>105</v>
      </c>
      <c r="C887" t="s">
        <v>557</v>
      </c>
      <c r="D887" s="452">
        <v>46113</v>
      </c>
      <c r="E887">
        <v>20186</v>
      </c>
      <c r="F887" t="s">
        <v>5061</v>
      </c>
      <c r="G887">
        <v>2259</v>
      </c>
      <c r="H887">
        <v>0.5</v>
      </c>
      <c r="I887" t="s">
        <v>4744</v>
      </c>
      <c r="J887" t="s">
        <v>5191</v>
      </c>
      <c r="K887" t="s">
        <v>461</v>
      </c>
      <c r="L887">
        <v>0</v>
      </c>
      <c r="M887" s="452">
        <v>45926</v>
      </c>
      <c r="N887">
        <v>24</v>
      </c>
      <c r="O887">
        <v>23.8</v>
      </c>
      <c r="P887">
        <v>12</v>
      </c>
    </row>
    <row r="888" spans="1:16" x14ac:dyDescent="0.3">
      <c r="A888">
        <v>78976</v>
      </c>
      <c r="B888">
        <v>105</v>
      </c>
      <c r="C888" t="s">
        <v>557</v>
      </c>
      <c r="D888" s="452">
        <v>46113</v>
      </c>
      <c r="E888">
        <v>26005</v>
      </c>
      <c r="F888" t="s">
        <v>4907</v>
      </c>
      <c r="G888">
        <v>9065</v>
      </c>
      <c r="H888">
        <v>0.92</v>
      </c>
      <c r="I888" t="s">
        <v>4749</v>
      </c>
      <c r="J888" t="s">
        <v>5191</v>
      </c>
      <c r="K888" t="s">
        <v>461</v>
      </c>
      <c r="L888">
        <v>0</v>
      </c>
      <c r="M888" s="452">
        <v>45995</v>
      </c>
      <c r="N888">
        <v>12.62</v>
      </c>
      <c r="O888">
        <v>12.62</v>
      </c>
      <c r="P888">
        <v>11.61</v>
      </c>
    </row>
    <row r="889" spans="1:16" x14ac:dyDescent="0.3">
      <c r="A889">
        <v>79192</v>
      </c>
      <c r="B889">
        <v>105</v>
      </c>
      <c r="C889" t="s">
        <v>557</v>
      </c>
      <c r="D889" s="452">
        <v>46113</v>
      </c>
      <c r="E889">
        <v>18212</v>
      </c>
      <c r="F889" t="s">
        <v>5040</v>
      </c>
      <c r="G889">
        <v>3415</v>
      </c>
      <c r="H889">
        <v>0.3</v>
      </c>
      <c r="I889" t="s">
        <v>4805</v>
      </c>
      <c r="J889" t="s">
        <v>5222</v>
      </c>
      <c r="K889" t="s">
        <v>461</v>
      </c>
      <c r="L889">
        <v>0</v>
      </c>
      <c r="N889">
        <v>0</v>
      </c>
      <c r="O889">
        <v>35.51</v>
      </c>
      <c r="P889">
        <v>11.42</v>
      </c>
    </row>
    <row r="890" spans="1:16" x14ac:dyDescent="0.3">
      <c r="A890">
        <v>79151</v>
      </c>
      <c r="B890">
        <v>105</v>
      </c>
      <c r="C890" t="s">
        <v>557</v>
      </c>
      <c r="D890" s="452">
        <v>46113</v>
      </c>
      <c r="E890">
        <v>23113</v>
      </c>
      <c r="F890" t="s">
        <v>5074</v>
      </c>
      <c r="G890">
        <v>2736</v>
      </c>
      <c r="H890">
        <v>1</v>
      </c>
      <c r="I890" t="s">
        <v>4744</v>
      </c>
      <c r="J890" t="s">
        <v>5191</v>
      </c>
      <c r="K890" t="s">
        <v>461</v>
      </c>
      <c r="L890">
        <v>11.23</v>
      </c>
      <c r="M890" s="452">
        <v>46112</v>
      </c>
      <c r="N890">
        <v>12.91</v>
      </c>
      <c r="O890">
        <v>12.91</v>
      </c>
      <c r="P890">
        <v>11.23</v>
      </c>
    </row>
    <row r="891" spans="1:16" x14ac:dyDescent="0.3">
      <c r="A891">
        <v>79177</v>
      </c>
      <c r="B891">
        <v>105</v>
      </c>
      <c r="C891" t="s">
        <v>557</v>
      </c>
      <c r="D891" s="452">
        <v>46113</v>
      </c>
      <c r="E891">
        <v>19939</v>
      </c>
      <c r="F891" t="s">
        <v>5057</v>
      </c>
      <c r="G891">
        <v>2365</v>
      </c>
      <c r="H891">
        <v>0.5</v>
      </c>
      <c r="I891" t="s">
        <v>4744</v>
      </c>
      <c r="J891" t="s">
        <v>5191</v>
      </c>
      <c r="K891" t="s">
        <v>461</v>
      </c>
      <c r="L891">
        <v>0</v>
      </c>
      <c r="N891">
        <v>0</v>
      </c>
      <c r="O891">
        <v>97.2</v>
      </c>
      <c r="P891">
        <v>11</v>
      </c>
    </row>
    <row r="892" spans="1:16" x14ac:dyDescent="0.3">
      <c r="A892">
        <v>79147</v>
      </c>
      <c r="B892">
        <v>105</v>
      </c>
      <c r="C892" t="s">
        <v>557</v>
      </c>
      <c r="D892" s="452">
        <v>46113</v>
      </c>
      <c r="E892">
        <v>20792</v>
      </c>
      <c r="F892" t="s">
        <v>5022</v>
      </c>
      <c r="G892">
        <v>2076</v>
      </c>
      <c r="H892">
        <v>1</v>
      </c>
      <c r="I892" t="s">
        <v>4738</v>
      </c>
      <c r="J892" t="s">
        <v>5191</v>
      </c>
      <c r="K892" t="s">
        <v>461</v>
      </c>
      <c r="L892">
        <v>0</v>
      </c>
      <c r="M892" s="452">
        <v>46006</v>
      </c>
      <c r="N892">
        <v>10.29</v>
      </c>
      <c r="O892">
        <v>10.29</v>
      </c>
      <c r="P892">
        <v>10.29</v>
      </c>
    </row>
    <row r="893" spans="1:16" x14ac:dyDescent="0.3">
      <c r="A893">
        <v>79106</v>
      </c>
      <c r="B893">
        <v>105</v>
      </c>
      <c r="C893" t="s">
        <v>557</v>
      </c>
      <c r="D893" s="452">
        <v>46113</v>
      </c>
      <c r="E893">
        <v>19632</v>
      </c>
      <c r="F893" t="s">
        <v>4936</v>
      </c>
      <c r="G893">
        <v>2604</v>
      </c>
      <c r="H893">
        <v>2</v>
      </c>
      <c r="I893" t="s">
        <v>4744</v>
      </c>
      <c r="J893" t="s">
        <v>5191</v>
      </c>
      <c r="K893" t="s">
        <v>461</v>
      </c>
      <c r="L893">
        <v>4.99</v>
      </c>
      <c r="M893" s="452">
        <v>46111</v>
      </c>
      <c r="N893">
        <v>5.44</v>
      </c>
      <c r="O893">
        <v>5.44</v>
      </c>
      <c r="P893">
        <v>9.98</v>
      </c>
    </row>
    <row r="894" spans="1:16" x14ac:dyDescent="0.3">
      <c r="A894">
        <v>79149</v>
      </c>
      <c r="B894">
        <v>105</v>
      </c>
      <c r="C894" t="s">
        <v>557</v>
      </c>
      <c r="D894" s="452">
        <v>46113</v>
      </c>
      <c r="E894">
        <v>20984</v>
      </c>
      <c r="F894" t="s">
        <v>5133</v>
      </c>
      <c r="G894">
        <v>2011</v>
      </c>
      <c r="H894">
        <v>1</v>
      </c>
      <c r="I894" t="s">
        <v>4888</v>
      </c>
      <c r="J894" t="s">
        <v>5191</v>
      </c>
      <c r="K894" t="s">
        <v>461</v>
      </c>
      <c r="L894">
        <v>9.0500000000000007</v>
      </c>
      <c r="M894" s="452">
        <v>46094</v>
      </c>
      <c r="N894">
        <v>9.0500000000000007</v>
      </c>
      <c r="O894">
        <v>7.99</v>
      </c>
      <c r="P894">
        <v>9.0500000000000007</v>
      </c>
    </row>
    <row r="895" spans="1:16" x14ac:dyDescent="0.3">
      <c r="A895">
        <v>79105</v>
      </c>
      <c r="B895">
        <v>105</v>
      </c>
      <c r="C895" t="s">
        <v>557</v>
      </c>
      <c r="D895" s="452">
        <v>46113</v>
      </c>
      <c r="E895">
        <v>19622</v>
      </c>
      <c r="F895" t="s">
        <v>4915</v>
      </c>
      <c r="G895">
        <v>2612</v>
      </c>
      <c r="H895">
        <v>2</v>
      </c>
      <c r="I895" t="s">
        <v>4744</v>
      </c>
      <c r="J895" t="s">
        <v>5191</v>
      </c>
      <c r="K895" t="s">
        <v>461</v>
      </c>
      <c r="L895">
        <v>4.13</v>
      </c>
      <c r="M895" s="452">
        <v>46111</v>
      </c>
      <c r="N895">
        <v>4.3499999999999996</v>
      </c>
      <c r="O895">
        <v>4.3499999999999996</v>
      </c>
      <c r="P895">
        <v>8.26</v>
      </c>
    </row>
    <row r="896" spans="1:16" x14ac:dyDescent="0.3">
      <c r="A896">
        <v>79183</v>
      </c>
      <c r="B896">
        <v>105</v>
      </c>
      <c r="C896" t="s">
        <v>557</v>
      </c>
      <c r="D896" s="452">
        <v>46113</v>
      </c>
      <c r="E896">
        <v>23195</v>
      </c>
      <c r="F896" t="s">
        <v>5051</v>
      </c>
      <c r="G896">
        <v>2660</v>
      </c>
      <c r="H896">
        <v>0.45</v>
      </c>
      <c r="I896" t="s">
        <v>4744</v>
      </c>
      <c r="J896" t="s">
        <v>5191</v>
      </c>
      <c r="K896" t="s">
        <v>461</v>
      </c>
      <c r="L896">
        <v>18.28</v>
      </c>
      <c r="M896" s="452">
        <v>46111</v>
      </c>
      <c r="N896">
        <v>16</v>
      </c>
      <c r="O896">
        <v>16</v>
      </c>
      <c r="P896">
        <v>8.23</v>
      </c>
    </row>
    <row r="897" spans="1:16" x14ac:dyDescent="0.3">
      <c r="A897">
        <v>79113</v>
      </c>
      <c r="B897">
        <v>105</v>
      </c>
      <c r="C897" t="s">
        <v>557</v>
      </c>
      <c r="D897" s="452">
        <v>46113</v>
      </c>
      <c r="E897">
        <v>25022</v>
      </c>
      <c r="F897" t="s">
        <v>4912</v>
      </c>
      <c r="G897">
        <v>5868</v>
      </c>
      <c r="H897">
        <v>2</v>
      </c>
      <c r="I897" t="s">
        <v>4738</v>
      </c>
      <c r="J897" t="s">
        <v>5191</v>
      </c>
      <c r="K897" t="s">
        <v>461</v>
      </c>
      <c r="L897">
        <v>3.85</v>
      </c>
      <c r="M897" s="452">
        <v>46101</v>
      </c>
      <c r="N897">
        <v>3.7</v>
      </c>
      <c r="O897">
        <v>3.7</v>
      </c>
      <c r="P897">
        <v>7.7</v>
      </c>
    </row>
    <row r="898" spans="1:16" x14ac:dyDescent="0.3">
      <c r="A898">
        <v>79178</v>
      </c>
      <c r="B898">
        <v>105</v>
      </c>
      <c r="C898" t="s">
        <v>557</v>
      </c>
      <c r="D898" s="452">
        <v>46113</v>
      </c>
      <c r="E898">
        <v>23502</v>
      </c>
      <c r="F898" t="s">
        <v>4930</v>
      </c>
      <c r="G898">
        <v>2367</v>
      </c>
      <c r="H898">
        <v>0.5</v>
      </c>
      <c r="I898" t="s">
        <v>4736</v>
      </c>
      <c r="J898" t="s">
        <v>5191</v>
      </c>
      <c r="K898" t="s">
        <v>461</v>
      </c>
      <c r="L898">
        <v>14.9</v>
      </c>
      <c r="M898" s="452">
        <v>46094</v>
      </c>
      <c r="N898">
        <v>14.9</v>
      </c>
      <c r="O898">
        <v>12.97</v>
      </c>
      <c r="P898">
        <v>7.45</v>
      </c>
    </row>
    <row r="899" spans="1:16" x14ac:dyDescent="0.3">
      <c r="A899">
        <v>79186</v>
      </c>
      <c r="B899">
        <v>105</v>
      </c>
      <c r="C899" t="s">
        <v>557</v>
      </c>
      <c r="D899" s="452">
        <v>46113</v>
      </c>
      <c r="E899">
        <v>19617</v>
      </c>
      <c r="F899" t="s">
        <v>5071</v>
      </c>
      <c r="G899">
        <v>2617</v>
      </c>
      <c r="H899">
        <v>0.4</v>
      </c>
      <c r="I899" t="s">
        <v>4744</v>
      </c>
      <c r="J899" t="s">
        <v>5191</v>
      </c>
      <c r="K899" t="s">
        <v>461</v>
      </c>
      <c r="L899">
        <v>17.899999999999999</v>
      </c>
      <c r="M899" s="452">
        <v>46111</v>
      </c>
      <c r="N899">
        <v>18</v>
      </c>
      <c r="O899">
        <v>15</v>
      </c>
      <c r="P899">
        <v>7.16</v>
      </c>
    </row>
    <row r="900" spans="1:16" x14ac:dyDescent="0.3">
      <c r="A900">
        <v>79139</v>
      </c>
      <c r="B900">
        <v>105</v>
      </c>
      <c r="C900" t="s">
        <v>557</v>
      </c>
      <c r="D900" s="452">
        <v>46113</v>
      </c>
      <c r="E900">
        <v>19552</v>
      </c>
      <c r="F900" t="s">
        <v>4860</v>
      </c>
      <c r="G900">
        <v>2664</v>
      </c>
      <c r="H900">
        <v>1.05</v>
      </c>
      <c r="I900" t="s">
        <v>4744</v>
      </c>
      <c r="J900" t="s">
        <v>5191</v>
      </c>
      <c r="K900" t="s">
        <v>461</v>
      </c>
      <c r="L900">
        <v>6</v>
      </c>
      <c r="M900" s="452">
        <v>46111</v>
      </c>
      <c r="N900">
        <v>6.2</v>
      </c>
      <c r="O900">
        <v>6.5</v>
      </c>
      <c r="P900">
        <v>6.3</v>
      </c>
    </row>
    <row r="901" spans="1:16" x14ac:dyDescent="0.3">
      <c r="A901">
        <v>79176</v>
      </c>
      <c r="B901">
        <v>105</v>
      </c>
      <c r="C901" t="s">
        <v>557</v>
      </c>
      <c r="D901" s="452">
        <v>46113</v>
      </c>
      <c r="E901">
        <v>19647</v>
      </c>
      <c r="F901" t="s">
        <v>5050</v>
      </c>
      <c r="G901">
        <v>2591</v>
      </c>
      <c r="H901">
        <v>0.5</v>
      </c>
      <c r="I901" t="s">
        <v>4744</v>
      </c>
      <c r="J901" t="s">
        <v>5191</v>
      </c>
      <c r="K901" t="s">
        <v>461</v>
      </c>
      <c r="L901">
        <v>12.5</v>
      </c>
      <c r="M901" s="452">
        <v>46085</v>
      </c>
      <c r="N901">
        <v>12.5</v>
      </c>
      <c r="O901">
        <v>15.5</v>
      </c>
      <c r="P901">
        <v>6.25</v>
      </c>
    </row>
    <row r="902" spans="1:16" x14ac:dyDescent="0.3">
      <c r="A902">
        <v>79187</v>
      </c>
      <c r="B902">
        <v>105</v>
      </c>
      <c r="C902" t="s">
        <v>557</v>
      </c>
      <c r="D902" s="452">
        <v>46113</v>
      </c>
      <c r="E902">
        <v>19728</v>
      </c>
      <c r="F902" t="s">
        <v>5106</v>
      </c>
      <c r="G902">
        <v>2525</v>
      </c>
      <c r="H902">
        <v>0.4</v>
      </c>
      <c r="I902" t="s">
        <v>4744</v>
      </c>
      <c r="J902" t="s">
        <v>5191</v>
      </c>
      <c r="K902" t="s">
        <v>461</v>
      </c>
      <c r="L902">
        <v>12.1</v>
      </c>
      <c r="M902" s="452">
        <v>46093</v>
      </c>
      <c r="N902">
        <v>11.53</v>
      </c>
      <c r="O902">
        <v>11.44</v>
      </c>
      <c r="P902">
        <v>4.84</v>
      </c>
    </row>
    <row r="903" spans="1:16" x14ac:dyDescent="0.3">
      <c r="A903">
        <v>79179</v>
      </c>
      <c r="B903">
        <v>105</v>
      </c>
      <c r="C903" t="s">
        <v>557</v>
      </c>
      <c r="D903" s="452">
        <v>46113</v>
      </c>
      <c r="E903">
        <v>23554</v>
      </c>
      <c r="F903" t="s">
        <v>4931</v>
      </c>
      <c r="G903">
        <v>2316</v>
      </c>
      <c r="H903">
        <v>0.5</v>
      </c>
      <c r="I903" t="s">
        <v>4744</v>
      </c>
      <c r="J903" t="s">
        <v>5191</v>
      </c>
      <c r="K903" t="s">
        <v>461</v>
      </c>
      <c r="L903">
        <v>0</v>
      </c>
      <c r="M903" s="452">
        <v>45887</v>
      </c>
      <c r="N903">
        <v>8.5</v>
      </c>
      <c r="O903">
        <v>8.5</v>
      </c>
      <c r="P903">
        <v>4.25</v>
      </c>
    </row>
    <row r="904" spans="1:16" x14ac:dyDescent="0.3">
      <c r="A904">
        <v>79189</v>
      </c>
      <c r="B904">
        <v>105</v>
      </c>
      <c r="C904" t="s">
        <v>557</v>
      </c>
      <c r="D904" s="452">
        <v>46113</v>
      </c>
      <c r="E904">
        <v>23390</v>
      </c>
      <c r="F904" t="s">
        <v>4873</v>
      </c>
      <c r="G904">
        <v>2474</v>
      </c>
      <c r="H904">
        <v>0.4</v>
      </c>
      <c r="I904" t="s">
        <v>4744</v>
      </c>
      <c r="J904" t="s">
        <v>5191</v>
      </c>
      <c r="K904" t="s">
        <v>461</v>
      </c>
      <c r="L904">
        <v>8.5</v>
      </c>
      <c r="M904" s="452">
        <v>46111</v>
      </c>
      <c r="N904">
        <v>8.5</v>
      </c>
      <c r="O904">
        <v>8.5</v>
      </c>
      <c r="P904">
        <v>3.4</v>
      </c>
    </row>
    <row r="905" spans="1:16" x14ac:dyDescent="0.3">
      <c r="A905">
        <v>79167</v>
      </c>
      <c r="B905">
        <v>105</v>
      </c>
      <c r="C905" t="s">
        <v>557</v>
      </c>
      <c r="D905" s="452">
        <v>46113</v>
      </c>
      <c r="E905">
        <v>28751</v>
      </c>
      <c r="F905" t="s">
        <v>5151</v>
      </c>
      <c r="G905">
        <v>8729</v>
      </c>
      <c r="H905">
        <v>0.69</v>
      </c>
      <c r="I905" t="s">
        <v>4736</v>
      </c>
      <c r="J905" t="s">
        <v>5191</v>
      </c>
      <c r="K905" t="s">
        <v>461</v>
      </c>
      <c r="L905">
        <v>0</v>
      </c>
      <c r="N905">
        <v>0</v>
      </c>
      <c r="O905">
        <v>3.2</v>
      </c>
      <c r="P905">
        <v>2.21</v>
      </c>
    </row>
    <row r="906" spans="1:16" x14ac:dyDescent="0.3">
      <c r="A906">
        <v>78906</v>
      </c>
      <c r="B906">
        <v>105</v>
      </c>
      <c r="C906" t="s">
        <v>557</v>
      </c>
      <c r="D906" s="452">
        <v>46113</v>
      </c>
      <c r="E906">
        <v>27689</v>
      </c>
      <c r="F906" t="s">
        <v>5139</v>
      </c>
      <c r="G906">
        <v>7656</v>
      </c>
      <c r="H906">
        <v>1.76</v>
      </c>
      <c r="I906" t="s">
        <v>4749</v>
      </c>
      <c r="J906" t="s">
        <v>5191</v>
      </c>
      <c r="K906" t="s">
        <v>461</v>
      </c>
      <c r="L906">
        <v>0.95</v>
      </c>
      <c r="M906" s="452">
        <v>46101</v>
      </c>
      <c r="N906">
        <v>0.95</v>
      </c>
      <c r="O906">
        <v>0.95</v>
      </c>
      <c r="P906">
        <v>1.67</v>
      </c>
    </row>
    <row r="907" spans="1:16" x14ac:dyDescent="0.3">
      <c r="A907">
        <v>79161</v>
      </c>
      <c r="B907">
        <v>105</v>
      </c>
      <c r="C907" t="s">
        <v>557</v>
      </c>
      <c r="D907" s="452">
        <v>46113</v>
      </c>
      <c r="E907">
        <v>17042</v>
      </c>
      <c r="F907" t="s">
        <v>4748</v>
      </c>
      <c r="G907">
        <v>2830</v>
      </c>
      <c r="H907">
        <v>0.8</v>
      </c>
      <c r="I907" t="s">
        <v>4749</v>
      </c>
      <c r="J907" t="s">
        <v>5191</v>
      </c>
      <c r="K907" t="s">
        <v>461</v>
      </c>
      <c r="L907">
        <v>0</v>
      </c>
      <c r="M907" s="452">
        <v>45996</v>
      </c>
      <c r="N907">
        <v>1.44</v>
      </c>
      <c r="O907">
        <v>72.650000000000006</v>
      </c>
      <c r="P907">
        <v>1.1499999999999999</v>
      </c>
    </row>
    <row r="908" spans="1:16" x14ac:dyDescent="0.3">
      <c r="A908">
        <v>74143</v>
      </c>
      <c r="B908">
        <v>105</v>
      </c>
      <c r="C908" t="s">
        <v>557</v>
      </c>
      <c r="D908" s="452">
        <v>46082</v>
      </c>
      <c r="E908">
        <v>28761</v>
      </c>
      <c r="F908" t="s">
        <v>5138</v>
      </c>
      <c r="G908">
        <v>8739</v>
      </c>
      <c r="H908">
        <v>22.25</v>
      </c>
      <c r="I908" t="s">
        <v>4744</v>
      </c>
      <c r="J908" t="s">
        <v>5191</v>
      </c>
      <c r="K908" t="s">
        <v>460</v>
      </c>
      <c r="L908">
        <v>108</v>
      </c>
      <c r="M908" s="452">
        <v>46079</v>
      </c>
      <c r="N908">
        <v>108</v>
      </c>
      <c r="O908">
        <v>108</v>
      </c>
      <c r="P908">
        <v>2403</v>
      </c>
    </row>
    <row r="909" spans="1:16" x14ac:dyDescent="0.3">
      <c r="A909">
        <v>74131</v>
      </c>
      <c r="B909">
        <v>105</v>
      </c>
      <c r="C909" t="s">
        <v>557</v>
      </c>
      <c r="D909" s="452">
        <v>46082</v>
      </c>
      <c r="E909">
        <v>26135</v>
      </c>
      <c r="F909" t="s">
        <v>4801</v>
      </c>
      <c r="G909">
        <v>6585</v>
      </c>
      <c r="H909">
        <v>25.85</v>
      </c>
      <c r="I909" t="s">
        <v>4744</v>
      </c>
      <c r="J909" t="s">
        <v>5191</v>
      </c>
      <c r="K909" t="s">
        <v>460</v>
      </c>
      <c r="L909">
        <v>89.9</v>
      </c>
      <c r="M909" s="452">
        <v>46073</v>
      </c>
      <c r="N909">
        <v>89.9</v>
      </c>
      <c r="O909">
        <v>89.9</v>
      </c>
      <c r="P909">
        <v>2323.92</v>
      </c>
    </row>
    <row r="910" spans="1:16" x14ac:dyDescent="0.3">
      <c r="A910">
        <v>73921</v>
      </c>
      <c r="B910">
        <v>105</v>
      </c>
      <c r="C910" t="s">
        <v>557</v>
      </c>
      <c r="D910" s="452">
        <v>46082</v>
      </c>
      <c r="E910">
        <v>18636</v>
      </c>
      <c r="F910" t="s">
        <v>4964</v>
      </c>
      <c r="G910">
        <v>3075</v>
      </c>
      <c r="H910">
        <v>4.09</v>
      </c>
      <c r="I910" t="s">
        <v>4965</v>
      </c>
      <c r="J910" t="s">
        <v>5222</v>
      </c>
      <c r="K910" t="s">
        <v>460</v>
      </c>
      <c r="L910">
        <v>482.8</v>
      </c>
      <c r="M910" s="452">
        <v>46077</v>
      </c>
      <c r="N910">
        <v>482.8</v>
      </c>
      <c r="O910">
        <v>482.8</v>
      </c>
      <c r="P910">
        <v>1974.65</v>
      </c>
    </row>
    <row r="911" spans="1:16" x14ac:dyDescent="0.3">
      <c r="A911">
        <v>74136</v>
      </c>
      <c r="B911">
        <v>105</v>
      </c>
      <c r="C911" t="s">
        <v>557</v>
      </c>
      <c r="D911" s="452">
        <v>46082</v>
      </c>
      <c r="E911">
        <v>26679</v>
      </c>
      <c r="F911" t="s">
        <v>4791</v>
      </c>
      <c r="G911">
        <v>6847</v>
      </c>
      <c r="H911">
        <v>67.849999999999994</v>
      </c>
      <c r="I911" t="s">
        <v>4744</v>
      </c>
      <c r="J911" t="s">
        <v>5191</v>
      </c>
      <c r="K911" t="s">
        <v>460</v>
      </c>
      <c r="L911">
        <v>27.9</v>
      </c>
      <c r="M911" s="452">
        <v>46072</v>
      </c>
      <c r="N911">
        <v>27.9</v>
      </c>
      <c r="O911">
        <v>27.9</v>
      </c>
      <c r="P911">
        <v>1893.01</v>
      </c>
    </row>
    <row r="912" spans="1:16" x14ac:dyDescent="0.3">
      <c r="A912">
        <v>74079</v>
      </c>
      <c r="B912">
        <v>105</v>
      </c>
      <c r="C912" t="s">
        <v>557</v>
      </c>
      <c r="D912" s="452">
        <v>46082</v>
      </c>
      <c r="E912">
        <v>24096</v>
      </c>
      <c r="F912" t="s">
        <v>4771</v>
      </c>
      <c r="G912">
        <v>2958</v>
      </c>
      <c r="H912">
        <v>42</v>
      </c>
      <c r="I912" t="s">
        <v>4744</v>
      </c>
      <c r="J912" t="s">
        <v>5191</v>
      </c>
      <c r="K912" t="s">
        <v>460</v>
      </c>
      <c r="L912">
        <v>42.19</v>
      </c>
      <c r="M912" s="452">
        <v>46076</v>
      </c>
      <c r="N912">
        <v>42.5</v>
      </c>
      <c r="O912">
        <v>42.5</v>
      </c>
      <c r="P912">
        <v>1771.98</v>
      </c>
    </row>
    <row r="913" spans="1:16" x14ac:dyDescent="0.3">
      <c r="A913">
        <v>74120</v>
      </c>
      <c r="B913">
        <v>105</v>
      </c>
      <c r="C913" t="s">
        <v>557</v>
      </c>
      <c r="D913" s="452">
        <v>46082</v>
      </c>
      <c r="E913">
        <v>25777</v>
      </c>
      <c r="F913" t="s">
        <v>4774</v>
      </c>
      <c r="G913">
        <v>6322</v>
      </c>
      <c r="H913">
        <v>16.899999999999999</v>
      </c>
      <c r="I913" t="s">
        <v>4744</v>
      </c>
      <c r="J913" t="s">
        <v>5191</v>
      </c>
      <c r="K913" t="s">
        <v>460</v>
      </c>
      <c r="L913">
        <v>81.8</v>
      </c>
      <c r="M913" s="452">
        <v>46078</v>
      </c>
      <c r="N913">
        <v>85</v>
      </c>
      <c r="O913">
        <v>85</v>
      </c>
      <c r="P913">
        <v>1382.42</v>
      </c>
    </row>
    <row r="914" spans="1:16" x14ac:dyDescent="0.3">
      <c r="A914">
        <v>73916</v>
      </c>
      <c r="B914">
        <v>105</v>
      </c>
      <c r="C914" t="s">
        <v>557</v>
      </c>
      <c r="D914" s="452">
        <v>46082</v>
      </c>
      <c r="E914">
        <v>18579</v>
      </c>
      <c r="F914" t="s">
        <v>5087</v>
      </c>
      <c r="G914">
        <v>3106</v>
      </c>
      <c r="H914">
        <v>7.45</v>
      </c>
      <c r="I914" t="s">
        <v>4749</v>
      </c>
      <c r="J914" t="s">
        <v>5222</v>
      </c>
      <c r="K914" t="s">
        <v>460</v>
      </c>
      <c r="L914">
        <v>163.92</v>
      </c>
      <c r="M914" s="452">
        <v>46072</v>
      </c>
      <c r="N914">
        <v>163.92</v>
      </c>
      <c r="O914">
        <v>163.92</v>
      </c>
      <c r="P914">
        <v>1221.2</v>
      </c>
    </row>
    <row r="915" spans="1:16" x14ac:dyDescent="0.3">
      <c r="A915">
        <v>74088</v>
      </c>
      <c r="B915">
        <v>105</v>
      </c>
      <c r="C915" t="s">
        <v>557</v>
      </c>
      <c r="D915" s="452">
        <v>46082</v>
      </c>
      <c r="E915">
        <v>24217</v>
      </c>
      <c r="F915" t="s">
        <v>4778</v>
      </c>
      <c r="G915">
        <v>2937</v>
      </c>
      <c r="H915">
        <v>39.799999999999997</v>
      </c>
      <c r="I915" t="s">
        <v>4744</v>
      </c>
      <c r="J915" t="s">
        <v>5191</v>
      </c>
      <c r="K915" t="s">
        <v>460</v>
      </c>
      <c r="L915">
        <v>28.91</v>
      </c>
      <c r="M915" s="452">
        <v>46069</v>
      </c>
      <c r="N915">
        <v>24.5</v>
      </c>
      <c r="O915">
        <v>31.9</v>
      </c>
      <c r="P915">
        <v>1150.6199999999999</v>
      </c>
    </row>
    <row r="916" spans="1:16" x14ac:dyDescent="0.3">
      <c r="A916">
        <v>73922</v>
      </c>
      <c r="B916">
        <v>105</v>
      </c>
      <c r="C916" t="s">
        <v>557</v>
      </c>
      <c r="D916" s="452">
        <v>46082</v>
      </c>
      <c r="E916">
        <v>18642</v>
      </c>
      <c r="F916" t="s">
        <v>5127</v>
      </c>
      <c r="G916">
        <v>3072</v>
      </c>
      <c r="H916">
        <v>5.4</v>
      </c>
      <c r="I916" t="s">
        <v>4744</v>
      </c>
      <c r="J916" t="s">
        <v>5191</v>
      </c>
      <c r="K916" t="s">
        <v>460</v>
      </c>
      <c r="L916">
        <v>0</v>
      </c>
      <c r="M916" s="452">
        <v>45987</v>
      </c>
      <c r="N916">
        <v>192.51</v>
      </c>
      <c r="O916">
        <v>192.51</v>
      </c>
      <c r="P916">
        <v>1039.55</v>
      </c>
    </row>
    <row r="917" spans="1:16" x14ac:dyDescent="0.3">
      <c r="A917">
        <v>74082</v>
      </c>
      <c r="B917">
        <v>105</v>
      </c>
      <c r="C917" t="s">
        <v>557</v>
      </c>
      <c r="D917" s="452">
        <v>46082</v>
      </c>
      <c r="E917">
        <v>24141</v>
      </c>
      <c r="F917" t="s">
        <v>5088</v>
      </c>
      <c r="G917">
        <v>3083</v>
      </c>
      <c r="H917">
        <v>8.33</v>
      </c>
      <c r="I917" t="s">
        <v>4749</v>
      </c>
      <c r="J917" t="s">
        <v>5222</v>
      </c>
      <c r="K917" t="s">
        <v>460</v>
      </c>
      <c r="L917">
        <v>118.98</v>
      </c>
      <c r="M917" s="452">
        <v>46077</v>
      </c>
      <c r="N917">
        <v>151.44999999999999</v>
      </c>
      <c r="O917">
        <v>151.44999999999999</v>
      </c>
      <c r="P917">
        <v>991.1</v>
      </c>
    </row>
    <row r="918" spans="1:16" x14ac:dyDescent="0.3">
      <c r="A918">
        <v>73927</v>
      </c>
      <c r="B918">
        <v>105</v>
      </c>
      <c r="C918" t="s">
        <v>557</v>
      </c>
      <c r="D918" s="452">
        <v>46082</v>
      </c>
      <c r="E918">
        <v>19003</v>
      </c>
      <c r="F918" t="s">
        <v>4810</v>
      </c>
      <c r="G918">
        <v>2897</v>
      </c>
      <c r="H918">
        <v>24.4</v>
      </c>
      <c r="I918" t="s">
        <v>4744</v>
      </c>
      <c r="J918" t="s">
        <v>5191</v>
      </c>
      <c r="K918" t="s">
        <v>460</v>
      </c>
      <c r="L918">
        <v>39.9</v>
      </c>
      <c r="M918" s="452">
        <v>46076</v>
      </c>
      <c r="N918">
        <v>39.9</v>
      </c>
      <c r="O918">
        <v>39.9</v>
      </c>
      <c r="P918">
        <v>973.56</v>
      </c>
    </row>
    <row r="919" spans="1:16" x14ac:dyDescent="0.3">
      <c r="A919">
        <v>73923</v>
      </c>
      <c r="B919">
        <v>105</v>
      </c>
      <c r="C919" t="s">
        <v>557</v>
      </c>
      <c r="D919" s="452">
        <v>46082</v>
      </c>
      <c r="E919">
        <v>18731</v>
      </c>
      <c r="F919" t="s">
        <v>4832</v>
      </c>
      <c r="G919">
        <v>3020</v>
      </c>
      <c r="H919">
        <v>11.95</v>
      </c>
      <c r="I919" t="s">
        <v>4744</v>
      </c>
      <c r="J919" t="s">
        <v>5191</v>
      </c>
      <c r="K919" t="s">
        <v>460</v>
      </c>
      <c r="L919">
        <v>72</v>
      </c>
      <c r="M919" s="452">
        <v>46076</v>
      </c>
      <c r="N919">
        <v>72</v>
      </c>
      <c r="O919">
        <v>72</v>
      </c>
      <c r="P919">
        <v>860.4</v>
      </c>
    </row>
    <row r="920" spans="1:16" x14ac:dyDescent="0.3">
      <c r="A920">
        <v>74036</v>
      </c>
      <c r="B920">
        <v>105</v>
      </c>
      <c r="C920" t="s">
        <v>557</v>
      </c>
      <c r="D920" s="452">
        <v>46082</v>
      </c>
      <c r="E920">
        <v>21021</v>
      </c>
      <c r="F920" t="s">
        <v>4883</v>
      </c>
      <c r="G920">
        <v>2003</v>
      </c>
      <c r="H920">
        <v>4</v>
      </c>
      <c r="I920" t="s">
        <v>4884</v>
      </c>
      <c r="J920" t="s">
        <v>5191</v>
      </c>
      <c r="K920" t="s">
        <v>460</v>
      </c>
      <c r="L920">
        <v>175.81</v>
      </c>
      <c r="M920" s="452">
        <v>46076</v>
      </c>
      <c r="N920">
        <v>175.81</v>
      </c>
      <c r="O920">
        <v>175.81</v>
      </c>
      <c r="P920">
        <v>703.24</v>
      </c>
    </row>
    <row r="921" spans="1:16" x14ac:dyDescent="0.3">
      <c r="A921">
        <v>73864</v>
      </c>
      <c r="B921">
        <v>105</v>
      </c>
      <c r="C921" t="s">
        <v>557</v>
      </c>
      <c r="D921" s="452">
        <v>46082</v>
      </c>
      <c r="E921">
        <v>17578</v>
      </c>
      <c r="F921" t="s">
        <v>4842</v>
      </c>
      <c r="G921">
        <v>3948</v>
      </c>
      <c r="H921">
        <v>6</v>
      </c>
      <c r="I921" t="s">
        <v>4805</v>
      </c>
      <c r="J921" t="s">
        <v>5222</v>
      </c>
      <c r="K921" t="s">
        <v>460</v>
      </c>
      <c r="L921">
        <v>112.84</v>
      </c>
      <c r="M921" s="452">
        <v>46055</v>
      </c>
      <c r="N921">
        <v>112.84</v>
      </c>
      <c r="O921">
        <v>112.84</v>
      </c>
      <c r="P921">
        <v>677.04</v>
      </c>
    </row>
    <row r="922" spans="1:16" x14ac:dyDescent="0.3">
      <c r="A922">
        <v>74012</v>
      </c>
      <c r="B922">
        <v>105</v>
      </c>
      <c r="C922" t="s">
        <v>557</v>
      </c>
      <c r="D922" s="452">
        <v>46082</v>
      </c>
      <c r="E922">
        <v>20501</v>
      </c>
      <c r="F922" t="s">
        <v>4760</v>
      </c>
      <c r="G922">
        <v>2154</v>
      </c>
      <c r="H922">
        <v>31.1</v>
      </c>
      <c r="I922" t="s">
        <v>4744</v>
      </c>
      <c r="J922" t="s">
        <v>5191</v>
      </c>
      <c r="K922" t="s">
        <v>460</v>
      </c>
      <c r="L922">
        <v>21.75</v>
      </c>
      <c r="M922" s="452">
        <v>46077</v>
      </c>
      <c r="N922">
        <v>21.4</v>
      </c>
      <c r="O922">
        <v>21.68</v>
      </c>
      <c r="P922">
        <v>676.42</v>
      </c>
    </row>
    <row r="923" spans="1:16" x14ac:dyDescent="0.3">
      <c r="A923">
        <v>74089</v>
      </c>
      <c r="B923">
        <v>105</v>
      </c>
      <c r="C923" t="s">
        <v>557</v>
      </c>
      <c r="D923" s="452">
        <v>46082</v>
      </c>
      <c r="E923">
        <v>24256</v>
      </c>
      <c r="F923" t="s">
        <v>4773</v>
      </c>
      <c r="G923">
        <v>3003</v>
      </c>
      <c r="H923">
        <v>17.7</v>
      </c>
      <c r="I923" t="s">
        <v>4744</v>
      </c>
      <c r="J923" t="s">
        <v>5191</v>
      </c>
      <c r="K923" t="s">
        <v>460</v>
      </c>
      <c r="L923">
        <v>38</v>
      </c>
      <c r="M923" s="452">
        <v>46076</v>
      </c>
      <c r="N923">
        <v>38</v>
      </c>
      <c r="O923">
        <v>38</v>
      </c>
      <c r="P923">
        <v>672.6</v>
      </c>
    </row>
    <row r="924" spans="1:16" x14ac:dyDescent="0.3">
      <c r="A924">
        <v>74134</v>
      </c>
      <c r="B924">
        <v>105</v>
      </c>
      <c r="C924" t="s">
        <v>557</v>
      </c>
      <c r="D924" s="452">
        <v>46082</v>
      </c>
      <c r="E924">
        <v>26236</v>
      </c>
      <c r="F924" t="s">
        <v>5077</v>
      </c>
      <c r="G924">
        <v>6638</v>
      </c>
      <c r="H924">
        <v>5</v>
      </c>
      <c r="I924" t="s">
        <v>4805</v>
      </c>
      <c r="J924" t="s">
        <v>5222</v>
      </c>
      <c r="K924" t="s">
        <v>460</v>
      </c>
      <c r="L924">
        <v>0</v>
      </c>
      <c r="M924" s="452">
        <v>46027</v>
      </c>
      <c r="N924">
        <v>128.05000000000001</v>
      </c>
      <c r="O924">
        <v>128.05000000000001</v>
      </c>
      <c r="P924">
        <v>640.25</v>
      </c>
    </row>
    <row r="925" spans="1:16" x14ac:dyDescent="0.3">
      <c r="A925">
        <v>74032</v>
      </c>
      <c r="B925">
        <v>105</v>
      </c>
      <c r="C925" t="s">
        <v>557</v>
      </c>
      <c r="D925" s="452">
        <v>46082</v>
      </c>
      <c r="E925">
        <v>20928</v>
      </c>
      <c r="F925" t="s">
        <v>4950</v>
      </c>
      <c r="G925">
        <v>2033</v>
      </c>
      <c r="H925">
        <v>2.75</v>
      </c>
      <c r="I925" t="s">
        <v>4736</v>
      </c>
      <c r="J925" t="s">
        <v>5191</v>
      </c>
      <c r="K925" t="s">
        <v>460</v>
      </c>
      <c r="L925">
        <v>0</v>
      </c>
      <c r="M925" s="452">
        <v>46042</v>
      </c>
      <c r="N925">
        <v>223</v>
      </c>
      <c r="O925">
        <v>200</v>
      </c>
      <c r="P925">
        <v>613.25</v>
      </c>
    </row>
    <row r="926" spans="1:16" x14ac:dyDescent="0.3">
      <c r="A926">
        <v>73870</v>
      </c>
      <c r="B926">
        <v>105</v>
      </c>
      <c r="C926" t="s">
        <v>557</v>
      </c>
      <c r="D926" s="452">
        <v>46082</v>
      </c>
      <c r="E926">
        <v>17895</v>
      </c>
      <c r="F926" t="s">
        <v>5086</v>
      </c>
      <c r="G926">
        <v>3665</v>
      </c>
      <c r="H926">
        <v>15.83</v>
      </c>
      <c r="I926" t="s">
        <v>4738</v>
      </c>
      <c r="J926" t="s">
        <v>5222</v>
      </c>
      <c r="K926" t="s">
        <v>460</v>
      </c>
      <c r="L926">
        <v>38.43</v>
      </c>
      <c r="M926" s="452">
        <v>46077</v>
      </c>
      <c r="N926">
        <v>38.43</v>
      </c>
      <c r="O926">
        <v>23.06</v>
      </c>
      <c r="P926">
        <v>608.35</v>
      </c>
    </row>
    <row r="927" spans="1:16" x14ac:dyDescent="0.3">
      <c r="A927">
        <v>73889</v>
      </c>
      <c r="B927">
        <v>105</v>
      </c>
      <c r="C927" t="s">
        <v>557</v>
      </c>
      <c r="D927" s="452">
        <v>46082</v>
      </c>
      <c r="E927">
        <v>18179</v>
      </c>
      <c r="F927" t="s">
        <v>4924</v>
      </c>
      <c r="G927">
        <v>3443</v>
      </c>
      <c r="H927">
        <v>5.6</v>
      </c>
      <c r="I927" t="s">
        <v>4805</v>
      </c>
      <c r="J927" t="s">
        <v>5222</v>
      </c>
      <c r="K927" t="s">
        <v>460</v>
      </c>
      <c r="L927">
        <v>0</v>
      </c>
      <c r="M927" s="452">
        <v>46049</v>
      </c>
      <c r="N927">
        <v>107.47</v>
      </c>
      <c r="O927">
        <v>112.05</v>
      </c>
      <c r="P927">
        <v>601.83000000000004</v>
      </c>
    </row>
    <row r="928" spans="1:16" x14ac:dyDescent="0.3">
      <c r="A928">
        <v>74135</v>
      </c>
      <c r="B928">
        <v>105</v>
      </c>
      <c r="C928" t="s">
        <v>557</v>
      </c>
      <c r="D928" s="452">
        <v>46082</v>
      </c>
      <c r="E928">
        <v>26505</v>
      </c>
      <c r="F928" t="s">
        <v>4750</v>
      </c>
      <c r="G928">
        <v>6762</v>
      </c>
      <c r="H928">
        <v>2.7</v>
      </c>
      <c r="I928" t="s">
        <v>4738</v>
      </c>
      <c r="J928" t="s">
        <v>5222</v>
      </c>
      <c r="K928" t="s">
        <v>460</v>
      </c>
      <c r="L928">
        <v>216</v>
      </c>
      <c r="M928" s="452">
        <v>46077</v>
      </c>
      <c r="N928">
        <v>216</v>
      </c>
      <c r="O928">
        <v>216</v>
      </c>
      <c r="P928">
        <v>583.20000000000005</v>
      </c>
    </row>
    <row r="929" spans="1:16" x14ac:dyDescent="0.3">
      <c r="A929">
        <v>74141</v>
      </c>
      <c r="B929">
        <v>105</v>
      </c>
      <c r="C929" t="s">
        <v>557</v>
      </c>
      <c r="D929" s="452">
        <v>46082</v>
      </c>
      <c r="E929">
        <v>27657</v>
      </c>
      <c r="F929" t="s">
        <v>5137</v>
      </c>
      <c r="G929">
        <v>7623</v>
      </c>
      <c r="H929">
        <v>14.49</v>
      </c>
      <c r="I929" t="s">
        <v>4744</v>
      </c>
      <c r="J929" t="s">
        <v>5191</v>
      </c>
      <c r="K929" t="s">
        <v>460</v>
      </c>
      <c r="L929">
        <v>39.71</v>
      </c>
      <c r="M929" s="452">
        <v>46073</v>
      </c>
      <c r="N929">
        <v>39.950000000000003</v>
      </c>
      <c r="O929">
        <v>39.950000000000003</v>
      </c>
      <c r="P929">
        <v>575.4</v>
      </c>
    </row>
    <row r="930" spans="1:16" x14ac:dyDescent="0.3">
      <c r="A930">
        <v>74137</v>
      </c>
      <c r="B930">
        <v>105</v>
      </c>
      <c r="C930" t="s">
        <v>557</v>
      </c>
      <c r="D930" s="452">
        <v>46082</v>
      </c>
      <c r="E930">
        <v>27018</v>
      </c>
      <c r="F930" t="s">
        <v>4737</v>
      </c>
      <c r="G930">
        <v>7070</v>
      </c>
      <c r="H930">
        <v>7</v>
      </c>
      <c r="I930" t="s">
        <v>4738</v>
      </c>
      <c r="J930" t="s">
        <v>5222</v>
      </c>
      <c r="K930" t="s">
        <v>460</v>
      </c>
      <c r="L930">
        <v>0</v>
      </c>
      <c r="M930" s="452">
        <v>45978</v>
      </c>
      <c r="N930">
        <v>79.64</v>
      </c>
      <c r="O930">
        <v>79.64</v>
      </c>
      <c r="P930">
        <v>557.48</v>
      </c>
    </row>
    <row r="931" spans="1:16" x14ac:dyDescent="0.3">
      <c r="A931">
        <v>73920</v>
      </c>
      <c r="B931">
        <v>105</v>
      </c>
      <c r="C931" t="s">
        <v>557</v>
      </c>
      <c r="D931" s="452">
        <v>46082</v>
      </c>
      <c r="E931">
        <v>18632</v>
      </c>
      <c r="F931" t="s">
        <v>5096</v>
      </c>
      <c r="G931">
        <v>3076</v>
      </c>
      <c r="H931">
        <v>3.21</v>
      </c>
      <c r="I931" t="s">
        <v>4749</v>
      </c>
      <c r="J931" t="s">
        <v>5222</v>
      </c>
      <c r="K931" t="s">
        <v>460</v>
      </c>
      <c r="L931">
        <v>169.9</v>
      </c>
      <c r="M931" s="452">
        <v>46077</v>
      </c>
      <c r="N931">
        <v>190.8</v>
      </c>
      <c r="O931">
        <v>190.8</v>
      </c>
      <c r="P931">
        <v>545.38</v>
      </c>
    </row>
    <row r="932" spans="1:16" x14ac:dyDescent="0.3">
      <c r="A932">
        <v>74037</v>
      </c>
      <c r="B932">
        <v>105</v>
      </c>
      <c r="C932" t="s">
        <v>557</v>
      </c>
      <c r="D932" s="452">
        <v>46082</v>
      </c>
      <c r="E932">
        <v>21047</v>
      </c>
      <c r="F932" t="s">
        <v>4847</v>
      </c>
      <c r="G932">
        <v>1999</v>
      </c>
      <c r="H932">
        <v>4.2</v>
      </c>
      <c r="I932" t="s">
        <v>4848</v>
      </c>
      <c r="J932" t="s">
        <v>5191</v>
      </c>
      <c r="K932" t="s">
        <v>460</v>
      </c>
      <c r="L932">
        <v>122.9</v>
      </c>
      <c r="M932" s="452">
        <v>46066</v>
      </c>
      <c r="N932">
        <v>122.9</v>
      </c>
      <c r="O932">
        <v>122.6</v>
      </c>
      <c r="P932">
        <v>516.17999999999995</v>
      </c>
    </row>
    <row r="933" spans="1:16" x14ac:dyDescent="0.3">
      <c r="A933">
        <v>73909</v>
      </c>
      <c r="B933">
        <v>105</v>
      </c>
      <c r="C933" t="s">
        <v>557</v>
      </c>
      <c r="D933" s="452">
        <v>46082</v>
      </c>
      <c r="E933">
        <v>18475</v>
      </c>
      <c r="F933" t="s">
        <v>4895</v>
      </c>
      <c r="G933">
        <v>3181</v>
      </c>
      <c r="H933">
        <v>15.2</v>
      </c>
      <c r="I933" t="s">
        <v>4805</v>
      </c>
      <c r="J933" t="s">
        <v>5222</v>
      </c>
      <c r="K933" t="s">
        <v>460</v>
      </c>
      <c r="L933">
        <v>32.9</v>
      </c>
      <c r="M933" s="452">
        <v>46071</v>
      </c>
      <c r="N933">
        <v>32.9</v>
      </c>
      <c r="O933">
        <v>32.9</v>
      </c>
      <c r="P933">
        <v>500.08</v>
      </c>
    </row>
    <row r="934" spans="1:16" x14ac:dyDescent="0.3">
      <c r="A934">
        <v>73924</v>
      </c>
      <c r="B934">
        <v>105</v>
      </c>
      <c r="C934" t="s">
        <v>557</v>
      </c>
      <c r="D934" s="452">
        <v>46082</v>
      </c>
      <c r="E934">
        <v>18735</v>
      </c>
      <c r="F934" t="s">
        <v>4891</v>
      </c>
      <c r="G934">
        <v>3018</v>
      </c>
      <c r="H934">
        <v>3.4</v>
      </c>
      <c r="I934" t="s">
        <v>4744</v>
      </c>
      <c r="J934" t="s">
        <v>5191</v>
      </c>
      <c r="K934" t="s">
        <v>460</v>
      </c>
      <c r="L934">
        <v>0</v>
      </c>
      <c r="M934" s="452">
        <v>46028</v>
      </c>
      <c r="N934">
        <v>136.80000000000001</v>
      </c>
      <c r="O934">
        <v>136.80000000000001</v>
      </c>
      <c r="P934">
        <v>465.12</v>
      </c>
    </row>
    <row r="935" spans="1:16" x14ac:dyDescent="0.3">
      <c r="A935">
        <v>74124</v>
      </c>
      <c r="B935">
        <v>105</v>
      </c>
      <c r="C935" t="s">
        <v>557</v>
      </c>
      <c r="D935" s="452">
        <v>46082</v>
      </c>
      <c r="E935">
        <v>26014</v>
      </c>
      <c r="F935" t="s">
        <v>5128</v>
      </c>
      <c r="G935">
        <v>3130</v>
      </c>
      <c r="H935">
        <v>2</v>
      </c>
      <c r="I935" t="s">
        <v>4805</v>
      </c>
      <c r="J935" t="s">
        <v>5222</v>
      </c>
      <c r="K935" t="s">
        <v>460</v>
      </c>
      <c r="L935">
        <v>0</v>
      </c>
      <c r="M935" s="452">
        <v>45653</v>
      </c>
      <c r="N935">
        <v>229.9</v>
      </c>
      <c r="O935">
        <v>375.8</v>
      </c>
      <c r="P935">
        <v>459.8</v>
      </c>
    </row>
    <row r="936" spans="1:16" x14ac:dyDescent="0.3">
      <c r="A936">
        <v>74138</v>
      </c>
      <c r="B936">
        <v>105</v>
      </c>
      <c r="C936" t="s">
        <v>557</v>
      </c>
      <c r="D936" s="452">
        <v>46082</v>
      </c>
      <c r="E936">
        <v>27264</v>
      </c>
      <c r="F936" t="s">
        <v>5075</v>
      </c>
      <c r="G936">
        <v>7390</v>
      </c>
      <c r="H936">
        <v>7.6</v>
      </c>
      <c r="I936" t="s">
        <v>4744</v>
      </c>
      <c r="J936" t="s">
        <v>5191</v>
      </c>
      <c r="K936" t="s">
        <v>460</v>
      </c>
      <c r="L936">
        <v>58.98</v>
      </c>
      <c r="M936" s="452">
        <v>46081</v>
      </c>
      <c r="N936">
        <v>61</v>
      </c>
      <c r="O936">
        <v>61</v>
      </c>
      <c r="P936">
        <v>448.25</v>
      </c>
    </row>
    <row r="937" spans="1:16" x14ac:dyDescent="0.3">
      <c r="A937">
        <v>74077</v>
      </c>
      <c r="B937">
        <v>105</v>
      </c>
      <c r="C937" t="s">
        <v>557</v>
      </c>
      <c r="D937" s="452">
        <v>46082</v>
      </c>
      <c r="E937">
        <v>23980</v>
      </c>
      <c r="F937" t="s">
        <v>5097</v>
      </c>
      <c r="G937">
        <v>2154</v>
      </c>
      <c r="H937">
        <v>11.35</v>
      </c>
      <c r="I937" t="s">
        <v>4744</v>
      </c>
      <c r="J937" t="s">
        <v>5191</v>
      </c>
      <c r="K937" t="s">
        <v>460</v>
      </c>
      <c r="L937">
        <v>39</v>
      </c>
      <c r="M937" s="452">
        <v>46069</v>
      </c>
      <c r="N937">
        <v>39</v>
      </c>
      <c r="O937">
        <v>39</v>
      </c>
      <c r="P937">
        <v>442.65</v>
      </c>
    </row>
    <row r="938" spans="1:16" x14ac:dyDescent="0.3">
      <c r="A938">
        <v>73883</v>
      </c>
      <c r="B938">
        <v>105</v>
      </c>
      <c r="C938" t="s">
        <v>557</v>
      </c>
      <c r="D938" s="452">
        <v>46082</v>
      </c>
      <c r="E938">
        <v>18114</v>
      </c>
      <c r="F938" t="s">
        <v>5046</v>
      </c>
      <c r="G938">
        <v>3498</v>
      </c>
      <c r="H938">
        <v>1.55</v>
      </c>
      <c r="I938" t="s">
        <v>4805</v>
      </c>
      <c r="J938" t="s">
        <v>5222</v>
      </c>
      <c r="K938" t="s">
        <v>460</v>
      </c>
      <c r="L938">
        <v>0</v>
      </c>
      <c r="M938" s="452">
        <v>46008</v>
      </c>
      <c r="N938">
        <v>271.2</v>
      </c>
      <c r="O938">
        <v>278</v>
      </c>
      <c r="P938">
        <v>420.36</v>
      </c>
    </row>
    <row r="939" spans="1:16" x14ac:dyDescent="0.3">
      <c r="A939">
        <v>74129</v>
      </c>
      <c r="B939">
        <v>105</v>
      </c>
      <c r="C939" t="s">
        <v>557</v>
      </c>
      <c r="D939" s="452">
        <v>46082</v>
      </c>
      <c r="E939">
        <v>26040</v>
      </c>
      <c r="F939" t="s">
        <v>4812</v>
      </c>
      <c r="G939">
        <v>6507</v>
      </c>
      <c r="H939">
        <v>8.5</v>
      </c>
      <c r="I939" t="s">
        <v>4805</v>
      </c>
      <c r="J939" t="s">
        <v>5222</v>
      </c>
      <c r="K939" t="s">
        <v>460</v>
      </c>
      <c r="L939">
        <v>48.99</v>
      </c>
      <c r="M939" s="452">
        <v>46077</v>
      </c>
      <c r="N939">
        <v>50.53</v>
      </c>
      <c r="O939">
        <v>50.53</v>
      </c>
      <c r="P939">
        <v>416.42</v>
      </c>
    </row>
    <row r="940" spans="1:16" x14ac:dyDescent="0.3">
      <c r="A940">
        <v>74029</v>
      </c>
      <c r="B940">
        <v>105</v>
      </c>
      <c r="C940" t="s">
        <v>557</v>
      </c>
      <c r="D940" s="452">
        <v>46082</v>
      </c>
      <c r="E940">
        <v>20809</v>
      </c>
      <c r="F940" t="s">
        <v>4822</v>
      </c>
      <c r="G940">
        <v>2074</v>
      </c>
      <c r="H940">
        <v>13</v>
      </c>
      <c r="I940" t="s">
        <v>4738</v>
      </c>
      <c r="J940" t="s">
        <v>5191</v>
      </c>
      <c r="K940" t="s">
        <v>460</v>
      </c>
      <c r="L940">
        <v>31.23</v>
      </c>
      <c r="M940" s="452">
        <v>46077</v>
      </c>
      <c r="N940">
        <v>30.83</v>
      </c>
      <c r="O940">
        <v>30.83</v>
      </c>
      <c r="P940">
        <v>405.99</v>
      </c>
    </row>
    <row r="941" spans="1:16" x14ac:dyDescent="0.3">
      <c r="A941">
        <v>73888</v>
      </c>
      <c r="B941">
        <v>105</v>
      </c>
      <c r="C941" t="s">
        <v>557</v>
      </c>
      <c r="D941" s="452">
        <v>46082</v>
      </c>
      <c r="E941">
        <v>18172</v>
      </c>
      <c r="F941" t="s">
        <v>4804</v>
      </c>
      <c r="G941">
        <v>3450</v>
      </c>
      <c r="H941">
        <v>12.89</v>
      </c>
      <c r="I941" t="s">
        <v>4805</v>
      </c>
      <c r="J941" t="s">
        <v>5222</v>
      </c>
      <c r="K941" t="s">
        <v>460</v>
      </c>
      <c r="L941">
        <v>31.4</v>
      </c>
      <c r="M941" s="452">
        <v>46079</v>
      </c>
      <c r="N941">
        <v>31.4</v>
      </c>
      <c r="O941">
        <v>31.4</v>
      </c>
      <c r="P941">
        <v>404.75</v>
      </c>
    </row>
    <row r="942" spans="1:16" x14ac:dyDescent="0.3">
      <c r="A942">
        <v>74057</v>
      </c>
      <c r="B942">
        <v>105</v>
      </c>
      <c r="C942" t="s">
        <v>557</v>
      </c>
      <c r="D942" s="452">
        <v>46082</v>
      </c>
      <c r="E942">
        <v>23268</v>
      </c>
      <c r="F942" t="s">
        <v>4743</v>
      </c>
      <c r="G942">
        <v>2592</v>
      </c>
      <c r="H942">
        <v>91.23</v>
      </c>
      <c r="I942" t="s">
        <v>4744</v>
      </c>
      <c r="J942" t="s">
        <v>5191</v>
      </c>
      <c r="K942" t="s">
        <v>460</v>
      </c>
      <c r="L942">
        <v>0</v>
      </c>
      <c r="M942" s="452">
        <v>45681</v>
      </c>
      <c r="N942">
        <v>4.42</v>
      </c>
      <c r="O942">
        <v>5.0999999999999996</v>
      </c>
      <c r="P942">
        <v>403.24</v>
      </c>
    </row>
    <row r="943" spans="1:16" x14ac:dyDescent="0.3">
      <c r="A943">
        <v>74127</v>
      </c>
      <c r="B943">
        <v>105</v>
      </c>
      <c r="C943" t="s">
        <v>557</v>
      </c>
      <c r="D943" s="452">
        <v>46082</v>
      </c>
      <c r="E943">
        <v>26036</v>
      </c>
      <c r="F943" t="s">
        <v>4841</v>
      </c>
      <c r="G943">
        <v>6505</v>
      </c>
      <c r="H943">
        <v>6</v>
      </c>
      <c r="I943" t="s">
        <v>4805</v>
      </c>
      <c r="J943" t="s">
        <v>5222</v>
      </c>
      <c r="K943" t="s">
        <v>460</v>
      </c>
      <c r="L943">
        <v>0</v>
      </c>
      <c r="M943" s="452">
        <v>46007</v>
      </c>
      <c r="N943">
        <v>65</v>
      </c>
      <c r="O943">
        <v>67</v>
      </c>
      <c r="P943">
        <v>390</v>
      </c>
    </row>
    <row r="944" spans="1:16" x14ac:dyDescent="0.3">
      <c r="A944">
        <v>73928</v>
      </c>
      <c r="B944">
        <v>105</v>
      </c>
      <c r="C944" t="s">
        <v>557</v>
      </c>
      <c r="D944" s="452">
        <v>46082</v>
      </c>
      <c r="E944">
        <v>19041</v>
      </c>
      <c r="F944" t="s">
        <v>4762</v>
      </c>
      <c r="G944">
        <v>2890</v>
      </c>
      <c r="H944">
        <v>26.1</v>
      </c>
      <c r="I944" t="s">
        <v>4744</v>
      </c>
      <c r="J944" t="s">
        <v>5191</v>
      </c>
      <c r="K944" t="s">
        <v>460</v>
      </c>
      <c r="L944">
        <v>14.9</v>
      </c>
      <c r="M944" s="452">
        <v>46066</v>
      </c>
      <c r="N944">
        <v>14.9</v>
      </c>
      <c r="O944">
        <v>14.9</v>
      </c>
      <c r="P944">
        <v>388.89</v>
      </c>
    </row>
    <row r="945" spans="1:16" x14ac:dyDescent="0.3">
      <c r="A945">
        <v>73905</v>
      </c>
      <c r="B945">
        <v>105</v>
      </c>
      <c r="C945" t="s">
        <v>557</v>
      </c>
      <c r="D945" s="452">
        <v>46082</v>
      </c>
      <c r="E945">
        <v>18359</v>
      </c>
      <c r="F945" t="s">
        <v>4921</v>
      </c>
      <c r="G945">
        <v>3278</v>
      </c>
      <c r="H945">
        <v>3.81</v>
      </c>
      <c r="I945" t="s">
        <v>4805</v>
      </c>
      <c r="J945" t="s">
        <v>5222</v>
      </c>
      <c r="K945" t="s">
        <v>460</v>
      </c>
      <c r="L945">
        <v>95.9</v>
      </c>
      <c r="M945" s="452">
        <v>46072</v>
      </c>
      <c r="N945">
        <v>95.9</v>
      </c>
      <c r="O945">
        <v>94.8</v>
      </c>
      <c r="P945">
        <v>365.38</v>
      </c>
    </row>
    <row r="946" spans="1:16" x14ac:dyDescent="0.3">
      <c r="A946">
        <v>74014</v>
      </c>
      <c r="B946">
        <v>105</v>
      </c>
      <c r="C946" t="s">
        <v>557</v>
      </c>
      <c r="D946" s="452">
        <v>46082</v>
      </c>
      <c r="E946">
        <v>20549</v>
      </c>
      <c r="F946" t="s">
        <v>4823</v>
      </c>
      <c r="G946">
        <v>2141</v>
      </c>
      <c r="H946">
        <v>16.899999999999999</v>
      </c>
      <c r="I946" t="s">
        <v>4744</v>
      </c>
      <c r="J946" t="s">
        <v>5191</v>
      </c>
      <c r="K946" t="s">
        <v>460</v>
      </c>
      <c r="L946">
        <v>19.989999999999998</v>
      </c>
      <c r="M946" s="452">
        <v>46071</v>
      </c>
      <c r="N946">
        <v>19.989999999999998</v>
      </c>
      <c r="O946">
        <v>19.989999999999998</v>
      </c>
      <c r="P946">
        <v>337.83</v>
      </c>
    </row>
    <row r="947" spans="1:16" x14ac:dyDescent="0.3">
      <c r="A947">
        <v>73901</v>
      </c>
      <c r="B947">
        <v>105</v>
      </c>
      <c r="C947" t="s">
        <v>557</v>
      </c>
      <c r="D947" s="452">
        <v>46082</v>
      </c>
      <c r="E947">
        <v>18315</v>
      </c>
      <c r="F947" t="s">
        <v>4922</v>
      </c>
      <c r="G947">
        <v>3318</v>
      </c>
      <c r="H947">
        <v>2.7</v>
      </c>
      <c r="I947" t="s">
        <v>4805</v>
      </c>
      <c r="J947" t="s">
        <v>5222</v>
      </c>
      <c r="K947" t="s">
        <v>460</v>
      </c>
      <c r="L947">
        <v>0</v>
      </c>
      <c r="M947" s="452">
        <v>46010</v>
      </c>
      <c r="N947">
        <v>124</v>
      </c>
      <c r="O947">
        <v>133</v>
      </c>
      <c r="P947">
        <v>334.8</v>
      </c>
    </row>
    <row r="948" spans="1:16" x14ac:dyDescent="0.3">
      <c r="A948">
        <v>74084</v>
      </c>
      <c r="B948">
        <v>105</v>
      </c>
      <c r="C948" t="s">
        <v>557</v>
      </c>
      <c r="D948" s="452">
        <v>46082</v>
      </c>
      <c r="E948">
        <v>24142</v>
      </c>
      <c r="F948" t="s">
        <v>5090</v>
      </c>
      <c r="G948">
        <v>3085</v>
      </c>
      <c r="H948">
        <v>3</v>
      </c>
      <c r="I948" t="s">
        <v>4749</v>
      </c>
      <c r="J948" t="s">
        <v>5222</v>
      </c>
      <c r="K948" t="s">
        <v>460</v>
      </c>
      <c r="L948">
        <v>110.74</v>
      </c>
      <c r="M948" s="452">
        <v>46062</v>
      </c>
      <c r="N948">
        <v>110.74</v>
      </c>
      <c r="O948">
        <v>161.54</v>
      </c>
      <c r="P948">
        <v>332.22</v>
      </c>
    </row>
    <row r="949" spans="1:16" x14ac:dyDescent="0.3">
      <c r="A949">
        <v>74090</v>
      </c>
      <c r="B949">
        <v>105</v>
      </c>
      <c r="C949" t="s">
        <v>557</v>
      </c>
      <c r="D949" s="452">
        <v>46082</v>
      </c>
      <c r="E949">
        <v>24259</v>
      </c>
      <c r="F949" t="s">
        <v>4875</v>
      </c>
      <c r="G949">
        <v>2938</v>
      </c>
      <c r="H949">
        <v>4.2</v>
      </c>
      <c r="I949" t="s">
        <v>4744</v>
      </c>
      <c r="J949" t="s">
        <v>5191</v>
      </c>
      <c r="K949" t="s">
        <v>460</v>
      </c>
      <c r="L949">
        <v>79.06</v>
      </c>
      <c r="M949" s="452">
        <v>46078</v>
      </c>
      <c r="N949">
        <v>80.239999999999995</v>
      </c>
      <c r="O949">
        <v>78.08</v>
      </c>
      <c r="P949">
        <v>332.05</v>
      </c>
    </row>
    <row r="950" spans="1:16" x14ac:dyDescent="0.3">
      <c r="A950">
        <v>74130</v>
      </c>
      <c r="B950">
        <v>105</v>
      </c>
      <c r="C950" t="s">
        <v>557</v>
      </c>
      <c r="D950" s="452">
        <v>46082</v>
      </c>
      <c r="E950">
        <v>26044</v>
      </c>
      <c r="F950" t="s">
        <v>4843</v>
      </c>
      <c r="G950">
        <v>6509</v>
      </c>
      <c r="H950">
        <v>5</v>
      </c>
      <c r="I950" t="s">
        <v>4805</v>
      </c>
      <c r="J950" t="s">
        <v>5222</v>
      </c>
      <c r="K950" t="s">
        <v>460</v>
      </c>
      <c r="L950">
        <v>0</v>
      </c>
      <c r="M950" s="452">
        <v>45987</v>
      </c>
      <c r="N950">
        <v>65</v>
      </c>
      <c r="O950">
        <v>69.680000000000007</v>
      </c>
      <c r="P950">
        <v>325</v>
      </c>
    </row>
    <row r="951" spans="1:16" x14ac:dyDescent="0.3">
      <c r="A951">
        <v>74101</v>
      </c>
      <c r="B951">
        <v>105</v>
      </c>
      <c r="C951" t="s">
        <v>557</v>
      </c>
      <c r="D951" s="452">
        <v>46082</v>
      </c>
      <c r="E951">
        <v>24614</v>
      </c>
      <c r="F951" t="s">
        <v>4897</v>
      </c>
      <c r="G951">
        <v>3855</v>
      </c>
      <c r="H951">
        <v>4</v>
      </c>
      <c r="I951" t="s">
        <v>4805</v>
      </c>
      <c r="J951" t="s">
        <v>5222</v>
      </c>
      <c r="K951" t="s">
        <v>460</v>
      </c>
      <c r="L951">
        <v>0</v>
      </c>
      <c r="M951" s="452">
        <v>46007</v>
      </c>
      <c r="N951">
        <v>79.3</v>
      </c>
      <c r="O951">
        <v>79.3</v>
      </c>
      <c r="P951">
        <v>317.2</v>
      </c>
    </row>
    <row r="952" spans="1:16" x14ac:dyDescent="0.3">
      <c r="A952">
        <v>73984</v>
      </c>
      <c r="B952">
        <v>105</v>
      </c>
      <c r="C952" t="s">
        <v>557</v>
      </c>
      <c r="D952" s="452">
        <v>46082</v>
      </c>
      <c r="E952">
        <v>19895</v>
      </c>
      <c r="F952" t="s">
        <v>5080</v>
      </c>
      <c r="G952">
        <v>2385</v>
      </c>
      <c r="H952">
        <v>3</v>
      </c>
      <c r="I952" t="s">
        <v>4888</v>
      </c>
      <c r="J952" t="s">
        <v>5191</v>
      </c>
      <c r="K952" t="s">
        <v>460</v>
      </c>
      <c r="L952">
        <v>0</v>
      </c>
      <c r="M952" s="452">
        <v>45887</v>
      </c>
      <c r="N952">
        <v>99.99</v>
      </c>
      <c r="O952">
        <v>32</v>
      </c>
      <c r="P952">
        <v>299.97000000000003</v>
      </c>
    </row>
    <row r="953" spans="1:16" x14ac:dyDescent="0.3">
      <c r="A953">
        <v>74078</v>
      </c>
      <c r="B953">
        <v>105</v>
      </c>
      <c r="C953" t="s">
        <v>557</v>
      </c>
      <c r="D953" s="452">
        <v>46082</v>
      </c>
      <c r="E953">
        <v>24081</v>
      </c>
      <c r="F953" t="s">
        <v>4834</v>
      </c>
      <c r="G953">
        <v>3034</v>
      </c>
      <c r="H953">
        <v>12.6</v>
      </c>
      <c r="I953" t="s">
        <v>4744</v>
      </c>
      <c r="J953" t="s">
        <v>5191</v>
      </c>
      <c r="K953" t="s">
        <v>460</v>
      </c>
      <c r="L953">
        <v>23.8</v>
      </c>
      <c r="M953" s="452">
        <v>46076</v>
      </c>
      <c r="N953">
        <v>23.8</v>
      </c>
      <c r="O953">
        <v>23.8</v>
      </c>
      <c r="P953">
        <v>299.88</v>
      </c>
    </row>
    <row r="954" spans="1:16" x14ac:dyDescent="0.3">
      <c r="A954">
        <v>73913</v>
      </c>
      <c r="B954">
        <v>105</v>
      </c>
      <c r="C954" t="s">
        <v>557</v>
      </c>
      <c r="D954" s="452">
        <v>46082</v>
      </c>
      <c r="E954">
        <v>18518</v>
      </c>
      <c r="F954" t="s">
        <v>4838</v>
      </c>
      <c r="G954">
        <v>3148</v>
      </c>
      <c r="H954">
        <v>6.2</v>
      </c>
      <c r="I954" t="s">
        <v>4805</v>
      </c>
      <c r="J954" t="s">
        <v>5222</v>
      </c>
      <c r="K954" t="s">
        <v>460</v>
      </c>
      <c r="L954">
        <v>46.51</v>
      </c>
      <c r="M954" s="452">
        <v>46079</v>
      </c>
      <c r="N954">
        <v>46.51</v>
      </c>
      <c r="O954">
        <v>46.51</v>
      </c>
      <c r="P954">
        <v>288.36</v>
      </c>
    </row>
    <row r="955" spans="1:16" x14ac:dyDescent="0.3">
      <c r="A955">
        <v>73912</v>
      </c>
      <c r="B955">
        <v>105</v>
      </c>
      <c r="C955" t="s">
        <v>557</v>
      </c>
      <c r="D955" s="452">
        <v>46082</v>
      </c>
      <c r="E955">
        <v>18502</v>
      </c>
      <c r="F955" t="s">
        <v>4893</v>
      </c>
      <c r="G955">
        <v>3155</v>
      </c>
      <c r="H955">
        <v>4.8099999999999996</v>
      </c>
      <c r="I955" t="s">
        <v>4805</v>
      </c>
      <c r="J955" t="s">
        <v>5222</v>
      </c>
      <c r="K955" t="s">
        <v>460</v>
      </c>
      <c r="L955">
        <v>0</v>
      </c>
      <c r="M955" s="452">
        <v>46050</v>
      </c>
      <c r="N955">
        <v>59.7</v>
      </c>
      <c r="O955">
        <v>59.7</v>
      </c>
      <c r="P955">
        <v>287.16000000000003</v>
      </c>
    </row>
    <row r="956" spans="1:16" x14ac:dyDescent="0.3">
      <c r="A956">
        <v>74013</v>
      </c>
      <c r="B956">
        <v>105</v>
      </c>
      <c r="C956" t="s">
        <v>557</v>
      </c>
      <c r="D956" s="452">
        <v>46082</v>
      </c>
      <c r="E956">
        <v>20521</v>
      </c>
      <c r="F956" t="s">
        <v>4797</v>
      </c>
      <c r="G956">
        <v>2149</v>
      </c>
      <c r="H956">
        <v>12.9</v>
      </c>
      <c r="I956" t="s">
        <v>4744</v>
      </c>
      <c r="J956" t="s">
        <v>5191</v>
      </c>
      <c r="K956" t="s">
        <v>460</v>
      </c>
      <c r="L956">
        <v>0</v>
      </c>
      <c r="M956" s="452">
        <v>45936</v>
      </c>
      <c r="N956">
        <v>21.99</v>
      </c>
      <c r="O956">
        <v>21.99</v>
      </c>
      <c r="P956">
        <v>283.67</v>
      </c>
    </row>
    <row r="957" spans="1:16" x14ac:dyDescent="0.3">
      <c r="A957">
        <v>73871</v>
      </c>
      <c r="B957">
        <v>105</v>
      </c>
      <c r="C957" t="s">
        <v>557</v>
      </c>
      <c r="D957" s="452">
        <v>46082</v>
      </c>
      <c r="E957">
        <v>17903</v>
      </c>
      <c r="F957" t="s">
        <v>5084</v>
      </c>
      <c r="G957">
        <v>3658</v>
      </c>
      <c r="H957">
        <v>13.83</v>
      </c>
      <c r="I957" t="s">
        <v>4738</v>
      </c>
      <c r="J957" t="s">
        <v>5222</v>
      </c>
      <c r="K957" t="s">
        <v>460</v>
      </c>
      <c r="L957">
        <v>0</v>
      </c>
      <c r="M957" s="452">
        <v>46041</v>
      </c>
      <c r="N957">
        <v>19.97</v>
      </c>
      <c r="O957">
        <v>23.06</v>
      </c>
      <c r="P957">
        <v>276.19</v>
      </c>
    </row>
    <row r="958" spans="1:16" x14ac:dyDescent="0.3">
      <c r="A958">
        <v>73931</v>
      </c>
      <c r="B958">
        <v>105</v>
      </c>
      <c r="C958" t="s">
        <v>557</v>
      </c>
      <c r="D958" s="452">
        <v>46082</v>
      </c>
      <c r="E958">
        <v>19291</v>
      </c>
      <c r="F958" t="s">
        <v>4870</v>
      </c>
      <c r="G958">
        <v>2775</v>
      </c>
      <c r="H958">
        <v>3.4</v>
      </c>
      <c r="I958" t="s">
        <v>4744</v>
      </c>
      <c r="J958" t="s">
        <v>5191</v>
      </c>
      <c r="K958" t="s">
        <v>460</v>
      </c>
      <c r="L958">
        <v>0</v>
      </c>
      <c r="M958" s="452">
        <v>46045</v>
      </c>
      <c r="N958">
        <v>78.900000000000006</v>
      </c>
      <c r="O958">
        <v>70.91</v>
      </c>
      <c r="P958">
        <v>268.26</v>
      </c>
    </row>
    <row r="959" spans="1:16" x14ac:dyDescent="0.3">
      <c r="A959">
        <v>73899</v>
      </c>
      <c r="B959">
        <v>105</v>
      </c>
      <c r="C959" t="s">
        <v>557</v>
      </c>
      <c r="D959" s="452">
        <v>46082</v>
      </c>
      <c r="E959">
        <v>18295</v>
      </c>
      <c r="F959" t="s">
        <v>4968</v>
      </c>
      <c r="G959">
        <v>3334</v>
      </c>
      <c r="H959">
        <v>2.12</v>
      </c>
      <c r="I959" t="s">
        <v>4805</v>
      </c>
      <c r="J959" t="s">
        <v>5222</v>
      </c>
      <c r="K959" t="s">
        <v>460</v>
      </c>
      <c r="L959">
        <v>0</v>
      </c>
      <c r="M959" s="452">
        <v>45979</v>
      </c>
      <c r="N959">
        <v>124.54</v>
      </c>
      <c r="O959">
        <v>125</v>
      </c>
      <c r="P959">
        <v>264.02</v>
      </c>
    </row>
    <row r="960" spans="1:16" x14ac:dyDescent="0.3">
      <c r="A960">
        <v>73978</v>
      </c>
      <c r="B960">
        <v>105</v>
      </c>
      <c r="C960" t="s">
        <v>557</v>
      </c>
      <c r="D960" s="452">
        <v>46082</v>
      </c>
      <c r="E960">
        <v>19740</v>
      </c>
      <c r="F960" t="s">
        <v>4779</v>
      </c>
      <c r="G960">
        <v>2513</v>
      </c>
      <c r="H960">
        <v>22.4</v>
      </c>
      <c r="I960" t="s">
        <v>4744</v>
      </c>
      <c r="J960" t="s">
        <v>5191</v>
      </c>
      <c r="K960" t="s">
        <v>460</v>
      </c>
      <c r="L960">
        <v>11.72</v>
      </c>
      <c r="M960" s="452">
        <v>46079</v>
      </c>
      <c r="N960">
        <v>15</v>
      </c>
      <c r="O960">
        <v>14.5</v>
      </c>
      <c r="P960">
        <v>262.52999999999997</v>
      </c>
    </row>
    <row r="961" spans="1:16" x14ac:dyDescent="0.3">
      <c r="A961">
        <v>74105</v>
      </c>
      <c r="B961">
        <v>105</v>
      </c>
      <c r="C961" t="s">
        <v>557</v>
      </c>
      <c r="D961" s="452">
        <v>46082</v>
      </c>
      <c r="E961">
        <v>25050</v>
      </c>
      <c r="F961" t="s">
        <v>5110</v>
      </c>
      <c r="G961">
        <v>2763</v>
      </c>
      <c r="H961">
        <v>3.2</v>
      </c>
      <c r="I961" t="s">
        <v>4744</v>
      </c>
      <c r="J961" t="s">
        <v>5191</v>
      </c>
      <c r="K961" t="s">
        <v>460</v>
      </c>
      <c r="L961">
        <v>81.900000000000006</v>
      </c>
      <c r="M961" s="452">
        <v>46070</v>
      </c>
      <c r="N961">
        <v>81.900000000000006</v>
      </c>
      <c r="O961">
        <v>81.900000000000006</v>
      </c>
      <c r="P961">
        <v>262.08</v>
      </c>
    </row>
    <row r="962" spans="1:16" x14ac:dyDescent="0.3">
      <c r="A962">
        <v>73869</v>
      </c>
      <c r="B962">
        <v>105</v>
      </c>
      <c r="C962" t="s">
        <v>557</v>
      </c>
      <c r="D962" s="452">
        <v>46082</v>
      </c>
      <c r="E962">
        <v>17886</v>
      </c>
      <c r="F962" t="s">
        <v>5083</v>
      </c>
      <c r="G962">
        <v>3670</v>
      </c>
      <c r="H962">
        <v>9.08</v>
      </c>
      <c r="I962" t="s">
        <v>4738</v>
      </c>
      <c r="J962" t="s">
        <v>5222</v>
      </c>
      <c r="K962" t="s">
        <v>460</v>
      </c>
      <c r="L962">
        <v>28.32</v>
      </c>
      <c r="M962" s="452">
        <v>46077</v>
      </c>
      <c r="N962">
        <v>28.32</v>
      </c>
      <c r="O962">
        <v>25.69</v>
      </c>
      <c r="P962">
        <v>257.14999999999998</v>
      </c>
    </row>
    <row r="963" spans="1:16" x14ac:dyDescent="0.3">
      <c r="A963">
        <v>73872</v>
      </c>
      <c r="B963">
        <v>105</v>
      </c>
      <c r="C963" t="s">
        <v>557</v>
      </c>
      <c r="D963" s="452">
        <v>46082</v>
      </c>
      <c r="E963">
        <v>17905</v>
      </c>
      <c r="F963" t="s">
        <v>5085</v>
      </c>
      <c r="G963">
        <v>3656</v>
      </c>
      <c r="H963">
        <v>10</v>
      </c>
      <c r="I963" t="s">
        <v>4738</v>
      </c>
      <c r="J963" t="s">
        <v>5222</v>
      </c>
      <c r="K963" t="s">
        <v>460</v>
      </c>
      <c r="L963">
        <v>25.53</v>
      </c>
      <c r="M963" s="452">
        <v>46077</v>
      </c>
      <c r="N963">
        <v>25.53</v>
      </c>
      <c r="O963">
        <v>22.75</v>
      </c>
      <c r="P963">
        <v>255.3</v>
      </c>
    </row>
    <row r="964" spans="1:16" x14ac:dyDescent="0.3">
      <c r="A964">
        <v>73863</v>
      </c>
      <c r="B964">
        <v>105</v>
      </c>
      <c r="C964" t="s">
        <v>557</v>
      </c>
      <c r="D964" s="452">
        <v>46082</v>
      </c>
      <c r="E964">
        <v>17062</v>
      </c>
      <c r="F964" t="s">
        <v>4880</v>
      </c>
      <c r="G964">
        <v>1954</v>
      </c>
      <c r="H964">
        <v>2</v>
      </c>
      <c r="I964" t="s">
        <v>4879</v>
      </c>
      <c r="J964" t="s">
        <v>5191</v>
      </c>
      <c r="K964" t="s">
        <v>460</v>
      </c>
      <c r="L964">
        <v>0</v>
      </c>
      <c r="M964" s="452">
        <v>46031</v>
      </c>
      <c r="N964">
        <v>126.03</v>
      </c>
      <c r="O964">
        <v>126.03</v>
      </c>
      <c r="P964">
        <v>252.06</v>
      </c>
    </row>
    <row r="965" spans="1:16" x14ac:dyDescent="0.3">
      <c r="A965">
        <v>74092</v>
      </c>
      <c r="B965">
        <v>105</v>
      </c>
      <c r="C965" t="s">
        <v>557</v>
      </c>
      <c r="D965" s="452">
        <v>46082</v>
      </c>
      <c r="E965">
        <v>24320</v>
      </c>
      <c r="F965" t="s">
        <v>4861</v>
      </c>
      <c r="G965">
        <v>2942</v>
      </c>
      <c r="H965">
        <v>7</v>
      </c>
      <c r="I965" t="s">
        <v>4744</v>
      </c>
      <c r="J965" t="s">
        <v>5191</v>
      </c>
      <c r="K965" t="s">
        <v>460</v>
      </c>
      <c r="L965">
        <v>35.9</v>
      </c>
      <c r="M965" s="452">
        <v>46078</v>
      </c>
      <c r="N965">
        <v>35.9</v>
      </c>
      <c r="O965">
        <v>35.9</v>
      </c>
      <c r="P965">
        <v>251.3</v>
      </c>
    </row>
    <row r="966" spans="1:16" x14ac:dyDescent="0.3">
      <c r="A966">
        <v>73879</v>
      </c>
      <c r="B966">
        <v>105</v>
      </c>
      <c r="C966" t="s">
        <v>557</v>
      </c>
      <c r="D966" s="452">
        <v>46082</v>
      </c>
      <c r="E966">
        <v>18030</v>
      </c>
      <c r="F966" t="s">
        <v>4840</v>
      </c>
      <c r="G966">
        <v>3568</v>
      </c>
      <c r="H966">
        <v>8.5500000000000007</v>
      </c>
      <c r="I966" t="s">
        <v>4805</v>
      </c>
      <c r="J966" t="s">
        <v>5222</v>
      </c>
      <c r="K966" t="s">
        <v>460</v>
      </c>
      <c r="L966">
        <v>28.4</v>
      </c>
      <c r="M966" s="452">
        <v>46078</v>
      </c>
      <c r="N966">
        <v>27.99</v>
      </c>
      <c r="O966">
        <v>27.99</v>
      </c>
      <c r="P966">
        <v>242.82</v>
      </c>
    </row>
    <row r="967" spans="1:16" x14ac:dyDescent="0.3">
      <c r="A967">
        <v>73910</v>
      </c>
      <c r="B967">
        <v>105</v>
      </c>
      <c r="C967" t="s">
        <v>557</v>
      </c>
      <c r="D967" s="452">
        <v>46082</v>
      </c>
      <c r="E967">
        <v>18477</v>
      </c>
      <c r="F967" t="s">
        <v>4920</v>
      </c>
      <c r="G967">
        <v>3179</v>
      </c>
      <c r="H967">
        <v>5.4</v>
      </c>
      <c r="I967" t="s">
        <v>4805</v>
      </c>
      <c r="J967" t="s">
        <v>5222</v>
      </c>
      <c r="K967" t="s">
        <v>460</v>
      </c>
      <c r="L967">
        <v>0</v>
      </c>
      <c r="M967" s="452">
        <v>46047</v>
      </c>
      <c r="N967">
        <v>43.9</v>
      </c>
      <c r="O967">
        <v>43.9</v>
      </c>
      <c r="P967">
        <v>237.06</v>
      </c>
    </row>
    <row r="968" spans="1:16" x14ac:dyDescent="0.3">
      <c r="A968">
        <v>73887</v>
      </c>
      <c r="B968">
        <v>105</v>
      </c>
      <c r="C968" t="s">
        <v>557</v>
      </c>
      <c r="D968" s="452">
        <v>46082</v>
      </c>
      <c r="E968">
        <v>18157</v>
      </c>
      <c r="F968" t="s">
        <v>5041</v>
      </c>
      <c r="G968">
        <v>3463</v>
      </c>
      <c r="H968">
        <v>1.3</v>
      </c>
      <c r="I968" t="s">
        <v>4805</v>
      </c>
      <c r="J968" t="s">
        <v>5222</v>
      </c>
      <c r="K968" t="s">
        <v>460</v>
      </c>
      <c r="L968">
        <v>0</v>
      </c>
      <c r="M968" s="452">
        <v>46027</v>
      </c>
      <c r="N968">
        <v>179.29</v>
      </c>
      <c r="O968">
        <v>195.23</v>
      </c>
      <c r="P968">
        <v>233.08</v>
      </c>
    </row>
    <row r="969" spans="1:16" x14ac:dyDescent="0.3">
      <c r="A969">
        <v>73861</v>
      </c>
      <c r="B969">
        <v>105</v>
      </c>
      <c r="C969" t="s">
        <v>557</v>
      </c>
      <c r="D969" s="452">
        <v>46082</v>
      </c>
      <c r="E969">
        <v>16973</v>
      </c>
      <c r="F969" t="s">
        <v>4827</v>
      </c>
      <c r="G969">
        <v>3710</v>
      </c>
      <c r="H969">
        <v>6</v>
      </c>
      <c r="I969" t="s">
        <v>4749</v>
      </c>
      <c r="J969" t="s">
        <v>5222</v>
      </c>
      <c r="K969" t="s">
        <v>460</v>
      </c>
      <c r="L969">
        <v>0</v>
      </c>
      <c r="M969" s="452">
        <v>45740</v>
      </c>
      <c r="N969">
        <v>0</v>
      </c>
      <c r="O969">
        <v>135</v>
      </c>
      <c r="P969">
        <v>228</v>
      </c>
    </row>
    <row r="970" spans="1:16" x14ac:dyDescent="0.3">
      <c r="A970">
        <v>74043</v>
      </c>
      <c r="B970">
        <v>105</v>
      </c>
      <c r="C970" t="s">
        <v>557</v>
      </c>
      <c r="D970" s="452">
        <v>46082</v>
      </c>
      <c r="E970">
        <v>21150</v>
      </c>
      <c r="F970" t="s">
        <v>4878</v>
      </c>
      <c r="G970">
        <v>1951</v>
      </c>
      <c r="H970">
        <v>2</v>
      </c>
      <c r="I970" t="s">
        <v>4879</v>
      </c>
      <c r="J970" t="s">
        <v>5191</v>
      </c>
      <c r="K970" t="s">
        <v>460</v>
      </c>
      <c r="L970">
        <v>0</v>
      </c>
      <c r="M970" s="452">
        <v>46031</v>
      </c>
      <c r="N970">
        <v>113.31</v>
      </c>
      <c r="O970">
        <v>126.03</v>
      </c>
      <c r="P970">
        <v>226.62</v>
      </c>
    </row>
    <row r="971" spans="1:16" x14ac:dyDescent="0.3">
      <c r="A971">
        <v>74113</v>
      </c>
      <c r="B971">
        <v>105</v>
      </c>
      <c r="C971" t="s">
        <v>557</v>
      </c>
      <c r="D971" s="452">
        <v>46082</v>
      </c>
      <c r="E971">
        <v>25702</v>
      </c>
      <c r="F971" t="s">
        <v>5135</v>
      </c>
      <c r="G971">
        <v>6263</v>
      </c>
      <c r="H971">
        <v>3</v>
      </c>
      <c r="I971" t="s">
        <v>4805</v>
      </c>
      <c r="J971" t="s">
        <v>5222</v>
      </c>
      <c r="K971" t="s">
        <v>460</v>
      </c>
      <c r="L971">
        <v>75.400000000000006</v>
      </c>
      <c r="M971" s="452">
        <v>46063</v>
      </c>
      <c r="N971">
        <v>75.400000000000006</v>
      </c>
      <c r="O971">
        <v>75.400000000000006</v>
      </c>
      <c r="P971">
        <v>226.2</v>
      </c>
    </row>
    <row r="972" spans="1:16" x14ac:dyDescent="0.3">
      <c r="A972">
        <v>73882</v>
      </c>
      <c r="B972">
        <v>105</v>
      </c>
      <c r="C972" t="s">
        <v>557</v>
      </c>
      <c r="D972" s="452">
        <v>46082</v>
      </c>
      <c r="E972">
        <v>18111</v>
      </c>
      <c r="F972" t="s">
        <v>5049</v>
      </c>
      <c r="G972">
        <v>3500</v>
      </c>
      <c r="H972">
        <v>2.56</v>
      </c>
      <c r="I972" t="s">
        <v>4805</v>
      </c>
      <c r="J972" t="s">
        <v>5222</v>
      </c>
      <c r="K972" t="s">
        <v>460</v>
      </c>
      <c r="L972">
        <v>0</v>
      </c>
      <c r="M972" s="452">
        <v>46045</v>
      </c>
      <c r="N972">
        <v>88.19</v>
      </c>
      <c r="O972">
        <v>91.9</v>
      </c>
      <c r="P972">
        <v>225.77</v>
      </c>
    </row>
    <row r="973" spans="1:16" x14ac:dyDescent="0.3">
      <c r="A973">
        <v>74065</v>
      </c>
      <c r="B973">
        <v>105</v>
      </c>
      <c r="C973" t="s">
        <v>557</v>
      </c>
      <c r="D973" s="452">
        <v>46082</v>
      </c>
      <c r="E973">
        <v>23494</v>
      </c>
      <c r="F973" t="s">
        <v>4991</v>
      </c>
      <c r="G973">
        <v>2375</v>
      </c>
      <c r="H973">
        <v>2.89</v>
      </c>
      <c r="I973" t="s">
        <v>4744</v>
      </c>
      <c r="J973" t="s">
        <v>5191</v>
      </c>
      <c r="K973" t="s">
        <v>460</v>
      </c>
      <c r="L973">
        <v>0</v>
      </c>
      <c r="M973" s="452">
        <v>45908</v>
      </c>
      <c r="N973">
        <v>78</v>
      </c>
      <c r="O973">
        <v>78.900000000000006</v>
      </c>
      <c r="P973">
        <v>225.42</v>
      </c>
    </row>
    <row r="974" spans="1:16" x14ac:dyDescent="0.3">
      <c r="A974">
        <v>73925</v>
      </c>
      <c r="B974">
        <v>105</v>
      </c>
      <c r="C974" t="s">
        <v>557</v>
      </c>
      <c r="D974" s="452">
        <v>46082</v>
      </c>
      <c r="E974">
        <v>18991</v>
      </c>
      <c r="F974" t="s">
        <v>4815</v>
      </c>
      <c r="G974">
        <v>2900</v>
      </c>
      <c r="H974">
        <v>5.3</v>
      </c>
      <c r="I974" t="s">
        <v>4744</v>
      </c>
      <c r="J974" t="s">
        <v>5191</v>
      </c>
      <c r="K974" t="s">
        <v>460</v>
      </c>
      <c r="L974">
        <v>0</v>
      </c>
      <c r="M974" s="452">
        <v>46036</v>
      </c>
      <c r="N974">
        <v>42.42</v>
      </c>
      <c r="O974">
        <v>42.42</v>
      </c>
      <c r="P974">
        <v>224.83</v>
      </c>
    </row>
    <row r="975" spans="1:16" x14ac:dyDescent="0.3">
      <c r="A975">
        <v>73950</v>
      </c>
      <c r="B975">
        <v>105</v>
      </c>
      <c r="C975" t="s">
        <v>557</v>
      </c>
      <c r="D975" s="452">
        <v>46082</v>
      </c>
      <c r="E975">
        <v>19532</v>
      </c>
      <c r="F975" t="s">
        <v>4753</v>
      </c>
      <c r="G975">
        <v>2683</v>
      </c>
      <c r="H975">
        <v>34</v>
      </c>
      <c r="I975" t="s">
        <v>4744</v>
      </c>
      <c r="J975" t="s">
        <v>5191</v>
      </c>
      <c r="K975" t="s">
        <v>460</v>
      </c>
      <c r="L975">
        <v>6.61</v>
      </c>
      <c r="M975" s="452">
        <v>46081</v>
      </c>
      <c r="N975">
        <v>6.82</v>
      </c>
      <c r="O975">
        <v>6.82</v>
      </c>
      <c r="P975">
        <v>224.74</v>
      </c>
    </row>
    <row r="976" spans="1:16" x14ac:dyDescent="0.3">
      <c r="A976">
        <v>73911</v>
      </c>
      <c r="B976">
        <v>105</v>
      </c>
      <c r="C976" t="s">
        <v>557</v>
      </c>
      <c r="D976" s="452">
        <v>46082</v>
      </c>
      <c r="E976">
        <v>18491</v>
      </c>
      <c r="F976" t="s">
        <v>4839</v>
      </c>
      <c r="G976">
        <v>3166</v>
      </c>
      <c r="H976">
        <v>6.25</v>
      </c>
      <c r="I976" t="s">
        <v>4805</v>
      </c>
      <c r="J976" t="s">
        <v>5222</v>
      </c>
      <c r="K976" t="s">
        <v>460</v>
      </c>
      <c r="L976">
        <v>0</v>
      </c>
      <c r="M976" s="452">
        <v>45555</v>
      </c>
      <c r="N976">
        <v>35.9</v>
      </c>
      <c r="O976">
        <v>33.9</v>
      </c>
      <c r="P976">
        <v>224.38</v>
      </c>
    </row>
    <row r="977" spans="1:16" x14ac:dyDescent="0.3">
      <c r="A977">
        <v>74063</v>
      </c>
      <c r="B977">
        <v>105</v>
      </c>
      <c r="C977" t="s">
        <v>557</v>
      </c>
      <c r="D977" s="452">
        <v>46082</v>
      </c>
      <c r="E977">
        <v>23385</v>
      </c>
      <c r="F977" t="s">
        <v>4938</v>
      </c>
      <c r="G977">
        <v>2479</v>
      </c>
      <c r="H977">
        <v>7</v>
      </c>
      <c r="I977" t="s">
        <v>4744</v>
      </c>
      <c r="J977" t="s">
        <v>5191</v>
      </c>
      <c r="K977" t="s">
        <v>460</v>
      </c>
      <c r="L977">
        <v>31.72</v>
      </c>
      <c r="M977" s="452">
        <v>46079</v>
      </c>
      <c r="N977">
        <v>30</v>
      </c>
      <c r="O977">
        <v>30</v>
      </c>
      <c r="P977">
        <v>222.04</v>
      </c>
    </row>
    <row r="978" spans="1:16" x14ac:dyDescent="0.3">
      <c r="A978">
        <v>73875</v>
      </c>
      <c r="B978">
        <v>105</v>
      </c>
      <c r="C978" t="s">
        <v>557</v>
      </c>
      <c r="D978" s="452">
        <v>46082</v>
      </c>
      <c r="E978">
        <v>17951</v>
      </c>
      <c r="F978" t="s">
        <v>5129</v>
      </c>
      <c r="G978">
        <v>3626</v>
      </c>
      <c r="H978">
        <v>9.58</v>
      </c>
      <c r="I978" t="s">
        <v>4738</v>
      </c>
      <c r="J978" t="s">
        <v>5222</v>
      </c>
      <c r="K978" t="s">
        <v>460</v>
      </c>
      <c r="L978">
        <v>0</v>
      </c>
      <c r="N978">
        <v>0</v>
      </c>
      <c r="O978">
        <v>22.5</v>
      </c>
      <c r="P978">
        <v>215.55</v>
      </c>
    </row>
    <row r="979" spans="1:16" x14ac:dyDescent="0.3">
      <c r="A979">
        <v>73915</v>
      </c>
      <c r="B979">
        <v>105</v>
      </c>
      <c r="C979" t="s">
        <v>557</v>
      </c>
      <c r="D979" s="452">
        <v>46082</v>
      </c>
      <c r="E979">
        <v>18547</v>
      </c>
      <c r="F979" t="s">
        <v>4863</v>
      </c>
      <c r="G979">
        <v>3132</v>
      </c>
      <c r="H979">
        <v>5.6</v>
      </c>
      <c r="I979" t="s">
        <v>4805</v>
      </c>
      <c r="J979" t="s">
        <v>5222</v>
      </c>
      <c r="K979" t="s">
        <v>460</v>
      </c>
      <c r="L979">
        <v>38.4</v>
      </c>
      <c r="M979" s="452">
        <v>46079</v>
      </c>
      <c r="N979">
        <v>38.9</v>
      </c>
      <c r="O979">
        <v>38.9</v>
      </c>
      <c r="P979">
        <v>215.04</v>
      </c>
    </row>
    <row r="980" spans="1:16" x14ac:dyDescent="0.3">
      <c r="A980">
        <v>74074</v>
      </c>
      <c r="B980">
        <v>105</v>
      </c>
      <c r="C980" t="s">
        <v>557</v>
      </c>
      <c r="D980" s="452">
        <v>46082</v>
      </c>
      <c r="E980">
        <v>23808</v>
      </c>
      <c r="F980" t="s">
        <v>4982</v>
      </c>
      <c r="G980">
        <v>2096</v>
      </c>
      <c r="H980">
        <v>3.2</v>
      </c>
      <c r="I980" t="s">
        <v>4744</v>
      </c>
      <c r="J980" t="s">
        <v>5191</v>
      </c>
      <c r="K980" t="s">
        <v>460</v>
      </c>
      <c r="L980">
        <v>67.099999999999994</v>
      </c>
      <c r="M980" s="452">
        <v>46076</v>
      </c>
      <c r="N980">
        <v>67.099999999999994</v>
      </c>
      <c r="O980">
        <v>67.099999999999994</v>
      </c>
      <c r="P980">
        <v>214.72</v>
      </c>
    </row>
    <row r="981" spans="1:16" x14ac:dyDescent="0.3">
      <c r="A981">
        <v>74045</v>
      </c>
      <c r="B981">
        <v>105</v>
      </c>
      <c r="C981" t="s">
        <v>557</v>
      </c>
      <c r="D981" s="452">
        <v>46082</v>
      </c>
      <c r="E981">
        <v>22721</v>
      </c>
      <c r="F981" t="s">
        <v>4803</v>
      </c>
      <c r="G981">
        <v>3033</v>
      </c>
      <c r="H981">
        <v>7.45</v>
      </c>
      <c r="I981" t="s">
        <v>4744</v>
      </c>
      <c r="J981" t="s">
        <v>5191</v>
      </c>
      <c r="K981" t="s">
        <v>460</v>
      </c>
      <c r="L981">
        <v>28.3</v>
      </c>
      <c r="M981" s="452">
        <v>46059</v>
      </c>
      <c r="N981">
        <v>28.3</v>
      </c>
      <c r="O981">
        <v>28.3</v>
      </c>
      <c r="P981">
        <v>210.84</v>
      </c>
    </row>
    <row r="982" spans="1:16" x14ac:dyDescent="0.3">
      <c r="A982">
        <v>73898</v>
      </c>
      <c r="B982">
        <v>105</v>
      </c>
      <c r="C982" t="s">
        <v>557</v>
      </c>
      <c r="D982" s="452">
        <v>46082</v>
      </c>
      <c r="E982">
        <v>18293</v>
      </c>
      <c r="F982" t="s">
        <v>5034</v>
      </c>
      <c r="G982">
        <v>3336</v>
      </c>
      <c r="H982">
        <v>1.5</v>
      </c>
      <c r="I982" t="s">
        <v>4805</v>
      </c>
      <c r="J982" t="s">
        <v>5222</v>
      </c>
      <c r="K982" t="s">
        <v>460</v>
      </c>
      <c r="L982">
        <v>137.69999999999999</v>
      </c>
      <c r="M982" s="452">
        <v>46079</v>
      </c>
      <c r="N982">
        <v>137.69999999999999</v>
      </c>
      <c r="O982">
        <v>137.69999999999999</v>
      </c>
      <c r="P982">
        <v>206.55</v>
      </c>
    </row>
    <row r="983" spans="1:16" x14ac:dyDescent="0.3">
      <c r="A983">
        <v>74121</v>
      </c>
      <c r="B983">
        <v>105</v>
      </c>
      <c r="C983" t="s">
        <v>557</v>
      </c>
      <c r="D983" s="452">
        <v>46082</v>
      </c>
      <c r="E983">
        <v>25807</v>
      </c>
      <c r="F983" t="s">
        <v>4951</v>
      </c>
      <c r="G983">
        <v>6344</v>
      </c>
      <c r="H983">
        <v>1</v>
      </c>
      <c r="I983" t="s">
        <v>4736</v>
      </c>
      <c r="J983" t="s">
        <v>5191</v>
      </c>
      <c r="K983" t="s">
        <v>460</v>
      </c>
      <c r="L983">
        <v>0</v>
      </c>
      <c r="M983" s="452">
        <v>46030</v>
      </c>
      <c r="N983">
        <v>202</v>
      </c>
      <c r="O983">
        <v>202.53</v>
      </c>
      <c r="P983">
        <v>202</v>
      </c>
    </row>
    <row r="984" spans="1:16" x14ac:dyDescent="0.3">
      <c r="A984">
        <v>74087</v>
      </c>
      <c r="B984">
        <v>105</v>
      </c>
      <c r="C984" t="s">
        <v>557</v>
      </c>
      <c r="D984" s="452">
        <v>46082</v>
      </c>
      <c r="E984">
        <v>24200</v>
      </c>
      <c r="F984" t="s">
        <v>4820</v>
      </c>
      <c r="G984">
        <v>3039</v>
      </c>
      <c r="H984">
        <v>5.9</v>
      </c>
      <c r="I984" t="s">
        <v>4744</v>
      </c>
      <c r="J984" t="s">
        <v>5191</v>
      </c>
      <c r="K984" t="s">
        <v>460</v>
      </c>
      <c r="L984">
        <v>32.9</v>
      </c>
      <c r="M984" s="452">
        <v>46076</v>
      </c>
      <c r="N984">
        <v>32.9</v>
      </c>
      <c r="O984">
        <v>32.9</v>
      </c>
      <c r="P984">
        <v>194.11</v>
      </c>
    </row>
    <row r="985" spans="1:16" x14ac:dyDescent="0.3">
      <c r="A985">
        <v>73918</v>
      </c>
      <c r="B985">
        <v>105</v>
      </c>
      <c r="C985" t="s">
        <v>557</v>
      </c>
      <c r="D985" s="452">
        <v>46082</v>
      </c>
      <c r="E985">
        <v>18589</v>
      </c>
      <c r="F985" t="s">
        <v>5089</v>
      </c>
      <c r="G985">
        <v>3103</v>
      </c>
      <c r="H985">
        <v>2</v>
      </c>
      <c r="I985" t="s">
        <v>4738</v>
      </c>
      <c r="J985" t="s">
        <v>5222</v>
      </c>
      <c r="K985" t="s">
        <v>460</v>
      </c>
      <c r="L985">
        <v>0</v>
      </c>
      <c r="M985" s="452">
        <v>46046</v>
      </c>
      <c r="N985">
        <v>96.64</v>
      </c>
      <c r="O985">
        <v>67.39</v>
      </c>
      <c r="P985">
        <v>193.28</v>
      </c>
    </row>
    <row r="986" spans="1:16" x14ac:dyDescent="0.3">
      <c r="A986">
        <v>73877</v>
      </c>
      <c r="B986">
        <v>105</v>
      </c>
      <c r="C986" t="s">
        <v>557</v>
      </c>
      <c r="D986" s="452">
        <v>46082</v>
      </c>
      <c r="E986">
        <v>18004</v>
      </c>
      <c r="F986" t="s">
        <v>5093</v>
      </c>
      <c r="G986">
        <v>3592</v>
      </c>
      <c r="H986">
        <v>6</v>
      </c>
      <c r="I986" t="s">
        <v>4738</v>
      </c>
      <c r="J986" t="s">
        <v>5222</v>
      </c>
      <c r="K986" t="s">
        <v>460</v>
      </c>
      <c r="L986">
        <v>32</v>
      </c>
      <c r="M986" s="452">
        <v>46077</v>
      </c>
      <c r="N986">
        <v>32.56</v>
      </c>
      <c r="O986">
        <v>29.64</v>
      </c>
      <c r="P986">
        <v>192</v>
      </c>
    </row>
    <row r="987" spans="1:16" x14ac:dyDescent="0.3">
      <c r="A987">
        <v>74102</v>
      </c>
      <c r="B987">
        <v>105</v>
      </c>
      <c r="C987" t="s">
        <v>557</v>
      </c>
      <c r="D987" s="452">
        <v>46082</v>
      </c>
      <c r="E987">
        <v>24685</v>
      </c>
      <c r="F987" t="s">
        <v>5055</v>
      </c>
      <c r="G987">
        <v>5714</v>
      </c>
      <c r="H987">
        <v>1.3</v>
      </c>
      <c r="I987" t="s">
        <v>4805</v>
      </c>
      <c r="J987" t="s">
        <v>5222</v>
      </c>
      <c r="K987" t="s">
        <v>460</v>
      </c>
      <c r="L987">
        <v>0</v>
      </c>
      <c r="M987" s="452">
        <v>45999</v>
      </c>
      <c r="N987">
        <v>147.25</v>
      </c>
      <c r="O987">
        <v>156.9</v>
      </c>
      <c r="P987">
        <v>191.42</v>
      </c>
    </row>
    <row r="988" spans="1:16" x14ac:dyDescent="0.3">
      <c r="A988">
        <v>73906</v>
      </c>
      <c r="B988">
        <v>105</v>
      </c>
      <c r="C988" t="s">
        <v>557</v>
      </c>
      <c r="D988" s="452">
        <v>46082</v>
      </c>
      <c r="E988">
        <v>18394</v>
      </c>
      <c r="F988" t="s">
        <v>5032</v>
      </c>
      <c r="G988">
        <v>3246</v>
      </c>
      <c r="H988">
        <v>1.36</v>
      </c>
      <c r="I988" t="s">
        <v>4805</v>
      </c>
      <c r="J988" t="s">
        <v>5222</v>
      </c>
      <c r="K988" t="s">
        <v>460</v>
      </c>
      <c r="L988">
        <v>0</v>
      </c>
      <c r="M988" s="452">
        <v>45867</v>
      </c>
      <c r="N988">
        <v>132.36000000000001</v>
      </c>
      <c r="O988">
        <v>132</v>
      </c>
      <c r="P988">
        <v>180.01</v>
      </c>
    </row>
    <row r="989" spans="1:16" x14ac:dyDescent="0.3">
      <c r="A989">
        <v>74061</v>
      </c>
      <c r="B989">
        <v>105</v>
      </c>
      <c r="C989" t="s">
        <v>557</v>
      </c>
      <c r="D989" s="452">
        <v>46082</v>
      </c>
      <c r="E989">
        <v>23361</v>
      </c>
      <c r="F989" t="s">
        <v>4754</v>
      </c>
      <c r="G989">
        <v>2497</v>
      </c>
      <c r="H989">
        <v>54</v>
      </c>
      <c r="I989" t="s">
        <v>4744</v>
      </c>
      <c r="J989" t="s">
        <v>5191</v>
      </c>
      <c r="K989" t="s">
        <v>460</v>
      </c>
      <c r="L989">
        <v>3.33</v>
      </c>
      <c r="M989" s="452">
        <v>46081</v>
      </c>
      <c r="N989">
        <v>3.55</v>
      </c>
      <c r="O989">
        <v>3.87</v>
      </c>
      <c r="P989">
        <v>179.82</v>
      </c>
    </row>
    <row r="990" spans="1:16" x14ac:dyDescent="0.3">
      <c r="A990">
        <v>73885</v>
      </c>
      <c r="B990">
        <v>105</v>
      </c>
      <c r="C990" t="s">
        <v>557</v>
      </c>
      <c r="D990" s="452">
        <v>46082</v>
      </c>
      <c r="E990">
        <v>18129</v>
      </c>
      <c r="F990" t="s">
        <v>5043</v>
      </c>
      <c r="G990">
        <v>3486</v>
      </c>
      <c r="H990">
        <v>1.54</v>
      </c>
      <c r="I990" t="s">
        <v>4805</v>
      </c>
      <c r="J990" t="s">
        <v>5222</v>
      </c>
      <c r="K990" t="s">
        <v>460</v>
      </c>
      <c r="L990">
        <v>116</v>
      </c>
      <c r="M990" s="452">
        <v>46078</v>
      </c>
      <c r="N990">
        <v>116</v>
      </c>
      <c r="O990">
        <v>116</v>
      </c>
      <c r="P990">
        <v>178.64</v>
      </c>
    </row>
    <row r="991" spans="1:16" x14ac:dyDescent="0.3">
      <c r="A991">
        <v>74035</v>
      </c>
      <c r="B991">
        <v>105</v>
      </c>
      <c r="C991" t="s">
        <v>557</v>
      </c>
      <c r="D991" s="452">
        <v>46082</v>
      </c>
      <c r="E991">
        <v>20984</v>
      </c>
      <c r="F991" t="s">
        <v>5133</v>
      </c>
      <c r="G991">
        <v>2011</v>
      </c>
      <c r="H991">
        <v>22</v>
      </c>
      <c r="I991" t="s">
        <v>4888</v>
      </c>
      <c r="J991" t="s">
        <v>5191</v>
      </c>
      <c r="K991" t="s">
        <v>460</v>
      </c>
      <c r="L991">
        <v>8.0299999999999994</v>
      </c>
      <c r="M991" s="452">
        <v>46073</v>
      </c>
      <c r="N991">
        <v>7.95</v>
      </c>
      <c r="O991">
        <v>7.95</v>
      </c>
      <c r="P991">
        <v>176.66</v>
      </c>
    </row>
    <row r="992" spans="1:16" x14ac:dyDescent="0.3">
      <c r="A992">
        <v>73876</v>
      </c>
      <c r="B992">
        <v>105</v>
      </c>
      <c r="C992" t="s">
        <v>557</v>
      </c>
      <c r="D992" s="452">
        <v>46082</v>
      </c>
      <c r="E992">
        <v>17958</v>
      </c>
      <c r="F992" t="s">
        <v>5076</v>
      </c>
      <c r="G992">
        <v>3622</v>
      </c>
      <c r="H992">
        <v>9.92</v>
      </c>
      <c r="I992" t="s">
        <v>4738</v>
      </c>
      <c r="J992" t="s">
        <v>5222</v>
      </c>
      <c r="K992" t="s">
        <v>460</v>
      </c>
      <c r="L992">
        <v>17.7</v>
      </c>
      <c r="M992" s="452">
        <v>46077</v>
      </c>
      <c r="N992">
        <v>17.7</v>
      </c>
      <c r="O992">
        <v>17.7</v>
      </c>
      <c r="P992">
        <v>175.58</v>
      </c>
    </row>
    <row r="993" spans="1:16" x14ac:dyDescent="0.3">
      <c r="A993">
        <v>74096</v>
      </c>
      <c r="B993">
        <v>105</v>
      </c>
      <c r="C993" t="s">
        <v>557</v>
      </c>
      <c r="D993" s="452">
        <v>46082</v>
      </c>
      <c r="E993">
        <v>24351</v>
      </c>
      <c r="F993" t="s">
        <v>5014</v>
      </c>
      <c r="G993">
        <v>2287</v>
      </c>
      <c r="H993">
        <v>14.5</v>
      </c>
      <c r="I993" t="s">
        <v>4736</v>
      </c>
      <c r="J993" t="s">
        <v>5191</v>
      </c>
      <c r="K993" t="s">
        <v>460</v>
      </c>
      <c r="L993">
        <v>12</v>
      </c>
      <c r="M993" s="452">
        <v>46070</v>
      </c>
      <c r="N993">
        <v>12</v>
      </c>
      <c r="O993">
        <v>30</v>
      </c>
      <c r="P993">
        <v>174</v>
      </c>
    </row>
    <row r="994" spans="1:16" x14ac:dyDescent="0.3">
      <c r="A994">
        <v>74081</v>
      </c>
      <c r="B994">
        <v>105</v>
      </c>
      <c r="C994" t="s">
        <v>557</v>
      </c>
      <c r="D994" s="452">
        <v>46082</v>
      </c>
      <c r="E994">
        <v>24116</v>
      </c>
      <c r="F994" t="s">
        <v>4777</v>
      </c>
      <c r="G994">
        <v>2924</v>
      </c>
      <c r="H994">
        <v>4.1500000000000004</v>
      </c>
      <c r="I994" t="s">
        <v>4744</v>
      </c>
      <c r="J994" t="s">
        <v>5191</v>
      </c>
      <c r="K994" t="s">
        <v>460</v>
      </c>
      <c r="L994">
        <v>41.9</v>
      </c>
      <c r="M994" s="452">
        <v>46073</v>
      </c>
      <c r="N994">
        <v>41.9</v>
      </c>
      <c r="O994">
        <v>41.9</v>
      </c>
      <c r="P994">
        <v>173.89</v>
      </c>
    </row>
    <row r="995" spans="1:16" x14ac:dyDescent="0.3">
      <c r="A995">
        <v>73998</v>
      </c>
      <c r="B995">
        <v>105</v>
      </c>
      <c r="C995" t="s">
        <v>557</v>
      </c>
      <c r="D995" s="452">
        <v>46082</v>
      </c>
      <c r="E995">
        <v>20057</v>
      </c>
      <c r="F995" t="s">
        <v>4949</v>
      </c>
      <c r="G995">
        <v>2324</v>
      </c>
      <c r="H995">
        <v>4.0999999999999996</v>
      </c>
      <c r="I995" t="s">
        <v>4736</v>
      </c>
      <c r="J995" t="s">
        <v>5191</v>
      </c>
      <c r="K995" t="s">
        <v>460</v>
      </c>
      <c r="L995">
        <v>42.18</v>
      </c>
      <c r="M995" s="452">
        <v>46067</v>
      </c>
      <c r="N995">
        <v>42.18</v>
      </c>
      <c r="O995">
        <v>42.18</v>
      </c>
      <c r="P995">
        <v>172.94</v>
      </c>
    </row>
    <row r="996" spans="1:16" x14ac:dyDescent="0.3">
      <c r="A996">
        <v>73897</v>
      </c>
      <c r="B996">
        <v>105</v>
      </c>
      <c r="C996" t="s">
        <v>557</v>
      </c>
      <c r="D996" s="452">
        <v>46082</v>
      </c>
      <c r="E996">
        <v>18289</v>
      </c>
      <c r="F996" t="s">
        <v>5036</v>
      </c>
      <c r="G996">
        <v>3339</v>
      </c>
      <c r="H996">
        <v>1.2</v>
      </c>
      <c r="I996" t="s">
        <v>4736</v>
      </c>
      <c r="J996" t="s">
        <v>5222</v>
      </c>
      <c r="K996" t="s">
        <v>460</v>
      </c>
      <c r="L996">
        <v>0</v>
      </c>
      <c r="N996">
        <v>0</v>
      </c>
      <c r="O996">
        <v>0</v>
      </c>
      <c r="P996">
        <v>168</v>
      </c>
    </row>
    <row r="997" spans="1:16" x14ac:dyDescent="0.3">
      <c r="A997">
        <v>73894</v>
      </c>
      <c r="B997">
        <v>105</v>
      </c>
      <c r="C997" t="s">
        <v>557</v>
      </c>
      <c r="D997" s="452">
        <v>46082</v>
      </c>
      <c r="E997">
        <v>18233</v>
      </c>
      <c r="F997" t="s">
        <v>4970</v>
      </c>
      <c r="G997">
        <v>3395</v>
      </c>
      <c r="H997">
        <v>1.7</v>
      </c>
      <c r="I997" t="s">
        <v>4805</v>
      </c>
      <c r="J997" t="s">
        <v>5222</v>
      </c>
      <c r="K997" t="s">
        <v>460</v>
      </c>
      <c r="L997">
        <v>0</v>
      </c>
      <c r="M997" s="452">
        <v>46000</v>
      </c>
      <c r="N997">
        <v>97.9</v>
      </c>
      <c r="O997">
        <v>98</v>
      </c>
      <c r="P997">
        <v>166.43</v>
      </c>
    </row>
    <row r="998" spans="1:16" x14ac:dyDescent="0.3">
      <c r="A998">
        <v>73997</v>
      </c>
      <c r="B998">
        <v>105</v>
      </c>
      <c r="C998" t="s">
        <v>557</v>
      </c>
      <c r="D998" s="452">
        <v>46082</v>
      </c>
      <c r="E998">
        <v>20054</v>
      </c>
      <c r="F998" t="s">
        <v>4856</v>
      </c>
      <c r="G998">
        <v>2325</v>
      </c>
      <c r="H998">
        <v>14</v>
      </c>
      <c r="I998" t="s">
        <v>4736</v>
      </c>
      <c r="J998" t="s">
        <v>5191</v>
      </c>
      <c r="K998" t="s">
        <v>460</v>
      </c>
      <c r="L998">
        <v>11.85</v>
      </c>
      <c r="M998" s="452">
        <v>46077</v>
      </c>
      <c r="N998">
        <v>11.85</v>
      </c>
      <c r="O998">
        <v>11.85</v>
      </c>
      <c r="P998">
        <v>165.9</v>
      </c>
    </row>
    <row r="999" spans="1:16" x14ac:dyDescent="0.3">
      <c r="A999">
        <v>73989</v>
      </c>
      <c r="B999">
        <v>105</v>
      </c>
      <c r="C999" t="s">
        <v>557</v>
      </c>
      <c r="D999" s="452">
        <v>46082</v>
      </c>
      <c r="E999">
        <v>19964</v>
      </c>
      <c r="F999" t="s">
        <v>4817</v>
      </c>
      <c r="G999">
        <v>2356</v>
      </c>
      <c r="H999">
        <v>11</v>
      </c>
      <c r="I999" t="s">
        <v>4736</v>
      </c>
      <c r="J999" t="s">
        <v>5191</v>
      </c>
      <c r="K999" t="s">
        <v>460</v>
      </c>
      <c r="L999">
        <v>0</v>
      </c>
      <c r="M999" s="452">
        <v>45677</v>
      </c>
      <c r="N999">
        <v>14.96</v>
      </c>
      <c r="O999">
        <v>14.96</v>
      </c>
      <c r="P999">
        <v>164.56</v>
      </c>
    </row>
    <row r="1000" spans="1:16" x14ac:dyDescent="0.3">
      <c r="A1000">
        <v>74109</v>
      </c>
      <c r="B1000">
        <v>105</v>
      </c>
      <c r="C1000" t="s">
        <v>557</v>
      </c>
      <c r="D1000" s="452">
        <v>46082</v>
      </c>
      <c r="E1000">
        <v>25167</v>
      </c>
      <c r="F1000" t="s">
        <v>4758</v>
      </c>
      <c r="G1000">
        <v>5930</v>
      </c>
      <c r="H1000">
        <v>20.7</v>
      </c>
      <c r="I1000" t="s">
        <v>4744</v>
      </c>
      <c r="J1000" t="s">
        <v>5191</v>
      </c>
      <c r="K1000" t="s">
        <v>460</v>
      </c>
      <c r="L1000">
        <v>0</v>
      </c>
      <c r="M1000" s="452">
        <v>45833</v>
      </c>
      <c r="N1000">
        <v>7.9</v>
      </c>
      <c r="O1000">
        <v>7.9</v>
      </c>
      <c r="P1000">
        <v>163.53</v>
      </c>
    </row>
    <row r="1001" spans="1:16" x14ac:dyDescent="0.3">
      <c r="A1001">
        <v>73999</v>
      </c>
      <c r="B1001">
        <v>105</v>
      </c>
      <c r="C1001" t="s">
        <v>557</v>
      </c>
      <c r="D1001" s="452">
        <v>46082</v>
      </c>
      <c r="E1001">
        <v>20105</v>
      </c>
      <c r="F1001" t="s">
        <v>4831</v>
      </c>
      <c r="G1001">
        <v>2298</v>
      </c>
      <c r="H1001">
        <v>6</v>
      </c>
      <c r="I1001" t="s">
        <v>4744</v>
      </c>
      <c r="J1001" t="s">
        <v>5191</v>
      </c>
      <c r="K1001" t="s">
        <v>460</v>
      </c>
      <c r="L1001">
        <v>26.6</v>
      </c>
      <c r="M1001" s="452">
        <v>46078</v>
      </c>
      <c r="N1001">
        <v>26.3</v>
      </c>
      <c r="O1001">
        <v>26.3</v>
      </c>
      <c r="P1001">
        <v>159.6</v>
      </c>
    </row>
    <row r="1002" spans="1:16" x14ac:dyDescent="0.3">
      <c r="A1002">
        <v>73890</v>
      </c>
      <c r="B1002">
        <v>105</v>
      </c>
      <c r="C1002" t="s">
        <v>557</v>
      </c>
      <c r="D1002" s="452">
        <v>46082</v>
      </c>
      <c r="E1002">
        <v>18194</v>
      </c>
      <c r="F1002" t="s">
        <v>4923</v>
      </c>
      <c r="G1002">
        <v>3430</v>
      </c>
      <c r="H1002">
        <v>2.5</v>
      </c>
      <c r="I1002" t="s">
        <v>4805</v>
      </c>
      <c r="J1002" t="s">
        <v>5222</v>
      </c>
      <c r="K1002" t="s">
        <v>460</v>
      </c>
      <c r="L1002">
        <v>63</v>
      </c>
      <c r="M1002" s="452">
        <v>46078</v>
      </c>
      <c r="N1002">
        <v>63</v>
      </c>
      <c r="O1002">
        <v>63</v>
      </c>
      <c r="P1002">
        <v>157.5</v>
      </c>
    </row>
    <row r="1003" spans="1:16" x14ac:dyDescent="0.3">
      <c r="A1003">
        <v>73919</v>
      </c>
      <c r="B1003">
        <v>105</v>
      </c>
      <c r="C1003" t="s">
        <v>557</v>
      </c>
      <c r="D1003" s="452">
        <v>46082</v>
      </c>
      <c r="E1003">
        <v>18595</v>
      </c>
      <c r="F1003" t="s">
        <v>5092</v>
      </c>
      <c r="G1003">
        <v>3099</v>
      </c>
      <c r="H1003">
        <v>1.04</v>
      </c>
      <c r="I1003" t="s">
        <v>4738</v>
      </c>
      <c r="J1003" t="s">
        <v>5222</v>
      </c>
      <c r="K1003" t="s">
        <v>460</v>
      </c>
      <c r="L1003">
        <v>0</v>
      </c>
      <c r="M1003" s="452">
        <v>46046</v>
      </c>
      <c r="N1003">
        <v>150.47999999999999</v>
      </c>
      <c r="O1003">
        <v>132.07</v>
      </c>
      <c r="P1003">
        <v>156.5</v>
      </c>
    </row>
    <row r="1004" spans="1:16" x14ac:dyDescent="0.3">
      <c r="A1004">
        <v>73873</v>
      </c>
      <c r="B1004">
        <v>105</v>
      </c>
      <c r="C1004" t="s">
        <v>557</v>
      </c>
      <c r="D1004" s="452">
        <v>46082</v>
      </c>
      <c r="E1004">
        <v>17915</v>
      </c>
      <c r="F1004" t="s">
        <v>5104</v>
      </c>
      <c r="G1004">
        <v>3648</v>
      </c>
      <c r="H1004">
        <v>0.92</v>
      </c>
      <c r="I1004" t="s">
        <v>4738</v>
      </c>
      <c r="J1004" t="s">
        <v>5222</v>
      </c>
      <c r="K1004" t="s">
        <v>460</v>
      </c>
      <c r="L1004">
        <v>0</v>
      </c>
      <c r="M1004" s="452">
        <v>45653</v>
      </c>
      <c r="N1004">
        <v>163.68</v>
      </c>
      <c r="O1004">
        <v>192.96</v>
      </c>
      <c r="P1004">
        <v>150.59</v>
      </c>
    </row>
    <row r="1005" spans="1:16" x14ac:dyDescent="0.3">
      <c r="A1005">
        <v>73893</v>
      </c>
      <c r="B1005">
        <v>105</v>
      </c>
      <c r="C1005" t="s">
        <v>557</v>
      </c>
      <c r="D1005" s="452">
        <v>46082</v>
      </c>
      <c r="E1005">
        <v>18232</v>
      </c>
      <c r="F1005" t="s">
        <v>4971</v>
      </c>
      <c r="G1005">
        <v>3396</v>
      </c>
      <c r="H1005">
        <v>1.5</v>
      </c>
      <c r="I1005" t="s">
        <v>4805</v>
      </c>
      <c r="J1005" t="s">
        <v>5222</v>
      </c>
      <c r="K1005" t="s">
        <v>460</v>
      </c>
      <c r="L1005">
        <v>99.9</v>
      </c>
      <c r="M1005" s="452">
        <v>46057</v>
      </c>
      <c r="N1005">
        <v>99.9</v>
      </c>
      <c r="O1005">
        <v>98</v>
      </c>
      <c r="P1005">
        <v>149.85</v>
      </c>
    </row>
    <row r="1006" spans="1:16" x14ac:dyDescent="0.3">
      <c r="A1006">
        <v>73976</v>
      </c>
      <c r="B1006">
        <v>105</v>
      </c>
      <c r="C1006" t="s">
        <v>557</v>
      </c>
      <c r="D1006" s="452">
        <v>46082</v>
      </c>
      <c r="E1006">
        <v>19734</v>
      </c>
      <c r="F1006" t="s">
        <v>4833</v>
      </c>
      <c r="G1006">
        <v>2519</v>
      </c>
      <c r="H1006">
        <v>10.199999999999999</v>
      </c>
      <c r="I1006" t="s">
        <v>4744</v>
      </c>
      <c r="J1006" t="s">
        <v>5191</v>
      </c>
      <c r="K1006" t="s">
        <v>460</v>
      </c>
      <c r="L1006">
        <v>14.53</v>
      </c>
      <c r="M1006" s="452">
        <v>46080</v>
      </c>
      <c r="N1006">
        <v>13.75</v>
      </c>
      <c r="O1006">
        <v>13.75</v>
      </c>
      <c r="P1006">
        <v>148.21</v>
      </c>
    </row>
    <row r="1007" spans="1:16" x14ac:dyDescent="0.3">
      <c r="A1007">
        <v>74073</v>
      </c>
      <c r="B1007">
        <v>105</v>
      </c>
      <c r="C1007" t="s">
        <v>557</v>
      </c>
      <c r="D1007" s="452">
        <v>46082</v>
      </c>
      <c r="E1007">
        <v>23785</v>
      </c>
      <c r="F1007" t="s">
        <v>4858</v>
      </c>
      <c r="G1007">
        <v>2114</v>
      </c>
      <c r="H1007">
        <v>5</v>
      </c>
      <c r="I1007" t="s">
        <v>4744</v>
      </c>
      <c r="J1007" t="s">
        <v>5191</v>
      </c>
      <c r="K1007" t="s">
        <v>460</v>
      </c>
      <c r="L1007">
        <v>29.59</v>
      </c>
      <c r="M1007" s="452">
        <v>46076</v>
      </c>
      <c r="N1007">
        <v>29.13</v>
      </c>
      <c r="O1007">
        <v>29.13</v>
      </c>
      <c r="P1007">
        <v>147.94999999999999</v>
      </c>
    </row>
    <row r="1008" spans="1:16" x14ac:dyDescent="0.3">
      <c r="A1008">
        <v>73938</v>
      </c>
      <c r="B1008">
        <v>105</v>
      </c>
      <c r="C1008" t="s">
        <v>557</v>
      </c>
      <c r="D1008" s="452">
        <v>46082</v>
      </c>
      <c r="E1008">
        <v>19439</v>
      </c>
      <c r="F1008" t="s">
        <v>4917</v>
      </c>
      <c r="G1008">
        <v>2756</v>
      </c>
      <c r="H1008">
        <v>4.4000000000000004</v>
      </c>
      <c r="I1008" t="s">
        <v>4744</v>
      </c>
      <c r="J1008" t="s">
        <v>5191</v>
      </c>
      <c r="K1008" t="s">
        <v>460</v>
      </c>
      <c r="L1008">
        <v>33.380000000000003</v>
      </c>
      <c r="M1008" s="452">
        <v>46076</v>
      </c>
      <c r="N1008">
        <v>33.380000000000003</v>
      </c>
      <c r="O1008">
        <v>33.380000000000003</v>
      </c>
      <c r="P1008">
        <v>146.87</v>
      </c>
    </row>
    <row r="1009" spans="1:16" x14ac:dyDescent="0.3">
      <c r="A1009">
        <v>74031</v>
      </c>
      <c r="B1009">
        <v>105</v>
      </c>
      <c r="C1009" t="s">
        <v>557</v>
      </c>
      <c r="D1009" s="452">
        <v>46082</v>
      </c>
      <c r="E1009">
        <v>20887</v>
      </c>
      <c r="F1009" t="s">
        <v>4953</v>
      </c>
      <c r="G1009">
        <v>2040</v>
      </c>
      <c r="H1009">
        <v>4</v>
      </c>
      <c r="I1009" t="s">
        <v>4879</v>
      </c>
      <c r="J1009" t="s">
        <v>5191</v>
      </c>
      <c r="K1009" t="s">
        <v>460</v>
      </c>
      <c r="L1009">
        <v>0</v>
      </c>
      <c r="M1009" s="452">
        <v>46051</v>
      </c>
      <c r="N1009">
        <v>36.299999999999997</v>
      </c>
      <c r="O1009">
        <v>34</v>
      </c>
      <c r="P1009">
        <v>145.19999999999999</v>
      </c>
    </row>
    <row r="1010" spans="1:16" x14ac:dyDescent="0.3">
      <c r="A1010">
        <v>74022</v>
      </c>
      <c r="B1010">
        <v>105</v>
      </c>
      <c r="C1010" t="s">
        <v>557</v>
      </c>
      <c r="D1010" s="452">
        <v>46082</v>
      </c>
      <c r="E1010">
        <v>20673</v>
      </c>
      <c r="F1010" t="s">
        <v>5132</v>
      </c>
      <c r="G1010">
        <v>2107</v>
      </c>
      <c r="H1010">
        <v>2</v>
      </c>
      <c r="I1010" t="s">
        <v>4955</v>
      </c>
      <c r="J1010" t="s">
        <v>5191</v>
      </c>
      <c r="K1010" t="s">
        <v>460</v>
      </c>
      <c r="L1010">
        <v>72.48</v>
      </c>
      <c r="M1010" s="452">
        <v>46067</v>
      </c>
      <c r="N1010">
        <v>72.44</v>
      </c>
      <c r="O1010">
        <v>72.44</v>
      </c>
      <c r="P1010">
        <v>144.96</v>
      </c>
    </row>
    <row r="1011" spans="1:16" x14ac:dyDescent="0.3">
      <c r="A1011">
        <v>73868</v>
      </c>
      <c r="B1011">
        <v>105</v>
      </c>
      <c r="C1011" t="s">
        <v>557</v>
      </c>
      <c r="D1011" s="452">
        <v>46082</v>
      </c>
      <c r="E1011">
        <v>17883</v>
      </c>
      <c r="F1011" t="s">
        <v>5113</v>
      </c>
      <c r="G1011">
        <v>3673</v>
      </c>
      <c r="H1011">
        <v>5.08</v>
      </c>
      <c r="I1011" t="s">
        <v>4738</v>
      </c>
      <c r="J1011" t="s">
        <v>5222</v>
      </c>
      <c r="K1011" t="s">
        <v>460</v>
      </c>
      <c r="L1011">
        <v>28.32</v>
      </c>
      <c r="M1011" s="452">
        <v>46077</v>
      </c>
      <c r="N1011">
        <v>28.32</v>
      </c>
      <c r="O1011">
        <v>28.32</v>
      </c>
      <c r="P1011">
        <v>143.87</v>
      </c>
    </row>
    <row r="1012" spans="1:16" x14ac:dyDescent="0.3">
      <c r="A1012">
        <v>73946</v>
      </c>
      <c r="B1012">
        <v>105</v>
      </c>
      <c r="C1012" t="s">
        <v>557</v>
      </c>
      <c r="D1012" s="452">
        <v>46082</v>
      </c>
      <c r="E1012">
        <v>19502</v>
      </c>
      <c r="F1012" t="s">
        <v>4871</v>
      </c>
      <c r="G1012">
        <v>2708</v>
      </c>
      <c r="H1012">
        <v>5.55</v>
      </c>
      <c r="I1012" t="s">
        <v>4744</v>
      </c>
      <c r="J1012" t="s">
        <v>5191</v>
      </c>
      <c r="K1012" t="s">
        <v>460</v>
      </c>
      <c r="L1012">
        <v>24.91</v>
      </c>
      <c r="M1012" s="452">
        <v>46080</v>
      </c>
      <c r="N1012">
        <v>27</v>
      </c>
      <c r="O1012">
        <v>27</v>
      </c>
      <c r="P1012">
        <v>138.25</v>
      </c>
    </row>
    <row r="1013" spans="1:16" x14ac:dyDescent="0.3">
      <c r="A1013">
        <v>73900</v>
      </c>
      <c r="B1013">
        <v>105</v>
      </c>
      <c r="C1013" t="s">
        <v>557</v>
      </c>
      <c r="D1013" s="452">
        <v>46082</v>
      </c>
      <c r="E1013">
        <v>18312</v>
      </c>
      <c r="F1013" t="s">
        <v>5037</v>
      </c>
      <c r="G1013">
        <v>3321</v>
      </c>
      <c r="H1013">
        <v>1</v>
      </c>
      <c r="I1013" t="s">
        <v>4805</v>
      </c>
      <c r="J1013" t="s">
        <v>5222</v>
      </c>
      <c r="K1013" t="s">
        <v>460</v>
      </c>
      <c r="L1013">
        <v>0</v>
      </c>
      <c r="N1013">
        <v>0</v>
      </c>
      <c r="O1013">
        <v>86.57</v>
      </c>
      <c r="P1013">
        <v>135.9</v>
      </c>
    </row>
    <row r="1014" spans="1:16" x14ac:dyDescent="0.3">
      <c r="A1014">
        <v>74006</v>
      </c>
      <c r="B1014">
        <v>105</v>
      </c>
      <c r="C1014" t="s">
        <v>557</v>
      </c>
      <c r="D1014" s="452">
        <v>46082</v>
      </c>
      <c r="E1014">
        <v>20301</v>
      </c>
      <c r="F1014" t="s">
        <v>4944</v>
      </c>
      <c r="G1014">
        <v>2223</v>
      </c>
      <c r="H1014">
        <v>7</v>
      </c>
      <c r="I1014" t="s">
        <v>4738</v>
      </c>
      <c r="J1014" t="s">
        <v>5191</v>
      </c>
      <c r="K1014" t="s">
        <v>460</v>
      </c>
      <c r="L1014">
        <v>18.899999999999999</v>
      </c>
      <c r="M1014" s="452">
        <v>46073</v>
      </c>
      <c r="N1014">
        <v>18.899999999999999</v>
      </c>
      <c r="O1014">
        <v>18.899999999999999</v>
      </c>
      <c r="P1014">
        <v>132.30000000000001</v>
      </c>
    </row>
    <row r="1015" spans="1:16" x14ac:dyDescent="0.3">
      <c r="A1015">
        <v>73881</v>
      </c>
      <c r="B1015">
        <v>105</v>
      </c>
      <c r="C1015" t="s">
        <v>557</v>
      </c>
      <c r="D1015" s="452">
        <v>46082</v>
      </c>
      <c r="E1015">
        <v>18085</v>
      </c>
      <c r="F1015" t="s">
        <v>4973</v>
      </c>
      <c r="G1015">
        <v>3524</v>
      </c>
      <c r="H1015">
        <v>2.77</v>
      </c>
      <c r="I1015" t="s">
        <v>4805</v>
      </c>
      <c r="J1015" t="s">
        <v>5222</v>
      </c>
      <c r="K1015" t="s">
        <v>460</v>
      </c>
      <c r="L1015">
        <v>47.75</v>
      </c>
      <c r="M1015" s="452">
        <v>46079</v>
      </c>
      <c r="N1015">
        <v>47.9</v>
      </c>
      <c r="O1015">
        <v>47.9</v>
      </c>
      <c r="P1015">
        <v>132.27000000000001</v>
      </c>
    </row>
    <row r="1016" spans="1:16" x14ac:dyDescent="0.3">
      <c r="A1016">
        <v>73983</v>
      </c>
      <c r="B1016">
        <v>105</v>
      </c>
      <c r="C1016" t="s">
        <v>557</v>
      </c>
      <c r="D1016" s="452">
        <v>46082</v>
      </c>
      <c r="E1016">
        <v>19790</v>
      </c>
      <c r="F1016" t="s">
        <v>5073</v>
      </c>
      <c r="G1016">
        <v>2469</v>
      </c>
      <c r="H1016">
        <v>3</v>
      </c>
      <c r="I1016" t="s">
        <v>4744</v>
      </c>
      <c r="J1016" t="s">
        <v>5191</v>
      </c>
      <c r="K1016" t="s">
        <v>460</v>
      </c>
      <c r="L1016">
        <v>43.75</v>
      </c>
      <c r="M1016" s="452">
        <v>46078</v>
      </c>
      <c r="N1016">
        <v>43.75</v>
      </c>
      <c r="O1016">
        <v>43.75</v>
      </c>
      <c r="P1016">
        <v>131.25</v>
      </c>
    </row>
    <row r="1017" spans="1:16" x14ac:dyDescent="0.3">
      <c r="A1017">
        <v>73874</v>
      </c>
      <c r="B1017">
        <v>105</v>
      </c>
      <c r="C1017" t="s">
        <v>557</v>
      </c>
      <c r="D1017" s="452">
        <v>46082</v>
      </c>
      <c r="E1017">
        <v>17917</v>
      </c>
      <c r="F1017" t="s">
        <v>5098</v>
      </c>
      <c r="G1017">
        <v>3647</v>
      </c>
      <c r="H1017">
        <v>0.79</v>
      </c>
      <c r="I1017" t="s">
        <v>4738</v>
      </c>
      <c r="J1017" t="s">
        <v>5222</v>
      </c>
      <c r="K1017" t="s">
        <v>460</v>
      </c>
      <c r="L1017">
        <v>0</v>
      </c>
      <c r="M1017" s="452">
        <v>45646</v>
      </c>
      <c r="N1017">
        <v>163.68</v>
      </c>
      <c r="O1017">
        <v>192.96</v>
      </c>
      <c r="P1017">
        <v>129.31</v>
      </c>
    </row>
    <row r="1018" spans="1:16" x14ac:dyDescent="0.3">
      <c r="A1018">
        <v>73917</v>
      </c>
      <c r="B1018">
        <v>105</v>
      </c>
      <c r="C1018" t="s">
        <v>557</v>
      </c>
      <c r="D1018" s="452">
        <v>46082</v>
      </c>
      <c r="E1018">
        <v>18586</v>
      </c>
      <c r="F1018" t="s">
        <v>4966</v>
      </c>
      <c r="G1018">
        <v>3104</v>
      </c>
      <c r="H1018">
        <v>1</v>
      </c>
      <c r="I1018" t="s">
        <v>4738</v>
      </c>
      <c r="J1018" t="s">
        <v>5222</v>
      </c>
      <c r="K1018" t="s">
        <v>460</v>
      </c>
      <c r="L1018">
        <v>123.92</v>
      </c>
      <c r="M1018" s="452">
        <v>46072</v>
      </c>
      <c r="N1018">
        <v>132.07</v>
      </c>
      <c r="O1018">
        <v>107.63</v>
      </c>
      <c r="P1018">
        <v>123.92</v>
      </c>
    </row>
    <row r="1019" spans="1:16" x14ac:dyDescent="0.3">
      <c r="A1019">
        <v>74139</v>
      </c>
      <c r="B1019">
        <v>105</v>
      </c>
      <c r="C1019" t="s">
        <v>557</v>
      </c>
      <c r="D1019" s="452">
        <v>46082</v>
      </c>
      <c r="E1019">
        <v>27397</v>
      </c>
      <c r="F1019" t="s">
        <v>4913</v>
      </c>
      <c r="G1019">
        <v>7399</v>
      </c>
      <c r="H1019">
        <v>2</v>
      </c>
      <c r="I1019" t="s">
        <v>4736</v>
      </c>
      <c r="J1019" t="s">
        <v>5191</v>
      </c>
      <c r="K1019" t="s">
        <v>460</v>
      </c>
      <c r="L1019">
        <v>61.09</v>
      </c>
      <c r="M1019" s="452">
        <v>46080</v>
      </c>
      <c r="N1019">
        <v>61.1</v>
      </c>
      <c r="O1019">
        <v>61.1</v>
      </c>
      <c r="P1019">
        <v>122.18</v>
      </c>
    </row>
    <row r="1020" spans="1:16" x14ac:dyDescent="0.3">
      <c r="A1020">
        <v>74040</v>
      </c>
      <c r="B1020">
        <v>105</v>
      </c>
      <c r="C1020" t="s">
        <v>557</v>
      </c>
      <c r="D1020" s="452">
        <v>46082</v>
      </c>
      <c r="E1020">
        <v>21093</v>
      </c>
      <c r="F1020" t="s">
        <v>4855</v>
      </c>
      <c r="G1020">
        <v>1988</v>
      </c>
      <c r="H1020">
        <v>27</v>
      </c>
      <c r="I1020" t="s">
        <v>4744</v>
      </c>
      <c r="J1020" t="s">
        <v>5191</v>
      </c>
      <c r="K1020" t="s">
        <v>460</v>
      </c>
      <c r="L1020">
        <v>4.5199999999999996</v>
      </c>
      <c r="M1020" s="452">
        <v>46067</v>
      </c>
      <c r="N1020">
        <v>4.3899999999999997</v>
      </c>
      <c r="O1020">
        <v>4.3899999999999997</v>
      </c>
      <c r="P1020">
        <v>122.04</v>
      </c>
    </row>
    <row r="1021" spans="1:16" x14ac:dyDescent="0.3">
      <c r="A1021">
        <v>73895</v>
      </c>
      <c r="B1021">
        <v>105</v>
      </c>
      <c r="C1021" t="s">
        <v>557</v>
      </c>
      <c r="D1021" s="452">
        <v>46082</v>
      </c>
      <c r="E1021">
        <v>18253</v>
      </c>
      <c r="F1021" t="s">
        <v>4969</v>
      </c>
      <c r="G1021">
        <v>3376</v>
      </c>
      <c r="H1021">
        <v>4.2</v>
      </c>
      <c r="I1021" t="s">
        <v>4805</v>
      </c>
      <c r="J1021" t="s">
        <v>5222</v>
      </c>
      <c r="K1021" t="s">
        <v>460</v>
      </c>
      <c r="L1021">
        <v>28.31</v>
      </c>
      <c r="M1021" s="452">
        <v>46066</v>
      </c>
      <c r="N1021">
        <v>28.31</v>
      </c>
      <c r="O1021">
        <v>29.4</v>
      </c>
      <c r="P1021">
        <v>118.9</v>
      </c>
    </row>
    <row r="1022" spans="1:16" x14ac:dyDescent="0.3">
      <c r="A1022">
        <v>73865</v>
      </c>
      <c r="B1022">
        <v>105</v>
      </c>
      <c r="C1022" t="s">
        <v>557</v>
      </c>
      <c r="D1022" s="452">
        <v>46082</v>
      </c>
      <c r="E1022">
        <v>17658</v>
      </c>
      <c r="F1022" t="s">
        <v>4978</v>
      </c>
      <c r="G1022">
        <v>3871</v>
      </c>
      <c r="H1022">
        <v>2</v>
      </c>
      <c r="I1022" t="s">
        <v>4805</v>
      </c>
      <c r="J1022" t="s">
        <v>5222</v>
      </c>
      <c r="K1022" t="s">
        <v>460</v>
      </c>
      <c r="L1022">
        <v>0</v>
      </c>
      <c r="M1022" s="452">
        <v>46051</v>
      </c>
      <c r="N1022">
        <v>58</v>
      </c>
      <c r="O1022">
        <v>58</v>
      </c>
      <c r="P1022">
        <v>116</v>
      </c>
    </row>
    <row r="1023" spans="1:16" x14ac:dyDescent="0.3">
      <c r="A1023">
        <v>74110</v>
      </c>
      <c r="B1023">
        <v>105</v>
      </c>
      <c r="C1023" t="s">
        <v>557</v>
      </c>
      <c r="D1023" s="452">
        <v>46082</v>
      </c>
      <c r="E1023">
        <v>25205</v>
      </c>
      <c r="F1023" t="s">
        <v>4850</v>
      </c>
      <c r="G1023">
        <v>5944</v>
      </c>
      <c r="H1023">
        <v>5.55</v>
      </c>
      <c r="I1023" t="s">
        <v>4744</v>
      </c>
      <c r="J1023" t="s">
        <v>5191</v>
      </c>
      <c r="K1023" t="s">
        <v>460</v>
      </c>
      <c r="L1023">
        <v>20.9</v>
      </c>
      <c r="M1023" s="452">
        <v>46078</v>
      </c>
      <c r="N1023">
        <v>20.9</v>
      </c>
      <c r="O1023">
        <v>20.9</v>
      </c>
      <c r="P1023">
        <v>115.99</v>
      </c>
    </row>
    <row r="1024" spans="1:16" x14ac:dyDescent="0.3">
      <c r="A1024">
        <v>73970</v>
      </c>
      <c r="B1024">
        <v>105</v>
      </c>
      <c r="C1024" t="s">
        <v>557</v>
      </c>
      <c r="D1024" s="452">
        <v>46082</v>
      </c>
      <c r="E1024">
        <v>19649</v>
      </c>
      <c r="F1024" t="s">
        <v>4859</v>
      </c>
      <c r="G1024">
        <v>2589</v>
      </c>
      <c r="H1024">
        <v>4</v>
      </c>
      <c r="I1024" t="s">
        <v>4744</v>
      </c>
      <c r="J1024" t="s">
        <v>5191</v>
      </c>
      <c r="K1024" t="s">
        <v>460</v>
      </c>
      <c r="L1024">
        <v>0</v>
      </c>
      <c r="M1024" s="452">
        <v>45820</v>
      </c>
      <c r="N1024">
        <v>27.9</v>
      </c>
      <c r="O1024">
        <v>23.5</v>
      </c>
      <c r="P1024">
        <v>111.6</v>
      </c>
    </row>
    <row r="1025" spans="1:16" x14ac:dyDescent="0.3">
      <c r="A1025">
        <v>73878</v>
      </c>
      <c r="B1025">
        <v>105</v>
      </c>
      <c r="C1025" t="s">
        <v>557</v>
      </c>
      <c r="D1025" s="452">
        <v>46082</v>
      </c>
      <c r="E1025">
        <v>18006</v>
      </c>
      <c r="F1025" t="s">
        <v>5094</v>
      </c>
      <c r="G1025">
        <v>3591</v>
      </c>
      <c r="H1025">
        <v>3.5</v>
      </c>
      <c r="I1025" t="s">
        <v>4738</v>
      </c>
      <c r="J1025" t="s">
        <v>5222</v>
      </c>
      <c r="K1025" t="s">
        <v>460</v>
      </c>
      <c r="L1025">
        <v>31.81</v>
      </c>
      <c r="M1025" s="452">
        <v>46055</v>
      </c>
      <c r="N1025">
        <v>31.81</v>
      </c>
      <c r="O1025">
        <v>29.64</v>
      </c>
      <c r="P1025">
        <v>111.34</v>
      </c>
    </row>
    <row r="1026" spans="1:16" x14ac:dyDescent="0.3">
      <c r="A1026">
        <v>73936</v>
      </c>
      <c r="B1026">
        <v>105</v>
      </c>
      <c r="C1026" t="s">
        <v>557</v>
      </c>
      <c r="D1026" s="452">
        <v>46082</v>
      </c>
      <c r="E1026">
        <v>19421</v>
      </c>
      <c r="F1026" t="s">
        <v>4918</v>
      </c>
      <c r="G1026">
        <v>2758</v>
      </c>
      <c r="H1026">
        <v>2</v>
      </c>
      <c r="I1026" t="s">
        <v>4749</v>
      </c>
      <c r="J1026" t="s">
        <v>5191</v>
      </c>
      <c r="K1026" t="s">
        <v>460</v>
      </c>
      <c r="L1026">
        <v>55.6</v>
      </c>
      <c r="M1026" s="452">
        <v>46077</v>
      </c>
      <c r="N1026">
        <v>55.22</v>
      </c>
      <c r="O1026">
        <v>54.06</v>
      </c>
      <c r="P1026">
        <v>111.2</v>
      </c>
    </row>
    <row r="1027" spans="1:16" x14ac:dyDescent="0.3">
      <c r="A1027">
        <v>74046</v>
      </c>
      <c r="B1027">
        <v>105</v>
      </c>
      <c r="C1027" t="s">
        <v>557</v>
      </c>
      <c r="D1027" s="452">
        <v>46082</v>
      </c>
      <c r="E1027">
        <v>22843</v>
      </c>
      <c r="F1027" t="s">
        <v>4849</v>
      </c>
      <c r="G1027">
        <v>2936</v>
      </c>
      <c r="H1027">
        <v>3</v>
      </c>
      <c r="I1027" t="s">
        <v>4744</v>
      </c>
      <c r="J1027" t="s">
        <v>5191</v>
      </c>
      <c r="K1027" t="s">
        <v>460</v>
      </c>
      <c r="L1027">
        <v>37</v>
      </c>
      <c r="M1027" s="452">
        <v>46069</v>
      </c>
      <c r="N1027">
        <v>37</v>
      </c>
      <c r="O1027">
        <v>37</v>
      </c>
      <c r="P1027">
        <v>111</v>
      </c>
    </row>
    <row r="1028" spans="1:16" x14ac:dyDescent="0.3">
      <c r="A1028">
        <v>73940</v>
      </c>
      <c r="B1028">
        <v>105</v>
      </c>
      <c r="C1028" t="s">
        <v>557</v>
      </c>
      <c r="D1028" s="452">
        <v>46082</v>
      </c>
      <c r="E1028">
        <v>19472</v>
      </c>
      <c r="F1028" t="s">
        <v>4906</v>
      </c>
      <c r="G1028">
        <v>2733</v>
      </c>
      <c r="H1028">
        <v>3.85</v>
      </c>
      <c r="I1028" t="s">
        <v>4744</v>
      </c>
      <c r="J1028" t="s">
        <v>5191</v>
      </c>
      <c r="K1028" t="s">
        <v>460</v>
      </c>
      <c r="L1028">
        <v>27.53</v>
      </c>
      <c r="M1028" s="452">
        <v>46080</v>
      </c>
      <c r="N1028">
        <v>27</v>
      </c>
      <c r="O1028">
        <v>27</v>
      </c>
      <c r="P1028">
        <v>105.99</v>
      </c>
    </row>
    <row r="1029" spans="1:16" x14ac:dyDescent="0.3">
      <c r="A1029">
        <v>74023</v>
      </c>
      <c r="B1029">
        <v>105</v>
      </c>
      <c r="C1029" t="s">
        <v>557</v>
      </c>
      <c r="D1029" s="452">
        <v>46082</v>
      </c>
      <c r="E1029">
        <v>20689</v>
      </c>
      <c r="F1029" t="s">
        <v>5007</v>
      </c>
      <c r="G1029">
        <v>2105</v>
      </c>
      <c r="H1029">
        <v>3</v>
      </c>
      <c r="I1029" t="s">
        <v>4736</v>
      </c>
      <c r="J1029" t="s">
        <v>5191</v>
      </c>
      <c r="K1029" t="s">
        <v>460</v>
      </c>
      <c r="L1029">
        <v>34.9</v>
      </c>
      <c r="M1029" s="452">
        <v>46066</v>
      </c>
      <c r="N1029">
        <v>34.9</v>
      </c>
      <c r="O1029">
        <v>32</v>
      </c>
      <c r="P1029">
        <v>104.7</v>
      </c>
    </row>
    <row r="1030" spans="1:16" x14ac:dyDescent="0.3">
      <c r="A1030">
        <v>73884</v>
      </c>
      <c r="B1030">
        <v>105</v>
      </c>
      <c r="C1030" t="s">
        <v>557</v>
      </c>
      <c r="D1030" s="452">
        <v>46082</v>
      </c>
      <c r="E1030">
        <v>18116</v>
      </c>
      <c r="F1030" t="s">
        <v>5045</v>
      </c>
      <c r="G1030">
        <v>3496</v>
      </c>
      <c r="H1030">
        <v>1.2</v>
      </c>
      <c r="I1030" t="s">
        <v>4805</v>
      </c>
      <c r="J1030" t="s">
        <v>5222</v>
      </c>
      <c r="K1030" t="s">
        <v>460</v>
      </c>
      <c r="L1030">
        <v>0</v>
      </c>
      <c r="M1030" s="452">
        <v>46050</v>
      </c>
      <c r="N1030">
        <v>86.9</v>
      </c>
      <c r="O1030">
        <v>86.6</v>
      </c>
      <c r="P1030">
        <v>104.28</v>
      </c>
    </row>
    <row r="1031" spans="1:16" x14ac:dyDescent="0.3">
      <c r="A1031">
        <v>74024</v>
      </c>
      <c r="B1031">
        <v>105</v>
      </c>
      <c r="C1031" t="s">
        <v>557</v>
      </c>
      <c r="D1031" s="452">
        <v>46082</v>
      </c>
      <c r="E1031">
        <v>20751</v>
      </c>
      <c r="F1031" t="s">
        <v>5004</v>
      </c>
      <c r="G1031">
        <v>2088</v>
      </c>
      <c r="H1031">
        <v>1</v>
      </c>
      <c r="I1031" t="s">
        <v>4884</v>
      </c>
      <c r="J1031" t="s">
        <v>5191</v>
      </c>
      <c r="K1031" t="s">
        <v>460</v>
      </c>
      <c r="L1031">
        <v>102.9</v>
      </c>
      <c r="M1031" s="452">
        <v>46080</v>
      </c>
      <c r="N1031">
        <v>102.9</v>
      </c>
      <c r="O1031">
        <v>102.9</v>
      </c>
      <c r="P1031">
        <v>102.9</v>
      </c>
    </row>
    <row r="1032" spans="1:16" x14ac:dyDescent="0.3">
      <c r="A1032">
        <v>73994</v>
      </c>
      <c r="B1032">
        <v>105</v>
      </c>
      <c r="C1032" t="s">
        <v>557</v>
      </c>
      <c r="D1032" s="452">
        <v>46082</v>
      </c>
      <c r="E1032">
        <v>20007</v>
      </c>
      <c r="F1032" t="s">
        <v>5101</v>
      </c>
      <c r="G1032">
        <v>2343</v>
      </c>
      <c r="H1032">
        <v>2</v>
      </c>
      <c r="I1032" t="s">
        <v>4884</v>
      </c>
      <c r="J1032" t="s">
        <v>5191</v>
      </c>
      <c r="K1032" t="s">
        <v>460</v>
      </c>
      <c r="L1032">
        <v>50.9</v>
      </c>
      <c r="M1032" s="452">
        <v>46076</v>
      </c>
      <c r="N1032">
        <v>50.9</v>
      </c>
      <c r="O1032">
        <v>41.9</v>
      </c>
      <c r="P1032">
        <v>101.8</v>
      </c>
    </row>
    <row r="1033" spans="1:16" x14ac:dyDescent="0.3">
      <c r="A1033">
        <v>74007</v>
      </c>
      <c r="B1033">
        <v>105</v>
      </c>
      <c r="C1033" t="s">
        <v>557</v>
      </c>
      <c r="D1033" s="452">
        <v>46082</v>
      </c>
      <c r="E1033">
        <v>20308</v>
      </c>
      <c r="F1033" t="s">
        <v>4909</v>
      </c>
      <c r="G1033">
        <v>2222</v>
      </c>
      <c r="H1033">
        <v>3</v>
      </c>
      <c r="I1033" t="s">
        <v>4738</v>
      </c>
      <c r="J1033" t="s">
        <v>5191</v>
      </c>
      <c r="K1033" t="s">
        <v>460</v>
      </c>
      <c r="L1033">
        <v>0</v>
      </c>
      <c r="M1033" s="452">
        <v>45831</v>
      </c>
      <c r="N1033">
        <v>33.799999999999997</v>
      </c>
      <c r="O1033">
        <v>24.9</v>
      </c>
      <c r="P1033">
        <v>101.4</v>
      </c>
    </row>
    <row r="1034" spans="1:16" x14ac:dyDescent="0.3">
      <c r="A1034">
        <v>73980</v>
      </c>
      <c r="B1034">
        <v>105</v>
      </c>
      <c r="C1034" t="s">
        <v>557</v>
      </c>
      <c r="D1034" s="452">
        <v>46082</v>
      </c>
      <c r="E1034">
        <v>19751</v>
      </c>
      <c r="F1034" t="s">
        <v>4800</v>
      </c>
      <c r="G1034">
        <v>2502</v>
      </c>
      <c r="H1034">
        <v>6.07</v>
      </c>
      <c r="I1034" t="s">
        <v>4744</v>
      </c>
      <c r="J1034" t="s">
        <v>5191</v>
      </c>
      <c r="K1034" t="s">
        <v>460</v>
      </c>
      <c r="L1034">
        <v>16.63</v>
      </c>
      <c r="M1034" s="452">
        <v>46080</v>
      </c>
      <c r="N1034">
        <v>16.88</v>
      </c>
      <c r="O1034">
        <v>16.88</v>
      </c>
      <c r="P1034">
        <v>100.94</v>
      </c>
    </row>
    <row r="1035" spans="1:16" x14ac:dyDescent="0.3">
      <c r="A1035">
        <v>73866</v>
      </c>
      <c r="B1035">
        <v>105</v>
      </c>
      <c r="C1035" t="s">
        <v>557</v>
      </c>
      <c r="D1035" s="452">
        <v>46082</v>
      </c>
      <c r="E1035">
        <v>17878</v>
      </c>
      <c r="F1035" t="s">
        <v>4926</v>
      </c>
      <c r="G1035">
        <v>3677</v>
      </c>
      <c r="H1035">
        <v>4</v>
      </c>
      <c r="I1035" t="s">
        <v>4736</v>
      </c>
      <c r="J1035" t="s">
        <v>5222</v>
      </c>
      <c r="K1035" t="s">
        <v>460</v>
      </c>
      <c r="L1035">
        <v>24.94</v>
      </c>
      <c r="M1035" s="452">
        <v>46079</v>
      </c>
      <c r="N1035">
        <v>24.94</v>
      </c>
      <c r="O1035">
        <v>24.94</v>
      </c>
      <c r="P1035">
        <v>99.76</v>
      </c>
    </row>
    <row r="1036" spans="1:16" x14ac:dyDescent="0.3">
      <c r="A1036">
        <v>74095</v>
      </c>
      <c r="B1036">
        <v>105</v>
      </c>
      <c r="C1036" t="s">
        <v>557</v>
      </c>
      <c r="D1036" s="452">
        <v>46082</v>
      </c>
      <c r="E1036">
        <v>24339</v>
      </c>
      <c r="F1036" t="s">
        <v>4885</v>
      </c>
      <c r="G1036">
        <v>2153</v>
      </c>
      <c r="H1036">
        <v>2.65</v>
      </c>
      <c r="I1036" t="s">
        <v>4744</v>
      </c>
      <c r="J1036" t="s">
        <v>5191</v>
      </c>
      <c r="K1036" t="s">
        <v>460</v>
      </c>
      <c r="L1036">
        <v>36</v>
      </c>
      <c r="M1036" s="452">
        <v>46063</v>
      </c>
      <c r="N1036">
        <v>36</v>
      </c>
      <c r="O1036">
        <v>22.49</v>
      </c>
      <c r="P1036">
        <v>95.4</v>
      </c>
    </row>
    <row r="1037" spans="1:16" x14ac:dyDescent="0.3">
      <c r="A1037">
        <v>73981</v>
      </c>
      <c r="B1037">
        <v>105</v>
      </c>
      <c r="C1037" t="s">
        <v>557</v>
      </c>
      <c r="D1037" s="452">
        <v>46082</v>
      </c>
      <c r="E1037">
        <v>19765</v>
      </c>
      <c r="F1037" t="s">
        <v>4889</v>
      </c>
      <c r="G1037">
        <v>2488</v>
      </c>
      <c r="H1037">
        <v>2.78</v>
      </c>
      <c r="I1037" t="s">
        <v>4744</v>
      </c>
      <c r="J1037" t="s">
        <v>5191</v>
      </c>
      <c r="K1037" t="s">
        <v>460</v>
      </c>
      <c r="L1037">
        <v>34.08</v>
      </c>
      <c r="M1037" s="452">
        <v>46076</v>
      </c>
      <c r="N1037">
        <v>34.08</v>
      </c>
      <c r="O1037">
        <v>35</v>
      </c>
      <c r="P1037">
        <v>94.74</v>
      </c>
    </row>
    <row r="1038" spans="1:16" x14ac:dyDescent="0.3">
      <c r="A1038">
        <v>74128</v>
      </c>
      <c r="B1038">
        <v>105</v>
      </c>
      <c r="C1038" t="s">
        <v>557</v>
      </c>
      <c r="D1038" s="452">
        <v>46082</v>
      </c>
      <c r="E1038">
        <v>26038</v>
      </c>
      <c r="F1038" t="s">
        <v>4976</v>
      </c>
      <c r="G1038">
        <v>6506</v>
      </c>
      <c r="H1038">
        <v>2</v>
      </c>
      <c r="I1038" t="s">
        <v>4805</v>
      </c>
      <c r="J1038" t="s">
        <v>5222</v>
      </c>
      <c r="K1038" t="s">
        <v>460</v>
      </c>
      <c r="L1038">
        <v>0</v>
      </c>
      <c r="M1038" s="452">
        <v>46048</v>
      </c>
      <c r="N1038">
        <v>45.5</v>
      </c>
      <c r="O1038">
        <v>45.5</v>
      </c>
      <c r="P1038">
        <v>91</v>
      </c>
    </row>
    <row r="1039" spans="1:16" x14ac:dyDescent="0.3">
      <c r="A1039">
        <v>74011</v>
      </c>
      <c r="B1039">
        <v>105</v>
      </c>
      <c r="C1039" t="s">
        <v>557</v>
      </c>
      <c r="D1039" s="452">
        <v>46082</v>
      </c>
      <c r="E1039">
        <v>20382</v>
      </c>
      <c r="F1039" t="s">
        <v>4780</v>
      </c>
      <c r="G1039">
        <v>2196</v>
      </c>
      <c r="H1039">
        <v>10</v>
      </c>
      <c r="I1039" t="s">
        <v>4738</v>
      </c>
      <c r="J1039" t="s">
        <v>5191</v>
      </c>
      <c r="K1039" t="s">
        <v>460</v>
      </c>
      <c r="L1039">
        <v>8.99</v>
      </c>
      <c r="M1039" s="452">
        <v>46078</v>
      </c>
      <c r="N1039">
        <v>8.99</v>
      </c>
      <c r="O1039">
        <v>8.99</v>
      </c>
      <c r="P1039">
        <v>89.9</v>
      </c>
    </row>
    <row r="1040" spans="1:16" x14ac:dyDescent="0.3">
      <c r="A1040">
        <v>74122</v>
      </c>
      <c r="B1040">
        <v>105</v>
      </c>
      <c r="C1040" t="s">
        <v>557</v>
      </c>
      <c r="D1040" s="452">
        <v>46082</v>
      </c>
      <c r="E1040">
        <v>26005</v>
      </c>
      <c r="F1040" t="s">
        <v>4907</v>
      </c>
      <c r="G1040">
        <v>9065</v>
      </c>
      <c r="H1040">
        <v>7</v>
      </c>
      <c r="I1040" t="s">
        <v>4749</v>
      </c>
      <c r="J1040" t="s">
        <v>5191</v>
      </c>
      <c r="K1040" t="s">
        <v>460</v>
      </c>
      <c r="L1040">
        <v>0</v>
      </c>
      <c r="M1040" s="452">
        <v>45995</v>
      </c>
      <c r="N1040">
        <v>12.62</v>
      </c>
      <c r="O1040">
        <v>12.62</v>
      </c>
      <c r="P1040">
        <v>88.34</v>
      </c>
    </row>
    <row r="1041" spans="1:16" x14ac:dyDescent="0.3">
      <c r="A1041">
        <v>74068</v>
      </c>
      <c r="B1041">
        <v>105</v>
      </c>
      <c r="C1041" t="s">
        <v>557</v>
      </c>
      <c r="D1041" s="452">
        <v>46082</v>
      </c>
      <c r="E1041">
        <v>23515</v>
      </c>
      <c r="F1041" t="s">
        <v>4816</v>
      </c>
      <c r="G1041">
        <v>2353</v>
      </c>
      <c r="H1041">
        <v>4</v>
      </c>
      <c r="I1041" t="s">
        <v>4736</v>
      </c>
      <c r="J1041" t="s">
        <v>5191</v>
      </c>
      <c r="K1041" t="s">
        <v>460</v>
      </c>
      <c r="L1041">
        <v>0</v>
      </c>
      <c r="M1041" s="452">
        <v>45999</v>
      </c>
      <c r="N1041">
        <v>20.8</v>
      </c>
      <c r="O1041">
        <v>19.27</v>
      </c>
      <c r="P1041">
        <v>83.2</v>
      </c>
    </row>
    <row r="1042" spans="1:16" x14ac:dyDescent="0.3">
      <c r="A1042">
        <v>74116</v>
      </c>
      <c r="B1042">
        <v>105</v>
      </c>
      <c r="C1042" t="s">
        <v>557</v>
      </c>
      <c r="D1042" s="452">
        <v>46082</v>
      </c>
      <c r="E1042">
        <v>25757</v>
      </c>
      <c r="F1042" t="s">
        <v>4763</v>
      </c>
      <c r="G1042">
        <v>6308</v>
      </c>
      <c r="H1042">
        <v>10</v>
      </c>
      <c r="I1042" t="s">
        <v>4736</v>
      </c>
      <c r="J1042" t="s">
        <v>5191</v>
      </c>
      <c r="K1042" t="s">
        <v>460</v>
      </c>
      <c r="L1042">
        <v>0</v>
      </c>
      <c r="M1042" s="452">
        <v>45922</v>
      </c>
      <c r="N1042">
        <v>7.99</v>
      </c>
      <c r="O1042">
        <v>7.99</v>
      </c>
      <c r="P1042">
        <v>79.900000000000006</v>
      </c>
    </row>
    <row r="1043" spans="1:16" x14ac:dyDescent="0.3">
      <c r="A1043">
        <v>74103</v>
      </c>
      <c r="B1043">
        <v>105</v>
      </c>
      <c r="C1043" t="s">
        <v>557</v>
      </c>
      <c r="D1043" s="452">
        <v>46082</v>
      </c>
      <c r="E1043">
        <v>24973</v>
      </c>
      <c r="F1043" t="s">
        <v>4819</v>
      </c>
      <c r="G1043">
        <v>5845</v>
      </c>
      <c r="H1043">
        <v>1</v>
      </c>
      <c r="I1043" t="s">
        <v>4738</v>
      </c>
      <c r="J1043" t="s">
        <v>5222</v>
      </c>
      <c r="K1043" t="s">
        <v>460</v>
      </c>
      <c r="L1043">
        <v>0</v>
      </c>
      <c r="M1043" s="452">
        <v>46046</v>
      </c>
      <c r="N1043">
        <v>79.64</v>
      </c>
      <c r="O1043">
        <v>79.64</v>
      </c>
      <c r="P1043">
        <v>79.64</v>
      </c>
    </row>
    <row r="1044" spans="1:16" x14ac:dyDescent="0.3">
      <c r="A1044">
        <v>74042</v>
      </c>
      <c r="B1044">
        <v>105</v>
      </c>
      <c r="C1044" t="s">
        <v>557</v>
      </c>
      <c r="D1044" s="452">
        <v>46082</v>
      </c>
      <c r="E1044">
        <v>21147</v>
      </c>
      <c r="F1044" t="s">
        <v>4876</v>
      </c>
      <c r="G1044">
        <v>1952</v>
      </c>
      <c r="H1044">
        <v>4</v>
      </c>
      <c r="I1044" t="s">
        <v>4736</v>
      </c>
      <c r="J1044" t="s">
        <v>5191</v>
      </c>
      <c r="K1044" t="s">
        <v>460</v>
      </c>
      <c r="L1044">
        <v>0</v>
      </c>
      <c r="M1044" s="452">
        <v>45933</v>
      </c>
      <c r="N1044">
        <v>19.899999999999999</v>
      </c>
      <c r="O1044">
        <v>19.899999999999999</v>
      </c>
      <c r="P1044">
        <v>79.599999999999994</v>
      </c>
    </row>
    <row r="1045" spans="1:16" x14ac:dyDescent="0.3">
      <c r="A1045">
        <v>73967</v>
      </c>
      <c r="B1045">
        <v>105</v>
      </c>
      <c r="C1045" t="s">
        <v>557</v>
      </c>
      <c r="D1045" s="452">
        <v>46082</v>
      </c>
      <c r="E1045">
        <v>19635</v>
      </c>
      <c r="F1045" t="s">
        <v>4786</v>
      </c>
      <c r="G1045">
        <v>2601</v>
      </c>
      <c r="H1045">
        <v>15.1</v>
      </c>
      <c r="I1045" t="s">
        <v>4744</v>
      </c>
      <c r="J1045" t="s">
        <v>5191</v>
      </c>
      <c r="K1045" t="s">
        <v>460</v>
      </c>
      <c r="L1045">
        <v>5.26</v>
      </c>
      <c r="M1045" s="452">
        <v>46078</v>
      </c>
      <c r="N1045">
        <v>5.63</v>
      </c>
      <c r="O1045">
        <v>6.08</v>
      </c>
      <c r="P1045">
        <v>79.430000000000007</v>
      </c>
    </row>
    <row r="1046" spans="1:16" x14ac:dyDescent="0.3">
      <c r="A1046">
        <v>74025</v>
      </c>
      <c r="B1046">
        <v>105</v>
      </c>
      <c r="C1046" t="s">
        <v>557</v>
      </c>
      <c r="D1046" s="452">
        <v>46082</v>
      </c>
      <c r="E1046">
        <v>20756</v>
      </c>
      <c r="F1046" t="s">
        <v>5001</v>
      </c>
      <c r="G1046">
        <v>2086</v>
      </c>
      <c r="H1046">
        <v>1</v>
      </c>
      <c r="I1046" t="s">
        <v>4736</v>
      </c>
      <c r="J1046" t="s">
        <v>5191</v>
      </c>
      <c r="K1046" t="s">
        <v>460</v>
      </c>
      <c r="L1046">
        <v>0</v>
      </c>
      <c r="M1046" s="452">
        <v>45607</v>
      </c>
      <c r="N1046">
        <v>79.2</v>
      </c>
      <c r="O1046">
        <v>78.900000000000006</v>
      </c>
      <c r="P1046">
        <v>79.2</v>
      </c>
    </row>
    <row r="1047" spans="1:16" x14ac:dyDescent="0.3">
      <c r="A1047">
        <v>73904</v>
      </c>
      <c r="B1047">
        <v>105</v>
      </c>
      <c r="C1047" t="s">
        <v>557</v>
      </c>
      <c r="D1047" s="452">
        <v>46082</v>
      </c>
      <c r="E1047">
        <v>18339</v>
      </c>
      <c r="F1047" t="s">
        <v>5033</v>
      </c>
      <c r="G1047">
        <v>3296</v>
      </c>
      <c r="H1047">
        <v>1.4</v>
      </c>
      <c r="I1047" t="s">
        <v>4805</v>
      </c>
      <c r="J1047" t="s">
        <v>5222</v>
      </c>
      <c r="K1047" t="s">
        <v>460</v>
      </c>
      <c r="L1047">
        <v>0</v>
      </c>
      <c r="N1047">
        <v>0</v>
      </c>
      <c r="O1047">
        <v>57</v>
      </c>
      <c r="P1047">
        <v>79.14</v>
      </c>
    </row>
    <row r="1048" spans="1:16" x14ac:dyDescent="0.3">
      <c r="A1048">
        <v>74091</v>
      </c>
      <c r="B1048">
        <v>105</v>
      </c>
      <c r="C1048" t="s">
        <v>557</v>
      </c>
      <c r="D1048" s="452">
        <v>46082</v>
      </c>
      <c r="E1048">
        <v>24302</v>
      </c>
      <c r="F1048" t="s">
        <v>4813</v>
      </c>
      <c r="G1048">
        <v>2251</v>
      </c>
      <c r="H1048">
        <v>7</v>
      </c>
      <c r="I1048" t="s">
        <v>4744</v>
      </c>
      <c r="J1048" t="s">
        <v>5191</v>
      </c>
      <c r="K1048" t="s">
        <v>460</v>
      </c>
      <c r="L1048">
        <v>0</v>
      </c>
      <c r="M1048" s="452">
        <v>45887</v>
      </c>
      <c r="N1048">
        <v>11.19</v>
      </c>
      <c r="O1048">
        <v>10.29</v>
      </c>
      <c r="P1048">
        <v>78.33</v>
      </c>
    </row>
    <row r="1049" spans="1:16" x14ac:dyDescent="0.3">
      <c r="A1049">
        <v>74111</v>
      </c>
      <c r="B1049">
        <v>105</v>
      </c>
      <c r="C1049" t="s">
        <v>557</v>
      </c>
      <c r="D1049" s="452">
        <v>46082</v>
      </c>
      <c r="E1049">
        <v>25358</v>
      </c>
      <c r="F1049" t="s">
        <v>4980</v>
      </c>
      <c r="G1049">
        <v>6047</v>
      </c>
      <c r="H1049">
        <v>1</v>
      </c>
      <c r="I1049" t="s">
        <v>4744</v>
      </c>
      <c r="J1049" t="s">
        <v>5191</v>
      </c>
      <c r="K1049" t="s">
        <v>460</v>
      </c>
      <c r="L1049">
        <v>78</v>
      </c>
      <c r="M1049" s="452">
        <v>46076</v>
      </c>
      <c r="N1049">
        <v>78</v>
      </c>
      <c r="O1049">
        <v>78</v>
      </c>
      <c r="P1049">
        <v>78</v>
      </c>
    </row>
    <row r="1050" spans="1:16" x14ac:dyDescent="0.3">
      <c r="A1050">
        <v>73867</v>
      </c>
      <c r="B1050">
        <v>105</v>
      </c>
      <c r="C1050" t="s">
        <v>557</v>
      </c>
      <c r="D1050" s="452">
        <v>46082</v>
      </c>
      <c r="E1050">
        <v>17881</v>
      </c>
      <c r="F1050" t="s">
        <v>5103</v>
      </c>
      <c r="G1050">
        <v>3675</v>
      </c>
      <c r="H1050">
        <v>2.33</v>
      </c>
      <c r="I1050" t="s">
        <v>4738</v>
      </c>
      <c r="J1050" t="s">
        <v>5222</v>
      </c>
      <c r="K1050" t="s">
        <v>460</v>
      </c>
      <c r="L1050">
        <v>32.950000000000003</v>
      </c>
      <c r="M1050" s="452">
        <v>46077</v>
      </c>
      <c r="N1050">
        <v>33.24</v>
      </c>
      <c r="O1050">
        <v>25.53</v>
      </c>
      <c r="P1050">
        <v>76.77</v>
      </c>
    </row>
    <row r="1051" spans="1:16" x14ac:dyDescent="0.3">
      <c r="A1051">
        <v>74123</v>
      </c>
      <c r="B1051">
        <v>105</v>
      </c>
      <c r="C1051" t="s">
        <v>557</v>
      </c>
      <c r="D1051" s="452">
        <v>46082</v>
      </c>
      <c r="E1051">
        <v>26006</v>
      </c>
      <c r="F1051" t="s">
        <v>4941</v>
      </c>
      <c r="G1051">
        <v>6491</v>
      </c>
      <c r="H1051">
        <v>6</v>
      </c>
      <c r="I1051" t="s">
        <v>4749</v>
      </c>
      <c r="J1051" t="s">
        <v>5191</v>
      </c>
      <c r="K1051" t="s">
        <v>460</v>
      </c>
      <c r="L1051">
        <v>0</v>
      </c>
      <c r="M1051" s="452">
        <v>45995</v>
      </c>
      <c r="N1051">
        <v>12.62</v>
      </c>
      <c r="O1051">
        <v>12.62</v>
      </c>
      <c r="P1051">
        <v>75.72</v>
      </c>
    </row>
    <row r="1052" spans="1:16" x14ac:dyDescent="0.3">
      <c r="A1052">
        <v>74126</v>
      </c>
      <c r="B1052">
        <v>105</v>
      </c>
      <c r="C1052" t="s">
        <v>557</v>
      </c>
      <c r="D1052" s="452">
        <v>46082</v>
      </c>
      <c r="E1052">
        <v>26030</v>
      </c>
      <c r="F1052" t="s">
        <v>5136</v>
      </c>
      <c r="G1052">
        <v>6502</v>
      </c>
      <c r="H1052">
        <v>1</v>
      </c>
      <c r="I1052" t="s">
        <v>4805</v>
      </c>
      <c r="J1052" t="s">
        <v>5222</v>
      </c>
      <c r="K1052" t="s">
        <v>460</v>
      </c>
      <c r="L1052">
        <v>75.400000000000006</v>
      </c>
      <c r="M1052" s="452">
        <v>46063</v>
      </c>
      <c r="N1052">
        <v>75.400000000000006</v>
      </c>
      <c r="O1052">
        <v>75.400000000000006</v>
      </c>
      <c r="P1052">
        <v>75.400000000000006</v>
      </c>
    </row>
    <row r="1053" spans="1:16" x14ac:dyDescent="0.3">
      <c r="A1053">
        <v>74058</v>
      </c>
      <c r="B1053">
        <v>105</v>
      </c>
      <c r="C1053" t="s">
        <v>557</v>
      </c>
      <c r="D1053" s="452">
        <v>46082</v>
      </c>
      <c r="E1053">
        <v>23335</v>
      </c>
      <c r="F1053" t="s">
        <v>4961</v>
      </c>
      <c r="G1053">
        <v>2523</v>
      </c>
      <c r="H1053">
        <v>2.5499999999999998</v>
      </c>
      <c r="I1053" t="s">
        <v>4744</v>
      </c>
      <c r="J1053" t="s">
        <v>5191</v>
      </c>
      <c r="K1053" t="s">
        <v>460</v>
      </c>
      <c r="L1053">
        <v>29.36</v>
      </c>
      <c r="M1053" s="452">
        <v>46078</v>
      </c>
      <c r="N1053">
        <v>29</v>
      </c>
      <c r="O1053">
        <v>29.11</v>
      </c>
      <c r="P1053">
        <v>74.87</v>
      </c>
    </row>
    <row r="1054" spans="1:16" x14ac:dyDescent="0.3">
      <c r="A1054">
        <v>74094</v>
      </c>
      <c r="B1054">
        <v>105</v>
      </c>
      <c r="C1054" t="s">
        <v>557</v>
      </c>
      <c r="D1054" s="452">
        <v>46082</v>
      </c>
      <c r="E1054">
        <v>24323</v>
      </c>
      <c r="F1054" t="s">
        <v>4844</v>
      </c>
      <c r="G1054">
        <v>2262</v>
      </c>
      <c r="H1054">
        <v>4.5999999999999996</v>
      </c>
      <c r="I1054" t="s">
        <v>4744</v>
      </c>
      <c r="J1054" t="s">
        <v>5191</v>
      </c>
      <c r="K1054" t="s">
        <v>460</v>
      </c>
      <c r="L1054">
        <v>0</v>
      </c>
      <c r="M1054" s="452">
        <v>45817</v>
      </c>
      <c r="N1054">
        <v>16.2</v>
      </c>
      <c r="O1054">
        <v>13.9</v>
      </c>
      <c r="P1054">
        <v>74.52</v>
      </c>
    </row>
    <row r="1055" spans="1:16" x14ac:dyDescent="0.3">
      <c r="A1055">
        <v>74047</v>
      </c>
      <c r="B1055">
        <v>105</v>
      </c>
      <c r="C1055" t="s">
        <v>557</v>
      </c>
      <c r="D1055" s="452">
        <v>46082</v>
      </c>
      <c r="E1055">
        <v>23095</v>
      </c>
      <c r="F1055" t="s">
        <v>4741</v>
      </c>
      <c r="G1055">
        <v>2754</v>
      </c>
      <c r="H1055">
        <v>60</v>
      </c>
      <c r="I1055" t="s">
        <v>4736</v>
      </c>
      <c r="J1055" t="s">
        <v>5191</v>
      </c>
      <c r="K1055" t="s">
        <v>460</v>
      </c>
      <c r="L1055">
        <v>1.24</v>
      </c>
      <c r="M1055" s="452">
        <v>46080</v>
      </c>
      <c r="N1055">
        <v>1.25</v>
      </c>
      <c r="O1055">
        <v>1.25</v>
      </c>
      <c r="P1055">
        <v>74.400000000000006</v>
      </c>
    </row>
    <row r="1056" spans="1:16" x14ac:dyDescent="0.3">
      <c r="A1056">
        <v>73954</v>
      </c>
      <c r="B1056">
        <v>105</v>
      </c>
      <c r="C1056" t="s">
        <v>557</v>
      </c>
      <c r="D1056" s="452">
        <v>46082</v>
      </c>
      <c r="E1056">
        <v>19555</v>
      </c>
      <c r="F1056" t="s">
        <v>4903</v>
      </c>
      <c r="G1056">
        <v>2662</v>
      </c>
      <c r="H1056">
        <v>2.35</v>
      </c>
      <c r="I1056" t="s">
        <v>4744</v>
      </c>
      <c r="J1056" t="s">
        <v>5191</v>
      </c>
      <c r="K1056" t="s">
        <v>460</v>
      </c>
      <c r="L1056">
        <v>31.25</v>
      </c>
      <c r="M1056" s="452">
        <v>46062</v>
      </c>
      <c r="N1056">
        <v>31.25</v>
      </c>
      <c r="O1056">
        <v>24.65</v>
      </c>
      <c r="P1056">
        <v>73.44</v>
      </c>
    </row>
    <row r="1057" spans="1:16" x14ac:dyDescent="0.3">
      <c r="A1057">
        <v>74018</v>
      </c>
      <c r="B1057">
        <v>105</v>
      </c>
      <c r="C1057" t="s">
        <v>557</v>
      </c>
      <c r="D1057" s="452">
        <v>46082</v>
      </c>
      <c r="E1057">
        <v>20624</v>
      </c>
      <c r="F1057" t="s">
        <v>5019</v>
      </c>
      <c r="G1057">
        <v>2116</v>
      </c>
      <c r="H1057">
        <v>1</v>
      </c>
      <c r="I1057" t="s">
        <v>4884</v>
      </c>
      <c r="J1057" t="s">
        <v>5191</v>
      </c>
      <c r="K1057" t="s">
        <v>460</v>
      </c>
      <c r="L1057">
        <v>72.78</v>
      </c>
      <c r="M1057" s="452">
        <v>46076</v>
      </c>
      <c r="N1057">
        <v>69.900000000000006</v>
      </c>
      <c r="O1057">
        <v>69.900000000000006</v>
      </c>
      <c r="P1057">
        <v>72.78</v>
      </c>
    </row>
    <row r="1058" spans="1:16" x14ac:dyDescent="0.3">
      <c r="A1058">
        <v>73908</v>
      </c>
      <c r="B1058">
        <v>105</v>
      </c>
      <c r="C1058" t="s">
        <v>557</v>
      </c>
      <c r="D1058" s="452">
        <v>46082</v>
      </c>
      <c r="E1058">
        <v>18462</v>
      </c>
      <c r="F1058" t="s">
        <v>5031</v>
      </c>
      <c r="G1058">
        <v>3193</v>
      </c>
      <c r="H1058">
        <v>1.5</v>
      </c>
      <c r="I1058" t="s">
        <v>4805</v>
      </c>
      <c r="J1058" t="s">
        <v>5222</v>
      </c>
      <c r="K1058" t="s">
        <v>460</v>
      </c>
      <c r="L1058">
        <v>48</v>
      </c>
      <c r="M1058" s="452">
        <v>46078</v>
      </c>
      <c r="N1058">
        <v>48</v>
      </c>
      <c r="O1058">
        <v>48</v>
      </c>
      <c r="P1058">
        <v>72</v>
      </c>
    </row>
    <row r="1059" spans="1:16" x14ac:dyDescent="0.3">
      <c r="A1059">
        <v>74009</v>
      </c>
      <c r="B1059">
        <v>105</v>
      </c>
      <c r="C1059" t="s">
        <v>557</v>
      </c>
      <c r="D1059" s="452">
        <v>46082</v>
      </c>
      <c r="E1059">
        <v>20358</v>
      </c>
      <c r="F1059" t="s">
        <v>4911</v>
      </c>
      <c r="G1059">
        <v>2200</v>
      </c>
      <c r="H1059">
        <v>5</v>
      </c>
      <c r="I1059" t="s">
        <v>4738</v>
      </c>
      <c r="J1059" t="s">
        <v>5191</v>
      </c>
      <c r="K1059" t="s">
        <v>460</v>
      </c>
      <c r="L1059">
        <v>14.23</v>
      </c>
      <c r="M1059" s="452">
        <v>46067</v>
      </c>
      <c r="N1059">
        <v>14.23</v>
      </c>
      <c r="O1059">
        <v>14.24</v>
      </c>
      <c r="P1059">
        <v>71.150000000000006</v>
      </c>
    </row>
    <row r="1060" spans="1:16" x14ac:dyDescent="0.3">
      <c r="A1060">
        <v>73948</v>
      </c>
      <c r="B1060">
        <v>105</v>
      </c>
      <c r="C1060" t="s">
        <v>557</v>
      </c>
      <c r="D1060" s="452">
        <v>46082</v>
      </c>
      <c r="E1060">
        <v>19507</v>
      </c>
      <c r="F1060" t="s">
        <v>4853</v>
      </c>
      <c r="G1060">
        <v>2704</v>
      </c>
      <c r="H1060">
        <v>4.5999999999999996</v>
      </c>
      <c r="I1060" t="s">
        <v>4744</v>
      </c>
      <c r="J1060" t="s">
        <v>5191</v>
      </c>
      <c r="K1060" t="s">
        <v>460</v>
      </c>
      <c r="L1060">
        <v>15.38</v>
      </c>
      <c r="M1060" s="452">
        <v>46079</v>
      </c>
      <c r="N1060">
        <v>18.5</v>
      </c>
      <c r="O1060">
        <v>18.5</v>
      </c>
      <c r="P1060">
        <v>70.75</v>
      </c>
    </row>
    <row r="1061" spans="1:16" x14ac:dyDescent="0.3">
      <c r="A1061">
        <v>73886</v>
      </c>
      <c r="B1061">
        <v>105</v>
      </c>
      <c r="C1061" t="s">
        <v>557</v>
      </c>
      <c r="D1061" s="452">
        <v>46082</v>
      </c>
      <c r="E1061">
        <v>18146</v>
      </c>
      <c r="F1061" t="s">
        <v>5112</v>
      </c>
      <c r="G1061">
        <v>3471</v>
      </c>
      <c r="H1061">
        <v>0.65</v>
      </c>
      <c r="I1061" t="s">
        <v>4805</v>
      </c>
      <c r="J1061" t="s">
        <v>5222</v>
      </c>
      <c r="K1061" t="s">
        <v>460</v>
      </c>
      <c r="L1061">
        <v>0</v>
      </c>
      <c r="M1061" s="452">
        <v>46030</v>
      </c>
      <c r="N1061">
        <v>107.9</v>
      </c>
      <c r="O1061">
        <v>99</v>
      </c>
      <c r="P1061">
        <v>70.14</v>
      </c>
    </row>
    <row r="1062" spans="1:16" x14ac:dyDescent="0.3">
      <c r="A1062">
        <v>74056</v>
      </c>
      <c r="B1062">
        <v>105</v>
      </c>
      <c r="C1062" t="s">
        <v>557</v>
      </c>
      <c r="D1062" s="452">
        <v>46082</v>
      </c>
      <c r="E1062">
        <v>23238</v>
      </c>
      <c r="F1062" t="s">
        <v>4934</v>
      </c>
      <c r="G1062">
        <v>2618</v>
      </c>
      <c r="H1062">
        <v>2.8</v>
      </c>
      <c r="I1062" t="s">
        <v>4744</v>
      </c>
      <c r="J1062" t="s">
        <v>5191</v>
      </c>
      <c r="K1062" t="s">
        <v>460</v>
      </c>
      <c r="L1062">
        <v>25.05</v>
      </c>
      <c r="M1062" s="452">
        <v>46076</v>
      </c>
      <c r="N1062">
        <v>21.02</v>
      </c>
      <c r="O1062">
        <v>22.5</v>
      </c>
      <c r="P1062">
        <v>70.14</v>
      </c>
    </row>
    <row r="1063" spans="1:16" x14ac:dyDescent="0.3">
      <c r="A1063">
        <v>74132</v>
      </c>
      <c r="B1063">
        <v>105</v>
      </c>
      <c r="C1063" t="s">
        <v>557</v>
      </c>
      <c r="D1063" s="452">
        <v>46082</v>
      </c>
      <c r="E1063">
        <v>26150</v>
      </c>
      <c r="F1063" t="s">
        <v>5105</v>
      </c>
      <c r="G1063">
        <v>3409</v>
      </c>
      <c r="H1063">
        <v>0.81</v>
      </c>
      <c r="I1063" t="s">
        <v>4805</v>
      </c>
      <c r="J1063" t="s">
        <v>5222</v>
      </c>
      <c r="K1063" t="s">
        <v>460</v>
      </c>
      <c r="L1063">
        <v>0</v>
      </c>
      <c r="M1063" s="452">
        <v>46027</v>
      </c>
      <c r="N1063">
        <v>86.5</v>
      </c>
      <c r="O1063">
        <v>86.5</v>
      </c>
      <c r="P1063">
        <v>70.06</v>
      </c>
    </row>
    <row r="1064" spans="1:16" x14ac:dyDescent="0.3">
      <c r="A1064">
        <v>74017</v>
      </c>
      <c r="B1064">
        <v>105</v>
      </c>
      <c r="C1064" t="s">
        <v>557</v>
      </c>
      <c r="D1064" s="452">
        <v>46082</v>
      </c>
      <c r="E1064">
        <v>20623</v>
      </c>
      <c r="F1064" t="s">
        <v>4814</v>
      </c>
      <c r="G1064">
        <v>2116</v>
      </c>
      <c r="H1064">
        <v>5.65</v>
      </c>
      <c r="I1064" t="s">
        <v>4736</v>
      </c>
      <c r="J1064" t="s">
        <v>5191</v>
      </c>
      <c r="K1064" t="s">
        <v>460</v>
      </c>
      <c r="L1064">
        <v>12.39</v>
      </c>
      <c r="M1064" s="452">
        <v>46059</v>
      </c>
      <c r="N1064">
        <v>12.39</v>
      </c>
      <c r="O1064">
        <v>59</v>
      </c>
      <c r="P1064">
        <v>70</v>
      </c>
    </row>
    <row r="1065" spans="1:16" x14ac:dyDescent="0.3">
      <c r="A1065">
        <v>73929</v>
      </c>
      <c r="B1065">
        <v>105</v>
      </c>
      <c r="C1065" t="s">
        <v>557</v>
      </c>
      <c r="D1065" s="452">
        <v>46082</v>
      </c>
      <c r="E1065">
        <v>19130</v>
      </c>
      <c r="F1065" t="s">
        <v>4990</v>
      </c>
      <c r="G1065">
        <v>2839</v>
      </c>
      <c r="H1065">
        <v>3.1</v>
      </c>
      <c r="I1065" t="s">
        <v>4744</v>
      </c>
      <c r="J1065" t="s">
        <v>5191</v>
      </c>
      <c r="K1065" t="s">
        <v>460</v>
      </c>
      <c r="L1065">
        <v>0</v>
      </c>
      <c r="N1065">
        <v>0</v>
      </c>
      <c r="O1065">
        <v>22.5</v>
      </c>
      <c r="P1065">
        <v>69.75</v>
      </c>
    </row>
    <row r="1066" spans="1:16" x14ac:dyDescent="0.3">
      <c r="A1066">
        <v>73926</v>
      </c>
      <c r="B1066">
        <v>105</v>
      </c>
      <c r="C1066" t="s">
        <v>557</v>
      </c>
      <c r="D1066" s="452">
        <v>46082</v>
      </c>
      <c r="E1066">
        <v>18996</v>
      </c>
      <c r="F1066" t="s">
        <v>5130</v>
      </c>
      <c r="G1066">
        <v>2900</v>
      </c>
      <c r="H1066">
        <v>4.55</v>
      </c>
      <c r="I1066" t="s">
        <v>4744</v>
      </c>
      <c r="J1066" t="s">
        <v>5191</v>
      </c>
      <c r="K1066" t="s">
        <v>460</v>
      </c>
      <c r="L1066">
        <v>15.24</v>
      </c>
      <c r="M1066" s="452">
        <v>46078</v>
      </c>
      <c r="N1066">
        <v>16.489999999999998</v>
      </c>
      <c r="O1066">
        <v>15.12</v>
      </c>
      <c r="P1066">
        <v>69.34</v>
      </c>
    </row>
    <row r="1067" spans="1:16" x14ac:dyDescent="0.3">
      <c r="A1067">
        <v>74099</v>
      </c>
      <c r="B1067">
        <v>105</v>
      </c>
      <c r="C1067" t="s">
        <v>557</v>
      </c>
      <c r="D1067" s="452">
        <v>46082</v>
      </c>
      <c r="E1067">
        <v>24522</v>
      </c>
      <c r="F1067" t="s">
        <v>5072</v>
      </c>
      <c r="G1067">
        <v>5651</v>
      </c>
      <c r="H1067">
        <v>3</v>
      </c>
      <c r="I1067" t="s">
        <v>4744</v>
      </c>
      <c r="J1067" t="s">
        <v>5191</v>
      </c>
      <c r="K1067" t="s">
        <v>460</v>
      </c>
      <c r="L1067">
        <v>23</v>
      </c>
      <c r="M1067" s="452">
        <v>46072</v>
      </c>
      <c r="N1067">
        <v>23</v>
      </c>
      <c r="O1067">
        <v>23</v>
      </c>
      <c r="P1067">
        <v>69</v>
      </c>
    </row>
    <row r="1068" spans="1:16" x14ac:dyDescent="0.3">
      <c r="A1068">
        <v>73982</v>
      </c>
      <c r="B1068">
        <v>105</v>
      </c>
      <c r="C1068" t="s">
        <v>557</v>
      </c>
      <c r="D1068" s="452">
        <v>46082</v>
      </c>
      <c r="E1068">
        <v>19787</v>
      </c>
      <c r="F1068" t="s">
        <v>4793</v>
      </c>
      <c r="G1068">
        <v>2471</v>
      </c>
      <c r="H1068">
        <v>13.7</v>
      </c>
      <c r="I1068" t="s">
        <v>4744</v>
      </c>
      <c r="J1068" t="s">
        <v>5191</v>
      </c>
      <c r="K1068" t="s">
        <v>460</v>
      </c>
      <c r="L1068">
        <v>4.9800000000000004</v>
      </c>
      <c r="M1068" s="452">
        <v>46080</v>
      </c>
      <c r="N1068">
        <v>5</v>
      </c>
      <c r="O1068">
        <v>5</v>
      </c>
      <c r="P1068">
        <v>68.23</v>
      </c>
    </row>
    <row r="1069" spans="1:16" x14ac:dyDescent="0.3">
      <c r="A1069">
        <v>73972</v>
      </c>
      <c r="B1069">
        <v>105</v>
      </c>
      <c r="C1069" t="s">
        <v>557</v>
      </c>
      <c r="D1069" s="452">
        <v>46082</v>
      </c>
      <c r="E1069">
        <v>19654</v>
      </c>
      <c r="F1069" t="s">
        <v>5099</v>
      </c>
      <c r="G1069">
        <v>2586</v>
      </c>
      <c r="H1069">
        <v>9.9</v>
      </c>
      <c r="I1069" t="s">
        <v>4744</v>
      </c>
      <c r="J1069" t="s">
        <v>5191</v>
      </c>
      <c r="K1069" t="s">
        <v>460</v>
      </c>
      <c r="L1069">
        <v>6.73</v>
      </c>
      <c r="M1069" s="452">
        <v>46078</v>
      </c>
      <c r="N1069">
        <v>6.96</v>
      </c>
      <c r="O1069">
        <v>6.36</v>
      </c>
      <c r="P1069">
        <v>66.63</v>
      </c>
    </row>
    <row r="1070" spans="1:16" x14ac:dyDescent="0.3">
      <c r="A1070">
        <v>73907</v>
      </c>
      <c r="B1070">
        <v>105</v>
      </c>
      <c r="C1070" t="s">
        <v>557</v>
      </c>
      <c r="D1070" s="452">
        <v>46082</v>
      </c>
      <c r="E1070">
        <v>18423</v>
      </c>
      <c r="F1070" t="s">
        <v>4987</v>
      </c>
      <c r="G1070">
        <v>3220</v>
      </c>
      <c r="H1070">
        <v>1.6</v>
      </c>
      <c r="I1070" t="s">
        <v>4805</v>
      </c>
      <c r="J1070" t="s">
        <v>5222</v>
      </c>
      <c r="K1070" t="s">
        <v>460</v>
      </c>
      <c r="L1070">
        <v>41</v>
      </c>
      <c r="M1070" s="452">
        <v>46078</v>
      </c>
      <c r="N1070">
        <v>41</v>
      </c>
      <c r="O1070">
        <v>41</v>
      </c>
      <c r="P1070">
        <v>65.599999999999994</v>
      </c>
    </row>
    <row r="1071" spans="1:16" x14ac:dyDescent="0.3">
      <c r="A1071">
        <v>73973</v>
      </c>
      <c r="B1071">
        <v>105</v>
      </c>
      <c r="C1071" t="s">
        <v>557</v>
      </c>
      <c r="D1071" s="452">
        <v>46082</v>
      </c>
      <c r="E1071">
        <v>19658</v>
      </c>
      <c r="F1071" t="s">
        <v>4784</v>
      </c>
      <c r="G1071">
        <v>2582</v>
      </c>
      <c r="H1071">
        <v>21.2</v>
      </c>
      <c r="I1071" t="s">
        <v>4744</v>
      </c>
      <c r="J1071" t="s">
        <v>5191</v>
      </c>
      <c r="K1071" t="s">
        <v>460</v>
      </c>
      <c r="L1071">
        <v>3.06</v>
      </c>
      <c r="M1071" s="452">
        <v>46079</v>
      </c>
      <c r="N1071">
        <v>2.9</v>
      </c>
      <c r="O1071">
        <v>2.9</v>
      </c>
      <c r="P1071">
        <v>64.87</v>
      </c>
    </row>
    <row r="1072" spans="1:16" x14ac:dyDescent="0.3">
      <c r="A1072">
        <v>74107</v>
      </c>
      <c r="B1072">
        <v>105</v>
      </c>
      <c r="C1072" t="s">
        <v>557</v>
      </c>
      <c r="D1072" s="452">
        <v>46082</v>
      </c>
      <c r="E1072">
        <v>25075</v>
      </c>
      <c r="F1072" t="s">
        <v>4790</v>
      </c>
      <c r="G1072">
        <v>5883</v>
      </c>
      <c r="H1072">
        <v>7</v>
      </c>
      <c r="I1072" t="s">
        <v>4738</v>
      </c>
      <c r="J1072" t="s">
        <v>5191</v>
      </c>
      <c r="K1072" t="s">
        <v>460</v>
      </c>
      <c r="L1072">
        <v>0</v>
      </c>
      <c r="M1072" s="452">
        <v>46006</v>
      </c>
      <c r="N1072">
        <v>8.9499999999999993</v>
      </c>
      <c r="O1072">
        <v>12.62</v>
      </c>
      <c r="P1072">
        <v>62.65</v>
      </c>
    </row>
    <row r="1073" spans="1:16" x14ac:dyDescent="0.3">
      <c r="A1073">
        <v>74060</v>
      </c>
      <c r="B1073">
        <v>105</v>
      </c>
      <c r="C1073" t="s">
        <v>557</v>
      </c>
      <c r="D1073" s="452">
        <v>46082</v>
      </c>
      <c r="E1073">
        <v>23359</v>
      </c>
      <c r="F1073" t="s">
        <v>4767</v>
      </c>
      <c r="G1073">
        <v>2499</v>
      </c>
      <c r="H1073">
        <v>22.7</v>
      </c>
      <c r="I1073" t="s">
        <v>4744</v>
      </c>
      <c r="J1073" t="s">
        <v>5191</v>
      </c>
      <c r="K1073" t="s">
        <v>460</v>
      </c>
      <c r="L1073">
        <v>2.75</v>
      </c>
      <c r="M1073" s="452">
        <v>46080</v>
      </c>
      <c r="N1073">
        <v>2.75</v>
      </c>
      <c r="O1073">
        <v>2.42</v>
      </c>
      <c r="P1073">
        <v>62.42</v>
      </c>
    </row>
    <row r="1074" spans="1:16" x14ac:dyDescent="0.3">
      <c r="A1074">
        <v>74041</v>
      </c>
      <c r="B1074">
        <v>105</v>
      </c>
      <c r="C1074" t="s">
        <v>557</v>
      </c>
      <c r="D1074" s="452">
        <v>46082</v>
      </c>
      <c r="E1074">
        <v>21130</v>
      </c>
      <c r="F1074" t="s">
        <v>4998</v>
      </c>
      <c r="G1074">
        <v>1963</v>
      </c>
      <c r="H1074">
        <v>1.76</v>
      </c>
      <c r="I1074" t="s">
        <v>4736</v>
      </c>
      <c r="J1074" t="s">
        <v>5191</v>
      </c>
      <c r="K1074" t="s">
        <v>460</v>
      </c>
      <c r="L1074">
        <v>0</v>
      </c>
      <c r="M1074" s="452">
        <v>45811</v>
      </c>
      <c r="N1074">
        <v>35.31</v>
      </c>
      <c r="O1074">
        <v>38.9</v>
      </c>
      <c r="P1074">
        <v>62.15</v>
      </c>
    </row>
    <row r="1075" spans="1:16" x14ac:dyDescent="0.3">
      <c r="A1075">
        <v>73971</v>
      </c>
      <c r="B1075">
        <v>105</v>
      </c>
      <c r="C1075" t="s">
        <v>557</v>
      </c>
      <c r="D1075" s="452">
        <v>46082</v>
      </c>
      <c r="E1075">
        <v>19652</v>
      </c>
      <c r="F1075" t="s">
        <v>4899</v>
      </c>
      <c r="G1075">
        <v>2587</v>
      </c>
      <c r="H1075">
        <v>3.25</v>
      </c>
      <c r="I1075" t="s">
        <v>4744</v>
      </c>
      <c r="J1075" t="s">
        <v>5191</v>
      </c>
      <c r="K1075" t="s">
        <v>460</v>
      </c>
      <c r="L1075">
        <v>19.079999999999998</v>
      </c>
      <c r="M1075" s="452">
        <v>46072</v>
      </c>
      <c r="N1075">
        <v>19.079999999999998</v>
      </c>
      <c r="O1075">
        <v>19.079999999999998</v>
      </c>
      <c r="P1075">
        <v>62.01</v>
      </c>
    </row>
    <row r="1076" spans="1:16" x14ac:dyDescent="0.3">
      <c r="A1076">
        <v>74119</v>
      </c>
      <c r="B1076">
        <v>105</v>
      </c>
      <c r="C1076" t="s">
        <v>557</v>
      </c>
      <c r="D1076" s="452">
        <v>46082</v>
      </c>
      <c r="E1076">
        <v>25760</v>
      </c>
      <c r="F1076" t="s">
        <v>4787</v>
      </c>
      <c r="G1076">
        <v>6311</v>
      </c>
      <c r="H1076">
        <v>8</v>
      </c>
      <c r="I1076" t="s">
        <v>4736</v>
      </c>
      <c r="J1076" t="s">
        <v>5191</v>
      </c>
      <c r="K1076" t="s">
        <v>460</v>
      </c>
      <c r="L1076">
        <v>0</v>
      </c>
      <c r="M1076" s="452">
        <v>45922</v>
      </c>
      <c r="N1076">
        <v>7.65</v>
      </c>
      <c r="O1076">
        <v>7.65</v>
      </c>
      <c r="P1076">
        <v>61.2</v>
      </c>
    </row>
    <row r="1077" spans="1:16" x14ac:dyDescent="0.3">
      <c r="A1077">
        <v>74100</v>
      </c>
      <c r="B1077">
        <v>105</v>
      </c>
      <c r="C1077" t="s">
        <v>557</v>
      </c>
      <c r="D1077" s="452">
        <v>46082</v>
      </c>
      <c r="E1077">
        <v>24574</v>
      </c>
      <c r="F1077" t="s">
        <v>5134</v>
      </c>
      <c r="G1077">
        <v>5673</v>
      </c>
      <c r="H1077">
        <v>3</v>
      </c>
      <c r="I1077" t="s">
        <v>4736</v>
      </c>
      <c r="J1077" t="s">
        <v>5191</v>
      </c>
      <c r="K1077" t="s">
        <v>460</v>
      </c>
      <c r="L1077">
        <v>19.899999999999999</v>
      </c>
      <c r="M1077" s="452">
        <v>46056</v>
      </c>
      <c r="N1077">
        <v>19.899999999999999</v>
      </c>
      <c r="O1077">
        <v>19.899999999999999</v>
      </c>
      <c r="P1077">
        <v>59.7</v>
      </c>
    </row>
    <row r="1078" spans="1:16" x14ac:dyDescent="0.3">
      <c r="A1078">
        <v>73933</v>
      </c>
      <c r="B1078">
        <v>105</v>
      </c>
      <c r="C1078" t="s">
        <v>557</v>
      </c>
      <c r="D1078" s="452">
        <v>46082</v>
      </c>
      <c r="E1078">
        <v>19322</v>
      </c>
      <c r="F1078" t="s">
        <v>4830</v>
      </c>
      <c r="G1078">
        <v>2773</v>
      </c>
      <c r="H1078">
        <v>1.49</v>
      </c>
      <c r="I1078" t="s">
        <v>4744</v>
      </c>
      <c r="J1078" t="s">
        <v>5191</v>
      </c>
      <c r="K1078" t="s">
        <v>460</v>
      </c>
      <c r="L1078">
        <v>38.630000000000003</v>
      </c>
      <c r="M1078" s="452">
        <v>46076</v>
      </c>
      <c r="N1078">
        <v>38.96</v>
      </c>
      <c r="O1078">
        <v>38.96</v>
      </c>
      <c r="P1078">
        <v>57.56</v>
      </c>
    </row>
    <row r="1079" spans="1:16" x14ac:dyDescent="0.3">
      <c r="A1079">
        <v>74000</v>
      </c>
      <c r="B1079">
        <v>105</v>
      </c>
      <c r="C1079" t="s">
        <v>557</v>
      </c>
      <c r="D1079" s="452">
        <v>46082</v>
      </c>
      <c r="E1079">
        <v>20122</v>
      </c>
      <c r="F1079" t="s">
        <v>4781</v>
      </c>
      <c r="G1079">
        <v>2290</v>
      </c>
      <c r="H1079">
        <v>4</v>
      </c>
      <c r="I1079" t="s">
        <v>4738</v>
      </c>
      <c r="J1079" t="s">
        <v>5191</v>
      </c>
      <c r="K1079" t="s">
        <v>460</v>
      </c>
      <c r="L1079">
        <v>14.3</v>
      </c>
      <c r="M1079" s="452">
        <v>46076</v>
      </c>
      <c r="N1079">
        <v>14.3</v>
      </c>
      <c r="O1079">
        <v>14.4</v>
      </c>
      <c r="P1079">
        <v>57.2</v>
      </c>
    </row>
    <row r="1080" spans="1:16" x14ac:dyDescent="0.3">
      <c r="A1080">
        <v>73988</v>
      </c>
      <c r="B1080">
        <v>105</v>
      </c>
      <c r="C1080" t="s">
        <v>557</v>
      </c>
      <c r="D1080" s="452">
        <v>46082</v>
      </c>
      <c r="E1080">
        <v>19955</v>
      </c>
      <c r="F1080" t="s">
        <v>4985</v>
      </c>
      <c r="G1080">
        <v>2359</v>
      </c>
      <c r="H1080">
        <v>1</v>
      </c>
      <c r="I1080" t="s">
        <v>4736</v>
      </c>
      <c r="J1080" t="s">
        <v>5191</v>
      </c>
      <c r="K1080" t="s">
        <v>460</v>
      </c>
      <c r="L1080">
        <v>0</v>
      </c>
      <c r="M1080" s="452">
        <v>45971</v>
      </c>
      <c r="N1080">
        <v>56.9</v>
      </c>
      <c r="O1080">
        <v>56.8</v>
      </c>
      <c r="P1080">
        <v>56.9</v>
      </c>
    </row>
    <row r="1081" spans="1:16" x14ac:dyDescent="0.3">
      <c r="A1081">
        <v>74072</v>
      </c>
      <c r="B1081">
        <v>105</v>
      </c>
      <c r="C1081" t="s">
        <v>557</v>
      </c>
      <c r="D1081" s="452">
        <v>46082</v>
      </c>
      <c r="E1081">
        <v>23656</v>
      </c>
      <c r="F1081" t="s">
        <v>4945</v>
      </c>
      <c r="G1081">
        <v>2228</v>
      </c>
      <c r="H1081">
        <v>2</v>
      </c>
      <c r="I1081" t="s">
        <v>4744</v>
      </c>
      <c r="J1081" t="s">
        <v>5191</v>
      </c>
      <c r="K1081" t="s">
        <v>460</v>
      </c>
      <c r="L1081">
        <v>0</v>
      </c>
      <c r="M1081" s="452">
        <v>45873</v>
      </c>
      <c r="N1081">
        <v>28</v>
      </c>
      <c r="O1081">
        <v>27.3</v>
      </c>
      <c r="P1081">
        <v>56</v>
      </c>
    </row>
    <row r="1082" spans="1:16" x14ac:dyDescent="0.3">
      <c r="A1082">
        <v>74008</v>
      </c>
      <c r="B1082">
        <v>105</v>
      </c>
      <c r="C1082" t="s">
        <v>557</v>
      </c>
      <c r="D1082" s="452">
        <v>46082</v>
      </c>
      <c r="E1082">
        <v>20322</v>
      </c>
      <c r="F1082" t="s">
        <v>4882</v>
      </c>
      <c r="G1082">
        <v>2212</v>
      </c>
      <c r="H1082">
        <v>5</v>
      </c>
      <c r="I1082" t="s">
        <v>4738</v>
      </c>
      <c r="J1082" t="s">
        <v>5191</v>
      </c>
      <c r="K1082" t="s">
        <v>460</v>
      </c>
      <c r="L1082">
        <v>10.8</v>
      </c>
      <c r="M1082" s="452">
        <v>46059</v>
      </c>
      <c r="N1082">
        <v>10.8</v>
      </c>
      <c r="O1082">
        <v>10.8</v>
      </c>
      <c r="P1082">
        <v>54</v>
      </c>
    </row>
    <row r="1083" spans="1:16" x14ac:dyDescent="0.3">
      <c r="A1083">
        <v>74117</v>
      </c>
      <c r="B1083">
        <v>105</v>
      </c>
      <c r="C1083" t="s">
        <v>557</v>
      </c>
      <c r="D1083" s="452">
        <v>46082</v>
      </c>
      <c r="E1083">
        <v>25758</v>
      </c>
      <c r="F1083" t="s">
        <v>4775</v>
      </c>
      <c r="G1083">
        <v>9066</v>
      </c>
      <c r="H1083">
        <v>5</v>
      </c>
      <c r="I1083" t="s">
        <v>4736</v>
      </c>
      <c r="J1083" t="s">
        <v>5191</v>
      </c>
      <c r="K1083" t="s">
        <v>460</v>
      </c>
      <c r="L1083">
        <v>0</v>
      </c>
      <c r="M1083" s="452">
        <v>45918</v>
      </c>
      <c r="N1083">
        <v>10.71</v>
      </c>
      <c r="O1083">
        <v>10.71</v>
      </c>
      <c r="P1083">
        <v>53.55</v>
      </c>
    </row>
    <row r="1084" spans="1:16" x14ac:dyDescent="0.3">
      <c r="A1084">
        <v>73934</v>
      </c>
      <c r="B1084">
        <v>105</v>
      </c>
      <c r="C1084" t="s">
        <v>557</v>
      </c>
      <c r="D1084" s="452">
        <v>46082</v>
      </c>
      <c r="E1084">
        <v>19353</v>
      </c>
      <c r="F1084" t="s">
        <v>4851</v>
      </c>
      <c r="G1084">
        <v>2768</v>
      </c>
      <c r="H1084">
        <v>2.15</v>
      </c>
      <c r="I1084" t="s">
        <v>4744</v>
      </c>
      <c r="J1084" t="s">
        <v>5191</v>
      </c>
      <c r="K1084" t="s">
        <v>460</v>
      </c>
      <c r="L1084">
        <v>0</v>
      </c>
      <c r="M1084" s="452">
        <v>46036</v>
      </c>
      <c r="N1084">
        <v>24.6</v>
      </c>
      <c r="O1084">
        <v>24.6</v>
      </c>
      <c r="P1084">
        <v>52.89</v>
      </c>
    </row>
    <row r="1085" spans="1:16" x14ac:dyDescent="0.3">
      <c r="A1085">
        <v>74015</v>
      </c>
      <c r="B1085">
        <v>105</v>
      </c>
      <c r="C1085" t="s">
        <v>557</v>
      </c>
      <c r="D1085" s="452">
        <v>46082</v>
      </c>
      <c r="E1085">
        <v>20585</v>
      </c>
      <c r="F1085" t="s">
        <v>5025</v>
      </c>
      <c r="G1085">
        <v>2121</v>
      </c>
      <c r="H1085">
        <v>2</v>
      </c>
      <c r="I1085" t="s">
        <v>4736</v>
      </c>
      <c r="J1085" t="s">
        <v>5191</v>
      </c>
      <c r="K1085" t="s">
        <v>460</v>
      </c>
      <c r="L1085">
        <v>26.4</v>
      </c>
      <c r="M1085" s="452">
        <v>46077</v>
      </c>
      <c r="N1085">
        <v>25.9</v>
      </c>
      <c r="O1085">
        <v>25.9</v>
      </c>
      <c r="P1085">
        <v>52.8</v>
      </c>
    </row>
    <row r="1086" spans="1:16" x14ac:dyDescent="0.3">
      <c r="A1086">
        <v>74019</v>
      </c>
      <c r="B1086">
        <v>105</v>
      </c>
      <c r="C1086" t="s">
        <v>557</v>
      </c>
      <c r="D1086" s="452">
        <v>46082</v>
      </c>
      <c r="E1086">
        <v>20653</v>
      </c>
      <c r="F1086" t="s">
        <v>5013</v>
      </c>
      <c r="G1086">
        <v>2111</v>
      </c>
      <c r="H1086">
        <v>2</v>
      </c>
      <c r="I1086" t="s">
        <v>4736</v>
      </c>
      <c r="J1086" t="s">
        <v>5191</v>
      </c>
      <c r="K1086" t="s">
        <v>460</v>
      </c>
      <c r="L1086">
        <v>24.7</v>
      </c>
      <c r="M1086" s="452">
        <v>46077</v>
      </c>
      <c r="N1086">
        <v>24.7</v>
      </c>
      <c r="O1086">
        <v>25.97</v>
      </c>
      <c r="P1086">
        <v>49.4</v>
      </c>
    </row>
    <row r="1087" spans="1:16" x14ac:dyDescent="0.3">
      <c r="A1087">
        <v>73990</v>
      </c>
      <c r="B1087">
        <v>105</v>
      </c>
      <c r="C1087" t="s">
        <v>557</v>
      </c>
      <c r="D1087" s="452">
        <v>46082</v>
      </c>
      <c r="E1087">
        <v>19967</v>
      </c>
      <c r="F1087" t="s">
        <v>4956</v>
      </c>
      <c r="G1087">
        <v>2356</v>
      </c>
      <c r="H1087">
        <v>1</v>
      </c>
      <c r="I1087" t="s">
        <v>4888</v>
      </c>
      <c r="J1087" t="s">
        <v>5191</v>
      </c>
      <c r="K1087" t="s">
        <v>460</v>
      </c>
      <c r="L1087">
        <v>49.09</v>
      </c>
      <c r="M1087" s="452">
        <v>46067</v>
      </c>
      <c r="N1087">
        <v>49.09</v>
      </c>
      <c r="O1087">
        <v>49.09</v>
      </c>
      <c r="P1087">
        <v>49.09</v>
      </c>
    </row>
    <row r="1088" spans="1:16" x14ac:dyDescent="0.3">
      <c r="A1088">
        <v>73914</v>
      </c>
      <c r="B1088">
        <v>105</v>
      </c>
      <c r="C1088" t="s">
        <v>557</v>
      </c>
      <c r="D1088" s="452">
        <v>46082</v>
      </c>
      <c r="E1088">
        <v>18545</v>
      </c>
      <c r="F1088" t="s">
        <v>4864</v>
      </c>
      <c r="G1088">
        <v>3134</v>
      </c>
      <c r="H1088">
        <v>1</v>
      </c>
      <c r="I1088" t="s">
        <v>4805</v>
      </c>
      <c r="J1088" t="s">
        <v>5222</v>
      </c>
      <c r="K1088" t="s">
        <v>460</v>
      </c>
      <c r="L1088">
        <v>48.4</v>
      </c>
      <c r="M1088" s="452">
        <v>46079</v>
      </c>
      <c r="N1088">
        <v>47.9</v>
      </c>
      <c r="O1088">
        <v>47.9</v>
      </c>
      <c r="P1088">
        <v>48.4</v>
      </c>
    </row>
    <row r="1089" spans="1:16" x14ac:dyDescent="0.3">
      <c r="A1089">
        <v>73969</v>
      </c>
      <c r="B1089">
        <v>105</v>
      </c>
      <c r="C1089" t="s">
        <v>557</v>
      </c>
      <c r="D1089" s="452">
        <v>46082</v>
      </c>
      <c r="E1089">
        <v>19647</v>
      </c>
      <c r="F1089" t="s">
        <v>5050</v>
      </c>
      <c r="G1089">
        <v>2591</v>
      </c>
      <c r="H1089">
        <v>3.35</v>
      </c>
      <c r="I1089" t="s">
        <v>4744</v>
      </c>
      <c r="J1089" t="s">
        <v>5191</v>
      </c>
      <c r="K1089" t="s">
        <v>460</v>
      </c>
      <c r="L1089">
        <v>14.32</v>
      </c>
      <c r="M1089" s="452">
        <v>46079</v>
      </c>
      <c r="N1089">
        <v>15</v>
      </c>
      <c r="O1089">
        <v>14.24</v>
      </c>
      <c r="P1089">
        <v>47.97</v>
      </c>
    </row>
    <row r="1090" spans="1:16" x14ac:dyDescent="0.3">
      <c r="A1090">
        <v>73896</v>
      </c>
      <c r="B1090">
        <v>105</v>
      </c>
      <c r="C1090" t="s">
        <v>557</v>
      </c>
      <c r="D1090" s="452">
        <v>46082</v>
      </c>
      <c r="E1090">
        <v>18273</v>
      </c>
      <c r="F1090" t="s">
        <v>5058</v>
      </c>
      <c r="G1090">
        <v>3357</v>
      </c>
      <c r="H1090">
        <v>1.22</v>
      </c>
      <c r="I1090" t="s">
        <v>4805</v>
      </c>
      <c r="J1090" t="s">
        <v>5222</v>
      </c>
      <c r="K1090" t="s">
        <v>460</v>
      </c>
      <c r="L1090">
        <v>39</v>
      </c>
      <c r="M1090" s="452">
        <v>46078</v>
      </c>
      <c r="N1090">
        <v>39</v>
      </c>
      <c r="O1090">
        <v>39</v>
      </c>
      <c r="P1090">
        <v>47.58</v>
      </c>
    </row>
    <row r="1091" spans="1:16" x14ac:dyDescent="0.3">
      <c r="A1091">
        <v>73992</v>
      </c>
      <c r="B1091">
        <v>105</v>
      </c>
      <c r="C1091" t="s">
        <v>557</v>
      </c>
      <c r="D1091" s="452">
        <v>46082</v>
      </c>
      <c r="E1091">
        <v>19978</v>
      </c>
      <c r="F1091" t="s">
        <v>4887</v>
      </c>
      <c r="G1091">
        <v>2353</v>
      </c>
      <c r="H1091">
        <v>2</v>
      </c>
      <c r="I1091" t="s">
        <v>4888</v>
      </c>
      <c r="J1091" t="s">
        <v>5191</v>
      </c>
      <c r="K1091" t="s">
        <v>460</v>
      </c>
      <c r="L1091">
        <v>22.96</v>
      </c>
      <c r="M1091" s="452">
        <v>46077</v>
      </c>
      <c r="N1091">
        <v>22.96</v>
      </c>
      <c r="O1091">
        <v>22.2</v>
      </c>
      <c r="P1091">
        <v>45.92</v>
      </c>
    </row>
    <row r="1092" spans="1:16" x14ac:dyDescent="0.3">
      <c r="A1092">
        <v>74075</v>
      </c>
      <c r="B1092">
        <v>105</v>
      </c>
      <c r="C1092" t="s">
        <v>557</v>
      </c>
      <c r="D1092" s="452">
        <v>46082</v>
      </c>
      <c r="E1092">
        <v>23819</v>
      </c>
      <c r="F1092" t="s">
        <v>4947</v>
      </c>
      <c r="G1092">
        <v>2083</v>
      </c>
      <c r="H1092">
        <v>5</v>
      </c>
      <c r="I1092" t="s">
        <v>4736</v>
      </c>
      <c r="J1092" t="s">
        <v>5191</v>
      </c>
      <c r="K1092" t="s">
        <v>460</v>
      </c>
      <c r="L1092">
        <v>9.16</v>
      </c>
      <c r="M1092" s="452">
        <v>46066</v>
      </c>
      <c r="N1092">
        <v>9.16</v>
      </c>
      <c r="O1092">
        <v>9.16</v>
      </c>
      <c r="P1092">
        <v>45.8</v>
      </c>
    </row>
    <row r="1093" spans="1:16" x14ac:dyDescent="0.3">
      <c r="A1093">
        <v>74010</v>
      </c>
      <c r="B1093">
        <v>105</v>
      </c>
      <c r="C1093" t="s">
        <v>557</v>
      </c>
      <c r="D1093" s="452">
        <v>46082</v>
      </c>
      <c r="E1093">
        <v>20365</v>
      </c>
      <c r="F1093" t="s">
        <v>4796</v>
      </c>
      <c r="G1093">
        <v>2199</v>
      </c>
      <c r="H1093">
        <v>9.65</v>
      </c>
      <c r="I1093" t="s">
        <v>4736</v>
      </c>
      <c r="J1093" t="s">
        <v>5191</v>
      </c>
      <c r="K1093" t="s">
        <v>460</v>
      </c>
      <c r="L1093">
        <v>0</v>
      </c>
      <c r="M1093" s="452">
        <v>46006</v>
      </c>
      <c r="N1093">
        <v>4.62</v>
      </c>
      <c r="O1093">
        <v>4.3899999999999997</v>
      </c>
      <c r="P1093">
        <v>44.58</v>
      </c>
    </row>
    <row r="1094" spans="1:16" x14ac:dyDescent="0.3">
      <c r="A1094">
        <v>74085</v>
      </c>
      <c r="B1094">
        <v>105</v>
      </c>
      <c r="C1094" t="s">
        <v>557</v>
      </c>
      <c r="D1094" s="452">
        <v>46082</v>
      </c>
      <c r="E1094">
        <v>24191</v>
      </c>
      <c r="F1094" t="s">
        <v>4846</v>
      </c>
      <c r="G1094">
        <v>2889</v>
      </c>
      <c r="H1094">
        <v>1.2</v>
      </c>
      <c r="I1094" t="s">
        <v>4744</v>
      </c>
      <c r="J1094" t="s">
        <v>5191</v>
      </c>
      <c r="K1094" t="s">
        <v>460</v>
      </c>
      <c r="L1094">
        <v>0</v>
      </c>
      <c r="M1094" s="452">
        <v>45957</v>
      </c>
      <c r="N1094">
        <v>35.9</v>
      </c>
      <c r="O1094">
        <v>26.5</v>
      </c>
      <c r="P1094">
        <v>43.08</v>
      </c>
    </row>
    <row r="1095" spans="1:16" x14ac:dyDescent="0.3">
      <c r="A1095">
        <v>74067</v>
      </c>
      <c r="B1095">
        <v>105</v>
      </c>
      <c r="C1095" t="s">
        <v>557</v>
      </c>
      <c r="D1095" s="452">
        <v>46082</v>
      </c>
      <c r="E1095">
        <v>23503</v>
      </c>
      <c r="F1095" t="s">
        <v>5048</v>
      </c>
      <c r="G1095">
        <v>2366</v>
      </c>
      <c r="H1095">
        <v>1.68</v>
      </c>
      <c r="I1095" t="s">
        <v>4744</v>
      </c>
      <c r="J1095" t="s">
        <v>5191</v>
      </c>
      <c r="K1095" t="s">
        <v>460</v>
      </c>
      <c r="L1095">
        <v>0</v>
      </c>
      <c r="M1095" s="452">
        <v>45989</v>
      </c>
      <c r="N1095">
        <v>23.8</v>
      </c>
      <c r="O1095">
        <v>24.2</v>
      </c>
      <c r="P1095">
        <v>39.979999999999997</v>
      </c>
    </row>
    <row r="1096" spans="1:16" x14ac:dyDescent="0.3">
      <c r="A1096">
        <v>74064</v>
      </c>
      <c r="B1096">
        <v>105</v>
      </c>
      <c r="C1096" t="s">
        <v>557</v>
      </c>
      <c r="D1096" s="452">
        <v>46082</v>
      </c>
      <c r="E1096">
        <v>23389</v>
      </c>
      <c r="F1096" t="s">
        <v>4960</v>
      </c>
      <c r="G1096">
        <v>2475</v>
      </c>
      <c r="H1096">
        <v>7.35</v>
      </c>
      <c r="I1096" t="s">
        <v>4744</v>
      </c>
      <c r="J1096" t="s">
        <v>5191</v>
      </c>
      <c r="K1096" t="s">
        <v>460</v>
      </c>
      <c r="L1096">
        <v>5.05</v>
      </c>
      <c r="M1096" s="452">
        <v>46081</v>
      </c>
      <c r="N1096">
        <v>4.83</v>
      </c>
      <c r="O1096">
        <v>4.83</v>
      </c>
      <c r="P1096">
        <v>37.119999999999997</v>
      </c>
    </row>
    <row r="1097" spans="1:16" x14ac:dyDescent="0.3">
      <c r="A1097">
        <v>73941</v>
      </c>
      <c r="B1097">
        <v>105</v>
      </c>
      <c r="C1097" t="s">
        <v>557</v>
      </c>
      <c r="D1097" s="452">
        <v>46082</v>
      </c>
      <c r="E1097">
        <v>19476</v>
      </c>
      <c r="F1097" t="s">
        <v>5115</v>
      </c>
      <c r="G1097">
        <v>2729</v>
      </c>
      <c r="H1097">
        <v>0.55000000000000004</v>
      </c>
      <c r="I1097" t="s">
        <v>4744</v>
      </c>
      <c r="J1097" t="s">
        <v>5191</v>
      </c>
      <c r="K1097" t="s">
        <v>460</v>
      </c>
      <c r="L1097">
        <v>66.05</v>
      </c>
      <c r="M1097" s="452">
        <v>46079</v>
      </c>
      <c r="N1097">
        <v>65</v>
      </c>
      <c r="O1097">
        <v>65.58</v>
      </c>
      <c r="P1097">
        <v>36.33</v>
      </c>
    </row>
    <row r="1098" spans="1:16" x14ac:dyDescent="0.3">
      <c r="A1098">
        <v>73880</v>
      </c>
      <c r="B1098">
        <v>105</v>
      </c>
      <c r="C1098" t="s">
        <v>557</v>
      </c>
      <c r="D1098" s="452">
        <v>46082</v>
      </c>
      <c r="E1098">
        <v>18073</v>
      </c>
      <c r="F1098" t="s">
        <v>4974</v>
      </c>
      <c r="G1098">
        <v>3536</v>
      </c>
      <c r="H1098">
        <v>0.75</v>
      </c>
      <c r="I1098" t="s">
        <v>4805</v>
      </c>
      <c r="J1098" t="s">
        <v>5222</v>
      </c>
      <c r="K1098" t="s">
        <v>460</v>
      </c>
      <c r="L1098">
        <v>0</v>
      </c>
      <c r="M1098" s="452">
        <v>46028</v>
      </c>
      <c r="N1098">
        <v>47.6</v>
      </c>
      <c r="O1098">
        <v>47.6</v>
      </c>
      <c r="P1098">
        <v>35.700000000000003</v>
      </c>
    </row>
    <row r="1099" spans="1:16" x14ac:dyDescent="0.3">
      <c r="A1099">
        <v>74021</v>
      </c>
      <c r="B1099">
        <v>105</v>
      </c>
      <c r="C1099" t="s">
        <v>557</v>
      </c>
      <c r="D1099" s="452">
        <v>46082</v>
      </c>
      <c r="E1099">
        <v>20661</v>
      </c>
      <c r="F1099" t="s">
        <v>5012</v>
      </c>
      <c r="G1099">
        <v>2110</v>
      </c>
      <c r="H1099">
        <v>4</v>
      </c>
      <c r="I1099" t="s">
        <v>4736</v>
      </c>
      <c r="J1099" t="s">
        <v>5191</v>
      </c>
      <c r="K1099" t="s">
        <v>460</v>
      </c>
      <c r="L1099">
        <v>8.67</v>
      </c>
      <c r="M1099" s="452">
        <v>46070</v>
      </c>
      <c r="N1099">
        <v>8.58</v>
      </c>
      <c r="O1099">
        <v>8.85</v>
      </c>
      <c r="P1099">
        <v>34.68</v>
      </c>
    </row>
    <row r="1100" spans="1:16" x14ac:dyDescent="0.3">
      <c r="A1100">
        <v>74142</v>
      </c>
      <c r="B1100">
        <v>105</v>
      </c>
      <c r="C1100" t="s">
        <v>557</v>
      </c>
      <c r="D1100" s="452">
        <v>46082</v>
      </c>
      <c r="E1100">
        <v>27757</v>
      </c>
      <c r="F1100" t="s">
        <v>4942</v>
      </c>
      <c r="G1100">
        <v>9067</v>
      </c>
      <c r="H1100">
        <v>5</v>
      </c>
      <c r="I1100" t="s">
        <v>4749</v>
      </c>
      <c r="J1100" t="s">
        <v>5191</v>
      </c>
      <c r="K1100" t="s">
        <v>460</v>
      </c>
      <c r="L1100">
        <v>0</v>
      </c>
      <c r="M1100" s="452">
        <v>45995</v>
      </c>
      <c r="N1100">
        <v>6.61</v>
      </c>
      <c r="O1100">
        <v>6.61</v>
      </c>
      <c r="P1100">
        <v>33.049999999999997</v>
      </c>
    </row>
    <row r="1101" spans="1:16" x14ac:dyDescent="0.3">
      <c r="A1101">
        <v>74076</v>
      </c>
      <c r="B1101">
        <v>105</v>
      </c>
      <c r="C1101" t="s">
        <v>557</v>
      </c>
      <c r="D1101" s="452">
        <v>46082</v>
      </c>
      <c r="E1101">
        <v>23934</v>
      </c>
      <c r="F1101" t="s">
        <v>4845</v>
      </c>
      <c r="G1101">
        <v>1965</v>
      </c>
      <c r="H1101">
        <v>3</v>
      </c>
      <c r="I1101" t="s">
        <v>4744</v>
      </c>
      <c r="J1101" t="s">
        <v>5191</v>
      </c>
      <c r="K1101" t="s">
        <v>460</v>
      </c>
      <c r="L1101">
        <v>10.9</v>
      </c>
      <c r="M1101" s="452">
        <v>46062</v>
      </c>
      <c r="N1101">
        <v>10.9</v>
      </c>
      <c r="O1101">
        <v>10.9</v>
      </c>
      <c r="P1101">
        <v>32.700000000000003</v>
      </c>
    </row>
    <row r="1102" spans="1:16" x14ac:dyDescent="0.3">
      <c r="A1102">
        <v>73974</v>
      </c>
      <c r="B1102">
        <v>105</v>
      </c>
      <c r="C1102" t="s">
        <v>557</v>
      </c>
      <c r="D1102" s="452">
        <v>46082</v>
      </c>
      <c r="E1102">
        <v>19710</v>
      </c>
      <c r="F1102" t="s">
        <v>4963</v>
      </c>
      <c r="G1102">
        <v>2540</v>
      </c>
      <c r="H1102">
        <v>1.5</v>
      </c>
      <c r="I1102" t="s">
        <v>4738</v>
      </c>
      <c r="J1102" t="s">
        <v>5191</v>
      </c>
      <c r="K1102" t="s">
        <v>460</v>
      </c>
      <c r="L1102">
        <v>21.5</v>
      </c>
      <c r="M1102" s="452">
        <v>46076</v>
      </c>
      <c r="N1102">
        <v>21.5</v>
      </c>
      <c r="O1102">
        <v>21.5</v>
      </c>
      <c r="P1102">
        <v>32.25</v>
      </c>
    </row>
    <row r="1103" spans="1:16" x14ac:dyDescent="0.3">
      <c r="A1103">
        <v>73892</v>
      </c>
      <c r="B1103">
        <v>105</v>
      </c>
      <c r="C1103" t="s">
        <v>557</v>
      </c>
      <c r="D1103" s="452">
        <v>46082</v>
      </c>
      <c r="E1103">
        <v>18214</v>
      </c>
      <c r="F1103" t="s">
        <v>5039</v>
      </c>
      <c r="G1103">
        <v>3413</v>
      </c>
      <c r="H1103">
        <v>1</v>
      </c>
      <c r="I1103" t="s">
        <v>4805</v>
      </c>
      <c r="J1103" t="s">
        <v>5222</v>
      </c>
      <c r="K1103" t="s">
        <v>460</v>
      </c>
      <c r="L1103">
        <v>0</v>
      </c>
      <c r="M1103" s="452">
        <v>45378</v>
      </c>
      <c r="N1103">
        <v>32.200000000000003</v>
      </c>
      <c r="O1103">
        <v>37.47</v>
      </c>
      <c r="P1103">
        <v>32.200000000000003</v>
      </c>
    </row>
    <row r="1104" spans="1:16" x14ac:dyDescent="0.3">
      <c r="A1104">
        <v>73986</v>
      </c>
      <c r="B1104">
        <v>105</v>
      </c>
      <c r="C1104" t="s">
        <v>557</v>
      </c>
      <c r="D1104" s="452">
        <v>46082</v>
      </c>
      <c r="E1104">
        <v>19917</v>
      </c>
      <c r="F1104" t="s">
        <v>5131</v>
      </c>
      <c r="G1104">
        <v>2379</v>
      </c>
      <c r="H1104">
        <v>10.32</v>
      </c>
      <c r="I1104" t="s">
        <v>4738</v>
      </c>
      <c r="J1104" t="s">
        <v>5191</v>
      </c>
      <c r="K1104" t="s">
        <v>460</v>
      </c>
      <c r="L1104">
        <v>0</v>
      </c>
      <c r="M1104" s="452">
        <v>45660</v>
      </c>
      <c r="N1104">
        <v>3.09</v>
      </c>
      <c r="O1104">
        <v>3.35</v>
      </c>
      <c r="P1104">
        <v>31.89</v>
      </c>
    </row>
    <row r="1105" spans="1:16" x14ac:dyDescent="0.3">
      <c r="A1105">
        <v>74028</v>
      </c>
      <c r="B1105">
        <v>105</v>
      </c>
      <c r="C1105" t="s">
        <v>557</v>
      </c>
      <c r="D1105" s="452">
        <v>46082</v>
      </c>
      <c r="E1105">
        <v>20795</v>
      </c>
      <c r="F1105" t="s">
        <v>5024</v>
      </c>
      <c r="G1105">
        <v>2076</v>
      </c>
      <c r="H1105">
        <v>3</v>
      </c>
      <c r="I1105" t="s">
        <v>4738</v>
      </c>
      <c r="J1105" t="s">
        <v>5191</v>
      </c>
      <c r="K1105" t="s">
        <v>460</v>
      </c>
      <c r="L1105">
        <v>0</v>
      </c>
      <c r="M1105" s="452">
        <v>46006</v>
      </c>
      <c r="N1105">
        <v>10.3</v>
      </c>
      <c r="O1105">
        <v>10.29</v>
      </c>
      <c r="P1105">
        <v>30.9</v>
      </c>
    </row>
    <row r="1106" spans="1:16" x14ac:dyDescent="0.3">
      <c r="A1106">
        <v>74115</v>
      </c>
      <c r="B1106">
        <v>105</v>
      </c>
      <c r="C1106" t="s">
        <v>557</v>
      </c>
      <c r="D1106" s="452">
        <v>46082</v>
      </c>
      <c r="E1106">
        <v>25755</v>
      </c>
      <c r="F1106" t="s">
        <v>4821</v>
      </c>
      <c r="G1106">
        <v>9071</v>
      </c>
      <c r="H1106">
        <v>4</v>
      </c>
      <c r="I1106" t="s">
        <v>4749</v>
      </c>
      <c r="J1106" t="s">
        <v>5191</v>
      </c>
      <c r="K1106" t="s">
        <v>460</v>
      </c>
      <c r="L1106">
        <v>0</v>
      </c>
      <c r="M1106" s="452">
        <v>45922</v>
      </c>
      <c r="N1106">
        <v>7.65</v>
      </c>
      <c r="O1106">
        <v>7.65</v>
      </c>
      <c r="P1106">
        <v>30.6</v>
      </c>
    </row>
    <row r="1107" spans="1:16" x14ac:dyDescent="0.3">
      <c r="A1107">
        <v>74118</v>
      </c>
      <c r="B1107">
        <v>105</v>
      </c>
      <c r="C1107" t="s">
        <v>557</v>
      </c>
      <c r="D1107" s="452">
        <v>46082</v>
      </c>
      <c r="E1107">
        <v>25759</v>
      </c>
      <c r="F1107" t="s">
        <v>4877</v>
      </c>
      <c r="G1107">
        <v>9073</v>
      </c>
      <c r="H1107">
        <v>4</v>
      </c>
      <c r="I1107" t="s">
        <v>4736</v>
      </c>
      <c r="J1107" t="s">
        <v>5191</v>
      </c>
      <c r="K1107" t="s">
        <v>460</v>
      </c>
      <c r="L1107">
        <v>0</v>
      </c>
      <c r="M1107" s="452">
        <v>45995</v>
      </c>
      <c r="N1107">
        <v>7.65</v>
      </c>
      <c r="O1107">
        <v>7.65</v>
      </c>
      <c r="P1107">
        <v>30.6</v>
      </c>
    </row>
    <row r="1108" spans="1:16" x14ac:dyDescent="0.3">
      <c r="A1108">
        <v>73964</v>
      </c>
      <c r="B1108">
        <v>105</v>
      </c>
      <c r="C1108" t="s">
        <v>557</v>
      </c>
      <c r="D1108" s="452">
        <v>46082</v>
      </c>
      <c r="E1108">
        <v>19623</v>
      </c>
      <c r="F1108" t="s">
        <v>4764</v>
      </c>
      <c r="G1108">
        <v>2611</v>
      </c>
      <c r="H1108">
        <v>8.25</v>
      </c>
      <c r="I1108" t="s">
        <v>4744</v>
      </c>
      <c r="J1108" t="s">
        <v>5191</v>
      </c>
      <c r="K1108" t="s">
        <v>460</v>
      </c>
      <c r="L1108">
        <v>3.7</v>
      </c>
      <c r="M1108" s="452">
        <v>46080</v>
      </c>
      <c r="N1108">
        <v>3.5</v>
      </c>
      <c r="O1108">
        <v>3.47</v>
      </c>
      <c r="P1108">
        <v>30.52</v>
      </c>
    </row>
    <row r="1109" spans="1:16" x14ac:dyDescent="0.3">
      <c r="A1109">
        <v>74086</v>
      </c>
      <c r="B1109">
        <v>105</v>
      </c>
      <c r="C1109" t="s">
        <v>557</v>
      </c>
      <c r="D1109" s="452">
        <v>46082</v>
      </c>
      <c r="E1109">
        <v>24199</v>
      </c>
      <c r="F1109" t="s">
        <v>4783</v>
      </c>
      <c r="G1109">
        <v>5084</v>
      </c>
      <c r="H1109">
        <v>1.5</v>
      </c>
      <c r="I1109" t="s">
        <v>4744</v>
      </c>
      <c r="J1109" t="s">
        <v>5191</v>
      </c>
      <c r="K1109" t="s">
        <v>460</v>
      </c>
      <c r="L1109">
        <v>0</v>
      </c>
      <c r="M1109" s="452">
        <v>45979</v>
      </c>
      <c r="N1109">
        <v>19.989999999999998</v>
      </c>
      <c r="O1109">
        <v>19.989999999999998</v>
      </c>
      <c r="P1109">
        <v>29.98</v>
      </c>
    </row>
    <row r="1110" spans="1:16" x14ac:dyDescent="0.3">
      <c r="A1110">
        <v>74016</v>
      </c>
      <c r="B1110">
        <v>105</v>
      </c>
      <c r="C1110" t="s">
        <v>557</v>
      </c>
      <c r="D1110" s="452">
        <v>46082</v>
      </c>
      <c r="E1110">
        <v>20614</v>
      </c>
      <c r="F1110" t="s">
        <v>4958</v>
      </c>
      <c r="G1110">
        <v>2119</v>
      </c>
      <c r="H1110">
        <v>1</v>
      </c>
      <c r="I1110" t="s">
        <v>4736</v>
      </c>
      <c r="J1110" t="s">
        <v>5191</v>
      </c>
      <c r="K1110" t="s">
        <v>460</v>
      </c>
      <c r="L1110">
        <v>0</v>
      </c>
      <c r="M1110" s="452">
        <v>45852</v>
      </c>
      <c r="N1110">
        <v>29.9</v>
      </c>
      <c r="O1110">
        <v>32.4</v>
      </c>
      <c r="P1110">
        <v>29.9</v>
      </c>
    </row>
    <row r="1111" spans="1:16" x14ac:dyDescent="0.3">
      <c r="A1111">
        <v>73955</v>
      </c>
      <c r="B1111">
        <v>105</v>
      </c>
      <c r="C1111" t="s">
        <v>557</v>
      </c>
      <c r="D1111" s="452">
        <v>46082</v>
      </c>
      <c r="E1111">
        <v>19558</v>
      </c>
      <c r="F1111" t="s">
        <v>4994</v>
      </c>
      <c r="G1111">
        <v>2659</v>
      </c>
      <c r="H1111">
        <v>1.55</v>
      </c>
      <c r="I1111" t="s">
        <v>4744</v>
      </c>
      <c r="J1111" t="s">
        <v>5191</v>
      </c>
      <c r="K1111" t="s">
        <v>460</v>
      </c>
      <c r="L1111">
        <v>18.8</v>
      </c>
      <c r="M1111" s="452">
        <v>46080</v>
      </c>
      <c r="N1111">
        <v>13</v>
      </c>
      <c r="O1111">
        <v>13</v>
      </c>
      <c r="P1111">
        <v>29.14</v>
      </c>
    </row>
    <row r="1112" spans="1:16" x14ac:dyDescent="0.3">
      <c r="A1112">
        <v>74114</v>
      </c>
      <c r="B1112">
        <v>105</v>
      </c>
      <c r="C1112" t="s">
        <v>557</v>
      </c>
      <c r="D1112" s="452">
        <v>46082</v>
      </c>
      <c r="E1112">
        <v>25748</v>
      </c>
      <c r="F1112" t="s">
        <v>4999</v>
      </c>
      <c r="G1112">
        <v>9068</v>
      </c>
      <c r="H1112">
        <v>5</v>
      </c>
      <c r="I1112" t="s">
        <v>4749</v>
      </c>
      <c r="J1112" t="s">
        <v>5191</v>
      </c>
      <c r="K1112" t="s">
        <v>460</v>
      </c>
      <c r="L1112">
        <v>0</v>
      </c>
      <c r="M1112" s="452">
        <v>45995</v>
      </c>
      <c r="N1112">
        <v>5.65</v>
      </c>
      <c r="O1112">
        <v>5.65</v>
      </c>
      <c r="P1112">
        <v>28.25</v>
      </c>
    </row>
    <row r="1113" spans="1:16" x14ac:dyDescent="0.3">
      <c r="A1113">
        <v>73949</v>
      </c>
      <c r="B1113">
        <v>105</v>
      </c>
      <c r="C1113" t="s">
        <v>557</v>
      </c>
      <c r="D1113" s="452">
        <v>46082</v>
      </c>
      <c r="E1113">
        <v>19526</v>
      </c>
      <c r="F1113" t="s">
        <v>4997</v>
      </c>
      <c r="G1113">
        <v>2687</v>
      </c>
      <c r="H1113">
        <v>0.6</v>
      </c>
      <c r="I1113" t="s">
        <v>4744</v>
      </c>
      <c r="J1113" t="s">
        <v>5191</v>
      </c>
      <c r="K1113" t="s">
        <v>460</v>
      </c>
      <c r="L1113">
        <v>46.4</v>
      </c>
      <c r="M1113" s="452">
        <v>46074</v>
      </c>
      <c r="N1113">
        <v>46.4</v>
      </c>
      <c r="O1113">
        <v>46.4</v>
      </c>
      <c r="P1113">
        <v>27.84</v>
      </c>
    </row>
    <row r="1114" spans="1:16" x14ac:dyDescent="0.3">
      <c r="A1114">
        <v>73966</v>
      </c>
      <c r="B1114">
        <v>105</v>
      </c>
      <c r="C1114" t="s">
        <v>557</v>
      </c>
      <c r="D1114" s="452">
        <v>46082</v>
      </c>
      <c r="E1114">
        <v>19634</v>
      </c>
      <c r="F1114" t="s">
        <v>4792</v>
      </c>
      <c r="G1114">
        <v>2602</v>
      </c>
      <c r="H1114">
        <v>3.7</v>
      </c>
      <c r="I1114" t="s">
        <v>4744</v>
      </c>
      <c r="J1114" t="s">
        <v>5191</v>
      </c>
      <c r="K1114" t="s">
        <v>460</v>
      </c>
      <c r="L1114">
        <v>7.13</v>
      </c>
      <c r="M1114" s="452">
        <v>46080</v>
      </c>
      <c r="N1114">
        <v>9</v>
      </c>
      <c r="O1114">
        <v>8.74</v>
      </c>
      <c r="P1114">
        <v>26.38</v>
      </c>
    </row>
    <row r="1115" spans="1:16" x14ac:dyDescent="0.3">
      <c r="A1115">
        <v>74062</v>
      </c>
      <c r="B1115">
        <v>105</v>
      </c>
      <c r="C1115" t="s">
        <v>557</v>
      </c>
      <c r="D1115" s="452">
        <v>46082</v>
      </c>
      <c r="E1115">
        <v>23365</v>
      </c>
      <c r="F1115" t="s">
        <v>5108</v>
      </c>
      <c r="G1115">
        <v>2493</v>
      </c>
      <c r="H1115">
        <v>1.25</v>
      </c>
      <c r="I1115" t="s">
        <v>4744</v>
      </c>
      <c r="J1115" t="s">
        <v>5191</v>
      </c>
      <c r="K1115" t="s">
        <v>460</v>
      </c>
      <c r="L1115">
        <v>21</v>
      </c>
      <c r="M1115" s="452">
        <v>46076</v>
      </c>
      <c r="N1115">
        <v>19</v>
      </c>
      <c r="O1115">
        <v>19</v>
      </c>
      <c r="P1115">
        <v>26.25</v>
      </c>
    </row>
    <row r="1116" spans="1:16" x14ac:dyDescent="0.3">
      <c r="A1116">
        <v>74038</v>
      </c>
      <c r="B1116">
        <v>105</v>
      </c>
      <c r="C1116" t="s">
        <v>557</v>
      </c>
      <c r="D1116" s="452">
        <v>46082</v>
      </c>
      <c r="E1116">
        <v>21060</v>
      </c>
      <c r="F1116" t="s">
        <v>4946</v>
      </c>
      <c r="G1116">
        <v>1998</v>
      </c>
      <c r="H1116">
        <v>1</v>
      </c>
      <c r="I1116" t="s">
        <v>4736</v>
      </c>
      <c r="J1116" t="s">
        <v>5191</v>
      </c>
      <c r="K1116" t="s">
        <v>460</v>
      </c>
      <c r="L1116">
        <v>26.1</v>
      </c>
      <c r="M1116" s="452">
        <v>46062</v>
      </c>
      <c r="N1116">
        <v>26.1</v>
      </c>
      <c r="O1116">
        <v>21.99</v>
      </c>
      <c r="P1116">
        <v>26.1</v>
      </c>
    </row>
    <row r="1117" spans="1:16" x14ac:dyDescent="0.3">
      <c r="A1117">
        <v>74066</v>
      </c>
      <c r="B1117">
        <v>105</v>
      </c>
      <c r="C1117" t="s">
        <v>557</v>
      </c>
      <c r="D1117" s="452">
        <v>46082</v>
      </c>
      <c r="E1117">
        <v>23502</v>
      </c>
      <c r="F1117" t="s">
        <v>4930</v>
      </c>
      <c r="G1117">
        <v>2367</v>
      </c>
      <c r="H1117">
        <v>1.73</v>
      </c>
      <c r="I1117" t="s">
        <v>4736</v>
      </c>
      <c r="J1117" t="s">
        <v>5191</v>
      </c>
      <c r="K1117" t="s">
        <v>460</v>
      </c>
      <c r="L1117">
        <v>15</v>
      </c>
      <c r="M1117" s="452">
        <v>46080</v>
      </c>
      <c r="N1117">
        <v>15</v>
      </c>
      <c r="O1117">
        <v>15</v>
      </c>
      <c r="P1117">
        <v>25.95</v>
      </c>
    </row>
    <row r="1118" spans="1:16" x14ac:dyDescent="0.3">
      <c r="A1118">
        <v>74033</v>
      </c>
      <c r="B1118">
        <v>105</v>
      </c>
      <c r="C1118" t="s">
        <v>557</v>
      </c>
      <c r="D1118" s="452">
        <v>46082</v>
      </c>
      <c r="E1118">
        <v>20955</v>
      </c>
      <c r="F1118" t="s">
        <v>4959</v>
      </c>
      <c r="G1118">
        <v>2019</v>
      </c>
      <c r="H1118">
        <v>2</v>
      </c>
      <c r="I1118" t="s">
        <v>4805</v>
      </c>
      <c r="J1118" t="s">
        <v>5191</v>
      </c>
      <c r="K1118" t="s">
        <v>460</v>
      </c>
      <c r="L1118">
        <v>12.95</v>
      </c>
      <c r="M1118" s="452">
        <v>46064</v>
      </c>
      <c r="N1118">
        <v>12.95</v>
      </c>
      <c r="O1118">
        <v>11.44</v>
      </c>
      <c r="P1118">
        <v>25.9</v>
      </c>
    </row>
    <row r="1119" spans="1:16" x14ac:dyDescent="0.3">
      <c r="A1119">
        <v>73902</v>
      </c>
      <c r="B1119">
        <v>105</v>
      </c>
      <c r="C1119" t="s">
        <v>557</v>
      </c>
      <c r="D1119" s="452">
        <v>46082</v>
      </c>
      <c r="E1119">
        <v>18317</v>
      </c>
      <c r="F1119" t="s">
        <v>5056</v>
      </c>
      <c r="G1119">
        <v>3316</v>
      </c>
      <c r="H1119">
        <v>0.7</v>
      </c>
      <c r="I1119" t="s">
        <v>4805</v>
      </c>
      <c r="J1119" t="s">
        <v>5222</v>
      </c>
      <c r="K1119" t="s">
        <v>460</v>
      </c>
      <c r="L1119">
        <v>0</v>
      </c>
      <c r="N1119">
        <v>0</v>
      </c>
      <c r="O1119">
        <v>37.25</v>
      </c>
      <c r="P1119">
        <v>25.82</v>
      </c>
    </row>
    <row r="1120" spans="1:16" x14ac:dyDescent="0.3">
      <c r="A1120">
        <v>73944</v>
      </c>
      <c r="B1120">
        <v>105</v>
      </c>
      <c r="C1120" t="s">
        <v>557</v>
      </c>
      <c r="D1120" s="452">
        <v>46082</v>
      </c>
      <c r="E1120">
        <v>19490</v>
      </c>
      <c r="F1120" t="s">
        <v>5116</v>
      </c>
      <c r="G1120">
        <v>2718</v>
      </c>
      <c r="H1120">
        <v>0.37</v>
      </c>
      <c r="I1120" t="s">
        <v>4744</v>
      </c>
      <c r="J1120" t="s">
        <v>5191</v>
      </c>
      <c r="K1120" t="s">
        <v>460</v>
      </c>
      <c r="L1120">
        <v>69.44</v>
      </c>
      <c r="M1120" s="452">
        <v>46078</v>
      </c>
      <c r="N1120">
        <v>75</v>
      </c>
      <c r="O1120">
        <v>69.599999999999994</v>
      </c>
      <c r="P1120">
        <v>25.69</v>
      </c>
    </row>
    <row r="1121" spans="1:16" x14ac:dyDescent="0.3">
      <c r="A1121">
        <v>74020</v>
      </c>
      <c r="B1121">
        <v>105</v>
      </c>
      <c r="C1121" t="s">
        <v>557</v>
      </c>
      <c r="D1121" s="452">
        <v>46082</v>
      </c>
      <c r="E1121">
        <v>20657</v>
      </c>
      <c r="F1121" t="s">
        <v>5109</v>
      </c>
      <c r="G1121">
        <v>2110</v>
      </c>
      <c r="H1121">
        <v>4</v>
      </c>
      <c r="I1121" t="s">
        <v>4736</v>
      </c>
      <c r="J1121" t="s">
        <v>5191</v>
      </c>
      <c r="K1121" t="s">
        <v>460</v>
      </c>
      <c r="L1121">
        <v>6.36</v>
      </c>
      <c r="M1121" s="452">
        <v>46066</v>
      </c>
      <c r="N1121">
        <v>6.36</v>
      </c>
      <c r="O1121">
        <v>6.36</v>
      </c>
      <c r="P1121">
        <v>25.44</v>
      </c>
    </row>
    <row r="1122" spans="1:16" x14ac:dyDescent="0.3">
      <c r="A1122">
        <v>74034</v>
      </c>
      <c r="B1122">
        <v>105</v>
      </c>
      <c r="C1122" t="s">
        <v>557</v>
      </c>
      <c r="D1122" s="452">
        <v>46082</v>
      </c>
      <c r="E1122">
        <v>20961</v>
      </c>
      <c r="F1122" t="s">
        <v>5026</v>
      </c>
      <c r="G1122">
        <v>2015</v>
      </c>
      <c r="H1122">
        <v>3</v>
      </c>
      <c r="I1122" t="s">
        <v>4736</v>
      </c>
      <c r="J1122" t="s">
        <v>5191</v>
      </c>
      <c r="K1122" t="s">
        <v>460</v>
      </c>
      <c r="L1122">
        <v>0</v>
      </c>
      <c r="M1122" s="452">
        <v>45918</v>
      </c>
      <c r="N1122">
        <v>8.36</v>
      </c>
      <c r="O1122">
        <v>8.9</v>
      </c>
      <c r="P1122">
        <v>25.08</v>
      </c>
    </row>
    <row r="1123" spans="1:16" x14ac:dyDescent="0.3">
      <c r="A1123">
        <v>73985</v>
      </c>
      <c r="B1123">
        <v>105</v>
      </c>
      <c r="C1123" t="s">
        <v>557</v>
      </c>
      <c r="D1123" s="452">
        <v>46082</v>
      </c>
      <c r="E1123">
        <v>19907</v>
      </c>
      <c r="F1123" t="s">
        <v>4802</v>
      </c>
      <c r="G1123">
        <v>2381</v>
      </c>
      <c r="H1123">
        <v>8.1</v>
      </c>
      <c r="I1123" t="s">
        <v>4736</v>
      </c>
      <c r="J1123" t="s">
        <v>5191</v>
      </c>
      <c r="K1123" t="s">
        <v>460</v>
      </c>
      <c r="L1123">
        <v>0</v>
      </c>
      <c r="M1123" s="452">
        <v>45660</v>
      </c>
      <c r="N1123">
        <v>3.05</v>
      </c>
      <c r="O1123">
        <v>3.23</v>
      </c>
      <c r="P1123">
        <v>24.7</v>
      </c>
    </row>
    <row r="1124" spans="1:16" x14ac:dyDescent="0.3">
      <c r="A1124">
        <v>73961</v>
      </c>
      <c r="B1124">
        <v>105</v>
      </c>
      <c r="C1124" t="s">
        <v>557</v>
      </c>
      <c r="D1124" s="452">
        <v>46082</v>
      </c>
      <c r="E1124">
        <v>19617</v>
      </c>
      <c r="F1124" t="s">
        <v>5071</v>
      </c>
      <c r="G1124">
        <v>2617</v>
      </c>
      <c r="H1124">
        <v>0.65</v>
      </c>
      <c r="I1124" t="s">
        <v>4744</v>
      </c>
      <c r="J1124" t="s">
        <v>5191</v>
      </c>
      <c r="K1124" t="s">
        <v>460</v>
      </c>
      <c r="L1124">
        <v>37.950000000000003</v>
      </c>
      <c r="M1124" s="452">
        <v>46079</v>
      </c>
      <c r="N1124">
        <v>35</v>
      </c>
      <c r="O1124">
        <v>32.409999999999997</v>
      </c>
      <c r="P1124">
        <v>24.67</v>
      </c>
    </row>
    <row r="1125" spans="1:16" x14ac:dyDescent="0.3">
      <c r="A1125">
        <v>73947</v>
      </c>
      <c r="B1125">
        <v>105</v>
      </c>
      <c r="C1125" t="s">
        <v>557</v>
      </c>
      <c r="D1125" s="452">
        <v>46082</v>
      </c>
      <c r="E1125">
        <v>19506</v>
      </c>
      <c r="F1125" t="s">
        <v>5122</v>
      </c>
      <c r="G1125">
        <v>2705</v>
      </c>
      <c r="H1125">
        <v>0.6</v>
      </c>
      <c r="I1125" t="s">
        <v>4744</v>
      </c>
      <c r="J1125" t="s">
        <v>5191</v>
      </c>
      <c r="K1125" t="s">
        <v>460</v>
      </c>
      <c r="L1125">
        <v>41</v>
      </c>
      <c r="M1125" s="452">
        <v>46076</v>
      </c>
      <c r="N1125">
        <v>45</v>
      </c>
      <c r="O1125">
        <v>38</v>
      </c>
      <c r="P1125">
        <v>24.6</v>
      </c>
    </row>
    <row r="1126" spans="1:16" x14ac:dyDescent="0.3">
      <c r="A1126">
        <v>74069</v>
      </c>
      <c r="B1126">
        <v>105</v>
      </c>
      <c r="C1126" t="s">
        <v>557</v>
      </c>
      <c r="D1126" s="452">
        <v>46082</v>
      </c>
      <c r="E1126">
        <v>23539</v>
      </c>
      <c r="F1126" t="s">
        <v>4995</v>
      </c>
      <c r="G1126">
        <v>2332</v>
      </c>
      <c r="H1126">
        <v>2.02</v>
      </c>
      <c r="I1126" t="s">
        <v>4744</v>
      </c>
      <c r="J1126" t="s">
        <v>5191</v>
      </c>
      <c r="K1126" t="s">
        <v>460</v>
      </c>
      <c r="L1126">
        <v>0</v>
      </c>
      <c r="M1126" s="452">
        <v>45989</v>
      </c>
      <c r="N1126">
        <v>12</v>
      </c>
      <c r="O1126">
        <v>13</v>
      </c>
      <c r="P1126">
        <v>24.24</v>
      </c>
    </row>
    <row r="1127" spans="1:16" x14ac:dyDescent="0.3">
      <c r="A1127">
        <v>74054</v>
      </c>
      <c r="B1127">
        <v>105</v>
      </c>
      <c r="C1127" t="s">
        <v>557</v>
      </c>
      <c r="D1127" s="452">
        <v>46082</v>
      </c>
      <c r="E1127">
        <v>23234</v>
      </c>
      <c r="F1127" t="s">
        <v>4986</v>
      </c>
      <c r="G1127">
        <v>2622</v>
      </c>
      <c r="H1127">
        <v>1</v>
      </c>
      <c r="I1127" t="s">
        <v>4744</v>
      </c>
      <c r="J1127" t="s">
        <v>5191</v>
      </c>
      <c r="K1127" t="s">
        <v>460</v>
      </c>
      <c r="L1127">
        <v>23</v>
      </c>
      <c r="M1127" s="452">
        <v>46076</v>
      </c>
      <c r="N1127">
        <v>23</v>
      </c>
      <c r="O1127">
        <v>23</v>
      </c>
      <c r="P1127">
        <v>23</v>
      </c>
    </row>
    <row r="1128" spans="1:16" x14ac:dyDescent="0.3">
      <c r="A1128">
        <v>74053</v>
      </c>
      <c r="B1128">
        <v>105</v>
      </c>
      <c r="C1128" t="s">
        <v>557</v>
      </c>
      <c r="D1128" s="452">
        <v>46082</v>
      </c>
      <c r="E1128">
        <v>23228</v>
      </c>
      <c r="F1128" t="s">
        <v>4782</v>
      </c>
      <c r="G1128">
        <v>2627</v>
      </c>
      <c r="H1128">
        <v>3.3</v>
      </c>
      <c r="I1128" t="s">
        <v>4744</v>
      </c>
      <c r="J1128" t="s">
        <v>5191</v>
      </c>
      <c r="K1128" t="s">
        <v>460</v>
      </c>
      <c r="L1128">
        <v>6.91</v>
      </c>
      <c r="M1128" s="452">
        <v>46079</v>
      </c>
      <c r="N1128">
        <v>6.53</v>
      </c>
      <c r="O1128">
        <v>6.53</v>
      </c>
      <c r="P1128">
        <v>22.8</v>
      </c>
    </row>
    <row r="1129" spans="1:16" x14ac:dyDescent="0.3">
      <c r="A1129">
        <v>74080</v>
      </c>
      <c r="B1129">
        <v>105</v>
      </c>
      <c r="C1129" t="s">
        <v>557</v>
      </c>
      <c r="D1129" s="452">
        <v>46082</v>
      </c>
      <c r="E1129">
        <v>24099</v>
      </c>
      <c r="F1129" t="s">
        <v>4933</v>
      </c>
      <c r="G1129">
        <v>2716</v>
      </c>
      <c r="H1129">
        <v>1.1000000000000001</v>
      </c>
      <c r="I1129" t="s">
        <v>4744</v>
      </c>
      <c r="J1129" t="s">
        <v>5191</v>
      </c>
      <c r="K1129" t="s">
        <v>460</v>
      </c>
      <c r="L1129">
        <v>20.350000000000001</v>
      </c>
      <c r="M1129" s="452">
        <v>46079</v>
      </c>
      <c r="N1129">
        <v>18</v>
      </c>
      <c r="O1129">
        <v>18</v>
      </c>
      <c r="P1129">
        <v>22.39</v>
      </c>
    </row>
    <row r="1130" spans="1:16" x14ac:dyDescent="0.3">
      <c r="A1130">
        <v>73995</v>
      </c>
      <c r="B1130">
        <v>105</v>
      </c>
      <c r="C1130" t="s">
        <v>557</v>
      </c>
      <c r="D1130" s="452">
        <v>46082</v>
      </c>
      <c r="E1130">
        <v>20025</v>
      </c>
      <c r="F1130" t="s">
        <v>5010</v>
      </c>
      <c r="G1130">
        <v>2339</v>
      </c>
      <c r="H1130">
        <v>1</v>
      </c>
      <c r="I1130" t="s">
        <v>4736</v>
      </c>
      <c r="J1130" t="s">
        <v>5191</v>
      </c>
      <c r="K1130" t="s">
        <v>460</v>
      </c>
      <c r="L1130">
        <v>0</v>
      </c>
      <c r="M1130" s="452">
        <v>45989</v>
      </c>
      <c r="N1130">
        <v>21.75</v>
      </c>
      <c r="O1130">
        <v>21.8</v>
      </c>
      <c r="P1130">
        <v>21.75</v>
      </c>
    </row>
    <row r="1131" spans="1:16" x14ac:dyDescent="0.3">
      <c r="A1131">
        <v>73903</v>
      </c>
      <c r="B1131">
        <v>105</v>
      </c>
      <c r="C1131" t="s">
        <v>557</v>
      </c>
      <c r="D1131" s="452">
        <v>46082</v>
      </c>
      <c r="E1131">
        <v>18327</v>
      </c>
      <c r="F1131" t="s">
        <v>5035</v>
      </c>
      <c r="G1131">
        <v>3306</v>
      </c>
      <c r="H1131">
        <v>0.2</v>
      </c>
      <c r="I1131" t="s">
        <v>4805</v>
      </c>
      <c r="J1131" t="s">
        <v>5222</v>
      </c>
      <c r="K1131" t="s">
        <v>460</v>
      </c>
      <c r="L1131">
        <v>0</v>
      </c>
      <c r="M1131" s="452">
        <v>46049</v>
      </c>
      <c r="N1131">
        <v>105.9</v>
      </c>
      <c r="O1131">
        <v>104.73</v>
      </c>
      <c r="P1131">
        <v>21.18</v>
      </c>
    </row>
    <row r="1132" spans="1:16" x14ac:dyDescent="0.3">
      <c r="A1132">
        <v>74003</v>
      </c>
      <c r="B1132">
        <v>105</v>
      </c>
      <c r="C1132" t="s">
        <v>557</v>
      </c>
      <c r="D1132" s="452">
        <v>46082</v>
      </c>
      <c r="E1132">
        <v>20234</v>
      </c>
      <c r="F1132" t="s">
        <v>5009</v>
      </c>
      <c r="G1132">
        <v>2245</v>
      </c>
      <c r="H1132">
        <v>1</v>
      </c>
      <c r="I1132" t="s">
        <v>4744</v>
      </c>
      <c r="J1132" t="s">
        <v>5191</v>
      </c>
      <c r="K1132" t="s">
        <v>460</v>
      </c>
      <c r="L1132">
        <v>0</v>
      </c>
      <c r="M1132" s="452">
        <v>45887</v>
      </c>
      <c r="N1132">
        <v>20.9</v>
      </c>
      <c r="O1132">
        <v>21.9</v>
      </c>
      <c r="P1132">
        <v>20.9</v>
      </c>
    </row>
    <row r="1133" spans="1:16" x14ac:dyDescent="0.3">
      <c r="A1133">
        <v>74026</v>
      </c>
      <c r="B1133">
        <v>105</v>
      </c>
      <c r="C1133" t="s">
        <v>557</v>
      </c>
      <c r="D1133" s="452">
        <v>46082</v>
      </c>
      <c r="E1133">
        <v>20791</v>
      </c>
      <c r="F1133" t="s">
        <v>5021</v>
      </c>
      <c r="G1133">
        <v>2076</v>
      </c>
      <c r="H1133">
        <v>2</v>
      </c>
      <c r="I1133" t="s">
        <v>4738</v>
      </c>
      <c r="J1133" t="s">
        <v>5191</v>
      </c>
      <c r="K1133" t="s">
        <v>460</v>
      </c>
      <c r="L1133">
        <v>0</v>
      </c>
      <c r="M1133" s="452">
        <v>45996</v>
      </c>
      <c r="N1133">
        <v>10.39</v>
      </c>
      <c r="O1133">
        <v>10.29</v>
      </c>
      <c r="P1133">
        <v>20.78</v>
      </c>
    </row>
    <row r="1134" spans="1:16" x14ac:dyDescent="0.3">
      <c r="A1134">
        <v>74027</v>
      </c>
      <c r="B1134">
        <v>105</v>
      </c>
      <c r="C1134" t="s">
        <v>557</v>
      </c>
      <c r="D1134" s="452">
        <v>46082</v>
      </c>
      <c r="E1134">
        <v>20792</v>
      </c>
      <c r="F1134" t="s">
        <v>5022</v>
      </c>
      <c r="G1134">
        <v>2076</v>
      </c>
      <c r="H1134">
        <v>2</v>
      </c>
      <c r="I1134" t="s">
        <v>4738</v>
      </c>
      <c r="J1134" t="s">
        <v>5191</v>
      </c>
      <c r="K1134" t="s">
        <v>460</v>
      </c>
      <c r="L1134">
        <v>0</v>
      </c>
      <c r="M1134" s="452">
        <v>46006</v>
      </c>
      <c r="N1134">
        <v>10.29</v>
      </c>
      <c r="O1134">
        <v>10.29</v>
      </c>
      <c r="P1134">
        <v>20.58</v>
      </c>
    </row>
    <row r="1135" spans="1:16" x14ac:dyDescent="0.3">
      <c r="A1135">
        <v>74002</v>
      </c>
      <c r="B1135">
        <v>105</v>
      </c>
      <c r="C1135" t="s">
        <v>557</v>
      </c>
      <c r="D1135" s="452">
        <v>46082</v>
      </c>
      <c r="E1135">
        <v>20227</v>
      </c>
      <c r="F1135" t="s">
        <v>4825</v>
      </c>
      <c r="G1135">
        <v>2248</v>
      </c>
      <c r="H1135">
        <v>2</v>
      </c>
      <c r="I1135" t="s">
        <v>4738</v>
      </c>
      <c r="J1135" t="s">
        <v>5191</v>
      </c>
      <c r="K1135" t="s">
        <v>460</v>
      </c>
      <c r="L1135">
        <v>0</v>
      </c>
      <c r="M1135" s="452">
        <v>46041</v>
      </c>
      <c r="N1135">
        <v>10</v>
      </c>
      <c r="O1135">
        <v>11.5</v>
      </c>
      <c r="P1135">
        <v>20</v>
      </c>
    </row>
    <row r="1136" spans="1:16" x14ac:dyDescent="0.3">
      <c r="A1136">
        <v>74039</v>
      </c>
      <c r="B1136">
        <v>105</v>
      </c>
      <c r="C1136" t="s">
        <v>557</v>
      </c>
      <c r="D1136" s="452">
        <v>46082</v>
      </c>
      <c r="E1136">
        <v>21085</v>
      </c>
      <c r="F1136" t="s">
        <v>5066</v>
      </c>
      <c r="G1136">
        <v>1989</v>
      </c>
      <c r="H1136">
        <v>1</v>
      </c>
      <c r="I1136" t="s">
        <v>4749</v>
      </c>
      <c r="J1136" t="s">
        <v>5191</v>
      </c>
      <c r="K1136" t="s">
        <v>460</v>
      </c>
      <c r="L1136">
        <v>0</v>
      </c>
      <c r="M1136" s="452">
        <v>45996</v>
      </c>
      <c r="N1136">
        <v>19.98</v>
      </c>
      <c r="O1136">
        <v>45.1</v>
      </c>
      <c r="P1136">
        <v>19.98</v>
      </c>
    </row>
    <row r="1137" spans="1:16" x14ac:dyDescent="0.3">
      <c r="A1137">
        <v>73993</v>
      </c>
      <c r="B1137">
        <v>105</v>
      </c>
      <c r="C1137" t="s">
        <v>557</v>
      </c>
      <c r="D1137" s="452">
        <v>46082</v>
      </c>
      <c r="E1137">
        <v>19983</v>
      </c>
      <c r="F1137" t="s">
        <v>5068</v>
      </c>
      <c r="G1137">
        <v>2351</v>
      </c>
      <c r="H1137">
        <v>1</v>
      </c>
      <c r="I1137" t="s">
        <v>4888</v>
      </c>
      <c r="J1137" t="s">
        <v>5191</v>
      </c>
      <c r="K1137" t="s">
        <v>460</v>
      </c>
      <c r="L1137">
        <v>0</v>
      </c>
      <c r="M1137" s="452">
        <v>46041</v>
      </c>
      <c r="N1137">
        <v>19.8</v>
      </c>
      <c r="O1137">
        <v>19.8</v>
      </c>
      <c r="P1137">
        <v>19.8</v>
      </c>
    </row>
    <row r="1138" spans="1:16" x14ac:dyDescent="0.3">
      <c r="A1138">
        <v>74106</v>
      </c>
      <c r="B1138">
        <v>105</v>
      </c>
      <c r="C1138" t="s">
        <v>557</v>
      </c>
      <c r="D1138" s="452">
        <v>46082</v>
      </c>
      <c r="E1138">
        <v>25055</v>
      </c>
      <c r="F1138" t="s">
        <v>5003</v>
      </c>
      <c r="G1138">
        <v>2184</v>
      </c>
      <c r="H1138">
        <v>1</v>
      </c>
      <c r="I1138" t="s">
        <v>4744</v>
      </c>
      <c r="J1138" t="s">
        <v>5191</v>
      </c>
      <c r="K1138" t="s">
        <v>460</v>
      </c>
      <c r="L1138">
        <v>0</v>
      </c>
      <c r="M1138" s="452">
        <v>45887</v>
      </c>
      <c r="N1138">
        <v>19.8</v>
      </c>
      <c r="O1138">
        <v>19.8</v>
      </c>
      <c r="P1138">
        <v>19.8</v>
      </c>
    </row>
    <row r="1139" spans="1:16" x14ac:dyDescent="0.3">
      <c r="A1139">
        <v>73956</v>
      </c>
      <c r="B1139">
        <v>105</v>
      </c>
      <c r="C1139" t="s">
        <v>557</v>
      </c>
      <c r="D1139" s="452">
        <v>46082</v>
      </c>
      <c r="E1139">
        <v>19562</v>
      </c>
      <c r="F1139" t="s">
        <v>4939</v>
      </c>
      <c r="G1139">
        <v>2655</v>
      </c>
      <c r="H1139">
        <v>1.3</v>
      </c>
      <c r="I1139" t="s">
        <v>4744</v>
      </c>
      <c r="J1139" t="s">
        <v>5191</v>
      </c>
      <c r="K1139" t="s">
        <v>460</v>
      </c>
      <c r="L1139">
        <v>15.19</v>
      </c>
      <c r="M1139" s="452">
        <v>46078</v>
      </c>
      <c r="N1139">
        <v>12.5</v>
      </c>
      <c r="O1139">
        <v>12.5</v>
      </c>
      <c r="P1139">
        <v>19.75</v>
      </c>
    </row>
    <row r="1140" spans="1:16" x14ac:dyDescent="0.3">
      <c r="A1140">
        <v>73960</v>
      </c>
      <c r="B1140">
        <v>105</v>
      </c>
      <c r="C1140" t="s">
        <v>557</v>
      </c>
      <c r="D1140" s="452">
        <v>46082</v>
      </c>
      <c r="E1140">
        <v>19607</v>
      </c>
      <c r="F1140" t="s">
        <v>4981</v>
      </c>
      <c r="G1140">
        <v>2623</v>
      </c>
      <c r="H1140">
        <v>1.19</v>
      </c>
      <c r="I1140" t="s">
        <v>4744</v>
      </c>
      <c r="J1140" t="s">
        <v>5191</v>
      </c>
      <c r="K1140" t="s">
        <v>460</v>
      </c>
      <c r="L1140">
        <v>16.41</v>
      </c>
      <c r="M1140" s="452">
        <v>46072</v>
      </c>
      <c r="N1140">
        <v>16.25</v>
      </c>
      <c r="O1140">
        <v>16.46</v>
      </c>
      <c r="P1140">
        <v>19.53</v>
      </c>
    </row>
    <row r="1141" spans="1:16" x14ac:dyDescent="0.3">
      <c r="A1141">
        <v>74140</v>
      </c>
      <c r="B1141">
        <v>105</v>
      </c>
      <c r="C1141" t="s">
        <v>557</v>
      </c>
      <c r="D1141" s="452">
        <v>46082</v>
      </c>
      <c r="E1141">
        <v>27475</v>
      </c>
      <c r="F1141" t="s">
        <v>5123</v>
      </c>
      <c r="G1141">
        <v>7475</v>
      </c>
      <c r="H1141">
        <v>1</v>
      </c>
      <c r="I1141" t="s">
        <v>4736</v>
      </c>
      <c r="J1141" t="s">
        <v>5191</v>
      </c>
      <c r="K1141" t="s">
        <v>460</v>
      </c>
      <c r="L1141">
        <v>0</v>
      </c>
      <c r="M1141" s="452">
        <v>45989</v>
      </c>
      <c r="N1141">
        <v>19.32</v>
      </c>
      <c r="O1141">
        <v>19.2</v>
      </c>
      <c r="P1141">
        <v>19.32</v>
      </c>
    </row>
    <row r="1142" spans="1:16" x14ac:dyDescent="0.3">
      <c r="A1142">
        <v>74048</v>
      </c>
      <c r="B1142">
        <v>105</v>
      </c>
      <c r="C1142" t="s">
        <v>557</v>
      </c>
      <c r="D1142" s="452">
        <v>46082</v>
      </c>
      <c r="E1142">
        <v>23108</v>
      </c>
      <c r="F1142" t="s">
        <v>5117</v>
      </c>
      <c r="G1142">
        <v>2739</v>
      </c>
      <c r="H1142">
        <v>0.3</v>
      </c>
      <c r="I1142" t="s">
        <v>4744</v>
      </c>
      <c r="J1142" t="s">
        <v>5191</v>
      </c>
      <c r="K1142" t="s">
        <v>460</v>
      </c>
      <c r="L1142">
        <v>63.75</v>
      </c>
      <c r="M1142" s="452">
        <v>46079</v>
      </c>
      <c r="N1142">
        <v>60</v>
      </c>
      <c r="O1142">
        <v>60</v>
      </c>
      <c r="P1142">
        <v>19.12</v>
      </c>
    </row>
    <row r="1143" spans="1:16" x14ac:dyDescent="0.3">
      <c r="A1143">
        <v>74005</v>
      </c>
      <c r="B1143">
        <v>105</v>
      </c>
      <c r="C1143" t="s">
        <v>557</v>
      </c>
      <c r="D1143" s="452">
        <v>46082</v>
      </c>
      <c r="E1143">
        <v>20295</v>
      </c>
      <c r="F1143" t="s">
        <v>4881</v>
      </c>
      <c r="G1143">
        <v>2226</v>
      </c>
      <c r="H1143">
        <v>2</v>
      </c>
      <c r="I1143" t="s">
        <v>4736</v>
      </c>
      <c r="J1143" t="s">
        <v>5191</v>
      </c>
      <c r="K1143" t="s">
        <v>460</v>
      </c>
      <c r="L1143">
        <v>0</v>
      </c>
      <c r="M1143" s="452">
        <v>46006</v>
      </c>
      <c r="N1143">
        <v>9.5399999999999991</v>
      </c>
      <c r="O1143">
        <v>9.4</v>
      </c>
      <c r="P1143">
        <v>19.079999999999998</v>
      </c>
    </row>
    <row r="1144" spans="1:16" x14ac:dyDescent="0.3">
      <c r="A1144">
        <v>73891</v>
      </c>
      <c r="B1144">
        <v>105</v>
      </c>
      <c r="C1144" t="s">
        <v>557</v>
      </c>
      <c r="D1144" s="452">
        <v>46082</v>
      </c>
      <c r="E1144">
        <v>18212</v>
      </c>
      <c r="F1144" t="s">
        <v>5040</v>
      </c>
      <c r="G1144">
        <v>3415</v>
      </c>
      <c r="H1144">
        <v>0.5</v>
      </c>
      <c r="I1144" t="s">
        <v>4805</v>
      </c>
      <c r="J1144" t="s">
        <v>5222</v>
      </c>
      <c r="K1144" t="s">
        <v>460</v>
      </c>
      <c r="L1144">
        <v>0</v>
      </c>
      <c r="N1144">
        <v>0</v>
      </c>
      <c r="O1144">
        <v>35.51</v>
      </c>
      <c r="P1144">
        <v>19.04</v>
      </c>
    </row>
    <row r="1145" spans="1:16" x14ac:dyDescent="0.3">
      <c r="A1145">
        <v>74030</v>
      </c>
      <c r="B1145">
        <v>105</v>
      </c>
      <c r="C1145" t="s">
        <v>557</v>
      </c>
      <c r="D1145" s="452">
        <v>46082</v>
      </c>
      <c r="E1145">
        <v>20871</v>
      </c>
      <c r="F1145" t="s">
        <v>5015</v>
      </c>
      <c r="G1145">
        <v>2043</v>
      </c>
      <c r="H1145">
        <v>1</v>
      </c>
      <c r="I1145" t="s">
        <v>4879</v>
      </c>
      <c r="J1145" t="s">
        <v>5191</v>
      </c>
      <c r="K1145" t="s">
        <v>460</v>
      </c>
      <c r="L1145">
        <v>0</v>
      </c>
      <c r="M1145" s="452">
        <v>46030</v>
      </c>
      <c r="N1145">
        <v>18.899999999999999</v>
      </c>
      <c r="O1145">
        <v>18.899999999999999</v>
      </c>
      <c r="P1145">
        <v>18.899999999999999</v>
      </c>
    </row>
    <row r="1146" spans="1:16" x14ac:dyDescent="0.3">
      <c r="A1146">
        <v>73975</v>
      </c>
      <c r="B1146">
        <v>105</v>
      </c>
      <c r="C1146" t="s">
        <v>557</v>
      </c>
      <c r="D1146" s="452">
        <v>46082</v>
      </c>
      <c r="E1146">
        <v>19728</v>
      </c>
      <c r="F1146" t="s">
        <v>5106</v>
      </c>
      <c r="G1146">
        <v>2525</v>
      </c>
      <c r="H1146">
        <v>1.6</v>
      </c>
      <c r="I1146" t="s">
        <v>4744</v>
      </c>
      <c r="J1146" t="s">
        <v>5191</v>
      </c>
      <c r="K1146" t="s">
        <v>460</v>
      </c>
      <c r="L1146">
        <v>11.77</v>
      </c>
      <c r="M1146" s="452">
        <v>46079</v>
      </c>
      <c r="N1146">
        <v>10.8</v>
      </c>
      <c r="O1146">
        <v>10.8</v>
      </c>
      <c r="P1146">
        <v>18.829999999999998</v>
      </c>
    </row>
    <row r="1147" spans="1:16" x14ac:dyDescent="0.3">
      <c r="A1147">
        <v>73932</v>
      </c>
      <c r="B1147">
        <v>105</v>
      </c>
      <c r="C1147" t="s">
        <v>557</v>
      </c>
      <c r="D1147" s="452">
        <v>46082</v>
      </c>
      <c r="E1147">
        <v>19306</v>
      </c>
      <c r="F1147" t="s">
        <v>5111</v>
      </c>
      <c r="G1147">
        <v>2774</v>
      </c>
      <c r="H1147">
        <v>1</v>
      </c>
      <c r="I1147" t="s">
        <v>4738</v>
      </c>
      <c r="J1147" t="s">
        <v>5191</v>
      </c>
      <c r="K1147" t="s">
        <v>460</v>
      </c>
      <c r="L1147">
        <v>18.25</v>
      </c>
      <c r="M1147" s="452">
        <v>46070</v>
      </c>
      <c r="N1147">
        <v>17.95</v>
      </c>
      <c r="O1147">
        <v>18.55</v>
      </c>
      <c r="P1147">
        <v>18.25</v>
      </c>
    </row>
    <row r="1148" spans="1:16" x14ac:dyDescent="0.3">
      <c r="A1148">
        <v>73935</v>
      </c>
      <c r="B1148">
        <v>105</v>
      </c>
      <c r="C1148" t="s">
        <v>557</v>
      </c>
      <c r="D1148" s="452">
        <v>46082</v>
      </c>
      <c r="E1148">
        <v>19415</v>
      </c>
      <c r="F1148" t="s">
        <v>4919</v>
      </c>
      <c r="G1148">
        <v>2759</v>
      </c>
      <c r="H1148">
        <v>2</v>
      </c>
      <c r="I1148" t="s">
        <v>4736</v>
      </c>
      <c r="J1148" t="s">
        <v>5191</v>
      </c>
      <c r="K1148" t="s">
        <v>460</v>
      </c>
      <c r="L1148">
        <v>8.7899999999999991</v>
      </c>
      <c r="M1148" s="452">
        <v>46076</v>
      </c>
      <c r="N1148">
        <v>8.8000000000000007</v>
      </c>
      <c r="O1148">
        <v>8.81</v>
      </c>
      <c r="P1148">
        <v>17.579999999999998</v>
      </c>
    </row>
    <row r="1149" spans="1:16" x14ac:dyDescent="0.3">
      <c r="A1149">
        <v>74071</v>
      </c>
      <c r="B1149">
        <v>105</v>
      </c>
      <c r="C1149" t="s">
        <v>557</v>
      </c>
      <c r="D1149" s="452">
        <v>46082</v>
      </c>
      <c r="E1149">
        <v>23635</v>
      </c>
      <c r="F1149" t="s">
        <v>4837</v>
      </c>
      <c r="G1149">
        <v>2247</v>
      </c>
      <c r="H1149">
        <v>2</v>
      </c>
      <c r="I1149" t="s">
        <v>4744</v>
      </c>
      <c r="J1149" t="s">
        <v>5191</v>
      </c>
      <c r="K1149" t="s">
        <v>460</v>
      </c>
      <c r="L1149">
        <v>0</v>
      </c>
      <c r="M1149" s="452">
        <v>45845</v>
      </c>
      <c r="N1149">
        <v>8.7100000000000009</v>
      </c>
      <c r="O1149">
        <v>8.1999999999999993</v>
      </c>
      <c r="P1149">
        <v>17.420000000000002</v>
      </c>
    </row>
    <row r="1150" spans="1:16" x14ac:dyDescent="0.3">
      <c r="A1150">
        <v>74052</v>
      </c>
      <c r="B1150">
        <v>105</v>
      </c>
      <c r="C1150" t="s">
        <v>557</v>
      </c>
      <c r="D1150" s="452">
        <v>46082</v>
      </c>
      <c r="E1150">
        <v>23198</v>
      </c>
      <c r="F1150" t="s">
        <v>4962</v>
      </c>
      <c r="G1150">
        <v>2657</v>
      </c>
      <c r="H1150">
        <v>1.1000000000000001</v>
      </c>
      <c r="I1150" t="s">
        <v>4744</v>
      </c>
      <c r="J1150" t="s">
        <v>5191</v>
      </c>
      <c r="K1150" t="s">
        <v>460</v>
      </c>
      <c r="L1150">
        <v>15.26</v>
      </c>
      <c r="M1150" s="452">
        <v>46078</v>
      </c>
      <c r="N1150">
        <v>12.5</v>
      </c>
      <c r="O1150">
        <v>12.5</v>
      </c>
      <c r="P1150">
        <v>16.79</v>
      </c>
    </row>
    <row r="1151" spans="1:16" x14ac:dyDescent="0.3">
      <c r="A1151">
        <v>74098</v>
      </c>
      <c r="B1151">
        <v>105</v>
      </c>
      <c r="C1151" t="s">
        <v>557</v>
      </c>
      <c r="D1151" s="452">
        <v>46082</v>
      </c>
      <c r="E1151">
        <v>24509</v>
      </c>
      <c r="F1151" t="s">
        <v>4788</v>
      </c>
      <c r="G1151">
        <v>2607</v>
      </c>
      <c r="H1151">
        <v>8.4499999999999993</v>
      </c>
      <c r="I1151" t="s">
        <v>4744</v>
      </c>
      <c r="J1151" t="s">
        <v>5191</v>
      </c>
      <c r="K1151" t="s">
        <v>460</v>
      </c>
      <c r="L1151">
        <v>1.98</v>
      </c>
      <c r="M1151" s="452">
        <v>46080</v>
      </c>
      <c r="N1151">
        <v>2.2999999999999998</v>
      </c>
      <c r="O1151">
        <v>2.29</v>
      </c>
      <c r="P1151">
        <v>16.73</v>
      </c>
    </row>
    <row r="1152" spans="1:16" x14ac:dyDescent="0.3">
      <c r="A1152">
        <v>73953</v>
      </c>
      <c r="B1152">
        <v>105</v>
      </c>
      <c r="C1152" t="s">
        <v>557</v>
      </c>
      <c r="D1152" s="452">
        <v>46082</v>
      </c>
      <c r="E1152">
        <v>19553</v>
      </c>
      <c r="F1152" t="s">
        <v>4868</v>
      </c>
      <c r="G1152">
        <v>2663</v>
      </c>
      <c r="H1152">
        <v>4.05</v>
      </c>
      <c r="I1152" t="s">
        <v>4744</v>
      </c>
      <c r="J1152" t="s">
        <v>5191</v>
      </c>
      <c r="K1152" t="s">
        <v>460</v>
      </c>
      <c r="L1152">
        <v>3.95</v>
      </c>
      <c r="M1152" s="452">
        <v>46076</v>
      </c>
      <c r="N1152">
        <v>5.08</v>
      </c>
      <c r="O1152">
        <v>5.08</v>
      </c>
      <c r="P1152">
        <v>16</v>
      </c>
    </row>
    <row r="1153" spans="1:16" x14ac:dyDescent="0.3">
      <c r="A1153">
        <v>74070</v>
      </c>
      <c r="B1153">
        <v>105</v>
      </c>
      <c r="C1153" t="s">
        <v>557</v>
      </c>
      <c r="D1153" s="452">
        <v>46082</v>
      </c>
      <c r="E1153">
        <v>23554</v>
      </c>
      <c r="F1153" t="s">
        <v>4931</v>
      </c>
      <c r="G1153">
        <v>2316</v>
      </c>
      <c r="H1153">
        <v>1.8</v>
      </c>
      <c r="I1153" t="s">
        <v>4744</v>
      </c>
      <c r="J1153" t="s">
        <v>5191</v>
      </c>
      <c r="K1153" t="s">
        <v>460</v>
      </c>
      <c r="L1153">
        <v>0</v>
      </c>
      <c r="M1153" s="452">
        <v>45887</v>
      </c>
      <c r="N1153">
        <v>8.5</v>
      </c>
      <c r="O1153">
        <v>8.5</v>
      </c>
      <c r="P1153">
        <v>15.3</v>
      </c>
    </row>
    <row r="1154" spans="1:16" x14ac:dyDescent="0.3">
      <c r="A1154">
        <v>74004</v>
      </c>
      <c r="B1154">
        <v>105</v>
      </c>
      <c r="C1154" t="s">
        <v>557</v>
      </c>
      <c r="D1154" s="452">
        <v>46082</v>
      </c>
      <c r="E1154">
        <v>20242</v>
      </c>
      <c r="F1154" t="s">
        <v>4824</v>
      </c>
      <c r="G1154">
        <v>2242</v>
      </c>
      <c r="H1154">
        <v>1</v>
      </c>
      <c r="I1154" t="s">
        <v>4738</v>
      </c>
      <c r="J1154" t="s">
        <v>5191</v>
      </c>
      <c r="K1154" t="s">
        <v>460</v>
      </c>
      <c r="L1154">
        <v>14.25</v>
      </c>
      <c r="M1154" s="452">
        <v>46076</v>
      </c>
      <c r="N1154">
        <v>14.56</v>
      </c>
      <c r="O1154">
        <v>14.56</v>
      </c>
      <c r="P1154">
        <v>14.25</v>
      </c>
    </row>
    <row r="1155" spans="1:16" x14ac:dyDescent="0.3">
      <c r="A1155">
        <v>74125</v>
      </c>
      <c r="B1155">
        <v>105</v>
      </c>
      <c r="C1155" t="s">
        <v>557</v>
      </c>
      <c r="D1155" s="452">
        <v>46082</v>
      </c>
      <c r="E1155">
        <v>26020</v>
      </c>
      <c r="F1155" t="s">
        <v>5102</v>
      </c>
      <c r="G1155">
        <v>2105</v>
      </c>
      <c r="H1155">
        <v>1</v>
      </c>
      <c r="I1155" t="s">
        <v>4736</v>
      </c>
      <c r="J1155" t="s">
        <v>5191</v>
      </c>
      <c r="K1155" t="s">
        <v>460</v>
      </c>
      <c r="L1155">
        <v>13.94</v>
      </c>
      <c r="M1155" s="452">
        <v>46077</v>
      </c>
      <c r="N1155">
        <v>13.94</v>
      </c>
      <c r="O1155">
        <v>13.94</v>
      </c>
      <c r="P1155">
        <v>13.94</v>
      </c>
    </row>
    <row r="1156" spans="1:16" x14ac:dyDescent="0.3">
      <c r="A1156">
        <v>73951</v>
      </c>
      <c r="B1156">
        <v>105</v>
      </c>
      <c r="C1156" t="s">
        <v>557</v>
      </c>
      <c r="D1156" s="452">
        <v>46082</v>
      </c>
      <c r="E1156">
        <v>19551</v>
      </c>
      <c r="F1156" t="s">
        <v>4905</v>
      </c>
      <c r="G1156">
        <v>2665</v>
      </c>
      <c r="H1156">
        <v>1</v>
      </c>
      <c r="I1156" t="s">
        <v>4744</v>
      </c>
      <c r="J1156" t="s">
        <v>5191</v>
      </c>
      <c r="K1156" t="s">
        <v>460</v>
      </c>
      <c r="L1156">
        <v>13.6</v>
      </c>
      <c r="M1156" s="452">
        <v>46079</v>
      </c>
      <c r="N1156">
        <v>11.74</v>
      </c>
      <c r="O1156">
        <v>11.74</v>
      </c>
      <c r="P1156">
        <v>13.6</v>
      </c>
    </row>
    <row r="1157" spans="1:16" x14ac:dyDescent="0.3">
      <c r="A1157">
        <v>73958</v>
      </c>
      <c r="B1157">
        <v>105</v>
      </c>
      <c r="C1157" t="s">
        <v>557</v>
      </c>
      <c r="D1157" s="452">
        <v>46082</v>
      </c>
      <c r="E1157">
        <v>19577</v>
      </c>
      <c r="F1157" t="s">
        <v>4984</v>
      </c>
      <c r="G1157">
        <v>2641</v>
      </c>
      <c r="H1157">
        <v>0.82</v>
      </c>
      <c r="I1157" t="s">
        <v>4736</v>
      </c>
      <c r="J1157" t="s">
        <v>5191</v>
      </c>
      <c r="K1157" t="s">
        <v>460</v>
      </c>
      <c r="L1157">
        <v>0</v>
      </c>
      <c r="M1157" s="452">
        <v>45971</v>
      </c>
      <c r="N1157">
        <v>15.6</v>
      </c>
      <c r="O1157">
        <v>15.6</v>
      </c>
      <c r="P1157">
        <v>12.79</v>
      </c>
    </row>
    <row r="1158" spans="1:16" x14ac:dyDescent="0.3">
      <c r="A1158">
        <v>73979</v>
      </c>
      <c r="B1158">
        <v>105</v>
      </c>
      <c r="C1158" t="s">
        <v>557</v>
      </c>
      <c r="D1158" s="452">
        <v>46082</v>
      </c>
      <c r="E1158">
        <v>19742</v>
      </c>
      <c r="F1158" t="s">
        <v>4900</v>
      </c>
      <c r="G1158">
        <v>2511</v>
      </c>
      <c r="H1158">
        <v>1.25</v>
      </c>
      <c r="I1158" t="s">
        <v>4744</v>
      </c>
      <c r="J1158" t="s">
        <v>5191</v>
      </c>
      <c r="K1158" t="s">
        <v>460</v>
      </c>
      <c r="L1158">
        <v>10.17</v>
      </c>
      <c r="M1158" s="452">
        <v>46078</v>
      </c>
      <c r="N1158">
        <v>15</v>
      </c>
      <c r="O1158">
        <v>12.4</v>
      </c>
      <c r="P1158">
        <v>12.71</v>
      </c>
    </row>
    <row r="1159" spans="1:16" x14ac:dyDescent="0.3">
      <c r="A1159">
        <v>73965</v>
      </c>
      <c r="B1159">
        <v>105</v>
      </c>
      <c r="C1159" t="s">
        <v>557</v>
      </c>
      <c r="D1159" s="452">
        <v>46082</v>
      </c>
      <c r="E1159">
        <v>19632</v>
      </c>
      <c r="F1159" t="s">
        <v>4936</v>
      </c>
      <c r="G1159">
        <v>2604</v>
      </c>
      <c r="H1159">
        <v>3.3</v>
      </c>
      <c r="I1159" t="s">
        <v>4744</v>
      </c>
      <c r="J1159" t="s">
        <v>5191</v>
      </c>
      <c r="K1159" t="s">
        <v>460</v>
      </c>
      <c r="L1159">
        <v>3.61</v>
      </c>
      <c r="M1159" s="452">
        <v>46079</v>
      </c>
      <c r="N1159">
        <v>4.5</v>
      </c>
      <c r="O1159">
        <v>4.5</v>
      </c>
      <c r="P1159">
        <v>11.91</v>
      </c>
    </row>
    <row r="1160" spans="1:16" x14ac:dyDescent="0.3">
      <c r="A1160">
        <v>74059</v>
      </c>
      <c r="B1160">
        <v>105</v>
      </c>
      <c r="C1160" t="s">
        <v>557</v>
      </c>
      <c r="D1160" s="452">
        <v>46082</v>
      </c>
      <c r="E1160">
        <v>23346</v>
      </c>
      <c r="F1160" t="s">
        <v>4916</v>
      </c>
      <c r="G1160">
        <v>2512</v>
      </c>
      <c r="H1160">
        <v>2.1</v>
      </c>
      <c r="I1160" t="s">
        <v>4744</v>
      </c>
      <c r="J1160" t="s">
        <v>5191</v>
      </c>
      <c r="K1160" t="s">
        <v>460</v>
      </c>
      <c r="L1160">
        <v>5.47</v>
      </c>
      <c r="M1160" s="452">
        <v>46081</v>
      </c>
      <c r="N1160">
        <v>5.94</v>
      </c>
      <c r="O1160">
        <v>5.94</v>
      </c>
      <c r="P1160">
        <v>11.49</v>
      </c>
    </row>
    <row r="1161" spans="1:16" x14ac:dyDescent="0.3">
      <c r="A1161">
        <v>73963</v>
      </c>
      <c r="B1161">
        <v>105</v>
      </c>
      <c r="C1161" t="s">
        <v>557</v>
      </c>
      <c r="D1161" s="452">
        <v>46082</v>
      </c>
      <c r="E1161">
        <v>19622</v>
      </c>
      <c r="F1161" t="s">
        <v>4915</v>
      </c>
      <c r="G1161">
        <v>2612</v>
      </c>
      <c r="H1161">
        <v>2.4</v>
      </c>
      <c r="I1161" t="s">
        <v>4744</v>
      </c>
      <c r="J1161" t="s">
        <v>5191</v>
      </c>
      <c r="K1161" t="s">
        <v>460</v>
      </c>
      <c r="L1161">
        <v>4.66</v>
      </c>
      <c r="M1161" s="452">
        <v>46078</v>
      </c>
      <c r="N1161">
        <v>11.25</v>
      </c>
      <c r="O1161">
        <v>11.25</v>
      </c>
      <c r="P1161">
        <v>11.18</v>
      </c>
    </row>
    <row r="1162" spans="1:16" x14ac:dyDescent="0.3">
      <c r="A1162">
        <v>74093</v>
      </c>
      <c r="B1162">
        <v>105</v>
      </c>
      <c r="C1162" t="s">
        <v>557</v>
      </c>
      <c r="D1162" s="452">
        <v>46082</v>
      </c>
      <c r="E1162">
        <v>24322</v>
      </c>
      <c r="F1162" t="s">
        <v>5064</v>
      </c>
      <c r="G1162">
        <v>2342</v>
      </c>
      <c r="H1162">
        <v>0.5</v>
      </c>
      <c r="I1162" t="s">
        <v>4744</v>
      </c>
      <c r="J1162" t="s">
        <v>5191</v>
      </c>
      <c r="K1162" t="s">
        <v>460</v>
      </c>
      <c r="L1162">
        <v>22</v>
      </c>
      <c r="M1162" s="452">
        <v>46066</v>
      </c>
      <c r="N1162">
        <v>22</v>
      </c>
      <c r="O1162">
        <v>22</v>
      </c>
      <c r="P1162">
        <v>11</v>
      </c>
    </row>
    <row r="1163" spans="1:16" x14ac:dyDescent="0.3">
      <c r="A1163">
        <v>73930</v>
      </c>
      <c r="B1163">
        <v>105</v>
      </c>
      <c r="C1163" t="s">
        <v>557</v>
      </c>
      <c r="D1163" s="452">
        <v>46082</v>
      </c>
      <c r="E1163">
        <v>19241</v>
      </c>
      <c r="F1163" t="s">
        <v>4890</v>
      </c>
      <c r="G1163">
        <v>2785</v>
      </c>
      <c r="H1163">
        <v>3</v>
      </c>
      <c r="I1163" t="s">
        <v>4736</v>
      </c>
      <c r="J1163" t="s">
        <v>5191</v>
      </c>
      <c r="K1163" t="s">
        <v>460</v>
      </c>
      <c r="L1163">
        <v>3.6</v>
      </c>
      <c r="M1163" s="452">
        <v>46076</v>
      </c>
      <c r="N1163">
        <v>3.6</v>
      </c>
      <c r="O1163">
        <v>3.6</v>
      </c>
      <c r="P1163">
        <v>10.8</v>
      </c>
    </row>
    <row r="1164" spans="1:16" x14ac:dyDescent="0.3">
      <c r="A1164">
        <v>73977</v>
      </c>
      <c r="B1164">
        <v>105</v>
      </c>
      <c r="C1164" t="s">
        <v>557</v>
      </c>
      <c r="D1164" s="452">
        <v>46082</v>
      </c>
      <c r="E1164">
        <v>19737</v>
      </c>
      <c r="F1164" t="s">
        <v>4940</v>
      </c>
      <c r="G1164">
        <v>2516</v>
      </c>
      <c r="H1164">
        <v>2.15</v>
      </c>
      <c r="I1164" t="s">
        <v>4744</v>
      </c>
      <c r="J1164" t="s">
        <v>5191</v>
      </c>
      <c r="K1164" t="s">
        <v>460</v>
      </c>
      <c r="L1164">
        <v>4.95</v>
      </c>
      <c r="M1164" s="452">
        <v>46078</v>
      </c>
      <c r="N1164">
        <v>5.25</v>
      </c>
      <c r="O1164">
        <v>5.25</v>
      </c>
      <c r="P1164">
        <v>10.64</v>
      </c>
    </row>
    <row r="1165" spans="1:16" x14ac:dyDescent="0.3">
      <c r="A1165">
        <v>73945</v>
      </c>
      <c r="B1165">
        <v>105</v>
      </c>
      <c r="C1165" t="s">
        <v>557</v>
      </c>
      <c r="D1165" s="452">
        <v>46082</v>
      </c>
      <c r="E1165">
        <v>19492</v>
      </c>
      <c r="F1165" t="s">
        <v>4937</v>
      </c>
      <c r="G1165">
        <v>2717</v>
      </c>
      <c r="H1165">
        <v>0.5</v>
      </c>
      <c r="I1165" t="s">
        <v>4744</v>
      </c>
      <c r="J1165" t="s">
        <v>5191</v>
      </c>
      <c r="K1165" t="s">
        <v>460</v>
      </c>
      <c r="L1165">
        <v>20.53</v>
      </c>
      <c r="M1165" s="452">
        <v>46076</v>
      </c>
      <c r="N1165">
        <v>19.940000000000001</v>
      </c>
      <c r="O1165">
        <v>19.940000000000001</v>
      </c>
      <c r="P1165">
        <v>10.26</v>
      </c>
    </row>
    <row r="1166" spans="1:16" x14ac:dyDescent="0.3">
      <c r="A1166">
        <v>74001</v>
      </c>
      <c r="B1166">
        <v>105</v>
      </c>
      <c r="C1166" t="s">
        <v>557</v>
      </c>
      <c r="D1166" s="452">
        <v>46082</v>
      </c>
      <c r="E1166">
        <v>20138</v>
      </c>
      <c r="F1166" t="s">
        <v>4886</v>
      </c>
      <c r="G1166">
        <v>2284</v>
      </c>
      <c r="H1166">
        <v>2</v>
      </c>
      <c r="I1166" t="s">
        <v>4738</v>
      </c>
      <c r="J1166" t="s">
        <v>5191</v>
      </c>
      <c r="K1166" t="s">
        <v>460</v>
      </c>
      <c r="L1166">
        <v>5.0999999999999996</v>
      </c>
      <c r="M1166" s="452">
        <v>46077</v>
      </c>
      <c r="N1166">
        <v>5.0999999999999996</v>
      </c>
      <c r="O1166">
        <v>5.0999999999999996</v>
      </c>
      <c r="P1166">
        <v>10.199999999999999</v>
      </c>
    </row>
    <row r="1167" spans="1:16" x14ac:dyDescent="0.3">
      <c r="A1167">
        <v>73962</v>
      </c>
      <c r="B1167">
        <v>105</v>
      </c>
      <c r="C1167" t="s">
        <v>557</v>
      </c>
      <c r="D1167" s="452">
        <v>46082</v>
      </c>
      <c r="E1167">
        <v>19621</v>
      </c>
      <c r="F1167" t="s">
        <v>4829</v>
      </c>
      <c r="G1167">
        <v>2613</v>
      </c>
      <c r="H1167">
        <v>3.25</v>
      </c>
      <c r="I1167" t="s">
        <v>4744</v>
      </c>
      <c r="J1167" t="s">
        <v>5191</v>
      </c>
      <c r="K1167" t="s">
        <v>460</v>
      </c>
      <c r="L1167">
        <v>3.12</v>
      </c>
      <c r="M1167" s="452">
        <v>46081</v>
      </c>
      <c r="N1167">
        <v>3.04</v>
      </c>
      <c r="O1167">
        <v>3.04</v>
      </c>
      <c r="P1167">
        <v>10.14</v>
      </c>
    </row>
    <row r="1168" spans="1:16" x14ac:dyDescent="0.3">
      <c r="A1168">
        <v>73991</v>
      </c>
      <c r="B1168">
        <v>105</v>
      </c>
      <c r="C1168" t="s">
        <v>557</v>
      </c>
      <c r="D1168" s="452">
        <v>46082</v>
      </c>
      <c r="E1168">
        <v>19969</v>
      </c>
      <c r="F1168" t="s">
        <v>5018</v>
      </c>
      <c r="G1168">
        <v>2354</v>
      </c>
      <c r="H1168">
        <v>1</v>
      </c>
      <c r="I1168" t="s">
        <v>4888</v>
      </c>
      <c r="J1168" t="s">
        <v>5191</v>
      </c>
      <c r="K1168" t="s">
        <v>460</v>
      </c>
      <c r="L1168">
        <v>10.1</v>
      </c>
      <c r="M1168" s="452">
        <v>46066</v>
      </c>
      <c r="N1168">
        <v>10.1</v>
      </c>
      <c r="O1168">
        <v>10.1</v>
      </c>
      <c r="P1168">
        <v>10.1</v>
      </c>
    </row>
    <row r="1169" spans="1:16" x14ac:dyDescent="0.3">
      <c r="A1169">
        <v>74133</v>
      </c>
      <c r="B1169">
        <v>105</v>
      </c>
      <c r="C1169" t="s">
        <v>557</v>
      </c>
      <c r="D1169" s="452">
        <v>46082</v>
      </c>
      <c r="E1169">
        <v>26210</v>
      </c>
      <c r="F1169" t="s">
        <v>4975</v>
      </c>
      <c r="G1169">
        <v>6624</v>
      </c>
      <c r="H1169">
        <v>0.21</v>
      </c>
      <c r="I1169" t="s">
        <v>4805</v>
      </c>
      <c r="J1169" t="s">
        <v>5222</v>
      </c>
      <c r="K1169" t="s">
        <v>460</v>
      </c>
      <c r="L1169">
        <v>47.6</v>
      </c>
      <c r="M1169" s="452">
        <v>46064</v>
      </c>
      <c r="N1169">
        <v>47.6</v>
      </c>
      <c r="O1169">
        <v>47.6</v>
      </c>
      <c r="P1169">
        <v>10</v>
      </c>
    </row>
    <row r="1170" spans="1:16" x14ac:dyDescent="0.3">
      <c r="A1170">
        <v>74055</v>
      </c>
      <c r="B1170">
        <v>105</v>
      </c>
      <c r="C1170" t="s">
        <v>557</v>
      </c>
      <c r="D1170" s="452">
        <v>46082</v>
      </c>
      <c r="E1170">
        <v>23236</v>
      </c>
      <c r="F1170" t="s">
        <v>5062</v>
      </c>
      <c r="G1170">
        <v>2620</v>
      </c>
      <c r="H1170">
        <v>1.05</v>
      </c>
      <c r="I1170" t="s">
        <v>4744</v>
      </c>
      <c r="J1170" t="s">
        <v>5191</v>
      </c>
      <c r="K1170" t="s">
        <v>460</v>
      </c>
      <c r="L1170">
        <v>9.41</v>
      </c>
      <c r="M1170" s="452">
        <v>46079</v>
      </c>
      <c r="N1170">
        <v>9.5</v>
      </c>
      <c r="O1170">
        <v>9.5</v>
      </c>
      <c r="P1170">
        <v>9.8800000000000008</v>
      </c>
    </row>
    <row r="1171" spans="1:16" x14ac:dyDescent="0.3">
      <c r="A1171">
        <v>74049</v>
      </c>
      <c r="B1171">
        <v>105</v>
      </c>
      <c r="C1171" t="s">
        <v>557</v>
      </c>
      <c r="D1171" s="452">
        <v>46082</v>
      </c>
      <c r="E1171">
        <v>23124</v>
      </c>
      <c r="F1171" t="s">
        <v>5126</v>
      </c>
      <c r="G1171">
        <v>2727</v>
      </c>
      <c r="H1171">
        <v>0.2</v>
      </c>
      <c r="I1171" t="s">
        <v>4744</v>
      </c>
      <c r="J1171" t="s">
        <v>5191</v>
      </c>
      <c r="K1171" t="s">
        <v>460</v>
      </c>
      <c r="L1171">
        <v>0</v>
      </c>
      <c r="M1171" s="452">
        <v>45925</v>
      </c>
      <c r="N1171">
        <v>49</v>
      </c>
      <c r="O1171">
        <v>62.5</v>
      </c>
      <c r="P1171">
        <v>9.8000000000000007</v>
      </c>
    </row>
    <row r="1172" spans="1:16" x14ac:dyDescent="0.3">
      <c r="A1172">
        <v>74112</v>
      </c>
      <c r="B1172">
        <v>105</v>
      </c>
      <c r="C1172" t="s">
        <v>557</v>
      </c>
      <c r="D1172" s="452">
        <v>46082</v>
      </c>
      <c r="E1172">
        <v>25561</v>
      </c>
      <c r="F1172" t="s">
        <v>5095</v>
      </c>
      <c r="G1172">
        <v>6169</v>
      </c>
      <c r="H1172">
        <v>0.08</v>
      </c>
      <c r="I1172" t="s">
        <v>4738</v>
      </c>
      <c r="J1172" t="s">
        <v>5222</v>
      </c>
      <c r="K1172" t="s">
        <v>460</v>
      </c>
      <c r="L1172">
        <v>121.19</v>
      </c>
      <c r="M1172" s="452">
        <v>46077</v>
      </c>
      <c r="N1172">
        <v>132.07</v>
      </c>
      <c r="O1172">
        <v>132.07</v>
      </c>
      <c r="P1172">
        <v>9.6999999999999993</v>
      </c>
    </row>
    <row r="1173" spans="1:16" x14ac:dyDescent="0.3">
      <c r="A1173">
        <v>74044</v>
      </c>
      <c r="B1173">
        <v>105</v>
      </c>
      <c r="C1173" t="s">
        <v>557</v>
      </c>
      <c r="D1173" s="452">
        <v>46082</v>
      </c>
      <c r="E1173">
        <v>21257</v>
      </c>
      <c r="F1173" t="s">
        <v>4952</v>
      </c>
      <c r="G1173">
        <v>2187</v>
      </c>
      <c r="H1173">
        <v>0.5</v>
      </c>
      <c r="I1173" t="s">
        <v>4736</v>
      </c>
      <c r="J1173" t="s">
        <v>5191</v>
      </c>
      <c r="K1173" t="s">
        <v>460</v>
      </c>
      <c r="L1173">
        <v>0</v>
      </c>
      <c r="M1173" s="452">
        <v>46041</v>
      </c>
      <c r="N1173">
        <v>18.75</v>
      </c>
      <c r="O1173">
        <v>18.850000000000001</v>
      </c>
      <c r="P1173">
        <v>9.3800000000000008</v>
      </c>
    </row>
    <row r="1174" spans="1:16" x14ac:dyDescent="0.3">
      <c r="A1174">
        <v>74108</v>
      </c>
      <c r="B1174">
        <v>105</v>
      </c>
      <c r="C1174" t="s">
        <v>557</v>
      </c>
      <c r="D1174" s="452">
        <v>46082</v>
      </c>
      <c r="E1174">
        <v>25079</v>
      </c>
      <c r="F1174" t="s">
        <v>5006</v>
      </c>
      <c r="G1174">
        <v>2239</v>
      </c>
      <c r="H1174">
        <v>1</v>
      </c>
      <c r="I1174" t="s">
        <v>4738</v>
      </c>
      <c r="J1174" t="s">
        <v>5191</v>
      </c>
      <c r="K1174" t="s">
        <v>460</v>
      </c>
      <c r="L1174">
        <v>0</v>
      </c>
      <c r="N1174">
        <v>0</v>
      </c>
      <c r="O1174">
        <v>8.9499999999999993</v>
      </c>
      <c r="P1174">
        <v>9</v>
      </c>
    </row>
    <row r="1175" spans="1:16" x14ac:dyDescent="0.3">
      <c r="A1175">
        <v>74051</v>
      </c>
      <c r="B1175">
        <v>105</v>
      </c>
      <c r="C1175" t="s">
        <v>557</v>
      </c>
      <c r="D1175" s="452">
        <v>46082</v>
      </c>
      <c r="E1175">
        <v>23195</v>
      </c>
      <c r="F1175" t="s">
        <v>5051</v>
      </c>
      <c r="G1175">
        <v>2660</v>
      </c>
      <c r="H1175">
        <v>0.55000000000000004</v>
      </c>
      <c r="I1175" t="s">
        <v>4744</v>
      </c>
      <c r="J1175" t="s">
        <v>5191</v>
      </c>
      <c r="K1175" t="s">
        <v>460</v>
      </c>
      <c r="L1175">
        <v>14.5</v>
      </c>
      <c r="M1175" s="452">
        <v>46079</v>
      </c>
      <c r="N1175">
        <v>14.51</v>
      </c>
      <c r="O1175">
        <v>14.51</v>
      </c>
      <c r="P1175">
        <v>7.98</v>
      </c>
    </row>
    <row r="1176" spans="1:16" x14ac:dyDescent="0.3">
      <c r="A1176">
        <v>74104</v>
      </c>
      <c r="B1176">
        <v>105</v>
      </c>
      <c r="C1176" t="s">
        <v>557</v>
      </c>
      <c r="D1176" s="452">
        <v>46082</v>
      </c>
      <c r="E1176">
        <v>25022</v>
      </c>
      <c r="F1176" t="s">
        <v>4912</v>
      </c>
      <c r="G1176">
        <v>5868</v>
      </c>
      <c r="H1176">
        <v>2</v>
      </c>
      <c r="I1176" t="s">
        <v>4738</v>
      </c>
      <c r="J1176" t="s">
        <v>5191</v>
      </c>
      <c r="K1176" t="s">
        <v>460</v>
      </c>
      <c r="L1176">
        <v>3.7</v>
      </c>
      <c r="M1176" s="452">
        <v>46077</v>
      </c>
      <c r="N1176">
        <v>3.7</v>
      </c>
      <c r="O1176">
        <v>3.7</v>
      </c>
      <c r="P1176">
        <v>7.4</v>
      </c>
    </row>
    <row r="1177" spans="1:16" x14ac:dyDescent="0.3">
      <c r="A1177">
        <v>73968</v>
      </c>
      <c r="B1177">
        <v>105</v>
      </c>
      <c r="C1177" t="s">
        <v>557</v>
      </c>
      <c r="D1177" s="452">
        <v>46082</v>
      </c>
      <c r="E1177">
        <v>19642</v>
      </c>
      <c r="F1177" t="s">
        <v>4996</v>
      </c>
      <c r="G1177">
        <v>2596</v>
      </c>
      <c r="H1177">
        <v>1.3</v>
      </c>
      <c r="I1177" t="s">
        <v>4744</v>
      </c>
      <c r="J1177" t="s">
        <v>5191</v>
      </c>
      <c r="K1177" t="s">
        <v>460</v>
      </c>
      <c r="L1177">
        <v>5.39</v>
      </c>
      <c r="M1177" s="452">
        <v>46078</v>
      </c>
      <c r="N1177">
        <v>6.25</v>
      </c>
      <c r="O1177">
        <v>4.93</v>
      </c>
      <c r="P1177">
        <v>7.01</v>
      </c>
    </row>
    <row r="1178" spans="1:16" x14ac:dyDescent="0.3">
      <c r="A1178">
        <v>73957</v>
      </c>
      <c r="B1178">
        <v>105</v>
      </c>
      <c r="C1178" t="s">
        <v>557</v>
      </c>
      <c r="D1178" s="452">
        <v>46082</v>
      </c>
      <c r="E1178">
        <v>19575</v>
      </c>
      <c r="F1178" t="s">
        <v>5120</v>
      </c>
      <c r="G1178">
        <v>2643</v>
      </c>
      <c r="H1178">
        <v>0.2</v>
      </c>
      <c r="I1178" t="s">
        <v>4744</v>
      </c>
      <c r="J1178" t="s">
        <v>5191</v>
      </c>
      <c r="K1178" t="s">
        <v>460</v>
      </c>
      <c r="L1178">
        <v>35</v>
      </c>
      <c r="M1178" s="452">
        <v>46076</v>
      </c>
      <c r="N1178">
        <v>35</v>
      </c>
      <c r="O1178">
        <v>32</v>
      </c>
      <c r="P1178">
        <v>7</v>
      </c>
    </row>
    <row r="1179" spans="1:16" x14ac:dyDescent="0.3">
      <c r="A1179">
        <v>73952</v>
      </c>
      <c r="B1179">
        <v>105</v>
      </c>
      <c r="C1179" t="s">
        <v>557</v>
      </c>
      <c r="D1179" s="452">
        <v>46082</v>
      </c>
      <c r="E1179">
        <v>19552</v>
      </c>
      <c r="F1179" t="s">
        <v>4860</v>
      </c>
      <c r="G1179">
        <v>2664</v>
      </c>
      <c r="H1179">
        <v>1.25</v>
      </c>
      <c r="I1179" t="s">
        <v>4744</v>
      </c>
      <c r="J1179" t="s">
        <v>5191</v>
      </c>
      <c r="K1179" t="s">
        <v>460</v>
      </c>
      <c r="L1179">
        <v>5.58</v>
      </c>
      <c r="M1179" s="452">
        <v>46081</v>
      </c>
      <c r="N1179">
        <v>5.58</v>
      </c>
      <c r="O1179">
        <v>5.58</v>
      </c>
      <c r="P1179">
        <v>6.98</v>
      </c>
    </row>
    <row r="1180" spans="1:16" x14ac:dyDescent="0.3">
      <c r="A1180">
        <v>74097</v>
      </c>
      <c r="B1180">
        <v>105</v>
      </c>
      <c r="C1180" t="s">
        <v>557</v>
      </c>
      <c r="D1180" s="452">
        <v>46082</v>
      </c>
      <c r="E1180">
        <v>24489</v>
      </c>
      <c r="F1180" t="s">
        <v>5121</v>
      </c>
      <c r="G1180">
        <v>2686</v>
      </c>
      <c r="H1180">
        <v>0.3</v>
      </c>
      <c r="I1180" t="s">
        <v>4744</v>
      </c>
      <c r="J1180" t="s">
        <v>5191</v>
      </c>
      <c r="K1180" t="s">
        <v>460</v>
      </c>
      <c r="L1180">
        <v>18.920000000000002</v>
      </c>
      <c r="M1180" s="452">
        <v>46080</v>
      </c>
      <c r="N1180">
        <v>20</v>
      </c>
      <c r="O1180">
        <v>20</v>
      </c>
      <c r="P1180">
        <v>5.68</v>
      </c>
    </row>
    <row r="1181" spans="1:16" x14ac:dyDescent="0.3">
      <c r="A1181">
        <v>73942</v>
      </c>
      <c r="B1181">
        <v>105</v>
      </c>
      <c r="C1181" t="s">
        <v>557</v>
      </c>
      <c r="D1181" s="452">
        <v>46082</v>
      </c>
      <c r="E1181">
        <v>19480</v>
      </c>
      <c r="F1181" t="s">
        <v>5119</v>
      </c>
      <c r="G1181">
        <v>2726</v>
      </c>
      <c r="H1181">
        <v>0.34</v>
      </c>
      <c r="I1181" t="s">
        <v>4744</v>
      </c>
      <c r="J1181" t="s">
        <v>5191</v>
      </c>
      <c r="K1181" t="s">
        <v>460</v>
      </c>
      <c r="L1181">
        <v>16.62</v>
      </c>
      <c r="M1181" s="452">
        <v>46080</v>
      </c>
      <c r="N1181">
        <v>16</v>
      </c>
      <c r="O1181">
        <v>16</v>
      </c>
      <c r="P1181">
        <v>5.65</v>
      </c>
    </row>
    <row r="1182" spans="1:16" x14ac:dyDescent="0.3">
      <c r="A1182">
        <v>73987</v>
      </c>
      <c r="B1182">
        <v>105</v>
      </c>
      <c r="C1182" t="s">
        <v>557</v>
      </c>
      <c r="D1182" s="452">
        <v>46082</v>
      </c>
      <c r="E1182">
        <v>19939</v>
      </c>
      <c r="F1182" t="s">
        <v>5057</v>
      </c>
      <c r="G1182">
        <v>2365</v>
      </c>
      <c r="H1182">
        <v>0.25</v>
      </c>
      <c r="I1182" t="s">
        <v>4744</v>
      </c>
      <c r="J1182" t="s">
        <v>5191</v>
      </c>
      <c r="K1182" t="s">
        <v>460</v>
      </c>
      <c r="L1182">
        <v>0</v>
      </c>
      <c r="N1182">
        <v>0</v>
      </c>
      <c r="O1182">
        <v>97.2</v>
      </c>
      <c r="P1182">
        <v>5.5</v>
      </c>
    </row>
    <row r="1183" spans="1:16" x14ac:dyDescent="0.3">
      <c r="A1183">
        <v>73996</v>
      </c>
      <c r="B1183">
        <v>105</v>
      </c>
      <c r="C1183" t="s">
        <v>557</v>
      </c>
      <c r="D1183" s="452">
        <v>46082</v>
      </c>
      <c r="E1183">
        <v>20030</v>
      </c>
      <c r="F1183" t="s">
        <v>5125</v>
      </c>
      <c r="G1183">
        <v>2337</v>
      </c>
      <c r="H1183">
        <v>0.5</v>
      </c>
      <c r="I1183" t="s">
        <v>4736</v>
      </c>
      <c r="J1183" t="s">
        <v>5191</v>
      </c>
      <c r="K1183" t="s">
        <v>460</v>
      </c>
      <c r="L1183">
        <v>0</v>
      </c>
      <c r="M1183" s="452">
        <v>46051</v>
      </c>
      <c r="N1183">
        <v>7.4</v>
      </c>
      <c r="O1183">
        <v>6.99</v>
      </c>
      <c r="P1183">
        <v>3.7</v>
      </c>
    </row>
    <row r="1184" spans="1:16" x14ac:dyDescent="0.3">
      <c r="A1184">
        <v>74050</v>
      </c>
      <c r="B1184">
        <v>105</v>
      </c>
      <c r="C1184" t="s">
        <v>557</v>
      </c>
      <c r="D1184" s="452">
        <v>46082</v>
      </c>
      <c r="E1184">
        <v>23184</v>
      </c>
      <c r="F1184" t="s">
        <v>4935</v>
      </c>
      <c r="G1184">
        <v>2670</v>
      </c>
      <c r="H1184">
        <v>0.23</v>
      </c>
      <c r="I1184" t="s">
        <v>4744</v>
      </c>
      <c r="J1184" t="s">
        <v>5191</v>
      </c>
      <c r="K1184" t="s">
        <v>460</v>
      </c>
      <c r="L1184">
        <v>11.68</v>
      </c>
      <c r="M1184" s="452">
        <v>46080</v>
      </c>
      <c r="N1184">
        <v>12.5</v>
      </c>
      <c r="O1184">
        <v>12.5</v>
      </c>
      <c r="P1184">
        <v>2.69</v>
      </c>
    </row>
    <row r="1185" spans="1:16" x14ac:dyDescent="0.3">
      <c r="A1185">
        <v>73943</v>
      </c>
      <c r="B1185">
        <v>105</v>
      </c>
      <c r="C1185" t="s">
        <v>557</v>
      </c>
      <c r="D1185" s="452">
        <v>46082</v>
      </c>
      <c r="E1185">
        <v>19488</v>
      </c>
      <c r="F1185" t="s">
        <v>5107</v>
      </c>
      <c r="G1185">
        <v>2720</v>
      </c>
      <c r="H1185">
        <v>0.15</v>
      </c>
      <c r="I1185" t="s">
        <v>4744</v>
      </c>
      <c r="J1185" t="s">
        <v>5191</v>
      </c>
      <c r="K1185" t="s">
        <v>460</v>
      </c>
      <c r="L1185">
        <v>14.12</v>
      </c>
      <c r="M1185" s="452">
        <v>46076</v>
      </c>
      <c r="N1185">
        <v>14.5</v>
      </c>
      <c r="O1185">
        <v>13.22</v>
      </c>
      <c r="P1185">
        <v>2.12</v>
      </c>
    </row>
    <row r="1186" spans="1:16" x14ac:dyDescent="0.3">
      <c r="A1186">
        <v>73939</v>
      </c>
      <c r="B1186">
        <v>105</v>
      </c>
      <c r="C1186" t="s">
        <v>557</v>
      </c>
      <c r="D1186" s="452">
        <v>46082</v>
      </c>
      <c r="E1186">
        <v>19465</v>
      </c>
      <c r="F1186" t="s">
        <v>5114</v>
      </c>
      <c r="G1186">
        <v>2737</v>
      </c>
      <c r="H1186">
        <v>0.27</v>
      </c>
      <c r="I1186" t="s">
        <v>4744</v>
      </c>
      <c r="J1186" t="s">
        <v>5191</v>
      </c>
      <c r="K1186" t="s">
        <v>460</v>
      </c>
      <c r="L1186">
        <v>6.35</v>
      </c>
      <c r="M1186" s="452">
        <v>46081</v>
      </c>
      <c r="N1186">
        <v>6.53</v>
      </c>
      <c r="O1186">
        <v>6.53</v>
      </c>
      <c r="P1186">
        <v>1.71</v>
      </c>
    </row>
    <row r="1187" spans="1:16" x14ac:dyDescent="0.3">
      <c r="A1187">
        <v>73862</v>
      </c>
      <c r="B1187">
        <v>105</v>
      </c>
      <c r="C1187" t="s">
        <v>557</v>
      </c>
      <c r="D1187" s="452">
        <v>46082</v>
      </c>
      <c r="E1187">
        <v>17042</v>
      </c>
      <c r="F1187" t="s">
        <v>4748</v>
      </c>
      <c r="G1187">
        <v>2830</v>
      </c>
      <c r="H1187">
        <v>1.1200000000000001</v>
      </c>
      <c r="I1187" t="s">
        <v>4749</v>
      </c>
      <c r="J1187" t="s">
        <v>5191</v>
      </c>
      <c r="K1187" t="s">
        <v>460</v>
      </c>
      <c r="L1187">
        <v>0</v>
      </c>
      <c r="M1187" s="452">
        <v>45996</v>
      </c>
      <c r="N1187">
        <v>1.44</v>
      </c>
      <c r="O1187">
        <v>67.27</v>
      </c>
      <c r="P1187">
        <v>1.61</v>
      </c>
    </row>
    <row r="1188" spans="1:16" x14ac:dyDescent="0.3">
      <c r="A1188">
        <v>73959</v>
      </c>
      <c r="B1188">
        <v>105</v>
      </c>
      <c r="C1188" t="s">
        <v>557</v>
      </c>
      <c r="D1188" s="452">
        <v>46082</v>
      </c>
      <c r="E1188">
        <v>19589</v>
      </c>
      <c r="F1188" t="s">
        <v>4983</v>
      </c>
      <c r="G1188">
        <v>2637</v>
      </c>
      <c r="H1188">
        <v>0.31</v>
      </c>
      <c r="I1188" t="s">
        <v>4744</v>
      </c>
      <c r="J1188" t="s">
        <v>5191</v>
      </c>
      <c r="K1188" t="s">
        <v>460</v>
      </c>
      <c r="L1188">
        <v>4.95</v>
      </c>
      <c r="M1188" s="452">
        <v>46076</v>
      </c>
      <c r="N1188">
        <v>5.5</v>
      </c>
      <c r="O1188">
        <v>5.58</v>
      </c>
      <c r="P1188">
        <v>1.53</v>
      </c>
    </row>
    <row r="1189" spans="1:16" x14ac:dyDescent="0.3">
      <c r="A1189">
        <v>73053</v>
      </c>
      <c r="B1189">
        <v>105</v>
      </c>
      <c r="C1189" t="s">
        <v>557</v>
      </c>
      <c r="D1189" s="452">
        <v>46054</v>
      </c>
      <c r="E1189">
        <v>18822</v>
      </c>
      <c r="F1189" t="s">
        <v>4811</v>
      </c>
      <c r="G1189">
        <v>2953</v>
      </c>
      <c r="H1189">
        <v>27.67</v>
      </c>
      <c r="I1189" t="s">
        <v>4744</v>
      </c>
      <c r="J1189" t="s">
        <v>5191</v>
      </c>
      <c r="K1189" t="s">
        <v>459</v>
      </c>
      <c r="L1189">
        <v>115.6</v>
      </c>
      <c r="M1189" s="452">
        <v>46048</v>
      </c>
      <c r="N1189">
        <v>115.61</v>
      </c>
      <c r="O1189">
        <v>115</v>
      </c>
      <c r="P1189">
        <v>3198.65</v>
      </c>
    </row>
    <row r="1190" spans="1:16" x14ac:dyDescent="0.3">
      <c r="A1190">
        <v>73056</v>
      </c>
      <c r="B1190">
        <v>105</v>
      </c>
      <c r="C1190" t="s">
        <v>557</v>
      </c>
      <c r="D1190" s="452">
        <v>46054</v>
      </c>
      <c r="E1190">
        <v>25777</v>
      </c>
      <c r="F1190" t="s">
        <v>4774</v>
      </c>
      <c r="G1190">
        <v>6322</v>
      </c>
      <c r="H1190">
        <v>26.16</v>
      </c>
      <c r="I1190" t="s">
        <v>4744</v>
      </c>
      <c r="J1190" t="s">
        <v>5191</v>
      </c>
      <c r="K1190" t="s">
        <v>459</v>
      </c>
      <c r="L1190">
        <v>85</v>
      </c>
      <c r="M1190" s="452">
        <v>46049</v>
      </c>
      <c r="N1190">
        <v>85</v>
      </c>
      <c r="O1190">
        <v>76.5</v>
      </c>
      <c r="P1190">
        <v>2223.6</v>
      </c>
    </row>
    <row r="1191" spans="1:16" x14ac:dyDescent="0.3">
      <c r="A1191">
        <v>73057</v>
      </c>
      <c r="B1191">
        <v>105</v>
      </c>
      <c r="C1191" t="s">
        <v>557</v>
      </c>
      <c r="D1191" s="452">
        <v>46054</v>
      </c>
      <c r="E1191">
        <v>24259</v>
      </c>
      <c r="F1191" t="s">
        <v>4875</v>
      </c>
      <c r="G1191">
        <v>2938</v>
      </c>
      <c r="H1191">
        <v>25.11</v>
      </c>
      <c r="I1191" t="s">
        <v>4744</v>
      </c>
      <c r="J1191" t="s">
        <v>5191</v>
      </c>
      <c r="K1191" t="s">
        <v>459</v>
      </c>
      <c r="L1191">
        <v>81.19</v>
      </c>
      <c r="M1191" s="452">
        <v>46049</v>
      </c>
      <c r="N1191">
        <v>75.989999999999995</v>
      </c>
      <c r="O1191">
        <v>75.989999999999995</v>
      </c>
      <c r="P1191">
        <v>2038.68</v>
      </c>
    </row>
    <row r="1192" spans="1:16" x14ac:dyDescent="0.3">
      <c r="A1192">
        <v>73065</v>
      </c>
      <c r="B1192">
        <v>105</v>
      </c>
      <c r="C1192" t="s">
        <v>557</v>
      </c>
      <c r="D1192" s="452">
        <v>46054</v>
      </c>
      <c r="E1192">
        <v>26135</v>
      </c>
      <c r="F1192" t="s">
        <v>4801</v>
      </c>
      <c r="G1192">
        <v>6585</v>
      </c>
      <c r="H1192">
        <v>20.9</v>
      </c>
      <c r="I1192" t="s">
        <v>4744</v>
      </c>
      <c r="J1192" t="s">
        <v>5191</v>
      </c>
      <c r="K1192" t="s">
        <v>459</v>
      </c>
      <c r="L1192">
        <v>89.9</v>
      </c>
      <c r="M1192" s="452">
        <v>46048</v>
      </c>
      <c r="N1192">
        <v>89.9</v>
      </c>
      <c r="O1192">
        <v>89.9</v>
      </c>
      <c r="P1192">
        <v>1878.91</v>
      </c>
    </row>
    <row r="1193" spans="1:16" x14ac:dyDescent="0.3">
      <c r="A1193">
        <v>73333</v>
      </c>
      <c r="B1193">
        <v>105</v>
      </c>
      <c r="C1193" t="s">
        <v>557</v>
      </c>
      <c r="D1193" s="452">
        <v>46054</v>
      </c>
      <c r="E1193">
        <v>18642</v>
      </c>
      <c r="F1193" t="s">
        <v>5127</v>
      </c>
      <c r="G1193">
        <v>3072</v>
      </c>
      <c r="H1193">
        <v>7.31</v>
      </c>
      <c r="I1193" t="s">
        <v>4744</v>
      </c>
      <c r="J1193" t="s">
        <v>5191</v>
      </c>
      <c r="K1193" t="s">
        <v>459</v>
      </c>
      <c r="L1193">
        <v>0</v>
      </c>
      <c r="M1193" s="452">
        <v>45987</v>
      </c>
      <c r="N1193">
        <v>192.51</v>
      </c>
      <c r="O1193">
        <v>192.51</v>
      </c>
      <c r="P1193">
        <v>1407.25</v>
      </c>
    </row>
    <row r="1194" spans="1:16" x14ac:dyDescent="0.3">
      <c r="A1194">
        <v>73049</v>
      </c>
      <c r="B1194">
        <v>105</v>
      </c>
      <c r="C1194" t="s">
        <v>557</v>
      </c>
      <c r="D1194" s="452">
        <v>46054</v>
      </c>
      <c r="E1194">
        <v>26679</v>
      </c>
      <c r="F1194" t="s">
        <v>4791</v>
      </c>
      <c r="G1194">
        <v>6847</v>
      </c>
      <c r="H1194">
        <v>49.26</v>
      </c>
      <c r="I1194" t="s">
        <v>4744</v>
      </c>
      <c r="J1194" t="s">
        <v>5191</v>
      </c>
      <c r="K1194" t="s">
        <v>459</v>
      </c>
      <c r="L1194">
        <v>27.9</v>
      </c>
      <c r="M1194" s="452">
        <v>46050</v>
      </c>
      <c r="N1194">
        <v>27.9</v>
      </c>
      <c r="O1194">
        <v>29</v>
      </c>
      <c r="P1194">
        <v>1374.35</v>
      </c>
    </row>
    <row r="1195" spans="1:16" x14ac:dyDescent="0.3">
      <c r="A1195">
        <v>73099</v>
      </c>
      <c r="B1195">
        <v>105</v>
      </c>
      <c r="C1195" t="s">
        <v>557</v>
      </c>
      <c r="D1195" s="452">
        <v>46054</v>
      </c>
      <c r="E1195">
        <v>18735</v>
      </c>
      <c r="F1195" t="s">
        <v>4891</v>
      </c>
      <c r="G1195">
        <v>3018</v>
      </c>
      <c r="H1195">
        <v>9.59</v>
      </c>
      <c r="I1195" t="s">
        <v>4744</v>
      </c>
      <c r="J1195" t="s">
        <v>5191</v>
      </c>
      <c r="K1195" t="s">
        <v>459</v>
      </c>
      <c r="L1195">
        <v>136.80000000000001</v>
      </c>
      <c r="M1195" s="452">
        <v>46028</v>
      </c>
      <c r="N1195">
        <v>136.80000000000001</v>
      </c>
      <c r="O1195">
        <v>136.80000000000001</v>
      </c>
      <c r="P1195">
        <v>1311.91</v>
      </c>
    </row>
    <row r="1196" spans="1:16" x14ac:dyDescent="0.3">
      <c r="A1196">
        <v>73055</v>
      </c>
      <c r="B1196">
        <v>105</v>
      </c>
      <c r="C1196" t="s">
        <v>557</v>
      </c>
      <c r="D1196" s="452">
        <v>46054</v>
      </c>
      <c r="E1196">
        <v>24096</v>
      </c>
      <c r="F1196" t="s">
        <v>4771</v>
      </c>
      <c r="G1196">
        <v>2958</v>
      </c>
      <c r="H1196">
        <v>26.95</v>
      </c>
      <c r="I1196" t="s">
        <v>4744</v>
      </c>
      <c r="J1196" t="s">
        <v>5191</v>
      </c>
      <c r="K1196" t="s">
        <v>459</v>
      </c>
      <c r="L1196">
        <v>42.46</v>
      </c>
      <c r="M1196" s="452">
        <v>46049</v>
      </c>
      <c r="N1196">
        <v>41.9</v>
      </c>
      <c r="O1196">
        <v>41.9</v>
      </c>
      <c r="P1196">
        <v>1144.3</v>
      </c>
    </row>
    <row r="1197" spans="1:16" x14ac:dyDescent="0.3">
      <c r="A1197">
        <v>73036</v>
      </c>
      <c r="B1197">
        <v>105</v>
      </c>
      <c r="C1197" t="s">
        <v>557</v>
      </c>
      <c r="D1197" s="452">
        <v>46054</v>
      </c>
      <c r="E1197">
        <v>18579</v>
      </c>
      <c r="F1197" t="s">
        <v>5087</v>
      </c>
      <c r="G1197">
        <v>3106</v>
      </c>
      <c r="H1197">
        <v>7.71</v>
      </c>
      <c r="I1197" t="s">
        <v>4749</v>
      </c>
      <c r="J1197" t="s">
        <v>5222</v>
      </c>
      <c r="K1197" t="s">
        <v>459</v>
      </c>
      <c r="L1197">
        <v>131.81</v>
      </c>
      <c r="M1197" s="452">
        <v>46052</v>
      </c>
      <c r="N1197">
        <v>131.81</v>
      </c>
      <c r="O1197">
        <v>131.81</v>
      </c>
      <c r="P1197">
        <v>1016.26</v>
      </c>
    </row>
    <row r="1198" spans="1:16" x14ac:dyDescent="0.3">
      <c r="A1198">
        <v>73063</v>
      </c>
      <c r="B1198">
        <v>105</v>
      </c>
      <c r="C1198" t="s">
        <v>557</v>
      </c>
      <c r="D1198" s="452">
        <v>46054</v>
      </c>
      <c r="E1198">
        <v>23980</v>
      </c>
      <c r="F1198" t="s">
        <v>5097</v>
      </c>
      <c r="G1198">
        <v>2154</v>
      </c>
      <c r="H1198">
        <v>22.32</v>
      </c>
      <c r="I1198" t="s">
        <v>4744</v>
      </c>
      <c r="J1198" t="s">
        <v>5191</v>
      </c>
      <c r="K1198" t="s">
        <v>459</v>
      </c>
      <c r="L1198">
        <v>214.58</v>
      </c>
      <c r="M1198" s="452">
        <v>46049</v>
      </c>
      <c r="N1198">
        <v>214.58</v>
      </c>
      <c r="O1198">
        <v>214.58</v>
      </c>
      <c r="P1198">
        <v>979.18</v>
      </c>
    </row>
    <row r="1199" spans="1:16" x14ac:dyDescent="0.3">
      <c r="A1199">
        <v>73059</v>
      </c>
      <c r="B1199">
        <v>105</v>
      </c>
      <c r="C1199" t="s">
        <v>557</v>
      </c>
      <c r="D1199" s="452">
        <v>46054</v>
      </c>
      <c r="E1199">
        <v>24217</v>
      </c>
      <c r="F1199" t="s">
        <v>4778</v>
      </c>
      <c r="G1199">
        <v>2937</v>
      </c>
      <c r="H1199">
        <v>24.06</v>
      </c>
      <c r="I1199" t="s">
        <v>4744</v>
      </c>
      <c r="J1199" t="s">
        <v>5191</v>
      </c>
      <c r="K1199" t="s">
        <v>459</v>
      </c>
      <c r="L1199">
        <v>31.96</v>
      </c>
      <c r="M1199" s="452">
        <v>46049</v>
      </c>
      <c r="N1199">
        <v>31.5</v>
      </c>
      <c r="O1199">
        <v>31.5</v>
      </c>
      <c r="P1199">
        <v>768.96</v>
      </c>
    </row>
    <row r="1200" spans="1:16" x14ac:dyDescent="0.3">
      <c r="A1200">
        <v>73037</v>
      </c>
      <c r="B1200">
        <v>105</v>
      </c>
      <c r="C1200" t="s">
        <v>557</v>
      </c>
      <c r="D1200" s="452">
        <v>46054</v>
      </c>
      <c r="E1200">
        <v>24141</v>
      </c>
      <c r="F1200" t="s">
        <v>5088</v>
      </c>
      <c r="G1200">
        <v>3083</v>
      </c>
      <c r="H1200">
        <v>7.58</v>
      </c>
      <c r="I1200" t="s">
        <v>4749</v>
      </c>
      <c r="J1200" t="s">
        <v>5222</v>
      </c>
      <c r="K1200" t="s">
        <v>459</v>
      </c>
      <c r="L1200">
        <v>98.44</v>
      </c>
      <c r="M1200" s="452">
        <v>46052</v>
      </c>
      <c r="N1200">
        <v>98.4</v>
      </c>
      <c r="O1200">
        <v>134.6</v>
      </c>
      <c r="P1200">
        <v>746.18</v>
      </c>
    </row>
    <row r="1201" spans="1:16" x14ac:dyDescent="0.3">
      <c r="A1201">
        <v>73134</v>
      </c>
      <c r="B1201">
        <v>105</v>
      </c>
      <c r="C1201" t="s">
        <v>557</v>
      </c>
      <c r="D1201" s="452">
        <v>46054</v>
      </c>
      <c r="E1201">
        <v>21047</v>
      </c>
      <c r="F1201" t="s">
        <v>4847</v>
      </c>
      <c r="G1201">
        <v>1999</v>
      </c>
      <c r="H1201">
        <v>6</v>
      </c>
      <c r="I1201" t="s">
        <v>4848</v>
      </c>
      <c r="J1201" t="s">
        <v>5191</v>
      </c>
      <c r="K1201" t="s">
        <v>459</v>
      </c>
      <c r="L1201">
        <v>122.25</v>
      </c>
      <c r="M1201" s="452">
        <v>46045</v>
      </c>
      <c r="N1201">
        <v>121.5</v>
      </c>
      <c r="O1201">
        <v>118.8</v>
      </c>
      <c r="P1201">
        <v>733.5</v>
      </c>
    </row>
    <row r="1202" spans="1:16" x14ac:dyDescent="0.3">
      <c r="A1202">
        <v>73032</v>
      </c>
      <c r="B1202">
        <v>105</v>
      </c>
      <c r="C1202" t="s">
        <v>557</v>
      </c>
      <c r="D1202" s="452">
        <v>46054</v>
      </c>
      <c r="E1202">
        <v>17886</v>
      </c>
      <c r="F1202" t="s">
        <v>5083</v>
      </c>
      <c r="G1202">
        <v>3670</v>
      </c>
      <c r="H1202">
        <v>26.25</v>
      </c>
      <c r="I1202" t="s">
        <v>4738</v>
      </c>
      <c r="J1202" t="s">
        <v>5222</v>
      </c>
      <c r="K1202" t="s">
        <v>459</v>
      </c>
      <c r="L1202">
        <v>27.82</v>
      </c>
      <c r="M1202" s="452">
        <v>46046</v>
      </c>
      <c r="N1202">
        <v>32.200000000000003</v>
      </c>
      <c r="O1202">
        <v>23.06</v>
      </c>
      <c r="P1202">
        <v>730.28</v>
      </c>
    </row>
    <row r="1203" spans="1:16" x14ac:dyDescent="0.3">
      <c r="A1203">
        <v>73102</v>
      </c>
      <c r="B1203">
        <v>105</v>
      </c>
      <c r="C1203" t="s">
        <v>557</v>
      </c>
      <c r="D1203" s="452">
        <v>46054</v>
      </c>
      <c r="E1203">
        <v>19291</v>
      </c>
      <c r="F1203" t="s">
        <v>4870</v>
      </c>
      <c r="G1203">
        <v>2775</v>
      </c>
      <c r="H1203">
        <v>9.18</v>
      </c>
      <c r="I1203" t="s">
        <v>4744</v>
      </c>
      <c r="J1203" t="s">
        <v>5191</v>
      </c>
      <c r="K1203" t="s">
        <v>459</v>
      </c>
      <c r="L1203">
        <v>78.900000000000006</v>
      </c>
      <c r="M1203" s="452">
        <v>46045</v>
      </c>
      <c r="N1203">
        <v>78.900000000000006</v>
      </c>
      <c r="O1203">
        <v>78.900000000000006</v>
      </c>
      <c r="P1203">
        <v>724.3</v>
      </c>
    </row>
    <row r="1204" spans="1:16" x14ac:dyDescent="0.3">
      <c r="A1204">
        <v>73168</v>
      </c>
      <c r="B1204">
        <v>105</v>
      </c>
      <c r="C1204" t="s">
        <v>557</v>
      </c>
      <c r="D1204" s="452">
        <v>46054</v>
      </c>
      <c r="E1204">
        <v>21021</v>
      </c>
      <c r="F1204" t="s">
        <v>4883</v>
      </c>
      <c r="G1204">
        <v>2003</v>
      </c>
      <c r="H1204">
        <v>4</v>
      </c>
      <c r="I1204" t="s">
        <v>4884</v>
      </c>
      <c r="J1204" t="s">
        <v>5191</v>
      </c>
      <c r="K1204" t="s">
        <v>459</v>
      </c>
      <c r="L1204">
        <v>179.26</v>
      </c>
      <c r="M1204" s="452">
        <v>46052</v>
      </c>
      <c r="N1204">
        <v>175.8</v>
      </c>
      <c r="O1204">
        <v>175.8</v>
      </c>
      <c r="P1204">
        <v>717.04</v>
      </c>
    </row>
    <row r="1205" spans="1:16" x14ac:dyDescent="0.3">
      <c r="A1205">
        <v>73128</v>
      </c>
      <c r="B1205">
        <v>105</v>
      </c>
      <c r="C1205" t="s">
        <v>557</v>
      </c>
      <c r="D1205" s="452">
        <v>46054</v>
      </c>
      <c r="E1205">
        <v>18179</v>
      </c>
      <c r="F1205" t="s">
        <v>4924</v>
      </c>
      <c r="G1205">
        <v>3443</v>
      </c>
      <c r="H1205">
        <v>6.4</v>
      </c>
      <c r="I1205" t="s">
        <v>4805</v>
      </c>
      <c r="J1205" t="s">
        <v>5222</v>
      </c>
      <c r="K1205" t="s">
        <v>459</v>
      </c>
      <c r="L1205">
        <v>107.47</v>
      </c>
      <c r="M1205" s="452">
        <v>46049</v>
      </c>
      <c r="N1205">
        <v>107.47</v>
      </c>
      <c r="O1205">
        <v>107.47</v>
      </c>
      <c r="P1205">
        <v>687.81</v>
      </c>
    </row>
    <row r="1206" spans="1:16" x14ac:dyDescent="0.3">
      <c r="A1206">
        <v>73081</v>
      </c>
      <c r="B1206">
        <v>105</v>
      </c>
      <c r="C1206" t="s">
        <v>557</v>
      </c>
      <c r="D1206" s="452">
        <v>46054</v>
      </c>
      <c r="E1206">
        <v>27264</v>
      </c>
      <c r="F1206" t="s">
        <v>5075</v>
      </c>
      <c r="G1206">
        <v>7390</v>
      </c>
      <c r="H1206">
        <v>12.51</v>
      </c>
      <c r="I1206" t="s">
        <v>4744</v>
      </c>
      <c r="J1206" t="s">
        <v>5191</v>
      </c>
      <c r="K1206" t="s">
        <v>459</v>
      </c>
      <c r="L1206">
        <v>54.42</v>
      </c>
      <c r="M1206" s="452">
        <v>46048</v>
      </c>
      <c r="N1206">
        <v>54.68</v>
      </c>
      <c r="O1206">
        <v>67.81</v>
      </c>
      <c r="P1206">
        <v>680.79</v>
      </c>
    </row>
    <row r="1207" spans="1:16" x14ac:dyDescent="0.3">
      <c r="A1207">
        <v>73071</v>
      </c>
      <c r="B1207">
        <v>105</v>
      </c>
      <c r="C1207" t="s">
        <v>557</v>
      </c>
      <c r="D1207" s="452">
        <v>46054</v>
      </c>
      <c r="E1207">
        <v>19322</v>
      </c>
      <c r="F1207" t="s">
        <v>4830</v>
      </c>
      <c r="G1207">
        <v>2773</v>
      </c>
      <c r="H1207">
        <v>16.100000000000001</v>
      </c>
      <c r="I1207" t="s">
        <v>4744</v>
      </c>
      <c r="J1207" t="s">
        <v>5191</v>
      </c>
      <c r="K1207" t="s">
        <v>459</v>
      </c>
      <c r="L1207">
        <v>40.57</v>
      </c>
      <c r="M1207" s="452">
        <v>46052</v>
      </c>
      <c r="N1207">
        <v>37.979999999999997</v>
      </c>
      <c r="O1207">
        <v>37.979999999999997</v>
      </c>
      <c r="P1207">
        <v>653.17999999999995</v>
      </c>
    </row>
    <row r="1208" spans="1:16" x14ac:dyDescent="0.3">
      <c r="A1208">
        <v>73062</v>
      </c>
      <c r="B1208">
        <v>105</v>
      </c>
      <c r="C1208" t="s">
        <v>557</v>
      </c>
      <c r="D1208" s="452">
        <v>46054</v>
      </c>
      <c r="E1208">
        <v>19003</v>
      </c>
      <c r="F1208" t="s">
        <v>4810</v>
      </c>
      <c r="G1208">
        <v>2897</v>
      </c>
      <c r="H1208">
        <v>22.53</v>
      </c>
      <c r="I1208" t="s">
        <v>4744</v>
      </c>
      <c r="J1208" t="s">
        <v>5191</v>
      </c>
      <c r="K1208" t="s">
        <v>459</v>
      </c>
      <c r="L1208">
        <v>27.21</v>
      </c>
      <c r="M1208" s="452">
        <v>46050</v>
      </c>
      <c r="N1208">
        <v>39.9</v>
      </c>
      <c r="O1208">
        <v>39.9</v>
      </c>
      <c r="P1208">
        <v>613.04</v>
      </c>
    </row>
    <row r="1209" spans="1:16" x14ac:dyDescent="0.3">
      <c r="A1209">
        <v>73139</v>
      </c>
      <c r="B1209">
        <v>105</v>
      </c>
      <c r="C1209" t="s">
        <v>557</v>
      </c>
      <c r="D1209" s="452">
        <v>46054</v>
      </c>
      <c r="E1209">
        <v>17578</v>
      </c>
      <c r="F1209" t="s">
        <v>4842</v>
      </c>
      <c r="G1209">
        <v>3948</v>
      </c>
      <c r="H1209">
        <v>6</v>
      </c>
      <c r="I1209" t="s">
        <v>4805</v>
      </c>
      <c r="J1209" t="s">
        <v>5222</v>
      </c>
      <c r="K1209" t="s">
        <v>459</v>
      </c>
      <c r="L1209">
        <v>101.4</v>
      </c>
      <c r="M1209" s="452">
        <v>46048</v>
      </c>
      <c r="N1209">
        <v>101.4</v>
      </c>
      <c r="O1209">
        <v>101.4</v>
      </c>
      <c r="P1209">
        <v>608.4</v>
      </c>
    </row>
    <row r="1210" spans="1:16" x14ac:dyDescent="0.3">
      <c r="A1210">
        <v>73041</v>
      </c>
      <c r="B1210">
        <v>105</v>
      </c>
      <c r="C1210" t="s">
        <v>557</v>
      </c>
      <c r="D1210" s="452">
        <v>46054</v>
      </c>
      <c r="E1210">
        <v>24142</v>
      </c>
      <c r="F1210" t="s">
        <v>5090</v>
      </c>
      <c r="G1210">
        <v>3085</v>
      </c>
      <c r="H1210">
        <v>3.75</v>
      </c>
      <c r="I1210" t="s">
        <v>4749</v>
      </c>
      <c r="J1210" t="s">
        <v>5222</v>
      </c>
      <c r="K1210" t="s">
        <v>459</v>
      </c>
      <c r="L1210">
        <v>0</v>
      </c>
      <c r="M1210" s="452">
        <v>45992</v>
      </c>
      <c r="N1210">
        <v>156.51</v>
      </c>
      <c r="O1210">
        <v>156.51</v>
      </c>
      <c r="P1210">
        <v>586.91</v>
      </c>
    </row>
    <row r="1211" spans="1:16" x14ac:dyDescent="0.3">
      <c r="A1211">
        <v>73080</v>
      </c>
      <c r="B1211">
        <v>105</v>
      </c>
      <c r="C1211" t="s">
        <v>557</v>
      </c>
      <c r="D1211" s="452">
        <v>46054</v>
      </c>
      <c r="E1211">
        <v>18832</v>
      </c>
      <c r="F1211" t="s">
        <v>4785</v>
      </c>
      <c r="G1211">
        <v>2950</v>
      </c>
      <c r="H1211">
        <v>13.86</v>
      </c>
      <c r="I1211" t="s">
        <v>4744</v>
      </c>
      <c r="J1211" t="s">
        <v>5191</v>
      </c>
      <c r="K1211" t="s">
        <v>459</v>
      </c>
      <c r="L1211">
        <v>0</v>
      </c>
      <c r="M1211" s="452">
        <v>45999</v>
      </c>
      <c r="N1211">
        <v>41.9</v>
      </c>
      <c r="O1211">
        <v>39.9</v>
      </c>
      <c r="P1211">
        <v>580.73</v>
      </c>
    </row>
    <row r="1212" spans="1:16" x14ac:dyDescent="0.3">
      <c r="A1212">
        <v>73088</v>
      </c>
      <c r="B1212">
        <v>105</v>
      </c>
      <c r="C1212" t="s">
        <v>557</v>
      </c>
      <c r="D1212" s="452">
        <v>46054</v>
      </c>
      <c r="E1212">
        <v>26034</v>
      </c>
      <c r="F1212" t="s">
        <v>4828</v>
      </c>
      <c r="G1212">
        <v>6504</v>
      </c>
      <c r="H1212">
        <v>11.65</v>
      </c>
      <c r="I1212" t="s">
        <v>4805</v>
      </c>
      <c r="J1212" t="s">
        <v>5222</v>
      </c>
      <c r="K1212" t="s">
        <v>459</v>
      </c>
      <c r="L1212">
        <v>48.03</v>
      </c>
      <c r="M1212" s="452">
        <v>46048</v>
      </c>
      <c r="N1212">
        <v>68.25</v>
      </c>
      <c r="O1212">
        <v>49.84</v>
      </c>
      <c r="P1212">
        <v>559.54999999999995</v>
      </c>
    </row>
    <row r="1213" spans="1:16" x14ac:dyDescent="0.3">
      <c r="A1213">
        <v>73074</v>
      </c>
      <c r="B1213">
        <v>105</v>
      </c>
      <c r="C1213" t="s">
        <v>557</v>
      </c>
      <c r="D1213" s="452">
        <v>46054</v>
      </c>
      <c r="E1213">
        <v>22843</v>
      </c>
      <c r="F1213" t="s">
        <v>4849</v>
      </c>
      <c r="G1213">
        <v>2936</v>
      </c>
      <c r="H1213">
        <v>14.68</v>
      </c>
      <c r="I1213" t="s">
        <v>4744</v>
      </c>
      <c r="J1213" t="s">
        <v>5191</v>
      </c>
      <c r="K1213" t="s">
        <v>459</v>
      </c>
      <c r="L1213">
        <v>0</v>
      </c>
      <c r="M1213" s="452">
        <v>45999</v>
      </c>
      <c r="N1213">
        <v>37.200000000000003</v>
      </c>
      <c r="O1213">
        <v>34.5</v>
      </c>
      <c r="P1213">
        <v>546.1</v>
      </c>
    </row>
    <row r="1214" spans="1:16" x14ac:dyDescent="0.3">
      <c r="A1214">
        <v>73040</v>
      </c>
      <c r="B1214">
        <v>105</v>
      </c>
      <c r="C1214" t="s">
        <v>557</v>
      </c>
      <c r="D1214" s="452">
        <v>46054</v>
      </c>
      <c r="E1214">
        <v>18589</v>
      </c>
      <c r="F1214" t="s">
        <v>5089</v>
      </c>
      <c r="G1214">
        <v>3103</v>
      </c>
      <c r="H1214">
        <v>5.71</v>
      </c>
      <c r="I1214" t="s">
        <v>4738</v>
      </c>
      <c r="J1214" t="s">
        <v>5222</v>
      </c>
      <c r="K1214" t="s">
        <v>459</v>
      </c>
      <c r="L1214">
        <v>91.77</v>
      </c>
      <c r="M1214" s="452">
        <v>46046</v>
      </c>
      <c r="N1214">
        <v>96.64</v>
      </c>
      <c r="O1214">
        <v>96.64</v>
      </c>
      <c r="P1214">
        <v>524.01</v>
      </c>
    </row>
    <row r="1215" spans="1:16" x14ac:dyDescent="0.3">
      <c r="A1215">
        <v>73097</v>
      </c>
      <c r="B1215">
        <v>105</v>
      </c>
      <c r="C1215" t="s">
        <v>557</v>
      </c>
      <c r="D1215" s="452">
        <v>46054</v>
      </c>
      <c r="E1215">
        <v>19224</v>
      </c>
      <c r="F1215" t="s">
        <v>5100</v>
      </c>
      <c r="G1215">
        <v>5850</v>
      </c>
      <c r="H1215">
        <v>2</v>
      </c>
      <c r="I1215" t="s">
        <v>4736</v>
      </c>
      <c r="J1215" t="s">
        <v>5191</v>
      </c>
      <c r="K1215" t="s">
        <v>459</v>
      </c>
      <c r="L1215">
        <v>247.39</v>
      </c>
      <c r="M1215" s="452">
        <v>46052</v>
      </c>
      <c r="N1215">
        <v>244.5</v>
      </c>
      <c r="O1215">
        <v>244.5</v>
      </c>
      <c r="P1215">
        <v>494.78</v>
      </c>
    </row>
    <row r="1216" spans="1:16" x14ac:dyDescent="0.3">
      <c r="A1216">
        <v>73034</v>
      </c>
      <c r="B1216">
        <v>105</v>
      </c>
      <c r="C1216" t="s">
        <v>557</v>
      </c>
      <c r="D1216" s="452">
        <v>46054</v>
      </c>
      <c r="E1216">
        <v>17905</v>
      </c>
      <c r="F1216" t="s">
        <v>5085</v>
      </c>
      <c r="G1216">
        <v>3656</v>
      </c>
      <c r="H1216">
        <v>21.17</v>
      </c>
      <c r="I1216" t="s">
        <v>4738</v>
      </c>
      <c r="J1216" t="s">
        <v>5222</v>
      </c>
      <c r="K1216" t="s">
        <v>459</v>
      </c>
      <c r="L1216">
        <v>22.98</v>
      </c>
      <c r="M1216" s="452">
        <v>46046</v>
      </c>
      <c r="N1216">
        <v>25.53</v>
      </c>
      <c r="O1216">
        <v>32.729999999999997</v>
      </c>
      <c r="P1216">
        <v>486.49</v>
      </c>
    </row>
    <row r="1217" spans="1:16" x14ac:dyDescent="0.3">
      <c r="A1217">
        <v>73159</v>
      </c>
      <c r="B1217">
        <v>105</v>
      </c>
      <c r="C1217" t="s">
        <v>557</v>
      </c>
      <c r="D1217" s="452">
        <v>46054</v>
      </c>
      <c r="E1217">
        <v>18359</v>
      </c>
      <c r="F1217" t="s">
        <v>4921</v>
      </c>
      <c r="G1217">
        <v>3278</v>
      </c>
      <c r="H1217">
        <v>4.6500000000000004</v>
      </c>
      <c r="I1217" t="s">
        <v>4805</v>
      </c>
      <c r="J1217" t="s">
        <v>5222</v>
      </c>
      <c r="K1217" t="s">
        <v>459</v>
      </c>
      <c r="L1217">
        <v>101</v>
      </c>
      <c r="M1217" s="452">
        <v>46045</v>
      </c>
      <c r="N1217">
        <v>101</v>
      </c>
      <c r="O1217">
        <v>95.9</v>
      </c>
      <c r="P1217">
        <v>469.65</v>
      </c>
    </row>
    <row r="1218" spans="1:16" x14ac:dyDescent="0.3">
      <c r="A1218">
        <v>73035</v>
      </c>
      <c r="B1218">
        <v>105</v>
      </c>
      <c r="C1218" t="s">
        <v>557</v>
      </c>
      <c r="D1218" s="452">
        <v>46054</v>
      </c>
      <c r="E1218">
        <v>17895</v>
      </c>
      <c r="F1218" t="s">
        <v>5086</v>
      </c>
      <c r="G1218">
        <v>3665</v>
      </c>
      <c r="H1218">
        <v>20</v>
      </c>
      <c r="I1218" t="s">
        <v>4738</v>
      </c>
      <c r="J1218" t="s">
        <v>5222</v>
      </c>
      <c r="K1218" t="s">
        <v>459</v>
      </c>
      <c r="L1218">
        <v>23.06</v>
      </c>
      <c r="M1218" s="452">
        <v>46041</v>
      </c>
      <c r="N1218">
        <v>23.06</v>
      </c>
      <c r="O1218">
        <v>23.06</v>
      </c>
      <c r="P1218">
        <v>461.2</v>
      </c>
    </row>
    <row r="1219" spans="1:16" x14ac:dyDescent="0.3">
      <c r="A1219">
        <v>73335</v>
      </c>
      <c r="B1219">
        <v>105</v>
      </c>
      <c r="C1219" t="s">
        <v>557</v>
      </c>
      <c r="D1219" s="452">
        <v>46054</v>
      </c>
      <c r="E1219">
        <v>26014</v>
      </c>
      <c r="F1219" t="s">
        <v>5128</v>
      </c>
      <c r="G1219">
        <v>3130</v>
      </c>
      <c r="H1219">
        <v>2</v>
      </c>
      <c r="I1219" t="s">
        <v>4805</v>
      </c>
      <c r="J1219" t="s">
        <v>5222</v>
      </c>
      <c r="K1219" t="s">
        <v>459</v>
      </c>
      <c r="L1219">
        <v>0</v>
      </c>
      <c r="M1219" s="452">
        <v>45653</v>
      </c>
      <c r="N1219">
        <v>229.9</v>
      </c>
      <c r="O1219">
        <v>378.4</v>
      </c>
      <c r="P1219">
        <v>459.8</v>
      </c>
    </row>
    <row r="1220" spans="1:16" x14ac:dyDescent="0.3">
      <c r="A1220">
        <v>73126</v>
      </c>
      <c r="B1220">
        <v>105</v>
      </c>
      <c r="C1220" t="s">
        <v>557</v>
      </c>
      <c r="D1220" s="452">
        <v>46054</v>
      </c>
      <c r="E1220">
        <v>26036</v>
      </c>
      <c r="F1220" t="s">
        <v>4841</v>
      </c>
      <c r="G1220">
        <v>6505</v>
      </c>
      <c r="H1220">
        <v>7</v>
      </c>
      <c r="I1220" t="s">
        <v>4805</v>
      </c>
      <c r="J1220" t="s">
        <v>5222</v>
      </c>
      <c r="K1220" t="s">
        <v>459</v>
      </c>
      <c r="L1220">
        <v>0</v>
      </c>
      <c r="M1220" s="452">
        <v>46007</v>
      </c>
      <c r="N1220">
        <v>65</v>
      </c>
      <c r="O1220">
        <v>67</v>
      </c>
      <c r="P1220">
        <v>455</v>
      </c>
    </row>
    <row r="1221" spans="1:16" x14ac:dyDescent="0.3">
      <c r="A1221">
        <v>73078</v>
      </c>
      <c r="B1221">
        <v>105</v>
      </c>
      <c r="C1221" t="s">
        <v>557</v>
      </c>
      <c r="D1221" s="452">
        <v>46054</v>
      </c>
      <c r="E1221">
        <v>18172</v>
      </c>
      <c r="F1221" t="s">
        <v>4804</v>
      </c>
      <c r="G1221">
        <v>3450</v>
      </c>
      <c r="H1221">
        <v>14</v>
      </c>
      <c r="I1221" t="s">
        <v>4805</v>
      </c>
      <c r="J1221" t="s">
        <v>5222</v>
      </c>
      <c r="K1221" t="s">
        <v>459</v>
      </c>
      <c r="L1221">
        <v>31.95</v>
      </c>
      <c r="M1221" s="452">
        <v>46050</v>
      </c>
      <c r="N1221">
        <v>31.4</v>
      </c>
      <c r="O1221">
        <v>30.9</v>
      </c>
      <c r="P1221">
        <v>447.3</v>
      </c>
    </row>
    <row r="1222" spans="1:16" x14ac:dyDescent="0.3">
      <c r="A1222">
        <v>73218</v>
      </c>
      <c r="B1222">
        <v>105</v>
      </c>
      <c r="C1222" t="s">
        <v>557</v>
      </c>
      <c r="D1222" s="452">
        <v>46054</v>
      </c>
      <c r="E1222">
        <v>20928</v>
      </c>
      <c r="F1222" t="s">
        <v>4950</v>
      </c>
      <c r="G1222">
        <v>2033</v>
      </c>
      <c r="H1222">
        <v>2</v>
      </c>
      <c r="I1222" t="s">
        <v>4736</v>
      </c>
      <c r="J1222" t="s">
        <v>5191</v>
      </c>
      <c r="K1222" t="s">
        <v>459</v>
      </c>
      <c r="L1222">
        <v>223</v>
      </c>
      <c r="M1222" s="452">
        <v>46042</v>
      </c>
      <c r="N1222">
        <v>223</v>
      </c>
      <c r="O1222">
        <v>202.18</v>
      </c>
      <c r="P1222">
        <v>446</v>
      </c>
    </row>
    <row r="1223" spans="1:16" x14ac:dyDescent="0.3">
      <c r="A1223">
        <v>73033</v>
      </c>
      <c r="B1223">
        <v>105</v>
      </c>
      <c r="C1223" t="s">
        <v>557</v>
      </c>
      <c r="D1223" s="452">
        <v>46054</v>
      </c>
      <c r="E1223">
        <v>17903</v>
      </c>
      <c r="F1223" t="s">
        <v>5084</v>
      </c>
      <c r="G1223">
        <v>3658</v>
      </c>
      <c r="H1223">
        <v>22.25</v>
      </c>
      <c r="I1223" t="s">
        <v>4738</v>
      </c>
      <c r="J1223" t="s">
        <v>5222</v>
      </c>
      <c r="K1223" t="s">
        <v>459</v>
      </c>
      <c r="L1223">
        <v>19.97</v>
      </c>
      <c r="M1223" s="452">
        <v>46041</v>
      </c>
      <c r="N1223">
        <v>19.97</v>
      </c>
      <c r="O1223">
        <v>19.97</v>
      </c>
      <c r="P1223">
        <v>444.33</v>
      </c>
    </row>
    <row r="1224" spans="1:16" x14ac:dyDescent="0.3">
      <c r="A1224">
        <v>73100</v>
      </c>
      <c r="B1224">
        <v>105</v>
      </c>
      <c r="C1224" t="s">
        <v>557</v>
      </c>
      <c r="D1224" s="452">
        <v>46054</v>
      </c>
      <c r="E1224">
        <v>18518</v>
      </c>
      <c r="F1224" t="s">
        <v>4838</v>
      </c>
      <c r="G1224">
        <v>3148</v>
      </c>
      <c r="H1224">
        <v>9.3000000000000007</v>
      </c>
      <c r="I1224" t="s">
        <v>4805</v>
      </c>
      <c r="J1224" t="s">
        <v>5222</v>
      </c>
      <c r="K1224" t="s">
        <v>459</v>
      </c>
      <c r="L1224">
        <v>47.09</v>
      </c>
      <c r="M1224" s="452">
        <v>46036</v>
      </c>
      <c r="N1224">
        <v>47.09</v>
      </c>
      <c r="O1224">
        <v>47.09</v>
      </c>
      <c r="P1224">
        <v>437.94</v>
      </c>
    </row>
    <row r="1225" spans="1:16" x14ac:dyDescent="0.3">
      <c r="A1225">
        <v>73179</v>
      </c>
      <c r="B1225">
        <v>105</v>
      </c>
      <c r="C1225" t="s">
        <v>557</v>
      </c>
      <c r="D1225" s="452">
        <v>46054</v>
      </c>
      <c r="E1225">
        <v>18315</v>
      </c>
      <c r="F1225" t="s">
        <v>4922</v>
      </c>
      <c r="G1225">
        <v>3318</v>
      </c>
      <c r="H1225">
        <v>3.5</v>
      </c>
      <c r="I1225" t="s">
        <v>4805</v>
      </c>
      <c r="J1225" t="s">
        <v>5222</v>
      </c>
      <c r="K1225" t="s">
        <v>459</v>
      </c>
      <c r="L1225">
        <v>0</v>
      </c>
      <c r="M1225" s="452">
        <v>46010</v>
      </c>
      <c r="N1225">
        <v>124</v>
      </c>
      <c r="O1225">
        <v>129</v>
      </c>
      <c r="P1225">
        <v>434</v>
      </c>
    </row>
    <row r="1226" spans="1:16" x14ac:dyDescent="0.3">
      <c r="A1226">
        <v>73120</v>
      </c>
      <c r="B1226">
        <v>105</v>
      </c>
      <c r="C1226" t="s">
        <v>557</v>
      </c>
      <c r="D1226" s="452">
        <v>46054</v>
      </c>
      <c r="E1226">
        <v>19356</v>
      </c>
      <c r="F1226" t="s">
        <v>4799</v>
      </c>
      <c r="G1226">
        <v>2768</v>
      </c>
      <c r="H1226">
        <v>7.16</v>
      </c>
      <c r="I1226" t="s">
        <v>4744</v>
      </c>
      <c r="J1226" t="s">
        <v>5191</v>
      </c>
      <c r="K1226" t="s">
        <v>459</v>
      </c>
      <c r="L1226">
        <v>60.56</v>
      </c>
      <c r="M1226" s="452">
        <v>46045</v>
      </c>
      <c r="N1226">
        <v>65.62</v>
      </c>
      <c r="O1226">
        <v>55.5</v>
      </c>
      <c r="P1226">
        <v>433.61</v>
      </c>
    </row>
    <row r="1227" spans="1:16" x14ac:dyDescent="0.3">
      <c r="A1227">
        <v>73044</v>
      </c>
      <c r="B1227">
        <v>105</v>
      </c>
      <c r="C1227" t="s">
        <v>557</v>
      </c>
      <c r="D1227" s="452">
        <v>46054</v>
      </c>
      <c r="E1227">
        <v>18595</v>
      </c>
      <c r="F1227" t="s">
        <v>5092</v>
      </c>
      <c r="G1227">
        <v>3099</v>
      </c>
      <c r="H1227">
        <v>2.83</v>
      </c>
      <c r="I1227" t="s">
        <v>4738</v>
      </c>
      <c r="J1227" t="s">
        <v>5222</v>
      </c>
      <c r="K1227" t="s">
        <v>459</v>
      </c>
      <c r="L1227">
        <v>150.47999999999999</v>
      </c>
      <c r="M1227" s="452">
        <v>46046</v>
      </c>
      <c r="N1227">
        <v>150.47999999999999</v>
      </c>
      <c r="O1227">
        <v>102.54</v>
      </c>
      <c r="P1227">
        <v>425.86</v>
      </c>
    </row>
    <row r="1228" spans="1:16" x14ac:dyDescent="0.3">
      <c r="A1228">
        <v>73046</v>
      </c>
      <c r="B1228">
        <v>105</v>
      </c>
      <c r="C1228" t="s">
        <v>557</v>
      </c>
      <c r="D1228" s="452">
        <v>46054</v>
      </c>
      <c r="E1228">
        <v>26505</v>
      </c>
      <c r="F1228" t="s">
        <v>4750</v>
      </c>
      <c r="G1228">
        <v>6762</v>
      </c>
      <c r="H1228">
        <v>2.46</v>
      </c>
      <c r="I1228" t="s">
        <v>4738</v>
      </c>
      <c r="J1228" t="s">
        <v>5222</v>
      </c>
      <c r="K1228" t="s">
        <v>459</v>
      </c>
      <c r="L1228">
        <v>172.11</v>
      </c>
      <c r="M1228" s="452">
        <v>46052</v>
      </c>
      <c r="N1228">
        <v>172.11</v>
      </c>
      <c r="O1228">
        <v>172.11</v>
      </c>
      <c r="P1228">
        <v>423.39</v>
      </c>
    </row>
    <row r="1229" spans="1:16" x14ac:dyDescent="0.3">
      <c r="A1229">
        <v>73249</v>
      </c>
      <c r="B1229">
        <v>105</v>
      </c>
      <c r="C1229" t="s">
        <v>557</v>
      </c>
      <c r="D1229" s="452">
        <v>46054</v>
      </c>
      <c r="E1229">
        <v>18114</v>
      </c>
      <c r="F1229" t="s">
        <v>5046</v>
      </c>
      <c r="G1229">
        <v>3498</v>
      </c>
      <c r="H1229">
        <v>1.55</v>
      </c>
      <c r="I1229" t="s">
        <v>4805</v>
      </c>
      <c r="J1229" t="s">
        <v>5222</v>
      </c>
      <c r="K1229" t="s">
        <v>459</v>
      </c>
      <c r="L1229">
        <v>0</v>
      </c>
      <c r="M1229" s="452">
        <v>46008</v>
      </c>
      <c r="N1229">
        <v>271.2</v>
      </c>
      <c r="O1229">
        <v>279.89999999999998</v>
      </c>
      <c r="P1229">
        <v>420.36</v>
      </c>
    </row>
    <row r="1230" spans="1:16" x14ac:dyDescent="0.3">
      <c r="A1230">
        <v>73093</v>
      </c>
      <c r="B1230">
        <v>105</v>
      </c>
      <c r="C1230" t="s">
        <v>557</v>
      </c>
      <c r="D1230" s="452">
        <v>46054</v>
      </c>
      <c r="E1230">
        <v>26495</v>
      </c>
      <c r="F1230" t="s">
        <v>4867</v>
      </c>
      <c r="G1230">
        <v>5447</v>
      </c>
      <c r="H1230">
        <v>10.61</v>
      </c>
      <c r="I1230" t="s">
        <v>4744</v>
      </c>
      <c r="J1230" t="s">
        <v>5191</v>
      </c>
      <c r="K1230" t="s">
        <v>459</v>
      </c>
      <c r="L1230">
        <v>0</v>
      </c>
      <c r="M1230" s="452">
        <v>45947</v>
      </c>
      <c r="N1230">
        <v>39.5</v>
      </c>
      <c r="O1230">
        <v>39.5</v>
      </c>
      <c r="P1230">
        <v>419.1</v>
      </c>
    </row>
    <row r="1231" spans="1:16" x14ac:dyDescent="0.3">
      <c r="A1231">
        <v>73082</v>
      </c>
      <c r="B1231">
        <v>105</v>
      </c>
      <c r="C1231" t="s">
        <v>557</v>
      </c>
      <c r="D1231" s="452">
        <v>46054</v>
      </c>
      <c r="E1231">
        <v>18475</v>
      </c>
      <c r="F1231" t="s">
        <v>4895</v>
      </c>
      <c r="G1231">
        <v>3181</v>
      </c>
      <c r="H1231">
        <v>12.5</v>
      </c>
      <c r="I1231" t="s">
        <v>4805</v>
      </c>
      <c r="J1231" t="s">
        <v>5222</v>
      </c>
      <c r="K1231" t="s">
        <v>459</v>
      </c>
      <c r="L1231">
        <v>32.9</v>
      </c>
      <c r="M1231" s="452">
        <v>46047</v>
      </c>
      <c r="N1231">
        <v>32.9</v>
      </c>
      <c r="O1231">
        <v>32.9</v>
      </c>
      <c r="P1231">
        <v>411.25</v>
      </c>
    </row>
    <row r="1232" spans="1:16" x14ac:dyDescent="0.3">
      <c r="A1232">
        <v>73219</v>
      </c>
      <c r="B1232">
        <v>105</v>
      </c>
      <c r="C1232" t="s">
        <v>557</v>
      </c>
      <c r="D1232" s="452">
        <v>46054</v>
      </c>
      <c r="E1232">
        <v>25807</v>
      </c>
      <c r="F1232" t="s">
        <v>4951</v>
      </c>
      <c r="G1232">
        <v>6344</v>
      </c>
      <c r="H1232">
        <v>2</v>
      </c>
      <c r="I1232" t="s">
        <v>4736</v>
      </c>
      <c r="J1232" t="s">
        <v>5191</v>
      </c>
      <c r="K1232" t="s">
        <v>459</v>
      </c>
      <c r="L1232">
        <v>202</v>
      </c>
      <c r="M1232" s="452">
        <v>46030</v>
      </c>
      <c r="N1232">
        <v>202</v>
      </c>
      <c r="O1232">
        <v>202.53</v>
      </c>
      <c r="P1232">
        <v>404</v>
      </c>
    </row>
    <row r="1233" spans="1:16" x14ac:dyDescent="0.3">
      <c r="A1233">
        <v>73150</v>
      </c>
      <c r="B1233">
        <v>105</v>
      </c>
      <c r="C1233" t="s">
        <v>557</v>
      </c>
      <c r="D1233" s="452">
        <v>46054</v>
      </c>
      <c r="E1233">
        <v>25676</v>
      </c>
      <c r="F1233" t="s">
        <v>4866</v>
      </c>
      <c r="G1233">
        <v>6237</v>
      </c>
      <c r="H1233">
        <v>5</v>
      </c>
      <c r="I1233" t="s">
        <v>4805</v>
      </c>
      <c r="J1233" t="s">
        <v>5222</v>
      </c>
      <c r="K1233" t="s">
        <v>459</v>
      </c>
      <c r="L1233">
        <v>0</v>
      </c>
      <c r="M1233" s="452">
        <v>45979</v>
      </c>
      <c r="N1233">
        <v>80.55</v>
      </c>
      <c r="O1233">
        <v>75.48</v>
      </c>
      <c r="P1233">
        <v>402.75</v>
      </c>
    </row>
    <row r="1234" spans="1:16" x14ac:dyDescent="0.3">
      <c r="A1234">
        <v>73207</v>
      </c>
      <c r="B1234">
        <v>105</v>
      </c>
      <c r="C1234" t="s">
        <v>557</v>
      </c>
      <c r="D1234" s="452">
        <v>46054</v>
      </c>
      <c r="E1234">
        <v>18119</v>
      </c>
      <c r="F1234" t="s">
        <v>5044</v>
      </c>
      <c r="G1234">
        <v>3494</v>
      </c>
      <c r="H1234">
        <v>2.2000000000000002</v>
      </c>
      <c r="I1234" t="s">
        <v>4805</v>
      </c>
      <c r="J1234" t="s">
        <v>5222</v>
      </c>
      <c r="K1234" t="s">
        <v>459</v>
      </c>
      <c r="L1234">
        <v>181</v>
      </c>
      <c r="M1234" s="452">
        <v>46045</v>
      </c>
      <c r="N1234">
        <v>181</v>
      </c>
      <c r="O1234">
        <v>181</v>
      </c>
      <c r="P1234">
        <v>398.2</v>
      </c>
    </row>
    <row r="1235" spans="1:16" x14ac:dyDescent="0.3">
      <c r="A1235">
        <v>73152</v>
      </c>
      <c r="B1235">
        <v>105</v>
      </c>
      <c r="C1235" t="s">
        <v>557</v>
      </c>
      <c r="D1235" s="452">
        <v>46054</v>
      </c>
      <c r="E1235">
        <v>24614</v>
      </c>
      <c r="F1235" t="s">
        <v>4897</v>
      </c>
      <c r="G1235">
        <v>3855</v>
      </c>
      <c r="H1235">
        <v>5</v>
      </c>
      <c r="I1235" t="s">
        <v>4805</v>
      </c>
      <c r="J1235" t="s">
        <v>5222</v>
      </c>
      <c r="K1235" t="s">
        <v>459</v>
      </c>
      <c r="L1235">
        <v>0</v>
      </c>
      <c r="M1235" s="452">
        <v>46007</v>
      </c>
      <c r="N1235">
        <v>79.3</v>
      </c>
      <c r="O1235">
        <v>79.3</v>
      </c>
      <c r="P1235">
        <v>396.5</v>
      </c>
    </row>
    <row r="1236" spans="1:16" x14ac:dyDescent="0.3">
      <c r="A1236">
        <v>73189</v>
      </c>
      <c r="B1236">
        <v>105</v>
      </c>
      <c r="C1236" t="s">
        <v>557</v>
      </c>
      <c r="D1236" s="452">
        <v>46054</v>
      </c>
      <c r="E1236">
        <v>17062</v>
      </c>
      <c r="F1236" t="s">
        <v>4880</v>
      </c>
      <c r="G1236">
        <v>1954</v>
      </c>
      <c r="H1236">
        <v>3</v>
      </c>
      <c r="I1236" t="s">
        <v>4879</v>
      </c>
      <c r="J1236" t="s">
        <v>5191</v>
      </c>
      <c r="K1236" t="s">
        <v>459</v>
      </c>
      <c r="L1236">
        <v>126.03</v>
      </c>
      <c r="M1236" s="452">
        <v>46031</v>
      </c>
      <c r="N1236">
        <v>126.03</v>
      </c>
      <c r="O1236">
        <v>126.03</v>
      </c>
      <c r="P1236">
        <v>378.09</v>
      </c>
    </row>
    <row r="1237" spans="1:16" x14ac:dyDescent="0.3">
      <c r="A1237">
        <v>73115</v>
      </c>
      <c r="B1237">
        <v>105</v>
      </c>
      <c r="C1237" t="s">
        <v>557</v>
      </c>
      <c r="D1237" s="452">
        <v>46054</v>
      </c>
      <c r="E1237">
        <v>26040</v>
      </c>
      <c r="F1237" t="s">
        <v>4812</v>
      </c>
      <c r="G1237">
        <v>6507</v>
      </c>
      <c r="H1237">
        <v>8</v>
      </c>
      <c r="I1237" t="s">
        <v>4805</v>
      </c>
      <c r="J1237" t="s">
        <v>5222</v>
      </c>
      <c r="K1237" t="s">
        <v>459</v>
      </c>
      <c r="L1237">
        <v>45.5</v>
      </c>
      <c r="M1237" s="452">
        <v>46048</v>
      </c>
      <c r="N1237">
        <v>45.5</v>
      </c>
      <c r="O1237">
        <v>45.5</v>
      </c>
      <c r="P1237">
        <v>364</v>
      </c>
    </row>
    <row r="1238" spans="1:16" x14ac:dyDescent="0.3">
      <c r="A1238">
        <v>73085</v>
      </c>
      <c r="B1238">
        <v>105</v>
      </c>
      <c r="C1238" t="s">
        <v>557</v>
      </c>
      <c r="D1238" s="452">
        <v>46054</v>
      </c>
      <c r="E1238">
        <v>20809</v>
      </c>
      <c r="F1238" t="s">
        <v>4822</v>
      </c>
      <c r="G1238">
        <v>2074</v>
      </c>
      <c r="H1238">
        <v>12</v>
      </c>
      <c r="I1238" t="s">
        <v>4738</v>
      </c>
      <c r="J1238" t="s">
        <v>5191</v>
      </c>
      <c r="K1238" t="s">
        <v>459</v>
      </c>
      <c r="L1238">
        <v>29.09</v>
      </c>
      <c r="M1238" s="452">
        <v>46045</v>
      </c>
      <c r="N1238">
        <v>32.979999999999997</v>
      </c>
      <c r="O1238">
        <v>32.979999999999997</v>
      </c>
      <c r="P1238">
        <v>349.08</v>
      </c>
    </row>
    <row r="1239" spans="1:16" x14ac:dyDescent="0.3">
      <c r="A1239">
        <v>73172</v>
      </c>
      <c r="B1239">
        <v>105</v>
      </c>
      <c r="C1239" t="s">
        <v>557</v>
      </c>
      <c r="D1239" s="452">
        <v>46054</v>
      </c>
      <c r="E1239">
        <v>27808</v>
      </c>
      <c r="F1239" t="s">
        <v>5082</v>
      </c>
      <c r="G1239">
        <v>7774</v>
      </c>
      <c r="H1239">
        <v>4</v>
      </c>
      <c r="I1239" t="s">
        <v>4736</v>
      </c>
      <c r="J1239" t="s">
        <v>5222</v>
      </c>
      <c r="K1239" t="s">
        <v>459</v>
      </c>
      <c r="L1239">
        <v>0</v>
      </c>
      <c r="N1239">
        <v>0</v>
      </c>
      <c r="O1239">
        <v>84.07</v>
      </c>
      <c r="P1239">
        <v>348</v>
      </c>
    </row>
    <row r="1240" spans="1:16" x14ac:dyDescent="0.3">
      <c r="A1240">
        <v>73188</v>
      </c>
      <c r="B1240">
        <v>105</v>
      </c>
      <c r="C1240" t="s">
        <v>557</v>
      </c>
      <c r="D1240" s="452">
        <v>46054</v>
      </c>
      <c r="E1240">
        <v>21150</v>
      </c>
      <c r="F1240" t="s">
        <v>4878</v>
      </c>
      <c r="G1240">
        <v>1951</v>
      </c>
      <c r="H1240">
        <v>3</v>
      </c>
      <c r="I1240" t="s">
        <v>4879</v>
      </c>
      <c r="J1240" t="s">
        <v>5191</v>
      </c>
      <c r="K1240" t="s">
        <v>459</v>
      </c>
      <c r="L1240">
        <v>113.31</v>
      </c>
      <c r="M1240" s="452">
        <v>46031</v>
      </c>
      <c r="N1240">
        <v>113.31</v>
      </c>
      <c r="O1240">
        <v>126.03</v>
      </c>
      <c r="P1240">
        <v>339.93</v>
      </c>
    </row>
    <row r="1241" spans="1:16" x14ac:dyDescent="0.3">
      <c r="A1241">
        <v>73060</v>
      </c>
      <c r="B1241">
        <v>105</v>
      </c>
      <c r="C1241" t="s">
        <v>557</v>
      </c>
      <c r="D1241" s="452">
        <v>46054</v>
      </c>
      <c r="E1241">
        <v>24351</v>
      </c>
      <c r="F1241" t="s">
        <v>5014</v>
      </c>
      <c r="G1241">
        <v>2287</v>
      </c>
      <c r="H1241">
        <v>22.8</v>
      </c>
      <c r="I1241" t="s">
        <v>4736</v>
      </c>
      <c r="J1241" t="s">
        <v>5191</v>
      </c>
      <c r="K1241" t="s">
        <v>459</v>
      </c>
      <c r="L1241">
        <v>14.52</v>
      </c>
      <c r="M1241" s="452">
        <v>46042</v>
      </c>
      <c r="N1241">
        <v>12</v>
      </c>
      <c r="O1241">
        <v>12</v>
      </c>
      <c r="P1241">
        <v>331.06</v>
      </c>
    </row>
    <row r="1242" spans="1:16" x14ac:dyDescent="0.3">
      <c r="A1242">
        <v>73153</v>
      </c>
      <c r="B1242">
        <v>105</v>
      </c>
      <c r="C1242" t="s">
        <v>557</v>
      </c>
      <c r="D1242" s="452">
        <v>46054</v>
      </c>
      <c r="E1242">
        <v>26044</v>
      </c>
      <c r="F1242" t="s">
        <v>4843</v>
      </c>
      <c r="G1242">
        <v>6509</v>
      </c>
      <c r="H1242">
        <v>5</v>
      </c>
      <c r="I1242" t="s">
        <v>4805</v>
      </c>
      <c r="J1242" t="s">
        <v>5222</v>
      </c>
      <c r="K1242" t="s">
        <v>459</v>
      </c>
      <c r="L1242">
        <v>0</v>
      </c>
      <c r="M1242" s="452">
        <v>45987</v>
      </c>
      <c r="N1242">
        <v>65</v>
      </c>
      <c r="O1242">
        <v>71.989999999999995</v>
      </c>
      <c r="P1242">
        <v>325</v>
      </c>
    </row>
    <row r="1243" spans="1:16" x14ac:dyDescent="0.3">
      <c r="A1243">
        <v>73127</v>
      </c>
      <c r="B1243">
        <v>105</v>
      </c>
      <c r="C1243" t="s">
        <v>557</v>
      </c>
      <c r="D1243" s="452">
        <v>46054</v>
      </c>
      <c r="E1243">
        <v>26038</v>
      </c>
      <c r="F1243" t="s">
        <v>4976</v>
      </c>
      <c r="G1243">
        <v>6506</v>
      </c>
      <c r="H1243">
        <v>7</v>
      </c>
      <c r="I1243" t="s">
        <v>4805</v>
      </c>
      <c r="J1243" t="s">
        <v>5222</v>
      </c>
      <c r="K1243" t="s">
        <v>459</v>
      </c>
      <c r="L1243">
        <v>45.5</v>
      </c>
      <c r="M1243" s="452">
        <v>46048</v>
      </c>
      <c r="N1243">
        <v>45.5</v>
      </c>
      <c r="O1243">
        <v>45.5</v>
      </c>
      <c r="P1243">
        <v>318.5</v>
      </c>
    </row>
    <row r="1244" spans="1:16" x14ac:dyDescent="0.3">
      <c r="A1244">
        <v>73146</v>
      </c>
      <c r="B1244">
        <v>105</v>
      </c>
      <c r="C1244" t="s">
        <v>557</v>
      </c>
      <c r="D1244" s="452">
        <v>46054</v>
      </c>
      <c r="E1244">
        <v>27397</v>
      </c>
      <c r="F1244" t="s">
        <v>4913</v>
      </c>
      <c r="G1244">
        <v>7399</v>
      </c>
      <c r="H1244">
        <v>5</v>
      </c>
      <c r="I1244" t="s">
        <v>4736</v>
      </c>
      <c r="J1244" t="s">
        <v>5191</v>
      </c>
      <c r="K1244" t="s">
        <v>459</v>
      </c>
      <c r="L1244">
        <v>62.98</v>
      </c>
      <c r="M1244" s="452">
        <v>46052</v>
      </c>
      <c r="N1244">
        <v>62.98</v>
      </c>
      <c r="O1244">
        <v>62.98</v>
      </c>
      <c r="P1244">
        <v>314.89999999999998</v>
      </c>
    </row>
    <row r="1245" spans="1:16" x14ac:dyDescent="0.3">
      <c r="A1245">
        <v>73124</v>
      </c>
      <c r="B1245">
        <v>105</v>
      </c>
      <c r="C1245" t="s">
        <v>557</v>
      </c>
      <c r="D1245" s="452">
        <v>46054</v>
      </c>
      <c r="E1245">
        <v>23785</v>
      </c>
      <c r="F1245" t="s">
        <v>4858</v>
      </c>
      <c r="G1245">
        <v>2114</v>
      </c>
      <c r="H1245">
        <v>7</v>
      </c>
      <c r="I1245" t="s">
        <v>4744</v>
      </c>
      <c r="J1245" t="s">
        <v>5191</v>
      </c>
      <c r="K1245" t="s">
        <v>459</v>
      </c>
      <c r="L1245">
        <v>42.86</v>
      </c>
      <c r="M1245" s="452">
        <v>46051</v>
      </c>
      <c r="N1245">
        <v>42</v>
      </c>
      <c r="O1245">
        <v>42</v>
      </c>
      <c r="P1245">
        <v>300.02</v>
      </c>
    </row>
    <row r="1246" spans="1:16" x14ac:dyDescent="0.3">
      <c r="A1246">
        <v>73193</v>
      </c>
      <c r="B1246">
        <v>105</v>
      </c>
      <c r="C1246" t="s">
        <v>557</v>
      </c>
      <c r="D1246" s="452">
        <v>46054</v>
      </c>
      <c r="E1246">
        <v>19895</v>
      </c>
      <c r="F1246" t="s">
        <v>5080</v>
      </c>
      <c r="G1246">
        <v>2385</v>
      </c>
      <c r="H1246">
        <v>3</v>
      </c>
      <c r="I1246" t="s">
        <v>4888</v>
      </c>
      <c r="J1246" t="s">
        <v>5191</v>
      </c>
      <c r="K1246" t="s">
        <v>459</v>
      </c>
      <c r="L1246">
        <v>0</v>
      </c>
      <c r="M1246" s="452">
        <v>45887</v>
      </c>
      <c r="N1246">
        <v>99.99</v>
      </c>
      <c r="O1246">
        <v>32</v>
      </c>
      <c r="P1246">
        <v>299.97000000000003</v>
      </c>
    </row>
    <row r="1247" spans="1:16" x14ac:dyDescent="0.3">
      <c r="A1247">
        <v>73138</v>
      </c>
      <c r="B1247">
        <v>105</v>
      </c>
      <c r="C1247" t="s">
        <v>557</v>
      </c>
      <c r="D1247" s="452">
        <v>46054</v>
      </c>
      <c r="E1247">
        <v>20007</v>
      </c>
      <c r="F1247" t="s">
        <v>5101</v>
      </c>
      <c r="G1247">
        <v>2343</v>
      </c>
      <c r="H1247">
        <v>6</v>
      </c>
      <c r="I1247" t="s">
        <v>4884</v>
      </c>
      <c r="J1247" t="s">
        <v>5191</v>
      </c>
      <c r="K1247" t="s">
        <v>459</v>
      </c>
      <c r="L1247">
        <v>49.12</v>
      </c>
      <c r="M1247" s="452">
        <v>46051</v>
      </c>
      <c r="N1247">
        <v>50.9</v>
      </c>
      <c r="O1247">
        <v>50.9</v>
      </c>
      <c r="P1247">
        <v>294.72000000000003</v>
      </c>
    </row>
    <row r="1248" spans="1:16" x14ac:dyDescent="0.3">
      <c r="A1248">
        <v>73156</v>
      </c>
      <c r="B1248">
        <v>105</v>
      </c>
      <c r="C1248" t="s">
        <v>557</v>
      </c>
      <c r="D1248" s="452">
        <v>46054</v>
      </c>
      <c r="E1248">
        <v>18502</v>
      </c>
      <c r="F1248" t="s">
        <v>4893</v>
      </c>
      <c r="G1248">
        <v>3155</v>
      </c>
      <c r="H1248">
        <v>4.8899999999999997</v>
      </c>
      <c r="I1248" t="s">
        <v>4805</v>
      </c>
      <c r="J1248" t="s">
        <v>5222</v>
      </c>
      <c r="K1248" t="s">
        <v>459</v>
      </c>
      <c r="L1248">
        <v>59.7</v>
      </c>
      <c r="M1248" s="452">
        <v>46050</v>
      </c>
      <c r="N1248">
        <v>59.7</v>
      </c>
      <c r="O1248">
        <v>59.7</v>
      </c>
      <c r="P1248">
        <v>291.93</v>
      </c>
    </row>
    <row r="1249" spans="1:16" x14ac:dyDescent="0.3">
      <c r="A1249">
        <v>73198</v>
      </c>
      <c r="B1249">
        <v>105</v>
      </c>
      <c r="C1249" t="s">
        <v>557</v>
      </c>
      <c r="D1249" s="452">
        <v>46054</v>
      </c>
      <c r="E1249">
        <v>18111</v>
      </c>
      <c r="F1249" t="s">
        <v>5049</v>
      </c>
      <c r="G1249">
        <v>3500</v>
      </c>
      <c r="H1249">
        <v>3</v>
      </c>
      <c r="I1249" t="s">
        <v>4805</v>
      </c>
      <c r="J1249" t="s">
        <v>5222</v>
      </c>
      <c r="K1249" t="s">
        <v>459</v>
      </c>
      <c r="L1249">
        <v>88.19</v>
      </c>
      <c r="M1249" s="452">
        <v>46045</v>
      </c>
      <c r="N1249">
        <v>88.19</v>
      </c>
      <c r="O1249">
        <v>88.19</v>
      </c>
      <c r="P1249">
        <v>264.57</v>
      </c>
    </row>
    <row r="1250" spans="1:16" x14ac:dyDescent="0.3">
      <c r="A1250">
        <v>73118</v>
      </c>
      <c r="B1250">
        <v>105</v>
      </c>
      <c r="C1250" t="s">
        <v>557</v>
      </c>
      <c r="D1250" s="452">
        <v>46054</v>
      </c>
      <c r="E1250">
        <v>20887</v>
      </c>
      <c r="F1250" t="s">
        <v>4953</v>
      </c>
      <c r="G1250">
        <v>2040</v>
      </c>
      <c r="H1250">
        <v>7.5</v>
      </c>
      <c r="I1250" t="s">
        <v>4879</v>
      </c>
      <c r="J1250" t="s">
        <v>5191</v>
      </c>
      <c r="K1250" t="s">
        <v>459</v>
      </c>
      <c r="L1250">
        <v>34.380000000000003</v>
      </c>
      <c r="M1250" s="452">
        <v>46051</v>
      </c>
      <c r="N1250">
        <v>36.299999999999997</v>
      </c>
      <c r="O1250">
        <v>36.299999999999997</v>
      </c>
      <c r="P1250">
        <v>257.85000000000002</v>
      </c>
    </row>
    <row r="1251" spans="1:16" x14ac:dyDescent="0.3">
      <c r="A1251">
        <v>73075</v>
      </c>
      <c r="B1251">
        <v>105</v>
      </c>
      <c r="C1251" t="s">
        <v>557</v>
      </c>
      <c r="D1251" s="452">
        <v>46054</v>
      </c>
      <c r="E1251">
        <v>17958</v>
      </c>
      <c r="F1251" t="s">
        <v>5076</v>
      </c>
      <c r="G1251">
        <v>3622</v>
      </c>
      <c r="H1251">
        <v>14.1</v>
      </c>
      <c r="I1251" t="s">
        <v>4738</v>
      </c>
      <c r="J1251" t="s">
        <v>5222</v>
      </c>
      <c r="K1251" t="s">
        <v>459</v>
      </c>
      <c r="L1251">
        <v>17.23</v>
      </c>
      <c r="M1251" s="452">
        <v>46048</v>
      </c>
      <c r="N1251">
        <v>17.7</v>
      </c>
      <c r="O1251">
        <v>17.7</v>
      </c>
      <c r="P1251">
        <v>242.94</v>
      </c>
    </row>
    <row r="1252" spans="1:16" x14ac:dyDescent="0.3">
      <c r="A1252">
        <v>73090</v>
      </c>
      <c r="B1252">
        <v>105</v>
      </c>
      <c r="C1252" t="s">
        <v>557</v>
      </c>
      <c r="D1252" s="452">
        <v>46054</v>
      </c>
      <c r="E1252">
        <v>20521</v>
      </c>
      <c r="F1252" t="s">
        <v>4797</v>
      </c>
      <c r="G1252">
        <v>2149</v>
      </c>
      <c r="H1252">
        <v>11</v>
      </c>
      <c r="I1252" t="s">
        <v>4744</v>
      </c>
      <c r="J1252" t="s">
        <v>5191</v>
      </c>
      <c r="K1252" t="s">
        <v>459</v>
      </c>
      <c r="L1252">
        <v>0</v>
      </c>
      <c r="M1252" s="452">
        <v>45936</v>
      </c>
      <c r="N1252">
        <v>21.99</v>
      </c>
      <c r="O1252">
        <v>21.99</v>
      </c>
      <c r="P1252">
        <v>241.89</v>
      </c>
    </row>
    <row r="1253" spans="1:16" x14ac:dyDescent="0.3">
      <c r="A1253">
        <v>73107</v>
      </c>
      <c r="B1253">
        <v>105</v>
      </c>
      <c r="C1253" t="s">
        <v>557</v>
      </c>
      <c r="D1253" s="452">
        <v>46054</v>
      </c>
      <c r="E1253">
        <v>18030</v>
      </c>
      <c r="F1253" t="s">
        <v>4840</v>
      </c>
      <c r="G1253">
        <v>3568</v>
      </c>
      <c r="H1253">
        <v>8.5</v>
      </c>
      <c r="I1253" t="s">
        <v>4805</v>
      </c>
      <c r="J1253" t="s">
        <v>5222</v>
      </c>
      <c r="K1253" t="s">
        <v>459</v>
      </c>
      <c r="L1253">
        <v>28.23</v>
      </c>
      <c r="M1253" s="452">
        <v>46045</v>
      </c>
      <c r="N1253">
        <v>33</v>
      </c>
      <c r="O1253">
        <v>27.99</v>
      </c>
      <c r="P1253">
        <v>239.96</v>
      </c>
    </row>
    <row r="1254" spans="1:16" x14ac:dyDescent="0.3">
      <c r="A1254">
        <v>73165</v>
      </c>
      <c r="B1254">
        <v>105</v>
      </c>
      <c r="C1254" t="s">
        <v>557</v>
      </c>
      <c r="D1254" s="452">
        <v>46054</v>
      </c>
      <c r="E1254">
        <v>19346</v>
      </c>
      <c r="F1254" t="s">
        <v>4835</v>
      </c>
      <c r="G1254">
        <v>2770</v>
      </c>
      <c r="H1254">
        <v>4.1500000000000004</v>
      </c>
      <c r="I1254" t="s">
        <v>4744</v>
      </c>
      <c r="J1254" t="s">
        <v>5191</v>
      </c>
      <c r="K1254" t="s">
        <v>459</v>
      </c>
      <c r="L1254">
        <v>57.7</v>
      </c>
      <c r="M1254" s="452">
        <v>46051</v>
      </c>
      <c r="N1254">
        <v>57.7</v>
      </c>
      <c r="O1254">
        <v>61.99</v>
      </c>
      <c r="P1254">
        <v>239.46</v>
      </c>
    </row>
    <row r="1255" spans="1:16" x14ac:dyDescent="0.3">
      <c r="A1255">
        <v>73142</v>
      </c>
      <c r="B1255">
        <v>105</v>
      </c>
      <c r="C1255" t="s">
        <v>557</v>
      </c>
      <c r="D1255" s="452">
        <v>46054</v>
      </c>
      <c r="E1255">
        <v>18477</v>
      </c>
      <c r="F1255" t="s">
        <v>4920</v>
      </c>
      <c r="G1255">
        <v>3179</v>
      </c>
      <c r="H1255">
        <v>5.4</v>
      </c>
      <c r="I1255" t="s">
        <v>4805</v>
      </c>
      <c r="J1255" t="s">
        <v>5222</v>
      </c>
      <c r="K1255" t="s">
        <v>459</v>
      </c>
      <c r="L1255">
        <v>43.9</v>
      </c>
      <c r="M1255" s="452">
        <v>46047</v>
      </c>
      <c r="N1255">
        <v>43.9</v>
      </c>
      <c r="O1255">
        <v>43.9</v>
      </c>
      <c r="P1255">
        <v>237.06</v>
      </c>
    </row>
    <row r="1256" spans="1:16" x14ac:dyDescent="0.3">
      <c r="A1256">
        <v>73087</v>
      </c>
      <c r="B1256">
        <v>105</v>
      </c>
      <c r="C1256" t="s">
        <v>557</v>
      </c>
      <c r="D1256" s="452">
        <v>46054</v>
      </c>
      <c r="E1256">
        <v>24199</v>
      </c>
      <c r="F1256" t="s">
        <v>4783</v>
      </c>
      <c r="G1256">
        <v>5084</v>
      </c>
      <c r="H1256">
        <v>11.65</v>
      </c>
      <c r="I1256" t="s">
        <v>4744</v>
      </c>
      <c r="J1256" t="s">
        <v>5191</v>
      </c>
      <c r="K1256" t="s">
        <v>459</v>
      </c>
      <c r="L1256">
        <v>0</v>
      </c>
      <c r="M1256" s="452">
        <v>45979</v>
      </c>
      <c r="N1256">
        <v>19.989999999999998</v>
      </c>
      <c r="O1256">
        <v>19.989999999999998</v>
      </c>
      <c r="P1256">
        <v>232.88</v>
      </c>
    </row>
    <row r="1257" spans="1:16" x14ac:dyDescent="0.3">
      <c r="A1257">
        <v>73151</v>
      </c>
      <c r="B1257">
        <v>105</v>
      </c>
      <c r="C1257" t="s">
        <v>557</v>
      </c>
      <c r="D1257" s="452">
        <v>46054</v>
      </c>
      <c r="E1257">
        <v>26032</v>
      </c>
      <c r="F1257" t="s">
        <v>4896</v>
      </c>
      <c r="G1257">
        <v>6503</v>
      </c>
      <c r="H1257">
        <v>5</v>
      </c>
      <c r="I1257" t="s">
        <v>4805</v>
      </c>
      <c r="J1257" t="s">
        <v>5222</v>
      </c>
      <c r="K1257" t="s">
        <v>459</v>
      </c>
      <c r="L1257">
        <v>0</v>
      </c>
      <c r="M1257" s="452">
        <v>45698</v>
      </c>
      <c r="N1257">
        <v>46.38</v>
      </c>
      <c r="O1257">
        <v>63.21</v>
      </c>
      <c r="P1257">
        <v>231.9</v>
      </c>
    </row>
    <row r="1258" spans="1:16" x14ac:dyDescent="0.3">
      <c r="A1258">
        <v>73051</v>
      </c>
      <c r="B1258">
        <v>105</v>
      </c>
      <c r="C1258" t="s">
        <v>557</v>
      </c>
      <c r="D1258" s="452">
        <v>46054</v>
      </c>
      <c r="E1258">
        <v>18632</v>
      </c>
      <c r="F1258" t="s">
        <v>5096</v>
      </c>
      <c r="G1258">
        <v>3076</v>
      </c>
      <c r="H1258">
        <v>1.21</v>
      </c>
      <c r="I1258" t="s">
        <v>4749</v>
      </c>
      <c r="J1258" t="s">
        <v>5222</v>
      </c>
      <c r="K1258" t="s">
        <v>459</v>
      </c>
      <c r="L1258">
        <v>0</v>
      </c>
      <c r="M1258" s="452">
        <v>46001</v>
      </c>
      <c r="N1258">
        <v>190.8</v>
      </c>
      <c r="O1258">
        <v>190.8</v>
      </c>
      <c r="P1258">
        <v>230.87</v>
      </c>
    </row>
    <row r="1259" spans="1:16" x14ac:dyDescent="0.3">
      <c r="A1259">
        <v>73038</v>
      </c>
      <c r="B1259">
        <v>105</v>
      </c>
      <c r="C1259" t="s">
        <v>557</v>
      </c>
      <c r="D1259" s="452">
        <v>46054</v>
      </c>
      <c r="E1259">
        <v>17042</v>
      </c>
      <c r="F1259" t="s">
        <v>4748</v>
      </c>
      <c r="G1259">
        <v>2830</v>
      </c>
      <c r="H1259">
        <v>160</v>
      </c>
      <c r="I1259" t="s">
        <v>4749</v>
      </c>
      <c r="J1259" t="s">
        <v>5191</v>
      </c>
      <c r="K1259" t="s">
        <v>459</v>
      </c>
      <c r="L1259">
        <v>0</v>
      </c>
      <c r="M1259" s="452">
        <v>45996</v>
      </c>
      <c r="N1259">
        <v>1.44</v>
      </c>
      <c r="O1259">
        <v>3.52</v>
      </c>
      <c r="P1259">
        <v>230.4</v>
      </c>
    </row>
    <row r="1260" spans="1:16" x14ac:dyDescent="0.3">
      <c r="A1260">
        <v>73177</v>
      </c>
      <c r="B1260">
        <v>105</v>
      </c>
      <c r="C1260" t="s">
        <v>557</v>
      </c>
      <c r="D1260" s="452">
        <v>46054</v>
      </c>
      <c r="E1260">
        <v>18194</v>
      </c>
      <c r="F1260" t="s">
        <v>4923</v>
      </c>
      <c r="G1260">
        <v>3430</v>
      </c>
      <c r="H1260">
        <v>3.6</v>
      </c>
      <c r="I1260" t="s">
        <v>4805</v>
      </c>
      <c r="J1260" t="s">
        <v>5222</v>
      </c>
      <c r="K1260" t="s">
        <v>459</v>
      </c>
      <c r="L1260">
        <v>63</v>
      </c>
      <c r="M1260" s="452">
        <v>46027</v>
      </c>
      <c r="N1260">
        <v>63</v>
      </c>
      <c r="O1260">
        <v>63</v>
      </c>
      <c r="P1260">
        <v>226.8</v>
      </c>
    </row>
    <row r="1261" spans="1:16" x14ac:dyDescent="0.3">
      <c r="A1261">
        <v>73047</v>
      </c>
      <c r="B1261">
        <v>105</v>
      </c>
      <c r="C1261" t="s">
        <v>557</v>
      </c>
      <c r="D1261" s="452">
        <v>46054</v>
      </c>
      <c r="E1261">
        <v>23268</v>
      </c>
      <c r="F1261" t="s">
        <v>4743</v>
      </c>
      <c r="G1261">
        <v>2592</v>
      </c>
      <c r="H1261">
        <v>51.1</v>
      </c>
      <c r="I1261" t="s">
        <v>4744</v>
      </c>
      <c r="J1261" t="s">
        <v>5191</v>
      </c>
      <c r="K1261" t="s">
        <v>459</v>
      </c>
      <c r="L1261">
        <v>0</v>
      </c>
      <c r="M1261" s="452">
        <v>45681</v>
      </c>
      <c r="N1261">
        <v>4.42</v>
      </c>
      <c r="O1261">
        <v>5.0999999999999996</v>
      </c>
      <c r="P1261">
        <v>225.86</v>
      </c>
    </row>
    <row r="1262" spans="1:16" x14ac:dyDescent="0.3">
      <c r="A1262">
        <v>73130</v>
      </c>
      <c r="B1262">
        <v>105</v>
      </c>
      <c r="C1262" t="s">
        <v>557</v>
      </c>
      <c r="D1262" s="452">
        <v>46054</v>
      </c>
      <c r="E1262">
        <v>18491</v>
      </c>
      <c r="F1262" t="s">
        <v>4839</v>
      </c>
      <c r="G1262">
        <v>3166</v>
      </c>
      <c r="H1262">
        <v>6.25</v>
      </c>
      <c r="I1262" t="s">
        <v>4805</v>
      </c>
      <c r="J1262" t="s">
        <v>5222</v>
      </c>
      <c r="K1262" t="s">
        <v>459</v>
      </c>
      <c r="L1262">
        <v>0</v>
      </c>
      <c r="M1262" s="452">
        <v>45555</v>
      </c>
      <c r="N1262">
        <v>35.9</v>
      </c>
      <c r="O1262">
        <v>33.9</v>
      </c>
      <c r="P1262">
        <v>224.38</v>
      </c>
    </row>
    <row r="1263" spans="1:16" x14ac:dyDescent="0.3">
      <c r="A1263">
        <v>73263</v>
      </c>
      <c r="B1263">
        <v>105</v>
      </c>
      <c r="C1263" t="s">
        <v>557</v>
      </c>
      <c r="D1263" s="452">
        <v>46054</v>
      </c>
      <c r="E1263">
        <v>18157</v>
      </c>
      <c r="F1263" t="s">
        <v>5041</v>
      </c>
      <c r="G1263">
        <v>3463</v>
      </c>
      <c r="H1263">
        <v>1.25</v>
      </c>
      <c r="I1263" t="s">
        <v>4805</v>
      </c>
      <c r="J1263" t="s">
        <v>5222</v>
      </c>
      <c r="K1263" t="s">
        <v>459</v>
      </c>
      <c r="L1263">
        <v>179.29</v>
      </c>
      <c r="M1263" s="452">
        <v>46027</v>
      </c>
      <c r="N1263">
        <v>179.29</v>
      </c>
      <c r="O1263">
        <v>197.9</v>
      </c>
      <c r="P1263">
        <v>224.11</v>
      </c>
    </row>
    <row r="1264" spans="1:16" x14ac:dyDescent="0.3">
      <c r="A1264">
        <v>73043</v>
      </c>
      <c r="B1264">
        <v>105</v>
      </c>
      <c r="C1264" t="s">
        <v>557</v>
      </c>
      <c r="D1264" s="452">
        <v>46054</v>
      </c>
      <c r="E1264">
        <v>23361</v>
      </c>
      <c r="F1264" t="s">
        <v>4754</v>
      </c>
      <c r="G1264">
        <v>2497</v>
      </c>
      <c r="H1264">
        <v>72</v>
      </c>
      <c r="I1264" t="s">
        <v>4744</v>
      </c>
      <c r="J1264" t="s">
        <v>5191</v>
      </c>
      <c r="K1264" t="s">
        <v>459</v>
      </c>
      <c r="L1264">
        <v>3.09</v>
      </c>
      <c r="M1264" s="452">
        <v>46051</v>
      </c>
      <c r="N1264">
        <v>3.1</v>
      </c>
      <c r="O1264">
        <v>3.1</v>
      </c>
      <c r="P1264">
        <v>222.48</v>
      </c>
    </row>
    <row r="1265" spans="1:16" x14ac:dyDescent="0.3">
      <c r="A1265">
        <v>73050</v>
      </c>
      <c r="B1265">
        <v>105</v>
      </c>
      <c r="C1265" t="s">
        <v>557</v>
      </c>
      <c r="D1265" s="452">
        <v>46054</v>
      </c>
      <c r="E1265">
        <v>25561</v>
      </c>
      <c r="F1265" t="s">
        <v>5095</v>
      </c>
      <c r="G1265">
        <v>6169</v>
      </c>
      <c r="H1265">
        <v>1.88</v>
      </c>
      <c r="I1265" t="s">
        <v>4738</v>
      </c>
      <c r="J1265" t="s">
        <v>5222</v>
      </c>
      <c r="K1265" t="s">
        <v>459</v>
      </c>
      <c r="L1265">
        <v>117.56</v>
      </c>
      <c r="M1265" s="452">
        <v>46046</v>
      </c>
      <c r="N1265">
        <v>132.07</v>
      </c>
      <c r="O1265">
        <v>139.02000000000001</v>
      </c>
      <c r="P1265">
        <v>221.01</v>
      </c>
    </row>
    <row r="1266" spans="1:16" x14ac:dyDescent="0.3">
      <c r="A1266">
        <v>73253</v>
      </c>
      <c r="B1266">
        <v>105</v>
      </c>
      <c r="C1266" t="s">
        <v>557</v>
      </c>
      <c r="D1266" s="452">
        <v>46054</v>
      </c>
      <c r="E1266">
        <v>24685</v>
      </c>
      <c r="F1266" t="s">
        <v>5055</v>
      </c>
      <c r="G1266">
        <v>5714</v>
      </c>
      <c r="H1266">
        <v>1.5</v>
      </c>
      <c r="I1266" t="s">
        <v>4805</v>
      </c>
      <c r="J1266" t="s">
        <v>5222</v>
      </c>
      <c r="K1266" t="s">
        <v>459</v>
      </c>
      <c r="L1266">
        <v>0</v>
      </c>
      <c r="M1266" s="452">
        <v>45999</v>
      </c>
      <c r="N1266">
        <v>147.25</v>
      </c>
      <c r="O1266">
        <v>165.9</v>
      </c>
      <c r="P1266">
        <v>220.88</v>
      </c>
    </row>
    <row r="1267" spans="1:16" x14ac:dyDescent="0.3">
      <c r="A1267">
        <v>73144</v>
      </c>
      <c r="B1267">
        <v>105</v>
      </c>
      <c r="C1267" t="s">
        <v>557</v>
      </c>
      <c r="D1267" s="452">
        <v>46054</v>
      </c>
      <c r="E1267">
        <v>18991</v>
      </c>
      <c r="F1267" t="s">
        <v>4815</v>
      </c>
      <c r="G1267">
        <v>2900</v>
      </c>
      <c r="H1267">
        <v>5.0999999999999996</v>
      </c>
      <c r="I1267" t="s">
        <v>4744</v>
      </c>
      <c r="J1267" t="s">
        <v>5191</v>
      </c>
      <c r="K1267" t="s">
        <v>459</v>
      </c>
      <c r="L1267">
        <v>42.42</v>
      </c>
      <c r="M1267" s="452">
        <v>46036</v>
      </c>
      <c r="N1267">
        <v>42.42</v>
      </c>
      <c r="O1267">
        <v>42.42</v>
      </c>
      <c r="P1267">
        <v>216.34</v>
      </c>
    </row>
    <row r="1268" spans="1:16" x14ac:dyDescent="0.3">
      <c r="A1268">
        <v>73094</v>
      </c>
      <c r="B1268">
        <v>105</v>
      </c>
      <c r="C1268" t="s">
        <v>557</v>
      </c>
      <c r="D1268" s="452">
        <v>46054</v>
      </c>
      <c r="E1268">
        <v>20549</v>
      </c>
      <c r="F1268" t="s">
        <v>4823</v>
      </c>
      <c r="G1268">
        <v>2141</v>
      </c>
      <c r="H1268">
        <v>10.6</v>
      </c>
      <c r="I1268" t="s">
        <v>4744</v>
      </c>
      <c r="J1268" t="s">
        <v>5191</v>
      </c>
      <c r="K1268" t="s">
        <v>459</v>
      </c>
      <c r="L1268">
        <v>0</v>
      </c>
      <c r="M1268" s="452">
        <v>46000</v>
      </c>
      <c r="N1268">
        <v>19.989999999999998</v>
      </c>
      <c r="O1268">
        <v>19.989999999999998</v>
      </c>
      <c r="P1268">
        <v>211.89</v>
      </c>
    </row>
    <row r="1269" spans="1:16" x14ac:dyDescent="0.3">
      <c r="A1269">
        <v>73096</v>
      </c>
      <c r="B1269">
        <v>105</v>
      </c>
      <c r="C1269" t="s">
        <v>557</v>
      </c>
      <c r="D1269" s="452">
        <v>46054</v>
      </c>
      <c r="E1269">
        <v>20301</v>
      </c>
      <c r="F1269" t="s">
        <v>4944</v>
      </c>
      <c r="G1269">
        <v>2223</v>
      </c>
      <c r="H1269">
        <v>10</v>
      </c>
      <c r="I1269" t="s">
        <v>4738</v>
      </c>
      <c r="J1269" t="s">
        <v>5191</v>
      </c>
      <c r="K1269" t="s">
        <v>459</v>
      </c>
      <c r="L1269">
        <v>20.77</v>
      </c>
      <c r="M1269" s="452">
        <v>46052</v>
      </c>
      <c r="N1269">
        <v>20.75</v>
      </c>
      <c r="O1269">
        <v>20.75</v>
      </c>
      <c r="P1269">
        <v>207.7</v>
      </c>
    </row>
    <row r="1270" spans="1:16" x14ac:dyDescent="0.3">
      <c r="A1270">
        <v>73209</v>
      </c>
      <c r="B1270">
        <v>105</v>
      </c>
      <c r="C1270" t="s">
        <v>557</v>
      </c>
      <c r="D1270" s="452">
        <v>46054</v>
      </c>
      <c r="E1270">
        <v>18233</v>
      </c>
      <c r="F1270" t="s">
        <v>4970</v>
      </c>
      <c r="G1270">
        <v>3395</v>
      </c>
      <c r="H1270">
        <v>2.12</v>
      </c>
      <c r="I1270" t="s">
        <v>4805</v>
      </c>
      <c r="J1270" t="s">
        <v>5222</v>
      </c>
      <c r="K1270" t="s">
        <v>459</v>
      </c>
      <c r="L1270">
        <v>0</v>
      </c>
      <c r="M1270" s="452">
        <v>46000</v>
      </c>
      <c r="N1270">
        <v>97.9</v>
      </c>
      <c r="O1270">
        <v>98</v>
      </c>
      <c r="P1270">
        <v>207.55</v>
      </c>
    </row>
    <row r="1271" spans="1:16" x14ac:dyDescent="0.3">
      <c r="A1271">
        <v>73119</v>
      </c>
      <c r="B1271">
        <v>105</v>
      </c>
      <c r="C1271" t="s">
        <v>557</v>
      </c>
      <c r="D1271" s="452">
        <v>46054</v>
      </c>
      <c r="E1271">
        <v>22721</v>
      </c>
      <c r="F1271" t="s">
        <v>4803</v>
      </c>
      <c r="G1271">
        <v>3033</v>
      </c>
      <c r="H1271">
        <v>7.26</v>
      </c>
      <c r="I1271" t="s">
        <v>4744</v>
      </c>
      <c r="J1271" t="s">
        <v>5191</v>
      </c>
      <c r="K1271" t="s">
        <v>459</v>
      </c>
      <c r="L1271">
        <v>28.3</v>
      </c>
      <c r="M1271" s="452">
        <v>46052</v>
      </c>
      <c r="N1271">
        <v>28.3</v>
      </c>
      <c r="O1271">
        <v>28.3</v>
      </c>
      <c r="P1271">
        <v>205.46</v>
      </c>
    </row>
    <row r="1272" spans="1:16" x14ac:dyDescent="0.3">
      <c r="A1272">
        <v>73117</v>
      </c>
      <c r="B1272">
        <v>105</v>
      </c>
      <c r="C1272" t="s">
        <v>557</v>
      </c>
      <c r="D1272" s="452">
        <v>46054</v>
      </c>
      <c r="E1272">
        <v>20105</v>
      </c>
      <c r="F1272" t="s">
        <v>4831</v>
      </c>
      <c r="G1272">
        <v>2298</v>
      </c>
      <c r="H1272">
        <v>7.5</v>
      </c>
      <c r="I1272" t="s">
        <v>4744</v>
      </c>
      <c r="J1272" t="s">
        <v>5191</v>
      </c>
      <c r="K1272" t="s">
        <v>459</v>
      </c>
      <c r="L1272">
        <v>26.29</v>
      </c>
      <c r="M1272" s="452">
        <v>46035</v>
      </c>
      <c r="N1272">
        <v>26.29</v>
      </c>
      <c r="O1272">
        <v>26.29</v>
      </c>
      <c r="P1272">
        <v>197.18</v>
      </c>
    </row>
    <row r="1273" spans="1:16" x14ac:dyDescent="0.3">
      <c r="A1273">
        <v>73201</v>
      </c>
      <c r="B1273">
        <v>105</v>
      </c>
      <c r="C1273" t="s">
        <v>557</v>
      </c>
      <c r="D1273" s="452">
        <v>46054</v>
      </c>
      <c r="E1273">
        <v>23494</v>
      </c>
      <c r="F1273" t="s">
        <v>4991</v>
      </c>
      <c r="G1273">
        <v>2375</v>
      </c>
      <c r="H1273">
        <v>2.5</v>
      </c>
      <c r="I1273" t="s">
        <v>4744</v>
      </c>
      <c r="J1273" t="s">
        <v>5191</v>
      </c>
      <c r="K1273" t="s">
        <v>459</v>
      </c>
      <c r="L1273">
        <v>0</v>
      </c>
      <c r="M1273" s="452">
        <v>45908</v>
      </c>
      <c r="N1273">
        <v>78</v>
      </c>
      <c r="O1273">
        <v>52.6</v>
      </c>
      <c r="P1273">
        <v>195</v>
      </c>
    </row>
    <row r="1274" spans="1:16" x14ac:dyDescent="0.3">
      <c r="A1274">
        <v>73258</v>
      </c>
      <c r="B1274">
        <v>105</v>
      </c>
      <c r="C1274" t="s">
        <v>557</v>
      </c>
      <c r="D1274" s="452">
        <v>46054</v>
      </c>
      <c r="E1274">
        <v>18394</v>
      </c>
      <c r="F1274" t="s">
        <v>5032</v>
      </c>
      <c r="G1274">
        <v>3246</v>
      </c>
      <c r="H1274">
        <v>1.4</v>
      </c>
      <c r="I1274" t="s">
        <v>4805</v>
      </c>
      <c r="J1274" t="s">
        <v>5222</v>
      </c>
      <c r="K1274" t="s">
        <v>459</v>
      </c>
      <c r="L1274">
        <v>0</v>
      </c>
      <c r="M1274" s="452">
        <v>45867</v>
      </c>
      <c r="N1274">
        <v>132.36000000000001</v>
      </c>
      <c r="O1274">
        <v>132</v>
      </c>
      <c r="P1274">
        <v>185.3</v>
      </c>
    </row>
    <row r="1275" spans="1:16" x14ac:dyDescent="0.3">
      <c r="A1275">
        <v>73243</v>
      </c>
      <c r="B1275">
        <v>105</v>
      </c>
      <c r="C1275" t="s">
        <v>557</v>
      </c>
      <c r="D1275" s="452">
        <v>46054</v>
      </c>
      <c r="E1275">
        <v>18538</v>
      </c>
      <c r="F1275" t="s">
        <v>5030</v>
      </c>
      <c r="G1275">
        <v>3139</v>
      </c>
      <c r="H1275">
        <v>1.75</v>
      </c>
      <c r="I1275" t="s">
        <v>4805</v>
      </c>
      <c r="J1275" t="s">
        <v>5222</v>
      </c>
      <c r="K1275" t="s">
        <v>459</v>
      </c>
      <c r="L1275">
        <v>104.9</v>
      </c>
      <c r="M1275" s="452">
        <v>46028</v>
      </c>
      <c r="N1275">
        <v>104.9</v>
      </c>
      <c r="O1275">
        <v>104.9</v>
      </c>
      <c r="P1275">
        <v>183.58</v>
      </c>
    </row>
    <row r="1276" spans="1:16" x14ac:dyDescent="0.3">
      <c r="A1276">
        <v>73086</v>
      </c>
      <c r="B1276">
        <v>105</v>
      </c>
      <c r="C1276" t="s">
        <v>557</v>
      </c>
      <c r="D1276" s="452">
        <v>46054</v>
      </c>
      <c r="E1276">
        <v>19964</v>
      </c>
      <c r="F1276" t="s">
        <v>4817</v>
      </c>
      <c r="G1276">
        <v>2356</v>
      </c>
      <c r="H1276">
        <v>12</v>
      </c>
      <c r="I1276" t="s">
        <v>4736</v>
      </c>
      <c r="J1276" t="s">
        <v>5191</v>
      </c>
      <c r="K1276" t="s">
        <v>459</v>
      </c>
      <c r="L1276">
        <v>0</v>
      </c>
      <c r="M1276" s="452">
        <v>45677</v>
      </c>
      <c r="N1276">
        <v>14.96</v>
      </c>
      <c r="O1276">
        <v>14.96</v>
      </c>
      <c r="P1276">
        <v>179.52</v>
      </c>
    </row>
    <row r="1277" spans="1:16" x14ac:dyDescent="0.3">
      <c r="A1277">
        <v>73199</v>
      </c>
      <c r="B1277">
        <v>105</v>
      </c>
      <c r="C1277" t="s">
        <v>557</v>
      </c>
      <c r="D1277" s="452">
        <v>46054</v>
      </c>
      <c r="E1277">
        <v>17658</v>
      </c>
      <c r="F1277" t="s">
        <v>4978</v>
      </c>
      <c r="G1277">
        <v>3871</v>
      </c>
      <c r="H1277">
        <v>3</v>
      </c>
      <c r="I1277" t="s">
        <v>4805</v>
      </c>
      <c r="J1277" t="s">
        <v>5222</v>
      </c>
      <c r="K1277" t="s">
        <v>459</v>
      </c>
      <c r="L1277">
        <v>58</v>
      </c>
      <c r="M1277" s="452">
        <v>46051</v>
      </c>
      <c r="N1277">
        <v>58</v>
      </c>
      <c r="O1277">
        <v>58</v>
      </c>
      <c r="P1277">
        <v>174</v>
      </c>
    </row>
    <row r="1278" spans="1:16" x14ac:dyDescent="0.3">
      <c r="A1278">
        <v>73206</v>
      </c>
      <c r="B1278">
        <v>105</v>
      </c>
      <c r="C1278" t="s">
        <v>557</v>
      </c>
      <c r="D1278" s="452">
        <v>46054</v>
      </c>
      <c r="E1278">
        <v>23082</v>
      </c>
      <c r="F1278" t="s">
        <v>4904</v>
      </c>
      <c r="G1278">
        <v>2763</v>
      </c>
      <c r="H1278">
        <v>2.2000000000000002</v>
      </c>
      <c r="I1278" t="s">
        <v>4744</v>
      </c>
      <c r="J1278" t="s">
        <v>5191</v>
      </c>
      <c r="K1278" t="s">
        <v>459</v>
      </c>
      <c r="L1278">
        <v>0</v>
      </c>
      <c r="M1278" s="452">
        <v>45849</v>
      </c>
      <c r="N1278">
        <v>78.900000000000006</v>
      </c>
      <c r="O1278">
        <v>78.900000000000006</v>
      </c>
      <c r="P1278">
        <v>173.58</v>
      </c>
    </row>
    <row r="1279" spans="1:16" x14ac:dyDescent="0.3">
      <c r="A1279">
        <v>73157</v>
      </c>
      <c r="B1279">
        <v>105</v>
      </c>
      <c r="C1279" t="s">
        <v>557</v>
      </c>
      <c r="D1279" s="452">
        <v>46054</v>
      </c>
      <c r="E1279">
        <v>18547</v>
      </c>
      <c r="F1279" t="s">
        <v>4863</v>
      </c>
      <c r="G1279">
        <v>3132</v>
      </c>
      <c r="H1279">
        <v>4.76</v>
      </c>
      <c r="I1279" t="s">
        <v>4805</v>
      </c>
      <c r="J1279" t="s">
        <v>5222</v>
      </c>
      <c r="K1279" t="s">
        <v>459</v>
      </c>
      <c r="L1279">
        <v>36.270000000000003</v>
      </c>
      <c r="M1279" s="452">
        <v>46035</v>
      </c>
      <c r="N1279">
        <v>36.5</v>
      </c>
      <c r="O1279">
        <v>36.99</v>
      </c>
      <c r="P1279">
        <v>172.65</v>
      </c>
    </row>
    <row r="1280" spans="1:16" x14ac:dyDescent="0.3">
      <c r="A1280">
        <v>73147</v>
      </c>
      <c r="B1280">
        <v>105</v>
      </c>
      <c r="C1280" t="s">
        <v>557</v>
      </c>
      <c r="D1280" s="452">
        <v>46054</v>
      </c>
      <c r="E1280">
        <v>19439</v>
      </c>
      <c r="F1280" t="s">
        <v>4917</v>
      </c>
      <c r="G1280">
        <v>2756</v>
      </c>
      <c r="H1280">
        <v>5</v>
      </c>
      <c r="I1280" t="s">
        <v>4744</v>
      </c>
      <c r="J1280" t="s">
        <v>5191</v>
      </c>
      <c r="K1280" t="s">
        <v>459</v>
      </c>
      <c r="L1280">
        <v>33.380000000000003</v>
      </c>
      <c r="M1280" s="452">
        <v>46051</v>
      </c>
      <c r="N1280">
        <v>33.380000000000003</v>
      </c>
      <c r="O1280">
        <v>33.380000000000003</v>
      </c>
      <c r="P1280">
        <v>166.9</v>
      </c>
    </row>
    <row r="1281" spans="1:16" x14ac:dyDescent="0.3">
      <c r="A1281">
        <v>73114</v>
      </c>
      <c r="B1281">
        <v>105</v>
      </c>
      <c r="C1281" t="s">
        <v>557</v>
      </c>
      <c r="D1281" s="452">
        <v>46054</v>
      </c>
      <c r="E1281">
        <v>23515</v>
      </c>
      <c r="F1281" t="s">
        <v>4816</v>
      </c>
      <c r="G1281">
        <v>2353</v>
      </c>
      <c r="H1281">
        <v>8</v>
      </c>
      <c r="I1281" t="s">
        <v>4736</v>
      </c>
      <c r="J1281" t="s">
        <v>5191</v>
      </c>
      <c r="K1281" t="s">
        <v>459</v>
      </c>
      <c r="L1281">
        <v>0</v>
      </c>
      <c r="M1281" s="452">
        <v>45999</v>
      </c>
      <c r="N1281">
        <v>20.8</v>
      </c>
      <c r="O1281">
        <v>19.27</v>
      </c>
      <c r="P1281">
        <v>166.4</v>
      </c>
    </row>
    <row r="1282" spans="1:16" x14ac:dyDescent="0.3">
      <c r="A1282">
        <v>73155</v>
      </c>
      <c r="B1282">
        <v>105</v>
      </c>
      <c r="C1282" t="s">
        <v>557</v>
      </c>
      <c r="D1282" s="452">
        <v>46054</v>
      </c>
      <c r="E1282">
        <v>24320</v>
      </c>
      <c r="F1282" t="s">
        <v>4861</v>
      </c>
      <c r="G1282">
        <v>2942</v>
      </c>
      <c r="H1282">
        <v>4.9000000000000004</v>
      </c>
      <c r="I1282" t="s">
        <v>4744</v>
      </c>
      <c r="J1282" t="s">
        <v>5191</v>
      </c>
      <c r="K1282" t="s">
        <v>459</v>
      </c>
      <c r="L1282">
        <v>33.799999999999997</v>
      </c>
      <c r="M1282" s="452">
        <v>46049</v>
      </c>
      <c r="N1282">
        <v>33.799999999999997</v>
      </c>
      <c r="O1282">
        <v>33.799999999999997</v>
      </c>
      <c r="P1282">
        <v>165.62</v>
      </c>
    </row>
    <row r="1283" spans="1:16" x14ac:dyDescent="0.3">
      <c r="A1283">
        <v>73045</v>
      </c>
      <c r="B1283">
        <v>105</v>
      </c>
      <c r="C1283" t="s">
        <v>557</v>
      </c>
      <c r="D1283" s="452">
        <v>46054</v>
      </c>
      <c r="E1283">
        <v>18004</v>
      </c>
      <c r="F1283" t="s">
        <v>5093</v>
      </c>
      <c r="G1283">
        <v>3592</v>
      </c>
      <c r="H1283">
        <v>5.5</v>
      </c>
      <c r="I1283" t="s">
        <v>4738</v>
      </c>
      <c r="J1283" t="s">
        <v>5222</v>
      </c>
      <c r="K1283" t="s">
        <v>459</v>
      </c>
      <c r="L1283">
        <v>0</v>
      </c>
      <c r="M1283" s="452">
        <v>46001</v>
      </c>
      <c r="N1283">
        <v>29.64</v>
      </c>
      <c r="O1283">
        <v>23.11</v>
      </c>
      <c r="P1283">
        <v>163.02000000000001</v>
      </c>
    </row>
    <row r="1284" spans="1:16" x14ac:dyDescent="0.3">
      <c r="A1284">
        <v>73058</v>
      </c>
      <c r="B1284">
        <v>105</v>
      </c>
      <c r="C1284" t="s">
        <v>557</v>
      </c>
      <c r="D1284" s="452">
        <v>46054</v>
      </c>
      <c r="E1284">
        <v>19532</v>
      </c>
      <c r="F1284" t="s">
        <v>4753</v>
      </c>
      <c r="G1284">
        <v>2683</v>
      </c>
      <c r="H1284">
        <v>25</v>
      </c>
      <c r="I1284" t="s">
        <v>4744</v>
      </c>
      <c r="J1284" t="s">
        <v>5191</v>
      </c>
      <c r="K1284" t="s">
        <v>459</v>
      </c>
      <c r="L1284">
        <v>6.47</v>
      </c>
      <c r="M1284" s="452">
        <v>46053</v>
      </c>
      <c r="N1284">
        <v>9.65</v>
      </c>
      <c r="O1284">
        <v>9.65</v>
      </c>
      <c r="P1284">
        <v>161.75</v>
      </c>
    </row>
    <row r="1285" spans="1:16" x14ac:dyDescent="0.3">
      <c r="A1285">
        <v>73259</v>
      </c>
      <c r="B1285">
        <v>105</v>
      </c>
      <c r="C1285" t="s">
        <v>557</v>
      </c>
      <c r="D1285" s="452">
        <v>46054</v>
      </c>
      <c r="E1285">
        <v>18129</v>
      </c>
      <c r="F1285" t="s">
        <v>5043</v>
      </c>
      <c r="G1285">
        <v>3486</v>
      </c>
      <c r="H1285">
        <v>1.4</v>
      </c>
      <c r="I1285" t="s">
        <v>4805</v>
      </c>
      <c r="J1285" t="s">
        <v>5222</v>
      </c>
      <c r="K1285" t="s">
        <v>459</v>
      </c>
      <c r="L1285">
        <v>114</v>
      </c>
      <c r="M1285" s="452">
        <v>46027</v>
      </c>
      <c r="N1285">
        <v>114</v>
      </c>
      <c r="O1285">
        <v>116</v>
      </c>
      <c r="P1285">
        <v>159.6</v>
      </c>
    </row>
    <row r="1286" spans="1:16" x14ac:dyDescent="0.3">
      <c r="A1286">
        <v>73236</v>
      </c>
      <c r="B1286">
        <v>105</v>
      </c>
      <c r="C1286" t="s">
        <v>557</v>
      </c>
      <c r="D1286" s="452">
        <v>46054</v>
      </c>
      <c r="E1286">
        <v>24973</v>
      </c>
      <c r="F1286" t="s">
        <v>4819</v>
      </c>
      <c r="G1286">
        <v>5845</v>
      </c>
      <c r="H1286">
        <v>2</v>
      </c>
      <c r="I1286" t="s">
        <v>4738</v>
      </c>
      <c r="J1286" t="s">
        <v>5222</v>
      </c>
      <c r="K1286" t="s">
        <v>459</v>
      </c>
      <c r="L1286">
        <v>79.64</v>
      </c>
      <c r="M1286" s="452">
        <v>46046</v>
      </c>
      <c r="N1286">
        <v>79.64</v>
      </c>
      <c r="O1286">
        <v>79.64</v>
      </c>
      <c r="P1286">
        <v>159.28</v>
      </c>
    </row>
    <row r="1287" spans="1:16" x14ac:dyDescent="0.3">
      <c r="A1287">
        <v>73213</v>
      </c>
      <c r="B1287">
        <v>105</v>
      </c>
      <c r="C1287" t="s">
        <v>557</v>
      </c>
      <c r="D1287" s="452">
        <v>46054</v>
      </c>
      <c r="E1287">
        <v>20756</v>
      </c>
      <c r="F1287" t="s">
        <v>5001</v>
      </c>
      <c r="G1287">
        <v>2086</v>
      </c>
      <c r="H1287">
        <v>2</v>
      </c>
      <c r="I1287" t="s">
        <v>4736</v>
      </c>
      <c r="J1287" t="s">
        <v>5191</v>
      </c>
      <c r="K1287" t="s">
        <v>459</v>
      </c>
      <c r="L1287">
        <v>0</v>
      </c>
      <c r="M1287" s="452">
        <v>45607</v>
      </c>
      <c r="N1287">
        <v>79.2</v>
      </c>
      <c r="O1287">
        <v>78.900000000000006</v>
      </c>
      <c r="P1287">
        <v>158.4</v>
      </c>
    </row>
    <row r="1288" spans="1:16" x14ac:dyDescent="0.3">
      <c r="A1288">
        <v>73250</v>
      </c>
      <c r="B1288">
        <v>105</v>
      </c>
      <c r="C1288" t="s">
        <v>557</v>
      </c>
      <c r="D1288" s="452">
        <v>46054</v>
      </c>
      <c r="E1288">
        <v>20751</v>
      </c>
      <c r="F1288" t="s">
        <v>5004</v>
      </c>
      <c r="G1288">
        <v>2088</v>
      </c>
      <c r="H1288">
        <v>1.5</v>
      </c>
      <c r="I1288" t="s">
        <v>4884</v>
      </c>
      <c r="J1288" t="s">
        <v>5191</v>
      </c>
      <c r="K1288" t="s">
        <v>459</v>
      </c>
      <c r="L1288">
        <v>103.9</v>
      </c>
      <c r="M1288" s="452">
        <v>46051</v>
      </c>
      <c r="N1288">
        <v>103.9</v>
      </c>
      <c r="O1288">
        <v>103.9</v>
      </c>
      <c r="P1288">
        <v>155.85</v>
      </c>
    </row>
    <row r="1289" spans="1:16" x14ac:dyDescent="0.3">
      <c r="A1289">
        <v>73242</v>
      </c>
      <c r="B1289">
        <v>105</v>
      </c>
      <c r="C1289" t="s">
        <v>557</v>
      </c>
      <c r="D1289" s="452">
        <v>46054</v>
      </c>
      <c r="E1289">
        <v>26150</v>
      </c>
      <c r="F1289" t="s">
        <v>5105</v>
      </c>
      <c r="G1289">
        <v>3409</v>
      </c>
      <c r="H1289">
        <v>1.78</v>
      </c>
      <c r="I1289" t="s">
        <v>4805</v>
      </c>
      <c r="J1289" t="s">
        <v>5222</v>
      </c>
      <c r="K1289" t="s">
        <v>459</v>
      </c>
      <c r="L1289">
        <v>86.5</v>
      </c>
      <c r="M1289" s="452">
        <v>46027</v>
      </c>
      <c r="N1289">
        <v>86.5</v>
      </c>
      <c r="O1289">
        <v>86.5</v>
      </c>
      <c r="P1289">
        <v>153.97</v>
      </c>
    </row>
    <row r="1290" spans="1:16" x14ac:dyDescent="0.3">
      <c r="A1290">
        <v>73173</v>
      </c>
      <c r="B1290">
        <v>105</v>
      </c>
      <c r="C1290" t="s">
        <v>557</v>
      </c>
      <c r="D1290" s="452">
        <v>46054</v>
      </c>
      <c r="E1290">
        <v>16973</v>
      </c>
      <c r="F1290" t="s">
        <v>4827</v>
      </c>
      <c r="G1290">
        <v>3710</v>
      </c>
      <c r="H1290">
        <v>4</v>
      </c>
      <c r="I1290" t="s">
        <v>4749</v>
      </c>
      <c r="J1290" t="s">
        <v>5222</v>
      </c>
      <c r="K1290" t="s">
        <v>459</v>
      </c>
      <c r="L1290">
        <v>0</v>
      </c>
      <c r="M1290" s="452">
        <v>45740</v>
      </c>
      <c r="N1290">
        <v>0</v>
      </c>
      <c r="O1290">
        <v>135</v>
      </c>
      <c r="P1290">
        <v>152</v>
      </c>
    </row>
    <row r="1291" spans="1:16" x14ac:dyDescent="0.3">
      <c r="A1291">
        <v>73110</v>
      </c>
      <c r="B1291">
        <v>105</v>
      </c>
      <c r="C1291" t="s">
        <v>557</v>
      </c>
      <c r="D1291" s="452">
        <v>46054</v>
      </c>
      <c r="E1291">
        <v>21257</v>
      </c>
      <c r="F1291" t="s">
        <v>4952</v>
      </c>
      <c r="G1291">
        <v>2187</v>
      </c>
      <c r="H1291">
        <v>8</v>
      </c>
      <c r="I1291" t="s">
        <v>4736</v>
      </c>
      <c r="J1291" t="s">
        <v>5191</v>
      </c>
      <c r="K1291" t="s">
        <v>459</v>
      </c>
      <c r="L1291">
        <v>18.75</v>
      </c>
      <c r="M1291" s="452">
        <v>46041</v>
      </c>
      <c r="N1291">
        <v>18.75</v>
      </c>
      <c r="O1291">
        <v>18.600000000000001</v>
      </c>
      <c r="P1291">
        <v>150</v>
      </c>
    </row>
    <row r="1292" spans="1:16" x14ac:dyDescent="0.3">
      <c r="A1292">
        <v>73266</v>
      </c>
      <c r="B1292">
        <v>105</v>
      </c>
      <c r="C1292" t="s">
        <v>557</v>
      </c>
      <c r="D1292" s="452">
        <v>46054</v>
      </c>
      <c r="E1292">
        <v>18295</v>
      </c>
      <c r="F1292" t="s">
        <v>4968</v>
      </c>
      <c r="G1292">
        <v>3334</v>
      </c>
      <c r="H1292">
        <v>1.2</v>
      </c>
      <c r="I1292" t="s">
        <v>4805</v>
      </c>
      <c r="J1292" t="s">
        <v>5222</v>
      </c>
      <c r="K1292" t="s">
        <v>459</v>
      </c>
      <c r="L1292">
        <v>0</v>
      </c>
      <c r="M1292" s="452">
        <v>45979</v>
      </c>
      <c r="N1292">
        <v>124.54</v>
      </c>
      <c r="O1292">
        <v>124.54</v>
      </c>
      <c r="P1292">
        <v>149.44999999999999</v>
      </c>
    </row>
    <row r="1293" spans="1:16" x14ac:dyDescent="0.3">
      <c r="A1293">
        <v>73194</v>
      </c>
      <c r="B1293">
        <v>105</v>
      </c>
      <c r="C1293" t="s">
        <v>557</v>
      </c>
      <c r="D1293" s="452">
        <v>46054</v>
      </c>
      <c r="E1293">
        <v>19967</v>
      </c>
      <c r="F1293" t="s">
        <v>4956</v>
      </c>
      <c r="G1293">
        <v>2356</v>
      </c>
      <c r="H1293">
        <v>3</v>
      </c>
      <c r="I1293" t="s">
        <v>4888</v>
      </c>
      <c r="J1293" t="s">
        <v>5191</v>
      </c>
      <c r="K1293" t="s">
        <v>459</v>
      </c>
      <c r="L1293">
        <v>49.62</v>
      </c>
      <c r="M1293" s="452">
        <v>46045</v>
      </c>
      <c r="N1293">
        <v>49.1</v>
      </c>
      <c r="O1293">
        <v>49.09</v>
      </c>
      <c r="P1293">
        <v>148.86000000000001</v>
      </c>
    </row>
    <row r="1294" spans="1:16" x14ac:dyDescent="0.3">
      <c r="A1294">
        <v>73268</v>
      </c>
      <c r="B1294">
        <v>105</v>
      </c>
      <c r="C1294" t="s">
        <v>557</v>
      </c>
      <c r="D1294" s="452">
        <v>46054</v>
      </c>
      <c r="E1294">
        <v>18293</v>
      </c>
      <c r="F1294" t="s">
        <v>5034</v>
      </c>
      <c r="G1294">
        <v>3336</v>
      </c>
      <c r="H1294">
        <v>1.1000000000000001</v>
      </c>
      <c r="I1294" t="s">
        <v>4805</v>
      </c>
      <c r="J1294" t="s">
        <v>5222</v>
      </c>
      <c r="K1294" t="s">
        <v>459</v>
      </c>
      <c r="L1294">
        <v>0</v>
      </c>
      <c r="M1294" s="452">
        <v>46007</v>
      </c>
      <c r="N1294">
        <v>132.77000000000001</v>
      </c>
      <c r="O1294">
        <v>129.85</v>
      </c>
      <c r="P1294">
        <v>146.05000000000001</v>
      </c>
    </row>
    <row r="1295" spans="1:16" x14ac:dyDescent="0.3">
      <c r="A1295">
        <v>73166</v>
      </c>
      <c r="B1295">
        <v>105</v>
      </c>
      <c r="C1295" t="s">
        <v>557</v>
      </c>
      <c r="D1295" s="452">
        <v>46054</v>
      </c>
      <c r="E1295">
        <v>20689</v>
      </c>
      <c r="F1295" t="s">
        <v>5007</v>
      </c>
      <c r="G1295">
        <v>2105</v>
      </c>
      <c r="H1295">
        <v>4</v>
      </c>
      <c r="I1295" t="s">
        <v>4736</v>
      </c>
      <c r="J1295" t="s">
        <v>5191</v>
      </c>
      <c r="K1295" t="s">
        <v>459</v>
      </c>
      <c r="L1295">
        <v>36.1</v>
      </c>
      <c r="M1295" s="452">
        <v>46051</v>
      </c>
      <c r="N1295">
        <v>34.9</v>
      </c>
      <c r="O1295">
        <v>34.51</v>
      </c>
      <c r="P1295">
        <v>144.4</v>
      </c>
    </row>
    <row r="1296" spans="1:16" x14ac:dyDescent="0.3">
      <c r="A1296">
        <v>73260</v>
      </c>
      <c r="B1296">
        <v>105</v>
      </c>
      <c r="C1296" t="s">
        <v>557</v>
      </c>
      <c r="D1296" s="452">
        <v>46054</v>
      </c>
      <c r="E1296">
        <v>18548</v>
      </c>
      <c r="F1296" t="s">
        <v>5029</v>
      </c>
      <c r="G1296">
        <v>3131</v>
      </c>
      <c r="H1296">
        <v>1.34</v>
      </c>
      <c r="I1296" t="s">
        <v>4805</v>
      </c>
      <c r="J1296" t="s">
        <v>5222</v>
      </c>
      <c r="K1296" t="s">
        <v>459</v>
      </c>
      <c r="L1296">
        <v>0</v>
      </c>
      <c r="M1296" s="452">
        <v>45853</v>
      </c>
      <c r="N1296">
        <v>106</v>
      </c>
      <c r="O1296">
        <v>93.9</v>
      </c>
      <c r="P1296">
        <v>142.04</v>
      </c>
    </row>
    <row r="1297" spans="1:16" x14ac:dyDescent="0.3">
      <c r="A1297">
        <v>73064</v>
      </c>
      <c r="B1297">
        <v>105</v>
      </c>
      <c r="C1297" t="s">
        <v>557</v>
      </c>
      <c r="D1297" s="452">
        <v>46054</v>
      </c>
      <c r="E1297">
        <v>27018</v>
      </c>
      <c r="F1297" t="s">
        <v>4737</v>
      </c>
      <c r="G1297">
        <v>7070</v>
      </c>
      <c r="H1297">
        <v>1.75</v>
      </c>
      <c r="I1297" t="s">
        <v>4738</v>
      </c>
      <c r="J1297" t="s">
        <v>5222</v>
      </c>
      <c r="K1297" t="s">
        <v>459</v>
      </c>
      <c r="L1297">
        <v>0</v>
      </c>
      <c r="M1297" s="452">
        <v>45978</v>
      </c>
      <c r="N1297">
        <v>79.64</v>
      </c>
      <c r="O1297">
        <v>79.64</v>
      </c>
      <c r="P1297">
        <v>139.37</v>
      </c>
    </row>
    <row r="1298" spans="1:16" x14ac:dyDescent="0.3">
      <c r="A1298">
        <v>73245</v>
      </c>
      <c r="B1298">
        <v>105</v>
      </c>
      <c r="C1298" t="s">
        <v>557</v>
      </c>
      <c r="D1298" s="452">
        <v>46054</v>
      </c>
      <c r="E1298">
        <v>18116</v>
      </c>
      <c r="F1298" t="s">
        <v>5045</v>
      </c>
      <c r="G1298">
        <v>3496</v>
      </c>
      <c r="H1298">
        <v>1.6</v>
      </c>
      <c r="I1298" t="s">
        <v>4805</v>
      </c>
      <c r="J1298" t="s">
        <v>5222</v>
      </c>
      <c r="K1298" t="s">
        <v>459</v>
      </c>
      <c r="L1298">
        <v>86.9</v>
      </c>
      <c r="M1298" s="452">
        <v>46050</v>
      </c>
      <c r="N1298">
        <v>86.9</v>
      </c>
      <c r="O1298">
        <v>86.75</v>
      </c>
      <c r="P1298">
        <v>139.04</v>
      </c>
    </row>
    <row r="1299" spans="1:16" x14ac:dyDescent="0.3">
      <c r="A1299">
        <v>73227</v>
      </c>
      <c r="B1299">
        <v>105</v>
      </c>
      <c r="C1299" t="s">
        <v>557</v>
      </c>
      <c r="D1299" s="452">
        <v>46054</v>
      </c>
      <c r="E1299">
        <v>20624</v>
      </c>
      <c r="F1299" t="s">
        <v>5019</v>
      </c>
      <c r="G1299">
        <v>2116</v>
      </c>
      <c r="H1299">
        <v>2</v>
      </c>
      <c r="I1299" t="s">
        <v>4884</v>
      </c>
      <c r="J1299" t="s">
        <v>5191</v>
      </c>
      <c r="K1299" t="s">
        <v>459</v>
      </c>
      <c r="L1299">
        <v>68.58</v>
      </c>
      <c r="M1299" s="452">
        <v>46051</v>
      </c>
      <c r="N1299">
        <v>69.900000000000006</v>
      </c>
      <c r="O1299">
        <v>69.900000000000006</v>
      </c>
      <c r="P1299">
        <v>137.16</v>
      </c>
    </row>
    <row r="1300" spans="1:16" x14ac:dyDescent="0.3">
      <c r="A1300">
        <v>73171</v>
      </c>
      <c r="B1300">
        <v>105</v>
      </c>
      <c r="C1300" t="s">
        <v>557</v>
      </c>
      <c r="D1300" s="452">
        <v>46054</v>
      </c>
      <c r="E1300">
        <v>19765</v>
      </c>
      <c r="F1300" t="s">
        <v>4889</v>
      </c>
      <c r="G1300">
        <v>2488</v>
      </c>
      <c r="H1300">
        <v>4</v>
      </c>
      <c r="I1300" t="s">
        <v>4744</v>
      </c>
      <c r="J1300" t="s">
        <v>5191</v>
      </c>
      <c r="K1300" t="s">
        <v>459</v>
      </c>
      <c r="L1300">
        <v>34.08</v>
      </c>
      <c r="M1300" s="452">
        <v>46051</v>
      </c>
      <c r="N1300">
        <v>34.08</v>
      </c>
      <c r="O1300">
        <v>34.08</v>
      </c>
      <c r="P1300">
        <v>136.32</v>
      </c>
    </row>
    <row r="1301" spans="1:16" x14ac:dyDescent="0.3">
      <c r="A1301">
        <v>73298</v>
      </c>
      <c r="B1301">
        <v>105</v>
      </c>
      <c r="C1301" t="s">
        <v>557</v>
      </c>
      <c r="D1301" s="452">
        <v>46054</v>
      </c>
      <c r="E1301">
        <v>18312</v>
      </c>
      <c r="F1301" t="s">
        <v>5037</v>
      </c>
      <c r="G1301">
        <v>3321</v>
      </c>
      <c r="H1301">
        <v>1</v>
      </c>
      <c r="I1301" t="s">
        <v>4805</v>
      </c>
      <c r="J1301" t="s">
        <v>5222</v>
      </c>
      <c r="K1301" t="s">
        <v>459</v>
      </c>
      <c r="L1301">
        <v>0</v>
      </c>
      <c r="N1301">
        <v>0</v>
      </c>
      <c r="O1301">
        <v>86.57</v>
      </c>
      <c r="P1301">
        <v>135.9</v>
      </c>
    </row>
    <row r="1302" spans="1:16" x14ac:dyDescent="0.3">
      <c r="A1302">
        <v>73077</v>
      </c>
      <c r="B1302">
        <v>105</v>
      </c>
      <c r="C1302" t="s">
        <v>557</v>
      </c>
      <c r="D1302" s="452">
        <v>46054</v>
      </c>
      <c r="E1302">
        <v>26103</v>
      </c>
      <c r="F1302" t="s">
        <v>4776</v>
      </c>
      <c r="G1302">
        <v>9072</v>
      </c>
      <c r="H1302">
        <v>14</v>
      </c>
      <c r="I1302" t="s">
        <v>4749</v>
      </c>
      <c r="J1302" t="s">
        <v>5191</v>
      </c>
      <c r="K1302" t="s">
        <v>459</v>
      </c>
      <c r="L1302">
        <v>0</v>
      </c>
      <c r="M1302" s="452">
        <v>45918</v>
      </c>
      <c r="N1302">
        <v>9.44</v>
      </c>
      <c r="O1302">
        <v>9.44</v>
      </c>
      <c r="P1302">
        <v>132.12</v>
      </c>
    </row>
    <row r="1303" spans="1:16" x14ac:dyDescent="0.3">
      <c r="A1303">
        <v>73039</v>
      </c>
      <c r="B1303">
        <v>105</v>
      </c>
      <c r="C1303" t="s">
        <v>557</v>
      </c>
      <c r="D1303" s="452">
        <v>46054</v>
      </c>
      <c r="E1303">
        <v>23095</v>
      </c>
      <c r="F1303" t="s">
        <v>4741</v>
      </c>
      <c r="G1303">
        <v>2754</v>
      </c>
      <c r="H1303">
        <v>138</v>
      </c>
      <c r="I1303" t="s">
        <v>4736</v>
      </c>
      <c r="J1303" t="s">
        <v>5191</v>
      </c>
      <c r="K1303" t="s">
        <v>459</v>
      </c>
      <c r="L1303">
        <v>0.94</v>
      </c>
      <c r="M1303" s="452">
        <v>46051</v>
      </c>
      <c r="N1303">
        <v>0.94</v>
      </c>
      <c r="O1303">
        <v>0.94</v>
      </c>
      <c r="P1303">
        <v>129.72</v>
      </c>
    </row>
    <row r="1304" spans="1:16" x14ac:dyDescent="0.3">
      <c r="A1304">
        <v>73108</v>
      </c>
      <c r="B1304">
        <v>105</v>
      </c>
      <c r="C1304" t="s">
        <v>557</v>
      </c>
      <c r="D1304" s="452">
        <v>46054</v>
      </c>
      <c r="E1304">
        <v>19734</v>
      </c>
      <c r="F1304" t="s">
        <v>4833</v>
      </c>
      <c r="G1304">
        <v>2519</v>
      </c>
      <c r="H1304">
        <v>8.1999999999999993</v>
      </c>
      <c r="I1304" t="s">
        <v>4744</v>
      </c>
      <c r="J1304" t="s">
        <v>5191</v>
      </c>
      <c r="K1304" t="s">
        <v>459</v>
      </c>
      <c r="L1304">
        <v>15.81</v>
      </c>
      <c r="M1304" s="452">
        <v>46052</v>
      </c>
      <c r="N1304">
        <v>15</v>
      </c>
      <c r="O1304">
        <v>15</v>
      </c>
      <c r="P1304">
        <v>129.63999999999999</v>
      </c>
    </row>
    <row r="1305" spans="1:16" x14ac:dyDescent="0.3">
      <c r="A1305">
        <v>73101</v>
      </c>
      <c r="B1305">
        <v>105</v>
      </c>
      <c r="C1305" t="s">
        <v>557</v>
      </c>
      <c r="D1305" s="452">
        <v>46054</v>
      </c>
      <c r="E1305">
        <v>19041</v>
      </c>
      <c r="F1305" t="s">
        <v>4762</v>
      </c>
      <c r="G1305">
        <v>2890</v>
      </c>
      <c r="H1305">
        <v>9.1999999999999993</v>
      </c>
      <c r="I1305" t="s">
        <v>4744</v>
      </c>
      <c r="J1305" t="s">
        <v>5191</v>
      </c>
      <c r="K1305" t="s">
        <v>459</v>
      </c>
      <c r="L1305">
        <v>14.07</v>
      </c>
      <c r="M1305" s="452">
        <v>46049</v>
      </c>
      <c r="N1305">
        <v>14.9</v>
      </c>
      <c r="O1305">
        <v>14.9</v>
      </c>
      <c r="P1305">
        <v>129.44</v>
      </c>
    </row>
    <row r="1306" spans="1:16" x14ac:dyDescent="0.3">
      <c r="A1306">
        <v>73083</v>
      </c>
      <c r="B1306">
        <v>105</v>
      </c>
      <c r="C1306" t="s">
        <v>557</v>
      </c>
      <c r="D1306" s="452">
        <v>46054</v>
      </c>
      <c r="E1306">
        <v>25758</v>
      </c>
      <c r="F1306" t="s">
        <v>4775</v>
      </c>
      <c r="G1306">
        <v>9066</v>
      </c>
      <c r="H1306">
        <v>12</v>
      </c>
      <c r="I1306" t="s">
        <v>4736</v>
      </c>
      <c r="J1306" t="s">
        <v>5191</v>
      </c>
      <c r="K1306" t="s">
        <v>459</v>
      </c>
      <c r="L1306">
        <v>0</v>
      </c>
      <c r="M1306" s="452">
        <v>45918</v>
      </c>
      <c r="N1306">
        <v>10.71</v>
      </c>
      <c r="O1306">
        <v>10.71</v>
      </c>
      <c r="P1306">
        <v>128.52000000000001</v>
      </c>
    </row>
    <row r="1307" spans="1:16" x14ac:dyDescent="0.3">
      <c r="A1307">
        <v>73303</v>
      </c>
      <c r="B1307">
        <v>105</v>
      </c>
      <c r="C1307" t="s">
        <v>557</v>
      </c>
      <c r="D1307" s="452">
        <v>46054</v>
      </c>
      <c r="E1307">
        <v>26236</v>
      </c>
      <c r="F1307" t="s">
        <v>5077</v>
      </c>
      <c r="G1307">
        <v>6638</v>
      </c>
      <c r="H1307">
        <v>1</v>
      </c>
      <c r="I1307" t="s">
        <v>4805</v>
      </c>
      <c r="J1307" t="s">
        <v>5222</v>
      </c>
      <c r="K1307" t="s">
        <v>459</v>
      </c>
      <c r="L1307">
        <v>128.05000000000001</v>
      </c>
      <c r="M1307" s="452">
        <v>46027</v>
      </c>
      <c r="N1307">
        <v>128.05000000000001</v>
      </c>
      <c r="O1307">
        <v>128.05000000000001</v>
      </c>
      <c r="P1307">
        <v>128.05000000000001</v>
      </c>
    </row>
    <row r="1308" spans="1:16" x14ac:dyDescent="0.3">
      <c r="A1308">
        <v>73106</v>
      </c>
      <c r="B1308">
        <v>105</v>
      </c>
      <c r="C1308" t="s">
        <v>557</v>
      </c>
      <c r="D1308" s="452">
        <v>46054</v>
      </c>
      <c r="E1308">
        <v>20242</v>
      </c>
      <c r="F1308" t="s">
        <v>4824</v>
      </c>
      <c r="G1308">
        <v>2242</v>
      </c>
      <c r="H1308">
        <v>9</v>
      </c>
      <c r="I1308" t="s">
        <v>4738</v>
      </c>
      <c r="J1308" t="s">
        <v>5191</v>
      </c>
      <c r="K1308" t="s">
        <v>459</v>
      </c>
      <c r="L1308">
        <v>14.16</v>
      </c>
      <c r="M1308" s="452">
        <v>46051</v>
      </c>
      <c r="N1308">
        <v>14.1</v>
      </c>
      <c r="O1308">
        <v>14.1</v>
      </c>
      <c r="P1308">
        <v>127.44</v>
      </c>
    </row>
    <row r="1309" spans="1:16" x14ac:dyDescent="0.3">
      <c r="A1309">
        <v>73265</v>
      </c>
      <c r="B1309">
        <v>105</v>
      </c>
      <c r="C1309" t="s">
        <v>557</v>
      </c>
      <c r="D1309" s="452">
        <v>46054</v>
      </c>
      <c r="E1309">
        <v>18327</v>
      </c>
      <c r="F1309" t="s">
        <v>5035</v>
      </c>
      <c r="G1309">
        <v>3306</v>
      </c>
      <c r="H1309">
        <v>1.2</v>
      </c>
      <c r="I1309" t="s">
        <v>4805</v>
      </c>
      <c r="J1309" t="s">
        <v>5222</v>
      </c>
      <c r="K1309" t="s">
        <v>459</v>
      </c>
      <c r="L1309">
        <v>105.9</v>
      </c>
      <c r="M1309" s="452">
        <v>46049</v>
      </c>
      <c r="N1309">
        <v>105.9</v>
      </c>
      <c r="O1309">
        <v>109.18</v>
      </c>
      <c r="P1309">
        <v>127.08</v>
      </c>
    </row>
    <row r="1310" spans="1:16" x14ac:dyDescent="0.3">
      <c r="A1310">
        <v>73068</v>
      </c>
      <c r="B1310">
        <v>105</v>
      </c>
      <c r="C1310" t="s">
        <v>557</v>
      </c>
      <c r="D1310" s="452">
        <v>46054</v>
      </c>
      <c r="E1310">
        <v>19634</v>
      </c>
      <c r="F1310" t="s">
        <v>4792</v>
      </c>
      <c r="G1310">
        <v>2602</v>
      </c>
      <c r="H1310">
        <v>18.7</v>
      </c>
      <c r="I1310" t="s">
        <v>4744</v>
      </c>
      <c r="J1310" t="s">
        <v>5191</v>
      </c>
      <c r="K1310" t="s">
        <v>459</v>
      </c>
      <c r="L1310">
        <v>6.76</v>
      </c>
      <c r="M1310" s="452">
        <v>46053</v>
      </c>
      <c r="N1310">
        <v>7.97</v>
      </c>
      <c r="O1310">
        <v>7.61</v>
      </c>
      <c r="P1310">
        <v>126.41</v>
      </c>
    </row>
    <row r="1311" spans="1:16" x14ac:dyDescent="0.3">
      <c r="A1311">
        <v>73054</v>
      </c>
      <c r="B1311">
        <v>105</v>
      </c>
      <c r="C1311" t="s">
        <v>557</v>
      </c>
      <c r="D1311" s="452">
        <v>46054</v>
      </c>
      <c r="E1311">
        <v>21093</v>
      </c>
      <c r="F1311" t="s">
        <v>4855</v>
      </c>
      <c r="G1311">
        <v>1988</v>
      </c>
      <c r="H1311">
        <v>27</v>
      </c>
      <c r="I1311" t="s">
        <v>4744</v>
      </c>
      <c r="J1311" t="s">
        <v>5191</v>
      </c>
      <c r="K1311" t="s">
        <v>459</v>
      </c>
      <c r="L1311">
        <v>4.67</v>
      </c>
      <c r="M1311" s="452">
        <v>46052</v>
      </c>
      <c r="N1311">
        <v>4.6399999999999997</v>
      </c>
      <c r="O1311">
        <v>4.6399999999999997</v>
      </c>
      <c r="P1311">
        <v>126.09</v>
      </c>
    </row>
    <row r="1312" spans="1:16" x14ac:dyDescent="0.3">
      <c r="A1312">
        <v>73048</v>
      </c>
      <c r="B1312">
        <v>105</v>
      </c>
      <c r="C1312" t="s">
        <v>557</v>
      </c>
      <c r="D1312" s="452">
        <v>46054</v>
      </c>
      <c r="E1312">
        <v>18006</v>
      </c>
      <c r="F1312" t="s">
        <v>5094</v>
      </c>
      <c r="G1312">
        <v>3591</v>
      </c>
      <c r="H1312">
        <v>4.25</v>
      </c>
      <c r="I1312" t="s">
        <v>4738</v>
      </c>
      <c r="J1312" t="s">
        <v>5222</v>
      </c>
      <c r="K1312" t="s">
        <v>459</v>
      </c>
      <c r="L1312">
        <v>29.64</v>
      </c>
      <c r="M1312" s="452">
        <v>46046</v>
      </c>
      <c r="N1312">
        <v>29.64</v>
      </c>
      <c r="O1312">
        <v>24.09</v>
      </c>
      <c r="P1312">
        <v>125.97</v>
      </c>
    </row>
    <row r="1313" spans="1:16" x14ac:dyDescent="0.3">
      <c r="A1313">
        <v>73191</v>
      </c>
      <c r="B1313">
        <v>105</v>
      </c>
      <c r="C1313" t="s">
        <v>557</v>
      </c>
      <c r="D1313" s="452">
        <v>46054</v>
      </c>
      <c r="E1313">
        <v>20057</v>
      </c>
      <c r="F1313" t="s">
        <v>4949</v>
      </c>
      <c r="G1313">
        <v>2324</v>
      </c>
      <c r="H1313">
        <v>3</v>
      </c>
      <c r="I1313" t="s">
        <v>4736</v>
      </c>
      <c r="J1313" t="s">
        <v>5191</v>
      </c>
      <c r="K1313" t="s">
        <v>459</v>
      </c>
      <c r="L1313">
        <v>41.99</v>
      </c>
      <c r="M1313" s="452">
        <v>46045</v>
      </c>
      <c r="N1313">
        <v>41.99</v>
      </c>
      <c r="O1313">
        <v>42.25</v>
      </c>
      <c r="P1313">
        <v>125.97</v>
      </c>
    </row>
    <row r="1314" spans="1:16" x14ac:dyDescent="0.3">
      <c r="A1314">
        <v>73095</v>
      </c>
      <c r="B1314">
        <v>105</v>
      </c>
      <c r="C1314" t="s">
        <v>557</v>
      </c>
      <c r="D1314" s="452">
        <v>46054</v>
      </c>
      <c r="E1314">
        <v>19740</v>
      </c>
      <c r="F1314" t="s">
        <v>4779</v>
      </c>
      <c r="G1314">
        <v>2513</v>
      </c>
      <c r="H1314">
        <v>10.3</v>
      </c>
      <c r="I1314" t="s">
        <v>4744</v>
      </c>
      <c r="J1314" t="s">
        <v>5191</v>
      </c>
      <c r="K1314" t="s">
        <v>459</v>
      </c>
      <c r="L1314">
        <v>12.2</v>
      </c>
      <c r="M1314" s="452">
        <v>46051</v>
      </c>
      <c r="N1314">
        <v>8.5</v>
      </c>
      <c r="O1314">
        <v>8.5</v>
      </c>
      <c r="P1314">
        <v>125.66</v>
      </c>
    </row>
    <row r="1315" spans="1:16" x14ac:dyDescent="0.3">
      <c r="A1315">
        <v>73092</v>
      </c>
      <c r="B1315">
        <v>105</v>
      </c>
      <c r="C1315" t="s">
        <v>557</v>
      </c>
      <c r="D1315" s="452">
        <v>46054</v>
      </c>
      <c r="E1315">
        <v>19751</v>
      </c>
      <c r="F1315" t="s">
        <v>4800</v>
      </c>
      <c r="G1315">
        <v>2502</v>
      </c>
      <c r="H1315">
        <v>10.86</v>
      </c>
      <c r="I1315" t="s">
        <v>4744</v>
      </c>
      <c r="J1315" t="s">
        <v>5191</v>
      </c>
      <c r="K1315" t="s">
        <v>459</v>
      </c>
      <c r="L1315">
        <v>11.37</v>
      </c>
      <c r="M1315" s="452">
        <v>46051</v>
      </c>
      <c r="N1315">
        <v>12.98</v>
      </c>
      <c r="O1315">
        <v>10.88</v>
      </c>
      <c r="P1315">
        <v>123.48</v>
      </c>
    </row>
    <row r="1316" spans="1:16" x14ac:dyDescent="0.3">
      <c r="A1316">
        <v>73042</v>
      </c>
      <c r="B1316">
        <v>105</v>
      </c>
      <c r="C1316" t="s">
        <v>557</v>
      </c>
      <c r="D1316" s="452">
        <v>46054</v>
      </c>
      <c r="E1316">
        <v>17950</v>
      </c>
      <c r="F1316" t="s">
        <v>5091</v>
      </c>
      <c r="G1316">
        <v>3626</v>
      </c>
      <c r="H1316">
        <v>6.75</v>
      </c>
      <c r="I1316" t="s">
        <v>4738</v>
      </c>
      <c r="J1316" t="s">
        <v>5222</v>
      </c>
      <c r="K1316" t="s">
        <v>459</v>
      </c>
      <c r="L1316">
        <v>18.260000000000002</v>
      </c>
      <c r="M1316" s="452">
        <v>46048</v>
      </c>
      <c r="N1316">
        <v>18.7</v>
      </c>
      <c r="O1316">
        <v>18.7</v>
      </c>
      <c r="P1316">
        <v>123.26</v>
      </c>
    </row>
    <row r="1317" spans="1:16" x14ac:dyDescent="0.3">
      <c r="A1317">
        <v>73210</v>
      </c>
      <c r="B1317">
        <v>105</v>
      </c>
      <c r="C1317" t="s">
        <v>557</v>
      </c>
      <c r="D1317" s="452">
        <v>46054</v>
      </c>
      <c r="E1317">
        <v>18945</v>
      </c>
      <c r="F1317" t="s">
        <v>4768</v>
      </c>
      <c r="G1317">
        <v>2929</v>
      </c>
      <c r="H1317">
        <v>2.1</v>
      </c>
      <c r="I1317" t="s">
        <v>4744</v>
      </c>
      <c r="J1317" t="s">
        <v>5191</v>
      </c>
      <c r="K1317" t="s">
        <v>459</v>
      </c>
      <c r="L1317">
        <v>58.25</v>
      </c>
      <c r="M1317" s="452">
        <v>46036</v>
      </c>
      <c r="N1317">
        <v>58.25</v>
      </c>
      <c r="O1317">
        <v>58.25</v>
      </c>
      <c r="P1317">
        <v>122.32</v>
      </c>
    </row>
    <row r="1318" spans="1:16" x14ac:dyDescent="0.3">
      <c r="A1318">
        <v>73141</v>
      </c>
      <c r="B1318">
        <v>105</v>
      </c>
      <c r="C1318" t="s">
        <v>557</v>
      </c>
      <c r="D1318" s="452">
        <v>46054</v>
      </c>
      <c r="E1318">
        <v>20501</v>
      </c>
      <c r="F1318" t="s">
        <v>4760</v>
      </c>
      <c r="G1318">
        <v>2154</v>
      </c>
      <c r="H1318">
        <v>5.4</v>
      </c>
      <c r="I1318" t="s">
        <v>4744</v>
      </c>
      <c r="J1318" t="s">
        <v>5191</v>
      </c>
      <c r="K1318" t="s">
        <v>459</v>
      </c>
      <c r="L1318">
        <v>22.34</v>
      </c>
      <c r="M1318" s="452">
        <v>46041</v>
      </c>
      <c r="N1318">
        <v>21</v>
      </c>
      <c r="O1318">
        <v>23.5</v>
      </c>
      <c r="P1318">
        <v>120.64</v>
      </c>
    </row>
    <row r="1319" spans="1:16" x14ac:dyDescent="0.3">
      <c r="A1319">
        <v>73089</v>
      </c>
      <c r="B1319">
        <v>105</v>
      </c>
      <c r="C1319" t="s">
        <v>557</v>
      </c>
      <c r="D1319" s="452">
        <v>46054</v>
      </c>
      <c r="E1319">
        <v>20054</v>
      </c>
      <c r="F1319" t="s">
        <v>4856</v>
      </c>
      <c r="G1319">
        <v>2325</v>
      </c>
      <c r="H1319">
        <v>11</v>
      </c>
      <c r="I1319" t="s">
        <v>4736</v>
      </c>
      <c r="J1319" t="s">
        <v>5191</v>
      </c>
      <c r="K1319" t="s">
        <v>459</v>
      </c>
      <c r="L1319">
        <v>0</v>
      </c>
      <c r="M1319" s="452">
        <v>45968</v>
      </c>
      <c r="N1319">
        <v>10.92</v>
      </c>
      <c r="O1319">
        <v>11.4</v>
      </c>
      <c r="P1319">
        <v>120.12</v>
      </c>
    </row>
    <row r="1320" spans="1:16" x14ac:dyDescent="0.3">
      <c r="A1320">
        <v>73222</v>
      </c>
      <c r="B1320">
        <v>105</v>
      </c>
      <c r="C1320" t="s">
        <v>557</v>
      </c>
      <c r="D1320" s="452">
        <v>46054</v>
      </c>
      <c r="E1320">
        <v>20660</v>
      </c>
      <c r="F1320" t="s">
        <v>5011</v>
      </c>
      <c r="G1320">
        <v>2110</v>
      </c>
      <c r="H1320">
        <v>2</v>
      </c>
      <c r="I1320" t="s">
        <v>4955</v>
      </c>
      <c r="J1320" t="s">
        <v>5191</v>
      </c>
      <c r="K1320" t="s">
        <v>459</v>
      </c>
      <c r="L1320">
        <v>59.9</v>
      </c>
      <c r="M1320" s="452">
        <v>46051</v>
      </c>
      <c r="N1320">
        <v>59.9</v>
      </c>
      <c r="O1320">
        <v>59.9</v>
      </c>
      <c r="P1320">
        <v>119.8</v>
      </c>
    </row>
    <row r="1321" spans="1:16" x14ac:dyDescent="0.3">
      <c r="A1321">
        <v>73216</v>
      </c>
      <c r="B1321">
        <v>105</v>
      </c>
      <c r="C1321" t="s">
        <v>557</v>
      </c>
      <c r="D1321" s="452">
        <v>46054</v>
      </c>
      <c r="E1321">
        <v>23808</v>
      </c>
      <c r="F1321" t="s">
        <v>4982</v>
      </c>
      <c r="G1321">
        <v>2096</v>
      </c>
      <c r="H1321">
        <v>2</v>
      </c>
      <c r="I1321" t="s">
        <v>4744</v>
      </c>
      <c r="J1321" t="s">
        <v>5191</v>
      </c>
      <c r="K1321" t="s">
        <v>459</v>
      </c>
      <c r="L1321">
        <v>59.75</v>
      </c>
      <c r="M1321" s="452">
        <v>46052</v>
      </c>
      <c r="N1321">
        <v>63.9</v>
      </c>
      <c r="O1321">
        <v>63.9</v>
      </c>
      <c r="P1321">
        <v>119.5</v>
      </c>
    </row>
    <row r="1322" spans="1:16" x14ac:dyDescent="0.3">
      <c r="A1322">
        <v>73121</v>
      </c>
      <c r="B1322">
        <v>105</v>
      </c>
      <c r="C1322" t="s">
        <v>557</v>
      </c>
      <c r="D1322" s="452">
        <v>46054</v>
      </c>
      <c r="E1322">
        <v>19502</v>
      </c>
      <c r="F1322" t="s">
        <v>4871</v>
      </c>
      <c r="G1322">
        <v>2708</v>
      </c>
      <c r="H1322">
        <v>7.11</v>
      </c>
      <c r="I1322" t="s">
        <v>4744</v>
      </c>
      <c r="J1322" t="s">
        <v>5191</v>
      </c>
      <c r="K1322" t="s">
        <v>459</v>
      </c>
      <c r="L1322">
        <v>16.8</v>
      </c>
      <c r="M1322" s="452">
        <v>46053</v>
      </c>
      <c r="N1322">
        <v>18.13</v>
      </c>
      <c r="O1322">
        <v>18.13</v>
      </c>
      <c r="P1322">
        <v>119.45</v>
      </c>
    </row>
    <row r="1323" spans="1:16" x14ac:dyDescent="0.3">
      <c r="A1323">
        <v>73072</v>
      </c>
      <c r="B1323">
        <v>105</v>
      </c>
      <c r="C1323" t="s">
        <v>557</v>
      </c>
      <c r="D1323" s="452">
        <v>46054</v>
      </c>
      <c r="E1323">
        <v>25167</v>
      </c>
      <c r="F1323" t="s">
        <v>4758</v>
      </c>
      <c r="G1323">
        <v>5930</v>
      </c>
      <c r="H1323">
        <v>15</v>
      </c>
      <c r="I1323" t="s">
        <v>4744</v>
      </c>
      <c r="J1323" t="s">
        <v>5191</v>
      </c>
      <c r="K1323" t="s">
        <v>459</v>
      </c>
      <c r="L1323">
        <v>0</v>
      </c>
      <c r="M1323" s="452">
        <v>45833</v>
      </c>
      <c r="N1323">
        <v>7.9</v>
      </c>
      <c r="O1323">
        <v>7.9</v>
      </c>
      <c r="P1323">
        <v>118.5</v>
      </c>
    </row>
    <row r="1324" spans="1:16" x14ac:dyDescent="0.3">
      <c r="A1324">
        <v>73129</v>
      </c>
      <c r="B1324">
        <v>105</v>
      </c>
      <c r="C1324" t="s">
        <v>557</v>
      </c>
      <c r="D1324" s="452">
        <v>46054</v>
      </c>
      <c r="E1324">
        <v>25205</v>
      </c>
      <c r="F1324" t="s">
        <v>4850</v>
      </c>
      <c r="G1324">
        <v>5944</v>
      </c>
      <c r="H1324">
        <v>6.34</v>
      </c>
      <c r="I1324" t="s">
        <v>4744</v>
      </c>
      <c r="J1324" t="s">
        <v>5191</v>
      </c>
      <c r="K1324" t="s">
        <v>459</v>
      </c>
      <c r="L1324">
        <v>18.5</v>
      </c>
      <c r="M1324" s="452">
        <v>46041</v>
      </c>
      <c r="N1324">
        <v>18.5</v>
      </c>
      <c r="O1324">
        <v>18.5</v>
      </c>
      <c r="P1324">
        <v>117.29</v>
      </c>
    </row>
    <row r="1325" spans="1:16" x14ac:dyDescent="0.3">
      <c r="A1325">
        <v>73076</v>
      </c>
      <c r="B1325">
        <v>105</v>
      </c>
      <c r="C1325" t="s">
        <v>557</v>
      </c>
      <c r="D1325" s="452">
        <v>46054</v>
      </c>
      <c r="E1325">
        <v>25762</v>
      </c>
      <c r="F1325" t="s">
        <v>4770</v>
      </c>
      <c r="G1325">
        <v>9070</v>
      </c>
      <c r="H1325">
        <v>14</v>
      </c>
      <c r="I1325" t="s">
        <v>4736</v>
      </c>
      <c r="J1325" t="s">
        <v>5191</v>
      </c>
      <c r="K1325" t="s">
        <v>459</v>
      </c>
      <c r="L1325">
        <v>0</v>
      </c>
      <c r="M1325" s="452">
        <v>45922</v>
      </c>
      <c r="N1325">
        <v>8.36</v>
      </c>
      <c r="O1325">
        <v>8.36</v>
      </c>
      <c r="P1325">
        <v>117.04</v>
      </c>
    </row>
    <row r="1326" spans="1:16" x14ac:dyDescent="0.3">
      <c r="A1326">
        <v>73112</v>
      </c>
      <c r="B1326">
        <v>105</v>
      </c>
      <c r="C1326" t="s">
        <v>557</v>
      </c>
      <c r="D1326" s="452">
        <v>46054</v>
      </c>
      <c r="E1326">
        <v>20122</v>
      </c>
      <c r="F1326" t="s">
        <v>4781</v>
      </c>
      <c r="G1326">
        <v>2290</v>
      </c>
      <c r="H1326">
        <v>8</v>
      </c>
      <c r="I1326" t="s">
        <v>4738</v>
      </c>
      <c r="J1326" t="s">
        <v>5191</v>
      </c>
      <c r="K1326" t="s">
        <v>459</v>
      </c>
      <c r="L1326">
        <v>14.6</v>
      </c>
      <c r="M1326" s="452">
        <v>46041</v>
      </c>
      <c r="N1326">
        <v>14.6</v>
      </c>
      <c r="O1326">
        <v>14.6</v>
      </c>
      <c r="P1326">
        <v>116.8</v>
      </c>
    </row>
    <row r="1327" spans="1:16" x14ac:dyDescent="0.3">
      <c r="A1327">
        <v>73061</v>
      </c>
      <c r="B1327">
        <v>105</v>
      </c>
      <c r="C1327" t="s">
        <v>557</v>
      </c>
      <c r="D1327" s="452">
        <v>46054</v>
      </c>
      <c r="E1327">
        <v>19787</v>
      </c>
      <c r="F1327" t="s">
        <v>4793</v>
      </c>
      <c r="G1327">
        <v>2471</v>
      </c>
      <c r="H1327">
        <v>22.62</v>
      </c>
      <c r="I1327" t="s">
        <v>4744</v>
      </c>
      <c r="J1327" t="s">
        <v>5191</v>
      </c>
      <c r="K1327" t="s">
        <v>459</v>
      </c>
      <c r="L1327">
        <v>5.03</v>
      </c>
      <c r="M1327" s="452">
        <v>46051</v>
      </c>
      <c r="N1327">
        <v>4.8</v>
      </c>
      <c r="O1327">
        <v>4.8</v>
      </c>
      <c r="P1327">
        <v>113.78</v>
      </c>
    </row>
    <row r="1328" spans="1:16" x14ac:dyDescent="0.3">
      <c r="A1328">
        <v>73203</v>
      </c>
      <c r="B1328">
        <v>105</v>
      </c>
      <c r="C1328" t="s">
        <v>557</v>
      </c>
      <c r="D1328" s="452">
        <v>46054</v>
      </c>
      <c r="E1328">
        <v>19401</v>
      </c>
      <c r="F1328" t="s">
        <v>4809</v>
      </c>
      <c r="G1328">
        <v>2761</v>
      </c>
      <c r="H1328">
        <v>2.33</v>
      </c>
      <c r="I1328" t="s">
        <v>4744</v>
      </c>
      <c r="J1328" t="s">
        <v>5191</v>
      </c>
      <c r="K1328" t="s">
        <v>459</v>
      </c>
      <c r="L1328">
        <v>0</v>
      </c>
      <c r="M1328" s="452">
        <v>45831</v>
      </c>
      <c r="N1328">
        <v>47.9</v>
      </c>
      <c r="O1328">
        <v>49.58</v>
      </c>
      <c r="P1328">
        <v>111.61</v>
      </c>
    </row>
    <row r="1329" spans="1:16" x14ac:dyDescent="0.3">
      <c r="A1329">
        <v>73158</v>
      </c>
      <c r="B1329">
        <v>105</v>
      </c>
      <c r="C1329" t="s">
        <v>557</v>
      </c>
      <c r="D1329" s="452">
        <v>46054</v>
      </c>
      <c r="E1329">
        <v>19472</v>
      </c>
      <c r="F1329" t="s">
        <v>4906</v>
      </c>
      <c r="G1329">
        <v>2733</v>
      </c>
      <c r="H1329">
        <v>4.75</v>
      </c>
      <c r="I1329" t="s">
        <v>4744</v>
      </c>
      <c r="J1329" t="s">
        <v>5191</v>
      </c>
      <c r="K1329" t="s">
        <v>459</v>
      </c>
      <c r="L1329">
        <v>22.93</v>
      </c>
      <c r="M1329" s="452">
        <v>46053</v>
      </c>
      <c r="N1329">
        <v>27</v>
      </c>
      <c r="O1329">
        <v>27</v>
      </c>
      <c r="P1329">
        <v>108.92</v>
      </c>
    </row>
    <row r="1330" spans="1:16" x14ac:dyDescent="0.3">
      <c r="A1330">
        <v>73300</v>
      </c>
      <c r="B1330">
        <v>105</v>
      </c>
      <c r="C1330" t="s">
        <v>557</v>
      </c>
      <c r="D1330" s="452">
        <v>46054</v>
      </c>
      <c r="E1330">
        <v>18146</v>
      </c>
      <c r="F1330" t="s">
        <v>5112</v>
      </c>
      <c r="G1330">
        <v>3471</v>
      </c>
      <c r="H1330">
        <v>1</v>
      </c>
      <c r="I1330" t="s">
        <v>4805</v>
      </c>
      <c r="J1330" t="s">
        <v>5222</v>
      </c>
      <c r="K1330" t="s">
        <v>459</v>
      </c>
      <c r="L1330">
        <v>107.9</v>
      </c>
      <c r="M1330" s="452">
        <v>46030</v>
      </c>
      <c r="N1330">
        <v>107.9</v>
      </c>
      <c r="O1330">
        <v>107.9</v>
      </c>
      <c r="P1330">
        <v>107.9</v>
      </c>
    </row>
    <row r="1331" spans="1:16" x14ac:dyDescent="0.3">
      <c r="A1331">
        <v>73235</v>
      </c>
      <c r="B1331">
        <v>105</v>
      </c>
      <c r="C1331" t="s">
        <v>557</v>
      </c>
      <c r="D1331" s="452">
        <v>46054</v>
      </c>
      <c r="E1331">
        <v>19421</v>
      </c>
      <c r="F1331" t="s">
        <v>4918</v>
      </c>
      <c r="G1331">
        <v>2758</v>
      </c>
      <c r="H1331">
        <v>2</v>
      </c>
      <c r="I1331" t="s">
        <v>4749</v>
      </c>
      <c r="J1331" t="s">
        <v>5191</v>
      </c>
      <c r="K1331" t="s">
        <v>459</v>
      </c>
      <c r="L1331">
        <v>53</v>
      </c>
      <c r="M1331" s="452">
        <v>46045</v>
      </c>
      <c r="N1331">
        <v>52.98</v>
      </c>
      <c r="O1331">
        <v>53</v>
      </c>
      <c r="P1331">
        <v>106</v>
      </c>
    </row>
    <row r="1332" spans="1:16" x14ac:dyDescent="0.3">
      <c r="A1332">
        <v>73175</v>
      </c>
      <c r="B1332">
        <v>105</v>
      </c>
      <c r="C1332" t="s">
        <v>557</v>
      </c>
      <c r="D1332" s="452">
        <v>46054</v>
      </c>
      <c r="E1332">
        <v>17878</v>
      </c>
      <c r="F1332" t="s">
        <v>4926</v>
      </c>
      <c r="G1332">
        <v>3677</v>
      </c>
      <c r="H1332">
        <v>4</v>
      </c>
      <c r="I1332" t="s">
        <v>4736</v>
      </c>
      <c r="J1332" t="s">
        <v>5222</v>
      </c>
      <c r="K1332" t="s">
        <v>459</v>
      </c>
      <c r="L1332">
        <v>25.48</v>
      </c>
      <c r="M1332" s="452">
        <v>46049</v>
      </c>
      <c r="N1332">
        <v>25.48</v>
      </c>
      <c r="O1332">
        <v>23.8</v>
      </c>
      <c r="P1332">
        <v>101.92</v>
      </c>
    </row>
    <row r="1333" spans="1:16" x14ac:dyDescent="0.3">
      <c r="A1333">
        <v>73073</v>
      </c>
      <c r="B1333">
        <v>105</v>
      </c>
      <c r="C1333" t="s">
        <v>557</v>
      </c>
      <c r="D1333" s="452">
        <v>46054</v>
      </c>
      <c r="E1333">
        <v>17917</v>
      </c>
      <c r="F1333" t="s">
        <v>5098</v>
      </c>
      <c r="G1333">
        <v>3647</v>
      </c>
      <c r="H1333">
        <v>0.62</v>
      </c>
      <c r="I1333" t="s">
        <v>4738</v>
      </c>
      <c r="J1333" t="s">
        <v>5222</v>
      </c>
      <c r="K1333" t="s">
        <v>459</v>
      </c>
      <c r="L1333">
        <v>0</v>
      </c>
      <c r="M1333" s="452">
        <v>45646</v>
      </c>
      <c r="N1333">
        <v>163.68</v>
      </c>
      <c r="O1333">
        <v>154.13999999999999</v>
      </c>
      <c r="P1333">
        <v>101.48</v>
      </c>
    </row>
    <row r="1334" spans="1:16" x14ac:dyDescent="0.3">
      <c r="A1334">
        <v>73190</v>
      </c>
      <c r="B1334">
        <v>105</v>
      </c>
      <c r="C1334" t="s">
        <v>557</v>
      </c>
      <c r="D1334" s="452">
        <v>46054</v>
      </c>
      <c r="E1334">
        <v>20308</v>
      </c>
      <c r="F1334" t="s">
        <v>4909</v>
      </c>
      <c r="G1334">
        <v>2222</v>
      </c>
      <c r="H1334">
        <v>3</v>
      </c>
      <c r="I1334" t="s">
        <v>4738</v>
      </c>
      <c r="J1334" t="s">
        <v>5191</v>
      </c>
      <c r="K1334" t="s">
        <v>459</v>
      </c>
      <c r="L1334">
        <v>0</v>
      </c>
      <c r="M1334" s="452">
        <v>45831</v>
      </c>
      <c r="N1334">
        <v>33.799999999999997</v>
      </c>
      <c r="O1334">
        <v>24.9</v>
      </c>
      <c r="P1334">
        <v>101.4</v>
      </c>
    </row>
    <row r="1335" spans="1:16" x14ac:dyDescent="0.3">
      <c r="A1335">
        <v>73180</v>
      </c>
      <c r="B1335">
        <v>105</v>
      </c>
      <c r="C1335" t="s">
        <v>557</v>
      </c>
      <c r="D1335" s="452">
        <v>46054</v>
      </c>
      <c r="E1335">
        <v>18253</v>
      </c>
      <c r="F1335" t="s">
        <v>4969</v>
      </c>
      <c r="G1335">
        <v>3376</v>
      </c>
      <c r="H1335">
        <v>3.5</v>
      </c>
      <c r="I1335" t="s">
        <v>4805</v>
      </c>
      <c r="J1335" t="s">
        <v>5222</v>
      </c>
      <c r="K1335" t="s">
        <v>459</v>
      </c>
      <c r="L1335">
        <v>28.45</v>
      </c>
      <c r="M1335" s="452">
        <v>46050</v>
      </c>
      <c r="N1335">
        <v>28.31</v>
      </c>
      <c r="O1335">
        <v>28.31</v>
      </c>
      <c r="P1335">
        <v>99.58</v>
      </c>
    </row>
    <row r="1336" spans="1:16" x14ac:dyDescent="0.3">
      <c r="A1336">
        <v>73084</v>
      </c>
      <c r="B1336">
        <v>105</v>
      </c>
      <c r="C1336" t="s">
        <v>557</v>
      </c>
      <c r="D1336" s="452">
        <v>46054</v>
      </c>
      <c r="E1336">
        <v>25757</v>
      </c>
      <c r="F1336" t="s">
        <v>4763</v>
      </c>
      <c r="G1336">
        <v>6308</v>
      </c>
      <c r="H1336">
        <v>12</v>
      </c>
      <c r="I1336" t="s">
        <v>4736</v>
      </c>
      <c r="J1336" t="s">
        <v>5191</v>
      </c>
      <c r="K1336" t="s">
        <v>459</v>
      </c>
      <c r="L1336">
        <v>0</v>
      </c>
      <c r="M1336" s="452">
        <v>45922</v>
      </c>
      <c r="N1336">
        <v>7.99</v>
      </c>
      <c r="O1336">
        <v>7.99</v>
      </c>
      <c r="P1336">
        <v>95.88</v>
      </c>
    </row>
    <row r="1337" spans="1:16" x14ac:dyDescent="0.3">
      <c r="A1337">
        <v>73109</v>
      </c>
      <c r="B1337">
        <v>105</v>
      </c>
      <c r="C1337" t="s">
        <v>557</v>
      </c>
      <c r="D1337" s="452">
        <v>46054</v>
      </c>
      <c r="E1337">
        <v>20623</v>
      </c>
      <c r="F1337" t="s">
        <v>4814</v>
      </c>
      <c r="G1337">
        <v>2116</v>
      </c>
      <c r="H1337">
        <v>8.02</v>
      </c>
      <c r="I1337" t="s">
        <v>4736</v>
      </c>
      <c r="J1337" t="s">
        <v>5191</v>
      </c>
      <c r="K1337" t="s">
        <v>459</v>
      </c>
      <c r="L1337">
        <v>11.73</v>
      </c>
      <c r="M1337" s="452">
        <v>46048</v>
      </c>
      <c r="N1337">
        <v>11.07</v>
      </c>
      <c r="O1337">
        <v>11.07</v>
      </c>
      <c r="P1337">
        <v>94.07</v>
      </c>
    </row>
    <row r="1338" spans="1:16" x14ac:dyDescent="0.3">
      <c r="A1338">
        <v>73116</v>
      </c>
      <c r="B1338">
        <v>105</v>
      </c>
      <c r="C1338" t="s">
        <v>557</v>
      </c>
      <c r="D1338" s="452">
        <v>46054</v>
      </c>
      <c r="E1338">
        <v>23934</v>
      </c>
      <c r="F1338" t="s">
        <v>4845</v>
      </c>
      <c r="G1338">
        <v>1965</v>
      </c>
      <c r="H1338">
        <v>7.9</v>
      </c>
      <c r="I1338" t="s">
        <v>4744</v>
      </c>
      <c r="J1338" t="s">
        <v>5191</v>
      </c>
      <c r="K1338" t="s">
        <v>459</v>
      </c>
      <c r="L1338">
        <v>10.9</v>
      </c>
      <c r="M1338" s="452">
        <v>46049</v>
      </c>
      <c r="N1338">
        <v>10.9</v>
      </c>
      <c r="O1338">
        <v>10.9</v>
      </c>
      <c r="P1338">
        <v>86.11</v>
      </c>
    </row>
    <row r="1339" spans="1:16" x14ac:dyDescent="0.3">
      <c r="A1339">
        <v>73070</v>
      </c>
      <c r="B1339">
        <v>105</v>
      </c>
      <c r="C1339" t="s">
        <v>557</v>
      </c>
      <c r="D1339" s="452">
        <v>46054</v>
      </c>
      <c r="E1339">
        <v>18586</v>
      </c>
      <c r="F1339" t="s">
        <v>4966</v>
      </c>
      <c r="G1339">
        <v>3104</v>
      </c>
      <c r="H1339">
        <v>0.71</v>
      </c>
      <c r="I1339" t="s">
        <v>4738</v>
      </c>
      <c r="J1339" t="s">
        <v>5222</v>
      </c>
      <c r="K1339" t="s">
        <v>459</v>
      </c>
      <c r="L1339">
        <v>119.85</v>
      </c>
      <c r="M1339" s="452">
        <v>46046</v>
      </c>
      <c r="N1339">
        <v>132.07</v>
      </c>
      <c r="O1339">
        <v>110.72</v>
      </c>
      <c r="P1339">
        <v>85.09</v>
      </c>
    </row>
    <row r="1340" spans="1:16" x14ac:dyDescent="0.3">
      <c r="A1340">
        <v>73256</v>
      </c>
      <c r="B1340">
        <v>105</v>
      </c>
      <c r="C1340" t="s">
        <v>557</v>
      </c>
      <c r="D1340" s="452">
        <v>46054</v>
      </c>
      <c r="E1340">
        <v>18339</v>
      </c>
      <c r="F1340" t="s">
        <v>5033</v>
      </c>
      <c r="G1340">
        <v>3296</v>
      </c>
      <c r="H1340">
        <v>1.45</v>
      </c>
      <c r="I1340" t="s">
        <v>4805</v>
      </c>
      <c r="J1340" t="s">
        <v>5222</v>
      </c>
      <c r="K1340" t="s">
        <v>459</v>
      </c>
      <c r="L1340">
        <v>0</v>
      </c>
      <c r="N1340">
        <v>0</v>
      </c>
      <c r="O1340">
        <v>57.33</v>
      </c>
      <c r="P1340">
        <v>81.97</v>
      </c>
    </row>
    <row r="1341" spans="1:16" x14ac:dyDescent="0.3">
      <c r="A1341">
        <v>73067</v>
      </c>
      <c r="B1341">
        <v>105</v>
      </c>
      <c r="C1341" t="s">
        <v>557</v>
      </c>
      <c r="D1341" s="452">
        <v>46054</v>
      </c>
      <c r="E1341">
        <v>19623</v>
      </c>
      <c r="F1341" t="s">
        <v>4764</v>
      </c>
      <c r="G1341">
        <v>2611</v>
      </c>
      <c r="H1341">
        <v>18.84</v>
      </c>
      <c r="I1341" t="s">
        <v>4744</v>
      </c>
      <c r="J1341" t="s">
        <v>5191</v>
      </c>
      <c r="K1341" t="s">
        <v>459</v>
      </c>
      <c r="L1341">
        <v>4.29</v>
      </c>
      <c r="M1341" s="452">
        <v>46053</v>
      </c>
      <c r="N1341">
        <v>3.8</v>
      </c>
      <c r="O1341">
        <v>3.8</v>
      </c>
      <c r="P1341">
        <v>80.819999999999993</v>
      </c>
    </row>
    <row r="1342" spans="1:16" x14ac:dyDescent="0.3">
      <c r="A1342">
        <v>73111</v>
      </c>
      <c r="B1342">
        <v>105</v>
      </c>
      <c r="C1342" t="s">
        <v>557</v>
      </c>
      <c r="D1342" s="452">
        <v>46054</v>
      </c>
      <c r="E1342">
        <v>20227</v>
      </c>
      <c r="F1342" t="s">
        <v>4825</v>
      </c>
      <c r="G1342">
        <v>2248</v>
      </c>
      <c r="H1342">
        <v>8</v>
      </c>
      <c r="I1342" t="s">
        <v>4738</v>
      </c>
      <c r="J1342" t="s">
        <v>5191</v>
      </c>
      <c r="K1342" t="s">
        <v>459</v>
      </c>
      <c r="L1342">
        <v>10</v>
      </c>
      <c r="M1342" s="452">
        <v>46041</v>
      </c>
      <c r="N1342">
        <v>10</v>
      </c>
      <c r="O1342">
        <v>10</v>
      </c>
      <c r="P1342">
        <v>80</v>
      </c>
    </row>
    <row r="1343" spans="1:16" x14ac:dyDescent="0.3">
      <c r="A1343">
        <v>73294</v>
      </c>
      <c r="B1343">
        <v>105</v>
      </c>
      <c r="C1343" t="s">
        <v>557</v>
      </c>
      <c r="D1343" s="452">
        <v>46054</v>
      </c>
      <c r="E1343">
        <v>25050</v>
      </c>
      <c r="F1343" t="s">
        <v>5110</v>
      </c>
      <c r="G1343">
        <v>2763</v>
      </c>
      <c r="H1343">
        <v>1</v>
      </c>
      <c r="I1343" t="s">
        <v>4744</v>
      </c>
      <c r="J1343" t="s">
        <v>5191</v>
      </c>
      <c r="K1343" t="s">
        <v>459</v>
      </c>
      <c r="L1343">
        <v>78.900000000000006</v>
      </c>
      <c r="M1343" s="452">
        <v>46035</v>
      </c>
      <c r="N1343">
        <v>78.900000000000006</v>
      </c>
      <c r="O1343">
        <v>78.900000000000006</v>
      </c>
      <c r="P1343">
        <v>78.900000000000006</v>
      </c>
    </row>
    <row r="1344" spans="1:16" x14ac:dyDescent="0.3">
      <c r="A1344">
        <v>73248</v>
      </c>
      <c r="B1344">
        <v>105</v>
      </c>
      <c r="C1344" t="s">
        <v>557</v>
      </c>
      <c r="D1344" s="452">
        <v>46054</v>
      </c>
      <c r="E1344">
        <v>18462</v>
      </c>
      <c r="F1344" t="s">
        <v>5031</v>
      </c>
      <c r="G1344">
        <v>3193</v>
      </c>
      <c r="H1344">
        <v>1.55</v>
      </c>
      <c r="I1344" t="s">
        <v>4805</v>
      </c>
      <c r="J1344" t="s">
        <v>5222</v>
      </c>
      <c r="K1344" t="s">
        <v>459</v>
      </c>
      <c r="L1344">
        <v>0</v>
      </c>
      <c r="M1344" s="452">
        <v>46001</v>
      </c>
      <c r="N1344">
        <v>50.5</v>
      </c>
      <c r="O1344">
        <v>50.5</v>
      </c>
      <c r="P1344">
        <v>78.28</v>
      </c>
    </row>
    <row r="1345" spans="1:16" x14ac:dyDescent="0.3">
      <c r="A1345">
        <v>73185</v>
      </c>
      <c r="B1345">
        <v>105</v>
      </c>
      <c r="C1345" t="s">
        <v>557</v>
      </c>
      <c r="D1345" s="452">
        <v>46054</v>
      </c>
      <c r="E1345">
        <v>24081</v>
      </c>
      <c r="F1345" t="s">
        <v>4834</v>
      </c>
      <c r="G1345">
        <v>3034</v>
      </c>
      <c r="H1345">
        <v>3.1</v>
      </c>
      <c r="I1345" t="s">
        <v>4744</v>
      </c>
      <c r="J1345" t="s">
        <v>5191</v>
      </c>
      <c r="K1345" t="s">
        <v>459</v>
      </c>
      <c r="L1345">
        <v>23.8</v>
      </c>
      <c r="M1345" s="452">
        <v>46042</v>
      </c>
      <c r="N1345">
        <v>23.8</v>
      </c>
      <c r="O1345">
        <v>23.8</v>
      </c>
      <c r="P1345">
        <v>73.78</v>
      </c>
    </row>
    <row r="1346" spans="1:16" x14ac:dyDescent="0.3">
      <c r="A1346">
        <v>73169</v>
      </c>
      <c r="B1346">
        <v>105</v>
      </c>
      <c r="C1346" t="s">
        <v>557</v>
      </c>
      <c r="D1346" s="452">
        <v>46054</v>
      </c>
      <c r="E1346">
        <v>19978</v>
      </c>
      <c r="F1346" t="s">
        <v>4887</v>
      </c>
      <c r="G1346">
        <v>2353</v>
      </c>
      <c r="H1346">
        <v>4</v>
      </c>
      <c r="I1346" t="s">
        <v>4888</v>
      </c>
      <c r="J1346" t="s">
        <v>5191</v>
      </c>
      <c r="K1346" t="s">
        <v>459</v>
      </c>
      <c r="L1346">
        <v>0</v>
      </c>
      <c r="M1346" s="452">
        <v>45996</v>
      </c>
      <c r="N1346">
        <v>18.100000000000001</v>
      </c>
      <c r="O1346">
        <v>18.100000000000001</v>
      </c>
      <c r="P1346">
        <v>72.400000000000006</v>
      </c>
    </row>
    <row r="1347" spans="1:16" x14ac:dyDescent="0.3">
      <c r="A1347">
        <v>73103</v>
      </c>
      <c r="B1347">
        <v>105</v>
      </c>
      <c r="C1347" t="s">
        <v>557</v>
      </c>
      <c r="D1347" s="452">
        <v>46054</v>
      </c>
      <c r="E1347">
        <v>25756</v>
      </c>
      <c r="F1347" t="s">
        <v>4854</v>
      </c>
      <c r="G1347">
        <v>9069</v>
      </c>
      <c r="H1347">
        <v>9</v>
      </c>
      <c r="I1347" t="s">
        <v>4749</v>
      </c>
      <c r="J1347" t="s">
        <v>5191</v>
      </c>
      <c r="K1347" t="s">
        <v>459</v>
      </c>
      <c r="L1347">
        <v>0</v>
      </c>
      <c r="M1347" s="452">
        <v>45995</v>
      </c>
      <c r="N1347">
        <v>7.99</v>
      </c>
      <c r="O1347">
        <v>7.99</v>
      </c>
      <c r="P1347">
        <v>71.91</v>
      </c>
    </row>
    <row r="1348" spans="1:16" x14ac:dyDescent="0.3">
      <c r="A1348">
        <v>73113</v>
      </c>
      <c r="B1348">
        <v>105</v>
      </c>
      <c r="C1348" t="s">
        <v>557</v>
      </c>
      <c r="D1348" s="452">
        <v>46054</v>
      </c>
      <c r="E1348">
        <v>25075</v>
      </c>
      <c r="F1348" t="s">
        <v>4790</v>
      </c>
      <c r="G1348">
        <v>5883</v>
      </c>
      <c r="H1348">
        <v>8</v>
      </c>
      <c r="I1348" t="s">
        <v>4738</v>
      </c>
      <c r="J1348" t="s">
        <v>5191</v>
      </c>
      <c r="K1348" t="s">
        <v>459</v>
      </c>
      <c r="L1348">
        <v>0</v>
      </c>
      <c r="M1348" s="452">
        <v>46006</v>
      </c>
      <c r="N1348">
        <v>8.9499999999999993</v>
      </c>
      <c r="O1348">
        <v>16.8</v>
      </c>
      <c r="P1348">
        <v>71.599999999999994</v>
      </c>
    </row>
    <row r="1349" spans="1:16" x14ac:dyDescent="0.3">
      <c r="A1349">
        <v>73145</v>
      </c>
      <c r="B1349">
        <v>105</v>
      </c>
      <c r="C1349" t="s">
        <v>557</v>
      </c>
      <c r="D1349" s="452">
        <v>46054</v>
      </c>
      <c r="E1349">
        <v>26020</v>
      </c>
      <c r="F1349" t="s">
        <v>5102</v>
      </c>
      <c r="G1349">
        <v>2105</v>
      </c>
      <c r="H1349">
        <v>5</v>
      </c>
      <c r="I1349" t="s">
        <v>4736</v>
      </c>
      <c r="J1349" t="s">
        <v>5191</v>
      </c>
      <c r="K1349" t="s">
        <v>459</v>
      </c>
      <c r="L1349">
        <v>14.27</v>
      </c>
      <c r="M1349" s="452">
        <v>46051</v>
      </c>
      <c r="N1349">
        <v>13.95</v>
      </c>
      <c r="O1349">
        <v>13.95</v>
      </c>
      <c r="P1349">
        <v>71.349999999999994</v>
      </c>
    </row>
    <row r="1350" spans="1:16" x14ac:dyDescent="0.3">
      <c r="A1350">
        <v>73233</v>
      </c>
      <c r="B1350">
        <v>105</v>
      </c>
      <c r="C1350" t="s">
        <v>557</v>
      </c>
      <c r="D1350" s="452">
        <v>46054</v>
      </c>
      <c r="E1350">
        <v>19790</v>
      </c>
      <c r="F1350" t="s">
        <v>5073</v>
      </c>
      <c r="G1350">
        <v>2469</v>
      </c>
      <c r="H1350">
        <v>2</v>
      </c>
      <c r="I1350" t="s">
        <v>4744</v>
      </c>
      <c r="J1350" t="s">
        <v>5191</v>
      </c>
      <c r="K1350" t="s">
        <v>459</v>
      </c>
      <c r="L1350">
        <v>35.630000000000003</v>
      </c>
      <c r="M1350" s="452">
        <v>46042</v>
      </c>
      <c r="N1350">
        <v>35.630000000000003</v>
      </c>
      <c r="O1350">
        <v>35.630000000000003</v>
      </c>
      <c r="P1350">
        <v>71.260000000000005</v>
      </c>
    </row>
    <row r="1351" spans="1:16" x14ac:dyDescent="0.3">
      <c r="A1351">
        <v>73195</v>
      </c>
      <c r="B1351">
        <v>105</v>
      </c>
      <c r="C1351" t="s">
        <v>557</v>
      </c>
      <c r="D1351" s="452">
        <v>46054</v>
      </c>
      <c r="E1351">
        <v>23234</v>
      </c>
      <c r="F1351" t="s">
        <v>4986</v>
      </c>
      <c r="G1351">
        <v>2622</v>
      </c>
      <c r="H1351">
        <v>3</v>
      </c>
      <c r="I1351" t="s">
        <v>4744</v>
      </c>
      <c r="J1351" t="s">
        <v>5191</v>
      </c>
      <c r="K1351" t="s">
        <v>459</v>
      </c>
      <c r="L1351">
        <v>23</v>
      </c>
      <c r="M1351" s="452">
        <v>46051</v>
      </c>
      <c r="N1351">
        <v>23</v>
      </c>
      <c r="O1351">
        <v>23</v>
      </c>
      <c r="P1351">
        <v>69</v>
      </c>
    </row>
    <row r="1352" spans="1:16" x14ac:dyDescent="0.3">
      <c r="A1352">
        <v>73104</v>
      </c>
      <c r="B1352">
        <v>105</v>
      </c>
      <c r="C1352" t="s">
        <v>557</v>
      </c>
      <c r="D1352" s="452">
        <v>46054</v>
      </c>
      <c r="E1352">
        <v>25755</v>
      </c>
      <c r="F1352" t="s">
        <v>4821</v>
      </c>
      <c r="G1352">
        <v>9071</v>
      </c>
      <c r="H1352">
        <v>9</v>
      </c>
      <c r="I1352" t="s">
        <v>4749</v>
      </c>
      <c r="J1352" t="s">
        <v>5191</v>
      </c>
      <c r="K1352" t="s">
        <v>459</v>
      </c>
      <c r="L1352">
        <v>0</v>
      </c>
      <c r="M1352" s="452">
        <v>45922</v>
      </c>
      <c r="N1352">
        <v>7.65</v>
      </c>
      <c r="O1352">
        <v>7.65</v>
      </c>
      <c r="P1352">
        <v>68.849999999999994</v>
      </c>
    </row>
    <row r="1353" spans="1:16" x14ac:dyDescent="0.3">
      <c r="A1353">
        <v>73196</v>
      </c>
      <c r="B1353">
        <v>105</v>
      </c>
      <c r="C1353" t="s">
        <v>557</v>
      </c>
      <c r="D1353" s="452">
        <v>46054</v>
      </c>
      <c r="E1353">
        <v>24522</v>
      </c>
      <c r="F1353" t="s">
        <v>5072</v>
      </c>
      <c r="G1353">
        <v>5651</v>
      </c>
      <c r="H1353">
        <v>3</v>
      </c>
      <c r="I1353" t="s">
        <v>4744</v>
      </c>
      <c r="J1353" t="s">
        <v>5191</v>
      </c>
      <c r="K1353" t="s">
        <v>459</v>
      </c>
      <c r="L1353">
        <v>22.75</v>
      </c>
      <c r="M1353" s="452">
        <v>46051</v>
      </c>
      <c r="N1353">
        <v>23</v>
      </c>
      <c r="O1353">
        <v>23</v>
      </c>
      <c r="P1353">
        <v>68.25</v>
      </c>
    </row>
    <row r="1354" spans="1:16" x14ac:dyDescent="0.3">
      <c r="A1354">
        <v>73164</v>
      </c>
      <c r="B1354">
        <v>105</v>
      </c>
      <c r="C1354" t="s">
        <v>557</v>
      </c>
      <c r="D1354" s="452">
        <v>46054</v>
      </c>
      <c r="E1354">
        <v>24323</v>
      </c>
      <c r="F1354" t="s">
        <v>4844</v>
      </c>
      <c r="G1354">
        <v>2262</v>
      </c>
      <c r="H1354">
        <v>4.18</v>
      </c>
      <c r="I1354" t="s">
        <v>4744</v>
      </c>
      <c r="J1354" t="s">
        <v>5191</v>
      </c>
      <c r="K1354" t="s">
        <v>459</v>
      </c>
      <c r="L1354">
        <v>0</v>
      </c>
      <c r="M1354" s="452">
        <v>45817</v>
      </c>
      <c r="N1354">
        <v>16.2</v>
      </c>
      <c r="O1354">
        <v>13.9</v>
      </c>
      <c r="P1354">
        <v>67.72</v>
      </c>
    </row>
    <row r="1355" spans="1:16" x14ac:dyDescent="0.3">
      <c r="A1355">
        <v>73163</v>
      </c>
      <c r="B1355">
        <v>105</v>
      </c>
      <c r="C1355" t="s">
        <v>557</v>
      </c>
      <c r="D1355" s="452">
        <v>46054</v>
      </c>
      <c r="E1355">
        <v>19577</v>
      </c>
      <c r="F1355" t="s">
        <v>4984</v>
      </c>
      <c r="G1355">
        <v>2641</v>
      </c>
      <c r="H1355">
        <v>4.21</v>
      </c>
      <c r="I1355" t="s">
        <v>4736</v>
      </c>
      <c r="J1355" t="s">
        <v>5191</v>
      </c>
      <c r="K1355" t="s">
        <v>459</v>
      </c>
      <c r="L1355">
        <v>0</v>
      </c>
      <c r="M1355" s="452">
        <v>45971</v>
      </c>
      <c r="N1355">
        <v>15.6</v>
      </c>
      <c r="O1355">
        <v>15.6</v>
      </c>
      <c r="P1355">
        <v>65.680000000000007</v>
      </c>
    </row>
    <row r="1356" spans="1:16" x14ac:dyDescent="0.3">
      <c r="A1356">
        <v>73261</v>
      </c>
      <c r="B1356">
        <v>105</v>
      </c>
      <c r="C1356" t="s">
        <v>557</v>
      </c>
      <c r="D1356" s="452">
        <v>46054</v>
      </c>
      <c r="E1356">
        <v>26210</v>
      </c>
      <c r="F1356" t="s">
        <v>4975</v>
      </c>
      <c r="G1356">
        <v>6624</v>
      </c>
      <c r="H1356">
        <v>1.33</v>
      </c>
      <c r="I1356" t="s">
        <v>4805</v>
      </c>
      <c r="J1356" t="s">
        <v>5222</v>
      </c>
      <c r="K1356" t="s">
        <v>459</v>
      </c>
      <c r="L1356">
        <v>47.6</v>
      </c>
      <c r="M1356" s="452">
        <v>46028</v>
      </c>
      <c r="N1356">
        <v>47.6</v>
      </c>
      <c r="O1356">
        <v>47.6</v>
      </c>
      <c r="P1356">
        <v>63.31</v>
      </c>
    </row>
    <row r="1357" spans="1:16" x14ac:dyDescent="0.3">
      <c r="A1357">
        <v>73220</v>
      </c>
      <c r="B1357">
        <v>105</v>
      </c>
      <c r="C1357" t="s">
        <v>557</v>
      </c>
      <c r="D1357" s="452">
        <v>46054</v>
      </c>
      <c r="E1357">
        <v>20672</v>
      </c>
      <c r="F1357" t="s">
        <v>4857</v>
      </c>
      <c r="G1357">
        <v>2107</v>
      </c>
      <c r="H1357">
        <v>2</v>
      </c>
      <c r="I1357" t="s">
        <v>4738</v>
      </c>
      <c r="J1357" t="s">
        <v>5191</v>
      </c>
      <c r="K1357" t="s">
        <v>459</v>
      </c>
      <c r="L1357">
        <v>0</v>
      </c>
      <c r="M1357" s="452">
        <v>45961</v>
      </c>
      <c r="N1357">
        <v>30.87</v>
      </c>
      <c r="O1357">
        <v>30.22</v>
      </c>
      <c r="P1357">
        <v>61.74</v>
      </c>
    </row>
    <row r="1358" spans="1:16" x14ac:dyDescent="0.3">
      <c r="A1358">
        <v>73143</v>
      </c>
      <c r="B1358">
        <v>105</v>
      </c>
      <c r="C1358" t="s">
        <v>557</v>
      </c>
      <c r="D1358" s="452">
        <v>46054</v>
      </c>
      <c r="E1358">
        <v>19505</v>
      </c>
      <c r="F1358" t="s">
        <v>4872</v>
      </c>
      <c r="G1358">
        <v>2706</v>
      </c>
      <c r="H1358">
        <v>5.3</v>
      </c>
      <c r="I1358" t="s">
        <v>4744</v>
      </c>
      <c r="J1358" t="s">
        <v>5191</v>
      </c>
      <c r="K1358" t="s">
        <v>459</v>
      </c>
      <c r="L1358">
        <v>11.2</v>
      </c>
      <c r="M1358" s="452">
        <v>46053</v>
      </c>
      <c r="N1358">
        <v>12.5</v>
      </c>
      <c r="O1358">
        <v>12.5</v>
      </c>
      <c r="P1358">
        <v>59.36</v>
      </c>
    </row>
    <row r="1359" spans="1:16" x14ac:dyDescent="0.3">
      <c r="A1359">
        <v>73255</v>
      </c>
      <c r="B1359">
        <v>105</v>
      </c>
      <c r="C1359" t="s">
        <v>557</v>
      </c>
      <c r="D1359" s="452">
        <v>46054</v>
      </c>
      <c r="E1359">
        <v>18423</v>
      </c>
      <c r="F1359" t="s">
        <v>4987</v>
      </c>
      <c r="G1359">
        <v>3220</v>
      </c>
      <c r="H1359">
        <v>1.45</v>
      </c>
      <c r="I1359" t="s">
        <v>4805</v>
      </c>
      <c r="J1359" t="s">
        <v>5222</v>
      </c>
      <c r="K1359" t="s">
        <v>459</v>
      </c>
      <c r="L1359">
        <v>0</v>
      </c>
      <c r="M1359" s="452">
        <v>46002</v>
      </c>
      <c r="N1359">
        <v>40.56</v>
      </c>
      <c r="O1359">
        <v>40.56</v>
      </c>
      <c r="P1359">
        <v>58.81</v>
      </c>
    </row>
    <row r="1360" spans="1:16" x14ac:dyDescent="0.3">
      <c r="A1360">
        <v>73234</v>
      </c>
      <c r="B1360">
        <v>105</v>
      </c>
      <c r="C1360" t="s">
        <v>557</v>
      </c>
      <c r="D1360" s="452">
        <v>46054</v>
      </c>
      <c r="E1360">
        <v>19710</v>
      </c>
      <c r="F1360" t="s">
        <v>4963</v>
      </c>
      <c r="G1360">
        <v>2540</v>
      </c>
      <c r="H1360">
        <v>2</v>
      </c>
      <c r="I1360" t="s">
        <v>4738</v>
      </c>
      <c r="J1360" t="s">
        <v>5191</v>
      </c>
      <c r="K1360" t="s">
        <v>459</v>
      </c>
      <c r="L1360">
        <v>28.67</v>
      </c>
      <c r="M1360" s="452">
        <v>46051</v>
      </c>
      <c r="N1360">
        <v>21.5</v>
      </c>
      <c r="O1360">
        <v>21.5</v>
      </c>
      <c r="P1360">
        <v>57.34</v>
      </c>
    </row>
    <row r="1361" spans="1:16" x14ac:dyDescent="0.3">
      <c r="A1361">
        <v>73133</v>
      </c>
      <c r="B1361">
        <v>105</v>
      </c>
      <c r="C1361" t="s">
        <v>557</v>
      </c>
      <c r="D1361" s="452">
        <v>46054</v>
      </c>
      <c r="E1361">
        <v>20295</v>
      </c>
      <c r="F1361" t="s">
        <v>4881</v>
      </c>
      <c r="G1361">
        <v>2226</v>
      </c>
      <c r="H1361">
        <v>6</v>
      </c>
      <c r="I1361" t="s">
        <v>4736</v>
      </c>
      <c r="J1361" t="s">
        <v>5191</v>
      </c>
      <c r="K1361" t="s">
        <v>459</v>
      </c>
      <c r="L1361">
        <v>0</v>
      </c>
      <c r="M1361" s="452">
        <v>46006</v>
      </c>
      <c r="N1361">
        <v>9.5399999999999991</v>
      </c>
      <c r="O1361">
        <v>9.5399999999999991</v>
      </c>
      <c r="P1361">
        <v>57.24</v>
      </c>
    </row>
    <row r="1362" spans="1:16" x14ac:dyDescent="0.3">
      <c r="A1362">
        <v>73283</v>
      </c>
      <c r="B1362">
        <v>105</v>
      </c>
      <c r="C1362" t="s">
        <v>557</v>
      </c>
      <c r="D1362" s="452">
        <v>46054</v>
      </c>
      <c r="E1362">
        <v>19955</v>
      </c>
      <c r="F1362" t="s">
        <v>4985</v>
      </c>
      <c r="G1362">
        <v>2359</v>
      </c>
      <c r="H1362">
        <v>1</v>
      </c>
      <c r="I1362" t="s">
        <v>4736</v>
      </c>
      <c r="J1362" t="s">
        <v>5191</v>
      </c>
      <c r="K1362" t="s">
        <v>459</v>
      </c>
      <c r="L1362">
        <v>0</v>
      </c>
      <c r="M1362" s="452">
        <v>45971</v>
      </c>
      <c r="N1362">
        <v>56.9</v>
      </c>
      <c r="O1362">
        <v>56.9</v>
      </c>
      <c r="P1362">
        <v>56.9</v>
      </c>
    </row>
    <row r="1363" spans="1:16" x14ac:dyDescent="0.3">
      <c r="A1363">
        <v>73091</v>
      </c>
      <c r="B1363">
        <v>105</v>
      </c>
      <c r="C1363" t="s">
        <v>557</v>
      </c>
      <c r="D1363" s="452">
        <v>46054</v>
      </c>
      <c r="E1363">
        <v>19654</v>
      </c>
      <c r="F1363" t="s">
        <v>5099</v>
      </c>
      <c r="G1363">
        <v>2586</v>
      </c>
      <c r="H1363">
        <v>11</v>
      </c>
      <c r="I1363" t="s">
        <v>4744</v>
      </c>
      <c r="J1363" t="s">
        <v>5191</v>
      </c>
      <c r="K1363" t="s">
        <v>459</v>
      </c>
      <c r="L1363">
        <v>5.0999999999999996</v>
      </c>
      <c r="M1363" s="452">
        <v>46053</v>
      </c>
      <c r="N1363">
        <v>5</v>
      </c>
      <c r="O1363">
        <v>5</v>
      </c>
      <c r="P1363">
        <v>56.1</v>
      </c>
    </row>
    <row r="1364" spans="1:16" x14ac:dyDescent="0.3">
      <c r="A1364">
        <v>73214</v>
      </c>
      <c r="B1364">
        <v>105</v>
      </c>
      <c r="C1364" t="s">
        <v>557</v>
      </c>
      <c r="D1364" s="452">
        <v>46054</v>
      </c>
      <c r="E1364">
        <v>23656</v>
      </c>
      <c r="F1364" t="s">
        <v>4945</v>
      </c>
      <c r="G1364">
        <v>2228</v>
      </c>
      <c r="H1364">
        <v>2</v>
      </c>
      <c r="I1364" t="s">
        <v>4744</v>
      </c>
      <c r="J1364" t="s">
        <v>5191</v>
      </c>
      <c r="K1364" t="s">
        <v>459</v>
      </c>
      <c r="L1364">
        <v>0</v>
      </c>
      <c r="M1364" s="452">
        <v>45873</v>
      </c>
      <c r="N1364">
        <v>28</v>
      </c>
      <c r="O1364">
        <v>27.3</v>
      </c>
      <c r="P1364">
        <v>56</v>
      </c>
    </row>
    <row r="1365" spans="1:16" x14ac:dyDescent="0.3">
      <c r="A1365">
        <v>73231</v>
      </c>
      <c r="B1365">
        <v>105</v>
      </c>
      <c r="C1365" t="s">
        <v>557</v>
      </c>
      <c r="D1365" s="452">
        <v>46054</v>
      </c>
      <c r="E1365">
        <v>19649</v>
      </c>
      <c r="F1365" t="s">
        <v>4859</v>
      </c>
      <c r="G1365">
        <v>2589</v>
      </c>
      <c r="H1365">
        <v>2</v>
      </c>
      <c r="I1365" t="s">
        <v>4744</v>
      </c>
      <c r="J1365" t="s">
        <v>5191</v>
      </c>
      <c r="K1365" t="s">
        <v>459</v>
      </c>
      <c r="L1365">
        <v>0</v>
      </c>
      <c r="M1365" s="452">
        <v>45820</v>
      </c>
      <c r="N1365">
        <v>27.9</v>
      </c>
      <c r="O1365">
        <v>23.5</v>
      </c>
      <c r="P1365">
        <v>55.8</v>
      </c>
    </row>
    <row r="1366" spans="1:16" x14ac:dyDescent="0.3">
      <c r="A1366">
        <v>73154</v>
      </c>
      <c r="B1366">
        <v>105</v>
      </c>
      <c r="C1366" t="s">
        <v>557</v>
      </c>
      <c r="D1366" s="452">
        <v>46054</v>
      </c>
      <c r="E1366">
        <v>24302</v>
      </c>
      <c r="F1366" t="s">
        <v>4813</v>
      </c>
      <c r="G1366">
        <v>2251</v>
      </c>
      <c r="H1366">
        <v>4.9000000000000004</v>
      </c>
      <c r="I1366" t="s">
        <v>4744</v>
      </c>
      <c r="J1366" t="s">
        <v>5191</v>
      </c>
      <c r="K1366" t="s">
        <v>459</v>
      </c>
      <c r="L1366">
        <v>0</v>
      </c>
      <c r="M1366" s="452">
        <v>45887</v>
      </c>
      <c r="N1366">
        <v>11.19</v>
      </c>
      <c r="O1366">
        <v>10.25</v>
      </c>
      <c r="P1366">
        <v>54.83</v>
      </c>
    </row>
    <row r="1367" spans="1:16" x14ac:dyDescent="0.3">
      <c r="A1367">
        <v>73267</v>
      </c>
      <c r="B1367">
        <v>105</v>
      </c>
      <c r="C1367" t="s">
        <v>557</v>
      </c>
      <c r="D1367" s="452">
        <v>46054</v>
      </c>
      <c r="E1367">
        <v>18073</v>
      </c>
      <c r="F1367" t="s">
        <v>4974</v>
      </c>
      <c r="G1367">
        <v>3536</v>
      </c>
      <c r="H1367">
        <v>1.1499999999999999</v>
      </c>
      <c r="I1367" t="s">
        <v>4805</v>
      </c>
      <c r="J1367" t="s">
        <v>5222</v>
      </c>
      <c r="K1367" t="s">
        <v>459</v>
      </c>
      <c r="L1367">
        <v>47.6</v>
      </c>
      <c r="M1367" s="452">
        <v>46028</v>
      </c>
      <c r="N1367">
        <v>47.6</v>
      </c>
      <c r="O1367">
        <v>47.6</v>
      </c>
      <c r="P1367">
        <v>54.74</v>
      </c>
    </row>
    <row r="1368" spans="1:16" x14ac:dyDescent="0.3">
      <c r="A1368">
        <v>73135</v>
      </c>
      <c r="B1368">
        <v>105</v>
      </c>
      <c r="C1368" t="s">
        <v>557</v>
      </c>
      <c r="D1368" s="452">
        <v>46054</v>
      </c>
      <c r="E1368">
        <v>20382</v>
      </c>
      <c r="F1368" t="s">
        <v>4780</v>
      </c>
      <c r="G1368">
        <v>2196</v>
      </c>
      <c r="H1368">
        <v>6</v>
      </c>
      <c r="I1368" t="s">
        <v>4738</v>
      </c>
      <c r="J1368" t="s">
        <v>5191</v>
      </c>
      <c r="K1368" t="s">
        <v>459</v>
      </c>
      <c r="L1368">
        <v>8.99</v>
      </c>
      <c r="M1368" s="452">
        <v>46041</v>
      </c>
      <c r="N1368">
        <v>8.99</v>
      </c>
      <c r="O1368">
        <v>8.99</v>
      </c>
      <c r="P1368">
        <v>53.94</v>
      </c>
    </row>
    <row r="1369" spans="1:16" x14ac:dyDescent="0.3">
      <c r="A1369">
        <v>73123</v>
      </c>
      <c r="B1369">
        <v>105</v>
      </c>
      <c r="C1369" t="s">
        <v>557</v>
      </c>
      <c r="D1369" s="452">
        <v>46054</v>
      </c>
      <c r="E1369">
        <v>25759</v>
      </c>
      <c r="F1369" t="s">
        <v>4877</v>
      </c>
      <c r="G1369">
        <v>9073</v>
      </c>
      <c r="H1369">
        <v>7</v>
      </c>
      <c r="I1369" t="s">
        <v>4736</v>
      </c>
      <c r="J1369" t="s">
        <v>5191</v>
      </c>
      <c r="K1369" t="s">
        <v>459</v>
      </c>
      <c r="L1369">
        <v>0</v>
      </c>
      <c r="M1369" s="452">
        <v>45995</v>
      </c>
      <c r="N1369">
        <v>7.65</v>
      </c>
      <c r="O1369">
        <v>7.65</v>
      </c>
      <c r="P1369">
        <v>53.55</v>
      </c>
    </row>
    <row r="1370" spans="1:16" x14ac:dyDescent="0.3">
      <c r="A1370">
        <v>73202</v>
      </c>
      <c r="B1370">
        <v>105</v>
      </c>
      <c r="C1370" t="s">
        <v>557</v>
      </c>
      <c r="D1370" s="452">
        <v>46054</v>
      </c>
      <c r="E1370">
        <v>24322</v>
      </c>
      <c r="F1370" t="s">
        <v>5064</v>
      </c>
      <c r="G1370">
        <v>2342</v>
      </c>
      <c r="H1370">
        <v>2.42</v>
      </c>
      <c r="I1370" t="s">
        <v>4744</v>
      </c>
      <c r="J1370" t="s">
        <v>5191</v>
      </c>
      <c r="K1370" t="s">
        <v>459</v>
      </c>
      <c r="L1370">
        <v>22</v>
      </c>
      <c r="M1370" s="452">
        <v>46045</v>
      </c>
      <c r="N1370">
        <v>22</v>
      </c>
      <c r="O1370">
        <v>22</v>
      </c>
      <c r="P1370">
        <v>53.24</v>
      </c>
    </row>
    <row r="1371" spans="1:16" x14ac:dyDescent="0.3">
      <c r="A1371">
        <v>73160</v>
      </c>
      <c r="B1371">
        <v>105</v>
      </c>
      <c r="C1371" t="s">
        <v>557</v>
      </c>
      <c r="D1371" s="452">
        <v>46054</v>
      </c>
      <c r="E1371">
        <v>19507</v>
      </c>
      <c r="F1371" t="s">
        <v>4853</v>
      </c>
      <c r="G1371">
        <v>2704</v>
      </c>
      <c r="H1371">
        <v>4.45</v>
      </c>
      <c r="I1371" t="s">
        <v>4744</v>
      </c>
      <c r="J1371" t="s">
        <v>5191</v>
      </c>
      <c r="K1371" t="s">
        <v>459</v>
      </c>
      <c r="L1371">
        <v>11.84</v>
      </c>
      <c r="M1371" s="452">
        <v>46051</v>
      </c>
      <c r="N1371">
        <v>12</v>
      </c>
      <c r="O1371">
        <v>12</v>
      </c>
      <c r="P1371">
        <v>52.69</v>
      </c>
    </row>
    <row r="1372" spans="1:16" x14ac:dyDescent="0.3">
      <c r="A1372">
        <v>73205</v>
      </c>
      <c r="B1372">
        <v>105</v>
      </c>
      <c r="C1372" t="s">
        <v>557</v>
      </c>
      <c r="D1372" s="452">
        <v>46054</v>
      </c>
      <c r="E1372">
        <v>23503</v>
      </c>
      <c r="F1372" t="s">
        <v>5048</v>
      </c>
      <c r="G1372">
        <v>2366</v>
      </c>
      <c r="H1372">
        <v>2.2000000000000002</v>
      </c>
      <c r="I1372" t="s">
        <v>4744</v>
      </c>
      <c r="J1372" t="s">
        <v>5191</v>
      </c>
      <c r="K1372" t="s">
        <v>459</v>
      </c>
      <c r="L1372">
        <v>0</v>
      </c>
      <c r="M1372" s="452">
        <v>45989</v>
      </c>
      <c r="N1372">
        <v>23.8</v>
      </c>
      <c r="O1372">
        <v>24.2</v>
      </c>
      <c r="P1372">
        <v>52.36</v>
      </c>
    </row>
    <row r="1373" spans="1:16" x14ac:dyDescent="0.3">
      <c r="A1373">
        <v>73069</v>
      </c>
      <c r="B1373">
        <v>105</v>
      </c>
      <c r="C1373" t="s">
        <v>557</v>
      </c>
      <c r="D1373" s="452">
        <v>46054</v>
      </c>
      <c r="E1373">
        <v>23359</v>
      </c>
      <c r="F1373" t="s">
        <v>4767</v>
      </c>
      <c r="G1373">
        <v>2499</v>
      </c>
      <c r="H1373">
        <v>17.5</v>
      </c>
      <c r="I1373" t="s">
        <v>4744</v>
      </c>
      <c r="J1373" t="s">
        <v>5191</v>
      </c>
      <c r="K1373" t="s">
        <v>459</v>
      </c>
      <c r="L1373">
        <v>2.96</v>
      </c>
      <c r="M1373" s="452">
        <v>46051</v>
      </c>
      <c r="N1373">
        <v>2.5</v>
      </c>
      <c r="O1373">
        <v>2.5</v>
      </c>
      <c r="P1373">
        <v>51.8</v>
      </c>
    </row>
    <row r="1374" spans="1:16" x14ac:dyDescent="0.3">
      <c r="A1374">
        <v>73215</v>
      </c>
      <c r="B1374">
        <v>105</v>
      </c>
      <c r="C1374" t="s">
        <v>557</v>
      </c>
      <c r="D1374" s="452">
        <v>46054</v>
      </c>
      <c r="E1374">
        <v>21060</v>
      </c>
      <c r="F1374" t="s">
        <v>4946</v>
      </c>
      <c r="G1374">
        <v>1998</v>
      </c>
      <c r="H1374">
        <v>2</v>
      </c>
      <c r="I1374" t="s">
        <v>4736</v>
      </c>
      <c r="J1374" t="s">
        <v>5191</v>
      </c>
      <c r="K1374" t="s">
        <v>459</v>
      </c>
      <c r="L1374">
        <v>25.9</v>
      </c>
      <c r="M1374" s="452">
        <v>46030</v>
      </c>
      <c r="N1374">
        <v>25.9</v>
      </c>
      <c r="O1374">
        <v>21.99</v>
      </c>
      <c r="P1374">
        <v>51.8</v>
      </c>
    </row>
    <row r="1375" spans="1:16" x14ac:dyDescent="0.3">
      <c r="A1375">
        <v>73305</v>
      </c>
      <c r="B1375">
        <v>105</v>
      </c>
      <c r="C1375" t="s">
        <v>557</v>
      </c>
      <c r="D1375" s="452">
        <v>46054</v>
      </c>
      <c r="E1375">
        <v>19476</v>
      </c>
      <c r="F1375" t="s">
        <v>5115</v>
      </c>
      <c r="G1375">
        <v>2729</v>
      </c>
      <c r="H1375">
        <v>0.74</v>
      </c>
      <c r="I1375" t="s">
        <v>4744</v>
      </c>
      <c r="J1375" t="s">
        <v>5191</v>
      </c>
      <c r="K1375" t="s">
        <v>459</v>
      </c>
      <c r="L1375">
        <v>69.290000000000006</v>
      </c>
      <c r="M1375" s="452">
        <v>46051</v>
      </c>
      <c r="N1375">
        <v>63</v>
      </c>
      <c r="O1375">
        <v>63.14</v>
      </c>
      <c r="P1375">
        <v>51.27</v>
      </c>
    </row>
    <row r="1376" spans="1:16" x14ac:dyDescent="0.3">
      <c r="A1376">
        <v>73211</v>
      </c>
      <c r="B1376">
        <v>105</v>
      </c>
      <c r="C1376" t="s">
        <v>557</v>
      </c>
      <c r="D1376" s="452">
        <v>46054</v>
      </c>
      <c r="E1376">
        <v>19353</v>
      </c>
      <c r="F1376" t="s">
        <v>4851</v>
      </c>
      <c r="G1376">
        <v>2768</v>
      </c>
      <c r="H1376">
        <v>2.0299999999999998</v>
      </c>
      <c r="I1376" t="s">
        <v>4744</v>
      </c>
      <c r="J1376" t="s">
        <v>5191</v>
      </c>
      <c r="K1376" t="s">
        <v>459</v>
      </c>
      <c r="L1376">
        <v>24.6</v>
      </c>
      <c r="M1376" s="452">
        <v>46036</v>
      </c>
      <c r="N1376">
        <v>24.6</v>
      </c>
      <c r="O1376">
        <v>24.6</v>
      </c>
      <c r="P1376">
        <v>49.94</v>
      </c>
    </row>
    <row r="1377" spans="1:16" x14ac:dyDescent="0.3">
      <c r="A1377">
        <v>73328</v>
      </c>
      <c r="B1377">
        <v>105</v>
      </c>
      <c r="C1377" t="s">
        <v>557</v>
      </c>
      <c r="D1377" s="452">
        <v>46054</v>
      </c>
      <c r="E1377">
        <v>21079</v>
      </c>
      <c r="F1377" t="s">
        <v>5124</v>
      </c>
      <c r="G1377">
        <v>1991</v>
      </c>
      <c r="H1377">
        <v>1</v>
      </c>
      <c r="I1377" t="s">
        <v>4736</v>
      </c>
      <c r="J1377" t="s">
        <v>5191</v>
      </c>
      <c r="K1377" t="s">
        <v>459</v>
      </c>
      <c r="L1377">
        <v>0</v>
      </c>
      <c r="M1377" s="452">
        <v>45894</v>
      </c>
      <c r="N1377">
        <v>49.38</v>
      </c>
      <c r="O1377">
        <v>49.36</v>
      </c>
      <c r="P1377">
        <v>49.38</v>
      </c>
    </row>
    <row r="1378" spans="1:16" x14ac:dyDescent="0.3">
      <c r="A1378">
        <v>73148</v>
      </c>
      <c r="B1378">
        <v>105</v>
      </c>
      <c r="C1378" t="s">
        <v>557</v>
      </c>
      <c r="D1378" s="452">
        <v>46054</v>
      </c>
      <c r="E1378">
        <v>19415</v>
      </c>
      <c r="F1378" t="s">
        <v>4919</v>
      </c>
      <c r="G1378">
        <v>2759</v>
      </c>
      <c r="H1378">
        <v>5</v>
      </c>
      <c r="I1378" t="s">
        <v>4736</v>
      </c>
      <c r="J1378" t="s">
        <v>5191</v>
      </c>
      <c r="K1378" t="s">
        <v>459</v>
      </c>
      <c r="L1378">
        <v>9.65</v>
      </c>
      <c r="M1378" s="452">
        <v>46051</v>
      </c>
      <c r="N1378">
        <v>8.8000000000000007</v>
      </c>
      <c r="O1378">
        <v>8.8000000000000007</v>
      </c>
      <c r="P1378">
        <v>48.25</v>
      </c>
    </row>
    <row r="1379" spans="1:16" x14ac:dyDescent="0.3">
      <c r="A1379">
        <v>73306</v>
      </c>
      <c r="B1379">
        <v>105</v>
      </c>
      <c r="C1379" t="s">
        <v>557</v>
      </c>
      <c r="D1379" s="452">
        <v>46054</v>
      </c>
      <c r="E1379">
        <v>19490</v>
      </c>
      <c r="F1379" t="s">
        <v>5116</v>
      </c>
      <c r="G1379">
        <v>2718</v>
      </c>
      <c r="H1379">
        <v>0.64</v>
      </c>
      <c r="I1379" t="s">
        <v>4744</v>
      </c>
      <c r="J1379" t="s">
        <v>5191</v>
      </c>
      <c r="K1379" t="s">
        <v>459</v>
      </c>
      <c r="L1379">
        <v>74.95</v>
      </c>
      <c r="M1379" s="452">
        <v>46051</v>
      </c>
      <c r="N1379">
        <v>70</v>
      </c>
      <c r="O1379">
        <v>75</v>
      </c>
      <c r="P1379">
        <v>47.97</v>
      </c>
    </row>
    <row r="1380" spans="1:16" x14ac:dyDescent="0.3">
      <c r="A1380">
        <v>73251</v>
      </c>
      <c r="B1380">
        <v>105</v>
      </c>
      <c r="C1380" t="s">
        <v>557</v>
      </c>
      <c r="D1380" s="452">
        <v>46054</v>
      </c>
      <c r="E1380">
        <v>24339</v>
      </c>
      <c r="F1380" t="s">
        <v>4885</v>
      </c>
      <c r="G1380">
        <v>2153</v>
      </c>
      <c r="H1380">
        <v>1.5</v>
      </c>
      <c r="I1380" t="s">
        <v>4744</v>
      </c>
      <c r="J1380" t="s">
        <v>5191</v>
      </c>
      <c r="K1380" t="s">
        <v>459</v>
      </c>
      <c r="L1380">
        <v>31.97</v>
      </c>
      <c r="M1380" s="452">
        <v>46041</v>
      </c>
      <c r="N1380">
        <v>23.9</v>
      </c>
      <c r="O1380">
        <v>24.75</v>
      </c>
      <c r="P1380">
        <v>47.96</v>
      </c>
    </row>
    <row r="1381" spans="1:16" x14ac:dyDescent="0.3">
      <c r="A1381">
        <v>73301</v>
      </c>
      <c r="B1381">
        <v>105</v>
      </c>
      <c r="C1381" t="s">
        <v>557</v>
      </c>
      <c r="D1381" s="452">
        <v>46054</v>
      </c>
      <c r="E1381">
        <v>18085</v>
      </c>
      <c r="F1381" t="s">
        <v>4973</v>
      </c>
      <c r="G1381">
        <v>3524</v>
      </c>
      <c r="H1381">
        <v>1</v>
      </c>
      <c r="I1381" t="s">
        <v>4805</v>
      </c>
      <c r="J1381" t="s">
        <v>5222</v>
      </c>
      <c r="K1381" t="s">
        <v>459</v>
      </c>
      <c r="L1381">
        <v>47.6</v>
      </c>
      <c r="M1381" s="452">
        <v>46049</v>
      </c>
      <c r="N1381">
        <v>47.6</v>
      </c>
      <c r="O1381">
        <v>47.6</v>
      </c>
      <c r="P1381">
        <v>47.6</v>
      </c>
    </row>
    <row r="1382" spans="1:16" x14ac:dyDescent="0.3">
      <c r="A1382">
        <v>73181</v>
      </c>
      <c r="B1382">
        <v>105</v>
      </c>
      <c r="C1382" t="s">
        <v>557</v>
      </c>
      <c r="D1382" s="452">
        <v>46054</v>
      </c>
      <c r="E1382">
        <v>23195</v>
      </c>
      <c r="F1382" t="s">
        <v>5051</v>
      </c>
      <c r="G1382">
        <v>2660</v>
      </c>
      <c r="H1382">
        <v>3.44</v>
      </c>
      <c r="I1382" t="s">
        <v>4744</v>
      </c>
      <c r="J1382" t="s">
        <v>5191</v>
      </c>
      <c r="K1382" t="s">
        <v>459</v>
      </c>
      <c r="L1382">
        <v>13.76</v>
      </c>
      <c r="M1382" s="452">
        <v>46049</v>
      </c>
      <c r="N1382">
        <v>13.5</v>
      </c>
      <c r="O1382">
        <v>14</v>
      </c>
      <c r="P1382">
        <v>47.33</v>
      </c>
    </row>
    <row r="1383" spans="1:16" x14ac:dyDescent="0.3">
      <c r="A1383">
        <v>73132</v>
      </c>
      <c r="B1383">
        <v>105</v>
      </c>
      <c r="C1383" t="s">
        <v>557</v>
      </c>
      <c r="D1383" s="452">
        <v>46054</v>
      </c>
      <c r="E1383">
        <v>25760</v>
      </c>
      <c r="F1383" t="s">
        <v>4787</v>
      </c>
      <c r="G1383">
        <v>6311</v>
      </c>
      <c r="H1383">
        <v>6</v>
      </c>
      <c r="I1383" t="s">
        <v>4736</v>
      </c>
      <c r="J1383" t="s">
        <v>5191</v>
      </c>
      <c r="K1383" t="s">
        <v>459</v>
      </c>
      <c r="L1383">
        <v>0</v>
      </c>
      <c r="M1383" s="452">
        <v>45922</v>
      </c>
      <c r="N1383">
        <v>7.65</v>
      </c>
      <c r="O1383">
        <v>7.65</v>
      </c>
      <c r="P1383">
        <v>45.9</v>
      </c>
    </row>
    <row r="1384" spans="1:16" x14ac:dyDescent="0.3">
      <c r="A1384">
        <v>73140</v>
      </c>
      <c r="B1384">
        <v>105</v>
      </c>
      <c r="C1384" t="s">
        <v>557</v>
      </c>
      <c r="D1384" s="452">
        <v>46054</v>
      </c>
      <c r="E1384">
        <v>19589</v>
      </c>
      <c r="F1384" t="s">
        <v>4983</v>
      </c>
      <c r="G1384">
        <v>2637</v>
      </c>
      <c r="H1384">
        <v>5.42</v>
      </c>
      <c r="I1384" t="s">
        <v>4744</v>
      </c>
      <c r="J1384" t="s">
        <v>5191</v>
      </c>
      <c r="K1384" t="s">
        <v>459</v>
      </c>
      <c r="L1384">
        <v>8.3000000000000007</v>
      </c>
      <c r="M1384" s="452">
        <v>46051</v>
      </c>
      <c r="N1384">
        <v>6</v>
      </c>
      <c r="O1384">
        <v>6</v>
      </c>
      <c r="P1384">
        <v>44.99</v>
      </c>
    </row>
    <row r="1385" spans="1:16" x14ac:dyDescent="0.3">
      <c r="A1385">
        <v>73296</v>
      </c>
      <c r="B1385">
        <v>105</v>
      </c>
      <c r="C1385" t="s">
        <v>557</v>
      </c>
      <c r="D1385" s="452">
        <v>46054</v>
      </c>
      <c r="E1385">
        <v>18545</v>
      </c>
      <c r="F1385" t="s">
        <v>4864</v>
      </c>
      <c r="G1385">
        <v>3134</v>
      </c>
      <c r="H1385">
        <v>1</v>
      </c>
      <c r="I1385" t="s">
        <v>4805</v>
      </c>
      <c r="J1385" t="s">
        <v>5222</v>
      </c>
      <c r="K1385" t="s">
        <v>459</v>
      </c>
      <c r="L1385">
        <v>0</v>
      </c>
      <c r="M1385" s="452">
        <v>46007</v>
      </c>
      <c r="N1385">
        <v>44.45</v>
      </c>
      <c r="O1385">
        <v>45.9</v>
      </c>
      <c r="P1385">
        <v>44.45</v>
      </c>
    </row>
    <row r="1386" spans="1:16" x14ac:dyDescent="0.3">
      <c r="A1386">
        <v>73221</v>
      </c>
      <c r="B1386">
        <v>105</v>
      </c>
      <c r="C1386" t="s">
        <v>557</v>
      </c>
      <c r="D1386" s="452">
        <v>46054</v>
      </c>
      <c r="E1386">
        <v>20025</v>
      </c>
      <c r="F1386" t="s">
        <v>5010</v>
      </c>
      <c r="G1386">
        <v>2339</v>
      </c>
      <c r="H1386">
        <v>2</v>
      </c>
      <c r="I1386" t="s">
        <v>4736</v>
      </c>
      <c r="J1386" t="s">
        <v>5191</v>
      </c>
      <c r="K1386" t="s">
        <v>459</v>
      </c>
      <c r="L1386">
        <v>0</v>
      </c>
      <c r="M1386" s="452">
        <v>45989</v>
      </c>
      <c r="N1386">
        <v>21.75</v>
      </c>
      <c r="O1386">
        <v>21.8</v>
      </c>
      <c r="P1386">
        <v>43.5</v>
      </c>
    </row>
    <row r="1387" spans="1:16" x14ac:dyDescent="0.3">
      <c r="A1387">
        <v>73167</v>
      </c>
      <c r="B1387">
        <v>105</v>
      </c>
      <c r="C1387" t="s">
        <v>557</v>
      </c>
      <c r="D1387" s="452">
        <v>46054</v>
      </c>
      <c r="E1387">
        <v>20322</v>
      </c>
      <c r="F1387" t="s">
        <v>4882</v>
      </c>
      <c r="G1387">
        <v>2212</v>
      </c>
      <c r="H1387">
        <v>4</v>
      </c>
      <c r="I1387" t="s">
        <v>4738</v>
      </c>
      <c r="J1387" t="s">
        <v>5191</v>
      </c>
      <c r="K1387" t="s">
        <v>459</v>
      </c>
      <c r="L1387">
        <v>10.8</v>
      </c>
      <c r="M1387" s="452">
        <v>46052</v>
      </c>
      <c r="N1387">
        <v>10.8</v>
      </c>
      <c r="O1387">
        <v>10.8</v>
      </c>
      <c r="P1387">
        <v>43.2</v>
      </c>
    </row>
    <row r="1388" spans="1:16" x14ac:dyDescent="0.3">
      <c r="A1388">
        <v>73321</v>
      </c>
      <c r="B1388">
        <v>105</v>
      </c>
      <c r="C1388" t="s">
        <v>557</v>
      </c>
      <c r="D1388" s="452">
        <v>46054</v>
      </c>
      <c r="E1388">
        <v>18289</v>
      </c>
      <c r="F1388" t="s">
        <v>5036</v>
      </c>
      <c r="G1388">
        <v>3339</v>
      </c>
      <c r="H1388">
        <v>0.3</v>
      </c>
      <c r="I1388" t="s">
        <v>4736</v>
      </c>
      <c r="J1388" t="s">
        <v>5222</v>
      </c>
      <c r="K1388" t="s">
        <v>459</v>
      </c>
      <c r="L1388">
        <v>0</v>
      </c>
      <c r="N1388">
        <v>0</v>
      </c>
      <c r="O1388">
        <v>0</v>
      </c>
      <c r="P1388">
        <v>42</v>
      </c>
    </row>
    <row r="1389" spans="1:16" x14ac:dyDescent="0.3">
      <c r="A1389">
        <v>73131</v>
      </c>
      <c r="B1389">
        <v>105</v>
      </c>
      <c r="C1389" t="s">
        <v>557</v>
      </c>
      <c r="D1389" s="452">
        <v>46054</v>
      </c>
      <c r="E1389">
        <v>25761</v>
      </c>
      <c r="F1389" t="s">
        <v>4789</v>
      </c>
      <c r="G1389">
        <v>6312</v>
      </c>
      <c r="H1389">
        <v>6</v>
      </c>
      <c r="I1389" t="s">
        <v>4736</v>
      </c>
      <c r="J1389" t="s">
        <v>5191</v>
      </c>
      <c r="K1389" t="s">
        <v>459</v>
      </c>
      <c r="L1389">
        <v>0</v>
      </c>
      <c r="N1389">
        <v>0</v>
      </c>
      <c r="O1389">
        <v>0</v>
      </c>
      <c r="P1389">
        <v>41.94</v>
      </c>
    </row>
    <row r="1390" spans="1:16" x14ac:dyDescent="0.3">
      <c r="A1390">
        <v>73105</v>
      </c>
      <c r="B1390">
        <v>105</v>
      </c>
      <c r="C1390" t="s">
        <v>557</v>
      </c>
      <c r="D1390" s="452">
        <v>46054</v>
      </c>
      <c r="E1390">
        <v>20365</v>
      </c>
      <c r="F1390" t="s">
        <v>4796</v>
      </c>
      <c r="G1390">
        <v>2199</v>
      </c>
      <c r="H1390">
        <v>9</v>
      </c>
      <c r="I1390" t="s">
        <v>4736</v>
      </c>
      <c r="J1390" t="s">
        <v>5191</v>
      </c>
      <c r="K1390" t="s">
        <v>459</v>
      </c>
      <c r="L1390">
        <v>0</v>
      </c>
      <c r="M1390" s="452">
        <v>46006</v>
      </c>
      <c r="N1390">
        <v>4.62</v>
      </c>
      <c r="O1390">
        <v>4.6399999999999997</v>
      </c>
      <c r="P1390">
        <v>41.58</v>
      </c>
    </row>
    <row r="1391" spans="1:16" x14ac:dyDescent="0.3">
      <c r="A1391">
        <v>73170</v>
      </c>
      <c r="B1391">
        <v>105</v>
      </c>
      <c r="C1391" t="s">
        <v>557</v>
      </c>
      <c r="D1391" s="452">
        <v>46054</v>
      </c>
      <c r="E1391">
        <v>20792</v>
      </c>
      <c r="F1391" t="s">
        <v>5022</v>
      </c>
      <c r="G1391">
        <v>2076</v>
      </c>
      <c r="H1391">
        <v>4</v>
      </c>
      <c r="I1391" t="s">
        <v>4738</v>
      </c>
      <c r="J1391" t="s">
        <v>5191</v>
      </c>
      <c r="K1391" t="s">
        <v>459</v>
      </c>
      <c r="L1391">
        <v>0</v>
      </c>
      <c r="M1391" s="452">
        <v>46006</v>
      </c>
      <c r="N1391">
        <v>10.29</v>
      </c>
      <c r="O1391">
        <v>10.29</v>
      </c>
      <c r="P1391">
        <v>41.16</v>
      </c>
    </row>
    <row r="1392" spans="1:16" x14ac:dyDescent="0.3">
      <c r="A1392">
        <v>73224</v>
      </c>
      <c r="B1392">
        <v>105</v>
      </c>
      <c r="C1392" t="s">
        <v>557</v>
      </c>
      <c r="D1392" s="452">
        <v>46054</v>
      </c>
      <c r="E1392">
        <v>19983</v>
      </c>
      <c r="F1392" t="s">
        <v>5068</v>
      </c>
      <c r="G1392">
        <v>2351</v>
      </c>
      <c r="H1392">
        <v>2</v>
      </c>
      <c r="I1392" t="s">
        <v>4888</v>
      </c>
      <c r="J1392" t="s">
        <v>5191</v>
      </c>
      <c r="K1392" t="s">
        <v>459</v>
      </c>
      <c r="L1392">
        <v>19.8</v>
      </c>
      <c r="M1392" s="452">
        <v>46041</v>
      </c>
      <c r="N1392">
        <v>19.8</v>
      </c>
      <c r="O1392">
        <v>19.8</v>
      </c>
      <c r="P1392">
        <v>39.6</v>
      </c>
    </row>
    <row r="1393" spans="1:16" x14ac:dyDescent="0.3">
      <c r="A1393">
        <v>73122</v>
      </c>
      <c r="B1393">
        <v>105</v>
      </c>
      <c r="C1393" t="s">
        <v>557</v>
      </c>
      <c r="D1393" s="452">
        <v>46054</v>
      </c>
      <c r="E1393">
        <v>25748</v>
      </c>
      <c r="F1393" t="s">
        <v>4999</v>
      </c>
      <c r="G1393">
        <v>9068</v>
      </c>
      <c r="H1393">
        <v>7</v>
      </c>
      <c r="I1393" t="s">
        <v>4749</v>
      </c>
      <c r="J1393" t="s">
        <v>5191</v>
      </c>
      <c r="K1393" t="s">
        <v>459</v>
      </c>
      <c r="L1393">
        <v>0</v>
      </c>
      <c r="M1393" s="452">
        <v>45995</v>
      </c>
      <c r="N1393">
        <v>5.65</v>
      </c>
      <c r="O1393">
        <v>5.65</v>
      </c>
      <c r="P1393">
        <v>39.549999999999997</v>
      </c>
    </row>
    <row r="1394" spans="1:16" x14ac:dyDescent="0.3">
      <c r="A1394">
        <v>73197</v>
      </c>
      <c r="B1394">
        <v>105</v>
      </c>
      <c r="C1394" t="s">
        <v>557</v>
      </c>
      <c r="D1394" s="452">
        <v>46054</v>
      </c>
      <c r="E1394">
        <v>23349</v>
      </c>
      <c r="F1394" t="s">
        <v>4988</v>
      </c>
      <c r="G1394">
        <v>2509</v>
      </c>
      <c r="H1394">
        <v>3</v>
      </c>
      <c r="I1394" t="s">
        <v>4744</v>
      </c>
      <c r="J1394" t="s">
        <v>5191</v>
      </c>
      <c r="K1394" t="s">
        <v>459</v>
      </c>
      <c r="L1394">
        <v>12.92</v>
      </c>
      <c r="M1394" s="452">
        <v>46051</v>
      </c>
      <c r="N1394">
        <v>12.48</v>
      </c>
      <c r="O1394">
        <v>12.48</v>
      </c>
      <c r="P1394">
        <v>38.76</v>
      </c>
    </row>
    <row r="1395" spans="1:16" x14ac:dyDescent="0.3">
      <c r="A1395">
        <v>73290</v>
      </c>
      <c r="B1395">
        <v>105</v>
      </c>
      <c r="C1395" t="s">
        <v>557</v>
      </c>
      <c r="D1395" s="452">
        <v>46054</v>
      </c>
      <c r="E1395">
        <v>19526</v>
      </c>
      <c r="F1395" t="s">
        <v>4997</v>
      </c>
      <c r="G1395">
        <v>2687</v>
      </c>
      <c r="H1395">
        <v>1</v>
      </c>
      <c r="I1395" t="s">
        <v>4744</v>
      </c>
      <c r="J1395" t="s">
        <v>5191</v>
      </c>
      <c r="K1395" t="s">
        <v>459</v>
      </c>
      <c r="L1395">
        <v>38.75</v>
      </c>
      <c r="M1395" s="452">
        <v>46048</v>
      </c>
      <c r="N1395">
        <v>38.75</v>
      </c>
      <c r="O1395">
        <v>43.07</v>
      </c>
      <c r="P1395">
        <v>38.75</v>
      </c>
    </row>
    <row r="1396" spans="1:16" x14ac:dyDescent="0.3">
      <c r="A1396">
        <v>73079</v>
      </c>
      <c r="B1396">
        <v>105</v>
      </c>
      <c r="C1396" t="s">
        <v>557</v>
      </c>
      <c r="D1396" s="452">
        <v>46054</v>
      </c>
      <c r="E1396">
        <v>19658</v>
      </c>
      <c r="F1396" t="s">
        <v>4784</v>
      </c>
      <c r="G1396">
        <v>2582</v>
      </c>
      <c r="H1396">
        <v>13.88</v>
      </c>
      <c r="I1396" t="s">
        <v>4744</v>
      </c>
      <c r="J1396" t="s">
        <v>5191</v>
      </c>
      <c r="K1396" t="s">
        <v>459</v>
      </c>
      <c r="L1396">
        <v>2.79</v>
      </c>
      <c r="M1396" s="452">
        <v>46051</v>
      </c>
      <c r="N1396">
        <v>2.8</v>
      </c>
      <c r="O1396">
        <v>2.8</v>
      </c>
      <c r="P1396">
        <v>38.729999999999997</v>
      </c>
    </row>
    <row r="1397" spans="1:16" x14ac:dyDescent="0.3">
      <c r="A1397">
        <v>73204</v>
      </c>
      <c r="B1397">
        <v>105</v>
      </c>
      <c r="C1397" t="s">
        <v>557</v>
      </c>
      <c r="D1397" s="452">
        <v>46054</v>
      </c>
      <c r="E1397">
        <v>19572</v>
      </c>
      <c r="F1397" t="s">
        <v>4989</v>
      </c>
      <c r="G1397">
        <v>2646</v>
      </c>
      <c r="H1397">
        <v>2.2999999999999998</v>
      </c>
      <c r="I1397" t="s">
        <v>4744</v>
      </c>
      <c r="J1397" t="s">
        <v>5191</v>
      </c>
      <c r="K1397" t="s">
        <v>459</v>
      </c>
      <c r="L1397">
        <v>16.84</v>
      </c>
      <c r="M1397" s="452">
        <v>46051</v>
      </c>
      <c r="N1397">
        <v>15</v>
      </c>
      <c r="O1397">
        <v>15</v>
      </c>
      <c r="P1397">
        <v>38.729999999999997</v>
      </c>
    </row>
    <row r="1398" spans="1:16" x14ac:dyDescent="0.3">
      <c r="A1398">
        <v>73307</v>
      </c>
      <c r="B1398">
        <v>105</v>
      </c>
      <c r="C1398" t="s">
        <v>557</v>
      </c>
      <c r="D1398" s="452">
        <v>46054</v>
      </c>
      <c r="E1398">
        <v>23108</v>
      </c>
      <c r="F1398" t="s">
        <v>5117</v>
      </c>
      <c r="G1398">
        <v>2739</v>
      </c>
      <c r="H1398">
        <v>0.64</v>
      </c>
      <c r="I1398" t="s">
        <v>4744</v>
      </c>
      <c r="J1398" t="s">
        <v>5191</v>
      </c>
      <c r="K1398" t="s">
        <v>459</v>
      </c>
      <c r="L1398">
        <v>60</v>
      </c>
      <c r="M1398" s="452">
        <v>46044</v>
      </c>
      <c r="N1398">
        <v>60</v>
      </c>
      <c r="O1398">
        <v>60.38</v>
      </c>
      <c r="P1398">
        <v>38.4</v>
      </c>
    </row>
    <row r="1399" spans="1:16" x14ac:dyDescent="0.3">
      <c r="A1399">
        <v>73223</v>
      </c>
      <c r="B1399">
        <v>105</v>
      </c>
      <c r="C1399" t="s">
        <v>557</v>
      </c>
      <c r="D1399" s="452">
        <v>46054</v>
      </c>
      <c r="E1399">
        <v>20871</v>
      </c>
      <c r="F1399" t="s">
        <v>5015</v>
      </c>
      <c r="G1399">
        <v>2043</v>
      </c>
      <c r="H1399">
        <v>2</v>
      </c>
      <c r="I1399" t="s">
        <v>4879</v>
      </c>
      <c r="J1399" t="s">
        <v>5191</v>
      </c>
      <c r="K1399" t="s">
        <v>459</v>
      </c>
      <c r="L1399">
        <v>18.899999999999999</v>
      </c>
      <c r="M1399" s="452">
        <v>46030</v>
      </c>
      <c r="N1399">
        <v>18.899999999999999</v>
      </c>
      <c r="O1399">
        <v>18.899999999999999</v>
      </c>
      <c r="P1399">
        <v>37.799999999999997</v>
      </c>
    </row>
    <row r="1400" spans="1:16" x14ac:dyDescent="0.3">
      <c r="A1400">
        <v>73066</v>
      </c>
      <c r="B1400">
        <v>105</v>
      </c>
      <c r="C1400" t="s">
        <v>557</v>
      </c>
      <c r="D1400" s="452">
        <v>46054</v>
      </c>
      <c r="E1400">
        <v>24509</v>
      </c>
      <c r="F1400" t="s">
        <v>4788</v>
      </c>
      <c r="G1400">
        <v>2607</v>
      </c>
      <c r="H1400">
        <v>20.77</v>
      </c>
      <c r="I1400" t="s">
        <v>4744</v>
      </c>
      <c r="J1400" t="s">
        <v>5191</v>
      </c>
      <c r="K1400" t="s">
        <v>459</v>
      </c>
      <c r="L1400">
        <v>1.79</v>
      </c>
      <c r="M1400" s="452">
        <v>46051</v>
      </c>
      <c r="N1400">
        <v>1.8</v>
      </c>
      <c r="O1400">
        <v>1.76</v>
      </c>
      <c r="P1400">
        <v>37.18</v>
      </c>
    </row>
    <row r="1401" spans="1:16" x14ac:dyDescent="0.3">
      <c r="A1401">
        <v>73331</v>
      </c>
      <c r="B1401">
        <v>105</v>
      </c>
      <c r="C1401" t="s">
        <v>557</v>
      </c>
      <c r="D1401" s="452">
        <v>46054</v>
      </c>
      <c r="E1401">
        <v>19652</v>
      </c>
      <c r="F1401" t="s">
        <v>4899</v>
      </c>
      <c r="G1401">
        <v>2587</v>
      </c>
      <c r="H1401">
        <v>1.95</v>
      </c>
      <c r="I1401" t="s">
        <v>4744</v>
      </c>
      <c r="J1401" t="s">
        <v>5191</v>
      </c>
      <c r="K1401" t="s">
        <v>459</v>
      </c>
      <c r="L1401">
        <v>19</v>
      </c>
      <c r="M1401" s="452">
        <v>46044</v>
      </c>
      <c r="N1401">
        <v>19</v>
      </c>
      <c r="O1401">
        <v>19.07</v>
      </c>
      <c r="P1401">
        <v>37.049999999999997</v>
      </c>
    </row>
    <row r="1402" spans="1:16" x14ac:dyDescent="0.3">
      <c r="A1402">
        <v>73297</v>
      </c>
      <c r="B1402">
        <v>105</v>
      </c>
      <c r="C1402" t="s">
        <v>557</v>
      </c>
      <c r="D1402" s="452">
        <v>46054</v>
      </c>
      <c r="E1402">
        <v>18317</v>
      </c>
      <c r="F1402" t="s">
        <v>5056</v>
      </c>
      <c r="G1402">
        <v>3316</v>
      </c>
      <c r="H1402">
        <v>1</v>
      </c>
      <c r="I1402" t="s">
        <v>4805</v>
      </c>
      <c r="J1402" t="s">
        <v>5222</v>
      </c>
      <c r="K1402" t="s">
        <v>459</v>
      </c>
      <c r="L1402">
        <v>0</v>
      </c>
      <c r="N1402">
        <v>0</v>
      </c>
      <c r="O1402">
        <v>37.25</v>
      </c>
      <c r="P1402">
        <v>36.89</v>
      </c>
    </row>
    <row r="1403" spans="1:16" x14ac:dyDescent="0.3">
      <c r="A1403">
        <v>73192</v>
      </c>
      <c r="B1403">
        <v>105</v>
      </c>
      <c r="C1403" t="s">
        <v>557</v>
      </c>
      <c r="D1403" s="452">
        <v>46054</v>
      </c>
      <c r="E1403">
        <v>23539</v>
      </c>
      <c r="F1403" t="s">
        <v>4995</v>
      </c>
      <c r="G1403">
        <v>2332</v>
      </c>
      <c r="H1403">
        <v>3</v>
      </c>
      <c r="I1403" t="s">
        <v>4744</v>
      </c>
      <c r="J1403" t="s">
        <v>5191</v>
      </c>
      <c r="K1403" t="s">
        <v>459</v>
      </c>
      <c r="L1403">
        <v>0</v>
      </c>
      <c r="M1403" s="452">
        <v>45989</v>
      </c>
      <c r="N1403">
        <v>12</v>
      </c>
      <c r="O1403">
        <v>12</v>
      </c>
      <c r="P1403">
        <v>36</v>
      </c>
    </row>
    <row r="1404" spans="1:16" x14ac:dyDescent="0.3">
      <c r="A1404">
        <v>73232</v>
      </c>
      <c r="B1404">
        <v>105</v>
      </c>
      <c r="C1404" t="s">
        <v>557</v>
      </c>
      <c r="D1404" s="452">
        <v>46054</v>
      </c>
      <c r="E1404">
        <v>23238</v>
      </c>
      <c r="F1404" t="s">
        <v>4934</v>
      </c>
      <c r="G1404">
        <v>2618</v>
      </c>
      <c r="H1404">
        <v>2</v>
      </c>
      <c r="I1404" t="s">
        <v>4744</v>
      </c>
      <c r="J1404" t="s">
        <v>5191</v>
      </c>
      <c r="K1404" t="s">
        <v>459</v>
      </c>
      <c r="L1404">
        <v>17.72</v>
      </c>
      <c r="M1404" s="452">
        <v>46050</v>
      </c>
      <c r="N1404">
        <v>19.600000000000001</v>
      </c>
      <c r="O1404">
        <v>17.5</v>
      </c>
      <c r="P1404">
        <v>35.44</v>
      </c>
    </row>
    <row r="1405" spans="1:16" x14ac:dyDescent="0.3">
      <c r="A1405">
        <v>73274</v>
      </c>
      <c r="B1405">
        <v>105</v>
      </c>
      <c r="C1405" t="s">
        <v>557</v>
      </c>
      <c r="D1405" s="452">
        <v>46054</v>
      </c>
      <c r="E1405">
        <v>21130</v>
      </c>
      <c r="F1405" t="s">
        <v>4998</v>
      </c>
      <c r="G1405">
        <v>1963</v>
      </c>
      <c r="H1405">
        <v>1</v>
      </c>
      <c r="I1405" t="s">
        <v>4736</v>
      </c>
      <c r="J1405" t="s">
        <v>5191</v>
      </c>
      <c r="K1405" t="s">
        <v>459</v>
      </c>
      <c r="L1405">
        <v>0</v>
      </c>
      <c r="M1405" s="452">
        <v>45811</v>
      </c>
      <c r="N1405">
        <v>35.31</v>
      </c>
      <c r="O1405">
        <v>36.78</v>
      </c>
      <c r="P1405">
        <v>35.31</v>
      </c>
    </row>
    <row r="1406" spans="1:16" x14ac:dyDescent="0.3">
      <c r="A1406">
        <v>73226</v>
      </c>
      <c r="B1406">
        <v>105</v>
      </c>
      <c r="C1406" t="s">
        <v>557</v>
      </c>
      <c r="D1406" s="452">
        <v>46054</v>
      </c>
      <c r="E1406">
        <v>21000</v>
      </c>
      <c r="F1406" t="s">
        <v>4818</v>
      </c>
      <c r="G1406">
        <v>2008</v>
      </c>
      <c r="H1406">
        <v>2</v>
      </c>
      <c r="I1406" t="s">
        <v>4736</v>
      </c>
      <c r="J1406" t="s">
        <v>5191</v>
      </c>
      <c r="K1406" t="s">
        <v>459</v>
      </c>
      <c r="L1406">
        <v>0</v>
      </c>
      <c r="M1406" s="452">
        <v>45887</v>
      </c>
      <c r="N1406">
        <v>16.309999999999999</v>
      </c>
      <c r="O1406">
        <v>16.309999999999999</v>
      </c>
      <c r="P1406">
        <v>32.619999999999997</v>
      </c>
    </row>
    <row r="1407" spans="1:16" x14ac:dyDescent="0.3">
      <c r="A1407">
        <v>73262</v>
      </c>
      <c r="B1407">
        <v>105</v>
      </c>
      <c r="C1407" t="s">
        <v>557</v>
      </c>
      <c r="D1407" s="452">
        <v>46054</v>
      </c>
      <c r="E1407">
        <v>23335</v>
      </c>
      <c r="F1407" t="s">
        <v>4961</v>
      </c>
      <c r="G1407">
        <v>2523</v>
      </c>
      <c r="H1407">
        <v>1.27</v>
      </c>
      <c r="I1407" t="s">
        <v>4744</v>
      </c>
      <c r="J1407" t="s">
        <v>5191</v>
      </c>
      <c r="K1407" t="s">
        <v>459</v>
      </c>
      <c r="L1407">
        <v>25.59</v>
      </c>
      <c r="M1407" s="452">
        <v>46052</v>
      </c>
      <c r="N1407">
        <v>37.5</v>
      </c>
      <c r="O1407">
        <v>43.5</v>
      </c>
      <c r="P1407">
        <v>32.5</v>
      </c>
    </row>
    <row r="1408" spans="1:16" x14ac:dyDescent="0.3">
      <c r="A1408">
        <v>73299</v>
      </c>
      <c r="B1408">
        <v>105</v>
      </c>
      <c r="C1408" t="s">
        <v>557</v>
      </c>
      <c r="D1408" s="452">
        <v>46054</v>
      </c>
      <c r="E1408">
        <v>18214</v>
      </c>
      <c r="F1408" t="s">
        <v>5039</v>
      </c>
      <c r="G1408">
        <v>3413</v>
      </c>
      <c r="H1408">
        <v>1</v>
      </c>
      <c r="I1408" t="s">
        <v>4805</v>
      </c>
      <c r="J1408" t="s">
        <v>5222</v>
      </c>
      <c r="K1408" t="s">
        <v>459</v>
      </c>
      <c r="L1408">
        <v>0</v>
      </c>
      <c r="M1408" s="452">
        <v>45378</v>
      </c>
      <c r="N1408">
        <v>32.200000000000003</v>
      </c>
      <c r="O1408">
        <v>37.47</v>
      </c>
      <c r="P1408">
        <v>32.200000000000003</v>
      </c>
    </row>
    <row r="1409" spans="1:16" x14ac:dyDescent="0.3">
      <c r="A1409">
        <v>73184</v>
      </c>
      <c r="B1409">
        <v>105</v>
      </c>
      <c r="C1409" t="s">
        <v>557</v>
      </c>
      <c r="D1409" s="452">
        <v>46054</v>
      </c>
      <c r="E1409">
        <v>23184</v>
      </c>
      <c r="F1409" t="s">
        <v>4935</v>
      </c>
      <c r="G1409">
        <v>2670</v>
      </c>
      <c r="H1409">
        <v>3.1</v>
      </c>
      <c r="I1409" t="s">
        <v>4744</v>
      </c>
      <c r="J1409" t="s">
        <v>5191</v>
      </c>
      <c r="K1409" t="s">
        <v>459</v>
      </c>
      <c r="L1409">
        <v>10.199999999999999</v>
      </c>
      <c r="M1409" s="452">
        <v>46051</v>
      </c>
      <c r="N1409">
        <v>9.8000000000000007</v>
      </c>
      <c r="O1409">
        <v>8.75</v>
      </c>
      <c r="P1409">
        <v>31.62</v>
      </c>
    </row>
    <row r="1410" spans="1:16" x14ac:dyDescent="0.3">
      <c r="A1410">
        <v>73334</v>
      </c>
      <c r="B1410">
        <v>105</v>
      </c>
      <c r="C1410" t="s">
        <v>557</v>
      </c>
      <c r="D1410" s="452">
        <v>46054</v>
      </c>
      <c r="E1410">
        <v>19130</v>
      </c>
      <c r="F1410" t="s">
        <v>4990</v>
      </c>
      <c r="G1410">
        <v>2839</v>
      </c>
      <c r="H1410">
        <v>1.4</v>
      </c>
      <c r="I1410" t="s">
        <v>4744</v>
      </c>
      <c r="J1410" t="s">
        <v>5191</v>
      </c>
      <c r="K1410" t="s">
        <v>459</v>
      </c>
      <c r="L1410">
        <v>0</v>
      </c>
      <c r="N1410">
        <v>0</v>
      </c>
      <c r="O1410">
        <v>22.5</v>
      </c>
      <c r="P1410">
        <v>31.5</v>
      </c>
    </row>
    <row r="1411" spans="1:16" x14ac:dyDescent="0.3">
      <c r="A1411">
        <v>73136</v>
      </c>
      <c r="B1411">
        <v>105</v>
      </c>
      <c r="C1411" t="s">
        <v>557</v>
      </c>
      <c r="D1411" s="452">
        <v>46054</v>
      </c>
      <c r="E1411">
        <v>20138</v>
      </c>
      <c r="F1411" t="s">
        <v>4886</v>
      </c>
      <c r="G1411">
        <v>2284</v>
      </c>
      <c r="H1411">
        <v>6</v>
      </c>
      <c r="I1411" t="s">
        <v>4738</v>
      </c>
      <c r="J1411" t="s">
        <v>5191</v>
      </c>
      <c r="K1411" t="s">
        <v>459</v>
      </c>
      <c r="L1411">
        <v>5.15</v>
      </c>
      <c r="M1411" s="452">
        <v>46052</v>
      </c>
      <c r="N1411">
        <v>5.15</v>
      </c>
      <c r="O1411">
        <v>5.15</v>
      </c>
      <c r="P1411">
        <v>30.9</v>
      </c>
    </row>
    <row r="1412" spans="1:16" x14ac:dyDescent="0.3">
      <c r="A1412">
        <v>73252</v>
      </c>
      <c r="B1412">
        <v>105</v>
      </c>
      <c r="C1412" t="s">
        <v>557</v>
      </c>
      <c r="D1412" s="452">
        <v>46054</v>
      </c>
      <c r="E1412">
        <v>19752</v>
      </c>
      <c r="F1412" t="s">
        <v>4807</v>
      </c>
      <c r="G1412">
        <v>2501</v>
      </c>
      <c r="H1412">
        <v>1.5</v>
      </c>
      <c r="I1412" t="s">
        <v>4744</v>
      </c>
      <c r="J1412" t="s">
        <v>5191</v>
      </c>
      <c r="K1412" t="s">
        <v>459</v>
      </c>
      <c r="L1412">
        <v>20</v>
      </c>
      <c r="M1412" s="452">
        <v>46044</v>
      </c>
      <c r="N1412">
        <v>20</v>
      </c>
      <c r="O1412">
        <v>20</v>
      </c>
      <c r="P1412">
        <v>30</v>
      </c>
    </row>
    <row r="1413" spans="1:16" x14ac:dyDescent="0.3">
      <c r="A1413">
        <v>73287</v>
      </c>
      <c r="B1413">
        <v>105</v>
      </c>
      <c r="C1413" t="s">
        <v>557</v>
      </c>
      <c r="D1413" s="452">
        <v>46054</v>
      </c>
      <c r="E1413">
        <v>20614</v>
      </c>
      <c r="F1413" t="s">
        <v>4958</v>
      </c>
      <c r="G1413">
        <v>2119</v>
      </c>
      <c r="H1413">
        <v>1</v>
      </c>
      <c r="I1413" t="s">
        <v>4736</v>
      </c>
      <c r="J1413" t="s">
        <v>5191</v>
      </c>
      <c r="K1413" t="s">
        <v>459</v>
      </c>
      <c r="L1413">
        <v>0</v>
      </c>
      <c r="M1413" s="452">
        <v>45852</v>
      </c>
      <c r="N1413">
        <v>29.9</v>
      </c>
      <c r="O1413">
        <v>32.4</v>
      </c>
      <c r="P1413">
        <v>29.9</v>
      </c>
    </row>
    <row r="1414" spans="1:16" x14ac:dyDescent="0.3">
      <c r="A1414">
        <v>73288</v>
      </c>
      <c r="B1414">
        <v>105</v>
      </c>
      <c r="C1414" t="s">
        <v>557</v>
      </c>
      <c r="D1414" s="452">
        <v>46054</v>
      </c>
      <c r="E1414">
        <v>20585</v>
      </c>
      <c r="F1414" t="s">
        <v>5025</v>
      </c>
      <c r="G1414">
        <v>2121</v>
      </c>
      <c r="H1414">
        <v>1</v>
      </c>
      <c r="I1414" t="s">
        <v>4736</v>
      </c>
      <c r="J1414" t="s">
        <v>5191</v>
      </c>
      <c r="K1414" t="s">
        <v>459</v>
      </c>
      <c r="L1414">
        <v>29</v>
      </c>
      <c r="M1414" s="452">
        <v>46041</v>
      </c>
      <c r="N1414">
        <v>29</v>
      </c>
      <c r="O1414">
        <v>29</v>
      </c>
      <c r="P1414">
        <v>29</v>
      </c>
    </row>
    <row r="1415" spans="1:16" x14ac:dyDescent="0.3">
      <c r="A1415">
        <v>73247</v>
      </c>
      <c r="B1415">
        <v>105</v>
      </c>
      <c r="C1415" t="s">
        <v>557</v>
      </c>
      <c r="D1415" s="452">
        <v>46054</v>
      </c>
      <c r="E1415">
        <v>19728</v>
      </c>
      <c r="F1415" t="s">
        <v>5106</v>
      </c>
      <c r="G1415">
        <v>2525</v>
      </c>
      <c r="H1415">
        <v>1.56</v>
      </c>
      <c r="I1415" t="s">
        <v>4744</v>
      </c>
      <c r="J1415" t="s">
        <v>5191</v>
      </c>
      <c r="K1415" t="s">
        <v>459</v>
      </c>
      <c r="L1415">
        <v>18.010000000000002</v>
      </c>
      <c r="M1415" s="452">
        <v>46051</v>
      </c>
      <c r="N1415">
        <v>17</v>
      </c>
      <c r="O1415">
        <v>17</v>
      </c>
      <c r="P1415">
        <v>28.1</v>
      </c>
    </row>
    <row r="1416" spans="1:16" x14ac:dyDescent="0.3">
      <c r="A1416">
        <v>73174</v>
      </c>
      <c r="B1416">
        <v>105</v>
      </c>
      <c r="C1416" t="s">
        <v>557</v>
      </c>
      <c r="D1416" s="452">
        <v>46054</v>
      </c>
      <c r="E1416">
        <v>17915</v>
      </c>
      <c r="F1416" t="s">
        <v>5104</v>
      </c>
      <c r="G1416">
        <v>3648</v>
      </c>
      <c r="H1416">
        <v>0.17</v>
      </c>
      <c r="I1416" t="s">
        <v>4738</v>
      </c>
      <c r="J1416" t="s">
        <v>5222</v>
      </c>
      <c r="K1416" t="s">
        <v>459</v>
      </c>
      <c r="L1416">
        <v>0</v>
      </c>
      <c r="M1416" s="452">
        <v>45653</v>
      </c>
      <c r="N1416">
        <v>163.68</v>
      </c>
      <c r="O1416">
        <v>152.62</v>
      </c>
      <c r="P1416">
        <v>27.83</v>
      </c>
    </row>
    <row r="1417" spans="1:16" x14ac:dyDescent="0.3">
      <c r="A1417">
        <v>73312</v>
      </c>
      <c r="B1417">
        <v>105</v>
      </c>
      <c r="C1417" t="s">
        <v>557</v>
      </c>
      <c r="D1417" s="452">
        <v>46054</v>
      </c>
      <c r="E1417">
        <v>20224</v>
      </c>
      <c r="F1417" t="s">
        <v>5118</v>
      </c>
      <c r="G1417">
        <v>2249</v>
      </c>
      <c r="H1417">
        <v>0.5</v>
      </c>
      <c r="I1417" t="s">
        <v>4744</v>
      </c>
      <c r="J1417" t="s">
        <v>5191</v>
      </c>
      <c r="K1417" t="s">
        <v>459</v>
      </c>
      <c r="L1417">
        <v>52</v>
      </c>
      <c r="M1417" s="452">
        <v>46029</v>
      </c>
      <c r="N1417">
        <v>52</v>
      </c>
      <c r="O1417">
        <v>52</v>
      </c>
      <c r="P1417">
        <v>26</v>
      </c>
    </row>
    <row r="1418" spans="1:16" x14ac:dyDescent="0.3">
      <c r="A1418">
        <v>73293</v>
      </c>
      <c r="B1418">
        <v>105</v>
      </c>
      <c r="C1418" t="s">
        <v>557</v>
      </c>
      <c r="D1418" s="452">
        <v>46054</v>
      </c>
      <c r="E1418">
        <v>23088</v>
      </c>
      <c r="F1418" t="s">
        <v>5027</v>
      </c>
      <c r="G1418">
        <v>2760</v>
      </c>
      <c r="H1418">
        <v>1</v>
      </c>
      <c r="I1418" t="s">
        <v>4736</v>
      </c>
      <c r="J1418" t="s">
        <v>5191</v>
      </c>
      <c r="K1418" t="s">
        <v>459</v>
      </c>
      <c r="L1418">
        <v>25.3</v>
      </c>
      <c r="M1418" s="452">
        <v>46052</v>
      </c>
      <c r="N1418">
        <v>25.6</v>
      </c>
      <c r="O1418">
        <v>25.6</v>
      </c>
      <c r="P1418">
        <v>25.3</v>
      </c>
    </row>
    <row r="1419" spans="1:16" x14ac:dyDescent="0.3">
      <c r="A1419">
        <v>73269</v>
      </c>
      <c r="B1419">
        <v>105</v>
      </c>
      <c r="C1419" t="s">
        <v>557</v>
      </c>
      <c r="D1419" s="452">
        <v>46054</v>
      </c>
      <c r="E1419">
        <v>23365</v>
      </c>
      <c r="F1419" t="s">
        <v>5108</v>
      </c>
      <c r="G1419">
        <v>2493</v>
      </c>
      <c r="H1419">
        <v>1.08</v>
      </c>
      <c r="I1419" t="s">
        <v>4744</v>
      </c>
      <c r="J1419" t="s">
        <v>5191</v>
      </c>
      <c r="K1419" t="s">
        <v>459</v>
      </c>
      <c r="L1419">
        <v>23.4</v>
      </c>
      <c r="M1419" s="452">
        <v>46042</v>
      </c>
      <c r="N1419">
        <v>21</v>
      </c>
      <c r="O1419">
        <v>23.64</v>
      </c>
      <c r="P1419">
        <v>25.27</v>
      </c>
    </row>
    <row r="1420" spans="1:16" x14ac:dyDescent="0.3">
      <c r="A1420">
        <v>73212</v>
      </c>
      <c r="B1420">
        <v>105</v>
      </c>
      <c r="C1420" t="s">
        <v>557</v>
      </c>
      <c r="D1420" s="452">
        <v>46054</v>
      </c>
      <c r="E1420">
        <v>26006</v>
      </c>
      <c r="F1420" t="s">
        <v>4941</v>
      </c>
      <c r="G1420">
        <v>6491</v>
      </c>
      <c r="H1420">
        <v>2</v>
      </c>
      <c r="I1420" t="s">
        <v>4749</v>
      </c>
      <c r="J1420" t="s">
        <v>5191</v>
      </c>
      <c r="K1420" t="s">
        <v>459</v>
      </c>
      <c r="L1420">
        <v>0</v>
      </c>
      <c r="M1420" s="452">
        <v>45995</v>
      </c>
      <c r="N1420">
        <v>12.62</v>
      </c>
      <c r="O1420">
        <v>12.62</v>
      </c>
      <c r="P1420">
        <v>25.24</v>
      </c>
    </row>
    <row r="1421" spans="1:16" x14ac:dyDescent="0.3">
      <c r="A1421">
        <v>73200</v>
      </c>
      <c r="B1421">
        <v>105</v>
      </c>
      <c r="C1421" t="s">
        <v>557</v>
      </c>
      <c r="D1421" s="452">
        <v>46054</v>
      </c>
      <c r="E1421">
        <v>23635</v>
      </c>
      <c r="F1421" t="s">
        <v>4837</v>
      </c>
      <c r="G1421">
        <v>2247</v>
      </c>
      <c r="H1421">
        <v>2.89</v>
      </c>
      <c r="I1421" t="s">
        <v>4744</v>
      </c>
      <c r="J1421" t="s">
        <v>5191</v>
      </c>
      <c r="K1421" t="s">
        <v>459</v>
      </c>
      <c r="L1421">
        <v>0</v>
      </c>
      <c r="M1421" s="452">
        <v>45845</v>
      </c>
      <c r="N1421">
        <v>8.7100000000000009</v>
      </c>
      <c r="O1421">
        <v>7.9</v>
      </c>
      <c r="P1421">
        <v>25.17</v>
      </c>
    </row>
    <row r="1422" spans="1:16" x14ac:dyDescent="0.3">
      <c r="A1422">
        <v>73271</v>
      </c>
      <c r="B1422">
        <v>105</v>
      </c>
      <c r="C1422" t="s">
        <v>557</v>
      </c>
      <c r="D1422" s="452">
        <v>46054</v>
      </c>
      <c r="E1422">
        <v>24272</v>
      </c>
      <c r="F1422" t="s">
        <v>5059</v>
      </c>
      <c r="G1422">
        <v>2341</v>
      </c>
      <c r="H1422">
        <v>1.03</v>
      </c>
      <c r="I1422" t="s">
        <v>4744</v>
      </c>
      <c r="J1422" t="s">
        <v>5191</v>
      </c>
      <c r="K1422" t="s">
        <v>459</v>
      </c>
      <c r="L1422">
        <v>0</v>
      </c>
      <c r="M1422" s="452">
        <v>45737</v>
      </c>
      <c r="N1422">
        <v>24</v>
      </c>
      <c r="O1422">
        <v>29.9</v>
      </c>
      <c r="P1422">
        <v>24.72</v>
      </c>
    </row>
    <row r="1423" spans="1:16" x14ac:dyDescent="0.3">
      <c r="A1423">
        <v>73281</v>
      </c>
      <c r="B1423">
        <v>105</v>
      </c>
      <c r="C1423" t="s">
        <v>557</v>
      </c>
      <c r="D1423" s="452">
        <v>46054</v>
      </c>
      <c r="E1423">
        <v>20653</v>
      </c>
      <c r="F1423" t="s">
        <v>5013</v>
      </c>
      <c r="G1423">
        <v>2111</v>
      </c>
      <c r="H1423">
        <v>1</v>
      </c>
      <c r="I1423" t="s">
        <v>4736</v>
      </c>
      <c r="J1423" t="s">
        <v>5191</v>
      </c>
      <c r="K1423" t="s">
        <v>459</v>
      </c>
      <c r="L1423">
        <v>24.7</v>
      </c>
      <c r="M1423" s="452">
        <v>46045</v>
      </c>
      <c r="N1423">
        <v>24.7</v>
      </c>
      <c r="O1423">
        <v>24.7</v>
      </c>
      <c r="P1423">
        <v>24.7</v>
      </c>
    </row>
    <row r="1424" spans="1:16" x14ac:dyDescent="0.3">
      <c r="A1424">
        <v>73241</v>
      </c>
      <c r="B1424">
        <v>105</v>
      </c>
      <c r="C1424" t="s">
        <v>557</v>
      </c>
      <c r="D1424" s="452">
        <v>46054</v>
      </c>
      <c r="E1424">
        <v>19562</v>
      </c>
      <c r="F1424" t="s">
        <v>4939</v>
      </c>
      <c r="G1424">
        <v>2655</v>
      </c>
      <c r="H1424">
        <v>1.89</v>
      </c>
      <c r="I1424" t="s">
        <v>4744</v>
      </c>
      <c r="J1424" t="s">
        <v>5191</v>
      </c>
      <c r="K1424" t="s">
        <v>459</v>
      </c>
      <c r="L1424">
        <v>13.01</v>
      </c>
      <c r="M1424" s="452">
        <v>46048</v>
      </c>
      <c r="N1424">
        <v>9</v>
      </c>
      <c r="O1424">
        <v>8.5</v>
      </c>
      <c r="P1424">
        <v>24.59</v>
      </c>
    </row>
    <row r="1425" spans="1:16" x14ac:dyDescent="0.3">
      <c r="A1425">
        <v>73302</v>
      </c>
      <c r="B1425">
        <v>105</v>
      </c>
      <c r="C1425" t="s">
        <v>557</v>
      </c>
      <c r="D1425" s="452">
        <v>46054</v>
      </c>
      <c r="E1425">
        <v>17883</v>
      </c>
      <c r="F1425" t="s">
        <v>5113</v>
      </c>
      <c r="G1425">
        <v>3673</v>
      </c>
      <c r="H1425">
        <v>1</v>
      </c>
      <c r="I1425" t="s">
        <v>4738</v>
      </c>
      <c r="J1425" t="s">
        <v>5222</v>
      </c>
      <c r="K1425" t="s">
        <v>459</v>
      </c>
      <c r="L1425">
        <v>24.53</v>
      </c>
      <c r="M1425" s="452">
        <v>46046</v>
      </c>
      <c r="N1425">
        <v>28.32</v>
      </c>
      <c r="O1425">
        <v>41.65</v>
      </c>
      <c r="P1425">
        <v>24.53</v>
      </c>
    </row>
    <row r="1426" spans="1:16" x14ac:dyDescent="0.3">
      <c r="A1426">
        <v>73208</v>
      </c>
      <c r="B1426">
        <v>105</v>
      </c>
      <c r="C1426" t="s">
        <v>557</v>
      </c>
      <c r="D1426" s="452">
        <v>46054</v>
      </c>
      <c r="E1426">
        <v>23113</v>
      </c>
      <c r="F1426" t="s">
        <v>5074</v>
      </c>
      <c r="G1426">
        <v>2736</v>
      </c>
      <c r="H1426">
        <v>2.13</v>
      </c>
      <c r="I1426" t="s">
        <v>4744</v>
      </c>
      <c r="J1426" t="s">
        <v>5191</v>
      </c>
      <c r="K1426" t="s">
        <v>459</v>
      </c>
      <c r="L1426">
        <v>11.49</v>
      </c>
      <c r="M1426" s="452">
        <v>46053</v>
      </c>
      <c r="N1426">
        <v>8.5</v>
      </c>
      <c r="O1426">
        <v>8.5</v>
      </c>
      <c r="P1426">
        <v>24.47</v>
      </c>
    </row>
    <row r="1427" spans="1:16" x14ac:dyDescent="0.3">
      <c r="A1427">
        <v>73178</v>
      </c>
      <c r="B1427">
        <v>105</v>
      </c>
      <c r="C1427" t="s">
        <v>557</v>
      </c>
      <c r="D1427" s="452">
        <v>46054</v>
      </c>
      <c r="E1427">
        <v>23346</v>
      </c>
      <c r="F1427" t="s">
        <v>4916</v>
      </c>
      <c r="G1427">
        <v>2512</v>
      </c>
      <c r="H1427">
        <v>3.5</v>
      </c>
      <c r="I1427" t="s">
        <v>4744</v>
      </c>
      <c r="J1427" t="s">
        <v>5191</v>
      </c>
      <c r="K1427" t="s">
        <v>459</v>
      </c>
      <c r="L1427">
        <v>6.94</v>
      </c>
      <c r="M1427" s="452">
        <v>46051</v>
      </c>
      <c r="N1427">
        <v>6.35</v>
      </c>
      <c r="O1427">
        <v>6.35</v>
      </c>
      <c r="P1427">
        <v>24.29</v>
      </c>
    </row>
    <row r="1428" spans="1:16" x14ac:dyDescent="0.3">
      <c r="A1428">
        <v>73284</v>
      </c>
      <c r="B1428">
        <v>105</v>
      </c>
      <c r="C1428" t="s">
        <v>557</v>
      </c>
      <c r="D1428" s="452">
        <v>46054</v>
      </c>
      <c r="E1428">
        <v>20186</v>
      </c>
      <c r="F1428" t="s">
        <v>5061</v>
      </c>
      <c r="G1428">
        <v>2259</v>
      </c>
      <c r="H1428">
        <v>1</v>
      </c>
      <c r="I1428" t="s">
        <v>4744</v>
      </c>
      <c r="J1428" t="s">
        <v>5191</v>
      </c>
      <c r="K1428" t="s">
        <v>459</v>
      </c>
      <c r="L1428">
        <v>0</v>
      </c>
      <c r="M1428" s="452">
        <v>45926</v>
      </c>
      <c r="N1428">
        <v>24</v>
      </c>
      <c r="O1428">
        <v>25.8</v>
      </c>
      <c r="P1428">
        <v>24</v>
      </c>
    </row>
    <row r="1429" spans="1:16" x14ac:dyDescent="0.3">
      <c r="A1429">
        <v>73292</v>
      </c>
      <c r="B1429">
        <v>105</v>
      </c>
      <c r="C1429" t="s">
        <v>557</v>
      </c>
      <c r="D1429" s="452">
        <v>46054</v>
      </c>
      <c r="E1429">
        <v>19434</v>
      </c>
      <c r="F1429" t="s">
        <v>5078</v>
      </c>
      <c r="G1429">
        <v>2757</v>
      </c>
      <c r="H1429">
        <v>1</v>
      </c>
      <c r="I1429" t="s">
        <v>4738</v>
      </c>
      <c r="J1429" t="s">
        <v>5191</v>
      </c>
      <c r="K1429" t="s">
        <v>459</v>
      </c>
      <c r="L1429">
        <v>23.98</v>
      </c>
      <c r="M1429" s="452">
        <v>46037</v>
      </c>
      <c r="N1429">
        <v>23.98</v>
      </c>
      <c r="O1429">
        <v>23.98</v>
      </c>
      <c r="P1429">
        <v>23.98</v>
      </c>
    </row>
    <row r="1430" spans="1:16" x14ac:dyDescent="0.3">
      <c r="A1430">
        <v>73310</v>
      </c>
      <c r="B1430">
        <v>105</v>
      </c>
      <c r="C1430" t="s">
        <v>557</v>
      </c>
      <c r="D1430" s="452">
        <v>46054</v>
      </c>
      <c r="E1430">
        <v>24191</v>
      </c>
      <c r="F1430" t="s">
        <v>4846</v>
      </c>
      <c r="G1430">
        <v>2889</v>
      </c>
      <c r="H1430">
        <v>0.62</v>
      </c>
      <c r="I1430" t="s">
        <v>4744</v>
      </c>
      <c r="J1430" t="s">
        <v>5191</v>
      </c>
      <c r="K1430" t="s">
        <v>459</v>
      </c>
      <c r="L1430">
        <v>0</v>
      </c>
      <c r="M1430" s="452">
        <v>45957</v>
      </c>
      <c r="N1430">
        <v>35.9</v>
      </c>
      <c r="O1430">
        <v>35.9</v>
      </c>
      <c r="P1430">
        <v>22.26</v>
      </c>
    </row>
    <row r="1431" spans="1:16" x14ac:dyDescent="0.3">
      <c r="A1431">
        <v>73137</v>
      </c>
      <c r="B1431">
        <v>105</v>
      </c>
      <c r="C1431" t="s">
        <v>557</v>
      </c>
      <c r="D1431" s="452">
        <v>46054</v>
      </c>
      <c r="E1431">
        <v>25022</v>
      </c>
      <c r="F1431" t="s">
        <v>4912</v>
      </c>
      <c r="G1431">
        <v>5868</v>
      </c>
      <c r="H1431">
        <v>6</v>
      </c>
      <c r="I1431" t="s">
        <v>4738</v>
      </c>
      <c r="J1431" t="s">
        <v>5191</v>
      </c>
      <c r="K1431" t="s">
        <v>459</v>
      </c>
      <c r="L1431">
        <v>3.7</v>
      </c>
      <c r="M1431" s="452">
        <v>46052</v>
      </c>
      <c r="N1431">
        <v>3.7</v>
      </c>
      <c r="O1431">
        <v>3.7</v>
      </c>
      <c r="P1431">
        <v>22.2</v>
      </c>
    </row>
    <row r="1432" spans="1:16" x14ac:dyDescent="0.3">
      <c r="A1432">
        <v>73311</v>
      </c>
      <c r="B1432">
        <v>105</v>
      </c>
      <c r="C1432" t="s">
        <v>557</v>
      </c>
      <c r="D1432" s="452">
        <v>46054</v>
      </c>
      <c r="E1432">
        <v>18212</v>
      </c>
      <c r="F1432" t="s">
        <v>5040</v>
      </c>
      <c r="G1432">
        <v>3415</v>
      </c>
      <c r="H1432">
        <v>0.56999999999999995</v>
      </c>
      <c r="I1432" t="s">
        <v>4805</v>
      </c>
      <c r="J1432" t="s">
        <v>5222</v>
      </c>
      <c r="K1432" t="s">
        <v>459</v>
      </c>
      <c r="L1432">
        <v>0</v>
      </c>
      <c r="N1432">
        <v>0</v>
      </c>
      <c r="O1432">
        <v>32.99</v>
      </c>
      <c r="P1432">
        <v>21.71</v>
      </c>
    </row>
    <row r="1433" spans="1:16" x14ac:dyDescent="0.3">
      <c r="A1433">
        <v>73125</v>
      </c>
      <c r="B1433">
        <v>105</v>
      </c>
      <c r="C1433" t="s">
        <v>557</v>
      </c>
      <c r="D1433" s="452">
        <v>46054</v>
      </c>
      <c r="E1433">
        <v>19907</v>
      </c>
      <c r="F1433" t="s">
        <v>4802</v>
      </c>
      <c r="G1433">
        <v>2381</v>
      </c>
      <c r="H1433">
        <v>7</v>
      </c>
      <c r="I1433" t="s">
        <v>4736</v>
      </c>
      <c r="J1433" t="s">
        <v>5191</v>
      </c>
      <c r="K1433" t="s">
        <v>459</v>
      </c>
      <c r="L1433">
        <v>0</v>
      </c>
      <c r="M1433" s="452">
        <v>45660</v>
      </c>
      <c r="N1433">
        <v>3.05</v>
      </c>
      <c r="O1433">
        <v>3.23</v>
      </c>
      <c r="P1433">
        <v>21.35</v>
      </c>
    </row>
    <row r="1434" spans="1:16" x14ac:dyDescent="0.3">
      <c r="A1434">
        <v>73279</v>
      </c>
      <c r="B1434">
        <v>105</v>
      </c>
      <c r="C1434" t="s">
        <v>557</v>
      </c>
      <c r="D1434" s="452">
        <v>46054</v>
      </c>
      <c r="E1434">
        <v>20234</v>
      </c>
      <c r="F1434" t="s">
        <v>5009</v>
      </c>
      <c r="G1434">
        <v>2245</v>
      </c>
      <c r="H1434">
        <v>1</v>
      </c>
      <c r="I1434" t="s">
        <v>4744</v>
      </c>
      <c r="J1434" t="s">
        <v>5191</v>
      </c>
      <c r="K1434" t="s">
        <v>459</v>
      </c>
      <c r="L1434">
        <v>0</v>
      </c>
      <c r="M1434" s="452">
        <v>45887</v>
      </c>
      <c r="N1434">
        <v>20.9</v>
      </c>
      <c r="O1434">
        <v>20.9</v>
      </c>
      <c r="P1434">
        <v>20.9</v>
      </c>
    </row>
    <row r="1435" spans="1:16" x14ac:dyDescent="0.3">
      <c r="A1435">
        <v>73270</v>
      </c>
      <c r="B1435">
        <v>105</v>
      </c>
      <c r="C1435" t="s">
        <v>557</v>
      </c>
      <c r="D1435" s="452">
        <v>46054</v>
      </c>
      <c r="E1435">
        <v>24099</v>
      </c>
      <c r="F1435" t="s">
        <v>4933</v>
      </c>
      <c r="G1435">
        <v>2716</v>
      </c>
      <c r="H1435">
        <v>1.05</v>
      </c>
      <c r="I1435" t="s">
        <v>4744</v>
      </c>
      <c r="J1435" t="s">
        <v>5191</v>
      </c>
      <c r="K1435" t="s">
        <v>459</v>
      </c>
      <c r="L1435">
        <v>19.809999999999999</v>
      </c>
      <c r="M1435" s="452">
        <v>46048</v>
      </c>
      <c r="N1435">
        <v>22.91</v>
      </c>
      <c r="O1435">
        <v>22.91</v>
      </c>
      <c r="P1435">
        <v>20.8</v>
      </c>
    </row>
    <row r="1436" spans="1:16" x14ac:dyDescent="0.3">
      <c r="A1436">
        <v>73295</v>
      </c>
      <c r="B1436">
        <v>105</v>
      </c>
      <c r="C1436" t="s">
        <v>557</v>
      </c>
      <c r="D1436" s="452">
        <v>46054</v>
      </c>
      <c r="E1436">
        <v>19306</v>
      </c>
      <c r="F1436" t="s">
        <v>5111</v>
      </c>
      <c r="G1436">
        <v>2774</v>
      </c>
      <c r="H1436">
        <v>1</v>
      </c>
      <c r="I1436" t="s">
        <v>4738</v>
      </c>
      <c r="J1436" t="s">
        <v>5191</v>
      </c>
      <c r="K1436" t="s">
        <v>459</v>
      </c>
      <c r="L1436">
        <v>20.38</v>
      </c>
      <c r="M1436" s="452">
        <v>46052</v>
      </c>
      <c r="N1436">
        <v>18.55</v>
      </c>
      <c r="O1436">
        <v>20.56</v>
      </c>
      <c r="P1436">
        <v>20.38</v>
      </c>
    </row>
    <row r="1437" spans="1:16" x14ac:dyDescent="0.3">
      <c r="A1437">
        <v>73225</v>
      </c>
      <c r="B1437">
        <v>105</v>
      </c>
      <c r="C1437" t="s">
        <v>557</v>
      </c>
      <c r="D1437" s="452">
        <v>46054</v>
      </c>
      <c r="E1437">
        <v>19969</v>
      </c>
      <c r="F1437" t="s">
        <v>5018</v>
      </c>
      <c r="G1437">
        <v>2354</v>
      </c>
      <c r="H1437">
        <v>2</v>
      </c>
      <c r="I1437" t="s">
        <v>4888</v>
      </c>
      <c r="J1437" t="s">
        <v>5191</v>
      </c>
      <c r="K1437" t="s">
        <v>459</v>
      </c>
      <c r="L1437">
        <v>10.1</v>
      </c>
      <c r="M1437" s="452">
        <v>46036</v>
      </c>
      <c r="N1437">
        <v>10.1</v>
      </c>
      <c r="O1437">
        <v>10.25</v>
      </c>
      <c r="P1437">
        <v>20.2</v>
      </c>
    </row>
    <row r="1438" spans="1:16" x14ac:dyDescent="0.3">
      <c r="A1438">
        <v>73275</v>
      </c>
      <c r="B1438">
        <v>105</v>
      </c>
      <c r="C1438" t="s">
        <v>557</v>
      </c>
      <c r="D1438" s="452">
        <v>46054</v>
      </c>
      <c r="E1438">
        <v>21085</v>
      </c>
      <c r="F1438" t="s">
        <v>5066</v>
      </c>
      <c r="G1438">
        <v>1989</v>
      </c>
      <c r="H1438">
        <v>1</v>
      </c>
      <c r="I1438" t="s">
        <v>4749</v>
      </c>
      <c r="J1438" t="s">
        <v>5191</v>
      </c>
      <c r="K1438" t="s">
        <v>459</v>
      </c>
      <c r="L1438">
        <v>0</v>
      </c>
      <c r="M1438" s="452">
        <v>45996</v>
      </c>
      <c r="N1438">
        <v>19.98</v>
      </c>
      <c r="O1438">
        <v>45.31</v>
      </c>
      <c r="P1438">
        <v>19.98</v>
      </c>
    </row>
    <row r="1439" spans="1:16" x14ac:dyDescent="0.3">
      <c r="A1439">
        <v>73273</v>
      </c>
      <c r="B1439">
        <v>105</v>
      </c>
      <c r="C1439" t="s">
        <v>557</v>
      </c>
      <c r="D1439" s="452">
        <v>46054</v>
      </c>
      <c r="E1439">
        <v>21147</v>
      </c>
      <c r="F1439" t="s">
        <v>4876</v>
      </c>
      <c r="G1439">
        <v>1952</v>
      </c>
      <c r="H1439">
        <v>1</v>
      </c>
      <c r="I1439" t="s">
        <v>4736</v>
      </c>
      <c r="J1439" t="s">
        <v>5191</v>
      </c>
      <c r="K1439" t="s">
        <v>459</v>
      </c>
      <c r="L1439">
        <v>0</v>
      </c>
      <c r="M1439" s="452">
        <v>45933</v>
      </c>
      <c r="N1439">
        <v>19.899999999999999</v>
      </c>
      <c r="O1439">
        <v>19.899999999999999</v>
      </c>
      <c r="P1439">
        <v>19.899999999999999</v>
      </c>
    </row>
    <row r="1440" spans="1:16" x14ac:dyDescent="0.3">
      <c r="A1440">
        <v>73187</v>
      </c>
      <c r="B1440">
        <v>105</v>
      </c>
      <c r="C1440" t="s">
        <v>557</v>
      </c>
      <c r="D1440" s="452">
        <v>46054</v>
      </c>
      <c r="E1440">
        <v>27757</v>
      </c>
      <c r="F1440" t="s">
        <v>4942</v>
      </c>
      <c r="G1440">
        <v>9067</v>
      </c>
      <c r="H1440">
        <v>3</v>
      </c>
      <c r="I1440" t="s">
        <v>4749</v>
      </c>
      <c r="J1440" t="s">
        <v>5191</v>
      </c>
      <c r="K1440" t="s">
        <v>459</v>
      </c>
      <c r="L1440">
        <v>0</v>
      </c>
      <c r="M1440" s="452">
        <v>45995</v>
      </c>
      <c r="N1440">
        <v>6.61</v>
      </c>
      <c r="O1440">
        <v>6.61</v>
      </c>
      <c r="P1440">
        <v>19.829999999999998</v>
      </c>
    </row>
    <row r="1441" spans="1:16" x14ac:dyDescent="0.3">
      <c r="A1441">
        <v>73276</v>
      </c>
      <c r="B1441">
        <v>105</v>
      </c>
      <c r="C1441" t="s">
        <v>557</v>
      </c>
      <c r="D1441" s="452">
        <v>46054</v>
      </c>
      <c r="E1441">
        <v>25055</v>
      </c>
      <c r="F1441" t="s">
        <v>5003</v>
      </c>
      <c r="G1441">
        <v>2184</v>
      </c>
      <c r="H1441">
        <v>1</v>
      </c>
      <c r="I1441" t="s">
        <v>4744</v>
      </c>
      <c r="J1441" t="s">
        <v>5191</v>
      </c>
      <c r="K1441" t="s">
        <v>459</v>
      </c>
      <c r="L1441">
        <v>0</v>
      </c>
      <c r="M1441" s="452">
        <v>45887</v>
      </c>
      <c r="N1441">
        <v>19.8</v>
      </c>
      <c r="O1441">
        <v>19.8</v>
      </c>
      <c r="P1441">
        <v>19.8</v>
      </c>
    </row>
    <row r="1442" spans="1:16" x14ac:dyDescent="0.3">
      <c r="A1442">
        <v>73324</v>
      </c>
      <c r="B1442">
        <v>105</v>
      </c>
      <c r="C1442" t="s">
        <v>557</v>
      </c>
      <c r="D1442" s="452">
        <v>46054</v>
      </c>
      <c r="E1442">
        <v>18232</v>
      </c>
      <c r="F1442" t="s">
        <v>4971</v>
      </c>
      <c r="G1442">
        <v>3396</v>
      </c>
      <c r="H1442">
        <v>0.2</v>
      </c>
      <c r="I1442" t="s">
        <v>4805</v>
      </c>
      <c r="J1442" t="s">
        <v>5222</v>
      </c>
      <c r="K1442" t="s">
        <v>459</v>
      </c>
      <c r="L1442">
        <v>0</v>
      </c>
      <c r="M1442" s="452">
        <v>45999</v>
      </c>
      <c r="N1442">
        <v>97.5</v>
      </c>
      <c r="O1442">
        <v>97.99</v>
      </c>
      <c r="P1442">
        <v>19.5</v>
      </c>
    </row>
    <row r="1443" spans="1:16" x14ac:dyDescent="0.3">
      <c r="A1443">
        <v>73244</v>
      </c>
      <c r="B1443">
        <v>105</v>
      </c>
      <c r="C1443" t="s">
        <v>557</v>
      </c>
      <c r="D1443" s="452">
        <v>46054</v>
      </c>
      <c r="E1443">
        <v>23198</v>
      </c>
      <c r="F1443" t="s">
        <v>4962</v>
      </c>
      <c r="G1443">
        <v>2657</v>
      </c>
      <c r="H1443">
        <v>1.66</v>
      </c>
      <c r="I1443" t="s">
        <v>4744</v>
      </c>
      <c r="J1443" t="s">
        <v>5191</v>
      </c>
      <c r="K1443" t="s">
        <v>459</v>
      </c>
      <c r="L1443">
        <v>11.71</v>
      </c>
      <c r="M1443" s="452">
        <v>46048</v>
      </c>
      <c r="N1443">
        <v>9</v>
      </c>
      <c r="O1443">
        <v>8.6999999999999993</v>
      </c>
      <c r="P1443">
        <v>19.440000000000001</v>
      </c>
    </row>
    <row r="1444" spans="1:16" x14ac:dyDescent="0.3">
      <c r="A1444">
        <v>73257</v>
      </c>
      <c r="B1444">
        <v>105</v>
      </c>
      <c r="C1444" t="s">
        <v>557</v>
      </c>
      <c r="D1444" s="452">
        <v>46054</v>
      </c>
      <c r="E1444">
        <v>19551</v>
      </c>
      <c r="F1444" t="s">
        <v>4905</v>
      </c>
      <c r="G1444">
        <v>2665</v>
      </c>
      <c r="H1444">
        <v>1.41</v>
      </c>
      <c r="I1444" t="s">
        <v>4744</v>
      </c>
      <c r="J1444" t="s">
        <v>5191</v>
      </c>
      <c r="K1444" t="s">
        <v>459</v>
      </c>
      <c r="L1444">
        <v>13.7</v>
      </c>
      <c r="M1444" s="452">
        <v>46051</v>
      </c>
      <c r="N1444">
        <v>13.05</v>
      </c>
      <c r="O1444">
        <v>13.05</v>
      </c>
      <c r="P1444">
        <v>19.32</v>
      </c>
    </row>
    <row r="1445" spans="1:16" x14ac:dyDescent="0.3">
      <c r="A1445">
        <v>73327</v>
      </c>
      <c r="B1445">
        <v>105</v>
      </c>
      <c r="C1445" t="s">
        <v>557</v>
      </c>
      <c r="D1445" s="452">
        <v>46054</v>
      </c>
      <c r="E1445">
        <v>27475</v>
      </c>
      <c r="F1445" t="s">
        <v>5123</v>
      </c>
      <c r="G1445">
        <v>7475</v>
      </c>
      <c r="H1445">
        <v>1</v>
      </c>
      <c r="I1445" t="s">
        <v>4736</v>
      </c>
      <c r="J1445" t="s">
        <v>5191</v>
      </c>
      <c r="K1445" t="s">
        <v>459</v>
      </c>
      <c r="L1445">
        <v>0</v>
      </c>
      <c r="M1445" s="452">
        <v>45989</v>
      </c>
      <c r="N1445">
        <v>19.32</v>
      </c>
      <c r="O1445">
        <v>19.32</v>
      </c>
      <c r="P1445">
        <v>19.32</v>
      </c>
    </row>
    <row r="1446" spans="1:16" x14ac:dyDescent="0.3">
      <c r="A1446">
        <v>73246</v>
      </c>
      <c r="B1446">
        <v>105</v>
      </c>
      <c r="C1446" t="s">
        <v>557</v>
      </c>
      <c r="D1446" s="452">
        <v>46054</v>
      </c>
      <c r="E1446">
        <v>19647</v>
      </c>
      <c r="F1446" t="s">
        <v>5050</v>
      </c>
      <c r="G1446">
        <v>2591</v>
      </c>
      <c r="H1446">
        <v>1.6</v>
      </c>
      <c r="I1446" t="s">
        <v>4744</v>
      </c>
      <c r="J1446" t="s">
        <v>5191</v>
      </c>
      <c r="K1446" t="s">
        <v>459</v>
      </c>
      <c r="L1446">
        <v>11.56</v>
      </c>
      <c r="M1446" s="452">
        <v>46050</v>
      </c>
      <c r="N1446">
        <v>9.9</v>
      </c>
      <c r="O1446">
        <v>9.9</v>
      </c>
      <c r="P1446">
        <v>18.5</v>
      </c>
    </row>
    <row r="1447" spans="1:16" x14ac:dyDescent="0.3">
      <c r="A1447">
        <v>73162</v>
      </c>
      <c r="B1447">
        <v>105</v>
      </c>
      <c r="C1447" t="s">
        <v>557</v>
      </c>
      <c r="D1447" s="452">
        <v>46054</v>
      </c>
      <c r="E1447">
        <v>19635</v>
      </c>
      <c r="F1447" t="s">
        <v>4786</v>
      </c>
      <c r="G1447">
        <v>2601</v>
      </c>
      <c r="H1447">
        <v>4.2300000000000004</v>
      </c>
      <c r="I1447" t="s">
        <v>4744</v>
      </c>
      <c r="J1447" t="s">
        <v>5191</v>
      </c>
      <c r="K1447" t="s">
        <v>459</v>
      </c>
      <c r="L1447">
        <v>4.37</v>
      </c>
      <c r="M1447" s="452">
        <v>46051</v>
      </c>
      <c r="N1447">
        <v>4.2</v>
      </c>
      <c r="O1447">
        <v>4.2</v>
      </c>
      <c r="P1447">
        <v>18.489999999999998</v>
      </c>
    </row>
    <row r="1448" spans="1:16" x14ac:dyDescent="0.3">
      <c r="A1448">
        <v>73183</v>
      </c>
      <c r="B1448">
        <v>105</v>
      </c>
      <c r="C1448" t="s">
        <v>557</v>
      </c>
      <c r="D1448" s="452">
        <v>46054</v>
      </c>
      <c r="E1448">
        <v>23236</v>
      </c>
      <c r="F1448" t="s">
        <v>5062</v>
      </c>
      <c r="G1448">
        <v>2620</v>
      </c>
      <c r="H1448">
        <v>3.11</v>
      </c>
      <c r="I1448" t="s">
        <v>4744</v>
      </c>
      <c r="J1448" t="s">
        <v>5191</v>
      </c>
      <c r="K1448" t="s">
        <v>459</v>
      </c>
      <c r="L1448">
        <v>5.47</v>
      </c>
      <c r="M1448" s="452">
        <v>46051</v>
      </c>
      <c r="N1448">
        <v>5</v>
      </c>
      <c r="O1448">
        <v>5</v>
      </c>
      <c r="P1448">
        <v>17.010000000000002</v>
      </c>
    </row>
    <row r="1449" spans="1:16" x14ac:dyDescent="0.3">
      <c r="A1449">
        <v>73217</v>
      </c>
      <c r="B1449">
        <v>105</v>
      </c>
      <c r="C1449" t="s">
        <v>557</v>
      </c>
      <c r="D1449" s="452">
        <v>46054</v>
      </c>
      <c r="E1449">
        <v>23554</v>
      </c>
      <c r="F1449" t="s">
        <v>4931</v>
      </c>
      <c r="G1449">
        <v>2316</v>
      </c>
      <c r="H1449">
        <v>2</v>
      </c>
      <c r="I1449" t="s">
        <v>4744</v>
      </c>
      <c r="J1449" t="s">
        <v>5191</v>
      </c>
      <c r="K1449" t="s">
        <v>459</v>
      </c>
      <c r="L1449">
        <v>0</v>
      </c>
      <c r="M1449" s="452">
        <v>45887</v>
      </c>
      <c r="N1449">
        <v>8.5</v>
      </c>
      <c r="O1449">
        <v>8.5</v>
      </c>
      <c r="P1449">
        <v>17</v>
      </c>
    </row>
    <row r="1450" spans="1:16" x14ac:dyDescent="0.3">
      <c r="A1450">
        <v>73238</v>
      </c>
      <c r="B1450">
        <v>105</v>
      </c>
      <c r="C1450" t="s">
        <v>557</v>
      </c>
      <c r="D1450" s="452">
        <v>46054</v>
      </c>
      <c r="E1450">
        <v>17838</v>
      </c>
      <c r="F1450" t="s">
        <v>4925</v>
      </c>
      <c r="G1450">
        <v>3712</v>
      </c>
      <c r="H1450">
        <v>2</v>
      </c>
      <c r="I1450" t="s">
        <v>4749</v>
      </c>
      <c r="J1450" t="s">
        <v>5222</v>
      </c>
      <c r="K1450" t="s">
        <v>459</v>
      </c>
      <c r="L1450">
        <v>8.4499999999999993</v>
      </c>
      <c r="M1450" s="452">
        <v>46042</v>
      </c>
      <c r="N1450">
        <v>8.4499999999999993</v>
      </c>
      <c r="O1450">
        <v>10</v>
      </c>
      <c r="P1450">
        <v>16.899999999999999</v>
      </c>
    </row>
    <row r="1451" spans="1:16" x14ac:dyDescent="0.3">
      <c r="A1451">
        <v>73230</v>
      </c>
      <c r="B1451">
        <v>105</v>
      </c>
      <c r="C1451" t="s">
        <v>557</v>
      </c>
      <c r="D1451" s="452">
        <v>46054</v>
      </c>
      <c r="E1451">
        <v>20961</v>
      </c>
      <c r="F1451" t="s">
        <v>5026</v>
      </c>
      <c r="G1451">
        <v>2015</v>
      </c>
      <c r="H1451">
        <v>2</v>
      </c>
      <c r="I1451" t="s">
        <v>4736</v>
      </c>
      <c r="J1451" t="s">
        <v>5191</v>
      </c>
      <c r="K1451" t="s">
        <v>459</v>
      </c>
      <c r="L1451">
        <v>0</v>
      </c>
      <c r="M1451" s="452">
        <v>45918</v>
      </c>
      <c r="N1451">
        <v>8.36</v>
      </c>
      <c r="O1451">
        <v>8.9</v>
      </c>
      <c r="P1451">
        <v>16.72</v>
      </c>
    </row>
    <row r="1452" spans="1:16" x14ac:dyDescent="0.3">
      <c r="A1452">
        <v>73264</v>
      </c>
      <c r="B1452">
        <v>105</v>
      </c>
      <c r="C1452" t="s">
        <v>557</v>
      </c>
      <c r="D1452" s="452">
        <v>46054</v>
      </c>
      <c r="E1452">
        <v>19488</v>
      </c>
      <c r="F1452" t="s">
        <v>5107</v>
      </c>
      <c r="G1452">
        <v>2720</v>
      </c>
      <c r="H1452">
        <v>1.25</v>
      </c>
      <c r="I1452" t="s">
        <v>4744</v>
      </c>
      <c r="J1452" t="s">
        <v>5191</v>
      </c>
      <c r="K1452" t="s">
        <v>459</v>
      </c>
      <c r="L1452">
        <v>12.34</v>
      </c>
      <c r="M1452" s="452">
        <v>46048</v>
      </c>
      <c r="N1452">
        <v>12</v>
      </c>
      <c r="O1452">
        <v>12</v>
      </c>
      <c r="P1452">
        <v>15.42</v>
      </c>
    </row>
    <row r="1453" spans="1:16" x14ac:dyDescent="0.3">
      <c r="A1453">
        <v>73332</v>
      </c>
      <c r="B1453">
        <v>105</v>
      </c>
      <c r="C1453" t="s">
        <v>557</v>
      </c>
      <c r="D1453" s="452">
        <v>46054</v>
      </c>
      <c r="E1453">
        <v>23124</v>
      </c>
      <c r="F1453" t="s">
        <v>5126</v>
      </c>
      <c r="G1453">
        <v>2727</v>
      </c>
      <c r="H1453">
        <v>0.3</v>
      </c>
      <c r="I1453" t="s">
        <v>4744</v>
      </c>
      <c r="J1453" t="s">
        <v>5191</v>
      </c>
      <c r="K1453" t="s">
        <v>459</v>
      </c>
      <c r="L1453">
        <v>0</v>
      </c>
      <c r="M1453" s="452">
        <v>45925</v>
      </c>
      <c r="N1453">
        <v>49</v>
      </c>
      <c r="O1453">
        <v>62.5</v>
      </c>
      <c r="P1453">
        <v>14.7</v>
      </c>
    </row>
    <row r="1454" spans="1:16" x14ac:dyDescent="0.3">
      <c r="A1454">
        <v>73228</v>
      </c>
      <c r="B1454">
        <v>105</v>
      </c>
      <c r="C1454" t="s">
        <v>557</v>
      </c>
      <c r="D1454" s="452">
        <v>46054</v>
      </c>
      <c r="E1454">
        <v>23502</v>
      </c>
      <c r="F1454" t="s">
        <v>4930</v>
      </c>
      <c r="G1454">
        <v>2367</v>
      </c>
      <c r="H1454">
        <v>2</v>
      </c>
      <c r="I1454" t="s">
        <v>4736</v>
      </c>
      <c r="J1454" t="s">
        <v>5191</v>
      </c>
      <c r="K1454" t="s">
        <v>459</v>
      </c>
      <c r="L1454">
        <v>7.25</v>
      </c>
      <c r="M1454" s="452">
        <v>46041</v>
      </c>
      <c r="N1454">
        <v>7.25</v>
      </c>
      <c r="O1454">
        <v>14.9</v>
      </c>
      <c r="P1454">
        <v>14.5</v>
      </c>
    </row>
    <row r="1455" spans="1:16" x14ac:dyDescent="0.3">
      <c r="A1455">
        <v>73186</v>
      </c>
      <c r="B1455">
        <v>105</v>
      </c>
      <c r="C1455" t="s">
        <v>557</v>
      </c>
      <c r="D1455" s="452">
        <v>46054</v>
      </c>
      <c r="E1455">
        <v>19737</v>
      </c>
      <c r="F1455" t="s">
        <v>4940</v>
      </c>
      <c r="G1455">
        <v>2516</v>
      </c>
      <c r="H1455">
        <v>3.06</v>
      </c>
      <c r="I1455" t="s">
        <v>4744</v>
      </c>
      <c r="J1455" t="s">
        <v>5191</v>
      </c>
      <c r="K1455" t="s">
        <v>459</v>
      </c>
      <c r="L1455">
        <v>4.7</v>
      </c>
      <c r="M1455" s="452">
        <v>46051</v>
      </c>
      <c r="N1455">
        <v>4.1900000000000004</v>
      </c>
      <c r="O1455">
        <v>5.38</v>
      </c>
      <c r="P1455">
        <v>14.38</v>
      </c>
    </row>
    <row r="1456" spans="1:16" x14ac:dyDescent="0.3">
      <c r="A1456">
        <v>73278</v>
      </c>
      <c r="B1456">
        <v>105</v>
      </c>
      <c r="C1456" t="s">
        <v>557</v>
      </c>
      <c r="D1456" s="452">
        <v>46054</v>
      </c>
      <c r="E1456">
        <v>20358</v>
      </c>
      <c r="F1456" t="s">
        <v>4911</v>
      </c>
      <c r="G1456">
        <v>2200</v>
      </c>
      <c r="H1456">
        <v>1</v>
      </c>
      <c r="I1456" t="s">
        <v>4738</v>
      </c>
      <c r="J1456" t="s">
        <v>5191</v>
      </c>
      <c r="K1456" t="s">
        <v>459</v>
      </c>
      <c r="L1456">
        <v>0</v>
      </c>
      <c r="M1456" s="452">
        <v>46006</v>
      </c>
      <c r="N1456">
        <v>14.3</v>
      </c>
      <c r="O1456">
        <v>14.24</v>
      </c>
      <c r="P1456">
        <v>14.3</v>
      </c>
    </row>
    <row r="1457" spans="1:16" x14ac:dyDescent="0.3">
      <c r="A1457">
        <v>73272</v>
      </c>
      <c r="B1457">
        <v>105</v>
      </c>
      <c r="C1457" t="s">
        <v>557</v>
      </c>
      <c r="D1457" s="452">
        <v>46054</v>
      </c>
      <c r="E1457">
        <v>26005</v>
      </c>
      <c r="F1457" t="s">
        <v>4907</v>
      </c>
      <c r="G1457">
        <v>9065</v>
      </c>
      <c r="H1457">
        <v>1</v>
      </c>
      <c r="I1457" t="s">
        <v>4749</v>
      </c>
      <c r="J1457" t="s">
        <v>5191</v>
      </c>
      <c r="K1457" t="s">
        <v>459</v>
      </c>
      <c r="L1457">
        <v>0</v>
      </c>
      <c r="M1457" s="452">
        <v>45995</v>
      </c>
      <c r="N1457">
        <v>12.62</v>
      </c>
      <c r="O1457">
        <v>12.62</v>
      </c>
      <c r="P1457">
        <v>12.62</v>
      </c>
    </row>
    <row r="1458" spans="1:16" x14ac:dyDescent="0.3">
      <c r="A1458">
        <v>73229</v>
      </c>
      <c r="B1458">
        <v>105</v>
      </c>
      <c r="C1458" t="s">
        <v>557</v>
      </c>
      <c r="D1458" s="452">
        <v>46054</v>
      </c>
      <c r="E1458">
        <v>19916</v>
      </c>
      <c r="F1458" t="s">
        <v>4826</v>
      </c>
      <c r="G1458">
        <v>2379</v>
      </c>
      <c r="H1458">
        <v>2</v>
      </c>
      <c r="I1458" t="s">
        <v>4738</v>
      </c>
      <c r="J1458" t="s">
        <v>5191</v>
      </c>
      <c r="K1458" t="s">
        <v>459</v>
      </c>
      <c r="L1458">
        <v>6.27</v>
      </c>
      <c r="M1458" s="452">
        <v>46042</v>
      </c>
      <c r="N1458">
        <v>34.5</v>
      </c>
      <c r="O1458">
        <v>34.5</v>
      </c>
      <c r="P1458">
        <v>12.54</v>
      </c>
    </row>
    <row r="1459" spans="1:16" x14ac:dyDescent="0.3">
      <c r="A1459">
        <v>73317</v>
      </c>
      <c r="B1459">
        <v>105</v>
      </c>
      <c r="C1459" t="s">
        <v>557</v>
      </c>
      <c r="D1459" s="452">
        <v>46054</v>
      </c>
      <c r="E1459">
        <v>18273</v>
      </c>
      <c r="F1459" t="s">
        <v>5058</v>
      </c>
      <c r="G1459">
        <v>3357</v>
      </c>
      <c r="H1459">
        <v>0.32</v>
      </c>
      <c r="I1459" t="s">
        <v>4805</v>
      </c>
      <c r="J1459" t="s">
        <v>5222</v>
      </c>
      <c r="K1459" t="s">
        <v>459</v>
      </c>
      <c r="L1459">
        <v>0</v>
      </c>
      <c r="N1459">
        <v>0</v>
      </c>
      <c r="O1459">
        <v>42.12</v>
      </c>
      <c r="P1459">
        <v>12.53</v>
      </c>
    </row>
    <row r="1460" spans="1:16" x14ac:dyDescent="0.3">
      <c r="A1460">
        <v>73240</v>
      </c>
      <c r="B1460">
        <v>105</v>
      </c>
      <c r="C1460" t="s">
        <v>557</v>
      </c>
      <c r="D1460" s="452">
        <v>46054</v>
      </c>
      <c r="E1460">
        <v>19642</v>
      </c>
      <c r="F1460" t="s">
        <v>4996</v>
      </c>
      <c r="G1460">
        <v>2596</v>
      </c>
      <c r="H1460">
        <v>1.98</v>
      </c>
      <c r="I1460" t="s">
        <v>4744</v>
      </c>
      <c r="J1460" t="s">
        <v>5191</v>
      </c>
      <c r="K1460" t="s">
        <v>459</v>
      </c>
      <c r="L1460">
        <v>6.05</v>
      </c>
      <c r="M1460" s="452">
        <v>46048</v>
      </c>
      <c r="N1460">
        <v>5.63</v>
      </c>
      <c r="O1460">
        <v>5.98</v>
      </c>
      <c r="P1460">
        <v>11.98</v>
      </c>
    </row>
    <row r="1461" spans="1:16" x14ac:dyDescent="0.3">
      <c r="A1461">
        <v>73176</v>
      </c>
      <c r="B1461">
        <v>105</v>
      </c>
      <c r="C1461" t="s">
        <v>557</v>
      </c>
      <c r="D1461" s="452">
        <v>46054</v>
      </c>
      <c r="E1461">
        <v>19553</v>
      </c>
      <c r="F1461" t="s">
        <v>4868</v>
      </c>
      <c r="G1461">
        <v>2663</v>
      </c>
      <c r="H1461">
        <v>3.86</v>
      </c>
      <c r="I1461" t="s">
        <v>4744</v>
      </c>
      <c r="J1461" t="s">
        <v>5191</v>
      </c>
      <c r="K1461" t="s">
        <v>459</v>
      </c>
      <c r="L1461">
        <v>3.02</v>
      </c>
      <c r="M1461" s="452">
        <v>46048</v>
      </c>
      <c r="N1461">
        <v>3</v>
      </c>
      <c r="O1461">
        <v>3</v>
      </c>
      <c r="P1461">
        <v>11.66</v>
      </c>
    </row>
    <row r="1462" spans="1:16" x14ac:dyDescent="0.3">
      <c r="A1462">
        <v>73291</v>
      </c>
      <c r="B1462">
        <v>105</v>
      </c>
      <c r="C1462" t="s">
        <v>557</v>
      </c>
      <c r="D1462" s="452">
        <v>46054</v>
      </c>
      <c r="E1462">
        <v>24598</v>
      </c>
      <c r="F1462" t="s">
        <v>4852</v>
      </c>
      <c r="G1462">
        <v>2725</v>
      </c>
      <c r="H1462">
        <v>1</v>
      </c>
      <c r="I1462" t="s">
        <v>4744</v>
      </c>
      <c r="J1462" t="s">
        <v>5191</v>
      </c>
      <c r="K1462" t="s">
        <v>459</v>
      </c>
      <c r="L1462">
        <v>11.25</v>
      </c>
      <c r="M1462" s="452">
        <v>46051</v>
      </c>
      <c r="N1462">
        <v>10.51</v>
      </c>
      <c r="O1462">
        <v>10.51</v>
      </c>
      <c r="P1462">
        <v>11.25</v>
      </c>
    </row>
    <row r="1463" spans="1:16" x14ac:dyDescent="0.3">
      <c r="A1463">
        <v>73330</v>
      </c>
      <c r="B1463">
        <v>105</v>
      </c>
      <c r="C1463" t="s">
        <v>557</v>
      </c>
      <c r="D1463" s="452">
        <v>46054</v>
      </c>
      <c r="E1463">
        <v>19241</v>
      </c>
      <c r="F1463" t="s">
        <v>4890</v>
      </c>
      <c r="G1463">
        <v>2785</v>
      </c>
      <c r="H1463">
        <v>3</v>
      </c>
      <c r="I1463" t="s">
        <v>4736</v>
      </c>
      <c r="J1463" t="s">
        <v>5191</v>
      </c>
      <c r="K1463" t="s">
        <v>459</v>
      </c>
      <c r="L1463">
        <v>3.75</v>
      </c>
      <c r="M1463" s="452">
        <v>46045</v>
      </c>
      <c r="N1463">
        <v>3.75</v>
      </c>
      <c r="O1463">
        <v>3.75</v>
      </c>
      <c r="P1463">
        <v>11.25</v>
      </c>
    </row>
    <row r="1464" spans="1:16" x14ac:dyDescent="0.3">
      <c r="A1464">
        <v>73182</v>
      </c>
      <c r="B1464">
        <v>105</v>
      </c>
      <c r="C1464" t="s">
        <v>557</v>
      </c>
      <c r="D1464" s="452">
        <v>46054</v>
      </c>
      <c r="E1464">
        <v>19621</v>
      </c>
      <c r="F1464" t="s">
        <v>4829</v>
      </c>
      <c r="G1464">
        <v>2613</v>
      </c>
      <c r="H1464">
        <v>3.29</v>
      </c>
      <c r="I1464" t="s">
        <v>4744</v>
      </c>
      <c r="J1464" t="s">
        <v>5191</v>
      </c>
      <c r="K1464" t="s">
        <v>459</v>
      </c>
      <c r="L1464">
        <v>3.29</v>
      </c>
      <c r="M1464" s="452">
        <v>46051</v>
      </c>
      <c r="N1464">
        <v>2.5</v>
      </c>
      <c r="O1464">
        <v>2.54</v>
      </c>
      <c r="P1464">
        <v>10.82</v>
      </c>
    </row>
    <row r="1465" spans="1:16" x14ac:dyDescent="0.3">
      <c r="A1465">
        <v>73161</v>
      </c>
      <c r="B1465">
        <v>105</v>
      </c>
      <c r="C1465" t="s">
        <v>557</v>
      </c>
      <c r="D1465" s="452">
        <v>46054</v>
      </c>
      <c r="E1465">
        <v>19632</v>
      </c>
      <c r="F1465" t="s">
        <v>4936</v>
      </c>
      <c r="G1465">
        <v>2604</v>
      </c>
      <c r="H1465">
        <v>4.3499999999999996</v>
      </c>
      <c r="I1465" t="s">
        <v>4744</v>
      </c>
      <c r="J1465" t="s">
        <v>5191</v>
      </c>
      <c r="K1465" t="s">
        <v>459</v>
      </c>
      <c r="L1465">
        <v>2.4300000000000002</v>
      </c>
      <c r="M1465" s="452">
        <v>46051</v>
      </c>
      <c r="N1465">
        <v>2.5</v>
      </c>
      <c r="O1465">
        <v>2.5</v>
      </c>
      <c r="P1465">
        <v>10.57</v>
      </c>
    </row>
    <row r="1466" spans="1:16" x14ac:dyDescent="0.3">
      <c r="A1466">
        <v>73289</v>
      </c>
      <c r="B1466">
        <v>105</v>
      </c>
      <c r="C1466" t="s">
        <v>557</v>
      </c>
      <c r="D1466" s="452">
        <v>46054</v>
      </c>
      <c r="E1466">
        <v>20955</v>
      </c>
      <c r="F1466" t="s">
        <v>4959</v>
      </c>
      <c r="G1466">
        <v>2019</v>
      </c>
      <c r="H1466">
        <v>1</v>
      </c>
      <c r="I1466" t="s">
        <v>4805</v>
      </c>
      <c r="J1466" t="s">
        <v>5191</v>
      </c>
      <c r="K1466" t="s">
        <v>459</v>
      </c>
      <c r="L1466">
        <v>0</v>
      </c>
      <c r="M1466" s="452">
        <v>46007</v>
      </c>
      <c r="N1466">
        <v>10.48</v>
      </c>
      <c r="O1466">
        <v>11.44</v>
      </c>
      <c r="P1466">
        <v>10.48</v>
      </c>
    </row>
    <row r="1467" spans="1:16" x14ac:dyDescent="0.3">
      <c r="A1467">
        <v>73285</v>
      </c>
      <c r="B1467">
        <v>105</v>
      </c>
      <c r="C1467" t="s">
        <v>557</v>
      </c>
      <c r="D1467" s="452">
        <v>46054</v>
      </c>
      <c r="E1467">
        <v>20791</v>
      </c>
      <c r="F1467" t="s">
        <v>5021</v>
      </c>
      <c r="G1467">
        <v>2076</v>
      </c>
      <c r="H1467">
        <v>1</v>
      </c>
      <c r="I1467" t="s">
        <v>4738</v>
      </c>
      <c r="J1467" t="s">
        <v>5191</v>
      </c>
      <c r="K1467" t="s">
        <v>459</v>
      </c>
      <c r="L1467">
        <v>0</v>
      </c>
      <c r="M1467" s="452">
        <v>45996</v>
      </c>
      <c r="N1467">
        <v>10.39</v>
      </c>
      <c r="O1467">
        <v>10.29</v>
      </c>
      <c r="P1467">
        <v>10.39</v>
      </c>
    </row>
    <row r="1468" spans="1:16" x14ac:dyDescent="0.3">
      <c r="A1468">
        <v>73286</v>
      </c>
      <c r="B1468">
        <v>105</v>
      </c>
      <c r="C1468" t="s">
        <v>557</v>
      </c>
      <c r="D1468" s="452">
        <v>46054</v>
      </c>
      <c r="E1468">
        <v>20795</v>
      </c>
      <c r="F1468" t="s">
        <v>5024</v>
      </c>
      <c r="G1468">
        <v>2076</v>
      </c>
      <c r="H1468">
        <v>1</v>
      </c>
      <c r="I1468" t="s">
        <v>4738</v>
      </c>
      <c r="J1468" t="s">
        <v>5191</v>
      </c>
      <c r="K1468" t="s">
        <v>459</v>
      </c>
      <c r="L1468">
        <v>0</v>
      </c>
      <c r="M1468" s="452">
        <v>46006</v>
      </c>
      <c r="N1468">
        <v>10.3</v>
      </c>
      <c r="O1468">
        <v>10.29</v>
      </c>
      <c r="P1468">
        <v>10.3</v>
      </c>
    </row>
    <row r="1469" spans="1:16" x14ac:dyDescent="0.3">
      <c r="A1469">
        <v>73277</v>
      </c>
      <c r="B1469">
        <v>105</v>
      </c>
      <c r="C1469" t="s">
        <v>557</v>
      </c>
      <c r="D1469" s="452">
        <v>46054</v>
      </c>
      <c r="E1469">
        <v>23819</v>
      </c>
      <c r="F1469" t="s">
        <v>4947</v>
      </c>
      <c r="G1469">
        <v>2083</v>
      </c>
      <c r="H1469">
        <v>1</v>
      </c>
      <c r="I1469" t="s">
        <v>4736</v>
      </c>
      <c r="J1469" t="s">
        <v>5191</v>
      </c>
      <c r="K1469" t="s">
        <v>459</v>
      </c>
      <c r="L1469">
        <v>9.16</v>
      </c>
      <c r="M1469" s="452">
        <v>46030</v>
      </c>
      <c r="N1469">
        <v>9.16</v>
      </c>
      <c r="O1469">
        <v>9.16</v>
      </c>
      <c r="P1469">
        <v>9.16</v>
      </c>
    </row>
    <row r="1470" spans="1:16" x14ac:dyDescent="0.3">
      <c r="A1470">
        <v>73308</v>
      </c>
      <c r="B1470">
        <v>105</v>
      </c>
      <c r="C1470" t="s">
        <v>557</v>
      </c>
      <c r="D1470" s="452">
        <v>46054</v>
      </c>
      <c r="E1470">
        <v>19743</v>
      </c>
      <c r="F1470" t="s">
        <v>5047</v>
      </c>
      <c r="G1470">
        <v>2510</v>
      </c>
      <c r="H1470">
        <v>0.63</v>
      </c>
      <c r="I1470" t="s">
        <v>4744</v>
      </c>
      <c r="J1470" t="s">
        <v>5191</v>
      </c>
      <c r="K1470" t="s">
        <v>459</v>
      </c>
      <c r="L1470">
        <v>14.28</v>
      </c>
      <c r="M1470" s="452">
        <v>46051</v>
      </c>
      <c r="N1470">
        <v>13.75</v>
      </c>
      <c r="O1470">
        <v>13.75</v>
      </c>
      <c r="P1470">
        <v>9</v>
      </c>
    </row>
    <row r="1471" spans="1:16" x14ac:dyDescent="0.3">
      <c r="A1471">
        <v>73316</v>
      </c>
      <c r="B1471">
        <v>105</v>
      </c>
      <c r="C1471" t="s">
        <v>557</v>
      </c>
      <c r="D1471" s="452">
        <v>46054</v>
      </c>
      <c r="E1471">
        <v>19575</v>
      </c>
      <c r="F1471" t="s">
        <v>5120</v>
      </c>
      <c r="G1471">
        <v>2643</v>
      </c>
      <c r="H1471">
        <v>0.32</v>
      </c>
      <c r="I1471" t="s">
        <v>4744</v>
      </c>
      <c r="J1471" t="s">
        <v>5191</v>
      </c>
      <c r="K1471" t="s">
        <v>459</v>
      </c>
      <c r="L1471">
        <v>28.13</v>
      </c>
      <c r="M1471" s="452">
        <v>46042</v>
      </c>
      <c r="N1471">
        <v>25</v>
      </c>
      <c r="O1471">
        <v>23</v>
      </c>
      <c r="P1471">
        <v>9</v>
      </c>
    </row>
    <row r="1472" spans="1:16" x14ac:dyDescent="0.3">
      <c r="A1472">
        <v>73149</v>
      </c>
      <c r="B1472">
        <v>105</v>
      </c>
      <c r="C1472" t="s">
        <v>557</v>
      </c>
      <c r="D1472" s="452">
        <v>46054</v>
      </c>
      <c r="E1472">
        <v>17881</v>
      </c>
      <c r="F1472" t="s">
        <v>5103</v>
      </c>
      <c r="G1472">
        <v>3675</v>
      </c>
      <c r="H1472">
        <v>0.42</v>
      </c>
      <c r="I1472" t="s">
        <v>4738</v>
      </c>
      <c r="J1472" t="s">
        <v>5222</v>
      </c>
      <c r="K1472" t="s">
        <v>459</v>
      </c>
      <c r="L1472">
        <v>21.31</v>
      </c>
      <c r="M1472" s="452">
        <v>46046</v>
      </c>
      <c r="N1472">
        <v>25.53</v>
      </c>
      <c r="O1472">
        <v>20.11</v>
      </c>
      <c r="P1472">
        <v>8.9499999999999993</v>
      </c>
    </row>
    <row r="1473" spans="1:16" x14ac:dyDescent="0.3">
      <c r="A1473">
        <v>73254</v>
      </c>
      <c r="B1473">
        <v>105</v>
      </c>
      <c r="C1473" t="s">
        <v>557</v>
      </c>
      <c r="D1473" s="452">
        <v>46054</v>
      </c>
      <c r="E1473">
        <v>23389</v>
      </c>
      <c r="F1473" t="s">
        <v>4960</v>
      </c>
      <c r="G1473">
        <v>2475</v>
      </c>
      <c r="H1473">
        <v>1.45</v>
      </c>
      <c r="I1473" t="s">
        <v>4744</v>
      </c>
      <c r="J1473" t="s">
        <v>5191</v>
      </c>
      <c r="K1473" t="s">
        <v>459</v>
      </c>
      <c r="L1473">
        <v>5.25</v>
      </c>
      <c r="M1473" s="452">
        <v>46051</v>
      </c>
      <c r="N1473">
        <v>4.76</v>
      </c>
      <c r="O1473">
        <v>4.8</v>
      </c>
      <c r="P1473">
        <v>7.61</v>
      </c>
    </row>
    <row r="1474" spans="1:16" x14ac:dyDescent="0.3">
      <c r="A1474">
        <v>73329</v>
      </c>
      <c r="B1474">
        <v>105</v>
      </c>
      <c r="C1474" t="s">
        <v>557</v>
      </c>
      <c r="D1474" s="452">
        <v>46054</v>
      </c>
      <c r="E1474">
        <v>20030</v>
      </c>
      <c r="F1474" t="s">
        <v>5125</v>
      </c>
      <c r="G1474">
        <v>2337</v>
      </c>
      <c r="H1474">
        <v>1</v>
      </c>
      <c r="I1474" t="s">
        <v>4736</v>
      </c>
      <c r="J1474" t="s">
        <v>5191</v>
      </c>
      <c r="K1474" t="s">
        <v>459</v>
      </c>
      <c r="L1474">
        <v>7.4</v>
      </c>
      <c r="M1474" s="452">
        <v>46051</v>
      </c>
      <c r="N1474">
        <v>7.4</v>
      </c>
      <c r="O1474">
        <v>7.4</v>
      </c>
      <c r="P1474">
        <v>7.4</v>
      </c>
    </row>
    <row r="1475" spans="1:16" x14ac:dyDescent="0.3">
      <c r="A1475">
        <v>73322</v>
      </c>
      <c r="B1475">
        <v>105</v>
      </c>
      <c r="C1475" t="s">
        <v>557</v>
      </c>
      <c r="D1475" s="452">
        <v>46054</v>
      </c>
      <c r="E1475">
        <v>19617</v>
      </c>
      <c r="F1475" t="s">
        <v>5071</v>
      </c>
      <c r="G1475">
        <v>2617</v>
      </c>
      <c r="H1475">
        <v>0.27</v>
      </c>
      <c r="I1475" t="s">
        <v>4744</v>
      </c>
      <c r="J1475" t="s">
        <v>5191</v>
      </c>
      <c r="K1475" t="s">
        <v>459</v>
      </c>
      <c r="L1475">
        <v>26.18</v>
      </c>
      <c r="M1475" s="452">
        <v>46048</v>
      </c>
      <c r="N1475">
        <v>26.78</v>
      </c>
      <c r="O1475">
        <v>26.78</v>
      </c>
      <c r="P1475">
        <v>7.07</v>
      </c>
    </row>
    <row r="1476" spans="1:16" x14ac:dyDescent="0.3">
      <c r="A1476">
        <v>73320</v>
      </c>
      <c r="B1476">
        <v>105</v>
      </c>
      <c r="C1476" t="s">
        <v>557</v>
      </c>
      <c r="D1476" s="452">
        <v>46054</v>
      </c>
      <c r="E1476">
        <v>24489</v>
      </c>
      <c r="F1476" t="s">
        <v>5121</v>
      </c>
      <c r="G1476">
        <v>2686</v>
      </c>
      <c r="H1476">
        <v>0.3</v>
      </c>
      <c r="I1476" t="s">
        <v>4744</v>
      </c>
      <c r="J1476" t="s">
        <v>5191</v>
      </c>
      <c r="K1476" t="s">
        <v>459</v>
      </c>
      <c r="L1476">
        <v>22.47</v>
      </c>
      <c r="M1476" s="452">
        <v>46048</v>
      </c>
      <c r="N1476">
        <v>25</v>
      </c>
      <c r="O1476">
        <v>25</v>
      </c>
      <c r="P1476">
        <v>6.74</v>
      </c>
    </row>
    <row r="1477" spans="1:16" x14ac:dyDescent="0.3">
      <c r="A1477">
        <v>73309</v>
      </c>
      <c r="B1477">
        <v>105</v>
      </c>
      <c r="C1477" t="s">
        <v>557</v>
      </c>
      <c r="D1477" s="452">
        <v>46054</v>
      </c>
      <c r="E1477">
        <v>19742</v>
      </c>
      <c r="F1477" t="s">
        <v>4900</v>
      </c>
      <c r="G1477">
        <v>2511</v>
      </c>
      <c r="H1477">
        <v>0.62</v>
      </c>
      <c r="I1477" t="s">
        <v>4744</v>
      </c>
      <c r="J1477" t="s">
        <v>5191</v>
      </c>
      <c r="K1477" t="s">
        <v>459</v>
      </c>
      <c r="L1477">
        <v>10.56</v>
      </c>
      <c r="M1477" s="452">
        <v>46044</v>
      </c>
      <c r="N1477">
        <v>9</v>
      </c>
      <c r="O1477">
        <v>10.15</v>
      </c>
      <c r="P1477">
        <v>6.55</v>
      </c>
    </row>
    <row r="1478" spans="1:16" x14ac:dyDescent="0.3">
      <c r="A1478">
        <v>73280</v>
      </c>
      <c r="B1478">
        <v>105</v>
      </c>
      <c r="C1478" t="s">
        <v>557</v>
      </c>
      <c r="D1478" s="452">
        <v>46054</v>
      </c>
      <c r="E1478">
        <v>20657</v>
      </c>
      <c r="F1478" t="s">
        <v>5109</v>
      </c>
      <c r="G1478">
        <v>2110</v>
      </c>
      <c r="H1478">
        <v>1</v>
      </c>
      <c r="I1478" t="s">
        <v>4736</v>
      </c>
      <c r="J1478" t="s">
        <v>5191</v>
      </c>
      <c r="K1478" t="s">
        <v>459</v>
      </c>
      <c r="L1478">
        <v>6.36</v>
      </c>
      <c r="M1478" s="452">
        <v>46051</v>
      </c>
      <c r="N1478">
        <v>6.36</v>
      </c>
      <c r="O1478">
        <v>6.36</v>
      </c>
      <c r="P1478">
        <v>6.36</v>
      </c>
    </row>
    <row r="1479" spans="1:16" x14ac:dyDescent="0.3">
      <c r="A1479">
        <v>73313</v>
      </c>
      <c r="B1479">
        <v>105</v>
      </c>
      <c r="C1479" t="s">
        <v>557</v>
      </c>
      <c r="D1479" s="452">
        <v>46054</v>
      </c>
      <c r="E1479">
        <v>19558</v>
      </c>
      <c r="F1479" t="s">
        <v>4994</v>
      </c>
      <c r="G1479">
        <v>2659</v>
      </c>
      <c r="H1479">
        <v>0.45</v>
      </c>
      <c r="I1479" t="s">
        <v>4744</v>
      </c>
      <c r="J1479" t="s">
        <v>5191</v>
      </c>
      <c r="K1479" t="s">
        <v>459</v>
      </c>
      <c r="L1479">
        <v>13.44</v>
      </c>
      <c r="M1479" s="452">
        <v>46048</v>
      </c>
      <c r="N1479">
        <v>18</v>
      </c>
      <c r="O1479">
        <v>18.13</v>
      </c>
      <c r="P1479">
        <v>6.05</v>
      </c>
    </row>
    <row r="1480" spans="1:16" x14ac:dyDescent="0.3">
      <c r="A1480">
        <v>73315</v>
      </c>
      <c r="B1480">
        <v>105</v>
      </c>
      <c r="C1480" t="s">
        <v>557</v>
      </c>
      <c r="D1480" s="452">
        <v>46054</v>
      </c>
      <c r="E1480">
        <v>19480</v>
      </c>
      <c r="F1480" t="s">
        <v>5119</v>
      </c>
      <c r="G1480">
        <v>2726</v>
      </c>
      <c r="H1480">
        <v>0.4</v>
      </c>
      <c r="I1480" t="s">
        <v>4744</v>
      </c>
      <c r="J1480" t="s">
        <v>5191</v>
      </c>
      <c r="K1480" t="s">
        <v>459</v>
      </c>
      <c r="L1480">
        <v>13.78</v>
      </c>
      <c r="M1480" s="452">
        <v>46051</v>
      </c>
      <c r="N1480">
        <v>14</v>
      </c>
      <c r="O1480">
        <v>14.09</v>
      </c>
      <c r="P1480">
        <v>5.51</v>
      </c>
    </row>
    <row r="1481" spans="1:16" x14ac:dyDescent="0.3">
      <c r="A1481">
        <v>73323</v>
      </c>
      <c r="B1481">
        <v>105</v>
      </c>
      <c r="C1481" t="s">
        <v>557</v>
      </c>
      <c r="D1481" s="452">
        <v>46054</v>
      </c>
      <c r="E1481">
        <v>19939</v>
      </c>
      <c r="F1481" t="s">
        <v>5057</v>
      </c>
      <c r="G1481">
        <v>2365</v>
      </c>
      <c r="H1481">
        <v>0.23</v>
      </c>
      <c r="I1481" t="s">
        <v>4744</v>
      </c>
      <c r="J1481" t="s">
        <v>5191</v>
      </c>
      <c r="K1481" t="s">
        <v>459</v>
      </c>
      <c r="L1481">
        <v>0</v>
      </c>
      <c r="N1481">
        <v>0</v>
      </c>
      <c r="O1481">
        <v>97.2</v>
      </c>
      <c r="P1481">
        <v>5.0599999999999996</v>
      </c>
    </row>
    <row r="1482" spans="1:16" x14ac:dyDescent="0.3">
      <c r="A1482">
        <v>73325</v>
      </c>
      <c r="B1482">
        <v>105</v>
      </c>
      <c r="C1482" t="s">
        <v>557</v>
      </c>
      <c r="D1482" s="452">
        <v>46054</v>
      </c>
      <c r="E1482">
        <v>19506</v>
      </c>
      <c r="F1482" t="s">
        <v>5122</v>
      </c>
      <c r="G1482">
        <v>2705</v>
      </c>
      <c r="H1482">
        <v>0.12</v>
      </c>
      <c r="I1482" t="s">
        <v>4744</v>
      </c>
      <c r="J1482" t="s">
        <v>5191</v>
      </c>
      <c r="K1482" t="s">
        <v>459</v>
      </c>
      <c r="L1482">
        <v>41.08</v>
      </c>
      <c r="M1482" s="452">
        <v>46053</v>
      </c>
      <c r="N1482">
        <v>40</v>
      </c>
      <c r="O1482">
        <v>40</v>
      </c>
      <c r="P1482">
        <v>4.93</v>
      </c>
    </row>
    <row r="1483" spans="1:16" x14ac:dyDescent="0.3">
      <c r="A1483">
        <v>73318</v>
      </c>
      <c r="B1483">
        <v>105</v>
      </c>
      <c r="C1483" t="s">
        <v>557</v>
      </c>
      <c r="D1483" s="452">
        <v>46054</v>
      </c>
      <c r="E1483">
        <v>19607</v>
      </c>
      <c r="F1483" t="s">
        <v>4981</v>
      </c>
      <c r="G1483">
        <v>2623</v>
      </c>
      <c r="H1483">
        <v>0.3</v>
      </c>
      <c r="I1483" t="s">
        <v>4744</v>
      </c>
      <c r="J1483" t="s">
        <v>5191</v>
      </c>
      <c r="K1483" t="s">
        <v>459</v>
      </c>
      <c r="L1483">
        <v>16.25</v>
      </c>
      <c r="M1483" s="452">
        <v>46051</v>
      </c>
      <c r="N1483">
        <v>17.5</v>
      </c>
      <c r="O1483">
        <v>17.5</v>
      </c>
      <c r="P1483">
        <v>4.88</v>
      </c>
    </row>
    <row r="1484" spans="1:16" x14ac:dyDescent="0.3">
      <c r="A1484">
        <v>73282</v>
      </c>
      <c r="B1484">
        <v>105</v>
      </c>
      <c r="C1484" t="s">
        <v>557</v>
      </c>
      <c r="D1484" s="452">
        <v>46054</v>
      </c>
      <c r="E1484">
        <v>20644</v>
      </c>
      <c r="F1484" t="s">
        <v>5016</v>
      </c>
      <c r="G1484">
        <v>2113</v>
      </c>
      <c r="H1484">
        <v>1</v>
      </c>
      <c r="I1484" t="s">
        <v>4955</v>
      </c>
      <c r="J1484" t="s">
        <v>5191</v>
      </c>
      <c r="K1484" t="s">
        <v>459</v>
      </c>
      <c r="L1484">
        <v>3.91</v>
      </c>
      <c r="M1484" s="452">
        <v>46045</v>
      </c>
      <c r="N1484">
        <v>3.89</v>
      </c>
      <c r="O1484">
        <v>3.89</v>
      </c>
      <c r="P1484">
        <v>3.91</v>
      </c>
    </row>
    <row r="1485" spans="1:16" x14ac:dyDescent="0.3">
      <c r="A1485">
        <v>73304</v>
      </c>
      <c r="B1485">
        <v>105</v>
      </c>
      <c r="C1485" t="s">
        <v>557</v>
      </c>
      <c r="D1485" s="452">
        <v>46054</v>
      </c>
      <c r="E1485">
        <v>19465</v>
      </c>
      <c r="F1485" t="s">
        <v>5114</v>
      </c>
      <c r="G1485">
        <v>2737</v>
      </c>
      <c r="H1485">
        <v>0.74</v>
      </c>
      <c r="I1485" t="s">
        <v>4744</v>
      </c>
      <c r="J1485" t="s">
        <v>5191</v>
      </c>
      <c r="K1485" t="s">
        <v>459</v>
      </c>
      <c r="L1485">
        <v>5.09</v>
      </c>
      <c r="M1485" s="452">
        <v>46045</v>
      </c>
      <c r="N1485">
        <v>4.8</v>
      </c>
      <c r="O1485">
        <v>5</v>
      </c>
      <c r="P1485">
        <v>3.77</v>
      </c>
    </row>
    <row r="1486" spans="1:16" x14ac:dyDescent="0.3">
      <c r="A1486">
        <v>73319</v>
      </c>
      <c r="B1486">
        <v>105</v>
      </c>
      <c r="C1486" t="s">
        <v>557</v>
      </c>
      <c r="D1486" s="452">
        <v>46054</v>
      </c>
      <c r="E1486">
        <v>23390</v>
      </c>
      <c r="F1486" t="s">
        <v>4873</v>
      </c>
      <c r="G1486">
        <v>2474</v>
      </c>
      <c r="H1486">
        <v>0.3</v>
      </c>
      <c r="I1486" t="s">
        <v>4744</v>
      </c>
      <c r="J1486" t="s">
        <v>5191</v>
      </c>
      <c r="K1486" t="s">
        <v>459</v>
      </c>
      <c r="L1486">
        <v>8.83</v>
      </c>
      <c r="M1486" s="452">
        <v>46051</v>
      </c>
      <c r="N1486">
        <v>8.5</v>
      </c>
      <c r="O1486">
        <v>8.5</v>
      </c>
      <c r="P1486">
        <v>2.65</v>
      </c>
    </row>
    <row r="1487" spans="1:16" x14ac:dyDescent="0.3">
      <c r="A1487">
        <v>73314</v>
      </c>
      <c r="B1487">
        <v>105</v>
      </c>
      <c r="C1487" t="s">
        <v>557</v>
      </c>
      <c r="D1487" s="452">
        <v>46054</v>
      </c>
      <c r="E1487">
        <v>19552</v>
      </c>
      <c r="F1487" t="s">
        <v>4860</v>
      </c>
      <c r="G1487">
        <v>2664</v>
      </c>
      <c r="H1487">
        <v>0.45</v>
      </c>
      <c r="I1487" t="s">
        <v>4744</v>
      </c>
      <c r="J1487" t="s">
        <v>5191</v>
      </c>
      <c r="K1487" t="s">
        <v>459</v>
      </c>
      <c r="L1487">
        <v>3.93</v>
      </c>
      <c r="M1487" s="452">
        <v>46048</v>
      </c>
      <c r="N1487">
        <v>3.8</v>
      </c>
      <c r="O1487">
        <v>4.2</v>
      </c>
      <c r="P1487">
        <v>1.77</v>
      </c>
    </row>
    <row r="1488" spans="1:16" x14ac:dyDescent="0.3">
      <c r="A1488">
        <v>73326</v>
      </c>
      <c r="B1488">
        <v>105</v>
      </c>
      <c r="C1488" t="s">
        <v>557</v>
      </c>
      <c r="D1488" s="452">
        <v>46054</v>
      </c>
      <c r="E1488">
        <v>25079</v>
      </c>
      <c r="F1488" t="s">
        <v>5006</v>
      </c>
      <c r="G1488">
        <v>2239</v>
      </c>
      <c r="H1488">
        <v>0.1</v>
      </c>
      <c r="I1488" t="s">
        <v>4738</v>
      </c>
      <c r="J1488" t="s">
        <v>5191</v>
      </c>
      <c r="K1488" t="s">
        <v>459</v>
      </c>
      <c r="L1488">
        <v>0</v>
      </c>
      <c r="N1488">
        <v>0</v>
      </c>
      <c r="O1488">
        <v>8.9499999999999993</v>
      </c>
      <c r="P1488">
        <v>0.9</v>
      </c>
    </row>
    <row r="1489" spans="1:16" x14ac:dyDescent="0.3">
      <c r="A1489">
        <v>66311</v>
      </c>
      <c r="B1489">
        <v>105</v>
      </c>
      <c r="C1489" t="s">
        <v>557</v>
      </c>
      <c r="D1489" s="452">
        <v>46023</v>
      </c>
      <c r="E1489">
        <v>18945</v>
      </c>
      <c r="F1489" t="s">
        <v>4768</v>
      </c>
      <c r="G1489">
        <v>2929</v>
      </c>
      <c r="H1489">
        <v>42.4</v>
      </c>
      <c r="I1489" t="s">
        <v>4744</v>
      </c>
      <c r="J1489" t="s">
        <v>5191</v>
      </c>
      <c r="K1489" t="s">
        <v>458</v>
      </c>
      <c r="L1489">
        <v>58.25</v>
      </c>
      <c r="M1489" s="452">
        <v>46001</v>
      </c>
      <c r="N1489">
        <v>58.25</v>
      </c>
      <c r="O1489">
        <v>58.25</v>
      </c>
      <c r="P1489">
        <v>2469.8000000000002</v>
      </c>
    </row>
    <row r="1490" spans="1:16" x14ac:dyDescent="0.3">
      <c r="A1490">
        <v>66305</v>
      </c>
      <c r="B1490">
        <v>105</v>
      </c>
      <c r="C1490" t="s">
        <v>557</v>
      </c>
      <c r="D1490" s="452">
        <v>46023</v>
      </c>
      <c r="E1490">
        <v>26679</v>
      </c>
      <c r="F1490" t="s">
        <v>4791</v>
      </c>
      <c r="G1490">
        <v>6847</v>
      </c>
      <c r="H1490">
        <v>81.95</v>
      </c>
      <c r="I1490" t="s">
        <v>4744</v>
      </c>
      <c r="J1490" t="s">
        <v>5191</v>
      </c>
      <c r="K1490" t="s">
        <v>458</v>
      </c>
      <c r="L1490">
        <v>27.9</v>
      </c>
      <c r="M1490" s="452">
        <v>46007</v>
      </c>
      <c r="N1490">
        <v>27.9</v>
      </c>
      <c r="O1490">
        <v>27.9</v>
      </c>
      <c r="P1490">
        <v>2286.4</v>
      </c>
    </row>
    <row r="1491" spans="1:16" x14ac:dyDescent="0.3">
      <c r="A1491">
        <v>66303</v>
      </c>
      <c r="B1491">
        <v>105</v>
      </c>
      <c r="C1491" t="s">
        <v>557</v>
      </c>
      <c r="D1491" s="452">
        <v>46023</v>
      </c>
      <c r="E1491">
        <v>26135</v>
      </c>
      <c r="F1491" t="s">
        <v>4801</v>
      </c>
      <c r="G1491">
        <v>6585</v>
      </c>
      <c r="H1491">
        <v>23.6</v>
      </c>
      <c r="I1491" t="s">
        <v>4744</v>
      </c>
      <c r="J1491" t="s">
        <v>5191</v>
      </c>
      <c r="K1491" t="s">
        <v>458</v>
      </c>
      <c r="L1491">
        <v>89.9</v>
      </c>
      <c r="M1491" s="452">
        <v>45999</v>
      </c>
      <c r="N1491">
        <v>89.9</v>
      </c>
      <c r="O1491">
        <v>89.9</v>
      </c>
      <c r="P1491">
        <v>2121.64</v>
      </c>
    </row>
    <row r="1492" spans="1:16" x14ac:dyDescent="0.3">
      <c r="A1492">
        <v>66328</v>
      </c>
      <c r="B1492">
        <v>105</v>
      </c>
      <c r="C1492" t="s">
        <v>557</v>
      </c>
      <c r="D1492" s="452">
        <v>46023</v>
      </c>
      <c r="E1492">
        <v>22654</v>
      </c>
      <c r="F1492" t="s">
        <v>4735</v>
      </c>
      <c r="G1492">
        <v>3083</v>
      </c>
      <c r="H1492">
        <v>328</v>
      </c>
      <c r="I1492" t="s">
        <v>4736</v>
      </c>
      <c r="J1492" t="s">
        <v>5222</v>
      </c>
      <c r="K1492" t="s">
        <v>458</v>
      </c>
      <c r="L1492">
        <v>0</v>
      </c>
      <c r="M1492" s="452">
        <v>45679</v>
      </c>
      <c r="N1492">
        <v>5.61</v>
      </c>
      <c r="O1492">
        <v>4.49</v>
      </c>
      <c r="P1492">
        <v>1840.08</v>
      </c>
    </row>
    <row r="1493" spans="1:16" x14ac:dyDescent="0.3">
      <c r="A1493">
        <v>66299</v>
      </c>
      <c r="B1493">
        <v>105</v>
      </c>
      <c r="C1493" t="s">
        <v>557</v>
      </c>
      <c r="D1493" s="452">
        <v>46023</v>
      </c>
      <c r="E1493">
        <v>24954</v>
      </c>
      <c r="F1493" t="s">
        <v>4769</v>
      </c>
      <c r="G1493">
        <v>5836</v>
      </c>
      <c r="H1493">
        <v>12.75</v>
      </c>
      <c r="I1493" t="s">
        <v>4744</v>
      </c>
      <c r="J1493" t="s">
        <v>5191</v>
      </c>
      <c r="K1493" t="s">
        <v>458</v>
      </c>
      <c r="L1493">
        <v>126.5</v>
      </c>
      <c r="M1493" s="452">
        <v>45999</v>
      </c>
      <c r="N1493">
        <v>126.5</v>
      </c>
      <c r="O1493">
        <v>69.900000000000006</v>
      </c>
      <c r="P1493">
        <v>1612.88</v>
      </c>
    </row>
    <row r="1494" spans="1:16" x14ac:dyDescent="0.3">
      <c r="A1494">
        <v>66321</v>
      </c>
      <c r="B1494">
        <v>105</v>
      </c>
      <c r="C1494" t="s">
        <v>557</v>
      </c>
      <c r="D1494" s="452">
        <v>46023</v>
      </c>
      <c r="E1494">
        <v>18822</v>
      </c>
      <c r="F1494" t="s">
        <v>4811</v>
      </c>
      <c r="G1494">
        <v>2953</v>
      </c>
      <c r="H1494">
        <v>12.86</v>
      </c>
      <c r="I1494" t="s">
        <v>4744</v>
      </c>
      <c r="J1494" t="s">
        <v>5191</v>
      </c>
      <c r="K1494" t="s">
        <v>458</v>
      </c>
      <c r="L1494">
        <v>109.99</v>
      </c>
      <c r="M1494" s="452">
        <v>46008</v>
      </c>
      <c r="N1494">
        <v>110</v>
      </c>
      <c r="O1494">
        <v>110</v>
      </c>
      <c r="P1494">
        <v>1414.47</v>
      </c>
    </row>
    <row r="1495" spans="1:16" x14ac:dyDescent="0.3">
      <c r="A1495">
        <v>66315</v>
      </c>
      <c r="B1495">
        <v>105</v>
      </c>
      <c r="C1495" t="s">
        <v>557</v>
      </c>
      <c r="D1495" s="452">
        <v>46023</v>
      </c>
      <c r="E1495">
        <v>25777</v>
      </c>
      <c r="F1495" t="s">
        <v>4774</v>
      </c>
      <c r="G1495">
        <v>6322</v>
      </c>
      <c r="H1495">
        <v>15.05</v>
      </c>
      <c r="I1495" t="s">
        <v>4744</v>
      </c>
      <c r="J1495" t="s">
        <v>5191</v>
      </c>
      <c r="K1495" t="s">
        <v>458</v>
      </c>
      <c r="L1495">
        <v>85</v>
      </c>
      <c r="M1495" s="452">
        <v>46006</v>
      </c>
      <c r="N1495">
        <v>85</v>
      </c>
      <c r="O1495">
        <v>85</v>
      </c>
      <c r="P1495">
        <v>1279.25</v>
      </c>
    </row>
    <row r="1496" spans="1:16" x14ac:dyDescent="0.3">
      <c r="A1496">
        <v>66318</v>
      </c>
      <c r="B1496">
        <v>105</v>
      </c>
      <c r="C1496" t="s">
        <v>557</v>
      </c>
      <c r="D1496" s="452">
        <v>46023</v>
      </c>
      <c r="E1496">
        <v>18832</v>
      </c>
      <c r="F1496" t="s">
        <v>4785</v>
      </c>
      <c r="G1496">
        <v>2950</v>
      </c>
      <c r="H1496">
        <v>26</v>
      </c>
      <c r="I1496" t="s">
        <v>4744</v>
      </c>
      <c r="J1496" t="s">
        <v>5191</v>
      </c>
      <c r="K1496" t="s">
        <v>458</v>
      </c>
      <c r="L1496">
        <v>41.9</v>
      </c>
      <c r="M1496" s="452">
        <v>45999</v>
      </c>
      <c r="N1496">
        <v>41.9</v>
      </c>
      <c r="O1496">
        <v>37.5</v>
      </c>
      <c r="P1496">
        <v>1089.4000000000001</v>
      </c>
    </row>
    <row r="1497" spans="1:16" x14ac:dyDescent="0.3">
      <c r="A1497">
        <v>66331</v>
      </c>
      <c r="B1497">
        <v>105</v>
      </c>
      <c r="C1497" t="s">
        <v>557</v>
      </c>
      <c r="D1497" s="452">
        <v>46023</v>
      </c>
      <c r="E1497">
        <v>22623</v>
      </c>
      <c r="F1497" t="s">
        <v>4751</v>
      </c>
      <c r="G1497">
        <v>3106</v>
      </c>
      <c r="H1497">
        <v>155</v>
      </c>
      <c r="I1497" t="s">
        <v>4736</v>
      </c>
      <c r="J1497" t="s">
        <v>5222</v>
      </c>
      <c r="K1497" t="s">
        <v>458</v>
      </c>
      <c r="L1497">
        <v>0</v>
      </c>
      <c r="M1497" s="452">
        <v>45679</v>
      </c>
      <c r="N1497">
        <v>6.83</v>
      </c>
      <c r="O1497">
        <v>6.83</v>
      </c>
      <c r="P1497">
        <v>1058.6500000000001</v>
      </c>
    </row>
    <row r="1498" spans="1:16" x14ac:dyDescent="0.3">
      <c r="A1498">
        <v>66333</v>
      </c>
      <c r="B1498">
        <v>105</v>
      </c>
      <c r="C1498" t="s">
        <v>557</v>
      </c>
      <c r="D1498" s="452">
        <v>46023</v>
      </c>
      <c r="E1498">
        <v>18636</v>
      </c>
      <c r="F1498" t="s">
        <v>4964</v>
      </c>
      <c r="G1498">
        <v>3075</v>
      </c>
      <c r="H1498">
        <v>2</v>
      </c>
      <c r="I1498" t="s">
        <v>4965</v>
      </c>
      <c r="J1498" t="s">
        <v>5222</v>
      </c>
      <c r="K1498" t="s">
        <v>458</v>
      </c>
      <c r="L1498">
        <v>482.8</v>
      </c>
      <c r="M1498" s="452">
        <v>46006</v>
      </c>
      <c r="N1498">
        <v>482.8</v>
      </c>
      <c r="O1498">
        <v>66.849999999999994</v>
      </c>
      <c r="P1498">
        <v>965.6</v>
      </c>
    </row>
    <row r="1499" spans="1:16" x14ac:dyDescent="0.3">
      <c r="A1499">
        <v>66330</v>
      </c>
      <c r="B1499">
        <v>105</v>
      </c>
      <c r="C1499" t="s">
        <v>557</v>
      </c>
      <c r="D1499" s="452">
        <v>46023</v>
      </c>
      <c r="E1499">
        <v>22652</v>
      </c>
      <c r="F1499" t="s">
        <v>4759</v>
      </c>
      <c r="G1499">
        <v>3085</v>
      </c>
      <c r="H1499">
        <v>159</v>
      </c>
      <c r="I1499" t="s">
        <v>4736</v>
      </c>
      <c r="J1499" t="s">
        <v>5222</v>
      </c>
      <c r="K1499" t="s">
        <v>458</v>
      </c>
      <c r="L1499">
        <v>0</v>
      </c>
      <c r="M1499" s="452">
        <v>45679</v>
      </c>
      <c r="N1499">
        <v>5.95</v>
      </c>
      <c r="O1499">
        <v>4.09</v>
      </c>
      <c r="P1499">
        <v>946.05</v>
      </c>
    </row>
    <row r="1500" spans="1:16" x14ac:dyDescent="0.3">
      <c r="A1500">
        <v>66189</v>
      </c>
      <c r="B1500">
        <v>105</v>
      </c>
      <c r="C1500" t="s">
        <v>557</v>
      </c>
      <c r="D1500" s="452">
        <v>46023</v>
      </c>
      <c r="E1500">
        <v>20549</v>
      </c>
      <c r="F1500" t="s">
        <v>4823</v>
      </c>
      <c r="G1500">
        <v>2141</v>
      </c>
      <c r="H1500">
        <v>40.4</v>
      </c>
      <c r="I1500" t="s">
        <v>4744</v>
      </c>
      <c r="J1500" t="s">
        <v>5191</v>
      </c>
      <c r="K1500" t="s">
        <v>458</v>
      </c>
      <c r="L1500">
        <v>19.989999999999998</v>
      </c>
      <c r="M1500" s="452">
        <v>46000</v>
      </c>
      <c r="N1500">
        <v>19.989999999999998</v>
      </c>
      <c r="O1500">
        <v>27.9</v>
      </c>
      <c r="P1500">
        <v>807.6</v>
      </c>
    </row>
    <row r="1501" spans="1:16" x14ac:dyDescent="0.3">
      <c r="A1501">
        <v>66310</v>
      </c>
      <c r="B1501">
        <v>105</v>
      </c>
      <c r="C1501" t="s">
        <v>557</v>
      </c>
      <c r="D1501" s="452">
        <v>46023</v>
      </c>
      <c r="E1501">
        <v>24217</v>
      </c>
      <c r="F1501" t="s">
        <v>4778</v>
      </c>
      <c r="G1501">
        <v>2937</v>
      </c>
      <c r="H1501">
        <v>24.2</v>
      </c>
      <c r="I1501" t="s">
        <v>4744</v>
      </c>
      <c r="J1501" t="s">
        <v>5191</v>
      </c>
      <c r="K1501" t="s">
        <v>458</v>
      </c>
      <c r="L1501">
        <v>31.9</v>
      </c>
      <c r="M1501" s="452">
        <v>46006</v>
      </c>
      <c r="N1501">
        <v>31.9</v>
      </c>
      <c r="O1501">
        <v>31.9</v>
      </c>
      <c r="P1501">
        <v>771.98</v>
      </c>
    </row>
    <row r="1502" spans="1:16" x14ac:dyDescent="0.3">
      <c r="A1502">
        <v>66295</v>
      </c>
      <c r="B1502">
        <v>105</v>
      </c>
      <c r="C1502" t="s">
        <v>557</v>
      </c>
      <c r="D1502" s="452">
        <v>46023</v>
      </c>
      <c r="E1502">
        <v>19291</v>
      </c>
      <c r="F1502" t="s">
        <v>4870</v>
      </c>
      <c r="G1502">
        <v>2775</v>
      </c>
      <c r="H1502">
        <v>10</v>
      </c>
      <c r="I1502" t="s">
        <v>4744</v>
      </c>
      <c r="J1502" t="s">
        <v>5191</v>
      </c>
      <c r="K1502" t="s">
        <v>458</v>
      </c>
      <c r="L1502">
        <v>0</v>
      </c>
      <c r="M1502" s="452">
        <v>45990</v>
      </c>
      <c r="N1502">
        <v>72.5</v>
      </c>
      <c r="O1502">
        <v>78.900000000000006</v>
      </c>
      <c r="P1502">
        <v>725</v>
      </c>
    </row>
    <row r="1503" spans="1:16" x14ac:dyDescent="0.3">
      <c r="A1503">
        <v>66329</v>
      </c>
      <c r="B1503">
        <v>105</v>
      </c>
      <c r="C1503" t="s">
        <v>557</v>
      </c>
      <c r="D1503" s="452">
        <v>46023</v>
      </c>
      <c r="E1503">
        <v>27018</v>
      </c>
      <c r="F1503" t="s">
        <v>4737</v>
      </c>
      <c r="G1503">
        <v>7070</v>
      </c>
      <c r="H1503">
        <v>8.83</v>
      </c>
      <c r="I1503" t="s">
        <v>4738</v>
      </c>
      <c r="J1503" t="s">
        <v>5222</v>
      </c>
      <c r="K1503" t="s">
        <v>458</v>
      </c>
      <c r="L1503">
        <v>0</v>
      </c>
      <c r="M1503" s="452">
        <v>45978</v>
      </c>
      <c r="N1503">
        <v>79.64</v>
      </c>
      <c r="O1503">
        <v>79.64</v>
      </c>
      <c r="P1503">
        <v>703.22</v>
      </c>
    </row>
    <row r="1504" spans="1:16" x14ac:dyDescent="0.3">
      <c r="A1504">
        <v>66309</v>
      </c>
      <c r="B1504">
        <v>105</v>
      </c>
      <c r="C1504" t="s">
        <v>557</v>
      </c>
      <c r="D1504" s="452">
        <v>46023</v>
      </c>
      <c r="E1504">
        <v>22843</v>
      </c>
      <c r="F1504" t="s">
        <v>4849</v>
      </c>
      <c r="G1504">
        <v>2936</v>
      </c>
      <c r="H1504">
        <v>18.8</v>
      </c>
      <c r="I1504" t="s">
        <v>4744</v>
      </c>
      <c r="J1504" t="s">
        <v>5191</v>
      </c>
      <c r="K1504" t="s">
        <v>458</v>
      </c>
      <c r="L1504">
        <v>37.200000000000003</v>
      </c>
      <c r="M1504" s="452">
        <v>45999</v>
      </c>
      <c r="N1504">
        <v>37.200000000000003</v>
      </c>
      <c r="O1504">
        <v>42.8</v>
      </c>
      <c r="P1504">
        <v>699.36</v>
      </c>
    </row>
    <row r="1505" spans="1:16" x14ac:dyDescent="0.3">
      <c r="A1505">
        <v>66403</v>
      </c>
      <c r="B1505">
        <v>105</v>
      </c>
      <c r="C1505" t="s">
        <v>557</v>
      </c>
      <c r="D1505" s="452">
        <v>46023</v>
      </c>
      <c r="E1505">
        <v>20544</v>
      </c>
      <c r="F1505" t="s">
        <v>4808</v>
      </c>
      <c r="G1505">
        <v>2144</v>
      </c>
      <c r="H1505">
        <v>3</v>
      </c>
      <c r="I1505" t="s">
        <v>4744</v>
      </c>
      <c r="J1505" t="s">
        <v>5191</v>
      </c>
      <c r="K1505" t="s">
        <v>458</v>
      </c>
      <c r="L1505">
        <v>214.58</v>
      </c>
      <c r="M1505" s="452">
        <v>46002</v>
      </c>
      <c r="N1505">
        <v>214.58</v>
      </c>
      <c r="O1505">
        <v>214.58</v>
      </c>
      <c r="P1505">
        <v>643.74</v>
      </c>
    </row>
    <row r="1506" spans="1:16" x14ac:dyDescent="0.3">
      <c r="A1506">
        <v>66312</v>
      </c>
      <c r="B1506">
        <v>105</v>
      </c>
      <c r="C1506" t="s">
        <v>557</v>
      </c>
      <c r="D1506" s="452">
        <v>46023</v>
      </c>
      <c r="E1506">
        <v>18991</v>
      </c>
      <c r="F1506" t="s">
        <v>4815</v>
      </c>
      <c r="G1506">
        <v>2900</v>
      </c>
      <c r="H1506">
        <v>14.4</v>
      </c>
      <c r="I1506" t="s">
        <v>4744</v>
      </c>
      <c r="J1506" t="s">
        <v>5191</v>
      </c>
      <c r="K1506" t="s">
        <v>458</v>
      </c>
      <c r="L1506">
        <v>42.42</v>
      </c>
      <c r="M1506" s="452">
        <v>46001</v>
      </c>
      <c r="N1506">
        <v>42.42</v>
      </c>
      <c r="O1506">
        <v>42.42</v>
      </c>
      <c r="P1506">
        <v>610.85</v>
      </c>
    </row>
    <row r="1507" spans="1:16" x14ac:dyDescent="0.3">
      <c r="A1507">
        <v>66396</v>
      </c>
      <c r="B1507">
        <v>105</v>
      </c>
      <c r="C1507" t="s">
        <v>557</v>
      </c>
      <c r="D1507" s="452">
        <v>46023</v>
      </c>
      <c r="E1507">
        <v>17578</v>
      </c>
      <c r="F1507" t="s">
        <v>4842</v>
      </c>
      <c r="G1507">
        <v>3948</v>
      </c>
      <c r="H1507">
        <v>6</v>
      </c>
      <c r="I1507" t="s">
        <v>4805</v>
      </c>
      <c r="J1507" t="s">
        <v>5222</v>
      </c>
      <c r="K1507" t="s">
        <v>458</v>
      </c>
      <c r="L1507">
        <v>0</v>
      </c>
      <c r="M1507" s="452">
        <v>45947</v>
      </c>
      <c r="N1507">
        <v>101.4</v>
      </c>
      <c r="O1507">
        <v>101.4</v>
      </c>
      <c r="P1507">
        <v>608.4</v>
      </c>
    </row>
    <row r="1508" spans="1:16" x14ac:dyDescent="0.3">
      <c r="A1508">
        <v>66326</v>
      </c>
      <c r="B1508">
        <v>105</v>
      </c>
      <c r="C1508" t="s">
        <v>557</v>
      </c>
      <c r="D1508" s="452">
        <v>46023</v>
      </c>
      <c r="E1508">
        <v>24129</v>
      </c>
      <c r="F1508" t="s">
        <v>4740</v>
      </c>
      <c r="G1508">
        <v>3076</v>
      </c>
      <c r="H1508">
        <v>79</v>
      </c>
      <c r="I1508" t="s">
        <v>4736</v>
      </c>
      <c r="J1508" t="s">
        <v>5222</v>
      </c>
      <c r="K1508" t="s">
        <v>458</v>
      </c>
      <c r="L1508">
        <v>0</v>
      </c>
      <c r="M1508" s="452">
        <v>45512</v>
      </c>
      <c r="N1508">
        <v>7.7</v>
      </c>
      <c r="O1508">
        <v>7.95</v>
      </c>
      <c r="P1508">
        <v>608.29999999999995</v>
      </c>
    </row>
    <row r="1509" spans="1:16" x14ac:dyDescent="0.3">
      <c r="A1509">
        <v>66383</v>
      </c>
      <c r="B1509">
        <v>105</v>
      </c>
      <c r="C1509" t="s">
        <v>557</v>
      </c>
      <c r="D1509" s="452">
        <v>46023</v>
      </c>
      <c r="E1509">
        <v>24227</v>
      </c>
      <c r="F1509" t="s">
        <v>4806</v>
      </c>
      <c r="G1509">
        <v>3648</v>
      </c>
      <c r="H1509">
        <v>21</v>
      </c>
      <c r="I1509" t="s">
        <v>4736</v>
      </c>
      <c r="J1509" t="s">
        <v>5222</v>
      </c>
      <c r="K1509" t="s">
        <v>458</v>
      </c>
      <c r="L1509">
        <v>0</v>
      </c>
      <c r="M1509" s="452">
        <v>45950</v>
      </c>
      <c r="N1509">
        <v>28.8</v>
      </c>
      <c r="O1509">
        <v>28.8</v>
      </c>
      <c r="P1509">
        <v>604.79999999999995</v>
      </c>
    </row>
    <row r="1510" spans="1:16" x14ac:dyDescent="0.3">
      <c r="A1510">
        <v>66365</v>
      </c>
      <c r="B1510">
        <v>105</v>
      </c>
      <c r="C1510" t="s">
        <v>557</v>
      </c>
      <c r="D1510" s="452">
        <v>46023</v>
      </c>
      <c r="E1510">
        <v>18179</v>
      </c>
      <c r="F1510" t="s">
        <v>4924</v>
      </c>
      <c r="G1510">
        <v>3443</v>
      </c>
      <c r="H1510">
        <v>6</v>
      </c>
      <c r="I1510" t="s">
        <v>4805</v>
      </c>
      <c r="J1510" t="s">
        <v>5222</v>
      </c>
      <c r="K1510" t="s">
        <v>458</v>
      </c>
      <c r="L1510">
        <v>100.08</v>
      </c>
      <c r="M1510" s="452">
        <v>46002</v>
      </c>
      <c r="N1510">
        <v>94.66</v>
      </c>
      <c r="O1510">
        <v>110.93</v>
      </c>
      <c r="P1510">
        <v>600.48</v>
      </c>
    </row>
    <row r="1511" spans="1:16" x14ac:dyDescent="0.3">
      <c r="A1511">
        <v>66302</v>
      </c>
      <c r="B1511">
        <v>105</v>
      </c>
      <c r="C1511" t="s">
        <v>557</v>
      </c>
      <c r="D1511" s="452">
        <v>46023</v>
      </c>
      <c r="E1511">
        <v>24116</v>
      </c>
      <c r="F1511" t="s">
        <v>4777</v>
      </c>
      <c r="G1511">
        <v>2924</v>
      </c>
      <c r="H1511">
        <v>14.1</v>
      </c>
      <c r="I1511" t="s">
        <v>4744</v>
      </c>
      <c r="J1511" t="s">
        <v>5191</v>
      </c>
      <c r="K1511" t="s">
        <v>458</v>
      </c>
      <c r="L1511">
        <v>41.9</v>
      </c>
      <c r="M1511" s="452">
        <v>46006</v>
      </c>
      <c r="N1511">
        <v>41.9</v>
      </c>
      <c r="O1511">
        <v>41.9</v>
      </c>
      <c r="P1511">
        <v>590.79</v>
      </c>
    </row>
    <row r="1512" spans="1:16" x14ac:dyDescent="0.3">
      <c r="A1512">
        <v>66286</v>
      </c>
      <c r="B1512">
        <v>105</v>
      </c>
      <c r="C1512" t="s">
        <v>557</v>
      </c>
      <c r="D1512" s="452">
        <v>46023</v>
      </c>
      <c r="E1512">
        <v>26495</v>
      </c>
      <c r="F1512" t="s">
        <v>4867</v>
      </c>
      <c r="G1512">
        <v>5447</v>
      </c>
      <c r="H1512">
        <v>13.3</v>
      </c>
      <c r="I1512" t="s">
        <v>4744</v>
      </c>
      <c r="J1512" t="s">
        <v>5191</v>
      </c>
      <c r="K1512" t="s">
        <v>458</v>
      </c>
      <c r="L1512">
        <v>0</v>
      </c>
      <c r="M1512" s="452">
        <v>45947</v>
      </c>
      <c r="N1512">
        <v>39.5</v>
      </c>
      <c r="O1512">
        <v>39.5</v>
      </c>
      <c r="P1512">
        <v>525.35</v>
      </c>
    </row>
    <row r="1513" spans="1:16" x14ac:dyDescent="0.3">
      <c r="A1513">
        <v>66391</v>
      </c>
      <c r="B1513">
        <v>105</v>
      </c>
      <c r="C1513" t="s">
        <v>557</v>
      </c>
      <c r="D1513" s="452">
        <v>46023</v>
      </c>
      <c r="E1513">
        <v>26036</v>
      </c>
      <c r="F1513" t="s">
        <v>4841</v>
      </c>
      <c r="G1513">
        <v>6505</v>
      </c>
      <c r="H1513">
        <v>8</v>
      </c>
      <c r="I1513" t="s">
        <v>4805</v>
      </c>
      <c r="J1513" t="s">
        <v>5222</v>
      </c>
      <c r="K1513" t="s">
        <v>458</v>
      </c>
      <c r="L1513">
        <v>65</v>
      </c>
      <c r="M1513" s="452">
        <v>46007</v>
      </c>
      <c r="N1513">
        <v>65</v>
      </c>
      <c r="O1513">
        <v>65</v>
      </c>
      <c r="P1513">
        <v>520</v>
      </c>
    </row>
    <row r="1514" spans="1:16" x14ac:dyDescent="0.3">
      <c r="A1514">
        <v>66300</v>
      </c>
      <c r="B1514">
        <v>105</v>
      </c>
      <c r="C1514" t="s">
        <v>557</v>
      </c>
      <c r="D1514" s="452">
        <v>46023</v>
      </c>
      <c r="E1514">
        <v>22721</v>
      </c>
      <c r="F1514" t="s">
        <v>4803</v>
      </c>
      <c r="G1514">
        <v>3033</v>
      </c>
      <c r="H1514">
        <v>17.649999999999999</v>
      </c>
      <c r="I1514" t="s">
        <v>4744</v>
      </c>
      <c r="J1514" t="s">
        <v>5191</v>
      </c>
      <c r="K1514" t="s">
        <v>458</v>
      </c>
      <c r="L1514">
        <v>28.3</v>
      </c>
      <c r="M1514" s="452">
        <v>46006</v>
      </c>
      <c r="N1514">
        <v>28.3</v>
      </c>
      <c r="O1514">
        <v>28.3</v>
      </c>
      <c r="P1514">
        <v>499.49</v>
      </c>
    </row>
    <row r="1515" spans="1:16" x14ac:dyDescent="0.3">
      <c r="A1515">
        <v>66356</v>
      </c>
      <c r="B1515">
        <v>105</v>
      </c>
      <c r="C1515" t="s">
        <v>557</v>
      </c>
      <c r="D1515" s="452">
        <v>46023</v>
      </c>
      <c r="E1515">
        <v>18315</v>
      </c>
      <c r="F1515" t="s">
        <v>4922</v>
      </c>
      <c r="G1515">
        <v>3318</v>
      </c>
      <c r="H1515">
        <v>4</v>
      </c>
      <c r="I1515" t="s">
        <v>4805</v>
      </c>
      <c r="J1515" t="s">
        <v>5222</v>
      </c>
      <c r="K1515" t="s">
        <v>458</v>
      </c>
      <c r="L1515">
        <v>123.4</v>
      </c>
      <c r="M1515" s="452">
        <v>46010</v>
      </c>
      <c r="N1515">
        <v>124</v>
      </c>
      <c r="O1515">
        <v>136.9</v>
      </c>
      <c r="P1515">
        <v>493.6</v>
      </c>
    </row>
    <row r="1516" spans="1:16" x14ac:dyDescent="0.3">
      <c r="A1516">
        <v>66313</v>
      </c>
      <c r="B1516">
        <v>105</v>
      </c>
      <c r="C1516" t="s">
        <v>557</v>
      </c>
      <c r="D1516" s="452">
        <v>46023</v>
      </c>
      <c r="E1516">
        <v>24256</v>
      </c>
      <c r="F1516" t="s">
        <v>4773</v>
      </c>
      <c r="G1516">
        <v>3003</v>
      </c>
      <c r="H1516">
        <v>12.25</v>
      </c>
      <c r="I1516" t="s">
        <v>4744</v>
      </c>
      <c r="J1516" t="s">
        <v>5191</v>
      </c>
      <c r="K1516" t="s">
        <v>458</v>
      </c>
      <c r="L1516">
        <v>37.94</v>
      </c>
      <c r="M1516" s="452">
        <v>46003</v>
      </c>
      <c r="N1516">
        <v>38</v>
      </c>
      <c r="O1516">
        <v>38</v>
      </c>
      <c r="P1516">
        <v>464.76</v>
      </c>
    </row>
    <row r="1517" spans="1:16" x14ac:dyDescent="0.3">
      <c r="A1517">
        <v>66316</v>
      </c>
      <c r="B1517">
        <v>105</v>
      </c>
      <c r="C1517" t="s">
        <v>557</v>
      </c>
      <c r="D1517" s="452">
        <v>46023</v>
      </c>
      <c r="E1517">
        <v>19003</v>
      </c>
      <c r="F1517" t="s">
        <v>4810</v>
      </c>
      <c r="G1517">
        <v>2897</v>
      </c>
      <c r="H1517">
        <v>11.9</v>
      </c>
      <c r="I1517" t="s">
        <v>4744</v>
      </c>
      <c r="J1517" t="s">
        <v>5191</v>
      </c>
      <c r="K1517" t="s">
        <v>458</v>
      </c>
      <c r="L1517">
        <v>35.9</v>
      </c>
      <c r="M1517" s="452">
        <v>46007</v>
      </c>
      <c r="N1517">
        <v>35.9</v>
      </c>
      <c r="O1517">
        <v>35.9</v>
      </c>
      <c r="P1517">
        <v>427.21</v>
      </c>
    </row>
    <row r="1518" spans="1:16" x14ac:dyDescent="0.3">
      <c r="A1518">
        <v>66185</v>
      </c>
      <c r="B1518">
        <v>105</v>
      </c>
      <c r="C1518" t="s">
        <v>557</v>
      </c>
      <c r="D1518" s="452">
        <v>46023</v>
      </c>
      <c r="E1518">
        <v>20928</v>
      </c>
      <c r="F1518" t="s">
        <v>4950</v>
      </c>
      <c r="G1518">
        <v>2033</v>
      </c>
      <c r="H1518">
        <v>2</v>
      </c>
      <c r="I1518" t="s">
        <v>4736</v>
      </c>
      <c r="J1518" t="s">
        <v>5191</v>
      </c>
      <c r="K1518" t="s">
        <v>458</v>
      </c>
      <c r="L1518">
        <v>203.4</v>
      </c>
      <c r="M1518" s="452">
        <v>45996</v>
      </c>
      <c r="N1518">
        <v>203.4</v>
      </c>
      <c r="O1518">
        <v>214.81</v>
      </c>
      <c r="P1518">
        <v>406.8</v>
      </c>
    </row>
    <row r="1519" spans="1:16" x14ac:dyDescent="0.3">
      <c r="A1519">
        <v>66389</v>
      </c>
      <c r="B1519">
        <v>105</v>
      </c>
      <c r="C1519" t="s">
        <v>557</v>
      </c>
      <c r="D1519" s="452">
        <v>46023</v>
      </c>
      <c r="E1519">
        <v>25676</v>
      </c>
      <c r="F1519" t="s">
        <v>4866</v>
      </c>
      <c r="G1519">
        <v>6237</v>
      </c>
      <c r="H1519">
        <v>5</v>
      </c>
      <c r="I1519" t="s">
        <v>4805</v>
      </c>
      <c r="J1519" t="s">
        <v>5222</v>
      </c>
      <c r="K1519" t="s">
        <v>458</v>
      </c>
      <c r="L1519">
        <v>0</v>
      </c>
      <c r="M1519" s="452">
        <v>45979</v>
      </c>
      <c r="N1519">
        <v>80.55</v>
      </c>
      <c r="O1519">
        <v>75.48</v>
      </c>
      <c r="P1519">
        <v>402.75</v>
      </c>
    </row>
    <row r="1520" spans="1:16" x14ac:dyDescent="0.3">
      <c r="A1520">
        <v>66209</v>
      </c>
      <c r="B1520">
        <v>105</v>
      </c>
      <c r="C1520" t="s">
        <v>557</v>
      </c>
      <c r="D1520" s="452">
        <v>46023</v>
      </c>
      <c r="E1520">
        <v>20521</v>
      </c>
      <c r="F1520" t="s">
        <v>4797</v>
      </c>
      <c r="G1520">
        <v>2149</v>
      </c>
      <c r="H1520">
        <v>18.100000000000001</v>
      </c>
      <c r="I1520" t="s">
        <v>4744</v>
      </c>
      <c r="J1520" t="s">
        <v>5191</v>
      </c>
      <c r="K1520" t="s">
        <v>458</v>
      </c>
      <c r="L1520">
        <v>0</v>
      </c>
      <c r="M1520" s="452">
        <v>45936</v>
      </c>
      <c r="N1520">
        <v>21.99</v>
      </c>
      <c r="O1520">
        <v>21.99</v>
      </c>
      <c r="P1520">
        <v>398.02</v>
      </c>
    </row>
    <row r="1521" spans="1:16" x14ac:dyDescent="0.3">
      <c r="A1521">
        <v>66394</v>
      </c>
      <c r="B1521">
        <v>105</v>
      </c>
      <c r="C1521" t="s">
        <v>557</v>
      </c>
      <c r="D1521" s="452">
        <v>46023</v>
      </c>
      <c r="E1521">
        <v>24614</v>
      </c>
      <c r="F1521" t="s">
        <v>4897</v>
      </c>
      <c r="G1521">
        <v>3855</v>
      </c>
      <c r="H1521">
        <v>5</v>
      </c>
      <c r="I1521" t="s">
        <v>4805</v>
      </c>
      <c r="J1521" t="s">
        <v>5222</v>
      </c>
      <c r="K1521" t="s">
        <v>458</v>
      </c>
      <c r="L1521">
        <v>79.3</v>
      </c>
      <c r="M1521" s="452">
        <v>46007</v>
      </c>
      <c r="N1521">
        <v>79.3</v>
      </c>
      <c r="O1521">
        <v>79.3</v>
      </c>
      <c r="P1521">
        <v>396.5</v>
      </c>
    </row>
    <row r="1522" spans="1:16" x14ac:dyDescent="0.3">
      <c r="A1522">
        <v>66398</v>
      </c>
      <c r="B1522">
        <v>105</v>
      </c>
      <c r="C1522" t="s">
        <v>557</v>
      </c>
      <c r="D1522" s="452">
        <v>46023</v>
      </c>
      <c r="E1522">
        <v>26044</v>
      </c>
      <c r="F1522" t="s">
        <v>4843</v>
      </c>
      <c r="G1522">
        <v>6509</v>
      </c>
      <c r="H1522">
        <v>6</v>
      </c>
      <c r="I1522" t="s">
        <v>4805</v>
      </c>
      <c r="J1522" t="s">
        <v>5222</v>
      </c>
      <c r="K1522" t="s">
        <v>458</v>
      </c>
      <c r="L1522">
        <v>0</v>
      </c>
      <c r="M1522" s="452">
        <v>45987</v>
      </c>
      <c r="N1522">
        <v>65</v>
      </c>
      <c r="O1522">
        <v>65</v>
      </c>
      <c r="P1522">
        <v>390</v>
      </c>
    </row>
    <row r="1523" spans="1:16" x14ac:dyDescent="0.3">
      <c r="A1523">
        <v>66325</v>
      </c>
      <c r="B1523">
        <v>105</v>
      </c>
      <c r="C1523" t="s">
        <v>557</v>
      </c>
      <c r="D1523" s="452">
        <v>46023</v>
      </c>
      <c r="E1523">
        <v>27264</v>
      </c>
      <c r="F1523" t="s">
        <v>5075</v>
      </c>
      <c r="G1523">
        <v>7390</v>
      </c>
      <c r="H1523">
        <v>6.55</v>
      </c>
      <c r="I1523" t="s">
        <v>4744</v>
      </c>
      <c r="J1523" t="s">
        <v>5191</v>
      </c>
      <c r="K1523" t="s">
        <v>458</v>
      </c>
      <c r="L1523">
        <v>59.16</v>
      </c>
      <c r="M1523" s="452">
        <v>46008</v>
      </c>
      <c r="N1523">
        <v>52</v>
      </c>
      <c r="O1523">
        <v>52</v>
      </c>
      <c r="P1523">
        <v>387.5</v>
      </c>
    </row>
    <row r="1524" spans="1:16" x14ac:dyDescent="0.3">
      <c r="A1524">
        <v>66320</v>
      </c>
      <c r="B1524">
        <v>105</v>
      </c>
      <c r="C1524" t="s">
        <v>557</v>
      </c>
      <c r="D1524" s="452">
        <v>46023</v>
      </c>
      <c r="E1524">
        <v>18735</v>
      </c>
      <c r="F1524" t="s">
        <v>4891</v>
      </c>
      <c r="G1524">
        <v>3018</v>
      </c>
      <c r="H1524">
        <v>5.0999999999999996</v>
      </c>
      <c r="I1524" t="s">
        <v>4744</v>
      </c>
      <c r="J1524" t="s">
        <v>5191</v>
      </c>
      <c r="K1524" t="s">
        <v>458</v>
      </c>
      <c r="L1524">
        <v>75.77</v>
      </c>
      <c r="M1524" s="452">
        <v>46008</v>
      </c>
      <c r="N1524">
        <v>92</v>
      </c>
      <c r="O1524">
        <v>98</v>
      </c>
      <c r="P1524">
        <v>386.43</v>
      </c>
    </row>
    <row r="1525" spans="1:16" x14ac:dyDescent="0.3">
      <c r="A1525">
        <v>66204</v>
      </c>
      <c r="B1525">
        <v>105</v>
      </c>
      <c r="C1525" t="s">
        <v>557</v>
      </c>
      <c r="D1525" s="452">
        <v>46023</v>
      </c>
      <c r="E1525">
        <v>21021</v>
      </c>
      <c r="F1525" t="s">
        <v>4883</v>
      </c>
      <c r="G1525">
        <v>2003</v>
      </c>
      <c r="H1525">
        <v>2</v>
      </c>
      <c r="I1525" t="s">
        <v>4884</v>
      </c>
      <c r="J1525" t="s">
        <v>5191</v>
      </c>
      <c r="K1525" t="s">
        <v>458</v>
      </c>
      <c r="L1525">
        <v>191.59</v>
      </c>
      <c r="M1525" s="452">
        <v>46006</v>
      </c>
      <c r="N1525">
        <v>199</v>
      </c>
      <c r="O1525">
        <v>199</v>
      </c>
      <c r="P1525">
        <v>383.18</v>
      </c>
    </row>
    <row r="1526" spans="1:16" x14ac:dyDescent="0.3">
      <c r="A1526">
        <v>66173</v>
      </c>
      <c r="B1526">
        <v>105</v>
      </c>
      <c r="C1526" t="s">
        <v>557</v>
      </c>
      <c r="D1526" s="452">
        <v>46023</v>
      </c>
      <c r="E1526">
        <v>21047</v>
      </c>
      <c r="F1526" t="s">
        <v>4847</v>
      </c>
      <c r="G1526">
        <v>1999</v>
      </c>
      <c r="H1526">
        <v>3</v>
      </c>
      <c r="I1526" t="s">
        <v>4848</v>
      </c>
      <c r="J1526" t="s">
        <v>5191</v>
      </c>
      <c r="K1526" t="s">
        <v>458</v>
      </c>
      <c r="L1526">
        <v>123.07</v>
      </c>
      <c r="M1526" s="452">
        <v>46006</v>
      </c>
      <c r="N1526">
        <v>123</v>
      </c>
      <c r="O1526">
        <v>123</v>
      </c>
      <c r="P1526">
        <v>369.21</v>
      </c>
    </row>
    <row r="1527" spans="1:16" x14ac:dyDescent="0.3">
      <c r="A1527">
        <v>66322</v>
      </c>
      <c r="B1527">
        <v>105</v>
      </c>
      <c r="C1527" t="s">
        <v>557</v>
      </c>
      <c r="D1527" s="452">
        <v>46023</v>
      </c>
      <c r="E1527">
        <v>18731</v>
      </c>
      <c r="F1527" t="s">
        <v>4832</v>
      </c>
      <c r="G1527">
        <v>3020</v>
      </c>
      <c r="H1527">
        <v>5</v>
      </c>
      <c r="I1527" t="s">
        <v>4744</v>
      </c>
      <c r="J1527" t="s">
        <v>5191</v>
      </c>
      <c r="K1527" t="s">
        <v>458</v>
      </c>
      <c r="L1527">
        <v>0</v>
      </c>
      <c r="M1527" s="452">
        <v>45947</v>
      </c>
      <c r="N1527">
        <v>72</v>
      </c>
      <c r="O1527">
        <v>72</v>
      </c>
      <c r="P1527">
        <v>360</v>
      </c>
    </row>
    <row r="1528" spans="1:16" x14ac:dyDescent="0.3">
      <c r="A1528">
        <v>66334</v>
      </c>
      <c r="B1528">
        <v>105</v>
      </c>
      <c r="C1528" t="s">
        <v>557</v>
      </c>
      <c r="D1528" s="452">
        <v>46023</v>
      </c>
      <c r="E1528">
        <v>22636</v>
      </c>
      <c r="F1528" t="s">
        <v>4761</v>
      </c>
      <c r="G1528">
        <v>3099</v>
      </c>
      <c r="H1528">
        <v>66</v>
      </c>
      <c r="I1528" t="s">
        <v>4736</v>
      </c>
      <c r="J1528" t="s">
        <v>5222</v>
      </c>
      <c r="K1528" t="s">
        <v>458</v>
      </c>
      <c r="L1528">
        <v>0</v>
      </c>
      <c r="M1528" s="452">
        <v>45671</v>
      </c>
      <c r="N1528">
        <v>5.3</v>
      </c>
      <c r="O1528">
        <v>5.0199999999999996</v>
      </c>
      <c r="P1528">
        <v>349.8</v>
      </c>
    </row>
    <row r="1529" spans="1:16" x14ac:dyDescent="0.3">
      <c r="A1529">
        <v>66162</v>
      </c>
      <c r="B1529">
        <v>105</v>
      </c>
      <c r="C1529" t="s">
        <v>557</v>
      </c>
      <c r="D1529" s="452">
        <v>46023</v>
      </c>
      <c r="E1529">
        <v>17062</v>
      </c>
      <c r="F1529" t="s">
        <v>4880</v>
      </c>
      <c r="G1529">
        <v>1954</v>
      </c>
      <c r="H1529">
        <v>2</v>
      </c>
      <c r="I1529" t="s">
        <v>4879</v>
      </c>
      <c r="J1529" t="s">
        <v>5191</v>
      </c>
      <c r="K1529" t="s">
        <v>458</v>
      </c>
      <c r="L1529">
        <v>0</v>
      </c>
      <c r="M1529" s="452">
        <v>45985</v>
      </c>
      <c r="N1529">
        <v>171.03</v>
      </c>
      <c r="O1529">
        <v>126.03</v>
      </c>
      <c r="P1529">
        <v>342.06</v>
      </c>
    </row>
    <row r="1530" spans="1:16" x14ac:dyDescent="0.3">
      <c r="A1530">
        <v>66161</v>
      </c>
      <c r="B1530">
        <v>105</v>
      </c>
      <c r="C1530" t="s">
        <v>557</v>
      </c>
      <c r="D1530" s="452">
        <v>46023</v>
      </c>
      <c r="E1530">
        <v>21150</v>
      </c>
      <c r="F1530" t="s">
        <v>4878</v>
      </c>
      <c r="G1530">
        <v>1951</v>
      </c>
      <c r="H1530">
        <v>3</v>
      </c>
      <c r="I1530" t="s">
        <v>4879</v>
      </c>
      <c r="J1530" t="s">
        <v>5191</v>
      </c>
      <c r="K1530" t="s">
        <v>458</v>
      </c>
      <c r="L1530">
        <v>0</v>
      </c>
      <c r="M1530" s="452">
        <v>45988</v>
      </c>
      <c r="N1530">
        <v>113.31</v>
      </c>
      <c r="O1530">
        <v>171.03</v>
      </c>
      <c r="P1530">
        <v>339.93</v>
      </c>
    </row>
    <row r="1531" spans="1:16" x14ac:dyDescent="0.3">
      <c r="A1531">
        <v>66339</v>
      </c>
      <c r="B1531">
        <v>105</v>
      </c>
      <c r="C1531" t="s">
        <v>557</v>
      </c>
      <c r="D1531" s="452">
        <v>46023</v>
      </c>
      <c r="E1531">
        <v>18550</v>
      </c>
      <c r="F1531" t="s">
        <v>4967</v>
      </c>
      <c r="G1531">
        <v>3130</v>
      </c>
      <c r="H1531">
        <v>2</v>
      </c>
      <c r="I1531" t="s">
        <v>4805</v>
      </c>
      <c r="J1531" t="s">
        <v>5222</v>
      </c>
      <c r="K1531" t="s">
        <v>458</v>
      </c>
      <c r="L1531">
        <v>0</v>
      </c>
      <c r="M1531" s="452">
        <v>45931</v>
      </c>
      <c r="N1531">
        <v>169.9</v>
      </c>
      <c r="O1531">
        <v>378.4</v>
      </c>
      <c r="P1531">
        <v>339.8</v>
      </c>
    </row>
    <row r="1532" spans="1:16" x14ac:dyDescent="0.3">
      <c r="A1532">
        <v>66386</v>
      </c>
      <c r="B1532">
        <v>105</v>
      </c>
      <c r="C1532" t="s">
        <v>557</v>
      </c>
      <c r="D1532" s="452">
        <v>46023</v>
      </c>
      <c r="E1532">
        <v>24409</v>
      </c>
      <c r="F1532" t="s">
        <v>4742</v>
      </c>
      <c r="G1532">
        <v>3665</v>
      </c>
      <c r="H1532">
        <v>148</v>
      </c>
      <c r="I1532" t="s">
        <v>4736</v>
      </c>
      <c r="J1532" t="s">
        <v>5222</v>
      </c>
      <c r="K1532" t="s">
        <v>458</v>
      </c>
      <c r="L1532">
        <v>0</v>
      </c>
      <c r="M1532" s="452">
        <v>45646</v>
      </c>
      <c r="N1532">
        <v>2.19</v>
      </c>
      <c r="O1532">
        <v>2.19</v>
      </c>
      <c r="P1532">
        <v>324.12</v>
      </c>
    </row>
    <row r="1533" spans="1:16" x14ac:dyDescent="0.3">
      <c r="A1533">
        <v>66390</v>
      </c>
      <c r="B1533">
        <v>105</v>
      </c>
      <c r="C1533" t="s">
        <v>557</v>
      </c>
      <c r="D1533" s="452">
        <v>46023</v>
      </c>
      <c r="E1533">
        <v>25683</v>
      </c>
      <c r="F1533" t="s">
        <v>4928</v>
      </c>
      <c r="G1533">
        <v>6244</v>
      </c>
      <c r="H1533">
        <v>3</v>
      </c>
      <c r="I1533" t="s">
        <v>4805</v>
      </c>
      <c r="J1533" t="s">
        <v>5222</v>
      </c>
      <c r="K1533" t="s">
        <v>458</v>
      </c>
      <c r="L1533">
        <v>0</v>
      </c>
      <c r="M1533" s="452">
        <v>45789</v>
      </c>
      <c r="N1533">
        <v>107.99</v>
      </c>
      <c r="O1533">
        <v>84.82</v>
      </c>
      <c r="P1533">
        <v>323.97000000000003</v>
      </c>
    </row>
    <row r="1534" spans="1:16" x14ac:dyDescent="0.3">
      <c r="A1534">
        <v>66298</v>
      </c>
      <c r="B1534">
        <v>105</v>
      </c>
      <c r="C1534" t="s">
        <v>557</v>
      </c>
      <c r="D1534" s="452">
        <v>46023</v>
      </c>
      <c r="E1534">
        <v>24096</v>
      </c>
      <c r="F1534" t="s">
        <v>4771</v>
      </c>
      <c r="G1534">
        <v>2958</v>
      </c>
      <c r="H1534">
        <v>8</v>
      </c>
      <c r="I1534" t="s">
        <v>4744</v>
      </c>
      <c r="J1534" t="s">
        <v>5191</v>
      </c>
      <c r="K1534" t="s">
        <v>458</v>
      </c>
      <c r="L1534">
        <v>39.9</v>
      </c>
      <c r="M1534" s="452">
        <v>46008</v>
      </c>
      <c r="N1534">
        <v>39.9</v>
      </c>
      <c r="O1534">
        <v>39.9</v>
      </c>
      <c r="P1534">
        <v>319.2</v>
      </c>
    </row>
    <row r="1535" spans="1:16" x14ac:dyDescent="0.3">
      <c r="A1535">
        <v>66183</v>
      </c>
      <c r="B1535">
        <v>105</v>
      </c>
      <c r="C1535" t="s">
        <v>557</v>
      </c>
      <c r="D1535" s="452">
        <v>46023</v>
      </c>
      <c r="E1535">
        <v>20716</v>
      </c>
      <c r="F1535" t="s">
        <v>5053</v>
      </c>
      <c r="G1535">
        <v>2098</v>
      </c>
      <c r="H1535">
        <v>2.62</v>
      </c>
      <c r="I1535" t="s">
        <v>4744</v>
      </c>
      <c r="J1535" t="s">
        <v>5191</v>
      </c>
      <c r="K1535" t="s">
        <v>458</v>
      </c>
      <c r="L1535">
        <v>0</v>
      </c>
      <c r="N1535">
        <v>0</v>
      </c>
      <c r="O1535">
        <v>0</v>
      </c>
      <c r="P1535">
        <v>313.14</v>
      </c>
    </row>
    <row r="1536" spans="1:16" x14ac:dyDescent="0.3">
      <c r="A1536">
        <v>66296</v>
      </c>
      <c r="B1536">
        <v>105</v>
      </c>
      <c r="C1536" t="s">
        <v>557</v>
      </c>
      <c r="D1536" s="452">
        <v>46023</v>
      </c>
      <c r="E1536">
        <v>17042</v>
      </c>
      <c r="F1536" t="s">
        <v>4748</v>
      </c>
      <c r="G1536">
        <v>2830</v>
      </c>
      <c r="H1536">
        <v>214</v>
      </c>
      <c r="I1536" t="s">
        <v>4749</v>
      </c>
      <c r="J1536" t="s">
        <v>5191</v>
      </c>
      <c r="K1536" t="s">
        <v>458</v>
      </c>
      <c r="L1536">
        <v>1.44</v>
      </c>
      <c r="M1536" s="452">
        <v>45996</v>
      </c>
      <c r="N1536">
        <v>1.44</v>
      </c>
      <c r="O1536">
        <v>1.43</v>
      </c>
      <c r="P1536">
        <v>308.16000000000003</v>
      </c>
    </row>
    <row r="1537" spans="1:16" x14ac:dyDescent="0.3">
      <c r="A1537">
        <v>66366</v>
      </c>
      <c r="B1537">
        <v>105</v>
      </c>
      <c r="C1537" t="s">
        <v>557</v>
      </c>
      <c r="D1537" s="452">
        <v>46023</v>
      </c>
      <c r="E1537">
        <v>18172</v>
      </c>
      <c r="F1537" t="s">
        <v>4804</v>
      </c>
      <c r="G1537">
        <v>3450</v>
      </c>
      <c r="H1537">
        <v>10</v>
      </c>
      <c r="I1537" t="s">
        <v>4805</v>
      </c>
      <c r="J1537" t="s">
        <v>5222</v>
      </c>
      <c r="K1537" t="s">
        <v>458</v>
      </c>
      <c r="L1537">
        <v>30.65</v>
      </c>
      <c r="M1537" s="452">
        <v>46007</v>
      </c>
      <c r="N1537">
        <v>30.9</v>
      </c>
      <c r="O1537">
        <v>30.9</v>
      </c>
      <c r="P1537">
        <v>306.5</v>
      </c>
    </row>
    <row r="1538" spans="1:16" x14ac:dyDescent="0.3">
      <c r="A1538">
        <v>66351</v>
      </c>
      <c r="B1538">
        <v>105</v>
      </c>
      <c r="C1538" t="s">
        <v>557</v>
      </c>
      <c r="D1538" s="452">
        <v>46023</v>
      </c>
      <c r="E1538">
        <v>18359</v>
      </c>
      <c r="F1538" t="s">
        <v>4921</v>
      </c>
      <c r="G1538">
        <v>3278</v>
      </c>
      <c r="H1538">
        <v>3</v>
      </c>
      <c r="I1538" t="s">
        <v>4805</v>
      </c>
      <c r="J1538" t="s">
        <v>5222</v>
      </c>
      <c r="K1538" t="s">
        <v>458</v>
      </c>
      <c r="L1538">
        <v>98.05</v>
      </c>
      <c r="M1538" s="452">
        <v>46007</v>
      </c>
      <c r="N1538">
        <v>99</v>
      </c>
      <c r="O1538">
        <v>99.9</v>
      </c>
      <c r="P1538">
        <v>294.14999999999998</v>
      </c>
    </row>
    <row r="1539" spans="1:16" x14ac:dyDescent="0.3">
      <c r="A1539">
        <v>66193</v>
      </c>
      <c r="B1539">
        <v>105</v>
      </c>
      <c r="C1539" t="s">
        <v>557</v>
      </c>
      <c r="D1539" s="452">
        <v>46023</v>
      </c>
      <c r="E1539">
        <v>25167</v>
      </c>
      <c r="F1539" t="s">
        <v>4758</v>
      </c>
      <c r="G1539">
        <v>5930</v>
      </c>
      <c r="H1539">
        <v>35</v>
      </c>
      <c r="I1539" t="s">
        <v>4744</v>
      </c>
      <c r="J1539" t="s">
        <v>5191</v>
      </c>
      <c r="K1539" t="s">
        <v>458</v>
      </c>
      <c r="L1539">
        <v>0</v>
      </c>
      <c r="M1539" s="452">
        <v>45833</v>
      </c>
      <c r="N1539">
        <v>7.9</v>
      </c>
      <c r="O1539">
        <v>7.9</v>
      </c>
      <c r="P1539">
        <v>276.5</v>
      </c>
    </row>
    <row r="1540" spans="1:16" x14ac:dyDescent="0.3">
      <c r="A1540">
        <v>66370</v>
      </c>
      <c r="B1540">
        <v>105</v>
      </c>
      <c r="C1540" t="s">
        <v>557</v>
      </c>
      <c r="D1540" s="452">
        <v>46023</v>
      </c>
      <c r="E1540">
        <v>18114</v>
      </c>
      <c r="F1540" t="s">
        <v>5046</v>
      </c>
      <c r="G1540">
        <v>3498</v>
      </c>
      <c r="H1540">
        <v>1</v>
      </c>
      <c r="I1540" t="s">
        <v>4805</v>
      </c>
      <c r="J1540" t="s">
        <v>5222</v>
      </c>
      <c r="K1540" t="s">
        <v>458</v>
      </c>
      <c r="L1540">
        <v>271.2</v>
      </c>
      <c r="M1540" s="452">
        <v>46008</v>
      </c>
      <c r="N1540">
        <v>271.2</v>
      </c>
      <c r="O1540">
        <v>271.2</v>
      </c>
      <c r="P1540">
        <v>271.2</v>
      </c>
    </row>
    <row r="1541" spans="1:16" x14ac:dyDescent="0.3">
      <c r="A1541">
        <v>66364</v>
      </c>
      <c r="B1541">
        <v>105</v>
      </c>
      <c r="C1541" t="s">
        <v>557</v>
      </c>
      <c r="D1541" s="452">
        <v>46023</v>
      </c>
      <c r="E1541">
        <v>18194</v>
      </c>
      <c r="F1541" t="s">
        <v>4923</v>
      </c>
      <c r="G1541">
        <v>3430</v>
      </c>
      <c r="H1541">
        <v>4</v>
      </c>
      <c r="I1541" t="s">
        <v>4805</v>
      </c>
      <c r="J1541" t="s">
        <v>5222</v>
      </c>
      <c r="K1541" t="s">
        <v>458</v>
      </c>
      <c r="L1541">
        <v>66.900000000000006</v>
      </c>
      <c r="M1541" s="452">
        <v>45993</v>
      </c>
      <c r="N1541">
        <v>66.900000000000006</v>
      </c>
      <c r="O1541">
        <v>62.99</v>
      </c>
      <c r="P1541">
        <v>267.60000000000002</v>
      </c>
    </row>
    <row r="1542" spans="1:16" x14ac:dyDescent="0.3">
      <c r="A1542">
        <v>66379</v>
      </c>
      <c r="B1542">
        <v>105</v>
      </c>
      <c r="C1542" t="s">
        <v>557</v>
      </c>
      <c r="D1542" s="452">
        <v>46023</v>
      </c>
      <c r="E1542">
        <v>22118</v>
      </c>
      <c r="F1542" t="s">
        <v>4765</v>
      </c>
      <c r="G1542">
        <v>3600</v>
      </c>
      <c r="H1542">
        <v>9</v>
      </c>
      <c r="I1542" t="s">
        <v>4749</v>
      </c>
      <c r="J1542" t="s">
        <v>5222</v>
      </c>
      <c r="K1542" t="s">
        <v>458</v>
      </c>
      <c r="L1542">
        <v>0</v>
      </c>
      <c r="M1542" s="452">
        <v>45887</v>
      </c>
      <c r="N1542">
        <v>29.64</v>
      </c>
      <c r="O1542">
        <v>29.64</v>
      </c>
      <c r="P1542">
        <v>266.76</v>
      </c>
    </row>
    <row r="1543" spans="1:16" x14ac:dyDescent="0.3">
      <c r="A1543">
        <v>66306</v>
      </c>
      <c r="B1543">
        <v>105</v>
      </c>
      <c r="C1543" t="s">
        <v>557</v>
      </c>
      <c r="D1543" s="452">
        <v>46023</v>
      </c>
      <c r="E1543">
        <v>24200</v>
      </c>
      <c r="F1543" t="s">
        <v>4820</v>
      </c>
      <c r="G1543">
        <v>3039</v>
      </c>
      <c r="H1543">
        <v>7.8</v>
      </c>
      <c r="I1543" t="s">
        <v>4744</v>
      </c>
      <c r="J1543" t="s">
        <v>5191</v>
      </c>
      <c r="K1543" t="s">
        <v>458</v>
      </c>
      <c r="L1543">
        <v>32.9</v>
      </c>
      <c r="M1543" s="452">
        <v>45992</v>
      </c>
      <c r="N1543">
        <v>32.9</v>
      </c>
      <c r="O1543">
        <v>32.9</v>
      </c>
      <c r="P1543">
        <v>256.62</v>
      </c>
    </row>
    <row r="1544" spans="1:16" x14ac:dyDescent="0.3">
      <c r="A1544">
        <v>66399</v>
      </c>
      <c r="B1544">
        <v>105</v>
      </c>
      <c r="C1544" t="s">
        <v>557</v>
      </c>
      <c r="D1544" s="452">
        <v>46023</v>
      </c>
      <c r="E1544">
        <v>26236</v>
      </c>
      <c r="F1544" t="s">
        <v>5077</v>
      </c>
      <c r="G1544">
        <v>6638</v>
      </c>
      <c r="H1544">
        <v>2</v>
      </c>
      <c r="I1544" t="s">
        <v>4805</v>
      </c>
      <c r="J1544" t="s">
        <v>5222</v>
      </c>
      <c r="K1544" t="s">
        <v>458</v>
      </c>
      <c r="L1544">
        <v>128.05000000000001</v>
      </c>
      <c r="M1544" s="452">
        <v>46007</v>
      </c>
      <c r="N1544">
        <v>128.05000000000001</v>
      </c>
      <c r="O1544">
        <v>128.05000000000001</v>
      </c>
      <c r="P1544">
        <v>256.10000000000002</v>
      </c>
    </row>
    <row r="1545" spans="1:16" x14ac:dyDescent="0.3">
      <c r="A1545">
        <v>66294</v>
      </c>
      <c r="B1545">
        <v>105</v>
      </c>
      <c r="C1545" t="s">
        <v>557</v>
      </c>
      <c r="D1545" s="452">
        <v>46023</v>
      </c>
      <c r="E1545">
        <v>19346</v>
      </c>
      <c r="F1545" t="s">
        <v>4835</v>
      </c>
      <c r="G1545">
        <v>2770</v>
      </c>
      <c r="H1545">
        <v>5</v>
      </c>
      <c r="I1545" t="s">
        <v>4744</v>
      </c>
      <c r="J1545" t="s">
        <v>5191</v>
      </c>
      <c r="K1545" t="s">
        <v>458</v>
      </c>
      <c r="L1545">
        <v>49.9</v>
      </c>
      <c r="M1545" s="452">
        <v>46007</v>
      </c>
      <c r="N1545">
        <v>49.9</v>
      </c>
      <c r="O1545">
        <v>49.9</v>
      </c>
      <c r="P1545">
        <v>249.5</v>
      </c>
    </row>
    <row r="1546" spans="1:16" x14ac:dyDescent="0.3">
      <c r="A1546">
        <v>66358</v>
      </c>
      <c r="B1546">
        <v>105</v>
      </c>
      <c r="C1546" t="s">
        <v>557</v>
      </c>
      <c r="D1546" s="452">
        <v>46023</v>
      </c>
      <c r="E1546">
        <v>18295</v>
      </c>
      <c r="F1546" t="s">
        <v>4968</v>
      </c>
      <c r="G1546">
        <v>3334</v>
      </c>
      <c r="H1546">
        <v>2</v>
      </c>
      <c r="I1546" t="s">
        <v>4805</v>
      </c>
      <c r="J1546" t="s">
        <v>5222</v>
      </c>
      <c r="K1546" t="s">
        <v>458</v>
      </c>
      <c r="L1546">
        <v>0</v>
      </c>
      <c r="M1546" s="452">
        <v>45979</v>
      </c>
      <c r="N1546">
        <v>124.54</v>
      </c>
      <c r="O1546">
        <v>124.54</v>
      </c>
      <c r="P1546">
        <v>249.08</v>
      </c>
    </row>
    <row r="1547" spans="1:16" x14ac:dyDescent="0.3">
      <c r="A1547">
        <v>66291</v>
      </c>
      <c r="B1547">
        <v>105</v>
      </c>
      <c r="C1547" t="s">
        <v>557</v>
      </c>
      <c r="D1547" s="452">
        <v>46023</v>
      </c>
      <c r="E1547">
        <v>19401</v>
      </c>
      <c r="F1547" t="s">
        <v>4809</v>
      </c>
      <c r="G1547">
        <v>2761</v>
      </c>
      <c r="H1547">
        <v>5</v>
      </c>
      <c r="I1547" t="s">
        <v>4744</v>
      </c>
      <c r="J1547" t="s">
        <v>5191</v>
      </c>
      <c r="K1547" t="s">
        <v>458</v>
      </c>
      <c r="L1547">
        <v>0</v>
      </c>
      <c r="M1547" s="452">
        <v>45831</v>
      </c>
      <c r="N1547">
        <v>47.9</v>
      </c>
      <c r="O1547">
        <v>49.58</v>
      </c>
      <c r="P1547">
        <v>239.5</v>
      </c>
    </row>
    <row r="1548" spans="1:16" x14ac:dyDescent="0.3">
      <c r="A1548">
        <v>66297</v>
      </c>
      <c r="B1548">
        <v>105</v>
      </c>
      <c r="C1548" t="s">
        <v>557</v>
      </c>
      <c r="D1548" s="452">
        <v>46023</v>
      </c>
      <c r="E1548">
        <v>22871</v>
      </c>
      <c r="F1548" t="s">
        <v>4898</v>
      </c>
      <c r="G1548">
        <v>2915</v>
      </c>
      <c r="H1548">
        <v>7.6</v>
      </c>
      <c r="I1548" t="s">
        <v>4744</v>
      </c>
      <c r="J1548" t="s">
        <v>5191</v>
      </c>
      <c r="K1548" t="s">
        <v>458</v>
      </c>
      <c r="L1548">
        <v>31.5</v>
      </c>
      <c r="M1548" s="452">
        <v>46006</v>
      </c>
      <c r="N1548">
        <v>31.5</v>
      </c>
      <c r="O1548">
        <v>31.5</v>
      </c>
      <c r="P1548">
        <v>239.4</v>
      </c>
    </row>
    <row r="1549" spans="1:16" x14ac:dyDescent="0.3">
      <c r="A1549">
        <v>66307</v>
      </c>
      <c r="B1549">
        <v>105</v>
      </c>
      <c r="C1549" t="s">
        <v>557</v>
      </c>
      <c r="D1549" s="452">
        <v>46023</v>
      </c>
      <c r="E1549">
        <v>24199</v>
      </c>
      <c r="F1549" t="s">
        <v>4783</v>
      </c>
      <c r="G1549">
        <v>5084</v>
      </c>
      <c r="H1549">
        <v>11.85</v>
      </c>
      <c r="I1549" t="s">
        <v>4744</v>
      </c>
      <c r="J1549" t="s">
        <v>5191</v>
      </c>
      <c r="K1549" t="s">
        <v>458</v>
      </c>
      <c r="L1549">
        <v>0</v>
      </c>
      <c r="M1549" s="452">
        <v>45979</v>
      </c>
      <c r="N1549">
        <v>19.989999999999998</v>
      </c>
      <c r="O1549">
        <v>19.989999999999998</v>
      </c>
      <c r="P1549">
        <v>236.88</v>
      </c>
    </row>
    <row r="1550" spans="1:16" x14ac:dyDescent="0.3">
      <c r="A1550">
        <v>66231</v>
      </c>
      <c r="B1550">
        <v>105</v>
      </c>
      <c r="C1550" t="s">
        <v>557</v>
      </c>
      <c r="D1550" s="452">
        <v>46023</v>
      </c>
      <c r="E1550">
        <v>23494</v>
      </c>
      <c r="F1550" t="s">
        <v>4991</v>
      </c>
      <c r="G1550">
        <v>2375</v>
      </c>
      <c r="H1550">
        <v>3</v>
      </c>
      <c r="I1550" t="s">
        <v>4744</v>
      </c>
      <c r="J1550" t="s">
        <v>5191</v>
      </c>
      <c r="K1550" t="s">
        <v>458</v>
      </c>
      <c r="L1550">
        <v>0</v>
      </c>
      <c r="M1550" s="452">
        <v>45908</v>
      </c>
      <c r="N1550">
        <v>78</v>
      </c>
      <c r="O1550">
        <v>72.8</v>
      </c>
      <c r="P1550">
        <v>234</v>
      </c>
    </row>
    <row r="1551" spans="1:16" x14ac:dyDescent="0.3">
      <c r="A1551">
        <v>66343</v>
      </c>
      <c r="B1551">
        <v>105</v>
      </c>
      <c r="C1551" t="s">
        <v>557</v>
      </c>
      <c r="D1551" s="452">
        <v>46023</v>
      </c>
      <c r="E1551">
        <v>18502</v>
      </c>
      <c r="F1551" t="s">
        <v>4893</v>
      </c>
      <c r="G1551">
        <v>3155</v>
      </c>
      <c r="H1551">
        <v>4</v>
      </c>
      <c r="I1551" t="s">
        <v>4805</v>
      </c>
      <c r="J1551" t="s">
        <v>5222</v>
      </c>
      <c r="K1551" t="s">
        <v>458</v>
      </c>
      <c r="L1551">
        <v>58.02</v>
      </c>
      <c r="M1551" s="452">
        <v>46007</v>
      </c>
      <c r="N1551">
        <v>56</v>
      </c>
      <c r="O1551">
        <v>56</v>
      </c>
      <c r="P1551">
        <v>232.08</v>
      </c>
    </row>
    <row r="1552" spans="1:16" x14ac:dyDescent="0.3">
      <c r="A1552">
        <v>66178</v>
      </c>
      <c r="B1552">
        <v>105</v>
      </c>
      <c r="C1552" t="s">
        <v>557</v>
      </c>
      <c r="D1552" s="452">
        <v>46023</v>
      </c>
      <c r="E1552">
        <v>20809</v>
      </c>
      <c r="F1552" t="s">
        <v>4822</v>
      </c>
      <c r="G1552">
        <v>2074</v>
      </c>
      <c r="H1552">
        <v>5</v>
      </c>
      <c r="I1552" t="s">
        <v>4738</v>
      </c>
      <c r="J1552" t="s">
        <v>5191</v>
      </c>
      <c r="K1552" t="s">
        <v>458</v>
      </c>
      <c r="L1552">
        <v>45.11</v>
      </c>
      <c r="M1552" s="452">
        <v>45999</v>
      </c>
      <c r="N1552">
        <v>72.8</v>
      </c>
      <c r="O1552">
        <v>33.880000000000003</v>
      </c>
      <c r="P1552">
        <v>225.55</v>
      </c>
    </row>
    <row r="1553" spans="1:16" x14ac:dyDescent="0.3">
      <c r="A1553">
        <v>66180</v>
      </c>
      <c r="B1553">
        <v>105</v>
      </c>
      <c r="C1553" t="s">
        <v>557</v>
      </c>
      <c r="D1553" s="452">
        <v>46023</v>
      </c>
      <c r="E1553">
        <v>25358</v>
      </c>
      <c r="F1553" t="s">
        <v>4980</v>
      </c>
      <c r="G1553">
        <v>6047</v>
      </c>
      <c r="H1553">
        <v>3</v>
      </c>
      <c r="I1553" t="s">
        <v>4744</v>
      </c>
      <c r="J1553" t="s">
        <v>5191</v>
      </c>
      <c r="K1553" t="s">
        <v>458</v>
      </c>
      <c r="L1553">
        <v>73.650000000000006</v>
      </c>
      <c r="M1553" s="452">
        <v>45996</v>
      </c>
      <c r="N1553">
        <v>74.3</v>
      </c>
      <c r="O1553">
        <v>74.3</v>
      </c>
      <c r="P1553">
        <v>220.95</v>
      </c>
    </row>
    <row r="1554" spans="1:16" x14ac:dyDescent="0.3">
      <c r="A1554">
        <v>66345</v>
      </c>
      <c r="B1554">
        <v>105</v>
      </c>
      <c r="C1554" t="s">
        <v>557</v>
      </c>
      <c r="D1554" s="452">
        <v>46023</v>
      </c>
      <c r="E1554">
        <v>18491</v>
      </c>
      <c r="F1554" t="s">
        <v>4839</v>
      </c>
      <c r="G1554">
        <v>3166</v>
      </c>
      <c r="H1554">
        <v>6</v>
      </c>
      <c r="I1554" t="s">
        <v>4805</v>
      </c>
      <c r="J1554" t="s">
        <v>5222</v>
      </c>
      <c r="K1554" t="s">
        <v>458</v>
      </c>
      <c r="L1554">
        <v>0</v>
      </c>
      <c r="M1554" s="452">
        <v>45555</v>
      </c>
      <c r="N1554">
        <v>35.9</v>
      </c>
      <c r="O1554">
        <v>33.9</v>
      </c>
      <c r="P1554">
        <v>215.4</v>
      </c>
    </row>
    <row r="1555" spans="1:16" x14ac:dyDescent="0.3">
      <c r="A1555">
        <v>66314</v>
      </c>
      <c r="B1555">
        <v>105</v>
      </c>
      <c r="C1555" t="s">
        <v>557</v>
      </c>
      <c r="D1555" s="452">
        <v>46023</v>
      </c>
      <c r="E1555">
        <v>24259</v>
      </c>
      <c r="F1555" t="s">
        <v>4875</v>
      </c>
      <c r="G1555">
        <v>2938</v>
      </c>
      <c r="H1555">
        <v>2.5</v>
      </c>
      <c r="I1555" t="s">
        <v>4744</v>
      </c>
      <c r="J1555" t="s">
        <v>5191</v>
      </c>
      <c r="K1555" t="s">
        <v>458</v>
      </c>
      <c r="L1555">
        <v>82.87</v>
      </c>
      <c r="M1555" s="452">
        <v>45999</v>
      </c>
      <c r="N1555">
        <v>85.99</v>
      </c>
      <c r="O1555">
        <v>79.989999999999995</v>
      </c>
      <c r="P1555">
        <v>207.18</v>
      </c>
    </row>
    <row r="1556" spans="1:16" x14ac:dyDescent="0.3">
      <c r="A1556">
        <v>66377</v>
      </c>
      <c r="B1556">
        <v>105</v>
      </c>
      <c r="C1556" t="s">
        <v>557</v>
      </c>
      <c r="D1556" s="452">
        <v>46023</v>
      </c>
      <c r="E1556">
        <v>17958</v>
      </c>
      <c r="F1556" t="s">
        <v>5076</v>
      </c>
      <c r="G1556">
        <v>3622</v>
      </c>
      <c r="H1556">
        <v>12.83</v>
      </c>
      <c r="I1556" t="s">
        <v>4738</v>
      </c>
      <c r="J1556" t="s">
        <v>5222</v>
      </c>
      <c r="K1556" t="s">
        <v>458</v>
      </c>
      <c r="L1556">
        <v>15.9</v>
      </c>
      <c r="M1556" s="452">
        <v>46009</v>
      </c>
      <c r="N1556">
        <v>15.9</v>
      </c>
      <c r="O1556">
        <v>15.9</v>
      </c>
      <c r="P1556">
        <v>204</v>
      </c>
    </row>
    <row r="1557" spans="1:16" x14ac:dyDescent="0.3">
      <c r="A1557">
        <v>66168</v>
      </c>
      <c r="B1557">
        <v>105</v>
      </c>
      <c r="C1557" t="s">
        <v>557</v>
      </c>
      <c r="D1557" s="452">
        <v>46023</v>
      </c>
      <c r="E1557">
        <v>20308</v>
      </c>
      <c r="F1557" t="s">
        <v>4909</v>
      </c>
      <c r="G1557">
        <v>2222</v>
      </c>
      <c r="H1557">
        <v>6</v>
      </c>
      <c r="I1557" t="s">
        <v>4738</v>
      </c>
      <c r="J1557" t="s">
        <v>5191</v>
      </c>
      <c r="K1557" t="s">
        <v>458</v>
      </c>
      <c r="L1557">
        <v>0</v>
      </c>
      <c r="M1557" s="452">
        <v>45831</v>
      </c>
      <c r="N1557">
        <v>33.799999999999997</v>
      </c>
      <c r="O1557">
        <v>24.9</v>
      </c>
      <c r="P1557">
        <v>202.8</v>
      </c>
    </row>
    <row r="1558" spans="1:16" x14ac:dyDescent="0.3">
      <c r="A1558">
        <v>66186</v>
      </c>
      <c r="B1558">
        <v>105</v>
      </c>
      <c r="C1558" t="s">
        <v>557</v>
      </c>
      <c r="D1558" s="452">
        <v>46023</v>
      </c>
      <c r="E1558">
        <v>25807</v>
      </c>
      <c r="F1558" t="s">
        <v>4951</v>
      </c>
      <c r="G1558">
        <v>6344</v>
      </c>
      <c r="H1558">
        <v>1</v>
      </c>
      <c r="I1558" t="s">
        <v>4736</v>
      </c>
      <c r="J1558" t="s">
        <v>5191</v>
      </c>
      <c r="K1558" t="s">
        <v>458</v>
      </c>
      <c r="L1558">
        <v>200.24</v>
      </c>
      <c r="M1558" s="452">
        <v>45996</v>
      </c>
      <c r="N1558">
        <v>198.48</v>
      </c>
      <c r="O1558">
        <v>202</v>
      </c>
      <c r="P1558">
        <v>200.24</v>
      </c>
    </row>
    <row r="1559" spans="1:16" x14ac:dyDescent="0.3">
      <c r="A1559">
        <v>66336</v>
      </c>
      <c r="B1559">
        <v>105</v>
      </c>
      <c r="C1559" t="s">
        <v>557</v>
      </c>
      <c r="D1559" s="452">
        <v>46023</v>
      </c>
      <c r="E1559">
        <v>24470</v>
      </c>
      <c r="F1559" t="s">
        <v>4752</v>
      </c>
      <c r="G1559">
        <v>3103</v>
      </c>
      <c r="H1559">
        <v>45</v>
      </c>
      <c r="I1559" t="s">
        <v>4736</v>
      </c>
      <c r="J1559" t="s">
        <v>5222</v>
      </c>
      <c r="K1559" t="s">
        <v>458</v>
      </c>
      <c r="L1559">
        <v>0</v>
      </c>
      <c r="M1559" s="452">
        <v>45404</v>
      </c>
      <c r="N1559">
        <v>4.41</v>
      </c>
      <c r="O1559">
        <v>4.41</v>
      </c>
      <c r="P1559">
        <v>198.45</v>
      </c>
    </row>
    <row r="1560" spans="1:16" x14ac:dyDescent="0.3">
      <c r="A1560">
        <v>66360</v>
      </c>
      <c r="B1560">
        <v>105</v>
      </c>
      <c r="C1560" t="s">
        <v>557</v>
      </c>
      <c r="D1560" s="452">
        <v>46023</v>
      </c>
      <c r="E1560">
        <v>18233</v>
      </c>
      <c r="F1560" t="s">
        <v>4970</v>
      </c>
      <c r="G1560">
        <v>3395</v>
      </c>
      <c r="H1560">
        <v>2</v>
      </c>
      <c r="I1560" t="s">
        <v>4805</v>
      </c>
      <c r="J1560" t="s">
        <v>5222</v>
      </c>
      <c r="K1560" t="s">
        <v>458</v>
      </c>
      <c r="L1560">
        <v>97.7</v>
      </c>
      <c r="M1560" s="452">
        <v>46000</v>
      </c>
      <c r="N1560">
        <v>97.9</v>
      </c>
      <c r="O1560">
        <v>97.5</v>
      </c>
      <c r="P1560">
        <v>195.4</v>
      </c>
    </row>
    <row r="1561" spans="1:16" x14ac:dyDescent="0.3">
      <c r="A1561">
        <v>66376</v>
      </c>
      <c r="B1561">
        <v>105</v>
      </c>
      <c r="C1561" t="s">
        <v>557</v>
      </c>
      <c r="D1561" s="452">
        <v>46023</v>
      </c>
      <c r="E1561">
        <v>24011</v>
      </c>
      <c r="F1561" t="s">
        <v>4739</v>
      </c>
      <c r="G1561">
        <v>3626</v>
      </c>
      <c r="H1561">
        <v>147</v>
      </c>
      <c r="I1561" t="s">
        <v>4736</v>
      </c>
      <c r="J1561" t="s">
        <v>5222</v>
      </c>
      <c r="K1561" t="s">
        <v>458</v>
      </c>
      <c r="L1561">
        <v>0</v>
      </c>
      <c r="M1561" s="452">
        <v>45562</v>
      </c>
      <c r="N1561">
        <v>1.32</v>
      </c>
      <c r="O1561">
        <v>1.33</v>
      </c>
      <c r="P1561">
        <v>194.04</v>
      </c>
    </row>
    <row r="1562" spans="1:16" x14ac:dyDescent="0.3">
      <c r="A1562">
        <v>66395</v>
      </c>
      <c r="B1562">
        <v>105</v>
      </c>
      <c r="C1562" t="s">
        <v>557</v>
      </c>
      <c r="D1562" s="452">
        <v>46023</v>
      </c>
      <c r="E1562">
        <v>26038</v>
      </c>
      <c r="F1562" t="s">
        <v>4976</v>
      </c>
      <c r="G1562">
        <v>6506</v>
      </c>
      <c r="H1562">
        <v>4</v>
      </c>
      <c r="I1562" t="s">
        <v>4805</v>
      </c>
      <c r="J1562" t="s">
        <v>5222</v>
      </c>
      <c r="K1562" t="s">
        <v>458</v>
      </c>
      <c r="L1562">
        <v>48.45</v>
      </c>
      <c r="M1562" s="452">
        <v>45994</v>
      </c>
      <c r="N1562">
        <v>48.45</v>
      </c>
      <c r="O1562">
        <v>48.45</v>
      </c>
      <c r="P1562">
        <v>193.8</v>
      </c>
    </row>
    <row r="1563" spans="1:16" x14ac:dyDescent="0.3">
      <c r="A1563">
        <v>66362</v>
      </c>
      <c r="B1563">
        <v>105</v>
      </c>
      <c r="C1563" t="s">
        <v>557</v>
      </c>
      <c r="D1563" s="452">
        <v>46023</v>
      </c>
      <c r="E1563">
        <v>18219</v>
      </c>
      <c r="F1563" t="s">
        <v>4972</v>
      </c>
      <c r="G1563">
        <v>3409</v>
      </c>
      <c r="H1563">
        <v>2</v>
      </c>
      <c r="I1563" t="s">
        <v>4805</v>
      </c>
      <c r="J1563" t="s">
        <v>5222</v>
      </c>
      <c r="K1563" t="s">
        <v>458</v>
      </c>
      <c r="L1563">
        <v>92.15</v>
      </c>
      <c r="M1563" s="452">
        <v>46007</v>
      </c>
      <c r="N1563">
        <v>86.5</v>
      </c>
      <c r="O1563">
        <v>86.5</v>
      </c>
      <c r="P1563">
        <v>184.3</v>
      </c>
    </row>
    <row r="1564" spans="1:16" x14ac:dyDescent="0.3">
      <c r="A1564">
        <v>66155</v>
      </c>
      <c r="B1564">
        <v>105</v>
      </c>
      <c r="C1564" t="s">
        <v>557</v>
      </c>
      <c r="D1564" s="452">
        <v>46023</v>
      </c>
      <c r="E1564">
        <v>25757</v>
      </c>
      <c r="F1564" t="s">
        <v>4763</v>
      </c>
      <c r="G1564">
        <v>6308</v>
      </c>
      <c r="H1564">
        <v>23</v>
      </c>
      <c r="I1564" t="s">
        <v>4736</v>
      </c>
      <c r="J1564" t="s">
        <v>5191</v>
      </c>
      <c r="K1564" t="s">
        <v>458</v>
      </c>
      <c r="L1564">
        <v>0</v>
      </c>
      <c r="M1564" s="452">
        <v>45922</v>
      </c>
      <c r="N1564">
        <v>7.99</v>
      </c>
      <c r="O1564">
        <v>7.99</v>
      </c>
      <c r="P1564">
        <v>183.77</v>
      </c>
    </row>
    <row r="1565" spans="1:16" x14ac:dyDescent="0.3">
      <c r="A1565">
        <v>66147</v>
      </c>
      <c r="B1565">
        <v>105</v>
      </c>
      <c r="C1565" t="s">
        <v>557</v>
      </c>
      <c r="D1565" s="452">
        <v>46023</v>
      </c>
      <c r="E1565">
        <v>25758</v>
      </c>
      <c r="F1565" t="s">
        <v>4775</v>
      </c>
      <c r="G1565">
        <v>9066</v>
      </c>
      <c r="H1565">
        <v>17</v>
      </c>
      <c r="I1565" t="s">
        <v>4736</v>
      </c>
      <c r="J1565" t="s">
        <v>5191</v>
      </c>
      <c r="K1565" t="s">
        <v>458</v>
      </c>
      <c r="L1565">
        <v>0</v>
      </c>
      <c r="M1565" s="452">
        <v>45918</v>
      </c>
      <c r="N1565">
        <v>10.71</v>
      </c>
      <c r="O1565">
        <v>10.71</v>
      </c>
      <c r="P1565">
        <v>182.07</v>
      </c>
    </row>
    <row r="1566" spans="1:16" x14ac:dyDescent="0.3">
      <c r="A1566">
        <v>66368</v>
      </c>
      <c r="B1566">
        <v>105</v>
      </c>
      <c r="C1566" t="s">
        <v>557</v>
      </c>
      <c r="D1566" s="452">
        <v>46023</v>
      </c>
      <c r="E1566">
        <v>18119</v>
      </c>
      <c r="F1566" t="s">
        <v>5044</v>
      </c>
      <c r="G1566">
        <v>3494</v>
      </c>
      <c r="H1566">
        <v>1</v>
      </c>
      <c r="I1566" t="s">
        <v>4805</v>
      </c>
      <c r="J1566" t="s">
        <v>5222</v>
      </c>
      <c r="K1566" t="s">
        <v>458</v>
      </c>
      <c r="L1566">
        <v>180</v>
      </c>
      <c r="M1566" s="452">
        <v>46000</v>
      </c>
      <c r="N1566">
        <v>180</v>
      </c>
      <c r="O1566">
        <v>180.12</v>
      </c>
      <c r="P1566">
        <v>180</v>
      </c>
    </row>
    <row r="1567" spans="1:16" x14ac:dyDescent="0.3">
      <c r="A1567">
        <v>66371</v>
      </c>
      <c r="B1567">
        <v>105</v>
      </c>
      <c r="C1567" t="s">
        <v>557</v>
      </c>
      <c r="D1567" s="452">
        <v>46023</v>
      </c>
      <c r="E1567">
        <v>18111</v>
      </c>
      <c r="F1567" t="s">
        <v>5049</v>
      </c>
      <c r="G1567">
        <v>3500</v>
      </c>
      <c r="H1567">
        <v>2</v>
      </c>
      <c r="I1567" t="s">
        <v>4805</v>
      </c>
      <c r="J1567" t="s">
        <v>5222</v>
      </c>
      <c r="K1567" t="s">
        <v>458</v>
      </c>
      <c r="L1567">
        <v>89.9</v>
      </c>
      <c r="M1567" s="452">
        <v>46000</v>
      </c>
      <c r="N1567">
        <v>89.9</v>
      </c>
      <c r="O1567">
        <v>89.06</v>
      </c>
      <c r="P1567">
        <v>179.8</v>
      </c>
    </row>
    <row r="1568" spans="1:16" x14ac:dyDescent="0.3">
      <c r="A1568">
        <v>66332</v>
      </c>
      <c r="B1568">
        <v>105</v>
      </c>
      <c r="C1568" t="s">
        <v>557</v>
      </c>
      <c r="D1568" s="452">
        <v>46023</v>
      </c>
      <c r="E1568">
        <v>18581</v>
      </c>
      <c r="F1568" t="s">
        <v>4747</v>
      </c>
      <c r="G1568">
        <v>3106</v>
      </c>
      <c r="H1568">
        <v>1.83</v>
      </c>
      <c r="I1568" t="s">
        <v>4738</v>
      </c>
      <c r="J1568" t="s">
        <v>5222</v>
      </c>
      <c r="K1568" t="s">
        <v>458</v>
      </c>
      <c r="L1568">
        <v>0</v>
      </c>
      <c r="N1568">
        <v>0</v>
      </c>
      <c r="O1568">
        <v>116.64</v>
      </c>
      <c r="P1568">
        <v>172.51</v>
      </c>
    </row>
    <row r="1569" spans="1:16" x14ac:dyDescent="0.3">
      <c r="A1569">
        <v>66159</v>
      </c>
      <c r="B1569">
        <v>105</v>
      </c>
      <c r="C1569" t="s">
        <v>557</v>
      </c>
      <c r="D1569" s="452">
        <v>46023</v>
      </c>
      <c r="E1569">
        <v>25759</v>
      </c>
      <c r="F1569" t="s">
        <v>4877</v>
      </c>
      <c r="G1569">
        <v>9073</v>
      </c>
      <c r="H1569">
        <v>22</v>
      </c>
      <c r="I1569" t="s">
        <v>4736</v>
      </c>
      <c r="J1569" t="s">
        <v>5191</v>
      </c>
      <c r="K1569" t="s">
        <v>458</v>
      </c>
      <c r="L1569">
        <v>7.65</v>
      </c>
      <c r="M1569" s="452">
        <v>45995</v>
      </c>
      <c r="N1569">
        <v>7.65</v>
      </c>
      <c r="O1569">
        <v>7.65</v>
      </c>
      <c r="P1569">
        <v>168.3</v>
      </c>
    </row>
    <row r="1570" spans="1:16" x14ac:dyDescent="0.3">
      <c r="A1570">
        <v>66337</v>
      </c>
      <c r="B1570">
        <v>105</v>
      </c>
      <c r="C1570" t="s">
        <v>557</v>
      </c>
      <c r="D1570" s="452">
        <v>46023</v>
      </c>
      <c r="E1570">
        <v>18586</v>
      </c>
      <c r="F1570" t="s">
        <v>4966</v>
      </c>
      <c r="G1570">
        <v>3104</v>
      </c>
      <c r="H1570">
        <v>1.25</v>
      </c>
      <c r="I1570" t="s">
        <v>4738</v>
      </c>
      <c r="J1570" t="s">
        <v>5222</v>
      </c>
      <c r="K1570" t="s">
        <v>458</v>
      </c>
      <c r="L1570">
        <v>132.07</v>
      </c>
      <c r="M1570" s="452">
        <v>46001</v>
      </c>
      <c r="N1570">
        <v>132.07</v>
      </c>
      <c r="O1570">
        <v>8.7899999999999991</v>
      </c>
      <c r="P1570">
        <v>165.09</v>
      </c>
    </row>
    <row r="1571" spans="1:16" x14ac:dyDescent="0.3">
      <c r="A1571">
        <v>66347</v>
      </c>
      <c r="B1571">
        <v>105</v>
      </c>
      <c r="C1571" t="s">
        <v>557</v>
      </c>
      <c r="D1571" s="452">
        <v>46023</v>
      </c>
      <c r="E1571">
        <v>18475</v>
      </c>
      <c r="F1571" t="s">
        <v>4895</v>
      </c>
      <c r="G1571">
        <v>3181</v>
      </c>
      <c r="H1571">
        <v>5</v>
      </c>
      <c r="I1571" t="s">
        <v>4805</v>
      </c>
      <c r="J1571" t="s">
        <v>5222</v>
      </c>
      <c r="K1571" t="s">
        <v>458</v>
      </c>
      <c r="L1571">
        <v>32.9</v>
      </c>
      <c r="M1571" s="452">
        <v>46006</v>
      </c>
      <c r="N1571">
        <v>32.9</v>
      </c>
      <c r="O1571">
        <v>32.9</v>
      </c>
      <c r="P1571">
        <v>164.5</v>
      </c>
    </row>
    <row r="1572" spans="1:16" x14ac:dyDescent="0.3">
      <c r="A1572">
        <v>66227</v>
      </c>
      <c r="B1572">
        <v>105</v>
      </c>
      <c r="C1572" t="s">
        <v>557</v>
      </c>
      <c r="D1572" s="452">
        <v>46023</v>
      </c>
      <c r="E1572">
        <v>23785</v>
      </c>
      <c r="F1572" t="s">
        <v>4858</v>
      </c>
      <c r="G1572">
        <v>2114</v>
      </c>
      <c r="H1572">
        <v>4</v>
      </c>
      <c r="I1572" t="s">
        <v>4744</v>
      </c>
      <c r="J1572" t="s">
        <v>5191</v>
      </c>
      <c r="K1572" t="s">
        <v>458</v>
      </c>
      <c r="L1572">
        <v>39.65</v>
      </c>
      <c r="M1572" s="452">
        <v>46009</v>
      </c>
      <c r="N1572">
        <v>42</v>
      </c>
      <c r="O1572">
        <v>42</v>
      </c>
      <c r="P1572">
        <v>158.6</v>
      </c>
    </row>
    <row r="1573" spans="1:16" x14ac:dyDescent="0.3">
      <c r="A1573">
        <v>66143</v>
      </c>
      <c r="B1573">
        <v>105</v>
      </c>
      <c r="C1573" t="s">
        <v>557</v>
      </c>
      <c r="D1573" s="452">
        <v>46023</v>
      </c>
      <c r="E1573">
        <v>26005</v>
      </c>
      <c r="F1573" t="s">
        <v>4907</v>
      </c>
      <c r="G1573">
        <v>9065</v>
      </c>
      <c r="H1573">
        <v>12</v>
      </c>
      <c r="I1573" t="s">
        <v>4749</v>
      </c>
      <c r="J1573" t="s">
        <v>5191</v>
      </c>
      <c r="K1573" t="s">
        <v>458</v>
      </c>
      <c r="L1573">
        <v>12.62</v>
      </c>
      <c r="M1573" s="452">
        <v>45995</v>
      </c>
      <c r="N1573">
        <v>12.62</v>
      </c>
      <c r="O1573">
        <v>12.62</v>
      </c>
      <c r="P1573">
        <v>151.44</v>
      </c>
    </row>
    <row r="1574" spans="1:16" x14ac:dyDescent="0.3">
      <c r="A1574">
        <v>66144</v>
      </c>
      <c r="B1574">
        <v>105</v>
      </c>
      <c r="C1574" t="s">
        <v>557</v>
      </c>
      <c r="D1574" s="452">
        <v>46023</v>
      </c>
      <c r="E1574">
        <v>26006</v>
      </c>
      <c r="F1574" t="s">
        <v>4941</v>
      </c>
      <c r="G1574">
        <v>6491</v>
      </c>
      <c r="H1574">
        <v>12</v>
      </c>
      <c r="I1574" t="s">
        <v>4749</v>
      </c>
      <c r="J1574" t="s">
        <v>5191</v>
      </c>
      <c r="K1574" t="s">
        <v>458</v>
      </c>
      <c r="L1574">
        <v>12.62</v>
      </c>
      <c r="M1574" s="452">
        <v>45995</v>
      </c>
      <c r="N1574">
        <v>12.62</v>
      </c>
      <c r="O1574">
        <v>12.62</v>
      </c>
      <c r="P1574">
        <v>151.44</v>
      </c>
    </row>
    <row r="1575" spans="1:16" x14ac:dyDescent="0.3">
      <c r="A1575">
        <v>66346</v>
      </c>
      <c r="B1575">
        <v>105</v>
      </c>
      <c r="C1575" t="s">
        <v>557</v>
      </c>
      <c r="D1575" s="452">
        <v>46023</v>
      </c>
      <c r="E1575">
        <v>18477</v>
      </c>
      <c r="F1575" t="s">
        <v>4920</v>
      </c>
      <c r="G1575">
        <v>3179</v>
      </c>
      <c r="H1575">
        <v>3</v>
      </c>
      <c r="I1575" t="s">
        <v>4805</v>
      </c>
      <c r="J1575" t="s">
        <v>5222</v>
      </c>
      <c r="K1575" t="s">
        <v>458</v>
      </c>
      <c r="L1575">
        <v>0</v>
      </c>
      <c r="M1575" s="452">
        <v>45525</v>
      </c>
      <c r="N1575">
        <v>49.9</v>
      </c>
      <c r="O1575">
        <v>43.9</v>
      </c>
      <c r="P1575">
        <v>149.69999999999999</v>
      </c>
    </row>
    <row r="1576" spans="1:16" x14ac:dyDescent="0.3">
      <c r="A1576">
        <v>66355</v>
      </c>
      <c r="B1576">
        <v>105</v>
      </c>
      <c r="C1576" t="s">
        <v>557</v>
      </c>
      <c r="D1576" s="452">
        <v>46023</v>
      </c>
      <c r="E1576">
        <v>24685</v>
      </c>
      <c r="F1576" t="s">
        <v>5055</v>
      </c>
      <c r="G1576">
        <v>5714</v>
      </c>
      <c r="H1576">
        <v>1</v>
      </c>
      <c r="I1576" t="s">
        <v>4805</v>
      </c>
      <c r="J1576" t="s">
        <v>5222</v>
      </c>
      <c r="K1576" t="s">
        <v>458</v>
      </c>
      <c r="L1576">
        <v>147.25</v>
      </c>
      <c r="M1576" s="452">
        <v>45999</v>
      </c>
      <c r="N1576">
        <v>147.25</v>
      </c>
      <c r="O1576">
        <v>176.51</v>
      </c>
      <c r="P1576">
        <v>147.25</v>
      </c>
    </row>
    <row r="1577" spans="1:16" x14ac:dyDescent="0.3">
      <c r="A1577">
        <v>66169</v>
      </c>
      <c r="B1577">
        <v>105</v>
      </c>
      <c r="C1577" t="s">
        <v>557</v>
      </c>
      <c r="D1577" s="452">
        <v>46023</v>
      </c>
      <c r="E1577">
        <v>20301</v>
      </c>
      <c r="F1577" t="s">
        <v>4944</v>
      </c>
      <c r="G1577">
        <v>2223</v>
      </c>
      <c r="H1577">
        <v>7</v>
      </c>
      <c r="I1577" t="s">
        <v>4738</v>
      </c>
      <c r="J1577" t="s">
        <v>5191</v>
      </c>
      <c r="K1577" t="s">
        <v>458</v>
      </c>
      <c r="L1577">
        <v>21.03</v>
      </c>
      <c r="M1577" s="452">
        <v>46006</v>
      </c>
      <c r="N1577">
        <v>20.8</v>
      </c>
      <c r="O1577">
        <v>20.78</v>
      </c>
      <c r="P1577">
        <v>147.21</v>
      </c>
    </row>
    <row r="1578" spans="1:16" x14ac:dyDescent="0.3">
      <c r="A1578">
        <v>66384</v>
      </c>
      <c r="B1578">
        <v>105</v>
      </c>
      <c r="C1578" t="s">
        <v>557</v>
      </c>
      <c r="D1578" s="452">
        <v>46023</v>
      </c>
      <c r="E1578">
        <v>24307</v>
      </c>
      <c r="F1578" t="s">
        <v>4755</v>
      </c>
      <c r="G1578">
        <v>3656</v>
      </c>
      <c r="H1578">
        <v>67</v>
      </c>
      <c r="I1578" t="s">
        <v>4736</v>
      </c>
      <c r="J1578" t="s">
        <v>5222</v>
      </c>
      <c r="K1578" t="s">
        <v>458</v>
      </c>
      <c r="L1578">
        <v>0</v>
      </c>
      <c r="M1578" s="452">
        <v>45540</v>
      </c>
      <c r="N1578">
        <v>2.19</v>
      </c>
      <c r="O1578">
        <v>2.19</v>
      </c>
      <c r="P1578">
        <v>146.72999999999999</v>
      </c>
    </row>
    <row r="1579" spans="1:16" x14ac:dyDescent="0.3">
      <c r="A1579">
        <v>66393</v>
      </c>
      <c r="B1579">
        <v>105</v>
      </c>
      <c r="C1579" t="s">
        <v>557</v>
      </c>
      <c r="D1579" s="452">
        <v>46023</v>
      </c>
      <c r="E1579">
        <v>26034</v>
      </c>
      <c r="F1579" t="s">
        <v>4828</v>
      </c>
      <c r="G1579">
        <v>6504</v>
      </c>
      <c r="H1579">
        <v>3</v>
      </c>
      <c r="I1579" t="s">
        <v>4805</v>
      </c>
      <c r="J1579" t="s">
        <v>5222</v>
      </c>
      <c r="K1579" t="s">
        <v>458</v>
      </c>
      <c r="L1579">
        <v>48.54</v>
      </c>
      <c r="M1579" s="452">
        <v>46007</v>
      </c>
      <c r="N1579">
        <v>45.5</v>
      </c>
      <c r="O1579">
        <v>49.84</v>
      </c>
      <c r="P1579">
        <v>145.62</v>
      </c>
    </row>
    <row r="1580" spans="1:16" x14ac:dyDescent="0.3">
      <c r="A1580">
        <v>66340</v>
      </c>
      <c r="B1580">
        <v>105</v>
      </c>
      <c r="C1580" t="s">
        <v>557</v>
      </c>
      <c r="D1580" s="452">
        <v>46023</v>
      </c>
      <c r="E1580">
        <v>18547</v>
      </c>
      <c r="F1580" t="s">
        <v>4863</v>
      </c>
      <c r="G1580">
        <v>3132</v>
      </c>
      <c r="H1580">
        <v>4</v>
      </c>
      <c r="I1580" t="s">
        <v>4805</v>
      </c>
      <c r="J1580" t="s">
        <v>5222</v>
      </c>
      <c r="K1580" t="s">
        <v>458</v>
      </c>
      <c r="L1580">
        <v>35.99</v>
      </c>
      <c r="M1580" s="452">
        <v>45999</v>
      </c>
      <c r="N1580">
        <v>34.89</v>
      </c>
      <c r="O1580">
        <v>40.5</v>
      </c>
      <c r="P1580">
        <v>143.96</v>
      </c>
    </row>
    <row r="1581" spans="1:16" x14ac:dyDescent="0.3">
      <c r="A1581">
        <v>66154</v>
      </c>
      <c r="B1581">
        <v>105</v>
      </c>
      <c r="C1581" t="s">
        <v>557</v>
      </c>
      <c r="D1581" s="452">
        <v>46023</v>
      </c>
      <c r="E1581">
        <v>25756</v>
      </c>
      <c r="F1581" t="s">
        <v>4854</v>
      </c>
      <c r="G1581">
        <v>9069</v>
      </c>
      <c r="H1581">
        <v>18</v>
      </c>
      <c r="I1581" t="s">
        <v>4749</v>
      </c>
      <c r="J1581" t="s">
        <v>5191</v>
      </c>
      <c r="K1581" t="s">
        <v>458</v>
      </c>
      <c r="L1581">
        <v>7.99</v>
      </c>
      <c r="M1581" s="452">
        <v>45995</v>
      </c>
      <c r="N1581">
        <v>7.99</v>
      </c>
      <c r="O1581">
        <v>7.99</v>
      </c>
      <c r="P1581">
        <v>143.82</v>
      </c>
    </row>
    <row r="1582" spans="1:16" x14ac:dyDescent="0.3">
      <c r="A1582">
        <v>66277</v>
      </c>
      <c r="B1582">
        <v>105</v>
      </c>
      <c r="C1582" t="s">
        <v>557</v>
      </c>
      <c r="D1582" s="452">
        <v>46023</v>
      </c>
      <c r="E1582">
        <v>19790</v>
      </c>
      <c r="F1582" t="s">
        <v>5073</v>
      </c>
      <c r="G1582">
        <v>2469</v>
      </c>
      <c r="H1582">
        <v>4</v>
      </c>
      <c r="I1582" t="s">
        <v>4744</v>
      </c>
      <c r="J1582" t="s">
        <v>5191</v>
      </c>
      <c r="K1582" t="s">
        <v>458</v>
      </c>
      <c r="L1582">
        <v>35.630000000000003</v>
      </c>
      <c r="M1582" s="452">
        <v>46008</v>
      </c>
      <c r="N1582">
        <v>35.630000000000003</v>
      </c>
      <c r="O1582">
        <v>34.200000000000003</v>
      </c>
      <c r="P1582">
        <v>142.52000000000001</v>
      </c>
    </row>
    <row r="1583" spans="1:16" x14ac:dyDescent="0.3">
      <c r="A1583">
        <v>66317</v>
      </c>
      <c r="B1583">
        <v>105</v>
      </c>
      <c r="C1583" t="s">
        <v>557</v>
      </c>
      <c r="D1583" s="452">
        <v>46023</v>
      </c>
      <c r="E1583">
        <v>24320</v>
      </c>
      <c r="F1583" t="s">
        <v>4861</v>
      </c>
      <c r="G1583">
        <v>2942</v>
      </c>
      <c r="H1583">
        <v>4</v>
      </c>
      <c r="I1583" t="s">
        <v>4744</v>
      </c>
      <c r="J1583" t="s">
        <v>5191</v>
      </c>
      <c r="K1583" t="s">
        <v>458</v>
      </c>
      <c r="L1583">
        <v>35.299999999999997</v>
      </c>
      <c r="M1583" s="452">
        <v>46006</v>
      </c>
      <c r="N1583">
        <v>33.799999999999997</v>
      </c>
      <c r="O1583">
        <v>59.9</v>
      </c>
      <c r="P1583">
        <v>141.19999999999999</v>
      </c>
    </row>
    <row r="1584" spans="1:16" x14ac:dyDescent="0.3">
      <c r="A1584">
        <v>66357</v>
      </c>
      <c r="B1584">
        <v>105</v>
      </c>
      <c r="C1584" t="s">
        <v>557</v>
      </c>
      <c r="D1584" s="452">
        <v>46023</v>
      </c>
      <c r="E1584">
        <v>18312</v>
      </c>
      <c r="F1584" t="s">
        <v>5037</v>
      </c>
      <c r="G1584">
        <v>3321</v>
      </c>
      <c r="H1584">
        <v>1</v>
      </c>
      <c r="I1584" t="s">
        <v>4805</v>
      </c>
      <c r="J1584" t="s">
        <v>5222</v>
      </c>
      <c r="K1584" t="s">
        <v>458</v>
      </c>
      <c r="L1584">
        <v>0</v>
      </c>
      <c r="N1584">
        <v>0</v>
      </c>
      <c r="O1584">
        <v>86.57</v>
      </c>
      <c r="P1584">
        <v>135.9</v>
      </c>
    </row>
    <row r="1585" spans="1:16" x14ac:dyDescent="0.3">
      <c r="A1585">
        <v>66301</v>
      </c>
      <c r="B1585">
        <v>105</v>
      </c>
      <c r="C1585" t="s">
        <v>557</v>
      </c>
      <c r="D1585" s="452">
        <v>46023</v>
      </c>
      <c r="E1585">
        <v>24081</v>
      </c>
      <c r="F1585" t="s">
        <v>4834</v>
      </c>
      <c r="G1585">
        <v>3034</v>
      </c>
      <c r="H1585">
        <v>5.7</v>
      </c>
      <c r="I1585" t="s">
        <v>4744</v>
      </c>
      <c r="J1585" t="s">
        <v>5191</v>
      </c>
      <c r="K1585" t="s">
        <v>458</v>
      </c>
      <c r="L1585">
        <v>23.8</v>
      </c>
      <c r="M1585" s="452">
        <v>46006</v>
      </c>
      <c r="N1585">
        <v>23.8</v>
      </c>
      <c r="O1585">
        <v>23.8</v>
      </c>
      <c r="P1585">
        <v>135.66</v>
      </c>
    </row>
    <row r="1586" spans="1:16" x14ac:dyDescent="0.3">
      <c r="A1586">
        <v>66378</v>
      </c>
      <c r="B1586">
        <v>105</v>
      </c>
      <c r="C1586" t="s">
        <v>557</v>
      </c>
      <c r="D1586" s="452">
        <v>46023</v>
      </c>
      <c r="E1586">
        <v>24029</v>
      </c>
      <c r="F1586" t="s">
        <v>4756</v>
      </c>
      <c r="G1586">
        <v>3591</v>
      </c>
      <c r="H1586">
        <v>61</v>
      </c>
      <c r="I1586" t="s">
        <v>4736</v>
      </c>
      <c r="J1586" t="s">
        <v>5222</v>
      </c>
      <c r="K1586" t="s">
        <v>458</v>
      </c>
      <c r="L1586">
        <v>0</v>
      </c>
      <c r="M1586" s="452">
        <v>45546</v>
      </c>
      <c r="N1586">
        <v>2.19</v>
      </c>
      <c r="O1586">
        <v>2.19</v>
      </c>
      <c r="P1586">
        <v>133.59</v>
      </c>
    </row>
    <row r="1587" spans="1:16" x14ac:dyDescent="0.3">
      <c r="A1587">
        <v>66234</v>
      </c>
      <c r="B1587">
        <v>105</v>
      </c>
      <c r="C1587" t="s">
        <v>557</v>
      </c>
      <c r="D1587" s="452">
        <v>46023</v>
      </c>
      <c r="E1587">
        <v>20207</v>
      </c>
      <c r="F1587" t="s">
        <v>4929</v>
      </c>
      <c r="G1587">
        <v>2253</v>
      </c>
      <c r="H1587">
        <v>4.45</v>
      </c>
      <c r="I1587" t="s">
        <v>4744</v>
      </c>
      <c r="J1587" t="s">
        <v>5191</v>
      </c>
      <c r="K1587" t="s">
        <v>458</v>
      </c>
      <c r="L1587">
        <v>0</v>
      </c>
      <c r="M1587" s="452">
        <v>45895</v>
      </c>
      <c r="N1587">
        <v>29.9</v>
      </c>
      <c r="O1587">
        <v>29.9</v>
      </c>
      <c r="P1587">
        <v>133.06</v>
      </c>
    </row>
    <row r="1588" spans="1:16" x14ac:dyDescent="0.3">
      <c r="A1588">
        <v>66350</v>
      </c>
      <c r="B1588">
        <v>105</v>
      </c>
      <c r="C1588" t="s">
        <v>557</v>
      </c>
      <c r="D1588" s="452">
        <v>46023</v>
      </c>
      <c r="E1588">
        <v>18394</v>
      </c>
      <c r="F1588" t="s">
        <v>5032</v>
      </c>
      <c r="G1588">
        <v>3246</v>
      </c>
      <c r="H1588">
        <v>1</v>
      </c>
      <c r="I1588" t="s">
        <v>4805</v>
      </c>
      <c r="J1588" t="s">
        <v>5222</v>
      </c>
      <c r="K1588" t="s">
        <v>458</v>
      </c>
      <c r="L1588">
        <v>0</v>
      </c>
      <c r="M1588" s="452">
        <v>45867</v>
      </c>
      <c r="N1588">
        <v>132.36000000000001</v>
      </c>
      <c r="O1588">
        <v>132</v>
      </c>
      <c r="P1588">
        <v>132.36000000000001</v>
      </c>
    </row>
    <row r="1589" spans="1:16" x14ac:dyDescent="0.3">
      <c r="A1589">
        <v>66217</v>
      </c>
      <c r="B1589">
        <v>105</v>
      </c>
      <c r="C1589" t="s">
        <v>557</v>
      </c>
      <c r="D1589" s="452">
        <v>46023</v>
      </c>
      <c r="E1589">
        <v>23515</v>
      </c>
      <c r="F1589" t="s">
        <v>4816</v>
      </c>
      <c r="G1589">
        <v>2353</v>
      </c>
      <c r="H1589">
        <v>6</v>
      </c>
      <c r="I1589" t="s">
        <v>4736</v>
      </c>
      <c r="J1589" t="s">
        <v>5191</v>
      </c>
      <c r="K1589" t="s">
        <v>458</v>
      </c>
      <c r="L1589">
        <v>20.8</v>
      </c>
      <c r="M1589" s="452">
        <v>45999</v>
      </c>
      <c r="N1589">
        <v>20.8</v>
      </c>
      <c r="O1589">
        <v>19.27</v>
      </c>
      <c r="P1589">
        <v>124.8</v>
      </c>
    </row>
    <row r="1590" spans="1:16" x14ac:dyDescent="0.3">
      <c r="A1590">
        <v>66206</v>
      </c>
      <c r="B1590">
        <v>105</v>
      </c>
      <c r="C1590" t="s">
        <v>557</v>
      </c>
      <c r="D1590" s="452">
        <v>46023</v>
      </c>
      <c r="E1590">
        <v>20660</v>
      </c>
      <c r="F1590" t="s">
        <v>5011</v>
      </c>
      <c r="G1590">
        <v>2110</v>
      </c>
      <c r="H1590">
        <v>2</v>
      </c>
      <c r="I1590" t="s">
        <v>4955</v>
      </c>
      <c r="J1590" t="s">
        <v>5191</v>
      </c>
      <c r="K1590" t="s">
        <v>458</v>
      </c>
      <c r="L1590">
        <v>61.9</v>
      </c>
      <c r="M1590" s="452">
        <v>46006</v>
      </c>
      <c r="N1590">
        <v>61.9</v>
      </c>
      <c r="O1590">
        <v>61.9</v>
      </c>
      <c r="P1590">
        <v>123.8</v>
      </c>
    </row>
    <row r="1591" spans="1:16" x14ac:dyDescent="0.3">
      <c r="A1591">
        <v>66192</v>
      </c>
      <c r="B1591">
        <v>105</v>
      </c>
      <c r="C1591" t="s">
        <v>557</v>
      </c>
      <c r="D1591" s="452">
        <v>46023</v>
      </c>
      <c r="E1591">
        <v>20672</v>
      </c>
      <c r="F1591" t="s">
        <v>4857</v>
      </c>
      <c r="G1591">
        <v>2107</v>
      </c>
      <c r="H1591">
        <v>4</v>
      </c>
      <c r="I1591" t="s">
        <v>4738</v>
      </c>
      <c r="J1591" t="s">
        <v>5191</v>
      </c>
      <c r="K1591" t="s">
        <v>458</v>
      </c>
      <c r="L1591">
        <v>0</v>
      </c>
      <c r="M1591" s="452">
        <v>45961</v>
      </c>
      <c r="N1591">
        <v>30.87</v>
      </c>
      <c r="O1591">
        <v>30.9</v>
      </c>
      <c r="P1591">
        <v>123.48</v>
      </c>
    </row>
    <row r="1592" spans="1:16" x14ac:dyDescent="0.3">
      <c r="A1592">
        <v>66224</v>
      </c>
      <c r="B1592">
        <v>105</v>
      </c>
      <c r="C1592" t="s">
        <v>557</v>
      </c>
      <c r="D1592" s="452">
        <v>46023</v>
      </c>
      <c r="E1592">
        <v>27397</v>
      </c>
      <c r="F1592" t="s">
        <v>4913</v>
      </c>
      <c r="G1592">
        <v>7399</v>
      </c>
      <c r="H1592">
        <v>2</v>
      </c>
      <c r="I1592" t="s">
        <v>4736</v>
      </c>
      <c r="J1592" t="s">
        <v>5191</v>
      </c>
      <c r="K1592" t="s">
        <v>458</v>
      </c>
      <c r="L1592">
        <v>61.1</v>
      </c>
      <c r="M1592" s="452">
        <v>46006</v>
      </c>
      <c r="N1592">
        <v>61.1</v>
      </c>
      <c r="O1592">
        <v>61.1</v>
      </c>
      <c r="P1592">
        <v>122.2</v>
      </c>
    </row>
    <row r="1593" spans="1:16" x14ac:dyDescent="0.3">
      <c r="A1593">
        <v>66353</v>
      </c>
      <c r="B1593">
        <v>105</v>
      </c>
      <c r="C1593" t="s">
        <v>557</v>
      </c>
      <c r="D1593" s="452">
        <v>46023</v>
      </c>
      <c r="E1593">
        <v>18293</v>
      </c>
      <c r="F1593" t="s">
        <v>5034</v>
      </c>
      <c r="G1593">
        <v>3336</v>
      </c>
      <c r="H1593">
        <v>1</v>
      </c>
      <c r="I1593" t="s">
        <v>4805</v>
      </c>
      <c r="J1593" t="s">
        <v>5222</v>
      </c>
      <c r="K1593" t="s">
        <v>458</v>
      </c>
      <c r="L1593">
        <v>121.79</v>
      </c>
      <c r="M1593" s="452">
        <v>46007</v>
      </c>
      <c r="N1593">
        <v>132.77000000000001</v>
      </c>
      <c r="O1593">
        <v>122.84</v>
      </c>
      <c r="P1593">
        <v>121.79</v>
      </c>
    </row>
    <row r="1594" spans="1:16" x14ac:dyDescent="0.3">
      <c r="A1594">
        <v>66264</v>
      </c>
      <c r="B1594">
        <v>105</v>
      </c>
      <c r="C1594" t="s">
        <v>557</v>
      </c>
      <c r="D1594" s="452">
        <v>46023</v>
      </c>
      <c r="E1594">
        <v>23361</v>
      </c>
      <c r="F1594" t="s">
        <v>4754</v>
      </c>
      <c r="G1594">
        <v>2497</v>
      </c>
      <c r="H1594">
        <v>39.6</v>
      </c>
      <c r="I1594" t="s">
        <v>4744</v>
      </c>
      <c r="J1594" t="s">
        <v>5191</v>
      </c>
      <c r="K1594" t="s">
        <v>458</v>
      </c>
      <c r="L1594">
        <v>3.07</v>
      </c>
      <c r="M1594" s="452">
        <v>46009</v>
      </c>
      <c r="N1594">
        <v>3</v>
      </c>
      <c r="O1594">
        <v>3.48</v>
      </c>
      <c r="P1594">
        <v>121.57</v>
      </c>
    </row>
    <row r="1595" spans="1:16" x14ac:dyDescent="0.3">
      <c r="A1595">
        <v>66181</v>
      </c>
      <c r="B1595">
        <v>105</v>
      </c>
      <c r="C1595" t="s">
        <v>557</v>
      </c>
      <c r="D1595" s="452">
        <v>46023</v>
      </c>
      <c r="E1595">
        <v>20054</v>
      </c>
      <c r="F1595" t="s">
        <v>4856</v>
      </c>
      <c r="G1595">
        <v>2325</v>
      </c>
      <c r="H1595">
        <v>11</v>
      </c>
      <c r="I1595" t="s">
        <v>4736</v>
      </c>
      <c r="J1595" t="s">
        <v>5191</v>
      </c>
      <c r="K1595" t="s">
        <v>458</v>
      </c>
      <c r="L1595">
        <v>0</v>
      </c>
      <c r="M1595" s="452">
        <v>45968</v>
      </c>
      <c r="N1595">
        <v>10.92</v>
      </c>
      <c r="O1595">
        <v>11.4</v>
      </c>
      <c r="P1595">
        <v>120.12</v>
      </c>
    </row>
    <row r="1596" spans="1:16" x14ac:dyDescent="0.3">
      <c r="A1596">
        <v>66232</v>
      </c>
      <c r="B1596">
        <v>105</v>
      </c>
      <c r="C1596" t="s">
        <v>557</v>
      </c>
      <c r="D1596" s="452">
        <v>46023</v>
      </c>
      <c r="E1596">
        <v>19923</v>
      </c>
      <c r="F1596" t="s">
        <v>5069</v>
      </c>
      <c r="G1596">
        <v>2375</v>
      </c>
      <c r="H1596">
        <v>3</v>
      </c>
      <c r="I1596" t="s">
        <v>4738</v>
      </c>
      <c r="J1596" t="s">
        <v>5191</v>
      </c>
      <c r="K1596" t="s">
        <v>458</v>
      </c>
      <c r="L1596">
        <v>39.9</v>
      </c>
      <c r="M1596" s="452">
        <v>45999</v>
      </c>
      <c r="N1596">
        <v>39.9</v>
      </c>
      <c r="O1596">
        <v>37.5</v>
      </c>
      <c r="P1596">
        <v>119.7</v>
      </c>
    </row>
    <row r="1597" spans="1:16" x14ac:dyDescent="0.3">
      <c r="A1597">
        <v>66400</v>
      </c>
      <c r="B1597">
        <v>105</v>
      </c>
      <c r="C1597" t="s">
        <v>557</v>
      </c>
      <c r="D1597" s="452">
        <v>46023</v>
      </c>
      <c r="E1597">
        <v>17658</v>
      </c>
      <c r="F1597" t="s">
        <v>4978</v>
      </c>
      <c r="G1597">
        <v>3871</v>
      </c>
      <c r="H1597">
        <v>2</v>
      </c>
      <c r="I1597" t="s">
        <v>4805</v>
      </c>
      <c r="J1597" t="s">
        <v>5222</v>
      </c>
      <c r="K1597" t="s">
        <v>458</v>
      </c>
      <c r="L1597">
        <v>0</v>
      </c>
      <c r="M1597" s="452">
        <v>45861</v>
      </c>
      <c r="N1597">
        <v>0</v>
      </c>
      <c r="O1597">
        <v>0</v>
      </c>
      <c r="P1597">
        <v>118.8</v>
      </c>
    </row>
    <row r="1598" spans="1:16" x14ac:dyDescent="0.3">
      <c r="A1598">
        <v>66293</v>
      </c>
      <c r="B1598">
        <v>105</v>
      </c>
      <c r="C1598" t="s">
        <v>557</v>
      </c>
      <c r="D1598" s="452">
        <v>46023</v>
      </c>
      <c r="E1598">
        <v>23082</v>
      </c>
      <c r="F1598" t="s">
        <v>4904</v>
      </c>
      <c r="G1598">
        <v>2763</v>
      </c>
      <c r="H1598">
        <v>1.5</v>
      </c>
      <c r="I1598" t="s">
        <v>4744</v>
      </c>
      <c r="J1598" t="s">
        <v>5191</v>
      </c>
      <c r="K1598" t="s">
        <v>458</v>
      </c>
      <c r="L1598">
        <v>0</v>
      </c>
      <c r="M1598" s="452">
        <v>45849</v>
      </c>
      <c r="N1598">
        <v>78.900000000000006</v>
      </c>
      <c r="O1598">
        <v>78.900000000000006</v>
      </c>
      <c r="P1598">
        <v>118.35</v>
      </c>
    </row>
    <row r="1599" spans="1:16" x14ac:dyDescent="0.3">
      <c r="A1599">
        <v>66367</v>
      </c>
      <c r="B1599">
        <v>105</v>
      </c>
      <c r="C1599" t="s">
        <v>557</v>
      </c>
      <c r="D1599" s="452">
        <v>46023</v>
      </c>
      <c r="E1599">
        <v>18129</v>
      </c>
      <c r="F1599" t="s">
        <v>5043</v>
      </c>
      <c r="G1599">
        <v>3486</v>
      </c>
      <c r="H1599">
        <v>1</v>
      </c>
      <c r="I1599" t="s">
        <v>4805</v>
      </c>
      <c r="J1599" t="s">
        <v>5222</v>
      </c>
      <c r="K1599" t="s">
        <v>458</v>
      </c>
      <c r="L1599">
        <v>116</v>
      </c>
      <c r="M1599" s="452">
        <v>46007</v>
      </c>
      <c r="N1599">
        <v>116</v>
      </c>
      <c r="O1599">
        <v>116</v>
      </c>
      <c r="P1599">
        <v>116</v>
      </c>
    </row>
    <row r="1600" spans="1:16" x14ac:dyDescent="0.3">
      <c r="A1600">
        <v>66174</v>
      </c>
      <c r="B1600">
        <v>105</v>
      </c>
      <c r="C1600" t="s">
        <v>557</v>
      </c>
      <c r="D1600" s="452">
        <v>46023</v>
      </c>
      <c r="E1600">
        <v>20751</v>
      </c>
      <c r="F1600" t="s">
        <v>5004</v>
      </c>
      <c r="G1600">
        <v>2088</v>
      </c>
      <c r="H1600">
        <v>1</v>
      </c>
      <c r="I1600" t="s">
        <v>4884</v>
      </c>
      <c r="J1600" t="s">
        <v>5191</v>
      </c>
      <c r="K1600" t="s">
        <v>458</v>
      </c>
      <c r="L1600">
        <v>0</v>
      </c>
      <c r="M1600" s="452">
        <v>45989</v>
      </c>
      <c r="N1600">
        <v>108.94</v>
      </c>
      <c r="O1600">
        <v>108.8</v>
      </c>
      <c r="P1600">
        <v>108.94</v>
      </c>
    </row>
    <row r="1601" spans="1:16" x14ac:dyDescent="0.3">
      <c r="A1601">
        <v>66354</v>
      </c>
      <c r="B1601">
        <v>105</v>
      </c>
      <c r="C1601" t="s">
        <v>557</v>
      </c>
      <c r="D1601" s="452">
        <v>46023</v>
      </c>
      <c r="E1601">
        <v>18327</v>
      </c>
      <c r="F1601" t="s">
        <v>5035</v>
      </c>
      <c r="G1601">
        <v>3306</v>
      </c>
      <c r="H1601">
        <v>1</v>
      </c>
      <c r="I1601" t="s">
        <v>4805</v>
      </c>
      <c r="J1601" t="s">
        <v>5222</v>
      </c>
      <c r="K1601" t="s">
        <v>458</v>
      </c>
      <c r="L1601">
        <v>106.47</v>
      </c>
      <c r="M1601" s="452">
        <v>46000</v>
      </c>
      <c r="N1601">
        <v>106.47</v>
      </c>
      <c r="O1601">
        <v>109.18</v>
      </c>
      <c r="P1601">
        <v>106.47</v>
      </c>
    </row>
    <row r="1602" spans="1:16" x14ac:dyDescent="0.3">
      <c r="A1602">
        <v>66338</v>
      </c>
      <c r="B1602">
        <v>105</v>
      </c>
      <c r="C1602" t="s">
        <v>557</v>
      </c>
      <c r="D1602" s="452">
        <v>46023</v>
      </c>
      <c r="E1602">
        <v>18548</v>
      </c>
      <c r="F1602" t="s">
        <v>5029</v>
      </c>
      <c r="G1602">
        <v>3131</v>
      </c>
      <c r="H1602">
        <v>1</v>
      </c>
      <c r="I1602" t="s">
        <v>4805</v>
      </c>
      <c r="J1602" t="s">
        <v>5222</v>
      </c>
      <c r="K1602" t="s">
        <v>458</v>
      </c>
      <c r="L1602">
        <v>0</v>
      </c>
      <c r="M1602" s="452">
        <v>45853</v>
      </c>
      <c r="N1602">
        <v>106</v>
      </c>
      <c r="O1602">
        <v>374.9</v>
      </c>
      <c r="P1602">
        <v>106</v>
      </c>
    </row>
    <row r="1603" spans="1:16" x14ac:dyDescent="0.3">
      <c r="A1603">
        <v>66262</v>
      </c>
      <c r="B1603">
        <v>105</v>
      </c>
      <c r="C1603" t="s">
        <v>557</v>
      </c>
      <c r="D1603" s="452">
        <v>46023</v>
      </c>
      <c r="E1603">
        <v>19765</v>
      </c>
      <c r="F1603" t="s">
        <v>4889</v>
      </c>
      <c r="G1603">
        <v>2488</v>
      </c>
      <c r="H1603">
        <v>3</v>
      </c>
      <c r="I1603" t="s">
        <v>4744</v>
      </c>
      <c r="J1603" t="s">
        <v>5191</v>
      </c>
      <c r="K1603" t="s">
        <v>458</v>
      </c>
      <c r="L1603">
        <v>35</v>
      </c>
      <c r="M1603" s="452">
        <v>46003</v>
      </c>
      <c r="N1603">
        <v>35</v>
      </c>
      <c r="O1603">
        <v>33.6</v>
      </c>
      <c r="P1603">
        <v>105</v>
      </c>
    </row>
    <row r="1604" spans="1:16" x14ac:dyDescent="0.3">
      <c r="A1604">
        <v>66270</v>
      </c>
      <c r="B1604">
        <v>105</v>
      </c>
      <c r="C1604" t="s">
        <v>557</v>
      </c>
      <c r="D1604" s="452">
        <v>46023</v>
      </c>
      <c r="E1604">
        <v>19740</v>
      </c>
      <c r="F1604" t="s">
        <v>4779</v>
      </c>
      <c r="G1604">
        <v>2513</v>
      </c>
      <c r="H1604">
        <v>6.75</v>
      </c>
      <c r="I1604" t="s">
        <v>4744</v>
      </c>
      <c r="J1604" t="s">
        <v>5191</v>
      </c>
      <c r="K1604" t="s">
        <v>458</v>
      </c>
      <c r="L1604">
        <v>15.16</v>
      </c>
      <c r="M1604" s="452">
        <v>46008</v>
      </c>
      <c r="N1604">
        <v>15</v>
      </c>
      <c r="O1604">
        <v>19.55</v>
      </c>
      <c r="P1604">
        <v>102.33</v>
      </c>
    </row>
    <row r="1605" spans="1:16" x14ac:dyDescent="0.3">
      <c r="A1605">
        <v>66348</v>
      </c>
      <c r="B1605">
        <v>105</v>
      </c>
      <c r="C1605" t="s">
        <v>557</v>
      </c>
      <c r="D1605" s="452">
        <v>46023</v>
      </c>
      <c r="E1605">
        <v>18462</v>
      </c>
      <c r="F1605" t="s">
        <v>5031</v>
      </c>
      <c r="G1605">
        <v>3193</v>
      </c>
      <c r="H1605">
        <v>2</v>
      </c>
      <c r="I1605" t="s">
        <v>4805</v>
      </c>
      <c r="J1605" t="s">
        <v>5222</v>
      </c>
      <c r="K1605" t="s">
        <v>458</v>
      </c>
      <c r="L1605">
        <v>50.5</v>
      </c>
      <c r="M1605" s="452">
        <v>46001</v>
      </c>
      <c r="N1605">
        <v>50.5</v>
      </c>
      <c r="O1605">
        <v>50.5</v>
      </c>
      <c r="P1605">
        <v>101</v>
      </c>
    </row>
    <row r="1606" spans="1:16" x14ac:dyDescent="0.3">
      <c r="A1606">
        <v>66404</v>
      </c>
      <c r="B1606">
        <v>105</v>
      </c>
      <c r="C1606" t="s">
        <v>557</v>
      </c>
      <c r="D1606" s="452">
        <v>46023</v>
      </c>
      <c r="E1606">
        <v>19895</v>
      </c>
      <c r="F1606" t="s">
        <v>5080</v>
      </c>
      <c r="G1606">
        <v>2385</v>
      </c>
      <c r="H1606">
        <v>1</v>
      </c>
      <c r="I1606" t="s">
        <v>4888</v>
      </c>
      <c r="J1606" t="s">
        <v>5191</v>
      </c>
      <c r="K1606" t="s">
        <v>458</v>
      </c>
      <c r="L1606">
        <v>0</v>
      </c>
      <c r="M1606" s="452">
        <v>45887</v>
      </c>
      <c r="N1606">
        <v>99.99</v>
      </c>
      <c r="O1606">
        <v>32</v>
      </c>
      <c r="P1606">
        <v>99.99</v>
      </c>
    </row>
    <row r="1607" spans="1:16" x14ac:dyDescent="0.3">
      <c r="A1607">
        <v>66373</v>
      </c>
      <c r="B1607">
        <v>105</v>
      </c>
      <c r="C1607" t="s">
        <v>557</v>
      </c>
      <c r="D1607" s="452">
        <v>46023</v>
      </c>
      <c r="E1607">
        <v>18073</v>
      </c>
      <c r="F1607" t="s">
        <v>4974</v>
      </c>
      <c r="G1607">
        <v>3536</v>
      </c>
      <c r="H1607">
        <v>2</v>
      </c>
      <c r="I1607" t="s">
        <v>4805</v>
      </c>
      <c r="J1607" t="s">
        <v>5222</v>
      </c>
      <c r="K1607" t="s">
        <v>458</v>
      </c>
      <c r="L1607">
        <v>49.9</v>
      </c>
      <c r="M1607" s="452">
        <v>46004</v>
      </c>
      <c r="N1607">
        <v>49.9</v>
      </c>
      <c r="O1607">
        <v>49.9</v>
      </c>
      <c r="P1607">
        <v>99.8</v>
      </c>
    </row>
    <row r="1608" spans="1:16" x14ac:dyDescent="0.3">
      <c r="A1608">
        <v>66324</v>
      </c>
      <c r="B1608">
        <v>105</v>
      </c>
      <c r="C1608" t="s">
        <v>557</v>
      </c>
      <c r="D1608" s="452">
        <v>46023</v>
      </c>
      <c r="E1608">
        <v>25205</v>
      </c>
      <c r="F1608" t="s">
        <v>4850</v>
      </c>
      <c r="G1608">
        <v>5944</v>
      </c>
      <c r="H1608">
        <v>4.5</v>
      </c>
      <c r="I1608" t="s">
        <v>4744</v>
      </c>
      <c r="J1608" t="s">
        <v>5191</v>
      </c>
      <c r="K1608" t="s">
        <v>458</v>
      </c>
      <c r="L1608">
        <v>22</v>
      </c>
      <c r="M1608" s="452">
        <v>45992</v>
      </c>
      <c r="N1608">
        <v>22</v>
      </c>
      <c r="O1608">
        <v>19.899999999999999</v>
      </c>
      <c r="P1608">
        <v>99</v>
      </c>
    </row>
    <row r="1609" spans="1:16" x14ac:dyDescent="0.3">
      <c r="A1609">
        <v>66361</v>
      </c>
      <c r="B1609">
        <v>105</v>
      </c>
      <c r="C1609" t="s">
        <v>557</v>
      </c>
      <c r="D1609" s="452">
        <v>46023</v>
      </c>
      <c r="E1609">
        <v>18232</v>
      </c>
      <c r="F1609" t="s">
        <v>4971</v>
      </c>
      <c r="G1609">
        <v>3396</v>
      </c>
      <c r="H1609">
        <v>1</v>
      </c>
      <c r="I1609" t="s">
        <v>4805</v>
      </c>
      <c r="J1609" t="s">
        <v>5222</v>
      </c>
      <c r="K1609" t="s">
        <v>458</v>
      </c>
      <c r="L1609">
        <v>97.5</v>
      </c>
      <c r="M1609" s="452">
        <v>45999</v>
      </c>
      <c r="N1609">
        <v>97.5</v>
      </c>
      <c r="O1609">
        <v>97.5</v>
      </c>
      <c r="P1609">
        <v>97.5</v>
      </c>
    </row>
    <row r="1610" spans="1:16" x14ac:dyDescent="0.3">
      <c r="A1610">
        <v>66342</v>
      </c>
      <c r="B1610">
        <v>105</v>
      </c>
      <c r="C1610" t="s">
        <v>557</v>
      </c>
      <c r="D1610" s="452">
        <v>46023</v>
      </c>
      <c r="E1610">
        <v>18518</v>
      </c>
      <c r="F1610" t="s">
        <v>4838</v>
      </c>
      <c r="G1610">
        <v>3148</v>
      </c>
      <c r="H1610">
        <v>2</v>
      </c>
      <c r="I1610" t="s">
        <v>4805</v>
      </c>
      <c r="J1610" t="s">
        <v>5222</v>
      </c>
      <c r="K1610" t="s">
        <v>458</v>
      </c>
      <c r="L1610">
        <v>48.47</v>
      </c>
      <c r="M1610" s="452">
        <v>46010</v>
      </c>
      <c r="N1610">
        <v>46.51</v>
      </c>
      <c r="O1610">
        <v>46.51</v>
      </c>
      <c r="P1610">
        <v>96.94</v>
      </c>
    </row>
    <row r="1611" spans="1:16" x14ac:dyDescent="0.3">
      <c r="A1611">
        <v>66221</v>
      </c>
      <c r="B1611">
        <v>105</v>
      </c>
      <c r="C1611" t="s">
        <v>557</v>
      </c>
      <c r="D1611" s="452">
        <v>46023</v>
      </c>
      <c r="E1611">
        <v>19967</v>
      </c>
      <c r="F1611" t="s">
        <v>4956</v>
      </c>
      <c r="G1611">
        <v>2356</v>
      </c>
      <c r="H1611">
        <v>2</v>
      </c>
      <c r="I1611" t="s">
        <v>4888</v>
      </c>
      <c r="J1611" t="s">
        <v>5191</v>
      </c>
      <c r="K1611" t="s">
        <v>458</v>
      </c>
      <c r="L1611">
        <v>48.2</v>
      </c>
      <c r="M1611" s="452">
        <v>45996</v>
      </c>
      <c r="N1611">
        <v>48.2</v>
      </c>
      <c r="O1611">
        <v>49.1</v>
      </c>
      <c r="P1611">
        <v>96.4</v>
      </c>
    </row>
    <row r="1612" spans="1:16" x14ac:dyDescent="0.3">
      <c r="A1612">
        <v>66382</v>
      </c>
      <c r="B1612">
        <v>105</v>
      </c>
      <c r="C1612" t="s">
        <v>557</v>
      </c>
      <c r="D1612" s="452">
        <v>46023</v>
      </c>
      <c r="E1612">
        <v>24226</v>
      </c>
      <c r="F1612" t="s">
        <v>4795</v>
      </c>
      <c r="G1612">
        <v>3647</v>
      </c>
      <c r="H1612">
        <v>15</v>
      </c>
      <c r="I1612" t="s">
        <v>4736</v>
      </c>
      <c r="J1612" t="s">
        <v>5222</v>
      </c>
      <c r="K1612" t="s">
        <v>458</v>
      </c>
      <c r="L1612">
        <v>0</v>
      </c>
      <c r="M1612" s="452">
        <v>45532</v>
      </c>
      <c r="N1612">
        <v>6.42</v>
      </c>
      <c r="O1612">
        <v>6.82</v>
      </c>
      <c r="P1612">
        <v>96.3</v>
      </c>
    </row>
    <row r="1613" spans="1:16" x14ac:dyDescent="0.3">
      <c r="A1613">
        <v>66374</v>
      </c>
      <c r="B1613">
        <v>105</v>
      </c>
      <c r="C1613" t="s">
        <v>557</v>
      </c>
      <c r="D1613" s="452">
        <v>46023</v>
      </c>
      <c r="E1613">
        <v>26210</v>
      </c>
      <c r="F1613" t="s">
        <v>4975</v>
      </c>
      <c r="G1613">
        <v>6624</v>
      </c>
      <c r="H1613">
        <v>2</v>
      </c>
      <c r="I1613" t="s">
        <v>4805</v>
      </c>
      <c r="J1613" t="s">
        <v>5222</v>
      </c>
      <c r="K1613" t="s">
        <v>458</v>
      </c>
      <c r="L1613">
        <v>47.6</v>
      </c>
      <c r="M1613" s="452">
        <v>46001</v>
      </c>
      <c r="N1613">
        <v>47.6</v>
      </c>
      <c r="O1613">
        <v>47.6</v>
      </c>
      <c r="P1613">
        <v>95.2</v>
      </c>
    </row>
    <row r="1614" spans="1:16" x14ac:dyDescent="0.3">
      <c r="A1614">
        <v>66158</v>
      </c>
      <c r="B1614">
        <v>105</v>
      </c>
      <c r="C1614" t="s">
        <v>557</v>
      </c>
      <c r="D1614" s="452">
        <v>46023</v>
      </c>
      <c r="E1614">
        <v>26103</v>
      </c>
      <c r="F1614" t="s">
        <v>4776</v>
      </c>
      <c r="G1614">
        <v>9072</v>
      </c>
      <c r="H1614">
        <v>10</v>
      </c>
      <c r="I1614" t="s">
        <v>4749</v>
      </c>
      <c r="J1614" t="s">
        <v>5191</v>
      </c>
      <c r="K1614" t="s">
        <v>458</v>
      </c>
      <c r="L1614">
        <v>0</v>
      </c>
      <c r="M1614" s="452">
        <v>45918</v>
      </c>
      <c r="N1614">
        <v>9.44</v>
      </c>
      <c r="O1614">
        <v>9.44</v>
      </c>
      <c r="P1614">
        <v>94.37</v>
      </c>
    </row>
    <row r="1615" spans="1:16" x14ac:dyDescent="0.3">
      <c r="A1615">
        <v>66208</v>
      </c>
      <c r="B1615">
        <v>105</v>
      </c>
      <c r="C1615" t="s">
        <v>557</v>
      </c>
      <c r="D1615" s="452">
        <v>46023</v>
      </c>
      <c r="E1615">
        <v>24323</v>
      </c>
      <c r="F1615" t="s">
        <v>4844</v>
      </c>
      <c r="G1615">
        <v>2262</v>
      </c>
      <c r="H1615">
        <v>5.8</v>
      </c>
      <c r="I1615" t="s">
        <v>4744</v>
      </c>
      <c r="J1615" t="s">
        <v>5191</v>
      </c>
      <c r="K1615" t="s">
        <v>458</v>
      </c>
      <c r="L1615">
        <v>0</v>
      </c>
      <c r="M1615" s="452">
        <v>45817</v>
      </c>
      <c r="N1615">
        <v>16.2</v>
      </c>
      <c r="O1615">
        <v>13.9</v>
      </c>
      <c r="P1615">
        <v>93.96</v>
      </c>
    </row>
    <row r="1616" spans="1:16" x14ac:dyDescent="0.3">
      <c r="A1616">
        <v>66392</v>
      </c>
      <c r="B1616">
        <v>105</v>
      </c>
      <c r="C1616" t="s">
        <v>557</v>
      </c>
      <c r="D1616" s="452">
        <v>46023</v>
      </c>
      <c r="E1616">
        <v>26032</v>
      </c>
      <c r="F1616" t="s">
        <v>4896</v>
      </c>
      <c r="G1616">
        <v>6503</v>
      </c>
      <c r="H1616">
        <v>2</v>
      </c>
      <c r="I1616" t="s">
        <v>4805</v>
      </c>
      <c r="J1616" t="s">
        <v>5222</v>
      </c>
      <c r="K1616" t="s">
        <v>458</v>
      </c>
      <c r="L1616">
        <v>0</v>
      </c>
      <c r="M1616" s="452">
        <v>45698</v>
      </c>
      <c r="N1616">
        <v>46.38</v>
      </c>
      <c r="O1616">
        <v>75.48</v>
      </c>
      <c r="P1616">
        <v>92.76</v>
      </c>
    </row>
    <row r="1617" spans="1:16" x14ac:dyDescent="0.3">
      <c r="A1617">
        <v>66419</v>
      </c>
      <c r="B1617">
        <v>105</v>
      </c>
      <c r="C1617" t="s">
        <v>557</v>
      </c>
      <c r="D1617" s="452">
        <v>46023</v>
      </c>
      <c r="E1617">
        <v>18538</v>
      </c>
      <c r="F1617" t="s">
        <v>5030</v>
      </c>
      <c r="G1617">
        <v>3139</v>
      </c>
      <c r="H1617">
        <v>0.91</v>
      </c>
      <c r="I1617" t="s">
        <v>4805</v>
      </c>
      <c r="J1617" t="s">
        <v>5222</v>
      </c>
      <c r="K1617" t="s">
        <v>458</v>
      </c>
      <c r="L1617">
        <v>101.65</v>
      </c>
      <c r="M1617" s="452">
        <v>46000</v>
      </c>
      <c r="N1617">
        <v>101.65</v>
      </c>
      <c r="O1617">
        <v>104.9</v>
      </c>
      <c r="P1617">
        <v>92.5</v>
      </c>
    </row>
    <row r="1618" spans="1:16" x14ac:dyDescent="0.3">
      <c r="A1618">
        <v>66251</v>
      </c>
      <c r="B1618">
        <v>105</v>
      </c>
      <c r="C1618" t="s">
        <v>557</v>
      </c>
      <c r="D1618" s="452">
        <v>46023</v>
      </c>
      <c r="E1618">
        <v>23268</v>
      </c>
      <c r="F1618" t="s">
        <v>4743</v>
      </c>
      <c r="G1618">
        <v>2592</v>
      </c>
      <c r="H1618">
        <v>20.6</v>
      </c>
      <c r="I1618" t="s">
        <v>4744</v>
      </c>
      <c r="J1618" t="s">
        <v>5191</v>
      </c>
      <c r="K1618" t="s">
        <v>458</v>
      </c>
      <c r="L1618">
        <v>0</v>
      </c>
      <c r="M1618" s="452">
        <v>45681</v>
      </c>
      <c r="N1618">
        <v>4.42</v>
      </c>
      <c r="O1618">
        <v>5.0999999999999996</v>
      </c>
      <c r="P1618">
        <v>91.05</v>
      </c>
    </row>
    <row r="1619" spans="1:16" x14ac:dyDescent="0.3">
      <c r="A1619">
        <v>66397</v>
      </c>
      <c r="B1619">
        <v>105</v>
      </c>
      <c r="C1619" t="s">
        <v>557</v>
      </c>
      <c r="D1619" s="452">
        <v>46023</v>
      </c>
      <c r="E1619">
        <v>26040</v>
      </c>
      <c r="F1619" t="s">
        <v>4812</v>
      </c>
      <c r="G1619">
        <v>6507</v>
      </c>
      <c r="H1619">
        <v>2</v>
      </c>
      <c r="I1619" t="s">
        <v>4805</v>
      </c>
      <c r="J1619" t="s">
        <v>5222</v>
      </c>
      <c r="K1619" t="s">
        <v>458</v>
      </c>
      <c r="L1619">
        <v>45.5</v>
      </c>
      <c r="M1619" s="452">
        <v>46007</v>
      </c>
      <c r="N1619">
        <v>45.5</v>
      </c>
      <c r="O1619">
        <v>45.5</v>
      </c>
      <c r="P1619">
        <v>91</v>
      </c>
    </row>
    <row r="1620" spans="1:16" x14ac:dyDescent="0.3">
      <c r="A1620">
        <v>66414</v>
      </c>
      <c r="B1620">
        <v>105</v>
      </c>
      <c r="C1620" t="s">
        <v>557</v>
      </c>
      <c r="D1620" s="452">
        <v>46023</v>
      </c>
      <c r="E1620">
        <v>18289</v>
      </c>
      <c r="F1620" t="s">
        <v>5036</v>
      </c>
      <c r="G1620">
        <v>3339</v>
      </c>
      <c r="H1620">
        <v>0.65</v>
      </c>
      <c r="I1620" t="s">
        <v>4736</v>
      </c>
      <c r="J1620" t="s">
        <v>5222</v>
      </c>
      <c r="K1620" t="s">
        <v>458</v>
      </c>
      <c r="L1620">
        <v>0</v>
      </c>
      <c r="N1620">
        <v>0</v>
      </c>
      <c r="O1620">
        <v>0</v>
      </c>
      <c r="P1620">
        <v>91</v>
      </c>
    </row>
    <row r="1621" spans="1:16" x14ac:dyDescent="0.3">
      <c r="A1621">
        <v>66220</v>
      </c>
      <c r="B1621">
        <v>105</v>
      </c>
      <c r="C1621" t="s">
        <v>557</v>
      </c>
      <c r="D1621" s="452">
        <v>46023</v>
      </c>
      <c r="E1621">
        <v>19964</v>
      </c>
      <c r="F1621" t="s">
        <v>4817</v>
      </c>
      <c r="G1621">
        <v>2356</v>
      </c>
      <c r="H1621">
        <v>6</v>
      </c>
      <c r="I1621" t="s">
        <v>4736</v>
      </c>
      <c r="J1621" t="s">
        <v>5191</v>
      </c>
      <c r="K1621" t="s">
        <v>458</v>
      </c>
      <c r="L1621">
        <v>0</v>
      </c>
      <c r="M1621" s="452">
        <v>45677</v>
      </c>
      <c r="N1621">
        <v>14.96</v>
      </c>
      <c r="O1621">
        <v>14.96</v>
      </c>
      <c r="P1621">
        <v>89.76</v>
      </c>
    </row>
    <row r="1622" spans="1:16" x14ac:dyDescent="0.3">
      <c r="A1622">
        <v>66359</v>
      </c>
      <c r="B1622">
        <v>105</v>
      </c>
      <c r="C1622" t="s">
        <v>557</v>
      </c>
      <c r="D1622" s="452">
        <v>46023</v>
      </c>
      <c r="E1622">
        <v>18253</v>
      </c>
      <c r="F1622" t="s">
        <v>4969</v>
      </c>
      <c r="G1622">
        <v>3376</v>
      </c>
      <c r="H1622">
        <v>3</v>
      </c>
      <c r="I1622" t="s">
        <v>4805</v>
      </c>
      <c r="J1622" t="s">
        <v>5222</v>
      </c>
      <c r="K1622" t="s">
        <v>458</v>
      </c>
      <c r="L1622">
        <v>29.77</v>
      </c>
      <c r="M1622" s="452">
        <v>46010</v>
      </c>
      <c r="N1622">
        <v>32</v>
      </c>
      <c r="O1622">
        <v>29.6</v>
      </c>
      <c r="P1622">
        <v>89.31</v>
      </c>
    </row>
    <row r="1623" spans="1:16" x14ac:dyDescent="0.3">
      <c r="A1623">
        <v>66341</v>
      </c>
      <c r="B1623">
        <v>105</v>
      </c>
      <c r="C1623" t="s">
        <v>557</v>
      </c>
      <c r="D1623" s="452">
        <v>46023</v>
      </c>
      <c r="E1623">
        <v>18545</v>
      </c>
      <c r="F1623" t="s">
        <v>4864</v>
      </c>
      <c r="G1623">
        <v>3134</v>
      </c>
      <c r="H1623">
        <v>2</v>
      </c>
      <c r="I1623" t="s">
        <v>4805</v>
      </c>
      <c r="J1623" t="s">
        <v>5222</v>
      </c>
      <c r="K1623" t="s">
        <v>458</v>
      </c>
      <c r="L1623">
        <v>44.45</v>
      </c>
      <c r="M1623" s="452">
        <v>46007</v>
      </c>
      <c r="N1623">
        <v>44.45</v>
      </c>
      <c r="O1623">
        <v>49.2</v>
      </c>
      <c r="P1623">
        <v>88.9</v>
      </c>
    </row>
    <row r="1624" spans="1:16" x14ac:dyDescent="0.3">
      <c r="A1624">
        <v>66212</v>
      </c>
      <c r="B1624">
        <v>105</v>
      </c>
      <c r="C1624" t="s">
        <v>557</v>
      </c>
      <c r="D1624" s="452">
        <v>46023</v>
      </c>
      <c r="E1624">
        <v>20122</v>
      </c>
      <c r="F1624" t="s">
        <v>4781</v>
      </c>
      <c r="G1624">
        <v>2290</v>
      </c>
      <c r="H1624">
        <v>6</v>
      </c>
      <c r="I1624" t="s">
        <v>4738</v>
      </c>
      <c r="J1624" t="s">
        <v>5191</v>
      </c>
      <c r="K1624" t="s">
        <v>458</v>
      </c>
      <c r="L1624">
        <v>0</v>
      </c>
      <c r="M1624" s="452">
        <v>45989</v>
      </c>
      <c r="N1624">
        <v>14.6</v>
      </c>
      <c r="O1624">
        <v>14.6</v>
      </c>
      <c r="P1624">
        <v>87.6</v>
      </c>
    </row>
    <row r="1625" spans="1:16" x14ac:dyDescent="0.3">
      <c r="A1625">
        <v>66369</v>
      </c>
      <c r="B1625">
        <v>105</v>
      </c>
      <c r="C1625" t="s">
        <v>557</v>
      </c>
      <c r="D1625" s="452">
        <v>46023</v>
      </c>
      <c r="E1625">
        <v>18116</v>
      </c>
      <c r="F1625" t="s">
        <v>5045</v>
      </c>
      <c r="G1625">
        <v>3496</v>
      </c>
      <c r="H1625">
        <v>1</v>
      </c>
      <c r="I1625" t="s">
        <v>4805</v>
      </c>
      <c r="J1625" t="s">
        <v>5222</v>
      </c>
      <c r="K1625" t="s">
        <v>458</v>
      </c>
      <c r="L1625">
        <v>85.9</v>
      </c>
      <c r="M1625" s="452">
        <v>46007</v>
      </c>
      <c r="N1625">
        <v>85.9</v>
      </c>
      <c r="O1625">
        <v>79.989999999999995</v>
      </c>
      <c r="P1625">
        <v>85.9</v>
      </c>
    </row>
    <row r="1626" spans="1:16" x14ac:dyDescent="0.3">
      <c r="A1626">
        <v>66198</v>
      </c>
      <c r="B1626">
        <v>105</v>
      </c>
      <c r="C1626" t="s">
        <v>557</v>
      </c>
      <c r="D1626" s="452">
        <v>46023</v>
      </c>
      <c r="E1626">
        <v>20242</v>
      </c>
      <c r="F1626" t="s">
        <v>4824</v>
      </c>
      <c r="G1626">
        <v>2242</v>
      </c>
      <c r="H1626">
        <v>6</v>
      </c>
      <c r="I1626" t="s">
        <v>4738</v>
      </c>
      <c r="J1626" t="s">
        <v>5191</v>
      </c>
      <c r="K1626" t="s">
        <v>458</v>
      </c>
      <c r="L1626">
        <v>14.2</v>
      </c>
      <c r="M1626" s="452">
        <v>46006</v>
      </c>
      <c r="N1626">
        <v>14.2</v>
      </c>
      <c r="O1626">
        <v>14.18</v>
      </c>
      <c r="P1626">
        <v>85.2</v>
      </c>
    </row>
    <row r="1627" spans="1:16" x14ac:dyDescent="0.3">
      <c r="A1627">
        <v>66249</v>
      </c>
      <c r="B1627">
        <v>105</v>
      </c>
      <c r="C1627" t="s">
        <v>557</v>
      </c>
      <c r="D1627" s="452">
        <v>46023</v>
      </c>
      <c r="E1627">
        <v>19649</v>
      </c>
      <c r="F1627" t="s">
        <v>4859</v>
      </c>
      <c r="G1627">
        <v>2589</v>
      </c>
      <c r="H1627">
        <v>3</v>
      </c>
      <c r="I1627" t="s">
        <v>4744</v>
      </c>
      <c r="J1627" t="s">
        <v>5191</v>
      </c>
      <c r="K1627" t="s">
        <v>458</v>
      </c>
      <c r="L1627">
        <v>0</v>
      </c>
      <c r="M1627" s="452">
        <v>45820</v>
      </c>
      <c r="N1627">
        <v>27.9</v>
      </c>
      <c r="O1627">
        <v>23.5</v>
      </c>
      <c r="P1627">
        <v>83.7</v>
      </c>
    </row>
    <row r="1628" spans="1:16" x14ac:dyDescent="0.3">
      <c r="A1628">
        <v>66194</v>
      </c>
      <c r="B1628">
        <v>105</v>
      </c>
      <c r="C1628" t="s">
        <v>557</v>
      </c>
      <c r="D1628" s="452">
        <v>46023</v>
      </c>
      <c r="E1628">
        <v>20382</v>
      </c>
      <c r="F1628" t="s">
        <v>4780</v>
      </c>
      <c r="G1628">
        <v>2196</v>
      </c>
      <c r="H1628">
        <v>9</v>
      </c>
      <c r="I1628" t="s">
        <v>4738</v>
      </c>
      <c r="J1628" t="s">
        <v>5191</v>
      </c>
      <c r="K1628" t="s">
        <v>458</v>
      </c>
      <c r="L1628">
        <v>8.99</v>
      </c>
      <c r="M1628" s="452">
        <v>45999</v>
      </c>
      <c r="N1628">
        <v>8.99</v>
      </c>
      <c r="O1628">
        <v>8.99</v>
      </c>
      <c r="P1628">
        <v>80.91</v>
      </c>
    </row>
    <row r="1629" spans="1:16" x14ac:dyDescent="0.3">
      <c r="A1629">
        <v>66228</v>
      </c>
      <c r="B1629">
        <v>105</v>
      </c>
      <c r="C1629" t="s">
        <v>557</v>
      </c>
      <c r="D1629" s="452">
        <v>46023</v>
      </c>
      <c r="E1629">
        <v>20623</v>
      </c>
      <c r="F1629" t="s">
        <v>4814</v>
      </c>
      <c r="G1629">
        <v>2116</v>
      </c>
      <c r="H1629">
        <v>7.3</v>
      </c>
      <c r="I1629" t="s">
        <v>4736</v>
      </c>
      <c r="J1629" t="s">
        <v>5191</v>
      </c>
      <c r="K1629" t="s">
        <v>458</v>
      </c>
      <c r="L1629">
        <v>11.07</v>
      </c>
      <c r="M1629" s="452">
        <v>46002</v>
      </c>
      <c r="N1629">
        <v>11.07</v>
      </c>
      <c r="O1629">
        <v>11.07</v>
      </c>
      <c r="P1629">
        <v>80.81</v>
      </c>
    </row>
    <row r="1630" spans="1:16" x14ac:dyDescent="0.3">
      <c r="A1630">
        <v>66349</v>
      </c>
      <c r="B1630">
        <v>105</v>
      </c>
      <c r="C1630" t="s">
        <v>557</v>
      </c>
      <c r="D1630" s="452">
        <v>46023</v>
      </c>
      <c r="E1630">
        <v>18423</v>
      </c>
      <c r="F1630" t="s">
        <v>4987</v>
      </c>
      <c r="G1630">
        <v>3220</v>
      </c>
      <c r="H1630">
        <v>2</v>
      </c>
      <c r="I1630" t="s">
        <v>4805</v>
      </c>
      <c r="J1630" t="s">
        <v>5222</v>
      </c>
      <c r="K1630" t="s">
        <v>458</v>
      </c>
      <c r="L1630">
        <v>40.11</v>
      </c>
      <c r="M1630" s="452">
        <v>46002</v>
      </c>
      <c r="N1630">
        <v>40.56</v>
      </c>
      <c r="O1630">
        <v>40.56</v>
      </c>
      <c r="P1630">
        <v>80.22</v>
      </c>
    </row>
    <row r="1631" spans="1:16" x14ac:dyDescent="0.3">
      <c r="A1631">
        <v>66182</v>
      </c>
      <c r="B1631">
        <v>105</v>
      </c>
      <c r="C1631" t="s">
        <v>557</v>
      </c>
      <c r="D1631" s="452">
        <v>46023</v>
      </c>
      <c r="E1631">
        <v>20057</v>
      </c>
      <c r="F1631" t="s">
        <v>4949</v>
      </c>
      <c r="G1631">
        <v>2324</v>
      </c>
      <c r="H1631">
        <v>2</v>
      </c>
      <c r="I1631" t="s">
        <v>4736</v>
      </c>
      <c r="J1631" t="s">
        <v>5191</v>
      </c>
      <c r="K1631" t="s">
        <v>458</v>
      </c>
      <c r="L1631">
        <v>40.1</v>
      </c>
      <c r="M1631" s="452">
        <v>45996</v>
      </c>
      <c r="N1631">
        <v>40.1</v>
      </c>
      <c r="O1631">
        <v>40.68</v>
      </c>
      <c r="P1631">
        <v>80.2</v>
      </c>
    </row>
    <row r="1632" spans="1:16" x14ac:dyDescent="0.3">
      <c r="A1632">
        <v>66165</v>
      </c>
      <c r="B1632">
        <v>105</v>
      </c>
      <c r="C1632" t="s">
        <v>557</v>
      </c>
      <c r="D1632" s="452">
        <v>46023</v>
      </c>
      <c r="E1632">
        <v>20756</v>
      </c>
      <c r="F1632" t="s">
        <v>5001</v>
      </c>
      <c r="G1632">
        <v>2086</v>
      </c>
      <c r="H1632">
        <v>1</v>
      </c>
      <c r="I1632" t="s">
        <v>4736</v>
      </c>
      <c r="J1632" t="s">
        <v>5191</v>
      </c>
      <c r="K1632" t="s">
        <v>458</v>
      </c>
      <c r="L1632">
        <v>0</v>
      </c>
      <c r="M1632" s="452">
        <v>45607</v>
      </c>
      <c r="N1632">
        <v>79.2</v>
      </c>
      <c r="O1632">
        <v>78.900000000000006</v>
      </c>
      <c r="P1632">
        <v>79.2</v>
      </c>
    </row>
    <row r="1633" spans="1:16" x14ac:dyDescent="0.3">
      <c r="A1633">
        <v>66166</v>
      </c>
      <c r="B1633">
        <v>105</v>
      </c>
      <c r="C1633" t="s">
        <v>557</v>
      </c>
      <c r="D1633" s="452">
        <v>46023</v>
      </c>
      <c r="E1633">
        <v>24040</v>
      </c>
      <c r="F1633" t="s">
        <v>5002</v>
      </c>
      <c r="G1633">
        <v>2261</v>
      </c>
      <c r="H1633">
        <v>1</v>
      </c>
      <c r="I1633" t="s">
        <v>4744</v>
      </c>
      <c r="J1633" t="s">
        <v>5191</v>
      </c>
      <c r="K1633" t="s">
        <v>458</v>
      </c>
      <c r="L1633">
        <v>0</v>
      </c>
      <c r="M1633" s="452">
        <v>45975</v>
      </c>
      <c r="N1633">
        <v>78.400000000000006</v>
      </c>
      <c r="O1633">
        <v>79.900000000000006</v>
      </c>
      <c r="P1633">
        <v>78.400000000000006</v>
      </c>
    </row>
    <row r="1634" spans="1:16" x14ac:dyDescent="0.3">
      <c r="A1634">
        <v>66308</v>
      </c>
      <c r="B1634">
        <v>105</v>
      </c>
      <c r="C1634" t="s">
        <v>557</v>
      </c>
      <c r="D1634" s="452">
        <v>46023</v>
      </c>
      <c r="E1634">
        <v>19041</v>
      </c>
      <c r="F1634" t="s">
        <v>4762</v>
      </c>
      <c r="G1634">
        <v>2890</v>
      </c>
      <c r="H1634">
        <v>5</v>
      </c>
      <c r="I1634" t="s">
        <v>4744</v>
      </c>
      <c r="J1634" t="s">
        <v>5191</v>
      </c>
      <c r="K1634" t="s">
        <v>458</v>
      </c>
      <c r="L1634">
        <v>15.4</v>
      </c>
      <c r="M1634" s="452">
        <v>46006</v>
      </c>
      <c r="N1634">
        <v>15.4</v>
      </c>
      <c r="O1634">
        <v>14.9</v>
      </c>
      <c r="P1634">
        <v>77</v>
      </c>
    </row>
    <row r="1635" spans="1:16" x14ac:dyDescent="0.3">
      <c r="A1635">
        <v>66380</v>
      </c>
      <c r="B1635">
        <v>105</v>
      </c>
      <c r="C1635" t="s">
        <v>557</v>
      </c>
      <c r="D1635" s="452">
        <v>46023</v>
      </c>
      <c r="E1635">
        <v>16973</v>
      </c>
      <c r="F1635" t="s">
        <v>4827</v>
      </c>
      <c r="G1635">
        <v>3710</v>
      </c>
      <c r="H1635">
        <v>2</v>
      </c>
      <c r="I1635" t="s">
        <v>4749</v>
      </c>
      <c r="J1635" t="s">
        <v>5222</v>
      </c>
      <c r="K1635" t="s">
        <v>458</v>
      </c>
      <c r="L1635">
        <v>0</v>
      </c>
      <c r="M1635" s="452">
        <v>45740</v>
      </c>
      <c r="N1635">
        <v>0</v>
      </c>
      <c r="O1635">
        <v>135</v>
      </c>
      <c r="P1635">
        <v>76</v>
      </c>
    </row>
    <row r="1636" spans="1:16" x14ac:dyDescent="0.3">
      <c r="A1636">
        <v>66319</v>
      </c>
      <c r="B1636">
        <v>105</v>
      </c>
      <c r="C1636" t="s">
        <v>557</v>
      </c>
      <c r="D1636" s="452">
        <v>46023</v>
      </c>
      <c r="E1636">
        <v>18992</v>
      </c>
      <c r="F1636" t="s">
        <v>4869</v>
      </c>
      <c r="G1636">
        <v>2900</v>
      </c>
      <c r="H1636">
        <v>4</v>
      </c>
      <c r="I1636" t="s">
        <v>4744</v>
      </c>
      <c r="J1636" t="s">
        <v>5191</v>
      </c>
      <c r="K1636" t="s">
        <v>458</v>
      </c>
      <c r="L1636">
        <v>0</v>
      </c>
      <c r="M1636" s="452">
        <v>45922</v>
      </c>
      <c r="N1636">
        <v>18.39</v>
      </c>
      <c r="O1636">
        <v>17.989999999999998</v>
      </c>
      <c r="P1636">
        <v>73.56</v>
      </c>
    </row>
    <row r="1637" spans="1:16" x14ac:dyDescent="0.3">
      <c r="A1637">
        <v>66388</v>
      </c>
      <c r="B1637">
        <v>105</v>
      </c>
      <c r="C1637" t="s">
        <v>557</v>
      </c>
      <c r="D1637" s="452">
        <v>46023</v>
      </c>
      <c r="E1637">
        <v>17878</v>
      </c>
      <c r="F1637" t="s">
        <v>4926</v>
      </c>
      <c r="G1637">
        <v>3677</v>
      </c>
      <c r="H1637">
        <v>3</v>
      </c>
      <c r="I1637" t="s">
        <v>4736</v>
      </c>
      <c r="J1637" t="s">
        <v>5222</v>
      </c>
      <c r="K1637" t="s">
        <v>458</v>
      </c>
      <c r="L1637">
        <v>23.9</v>
      </c>
      <c r="M1637" s="452">
        <v>46001</v>
      </c>
      <c r="N1637">
        <v>23.9</v>
      </c>
      <c r="O1637">
        <v>23.9</v>
      </c>
      <c r="P1637">
        <v>71.7</v>
      </c>
    </row>
    <row r="1638" spans="1:16" x14ac:dyDescent="0.3">
      <c r="A1638">
        <v>66327</v>
      </c>
      <c r="B1638">
        <v>105</v>
      </c>
      <c r="C1638" t="s">
        <v>557</v>
      </c>
      <c r="D1638" s="452">
        <v>46023</v>
      </c>
      <c r="E1638">
        <v>26505</v>
      </c>
      <c r="F1638" t="s">
        <v>4750</v>
      </c>
      <c r="G1638">
        <v>6762</v>
      </c>
      <c r="H1638">
        <v>0.33</v>
      </c>
      <c r="I1638" t="s">
        <v>4738</v>
      </c>
      <c r="J1638" t="s">
        <v>5222</v>
      </c>
      <c r="K1638" t="s">
        <v>458</v>
      </c>
      <c r="L1638">
        <v>216</v>
      </c>
      <c r="M1638" s="452">
        <v>46001</v>
      </c>
      <c r="N1638">
        <v>216</v>
      </c>
      <c r="O1638">
        <v>132.07</v>
      </c>
      <c r="P1638">
        <v>71.28</v>
      </c>
    </row>
    <row r="1639" spans="1:16" x14ac:dyDescent="0.3">
      <c r="A1639">
        <v>66146</v>
      </c>
      <c r="B1639">
        <v>105</v>
      </c>
      <c r="C1639" t="s">
        <v>557</v>
      </c>
      <c r="D1639" s="452">
        <v>46023</v>
      </c>
      <c r="E1639">
        <v>21130</v>
      </c>
      <c r="F1639" t="s">
        <v>4998</v>
      </c>
      <c r="G1639">
        <v>1963</v>
      </c>
      <c r="H1639">
        <v>2</v>
      </c>
      <c r="I1639" t="s">
        <v>4736</v>
      </c>
      <c r="J1639" t="s">
        <v>5191</v>
      </c>
      <c r="K1639" t="s">
        <v>458</v>
      </c>
      <c r="L1639">
        <v>0</v>
      </c>
      <c r="M1639" s="452">
        <v>45811</v>
      </c>
      <c r="N1639">
        <v>35.31</v>
      </c>
      <c r="O1639">
        <v>36.78</v>
      </c>
      <c r="P1639">
        <v>70.62</v>
      </c>
    </row>
    <row r="1640" spans="1:16" x14ac:dyDescent="0.3">
      <c r="A1640">
        <v>66164</v>
      </c>
      <c r="B1640">
        <v>105</v>
      </c>
      <c r="C1640" t="s">
        <v>557</v>
      </c>
      <c r="D1640" s="452">
        <v>46023</v>
      </c>
      <c r="E1640">
        <v>20321</v>
      </c>
      <c r="F1640" t="s">
        <v>5067</v>
      </c>
      <c r="G1640">
        <v>2213</v>
      </c>
      <c r="H1640">
        <v>0.5</v>
      </c>
      <c r="I1640" t="s">
        <v>4744</v>
      </c>
      <c r="J1640" t="s">
        <v>5191</v>
      </c>
      <c r="K1640" t="s">
        <v>458</v>
      </c>
      <c r="L1640">
        <v>138.30000000000001</v>
      </c>
      <c r="M1640" s="452">
        <v>45999</v>
      </c>
      <c r="N1640">
        <v>138.30000000000001</v>
      </c>
      <c r="O1640">
        <v>138.30000000000001</v>
      </c>
      <c r="P1640">
        <v>69.150000000000006</v>
      </c>
    </row>
    <row r="1641" spans="1:16" x14ac:dyDescent="0.3">
      <c r="A1641">
        <v>66157</v>
      </c>
      <c r="B1641">
        <v>105</v>
      </c>
      <c r="C1641" t="s">
        <v>557</v>
      </c>
      <c r="D1641" s="452">
        <v>46023</v>
      </c>
      <c r="E1641">
        <v>25755</v>
      </c>
      <c r="F1641" t="s">
        <v>4821</v>
      </c>
      <c r="G1641">
        <v>9071</v>
      </c>
      <c r="H1641">
        <v>9</v>
      </c>
      <c r="I1641" t="s">
        <v>4749</v>
      </c>
      <c r="J1641" t="s">
        <v>5191</v>
      </c>
      <c r="K1641" t="s">
        <v>458</v>
      </c>
      <c r="L1641">
        <v>0</v>
      </c>
      <c r="M1641" s="452">
        <v>45922</v>
      </c>
      <c r="N1641">
        <v>7.65</v>
      </c>
      <c r="O1641">
        <v>7.65</v>
      </c>
      <c r="P1641">
        <v>68.849999999999994</v>
      </c>
    </row>
    <row r="1642" spans="1:16" x14ac:dyDescent="0.3">
      <c r="A1642">
        <v>66229</v>
      </c>
      <c r="B1642">
        <v>105</v>
      </c>
      <c r="C1642" t="s">
        <v>557</v>
      </c>
      <c r="D1642" s="452">
        <v>46023</v>
      </c>
      <c r="E1642">
        <v>20624</v>
      </c>
      <c r="F1642" t="s">
        <v>5019</v>
      </c>
      <c r="G1642">
        <v>2116</v>
      </c>
      <c r="H1642">
        <v>1</v>
      </c>
      <c r="I1642" t="s">
        <v>4884</v>
      </c>
      <c r="J1642" t="s">
        <v>5191</v>
      </c>
      <c r="K1642" t="s">
        <v>458</v>
      </c>
      <c r="L1642">
        <v>67.5</v>
      </c>
      <c r="M1642" s="452">
        <v>45999</v>
      </c>
      <c r="N1642">
        <v>67.5</v>
      </c>
      <c r="O1642">
        <v>68.2</v>
      </c>
      <c r="P1642">
        <v>67.5</v>
      </c>
    </row>
    <row r="1643" spans="1:16" x14ac:dyDescent="0.3">
      <c r="A1643">
        <v>66205</v>
      </c>
      <c r="B1643">
        <v>105</v>
      </c>
      <c r="C1643" t="s">
        <v>557</v>
      </c>
      <c r="D1643" s="452">
        <v>46023</v>
      </c>
      <c r="E1643">
        <v>24302</v>
      </c>
      <c r="F1643" t="s">
        <v>4813</v>
      </c>
      <c r="G1643">
        <v>2251</v>
      </c>
      <c r="H1643">
        <v>6</v>
      </c>
      <c r="I1643" t="s">
        <v>4744</v>
      </c>
      <c r="J1643" t="s">
        <v>5191</v>
      </c>
      <c r="K1643" t="s">
        <v>458</v>
      </c>
      <c r="L1643">
        <v>0</v>
      </c>
      <c r="M1643" s="452">
        <v>45887</v>
      </c>
      <c r="N1643">
        <v>11.19</v>
      </c>
      <c r="O1643">
        <v>10.28</v>
      </c>
      <c r="P1643">
        <v>67.14</v>
      </c>
    </row>
    <row r="1644" spans="1:16" x14ac:dyDescent="0.3">
      <c r="A1644">
        <v>66424</v>
      </c>
      <c r="B1644">
        <v>105</v>
      </c>
      <c r="C1644" t="s">
        <v>557</v>
      </c>
      <c r="D1644" s="452">
        <v>46023</v>
      </c>
      <c r="E1644">
        <v>18157</v>
      </c>
      <c r="F1644" t="s">
        <v>5041</v>
      </c>
      <c r="G1644">
        <v>3463</v>
      </c>
      <c r="H1644">
        <v>0.4</v>
      </c>
      <c r="I1644" t="s">
        <v>4805</v>
      </c>
      <c r="J1644" t="s">
        <v>5222</v>
      </c>
      <c r="K1644" t="s">
        <v>458</v>
      </c>
      <c r="L1644">
        <v>0</v>
      </c>
      <c r="M1644" s="452">
        <v>45874</v>
      </c>
      <c r="N1644">
        <v>164.98</v>
      </c>
      <c r="O1644">
        <v>179.29</v>
      </c>
      <c r="P1644">
        <v>65.989999999999995</v>
      </c>
    </row>
    <row r="1645" spans="1:16" x14ac:dyDescent="0.3">
      <c r="A1645">
        <v>66179</v>
      </c>
      <c r="B1645">
        <v>105</v>
      </c>
      <c r="C1645" t="s">
        <v>557</v>
      </c>
      <c r="D1645" s="452">
        <v>46023</v>
      </c>
      <c r="E1645">
        <v>24638</v>
      </c>
      <c r="F1645" t="s">
        <v>4948</v>
      </c>
      <c r="G1645">
        <v>5690</v>
      </c>
      <c r="H1645">
        <v>2</v>
      </c>
      <c r="I1645" t="s">
        <v>4749</v>
      </c>
      <c r="J1645" t="s">
        <v>5191</v>
      </c>
      <c r="K1645" t="s">
        <v>458</v>
      </c>
      <c r="L1645">
        <v>0</v>
      </c>
      <c r="M1645" s="452">
        <v>45980</v>
      </c>
      <c r="N1645">
        <v>32.9</v>
      </c>
      <c r="O1645">
        <v>24.5</v>
      </c>
      <c r="P1645">
        <v>65.8</v>
      </c>
    </row>
    <row r="1646" spans="1:16" x14ac:dyDescent="0.3">
      <c r="A1646">
        <v>66150</v>
      </c>
      <c r="B1646">
        <v>105</v>
      </c>
      <c r="C1646" t="s">
        <v>557</v>
      </c>
      <c r="D1646" s="452">
        <v>46023</v>
      </c>
      <c r="E1646">
        <v>25761</v>
      </c>
      <c r="F1646" t="s">
        <v>4789</v>
      </c>
      <c r="G1646">
        <v>6312</v>
      </c>
      <c r="H1646">
        <v>9</v>
      </c>
      <c r="I1646" t="s">
        <v>4736</v>
      </c>
      <c r="J1646" t="s">
        <v>5191</v>
      </c>
      <c r="K1646" t="s">
        <v>458</v>
      </c>
      <c r="L1646">
        <v>0</v>
      </c>
      <c r="N1646">
        <v>0</v>
      </c>
      <c r="O1646">
        <v>0</v>
      </c>
      <c r="P1646">
        <v>62.91</v>
      </c>
    </row>
    <row r="1647" spans="1:16" x14ac:dyDescent="0.3">
      <c r="A1647">
        <v>66149</v>
      </c>
      <c r="B1647">
        <v>105</v>
      </c>
      <c r="C1647" t="s">
        <v>557</v>
      </c>
      <c r="D1647" s="452">
        <v>46023</v>
      </c>
      <c r="E1647">
        <v>25748</v>
      </c>
      <c r="F1647" t="s">
        <v>4999</v>
      </c>
      <c r="G1647">
        <v>9068</v>
      </c>
      <c r="H1647">
        <v>11</v>
      </c>
      <c r="I1647" t="s">
        <v>4749</v>
      </c>
      <c r="J1647" t="s">
        <v>5191</v>
      </c>
      <c r="K1647" t="s">
        <v>458</v>
      </c>
      <c r="L1647">
        <v>5.65</v>
      </c>
      <c r="M1647" s="452">
        <v>45995</v>
      </c>
      <c r="N1647">
        <v>5.65</v>
      </c>
      <c r="O1647">
        <v>5.65</v>
      </c>
      <c r="P1647">
        <v>62.15</v>
      </c>
    </row>
    <row r="1648" spans="1:16" x14ac:dyDescent="0.3">
      <c r="A1648">
        <v>66344</v>
      </c>
      <c r="B1648">
        <v>105</v>
      </c>
      <c r="C1648" t="s">
        <v>557</v>
      </c>
      <c r="D1648" s="452">
        <v>46023</v>
      </c>
      <c r="E1648">
        <v>18450</v>
      </c>
      <c r="F1648" t="s">
        <v>4979</v>
      </c>
      <c r="G1648">
        <v>3202</v>
      </c>
      <c r="H1648">
        <v>2</v>
      </c>
      <c r="I1648" t="s">
        <v>4805</v>
      </c>
      <c r="J1648" t="s">
        <v>5222</v>
      </c>
      <c r="K1648" t="s">
        <v>458</v>
      </c>
      <c r="L1648">
        <v>0</v>
      </c>
      <c r="N1648">
        <v>0</v>
      </c>
      <c r="O1648">
        <v>38</v>
      </c>
      <c r="P1648">
        <v>60.9</v>
      </c>
    </row>
    <row r="1649" spans="1:16" x14ac:dyDescent="0.3">
      <c r="A1649">
        <v>66151</v>
      </c>
      <c r="B1649">
        <v>105</v>
      </c>
      <c r="C1649" t="s">
        <v>557</v>
      </c>
      <c r="D1649" s="452">
        <v>46023</v>
      </c>
      <c r="E1649">
        <v>25747</v>
      </c>
      <c r="F1649" t="s">
        <v>4794</v>
      </c>
      <c r="G1649">
        <v>6299</v>
      </c>
      <c r="H1649">
        <v>12</v>
      </c>
      <c r="I1649" t="s">
        <v>4736</v>
      </c>
      <c r="J1649" t="s">
        <v>5191</v>
      </c>
      <c r="K1649" t="s">
        <v>458</v>
      </c>
      <c r="L1649">
        <v>0</v>
      </c>
      <c r="M1649" s="452">
        <v>45742</v>
      </c>
      <c r="N1649">
        <v>5.04</v>
      </c>
      <c r="O1649">
        <v>5.04</v>
      </c>
      <c r="P1649">
        <v>60.48</v>
      </c>
    </row>
    <row r="1650" spans="1:16" x14ac:dyDescent="0.3">
      <c r="A1650">
        <v>66175</v>
      </c>
      <c r="B1650">
        <v>105</v>
      </c>
      <c r="C1650" t="s">
        <v>557</v>
      </c>
      <c r="D1650" s="452">
        <v>46023</v>
      </c>
      <c r="E1650">
        <v>23808</v>
      </c>
      <c r="F1650" t="s">
        <v>4982</v>
      </c>
      <c r="G1650">
        <v>2096</v>
      </c>
      <c r="H1650">
        <v>1.8</v>
      </c>
      <c r="I1650" t="s">
        <v>4744</v>
      </c>
      <c r="J1650" t="s">
        <v>5191</v>
      </c>
      <c r="K1650" t="s">
        <v>458</v>
      </c>
      <c r="L1650">
        <v>33.6</v>
      </c>
      <c r="M1650" s="452">
        <v>45996</v>
      </c>
      <c r="N1650">
        <v>33.6</v>
      </c>
      <c r="O1650">
        <v>33.549999999999997</v>
      </c>
      <c r="P1650">
        <v>60.48</v>
      </c>
    </row>
    <row r="1651" spans="1:16" x14ac:dyDescent="0.3">
      <c r="A1651">
        <v>66200</v>
      </c>
      <c r="B1651">
        <v>105</v>
      </c>
      <c r="C1651" t="s">
        <v>557</v>
      </c>
      <c r="D1651" s="452">
        <v>46023</v>
      </c>
      <c r="E1651">
        <v>20227</v>
      </c>
      <c r="F1651" t="s">
        <v>4825</v>
      </c>
      <c r="G1651">
        <v>2248</v>
      </c>
      <c r="H1651">
        <v>6</v>
      </c>
      <c r="I1651" t="s">
        <v>4738</v>
      </c>
      <c r="J1651" t="s">
        <v>5191</v>
      </c>
      <c r="K1651" t="s">
        <v>458</v>
      </c>
      <c r="L1651">
        <v>9.99</v>
      </c>
      <c r="M1651" s="452">
        <v>46006</v>
      </c>
      <c r="N1651">
        <v>9.99</v>
      </c>
      <c r="O1651">
        <v>9.98</v>
      </c>
      <c r="P1651">
        <v>59.94</v>
      </c>
    </row>
    <row r="1652" spans="1:16" x14ac:dyDescent="0.3">
      <c r="A1652">
        <v>66145</v>
      </c>
      <c r="B1652">
        <v>105</v>
      </c>
      <c r="C1652" t="s">
        <v>557</v>
      </c>
      <c r="D1652" s="452">
        <v>46023</v>
      </c>
      <c r="E1652">
        <v>21147</v>
      </c>
      <c r="F1652" t="s">
        <v>4876</v>
      </c>
      <c r="G1652">
        <v>1952</v>
      </c>
      <c r="H1652">
        <v>3</v>
      </c>
      <c r="I1652" t="s">
        <v>4736</v>
      </c>
      <c r="J1652" t="s">
        <v>5191</v>
      </c>
      <c r="K1652" t="s">
        <v>458</v>
      </c>
      <c r="L1652">
        <v>0</v>
      </c>
      <c r="M1652" s="452">
        <v>45933</v>
      </c>
      <c r="N1652">
        <v>19.899999999999999</v>
      </c>
      <c r="O1652">
        <v>19.899999999999999</v>
      </c>
      <c r="P1652">
        <v>59.7</v>
      </c>
    </row>
    <row r="1653" spans="1:16" x14ac:dyDescent="0.3">
      <c r="A1653">
        <v>66405</v>
      </c>
      <c r="B1653">
        <v>105</v>
      </c>
      <c r="C1653" t="s">
        <v>557</v>
      </c>
      <c r="D1653" s="452">
        <v>46023</v>
      </c>
      <c r="E1653">
        <v>23893</v>
      </c>
      <c r="F1653" t="s">
        <v>5081</v>
      </c>
      <c r="G1653">
        <v>2007</v>
      </c>
      <c r="H1653">
        <v>0.7</v>
      </c>
      <c r="I1653" t="s">
        <v>4955</v>
      </c>
      <c r="J1653" t="s">
        <v>5191</v>
      </c>
      <c r="K1653" t="s">
        <v>458</v>
      </c>
      <c r="L1653">
        <v>0</v>
      </c>
      <c r="N1653">
        <v>0</v>
      </c>
      <c r="O1653">
        <v>85</v>
      </c>
      <c r="P1653">
        <v>59.5</v>
      </c>
    </row>
    <row r="1654" spans="1:16" x14ac:dyDescent="0.3">
      <c r="A1654">
        <v>66289</v>
      </c>
      <c r="B1654">
        <v>105</v>
      </c>
      <c r="C1654" t="s">
        <v>557</v>
      </c>
      <c r="D1654" s="452">
        <v>46023</v>
      </c>
      <c r="E1654">
        <v>19421</v>
      </c>
      <c r="F1654" t="s">
        <v>4918</v>
      </c>
      <c r="G1654">
        <v>2758</v>
      </c>
      <c r="H1654">
        <v>1</v>
      </c>
      <c r="I1654" t="s">
        <v>4749</v>
      </c>
      <c r="J1654" t="s">
        <v>5191</v>
      </c>
      <c r="K1654" t="s">
        <v>458</v>
      </c>
      <c r="L1654">
        <v>57.68</v>
      </c>
      <c r="M1654" s="452">
        <v>46006</v>
      </c>
      <c r="N1654">
        <v>57.68</v>
      </c>
      <c r="O1654">
        <v>57.72</v>
      </c>
      <c r="P1654">
        <v>57.68</v>
      </c>
    </row>
    <row r="1655" spans="1:16" x14ac:dyDescent="0.3">
      <c r="A1655">
        <v>66195</v>
      </c>
      <c r="B1655">
        <v>105</v>
      </c>
      <c r="C1655" t="s">
        <v>557</v>
      </c>
      <c r="D1655" s="452">
        <v>46023</v>
      </c>
      <c r="E1655">
        <v>20322</v>
      </c>
      <c r="F1655" t="s">
        <v>4882</v>
      </c>
      <c r="G1655">
        <v>2212</v>
      </c>
      <c r="H1655">
        <v>4.0999999999999996</v>
      </c>
      <c r="I1655" t="s">
        <v>4738</v>
      </c>
      <c r="J1655" t="s">
        <v>5191</v>
      </c>
      <c r="K1655" t="s">
        <v>458</v>
      </c>
      <c r="L1655">
        <v>0</v>
      </c>
      <c r="M1655" s="452">
        <v>45989</v>
      </c>
      <c r="N1655">
        <v>13.98</v>
      </c>
      <c r="O1655">
        <v>13.98</v>
      </c>
      <c r="P1655">
        <v>57.32</v>
      </c>
    </row>
    <row r="1656" spans="1:16" x14ac:dyDescent="0.3">
      <c r="A1656">
        <v>66170</v>
      </c>
      <c r="B1656">
        <v>105</v>
      </c>
      <c r="C1656" t="s">
        <v>557</v>
      </c>
      <c r="D1656" s="452">
        <v>46023</v>
      </c>
      <c r="E1656">
        <v>20295</v>
      </c>
      <c r="F1656" t="s">
        <v>4881</v>
      </c>
      <c r="G1656">
        <v>2226</v>
      </c>
      <c r="H1656">
        <v>6</v>
      </c>
      <c r="I1656" t="s">
        <v>4736</v>
      </c>
      <c r="J1656" t="s">
        <v>5191</v>
      </c>
      <c r="K1656" t="s">
        <v>458</v>
      </c>
      <c r="L1656">
        <v>9.5399999999999991</v>
      </c>
      <c r="M1656" s="452">
        <v>46006</v>
      </c>
      <c r="N1656">
        <v>9.5399999999999991</v>
      </c>
      <c r="O1656">
        <v>9.5399999999999991</v>
      </c>
      <c r="P1656">
        <v>57.24</v>
      </c>
    </row>
    <row r="1657" spans="1:16" x14ac:dyDescent="0.3">
      <c r="A1657">
        <v>66222</v>
      </c>
      <c r="B1657">
        <v>105</v>
      </c>
      <c r="C1657" t="s">
        <v>557</v>
      </c>
      <c r="D1657" s="452">
        <v>46023</v>
      </c>
      <c r="E1657">
        <v>19955</v>
      </c>
      <c r="F1657" t="s">
        <v>4985</v>
      </c>
      <c r="G1657">
        <v>2359</v>
      </c>
      <c r="H1657">
        <v>1</v>
      </c>
      <c r="I1657" t="s">
        <v>4736</v>
      </c>
      <c r="J1657" t="s">
        <v>5191</v>
      </c>
      <c r="K1657" t="s">
        <v>458</v>
      </c>
      <c r="L1657">
        <v>0</v>
      </c>
      <c r="M1657" s="452">
        <v>45971</v>
      </c>
      <c r="N1657">
        <v>56.9</v>
      </c>
      <c r="O1657">
        <v>56.8</v>
      </c>
      <c r="P1657">
        <v>56.9</v>
      </c>
    </row>
    <row r="1658" spans="1:16" x14ac:dyDescent="0.3">
      <c r="A1658">
        <v>66352</v>
      </c>
      <c r="B1658">
        <v>105</v>
      </c>
      <c r="C1658" t="s">
        <v>557</v>
      </c>
      <c r="D1658" s="452">
        <v>46023</v>
      </c>
      <c r="E1658">
        <v>18339</v>
      </c>
      <c r="F1658" t="s">
        <v>5033</v>
      </c>
      <c r="G1658">
        <v>3296</v>
      </c>
      <c r="H1658">
        <v>1</v>
      </c>
      <c r="I1658" t="s">
        <v>4805</v>
      </c>
      <c r="J1658" t="s">
        <v>5222</v>
      </c>
      <c r="K1658" t="s">
        <v>458</v>
      </c>
      <c r="L1658">
        <v>0</v>
      </c>
      <c r="N1658">
        <v>0</v>
      </c>
      <c r="O1658">
        <v>56.37</v>
      </c>
      <c r="P1658">
        <v>56.53</v>
      </c>
    </row>
    <row r="1659" spans="1:16" x14ac:dyDescent="0.3">
      <c r="A1659">
        <v>66171</v>
      </c>
      <c r="B1659">
        <v>105</v>
      </c>
      <c r="C1659" t="s">
        <v>557</v>
      </c>
      <c r="D1659" s="452">
        <v>46023</v>
      </c>
      <c r="E1659">
        <v>23656</v>
      </c>
      <c r="F1659" t="s">
        <v>4945</v>
      </c>
      <c r="G1659">
        <v>2228</v>
      </c>
      <c r="H1659">
        <v>2</v>
      </c>
      <c r="I1659" t="s">
        <v>4744</v>
      </c>
      <c r="J1659" t="s">
        <v>5191</v>
      </c>
      <c r="K1659" t="s">
        <v>458</v>
      </c>
      <c r="L1659">
        <v>0</v>
      </c>
      <c r="M1659" s="452">
        <v>45873</v>
      </c>
      <c r="N1659">
        <v>28</v>
      </c>
      <c r="O1659">
        <v>26.9</v>
      </c>
      <c r="P1659">
        <v>56</v>
      </c>
    </row>
    <row r="1660" spans="1:16" x14ac:dyDescent="0.3">
      <c r="A1660">
        <v>66233</v>
      </c>
      <c r="B1660">
        <v>105</v>
      </c>
      <c r="C1660" t="s">
        <v>557</v>
      </c>
      <c r="D1660" s="452">
        <v>46023</v>
      </c>
      <c r="E1660">
        <v>20206</v>
      </c>
      <c r="F1660" t="s">
        <v>4914</v>
      </c>
      <c r="G1660">
        <v>2253</v>
      </c>
      <c r="H1660">
        <v>2</v>
      </c>
      <c r="I1660" t="s">
        <v>4736</v>
      </c>
      <c r="J1660" t="s">
        <v>5191</v>
      </c>
      <c r="K1660" t="s">
        <v>458</v>
      </c>
      <c r="L1660">
        <v>0</v>
      </c>
      <c r="M1660" s="452">
        <v>45926</v>
      </c>
      <c r="N1660">
        <v>27.99</v>
      </c>
      <c r="O1660">
        <v>25.9</v>
      </c>
      <c r="P1660">
        <v>55.98</v>
      </c>
    </row>
    <row r="1661" spans="1:16" x14ac:dyDescent="0.3">
      <c r="A1661">
        <v>66375</v>
      </c>
      <c r="B1661">
        <v>105</v>
      </c>
      <c r="C1661" t="s">
        <v>557</v>
      </c>
      <c r="D1661" s="452">
        <v>46023</v>
      </c>
      <c r="E1661">
        <v>18030</v>
      </c>
      <c r="F1661" t="s">
        <v>4840</v>
      </c>
      <c r="G1661">
        <v>3568</v>
      </c>
      <c r="H1661">
        <v>2</v>
      </c>
      <c r="I1661" t="s">
        <v>4805</v>
      </c>
      <c r="J1661" t="s">
        <v>5222</v>
      </c>
      <c r="K1661" t="s">
        <v>458</v>
      </c>
      <c r="L1661">
        <v>27.98</v>
      </c>
      <c r="M1661" s="452">
        <v>45999</v>
      </c>
      <c r="N1661">
        <v>27.5</v>
      </c>
      <c r="O1661">
        <v>29.9</v>
      </c>
      <c r="P1661">
        <v>55.96</v>
      </c>
    </row>
    <row r="1662" spans="1:16" x14ac:dyDescent="0.3">
      <c r="A1662">
        <v>66215</v>
      </c>
      <c r="B1662">
        <v>105</v>
      </c>
      <c r="C1662" t="s">
        <v>557</v>
      </c>
      <c r="D1662" s="452">
        <v>46023</v>
      </c>
      <c r="E1662">
        <v>20871</v>
      </c>
      <c r="F1662" t="s">
        <v>5015</v>
      </c>
      <c r="G1662">
        <v>2043</v>
      </c>
      <c r="H1662">
        <v>3</v>
      </c>
      <c r="I1662" t="s">
        <v>4879</v>
      </c>
      <c r="J1662" t="s">
        <v>5191</v>
      </c>
      <c r="K1662" t="s">
        <v>458</v>
      </c>
      <c r="L1662">
        <v>18.5</v>
      </c>
      <c r="M1662" s="452">
        <v>45993</v>
      </c>
      <c r="N1662">
        <v>18.5</v>
      </c>
      <c r="O1662">
        <v>19.8</v>
      </c>
      <c r="P1662">
        <v>55.5</v>
      </c>
    </row>
    <row r="1663" spans="1:16" x14ac:dyDescent="0.3">
      <c r="A1663">
        <v>66335</v>
      </c>
      <c r="B1663">
        <v>105</v>
      </c>
      <c r="C1663" t="s">
        <v>557</v>
      </c>
      <c r="D1663" s="452">
        <v>46023</v>
      </c>
      <c r="E1663">
        <v>24192</v>
      </c>
      <c r="F1663" t="s">
        <v>4772</v>
      </c>
      <c r="G1663">
        <v>3099</v>
      </c>
      <c r="H1663">
        <v>9</v>
      </c>
      <c r="I1663" t="s">
        <v>4736</v>
      </c>
      <c r="J1663" t="s">
        <v>5222</v>
      </c>
      <c r="K1663" t="s">
        <v>458</v>
      </c>
      <c r="L1663">
        <v>0</v>
      </c>
      <c r="M1663" s="452">
        <v>45679</v>
      </c>
      <c r="N1663">
        <v>6.12</v>
      </c>
      <c r="O1663">
        <v>6.12</v>
      </c>
      <c r="P1663">
        <v>55.08</v>
      </c>
    </row>
    <row r="1664" spans="1:16" x14ac:dyDescent="0.3">
      <c r="A1664">
        <v>66216</v>
      </c>
      <c r="B1664">
        <v>105</v>
      </c>
      <c r="C1664" t="s">
        <v>557</v>
      </c>
      <c r="D1664" s="452">
        <v>46023</v>
      </c>
      <c r="E1664">
        <v>19978</v>
      </c>
      <c r="F1664" t="s">
        <v>4887</v>
      </c>
      <c r="G1664">
        <v>2353</v>
      </c>
      <c r="H1664">
        <v>3</v>
      </c>
      <c r="I1664" t="s">
        <v>4888</v>
      </c>
      <c r="J1664" t="s">
        <v>5191</v>
      </c>
      <c r="K1664" t="s">
        <v>458</v>
      </c>
      <c r="L1664">
        <v>18.100000000000001</v>
      </c>
      <c r="M1664" s="452">
        <v>45996</v>
      </c>
      <c r="N1664">
        <v>18.100000000000001</v>
      </c>
      <c r="O1664">
        <v>18.100000000000001</v>
      </c>
      <c r="P1664">
        <v>54.3</v>
      </c>
    </row>
    <row r="1665" spans="1:16" x14ac:dyDescent="0.3">
      <c r="A1665">
        <v>66213</v>
      </c>
      <c r="B1665">
        <v>105</v>
      </c>
      <c r="C1665" t="s">
        <v>557</v>
      </c>
      <c r="D1665" s="452">
        <v>46023</v>
      </c>
      <c r="E1665">
        <v>25075</v>
      </c>
      <c r="F1665" t="s">
        <v>4790</v>
      </c>
      <c r="G1665">
        <v>5883</v>
      </c>
      <c r="H1665">
        <v>6</v>
      </c>
      <c r="I1665" t="s">
        <v>4738</v>
      </c>
      <c r="J1665" t="s">
        <v>5191</v>
      </c>
      <c r="K1665" t="s">
        <v>458</v>
      </c>
      <c r="L1665">
        <v>8.9499999999999993</v>
      </c>
      <c r="M1665" s="452">
        <v>46006</v>
      </c>
      <c r="N1665">
        <v>8.9499999999999993</v>
      </c>
      <c r="O1665">
        <v>8.9499999999999993</v>
      </c>
      <c r="P1665">
        <v>53.7</v>
      </c>
    </row>
    <row r="1666" spans="1:16" x14ac:dyDescent="0.3">
      <c r="A1666">
        <v>66152</v>
      </c>
      <c r="B1666">
        <v>105</v>
      </c>
      <c r="C1666" t="s">
        <v>557</v>
      </c>
      <c r="D1666" s="452">
        <v>46023</v>
      </c>
      <c r="E1666">
        <v>25760</v>
      </c>
      <c r="F1666" t="s">
        <v>4787</v>
      </c>
      <c r="G1666">
        <v>6311</v>
      </c>
      <c r="H1666">
        <v>7</v>
      </c>
      <c r="I1666" t="s">
        <v>4736</v>
      </c>
      <c r="J1666" t="s">
        <v>5191</v>
      </c>
      <c r="K1666" t="s">
        <v>458</v>
      </c>
      <c r="L1666">
        <v>0</v>
      </c>
      <c r="M1666" s="452">
        <v>45922</v>
      </c>
      <c r="N1666">
        <v>7.65</v>
      </c>
      <c r="O1666">
        <v>7.65</v>
      </c>
      <c r="P1666">
        <v>53.55</v>
      </c>
    </row>
    <row r="1667" spans="1:16" x14ac:dyDescent="0.3">
      <c r="A1667">
        <v>66199</v>
      </c>
      <c r="B1667">
        <v>105</v>
      </c>
      <c r="C1667" t="s">
        <v>557</v>
      </c>
      <c r="D1667" s="452">
        <v>46023</v>
      </c>
      <c r="E1667">
        <v>23635</v>
      </c>
      <c r="F1667" t="s">
        <v>4837</v>
      </c>
      <c r="G1667">
        <v>2247</v>
      </c>
      <c r="H1667">
        <v>6</v>
      </c>
      <c r="I1667" t="s">
        <v>4744</v>
      </c>
      <c r="J1667" t="s">
        <v>5191</v>
      </c>
      <c r="K1667" t="s">
        <v>458</v>
      </c>
      <c r="L1667">
        <v>0</v>
      </c>
      <c r="M1667" s="452">
        <v>45845</v>
      </c>
      <c r="N1667">
        <v>8.7100000000000009</v>
      </c>
      <c r="O1667">
        <v>7.9</v>
      </c>
      <c r="P1667">
        <v>52.26</v>
      </c>
    </row>
    <row r="1668" spans="1:16" x14ac:dyDescent="0.3">
      <c r="A1668">
        <v>66256</v>
      </c>
      <c r="B1668">
        <v>105</v>
      </c>
      <c r="C1668" t="s">
        <v>557</v>
      </c>
      <c r="D1668" s="452">
        <v>46023</v>
      </c>
      <c r="E1668">
        <v>19622</v>
      </c>
      <c r="F1668" t="s">
        <v>4915</v>
      </c>
      <c r="G1668">
        <v>2612</v>
      </c>
      <c r="H1668">
        <v>16.2</v>
      </c>
      <c r="I1668" t="s">
        <v>4744</v>
      </c>
      <c r="J1668" t="s">
        <v>5191</v>
      </c>
      <c r="K1668" t="s">
        <v>458</v>
      </c>
      <c r="L1668">
        <v>3.19</v>
      </c>
      <c r="M1668" s="452">
        <v>46008</v>
      </c>
      <c r="N1668">
        <v>3.26</v>
      </c>
      <c r="O1668">
        <v>3.26</v>
      </c>
      <c r="P1668">
        <v>51.68</v>
      </c>
    </row>
    <row r="1669" spans="1:16" x14ac:dyDescent="0.3">
      <c r="A1669">
        <v>66275</v>
      </c>
      <c r="B1669">
        <v>105</v>
      </c>
      <c r="C1669" t="s">
        <v>557</v>
      </c>
      <c r="D1669" s="452">
        <v>46023</v>
      </c>
      <c r="E1669">
        <v>19577</v>
      </c>
      <c r="F1669" t="s">
        <v>4984</v>
      </c>
      <c r="G1669">
        <v>2641</v>
      </c>
      <c r="H1669">
        <v>3.25</v>
      </c>
      <c r="I1669" t="s">
        <v>4736</v>
      </c>
      <c r="J1669" t="s">
        <v>5191</v>
      </c>
      <c r="K1669" t="s">
        <v>458</v>
      </c>
      <c r="L1669">
        <v>0</v>
      </c>
      <c r="M1669" s="452">
        <v>45971</v>
      </c>
      <c r="N1669">
        <v>15.6</v>
      </c>
      <c r="O1669">
        <v>16.600000000000001</v>
      </c>
      <c r="P1669">
        <v>50.7</v>
      </c>
    </row>
    <row r="1670" spans="1:16" x14ac:dyDescent="0.3">
      <c r="A1670">
        <v>66156</v>
      </c>
      <c r="B1670">
        <v>105</v>
      </c>
      <c r="C1670" t="s">
        <v>557</v>
      </c>
      <c r="D1670" s="452">
        <v>46023</v>
      </c>
      <c r="E1670">
        <v>25762</v>
      </c>
      <c r="F1670" t="s">
        <v>4770</v>
      </c>
      <c r="G1670">
        <v>9070</v>
      </c>
      <c r="H1670">
        <v>6</v>
      </c>
      <c r="I1670" t="s">
        <v>4736</v>
      </c>
      <c r="J1670" t="s">
        <v>5191</v>
      </c>
      <c r="K1670" t="s">
        <v>458</v>
      </c>
      <c r="L1670">
        <v>0</v>
      </c>
      <c r="M1670" s="452">
        <v>45922</v>
      </c>
      <c r="N1670">
        <v>8.36</v>
      </c>
      <c r="O1670">
        <v>8.36</v>
      </c>
      <c r="P1670">
        <v>50.16</v>
      </c>
    </row>
    <row r="1671" spans="1:16" x14ac:dyDescent="0.3">
      <c r="A1671">
        <v>66401</v>
      </c>
      <c r="B1671">
        <v>105</v>
      </c>
      <c r="C1671" t="s">
        <v>557</v>
      </c>
      <c r="D1671" s="452">
        <v>46023</v>
      </c>
      <c r="E1671">
        <v>19434</v>
      </c>
      <c r="F1671" t="s">
        <v>5078</v>
      </c>
      <c r="G1671">
        <v>2757</v>
      </c>
      <c r="H1671">
        <v>2</v>
      </c>
      <c r="I1671" t="s">
        <v>4738</v>
      </c>
      <c r="J1671" t="s">
        <v>5191</v>
      </c>
      <c r="K1671" t="s">
        <v>458</v>
      </c>
      <c r="L1671">
        <v>0</v>
      </c>
      <c r="M1671" s="452">
        <v>45989</v>
      </c>
      <c r="N1671">
        <v>24.64</v>
      </c>
      <c r="O1671">
        <v>23.98</v>
      </c>
      <c r="P1671">
        <v>49.28</v>
      </c>
    </row>
    <row r="1672" spans="1:16" x14ac:dyDescent="0.3">
      <c r="A1672">
        <v>66226</v>
      </c>
      <c r="B1672">
        <v>105</v>
      </c>
      <c r="C1672" t="s">
        <v>557</v>
      </c>
      <c r="D1672" s="452">
        <v>46023</v>
      </c>
      <c r="E1672">
        <v>23503</v>
      </c>
      <c r="F1672" t="s">
        <v>5048</v>
      </c>
      <c r="G1672">
        <v>2366</v>
      </c>
      <c r="H1672">
        <v>2</v>
      </c>
      <c r="I1672" t="s">
        <v>4744</v>
      </c>
      <c r="J1672" t="s">
        <v>5191</v>
      </c>
      <c r="K1672" t="s">
        <v>458</v>
      </c>
      <c r="L1672">
        <v>0</v>
      </c>
      <c r="M1672" s="452">
        <v>45989</v>
      </c>
      <c r="N1672">
        <v>23.8</v>
      </c>
      <c r="O1672">
        <v>24.2</v>
      </c>
      <c r="P1672">
        <v>47.6</v>
      </c>
    </row>
    <row r="1673" spans="1:16" x14ac:dyDescent="0.3">
      <c r="A1673">
        <v>66372</v>
      </c>
      <c r="B1673">
        <v>105</v>
      </c>
      <c r="C1673" t="s">
        <v>557</v>
      </c>
      <c r="D1673" s="452">
        <v>46023</v>
      </c>
      <c r="E1673">
        <v>18085</v>
      </c>
      <c r="F1673" t="s">
        <v>4973</v>
      </c>
      <c r="G1673">
        <v>3524</v>
      </c>
      <c r="H1673">
        <v>1</v>
      </c>
      <c r="I1673" t="s">
        <v>4805</v>
      </c>
      <c r="J1673" t="s">
        <v>5222</v>
      </c>
      <c r="K1673" t="s">
        <v>458</v>
      </c>
      <c r="L1673">
        <v>47.6</v>
      </c>
      <c r="M1673" s="452">
        <v>46001</v>
      </c>
      <c r="N1673">
        <v>47.6</v>
      </c>
      <c r="O1673">
        <v>47.6</v>
      </c>
      <c r="P1673">
        <v>47.6</v>
      </c>
    </row>
    <row r="1674" spans="1:16" x14ac:dyDescent="0.3">
      <c r="A1674">
        <v>66267</v>
      </c>
      <c r="B1674">
        <v>105</v>
      </c>
      <c r="C1674" t="s">
        <v>557</v>
      </c>
      <c r="D1674" s="452">
        <v>46023</v>
      </c>
      <c r="E1674">
        <v>23359</v>
      </c>
      <c r="F1674" t="s">
        <v>4767</v>
      </c>
      <c r="G1674">
        <v>2499</v>
      </c>
      <c r="H1674">
        <v>14.56</v>
      </c>
      <c r="I1674" t="s">
        <v>4744</v>
      </c>
      <c r="J1674" t="s">
        <v>5191</v>
      </c>
      <c r="K1674" t="s">
        <v>458</v>
      </c>
      <c r="L1674">
        <v>3.2</v>
      </c>
      <c r="M1674" s="452">
        <v>46009</v>
      </c>
      <c r="N1674">
        <v>3</v>
      </c>
      <c r="O1674">
        <v>3.2</v>
      </c>
      <c r="P1674">
        <v>46.59</v>
      </c>
    </row>
    <row r="1675" spans="1:16" x14ac:dyDescent="0.3">
      <c r="A1675">
        <v>66260</v>
      </c>
      <c r="B1675">
        <v>105</v>
      </c>
      <c r="C1675" t="s">
        <v>557</v>
      </c>
      <c r="D1675" s="452">
        <v>46023</v>
      </c>
      <c r="E1675">
        <v>23234</v>
      </c>
      <c r="F1675" t="s">
        <v>4986</v>
      </c>
      <c r="G1675">
        <v>2622</v>
      </c>
      <c r="H1675">
        <v>2</v>
      </c>
      <c r="I1675" t="s">
        <v>4744</v>
      </c>
      <c r="J1675" t="s">
        <v>5191</v>
      </c>
      <c r="K1675" t="s">
        <v>458</v>
      </c>
      <c r="L1675">
        <v>23</v>
      </c>
      <c r="M1675" s="452">
        <v>46008</v>
      </c>
      <c r="N1675">
        <v>23</v>
      </c>
      <c r="O1675">
        <v>23</v>
      </c>
      <c r="P1675">
        <v>46</v>
      </c>
    </row>
    <row r="1676" spans="1:16" x14ac:dyDescent="0.3">
      <c r="A1676">
        <v>66261</v>
      </c>
      <c r="B1676">
        <v>105</v>
      </c>
      <c r="C1676" t="s">
        <v>557</v>
      </c>
      <c r="D1676" s="452">
        <v>46023</v>
      </c>
      <c r="E1676">
        <v>24522</v>
      </c>
      <c r="F1676" t="s">
        <v>5072</v>
      </c>
      <c r="G1676">
        <v>5651</v>
      </c>
      <c r="H1676">
        <v>2</v>
      </c>
      <c r="I1676" t="s">
        <v>4744</v>
      </c>
      <c r="J1676" t="s">
        <v>5191</v>
      </c>
      <c r="K1676" t="s">
        <v>458</v>
      </c>
      <c r="L1676">
        <v>22</v>
      </c>
      <c r="M1676" s="452">
        <v>46002</v>
      </c>
      <c r="N1676">
        <v>22</v>
      </c>
      <c r="O1676">
        <v>23</v>
      </c>
      <c r="P1676">
        <v>44</v>
      </c>
    </row>
    <row r="1677" spans="1:16" x14ac:dyDescent="0.3">
      <c r="A1677">
        <v>66202</v>
      </c>
      <c r="B1677">
        <v>105</v>
      </c>
      <c r="C1677" t="s">
        <v>557</v>
      </c>
      <c r="D1677" s="452">
        <v>46023</v>
      </c>
      <c r="E1677">
        <v>20025</v>
      </c>
      <c r="F1677" t="s">
        <v>5010</v>
      </c>
      <c r="G1677">
        <v>2339</v>
      </c>
      <c r="H1677">
        <v>2</v>
      </c>
      <c r="I1677" t="s">
        <v>4736</v>
      </c>
      <c r="J1677" t="s">
        <v>5191</v>
      </c>
      <c r="K1677" t="s">
        <v>458</v>
      </c>
      <c r="L1677">
        <v>0</v>
      </c>
      <c r="M1677" s="452">
        <v>45989</v>
      </c>
      <c r="N1677">
        <v>21.75</v>
      </c>
      <c r="O1677">
        <v>21.75</v>
      </c>
      <c r="P1677">
        <v>43.5</v>
      </c>
    </row>
    <row r="1678" spans="1:16" x14ac:dyDescent="0.3">
      <c r="A1678">
        <v>66197</v>
      </c>
      <c r="B1678">
        <v>105</v>
      </c>
      <c r="C1678" t="s">
        <v>557</v>
      </c>
      <c r="D1678" s="452">
        <v>46023</v>
      </c>
      <c r="E1678">
        <v>20358</v>
      </c>
      <c r="F1678" t="s">
        <v>4911</v>
      </c>
      <c r="G1678">
        <v>2200</v>
      </c>
      <c r="H1678">
        <v>3</v>
      </c>
      <c r="I1678" t="s">
        <v>4738</v>
      </c>
      <c r="J1678" t="s">
        <v>5191</v>
      </c>
      <c r="K1678" t="s">
        <v>458</v>
      </c>
      <c r="L1678">
        <v>14.3</v>
      </c>
      <c r="M1678" s="452">
        <v>46006</v>
      </c>
      <c r="N1678">
        <v>14.3</v>
      </c>
      <c r="O1678">
        <v>14.3</v>
      </c>
      <c r="P1678">
        <v>42.9</v>
      </c>
    </row>
    <row r="1679" spans="1:16" x14ac:dyDescent="0.3">
      <c r="A1679">
        <v>66184</v>
      </c>
      <c r="B1679">
        <v>105</v>
      </c>
      <c r="C1679" t="s">
        <v>557</v>
      </c>
      <c r="D1679" s="452">
        <v>46023</v>
      </c>
      <c r="E1679">
        <v>20044</v>
      </c>
      <c r="F1679" t="s">
        <v>4932</v>
      </c>
      <c r="G1679">
        <v>2329</v>
      </c>
      <c r="H1679">
        <v>2</v>
      </c>
      <c r="I1679" t="s">
        <v>4744</v>
      </c>
      <c r="J1679" t="s">
        <v>5191</v>
      </c>
      <c r="K1679" t="s">
        <v>458</v>
      </c>
      <c r="L1679">
        <v>0</v>
      </c>
      <c r="M1679" s="452">
        <v>45639</v>
      </c>
      <c r="N1679">
        <v>21</v>
      </c>
      <c r="O1679">
        <v>21</v>
      </c>
      <c r="P1679">
        <v>42</v>
      </c>
    </row>
    <row r="1680" spans="1:16" x14ac:dyDescent="0.3">
      <c r="A1680">
        <v>66188</v>
      </c>
      <c r="B1680">
        <v>105</v>
      </c>
      <c r="C1680" t="s">
        <v>557</v>
      </c>
      <c r="D1680" s="452">
        <v>46023</v>
      </c>
      <c r="E1680">
        <v>23539</v>
      </c>
      <c r="F1680" t="s">
        <v>4995</v>
      </c>
      <c r="G1680">
        <v>2332</v>
      </c>
      <c r="H1680">
        <v>3.5</v>
      </c>
      <c r="I1680" t="s">
        <v>4744</v>
      </c>
      <c r="J1680" t="s">
        <v>5191</v>
      </c>
      <c r="K1680" t="s">
        <v>458</v>
      </c>
      <c r="L1680">
        <v>0</v>
      </c>
      <c r="M1680" s="452">
        <v>45989</v>
      </c>
      <c r="N1680">
        <v>12</v>
      </c>
      <c r="O1680">
        <v>12</v>
      </c>
      <c r="P1680">
        <v>42</v>
      </c>
    </row>
    <row r="1681" spans="1:16" x14ac:dyDescent="0.3">
      <c r="A1681">
        <v>66239</v>
      </c>
      <c r="B1681">
        <v>105</v>
      </c>
      <c r="C1681" t="s">
        <v>557</v>
      </c>
      <c r="D1681" s="452">
        <v>46023</v>
      </c>
      <c r="E1681">
        <v>20792</v>
      </c>
      <c r="F1681" t="s">
        <v>5022</v>
      </c>
      <c r="G1681">
        <v>2076</v>
      </c>
      <c r="H1681">
        <v>4</v>
      </c>
      <c r="I1681" t="s">
        <v>4738</v>
      </c>
      <c r="J1681" t="s">
        <v>5191</v>
      </c>
      <c r="K1681" t="s">
        <v>458</v>
      </c>
      <c r="L1681">
        <v>10.29</v>
      </c>
      <c r="M1681" s="452">
        <v>46006</v>
      </c>
      <c r="N1681">
        <v>10.29</v>
      </c>
      <c r="O1681">
        <v>10.3</v>
      </c>
      <c r="P1681">
        <v>41.16</v>
      </c>
    </row>
    <row r="1682" spans="1:16" x14ac:dyDescent="0.3">
      <c r="A1682">
        <v>66190</v>
      </c>
      <c r="B1682">
        <v>105</v>
      </c>
      <c r="C1682" t="s">
        <v>557</v>
      </c>
      <c r="D1682" s="452">
        <v>46023</v>
      </c>
      <c r="E1682">
        <v>21257</v>
      </c>
      <c r="F1682" t="s">
        <v>4952</v>
      </c>
      <c r="G1682">
        <v>2187</v>
      </c>
      <c r="H1682">
        <v>2</v>
      </c>
      <c r="I1682" t="s">
        <v>4736</v>
      </c>
      <c r="J1682" t="s">
        <v>5191</v>
      </c>
      <c r="K1682" t="s">
        <v>458</v>
      </c>
      <c r="L1682">
        <v>18.600000000000001</v>
      </c>
      <c r="M1682" s="452">
        <v>46006</v>
      </c>
      <c r="N1682">
        <v>18.600000000000001</v>
      </c>
      <c r="O1682">
        <v>18.600000000000001</v>
      </c>
      <c r="P1682">
        <v>37.200000000000003</v>
      </c>
    </row>
    <row r="1683" spans="1:16" x14ac:dyDescent="0.3">
      <c r="A1683">
        <v>66203</v>
      </c>
      <c r="B1683">
        <v>105</v>
      </c>
      <c r="C1683" t="s">
        <v>557</v>
      </c>
      <c r="D1683" s="452">
        <v>46023</v>
      </c>
      <c r="E1683">
        <v>24272</v>
      </c>
      <c r="F1683" t="s">
        <v>5059</v>
      </c>
      <c r="G1683">
        <v>2341</v>
      </c>
      <c r="H1683">
        <v>1.5</v>
      </c>
      <c r="I1683" t="s">
        <v>4744</v>
      </c>
      <c r="J1683" t="s">
        <v>5191</v>
      </c>
      <c r="K1683" t="s">
        <v>458</v>
      </c>
      <c r="L1683">
        <v>0</v>
      </c>
      <c r="M1683" s="452">
        <v>45737</v>
      </c>
      <c r="N1683">
        <v>24</v>
      </c>
      <c r="O1683">
        <v>29.9</v>
      </c>
      <c r="P1683">
        <v>36</v>
      </c>
    </row>
    <row r="1684" spans="1:16" x14ac:dyDescent="0.3">
      <c r="A1684">
        <v>66304</v>
      </c>
      <c r="B1684">
        <v>105</v>
      </c>
      <c r="C1684" t="s">
        <v>557</v>
      </c>
      <c r="D1684" s="452">
        <v>46023</v>
      </c>
      <c r="E1684">
        <v>24191</v>
      </c>
      <c r="F1684" t="s">
        <v>4846</v>
      </c>
      <c r="G1684">
        <v>2889</v>
      </c>
      <c r="H1684">
        <v>1</v>
      </c>
      <c r="I1684" t="s">
        <v>4744</v>
      </c>
      <c r="J1684" t="s">
        <v>5191</v>
      </c>
      <c r="K1684" t="s">
        <v>458</v>
      </c>
      <c r="L1684">
        <v>0</v>
      </c>
      <c r="M1684" s="452">
        <v>45957</v>
      </c>
      <c r="N1684">
        <v>35.9</v>
      </c>
      <c r="O1684">
        <v>35.9</v>
      </c>
      <c r="P1684">
        <v>35.9</v>
      </c>
    </row>
    <row r="1685" spans="1:16" x14ac:dyDescent="0.3">
      <c r="A1685">
        <v>66214</v>
      </c>
      <c r="B1685">
        <v>105</v>
      </c>
      <c r="C1685" t="s">
        <v>557</v>
      </c>
      <c r="D1685" s="452">
        <v>46023</v>
      </c>
      <c r="E1685">
        <v>20887</v>
      </c>
      <c r="F1685" t="s">
        <v>4953</v>
      </c>
      <c r="G1685">
        <v>2040</v>
      </c>
      <c r="H1685">
        <v>1</v>
      </c>
      <c r="I1685" t="s">
        <v>4879</v>
      </c>
      <c r="J1685" t="s">
        <v>5191</v>
      </c>
      <c r="K1685" t="s">
        <v>458</v>
      </c>
      <c r="L1685">
        <v>34.9</v>
      </c>
      <c r="M1685" s="452">
        <v>45993</v>
      </c>
      <c r="N1685">
        <v>34.9</v>
      </c>
      <c r="O1685">
        <v>34</v>
      </c>
      <c r="P1685">
        <v>34.9</v>
      </c>
    </row>
    <row r="1686" spans="1:16" x14ac:dyDescent="0.3">
      <c r="A1686">
        <v>66254</v>
      </c>
      <c r="B1686">
        <v>105</v>
      </c>
      <c r="C1686" t="s">
        <v>557</v>
      </c>
      <c r="D1686" s="452">
        <v>46023</v>
      </c>
      <c r="E1686">
        <v>23385</v>
      </c>
      <c r="F1686" t="s">
        <v>4938</v>
      </c>
      <c r="G1686">
        <v>2479</v>
      </c>
      <c r="H1686">
        <v>1.2</v>
      </c>
      <c r="I1686" t="s">
        <v>4744</v>
      </c>
      <c r="J1686" t="s">
        <v>5191</v>
      </c>
      <c r="K1686" t="s">
        <v>458</v>
      </c>
      <c r="L1686">
        <v>28.59</v>
      </c>
      <c r="M1686" s="452">
        <v>46009</v>
      </c>
      <c r="N1686">
        <v>28.75</v>
      </c>
      <c r="O1686">
        <v>53</v>
      </c>
      <c r="P1686">
        <v>34.31</v>
      </c>
    </row>
    <row r="1687" spans="1:16" x14ac:dyDescent="0.3">
      <c r="A1687">
        <v>66282</v>
      </c>
      <c r="B1687">
        <v>105</v>
      </c>
      <c r="C1687" t="s">
        <v>557</v>
      </c>
      <c r="D1687" s="452">
        <v>46023</v>
      </c>
      <c r="E1687">
        <v>23113</v>
      </c>
      <c r="F1687" t="s">
        <v>5074</v>
      </c>
      <c r="G1687">
        <v>2736</v>
      </c>
      <c r="H1687">
        <v>4.2</v>
      </c>
      <c r="I1687" t="s">
        <v>4744</v>
      </c>
      <c r="J1687" t="s">
        <v>5191</v>
      </c>
      <c r="K1687" t="s">
        <v>458</v>
      </c>
      <c r="L1687">
        <v>7.86</v>
      </c>
      <c r="M1687" s="452">
        <v>46008</v>
      </c>
      <c r="N1687">
        <v>9</v>
      </c>
      <c r="O1687">
        <v>13.78</v>
      </c>
      <c r="P1687">
        <v>33.01</v>
      </c>
    </row>
    <row r="1688" spans="1:16" x14ac:dyDescent="0.3">
      <c r="A1688">
        <v>66287</v>
      </c>
      <c r="B1688">
        <v>105</v>
      </c>
      <c r="C1688" t="s">
        <v>557</v>
      </c>
      <c r="D1688" s="452">
        <v>46023</v>
      </c>
      <c r="E1688">
        <v>19439</v>
      </c>
      <c r="F1688" t="s">
        <v>4917</v>
      </c>
      <c r="G1688">
        <v>2756</v>
      </c>
      <c r="H1688">
        <v>1</v>
      </c>
      <c r="I1688" t="s">
        <v>4744</v>
      </c>
      <c r="J1688" t="s">
        <v>5191</v>
      </c>
      <c r="K1688" t="s">
        <v>458</v>
      </c>
      <c r="L1688">
        <v>32.82</v>
      </c>
      <c r="M1688" s="452">
        <v>45996</v>
      </c>
      <c r="N1688">
        <v>32.82</v>
      </c>
      <c r="O1688">
        <v>33.369999999999997</v>
      </c>
      <c r="P1688">
        <v>32.82</v>
      </c>
    </row>
    <row r="1689" spans="1:16" x14ac:dyDescent="0.3">
      <c r="A1689">
        <v>66363</v>
      </c>
      <c r="B1689">
        <v>105</v>
      </c>
      <c r="C1689" t="s">
        <v>557</v>
      </c>
      <c r="D1689" s="452">
        <v>46023</v>
      </c>
      <c r="E1689">
        <v>18214</v>
      </c>
      <c r="F1689" t="s">
        <v>5039</v>
      </c>
      <c r="G1689">
        <v>3413</v>
      </c>
      <c r="H1689">
        <v>1</v>
      </c>
      <c r="I1689" t="s">
        <v>4805</v>
      </c>
      <c r="J1689" t="s">
        <v>5222</v>
      </c>
      <c r="K1689" t="s">
        <v>458</v>
      </c>
      <c r="L1689">
        <v>0</v>
      </c>
      <c r="M1689" s="452">
        <v>45378</v>
      </c>
      <c r="N1689">
        <v>32.200000000000003</v>
      </c>
      <c r="O1689">
        <v>37.47</v>
      </c>
      <c r="P1689">
        <v>32.200000000000003</v>
      </c>
    </row>
    <row r="1690" spans="1:16" x14ac:dyDescent="0.3">
      <c r="A1690">
        <v>66278</v>
      </c>
      <c r="B1690">
        <v>105</v>
      </c>
      <c r="C1690" t="s">
        <v>557</v>
      </c>
      <c r="D1690" s="452">
        <v>46023</v>
      </c>
      <c r="E1690">
        <v>23195</v>
      </c>
      <c r="F1690" t="s">
        <v>5051</v>
      </c>
      <c r="G1690">
        <v>2660</v>
      </c>
      <c r="H1690">
        <v>4.3</v>
      </c>
      <c r="I1690" t="s">
        <v>4744</v>
      </c>
      <c r="J1690" t="s">
        <v>5191</v>
      </c>
      <c r="K1690" t="s">
        <v>458</v>
      </c>
      <c r="L1690">
        <v>7.44</v>
      </c>
      <c r="M1690" s="452">
        <v>46003</v>
      </c>
      <c r="N1690">
        <v>7.5</v>
      </c>
      <c r="O1690">
        <v>7.55</v>
      </c>
      <c r="P1690">
        <v>31.99</v>
      </c>
    </row>
    <row r="1691" spans="1:16" x14ac:dyDescent="0.3">
      <c r="A1691">
        <v>66266</v>
      </c>
      <c r="B1691">
        <v>105</v>
      </c>
      <c r="C1691" t="s">
        <v>557</v>
      </c>
      <c r="D1691" s="452">
        <v>46023</v>
      </c>
      <c r="E1691">
        <v>19751</v>
      </c>
      <c r="F1691" t="s">
        <v>4800</v>
      </c>
      <c r="G1691">
        <v>2502</v>
      </c>
      <c r="H1691">
        <v>3</v>
      </c>
      <c r="I1691" t="s">
        <v>4744</v>
      </c>
      <c r="J1691" t="s">
        <v>5191</v>
      </c>
      <c r="K1691" t="s">
        <v>458</v>
      </c>
      <c r="L1691">
        <v>10.54</v>
      </c>
      <c r="M1691" s="452">
        <v>46002</v>
      </c>
      <c r="N1691">
        <v>10.75</v>
      </c>
      <c r="O1691">
        <v>10.44</v>
      </c>
      <c r="P1691">
        <v>31.62</v>
      </c>
    </row>
    <row r="1692" spans="1:16" x14ac:dyDescent="0.3">
      <c r="A1692">
        <v>66230</v>
      </c>
      <c r="B1692">
        <v>105</v>
      </c>
      <c r="C1692" t="s">
        <v>557</v>
      </c>
      <c r="D1692" s="452">
        <v>46023</v>
      </c>
      <c r="E1692">
        <v>23502</v>
      </c>
      <c r="F1692" t="s">
        <v>4930</v>
      </c>
      <c r="G1692">
        <v>2367</v>
      </c>
      <c r="H1692">
        <v>2.42</v>
      </c>
      <c r="I1692" t="s">
        <v>4736</v>
      </c>
      <c r="J1692" t="s">
        <v>5191</v>
      </c>
      <c r="K1692" t="s">
        <v>458</v>
      </c>
      <c r="L1692">
        <v>12.92</v>
      </c>
      <c r="M1692" s="452">
        <v>45996</v>
      </c>
      <c r="N1692">
        <v>12.92</v>
      </c>
      <c r="O1692">
        <v>14.5</v>
      </c>
      <c r="P1692">
        <v>31.27</v>
      </c>
    </row>
    <row r="1693" spans="1:16" x14ac:dyDescent="0.3">
      <c r="A1693">
        <v>66210</v>
      </c>
      <c r="B1693">
        <v>105</v>
      </c>
      <c r="C1693" t="s">
        <v>557</v>
      </c>
      <c r="D1693" s="452">
        <v>46023</v>
      </c>
      <c r="E1693">
        <v>20138</v>
      </c>
      <c r="F1693" t="s">
        <v>4886</v>
      </c>
      <c r="G1693">
        <v>2284</v>
      </c>
      <c r="H1693">
        <v>6</v>
      </c>
      <c r="I1693" t="s">
        <v>4738</v>
      </c>
      <c r="J1693" t="s">
        <v>5191</v>
      </c>
      <c r="K1693" t="s">
        <v>458</v>
      </c>
      <c r="L1693">
        <v>5.2</v>
      </c>
      <c r="M1693" s="452">
        <v>46006</v>
      </c>
      <c r="N1693">
        <v>5.2</v>
      </c>
      <c r="O1693">
        <v>5.2</v>
      </c>
      <c r="P1693">
        <v>31.2</v>
      </c>
    </row>
    <row r="1694" spans="1:16" x14ac:dyDescent="0.3">
      <c r="A1694">
        <v>66385</v>
      </c>
      <c r="B1694">
        <v>105</v>
      </c>
      <c r="C1694" t="s">
        <v>557</v>
      </c>
      <c r="D1694" s="452">
        <v>46023</v>
      </c>
      <c r="E1694">
        <v>24308</v>
      </c>
      <c r="F1694" t="s">
        <v>4757</v>
      </c>
      <c r="G1694">
        <v>3658</v>
      </c>
      <c r="H1694">
        <v>14</v>
      </c>
      <c r="I1694" t="s">
        <v>4736</v>
      </c>
      <c r="J1694" t="s">
        <v>5222</v>
      </c>
      <c r="K1694" t="s">
        <v>458</v>
      </c>
      <c r="L1694">
        <v>0</v>
      </c>
      <c r="M1694" s="452">
        <v>45679</v>
      </c>
      <c r="N1694">
        <v>2.19</v>
      </c>
      <c r="O1694">
        <v>2.19</v>
      </c>
      <c r="P1694">
        <v>30.66</v>
      </c>
    </row>
    <row r="1695" spans="1:16" x14ac:dyDescent="0.3">
      <c r="A1695">
        <v>66387</v>
      </c>
      <c r="B1695">
        <v>105</v>
      </c>
      <c r="C1695" t="s">
        <v>557</v>
      </c>
      <c r="D1695" s="452">
        <v>46023</v>
      </c>
      <c r="E1695">
        <v>24414</v>
      </c>
      <c r="F1695" t="s">
        <v>4746</v>
      </c>
      <c r="G1695">
        <v>3670</v>
      </c>
      <c r="H1695">
        <v>14</v>
      </c>
      <c r="I1695" t="s">
        <v>4736</v>
      </c>
      <c r="J1695" t="s">
        <v>5222</v>
      </c>
      <c r="K1695" t="s">
        <v>458</v>
      </c>
      <c r="L1695">
        <v>0</v>
      </c>
      <c r="M1695" s="452">
        <v>45623</v>
      </c>
      <c r="N1695">
        <v>2.19</v>
      </c>
      <c r="O1695">
        <v>2.19</v>
      </c>
      <c r="P1695">
        <v>30.66</v>
      </c>
    </row>
    <row r="1696" spans="1:16" x14ac:dyDescent="0.3">
      <c r="A1696">
        <v>66241</v>
      </c>
      <c r="B1696">
        <v>105</v>
      </c>
      <c r="C1696" t="s">
        <v>557</v>
      </c>
      <c r="D1696" s="452">
        <v>46023</v>
      </c>
      <c r="E1696">
        <v>20614</v>
      </c>
      <c r="F1696" t="s">
        <v>4958</v>
      </c>
      <c r="G1696">
        <v>2119</v>
      </c>
      <c r="H1696">
        <v>1</v>
      </c>
      <c r="I1696" t="s">
        <v>4736</v>
      </c>
      <c r="J1696" t="s">
        <v>5191</v>
      </c>
      <c r="K1696" t="s">
        <v>458</v>
      </c>
      <c r="L1696">
        <v>0</v>
      </c>
      <c r="M1696" s="452">
        <v>45852</v>
      </c>
      <c r="N1696">
        <v>29.9</v>
      </c>
      <c r="O1696">
        <v>32.74</v>
      </c>
      <c r="P1696">
        <v>29.9</v>
      </c>
    </row>
    <row r="1697" spans="1:16" x14ac:dyDescent="0.3">
      <c r="A1697">
        <v>66246</v>
      </c>
      <c r="B1697">
        <v>105</v>
      </c>
      <c r="C1697" t="s">
        <v>557</v>
      </c>
      <c r="D1697" s="452">
        <v>46023</v>
      </c>
      <c r="E1697">
        <v>19787</v>
      </c>
      <c r="F1697" t="s">
        <v>4793</v>
      </c>
      <c r="G1697">
        <v>2471</v>
      </c>
      <c r="H1697">
        <v>6.54</v>
      </c>
      <c r="I1697" t="s">
        <v>4744</v>
      </c>
      <c r="J1697" t="s">
        <v>5191</v>
      </c>
      <c r="K1697" t="s">
        <v>458</v>
      </c>
      <c r="L1697">
        <v>4.53</v>
      </c>
      <c r="M1697" s="452">
        <v>46009</v>
      </c>
      <c r="N1697">
        <v>4.4000000000000004</v>
      </c>
      <c r="O1697">
        <v>5</v>
      </c>
      <c r="P1697">
        <v>29.63</v>
      </c>
    </row>
    <row r="1698" spans="1:16" x14ac:dyDescent="0.3">
      <c r="A1698">
        <v>66288</v>
      </c>
      <c r="B1698">
        <v>105</v>
      </c>
      <c r="C1698" t="s">
        <v>557</v>
      </c>
      <c r="D1698" s="452">
        <v>46023</v>
      </c>
      <c r="E1698">
        <v>19353</v>
      </c>
      <c r="F1698" t="s">
        <v>4851</v>
      </c>
      <c r="G1698">
        <v>2768</v>
      </c>
      <c r="H1698">
        <v>1.2</v>
      </c>
      <c r="I1698" t="s">
        <v>4744</v>
      </c>
      <c r="J1698" t="s">
        <v>5191</v>
      </c>
      <c r="K1698" t="s">
        <v>458</v>
      </c>
      <c r="L1698">
        <v>24.6</v>
      </c>
      <c r="M1698" s="452">
        <v>46003</v>
      </c>
      <c r="N1698">
        <v>24.6</v>
      </c>
      <c r="O1698">
        <v>24.6</v>
      </c>
      <c r="P1698">
        <v>29.52</v>
      </c>
    </row>
    <row r="1699" spans="1:16" x14ac:dyDescent="0.3">
      <c r="A1699">
        <v>66271</v>
      </c>
      <c r="B1699">
        <v>105</v>
      </c>
      <c r="C1699" t="s">
        <v>557</v>
      </c>
      <c r="D1699" s="452">
        <v>46023</v>
      </c>
      <c r="E1699">
        <v>19734</v>
      </c>
      <c r="F1699" t="s">
        <v>4833</v>
      </c>
      <c r="G1699">
        <v>2519</v>
      </c>
      <c r="H1699">
        <v>2.1</v>
      </c>
      <c r="I1699" t="s">
        <v>4744</v>
      </c>
      <c r="J1699" t="s">
        <v>5191</v>
      </c>
      <c r="K1699" t="s">
        <v>458</v>
      </c>
      <c r="L1699">
        <v>13.75</v>
      </c>
      <c r="M1699" s="452">
        <v>46003</v>
      </c>
      <c r="N1699">
        <v>13.75</v>
      </c>
      <c r="O1699">
        <v>14.4</v>
      </c>
      <c r="P1699">
        <v>28.88</v>
      </c>
    </row>
    <row r="1700" spans="1:16" x14ac:dyDescent="0.3">
      <c r="A1700">
        <v>66153</v>
      </c>
      <c r="B1700">
        <v>105</v>
      </c>
      <c r="C1700" t="s">
        <v>557</v>
      </c>
      <c r="D1700" s="452">
        <v>46023</v>
      </c>
      <c r="E1700">
        <v>25763</v>
      </c>
      <c r="F1700" t="s">
        <v>4943</v>
      </c>
      <c r="G1700">
        <v>6314</v>
      </c>
      <c r="H1700">
        <v>4</v>
      </c>
      <c r="I1700" t="s">
        <v>4736</v>
      </c>
      <c r="J1700" t="s">
        <v>5191</v>
      </c>
      <c r="K1700" t="s">
        <v>458</v>
      </c>
      <c r="L1700">
        <v>0</v>
      </c>
      <c r="N1700">
        <v>0</v>
      </c>
      <c r="O1700">
        <v>0</v>
      </c>
      <c r="P1700">
        <v>27.96</v>
      </c>
    </row>
    <row r="1701" spans="1:16" x14ac:dyDescent="0.3">
      <c r="A1701">
        <v>66242</v>
      </c>
      <c r="B1701">
        <v>105</v>
      </c>
      <c r="C1701" t="s">
        <v>557</v>
      </c>
      <c r="D1701" s="452">
        <v>46023</v>
      </c>
      <c r="E1701">
        <v>20585</v>
      </c>
      <c r="F1701" t="s">
        <v>5025</v>
      </c>
      <c r="G1701">
        <v>2121</v>
      </c>
      <c r="H1701">
        <v>1</v>
      </c>
      <c r="I1701" t="s">
        <v>4736</v>
      </c>
      <c r="J1701" t="s">
        <v>5191</v>
      </c>
      <c r="K1701" t="s">
        <v>458</v>
      </c>
      <c r="L1701">
        <v>27.9</v>
      </c>
      <c r="M1701" s="452">
        <v>46006</v>
      </c>
      <c r="N1701">
        <v>29</v>
      </c>
      <c r="O1701">
        <v>29</v>
      </c>
      <c r="P1701">
        <v>27.9</v>
      </c>
    </row>
    <row r="1702" spans="1:16" x14ac:dyDescent="0.3">
      <c r="A1702">
        <v>66284</v>
      </c>
      <c r="B1702">
        <v>105</v>
      </c>
      <c r="C1702" t="s">
        <v>557</v>
      </c>
      <c r="D1702" s="452">
        <v>46023</v>
      </c>
      <c r="E1702">
        <v>19532</v>
      </c>
      <c r="F1702" t="s">
        <v>4753</v>
      </c>
      <c r="G1702">
        <v>2683</v>
      </c>
      <c r="H1702">
        <v>6</v>
      </c>
      <c r="I1702" t="s">
        <v>4744</v>
      </c>
      <c r="J1702" t="s">
        <v>5191</v>
      </c>
      <c r="K1702" t="s">
        <v>458</v>
      </c>
      <c r="L1702">
        <v>4.6399999999999997</v>
      </c>
      <c r="M1702" s="452">
        <v>46010</v>
      </c>
      <c r="N1702">
        <v>5.04</v>
      </c>
      <c r="O1702">
        <v>6.45</v>
      </c>
      <c r="P1702">
        <v>27.84</v>
      </c>
    </row>
    <row r="1703" spans="1:16" x14ac:dyDescent="0.3">
      <c r="A1703">
        <v>66272</v>
      </c>
      <c r="B1703">
        <v>105</v>
      </c>
      <c r="C1703" t="s">
        <v>557</v>
      </c>
      <c r="D1703" s="452">
        <v>46023</v>
      </c>
      <c r="E1703">
        <v>23335</v>
      </c>
      <c r="F1703" t="s">
        <v>4961</v>
      </c>
      <c r="G1703">
        <v>2523</v>
      </c>
      <c r="H1703">
        <v>1.4</v>
      </c>
      <c r="I1703" t="s">
        <v>4744</v>
      </c>
      <c r="J1703" t="s">
        <v>5191</v>
      </c>
      <c r="K1703" t="s">
        <v>458</v>
      </c>
      <c r="L1703">
        <v>19.68</v>
      </c>
      <c r="M1703" s="452">
        <v>46009</v>
      </c>
      <c r="N1703">
        <v>26.4</v>
      </c>
      <c r="O1703">
        <v>36.25</v>
      </c>
      <c r="P1703">
        <v>27.55</v>
      </c>
    </row>
    <row r="1704" spans="1:16" x14ac:dyDescent="0.3">
      <c r="A1704">
        <v>66420</v>
      </c>
      <c r="B1704">
        <v>105</v>
      </c>
      <c r="C1704" t="s">
        <v>557</v>
      </c>
      <c r="D1704" s="452">
        <v>46023</v>
      </c>
      <c r="E1704">
        <v>18273</v>
      </c>
      <c r="F1704" t="s">
        <v>5058</v>
      </c>
      <c r="G1704">
        <v>3357</v>
      </c>
      <c r="H1704">
        <v>0.7</v>
      </c>
      <c r="I1704" t="s">
        <v>4805</v>
      </c>
      <c r="J1704" t="s">
        <v>5222</v>
      </c>
      <c r="K1704" t="s">
        <v>458</v>
      </c>
      <c r="L1704">
        <v>0</v>
      </c>
      <c r="N1704">
        <v>0</v>
      </c>
      <c r="O1704">
        <v>37</v>
      </c>
      <c r="P1704">
        <v>27.42</v>
      </c>
    </row>
    <row r="1705" spans="1:16" x14ac:dyDescent="0.3">
      <c r="A1705">
        <v>66269</v>
      </c>
      <c r="B1705">
        <v>105</v>
      </c>
      <c r="C1705" t="s">
        <v>557</v>
      </c>
      <c r="D1705" s="452">
        <v>46023</v>
      </c>
      <c r="E1705">
        <v>23346</v>
      </c>
      <c r="F1705" t="s">
        <v>4916</v>
      </c>
      <c r="G1705">
        <v>2512</v>
      </c>
      <c r="H1705">
        <v>4.0999999999999996</v>
      </c>
      <c r="I1705" t="s">
        <v>4744</v>
      </c>
      <c r="J1705" t="s">
        <v>5191</v>
      </c>
      <c r="K1705" t="s">
        <v>458</v>
      </c>
      <c r="L1705">
        <v>6.49</v>
      </c>
      <c r="M1705" s="452">
        <v>46008</v>
      </c>
      <c r="N1705">
        <v>6.38</v>
      </c>
      <c r="O1705">
        <v>6.38</v>
      </c>
      <c r="P1705">
        <v>26.61</v>
      </c>
    </row>
    <row r="1706" spans="1:16" x14ac:dyDescent="0.3">
      <c r="A1706">
        <v>66148</v>
      </c>
      <c r="B1706">
        <v>105</v>
      </c>
      <c r="C1706" t="s">
        <v>557</v>
      </c>
      <c r="D1706" s="452">
        <v>46023</v>
      </c>
      <c r="E1706">
        <v>27757</v>
      </c>
      <c r="F1706" t="s">
        <v>4942</v>
      </c>
      <c r="G1706">
        <v>9067</v>
      </c>
      <c r="H1706">
        <v>4</v>
      </c>
      <c r="I1706" t="s">
        <v>4749</v>
      </c>
      <c r="J1706" t="s">
        <v>5191</v>
      </c>
      <c r="K1706" t="s">
        <v>458</v>
      </c>
      <c r="L1706">
        <v>6.61</v>
      </c>
      <c r="M1706" s="452">
        <v>45995</v>
      </c>
      <c r="N1706">
        <v>6.61</v>
      </c>
      <c r="O1706">
        <v>6.61</v>
      </c>
      <c r="P1706">
        <v>26.44</v>
      </c>
    </row>
    <row r="1707" spans="1:16" x14ac:dyDescent="0.3">
      <c r="A1707">
        <v>66418</v>
      </c>
      <c r="B1707">
        <v>105</v>
      </c>
      <c r="C1707" t="s">
        <v>557</v>
      </c>
      <c r="D1707" s="452">
        <v>46023</v>
      </c>
      <c r="E1707">
        <v>18317</v>
      </c>
      <c r="F1707" t="s">
        <v>5056</v>
      </c>
      <c r="G1707">
        <v>3316</v>
      </c>
      <c r="H1707">
        <v>0.7</v>
      </c>
      <c r="I1707" t="s">
        <v>4805</v>
      </c>
      <c r="J1707" t="s">
        <v>5222</v>
      </c>
      <c r="K1707" t="s">
        <v>458</v>
      </c>
      <c r="L1707">
        <v>0</v>
      </c>
      <c r="N1707">
        <v>0</v>
      </c>
      <c r="O1707">
        <v>37.25</v>
      </c>
      <c r="P1707">
        <v>25.82</v>
      </c>
    </row>
    <row r="1708" spans="1:16" x14ac:dyDescent="0.3">
      <c r="A1708">
        <v>66290</v>
      </c>
      <c r="B1708">
        <v>105</v>
      </c>
      <c r="C1708" t="s">
        <v>557</v>
      </c>
      <c r="D1708" s="452">
        <v>46023</v>
      </c>
      <c r="E1708">
        <v>23088</v>
      </c>
      <c r="F1708" t="s">
        <v>5027</v>
      </c>
      <c r="G1708">
        <v>2760</v>
      </c>
      <c r="H1708">
        <v>1</v>
      </c>
      <c r="I1708" t="s">
        <v>4736</v>
      </c>
      <c r="J1708" t="s">
        <v>5191</v>
      </c>
      <c r="K1708" t="s">
        <v>458</v>
      </c>
      <c r="L1708">
        <v>25.29</v>
      </c>
      <c r="M1708" s="452">
        <v>45999</v>
      </c>
      <c r="N1708">
        <v>24.99</v>
      </c>
      <c r="O1708">
        <v>24.99</v>
      </c>
      <c r="P1708">
        <v>25.29</v>
      </c>
    </row>
    <row r="1709" spans="1:16" x14ac:dyDescent="0.3">
      <c r="A1709">
        <v>66265</v>
      </c>
      <c r="B1709">
        <v>105</v>
      </c>
      <c r="C1709" t="s">
        <v>557</v>
      </c>
      <c r="D1709" s="452">
        <v>46023</v>
      </c>
      <c r="E1709">
        <v>19752</v>
      </c>
      <c r="F1709" t="s">
        <v>4807</v>
      </c>
      <c r="G1709">
        <v>2501</v>
      </c>
      <c r="H1709">
        <v>2</v>
      </c>
      <c r="I1709" t="s">
        <v>4744</v>
      </c>
      <c r="J1709" t="s">
        <v>5191</v>
      </c>
      <c r="K1709" t="s">
        <v>458</v>
      </c>
      <c r="L1709">
        <v>12.58</v>
      </c>
      <c r="M1709" s="452">
        <v>46002</v>
      </c>
      <c r="N1709">
        <v>11.5</v>
      </c>
      <c r="O1709">
        <v>14.56</v>
      </c>
      <c r="P1709">
        <v>25.16</v>
      </c>
    </row>
    <row r="1710" spans="1:16" x14ac:dyDescent="0.3">
      <c r="A1710">
        <v>66408</v>
      </c>
      <c r="B1710">
        <v>105</v>
      </c>
      <c r="C1710" t="s">
        <v>557</v>
      </c>
      <c r="D1710" s="452">
        <v>46023</v>
      </c>
      <c r="E1710">
        <v>18212</v>
      </c>
      <c r="F1710" t="s">
        <v>5040</v>
      </c>
      <c r="G1710">
        <v>3415</v>
      </c>
      <c r="H1710">
        <v>0.65</v>
      </c>
      <c r="I1710" t="s">
        <v>4805</v>
      </c>
      <c r="J1710" t="s">
        <v>5222</v>
      </c>
      <c r="K1710" t="s">
        <v>458</v>
      </c>
      <c r="L1710">
        <v>0</v>
      </c>
      <c r="N1710">
        <v>0</v>
      </c>
      <c r="O1710">
        <v>32.99</v>
      </c>
      <c r="P1710">
        <v>24.76</v>
      </c>
    </row>
    <row r="1711" spans="1:16" x14ac:dyDescent="0.3">
      <c r="A1711">
        <v>66207</v>
      </c>
      <c r="B1711">
        <v>105</v>
      </c>
      <c r="C1711" t="s">
        <v>557</v>
      </c>
      <c r="D1711" s="452">
        <v>46023</v>
      </c>
      <c r="E1711">
        <v>20653</v>
      </c>
      <c r="F1711" t="s">
        <v>5013</v>
      </c>
      <c r="G1711">
        <v>2111</v>
      </c>
      <c r="H1711">
        <v>1</v>
      </c>
      <c r="I1711" t="s">
        <v>4736</v>
      </c>
      <c r="J1711" t="s">
        <v>5191</v>
      </c>
      <c r="K1711" t="s">
        <v>458</v>
      </c>
      <c r="L1711">
        <v>24.72</v>
      </c>
      <c r="M1711" s="452">
        <v>46006</v>
      </c>
      <c r="N1711">
        <v>24.72</v>
      </c>
      <c r="O1711">
        <v>24.7</v>
      </c>
      <c r="P1711">
        <v>24.72</v>
      </c>
    </row>
    <row r="1712" spans="1:16" x14ac:dyDescent="0.3">
      <c r="A1712">
        <v>66237</v>
      </c>
      <c r="B1712">
        <v>105</v>
      </c>
      <c r="C1712" t="s">
        <v>557</v>
      </c>
      <c r="D1712" s="452">
        <v>46023</v>
      </c>
      <c r="E1712">
        <v>20186</v>
      </c>
      <c r="F1712" t="s">
        <v>5061</v>
      </c>
      <c r="G1712">
        <v>2259</v>
      </c>
      <c r="H1712">
        <v>1</v>
      </c>
      <c r="I1712" t="s">
        <v>4744</v>
      </c>
      <c r="J1712" t="s">
        <v>5191</v>
      </c>
      <c r="K1712" t="s">
        <v>458</v>
      </c>
      <c r="L1712">
        <v>0</v>
      </c>
      <c r="M1712" s="452">
        <v>45926</v>
      </c>
      <c r="N1712">
        <v>24</v>
      </c>
      <c r="O1712">
        <v>9.9</v>
      </c>
      <c r="P1712">
        <v>24</v>
      </c>
    </row>
    <row r="1713" spans="1:16" x14ac:dyDescent="0.3">
      <c r="A1713">
        <v>66292</v>
      </c>
      <c r="B1713">
        <v>105</v>
      </c>
      <c r="C1713" t="s">
        <v>557</v>
      </c>
      <c r="D1713" s="452">
        <v>46023</v>
      </c>
      <c r="E1713">
        <v>19415</v>
      </c>
      <c r="F1713" t="s">
        <v>4919</v>
      </c>
      <c r="G1713">
        <v>2759</v>
      </c>
      <c r="H1713">
        <v>3</v>
      </c>
      <c r="I1713" t="s">
        <v>4736</v>
      </c>
      <c r="J1713" t="s">
        <v>5191</v>
      </c>
      <c r="K1713" t="s">
        <v>458</v>
      </c>
      <c r="L1713">
        <v>7.9</v>
      </c>
      <c r="M1713" s="452">
        <v>46007</v>
      </c>
      <c r="N1713">
        <v>7.9</v>
      </c>
      <c r="O1713">
        <v>7.9</v>
      </c>
      <c r="P1713">
        <v>23.7</v>
      </c>
    </row>
    <row r="1714" spans="1:16" x14ac:dyDescent="0.3">
      <c r="A1714">
        <v>66259</v>
      </c>
      <c r="B1714">
        <v>105</v>
      </c>
      <c r="C1714" t="s">
        <v>557</v>
      </c>
      <c r="D1714" s="452">
        <v>46023</v>
      </c>
      <c r="E1714">
        <v>23238</v>
      </c>
      <c r="F1714" t="s">
        <v>4934</v>
      </c>
      <c r="G1714">
        <v>2618</v>
      </c>
      <c r="H1714">
        <v>1.95</v>
      </c>
      <c r="I1714" t="s">
        <v>4744</v>
      </c>
      <c r="J1714" t="s">
        <v>5191</v>
      </c>
      <c r="K1714" t="s">
        <v>458</v>
      </c>
      <c r="L1714">
        <v>12.07</v>
      </c>
      <c r="M1714" s="452">
        <v>46008</v>
      </c>
      <c r="N1714">
        <v>12.5</v>
      </c>
      <c r="O1714">
        <v>13.34</v>
      </c>
      <c r="P1714">
        <v>23.54</v>
      </c>
    </row>
    <row r="1715" spans="1:16" x14ac:dyDescent="0.3">
      <c r="A1715">
        <v>66273</v>
      </c>
      <c r="B1715">
        <v>105</v>
      </c>
      <c r="C1715" t="s">
        <v>557</v>
      </c>
      <c r="D1715" s="452">
        <v>46023</v>
      </c>
      <c r="E1715">
        <v>23095</v>
      </c>
      <c r="F1715" t="s">
        <v>4741</v>
      </c>
      <c r="G1715">
        <v>2754</v>
      </c>
      <c r="H1715">
        <v>24</v>
      </c>
      <c r="I1715" t="s">
        <v>4736</v>
      </c>
      <c r="J1715" t="s">
        <v>5191</v>
      </c>
      <c r="K1715" t="s">
        <v>458</v>
      </c>
      <c r="L1715">
        <v>0.94</v>
      </c>
      <c r="M1715" s="452">
        <v>46008</v>
      </c>
      <c r="N1715">
        <v>0.94</v>
      </c>
      <c r="O1715">
        <v>0.94</v>
      </c>
      <c r="P1715">
        <v>22.56</v>
      </c>
    </row>
    <row r="1716" spans="1:16" x14ac:dyDescent="0.3">
      <c r="A1716">
        <v>66172</v>
      </c>
      <c r="B1716">
        <v>105</v>
      </c>
      <c r="C1716" t="s">
        <v>557</v>
      </c>
      <c r="D1716" s="452">
        <v>46023</v>
      </c>
      <c r="E1716">
        <v>21060</v>
      </c>
      <c r="F1716" t="s">
        <v>4946</v>
      </c>
      <c r="G1716">
        <v>1998</v>
      </c>
      <c r="H1716">
        <v>1</v>
      </c>
      <c r="I1716" t="s">
        <v>4736</v>
      </c>
      <c r="J1716" t="s">
        <v>5191</v>
      </c>
      <c r="K1716" t="s">
        <v>458</v>
      </c>
      <c r="L1716">
        <v>0</v>
      </c>
      <c r="M1716" s="452">
        <v>45985</v>
      </c>
      <c r="N1716">
        <v>21.99</v>
      </c>
      <c r="O1716">
        <v>24.39</v>
      </c>
      <c r="P1716">
        <v>21.99</v>
      </c>
    </row>
    <row r="1717" spans="1:16" x14ac:dyDescent="0.3">
      <c r="A1717">
        <v>66255</v>
      </c>
      <c r="B1717">
        <v>105</v>
      </c>
      <c r="C1717" t="s">
        <v>557</v>
      </c>
      <c r="D1717" s="452">
        <v>46023</v>
      </c>
      <c r="E1717">
        <v>24509</v>
      </c>
      <c r="F1717" t="s">
        <v>4788</v>
      </c>
      <c r="G1717">
        <v>2607</v>
      </c>
      <c r="H1717">
        <v>9.8000000000000007</v>
      </c>
      <c r="I1717" t="s">
        <v>4744</v>
      </c>
      <c r="J1717" t="s">
        <v>5191</v>
      </c>
      <c r="K1717" t="s">
        <v>458</v>
      </c>
      <c r="L1717">
        <v>2.2400000000000002</v>
      </c>
      <c r="M1717" s="452">
        <v>46008</v>
      </c>
      <c r="N1717">
        <v>1.88</v>
      </c>
      <c r="O1717">
        <v>1.8</v>
      </c>
      <c r="P1717">
        <v>21.95</v>
      </c>
    </row>
    <row r="1718" spans="1:16" x14ac:dyDescent="0.3">
      <c r="A1718">
        <v>66285</v>
      </c>
      <c r="B1718">
        <v>105</v>
      </c>
      <c r="C1718" t="s">
        <v>557</v>
      </c>
      <c r="D1718" s="452">
        <v>46023</v>
      </c>
      <c r="E1718">
        <v>19710</v>
      </c>
      <c r="F1718" t="s">
        <v>4963</v>
      </c>
      <c r="G1718">
        <v>2540</v>
      </c>
      <c r="H1718">
        <v>1</v>
      </c>
      <c r="I1718" t="s">
        <v>4738</v>
      </c>
      <c r="J1718" t="s">
        <v>5191</v>
      </c>
      <c r="K1718" t="s">
        <v>458</v>
      </c>
      <c r="L1718">
        <v>21.5</v>
      </c>
      <c r="M1718" s="452">
        <v>46006</v>
      </c>
      <c r="N1718">
        <v>21.5</v>
      </c>
      <c r="O1718">
        <v>21.5</v>
      </c>
      <c r="P1718">
        <v>21.5</v>
      </c>
    </row>
    <row r="1719" spans="1:16" x14ac:dyDescent="0.3">
      <c r="A1719">
        <v>66276</v>
      </c>
      <c r="B1719">
        <v>105</v>
      </c>
      <c r="C1719" t="s">
        <v>557</v>
      </c>
      <c r="D1719" s="452">
        <v>46023</v>
      </c>
      <c r="E1719">
        <v>19562</v>
      </c>
      <c r="F1719" t="s">
        <v>4939</v>
      </c>
      <c r="G1719">
        <v>2655</v>
      </c>
      <c r="H1719">
        <v>1.45</v>
      </c>
      <c r="I1719" t="s">
        <v>4744</v>
      </c>
      <c r="J1719" t="s">
        <v>5191</v>
      </c>
      <c r="K1719" t="s">
        <v>458</v>
      </c>
      <c r="L1719">
        <v>14.58</v>
      </c>
      <c r="M1719" s="452">
        <v>46004</v>
      </c>
      <c r="N1719">
        <v>14.5</v>
      </c>
      <c r="O1719">
        <v>23</v>
      </c>
      <c r="P1719">
        <v>21.14</v>
      </c>
    </row>
    <row r="1720" spans="1:16" x14ac:dyDescent="0.3">
      <c r="A1720">
        <v>66201</v>
      </c>
      <c r="B1720">
        <v>105</v>
      </c>
      <c r="C1720" t="s">
        <v>557</v>
      </c>
      <c r="D1720" s="452">
        <v>46023</v>
      </c>
      <c r="E1720">
        <v>20234</v>
      </c>
      <c r="F1720" t="s">
        <v>5009</v>
      </c>
      <c r="G1720">
        <v>2245</v>
      </c>
      <c r="H1720">
        <v>1</v>
      </c>
      <c r="I1720" t="s">
        <v>4744</v>
      </c>
      <c r="J1720" t="s">
        <v>5191</v>
      </c>
      <c r="K1720" t="s">
        <v>458</v>
      </c>
      <c r="L1720">
        <v>0</v>
      </c>
      <c r="M1720" s="452">
        <v>45887</v>
      </c>
      <c r="N1720">
        <v>20.9</v>
      </c>
      <c r="O1720">
        <v>9</v>
      </c>
      <c r="P1720">
        <v>20.9</v>
      </c>
    </row>
    <row r="1721" spans="1:16" x14ac:dyDescent="0.3">
      <c r="A1721">
        <v>66238</v>
      </c>
      <c r="B1721">
        <v>105</v>
      </c>
      <c r="C1721" t="s">
        <v>557</v>
      </c>
      <c r="D1721" s="452">
        <v>46023</v>
      </c>
      <c r="E1721">
        <v>20791</v>
      </c>
      <c r="F1721" t="s">
        <v>5021</v>
      </c>
      <c r="G1721">
        <v>2076</v>
      </c>
      <c r="H1721">
        <v>2</v>
      </c>
      <c r="I1721" t="s">
        <v>4738</v>
      </c>
      <c r="J1721" t="s">
        <v>5191</v>
      </c>
      <c r="K1721" t="s">
        <v>458</v>
      </c>
      <c r="L1721">
        <v>10.39</v>
      </c>
      <c r="M1721" s="452">
        <v>45996</v>
      </c>
      <c r="N1721">
        <v>10.39</v>
      </c>
      <c r="O1721">
        <v>10.39</v>
      </c>
      <c r="P1721">
        <v>20.78</v>
      </c>
    </row>
    <row r="1722" spans="1:16" x14ac:dyDescent="0.3">
      <c r="A1722">
        <v>66163</v>
      </c>
      <c r="B1722">
        <v>105</v>
      </c>
      <c r="C1722" t="s">
        <v>557</v>
      </c>
      <c r="D1722" s="452">
        <v>46023</v>
      </c>
      <c r="E1722">
        <v>21085</v>
      </c>
      <c r="F1722" t="s">
        <v>5066</v>
      </c>
      <c r="G1722">
        <v>1989</v>
      </c>
      <c r="H1722">
        <v>1</v>
      </c>
      <c r="I1722" t="s">
        <v>4749</v>
      </c>
      <c r="J1722" t="s">
        <v>5191</v>
      </c>
      <c r="K1722" t="s">
        <v>458</v>
      </c>
      <c r="L1722">
        <v>19.98</v>
      </c>
      <c r="M1722" s="452">
        <v>45996</v>
      </c>
      <c r="N1722">
        <v>19.98</v>
      </c>
      <c r="O1722">
        <v>45.31</v>
      </c>
      <c r="P1722">
        <v>19.98</v>
      </c>
    </row>
    <row r="1723" spans="1:16" x14ac:dyDescent="0.3">
      <c r="A1723">
        <v>66167</v>
      </c>
      <c r="B1723">
        <v>105</v>
      </c>
      <c r="C1723" t="s">
        <v>557</v>
      </c>
      <c r="D1723" s="452">
        <v>46023</v>
      </c>
      <c r="E1723">
        <v>25055</v>
      </c>
      <c r="F1723" t="s">
        <v>5003</v>
      </c>
      <c r="G1723">
        <v>2184</v>
      </c>
      <c r="H1723">
        <v>1</v>
      </c>
      <c r="I1723" t="s">
        <v>4744</v>
      </c>
      <c r="J1723" t="s">
        <v>5191</v>
      </c>
      <c r="K1723" t="s">
        <v>458</v>
      </c>
      <c r="L1723">
        <v>0</v>
      </c>
      <c r="M1723" s="452">
        <v>45887</v>
      </c>
      <c r="N1723">
        <v>19.8</v>
      </c>
      <c r="O1723">
        <v>19.8</v>
      </c>
      <c r="P1723">
        <v>19.8</v>
      </c>
    </row>
    <row r="1724" spans="1:16" x14ac:dyDescent="0.3">
      <c r="A1724">
        <v>66219</v>
      </c>
      <c r="B1724">
        <v>105</v>
      </c>
      <c r="C1724" t="s">
        <v>557</v>
      </c>
      <c r="D1724" s="452">
        <v>46023</v>
      </c>
      <c r="E1724">
        <v>19983</v>
      </c>
      <c r="F1724" t="s">
        <v>5068</v>
      </c>
      <c r="G1724">
        <v>2351</v>
      </c>
      <c r="H1724">
        <v>1</v>
      </c>
      <c r="I1724" t="s">
        <v>4888</v>
      </c>
      <c r="J1724" t="s">
        <v>5191</v>
      </c>
      <c r="K1724" t="s">
        <v>458</v>
      </c>
      <c r="L1724">
        <v>19.8</v>
      </c>
      <c r="M1724" s="452">
        <v>45999</v>
      </c>
      <c r="N1724">
        <v>19.8</v>
      </c>
      <c r="O1724">
        <v>19.8</v>
      </c>
      <c r="P1724">
        <v>19.8</v>
      </c>
    </row>
    <row r="1725" spans="1:16" x14ac:dyDescent="0.3">
      <c r="A1725">
        <v>66248</v>
      </c>
      <c r="B1725">
        <v>105</v>
      </c>
      <c r="C1725" t="s">
        <v>557</v>
      </c>
      <c r="D1725" s="452">
        <v>46023</v>
      </c>
      <c r="E1725">
        <v>19507</v>
      </c>
      <c r="F1725" t="s">
        <v>4853</v>
      </c>
      <c r="G1725">
        <v>2704</v>
      </c>
      <c r="H1725">
        <v>2.2000000000000002</v>
      </c>
      <c r="I1725" t="s">
        <v>4744</v>
      </c>
      <c r="J1725" t="s">
        <v>5191</v>
      </c>
      <c r="K1725" t="s">
        <v>458</v>
      </c>
      <c r="L1725">
        <v>8.83</v>
      </c>
      <c r="M1725" s="452">
        <v>46010</v>
      </c>
      <c r="N1725">
        <v>8.41</v>
      </c>
      <c r="O1725">
        <v>8.41</v>
      </c>
      <c r="P1725">
        <v>19.43</v>
      </c>
    </row>
    <row r="1726" spans="1:16" x14ac:dyDescent="0.3">
      <c r="A1726">
        <v>66196</v>
      </c>
      <c r="B1726">
        <v>105</v>
      </c>
      <c r="C1726" t="s">
        <v>557</v>
      </c>
      <c r="D1726" s="452">
        <v>46023</v>
      </c>
      <c r="E1726">
        <v>20365</v>
      </c>
      <c r="F1726" t="s">
        <v>4796</v>
      </c>
      <c r="G1726">
        <v>2199</v>
      </c>
      <c r="H1726">
        <v>4.2</v>
      </c>
      <c r="I1726" t="s">
        <v>4736</v>
      </c>
      <c r="J1726" t="s">
        <v>5191</v>
      </c>
      <c r="K1726" t="s">
        <v>458</v>
      </c>
      <c r="L1726">
        <v>4.62</v>
      </c>
      <c r="M1726" s="452">
        <v>46006</v>
      </c>
      <c r="N1726">
        <v>4.62</v>
      </c>
      <c r="O1726">
        <v>4.7</v>
      </c>
      <c r="P1726">
        <v>19.399999999999999</v>
      </c>
    </row>
    <row r="1727" spans="1:16" x14ac:dyDescent="0.3">
      <c r="A1727">
        <v>66191</v>
      </c>
      <c r="B1727">
        <v>105</v>
      </c>
      <c r="C1727" t="s">
        <v>557</v>
      </c>
      <c r="D1727" s="452">
        <v>46023</v>
      </c>
      <c r="E1727">
        <v>20034</v>
      </c>
      <c r="F1727" t="s">
        <v>5065</v>
      </c>
      <c r="G1727">
        <v>2333</v>
      </c>
      <c r="H1727">
        <v>0.3</v>
      </c>
      <c r="I1727" t="s">
        <v>4744</v>
      </c>
      <c r="J1727" t="s">
        <v>5191</v>
      </c>
      <c r="K1727" t="s">
        <v>458</v>
      </c>
      <c r="L1727">
        <v>0</v>
      </c>
      <c r="N1727">
        <v>0</v>
      </c>
      <c r="O1727">
        <v>64.8</v>
      </c>
      <c r="P1727">
        <v>18.23</v>
      </c>
    </row>
    <row r="1728" spans="1:16" x14ac:dyDescent="0.3">
      <c r="A1728">
        <v>66253</v>
      </c>
      <c r="B1728">
        <v>105</v>
      </c>
      <c r="C1728" t="s">
        <v>557</v>
      </c>
      <c r="D1728" s="452">
        <v>46023</v>
      </c>
      <c r="E1728">
        <v>19634</v>
      </c>
      <c r="F1728" t="s">
        <v>4792</v>
      </c>
      <c r="G1728">
        <v>2602</v>
      </c>
      <c r="H1728">
        <v>3.6</v>
      </c>
      <c r="I1728" t="s">
        <v>4744</v>
      </c>
      <c r="J1728" t="s">
        <v>5191</v>
      </c>
      <c r="K1728" t="s">
        <v>458</v>
      </c>
      <c r="L1728">
        <v>4.97</v>
      </c>
      <c r="M1728" s="452">
        <v>46008</v>
      </c>
      <c r="N1728">
        <v>5.08</v>
      </c>
      <c r="O1728">
        <v>5.8</v>
      </c>
      <c r="P1728">
        <v>17.89</v>
      </c>
    </row>
    <row r="1729" spans="1:16" x14ac:dyDescent="0.3">
      <c r="A1729">
        <v>66176</v>
      </c>
      <c r="B1729">
        <v>105</v>
      </c>
      <c r="C1729" t="s">
        <v>557</v>
      </c>
      <c r="D1729" s="452">
        <v>46023</v>
      </c>
      <c r="E1729">
        <v>23554</v>
      </c>
      <c r="F1729" t="s">
        <v>4931</v>
      </c>
      <c r="G1729">
        <v>2316</v>
      </c>
      <c r="H1729">
        <v>2</v>
      </c>
      <c r="I1729" t="s">
        <v>4744</v>
      </c>
      <c r="J1729" t="s">
        <v>5191</v>
      </c>
      <c r="K1729" t="s">
        <v>458</v>
      </c>
      <c r="L1729">
        <v>0</v>
      </c>
      <c r="M1729" s="452">
        <v>45887</v>
      </c>
      <c r="N1729">
        <v>8.5</v>
      </c>
      <c r="O1729">
        <v>8.5</v>
      </c>
      <c r="P1729">
        <v>17</v>
      </c>
    </row>
    <row r="1730" spans="1:16" x14ac:dyDescent="0.3">
      <c r="A1730">
        <v>66225</v>
      </c>
      <c r="B1730">
        <v>105</v>
      </c>
      <c r="C1730" t="s">
        <v>557</v>
      </c>
      <c r="D1730" s="452">
        <v>46023</v>
      </c>
      <c r="E1730">
        <v>21000</v>
      </c>
      <c r="F1730" t="s">
        <v>4818</v>
      </c>
      <c r="G1730">
        <v>2008</v>
      </c>
      <c r="H1730">
        <v>1</v>
      </c>
      <c r="I1730" t="s">
        <v>4736</v>
      </c>
      <c r="J1730" t="s">
        <v>5191</v>
      </c>
      <c r="K1730" t="s">
        <v>458</v>
      </c>
      <c r="L1730">
        <v>0</v>
      </c>
      <c r="M1730" s="452">
        <v>45887</v>
      </c>
      <c r="N1730">
        <v>16.309999999999999</v>
      </c>
      <c r="O1730">
        <v>16.309999999999999</v>
      </c>
      <c r="P1730">
        <v>16.309999999999999</v>
      </c>
    </row>
    <row r="1731" spans="1:16" x14ac:dyDescent="0.3">
      <c r="A1731">
        <v>66263</v>
      </c>
      <c r="B1731">
        <v>105</v>
      </c>
      <c r="C1731" t="s">
        <v>557</v>
      </c>
      <c r="D1731" s="452">
        <v>46023</v>
      </c>
      <c r="E1731">
        <v>19607</v>
      </c>
      <c r="F1731" t="s">
        <v>4981</v>
      </c>
      <c r="G1731">
        <v>2623</v>
      </c>
      <c r="H1731">
        <v>2</v>
      </c>
      <c r="I1731" t="s">
        <v>4744</v>
      </c>
      <c r="J1731" t="s">
        <v>5191</v>
      </c>
      <c r="K1731" t="s">
        <v>458</v>
      </c>
      <c r="L1731">
        <v>7.73</v>
      </c>
      <c r="M1731" s="452">
        <v>46004</v>
      </c>
      <c r="N1731">
        <v>7.61</v>
      </c>
      <c r="O1731">
        <v>11</v>
      </c>
      <c r="P1731">
        <v>15.46</v>
      </c>
    </row>
    <row r="1732" spans="1:16" x14ac:dyDescent="0.3">
      <c r="A1732">
        <v>66236</v>
      </c>
      <c r="B1732">
        <v>105</v>
      </c>
      <c r="C1732" t="s">
        <v>557</v>
      </c>
      <c r="D1732" s="452">
        <v>46023</v>
      </c>
      <c r="E1732">
        <v>19907</v>
      </c>
      <c r="F1732" t="s">
        <v>4802</v>
      </c>
      <c r="G1732">
        <v>2381</v>
      </c>
      <c r="H1732">
        <v>5</v>
      </c>
      <c r="I1732" t="s">
        <v>4736</v>
      </c>
      <c r="J1732" t="s">
        <v>5191</v>
      </c>
      <c r="K1732" t="s">
        <v>458</v>
      </c>
      <c r="L1732">
        <v>0</v>
      </c>
      <c r="M1732" s="452">
        <v>45660</v>
      </c>
      <c r="N1732">
        <v>3.05</v>
      </c>
      <c r="O1732">
        <v>3.23</v>
      </c>
      <c r="P1732">
        <v>15.25</v>
      </c>
    </row>
    <row r="1733" spans="1:16" x14ac:dyDescent="0.3">
      <c r="A1733">
        <v>66402</v>
      </c>
      <c r="B1733">
        <v>105</v>
      </c>
      <c r="C1733" t="s">
        <v>557</v>
      </c>
      <c r="D1733" s="452">
        <v>46023</v>
      </c>
      <c r="E1733">
        <v>24458</v>
      </c>
      <c r="F1733" t="s">
        <v>5079</v>
      </c>
      <c r="G1733">
        <v>2160</v>
      </c>
      <c r="H1733">
        <v>0.15</v>
      </c>
      <c r="I1733" t="s">
        <v>4744</v>
      </c>
      <c r="J1733" t="s">
        <v>5191</v>
      </c>
      <c r="K1733" t="s">
        <v>458</v>
      </c>
      <c r="L1733">
        <v>0</v>
      </c>
      <c r="N1733">
        <v>0</v>
      </c>
      <c r="O1733">
        <v>100</v>
      </c>
      <c r="P1733">
        <v>15</v>
      </c>
    </row>
    <row r="1734" spans="1:16" x14ac:dyDescent="0.3">
      <c r="A1734">
        <v>66160</v>
      </c>
      <c r="B1734">
        <v>105</v>
      </c>
      <c r="C1734" t="s">
        <v>557</v>
      </c>
      <c r="D1734" s="452">
        <v>46023</v>
      </c>
      <c r="E1734">
        <v>23934</v>
      </c>
      <c r="F1734" t="s">
        <v>4845</v>
      </c>
      <c r="G1734">
        <v>1965</v>
      </c>
      <c r="H1734">
        <v>1.5</v>
      </c>
      <c r="I1734" t="s">
        <v>4744</v>
      </c>
      <c r="J1734" t="s">
        <v>5191</v>
      </c>
      <c r="K1734" t="s">
        <v>458</v>
      </c>
      <c r="L1734">
        <v>9.5399999999999991</v>
      </c>
      <c r="M1734" s="452">
        <v>45999</v>
      </c>
      <c r="N1734">
        <v>9.5399999999999991</v>
      </c>
      <c r="O1734">
        <v>10.9</v>
      </c>
      <c r="P1734">
        <v>14.31</v>
      </c>
    </row>
    <row r="1735" spans="1:16" x14ac:dyDescent="0.3">
      <c r="A1735">
        <v>66235</v>
      </c>
      <c r="B1735">
        <v>105</v>
      </c>
      <c r="C1735" t="s">
        <v>557</v>
      </c>
      <c r="D1735" s="452">
        <v>46023</v>
      </c>
      <c r="E1735">
        <v>19916</v>
      </c>
      <c r="F1735" t="s">
        <v>4826</v>
      </c>
      <c r="G1735">
        <v>2379</v>
      </c>
      <c r="H1735">
        <v>4</v>
      </c>
      <c r="I1735" t="s">
        <v>4738</v>
      </c>
      <c r="J1735" t="s">
        <v>5191</v>
      </c>
      <c r="K1735" t="s">
        <v>458</v>
      </c>
      <c r="L1735">
        <v>0</v>
      </c>
      <c r="M1735" s="452">
        <v>45989</v>
      </c>
      <c r="N1735">
        <v>3.4</v>
      </c>
      <c r="O1735">
        <v>34.5</v>
      </c>
      <c r="P1735">
        <v>13.6</v>
      </c>
    </row>
    <row r="1736" spans="1:16" x14ac:dyDescent="0.3">
      <c r="A1736">
        <v>66218</v>
      </c>
      <c r="B1736">
        <v>105</v>
      </c>
      <c r="C1736" t="s">
        <v>557</v>
      </c>
      <c r="D1736" s="452">
        <v>46023</v>
      </c>
      <c r="E1736">
        <v>19993</v>
      </c>
      <c r="F1736" t="s">
        <v>4954</v>
      </c>
      <c r="G1736">
        <v>2349</v>
      </c>
      <c r="H1736">
        <v>1</v>
      </c>
      <c r="I1736" t="s">
        <v>4955</v>
      </c>
      <c r="J1736" t="s">
        <v>5191</v>
      </c>
      <c r="K1736" t="s">
        <v>458</v>
      </c>
      <c r="L1736">
        <v>0</v>
      </c>
      <c r="N1736">
        <v>0</v>
      </c>
      <c r="O1736">
        <v>0</v>
      </c>
      <c r="P1736">
        <v>11.99</v>
      </c>
    </row>
    <row r="1737" spans="1:16" x14ac:dyDescent="0.3">
      <c r="A1737">
        <v>66268</v>
      </c>
      <c r="B1737">
        <v>105</v>
      </c>
      <c r="C1737" t="s">
        <v>557</v>
      </c>
      <c r="D1737" s="452">
        <v>46023</v>
      </c>
      <c r="E1737">
        <v>19742</v>
      </c>
      <c r="F1737" t="s">
        <v>4900</v>
      </c>
      <c r="G1737">
        <v>2511</v>
      </c>
      <c r="H1737">
        <v>1.3</v>
      </c>
      <c r="I1737" t="s">
        <v>4744</v>
      </c>
      <c r="J1737" t="s">
        <v>5191</v>
      </c>
      <c r="K1737" t="s">
        <v>458</v>
      </c>
      <c r="L1737">
        <v>9.2100000000000009</v>
      </c>
      <c r="M1737" s="452">
        <v>46002</v>
      </c>
      <c r="N1737">
        <v>9.5</v>
      </c>
      <c r="O1737">
        <v>10.63</v>
      </c>
      <c r="P1737">
        <v>11.97</v>
      </c>
    </row>
    <row r="1738" spans="1:16" x14ac:dyDescent="0.3">
      <c r="A1738">
        <v>66250</v>
      </c>
      <c r="B1738">
        <v>105</v>
      </c>
      <c r="C1738" t="s">
        <v>557</v>
      </c>
      <c r="D1738" s="452">
        <v>46023</v>
      </c>
      <c r="E1738">
        <v>23389</v>
      </c>
      <c r="F1738" t="s">
        <v>4960</v>
      </c>
      <c r="G1738">
        <v>2475</v>
      </c>
      <c r="H1738">
        <v>2.1</v>
      </c>
      <c r="I1738" t="s">
        <v>4744</v>
      </c>
      <c r="J1738" t="s">
        <v>5191</v>
      </c>
      <c r="K1738" t="s">
        <v>458</v>
      </c>
      <c r="L1738">
        <v>5.54</v>
      </c>
      <c r="M1738" s="452">
        <v>46008</v>
      </c>
      <c r="N1738">
        <v>5.19</v>
      </c>
      <c r="O1738">
        <v>5.19</v>
      </c>
      <c r="P1738">
        <v>11.63</v>
      </c>
    </row>
    <row r="1739" spans="1:16" x14ac:dyDescent="0.3">
      <c r="A1739">
        <v>66245</v>
      </c>
      <c r="B1739">
        <v>105</v>
      </c>
      <c r="C1739" t="s">
        <v>557</v>
      </c>
      <c r="D1739" s="452">
        <v>46023</v>
      </c>
      <c r="E1739">
        <v>20955</v>
      </c>
      <c r="F1739" t="s">
        <v>4959</v>
      </c>
      <c r="G1739">
        <v>2019</v>
      </c>
      <c r="H1739">
        <v>1</v>
      </c>
      <c r="I1739" t="s">
        <v>4805</v>
      </c>
      <c r="J1739" t="s">
        <v>5191</v>
      </c>
      <c r="K1739" t="s">
        <v>458</v>
      </c>
      <c r="L1739">
        <v>10.48</v>
      </c>
      <c r="M1739" s="452">
        <v>46007</v>
      </c>
      <c r="N1739">
        <v>10.48</v>
      </c>
      <c r="O1739">
        <v>10.48</v>
      </c>
      <c r="P1739">
        <v>10.48</v>
      </c>
    </row>
    <row r="1740" spans="1:16" x14ac:dyDescent="0.3">
      <c r="A1740">
        <v>66280</v>
      </c>
      <c r="B1740">
        <v>105</v>
      </c>
      <c r="C1740" t="s">
        <v>557</v>
      </c>
      <c r="D1740" s="452">
        <v>46023</v>
      </c>
      <c r="E1740">
        <v>19552</v>
      </c>
      <c r="F1740" t="s">
        <v>4860</v>
      </c>
      <c r="G1740">
        <v>2664</v>
      </c>
      <c r="H1740">
        <v>2.7</v>
      </c>
      <c r="I1740" t="s">
        <v>4744</v>
      </c>
      <c r="J1740" t="s">
        <v>5191</v>
      </c>
      <c r="K1740" t="s">
        <v>458</v>
      </c>
      <c r="L1740">
        <v>3.85</v>
      </c>
      <c r="M1740" s="452">
        <v>46002</v>
      </c>
      <c r="N1740">
        <v>3.8</v>
      </c>
      <c r="O1740">
        <v>4.5</v>
      </c>
      <c r="P1740">
        <v>10.4</v>
      </c>
    </row>
    <row r="1741" spans="1:16" x14ac:dyDescent="0.3">
      <c r="A1741">
        <v>66240</v>
      </c>
      <c r="B1741">
        <v>105</v>
      </c>
      <c r="C1741" t="s">
        <v>557</v>
      </c>
      <c r="D1741" s="452">
        <v>46023</v>
      </c>
      <c r="E1741">
        <v>20795</v>
      </c>
      <c r="F1741" t="s">
        <v>5024</v>
      </c>
      <c r="G1741">
        <v>2076</v>
      </c>
      <c r="H1741">
        <v>1</v>
      </c>
      <c r="I1741" t="s">
        <v>4738</v>
      </c>
      <c r="J1741" t="s">
        <v>5191</v>
      </c>
      <c r="K1741" t="s">
        <v>458</v>
      </c>
      <c r="L1741">
        <v>10.3</v>
      </c>
      <c r="M1741" s="452">
        <v>46006</v>
      </c>
      <c r="N1741">
        <v>10.3</v>
      </c>
      <c r="O1741">
        <v>10.3</v>
      </c>
      <c r="P1741">
        <v>10.3</v>
      </c>
    </row>
    <row r="1742" spans="1:16" x14ac:dyDescent="0.3">
      <c r="A1742">
        <v>66323</v>
      </c>
      <c r="B1742">
        <v>105</v>
      </c>
      <c r="C1742" t="s">
        <v>557</v>
      </c>
      <c r="D1742" s="452">
        <v>46023</v>
      </c>
      <c r="E1742">
        <v>18745</v>
      </c>
      <c r="F1742" t="s">
        <v>4892</v>
      </c>
      <c r="G1742">
        <v>3014</v>
      </c>
      <c r="H1742">
        <v>2</v>
      </c>
      <c r="I1742" t="s">
        <v>4736</v>
      </c>
      <c r="J1742" t="s">
        <v>5191</v>
      </c>
      <c r="K1742" t="s">
        <v>458</v>
      </c>
      <c r="L1742">
        <v>0</v>
      </c>
      <c r="M1742" s="452">
        <v>45888</v>
      </c>
      <c r="N1742">
        <v>4.9000000000000004</v>
      </c>
      <c r="O1742">
        <v>4.9000000000000004</v>
      </c>
      <c r="P1742">
        <v>9.8000000000000007</v>
      </c>
    </row>
    <row r="1743" spans="1:16" x14ac:dyDescent="0.3">
      <c r="A1743">
        <v>66381</v>
      </c>
      <c r="B1743">
        <v>105</v>
      </c>
      <c r="C1743" t="s">
        <v>557</v>
      </c>
      <c r="D1743" s="452">
        <v>46023</v>
      </c>
      <c r="E1743">
        <v>17838</v>
      </c>
      <c r="F1743" t="s">
        <v>4925</v>
      </c>
      <c r="G1743">
        <v>3712</v>
      </c>
      <c r="H1743">
        <v>1</v>
      </c>
      <c r="I1743" t="s">
        <v>4749</v>
      </c>
      <c r="J1743" t="s">
        <v>5222</v>
      </c>
      <c r="K1743" t="s">
        <v>458</v>
      </c>
      <c r="L1743">
        <v>0</v>
      </c>
      <c r="M1743" s="452">
        <v>45978</v>
      </c>
      <c r="N1743">
        <v>9.5</v>
      </c>
      <c r="O1743">
        <v>10</v>
      </c>
      <c r="P1743">
        <v>9.5</v>
      </c>
    </row>
    <row r="1744" spans="1:16" x14ac:dyDescent="0.3">
      <c r="A1744">
        <v>66252</v>
      </c>
      <c r="B1744">
        <v>105</v>
      </c>
      <c r="C1744" t="s">
        <v>557</v>
      </c>
      <c r="D1744" s="452">
        <v>46023</v>
      </c>
      <c r="E1744">
        <v>19642</v>
      </c>
      <c r="F1744" t="s">
        <v>4996</v>
      </c>
      <c r="G1744">
        <v>2596</v>
      </c>
      <c r="H1744">
        <v>2.1</v>
      </c>
      <c r="I1744" t="s">
        <v>4744</v>
      </c>
      <c r="J1744" t="s">
        <v>5191</v>
      </c>
      <c r="K1744" t="s">
        <v>458</v>
      </c>
      <c r="L1744">
        <v>4.5</v>
      </c>
      <c r="M1744" s="452">
        <v>46008</v>
      </c>
      <c r="N1744">
        <v>4.79</v>
      </c>
      <c r="O1744">
        <v>7.5</v>
      </c>
      <c r="P1744">
        <v>9.4499999999999993</v>
      </c>
    </row>
    <row r="1745" spans="1:16" x14ac:dyDescent="0.3">
      <c r="A1745">
        <v>66244</v>
      </c>
      <c r="B1745">
        <v>105</v>
      </c>
      <c r="C1745" t="s">
        <v>557</v>
      </c>
      <c r="D1745" s="452">
        <v>46023</v>
      </c>
      <c r="E1745">
        <v>23884</v>
      </c>
      <c r="F1745" t="s">
        <v>5070</v>
      </c>
      <c r="G1745">
        <v>2015</v>
      </c>
      <c r="H1745">
        <v>1</v>
      </c>
      <c r="I1745" t="s">
        <v>4955</v>
      </c>
      <c r="J1745" t="s">
        <v>5191</v>
      </c>
      <c r="K1745" t="s">
        <v>458</v>
      </c>
      <c r="L1745">
        <v>9.25</v>
      </c>
      <c r="M1745" s="452">
        <v>46006</v>
      </c>
      <c r="N1745">
        <v>9.35</v>
      </c>
      <c r="O1745">
        <v>9.15</v>
      </c>
      <c r="P1745">
        <v>9.25</v>
      </c>
    </row>
    <row r="1746" spans="1:16" x14ac:dyDescent="0.3">
      <c r="A1746">
        <v>66257</v>
      </c>
      <c r="B1746">
        <v>105</v>
      </c>
      <c r="C1746" t="s">
        <v>557</v>
      </c>
      <c r="D1746" s="452">
        <v>46023</v>
      </c>
      <c r="E1746">
        <v>19621</v>
      </c>
      <c r="F1746" t="s">
        <v>4829</v>
      </c>
      <c r="G1746">
        <v>2613</v>
      </c>
      <c r="H1746">
        <v>3.6</v>
      </c>
      <c r="I1746" t="s">
        <v>4744</v>
      </c>
      <c r="J1746" t="s">
        <v>5191</v>
      </c>
      <c r="K1746" t="s">
        <v>458</v>
      </c>
      <c r="L1746">
        <v>2.57</v>
      </c>
      <c r="M1746" s="452">
        <v>46008</v>
      </c>
      <c r="N1746">
        <v>2.4</v>
      </c>
      <c r="O1746">
        <v>2.83</v>
      </c>
      <c r="P1746">
        <v>9.25</v>
      </c>
    </row>
    <row r="1747" spans="1:16" x14ac:dyDescent="0.3">
      <c r="A1747">
        <v>66283</v>
      </c>
      <c r="B1747">
        <v>105</v>
      </c>
      <c r="C1747" t="s">
        <v>557</v>
      </c>
      <c r="D1747" s="452">
        <v>46023</v>
      </c>
      <c r="E1747">
        <v>23184</v>
      </c>
      <c r="F1747" t="s">
        <v>4935</v>
      </c>
      <c r="G1747">
        <v>2670</v>
      </c>
      <c r="H1747">
        <v>1.1499999999999999</v>
      </c>
      <c r="I1747" t="s">
        <v>4744</v>
      </c>
      <c r="J1747" t="s">
        <v>5191</v>
      </c>
      <c r="K1747" t="s">
        <v>458</v>
      </c>
      <c r="L1747">
        <v>7.88</v>
      </c>
      <c r="M1747" s="452">
        <v>46008</v>
      </c>
      <c r="N1747">
        <v>8.75</v>
      </c>
      <c r="O1747">
        <v>15</v>
      </c>
      <c r="P1747">
        <v>9.06</v>
      </c>
    </row>
    <row r="1748" spans="1:16" x14ac:dyDescent="0.3">
      <c r="A1748">
        <v>66177</v>
      </c>
      <c r="B1748">
        <v>105</v>
      </c>
      <c r="C1748" t="s">
        <v>557</v>
      </c>
      <c r="D1748" s="452">
        <v>46023</v>
      </c>
      <c r="E1748">
        <v>23819</v>
      </c>
      <c r="F1748" t="s">
        <v>4947</v>
      </c>
      <c r="G1748">
        <v>2083</v>
      </c>
      <c r="H1748">
        <v>1</v>
      </c>
      <c r="I1748" t="s">
        <v>4736</v>
      </c>
      <c r="J1748" t="s">
        <v>5191</v>
      </c>
      <c r="K1748" t="s">
        <v>458</v>
      </c>
      <c r="L1748">
        <v>9.0500000000000007</v>
      </c>
      <c r="M1748" s="452">
        <v>45996</v>
      </c>
      <c r="N1748">
        <v>9.0500000000000007</v>
      </c>
      <c r="O1748">
        <v>9.0500000000000007</v>
      </c>
      <c r="P1748">
        <v>9.0500000000000007</v>
      </c>
    </row>
    <row r="1749" spans="1:16" x14ac:dyDescent="0.3">
      <c r="A1749">
        <v>66187</v>
      </c>
      <c r="B1749">
        <v>105</v>
      </c>
      <c r="C1749" t="s">
        <v>557</v>
      </c>
      <c r="D1749" s="452">
        <v>46023</v>
      </c>
      <c r="E1749">
        <v>25079</v>
      </c>
      <c r="F1749" t="s">
        <v>5006</v>
      </c>
      <c r="G1749">
        <v>2239</v>
      </c>
      <c r="H1749">
        <v>1</v>
      </c>
      <c r="I1749" t="s">
        <v>4738</v>
      </c>
      <c r="J1749" t="s">
        <v>5191</v>
      </c>
      <c r="K1749" t="s">
        <v>458</v>
      </c>
      <c r="L1749">
        <v>0</v>
      </c>
      <c r="N1749">
        <v>0</v>
      </c>
      <c r="O1749">
        <v>8.9499999999999993</v>
      </c>
      <c r="P1749">
        <v>8.9600000000000009</v>
      </c>
    </row>
    <row r="1750" spans="1:16" x14ac:dyDescent="0.3">
      <c r="A1750">
        <v>66223</v>
      </c>
      <c r="B1750">
        <v>105</v>
      </c>
      <c r="C1750" t="s">
        <v>557</v>
      </c>
      <c r="D1750" s="452">
        <v>46023</v>
      </c>
      <c r="E1750">
        <v>19939</v>
      </c>
      <c r="F1750" t="s">
        <v>5057</v>
      </c>
      <c r="G1750">
        <v>2365</v>
      </c>
      <c r="H1750">
        <v>0.4</v>
      </c>
      <c r="I1750" t="s">
        <v>4744</v>
      </c>
      <c r="J1750" t="s">
        <v>5191</v>
      </c>
      <c r="K1750" t="s">
        <v>458</v>
      </c>
      <c r="L1750">
        <v>0</v>
      </c>
      <c r="N1750">
        <v>0</v>
      </c>
      <c r="O1750">
        <v>97.2</v>
      </c>
      <c r="P1750">
        <v>8.8000000000000007</v>
      </c>
    </row>
    <row r="1751" spans="1:16" x14ac:dyDescent="0.3">
      <c r="A1751">
        <v>66243</v>
      </c>
      <c r="B1751">
        <v>105</v>
      </c>
      <c r="C1751" t="s">
        <v>557</v>
      </c>
      <c r="D1751" s="452">
        <v>46023</v>
      </c>
      <c r="E1751">
        <v>20961</v>
      </c>
      <c r="F1751" t="s">
        <v>5026</v>
      </c>
      <c r="G1751">
        <v>2015</v>
      </c>
      <c r="H1751">
        <v>1</v>
      </c>
      <c r="I1751" t="s">
        <v>4736</v>
      </c>
      <c r="J1751" t="s">
        <v>5191</v>
      </c>
      <c r="K1751" t="s">
        <v>458</v>
      </c>
      <c r="L1751">
        <v>0</v>
      </c>
      <c r="M1751" s="452">
        <v>45918</v>
      </c>
      <c r="N1751">
        <v>8.36</v>
      </c>
      <c r="O1751">
        <v>8.98</v>
      </c>
      <c r="P1751">
        <v>8.36</v>
      </c>
    </row>
    <row r="1752" spans="1:16" x14ac:dyDescent="0.3">
      <c r="A1752">
        <v>66279</v>
      </c>
      <c r="B1752">
        <v>105</v>
      </c>
      <c r="C1752" t="s">
        <v>557</v>
      </c>
      <c r="D1752" s="452">
        <v>46023</v>
      </c>
      <c r="E1752">
        <v>19553</v>
      </c>
      <c r="F1752" t="s">
        <v>4868</v>
      </c>
      <c r="G1752">
        <v>2663</v>
      </c>
      <c r="H1752">
        <v>3.5</v>
      </c>
      <c r="I1752" t="s">
        <v>4744</v>
      </c>
      <c r="J1752" t="s">
        <v>5191</v>
      </c>
      <c r="K1752" t="s">
        <v>458</v>
      </c>
      <c r="L1752">
        <v>2.2999999999999998</v>
      </c>
      <c r="M1752" s="452">
        <v>46002</v>
      </c>
      <c r="N1752">
        <v>2.2999999999999998</v>
      </c>
      <c r="O1752">
        <v>2.83</v>
      </c>
      <c r="P1752">
        <v>8.0500000000000007</v>
      </c>
    </row>
    <row r="1753" spans="1:16" x14ac:dyDescent="0.3">
      <c r="A1753">
        <v>66281</v>
      </c>
      <c r="B1753">
        <v>105</v>
      </c>
      <c r="C1753" t="s">
        <v>557</v>
      </c>
      <c r="D1753" s="452">
        <v>46023</v>
      </c>
      <c r="E1753">
        <v>19472</v>
      </c>
      <c r="F1753" t="s">
        <v>4906</v>
      </c>
      <c r="G1753">
        <v>2733</v>
      </c>
      <c r="H1753">
        <v>0.6</v>
      </c>
      <c r="I1753" t="s">
        <v>4744</v>
      </c>
      <c r="J1753" t="s">
        <v>5191</v>
      </c>
      <c r="K1753" t="s">
        <v>458</v>
      </c>
      <c r="L1753">
        <v>13.31</v>
      </c>
      <c r="M1753" s="452">
        <v>46010</v>
      </c>
      <c r="N1753">
        <v>15.95</v>
      </c>
      <c r="O1753">
        <v>20</v>
      </c>
      <c r="P1753">
        <v>7.99</v>
      </c>
    </row>
    <row r="1754" spans="1:16" x14ac:dyDescent="0.3">
      <c r="A1754">
        <v>66274</v>
      </c>
      <c r="B1754">
        <v>105</v>
      </c>
      <c r="C1754" t="s">
        <v>557</v>
      </c>
      <c r="D1754" s="452">
        <v>46023</v>
      </c>
      <c r="E1754">
        <v>19589</v>
      </c>
      <c r="F1754" t="s">
        <v>4983</v>
      </c>
      <c r="G1754">
        <v>2637</v>
      </c>
      <c r="H1754">
        <v>1.9</v>
      </c>
      <c r="I1754" t="s">
        <v>4744</v>
      </c>
      <c r="J1754" t="s">
        <v>5191</v>
      </c>
      <c r="K1754" t="s">
        <v>458</v>
      </c>
      <c r="L1754">
        <v>3.63</v>
      </c>
      <c r="M1754" s="452">
        <v>46003</v>
      </c>
      <c r="N1754">
        <v>3.85</v>
      </c>
      <c r="O1754">
        <v>6.5</v>
      </c>
      <c r="P1754">
        <v>6.9</v>
      </c>
    </row>
    <row r="1755" spans="1:16" x14ac:dyDescent="0.3">
      <c r="A1755">
        <v>66258</v>
      </c>
      <c r="B1755">
        <v>105</v>
      </c>
      <c r="C1755" t="s">
        <v>557</v>
      </c>
      <c r="D1755" s="452">
        <v>46023</v>
      </c>
      <c r="E1755">
        <v>19617</v>
      </c>
      <c r="F1755" t="s">
        <v>5071</v>
      </c>
      <c r="G1755">
        <v>2617</v>
      </c>
      <c r="H1755">
        <v>0.3</v>
      </c>
      <c r="I1755" t="s">
        <v>4744</v>
      </c>
      <c r="J1755" t="s">
        <v>5191</v>
      </c>
      <c r="K1755" t="s">
        <v>458</v>
      </c>
      <c r="L1755">
        <v>15.67</v>
      </c>
      <c r="M1755" s="452">
        <v>46008</v>
      </c>
      <c r="N1755">
        <v>15</v>
      </c>
      <c r="O1755">
        <v>35</v>
      </c>
      <c r="P1755">
        <v>4.7</v>
      </c>
    </row>
    <row r="1756" spans="1:16" x14ac:dyDescent="0.3">
      <c r="A1756">
        <v>66406</v>
      </c>
      <c r="B1756">
        <v>105</v>
      </c>
      <c r="C1756" t="s">
        <v>557</v>
      </c>
      <c r="D1756" s="452">
        <v>46023</v>
      </c>
      <c r="E1756">
        <v>27808</v>
      </c>
      <c r="F1756" t="s">
        <v>5082</v>
      </c>
      <c r="G1756">
        <v>7774</v>
      </c>
      <c r="H1756">
        <v>0.05</v>
      </c>
      <c r="I1756" t="s">
        <v>4736</v>
      </c>
      <c r="J1756" t="s">
        <v>5222</v>
      </c>
      <c r="K1756" t="s">
        <v>458</v>
      </c>
      <c r="L1756">
        <v>0</v>
      </c>
      <c r="N1756">
        <v>0</v>
      </c>
      <c r="O1756">
        <v>87.1</v>
      </c>
      <c r="P1756">
        <v>4.3499999999999996</v>
      </c>
    </row>
    <row r="1757" spans="1:16" x14ac:dyDescent="0.3">
      <c r="A1757">
        <v>66211</v>
      </c>
      <c r="B1757">
        <v>105</v>
      </c>
      <c r="C1757" t="s">
        <v>557</v>
      </c>
      <c r="D1757" s="452">
        <v>46023</v>
      </c>
      <c r="E1757">
        <v>25022</v>
      </c>
      <c r="F1757" t="s">
        <v>4912</v>
      </c>
      <c r="G1757">
        <v>5868</v>
      </c>
      <c r="H1757">
        <v>1</v>
      </c>
      <c r="I1757" t="s">
        <v>4738</v>
      </c>
      <c r="J1757" t="s">
        <v>5191</v>
      </c>
      <c r="K1757" t="s">
        <v>458</v>
      </c>
      <c r="L1757">
        <v>3.7</v>
      </c>
      <c r="M1757" s="452">
        <v>46006</v>
      </c>
      <c r="N1757">
        <v>3.7</v>
      </c>
      <c r="O1757">
        <v>3.7</v>
      </c>
      <c r="P1757">
        <v>3.7</v>
      </c>
    </row>
    <row r="1758" spans="1:16" x14ac:dyDescent="0.3">
      <c r="A1758">
        <v>66247</v>
      </c>
      <c r="B1758">
        <v>105</v>
      </c>
      <c r="C1758" t="s">
        <v>557</v>
      </c>
      <c r="D1758" s="452">
        <v>46023</v>
      </c>
      <c r="E1758">
        <v>19658</v>
      </c>
      <c r="F1758" t="s">
        <v>4784</v>
      </c>
      <c r="G1758">
        <v>2582</v>
      </c>
      <c r="H1758">
        <v>0.9</v>
      </c>
      <c r="I1758" t="s">
        <v>4744</v>
      </c>
      <c r="J1758" t="s">
        <v>5191</v>
      </c>
      <c r="K1758" t="s">
        <v>458</v>
      </c>
      <c r="L1758">
        <v>2.66</v>
      </c>
      <c r="M1758" s="452">
        <v>46008</v>
      </c>
      <c r="N1758">
        <v>2.46</v>
      </c>
      <c r="O1758">
        <v>2.61</v>
      </c>
      <c r="P1758">
        <v>2.39</v>
      </c>
    </row>
    <row r="1759" spans="1:16" x14ac:dyDescent="0.3">
      <c r="A1759">
        <v>62788</v>
      </c>
      <c r="B1759">
        <v>105</v>
      </c>
      <c r="C1759" t="s">
        <v>557</v>
      </c>
      <c r="D1759" s="452">
        <v>45992</v>
      </c>
      <c r="E1759">
        <v>24954</v>
      </c>
      <c r="F1759" t="s">
        <v>4769</v>
      </c>
      <c r="G1759">
        <v>5836</v>
      </c>
      <c r="H1759">
        <v>18.7</v>
      </c>
      <c r="I1759" t="s">
        <v>4744</v>
      </c>
      <c r="J1759" t="s">
        <v>5191</v>
      </c>
      <c r="K1759" t="s">
        <v>753</v>
      </c>
      <c r="L1759">
        <v>124.77</v>
      </c>
      <c r="M1759" s="452">
        <v>45989</v>
      </c>
      <c r="N1759">
        <v>126.5</v>
      </c>
      <c r="O1759">
        <v>126.5</v>
      </c>
      <c r="P1759">
        <v>2333.1999999999998</v>
      </c>
    </row>
    <row r="1760" spans="1:16" x14ac:dyDescent="0.3">
      <c r="A1760">
        <v>62765</v>
      </c>
      <c r="B1760">
        <v>105</v>
      </c>
      <c r="C1760" t="s">
        <v>557</v>
      </c>
      <c r="D1760" s="452">
        <v>45992</v>
      </c>
      <c r="E1760">
        <v>17957</v>
      </c>
      <c r="F1760" t="s">
        <v>4745</v>
      </c>
      <c r="G1760">
        <v>3622</v>
      </c>
      <c r="H1760">
        <v>92</v>
      </c>
      <c r="I1760" t="s">
        <v>4736</v>
      </c>
      <c r="J1760" t="s">
        <v>5222</v>
      </c>
      <c r="K1760" t="s">
        <v>753</v>
      </c>
      <c r="L1760">
        <v>15.9</v>
      </c>
      <c r="M1760" s="452">
        <v>45979</v>
      </c>
      <c r="N1760">
        <v>15.9</v>
      </c>
      <c r="O1760">
        <v>15.9</v>
      </c>
      <c r="P1760">
        <v>1462.8</v>
      </c>
    </row>
    <row r="1761" spans="1:16" x14ac:dyDescent="0.3">
      <c r="A1761">
        <v>62793</v>
      </c>
      <c r="B1761">
        <v>105</v>
      </c>
      <c r="C1761" t="s">
        <v>557</v>
      </c>
      <c r="D1761" s="452">
        <v>45992</v>
      </c>
      <c r="E1761">
        <v>25777</v>
      </c>
      <c r="F1761" t="s">
        <v>4774</v>
      </c>
      <c r="G1761">
        <v>6322</v>
      </c>
      <c r="H1761">
        <v>17.25</v>
      </c>
      <c r="I1761" t="s">
        <v>4744</v>
      </c>
      <c r="J1761" t="s">
        <v>5191</v>
      </c>
      <c r="K1761" t="s">
        <v>753</v>
      </c>
      <c r="L1761">
        <v>83.68</v>
      </c>
      <c r="M1761" s="452">
        <v>45985</v>
      </c>
      <c r="N1761">
        <v>85</v>
      </c>
      <c r="O1761">
        <v>85</v>
      </c>
      <c r="P1761">
        <v>1443.48</v>
      </c>
    </row>
    <row r="1762" spans="1:16" x14ac:dyDescent="0.3">
      <c r="A1762">
        <v>62758</v>
      </c>
      <c r="B1762">
        <v>105</v>
      </c>
      <c r="C1762" t="s">
        <v>557</v>
      </c>
      <c r="D1762" s="452">
        <v>45992</v>
      </c>
      <c r="E1762">
        <v>22654</v>
      </c>
      <c r="F1762" t="s">
        <v>4735</v>
      </c>
      <c r="G1762">
        <v>3083</v>
      </c>
      <c r="H1762">
        <v>246</v>
      </c>
      <c r="I1762" t="s">
        <v>4736</v>
      </c>
      <c r="J1762" t="s">
        <v>5222</v>
      </c>
      <c r="K1762" t="s">
        <v>753</v>
      </c>
      <c r="L1762">
        <v>0</v>
      </c>
      <c r="M1762" s="452">
        <v>45679</v>
      </c>
      <c r="N1762">
        <v>5.61</v>
      </c>
      <c r="O1762">
        <v>4.49</v>
      </c>
      <c r="P1762">
        <v>1380.06</v>
      </c>
    </row>
    <row r="1763" spans="1:16" x14ac:dyDescent="0.3">
      <c r="A1763">
        <v>62787</v>
      </c>
      <c r="B1763">
        <v>105</v>
      </c>
      <c r="C1763" t="s">
        <v>557</v>
      </c>
      <c r="D1763" s="452">
        <v>45992</v>
      </c>
      <c r="E1763">
        <v>18945</v>
      </c>
      <c r="F1763" t="s">
        <v>4768</v>
      </c>
      <c r="G1763">
        <v>2929</v>
      </c>
      <c r="H1763">
        <v>18.899999999999999</v>
      </c>
      <c r="I1763" t="s">
        <v>4744</v>
      </c>
      <c r="J1763" t="s">
        <v>5191</v>
      </c>
      <c r="K1763" t="s">
        <v>753</v>
      </c>
      <c r="L1763">
        <v>58.25</v>
      </c>
      <c r="M1763" s="452">
        <v>45987</v>
      </c>
      <c r="N1763">
        <v>58.25</v>
      </c>
      <c r="O1763">
        <v>58.25</v>
      </c>
      <c r="P1763">
        <v>1100.92</v>
      </c>
    </row>
    <row r="1764" spans="1:16" x14ac:dyDescent="0.3">
      <c r="A1764">
        <v>62759</v>
      </c>
      <c r="B1764">
        <v>105</v>
      </c>
      <c r="C1764" t="s">
        <v>557</v>
      </c>
      <c r="D1764" s="452">
        <v>45992</v>
      </c>
      <c r="E1764">
        <v>27018</v>
      </c>
      <c r="F1764" t="s">
        <v>4737</v>
      </c>
      <c r="G1764">
        <v>7070</v>
      </c>
      <c r="H1764">
        <v>12.75</v>
      </c>
      <c r="I1764" t="s">
        <v>4738</v>
      </c>
      <c r="J1764" t="s">
        <v>5222</v>
      </c>
      <c r="K1764" t="s">
        <v>753</v>
      </c>
      <c r="L1764">
        <v>79.64</v>
      </c>
      <c r="M1764" s="452">
        <v>45978</v>
      </c>
      <c r="N1764">
        <v>79.64</v>
      </c>
      <c r="O1764">
        <v>79.64</v>
      </c>
      <c r="P1764">
        <v>1015.41</v>
      </c>
    </row>
    <row r="1765" spans="1:16" x14ac:dyDescent="0.3">
      <c r="A1765">
        <v>62820</v>
      </c>
      <c r="B1765">
        <v>105</v>
      </c>
      <c r="C1765" t="s">
        <v>557</v>
      </c>
      <c r="D1765" s="452">
        <v>45992</v>
      </c>
      <c r="E1765">
        <v>26135</v>
      </c>
      <c r="F1765" t="s">
        <v>4801</v>
      </c>
      <c r="G1765">
        <v>6585</v>
      </c>
      <c r="H1765">
        <v>10.32</v>
      </c>
      <c r="I1765" t="s">
        <v>4744</v>
      </c>
      <c r="J1765" t="s">
        <v>5191</v>
      </c>
      <c r="K1765" t="s">
        <v>753</v>
      </c>
      <c r="L1765">
        <v>89.9</v>
      </c>
      <c r="M1765" s="452">
        <v>45989</v>
      </c>
      <c r="N1765">
        <v>89.9</v>
      </c>
      <c r="O1765">
        <v>89.9</v>
      </c>
      <c r="P1765">
        <v>927.77</v>
      </c>
    </row>
    <row r="1766" spans="1:16" x14ac:dyDescent="0.3">
      <c r="A1766">
        <v>62829</v>
      </c>
      <c r="B1766">
        <v>105</v>
      </c>
      <c r="C1766" t="s">
        <v>557</v>
      </c>
      <c r="D1766" s="452">
        <v>45992</v>
      </c>
      <c r="E1766">
        <v>18822</v>
      </c>
      <c r="F1766" t="s">
        <v>4811</v>
      </c>
      <c r="G1766">
        <v>2953</v>
      </c>
      <c r="H1766">
        <v>8.4</v>
      </c>
      <c r="I1766" t="s">
        <v>4744</v>
      </c>
      <c r="J1766" t="s">
        <v>5191</v>
      </c>
      <c r="K1766" t="s">
        <v>753</v>
      </c>
      <c r="L1766">
        <v>107.87</v>
      </c>
      <c r="M1766" s="452">
        <v>45978</v>
      </c>
      <c r="N1766">
        <v>107.5</v>
      </c>
      <c r="O1766">
        <v>99.99</v>
      </c>
      <c r="P1766">
        <v>906.11</v>
      </c>
    </row>
    <row r="1767" spans="1:16" x14ac:dyDescent="0.3">
      <c r="A1767">
        <v>62978</v>
      </c>
      <c r="B1767">
        <v>105</v>
      </c>
      <c r="C1767" t="s">
        <v>557</v>
      </c>
      <c r="D1767" s="452">
        <v>45992</v>
      </c>
      <c r="E1767">
        <v>18636</v>
      </c>
      <c r="F1767" t="s">
        <v>4964</v>
      </c>
      <c r="G1767">
        <v>3075</v>
      </c>
      <c r="H1767">
        <v>2</v>
      </c>
      <c r="I1767" t="s">
        <v>4965</v>
      </c>
      <c r="J1767" t="s">
        <v>5222</v>
      </c>
      <c r="K1767" t="s">
        <v>753</v>
      </c>
      <c r="L1767">
        <v>446.16</v>
      </c>
      <c r="M1767" s="452">
        <v>45978</v>
      </c>
      <c r="N1767">
        <v>446.16</v>
      </c>
      <c r="O1767">
        <v>482.8</v>
      </c>
      <c r="P1767">
        <v>892.32</v>
      </c>
    </row>
    <row r="1768" spans="1:16" x14ac:dyDescent="0.3">
      <c r="A1768">
        <v>62761</v>
      </c>
      <c r="B1768">
        <v>105</v>
      </c>
      <c r="C1768" t="s">
        <v>557</v>
      </c>
      <c r="D1768" s="452">
        <v>45992</v>
      </c>
      <c r="E1768">
        <v>24129</v>
      </c>
      <c r="F1768" t="s">
        <v>4740</v>
      </c>
      <c r="G1768">
        <v>3076</v>
      </c>
      <c r="H1768">
        <v>115</v>
      </c>
      <c r="I1768" t="s">
        <v>4736</v>
      </c>
      <c r="J1768" t="s">
        <v>5222</v>
      </c>
      <c r="K1768" t="s">
        <v>753</v>
      </c>
      <c r="L1768">
        <v>0</v>
      </c>
      <c r="M1768" s="452">
        <v>45512</v>
      </c>
      <c r="N1768">
        <v>7.7</v>
      </c>
      <c r="O1768">
        <v>7.95</v>
      </c>
      <c r="P1768">
        <v>885.5</v>
      </c>
    </row>
    <row r="1769" spans="1:16" x14ac:dyDescent="0.3">
      <c r="A1769">
        <v>62790</v>
      </c>
      <c r="B1769">
        <v>105</v>
      </c>
      <c r="C1769" t="s">
        <v>557</v>
      </c>
      <c r="D1769" s="452">
        <v>45992</v>
      </c>
      <c r="E1769">
        <v>24096</v>
      </c>
      <c r="F1769" t="s">
        <v>4771</v>
      </c>
      <c r="G1769">
        <v>2958</v>
      </c>
      <c r="H1769">
        <v>18</v>
      </c>
      <c r="I1769" t="s">
        <v>4744</v>
      </c>
      <c r="J1769" t="s">
        <v>5191</v>
      </c>
      <c r="K1769" t="s">
        <v>753</v>
      </c>
      <c r="L1769">
        <v>39.9</v>
      </c>
      <c r="M1769" s="452">
        <v>45986</v>
      </c>
      <c r="N1769">
        <v>39.9</v>
      </c>
      <c r="O1769">
        <v>39.9</v>
      </c>
      <c r="P1769">
        <v>718.2</v>
      </c>
    </row>
    <row r="1770" spans="1:16" x14ac:dyDescent="0.3">
      <c r="A1770">
        <v>62899</v>
      </c>
      <c r="B1770">
        <v>105</v>
      </c>
      <c r="C1770" t="s">
        <v>557</v>
      </c>
      <c r="D1770" s="452">
        <v>45992</v>
      </c>
      <c r="E1770">
        <v>21021</v>
      </c>
      <c r="F1770" t="s">
        <v>4883</v>
      </c>
      <c r="G1770">
        <v>2003</v>
      </c>
      <c r="H1770">
        <v>4</v>
      </c>
      <c r="I1770" t="s">
        <v>4884</v>
      </c>
      <c r="J1770" t="s">
        <v>5191</v>
      </c>
      <c r="K1770" t="s">
        <v>753</v>
      </c>
      <c r="L1770">
        <v>176.76</v>
      </c>
      <c r="M1770" s="452">
        <v>45989</v>
      </c>
      <c r="N1770">
        <v>181.8</v>
      </c>
      <c r="O1770">
        <v>181.8</v>
      </c>
      <c r="P1770">
        <v>707.04</v>
      </c>
    </row>
    <row r="1771" spans="1:16" x14ac:dyDescent="0.3">
      <c r="A1771">
        <v>62796</v>
      </c>
      <c r="B1771">
        <v>105</v>
      </c>
      <c r="C1771" t="s">
        <v>557</v>
      </c>
      <c r="D1771" s="452">
        <v>45992</v>
      </c>
      <c r="E1771">
        <v>24116</v>
      </c>
      <c r="F1771" t="s">
        <v>4777</v>
      </c>
      <c r="G1771">
        <v>2924</v>
      </c>
      <c r="H1771">
        <v>17</v>
      </c>
      <c r="I1771" t="s">
        <v>4744</v>
      </c>
      <c r="J1771" t="s">
        <v>5191</v>
      </c>
      <c r="K1771" t="s">
        <v>753</v>
      </c>
      <c r="L1771">
        <v>41.35</v>
      </c>
      <c r="M1771" s="452">
        <v>45978</v>
      </c>
      <c r="N1771">
        <v>41.9</v>
      </c>
      <c r="O1771">
        <v>41.9</v>
      </c>
      <c r="P1771">
        <v>702.95</v>
      </c>
    </row>
    <row r="1772" spans="1:16" x14ac:dyDescent="0.3">
      <c r="A1772">
        <v>62865</v>
      </c>
      <c r="B1772">
        <v>105</v>
      </c>
      <c r="C1772" t="s">
        <v>557</v>
      </c>
      <c r="D1772" s="452">
        <v>45992</v>
      </c>
      <c r="E1772">
        <v>21047</v>
      </c>
      <c r="F1772" t="s">
        <v>4847</v>
      </c>
      <c r="G1772">
        <v>1999</v>
      </c>
      <c r="H1772">
        <v>5.6</v>
      </c>
      <c r="I1772" t="s">
        <v>4848</v>
      </c>
      <c r="J1772" t="s">
        <v>5191</v>
      </c>
      <c r="K1772" t="s">
        <v>753</v>
      </c>
      <c r="L1772">
        <v>124.3</v>
      </c>
      <c r="M1772" s="452">
        <v>45989</v>
      </c>
      <c r="N1772">
        <v>123.1</v>
      </c>
      <c r="O1772">
        <v>123.1</v>
      </c>
      <c r="P1772">
        <v>696.08</v>
      </c>
    </row>
    <row r="1773" spans="1:16" x14ac:dyDescent="0.3">
      <c r="A1773">
        <v>62896</v>
      </c>
      <c r="B1773">
        <v>105</v>
      </c>
      <c r="C1773" t="s">
        <v>557</v>
      </c>
      <c r="D1773" s="452">
        <v>45992</v>
      </c>
      <c r="E1773">
        <v>17062</v>
      </c>
      <c r="F1773" t="s">
        <v>4880</v>
      </c>
      <c r="G1773">
        <v>1954</v>
      </c>
      <c r="H1773">
        <v>4</v>
      </c>
      <c r="I1773" t="s">
        <v>4879</v>
      </c>
      <c r="J1773" t="s">
        <v>5191</v>
      </c>
      <c r="K1773" t="s">
        <v>753</v>
      </c>
      <c r="L1773">
        <v>171.03</v>
      </c>
      <c r="M1773" s="452">
        <v>45985</v>
      </c>
      <c r="N1773">
        <v>171.03</v>
      </c>
      <c r="O1773">
        <v>171.03</v>
      </c>
      <c r="P1773">
        <v>684.12</v>
      </c>
    </row>
    <row r="1774" spans="1:16" x14ac:dyDescent="0.3">
      <c r="A1774">
        <v>62792</v>
      </c>
      <c r="B1774">
        <v>105</v>
      </c>
      <c r="C1774" t="s">
        <v>557</v>
      </c>
      <c r="D1774" s="452">
        <v>45992</v>
      </c>
      <c r="E1774">
        <v>24256</v>
      </c>
      <c r="F1774" t="s">
        <v>4773</v>
      </c>
      <c r="G1774">
        <v>3003</v>
      </c>
      <c r="H1774">
        <v>17.61</v>
      </c>
      <c r="I1774" t="s">
        <v>4744</v>
      </c>
      <c r="J1774" t="s">
        <v>5191</v>
      </c>
      <c r="K1774" t="s">
        <v>753</v>
      </c>
      <c r="L1774">
        <v>37.270000000000003</v>
      </c>
      <c r="M1774" s="452">
        <v>45986</v>
      </c>
      <c r="N1774">
        <v>36.9</v>
      </c>
      <c r="O1774">
        <v>37.9</v>
      </c>
      <c r="P1774">
        <v>656.32</v>
      </c>
    </row>
    <row r="1775" spans="1:16" x14ac:dyDescent="0.3">
      <c r="A1775">
        <v>62804</v>
      </c>
      <c r="B1775">
        <v>105</v>
      </c>
      <c r="C1775" t="s">
        <v>557</v>
      </c>
      <c r="D1775" s="452">
        <v>45992</v>
      </c>
      <c r="E1775">
        <v>18832</v>
      </c>
      <c r="F1775" t="s">
        <v>4785</v>
      </c>
      <c r="G1775">
        <v>2950</v>
      </c>
      <c r="H1775">
        <v>14.15</v>
      </c>
      <c r="I1775" t="s">
        <v>4744</v>
      </c>
      <c r="J1775" t="s">
        <v>5191</v>
      </c>
      <c r="K1775" t="s">
        <v>753</v>
      </c>
      <c r="L1775">
        <v>0</v>
      </c>
      <c r="M1775" s="452">
        <v>45927</v>
      </c>
      <c r="N1775">
        <v>45</v>
      </c>
      <c r="O1775">
        <v>41.9</v>
      </c>
      <c r="P1775">
        <v>636.75</v>
      </c>
    </row>
    <row r="1776" spans="1:16" x14ac:dyDescent="0.3">
      <c r="A1776">
        <v>62784</v>
      </c>
      <c r="B1776">
        <v>105</v>
      </c>
      <c r="C1776" t="s">
        <v>557</v>
      </c>
      <c r="D1776" s="452">
        <v>45992</v>
      </c>
      <c r="E1776">
        <v>22118</v>
      </c>
      <c r="F1776" t="s">
        <v>4765</v>
      </c>
      <c r="G1776">
        <v>3600</v>
      </c>
      <c r="H1776">
        <v>21</v>
      </c>
      <c r="I1776" t="s">
        <v>4749</v>
      </c>
      <c r="J1776" t="s">
        <v>5222</v>
      </c>
      <c r="K1776" t="s">
        <v>753</v>
      </c>
      <c r="L1776">
        <v>0</v>
      </c>
      <c r="M1776" s="452">
        <v>45887</v>
      </c>
      <c r="N1776">
        <v>29.64</v>
      </c>
      <c r="O1776">
        <v>29.64</v>
      </c>
      <c r="P1776">
        <v>622.44000000000005</v>
      </c>
    </row>
    <row r="1777" spans="1:16" x14ac:dyDescent="0.3">
      <c r="A1777">
        <v>62860</v>
      </c>
      <c r="B1777">
        <v>105</v>
      </c>
      <c r="C1777" t="s">
        <v>557</v>
      </c>
      <c r="D1777" s="452">
        <v>45992</v>
      </c>
      <c r="E1777">
        <v>17578</v>
      </c>
      <c r="F1777" t="s">
        <v>4842</v>
      </c>
      <c r="G1777">
        <v>3948</v>
      </c>
      <c r="H1777">
        <v>6</v>
      </c>
      <c r="I1777" t="s">
        <v>4805</v>
      </c>
      <c r="J1777" t="s">
        <v>5222</v>
      </c>
      <c r="K1777" t="s">
        <v>753</v>
      </c>
      <c r="L1777">
        <v>0</v>
      </c>
      <c r="M1777" s="452">
        <v>45947</v>
      </c>
      <c r="N1777">
        <v>101.4</v>
      </c>
      <c r="O1777">
        <v>101.4</v>
      </c>
      <c r="P1777">
        <v>608.4</v>
      </c>
    </row>
    <row r="1778" spans="1:16" x14ac:dyDescent="0.3">
      <c r="A1778">
        <v>62818</v>
      </c>
      <c r="B1778">
        <v>105</v>
      </c>
      <c r="C1778" t="s">
        <v>557</v>
      </c>
      <c r="D1778" s="452">
        <v>45992</v>
      </c>
      <c r="E1778">
        <v>19356</v>
      </c>
      <c r="F1778" t="s">
        <v>4799</v>
      </c>
      <c r="G1778">
        <v>2768</v>
      </c>
      <c r="H1778">
        <v>10.9</v>
      </c>
      <c r="I1778" t="s">
        <v>4744</v>
      </c>
      <c r="J1778" t="s">
        <v>5191</v>
      </c>
      <c r="K1778" t="s">
        <v>753</v>
      </c>
      <c r="L1778">
        <v>55.8</v>
      </c>
      <c r="M1778" s="452">
        <v>45982</v>
      </c>
      <c r="N1778">
        <v>55.5</v>
      </c>
      <c r="O1778">
        <v>55.5</v>
      </c>
      <c r="P1778">
        <v>608.22</v>
      </c>
    </row>
    <row r="1779" spans="1:16" x14ac:dyDescent="0.3">
      <c r="A1779">
        <v>62779</v>
      </c>
      <c r="B1779">
        <v>105</v>
      </c>
      <c r="C1779" t="s">
        <v>557</v>
      </c>
      <c r="D1779" s="452">
        <v>45992</v>
      </c>
      <c r="E1779">
        <v>20501</v>
      </c>
      <c r="F1779" t="s">
        <v>4760</v>
      </c>
      <c r="G1779">
        <v>2154</v>
      </c>
      <c r="H1779">
        <v>28</v>
      </c>
      <c r="I1779" t="s">
        <v>4744</v>
      </c>
      <c r="J1779" t="s">
        <v>5191</v>
      </c>
      <c r="K1779" t="s">
        <v>753</v>
      </c>
      <c r="L1779">
        <v>21.58</v>
      </c>
      <c r="M1779" s="452">
        <v>45985</v>
      </c>
      <c r="N1779">
        <v>21.99</v>
      </c>
      <c r="O1779">
        <v>25.9</v>
      </c>
      <c r="P1779">
        <v>604.24</v>
      </c>
    </row>
    <row r="1780" spans="1:16" x14ac:dyDescent="0.3">
      <c r="A1780">
        <v>62769</v>
      </c>
      <c r="B1780">
        <v>105</v>
      </c>
      <c r="C1780" t="s">
        <v>557</v>
      </c>
      <c r="D1780" s="452">
        <v>45992</v>
      </c>
      <c r="E1780">
        <v>26505</v>
      </c>
      <c r="F1780" t="s">
        <v>4750</v>
      </c>
      <c r="G1780">
        <v>6762</v>
      </c>
      <c r="H1780">
        <v>2.58</v>
      </c>
      <c r="I1780" t="s">
        <v>4738</v>
      </c>
      <c r="J1780" t="s">
        <v>5222</v>
      </c>
      <c r="K1780" t="s">
        <v>753</v>
      </c>
      <c r="L1780">
        <v>216</v>
      </c>
      <c r="M1780" s="452">
        <v>45978</v>
      </c>
      <c r="N1780">
        <v>216</v>
      </c>
      <c r="O1780">
        <v>216</v>
      </c>
      <c r="P1780">
        <v>557.28</v>
      </c>
    </row>
    <row r="1781" spans="1:16" x14ac:dyDescent="0.3">
      <c r="A1781">
        <v>62895</v>
      </c>
      <c r="B1781">
        <v>105</v>
      </c>
      <c r="C1781" t="s">
        <v>557</v>
      </c>
      <c r="D1781" s="452">
        <v>45992</v>
      </c>
      <c r="E1781">
        <v>21150</v>
      </c>
      <c r="F1781" t="s">
        <v>4878</v>
      </c>
      <c r="G1781">
        <v>1951</v>
      </c>
      <c r="H1781">
        <v>4</v>
      </c>
      <c r="I1781" t="s">
        <v>4879</v>
      </c>
      <c r="J1781" t="s">
        <v>5191</v>
      </c>
      <c r="K1781" t="s">
        <v>753</v>
      </c>
      <c r="L1781">
        <v>132.55000000000001</v>
      </c>
      <c r="M1781" s="452">
        <v>45988</v>
      </c>
      <c r="N1781">
        <v>113.31</v>
      </c>
      <c r="O1781">
        <v>113.31</v>
      </c>
      <c r="P1781">
        <v>530.20000000000005</v>
      </c>
    </row>
    <row r="1782" spans="1:16" x14ac:dyDescent="0.3">
      <c r="A1782">
        <v>62797</v>
      </c>
      <c r="B1782">
        <v>105</v>
      </c>
      <c r="C1782" t="s">
        <v>557</v>
      </c>
      <c r="D1782" s="452">
        <v>45992</v>
      </c>
      <c r="E1782">
        <v>24217</v>
      </c>
      <c r="F1782" t="s">
        <v>4778</v>
      </c>
      <c r="G1782">
        <v>2937</v>
      </c>
      <c r="H1782">
        <v>16.45</v>
      </c>
      <c r="I1782" t="s">
        <v>4744</v>
      </c>
      <c r="J1782" t="s">
        <v>5191</v>
      </c>
      <c r="K1782" t="s">
        <v>753</v>
      </c>
      <c r="L1782">
        <v>31.42</v>
      </c>
      <c r="M1782" s="452">
        <v>45986</v>
      </c>
      <c r="N1782">
        <v>31.9</v>
      </c>
      <c r="O1782">
        <v>31.9</v>
      </c>
      <c r="P1782">
        <v>516.86</v>
      </c>
    </row>
    <row r="1783" spans="1:16" x14ac:dyDescent="0.3">
      <c r="A1783">
        <v>62850</v>
      </c>
      <c r="B1783">
        <v>105</v>
      </c>
      <c r="C1783" t="s">
        <v>557</v>
      </c>
      <c r="D1783" s="452">
        <v>45992</v>
      </c>
      <c r="E1783">
        <v>18731</v>
      </c>
      <c r="F1783" t="s">
        <v>4832</v>
      </c>
      <c r="G1783">
        <v>3020</v>
      </c>
      <c r="H1783">
        <v>6.6</v>
      </c>
      <c r="I1783" t="s">
        <v>4744</v>
      </c>
      <c r="J1783" t="s">
        <v>5191</v>
      </c>
      <c r="K1783" t="s">
        <v>753</v>
      </c>
      <c r="L1783">
        <v>0</v>
      </c>
      <c r="M1783" s="452">
        <v>45947</v>
      </c>
      <c r="N1783">
        <v>72</v>
      </c>
      <c r="O1783">
        <v>72</v>
      </c>
      <c r="P1783">
        <v>475.2</v>
      </c>
    </row>
    <row r="1784" spans="1:16" x14ac:dyDescent="0.3">
      <c r="A1784">
        <v>62827</v>
      </c>
      <c r="B1784">
        <v>105</v>
      </c>
      <c r="C1784" t="s">
        <v>557</v>
      </c>
      <c r="D1784" s="452">
        <v>45992</v>
      </c>
      <c r="E1784">
        <v>19401</v>
      </c>
      <c r="F1784" t="s">
        <v>4809</v>
      </c>
      <c r="G1784">
        <v>2761</v>
      </c>
      <c r="H1784">
        <v>8.93</v>
      </c>
      <c r="I1784" t="s">
        <v>4744</v>
      </c>
      <c r="J1784" t="s">
        <v>5191</v>
      </c>
      <c r="K1784" t="s">
        <v>753</v>
      </c>
      <c r="L1784">
        <v>0</v>
      </c>
      <c r="M1784" s="452">
        <v>45831</v>
      </c>
      <c r="N1784">
        <v>47.9</v>
      </c>
      <c r="O1784">
        <v>49.58</v>
      </c>
      <c r="P1784">
        <v>427.75</v>
      </c>
    </row>
    <row r="1785" spans="1:16" x14ac:dyDescent="0.3">
      <c r="A1785">
        <v>62764</v>
      </c>
      <c r="B1785">
        <v>105</v>
      </c>
      <c r="C1785" t="s">
        <v>557</v>
      </c>
      <c r="D1785" s="452">
        <v>45992</v>
      </c>
      <c r="E1785">
        <v>23268</v>
      </c>
      <c r="F1785" t="s">
        <v>4743</v>
      </c>
      <c r="G1785">
        <v>2592</v>
      </c>
      <c r="H1785">
        <v>92.3</v>
      </c>
      <c r="I1785" t="s">
        <v>4744</v>
      </c>
      <c r="J1785" t="s">
        <v>5191</v>
      </c>
      <c r="K1785" t="s">
        <v>753</v>
      </c>
      <c r="L1785">
        <v>0</v>
      </c>
      <c r="M1785" s="452">
        <v>45681</v>
      </c>
      <c r="N1785">
        <v>4.42</v>
      </c>
      <c r="O1785">
        <v>5.0999999999999996</v>
      </c>
      <c r="P1785">
        <v>407.97</v>
      </c>
    </row>
    <row r="1786" spans="1:16" x14ac:dyDescent="0.3">
      <c r="A1786">
        <v>62965</v>
      </c>
      <c r="B1786">
        <v>105</v>
      </c>
      <c r="C1786" t="s">
        <v>557</v>
      </c>
      <c r="D1786" s="452">
        <v>45992</v>
      </c>
      <c r="E1786">
        <v>20928</v>
      </c>
      <c r="F1786" t="s">
        <v>4950</v>
      </c>
      <c r="G1786">
        <v>2033</v>
      </c>
      <c r="H1786">
        <v>2</v>
      </c>
      <c r="I1786" t="s">
        <v>4736</v>
      </c>
      <c r="J1786" t="s">
        <v>5191</v>
      </c>
      <c r="K1786" t="s">
        <v>753</v>
      </c>
      <c r="L1786">
        <v>203.4</v>
      </c>
      <c r="M1786" s="452">
        <v>45990</v>
      </c>
      <c r="N1786">
        <v>203.4</v>
      </c>
      <c r="O1786">
        <v>203.4</v>
      </c>
      <c r="P1786">
        <v>406.8</v>
      </c>
    </row>
    <row r="1787" spans="1:16" x14ac:dyDescent="0.3">
      <c r="A1787">
        <v>62781</v>
      </c>
      <c r="B1787">
        <v>105</v>
      </c>
      <c r="C1787" t="s">
        <v>557</v>
      </c>
      <c r="D1787" s="452">
        <v>45992</v>
      </c>
      <c r="E1787">
        <v>19041</v>
      </c>
      <c r="F1787" t="s">
        <v>4762</v>
      </c>
      <c r="G1787">
        <v>2890</v>
      </c>
      <c r="H1787">
        <v>25.3</v>
      </c>
      <c r="I1787" t="s">
        <v>4744</v>
      </c>
      <c r="J1787" t="s">
        <v>5191</v>
      </c>
      <c r="K1787" t="s">
        <v>753</v>
      </c>
      <c r="L1787">
        <v>15.93</v>
      </c>
      <c r="M1787" s="452">
        <v>45985</v>
      </c>
      <c r="N1787">
        <v>15.89</v>
      </c>
      <c r="O1787">
        <v>15.4</v>
      </c>
      <c r="P1787">
        <v>403.03</v>
      </c>
    </row>
    <row r="1788" spans="1:16" x14ac:dyDescent="0.3">
      <c r="A1788">
        <v>62883</v>
      </c>
      <c r="B1788">
        <v>105</v>
      </c>
      <c r="C1788" t="s">
        <v>557</v>
      </c>
      <c r="D1788" s="452">
        <v>45992</v>
      </c>
      <c r="E1788">
        <v>25676</v>
      </c>
      <c r="F1788" t="s">
        <v>4866</v>
      </c>
      <c r="G1788">
        <v>6237</v>
      </c>
      <c r="H1788">
        <v>5</v>
      </c>
      <c r="I1788" t="s">
        <v>4805</v>
      </c>
      <c r="J1788" t="s">
        <v>5222</v>
      </c>
      <c r="K1788" t="s">
        <v>753</v>
      </c>
      <c r="L1788">
        <v>80.55</v>
      </c>
      <c r="M1788" s="452">
        <v>45979</v>
      </c>
      <c r="N1788">
        <v>80.55</v>
      </c>
      <c r="O1788">
        <v>80.55</v>
      </c>
      <c r="P1788">
        <v>402.75</v>
      </c>
    </row>
    <row r="1789" spans="1:16" x14ac:dyDescent="0.3">
      <c r="A1789">
        <v>62966</v>
      </c>
      <c r="B1789">
        <v>105</v>
      </c>
      <c r="C1789" t="s">
        <v>557</v>
      </c>
      <c r="D1789" s="452">
        <v>45992</v>
      </c>
      <c r="E1789">
        <v>25807</v>
      </c>
      <c r="F1789" t="s">
        <v>4951</v>
      </c>
      <c r="G1789">
        <v>6344</v>
      </c>
      <c r="H1789">
        <v>2</v>
      </c>
      <c r="I1789" t="s">
        <v>4736</v>
      </c>
      <c r="J1789" t="s">
        <v>5191</v>
      </c>
      <c r="K1789" t="s">
        <v>753</v>
      </c>
      <c r="L1789">
        <v>0</v>
      </c>
      <c r="M1789" s="452">
        <v>45950</v>
      </c>
      <c r="N1789">
        <v>199.9</v>
      </c>
      <c r="O1789">
        <v>201</v>
      </c>
      <c r="P1789">
        <v>399.8</v>
      </c>
    </row>
    <row r="1790" spans="1:16" x14ac:dyDescent="0.3">
      <c r="A1790">
        <v>62830</v>
      </c>
      <c r="B1790">
        <v>105</v>
      </c>
      <c r="C1790" t="s">
        <v>557</v>
      </c>
      <c r="D1790" s="452">
        <v>45992</v>
      </c>
      <c r="E1790">
        <v>26040</v>
      </c>
      <c r="F1790" t="s">
        <v>4812</v>
      </c>
      <c r="G1790">
        <v>6507</v>
      </c>
      <c r="H1790">
        <v>8.32</v>
      </c>
      <c r="I1790" t="s">
        <v>4805</v>
      </c>
      <c r="J1790" t="s">
        <v>5222</v>
      </c>
      <c r="K1790" t="s">
        <v>753</v>
      </c>
      <c r="L1790">
        <v>47.06</v>
      </c>
      <c r="M1790" s="452">
        <v>45987</v>
      </c>
      <c r="N1790">
        <v>45.5</v>
      </c>
      <c r="O1790">
        <v>48.03</v>
      </c>
      <c r="P1790">
        <v>391.54</v>
      </c>
    </row>
    <row r="1791" spans="1:16" x14ac:dyDescent="0.3">
      <c r="A1791">
        <v>62859</v>
      </c>
      <c r="B1791">
        <v>105</v>
      </c>
      <c r="C1791" t="s">
        <v>557</v>
      </c>
      <c r="D1791" s="452">
        <v>45992</v>
      </c>
      <c r="E1791">
        <v>26036</v>
      </c>
      <c r="F1791" t="s">
        <v>4841</v>
      </c>
      <c r="G1791">
        <v>6505</v>
      </c>
      <c r="H1791">
        <v>6</v>
      </c>
      <c r="I1791" t="s">
        <v>4805</v>
      </c>
      <c r="J1791" t="s">
        <v>5222</v>
      </c>
      <c r="K1791" t="s">
        <v>753</v>
      </c>
      <c r="L1791">
        <v>65</v>
      </c>
      <c r="M1791" s="452">
        <v>45987</v>
      </c>
      <c r="N1791">
        <v>65</v>
      </c>
      <c r="O1791">
        <v>65</v>
      </c>
      <c r="P1791">
        <v>390</v>
      </c>
    </row>
    <row r="1792" spans="1:16" x14ac:dyDescent="0.3">
      <c r="A1792">
        <v>62861</v>
      </c>
      <c r="B1792">
        <v>105</v>
      </c>
      <c r="C1792" t="s">
        <v>557</v>
      </c>
      <c r="D1792" s="452">
        <v>45992</v>
      </c>
      <c r="E1792">
        <v>26044</v>
      </c>
      <c r="F1792" t="s">
        <v>4843</v>
      </c>
      <c r="G1792">
        <v>6509</v>
      </c>
      <c r="H1792">
        <v>6</v>
      </c>
      <c r="I1792" t="s">
        <v>4805</v>
      </c>
      <c r="J1792" t="s">
        <v>5222</v>
      </c>
      <c r="K1792" t="s">
        <v>753</v>
      </c>
      <c r="L1792">
        <v>65</v>
      </c>
      <c r="M1792" s="452">
        <v>45987</v>
      </c>
      <c r="N1792">
        <v>65</v>
      </c>
      <c r="O1792">
        <v>65</v>
      </c>
      <c r="P1792">
        <v>390</v>
      </c>
    </row>
    <row r="1793" spans="1:16" x14ac:dyDescent="0.3">
      <c r="A1793">
        <v>62882</v>
      </c>
      <c r="B1793">
        <v>105</v>
      </c>
      <c r="C1793" t="s">
        <v>557</v>
      </c>
      <c r="D1793" s="452">
        <v>45992</v>
      </c>
      <c r="E1793">
        <v>18008</v>
      </c>
      <c r="F1793" t="s">
        <v>4865</v>
      </c>
      <c r="G1793">
        <v>3589</v>
      </c>
      <c r="H1793">
        <v>5</v>
      </c>
      <c r="I1793" t="s">
        <v>4805</v>
      </c>
      <c r="J1793" t="s">
        <v>5222</v>
      </c>
      <c r="K1793" t="s">
        <v>753</v>
      </c>
      <c r="L1793">
        <v>0</v>
      </c>
      <c r="M1793" s="452">
        <v>45716</v>
      </c>
      <c r="N1793">
        <v>76.83</v>
      </c>
      <c r="O1793">
        <v>0</v>
      </c>
      <c r="P1793">
        <v>384.15</v>
      </c>
    </row>
    <row r="1794" spans="1:16" x14ac:dyDescent="0.3">
      <c r="A1794">
        <v>62942</v>
      </c>
      <c r="B1794">
        <v>105</v>
      </c>
      <c r="C1794" t="s">
        <v>557</v>
      </c>
      <c r="D1794" s="452">
        <v>45992</v>
      </c>
      <c r="E1794">
        <v>25714</v>
      </c>
      <c r="F1794" t="s">
        <v>4927</v>
      </c>
      <c r="G1794">
        <v>6275</v>
      </c>
      <c r="H1794">
        <v>3</v>
      </c>
      <c r="I1794" t="s">
        <v>4805</v>
      </c>
      <c r="J1794" t="s">
        <v>5222</v>
      </c>
      <c r="K1794" t="s">
        <v>753</v>
      </c>
      <c r="L1794">
        <v>0</v>
      </c>
      <c r="M1794" s="452">
        <v>45861</v>
      </c>
      <c r="N1794">
        <v>128.05000000000001</v>
      </c>
      <c r="O1794">
        <v>142.38999999999999</v>
      </c>
      <c r="P1794">
        <v>384.15</v>
      </c>
    </row>
    <row r="1795" spans="1:16" x14ac:dyDescent="0.3">
      <c r="A1795">
        <v>62937</v>
      </c>
      <c r="B1795">
        <v>105</v>
      </c>
      <c r="C1795" t="s">
        <v>557</v>
      </c>
      <c r="D1795" s="452">
        <v>45992</v>
      </c>
      <c r="E1795">
        <v>18315</v>
      </c>
      <c r="F1795" t="s">
        <v>4922</v>
      </c>
      <c r="G1795">
        <v>3318</v>
      </c>
      <c r="H1795">
        <v>3</v>
      </c>
      <c r="I1795" t="s">
        <v>4805</v>
      </c>
      <c r="J1795" t="s">
        <v>5222</v>
      </c>
      <c r="K1795" t="s">
        <v>753</v>
      </c>
      <c r="L1795">
        <v>123.99</v>
      </c>
      <c r="M1795" s="452">
        <v>45986</v>
      </c>
      <c r="N1795">
        <v>123.99</v>
      </c>
      <c r="O1795">
        <v>121</v>
      </c>
      <c r="P1795">
        <v>371.97</v>
      </c>
    </row>
    <row r="1796" spans="1:16" x14ac:dyDescent="0.3">
      <c r="A1796">
        <v>62770</v>
      </c>
      <c r="B1796">
        <v>105</v>
      </c>
      <c r="C1796" t="s">
        <v>557</v>
      </c>
      <c r="D1796" s="452">
        <v>45992</v>
      </c>
      <c r="E1796">
        <v>22623</v>
      </c>
      <c r="F1796" t="s">
        <v>4751</v>
      </c>
      <c r="G1796">
        <v>3106</v>
      </c>
      <c r="H1796">
        <v>54</v>
      </c>
      <c r="I1796" t="s">
        <v>4736</v>
      </c>
      <c r="J1796" t="s">
        <v>5222</v>
      </c>
      <c r="K1796" t="s">
        <v>753</v>
      </c>
      <c r="L1796">
        <v>0</v>
      </c>
      <c r="M1796" s="452">
        <v>45679</v>
      </c>
      <c r="N1796">
        <v>6.83</v>
      </c>
      <c r="O1796">
        <v>6.83</v>
      </c>
      <c r="P1796">
        <v>368.82</v>
      </c>
    </row>
    <row r="1797" spans="1:16" x14ac:dyDescent="0.3">
      <c r="A1797">
        <v>62810</v>
      </c>
      <c r="B1797">
        <v>105</v>
      </c>
      <c r="C1797" t="s">
        <v>557</v>
      </c>
      <c r="D1797" s="452">
        <v>45992</v>
      </c>
      <c r="E1797">
        <v>26679</v>
      </c>
      <c r="F1797" t="s">
        <v>4791</v>
      </c>
      <c r="G1797">
        <v>6847</v>
      </c>
      <c r="H1797">
        <v>13</v>
      </c>
      <c r="I1797" t="s">
        <v>4744</v>
      </c>
      <c r="J1797" t="s">
        <v>5191</v>
      </c>
      <c r="K1797" t="s">
        <v>753</v>
      </c>
      <c r="L1797">
        <v>27.9</v>
      </c>
      <c r="M1797" s="452">
        <v>45986</v>
      </c>
      <c r="N1797">
        <v>27.9</v>
      </c>
      <c r="O1797">
        <v>27.9</v>
      </c>
      <c r="P1797">
        <v>362.7</v>
      </c>
    </row>
    <row r="1798" spans="1:16" x14ac:dyDescent="0.3">
      <c r="A1798">
        <v>62826</v>
      </c>
      <c r="B1798">
        <v>105</v>
      </c>
      <c r="C1798" t="s">
        <v>557</v>
      </c>
      <c r="D1798" s="452">
        <v>45992</v>
      </c>
      <c r="E1798">
        <v>20544</v>
      </c>
      <c r="F1798" t="s">
        <v>4808</v>
      </c>
      <c r="G1798">
        <v>2144</v>
      </c>
      <c r="H1798">
        <v>9.1</v>
      </c>
      <c r="I1798" t="s">
        <v>4744</v>
      </c>
      <c r="J1798" t="s">
        <v>5191</v>
      </c>
      <c r="K1798" t="s">
        <v>753</v>
      </c>
      <c r="L1798">
        <v>209.79</v>
      </c>
      <c r="M1798" s="452">
        <v>45985</v>
      </c>
      <c r="N1798">
        <v>214.58</v>
      </c>
      <c r="O1798">
        <v>214.58</v>
      </c>
      <c r="P1798">
        <v>348.71</v>
      </c>
    </row>
    <row r="1799" spans="1:16" x14ac:dyDescent="0.3">
      <c r="A1799">
        <v>62939</v>
      </c>
      <c r="B1799">
        <v>105</v>
      </c>
      <c r="C1799" t="s">
        <v>557</v>
      </c>
      <c r="D1799" s="452">
        <v>45992</v>
      </c>
      <c r="E1799">
        <v>18179</v>
      </c>
      <c r="F1799" t="s">
        <v>4924</v>
      </c>
      <c r="G1799">
        <v>3443</v>
      </c>
      <c r="H1799">
        <v>3</v>
      </c>
      <c r="I1799" t="s">
        <v>4805</v>
      </c>
      <c r="J1799" t="s">
        <v>5222</v>
      </c>
      <c r="K1799" t="s">
        <v>753</v>
      </c>
      <c r="L1799">
        <v>115.86</v>
      </c>
      <c r="M1799" s="452">
        <v>45979</v>
      </c>
      <c r="N1799">
        <v>115.86</v>
      </c>
      <c r="O1799">
        <v>108.49</v>
      </c>
      <c r="P1799">
        <v>347.58</v>
      </c>
    </row>
    <row r="1800" spans="1:16" x14ac:dyDescent="0.3">
      <c r="A1800">
        <v>62833</v>
      </c>
      <c r="B1800">
        <v>105</v>
      </c>
      <c r="C1800" t="s">
        <v>557</v>
      </c>
      <c r="D1800" s="452">
        <v>45992</v>
      </c>
      <c r="E1800">
        <v>18991</v>
      </c>
      <c r="F1800" t="s">
        <v>4815</v>
      </c>
      <c r="G1800">
        <v>2900</v>
      </c>
      <c r="H1800">
        <v>8.1</v>
      </c>
      <c r="I1800" t="s">
        <v>4744</v>
      </c>
      <c r="J1800" t="s">
        <v>5191</v>
      </c>
      <c r="K1800" t="s">
        <v>753</v>
      </c>
      <c r="L1800">
        <v>42.42</v>
      </c>
      <c r="M1800" s="452">
        <v>45987</v>
      </c>
      <c r="N1800">
        <v>42.42</v>
      </c>
      <c r="O1800">
        <v>42.42</v>
      </c>
      <c r="P1800">
        <v>343.6</v>
      </c>
    </row>
    <row r="1801" spans="1:16" x14ac:dyDescent="0.3">
      <c r="A1801">
        <v>62980</v>
      </c>
      <c r="B1801">
        <v>105</v>
      </c>
      <c r="C1801" t="s">
        <v>557</v>
      </c>
      <c r="D1801" s="452">
        <v>45992</v>
      </c>
      <c r="E1801">
        <v>18550</v>
      </c>
      <c r="F1801" t="s">
        <v>4967</v>
      </c>
      <c r="G1801">
        <v>3130</v>
      </c>
      <c r="H1801">
        <v>2</v>
      </c>
      <c r="I1801" t="s">
        <v>4805</v>
      </c>
      <c r="J1801" t="s">
        <v>5222</v>
      </c>
      <c r="K1801" t="s">
        <v>753</v>
      </c>
      <c r="L1801">
        <v>0</v>
      </c>
      <c r="M1801" s="452">
        <v>45931</v>
      </c>
      <c r="N1801">
        <v>169.9</v>
      </c>
      <c r="O1801">
        <v>162</v>
      </c>
      <c r="P1801">
        <v>339.8</v>
      </c>
    </row>
    <row r="1802" spans="1:16" x14ac:dyDescent="0.3">
      <c r="A1802">
        <v>62917</v>
      </c>
      <c r="B1802">
        <v>105</v>
      </c>
      <c r="C1802" t="s">
        <v>557</v>
      </c>
      <c r="D1802" s="452">
        <v>45992</v>
      </c>
      <c r="E1802">
        <v>25789</v>
      </c>
      <c r="F1802" t="s">
        <v>4902</v>
      </c>
      <c r="G1802">
        <v>6328</v>
      </c>
      <c r="H1802">
        <v>3.4</v>
      </c>
      <c r="I1802" t="s">
        <v>4744</v>
      </c>
      <c r="J1802" t="s">
        <v>5191</v>
      </c>
      <c r="K1802" t="s">
        <v>753</v>
      </c>
      <c r="L1802">
        <v>0</v>
      </c>
      <c r="M1802" s="452">
        <v>45671</v>
      </c>
      <c r="N1802">
        <v>99.8</v>
      </c>
      <c r="O1802">
        <v>99.8</v>
      </c>
      <c r="P1802">
        <v>339.32</v>
      </c>
    </row>
    <row r="1803" spans="1:16" x14ac:dyDescent="0.3">
      <c r="A1803">
        <v>62846</v>
      </c>
      <c r="B1803">
        <v>105</v>
      </c>
      <c r="C1803" t="s">
        <v>557</v>
      </c>
      <c r="D1803" s="452">
        <v>45992</v>
      </c>
      <c r="E1803">
        <v>26034</v>
      </c>
      <c r="F1803" t="s">
        <v>4828</v>
      </c>
      <c r="G1803">
        <v>6504</v>
      </c>
      <c r="H1803">
        <v>7</v>
      </c>
      <c r="I1803" t="s">
        <v>4805</v>
      </c>
      <c r="J1803" t="s">
        <v>5222</v>
      </c>
      <c r="K1803" t="s">
        <v>753</v>
      </c>
      <c r="L1803">
        <v>46.84</v>
      </c>
      <c r="M1803" s="452">
        <v>45987</v>
      </c>
      <c r="N1803">
        <v>45.5</v>
      </c>
      <c r="O1803">
        <v>47.98</v>
      </c>
      <c r="P1803">
        <v>327.88</v>
      </c>
    </row>
    <row r="1804" spans="1:16" x14ac:dyDescent="0.3">
      <c r="A1804">
        <v>62943</v>
      </c>
      <c r="B1804">
        <v>105</v>
      </c>
      <c r="C1804" t="s">
        <v>557</v>
      </c>
      <c r="D1804" s="452">
        <v>45992</v>
      </c>
      <c r="E1804">
        <v>25683</v>
      </c>
      <c r="F1804" t="s">
        <v>4928</v>
      </c>
      <c r="G1804">
        <v>6244</v>
      </c>
      <c r="H1804">
        <v>3</v>
      </c>
      <c r="I1804" t="s">
        <v>4805</v>
      </c>
      <c r="J1804" t="s">
        <v>5222</v>
      </c>
      <c r="K1804" t="s">
        <v>753</v>
      </c>
      <c r="L1804">
        <v>0</v>
      </c>
      <c r="M1804" s="452">
        <v>45789</v>
      </c>
      <c r="N1804">
        <v>107.99</v>
      </c>
      <c r="O1804">
        <v>113.1</v>
      </c>
      <c r="P1804">
        <v>323.97000000000003</v>
      </c>
    </row>
    <row r="1805" spans="1:16" x14ac:dyDescent="0.3">
      <c r="A1805">
        <v>62853</v>
      </c>
      <c r="B1805">
        <v>105</v>
      </c>
      <c r="C1805" t="s">
        <v>557</v>
      </c>
      <c r="D1805" s="452">
        <v>45992</v>
      </c>
      <c r="E1805">
        <v>19346</v>
      </c>
      <c r="F1805" t="s">
        <v>4835</v>
      </c>
      <c r="G1805">
        <v>2770</v>
      </c>
      <c r="H1805">
        <v>6.15</v>
      </c>
      <c r="I1805" t="s">
        <v>4744</v>
      </c>
      <c r="J1805" t="s">
        <v>5191</v>
      </c>
      <c r="K1805" t="s">
        <v>753</v>
      </c>
      <c r="L1805">
        <v>52.13</v>
      </c>
      <c r="M1805" s="452">
        <v>45982</v>
      </c>
      <c r="N1805">
        <v>49.9</v>
      </c>
      <c r="O1805">
        <v>49.9</v>
      </c>
      <c r="P1805">
        <v>320.60000000000002</v>
      </c>
    </row>
    <row r="1806" spans="1:16" x14ac:dyDescent="0.3">
      <c r="A1806">
        <v>62828</v>
      </c>
      <c r="B1806">
        <v>105</v>
      </c>
      <c r="C1806" t="s">
        <v>557</v>
      </c>
      <c r="D1806" s="452">
        <v>45992</v>
      </c>
      <c r="E1806">
        <v>19003</v>
      </c>
      <c r="F1806" t="s">
        <v>4810</v>
      </c>
      <c r="G1806">
        <v>2897</v>
      </c>
      <c r="H1806">
        <v>8.8000000000000007</v>
      </c>
      <c r="I1806" t="s">
        <v>4744</v>
      </c>
      <c r="J1806" t="s">
        <v>5191</v>
      </c>
      <c r="K1806" t="s">
        <v>753</v>
      </c>
      <c r="L1806">
        <v>35.89</v>
      </c>
      <c r="M1806" s="452">
        <v>45986</v>
      </c>
      <c r="N1806">
        <v>35.9</v>
      </c>
      <c r="O1806">
        <v>35.9</v>
      </c>
      <c r="P1806">
        <v>315.83</v>
      </c>
    </row>
    <row r="1807" spans="1:16" x14ac:dyDescent="0.3">
      <c r="A1807">
        <v>62823</v>
      </c>
      <c r="B1807">
        <v>105</v>
      </c>
      <c r="C1807" t="s">
        <v>557</v>
      </c>
      <c r="D1807" s="452">
        <v>45992</v>
      </c>
      <c r="E1807">
        <v>18172</v>
      </c>
      <c r="F1807" t="s">
        <v>4804</v>
      </c>
      <c r="G1807">
        <v>3450</v>
      </c>
      <c r="H1807">
        <v>10</v>
      </c>
      <c r="I1807" t="s">
        <v>4805</v>
      </c>
      <c r="J1807" t="s">
        <v>5222</v>
      </c>
      <c r="K1807" t="s">
        <v>753</v>
      </c>
      <c r="L1807">
        <v>31.42</v>
      </c>
      <c r="M1807" s="452">
        <v>45987</v>
      </c>
      <c r="N1807">
        <v>31.42</v>
      </c>
      <c r="O1807">
        <v>29.9</v>
      </c>
      <c r="P1807">
        <v>314.2</v>
      </c>
    </row>
    <row r="1808" spans="1:16" x14ac:dyDescent="0.3">
      <c r="A1808">
        <v>62887</v>
      </c>
      <c r="B1808">
        <v>105</v>
      </c>
      <c r="C1808" t="s">
        <v>557</v>
      </c>
      <c r="D1808" s="452">
        <v>45992</v>
      </c>
      <c r="E1808">
        <v>19291</v>
      </c>
      <c r="F1808" t="s">
        <v>4870</v>
      </c>
      <c r="G1808">
        <v>2775</v>
      </c>
      <c r="H1808">
        <v>4.4000000000000004</v>
      </c>
      <c r="I1808" t="s">
        <v>4744</v>
      </c>
      <c r="J1808" t="s">
        <v>5191</v>
      </c>
      <c r="K1808" t="s">
        <v>753</v>
      </c>
      <c r="L1808">
        <v>70.48</v>
      </c>
      <c r="M1808" s="452">
        <v>45990</v>
      </c>
      <c r="N1808">
        <v>72.5</v>
      </c>
      <c r="O1808">
        <v>72.5</v>
      </c>
      <c r="P1808">
        <v>310.11</v>
      </c>
    </row>
    <row r="1809" spans="1:16" x14ac:dyDescent="0.3">
      <c r="A1809">
        <v>62936</v>
      </c>
      <c r="B1809">
        <v>105</v>
      </c>
      <c r="C1809" t="s">
        <v>557</v>
      </c>
      <c r="D1809" s="452">
        <v>45992</v>
      </c>
      <c r="E1809">
        <v>18359</v>
      </c>
      <c r="F1809" t="s">
        <v>4921</v>
      </c>
      <c r="G1809">
        <v>3278</v>
      </c>
      <c r="H1809">
        <v>3</v>
      </c>
      <c r="I1809" t="s">
        <v>4805</v>
      </c>
      <c r="J1809" t="s">
        <v>5222</v>
      </c>
      <c r="K1809" t="s">
        <v>753</v>
      </c>
      <c r="L1809">
        <v>99.9</v>
      </c>
      <c r="M1809" s="452">
        <v>45975</v>
      </c>
      <c r="N1809">
        <v>99.9</v>
      </c>
      <c r="O1809">
        <v>97</v>
      </c>
      <c r="P1809">
        <v>299.7</v>
      </c>
    </row>
    <row r="1810" spans="1:16" x14ac:dyDescent="0.3">
      <c r="A1810">
        <v>62767</v>
      </c>
      <c r="B1810">
        <v>105</v>
      </c>
      <c r="C1810" t="s">
        <v>557</v>
      </c>
      <c r="D1810" s="452">
        <v>45992</v>
      </c>
      <c r="E1810">
        <v>18581</v>
      </c>
      <c r="F1810" t="s">
        <v>4747</v>
      </c>
      <c r="G1810">
        <v>3106</v>
      </c>
      <c r="H1810">
        <v>3.12</v>
      </c>
      <c r="I1810" t="s">
        <v>4738</v>
      </c>
      <c r="J1810" t="s">
        <v>5222</v>
      </c>
      <c r="K1810" t="s">
        <v>753</v>
      </c>
      <c r="L1810">
        <v>0</v>
      </c>
      <c r="N1810">
        <v>0</v>
      </c>
      <c r="O1810">
        <v>0</v>
      </c>
      <c r="P1810">
        <v>294.12</v>
      </c>
    </row>
    <row r="1811" spans="1:16" x14ac:dyDescent="0.3">
      <c r="A1811">
        <v>62802</v>
      </c>
      <c r="B1811">
        <v>105</v>
      </c>
      <c r="C1811" t="s">
        <v>557</v>
      </c>
      <c r="D1811" s="452">
        <v>45992</v>
      </c>
      <c r="E1811">
        <v>24199</v>
      </c>
      <c r="F1811" t="s">
        <v>4783</v>
      </c>
      <c r="G1811">
        <v>5084</v>
      </c>
      <c r="H1811">
        <v>14.6</v>
      </c>
      <c r="I1811" t="s">
        <v>4744</v>
      </c>
      <c r="J1811" t="s">
        <v>5191</v>
      </c>
      <c r="K1811" t="s">
        <v>753</v>
      </c>
      <c r="L1811">
        <v>19.989999999999998</v>
      </c>
      <c r="M1811" s="452">
        <v>45979</v>
      </c>
      <c r="N1811">
        <v>19.989999999999998</v>
      </c>
      <c r="O1811">
        <v>22.9</v>
      </c>
      <c r="P1811">
        <v>291.85000000000002</v>
      </c>
    </row>
    <row r="1812" spans="1:16" x14ac:dyDescent="0.3">
      <c r="A1812">
        <v>62824</v>
      </c>
      <c r="B1812">
        <v>105</v>
      </c>
      <c r="C1812" t="s">
        <v>557</v>
      </c>
      <c r="D1812" s="452">
        <v>45992</v>
      </c>
      <c r="E1812">
        <v>24227</v>
      </c>
      <c r="F1812" t="s">
        <v>4806</v>
      </c>
      <c r="G1812">
        <v>3648</v>
      </c>
      <c r="H1812">
        <v>10</v>
      </c>
      <c r="I1812" t="s">
        <v>4736</v>
      </c>
      <c r="J1812" t="s">
        <v>5222</v>
      </c>
      <c r="K1812" t="s">
        <v>753</v>
      </c>
      <c r="L1812">
        <v>0</v>
      </c>
      <c r="M1812" s="452">
        <v>45950</v>
      </c>
      <c r="N1812">
        <v>28.8</v>
      </c>
      <c r="O1812">
        <v>26.18</v>
      </c>
      <c r="P1812">
        <v>288</v>
      </c>
    </row>
    <row r="1813" spans="1:16" x14ac:dyDescent="0.3">
      <c r="A1813">
        <v>62879</v>
      </c>
      <c r="B1813">
        <v>105</v>
      </c>
      <c r="C1813" t="s">
        <v>557</v>
      </c>
      <c r="D1813" s="452">
        <v>45992</v>
      </c>
      <c r="E1813">
        <v>23974</v>
      </c>
      <c r="F1813" t="s">
        <v>4862</v>
      </c>
      <c r="G1813">
        <v>4163</v>
      </c>
      <c r="H1813">
        <v>5</v>
      </c>
      <c r="I1813" t="s">
        <v>4736</v>
      </c>
      <c r="J1813" t="s">
        <v>5222</v>
      </c>
      <c r="K1813" t="s">
        <v>753</v>
      </c>
      <c r="L1813">
        <v>0</v>
      </c>
      <c r="M1813" s="452">
        <v>45931</v>
      </c>
      <c r="N1813">
        <v>56.16</v>
      </c>
      <c r="O1813">
        <v>62.52</v>
      </c>
      <c r="P1813">
        <v>280.8</v>
      </c>
    </row>
    <row r="1814" spans="1:16" x14ac:dyDescent="0.3">
      <c r="A1814">
        <v>62979</v>
      </c>
      <c r="B1814">
        <v>105</v>
      </c>
      <c r="C1814" t="s">
        <v>557</v>
      </c>
      <c r="D1814" s="452">
        <v>45992</v>
      </c>
      <c r="E1814">
        <v>18586</v>
      </c>
      <c r="F1814" t="s">
        <v>4966</v>
      </c>
      <c r="G1814">
        <v>3104</v>
      </c>
      <c r="H1814">
        <v>2</v>
      </c>
      <c r="I1814" t="s">
        <v>4738</v>
      </c>
      <c r="J1814" t="s">
        <v>5222</v>
      </c>
      <c r="K1814" t="s">
        <v>753</v>
      </c>
      <c r="L1814">
        <v>138.47999999999999</v>
      </c>
      <c r="M1814" s="452">
        <v>45964</v>
      </c>
      <c r="N1814">
        <v>138.47999999999999</v>
      </c>
      <c r="O1814">
        <v>12.59</v>
      </c>
      <c r="P1814">
        <v>276.95999999999998</v>
      </c>
    </row>
    <row r="1815" spans="1:16" x14ac:dyDescent="0.3">
      <c r="A1815">
        <v>62777</v>
      </c>
      <c r="B1815">
        <v>105</v>
      </c>
      <c r="C1815" t="s">
        <v>557</v>
      </c>
      <c r="D1815" s="452">
        <v>45992</v>
      </c>
      <c r="E1815">
        <v>25167</v>
      </c>
      <c r="F1815" t="s">
        <v>4758</v>
      </c>
      <c r="G1815">
        <v>5930</v>
      </c>
      <c r="H1815">
        <v>35</v>
      </c>
      <c r="I1815" t="s">
        <v>4744</v>
      </c>
      <c r="J1815" t="s">
        <v>5191</v>
      </c>
      <c r="K1815" t="s">
        <v>753</v>
      </c>
      <c r="L1815">
        <v>0</v>
      </c>
      <c r="M1815" s="452">
        <v>45833</v>
      </c>
      <c r="N1815">
        <v>7.9</v>
      </c>
      <c r="O1815">
        <v>7.9</v>
      </c>
      <c r="P1815">
        <v>276.5</v>
      </c>
    </row>
    <row r="1816" spans="1:16" x14ac:dyDescent="0.3">
      <c r="A1816">
        <v>62848</v>
      </c>
      <c r="B1816">
        <v>105</v>
      </c>
      <c r="C1816" t="s">
        <v>557</v>
      </c>
      <c r="D1816" s="452">
        <v>45992</v>
      </c>
      <c r="E1816">
        <v>19322</v>
      </c>
      <c r="F1816" t="s">
        <v>4830</v>
      </c>
      <c r="G1816">
        <v>2773</v>
      </c>
      <c r="H1816">
        <v>6.75</v>
      </c>
      <c r="I1816" t="s">
        <v>4744</v>
      </c>
      <c r="J1816" t="s">
        <v>5191</v>
      </c>
      <c r="K1816" t="s">
        <v>753</v>
      </c>
      <c r="L1816">
        <v>40.35</v>
      </c>
      <c r="M1816" s="452">
        <v>45989</v>
      </c>
      <c r="N1816">
        <v>41.5</v>
      </c>
      <c r="O1816">
        <v>41.5</v>
      </c>
      <c r="P1816">
        <v>272.36</v>
      </c>
    </row>
    <row r="1817" spans="1:16" x14ac:dyDescent="0.3">
      <c r="A1817">
        <v>62822</v>
      </c>
      <c r="B1817">
        <v>105</v>
      </c>
      <c r="C1817" t="s">
        <v>557</v>
      </c>
      <c r="D1817" s="452">
        <v>45992</v>
      </c>
      <c r="E1817">
        <v>22721</v>
      </c>
      <c r="F1817" t="s">
        <v>4803</v>
      </c>
      <c r="G1817">
        <v>3033</v>
      </c>
      <c r="H1817">
        <v>10</v>
      </c>
      <c r="I1817" t="s">
        <v>4744</v>
      </c>
      <c r="J1817" t="s">
        <v>5191</v>
      </c>
      <c r="K1817" t="s">
        <v>753</v>
      </c>
      <c r="L1817">
        <v>27.22</v>
      </c>
      <c r="M1817" s="452">
        <v>45989</v>
      </c>
      <c r="N1817">
        <v>27.8</v>
      </c>
      <c r="O1817">
        <v>27.8</v>
      </c>
      <c r="P1817">
        <v>272.2</v>
      </c>
    </row>
    <row r="1818" spans="1:16" x14ac:dyDescent="0.3">
      <c r="A1818">
        <v>62905</v>
      </c>
      <c r="B1818">
        <v>105</v>
      </c>
      <c r="C1818" t="s">
        <v>557</v>
      </c>
      <c r="D1818" s="452">
        <v>45992</v>
      </c>
      <c r="E1818">
        <v>18735</v>
      </c>
      <c r="F1818" t="s">
        <v>4891</v>
      </c>
      <c r="G1818">
        <v>3018</v>
      </c>
      <c r="H1818">
        <v>4</v>
      </c>
      <c r="I1818" t="s">
        <v>4744</v>
      </c>
      <c r="J1818" t="s">
        <v>5191</v>
      </c>
      <c r="K1818" t="s">
        <v>753</v>
      </c>
      <c r="L1818">
        <v>67</v>
      </c>
      <c r="M1818" s="452">
        <v>45968</v>
      </c>
      <c r="N1818">
        <v>67</v>
      </c>
      <c r="O1818">
        <v>67</v>
      </c>
      <c r="P1818">
        <v>268</v>
      </c>
    </row>
    <row r="1819" spans="1:16" x14ac:dyDescent="0.3">
      <c r="A1819">
        <v>62845</v>
      </c>
      <c r="B1819">
        <v>105</v>
      </c>
      <c r="C1819" t="s">
        <v>557</v>
      </c>
      <c r="D1819" s="452">
        <v>45992</v>
      </c>
      <c r="E1819">
        <v>16973</v>
      </c>
      <c r="F1819" t="s">
        <v>4827</v>
      </c>
      <c r="G1819">
        <v>3710</v>
      </c>
      <c r="H1819">
        <v>7</v>
      </c>
      <c r="I1819" t="s">
        <v>4749</v>
      </c>
      <c r="J1819" t="s">
        <v>5222</v>
      </c>
      <c r="K1819" t="s">
        <v>753</v>
      </c>
      <c r="L1819">
        <v>0</v>
      </c>
      <c r="M1819" s="452">
        <v>45740</v>
      </c>
      <c r="N1819">
        <v>0</v>
      </c>
      <c r="O1819">
        <v>135</v>
      </c>
      <c r="P1819">
        <v>266</v>
      </c>
    </row>
    <row r="1820" spans="1:16" x14ac:dyDescent="0.3">
      <c r="A1820">
        <v>63060</v>
      </c>
      <c r="B1820">
        <v>105</v>
      </c>
      <c r="C1820" t="s">
        <v>557</v>
      </c>
      <c r="D1820" s="452">
        <v>45992</v>
      </c>
      <c r="E1820">
        <v>18114</v>
      </c>
      <c r="F1820" t="s">
        <v>5046</v>
      </c>
      <c r="G1820">
        <v>3498</v>
      </c>
      <c r="H1820">
        <v>1</v>
      </c>
      <c r="I1820" t="s">
        <v>4805</v>
      </c>
      <c r="J1820" t="s">
        <v>5222</v>
      </c>
      <c r="K1820" t="s">
        <v>753</v>
      </c>
      <c r="L1820">
        <v>0</v>
      </c>
      <c r="N1820">
        <v>0</v>
      </c>
      <c r="O1820">
        <v>287</v>
      </c>
      <c r="P1820">
        <v>261.70999999999998</v>
      </c>
    </row>
    <row r="1821" spans="1:16" x14ac:dyDescent="0.3">
      <c r="A1821">
        <v>62838</v>
      </c>
      <c r="B1821">
        <v>105</v>
      </c>
      <c r="C1821" t="s">
        <v>557</v>
      </c>
      <c r="D1821" s="452">
        <v>45992</v>
      </c>
      <c r="E1821">
        <v>24200</v>
      </c>
      <c r="F1821" t="s">
        <v>4820</v>
      </c>
      <c r="G1821">
        <v>3039</v>
      </c>
      <c r="H1821">
        <v>7.7</v>
      </c>
      <c r="I1821" t="s">
        <v>4744</v>
      </c>
      <c r="J1821" t="s">
        <v>5191</v>
      </c>
      <c r="K1821" t="s">
        <v>753</v>
      </c>
      <c r="L1821">
        <v>32.9</v>
      </c>
      <c r="M1821" s="452">
        <v>45978</v>
      </c>
      <c r="N1821">
        <v>32.9</v>
      </c>
      <c r="O1821">
        <v>32.9</v>
      </c>
      <c r="P1821">
        <v>253.33</v>
      </c>
    </row>
    <row r="1822" spans="1:16" x14ac:dyDescent="0.3">
      <c r="A1822">
        <v>62981</v>
      </c>
      <c r="B1822">
        <v>105</v>
      </c>
      <c r="C1822" t="s">
        <v>557</v>
      </c>
      <c r="D1822" s="452">
        <v>45992</v>
      </c>
      <c r="E1822">
        <v>18295</v>
      </c>
      <c r="F1822" t="s">
        <v>4968</v>
      </c>
      <c r="G1822">
        <v>3334</v>
      </c>
      <c r="H1822">
        <v>2</v>
      </c>
      <c r="I1822" t="s">
        <v>4805</v>
      </c>
      <c r="J1822" t="s">
        <v>5222</v>
      </c>
      <c r="K1822" t="s">
        <v>753</v>
      </c>
      <c r="L1822">
        <v>124.54</v>
      </c>
      <c r="M1822" s="452">
        <v>45979</v>
      </c>
      <c r="N1822">
        <v>124.54</v>
      </c>
      <c r="O1822">
        <v>124.54</v>
      </c>
      <c r="P1822">
        <v>249.08</v>
      </c>
    </row>
    <row r="1823" spans="1:16" x14ac:dyDescent="0.3">
      <c r="A1823">
        <v>62919</v>
      </c>
      <c r="B1823">
        <v>105</v>
      </c>
      <c r="C1823" t="s">
        <v>557</v>
      </c>
      <c r="D1823" s="452">
        <v>45992</v>
      </c>
      <c r="E1823">
        <v>23082</v>
      </c>
      <c r="F1823" t="s">
        <v>4904</v>
      </c>
      <c r="G1823">
        <v>2763</v>
      </c>
      <c r="H1823">
        <v>3.12</v>
      </c>
      <c r="I1823" t="s">
        <v>4744</v>
      </c>
      <c r="J1823" t="s">
        <v>5191</v>
      </c>
      <c r="K1823" t="s">
        <v>753</v>
      </c>
      <c r="L1823">
        <v>0</v>
      </c>
      <c r="M1823" s="452">
        <v>45849</v>
      </c>
      <c r="N1823">
        <v>78.900000000000006</v>
      </c>
      <c r="O1823">
        <v>78.900000000000006</v>
      </c>
      <c r="P1823">
        <v>246.17</v>
      </c>
    </row>
    <row r="1824" spans="1:16" x14ac:dyDescent="0.3">
      <c r="A1824">
        <v>62816</v>
      </c>
      <c r="B1824">
        <v>105</v>
      </c>
      <c r="C1824" t="s">
        <v>557</v>
      </c>
      <c r="D1824" s="452">
        <v>45992</v>
      </c>
      <c r="E1824">
        <v>20521</v>
      </c>
      <c r="F1824" t="s">
        <v>4797</v>
      </c>
      <c r="G1824">
        <v>2149</v>
      </c>
      <c r="H1824">
        <v>11</v>
      </c>
      <c r="I1824" t="s">
        <v>4744</v>
      </c>
      <c r="J1824" t="s">
        <v>5191</v>
      </c>
      <c r="K1824" t="s">
        <v>753</v>
      </c>
      <c r="L1824">
        <v>0</v>
      </c>
      <c r="M1824" s="452">
        <v>45936</v>
      </c>
      <c r="N1824">
        <v>21.99</v>
      </c>
      <c r="O1824">
        <v>21.99</v>
      </c>
      <c r="P1824">
        <v>241.89</v>
      </c>
    </row>
    <row r="1825" spans="1:16" x14ac:dyDescent="0.3">
      <c r="A1825">
        <v>62840</v>
      </c>
      <c r="B1825">
        <v>105</v>
      </c>
      <c r="C1825" t="s">
        <v>557</v>
      </c>
      <c r="D1825" s="452">
        <v>45992</v>
      </c>
      <c r="E1825">
        <v>20809</v>
      </c>
      <c r="F1825" t="s">
        <v>4822</v>
      </c>
      <c r="G1825">
        <v>2074</v>
      </c>
      <c r="H1825">
        <v>7</v>
      </c>
      <c r="I1825" t="s">
        <v>4738</v>
      </c>
      <c r="J1825" t="s">
        <v>5191</v>
      </c>
      <c r="K1825" t="s">
        <v>753</v>
      </c>
      <c r="L1825">
        <v>33.81</v>
      </c>
      <c r="M1825" s="452">
        <v>45982</v>
      </c>
      <c r="N1825">
        <v>33.340000000000003</v>
      </c>
      <c r="O1825">
        <v>33.340000000000003</v>
      </c>
      <c r="P1825">
        <v>236.67</v>
      </c>
    </row>
    <row r="1826" spans="1:16" x14ac:dyDescent="0.3">
      <c r="A1826">
        <v>62800</v>
      </c>
      <c r="B1826">
        <v>105</v>
      </c>
      <c r="C1826" t="s">
        <v>557</v>
      </c>
      <c r="D1826" s="452">
        <v>45992</v>
      </c>
      <c r="E1826">
        <v>20122</v>
      </c>
      <c r="F1826" t="s">
        <v>4781</v>
      </c>
      <c r="G1826">
        <v>2290</v>
      </c>
      <c r="H1826">
        <v>16</v>
      </c>
      <c r="I1826" t="s">
        <v>4738</v>
      </c>
      <c r="J1826" t="s">
        <v>5191</v>
      </c>
      <c r="K1826" t="s">
        <v>753</v>
      </c>
      <c r="L1826">
        <v>14.6</v>
      </c>
      <c r="M1826" s="452">
        <v>45989</v>
      </c>
      <c r="N1826">
        <v>14.6</v>
      </c>
      <c r="O1826">
        <v>14.6</v>
      </c>
      <c r="P1826">
        <v>233.6</v>
      </c>
    </row>
    <row r="1827" spans="1:16" x14ac:dyDescent="0.3">
      <c r="A1827">
        <v>62772</v>
      </c>
      <c r="B1827">
        <v>105</v>
      </c>
      <c r="C1827" t="s">
        <v>557</v>
      </c>
      <c r="D1827" s="452">
        <v>45992</v>
      </c>
      <c r="E1827">
        <v>19532</v>
      </c>
      <c r="F1827" t="s">
        <v>4753</v>
      </c>
      <c r="G1827">
        <v>2683</v>
      </c>
      <c r="H1827">
        <v>46</v>
      </c>
      <c r="I1827" t="s">
        <v>4744</v>
      </c>
      <c r="J1827" t="s">
        <v>5191</v>
      </c>
      <c r="K1827" t="s">
        <v>753</v>
      </c>
      <c r="L1827">
        <v>5</v>
      </c>
      <c r="M1827" s="452">
        <v>45988</v>
      </c>
      <c r="N1827">
        <v>4.8</v>
      </c>
      <c r="O1827">
        <v>4.8</v>
      </c>
      <c r="P1827">
        <v>230</v>
      </c>
    </row>
    <row r="1828" spans="1:16" x14ac:dyDescent="0.3">
      <c r="A1828">
        <v>62907</v>
      </c>
      <c r="B1828">
        <v>105</v>
      </c>
      <c r="C1828" t="s">
        <v>557</v>
      </c>
      <c r="D1828" s="452">
        <v>45992</v>
      </c>
      <c r="E1828">
        <v>18502</v>
      </c>
      <c r="F1828" t="s">
        <v>4893</v>
      </c>
      <c r="G1828">
        <v>3155</v>
      </c>
      <c r="H1828">
        <v>4</v>
      </c>
      <c r="I1828" t="s">
        <v>4805</v>
      </c>
      <c r="J1828" t="s">
        <v>5222</v>
      </c>
      <c r="K1828" t="s">
        <v>753</v>
      </c>
      <c r="L1828">
        <v>56</v>
      </c>
      <c r="M1828" s="452">
        <v>45986</v>
      </c>
      <c r="N1828">
        <v>56</v>
      </c>
      <c r="O1828">
        <v>56</v>
      </c>
      <c r="P1828">
        <v>224</v>
      </c>
    </row>
    <row r="1829" spans="1:16" x14ac:dyDescent="0.3">
      <c r="A1829">
        <v>62881</v>
      </c>
      <c r="B1829">
        <v>105</v>
      </c>
      <c r="C1829" t="s">
        <v>557</v>
      </c>
      <c r="D1829" s="452">
        <v>45992</v>
      </c>
      <c r="E1829">
        <v>18545</v>
      </c>
      <c r="F1829" t="s">
        <v>4864</v>
      </c>
      <c r="G1829">
        <v>3134</v>
      </c>
      <c r="H1829">
        <v>5</v>
      </c>
      <c r="I1829" t="s">
        <v>4805</v>
      </c>
      <c r="J1829" t="s">
        <v>5222</v>
      </c>
      <c r="K1829" t="s">
        <v>753</v>
      </c>
      <c r="L1829">
        <v>44.5</v>
      </c>
      <c r="M1829" s="452">
        <v>45986</v>
      </c>
      <c r="N1829">
        <v>44.5</v>
      </c>
      <c r="O1829">
        <v>44.5</v>
      </c>
      <c r="P1829">
        <v>222.5</v>
      </c>
    </row>
    <row r="1830" spans="1:16" x14ac:dyDescent="0.3">
      <c r="A1830">
        <v>62892</v>
      </c>
      <c r="B1830">
        <v>105</v>
      </c>
      <c r="C1830" t="s">
        <v>557</v>
      </c>
      <c r="D1830" s="452">
        <v>45992</v>
      </c>
      <c r="E1830">
        <v>24259</v>
      </c>
      <c r="F1830" t="s">
        <v>4875</v>
      </c>
      <c r="G1830">
        <v>2938</v>
      </c>
      <c r="H1830">
        <v>4.03</v>
      </c>
      <c r="I1830" t="s">
        <v>4744</v>
      </c>
      <c r="J1830" t="s">
        <v>5191</v>
      </c>
      <c r="K1830" t="s">
        <v>753</v>
      </c>
      <c r="L1830">
        <v>54.14</v>
      </c>
      <c r="M1830" s="452">
        <v>45985</v>
      </c>
      <c r="N1830">
        <v>78</v>
      </c>
      <c r="O1830">
        <v>79.900000000000006</v>
      </c>
      <c r="P1830">
        <v>218.18</v>
      </c>
    </row>
    <row r="1831" spans="1:16" x14ac:dyDescent="0.3">
      <c r="A1831">
        <v>62938</v>
      </c>
      <c r="B1831">
        <v>105</v>
      </c>
      <c r="C1831" t="s">
        <v>557</v>
      </c>
      <c r="D1831" s="452">
        <v>45992</v>
      </c>
      <c r="E1831">
        <v>18194</v>
      </c>
      <c r="F1831" t="s">
        <v>4923</v>
      </c>
      <c r="G1831">
        <v>3430</v>
      </c>
      <c r="H1831">
        <v>3</v>
      </c>
      <c r="I1831" t="s">
        <v>4805</v>
      </c>
      <c r="J1831" t="s">
        <v>5222</v>
      </c>
      <c r="K1831" t="s">
        <v>753</v>
      </c>
      <c r="L1831">
        <v>72.23</v>
      </c>
      <c r="M1831" s="452">
        <v>45987</v>
      </c>
      <c r="N1831">
        <v>66.900000000000006</v>
      </c>
      <c r="O1831">
        <v>66.900000000000006</v>
      </c>
      <c r="P1831">
        <v>216.69</v>
      </c>
    </row>
    <row r="1832" spans="1:16" x14ac:dyDescent="0.3">
      <c r="A1832">
        <v>62857</v>
      </c>
      <c r="B1832">
        <v>105</v>
      </c>
      <c r="C1832" t="s">
        <v>557</v>
      </c>
      <c r="D1832" s="452">
        <v>45992</v>
      </c>
      <c r="E1832">
        <v>18491</v>
      </c>
      <c r="F1832" t="s">
        <v>4839</v>
      </c>
      <c r="G1832">
        <v>3166</v>
      </c>
      <c r="H1832">
        <v>6</v>
      </c>
      <c r="I1832" t="s">
        <v>4805</v>
      </c>
      <c r="J1832" t="s">
        <v>5222</v>
      </c>
      <c r="K1832" t="s">
        <v>753</v>
      </c>
      <c r="L1832">
        <v>0</v>
      </c>
      <c r="M1832" s="452">
        <v>45555</v>
      </c>
      <c r="N1832">
        <v>35.9</v>
      </c>
      <c r="O1832">
        <v>33.9</v>
      </c>
      <c r="P1832">
        <v>215.4</v>
      </c>
    </row>
    <row r="1833" spans="1:16" x14ac:dyDescent="0.3">
      <c r="A1833">
        <v>62771</v>
      </c>
      <c r="B1833">
        <v>105</v>
      </c>
      <c r="C1833" t="s">
        <v>557</v>
      </c>
      <c r="D1833" s="452">
        <v>45992</v>
      </c>
      <c r="E1833">
        <v>24470</v>
      </c>
      <c r="F1833" t="s">
        <v>4752</v>
      </c>
      <c r="G1833">
        <v>3103</v>
      </c>
      <c r="H1833">
        <v>48</v>
      </c>
      <c r="I1833" t="s">
        <v>4736</v>
      </c>
      <c r="J1833" t="s">
        <v>5222</v>
      </c>
      <c r="K1833" t="s">
        <v>753</v>
      </c>
      <c r="L1833">
        <v>0</v>
      </c>
      <c r="M1833" s="452">
        <v>45404</v>
      </c>
      <c r="N1833">
        <v>4.41</v>
      </c>
      <c r="O1833">
        <v>4.41</v>
      </c>
      <c r="P1833">
        <v>211.68</v>
      </c>
    </row>
    <row r="1834" spans="1:16" x14ac:dyDescent="0.3">
      <c r="A1834">
        <v>62933</v>
      </c>
      <c r="B1834">
        <v>105</v>
      </c>
      <c r="C1834" t="s">
        <v>557</v>
      </c>
      <c r="D1834" s="452">
        <v>45992</v>
      </c>
      <c r="E1834">
        <v>19421</v>
      </c>
      <c r="F1834" t="s">
        <v>4918</v>
      </c>
      <c r="G1834">
        <v>2758</v>
      </c>
      <c r="H1834">
        <v>3</v>
      </c>
      <c r="I1834" t="s">
        <v>4749</v>
      </c>
      <c r="J1834" t="s">
        <v>5191</v>
      </c>
      <c r="K1834" t="s">
        <v>753</v>
      </c>
      <c r="L1834">
        <v>70.11</v>
      </c>
      <c r="M1834" s="452">
        <v>45989</v>
      </c>
      <c r="N1834">
        <v>74.400000000000006</v>
      </c>
      <c r="O1834">
        <v>74.400000000000006</v>
      </c>
      <c r="P1834">
        <v>210.33</v>
      </c>
    </row>
    <row r="1835" spans="1:16" x14ac:dyDescent="0.3">
      <c r="A1835">
        <v>62864</v>
      </c>
      <c r="B1835">
        <v>105</v>
      </c>
      <c r="C1835" t="s">
        <v>557</v>
      </c>
      <c r="D1835" s="452">
        <v>45992</v>
      </c>
      <c r="E1835">
        <v>24191</v>
      </c>
      <c r="F1835" t="s">
        <v>4846</v>
      </c>
      <c r="G1835">
        <v>2889</v>
      </c>
      <c r="H1835">
        <v>5.8</v>
      </c>
      <c r="I1835" t="s">
        <v>4744</v>
      </c>
      <c r="J1835" t="s">
        <v>5191</v>
      </c>
      <c r="K1835" t="s">
        <v>753</v>
      </c>
      <c r="L1835">
        <v>0</v>
      </c>
      <c r="M1835" s="452">
        <v>45957</v>
      </c>
      <c r="N1835">
        <v>35.9</v>
      </c>
      <c r="O1835">
        <v>35.9</v>
      </c>
      <c r="P1835">
        <v>208.22</v>
      </c>
    </row>
    <row r="1836" spans="1:16" x14ac:dyDescent="0.3">
      <c r="A1836">
        <v>62763</v>
      </c>
      <c r="B1836">
        <v>105</v>
      </c>
      <c r="C1836" t="s">
        <v>557</v>
      </c>
      <c r="D1836" s="452">
        <v>45992</v>
      </c>
      <c r="E1836">
        <v>24409</v>
      </c>
      <c r="F1836" t="s">
        <v>4742</v>
      </c>
      <c r="G1836">
        <v>3665</v>
      </c>
      <c r="H1836">
        <v>94</v>
      </c>
      <c r="I1836" t="s">
        <v>4736</v>
      </c>
      <c r="J1836" t="s">
        <v>5222</v>
      </c>
      <c r="K1836" t="s">
        <v>753</v>
      </c>
      <c r="L1836">
        <v>0</v>
      </c>
      <c r="M1836" s="452">
        <v>45646</v>
      </c>
      <c r="N1836">
        <v>2.19</v>
      </c>
      <c r="O1836">
        <v>2.19</v>
      </c>
      <c r="P1836">
        <v>205.86</v>
      </c>
    </row>
    <row r="1837" spans="1:16" x14ac:dyDescent="0.3">
      <c r="A1837">
        <v>62866</v>
      </c>
      <c r="B1837">
        <v>105</v>
      </c>
      <c r="C1837" t="s">
        <v>557</v>
      </c>
      <c r="D1837" s="452">
        <v>45992</v>
      </c>
      <c r="E1837">
        <v>22843</v>
      </c>
      <c r="F1837" t="s">
        <v>4849</v>
      </c>
      <c r="G1837">
        <v>2936</v>
      </c>
      <c r="H1837">
        <v>5.51</v>
      </c>
      <c r="I1837" t="s">
        <v>4744</v>
      </c>
      <c r="J1837" t="s">
        <v>5191</v>
      </c>
      <c r="K1837" t="s">
        <v>753</v>
      </c>
      <c r="L1837">
        <v>37.200000000000003</v>
      </c>
      <c r="M1837" s="452">
        <v>45971</v>
      </c>
      <c r="N1837">
        <v>37.200000000000003</v>
      </c>
      <c r="O1837">
        <v>37.200000000000003</v>
      </c>
      <c r="P1837">
        <v>204.97</v>
      </c>
    </row>
    <row r="1838" spans="1:16" x14ac:dyDescent="0.3">
      <c r="A1838">
        <v>62984</v>
      </c>
      <c r="B1838">
        <v>105</v>
      </c>
      <c r="C1838" t="s">
        <v>557</v>
      </c>
      <c r="D1838" s="452">
        <v>45992</v>
      </c>
      <c r="E1838">
        <v>18232</v>
      </c>
      <c r="F1838" t="s">
        <v>4971</v>
      </c>
      <c r="G1838">
        <v>3396</v>
      </c>
      <c r="H1838">
        <v>2</v>
      </c>
      <c r="I1838" t="s">
        <v>4805</v>
      </c>
      <c r="J1838" t="s">
        <v>5222</v>
      </c>
      <c r="K1838" t="s">
        <v>753</v>
      </c>
      <c r="L1838">
        <v>101.7</v>
      </c>
      <c r="M1838" s="452">
        <v>45987</v>
      </c>
      <c r="N1838">
        <v>101.7</v>
      </c>
      <c r="O1838">
        <v>101.7</v>
      </c>
      <c r="P1838">
        <v>203.4</v>
      </c>
    </row>
    <row r="1839" spans="1:16" x14ac:dyDescent="0.3">
      <c r="A1839">
        <v>62782</v>
      </c>
      <c r="B1839">
        <v>105</v>
      </c>
      <c r="C1839" t="s">
        <v>557</v>
      </c>
      <c r="D1839" s="452">
        <v>45992</v>
      </c>
      <c r="E1839">
        <v>25757</v>
      </c>
      <c r="F1839" t="s">
        <v>4763</v>
      </c>
      <c r="G1839">
        <v>6308</v>
      </c>
      <c r="H1839">
        <v>25</v>
      </c>
      <c r="I1839" t="s">
        <v>4736</v>
      </c>
      <c r="J1839" t="s">
        <v>5191</v>
      </c>
      <c r="K1839" t="s">
        <v>753</v>
      </c>
      <c r="L1839">
        <v>0</v>
      </c>
      <c r="M1839" s="452">
        <v>45922</v>
      </c>
      <c r="N1839">
        <v>7.99</v>
      </c>
      <c r="O1839">
        <v>7.99</v>
      </c>
      <c r="P1839">
        <v>199.75</v>
      </c>
    </row>
    <row r="1840" spans="1:16" x14ac:dyDescent="0.3">
      <c r="A1840">
        <v>62778</v>
      </c>
      <c r="B1840">
        <v>105</v>
      </c>
      <c r="C1840" t="s">
        <v>557</v>
      </c>
      <c r="D1840" s="452">
        <v>45992</v>
      </c>
      <c r="E1840">
        <v>22652</v>
      </c>
      <c r="F1840" t="s">
        <v>4759</v>
      </c>
      <c r="G1840">
        <v>3085</v>
      </c>
      <c r="H1840">
        <v>33</v>
      </c>
      <c r="I1840" t="s">
        <v>4736</v>
      </c>
      <c r="J1840" t="s">
        <v>5222</v>
      </c>
      <c r="K1840" t="s">
        <v>753</v>
      </c>
      <c r="L1840">
        <v>0</v>
      </c>
      <c r="M1840" s="452">
        <v>45679</v>
      </c>
      <c r="N1840">
        <v>5.95</v>
      </c>
      <c r="O1840">
        <v>4.09</v>
      </c>
      <c r="P1840">
        <v>196.35</v>
      </c>
    </row>
    <row r="1841" spans="1:16" x14ac:dyDescent="0.3">
      <c r="A1841">
        <v>62766</v>
      </c>
      <c r="B1841">
        <v>105</v>
      </c>
      <c r="C1841" t="s">
        <v>557</v>
      </c>
      <c r="D1841" s="452">
        <v>45992</v>
      </c>
      <c r="E1841">
        <v>24414</v>
      </c>
      <c r="F1841" t="s">
        <v>4746</v>
      </c>
      <c r="G1841">
        <v>3670</v>
      </c>
      <c r="H1841">
        <v>88</v>
      </c>
      <c r="I1841" t="s">
        <v>4736</v>
      </c>
      <c r="J1841" t="s">
        <v>5222</v>
      </c>
      <c r="K1841" t="s">
        <v>753</v>
      </c>
      <c r="L1841">
        <v>0</v>
      </c>
      <c r="M1841" s="452">
        <v>45623</v>
      </c>
      <c r="N1841">
        <v>2.19</v>
      </c>
      <c r="O1841">
        <v>2.19</v>
      </c>
      <c r="P1841">
        <v>192.72</v>
      </c>
    </row>
    <row r="1842" spans="1:16" x14ac:dyDescent="0.3">
      <c r="A1842">
        <v>62983</v>
      </c>
      <c r="B1842">
        <v>105</v>
      </c>
      <c r="C1842" t="s">
        <v>557</v>
      </c>
      <c r="D1842" s="452">
        <v>45992</v>
      </c>
      <c r="E1842">
        <v>18233</v>
      </c>
      <c r="F1842" t="s">
        <v>4970</v>
      </c>
      <c r="G1842">
        <v>3395</v>
      </c>
      <c r="H1842">
        <v>2</v>
      </c>
      <c r="I1842" t="s">
        <v>4805</v>
      </c>
      <c r="J1842" t="s">
        <v>5222</v>
      </c>
      <c r="K1842" t="s">
        <v>753</v>
      </c>
      <c r="L1842">
        <v>96</v>
      </c>
      <c r="M1842" s="452">
        <v>45986</v>
      </c>
      <c r="N1842">
        <v>96</v>
      </c>
      <c r="O1842">
        <v>96</v>
      </c>
      <c r="P1842">
        <v>192</v>
      </c>
    </row>
    <row r="1843" spans="1:16" x14ac:dyDescent="0.3">
      <c r="A1843">
        <v>62884</v>
      </c>
      <c r="B1843">
        <v>105</v>
      </c>
      <c r="C1843" t="s">
        <v>557</v>
      </c>
      <c r="D1843" s="452">
        <v>45992</v>
      </c>
      <c r="E1843">
        <v>26495</v>
      </c>
      <c r="F1843" t="s">
        <v>4867</v>
      </c>
      <c r="G1843">
        <v>5447</v>
      </c>
      <c r="H1843">
        <v>4.8</v>
      </c>
      <c r="I1843" t="s">
        <v>4744</v>
      </c>
      <c r="J1843" t="s">
        <v>5191</v>
      </c>
      <c r="K1843" t="s">
        <v>753</v>
      </c>
      <c r="L1843">
        <v>0</v>
      </c>
      <c r="M1843" s="452">
        <v>45947</v>
      </c>
      <c r="N1843">
        <v>39.5</v>
      </c>
      <c r="O1843">
        <v>39.5</v>
      </c>
      <c r="P1843">
        <v>189.6</v>
      </c>
    </row>
    <row r="1844" spans="1:16" x14ac:dyDescent="0.3">
      <c r="A1844">
        <v>62910</v>
      </c>
      <c r="B1844">
        <v>105</v>
      </c>
      <c r="C1844" t="s">
        <v>557</v>
      </c>
      <c r="D1844" s="452">
        <v>45992</v>
      </c>
      <c r="E1844">
        <v>26032</v>
      </c>
      <c r="F1844" t="s">
        <v>4896</v>
      </c>
      <c r="G1844">
        <v>6503</v>
      </c>
      <c r="H1844">
        <v>4</v>
      </c>
      <c r="I1844" t="s">
        <v>4805</v>
      </c>
      <c r="J1844" t="s">
        <v>5222</v>
      </c>
      <c r="K1844" t="s">
        <v>753</v>
      </c>
      <c r="L1844">
        <v>0</v>
      </c>
      <c r="M1844" s="452">
        <v>45698</v>
      </c>
      <c r="N1844">
        <v>46.38</v>
      </c>
      <c r="O1844">
        <v>80.55</v>
      </c>
      <c r="P1844">
        <v>185.52</v>
      </c>
    </row>
    <row r="1845" spans="1:16" x14ac:dyDescent="0.3">
      <c r="A1845">
        <v>62891</v>
      </c>
      <c r="B1845">
        <v>105</v>
      </c>
      <c r="C1845" t="s">
        <v>557</v>
      </c>
      <c r="D1845" s="452">
        <v>45992</v>
      </c>
      <c r="E1845">
        <v>19845</v>
      </c>
      <c r="F1845" t="s">
        <v>4874</v>
      </c>
      <c r="G1845">
        <v>2423</v>
      </c>
      <c r="H1845">
        <v>4.05</v>
      </c>
      <c r="I1845" t="s">
        <v>4744</v>
      </c>
      <c r="J1845" t="s">
        <v>5191</v>
      </c>
      <c r="K1845" t="s">
        <v>753</v>
      </c>
      <c r="L1845">
        <v>0</v>
      </c>
      <c r="M1845" s="452">
        <v>45615</v>
      </c>
      <c r="N1845">
        <v>45</v>
      </c>
      <c r="O1845">
        <v>47</v>
      </c>
      <c r="P1845">
        <v>182.25</v>
      </c>
    </row>
    <row r="1846" spans="1:16" x14ac:dyDescent="0.3">
      <c r="A1846">
        <v>62794</v>
      </c>
      <c r="B1846">
        <v>105</v>
      </c>
      <c r="C1846" t="s">
        <v>557</v>
      </c>
      <c r="D1846" s="452">
        <v>45992</v>
      </c>
      <c r="E1846">
        <v>25758</v>
      </c>
      <c r="F1846" t="s">
        <v>4775</v>
      </c>
      <c r="G1846">
        <v>9066</v>
      </c>
      <c r="H1846">
        <v>17</v>
      </c>
      <c r="I1846" t="s">
        <v>4736</v>
      </c>
      <c r="J1846" t="s">
        <v>5191</v>
      </c>
      <c r="K1846" t="s">
        <v>753</v>
      </c>
      <c r="L1846">
        <v>0</v>
      </c>
      <c r="M1846" s="452">
        <v>45918</v>
      </c>
      <c r="N1846">
        <v>10.71</v>
      </c>
      <c r="O1846">
        <v>10.71</v>
      </c>
      <c r="P1846">
        <v>182.07</v>
      </c>
    </row>
    <row r="1847" spans="1:16" x14ac:dyDescent="0.3">
      <c r="A1847">
        <v>62928</v>
      </c>
      <c r="B1847">
        <v>105</v>
      </c>
      <c r="C1847" t="s">
        <v>557</v>
      </c>
      <c r="D1847" s="452">
        <v>45992</v>
      </c>
      <c r="E1847">
        <v>27397</v>
      </c>
      <c r="F1847" t="s">
        <v>4913</v>
      </c>
      <c r="G1847">
        <v>7399</v>
      </c>
      <c r="H1847">
        <v>3</v>
      </c>
      <c r="I1847" t="s">
        <v>4736</v>
      </c>
      <c r="J1847" t="s">
        <v>5191</v>
      </c>
      <c r="K1847" t="s">
        <v>753</v>
      </c>
      <c r="L1847">
        <v>60.49</v>
      </c>
      <c r="M1847" s="452">
        <v>45989</v>
      </c>
      <c r="N1847">
        <v>61.1</v>
      </c>
      <c r="O1847">
        <v>61.1</v>
      </c>
      <c r="P1847">
        <v>181.47</v>
      </c>
    </row>
    <row r="1848" spans="1:16" x14ac:dyDescent="0.3">
      <c r="A1848">
        <v>63058</v>
      </c>
      <c r="B1848">
        <v>105</v>
      </c>
      <c r="C1848" t="s">
        <v>557</v>
      </c>
      <c r="D1848" s="452">
        <v>45992</v>
      </c>
      <c r="E1848">
        <v>18119</v>
      </c>
      <c r="F1848" t="s">
        <v>5044</v>
      </c>
      <c r="G1848">
        <v>3494</v>
      </c>
      <c r="H1848">
        <v>1</v>
      </c>
      <c r="I1848" t="s">
        <v>4805</v>
      </c>
      <c r="J1848" t="s">
        <v>5222</v>
      </c>
      <c r="K1848" t="s">
        <v>753</v>
      </c>
      <c r="L1848">
        <v>181</v>
      </c>
      <c r="M1848" s="452">
        <v>45965</v>
      </c>
      <c r="N1848">
        <v>181</v>
      </c>
      <c r="O1848">
        <v>177.02</v>
      </c>
      <c r="P1848">
        <v>181</v>
      </c>
    </row>
    <row r="1849" spans="1:16" x14ac:dyDescent="0.3">
      <c r="A1849">
        <v>62878</v>
      </c>
      <c r="B1849">
        <v>105</v>
      </c>
      <c r="C1849" t="s">
        <v>557</v>
      </c>
      <c r="D1849" s="452">
        <v>45992</v>
      </c>
      <c r="E1849">
        <v>24320</v>
      </c>
      <c r="F1849" t="s">
        <v>4861</v>
      </c>
      <c r="G1849">
        <v>2942</v>
      </c>
      <c r="H1849">
        <v>5</v>
      </c>
      <c r="I1849" t="s">
        <v>4744</v>
      </c>
      <c r="J1849" t="s">
        <v>5191</v>
      </c>
      <c r="K1849" t="s">
        <v>753</v>
      </c>
      <c r="L1849">
        <v>35.29</v>
      </c>
      <c r="M1849" s="452">
        <v>45986</v>
      </c>
      <c r="N1849">
        <v>36.799999999999997</v>
      </c>
      <c r="O1849">
        <v>35.200000000000003</v>
      </c>
      <c r="P1849">
        <v>176.45</v>
      </c>
    </row>
    <row r="1850" spans="1:16" x14ac:dyDescent="0.3">
      <c r="A1850">
        <v>62880</v>
      </c>
      <c r="B1850">
        <v>105</v>
      </c>
      <c r="C1850" t="s">
        <v>557</v>
      </c>
      <c r="D1850" s="452">
        <v>45992</v>
      </c>
      <c r="E1850">
        <v>18547</v>
      </c>
      <c r="F1850" t="s">
        <v>4863</v>
      </c>
      <c r="G1850">
        <v>3132</v>
      </c>
      <c r="H1850">
        <v>5</v>
      </c>
      <c r="I1850" t="s">
        <v>4805</v>
      </c>
      <c r="J1850" t="s">
        <v>5222</v>
      </c>
      <c r="K1850" t="s">
        <v>753</v>
      </c>
      <c r="L1850">
        <v>35.29</v>
      </c>
      <c r="M1850" s="452">
        <v>45986</v>
      </c>
      <c r="N1850">
        <v>35.29</v>
      </c>
      <c r="O1850">
        <v>35.29</v>
      </c>
      <c r="P1850">
        <v>176.45</v>
      </c>
    </row>
    <row r="1851" spans="1:16" x14ac:dyDescent="0.3">
      <c r="A1851">
        <v>62985</v>
      </c>
      <c r="B1851">
        <v>105</v>
      </c>
      <c r="C1851" t="s">
        <v>557</v>
      </c>
      <c r="D1851" s="452">
        <v>45992</v>
      </c>
      <c r="E1851">
        <v>18219</v>
      </c>
      <c r="F1851" t="s">
        <v>4972</v>
      </c>
      <c r="G1851">
        <v>3409</v>
      </c>
      <c r="H1851">
        <v>2</v>
      </c>
      <c r="I1851" t="s">
        <v>4805</v>
      </c>
      <c r="J1851" t="s">
        <v>5222</v>
      </c>
      <c r="K1851" t="s">
        <v>753</v>
      </c>
      <c r="L1851">
        <v>0</v>
      </c>
      <c r="M1851" s="452">
        <v>45916</v>
      </c>
      <c r="N1851">
        <v>87.63</v>
      </c>
      <c r="O1851">
        <v>92</v>
      </c>
      <c r="P1851">
        <v>175.26</v>
      </c>
    </row>
    <row r="1852" spans="1:16" x14ac:dyDescent="0.3">
      <c r="A1852">
        <v>63055</v>
      </c>
      <c r="B1852">
        <v>105</v>
      </c>
      <c r="C1852" t="s">
        <v>557</v>
      </c>
      <c r="D1852" s="452">
        <v>45992</v>
      </c>
      <c r="E1852">
        <v>18157</v>
      </c>
      <c r="F1852" t="s">
        <v>5041</v>
      </c>
      <c r="G1852">
        <v>3463</v>
      </c>
      <c r="H1852">
        <v>1</v>
      </c>
      <c r="I1852" t="s">
        <v>4805</v>
      </c>
      <c r="J1852" t="s">
        <v>5222</v>
      </c>
      <c r="K1852" t="s">
        <v>753</v>
      </c>
      <c r="L1852">
        <v>0</v>
      </c>
      <c r="M1852" s="452">
        <v>45874</v>
      </c>
      <c r="N1852">
        <v>164.98</v>
      </c>
      <c r="O1852">
        <v>198.38</v>
      </c>
      <c r="P1852">
        <v>164.98</v>
      </c>
    </row>
    <row r="1853" spans="1:16" x14ac:dyDescent="0.3">
      <c r="A1853">
        <v>62795</v>
      </c>
      <c r="B1853">
        <v>105</v>
      </c>
      <c r="C1853" t="s">
        <v>557</v>
      </c>
      <c r="D1853" s="452">
        <v>45992</v>
      </c>
      <c r="E1853">
        <v>26103</v>
      </c>
      <c r="F1853" t="s">
        <v>4776</v>
      </c>
      <c r="G1853">
        <v>9072</v>
      </c>
      <c r="H1853">
        <v>17</v>
      </c>
      <c r="I1853" t="s">
        <v>4749</v>
      </c>
      <c r="J1853" t="s">
        <v>5191</v>
      </c>
      <c r="K1853" t="s">
        <v>753</v>
      </c>
      <c r="L1853">
        <v>0</v>
      </c>
      <c r="M1853" s="452">
        <v>45918</v>
      </c>
      <c r="N1853">
        <v>9.44</v>
      </c>
      <c r="O1853">
        <v>9.44</v>
      </c>
      <c r="P1853">
        <v>160.43</v>
      </c>
    </row>
    <row r="1854" spans="1:16" x14ac:dyDescent="0.3">
      <c r="A1854">
        <v>62798</v>
      </c>
      <c r="B1854">
        <v>105</v>
      </c>
      <c r="C1854" t="s">
        <v>557</v>
      </c>
      <c r="D1854" s="452">
        <v>45992</v>
      </c>
      <c r="E1854">
        <v>19740</v>
      </c>
      <c r="F1854" t="s">
        <v>4779</v>
      </c>
      <c r="G1854">
        <v>2513</v>
      </c>
      <c r="H1854">
        <v>16.100000000000001</v>
      </c>
      <c r="I1854" t="s">
        <v>4744</v>
      </c>
      <c r="J1854" t="s">
        <v>5191</v>
      </c>
      <c r="K1854" t="s">
        <v>753</v>
      </c>
      <c r="L1854">
        <v>9.7200000000000006</v>
      </c>
      <c r="M1854" s="452">
        <v>45988</v>
      </c>
      <c r="N1854">
        <v>10.44</v>
      </c>
      <c r="O1854">
        <v>11.5</v>
      </c>
      <c r="P1854">
        <v>156.49</v>
      </c>
    </row>
    <row r="1855" spans="1:16" x14ac:dyDescent="0.3">
      <c r="A1855">
        <v>62834</v>
      </c>
      <c r="B1855">
        <v>105</v>
      </c>
      <c r="C1855" t="s">
        <v>557</v>
      </c>
      <c r="D1855" s="452">
        <v>45992</v>
      </c>
      <c r="E1855">
        <v>23515</v>
      </c>
      <c r="F1855" t="s">
        <v>4816</v>
      </c>
      <c r="G1855">
        <v>2353</v>
      </c>
      <c r="H1855">
        <v>8</v>
      </c>
      <c r="I1855" t="s">
        <v>4736</v>
      </c>
      <c r="J1855" t="s">
        <v>5191</v>
      </c>
      <c r="K1855" t="s">
        <v>753</v>
      </c>
      <c r="L1855">
        <v>19.46</v>
      </c>
      <c r="M1855" s="452">
        <v>45989</v>
      </c>
      <c r="N1855">
        <v>20.2</v>
      </c>
      <c r="O1855">
        <v>20.2</v>
      </c>
      <c r="P1855">
        <v>155.68</v>
      </c>
    </row>
    <row r="1856" spans="1:16" x14ac:dyDescent="0.3">
      <c r="A1856">
        <v>62852</v>
      </c>
      <c r="B1856">
        <v>105</v>
      </c>
      <c r="C1856" t="s">
        <v>557</v>
      </c>
      <c r="D1856" s="452">
        <v>45992</v>
      </c>
      <c r="E1856">
        <v>24081</v>
      </c>
      <c r="F1856" t="s">
        <v>4834</v>
      </c>
      <c r="G1856">
        <v>3034</v>
      </c>
      <c r="H1856">
        <v>6.5</v>
      </c>
      <c r="I1856" t="s">
        <v>4744</v>
      </c>
      <c r="J1856" t="s">
        <v>5191</v>
      </c>
      <c r="K1856" t="s">
        <v>753</v>
      </c>
      <c r="L1856">
        <v>23.8</v>
      </c>
      <c r="M1856" s="452">
        <v>45978</v>
      </c>
      <c r="N1856">
        <v>23.8</v>
      </c>
      <c r="O1856">
        <v>23.8</v>
      </c>
      <c r="P1856">
        <v>154.69999999999999</v>
      </c>
    </row>
    <row r="1857" spans="1:16" x14ac:dyDescent="0.3">
      <c r="A1857">
        <v>62874</v>
      </c>
      <c r="B1857">
        <v>105</v>
      </c>
      <c r="C1857" t="s">
        <v>557</v>
      </c>
      <c r="D1857" s="452">
        <v>45992</v>
      </c>
      <c r="E1857">
        <v>20672</v>
      </c>
      <c r="F1857" t="s">
        <v>4857</v>
      </c>
      <c r="G1857">
        <v>2107</v>
      </c>
      <c r="H1857">
        <v>5</v>
      </c>
      <c r="I1857" t="s">
        <v>4738</v>
      </c>
      <c r="J1857" t="s">
        <v>5191</v>
      </c>
      <c r="K1857" t="s">
        <v>753</v>
      </c>
      <c r="L1857">
        <v>0</v>
      </c>
      <c r="M1857" s="452">
        <v>45961</v>
      </c>
      <c r="N1857">
        <v>30.87</v>
      </c>
      <c r="O1857">
        <v>31.98</v>
      </c>
      <c r="P1857">
        <v>154.35</v>
      </c>
    </row>
    <row r="1858" spans="1:16" x14ac:dyDescent="0.3">
      <c r="A1858">
        <v>62760</v>
      </c>
      <c r="B1858">
        <v>105</v>
      </c>
      <c r="C1858" t="s">
        <v>557</v>
      </c>
      <c r="D1858" s="452">
        <v>45992</v>
      </c>
      <c r="E1858">
        <v>24011</v>
      </c>
      <c r="F1858" t="s">
        <v>4739</v>
      </c>
      <c r="G1858">
        <v>3626</v>
      </c>
      <c r="H1858">
        <v>116</v>
      </c>
      <c r="I1858" t="s">
        <v>4736</v>
      </c>
      <c r="J1858" t="s">
        <v>5222</v>
      </c>
      <c r="K1858" t="s">
        <v>753</v>
      </c>
      <c r="L1858">
        <v>0</v>
      </c>
      <c r="M1858" s="452">
        <v>45562</v>
      </c>
      <c r="N1858">
        <v>1.32</v>
      </c>
      <c r="O1858">
        <v>1.33</v>
      </c>
      <c r="P1858">
        <v>153.12</v>
      </c>
    </row>
    <row r="1859" spans="1:16" x14ac:dyDescent="0.3">
      <c r="A1859">
        <v>62854</v>
      </c>
      <c r="B1859">
        <v>105</v>
      </c>
      <c r="C1859" t="s">
        <v>557</v>
      </c>
      <c r="D1859" s="452">
        <v>45992</v>
      </c>
      <c r="E1859">
        <v>20487</v>
      </c>
      <c r="F1859" t="s">
        <v>4836</v>
      </c>
      <c r="G1859">
        <v>2157</v>
      </c>
      <c r="H1859">
        <v>6.1</v>
      </c>
      <c r="I1859" t="s">
        <v>4744</v>
      </c>
      <c r="J1859" t="s">
        <v>5191</v>
      </c>
      <c r="K1859" t="s">
        <v>753</v>
      </c>
      <c r="L1859">
        <v>24.8</v>
      </c>
      <c r="M1859" s="452">
        <v>45971</v>
      </c>
      <c r="N1859">
        <v>24.8</v>
      </c>
      <c r="O1859">
        <v>28.35</v>
      </c>
      <c r="P1859">
        <v>151.28</v>
      </c>
    </row>
    <row r="1860" spans="1:16" x14ac:dyDescent="0.3">
      <c r="A1860">
        <v>62789</v>
      </c>
      <c r="B1860">
        <v>105</v>
      </c>
      <c r="C1860" t="s">
        <v>557</v>
      </c>
      <c r="D1860" s="452">
        <v>45992</v>
      </c>
      <c r="E1860">
        <v>25762</v>
      </c>
      <c r="F1860" t="s">
        <v>4770</v>
      </c>
      <c r="G1860">
        <v>9070</v>
      </c>
      <c r="H1860">
        <v>18</v>
      </c>
      <c r="I1860" t="s">
        <v>4736</v>
      </c>
      <c r="J1860" t="s">
        <v>5191</v>
      </c>
      <c r="K1860" t="s">
        <v>753</v>
      </c>
      <c r="L1860">
        <v>0</v>
      </c>
      <c r="M1860" s="452">
        <v>45922</v>
      </c>
      <c r="N1860">
        <v>8.36</v>
      </c>
      <c r="O1860">
        <v>8.36</v>
      </c>
      <c r="P1860">
        <v>150.47999999999999</v>
      </c>
    </row>
    <row r="1861" spans="1:16" x14ac:dyDescent="0.3">
      <c r="A1861">
        <v>62935</v>
      </c>
      <c r="B1861">
        <v>105</v>
      </c>
      <c r="C1861" t="s">
        <v>557</v>
      </c>
      <c r="D1861" s="452">
        <v>45992</v>
      </c>
      <c r="E1861">
        <v>18477</v>
      </c>
      <c r="F1861" t="s">
        <v>4920</v>
      </c>
      <c r="G1861">
        <v>3179</v>
      </c>
      <c r="H1861">
        <v>3</v>
      </c>
      <c r="I1861" t="s">
        <v>4805</v>
      </c>
      <c r="J1861" t="s">
        <v>5222</v>
      </c>
      <c r="K1861" t="s">
        <v>753</v>
      </c>
      <c r="L1861">
        <v>0</v>
      </c>
      <c r="M1861" s="452">
        <v>45525</v>
      </c>
      <c r="N1861">
        <v>49.9</v>
      </c>
      <c r="O1861">
        <v>43.9</v>
      </c>
      <c r="P1861">
        <v>149.69999999999999</v>
      </c>
    </row>
    <row r="1862" spans="1:16" x14ac:dyDescent="0.3">
      <c r="A1862">
        <v>62875</v>
      </c>
      <c r="B1862">
        <v>105</v>
      </c>
      <c r="C1862" t="s">
        <v>557</v>
      </c>
      <c r="D1862" s="452">
        <v>45992</v>
      </c>
      <c r="E1862">
        <v>23785</v>
      </c>
      <c r="F1862" t="s">
        <v>4858</v>
      </c>
      <c r="G1862">
        <v>2114</v>
      </c>
      <c r="H1862">
        <v>5</v>
      </c>
      <c r="I1862" t="s">
        <v>4744</v>
      </c>
      <c r="J1862" t="s">
        <v>5191</v>
      </c>
      <c r="K1862" t="s">
        <v>753</v>
      </c>
      <c r="L1862">
        <v>28.99</v>
      </c>
      <c r="M1862" s="452">
        <v>45978</v>
      </c>
      <c r="N1862">
        <v>28.99</v>
      </c>
      <c r="O1862">
        <v>28.99</v>
      </c>
      <c r="P1862">
        <v>144.94999999999999</v>
      </c>
    </row>
    <row r="1863" spans="1:16" x14ac:dyDescent="0.3">
      <c r="A1863">
        <v>62867</v>
      </c>
      <c r="B1863">
        <v>105</v>
      </c>
      <c r="C1863" t="s">
        <v>557</v>
      </c>
      <c r="D1863" s="452">
        <v>45992</v>
      </c>
      <c r="E1863">
        <v>25205</v>
      </c>
      <c r="F1863" t="s">
        <v>4850</v>
      </c>
      <c r="G1863">
        <v>5944</v>
      </c>
      <c r="H1863">
        <v>5.4</v>
      </c>
      <c r="I1863" t="s">
        <v>4744</v>
      </c>
      <c r="J1863" t="s">
        <v>5191</v>
      </c>
      <c r="K1863" t="s">
        <v>753</v>
      </c>
      <c r="L1863">
        <v>26.65</v>
      </c>
      <c r="M1863" s="452">
        <v>45986</v>
      </c>
      <c r="N1863">
        <v>29.9</v>
      </c>
      <c r="O1863">
        <v>29.9</v>
      </c>
      <c r="P1863">
        <v>143.91</v>
      </c>
    </row>
    <row r="1864" spans="1:16" x14ac:dyDescent="0.3">
      <c r="A1864">
        <v>62799</v>
      </c>
      <c r="B1864">
        <v>105</v>
      </c>
      <c r="C1864" t="s">
        <v>557</v>
      </c>
      <c r="D1864" s="452">
        <v>45992</v>
      </c>
      <c r="E1864">
        <v>20382</v>
      </c>
      <c r="F1864" t="s">
        <v>4780</v>
      </c>
      <c r="G1864">
        <v>2196</v>
      </c>
      <c r="H1864">
        <v>16</v>
      </c>
      <c r="I1864" t="s">
        <v>4738</v>
      </c>
      <c r="J1864" t="s">
        <v>5191</v>
      </c>
      <c r="K1864" t="s">
        <v>753</v>
      </c>
      <c r="L1864">
        <v>8.99</v>
      </c>
      <c r="M1864" s="452">
        <v>45988</v>
      </c>
      <c r="N1864">
        <v>8.99</v>
      </c>
      <c r="O1864">
        <v>8.99</v>
      </c>
      <c r="P1864">
        <v>143.84</v>
      </c>
    </row>
    <row r="1865" spans="1:16" x14ac:dyDescent="0.3">
      <c r="A1865">
        <v>62780</v>
      </c>
      <c r="B1865">
        <v>105</v>
      </c>
      <c r="C1865" t="s">
        <v>557</v>
      </c>
      <c r="D1865" s="452">
        <v>45992</v>
      </c>
      <c r="E1865">
        <v>22636</v>
      </c>
      <c r="F1865" t="s">
        <v>4761</v>
      </c>
      <c r="G1865">
        <v>3099</v>
      </c>
      <c r="H1865">
        <v>27</v>
      </c>
      <c r="I1865" t="s">
        <v>4736</v>
      </c>
      <c r="J1865" t="s">
        <v>5222</v>
      </c>
      <c r="K1865" t="s">
        <v>753</v>
      </c>
      <c r="L1865">
        <v>0</v>
      </c>
      <c r="M1865" s="452">
        <v>45671</v>
      </c>
      <c r="N1865">
        <v>5.3</v>
      </c>
      <c r="O1865">
        <v>5.0199999999999996</v>
      </c>
      <c r="P1865">
        <v>143.1</v>
      </c>
    </row>
    <row r="1866" spans="1:16" x14ac:dyDescent="0.3">
      <c r="A1866">
        <v>62809</v>
      </c>
      <c r="B1866">
        <v>105</v>
      </c>
      <c r="C1866" t="s">
        <v>557</v>
      </c>
      <c r="D1866" s="452">
        <v>45992</v>
      </c>
      <c r="E1866">
        <v>25075</v>
      </c>
      <c r="F1866" t="s">
        <v>4790</v>
      </c>
      <c r="G1866">
        <v>5883</v>
      </c>
      <c r="H1866">
        <v>13</v>
      </c>
      <c r="I1866" t="s">
        <v>4738</v>
      </c>
      <c r="J1866" t="s">
        <v>5191</v>
      </c>
      <c r="K1866" t="s">
        <v>753</v>
      </c>
      <c r="L1866">
        <v>10.87</v>
      </c>
      <c r="M1866" s="452">
        <v>45985</v>
      </c>
      <c r="N1866">
        <v>13.9</v>
      </c>
      <c r="O1866">
        <v>13.9</v>
      </c>
      <c r="P1866">
        <v>141.31</v>
      </c>
    </row>
    <row r="1867" spans="1:16" x14ac:dyDescent="0.3">
      <c r="A1867">
        <v>62993</v>
      </c>
      <c r="B1867">
        <v>105</v>
      </c>
      <c r="C1867" t="s">
        <v>557</v>
      </c>
      <c r="D1867" s="452">
        <v>45992</v>
      </c>
      <c r="E1867">
        <v>25358</v>
      </c>
      <c r="F1867" t="s">
        <v>4980</v>
      </c>
      <c r="G1867">
        <v>6047</v>
      </c>
      <c r="H1867">
        <v>1.9</v>
      </c>
      <c r="I1867" t="s">
        <v>4744</v>
      </c>
      <c r="J1867" t="s">
        <v>5191</v>
      </c>
      <c r="K1867" t="s">
        <v>753</v>
      </c>
      <c r="L1867">
        <v>74.099999999999994</v>
      </c>
      <c r="M1867" s="452">
        <v>45982</v>
      </c>
      <c r="N1867">
        <v>74.2</v>
      </c>
      <c r="O1867">
        <v>74.2</v>
      </c>
      <c r="P1867">
        <v>140.79</v>
      </c>
    </row>
    <row r="1868" spans="1:16" x14ac:dyDescent="0.3">
      <c r="A1868">
        <v>62841</v>
      </c>
      <c r="B1868">
        <v>105</v>
      </c>
      <c r="C1868" t="s">
        <v>557</v>
      </c>
      <c r="D1868" s="452">
        <v>45992</v>
      </c>
      <c r="E1868">
        <v>20549</v>
      </c>
      <c r="F1868" t="s">
        <v>4823</v>
      </c>
      <c r="G1868">
        <v>2141</v>
      </c>
      <c r="H1868">
        <v>7</v>
      </c>
      <c r="I1868" t="s">
        <v>4744</v>
      </c>
      <c r="J1868" t="s">
        <v>5191</v>
      </c>
      <c r="K1868" t="s">
        <v>753</v>
      </c>
      <c r="L1868">
        <v>20.059999999999999</v>
      </c>
      <c r="M1868" s="452">
        <v>45971</v>
      </c>
      <c r="N1868">
        <v>20.079999999999998</v>
      </c>
      <c r="O1868">
        <v>19.989999999999998</v>
      </c>
      <c r="P1868">
        <v>140.41999999999999</v>
      </c>
    </row>
    <row r="1869" spans="1:16" x14ac:dyDescent="0.3">
      <c r="A1869">
        <v>63050</v>
      </c>
      <c r="B1869">
        <v>105</v>
      </c>
      <c r="C1869" t="s">
        <v>557</v>
      </c>
      <c r="D1869" s="452">
        <v>45992</v>
      </c>
      <c r="E1869">
        <v>18289</v>
      </c>
      <c r="F1869" t="s">
        <v>5036</v>
      </c>
      <c r="G1869">
        <v>3339</v>
      </c>
      <c r="H1869">
        <v>1</v>
      </c>
      <c r="I1869" t="s">
        <v>4736</v>
      </c>
      <c r="J1869" t="s">
        <v>5222</v>
      </c>
      <c r="K1869" t="s">
        <v>753</v>
      </c>
      <c r="L1869">
        <v>0</v>
      </c>
      <c r="N1869">
        <v>0</v>
      </c>
      <c r="O1869">
        <v>0</v>
      </c>
      <c r="P1869">
        <v>140</v>
      </c>
    </row>
    <row r="1870" spans="1:16" x14ac:dyDescent="0.3">
      <c r="A1870">
        <v>62773</v>
      </c>
      <c r="B1870">
        <v>105</v>
      </c>
      <c r="C1870" t="s">
        <v>557</v>
      </c>
      <c r="D1870" s="452">
        <v>45992</v>
      </c>
      <c r="E1870">
        <v>23361</v>
      </c>
      <c r="F1870" t="s">
        <v>4754</v>
      </c>
      <c r="G1870">
        <v>2497</v>
      </c>
      <c r="H1870">
        <v>45</v>
      </c>
      <c r="I1870" t="s">
        <v>4744</v>
      </c>
      <c r="J1870" t="s">
        <v>5191</v>
      </c>
      <c r="K1870" t="s">
        <v>753</v>
      </c>
      <c r="L1870">
        <v>3.11</v>
      </c>
      <c r="M1870" s="452">
        <v>45988</v>
      </c>
      <c r="N1870">
        <v>3.1</v>
      </c>
      <c r="O1870">
        <v>3.1</v>
      </c>
      <c r="P1870">
        <v>139.94999999999999</v>
      </c>
    </row>
    <row r="1871" spans="1:16" x14ac:dyDescent="0.3">
      <c r="A1871">
        <v>62876</v>
      </c>
      <c r="B1871">
        <v>105</v>
      </c>
      <c r="C1871" t="s">
        <v>557</v>
      </c>
      <c r="D1871" s="452">
        <v>45992</v>
      </c>
      <c r="E1871">
        <v>19649</v>
      </c>
      <c r="F1871" t="s">
        <v>4859</v>
      </c>
      <c r="G1871">
        <v>2589</v>
      </c>
      <c r="H1871">
        <v>5</v>
      </c>
      <c r="I1871" t="s">
        <v>4744</v>
      </c>
      <c r="J1871" t="s">
        <v>5191</v>
      </c>
      <c r="K1871" t="s">
        <v>753</v>
      </c>
      <c r="L1871">
        <v>0</v>
      </c>
      <c r="M1871" s="452">
        <v>45820</v>
      </c>
      <c r="N1871">
        <v>27.9</v>
      </c>
      <c r="O1871">
        <v>23.5</v>
      </c>
      <c r="P1871">
        <v>139.5</v>
      </c>
    </row>
    <row r="1872" spans="1:16" x14ac:dyDescent="0.3">
      <c r="A1872">
        <v>63051</v>
      </c>
      <c r="B1872">
        <v>105</v>
      </c>
      <c r="C1872" t="s">
        <v>557</v>
      </c>
      <c r="D1872" s="452">
        <v>45992</v>
      </c>
      <c r="E1872">
        <v>18312</v>
      </c>
      <c r="F1872" t="s">
        <v>5037</v>
      </c>
      <c r="G1872">
        <v>3321</v>
      </c>
      <c r="H1872">
        <v>1</v>
      </c>
      <c r="I1872" t="s">
        <v>4805</v>
      </c>
      <c r="J1872" t="s">
        <v>5222</v>
      </c>
      <c r="K1872" t="s">
        <v>753</v>
      </c>
      <c r="L1872">
        <v>0</v>
      </c>
      <c r="N1872">
        <v>0</v>
      </c>
      <c r="O1872">
        <v>86.81</v>
      </c>
      <c r="P1872">
        <v>135.9</v>
      </c>
    </row>
    <row r="1873" spans="1:16" x14ac:dyDescent="0.3">
      <c r="A1873">
        <v>63048</v>
      </c>
      <c r="B1873">
        <v>105</v>
      </c>
      <c r="C1873" t="s">
        <v>557</v>
      </c>
      <c r="D1873" s="452">
        <v>45992</v>
      </c>
      <c r="E1873">
        <v>18293</v>
      </c>
      <c r="F1873" t="s">
        <v>5034</v>
      </c>
      <c r="G1873">
        <v>3336</v>
      </c>
      <c r="H1873">
        <v>1</v>
      </c>
      <c r="I1873" t="s">
        <v>4805</v>
      </c>
      <c r="J1873" t="s">
        <v>5222</v>
      </c>
      <c r="K1873" t="s">
        <v>753</v>
      </c>
      <c r="L1873">
        <v>0</v>
      </c>
      <c r="M1873" s="452">
        <v>45943</v>
      </c>
      <c r="N1873">
        <v>134.99</v>
      </c>
      <c r="O1873">
        <v>114.8</v>
      </c>
      <c r="P1873">
        <v>134.99</v>
      </c>
    </row>
    <row r="1874" spans="1:16" x14ac:dyDescent="0.3">
      <c r="A1874">
        <v>62903</v>
      </c>
      <c r="B1874">
        <v>105</v>
      </c>
      <c r="C1874" t="s">
        <v>557</v>
      </c>
      <c r="D1874" s="452">
        <v>45992</v>
      </c>
      <c r="E1874">
        <v>19765</v>
      </c>
      <c r="F1874" t="s">
        <v>4889</v>
      </c>
      <c r="G1874">
        <v>2488</v>
      </c>
      <c r="H1874">
        <v>4</v>
      </c>
      <c r="I1874" t="s">
        <v>4744</v>
      </c>
      <c r="J1874" t="s">
        <v>5191</v>
      </c>
      <c r="K1874" t="s">
        <v>753</v>
      </c>
      <c r="L1874">
        <v>33.39</v>
      </c>
      <c r="M1874" s="452">
        <v>45988</v>
      </c>
      <c r="N1874">
        <v>34.08</v>
      </c>
      <c r="O1874">
        <v>34.08</v>
      </c>
      <c r="P1874">
        <v>133.56</v>
      </c>
    </row>
    <row r="1875" spans="1:16" x14ac:dyDescent="0.3">
      <c r="A1875">
        <v>63046</v>
      </c>
      <c r="B1875">
        <v>105</v>
      </c>
      <c r="C1875" t="s">
        <v>557</v>
      </c>
      <c r="D1875" s="452">
        <v>45992</v>
      </c>
      <c r="E1875">
        <v>18394</v>
      </c>
      <c r="F1875" t="s">
        <v>5032</v>
      </c>
      <c r="G1875">
        <v>3246</v>
      </c>
      <c r="H1875">
        <v>1</v>
      </c>
      <c r="I1875" t="s">
        <v>4805</v>
      </c>
      <c r="J1875" t="s">
        <v>5222</v>
      </c>
      <c r="K1875" t="s">
        <v>753</v>
      </c>
      <c r="L1875">
        <v>0</v>
      </c>
      <c r="M1875" s="452">
        <v>45867</v>
      </c>
      <c r="N1875">
        <v>132.36000000000001</v>
      </c>
      <c r="O1875">
        <v>132</v>
      </c>
      <c r="P1875">
        <v>132.36000000000001</v>
      </c>
    </row>
    <row r="1876" spans="1:16" x14ac:dyDescent="0.3">
      <c r="A1876">
        <v>62909</v>
      </c>
      <c r="B1876">
        <v>105</v>
      </c>
      <c r="C1876" t="s">
        <v>557</v>
      </c>
      <c r="D1876" s="452">
        <v>45992</v>
      </c>
      <c r="E1876">
        <v>18475</v>
      </c>
      <c r="F1876" t="s">
        <v>4895</v>
      </c>
      <c r="G1876">
        <v>3181</v>
      </c>
      <c r="H1876">
        <v>4</v>
      </c>
      <c r="I1876" t="s">
        <v>4805</v>
      </c>
      <c r="J1876" t="s">
        <v>5222</v>
      </c>
      <c r="K1876" t="s">
        <v>753</v>
      </c>
      <c r="L1876">
        <v>32.9</v>
      </c>
      <c r="M1876" s="452">
        <v>45987</v>
      </c>
      <c r="N1876">
        <v>32.9</v>
      </c>
      <c r="O1876">
        <v>32.9</v>
      </c>
      <c r="P1876">
        <v>131.6</v>
      </c>
    </row>
    <row r="1877" spans="1:16" x14ac:dyDescent="0.3">
      <c r="A1877">
        <v>62836</v>
      </c>
      <c r="B1877">
        <v>105</v>
      </c>
      <c r="C1877" t="s">
        <v>557</v>
      </c>
      <c r="D1877" s="452">
        <v>45992</v>
      </c>
      <c r="E1877">
        <v>21000</v>
      </c>
      <c r="F1877" t="s">
        <v>4818</v>
      </c>
      <c r="G1877">
        <v>2008</v>
      </c>
      <c r="H1877">
        <v>8</v>
      </c>
      <c r="I1877" t="s">
        <v>4736</v>
      </c>
      <c r="J1877" t="s">
        <v>5191</v>
      </c>
      <c r="K1877" t="s">
        <v>753</v>
      </c>
      <c r="L1877">
        <v>0</v>
      </c>
      <c r="M1877" s="452">
        <v>45887</v>
      </c>
      <c r="N1877">
        <v>16.309999999999999</v>
      </c>
      <c r="O1877">
        <v>16.309999999999999</v>
      </c>
      <c r="P1877">
        <v>130.47999999999999</v>
      </c>
    </row>
    <row r="1878" spans="1:16" x14ac:dyDescent="0.3">
      <c r="A1878">
        <v>62868</v>
      </c>
      <c r="B1878">
        <v>105</v>
      </c>
      <c r="C1878" t="s">
        <v>557</v>
      </c>
      <c r="D1878" s="452">
        <v>45992</v>
      </c>
      <c r="E1878">
        <v>19353</v>
      </c>
      <c r="F1878" t="s">
        <v>4851</v>
      </c>
      <c r="G1878">
        <v>2768</v>
      </c>
      <c r="H1878">
        <v>5.2</v>
      </c>
      <c r="I1878" t="s">
        <v>4744</v>
      </c>
      <c r="J1878" t="s">
        <v>5191</v>
      </c>
      <c r="K1878" t="s">
        <v>753</v>
      </c>
      <c r="L1878">
        <v>24.6</v>
      </c>
      <c r="M1878" s="452">
        <v>45987</v>
      </c>
      <c r="N1878">
        <v>24.6</v>
      </c>
      <c r="O1878">
        <v>24.6</v>
      </c>
      <c r="P1878">
        <v>127.92</v>
      </c>
    </row>
    <row r="1879" spans="1:16" x14ac:dyDescent="0.3">
      <c r="A1879">
        <v>62819</v>
      </c>
      <c r="B1879">
        <v>105</v>
      </c>
      <c r="C1879" t="s">
        <v>557</v>
      </c>
      <c r="D1879" s="452">
        <v>45992</v>
      </c>
      <c r="E1879">
        <v>19751</v>
      </c>
      <c r="F1879" t="s">
        <v>4800</v>
      </c>
      <c r="G1879">
        <v>2502</v>
      </c>
      <c r="H1879">
        <v>10.7</v>
      </c>
      <c r="I1879" t="s">
        <v>4744</v>
      </c>
      <c r="J1879" t="s">
        <v>5191</v>
      </c>
      <c r="K1879" t="s">
        <v>753</v>
      </c>
      <c r="L1879">
        <v>11.6</v>
      </c>
      <c r="M1879" s="452">
        <v>45988</v>
      </c>
      <c r="N1879">
        <v>11.63</v>
      </c>
      <c r="O1879">
        <v>11.5</v>
      </c>
      <c r="P1879">
        <v>124.12</v>
      </c>
    </row>
    <row r="1880" spans="1:16" x14ac:dyDescent="0.3">
      <c r="A1880">
        <v>62900</v>
      </c>
      <c r="B1880">
        <v>105</v>
      </c>
      <c r="C1880" t="s">
        <v>557</v>
      </c>
      <c r="D1880" s="452">
        <v>45992</v>
      </c>
      <c r="E1880">
        <v>24339</v>
      </c>
      <c r="F1880" t="s">
        <v>4885</v>
      </c>
      <c r="G1880">
        <v>2153</v>
      </c>
      <c r="H1880">
        <v>4</v>
      </c>
      <c r="I1880" t="s">
        <v>4744</v>
      </c>
      <c r="J1880" t="s">
        <v>5191</v>
      </c>
      <c r="K1880" t="s">
        <v>753</v>
      </c>
      <c r="L1880">
        <v>30.64</v>
      </c>
      <c r="M1880" s="452">
        <v>45986</v>
      </c>
      <c r="N1880">
        <v>36</v>
      </c>
      <c r="O1880">
        <v>36</v>
      </c>
      <c r="P1880">
        <v>122.56</v>
      </c>
    </row>
    <row r="1881" spans="1:16" x14ac:dyDescent="0.3">
      <c r="A1881">
        <v>63004</v>
      </c>
      <c r="B1881">
        <v>105</v>
      </c>
      <c r="C1881" t="s">
        <v>557</v>
      </c>
      <c r="D1881" s="452">
        <v>45992</v>
      </c>
      <c r="E1881">
        <v>23494</v>
      </c>
      <c r="F1881" t="s">
        <v>4991</v>
      </c>
      <c r="G1881">
        <v>2375</v>
      </c>
      <c r="H1881">
        <v>1.54</v>
      </c>
      <c r="I1881" t="s">
        <v>4744</v>
      </c>
      <c r="J1881" t="s">
        <v>5191</v>
      </c>
      <c r="K1881" t="s">
        <v>753</v>
      </c>
      <c r="L1881">
        <v>0</v>
      </c>
      <c r="M1881" s="452">
        <v>45908</v>
      </c>
      <c r="N1881">
        <v>78</v>
      </c>
      <c r="O1881">
        <v>73.8</v>
      </c>
      <c r="P1881">
        <v>120.12</v>
      </c>
    </row>
    <row r="1882" spans="1:16" x14ac:dyDescent="0.3">
      <c r="A1882">
        <v>62858</v>
      </c>
      <c r="B1882">
        <v>105</v>
      </c>
      <c r="C1882" t="s">
        <v>557</v>
      </c>
      <c r="D1882" s="452">
        <v>45992</v>
      </c>
      <c r="E1882">
        <v>18030</v>
      </c>
      <c r="F1882" t="s">
        <v>4840</v>
      </c>
      <c r="G1882">
        <v>3568</v>
      </c>
      <c r="H1882">
        <v>6</v>
      </c>
      <c r="I1882" t="s">
        <v>4805</v>
      </c>
      <c r="J1882" t="s">
        <v>5222</v>
      </c>
      <c r="K1882" t="s">
        <v>753</v>
      </c>
      <c r="L1882">
        <v>19.989999999999998</v>
      </c>
      <c r="M1882" s="452">
        <v>45987</v>
      </c>
      <c r="N1882">
        <v>29.9</v>
      </c>
      <c r="O1882">
        <v>29.9</v>
      </c>
      <c r="P1882">
        <v>119.94</v>
      </c>
    </row>
    <row r="1883" spans="1:16" x14ac:dyDescent="0.3">
      <c r="A1883">
        <v>62835</v>
      </c>
      <c r="B1883">
        <v>105</v>
      </c>
      <c r="C1883" t="s">
        <v>557</v>
      </c>
      <c r="D1883" s="452">
        <v>45992</v>
      </c>
      <c r="E1883">
        <v>19964</v>
      </c>
      <c r="F1883" t="s">
        <v>4817</v>
      </c>
      <c r="G1883">
        <v>2356</v>
      </c>
      <c r="H1883">
        <v>8</v>
      </c>
      <c r="I1883" t="s">
        <v>4736</v>
      </c>
      <c r="J1883" t="s">
        <v>5191</v>
      </c>
      <c r="K1883" t="s">
        <v>753</v>
      </c>
      <c r="L1883">
        <v>0</v>
      </c>
      <c r="M1883" s="452">
        <v>45677</v>
      </c>
      <c r="N1883">
        <v>14.96</v>
      </c>
      <c r="O1883">
        <v>14.96</v>
      </c>
      <c r="P1883">
        <v>119.68</v>
      </c>
    </row>
    <row r="1884" spans="1:16" x14ac:dyDescent="0.3">
      <c r="A1884">
        <v>62783</v>
      </c>
      <c r="B1884">
        <v>105</v>
      </c>
      <c r="C1884" t="s">
        <v>557</v>
      </c>
      <c r="D1884" s="452">
        <v>45992</v>
      </c>
      <c r="E1884">
        <v>19623</v>
      </c>
      <c r="F1884" t="s">
        <v>4764</v>
      </c>
      <c r="G1884">
        <v>2611</v>
      </c>
      <c r="H1884">
        <v>22.8</v>
      </c>
      <c r="I1884" t="s">
        <v>4744</v>
      </c>
      <c r="J1884" t="s">
        <v>5191</v>
      </c>
      <c r="K1884" t="s">
        <v>753</v>
      </c>
      <c r="L1884">
        <v>5.15</v>
      </c>
      <c r="M1884" s="452">
        <v>45988</v>
      </c>
      <c r="N1884">
        <v>6.23</v>
      </c>
      <c r="O1884">
        <v>3.6</v>
      </c>
      <c r="P1884">
        <v>117.42</v>
      </c>
    </row>
    <row r="1885" spans="1:16" x14ac:dyDescent="0.3">
      <c r="A1885">
        <v>62912</v>
      </c>
      <c r="B1885">
        <v>105</v>
      </c>
      <c r="C1885" t="s">
        <v>557</v>
      </c>
      <c r="D1885" s="452">
        <v>45992</v>
      </c>
      <c r="E1885">
        <v>22871</v>
      </c>
      <c r="F1885" t="s">
        <v>4898</v>
      </c>
      <c r="G1885">
        <v>2915</v>
      </c>
      <c r="H1885">
        <v>3.7</v>
      </c>
      <c r="I1885" t="s">
        <v>4744</v>
      </c>
      <c r="J1885" t="s">
        <v>5191</v>
      </c>
      <c r="K1885" t="s">
        <v>753</v>
      </c>
      <c r="L1885">
        <v>31.5</v>
      </c>
      <c r="M1885" s="452">
        <v>45986</v>
      </c>
      <c r="N1885">
        <v>31.5</v>
      </c>
      <c r="O1885">
        <v>31.5</v>
      </c>
      <c r="P1885">
        <v>116.55</v>
      </c>
    </row>
    <row r="1886" spans="1:16" x14ac:dyDescent="0.3">
      <c r="A1886">
        <v>63056</v>
      </c>
      <c r="B1886">
        <v>105</v>
      </c>
      <c r="C1886" t="s">
        <v>557</v>
      </c>
      <c r="D1886" s="452">
        <v>45992</v>
      </c>
      <c r="E1886">
        <v>18147</v>
      </c>
      <c r="F1886" t="s">
        <v>5042</v>
      </c>
      <c r="G1886">
        <v>3471</v>
      </c>
      <c r="H1886">
        <v>1</v>
      </c>
      <c r="I1886" t="s">
        <v>4805</v>
      </c>
      <c r="J1886" t="s">
        <v>5222</v>
      </c>
      <c r="K1886" t="s">
        <v>753</v>
      </c>
      <c r="L1886">
        <v>0</v>
      </c>
      <c r="M1886" s="452">
        <v>45427</v>
      </c>
      <c r="N1886">
        <v>115</v>
      </c>
      <c r="O1886">
        <v>113.9</v>
      </c>
      <c r="P1886">
        <v>115</v>
      </c>
    </row>
    <row r="1887" spans="1:16" x14ac:dyDescent="0.3">
      <c r="A1887">
        <v>62791</v>
      </c>
      <c r="B1887">
        <v>105</v>
      </c>
      <c r="C1887" t="s">
        <v>557</v>
      </c>
      <c r="D1887" s="452">
        <v>45992</v>
      </c>
      <c r="E1887">
        <v>24192</v>
      </c>
      <c r="F1887" t="s">
        <v>4772</v>
      </c>
      <c r="G1887">
        <v>3099</v>
      </c>
      <c r="H1887">
        <v>18</v>
      </c>
      <c r="I1887" t="s">
        <v>4736</v>
      </c>
      <c r="J1887" t="s">
        <v>5222</v>
      </c>
      <c r="K1887" t="s">
        <v>753</v>
      </c>
      <c r="L1887">
        <v>0</v>
      </c>
      <c r="M1887" s="452">
        <v>45679</v>
      </c>
      <c r="N1887">
        <v>6.12</v>
      </c>
      <c r="O1887">
        <v>6.12</v>
      </c>
      <c r="P1887">
        <v>110.16</v>
      </c>
    </row>
    <row r="1888" spans="1:16" x14ac:dyDescent="0.3">
      <c r="A1888">
        <v>62908</v>
      </c>
      <c r="B1888">
        <v>105</v>
      </c>
      <c r="C1888" t="s">
        <v>557</v>
      </c>
      <c r="D1888" s="452">
        <v>45992</v>
      </c>
      <c r="E1888">
        <v>26560</v>
      </c>
      <c r="F1888" t="s">
        <v>4894</v>
      </c>
      <c r="G1888">
        <v>6788</v>
      </c>
      <c r="H1888">
        <v>4</v>
      </c>
      <c r="I1888" t="s">
        <v>4805</v>
      </c>
      <c r="J1888" t="s">
        <v>5222</v>
      </c>
      <c r="K1888" t="s">
        <v>753</v>
      </c>
      <c r="L1888">
        <v>0</v>
      </c>
      <c r="M1888" s="452">
        <v>45881</v>
      </c>
      <c r="N1888">
        <v>27.5</v>
      </c>
      <c r="O1888">
        <v>27.5</v>
      </c>
      <c r="P1888">
        <v>110</v>
      </c>
    </row>
    <row r="1889" spans="1:16" x14ac:dyDescent="0.3">
      <c r="A1889">
        <v>63018</v>
      </c>
      <c r="B1889">
        <v>105</v>
      </c>
      <c r="C1889" t="s">
        <v>557</v>
      </c>
      <c r="D1889" s="452">
        <v>45992</v>
      </c>
      <c r="E1889">
        <v>20751</v>
      </c>
      <c r="F1889" t="s">
        <v>5004</v>
      </c>
      <c r="G1889">
        <v>2088</v>
      </c>
      <c r="H1889">
        <v>1</v>
      </c>
      <c r="I1889" t="s">
        <v>4884</v>
      </c>
      <c r="J1889" t="s">
        <v>5191</v>
      </c>
      <c r="K1889" t="s">
        <v>753</v>
      </c>
      <c r="L1889">
        <v>108.94</v>
      </c>
      <c r="M1889" s="452">
        <v>45989</v>
      </c>
      <c r="N1889">
        <v>108.94</v>
      </c>
      <c r="O1889">
        <v>108.94</v>
      </c>
      <c r="P1889">
        <v>108.94</v>
      </c>
    </row>
    <row r="1890" spans="1:16" x14ac:dyDescent="0.3">
      <c r="A1890">
        <v>63049</v>
      </c>
      <c r="B1890">
        <v>105</v>
      </c>
      <c r="C1890" t="s">
        <v>557</v>
      </c>
      <c r="D1890" s="452">
        <v>45992</v>
      </c>
      <c r="E1890">
        <v>18327</v>
      </c>
      <c r="F1890" t="s">
        <v>5035</v>
      </c>
      <c r="G1890">
        <v>3306</v>
      </c>
      <c r="H1890">
        <v>1</v>
      </c>
      <c r="I1890" t="s">
        <v>4805</v>
      </c>
      <c r="J1890" t="s">
        <v>5222</v>
      </c>
      <c r="K1890" t="s">
        <v>753</v>
      </c>
      <c r="L1890">
        <v>107.93</v>
      </c>
      <c r="M1890" s="452">
        <v>45987</v>
      </c>
      <c r="N1890">
        <v>107.93</v>
      </c>
      <c r="O1890">
        <v>107.93</v>
      </c>
      <c r="P1890">
        <v>107.93</v>
      </c>
    </row>
    <row r="1891" spans="1:16" x14ac:dyDescent="0.3">
      <c r="A1891">
        <v>62806</v>
      </c>
      <c r="B1891">
        <v>105</v>
      </c>
      <c r="C1891" t="s">
        <v>557</v>
      </c>
      <c r="D1891" s="452">
        <v>45992</v>
      </c>
      <c r="E1891">
        <v>25760</v>
      </c>
      <c r="F1891" t="s">
        <v>4787</v>
      </c>
      <c r="G1891">
        <v>6311</v>
      </c>
      <c r="H1891">
        <v>14</v>
      </c>
      <c r="I1891" t="s">
        <v>4736</v>
      </c>
      <c r="J1891" t="s">
        <v>5191</v>
      </c>
      <c r="K1891" t="s">
        <v>753</v>
      </c>
      <c r="L1891">
        <v>0</v>
      </c>
      <c r="M1891" s="452">
        <v>45922</v>
      </c>
      <c r="N1891">
        <v>7.65</v>
      </c>
      <c r="O1891">
        <v>7.65</v>
      </c>
      <c r="P1891">
        <v>107.1</v>
      </c>
    </row>
    <row r="1892" spans="1:16" x14ac:dyDescent="0.3">
      <c r="A1892">
        <v>63043</v>
      </c>
      <c r="B1892">
        <v>105</v>
      </c>
      <c r="C1892" t="s">
        <v>557</v>
      </c>
      <c r="D1892" s="452">
        <v>45992</v>
      </c>
      <c r="E1892">
        <v>18548</v>
      </c>
      <c r="F1892" t="s">
        <v>5029</v>
      </c>
      <c r="G1892">
        <v>3131</v>
      </c>
      <c r="H1892">
        <v>1</v>
      </c>
      <c r="I1892" t="s">
        <v>4805</v>
      </c>
      <c r="J1892" t="s">
        <v>5222</v>
      </c>
      <c r="K1892" t="s">
        <v>753</v>
      </c>
      <c r="L1892">
        <v>0</v>
      </c>
      <c r="M1892" s="452">
        <v>45853</v>
      </c>
      <c r="N1892">
        <v>106</v>
      </c>
      <c r="O1892">
        <v>106</v>
      </c>
      <c r="P1892">
        <v>106</v>
      </c>
    </row>
    <row r="1893" spans="1:16" x14ac:dyDescent="0.3">
      <c r="A1893">
        <v>63071</v>
      </c>
      <c r="B1893">
        <v>105</v>
      </c>
      <c r="C1893" t="s">
        <v>557</v>
      </c>
      <c r="D1893" s="452">
        <v>45992</v>
      </c>
      <c r="E1893">
        <v>24685</v>
      </c>
      <c r="F1893" t="s">
        <v>5055</v>
      </c>
      <c r="G1893">
        <v>5714</v>
      </c>
      <c r="H1893">
        <v>0.71</v>
      </c>
      <c r="I1893" t="s">
        <v>4805</v>
      </c>
      <c r="J1893" t="s">
        <v>5222</v>
      </c>
      <c r="K1893" t="s">
        <v>753</v>
      </c>
      <c r="L1893">
        <v>0</v>
      </c>
      <c r="M1893" s="452">
        <v>45910</v>
      </c>
      <c r="N1893">
        <v>149.29</v>
      </c>
      <c r="O1893">
        <v>146</v>
      </c>
      <c r="P1893">
        <v>106</v>
      </c>
    </row>
    <row r="1894" spans="1:16" x14ac:dyDescent="0.3">
      <c r="A1894">
        <v>62762</v>
      </c>
      <c r="B1894">
        <v>105</v>
      </c>
      <c r="C1894" t="s">
        <v>557</v>
      </c>
      <c r="D1894" s="452">
        <v>45992</v>
      </c>
      <c r="E1894">
        <v>23095</v>
      </c>
      <c r="F1894" t="s">
        <v>4741</v>
      </c>
      <c r="G1894">
        <v>2754</v>
      </c>
      <c r="H1894">
        <v>110</v>
      </c>
      <c r="I1894" t="s">
        <v>4736</v>
      </c>
      <c r="J1894" t="s">
        <v>5191</v>
      </c>
      <c r="K1894" t="s">
        <v>753</v>
      </c>
      <c r="L1894">
        <v>0.94</v>
      </c>
      <c r="M1894" s="452">
        <v>45988</v>
      </c>
      <c r="N1894">
        <v>0.94</v>
      </c>
      <c r="O1894">
        <v>0.94</v>
      </c>
      <c r="P1894">
        <v>103.4</v>
      </c>
    </row>
    <row r="1895" spans="1:16" x14ac:dyDescent="0.3">
      <c r="A1895">
        <v>63044</v>
      </c>
      <c r="B1895">
        <v>105</v>
      </c>
      <c r="C1895" t="s">
        <v>557</v>
      </c>
      <c r="D1895" s="452">
        <v>45992</v>
      </c>
      <c r="E1895">
        <v>18538</v>
      </c>
      <c r="F1895" t="s">
        <v>5030</v>
      </c>
      <c r="G1895">
        <v>3139</v>
      </c>
      <c r="H1895">
        <v>1</v>
      </c>
      <c r="I1895" t="s">
        <v>4805</v>
      </c>
      <c r="J1895" t="s">
        <v>5222</v>
      </c>
      <c r="K1895" t="s">
        <v>753</v>
      </c>
      <c r="L1895">
        <v>0</v>
      </c>
      <c r="M1895" s="452">
        <v>45902</v>
      </c>
      <c r="N1895">
        <v>103.25</v>
      </c>
      <c r="O1895">
        <v>104.9</v>
      </c>
      <c r="P1895">
        <v>103.25</v>
      </c>
    </row>
    <row r="1896" spans="1:16" x14ac:dyDescent="0.3">
      <c r="A1896">
        <v>62801</v>
      </c>
      <c r="B1896">
        <v>105</v>
      </c>
      <c r="C1896" t="s">
        <v>557</v>
      </c>
      <c r="D1896" s="452">
        <v>45992</v>
      </c>
      <c r="E1896">
        <v>23228</v>
      </c>
      <c r="F1896" t="s">
        <v>4782</v>
      </c>
      <c r="G1896">
        <v>2627</v>
      </c>
      <c r="H1896">
        <v>15.5</v>
      </c>
      <c r="I1896" t="s">
        <v>4744</v>
      </c>
      <c r="J1896" t="s">
        <v>5191</v>
      </c>
      <c r="K1896" t="s">
        <v>753</v>
      </c>
      <c r="L1896">
        <v>6.58</v>
      </c>
      <c r="M1896" s="452">
        <v>45988</v>
      </c>
      <c r="N1896">
        <v>6.53</v>
      </c>
      <c r="O1896">
        <v>6.53</v>
      </c>
      <c r="P1896">
        <v>101.99</v>
      </c>
    </row>
    <row r="1897" spans="1:16" x14ac:dyDescent="0.3">
      <c r="A1897">
        <v>62924</v>
      </c>
      <c r="B1897">
        <v>105</v>
      </c>
      <c r="C1897" t="s">
        <v>557</v>
      </c>
      <c r="D1897" s="452">
        <v>45992</v>
      </c>
      <c r="E1897">
        <v>20308</v>
      </c>
      <c r="F1897" t="s">
        <v>4909</v>
      </c>
      <c r="G1897">
        <v>2222</v>
      </c>
      <c r="H1897">
        <v>3</v>
      </c>
      <c r="I1897" t="s">
        <v>4738</v>
      </c>
      <c r="J1897" t="s">
        <v>5191</v>
      </c>
      <c r="K1897" t="s">
        <v>753</v>
      </c>
      <c r="L1897">
        <v>0</v>
      </c>
      <c r="M1897" s="452">
        <v>45831</v>
      </c>
      <c r="N1897">
        <v>33.799999999999997</v>
      </c>
      <c r="O1897">
        <v>24.9</v>
      </c>
      <c r="P1897">
        <v>101.4</v>
      </c>
    </row>
    <row r="1898" spans="1:16" x14ac:dyDescent="0.3">
      <c r="A1898">
        <v>62932</v>
      </c>
      <c r="B1898">
        <v>105</v>
      </c>
      <c r="C1898" t="s">
        <v>557</v>
      </c>
      <c r="D1898" s="452">
        <v>45992</v>
      </c>
      <c r="E1898">
        <v>19439</v>
      </c>
      <c r="F1898" t="s">
        <v>4917</v>
      </c>
      <c r="G1898">
        <v>2756</v>
      </c>
      <c r="H1898">
        <v>3</v>
      </c>
      <c r="I1898" t="s">
        <v>4744</v>
      </c>
      <c r="J1898" t="s">
        <v>5191</v>
      </c>
      <c r="K1898" t="s">
        <v>753</v>
      </c>
      <c r="L1898">
        <v>33.78</v>
      </c>
      <c r="M1898" s="452">
        <v>45982</v>
      </c>
      <c r="N1898">
        <v>32.200000000000003</v>
      </c>
      <c r="O1898">
        <v>32.200000000000003</v>
      </c>
      <c r="P1898">
        <v>101.34</v>
      </c>
    </row>
    <row r="1899" spans="1:16" x14ac:dyDescent="0.3">
      <c r="A1899">
        <v>62842</v>
      </c>
      <c r="B1899">
        <v>105</v>
      </c>
      <c r="C1899" t="s">
        <v>557</v>
      </c>
      <c r="D1899" s="452">
        <v>45992</v>
      </c>
      <c r="E1899">
        <v>20242</v>
      </c>
      <c r="F1899" t="s">
        <v>4824</v>
      </c>
      <c r="G1899">
        <v>2242</v>
      </c>
      <c r="H1899">
        <v>7</v>
      </c>
      <c r="I1899" t="s">
        <v>4738</v>
      </c>
      <c r="J1899" t="s">
        <v>5191</v>
      </c>
      <c r="K1899" t="s">
        <v>753</v>
      </c>
      <c r="L1899">
        <v>14.32</v>
      </c>
      <c r="M1899" s="452">
        <v>45989</v>
      </c>
      <c r="N1899">
        <v>14.2</v>
      </c>
      <c r="O1899">
        <v>14.2</v>
      </c>
      <c r="P1899">
        <v>100.24</v>
      </c>
    </row>
    <row r="1900" spans="1:16" x14ac:dyDescent="0.3">
      <c r="A1900">
        <v>62774</v>
      </c>
      <c r="B1900">
        <v>105</v>
      </c>
      <c r="C1900" t="s">
        <v>557</v>
      </c>
      <c r="D1900" s="452">
        <v>45992</v>
      </c>
      <c r="E1900">
        <v>24307</v>
      </c>
      <c r="F1900" t="s">
        <v>4755</v>
      </c>
      <c r="G1900">
        <v>3656</v>
      </c>
      <c r="H1900">
        <v>45</v>
      </c>
      <c r="I1900" t="s">
        <v>4736</v>
      </c>
      <c r="J1900" t="s">
        <v>5222</v>
      </c>
      <c r="K1900" t="s">
        <v>753</v>
      </c>
      <c r="L1900">
        <v>0</v>
      </c>
      <c r="M1900" s="452">
        <v>45540</v>
      </c>
      <c r="N1900">
        <v>2.19</v>
      </c>
      <c r="O1900">
        <v>2.19</v>
      </c>
      <c r="P1900">
        <v>98.55</v>
      </c>
    </row>
    <row r="1901" spans="1:16" x14ac:dyDescent="0.3">
      <c r="A1901">
        <v>62849</v>
      </c>
      <c r="B1901">
        <v>105</v>
      </c>
      <c r="C1901" t="s">
        <v>557</v>
      </c>
      <c r="D1901" s="452">
        <v>45992</v>
      </c>
      <c r="E1901">
        <v>20105</v>
      </c>
      <c r="F1901" t="s">
        <v>4831</v>
      </c>
      <c r="G1901">
        <v>2298</v>
      </c>
      <c r="H1901">
        <v>6.6</v>
      </c>
      <c r="I1901" t="s">
        <v>4744</v>
      </c>
      <c r="J1901" t="s">
        <v>5191</v>
      </c>
      <c r="K1901" t="s">
        <v>753</v>
      </c>
      <c r="L1901">
        <v>14.9</v>
      </c>
      <c r="M1901" s="452">
        <v>45978</v>
      </c>
      <c r="N1901">
        <v>14.9</v>
      </c>
      <c r="O1901">
        <v>14.9</v>
      </c>
      <c r="P1901">
        <v>98.34</v>
      </c>
    </row>
    <row r="1902" spans="1:16" x14ac:dyDescent="0.3">
      <c r="A1902">
        <v>62825</v>
      </c>
      <c r="B1902">
        <v>105</v>
      </c>
      <c r="C1902" t="s">
        <v>557</v>
      </c>
      <c r="D1902" s="452">
        <v>45992</v>
      </c>
      <c r="E1902">
        <v>19752</v>
      </c>
      <c r="F1902" t="s">
        <v>4807</v>
      </c>
      <c r="G1902">
        <v>2501</v>
      </c>
      <c r="H1902">
        <v>9.9</v>
      </c>
      <c r="I1902" t="s">
        <v>4744</v>
      </c>
      <c r="J1902" t="s">
        <v>5191</v>
      </c>
      <c r="K1902" t="s">
        <v>753</v>
      </c>
      <c r="L1902">
        <v>9.8699999999999992</v>
      </c>
      <c r="M1902" s="452">
        <v>45988</v>
      </c>
      <c r="N1902">
        <v>12.9</v>
      </c>
      <c r="O1902">
        <v>12.9</v>
      </c>
      <c r="P1902">
        <v>97.71</v>
      </c>
    </row>
    <row r="1903" spans="1:16" x14ac:dyDescent="0.3">
      <c r="A1903">
        <v>62970</v>
      </c>
      <c r="B1903">
        <v>105</v>
      </c>
      <c r="C1903" t="s">
        <v>557</v>
      </c>
      <c r="D1903" s="452">
        <v>45992</v>
      </c>
      <c r="E1903">
        <v>19967</v>
      </c>
      <c r="F1903" t="s">
        <v>4956</v>
      </c>
      <c r="G1903">
        <v>2356</v>
      </c>
      <c r="H1903">
        <v>2</v>
      </c>
      <c r="I1903" t="s">
        <v>4888</v>
      </c>
      <c r="J1903" t="s">
        <v>5191</v>
      </c>
      <c r="K1903" t="s">
        <v>753</v>
      </c>
      <c r="L1903">
        <v>48.85</v>
      </c>
      <c r="M1903" s="452">
        <v>45989</v>
      </c>
      <c r="N1903">
        <v>49.9</v>
      </c>
      <c r="O1903">
        <v>49.9</v>
      </c>
      <c r="P1903">
        <v>97.7</v>
      </c>
    </row>
    <row r="1904" spans="1:16" x14ac:dyDescent="0.3">
      <c r="A1904">
        <v>62987</v>
      </c>
      <c r="B1904">
        <v>105</v>
      </c>
      <c r="C1904" t="s">
        <v>557</v>
      </c>
      <c r="D1904" s="452">
        <v>45992</v>
      </c>
      <c r="E1904">
        <v>18073</v>
      </c>
      <c r="F1904" t="s">
        <v>4974</v>
      </c>
      <c r="G1904">
        <v>3536</v>
      </c>
      <c r="H1904">
        <v>2</v>
      </c>
      <c r="I1904" t="s">
        <v>4805</v>
      </c>
      <c r="J1904" t="s">
        <v>5222</v>
      </c>
      <c r="K1904" t="s">
        <v>753</v>
      </c>
      <c r="L1904">
        <v>48.75</v>
      </c>
      <c r="M1904" s="452">
        <v>45987</v>
      </c>
      <c r="N1904">
        <v>47.6</v>
      </c>
      <c r="O1904">
        <v>47.6</v>
      </c>
      <c r="P1904">
        <v>97.5</v>
      </c>
    </row>
    <row r="1905" spans="1:16" x14ac:dyDescent="0.3">
      <c r="A1905">
        <v>62998</v>
      </c>
      <c r="B1905">
        <v>105</v>
      </c>
      <c r="C1905" t="s">
        <v>557</v>
      </c>
      <c r="D1905" s="452">
        <v>45992</v>
      </c>
      <c r="E1905">
        <v>19955</v>
      </c>
      <c r="F1905" t="s">
        <v>4985</v>
      </c>
      <c r="G1905">
        <v>2359</v>
      </c>
      <c r="H1905">
        <v>1.7</v>
      </c>
      <c r="I1905" t="s">
        <v>4736</v>
      </c>
      <c r="J1905" t="s">
        <v>5191</v>
      </c>
      <c r="K1905" t="s">
        <v>753</v>
      </c>
      <c r="L1905">
        <v>56.9</v>
      </c>
      <c r="M1905" s="452">
        <v>45971</v>
      </c>
      <c r="N1905">
        <v>56.9</v>
      </c>
      <c r="O1905">
        <v>56.49</v>
      </c>
      <c r="P1905">
        <v>96.73</v>
      </c>
    </row>
    <row r="1906" spans="1:16" x14ac:dyDescent="0.3">
      <c r="A1906">
        <v>62862</v>
      </c>
      <c r="B1906">
        <v>105</v>
      </c>
      <c r="C1906" t="s">
        <v>557</v>
      </c>
      <c r="D1906" s="452">
        <v>45992</v>
      </c>
      <c r="E1906">
        <v>24323</v>
      </c>
      <c r="F1906" t="s">
        <v>4844</v>
      </c>
      <c r="G1906">
        <v>2262</v>
      </c>
      <c r="H1906">
        <v>5.95</v>
      </c>
      <c r="I1906" t="s">
        <v>4744</v>
      </c>
      <c r="J1906" t="s">
        <v>5191</v>
      </c>
      <c r="K1906" t="s">
        <v>753</v>
      </c>
      <c r="L1906">
        <v>0</v>
      </c>
      <c r="M1906" s="452">
        <v>45817</v>
      </c>
      <c r="N1906">
        <v>16.2</v>
      </c>
      <c r="O1906">
        <v>14.8</v>
      </c>
      <c r="P1906">
        <v>96.39</v>
      </c>
    </row>
    <row r="1907" spans="1:16" x14ac:dyDescent="0.3">
      <c r="A1907">
        <v>62986</v>
      </c>
      <c r="B1907">
        <v>105</v>
      </c>
      <c r="C1907" t="s">
        <v>557</v>
      </c>
      <c r="D1907" s="452">
        <v>45992</v>
      </c>
      <c r="E1907">
        <v>18085</v>
      </c>
      <c r="F1907" t="s">
        <v>4973</v>
      </c>
      <c r="G1907">
        <v>3524</v>
      </c>
      <c r="H1907">
        <v>2</v>
      </c>
      <c r="I1907" t="s">
        <v>4805</v>
      </c>
      <c r="J1907" t="s">
        <v>5222</v>
      </c>
      <c r="K1907" t="s">
        <v>753</v>
      </c>
      <c r="L1907">
        <v>47.6</v>
      </c>
      <c r="M1907" s="452">
        <v>45987</v>
      </c>
      <c r="N1907">
        <v>47.6</v>
      </c>
      <c r="O1907">
        <v>47.6</v>
      </c>
      <c r="P1907">
        <v>95.2</v>
      </c>
    </row>
    <row r="1908" spans="1:16" x14ac:dyDescent="0.3">
      <c r="A1908">
        <v>62988</v>
      </c>
      <c r="B1908">
        <v>105</v>
      </c>
      <c r="C1908" t="s">
        <v>557</v>
      </c>
      <c r="D1908" s="452">
        <v>45992</v>
      </c>
      <c r="E1908">
        <v>26210</v>
      </c>
      <c r="F1908" t="s">
        <v>4975</v>
      </c>
      <c r="G1908">
        <v>6624</v>
      </c>
      <c r="H1908">
        <v>2</v>
      </c>
      <c r="I1908" t="s">
        <v>4805</v>
      </c>
      <c r="J1908" t="s">
        <v>5222</v>
      </c>
      <c r="K1908" t="s">
        <v>753</v>
      </c>
      <c r="L1908">
        <v>47.6</v>
      </c>
      <c r="M1908" s="452">
        <v>45987</v>
      </c>
      <c r="N1908">
        <v>47.6</v>
      </c>
      <c r="O1908">
        <v>47.6</v>
      </c>
      <c r="P1908">
        <v>95.2</v>
      </c>
    </row>
    <row r="1909" spans="1:16" x14ac:dyDescent="0.3">
      <c r="A1909">
        <v>62989</v>
      </c>
      <c r="B1909">
        <v>105</v>
      </c>
      <c r="C1909" t="s">
        <v>557</v>
      </c>
      <c r="D1909" s="452">
        <v>45992</v>
      </c>
      <c r="E1909">
        <v>26038</v>
      </c>
      <c r="F1909" t="s">
        <v>4976</v>
      </c>
      <c r="G1909">
        <v>6506</v>
      </c>
      <c r="H1909">
        <v>2</v>
      </c>
      <c r="I1909" t="s">
        <v>4805</v>
      </c>
      <c r="J1909" t="s">
        <v>5222</v>
      </c>
      <c r="K1909" t="s">
        <v>753</v>
      </c>
      <c r="L1909">
        <v>47.19</v>
      </c>
      <c r="M1909" s="452">
        <v>45987</v>
      </c>
      <c r="N1909">
        <v>45.5</v>
      </c>
      <c r="O1909">
        <v>45.5</v>
      </c>
      <c r="P1909">
        <v>94.38</v>
      </c>
    </row>
    <row r="1910" spans="1:16" x14ac:dyDescent="0.3">
      <c r="A1910">
        <v>62775</v>
      </c>
      <c r="B1910">
        <v>105</v>
      </c>
      <c r="C1910" t="s">
        <v>557</v>
      </c>
      <c r="D1910" s="452">
        <v>45992</v>
      </c>
      <c r="E1910">
        <v>24029</v>
      </c>
      <c r="F1910" t="s">
        <v>4756</v>
      </c>
      <c r="G1910">
        <v>3591</v>
      </c>
      <c r="H1910">
        <v>43</v>
      </c>
      <c r="I1910" t="s">
        <v>4736</v>
      </c>
      <c r="J1910" t="s">
        <v>5222</v>
      </c>
      <c r="K1910" t="s">
        <v>753</v>
      </c>
      <c r="L1910">
        <v>0</v>
      </c>
      <c r="M1910" s="452">
        <v>45546</v>
      </c>
      <c r="N1910">
        <v>2.19</v>
      </c>
      <c r="O1910">
        <v>2.19</v>
      </c>
      <c r="P1910">
        <v>94.17</v>
      </c>
    </row>
    <row r="1911" spans="1:16" x14ac:dyDescent="0.3">
      <c r="A1911">
        <v>62776</v>
      </c>
      <c r="B1911">
        <v>105</v>
      </c>
      <c r="C1911" t="s">
        <v>557</v>
      </c>
      <c r="D1911" s="452">
        <v>45992</v>
      </c>
      <c r="E1911">
        <v>24308</v>
      </c>
      <c r="F1911" t="s">
        <v>4757</v>
      </c>
      <c r="G1911">
        <v>3658</v>
      </c>
      <c r="H1911">
        <v>43</v>
      </c>
      <c r="I1911" t="s">
        <v>4736</v>
      </c>
      <c r="J1911" t="s">
        <v>5222</v>
      </c>
      <c r="K1911" t="s">
        <v>753</v>
      </c>
      <c r="L1911">
        <v>0</v>
      </c>
      <c r="M1911" s="452">
        <v>45679</v>
      </c>
      <c r="N1911">
        <v>2.19</v>
      </c>
      <c r="O1911">
        <v>2.19</v>
      </c>
      <c r="P1911">
        <v>94.17</v>
      </c>
    </row>
    <row r="1912" spans="1:16" x14ac:dyDescent="0.3">
      <c r="A1912">
        <v>62768</v>
      </c>
      <c r="B1912">
        <v>105</v>
      </c>
      <c r="C1912" t="s">
        <v>557</v>
      </c>
      <c r="D1912" s="452">
        <v>45992</v>
      </c>
      <c r="E1912">
        <v>17042</v>
      </c>
      <c r="F1912" t="s">
        <v>4748</v>
      </c>
      <c r="G1912">
        <v>2830</v>
      </c>
      <c r="H1912">
        <v>64</v>
      </c>
      <c r="I1912" t="s">
        <v>4749</v>
      </c>
      <c r="J1912" t="s">
        <v>5191</v>
      </c>
      <c r="K1912" t="s">
        <v>753</v>
      </c>
      <c r="L1912">
        <v>0</v>
      </c>
      <c r="M1912" s="452">
        <v>45954</v>
      </c>
      <c r="N1912">
        <v>1.44</v>
      </c>
      <c r="O1912">
        <v>1.43</v>
      </c>
      <c r="P1912">
        <v>92.16</v>
      </c>
    </row>
    <row r="1913" spans="1:16" x14ac:dyDescent="0.3">
      <c r="A1913">
        <v>62831</v>
      </c>
      <c r="B1913">
        <v>105</v>
      </c>
      <c r="C1913" t="s">
        <v>557</v>
      </c>
      <c r="D1913" s="452">
        <v>45992</v>
      </c>
      <c r="E1913">
        <v>24302</v>
      </c>
      <c r="F1913" t="s">
        <v>4813</v>
      </c>
      <c r="G1913">
        <v>2251</v>
      </c>
      <c r="H1913">
        <v>8.1999999999999993</v>
      </c>
      <c r="I1913" t="s">
        <v>4744</v>
      </c>
      <c r="J1913" t="s">
        <v>5191</v>
      </c>
      <c r="K1913" t="s">
        <v>753</v>
      </c>
      <c r="L1913">
        <v>0</v>
      </c>
      <c r="M1913" s="452">
        <v>45887</v>
      </c>
      <c r="N1913">
        <v>11.19</v>
      </c>
      <c r="O1913">
        <v>11.69</v>
      </c>
      <c r="P1913">
        <v>91.76</v>
      </c>
    </row>
    <row r="1914" spans="1:16" x14ac:dyDescent="0.3">
      <c r="A1914">
        <v>62808</v>
      </c>
      <c r="B1914">
        <v>105</v>
      </c>
      <c r="C1914" t="s">
        <v>557</v>
      </c>
      <c r="D1914" s="452">
        <v>45992</v>
      </c>
      <c r="E1914">
        <v>25761</v>
      </c>
      <c r="F1914" t="s">
        <v>4789</v>
      </c>
      <c r="G1914">
        <v>6312</v>
      </c>
      <c r="H1914">
        <v>13</v>
      </c>
      <c r="I1914" t="s">
        <v>4736</v>
      </c>
      <c r="J1914" t="s">
        <v>5191</v>
      </c>
      <c r="K1914" t="s">
        <v>753</v>
      </c>
      <c r="L1914">
        <v>0</v>
      </c>
      <c r="N1914">
        <v>0</v>
      </c>
      <c r="O1914">
        <v>0</v>
      </c>
      <c r="P1914">
        <v>90.87</v>
      </c>
    </row>
    <row r="1915" spans="1:16" x14ac:dyDescent="0.3">
      <c r="A1915">
        <v>62832</v>
      </c>
      <c r="B1915">
        <v>105</v>
      </c>
      <c r="C1915" t="s">
        <v>557</v>
      </c>
      <c r="D1915" s="452">
        <v>45992</v>
      </c>
      <c r="E1915">
        <v>20623</v>
      </c>
      <c r="F1915" t="s">
        <v>4814</v>
      </c>
      <c r="G1915">
        <v>2116</v>
      </c>
      <c r="H1915">
        <v>8.17</v>
      </c>
      <c r="I1915" t="s">
        <v>4736</v>
      </c>
      <c r="J1915" t="s">
        <v>5191</v>
      </c>
      <c r="K1915" t="s">
        <v>753</v>
      </c>
      <c r="L1915">
        <v>11.07</v>
      </c>
      <c r="M1915" s="452">
        <v>45985</v>
      </c>
      <c r="N1915">
        <v>11.07</v>
      </c>
      <c r="O1915">
        <v>11.07</v>
      </c>
      <c r="P1915">
        <v>90.44</v>
      </c>
    </row>
    <row r="1916" spans="1:16" x14ac:dyDescent="0.3">
      <c r="A1916">
        <v>62851</v>
      </c>
      <c r="B1916">
        <v>105</v>
      </c>
      <c r="C1916" t="s">
        <v>557</v>
      </c>
      <c r="D1916" s="452">
        <v>45992</v>
      </c>
      <c r="E1916">
        <v>19734</v>
      </c>
      <c r="F1916" t="s">
        <v>4833</v>
      </c>
      <c r="G1916">
        <v>2519</v>
      </c>
      <c r="H1916">
        <v>6.5</v>
      </c>
      <c r="I1916" t="s">
        <v>4744</v>
      </c>
      <c r="J1916" t="s">
        <v>5191</v>
      </c>
      <c r="K1916" t="s">
        <v>753</v>
      </c>
      <c r="L1916">
        <v>13.9</v>
      </c>
      <c r="M1916" s="452">
        <v>45988</v>
      </c>
      <c r="N1916">
        <v>13.75</v>
      </c>
      <c r="O1916">
        <v>13.75</v>
      </c>
      <c r="P1916">
        <v>90.35</v>
      </c>
    </row>
    <row r="1917" spans="1:16" x14ac:dyDescent="0.3">
      <c r="A1917">
        <v>63068</v>
      </c>
      <c r="B1917">
        <v>105</v>
      </c>
      <c r="C1917" t="s">
        <v>557</v>
      </c>
      <c r="D1917" s="452">
        <v>45992</v>
      </c>
      <c r="E1917">
        <v>20716</v>
      </c>
      <c r="F1917" t="s">
        <v>5053</v>
      </c>
      <c r="G1917">
        <v>2098</v>
      </c>
      <c r="H1917">
        <v>0.75</v>
      </c>
      <c r="I1917" t="s">
        <v>4744</v>
      </c>
      <c r="J1917" t="s">
        <v>5191</v>
      </c>
      <c r="K1917" t="s">
        <v>753</v>
      </c>
      <c r="L1917">
        <v>0</v>
      </c>
      <c r="N1917">
        <v>0</v>
      </c>
      <c r="O1917">
        <v>0</v>
      </c>
      <c r="P1917">
        <v>89.64</v>
      </c>
    </row>
    <row r="1918" spans="1:16" x14ac:dyDescent="0.3">
      <c r="A1918">
        <v>63059</v>
      </c>
      <c r="B1918">
        <v>105</v>
      </c>
      <c r="C1918" t="s">
        <v>557</v>
      </c>
      <c r="D1918" s="452">
        <v>45992</v>
      </c>
      <c r="E1918">
        <v>18116</v>
      </c>
      <c r="F1918" t="s">
        <v>5045</v>
      </c>
      <c r="G1918">
        <v>3496</v>
      </c>
      <c r="H1918">
        <v>1</v>
      </c>
      <c r="I1918" t="s">
        <v>4805</v>
      </c>
      <c r="J1918" t="s">
        <v>5222</v>
      </c>
      <c r="K1918" t="s">
        <v>753</v>
      </c>
      <c r="L1918">
        <v>84</v>
      </c>
      <c r="M1918" s="452">
        <v>45987</v>
      </c>
      <c r="N1918">
        <v>89</v>
      </c>
      <c r="O1918">
        <v>89</v>
      </c>
      <c r="P1918">
        <v>84</v>
      </c>
    </row>
    <row r="1919" spans="1:16" x14ac:dyDescent="0.3">
      <c r="A1919">
        <v>62929</v>
      </c>
      <c r="B1919">
        <v>105</v>
      </c>
      <c r="C1919" t="s">
        <v>557</v>
      </c>
      <c r="D1919" s="452">
        <v>45992</v>
      </c>
      <c r="E1919">
        <v>20206</v>
      </c>
      <c r="F1919" t="s">
        <v>4914</v>
      </c>
      <c r="G1919">
        <v>2253</v>
      </c>
      <c r="H1919">
        <v>3</v>
      </c>
      <c r="I1919" t="s">
        <v>4736</v>
      </c>
      <c r="J1919" t="s">
        <v>5191</v>
      </c>
      <c r="K1919" t="s">
        <v>753</v>
      </c>
      <c r="L1919">
        <v>0</v>
      </c>
      <c r="M1919" s="452">
        <v>45926</v>
      </c>
      <c r="N1919">
        <v>27.99</v>
      </c>
      <c r="O1919">
        <v>25.5</v>
      </c>
      <c r="P1919">
        <v>83.97</v>
      </c>
    </row>
    <row r="1920" spans="1:16" x14ac:dyDescent="0.3">
      <c r="A1920">
        <v>62886</v>
      </c>
      <c r="B1920">
        <v>105</v>
      </c>
      <c r="C1920" t="s">
        <v>557</v>
      </c>
      <c r="D1920" s="452">
        <v>45992</v>
      </c>
      <c r="E1920">
        <v>18992</v>
      </c>
      <c r="F1920" t="s">
        <v>4869</v>
      </c>
      <c r="G1920">
        <v>2900</v>
      </c>
      <c r="H1920">
        <v>4.5</v>
      </c>
      <c r="I1920" t="s">
        <v>4744</v>
      </c>
      <c r="J1920" t="s">
        <v>5191</v>
      </c>
      <c r="K1920" t="s">
        <v>753</v>
      </c>
      <c r="L1920">
        <v>0</v>
      </c>
      <c r="M1920" s="452">
        <v>45922</v>
      </c>
      <c r="N1920">
        <v>18.39</v>
      </c>
      <c r="O1920">
        <v>16.5</v>
      </c>
      <c r="P1920">
        <v>82.76</v>
      </c>
    </row>
    <row r="1921" spans="1:16" x14ac:dyDescent="0.3">
      <c r="A1921">
        <v>62863</v>
      </c>
      <c r="B1921">
        <v>105</v>
      </c>
      <c r="C1921" t="s">
        <v>557</v>
      </c>
      <c r="D1921" s="452">
        <v>45992</v>
      </c>
      <c r="E1921">
        <v>23934</v>
      </c>
      <c r="F1921" t="s">
        <v>4845</v>
      </c>
      <c r="G1921">
        <v>1965</v>
      </c>
      <c r="H1921">
        <v>5.9</v>
      </c>
      <c r="I1921" t="s">
        <v>4744</v>
      </c>
      <c r="J1921" t="s">
        <v>5191</v>
      </c>
      <c r="K1921" t="s">
        <v>753</v>
      </c>
      <c r="L1921">
        <v>0</v>
      </c>
      <c r="M1921" s="452">
        <v>45923</v>
      </c>
      <c r="N1921">
        <v>13.8</v>
      </c>
      <c r="O1921">
        <v>8.4</v>
      </c>
      <c r="P1921">
        <v>81.42</v>
      </c>
    </row>
    <row r="1922" spans="1:16" x14ac:dyDescent="0.3">
      <c r="A1922">
        <v>62964</v>
      </c>
      <c r="B1922">
        <v>105</v>
      </c>
      <c r="C1922" t="s">
        <v>557</v>
      </c>
      <c r="D1922" s="452">
        <v>45992</v>
      </c>
      <c r="E1922">
        <v>20057</v>
      </c>
      <c r="F1922" t="s">
        <v>4949</v>
      </c>
      <c r="G1922">
        <v>2324</v>
      </c>
      <c r="H1922">
        <v>2</v>
      </c>
      <c r="I1922" t="s">
        <v>4736</v>
      </c>
      <c r="J1922" t="s">
        <v>5191</v>
      </c>
      <c r="K1922" t="s">
        <v>753</v>
      </c>
      <c r="L1922">
        <v>40.200000000000003</v>
      </c>
      <c r="M1922" s="452">
        <v>45990</v>
      </c>
      <c r="N1922">
        <v>40.1</v>
      </c>
      <c r="O1922">
        <v>40.1</v>
      </c>
      <c r="P1922">
        <v>80.400000000000006</v>
      </c>
    </row>
    <row r="1923" spans="1:16" x14ac:dyDescent="0.3">
      <c r="A1923">
        <v>62871</v>
      </c>
      <c r="B1923">
        <v>105</v>
      </c>
      <c r="C1923" t="s">
        <v>557</v>
      </c>
      <c r="D1923" s="452">
        <v>45992</v>
      </c>
      <c r="E1923">
        <v>25756</v>
      </c>
      <c r="F1923" t="s">
        <v>4854</v>
      </c>
      <c r="G1923">
        <v>9069</v>
      </c>
      <c r="H1923">
        <v>5</v>
      </c>
      <c r="I1923" t="s">
        <v>4749</v>
      </c>
      <c r="J1923" t="s">
        <v>5191</v>
      </c>
      <c r="K1923" t="s">
        <v>753</v>
      </c>
      <c r="L1923">
        <v>0</v>
      </c>
      <c r="M1923" s="452">
        <v>45918</v>
      </c>
      <c r="N1923">
        <v>15.98</v>
      </c>
      <c r="O1923">
        <v>15.98</v>
      </c>
      <c r="P1923">
        <v>79.900000000000006</v>
      </c>
    </row>
    <row r="1924" spans="1:16" x14ac:dyDescent="0.3">
      <c r="A1924">
        <v>62893</v>
      </c>
      <c r="B1924">
        <v>105</v>
      </c>
      <c r="C1924" t="s">
        <v>557</v>
      </c>
      <c r="D1924" s="452">
        <v>45992</v>
      </c>
      <c r="E1924">
        <v>21147</v>
      </c>
      <c r="F1924" t="s">
        <v>4876</v>
      </c>
      <c r="G1924">
        <v>1952</v>
      </c>
      <c r="H1924">
        <v>4</v>
      </c>
      <c r="I1924" t="s">
        <v>4736</v>
      </c>
      <c r="J1924" t="s">
        <v>5191</v>
      </c>
      <c r="K1924" t="s">
        <v>753</v>
      </c>
      <c r="L1924">
        <v>0</v>
      </c>
      <c r="M1924" s="452">
        <v>45933</v>
      </c>
      <c r="N1924">
        <v>19.899999999999999</v>
      </c>
      <c r="O1924">
        <v>19</v>
      </c>
      <c r="P1924">
        <v>79.599999999999994</v>
      </c>
    </row>
    <row r="1925" spans="1:16" x14ac:dyDescent="0.3">
      <c r="A1925">
        <v>63015</v>
      </c>
      <c r="B1925">
        <v>105</v>
      </c>
      <c r="C1925" t="s">
        <v>557</v>
      </c>
      <c r="D1925" s="452">
        <v>45992</v>
      </c>
      <c r="E1925">
        <v>20756</v>
      </c>
      <c r="F1925" t="s">
        <v>5001</v>
      </c>
      <c r="G1925">
        <v>2086</v>
      </c>
      <c r="H1925">
        <v>1</v>
      </c>
      <c r="I1925" t="s">
        <v>4736</v>
      </c>
      <c r="J1925" t="s">
        <v>5191</v>
      </c>
      <c r="K1925" t="s">
        <v>753</v>
      </c>
      <c r="L1925">
        <v>0</v>
      </c>
      <c r="M1925" s="452">
        <v>45607</v>
      </c>
      <c r="N1925">
        <v>79.2</v>
      </c>
      <c r="O1925">
        <v>78.900000000000006</v>
      </c>
      <c r="P1925">
        <v>79.2</v>
      </c>
    </row>
    <row r="1926" spans="1:16" x14ac:dyDescent="0.3">
      <c r="A1926">
        <v>63064</v>
      </c>
      <c r="B1926">
        <v>105</v>
      </c>
      <c r="C1926" t="s">
        <v>557</v>
      </c>
      <c r="D1926" s="452">
        <v>45992</v>
      </c>
      <c r="E1926">
        <v>18111</v>
      </c>
      <c r="F1926" t="s">
        <v>5049</v>
      </c>
      <c r="G1926">
        <v>3500</v>
      </c>
      <c r="H1926">
        <v>0.84</v>
      </c>
      <c r="I1926" t="s">
        <v>4805</v>
      </c>
      <c r="J1926" t="s">
        <v>5222</v>
      </c>
      <c r="K1926" t="s">
        <v>753</v>
      </c>
      <c r="L1926">
        <v>0</v>
      </c>
      <c r="M1926" s="452">
        <v>45875</v>
      </c>
      <c r="N1926">
        <v>93.4</v>
      </c>
      <c r="O1926">
        <v>88.91</v>
      </c>
      <c r="P1926">
        <v>78.459999999999994</v>
      </c>
    </row>
    <row r="1927" spans="1:16" x14ac:dyDescent="0.3">
      <c r="A1927">
        <v>63016</v>
      </c>
      <c r="B1927">
        <v>105</v>
      </c>
      <c r="C1927" t="s">
        <v>557</v>
      </c>
      <c r="D1927" s="452">
        <v>45992</v>
      </c>
      <c r="E1927">
        <v>24040</v>
      </c>
      <c r="F1927" t="s">
        <v>5002</v>
      </c>
      <c r="G1927">
        <v>2261</v>
      </c>
      <c r="H1927">
        <v>1</v>
      </c>
      <c r="I1927" t="s">
        <v>4744</v>
      </c>
      <c r="J1927" t="s">
        <v>5191</v>
      </c>
      <c r="K1927" t="s">
        <v>753</v>
      </c>
      <c r="L1927">
        <v>78.400000000000006</v>
      </c>
      <c r="M1927" s="452">
        <v>45975</v>
      </c>
      <c r="N1927">
        <v>78.400000000000006</v>
      </c>
      <c r="O1927">
        <v>78.400000000000006</v>
      </c>
      <c r="P1927">
        <v>78.400000000000006</v>
      </c>
    </row>
    <row r="1928" spans="1:16" x14ac:dyDescent="0.3">
      <c r="A1928">
        <v>62944</v>
      </c>
      <c r="B1928">
        <v>105</v>
      </c>
      <c r="C1928" t="s">
        <v>557</v>
      </c>
      <c r="D1928" s="452">
        <v>45992</v>
      </c>
      <c r="E1928">
        <v>20207</v>
      </c>
      <c r="F1928" t="s">
        <v>4929</v>
      </c>
      <c r="G1928">
        <v>2253</v>
      </c>
      <c r="H1928">
        <v>2.6</v>
      </c>
      <c r="I1928" t="s">
        <v>4744</v>
      </c>
      <c r="J1928" t="s">
        <v>5191</v>
      </c>
      <c r="K1928" t="s">
        <v>753</v>
      </c>
      <c r="L1928">
        <v>0</v>
      </c>
      <c r="M1928" s="452">
        <v>45895</v>
      </c>
      <c r="N1928">
        <v>29.9</v>
      </c>
      <c r="O1928">
        <v>29.9</v>
      </c>
      <c r="P1928">
        <v>77.739999999999995</v>
      </c>
    </row>
    <row r="1929" spans="1:16" x14ac:dyDescent="0.3">
      <c r="A1929">
        <v>62814</v>
      </c>
      <c r="B1929">
        <v>105</v>
      </c>
      <c r="C1929" t="s">
        <v>557</v>
      </c>
      <c r="D1929" s="452">
        <v>45992</v>
      </c>
      <c r="E1929">
        <v>24226</v>
      </c>
      <c r="F1929" t="s">
        <v>4795</v>
      </c>
      <c r="G1929">
        <v>3647</v>
      </c>
      <c r="H1929">
        <v>12</v>
      </c>
      <c r="I1929" t="s">
        <v>4736</v>
      </c>
      <c r="J1929" t="s">
        <v>5222</v>
      </c>
      <c r="K1929" t="s">
        <v>753</v>
      </c>
      <c r="L1929">
        <v>0</v>
      </c>
      <c r="M1929" s="452">
        <v>45532</v>
      </c>
      <c r="N1929">
        <v>6.42</v>
      </c>
      <c r="O1929">
        <v>6.82</v>
      </c>
      <c r="P1929">
        <v>77.040000000000006</v>
      </c>
    </row>
    <row r="1930" spans="1:16" x14ac:dyDescent="0.3">
      <c r="A1930">
        <v>62995</v>
      </c>
      <c r="B1930">
        <v>105</v>
      </c>
      <c r="C1930" t="s">
        <v>557</v>
      </c>
      <c r="D1930" s="452">
        <v>45992</v>
      </c>
      <c r="E1930">
        <v>23808</v>
      </c>
      <c r="F1930" t="s">
        <v>4982</v>
      </c>
      <c r="G1930">
        <v>2096</v>
      </c>
      <c r="H1930">
        <v>1.89</v>
      </c>
      <c r="I1930" t="s">
        <v>4744</v>
      </c>
      <c r="J1930" t="s">
        <v>5191</v>
      </c>
      <c r="K1930" t="s">
        <v>753</v>
      </c>
      <c r="L1930">
        <v>40.25</v>
      </c>
      <c r="M1930" s="452">
        <v>45990</v>
      </c>
      <c r="N1930">
        <v>67.05</v>
      </c>
      <c r="O1930">
        <v>67.05</v>
      </c>
      <c r="P1930">
        <v>76.069999999999993</v>
      </c>
    </row>
    <row r="1931" spans="1:16" x14ac:dyDescent="0.3">
      <c r="A1931">
        <v>62811</v>
      </c>
      <c r="B1931">
        <v>105</v>
      </c>
      <c r="C1931" t="s">
        <v>557</v>
      </c>
      <c r="D1931" s="452">
        <v>45992</v>
      </c>
      <c r="E1931">
        <v>19634</v>
      </c>
      <c r="F1931" t="s">
        <v>4792</v>
      </c>
      <c r="G1931">
        <v>2602</v>
      </c>
      <c r="H1931">
        <v>12.9</v>
      </c>
      <c r="I1931" t="s">
        <v>4744</v>
      </c>
      <c r="J1931" t="s">
        <v>5191</v>
      </c>
      <c r="K1931" t="s">
        <v>753</v>
      </c>
      <c r="L1931">
        <v>5.64</v>
      </c>
      <c r="M1931" s="452">
        <v>45988</v>
      </c>
      <c r="N1931">
        <v>5</v>
      </c>
      <c r="O1931">
        <v>5</v>
      </c>
      <c r="P1931">
        <v>72.760000000000005</v>
      </c>
    </row>
    <row r="1932" spans="1:16" x14ac:dyDescent="0.3">
      <c r="A1932">
        <v>62843</v>
      </c>
      <c r="B1932">
        <v>105</v>
      </c>
      <c r="C1932" t="s">
        <v>557</v>
      </c>
      <c r="D1932" s="452">
        <v>45992</v>
      </c>
      <c r="E1932">
        <v>20227</v>
      </c>
      <c r="F1932" t="s">
        <v>4825</v>
      </c>
      <c r="G1932">
        <v>2248</v>
      </c>
      <c r="H1932">
        <v>7</v>
      </c>
      <c r="I1932" t="s">
        <v>4738</v>
      </c>
      <c r="J1932" t="s">
        <v>5191</v>
      </c>
      <c r="K1932" t="s">
        <v>753</v>
      </c>
      <c r="L1932">
        <v>10.33</v>
      </c>
      <c r="M1932" s="452">
        <v>45982</v>
      </c>
      <c r="N1932">
        <v>10.14</v>
      </c>
      <c r="O1932">
        <v>10.14</v>
      </c>
      <c r="P1932">
        <v>72.31</v>
      </c>
    </row>
    <row r="1933" spans="1:16" x14ac:dyDescent="0.3">
      <c r="A1933">
        <v>62902</v>
      </c>
      <c r="B1933">
        <v>105</v>
      </c>
      <c r="C1933" t="s">
        <v>557</v>
      </c>
      <c r="D1933" s="452">
        <v>45992</v>
      </c>
      <c r="E1933">
        <v>19978</v>
      </c>
      <c r="F1933" t="s">
        <v>4887</v>
      </c>
      <c r="G1933">
        <v>2353</v>
      </c>
      <c r="H1933">
        <v>4</v>
      </c>
      <c r="I1933" t="s">
        <v>4888</v>
      </c>
      <c r="J1933" t="s">
        <v>5191</v>
      </c>
      <c r="K1933" t="s">
        <v>753</v>
      </c>
      <c r="L1933">
        <v>18.05</v>
      </c>
      <c r="M1933" s="452">
        <v>45982</v>
      </c>
      <c r="N1933">
        <v>18.05</v>
      </c>
      <c r="O1933">
        <v>18.05</v>
      </c>
      <c r="P1933">
        <v>72.2</v>
      </c>
    </row>
    <row r="1934" spans="1:16" x14ac:dyDescent="0.3">
      <c r="A1934">
        <v>62914</v>
      </c>
      <c r="B1934">
        <v>105</v>
      </c>
      <c r="C1934" t="s">
        <v>557</v>
      </c>
      <c r="D1934" s="452">
        <v>45992</v>
      </c>
      <c r="E1934">
        <v>19652</v>
      </c>
      <c r="F1934" t="s">
        <v>4899</v>
      </c>
      <c r="G1934">
        <v>2587</v>
      </c>
      <c r="H1934">
        <v>3.6</v>
      </c>
      <c r="I1934" t="s">
        <v>4744</v>
      </c>
      <c r="J1934" t="s">
        <v>5191</v>
      </c>
      <c r="K1934" t="s">
        <v>753</v>
      </c>
      <c r="L1934">
        <v>19.86</v>
      </c>
      <c r="M1934" s="452">
        <v>45985</v>
      </c>
      <c r="N1934">
        <v>19.86</v>
      </c>
      <c r="O1934">
        <v>21.75</v>
      </c>
      <c r="P1934">
        <v>71.5</v>
      </c>
    </row>
    <row r="1935" spans="1:16" x14ac:dyDescent="0.3">
      <c r="A1935">
        <v>62941</v>
      </c>
      <c r="B1935">
        <v>105</v>
      </c>
      <c r="C1935" t="s">
        <v>557</v>
      </c>
      <c r="D1935" s="452">
        <v>45992</v>
      </c>
      <c r="E1935">
        <v>17878</v>
      </c>
      <c r="F1935" t="s">
        <v>4926</v>
      </c>
      <c r="G1935">
        <v>3677</v>
      </c>
      <c r="H1935">
        <v>3</v>
      </c>
      <c r="I1935" t="s">
        <v>4736</v>
      </c>
      <c r="J1935" t="s">
        <v>5222</v>
      </c>
      <c r="K1935" t="s">
        <v>753</v>
      </c>
      <c r="L1935">
        <v>0</v>
      </c>
      <c r="M1935" s="452">
        <v>45947</v>
      </c>
      <c r="N1935">
        <v>23.46</v>
      </c>
      <c r="O1935">
        <v>18.7</v>
      </c>
      <c r="P1935">
        <v>70.38</v>
      </c>
    </row>
    <row r="1936" spans="1:16" x14ac:dyDescent="0.3">
      <c r="A1936">
        <v>62918</v>
      </c>
      <c r="B1936">
        <v>105</v>
      </c>
      <c r="C1936" t="s">
        <v>557</v>
      </c>
      <c r="D1936" s="452">
        <v>45992</v>
      </c>
      <c r="E1936">
        <v>19555</v>
      </c>
      <c r="F1936" t="s">
        <v>4903</v>
      </c>
      <c r="G1936">
        <v>2662</v>
      </c>
      <c r="H1936">
        <v>3.2</v>
      </c>
      <c r="I1936" t="s">
        <v>4744</v>
      </c>
      <c r="J1936" t="s">
        <v>5191</v>
      </c>
      <c r="K1936" t="s">
        <v>753</v>
      </c>
      <c r="L1936">
        <v>21.86</v>
      </c>
      <c r="M1936" s="452">
        <v>45978</v>
      </c>
      <c r="N1936">
        <v>21.25</v>
      </c>
      <c r="O1936">
        <v>20.62</v>
      </c>
      <c r="P1936">
        <v>69.95</v>
      </c>
    </row>
    <row r="1937" spans="1:16" x14ac:dyDescent="0.3">
      <c r="A1937">
        <v>62968</v>
      </c>
      <c r="B1937">
        <v>105</v>
      </c>
      <c r="C1937" t="s">
        <v>557</v>
      </c>
      <c r="D1937" s="452">
        <v>45992</v>
      </c>
      <c r="E1937">
        <v>20887</v>
      </c>
      <c r="F1937" t="s">
        <v>4953</v>
      </c>
      <c r="G1937">
        <v>2040</v>
      </c>
      <c r="H1937">
        <v>2</v>
      </c>
      <c r="I1937" t="s">
        <v>4879</v>
      </c>
      <c r="J1937" t="s">
        <v>5191</v>
      </c>
      <c r="K1937" t="s">
        <v>753</v>
      </c>
      <c r="L1937">
        <v>0</v>
      </c>
      <c r="M1937" s="452">
        <v>45950</v>
      </c>
      <c r="N1937">
        <v>34.200000000000003</v>
      </c>
      <c r="O1937">
        <v>34.5</v>
      </c>
      <c r="P1937">
        <v>68.400000000000006</v>
      </c>
    </row>
    <row r="1938" spans="1:16" x14ac:dyDescent="0.3">
      <c r="A1938">
        <v>63033</v>
      </c>
      <c r="B1938">
        <v>105</v>
      </c>
      <c r="C1938" t="s">
        <v>557</v>
      </c>
      <c r="D1938" s="452">
        <v>45992</v>
      </c>
      <c r="E1938">
        <v>20624</v>
      </c>
      <c r="F1938" t="s">
        <v>5019</v>
      </c>
      <c r="G1938">
        <v>2116</v>
      </c>
      <c r="H1938">
        <v>1</v>
      </c>
      <c r="I1938" t="s">
        <v>4884</v>
      </c>
      <c r="J1938" t="s">
        <v>5191</v>
      </c>
      <c r="K1938" t="s">
        <v>753</v>
      </c>
      <c r="L1938">
        <v>68.33</v>
      </c>
      <c r="M1938" s="452">
        <v>45989</v>
      </c>
      <c r="N1938">
        <v>68.900000000000006</v>
      </c>
      <c r="O1938">
        <v>68.900000000000006</v>
      </c>
      <c r="P1938">
        <v>68.33</v>
      </c>
    </row>
    <row r="1939" spans="1:16" x14ac:dyDescent="0.3">
      <c r="A1939">
        <v>62963</v>
      </c>
      <c r="B1939">
        <v>105</v>
      </c>
      <c r="C1939" t="s">
        <v>557</v>
      </c>
      <c r="D1939" s="452">
        <v>45992</v>
      </c>
      <c r="E1939">
        <v>24638</v>
      </c>
      <c r="F1939" t="s">
        <v>4948</v>
      </c>
      <c r="G1939">
        <v>5690</v>
      </c>
      <c r="H1939">
        <v>2</v>
      </c>
      <c r="I1939" t="s">
        <v>4749</v>
      </c>
      <c r="J1939" t="s">
        <v>5191</v>
      </c>
      <c r="K1939" t="s">
        <v>753</v>
      </c>
      <c r="L1939">
        <v>32.9</v>
      </c>
      <c r="M1939" s="452">
        <v>45980</v>
      </c>
      <c r="N1939">
        <v>32.9</v>
      </c>
      <c r="O1939">
        <v>32.9</v>
      </c>
      <c r="P1939">
        <v>65.8</v>
      </c>
    </row>
    <row r="1940" spans="1:16" x14ac:dyDescent="0.3">
      <c r="A1940">
        <v>63000</v>
      </c>
      <c r="B1940">
        <v>105</v>
      </c>
      <c r="C1940" t="s">
        <v>557</v>
      </c>
      <c r="D1940" s="452">
        <v>45992</v>
      </c>
      <c r="E1940">
        <v>18423</v>
      </c>
      <c r="F1940" t="s">
        <v>4987</v>
      </c>
      <c r="G1940">
        <v>3220</v>
      </c>
      <c r="H1940">
        <v>1.63</v>
      </c>
      <c r="I1940" t="s">
        <v>4805</v>
      </c>
      <c r="J1940" t="s">
        <v>5222</v>
      </c>
      <c r="K1940" t="s">
        <v>753</v>
      </c>
      <c r="L1940">
        <v>39.21</v>
      </c>
      <c r="M1940" s="452">
        <v>45987</v>
      </c>
      <c r="N1940">
        <v>39.21</v>
      </c>
      <c r="O1940">
        <v>39.21</v>
      </c>
      <c r="P1940">
        <v>63.91</v>
      </c>
    </row>
    <row r="1941" spans="1:16" x14ac:dyDescent="0.3">
      <c r="A1941">
        <v>62805</v>
      </c>
      <c r="B1941">
        <v>105</v>
      </c>
      <c r="C1941" t="s">
        <v>557</v>
      </c>
      <c r="D1941" s="452">
        <v>45992</v>
      </c>
      <c r="E1941">
        <v>19635</v>
      </c>
      <c r="F1941" t="s">
        <v>4786</v>
      </c>
      <c r="G1941">
        <v>2601</v>
      </c>
      <c r="H1941">
        <v>14.04</v>
      </c>
      <c r="I1941" t="s">
        <v>4744</v>
      </c>
      <c r="J1941" t="s">
        <v>5191</v>
      </c>
      <c r="K1941" t="s">
        <v>753</v>
      </c>
      <c r="L1941">
        <v>4.4400000000000004</v>
      </c>
      <c r="M1941" s="452">
        <v>45988</v>
      </c>
      <c r="N1941">
        <v>3.5</v>
      </c>
      <c r="O1941">
        <v>3.5</v>
      </c>
      <c r="P1941">
        <v>62.34</v>
      </c>
    </row>
    <row r="1942" spans="1:16" x14ac:dyDescent="0.3">
      <c r="A1942">
        <v>63025</v>
      </c>
      <c r="B1942">
        <v>105</v>
      </c>
      <c r="C1942" t="s">
        <v>557</v>
      </c>
      <c r="D1942" s="452">
        <v>45992</v>
      </c>
      <c r="E1942">
        <v>20660</v>
      </c>
      <c r="F1942" t="s">
        <v>5011</v>
      </c>
      <c r="G1942">
        <v>2110</v>
      </c>
      <c r="H1942">
        <v>1</v>
      </c>
      <c r="I1942" t="s">
        <v>4955</v>
      </c>
      <c r="J1942" t="s">
        <v>5191</v>
      </c>
      <c r="K1942" t="s">
        <v>753</v>
      </c>
      <c r="L1942">
        <v>61.9</v>
      </c>
      <c r="M1942" s="452">
        <v>45989</v>
      </c>
      <c r="N1942">
        <v>61.9</v>
      </c>
      <c r="O1942">
        <v>61.9</v>
      </c>
      <c r="P1942">
        <v>61.9</v>
      </c>
    </row>
    <row r="1943" spans="1:16" x14ac:dyDescent="0.3">
      <c r="A1943">
        <v>62894</v>
      </c>
      <c r="B1943">
        <v>105</v>
      </c>
      <c r="C1943" t="s">
        <v>557</v>
      </c>
      <c r="D1943" s="452">
        <v>45992</v>
      </c>
      <c r="E1943">
        <v>25759</v>
      </c>
      <c r="F1943" t="s">
        <v>4877</v>
      </c>
      <c r="G1943">
        <v>9073</v>
      </c>
      <c r="H1943">
        <v>4</v>
      </c>
      <c r="I1943" t="s">
        <v>4736</v>
      </c>
      <c r="J1943" t="s">
        <v>5191</v>
      </c>
      <c r="K1943" t="s">
        <v>753</v>
      </c>
      <c r="L1943">
        <v>0</v>
      </c>
      <c r="M1943" s="452">
        <v>45918</v>
      </c>
      <c r="N1943">
        <v>15.3</v>
      </c>
      <c r="O1943">
        <v>15.3</v>
      </c>
      <c r="P1943">
        <v>61.2</v>
      </c>
    </row>
    <row r="1944" spans="1:16" x14ac:dyDescent="0.3">
      <c r="A1944">
        <v>62992</v>
      </c>
      <c r="B1944">
        <v>105</v>
      </c>
      <c r="C1944" t="s">
        <v>557</v>
      </c>
      <c r="D1944" s="452">
        <v>45992</v>
      </c>
      <c r="E1944">
        <v>18450</v>
      </c>
      <c r="F1944" t="s">
        <v>4979</v>
      </c>
      <c r="G1944">
        <v>3202</v>
      </c>
      <c r="H1944">
        <v>2</v>
      </c>
      <c r="I1944" t="s">
        <v>4805</v>
      </c>
      <c r="J1944" t="s">
        <v>5222</v>
      </c>
      <c r="K1944" t="s">
        <v>753</v>
      </c>
      <c r="L1944">
        <v>0</v>
      </c>
      <c r="N1944">
        <v>0</v>
      </c>
      <c r="O1944">
        <v>30.45</v>
      </c>
      <c r="P1944">
        <v>60.9</v>
      </c>
    </row>
    <row r="1945" spans="1:16" x14ac:dyDescent="0.3">
      <c r="A1945">
        <v>62813</v>
      </c>
      <c r="B1945">
        <v>105</v>
      </c>
      <c r="C1945" t="s">
        <v>557</v>
      </c>
      <c r="D1945" s="452">
        <v>45992</v>
      </c>
      <c r="E1945">
        <v>25747</v>
      </c>
      <c r="F1945" t="s">
        <v>4794</v>
      </c>
      <c r="G1945">
        <v>6299</v>
      </c>
      <c r="H1945">
        <v>12</v>
      </c>
      <c r="I1945" t="s">
        <v>4736</v>
      </c>
      <c r="J1945" t="s">
        <v>5191</v>
      </c>
      <c r="K1945" t="s">
        <v>753</v>
      </c>
      <c r="L1945">
        <v>0</v>
      </c>
      <c r="M1945" s="452">
        <v>45742</v>
      </c>
      <c r="N1945">
        <v>5.04</v>
      </c>
      <c r="O1945">
        <v>5.04</v>
      </c>
      <c r="P1945">
        <v>60.48</v>
      </c>
    </row>
    <row r="1946" spans="1:16" x14ac:dyDescent="0.3">
      <c r="A1946">
        <v>62972</v>
      </c>
      <c r="B1946">
        <v>105</v>
      </c>
      <c r="C1946" t="s">
        <v>557</v>
      </c>
      <c r="D1946" s="452">
        <v>45992</v>
      </c>
      <c r="E1946">
        <v>20614</v>
      </c>
      <c r="F1946" t="s">
        <v>4958</v>
      </c>
      <c r="G1946">
        <v>2119</v>
      </c>
      <c r="H1946">
        <v>2</v>
      </c>
      <c r="I1946" t="s">
        <v>4736</v>
      </c>
      <c r="J1946" t="s">
        <v>5191</v>
      </c>
      <c r="K1946" t="s">
        <v>753</v>
      </c>
      <c r="L1946">
        <v>0</v>
      </c>
      <c r="M1946" s="452">
        <v>45852</v>
      </c>
      <c r="N1946">
        <v>29.9</v>
      </c>
      <c r="O1946">
        <v>31.95</v>
      </c>
      <c r="P1946">
        <v>59.8</v>
      </c>
    </row>
    <row r="1947" spans="1:16" x14ac:dyDescent="0.3">
      <c r="A1947">
        <v>62982</v>
      </c>
      <c r="B1947">
        <v>105</v>
      </c>
      <c r="C1947" t="s">
        <v>557</v>
      </c>
      <c r="D1947" s="452">
        <v>45992</v>
      </c>
      <c r="E1947">
        <v>18253</v>
      </c>
      <c r="F1947" t="s">
        <v>4969</v>
      </c>
      <c r="G1947">
        <v>3376</v>
      </c>
      <c r="H1947">
        <v>2</v>
      </c>
      <c r="I1947" t="s">
        <v>4805</v>
      </c>
      <c r="J1947" t="s">
        <v>5222</v>
      </c>
      <c r="K1947" t="s">
        <v>753</v>
      </c>
      <c r="L1947">
        <v>29.58</v>
      </c>
      <c r="M1947" s="452">
        <v>45987</v>
      </c>
      <c r="N1947">
        <v>28.79</v>
      </c>
      <c r="O1947">
        <v>28.79</v>
      </c>
      <c r="P1947">
        <v>59.16</v>
      </c>
    </row>
    <row r="1948" spans="1:16" x14ac:dyDescent="0.3">
      <c r="A1948">
        <v>62786</v>
      </c>
      <c r="B1948">
        <v>105</v>
      </c>
      <c r="C1948" t="s">
        <v>557</v>
      </c>
      <c r="D1948" s="452">
        <v>45992</v>
      </c>
      <c r="E1948">
        <v>23359</v>
      </c>
      <c r="F1948" t="s">
        <v>4767</v>
      </c>
      <c r="G1948">
        <v>2499</v>
      </c>
      <c r="H1948">
        <v>19.7</v>
      </c>
      <c r="I1948" t="s">
        <v>4744</v>
      </c>
      <c r="J1948" t="s">
        <v>5191</v>
      </c>
      <c r="K1948" t="s">
        <v>753</v>
      </c>
      <c r="L1948">
        <v>2.97</v>
      </c>
      <c r="M1948" s="452">
        <v>45988</v>
      </c>
      <c r="N1948">
        <v>2.5</v>
      </c>
      <c r="O1948">
        <v>2.6</v>
      </c>
      <c r="P1948">
        <v>58.51</v>
      </c>
    </row>
    <row r="1949" spans="1:16" x14ac:dyDescent="0.3">
      <c r="A1949">
        <v>63047</v>
      </c>
      <c r="B1949">
        <v>105</v>
      </c>
      <c r="C1949" t="s">
        <v>557</v>
      </c>
      <c r="D1949" s="452">
        <v>45992</v>
      </c>
      <c r="E1949">
        <v>18339</v>
      </c>
      <c r="F1949" t="s">
        <v>5033</v>
      </c>
      <c r="G1949">
        <v>3296</v>
      </c>
      <c r="H1949">
        <v>1</v>
      </c>
      <c r="I1949" t="s">
        <v>4805</v>
      </c>
      <c r="J1949" t="s">
        <v>5222</v>
      </c>
      <c r="K1949" t="s">
        <v>753</v>
      </c>
      <c r="L1949">
        <v>0</v>
      </c>
      <c r="N1949">
        <v>0</v>
      </c>
      <c r="O1949">
        <v>0</v>
      </c>
      <c r="P1949">
        <v>56.53</v>
      </c>
    </row>
    <row r="1950" spans="1:16" x14ac:dyDescent="0.3">
      <c r="A1950">
        <v>62812</v>
      </c>
      <c r="B1950">
        <v>105</v>
      </c>
      <c r="C1950" t="s">
        <v>557</v>
      </c>
      <c r="D1950" s="452">
        <v>45992</v>
      </c>
      <c r="E1950">
        <v>19787</v>
      </c>
      <c r="F1950" t="s">
        <v>4793</v>
      </c>
      <c r="G1950">
        <v>2471</v>
      </c>
      <c r="H1950">
        <v>12.1</v>
      </c>
      <c r="I1950" t="s">
        <v>4744</v>
      </c>
      <c r="J1950" t="s">
        <v>5191</v>
      </c>
      <c r="K1950" t="s">
        <v>753</v>
      </c>
      <c r="L1950">
        <v>4.67</v>
      </c>
      <c r="M1950" s="452">
        <v>45988</v>
      </c>
      <c r="N1950">
        <v>4.7</v>
      </c>
      <c r="O1950">
        <v>4.7</v>
      </c>
      <c r="P1950">
        <v>56.51</v>
      </c>
    </row>
    <row r="1951" spans="1:16" x14ac:dyDescent="0.3">
      <c r="A1951">
        <v>62960</v>
      </c>
      <c r="B1951">
        <v>105</v>
      </c>
      <c r="C1951" t="s">
        <v>557</v>
      </c>
      <c r="D1951" s="452">
        <v>45992</v>
      </c>
      <c r="E1951">
        <v>23656</v>
      </c>
      <c r="F1951" t="s">
        <v>4945</v>
      </c>
      <c r="G1951">
        <v>2228</v>
      </c>
      <c r="H1951">
        <v>2</v>
      </c>
      <c r="I1951" t="s">
        <v>4744</v>
      </c>
      <c r="J1951" t="s">
        <v>5191</v>
      </c>
      <c r="K1951" t="s">
        <v>753</v>
      </c>
      <c r="L1951">
        <v>0</v>
      </c>
      <c r="M1951" s="452">
        <v>45873</v>
      </c>
      <c r="N1951">
        <v>28</v>
      </c>
      <c r="O1951">
        <v>27.22</v>
      </c>
      <c r="P1951">
        <v>56</v>
      </c>
    </row>
    <row r="1952" spans="1:16" x14ac:dyDescent="0.3">
      <c r="A1952">
        <v>62953</v>
      </c>
      <c r="B1952">
        <v>105</v>
      </c>
      <c r="C1952" t="s">
        <v>557</v>
      </c>
      <c r="D1952" s="452">
        <v>45992</v>
      </c>
      <c r="E1952">
        <v>23385</v>
      </c>
      <c r="F1952" t="s">
        <v>4938</v>
      </c>
      <c r="G1952">
        <v>2479</v>
      </c>
      <c r="H1952">
        <v>2.1</v>
      </c>
      <c r="I1952" t="s">
        <v>4744</v>
      </c>
      <c r="J1952" t="s">
        <v>5191</v>
      </c>
      <c r="K1952" t="s">
        <v>753</v>
      </c>
      <c r="L1952">
        <v>26.62</v>
      </c>
      <c r="M1952" s="452">
        <v>45988</v>
      </c>
      <c r="N1952">
        <v>27</v>
      </c>
      <c r="O1952">
        <v>27.28</v>
      </c>
      <c r="P1952">
        <v>55.9</v>
      </c>
    </row>
    <row r="1953" spans="1:16" x14ac:dyDescent="0.3">
      <c r="A1953">
        <v>62873</v>
      </c>
      <c r="B1953">
        <v>105</v>
      </c>
      <c r="C1953" t="s">
        <v>557</v>
      </c>
      <c r="D1953" s="452">
        <v>45992</v>
      </c>
      <c r="E1953">
        <v>20054</v>
      </c>
      <c r="F1953" t="s">
        <v>4856</v>
      </c>
      <c r="G1953">
        <v>2325</v>
      </c>
      <c r="H1953">
        <v>5</v>
      </c>
      <c r="I1953" t="s">
        <v>4736</v>
      </c>
      <c r="J1953" t="s">
        <v>5191</v>
      </c>
      <c r="K1953" t="s">
        <v>753</v>
      </c>
      <c r="L1953">
        <v>10.92</v>
      </c>
      <c r="M1953" s="452">
        <v>45968</v>
      </c>
      <c r="N1953">
        <v>10.92</v>
      </c>
      <c r="O1953">
        <v>11.49</v>
      </c>
      <c r="P1953">
        <v>54.6</v>
      </c>
    </row>
    <row r="1954" spans="1:16" x14ac:dyDescent="0.3">
      <c r="A1954">
        <v>62839</v>
      </c>
      <c r="B1954">
        <v>105</v>
      </c>
      <c r="C1954" t="s">
        <v>557</v>
      </c>
      <c r="D1954" s="452">
        <v>45992</v>
      </c>
      <c r="E1954">
        <v>25755</v>
      </c>
      <c r="F1954" t="s">
        <v>4821</v>
      </c>
      <c r="G1954">
        <v>9071</v>
      </c>
      <c r="H1954">
        <v>7</v>
      </c>
      <c r="I1954" t="s">
        <v>4749</v>
      </c>
      <c r="J1954" t="s">
        <v>5191</v>
      </c>
      <c r="K1954" t="s">
        <v>753</v>
      </c>
      <c r="L1954">
        <v>0</v>
      </c>
      <c r="M1954" s="452">
        <v>45922</v>
      </c>
      <c r="N1954">
        <v>7.65</v>
      </c>
      <c r="O1954">
        <v>7.65</v>
      </c>
      <c r="P1954">
        <v>53.55</v>
      </c>
    </row>
    <row r="1955" spans="1:16" x14ac:dyDescent="0.3">
      <c r="A1955">
        <v>62837</v>
      </c>
      <c r="B1955">
        <v>105</v>
      </c>
      <c r="C1955" t="s">
        <v>557</v>
      </c>
      <c r="D1955" s="452">
        <v>45992</v>
      </c>
      <c r="E1955">
        <v>24973</v>
      </c>
      <c r="F1955" t="s">
        <v>4819</v>
      </c>
      <c r="G1955">
        <v>5845</v>
      </c>
      <c r="H1955">
        <v>0.67</v>
      </c>
      <c r="I1955" t="s">
        <v>4738</v>
      </c>
      <c r="J1955" t="s">
        <v>5222</v>
      </c>
      <c r="K1955" t="s">
        <v>753</v>
      </c>
      <c r="L1955">
        <v>79.64</v>
      </c>
      <c r="M1955" s="452">
        <v>45964</v>
      </c>
      <c r="N1955">
        <v>79.64</v>
      </c>
      <c r="O1955">
        <v>79.64</v>
      </c>
      <c r="P1955">
        <v>53.36</v>
      </c>
    </row>
    <row r="1956" spans="1:16" x14ac:dyDescent="0.3">
      <c r="A1956">
        <v>62855</v>
      </c>
      <c r="B1956">
        <v>105</v>
      </c>
      <c r="C1956" t="s">
        <v>557</v>
      </c>
      <c r="D1956" s="452">
        <v>45992</v>
      </c>
      <c r="E1956">
        <v>23635</v>
      </c>
      <c r="F1956" t="s">
        <v>4837</v>
      </c>
      <c r="G1956">
        <v>2247</v>
      </c>
      <c r="H1956">
        <v>6</v>
      </c>
      <c r="I1956" t="s">
        <v>4744</v>
      </c>
      <c r="J1956" t="s">
        <v>5191</v>
      </c>
      <c r="K1956" t="s">
        <v>753</v>
      </c>
      <c r="L1956">
        <v>0</v>
      </c>
      <c r="M1956" s="452">
        <v>45845</v>
      </c>
      <c r="N1956">
        <v>8.7100000000000009</v>
      </c>
      <c r="O1956">
        <v>7.9</v>
      </c>
      <c r="P1956">
        <v>52.26</v>
      </c>
    </row>
    <row r="1957" spans="1:16" x14ac:dyDescent="0.3">
      <c r="A1957">
        <v>62947</v>
      </c>
      <c r="B1957">
        <v>105</v>
      </c>
      <c r="C1957" t="s">
        <v>557</v>
      </c>
      <c r="D1957" s="452">
        <v>45992</v>
      </c>
      <c r="E1957">
        <v>20044</v>
      </c>
      <c r="F1957" t="s">
        <v>4932</v>
      </c>
      <c r="G1957">
        <v>2329</v>
      </c>
      <c r="H1957">
        <v>2.4500000000000002</v>
      </c>
      <c r="I1957" t="s">
        <v>4744</v>
      </c>
      <c r="J1957" t="s">
        <v>5191</v>
      </c>
      <c r="K1957" t="s">
        <v>753</v>
      </c>
      <c r="L1957">
        <v>0</v>
      </c>
      <c r="M1957" s="452">
        <v>45639</v>
      </c>
      <c r="N1957">
        <v>21</v>
      </c>
      <c r="O1957">
        <v>19.899999999999999</v>
      </c>
      <c r="P1957">
        <v>51.45</v>
      </c>
    </row>
    <row r="1958" spans="1:16" x14ac:dyDescent="0.3">
      <c r="A1958">
        <v>62815</v>
      </c>
      <c r="B1958">
        <v>105</v>
      </c>
      <c r="C1958" t="s">
        <v>557</v>
      </c>
      <c r="D1958" s="452">
        <v>45992</v>
      </c>
      <c r="E1958">
        <v>20365</v>
      </c>
      <c r="F1958" t="s">
        <v>4796</v>
      </c>
      <c r="G1958">
        <v>2199</v>
      </c>
      <c r="H1958">
        <v>11</v>
      </c>
      <c r="I1958" t="s">
        <v>4736</v>
      </c>
      <c r="J1958" t="s">
        <v>5191</v>
      </c>
      <c r="K1958" t="s">
        <v>753</v>
      </c>
      <c r="L1958">
        <v>4.66</v>
      </c>
      <c r="M1958" s="452">
        <v>45982</v>
      </c>
      <c r="N1958">
        <v>4.66</v>
      </c>
      <c r="O1958">
        <v>4.62</v>
      </c>
      <c r="P1958">
        <v>51.26</v>
      </c>
    </row>
    <row r="1959" spans="1:16" x14ac:dyDescent="0.3">
      <c r="A1959">
        <v>62975</v>
      </c>
      <c r="B1959">
        <v>105</v>
      </c>
      <c r="C1959" t="s">
        <v>557</v>
      </c>
      <c r="D1959" s="452">
        <v>45992</v>
      </c>
      <c r="E1959">
        <v>23335</v>
      </c>
      <c r="F1959" t="s">
        <v>4961</v>
      </c>
      <c r="G1959">
        <v>2523</v>
      </c>
      <c r="H1959">
        <v>2</v>
      </c>
      <c r="I1959" t="s">
        <v>4744</v>
      </c>
      <c r="J1959" t="s">
        <v>5191</v>
      </c>
      <c r="K1959" t="s">
        <v>753</v>
      </c>
      <c r="L1959">
        <v>24.1</v>
      </c>
      <c r="M1959" s="452">
        <v>45988</v>
      </c>
      <c r="N1959">
        <v>18.75</v>
      </c>
      <c r="O1959">
        <v>22.5</v>
      </c>
      <c r="P1959">
        <v>48.2</v>
      </c>
    </row>
    <row r="1960" spans="1:16" x14ac:dyDescent="0.3">
      <c r="A1960">
        <v>63045</v>
      </c>
      <c r="B1960">
        <v>105</v>
      </c>
      <c r="C1960" t="s">
        <v>557</v>
      </c>
      <c r="D1960" s="452">
        <v>45992</v>
      </c>
      <c r="E1960">
        <v>18462</v>
      </c>
      <c r="F1960" t="s">
        <v>5031</v>
      </c>
      <c r="G1960">
        <v>3193</v>
      </c>
      <c r="H1960">
        <v>1</v>
      </c>
      <c r="I1960" t="s">
        <v>4805</v>
      </c>
      <c r="J1960" t="s">
        <v>5222</v>
      </c>
      <c r="K1960" t="s">
        <v>753</v>
      </c>
      <c r="L1960">
        <v>0</v>
      </c>
      <c r="M1960" s="452">
        <v>45951</v>
      </c>
      <c r="N1960">
        <v>48.04</v>
      </c>
      <c r="O1960">
        <v>48.04</v>
      </c>
      <c r="P1960">
        <v>48.04</v>
      </c>
    </row>
    <row r="1961" spans="1:16" x14ac:dyDescent="0.3">
      <c r="A1961">
        <v>62916</v>
      </c>
      <c r="B1961">
        <v>105</v>
      </c>
      <c r="C1961" t="s">
        <v>557</v>
      </c>
      <c r="D1961" s="452">
        <v>45992</v>
      </c>
      <c r="E1961">
        <v>24278</v>
      </c>
      <c r="F1961" t="s">
        <v>4901</v>
      </c>
      <c r="G1961">
        <v>2896</v>
      </c>
      <c r="H1961">
        <v>3.5</v>
      </c>
      <c r="I1961" t="s">
        <v>4744</v>
      </c>
      <c r="J1961" t="s">
        <v>5191</v>
      </c>
      <c r="K1961" t="s">
        <v>753</v>
      </c>
      <c r="L1961">
        <v>13.29</v>
      </c>
      <c r="M1961" s="452">
        <v>45986</v>
      </c>
      <c r="N1961">
        <v>12.9</v>
      </c>
      <c r="O1961">
        <v>8.07</v>
      </c>
      <c r="P1961">
        <v>46.52</v>
      </c>
    </row>
    <row r="1962" spans="1:16" x14ac:dyDescent="0.3">
      <c r="A1962">
        <v>62897</v>
      </c>
      <c r="B1962">
        <v>105</v>
      </c>
      <c r="C1962" t="s">
        <v>557</v>
      </c>
      <c r="D1962" s="452">
        <v>45992</v>
      </c>
      <c r="E1962">
        <v>20295</v>
      </c>
      <c r="F1962" t="s">
        <v>4881</v>
      </c>
      <c r="G1962">
        <v>2226</v>
      </c>
      <c r="H1962">
        <v>4</v>
      </c>
      <c r="I1962" t="s">
        <v>4736</v>
      </c>
      <c r="J1962" t="s">
        <v>5191</v>
      </c>
      <c r="K1962" t="s">
        <v>753</v>
      </c>
      <c r="L1962">
        <v>0</v>
      </c>
      <c r="M1962" s="452">
        <v>45894</v>
      </c>
      <c r="N1962">
        <v>11.5</v>
      </c>
      <c r="O1962">
        <v>10.199999999999999</v>
      </c>
      <c r="P1962">
        <v>46</v>
      </c>
    </row>
    <row r="1963" spans="1:16" x14ac:dyDescent="0.3">
      <c r="A1963">
        <v>62926</v>
      </c>
      <c r="B1963">
        <v>105</v>
      </c>
      <c r="C1963" t="s">
        <v>557</v>
      </c>
      <c r="D1963" s="452">
        <v>45992</v>
      </c>
      <c r="E1963">
        <v>20358</v>
      </c>
      <c r="F1963" t="s">
        <v>4911</v>
      </c>
      <c r="G1963">
        <v>2200</v>
      </c>
      <c r="H1963">
        <v>3</v>
      </c>
      <c r="I1963" t="s">
        <v>4738</v>
      </c>
      <c r="J1963" t="s">
        <v>5191</v>
      </c>
      <c r="K1963" t="s">
        <v>753</v>
      </c>
      <c r="L1963">
        <v>15.11</v>
      </c>
      <c r="M1963" s="452">
        <v>45989</v>
      </c>
      <c r="N1963">
        <v>14.3</v>
      </c>
      <c r="O1963">
        <v>14.3</v>
      </c>
      <c r="P1963">
        <v>45.33</v>
      </c>
    </row>
    <row r="1964" spans="1:16" x14ac:dyDescent="0.3">
      <c r="A1964">
        <v>62898</v>
      </c>
      <c r="B1964">
        <v>105</v>
      </c>
      <c r="C1964" t="s">
        <v>557</v>
      </c>
      <c r="D1964" s="452">
        <v>45992</v>
      </c>
      <c r="E1964">
        <v>20322</v>
      </c>
      <c r="F1964" t="s">
        <v>4882</v>
      </c>
      <c r="G1964">
        <v>2212</v>
      </c>
      <c r="H1964">
        <v>4</v>
      </c>
      <c r="I1964" t="s">
        <v>4738</v>
      </c>
      <c r="J1964" t="s">
        <v>5191</v>
      </c>
      <c r="K1964" t="s">
        <v>753</v>
      </c>
      <c r="L1964">
        <v>11.15</v>
      </c>
      <c r="M1964" s="452">
        <v>45989</v>
      </c>
      <c r="N1964">
        <v>13.98</v>
      </c>
      <c r="O1964">
        <v>13.98</v>
      </c>
      <c r="P1964">
        <v>44.6</v>
      </c>
    </row>
    <row r="1965" spans="1:16" x14ac:dyDescent="0.3">
      <c r="A1965">
        <v>62977</v>
      </c>
      <c r="B1965">
        <v>105</v>
      </c>
      <c r="C1965" t="s">
        <v>557</v>
      </c>
      <c r="D1965" s="452">
        <v>45992</v>
      </c>
      <c r="E1965">
        <v>19710</v>
      </c>
      <c r="F1965" t="s">
        <v>4963</v>
      </c>
      <c r="G1965">
        <v>2540</v>
      </c>
      <c r="H1965">
        <v>2</v>
      </c>
      <c r="I1965" t="s">
        <v>4738</v>
      </c>
      <c r="J1965" t="s">
        <v>5191</v>
      </c>
      <c r="K1965" t="s">
        <v>753</v>
      </c>
      <c r="L1965">
        <v>22.27</v>
      </c>
      <c r="M1965" s="452">
        <v>45978</v>
      </c>
      <c r="N1965">
        <v>20.2</v>
      </c>
      <c r="O1965">
        <v>21.8</v>
      </c>
      <c r="P1965">
        <v>44.54</v>
      </c>
    </row>
    <row r="1966" spans="1:16" x14ac:dyDescent="0.3">
      <c r="A1966">
        <v>62961</v>
      </c>
      <c r="B1966">
        <v>105</v>
      </c>
      <c r="C1966" t="s">
        <v>557</v>
      </c>
      <c r="D1966" s="452">
        <v>45992</v>
      </c>
      <c r="E1966">
        <v>21060</v>
      </c>
      <c r="F1966" t="s">
        <v>4946</v>
      </c>
      <c r="G1966">
        <v>1998</v>
      </c>
      <c r="H1966">
        <v>2</v>
      </c>
      <c r="I1966" t="s">
        <v>4736</v>
      </c>
      <c r="J1966" t="s">
        <v>5191</v>
      </c>
      <c r="K1966" t="s">
        <v>753</v>
      </c>
      <c r="L1966">
        <v>21.99</v>
      </c>
      <c r="M1966" s="452">
        <v>45985</v>
      </c>
      <c r="N1966">
        <v>21.99</v>
      </c>
      <c r="O1966">
        <v>21.99</v>
      </c>
      <c r="P1966">
        <v>43.98</v>
      </c>
    </row>
    <row r="1967" spans="1:16" x14ac:dyDescent="0.3">
      <c r="A1967">
        <v>62870</v>
      </c>
      <c r="B1967">
        <v>105</v>
      </c>
      <c r="C1967" t="s">
        <v>557</v>
      </c>
      <c r="D1967" s="452">
        <v>45992</v>
      </c>
      <c r="E1967">
        <v>19507</v>
      </c>
      <c r="F1967" t="s">
        <v>4853</v>
      </c>
      <c r="G1967">
        <v>2704</v>
      </c>
      <c r="H1967">
        <v>5.0999999999999996</v>
      </c>
      <c r="I1967" t="s">
        <v>4744</v>
      </c>
      <c r="J1967" t="s">
        <v>5191</v>
      </c>
      <c r="K1967" t="s">
        <v>753</v>
      </c>
      <c r="L1967">
        <v>8.5500000000000007</v>
      </c>
      <c r="M1967" s="452">
        <v>45988</v>
      </c>
      <c r="N1967">
        <v>8.5</v>
      </c>
      <c r="O1967">
        <v>8.5</v>
      </c>
      <c r="P1967">
        <v>43.6</v>
      </c>
    </row>
    <row r="1968" spans="1:16" x14ac:dyDescent="0.3">
      <c r="A1968">
        <v>62844</v>
      </c>
      <c r="B1968">
        <v>105</v>
      </c>
      <c r="C1968" t="s">
        <v>557</v>
      </c>
      <c r="D1968" s="452">
        <v>45992</v>
      </c>
      <c r="E1968">
        <v>19916</v>
      </c>
      <c r="F1968" t="s">
        <v>4826</v>
      </c>
      <c r="G1968">
        <v>2379</v>
      </c>
      <c r="H1968">
        <v>7</v>
      </c>
      <c r="I1968" t="s">
        <v>4738</v>
      </c>
      <c r="J1968" t="s">
        <v>5191</v>
      </c>
      <c r="K1968" t="s">
        <v>753</v>
      </c>
      <c r="L1968">
        <v>6.17</v>
      </c>
      <c r="M1968" s="452">
        <v>45989</v>
      </c>
      <c r="N1968">
        <v>3.4</v>
      </c>
      <c r="O1968">
        <v>3.4</v>
      </c>
      <c r="P1968">
        <v>43.19</v>
      </c>
    </row>
    <row r="1969" spans="1:16" x14ac:dyDescent="0.3">
      <c r="A1969">
        <v>62803</v>
      </c>
      <c r="B1969">
        <v>105</v>
      </c>
      <c r="C1969" t="s">
        <v>557</v>
      </c>
      <c r="D1969" s="452">
        <v>45992</v>
      </c>
      <c r="E1969">
        <v>19658</v>
      </c>
      <c r="F1969" t="s">
        <v>4784</v>
      </c>
      <c r="G1969">
        <v>2582</v>
      </c>
      <c r="H1969">
        <v>14.4</v>
      </c>
      <c r="I1969" t="s">
        <v>4744</v>
      </c>
      <c r="J1969" t="s">
        <v>5191</v>
      </c>
      <c r="K1969" t="s">
        <v>753</v>
      </c>
      <c r="L1969">
        <v>2.99</v>
      </c>
      <c r="M1969" s="452">
        <v>45988</v>
      </c>
      <c r="N1969">
        <v>2.8</v>
      </c>
      <c r="O1969">
        <v>2.77</v>
      </c>
      <c r="P1969">
        <v>43.06</v>
      </c>
    </row>
    <row r="1970" spans="1:16" x14ac:dyDescent="0.3">
      <c r="A1970">
        <v>62959</v>
      </c>
      <c r="B1970">
        <v>105</v>
      </c>
      <c r="C1970" t="s">
        <v>557</v>
      </c>
      <c r="D1970" s="452">
        <v>45992</v>
      </c>
      <c r="E1970">
        <v>20301</v>
      </c>
      <c r="F1970" t="s">
        <v>4944</v>
      </c>
      <c r="G1970">
        <v>2223</v>
      </c>
      <c r="H1970">
        <v>2</v>
      </c>
      <c r="I1970" t="s">
        <v>4738</v>
      </c>
      <c r="J1970" t="s">
        <v>5191</v>
      </c>
      <c r="K1970" t="s">
        <v>753</v>
      </c>
      <c r="L1970">
        <v>21.22</v>
      </c>
      <c r="M1970" s="452">
        <v>45982</v>
      </c>
      <c r="N1970">
        <v>20.9</v>
      </c>
      <c r="O1970">
        <v>20.9</v>
      </c>
      <c r="P1970">
        <v>42.44</v>
      </c>
    </row>
    <row r="1971" spans="1:16" x14ac:dyDescent="0.3">
      <c r="A1971">
        <v>62785</v>
      </c>
      <c r="B1971">
        <v>105</v>
      </c>
      <c r="C1971" t="s">
        <v>557</v>
      </c>
      <c r="D1971" s="452">
        <v>45992</v>
      </c>
      <c r="E1971">
        <v>24467</v>
      </c>
      <c r="F1971" t="s">
        <v>4766</v>
      </c>
      <c r="G1971">
        <v>3673</v>
      </c>
      <c r="H1971">
        <v>21</v>
      </c>
      <c r="I1971" t="s">
        <v>4736</v>
      </c>
      <c r="J1971" t="s">
        <v>5222</v>
      </c>
      <c r="K1971" t="s">
        <v>753</v>
      </c>
      <c r="L1971">
        <v>0</v>
      </c>
      <c r="M1971" s="452">
        <v>45520</v>
      </c>
      <c r="N1971">
        <v>1.99</v>
      </c>
      <c r="O1971">
        <v>2.19</v>
      </c>
      <c r="P1971">
        <v>41.79</v>
      </c>
    </row>
    <row r="1972" spans="1:16" x14ac:dyDescent="0.3">
      <c r="A1972">
        <v>63019</v>
      </c>
      <c r="B1972">
        <v>105</v>
      </c>
      <c r="C1972" t="s">
        <v>557</v>
      </c>
      <c r="D1972" s="452">
        <v>45992</v>
      </c>
      <c r="E1972">
        <v>20914</v>
      </c>
      <c r="F1972" t="s">
        <v>5005</v>
      </c>
      <c r="G1972">
        <v>2034</v>
      </c>
      <c r="H1972">
        <v>1</v>
      </c>
      <c r="I1972" t="s">
        <v>4736</v>
      </c>
      <c r="J1972" t="s">
        <v>5191</v>
      </c>
      <c r="K1972" t="s">
        <v>753</v>
      </c>
      <c r="L1972">
        <v>0</v>
      </c>
      <c r="N1972">
        <v>0</v>
      </c>
      <c r="O1972">
        <v>49.7</v>
      </c>
      <c r="P1972">
        <v>41.43</v>
      </c>
    </row>
    <row r="1973" spans="1:16" x14ac:dyDescent="0.3">
      <c r="A1973">
        <v>62869</v>
      </c>
      <c r="B1973">
        <v>105</v>
      </c>
      <c r="C1973" t="s">
        <v>557</v>
      </c>
      <c r="D1973" s="452">
        <v>45992</v>
      </c>
      <c r="E1973">
        <v>24598</v>
      </c>
      <c r="F1973" t="s">
        <v>4852</v>
      </c>
      <c r="G1973">
        <v>2725</v>
      </c>
      <c r="H1973">
        <v>5.15</v>
      </c>
      <c r="I1973" t="s">
        <v>4744</v>
      </c>
      <c r="J1973" t="s">
        <v>5191</v>
      </c>
      <c r="K1973" t="s">
        <v>753</v>
      </c>
      <c r="L1973">
        <v>7.97</v>
      </c>
      <c r="M1973" s="452">
        <v>45988</v>
      </c>
      <c r="N1973">
        <v>7.97</v>
      </c>
      <c r="O1973">
        <v>7.97</v>
      </c>
      <c r="P1973">
        <v>41.05</v>
      </c>
    </row>
    <row r="1974" spans="1:16" x14ac:dyDescent="0.3">
      <c r="A1974">
        <v>62999</v>
      </c>
      <c r="B1974">
        <v>105</v>
      </c>
      <c r="C1974" t="s">
        <v>557</v>
      </c>
      <c r="D1974" s="452">
        <v>45992</v>
      </c>
      <c r="E1974">
        <v>23234</v>
      </c>
      <c r="F1974" t="s">
        <v>4986</v>
      </c>
      <c r="G1974">
        <v>2622</v>
      </c>
      <c r="H1974">
        <v>1.7</v>
      </c>
      <c r="I1974" t="s">
        <v>4744</v>
      </c>
      <c r="J1974" t="s">
        <v>5191</v>
      </c>
      <c r="K1974" t="s">
        <v>753</v>
      </c>
      <c r="L1974">
        <v>23</v>
      </c>
      <c r="M1974" s="452">
        <v>45988</v>
      </c>
      <c r="N1974">
        <v>23</v>
      </c>
      <c r="O1974">
        <v>23</v>
      </c>
      <c r="P1974">
        <v>39.1</v>
      </c>
    </row>
    <row r="1975" spans="1:16" x14ac:dyDescent="0.3">
      <c r="A1975">
        <v>62920</v>
      </c>
      <c r="B1975">
        <v>105</v>
      </c>
      <c r="C1975" t="s">
        <v>557</v>
      </c>
      <c r="D1975" s="452">
        <v>45992</v>
      </c>
      <c r="E1975">
        <v>19551</v>
      </c>
      <c r="F1975" t="s">
        <v>4905</v>
      </c>
      <c r="G1975">
        <v>2665</v>
      </c>
      <c r="H1975">
        <v>3.1</v>
      </c>
      <c r="I1975" t="s">
        <v>4744</v>
      </c>
      <c r="J1975" t="s">
        <v>5191</v>
      </c>
      <c r="K1975" t="s">
        <v>753</v>
      </c>
      <c r="L1975">
        <v>12.51</v>
      </c>
      <c r="M1975" s="452">
        <v>45988</v>
      </c>
      <c r="N1975">
        <v>12.5</v>
      </c>
      <c r="O1975">
        <v>12.5</v>
      </c>
      <c r="P1975">
        <v>38.78</v>
      </c>
    </row>
    <row r="1976" spans="1:16" x14ac:dyDescent="0.3">
      <c r="A1976">
        <v>63054</v>
      </c>
      <c r="B1976">
        <v>105</v>
      </c>
      <c r="C1976" t="s">
        <v>557</v>
      </c>
      <c r="D1976" s="452">
        <v>45992</v>
      </c>
      <c r="E1976">
        <v>18212</v>
      </c>
      <c r="F1976" t="s">
        <v>5040</v>
      </c>
      <c r="G1976">
        <v>3415</v>
      </c>
      <c r="H1976">
        <v>1</v>
      </c>
      <c r="I1976" t="s">
        <v>4805</v>
      </c>
      <c r="J1976" t="s">
        <v>5222</v>
      </c>
      <c r="K1976" t="s">
        <v>753</v>
      </c>
      <c r="L1976">
        <v>0</v>
      </c>
      <c r="N1976">
        <v>0</v>
      </c>
      <c r="O1976">
        <v>32.99</v>
      </c>
      <c r="P1976">
        <v>38.090000000000003</v>
      </c>
    </row>
    <row r="1977" spans="1:16" x14ac:dyDescent="0.3">
      <c r="A1977">
        <v>62922</v>
      </c>
      <c r="B1977">
        <v>105</v>
      </c>
      <c r="C1977" t="s">
        <v>557</v>
      </c>
      <c r="D1977" s="452">
        <v>45992</v>
      </c>
      <c r="E1977">
        <v>26005</v>
      </c>
      <c r="F1977" t="s">
        <v>4907</v>
      </c>
      <c r="G1977">
        <v>9065</v>
      </c>
      <c r="H1977">
        <v>3</v>
      </c>
      <c r="I1977" t="s">
        <v>4749</v>
      </c>
      <c r="J1977" t="s">
        <v>5191</v>
      </c>
      <c r="K1977" t="s">
        <v>753</v>
      </c>
      <c r="L1977">
        <v>0</v>
      </c>
      <c r="M1977" s="452">
        <v>45922</v>
      </c>
      <c r="N1977">
        <v>12.62</v>
      </c>
      <c r="O1977">
        <v>12.62</v>
      </c>
      <c r="P1977">
        <v>37.86</v>
      </c>
    </row>
    <row r="1978" spans="1:16" x14ac:dyDescent="0.3">
      <c r="A1978">
        <v>62967</v>
      </c>
      <c r="B1978">
        <v>105</v>
      </c>
      <c r="C1978" t="s">
        <v>557</v>
      </c>
      <c r="D1978" s="452">
        <v>45992</v>
      </c>
      <c r="E1978">
        <v>21257</v>
      </c>
      <c r="F1978" t="s">
        <v>4952</v>
      </c>
      <c r="G1978">
        <v>2187</v>
      </c>
      <c r="H1978">
        <v>2</v>
      </c>
      <c r="I1978" t="s">
        <v>4736</v>
      </c>
      <c r="J1978" t="s">
        <v>5191</v>
      </c>
      <c r="K1978" t="s">
        <v>753</v>
      </c>
      <c r="L1978">
        <v>18.850000000000001</v>
      </c>
      <c r="M1978" s="452">
        <v>45989</v>
      </c>
      <c r="N1978">
        <v>18.850000000000001</v>
      </c>
      <c r="O1978">
        <v>18.850000000000001</v>
      </c>
      <c r="P1978">
        <v>37.700000000000003</v>
      </c>
    </row>
    <row r="1979" spans="1:16" x14ac:dyDescent="0.3">
      <c r="A1979">
        <v>62890</v>
      </c>
      <c r="B1979">
        <v>105</v>
      </c>
      <c r="C1979" t="s">
        <v>557</v>
      </c>
      <c r="D1979" s="452">
        <v>45992</v>
      </c>
      <c r="E1979">
        <v>23390</v>
      </c>
      <c r="F1979" t="s">
        <v>4873</v>
      </c>
      <c r="G1979">
        <v>2474</v>
      </c>
      <c r="H1979">
        <v>4.0999999999999996</v>
      </c>
      <c r="I1979" t="s">
        <v>4744</v>
      </c>
      <c r="J1979" t="s">
        <v>5191</v>
      </c>
      <c r="K1979" t="s">
        <v>753</v>
      </c>
      <c r="L1979">
        <v>9.1300000000000008</v>
      </c>
      <c r="M1979" s="452">
        <v>45988</v>
      </c>
      <c r="N1979">
        <v>9.5</v>
      </c>
      <c r="O1979">
        <v>9.5</v>
      </c>
      <c r="P1979">
        <v>37.43</v>
      </c>
    </row>
    <row r="1980" spans="1:16" x14ac:dyDescent="0.3">
      <c r="A1980">
        <v>63021</v>
      </c>
      <c r="B1980">
        <v>105</v>
      </c>
      <c r="C1980" t="s">
        <v>557</v>
      </c>
      <c r="D1980" s="452">
        <v>45992</v>
      </c>
      <c r="E1980">
        <v>20689</v>
      </c>
      <c r="F1980" t="s">
        <v>5007</v>
      </c>
      <c r="G1980">
        <v>2105</v>
      </c>
      <c r="H1980">
        <v>1</v>
      </c>
      <c r="I1980" t="s">
        <v>4736</v>
      </c>
      <c r="J1980" t="s">
        <v>5191</v>
      </c>
      <c r="K1980" t="s">
        <v>753</v>
      </c>
      <c r="L1980">
        <v>36.9</v>
      </c>
      <c r="M1980" s="452">
        <v>45989</v>
      </c>
      <c r="N1980">
        <v>36.9</v>
      </c>
      <c r="O1980">
        <v>36.9</v>
      </c>
      <c r="P1980">
        <v>36.9</v>
      </c>
    </row>
    <row r="1981" spans="1:16" x14ac:dyDescent="0.3">
      <c r="A1981">
        <v>63052</v>
      </c>
      <c r="B1981">
        <v>105</v>
      </c>
      <c r="C1981" t="s">
        <v>557</v>
      </c>
      <c r="D1981" s="452">
        <v>45992</v>
      </c>
      <c r="E1981">
        <v>18218</v>
      </c>
      <c r="F1981" t="s">
        <v>5038</v>
      </c>
      <c r="G1981">
        <v>3410</v>
      </c>
      <c r="H1981">
        <v>1</v>
      </c>
      <c r="I1981" t="s">
        <v>4805</v>
      </c>
      <c r="J1981" t="s">
        <v>5222</v>
      </c>
      <c r="K1981" t="s">
        <v>753</v>
      </c>
      <c r="L1981">
        <v>0</v>
      </c>
      <c r="M1981" s="452">
        <v>45581</v>
      </c>
      <c r="N1981">
        <v>36.5</v>
      </c>
      <c r="O1981">
        <v>24.64</v>
      </c>
      <c r="P1981">
        <v>36.5</v>
      </c>
    </row>
    <row r="1982" spans="1:16" x14ac:dyDescent="0.3">
      <c r="A1982">
        <v>63012</v>
      </c>
      <c r="B1982">
        <v>105</v>
      </c>
      <c r="C1982" t="s">
        <v>557</v>
      </c>
      <c r="D1982" s="452">
        <v>45992</v>
      </c>
      <c r="E1982">
        <v>21130</v>
      </c>
      <c r="F1982" t="s">
        <v>4998</v>
      </c>
      <c r="G1982">
        <v>1963</v>
      </c>
      <c r="H1982">
        <v>1</v>
      </c>
      <c r="I1982" t="s">
        <v>4736</v>
      </c>
      <c r="J1982" t="s">
        <v>5191</v>
      </c>
      <c r="K1982" t="s">
        <v>753</v>
      </c>
      <c r="L1982">
        <v>0</v>
      </c>
      <c r="M1982" s="452">
        <v>45811</v>
      </c>
      <c r="N1982">
        <v>35.31</v>
      </c>
      <c r="O1982">
        <v>35.450000000000003</v>
      </c>
      <c r="P1982">
        <v>35.31</v>
      </c>
    </row>
    <row r="1983" spans="1:16" x14ac:dyDescent="0.3">
      <c r="A1983">
        <v>62954</v>
      </c>
      <c r="B1983">
        <v>105</v>
      </c>
      <c r="C1983" t="s">
        <v>557</v>
      </c>
      <c r="D1983" s="452">
        <v>45992</v>
      </c>
      <c r="E1983">
        <v>19562</v>
      </c>
      <c r="F1983" t="s">
        <v>4939</v>
      </c>
      <c r="G1983">
        <v>2655</v>
      </c>
      <c r="H1983">
        <v>2.1</v>
      </c>
      <c r="I1983" t="s">
        <v>4744</v>
      </c>
      <c r="J1983" t="s">
        <v>5191</v>
      </c>
      <c r="K1983" t="s">
        <v>753</v>
      </c>
      <c r="L1983">
        <v>16.78</v>
      </c>
      <c r="M1983" s="452">
        <v>45988</v>
      </c>
      <c r="N1983">
        <v>13.5</v>
      </c>
      <c r="O1983">
        <v>13.5</v>
      </c>
      <c r="P1983">
        <v>35.24</v>
      </c>
    </row>
    <row r="1984" spans="1:16" x14ac:dyDescent="0.3">
      <c r="A1984">
        <v>62921</v>
      </c>
      <c r="B1984">
        <v>105</v>
      </c>
      <c r="C1984" t="s">
        <v>557</v>
      </c>
      <c r="D1984" s="452">
        <v>45992</v>
      </c>
      <c r="E1984">
        <v>19472</v>
      </c>
      <c r="F1984" t="s">
        <v>4906</v>
      </c>
      <c r="G1984">
        <v>2733</v>
      </c>
      <c r="H1984">
        <v>3.05</v>
      </c>
      <c r="I1984" t="s">
        <v>4744</v>
      </c>
      <c r="J1984" t="s">
        <v>5191</v>
      </c>
      <c r="K1984" t="s">
        <v>753</v>
      </c>
      <c r="L1984">
        <v>11.53</v>
      </c>
      <c r="M1984" s="452">
        <v>45988</v>
      </c>
      <c r="N1984">
        <v>11.5</v>
      </c>
      <c r="O1984">
        <v>11.5</v>
      </c>
      <c r="P1984">
        <v>35.17</v>
      </c>
    </row>
    <row r="1985" spans="1:16" x14ac:dyDescent="0.3">
      <c r="A1985">
        <v>62976</v>
      </c>
      <c r="B1985">
        <v>105</v>
      </c>
      <c r="C1985" t="s">
        <v>557</v>
      </c>
      <c r="D1985" s="452">
        <v>45992</v>
      </c>
      <c r="E1985">
        <v>23198</v>
      </c>
      <c r="F1985" t="s">
        <v>4962</v>
      </c>
      <c r="G1985">
        <v>2657</v>
      </c>
      <c r="H1985">
        <v>2</v>
      </c>
      <c r="I1985" t="s">
        <v>4744</v>
      </c>
      <c r="J1985" t="s">
        <v>5191</v>
      </c>
      <c r="K1985" t="s">
        <v>753</v>
      </c>
      <c r="L1985">
        <v>17.45</v>
      </c>
      <c r="M1985" s="452">
        <v>45988</v>
      </c>
      <c r="N1985">
        <v>13.5</v>
      </c>
      <c r="O1985">
        <v>13.5</v>
      </c>
      <c r="P1985">
        <v>34.9</v>
      </c>
    </row>
    <row r="1986" spans="1:16" x14ac:dyDescent="0.3">
      <c r="A1986">
        <v>62888</v>
      </c>
      <c r="B1986">
        <v>105</v>
      </c>
      <c r="C1986" t="s">
        <v>557</v>
      </c>
      <c r="D1986" s="452">
        <v>45992</v>
      </c>
      <c r="E1986">
        <v>19502</v>
      </c>
      <c r="F1986" t="s">
        <v>4871</v>
      </c>
      <c r="G1986">
        <v>2708</v>
      </c>
      <c r="H1986">
        <v>4.3499999999999996</v>
      </c>
      <c r="I1986" t="s">
        <v>4744</v>
      </c>
      <c r="J1986" t="s">
        <v>5191</v>
      </c>
      <c r="K1986" t="s">
        <v>753</v>
      </c>
      <c r="L1986">
        <v>7.92</v>
      </c>
      <c r="M1986" s="452">
        <v>45988</v>
      </c>
      <c r="N1986">
        <v>7</v>
      </c>
      <c r="O1986">
        <v>7</v>
      </c>
      <c r="P1986">
        <v>34.450000000000003</v>
      </c>
    </row>
    <row r="1987" spans="1:16" x14ac:dyDescent="0.3">
      <c r="A1987">
        <v>62945</v>
      </c>
      <c r="B1987">
        <v>105</v>
      </c>
      <c r="C1987" t="s">
        <v>557</v>
      </c>
      <c r="D1987" s="452">
        <v>45992</v>
      </c>
      <c r="E1987">
        <v>23502</v>
      </c>
      <c r="F1987" t="s">
        <v>4930</v>
      </c>
      <c r="G1987">
        <v>2367</v>
      </c>
      <c r="H1987">
        <v>2.5</v>
      </c>
      <c r="I1987" t="s">
        <v>4736</v>
      </c>
      <c r="J1987" t="s">
        <v>5191</v>
      </c>
      <c r="K1987" t="s">
        <v>753</v>
      </c>
      <c r="L1987">
        <v>13.53</v>
      </c>
      <c r="M1987" s="452">
        <v>45975</v>
      </c>
      <c r="N1987">
        <v>13.3</v>
      </c>
      <c r="O1987">
        <v>12.97</v>
      </c>
      <c r="P1987">
        <v>33.82</v>
      </c>
    </row>
    <row r="1988" spans="1:16" x14ac:dyDescent="0.3">
      <c r="A1988">
        <v>63003</v>
      </c>
      <c r="B1988">
        <v>105</v>
      </c>
      <c r="C1988" t="s">
        <v>557</v>
      </c>
      <c r="D1988" s="452">
        <v>45992</v>
      </c>
      <c r="E1988">
        <v>19130</v>
      </c>
      <c r="F1988" t="s">
        <v>4990</v>
      </c>
      <c r="G1988">
        <v>2839</v>
      </c>
      <c r="H1988">
        <v>1.6</v>
      </c>
      <c r="I1988" t="s">
        <v>4744</v>
      </c>
      <c r="J1988" t="s">
        <v>5191</v>
      </c>
      <c r="K1988" t="s">
        <v>753</v>
      </c>
      <c r="L1988">
        <v>0</v>
      </c>
      <c r="N1988">
        <v>0</v>
      </c>
      <c r="O1988">
        <v>22.5</v>
      </c>
      <c r="P1988">
        <v>32.729999999999997</v>
      </c>
    </row>
    <row r="1989" spans="1:16" x14ac:dyDescent="0.3">
      <c r="A1989">
        <v>63053</v>
      </c>
      <c r="B1989">
        <v>105</v>
      </c>
      <c r="C1989" t="s">
        <v>557</v>
      </c>
      <c r="D1989" s="452">
        <v>45992</v>
      </c>
      <c r="E1989">
        <v>18214</v>
      </c>
      <c r="F1989" t="s">
        <v>5039</v>
      </c>
      <c r="G1989">
        <v>3413</v>
      </c>
      <c r="H1989">
        <v>1</v>
      </c>
      <c r="I1989" t="s">
        <v>4805</v>
      </c>
      <c r="J1989" t="s">
        <v>5222</v>
      </c>
      <c r="K1989" t="s">
        <v>753</v>
      </c>
      <c r="L1989">
        <v>0</v>
      </c>
      <c r="M1989" s="452">
        <v>45378</v>
      </c>
      <c r="N1989">
        <v>32.200000000000003</v>
      </c>
      <c r="O1989">
        <v>37.47</v>
      </c>
      <c r="P1989">
        <v>32.200000000000003</v>
      </c>
    </row>
    <row r="1990" spans="1:16" x14ac:dyDescent="0.3">
      <c r="A1990">
        <v>63011</v>
      </c>
      <c r="B1990">
        <v>105</v>
      </c>
      <c r="C1990" t="s">
        <v>557</v>
      </c>
      <c r="D1990" s="452">
        <v>45992</v>
      </c>
      <c r="E1990">
        <v>19526</v>
      </c>
      <c r="F1990" t="s">
        <v>4997</v>
      </c>
      <c r="G1990">
        <v>2687</v>
      </c>
      <c r="H1990">
        <v>1.1000000000000001</v>
      </c>
      <c r="I1990" t="s">
        <v>4744</v>
      </c>
      <c r="J1990" t="s">
        <v>5191</v>
      </c>
      <c r="K1990" t="s">
        <v>753</v>
      </c>
      <c r="L1990">
        <v>28.67</v>
      </c>
      <c r="M1990" s="452">
        <v>45986</v>
      </c>
      <c r="N1990">
        <v>28</v>
      </c>
      <c r="O1990">
        <v>28</v>
      </c>
      <c r="P1990">
        <v>31.54</v>
      </c>
    </row>
    <row r="1991" spans="1:16" x14ac:dyDescent="0.3">
      <c r="A1991">
        <v>63022</v>
      </c>
      <c r="B1991">
        <v>105</v>
      </c>
      <c r="C1991" t="s">
        <v>557</v>
      </c>
      <c r="D1991" s="452">
        <v>45992</v>
      </c>
      <c r="E1991">
        <v>20670</v>
      </c>
      <c r="F1991" t="s">
        <v>5008</v>
      </c>
      <c r="G1991">
        <v>2107</v>
      </c>
      <c r="H1991">
        <v>1</v>
      </c>
      <c r="I1991" t="s">
        <v>4738</v>
      </c>
      <c r="J1991" t="s">
        <v>5191</v>
      </c>
      <c r="K1991" t="s">
        <v>753</v>
      </c>
      <c r="L1991">
        <v>0</v>
      </c>
      <c r="M1991" s="452">
        <v>45951</v>
      </c>
      <c r="N1991">
        <v>31.03</v>
      </c>
      <c r="O1991">
        <v>31.03</v>
      </c>
      <c r="P1991">
        <v>31.03</v>
      </c>
    </row>
    <row r="1992" spans="1:16" x14ac:dyDescent="0.3">
      <c r="A1992">
        <v>62821</v>
      </c>
      <c r="B1992">
        <v>105</v>
      </c>
      <c r="C1992" t="s">
        <v>557</v>
      </c>
      <c r="D1992" s="452">
        <v>45992</v>
      </c>
      <c r="E1992">
        <v>19907</v>
      </c>
      <c r="F1992" t="s">
        <v>4802</v>
      </c>
      <c r="G1992">
        <v>2381</v>
      </c>
      <c r="H1992">
        <v>10</v>
      </c>
      <c r="I1992" t="s">
        <v>4736</v>
      </c>
      <c r="J1992" t="s">
        <v>5191</v>
      </c>
      <c r="K1992" t="s">
        <v>753</v>
      </c>
      <c r="L1992">
        <v>0</v>
      </c>
      <c r="M1992" s="452">
        <v>45660</v>
      </c>
      <c r="N1992">
        <v>3.05</v>
      </c>
      <c r="O1992">
        <v>3.23</v>
      </c>
      <c r="P1992">
        <v>30.5</v>
      </c>
    </row>
    <row r="1993" spans="1:16" x14ac:dyDescent="0.3">
      <c r="A1993">
        <v>62915</v>
      </c>
      <c r="B1993">
        <v>105</v>
      </c>
      <c r="C1993" t="s">
        <v>557</v>
      </c>
      <c r="D1993" s="452">
        <v>45992</v>
      </c>
      <c r="E1993">
        <v>19742</v>
      </c>
      <c r="F1993" t="s">
        <v>4900</v>
      </c>
      <c r="G1993">
        <v>2511</v>
      </c>
      <c r="H1993">
        <v>3.5</v>
      </c>
      <c r="I1993" t="s">
        <v>4744</v>
      </c>
      <c r="J1993" t="s">
        <v>5191</v>
      </c>
      <c r="K1993" t="s">
        <v>753</v>
      </c>
      <c r="L1993">
        <v>8.36</v>
      </c>
      <c r="M1993" s="452">
        <v>45988</v>
      </c>
      <c r="N1993">
        <v>8.2799999999999994</v>
      </c>
      <c r="O1993">
        <v>8.2799999999999994</v>
      </c>
      <c r="P1993">
        <v>29.26</v>
      </c>
    </row>
    <row r="1994" spans="1:16" x14ac:dyDescent="0.3">
      <c r="A1994">
        <v>62949</v>
      </c>
      <c r="B1994">
        <v>105</v>
      </c>
      <c r="C1994" t="s">
        <v>557</v>
      </c>
      <c r="D1994" s="452">
        <v>45992</v>
      </c>
      <c r="E1994">
        <v>23238</v>
      </c>
      <c r="F1994" t="s">
        <v>4934</v>
      </c>
      <c r="G1994">
        <v>2618</v>
      </c>
      <c r="H1994">
        <v>2.4</v>
      </c>
      <c r="I1994" t="s">
        <v>4744</v>
      </c>
      <c r="J1994" t="s">
        <v>5191</v>
      </c>
      <c r="K1994" t="s">
        <v>753</v>
      </c>
      <c r="L1994">
        <v>12.19</v>
      </c>
      <c r="M1994" s="452">
        <v>45987</v>
      </c>
      <c r="N1994">
        <v>12</v>
      </c>
      <c r="O1994">
        <v>11</v>
      </c>
      <c r="P1994">
        <v>29.26</v>
      </c>
    </row>
    <row r="1995" spans="1:16" x14ac:dyDescent="0.3">
      <c r="A1995">
        <v>62940</v>
      </c>
      <c r="B1995">
        <v>105</v>
      </c>
      <c r="C1995" t="s">
        <v>557</v>
      </c>
      <c r="D1995" s="452">
        <v>45992</v>
      </c>
      <c r="E1995">
        <v>17838</v>
      </c>
      <c r="F1995" t="s">
        <v>4925</v>
      </c>
      <c r="G1995">
        <v>3712</v>
      </c>
      <c r="H1995">
        <v>3</v>
      </c>
      <c r="I1995" t="s">
        <v>4749</v>
      </c>
      <c r="J1995" t="s">
        <v>5222</v>
      </c>
      <c r="K1995" t="s">
        <v>753</v>
      </c>
      <c r="L1995">
        <v>9.5</v>
      </c>
      <c r="M1995" s="452">
        <v>45978</v>
      </c>
      <c r="N1995">
        <v>9.5</v>
      </c>
      <c r="O1995">
        <v>9.5</v>
      </c>
      <c r="P1995">
        <v>28.5</v>
      </c>
    </row>
    <row r="1996" spans="1:16" x14ac:dyDescent="0.3">
      <c r="A1996">
        <v>63005</v>
      </c>
      <c r="B1996">
        <v>105</v>
      </c>
      <c r="C1996" t="s">
        <v>557</v>
      </c>
      <c r="D1996" s="452">
        <v>45992</v>
      </c>
      <c r="E1996">
        <v>24444</v>
      </c>
      <c r="F1996" t="s">
        <v>4992</v>
      </c>
      <c r="G1996">
        <v>2784</v>
      </c>
      <c r="H1996">
        <v>1.5</v>
      </c>
      <c r="I1996" t="s">
        <v>4744</v>
      </c>
      <c r="J1996" t="s">
        <v>5191</v>
      </c>
      <c r="K1996" t="s">
        <v>753</v>
      </c>
      <c r="L1996">
        <v>0</v>
      </c>
      <c r="M1996" s="452">
        <v>45392</v>
      </c>
      <c r="N1996">
        <v>18.95</v>
      </c>
      <c r="O1996">
        <v>22</v>
      </c>
      <c r="P1996">
        <v>28.42</v>
      </c>
    </row>
    <row r="1997" spans="1:16" x14ac:dyDescent="0.3">
      <c r="A1997">
        <v>63002</v>
      </c>
      <c r="B1997">
        <v>105</v>
      </c>
      <c r="C1997" t="s">
        <v>557</v>
      </c>
      <c r="D1997" s="452">
        <v>45992</v>
      </c>
      <c r="E1997">
        <v>19572</v>
      </c>
      <c r="F1997" t="s">
        <v>4989</v>
      </c>
      <c r="G1997">
        <v>2646</v>
      </c>
      <c r="H1997">
        <v>1.6</v>
      </c>
      <c r="I1997" t="s">
        <v>4744</v>
      </c>
      <c r="J1997" t="s">
        <v>5191</v>
      </c>
      <c r="K1997" t="s">
        <v>753</v>
      </c>
      <c r="L1997">
        <v>17.5</v>
      </c>
      <c r="M1997" s="452">
        <v>45988</v>
      </c>
      <c r="N1997">
        <v>15</v>
      </c>
      <c r="O1997">
        <v>15</v>
      </c>
      <c r="P1997">
        <v>28</v>
      </c>
    </row>
    <row r="1998" spans="1:16" x14ac:dyDescent="0.3">
      <c r="A1998">
        <v>63027</v>
      </c>
      <c r="B1998">
        <v>105</v>
      </c>
      <c r="C1998" t="s">
        <v>557</v>
      </c>
      <c r="D1998" s="452">
        <v>45992</v>
      </c>
      <c r="E1998">
        <v>20653</v>
      </c>
      <c r="F1998" t="s">
        <v>5013</v>
      </c>
      <c r="G1998">
        <v>2111</v>
      </c>
      <c r="H1998">
        <v>1</v>
      </c>
      <c r="I1998" t="s">
        <v>4736</v>
      </c>
      <c r="J1998" t="s">
        <v>5191</v>
      </c>
      <c r="K1998" t="s">
        <v>753</v>
      </c>
      <c r="L1998">
        <v>27.9</v>
      </c>
      <c r="M1998" s="452">
        <v>45989</v>
      </c>
      <c r="N1998">
        <v>27.9</v>
      </c>
      <c r="O1998">
        <v>27.9</v>
      </c>
      <c r="P1998">
        <v>27.9</v>
      </c>
    </row>
    <row r="1999" spans="1:16" x14ac:dyDescent="0.3">
      <c r="A1999">
        <v>62997</v>
      </c>
      <c r="B1999">
        <v>105</v>
      </c>
      <c r="C1999" t="s">
        <v>557</v>
      </c>
      <c r="D1999" s="452">
        <v>45992</v>
      </c>
      <c r="E1999">
        <v>19577</v>
      </c>
      <c r="F1999" t="s">
        <v>4984</v>
      </c>
      <c r="G1999">
        <v>2641</v>
      </c>
      <c r="H1999">
        <v>1.78</v>
      </c>
      <c r="I1999" t="s">
        <v>4736</v>
      </c>
      <c r="J1999" t="s">
        <v>5191</v>
      </c>
      <c r="K1999" t="s">
        <v>753</v>
      </c>
      <c r="L1999">
        <v>15.6</v>
      </c>
      <c r="M1999" s="452">
        <v>45971</v>
      </c>
      <c r="N1999">
        <v>15.6</v>
      </c>
      <c r="O1999">
        <v>16</v>
      </c>
      <c r="P1999">
        <v>27.77</v>
      </c>
    </row>
    <row r="2000" spans="1:16" x14ac:dyDescent="0.3">
      <c r="A2000">
        <v>62952</v>
      </c>
      <c r="B2000">
        <v>105</v>
      </c>
      <c r="C2000" t="s">
        <v>557</v>
      </c>
      <c r="D2000" s="452">
        <v>45992</v>
      </c>
      <c r="E2000">
        <v>19492</v>
      </c>
      <c r="F2000" t="s">
        <v>4937</v>
      </c>
      <c r="G2000">
        <v>2717</v>
      </c>
      <c r="H2000">
        <v>2.2000000000000002</v>
      </c>
      <c r="I2000" t="s">
        <v>4744</v>
      </c>
      <c r="J2000" t="s">
        <v>5191</v>
      </c>
      <c r="K2000" t="s">
        <v>753</v>
      </c>
      <c r="L2000">
        <v>12.05</v>
      </c>
      <c r="M2000" s="452">
        <v>45988</v>
      </c>
      <c r="N2000">
        <v>11</v>
      </c>
      <c r="O2000">
        <v>11</v>
      </c>
      <c r="P2000">
        <v>26.51</v>
      </c>
    </row>
    <row r="2001" spans="1:16" x14ac:dyDescent="0.3">
      <c r="A2001">
        <v>62948</v>
      </c>
      <c r="B2001">
        <v>105</v>
      </c>
      <c r="C2001" t="s">
        <v>557</v>
      </c>
      <c r="D2001" s="452">
        <v>45992</v>
      </c>
      <c r="E2001">
        <v>24099</v>
      </c>
      <c r="F2001" t="s">
        <v>4933</v>
      </c>
      <c r="G2001">
        <v>2716</v>
      </c>
      <c r="H2001">
        <v>2.4</v>
      </c>
      <c r="I2001" t="s">
        <v>4744</v>
      </c>
      <c r="J2001" t="s">
        <v>5191</v>
      </c>
      <c r="K2001" t="s">
        <v>753</v>
      </c>
      <c r="L2001">
        <v>10.92</v>
      </c>
      <c r="M2001" s="452">
        <v>45985</v>
      </c>
      <c r="N2001">
        <v>11.25</v>
      </c>
      <c r="O2001">
        <v>11.25</v>
      </c>
      <c r="P2001">
        <v>26.21</v>
      </c>
    </row>
    <row r="2002" spans="1:16" x14ac:dyDescent="0.3">
      <c r="A2002">
        <v>63039</v>
      </c>
      <c r="B2002">
        <v>105</v>
      </c>
      <c r="C2002" t="s">
        <v>557</v>
      </c>
      <c r="D2002" s="452">
        <v>45992</v>
      </c>
      <c r="E2002">
        <v>20585</v>
      </c>
      <c r="F2002" t="s">
        <v>5025</v>
      </c>
      <c r="G2002">
        <v>2121</v>
      </c>
      <c r="H2002">
        <v>1</v>
      </c>
      <c r="I2002" t="s">
        <v>4736</v>
      </c>
      <c r="J2002" t="s">
        <v>5191</v>
      </c>
      <c r="K2002" t="s">
        <v>753</v>
      </c>
      <c r="L2002">
        <v>26.2</v>
      </c>
      <c r="M2002" s="452">
        <v>45982</v>
      </c>
      <c r="N2002">
        <v>26.2</v>
      </c>
      <c r="O2002">
        <v>26.2</v>
      </c>
      <c r="P2002">
        <v>26.2</v>
      </c>
    </row>
    <row r="2003" spans="1:16" x14ac:dyDescent="0.3">
      <c r="A2003">
        <v>62971</v>
      </c>
      <c r="B2003">
        <v>105</v>
      </c>
      <c r="C2003" t="s">
        <v>557</v>
      </c>
      <c r="D2003" s="452">
        <v>45992</v>
      </c>
      <c r="E2003">
        <v>26242</v>
      </c>
      <c r="F2003" t="s">
        <v>4957</v>
      </c>
      <c r="G2003">
        <v>6641</v>
      </c>
      <c r="H2003">
        <v>2</v>
      </c>
      <c r="I2003" t="s">
        <v>4736</v>
      </c>
      <c r="J2003" t="s">
        <v>5191</v>
      </c>
      <c r="K2003" t="s">
        <v>753</v>
      </c>
      <c r="L2003">
        <v>0</v>
      </c>
      <c r="N2003">
        <v>0</v>
      </c>
      <c r="O2003">
        <v>0</v>
      </c>
      <c r="P2003">
        <v>25.98</v>
      </c>
    </row>
    <row r="2004" spans="1:16" x14ac:dyDescent="0.3">
      <c r="A2004">
        <v>63073</v>
      </c>
      <c r="B2004">
        <v>105</v>
      </c>
      <c r="C2004" t="s">
        <v>557</v>
      </c>
      <c r="D2004" s="452">
        <v>45992</v>
      </c>
      <c r="E2004">
        <v>18317</v>
      </c>
      <c r="F2004" t="s">
        <v>5056</v>
      </c>
      <c r="G2004">
        <v>3316</v>
      </c>
      <c r="H2004">
        <v>0.7</v>
      </c>
      <c r="I2004" t="s">
        <v>4805</v>
      </c>
      <c r="J2004" t="s">
        <v>5222</v>
      </c>
      <c r="K2004" t="s">
        <v>753</v>
      </c>
      <c r="L2004">
        <v>0</v>
      </c>
      <c r="N2004">
        <v>0</v>
      </c>
      <c r="O2004">
        <v>37.25</v>
      </c>
      <c r="P2004">
        <v>25.82</v>
      </c>
    </row>
    <row r="2005" spans="1:16" x14ac:dyDescent="0.3">
      <c r="A2005">
        <v>63075</v>
      </c>
      <c r="B2005">
        <v>105</v>
      </c>
      <c r="C2005" t="s">
        <v>557</v>
      </c>
      <c r="D2005" s="452">
        <v>45992</v>
      </c>
      <c r="E2005">
        <v>18273</v>
      </c>
      <c r="F2005" t="s">
        <v>5058</v>
      </c>
      <c r="G2005">
        <v>3357</v>
      </c>
      <c r="H2005">
        <v>0.65</v>
      </c>
      <c r="I2005" t="s">
        <v>4805</v>
      </c>
      <c r="J2005" t="s">
        <v>5222</v>
      </c>
      <c r="K2005" t="s">
        <v>753</v>
      </c>
      <c r="L2005">
        <v>0</v>
      </c>
      <c r="N2005">
        <v>0</v>
      </c>
      <c r="O2005">
        <v>39.6</v>
      </c>
      <c r="P2005">
        <v>25.46</v>
      </c>
    </row>
    <row r="2006" spans="1:16" x14ac:dyDescent="0.3">
      <c r="A2006">
        <v>62956</v>
      </c>
      <c r="B2006">
        <v>105</v>
      </c>
      <c r="C2006" t="s">
        <v>557</v>
      </c>
      <c r="D2006" s="452">
        <v>45992</v>
      </c>
      <c r="E2006">
        <v>26006</v>
      </c>
      <c r="F2006" t="s">
        <v>4941</v>
      </c>
      <c r="G2006">
        <v>6491</v>
      </c>
      <c r="H2006">
        <v>2</v>
      </c>
      <c r="I2006" t="s">
        <v>4749</v>
      </c>
      <c r="J2006" t="s">
        <v>5191</v>
      </c>
      <c r="K2006" t="s">
        <v>753</v>
      </c>
      <c r="L2006">
        <v>0</v>
      </c>
      <c r="M2006" s="452">
        <v>45922</v>
      </c>
      <c r="N2006">
        <v>12.62</v>
      </c>
      <c r="O2006">
        <v>12.62</v>
      </c>
      <c r="P2006">
        <v>25.24</v>
      </c>
    </row>
    <row r="2007" spans="1:16" x14ac:dyDescent="0.3">
      <c r="A2007">
        <v>63041</v>
      </c>
      <c r="B2007">
        <v>105</v>
      </c>
      <c r="C2007" t="s">
        <v>557</v>
      </c>
      <c r="D2007" s="452">
        <v>45992</v>
      </c>
      <c r="E2007">
        <v>23088</v>
      </c>
      <c r="F2007" t="s">
        <v>5027</v>
      </c>
      <c r="G2007">
        <v>2760</v>
      </c>
      <c r="H2007">
        <v>1</v>
      </c>
      <c r="I2007" t="s">
        <v>4736</v>
      </c>
      <c r="J2007" t="s">
        <v>5191</v>
      </c>
      <c r="K2007" t="s">
        <v>753</v>
      </c>
      <c r="L2007">
        <v>0</v>
      </c>
      <c r="M2007" s="452">
        <v>45931</v>
      </c>
      <c r="N2007">
        <v>24.9</v>
      </c>
      <c r="O2007">
        <v>29.8</v>
      </c>
      <c r="P2007">
        <v>24.9</v>
      </c>
    </row>
    <row r="2008" spans="1:16" x14ac:dyDescent="0.3">
      <c r="A2008">
        <v>62807</v>
      </c>
      <c r="B2008">
        <v>105</v>
      </c>
      <c r="C2008" t="s">
        <v>557</v>
      </c>
      <c r="D2008" s="452">
        <v>45992</v>
      </c>
      <c r="E2008">
        <v>24509</v>
      </c>
      <c r="F2008" t="s">
        <v>4788</v>
      </c>
      <c r="G2008">
        <v>2607</v>
      </c>
      <c r="H2008">
        <v>13.78</v>
      </c>
      <c r="I2008" t="s">
        <v>4744</v>
      </c>
      <c r="J2008" t="s">
        <v>5191</v>
      </c>
      <c r="K2008" t="s">
        <v>753</v>
      </c>
      <c r="L2008">
        <v>1.77</v>
      </c>
      <c r="M2008" s="452">
        <v>45982</v>
      </c>
      <c r="N2008">
        <v>1.88</v>
      </c>
      <c r="O2008">
        <v>2.25</v>
      </c>
      <c r="P2008">
        <v>24.39</v>
      </c>
    </row>
    <row r="2009" spans="1:16" x14ac:dyDescent="0.3">
      <c r="A2009">
        <v>63069</v>
      </c>
      <c r="B2009">
        <v>105</v>
      </c>
      <c r="C2009" t="s">
        <v>557</v>
      </c>
      <c r="D2009" s="452">
        <v>45992</v>
      </c>
      <c r="E2009">
        <v>20185</v>
      </c>
      <c r="F2009" t="s">
        <v>5054</v>
      </c>
      <c r="G2009">
        <v>2259</v>
      </c>
      <c r="H2009">
        <v>0.74</v>
      </c>
      <c r="I2009" t="s">
        <v>4744</v>
      </c>
      <c r="J2009" t="s">
        <v>5191</v>
      </c>
      <c r="K2009" t="s">
        <v>753</v>
      </c>
      <c r="L2009">
        <v>0</v>
      </c>
      <c r="M2009" s="452">
        <v>45741</v>
      </c>
      <c r="N2009">
        <v>32.9</v>
      </c>
      <c r="O2009">
        <v>25.9</v>
      </c>
      <c r="P2009">
        <v>24.35</v>
      </c>
    </row>
    <row r="2010" spans="1:16" x14ac:dyDescent="0.3">
      <c r="A2010">
        <v>62973</v>
      </c>
      <c r="B2010">
        <v>105</v>
      </c>
      <c r="C2010" t="s">
        <v>557</v>
      </c>
      <c r="D2010" s="452">
        <v>45992</v>
      </c>
      <c r="E2010">
        <v>20955</v>
      </c>
      <c r="F2010" t="s">
        <v>4959</v>
      </c>
      <c r="G2010">
        <v>2019</v>
      </c>
      <c r="H2010">
        <v>2</v>
      </c>
      <c r="I2010" t="s">
        <v>4805</v>
      </c>
      <c r="J2010" t="s">
        <v>5191</v>
      </c>
      <c r="K2010" t="s">
        <v>753</v>
      </c>
      <c r="L2010">
        <v>12.07</v>
      </c>
      <c r="M2010" s="452">
        <v>45979</v>
      </c>
      <c r="N2010">
        <v>10.48</v>
      </c>
      <c r="O2010">
        <v>11.08</v>
      </c>
      <c r="P2010">
        <v>24.14</v>
      </c>
    </row>
    <row r="2011" spans="1:16" x14ac:dyDescent="0.3">
      <c r="A2011">
        <v>62817</v>
      </c>
      <c r="B2011">
        <v>105</v>
      </c>
      <c r="C2011" t="s">
        <v>557</v>
      </c>
      <c r="D2011" s="452">
        <v>45992</v>
      </c>
      <c r="E2011">
        <v>24468</v>
      </c>
      <c r="F2011" t="s">
        <v>4798</v>
      </c>
      <c r="G2011">
        <v>3675</v>
      </c>
      <c r="H2011">
        <v>11</v>
      </c>
      <c r="I2011" t="s">
        <v>4736</v>
      </c>
      <c r="J2011" t="s">
        <v>5222</v>
      </c>
      <c r="K2011" t="s">
        <v>753</v>
      </c>
      <c r="L2011">
        <v>0</v>
      </c>
      <c r="M2011" s="452">
        <v>45653</v>
      </c>
      <c r="N2011">
        <v>2.19</v>
      </c>
      <c r="O2011">
        <v>2.19</v>
      </c>
      <c r="P2011">
        <v>24.09</v>
      </c>
    </row>
    <row r="2012" spans="1:16" x14ac:dyDescent="0.3">
      <c r="A2012">
        <v>62872</v>
      </c>
      <c r="B2012">
        <v>105</v>
      </c>
      <c r="C2012" t="s">
        <v>557</v>
      </c>
      <c r="D2012" s="452">
        <v>45992</v>
      </c>
      <c r="E2012">
        <v>21093</v>
      </c>
      <c r="F2012" t="s">
        <v>4855</v>
      </c>
      <c r="G2012">
        <v>1988</v>
      </c>
      <c r="H2012">
        <v>5</v>
      </c>
      <c r="I2012" t="s">
        <v>4744</v>
      </c>
      <c r="J2012" t="s">
        <v>5191</v>
      </c>
      <c r="K2012" t="s">
        <v>753</v>
      </c>
      <c r="L2012">
        <v>4.8</v>
      </c>
      <c r="M2012" s="452">
        <v>45989</v>
      </c>
      <c r="N2012">
        <v>4.8</v>
      </c>
      <c r="O2012">
        <v>4.8</v>
      </c>
      <c r="P2012">
        <v>24</v>
      </c>
    </row>
    <row r="2013" spans="1:16" x14ac:dyDescent="0.3">
      <c r="A2013">
        <v>62969</v>
      </c>
      <c r="B2013">
        <v>105</v>
      </c>
      <c r="C2013" t="s">
        <v>557</v>
      </c>
      <c r="D2013" s="452">
        <v>45992</v>
      </c>
      <c r="E2013">
        <v>19993</v>
      </c>
      <c r="F2013" t="s">
        <v>4954</v>
      </c>
      <c r="G2013">
        <v>2349</v>
      </c>
      <c r="H2013">
        <v>2</v>
      </c>
      <c r="I2013" t="s">
        <v>4955</v>
      </c>
      <c r="J2013" t="s">
        <v>5191</v>
      </c>
      <c r="K2013" t="s">
        <v>753</v>
      </c>
      <c r="L2013">
        <v>0</v>
      </c>
      <c r="N2013">
        <v>0</v>
      </c>
      <c r="O2013">
        <v>0</v>
      </c>
      <c r="P2013">
        <v>23.98</v>
      </c>
    </row>
    <row r="2014" spans="1:16" x14ac:dyDescent="0.3">
      <c r="A2014">
        <v>63086</v>
      </c>
      <c r="B2014">
        <v>105</v>
      </c>
      <c r="C2014" t="s">
        <v>557</v>
      </c>
      <c r="D2014" s="452">
        <v>45992</v>
      </c>
      <c r="E2014">
        <v>19479</v>
      </c>
      <c r="F2014" t="s">
        <v>5063</v>
      </c>
      <c r="G2014">
        <v>2727</v>
      </c>
      <c r="H2014">
        <v>0.5</v>
      </c>
      <c r="I2014" t="s">
        <v>4744</v>
      </c>
      <c r="J2014" t="s">
        <v>5191</v>
      </c>
      <c r="K2014" t="s">
        <v>753</v>
      </c>
      <c r="L2014">
        <v>47.5</v>
      </c>
      <c r="M2014" s="452">
        <v>45966</v>
      </c>
      <c r="N2014">
        <v>47.5</v>
      </c>
      <c r="O2014">
        <v>47.5</v>
      </c>
      <c r="P2014">
        <v>23.75</v>
      </c>
    </row>
    <row r="2015" spans="1:16" x14ac:dyDescent="0.3">
      <c r="A2015">
        <v>62934</v>
      </c>
      <c r="B2015">
        <v>105</v>
      </c>
      <c r="C2015" t="s">
        <v>557</v>
      </c>
      <c r="D2015" s="452">
        <v>45992</v>
      </c>
      <c r="E2015">
        <v>19415</v>
      </c>
      <c r="F2015" t="s">
        <v>4919</v>
      </c>
      <c r="G2015">
        <v>2759</v>
      </c>
      <c r="H2015">
        <v>3</v>
      </c>
      <c r="I2015" t="s">
        <v>4736</v>
      </c>
      <c r="J2015" t="s">
        <v>5191</v>
      </c>
      <c r="K2015" t="s">
        <v>753</v>
      </c>
      <c r="L2015">
        <v>7.8</v>
      </c>
      <c r="M2015" s="452">
        <v>45978</v>
      </c>
      <c r="N2015">
        <v>7.8</v>
      </c>
      <c r="O2015">
        <v>7.8</v>
      </c>
      <c r="P2015">
        <v>23.4</v>
      </c>
    </row>
    <row r="2016" spans="1:16" x14ac:dyDescent="0.3">
      <c r="A2016">
        <v>63006</v>
      </c>
      <c r="B2016">
        <v>105</v>
      </c>
      <c r="C2016" t="s">
        <v>557</v>
      </c>
      <c r="D2016" s="452">
        <v>45992</v>
      </c>
      <c r="E2016">
        <v>23511</v>
      </c>
      <c r="F2016" t="s">
        <v>4993</v>
      </c>
      <c r="G2016">
        <v>2356</v>
      </c>
      <c r="H2016">
        <v>1.37</v>
      </c>
      <c r="I2016" t="s">
        <v>4744</v>
      </c>
      <c r="J2016" t="s">
        <v>5191</v>
      </c>
      <c r="K2016" t="s">
        <v>753</v>
      </c>
      <c r="L2016">
        <v>0</v>
      </c>
      <c r="M2016" s="452">
        <v>45939</v>
      </c>
      <c r="N2016">
        <v>16.98</v>
      </c>
      <c r="O2016">
        <v>15.9</v>
      </c>
      <c r="P2016">
        <v>23.26</v>
      </c>
    </row>
    <row r="2017" spans="1:16" x14ac:dyDescent="0.3">
      <c r="A2017">
        <v>63007</v>
      </c>
      <c r="B2017">
        <v>105</v>
      </c>
      <c r="C2017" t="s">
        <v>557</v>
      </c>
      <c r="D2017" s="452">
        <v>45992</v>
      </c>
      <c r="E2017">
        <v>19558</v>
      </c>
      <c r="F2017" t="s">
        <v>4994</v>
      </c>
      <c r="G2017">
        <v>2659</v>
      </c>
      <c r="H2017">
        <v>1.35</v>
      </c>
      <c r="I2017" t="s">
        <v>4744</v>
      </c>
      <c r="J2017" t="s">
        <v>5191</v>
      </c>
      <c r="K2017" t="s">
        <v>753</v>
      </c>
      <c r="L2017">
        <v>15.96</v>
      </c>
      <c r="M2017" s="452">
        <v>45988</v>
      </c>
      <c r="N2017">
        <v>16.89</v>
      </c>
      <c r="O2017">
        <v>14.08</v>
      </c>
      <c r="P2017">
        <v>21.55</v>
      </c>
    </row>
    <row r="2018" spans="1:16" x14ac:dyDescent="0.3">
      <c r="A2018">
        <v>63063</v>
      </c>
      <c r="B2018">
        <v>105</v>
      </c>
      <c r="C2018" t="s">
        <v>557</v>
      </c>
      <c r="D2018" s="452">
        <v>45992</v>
      </c>
      <c r="E2018">
        <v>23503</v>
      </c>
      <c r="F2018" t="s">
        <v>5048</v>
      </c>
      <c r="G2018">
        <v>2366</v>
      </c>
      <c r="H2018">
        <v>0.9</v>
      </c>
      <c r="I2018" t="s">
        <v>4744</v>
      </c>
      <c r="J2018" t="s">
        <v>5191</v>
      </c>
      <c r="K2018" t="s">
        <v>753</v>
      </c>
      <c r="L2018">
        <v>23.8</v>
      </c>
      <c r="M2018" s="452">
        <v>45989</v>
      </c>
      <c r="N2018">
        <v>23.8</v>
      </c>
      <c r="O2018">
        <v>23.8</v>
      </c>
      <c r="P2018">
        <v>21.42</v>
      </c>
    </row>
    <row r="2019" spans="1:16" x14ac:dyDescent="0.3">
      <c r="A2019">
        <v>62889</v>
      </c>
      <c r="B2019">
        <v>105</v>
      </c>
      <c r="C2019" t="s">
        <v>557</v>
      </c>
      <c r="D2019" s="452">
        <v>45992</v>
      </c>
      <c r="E2019">
        <v>19505</v>
      </c>
      <c r="F2019" t="s">
        <v>4872</v>
      </c>
      <c r="G2019">
        <v>2706</v>
      </c>
      <c r="H2019">
        <v>4.3</v>
      </c>
      <c r="I2019" t="s">
        <v>4744</v>
      </c>
      <c r="J2019" t="s">
        <v>5191</v>
      </c>
      <c r="K2019" t="s">
        <v>753</v>
      </c>
      <c r="L2019">
        <v>4.97</v>
      </c>
      <c r="M2019" s="452">
        <v>45988</v>
      </c>
      <c r="N2019">
        <v>5</v>
      </c>
      <c r="O2019">
        <v>5</v>
      </c>
      <c r="P2019">
        <v>21.37</v>
      </c>
    </row>
    <row r="2020" spans="1:16" x14ac:dyDescent="0.3">
      <c r="A2020">
        <v>62957</v>
      </c>
      <c r="B2020">
        <v>105</v>
      </c>
      <c r="C2020" t="s">
        <v>557</v>
      </c>
      <c r="D2020" s="452">
        <v>45992</v>
      </c>
      <c r="E2020">
        <v>27757</v>
      </c>
      <c r="F2020" t="s">
        <v>4942</v>
      </c>
      <c r="G2020">
        <v>9067</v>
      </c>
      <c r="H2020">
        <v>2</v>
      </c>
      <c r="I2020" t="s">
        <v>4749</v>
      </c>
      <c r="J2020" t="s">
        <v>5191</v>
      </c>
      <c r="K2020" t="s">
        <v>753</v>
      </c>
      <c r="L2020">
        <v>0</v>
      </c>
      <c r="N2020">
        <v>0</v>
      </c>
      <c r="O2020">
        <v>0</v>
      </c>
      <c r="P2020">
        <v>21.18</v>
      </c>
    </row>
    <row r="2021" spans="1:16" x14ac:dyDescent="0.3">
      <c r="A2021">
        <v>62946</v>
      </c>
      <c r="B2021">
        <v>105</v>
      </c>
      <c r="C2021" t="s">
        <v>557</v>
      </c>
      <c r="D2021" s="452">
        <v>45992</v>
      </c>
      <c r="E2021">
        <v>23554</v>
      </c>
      <c r="F2021" t="s">
        <v>4931</v>
      </c>
      <c r="G2021">
        <v>2316</v>
      </c>
      <c r="H2021">
        <v>2.4900000000000002</v>
      </c>
      <c r="I2021" t="s">
        <v>4744</v>
      </c>
      <c r="J2021" t="s">
        <v>5191</v>
      </c>
      <c r="K2021" t="s">
        <v>753</v>
      </c>
      <c r="L2021">
        <v>0</v>
      </c>
      <c r="M2021" s="452">
        <v>45887</v>
      </c>
      <c r="N2021">
        <v>8.5</v>
      </c>
      <c r="O2021">
        <v>8.5</v>
      </c>
      <c r="P2021">
        <v>21.17</v>
      </c>
    </row>
    <row r="2022" spans="1:16" x14ac:dyDescent="0.3">
      <c r="A2022">
        <v>62950</v>
      </c>
      <c r="B2022">
        <v>105</v>
      </c>
      <c r="C2022" t="s">
        <v>557</v>
      </c>
      <c r="D2022" s="452">
        <v>45992</v>
      </c>
      <c r="E2022">
        <v>23184</v>
      </c>
      <c r="F2022" t="s">
        <v>4935</v>
      </c>
      <c r="G2022">
        <v>2670</v>
      </c>
      <c r="H2022">
        <v>2.25</v>
      </c>
      <c r="I2022" t="s">
        <v>4744</v>
      </c>
      <c r="J2022" t="s">
        <v>5191</v>
      </c>
      <c r="K2022" t="s">
        <v>753</v>
      </c>
      <c r="L2022">
        <v>9.4</v>
      </c>
      <c r="M2022" s="452">
        <v>45988</v>
      </c>
      <c r="N2022">
        <v>7.5</v>
      </c>
      <c r="O2022">
        <v>7.5</v>
      </c>
      <c r="P2022">
        <v>21.15</v>
      </c>
    </row>
    <row r="2023" spans="1:16" x14ac:dyDescent="0.3">
      <c r="A2023">
        <v>63023</v>
      </c>
      <c r="B2023">
        <v>105</v>
      </c>
      <c r="C2023" t="s">
        <v>557</v>
      </c>
      <c r="D2023" s="452">
        <v>45992</v>
      </c>
      <c r="E2023">
        <v>20234</v>
      </c>
      <c r="F2023" t="s">
        <v>5009</v>
      </c>
      <c r="G2023">
        <v>2245</v>
      </c>
      <c r="H2023">
        <v>1</v>
      </c>
      <c r="I2023" t="s">
        <v>4744</v>
      </c>
      <c r="J2023" t="s">
        <v>5191</v>
      </c>
      <c r="K2023" t="s">
        <v>753</v>
      </c>
      <c r="L2023">
        <v>0</v>
      </c>
      <c r="M2023" s="452">
        <v>45887</v>
      </c>
      <c r="N2023">
        <v>20.9</v>
      </c>
      <c r="O2023">
        <v>19.8</v>
      </c>
      <c r="P2023">
        <v>20.9</v>
      </c>
    </row>
    <row r="2024" spans="1:16" x14ac:dyDescent="0.3">
      <c r="A2024">
        <v>62901</v>
      </c>
      <c r="B2024">
        <v>105</v>
      </c>
      <c r="C2024" t="s">
        <v>557</v>
      </c>
      <c r="D2024" s="452">
        <v>45992</v>
      </c>
      <c r="E2024">
        <v>20138</v>
      </c>
      <c r="F2024" t="s">
        <v>4886</v>
      </c>
      <c r="G2024">
        <v>2284</v>
      </c>
      <c r="H2024">
        <v>4</v>
      </c>
      <c r="I2024" t="s">
        <v>4738</v>
      </c>
      <c r="J2024" t="s">
        <v>5191</v>
      </c>
      <c r="K2024" t="s">
        <v>753</v>
      </c>
      <c r="L2024">
        <v>5.2</v>
      </c>
      <c r="M2024" s="452">
        <v>45990</v>
      </c>
      <c r="N2024">
        <v>5.2</v>
      </c>
      <c r="O2024">
        <v>5.2</v>
      </c>
      <c r="P2024">
        <v>20.8</v>
      </c>
    </row>
    <row r="2025" spans="1:16" x14ac:dyDescent="0.3">
      <c r="A2025">
        <v>62923</v>
      </c>
      <c r="B2025">
        <v>105</v>
      </c>
      <c r="C2025" t="s">
        <v>557</v>
      </c>
      <c r="D2025" s="452">
        <v>45992</v>
      </c>
      <c r="E2025">
        <v>25750</v>
      </c>
      <c r="F2025" t="s">
        <v>4908</v>
      </c>
      <c r="G2025">
        <v>6301</v>
      </c>
      <c r="H2025">
        <v>3</v>
      </c>
      <c r="I2025" t="s">
        <v>4736</v>
      </c>
      <c r="J2025" t="s">
        <v>5191</v>
      </c>
      <c r="K2025" t="s">
        <v>753</v>
      </c>
      <c r="L2025">
        <v>0</v>
      </c>
      <c r="M2025" s="452">
        <v>45653</v>
      </c>
      <c r="N2025">
        <v>6.87</v>
      </c>
      <c r="O2025">
        <v>6.87</v>
      </c>
      <c r="P2025">
        <v>20.61</v>
      </c>
    </row>
    <row r="2026" spans="1:16" x14ac:dyDescent="0.3">
      <c r="A2026">
        <v>63024</v>
      </c>
      <c r="B2026">
        <v>105</v>
      </c>
      <c r="C2026" t="s">
        <v>557</v>
      </c>
      <c r="D2026" s="452">
        <v>45992</v>
      </c>
      <c r="E2026">
        <v>20025</v>
      </c>
      <c r="F2026" t="s">
        <v>5010</v>
      </c>
      <c r="G2026">
        <v>2339</v>
      </c>
      <c r="H2026">
        <v>1</v>
      </c>
      <c r="I2026" t="s">
        <v>4736</v>
      </c>
      <c r="J2026" t="s">
        <v>5191</v>
      </c>
      <c r="K2026" t="s">
        <v>753</v>
      </c>
      <c r="L2026">
        <v>20.48</v>
      </c>
      <c r="M2026" s="452">
        <v>45989</v>
      </c>
      <c r="N2026">
        <v>21.75</v>
      </c>
      <c r="O2026">
        <v>21.75</v>
      </c>
      <c r="P2026">
        <v>20.48</v>
      </c>
    </row>
    <row r="2027" spans="1:16" x14ac:dyDescent="0.3">
      <c r="A2027">
        <v>62990</v>
      </c>
      <c r="B2027">
        <v>105</v>
      </c>
      <c r="C2027" t="s">
        <v>557</v>
      </c>
      <c r="D2027" s="452">
        <v>45992</v>
      </c>
      <c r="E2027">
        <v>17721</v>
      </c>
      <c r="F2027" t="s">
        <v>4977</v>
      </c>
      <c r="G2027">
        <v>3818</v>
      </c>
      <c r="H2027">
        <v>2</v>
      </c>
      <c r="I2027" t="s">
        <v>4805</v>
      </c>
      <c r="J2027" t="s">
        <v>5222</v>
      </c>
      <c r="K2027" t="s">
        <v>753</v>
      </c>
      <c r="L2027">
        <v>9.92</v>
      </c>
      <c r="M2027" s="452">
        <v>45987</v>
      </c>
      <c r="N2027">
        <v>9.6999999999999993</v>
      </c>
      <c r="O2027">
        <v>11.17</v>
      </c>
      <c r="P2027">
        <v>19.84</v>
      </c>
    </row>
    <row r="2028" spans="1:16" x14ac:dyDescent="0.3">
      <c r="A2028">
        <v>62931</v>
      </c>
      <c r="B2028">
        <v>105</v>
      </c>
      <c r="C2028" t="s">
        <v>557</v>
      </c>
      <c r="D2028" s="452">
        <v>45992</v>
      </c>
      <c r="E2028">
        <v>23346</v>
      </c>
      <c r="F2028" t="s">
        <v>4916</v>
      </c>
      <c r="G2028">
        <v>2512</v>
      </c>
      <c r="H2028">
        <v>3</v>
      </c>
      <c r="I2028" t="s">
        <v>4744</v>
      </c>
      <c r="J2028" t="s">
        <v>5191</v>
      </c>
      <c r="K2028" t="s">
        <v>753</v>
      </c>
      <c r="L2028">
        <v>6.6</v>
      </c>
      <c r="M2028" s="452">
        <v>45988</v>
      </c>
      <c r="N2028">
        <v>6.6</v>
      </c>
      <c r="O2028">
        <v>7.26</v>
      </c>
      <c r="P2028">
        <v>19.8</v>
      </c>
    </row>
    <row r="2029" spans="1:16" x14ac:dyDescent="0.3">
      <c r="A2029">
        <v>63017</v>
      </c>
      <c r="B2029">
        <v>105</v>
      </c>
      <c r="C2029" t="s">
        <v>557</v>
      </c>
      <c r="D2029" s="452">
        <v>45992</v>
      </c>
      <c r="E2029">
        <v>25055</v>
      </c>
      <c r="F2029" t="s">
        <v>5003</v>
      </c>
      <c r="G2029">
        <v>2184</v>
      </c>
      <c r="H2029">
        <v>1</v>
      </c>
      <c r="I2029" t="s">
        <v>4744</v>
      </c>
      <c r="J2029" t="s">
        <v>5191</v>
      </c>
      <c r="K2029" t="s">
        <v>753</v>
      </c>
      <c r="L2029">
        <v>0</v>
      </c>
      <c r="M2029" s="452">
        <v>45887</v>
      </c>
      <c r="N2029">
        <v>19.8</v>
      </c>
      <c r="O2029">
        <v>19.8</v>
      </c>
      <c r="P2029">
        <v>19.8</v>
      </c>
    </row>
    <row r="2030" spans="1:16" x14ac:dyDescent="0.3">
      <c r="A2030">
        <v>62906</v>
      </c>
      <c r="B2030">
        <v>105</v>
      </c>
      <c r="C2030" t="s">
        <v>557</v>
      </c>
      <c r="D2030" s="452">
        <v>45992</v>
      </c>
      <c r="E2030">
        <v>18745</v>
      </c>
      <c r="F2030" t="s">
        <v>4892</v>
      </c>
      <c r="G2030">
        <v>3014</v>
      </c>
      <c r="H2030">
        <v>4</v>
      </c>
      <c r="I2030" t="s">
        <v>4736</v>
      </c>
      <c r="J2030" t="s">
        <v>5191</v>
      </c>
      <c r="K2030" t="s">
        <v>753</v>
      </c>
      <c r="L2030">
        <v>0</v>
      </c>
      <c r="M2030" s="452">
        <v>45888</v>
      </c>
      <c r="N2030">
        <v>4.9000000000000004</v>
      </c>
      <c r="O2030">
        <v>4.9000000000000004</v>
      </c>
      <c r="P2030">
        <v>19.600000000000001</v>
      </c>
    </row>
    <row r="2031" spans="1:16" x14ac:dyDescent="0.3">
      <c r="A2031">
        <v>62847</v>
      </c>
      <c r="B2031">
        <v>105</v>
      </c>
      <c r="C2031" t="s">
        <v>557</v>
      </c>
      <c r="D2031" s="452">
        <v>45992</v>
      </c>
      <c r="E2031">
        <v>19621</v>
      </c>
      <c r="F2031" t="s">
        <v>4829</v>
      </c>
      <c r="G2031">
        <v>2613</v>
      </c>
      <c r="H2031">
        <v>6.9</v>
      </c>
      <c r="I2031" t="s">
        <v>4744</v>
      </c>
      <c r="J2031" t="s">
        <v>5191</v>
      </c>
      <c r="K2031" t="s">
        <v>753</v>
      </c>
      <c r="L2031">
        <v>2.77</v>
      </c>
      <c r="M2031" s="452">
        <v>45988</v>
      </c>
      <c r="N2031">
        <v>2.7</v>
      </c>
      <c r="O2031">
        <v>2.65</v>
      </c>
      <c r="P2031">
        <v>19.11</v>
      </c>
    </row>
    <row r="2032" spans="1:16" x14ac:dyDescent="0.3">
      <c r="A2032">
        <v>62877</v>
      </c>
      <c r="B2032">
        <v>105</v>
      </c>
      <c r="C2032" t="s">
        <v>557</v>
      </c>
      <c r="D2032" s="452">
        <v>45992</v>
      </c>
      <c r="E2032">
        <v>19552</v>
      </c>
      <c r="F2032" t="s">
        <v>4860</v>
      </c>
      <c r="G2032">
        <v>2664</v>
      </c>
      <c r="H2032">
        <v>5</v>
      </c>
      <c r="I2032" t="s">
        <v>4744</v>
      </c>
      <c r="J2032" t="s">
        <v>5191</v>
      </c>
      <c r="K2032" t="s">
        <v>753</v>
      </c>
      <c r="L2032">
        <v>3.73</v>
      </c>
      <c r="M2032" s="452">
        <v>45978</v>
      </c>
      <c r="N2032">
        <v>3.9</v>
      </c>
      <c r="O2032">
        <v>3.8</v>
      </c>
      <c r="P2032">
        <v>18.649999999999999</v>
      </c>
    </row>
    <row r="2033" spans="1:16" x14ac:dyDescent="0.3">
      <c r="A2033">
        <v>63001</v>
      </c>
      <c r="B2033">
        <v>105</v>
      </c>
      <c r="C2033" t="s">
        <v>557</v>
      </c>
      <c r="D2033" s="452">
        <v>45992</v>
      </c>
      <c r="E2033">
        <v>23349</v>
      </c>
      <c r="F2033" t="s">
        <v>4988</v>
      </c>
      <c r="G2033">
        <v>2509</v>
      </c>
      <c r="H2033">
        <v>1.6</v>
      </c>
      <c r="I2033" t="s">
        <v>4744</v>
      </c>
      <c r="J2033" t="s">
        <v>5191</v>
      </c>
      <c r="K2033" t="s">
        <v>753</v>
      </c>
      <c r="L2033">
        <v>11.49</v>
      </c>
      <c r="M2033" s="452">
        <v>45978</v>
      </c>
      <c r="N2033">
        <v>12.5</v>
      </c>
      <c r="O2033">
        <v>10.47</v>
      </c>
      <c r="P2033">
        <v>18.38</v>
      </c>
    </row>
    <row r="2034" spans="1:16" x14ac:dyDescent="0.3">
      <c r="A2034">
        <v>62962</v>
      </c>
      <c r="B2034">
        <v>105</v>
      </c>
      <c r="C2034" t="s">
        <v>557</v>
      </c>
      <c r="D2034" s="452">
        <v>45992</v>
      </c>
      <c r="E2034">
        <v>23819</v>
      </c>
      <c r="F2034" t="s">
        <v>4947</v>
      </c>
      <c r="G2034">
        <v>2083</v>
      </c>
      <c r="H2034">
        <v>2</v>
      </c>
      <c r="I2034" t="s">
        <v>4736</v>
      </c>
      <c r="J2034" t="s">
        <v>5191</v>
      </c>
      <c r="K2034" t="s">
        <v>753</v>
      </c>
      <c r="L2034">
        <v>9.08</v>
      </c>
      <c r="M2034" s="452">
        <v>45989</v>
      </c>
      <c r="N2034">
        <v>9.0500000000000007</v>
      </c>
      <c r="O2034">
        <v>9.0500000000000007</v>
      </c>
      <c r="P2034">
        <v>18.16</v>
      </c>
    </row>
    <row r="2035" spans="1:16" x14ac:dyDescent="0.3">
      <c r="A2035">
        <v>63029</v>
      </c>
      <c r="B2035">
        <v>105</v>
      </c>
      <c r="C2035" t="s">
        <v>557</v>
      </c>
      <c r="D2035" s="452">
        <v>45992</v>
      </c>
      <c r="E2035">
        <v>20871</v>
      </c>
      <c r="F2035" t="s">
        <v>5015</v>
      </c>
      <c r="G2035">
        <v>2043</v>
      </c>
      <c r="H2035">
        <v>1</v>
      </c>
      <c r="I2035" t="s">
        <v>4879</v>
      </c>
      <c r="J2035" t="s">
        <v>5191</v>
      </c>
      <c r="K2035" t="s">
        <v>753</v>
      </c>
      <c r="L2035">
        <v>0</v>
      </c>
      <c r="M2035" s="452">
        <v>45916</v>
      </c>
      <c r="N2035">
        <v>15.8</v>
      </c>
      <c r="O2035">
        <v>26.5</v>
      </c>
      <c r="P2035">
        <v>15.8</v>
      </c>
    </row>
    <row r="2036" spans="1:16" x14ac:dyDescent="0.3">
      <c r="A2036">
        <v>63008</v>
      </c>
      <c r="B2036">
        <v>105</v>
      </c>
      <c r="C2036" t="s">
        <v>557</v>
      </c>
      <c r="D2036" s="452">
        <v>45992</v>
      </c>
      <c r="E2036">
        <v>23539</v>
      </c>
      <c r="F2036" t="s">
        <v>4995</v>
      </c>
      <c r="G2036">
        <v>2332</v>
      </c>
      <c r="H2036">
        <v>1.27</v>
      </c>
      <c r="I2036" t="s">
        <v>4744</v>
      </c>
      <c r="J2036" t="s">
        <v>5191</v>
      </c>
      <c r="K2036" t="s">
        <v>753</v>
      </c>
      <c r="L2036">
        <v>12</v>
      </c>
      <c r="M2036" s="452">
        <v>45989</v>
      </c>
      <c r="N2036">
        <v>12</v>
      </c>
      <c r="O2036">
        <v>12</v>
      </c>
      <c r="P2036">
        <v>15.24</v>
      </c>
    </row>
    <row r="2037" spans="1:16" x14ac:dyDescent="0.3">
      <c r="A2037">
        <v>62925</v>
      </c>
      <c r="B2037">
        <v>105</v>
      </c>
      <c r="C2037" t="s">
        <v>557</v>
      </c>
      <c r="D2037" s="452">
        <v>45992</v>
      </c>
      <c r="E2037">
        <v>20385</v>
      </c>
      <c r="F2037" t="s">
        <v>4910</v>
      </c>
      <c r="G2037">
        <v>2195</v>
      </c>
      <c r="H2037">
        <v>3</v>
      </c>
      <c r="I2037" t="s">
        <v>4736</v>
      </c>
      <c r="J2037" t="s">
        <v>5191</v>
      </c>
      <c r="K2037" t="s">
        <v>753</v>
      </c>
      <c r="L2037">
        <v>0</v>
      </c>
      <c r="N2037">
        <v>0</v>
      </c>
      <c r="O2037">
        <v>2.5</v>
      </c>
      <c r="P2037">
        <v>14.85</v>
      </c>
    </row>
    <row r="2038" spans="1:16" x14ac:dyDescent="0.3">
      <c r="A2038">
        <v>62904</v>
      </c>
      <c r="B2038">
        <v>105</v>
      </c>
      <c r="C2038" t="s">
        <v>557</v>
      </c>
      <c r="D2038" s="452">
        <v>45992</v>
      </c>
      <c r="E2038">
        <v>19241</v>
      </c>
      <c r="F2038" t="s">
        <v>4890</v>
      </c>
      <c r="G2038">
        <v>2785</v>
      </c>
      <c r="H2038">
        <v>4</v>
      </c>
      <c r="I2038" t="s">
        <v>4736</v>
      </c>
      <c r="J2038" t="s">
        <v>5191</v>
      </c>
      <c r="K2038" t="s">
        <v>753</v>
      </c>
      <c r="L2038">
        <v>3.68</v>
      </c>
      <c r="M2038" s="452">
        <v>45982</v>
      </c>
      <c r="N2038">
        <v>3.55</v>
      </c>
      <c r="O2038">
        <v>3.55</v>
      </c>
      <c r="P2038">
        <v>14.72</v>
      </c>
    </row>
    <row r="2039" spans="1:16" x14ac:dyDescent="0.3">
      <c r="A2039">
        <v>63042</v>
      </c>
      <c r="B2039">
        <v>105</v>
      </c>
      <c r="C2039" t="s">
        <v>557</v>
      </c>
      <c r="D2039" s="452">
        <v>45992</v>
      </c>
      <c r="E2039">
        <v>27145</v>
      </c>
      <c r="F2039" t="s">
        <v>5028</v>
      </c>
      <c r="G2039">
        <v>7186</v>
      </c>
      <c r="H2039">
        <v>1</v>
      </c>
      <c r="I2039" t="s">
        <v>4965</v>
      </c>
      <c r="J2039" t="s">
        <v>5222</v>
      </c>
      <c r="K2039" t="s">
        <v>753</v>
      </c>
      <c r="L2039">
        <v>0</v>
      </c>
      <c r="M2039" s="452">
        <v>45909</v>
      </c>
      <c r="N2039">
        <v>14.5</v>
      </c>
      <c r="O2039">
        <v>14.5</v>
      </c>
      <c r="P2039">
        <v>14.5</v>
      </c>
    </row>
    <row r="2040" spans="1:16" x14ac:dyDescent="0.3">
      <c r="A2040">
        <v>63079</v>
      </c>
      <c r="B2040">
        <v>105</v>
      </c>
      <c r="C2040" t="s">
        <v>557</v>
      </c>
      <c r="D2040" s="452">
        <v>45992</v>
      </c>
      <c r="E2040">
        <v>24272</v>
      </c>
      <c r="F2040" t="s">
        <v>5059</v>
      </c>
      <c r="G2040">
        <v>2341</v>
      </c>
      <c r="H2040">
        <v>0.6</v>
      </c>
      <c r="I2040" t="s">
        <v>4744</v>
      </c>
      <c r="J2040" t="s">
        <v>5191</v>
      </c>
      <c r="K2040" t="s">
        <v>753</v>
      </c>
      <c r="L2040">
        <v>0</v>
      </c>
      <c r="M2040" s="452">
        <v>45737</v>
      </c>
      <c r="N2040">
        <v>24</v>
      </c>
      <c r="O2040">
        <v>29.9</v>
      </c>
      <c r="P2040">
        <v>14.4</v>
      </c>
    </row>
    <row r="2041" spans="1:16" x14ac:dyDescent="0.3">
      <c r="A2041">
        <v>63074</v>
      </c>
      <c r="B2041">
        <v>105</v>
      </c>
      <c r="C2041" t="s">
        <v>557</v>
      </c>
      <c r="D2041" s="452">
        <v>45992</v>
      </c>
      <c r="E2041">
        <v>19939</v>
      </c>
      <c r="F2041" t="s">
        <v>5057</v>
      </c>
      <c r="G2041">
        <v>2365</v>
      </c>
      <c r="H2041">
        <v>0.65</v>
      </c>
      <c r="I2041" t="s">
        <v>4744</v>
      </c>
      <c r="J2041" t="s">
        <v>5191</v>
      </c>
      <c r="K2041" t="s">
        <v>753</v>
      </c>
      <c r="L2041">
        <v>0</v>
      </c>
      <c r="N2041">
        <v>0</v>
      </c>
      <c r="O2041">
        <v>99.2</v>
      </c>
      <c r="P2041">
        <v>14.3</v>
      </c>
    </row>
    <row r="2042" spans="1:16" x14ac:dyDescent="0.3">
      <c r="A2042">
        <v>62994</v>
      </c>
      <c r="B2042">
        <v>105</v>
      </c>
      <c r="C2042" t="s">
        <v>557</v>
      </c>
      <c r="D2042" s="452">
        <v>45992</v>
      </c>
      <c r="E2042">
        <v>19607</v>
      </c>
      <c r="F2042" t="s">
        <v>4981</v>
      </c>
      <c r="G2042">
        <v>2623</v>
      </c>
      <c r="H2042">
        <v>1.9</v>
      </c>
      <c r="I2042" t="s">
        <v>4744</v>
      </c>
      <c r="J2042" t="s">
        <v>5191</v>
      </c>
      <c r="K2042" t="s">
        <v>753</v>
      </c>
      <c r="L2042">
        <v>7.37</v>
      </c>
      <c r="M2042" s="452">
        <v>45988</v>
      </c>
      <c r="N2042">
        <v>6.15</v>
      </c>
      <c r="O2042">
        <v>8.6300000000000008</v>
      </c>
      <c r="P2042">
        <v>14</v>
      </c>
    </row>
    <row r="2043" spans="1:16" x14ac:dyDescent="0.3">
      <c r="A2043">
        <v>62958</v>
      </c>
      <c r="B2043">
        <v>105</v>
      </c>
      <c r="C2043" t="s">
        <v>557</v>
      </c>
      <c r="D2043" s="452">
        <v>45992</v>
      </c>
      <c r="E2043">
        <v>25763</v>
      </c>
      <c r="F2043" t="s">
        <v>4943</v>
      </c>
      <c r="G2043">
        <v>6314</v>
      </c>
      <c r="H2043">
        <v>2</v>
      </c>
      <c r="I2043" t="s">
        <v>4736</v>
      </c>
      <c r="J2043" t="s">
        <v>5191</v>
      </c>
      <c r="K2043" t="s">
        <v>753</v>
      </c>
      <c r="L2043">
        <v>0</v>
      </c>
      <c r="N2043">
        <v>0</v>
      </c>
      <c r="O2043">
        <v>0</v>
      </c>
      <c r="P2043">
        <v>13.98</v>
      </c>
    </row>
    <row r="2044" spans="1:16" x14ac:dyDescent="0.3">
      <c r="A2044">
        <v>63061</v>
      </c>
      <c r="B2044">
        <v>105</v>
      </c>
      <c r="C2044" t="s">
        <v>557</v>
      </c>
      <c r="D2044" s="452">
        <v>45992</v>
      </c>
      <c r="E2044">
        <v>19743</v>
      </c>
      <c r="F2044" t="s">
        <v>5047</v>
      </c>
      <c r="G2044">
        <v>2510</v>
      </c>
      <c r="H2044">
        <v>0.95</v>
      </c>
      <c r="I2044" t="s">
        <v>4744</v>
      </c>
      <c r="J2044" t="s">
        <v>5191</v>
      </c>
      <c r="K2044" t="s">
        <v>753</v>
      </c>
      <c r="L2044">
        <v>14.22</v>
      </c>
      <c r="M2044" s="452">
        <v>45988</v>
      </c>
      <c r="N2044">
        <v>14.5</v>
      </c>
      <c r="O2044">
        <v>13.5</v>
      </c>
      <c r="P2044">
        <v>13.51</v>
      </c>
    </row>
    <row r="2045" spans="1:16" x14ac:dyDescent="0.3">
      <c r="A2045">
        <v>62885</v>
      </c>
      <c r="B2045">
        <v>105</v>
      </c>
      <c r="C2045" t="s">
        <v>557</v>
      </c>
      <c r="D2045" s="452">
        <v>45992</v>
      </c>
      <c r="E2045">
        <v>19553</v>
      </c>
      <c r="F2045" t="s">
        <v>4868</v>
      </c>
      <c r="G2045">
        <v>2663</v>
      </c>
      <c r="H2045">
        <v>4.7</v>
      </c>
      <c r="I2045" t="s">
        <v>4744</v>
      </c>
      <c r="J2045" t="s">
        <v>5191</v>
      </c>
      <c r="K2045" t="s">
        <v>753</v>
      </c>
      <c r="L2045">
        <v>2.81</v>
      </c>
      <c r="M2045" s="452">
        <v>45978</v>
      </c>
      <c r="N2045">
        <v>2.5</v>
      </c>
      <c r="O2045">
        <v>2.2000000000000002</v>
      </c>
      <c r="P2045">
        <v>13.21</v>
      </c>
    </row>
    <row r="2046" spans="1:16" x14ac:dyDescent="0.3">
      <c r="A2046">
        <v>62974</v>
      </c>
      <c r="B2046">
        <v>105</v>
      </c>
      <c r="C2046" t="s">
        <v>557</v>
      </c>
      <c r="D2046" s="452">
        <v>45992</v>
      </c>
      <c r="E2046">
        <v>23389</v>
      </c>
      <c r="F2046" t="s">
        <v>4960</v>
      </c>
      <c r="G2046">
        <v>2475</v>
      </c>
      <c r="H2046">
        <v>2</v>
      </c>
      <c r="I2046" t="s">
        <v>4744</v>
      </c>
      <c r="J2046" t="s">
        <v>5191</v>
      </c>
      <c r="K2046" t="s">
        <v>753</v>
      </c>
      <c r="L2046">
        <v>6.1</v>
      </c>
      <c r="M2046" s="452">
        <v>45988</v>
      </c>
      <c r="N2046">
        <v>6</v>
      </c>
      <c r="O2046">
        <v>6</v>
      </c>
      <c r="P2046">
        <v>12.2</v>
      </c>
    </row>
    <row r="2047" spans="1:16" x14ac:dyDescent="0.3">
      <c r="A2047">
        <v>63028</v>
      </c>
      <c r="B2047">
        <v>105</v>
      </c>
      <c r="C2047" t="s">
        <v>557</v>
      </c>
      <c r="D2047" s="452">
        <v>45992</v>
      </c>
      <c r="E2047">
        <v>24351</v>
      </c>
      <c r="F2047" t="s">
        <v>5014</v>
      </c>
      <c r="G2047">
        <v>2287</v>
      </c>
      <c r="H2047">
        <v>1</v>
      </c>
      <c r="I2047" t="s">
        <v>4736</v>
      </c>
      <c r="J2047" t="s">
        <v>5191</v>
      </c>
      <c r="K2047" t="s">
        <v>753</v>
      </c>
      <c r="L2047">
        <v>12</v>
      </c>
      <c r="M2047" s="452">
        <v>45990</v>
      </c>
      <c r="N2047">
        <v>12</v>
      </c>
      <c r="O2047">
        <v>12</v>
      </c>
      <c r="P2047">
        <v>12</v>
      </c>
    </row>
    <row r="2048" spans="1:16" x14ac:dyDescent="0.3">
      <c r="A2048">
        <v>63084</v>
      </c>
      <c r="B2048">
        <v>105</v>
      </c>
      <c r="C2048" t="s">
        <v>557</v>
      </c>
      <c r="D2048" s="452">
        <v>45992</v>
      </c>
      <c r="E2048">
        <v>20186</v>
      </c>
      <c r="F2048" t="s">
        <v>5061</v>
      </c>
      <c r="G2048">
        <v>2259</v>
      </c>
      <c r="H2048">
        <v>0.5</v>
      </c>
      <c r="I2048" t="s">
        <v>4744</v>
      </c>
      <c r="J2048" t="s">
        <v>5191</v>
      </c>
      <c r="K2048" t="s">
        <v>753</v>
      </c>
      <c r="L2048">
        <v>0</v>
      </c>
      <c r="M2048" s="452">
        <v>45926</v>
      </c>
      <c r="N2048">
        <v>24</v>
      </c>
      <c r="O2048">
        <v>19.899999999999999</v>
      </c>
      <c r="P2048">
        <v>12</v>
      </c>
    </row>
    <row r="2049" spans="1:16" x14ac:dyDescent="0.3">
      <c r="A2049">
        <v>62927</v>
      </c>
      <c r="B2049">
        <v>105</v>
      </c>
      <c r="C2049" t="s">
        <v>557</v>
      </c>
      <c r="D2049" s="452">
        <v>45992</v>
      </c>
      <c r="E2049">
        <v>25022</v>
      </c>
      <c r="F2049" t="s">
        <v>4912</v>
      </c>
      <c r="G2049">
        <v>5868</v>
      </c>
      <c r="H2049">
        <v>3</v>
      </c>
      <c r="I2049" t="s">
        <v>4738</v>
      </c>
      <c r="J2049" t="s">
        <v>5191</v>
      </c>
      <c r="K2049" t="s">
        <v>753</v>
      </c>
      <c r="L2049">
        <v>3.7</v>
      </c>
      <c r="M2049" s="452">
        <v>45990</v>
      </c>
      <c r="N2049">
        <v>3.7</v>
      </c>
      <c r="O2049">
        <v>3.7</v>
      </c>
      <c r="P2049">
        <v>11.1</v>
      </c>
    </row>
    <row r="2050" spans="1:16" x14ac:dyDescent="0.3">
      <c r="A2050">
        <v>63067</v>
      </c>
      <c r="B2050">
        <v>105</v>
      </c>
      <c r="C2050" t="s">
        <v>557</v>
      </c>
      <c r="D2050" s="452">
        <v>45992</v>
      </c>
      <c r="E2050">
        <v>24400</v>
      </c>
      <c r="F2050" t="s">
        <v>5052</v>
      </c>
      <c r="G2050">
        <v>2368</v>
      </c>
      <c r="H2050">
        <v>0.77</v>
      </c>
      <c r="I2050" t="s">
        <v>4736</v>
      </c>
      <c r="J2050" t="s">
        <v>5191</v>
      </c>
      <c r="K2050" t="s">
        <v>753</v>
      </c>
      <c r="L2050">
        <v>0</v>
      </c>
      <c r="M2050" s="452">
        <v>45901</v>
      </c>
      <c r="N2050">
        <v>13.8</v>
      </c>
      <c r="O2050">
        <v>14</v>
      </c>
      <c r="P2050">
        <v>10.63</v>
      </c>
    </row>
    <row r="2051" spans="1:16" x14ac:dyDescent="0.3">
      <c r="A2051">
        <v>63034</v>
      </c>
      <c r="B2051">
        <v>105</v>
      </c>
      <c r="C2051" t="s">
        <v>557</v>
      </c>
      <c r="D2051" s="452">
        <v>45992</v>
      </c>
      <c r="E2051">
        <v>20790</v>
      </c>
      <c r="F2051" t="s">
        <v>5020</v>
      </c>
      <c r="G2051">
        <v>2076</v>
      </c>
      <c r="H2051">
        <v>1</v>
      </c>
      <c r="I2051" t="s">
        <v>4744</v>
      </c>
      <c r="J2051" t="s">
        <v>5191</v>
      </c>
      <c r="K2051" t="s">
        <v>753</v>
      </c>
      <c r="L2051">
        <v>0</v>
      </c>
      <c r="M2051" s="452">
        <v>45894</v>
      </c>
      <c r="N2051">
        <v>10.199999999999999</v>
      </c>
      <c r="O2051">
        <v>10.1</v>
      </c>
      <c r="P2051">
        <v>10.199999999999999</v>
      </c>
    </row>
    <row r="2052" spans="1:16" x14ac:dyDescent="0.3">
      <c r="A2052">
        <v>63035</v>
      </c>
      <c r="B2052">
        <v>105</v>
      </c>
      <c r="C2052" t="s">
        <v>557</v>
      </c>
      <c r="D2052" s="452">
        <v>45992</v>
      </c>
      <c r="E2052">
        <v>20791</v>
      </c>
      <c r="F2052" t="s">
        <v>5021</v>
      </c>
      <c r="G2052">
        <v>2076</v>
      </c>
      <c r="H2052">
        <v>1</v>
      </c>
      <c r="I2052" t="s">
        <v>4738</v>
      </c>
      <c r="J2052" t="s">
        <v>5191</v>
      </c>
      <c r="K2052" t="s">
        <v>753</v>
      </c>
      <c r="L2052">
        <v>10.1</v>
      </c>
      <c r="M2052" s="452">
        <v>45989</v>
      </c>
      <c r="N2052">
        <v>10.1</v>
      </c>
      <c r="O2052">
        <v>10.1</v>
      </c>
      <c r="P2052">
        <v>10.1</v>
      </c>
    </row>
    <row r="2053" spans="1:16" x14ac:dyDescent="0.3">
      <c r="A2053">
        <v>63036</v>
      </c>
      <c r="B2053">
        <v>105</v>
      </c>
      <c r="C2053" t="s">
        <v>557</v>
      </c>
      <c r="D2053" s="452">
        <v>45992</v>
      </c>
      <c r="E2053">
        <v>20792</v>
      </c>
      <c r="F2053" t="s">
        <v>5022</v>
      </c>
      <c r="G2053">
        <v>2076</v>
      </c>
      <c r="H2053">
        <v>1</v>
      </c>
      <c r="I2053" t="s">
        <v>4738</v>
      </c>
      <c r="J2053" t="s">
        <v>5191</v>
      </c>
      <c r="K2053" t="s">
        <v>753</v>
      </c>
      <c r="L2053">
        <v>10.1</v>
      </c>
      <c r="M2053" s="452">
        <v>45982</v>
      </c>
      <c r="N2053">
        <v>10.1</v>
      </c>
      <c r="O2053">
        <v>10.1</v>
      </c>
      <c r="P2053">
        <v>10.1</v>
      </c>
    </row>
    <row r="2054" spans="1:16" x14ac:dyDescent="0.3">
      <c r="A2054">
        <v>63037</v>
      </c>
      <c r="B2054">
        <v>105</v>
      </c>
      <c r="C2054" t="s">
        <v>557</v>
      </c>
      <c r="D2054" s="452">
        <v>45992</v>
      </c>
      <c r="E2054">
        <v>20794</v>
      </c>
      <c r="F2054" t="s">
        <v>5023</v>
      </c>
      <c r="G2054">
        <v>2076</v>
      </c>
      <c r="H2054">
        <v>1</v>
      </c>
      <c r="I2054" t="s">
        <v>4744</v>
      </c>
      <c r="J2054" t="s">
        <v>5191</v>
      </c>
      <c r="K2054" t="s">
        <v>753</v>
      </c>
      <c r="L2054">
        <v>10.1</v>
      </c>
      <c r="M2054" s="452">
        <v>45989</v>
      </c>
      <c r="N2054">
        <v>10.1</v>
      </c>
      <c r="O2054">
        <v>10.1</v>
      </c>
      <c r="P2054">
        <v>10.1</v>
      </c>
    </row>
    <row r="2055" spans="1:16" x14ac:dyDescent="0.3">
      <c r="A2055">
        <v>63038</v>
      </c>
      <c r="B2055">
        <v>105</v>
      </c>
      <c r="C2055" t="s">
        <v>557</v>
      </c>
      <c r="D2055" s="452">
        <v>45992</v>
      </c>
      <c r="E2055">
        <v>20795</v>
      </c>
      <c r="F2055" t="s">
        <v>5024</v>
      </c>
      <c r="G2055">
        <v>2076</v>
      </c>
      <c r="H2055">
        <v>1</v>
      </c>
      <c r="I2055" t="s">
        <v>4738</v>
      </c>
      <c r="J2055" t="s">
        <v>5191</v>
      </c>
      <c r="K2055" t="s">
        <v>753</v>
      </c>
      <c r="L2055">
        <v>10.1</v>
      </c>
      <c r="M2055" s="452">
        <v>45982</v>
      </c>
      <c r="N2055">
        <v>10.1</v>
      </c>
      <c r="O2055">
        <v>10.1</v>
      </c>
      <c r="P2055">
        <v>10.1</v>
      </c>
    </row>
    <row r="2056" spans="1:16" x14ac:dyDescent="0.3">
      <c r="A2056">
        <v>63032</v>
      </c>
      <c r="B2056">
        <v>105</v>
      </c>
      <c r="C2056" t="s">
        <v>557</v>
      </c>
      <c r="D2056" s="452">
        <v>45992</v>
      </c>
      <c r="E2056">
        <v>19969</v>
      </c>
      <c r="F2056" t="s">
        <v>5018</v>
      </c>
      <c r="G2056">
        <v>2354</v>
      </c>
      <c r="H2056">
        <v>1</v>
      </c>
      <c r="I2056" t="s">
        <v>4888</v>
      </c>
      <c r="J2056" t="s">
        <v>5191</v>
      </c>
      <c r="K2056" t="s">
        <v>753</v>
      </c>
      <c r="L2056">
        <v>10.08</v>
      </c>
      <c r="M2056" s="452">
        <v>45989</v>
      </c>
      <c r="N2056">
        <v>10.050000000000001</v>
      </c>
      <c r="O2056">
        <v>10.050000000000001</v>
      </c>
      <c r="P2056">
        <v>10.08</v>
      </c>
    </row>
    <row r="2057" spans="1:16" x14ac:dyDescent="0.3">
      <c r="A2057">
        <v>62955</v>
      </c>
      <c r="B2057">
        <v>105</v>
      </c>
      <c r="C2057" t="s">
        <v>557</v>
      </c>
      <c r="D2057" s="452">
        <v>45992</v>
      </c>
      <c r="E2057">
        <v>19737</v>
      </c>
      <c r="F2057" t="s">
        <v>4940</v>
      </c>
      <c r="G2057">
        <v>2516</v>
      </c>
      <c r="H2057">
        <v>2.0499999999999998</v>
      </c>
      <c r="I2057" t="s">
        <v>4744</v>
      </c>
      <c r="J2057" t="s">
        <v>5191</v>
      </c>
      <c r="K2057" t="s">
        <v>753</v>
      </c>
      <c r="L2057">
        <v>4.5199999999999996</v>
      </c>
      <c r="M2057" s="452">
        <v>45988</v>
      </c>
      <c r="N2057">
        <v>4.1900000000000004</v>
      </c>
      <c r="O2057">
        <v>4.1900000000000004</v>
      </c>
      <c r="P2057">
        <v>9.27</v>
      </c>
    </row>
    <row r="2058" spans="1:16" x14ac:dyDescent="0.3">
      <c r="A2058">
        <v>63020</v>
      </c>
      <c r="B2058">
        <v>105</v>
      </c>
      <c r="C2058" t="s">
        <v>557</v>
      </c>
      <c r="D2058" s="452">
        <v>45992</v>
      </c>
      <c r="E2058">
        <v>25079</v>
      </c>
      <c r="F2058" t="s">
        <v>5006</v>
      </c>
      <c r="G2058">
        <v>2239</v>
      </c>
      <c r="H2058">
        <v>1</v>
      </c>
      <c r="I2058" t="s">
        <v>4738</v>
      </c>
      <c r="J2058" t="s">
        <v>5191</v>
      </c>
      <c r="K2058" t="s">
        <v>753</v>
      </c>
      <c r="L2058">
        <v>0</v>
      </c>
      <c r="N2058">
        <v>0</v>
      </c>
      <c r="O2058">
        <v>8.9499999999999993</v>
      </c>
      <c r="P2058">
        <v>8.9600000000000009</v>
      </c>
    </row>
    <row r="2059" spans="1:16" x14ac:dyDescent="0.3">
      <c r="A2059">
        <v>63026</v>
      </c>
      <c r="B2059">
        <v>105</v>
      </c>
      <c r="C2059" t="s">
        <v>557</v>
      </c>
      <c r="D2059" s="452">
        <v>45992</v>
      </c>
      <c r="E2059">
        <v>20661</v>
      </c>
      <c r="F2059" t="s">
        <v>5012</v>
      </c>
      <c r="G2059">
        <v>2110</v>
      </c>
      <c r="H2059">
        <v>1</v>
      </c>
      <c r="I2059" t="s">
        <v>4736</v>
      </c>
      <c r="J2059" t="s">
        <v>5191</v>
      </c>
      <c r="K2059" t="s">
        <v>753</v>
      </c>
      <c r="L2059">
        <v>8.7200000000000006</v>
      </c>
      <c r="M2059" s="452">
        <v>45982</v>
      </c>
      <c r="N2059">
        <v>8.74</v>
      </c>
      <c r="O2059">
        <v>8.7200000000000006</v>
      </c>
      <c r="P2059">
        <v>8.7200000000000006</v>
      </c>
    </row>
    <row r="2060" spans="1:16" x14ac:dyDescent="0.3">
      <c r="A2060">
        <v>63040</v>
      </c>
      <c r="B2060">
        <v>105</v>
      </c>
      <c r="C2060" t="s">
        <v>557</v>
      </c>
      <c r="D2060" s="452">
        <v>45992</v>
      </c>
      <c r="E2060">
        <v>20961</v>
      </c>
      <c r="F2060" t="s">
        <v>5026</v>
      </c>
      <c r="G2060">
        <v>2015</v>
      </c>
      <c r="H2060">
        <v>1</v>
      </c>
      <c r="I2060" t="s">
        <v>4736</v>
      </c>
      <c r="J2060" t="s">
        <v>5191</v>
      </c>
      <c r="K2060" t="s">
        <v>753</v>
      </c>
      <c r="L2060">
        <v>0</v>
      </c>
      <c r="M2060" s="452">
        <v>45918</v>
      </c>
      <c r="N2060">
        <v>8.36</v>
      </c>
      <c r="O2060">
        <v>8.7799999999999994</v>
      </c>
      <c r="P2060">
        <v>8.36</v>
      </c>
    </row>
    <row r="2061" spans="1:16" x14ac:dyDescent="0.3">
      <c r="A2061">
        <v>63013</v>
      </c>
      <c r="B2061">
        <v>105</v>
      </c>
      <c r="C2061" t="s">
        <v>557</v>
      </c>
      <c r="D2061" s="452">
        <v>45992</v>
      </c>
      <c r="E2061">
        <v>25748</v>
      </c>
      <c r="F2061" t="s">
        <v>4999</v>
      </c>
      <c r="G2061">
        <v>9068</v>
      </c>
      <c r="H2061">
        <v>1</v>
      </c>
      <c r="I2061" t="s">
        <v>4749</v>
      </c>
      <c r="J2061" t="s">
        <v>5191</v>
      </c>
      <c r="K2061" t="s">
        <v>753</v>
      </c>
      <c r="L2061">
        <v>0</v>
      </c>
      <c r="M2061" s="452">
        <v>45918</v>
      </c>
      <c r="N2061">
        <v>7.91</v>
      </c>
      <c r="O2061">
        <v>7.91</v>
      </c>
      <c r="P2061">
        <v>7.91</v>
      </c>
    </row>
    <row r="2062" spans="1:16" x14ac:dyDescent="0.3">
      <c r="A2062">
        <v>63100</v>
      </c>
      <c r="B2062">
        <v>105</v>
      </c>
      <c r="C2062" t="s">
        <v>557</v>
      </c>
      <c r="D2062" s="452">
        <v>45992</v>
      </c>
      <c r="E2062">
        <v>20034</v>
      </c>
      <c r="F2062" t="s">
        <v>5065</v>
      </c>
      <c r="G2062">
        <v>2333</v>
      </c>
      <c r="H2062">
        <v>0.13</v>
      </c>
      <c r="I2062" t="s">
        <v>4744</v>
      </c>
      <c r="J2062" t="s">
        <v>5191</v>
      </c>
      <c r="K2062" t="s">
        <v>753</v>
      </c>
      <c r="L2062">
        <v>0</v>
      </c>
      <c r="N2062">
        <v>0</v>
      </c>
      <c r="O2062">
        <v>60.8</v>
      </c>
      <c r="P2062">
        <v>7.9</v>
      </c>
    </row>
    <row r="2063" spans="1:16" x14ac:dyDescent="0.3">
      <c r="A2063">
        <v>62930</v>
      </c>
      <c r="B2063">
        <v>105</v>
      </c>
      <c r="C2063" t="s">
        <v>557</v>
      </c>
      <c r="D2063" s="452">
        <v>45992</v>
      </c>
      <c r="E2063">
        <v>19622</v>
      </c>
      <c r="F2063" t="s">
        <v>4915</v>
      </c>
      <c r="G2063">
        <v>2612</v>
      </c>
      <c r="H2063">
        <v>3</v>
      </c>
      <c r="I2063" t="s">
        <v>4744</v>
      </c>
      <c r="J2063" t="s">
        <v>5191</v>
      </c>
      <c r="K2063" t="s">
        <v>753</v>
      </c>
      <c r="L2063">
        <v>2.5499999999999998</v>
      </c>
      <c r="M2063" s="452">
        <v>45988</v>
      </c>
      <c r="N2063">
        <v>2.5</v>
      </c>
      <c r="O2063">
        <v>2.5</v>
      </c>
      <c r="P2063">
        <v>7.65</v>
      </c>
    </row>
    <row r="2064" spans="1:16" x14ac:dyDescent="0.3">
      <c r="A2064">
        <v>63014</v>
      </c>
      <c r="B2064">
        <v>105</v>
      </c>
      <c r="C2064" t="s">
        <v>557</v>
      </c>
      <c r="D2064" s="452">
        <v>45992</v>
      </c>
      <c r="E2064">
        <v>25752</v>
      </c>
      <c r="F2064" t="s">
        <v>5000</v>
      </c>
      <c r="G2064">
        <v>6303</v>
      </c>
      <c r="H2064">
        <v>1</v>
      </c>
      <c r="I2064" t="s">
        <v>4749</v>
      </c>
      <c r="J2064" t="s">
        <v>5191</v>
      </c>
      <c r="K2064" t="s">
        <v>753</v>
      </c>
      <c r="L2064">
        <v>0</v>
      </c>
      <c r="M2064" s="452">
        <v>45742</v>
      </c>
      <c r="N2064">
        <v>6.87</v>
      </c>
      <c r="O2064">
        <v>6.87</v>
      </c>
      <c r="P2064">
        <v>6.87</v>
      </c>
    </row>
    <row r="2065" spans="1:16" x14ac:dyDescent="0.3">
      <c r="A2065">
        <v>62996</v>
      </c>
      <c r="B2065">
        <v>105</v>
      </c>
      <c r="C2065" t="s">
        <v>557</v>
      </c>
      <c r="D2065" s="452">
        <v>45992</v>
      </c>
      <c r="E2065">
        <v>19589</v>
      </c>
      <c r="F2065" t="s">
        <v>4983</v>
      </c>
      <c r="G2065">
        <v>2637</v>
      </c>
      <c r="H2065">
        <v>1.8</v>
      </c>
      <c r="I2065" t="s">
        <v>4744</v>
      </c>
      <c r="J2065" t="s">
        <v>5191</v>
      </c>
      <c r="K2065" t="s">
        <v>753</v>
      </c>
      <c r="L2065">
        <v>3.42</v>
      </c>
      <c r="M2065" s="452">
        <v>45988</v>
      </c>
      <c r="N2065">
        <v>3.5</v>
      </c>
      <c r="O2065">
        <v>3.5</v>
      </c>
      <c r="P2065">
        <v>6.16</v>
      </c>
    </row>
    <row r="2066" spans="1:16" x14ac:dyDescent="0.3">
      <c r="A2066">
        <v>63031</v>
      </c>
      <c r="B2066">
        <v>105</v>
      </c>
      <c r="C2066" t="s">
        <v>557</v>
      </c>
      <c r="D2066" s="452">
        <v>45992</v>
      </c>
      <c r="E2066">
        <v>19982</v>
      </c>
      <c r="F2066" t="s">
        <v>5017</v>
      </c>
      <c r="G2066">
        <v>2351</v>
      </c>
      <c r="H2066">
        <v>1</v>
      </c>
      <c r="I2066" t="s">
        <v>4888</v>
      </c>
      <c r="J2066" t="s">
        <v>5191</v>
      </c>
      <c r="K2066" t="s">
        <v>753</v>
      </c>
      <c r="L2066">
        <v>0</v>
      </c>
      <c r="M2066" s="452">
        <v>45918</v>
      </c>
      <c r="N2066">
        <v>6.15</v>
      </c>
      <c r="O2066">
        <v>6.15</v>
      </c>
      <c r="P2066">
        <v>6.15</v>
      </c>
    </row>
    <row r="2067" spans="1:16" x14ac:dyDescent="0.3">
      <c r="A2067">
        <v>63066</v>
      </c>
      <c r="B2067">
        <v>105</v>
      </c>
      <c r="C2067" t="s">
        <v>557</v>
      </c>
      <c r="D2067" s="452">
        <v>45992</v>
      </c>
      <c r="E2067">
        <v>23195</v>
      </c>
      <c r="F2067" t="s">
        <v>5051</v>
      </c>
      <c r="G2067">
        <v>2660</v>
      </c>
      <c r="H2067">
        <v>0.8</v>
      </c>
      <c r="I2067" t="s">
        <v>4744</v>
      </c>
      <c r="J2067" t="s">
        <v>5191</v>
      </c>
      <c r="K2067" t="s">
        <v>753</v>
      </c>
      <c r="L2067">
        <v>7.21</v>
      </c>
      <c r="M2067" s="452">
        <v>45988</v>
      </c>
      <c r="N2067">
        <v>6</v>
      </c>
      <c r="O2067">
        <v>6</v>
      </c>
      <c r="P2067">
        <v>5.77</v>
      </c>
    </row>
    <row r="2068" spans="1:16" x14ac:dyDescent="0.3">
      <c r="A2068">
        <v>63065</v>
      </c>
      <c r="B2068">
        <v>105</v>
      </c>
      <c r="C2068" t="s">
        <v>557</v>
      </c>
      <c r="D2068" s="452">
        <v>45992</v>
      </c>
      <c r="E2068">
        <v>19647</v>
      </c>
      <c r="F2068" t="s">
        <v>5050</v>
      </c>
      <c r="G2068">
        <v>2591</v>
      </c>
      <c r="H2068">
        <v>0.8</v>
      </c>
      <c r="I2068" t="s">
        <v>4744</v>
      </c>
      <c r="J2068" t="s">
        <v>5191</v>
      </c>
      <c r="K2068" t="s">
        <v>753</v>
      </c>
      <c r="L2068">
        <v>6.86</v>
      </c>
      <c r="M2068" s="452">
        <v>45988</v>
      </c>
      <c r="N2068">
        <v>7</v>
      </c>
      <c r="O2068">
        <v>7</v>
      </c>
      <c r="P2068">
        <v>5.49</v>
      </c>
    </row>
    <row r="2069" spans="1:16" x14ac:dyDescent="0.3">
      <c r="A2069">
        <v>62951</v>
      </c>
      <c r="B2069">
        <v>105</v>
      </c>
      <c r="C2069" t="s">
        <v>557</v>
      </c>
      <c r="D2069" s="452">
        <v>45992</v>
      </c>
      <c r="E2069">
        <v>19632</v>
      </c>
      <c r="F2069" t="s">
        <v>4936</v>
      </c>
      <c r="G2069">
        <v>2604</v>
      </c>
      <c r="H2069">
        <v>2.25</v>
      </c>
      <c r="I2069" t="s">
        <v>4744</v>
      </c>
      <c r="J2069" t="s">
        <v>5191</v>
      </c>
      <c r="K2069" t="s">
        <v>753</v>
      </c>
      <c r="L2069">
        <v>2.25</v>
      </c>
      <c r="M2069" s="452">
        <v>45986</v>
      </c>
      <c r="N2069">
        <v>1.96</v>
      </c>
      <c r="O2069">
        <v>2.39</v>
      </c>
      <c r="P2069">
        <v>5.0599999999999996</v>
      </c>
    </row>
    <row r="2070" spans="1:16" x14ac:dyDescent="0.3">
      <c r="A2070">
        <v>63099</v>
      </c>
      <c r="B2070">
        <v>105</v>
      </c>
      <c r="C2070" t="s">
        <v>557</v>
      </c>
      <c r="D2070" s="452">
        <v>45992</v>
      </c>
      <c r="E2070">
        <v>24322</v>
      </c>
      <c r="F2070" t="s">
        <v>5064</v>
      </c>
      <c r="G2070">
        <v>2342</v>
      </c>
      <c r="H2070">
        <v>0.2</v>
      </c>
      <c r="I2070" t="s">
        <v>4744</v>
      </c>
      <c r="J2070" t="s">
        <v>5191</v>
      </c>
      <c r="K2070" t="s">
        <v>753</v>
      </c>
      <c r="L2070">
        <v>22</v>
      </c>
      <c r="M2070" s="452">
        <v>45989</v>
      </c>
      <c r="N2070">
        <v>22</v>
      </c>
      <c r="O2070">
        <v>22</v>
      </c>
      <c r="P2070">
        <v>4.4000000000000004</v>
      </c>
    </row>
    <row r="2071" spans="1:16" x14ac:dyDescent="0.3">
      <c r="A2071">
        <v>63009</v>
      </c>
      <c r="B2071">
        <v>105</v>
      </c>
      <c r="C2071" t="s">
        <v>557</v>
      </c>
      <c r="D2071" s="452">
        <v>45992</v>
      </c>
      <c r="E2071">
        <v>19642</v>
      </c>
      <c r="F2071" t="s">
        <v>4996</v>
      </c>
      <c r="G2071">
        <v>2596</v>
      </c>
      <c r="H2071">
        <v>1.21</v>
      </c>
      <c r="I2071" t="s">
        <v>4744</v>
      </c>
      <c r="J2071" t="s">
        <v>5191</v>
      </c>
      <c r="K2071" t="s">
        <v>753</v>
      </c>
      <c r="L2071">
        <v>3.48</v>
      </c>
      <c r="M2071" s="452">
        <v>45985</v>
      </c>
      <c r="N2071">
        <v>3.75</v>
      </c>
      <c r="O2071">
        <v>3.75</v>
      </c>
      <c r="P2071">
        <v>4.21</v>
      </c>
    </row>
    <row r="2072" spans="1:16" x14ac:dyDescent="0.3">
      <c r="A2072">
        <v>63030</v>
      </c>
      <c r="B2072">
        <v>105</v>
      </c>
      <c r="C2072" t="s">
        <v>557</v>
      </c>
      <c r="D2072" s="452">
        <v>45992</v>
      </c>
      <c r="E2072">
        <v>20644</v>
      </c>
      <c r="F2072" t="s">
        <v>5016</v>
      </c>
      <c r="G2072">
        <v>2113</v>
      </c>
      <c r="H2072">
        <v>1</v>
      </c>
      <c r="I2072" t="s">
        <v>4955</v>
      </c>
      <c r="J2072" t="s">
        <v>5191</v>
      </c>
      <c r="K2072" t="s">
        <v>753</v>
      </c>
      <c r="L2072">
        <v>3.58</v>
      </c>
      <c r="M2072" s="452">
        <v>45982</v>
      </c>
      <c r="N2072">
        <v>3.89</v>
      </c>
      <c r="O2072">
        <v>3.89</v>
      </c>
      <c r="P2072">
        <v>3.58</v>
      </c>
    </row>
    <row r="2073" spans="1:16" x14ac:dyDescent="0.3">
      <c r="A2073">
        <v>63085</v>
      </c>
      <c r="B2073">
        <v>105</v>
      </c>
      <c r="C2073" t="s">
        <v>557</v>
      </c>
      <c r="D2073" s="452">
        <v>45992</v>
      </c>
      <c r="E2073">
        <v>23236</v>
      </c>
      <c r="F2073" t="s">
        <v>5062</v>
      </c>
      <c r="G2073">
        <v>2620</v>
      </c>
      <c r="H2073">
        <v>0.5</v>
      </c>
      <c r="I2073" t="s">
        <v>4744</v>
      </c>
      <c r="J2073" t="s">
        <v>5191</v>
      </c>
      <c r="K2073" t="s">
        <v>753</v>
      </c>
      <c r="L2073">
        <v>5.84</v>
      </c>
      <c r="M2073" s="452">
        <v>45988</v>
      </c>
      <c r="N2073">
        <v>5.4</v>
      </c>
      <c r="O2073">
        <v>5.4</v>
      </c>
      <c r="P2073">
        <v>2.92</v>
      </c>
    </row>
    <row r="2074" spans="1:16" x14ac:dyDescent="0.3">
      <c r="A2074">
        <v>63080</v>
      </c>
      <c r="B2074">
        <v>105</v>
      </c>
      <c r="C2074" t="s">
        <v>557</v>
      </c>
      <c r="D2074" s="452">
        <v>45992</v>
      </c>
      <c r="E2074">
        <v>24674</v>
      </c>
      <c r="F2074" t="s">
        <v>5060</v>
      </c>
      <c r="G2074">
        <v>5709</v>
      </c>
      <c r="H2074">
        <v>0.6</v>
      </c>
      <c r="I2074" t="s">
        <v>4744</v>
      </c>
      <c r="J2074" t="s">
        <v>5191</v>
      </c>
      <c r="K2074" t="s">
        <v>753</v>
      </c>
      <c r="L2074">
        <v>0</v>
      </c>
      <c r="N2074">
        <v>0</v>
      </c>
      <c r="O2074">
        <v>1.2</v>
      </c>
      <c r="P2074">
        <v>0.72</v>
      </c>
    </row>
    <row r="2075" spans="1:16" x14ac:dyDescent="0.3">
      <c r="A2075">
        <v>62856</v>
      </c>
      <c r="B2075">
        <v>105</v>
      </c>
      <c r="C2075" t="s">
        <v>557</v>
      </c>
      <c r="D2075" s="452">
        <v>45992</v>
      </c>
      <c r="E2075">
        <v>18518</v>
      </c>
      <c r="F2075" t="s">
        <v>4838</v>
      </c>
      <c r="G2075">
        <v>3148</v>
      </c>
      <c r="H2075">
        <v>6</v>
      </c>
      <c r="I2075" t="s">
        <v>4805</v>
      </c>
      <c r="J2075" t="s">
        <v>5222</v>
      </c>
      <c r="K2075" t="s">
        <v>753</v>
      </c>
      <c r="L2075">
        <v>0</v>
      </c>
      <c r="M2075" s="452">
        <v>45910</v>
      </c>
      <c r="N2075">
        <v>0</v>
      </c>
      <c r="O2075">
        <v>0</v>
      </c>
      <c r="P2075">
        <v>0</v>
      </c>
    </row>
    <row r="2076" spans="1:16" x14ac:dyDescent="0.3">
      <c r="A2076">
        <v>62911</v>
      </c>
      <c r="B2076">
        <v>105</v>
      </c>
      <c r="C2076" t="s">
        <v>557</v>
      </c>
      <c r="D2076" s="452">
        <v>45992</v>
      </c>
      <c r="E2076">
        <v>24614</v>
      </c>
      <c r="F2076" t="s">
        <v>4897</v>
      </c>
      <c r="G2076">
        <v>3855</v>
      </c>
      <c r="H2076">
        <v>4</v>
      </c>
      <c r="I2076" t="s">
        <v>4805</v>
      </c>
      <c r="J2076" t="s">
        <v>5222</v>
      </c>
      <c r="K2076" t="s">
        <v>753</v>
      </c>
      <c r="L2076">
        <v>0</v>
      </c>
      <c r="M2076" s="452">
        <v>45846</v>
      </c>
      <c r="N2076">
        <v>0</v>
      </c>
      <c r="O2076">
        <v>0</v>
      </c>
      <c r="P2076">
        <v>0</v>
      </c>
    </row>
    <row r="2077" spans="1:16" x14ac:dyDescent="0.3">
      <c r="A2077">
        <v>62991</v>
      </c>
      <c r="B2077">
        <v>105</v>
      </c>
      <c r="C2077" t="s">
        <v>557</v>
      </c>
      <c r="D2077" s="452">
        <v>45992</v>
      </c>
      <c r="E2077">
        <v>17658</v>
      </c>
      <c r="F2077" t="s">
        <v>4978</v>
      </c>
      <c r="G2077">
        <v>3871</v>
      </c>
      <c r="H2077">
        <v>2</v>
      </c>
      <c r="I2077" t="s">
        <v>4805</v>
      </c>
      <c r="J2077" t="s">
        <v>5222</v>
      </c>
      <c r="K2077" t="s">
        <v>753</v>
      </c>
      <c r="L2077">
        <v>0</v>
      </c>
      <c r="M2077" s="452">
        <v>45861</v>
      </c>
      <c r="N2077">
        <v>0</v>
      </c>
      <c r="O2077">
        <v>0</v>
      </c>
      <c r="P2077">
        <v>0</v>
      </c>
    </row>
    <row r="2078" spans="1:16" x14ac:dyDescent="0.3">
      <c r="A2078">
        <v>63057</v>
      </c>
      <c r="B2078">
        <v>105</v>
      </c>
      <c r="C2078" t="s">
        <v>557</v>
      </c>
      <c r="D2078" s="452">
        <v>45992</v>
      </c>
      <c r="E2078">
        <v>18129</v>
      </c>
      <c r="F2078" t="s">
        <v>5043</v>
      </c>
      <c r="G2078">
        <v>3486</v>
      </c>
      <c r="H2078">
        <v>1</v>
      </c>
      <c r="I2078" t="s">
        <v>4805</v>
      </c>
      <c r="J2078" t="s">
        <v>5222</v>
      </c>
      <c r="K2078" t="s">
        <v>753</v>
      </c>
      <c r="L2078">
        <v>0</v>
      </c>
      <c r="M2078" s="452">
        <v>45979</v>
      </c>
      <c r="N2078">
        <v>0</v>
      </c>
      <c r="O2078">
        <v>116.99</v>
      </c>
      <c r="P2078">
        <v>0</v>
      </c>
    </row>
    <row r="2079" spans="1:16" x14ac:dyDescent="0.3">
      <c r="A2079">
        <v>56902</v>
      </c>
      <c r="B2079">
        <v>105</v>
      </c>
      <c r="C2079" t="s">
        <v>557</v>
      </c>
      <c r="D2079" s="452">
        <v>45962</v>
      </c>
      <c r="E2079">
        <v>20544</v>
      </c>
      <c r="F2079" t="s">
        <v>4808</v>
      </c>
      <c r="G2079">
        <v>2144</v>
      </c>
      <c r="H2079">
        <v>31.47</v>
      </c>
      <c r="I2079" t="s">
        <v>4744</v>
      </c>
      <c r="J2079" t="s">
        <v>5191</v>
      </c>
      <c r="K2079" t="s">
        <v>751</v>
      </c>
      <c r="L2079">
        <v>211.35</v>
      </c>
      <c r="M2079" s="452">
        <v>45954</v>
      </c>
      <c r="N2079">
        <v>214.58</v>
      </c>
      <c r="O2079">
        <v>214.58</v>
      </c>
      <c r="P2079">
        <v>6651.18</v>
      </c>
    </row>
    <row r="2080" spans="1:16" x14ac:dyDescent="0.3">
      <c r="A2080">
        <v>56913</v>
      </c>
      <c r="B2080">
        <v>105</v>
      </c>
      <c r="C2080" t="s">
        <v>557</v>
      </c>
      <c r="D2080" s="452">
        <v>45962</v>
      </c>
      <c r="E2080">
        <v>24954</v>
      </c>
      <c r="F2080" t="s">
        <v>4769</v>
      </c>
      <c r="G2080">
        <v>5836</v>
      </c>
      <c r="H2080">
        <v>22.6</v>
      </c>
      <c r="I2080" t="s">
        <v>4744</v>
      </c>
      <c r="J2080" t="s">
        <v>5191</v>
      </c>
      <c r="K2080" t="s">
        <v>751</v>
      </c>
      <c r="L2080">
        <v>114.77</v>
      </c>
      <c r="M2080" s="452">
        <v>45952</v>
      </c>
      <c r="N2080">
        <v>119</v>
      </c>
      <c r="O2080">
        <v>119</v>
      </c>
      <c r="P2080">
        <v>2593.8000000000002</v>
      </c>
    </row>
    <row r="2081" spans="1:16" x14ac:dyDescent="0.3">
      <c r="A2081">
        <v>57008</v>
      </c>
      <c r="B2081">
        <v>105</v>
      </c>
      <c r="C2081" t="s">
        <v>557</v>
      </c>
      <c r="D2081" s="452">
        <v>45962</v>
      </c>
      <c r="E2081">
        <v>18636</v>
      </c>
      <c r="F2081" t="s">
        <v>4964</v>
      </c>
      <c r="G2081">
        <v>3075</v>
      </c>
      <c r="H2081">
        <v>5</v>
      </c>
      <c r="I2081" t="s">
        <v>4965</v>
      </c>
      <c r="J2081" t="s">
        <v>5222</v>
      </c>
      <c r="K2081" t="s">
        <v>751</v>
      </c>
      <c r="L2081">
        <v>446.16</v>
      </c>
      <c r="M2081" s="452">
        <v>45959</v>
      </c>
      <c r="N2081">
        <v>446.16</v>
      </c>
      <c r="O2081">
        <v>237.02</v>
      </c>
      <c r="P2081">
        <v>2230.8000000000002</v>
      </c>
    </row>
    <row r="2082" spans="1:16" x14ac:dyDescent="0.3">
      <c r="A2082">
        <v>56908</v>
      </c>
      <c r="B2082">
        <v>105</v>
      </c>
      <c r="C2082" t="s">
        <v>557</v>
      </c>
      <c r="D2082" s="452">
        <v>45962</v>
      </c>
      <c r="E2082">
        <v>22837</v>
      </c>
      <c r="F2082" t="s">
        <v>5435</v>
      </c>
      <c r="G2082">
        <v>2939</v>
      </c>
      <c r="H2082">
        <v>25.4</v>
      </c>
      <c r="I2082" t="s">
        <v>4744</v>
      </c>
      <c r="J2082" t="s">
        <v>5191</v>
      </c>
      <c r="K2082" t="s">
        <v>751</v>
      </c>
      <c r="L2082">
        <v>85</v>
      </c>
      <c r="M2082" s="452">
        <v>45936</v>
      </c>
      <c r="N2082">
        <v>85</v>
      </c>
      <c r="O2082">
        <v>85</v>
      </c>
      <c r="P2082">
        <v>2159</v>
      </c>
    </row>
    <row r="2083" spans="1:16" x14ac:dyDescent="0.3">
      <c r="A2083">
        <v>56888</v>
      </c>
      <c r="B2083">
        <v>105</v>
      </c>
      <c r="C2083" t="s">
        <v>557</v>
      </c>
      <c r="D2083" s="452">
        <v>45962</v>
      </c>
      <c r="E2083">
        <v>26679</v>
      </c>
      <c r="F2083" t="s">
        <v>4791</v>
      </c>
      <c r="G2083">
        <v>6847</v>
      </c>
      <c r="H2083">
        <v>67.7</v>
      </c>
      <c r="I2083" t="s">
        <v>4744</v>
      </c>
      <c r="J2083" t="s">
        <v>5191</v>
      </c>
      <c r="K2083" t="s">
        <v>751</v>
      </c>
      <c r="L2083">
        <v>27.9</v>
      </c>
      <c r="M2083" s="452">
        <v>45950</v>
      </c>
      <c r="N2083">
        <v>27.9</v>
      </c>
      <c r="O2083">
        <v>27.9</v>
      </c>
      <c r="P2083">
        <v>1888.83</v>
      </c>
    </row>
    <row r="2084" spans="1:16" x14ac:dyDescent="0.3">
      <c r="A2084">
        <v>56923</v>
      </c>
      <c r="B2084">
        <v>105</v>
      </c>
      <c r="C2084" t="s">
        <v>557</v>
      </c>
      <c r="D2084" s="452">
        <v>45962</v>
      </c>
      <c r="E2084">
        <v>26135</v>
      </c>
      <c r="F2084" t="s">
        <v>4801</v>
      </c>
      <c r="G2084">
        <v>6585</v>
      </c>
      <c r="H2084">
        <v>17.2</v>
      </c>
      <c r="I2084" t="s">
        <v>4744</v>
      </c>
      <c r="J2084" t="s">
        <v>5191</v>
      </c>
      <c r="K2084" t="s">
        <v>751</v>
      </c>
      <c r="L2084">
        <v>82.17</v>
      </c>
      <c r="M2084" s="452">
        <v>45947</v>
      </c>
      <c r="N2084">
        <v>89.9</v>
      </c>
      <c r="O2084">
        <v>89.9</v>
      </c>
      <c r="P2084">
        <v>1413.32</v>
      </c>
    </row>
    <row r="2085" spans="1:16" x14ac:dyDescent="0.3">
      <c r="A2085">
        <v>56900</v>
      </c>
      <c r="B2085">
        <v>105</v>
      </c>
      <c r="C2085" t="s">
        <v>557</v>
      </c>
      <c r="D2085" s="452">
        <v>45962</v>
      </c>
      <c r="E2085">
        <v>24096</v>
      </c>
      <c r="F2085" t="s">
        <v>4771</v>
      </c>
      <c r="G2085">
        <v>2958</v>
      </c>
      <c r="H2085">
        <v>32.75</v>
      </c>
      <c r="I2085" t="s">
        <v>4744</v>
      </c>
      <c r="J2085" t="s">
        <v>5191</v>
      </c>
      <c r="K2085" t="s">
        <v>751</v>
      </c>
      <c r="L2085">
        <v>39.82</v>
      </c>
      <c r="M2085" s="452">
        <v>45957</v>
      </c>
      <c r="N2085">
        <v>39.799999999999997</v>
      </c>
      <c r="O2085">
        <v>39.799999999999997</v>
      </c>
      <c r="P2085">
        <v>1304.0999999999999</v>
      </c>
    </row>
    <row r="2086" spans="1:16" x14ac:dyDescent="0.3">
      <c r="A2086">
        <v>56874</v>
      </c>
      <c r="B2086">
        <v>105</v>
      </c>
      <c r="C2086" t="s">
        <v>557</v>
      </c>
      <c r="D2086" s="452">
        <v>45962</v>
      </c>
      <c r="E2086">
        <v>22654</v>
      </c>
      <c r="F2086" t="s">
        <v>4735</v>
      </c>
      <c r="G2086">
        <v>3083</v>
      </c>
      <c r="H2086">
        <v>224</v>
      </c>
      <c r="I2086" t="s">
        <v>4736</v>
      </c>
      <c r="J2086" t="s">
        <v>5222</v>
      </c>
      <c r="K2086" t="s">
        <v>751</v>
      </c>
      <c r="L2086">
        <v>0</v>
      </c>
      <c r="M2086" s="452">
        <v>45679</v>
      </c>
      <c r="N2086">
        <v>5.61</v>
      </c>
      <c r="O2086">
        <v>4.49</v>
      </c>
      <c r="P2086">
        <v>1256.6400000000001</v>
      </c>
    </row>
    <row r="2087" spans="1:16" x14ac:dyDescent="0.3">
      <c r="A2087">
        <v>56934</v>
      </c>
      <c r="B2087">
        <v>105</v>
      </c>
      <c r="C2087" t="s">
        <v>557</v>
      </c>
      <c r="D2087" s="452">
        <v>45962</v>
      </c>
      <c r="E2087">
        <v>18731</v>
      </c>
      <c r="F2087" t="s">
        <v>4832</v>
      </c>
      <c r="G2087">
        <v>3020</v>
      </c>
      <c r="H2087">
        <v>14.19</v>
      </c>
      <c r="I2087" t="s">
        <v>4744</v>
      </c>
      <c r="J2087" t="s">
        <v>5191</v>
      </c>
      <c r="K2087" t="s">
        <v>751</v>
      </c>
      <c r="L2087">
        <v>72</v>
      </c>
      <c r="M2087" s="452">
        <v>45947</v>
      </c>
      <c r="N2087">
        <v>72</v>
      </c>
      <c r="O2087">
        <v>72</v>
      </c>
      <c r="P2087">
        <v>1021.68</v>
      </c>
    </row>
    <row r="2088" spans="1:16" x14ac:dyDescent="0.3">
      <c r="A2088">
        <v>56942</v>
      </c>
      <c r="B2088">
        <v>105</v>
      </c>
      <c r="C2088" t="s">
        <v>557</v>
      </c>
      <c r="D2088" s="452">
        <v>45962</v>
      </c>
      <c r="E2088">
        <v>18822</v>
      </c>
      <c r="F2088" t="s">
        <v>4811</v>
      </c>
      <c r="G2088">
        <v>2953</v>
      </c>
      <c r="H2088">
        <v>11.3</v>
      </c>
      <c r="I2088" t="s">
        <v>4744</v>
      </c>
      <c r="J2088" t="s">
        <v>5191</v>
      </c>
      <c r="K2088" t="s">
        <v>751</v>
      </c>
      <c r="L2088">
        <v>81.05</v>
      </c>
      <c r="M2088" s="452">
        <v>45957</v>
      </c>
      <c r="N2088">
        <v>0</v>
      </c>
      <c r="O2088">
        <v>111</v>
      </c>
      <c r="P2088">
        <v>915.86</v>
      </c>
    </row>
    <row r="2089" spans="1:16" x14ac:dyDescent="0.3">
      <c r="A2089">
        <v>56910</v>
      </c>
      <c r="B2089">
        <v>105</v>
      </c>
      <c r="C2089" t="s">
        <v>557</v>
      </c>
      <c r="D2089" s="452">
        <v>45962</v>
      </c>
      <c r="E2089">
        <v>24256</v>
      </c>
      <c r="F2089" t="s">
        <v>4773</v>
      </c>
      <c r="G2089">
        <v>3003</v>
      </c>
      <c r="H2089">
        <v>24</v>
      </c>
      <c r="I2089" t="s">
        <v>4744</v>
      </c>
      <c r="J2089" t="s">
        <v>5191</v>
      </c>
      <c r="K2089" t="s">
        <v>751</v>
      </c>
      <c r="L2089">
        <v>37.770000000000003</v>
      </c>
      <c r="M2089" s="452">
        <v>45954</v>
      </c>
      <c r="N2089">
        <v>34.9</v>
      </c>
      <c r="O2089">
        <v>37.9</v>
      </c>
      <c r="P2089">
        <v>906.48</v>
      </c>
    </row>
    <row r="2090" spans="1:16" x14ac:dyDescent="0.3">
      <c r="A2090">
        <v>56938</v>
      </c>
      <c r="B2090">
        <v>105</v>
      </c>
      <c r="C2090" t="s">
        <v>557</v>
      </c>
      <c r="D2090" s="452">
        <v>45962</v>
      </c>
      <c r="E2090">
        <v>19291</v>
      </c>
      <c r="F2090" t="s">
        <v>4870</v>
      </c>
      <c r="G2090">
        <v>2775</v>
      </c>
      <c r="H2090">
        <v>12.6</v>
      </c>
      <c r="I2090" t="s">
        <v>4744</v>
      </c>
      <c r="J2090" t="s">
        <v>5191</v>
      </c>
      <c r="K2090" t="s">
        <v>751</v>
      </c>
      <c r="L2090">
        <v>69.819999999999993</v>
      </c>
      <c r="M2090" s="452">
        <v>45943</v>
      </c>
      <c r="N2090">
        <v>69.819999999999993</v>
      </c>
      <c r="O2090">
        <v>59.99</v>
      </c>
      <c r="P2090">
        <v>879.73</v>
      </c>
    </row>
    <row r="2091" spans="1:16" x14ac:dyDescent="0.3">
      <c r="A2091">
        <v>56976</v>
      </c>
      <c r="B2091">
        <v>105</v>
      </c>
      <c r="C2091" t="s">
        <v>557</v>
      </c>
      <c r="D2091" s="452">
        <v>45962</v>
      </c>
      <c r="E2091">
        <v>21047</v>
      </c>
      <c r="F2091" t="s">
        <v>4847</v>
      </c>
      <c r="G2091">
        <v>1999</v>
      </c>
      <c r="H2091">
        <v>6.5</v>
      </c>
      <c r="I2091" t="s">
        <v>4848</v>
      </c>
      <c r="J2091" t="s">
        <v>5191</v>
      </c>
      <c r="K2091" t="s">
        <v>751</v>
      </c>
      <c r="L2091">
        <v>131.87</v>
      </c>
      <c r="M2091" s="452">
        <v>45939</v>
      </c>
      <c r="N2091">
        <v>131.87</v>
      </c>
      <c r="O2091">
        <v>127.7</v>
      </c>
      <c r="P2091">
        <v>857.16</v>
      </c>
    </row>
    <row r="2092" spans="1:16" x14ac:dyDescent="0.3">
      <c r="A2092">
        <v>56880</v>
      </c>
      <c r="B2092">
        <v>105</v>
      </c>
      <c r="C2092" t="s">
        <v>557</v>
      </c>
      <c r="D2092" s="452">
        <v>45962</v>
      </c>
      <c r="E2092">
        <v>22623</v>
      </c>
      <c r="F2092" t="s">
        <v>4751</v>
      </c>
      <c r="G2092">
        <v>3106</v>
      </c>
      <c r="H2092">
        <v>119</v>
      </c>
      <c r="I2092" t="s">
        <v>4736</v>
      </c>
      <c r="J2092" t="s">
        <v>5222</v>
      </c>
      <c r="K2092" t="s">
        <v>751</v>
      </c>
      <c r="L2092">
        <v>0</v>
      </c>
      <c r="M2092" s="452">
        <v>45679</v>
      </c>
      <c r="N2092">
        <v>6.83</v>
      </c>
      <c r="O2092">
        <v>6.83</v>
      </c>
      <c r="P2092">
        <v>812.77</v>
      </c>
    </row>
    <row r="2093" spans="1:16" x14ac:dyDescent="0.3">
      <c r="A2093">
        <v>56928</v>
      </c>
      <c r="B2093">
        <v>105</v>
      </c>
      <c r="C2093" t="s">
        <v>557</v>
      </c>
      <c r="D2093" s="452">
        <v>45962</v>
      </c>
      <c r="E2093">
        <v>18832</v>
      </c>
      <c r="F2093" t="s">
        <v>4785</v>
      </c>
      <c r="G2093">
        <v>2950</v>
      </c>
      <c r="H2093">
        <v>16.7</v>
      </c>
      <c r="I2093" t="s">
        <v>4744</v>
      </c>
      <c r="J2093" t="s">
        <v>5191</v>
      </c>
      <c r="K2093" t="s">
        <v>751</v>
      </c>
      <c r="L2093">
        <v>0</v>
      </c>
      <c r="M2093" s="452">
        <v>45927</v>
      </c>
      <c r="N2093">
        <v>45</v>
      </c>
      <c r="O2093">
        <v>40.5</v>
      </c>
      <c r="P2093">
        <v>751.5</v>
      </c>
    </row>
    <row r="2094" spans="1:16" x14ac:dyDescent="0.3">
      <c r="A2094">
        <v>57028</v>
      </c>
      <c r="B2094">
        <v>105</v>
      </c>
      <c r="C2094" t="s">
        <v>557</v>
      </c>
      <c r="D2094" s="452">
        <v>45962</v>
      </c>
      <c r="E2094">
        <v>21021</v>
      </c>
      <c r="F2094" t="s">
        <v>4883</v>
      </c>
      <c r="G2094">
        <v>2003</v>
      </c>
      <c r="H2094">
        <v>4</v>
      </c>
      <c r="I2094" t="s">
        <v>4884</v>
      </c>
      <c r="J2094" t="s">
        <v>5191</v>
      </c>
      <c r="K2094" t="s">
        <v>751</v>
      </c>
      <c r="L2094">
        <v>167.9</v>
      </c>
      <c r="M2094" s="452">
        <v>45957</v>
      </c>
      <c r="N2094">
        <v>167.9</v>
      </c>
      <c r="O2094">
        <v>167.9</v>
      </c>
      <c r="P2094">
        <v>671.6</v>
      </c>
    </row>
    <row r="2095" spans="1:16" x14ac:dyDescent="0.3">
      <c r="A2095">
        <v>56895</v>
      </c>
      <c r="B2095">
        <v>105</v>
      </c>
      <c r="C2095" t="s">
        <v>557</v>
      </c>
      <c r="D2095" s="452">
        <v>45962</v>
      </c>
      <c r="E2095">
        <v>19041</v>
      </c>
      <c r="F2095" t="s">
        <v>4762</v>
      </c>
      <c r="G2095">
        <v>2890</v>
      </c>
      <c r="H2095">
        <v>40.1</v>
      </c>
      <c r="I2095" t="s">
        <v>4744</v>
      </c>
      <c r="J2095" t="s">
        <v>5191</v>
      </c>
      <c r="K2095" t="s">
        <v>751</v>
      </c>
      <c r="L2095">
        <v>15.56</v>
      </c>
      <c r="M2095" s="452">
        <v>45957</v>
      </c>
      <c r="N2095">
        <v>15.9</v>
      </c>
      <c r="O2095">
        <v>15.9</v>
      </c>
      <c r="P2095">
        <v>623.96</v>
      </c>
    </row>
    <row r="2096" spans="1:16" x14ac:dyDescent="0.3">
      <c r="A2096">
        <v>56947</v>
      </c>
      <c r="B2096">
        <v>105</v>
      </c>
      <c r="C2096" t="s">
        <v>557</v>
      </c>
      <c r="D2096" s="452">
        <v>45962</v>
      </c>
      <c r="E2096">
        <v>19356</v>
      </c>
      <c r="F2096" t="s">
        <v>4799</v>
      </c>
      <c r="G2096">
        <v>2768</v>
      </c>
      <c r="H2096">
        <v>10.5</v>
      </c>
      <c r="I2096" t="s">
        <v>4744</v>
      </c>
      <c r="J2096" t="s">
        <v>5191</v>
      </c>
      <c r="K2096" t="s">
        <v>751</v>
      </c>
      <c r="L2096">
        <v>56.69</v>
      </c>
      <c r="M2096" s="452">
        <v>45957</v>
      </c>
      <c r="N2096">
        <v>56.5</v>
      </c>
      <c r="O2096">
        <v>59.89</v>
      </c>
      <c r="P2096">
        <v>595.24</v>
      </c>
    </row>
    <row r="2097" spans="1:16" x14ac:dyDescent="0.3">
      <c r="A2097">
        <v>56881</v>
      </c>
      <c r="B2097">
        <v>105</v>
      </c>
      <c r="C2097" t="s">
        <v>557</v>
      </c>
      <c r="D2097" s="452">
        <v>45962</v>
      </c>
      <c r="E2097">
        <v>22652</v>
      </c>
      <c r="F2097" t="s">
        <v>4759</v>
      </c>
      <c r="G2097">
        <v>3085</v>
      </c>
      <c r="H2097">
        <v>99</v>
      </c>
      <c r="I2097" t="s">
        <v>4736</v>
      </c>
      <c r="J2097" t="s">
        <v>5222</v>
      </c>
      <c r="K2097" t="s">
        <v>751</v>
      </c>
      <c r="L2097">
        <v>0</v>
      </c>
      <c r="M2097" s="452">
        <v>45679</v>
      </c>
      <c r="N2097">
        <v>5.95</v>
      </c>
      <c r="O2097">
        <v>4.09</v>
      </c>
      <c r="P2097">
        <v>589.04999999999995</v>
      </c>
    </row>
    <row r="2098" spans="1:16" x14ac:dyDescent="0.3">
      <c r="A2098">
        <v>56886</v>
      </c>
      <c r="B2098">
        <v>105</v>
      </c>
      <c r="C2098" t="s">
        <v>557</v>
      </c>
      <c r="D2098" s="452">
        <v>45962</v>
      </c>
      <c r="E2098">
        <v>24129</v>
      </c>
      <c r="F2098" t="s">
        <v>4740</v>
      </c>
      <c r="G2098">
        <v>3076</v>
      </c>
      <c r="H2098">
        <v>75</v>
      </c>
      <c r="I2098" t="s">
        <v>4736</v>
      </c>
      <c r="J2098" t="s">
        <v>5222</v>
      </c>
      <c r="K2098" t="s">
        <v>751</v>
      </c>
      <c r="L2098">
        <v>0</v>
      </c>
      <c r="M2098" s="452">
        <v>45512</v>
      </c>
      <c r="N2098">
        <v>7.7</v>
      </c>
      <c r="O2098">
        <v>7.95</v>
      </c>
      <c r="P2098">
        <v>577.5</v>
      </c>
    </row>
    <row r="2099" spans="1:16" x14ac:dyDescent="0.3">
      <c r="A2099">
        <v>56941</v>
      </c>
      <c r="B2099">
        <v>105</v>
      </c>
      <c r="C2099" t="s">
        <v>557</v>
      </c>
      <c r="D2099" s="452">
        <v>45962</v>
      </c>
      <c r="E2099">
        <v>19401</v>
      </c>
      <c r="F2099" t="s">
        <v>4809</v>
      </c>
      <c r="G2099">
        <v>2761</v>
      </c>
      <c r="H2099">
        <v>11.8</v>
      </c>
      <c r="I2099" t="s">
        <v>4744</v>
      </c>
      <c r="J2099" t="s">
        <v>5191</v>
      </c>
      <c r="K2099" t="s">
        <v>751</v>
      </c>
      <c r="L2099">
        <v>0</v>
      </c>
      <c r="M2099" s="452">
        <v>45831</v>
      </c>
      <c r="N2099">
        <v>47.9</v>
      </c>
      <c r="O2099">
        <v>49.58</v>
      </c>
      <c r="P2099">
        <v>565.22</v>
      </c>
    </row>
    <row r="2100" spans="1:16" x14ac:dyDescent="0.3">
      <c r="A2100">
        <v>56926</v>
      </c>
      <c r="B2100">
        <v>105</v>
      </c>
      <c r="C2100" t="s">
        <v>557</v>
      </c>
      <c r="D2100" s="452">
        <v>45962</v>
      </c>
      <c r="E2100">
        <v>18475</v>
      </c>
      <c r="F2100" t="s">
        <v>4895</v>
      </c>
      <c r="G2100">
        <v>3181</v>
      </c>
      <c r="H2100">
        <v>17</v>
      </c>
      <c r="I2100" t="s">
        <v>4805</v>
      </c>
      <c r="J2100" t="s">
        <v>5222</v>
      </c>
      <c r="K2100" t="s">
        <v>751</v>
      </c>
      <c r="L2100">
        <v>32.9</v>
      </c>
      <c r="M2100" s="452">
        <v>45957</v>
      </c>
      <c r="N2100">
        <v>32.9</v>
      </c>
      <c r="O2100">
        <v>32.9</v>
      </c>
      <c r="P2100">
        <v>559.29999999999995</v>
      </c>
    </row>
    <row r="2101" spans="1:16" x14ac:dyDescent="0.3">
      <c r="A2101">
        <v>56909</v>
      </c>
      <c r="B2101">
        <v>105</v>
      </c>
      <c r="C2101" t="s">
        <v>557</v>
      </c>
      <c r="D2101" s="452">
        <v>45962</v>
      </c>
      <c r="E2101">
        <v>20501</v>
      </c>
      <c r="F2101" t="s">
        <v>4760</v>
      </c>
      <c r="G2101">
        <v>2154</v>
      </c>
      <c r="H2101">
        <v>24.09</v>
      </c>
      <c r="I2101" t="s">
        <v>4744</v>
      </c>
      <c r="J2101" t="s">
        <v>5191</v>
      </c>
      <c r="K2101" t="s">
        <v>751</v>
      </c>
      <c r="L2101">
        <v>21.7</v>
      </c>
      <c r="M2101" s="452">
        <v>45957</v>
      </c>
      <c r="N2101">
        <v>21.66</v>
      </c>
      <c r="O2101">
        <v>21.66</v>
      </c>
      <c r="P2101">
        <v>522.75</v>
      </c>
    </row>
    <row r="2102" spans="1:16" x14ac:dyDescent="0.3">
      <c r="A2102">
        <v>57062</v>
      </c>
      <c r="B2102">
        <v>105</v>
      </c>
      <c r="C2102" t="s">
        <v>557</v>
      </c>
      <c r="D2102" s="452">
        <v>45962</v>
      </c>
      <c r="E2102">
        <v>18550</v>
      </c>
      <c r="F2102" t="s">
        <v>4967</v>
      </c>
      <c r="G2102">
        <v>3130</v>
      </c>
      <c r="H2102">
        <v>3</v>
      </c>
      <c r="I2102" t="s">
        <v>4805</v>
      </c>
      <c r="J2102" t="s">
        <v>5222</v>
      </c>
      <c r="K2102" t="s">
        <v>751</v>
      </c>
      <c r="L2102">
        <v>169.9</v>
      </c>
      <c r="M2102" s="452">
        <v>45931</v>
      </c>
      <c r="N2102">
        <v>169.9</v>
      </c>
      <c r="O2102">
        <v>164</v>
      </c>
      <c r="P2102">
        <v>509.7</v>
      </c>
    </row>
    <row r="2103" spans="1:16" x14ac:dyDescent="0.3">
      <c r="A2103">
        <v>57012</v>
      </c>
      <c r="B2103">
        <v>105</v>
      </c>
      <c r="C2103" t="s">
        <v>557</v>
      </c>
      <c r="D2103" s="452">
        <v>45962</v>
      </c>
      <c r="E2103">
        <v>18359</v>
      </c>
      <c r="F2103" t="s">
        <v>4921</v>
      </c>
      <c r="G2103">
        <v>3278</v>
      </c>
      <c r="H2103">
        <v>5</v>
      </c>
      <c r="I2103" t="s">
        <v>4805</v>
      </c>
      <c r="J2103" t="s">
        <v>5222</v>
      </c>
      <c r="K2103" t="s">
        <v>751</v>
      </c>
      <c r="L2103">
        <v>0</v>
      </c>
      <c r="M2103" s="452">
        <v>45909</v>
      </c>
      <c r="N2103">
        <v>99.9</v>
      </c>
      <c r="O2103">
        <v>94.9</v>
      </c>
      <c r="P2103">
        <v>499.5</v>
      </c>
    </row>
    <row r="2104" spans="1:16" x14ac:dyDescent="0.3">
      <c r="A2104">
        <v>56927</v>
      </c>
      <c r="B2104">
        <v>105</v>
      </c>
      <c r="C2104" t="s">
        <v>557</v>
      </c>
      <c r="D2104" s="452">
        <v>45962</v>
      </c>
      <c r="E2104">
        <v>24227</v>
      </c>
      <c r="F2104" t="s">
        <v>4806</v>
      </c>
      <c r="G2104">
        <v>3648</v>
      </c>
      <c r="H2104">
        <v>17</v>
      </c>
      <c r="I2104" t="s">
        <v>4736</v>
      </c>
      <c r="J2104" t="s">
        <v>5222</v>
      </c>
      <c r="K2104" t="s">
        <v>751</v>
      </c>
      <c r="L2104">
        <v>28.8</v>
      </c>
      <c r="M2104" s="452">
        <v>45950</v>
      </c>
      <c r="N2104">
        <v>28.8</v>
      </c>
      <c r="O2104">
        <v>28.8</v>
      </c>
      <c r="P2104">
        <v>489.6</v>
      </c>
    </row>
    <row r="2105" spans="1:16" x14ac:dyDescent="0.3">
      <c r="A2105">
        <v>56933</v>
      </c>
      <c r="B2105">
        <v>105</v>
      </c>
      <c r="C2105" t="s">
        <v>557</v>
      </c>
      <c r="D2105" s="452">
        <v>45962</v>
      </c>
      <c r="E2105">
        <v>18172</v>
      </c>
      <c r="F2105" t="s">
        <v>4804</v>
      </c>
      <c r="G2105">
        <v>3450</v>
      </c>
      <c r="H2105">
        <v>15</v>
      </c>
      <c r="I2105" t="s">
        <v>4805</v>
      </c>
      <c r="J2105" t="s">
        <v>5222</v>
      </c>
      <c r="K2105" t="s">
        <v>751</v>
      </c>
      <c r="L2105">
        <v>0</v>
      </c>
      <c r="M2105" s="452">
        <v>45926</v>
      </c>
      <c r="N2105">
        <v>31.77</v>
      </c>
      <c r="O2105">
        <v>30.9</v>
      </c>
      <c r="P2105">
        <v>476.55</v>
      </c>
    </row>
    <row r="2106" spans="1:16" x14ac:dyDescent="0.3">
      <c r="A2106">
        <v>56929</v>
      </c>
      <c r="B2106">
        <v>105</v>
      </c>
      <c r="C2106" t="s">
        <v>557</v>
      </c>
      <c r="D2106" s="452">
        <v>45962</v>
      </c>
      <c r="E2106">
        <v>24217</v>
      </c>
      <c r="F2106" t="s">
        <v>4778</v>
      </c>
      <c r="G2106">
        <v>2937</v>
      </c>
      <c r="H2106">
        <v>15.1</v>
      </c>
      <c r="I2106" t="s">
        <v>4744</v>
      </c>
      <c r="J2106" t="s">
        <v>5191</v>
      </c>
      <c r="K2106" t="s">
        <v>751</v>
      </c>
      <c r="L2106">
        <v>29.9</v>
      </c>
      <c r="M2106" s="452">
        <v>45957</v>
      </c>
      <c r="N2106">
        <v>29.9</v>
      </c>
      <c r="O2106">
        <v>29.51</v>
      </c>
      <c r="P2106">
        <v>451.49</v>
      </c>
    </row>
    <row r="2107" spans="1:16" x14ac:dyDescent="0.3">
      <c r="A2107">
        <v>57091</v>
      </c>
      <c r="B2107">
        <v>105</v>
      </c>
      <c r="C2107" t="s">
        <v>557</v>
      </c>
      <c r="D2107" s="452">
        <v>45962</v>
      </c>
      <c r="E2107">
        <v>20928</v>
      </c>
      <c r="F2107" t="s">
        <v>4950</v>
      </c>
      <c r="G2107">
        <v>2033</v>
      </c>
      <c r="H2107">
        <v>2</v>
      </c>
      <c r="I2107" t="s">
        <v>4736</v>
      </c>
      <c r="J2107" t="s">
        <v>5191</v>
      </c>
      <c r="K2107" t="s">
        <v>751</v>
      </c>
      <c r="L2107">
        <v>0</v>
      </c>
      <c r="M2107" s="452">
        <v>45905</v>
      </c>
      <c r="N2107">
        <v>219.9</v>
      </c>
      <c r="O2107">
        <v>201.9</v>
      </c>
      <c r="P2107">
        <v>439.8</v>
      </c>
    </row>
    <row r="2108" spans="1:16" x14ac:dyDescent="0.3">
      <c r="A2108">
        <v>56944</v>
      </c>
      <c r="B2108">
        <v>105</v>
      </c>
      <c r="C2108" t="s">
        <v>557</v>
      </c>
      <c r="D2108" s="452">
        <v>45962</v>
      </c>
      <c r="E2108">
        <v>26495</v>
      </c>
      <c r="F2108" t="s">
        <v>4867</v>
      </c>
      <c r="G2108">
        <v>5447</v>
      </c>
      <c r="H2108">
        <v>11</v>
      </c>
      <c r="I2108" t="s">
        <v>4744</v>
      </c>
      <c r="J2108" t="s">
        <v>5191</v>
      </c>
      <c r="K2108" t="s">
        <v>751</v>
      </c>
      <c r="L2108">
        <v>39.5</v>
      </c>
      <c r="M2108" s="452">
        <v>45947</v>
      </c>
      <c r="N2108">
        <v>39.5</v>
      </c>
      <c r="O2108">
        <v>39.5</v>
      </c>
      <c r="P2108">
        <v>434.5</v>
      </c>
    </row>
    <row r="2109" spans="1:16" x14ac:dyDescent="0.3">
      <c r="A2109">
        <v>57035</v>
      </c>
      <c r="B2109">
        <v>105</v>
      </c>
      <c r="C2109" t="s">
        <v>557</v>
      </c>
      <c r="D2109" s="452">
        <v>45962</v>
      </c>
      <c r="E2109">
        <v>25683</v>
      </c>
      <c r="F2109" t="s">
        <v>4928</v>
      </c>
      <c r="G2109">
        <v>6244</v>
      </c>
      <c r="H2109">
        <v>4</v>
      </c>
      <c r="I2109" t="s">
        <v>4805</v>
      </c>
      <c r="J2109" t="s">
        <v>5222</v>
      </c>
      <c r="K2109" t="s">
        <v>751</v>
      </c>
      <c r="L2109">
        <v>0</v>
      </c>
      <c r="M2109" s="452">
        <v>45789</v>
      </c>
      <c r="N2109">
        <v>107.99</v>
      </c>
      <c r="O2109">
        <v>84.82</v>
      </c>
      <c r="P2109">
        <v>431.96</v>
      </c>
    </row>
    <row r="2110" spans="1:16" x14ac:dyDescent="0.3">
      <c r="A2110">
        <v>57092</v>
      </c>
      <c r="B2110">
        <v>105</v>
      </c>
      <c r="C2110" t="s">
        <v>557</v>
      </c>
      <c r="D2110" s="452">
        <v>45962</v>
      </c>
      <c r="E2110">
        <v>25807</v>
      </c>
      <c r="F2110" t="s">
        <v>4951</v>
      </c>
      <c r="G2110">
        <v>6344</v>
      </c>
      <c r="H2110">
        <v>2</v>
      </c>
      <c r="I2110" t="s">
        <v>4736</v>
      </c>
      <c r="J2110" t="s">
        <v>5191</v>
      </c>
      <c r="K2110" t="s">
        <v>751</v>
      </c>
      <c r="L2110">
        <v>199.4</v>
      </c>
      <c r="M2110" s="452">
        <v>45950</v>
      </c>
      <c r="N2110">
        <v>199.9</v>
      </c>
      <c r="O2110">
        <v>201.5</v>
      </c>
      <c r="P2110">
        <v>398.8</v>
      </c>
    </row>
    <row r="2111" spans="1:16" x14ac:dyDescent="0.3">
      <c r="A2111">
        <v>56891</v>
      </c>
      <c r="B2111">
        <v>105</v>
      </c>
      <c r="C2111" t="s">
        <v>557</v>
      </c>
      <c r="D2111" s="452">
        <v>45962</v>
      </c>
      <c r="E2111">
        <v>24192</v>
      </c>
      <c r="F2111" t="s">
        <v>4772</v>
      </c>
      <c r="G2111">
        <v>3099</v>
      </c>
      <c r="H2111">
        <v>65</v>
      </c>
      <c r="I2111" t="s">
        <v>4736</v>
      </c>
      <c r="J2111" t="s">
        <v>5222</v>
      </c>
      <c r="K2111" t="s">
        <v>751</v>
      </c>
      <c r="L2111">
        <v>0</v>
      </c>
      <c r="M2111" s="452">
        <v>45679</v>
      </c>
      <c r="N2111">
        <v>6.12</v>
      </c>
      <c r="O2111">
        <v>6.12</v>
      </c>
      <c r="P2111">
        <v>397.8</v>
      </c>
    </row>
    <row r="2112" spans="1:16" x14ac:dyDescent="0.3">
      <c r="A2112">
        <v>56988</v>
      </c>
      <c r="B2112">
        <v>105</v>
      </c>
      <c r="C2112" t="s">
        <v>557</v>
      </c>
      <c r="D2112" s="452">
        <v>45962</v>
      </c>
      <c r="E2112">
        <v>26036</v>
      </c>
      <c r="F2112" t="s">
        <v>4841</v>
      </c>
      <c r="G2112">
        <v>6505</v>
      </c>
      <c r="H2112">
        <v>6</v>
      </c>
      <c r="I2112" t="s">
        <v>4805</v>
      </c>
      <c r="J2112" t="s">
        <v>5222</v>
      </c>
      <c r="K2112" t="s">
        <v>751</v>
      </c>
      <c r="L2112">
        <v>65</v>
      </c>
      <c r="M2112" s="452">
        <v>45947</v>
      </c>
      <c r="N2112">
        <v>65</v>
      </c>
      <c r="O2112">
        <v>65</v>
      </c>
      <c r="P2112">
        <v>390</v>
      </c>
    </row>
    <row r="2113" spans="1:16" x14ac:dyDescent="0.3">
      <c r="A2113">
        <v>57068</v>
      </c>
      <c r="B2113">
        <v>105</v>
      </c>
      <c r="C2113" t="s">
        <v>557</v>
      </c>
      <c r="D2113" s="452">
        <v>45962</v>
      </c>
      <c r="E2113">
        <v>25714</v>
      </c>
      <c r="F2113" t="s">
        <v>4927</v>
      </c>
      <c r="G2113">
        <v>6275</v>
      </c>
      <c r="H2113">
        <v>3</v>
      </c>
      <c r="I2113" t="s">
        <v>4805</v>
      </c>
      <c r="J2113" t="s">
        <v>5222</v>
      </c>
      <c r="K2113" t="s">
        <v>751</v>
      </c>
      <c r="L2113">
        <v>0</v>
      </c>
      <c r="M2113" s="452">
        <v>45861</v>
      </c>
      <c r="N2113">
        <v>128.05000000000001</v>
      </c>
      <c r="O2113">
        <v>221.68</v>
      </c>
      <c r="P2113">
        <v>384.15</v>
      </c>
    </row>
    <row r="2114" spans="1:16" x14ac:dyDescent="0.3">
      <c r="A2114">
        <v>56873</v>
      </c>
      <c r="B2114">
        <v>105</v>
      </c>
      <c r="C2114" t="s">
        <v>557</v>
      </c>
      <c r="D2114" s="452">
        <v>45962</v>
      </c>
      <c r="E2114">
        <v>17042</v>
      </c>
      <c r="F2114" t="s">
        <v>4748</v>
      </c>
      <c r="G2114">
        <v>2830</v>
      </c>
      <c r="H2114">
        <v>252</v>
      </c>
      <c r="I2114" t="s">
        <v>4749</v>
      </c>
      <c r="J2114" t="s">
        <v>5191</v>
      </c>
      <c r="K2114" t="s">
        <v>751</v>
      </c>
      <c r="L2114">
        <v>1.44</v>
      </c>
      <c r="M2114" s="452">
        <v>45954</v>
      </c>
      <c r="N2114">
        <v>1.44</v>
      </c>
      <c r="O2114">
        <v>1.44</v>
      </c>
      <c r="P2114">
        <v>362.88</v>
      </c>
    </row>
    <row r="2115" spans="1:16" x14ac:dyDescent="0.3">
      <c r="A2115">
        <v>57043</v>
      </c>
      <c r="B2115">
        <v>105</v>
      </c>
      <c r="C2115" t="s">
        <v>557</v>
      </c>
      <c r="D2115" s="452">
        <v>45962</v>
      </c>
      <c r="E2115">
        <v>25789</v>
      </c>
      <c r="F2115" t="s">
        <v>4902</v>
      </c>
      <c r="G2115">
        <v>6328</v>
      </c>
      <c r="H2115">
        <v>3.5</v>
      </c>
      <c r="I2115" t="s">
        <v>4744</v>
      </c>
      <c r="J2115" t="s">
        <v>5191</v>
      </c>
      <c r="K2115" t="s">
        <v>751</v>
      </c>
      <c r="L2115">
        <v>0</v>
      </c>
      <c r="M2115" s="452">
        <v>45671</v>
      </c>
      <c r="N2115">
        <v>99.8</v>
      </c>
      <c r="O2115">
        <v>99.8</v>
      </c>
      <c r="P2115">
        <v>349.3</v>
      </c>
    </row>
    <row r="2116" spans="1:16" x14ac:dyDescent="0.3">
      <c r="A2116">
        <v>56935</v>
      </c>
      <c r="B2116">
        <v>105</v>
      </c>
      <c r="C2116" t="s">
        <v>557</v>
      </c>
      <c r="D2116" s="452">
        <v>45962</v>
      </c>
      <c r="E2116">
        <v>19322</v>
      </c>
      <c r="F2116" t="s">
        <v>4830</v>
      </c>
      <c r="G2116">
        <v>2773</v>
      </c>
      <c r="H2116">
        <v>13.5</v>
      </c>
      <c r="I2116" t="s">
        <v>4744</v>
      </c>
      <c r="J2116" t="s">
        <v>5191</v>
      </c>
      <c r="K2116" t="s">
        <v>751</v>
      </c>
      <c r="L2116">
        <v>25.61</v>
      </c>
      <c r="M2116" s="452">
        <v>45957</v>
      </c>
      <c r="N2116">
        <v>0</v>
      </c>
      <c r="O2116">
        <v>0</v>
      </c>
      <c r="P2116">
        <v>345.74</v>
      </c>
    </row>
    <row r="2117" spans="1:16" x14ac:dyDescent="0.3">
      <c r="A2117">
        <v>56940</v>
      </c>
      <c r="B2117">
        <v>105</v>
      </c>
      <c r="C2117" t="s">
        <v>557</v>
      </c>
      <c r="D2117" s="452">
        <v>45962</v>
      </c>
      <c r="E2117">
        <v>22721</v>
      </c>
      <c r="F2117" t="s">
        <v>4803</v>
      </c>
      <c r="G2117">
        <v>3033</v>
      </c>
      <c r="H2117">
        <v>12.02</v>
      </c>
      <c r="I2117" t="s">
        <v>4744</v>
      </c>
      <c r="J2117" t="s">
        <v>5191</v>
      </c>
      <c r="K2117" t="s">
        <v>751</v>
      </c>
      <c r="L2117">
        <v>28.63</v>
      </c>
      <c r="M2117" s="452">
        <v>45957</v>
      </c>
      <c r="N2117">
        <v>27.85</v>
      </c>
      <c r="O2117">
        <v>27.85</v>
      </c>
      <c r="P2117">
        <v>344.13</v>
      </c>
    </row>
    <row r="2118" spans="1:16" x14ac:dyDescent="0.3">
      <c r="A2118">
        <v>56943</v>
      </c>
      <c r="B2118">
        <v>105</v>
      </c>
      <c r="C2118" t="s">
        <v>557</v>
      </c>
      <c r="D2118" s="452">
        <v>45962</v>
      </c>
      <c r="E2118">
        <v>20809</v>
      </c>
      <c r="F2118" t="s">
        <v>4822</v>
      </c>
      <c r="G2118">
        <v>2074</v>
      </c>
      <c r="H2118">
        <v>11</v>
      </c>
      <c r="I2118" t="s">
        <v>4738</v>
      </c>
      <c r="J2118" t="s">
        <v>5191</v>
      </c>
      <c r="K2118" t="s">
        <v>751</v>
      </c>
      <c r="L2118">
        <v>31.21</v>
      </c>
      <c r="M2118" s="452">
        <v>45950</v>
      </c>
      <c r="N2118">
        <v>31.7</v>
      </c>
      <c r="O2118">
        <v>32.299999999999997</v>
      </c>
      <c r="P2118">
        <v>343.31</v>
      </c>
    </row>
    <row r="2119" spans="1:16" x14ac:dyDescent="0.3">
      <c r="A2119">
        <v>56954</v>
      </c>
      <c r="B2119">
        <v>105</v>
      </c>
      <c r="C2119" t="s">
        <v>557</v>
      </c>
      <c r="D2119" s="452">
        <v>45962</v>
      </c>
      <c r="E2119">
        <v>19003</v>
      </c>
      <c r="F2119" t="s">
        <v>4810</v>
      </c>
      <c r="G2119">
        <v>2897</v>
      </c>
      <c r="H2119">
        <v>9.4</v>
      </c>
      <c r="I2119" t="s">
        <v>4744</v>
      </c>
      <c r="J2119" t="s">
        <v>5191</v>
      </c>
      <c r="K2119" t="s">
        <v>751</v>
      </c>
      <c r="L2119">
        <v>35.89</v>
      </c>
      <c r="M2119" s="452">
        <v>45950</v>
      </c>
      <c r="N2119">
        <v>35.9</v>
      </c>
      <c r="O2119">
        <v>35.9</v>
      </c>
      <c r="P2119">
        <v>337.37</v>
      </c>
    </row>
    <row r="2120" spans="1:16" x14ac:dyDescent="0.3">
      <c r="A2120">
        <v>57018</v>
      </c>
      <c r="B2120">
        <v>105</v>
      </c>
      <c r="C2120" t="s">
        <v>557</v>
      </c>
      <c r="D2120" s="452">
        <v>45962</v>
      </c>
      <c r="E2120">
        <v>18735</v>
      </c>
      <c r="F2120" t="s">
        <v>4891</v>
      </c>
      <c r="G2120">
        <v>3018</v>
      </c>
      <c r="H2120">
        <v>4.5</v>
      </c>
      <c r="I2120" t="s">
        <v>4744</v>
      </c>
      <c r="J2120" t="s">
        <v>5191</v>
      </c>
      <c r="K2120" t="s">
        <v>751</v>
      </c>
      <c r="L2120">
        <v>71</v>
      </c>
      <c r="M2120" s="452">
        <v>45943</v>
      </c>
      <c r="N2120">
        <v>71</v>
      </c>
      <c r="O2120">
        <v>67</v>
      </c>
      <c r="P2120">
        <v>319.5</v>
      </c>
    </row>
    <row r="2121" spans="1:16" x14ac:dyDescent="0.3">
      <c r="A2121">
        <v>57006</v>
      </c>
      <c r="B2121">
        <v>105</v>
      </c>
      <c r="C2121" t="s">
        <v>557</v>
      </c>
      <c r="D2121" s="452">
        <v>45962</v>
      </c>
      <c r="E2121">
        <v>24259</v>
      </c>
      <c r="F2121" t="s">
        <v>4875</v>
      </c>
      <c r="G2121">
        <v>2938</v>
      </c>
      <c r="H2121">
        <v>5</v>
      </c>
      <c r="I2121" t="s">
        <v>4744</v>
      </c>
      <c r="J2121" t="s">
        <v>5191</v>
      </c>
      <c r="K2121" t="s">
        <v>751</v>
      </c>
      <c r="L2121">
        <v>62.58</v>
      </c>
      <c r="M2121" s="452">
        <v>45950</v>
      </c>
      <c r="N2121">
        <v>64.8</v>
      </c>
      <c r="O2121">
        <v>62.8</v>
      </c>
      <c r="P2121">
        <v>312.89999999999998</v>
      </c>
    </row>
    <row r="2122" spans="1:16" x14ac:dyDescent="0.3">
      <c r="A2122">
        <v>56885</v>
      </c>
      <c r="B2122">
        <v>105</v>
      </c>
      <c r="C2122" t="s">
        <v>557</v>
      </c>
      <c r="D2122" s="452">
        <v>45962</v>
      </c>
      <c r="E2122">
        <v>18581</v>
      </c>
      <c r="F2122" t="s">
        <v>4747</v>
      </c>
      <c r="G2122">
        <v>3106</v>
      </c>
      <c r="H2122">
        <v>3.29</v>
      </c>
      <c r="I2122" t="s">
        <v>4738</v>
      </c>
      <c r="J2122" t="s">
        <v>5222</v>
      </c>
      <c r="K2122" t="s">
        <v>751</v>
      </c>
      <c r="L2122">
        <v>0</v>
      </c>
      <c r="N2122">
        <v>0</v>
      </c>
      <c r="O2122">
        <v>108.84</v>
      </c>
      <c r="P2122">
        <v>310.14999999999998</v>
      </c>
    </row>
    <row r="2123" spans="1:16" x14ac:dyDescent="0.3">
      <c r="A2123">
        <v>56899</v>
      </c>
      <c r="B2123">
        <v>105</v>
      </c>
      <c r="C2123" t="s">
        <v>557</v>
      </c>
      <c r="D2123" s="452">
        <v>45962</v>
      </c>
      <c r="E2123">
        <v>26505</v>
      </c>
      <c r="F2123" t="s">
        <v>4750</v>
      </c>
      <c r="G2123">
        <v>6762</v>
      </c>
      <c r="H2123">
        <v>1.42</v>
      </c>
      <c r="I2123" t="s">
        <v>4738</v>
      </c>
      <c r="J2123" t="s">
        <v>5222</v>
      </c>
      <c r="K2123" t="s">
        <v>751</v>
      </c>
      <c r="L2123">
        <v>216</v>
      </c>
      <c r="M2123" s="452">
        <v>45939</v>
      </c>
      <c r="N2123">
        <v>216</v>
      </c>
      <c r="O2123">
        <v>216</v>
      </c>
      <c r="P2123">
        <v>306.72000000000003</v>
      </c>
    </row>
    <row r="2124" spans="1:16" x14ac:dyDescent="0.3">
      <c r="A2124">
        <v>56956</v>
      </c>
      <c r="B2124">
        <v>105</v>
      </c>
      <c r="C2124" t="s">
        <v>557</v>
      </c>
      <c r="D2124" s="452">
        <v>45962</v>
      </c>
      <c r="E2124">
        <v>19916</v>
      </c>
      <c r="F2124" t="s">
        <v>4826</v>
      </c>
      <c r="G2124">
        <v>2379</v>
      </c>
      <c r="H2124">
        <v>9</v>
      </c>
      <c r="I2124" t="s">
        <v>4738</v>
      </c>
      <c r="J2124" t="s">
        <v>5191</v>
      </c>
      <c r="K2124" t="s">
        <v>751</v>
      </c>
      <c r="L2124">
        <v>33.9</v>
      </c>
      <c r="M2124" s="452">
        <v>45950</v>
      </c>
      <c r="N2124">
        <v>33.9</v>
      </c>
      <c r="O2124">
        <v>33.9</v>
      </c>
      <c r="P2124">
        <v>305.10000000000002</v>
      </c>
    </row>
    <row r="2125" spans="1:16" x14ac:dyDescent="0.3">
      <c r="A2125">
        <v>56963</v>
      </c>
      <c r="B2125">
        <v>105</v>
      </c>
      <c r="C2125" t="s">
        <v>557</v>
      </c>
      <c r="D2125" s="452">
        <v>45962</v>
      </c>
      <c r="E2125">
        <v>16973</v>
      </c>
      <c r="F2125" t="s">
        <v>4827</v>
      </c>
      <c r="G2125">
        <v>3710</v>
      </c>
      <c r="H2125">
        <v>8</v>
      </c>
      <c r="I2125" t="s">
        <v>4749</v>
      </c>
      <c r="J2125" t="s">
        <v>5222</v>
      </c>
      <c r="K2125" t="s">
        <v>751</v>
      </c>
      <c r="L2125">
        <v>0</v>
      </c>
      <c r="M2125" s="452">
        <v>45740</v>
      </c>
      <c r="N2125">
        <v>0</v>
      </c>
      <c r="O2125">
        <v>135</v>
      </c>
      <c r="P2125">
        <v>304</v>
      </c>
    </row>
    <row r="2126" spans="1:16" x14ac:dyDescent="0.3">
      <c r="A2126">
        <v>56878</v>
      </c>
      <c r="B2126">
        <v>105</v>
      </c>
      <c r="C2126" t="s">
        <v>557</v>
      </c>
      <c r="D2126" s="452">
        <v>45962</v>
      </c>
      <c r="E2126">
        <v>17895</v>
      </c>
      <c r="F2126" t="s">
        <v>5086</v>
      </c>
      <c r="G2126">
        <v>3665</v>
      </c>
      <c r="H2126">
        <v>10.5</v>
      </c>
      <c r="I2126" t="s">
        <v>4738</v>
      </c>
      <c r="J2126" t="s">
        <v>5222</v>
      </c>
      <c r="K2126" t="s">
        <v>751</v>
      </c>
      <c r="L2126">
        <v>0</v>
      </c>
      <c r="M2126" s="452">
        <v>45924</v>
      </c>
      <c r="N2126">
        <v>28.32</v>
      </c>
      <c r="O2126">
        <v>28.32</v>
      </c>
      <c r="P2126">
        <v>297.36</v>
      </c>
    </row>
    <row r="2127" spans="1:16" x14ac:dyDescent="0.3">
      <c r="A2127">
        <v>56977</v>
      </c>
      <c r="B2127">
        <v>105</v>
      </c>
      <c r="C2127" t="s">
        <v>557</v>
      </c>
      <c r="D2127" s="452">
        <v>45962</v>
      </c>
      <c r="E2127">
        <v>26034</v>
      </c>
      <c r="F2127" t="s">
        <v>4828</v>
      </c>
      <c r="G2127">
        <v>6504</v>
      </c>
      <c r="H2127">
        <v>6.45</v>
      </c>
      <c r="I2127" t="s">
        <v>4805</v>
      </c>
      <c r="J2127" t="s">
        <v>5222</v>
      </c>
      <c r="K2127" t="s">
        <v>751</v>
      </c>
      <c r="L2127">
        <v>45.5</v>
      </c>
      <c r="M2127" s="452">
        <v>45947</v>
      </c>
      <c r="N2127">
        <v>45.5</v>
      </c>
      <c r="O2127">
        <v>45.5</v>
      </c>
      <c r="P2127">
        <v>293.48</v>
      </c>
    </row>
    <row r="2128" spans="1:16" x14ac:dyDescent="0.3">
      <c r="A2128">
        <v>56918</v>
      </c>
      <c r="B2128">
        <v>105</v>
      </c>
      <c r="C2128" t="s">
        <v>557</v>
      </c>
      <c r="D2128" s="452">
        <v>45962</v>
      </c>
      <c r="E2128">
        <v>25759</v>
      </c>
      <c r="F2128" t="s">
        <v>4877</v>
      </c>
      <c r="G2128">
        <v>9073</v>
      </c>
      <c r="H2128">
        <v>19</v>
      </c>
      <c r="I2128" t="s">
        <v>4736</v>
      </c>
      <c r="J2128" t="s">
        <v>5191</v>
      </c>
      <c r="K2128" t="s">
        <v>751</v>
      </c>
      <c r="L2128">
        <v>0</v>
      </c>
      <c r="M2128" s="452">
        <v>45918</v>
      </c>
      <c r="N2128">
        <v>15.3</v>
      </c>
      <c r="O2128">
        <v>15.3</v>
      </c>
      <c r="P2128">
        <v>290.7</v>
      </c>
    </row>
    <row r="2129" spans="1:16" x14ac:dyDescent="0.3">
      <c r="A2129">
        <v>56962</v>
      </c>
      <c r="B2129">
        <v>105</v>
      </c>
      <c r="C2129" t="s">
        <v>557</v>
      </c>
      <c r="D2129" s="452">
        <v>45962</v>
      </c>
      <c r="E2129">
        <v>22843</v>
      </c>
      <c r="F2129" t="s">
        <v>4849</v>
      </c>
      <c r="G2129">
        <v>2936</v>
      </c>
      <c r="H2129">
        <v>8</v>
      </c>
      <c r="I2129" t="s">
        <v>4744</v>
      </c>
      <c r="J2129" t="s">
        <v>5191</v>
      </c>
      <c r="K2129" t="s">
        <v>751</v>
      </c>
      <c r="L2129">
        <v>36.29</v>
      </c>
      <c r="M2129" s="452">
        <v>45957</v>
      </c>
      <c r="N2129">
        <v>35.799999999999997</v>
      </c>
      <c r="O2129">
        <v>35.799999999999997</v>
      </c>
      <c r="P2129">
        <v>290.32</v>
      </c>
    </row>
    <row r="2130" spans="1:16" x14ac:dyDescent="0.3">
      <c r="A2130">
        <v>56890</v>
      </c>
      <c r="B2130">
        <v>105</v>
      </c>
      <c r="C2130" t="s">
        <v>557</v>
      </c>
      <c r="D2130" s="452">
        <v>45962</v>
      </c>
      <c r="E2130">
        <v>23268</v>
      </c>
      <c r="F2130" t="s">
        <v>4743</v>
      </c>
      <c r="G2130">
        <v>2592</v>
      </c>
      <c r="H2130">
        <v>65.08</v>
      </c>
      <c r="I2130" t="s">
        <v>4744</v>
      </c>
      <c r="J2130" t="s">
        <v>5191</v>
      </c>
      <c r="K2130" t="s">
        <v>751</v>
      </c>
      <c r="L2130">
        <v>0</v>
      </c>
      <c r="M2130" s="452">
        <v>45681</v>
      </c>
      <c r="N2130">
        <v>4.42</v>
      </c>
      <c r="O2130">
        <v>5.0999999999999996</v>
      </c>
      <c r="P2130">
        <v>287.64999999999998</v>
      </c>
    </row>
    <row r="2131" spans="1:16" x14ac:dyDescent="0.3">
      <c r="A2131">
        <v>56893</v>
      </c>
      <c r="B2131">
        <v>105</v>
      </c>
      <c r="C2131" t="s">
        <v>557</v>
      </c>
      <c r="D2131" s="452">
        <v>45962</v>
      </c>
      <c r="E2131">
        <v>22636</v>
      </c>
      <c r="F2131" t="s">
        <v>4761</v>
      </c>
      <c r="G2131">
        <v>3099</v>
      </c>
      <c r="H2131">
        <v>54</v>
      </c>
      <c r="I2131" t="s">
        <v>4736</v>
      </c>
      <c r="J2131" t="s">
        <v>5222</v>
      </c>
      <c r="K2131" t="s">
        <v>751</v>
      </c>
      <c r="L2131">
        <v>0</v>
      </c>
      <c r="M2131" s="452">
        <v>45671</v>
      </c>
      <c r="N2131">
        <v>5.3</v>
      </c>
      <c r="O2131">
        <v>5.0199999999999996</v>
      </c>
      <c r="P2131">
        <v>286.2</v>
      </c>
    </row>
    <row r="2132" spans="1:16" x14ac:dyDescent="0.3">
      <c r="A2132">
        <v>56992</v>
      </c>
      <c r="B2132">
        <v>105</v>
      </c>
      <c r="C2132" t="s">
        <v>557</v>
      </c>
      <c r="D2132" s="452">
        <v>45962</v>
      </c>
      <c r="E2132">
        <v>19346</v>
      </c>
      <c r="F2132" t="s">
        <v>4835</v>
      </c>
      <c r="G2132">
        <v>2770</v>
      </c>
      <c r="H2132">
        <v>5.3</v>
      </c>
      <c r="I2132" t="s">
        <v>4744</v>
      </c>
      <c r="J2132" t="s">
        <v>5191</v>
      </c>
      <c r="K2132" t="s">
        <v>751</v>
      </c>
      <c r="L2132">
        <v>0</v>
      </c>
      <c r="M2132" s="452">
        <v>45926</v>
      </c>
      <c r="N2132">
        <v>53.9</v>
      </c>
      <c r="O2132">
        <v>52.9</v>
      </c>
      <c r="P2132">
        <v>285.67</v>
      </c>
    </row>
    <row r="2133" spans="1:16" x14ac:dyDescent="0.3">
      <c r="A2133">
        <v>57007</v>
      </c>
      <c r="B2133">
        <v>105</v>
      </c>
      <c r="C2133" t="s">
        <v>557</v>
      </c>
      <c r="D2133" s="452">
        <v>45962</v>
      </c>
      <c r="E2133">
        <v>23974</v>
      </c>
      <c r="F2133" t="s">
        <v>4862</v>
      </c>
      <c r="G2133">
        <v>4163</v>
      </c>
      <c r="H2133">
        <v>5</v>
      </c>
      <c r="I2133" t="s">
        <v>4736</v>
      </c>
      <c r="J2133" t="s">
        <v>5222</v>
      </c>
      <c r="K2133" t="s">
        <v>751</v>
      </c>
      <c r="L2133">
        <v>56.16</v>
      </c>
      <c r="M2133" s="452">
        <v>45931</v>
      </c>
      <c r="N2133">
        <v>56.16</v>
      </c>
      <c r="O2133">
        <v>59.02</v>
      </c>
      <c r="P2133">
        <v>280.8</v>
      </c>
    </row>
    <row r="2134" spans="1:16" x14ac:dyDescent="0.3">
      <c r="A2134">
        <v>56877</v>
      </c>
      <c r="B2134">
        <v>105</v>
      </c>
      <c r="C2134" t="s">
        <v>557</v>
      </c>
      <c r="D2134" s="452">
        <v>45962</v>
      </c>
      <c r="E2134">
        <v>24308</v>
      </c>
      <c r="F2134" t="s">
        <v>4757</v>
      </c>
      <c r="G2134">
        <v>3658</v>
      </c>
      <c r="H2134">
        <v>128</v>
      </c>
      <c r="I2134" t="s">
        <v>4736</v>
      </c>
      <c r="J2134" t="s">
        <v>5222</v>
      </c>
      <c r="K2134" t="s">
        <v>751</v>
      </c>
      <c r="L2134">
        <v>0</v>
      </c>
      <c r="M2134" s="452">
        <v>45679</v>
      </c>
      <c r="N2134">
        <v>2.19</v>
      </c>
      <c r="O2134">
        <v>2.19</v>
      </c>
      <c r="P2134">
        <v>280.32</v>
      </c>
    </row>
    <row r="2135" spans="1:16" x14ac:dyDescent="0.3">
      <c r="A2135">
        <v>57113</v>
      </c>
      <c r="B2135">
        <v>105</v>
      </c>
      <c r="C2135" t="s">
        <v>557</v>
      </c>
      <c r="D2135" s="452">
        <v>45962</v>
      </c>
      <c r="E2135">
        <v>18295</v>
      </c>
      <c r="F2135" t="s">
        <v>4968</v>
      </c>
      <c r="G2135">
        <v>3334</v>
      </c>
      <c r="H2135">
        <v>2</v>
      </c>
      <c r="I2135" t="s">
        <v>4805</v>
      </c>
      <c r="J2135" t="s">
        <v>5222</v>
      </c>
      <c r="K2135" t="s">
        <v>751</v>
      </c>
      <c r="L2135">
        <v>0</v>
      </c>
      <c r="M2135" s="452">
        <v>45902</v>
      </c>
      <c r="N2135">
        <v>138</v>
      </c>
      <c r="O2135">
        <v>124.54</v>
      </c>
      <c r="P2135">
        <v>276</v>
      </c>
    </row>
    <row r="2136" spans="1:16" x14ac:dyDescent="0.3">
      <c r="A2136">
        <v>56989</v>
      </c>
      <c r="B2136">
        <v>105</v>
      </c>
      <c r="C2136" t="s">
        <v>557</v>
      </c>
      <c r="D2136" s="452">
        <v>45962</v>
      </c>
      <c r="E2136">
        <v>26040</v>
      </c>
      <c r="F2136" t="s">
        <v>4812</v>
      </c>
      <c r="G2136">
        <v>6507</v>
      </c>
      <c r="H2136">
        <v>6</v>
      </c>
      <c r="I2136" t="s">
        <v>4805</v>
      </c>
      <c r="J2136" t="s">
        <v>5222</v>
      </c>
      <c r="K2136" t="s">
        <v>751</v>
      </c>
      <c r="L2136">
        <v>0</v>
      </c>
      <c r="M2136" s="452">
        <v>45888</v>
      </c>
      <c r="N2136">
        <v>45.5</v>
      </c>
      <c r="O2136">
        <v>45.5</v>
      </c>
      <c r="P2136">
        <v>273</v>
      </c>
    </row>
    <row r="2137" spans="1:16" x14ac:dyDescent="0.3">
      <c r="A2137">
        <v>56894</v>
      </c>
      <c r="B2137">
        <v>105</v>
      </c>
      <c r="C2137" t="s">
        <v>557</v>
      </c>
      <c r="D2137" s="452">
        <v>45962</v>
      </c>
      <c r="E2137">
        <v>19532</v>
      </c>
      <c r="F2137" t="s">
        <v>4753</v>
      </c>
      <c r="G2137">
        <v>2683</v>
      </c>
      <c r="H2137">
        <v>44.8</v>
      </c>
      <c r="I2137" t="s">
        <v>4744</v>
      </c>
      <c r="J2137" t="s">
        <v>5191</v>
      </c>
      <c r="K2137" t="s">
        <v>751</v>
      </c>
      <c r="L2137">
        <v>5.99</v>
      </c>
      <c r="M2137" s="452">
        <v>45954</v>
      </c>
      <c r="N2137">
        <v>5.75</v>
      </c>
      <c r="O2137">
        <v>6.16</v>
      </c>
      <c r="P2137">
        <v>268.35000000000002</v>
      </c>
    </row>
    <row r="2138" spans="1:16" x14ac:dyDescent="0.3">
      <c r="A2138">
        <v>57176</v>
      </c>
      <c r="B2138">
        <v>105</v>
      </c>
      <c r="C2138" t="s">
        <v>557</v>
      </c>
      <c r="D2138" s="452">
        <v>45962</v>
      </c>
      <c r="E2138">
        <v>18114</v>
      </c>
      <c r="F2138" t="s">
        <v>5046</v>
      </c>
      <c r="G2138">
        <v>3498</v>
      </c>
      <c r="H2138">
        <v>1</v>
      </c>
      <c r="I2138" t="s">
        <v>4805</v>
      </c>
      <c r="J2138" t="s">
        <v>5222</v>
      </c>
      <c r="K2138" t="s">
        <v>751</v>
      </c>
      <c r="L2138">
        <v>0</v>
      </c>
      <c r="N2138">
        <v>0</v>
      </c>
      <c r="O2138">
        <v>291.11</v>
      </c>
      <c r="P2138">
        <v>261.70999999999998</v>
      </c>
    </row>
    <row r="2139" spans="1:16" x14ac:dyDescent="0.3">
      <c r="A2139">
        <v>57065</v>
      </c>
      <c r="B2139">
        <v>105</v>
      </c>
      <c r="C2139" t="s">
        <v>557</v>
      </c>
      <c r="D2139" s="452">
        <v>45962</v>
      </c>
      <c r="E2139">
        <v>18179</v>
      </c>
      <c r="F2139" t="s">
        <v>4924</v>
      </c>
      <c r="G2139">
        <v>3443</v>
      </c>
      <c r="H2139">
        <v>3</v>
      </c>
      <c r="I2139" t="s">
        <v>4805</v>
      </c>
      <c r="J2139" t="s">
        <v>5222</v>
      </c>
      <c r="K2139" t="s">
        <v>751</v>
      </c>
      <c r="L2139">
        <v>0</v>
      </c>
      <c r="M2139" s="452">
        <v>45895</v>
      </c>
      <c r="N2139">
        <v>85.5</v>
      </c>
      <c r="O2139">
        <v>110.9</v>
      </c>
      <c r="P2139">
        <v>256.5</v>
      </c>
    </row>
    <row r="2140" spans="1:16" x14ac:dyDescent="0.3">
      <c r="A2140">
        <v>57087</v>
      </c>
      <c r="B2140">
        <v>105</v>
      </c>
      <c r="C2140" t="s">
        <v>557</v>
      </c>
      <c r="D2140" s="452">
        <v>45962</v>
      </c>
      <c r="E2140">
        <v>17062</v>
      </c>
      <c r="F2140" t="s">
        <v>4880</v>
      </c>
      <c r="G2140">
        <v>1954</v>
      </c>
      <c r="H2140">
        <v>2</v>
      </c>
      <c r="I2140" t="s">
        <v>4879</v>
      </c>
      <c r="J2140" t="s">
        <v>5191</v>
      </c>
      <c r="K2140" t="s">
        <v>751</v>
      </c>
      <c r="L2140">
        <v>126.03</v>
      </c>
      <c r="M2140" s="452">
        <v>45953</v>
      </c>
      <c r="N2140">
        <v>126.03</v>
      </c>
      <c r="O2140">
        <v>126.03</v>
      </c>
      <c r="P2140">
        <v>252.06</v>
      </c>
    </row>
    <row r="2141" spans="1:16" x14ac:dyDescent="0.3">
      <c r="A2141">
        <v>57011</v>
      </c>
      <c r="B2141">
        <v>105</v>
      </c>
      <c r="C2141" t="s">
        <v>557</v>
      </c>
      <c r="D2141" s="452">
        <v>45962</v>
      </c>
      <c r="E2141">
        <v>18477</v>
      </c>
      <c r="F2141" t="s">
        <v>4920</v>
      </c>
      <c r="G2141">
        <v>3179</v>
      </c>
      <c r="H2141">
        <v>5</v>
      </c>
      <c r="I2141" t="s">
        <v>4805</v>
      </c>
      <c r="J2141" t="s">
        <v>5222</v>
      </c>
      <c r="K2141" t="s">
        <v>751</v>
      </c>
      <c r="L2141">
        <v>0</v>
      </c>
      <c r="M2141" s="452">
        <v>45525</v>
      </c>
      <c r="N2141">
        <v>49.9</v>
      </c>
      <c r="O2141">
        <v>43.9</v>
      </c>
      <c r="P2141">
        <v>249.5</v>
      </c>
    </row>
    <row r="2142" spans="1:16" x14ac:dyDescent="0.3">
      <c r="A2142">
        <v>57117</v>
      </c>
      <c r="B2142">
        <v>105</v>
      </c>
      <c r="C2142" t="s">
        <v>557</v>
      </c>
      <c r="D2142" s="452">
        <v>45962</v>
      </c>
      <c r="E2142">
        <v>17607</v>
      </c>
      <c r="F2142" t="s">
        <v>5436</v>
      </c>
      <c r="G2142">
        <v>3919</v>
      </c>
      <c r="H2142">
        <v>2</v>
      </c>
      <c r="I2142" t="s">
        <v>4736</v>
      </c>
      <c r="J2142" t="s">
        <v>5222</v>
      </c>
      <c r="K2142" t="s">
        <v>751</v>
      </c>
      <c r="L2142">
        <v>0</v>
      </c>
      <c r="N2142">
        <v>0</v>
      </c>
      <c r="O2142">
        <v>0</v>
      </c>
      <c r="P2142">
        <v>244.62</v>
      </c>
    </row>
    <row r="2143" spans="1:16" x14ac:dyDescent="0.3">
      <c r="A2143">
        <v>56966</v>
      </c>
      <c r="B2143">
        <v>105</v>
      </c>
      <c r="C2143" t="s">
        <v>557</v>
      </c>
      <c r="D2143" s="452">
        <v>45962</v>
      </c>
      <c r="E2143">
        <v>24320</v>
      </c>
      <c r="F2143" t="s">
        <v>4861</v>
      </c>
      <c r="G2143">
        <v>2942</v>
      </c>
      <c r="H2143">
        <v>7.2</v>
      </c>
      <c r="I2143" t="s">
        <v>4744</v>
      </c>
      <c r="J2143" t="s">
        <v>5191</v>
      </c>
      <c r="K2143" t="s">
        <v>751</v>
      </c>
      <c r="L2143">
        <v>33.799999999999997</v>
      </c>
      <c r="M2143" s="452">
        <v>45950</v>
      </c>
      <c r="N2143">
        <v>33.799999999999997</v>
      </c>
      <c r="O2143">
        <v>34.799999999999997</v>
      </c>
      <c r="P2143">
        <v>243.36</v>
      </c>
    </row>
    <row r="2144" spans="1:16" x14ac:dyDescent="0.3">
      <c r="A2144">
        <v>56930</v>
      </c>
      <c r="B2144">
        <v>105</v>
      </c>
      <c r="C2144" t="s">
        <v>557</v>
      </c>
      <c r="D2144" s="452">
        <v>45962</v>
      </c>
      <c r="E2144">
        <v>25756</v>
      </c>
      <c r="F2144" t="s">
        <v>4854</v>
      </c>
      <c r="G2144">
        <v>9069</v>
      </c>
      <c r="H2144">
        <v>15</v>
      </c>
      <c r="I2144" t="s">
        <v>4749</v>
      </c>
      <c r="J2144" t="s">
        <v>5191</v>
      </c>
      <c r="K2144" t="s">
        <v>751</v>
      </c>
      <c r="L2144">
        <v>0</v>
      </c>
      <c r="M2144" s="452">
        <v>45918</v>
      </c>
      <c r="N2144">
        <v>15.98</v>
      </c>
      <c r="O2144">
        <v>15.98</v>
      </c>
      <c r="P2144">
        <v>239.7</v>
      </c>
    </row>
    <row r="2145" spans="1:16" x14ac:dyDescent="0.3">
      <c r="A2145">
        <v>57112</v>
      </c>
      <c r="B2145">
        <v>105</v>
      </c>
      <c r="C2145" t="s">
        <v>557</v>
      </c>
      <c r="D2145" s="452">
        <v>45962</v>
      </c>
      <c r="E2145">
        <v>18315</v>
      </c>
      <c r="F2145" t="s">
        <v>4922</v>
      </c>
      <c r="G2145">
        <v>3318</v>
      </c>
      <c r="H2145">
        <v>2</v>
      </c>
      <c r="I2145" t="s">
        <v>4805</v>
      </c>
      <c r="J2145" t="s">
        <v>5222</v>
      </c>
      <c r="K2145" t="s">
        <v>751</v>
      </c>
      <c r="L2145">
        <v>117.38</v>
      </c>
      <c r="M2145" s="452">
        <v>45943</v>
      </c>
      <c r="N2145">
        <v>117.38</v>
      </c>
      <c r="O2145">
        <v>116.3</v>
      </c>
      <c r="P2145">
        <v>234.76</v>
      </c>
    </row>
    <row r="2146" spans="1:16" x14ac:dyDescent="0.3">
      <c r="A2146">
        <v>57013</v>
      </c>
      <c r="B2146">
        <v>105</v>
      </c>
      <c r="C2146" t="s">
        <v>557</v>
      </c>
      <c r="D2146" s="452">
        <v>45962</v>
      </c>
      <c r="E2146">
        <v>26032</v>
      </c>
      <c r="F2146" t="s">
        <v>4896</v>
      </c>
      <c r="G2146">
        <v>6503</v>
      </c>
      <c r="H2146">
        <v>5</v>
      </c>
      <c r="I2146" t="s">
        <v>4805</v>
      </c>
      <c r="J2146" t="s">
        <v>5222</v>
      </c>
      <c r="K2146" t="s">
        <v>751</v>
      </c>
      <c r="L2146">
        <v>0</v>
      </c>
      <c r="M2146" s="452">
        <v>45698</v>
      </c>
      <c r="N2146">
        <v>46.38</v>
      </c>
      <c r="O2146">
        <v>75.48</v>
      </c>
      <c r="P2146">
        <v>231.9</v>
      </c>
    </row>
    <row r="2147" spans="1:16" x14ac:dyDescent="0.3">
      <c r="A2147">
        <v>57066</v>
      </c>
      <c r="B2147">
        <v>105</v>
      </c>
      <c r="C2147" t="s">
        <v>557</v>
      </c>
      <c r="D2147" s="452">
        <v>45962</v>
      </c>
      <c r="E2147">
        <v>18008</v>
      </c>
      <c r="F2147" t="s">
        <v>4865</v>
      </c>
      <c r="G2147">
        <v>3589</v>
      </c>
      <c r="H2147">
        <v>3</v>
      </c>
      <c r="I2147" t="s">
        <v>4805</v>
      </c>
      <c r="J2147" t="s">
        <v>5222</v>
      </c>
      <c r="K2147" t="s">
        <v>751</v>
      </c>
      <c r="L2147">
        <v>0</v>
      </c>
      <c r="M2147" s="452">
        <v>45716</v>
      </c>
      <c r="N2147">
        <v>76.83</v>
      </c>
      <c r="O2147">
        <v>0</v>
      </c>
      <c r="P2147">
        <v>230.49</v>
      </c>
    </row>
    <row r="2148" spans="1:16" x14ac:dyDescent="0.3">
      <c r="A2148">
        <v>57069</v>
      </c>
      <c r="B2148">
        <v>105</v>
      </c>
      <c r="C2148" t="s">
        <v>557</v>
      </c>
      <c r="D2148" s="452">
        <v>45962</v>
      </c>
      <c r="E2148">
        <v>26046</v>
      </c>
      <c r="F2148" t="s">
        <v>5148</v>
      </c>
      <c r="G2148">
        <v>6510</v>
      </c>
      <c r="H2148">
        <v>3</v>
      </c>
      <c r="I2148" t="s">
        <v>4805</v>
      </c>
      <c r="J2148" t="s">
        <v>5222</v>
      </c>
      <c r="K2148" t="s">
        <v>751</v>
      </c>
      <c r="L2148">
        <v>0</v>
      </c>
      <c r="M2148" s="452">
        <v>45638</v>
      </c>
      <c r="N2148">
        <v>74.2</v>
      </c>
      <c r="O2148">
        <v>75.48</v>
      </c>
      <c r="P2148">
        <v>222.6</v>
      </c>
    </row>
    <row r="2149" spans="1:16" x14ac:dyDescent="0.3">
      <c r="A2149">
        <v>56875</v>
      </c>
      <c r="B2149">
        <v>105</v>
      </c>
      <c r="C2149" t="s">
        <v>557</v>
      </c>
      <c r="D2149" s="452">
        <v>45962</v>
      </c>
      <c r="E2149">
        <v>17957</v>
      </c>
      <c r="F2149" t="s">
        <v>4745</v>
      </c>
      <c r="G2149">
        <v>3622</v>
      </c>
      <c r="H2149">
        <v>13.83</v>
      </c>
      <c r="I2149" t="s">
        <v>4736</v>
      </c>
      <c r="J2149" t="s">
        <v>5222</v>
      </c>
      <c r="K2149" t="s">
        <v>751</v>
      </c>
      <c r="L2149">
        <v>0</v>
      </c>
      <c r="M2149" s="452">
        <v>45922</v>
      </c>
      <c r="N2149">
        <v>15.9</v>
      </c>
      <c r="O2149">
        <v>15.9</v>
      </c>
      <c r="P2149">
        <v>219.9</v>
      </c>
    </row>
    <row r="2150" spans="1:16" x14ac:dyDescent="0.3">
      <c r="A2150">
        <v>56949</v>
      </c>
      <c r="B2150">
        <v>105</v>
      </c>
      <c r="C2150" t="s">
        <v>557</v>
      </c>
      <c r="D2150" s="452">
        <v>45962</v>
      </c>
      <c r="E2150">
        <v>20521</v>
      </c>
      <c r="F2150" t="s">
        <v>4797</v>
      </c>
      <c r="G2150">
        <v>2149</v>
      </c>
      <c r="H2150">
        <v>10</v>
      </c>
      <c r="I2150" t="s">
        <v>4744</v>
      </c>
      <c r="J2150" t="s">
        <v>5191</v>
      </c>
      <c r="K2150" t="s">
        <v>751</v>
      </c>
      <c r="L2150">
        <v>21.99</v>
      </c>
      <c r="M2150" s="452">
        <v>45936</v>
      </c>
      <c r="N2150">
        <v>21.99</v>
      </c>
      <c r="O2150">
        <v>21.99</v>
      </c>
      <c r="P2150">
        <v>219.9</v>
      </c>
    </row>
    <row r="2151" spans="1:16" x14ac:dyDescent="0.3">
      <c r="A2151">
        <v>56964</v>
      </c>
      <c r="B2151">
        <v>105</v>
      </c>
      <c r="C2151" t="s">
        <v>557</v>
      </c>
      <c r="D2151" s="452">
        <v>45962</v>
      </c>
      <c r="E2151">
        <v>25205</v>
      </c>
      <c r="F2151" t="s">
        <v>4850</v>
      </c>
      <c r="G2151">
        <v>5944</v>
      </c>
      <c r="H2151">
        <v>7.31</v>
      </c>
      <c r="I2151" t="s">
        <v>4744</v>
      </c>
      <c r="J2151" t="s">
        <v>5191</v>
      </c>
      <c r="K2151" t="s">
        <v>751</v>
      </c>
      <c r="L2151">
        <v>0</v>
      </c>
      <c r="M2151" s="452">
        <v>45922</v>
      </c>
      <c r="N2151">
        <v>29.9</v>
      </c>
      <c r="O2151">
        <v>17.100000000000001</v>
      </c>
      <c r="P2151">
        <v>218.57</v>
      </c>
    </row>
    <row r="2152" spans="1:16" x14ac:dyDescent="0.3">
      <c r="A2152">
        <v>56887</v>
      </c>
      <c r="B2152">
        <v>105</v>
      </c>
      <c r="C2152" t="s">
        <v>557</v>
      </c>
      <c r="D2152" s="452">
        <v>45962</v>
      </c>
      <c r="E2152">
        <v>23361</v>
      </c>
      <c r="F2152" t="s">
        <v>4754</v>
      </c>
      <c r="G2152">
        <v>2497</v>
      </c>
      <c r="H2152">
        <v>70.05</v>
      </c>
      <c r="I2152" t="s">
        <v>4744</v>
      </c>
      <c r="J2152" t="s">
        <v>5191</v>
      </c>
      <c r="K2152" t="s">
        <v>751</v>
      </c>
      <c r="L2152">
        <v>3.12</v>
      </c>
      <c r="M2152" s="452">
        <v>45957</v>
      </c>
      <c r="N2152">
        <v>3.19</v>
      </c>
      <c r="O2152">
        <v>3.15</v>
      </c>
      <c r="P2152">
        <v>218.56</v>
      </c>
    </row>
    <row r="2153" spans="1:16" x14ac:dyDescent="0.3">
      <c r="A2153">
        <v>56957</v>
      </c>
      <c r="B2153">
        <v>105</v>
      </c>
      <c r="C2153" t="s">
        <v>557</v>
      </c>
      <c r="D2153" s="452">
        <v>45962</v>
      </c>
      <c r="E2153">
        <v>20487</v>
      </c>
      <c r="F2153" t="s">
        <v>4836</v>
      </c>
      <c r="G2153">
        <v>2157</v>
      </c>
      <c r="H2153">
        <v>8.8000000000000007</v>
      </c>
      <c r="I2153" t="s">
        <v>4744</v>
      </c>
      <c r="J2153" t="s">
        <v>5191</v>
      </c>
      <c r="K2153" t="s">
        <v>751</v>
      </c>
      <c r="L2153">
        <v>24.48</v>
      </c>
      <c r="M2153" s="452">
        <v>45957</v>
      </c>
      <c r="N2153">
        <v>23.9</v>
      </c>
      <c r="O2153">
        <v>23.9</v>
      </c>
      <c r="P2153">
        <v>215.42</v>
      </c>
    </row>
    <row r="2154" spans="1:16" x14ac:dyDescent="0.3">
      <c r="A2154">
        <v>56987</v>
      </c>
      <c r="B2154">
        <v>105</v>
      </c>
      <c r="C2154" t="s">
        <v>557</v>
      </c>
      <c r="D2154" s="452">
        <v>45962</v>
      </c>
      <c r="E2154">
        <v>18491</v>
      </c>
      <c r="F2154" t="s">
        <v>4839</v>
      </c>
      <c r="G2154">
        <v>3166</v>
      </c>
      <c r="H2154">
        <v>6</v>
      </c>
      <c r="I2154" t="s">
        <v>4805</v>
      </c>
      <c r="J2154" t="s">
        <v>5222</v>
      </c>
      <c r="K2154" t="s">
        <v>751</v>
      </c>
      <c r="L2154">
        <v>0</v>
      </c>
      <c r="M2154" s="452">
        <v>45555</v>
      </c>
      <c r="N2154">
        <v>35.9</v>
      </c>
      <c r="O2154">
        <v>33.9</v>
      </c>
      <c r="P2154">
        <v>215.4</v>
      </c>
    </row>
    <row r="2155" spans="1:16" x14ac:dyDescent="0.3">
      <c r="A2155">
        <v>56915</v>
      </c>
      <c r="B2155">
        <v>105</v>
      </c>
      <c r="C2155" t="s">
        <v>557</v>
      </c>
      <c r="D2155" s="452">
        <v>45962</v>
      </c>
      <c r="E2155">
        <v>20623</v>
      </c>
      <c r="F2155" t="s">
        <v>4814</v>
      </c>
      <c r="G2155">
        <v>2116</v>
      </c>
      <c r="H2155">
        <v>19.05</v>
      </c>
      <c r="I2155" t="s">
        <v>4736</v>
      </c>
      <c r="J2155" t="s">
        <v>5191</v>
      </c>
      <c r="K2155" t="s">
        <v>751</v>
      </c>
      <c r="L2155">
        <v>11.07</v>
      </c>
      <c r="M2155" s="452">
        <v>45954</v>
      </c>
      <c r="N2155">
        <v>11.07</v>
      </c>
      <c r="O2155">
        <v>11.07</v>
      </c>
      <c r="P2155">
        <v>210.88</v>
      </c>
    </row>
    <row r="2156" spans="1:16" x14ac:dyDescent="0.3">
      <c r="A2156">
        <v>56978</v>
      </c>
      <c r="B2156">
        <v>105</v>
      </c>
      <c r="C2156" t="s">
        <v>557</v>
      </c>
      <c r="D2156" s="452">
        <v>45962</v>
      </c>
      <c r="E2156">
        <v>24200</v>
      </c>
      <c r="F2156" t="s">
        <v>4820</v>
      </c>
      <c r="G2156">
        <v>3039</v>
      </c>
      <c r="H2156">
        <v>6.4</v>
      </c>
      <c r="I2156" t="s">
        <v>4744</v>
      </c>
      <c r="J2156" t="s">
        <v>5191</v>
      </c>
      <c r="K2156" t="s">
        <v>751</v>
      </c>
      <c r="L2156">
        <v>32.9</v>
      </c>
      <c r="M2156" s="452">
        <v>45957</v>
      </c>
      <c r="N2156">
        <v>32.9</v>
      </c>
      <c r="O2156">
        <v>32.9</v>
      </c>
      <c r="P2156">
        <v>210.56</v>
      </c>
    </row>
    <row r="2157" spans="1:16" x14ac:dyDescent="0.3">
      <c r="A2157">
        <v>56882</v>
      </c>
      <c r="B2157">
        <v>105</v>
      </c>
      <c r="C2157" t="s">
        <v>557</v>
      </c>
      <c r="D2157" s="452">
        <v>45962</v>
      </c>
      <c r="E2157">
        <v>24409</v>
      </c>
      <c r="F2157" t="s">
        <v>4742</v>
      </c>
      <c r="G2157">
        <v>3665</v>
      </c>
      <c r="H2157">
        <v>96</v>
      </c>
      <c r="I2157" t="s">
        <v>4736</v>
      </c>
      <c r="J2157" t="s">
        <v>5222</v>
      </c>
      <c r="K2157" t="s">
        <v>751</v>
      </c>
      <c r="L2157">
        <v>0</v>
      </c>
      <c r="M2157" s="452">
        <v>45646</v>
      </c>
      <c r="N2157">
        <v>2.19</v>
      </c>
      <c r="O2157">
        <v>2.19</v>
      </c>
      <c r="P2157">
        <v>210.24</v>
      </c>
    </row>
    <row r="2158" spans="1:16" x14ac:dyDescent="0.3">
      <c r="A2158">
        <v>56905</v>
      </c>
      <c r="B2158">
        <v>105</v>
      </c>
      <c r="C2158" t="s">
        <v>557</v>
      </c>
      <c r="D2158" s="452">
        <v>45962</v>
      </c>
      <c r="E2158">
        <v>25757</v>
      </c>
      <c r="F2158" t="s">
        <v>4763</v>
      </c>
      <c r="G2158">
        <v>6308</v>
      </c>
      <c r="H2158">
        <v>26</v>
      </c>
      <c r="I2158" t="s">
        <v>4736</v>
      </c>
      <c r="J2158" t="s">
        <v>5191</v>
      </c>
      <c r="K2158" t="s">
        <v>751</v>
      </c>
      <c r="L2158">
        <v>0</v>
      </c>
      <c r="M2158" s="452">
        <v>45922</v>
      </c>
      <c r="N2158">
        <v>7.99</v>
      </c>
      <c r="O2158">
        <v>7.99</v>
      </c>
      <c r="P2158">
        <v>207.74</v>
      </c>
    </row>
    <row r="2159" spans="1:16" x14ac:dyDescent="0.3">
      <c r="A2159">
        <v>57109</v>
      </c>
      <c r="B2159">
        <v>105</v>
      </c>
      <c r="C2159" t="s">
        <v>557</v>
      </c>
      <c r="D2159" s="452">
        <v>45962</v>
      </c>
      <c r="E2159">
        <v>18538</v>
      </c>
      <c r="F2159" t="s">
        <v>5030</v>
      </c>
      <c r="G2159">
        <v>3139</v>
      </c>
      <c r="H2159">
        <v>2</v>
      </c>
      <c r="I2159" t="s">
        <v>4805</v>
      </c>
      <c r="J2159" t="s">
        <v>5222</v>
      </c>
      <c r="K2159" t="s">
        <v>751</v>
      </c>
      <c r="L2159">
        <v>0</v>
      </c>
      <c r="M2159" s="452">
        <v>45902</v>
      </c>
      <c r="N2159">
        <v>103.25</v>
      </c>
      <c r="O2159">
        <v>51.61</v>
      </c>
      <c r="P2159">
        <v>206.5</v>
      </c>
    </row>
    <row r="2160" spans="1:16" x14ac:dyDescent="0.3">
      <c r="A2160">
        <v>56916</v>
      </c>
      <c r="B2160">
        <v>105</v>
      </c>
      <c r="C2160" t="s">
        <v>557</v>
      </c>
      <c r="D2160" s="452">
        <v>45962</v>
      </c>
      <c r="E2160">
        <v>25758</v>
      </c>
      <c r="F2160" t="s">
        <v>4775</v>
      </c>
      <c r="G2160">
        <v>9066</v>
      </c>
      <c r="H2160">
        <v>19</v>
      </c>
      <c r="I2160" t="s">
        <v>4736</v>
      </c>
      <c r="J2160" t="s">
        <v>5191</v>
      </c>
      <c r="K2160" t="s">
        <v>751</v>
      </c>
      <c r="L2160">
        <v>0</v>
      </c>
      <c r="M2160" s="452">
        <v>45918</v>
      </c>
      <c r="N2160">
        <v>10.71</v>
      </c>
      <c r="O2160">
        <v>10.71</v>
      </c>
      <c r="P2160">
        <v>203.49</v>
      </c>
    </row>
    <row r="2161" spans="1:16" x14ac:dyDescent="0.3">
      <c r="A2161">
        <v>57116</v>
      </c>
      <c r="B2161">
        <v>105</v>
      </c>
      <c r="C2161" t="s">
        <v>557</v>
      </c>
      <c r="D2161" s="452">
        <v>45962</v>
      </c>
      <c r="E2161">
        <v>17578</v>
      </c>
      <c r="F2161" t="s">
        <v>4842</v>
      </c>
      <c r="G2161">
        <v>3948</v>
      </c>
      <c r="H2161">
        <v>2</v>
      </c>
      <c r="I2161" t="s">
        <v>4805</v>
      </c>
      <c r="J2161" t="s">
        <v>5222</v>
      </c>
      <c r="K2161" t="s">
        <v>751</v>
      </c>
      <c r="L2161">
        <v>101.4</v>
      </c>
      <c r="M2161" s="452">
        <v>45947</v>
      </c>
      <c r="N2161">
        <v>101.4</v>
      </c>
      <c r="O2161">
        <v>101.4</v>
      </c>
      <c r="P2161">
        <v>202.8</v>
      </c>
    </row>
    <row r="2162" spans="1:16" x14ac:dyDescent="0.3">
      <c r="A2162">
        <v>56990</v>
      </c>
      <c r="B2162">
        <v>105</v>
      </c>
      <c r="C2162" t="s">
        <v>557</v>
      </c>
      <c r="D2162" s="452">
        <v>45962</v>
      </c>
      <c r="E2162">
        <v>20887</v>
      </c>
      <c r="F2162" t="s">
        <v>4953</v>
      </c>
      <c r="G2162">
        <v>2040</v>
      </c>
      <c r="H2162">
        <v>5.9</v>
      </c>
      <c r="I2162" t="s">
        <v>4879</v>
      </c>
      <c r="J2162" t="s">
        <v>5191</v>
      </c>
      <c r="K2162" t="s">
        <v>751</v>
      </c>
      <c r="L2162">
        <v>34.200000000000003</v>
      </c>
      <c r="M2162" s="452">
        <v>45950</v>
      </c>
      <c r="N2162">
        <v>34.200000000000003</v>
      </c>
      <c r="O2162">
        <v>34.200000000000003</v>
      </c>
      <c r="P2162">
        <v>201.78</v>
      </c>
    </row>
    <row r="2163" spans="1:16" x14ac:dyDescent="0.3">
      <c r="A2163">
        <v>56914</v>
      </c>
      <c r="B2163">
        <v>105</v>
      </c>
      <c r="C2163" t="s">
        <v>557</v>
      </c>
      <c r="D2163" s="452">
        <v>45962</v>
      </c>
      <c r="E2163">
        <v>26103</v>
      </c>
      <c r="F2163" t="s">
        <v>4776</v>
      </c>
      <c r="G2163">
        <v>9072</v>
      </c>
      <c r="H2163">
        <v>21</v>
      </c>
      <c r="I2163" t="s">
        <v>4749</v>
      </c>
      <c r="J2163" t="s">
        <v>5191</v>
      </c>
      <c r="K2163" t="s">
        <v>751</v>
      </c>
      <c r="L2163">
        <v>0</v>
      </c>
      <c r="M2163" s="452">
        <v>45918</v>
      </c>
      <c r="N2163">
        <v>9.44</v>
      </c>
      <c r="O2163">
        <v>9.44</v>
      </c>
      <c r="P2163">
        <v>198.18</v>
      </c>
    </row>
    <row r="2164" spans="1:16" x14ac:dyDescent="0.3">
      <c r="A2164">
        <v>56969</v>
      </c>
      <c r="B2164">
        <v>105</v>
      </c>
      <c r="C2164" t="s">
        <v>557</v>
      </c>
      <c r="D2164" s="452">
        <v>45962</v>
      </c>
      <c r="E2164">
        <v>19649</v>
      </c>
      <c r="F2164" t="s">
        <v>4859</v>
      </c>
      <c r="G2164">
        <v>2589</v>
      </c>
      <c r="H2164">
        <v>7</v>
      </c>
      <c r="I2164" t="s">
        <v>4744</v>
      </c>
      <c r="J2164" t="s">
        <v>5191</v>
      </c>
      <c r="K2164" t="s">
        <v>751</v>
      </c>
      <c r="L2164">
        <v>0</v>
      </c>
      <c r="M2164" s="452">
        <v>45820</v>
      </c>
      <c r="N2164">
        <v>27.9</v>
      </c>
      <c r="O2164">
        <v>23.5</v>
      </c>
      <c r="P2164">
        <v>195.3</v>
      </c>
    </row>
    <row r="2165" spans="1:16" x14ac:dyDescent="0.3">
      <c r="A2165">
        <v>56971</v>
      </c>
      <c r="B2165">
        <v>105</v>
      </c>
      <c r="C2165" t="s">
        <v>557</v>
      </c>
      <c r="D2165" s="452">
        <v>45962</v>
      </c>
      <c r="E2165">
        <v>18030</v>
      </c>
      <c r="F2165" t="s">
        <v>4840</v>
      </c>
      <c r="G2165">
        <v>3568</v>
      </c>
      <c r="H2165">
        <v>7</v>
      </c>
      <c r="I2165" t="s">
        <v>4805</v>
      </c>
      <c r="J2165" t="s">
        <v>5222</v>
      </c>
      <c r="K2165" t="s">
        <v>751</v>
      </c>
      <c r="L2165">
        <v>0</v>
      </c>
      <c r="M2165" s="452">
        <v>45924</v>
      </c>
      <c r="N2165">
        <v>27.5</v>
      </c>
      <c r="O2165">
        <v>27.5</v>
      </c>
      <c r="P2165">
        <v>192.5</v>
      </c>
    </row>
    <row r="2166" spans="1:16" x14ac:dyDescent="0.3">
      <c r="A2166">
        <v>56937</v>
      </c>
      <c r="B2166">
        <v>105</v>
      </c>
      <c r="C2166" t="s">
        <v>557</v>
      </c>
      <c r="D2166" s="452">
        <v>45962</v>
      </c>
      <c r="E2166">
        <v>20122</v>
      </c>
      <c r="F2166" t="s">
        <v>4781</v>
      </c>
      <c r="G2166">
        <v>2290</v>
      </c>
      <c r="H2166">
        <v>13</v>
      </c>
      <c r="I2166" t="s">
        <v>4738</v>
      </c>
      <c r="J2166" t="s">
        <v>5191</v>
      </c>
      <c r="K2166" t="s">
        <v>751</v>
      </c>
      <c r="L2166">
        <v>14.8</v>
      </c>
      <c r="M2166" s="452">
        <v>45950</v>
      </c>
      <c r="N2166">
        <v>14.8</v>
      </c>
      <c r="O2166">
        <v>14.75</v>
      </c>
      <c r="P2166">
        <v>192.4</v>
      </c>
    </row>
    <row r="2167" spans="1:16" x14ac:dyDescent="0.3">
      <c r="A2167">
        <v>56911</v>
      </c>
      <c r="B2167">
        <v>105</v>
      </c>
      <c r="C2167" t="s">
        <v>557</v>
      </c>
      <c r="D2167" s="452">
        <v>45962</v>
      </c>
      <c r="E2167">
        <v>25762</v>
      </c>
      <c r="F2167" t="s">
        <v>4770</v>
      </c>
      <c r="G2167">
        <v>9070</v>
      </c>
      <c r="H2167">
        <v>23</v>
      </c>
      <c r="I2167" t="s">
        <v>4736</v>
      </c>
      <c r="J2167" t="s">
        <v>5191</v>
      </c>
      <c r="K2167" t="s">
        <v>751</v>
      </c>
      <c r="L2167">
        <v>0</v>
      </c>
      <c r="M2167" s="452">
        <v>45922</v>
      </c>
      <c r="N2167">
        <v>8.36</v>
      </c>
      <c r="O2167">
        <v>8.36</v>
      </c>
      <c r="P2167">
        <v>192.28</v>
      </c>
    </row>
    <row r="2168" spans="1:16" x14ac:dyDescent="0.3">
      <c r="A2168">
        <v>56884</v>
      </c>
      <c r="B2168">
        <v>105</v>
      </c>
      <c r="C2168" t="s">
        <v>557</v>
      </c>
      <c r="D2168" s="452">
        <v>45962</v>
      </c>
      <c r="E2168">
        <v>24414</v>
      </c>
      <c r="F2168" t="s">
        <v>4746</v>
      </c>
      <c r="G2168">
        <v>3670</v>
      </c>
      <c r="H2168">
        <v>87</v>
      </c>
      <c r="I2168" t="s">
        <v>4736</v>
      </c>
      <c r="J2168" t="s">
        <v>5222</v>
      </c>
      <c r="K2168" t="s">
        <v>751</v>
      </c>
      <c r="L2168">
        <v>0</v>
      </c>
      <c r="M2168" s="452">
        <v>45623</v>
      </c>
      <c r="N2168">
        <v>2.19</v>
      </c>
      <c r="O2168">
        <v>2.19</v>
      </c>
      <c r="P2168">
        <v>190.53</v>
      </c>
    </row>
    <row r="2169" spans="1:16" x14ac:dyDescent="0.3">
      <c r="A2169">
        <v>56951</v>
      </c>
      <c r="B2169">
        <v>105</v>
      </c>
      <c r="C2169" t="s">
        <v>557</v>
      </c>
      <c r="D2169" s="452">
        <v>45962</v>
      </c>
      <c r="E2169">
        <v>23515</v>
      </c>
      <c r="F2169" t="s">
        <v>4816</v>
      </c>
      <c r="G2169">
        <v>2353</v>
      </c>
      <c r="H2169">
        <v>10</v>
      </c>
      <c r="I2169" t="s">
        <v>4736</v>
      </c>
      <c r="J2169" t="s">
        <v>5191</v>
      </c>
      <c r="K2169" t="s">
        <v>751</v>
      </c>
      <c r="L2169">
        <v>18.66</v>
      </c>
      <c r="M2169" s="452">
        <v>45951</v>
      </c>
      <c r="N2169">
        <v>19.170000000000002</v>
      </c>
      <c r="O2169">
        <v>17.8</v>
      </c>
      <c r="P2169">
        <v>186.6</v>
      </c>
    </row>
    <row r="2170" spans="1:16" x14ac:dyDescent="0.3">
      <c r="A2170">
        <v>56883</v>
      </c>
      <c r="B2170">
        <v>105</v>
      </c>
      <c r="C2170" t="s">
        <v>557</v>
      </c>
      <c r="D2170" s="452">
        <v>45962</v>
      </c>
      <c r="E2170">
        <v>24467</v>
      </c>
      <c r="F2170" t="s">
        <v>4766</v>
      </c>
      <c r="G2170">
        <v>3673</v>
      </c>
      <c r="H2170">
        <v>93</v>
      </c>
      <c r="I2170" t="s">
        <v>4736</v>
      </c>
      <c r="J2170" t="s">
        <v>5222</v>
      </c>
      <c r="K2170" t="s">
        <v>751</v>
      </c>
      <c r="L2170">
        <v>0</v>
      </c>
      <c r="M2170" s="452">
        <v>45520</v>
      </c>
      <c r="N2170">
        <v>1.99</v>
      </c>
      <c r="O2170">
        <v>2.19</v>
      </c>
      <c r="P2170">
        <v>185.07</v>
      </c>
    </row>
    <row r="2171" spans="1:16" x14ac:dyDescent="0.3">
      <c r="A2171">
        <v>57056</v>
      </c>
      <c r="B2171">
        <v>105</v>
      </c>
      <c r="C2171" t="s">
        <v>557</v>
      </c>
      <c r="D2171" s="452">
        <v>45962</v>
      </c>
      <c r="E2171">
        <v>27397</v>
      </c>
      <c r="F2171" t="s">
        <v>4913</v>
      </c>
      <c r="G2171">
        <v>7399</v>
      </c>
      <c r="H2171">
        <v>3</v>
      </c>
      <c r="I2171" t="s">
        <v>4736</v>
      </c>
      <c r="J2171" t="s">
        <v>5191</v>
      </c>
      <c r="K2171" t="s">
        <v>751</v>
      </c>
      <c r="L2171">
        <v>60.84</v>
      </c>
      <c r="M2171" s="452">
        <v>45954</v>
      </c>
      <c r="N2171">
        <v>59.99</v>
      </c>
      <c r="O2171">
        <v>59.99</v>
      </c>
      <c r="P2171">
        <v>182.52</v>
      </c>
    </row>
    <row r="2172" spans="1:16" x14ac:dyDescent="0.3">
      <c r="A2172">
        <v>57037</v>
      </c>
      <c r="B2172">
        <v>105</v>
      </c>
      <c r="C2172" t="s">
        <v>557</v>
      </c>
      <c r="D2172" s="452">
        <v>45962</v>
      </c>
      <c r="E2172">
        <v>26038</v>
      </c>
      <c r="F2172" t="s">
        <v>4976</v>
      </c>
      <c r="G2172">
        <v>6506</v>
      </c>
      <c r="H2172">
        <v>4</v>
      </c>
      <c r="I2172" t="s">
        <v>4805</v>
      </c>
      <c r="J2172" t="s">
        <v>5222</v>
      </c>
      <c r="K2172" t="s">
        <v>751</v>
      </c>
      <c r="L2172">
        <v>0</v>
      </c>
      <c r="M2172" s="452">
        <v>45897</v>
      </c>
      <c r="N2172">
        <v>45.5</v>
      </c>
      <c r="O2172">
        <v>45.5</v>
      </c>
      <c r="P2172">
        <v>182</v>
      </c>
    </row>
    <row r="2173" spans="1:16" x14ac:dyDescent="0.3">
      <c r="A2173">
        <v>56922</v>
      </c>
      <c r="B2173">
        <v>105</v>
      </c>
      <c r="C2173" t="s">
        <v>557</v>
      </c>
      <c r="D2173" s="452">
        <v>45962</v>
      </c>
      <c r="E2173">
        <v>19740</v>
      </c>
      <c r="F2173" t="s">
        <v>4779</v>
      </c>
      <c r="G2173">
        <v>2513</v>
      </c>
      <c r="H2173">
        <v>17.309999999999999</v>
      </c>
      <c r="I2173" t="s">
        <v>4744</v>
      </c>
      <c r="J2173" t="s">
        <v>5191</v>
      </c>
      <c r="K2173" t="s">
        <v>751</v>
      </c>
      <c r="L2173">
        <v>10.14</v>
      </c>
      <c r="M2173" s="452">
        <v>45947</v>
      </c>
      <c r="N2173">
        <v>9.5</v>
      </c>
      <c r="O2173">
        <v>8.6999999999999993</v>
      </c>
      <c r="P2173">
        <v>175.52</v>
      </c>
    </row>
    <row r="2174" spans="1:16" x14ac:dyDescent="0.3">
      <c r="A2174">
        <v>57114</v>
      </c>
      <c r="B2174">
        <v>105</v>
      </c>
      <c r="C2174" t="s">
        <v>557</v>
      </c>
      <c r="D2174" s="452">
        <v>45962</v>
      </c>
      <c r="E2174">
        <v>18219</v>
      </c>
      <c r="F2174" t="s">
        <v>4972</v>
      </c>
      <c r="G2174">
        <v>3409</v>
      </c>
      <c r="H2174">
        <v>2</v>
      </c>
      <c r="I2174" t="s">
        <v>4805</v>
      </c>
      <c r="J2174" t="s">
        <v>5222</v>
      </c>
      <c r="K2174" t="s">
        <v>751</v>
      </c>
      <c r="L2174">
        <v>0</v>
      </c>
      <c r="M2174" s="452">
        <v>45916</v>
      </c>
      <c r="N2174">
        <v>87.63</v>
      </c>
      <c r="O2174">
        <v>87.63</v>
      </c>
      <c r="P2174">
        <v>175.26</v>
      </c>
    </row>
    <row r="2175" spans="1:16" x14ac:dyDescent="0.3">
      <c r="A2175">
        <v>57009</v>
      </c>
      <c r="B2175">
        <v>105</v>
      </c>
      <c r="C2175" t="s">
        <v>557</v>
      </c>
      <c r="D2175" s="452">
        <v>45962</v>
      </c>
      <c r="E2175">
        <v>18547</v>
      </c>
      <c r="F2175" t="s">
        <v>4863</v>
      </c>
      <c r="G2175">
        <v>3132</v>
      </c>
      <c r="H2175">
        <v>5</v>
      </c>
      <c r="I2175" t="s">
        <v>4805</v>
      </c>
      <c r="J2175" t="s">
        <v>5222</v>
      </c>
      <c r="K2175" t="s">
        <v>751</v>
      </c>
      <c r="L2175">
        <v>34.99</v>
      </c>
      <c r="M2175" s="452">
        <v>45951</v>
      </c>
      <c r="N2175">
        <v>34.99</v>
      </c>
      <c r="O2175">
        <v>34.99</v>
      </c>
      <c r="P2175">
        <v>174.95</v>
      </c>
    </row>
    <row r="2176" spans="1:16" x14ac:dyDescent="0.3">
      <c r="A2176">
        <v>57175</v>
      </c>
      <c r="B2176">
        <v>105</v>
      </c>
      <c r="C2176" t="s">
        <v>557</v>
      </c>
      <c r="D2176" s="452">
        <v>45962</v>
      </c>
      <c r="E2176">
        <v>18119</v>
      </c>
      <c r="F2176" t="s">
        <v>5044</v>
      </c>
      <c r="G2176">
        <v>3494</v>
      </c>
      <c r="H2176">
        <v>1</v>
      </c>
      <c r="I2176" t="s">
        <v>4805</v>
      </c>
      <c r="J2176" t="s">
        <v>5222</v>
      </c>
      <c r="K2176" t="s">
        <v>751</v>
      </c>
      <c r="L2176">
        <v>0</v>
      </c>
      <c r="M2176" s="452">
        <v>45875</v>
      </c>
      <c r="N2176">
        <v>172.88</v>
      </c>
      <c r="O2176">
        <v>169.9</v>
      </c>
      <c r="P2176">
        <v>172.88</v>
      </c>
    </row>
    <row r="2177" spans="1:16" x14ac:dyDescent="0.3">
      <c r="A2177">
        <v>56919</v>
      </c>
      <c r="B2177">
        <v>105</v>
      </c>
      <c r="C2177" t="s">
        <v>557</v>
      </c>
      <c r="D2177" s="452">
        <v>45962</v>
      </c>
      <c r="E2177">
        <v>20382</v>
      </c>
      <c r="F2177" t="s">
        <v>4780</v>
      </c>
      <c r="G2177">
        <v>2196</v>
      </c>
      <c r="H2177">
        <v>19</v>
      </c>
      <c r="I2177" t="s">
        <v>4738</v>
      </c>
      <c r="J2177" t="s">
        <v>5191</v>
      </c>
      <c r="K2177" t="s">
        <v>751</v>
      </c>
      <c r="L2177">
        <v>8.99</v>
      </c>
      <c r="M2177" s="452">
        <v>45956</v>
      </c>
      <c r="N2177">
        <v>8.99</v>
      </c>
      <c r="O2177">
        <v>8.99</v>
      </c>
      <c r="P2177">
        <v>170.81</v>
      </c>
    </row>
    <row r="2178" spans="1:16" x14ac:dyDescent="0.3">
      <c r="A2178">
        <v>57063</v>
      </c>
      <c r="B2178">
        <v>105</v>
      </c>
      <c r="C2178" t="s">
        <v>557</v>
      </c>
      <c r="D2178" s="452">
        <v>45962</v>
      </c>
      <c r="E2178">
        <v>18502</v>
      </c>
      <c r="F2178" t="s">
        <v>4893</v>
      </c>
      <c r="G2178">
        <v>3155</v>
      </c>
      <c r="H2178">
        <v>3</v>
      </c>
      <c r="I2178" t="s">
        <v>4805</v>
      </c>
      <c r="J2178" t="s">
        <v>5222</v>
      </c>
      <c r="K2178" t="s">
        <v>751</v>
      </c>
      <c r="L2178">
        <v>56.75</v>
      </c>
      <c r="M2178" s="452">
        <v>45951</v>
      </c>
      <c r="N2178">
        <v>56.75</v>
      </c>
      <c r="O2178">
        <v>56.75</v>
      </c>
      <c r="P2178">
        <v>170.25</v>
      </c>
    </row>
    <row r="2179" spans="1:16" x14ac:dyDescent="0.3">
      <c r="A2179">
        <v>56967</v>
      </c>
      <c r="B2179">
        <v>105</v>
      </c>
      <c r="C2179" t="s">
        <v>557</v>
      </c>
      <c r="D2179" s="452">
        <v>45962</v>
      </c>
      <c r="E2179">
        <v>24081</v>
      </c>
      <c r="F2179" t="s">
        <v>4834</v>
      </c>
      <c r="G2179">
        <v>3034</v>
      </c>
      <c r="H2179">
        <v>7.1</v>
      </c>
      <c r="I2179" t="s">
        <v>4744</v>
      </c>
      <c r="J2179" t="s">
        <v>5191</v>
      </c>
      <c r="K2179" t="s">
        <v>751</v>
      </c>
      <c r="L2179">
        <v>23.8</v>
      </c>
      <c r="M2179" s="452">
        <v>45943</v>
      </c>
      <c r="N2179">
        <v>23.8</v>
      </c>
      <c r="O2179">
        <v>23.8</v>
      </c>
      <c r="P2179">
        <v>168.98</v>
      </c>
    </row>
    <row r="2180" spans="1:16" x14ac:dyDescent="0.3">
      <c r="A2180">
        <v>57040</v>
      </c>
      <c r="B2180">
        <v>105</v>
      </c>
      <c r="C2180" t="s">
        <v>557</v>
      </c>
      <c r="D2180" s="452">
        <v>45962</v>
      </c>
      <c r="E2180">
        <v>19845</v>
      </c>
      <c r="F2180" t="s">
        <v>4874</v>
      </c>
      <c r="G2180">
        <v>2423</v>
      </c>
      <c r="H2180">
        <v>3.7</v>
      </c>
      <c r="I2180" t="s">
        <v>4744</v>
      </c>
      <c r="J2180" t="s">
        <v>5191</v>
      </c>
      <c r="K2180" t="s">
        <v>751</v>
      </c>
      <c r="L2180">
        <v>0</v>
      </c>
      <c r="M2180" s="452">
        <v>45615</v>
      </c>
      <c r="N2180">
        <v>45</v>
      </c>
      <c r="O2180">
        <v>47</v>
      </c>
      <c r="P2180">
        <v>166.5</v>
      </c>
    </row>
    <row r="2181" spans="1:16" x14ac:dyDescent="0.3">
      <c r="A2181">
        <v>56879</v>
      </c>
      <c r="B2181">
        <v>105</v>
      </c>
      <c r="C2181" t="s">
        <v>557</v>
      </c>
      <c r="D2181" s="452">
        <v>45962</v>
      </c>
      <c r="E2181">
        <v>24011</v>
      </c>
      <c r="F2181" t="s">
        <v>4739</v>
      </c>
      <c r="G2181">
        <v>3626</v>
      </c>
      <c r="H2181">
        <v>125</v>
      </c>
      <c r="I2181" t="s">
        <v>4736</v>
      </c>
      <c r="J2181" t="s">
        <v>5222</v>
      </c>
      <c r="K2181" t="s">
        <v>751</v>
      </c>
      <c r="L2181">
        <v>0</v>
      </c>
      <c r="M2181" s="452">
        <v>45562</v>
      </c>
      <c r="N2181">
        <v>1.32</v>
      </c>
      <c r="O2181">
        <v>1.33</v>
      </c>
      <c r="P2181">
        <v>165</v>
      </c>
    </row>
    <row r="2182" spans="1:16" x14ac:dyDescent="0.3">
      <c r="A2182">
        <v>57173</v>
      </c>
      <c r="B2182">
        <v>105</v>
      </c>
      <c r="C2182" t="s">
        <v>557</v>
      </c>
      <c r="D2182" s="452">
        <v>45962</v>
      </c>
      <c r="E2182">
        <v>18157</v>
      </c>
      <c r="F2182" t="s">
        <v>5041</v>
      </c>
      <c r="G2182">
        <v>3463</v>
      </c>
      <c r="H2182">
        <v>1</v>
      </c>
      <c r="I2182" t="s">
        <v>4805</v>
      </c>
      <c r="J2182" t="s">
        <v>5222</v>
      </c>
      <c r="K2182" t="s">
        <v>751</v>
      </c>
      <c r="L2182">
        <v>0</v>
      </c>
      <c r="M2182" s="452">
        <v>45874</v>
      </c>
      <c r="N2182">
        <v>164.98</v>
      </c>
      <c r="O2182">
        <v>202.8</v>
      </c>
      <c r="P2182">
        <v>164.98</v>
      </c>
    </row>
    <row r="2183" spans="1:16" x14ac:dyDescent="0.3">
      <c r="A2183">
        <v>56972</v>
      </c>
      <c r="B2183">
        <v>105</v>
      </c>
      <c r="C2183" t="s">
        <v>557</v>
      </c>
      <c r="D2183" s="452">
        <v>45962</v>
      </c>
      <c r="E2183">
        <v>17878</v>
      </c>
      <c r="F2183" t="s">
        <v>4926</v>
      </c>
      <c r="G2183">
        <v>3677</v>
      </c>
      <c r="H2183">
        <v>7</v>
      </c>
      <c r="I2183" t="s">
        <v>4736</v>
      </c>
      <c r="J2183" t="s">
        <v>5222</v>
      </c>
      <c r="K2183" t="s">
        <v>751</v>
      </c>
      <c r="L2183">
        <v>23.46</v>
      </c>
      <c r="M2183" s="452">
        <v>45947</v>
      </c>
      <c r="N2183">
        <v>23.46</v>
      </c>
      <c r="O2183">
        <v>1.45</v>
      </c>
      <c r="P2183">
        <v>164.22</v>
      </c>
    </row>
    <row r="2184" spans="1:16" x14ac:dyDescent="0.3">
      <c r="A2184">
        <v>56939</v>
      </c>
      <c r="B2184">
        <v>105</v>
      </c>
      <c r="C2184" t="s">
        <v>557</v>
      </c>
      <c r="D2184" s="452">
        <v>45962</v>
      </c>
      <c r="E2184">
        <v>19734</v>
      </c>
      <c r="F2184" t="s">
        <v>4833</v>
      </c>
      <c r="G2184">
        <v>2519</v>
      </c>
      <c r="H2184">
        <v>12.45</v>
      </c>
      <c r="I2184" t="s">
        <v>4744</v>
      </c>
      <c r="J2184" t="s">
        <v>5191</v>
      </c>
      <c r="K2184" t="s">
        <v>751</v>
      </c>
      <c r="L2184">
        <v>13.04</v>
      </c>
      <c r="M2184" s="452">
        <v>45953</v>
      </c>
      <c r="N2184">
        <v>13.75</v>
      </c>
      <c r="O2184">
        <v>13</v>
      </c>
      <c r="P2184">
        <v>162.35</v>
      </c>
    </row>
    <row r="2185" spans="1:16" x14ac:dyDescent="0.3">
      <c r="A2185">
        <v>57197</v>
      </c>
      <c r="B2185">
        <v>105</v>
      </c>
      <c r="C2185" t="s">
        <v>557</v>
      </c>
      <c r="D2185" s="452">
        <v>45962</v>
      </c>
      <c r="E2185">
        <v>22223</v>
      </c>
      <c r="F2185" t="s">
        <v>5437</v>
      </c>
      <c r="G2185">
        <v>3498</v>
      </c>
      <c r="H2185">
        <v>0.6</v>
      </c>
      <c r="I2185" t="s">
        <v>4955</v>
      </c>
      <c r="J2185" t="s">
        <v>5222</v>
      </c>
      <c r="K2185" t="s">
        <v>751</v>
      </c>
      <c r="L2185">
        <v>0</v>
      </c>
      <c r="M2185" s="452">
        <v>45672</v>
      </c>
      <c r="N2185">
        <v>269.89999999999998</v>
      </c>
      <c r="O2185">
        <v>269.89999999999998</v>
      </c>
      <c r="P2185">
        <v>161.94</v>
      </c>
    </row>
    <row r="2186" spans="1:16" x14ac:dyDescent="0.3">
      <c r="A2186">
        <v>56903</v>
      </c>
      <c r="B2186">
        <v>105</v>
      </c>
      <c r="C2186" t="s">
        <v>557</v>
      </c>
      <c r="D2186" s="452">
        <v>45962</v>
      </c>
      <c r="E2186">
        <v>23359</v>
      </c>
      <c r="F2186" t="s">
        <v>4767</v>
      </c>
      <c r="G2186">
        <v>2499</v>
      </c>
      <c r="H2186">
        <v>30.5</v>
      </c>
      <c r="I2186" t="s">
        <v>4744</v>
      </c>
      <c r="J2186" t="s">
        <v>5191</v>
      </c>
      <c r="K2186" t="s">
        <v>751</v>
      </c>
      <c r="L2186">
        <v>5.05</v>
      </c>
      <c r="M2186" s="452">
        <v>45954</v>
      </c>
      <c r="N2186">
        <v>3.75</v>
      </c>
      <c r="O2186">
        <v>3.23</v>
      </c>
      <c r="P2186">
        <v>154.02000000000001</v>
      </c>
    </row>
    <row r="2187" spans="1:16" x14ac:dyDescent="0.3">
      <c r="A2187">
        <v>57167</v>
      </c>
      <c r="B2187">
        <v>105</v>
      </c>
      <c r="C2187" t="s">
        <v>557</v>
      </c>
      <c r="D2187" s="452">
        <v>45962</v>
      </c>
      <c r="E2187">
        <v>24685</v>
      </c>
      <c r="F2187" t="s">
        <v>5055</v>
      </c>
      <c r="G2187">
        <v>5714</v>
      </c>
      <c r="H2187">
        <v>1</v>
      </c>
      <c r="I2187" t="s">
        <v>4805</v>
      </c>
      <c r="J2187" t="s">
        <v>5222</v>
      </c>
      <c r="K2187" t="s">
        <v>751</v>
      </c>
      <c r="L2187">
        <v>0</v>
      </c>
      <c r="M2187" s="452">
        <v>45910</v>
      </c>
      <c r="N2187">
        <v>149.29</v>
      </c>
      <c r="O2187">
        <v>102</v>
      </c>
      <c r="P2187">
        <v>149.29</v>
      </c>
    </row>
    <row r="2188" spans="1:16" x14ac:dyDescent="0.3">
      <c r="A2188">
        <v>56912</v>
      </c>
      <c r="B2188">
        <v>105</v>
      </c>
      <c r="C2188" t="s">
        <v>557</v>
      </c>
      <c r="D2188" s="452">
        <v>45962</v>
      </c>
      <c r="E2188">
        <v>24226</v>
      </c>
      <c r="F2188" t="s">
        <v>4795</v>
      </c>
      <c r="G2188">
        <v>3647</v>
      </c>
      <c r="H2188">
        <v>23</v>
      </c>
      <c r="I2188" t="s">
        <v>4736</v>
      </c>
      <c r="J2188" t="s">
        <v>5222</v>
      </c>
      <c r="K2188" t="s">
        <v>751</v>
      </c>
      <c r="L2188">
        <v>0</v>
      </c>
      <c r="M2188" s="452">
        <v>45532</v>
      </c>
      <c r="N2188">
        <v>6.42</v>
      </c>
      <c r="O2188">
        <v>6.82</v>
      </c>
      <c r="P2188">
        <v>147.66</v>
      </c>
    </row>
    <row r="2189" spans="1:16" x14ac:dyDescent="0.3">
      <c r="A2189">
        <v>56955</v>
      </c>
      <c r="B2189">
        <v>105</v>
      </c>
      <c r="C2189" t="s">
        <v>557</v>
      </c>
      <c r="D2189" s="452">
        <v>45962</v>
      </c>
      <c r="E2189">
        <v>20105</v>
      </c>
      <c r="F2189" t="s">
        <v>4831</v>
      </c>
      <c r="G2189">
        <v>2298</v>
      </c>
      <c r="H2189">
        <v>9</v>
      </c>
      <c r="I2189" t="s">
        <v>4744</v>
      </c>
      <c r="J2189" t="s">
        <v>5191</v>
      </c>
      <c r="K2189" t="s">
        <v>751</v>
      </c>
      <c r="L2189">
        <v>0</v>
      </c>
      <c r="M2189" s="452">
        <v>45853</v>
      </c>
      <c r="N2189">
        <v>16.3</v>
      </c>
      <c r="O2189">
        <v>32.25</v>
      </c>
      <c r="P2189">
        <v>146.69999999999999</v>
      </c>
    </row>
    <row r="2190" spans="1:16" x14ac:dyDescent="0.3">
      <c r="A2190">
        <v>56917</v>
      </c>
      <c r="B2190">
        <v>105</v>
      </c>
      <c r="C2190" t="s">
        <v>557</v>
      </c>
      <c r="D2190" s="452">
        <v>45962</v>
      </c>
      <c r="E2190">
        <v>25760</v>
      </c>
      <c r="F2190" t="s">
        <v>4787</v>
      </c>
      <c r="G2190">
        <v>6311</v>
      </c>
      <c r="H2190">
        <v>19</v>
      </c>
      <c r="I2190" t="s">
        <v>4736</v>
      </c>
      <c r="J2190" t="s">
        <v>5191</v>
      </c>
      <c r="K2190" t="s">
        <v>751</v>
      </c>
      <c r="L2190">
        <v>0</v>
      </c>
      <c r="M2190" s="452">
        <v>45922</v>
      </c>
      <c r="N2190">
        <v>7.65</v>
      </c>
      <c r="O2190">
        <v>7.65</v>
      </c>
      <c r="P2190">
        <v>145.35</v>
      </c>
    </row>
    <row r="2191" spans="1:16" x14ac:dyDescent="0.3">
      <c r="A2191">
        <v>56889</v>
      </c>
      <c r="B2191">
        <v>105</v>
      </c>
      <c r="C2191" t="s">
        <v>557</v>
      </c>
      <c r="D2191" s="452">
        <v>45962</v>
      </c>
      <c r="E2191">
        <v>24029</v>
      </c>
      <c r="F2191" t="s">
        <v>4756</v>
      </c>
      <c r="G2191">
        <v>3591</v>
      </c>
      <c r="H2191">
        <v>66</v>
      </c>
      <c r="I2191" t="s">
        <v>4736</v>
      </c>
      <c r="J2191" t="s">
        <v>5222</v>
      </c>
      <c r="K2191" t="s">
        <v>751</v>
      </c>
      <c r="L2191">
        <v>0</v>
      </c>
      <c r="M2191" s="452">
        <v>45546</v>
      </c>
      <c r="N2191">
        <v>2.19</v>
      </c>
      <c r="O2191">
        <v>2.19</v>
      </c>
      <c r="P2191">
        <v>144.54</v>
      </c>
    </row>
    <row r="2192" spans="1:16" x14ac:dyDescent="0.3">
      <c r="A2192">
        <v>56965</v>
      </c>
      <c r="B2192">
        <v>105</v>
      </c>
      <c r="C2192" t="s">
        <v>557</v>
      </c>
      <c r="D2192" s="452">
        <v>45962</v>
      </c>
      <c r="E2192">
        <v>20549</v>
      </c>
      <c r="F2192" t="s">
        <v>4823</v>
      </c>
      <c r="G2192">
        <v>2141</v>
      </c>
      <c r="H2192">
        <v>7.2</v>
      </c>
      <c r="I2192" t="s">
        <v>4744</v>
      </c>
      <c r="J2192" t="s">
        <v>5191</v>
      </c>
      <c r="K2192" t="s">
        <v>751</v>
      </c>
      <c r="L2192">
        <v>19.989999999999998</v>
      </c>
      <c r="M2192" s="452">
        <v>45952</v>
      </c>
      <c r="N2192">
        <v>19.989999999999998</v>
      </c>
      <c r="O2192">
        <v>19.989999999999998</v>
      </c>
      <c r="P2192">
        <v>143.93</v>
      </c>
    </row>
    <row r="2193" spans="1:16" x14ac:dyDescent="0.3">
      <c r="A2193">
        <v>57010</v>
      </c>
      <c r="B2193">
        <v>105</v>
      </c>
      <c r="C2193" t="s">
        <v>557</v>
      </c>
      <c r="D2193" s="452">
        <v>45962</v>
      </c>
      <c r="E2193">
        <v>26560</v>
      </c>
      <c r="F2193" t="s">
        <v>4894</v>
      </c>
      <c r="G2193">
        <v>6788</v>
      </c>
      <c r="H2193">
        <v>5</v>
      </c>
      <c r="I2193" t="s">
        <v>4805</v>
      </c>
      <c r="J2193" t="s">
        <v>5222</v>
      </c>
      <c r="K2193" t="s">
        <v>751</v>
      </c>
      <c r="L2193">
        <v>0</v>
      </c>
      <c r="M2193" s="452">
        <v>45881</v>
      </c>
      <c r="N2193">
        <v>27.5</v>
      </c>
      <c r="O2193">
        <v>27.5</v>
      </c>
      <c r="P2193">
        <v>137.5</v>
      </c>
    </row>
    <row r="2194" spans="1:16" x14ac:dyDescent="0.3">
      <c r="A2194">
        <v>56876</v>
      </c>
      <c r="B2194">
        <v>105</v>
      </c>
      <c r="C2194" t="s">
        <v>557</v>
      </c>
      <c r="D2194" s="452">
        <v>45962</v>
      </c>
      <c r="E2194">
        <v>23095</v>
      </c>
      <c r="F2194" t="s">
        <v>4741</v>
      </c>
      <c r="G2194">
        <v>2754</v>
      </c>
      <c r="H2194">
        <v>147</v>
      </c>
      <c r="I2194" t="s">
        <v>4736</v>
      </c>
      <c r="J2194" t="s">
        <v>5191</v>
      </c>
      <c r="K2194" t="s">
        <v>751</v>
      </c>
      <c r="L2194">
        <v>0.93</v>
      </c>
      <c r="M2194" s="452">
        <v>45957</v>
      </c>
      <c r="N2194">
        <v>0.94</v>
      </c>
      <c r="O2194">
        <v>0.94</v>
      </c>
      <c r="P2194">
        <v>136.71</v>
      </c>
    </row>
    <row r="2195" spans="1:16" x14ac:dyDescent="0.3">
      <c r="A2195">
        <v>57089</v>
      </c>
      <c r="B2195">
        <v>105</v>
      </c>
      <c r="C2195" t="s">
        <v>557</v>
      </c>
      <c r="D2195" s="452">
        <v>45962</v>
      </c>
      <c r="E2195">
        <v>20720</v>
      </c>
      <c r="F2195" t="s">
        <v>5438</v>
      </c>
      <c r="G2195">
        <v>2096</v>
      </c>
      <c r="H2195">
        <v>2</v>
      </c>
      <c r="I2195" t="s">
        <v>4884</v>
      </c>
      <c r="J2195" t="s">
        <v>5191</v>
      </c>
      <c r="K2195" t="s">
        <v>751</v>
      </c>
      <c r="L2195">
        <v>67.95</v>
      </c>
      <c r="M2195" s="452">
        <v>45954</v>
      </c>
      <c r="N2195">
        <v>67.95</v>
      </c>
      <c r="O2195">
        <v>67.95</v>
      </c>
      <c r="P2195">
        <v>135.9</v>
      </c>
    </row>
    <row r="2196" spans="1:16" x14ac:dyDescent="0.3">
      <c r="A2196">
        <v>57169</v>
      </c>
      <c r="B2196">
        <v>105</v>
      </c>
      <c r="C2196" t="s">
        <v>557</v>
      </c>
      <c r="D2196" s="452">
        <v>45962</v>
      </c>
      <c r="E2196">
        <v>18312</v>
      </c>
      <c r="F2196" t="s">
        <v>5037</v>
      </c>
      <c r="G2196">
        <v>3321</v>
      </c>
      <c r="H2196">
        <v>1</v>
      </c>
      <c r="I2196" t="s">
        <v>4805</v>
      </c>
      <c r="J2196" t="s">
        <v>5222</v>
      </c>
      <c r="K2196" t="s">
        <v>751</v>
      </c>
      <c r="L2196">
        <v>0</v>
      </c>
      <c r="N2196">
        <v>0</v>
      </c>
      <c r="O2196">
        <v>86</v>
      </c>
      <c r="P2196">
        <v>135.9</v>
      </c>
    </row>
    <row r="2197" spans="1:16" x14ac:dyDescent="0.3">
      <c r="A2197">
        <v>57165</v>
      </c>
      <c r="B2197">
        <v>105</v>
      </c>
      <c r="C2197" t="s">
        <v>557</v>
      </c>
      <c r="D2197" s="452">
        <v>45962</v>
      </c>
      <c r="E2197">
        <v>18293</v>
      </c>
      <c r="F2197" t="s">
        <v>5034</v>
      </c>
      <c r="G2197">
        <v>3336</v>
      </c>
      <c r="H2197">
        <v>1</v>
      </c>
      <c r="I2197" t="s">
        <v>4805</v>
      </c>
      <c r="J2197" t="s">
        <v>5222</v>
      </c>
      <c r="K2197" t="s">
        <v>751</v>
      </c>
      <c r="L2197">
        <v>134.99</v>
      </c>
      <c r="M2197" s="452">
        <v>45943</v>
      </c>
      <c r="N2197">
        <v>134.99</v>
      </c>
      <c r="O2197">
        <v>132.25</v>
      </c>
      <c r="P2197">
        <v>134.99</v>
      </c>
    </row>
    <row r="2198" spans="1:16" x14ac:dyDescent="0.3">
      <c r="A2198">
        <v>57098</v>
      </c>
      <c r="B2198">
        <v>105</v>
      </c>
      <c r="C2198" t="s">
        <v>557</v>
      </c>
      <c r="D2198" s="452">
        <v>45962</v>
      </c>
      <c r="E2198">
        <v>20624</v>
      </c>
      <c r="F2198" t="s">
        <v>5019</v>
      </c>
      <c r="G2198">
        <v>2116</v>
      </c>
      <c r="H2198">
        <v>2</v>
      </c>
      <c r="I2198" t="s">
        <v>4884</v>
      </c>
      <c r="J2198" t="s">
        <v>5191</v>
      </c>
      <c r="K2198" t="s">
        <v>751</v>
      </c>
      <c r="L2198">
        <v>67.349999999999994</v>
      </c>
      <c r="M2198" s="452">
        <v>45956</v>
      </c>
      <c r="N2198">
        <v>67.3</v>
      </c>
      <c r="O2198">
        <v>67.8</v>
      </c>
      <c r="P2198">
        <v>134.69999999999999</v>
      </c>
    </row>
    <row r="2199" spans="1:16" x14ac:dyDescent="0.3">
      <c r="A2199">
        <v>56975</v>
      </c>
      <c r="B2199">
        <v>105</v>
      </c>
      <c r="C2199" t="s">
        <v>557</v>
      </c>
      <c r="D2199" s="452">
        <v>45962</v>
      </c>
      <c r="E2199">
        <v>24197</v>
      </c>
      <c r="F2199" t="s">
        <v>5237</v>
      </c>
      <c r="G2199">
        <v>3037</v>
      </c>
      <c r="H2199">
        <v>6.7</v>
      </c>
      <c r="I2199" t="s">
        <v>4744</v>
      </c>
      <c r="J2199" t="s">
        <v>5191</v>
      </c>
      <c r="K2199" t="s">
        <v>751</v>
      </c>
      <c r="L2199">
        <v>19.989999999999998</v>
      </c>
      <c r="M2199" s="452">
        <v>45952</v>
      </c>
      <c r="N2199">
        <v>19.989999999999998</v>
      </c>
      <c r="O2199">
        <v>19.989999999999998</v>
      </c>
      <c r="P2199">
        <v>133.93</v>
      </c>
    </row>
    <row r="2200" spans="1:16" x14ac:dyDescent="0.3">
      <c r="A2200">
        <v>57163</v>
      </c>
      <c r="B2200">
        <v>105</v>
      </c>
      <c r="C2200" t="s">
        <v>557</v>
      </c>
      <c r="D2200" s="452">
        <v>45962</v>
      </c>
      <c r="E2200">
        <v>18394</v>
      </c>
      <c r="F2200" t="s">
        <v>5032</v>
      </c>
      <c r="G2200">
        <v>3246</v>
      </c>
      <c r="H2200">
        <v>1</v>
      </c>
      <c r="I2200" t="s">
        <v>4805</v>
      </c>
      <c r="J2200" t="s">
        <v>5222</v>
      </c>
      <c r="K2200" t="s">
        <v>751</v>
      </c>
      <c r="L2200">
        <v>0</v>
      </c>
      <c r="M2200" s="452">
        <v>45867</v>
      </c>
      <c r="N2200">
        <v>132.36000000000001</v>
      </c>
      <c r="O2200">
        <v>132</v>
      </c>
      <c r="P2200">
        <v>132.36000000000001</v>
      </c>
    </row>
    <row r="2201" spans="1:16" x14ac:dyDescent="0.3">
      <c r="A2201">
        <v>57048</v>
      </c>
      <c r="B2201">
        <v>105</v>
      </c>
      <c r="C2201" t="s">
        <v>557</v>
      </c>
      <c r="D2201" s="452">
        <v>45962</v>
      </c>
      <c r="E2201">
        <v>20057</v>
      </c>
      <c r="F2201" t="s">
        <v>4949</v>
      </c>
      <c r="G2201">
        <v>2324</v>
      </c>
      <c r="H2201">
        <v>3.14</v>
      </c>
      <c r="I2201" t="s">
        <v>4736</v>
      </c>
      <c r="J2201" t="s">
        <v>5191</v>
      </c>
      <c r="K2201" t="s">
        <v>751</v>
      </c>
      <c r="L2201">
        <v>0</v>
      </c>
      <c r="M2201" s="452">
        <v>45911</v>
      </c>
      <c r="N2201">
        <v>41.85</v>
      </c>
      <c r="O2201">
        <v>40.25</v>
      </c>
      <c r="P2201">
        <v>131.41</v>
      </c>
    </row>
    <row r="2202" spans="1:16" x14ac:dyDescent="0.3">
      <c r="A2202">
        <v>57108</v>
      </c>
      <c r="B2202">
        <v>105</v>
      </c>
      <c r="C2202" t="s">
        <v>557</v>
      </c>
      <c r="D2202" s="452">
        <v>45962</v>
      </c>
      <c r="E2202">
        <v>19421</v>
      </c>
      <c r="F2202" t="s">
        <v>4918</v>
      </c>
      <c r="G2202">
        <v>2758</v>
      </c>
      <c r="H2202">
        <v>2</v>
      </c>
      <c r="I2202" t="s">
        <v>4749</v>
      </c>
      <c r="J2202" t="s">
        <v>5191</v>
      </c>
      <c r="K2202" t="s">
        <v>751</v>
      </c>
      <c r="L2202">
        <v>65.400000000000006</v>
      </c>
      <c r="M2202" s="452">
        <v>45957</v>
      </c>
      <c r="N2202">
        <v>63.9</v>
      </c>
      <c r="O2202">
        <v>61.5</v>
      </c>
      <c r="P2202">
        <v>130.80000000000001</v>
      </c>
    </row>
    <row r="2203" spans="1:16" x14ac:dyDescent="0.3">
      <c r="A2203">
        <v>57049</v>
      </c>
      <c r="B2203">
        <v>105</v>
      </c>
      <c r="C2203" t="s">
        <v>557</v>
      </c>
      <c r="D2203" s="452">
        <v>45962</v>
      </c>
      <c r="E2203">
        <v>24116</v>
      </c>
      <c r="F2203" t="s">
        <v>4777</v>
      </c>
      <c r="G2203">
        <v>2924</v>
      </c>
      <c r="H2203">
        <v>3.1</v>
      </c>
      <c r="I2203" t="s">
        <v>4744</v>
      </c>
      <c r="J2203" t="s">
        <v>5191</v>
      </c>
      <c r="K2203" t="s">
        <v>751</v>
      </c>
      <c r="L2203">
        <v>41.9</v>
      </c>
      <c r="M2203" s="452">
        <v>45945</v>
      </c>
      <c r="N2203">
        <v>41.9</v>
      </c>
      <c r="O2203">
        <v>44</v>
      </c>
      <c r="P2203">
        <v>129.88999999999999</v>
      </c>
    </row>
    <row r="2204" spans="1:16" x14ac:dyDescent="0.3">
      <c r="A2204">
        <v>57115</v>
      </c>
      <c r="B2204">
        <v>105</v>
      </c>
      <c r="C2204" t="s">
        <v>557</v>
      </c>
      <c r="D2204" s="452">
        <v>45962</v>
      </c>
      <c r="E2204">
        <v>18194</v>
      </c>
      <c r="F2204" t="s">
        <v>4923</v>
      </c>
      <c r="G2204">
        <v>3430</v>
      </c>
      <c r="H2204">
        <v>2</v>
      </c>
      <c r="I2204" t="s">
        <v>4805</v>
      </c>
      <c r="J2204" t="s">
        <v>5222</v>
      </c>
      <c r="K2204" t="s">
        <v>751</v>
      </c>
      <c r="L2204">
        <v>0</v>
      </c>
      <c r="M2204" s="452">
        <v>45924</v>
      </c>
      <c r="N2204">
        <v>63.99</v>
      </c>
      <c r="O2204">
        <v>62.99</v>
      </c>
      <c r="P2204">
        <v>127.98</v>
      </c>
    </row>
    <row r="2205" spans="1:16" x14ac:dyDescent="0.3">
      <c r="A2205">
        <v>57143</v>
      </c>
      <c r="B2205">
        <v>105</v>
      </c>
      <c r="C2205" t="s">
        <v>557</v>
      </c>
      <c r="D2205" s="452">
        <v>45962</v>
      </c>
      <c r="E2205">
        <v>25233</v>
      </c>
      <c r="F2205" t="s">
        <v>5439</v>
      </c>
      <c r="G2205">
        <v>5958</v>
      </c>
      <c r="H2205">
        <v>1</v>
      </c>
      <c r="I2205" t="s">
        <v>4884</v>
      </c>
      <c r="J2205" t="s">
        <v>5191</v>
      </c>
      <c r="K2205" t="s">
        <v>751</v>
      </c>
      <c r="L2205">
        <v>0</v>
      </c>
      <c r="M2205" s="452">
        <v>45922</v>
      </c>
      <c r="N2205">
        <v>125.48</v>
      </c>
      <c r="O2205">
        <v>83.6</v>
      </c>
      <c r="P2205">
        <v>125.48</v>
      </c>
    </row>
    <row r="2206" spans="1:16" x14ac:dyDescent="0.3">
      <c r="A2206">
        <v>57140</v>
      </c>
      <c r="B2206">
        <v>105</v>
      </c>
      <c r="C2206" t="s">
        <v>557</v>
      </c>
      <c r="D2206" s="452">
        <v>45962</v>
      </c>
      <c r="E2206">
        <v>19490</v>
      </c>
      <c r="F2206" t="s">
        <v>5116</v>
      </c>
      <c r="G2206">
        <v>2718</v>
      </c>
      <c r="H2206">
        <v>1.06</v>
      </c>
      <c r="I2206" t="s">
        <v>4744</v>
      </c>
      <c r="J2206" t="s">
        <v>5191</v>
      </c>
      <c r="K2206" t="s">
        <v>751</v>
      </c>
      <c r="L2206">
        <v>117.95</v>
      </c>
      <c r="M2206" s="452">
        <v>45955</v>
      </c>
      <c r="N2206">
        <v>101.5</v>
      </c>
      <c r="O2206">
        <v>108.3</v>
      </c>
      <c r="P2206">
        <v>125.03</v>
      </c>
    </row>
    <row r="2207" spans="1:16" x14ac:dyDescent="0.3">
      <c r="A2207">
        <v>56892</v>
      </c>
      <c r="B2207">
        <v>105</v>
      </c>
      <c r="C2207" t="s">
        <v>557</v>
      </c>
      <c r="D2207" s="452">
        <v>45962</v>
      </c>
      <c r="E2207">
        <v>24468</v>
      </c>
      <c r="F2207" t="s">
        <v>4798</v>
      </c>
      <c r="G2207">
        <v>3675</v>
      </c>
      <c r="H2207">
        <v>57</v>
      </c>
      <c r="I2207" t="s">
        <v>4736</v>
      </c>
      <c r="J2207" t="s">
        <v>5222</v>
      </c>
      <c r="K2207" t="s">
        <v>751</v>
      </c>
      <c r="L2207">
        <v>0</v>
      </c>
      <c r="M2207" s="452">
        <v>45653</v>
      </c>
      <c r="N2207">
        <v>2.19</v>
      </c>
      <c r="O2207">
        <v>2.19</v>
      </c>
      <c r="P2207">
        <v>124.83</v>
      </c>
    </row>
    <row r="2208" spans="1:16" x14ac:dyDescent="0.3">
      <c r="A2208">
        <v>57125</v>
      </c>
      <c r="B2208">
        <v>105</v>
      </c>
      <c r="C2208" t="s">
        <v>557</v>
      </c>
      <c r="D2208" s="452">
        <v>45962</v>
      </c>
      <c r="E2208">
        <v>23494</v>
      </c>
      <c r="F2208" t="s">
        <v>4991</v>
      </c>
      <c r="G2208">
        <v>2375</v>
      </c>
      <c r="H2208">
        <v>1.58</v>
      </c>
      <c r="I2208" t="s">
        <v>4744</v>
      </c>
      <c r="J2208" t="s">
        <v>5191</v>
      </c>
      <c r="K2208" t="s">
        <v>751</v>
      </c>
      <c r="L2208">
        <v>0</v>
      </c>
      <c r="M2208" s="452">
        <v>45908</v>
      </c>
      <c r="N2208">
        <v>78</v>
      </c>
      <c r="O2208">
        <v>77</v>
      </c>
      <c r="P2208">
        <v>123.24</v>
      </c>
    </row>
    <row r="2209" spans="1:16" x14ac:dyDescent="0.3">
      <c r="A2209">
        <v>56950</v>
      </c>
      <c r="B2209">
        <v>105</v>
      </c>
      <c r="C2209" t="s">
        <v>557</v>
      </c>
      <c r="D2209" s="452">
        <v>45962</v>
      </c>
      <c r="E2209">
        <v>20131</v>
      </c>
      <c r="F2209" t="s">
        <v>5440</v>
      </c>
      <c r="G2209">
        <v>2287</v>
      </c>
      <c r="H2209">
        <v>10</v>
      </c>
      <c r="I2209" t="s">
        <v>4744</v>
      </c>
      <c r="J2209" t="s">
        <v>5191</v>
      </c>
      <c r="K2209" t="s">
        <v>751</v>
      </c>
      <c r="L2209">
        <v>12</v>
      </c>
      <c r="M2209" s="452">
        <v>45951</v>
      </c>
      <c r="N2209">
        <v>12</v>
      </c>
      <c r="O2209">
        <v>12</v>
      </c>
      <c r="P2209">
        <v>120</v>
      </c>
    </row>
    <row r="2210" spans="1:16" x14ac:dyDescent="0.3">
      <c r="A2210">
        <v>57032</v>
      </c>
      <c r="B2210">
        <v>105</v>
      </c>
      <c r="C2210" t="s">
        <v>557</v>
      </c>
      <c r="D2210" s="452">
        <v>45962</v>
      </c>
      <c r="E2210">
        <v>19765</v>
      </c>
      <c r="F2210" t="s">
        <v>4889</v>
      </c>
      <c r="G2210">
        <v>2488</v>
      </c>
      <c r="H2210">
        <v>4</v>
      </c>
      <c r="I2210" t="s">
        <v>4744</v>
      </c>
      <c r="J2210" t="s">
        <v>5191</v>
      </c>
      <c r="K2210" t="s">
        <v>751</v>
      </c>
      <c r="L2210">
        <v>30</v>
      </c>
      <c r="M2210" s="452">
        <v>45943</v>
      </c>
      <c r="N2210">
        <v>32</v>
      </c>
      <c r="O2210">
        <v>26</v>
      </c>
      <c r="P2210">
        <v>120</v>
      </c>
    </row>
    <row r="2211" spans="1:16" x14ac:dyDescent="0.3">
      <c r="A2211">
        <v>56961</v>
      </c>
      <c r="B2211">
        <v>105</v>
      </c>
      <c r="C2211" t="s">
        <v>557</v>
      </c>
      <c r="D2211" s="452">
        <v>45962</v>
      </c>
      <c r="E2211">
        <v>19964</v>
      </c>
      <c r="F2211" t="s">
        <v>4817</v>
      </c>
      <c r="G2211">
        <v>2356</v>
      </c>
      <c r="H2211">
        <v>8</v>
      </c>
      <c r="I2211" t="s">
        <v>4736</v>
      </c>
      <c r="J2211" t="s">
        <v>5191</v>
      </c>
      <c r="K2211" t="s">
        <v>751</v>
      </c>
      <c r="L2211">
        <v>0</v>
      </c>
      <c r="M2211" s="452">
        <v>45677</v>
      </c>
      <c r="N2211">
        <v>14.96</v>
      </c>
      <c r="O2211">
        <v>14.96</v>
      </c>
      <c r="P2211">
        <v>119.68</v>
      </c>
    </row>
    <row r="2212" spans="1:16" x14ac:dyDescent="0.3">
      <c r="A2212">
        <v>56936</v>
      </c>
      <c r="B2212">
        <v>105</v>
      </c>
      <c r="C2212" t="s">
        <v>557</v>
      </c>
      <c r="D2212" s="452">
        <v>45962</v>
      </c>
      <c r="E2212">
        <v>19751</v>
      </c>
      <c r="F2212" t="s">
        <v>4800</v>
      </c>
      <c r="G2212">
        <v>2502</v>
      </c>
      <c r="H2212">
        <v>13.3</v>
      </c>
      <c r="I2212" t="s">
        <v>4744</v>
      </c>
      <c r="J2212" t="s">
        <v>5191</v>
      </c>
      <c r="K2212" t="s">
        <v>751</v>
      </c>
      <c r="L2212">
        <v>8.9700000000000006</v>
      </c>
      <c r="M2212" s="452">
        <v>45957</v>
      </c>
      <c r="N2212">
        <v>11.13</v>
      </c>
      <c r="O2212">
        <v>11.13</v>
      </c>
      <c r="P2212">
        <v>119.3</v>
      </c>
    </row>
    <row r="2213" spans="1:16" x14ac:dyDescent="0.3">
      <c r="A2213">
        <v>57146</v>
      </c>
      <c r="B2213">
        <v>105</v>
      </c>
      <c r="C2213" t="s">
        <v>557</v>
      </c>
      <c r="D2213" s="452">
        <v>45962</v>
      </c>
      <c r="E2213">
        <v>20751</v>
      </c>
      <c r="F2213" t="s">
        <v>5004</v>
      </c>
      <c r="G2213">
        <v>2088</v>
      </c>
      <c r="H2213">
        <v>1</v>
      </c>
      <c r="I2213" t="s">
        <v>4884</v>
      </c>
      <c r="J2213" t="s">
        <v>5191</v>
      </c>
      <c r="K2213" t="s">
        <v>751</v>
      </c>
      <c r="L2213">
        <v>0</v>
      </c>
      <c r="M2213" s="452">
        <v>45926</v>
      </c>
      <c r="N2213">
        <v>115.22</v>
      </c>
      <c r="O2213">
        <v>104</v>
      </c>
      <c r="P2213">
        <v>115.22</v>
      </c>
    </row>
    <row r="2214" spans="1:16" x14ac:dyDescent="0.3">
      <c r="A2214">
        <v>57174</v>
      </c>
      <c r="B2214">
        <v>105</v>
      </c>
      <c r="C2214" t="s">
        <v>557</v>
      </c>
      <c r="D2214" s="452">
        <v>45962</v>
      </c>
      <c r="E2214">
        <v>18147</v>
      </c>
      <c r="F2214" t="s">
        <v>5042</v>
      </c>
      <c r="G2214">
        <v>3471</v>
      </c>
      <c r="H2214">
        <v>1</v>
      </c>
      <c r="I2214" t="s">
        <v>4805</v>
      </c>
      <c r="J2214" t="s">
        <v>5222</v>
      </c>
      <c r="K2214" t="s">
        <v>751</v>
      </c>
      <c r="L2214">
        <v>0</v>
      </c>
      <c r="M2214" s="452">
        <v>45427</v>
      </c>
      <c r="N2214">
        <v>115</v>
      </c>
      <c r="O2214">
        <v>113.9</v>
      </c>
      <c r="P2214">
        <v>115</v>
      </c>
    </row>
    <row r="2215" spans="1:16" x14ac:dyDescent="0.3">
      <c r="A2215">
        <v>56931</v>
      </c>
      <c r="B2215">
        <v>105</v>
      </c>
      <c r="C2215" t="s">
        <v>557</v>
      </c>
      <c r="D2215" s="452">
        <v>45962</v>
      </c>
      <c r="E2215">
        <v>25755</v>
      </c>
      <c r="F2215" t="s">
        <v>4821</v>
      </c>
      <c r="G2215">
        <v>9071</v>
      </c>
      <c r="H2215">
        <v>15</v>
      </c>
      <c r="I2215" t="s">
        <v>4749</v>
      </c>
      <c r="J2215" t="s">
        <v>5191</v>
      </c>
      <c r="K2215" t="s">
        <v>751</v>
      </c>
      <c r="L2215">
        <v>0</v>
      </c>
      <c r="M2215" s="452">
        <v>45922</v>
      </c>
      <c r="N2215">
        <v>7.65</v>
      </c>
      <c r="O2215">
        <v>7.65</v>
      </c>
      <c r="P2215">
        <v>114.75</v>
      </c>
    </row>
    <row r="2216" spans="1:16" x14ac:dyDescent="0.3">
      <c r="A2216">
        <v>56906</v>
      </c>
      <c r="B2216">
        <v>105</v>
      </c>
      <c r="C2216" t="s">
        <v>557</v>
      </c>
      <c r="D2216" s="452">
        <v>45962</v>
      </c>
      <c r="E2216">
        <v>24470</v>
      </c>
      <c r="F2216" t="s">
        <v>4752</v>
      </c>
      <c r="G2216">
        <v>3103</v>
      </c>
      <c r="H2216">
        <v>26</v>
      </c>
      <c r="I2216" t="s">
        <v>4736</v>
      </c>
      <c r="J2216" t="s">
        <v>5222</v>
      </c>
      <c r="K2216" t="s">
        <v>751</v>
      </c>
      <c r="L2216">
        <v>0</v>
      </c>
      <c r="M2216" s="452">
        <v>45404</v>
      </c>
      <c r="N2216">
        <v>4.41</v>
      </c>
      <c r="O2216">
        <v>4.41</v>
      </c>
      <c r="P2216">
        <v>114.66</v>
      </c>
    </row>
    <row r="2217" spans="1:16" x14ac:dyDescent="0.3">
      <c r="A2217">
        <v>57144</v>
      </c>
      <c r="B2217">
        <v>105</v>
      </c>
      <c r="C2217" t="s">
        <v>557</v>
      </c>
      <c r="D2217" s="452">
        <v>45962</v>
      </c>
      <c r="E2217">
        <v>21150</v>
      </c>
      <c r="F2217" t="s">
        <v>4878</v>
      </c>
      <c r="G2217">
        <v>1951</v>
      </c>
      <c r="H2217">
        <v>1</v>
      </c>
      <c r="I2217" t="s">
        <v>4879</v>
      </c>
      <c r="J2217" t="s">
        <v>5191</v>
      </c>
      <c r="K2217" t="s">
        <v>751</v>
      </c>
      <c r="L2217">
        <v>113.31</v>
      </c>
      <c r="M2217" s="452">
        <v>45953</v>
      </c>
      <c r="N2217">
        <v>113.31</v>
      </c>
      <c r="O2217">
        <v>171.03</v>
      </c>
      <c r="P2217">
        <v>113.31</v>
      </c>
    </row>
    <row r="2218" spans="1:16" x14ac:dyDescent="0.3">
      <c r="A2218">
        <v>56983</v>
      </c>
      <c r="B2218">
        <v>105</v>
      </c>
      <c r="C2218" t="s">
        <v>557</v>
      </c>
      <c r="D2218" s="452">
        <v>45962</v>
      </c>
      <c r="E2218">
        <v>21257</v>
      </c>
      <c r="F2218" t="s">
        <v>4952</v>
      </c>
      <c r="G2218">
        <v>2187</v>
      </c>
      <c r="H2218">
        <v>6</v>
      </c>
      <c r="I2218" t="s">
        <v>4736</v>
      </c>
      <c r="J2218" t="s">
        <v>5191</v>
      </c>
      <c r="K2218" t="s">
        <v>751</v>
      </c>
      <c r="L2218">
        <v>18.850000000000001</v>
      </c>
      <c r="M2218" s="452">
        <v>45950</v>
      </c>
      <c r="N2218">
        <v>18.850000000000001</v>
      </c>
      <c r="O2218">
        <v>18.850000000000001</v>
      </c>
      <c r="P2218">
        <v>113.1</v>
      </c>
    </row>
    <row r="2219" spans="1:16" x14ac:dyDescent="0.3">
      <c r="A2219">
        <v>57097</v>
      </c>
      <c r="B2219">
        <v>105</v>
      </c>
      <c r="C2219" t="s">
        <v>557</v>
      </c>
      <c r="D2219" s="452">
        <v>45962</v>
      </c>
      <c r="E2219">
        <v>19955</v>
      </c>
      <c r="F2219" t="s">
        <v>4985</v>
      </c>
      <c r="G2219">
        <v>2359</v>
      </c>
      <c r="H2219">
        <v>2</v>
      </c>
      <c r="I2219" t="s">
        <v>4736</v>
      </c>
      <c r="J2219" t="s">
        <v>5191</v>
      </c>
      <c r="K2219" t="s">
        <v>751</v>
      </c>
      <c r="L2219">
        <v>0</v>
      </c>
      <c r="M2219" s="452">
        <v>45870</v>
      </c>
      <c r="N2219">
        <v>56.54</v>
      </c>
      <c r="O2219">
        <v>56.64</v>
      </c>
      <c r="P2219">
        <v>113.08</v>
      </c>
    </row>
    <row r="2220" spans="1:16" x14ac:dyDescent="0.3">
      <c r="A2220">
        <v>57031</v>
      </c>
      <c r="B2220">
        <v>105</v>
      </c>
      <c r="C2220" t="s">
        <v>557</v>
      </c>
      <c r="D2220" s="452">
        <v>45962</v>
      </c>
      <c r="E2220">
        <v>20206</v>
      </c>
      <c r="F2220" t="s">
        <v>4914</v>
      </c>
      <c r="G2220">
        <v>2253</v>
      </c>
      <c r="H2220">
        <v>4</v>
      </c>
      <c r="I2220" t="s">
        <v>4736</v>
      </c>
      <c r="J2220" t="s">
        <v>5191</v>
      </c>
      <c r="K2220" t="s">
        <v>751</v>
      </c>
      <c r="L2220">
        <v>0</v>
      </c>
      <c r="M2220" s="452">
        <v>45926</v>
      </c>
      <c r="N2220">
        <v>27.99</v>
      </c>
      <c r="O2220">
        <v>28.9</v>
      </c>
      <c r="P2220">
        <v>111.96</v>
      </c>
    </row>
    <row r="2221" spans="1:16" x14ac:dyDescent="0.3">
      <c r="A2221">
        <v>56960</v>
      </c>
      <c r="B2221">
        <v>105</v>
      </c>
      <c r="C2221" t="s">
        <v>557</v>
      </c>
      <c r="D2221" s="452">
        <v>45962</v>
      </c>
      <c r="E2221">
        <v>23934</v>
      </c>
      <c r="F2221" t="s">
        <v>4845</v>
      </c>
      <c r="G2221">
        <v>1965</v>
      </c>
      <c r="H2221">
        <v>8</v>
      </c>
      <c r="I2221" t="s">
        <v>4744</v>
      </c>
      <c r="J2221" t="s">
        <v>5191</v>
      </c>
      <c r="K2221" t="s">
        <v>751</v>
      </c>
      <c r="L2221">
        <v>0</v>
      </c>
      <c r="M2221" s="452">
        <v>45923</v>
      </c>
      <c r="N2221">
        <v>13.8</v>
      </c>
      <c r="O2221">
        <v>5.5</v>
      </c>
      <c r="P2221">
        <v>110.4</v>
      </c>
    </row>
    <row r="2222" spans="1:16" x14ac:dyDescent="0.3">
      <c r="A2222">
        <v>56901</v>
      </c>
      <c r="B2222">
        <v>105</v>
      </c>
      <c r="C2222" t="s">
        <v>557</v>
      </c>
      <c r="D2222" s="452">
        <v>45962</v>
      </c>
      <c r="E2222">
        <v>19623</v>
      </c>
      <c r="F2222" t="s">
        <v>4764</v>
      </c>
      <c r="G2222">
        <v>2611</v>
      </c>
      <c r="H2222">
        <v>31.6</v>
      </c>
      <c r="I2222" t="s">
        <v>4744</v>
      </c>
      <c r="J2222" t="s">
        <v>5191</v>
      </c>
      <c r="K2222" t="s">
        <v>751</v>
      </c>
      <c r="L2222">
        <v>3.49</v>
      </c>
      <c r="M2222" s="452">
        <v>45954</v>
      </c>
      <c r="N2222">
        <v>3.3</v>
      </c>
      <c r="O2222">
        <v>3.6</v>
      </c>
      <c r="P2222">
        <v>110.28</v>
      </c>
    </row>
    <row r="2223" spans="1:16" x14ac:dyDescent="0.3">
      <c r="A2223">
        <v>56973</v>
      </c>
      <c r="B2223">
        <v>105</v>
      </c>
      <c r="C2223" t="s">
        <v>557</v>
      </c>
      <c r="D2223" s="452">
        <v>45962</v>
      </c>
      <c r="E2223">
        <v>24323</v>
      </c>
      <c r="F2223" t="s">
        <v>4844</v>
      </c>
      <c r="G2223">
        <v>2262</v>
      </c>
      <c r="H2223">
        <v>6.77</v>
      </c>
      <c r="I2223" t="s">
        <v>4744</v>
      </c>
      <c r="J2223" t="s">
        <v>5191</v>
      </c>
      <c r="K2223" t="s">
        <v>751</v>
      </c>
      <c r="L2223">
        <v>0</v>
      </c>
      <c r="M2223" s="452">
        <v>45817</v>
      </c>
      <c r="N2223">
        <v>16.2</v>
      </c>
      <c r="O2223">
        <v>14.8</v>
      </c>
      <c r="P2223">
        <v>109.67</v>
      </c>
    </row>
    <row r="2224" spans="1:16" x14ac:dyDescent="0.3">
      <c r="A2224">
        <v>56907</v>
      </c>
      <c r="B2224">
        <v>105</v>
      </c>
      <c r="C2224" t="s">
        <v>557</v>
      </c>
      <c r="D2224" s="452">
        <v>45962</v>
      </c>
      <c r="E2224">
        <v>19635</v>
      </c>
      <c r="F2224" t="s">
        <v>4786</v>
      </c>
      <c r="G2224">
        <v>2601</v>
      </c>
      <c r="H2224">
        <v>25.65</v>
      </c>
      <c r="I2224" t="s">
        <v>4744</v>
      </c>
      <c r="J2224" t="s">
        <v>5191</v>
      </c>
      <c r="K2224" t="s">
        <v>751</v>
      </c>
      <c r="L2224">
        <v>4.2699999999999996</v>
      </c>
      <c r="M2224" s="452">
        <v>45957</v>
      </c>
      <c r="N2224">
        <v>5.73</v>
      </c>
      <c r="O2224">
        <v>6.04</v>
      </c>
      <c r="P2224">
        <v>109.53</v>
      </c>
    </row>
    <row r="2225" spans="1:16" x14ac:dyDescent="0.3">
      <c r="A2225">
        <v>57166</v>
      </c>
      <c r="B2225">
        <v>105</v>
      </c>
      <c r="C2225" t="s">
        <v>557</v>
      </c>
      <c r="D2225" s="452">
        <v>45962</v>
      </c>
      <c r="E2225">
        <v>18327</v>
      </c>
      <c r="F2225" t="s">
        <v>5035</v>
      </c>
      <c r="G2225">
        <v>3306</v>
      </c>
      <c r="H2225">
        <v>1</v>
      </c>
      <c r="I2225" t="s">
        <v>4805</v>
      </c>
      <c r="J2225" t="s">
        <v>5222</v>
      </c>
      <c r="K2225" t="s">
        <v>751</v>
      </c>
      <c r="L2225">
        <v>107.41</v>
      </c>
      <c r="M2225" s="452">
        <v>45932</v>
      </c>
      <c r="N2225">
        <v>107.41</v>
      </c>
      <c r="O2225">
        <v>107.58</v>
      </c>
      <c r="P2225">
        <v>107.41</v>
      </c>
    </row>
    <row r="2226" spans="1:16" x14ac:dyDescent="0.3">
      <c r="A2226">
        <v>57060</v>
      </c>
      <c r="B2226">
        <v>105</v>
      </c>
      <c r="C2226" t="s">
        <v>557</v>
      </c>
      <c r="D2226" s="452">
        <v>45962</v>
      </c>
      <c r="E2226">
        <v>19790</v>
      </c>
      <c r="F2226" t="s">
        <v>5073</v>
      </c>
      <c r="G2226">
        <v>2469</v>
      </c>
      <c r="H2226">
        <v>3</v>
      </c>
      <c r="I2226" t="s">
        <v>4744</v>
      </c>
      <c r="J2226" t="s">
        <v>5191</v>
      </c>
      <c r="K2226" t="s">
        <v>751</v>
      </c>
      <c r="L2226">
        <v>35.630000000000003</v>
      </c>
      <c r="M2226" s="452">
        <v>45953</v>
      </c>
      <c r="N2226">
        <v>35.630000000000003</v>
      </c>
      <c r="O2226">
        <v>35.630000000000003</v>
      </c>
      <c r="P2226">
        <v>106.89</v>
      </c>
    </row>
    <row r="2227" spans="1:16" x14ac:dyDescent="0.3">
      <c r="A2227">
        <v>56997</v>
      </c>
      <c r="B2227">
        <v>105</v>
      </c>
      <c r="C2227" t="s">
        <v>557</v>
      </c>
      <c r="D2227" s="452">
        <v>45962</v>
      </c>
      <c r="E2227">
        <v>19130</v>
      </c>
      <c r="F2227" t="s">
        <v>4990</v>
      </c>
      <c r="G2227">
        <v>2839</v>
      </c>
      <c r="H2227">
        <v>5.2</v>
      </c>
      <c r="I2227" t="s">
        <v>4744</v>
      </c>
      <c r="J2227" t="s">
        <v>5191</v>
      </c>
      <c r="K2227" t="s">
        <v>751</v>
      </c>
      <c r="L2227">
        <v>0</v>
      </c>
      <c r="N2227">
        <v>0</v>
      </c>
      <c r="O2227">
        <v>20.45</v>
      </c>
      <c r="P2227">
        <v>106.37</v>
      </c>
    </row>
    <row r="2228" spans="1:16" x14ac:dyDescent="0.3">
      <c r="A2228">
        <v>56946</v>
      </c>
      <c r="B2228">
        <v>105</v>
      </c>
      <c r="C2228" t="s">
        <v>557</v>
      </c>
      <c r="D2228" s="452">
        <v>45962</v>
      </c>
      <c r="E2228">
        <v>19969</v>
      </c>
      <c r="F2228" t="s">
        <v>5018</v>
      </c>
      <c r="G2228">
        <v>2354</v>
      </c>
      <c r="H2228">
        <v>10.5</v>
      </c>
      <c r="I2228" t="s">
        <v>4888</v>
      </c>
      <c r="J2228" t="s">
        <v>5191</v>
      </c>
      <c r="K2228" t="s">
        <v>751</v>
      </c>
      <c r="L2228">
        <v>10.1</v>
      </c>
      <c r="M2228" s="452">
        <v>45954</v>
      </c>
      <c r="N2228">
        <v>10.1</v>
      </c>
      <c r="O2228">
        <v>10.1</v>
      </c>
      <c r="P2228">
        <v>106.05</v>
      </c>
    </row>
    <row r="2229" spans="1:16" x14ac:dyDescent="0.3">
      <c r="A2229">
        <v>57160</v>
      </c>
      <c r="B2229">
        <v>105</v>
      </c>
      <c r="C2229" t="s">
        <v>557</v>
      </c>
      <c r="D2229" s="452">
        <v>45962</v>
      </c>
      <c r="E2229">
        <v>18548</v>
      </c>
      <c r="F2229" t="s">
        <v>5029</v>
      </c>
      <c r="G2229">
        <v>3131</v>
      </c>
      <c r="H2229">
        <v>1</v>
      </c>
      <c r="I2229" t="s">
        <v>4805</v>
      </c>
      <c r="J2229" t="s">
        <v>5222</v>
      </c>
      <c r="K2229" t="s">
        <v>751</v>
      </c>
      <c r="L2229">
        <v>0</v>
      </c>
      <c r="M2229" s="452">
        <v>45853</v>
      </c>
      <c r="N2229">
        <v>106</v>
      </c>
      <c r="O2229">
        <v>106</v>
      </c>
      <c r="P2229">
        <v>106</v>
      </c>
    </row>
    <row r="2230" spans="1:16" x14ac:dyDescent="0.3">
      <c r="A2230">
        <v>57170</v>
      </c>
      <c r="B2230">
        <v>105</v>
      </c>
      <c r="C2230" t="s">
        <v>557</v>
      </c>
      <c r="D2230" s="452">
        <v>45962</v>
      </c>
      <c r="E2230">
        <v>18233</v>
      </c>
      <c r="F2230" t="s">
        <v>4970</v>
      </c>
      <c r="G2230">
        <v>3395</v>
      </c>
      <c r="H2230">
        <v>1</v>
      </c>
      <c r="I2230" t="s">
        <v>4805</v>
      </c>
      <c r="J2230" t="s">
        <v>5222</v>
      </c>
      <c r="K2230" t="s">
        <v>751</v>
      </c>
      <c r="L2230">
        <v>0</v>
      </c>
      <c r="M2230" s="452">
        <v>45853</v>
      </c>
      <c r="N2230">
        <v>102.9</v>
      </c>
      <c r="O2230">
        <v>97.9</v>
      </c>
      <c r="P2230">
        <v>102.9</v>
      </c>
    </row>
    <row r="2231" spans="1:16" x14ac:dyDescent="0.3">
      <c r="A2231">
        <v>57080</v>
      </c>
      <c r="B2231">
        <v>105</v>
      </c>
      <c r="C2231" t="s">
        <v>557</v>
      </c>
      <c r="D2231" s="452">
        <v>45962</v>
      </c>
      <c r="E2231">
        <v>18991</v>
      </c>
      <c r="F2231" t="s">
        <v>4815</v>
      </c>
      <c r="G2231">
        <v>2900</v>
      </c>
      <c r="H2231">
        <v>2.4</v>
      </c>
      <c r="I2231" t="s">
        <v>4744</v>
      </c>
      <c r="J2231" t="s">
        <v>5191</v>
      </c>
      <c r="K2231" t="s">
        <v>751</v>
      </c>
      <c r="L2231">
        <v>0</v>
      </c>
      <c r="M2231" s="452">
        <v>45911</v>
      </c>
      <c r="N2231">
        <v>42.42</v>
      </c>
      <c r="O2231">
        <v>42.42</v>
      </c>
      <c r="P2231">
        <v>101.81</v>
      </c>
    </row>
    <row r="2232" spans="1:16" x14ac:dyDescent="0.3">
      <c r="A2232">
        <v>57050</v>
      </c>
      <c r="B2232">
        <v>105</v>
      </c>
      <c r="C2232" t="s">
        <v>557</v>
      </c>
      <c r="D2232" s="452">
        <v>45962</v>
      </c>
      <c r="E2232">
        <v>20308</v>
      </c>
      <c r="F2232" t="s">
        <v>4909</v>
      </c>
      <c r="G2232">
        <v>2222</v>
      </c>
      <c r="H2232">
        <v>3</v>
      </c>
      <c r="I2232" t="s">
        <v>4738</v>
      </c>
      <c r="J2232" t="s">
        <v>5191</v>
      </c>
      <c r="K2232" t="s">
        <v>751</v>
      </c>
      <c r="L2232">
        <v>0</v>
      </c>
      <c r="M2232" s="452">
        <v>45831</v>
      </c>
      <c r="N2232">
        <v>33.799999999999997</v>
      </c>
      <c r="O2232">
        <v>24.9</v>
      </c>
      <c r="P2232">
        <v>101.4</v>
      </c>
    </row>
    <row r="2233" spans="1:16" x14ac:dyDescent="0.3">
      <c r="A2233">
        <v>56959</v>
      </c>
      <c r="B2233">
        <v>105</v>
      </c>
      <c r="C2233" t="s">
        <v>557</v>
      </c>
      <c r="D2233" s="452">
        <v>45962</v>
      </c>
      <c r="E2233">
        <v>26005</v>
      </c>
      <c r="F2233" t="s">
        <v>4907</v>
      </c>
      <c r="G2233">
        <v>9065</v>
      </c>
      <c r="H2233">
        <v>8</v>
      </c>
      <c r="I2233" t="s">
        <v>4749</v>
      </c>
      <c r="J2233" t="s">
        <v>5191</v>
      </c>
      <c r="K2233" t="s">
        <v>751</v>
      </c>
      <c r="L2233">
        <v>0</v>
      </c>
      <c r="M2233" s="452">
        <v>45922</v>
      </c>
      <c r="N2233">
        <v>12.62</v>
      </c>
      <c r="O2233">
        <v>12.62</v>
      </c>
      <c r="P2233">
        <v>100.96</v>
      </c>
    </row>
    <row r="2234" spans="1:16" x14ac:dyDescent="0.3">
      <c r="A2234">
        <v>57073</v>
      </c>
      <c r="B2234">
        <v>105</v>
      </c>
      <c r="C2234" t="s">
        <v>557</v>
      </c>
      <c r="D2234" s="452">
        <v>45962</v>
      </c>
      <c r="E2234">
        <v>24191</v>
      </c>
      <c r="F2234" t="s">
        <v>4846</v>
      </c>
      <c r="G2234">
        <v>2889</v>
      </c>
      <c r="H2234">
        <v>2.8</v>
      </c>
      <c r="I2234" t="s">
        <v>4744</v>
      </c>
      <c r="J2234" t="s">
        <v>5191</v>
      </c>
      <c r="K2234" t="s">
        <v>751</v>
      </c>
      <c r="L2234">
        <v>35.9</v>
      </c>
      <c r="M2234" s="452">
        <v>45957</v>
      </c>
      <c r="N2234">
        <v>35.9</v>
      </c>
      <c r="O2234">
        <v>35.9</v>
      </c>
      <c r="P2234">
        <v>100.52</v>
      </c>
    </row>
    <row r="2235" spans="1:16" x14ac:dyDescent="0.3">
      <c r="A2235">
        <v>56999</v>
      </c>
      <c r="B2235">
        <v>105</v>
      </c>
      <c r="C2235" t="s">
        <v>557</v>
      </c>
      <c r="D2235" s="452">
        <v>45962</v>
      </c>
      <c r="E2235">
        <v>21147</v>
      </c>
      <c r="F2235" t="s">
        <v>4876</v>
      </c>
      <c r="G2235">
        <v>1952</v>
      </c>
      <c r="H2235">
        <v>5</v>
      </c>
      <c r="I2235" t="s">
        <v>4736</v>
      </c>
      <c r="J2235" t="s">
        <v>5191</v>
      </c>
      <c r="K2235" t="s">
        <v>751</v>
      </c>
      <c r="L2235">
        <v>19.899999999999999</v>
      </c>
      <c r="M2235" s="452">
        <v>45933</v>
      </c>
      <c r="N2235">
        <v>19.899999999999999</v>
      </c>
      <c r="O2235">
        <v>19</v>
      </c>
      <c r="P2235">
        <v>99.5</v>
      </c>
    </row>
    <row r="2236" spans="1:16" x14ac:dyDescent="0.3">
      <c r="A2236">
        <v>56925</v>
      </c>
      <c r="B2236">
        <v>105</v>
      </c>
      <c r="C2236" t="s">
        <v>557</v>
      </c>
      <c r="D2236" s="452">
        <v>45962</v>
      </c>
      <c r="E2236">
        <v>18586</v>
      </c>
      <c r="F2236" t="s">
        <v>4966</v>
      </c>
      <c r="G2236">
        <v>3104</v>
      </c>
      <c r="H2236">
        <v>0.71</v>
      </c>
      <c r="I2236" t="s">
        <v>4738</v>
      </c>
      <c r="J2236" t="s">
        <v>5222</v>
      </c>
      <c r="K2236" t="s">
        <v>751</v>
      </c>
      <c r="L2236">
        <v>138.47999999999999</v>
      </c>
      <c r="M2236" s="452">
        <v>45943</v>
      </c>
      <c r="N2236">
        <v>138.47999999999999</v>
      </c>
      <c r="O2236">
        <v>138.47999999999999</v>
      </c>
      <c r="P2236">
        <v>98.32</v>
      </c>
    </row>
    <row r="2237" spans="1:16" x14ac:dyDescent="0.3">
      <c r="A2237">
        <v>56896</v>
      </c>
      <c r="B2237">
        <v>105</v>
      </c>
      <c r="C2237" t="s">
        <v>557</v>
      </c>
      <c r="D2237" s="452">
        <v>45962</v>
      </c>
      <c r="E2237">
        <v>22118</v>
      </c>
      <c r="F2237" t="s">
        <v>4765</v>
      </c>
      <c r="G2237">
        <v>3600</v>
      </c>
      <c r="H2237">
        <v>3.25</v>
      </c>
      <c r="I2237" t="s">
        <v>4749</v>
      </c>
      <c r="J2237" t="s">
        <v>5222</v>
      </c>
      <c r="K2237" t="s">
        <v>751</v>
      </c>
      <c r="L2237">
        <v>0</v>
      </c>
      <c r="M2237" s="452">
        <v>45887</v>
      </c>
      <c r="N2237">
        <v>29.64</v>
      </c>
      <c r="O2237">
        <v>29.64</v>
      </c>
      <c r="P2237">
        <v>96.33</v>
      </c>
    </row>
    <row r="2238" spans="1:16" x14ac:dyDescent="0.3">
      <c r="A2238">
        <v>57111</v>
      </c>
      <c r="B2238">
        <v>105</v>
      </c>
      <c r="C2238" t="s">
        <v>557</v>
      </c>
      <c r="D2238" s="452">
        <v>45962</v>
      </c>
      <c r="E2238">
        <v>18462</v>
      </c>
      <c r="F2238" t="s">
        <v>5031</v>
      </c>
      <c r="G2238">
        <v>3193</v>
      </c>
      <c r="H2238">
        <v>2</v>
      </c>
      <c r="I2238" t="s">
        <v>4805</v>
      </c>
      <c r="J2238" t="s">
        <v>5222</v>
      </c>
      <c r="K2238" t="s">
        <v>751</v>
      </c>
      <c r="L2238">
        <v>48.04</v>
      </c>
      <c r="M2238" s="452">
        <v>45951</v>
      </c>
      <c r="N2238">
        <v>48.04</v>
      </c>
      <c r="O2238">
        <v>48.04</v>
      </c>
      <c r="P2238">
        <v>96.08</v>
      </c>
    </row>
    <row r="2239" spans="1:16" x14ac:dyDescent="0.3">
      <c r="A2239">
        <v>57177</v>
      </c>
      <c r="B2239">
        <v>105</v>
      </c>
      <c r="C2239" t="s">
        <v>557</v>
      </c>
      <c r="D2239" s="452">
        <v>45962</v>
      </c>
      <c r="E2239">
        <v>18111</v>
      </c>
      <c r="F2239" t="s">
        <v>5049</v>
      </c>
      <c r="G2239">
        <v>3500</v>
      </c>
      <c r="H2239">
        <v>1</v>
      </c>
      <c r="I2239" t="s">
        <v>4805</v>
      </c>
      <c r="J2239" t="s">
        <v>5222</v>
      </c>
      <c r="K2239" t="s">
        <v>751</v>
      </c>
      <c r="L2239">
        <v>0</v>
      </c>
      <c r="M2239" s="452">
        <v>45875</v>
      </c>
      <c r="N2239">
        <v>93.4</v>
      </c>
      <c r="O2239">
        <v>90.55</v>
      </c>
      <c r="P2239">
        <v>93.4</v>
      </c>
    </row>
    <row r="2240" spans="1:16" x14ac:dyDescent="0.3">
      <c r="A2240">
        <v>57081</v>
      </c>
      <c r="B2240">
        <v>105</v>
      </c>
      <c r="C2240" t="s">
        <v>557</v>
      </c>
      <c r="D2240" s="452">
        <v>45962</v>
      </c>
      <c r="E2240">
        <v>27545</v>
      </c>
      <c r="F2240" t="s">
        <v>5292</v>
      </c>
      <c r="G2240">
        <v>7540</v>
      </c>
      <c r="H2240">
        <v>2.4</v>
      </c>
      <c r="I2240" t="s">
        <v>4744</v>
      </c>
      <c r="J2240" t="s">
        <v>5191</v>
      </c>
      <c r="K2240" t="s">
        <v>751</v>
      </c>
      <c r="L2240">
        <v>0</v>
      </c>
      <c r="M2240" s="452">
        <v>45912</v>
      </c>
      <c r="N2240">
        <v>37.42</v>
      </c>
      <c r="O2240">
        <v>37.42</v>
      </c>
      <c r="P2240">
        <v>89.81</v>
      </c>
    </row>
    <row r="2241" spans="1:16" x14ac:dyDescent="0.3">
      <c r="A2241">
        <v>57058</v>
      </c>
      <c r="B2241">
        <v>105</v>
      </c>
      <c r="C2241" t="s">
        <v>557</v>
      </c>
      <c r="D2241" s="452">
        <v>45962</v>
      </c>
      <c r="E2241">
        <v>20614</v>
      </c>
      <c r="F2241" t="s">
        <v>4958</v>
      </c>
      <c r="G2241">
        <v>2119</v>
      </c>
      <c r="H2241">
        <v>3</v>
      </c>
      <c r="I2241" t="s">
        <v>4736</v>
      </c>
      <c r="J2241" t="s">
        <v>5191</v>
      </c>
      <c r="K2241" t="s">
        <v>751</v>
      </c>
      <c r="L2241">
        <v>0</v>
      </c>
      <c r="M2241" s="452">
        <v>45852</v>
      </c>
      <c r="N2241">
        <v>29.9</v>
      </c>
      <c r="O2241">
        <v>31.95</v>
      </c>
      <c r="P2241">
        <v>89.7</v>
      </c>
    </row>
    <row r="2242" spans="1:16" x14ac:dyDescent="0.3">
      <c r="A2242">
        <v>56921</v>
      </c>
      <c r="B2242">
        <v>105</v>
      </c>
      <c r="C2242" t="s">
        <v>557</v>
      </c>
      <c r="D2242" s="452">
        <v>45962</v>
      </c>
      <c r="E2242">
        <v>19787</v>
      </c>
      <c r="F2242" t="s">
        <v>4793</v>
      </c>
      <c r="G2242">
        <v>2471</v>
      </c>
      <c r="H2242">
        <v>18.25</v>
      </c>
      <c r="I2242" t="s">
        <v>4744</v>
      </c>
      <c r="J2242" t="s">
        <v>5191</v>
      </c>
      <c r="K2242" t="s">
        <v>751</v>
      </c>
      <c r="L2242">
        <v>4.8499999999999996</v>
      </c>
      <c r="M2242" s="452">
        <v>45954</v>
      </c>
      <c r="N2242">
        <v>4.75</v>
      </c>
      <c r="O2242">
        <v>4.71</v>
      </c>
      <c r="P2242">
        <v>88.51</v>
      </c>
    </row>
    <row r="2243" spans="1:16" x14ac:dyDescent="0.3">
      <c r="A2243">
        <v>57023</v>
      </c>
      <c r="B2243">
        <v>105</v>
      </c>
      <c r="C2243" t="s">
        <v>557</v>
      </c>
      <c r="D2243" s="452">
        <v>45962</v>
      </c>
      <c r="E2243">
        <v>20301</v>
      </c>
      <c r="F2243" t="s">
        <v>4944</v>
      </c>
      <c r="G2243">
        <v>2223</v>
      </c>
      <c r="H2243">
        <v>4</v>
      </c>
      <c r="I2243" t="s">
        <v>4738</v>
      </c>
      <c r="J2243" t="s">
        <v>5191</v>
      </c>
      <c r="K2243" t="s">
        <v>751</v>
      </c>
      <c r="L2243">
        <v>21.8</v>
      </c>
      <c r="M2243" s="452">
        <v>45957</v>
      </c>
      <c r="N2243">
        <v>21.75</v>
      </c>
      <c r="O2243">
        <v>21.7</v>
      </c>
      <c r="P2243">
        <v>87.2</v>
      </c>
    </row>
    <row r="2244" spans="1:16" x14ac:dyDescent="0.3">
      <c r="A2244">
        <v>57064</v>
      </c>
      <c r="B2244">
        <v>105</v>
      </c>
      <c r="C2244" t="s">
        <v>557</v>
      </c>
      <c r="D2244" s="452">
        <v>45962</v>
      </c>
      <c r="E2244">
        <v>18253</v>
      </c>
      <c r="F2244" t="s">
        <v>4969</v>
      </c>
      <c r="G2244">
        <v>3376</v>
      </c>
      <c r="H2244">
        <v>3</v>
      </c>
      <c r="I2244" t="s">
        <v>4805</v>
      </c>
      <c r="J2244" t="s">
        <v>5222</v>
      </c>
      <c r="K2244" t="s">
        <v>751</v>
      </c>
      <c r="L2244">
        <v>28.98</v>
      </c>
      <c r="M2244" s="452">
        <v>45932</v>
      </c>
      <c r="N2244">
        <v>28.98</v>
      </c>
      <c r="O2244">
        <v>28.9</v>
      </c>
      <c r="P2244">
        <v>86.94</v>
      </c>
    </row>
    <row r="2245" spans="1:16" x14ac:dyDescent="0.3">
      <c r="A2245">
        <v>57027</v>
      </c>
      <c r="B2245">
        <v>105</v>
      </c>
      <c r="C2245" t="s">
        <v>557</v>
      </c>
      <c r="D2245" s="452">
        <v>45962</v>
      </c>
      <c r="E2245">
        <v>24296</v>
      </c>
      <c r="F2245" t="s">
        <v>5441</v>
      </c>
      <c r="G2245">
        <v>2250</v>
      </c>
      <c r="H2245">
        <v>4</v>
      </c>
      <c r="I2245" t="s">
        <v>4744</v>
      </c>
      <c r="J2245" t="s">
        <v>5191</v>
      </c>
      <c r="K2245" t="s">
        <v>751</v>
      </c>
      <c r="L2245">
        <v>0</v>
      </c>
      <c r="M2245" s="452">
        <v>45856</v>
      </c>
      <c r="N2245">
        <v>21.7</v>
      </c>
      <c r="O2245">
        <v>20.9</v>
      </c>
      <c r="P2245">
        <v>86.8</v>
      </c>
    </row>
    <row r="2246" spans="1:16" x14ac:dyDescent="0.3">
      <c r="A2246">
        <v>56924</v>
      </c>
      <c r="B2246">
        <v>105</v>
      </c>
      <c r="C2246" t="s">
        <v>557</v>
      </c>
      <c r="D2246" s="452">
        <v>45962</v>
      </c>
      <c r="E2246">
        <v>25747</v>
      </c>
      <c r="F2246" t="s">
        <v>4794</v>
      </c>
      <c r="G2246">
        <v>6299</v>
      </c>
      <c r="H2246">
        <v>17</v>
      </c>
      <c r="I2246" t="s">
        <v>4736</v>
      </c>
      <c r="J2246" t="s">
        <v>5191</v>
      </c>
      <c r="K2246" t="s">
        <v>751</v>
      </c>
      <c r="L2246">
        <v>0</v>
      </c>
      <c r="M2246" s="452">
        <v>45742</v>
      </c>
      <c r="N2246">
        <v>5.04</v>
      </c>
      <c r="O2246">
        <v>5.04</v>
      </c>
      <c r="P2246">
        <v>85.68</v>
      </c>
    </row>
    <row r="2247" spans="1:16" x14ac:dyDescent="0.3">
      <c r="A2247">
        <v>57195</v>
      </c>
      <c r="B2247">
        <v>105</v>
      </c>
      <c r="C2247" t="s">
        <v>557</v>
      </c>
      <c r="D2247" s="452">
        <v>45962</v>
      </c>
      <c r="E2247">
        <v>18129</v>
      </c>
      <c r="F2247" t="s">
        <v>5043</v>
      </c>
      <c r="G2247">
        <v>3486</v>
      </c>
      <c r="H2247">
        <v>0.7</v>
      </c>
      <c r="I2247" t="s">
        <v>4805</v>
      </c>
      <c r="J2247" t="s">
        <v>5222</v>
      </c>
      <c r="K2247" t="s">
        <v>751</v>
      </c>
      <c r="L2247">
        <v>0</v>
      </c>
      <c r="M2247" s="452">
        <v>45902</v>
      </c>
      <c r="N2247">
        <v>120.99</v>
      </c>
      <c r="O2247">
        <v>115.99</v>
      </c>
      <c r="P2247">
        <v>84.69</v>
      </c>
    </row>
    <row r="2248" spans="1:16" x14ac:dyDescent="0.3">
      <c r="A2248">
        <v>57025</v>
      </c>
      <c r="B2248">
        <v>105</v>
      </c>
      <c r="C2248" t="s">
        <v>557</v>
      </c>
      <c r="D2248" s="452">
        <v>45962</v>
      </c>
      <c r="E2248">
        <v>20044</v>
      </c>
      <c r="F2248" t="s">
        <v>4932</v>
      </c>
      <c r="G2248">
        <v>2329</v>
      </c>
      <c r="H2248">
        <v>4</v>
      </c>
      <c r="I2248" t="s">
        <v>4744</v>
      </c>
      <c r="J2248" t="s">
        <v>5191</v>
      </c>
      <c r="K2248" t="s">
        <v>751</v>
      </c>
      <c r="L2248">
        <v>0</v>
      </c>
      <c r="M2248" s="452">
        <v>45639</v>
      </c>
      <c r="N2248">
        <v>21</v>
      </c>
      <c r="O2248">
        <v>20.5</v>
      </c>
      <c r="P2248">
        <v>84</v>
      </c>
    </row>
    <row r="2249" spans="1:16" x14ac:dyDescent="0.3">
      <c r="A2249">
        <v>57045</v>
      </c>
      <c r="B2249">
        <v>105</v>
      </c>
      <c r="C2249" t="s">
        <v>557</v>
      </c>
      <c r="D2249" s="452">
        <v>45962</v>
      </c>
      <c r="E2249">
        <v>19353</v>
      </c>
      <c r="F2249" t="s">
        <v>4851</v>
      </c>
      <c r="G2249">
        <v>2768</v>
      </c>
      <c r="H2249">
        <v>3.4</v>
      </c>
      <c r="I2249" t="s">
        <v>4744</v>
      </c>
      <c r="J2249" t="s">
        <v>5191</v>
      </c>
      <c r="K2249" t="s">
        <v>751</v>
      </c>
      <c r="L2249">
        <v>24.6</v>
      </c>
      <c r="M2249" s="452">
        <v>45939</v>
      </c>
      <c r="N2249">
        <v>24.6</v>
      </c>
      <c r="O2249">
        <v>24.6</v>
      </c>
      <c r="P2249">
        <v>83.64</v>
      </c>
    </row>
    <row r="2250" spans="1:16" x14ac:dyDescent="0.3">
      <c r="A2250">
        <v>57076</v>
      </c>
      <c r="B2250">
        <v>105</v>
      </c>
      <c r="C2250" t="s">
        <v>557</v>
      </c>
      <c r="D2250" s="452">
        <v>45962</v>
      </c>
      <c r="E2250">
        <v>20185</v>
      </c>
      <c r="F2250" t="s">
        <v>5054</v>
      </c>
      <c r="G2250">
        <v>2259</v>
      </c>
      <c r="H2250">
        <v>2.5299999999999998</v>
      </c>
      <c r="I2250" t="s">
        <v>4744</v>
      </c>
      <c r="J2250" t="s">
        <v>5191</v>
      </c>
      <c r="K2250" t="s">
        <v>751</v>
      </c>
      <c r="L2250">
        <v>0</v>
      </c>
      <c r="M2250" s="452">
        <v>45741</v>
      </c>
      <c r="N2250">
        <v>32.9</v>
      </c>
      <c r="O2250">
        <v>25.5</v>
      </c>
      <c r="P2250">
        <v>83.24</v>
      </c>
    </row>
    <row r="2251" spans="1:16" x14ac:dyDescent="0.3">
      <c r="A2251">
        <v>56897</v>
      </c>
      <c r="B2251">
        <v>105</v>
      </c>
      <c r="C2251" t="s">
        <v>557</v>
      </c>
      <c r="D2251" s="452">
        <v>45962</v>
      </c>
      <c r="E2251">
        <v>24307</v>
      </c>
      <c r="F2251" t="s">
        <v>4755</v>
      </c>
      <c r="G2251">
        <v>3656</v>
      </c>
      <c r="H2251">
        <v>38</v>
      </c>
      <c r="I2251" t="s">
        <v>4736</v>
      </c>
      <c r="J2251" t="s">
        <v>5222</v>
      </c>
      <c r="K2251" t="s">
        <v>751</v>
      </c>
      <c r="L2251">
        <v>0</v>
      </c>
      <c r="M2251" s="452">
        <v>45540</v>
      </c>
      <c r="N2251">
        <v>2.19</v>
      </c>
      <c r="O2251">
        <v>2.19</v>
      </c>
      <c r="P2251">
        <v>83.22</v>
      </c>
    </row>
    <row r="2252" spans="1:16" x14ac:dyDescent="0.3">
      <c r="A2252">
        <v>57145</v>
      </c>
      <c r="B2252">
        <v>105</v>
      </c>
      <c r="C2252" t="s">
        <v>557</v>
      </c>
      <c r="D2252" s="452">
        <v>45962</v>
      </c>
      <c r="E2252">
        <v>20756</v>
      </c>
      <c r="F2252" t="s">
        <v>5001</v>
      </c>
      <c r="G2252">
        <v>2086</v>
      </c>
      <c r="H2252">
        <v>1</v>
      </c>
      <c r="I2252" t="s">
        <v>4736</v>
      </c>
      <c r="J2252" t="s">
        <v>5191</v>
      </c>
      <c r="K2252" t="s">
        <v>751</v>
      </c>
      <c r="L2252">
        <v>0</v>
      </c>
      <c r="M2252" s="452">
        <v>45607</v>
      </c>
      <c r="N2252">
        <v>79.2</v>
      </c>
      <c r="O2252">
        <v>78.900000000000006</v>
      </c>
      <c r="P2252">
        <v>79.2</v>
      </c>
    </row>
    <row r="2253" spans="1:16" x14ac:dyDescent="0.3">
      <c r="A2253">
        <v>56948</v>
      </c>
      <c r="B2253">
        <v>105</v>
      </c>
      <c r="C2253" t="s">
        <v>557</v>
      </c>
      <c r="D2253" s="452">
        <v>45962</v>
      </c>
      <c r="E2253">
        <v>25167</v>
      </c>
      <c r="F2253" t="s">
        <v>4758</v>
      </c>
      <c r="G2253">
        <v>5930</v>
      </c>
      <c r="H2253">
        <v>10</v>
      </c>
      <c r="I2253" t="s">
        <v>4744</v>
      </c>
      <c r="J2253" t="s">
        <v>5191</v>
      </c>
      <c r="K2253" t="s">
        <v>751</v>
      </c>
      <c r="L2253">
        <v>0</v>
      </c>
      <c r="M2253" s="452">
        <v>45833</v>
      </c>
      <c r="N2253">
        <v>7.9</v>
      </c>
      <c r="O2253">
        <v>7.9</v>
      </c>
      <c r="P2253">
        <v>79</v>
      </c>
    </row>
    <row r="2254" spans="1:16" x14ac:dyDescent="0.3">
      <c r="A2254">
        <v>57002</v>
      </c>
      <c r="B2254">
        <v>105</v>
      </c>
      <c r="C2254" t="s">
        <v>557</v>
      </c>
      <c r="D2254" s="452">
        <v>45962</v>
      </c>
      <c r="E2254">
        <v>21062</v>
      </c>
      <c r="F2254" t="s">
        <v>5442</v>
      </c>
      <c r="G2254">
        <v>1997</v>
      </c>
      <c r="H2254">
        <v>5</v>
      </c>
      <c r="I2254" t="s">
        <v>4805</v>
      </c>
      <c r="J2254" t="s">
        <v>5191</v>
      </c>
      <c r="K2254" t="s">
        <v>751</v>
      </c>
      <c r="L2254">
        <v>0</v>
      </c>
      <c r="M2254" s="452">
        <v>45887</v>
      </c>
      <c r="N2254">
        <v>15.6</v>
      </c>
      <c r="O2254">
        <v>15.8</v>
      </c>
      <c r="P2254">
        <v>78</v>
      </c>
    </row>
    <row r="2255" spans="1:16" x14ac:dyDescent="0.3">
      <c r="A2255">
        <v>57004</v>
      </c>
      <c r="B2255">
        <v>105</v>
      </c>
      <c r="C2255" t="s">
        <v>557</v>
      </c>
      <c r="D2255" s="452">
        <v>45962</v>
      </c>
      <c r="E2255">
        <v>25075</v>
      </c>
      <c r="F2255" t="s">
        <v>4790</v>
      </c>
      <c r="G2255">
        <v>5883</v>
      </c>
      <c r="H2255">
        <v>5</v>
      </c>
      <c r="I2255" t="s">
        <v>4738</v>
      </c>
      <c r="J2255" t="s">
        <v>5191</v>
      </c>
      <c r="K2255" t="s">
        <v>751</v>
      </c>
      <c r="L2255">
        <v>15.6</v>
      </c>
      <c r="M2255" s="452">
        <v>45957</v>
      </c>
      <c r="N2255">
        <v>8.9499999999999993</v>
      </c>
      <c r="O2255">
        <v>8.9499999999999993</v>
      </c>
      <c r="P2255">
        <v>78</v>
      </c>
    </row>
    <row r="2256" spans="1:16" x14ac:dyDescent="0.3">
      <c r="A2256">
        <v>56984</v>
      </c>
      <c r="B2256">
        <v>105</v>
      </c>
      <c r="C2256" t="s">
        <v>557</v>
      </c>
      <c r="D2256" s="452">
        <v>45962</v>
      </c>
      <c r="E2256">
        <v>20242</v>
      </c>
      <c r="F2256" t="s">
        <v>4824</v>
      </c>
      <c r="G2256">
        <v>2242</v>
      </c>
      <c r="H2256">
        <v>6</v>
      </c>
      <c r="I2256" t="s">
        <v>4738</v>
      </c>
      <c r="J2256" t="s">
        <v>5191</v>
      </c>
      <c r="K2256" t="s">
        <v>751</v>
      </c>
      <c r="L2256">
        <v>12.97</v>
      </c>
      <c r="M2256" s="452">
        <v>45954</v>
      </c>
      <c r="N2256">
        <v>15.44</v>
      </c>
      <c r="O2256">
        <v>14.88</v>
      </c>
      <c r="P2256">
        <v>77.819999999999993</v>
      </c>
    </row>
    <row r="2257" spans="1:16" x14ac:dyDescent="0.3">
      <c r="A2257">
        <v>57182</v>
      </c>
      <c r="B2257">
        <v>105</v>
      </c>
      <c r="C2257" t="s">
        <v>557</v>
      </c>
      <c r="D2257" s="452">
        <v>45962</v>
      </c>
      <c r="E2257">
        <v>23082</v>
      </c>
      <c r="F2257" t="s">
        <v>4904</v>
      </c>
      <c r="G2257">
        <v>2763</v>
      </c>
      <c r="H2257">
        <v>0.98</v>
      </c>
      <c r="I2257" t="s">
        <v>4744</v>
      </c>
      <c r="J2257" t="s">
        <v>5191</v>
      </c>
      <c r="K2257" t="s">
        <v>751</v>
      </c>
      <c r="L2257">
        <v>0</v>
      </c>
      <c r="M2257" s="452">
        <v>45849</v>
      </c>
      <c r="N2257">
        <v>78.900000000000006</v>
      </c>
      <c r="O2257">
        <v>78.900000000000006</v>
      </c>
      <c r="P2257">
        <v>77.319999999999993</v>
      </c>
    </row>
    <row r="2258" spans="1:16" x14ac:dyDescent="0.3">
      <c r="A2258">
        <v>56979</v>
      </c>
      <c r="B2258">
        <v>105</v>
      </c>
      <c r="C2258" t="s">
        <v>557</v>
      </c>
      <c r="D2258" s="452">
        <v>45962</v>
      </c>
      <c r="E2258">
        <v>26006</v>
      </c>
      <c r="F2258" t="s">
        <v>4941</v>
      </c>
      <c r="G2258">
        <v>6491</v>
      </c>
      <c r="H2258">
        <v>6</v>
      </c>
      <c r="I2258" t="s">
        <v>4749</v>
      </c>
      <c r="J2258" t="s">
        <v>5191</v>
      </c>
      <c r="K2258" t="s">
        <v>751</v>
      </c>
      <c r="L2258">
        <v>0</v>
      </c>
      <c r="M2258" s="452">
        <v>45922</v>
      </c>
      <c r="N2258">
        <v>12.62</v>
      </c>
      <c r="O2258">
        <v>12.62</v>
      </c>
      <c r="P2258">
        <v>75.72</v>
      </c>
    </row>
    <row r="2259" spans="1:16" x14ac:dyDescent="0.3">
      <c r="A2259">
        <v>57015</v>
      </c>
      <c r="B2259">
        <v>105</v>
      </c>
      <c r="C2259" t="s">
        <v>557</v>
      </c>
      <c r="D2259" s="452">
        <v>45962</v>
      </c>
      <c r="E2259">
        <v>20871</v>
      </c>
      <c r="F2259" t="s">
        <v>5015</v>
      </c>
      <c r="G2259">
        <v>2043</v>
      </c>
      <c r="H2259">
        <v>4.79</v>
      </c>
      <c r="I2259" t="s">
        <v>4879</v>
      </c>
      <c r="J2259" t="s">
        <v>5191</v>
      </c>
      <c r="K2259" t="s">
        <v>751</v>
      </c>
      <c r="L2259">
        <v>0</v>
      </c>
      <c r="M2259" s="452">
        <v>45916</v>
      </c>
      <c r="N2259">
        <v>15.8</v>
      </c>
      <c r="O2259">
        <v>26.5</v>
      </c>
      <c r="P2259">
        <v>75.680000000000007</v>
      </c>
    </row>
    <row r="2260" spans="1:16" x14ac:dyDescent="0.3">
      <c r="A2260">
        <v>57061</v>
      </c>
      <c r="B2260">
        <v>105</v>
      </c>
      <c r="C2260" t="s">
        <v>557</v>
      </c>
      <c r="D2260" s="452">
        <v>45962</v>
      </c>
      <c r="E2260">
        <v>23088</v>
      </c>
      <c r="F2260" t="s">
        <v>5027</v>
      </c>
      <c r="G2260">
        <v>2760</v>
      </c>
      <c r="H2260">
        <v>3</v>
      </c>
      <c r="I2260" t="s">
        <v>4736</v>
      </c>
      <c r="J2260" t="s">
        <v>5191</v>
      </c>
      <c r="K2260" t="s">
        <v>751</v>
      </c>
      <c r="L2260">
        <v>24.9</v>
      </c>
      <c r="M2260" s="452">
        <v>45931</v>
      </c>
      <c r="N2260">
        <v>24.9</v>
      </c>
      <c r="O2260">
        <v>29.8</v>
      </c>
      <c r="P2260">
        <v>74.7</v>
      </c>
    </row>
    <row r="2261" spans="1:16" x14ac:dyDescent="0.3">
      <c r="A2261">
        <v>56920</v>
      </c>
      <c r="B2261">
        <v>105</v>
      </c>
      <c r="C2261" t="s">
        <v>557</v>
      </c>
      <c r="D2261" s="452">
        <v>45962</v>
      </c>
      <c r="E2261">
        <v>19658</v>
      </c>
      <c r="F2261" t="s">
        <v>4784</v>
      </c>
      <c r="G2261">
        <v>2582</v>
      </c>
      <c r="H2261">
        <v>18.75</v>
      </c>
      <c r="I2261" t="s">
        <v>4744</v>
      </c>
      <c r="J2261" t="s">
        <v>5191</v>
      </c>
      <c r="K2261" t="s">
        <v>751</v>
      </c>
      <c r="L2261">
        <v>3.89</v>
      </c>
      <c r="M2261" s="452">
        <v>45957</v>
      </c>
      <c r="N2261">
        <v>2.75</v>
      </c>
      <c r="O2261">
        <v>2.94</v>
      </c>
      <c r="P2261">
        <v>72.94</v>
      </c>
    </row>
    <row r="2262" spans="1:16" x14ac:dyDescent="0.3">
      <c r="A2262">
        <v>56932</v>
      </c>
      <c r="B2262">
        <v>105</v>
      </c>
      <c r="C2262" t="s">
        <v>557</v>
      </c>
      <c r="D2262" s="452">
        <v>45962</v>
      </c>
      <c r="E2262">
        <v>21093</v>
      </c>
      <c r="F2262" t="s">
        <v>4855</v>
      </c>
      <c r="G2262">
        <v>1988</v>
      </c>
      <c r="H2262">
        <v>15</v>
      </c>
      <c r="I2262" t="s">
        <v>4744</v>
      </c>
      <c r="J2262" t="s">
        <v>5191</v>
      </c>
      <c r="K2262" t="s">
        <v>751</v>
      </c>
      <c r="L2262">
        <v>4.83</v>
      </c>
      <c r="M2262" s="452">
        <v>45954</v>
      </c>
      <c r="N2262">
        <v>4.78</v>
      </c>
      <c r="O2262">
        <v>4.78</v>
      </c>
      <c r="P2262">
        <v>72.45</v>
      </c>
    </row>
    <row r="2263" spans="1:16" x14ac:dyDescent="0.3">
      <c r="A2263">
        <v>57086</v>
      </c>
      <c r="B2263">
        <v>105</v>
      </c>
      <c r="C2263" t="s">
        <v>557</v>
      </c>
      <c r="D2263" s="452">
        <v>45962</v>
      </c>
      <c r="E2263">
        <v>21130</v>
      </c>
      <c r="F2263" t="s">
        <v>4998</v>
      </c>
      <c r="G2263">
        <v>1963</v>
      </c>
      <c r="H2263">
        <v>2</v>
      </c>
      <c r="I2263" t="s">
        <v>4736</v>
      </c>
      <c r="J2263" t="s">
        <v>5191</v>
      </c>
      <c r="K2263" t="s">
        <v>751</v>
      </c>
      <c r="L2263">
        <v>0</v>
      </c>
      <c r="M2263" s="452">
        <v>45811</v>
      </c>
      <c r="N2263">
        <v>35.31</v>
      </c>
      <c r="O2263">
        <v>35.450000000000003</v>
      </c>
      <c r="P2263">
        <v>70.62</v>
      </c>
    </row>
    <row r="2264" spans="1:16" x14ac:dyDescent="0.3">
      <c r="A2264">
        <v>57029</v>
      </c>
      <c r="B2264">
        <v>105</v>
      </c>
      <c r="C2264" t="s">
        <v>557</v>
      </c>
      <c r="D2264" s="452">
        <v>45962</v>
      </c>
      <c r="E2264">
        <v>19978</v>
      </c>
      <c r="F2264" t="s">
        <v>4887</v>
      </c>
      <c r="G2264">
        <v>2353</v>
      </c>
      <c r="H2264">
        <v>4</v>
      </c>
      <c r="I2264" t="s">
        <v>4888</v>
      </c>
      <c r="J2264" t="s">
        <v>5191</v>
      </c>
      <c r="K2264" t="s">
        <v>751</v>
      </c>
      <c r="L2264">
        <v>0</v>
      </c>
      <c r="M2264" s="452">
        <v>45911</v>
      </c>
      <c r="N2264">
        <v>17.3</v>
      </c>
      <c r="O2264">
        <v>18.05</v>
      </c>
      <c r="P2264">
        <v>69.2</v>
      </c>
    </row>
    <row r="2265" spans="1:16" x14ac:dyDescent="0.3">
      <c r="A2265">
        <v>57071</v>
      </c>
      <c r="B2265">
        <v>105</v>
      </c>
      <c r="C2265" t="s">
        <v>557</v>
      </c>
      <c r="D2265" s="452">
        <v>45962</v>
      </c>
      <c r="E2265">
        <v>19572</v>
      </c>
      <c r="F2265" t="s">
        <v>4989</v>
      </c>
      <c r="G2265">
        <v>2646</v>
      </c>
      <c r="H2265">
        <v>2.9</v>
      </c>
      <c r="I2265" t="s">
        <v>4744</v>
      </c>
      <c r="J2265" t="s">
        <v>5191</v>
      </c>
      <c r="K2265" t="s">
        <v>751</v>
      </c>
      <c r="L2265">
        <v>23.8</v>
      </c>
      <c r="M2265" s="452">
        <v>45953</v>
      </c>
      <c r="N2265">
        <v>25</v>
      </c>
      <c r="O2265">
        <v>22.5</v>
      </c>
      <c r="P2265">
        <v>69.02</v>
      </c>
    </row>
    <row r="2266" spans="1:16" x14ac:dyDescent="0.3">
      <c r="A2266">
        <v>57128</v>
      </c>
      <c r="B2266">
        <v>105</v>
      </c>
      <c r="C2266" t="s">
        <v>557</v>
      </c>
      <c r="D2266" s="452">
        <v>45962</v>
      </c>
      <c r="E2266">
        <v>21078</v>
      </c>
      <c r="F2266" t="s">
        <v>5162</v>
      </c>
      <c r="G2266">
        <v>1991</v>
      </c>
      <c r="H2266">
        <v>1.5</v>
      </c>
      <c r="I2266" t="s">
        <v>4749</v>
      </c>
      <c r="J2266" t="s">
        <v>5191</v>
      </c>
      <c r="K2266" t="s">
        <v>751</v>
      </c>
      <c r="L2266">
        <v>0</v>
      </c>
      <c r="M2266" s="452">
        <v>45646</v>
      </c>
      <c r="N2266">
        <v>46</v>
      </c>
      <c r="O2266">
        <v>47.86</v>
      </c>
      <c r="P2266">
        <v>69</v>
      </c>
    </row>
    <row r="2267" spans="1:16" x14ac:dyDescent="0.3">
      <c r="A2267">
        <v>56898</v>
      </c>
      <c r="B2267">
        <v>105</v>
      </c>
      <c r="C2267" t="s">
        <v>557</v>
      </c>
      <c r="D2267" s="452">
        <v>45962</v>
      </c>
      <c r="E2267">
        <v>27807</v>
      </c>
      <c r="F2267" t="s">
        <v>5443</v>
      </c>
      <c r="G2267">
        <v>7773</v>
      </c>
      <c r="H2267">
        <v>36</v>
      </c>
      <c r="I2267" t="s">
        <v>4736</v>
      </c>
      <c r="J2267" t="s">
        <v>5191</v>
      </c>
      <c r="K2267" t="s">
        <v>751</v>
      </c>
      <c r="L2267">
        <v>1.9</v>
      </c>
      <c r="M2267" s="452">
        <v>45950</v>
      </c>
      <c r="N2267">
        <v>1.9</v>
      </c>
      <c r="O2267">
        <v>1.9</v>
      </c>
      <c r="P2267">
        <v>68.400000000000006</v>
      </c>
    </row>
    <row r="2268" spans="1:16" x14ac:dyDescent="0.3">
      <c r="A2268">
        <v>56945</v>
      </c>
      <c r="B2268">
        <v>105</v>
      </c>
      <c r="C2268" t="s">
        <v>557</v>
      </c>
      <c r="D2268" s="452">
        <v>45962</v>
      </c>
      <c r="E2268">
        <v>23228</v>
      </c>
      <c r="F2268" t="s">
        <v>4782</v>
      </c>
      <c r="G2268">
        <v>2627</v>
      </c>
      <c r="H2268">
        <v>10.95</v>
      </c>
      <c r="I2268" t="s">
        <v>4744</v>
      </c>
      <c r="J2268" t="s">
        <v>5191</v>
      </c>
      <c r="K2268" t="s">
        <v>751</v>
      </c>
      <c r="L2268">
        <v>6.23</v>
      </c>
      <c r="M2268" s="452">
        <v>45957</v>
      </c>
      <c r="N2268">
        <v>6.5</v>
      </c>
      <c r="O2268">
        <v>6.5</v>
      </c>
      <c r="P2268">
        <v>68.22</v>
      </c>
    </row>
    <row r="2269" spans="1:16" x14ac:dyDescent="0.3">
      <c r="A2269">
        <v>56986</v>
      </c>
      <c r="B2269">
        <v>105</v>
      </c>
      <c r="C2269" t="s">
        <v>557</v>
      </c>
      <c r="D2269" s="452">
        <v>45962</v>
      </c>
      <c r="E2269">
        <v>24302</v>
      </c>
      <c r="F2269" t="s">
        <v>4813</v>
      </c>
      <c r="G2269">
        <v>2251</v>
      </c>
      <c r="H2269">
        <v>6</v>
      </c>
      <c r="I2269" t="s">
        <v>4744</v>
      </c>
      <c r="J2269" t="s">
        <v>5191</v>
      </c>
      <c r="K2269" t="s">
        <v>751</v>
      </c>
      <c r="L2269">
        <v>0</v>
      </c>
      <c r="M2269" s="452">
        <v>45887</v>
      </c>
      <c r="N2269">
        <v>11.19</v>
      </c>
      <c r="O2269">
        <v>10.6</v>
      </c>
      <c r="P2269">
        <v>67.14</v>
      </c>
    </row>
    <row r="2270" spans="1:16" x14ac:dyDescent="0.3">
      <c r="A2270">
        <v>57051</v>
      </c>
      <c r="B2270">
        <v>105</v>
      </c>
      <c r="C2270" t="s">
        <v>557</v>
      </c>
      <c r="D2270" s="452">
        <v>45962</v>
      </c>
      <c r="E2270">
        <v>21060</v>
      </c>
      <c r="F2270" t="s">
        <v>4946</v>
      </c>
      <c r="G2270">
        <v>1998</v>
      </c>
      <c r="H2270">
        <v>3</v>
      </c>
      <c r="I2270" t="s">
        <v>4736</v>
      </c>
      <c r="J2270" t="s">
        <v>5191</v>
      </c>
      <c r="K2270" t="s">
        <v>751</v>
      </c>
      <c r="L2270">
        <v>21.9</v>
      </c>
      <c r="M2270" s="452">
        <v>45950</v>
      </c>
      <c r="N2270">
        <v>21.9</v>
      </c>
      <c r="O2270">
        <v>21.9</v>
      </c>
      <c r="P2270">
        <v>65.7</v>
      </c>
    </row>
    <row r="2271" spans="1:16" x14ac:dyDescent="0.3">
      <c r="A2271">
        <v>57030</v>
      </c>
      <c r="B2271">
        <v>105</v>
      </c>
      <c r="C2271" t="s">
        <v>557</v>
      </c>
      <c r="D2271" s="452">
        <v>45962</v>
      </c>
      <c r="E2271">
        <v>21000</v>
      </c>
      <c r="F2271" t="s">
        <v>4818</v>
      </c>
      <c r="G2271">
        <v>2008</v>
      </c>
      <c r="H2271">
        <v>4</v>
      </c>
      <c r="I2271" t="s">
        <v>4736</v>
      </c>
      <c r="J2271" t="s">
        <v>5191</v>
      </c>
      <c r="K2271" t="s">
        <v>751</v>
      </c>
      <c r="L2271">
        <v>0</v>
      </c>
      <c r="M2271" s="452">
        <v>45887</v>
      </c>
      <c r="N2271">
        <v>16.309999999999999</v>
      </c>
      <c r="O2271">
        <v>16.309999999999999</v>
      </c>
      <c r="P2271">
        <v>65.239999999999995</v>
      </c>
    </row>
    <row r="2272" spans="1:16" x14ac:dyDescent="0.3">
      <c r="A2272">
        <v>56982</v>
      </c>
      <c r="B2272">
        <v>105</v>
      </c>
      <c r="C2272" t="s">
        <v>557</v>
      </c>
      <c r="D2272" s="452">
        <v>45962</v>
      </c>
      <c r="E2272">
        <v>20054</v>
      </c>
      <c r="F2272" t="s">
        <v>4856</v>
      </c>
      <c r="G2272">
        <v>2325</v>
      </c>
      <c r="H2272">
        <v>6</v>
      </c>
      <c r="I2272" t="s">
        <v>4736</v>
      </c>
      <c r="J2272" t="s">
        <v>5191</v>
      </c>
      <c r="K2272" t="s">
        <v>751</v>
      </c>
      <c r="L2272">
        <v>10.8</v>
      </c>
      <c r="M2272" s="452">
        <v>45954</v>
      </c>
      <c r="N2272">
        <v>10.8</v>
      </c>
      <c r="O2272">
        <v>10.8</v>
      </c>
      <c r="P2272">
        <v>64.8</v>
      </c>
    </row>
    <row r="2273" spans="1:16" x14ac:dyDescent="0.3">
      <c r="A2273">
        <v>57186</v>
      </c>
      <c r="B2273">
        <v>105</v>
      </c>
      <c r="C2273" t="s">
        <v>557</v>
      </c>
      <c r="D2273" s="452">
        <v>45962</v>
      </c>
      <c r="E2273">
        <v>24040</v>
      </c>
      <c r="F2273" t="s">
        <v>5002</v>
      </c>
      <c r="G2273">
        <v>2261</v>
      </c>
      <c r="H2273">
        <v>0.8</v>
      </c>
      <c r="I2273" t="s">
        <v>4744</v>
      </c>
      <c r="J2273" t="s">
        <v>5191</v>
      </c>
      <c r="K2273" t="s">
        <v>751</v>
      </c>
      <c r="L2273">
        <v>78.5</v>
      </c>
      <c r="M2273" s="452">
        <v>45940</v>
      </c>
      <c r="N2273">
        <v>78.5</v>
      </c>
      <c r="O2273">
        <v>0</v>
      </c>
      <c r="P2273">
        <v>62.8</v>
      </c>
    </row>
    <row r="2274" spans="1:16" x14ac:dyDescent="0.3">
      <c r="A2274">
        <v>57084</v>
      </c>
      <c r="B2274">
        <v>105</v>
      </c>
      <c r="C2274" t="s">
        <v>557</v>
      </c>
      <c r="D2274" s="452">
        <v>45962</v>
      </c>
      <c r="E2274">
        <v>20207</v>
      </c>
      <c r="F2274" t="s">
        <v>4929</v>
      </c>
      <c r="G2274">
        <v>2253</v>
      </c>
      <c r="H2274">
        <v>2.1</v>
      </c>
      <c r="I2274" t="s">
        <v>4744</v>
      </c>
      <c r="J2274" t="s">
        <v>5191</v>
      </c>
      <c r="K2274" t="s">
        <v>751</v>
      </c>
      <c r="L2274">
        <v>0</v>
      </c>
      <c r="M2274" s="452">
        <v>45895</v>
      </c>
      <c r="N2274">
        <v>29.9</v>
      </c>
      <c r="O2274">
        <v>29.9</v>
      </c>
      <c r="P2274">
        <v>62.79</v>
      </c>
    </row>
    <row r="2275" spans="1:16" x14ac:dyDescent="0.3">
      <c r="A2275">
        <v>57083</v>
      </c>
      <c r="B2275">
        <v>105</v>
      </c>
      <c r="C2275" t="s">
        <v>557</v>
      </c>
      <c r="D2275" s="452">
        <v>45962</v>
      </c>
      <c r="E2275">
        <v>23785</v>
      </c>
      <c r="F2275" t="s">
        <v>4858</v>
      </c>
      <c r="G2275">
        <v>2114</v>
      </c>
      <c r="H2275">
        <v>2.1</v>
      </c>
      <c r="I2275" t="s">
        <v>4744</v>
      </c>
      <c r="J2275" t="s">
        <v>5191</v>
      </c>
      <c r="K2275" t="s">
        <v>751</v>
      </c>
      <c r="L2275">
        <v>29.66</v>
      </c>
      <c r="M2275" s="452">
        <v>45950</v>
      </c>
      <c r="N2275">
        <v>32</v>
      </c>
      <c r="O2275">
        <v>32</v>
      </c>
      <c r="P2275">
        <v>62.29</v>
      </c>
    </row>
    <row r="2276" spans="1:16" x14ac:dyDescent="0.3">
      <c r="A2276">
        <v>57094</v>
      </c>
      <c r="B2276">
        <v>105</v>
      </c>
      <c r="C2276" t="s">
        <v>557</v>
      </c>
      <c r="D2276" s="452">
        <v>45962</v>
      </c>
      <c r="E2276">
        <v>20672</v>
      </c>
      <c r="F2276" t="s">
        <v>4857</v>
      </c>
      <c r="G2276">
        <v>2107</v>
      </c>
      <c r="H2276">
        <v>2</v>
      </c>
      <c r="I2276" t="s">
        <v>4738</v>
      </c>
      <c r="J2276" t="s">
        <v>5191</v>
      </c>
      <c r="K2276" t="s">
        <v>751</v>
      </c>
      <c r="L2276">
        <v>0</v>
      </c>
      <c r="M2276" s="452">
        <v>45926</v>
      </c>
      <c r="N2276">
        <v>30.93</v>
      </c>
      <c r="O2276">
        <v>30.87</v>
      </c>
      <c r="P2276">
        <v>61.86</v>
      </c>
    </row>
    <row r="2277" spans="1:16" x14ac:dyDescent="0.3">
      <c r="A2277">
        <v>57074</v>
      </c>
      <c r="B2277">
        <v>105</v>
      </c>
      <c r="C2277" t="s">
        <v>557</v>
      </c>
      <c r="D2277" s="452">
        <v>45962</v>
      </c>
      <c r="E2277">
        <v>19555</v>
      </c>
      <c r="F2277" t="s">
        <v>4903</v>
      </c>
      <c r="G2277">
        <v>2662</v>
      </c>
      <c r="H2277">
        <v>2.72</v>
      </c>
      <c r="I2277" t="s">
        <v>4744</v>
      </c>
      <c r="J2277" t="s">
        <v>5191</v>
      </c>
      <c r="K2277" t="s">
        <v>751</v>
      </c>
      <c r="L2277">
        <v>22.24</v>
      </c>
      <c r="M2277" s="452">
        <v>45946</v>
      </c>
      <c r="N2277">
        <v>0</v>
      </c>
      <c r="O2277">
        <v>25</v>
      </c>
      <c r="P2277">
        <v>60.49</v>
      </c>
    </row>
    <row r="2278" spans="1:16" x14ac:dyDescent="0.3">
      <c r="A2278">
        <v>57090</v>
      </c>
      <c r="B2278">
        <v>105</v>
      </c>
      <c r="C2278" t="s">
        <v>557</v>
      </c>
      <c r="D2278" s="452">
        <v>45962</v>
      </c>
      <c r="E2278">
        <v>24638</v>
      </c>
      <c r="F2278" t="s">
        <v>4948</v>
      </c>
      <c r="G2278">
        <v>5690</v>
      </c>
      <c r="H2278">
        <v>2</v>
      </c>
      <c r="I2278" t="s">
        <v>4749</v>
      </c>
      <c r="J2278" t="s">
        <v>5191</v>
      </c>
      <c r="K2278" t="s">
        <v>751</v>
      </c>
      <c r="L2278">
        <v>0</v>
      </c>
      <c r="M2278" s="452">
        <v>45915</v>
      </c>
      <c r="N2278">
        <v>29.99</v>
      </c>
      <c r="O2278">
        <v>29.8</v>
      </c>
      <c r="P2278">
        <v>59.98</v>
      </c>
    </row>
    <row r="2279" spans="1:16" x14ac:dyDescent="0.3">
      <c r="A2279">
        <v>57047</v>
      </c>
      <c r="B2279">
        <v>105</v>
      </c>
      <c r="C2279" t="s">
        <v>557</v>
      </c>
      <c r="D2279" s="452">
        <v>45962</v>
      </c>
      <c r="E2279">
        <v>18992</v>
      </c>
      <c r="F2279" t="s">
        <v>4869</v>
      </c>
      <c r="G2279">
        <v>2900</v>
      </c>
      <c r="H2279">
        <v>3.25</v>
      </c>
      <c r="I2279" t="s">
        <v>4744</v>
      </c>
      <c r="J2279" t="s">
        <v>5191</v>
      </c>
      <c r="K2279" t="s">
        <v>751</v>
      </c>
      <c r="L2279">
        <v>0</v>
      </c>
      <c r="M2279" s="452">
        <v>45922</v>
      </c>
      <c r="N2279">
        <v>18.39</v>
      </c>
      <c r="O2279">
        <v>18.39</v>
      </c>
      <c r="P2279">
        <v>59.77</v>
      </c>
    </row>
    <row r="2280" spans="1:16" x14ac:dyDescent="0.3">
      <c r="A2280">
        <v>57187</v>
      </c>
      <c r="B2280">
        <v>105</v>
      </c>
      <c r="C2280" t="s">
        <v>557</v>
      </c>
      <c r="D2280" s="452">
        <v>45962</v>
      </c>
      <c r="E2280">
        <v>25358</v>
      </c>
      <c r="F2280" t="s">
        <v>4980</v>
      </c>
      <c r="G2280">
        <v>6047</v>
      </c>
      <c r="H2280">
        <v>0.8</v>
      </c>
      <c r="I2280" t="s">
        <v>4744</v>
      </c>
      <c r="J2280" t="s">
        <v>5191</v>
      </c>
      <c r="K2280" t="s">
        <v>751</v>
      </c>
      <c r="L2280">
        <v>73.23</v>
      </c>
      <c r="M2280" s="452">
        <v>45950</v>
      </c>
      <c r="N2280">
        <v>71.900000000000006</v>
      </c>
      <c r="O2280">
        <v>71.900000000000006</v>
      </c>
      <c r="P2280">
        <v>58.58</v>
      </c>
    </row>
    <row r="2281" spans="1:16" x14ac:dyDescent="0.3">
      <c r="A2281">
        <v>57137</v>
      </c>
      <c r="B2281">
        <v>105</v>
      </c>
      <c r="C2281" t="s">
        <v>557</v>
      </c>
      <c r="D2281" s="452">
        <v>45962</v>
      </c>
      <c r="E2281">
        <v>20117</v>
      </c>
      <c r="F2281" t="s">
        <v>5444</v>
      </c>
      <c r="G2281">
        <v>2291</v>
      </c>
      <c r="H2281">
        <v>1.1499999999999999</v>
      </c>
      <c r="I2281" t="s">
        <v>4736</v>
      </c>
      <c r="J2281" t="s">
        <v>5191</v>
      </c>
      <c r="K2281" t="s">
        <v>751</v>
      </c>
      <c r="L2281">
        <v>0</v>
      </c>
      <c r="N2281">
        <v>0</v>
      </c>
      <c r="O2281">
        <v>37.700000000000003</v>
      </c>
      <c r="P2281">
        <v>57.38</v>
      </c>
    </row>
    <row r="2282" spans="1:16" x14ac:dyDescent="0.3">
      <c r="A2282">
        <v>57070</v>
      </c>
      <c r="B2282">
        <v>105</v>
      </c>
      <c r="C2282" t="s">
        <v>557</v>
      </c>
      <c r="D2282" s="452">
        <v>45962</v>
      </c>
      <c r="E2282">
        <v>23335</v>
      </c>
      <c r="F2282" t="s">
        <v>4961</v>
      </c>
      <c r="G2282">
        <v>2523</v>
      </c>
      <c r="H2282">
        <v>2.9</v>
      </c>
      <c r="I2282" t="s">
        <v>4744</v>
      </c>
      <c r="J2282" t="s">
        <v>5191</v>
      </c>
      <c r="K2282" t="s">
        <v>751</v>
      </c>
      <c r="L2282">
        <v>19.59</v>
      </c>
      <c r="M2282" s="452">
        <v>45953</v>
      </c>
      <c r="N2282">
        <v>23.93</v>
      </c>
      <c r="O2282">
        <v>21.25</v>
      </c>
      <c r="P2282">
        <v>56.81</v>
      </c>
    </row>
    <row r="2283" spans="1:16" x14ac:dyDescent="0.3">
      <c r="A2283">
        <v>57164</v>
      </c>
      <c r="B2283">
        <v>105</v>
      </c>
      <c r="C2283" t="s">
        <v>557</v>
      </c>
      <c r="D2283" s="452">
        <v>45962</v>
      </c>
      <c r="E2283">
        <v>18339</v>
      </c>
      <c r="F2283" t="s">
        <v>5033</v>
      </c>
      <c r="G2283">
        <v>3296</v>
      </c>
      <c r="H2283">
        <v>1</v>
      </c>
      <c r="I2283" t="s">
        <v>4805</v>
      </c>
      <c r="J2283" t="s">
        <v>5222</v>
      </c>
      <c r="K2283" t="s">
        <v>751</v>
      </c>
      <c r="L2283">
        <v>0</v>
      </c>
      <c r="N2283">
        <v>0</v>
      </c>
      <c r="O2283">
        <v>56.38</v>
      </c>
      <c r="P2283">
        <v>56.53</v>
      </c>
    </row>
    <row r="2284" spans="1:16" x14ac:dyDescent="0.3">
      <c r="A2284">
        <v>57088</v>
      </c>
      <c r="B2284">
        <v>105</v>
      </c>
      <c r="C2284" t="s">
        <v>557</v>
      </c>
      <c r="D2284" s="452">
        <v>45962</v>
      </c>
      <c r="E2284">
        <v>23656</v>
      </c>
      <c r="F2284" t="s">
        <v>4945</v>
      </c>
      <c r="G2284">
        <v>2228</v>
      </c>
      <c r="H2284">
        <v>2</v>
      </c>
      <c r="I2284" t="s">
        <v>4744</v>
      </c>
      <c r="J2284" t="s">
        <v>5191</v>
      </c>
      <c r="K2284" t="s">
        <v>751</v>
      </c>
      <c r="L2284">
        <v>0</v>
      </c>
      <c r="M2284" s="452">
        <v>45873</v>
      </c>
      <c r="N2284">
        <v>28</v>
      </c>
      <c r="O2284">
        <v>27.3</v>
      </c>
      <c r="P2284">
        <v>56</v>
      </c>
    </row>
    <row r="2285" spans="1:16" x14ac:dyDescent="0.3">
      <c r="A2285">
        <v>56985</v>
      </c>
      <c r="B2285">
        <v>105</v>
      </c>
      <c r="C2285" t="s">
        <v>557</v>
      </c>
      <c r="D2285" s="452">
        <v>45962</v>
      </c>
      <c r="E2285">
        <v>20227</v>
      </c>
      <c r="F2285" t="s">
        <v>4825</v>
      </c>
      <c r="G2285">
        <v>2248</v>
      </c>
      <c r="H2285">
        <v>6</v>
      </c>
      <c r="I2285" t="s">
        <v>4738</v>
      </c>
      <c r="J2285" t="s">
        <v>5191</v>
      </c>
      <c r="K2285" t="s">
        <v>751</v>
      </c>
      <c r="L2285">
        <v>9.2899999999999991</v>
      </c>
      <c r="M2285" s="452">
        <v>45950</v>
      </c>
      <c r="N2285">
        <v>11.1</v>
      </c>
      <c r="O2285">
        <v>11.08</v>
      </c>
      <c r="P2285">
        <v>55.74</v>
      </c>
    </row>
    <row r="2286" spans="1:16" x14ac:dyDescent="0.3">
      <c r="A2286">
        <v>56968</v>
      </c>
      <c r="B2286">
        <v>105</v>
      </c>
      <c r="C2286" t="s">
        <v>557</v>
      </c>
      <c r="D2286" s="452">
        <v>45962</v>
      </c>
      <c r="E2286">
        <v>25748</v>
      </c>
      <c r="F2286" t="s">
        <v>4999</v>
      </c>
      <c r="G2286">
        <v>9068</v>
      </c>
      <c r="H2286">
        <v>7</v>
      </c>
      <c r="I2286" t="s">
        <v>4749</v>
      </c>
      <c r="J2286" t="s">
        <v>5191</v>
      </c>
      <c r="K2286" t="s">
        <v>751</v>
      </c>
      <c r="L2286">
        <v>0</v>
      </c>
      <c r="M2286" s="452">
        <v>45918</v>
      </c>
      <c r="N2286">
        <v>7.91</v>
      </c>
      <c r="O2286">
        <v>7.91</v>
      </c>
      <c r="P2286">
        <v>55.37</v>
      </c>
    </row>
    <row r="2287" spans="1:16" x14ac:dyDescent="0.3">
      <c r="A2287">
        <v>56991</v>
      </c>
      <c r="B2287">
        <v>105</v>
      </c>
      <c r="C2287" t="s">
        <v>557</v>
      </c>
      <c r="D2287" s="452">
        <v>45962</v>
      </c>
      <c r="E2287">
        <v>24099</v>
      </c>
      <c r="F2287" t="s">
        <v>4933</v>
      </c>
      <c r="G2287">
        <v>2716</v>
      </c>
      <c r="H2287">
        <v>5.4</v>
      </c>
      <c r="I2287" t="s">
        <v>4744</v>
      </c>
      <c r="J2287" t="s">
        <v>5191</v>
      </c>
      <c r="K2287" t="s">
        <v>751</v>
      </c>
      <c r="L2287">
        <v>9.98</v>
      </c>
      <c r="M2287" s="452">
        <v>45946</v>
      </c>
      <c r="N2287">
        <v>9</v>
      </c>
      <c r="O2287">
        <v>9</v>
      </c>
      <c r="P2287">
        <v>53.89</v>
      </c>
    </row>
    <row r="2288" spans="1:16" x14ac:dyDescent="0.3">
      <c r="A2288">
        <v>57200</v>
      </c>
      <c r="B2288">
        <v>105</v>
      </c>
      <c r="C2288" t="s">
        <v>557</v>
      </c>
      <c r="D2288" s="452">
        <v>45962</v>
      </c>
      <c r="E2288">
        <v>18116</v>
      </c>
      <c r="F2288" t="s">
        <v>5045</v>
      </c>
      <c r="G2288">
        <v>3496</v>
      </c>
      <c r="H2288">
        <v>0.6</v>
      </c>
      <c r="I2288" t="s">
        <v>4805</v>
      </c>
      <c r="J2288" t="s">
        <v>5222</v>
      </c>
      <c r="K2288" t="s">
        <v>751</v>
      </c>
      <c r="L2288">
        <v>0</v>
      </c>
      <c r="M2288" s="452">
        <v>45909</v>
      </c>
      <c r="N2288">
        <v>89</v>
      </c>
      <c r="O2288">
        <v>82.19</v>
      </c>
      <c r="P2288">
        <v>53.4</v>
      </c>
    </row>
    <row r="2289" spans="1:16" x14ac:dyDescent="0.3">
      <c r="A2289">
        <v>57017</v>
      </c>
      <c r="B2289">
        <v>105</v>
      </c>
      <c r="C2289" t="s">
        <v>557</v>
      </c>
      <c r="D2289" s="452">
        <v>45962</v>
      </c>
      <c r="E2289">
        <v>23238</v>
      </c>
      <c r="F2289" t="s">
        <v>4934</v>
      </c>
      <c r="G2289">
        <v>2618</v>
      </c>
      <c r="H2289">
        <v>4.6500000000000004</v>
      </c>
      <c r="I2289" t="s">
        <v>4744</v>
      </c>
      <c r="J2289" t="s">
        <v>5191</v>
      </c>
      <c r="K2289" t="s">
        <v>751</v>
      </c>
      <c r="L2289">
        <v>11.4</v>
      </c>
      <c r="M2289" s="452">
        <v>45957</v>
      </c>
      <c r="N2289">
        <v>10.41</v>
      </c>
      <c r="O2289">
        <v>10.41</v>
      </c>
      <c r="P2289">
        <v>53.01</v>
      </c>
    </row>
    <row r="2290" spans="1:16" x14ac:dyDescent="0.3">
      <c r="A2290">
        <v>57000</v>
      </c>
      <c r="B2290">
        <v>105</v>
      </c>
      <c r="C2290" t="s">
        <v>557</v>
      </c>
      <c r="D2290" s="452">
        <v>45962</v>
      </c>
      <c r="E2290">
        <v>27757</v>
      </c>
      <c r="F2290" t="s">
        <v>4942</v>
      </c>
      <c r="G2290">
        <v>9067</v>
      </c>
      <c r="H2290">
        <v>5</v>
      </c>
      <c r="I2290" t="s">
        <v>4749</v>
      </c>
      <c r="J2290" t="s">
        <v>5191</v>
      </c>
      <c r="K2290" t="s">
        <v>751</v>
      </c>
      <c r="L2290">
        <v>0</v>
      </c>
      <c r="N2290">
        <v>0</v>
      </c>
      <c r="O2290">
        <v>0</v>
      </c>
      <c r="P2290">
        <v>52.95</v>
      </c>
    </row>
    <row r="2291" spans="1:16" x14ac:dyDescent="0.3">
      <c r="A2291">
        <v>57105</v>
      </c>
      <c r="B2291">
        <v>105</v>
      </c>
      <c r="C2291" t="s">
        <v>557</v>
      </c>
      <c r="D2291" s="452">
        <v>45962</v>
      </c>
      <c r="E2291">
        <v>23365</v>
      </c>
      <c r="F2291" t="s">
        <v>5108</v>
      </c>
      <c r="G2291">
        <v>2493</v>
      </c>
      <c r="H2291">
        <v>2</v>
      </c>
      <c r="I2291" t="s">
        <v>4744</v>
      </c>
      <c r="J2291" t="s">
        <v>5191</v>
      </c>
      <c r="K2291" t="s">
        <v>751</v>
      </c>
      <c r="L2291">
        <v>25.72</v>
      </c>
      <c r="M2291" s="452">
        <v>45953</v>
      </c>
      <c r="N2291">
        <v>26.25</v>
      </c>
      <c r="O2291">
        <v>32</v>
      </c>
      <c r="P2291">
        <v>51.44</v>
      </c>
    </row>
    <row r="2292" spans="1:16" x14ac:dyDescent="0.3">
      <c r="A2292">
        <v>57042</v>
      </c>
      <c r="B2292">
        <v>105</v>
      </c>
      <c r="C2292" t="s">
        <v>557</v>
      </c>
      <c r="D2292" s="452">
        <v>45962</v>
      </c>
      <c r="E2292">
        <v>24403</v>
      </c>
      <c r="F2292" t="s">
        <v>5149</v>
      </c>
      <c r="G2292">
        <v>3049</v>
      </c>
      <c r="H2292">
        <v>3.6</v>
      </c>
      <c r="I2292" t="s">
        <v>4744</v>
      </c>
      <c r="J2292" t="s">
        <v>5191</v>
      </c>
      <c r="K2292" t="s">
        <v>751</v>
      </c>
      <c r="L2292">
        <v>0</v>
      </c>
      <c r="M2292" s="452">
        <v>45926</v>
      </c>
      <c r="N2292">
        <v>13.9</v>
      </c>
      <c r="O2292">
        <v>12</v>
      </c>
      <c r="P2292">
        <v>50.04</v>
      </c>
    </row>
    <row r="2293" spans="1:16" x14ac:dyDescent="0.3">
      <c r="A2293">
        <v>57151</v>
      </c>
      <c r="B2293">
        <v>105</v>
      </c>
      <c r="C2293" t="s">
        <v>557</v>
      </c>
      <c r="D2293" s="452">
        <v>45962</v>
      </c>
      <c r="E2293">
        <v>20007</v>
      </c>
      <c r="F2293" t="s">
        <v>5101</v>
      </c>
      <c r="G2293">
        <v>2343</v>
      </c>
      <c r="H2293">
        <v>1</v>
      </c>
      <c r="I2293" t="s">
        <v>4884</v>
      </c>
      <c r="J2293" t="s">
        <v>5191</v>
      </c>
      <c r="K2293" t="s">
        <v>751</v>
      </c>
      <c r="L2293">
        <v>48.89</v>
      </c>
      <c r="M2293" s="452">
        <v>45954</v>
      </c>
      <c r="N2293">
        <v>48.89</v>
      </c>
      <c r="O2293">
        <v>48.9</v>
      </c>
      <c r="P2293">
        <v>48.89</v>
      </c>
    </row>
    <row r="2294" spans="1:16" x14ac:dyDescent="0.3">
      <c r="A2294">
        <v>57003</v>
      </c>
      <c r="B2294">
        <v>105</v>
      </c>
      <c r="C2294" t="s">
        <v>557</v>
      </c>
      <c r="D2294" s="452">
        <v>45962</v>
      </c>
      <c r="E2294">
        <v>20322</v>
      </c>
      <c r="F2294" t="s">
        <v>4882</v>
      </c>
      <c r="G2294">
        <v>2212</v>
      </c>
      <c r="H2294">
        <v>5</v>
      </c>
      <c r="I2294" t="s">
        <v>4738</v>
      </c>
      <c r="J2294" t="s">
        <v>5191</v>
      </c>
      <c r="K2294" t="s">
        <v>751</v>
      </c>
      <c r="L2294">
        <v>9.74</v>
      </c>
      <c r="M2294" s="452">
        <v>45954</v>
      </c>
      <c r="N2294">
        <v>9.74</v>
      </c>
      <c r="O2294">
        <v>9.74</v>
      </c>
      <c r="P2294">
        <v>48.7</v>
      </c>
    </row>
    <row r="2295" spans="1:16" x14ac:dyDescent="0.3">
      <c r="A2295">
        <v>57179</v>
      </c>
      <c r="B2295">
        <v>105</v>
      </c>
      <c r="C2295" t="s">
        <v>557</v>
      </c>
      <c r="D2295" s="452">
        <v>45962</v>
      </c>
      <c r="E2295">
        <v>18073</v>
      </c>
      <c r="F2295" t="s">
        <v>4974</v>
      </c>
      <c r="G2295">
        <v>3536</v>
      </c>
      <c r="H2295">
        <v>1</v>
      </c>
      <c r="I2295" t="s">
        <v>4805</v>
      </c>
      <c r="J2295" t="s">
        <v>5222</v>
      </c>
      <c r="K2295" t="s">
        <v>751</v>
      </c>
      <c r="L2295">
        <v>0</v>
      </c>
      <c r="M2295" s="452">
        <v>45924</v>
      </c>
      <c r="N2295">
        <v>48.5</v>
      </c>
      <c r="O2295">
        <v>47.6</v>
      </c>
      <c r="P2295">
        <v>48.5</v>
      </c>
    </row>
    <row r="2296" spans="1:16" x14ac:dyDescent="0.3">
      <c r="A2296">
        <v>56952</v>
      </c>
      <c r="B2296">
        <v>105</v>
      </c>
      <c r="C2296" t="s">
        <v>557</v>
      </c>
      <c r="D2296" s="452">
        <v>45962</v>
      </c>
      <c r="E2296">
        <v>19505</v>
      </c>
      <c r="F2296" t="s">
        <v>4872</v>
      </c>
      <c r="G2296">
        <v>2706</v>
      </c>
      <c r="H2296">
        <v>9.73</v>
      </c>
      <c r="I2296" t="s">
        <v>4744</v>
      </c>
      <c r="J2296" t="s">
        <v>5191</v>
      </c>
      <c r="K2296" t="s">
        <v>751</v>
      </c>
      <c r="L2296">
        <v>4.91</v>
      </c>
      <c r="M2296" s="452">
        <v>45957</v>
      </c>
      <c r="N2296">
        <v>4.8</v>
      </c>
      <c r="O2296">
        <v>4.5</v>
      </c>
      <c r="P2296">
        <v>47.77</v>
      </c>
    </row>
    <row r="2297" spans="1:16" x14ac:dyDescent="0.3">
      <c r="A2297">
        <v>57152</v>
      </c>
      <c r="B2297">
        <v>105</v>
      </c>
      <c r="C2297" t="s">
        <v>557</v>
      </c>
      <c r="D2297" s="452">
        <v>45962</v>
      </c>
      <c r="E2297">
        <v>19967</v>
      </c>
      <c r="F2297" t="s">
        <v>4956</v>
      </c>
      <c r="G2297">
        <v>2356</v>
      </c>
      <c r="H2297">
        <v>1</v>
      </c>
      <c r="I2297" t="s">
        <v>4888</v>
      </c>
      <c r="J2297" t="s">
        <v>5191</v>
      </c>
      <c r="K2297" t="s">
        <v>751</v>
      </c>
      <c r="L2297">
        <v>0</v>
      </c>
      <c r="M2297" s="452">
        <v>45926</v>
      </c>
      <c r="N2297">
        <v>47.62</v>
      </c>
      <c r="O2297">
        <v>47.14</v>
      </c>
      <c r="P2297">
        <v>47.62</v>
      </c>
    </row>
    <row r="2298" spans="1:16" x14ac:dyDescent="0.3">
      <c r="A2298">
        <v>57178</v>
      </c>
      <c r="B2298">
        <v>105</v>
      </c>
      <c r="C2298" t="s">
        <v>557</v>
      </c>
      <c r="D2298" s="452">
        <v>45962</v>
      </c>
      <c r="E2298">
        <v>18085</v>
      </c>
      <c r="F2298" t="s">
        <v>4973</v>
      </c>
      <c r="G2298">
        <v>3524</v>
      </c>
      <c r="H2298">
        <v>1</v>
      </c>
      <c r="I2298" t="s">
        <v>4805</v>
      </c>
      <c r="J2298" t="s">
        <v>5222</v>
      </c>
      <c r="K2298" t="s">
        <v>751</v>
      </c>
      <c r="L2298">
        <v>0</v>
      </c>
      <c r="M2298" s="452">
        <v>45875</v>
      </c>
      <c r="N2298">
        <v>47.6</v>
      </c>
      <c r="O2298">
        <v>47.6</v>
      </c>
      <c r="P2298">
        <v>47.6</v>
      </c>
    </row>
    <row r="2299" spans="1:16" x14ac:dyDescent="0.3">
      <c r="A2299">
        <v>57180</v>
      </c>
      <c r="B2299">
        <v>105</v>
      </c>
      <c r="C2299" t="s">
        <v>557</v>
      </c>
      <c r="D2299" s="452">
        <v>45962</v>
      </c>
      <c r="E2299">
        <v>26210</v>
      </c>
      <c r="F2299" t="s">
        <v>4975</v>
      </c>
      <c r="G2299">
        <v>6624</v>
      </c>
      <c r="H2299">
        <v>1</v>
      </c>
      <c r="I2299" t="s">
        <v>4805</v>
      </c>
      <c r="J2299" t="s">
        <v>5222</v>
      </c>
      <c r="K2299" t="s">
        <v>751</v>
      </c>
      <c r="L2299">
        <v>47.6</v>
      </c>
      <c r="M2299" s="452">
        <v>45931</v>
      </c>
      <c r="N2299">
        <v>47.6</v>
      </c>
      <c r="O2299">
        <v>47.6</v>
      </c>
      <c r="P2299">
        <v>47.6</v>
      </c>
    </row>
    <row r="2300" spans="1:16" x14ac:dyDescent="0.3">
      <c r="A2300">
        <v>57119</v>
      </c>
      <c r="B2300">
        <v>105</v>
      </c>
      <c r="C2300" t="s">
        <v>557</v>
      </c>
      <c r="D2300" s="452">
        <v>45962</v>
      </c>
      <c r="E2300">
        <v>23385</v>
      </c>
      <c r="F2300" t="s">
        <v>4938</v>
      </c>
      <c r="G2300">
        <v>2479</v>
      </c>
      <c r="H2300">
        <v>1.9</v>
      </c>
      <c r="I2300" t="s">
        <v>4744</v>
      </c>
      <c r="J2300" t="s">
        <v>5191</v>
      </c>
      <c r="K2300" t="s">
        <v>751</v>
      </c>
      <c r="L2300">
        <v>24.79</v>
      </c>
      <c r="M2300" s="452">
        <v>45953</v>
      </c>
      <c r="N2300">
        <v>23.75</v>
      </c>
      <c r="O2300">
        <v>23.76</v>
      </c>
      <c r="P2300">
        <v>47.1</v>
      </c>
    </row>
    <row r="2301" spans="1:16" x14ac:dyDescent="0.3">
      <c r="A2301">
        <v>56993</v>
      </c>
      <c r="B2301">
        <v>105</v>
      </c>
      <c r="C2301" t="s">
        <v>557</v>
      </c>
      <c r="D2301" s="452">
        <v>45962</v>
      </c>
      <c r="E2301">
        <v>23635</v>
      </c>
      <c r="F2301" t="s">
        <v>4837</v>
      </c>
      <c r="G2301">
        <v>2247</v>
      </c>
      <c r="H2301">
        <v>5.3</v>
      </c>
      <c r="I2301" t="s">
        <v>4744</v>
      </c>
      <c r="J2301" t="s">
        <v>5191</v>
      </c>
      <c r="K2301" t="s">
        <v>751</v>
      </c>
      <c r="L2301">
        <v>0</v>
      </c>
      <c r="M2301" s="452">
        <v>45845</v>
      </c>
      <c r="N2301">
        <v>8.7100000000000009</v>
      </c>
      <c r="O2301">
        <v>5.99</v>
      </c>
      <c r="P2301">
        <v>46.16</v>
      </c>
    </row>
    <row r="2302" spans="1:16" x14ac:dyDescent="0.3">
      <c r="A2302">
        <v>57095</v>
      </c>
      <c r="B2302">
        <v>105</v>
      </c>
      <c r="C2302" t="s">
        <v>557</v>
      </c>
      <c r="D2302" s="452">
        <v>45962</v>
      </c>
      <c r="E2302">
        <v>20653</v>
      </c>
      <c r="F2302" t="s">
        <v>5013</v>
      </c>
      <c r="G2302">
        <v>2111</v>
      </c>
      <c r="H2302">
        <v>2</v>
      </c>
      <c r="I2302" t="s">
        <v>4736</v>
      </c>
      <c r="J2302" t="s">
        <v>5191</v>
      </c>
      <c r="K2302" t="s">
        <v>751</v>
      </c>
      <c r="L2302">
        <v>0</v>
      </c>
      <c r="M2302" s="452">
        <v>45926</v>
      </c>
      <c r="N2302">
        <v>22.92</v>
      </c>
      <c r="O2302">
        <v>23.17</v>
      </c>
      <c r="P2302">
        <v>45.84</v>
      </c>
    </row>
    <row r="2303" spans="1:16" x14ac:dyDescent="0.3">
      <c r="A2303">
        <v>56958</v>
      </c>
      <c r="B2303">
        <v>105</v>
      </c>
      <c r="C2303" t="s">
        <v>557</v>
      </c>
      <c r="D2303" s="452">
        <v>45962</v>
      </c>
      <c r="E2303">
        <v>23236</v>
      </c>
      <c r="F2303" t="s">
        <v>5062</v>
      </c>
      <c r="G2303">
        <v>2620</v>
      </c>
      <c r="H2303">
        <v>8.1</v>
      </c>
      <c r="I2303" t="s">
        <v>4744</v>
      </c>
      <c r="J2303" t="s">
        <v>5191</v>
      </c>
      <c r="K2303" t="s">
        <v>751</v>
      </c>
      <c r="L2303">
        <v>5.64</v>
      </c>
      <c r="M2303" s="452">
        <v>45957</v>
      </c>
      <c r="N2303">
        <v>5.8</v>
      </c>
      <c r="O2303">
        <v>4.8</v>
      </c>
      <c r="P2303">
        <v>45.68</v>
      </c>
    </row>
    <row r="2304" spans="1:16" x14ac:dyDescent="0.3">
      <c r="A2304">
        <v>57093</v>
      </c>
      <c r="B2304">
        <v>105</v>
      </c>
      <c r="C2304" t="s">
        <v>557</v>
      </c>
      <c r="D2304" s="452">
        <v>45962</v>
      </c>
      <c r="E2304">
        <v>20689</v>
      </c>
      <c r="F2304" t="s">
        <v>5007</v>
      </c>
      <c r="G2304">
        <v>2105</v>
      </c>
      <c r="H2304">
        <v>2</v>
      </c>
      <c r="I2304" t="s">
        <v>4736</v>
      </c>
      <c r="J2304" t="s">
        <v>5191</v>
      </c>
      <c r="K2304" t="s">
        <v>751</v>
      </c>
      <c r="L2304">
        <v>22.69</v>
      </c>
      <c r="M2304" s="452">
        <v>45957</v>
      </c>
      <c r="N2304">
        <v>0</v>
      </c>
      <c r="O2304">
        <v>36.9</v>
      </c>
      <c r="P2304">
        <v>45.38</v>
      </c>
    </row>
    <row r="2305" spans="1:16" x14ac:dyDescent="0.3">
      <c r="A2305">
        <v>57019</v>
      </c>
      <c r="B2305">
        <v>105</v>
      </c>
      <c r="C2305" t="s">
        <v>557</v>
      </c>
      <c r="D2305" s="452">
        <v>45962</v>
      </c>
      <c r="E2305">
        <v>19551</v>
      </c>
      <c r="F2305" t="s">
        <v>4905</v>
      </c>
      <c r="G2305">
        <v>2665</v>
      </c>
      <c r="H2305">
        <v>4.45</v>
      </c>
      <c r="I2305" t="s">
        <v>4744</v>
      </c>
      <c r="J2305" t="s">
        <v>5191</v>
      </c>
      <c r="K2305" t="s">
        <v>751</v>
      </c>
      <c r="L2305">
        <v>10.08</v>
      </c>
      <c r="M2305" s="452">
        <v>45953</v>
      </c>
      <c r="N2305">
        <v>13.05</v>
      </c>
      <c r="O2305">
        <v>13.05</v>
      </c>
      <c r="P2305">
        <v>44.86</v>
      </c>
    </row>
    <row r="2306" spans="1:16" x14ac:dyDescent="0.3">
      <c r="A2306">
        <v>57161</v>
      </c>
      <c r="B2306">
        <v>105</v>
      </c>
      <c r="C2306" t="s">
        <v>557</v>
      </c>
      <c r="D2306" s="452">
        <v>45962</v>
      </c>
      <c r="E2306">
        <v>18545</v>
      </c>
      <c r="F2306" t="s">
        <v>4864</v>
      </c>
      <c r="G2306">
        <v>3134</v>
      </c>
      <c r="H2306">
        <v>1</v>
      </c>
      <c r="I2306" t="s">
        <v>4805</v>
      </c>
      <c r="J2306" t="s">
        <v>5222</v>
      </c>
      <c r="K2306" t="s">
        <v>751</v>
      </c>
      <c r="L2306">
        <v>0</v>
      </c>
      <c r="M2306" s="452">
        <v>45915</v>
      </c>
      <c r="N2306">
        <v>44.5</v>
      </c>
      <c r="O2306">
        <v>44.5</v>
      </c>
      <c r="P2306">
        <v>44.5</v>
      </c>
    </row>
    <row r="2307" spans="1:16" x14ac:dyDescent="0.3">
      <c r="A2307">
        <v>57104</v>
      </c>
      <c r="B2307">
        <v>105</v>
      </c>
      <c r="C2307" t="s">
        <v>557</v>
      </c>
      <c r="D2307" s="452">
        <v>45962</v>
      </c>
      <c r="E2307">
        <v>24522</v>
      </c>
      <c r="F2307" t="s">
        <v>5072</v>
      </c>
      <c r="G2307">
        <v>5651</v>
      </c>
      <c r="H2307">
        <v>2</v>
      </c>
      <c r="I2307" t="s">
        <v>4744</v>
      </c>
      <c r="J2307" t="s">
        <v>5191</v>
      </c>
      <c r="K2307" t="s">
        <v>751</v>
      </c>
      <c r="L2307">
        <v>22</v>
      </c>
      <c r="M2307" s="452">
        <v>45953</v>
      </c>
      <c r="N2307">
        <v>22</v>
      </c>
      <c r="O2307">
        <v>22</v>
      </c>
      <c r="P2307">
        <v>44</v>
      </c>
    </row>
    <row r="2308" spans="1:16" x14ac:dyDescent="0.3">
      <c r="A2308">
        <v>57118</v>
      </c>
      <c r="B2308">
        <v>105</v>
      </c>
      <c r="C2308" t="s">
        <v>557</v>
      </c>
      <c r="D2308" s="452">
        <v>45962</v>
      </c>
      <c r="E2308">
        <v>21085</v>
      </c>
      <c r="F2308" t="s">
        <v>5066</v>
      </c>
      <c r="G2308">
        <v>1989</v>
      </c>
      <c r="H2308">
        <v>2</v>
      </c>
      <c r="I2308" t="s">
        <v>4749</v>
      </c>
      <c r="J2308" t="s">
        <v>5191</v>
      </c>
      <c r="K2308" t="s">
        <v>751</v>
      </c>
      <c r="L2308">
        <v>0</v>
      </c>
      <c r="M2308" s="452">
        <v>45863</v>
      </c>
      <c r="N2308">
        <v>21.92</v>
      </c>
      <c r="O2308">
        <v>19.38</v>
      </c>
      <c r="P2308">
        <v>43.84</v>
      </c>
    </row>
    <row r="2309" spans="1:16" x14ac:dyDescent="0.3">
      <c r="A2309">
        <v>57026</v>
      </c>
      <c r="B2309">
        <v>105</v>
      </c>
      <c r="C2309" t="s">
        <v>557</v>
      </c>
      <c r="D2309" s="452">
        <v>45962</v>
      </c>
      <c r="E2309">
        <v>20358</v>
      </c>
      <c r="F2309" t="s">
        <v>4911</v>
      </c>
      <c r="G2309">
        <v>2200</v>
      </c>
      <c r="H2309">
        <v>4</v>
      </c>
      <c r="I2309" t="s">
        <v>4738</v>
      </c>
      <c r="J2309" t="s">
        <v>5191</v>
      </c>
      <c r="K2309" t="s">
        <v>751</v>
      </c>
      <c r="L2309">
        <v>10.68</v>
      </c>
      <c r="M2309" s="452">
        <v>45954</v>
      </c>
      <c r="N2309">
        <v>14.3</v>
      </c>
      <c r="O2309">
        <v>14.3</v>
      </c>
      <c r="P2309">
        <v>42.72</v>
      </c>
    </row>
    <row r="2310" spans="1:16" x14ac:dyDescent="0.3">
      <c r="A2310">
        <v>56980</v>
      </c>
      <c r="B2310">
        <v>105</v>
      </c>
      <c r="C2310" t="s">
        <v>557</v>
      </c>
      <c r="D2310" s="452">
        <v>45962</v>
      </c>
      <c r="E2310">
        <v>25763</v>
      </c>
      <c r="F2310" t="s">
        <v>4943</v>
      </c>
      <c r="G2310">
        <v>6314</v>
      </c>
      <c r="H2310">
        <v>6</v>
      </c>
      <c r="I2310" t="s">
        <v>4736</v>
      </c>
      <c r="J2310" t="s">
        <v>5191</v>
      </c>
      <c r="K2310" t="s">
        <v>751</v>
      </c>
      <c r="L2310">
        <v>0</v>
      </c>
      <c r="N2310">
        <v>0</v>
      </c>
      <c r="O2310">
        <v>0</v>
      </c>
      <c r="P2310">
        <v>41.94</v>
      </c>
    </row>
    <row r="2311" spans="1:16" x14ac:dyDescent="0.3">
      <c r="A2311">
        <v>57052</v>
      </c>
      <c r="B2311">
        <v>105</v>
      </c>
      <c r="C2311" t="s">
        <v>557</v>
      </c>
      <c r="D2311" s="452">
        <v>45962</v>
      </c>
      <c r="E2311">
        <v>26020</v>
      </c>
      <c r="F2311" t="s">
        <v>5102</v>
      </c>
      <c r="G2311">
        <v>2105</v>
      </c>
      <c r="H2311">
        <v>3</v>
      </c>
      <c r="I2311" t="s">
        <v>4736</v>
      </c>
      <c r="J2311" t="s">
        <v>5191</v>
      </c>
      <c r="K2311" t="s">
        <v>751</v>
      </c>
      <c r="L2311">
        <v>13.84</v>
      </c>
      <c r="M2311" s="452">
        <v>45954</v>
      </c>
      <c r="N2311">
        <v>13.84</v>
      </c>
      <c r="O2311">
        <v>13.84</v>
      </c>
      <c r="P2311">
        <v>41.52</v>
      </c>
    </row>
    <row r="2312" spans="1:16" x14ac:dyDescent="0.3">
      <c r="A2312">
        <v>57120</v>
      </c>
      <c r="B2312">
        <v>105</v>
      </c>
      <c r="C2312" t="s">
        <v>557</v>
      </c>
      <c r="D2312" s="452">
        <v>45962</v>
      </c>
      <c r="E2312">
        <v>19652</v>
      </c>
      <c r="F2312" t="s">
        <v>4899</v>
      </c>
      <c r="G2312">
        <v>2587</v>
      </c>
      <c r="H2312">
        <v>1.7</v>
      </c>
      <c r="I2312" t="s">
        <v>4744</v>
      </c>
      <c r="J2312" t="s">
        <v>5191</v>
      </c>
      <c r="K2312" t="s">
        <v>751</v>
      </c>
      <c r="L2312">
        <v>24.32</v>
      </c>
      <c r="M2312" s="452">
        <v>45953</v>
      </c>
      <c r="N2312">
        <v>25</v>
      </c>
      <c r="O2312">
        <v>25</v>
      </c>
      <c r="P2312">
        <v>41.34</v>
      </c>
    </row>
    <row r="2313" spans="1:16" x14ac:dyDescent="0.3">
      <c r="A2313">
        <v>56981</v>
      </c>
      <c r="B2313">
        <v>105</v>
      </c>
      <c r="C2313" t="s">
        <v>557</v>
      </c>
      <c r="D2313" s="452">
        <v>45962</v>
      </c>
      <c r="E2313">
        <v>25752</v>
      </c>
      <c r="F2313" t="s">
        <v>5000</v>
      </c>
      <c r="G2313">
        <v>6303</v>
      </c>
      <c r="H2313">
        <v>6</v>
      </c>
      <c r="I2313" t="s">
        <v>4749</v>
      </c>
      <c r="J2313" t="s">
        <v>5191</v>
      </c>
      <c r="K2313" t="s">
        <v>751</v>
      </c>
      <c r="L2313">
        <v>0</v>
      </c>
      <c r="M2313" s="452">
        <v>45742</v>
      </c>
      <c r="N2313">
        <v>6.87</v>
      </c>
      <c r="O2313">
        <v>6.87</v>
      </c>
      <c r="P2313">
        <v>41.22</v>
      </c>
    </row>
    <row r="2314" spans="1:16" x14ac:dyDescent="0.3">
      <c r="A2314">
        <v>57217</v>
      </c>
      <c r="B2314">
        <v>105</v>
      </c>
      <c r="C2314" t="s">
        <v>557</v>
      </c>
      <c r="D2314" s="452">
        <v>45962</v>
      </c>
      <c r="E2314">
        <v>18232</v>
      </c>
      <c r="F2314" t="s">
        <v>4971</v>
      </c>
      <c r="G2314">
        <v>3396</v>
      </c>
      <c r="H2314">
        <v>0.4</v>
      </c>
      <c r="I2314" t="s">
        <v>4805</v>
      </c>
      <c r="J2314" t="s">
        <v>5222</v>
      </c>
      <c r="K2314" t="s">
        <v>751</v>
      </c>
      <c r="L2314">
        <v>0</v>
      </c>
      <c r="M2314" s="452">
        <v>45853</v>
      </c>
      <c r="N2314">
        <v>100.88</v>
      </c>
      <c r="O2314">
        <v>97.8</v>
      </c>
      <c r="P2314">
        <v>40.35</v>
      </c>
    </row>
    <row r="2315" spans="1:16" x14ac:dyDescent="0.3">
      <c r="A2315">
        <v>57044</v>
      </c>
      <c r="B2315">
        <v>105</v>
      </c>
      <c r="C2315" t="s">
        <v>557</v>
      </c>
      <c r="D2315" s="452">
        <v>45962</v>
      </c>
      <c r="E2315">
        <v>20295</v>
      </c>
      <c r="F2315" t="s">
        <v>4881</v>
      </c>
      <c r="G2315">
        <v>2226</v>
      </c>
      <c r="H2315">
        <v>3.49</v>
      </c>
      <c r="I2315" t="s">
        <v>4736</v>
      </c>
      <c r="J2315" t="s">
        <v>5191</v>
      </c>
      <c r="K2315" t="s">
        <v>751</v>
      </c>
      <c r="L2315">
        <v>0</v>
      </c>
      <c r="M2315" s="452">
        <v>45894</v>
      </c>
      <c r="N2315">
        <v>11.5</v>
      </c>
      <c r="O2315">
        <v>10.26</v>
      </c>
      <c r="P2315">
        <v>40.14</v>
      </c>
    </row>
    <row r="2316" spans="1:16" x14ac:dyDescent="0.3">
      <c r="A2316">
        <v>57210</v>
      </c>
      <c r="B2316">
        <v>105</v>
      </c>
      <c r="C2316" t="s">
        <v>557</v>
      </c>
      <c r="D2316" s="452">
        <v>45962</v>
      </c>
      <c r="E2316">
        <v>18220</v>
      </c>
      <c r="F2316" t="s">
        <v>5147</v>
      </c>
      <c r="G2316">
        <v>3408</v>
      </c>
      <c r="H2316">
        <v>0.5</v>
      </c>
      <c r="I2316" t="s">
        <v>4805</v>
      </c>
      <c r="J2316" t="s">
        <v>5222</v>
      </c>
      <c r="K2316" t="s">
        <v>751</v>
      </c>
      <c r="L2316">
        <v>0</v>
      </c>
      <c r="M2316" s="452">
        <v>45915</v>
      </c>
      <c r="N2316">
        <v>80</v>
      </c>
      <c r="O2316">
        <v>76.489999999999995</v>
      </c>
      <c r="P2316">
        <v>40</v>
      </c>
    </row>
    <row r="2317" spans="1:16" x14ac:dyDescent="0.3">
      <c r="A2317">
        <v>57121</v>
      </c>
      <c r="B2317">
        <v>105</v>
      </c>
      <c r="C2317" t="s">
        <v>557</v>
      </c>
      <c r="D2317" s="452">
        <v>45962</v>
      </c>
      <c r="E2317">
        <v>20219</v>
      </c>
      <c r="F2317" t="s">
        <v>5445</v>
      </c>
      <c r="G2317">
        <v>2250</v>
      </c>
      <c r="H2317">
        <v>1.66</v>
      </c>
      <c r="I2317" t="s">
        <v>4738</v>
      </c>
      <c r="J2317" t="s">
        <v>5191</v>
      </c>
      <c r="K2317" t="s">
        <v>751</v>
      </c>
      <c r="L2317">
        <v>0</v>
      </c>
      <c r="M2317" s="452">
        <v>45856</v>
      </c>
      <c r="N2317">
        <v>23.9</v>
      </c>
      <c r="O2317">
        <v>24.3</v>
      </c>
      <c r="P2317">
        <v>39.67</v>
      </c>
    </row>
    <row r="2318" spans="1:16" x14ac:dyDescent="0.3">
      <c r="A2318">
        <v>57046</v>
      </c>
      <c r="B2318">
        <v>105</v>
      </c>
      <c r="C2318" t="s">
        <v>557</v>
      </c>
      <c r="D2318" s="452">
        <v>45962</v>
      </c>
      <c r="E2318">
        <v>23184</v>
      </c>
      <c r="F2318" t="s">
        <v>4935</v>
      </c>
      <c r="G2318">
        <v>2670</v>
      </c>
      <c r="H2318">
        <v>3.31</v>
      </c>
      <c r="I2318" t="s">
        <v>4744</v>
      </c>
      <c r="J2318" t="s">
        <v>5191</v>
      </c>
      <c r="K2318" t="s">
        <v>751</v>
      </c>
      <c r="L2318">
        <v>11.88</v>
      </c>
      <c r="M2318" s="452">
        <v>45957</v>
      </c>
      <c r="N2318">
        <v>8.75</v>
      </c>
      <c r="O2318">
        <v>9.4499999999999993</v>
      </c>
      <c r="P2318">
        <v>39.32</v>
      </c>
    </row>
    <row r="2319" spans="1:16" x14ac:dyDescent="0.3">
      <c r="A2319">
        <v>57057</v>
      </c>
      <c r="B2319">
        <v>105</v>
      </c>
      <c r="C2319" t="s">
        <v>557</v>
      </c>
      <c r="D2319" s="452">
        <v>45962</v>
      </c>
      <c r="E2319">
        <v>26242</v>
      </c>
      <c r="F2319" t="s">
        <v>4957</v>
      </c>
      <c r="G2319">
        <v>6641</v>
      </c>
      <c r="H2319">
        <v>3</v>
      </c>
      <c r="I2319" t="s">
        <v>4736</v>
      </c>
      <c r="J2319" t="s">
        <v>5191</v>
      </c>
      <c r="K2319" t="s">
        <v>751</v>
      </c>
      <c r="L2319">
        <v>0</v>
      </c>
      <c r="N2319">
        <v>0</v>
      </c>
      <c r="O2319">
        <v>0</v>
      </c>
      <c r="P2319">
        <v>38.97</v>
      </c>
    </row>
    <row r="2320" spans="1:16" x14ac:dyDescent="0.3">
      <c r="A2320">
        <v>57133</v>
      </c>
      <c r="B2320">
        <v>105</v>
      </c>
      <c r="C2320" t="s">
        <v>557</v>
      </c>
      <c r="D2320" s="452">
        <v>45962</v>
      </c>
      <c r="E2320">
        <v>18450</v>
      </c>
      <c r="F2320" t="s">
        <v>4979</v>
      </c>
      <c r="G2320">
        <v>3202</v>
      </c>
      <c r="H2320">
        <v>1.27</v>
      </c>
      <c r="I2320" t="s">
        <v>4805</v>
      </c>
      <c r="J2320" t="s">
        <v>5222</v>
      </c>
      <c r="K2320" t="s">
        <v>751</v>
      </c>
      <c r="L2320">
        <v>0</v>
      </c>
      <c r="N2320">
        <v>0</v>
      </c>
      <c r="O2320">
        <v>30.45</v>
      </c>
      <c r="P2320">
        <v>38.67</v>
      </c>
    </row>
    <row r="2321" spans="1:16" x14ac:dyDescent="0.3">
      <c r="A2321">
        <v>56904</v>
      </c>
      <c r="B2321">
        <v>105</v>
      </c>
      <c r="C2321" t="s">
        <v>557</v>
      </c>
      <c r="D2321" s="452">
        <v>45962</v>
      </c>
      <c r="E2321">
        <v>24509</v>
      </c>
      <c r="F2321" t="s">
        <v>4788</v>
      </c>
      <c r="G2321">
        <v>2607</v>
      </c>
      <c r="H2321">
        <v>26.08</v>
      </c>
      <c r="I2321" t="s">
        <v>4744</v>
      </c>
      <c r="J2321" t="s">
        <v>5191</v>
      </c>
      <c r="K2321" t="s">
        <v>751</v>
      </c>
      <c r="L2321">
        <v>1.45</v>
      </c>
      <c r="M2321" s="452">
        <v>45957</v>
      </c>
      <c r="N2321">
        <v>1.6</v>
      </c>
      <c r="O2321">
        <v>1.71</v>
      </c>
      <c r="P2321">
        <v>37.82</v>
      </c>
    </row>
    <row r="2322" spans="1:16" x14ac:dyDescent="0.3">
      <c r="A2322">
        <v>57168</v>
      </c>
      <c r="B2322">
        <v>105</v>
      </c>
      <c r="C2322" t="s">
        <v>557</v>
      </c>
      <c r="D2322" s="452">
        <v>45962</v>
      </c>
      <c r="E2322">
        <v>18317</v>
      </c>
      <c r="F2322" t="s">
        <v>5056</v>
      </c>
      <c r="G2322">
        <v>3316</v>
      </c>
      <c r="H2322">
        <v>1</v>
      </c>
      <c r="I2322" t="s">
        <v>4805</v>
      </c>
      <c r="J2322" t="s">
        <v>5222</v>
      </c>
      <c r="K2322" t="s">
        <v>751</v>
      </c>
      <c r="L2322">
        <v>0</v>
      </c>
      <c r="N2322">
        <v>0</v>
      </c>
      <c r="O2322">
        <v>37.25</v>
      </c>
      <c r="P2322">
        <v>36.89</v>
      </c>
    </row>
    <row r="2323" spans="1:16" x14ac:dyDescent="0.3">
      <c r="A2323">
        <v>57171</v>
      </c>
      <c r="B2323">
        <v>105</v>
      </c>
      <c r="C2323" t="s">
        <v>557</v>
      </c>
      <c r="D2323" s="452">
        <v>45962</v>
      </c>
      <c r="E2323">
        <v>18218</v>
      </c>
      <c r="F2323" t="s">
        <v>5038</v>
      </c>
      <c r="G2323">
        <v>3410</v>
      </c>
      <c r="H2323">
        <v>1</v>
      </c>
      <c r="I2323" t="s">
        <v>4805</v>
      </c>
      <c r="J2323" t="s">
        <v>5222</v>
      </c>
      <c r="K2323" t="s">
        <v>751</v>
      </c>
      <c r="L2323">
        <v>0</v>
      </c>
      <c r="M2323" s="452">
        <v>45581</v>
      </c>
      <c r="N2323">
        <v>36.5</v>
      </c>
      <c r="O2323">
        <v>24.83</v>
      </c>
      <c r="P2323">
        <v>36.5</v>
      </c>
    </row>
    <row r="2324" spans="1:16" x14ac:dyDescent="0.3">
      <c r="A2324">
        <v>57024</v>
      </c>
      <c r="B2324">
        <v>105</v>
      </c>
      <c r="C2324" t="s">
        <v>557</v>
      </c>
      <c r="D2324" s="452">
        <v>45962</v>
      </c>
      <c r="E2324">
        <v>23819</v>
      </c>
      <c r="F2324" t="s">
        <v>4947</v>
      </c>
      <c r="G2324">
        <v>2083</v>
      </c>
      <c r="H2324">
        <v>4</v>
      </c>
      <c r="I2324" t="s">
        <v>4736</v>
      </c>
      <c r="J2324" t="s">
        <v>5191</v>
      </c>
      <c r="K2324" t="s">
        <v>751</v>
      </c>
      <c r="L2324">
        <v>9.1</v>
      </c>
      <c r="M2324" s="452">
        <v>45954</v>
      </c>
      <c r="N2324">
        <v>9.1</v>
      </c>
      <c r="O2324">
        <v>9.1</v>
      </c>
      <c r="P2324">
        <v>36.4</v>
      </c>
    </row>
    <row r="2325" spans="1:16" x14ac:dyDescent="0.3">
      <c r="A2325">
        <v>57014</v>
      </c>
      <c r="B2325">
        <v>105</v>
      </c>
      <c r="C2325" t="s">
        <v>557</v>
      </c>
      <c r="D2325" s="452">
        <v>45962</v>
      </c>
      <c r="E2325">
        <v>19502</v>
      </c>
      <c r="F2325" t="s">
        <v>4871</v>
      </c>
      <c r="G2325">
        <v>2708</v>
      </c>
      <c r="H2325">
        <v>4.92</v>
      </c>
      <c r="I2325" t="s">
        <v>4744</v>
      </c>
      <c r="J2325" t="s">
        <v>5191</v>
      </c>
      <c r="K2325" t="s">
        <v>751</v>
      </c>
      <c r="L2325">
        <v>7.22</v>
      </c>
      <c r="M2325" s="452">
        <v>45954</v>
      </c>
      <c r="N2325">
        <v>7.5</v>
      </c>
      <c r="O2325">
        <v>7</v>
      </c>
      <c r="P2325">
        <v>35.520000000000003</v>
      </c>
    </row>
    <row r="2326" spans="1:16" x14ac:dyDescent="0.3">
      <c r="A2326">
        <v>57001</v>
      </c>
      <c r="B2326">
        <v>105</v>
      </c>
      <c r="C2326" t="s">
        <v>557</v>
      </c>
      <c r="D2326" s="452">
        <v>45962</v>
      </c>
      <c r="E2326">
        <v>25761</v>
      </c>
      <c r="F2326" t="s">
        <v>4789</v>
      </c>
      <c r="G2326">
        <v>6312</v>
      </c>
      <c r="H2326">
        <v>5</v>
      </c>
      <c r="I2326" t="s">
        <v>4736</v>
      </c>
      <c r="J2326" t="s">
        <v>5191</v>
      </c>
      <c r="K2326" t="s">
        <v>751</v>
      </c>
      <c r="L2326">
        <v>0</v>
      </c>
      <c r="N2326">
        <v>0</v>
      </c>
      <c r="O2326">
        <v>0</v>
      </c>
      <c r="P2326">
        <v>34.950000000000003</v>
      </c>
    </row>
    <row r="2327" spans="1:16" x14ac:dyDescent="0.3">
      <c r="A2327">
        <v>57205</v>
      </c>
      <c r="B2327">
        <v>105</v>
      </c>
      <c r="C2327" t="s">
        <v>557</v>
      </c>
      <c r="D2327" s="452">
        <v>45962</v>
      </c>
      <c r="E2327">
        <v>20660</v>
      </c>
      <c r="F2327" t="s">
        <v>5011</v>
      </c>
      <c r="G2327">
        <v>2110</v>
      </c>
      <c r="H2327">
        <v>0.54</v>
      </c>
      <c r="I2327" t="s">
        <v>4955</v>
      </c>
      <c r="J2327" t="s">
        <v>5191</v>
      </c>
      <c r="K2327" t="s">
        <v>751</v>
      </c>
      <c r="L2327">
        <v>62.56</v>
      </c>
      <c r="M2327" s="452">
        <v>45954</v>
      </c>
      <c r="N2327">
        <v>62.55</v>
      </c>
      <c r="O2327">
        <v>62.55</v>
      </c>
      <c r="P2327">
        <v>33.78</v>
      </c>
    </row>
    <row r="2328" spans="1:16" x14ac:dyDescent="0.3">
      <c r="A2328">
        <v>57157</v>
      </c>
      <c r="B2328">
        <v>105</v>
      </c>
      <c r="C2328" t="s">
        <v>557</v>
      </c>
      <c r="D2328" s="452">
        <v>45962</v>
      </c>
      <c r="E2328">
        <v>19439</v>
      </c>
      <c r="F2328" t="s">
        <v>4917</v>
      </c>
      <c r="G2328">
        <v>2756</v>
      </c>
      <c r="H2328">
        <v>1</v>
      </c>
      <c r="I2328" t="s">
        <v>4744</v>
      </c>
      <c r="J2328" t="s">
        <v>5191</v>
      </c>
      <c r="K2328" t="s">
        <v>751</v>
      </c>
      <c r="L2328">
        <v>32.200000000000003</v>
      </c>
      <c r="M2328" s="452">
        <v>45957</v>
      </c>
      <c r="N2328">
        <v>32.200000000000003</v>
      </c>
      <c r="O2328">
        <v>32.19</v>
      </c>
      <c r="P2328">
        <v>32.200000000000003</v>
      </c>
    </row>
    <row r="2329" spans="1:16" x14ac:dyDescent="0.3">
      <c r="A2329">
        <v>57172</v>
      </c>
      <c r="B2329">
        <v>105</v>
      </c>
      <c r="C2329" t="s">
        <v>557</v>
      </c>
      <c r="D2329" s="452">
        <v>45962</v>
      </c>
      <c r="E2329">
        <v>18214</v>
      </c>
      <c r="F2329" t="s">
        <v>5039</v>
      </c>
      <c r="G2329">
        <v>3413</v>
      </c>
      <c r="H2329">
        <v>1</v>
      </c>
      <c r="I2329" t="s">
        <v>4805</v>
      </c>
      <c r="J2329" t="s">
        <v>5222</v>
      </c>
      <c r="K2329" t="s">
        <v>751</v>
      </c>
      <c r="L2329">
        <v>0</v>
      </c>
      <c r="M2329" s="452">
        <v>45378</v>
      </c>
      <c r="N2329">
        <v>32.200000000000003</v>
      </c>
      <c r="O2329">
        <v>37.47</v>
      </c>
      <c r="P2329">
        <v>32.200000000000003</v>
      </c>
    </row>
    <row r="2330" spans="1:16" x14ac:dyDescent="0.3">
      <c r="A2330">
        <v>56974</v>
      </c>
      <c r="B2330">
        <v>105</v>
      </c>
      <c r="C2330" t="s">
        <v>557</v>
      </c>
      <c r="D2330" s="452">
        <v>45962</v>
      </c>
      <c r="E2330">
        <v>20359</v>
      </c>
      <c r="F2330" t="s">
        <v>5446</v>
      </c>
      <c r="G2330">
        <v>2199</v>
      </c>
      <c r="H2330">
        <v>6.7</v>
      </c>
      <c r="I2330" t="s">
        <v>4736</v>
      </c>
      <c r="J2330" t="s">
        <v>5191</v>
      </c>
      <c r="K2330" t="s">
        <v>751</v>
      </c>
      <c r="L2330">
        <v>0</v>
      </c>
      <c r="M2330" s="452">
        <v>45846</v>
      </c>
      <c r="N2330">
        <v>4.76</v>
      </c>
      <c r="O2330">
        <v>4.8</v>
      </c>
      <c r="P2330">
        <v>31.89</v>
      </c>
    </row>
    <row r="2331" spans="1:16" x14ac:dyDescent="0.3">
      <c r="A2331">
        <v>57122</v>
      </c>
      <c r="B2331">
        <v>105</v>
      </c>
      <c r="C2331" t="s">
        <v>557</v>
      </c>
      <c r="D2331" s="452">
        <v>45962</v>
      </c>
      <c r="E2331">
        <v>25055</v>
      </c>
      <c r="F2331" t="s">
        <v>5003</v>
      </c>
      <c r="G2331">
        <v>2184</v>
      </c>
      <c r="H2331">
        <v>1.6</v>
      </c>
      <c r="I2331" t="s">
        <v>4744</v>
      </c>
      <c r="J2331" t="s">
        <v>5191</v>
      </c>
      <c r="K2331" t="s">
        <v>751</v>
      </c>
      <c r="L2331">
        <v>0</v>
      </c>
      <c r="M2331" s="452">
        <v>45887</v>
      </c>
      <c r="N2331">
        <v>19.8</v>
      </c>
      <c r="O2331">
        <v>19.8</v>
      </c>
      <c r="P2331">
        <v>31.68</v>
      </c>
    </row>
    <row r="2332" spans="1:16" x14ac:dyDescent="0.3">
      <c r="A2332">
        <v>57191</v>
      </c>
      <c r="B2332">
        <v>105</v>
      </c>
      <c r="C2332" t="s">
        <v>557</v>
      </c>
      <c r="D2332" s="452">
        <v>45962</v>
      </c>
      <c r="E2332">
        <v>18273</v>
      </c>
      <c r="F2332" t="s">
        <v>5058</v>
      </c>
      <c r="G2332">
        <v>3357</v>
      </c>
      <c r="H2332">
        <v>0.8</v>
      </c>
      <c r="I2332" t="s">
        <v>4805</v>
      </c>
      <c r="J2332" t="s">
        <v>5222</v>
      </c>
      <c r="K2332" t="s">
        <v>751</v>
      </c>
      <c r="L2332">
        <v>0</v>
      </c>
      <c r="N2332">
        <v>0</v>
      </c>
      <c r="O2332">
        <v>42.71</v>
      </c>
      <c r="P2332">
        <v>31.34</v>
      </c>
    </row>
    <row r="2333" spans="1:16" x14ac:dyDescent="0.3">
      <c r="A2333">
        <v>57148</v>
      </c>
      <c r="B2333">
        <v>105</v>
      </c>
      <c r="C2333" t="s">
        <v>557</v>
      </c>
      <c r="D2333" s="452">
        <v>45962</v>
      </c>
      <c r="E2333">
        <v>20670</v>
      </c>
      <c r="F2333" t="s">
        <v>5008</v>
      </c>
      <c r="G2333">
        <v>2107</v>
      </c>
      <c r="H2333">
        <v>1</v>
      </c>
      <c r="I2333" t="s">
        <v>4738</v>
      </c>
      <c r="J2333" t="s">
        <v>5191</v>
      </c>
      <c r="K2333" t="s">
        <v>751</v>
      </c>
      <c r="L2333">
        <v>31.03</v>
      </c>
      <c r="M2333" s="452">
        <v>45951</v>
      </c>
      <c r="N2333">
        <v>31.03</v>
      </c>
      <c r="O2333">
        <v>31.03</v>
      </c>
      <c r="P2333">
        <v>31.03</v>
      </c>
    </row>
    <row r="2334" spans="1:16" x14ac:dyDescent="0.3">
      <c r="A2334">
        <v>57232</v>
      </c>
      <c r="B2334">
        <v>105</v>
      </c>
      <c r="C2334" t="s">
        <v>557</v>
      </c>
      <c r="D2334" s="452">
        <v>45962</v>
      </c>
      <c r="E2334">
        <v>20716</v>
      </c>
      <c r="F2334" t="s">
        <v>5053</v>
      </c>
      <c r="G2334">
        <v>2098</v>
      </c>
      <c r="H2334">
        <v>0.25</v>
      </c>
      <c r="I2334" t="s">
        <v>4744</v>
      </c>
      <c r="J2334" t="s">
        <v>5191</v>
      </c>
      <c r="K2334" t="s">
        <v>751</v>
      </c>
      <c r="L2334">
        <v>0</v>
      </c>
      <c r="N2334">
        <v>0</v>
      </c>
      <c r="O2334">
        <v>0</v>
      </c>
      <c r="P2334">
        <v>29.88</v>
      </c>
    </row>
    <row r="2335" spans="1:16" x14ac:dyDescent="0.3">
      <c r="A2335">
        <v>57132</v>
      </c>
      <c r="B2335">
        <v>105</v>
      </c>
      <c r="C2335" t="s">
        <v>557</v>
      </c>
      <c r="D2335" s="452">
        <v>45962</v>
      </c>
      <c r="E2335">
        <v>23234</v>
      </c>
      <c r="F2335" t="s">
        <v>4986</v>
      </c>
      <c r="G2335">
        <v>2622</v>
      </c>
      <c r="H2335">
        <v>1.3</v>
      </c>
      <c r="I2335" t="s">
        <v>4744</v>
      </c>
      <c r="J2335" t="s">
        <v>5191</v>
      </c>
      <c r="K2335" t="s">
        <v>751</v>
      </c>
      <c r="L2335">
        <v>22.5</v>
      </c>
      <c r="M2335" s="452">
        <v>45946</v>
      </c>
      <c r="N2335">
        <v>22</v>
      </c>
      <c r="O2335">
        <v>22.5</v>
      </c>
      <c r="P2335">
        <v>29.25</v>
      </c>
    </row>
    <row r="2336" spans="1:16" x14ac:dyDescent="0.3">
      <c r="A2336">
        <v>57155</v>
      </c>
      <c r="B2336">
        <v>105</v>
      </c>
      <c r="C2336" t="s">
        <v>557</v>
      </c>
      <c r="D2336" s="452">
        <v>45962</v>
      </c>
      <c r="E2336">
        <v>20585</v>
      </c>
      <c r="F2336" t="s">
        <v>5025</v>
      </c>
      <c r="G2336">
        <v>2121</v>
      </c>
      <c r="H2336">
        <v>1</v>
      </c>
      <c r="I2336" t="s">
        <v>4736</v>
      </c>
      <c r="J2336" t="s">
        <v>5191</v>
      </c>
      <c r="K2336" t="s">
        <v>751</v>
      </c>
      <c r="L2336">
        <v>29.2</v>
      </c>
      <c r="M2336" s="452">
        <v>45954</v>
      </c>
      <c r="N2336">
        <v>29.2</v>
      </c>
      <c r="O2336">
        <v>26.2</v>
      </c>
      <c r="P2336">
        <v>29.2</v>
      </c>
    </row>
    <row r="2337" spans="1:16" x14ac:dyDescent="0.3">
      <c r="A2337">
        <v>57106</v>
      </c>
      <c r="B2337">
        <v>105</v>
      </c>
      <c r="C2337" t="s">
        <v>557</v>
      </c>
      <c r="D2337" s="452">
        <v>45962</v>
      </c>
      <c r="E2337">
        <v>19562</v>
      </c>
      <c r="F2337" t="s">
        <v>4939</v>
      </c>
      <c r="G2337">
        <v>2655</v>
      </c>
      <c r="H2337">
        <v>2</v>
      </c>
      <c r="I2337" t="s">
        <v>4744</v>
      </c>
      <c r="J2337" t="s">
        <v>5191</v>
      </c>
      <c r="K2337" t="s">
        <v>751</v>
      </c>
      <c r="L2337">
        <v>14.47</v>
      </c>
      <c r="M2337" s="452">
        <v>45952</v>
      </c>
      <c r="N2337">
        <v>13.5</v>
      </c>
      <c r="O2337">
        <v>14.8</v>
      </c>
      <c r="P2337">
        <v>28.94</v>
      </c>
    </row>
    <row r="2338" spans="1:16" x14ac:dyDescent="0.3">
      <c r="A2338">
        <v>57067</v>
      </c>
      <c r="B2338">
        <v>105</v>
      </c>
      <c r="C2338" t="s">
        <v>557</v>
      </c>
      <c r="D2338" s="452">
        <v>45962</v>
      </c>
      <c r="E2338">
        <v>17838</v>
      </c>
      <c r="F2338" t="s">
        <v>4925</v>
      </c>
      <c r="G2338">
        <v>3712</v>
      </c>
      <c r="H2338">
        <v>3</v>
      </c>
      <c r="I2338" t="s">
        <v>4749</v>
      </c>
      <c r="J2338" t="s">
        <v>5222</v>
      </c>
      <c r="K2338" t="s">
        <v>751</v>
      </c>
      <c r="L2338">
        <v>9.6199999999999992</v>
      </c>
      <c r="M2338" s="452">
        <v>45950</v>
      </c>
      <c r="N2338">
        <v>9.6199999999999992</v>
      </c>
      <c r="O2338">
        <v>9.5</v>
      </c>
      <c r="P2338">
        <v>28.86</v>
      </c>
    </row>
    <row r="2339" spans="1:16" x14ac:dyDescent="0.3">
      <c r="A2339">
        <v>57147</v>
      </c>
      <c r="B2339">
        <v>105</v>
      </c>
      <c r="C2339" t="s">
        <v>557</v>
      </c>
      <c r="D2339" s="452">
        <v>45962</v>
      </c>
      <c r="E2339">
        <v>23534</v>
      </c>
      <c r="F2339" t="s">
        <v>5447</v>
      </c>
      <c r="G2339">
        <v>2337</v>
      </c>
      <c r="H2339">
        <v>1</v>
      </c>
      <c r="I2339" t="s">
        <v>4955</v>
      </c>
      <c r="J2339" t="s">
        <v>5191</v>
      </c>
      <c r="K2339" t="s">
        <v>751</v>
      </c>
      <c r="L2339">
        <v>0</v>
      </c>
      <c r="N2339">
        <v>0</v>
      </c>
      <c r="O2339">
        <v>29.6</v>
      </c>
      <c r="P2339">
        <v>28.85</v>
      </c>
    </row>
    <row r="2340" spans="1:16" x14ac:dyDescent="0.3">
      <c r="A2340">
        <v>57033</v>
      </c>
      <c r="B2340">
        <v>105</v>
      </c>
      <c r="C2340" t="s">
        <v>557</v>
      </c>
      <c r="D2340" s="452">
        <v>45962</v>
      </c>
      <c r="E2340">
        <v>23346</v>
      </c>
      <c r="F2340" t="s">
        <v>4916</v>
      </c>
      <c r="G2340">
        <v>2512</v>
      </c>
      <c r="H2340">
        <v>4</v>
      </c>
      <c r="I2340" t="s">
        <v>4744</v>
      </c>
      <c r="J2340" t="s">
        <v>5191</v>
      </c>
      <c r="K2340" t="s">
        <v>751</v>
      </c>
      <c r="L2340">
        <v>7.18</v>
      </c>
      <c r="M2340" s="452">
        <v>45953</v>
      </c>
      <c r="N2340">
        <v>6.6</v>
      </c>
      <c r="O2340">
        <v>7.65</v>
      </c>
      <c r="P2340">
        <v>28.72</v>
      </c>
    </row>
    <row r="2341" spans="1:16" x14ac:dyDescent="0.3">
      <c r="A2341">
        <v>56994</v>
      </c>
      <c r="B2341">
        <v>105</v>
      </c>
      <c r="C2341" t="s">
        <v>557</v>
      </c>
      <c r="D2341" s="452">
        <v>45962</v>
      </c>
      <c r="E2341">
        <v>19634</v>
      </c>
      <c r="F2341" t="s">
        <v>4792</v>
      </c>
      <c r="G2341">
        <v>2602</v>
      </c>
      <c r="H2341">
        <v>5.3</v>
      </c>
      <c r="I2341" t="s">
        <v>4744</v>
      </c>
      <c r="J2341" t="s">
        <v>5191</v>
      </c>
      <c r="K2341" t="s">
        <v>751</v>
      </c>
      <c r="L2341">
        <v>5.37</v>
      </c>
      <c r="M2341" s="452">
        <v>45957</v>
      </c>
      <c r="N2341">
        <v>6.25</v>
      </c>
      <c r="O2341">
        <v>6.25</v>
      </c>
      <c r="P2341">
        <v>28.46</v>
      </c>
    </row>
    <row r="2342" spans="1:16" x14ac:dyDescent="0.3">
      <c r="A2342">
        <v>57078</v>
      </c>
      <c r="B2342">
        <v>105</v>
      </c>
      <c r="C2342" t="s">
        <v>557</v>
      </c>
      <c r="D2342" s="452">
        <v>45962</v>
      </c>
      <c r="E2342">
        <v>19472</v>
      </c>
      <c r="F2342" t="s">
        <v>4906</v>
      </c>
      <c r="G2342">
        <v>2733</v>
      </c>
      <c r="H2342">
        <v>2.52</v>
      </c>
      <c r="I2342" t="s">
        <v>4744</v>
      </c>
      <c r="J2342" t="s">
        <v>5191</v>
      </c>
      <c r="K2342" t="s">
        <v>751</v>
      </c>
      <c r="L2342">
        <v>11.29</v>
      </c>
      <c r="M2342" s="452">
        <v>45954</v>
      </c>
      <c r="N2342">
        <v>12.5</v>
      </c>
      <c r="O2342">
        <v>9.14</v>
      </c>
      <c r="P2342">
        <v>28.45</v>
      </c>
    </row>
    <row r="2343" spans="1:16" x14ac:dyDescent="0.3">
      <c r="A2343">
        <v>57041</v>
      </c>
      <c r="B2343">
        <v>105</v>
      </c>
      <c r="C2343" t="s">
        <v>557</v>
      </c>
      <c r="D2343" s="452">
        <v>45962</v>
      </c>
      <c r="E2343">
        <v>23390</v>
      </c>
      <c r="F2343" t="s">
        <v>4873</v>
      </c>
      <c r="G2343">
        <v>2474</v>
      </c>
      <c r="H2343">
        <v>3.65</v>
      </c>
      <c r="I2343" t="s">
        <v>4744</v>
      </c>
      <c r="J2343" t="s">
        <v>5191</v>
      </c>
      <c r="K2343" t="s">
        <v>751</v>
      </c>
      <c r="L2343">
        <v>7.75</v>
      </c>
      <c r="M2343" s="452">
        <v>45957</v>
      </c>
      <c r="N2343">
        <v>8.5</v>
      </c>
      <c r="O2343">
        <v>8.5</v>
      </c>
      <c r="P2343">
        <v>28.29</v>
      </c>
    </row>
    <row r="2344" spans="1:16" x14ac:dyDescent="0.3">
      <c r="A2344">
        <v>57085</v>
      </c>
      <c r="B2344">
        <v>105</v>
      </c>
      <c r="C2344" t="s">
        <v>557</v>
      </c>
      <c r="D2344" s="452">
        <v>45962</v>
      </c>
      <c r="E2344">
        <v>24400</v>
      </c>
      <c r="F2344" t="s">
        <v>5052</v>
      </c>
      <c r="G2344">
        <v>2368</v>
      </c>
      <c r="H2344">
        <v>2.0499999999999998</v>
      </c>
      <c r="I2344" t="s">
        <v>4736</v>
      </c>
      <c r="J2344" t="s">
        <v>5191</v>
      </c>
      <c r="K2344" t="s">
        <v>751</v>
      </c>
      <c r="L2344">
        <v>0</v>
      </c>
      <c r="M2344" s="452">
        <v>45901</v>
      </c>
      <c r="N2344">
        <v>13.8</v>
      </c>
      <c r="O2344">
        <v>13.8</v>
      </c>
      <c r="P2344">
        <v>28.29</v>
      </c>
    </row>
    <row r="2345" spans="1:16" x14ac:dyDescent="0.3">
      <c r="A2345">
        <v>57193</v>
      </c>
      <c r="B2345">
        <v>105</v>
      </c>
      <c r="C2345" t="s">
        <v>557</v>
      </c>
      <c r="D2345" s="452">
        <v>45962</v>
      </c>
      <c r="E2345">
        <v>18212</v>
      </c>
      <c r="F2345" t="s">
        <v>5040</v>
      </c>
      <c r="G2345">
        <v>3415</v>
      </c>
      <c r="H2345">
        <v>0.74</v>
      </c>
      <c r="I2345" t="s">
        <v>4805</v>
      </c>
      <c r="J2345" t="s">
        <v>5222</v>
      </c>
      <c r="K2345" t="s">
        <v>751</v>
      </c>
      <c r="L2345">
        <v>0</v>
      </c>
      <c r="N2345">
        <v>0</v>
      </c>
      <c r="O2345">
        <v>34</v>
      </c>
      <c r="P2345">
        <v>28.19</v>
      </c>
    </row>
    <row r="2346" spans="1:16" x14ac:dyDescent="0.3">
      <c r="A2346">
        <v>57238</v>
      </c>
      <c r="B2346">
        <v>105</v>
      </c>
      <c r="C2346" t="s">
        <v>557</v>
      </c>
      <c r="D2346" s="452">
        <v>45962</v>
      </c>
      <c r="E2346">
        <v>18289</v>
      </c>
      <c r="F2346" t="s">
        <v>5036</v>
      </c>
      <c r="G2346">
        <v>3339</v>
      </c>
      <c r="H2346">
        <v>0.2</v>
      </c>
      <c r="I2346" t="s">
        <v>4736</v>
      </c>
      <c r="J2346" t="s">
        <v>5222</v>
      </c>
      <c r="K2346" t="s">
        <v>751</v>
      </c>
      <c r="L2346">
        <v>0</v>
      </c>
      <c r="N2346">
        <v>0</v>
      </c>
      <c r="O2346">
        <v>0</v>
      </c>
      <c r="P2346">
        <v>28</v>
      </c>
    </row>
    <row r="2347" spans="1:16" x14ac:dyDescent="0.3">
      <c r="A2347">
        <v>57103</v>
      </c>
      <c r="B2347">
        <v>105</v>
      </c>
      <c r="C2347" t="s">
        <v>557</v>
      </c>
      <c r="D2347" s="452">
        <v>45962</v>
      </c>
      <c r="E2347">
        <v>20955</v>
      </c>
      <c r="F2347" t="s">
        <v>4959</v>
      </c>
      <c r="G2347">
        <v>2019</v>
      </c>
      <c r="H2347">
        <v>2</v>
      </c>
      <c r="I2347" t="s">
        <v>4805</v>
      </c>
      <c r="J2347" t="s">
        <v>5191</v>
      </c>
      <c r="K2347" t="s">
        <v>751</v>
      </c>
      <c r="L2347">
        <v>13.8</v>
      </c>
      <c r="M2347" s="452">
        <v>45931</v>
      </c>
      <c r="N2347">
        <v>13.95</v>
      </c>
      <c r="O2347">
        <v>11.04</v>
      </c>
      <c r="P2347">
        <v>27.6</v>
      </c>
    </row>
    <row r="2348" spans="1:16" x14ac:dyDescent="0.3">
      <c r="A2348">
        <v>57162</v>
      </c>
      <c r="B2348">
        <v>105</v>
      </c>
      <c r="C2348" t="s">
        <v>557</v>
      </c>
      <c r="D2348" s="452">
        <v>45962</v>
      </c>
      <c r="E2348">
        <v>18486</v>
      </c>
      <c r="F2348" t="s">
        <v>5448</v>
      </c>
      <c r="G2348">
        <v>3170</v>
      </c>
      <c r="H2348">
        <v>1</v>
      </c>
      <c r="I2348" t="s">
        <v>4805</v>
      </c>
      <c r="J2348" t="s">
        <v>5222</v>
      </c>
      <c r="K2348" t="s">
        <v>751</v>
      </c>
      <c r="L2348">
        <v>0</v>
      </c>
      <c r="M2348" s="452">
        <v>45895</v>
      </c>
      <c r="N2348">
        <v>27.5</v>
      </c>
      <c r="O2348">
        <v>27.5</v>
      </c>
      <c r="P2348">
        <v>27.5</v>
      </c>
    </row>
    <row r="2349" spans="1:16" x14ac:dyDescent="0.3">
      <c r="A2349">
        <v>57022</v>
      </c>
      <c r="B2349">
        <v>105</v>
      </c>
      <c r="C2349" t="s">
        <v>557</v>
      </c>
      <c r="D2349" s="452">
        <v>45962</v>
      </c>
      <c r="E2349">
        <v>25750</v>
      </c>
      <c r="F2349" t="s">
        <v>4908</v>
      </c>
      <c r="G2349">
        <v>6301</v>
      </c>
      <c r="H2349">
        <v>4</v>
      </c>
      <c r="I2349" t="s">
        <v>4736</v>
      </c>
      <c r="J2349" t="s">
        <v>5191</v>
      </c>
      <c r="K2349" t="s">
        <v>751</v>
      </c>
      <c r="L2349">
        <v>0</v>
      </c>
      <c r="M2349" s="452">
        <v>45653</v>
      </c>
      <c r="N2349">
        <v>6.87</v>
      </c>
      <c r="O2349">
        <v>6.87</v>
      </c>
      <c r="P2349">
        <v>27.48</v>
      </c>
    </row>
    <row r="2350" spans="1:16" x14ac:dyDescent="0.3">
      <c r="A2350">
        <v>56953</v>
      </c>
      <c r="B2350">
        <v>105</v>
      </c>
      <c r="C2350" t="s">
        <v>557</v>
      </c>
      <c r="D2350" s="452">
        <v>45962</v>
      </c>
      <c r="E2350">
        <v>19654</v>
      </c>
      <c r="F2350" t="s">
        <v>5099</v>
      </c>
      <c r="G2350">
        <v>2586</v>
      </c>
      <c r="H2350">
        <v>9.4</v>
      </c>
      <c r="I2350" t="s">
        <v>4744</v>
      </c>
      <c r="J2350" t="s">
        <v>5191</v>
      </c>
      <c r="K2350" t="s">
        <v>751</v>
      </c>
      <c r="L2350">
        <v>2.87</v>
      </c>
      <c r="M2350" s="452">
        <v>45957</v>
      </c>
      <c r="N2350">
        <v>2.13</v>
      </c>
      <c r="O2350">
        <v>2.5499999999999998</v>
      </c>
      <c r="P2350">
        <v>26.98</v>
      </c>
    </row>
    <row r="2351" spans="1:16" x14ac:dyDescent="0.3">
      <c r="A2351">
        <v>57079</v>
      </c>
      <c r="B2351">
        <v>105</v>
      </c>
      <c r="C2351" t="s">
        <v>557</v>
      </c>
      <c r="D2351" s="452">
        <v>45962</v>
      </c>
      <c r="E2351">
        <v>24278</v>
      </c>
      <c r="F2351" t="s">
        <v>4901</v>
      </c>
      <c r="G2351">
        <v>2896</v>
      </c>
      <c r="H2351">
        <v>2.5</v>
      </c>
      <c r="I2351" t="s">
        <v>4744</v>
      </c>
      <c r="J2351" t="s">
        <v>5191</v>
      </c>
      <c r="K2351" t="s">
        <v>751</v>
      </c>
      <c r="L2351">
        <v>10.77</v>
      </c>
      <c r="M2351" s="452">
        <v>45957</v>
      </c>
      <c r="N2351">
        <v>13.9</v>
      </c>
      <c r="O2351">
        <v>13.9</v>
      </c>
      <c r="P2351">
        <v>26.92</v>
      </c>
    </row>
    <row r="2352" spans="1:16" x14ac:dyDescent="0.3">
      <c r="A2352">
        <v>57054</v>
      </c>
      <c r="B2352">
        <v>105</v>
      </c>
      <c r="C2352" t="s">
        <v>557</v>
      </c>
      <c r="D2352" s="452">
        <v>45962</v>
      </c>
      <c r="E2352">
        <v>20661</v>
      </c>
      <c r="F2352" t="s">
        <v>5012</v>
      </c>
      <c r="G2352">
        <v>2110</v>
      </c>
      <c r="H2352">
        <v>3</v>
      </c>
      <c r="I2352" t="s">
        <v>4736</v>
      </c>
      <c r="J2352" t="s">
        <v>5191</v>
      </c>
      <c r="K2352" t="s">
        <v>751</v>
      </c>
      <c r="L2352">
        <v>8.77</v>
      </c>
      <c r="M2352" s="452">
        <v>45957</v>
      </c>
      <c r="N2352">
        <v>8.7799999999999994</v>
      </c>
      <c r="O2352">
        <v>8.7799999999999994</v>
      </c>
      <c r="P2352">
        <v>26.31</v>
      </c>
    </row>
    <row r="2353" spans="1:16" x14ac:dyDescent="0.3">
      <c r="A2353">
        <v>57150</v>
      </c>
      <c r="B2353">
        <v>105</v>
      </c>
      <c r="C2353" t="s">
        <v>557</v>
      </c>
      <c r="D2353" s="452">
        <v>45962</v>
      </c>
      <c r="E2353">
        <v>24339</v>
      </c>
      <c r="F2353" t="s">
        <v>4885</v>
      </c>
      <c r="G2353">
        <v>2153</v>
      </c>
      <c r="H2353">
        <v>1</v>
      </c>
      <c r="I2353" t="s">
        <v>4744</v>
      </c>
      <c r="J2353" t="s">
        <v>5191</v>
      </c>
      <c r="K2353" t="s">
        <v>751</v>
      </c>
      <c r="L2353">
        <v>26.2</v>
      </c>
      <c r="M2353" s="452">
        <v>45940</v>
      </c>
      <c r="N2353">
        <v>26.2</v>
      </c>
      <c r="O2353">
        <v>24.56</v>
      </c>
      <c r="P2353">
        <v>26.2</v>
      </c>
    </row>
    <row r="2354" spans="1:16" x14ac:dyDescent="0.3">
      <c r="A2354">
        <v>57211</v>
      </c>
      <c r="B2354">
        <v>105</v>
      </c>
      <c r="C2354" t="s">
        <v>557</v>
      </c>
      <c r="D2354" s="452">
        <v>45962</v>
      </c>
      <c r="E2354">
        <v>23548</v>
      </c>
      <c r="F2354" t="s">
        <v>5449</v>
      </c>
      <c r="G2354">
        <v>2321</v>
      </c>
      <c r="H2354">
        <v>0.45</v>
      </c>
      <c r="I2354" t="s">
        <v>4744</v>
      </c>
      <c r="J2354" t="s">
        <v>5191</v>
      </c>
      <c r="K2354" t="s">
        <v>751</v>
      </c>
      <c r="L2354">
        <v>0</v>
      </c>
      <c r="M2354" s="452">
        <v>45519</v>
      </c>
      <c r="N2354">
        <v>56.9</v>
      </c>
      <c r="O2354">
        <v>44.9</v>
      </c>
      <c r="P2354">
        <v>25.6</v>
      </c>
    </row>
    <row r="2355" spans="1:16" x14ac:dyDescent="0.3">
      <c r="A2355">
        <v>57016</v>
      </c>
      <c r="B2355">
        <v>105</v>
      </c>
      <c r="C2355" t="s">
        <v>557</v>
      </c>
      <c r="D2355" s="452">
        <v>45962</v>
      </c>
      <c r="E2355">
        <v>19752</v>
      </c>
      <c r="F2355" t="s">
        <v>4807</v>
      </c>
      <c r="G2355">
        <v>2501</v>
      </c>
      <c r="H2355">
        <v>4.7300000000000004</v>
      </c>
      <c r="I2355" t="s">
        <v>4744</v>
      </c>
      <c r="J2355" t="s">
        <v>5191</v>
      </c>
      <c r="K2355" t="s">
        <v>751</v>
      </c>
      <c r="L2355">
        <v>5.37</v>
      </c>
      <c r="M2355" s="452">
        <v>45957</v>
      </c>
      <c r="N2355">
        <v>5.08</v>
      </c>
      <c r="O2355">
        <v>5.08</v>
      </c>
      <c r="P2355">
        <v>25.4</v>
      </c>
    </row>
    <row r="2356" spans="1:16" x14ac:dyDescent="0.3">
      <c r="A2356">
        <v>57129</v>
      </c>
      <c r="B2356">
        <v>105</v>
      </c>
      <c r="C2356" t="s">
        <v>557</v>
      </c>
      <c r="D2356" s="452">
        <v>45962</v>
      </c>
      <c r="E2356">
        <v>24110</v>
      </c>
      <c r="F2356" t="s">
        <v>5450</v>
      </c>
      <c r="G2356">
        <v>2322</v>
      </c>
      <c r="H2356">
        <v>1.47</v>
      </c>
      <c r="I2356" t="s">
        <v>4744</v>
      </c>
      <c r="J2356" t="s">
        <v>5191</v>
      </c>
      <c r="K2356" t="s">
        <v>751</v>
      </c>
      <c r="L2356">
        <v>0</v>
      </c>
      <c r="M2356" s="452">
        <v>45478</v>
      </c>
      <c r="N2356">
        <v>17.2</v>
      </c>
      <c r="O2356">
        <v>14.6</v>
      </c>
      <c r="P2356">
        <v>25.28</v>
      </c>
    </row>
    <row r="2357" spans="1:16" x14ac:dyDescent="0.3">
      <c r="A2357">
        <v>57096</v>
      </c>
      <c r="B2357">
        <v>105</v>
      </c>
      <c r="C2357" t="s">
        <v>557</v>
      </c>
      <c r="D2357" s="452">
        <v>45962</v>
      </c>
      <c r="E2357">
        <v>19993</v>
      </c>
      <c r="F2357" t="s">
        <v>4954</v>
      </c>
      <c r="G2357">
        <v>2349</v>
      </c>
      <c r="H2357">
        <v>2</v>
      </c>
      <c r="I2357" t="s">
        <v>4955</v>
      </c>
      <c r="J2357" t="s">
        <v>5191</v>
      </c>
      <c r="K2357" t="s">
        <v>751</v>
      </c>
      <c r="L2357">
        <v>0</v>
      </c>
      <c r="N2357">
        <v>0</v>
      </c>
      <c r="O2357">
        <v>0</v>
      </c>
      <c r="P2357">
        <v>23.98</v>
      </c>
    </row>
    <row r="2358" spans="1:16" x14ac:dyDescent="0.3">
      <c r="A2358">
        <v>57139</v>
      </c>
      <c r="B2358">
        <v>105</v>
      </c>
      <c r="C2358" t="s">
        <v>557</v>
      </c>
      <c r="D2358" s="452">
        <v>45962</v>
      </c>
      <c r="E2358">
        <v>19894</v>
      </c>
      <c r="F2358" t="s">
        <v>5451</v>
      </c>
      <c r="G2358">
        <v>2385</v>
      </c>
      <c r="H2358">
        <v>1.08</v>
      </c>
      <c r="I2358" t="s">
        <v>4736</v>
      </c>
      <c r="J2358" t="s">
        <v>5191</v>
      </c>
      <c r="K2358" t="s">
        <v>751</v>
      </c>
      <c r="L2358">
        <v>0</v>
      </c>
      <c r="M2358" s="452">
        <v>45667</v>
      </c>
      <c r="N2358">
        <v>0</v>
      </c>
      <c r="O2358">
        <v>0</v>
      </c>
      <c r="P2358">
        <v>23.65</v>
      </c>
    </row>
    <row r="2359" spans="1:16" x14ac:dyDescent="0.3">
      <c r="A2359">
        <v>57077</v>
      </c>
      <c r="B2359">
        <v>105</v>
      </c>
      <c r="C2359" t="s">
        <v>557</v>
      </c>
      <c r="D2359" s="452">
        <v>45962</v>
      </c>
      <c r="E2359">
        <v>19507</v>
      </c>
      <c r="F2359" t="s">
        <v>4853</v>
      </c>
      <c r="G2359">
        <v>2704</v>
      </c>
      <c r="H2359">
        <v>2.52</v>
      </c>
      <c r="I2359" t="s">
        <v>4744</v>
      </c>
      <c r="J2359" t="s">
        <v>5191</v>
      </c>
      <c r="K2359" t="s">
        <v>751</v>
      </c>
      <c r="L2359">
        <v>9.11</v>
      </c>
      <c r="M2359" s="452">
        <v>45954</v>
      </c>
      <c r="N2359">
        <v>8.5</v>
      </c>
      <c r="O2359">
        <v>8</v>
      </c>
      <c r="P2359">
        <v>22.96</v>
      </c>
    </row>
    <row r="2360" spans="1:16" x14ac:dyDescent="0.3">
      <c r="A2360">
        <v>56995</v>
      </c>
      <c r="B2360">
        <v>105</v>
      </c>
      <c r="C2360" t="s">
        <v>557</v>
      </c>
      <c r="D2360" s="452">
        <v>45962</v>
      </c>
      <c r="E2360">
        <v>19589</v>
      </c>
      <c r="F2360" t="s">
        <v>4983</v>
      </c>
      <c r="G2360">
        <v>2637</v>
      </c>
      <c r="H2360">
        <v>5.3</v>
      </c>
      <c r="I2360" t="s">
        <v>4744</v>
      </c>
      <c r="J2360" t="s">
        <v>5191</v>
      </c>
      <c r="K2360" t="s">
        <v>751</v>
      </c>
      <c r="L2360">
        <v>4.3099999999999996</v>
      </c>
      <c r="M2360" s="452">
        <v>45957</v>
      </c>
      <c r="N2360">
        <v>4.03</v>
      </c>
      <c r="O2360">
        <v>3.2</v>
      </c>
      <c r="P2360">
        <v>22.84</v>
      </c>
    </row>
    <row r="2361" spans="1:16" x14ac:dyDescent="0.3">
      <c r="A2361">
        <v>57075</v>
      </c>
      <c r="B2361">
        <v>105</v>
      </c>
      <c r="C2361" t="s">
        <v>557</v>
      </c>
      <c r="D2361" s="452">
        <v>45962</v>
      </c>
      <c r="E2361">
        <v>23554</v>
      </c>
      <c r="F2361" t="s">
        <v>4931</v>
      </c>
      <c r="G2361">
        <v>2316</v>
      </c>
      <c r="H2361">
        <v>2.63</v>
      </c>
      <c r="I2361" t="s">
        <v>4744</v>
      </c>
      <c r="J2361" t="s">
        <v>5191</v>
      </c>
      <c r="K2361" t="s">
        <v>751</v>
      </c>
      <c r="L2361">
        <v>0</v>
      </c>
      <c r="M2361" s="452">
        <v>45887</v>
      </c>
      <c r="N2361">
        <v>8.5</v>
      </c>
      <c r="O2361">
        <v>8.5</v>
      </c>
      <c r="P2361">
        <v>22.36</v>
      </c>
    </row>
    <row r="2362" spans="1:16" x14ac:dyDescent="0.3">
      <c r="A2362">
        <v>57215</v>
      </c>
      <c r="B2362">
        <v>105</v>
      </c>
      <c r="C2362" t="s">
        <v>557</v>
      </c>
      <c r="D2362" s="452">
        <v>45962</v>
      </c>
      <c r="E2362">
        <v>23108</v>
      </c>
      <c r="F2362" t="s">
        <v>5117</v>
      </c>
      <c r="G2362">
        <v>2739</v>
      </c>
      <c r="H2362">
        <v>0.4</v>
      </c>
      <c r="I2362" t="s">
        <v>4744</v>
      </c>
      <c r="J2362" t="s">
        <v>5191</v>
      </c>
      <c r="K2362" t="s">
        <v>751</v>
      </c>
      <c r="L2362">
        <v>55.71</v>
      </c>
      <c r="M2362" s="452">
        <v>45952</v>
      </c>
      <c r="N2362">
        <v>60</v>
      </c>
      <c r="O2362">
        <v>55</v>
      </c>
      <c r="P2362">
        <v>22.28</v>
      </c>
    </row>
    <row r="2363" spans="1:16" x14ac:dyDescent="0.3">
      <c r="A2363">
        <v>57110</v>
      </c>
      <c r="B2363">
        <v>105</v>
      </c>
      <c r="C2363" t="s">
        <v>557</v>
      </c>
      <c r="D2363" s="452">
        <v>45962</v>
      </c>
      <c r="E2363">
        <v>18420</v>
      </c>
      <c r="F2363" t="s">
        <v>5452</v>
      </c>
      <c r="G2363">
        <v>3222</v>
      </c>
      <c r="H2363">
        <v>2</v>
      </c>
      <c r="I2363" t="s">
        <v>4805</v>
      </c>
      <c r="J2363" t="s">
        <v>5222</v>
      </c>
      <c r="K2363" t="s">
        <v>751</v>
      </c>
      <c r="L2363">
        <v>0</v>
      </c>
      <c r="N2363">
        <v>0</v>
      </c>
      <c r="O2363">
        <v>5.68</v>
      </c>
      <c r="P2363">
        <v>22.1</v>
      </c>
    </row>
    <row r="2364" spans="1:16" x14ac:dyDescent="0.3">
      <c r="A2364">
        <v>57141</v>
      </c>
      <c r="B2364">
        <v>105</v>
      </c>
      <c r="C2364" t="s">
        <v>557</v>
      </c>
      <c r="D2364" s="452">
        <v>45962</v>
      </c>
      <c r="E2364">
        <v>23503</v>
      </c>
      <c r="F2364" t="s">
        <v>5048</v>
      </c>
      <c r="G2364">
        <v>2366</v>
      </c>
      <c r="H2364">
        <v>1.04</v>
      </c>
      <c r="I2364" t="s">
        <v>4744</v>
      </c>
      <c r="J2364" t="s">
        <v>5191</v>
      </c>
      <c r="K2364" t="s">
        <v>751</v>
      </c>
      <c r="L2364">
        <v>20.7</v>
      </c>
      <c r="M2364" s="452">
        <v>45957</v>
      </c>
      <c r="N2364">
        <v>20.7</v>
      </c>
      <c r="O2364">
        <v>20.7</v>
      </c>
      <c r="P2364">
        <v>21.53</v>
      </c>
    </row>
    <row r="2365" spans="1:16" x14ac:dyDescent="0.3">
      <c r="A2365">
        <v>57149</v>
      </c>
      <c r="B2365">
        <v>105</v>
      </c>
      <c r="C2365" t="s">
        <v>557</v>
      </c>
      <c r="D2365" s="452">
        <v>45962</v>
      </c>
      <c r="E2365">
        <v>20234</v>
      </c>
      <c r="F2365" t="s">
        <v>5009</v>
      </c>
      <c r="G2365">
        <v>2245</v>
      </c>
      <c r="H2365">
        <v>1</v>
      </c>
      <c r="I2365" t="s">
        <v>4744</v>
      </c>
      <c r="J2365" t="s">
        <v>5191</v>
      </c>
      <c r="K2365" t="s">
        <v>751</v>
      </c>
      <c r="L2365">
        <v>0</v>
      </c>
      <c r="M2365" s="452">
        <v>45887</v>
      </c>
      <c r="N2365">
        <v>20.9</v>
      </c>
      <c r="O2365">
        <v>19.8</v>
      </c>
      <c r="P2365">
        <v>20.9</v>
      </c>
    </row>
    <row r="2366" spans="1:16" x14ac:dyDescent="0.3">
      <c r="A2366">
        <v>57227</v>
      </c>
      <c r="B2366">
        <v>105</v>
      </c>
      <c r="C2366" t="s">
        <v>557</v>
      </c>
      <c r="D2366" s="452">
        <v>45962</v>
      </c>
      <c r="E2366">
        <v>19476</v>
      </c>
      <c r="F2366" t="s">
        <v>5115</v>
      </c>
      <c r="G2366">
        <v>2729</v>
      </c>
      <c r="H2366">
        <v>0.3</v>
      </c>
      <c r="I2366" t="s">
        <v>4744</v>
      </c>
      <c r="J2366" t="s">
        <v>5191</v>
      </c>
      <c r="K2366" t="s">
        <v>751</v>
      </c>
      <c r="L2366">
        <v>69.510000000000005</v>
      </c>
      <c r="M2366" s="452">
        <v>45957</v>
      </c>
      <c r="N2366">
        <v>73.959999999999994</v>
      </c>
      <c r="O2366">
        <v>70</v>
      </c>
      <c r="P2366">
        <v>20.85</v>
      </c>
    </row>
    <row r="2367" spans="1:16" x14ac:dyDescent="0.3">
      <c r="A2367">
        <v>57208</v>
      </c>
      <c r="B2367">
        <v>105</v>
      </c>
      <c r="C2367" t="s">
        <v>557</v>
      </c>
      <c r="D2367" s="452">
        <v>45962</v>
      </c>
      <c r="E2367">
        <v>19506</v>
      </c>
      <c r="F2367" t="s">
        <v>5122</v>
      </c>
      <c r="G2367">
        <v>2705</v>
      </c>
      <c r="H2367">
        <v>0.5</v>
      </c>
      <c r="I2367" t="s">
        <v>4744</v>
      </c>
      <c r="J2367" t="s">
        <v>5191</v>
      </c>
      <c r="K2367" t="s">
        <v>751</v>
      </c>
      <c r="L2367">
        <v>41.46</v>
      </c>
      <c r="M2367" s="452">
        <v>45953</v>
      </c>
      <c r="N2367">
        <v>43.8</v>
      </c>
      <c r="O2367">
        <v>40.29</v>
      </c>
      <c r="P2367">
        <v>20.73</v>
      </c>
    </row>
    <row r="2368" spans="1:16" x14ac:dyDescent="0.3">
      <c r="A2368">
        <v>57099</v>
      </c>
      <c r="B2368">
        <v>105</v>
      </c>
      <c r="C2368" t="s">
        <v>557</v>
      </c>
      <c r="D2368" s="452">
        <v>45962</v>
      </c>
      <c r="E2368">
        <v>20790</v>
      </c>
      <c r="F2368" t="s">
        <v>5020</v>
      </c>
      <c r="G2368">
        <v>2076</v>
      </c>
      <c r="H2368">
        <v>2</v>
      </c>
      <c r="I2368" t="s">
        <v>4744</v>
      </c>
      <c r="J2368" t="s">
        <v>5191</v>
      </c>
      <c r="K2368" t="s">
        <v>751</v>
      </c>
      <c r="L2368">
        <v>0</v>
      </c>
      <c r="M2368" s="452">
        <v>45894</v>
      </c>
      <c r="N2368">
        <v>10.199999999999999</v>
      </c>
      <c r="O2368">
        <v>10.1</v>
      </c>
      <c r="P2368">
        <v>20.399999999999999</v>
      </c>
    </row>
    <row r="2369" spans="1:16" x14ac:dyDescent="0.3">
      <c r="A2369">
        <v>57123</v>
      </c>
      <c r="B2369">
        <v>105</v>
      </c>
      <c r="C2369" t="s">
        <v>557</v>
      </c>
      <c r="D2369" s="452">
        <v>45962</v>
      </c>
      <c r="E2369">
        <v>19492</v>
      </c>
      <c r="F2369" t="s">
        <v>4937</v>
      </c>
      <c r="G2369">
        <v>2717</v>
      </c>
      <c r="H2369">
        <v>1.6</v>
      </c>
      <c r="I2369" t="s">
        <v>4744</v>
      </c>
      <c r="J2369" t="s">
        <v>5191</v>
      </c>
      <c r="K2369" t="s">
        <v>751</v>
      </c>
      <c r="L2369">
        <v>12.61</v>
      </c>
      <c r="M2369" s="452">
        <v>45948</v>
      </c>
      <c r="N2369">
        <v>13.98</v>
      </c>
      <c r="O2369">
        <v>13.41</v>
      </c>
      <c r="P2369">
        <v>20.18</v>
      </c>
    </row>
    <row r="2370" spans="1:16" x14ac:dyDescent="0.3">
      <c r="A2370">
        <v>57100</v>
      </c>
      <c r="B2370">
        <v>105</v>
      </c>
      <c r="C2370" t="s">
        <v>557</v>
      </c>
      <c r="D2370" s="452">
        <v>45962</v>
      </c>
      <c r="E2370">
        <v>20792</v>
      </c>
      <c r="F2370" t="s">
        <v>5022</v>
      </c>
      <c r="G2370">
        <v>2076</v>
      </c>
      <c r="H2370">
        <v>2</v>
      </c>
      <c r="I2370" t="s">
        <v>4738</v>
      </c>
      <c r="J2370" t="s">
        <v>5191</v>
      </c>
      <c r="K2370" t="s">
        <v>751</v>
      </c>
      <c r="L2370">
        <v>10</v>
      </c>
      <c r="M2370" s="452">
        <v>45954</v>
      </c>
      <c r="N2370">
        <v>10.1</v>
      </c>
      <c r="O2370">
        <v>10.1</v>
      </c>
      <c r="P2370">
        <v>20</v>
      </c>
    </row>
    <row r="2371" spans="1:16" x14ac:dyDescent="0.3">
      <c r="A2371">
        <v>57101</v>
      </c>
      <c r="B2371">
        <v>105</v>
      </c>
      <c r="C2371" t="s">
        <v>557</v>
      </c>
      <c r="D2371" s="452">
        <v>45962</v>
      </c>
      <c r="E2371">
        <v>20795</v>
      </c>
      <c r="F2371" t="s">
        <v>5024</v>
      </c>
      <c r="G2371">
        <v>2076</v>
      </c>
      <c r="H2371">
        <v>2</v>
      </c>
      <c r="I2371" t="s">
        <v>4738</v>
      </c>
      <c r="J2371" t="s">
        <v>5191</v>
      </c>
      <c r="K2371" t="s">
        <v>751</v>
      </c>
      <c r="L2371">
        <v>0</v>
      </c>
      <c r="M2371" s="452">
        <v>45901</v>
      </c>
      <c r="N2371">
        <v>9.89</v>
      </c>
      <c r="O2371">
        <v>9.99</v>
      </c>
      <c r="P2371">
        <v>19.78</v>
      </c>
    </row>
    <row r="2372" spans="1:16" x14ac:dyDescent="0.3">
      <c r="A2372">
        <v>57198</v>
      </c>
      <c r="B2372">
        <v>105</v>
      </c>
      <c r="C2372" t="s">
        <v>557</v>
      </c>
      <c r="D2372" s="452">
        <v>45962</v>
      </c>
      <c r="E2372">
        <v>21005</v>
      </c>
      <c r="F2372" t="s">
        <v>5161</v>
      </c>
      <c r="G2372">
        <v>2007</v>
      </c>
      <c r="H2372">
        <v>0.6</v>
      </c>
      <c r="I2372" t="s">
        <v>4888</v>
      </c>
      <c r="J2372" t="s">
        <v>5191</v>
      </c>
      <c r="K2372" t="s">
        <v>751</v>
      </c>
      <c r="L2372">
        <v>0</v>
      </c>
      <c r="M2372" s="452">
        <v>45831</v>
      </c>
      <c r="N2372">
        <v>32.9</v>
      </c>
      <c r="O2372">
        <v>79.75</v>
      </c>
      <c r="P2372">
        <v>19.739999999999998</v>
      </c>
    </row>
    <row r="2373" spans="1:16" x14ac:dyDescent="0.3">
      <c r="A2373">
        <v>57034</v>
      </c>
      <c r="B2373">
        <v>105</v>
      </c>
      <c r="C2373" t="s">
        <v>557</v>
      </c>
      <c r="D2373" s="452">
        <v>45962</v>
      </c>
      <c r="E2373">
        <v>18745</v>
      </c>
      <c r="F2373" t="s">
        <v>4892</v>
      </c>
      <c r="G2373">
        <v>3014</v>
      </c>
      <c r="H2373">
        <v>4</v>
      </c>
      <c r="I2373" t="s">
        <v>4736</v>
      </c>
      <c r="J2373" t="s">
        <v>5191</v>
      </c>
      <c r="K2373" t="s">
        <v>751</v>
      </c>
      <c r="L2373">
        <v>0</v>
      </c>
      <c r="M2373" s="452">
        <v>45888</v>
      </c>
      <c r="N2373">
        <v>4.9000000000000004</v>
      </c>
      <c r="O2373">
        <v>4.9000000000000004</v>
      </c>
      <c r="P2373">
        <v>19.600000000000001</v>
      </c>
    </row>
    <row r="2374" spans="1:16" x14ac:dyDescent="0.3">
      <c r="A2374">
        <v>57130</v>
      </c>
      <c r="B2374">
        <v>105</v>
      </c>
      <c r="C2374" t="s">
        <v>557</v>
      </c>
      <c r="D2374" s="452">
        <v>45962</v>
      </c>
      <c r="E2374">
        <v>23539</v>
      </c>
      <c r="F2374" t="s">
        <v>4995</v>
      </c>
      <c r="G2374">
        <v>2332</v>
      </c>
      <c r="H2374">
        <v>1.4</v>
      </c>
      <c r="I2374" t="s">
        <v>4744</v>
      </c>
      <c r="J2374" t="s">
        <v>5191</v>
      </c>
      <c r="K2374" t="s">
        <v>751</v>
      </c>
      <c r="L2374">
        <v>13.8</v>
      </c>
      <c r="M2374" s="452">
        <v>45950</v>
      </c>
      <c r="N2374">
        <v>13.8</v>
      </c>
      <c r="O2374">
        <v>13.8</v>
      </c>
      <c r="P2374">
        <v>19.32</v>
      </c>
    </row>
    <row r="2375" spans="1:16" x14ac:dyDescent="0.3">
      <c r="A2375">
        <v>57241</v>
      </c>
      <c r="B2375">
        <v>105</v>
      </c>
      <c r="C2375" t="s">
        <v>557</v>
      </c>
      <c r="D2375" s="452">
        <v>45962</v>
      </c>
      <c r="E2375">
        <v>19892</v>
      </c>
      <c r="F2375" t="s">
        <v>5150</v>
      </c>
      <c r="G2375">
        <v>2386</v>
      </c>
      <c r="H2375">
        <v>0.12</v>
      </c>
      <c r="I2375" t="s">
        <v>4744</v>
      </c>
      <c r="J2375" t="s">
        <v>5191</v>
      </c>
      <c r="K2375" t="s">
        <v>751</v>
      </c>
      <c r="L2375">
        <v>0</v>
      </c>
      <c r="N2375">
        <v>0</v>
      </c>
      <c r="O2375">
        <v>140</v>
      </c>
      <c r="P2375">
        <v>19.18</v>
      </c>
    </row>
    <row r="2376" spans="1:16" x14ac:dyDescent="0.3">
      <c r="A2376">
        <v>57005</v>
      </c>
      <c r="B2376">
        <v>105</v>
      </c>
      <c r="C2376" t="s">
        <v>557</v>
      </c>
      <c r="D2376" s="452">
        <v>45962</v>
      </c>
      <c r="E2376">
        <v>19552</v>
      </c>
      <c r="F2376" t="s">
        <v>4860</v>
      </c>
      <c r="G2376">
        <v>2664</v>
      </c>
      <c r="H2376">
        <v>5</v>
      </c>
      <c r="I2376" t="s">
        <v>4744</v>
      </c>
      <c r="J2376" t="s">
        <v>5191</v>
      </c>
      <c r="K2376" t="s">
        <v>751</v>
      </c>
      <c r="L2376">
        <v>3.73</v>
      </c>
      <c r="M2376" s="452">
        <v>45954</v>
      </c>
      <c r="N2376">
        <v>3.5</v>
      </c>
      <c r="O2376">
        <v>3.8</v>
      </c>
      <c r="P2376">
        <v>18.649999999999999</v>
      </c>
    </row>
    <row r="2377" spans="1:16" x14ac:dyDescent="0.3">
      <c r="A2377">
        <v>57142</v>
      </c>
      <c r="B2377">
        <v>105</v>
      </c>
      <c r="C2377" t="s">
        <v>557</v>
      </c>
      <c r="D2377" s="452">
        <v>45962</v>
      </c>
      <c r="E2377">
        <v>19577</v>
      </c>
      <c r="F2377" t="s">
        <v>4984</v>
      </c>
      <c r="G2377">
        <v>2641</v>
      </c>
      <c r="H2377">
        <v>1.02</v>
      </c>
      <c r="I2377" t="s">
        <v>4736</v>
      </c>
      <c r="J2377" t="s">
        <v>5191</v>
      </c>
      <c r="K2377" t="s">
        <v>751</v>
      </c>
      <c r="L2377">
        <v>17.3</v>
      </c>
      <c r="M2377" s="452">
        <v>45950</v>
      </c>
      <c r="N2377">
        <v>17.3</v>
      </c>
      <c r="O2377">
        <v>17.3</v>
      </c>
      <c r="P2377">
        <v>17.649999999999999</v>
      </c>
    </row>
    <row r="2378" spans="1:16" x14ac:dyDescent="0.3">
      <c r="A2378">
        <v>57055</v>
      </c>
      <c r="B2378">
        <v>105</v>
      </c>
      <c r="C2378" t="s">
        <v>557</v>
      </c>
      <c r="D2378" s="452">
        <v>45962</v>
      </c>
      <c r="E2378">
        <v>20138</v>
      </c>
      <c r="F2378" t="s">
        <v>4886</v>
      </c>
      <c r="G2378">
        <v>2284</v>
      </c>
      <c r="H2378">
        <v>3</v>
      </c>
      <c r="I2378" t="s">
        <v>4738</v>
      </c>
      <c r="J2378" t="s">
        <v>5191</v>
      </c>
      <c r="K2378" t="s">
        <v>751</v>
      </c>
      <c r="L2378">
        <v>5.85</v>
      </c>
      <c r="M2378" s="452">
        <v>45950</v>
      </c>
      <c r="N2378">
        <v>5.8</v>
      </c>
      <c r="O2378">
        <v>5.29</v>
      </c>
      <c r="P2378">
        <v>17.55</v>
      </c>
    </row>
    <row r="2379" spans="1:16" x14ac:dyDescent="0.3">
      <c r="A2379">
        <v>57102</v>
      </c>
      <c r="B2379">
        <v>105</v>
      </c>
      <c r="C2379" t="s">
        <v>557</v>
      </c>
      <c r="D2379" s="452">
        <v>45962</v>
      </c>
      <c r="E2379">
        <v>20961</v>
      </c>
      <c r="F2379" t="s">
        <v>5026</v>
      </c>
      <c r="G2379">
        <v>2015</v>
      </c>
      <c r="H2379">
        <v>2</v>
      </c>
      <c r="I2379" t="s">
        <v>4736</v>
      </c>
      <c r="J2379" t="s">
        <v>5191</v>
      </c>
      <c r="K2379" t="s">
        <v>751</v>
      </c>
      <c r="L2379">
        <v>0</v>
      </c>
      <c r="M2379" s="452">
        <v>45918</v>
      </c>
      <c r="N2379">
        <v>8.36</v>
      </c>
      <c r="O2379">
        <v>9.4600000000000009</v>
      </c>
      <c r="P2379">
        <v>16.72</v>
      </c>
    </row>
    <row r="2380" spans="1:16" x14ac:dyDescent="0.3">
      <c r="A2380">
        <v>57072</v>
      </c>
      <c r="B2380">
        <v>105</v>
      </c>
      <c r="C2380" t="s">
        <v>557</v>
      </c>
      <c r="D2380" s="452">
        <v>45962</v>
      </c>
      <c r="E2380">
        <v>23389</v>
      </c>
      <c r="F2380" t="s">
        <v>4960</v>
      </c>
      <c r="G2380">
        <v>2475</v>
      </c>
      <c r="H2380">
        <v>2.8</v>
      </c>
      <c r="I2380" t="s">
        <v>4744</v>
      </c>
      <c r="J2380" t="s">
        <v>5191</v>
      </c>
      <c r="K2380" t="s">
        <v>751</v>
      </c>
      <c r="L2380">
        <v>5.89</v>
      </c>
      <c r="M2380" s="452">
        <v>45955</v>
      </c>
      <c r="N2380">
        <v>6.21</v>
      </c>
      <c r="O2380">
        <v>6.21</v>
      </c>
      <c r="P2380">
        <v>16.489999999999998</v>
      </c>
    </row>
    <row r="2381" spans="1:16" x14ac:dyDescent="0.3">
      <c r="A2381">
        <v>57219</v>
      </c>
      <c r="B2381">
        <v>105</v>
      </c>
      <c r="C2381" t="s">
        <v>557</v>
      </c>
      <c r="D2381" s="452">
        <v>45962</v>
      </c>
      <c r="E2381">
        <v>23698</v>
      </c>
      <c r="F2381" t="s">
        <v>5453</v>
      </c>
      <c r="G2381">
        <v>2188</v>
      </c>
      <c r="H2381">
        <v>0.35</v>
      </c>
      <c r="I2381" t="s">
        <v>4744</v>
      </c>
      <c r="J2381" t="s">
        <v>5191</v>
      </c>
      <c r="K2381" t="s">
        <v>751</v>
      </c>
      <c r="L2381">
        <v>0</v>
      </c>
      <c r="M2381" s="452">
        <v>45811</v>
      </c>
      <c r="N2381">
        <v>46.9</v>
      </c>
      <c r="O2381">
        <v>65.650000000000006</v>
      </c>
      <c r="P2381">
        <v>16.420000000000002</v>
      </c>
    </row>
    <row r="2382" spans="1:16" x14ac:dyDescent="0.3">
      <c r="A2382">
        <v>56996</v>
      </c>
      <c r="B2382">
        <v>105</v>
      </c>
      <c r="C2382" t="s">
        <v>557</v>
      </c>
      <c r="D2382" s="452">
        <v>45962</v>
      </c>
      <c r="E2382">
        <v>19621</v>
      </c>
      <c r="F2382" t="s">
        <v>4829</v>
      </c>
      <c r="G2382">
        <v>2613</v>
      </c>
      <c r="H2382">
        <v>5.2</v>
      </c>
      <c r="I2382" t="s">
        <v>4744</v>
      </c>
      <c r="J2382" t="s">
        <v>5191</v>
      </c>
      <c r="K2382" t="s">
        <v>751</v>
      </c>
      <c r="L2382">
        <v>2.99</v>
      </c>
      <c r="M2382" s="452">
        <v>45954</v>
      </c>
      <c r="N2382">
        <v>2.8</v>
      </c>
      <c r="O2382">
        <v>2.65</v>
      </c>
      <c r="P2382">
        <v>15.55</v>
      </c>
    </row>
    <row r="2383" spans="1:16" x14ac:dyDescent="0.3">
      <c r="A2383">
        <v>57190</v>
      </c>
      <c r="B2383">
        <v>105</v>
      </c>
      <c r="C2383" t="s">
        <v>557</v>
      </c>
      <c r="D2383" s="452">
        <v>45962</v>
      </c>
      <c r="E2383">
        <v>24444</v>
      </c>
      <c r="F2383" t="s">
        <v>4992</v>
      </c>
      <c r="G2383">
        <v>2784</v>
      </c>
      <c r="H2383">
        <v>0.8</v>
      </c>
      <c r="I2383" t="s">
        <v>4744</v>
      </c>
      <c r="J2383" t="s">
        <v>5191</v>
      </c>
      <c r="K2383" t="s">
        <v>751</v>
      </c>
      <c r="L2383">
        <v>0</v>
      </c>
      <c r="M2383" s="452">
        <v>45392</v>
      </c>
      <c r="N2383">
        <v>18.95</v>
      </c>
      <c r="O2383">
        <v>22</v>
      </c>
      <c r="P2383">
        <v>15.16</v>
      </c>
    </row>
    <row r="2384" spans="1:16" x14ac:dyDescent="0.3">
      <c r="A2384">
        <v>57156</v>
      </c>
      <c r="B2384">
        <v>105</v>
      </c>
      <c r="C2384" t="s">
        <v>557</v>
      </c>
      <c r="D2384" s="452">
        <v>45962</v>
      </c>
      <c r="E2384">
        <v>23198</v>
      </c>
      <c r="F2384" t="s">
        <v>4962</v>
      </c>
      <c r="G2384">
        <v>2657</v>
      </c>
      <c r="H2384">
        <v>1</v>
      </c>
      <c r="I2384" t="s">
        <v>4744</v>
      </c>
      <c r="J2384" t="s">
        <v>5191</v>
      </c>
      <c r="K2384" t="s">
        <v>751</v>
      </c>
      <c r="L2384">
        <v>14.99</v>
      </c>
      <c r="M2384" s="452">
        <v>45957</v>
      </c>
      <c r="N2384">
        <v>18.77</v>
      </c>
      <c r="O2384">
        <v>19.34</v>
      </c>
      <c r="P2384">
        <v>14.99</v>
      </c>
    </row>
    <row r="2385" spans="1:16" x14ac:dyDescent="0.3">
      <c r="A2385">
        <v>57053</v>
      </c>
      <c r="B2385">
        <v>105</v>
      </c>
      <c r="C2385" t="s">
        <v>557</v>
      </c>
      <c r="D2385" s="452">
        <v>45962</v>
      </c>
      <c r="E2385">
        <v>20385</v>
      </c>
      <c r="F2385" t="s">
        <v>4910</v>
      </c>
      <c r="G2385">
        <v>2195</v>
      </c>
      <c r="H2385">
        <v>3</v>
      </c>
      <c r="I2385" t="s">
        <v>4736</v>
      </c>
      <c r="J2385" t="s">
        <v>5191</v>
      </c>
      <c r="K2385" t="s">
        <v>751</v>
      </c>
      <c r="L2385">
        <v>0</v>
      </c>
      <c r="N2385">
        <v>0</v>
      </c>
      <c r="O2385">
        <v>5.56</v>
      </c>
      <c r="P2385">
        <v>14.85</v>
      </c>
    </row>
    <row r="2386" spans="1:16" x14ac:dyDescent="0.3">
      <c r="A2386">
        <v>57159</v>
      </c>
      <c r="B2386">
        <v>105</v>
      </c>
      <c r="C2386" t="s">
        <v>557</v>
      </c>
      <c r="D2386" s="452">
        <v>45962</v>
      </c>
      <c r="E2386">
        <v>27145</v>
      </c>
      <c r="F2386" t="s">
        <v>5028</v>
      </c>
      <c r="G2386">
        <v>7186</v>
      </c>
      <c r="H2386">
        <v>1</v>
      </c>
      <c r="I2386" t="s">
        <v>4965</v>
      </c>
      <c r="J2386" t="s">
        <v>5222</v>
      </c>
      <c r="K2386" t="s">
        <v>751</v>
      </c>
      <c r="L2386">
        <v>0</v>
      </c>
      <c r="M2386" s="452">
        <v>45909</v>
      </c>
      <c r="N2386">
        <v>14.5</v>
      </c>
      <c r="O2386">
        <v>14.5</v>
      </c>
      <c r="P2386">
        <v>14.5</v>
      </c>
    </row>
    <row r="2387" spans="1:16" x14ac:dyDescent="0.3">
      <c r="A2387">
        <v>57131</v>
      </c>
      <c r="B2387">
        <v>105</v>
      </c>
      <c r="C2387" t="s">
        <v>557</v>
      </c>
      <c r="D2387" s="452">
        <v>45962</v>
      </c>
      <c r="E2387">
        <v>23113</v>
      </c>
      <c r="F2387" t="s">
        <v>5074</v>
      </c>
      <c r="G2387">
        <v>2736</v>
      </c>
      <c r="H2387">
        <v>1.4</v>
      </c>
      <c r="I2387" t="s">
        <v>4744</v>
      </c>
      <c r="J2387" t="s">
        <v>5191</v>
      </c>
      <c r="K2387" t="s">
        <v>751</v>
      </c>
      <c r="L2387">
        <v>9.7799999999999994</v>
      </c>
      <c r="M2387" s="452">
        <v>45957</v>
      </c>
      <c r="N2387">
        <v>9.5</v>
      </c>
      <c r="O2387">
        <v>9.3800000000000008</v>
      </c>
      <c r="P2387">
        <v>13.69</v>
      </c>
    </row>
    <row r="2388" spans="1:16" x14ac:dyDescent="0.3">
      <c r="A2388">
        <v>57020</v>
      </c>
      <c r="B2388">
        <v>105</v>
      </c>
      <c r="C2388" t="s">
        <v>557</v>
      </c>
      <c r="D2388" s="452">
        <v>45962</v>
      </c>
      <c r="E2388">
        <v>19907</v>
      </c>
      <c r="F2388" t="s">
        <v>4802</v>
      </c>
      <c r="G2388">
        <v>2381</v>
      </c>
      <c r="H2388">
        <v>4.4000000000000004</v>
      </c>
      <c r="I2388" t="s">
        <v>4736</v>
      </c>
      <c r="J2388" t="s">
        <v>5191</v>
      </c>
      <c r="K2388" t="s">
        <v>751</v>
      </c>
      <c r="L2388">
        <v>0</v>
      </c>
      <c r="M2388" s="452">
        <v>45660</v>
      </c>
      <c r="N2388">
        <v>3.05</v>
      </c>
      <c r="O2388">
        <v>3.23</v>
      </c>
      <c r="P2388">
        <v>13.42</v>
      </c>
    </row>
    <row r="2389" spans="1:16" x14ac:dyDescent="0.3">
      <c r="A2389">
        <v>57196</v>
      </c>
      <c r="B2389">
        <v>105</v>
      </c>
      <c r="C2389" t="s">
        <v>557</v>
      </c>
      <c r="D2389" s="452">
        <v>45962</v>
      </c>
      <c r="E2389">
        <v>19710</v>
      </c>
      <c r="F2389" t="s">
        <v>4963</v>
      </c>
      <c r="G2389">
        <v>2540</v>
      </c>
      <c r="H2389">
        <v>0.6</v>
      </c>
      <c r="I2389" t="s">
        <v>4738</v>
      </c>
      <c r="J2389" t="s">
        <v>5191</v>
      </c>
      <c r="K2389" t="s">
        <v>751</v>
      </c>
      <c r="L2389">
        <v>22.1</v>
      </c>
      <c r="M2389" s="452">
        <v>45954</v>
      </c>
      <c r="N2389">
        <v>22.3</v>
      </c>
      <c r="O2389">
        <v>22.3</v>
      </c>
      <c r="P2389">
        <v>13.26</v>
      </c>
    </row>
    <row r="2390" spans="1:16" x14ac:dyDescent="0.3">
      <c r="A2390">
        <v>57239</v>
      </c>
      <c r="B2390">
        <v>105</v>
      </c>
      <c r="C2390" t="s">
        <v>557</v>
      </c>
      <c r="D2390" s="452">
        <v>45962</v>
      </c>
      <c r="E2390">
        <v>24046</v>
      </c>
      <c r="F2390" t="s">
        <v>5454</v>
      </c>
      <c r="G2390">
        <v>2315</v>
      </c>
      <c r="H2390">
        <v>0.17</v>
      </c>
      <c r="I2390" t="s">
        <v>4744</v>
      </c>
      <c r="J2390" t="s">
        <v>5191</v>
      </c>
      <c r="K2390" t="s">
        <v>751</v>
      </c>
      <c r="L2390">
        <v>0</v>
      </c>
      <c r="N2390">
        <v>0</v>
      </c>
      <c r="O2390">
        <v>50.9</v>
      </c>
      <c r="P2390">
        <v>12.75</v>
      </c>
    </row>
    <row r="2391" spans="1:16" x14ac:dyDescent="0.3">
      <c r="A2391">
        <v>57206</v>
      </c>
      <c r="B2391">
        <v>105</v>
      </c>
      <c r="C2391" t="s">
        <v>557</v>
      </c>
      <c r="D2391" s="452">
        <v>45962</v>
      </c>
      <c r="E2391">
        <v>24272</v>
      </c>
      <c r="F2391" t="s">
        <v>5059</v>
      </c>
      <c r="G2391">
        <v>2341</v>
      </c>
      <c r="H2391">
        <v>0.5</v>
      </c>
      <c r="I2391" t="s">
        <v>4744</v>
      </c>
      <c r="J2391" t="s">
        <v>5191</v>
      </c>
      <c r="K2391" t="s">
        <v>751</v>
      </c>
      <c r="L2391">
        <v>0</v>
      </c>
      <c r="M2391" s="452">
        <v>45737</v>
      </c>
      <c r="N2391">
        <v>24</v>
      </c>
      <c r="O2391">
        <v>19.899999999999999</v>
      </c>
      <c r="P2391">
        <v>12</v>
      </c>
    </row>
    <row r="2392" spans="1:16" x14ac:dyDescent="0.3">
      <c r="A2392">
        <v>57207</v>
      </c>
      <c r="B2392">
        <v>105</v>
      </c>
      <c r="C2392" t="s">
        <v>557</v>
      </c>
      <c r="D2392" s="452">
        <v>45962</v>
      </c>
      <c r="E2392">
        <v>20186</v>
      </c>
      <c r="F2392" t="s">
        <v>5061</v>
      </c>
      <c r="G2392">
        <v>2259</v>
      </c>
      <c r="H2392">
        <v>0.5</v>
      </c>
      <c r="I2392" t="s">
        <v>4744</v>
      </c>
      <c r="J2392" t="s">
        <v>5191</v>
      </c>
      <c r="K2392" t="s">
        <v>751</v>
      </c>
      <c r="L2392">
        <v>0</v>
      </c>
      <c r="M2392" s="452">
        <v>45926</v>
      </c>
      <c r="N2392">
        <v>24</v>
      </c>
      <c r="O2392">
        <v>24</v>
      </c>
      <c r="P2392">
        <v>12</v>
      </c>
    </row>
    <row r="2393" spans="1:16" x14ac:dyDescent="0.3">
      <c r="A2393">
        <v>57124</v>
      </c>
      <c r="B2393">
        <v>105</v>
      </c>
      <c r="C2393" t="s">
        <v>557</v>
      </c>
      <c r="D2393" s="452">
        <v>45962</v>
      </c>
      <c r="E2393">
        <v>19742</v>
      </c>
      <c r="F2393" t="s">
        <v>4900</v>
      </c>
      <c r="G2393">
        <v>2511</v>
      </c>
      <c r="H2393">
        <v>1.6</v>
      </c>
      <c r="I2393" t="s">
        <v>4744</v>
      </c>
      <c r="J2393" t="s">
        <v>5191</v>
      </c>
      <c r="K2393" t="s">
        <v>751</v>
      </c>
      <c r="L2393">
        <v>6.71</v>
      </c>
      <c r="M2393" s="452">
        <v>45954</v>
      </c>
      <c r="N2393">
        <v>8</v>
      </c>
      <c r="O2393">
        <v>7.76</v>
      </c>
      <c r="P2393">
        <v>10.74</v>
      </c>
    </row>
    <row r="2394" spans="1:16" x14ac:dyDescent="0.3">
      <c r="A2394">
        <v>57184</v>
      </c>
      <c r="B2394">
        <v>105</v>
      </c>
      <c r="C2394" t="s">
        <v>557</v>
      </c>
      <c r="D2394" s="452">
        <v>45962</v>
      </c>
      <c r="E2394">
        <v>19480</v>
      </c>
      <c r="F2394" t="s">
        <v>5119</v>
      </c>
      <c r="G2394">
        <v>2726</v>
      </c>
      <c r="H2394">
        <v>0.92</v>
      </c>
      <c r="I2394" t="s">
        <v>4744</v>
      </c>
      <c r="J2394" t="s">
        <v>5191</v>
      </c>
      <c r="K2394" t="s">
        <v>751</v>
      </c>
      <c r="L2394">
        <v>10.94</v>
      </c>
      <c r="M2394" s="452">
        <v>45957</v>
      </c>
      <c r="N2394">
        <v>11</v>
      </c>
      <c r="O2394">
        <v>10</v>
      </c>
      <c r="P2394">
        <v>10.06</v>
      </c>
    </row>
    <row r="2395" spans="1:16" x14ac:dyDescent="0.3">
      <c r="A2395">
        <v>57153</v>
      </c>
      <c r="B2395">
        <v>105</v>
      </c>
      <c r="C2395" t="s">
        <v>557</v>
      </c>
      <c r="D2395" s="452">
        <v>45962</v>
      </c>
      <c r="E2395">
        <v>20791</v>
      </c>
      <c r="F2395" t="s">
        <v>5021</v>
      </c>
      <c r="G2395">
        <v>2076</v>
      </c>
      <c r="H2395">
        <v>1</v>
      </c>
      <c r="I2395" t="s">
        <v>4738</v>
      </c>
      <c r="J2395" t="s">
        <v>5191</v>
      </c>
      <c r="K2395" t="s">
        <v>751</v>
      </c>
      <c r="L2395">
        <v>9.89</v>
      </c>
      <c r="M2395" s="452">
        <v>45932</v>
      </c>
      <c r="N2395">
        <v>9.89</v>
      </c>
      <c r="O2395">
        <v>10.1</v>
      </c>
      <c r="P2395">
        <v>9.89</v>
      </c>
    </row>
    <row r="2396" spans="1:16" x14ac:dyDescent="0.3">
      <c r="A2396">
        <v>57154</v>
      </c>
      <c r="B2396">
        <v>105</v>
      </c>
      <c r="C2396" t="s">
        <v>557</v>
      </c>
      <c r="D2396" s="452">
        <v>45962</v>
      </c>
      <c r="E2396">
        <v>20794</v>
      </c>
      <c r="F2396" t="s">
        <v>5023</v>
      </c>
      <c r="G2396">
        <v>2076</v>
      </c>
      <c r="H2396">
        <v>1</v>
      </c>
      <c r="I2396" t="s">
        <v>4744</v>
      </c>
      <c r="J2396" t="s">
        <v>5191</v>
      </c>
      <c r="K2396" t="s">
        <v>751</v>
      </c>
      <c r="L2396">
        <v>0</v>
      </c>
      <c r="M2396" s="452">
        <v>45901</v>
      </c>
      <c r="N2396">
        <v>9.89</v>
      </c>
      <c r="O2396">
        <v>9.99</v>
      </c>
      <c r="P2396">
        <v>9.89</v>
      </c>
    </row>
    <row r="2397" spans="1:16" x14ac:dyDescent="0.3">
      <c r="A2397">
        <v>57059</v>
      </c>
      <c r="B2397">
        <v>105</v>
      </c>
      <c r="C2397" t="s">
        <v>557</v>
      </c>
      <c r="D2397" s="452">
        <v>45962</v>
      </c>
      <c r="E2397">
        <v>19642</v>
      </c>
      <c r="F2397" t="s">
        <v>4996</v>
      </c>
      <c r="G2397">
        <v>2596</v>
      </c>
      <c r="H2397">
        <v>3</v>
      </c>
      <c r="I2397" t="s">
        <v>4744</v>
      </c>
      <c r="J2397" t="s">
        <v>5191</v>
      </c>
      <c r="K2397" t="s">
        <v>751</v>
      </c>
      <c r="L2397">
        <v>3.29</v>
      </c>
      <c r="M2397" s="452">
        <v>45957</v>
      </c>
      <c r="N2397">
        <v>2.61</v>
      </c>
      <c r="O2397">
        <v>3.43</v>
      </c>
      <c r="P2397">
        <v>9.8699999999999992</v>
      </c>
    </row>
    <row r="2398" spans="1:16" x14ac:dyDescent="0.3">
      <c r="A2398">
        <v>57202</v>
      </c>
      <c r="B2398">
        <v>105</v>
      </c>
      <c r="C2398" t="s">
        <v>557</v>
      </c>
      <c r="D2398" s="452">
        <v>45962</v>
      </c>
      <c r="E2398">
        <v>23511</v>
      </c>
      <c r="F2398" t="s">
        <v>4993</v>
      </c>
      <c r="G2398">
        <v>2356</v>
      </c>
      <c r="H2398">
        <v>0.56999999999999995</v>
      </c>
      <c r="I2398" t="s">
        <v>4744</v>
      </c>
      <c r="J2398" t="s">
        <v>5191</v>
      </c>
      <c r="K2398" t="s">
        <v>751</v>
      </c>
      <c r="L2398">
        <v>16.98</v>
      </c>
      <c r="M2398" s="452">
        <v>45939</v>
      </c>
      <c r="N2398">
        <v>16.98</v>
      </c>
      <c r="O2398">
        <v>16.98</v>
      </c>
      <c r="P2398">
        <v>9.68</v>
      </c>
    </row>
    <row r="2399" spans="1:16" x14ac:dyDescent="0.3">
      <c r="A2399">
        <v>57021</v>
      </c>
      <c r="B2399">
        <v>105</v>
      </c>
      <c r="C2399" t="s">
        <v>557</v>
      </c>
      <c r="D2399" s="452">
        <v>45962</v>
      </c>
      <c r="E2399">
        <v>19553</v>
      </c>
      <c r="F2399" t="s">
        <v>4868</v>
      </c>
      <c r="G2399">
        <v>2663</v>
      </c>
      <c r="H2399">
        <v>4.3499999999999996</v>
      </c>
      <c r="I2399" t="s">
        <v>4744</v>
      </c>
      <c r="J2399" t="s">
        <v>5191</v>
      </c>
      <c r="K2399" t="s">
        <v>751</v>
      </c>
      <c r="L2399">
        <v>2.2000000000000002</v>
      </c>
      <c r="M2399" s="452">
        <v>45954</v>
      </c>
      <c r="N2399">
        <v>2.2000000000000002</v>
      </c>
      <c r="O2399">
        <v>2.2000000000000002</v>
      </c>
      <c r="P2399">
        <v>9.57</v>
      </c>
    </row>
    <row r="2400" spans="1:16" x14ac:dyDescent="0.3">
      <c r="A2400">
        <v>57235</v>
      </c>
      <c r="B2400">
        <v>105</v>
      </c>
      <c r="C2400" t="s">
        <v>557</v>
      </c>
      <c r="D2400" s="452">
        <v>45962</v>
      </c>
      <c r="E2400">
        <v>20914</v>
      </c>
      <c r="F2400" t="s">
        <v>5005</v>
      </c>
      <c r="G2400">
        <v>2034</v>
      </c>
      <c r="H2400">
        <v>0.23</v>
      </c>
      <c r="I2400" t="s">
        <v>4736</v>
      </c>
      <c r="J2400" t="s">
        <v>5191</v>
      </c>
      <c r="K2400" t="s">
        <v>751</v>
      </c>
      <c r="L2400">
        <v>0</v>
      </c>
      <c r="N2400">
        <v>0</v>
      </c>
      <c r="O2400">
        <v>49.4</v>
      </c>
      <c r="P2400">
        <v>9.5299999999999994</v>
      </c>
    </row>
    <row r="2401" spans="1:16" x14ac:dyDescent="0.3">
      <c r="A2401">
        <v>57134</v>
      </c>
      <c r="B2401">
        <v>105</v>
      </c>
      <c r="C2401" t="s">
        <v>557</v>
      </c>
      <c r="D2401" s="452">
        <v>45962</v>
      </c>
      <c r="E2401">
        <v>19647</v>
      </c>
      <c r="F2401" t="s">
        <v>5050</v>
      </c>
      <c r="G2401">
        <v>2591</v>
      </c>
      <c r="H2401">
        <v>1.25</v>
      </c>
      <c r="I2401" t="s">
        <v>4744</v>
      </c>
      <c r="J2401" t="s">
        <v>5191</v>
      </c>
      <c r="K2401" t="s">
        <v>751</v>
      </c>
      <c r="L2401">
        <v>7.5</v>
      </c>
      <c r="M2401" s="452">
        <v>45957</v>
      </c>
      <c r="N2401">
        <v>7.5</v>
      </c>
      <c r="O2401">
        <v>7.2</v>
      </c>
      <c r="P2401">
        <v>9.3800000000000008</v>
      </c>
    </row>
    <row r="2402" spans="1:16" x14ac:dyDescent="0.3">
      <c r="A2402">
        <v>57240</v>
      </c>
      <c r="B2402">
        <v>105</v>
      </c>
      <c r="C2402" t="s">
        <v>557</v>
      </c>
      <c r="D2402" s="452">
        <v>45962</v>
      </c>
      <c r="E2402">
        <v>20034</v>
      </c>
      <c r="F2402" t="s">
        <v>5065</v>
      </c>
      <c r="G2402">
        <v>2333</v>
      </c>
      <c r="H2402">
        <v>0.15</v>
      </c>
      <c r="I2402" t="s">
        <v>4744</v>
      </c>
      <c r="J2402" t="s">
        <v>5191</v>
      </c>
      <c r="K2402" t="s">
        <v>751</v>
      </c>
      <c r="L2402">
        <v>0</v>
      </c>
      <c r="N2402">
        <v>0</v>
      </c>
      <c r="O2402">
        <v>60.8</v>
      </c>
      <c r="P2402">
        <v>9.1199999999999992</v>
      </c>
    </row>
    <row r="2403" spans="1:16" x14ac:dyDescent="0.3">
      <c r="A2403">
        <v>57126</v>
      </c>
      <c r="B2403">
        <v>105</v>
      </c>
      <c r="C2403" t="s">
        <v>557</v>
      </c>
      <c r="D2403" s="452">
        <v>45962</v>
      </c>
      <c r="E2403">
        <v>19737</v>
      </c>
      <c r="F2403" t="s">
        <v>4940</v>
      </c>
      <c r="G2403">
        <v>2516</v>
      </c>
      <c r="H2403">
        <v>1.5</v>
      </c>
      <c r="I2403" t="s">
        <v>4744</v>
      </c>
      <c r="J2403" t="s">
        <v>5191</v>
      </c>
      <c r="K2403" t="s">
        <v>751</v>
      </c>
      <c r="L2403">
        <v>6.05</v>
      </c>
      <c r="M2403" s="452">
        <v>45939</v>
      </c>
      <c r="N2403">
        <v>5.93</v>
      </c>
      <c r="O2403">
        <v>4.1900000000000004</v>
      </c>
      <c r="P2403">
        <v>9.07</v>
      </c>
    </row>
    <row r="2404" spans="1:16" x14ac:dyDescent="0.3">
      <c r="A2404">
        <v>57188</v>
      </c>
      <c r="B2404">
        <v>105</v>
      </c>
      <c r="C2404" t="s">
        <v>557</v>
      </c>
      <c r="D2404" s="452">
        <v>45962</v>
      </c>
      <c r="E2404">
        <v>19488</v>
      </c>
      <c r="F2404" t="s">
        <v>5107</v>
      </c>
      <c r="G2404">
        <v>2720</v>
      </c>
      <c r="H2404">
        <v>0.8</v>
      </c>
      <c r="I2404" t="s">
        <v>4744</v>
      </c>
      <c r="J2404" t="s">
        <v>5191</v>
      </c>
      <c r="K2404" t="s">
        <v>751</v>
      </c>
      <c r="L2404">
        <v>10.94</v>
      </c>
      <c r="M2404" s="452">
        <v>45957</v>
      </c>
      <c r="N2404">
        <v>12</v>
      </c>
      <c r="O2404">
        <v>11</v>
      </c>
      <c r="P2404">
        <v>8.75</v>
      </c>
    </row>
    <row r="2405" spans="1:16" x14ac:dyDescent="0.3">
      <c r="A2405">
        <v>57136</v>
      </c>
      <c r="B2405">
        <v>105</v>
      </c>
      <c r="C2405" t="s">
        <v>557</v>
      </c>
      <c r="D2405" s="452">
        <v>45962</v>
      </c>
      <c r="E2405">
        <v>24598</v>
      </c>
      <c r="F2405" t="s">
        <v>4852</v>
      </c>
      <c r="G2405">
        <v>2725</v>
      </c>
      <c r="H2405">
        <v>1.2</v>
      </c>
      <c r="I2405" t="s">
        <v>4744</v>
      </c>
      <c r="J2405" t="s">
        <v>5191</v>
      </c>
      <c r="K2405" t="s">
        <v>751</v>
      </c>
      <c r="L2405">
        <v>7.24</v>
      </c>
      <c r="M2405" s="452">
        <v>45952</v>
      </c>
      <c r="N2405">
        <v>6.61</v>
      </c>
      <c r="O2405">
        <v>7.97</v>
      </c>
      <c r="P2405">
        <v>8.69</v>
      </c>
    </row>
    <row r="2406" spans="1:16" x14ac:dyDescent="0.3">
      <c r="A2406">
        <v>57218</v>
      </c>
      <c r="B2406">
        <v>105</v>
      </c>
      <c r="C2406" t="s">
        <v>557</v>
      </c>
      <c r="D2406" s="452">
        <v>45962</v>
      </c>
      <c r="E2406">
        <v>19939</v>
      </c>
      <c r="F2406" t="s">
        <v>5057</v>
      </c>
      <c r="G2406">
        <v>2365</v>
      </c>
      <c r="H2406">
        <v>0.39</v>
      </c>
      <c r="I2406" t="s">
        <v>4744</v>
      </c>
      <c r="J2406" t="s">
        <v>5191</v>
      </c>
      <c r="K2406" t="s">
        <v>751</v>
      </c>
      <c r="L2406">
        <v>0</v>
      </c>
      <c r="N2406">
        <v>0</v>
      </c>
      <c r="O2406">
        <v>99.2</v>
      </c>
      <c r="P2406">
        <v>8.58</v>
      </c>
    </row>
    <row r="2407" spans="1:16" x14ac:dyDescent="0.3">
      <c r="A2407">
        <v>57039</v>
      </c>
      <c r="B2407">
        <v>105</v>
      </c>
      <c r="C2407" t="s">
        <v>557</v>
      </c>
      <c r="D2407" s="452">
        <v>45962</v>
      </c>
      <c r="E2407">
        <v>19632</v>
      </c>
      <c r="F2407" t="s">
        <v>4936</v>
      </c>
      <c r="G2407">
        <v>2604</v>
      </c>
      <c r="H2407">
        <v>3.9</v>
      </c>
      <c r="I2407" t="s">
        <v>4744</v>
      </c>
      <c r="J2407" t="s">
        <v>5191</v>
      </c>
      <c r="K2407" t="s">
        <v>751</v>
      </c>
      <c r="L2407">
        <v>1.98</v>
      </c>
      <c r="M2407" s="452">
        <v>45953</v>
      </c>
      <c r="N2407">
        <v>1.79</v>
      </c>
      <c r="O2407">
        <v>1.96</v>
      </c>
      <c r="P2407">
        <v>7.72</v>
      </c>
    </row>
    <row r="2408" spans="1:16" x14ac:dyDescent="0.3">
      <c r="A2408">
        <v>57158</v>
      </c>
      <c r="B2408">
        <v>105</v>
      </c>
      <c r="C2408" t="s">
        <v>557</v>
      </c>
      <c r="D2408" s="452">
        <v>45962</v>
      </c>
      <c r="E2408">
        <v>19415</v>
      </c>
      <c r="F2408" t="s">
        <v>4919</v>
      </c>
      <c r="G2408">
        <v>2759</v>
      </c>
      <c r="H2408">
        <v>1</v>
      </c>
      <c r="I2408" t="s">
        <v>4736</v>
      </c>
      <c r="J2408" t="s">
        <v>5191</v>
      </c>
      <c r="K2408" t="s">
        <v>751</v>
      </c>
      <c r="L2408">
        <v>7.7</v>
      </c>
      <c r="M2408" s="452">
        <v>45954</v>
      </c>
      <c r="N2408">
        <v>7.8</v>
      </c>
      <c r="O2408">
        <v>7.8</v>
      </c>
      <c r="P2408">
        <v>7.7</v>
      </c>
    </row>
    <row r="2409" spans="1:16" x14ac:dyDescent="0.3">
      <c r="A2409">
        <v>57189</v>
      </c>
      <c r="B2409">
        <v>105</v>
      </c>
      <c r="C2409" t="s">
        <v>557</v>
      </c>
      <c r="D2409" s="452">
        <v>45962</v>
      </c>
      <c r="E2409">
        <v>19561</v>
      </c>
      <c r="F2409" t="s">
        <v>5365</v>
      </c>
      <c r="G2409">
        <v>2656</v>
      </c>
      <c r="H2409">
        <v>0.8</v>
      </c>
      <c r="I2409" t="s">
        <v>4744</v>
      </c>
      <c r="J2409" t="s">
        <v>5191</v>
      </c>
      <c r="K2409" t="s">
        <v>751</v>
      </c>
      <c r="L2409">
        <v>0</v>
      </c>
      <c r="M2409" s="452">
        <v>45918</v>
      </c>
      <c r="N2409">
        <v>9.5</v>
      </c>
      <c r="O2409">
        <v>9.9600000000000009</v>
      </c>
      <c r="P2409">
        <v>7.6</v>
      </c>
    </row>
    <row r="2410" spans="1:16" x14ac:dyDescent="0.3">
      <c r="A2410">
        <v>57107</v>
      </c>
      <c r="B2410">
        <v>105</v>
      </c>
      <c r="C2410" t="s">
        <v>557</v>
      </c>
      <c r="D2410" s="452">
        <v>45962</v>
      </c>
      <c r="E2410">
        <v>19241</v>
      </c>
      <c r="F2410" t="s">
        <v>4890</v>
      </c>
      <c r="G2410">
        <v>2785</v>
      </c>
      <c r="H2410">
        <v>2</v>
      </c>
      <c r="I2410" t="s">
        <v>4736</v>
      </c>
      <c r="J2410" t="s">
        <v>5191</v>
      </c>
      <c r="K2410" t="s">
        <v>751</v>
      </c>
      <c r="L2410">
        <v>3.75</v>
      </c>
      <c r="M2410" s="452">
        <v>45947</v>
      </c>
      <c r="N2410">
        <v>3.75</v>
      </c>
      <c r="O2410">
        <v>3.75</v>
      </c>
      <c r="P2410">
        <v>7.5</v>
      </c>
    </row>
    <row r="2411" spans="1:16" x14ac:dyDescent="0.3">
      <c r="A2411">
        <v>57233</v>
      </c>
      <c r="B2411">
        <v>105</v>
      </c>
      <c r="C2411" t="s">
        <v>557</v>
      </c>
      <c r="D2411" s="452">
        <v>45962</v>
      </c>
      <c r="E2411">
        <v>20224</v>
      </c>
      <c r="F2411" t="s">
        <v>5118</v>
      </c>
      <c r="G2411">
        <v>2249</v>
      </c>
      <c r="H2411">
        <v>0.25</v>
      </c>
      <c r="I2411" t="s">
        <v>4744</v>
      </c>
      <c r="J2411" t="s">
        <v>5191</v>
      </c>
      <c r="K2411" t="s">
        <v>751</v>
      </c>
      <c r="L2411">
        <v>0</v>
      </c>
      <c r="M2411" s="452">
        <v>45902</v>
      </c>
      <c r="N2411">
        <v>29</v>
      </c>
      <c r="O2411">
        <v>30.54</v>
      </c>
      <c r="P2411">
        <v>7.25</v>
      </c>
    </row>
    <row r="2412" spans="1:16" x14ac:dyDescent="0.3">
      <c r="A2412">
        <v>57192</v>
      </c>
      <c r="B2412">
        <v>105</v>
      </c>
      <c r="C2412" t="s">
        <v>557</v>
      </c>
      <c r="D2412" s="452">
        <v>45962</v>
      </c>
      <c r="E2412">
        <v>25079</v>
      </c>
      <c r="F2412" t="s">
        <v>5006</v>
      </c>
      <c r="G2412">
        <v>2239</v>
      </c>
      <c r="H2412">
        <v>0.75</v>
      </c>
      <c r="I2412" t="s">
        <v>4738</v>
      </c>
      <c r="J2412" t="s">
        <v>5191</v>
      </c>
      <c r="K2412" t="s">
        <v>751</v>
      </c>
      <c r="L2412">
        <v>0</v>
      </c>
      <c r="N2412">
        <v>0</v>
      </c>
      <c r="O2412">
        <v>8.9499999999999993</v>
      </c>
      <c r="P2412">
        <v>6.72</v>
      </c>
    </row>
    <row r="2413" spans="1:16" x14ac:dyDescent="0.3">
      <c r="A2413">
        <v>57127</v>
      </c>
      <c r="B2413">
        <v>105</v>
      </c>
      <c r="C2413" t="s">
        <v>557</v>
      </c>
      <c r="D2413" s="452">
        <v>45962</v>
      </c>
      <c r="E2413">
        <v>19465</v>
      </c>
      <c r="F2413" t="s">
        <v>5114</v>
      </c>
      <c r="G2413">
        <v>2737</v>
      </c>
      <c r="H2413">
        <v>1.5</v>
      </c>
      <c r="I2413" t="s">
        <v>4744</v>
      </c>
      <c r="J2413" t="s">
        <v>5191</v>
      </c>
      <c r="K2413" t="s">
        <v>751</v>
      </c>
      <c r="L2413">
        <v>4.45</v>
      </c>
      <c r="M2413" s="452">
        <v>45954</v>
      </c>
      <c r="N2413">
        <v>4.2300000000000004</v>
      </c>
      <c r="O2413">
        <v>4.3899999999999997</v>
      </c>
      <c r="P2413">
        <v>6.68</v>
      </c>
    </row>
    <row r="2414" spans="1:16" x14ac:dyDescent="0.3">
      <c r="A2414">
        <v>57224</v>
      </c>
      <c r="B2414">
        <v>105</v>
      </c>
      <c r="C2414" t="s">
        <v>557</v>
      </c>
      <c r="D2414" s="452">
        <v>45962</v>
      </c>
      <c r="E2414">
        <v>24322</v>
      </c>
      <c r="F2414" t="s">
        <v>5064</v>
      </c>
      <c r="G2414">
        <v>2342</v>
      </c>
      <c r="H2414">
        <v>0.3</v>
      </c>
      <c r="I2414" t="s">
        <v>4744</v>
      </c>
      <c r="J2414" t="s">
        <v>5191</v>
      </c>
      <c r="K2414" t="s">
        <v>751</v>
      </c>
      <c r="L2414">
        <v>0</v>
      </c>
      <c r="M2414" s="452">
        <v>45918</v>
      </c>
      <c r="N2414">
        <v>22</v>
      </c>
      <c r="O2414">
        <v>22</v>
      </c>
      <c r="P2414">
        <v>6.6</v>
      </c>
    </row>
    <row r="2415" spans="1:16" x14ac:dyDescent="0.3">
      <c r="A2415">
        <v>57243</v>
      </c>
      <c r="B2415">
        <v>105</v>
      </c>
      <c r="C2415" t="s">
        <v>557</v>
      </c>
      <c r="D2415" s="452">
        <v>45962</v>
      </c>
      <c r="E2415">
        <v>19478</v>
      </c>
      <c r="F2415" t="s">
        <v>5283</v>
      </c>
      <c r="G2415">
        <v>2728</v>
      </c>
      <c r="H2415">
        <v>0.1</v>
      </c>
      <c r="I2415" t="s">
        <v>4744</v>
      </c>
      <c r="J2415" t="s">
        <v>5191</v>
      </c>
      <c r="K2415" t="s">
        <v>751</v>
      </c>
      <c r="L2415">
        <v>62.5</v>
      </c>
      <c r="M2415" s="452">
        <v>45953</v>
      </c>
      <c r="N2415">
        <v>62.5</v>
      </c>
      <c r="O2415">
        <v>75</v>
      </c>
      <c r="P2415">
        <v>6.25</v>
      </c>
    </row>
    <row r="2416" spans="1:16" x14ac:dyDescent="0.3">
      <c r="A2416">
        <v>57181</v>
      </c>
      <c r="B2416">
        <v>105</v>
      </c>
      <c r="C2416" t="s">
        <v>557</v>
      </c>
      <c r="D2416" s="452">
        <v>45962</v>
      </c>
      <c r="E2416">
        <v>19982</v>
      </c>
      <c r="F2416" t="s">
        <v>5017</v>
      </c>
      <c r="G2416">
        <v>2351</v>
      </c>
      <c r="H2416">
        <v>1</v>
      </c>
      <c r="I2416" t="s">
        <v>4888</v>
      </c>
      <c r="J2416" t="s">
        <v>5191</v>
      </c>
      <c r="K2416" t="s">
        <v>751</v>
      </c>
      <c r="L2416">
        <v>0</v>
      </c>
      <c r="M2416" s="452">
        <v>45918</v>
      </c>
      <c r="N2416">
        <v>6.15</v>
      </c>
      <c r="O2416">
        <v>6.14</v>
      </c>
      <c r="P2416">
        <v>6.15</v>
      </c>
    </row>
    <row r="2417" spans="1:16" x14ac:dyDescent="0.3">
      <c r="A2417">
        <v>57223</v>
      </c>
      <c r="B2417">
        <v>105</v>
      </c>
      <c r="C2417" t="s">
        <v>557</v>
      </c>
      <c r="D2417" s="452">
        <v>45962</v>
      </c>
      <c r="E2417">
        <v>20025</v>
      </c>
      <c r="F2417" t="s">
        <v>5010</v>
      </c>
      <c r="G2417">
        <v>2339</v>
      </c>
      <c r="H2417">
        <v>0.3</v>
      </c>
      <c r="I2417" t="s">
        <v>4736</v>
      </c>
      <c r="J2417" t="s">
        <v>5191</v>
      </c>
      <c r="K2417" t="s">
        <v>751</v>
      </c>
      <c r="L2417">
        <v>0</v>
      </c>
      <c r="M2417" s="452">
        <v>45901</v>
      </c>
      <c r="N2417">
        <v>18.600000000000001</v>
      </c>
      <c r="O2417">
        <v>19.2</v>
      </c>
      <c r="P2417">
        <v>5.58</v>
      </c>
    </row>
    <row r="2418" spans="1:16" x14ac:dyDescent="0.3">
      <c r="A2418">
        <v>57138</v>
      </c>
      <c r="B2418">
        <v>105</v>
      </c>
      <c r="C2418" t="s">
        <v>557</v>
      </c>
      <c r="D2418" s="452">
        <v>45962</v>
      </c>
      <c r="E2418">
        <v>19783</v>
      </c>
      <c r="F2418" t="s">
        <v>4960</v>
      </c>
      <c r="G2418">
        <v>2475</v>
      </c>
      <c r="H2418">
        <v>1.1000000000000001</v>
      </c>
      <c r="I2418" t="s">
        <v>4744</v>
      </c>
      <c r="J2418" t="s">
        <v>5191</v>
      </c>
      <c r="K2418" t="s">
        <v>751</v>
      </c>
      <c r="L2418">
        <v>0</v>
      </c>
      <c r="M2418" s="452">
        <v>45820</v>
      </c>
      <c r="N2418">
        <v>4.5</v>
      </c>
      <c r="O2418">
        <v>3.5</v>
      </c>
      <c r="P2418">
        <v>4.95</v>
      </c>
    </row>
    <row r="2419" spans="1:16" x14ac:dyDescent="0.3">
      <c r="A2419">
        <v>57214</v>
      </c>
      <c r="B2419">
        <v>105</v>
      </c>
      <c r="C2419" t="s">
        <v>557</v>
      </c>
      <c r="D2419" s="452">
        <v>45962</v>
      </c>
      <c r="E2419">
        <v>19743</v>
      </c>
      <c r="F2419" t="s">
        <v>5047</v>
      </c>
      <c r="G2419">
        <v>2510</v>
      </c>
      <c r="H2419">
        <v>0.4</v>
      </c>
      <c r="I2419" t="s">
        <v>4744</v>
      </c>
      <c r="J2419" t="s">
        <v>5191</v>
      </c>
      <c r="K2419" t="s">
        <v>751</v>
      </c>
      <c r="L2419">
        <v>0</v>
      </c>
      <c r="M2419" s="452">
        <v>45904</v>
      </c>
      <c r="N2419">
        <v>12</v>
      </c>
      <c r="O2419">
        <v>13.5</v>
      </c>
      <c r="P2419">
        <v>4.8</v>
      </c>
    </row>
    <row r="2420" spans="1:16" x14ac:dyDescent="0.3">
      <c r="A2420">
        <v>57225</v>
      </c>
      <c r="B2420">
        <v>105</v>
      </c>
      <c r="C2420" t="s">
        <v>557</v>
      </c>
      <c r="D2420" s="452">
        <v>45962</v>
      </c>
      <c r="E2420">
        <v>19617</v>
      </c>
      <c r="F2420" t="s">
        <v>5071</v>
      </c>
      <c r="G2420">
        <v>2617</v>
      </c>
      <c r="H2420">
        <v>0.3</v>
      </c>
      <c r="I2420" t="s">
        <v>4744</v>
      </c>
      <c r="J2420" t="s">
        <v>5191</v>
      </c>
      <c r="K2420" t="s">
        <v>751</v>
      </c>
      <c r="L2420">
        <v>12.17</v>
      </c>
      <c r="M2420" s="452">
        <v>45957</v>
      </c>
      <c r="N2420">
        <v>12</v>
      </c>
      <c r="O2420">
        <v>10</v>
      </c>
      <c r="P2420">
        <v>3.65</v>
      </c>
    </row>
    <row r="2421" spans="1:16" x14ac:dyDescent="0.3">
      <c r="A2421">
        <v>57228</v>
      </c>
      <c r="B2421">
        <v>105</v>
      </c>
      <c r="C2421" t="s">
        <v>557</v>
      </c>
      <c r="D2421" s="452">
        <v>45962</v>
      </c>
      <c r="E2421">
        <v>19728</v>
      </c>
      <c r="F2421" t="s">
        <v>5106</v>
      </c>
      <c r="G2421">
        <v>2525</v>
      </c>
      <c r="H2421">
        <v>0.3</v>
      </c>
      <c r="I2421" t="s">
        <v>4744</v>
      </c>
      <c r="J2421" t="s">
        <v>5191</v>
      </c>
      <c r="K2421" t="s">
        <v>751</v>
      </c>
      <c r="L2421">
        <v>11.61</v>
      </c>
      <c r="M2421" s="452">
        <v>45955</v>
      </c>
      <c r="N2421">
        <v>11.03</v>
      </c>
      <c r="O2421">
        <v>11.03</v>
      </c>
      <c r="P2421">
        <v>3.48</v>
      </c>
    </row>
    <row r="2422" spans="1:16" x14ac:dyDescent="0.3">
      <c r="A2422">
        <v>57209</v>
      </c>
      <c r="B2422">
        <v>105</v>
      </c>
      <c r="C2422" t="s">
        <v>557</v>
      </c>
      <c r="D2422" s="452">
        <v>45962</v>
      </c>
      <c r="E2422">
        <v>23195</v>
      </c>
      <c r="F2422" t="s">
        <v>5051</v>
      </c>
      <c r="G2422">
        <v>2660</v>
      </c>
      <c r="H2422">
        <v>0.5</v>
      </c>
      <c r="I2422" t="s">
        <v>4744</v>
      </c>
      <c r="J2422" t="s">
        <v>5191</v>
      </c>
      <c r="K2422" t="s">
        <v>751</v>
      </c>
      <c r="L2422">
        <v>6</v>
      </c>
      <c r="M2422" s="452">
        <v>45952</v>
      </c>
      <c r="N2422">
        <v>6</v>
      </c>
      <c r="O2422">
        <v>6.5</v>
      </c>
      <c r="P2422">
        <v>3</v>
      </c>
    </row>
    <row r="2423" spans="1:16" x14ac:dyDescent="0.3">
      <c r="A2423">
        <v>57135</v>
      </c>
      <c r="B2423">
        <v>105</v>
      </c>
      <c r="C2423" t="s">
        <v>557</v>
      </c>
      <c r="D2423" s="452">
        <v>45962</v>
      </c>
      <c r="E2423">
        <v>19622</v>
      </c>
      <c r="F2423" t="s">
        <v>4915</v>
      </c>
      <c r="G2423">
        <v>2612</v>
      </c>
      <c r="H2423">
        <v>1.22</v>
      </c>
      <c r="I2423" t="s">
        <v>4744</v>
      </c>
      <c r="J2423" t="s">
        <v>5191</v>
      </c>
      <c r="K2423" t="s">
        <v>751</v>
      </c>
      <c r="L2423">
        <v>2.27</v>
      </c>
      <c r="M2423" s="452">
        <v>45954</v>
      </c>
      <c r="N2423">
        <v>2</v>
      </c>
      <c r="O2423">
        <v>2</v>
      </c>
      <c r="P2423">
        <v>2.77</v>
      </c>
    </row>
    <row r="2424" spans="1:16" x14ac:dyDescent="0.3">
      <c r="A2424">
        <v>57082</v>
      </c>
      <c r="B2424">
        <v>105</v>
      </c>
      <c r="C2424" t="s">
        <v>557</v>
      </c>
      <c r="D2424" s="452">
        <v>45962</v>
      </c>
      <c r="E2424">
        <v>24674</v>
      </c>
      <c r="F2424" t="s">
        <v>5060</v>
      </c>
      <c r="G2424">
        <v>5709</v>
      </c>
      <c r="H2424">
        <v>2.2000000000000002</v>
      </c>
      <c r="I2424" t="s">
        <v>4744</v>
      </c>
      <c r="J2424" t="s">
        <v>5191</v>
      </c>
      <c r="K2424" t="s">
        <v>751</v>
      </c>
      <c r="L2424">
        <v>0</v>
      </c>
      <c r="N2424">
        <v>0</v>
      </c>
      <c r="O2424">
        <v>1.2</v>
      </c>
      <c r="P2424">
        <v>2.64</v>
      </c>
    </row>
    <row r="2425" spans="1:16" x14ac:dyDescent="0.3">
      <c r="A2425">
        <v>57226</v>
      </c>
      <c r="B2425">
        <v>105</v>
      </c>
      <c r="C2425" t="s">
        <v>557</v>
      </c>
      <c r="D2425" s="452">
        <v>45962</v>
      </c>
      <c r="E2425">
        <v>19607</v>
      </c>
      <c r="F2425" t="s">
        <v>4981</v>
      </c>
      <c r="G2425">
        <v>2623</v>
      </c>
      <c r="H2425">
        <v>0.3</v>
      </c>
      <c r="I2425" t="s">
        <v>4744</v>
      </c>
      <c r="J2425" t="s">
        <v>5191</v>
      </c>
      <c r="K2425" t="s">
        <v>751</v>
      </c>
      <c r="L2425">
        <v>5.64</v>
      </c>
      <c r="M2425" s="452">
        <v>45953</v>
      </c>
      <c r="N2425">
        <v>5.58</v>
      </c>
      <c r="O2425">
        <v>5.58</v>
      </c>
      <c r="P2425">
        <v>1.69</v>
      </c>
    </row>
    <row r="2426" spans="1:16" x14ac:dyDescent="0.3">
      <c r="A2426">
        <v>57244</v>
      </c>
      <c r="B2426">
        <v>105</v>
      </c>
      <c r="C2426" t="s">
        <v>557</v>
      </c>
      <c r="D2426" s="452">
        <v>45962</v>
      </c>
      <c r="E2426">
        <v>20022</v>
      </c>
      <c r="F2426" t="s">
        <v>5455</v>
      </c>
      <c r="G2426">
        <v>2340</v>
      </c>
      <c r="H2426">
        <v>0.1</v>
      </c>
      <c r="I2426" t="s">
        <v>4736</v>
      </c>
      <c r="J2426" t="s">
        <v>5191</v>
      </c>
      <c r="K2426" t="s">
        <v>751</v>
      </c>
      <c r="L2426">
        <v>0</v>
      </c>
      <c r="M2426" s="452">
        <v>45839</v>
      </c>
      <c r="N2426">
        <v>9.2100000000000009</v>
      </c>
      <c r="O2426">
        <v>9.4700000000000006</v>
      </c>
      <c r="P2426">
        <v>0.92</v>
      </c>
    </row>
    <row r="2427" spans="1:16" x14ac:dyDescent="0.3">
      <c r="A2427">
        <v>56970</v>
      </c>
      <c r="B2427">
        <v>105</v>
      </c>
      <c r="C2427" t="s">
        <v>557</v>
      </c>
      <c r="D2427" s="452">
        <v>45962</v>
      </c>
      <c r="E2427">
        <v>18518</v>
      </c>
      <c r="F2427" t="s">
        <v>4838</v>
      </c>
      <c r="G2427">
        <v>3148</v>
      </c>
      <c r="H2427">
        <v>7</v>
      </c>
      <c r="I2427" t="s">
        <v>4805</v>
      </c>
      <c r="J2427" t="s">
        <v>5222</v>
      </c>
      <c r="K2427" t="s">
        <v>751</v>
      </c>
      <c r="L2427">
        <v>0</v>
      </c>
      <c r="M2427" s="452">
        <v>45910</v>
      </c>
      <c r="N2427">
        <v>0</v>
      </c>
      <c r="O2427">
        <v>0</v>
      </c>
      <c r="P2427">
        <v>0</v>
      </c>
    </row>
    <row r="2428" spans="1:16" x14ac:dyDescent="0.3">
      <c r="A2428">
        <v>57036</v>
      </c>
      <c r="B2428">
        <v>105</v>
      </c>
      <c r="C2428" t="s">
        <v>557</v>
      </c>
      <c r="D2428" s="452">
        <v>45962</v>
      </c>
      <c r="E2428">
        <v>24614</v>
      </c>
      <c r="F2428" t="s">
        <v>4897</v>
      </c>
      <c r="G2428">
        <v>3855</v>
      </c>
      <c r="H2428">
        <v>4</v>
      </c>
      <c r="I2428" t="s">
        <v>4805</v>
      </c>
      <c r="J2428" t="s">
        <v>5222</v>
      </c>
      <c r="K2428" t="s">
        <v>751</v>
      </c>
      <c r="L2428">
        <v>0</v>
      </c>
      <c r="M2428" s="452">
        <v>45846</v>
      </c>
      <c r="N2428">
        <v>0</v>
      </c>
      <c r="O2428">
        <v>0</v>
      </c>
      <c r="P2428">
        <v>0</v>
      </c>
    </row>
    <row r="2429" spans="1:16" x14ac:dyDescent="0.3">
      <c r="A2429">
        <v>57038</v>
      </c>
      <c r="B2429">
        <v>105</v>
      </c>
      <c r="C2429" t="s">
        <v>557</v>
      </c>
      <c r="D2429" s="452">
        <v>45962</v>
      </c>
      <c r="E2429">
        <v>17658</v>
      </c>
      <c r="F2429" t="s">
        <v>4978</v>
      </c>
      <c r="G2429">
        <v>3871</v>
      </c>
      <c r="H2429">
        <v>4</v>
      </c>
      <c r="I2429" t="s">
        <v>4805</v>
      </c>
      <c r="J2429" t="s">
        <v>5222</v>
      </c>
      <c r="K2429" t="s">
        <v>751</v>
      </c>
      <c r="L2429">
        <v>0</v>
      </c>
      <c r="M2429" s="452">
        <v>45861</v>
      </c>
      <c r="N2429">
        <v>0</v>
      </c>
      <c r="O2429">
        <v>0</v>
      </c>
      <c r="P2429">
        <v>0</v>
      </c>
    </row>
    <row r="2430" spans="1:16" x14ac:dyDescent="0.3">
      <c r="A2430">
        <v>53340</v>
      </c>
      <c r="B2430">
        <v>105</v>
      </c>
      <c r="C2430" t="s">
        <v>557</v>
      </c>
      <c r="D2430" s="452">
        <v>45931</v>
      </c>
      <c r="E2430">
        <v>18636</v>
      </c>
      <c r="F2430" t="s">
        <v>4964</v>
      </c>
      <c r="G2430">
        <v>3075</v>
      </c>
      <c r="H2430">
        <v>9</v>
      </c>
      <c r="I2430" t="s">
        <v>4965</v>
      </c>
      <c r="J2430" t="s">
        <v>5222</v>
      </c>
      <c r="K2430" t="s">
        <v>3999</v>
      </c>
      <c r="L2430">
        <v>446.16</v>
      </c>
      <c r="M2430" s="452">
        <v>45924</v>
      </c>
      <c r="N2430">
        <v>446.16</v>
      </c>
      <c r="O2430">
        <v>380.06</v>
      </c>
      <c r="P2430">
        <v>4015.44</v>
      </c>
    </row>
    <row r="2431" spans="1:16" x14ac:dyDescent="0.3">
      <c r="A2431">
        <v>53282</v>
      </c>
      <c r="B2431">
        <v>105</v>
      </c>
      <c r="C2431" t="s">
        <v>557</v>
      </c>
      <c r="D2431" s="452">
        <v>45931</v>
      </c>
      <c r="E2431">
        <v>18822</v>
      </c>
      <c r="F2431" t="s">
        <v>4811</v>
      </c>
      <c r="G2431">
        <v>2953</v>
      </c>
      <c r="H2431">
        <v>23.92</v>
      </c>
      <c r="I2431" t="s">
        <v>4744</v>
      </c>
      <c r="J2431" t="s">
        <v>5191</v>
      </c>
      <c r="K2431" t="s">
        <v>3999</v>
      </c>
      <c r="L2431">
        <v>109.73</v>
      </c>
      <c r="M2431" s="452">
        <v>45927</v>
      </c>
      <c r="N2431">
        <v>109.9</v>
      </c>
      <c r="O2431">
        <v>109.9</v>
      </c>
      <c r="P2431">
        <v>2624.74</v>
      </c>
    </row>
    <row r="2432" spans="1:16" x14ac:dyDescent="0.3">
      <c r="A2432">
        <v>53285</v>
      </c>
      <c r="B2432">
        <v>105</v>
      </c>
      <c r="C2432" t="s">
        <v>557</v>
      </c>
      <c r="D2432" s="452">
        <v>45931</v>
      </c>
      <c r="E2432">
        <v>24954</v>
      </c>
      <c r="F2432" t="s">
        <v>4769</v>
      </c>
      <c r="G2432">
        <v>5836</v>
      </c>
      <c r="H2432">
        <v>22.6</v>
      </c>
      <c r="I2432" t="s">
        <v>4744</v>
      </c>
      <c r="J2432" t="s">
        <v>5191</v>
      </c>
      <c r="K2432" t="s">
        <v>3999</v>
      </c>
      <c r="L2432">
        <v>110</v>
      </c>
      <c r="M2432" s="452">
        <v>45927</v>
      </c>
      <c r="N2432">
        <v>110</v>
      </c>
      <c r="O2432">
        <v>110</v>
      </c>
      <c r="P2432">
        <v>2486</v>
      </c>
    </row>
    <row r="2433" spans="1:16" x14ac:dyDescent="0.3">
      <c r="A2433">
        <v>53265</v>
      </c>
      <c r="B2433">
        <v>105</v>
      </c>
      <c r="C2433" t="s">
        <v>557</v>
      </c>
      <c r="D2433" s="452">
        <v>45931</v>
      </c>
      <c r="E2433">
        <v>24096</v>
      </c>
      <c r="F2433" t="s">
        <v>4771</v>
      </c>
      <c r="G2433">
        <v>2958</v>
      </c>
      <c r="H2433">
        <v>56.63</v>
      </c>
      <c r="I2433" t="s">
        <v>4744</v>
      </c>
      <c r="J2433" t="s">
        <v>5191</v>
      </c>
      <c r="K2433" t="s">
        <v>3999</v>
      </c>
      <c r="L2433">
        <v>39.64</v>
      </c>
      <c r="M2433" s="452">
        <v>45927</v>
      </c>
      <c r="N2433">
        <v>39.799999999999997</v>
      </c>
      <c r="O2433">
        <v>39.799999999999997</v>
      </c>
      <c r="P2433">
        <v>2244.81</v>
      </c>
    </row>
    <row r="2434" spans="1:16" x14ac:dyDescent="0.3">
      <c r="A2434">
        <v>53307</v>
      </c>
      <c r="B2434">
        <v>105</v>
      </c>
      <c r="C2434" t="s">
        <v>557</v>
      </c>
      <c r="D2434" s="452">
        <v>45931</v>
      </c>
      <c r="E2434">
        <v>18586</v>
      </c>
      <c r="F2434" t="s">
        <v>4966</v>
      </c>
      <c r="G2434">
        <v>3104</v>
      </c>
      <c r="H2434">
        <v>16</v>
      </c>
      <c r="I2434" t="s">
        <v>4738</v>
      </c>
      <c r="J2434" t="s">
        <v>5222</v>
      </c>
      <c r="K2434" t="s">
        <v>3999</v>
      </c>
      <c r="L2434">
        <v>138.47999999999999</v>
      </c>
      <c r="M2434" s="452">
        <v>45924</v>
      </c>
      <c r="N2434">
        <v>138.47999999999999</v>
      </c>
      <c r="O2434">
        <v>127.02</v>
      </c>
      <c r="P2434">
        <v>2215.6799999999998</v>
      </c>
    </row>
    <row r="2435" spans="1:16" x14ac:dyDescent="0.3">
      <c r="A2435">
        <v>53264</v>
      </c>
      <c r="B2435">
        <v>105</v>
      </c>
      <c r="C2435" t="s">
        <v>557</v>
      </c>
      <c r="D2435" s="452">
        <v>45931</v>
      </c>
      <c r="E2435">
        <v>25779</v>
      </c>
      <c r="F2435" t="s">
        <v>5456</v>
      </c>
      <c r="G2435">
        <v>6323</v>
      </c>
      <c r="H2435">
        <v>69</v>
      </c>
      <c r="I2435" t="s">
        <v>4744</v>
      </c>
      <c r="J2435" t="s">
        <v>5191</v>
      </c>
      <c r="K2435" t="s">
        <v>3999</v>
      </c>
      <c r="L2435">
        <v>27.9</v>
      </c>
      <c r="M2435" s="452">
        <v>45926</v>
      </c>
      <c r="N2435">
        <v>27.9</v>
      </c>
      <c r="O2435">
        <v>27.9</v>
      </c>
      <c r="P2435">
        <v>1925.1</v>
      </c>
    </row>
    <row r="2436" spans="1:16" x14ac:dyDescent="0.3">
      <c r="A2436">
        <v>53295</v>
      </c>
      <c r="B2436">
        <v>105</v>
      </c>
      <c r="C2436" t="s">
        <v>557</v>
      </c>
      <c r="D2436" s="452">
        <v>45931</v>
      </c>
      <c r="E2436">
        <v>25777</v>
      </c>
      <c r="F2436" t="s">
        <v>4774</v>
      </c>
      <c r="G2436">
        <v>6322</v>
      </c>
      <c r="H2436">
        <v>18.760000000000002</v>
      </c>
      <c r="I2436" t="s">
        <v>4744</v>
      </c>
      <c r="J2436" t="s">
        <v>5191</v>
      </c>
      <c r="K2436" t="s">
        <v>3999</v>
      </c>
      <c r="L2436">
        <v>85</v>
      </c>
      <c r="M2436" s="452">
        <v>45927</v>
      </c>
      <c r="N2436">
        <v>85</v>
      </c>
      <c r="O2436">
        <v>85</v>
      </c>
      <c r="P2436">
        <v>1594.6</v>
      </c>
    </row>
    <row r="2437" spans="1:16" x14ac:dyDescent="0.3">
      <c r="A2437">
        <v>53305</v>
      </c>
      <c r="B2437">
        <v>105</v>
      </c>
      <c r="C2437" t="s">
        <v>557</v>
      </c>
      <c r="D2437" s="452">
        <v>45931</v>
      </c>
      <c r="E2437">
        <v>25785</v>
      </c>
      <c r="F2437" t="s">
        <v>5457</v>
      </c>
      <c r="G2437">
        <v>6326</v>
      </c>
      <c r="H2437">
        <v>16.29</v>
      </c>
      <c r="I2437" t="s">
        <v>4744</v>
      </c>
      <c r="J2437" t="s">
        <v>5191</v>
      </c>
      <c r="K2437" t="s">
        <v>3999</v>
      </c>
      <c r="L2437">
        <v>89.9</v>
      </c>
      <c r="M2437" s="452">
        <v>45919</v>
      </c>
      <c r="N2437">
        <v>89.9</v>
      </c>
      <c r="O2437">
        <v>89.9</v>
      </c>
      <c r="P2437">
        <v>1464.47</v>
      </c>
    </row>
    <row r="2438" spans="1:16" x14ac:dyDescent="0.3">
      <c r="A2438">
        <v>53358</v>
      </c>
      <c r="B2438">
        <v>105</v>
      </c>
      <c r="C2438" t="s">
        <v>557</v>
      </c>
      <c r="D2438" s="452">
        <v>45931</v>
      </c>
      <c r="E2438">
        <v>26505</v>
      </c>
      <c r="F2438" t="s">
        <v>4750</v>
      </c>
      <c r="G2438">
        <v>6762</v>
      </c>
      <c r="H2438">
        <v>7</v>
      </c>
      <c r="I2438" t="s">
        <v>4738</v>
      </c>
      <c r="J2438" t="s">
        <v>5222</v>
      </c>
      <c r="K2438" t="s">
        <v>3999</v>
      </c>
      <c r="L2438">
        <v>0</v>
      </c>
      <c r="M2438" s="452">
        <v>45722</v>
      </c>
      <c r="N2438">
        <v>203.42</v>
      </c>
      <c r="O2438">
        <v>146.80000000000001</v>
      </c>
      <c r="P2438">
        <v>1423.9</v>
      </c>
    </row>
    <row r="2439" spans="1:16" x14ac:dyDescent="0.3">
      <c r="A2439">
        <v>53257</v>
      </c>
      <c r="B2439">
        <v>105</v>
      </c>
      <c r="C2439" t="s">
        <v>557</v>
      </c>
      <c r="D2439" s="452">
        <v>45931</v>
      </c>
      <c r="E2439">
        <v>22654</v>
      </c>
      <c r="F2439" t="s">
        <v>4735</v>
      </c>
      <c r="G2439">
        <v>3083</v>
      </c>
      <c r="H2439">
        <v>240</v>
      </c>
      <c r="I2439" t="s">
        <v>4736</v>
      </c>
      <c r="J2439" t="s">
        <v>5222</v>
      </c>
      <c r="K2439" t="s">
        <v>3999</v>
      </c>
      <c r="L2439">
        <v>0</v>
      </c>
      <c r="M2439" s="452">
        <v>45679</v>
      </c>
      <c r="N2439">
        <v>5.61</v>
      </c>
      <c r="O2439">
        <v>4.49</v>
      </c>
      <c r="P2439">
        <v>1346.4</v>
      </c>
    </row>
    <row r="2440" spans="1:16" x14ac:dyDescent="0.3">
      <c r="A2440">
        <v>53258</v>
      </c>
      <c r="B2440">
        <v>105</v>
      </c>
      <c r="C2440" t="s">
        <v>557</v>
      </c>
      <c r="D2440" s="452">
        <v>45931</v>
      </c>
      <c r="E2440">
        <v>24129</v>
      </c>
      <c r="F2440" t="s">
        <v>4740</v>
      </c>
      <c r="G2440">
        <v>3076</v>
      </c>
      <c r="H2440">
        <v>139</v>
      </c>
      <c r="I2440" t="s">
        <v>4736</v>
      </c>
      <c r="J2440" t="s">
        <v>5222</v>
      </c>
      <c r="K2440" t="s">
        <v>3999</v>
      </c>
      <c r="L2440">
        <v>0</v>
      </c>
      <c r="M2440" s="452">
        <v>45512</v>
      </c>
      <c r="N2440">
        <v>7.7</v>
      </c>
      <c r="O2440">
        <v>7.95</v>
      </c>
      <c r="P2440">
        <v>1070.3</v>
      </c>
    </row>
    <row r="2441" spans="1:16" x14ac:dyDescent="0.3">
      <c r="A2441">
        <v>53366</v>
      </c>
      <c r="B2441">
        <v>105</v>
      </c>
      <c r="C2441" t="s">
        <v>557</v>
      </c>
      <c r="D2441" s="452">
        <v>45931</v>
      </c>
      <c r="E2441">
        <v>21021</v>
      </c>
      <c r="F2441" t="s">
        <v>4883</v>
      </c>
      <c r="G2441">
        <v>2003</v>
      </c>
      <c r="H2441">
        <v>6</v>
      </c>
      <c r="I2441" t="s">
        <v>4884</v>
      </c>
      <c r="J2441" t="s">
        <v>5191</v>
      </c>
      <c r="K2441" t="s">
        <v>3999</v>
      </c>
      <c r="L2441">
        <v>169.12</v>
      </c>
      <c r="M2441" s="452">
        <v>45926</v>
      </c>
      <c r="N2441">
        <v>167.9</v>
      </c>
      <c r="O2441">
        <v>167.9</v>
      </c>
      <c r="P2441">
        <v>1014.72</v>
      </c>
    </row>
    <row r="2442" spans="1:16" x14ac:dyDescent="0.3">
      <c r="A2442">
        <v>53314</v>
      </c>
      <c r="B2442">
        <v>105</v>
      </c>
      <c r="C2442" t="s">
        <v>557</v>
      </c>
      <c r="D2442" s="452">
        <v>45931</v>
      </c>
      <c r="E2442">
        <v>24259</v>
      </c>
      <c r="F2442" t="s">
        <v>4875</v>
      </c>
      <c r="G2442">
        <v>2938</v>
      </c>
      <c r="H2442">
        <v>14.69</v>
      </c>
      <c r="I2442" t="s">
        <v>4744</v>
      </c>
      <c r="J2442" t="s">
        <v>5191</v>
      </c>
      <c r="K2442" t="s">
        <v>3999</v>
      </c>
      <c r="L2442">
        <v>64.12</v>
      </c>
      <c r="M2442" s="452">
        <v>45926</v>
      </c>
      <c r="N2442">
        <v>63.9</v>
      </c>
      <c r="O2442">
        <v>63.25</v>
      </c>
      <c r="P2442">
        <v>941.92</v>
      </c>
    </row>
    <row r="2443" spans="1:16" x14ac:dyDescent="0.3">
      <c r="A2443">
        <v>53324</v>
      </c>
      <c r="B2443">
        <v>105</v>
      </c>
      <c r="C2443" t="s">
        <v>557</v>
      </c>
      <c r="D2443" s="452">
        <v>45931</v>
      </c>
      <c r="E2443">
        <v>19291</v>
      </c>
      <c r="F2443" t="s">
        <v>4870</v>
      </c>
      <c r="G2443">
        <v>2775</v>
      </c>
      <c r="H2443">
        <v>12.75</v>
      </c>
      <c r="I2443" t="s">
        <v>4744</v>
      </c>
      <c r="J2443" t="s">
        <v>5191</v>
      </c>
      <c r="K2443" t="s">
        <v>3999</v>
      </c>
      <c r="L2443">
        <v>70.75</v>
      </c>
      <c r="M2443" s="452">
        <v>45922</v>
      </c>
      <c r="N2443">
        <v>69.8</v>
      </c>
      <c r="O2443">
        <v>59.99</v>
      </c>
      <c r="P2443">
        <v>902.06</v>
      </c>
    </row>
    <row r="2444" spans="1:16" x14ac:dyDescent="0.3">
      <c r="A2444">
        <v>53291</v>
      </c>
      <c r="B2444">
        <v>105</v>
      </c>
      <c r="C2444" t="s">
        <v>557</v>
      </c>
      <c r="D2444" s="452">
        <v>45931</v>
      </c>
      <c r="E2444">
        <v>18832</v>
      </c>
      <c r="F2444" t="s">
        <v>4785</v>
      </c>
      <c r="G2444">
        <v>2950</v>
      </c>
      <c r="H2444">
        <v>20.2</v>
      </c>
      <c r="I2444" t="s">
        <v>4744</v>
      </c>
      <c r="J2444" t="s">
        <v>5191</v>
      </c>
      <c r="K2444" t="s">
        <v>3999</v>
      </c>
      <c r="L2444">
        <v>42.63</v>
      </c>
      <c r="M2444" s="452">
        <v>45927</v>
      </c>
      <c r="N2444">
        <v>45</v>
      </c>
      <c r="O2444">
        <v>34.9</v>
      </c>
      <c r="P2444">
        <v>861.13</v>
      </c>
    </row>
    <row r="2445" spans="1:16" x14ac:dyDescent="0.3">
      <c r="A2445">
        <v>53289</v>
      </c>
      <c r="B2445">
        <v>105</v>
      </c>
      <c r="C2445" t="s">
        <v>557</v>
      </c>
      <c r="D2445" s="452">
        <v>45931</v>
      </c>
      <c r="E2445">
        <v>20544</v>
      </c>
      <c r="F2445" t="s">
        <v>4808</v>
      </c>
      <c r="G2445">
        <v>2144</v>
      </c>
      <c r="H2445">
        <v>22</v>
      </c>
      <c r="I2445" t="s">
        <v>4744</v>
      </c>
      <c r="J2445" t="s">
        <v>5191</v>
      </c>
      <c r="K2445" t="s">
        <v>3999</v>
      </c>
      <c r="L2445">
        <v>214.58</v>
      </c>
      <c r="M2445" s="452">
        <v>45925</v>
      </c>
      <c r="N2445">
        <v>214.58</v>
      </c>
      <c r="O2445">
        <v>214.58</v>
      </c>
      <c r="P2445">
        <v>843.04</v>
      </c>
    </row>
    <row r="2446" spans="1:16" x14ac:dyDescent="0.3">
      <c r="A2446">
        <v>53276</v>
      </c>
      <c r="B2446">
        <v>105</v>
      </c>
      <c r="C2446" t="s">
        <v>557</v>
      </c>
      <c r="D2446" s="452">
        <v>45931</v>
      </c>
      <c r="E2446">
        <v>24217</v>
      </c>
      <c r="F2446" t="s">
        <v>4778</v>
      </c>
      <c r="G2446">
        <v>2937</v>
      </c>
      <c r="H2446">
        <v>27.98</v>
      </c>
      <c r="I2446" t="s">
        <v>4744</v>
      </c>
      <c r="J2446" t="s">
        <v>5191</v>
      </c>
      <c r="K2446" t="s">
        <v>3999</v>
      </c>
      <c r="L2446">
        <v>29.9</v>
      </c>
      <c r="M2446" s="452">
        <v>45915</v>
      </c>
      <c r="N2446">
        <v>29.9</v>
      </c>
      <c r="O2446">
        <v>29.9</v>
      </c>
      <c r="P2446">
        <v>836.6</v>
      </c>
    </row>
    <row r="2447" spans="1:16" x14ac:dyDescent="0.3">
      <c r="A2447">
        <v>53260</v>
      </c>
      <c r="B2447">
        <v>105</v>
      </c>
      <c r="C2447" t="s">
        <v>557</v>
      </c>
      <c r="D2447" s="452">
        <v>45931</v>
      </c>
      <c r="E2447">
        <v>22623</v>
      </c>
      <c r="F2447" t="s">
        <v>4751</v>
      </c>
      <c r="G2447">
        <v>3106</v>
      </c>
      <c r="H2447">
        <v>118</v>
      </c>
      <c r="I2447" t="s">
        <v>4736</v>
      </c>
      <c r="J2447" t="s">
        <v>5222</v>
      </c>
      <c r="K2447" t="s">
        <v>3999</v>
      </c>
      <c r="L2447">
        <v>0</v>
      </c>
      <c r="M2447" s="452">
        <v>45679</v>
      </c>
      <c r="N2447">
        <v>6.83</v>
      </c>
      <c r="O2447">
        <v>6.83</v>
      </c>
      <c r="P2447">
        <v>805.94</v>
      </c>
    </row>
    <row r="2448" spans="1:16" x14ac:dyDescent="0.3">
      <c r="A2448">
        <v>53453</v>
      </c>
      <c r="B2448">
        <v>105</v>
      </c>
      <c r="C2448" t="s">
        <v>557</v>
      </c>
      <c r="D2448" s="452">
        <v>45931</v>
      </c>
      <c r="E2448">
        <v>19224</v>
      </c>
      <c r="F2448" t="s">
        <v>5100</v>
      </c>
      <c r="G2448">
        <v>5850</v>
      </c>
      <c r="H2448">
        <v>3</v>
      </c>
      <c r="I2448" t="s">
        <v>4736</v>
      </c>
      <c r="J2448" t="s">
        <v>5191</v>
      </c>
      <c r="K2448" t="s">
        <v>3999</v>
      </c>
      <c r="L2448">
        <v>248.07</v>
      </c>
      <c r="M2448" s="452">
        <v>45926</v>
      </c>
      <c r="N2448">
        <v>247.9</v>
      </c>
      <c r="O2448">
        <v>247.9</v>
      </c>
      <c r="P2448">
        <v>744.21</v>
      </c>
    </row>
    <row r="2449" spans="1:16" x14ac:dyDescent="0.3">
      <c r="A2449">
        <v>53304</v>
      </c>
      <c r="B2449">
        <v>105</v>
      </c>
      <c r="C2449" t="s">
        <v>557</v>
      </c>
      <c r="D2449" s="452">
        <v>45931</v>
      </c>
      <c r="E2449">
        <v>24116</v>
      </c>
      <c r="F2449" t="s">
        <v>4777</v>
      </c>
      <c r="G2449">
        <v>2924</v>
      </c>
      <c r="H2449">
        <v>16.399999999999999</v>
      </c>
      <c r="I2449" t="s">
        <v>4744</v>
      </c>
      <c r="J2449" t="s">
        <v>5191</v>
      </c>
      <c r="K2449" t="s">
        <v>3999</v>
      </c>
      <c r="L2449">
        <v>44</v>
      </c>
      <c r="M2449" s="452">
        <v>45926</v>
      </c>
      <c r="N2449">
        <v>44</v>
      </c>
      <c r="O2449">
        <v>44</v>
      </c>
      <c r="P2449">
        <v>721.6</v>
      </c>
    </row>
    <row r="2450" spans="1:16" x14ac:dyDescent="0.3">
      <c r="A2450">
        <v>53329</v>
      </c>
      <c r="B2450">
        <v>105</v>
      </c>
      <c r="C2450" t="s">
        <v>557</v>
      </c>
      <c r="D2450" s="452">
        <v>45931</v>
      </c>
      <c r="E2450">
        <v>18945</v>
      </c>
      <c r="F2450" t="s">
        <v>4768</v>
      </c>
      <c r="G2450">
        <v>2929</v>
      </c>
      <c r="H2450">
        <v>12</v>
      </c>
      <c r="I2450" t="s">
        <v>4744</v>
      </c>
      <c r="J2450" t="s">
        <v>5191</v>
      </c>
      <c r="K2450" t="s">
        <v>3999</v>
      </c>
      <c r="L2450">
        <v>58.25</v>
      </c>
      <c r="M2450" s="452">
        <v>45912</v>
      </c>
      <c r="N2450">
        <v>58.25</v>
      </c>
      <c r="O2450">
        <v>58.25</v>
      </c>
      <c r="P2450">
        <v>699</v>
      </c>
    </row>
    <row r="2451" spans="1:16" x14ac:dyDescent="0.3">
      <c r="A2451">
        <v>53441</v>
      </c>
      <c r="B2451">
        <v>105</v>
      </c>
      <c r="C2451" t="s">
        <v>557</v>
      </c>
      <c r="D2451" s="452">
        <v>45931</v>
      </c>
      <c r="E2451">
        <v>20928</v>
      </c>
      <c r="F2451" t="s">
        <v>4950</v>
      </c>
      <c r="G2451">
        <v>2033</v>
      </c>
      <c r="H2451">
        <v>3</v>
      </c>
      <c r="I2451" t="s">
        <v>4736</v>
      </c>
      <c r="J2451" t="s">
        <v>5191</v>
      </c>
      <c r="K2451" t="s">
        <v>3999</v>
      </c>
      <c r="L2451">
        <v>219.9</v>
      </c>
      <c r="M2451" s="452">
        <v>45905</v>
      </c>
      <c r="N2451">
        <v>219.9</v>
      </c>
      <c r="O2451">
        <v>199.9</v>
      </c>
      <c r="P2451">
        <v>659.7</v>
      </c>
    </row>
    <row r="2452" spans="1:16" x14ac:dyDescent="0.3">
      <c r="A2452">
        <v>53348</v>
      </c>
      <c r="B2452">
        <v>105</v>
      </c>
      <c r="C2452" t="s">
        <v>557</v>
      </c>
      <c r="D2452" s="452">
        <v>45931</v>
      </c>
      <c r="E2452">
        <v>18518</v>
      </c>
      <c r="F2452" t="s">
        <v>4838</v>
      </c>
      <c r="G2452">
        <v>3148</v>
      </c>
      <c r="H2452">
        <v>8</v>
      </c>
      <c r="I2452" t="s">
        <v>4805</v>
      </c>
      <c r="J2452" t="s">
        <v>5222</v>
      </c>
      <c r="K2452" t="s">
        <v>3999</v>
      </c>
      <c r="L2452">
        <v>0</v>
      </c>
      <c r="M2452" s="452">
        <v>45910</v>
      </c>
      <c r="N2452">
        <v>0</v>
      </c>
      <c r="O2452">
        <v>0</v>
      </c>
      <c r="P2452">
        <v>639.20000000000005</v>
      </c>
    </row>
    <row r="2453" spans="1:16" x14ac:dyDescent="0.3">
      <c r="A2453">
        <v>53278</v>
      </c>
      <c r="B2453">
        <v>105</v>
      </c>
      <c r="C2453" t="s">
        <v>557</v>
      </c>
      <c r="D2453" s="452">
        <v>45931</v>
      </c>
      <c r="E2453">
        <v>20549</v>
      </c>
      <c r="F2453" t="s">
        <v>4823</v>
      </c>
      <c r="G2453">
        <v>2141</v>
      </c>
      <c r="H2453">
        <v>27.6</v>
      </c>
      <c r="I2453" t="s">
        <v>4744</v>
      </c>
      <c r="J2453" t="s">
        <v>5191</v>
      </c>
      <c r="K2453" t="s">
        <v>3999</v>
      </c>
      <c r="L2453">
        <v>22.96</v>
      </c>
      <c r="M2453" s="452">
        <v>45917</v>
      </c>
      <c r="N2453">
        <v>19.989999999999998</v>
      </c>
      <c r="O2453">
        <v>20.309999999999999</v>
      </c>
      <c r="P2453">
        <v>633.70000000000005</v>
      </c>
    </row>
    <row r="2454" spans="1:16" x14ac:dyDescent="0.3">
      <c r="A2454">
        <v>53294</v>
      </c>
      <c r="B2454">
        <v>105</v>
      </c>
      <c r="C2454" t="s">
        <v>557</v>
      </c>
      <c r="D2454" s="452">
        <v>45931</v>
      </c>
      <c r="E2454">
        <v>20809</v>
      </c>
      <c r="F2454" t="s">
        <v>4822</v>
      </c>
      <c r="G2454">
        <v>2074</v>
      </c>
      <c r="H2454">
        <v>19</v>
      </c>
      <c r="I2454" t="s">
        <v>4738</v>
      </c>
      <c r="J2454" t="s">
        <v>5191</v>
      </c>
      <c r="K2454" t="s">
        <v>3999</v>
      </c>
      <c r="L2454">
        <v>32.28</v>
      </c>
      <c r="M2454" s="452">
        <v>45926</v>
      </c>
      <c r="N2454">
        <v>31.7</v>
      </c>
      <c r="O2454">
        <v>31.7</v>
      </c>
      <c r="P2454">
        <v>613.32000000000005</v>
      </c>
    </row>
    <row r="2455" spans="1:16" x14ac:dyDescent="0.3">
      <c r="A2455">
        <v>53376</v>
      </c>
      <c r="B2455">
        <v>105</v>
      </c>
      <c r="C2455" t="s">
        <v>557</v>
      </c>
      <c r="D2455" s="452">
        <v>45931</v>
      </c>
      <c r="E2455">
        <v>17578</v>
      </c>
      <c r="F2455" t="s">
        <v>4842</v>
      </c>
      <c r="G2455">
        <v>3948</v>
      </c>
      <c r="H2455">
        <v>6</v>
      </c>
      <c r="I2455" t="s">
        <v>4805</v>
      </c>
      <c r="J2455" t="s">
        <v>5222</v>
      </c>
      <c r="K2455" t="s">
        <v>3999</v>
      </c>
      <c r="L2455">
        <v>0</v>
      </c>
      <c r="M2455" s="452">
        <v>45861</v>
      </c>
      <c r="N2455">
        <v>101.4</v>
      </c>
      <c r="O2455">
        <v>107.99</v>
      </c>
      <c r="P2455">
        <v>608.4</v>
      </c>
    </row>
    <row r="2456" spans="1:16" x14ac:dyDescent="0.3">
      <c r="A2456">
        <v>53261</v>
      </c>
      <c r="B2456">
        <v>105</v>
      </c>
      <c r="C2456" t="s">
        <v>557</v>
      </c>
      <c r="D2456" s="452">
        <v>45931</v>
      </c>
      <c r="E2456">
        <v>22652</v>
      </c>
      <c r="F2456" t="s">
        <v>4759</v>
      </c>
      <c r="G2456">
        <v>3085</v>
      </c>
      <c r="H2456">
        <v>97</v>
      </c>
      <c r="I2456" t="s">
        <v>4736</v>
      </c>
      <c r="J2456" t="s">
        <v>5222</v>
      </c>
      <c r="K2456" t="s">
        <v>3999</v>
      </c>
      <c r="L2456">
        <v>0</v>
      </c>
      <c r="M2456" s="452">
        <v>45679</v>
      </c>
      <c r="N2456">
        <v>5.95</v>
      </c>
      <c r="O2456">
        <v>4.09</v>
      </c>
      <c r="P2456">
        <v>577.15</v>
      </c>
    </row>
    <row r="2457" spans="1:16" x14ac:dyDescent="0.3">
      <c r="A2457">
        <v>53409</v>
      </c>
      <c r="B2457">
        <v>105</v>
      </c>
      <c r="C2457" t="s">
        <v>557</v>
      </c>
      <c r="D2457" s="452">
        <v>45931</v>
      </c>
      <c r="E2457">
        <v>21047</v>
      </c>
      <c r="F2457" t="s">
        <v>4847</v>
      </c>
      <c r="G2457">
        <v>1999</v>
      </c>
      <c r="H2457">
        <v>4</v>
      </c>
      <c r="I2457" t="s">
        <v>4848</v>
      </c>
      <c r="J2457" t="s">
        <v>5191</v>
      </c>
      <c r="K2457" t="s">
        <v>3999</v>
      </c>
      <c r="L2457">
        <v>137.24</v>
      </c>
      <c r="M2457" s="452">
        <v>45901</v>
      </c>
      <c r="N2457">
        <v>137.24</v>
      </c>
      <c r="O2457">
        <v>132.1</v>
      </c>
      <c r="P2457">
        <v>548.96</v>
      </c>
    </row>
    <row r="2458" spans="1:16" x14ac:dyDescent="0.3">
      <c r="A2458">
        <v>53272</v>
      </c>
      <c r="B2458">
        <v>105</v>
      </c>
      <c r="C2458" t="s">
        <v>557</v>
      </c>
      <c r="D2458" s="452">
        <v>45931</v>
      </c>
      <c r="E2458">
        <v>25756</v>
      </c>
      <c r="F2458" t="s">
        <v>4854</v>
      </c>
      <c r="G2458">
        <v>9069</v>
      </c>
      <c r="H2458">
        <v>34</v>
      </c>
      <c r="I2458" t="s">
        <v>4749</v>
      </c>
      <c r="J2458" t="s">
        <v>5191</v>
      </c>
      <c r="K2458" t="s">
        <v>3999</v>
      </c>
      <c r="L2458">
        <v>15.98</v>
      </c>
      <c r="M2458" s="452">
        <v>45918</v>
      </c>
      <c r="N2458">
        <v>15.98</v>
      </c>
      <c r="O2458">
        <v>15.98</v>
      </c>
      <c r="P2458">
        <v>543.32000000000005</v>
      </c>
    </row>
    <row r="2459" spans="1:16" x14ac:dyDescent="0.3">
      <c r="A2459">
        <v>53401</v>
      </c>
      <c r="B2459">
        <v>105</v>
      </c>
      <c r="C2459" t="s">
        <v>557</v>
      </c>
      <c r="D2459" s="452">
        <v>45931</v>
      </c>
      <c r="E2459">
        <v>24614</v>
      </c>
      <c r="F2459" t="s">
        <v>4897</v>
      </c>
      <c r="G2459">
        <v>3855</v>
      </c>
      <c r="H2459">
        <v>5</v>
      </c>
      <c r="I2459" t="s">
        <v>4805</v>
      </c>
      <c r="J2459" t="s">
        <v>5222</v>
      </c>
      <c r="K2459" t="s">
        <v>3999</v>
      </c>
      <c r="L2459">
        <v>0</v>
      </c>
      <c r="M2459" s="452">
        <v>45846</v>
      </c>
      <c r="N2459">
        <v>0</v>
      </c>
      <c r="O2459">
        <v>0</v>
      </c>
      <c r="P2459">
        <v>525</v>
      </c>
    </row>
    <row r="2460" spans="1:16" x14ac:dyDescent="0.3">
      <c r="A2460">
        <v>53456</v>
      </c>
      <c r="B2460">
        <v>105</v>
      </c>
      <c r="C2460" t="s">
        <v>557</v>
      </c>
      <c r="D2460" s="452">
        <v>45931</v>
      </c>
      <c r="E2460">
        <v>18550</v>
      </c>
      <c r="F2460" t="s">
        <v>4967</v>
      </c>
      <c r="G2460">
        <v>3130</v>
      </c>
      <c r="H2460">
        <v>3</v>
      </c>
      <c r="I2460" t="s">
        <v>4805</v>
      </c>
      <c r="J2460" t="s">
        <v>5222</v>
      </c>
      <c r="K2460" t="s">
        <v>3999</v>
      </c>
      <c r="L2460">
        <v>165.99</v>
      </c>
      <c r="M2460" s="452">
        <v>45916</v>
      </c>
      <c r="N2460">
        <v>165.99</v>
      </c>
      <c r="O2460">
        <v>169.9</v>
      </c>
      <c r="P2460">
        <v>497.97</v>
      </c>
    </row>
    <row r="2461" spans="1:16" x14ac:dyDescent="0.3">
      <c r="A2461">
        <v>53423</v>
      </c>
      <c r="B2461">
        <v>105</v>
      </c>
      <c r="C2461" t="s">
        <v>557</v>
      </c>
      <c r="D2461" s="452">
        <v>45931</v>
      </c>
      <c r="E2461">
        <v>17607</v>
      </c>
      <c r="F2461" t="s">
        <v>5436</v>
      </c>
      <c r="G2461">
        <v>3919</v>
      </c>
      <c r="H2461">
        <v>4</v>
      </c>
      <c r="I2461" t="s">
        <v>4736</v>
      </c>
      <c r="J2461" t="s">
        <v>5222</v>
      </c>
      <c r="K2461" t="s">
        <v>3999</v>
      </c>
      <c r="L2461">
        <v>0</v>
      </c>
      <c r="M2461" s="452">
        <v>-693593</v>
      </c>
      <c r="N2461">
        <v>0</v>
      </c>
      <c r="O2461">
        <v>0</v>
      </c>
      <c r="P2461">
        <v>489.24</v>
      </c>
    </row>
    <row r="2462" spans="1:16" x14ac:dyDescent="0.3">
      <c r="A2462">
        <v>53371</v>
      </c>
      <c r="B2462">
        <v>105</v>
      </c>
      <c r="C2462" t="s">
        <v>557</v>
      </c>
      <c r="D2462" s="452">
        <v>45931</v>
      </c>
      <c r="E2462">
        <v>27018</v>
      </c>
      <c r="F2462" t="s">
        <v>4737</v>
      </c>
      <c r="G2462">
        <v>7070</v>
      </c>
      <c r="H2462">
        <v>6</v>
      </c>
      <c r="I2462" t="s">
        <v>4738</v>
      </c>
      <c r="J2462" t="s">
        <v>5222</v>
      </c>
      <c r="K2462" t="s">
        <v>3999</v>
      </c>
      <c r="L2462">
        <v>79.64</v>
      </c>
      <c r="M2462" s="452">
        <v>45929</v>
      </c>
      <c r="N2462">
        <v>79.64</v>
      </c>
      <c r="O2462">
        <v>79.64</v>
      </c>
      <c r="P2462">
        <v>477.84</v>
      </c>
    </row>
    <row r="2463" spans="1:16" x14ac:dyDescent="0.3">
      <c r="A2463">
        <v>53316</v>
      </c>
      <c r="B2463">
        <v>105</v>
      </c>
      <c r="C2463" t="s">
        <v>557</v>
      </c>
      <c r="D2463" s="452">
        <v>45931</v>
      </c>
      <c r="E2463">
        <v>19916</v>
      </c>
      <c r="F2463" t="s">
        <v>4826</v>
      </c>
      <c r="G2463">
        <v>2379</v>
      </c>
      <c r="H2463">
        <v>14</v>
      </c>
      <c r="I2463" t="s">
        <v>4738</v>
      </c>
      <c r="J2463" t="s">
        <v>5191</v>
      </c>
      <c r="K2463" t="s">
        <v>3999</v>
      </c>
      <c r="L2463">
        <v>33.5</v>
      </c>
      <c r="M2463" s="452">
        <v>45926</v>
      </c>
      <c r="N2463">
        <v>33.49</v>
      </c>
      <c r="O2463">
        <v>33.9</v>
      </c>
      <c r="P2463">
        <v>469</v>
      </c>
    </row>
    <row r="2464" spans="1:16" x14ac:dyDescent="0.3">
      <c r="A2464">
        <v>53274</v>
      </c>
      <c r="B2464">
        <v>105</v>
      </c>
      <c r="C2464" t="s">
        <v>557</v>
      </c>
      <c r="D2464" s="452">
        <v>45931</v>
      </c>
      <c r="E2464">
        <v>19041</v>
      </c>
      <c r="F2464" t="s">
        <v>4762</v>
      </c>
      <c r="G2464">
        <v>2890</v>
      </c>
      <c r="H2464">
        <v>28.81</v>
      </c>
      <c r="I2464" t="s">
        <v>4744</v>
      </c>
      <c r="J2464" t="s">
        <v>5191</v>
      </c>
      <c r="K2464" t="s">
        <v>3999</v>
      </c>
      <c r="L2464">
        <v>15.94</v>
      </c>
      <c r="M2464" s="452">
        <v>45929</v>
      </c>
      <c r="N2464">
        <v>16.39</v>
      </c>
      <c r="O2464">
        <v>15.31</v>
      </c>
      <c r="P2464">
        <v>459.23</v>
      </c>
    </row>
    <row r="2465" spans="1:16" x14ac:dyDescent="0.3">
      <c r="A2465">
        <v>53338</v>
      </c>
      <c r="B2465">
        <v>105</v>
      </c>
      <c r="C2465" t="s">
        <v>557</v>
      </c>
      <c r="D2465" s="452">
        <v>45931</v>
      </c>
      <c r="E2465">
        <v>22829</v>
      </c>
      <c r="F2465" t="s">
        <v>4861</v>
      </c>
      <c r="G2465">
        <v>2942</v>
      </c>
      <c r="H2465">
        <v>9.4</v>
      </c>
      <c r="I2465" t="s">
        <v>4744</v>
      </c>
      <c r="J2465" t="s">
        <v>5191</v>
      </c>
      <c r="K2465" t="s">
        <v>3999</v>
      </c>
      <c r="L2465">
        <v>0</v>
      </c>
      <c r="M2465" s="452">
        <v>45880</v>
      </c>
      <c r="N2465">
        <v>48.5</v>
      </c>
      <c r="O2465">
        <v>31.8</v>
      </c>
      <c r="P2465">
        <v>455.9</v>
      </c>
    </row>
    <row r="2466" spans="1:16" x14ac:dyDescent="0.3">
      <c r="A2466">
        <v>53377</v>
      </c>
      <c r="B2466">
        <v>105</v>
      </c>
      <c r="C2466" t="s">
        <v>557</v>
      </c>
      <c r="D2466" s="452">
        <v>45931</v>
      </c>
      <c r="E2466">
        <v>26046</v>
      </c>
      <c r="F2466" t="s">
        <v>5148</v>
      </c>
      <c r="G2466">
        <v>6510</v>
      </c>
      <c r="H2466">
        <v>6</v>
      </c>
      <c r="I2466" t="s">
        <v>4805</v>
      </c>
      <c r="J2466" t="s">
        <v>5222</v>
      </c>
      <c r="K2466" t="s">
        <v>3999</v>
      </c>
      <c r="L2466">
        <v>0</v>
      </c>
      <c r="M2466" s="452">
        <v>45638</v>
      </c>
      <c r="N2466">
        <v>74.2</v>
      </c>
      <c r="O2466">
        <v>75.48</v>
      </c>
      <c r="P2466">
        <v>445.2</v>
      </c>
    </row>
    <row r="2467" spans="1:16" x14ac:dyDescent="0.3">
      <c r="A2467">
        <v>53346</v>
      </c>
      <c r="B2467">
        <v>105</v>
      </c>
      <c r="C2467" t="s">
        <v>557</v>
      </c>
      <c r="D2467" s="452">
        <v>45931</v>
      </c>
      <c r="E2467">
        <v>19346</v>
      </c>
      <c r="F2467" t="s">
        <v>4835</v>
      </c>
      <c r="G2467">
        <v>2770</v>
      </c>
      <c r="H2467">
        <v>8</v>
      </c>
      <c r="I2467" t="s">
        <v>4744</v>
      </c>
      <c r="J2467" t="s">
        <v>5191</v>
      </c>
      <c r="K2467" t="s">
        <v>3999</v>
      </c>
      <c r="L2467">
        <v>54.2</v>
      </c>
      <c r="M2467" s="452">
        <v>45926</v>
      </c>
      <c r="N2467">
        <v>53.9</v>
      </c>
      <c r="O2467">
        <v>53.9</v>
      </c>
      <c r="P2467">
        <v>433.6</v>
      </c>
    </row>
    <row r="2468" spans="1:16" x14ac:dyDescent="0.3">
      <c r="A2468">
        <v>53397</v>
      </c>
      <c r="B2468">
        <v>105</v>
      </c>
      <c r="C2468" t="s">
        <v>557</v>
      </c>
      <c r="D2468" s="452">
        <v>45931</v>
      </c>
      <c r="E2468">
        <v>18179</v>
      </c>
      <c r="F2468" t="s">
        <v>4924</v>
      </c>
      <c r="G2468">
        <v>3443</v>
      </c>
      <c r="H2468">
        <v>5</v>
      </c>
      <c r="I2468" t="s">
        <v>4805</v>
      </c>
      <c r="J2468" t="s">
        <v>5222</v>
      </c>
      <c r="K2468" t="s">
        <v>3999</v>
      </c>
      <c r="L2468">
        <v>0</v>
      </c>
      <c r="M2468" s="452">
        <v>45895</v>
      </c>
      <c r="N2468">
        <v>85.5</v>
      </c>
      <c r="O2468">
        <v>83.19</v>
      </c>
      <c r="P2468">
        <v>427.5</v>
      </c>
    </row>
    <row r="2469" spans="1:16" x14ac:dyDescent="0.3">
      <c r="A2469">
        <v>53379</v>
      </c>
      <c r="B2469">
        <v>105</v>
      </c>
      <c r="C2469" t="s">
        <v>557</v>
      </c>
      <c r="D2469" s="452">
        <v>45931</v>
      </c>
      <c r="E2469">
        <v>23082</v>
      </c>
      <c r="F2469" t="s">
        <v>4904</v>
      </c>
      <c r="G2469">
        <v>2763</v>
      </c>
      <c r="H2469">
        <v>5.4</v>
      </c>
      <c r="I2469" t="s">
        <v>4744</v>
      </c>
      <c r="J2469" t="s">
        <v>5191</v>
      </c>
      <c r="K2469" t="s">
        <v>3999</v>
      </c>
      <c r="L2469">
        <v>0</v>
      </c>
      <c r="M2469" s="452">
        <v>45849</v>
      </c>
      <c r="N2469">
        <v>78.900000000000006</v>
      </c>
      <c r="O2469">
        <v>78.900000000000006</v>
      </c>
      <c r="P2469">
        <v>426.06</v>
      </c>
    </row>
    <row r="2470" spans="1:16" x14ac:dyDescent="0.3">
      <c r="A2470">
        <v>53313</v>
      </c>
      <c r="B2470">
        <v>105</v>
      </c>
      <c r="C2470" t="s">
        <v>557</v>
      </c>
      <c r="D2470" s="452">
        <v>45931</v>
      </c>
      <c r="E2470">
        <v>17895</v>
      </c>
      <c r="F2470" t="s">
        <v>5086</v>
      </c>
      <c r="G2470">
        <v>3665</v>
      </c>
      <c r="H2470">
        <v>15</v>
      </c>
      <c r="I2470" t="s">
        <v>4738</v>
      </c>
      <c r="J2470" t="s">
        <v>5222</v>
      </c>
      <c r="K2470" t="s">
        <v>3999</v>
      </c>
      <c r="L2470">
        <v>28.32</v>
      </c>
      <c r="M2470" s="452">
        <v>45924</v>
      </c>
      <c r="N2470">
        <v>28.32</v>
      </c>
      <c r="O2470">
        <v>28.32</v>
      </c>
      <c r="P2470">
        <v>424.8</v>
      </c>
    </row>
    <row r="2471" spans="1:16" x14ac:dyDescent="0.3">
      <c r="A2471">
        <v>53309</v>
      </c>
      <c r="B2471">
        <v>105</v>
      </c>
      <c r="C2471" t="s">
        <v>557</v>
      </c>
      <c r="D2471" s="452">
        <v>45931</v>
      </c>
      <c r="E2471">
        <v>24199</v>
      </c>
      <c r="F2471" t="s">
        <v>4783</v>
      </c>
      <c r="G2471">
        <v>5084</v>
      </c>
      <c r="H2471">
        <v>15.1</v>
      </c>
      <c r="I2471" t="s">
        <v>4744</v>
      </c>
      <c r="J2471" t="s">
        <v>5191</v>
      </c>
      <c r="K2471" t="s">
        <v>3999</v>
      </c>
      <c r="L2471">
        <v>27.99</v>
      </c>
      <c r="M2471" s="452">
        <v>45922</v>
      </c>
      <c r="N2471">
        <v>27.98</v>
      </c>
      <c r="O2471">
        <v>0</v>
      </c>
      <c r="P2471">
        <v>422.65</v>
      </c>
    </row>
    <row r="2472" spans="1:16" x14ac:dyDescent="0.3">
      <c r="A2472">
        <v>53321</v>
      </c>
      <c r="B2472">
        <v>105</v>
      </c>
      <c r="C2472" t="s">
        <v>557</v>
      </c>
      <c r="D2472" s="452">
        <v>45931</v>
      </c>
      <c r="E2472">
        <v>18172</v>
      </c>
      <c r="F2472" t="s">
        <v>4804</v>
      </c>
      <c r="G2472">
        <v>3450</v>
      </c>
      <c r="H2472">
        <v>13</v>
      </c>
      <c r="I2472" t="s">
        <v>4805</v>
      </c>
      <c r="J2472" t="s">
        <v>5222</v>
      </c>
      <c r="K2472" t="s">
        <v>3999</v>
      </c>
      <c r="L2472">
        <v>32.5</v>
      </c>
      <c r="M2472" s="452">
        <v>45926</v>
      </c>
      <c r="N2472">
        <v>31.77</v>
      </c>
      <c r="O2472">
        <v>31.77</v>
      </c>
      <c r="P2472">
        <v>422.5</v>
      </c>
    </row>
    <row r="2473" spans="1:16" x14ac:dyDescent="0.3">
      <c r="A2473">
        <v>53341</v>
      </c>
      <c r="B2473">
        <v>105</v>
      </c>
      <c r="C2473" t="s">
        <v>557</v>
      </c>
      <c r="D2473" s="452">
        <v>45931</v>
      </c>
      <c r="E2473">
        <v>26040</v>
      </c>
      <c r="F2473" t="s">
        <v>4812</v>
      </c>
      <c r="G2473">
        <v>6507</v>
      </c>
      <c r="H2473">
        <v>9</v>
      </c>
      <c r="I2473" t="s">
        <v>4805</v>
      </c>
      <c r="J2473" t="s">
        <v>5222</v>
      </c>
      <c r="K2473" t="s">
        <v>3999</v>
      </c>
      <c r="L2473">
        <v>0</v>
      </c>
      <c r="M2473" s="452">
        <v>45888</v>
      </c>
      <c r="N2473">
        <v>45.5</v>
      </c>
      <c r="O2473">
        <v>45.5</v>
      </c>
      <c r="P2473">
        <v>409.5</v>
      </c>
    </row>
    <row r="2474" spans="1:16" x14ac:dyDescent="0.3">
      <c r="A2474">
        <v>53637</v>
      </c>
      <c r="B2474">
        <v>105</v>
      </c>
      <c r="C2474" t="s">
        <v>557</v>
      </c>
      <c r="D2474" s="452">
        <v>45931</v>
      </c>
      <c r="E2474">
        <v>21035</v>
      </c>
      <c r="F2474" t="s">
        <v>5458</v>
      </c>
      <c r="G2474">
        <v>1999</v>
      </c>
      <c r="H2474">
        <v>3</v>
      </c>
      <c r="I2474" t="s">
        <v>4736</v>
      </c>
      <c r="J2474" t="s">
        <v>5191</v>
      </c>
      <c r="K2474" t="s">
        <v>3999</v>
      </c>
      <c r="L2474">
        <v>0</v>
      </c>
      <c r="N2474">
        <v>0</v>
      </c>
      <c r="O2474">
        <v>0</v>
      </c>
      <c r="P2474">
        <v>396.45</v>
      </c>
    </row>
    <row r="2475" spans="1:16" x14ac:dyDescent="0.3">
      <c r="A2475">
        <v>53373</v>
      </c>
      <c r="B2475">
        <v>105</v>
      </c>
      <c r="C2475" t="s">
        <v>557</v>
      </c>
      <c r="D2475" s="452">
        <v>45931</v>
      </c>
      <c r="E2475">
        <v>26036</v>
      </c>
      <c r="F2475" t="s">
        <v>4841</v>
      </c>
      <c r="G2475">
        <v>6505</v>
      </c>
      <c r="H2475">
        <v>6</v>
      </c>
      <c r="I2475" t="s">
        <v>4805</v>
      </c>
      <c r="J2475" t="s">
        <v>5222</v>
      </c>
      <c r="K2475" t="s">
        <v>3999</v>
      </c>
      <c r="L2475">
        <v>65</v>
      </c>
      <c r="M2475" s="452">
        <v>45923</v>
      </c>
      <c r="N2475">
        <v>65</v>
      </c>
      <c r="O2475">
        <v>65</v>
      </c>
      <c r="P2475">
        <v>390</v>
      </c>
    </row>
    <row r="2476" spans="1:16" x14ac:dyDescent="0.3">
      <c r="A2476">
        <v>53661</v>
      </c>
      <c r="B2476">
        <v>105</v>
      </c>
      <c r="C2476" t="s">
        <v>557</v>
      </c>
      <c r="D2476" s="452">
        <v>45931</v>
      </c>
      <c r="E2476">
        <v>25714</v>
      </c>
      <c r="F2476" t="s">
        <v>4927</v>
      </c>
      <c r="G2476">
        <v>6275</v>
      </c>
      <c r="H2476">
        <v>3</v>
      </c>
      <c r="I2476" t="s">
        <v>4805</v>
      </c>
      <c r="J2476" t="s">
        <v>5222</v>
      </c>
      <c r="K2476" t="s">
        <v>3999</v>
      </c>
      <c r="L2476">
        <v>0</v>
      </c>
      <c r="M2476" s="452">
        <v>45861</v>
      </c>
      <c r="N2476">
        <v>128.05000000000001</v>
      </c>
      <c r="O2476">
        <v>133.96</v>
      </c>
      <c r="P2476">
        <v>384.15</v>
      </c>
    </row>
    <row r="2477" spans="1:16" x14ac:dyDescent="0.3">
      <c r="A2477">
        <v>53435</v>
      </c>
      <c r="B2477">
        <v>105</v>
      </c>
      <c r="C2477" t="s">
        <v>557</v>
      </c>
      <c r="D2477" s="452">
        <v>45931</v>
      </c>
      <c r="E2477">
        <v>17062</v>
      </c>
      <c r="F2477" t="s">
        <v>4880</v>
      </c>
      <c r="G2477">
        <v>1954</v>
      </c>
      <c r="H2477">
        <v>3</v>
      </c>
      <c r="I2477" t="s">
        <v>4879</v>
      </c>
      <c r="J2477" t="s">
        <v>5191</v>
      </c>
      <c r="K2477" t="s">
        <v>3999</v>
      </c>
      <c r="L2477">
        <v>126.03</v>
      </c>
      <c r="M2477" s="452">
        <v>45908</v>
      </c>
      <c r="N2477">
        <v>126.03</v>
      </c>
      <c r="O2477">
        <v>126.03</v>
      </c>
      <c r="P2477">
        <v>378.09</v>
      </c>
    </row>
    <row r="2478" spans="1:16" x14ac:dyDescent="0.3">
      <c r="A2478">
        <v>53337</v>
      </c>
      <c r="B2478">
        <v>105</v>
      </c>
      <c r="C2478" t="s">
        <v>557</v>
      </c>
      <c r="D2478" s="452">
        <v>45931</v>
      </c>
      <c r="E2478">
        <v>27545</v>
      </c>
      <c r="F2478" t="s">
        <v>5292</v>
      </c>
      <c r="G2478">
        <v>7540</v>
      </c>
      <c r="H2478">
        <v>10.1</v>
      </c>
      <c r="I2478" t="s">
        <v>4744</v>
      </c>
      <c r="J2478" t="s">
        <v>5191</v>
      </c>
      <c r="K2478" t="s">
        <v>3999</v>
      </c>
      <c r="L2478">
        <v>37.42</v>
      </c>
      <c r="M2478" s="452">
        <v>45912</v>
      </c>
      <c r="N2478">
        <v>37.42</v>
      </c>
      <c r="O2478">
        <v>37.42</v>
      </c>
      <c r="P2478">
        <v>377.94</v>
      </c>
    </row>
    <row r="2479" spans="1:16" x14ac:dyDescent="0.3">
      <c r="A2479">
        <v>53318</v>
      </c>
      <c r="B2479">
        <v>105</v>
      </c>
      <c r="C2479" t="s">
        <v>557</v>
      </c>
      <c r="D2479" s="452">
        <v>45931</v>
      </c>
      <c r="E2479">
        <v>24081</v>
      </c>
      <c r="F2479" t="s">
        <v>4834</v>
      </c>
      <c r="G2479">
        <v>3034</v>
      </c>
      <c r="H2479">
        <v>13.9</v>
      </c>
      <c r="I2479" t="s">
        <v>4744</v>
      </c>
      <c r="J2479" t="s">
        <v>5191</v>
      </c>
      <c r="K2479" t="s">
        <v>3999</v>
      </c>
      <c r="L2479">
        <v>27.13</v>
      </c>
      <c r="M2479" s="452">
        <v>45927</v>
      </c>
      <c r="N2479">
        <v>37.200000000000003</v>
      </c>
      <c r="O2479">
        <v>23.8</v>
      </c>
      <c r="P2479">
        <v>377.11</v>
      </c>
    </row>
    <row r="2480" spans="1:16" x14ac:dyDescent="0.3">
      <c r="A2480">
        <v>53322</v>
      </c>
      <c r="B2480">
        <v>105</v>
      </c>
      <c r="C2480" t="s">
        <v>557</v>
      </c>
      <c r="D2480" s="452">
        <v>45931</v>
      </c>
      <c r="E2480">
        <v>24227</v>
      </c>
      <c r="F2480" t="s">
        <v>4806</v>
      </c>
      <c r="G2480">
        <v>3648</v>
      </c>
      <c r="H2480">
        <v>13</v>
      </c>
      <c r="I2480" t="s">
        <v>4736</v>
      </c>
      <c r="J2480" t="s">
        <v>5222</v>
      </c>
      <c r="K2480" t="s">
        <v>3999</v>
      </c>
      <c r="L2480">
        <v>28.8</v>
      </c>
      <c r="M2480" s="452">
        <v>45924</v>
      </c>
      <c r="N2480">
        <v>28.8</v>
      </c>
      <c r="O2480">
        <v>28.8</v>
      </c>
      <c r="P2480">
        <v>374.4</v>
      </c>
    </row>
    <row r="2481" spans="1:16" x14ac:dyDescent="0.3">
      <c r="A2481">
        <v>53382</v>
      </c>
      <c r="B2481">
        <v>105</v>
      </c>
      <c r="C2481" t="s">
        <v>557</v>
      </c>
      <c r="D2481" s="452">
        <v>45931</v>
      </c>
      <c r="E2481">
        <v>18731</v>
      </c>
      <c r="F2481" t="s">
        <v>4832</v>
      </c>
      <c r="G2481">
        <v>3020</v>
      </c>
      <c r="H2481">
        <v>5.0999999999999996</v>
      </c>
      <c r="I2481" t="s">
        <v>4744</v>
      </c>
      <c r="J2481" t="s">
        <v>5191</v>
      </c>
      <c r="K2481" t="s">
        <v>3999</v>
      </c>
      <c r="L2481">
        <v>72</v>
      </c>
      <c r="M2481" s="452">
        <v>45912</v>
      </c>
      <c r="N2481">
        <v>72</v>
      </c>
      <c r="O2481">
        <v>72</v>
      </c>
      <c r="P2481">
        <v>367.2</v>
      </c>
    </row>
    <row r="2482" spans="1:16" x14ac:dyDescent="0.3">
      <c r="A2482">
        <v>53333</v>
      </c>
      <c r="B2482">
        <v>105</v>
      </c>
      <c r="C2482" t="s">
        <v>557</v>
      </c>
      <c r="D2482" s="452">
        <v>45931</v>
      </c>
      <c r="E2482">
        <v>18475</v>
      </c>
      <c r="F2482" t="s">
        <v>4895</v>
      </c>
      <c r="G2482">
        <v>3181</v>
      </c>
      <c r="H2482">
        <v>11</v>
      </c>
      <c r="I2482" t="s">
        <v>4805</v>
      </c>
      <c r="J2482" t="s">
        <v>5222</v>
      </c>
      <c r="K2482" t="s">
        <v>3999</v>
      </c>
      <c r="L2482">
        <v>0</v>
      </c>
      <c r="M2482" s="452">
        <v>45854</v>
      </c>
      <c r="N2482">
        <v>32.9</v>
      </c>
      <c r="O2482">
        <v>32.9</v>
      </c>
      <c r="P2482">
        <v>361.9</v>
      </c>
    </row>
    <row r="2483" spans="1:16" x14ac:dyDescent="0.3">
      <c r="A2483">
        <v>53439</v>
      </c>
      <c r="B2483">
        <v>105</v>
      </c>
      <c r="C2483" t="s">
        <v>557</v>
      </c>
      <c r="D2483" s="452">
        <v>45931</v>
      </c>
      <c r="E2483">
        <v>20751</v>
      </c>
      <c r="F2483" t="s">
        <v>5004</v>
      </c>
      <c r="G2483">
        <v>2088</v>
      </c>
      <c r="H2483">
        <v>3</v>
      </c>
      <c r="I2483" t="s">
        <v>4884</v>
      </c>
      <c r="J2483" t="s">
        <v>5191</v>
      </c>
      <c r="K2483" t="s">
        <v>3999</v>
      </c>
      <c r="L2483">
        <v>115.22</v>
      </c>
      <c r="M2483" s="452">
        <v>45926</v>
      </c>
      <c r="N2483">
        <v>115.22</v>
      </c>
      <c r="O2483">
        <v>115.22</v>
      </c>
      <c r="P2483">
        <v>345.66</v>
      </c>
    </row>
    <row r="2484" spans="1:16" x14ac:dyDescent="0.3">
      <c r="A2484">
        <v>53430</v>
      </c>
      <c r="B2484">
        <v>105</v>
      </c>
      <c r="C2484" t="s">
        <v>557</v>
      </c>
      <c r="D2484" s="452">
        <v>45931</v>
      </c>
      <c r="E2484">
        <v>25789</v>
      </c>
      <c r="F2484" t="s">
        <v>4902</v>
      </c>
      <c r="G2484">
        <v>6328</v>
      </c>
      <c r="H2484">
        <v>3.35</v>
      </c>
      <c r="I2484" t="s">
        <v>4744</v>
      </c>
      <c r="J2484" t="s">
        <v>5191</v>
      </c>
      <c r="K2484" t="s">
        <v>3999</v>
      </c>
      <c r="L2484">
        <v>0</v>
      </c>
      <c r="M2484" s="452">
        <v>45671</v>
      </c>
      <c r="N2484">
        <v>99.8</v>
      </c>
      <c r="O2484">
        <v>99.8</v>
      </c>
      <c r="P2484">
        <v>334.33</v>
      </c>
    </row>
    <row r="2485" spans="1:16" x14ac:dyDescent="0.3">
      <c r="A2485">
        <v>53334</v>
      </c>
      <c r="B2485">
        <v>105</v>
      </c>
      <c r="C2485" t="s">
        <v>557</v>
      </c>
      <c r="D2485" s="452">
        <v>45931</v>
      </c>
      <c r="E2485">
        <v>22118</v>
      </c>
      <c r="F2485" t="s">
        <v>4765</v>
      </c>
      <c r="G2485">
        <v>3600</v>
      </c>
      <c r="H2485">
        <v>11</v>
      </c>
      <c r="I2485" t="s">
        <v>4749</v>
      </c>
      <c r="J2485" t="s">
        <v>5222</v>
      </c>
      <c r="K2485" t="s">
        <v>3999</v>
      </c>
      <c r="L2485">
        <v>0</v>
      </c>
      <c r="M2485" s="452">
        <v>45887</v>
      </c>
      <c r="N2485">
        <v>29.64</v>
      </c>
      <c r="O2485">
        <v>29.64</v>
      </c>
      <c r="P2485">
        <v>326.04000000000002</v>
      </c>
    </row>
    <row r="2486" spans="1:16" x14ac:dyDescent="0.3">
      <c r="A2486">
        <v>53319</v>
      </c>
      <c r="B2486">
        <v>105</v>
      </c>
      <c r="C2486" t="s">
        <v>557</v>
      </c>
      <c r="D2486" s="452">
        <v>45931</v>
      </c>
      <c r="E2486">
        <v>19003</v>
      </c>
      <c r="F2486" t="s">
        <v>4810</v>
      </c>
      <c r="G2486">
        <v>2897</v>
      </c>
      <c r="H2486">
        <v>13.16</v>
      </c>
      <c r="I2486" t="s">
        <v>4744</v>
      </c>
      <c r="J2486" t="s">
        <v>5191</v>
      </c>
      <c r="K2486" t="s">
        <v>3999</v>
      </c>
      <c r="L2486">
        <v>24.68</v>
      </c>
      <c r="M2486" s="452">
        <v>45926</v>
      </c>
      <c r="N2486">
        <v>35.9</v>
      </c>
      <c r="O2486">
        <v>35.9</v>
      </c>
      <c r="P2486">
        <v>324.79000000000002</v>
      </c>
    </row>
    <row r="2487" spans="1:16" x14ac:dyDescent="0.3">
      <c r="A2487">
        <v>53465</v>
      </c>
      <c r="B2487">
        <v>105</v>
      </c>
      <c r="C2487" t="s">
        <v>557</v>
      </c>
      <c r="D2487" s="452">
        <v>45931</v>
      </c>
      <c r="E2487">
        <v>25683</v>
      </c>
      <c r="F2487" t="s">
        <v>4928</v>
      </c>
      <c r="G2487">
        <v>6244</v>
      </c>
      <c r="H2487">
        <v>3</v>
      </c>
      <c r="I2487" t="s">
        <v>4805</v>
      </c>
      <c r="J2487" t="s">
        <v>5222</v>
      </c>
      <c r="K2487" t="s">
        <v>3999</v>
      </c>
      <c r="L2487">
        <v>0</v>
      </c>
      <c r="M2487" s="452">
        <v>45789</v>
      </c>
      <c r="N2487">
        <v>107.99</v>
      </c>
      <c r="O2487">
        <v>84.82</v>
      </c>
      <c r="P2487">
        <v>323.97000000000003</v>
      </c>
    </row>
    <row r="2488" spans="1:16" x14ac:dyDescent="0.3">
      <c r="A2488">
        <v>53290</v>
      </c>
      <c r="B2488">
        <v>105</v>
      </c>
      <c r="C2488" t="s">
        <v>557</v>
      </c>
      <c r="D2488" s="452">
        <v>45931</v>
      </c>
      <c r="E2488">
        <v>25759</v>
      </c>
      <c r="F2488" t="s">
        <v>4877</v>
      </c>
      <c r="G2488">
        <v>9073</v>
      </c>
      <c r="H2488">
        <v>21</v>
      </c>
      <c r="I2488" t="s">
        <v>4736</v>
      </c>
      <c r="J2488" t="s">
        <v>5191</v>
      </c>
      <c r="K2488" t="s">
        <v>3999</v>
      </c>
      <c r="L2488">
        <v>15.3</v>
      </c>
      <c r="M2488" s="452">
        <v>45918</v>
      </c>
      <c r="N2488">
        <v>15.3</v>
      </c>
      <c r="O2488">
        <v>15.3</v>
      </c>
      <c r="P2488">
        <v>321.3</v>
      </c>
    </row>
    <row r="2489" spans="1:16" x14ac:dyDescent="0.3">
      <c r="A2489">
        <v>53268</v>
      </c>
      <c r="B2489">
        <v>105</v>
      </c>
      <c r="C2489" t="s">
        <v>557</v>
      </c>
      <c r="D2489" s="452">
        <v>45931</v>
      </c>
      <c r="E2489">
        <v>25167</v>
      </c>
      <c r="F2489" t="s">
        <v>4758</v>
      </c>
      <c r="G2489">
        <v>5930</v>
      </c>
      <c r="H2489">
        <v>40</v>
      </c>
      <c r="I2489" t="s">
        <v>4744</v>
      </c>
      <c r="J2489" t="s">
        <v>5191</v>
      </c>
      <c r="K2489" t="s">
        <v>3999</v>
      </c>
      <c r="L2489">
        <v>0</v>
      </c>
      <c r="M2489" s="452">
        <v>45833</v>
      </c>
      <c r="N2489">
        <v>7.9</v>
      </c>
      <c r="O2489">
        <v>7.9</v>
      </c>
      <c r="P2489">
        <v>316</v>
      </c>
    </row>
    <row r="2490" spans="1:16" x14ac:dyDescent="0.3">
      <c r="A2490">
        <v>53347</v>
      </c>
      <c r="B2490">
        <v>105</v>
      </c>
      <c r="C2490" t="s">
        <v>557</v>
      </c>
      <c r="D2490" s="452">
        <v>45931</v>
      </c>
      <c r="E2490">
        <v>19322</v>
      </c>
      <c r="F2490" t="s">
        <v>4830</v>
      </c>
      <c r="G2490">
        <v>2773</v>
      </c>
      <c r="H2490">
        <v>8</v>
      </c>
      <c r="I2490" t="s">
        <v>4744</v>
      </c>
      <c r="J2490" t="s">
        <v>5191</v>
      </c>
      <c r="K2490" t="s">
        <v>3999</v>
      </c>
      <c r="L2490">
        <v>39.22</v>
      </c>
      <c r="M2490" s="452">
        <v>45926</v>
      </c>
      <c r="N2490">
        <v>37.9</v>
      </c>
      <c r="O2490">
        <v>37.9</v>
      </c>
      <c r="P2490">
        <v>313.76</v>
      </c>
    </row>
    <row r="2491" spans="1:16" x14ac:dyDescent="0.3">
      <c r="A2491">
        <v>53311</v>
      </c>
      <c r="B2491">
        <v>105</v>
      </c>
      <c r="C2491" t="s">
        <v>557</v>
      </c>
      <c r="D2491" s="452">
        <v>45931</v>
      </c>
      <c r="E2491">
        <v>20521</v>
      </c>
      <c r="F2491" t="s">
        <v>4797</v>
      </c>
      <c r="G2491">
        <v>2149</v>
      </c>
      <c r="H2491">
        <v>15</v>
      </c>
      <c r="I2491" t="s">
        <v>4744</v>
      </c>
      <c r="J2491" t="s">
        <v>5191</v>
      </c>
      <c r="K2491" t="s">
        <v>3999</v>
      </c>
      <c r="L2491">
        <v>0</v>
      </c>
      <c r="M2491" s="452">
        <v>45839</v>
      </c>
      <c r="N2491">
        <v>20.8</v>
      </c>
      <c r="O2491">
        <v>21.9</v>
      </c>
      <c r="P2491">
        <v>312</v>
      </c>
    </row>
    <row r="2492" spans="1:16" x14ac:dyDescent="0.3">
      <c r="A2492">
        <v>53432</v>
      </c>
      <c r="B2492">
        <v>105</v>
      </c>
      <c r="C2492" t="s">
        <v>557</v>
      </c>
      <c r="D2492" s="452">
        <v>45931</v>
      </c>
      <c r="E2492">
        <v>18735</v>
      </c>
      <c r="F2492" t="s">
        <v>4891</v>
      </c>
      <c r="G2492">
        <v>3018</v>
      </c>
      <c r="H2492">
        <v>3.13</v>
      </c>
      <c r="I2492" t="s">
        <v>4744</v>
      </c>
      <c r="J2492" t="s">
        <v>5191</v>
      </c>
      <c r="K2492" t="s">
        <v>3999</v>
      </c>
      <c r="L2492">
        <v>0</v>
      </c>
      <c r="M2492" s="452">
        <v>45853</v>
      </c>
      <c r="N2492">
        <v>96</v>
      </c>
      <c r="O2492">
        <v>67.900000000000006</v>
      </c>
      <c r="P2492">
        <v>300.48</v>
      </c>
    </row>
    <row r="2493" spans="1:16" x14ac:dyDescent="0.3">
      <c r="A2493">
        <v>53459</v>
      </c>
      <c r="B2493">
        <v>105</v>
      </c>
      <c r="C2493" t="s">
        <v>557</v>
      </c>
      <c r="D2493" s="452">
        <v>45931</v>
      </c>
      <c r="E2493">
        <v>18359</v>
      </c>
      <c r="F2493" t="s">
        <v>4921</v>
      </c>
      <c r="G2493">
        <v>3278</v>
      </c>
      <c r="H2493">
        <v>3</v>
      </c>
      <c r="I2493" t="s">
        <v>4805</v>
      </c>
      <c r="J2493" t="s">
        <v>5222</v>
      </c>
      <c r="K2493" t="s">
        <v>3999</v>
      </c>
      <c r="L2493">
        <v>99.9</v>
      </c>
      <c r="M2493" s="452">
        <v>45909</v>
      </c>
      <c r="N2493">
        <v>99.9</v>
      </c>
      <c r="O2493">
        <v>97.9</v>
      </c>
      <c r="P2493">
        <v>299.7</v>
      </c>
    </row>
    <row r="2494" spans="1:16" x14ac:dyDescent="0.3">
      <c r="A2494">
        <v>53292</v>
      </c>
      <c r="B2494">
        <v>105</v>
      </c>
      <c r="C2494" t="s">
        <v>557</v>
      </c>
      <c r="D2494" s="452">
        <v>45931</v>
      </c>
      <c r="E2494">
        <v>20122</v>
      </c>
      <c r="F2494" t="s">
        <v>4781</v>
      </c>
      <c r="G2494">
        <v>2290</v>
      </c>
      <c r="H2494">
        <v>20</v>
      </c>
      <c r="I2494" t="s">
        <v>4738</v>
      </c>
      <c r="J2494" t="s">
        <v>5191</v>
      </c>
      <c r="K2494" t="s">
        <v>3999</v>
      </c>
      <c r="L2494">
        <v>14.76</v>
      </c>
      <c r="M2494" s="452">
        <v>45918</v>
      </c>
      <c r="N2494">
        <v>14.8</v>
      </c>
      <c r="O2494">
        <v>14.8</v>
      </c>
      <c r="P2494">
        <v>295.2</v>
      </c>
    </row>
    <row r="2495" spans="1:16" x14ac:dyDescent="0.3">
      <c r="A2495">
        <v>53336</v>
      </c>
      <c r="B2495">
        <v>105</v>
      </c>
      <c r="C2495" t="s">
        <v>557</v>
      </c>
      <c r="D2495" s="452">
        <v>45931</v>
      </c>
      <c r="E2495">
        <v>22721</v>
      </c>
      <c r="F2495" t="s">
        <v>4803</v>
      </c>
      <c r="G2495">
        <v>3033</v>
      </c>
      <c r="H2495">
        <v>10.15</v>
      </c>
      <c r="I2495" t="s">
        <v>4744</v>
      </c>
      <c r="J2495" t="s">
        <v>5191</v>
      </c>
      <c r="K2495" t="s">
        <v>3999</v>
      </c>
      <c r="L2495">
        <v>28.9</v>
      </c>
      <c r="M2495" s="452">
        <v>45908</v>
      </c>
      <c r="N2495">
        <v>28.9</v>
      </c>
      <c r="O2495">
        <v>30.63</v>
      </c>
      <c r="P2495">
        <v>293.33</v>
      </c>
    </row>
    <row r="2496" spans="1:16" x14ac:dyDescent="0.3">
      <c r="A2496">
        <v>53301</v>
      </c>
      <c r="B2496">
        <v>105</v>
      </c>
      <c r="C2496" t="s">
        <v>557</v>
      </c>
      <c r="D2496" s="452">
        <v>45931</v>
      </c>
      <c r="E2496">
        <v>17950</v>
      </c>
      <c r="F2496" t="s">
        <v>5091</v>
      </c>
      <c r="G2496">
        <v>3626</v>
      </c>
      <c r="H2496">
        <v>17</v>
      </c>
      <c r="I2496" t="s">
        <v>4738</v>
      </c>
      <c r="J2496" t="s">
        <v>5222</v>
      </c>
      <c r="K2496" t="s">
        <v>3999</v>
      </c>
      <c r="L2496">
        <v>17.100000000000001</v>
      </c>
      <c r="M2496" s="452">
        <v>45930</v>
      </c>
      <c r="N2496">
        <v>17.100000000000001</v>
      </c>
      <c r="O2496">
        <v>17.100000000000001</v>
      </c>
      <c r="P2496">
        <v>290.7</v>
      </c>
    </row>
    <row r="2497" spans="1:16" x14ac:dyDescent="0.3">
      <c r="A2497">
        <v>53297</v>
      </c>
      <c r="B2497">
        <v>105</v>
      </c>
      <c r="C2497" t="s">
        <v>557</v>
      </c>
      <c r="D2497" s="452">
        <v>45931</v>
      </c>
      <c r="E2497">
        <v>17958</v>
      </c>
      <c r="F2497" t="s">
        <v>5076</v>
      </c>
      <c r="G2497">
        <v>3622</v>
      </c>
      <c r="H2497">
        <v>18</v>
      </c>
      <c r="I2497" t="s">
        <v>4738</v>
      </c>
      <c r="J2497" t="s">
        <v>5222</v>
      </c>
      <c r="K2497" t="s">
        <v>3999</v>
      </c>
      <c r="L2497">
        <v>15.9</v>
      </c>
      <c r="M2497" s="452">
        <v>45930</v>
      </c>
      <c r="N2497">
        <v>15.9</v>
      </c>
      <c r="O2497">
        <v>15.9</v>
      </c>
      <c r="P2497">
        <v>286.2</v>
      </c>
    </row>
    <row r="2498" spans="1:16" x14ac:dyDescent="0.3">
      <c r="A2498">
        <v>53354</v>
      </c>
      <c r="B2498">
        <v>105</v>
      </c>
      <c r="C2498" t="s">
        <v>557</v>
      </c>
      <c r="D2498" s="452">
        <v>45931</v>
      </c>
      <c r="E2498">
        <v>24256</v>
      </c>
      <c r="F2498" t="s">
        <v>4773</v>
      </c>
      <c r="G2498">
        <v>3003</v>
      </c>
      <c r="H2498">
        <v>7.5</v>
      </c>
      <c r="I2498" t="s">
        <v>4744</v>
      </c>
      <c r="J2498" t="s">
        <v>5191</v>
      </c>
      <c r="K2498" t="s">
        <v>3999</v>
      </c>
      <c r="L2498">
        <v>37.380000000000003</v>
      </c>
      <c r="M2498" s="452">
        <v>45926</v>
      </c>
      <c r="N2498">
        <v>34.9</v>
      </c>
      <c r="O2498">
        <v>38</v>
      </c>
      <c r="P2498">
        <v>280.35000000000002</v>
      </c>
    </row>
    <row r="2499" spans="1:16" x14ac:dyDescent="0.3">
      <c r="A2499">
        <v>53374</v>
      </c>
      <c r="B2499">
        <v>105</v>
      </c>
      <c r="C2499" t="s">
        <v>557</v>
      </c>
      <c r="D2499" s="452">
        <v>45931</v>
      </c>
      <c r="E2499">
        <v>26034</v>
      </c>
      <c r="F2499" t="s">
        <v>4828</v>
      </c>
      <c r="G2499">
        <v>6504</v>
      </c>
      <c r="H2499">
        <v>6</v>
      </c>
      <c r="I2499" t="s">
        <v>4805</v>
      </c>
      <c r="J2499" t="s">
        <v>5222</v>
      </c>
      <c r="K2499" t="s">
        <v>3999</v>
      </c>
      <c r="L2499">
        <v>45.5</v>
      </c>
      <c r="M2499" s="452">
        <v>45923</v>
      </c>
      <c r="N2499">
        <v>45.5</v>
      </c>
      <c r="O2499">
        <v>45.5</v>
      </c>
      <c r="P2499">
        <v>273</v>
      </c>
    </row>
    <row r="2500" spans="1:16" x14ac:dyDescent="0.3">
      <c r="A2500">
        <v>53375</v>
      </c>
      <c r="B2500">
        <v>105</v>
      </c>
      <c r="C2500" t="s">
        <v>557</v>
      </c>
      <c r="D2500" s="452">
        <v>45931</v>
      </c>
      <c r="E2500">
        <v>26038</v>
      </c>
      <c r="F2500" t="s">
        <v>4976</v>
      </c>
      <c r="G2500">
        <v>6506</v>
      </c>
      <c r="H2500">
        <v>6</v>
      </c>
      <c r="I2500" t="s">
        <v>4805</v>
      </c>
      <c r="J2500" t="s">
        <v>5222</v>
      </c>
      <c r="K2500" t="s">
        <v>3999</v>
      </c>
      <c r="L2500">
        <v>0</v>
      </c>
      <c r="M2500" s="452">
        <v>45897</v>
      </c>
      <c r="N2500">
        <v>45.5</v>
      </c>
      <c r="O2500">
        <v>45.5</v>
      </c>
      <c r="P2500">
        <v>273</v>
      </c>
    </row>
    <row r="2501" spans="1:16" x14ac:dyDescent="0.3">
      <c r="A2501">
        <v>53498</v>
      </c>
      <c r="B2501">
        <v>105</v>
      </c>
      <c r="C2501" t="s">
        <v>557</v>
      </c>
      <c r="D2501" s="452">
        <v>45931</v>
      </c>
      <c r="E2501">
        <v>24141</v>
      </c>
      <c r="F2501" t="s">
        <v>5088</v>
      </c>
      <c r="G2501">
        <v>3083</v>
      </c>
      <c r="H2501">
        <v>2</v>
      </c>
      <c r="I2501" t="s">
        <v>4749</v>
      </c>
      <c r="J2501" t="s">
        <v>5222</v>
      </c>
      <c r="K2501" t="s">
        <v>3999</v>
      </c>
      <c r="L2501">
        <v>134.6</v>
      </c>
      <c r="M2501" s="452">
        <v>45901</v>
      </c>
      <c r="N2501">
        <v>134.6</v>
      </c>
      <c r="O2501">
        <v>134.6</v>
      </c>
      <c r="P2501">
        <v>269.2</v>
      </c>
    </row>
    <row r="2502" spans="1:16" x14ac:dyDescent="0.3">
      <c r="A2502">
        <v>53565</v>
      </c>
      <c r="B2502">
        <v>105</v>
      </c>
      <c r="C2502" t="s">
        <v>557</v>
      </c>
      <c r="D2502" s="452">
        <v>45931</v>
      </c>
      <c r="E2502">
        <v>18114</v>
      </c>
      <c r="F2502" t="s">
        <v>5046</v>
      </c>
      <c r="G2502">
        <v>3498</v>
      </c>
      <c r="H2502">
        <v>1</v>
      </c>
      <c r="I2502" t="s">
        <v>4805</v>
      </c>
      <c r="J2502" t="s">
        <v>5222</v>
      </c>
      <c r="K2502" t="s">
        <v>3999</v>
      </c>
      <c r="L2502">
        <v>0</v>
      </c>
      <c r="M2502" s="452">
        <v>-693593</v>
      </c>
      <c r="N2502">
        <v>0</v>
      </c>
      <c r="O2502">
        <v>232</v>
      </c>
      <c r="P2502">
        <v>261.70999999999998</v>
      </c>
    </row>
    <row r="2503" spans="1:16" x14ac:dyDescent="0.3">
      <c r="A2503">
        <v>53323</v>
      </c>
      <c r="B2503">
        <v>105</v>
      </c>
      <c r="C2503" t="s">
        <v>557</v>
      </c>
      <c r="D2503" s="452">
        <v>45931</v>
      </c>
      <c r="E2503">
        <v>25205</v>
      </c>
      <c r="F2503" t="s">
        <v>4850</v>
      </c>
      <c r="G2503">
        <v>5944</v>
      </c>
      <c r="H2503">
        <v>12.8</v>
      </c>
      <c r="I2503" t="s">
        <v>4744</v>
      </c>
      <c r="J2503" t="s">
        <v>5191</v>
      </c>
      <c r="K2503" t="s">
        <v>3999</v>
      </c>
      <c r="L2503">
        <v>20.32</v>
      </c>
      <c r="M2503" s="452">
        <v>45922</v>
      </c>
      <c r="N2503">
        <v>29.9</v>
      </c>
      <c r="O2503">
        <v>17.07</v>
      </c>
      <c r="P2503">
        <v>260.10000000000002</v>
      </c>
    </row>
    <row r="2504" spans="1:16" x14ac:dyDescent="0.3">
      <c r="A2504">
        <v>53351</v>
      </c>
      <c r="B2504">
        <v>105</v>
      </c>
      <c r="C2504" t="s">
        <v>557</v>
      </c>
      <c r="D2504" s="452">
        <v>45931</v>
      </c>
      <c r="E2504">
        <v>22712</v>
      </c>
      <c r="F2504" t="s">
        <v>4820</v>
      </c>
      <c r="G2504">
        <v>3039</v>
      </c>
      <c r="H2504">
        <v>7.9</v>
      </c>
      <c r="I2504" t="s">
        <v>4744</v>
      </c>
      <c r="J2504" t="s">
        <v>5191</v>
      </c>
      <c r="K2504" t="s">
        <v>3999</v>
      </c>
      <c r="L2504">
        <v>32.9</v>
      </c>
      <c r="M2504" s="452">
        <v>45922</v>
      </c>
      <c r="N2504">
        <v>32.9</v>
      </c>
      <c r="O2504">
        <v>32.9</v>
      </c>
      <c r="P2504">
        <v>259.91000000000003</v>
      </c>
    </row>
    <row r="2505" spans="1:16" x14ac:dyDescent="0.3">
      <c r="A2505">
        <v>53475</v>
      </c>
      <c r="B2505">
        <v>105</v>
      </c>
      <c r="C2505" t="s">
        <v>557</v>
      </c>
      <c r="D2505" s="452">
        <v>45931</v>
      </c>
      <c r="E2505">
        <v>25233</v>
      </c>
      <c r="F2505" t="s">
        <v>5439</v>
      </c>
      <c r="G2505">
        <v>5958</v>
      </c>
      <c r="H2505">
        <v>2</v>
      </c>
      <c r="I2505" t="s">
        <v>4884</v>
      </c>
      <c r="J2505" t="s">
        <v>5191</v>
      </c>
      <c r="K2505" t="s">
        <v>3999</v>
      </c>
      <c r="L2505">
        <v>125.48</v>
      </c>
      <c r="M2505" s="452">
        <v>45922</v>
      </c>
      <c r="N2505">
        <v>125.48</v>
      </c>
      <c r="O2505">
        <v>83.6</v>
      </c>
      <c r="P2505">
        <v>250.96</v>
      </c>
    </row>
    <row r="2506" spans="1:16" x14ac:dyDescent="0.3">
      <c r="A2506">
        <v>53396</v>
      </c>
      <c r="B2506">
        <v>105</v>
      </c>
      <c r="C2506" t="s">
        <v>557</v>
      </c>
      <c r="D2506" s="452">
        <v>45931</v>
      </c>
      <c r="E2506">
        <v>18477</v>
      </c>
      <c r="F2506" t="s">
        <v>4920</v>
      </c>
      <c r="G2506">
        <v>3179</v>
      </c>
      <c r="H2506">
        <v>5</v>
      </c>
      <c r="I2506" t="s">
        <v>4805</v>
      </c>
      <c r="J2506" t="s">
        <v>5222</v>
      </c>
      <c r="K2506" t="s">
        <v>3999</v>
      </c>
      <c r="L2506">
        <v>0</v>
      </c>
      <c r="M2506" s="452">
        <v>45525</v>
      </c>
      <c r="N2506">
        <v>49.9</v>
      </c>
      <c r="O2506">
        <v>43.9</v>
      </c>
      <c r="P2506">
        <v>249.5</v>
      </c>
    </row>
    <row r="2507" spans="1:16" x14ac:dyDescent="0.3">
      <c r="A2507">
        <v>53414</v>
      </c>
      <c r="B2507">
        <v>105</v>
      </c>
      <c r="C2507" t="s">
        <v>557</v>
      </c>
      <c r="D2507" s="452">
        <v>45931</v>
      </c>
      <c r="E2507">
        <v>27397</v>
      </c>
      <c r="F2507" t="s">
        <v>4913</v>
      </c>
      <c r="G2507">
        <v>7399</v>
      </c>
      <c r="H2507">
        <v>4</v>
      </c>
      <c r="I2507" t="s">
        <v>4736</v>
      </c>
      <c r="J2507" t="s">
        <v>5191</v>
      </c>
      <c r="K2507" t="s">
        <v>3999</v>
      </c>
      <c r="L2507">
        <v>61.4</v>
      </c>
      <c r="M2507" s="452">
        <v>45926</v>
      </c>
      <c r="N2507">
        <v>61.9</v>
      </c>
      <c r="O2507">
        <v>61.9</v>
      </c>
      <c r="P2507">
        <v>245.6</v>
      </c>
    </row>
    <row r="2508" spans="1:16" x14ac:dyDescent="0.3">
      <c r="A2508">
        <v>53501</v>
      </c>
      <c r="B2508">
        <v>105</v>
      </c>
      <c r="C2508" t="s">
        <v>557</v>
      </c>
      <c r="D2508" s="452">
        <v>45931</v>
      </c>
      <c r="E2508">
        <v>18315</v>
      </c>
      <c r="F2508" t="s">
        <v>4922</v>
      </c>
      <c r="G2508">
        <v>3318</v>
      </c>
      <c r="H2508">
        <v>2</v>
      </c>
      <c r="I2508" t="s">
        <v>4805</v>
      </c>
      <c r="J2508" t="s">
        <v>5222</v>
      </c>
      <c r="K2508" t="s">
        <v>3999</v>
      </c>
      <c r="L2508">
        <v>121.99</v>
      </c>
      <c r="M2508" s="452">
        <v>45915</v>
      </c>
      <c r="N2508">
        <v>121.99</v>
      </c>
      <c r="O2508">
        <v>122.9</v>
      </c>
      <c r="P2508">
        <v>243.98</v>
      </c>
    </row>
    <row r="2509" spans="1:16" x14ac:dyDescent="0.3">
      <c r="A2509">
        <v>53325</v>
      </c>
      <c r="B2509">
        <v>105</v>
      </c>
      <c r="C2509" t="s">
        <v>557</v>
      </c>
      <c r="D2509" s="452">
        <v>45931</v>
      </c>
      <c r="E2509">
        <v>26495</v>
      </c>
      <c r="F2509" t="s">
        <v>4867</v>
      </c>
      <c r="G2509">
        <v>5447</v>
      </c>
      <c r="H2509">
        <v>12.2</v>
      </c>
      <c r="I2509" t="s">
        <v>4744</v>
      </c>
      <c r="J2509" t="s">
        <v>5191</v>
      </c>
      <c r="K2509" t="s">
        <v>3999</v>
      </c>
      <c r="L2509">
        <v>19.829999999999998</v>
      </c>
      <c r="M2509" s="452">
        <v>45926</v>
      </c>
      <c r="N2509">
        <v>0</v>
      </c>
      <c r="O2509">
        <v>0</v>
      </c>
      <c r="P2509">
        <v>241.93</v>
      </c>
    </row>
    <row r="2510" spans="1:16" x14ac:dyDescent="0.3">
      <c r="A2510">
        <v>53330</v>
      </c>
      <c r="B2510">
        <v>105</v>
      </c>
      <c r="C2510" t="s">
        <v>557</v>
      </c>
      <c r="D2510" s="452">
        <v>45931</v>
      </c>
      <c r="E2510">
        <v>20501</v>
      </c>
      <c r="F2510" t="s">
        <v>4760</v>
      </c>
      <c r="G2510">
        <v>2154</v>
      </c>
      <c r="H2510">
        <v>11.53</v>
      </c>
      <c r="I2510" t="s">
        <v>4744</v>
      </c>
      <c r="J2510" t="s">
        <v>5191</v>
      </c>
      <c r="K2510" t="s">
        <v>3999</v>
      </c>
      <c r="L2510">
        <v>20.9</v>
      </c>
      <c r="M2510" s="452">
        <v>45929</v>
      </c>
      <c r="N2510">
        <v>20.9</v>
      </c>
      <c r="O2510">
        <v>20.8</v>
      </c>
      <c r="P2510">
        <v>240.98</v>
      </c>
    </row>
    <row r="2511" spans="1:16" x14ac:dyDescent="0.3">
      <c r="A2511">
        <v>53355</v>
      </c>
      <c r="B2511">
        <v>105</v>
      </c>
      <c r="C2511" t="s">
        <v>557</v>
      </c>
      <c r="D2511" s="452">
        <v>45931</v>
      </c>
      <c r="E2511">
        <v>19439</v>
      </c>
      <c r="F2511" t="s">
        <v>4917</v>
      </c>
      <c r="G2511">
        <v>2756</v>
      </c>
      <c r="H2511">
        <v>7.3</v>
      </c>
      <c r="I2511" t="s">
        <v>4744</v>
      </c>
      <c r="J2511" t="s">
        <v>5191</v>
      </c>
      <c r="K2511" t="s">
        <v>3999</v>
      </c>
      <c r="L2511">
        <v>32.58</v>
      </c>
      <c r="M2511" s="452">
        <v>45926</v>
      </c>
      <c r="N2511">
        <v>32.200000000000003</v>
      </c>
      <c r="O2511">
        <v>32.200000000000003</v>
      </c>
      <c r="P2511">
        <v>237.83</v>
      </c>
    </row>
    <row r="2512" spans="1:16" x14ac:dyDescent="0.3">
      <c r="A2512">
        <v>53350</v>
      </c>
      <c r="B2512">
        <v>105</v>
      </c>
      <c r="C2512" t="s">
        <v>557</v>
      </c>
      <c r="D2512" s="452">
        <v>45931</v>
      </c>
      <c r="E2512">
        <v>17903</v>
      </c>
      <c r="F2512" t="s">
        <v>5084</v>
      </c>
      <c r="G2512">
        <v>3658</v>
      </c>
      <c r="H2512">
        <v>8</v>
      </c>
      <c r="I2512" t="s">
        <v>4738</v>
      </c>
      <c r="J2512" t="s">
        <v>5222</v>
      </c>
      <c r="K2512" t="s">
        <v>3999</v>
      </c>
      <c r="L2512">
        <v>29.64</v>
      </c>
      <c r="M2512" s="452">
        <v>45924</v>
      </c>
      <c r="N2512">
        <v>29.64</v>
      </c>
      <c r="O2512">
        <v>29.64</v>
      </c>
      <c r="P2512">
        <v>237.12</v>
      </c>
    </row>
    <row r="2513" spans="1:16" x14ac:dyDescent="0.3">
      <c r="A2513">
        <v>53286</v>
      </c>
      <c r="B2513">
        <v>105</v>
      </c>
      <c r="C2513" t="s">
        <v>557</v>
      </c>
      <c r="D2513" s="452">
        <v>45931</v>
      </c>
      <c r="E2513">
        <v>25758</v>
      </c>
      <c r="F2513" t="s">
        <v>4775</v>
      </c>
      <c r="G2513">
        <v>9066</v>
      </c>
      <c r="H2513">
        <v>22</v>
      </c>
      <c r="I2513" t="s">
        <v>4736</v>
      </c>
      <c r="J2513" t="s">
        <v>5191</v>
      </c>
      <c r="K2513" t="s">
        <v>3999</v>
      </c>
      <c r="L2513">
        <v>10.71</v>
      </c>
      <c r="M2513" s="452">
        <v>45918</v>
      </c>
      <c r="N2513">
        <v>10.71</v>
      </c>
      <c r="O2513">
        <v>10.71</v>
      </c>
      <c r="P2513">
        <v>235.62</v>
      </c>
    </row>
    <row r="2514" spans="1:16" x14ac:dyDescent="0.3">
      <c r="A2514">
        <v>53462</v>
      </c>
      <c r="B2514">
        <v>105</v>
      </c>
      <c r="C2514" t="s">
        <v>557</v>
      </c>
      <c r="D2514" s="452">
        <v>45931</v>
      </c>
      <c r="E2514">
        <v>18008</v>
      </c>
      <c r="F2514" t="s">
        <v>4865</v>
      </c>
      <c r="G2514">
        <v>3589</v>
      </c>
      <c r="H2514">
        <v>3</v>
      </c>
      <c r="I2514" t="s">
        <v>4805</v>
      </c>
      <c r="J2514" t="s">
        <v>5222</v>
      </c>
      <c r="K2514" t="s">
        <v>3999</v>
      </c>
      <c r="L2514">
        <v>0</v>
      </c>
      <c r="M2514" s="452">
        <v>45716</v>
      </c>
      <c r="N2514">
        <v>76.83</v>
      </c>
      <c r="O2514">
        <v>76.83</v>
      </c>
      <c r="P2514">
        <v>230.49</v>
      </c>
    </row>
    <row r="2515" spans="1:16" x14ac:dyDescent="0.3">
      <c r="A2515">
        <v>53269</v>
      </c>
      <c r="B2515">
        <v>105</v>
      </c>
      <c r="C2515" t="s">
        <v>557</v>
      </c>
      <c r="D2515" s="452">
        <v>45931</v>
      </c>
      <c r="E2515">
        <v>19532</v>
      </c>
      <c r="F2515" t="s">
        <v>4753</v>
      </c>
      <c r="G2515">
        <v>2683</v>
      </c>
      <c r="H2515">
        <v>40</v>
      </c>
      <c r="I2515" t="s">
        <v>4744</v>
      </c>
      <c r="J2515" t="s">
        <v>5191</v>
      </c>
      <c r="K2515" t="s">
        <v>3999</v>
      </c>
      <c r="L2515">
        <v>5.67</v>
      </c>
      <c r="M2515" s="452">
        <v>45929</v>
      </c>
      <c r="N2515">
        <v>6.5</v>
      </c>
      <c r="O2515">
        <v>5.0599999999999996</v>
      </c>
      <c r="P2515">
        <v>226.8</v>
      </c>
    </row>
    <row r="2516" spans="1:16" x14ac:dyDescent="0.3">
      <c r="A2516">
        <v>53312</v>
      </c>
      <c r="B2516">
        <v>105</v>
      </c>
      <c r="C2516" t="s">
        <v>557</v>
      </c>
      <c r="D2516" s="452">
        <v>45931</v>
      </c>
      <c r="E2516">
        <v>19964</v>
      </c>
      <c r="F2516" t="s">
        <v>4817</v>
      </c>
      <c r="G2516">
        <v>2356</v>
      </c>
      <c r="H2516">
        <v>15</v>
      </c>
      <c r="I2516" t="s">
        <v>4736</v>
      </c>
      <c r="J2516" t="s">
        <v>5191</v>
      </c>
      <c r="K2516" t="s">
        <v>3999</v>
      </c>
      <c r="L2516">
        <v>0</v>
      </c>
      <c r="M2516" s="452">
        <v>45677</v>
      </c>
      <c r="N2516">
        <v>14.96</v>
      </c>
      <c r="O2516">
        <v>14.96</v>
      </c>
      <c r="P2516">
        <v>224.4</v>
      </c>
    </row>
    <row r="2517" spans="1:16" x14ac:dyDescent="0.3">
      <c r="A2517">
        <v>53267</v>
      </c>
      <c r="B2517">
        <v>105</v>
      </c>
      <c r="C2517" t="s">
        <v>557</v>
      </c>
      <c r="D2517" s="452">
        <v>45931</v>
      </c>
      <c r="E2517">
        <v>22636</v>
      </c>
      <c r="F2517" t="s">
        <v>4761</v>
      </c>
      <c r="G2517">
        <v>3099</v>
      </c>
      <c r="H2517">
        <v>41</v>
      </c>
      <c r="I2517" t="s">
        <v>4736</v>
      </c>
      <c r="J2517" t="s">
        <v>5222</v>
      </c>
      <c r="K2517" t="s">
        <v>3999</v>
      </c>
      <c r="L2517">
        <v>0</v>
      </c>
      <c r="M2517" s="452">
        <v>45671</v>
      </c>
      <c r="N2517">
        <v>5.3</v>
      </c>
      <c r="O2517">
        <v>5.0199999999999996</v>
      </c>
      <c r="P2517">
        <v>217.3</v>
      </c>
    </row>
    <row r="2518" spans="1:16" x14ac:dyDescent="0.3">
      <c r="A2518">
        <v>53284</v>
      </c>
      <c r="B2518">
        <v>105</v>
      </c>
      <c r="C2518" t="s">
        <v>557</v>
      </c>
      <c r="D2518" s="452">
        <v>45931</v>
      </c>
      <c r="E2518">
        <v>26103</v>
      </c>
      <c r="F2518" t="s">
        <v>4776</v>
      </c>
      <c r="G2518">
        <v>9072</v>
      </c>
      <c r="H2518">
        <v>23</v>
      </c>
      <c r="I2518" t="s">
        <v>4749</v>
      </c>
      <c r="J2518" t="s">
        <v>5191</v>
      </c>
      <c r="K2518" t="s">
        <v>3999</v>
      </c>
      <c r="L2518">
        <v>9.44</v>
      </c>
      <c r="M2518" s="452">
        <v>45918</v>
      </c>
      <c r="N2518">
        <v>9.44</v>
      </c>
      <c r="O2518">
        <v>9.44</v>
      </c>
      <c r="P2518">
        <v>217.12</v>
      </c>
    </row>
    <row r="2519" spans="1:16" x14ac:dyDescent="0.3">
      <c r="A2519">
        <v>53349</v>
      </c>
      <c r="B2519">
        <v>105</v>
      </c>
      <c r="C2519" t="s">
        <v>557</v>
      </c>
      <c r="D2519" s="452">
        <v>45931</v>
      </c>
      <c r="E2519">
        <v>18030</v>
      </c>
      <c r="F2519" t="s">
        <v>4840</v>
      </c>
      <c r="G2519">
        <v>3568</v>
      </c>
      <c r="H2519">
        <v>8</v>
      </c>
      <c r="I2519" t="s">
        <v>4805</v>
      </c>
      <c r="J2519" t="s">
        <v>5222</v>
      </c>
      <c r="K2519" t="s">
        <v>3999</v>
      </c>
      <c r="L2519">
        <v>27.09</v>
      </c>
      <c r="M2519" s="452">
        <v>45924</v>
      </c>
      <c r="N2519">
        <v>27.5</v>
      </c>
      <c r="O2519">
        <v>27.5</v>
      </c>
      <c r="P2519">
        <v>216.72</v>
      </c>
    </row>
    <row r="2520" spans="1:16" x14ac:dyDescent="0.3">
      <c r="A2520">
        <v>53281</v>
      </c>
      <c r="B2520">
        <v>105</v>
      </c>
      <c r="C2520" t="s">
        <v>557</v>
      </c>
      <c r="D2520" s="452">
        <v>45931</v>
      </c>
      <c r="E2520">
        <v>25757</v>
      </c>
      <c r="F2520" t="s">
        <v>4763</v>
      </c>
      <c r="G2520">
        <v>6308</v>
      </c>
      <c r="H2520">
        <v>27</v>
      </c>
      <c r="I2520" t="s">
        <v>4736</v>
      </c>
      <c r="J2520" t="s">
        <v>5191</v>
      </c>
      <c r="K2520" t="s">
        <v>3999</v>
      </c>
      <c r="L2520">
        <v>7.99</v>
      </c>
      <c r="M2520" s="452">
        <v>45922</v>
      </c>
      <c r="N2520">
        <v>7.99</v>
      </c>
      <c r="O2520">
        <v>7.99</v>
      </c>
      <c r="P2520">
        <v>215.73</v>
      </c>
    </row>
    <row r="2521" spans="1:16" x14ac:dyDescent="0.3">
      <c r="A2521">
        <v>53372</v>
      </c>
      <c r="B2521">
        <v>105</v>
      </c>
      <c r="C2521" t="s">
        <v>557</v>
      </c>
      <c r="D2521" s="452">
        <v>45931</v>
      </c>
      <c r="E2521">
        <v>18491</v>
      </c>
      <c r="F2521" t="s">
        <v>4839</v>
      </c>
      <c r="G2521">
        <v>3166</v>
      </c>
      <c r="H2521">
        <v>6</v>
      </c>
      <c r="I2521" t="s">
        <v>4805</v>
      </c>
      <c r="J2521" t="s">
        <v>5222</v>
      </c>
      <c r="K2521" t="s">
        <v>3999</v>
      </c>
      <c r="L2521">
        <v>0</v>
      </c>
      <c r="M2521" s="452">
        <v>45555</v>
      </c>
      <c r="N2521">
        <v>35.9</v>
      </c>
      <c r="O2521">
        <v>33.9</v>
      </c>
      <c r="P2521">
        <v>215.4</v>
      </c>
    </row>
    <row r="2522" spans="1:16" x14ac:dyDescent="0.3">
      <c r="A2522">
        <v>53393</v>
      </c>
      <c r="B2522">
        <v>105</v>
      </c>
      <c r="C2522" t="s">
        <v>557</v>
      </c>
      <c r="D2522" s="452">
        <v>45931</v>
      </c>
      <c r="E2522">
        <v>18991</v>
      </c>
      <c r="F2522" t="s">
        <v>4815</v>
      </c>
      <c r="G2522">
        <v>2900</v>
      </c>
      <c r="H2522">
        <v>5</v>
      </c>
      <c r="I2522" t="s">
        <v>4744</v>
      </c>
      <c r="J2522" t="s">
        <v>5191</v>
      </c>
      <c r="K2522" t="s">
        <v>3999</v>
      </c>
      <c r="L2522">
        <v>42.42</v>
      </c>
      <c r="M2522" s="452">
        <v>45911</v>
      </c>
      <c r="N2522">
        <v>42.42</v>
      </c>
      <c r="O2522">
        <v>42.42</v>
      </c>
      <c r="P2522">
        <v>212.1</v>
      </c>
    </row>
    <row r="2523" spans="1:16" x14ac:dyDescent="0.3">
      <c r="A2523">
        <v>53359</v>
      </c>
      <c r="B2523">
        <v>105</v>
      </c>
      <c r="C2523" t="s">
        <v>557</v>
      </c>
      <c r="D2523" s="452">
        <v>45931</v>
      </c>
      <c r="E2523">
        <v>17905</v>
      </c>
      <c r="F2523" t="s">
        <v>5085</v>
      </c>
      <c r="G2523">
        <v>3656</v>
      </c>
      <c r="H2523">
        <v>7</v>
      </c>
      <c r="I2523" t="s">
        <v>4738</v>
      </c>
      <c r="J2523" t="s">
        <v>5222</v>
      </c>
      <c r="K2523" t="s">
        <v>3999</v>
      </c>
      <c r="L2523">
        <v>29.64</v>
      </c>
      <c r="M2523" s="452">
        <v>45929</v>
      </c>
      <c r="N2523">
        <v>29.64</v>
      </c>
      <c r="O2523">
        <v>29.64</v>
      </c>
      <c r="P2523">
        <v>207.48</v>
      </c>
    </row>
    <row r="2524" spans="1:16" x14ac:dyDescent="0.3">
      <c r="A2524">
        <v>53280</v>
      </c>
      <c r="B2524">
        <v>105</v>
      </c>
      <c r="C2524" t="s">
        <v>557</v>
      </c>
      <c r="D2524" s="452">
        <v>45931</v>
      </c>
      <c r="E2524">
        <v>25760</v>
      </c>
      <c r="F2524" t="s">
        <v>4787</v>
      </c>
      <c r="G2524">
        <v>6311</v>
      </c>
      <c r="H2524">
        <v>27</v>
      </c>
      <c r="I2524" t="s">
        <v>4736</v>
      </c>
      <c r="J2524" t="s">
        <v>5191</v>
      </c>
      <c r="K2524" t="s">
        <v>3999</v>
      </c>
      <c r="L2524">
        <v>7.65</v>
      </c>
      <c r="M2524" s="452">
        <v>45922</v>
      </c>
      <c r="N2524">
        <v>7.65</v>
      </c>
      <c r="O2524">
        <v>7.65</v>
      </c>
      <c r="P2524">
        <v>206.55</v>
      </c>
    </row>
    <row r="2525" spans="1:16" x14ac:dyDescent="0.3">
      <c r="A2525">
        <v>53500</v>
      </c>
      <c r="B2525">
        <v>105</v>
      </c>
      <c r="C2525" t="s">
        <v>557</v>
      </c>
      <c r="D2525" s="452">
        <v>45931</v>
      </c>
      <c r="E2525">
        <v>18538</v>
      </c>
      <c r="F2525" t="s">
        <v>5030</v>
      </c>
      <c r="G2525">
        <v>3139</v>
      </c>
      <c r="H2525">
        <v>2</v>
      </c>
      <c r="I2525" t="s">
        <v>4805</v>
      </c>
      <c r="J2525" t="s">
        <v>5222</v>
      </c>
      <c r="K2525" t="s">
        <v>3999</v>
      </c>
      <c r="L2525">
        <v>103.25</v>
      </c>
      <c r="M2525" s="452">
        <v>45902</v>
      </c>
      <c r="N2525">
        <v>103.25</v>
      </c>
      <c r="O2525">
        <v>104.53</v>
      </c>
      <c r="P2525">
        <v>206.5</v>
      </c>
    </row>
    <row r="2526" spans="1:16" x14ac:dyDescent="0.3">
      <c r="A2526">
        <v>53527</v>
      </c>
      <c r="B2526">
        <v>105</v>
      </c>
      <c r="C2526" t="s">
        <v>557</v>
      </c>
      <c r="D2526" s="452">
        <v>45931</v>
      </c>
      <c r="E2526">
        <v>25807</v>
      </c>
      <c r="F2526" t="s">
        <v>4951</v>
      </c>
      <c r="G2526">
        <v>6344</v>
      </c>
      <c r="H2526">
        <v>1</v>
      </c>
      <c r="I2526" t="s">
        <v>4736</v>
      </c>
      <c r="J2526" t="s">
        <v>5191</v>
      </c>
      <c r="K2526" t="s">
        <v>3999</v>
      </c>
      <c r="L2526">
        <v>196.33</v>
      </c>
      <c r="M2526" s="452">
        <v>45901</v>
      </c>
      <c r="N2526">
        <v>196.33</v>
      </c>
      <c r="O2526">
        <v>196.33</v>
      </c>
      <c r="P2526">
        <v>196.33</v>
      </c>
    </row>
    <row r="2527" spans="1:16" x14ac:dyDescent="0.3">
      <c r="A2527">
        <v>53273</v>
      </c>
      <c r="B2527">
        <v>105</v>
      </c>
      <c r="C2527" t="s">
        <v>557</v>
      </c>
      <c r="D2527" s="452">
        <v>45931</v>
      </c>
      <c r="E2527">
        <v>24192</v>
      </c>
      <c r="F2527" t="s">
        <v>4772</v>
      </c>
      <c r="G2527">
        <v>3099</v>
      </c>
      <c r="H2527">
        <v>32</v>
      </c>
      <c r="I2527" t="s">
        <v>4736</v>
      </c>
      <c r="J2527" t="s">
        <v>5222</v>
      </c>
      <c r="K2527" t="s">
        <v>3999</v>
      </c>
      <c r="L2527">
        <v>0</v>
      </c>
      <c r="M2527" s="452">
        <v>45679</v>
      </c>
      <c r="N2527">
        <v>6.12</v>
      </c>
      <c r="O2527">
        <v>6.12</v>
      </c>
      <c r="P2527">
        <v>195.84</v>
      </c>
    </row>
    <row r="2528" spans="1:16" x14ac:dyDescent="0.3">
      <c r="A2528">
        <v>53472</v>
      </c>
      <c r="B2528">
        <v>105</v>
      </c>
      <c r="C2528" t="s">
        <v>557</v>
      </c>
      <c r="D2528" s="452">
        <v>45931</v>
      </c>
      <c r="E2528">
        <v>23494</v>
      </c>
      <c r="F2528" t="s">
        <v>4991</v>
      </c>
      <c r="G2528">
        <v>2375</v>
      </c>
      <c r="H2528">
        <v>2.5</v>
      </c>
      <c r="I2528" t="s">
        <v>4744</v>
      </c>
      <c r="J2528" t="s">
        <v>5191</v>
      </c>
      <c r="K2528" t="s">
        <v>3999</v>
      </c>
      <c r="L2528">
        <v>78</v>
      </c>
      <c r="M2528" s="452">
        <v>45908</v>
      </c>
      <c r="N2528">
        <v>78</v>
      </c>
      <c r="O2528">
        <v>77.900000000000006</v>
      </c>
      <c r="P2528">
        <v>195</v>
      </c>
    </row>
    <row r="2529" spans="1:16" x14ac:dyDescent="0.3">
      <c r="A2529">
        <v>53308</v>
      </c>
      <c r="B2529">
        <v>105</v>
      </c>
      <c r="C2529" t="s">
        <v>557</v>
      </c>
      <c r="D2529" s="452">
        <v>45931</v>
      </c>
      <c r="E2529">
        <v>19740</v>
      </c>
      <c r="F2529" t="s">
        <v>4779</v>
      </c>
      <c r="G2529">
        <v>2513</v>
      </c>
      <c r="H2529">
        <v>15.72</v>
      </c>
      <c r="I2529" t="s">
        <v>4744</v>
      </c>
      <c r="J2529" t="s">
        <v>5191</v>
      </c>
      <c r="K2529" t="s">
        <v>3999</v>
      </c>
      <c r="L2529">
        <v>12.27</v>
      </c>
      <c r="M2529" s="452">
        <v>45929</v>
      </c>
      <c r="N2529">
        <v>12.2</v>
      </c>
      <c r="O2529">
        <v>12.56</v>
      </c>
      <c r="P2529">
        <v>192.88</v>
      </c>
    </row>
    <row r="2530" spans="1:16" x14ac:dyDescent="0.3">
      <c r="A2530">
        <v>53399</v>
      </c>
      <c r="B2530">
        <v>105</v>
      </c>
      <c r="C2530" t="s">
        <v>557</v>
      </c>
      <c r="D2530" s="452">
        <v>45931</v>
      </c>
      <c r="E2530">
        <v>16973</v>
      </c>
      <c r="F2530" t="s">
        <v>4827</v>
      </c>
      <c r="G2530">
        <v>3710</v>
      </c>
      <c r="H2530">
        <v>5</v>
      </c>
      <c r="I2530" t="s">
        <v>4749</v>
      </c>
      <c r="J2530" t="s">
        <v>5222</v>
      </c>
      <c r="K2530" t="s">
        <v>3999</v>
      </c>
      <c r="L2530">
        <v>0</v>
      </c>
      <c r="M2530" s="452">
        <v>45740</v>
      </c>
      <c r="N2530">
        <v>0</v>
      </c>
      <c r="O2530">
        <v>135</v>
      </c>
      <c r="P2530">
        <v>190</v>
      </c>
    </row>
    <row r="2531" spans="1:16" x14ac:dyDescent="0.3">
      <c r="A2531">
        <v>53461</v>
      </c>
      <c r="B2531">
        <v>105</v>
      </c>
      <c r="C2531" t="s">
        <v>557</v>
      </c>
      <c r="D2531" s="452">
        <v>45931</v>
      </c>
      <c r="E2531">
        <v>18194</v>
      </c>
      <c r="F2531" t="s">
        <v>4923</v>
      </c>
      <c r="G2531">
        <v>3430</v>
      </c>
      <c r="H2531">
        <v>3</v>
      </c>
      <c r="I2531" t="s">
        <v>4805</v>
      </c>
      <c r="J2531" t="s">
        <v>5222</v>
      </c>
      <c r="K2531" t="s">
        <v>3999</v>
      </c>
      <c r="L2531">
        <v>62.89</v>
      </c>
      <c r="M2531" s="452">
        <v>45924</v>
      </c>
      <c r="N2531">
        <v>63.99</v>
      </c>
      <c r="O2531">
        <v>63.99</v>
      </c>
      <c r="P2531">
        <v>188.67</v>
      </c>
    </row>
    <row r="2532" spans="1:16" x14ac:dyDescent="0.3">
      <c r="A2532">
        <v>53499</v>
      </c>
      <c r="B2532">
        <v>105</v>
      </c>
      <c r="C2532" t="s">
        <v>557</v>
      </c>
      <c r="D2532" s="452">
        <v>45931</v>
      </c>
      <c r="E2532">
        <v>18581</v>
      </c>
      <c r="F2532" t="s">
        <v>4747</v>
      </c>
      <c r="G2532">
        <v>3106</v>
      </c>
      <c r="H2532">
        <v>2</v>
      </c>
      <c r="I2532" t="s">
        <v>4738</v>
      </c>
      <c r="J2532" t="s">
        <v>5222</v>
      </c>
      <c r="K2532" t="s">
        <v>3999</v>
      </c>
      <c r="L2532">
        <v>0</v>
      </c>
      <c r="M2532" s="452">
        <v>-693593</v>
      </c>
      <c r="N2532">
        <v>0</v>
      </c>
      <c r="O2532">
        <v>108.84</v>
      </c>
      <c r="P2532">
        <v>188.54</v>
      </c>
    </row>
    <row r="2533" spans="1:16" x14ac:dyDescent="0.3">
      <c r="A2533">
        <v>53381</v>
      </c>
      <c r="B2533">
        <v>105</v>
      </c>
      <c r="C2533" t="s">
        <v>557</v>
      </c>
      <c r="D2533" s="452">
        <v>45931</v>
      </c>
      <c r="E2533">
        <v>24339</v>
      </c>
      <c r="F2533" t="s">
        <v>4885</v>
      </c>
      <c r="G2533">
        <v>2153</v>
      </c>
      <c r="H2533">
        <v>5.15</v>
      </c>
      <c r="I2533" t="s">
        <v>4744</v>
      </c>
      <c r="J2533" t="s">
        <v>5191</v>
      </c>
      <c r="K2533" t="s">
        <v>3999</v>
      </c>
      <c r="L2533">
        <v>36</v>
      </c>
      <c r="M2533" s="452">
        <v>45901</v>
      </c>
      <c r="N2533">
        <v>36</v>
      </c>
      <c r="O2533">
        <v>36</v>
      </c>
      <c r="P2533">
        <v>185.4</v>
      </c>
    </row>
    <row r="2534" spans="1:16" x14ac:dyDescent="0.3">
      <c r="A2534">
        <v>53288</v>
      </c>
      <c r="B2534">
        <v>105</v>
      </c>
      <c r="C2534" t="s">
        <v>557</v>
      </c>
      <c r="D2534" s="452">
        <v>45931</v>
      </c>
      <c r="E2534">
        <v>25762</v>
      </c>
      <c r="F2534" t="s">
        <v>4770</v>
      </c>
      <c r="G2534">
        <v>9070</v>
      </c>
      <c r="H2534">
        <v>22</v>
      </c>
      <c r="I2534" t="s">
        <v>4736</v>
      </c>
      <c r="J2534" t="s">
        <v>5191</v>
      </c>
      <c r="K2534" t="s">
        <v>3999</v>
      </c>
      <c r="L2534">
        <v>8.36</v>
      </c>
      <c r="M2534" s="452">
        <v>45922</v>
      </c>
      <c r="N2534">
        <v>8.36</v>
      </c>
      <c r="O2534">
        <v>8.36</v>
      </c>
      <c r="P2534">
        <v>183.92</v>
      </c>
    </row>
    <row r="2535" spans="1:16" x14ac:dyDescent="0.3">
      <c r="A2535">
        <v>53303</v>
      </c>
      <c r="B2535">
        <v>105</v>
      </c>
      <c r="C2535" t="s">
        <v>557</v>
      </c>
      <c r="D2535" s="452">
        <v>45931</v>
      </c>
      <c r="E2535">
        <v>19734</v>
      </c>
      <c r="F2535" t="s">
        <v>4833</v>
      </c>
      <c r="G2535">
        <v>2519</v>
      </c>
      <c r="H2535">
        <v>16.5</v>
      </c>
      <c r="I2535" t="s">
        <v>4744</v>
      </c>
      <c r="J2535" t="s">
        <v>5191</v>
      </c>
      <c r="K2535" t="s">
        <v>3999</v>
      </c>
      <c r="L2535">
        <v>11.11</v>
      </c>
      <c r="M2535" s="452">
        <v>45925</v>
      </c>
      <c r="N2535">
        <v>12</v>
      </c>
      <c r="O2535">
        <v>12</v>
      </c>
      <c r="P2535">
        <v>183.32</v>
      </c>
    </row>
    <row r="2536" spans="1:16" x14ac:dyDescent="0.3">
      <c r="A2536">
        <v>53259</v>
      </c>
      <c r="B2536">
        <v>105</v>
      </c>
      <c r="C2536" t="s">
        <v>557</v>
      </c>
      <c r="D2536" s="452">
        <v>45931</v>
      </c>
      <c r="E2536">
        <v>17042</v>
      </c>
      <c r="F2536" t="s">
        <v>4748</v>
      </c>
      <c r="G2536">
        <v>2830</v>
      </c>
      <c r="H2536">
        <v>126</v>
      </c>
      <c r="I2536" t="s">
        <v>4749</v>
      </c>
      <c r="J2536" t="s">
        <v>5191</v>
      </c>
      <c r="K2536" t="s">
        <v>3999</v>
      </c>
      <c r="L2536">
        <v>0</v>
      </c>
      <c r="M2536" s="452">
        <v>45880</v>
      </c>
      <c r="N2536">
        <v>1.44</v>
      </c>
      <c r="O2536">
        <v>1.45</v>
      </c>
      <c r="P2536">
        <v>181.44</v>
      </c>
    </row>
    <row r="2537" spans="1:16" x14ac:dyDescent="0.3">
      <c r="A2537">
        <v>53502</v>
      </c>
      <c r="B2537">
        <v>105</v>
      </c>
      <c r="C2537" t="s">
        <v>557</v>
      </c>
      <c r="D2537" s="452">
        <v>45931</v>
      </c>
      <c r="E2537">
        <v>18219</v>
      </c>
      <c r="F2537" t="s">
        <v>4972</v>
      </c>
      <c r="G2537">
        <v>3409</v>
      </c>
      <c r="H2537">
        <v>2</v>
      </c>
      <c r="I2537" t="s">
        <v>4805</v>
      </c>
      <c r="J2537" t="s">
        <v>5222</v>
      </c>
      <c r="K2537" t="s">
        <v>3999</v>
      </c>
      <c r="L2537">
        <v>87.63</v>
      </c>
      <c r="M2537" s="452">
        <v>45916</v>
      </c>
      <c r="N2537">
        <v>87.63</v>
      </c>
      <c r="O2537">
        <v>91.65</v>
      </c>
      <c r="P2537">
        <v>175.26</v>
      </c>
    </row>
    <row r="2538" spans="1:16" x14ac:dyDescent="0.3">
      <c r="A2538">
        <v>53387</v>
      </c>
      <c r="B2538">
        <v>105</v>
      </c>
      <c r="C2538" t="s">
        <v>557</v>
      </c>
      <c r="D2538" s="452">
        <v>45931</v>
      </c>
      <c r="E2538">
        <v>20689</v>
      </c>
      <c r="F2538" t="s">
        <v>5007</v>
      </c>
      <c r="G2538">
        <v>2105</v>
      </c>
      <c r="H2538">
        <v>5</v>
      </c>
      <c r="I2538" t="s">
        <v>4736</v>
      </c>
      <c r="J2538" t="s">
        <v>5191</v>
      </c>
      <c r="K2538" t="s">
        <v>3999</v>
      </c>
      <c r="L2538">
        <v>34.9</v>
      </c>
      <c r="M2538" s="452">
        <v>45929</v>
      </c>
      <c r="N2538">
        <v>32.9</v>
      </c>
      <c r="O2538">
        <v>35.9</v>
      </c>
      <c r="P2538">
        <v>174.5</v>
      </c>
    </row>
    <row r="2539" spans="1:16" x14ac:dyDescent="0.3">
      <c r="A2539">
        <v>53287</v>
      </c>
      <c r="B2539">
        <v>105</v>
      </c>
      <c r="C2539" t="s">
        <v>557</v>
      </c>
      <c r="D2539" s="452">
        <v>45931</v>
      </c>
      <c r="E2539">
        <v>25748</v>
      </c>
      <c r="F2539" t="s">
        <v>4999</v>
      </c>
      <c r="G2539">
        <v>9068</v>
      </c>
      <c r="H2539">
        <v>22</v>
      </c>
      <c r="I2539" t="s">
        <v>4749</v>
      </c>
      <c r="J2539" t="s">
        <v>5191</v>
      </c>
      <c r="K2539" t="s">
        <v>3999</v>
      </c>
      <c r="L2539">
        <v>7.91</v>
      </c>
      <c r="M2539" s="452">
        <v>45918</v>
      </c>
      <c r="N2539">
        <v>7.91</v>
      </c>
      <c r="O2539">
        <v>7.91</v>
      </c>
      <c r="P2539">
        <v>174.02</v>
      </c>
    </row>
    <row r="2540" spans="1:16" x14ac:dyDescent="0.3">
      <c r="A2540">
        <v>53563</v>
      </c>
      <c r="B2540">
        <v>105</v>
      </c>
      <c r="C2540" t="s">
        <v>557</v>
      </c>
      <c r="D2540" s="452">
        <v>45931</v>
      </c>
      <c r="E2540">
        <v>18119</v>
      </c>
      <c r="F2540" t="s">
        <v>5044</v>
      </c>
      <c r="G2540">
        <v>3494</v>
      </c>
      <c r="H2540">
        <v>1</v>
      </c>
      <c r="I2540" t="s">
        <v>4805</v>
      </c>
      <c r="J2540" t="s">
        <v>5222</v>
      </c>
      <c r="K2540" t="s">
        <v>3999</v>
      </c>
      <c r="L2540">
        <v>0</v>
      </c>
      <c r="M2540" s="452">
        <v>45875</v>
      </c>
      <c r="N2540">
        <v>172.88</v>
      </c>
      <c r="O2540">
        <v>168</v>
      </c>
      <c r="P2540">
        <v>172.88</v>
      </c>
    </row>
    <row r="2541" spans="1:16" x14ac:dyDescent="0.3">
      <c r="A2541">
        <v>53467</v>
      </c>
      <c r="B2541">
        <v>105</v>
      </c>
      <c r="C2541" t="s">
        <v>557</v>
      </c>
      <c r="D2541" s="452">
        <v>45931</v>
      </c>
      <c r="E2541">
        <v>17658</v>
      </c>
      <c r="F2541" t="s">
        <v>4978</v>
      </c>
      <c r="G2541">
        <v>3871</v>
      </c>
      <c r="H2541">
        <v>3</v>
      </c>
      <c r="I2541" t="s">
        <v>4805</v>
      </c>
      <c r="J2541" t="s">
        <v>5222</v>
      </c>
      <c r="K2541" t="s">
        <v>3999</v>
      </c>
      <c r="L2541">
        <v>0</v>
      </c>
      <c r="M2541" s="452">
        <v>45861</v>
      </c>
      <c r="N2541">
        <v>0</v>
      </c>
      <c r="O2541">
        <v>0</v>
      </c>
      <c r="P2541">
        <v>172.5</v>
      </c>
    </row>
    <row r="2542" spans="1:16" x14ac:dyDescent="0.3">
      <c r="A2542">
        <v>53457</v>
      </c>
      <c r="B2542">
        <v>105</v>
      </c>
      <c r="C2542" t="s">
        <v>557</v>
      </c>
      <c r="D2542" s="452">
        <v>45931</v>
      </c>
      <c r="E2542">
        <v>18502</v>
      </c>
      <c r="F2542" t="s">
        <v>4893</v>
      </c>
      <c r="G2542">
        <v>3155</v>
      </c>
      <c r="H2542">
        <v>3</v>
      </c>
      <c r="I2542" t="s">
        <v>4805</v>
      </c>
      <c r="J2542" t="s">
        <v>5222</v>
      </c>
      <c r="K2542" t="s">
        <v>3999</v>
      </c>
      <c r="L2542">
        <v>0</v>
      </c>
      <c r="M2542" s="452">
        <v>45737</v>
      </c>
      <c r="N2542">
        <v>56.69</v>
      </c>
      <c r="O2542">
        <v>56.69</v>
      </c>
      <c r="P2542">
        <v>170.07</v>
      </c>
    </row>
    <row r="2543" spans="1:16" x14ac:dyDescent="0.3">
      <c r="A2543">
        <v>53560</v>
      </c>
      <c r="B2543">
        <v>105</v>
      </c>
      <c r="C2543" t="s">
        <v>557</v>
      </c>
      <c r="D2543" s="452">
        <v>45931</v>
      </c>
      <c r="E2543">
        <v>18157</v>
      </c>
      <c r="F2543" t="s">
        <v>5041</v>
      </c>
      <c r="G2543">
        <v>3463</v>
      </c>
      <c r="H2543">
        <v>1</v>
      </c>
      <c r="I2543" t="s">
        <v>4805</v>
      </c>
      <c r="J2543" t="s">
        <v>5222</v>
      </c>
      <c r="K2543" t="s">
        <v>3999</v>
      </c>
      <c r="L2543">
        <v>0</v>
      </c>
      <c r="M2543" s="452">
        <v>45874</v>
      </c>
      <c r="N2543">
        <v>164.98</v>
      </c>
      <c r="O2543">
        <v>198</v>
      </c>
      <c r="P2543">
        <v>164.98</v>
      </c>
    </row>
    <row r="2544" spans="1:16" x14ac:dyDescent="0.3">
      <c r="A2544">
        <v>53310</v>
      </c>
      <c r="B2544">
        <v>105</v>
      </c>
      <c r="C2544" t="s">
        <v>557</v>
      </c>
      <c r="D2544" s="452">
        <v>45931</v>
      </c>
      <c r="E2544">
        <v>20054</v>
      </c>
      <c r="F2544" t="s">
        <v>4856</v>
      </c>
      <c r="G2544">
        <v>2325</v>
      </c>
      <c r="H2544">
        <v>15</v>
      </c>
      <c r="I2544" t="s">
        <v>4736</v>
      </c>
      <c r="J2544" t="s">
        <v>5191</v>
      </c>
      <c r="K2544" t="s">
        <v>3999</v>
      </c>
      <c r="L2544">
        <v>10.99</v>
      </c>
      <c r="M2544" s="452">
        <v>45904</v>
      </c>
      <c r="N2544">
        <v>10.99</v>
      </c>
      <c r="O2544">
        <v>13.27</v>
      </c>
      <c r="P2544">
        <v>164.85</v>
      </c>
    </row>
    <row r="2545" spans="1:16" x14ac:dyDescent="0.3">
      <c r="A2545">
        <v>53270</v>
      </c>
      <c r="B2545">
        <v>105</v>
      </c>
      <c r="C2545" t="s">
        <v>557</v>
      </c>
      <c r="D2545" s="452">
        <v>45931</v>
      </c>
      <c r="E2545">
        <v>23268</v>
      </c>
      <c r="F2545" t="s">
        <v>4743</v>
      </c>
      <c r="G2545">
        <v>2592</v>
      </c>
      <c r="H2545">
        <v>37.200000000000003</v>
      </c>
      <c r="I2545" t="s">
        <v>4744</v>
      </c>
      <c r="J2545" t="s">
        <v>5191</v>
      </c>
      <c r="K2545" t="s">
        <v>3999</v>
      </c>
      <c r="L2545">
        <v>0</v>
      </c>
      <c r="M2545" s="452">
        <v>45681</v>
      </c>
      <c r="N2545">
        <v>4.42</v>
      </c>
      <c r="O2545">
        <v>5.0999999999999996</v>
      </c>
      <c r="P2545">
        <v>164.42</v>
      </c>
    </row>
    <row r="2546" spans="1:16" x14ac:dyDescent="0.3">
      <c r="A2546">
        <v>53477</v>
      </c>
      <c r="B2546">
        <v>105</v>
      </c>
      <c r="C2546" t="s">
        <v>557</v>
      </c>
      <c r="D2546" s="452">
        <v>45931</v>
      </c>
      <c r="E2546">
        <v>20739</v>
      </c>
      <c r="F2546" t="s">
        <v>5459</v>
      </c>
      <c r="G2546">
        <v>2090</v>
      </c>
      <c r="H2546">
        <v>2</v>
      </c>
      <c r="I2546" t="s">
        <v>4736</v>
      </c>
      <c r="J2546" t="s">
        <v>5191</v>
      </c>
      <c r="K2546" t="s">
        <v>3999</v>
      </c>
      <c r="L2546">
        <v>0</v>
      </c>
      <c r="M2546" s="452">
        <v>45870</v>
      </c>
      <c r="N2546">
        <v>81.73</v>
      </c>
      <c r="O2546">
        <v>77.61</v>
      </c>
      <c r="P2546">
        <v>163.46</v>
      </c>
    </row>
    <row r="2547" spans="1:16" x14ac:dyDescent="0.3">
      <c r="A2547">
        <v>53277</v>
      </c>
      <c r="B2547">
        <v>105</v>
      </c>
      <c r="C2547" t="s">
        <v>557</v>
      </c>
      <c r="D2547" s="452">
        <v>45931</v>
      </c>
      <c r="E2547">
        <v>23359</v>
      </c>
      <c r="F2547" t="s">
        <v>4767</v>
      </c>
      <c r="G2547">
        <v>2499</v>
      </c>
      <c r="H2547">
        <v>27.7</v>
      </c>
      <c r="I2547" t="s">
        <v>4744</v>
      </c>
      <c r="J2547" t="s">
        <v>5191</v>
      </c>
      <c r="K2547" t="s">
        <v>3999</v>
      </c>
      <c r="L2547">
        <v>5.77</v>
      </c>
      <c r="M2547" s="452">
        <v>45930</v>
      </c>
      <c r="N2547">
        <v>6.48</v>
      </c>
      <c r="O2547">
        <v>6.48</v>
      </c>
      <c r="P2547">
        <v>159.83000000000001</v>
      </c>
    </row>
    <row r="2548" spans="1:16" x14ac:dyDescent="0.3">
      <c r="A2548">
        <v>53644</v>
      </c>
      <c r="B2548">
        <v>105</v>
      </c>
      <c r="C2548" t="s">
        <v>557</v>
      </c>
      <c r="D2548" s="452">
        <v>45931</v>
      </c>
      <c r="E2548">
        <v>24973</v>
      </c>
      <c r="F2548" t="s">
        <v>4819</v>
      </c>
      <c r="G2548">
        <v>5845</v>
      </c>
      <c r="H2548">
        <v>2</v>
      </c>
      <c r="I2548" t="s">
        <v>4738</v>
      </c>
      <c r="J2548" t="s">
        <v>5222</v>
      </c>
      <c r="K2548" t="s">
        <v>3999</v>
      </c>
      <c r="L2548">
        <v>79.64</v>
      </c>
      <c r="M2548" s="452">
        <v>45929</v>
      </c>
      <c r="N2548">
        <v>79.64</v>
      </c>
      <c r="O2548">
        <v>79.64</v>
      </c>
      <c r="P2548">
        <v>159.28</v>
      </c>
    </row>
    <row r="2549" spans="1:16" x14ac:dyDescent="0.3">
      <c r="A2549">
        <v>53402</v>
      </c>
      <c r="B2549">
        <v>105</v>
      </c>
      <c r="C2549" t="s">
        <v>557</v>
      </c>
      <c r="D2549" s="452">
        <v>45931</v>
      </c>
      <c r="E2549">
        <v>20176</v>
      </c>
      <c r="F2549" t="s">
        <v>5175</v>
      </c>
      <c r="G2549">
        <v>2262</v>
      </c>
      <c r="H2549">
        <v>4.5</v>
      </c>
      <c r="I2549" t="s">
        <v>4736</v>
      </c>
      <c r="J2549" t="s">
        <v>5191</v>
      </c>
      <c r="K2549" t="s">
        <v>3999</v>
      </c>
      <c r="L2549">
        <v>34.68</v>
      </c>
      <c r="M2549" s="452">
        <v>45911</v>
      </c>
      <c r="N2549">
        <v>34.68</v>
      </c>
      <c r="O2549">
        <v>34.68</v>
      </c>
      <c r="P2549">
        <v>156.06</v>
      </c>
    </row>
    <row r="2550" spans="1:16" x14ac:dyDescent="0.3">
      <c r="A2550">
        <v>53419</v>
      </c>
      <c r="B2550">
        <v>105</v>
      </c>
      <c r="C2550" t="s">
        <v>557</v>
      </c>
      <c r="D2550" s="452">
        <v>45931</v>
      </c>
      <c r="E2550">
        <v>19790</v>
      </c>
      <c r="F2550" t="s">
        <v>5073</v>
      </c>
      <c r="G2550">
        <v>2469</v>
      </c>
      <c r="H2550">
        <v>4</v>
      </c>
      <c r="I2550" t="s">
        <v>4744</v>
      </c>
      <c r="J2550" t="s">
        <v>5191</v>
      </c>
      <c r="K2550" t="s">
        <v>3999</v>
      </c>
      <c r="L2550">
        <v>38.94</v>
      </c>
      <c r="M2550" s="452">
        <v>45902</v>
      </c>
      <c r="N2550">
        <v>37.700000000000003</v>
      </c>
      <c r="O2550">
        <v>45</v>
      </c>
      <c r="P2550">
        <v>155.76</v>
      </c>
    </row>
    <row r="2551" spans="1:16" x14ac:dyDescent="0.3">
      <c r="A2551">
        <v>53469</v>
      </c>
      <c r="B2551">
        <v>105</v>
      </c>
      <c r="C2551" t="s">
        <v>557</v>
      </c>
      <c r="D2551" s="452">
        <v>45931</v>
      </c>
      <c r="E2551">
        <v>19955</v>
      </c>
      <c r="F2551" t="s">
        <v>4985</v>
      </c>
      <c r="G2551">
        <v>2359</v>
      </c>
      <c r="H2551">
        <v>2.73</v>
      </c>
      <c r="I2551" t="s">
        <v>4736</v>
      </c>
      <c r="J2551" t="s">
        <v>5191</v>
      </c>
      <c r="K2551" t="s">
        <v>3999</v>
      </c>
      <c r="L2551">
        <v>0</v>
      </c>
      <c r="M2551" s="452">
        <v>45870</v>
      </c>
      <c r="N2551">
        <v>56.54</v>
      </c>
      <c r="O2551">
        <v>56.89</v>
      </c>
      <c r="P2551">
        <v>154.35</v>
      </c>
    </row>
    <row r="2552" spans="1:16" x14ac:dyDescent="0.3">
      <c r="A2552">
        <v>53343</v>
      </c>
      <c r="B2552">
        <v>105</v>
      </c>
      <c r="C2552" t="s">
        <v>557</v>
      </c>
      <c r="D2552" s="452">
        <v>45931</v>
      </c>
      <c r="E2552">
        <v>21257</v>
      </c>
      <c r="F2552" t="s">
        <v>4952</v>
      </c>
      <c r="G2552">
        <v>2187</v>
      </c>
      <c r="H2552">
        <v>8</v>
      </c>
      <c r="I2552" t="s">
        <v>4736</v>
      </c>
      <c r="J2552" t="s">
        <v>5191</v>
      </c>
      <c r="K2552" t="s">
        <v>3999</v>
      </c>
      <c r="L2552">
        <v>18.850000000000001</v>
      </c>
      <c r="M2552" s="452">
        <v>45926</v>
      </c>
      <c r="N2552">
        <v>18.850000000000001</v>
      </c>
      <c r="O2552">
        <v>18.850000000000001</v>
      </c>
      <c r="P2552">
        <v>150.80000000000001</v>
      </c>
    </row>
    <row r="2553" spans="1:16" x14ac:dyDescent="0.3">
      <c r="A2553">
        <v>53554</v>
      </c>
      <c r="B2553">
        <v>105</v>
      </c>
      <c r="C2553" t="s">
        <v>557</v>
      </c>
      <c r="D2553" s="452">
        <v>45931</v>
      </c>
      <c r="E2553">
        <v>24685</v>
      </c>
      <c r="F2553" t="s">
        <v>5055</v>
      </c>
      <c r="G2553">
        <v>5714</v>
      </c>
      <c r="H2553">
        <v>1</v>
      </c>
      <c r="I2553" t="s">
        <v>4805</v>
      </c>
      <c r="J2553" t="s">
        <v>5222</v>
      </c>
      <c r="K2553" t="s">
        <v>3999</v>
      </c>
      <c r="L2553">
        <v>149.29</v>
      </c>
      <c r="M2553" s="452">
        <v>45910</v>
      </c>
      <c r="N2553">
        <v>149.29</v>
      </c>
      <c r="O2553">
        <v>144.19999999999999</v>
      </c>
      <c r="P2553">
        <v>149.29</v>
      </c>
    </row>
    <row r="2554" spans="1:16" x14ac:dyDescent="0.3">
      <c r="A2554">
        <v>53398</v>
      </c>
      <c r="B2554">
        <v>105</v>
      </c>
      <c r="C2554" t="s">
        <v>557</v>
      </c>
      <c r="D2554" s="452">
        <v>45931</v>
      </c>
      <c r="E2554">
        <v>18006</v>
      </c>
      <c r="F2554" t="s">
        <v>5094</v>
      </c>
      <c r="G2554">
        <v>3591</v>
      </c>
      <c r="H2554">
        <v>5</v>
      </c>
      <c r="I2554" t="s">
        <v>4738</v>
      </c>
      <c r="J2554" t="s">
        <v>5222</v>
      </c>
      <c r="K2554" t="s">
        <v>3999</v>
      </c>
      <c r="L2554">
        <v>29.64</v>
      </c>
      <c r="M2554" s="452">
        <v>45924</v>
      </c>
      <c r="N2554">
        <v>29.64</v>
      </c>
      <c r="O2554">
        <v>29.64</v>
      </c>
      <c r="P2554">
        <v>148.19999999999999</v>
      </c>
    </row>
    <row r="2555" spans="1:16" x14ac:dyDescent="0.3">
      <c r="A2555">
        <v>53406</v>
      </c>
      <c r="B2555">
        <v>105</v>
      </c>
      <c r="C2555" t="s">
        <v>557</v>
      </c>
      <c r="D2555" s="452">
        <v>45931</v>
      </c>
      <c r="E2555">
        <v>19356</v>
      </c>
      <c r="F2555" t="s">
        <v>4799</v>
      </c>
      <c r="G2555">
        <v>2768</v>
      </c>
      <c r="H2555">
        <v>4.33</v>
      </c>
      <c r="I2555" t="s">
        <v>4744</v>
      </c>
      <c r="J2555" t="s">
        <v>5191</v>
      </c>
      <c r="K2555" t="s">
        <v>3999</v>
      </c>
      <c r="L2555">
        <v>33.56</v>
      </c>
      <c r="M2555" s="452">
        <v>45911</v>
      </c>
      <c r="N2555">
        <v>29.74</v>
      </c>
      <c r="O2555">
        <v>56.9</v>
      </c>
      <c r="P2555">
        <v>145.31</v>
      </c>
    </row>
    <row r="2556" spans="1:16" x14ac:dyDescent="0.3">
      <c r="A2556">
        <v>53275</v>
      </c>
      <c r="B2556">
        <v>105</v>
      </c>
      <c r="C2556" t="s">
        <v>557</v>
      </c>
      <c r="D2556" s="452">
        <v>45931</v>
      </c>
      <c r="E2556">
        <v>19787</v>
      </c>
      <c r="F2556" t="s">
        <v>4793</v>
      </c>
      <c r="G2556">
        <v>2471</v>
      </c>
      <c r="H2556">
        <v>28.43</v>
      </c>
      <c r="I2556" t="s">
        <v>4744</v>
      </c>
      <c r="J2556" t="s">
        <v>5191</v>
      </c>
      <c r="K2556" t="s">
        <v>3999</v>
      </c>
      <c r="L2556">
        <v>5</v>
      </c>
      <c r="M2556" s="452">
        <v>45930</v>
      </c>
      <c r="N2556">
        <v>4.9000000000000004</v>
      </c>
      <c r="O2556">
        <v>4.9000000000000004</v>
      </c>
      <c r="P2556">
        <v>142.15</v>
      </c>
    </row>
    <row r="2557" spans="1:16" x14ac:dyDescent="0.3">
      <c r="A2557">
        <v>53400</v>
      </c>
      <c r="B2557">
        <v>105</v>
      </c>
      <c r="C2557" t="s">
        <v>557</v>
      </c>
      <c r="D2557" s="452">
        <v>45931</v>
      </c>
      <c r="E2557">
        <v>17883</v>
      </c>
      <c r="F2557" t="s">
        <v>5113</v>
      </c>
      <c r="G2557">
        <v>3673</v>
      </c>
      <c r="H2557">
        <v>5</v>
      </c>
      <c r="I2557" t="s">
        <v>4738</v>
      </c>
      <c r="J2557" t="s">
        <v>5222</v>
      </c>
      <c r="K2557" t="s">
        <v>3999</v>
      </c>
      <c r="L2557">
        <v>28.32</v>
      </c>
      <c r="M2557" s="452">
        <v>45901</v>
      </c>
      <c r="N2557">
        <v>28.32</v>
      </c>
      <c r="O2557">
        <v>28.32</v>
      </c>
      <c r="P2557">
        <v>141.6</v>
      </c>
    </row>
    <row r="2558" spans="1:16" x14ac:dyDescent="0.3">
      <c r="A2558">
        <v>53391</v>
      </c>
      <c r="B2558">
        <v>105</v>
      </c>
      <c r="C2558" t="s">
        <v>557</v>
      </c>
      <c r="D2558" s="452">
        <v>45931</v>
      </c>
      <c r="E2558">
        <v>19649</v>
      </c>
      <c r="F2558" t="s">
        <v>4859</v>
      </c>
      <c r="G2558">
        <v>2589</v>
      </c>
      <c r="H2558">
        <v>5</v>
      </c>
      <c r="I2558" t="s">
        <v>4744</v>
      </c>
      <c r="J2558" t="s">
        <v>5191</v>
      </c>
      <c r="K2558" t="s">
        <v>3999</v>
      </c>
      <c r="L2558">
        <v>0</v>
      </c>
      <c r="M2558" s="452">
        <v>45820</v>
      </c>
      <c r="N2558">
        <v>27.9</v>
      </c>
      <c r="O2558">
        <v>23.5</v>
      </c>
      <c r="P2558">
        <v>139.5</v>
      </c>
    </row>
    <row r="2559" spans="1:16" x14ac:dyDescent="0.3">
      <c r="A2559">
        <v>53331</v>
      </c>
      <c r="B2559">
        <v>105</v>
      </c>
      <c r="C2559" t="s">
        <v>557</v>
      </c>
      <c r="D2559" s="452">
        <v>45931</v>
      </c>
      <c r="E2559">
        <v>26005</v>
      </c>
      <c r="F2559" t="s">
        <v>4907</v>
      </c>
      <c r="G2559">
        <v>9065</v>
      </c>
      <c r="H2559">
        <v>11</v>
      </c>
      <c r="I2559" t="s">
        <v>4749</v>
      </c>
      <c r="J2559" t="s">
        <v>5191</v>
      </c>
      <c r="K2559" t="s">
        <v>3999</v>
      </c>
      <c r="L2559">
        <v>12.62</v>
      </c>
      <c r="M2559" s="452">
        <v>45922</v>
      </c>
      <c r="N2559">
        <v>12.62</v>
      </c>
      <c r="O2559">
        <v>12.62</v>
      </c>
      <c r="P2559">
        <v>138.82</v>
      </c>
    </row>
    <row r="2560" spans="1:16" x14ac:dyDescent="0.3">
      <c r="A2560">
        <v>53332</v>
      </c>
      <c r="B2560">
        <v>105</v>
      </c>
      <c r="C2560" t="s">
        <v>557</v>
      </c>
      <c r="D2560" s="452">
        <v>45931</v>
      </c>
      <c r="E2560">
        <v>26006</v>
      </c>
      <c r="F2560" t="s">
        <v>4941</v>
      </c>
      <c r="G2560">
        <v>6491</v>
      </c>
      <c r="H2560">
        <v>11</v>
      </c>
      <c r="I2560" t="s">
        <v>4749</v>
      </c>
      <c r="J2560" t="s">
        <v>5191</v>
      </c>
      <c r="K2560" t="s">
        <v>3999</v>
      </c>
      <c r="L2560">
        <v>12.62</v>
      </c>
      <c r="M2560" s="452">
        <v>45922</v>
      </c>
      <c r="N2560">
        <v>12.62</v>
      </c>
      <c r="O2560">
        <v>12.62</v>
      </c>
      <c r="P2560">
        <v>138.82</v>
      </c>
    </row>
    <row r="2561" spans="1:16" x14ac:dyDescent="0.3">
      <c r="A2561">
        <v>53466</v>
      </c>
      <c r="B2561">
        <v>105</v>
      </c>
      <c r="C2561" t="s">
        <v>557</v>
      </c>
      <c r="D2561" s="452">
        <v>45931</v>
      </c>
      <c r="E2561">
        <v>24642</v>
      </c>
      <c r="F2561" t="s">
        <v>5460</v>
      </c>
      <c r="G2561">
        <v>5692</v>
      </c>
      <c r="H2561">
        <v>3</v>
      </c>
      <c r="I2561" t="s">
        <v>4805</v>
      </c>
      <c r="J2561" t="s">
        <v>5222</v>
      </c>
      <c r="K2561" t="s">
        <v>3999</v>
      </c>
      <c r="L2561">
        <v>0</v>
      </c>
      <c r="M2561" s="452">
        <v>45596</v>
      </c>
      <c r="N2561">
        <v>46</v>
      </c>
      <c r="O2561">
        <v>46</v>
      </c>
      <c r="P2561">
        <v>138</v>
      </c>
    </row>
    <row r="2562" spans="1:16" x14ac:dyDescent="0.3">
      <c r="A2562">
        <v>53556</v>
      </c>
      <c r="B2562">
        <v>105</v>
      </c>
      <c r="C2562" t="s">
        <v>557</v>
      </c>
      <c r="D2562" s="452">
        <v>45931</v>
      </c>
      <c r="E2562">
        <v>18295</v>
      </c>
      <c r="F2562" t="s">
        <v>4968</v>
      </c>
      <c r="G2562">
        <v>3334</v>
      </c>
      <c r="H2562">
        <v>1</v>
      </c>
      <c r="I2562" t="s">
        <v>4805</v>
      </c>
      <c r="J2562" t="s">
        <v>5222</v>
      </c>
      <c r="K2562" t="s">
        <v>3999</v>
      </c>
      <c r="L2562">
        <v>138</v>
      </c>
      <c r="M2562" s="452">
        <v>45902</v>
      </c>
      <c r="N2562">
        <v>138</v>
      </c>
      <c r="O2562">
        <v>133.37</v>
      </c>
      <c r="P2562">
        <v>138</v>
      </c>
    </row>
    <row r="2563" spans="1:16" x14ac:dyDescent="0.3">
      <c r="A2563">
        <v>53395</v>
      </c>
      <c r="B2563">
        <v>105</v>
      </c>
      <c r="C2563" t="s">
        <v>557</v>
      </c>
      <c r="D2563" s="452">
        <v>45931</v>
      </c>
      <c r="E2563">
        <v>26560</v>
      </c>
      <c r="F2563" t="s">
        <v>4894</v>
      </c>
      <c r="G2563">
        <v>6788</v>
      </c>
      <c r="H2563">
        <v>5</v>
      </c>
      <c r="I2563" t="s">
        <v>4805</v>
      </c>
      <c r="J2563" t="s">
        <v>5222</v>
      </c>
      <c r="K2563" t="s">
        <v>3999</v>
      </c>
      <c r="L2563">
        <v>0</v>
      </c>
      <c r="M2563" s="452">
        <v>45881</v>
      </c>
      <c r="N2563">
        <v>27.5</v>
      </c>
      <c r="O2563">
        <v>27.5</v>
      </c>
      <c r="P2563">
        <v>137.5</v>
      </c>
    </row>
    <row r="2564" spans="1:16" x14ac:dyDescent="0.3">
      <c r="A2564">
        <v>53497</v>
      </c>
      <c r="B2564">
        <v>105</v>
      </c>
      <c r="C2564" t="s">
        <v>557</v>
      </c>
      <c r="D2564" s="452">
        <v>45931</v>
      </c>
      <c r="E2564">
        <v>19421</v>
      </c>
      <c r="F2564" t="s">
        <v>4918</v>
      </c>
      <c r="G2564">
        <v>2758</v>
      </c>
      <c r="H2564">
        <v>2</v>
      </c>
      <c r="I2564" t="s">
        <v>4749</v>
      </c>
      <c r="J2564" t="s">
        <v>5191</v>
      </c>
      <c r="K2564" t="s">
        <v>3999</v>
      </c>
      <c r="L2564">
        <v>68.23</v>
      </c>
      <c r="M2564" s="452">
        <v>45929</v>
      </c>
      <c r="N2564">
        <v>67</v>
      </c>
      <c r="O2564">
        <v>19.54</v>
      </c>
      <c r="P2564">
        <v>136.46</v>
      </c>
    </row>
    <row r="2565" spans="1:16" x14ac:dyDescent="0.3">
      <c r="A2565">
        <v>53555</v>
      </c>
      <c r="B2565">
        <v>105</v>
      </c>
      <c r="C2565" t="s">
        <v>557</v>
      </c>
      <c r="D2565" s="452">
        <v>45931</v>
      </c>
      <c r="E2565">
        <v>18312</v>
      </c>
      <c r="F2565" t="s">
        <v>5037</v>
      </c>
      <c r="G2565">
        <v>3321</v>
      </c>
      <c r="H2565">
        <v>1</v>
      </c>
      <c r="I2565" t="s">
        <v>4805</v>
      </c>
      <c r="J2565" t="s">
        <v>5222</v>
      </c>
      <c r="K2565" t="s">
        <v>3999</v>
      </c>
      <c r="L2565">
        <v>0</v>
      </c>
      <c r="M2565" s="452">
        <v>-693593</v>
      </c>
      <c r="N2565">
        <v>0</v>
      </c>
      <c r="O2565">
        <v>86</v>
      </c>
      <c r="P2565">
        <v>135.9</v>
      </c>
    </row>
    <row r="2566" spans="1:16" x14ac:dyDescent="0.3">
      <c r="A2566">
        <v>53394</v>
      </c>
      <c r="B2566">
        <v>105</v>
      </c>
      <c r="C2566" t="s">
        <v>557</v>
      </c>
      <c r="D2566" s="452">
        <v>45931</v>
      </c>
      <c r="E2566">
        <v>18547</v>
      </c>
      <c r="F2566" t="s">
        <v>4863</v>
      </c>
      <c r="G2566">
        <v>3132</v>
      </c>
      <c r="H2566">
        <v>5</v>
      </c>
      <c r="I2566" t="s">
        <v>4805</v>
      </c>
      <c r="J2566" t="s">
        <v>5222</v>
      </c>
      <c r="K2566" t="s">
        <v>3999</v>
      </c>
      <c r="L2566">
        <v>26.93</v>
      </c>
      <c r="M2566" s="452">
        <v>45924</v>
      </c>
      <c r="N2566">
        <v>0</v>
      </c>
      <c r="O2566">
        <v>34.99</v>
      </c>
      <c r="P2566">
        <v>134.65</v>
      </c>
    </row>
    <row r="2567" spans="1:16" x14ac:dyDescent="0.3">
      <c r="A2567">
        <v>53551</v>
      </c>
      <c r="B2567">
        <v>105</v>
      </c>
      <c r="C2567" t="s">
        <v>557</v>
      </c>
      <c r="D2567" s="452">
        <v>45931</v>
      </c>
      <c r="E2567">
        <v>18394</v>
      </c>
      <c r="F2567" t="s">
        <v>5032</v>
      </c>
      <c r="G2567">
        <v>3246</v>
      </c>
      <c r="H2567">
        <v>1</v>
      </c>
      <c r="I2567" t="s">
        <v>4805</v>
      </c>
      <c r="J2567" t="s">
        <v>5222</v>
      </c>
      <c r="K2567" t="s">
        <v>3999</v>
      </c>
      <c r="L2567">
        <v>0</v>
      </c>
      <c r="M2567" s="452">
        <v>45867</v>
      </c>
      <c r="N2567">
        <v>132.36000000000001</v>
      </c>
      <c r="O2567">
        <v>132</v>
      </c>
      <c r="P2567">
        <v>132.36000000000001</v>
      </c>
    </row>
    <row r="2568" spans="1:16" x14ac:dyDescent="0.3">
      <c r="A2568">
        <v>53344</v>
      </c>
      <c r="B2568">
        <v>105</v>
      </c>
      <c r="C2568" t="s">
        <v>557</v>
      </c>
      <c r="D2568" s="452">
        <v>45931</v>
      </c>
      <c r="E2568">
        <v>21000</v>
      </c>
      <c r="F2568" t="s">
        <v>4818</v>
      </c>
      <c r="G2568">
        <v>2008</v>
      </c>
      <c r="H2568">
        <v>8</v>
      </c>
      <c r="I2568" t="s">
        <v>4736</v>
      </c>
      <c r="J2568" t="s">
        <v>5191</v>
      </c>
      <c r="K2568" t="s">
        <v>3999</v>
      </c>
      <c r="L2568">
        <v>0</v>
      </c>
      <c r="M2568" s="452">
        <v>45887</v>
      </c>
      <c r="N2568">
        <v>16.309999999999999</v>
      </c>
      <c r="O2568">
        <v>16.309999999999999</v>
      </c>
      <c r="P2568">
        <v>130.47999999999999</v>
      </c>
    </row>
    <row r="2569" spans="1:16" x14ac:dyDescent="0.3">
      <c r="A2569">
        <v>53463</v>
      </c>
      <c r="B2569">
        <v>105</v>
      </c>
      <c r="C2569" t="s">
        <v>557</v>
      </c>
      <c r="D2569" s="452">
        <v>45931</v>
      </c>
      <c r="E2569">
        <v>17918</v>
      </c>
      <c r="F2569" t="s">
        <v>5368</v>
      </c>
      <c r="G2569">
        <v>3647</v>
      </c>
      <c r="H2569">
        <v>3</v>
      </c>
      <c r="I2569" t="s">
        <v>4738</v>
      </c>
      <c r="J2569" t="s">
        <v>5222</v>
      </c>
      <c r="K2569" t="s">
        <v>3999</v>
      </c>
      <c r="L2569">
        <v>43.2</v>
      </c>
      <c r="M2569" s="452">
        <v>45924</v>
      </c>
      <c r="N2569">
        <v>43.2</v>
      </c>
      <c r="O2569">
        <v>43.2</v>
      </c>
      <c r="P2569">
        <v>129.6</v>
      </c>
    </row>
    <row r="2570" spans="1:16" x14ac:dyDescent="0.3">
      <c r="A2570">
        <v>53659</v>
      </c>
      <c r="B2570">
        <v>105</v>
      </c>
      <c r="C2570" t="s">
        <v>557</v>
      </c>
      <c r="D2570" s="452">
        <v>45931</v>
      </c>
      <c r="E2570">
        <v>27757</v>
      </c>
      <c r="F2570" t="s">
        <v>4942</v>
      </c>
      <c r="G2570">
        <v>9067</v>
      </c>
      <c r="H2570">
        <v>12</v>
      </c>
      <c r="I2570" t="s">
        <v>4749</v>
      </c>
      <c r="J2570" t="s">
        <v>5191</v>
      </c>
      <c r="K2570" t="s">
        <v>3999</v>
      </c>
      <c r="L2570">
        <v>0</v>
      </c>
      <c r="N2570">
        <v>0</v>
      </c>
      <c r="O2570">
        <v>0</v>
      </c>
      <c r="P2570">
        <v>127.08</v>
      </c>
    </row>
    <row r="2571" spans="1:16" x14ac:dyDescent="0.3">
      <c r="A2571">
        <v>53407</v>
      </c>
      <c r="B2571">
        <v>105</v>
      </c>
      <c r="C2571" t="s">
        <v>557</v>
      </c>
      <c r="D2571" s="452">
        <v>45931</v>
      </c>
      <c r="E2571">
        <v>20207</v>
      </c>
      <c r="F2571" t="s">
        <v>4929</v>
      </c>
      <c r="G2571">
        <v>2253</v>
      </c>
      <c r="H2571">
        <v>4.25</v>
      </c>
      <c r="I2571" t="s">
        <v>4744</v>
      </c>
      <c r="J2571" t="s">
        <v>5191</v>
      </c>
      <c r="K2571" t="s">
        <v>3999</v>
      </c>
      <c r="L2571">
        <v>0</v>
      </c>
      <c r="M2571" s="452">
        <v>45895</v>
      </c>
      <c r="N2571">
        <v>29.9</v>
      </c>
      <c r="O2571">
        <v>29.9</v>
      </c>
      <c r="P2571">
        <v>127.07</v>
      </c>
    </row>
    <row r="2572" spans="1:16" x14ac:dyDescent="0.3">
      <c r="A2572">
        <v>53640</v>
      </c>
      <c r="B2572">
        <v>105</v>
      </c>
      <c r="C2572" t="s">
        <v>557</v>
      </c>
      <c r="D2572" s="452">
        <v>45931</v>
      </c>
      <c r="E2572">
        <v>24011</v>
      </c>
      <c r="F2572" t="s">
        <v>4739</v>
      </c>
      <c r="G2572">
        <v>3626</v>
      </c>
      <c r="H2572">
        <v>95</v>
      </c>
      <c r="I2572" t="s">
        <v>4736</v>
      </c>
      <c r="J2572" t="s">
        <v>5222</v>
      </c>
      <c r="K2572" t="s">
        <v>3999</v>
      </c>
      <c r="L2572">
        <v>0</v>
      </c>
      <c r="M2572" s="452">
        <v>45562</v>
      </c>
      <c r="N2572">
        <v>1.32</v>
      </c>
      <c r="O2572">
        <v>1.33</v>
      </c>
      <c r="P2572">
        <v>125.4</v>
      </c>
    </row>
    <row r="2573" spans="1:16" x14ac:dyDescent="0.3">
      <c r="A2573">
        <v>53553</v>
      </c>
      <c r="B2573">
        <v>105</v>
      </c>
      <c r="C2573" t="s">
        <v>557</v>
      </c>
      <c r="D2573" s="452">
        <v>45931</v>
      </c>
      <c r="E2573">
        <v>18293</v>
      </c>
      <c r="F2573" t="s">
        <v>5034</v>
      </c>
      <c r="G2573">
        <v>3336</v>
      </c>
      <c r="H2573">
        <v>1</v>
      </c>
      <c r="I2573" t="s">
        <v>4805</v>
      </c>
      <c r="J2573" t="s">
        <v>5222</v>
      </c>
      <c r="K2573" t="s">
        <v>3999</v>
      </c>
      <c r="L2573">
        <v>0</v>
      </c>
      <c r="M2573" s="452">
        <v>45525</v>
      </c>
      <c r="N2573">
        <v>124.82</v>
      </c>
      <c r="O2573">
        <v>129.4</v>
      </c>
      <c r="P2573">
        <v>124.82</v>
      </c>
    </row>
    <row r="2574" spans="1:16" x14ac:dyDescent="0.3">
      <c r="A2574">
        <v>53390</v>
      </c>
      <c r="B2574">
        <v>105</v>
      </c>
      <c r="C2574" t="s">
        <v>557</v>
      </c>
      <c r="D2574" s="452">
        <v>45931</v>
      </c>
      <c r="E2574">
        <v>20487</v>
      </c>
      <c r="F2574" t="s">
        <v>4836</v>
      </c>
      <c r="G2574">
        <v>2157</v>
      </c>
      <c r="H2574">
        <v>5</v>
      </c>
      <c r="I2574" t="s">
        <v>4744</v>
      </c>
      <c r="J2574" t="s">
        <v>5191</v>
      </c>
      <c r="K2574" t="s">
        <v>3999</v>
      </c>
      <c r="L2574">
        <v>24.39</v>
      </c>
      <c r="M2574" s="452">
        <v>45911</v>
      </c>
      <c r="N2574">
        <v>23.98</v>
      </c>
      <c r="O2574">
        <v>28.12</v>
      </c>
      <c r="P2574">
        <v>121.95</v>
      </c>
    </row>
    <row r="2575" spans="1:16" x14ac:dyDescent="0.3">
      <c r="A2575">
        <v>53592</v>
      </c>
      <c r="B2575">
        <v>105</v>
      </c>
      <c r="C2575" t="s">
        <v>557</v>
      </c>
      <c r="D2575" s="452">
        <v>45931</v>
      </c>
      <c r="E2575">
        <v>22223</v>
      </c>
      <c r="F2575" t="s">
        <v>5437</v>
      </c>
      <c r="G2575">
        <v>3498</v>
      </c>
      <c r="H2575">
        <v>0.45</v>
      </c>
      <c r="I2575" t="s">
        <v>4955</v>
      </c>
      <c r="J2575" t="s">
        <v>5222</v>
      </c>
      <c r="K2575" t="s">
        <v>3999</v>
      </c>
      <c r="L2575">
        <v>0</v>
      </c>
      <c r="M2575" s="452">
        <v>45672</v>
      </c>
      <c r="N2575">
        <v>269.89999999999998</v>
      </c>
      <c r="O2575">
        <v>269.89999999999998</v>
      </c>
      <c r="P2575">
        <v>121.46</v>
      </c>
    </row>
    <row r="2576" spans="1:16" x14ac:dyDescent="0.3">
      <c r="A2576">
        <v>53562</v>
      </c>
      <c r="B2576">
        <v>105</v>
      </c>
      <c r="C2576" t="s">
        <v>557</v>
      </c>
      <c r="D2576" s="452">
        <v>45931</v>
      </c>
      <c r="E2576">
        <v>18129</v>
      </c>
      <c r="F2576" t="s">
        <v>5043</v>
      </c>
      <c r="G2576">
        <v>3486</v>
      </c>
      <c r="H2576">
        <v>1</v>
      </c>
      <c r="I2576" t="s">
        <v>4805</v>
      </c>
      <c r="J2576" t="s">
        <v>5222</v>
      </c>
      <c r="K2576" t="s">
        <v>3999</v>
      </c>
      <c r="L2576">
        <v>120.99</v>
      </c>
      <c r="M2576" s="452">
        <v>45902</v>
      </c>
      <c r="N2576">
        <v>120.99</v>
      </c>
      <c r="O2576">
        <v>120.9</v>
      </c>
      <c r="P2576">
        <v>120.99</v>
      </c>
    </row>
    <row r="2577" spans="1:16" x14ac:dyDescent="0.3">
      <c r="A2577">
        <v>53417</v>
      </c>
      <c r="B2577">
        <v>105</v>
      </c>
      <c r="C2577" t="s">
        <v>557</v>
      </c>
      <c r="D2577" s="452">
        <v>45931</v>
      </c>
      <c r="E2577">
        <v>20614</v>
      </c>
      <c r="F2577" t="s">
        <v>4958</v>
      </c>
      <c r="G2577">
        <v>2119</v>
      </c>
      <c r="H2577">
        <v>4</v>
      </c>
      <c r="I2577" t="s">
        <v>4736</v>
      </c>
      <c r="J2577" t="s">
        <v>5191</v>
      </c>
      <c r="K2577" t="s">
        <v>3999</v>
      </c>
      <c r="L2577">
        <v>0</v>
      </c>
      <c r="M2577" s="452">
        <v>45852</v>
      </c>
      <c r="N2577">
        <v>29.9</v>
      </c>
      <c r="O2577">
        <v>29.9</v>
      </c>
      <c r="P2577">
        <v>119.6</v>
      </c>
    </row>
    <row r="2578" spans="1:16" x14ac:dyDescent="0.3">
      <c r="A2578">
        <v>53421</v>
      </c>
      <c r="B2578">
        <v>105</v>
      </c>
      <c r="C2578" t="s">
        <v>557</v>
      </c>
      <c r="D2578" s="452">
        <v>45931</v>
      </c>
      <c r="E2578">
        <v>24191</v>
      </c>
      <c r="F2578" t="s">
        <v>4846</v>
      </c>
      <c r="G2578">
        <v>2889</v>
      </c>
      <c r="H2578">
        <v>4</v>
      </c>
      <c r="I2578" t="s">
        <v>4744</v>
      </c>
      <c r="J2578" t="s">
        <v>5191</v>
      </c>
      <c r="K2578" t="s">
        <v>3999</v>
      </c>
      <c r="L2578">
        <v>0</v>
      </c>
      <c r="M2578" s="452">
        <v>45845</v>
      </c>
      <c r="N2578">
        <v>29.9</v>
      </c>
      <c r="O2578">
        <v>26.99</v>
      </c>
      <c r="P2578">
        <v>119.6</v>
      </c>
    </row>
    <row r="2579" spans="1:16" x14ac:dyDescent="0.3">
      <c r="A2579">
        <v>53385</v>
      </c>
      <c r="B2579">
        <v>105</v>
      </c>
      <c r="C2579" t="s">
        <v>557</v>
      </c>
      <c r="D2579" s="452">
        <v>45931</v>
      </c>
      <c r="E2579">
        <v>20301</v>
      </c>
      <c r="F2579" t="s">
        <v>4944</v>
      </c>
      <c r="G2579">
        <v>2223</v>
      </c>
      <c r="H2579">
        <v>5</v>
      </c>
      <c r="I2579" t="s">
        <v>4738</v>
      </c>
      <c r="J2579" t="s">
        <v>5191</v>
      </c>
      <c r="K2579" t="s">
        <v>3999</v>
      </c>
      <c r="L2579">
        <v>23</v>
      </c>
      <c r="M2579" s="452">
        <v>45926</v>
      </c>
      <c r="N2579">
        <v>21.76</v>
      </c>
      <c r="O2579">
        <v>21.75</v>
      </c>
      <c r="P2579">
        <v>115</v>
      </c>
    </row>
    <row r="2580" spans="1:16" x14ac:dyDescent="0.3">
      <c r="A2580">
        <v>53561</v>
      </c>
      <c r="B2580">
        <v>105</v>
      </c>
      <c r="C2580" t="s">
        <v>557</v>
      </c>
      <c r="D2580" s="452">
        <v>45931</v>
      </c>
      <c r="E2580">
        <v>18147</v>
      </c>
      <c r="F2580" t="s">
        <v>5042</v>
      </c>
      <c r="G2580">
        <v>3471</v>
      </c>
      <c r="H2580">
        <v>1</v>
      </c>
      <c r="I2580" t="s">
        <v>4805</v>
      </c>
      <c r="J2580" t="s">
        <v>5222</v>
      </c>
      <c r="K2580" t="s">
        <v>3999</v>
      </c>
      <c r="L2580">
        <v>0</v>
      </c>
      <c r="M2580" s="452">
        <v>45427</v>
      </c>
      <c r="N2580">
        <v>115</v>
      </c>
      <c r="O2580">
        <v>113.9</v>
      </c>
      <c r="P2580">
        <v>115</v>
      </c>
    </row>
    <row r="2581" spans="1:16" x14ac:dyDescent="0.3">
      <c r="A2581">
        <v>53415</v>
      </c>
      <c r="B2581">
        <v>105</v>
      </c>
      <c r="C2581" t="s">
        <v>557</v>
      </c>
      <c r="D2581" s="452">
        <v>45931</v>
      </c>
      <c r="E2581">
        <v>23785</v>
      </c>
      <c r="F2581" t="s">
        <v>4858</v>
      </c>
      <c r="G2581">
        <v>2114</v>
      </c>
      <c r="H2581">
        <v>4</v>
      </c>
      <c r="I2581" t="s">
        <v>4744</v>
      </c>
      <c r="J2581" t="s">
        <v>5191</v>
      </c>
      <c r="K2581" t="s">
        <v>3999</v>
      </c>
      <c r="L2581">
        <v>28.53</v>
      </c>
      <c r="M2581" s="452">
        <v>45925</v>
      </c>
      <c r="N2581">
        <v>28</v>
      </c>
      <c r="O2581">
        <v>28</v>
      </c>
      <c r="P2581">
        <v>114.12</v>
      </c>
    </row>
    <row r="2582" spans="1:16" x14ac:dyDescent="0.3">
      <c r="A2582">
        <v>53368</v>
      </c>
      <c r="B2582">
        <v>105</v>
      </c>
      <c r="C2582" t="s">
        <v>557</v>
      </c>
      <c r="D2582" s="452">
        <v>45931</v>
      </c>
      <c r="E2582">
        <v>23515</v>
      </c>
      <c r="F2582" t="s">
        <v>4816</v>
      </c>
      <c r="G2582">
        <v>2353</v>
      </c>
      <c r="H2582">
        <v>6</v>
      </c>
      <c r="I2582" t="s">
        <v>4736</v>
      </c>
      <c r="J2582" t="s">
        <v>5191</v>
      </c>
      <c r="K2582" t="s">
        <v>3999</v>
      </c>
      <c r="L2582">
        <v>18.7</v>
      </c>
      <c r="M2582" s="452">
        <v>45911</v>
      </c>
      <c r="N2582">
        <v>18.7</v>
      </c>
      <c r="O2582">
        <v>17.29</v>
      </c>
      <c r="P2582">
        <v>112.2</v>
      </c>
    </row>
    <row r="2583" spans="1:16" x14ac:dyDescent="0.3">
      <c r="A2583">
        <v>53353</v>
      </c>
      <c r="B2583">
        <v>105</v>
      </c>
      <c r="C2583" t="s">
        <v>557</v>
      </c>
      <c r="D2583" s="452">
        <v>45931</v>
      </c>
      <c r="E2583">
        <v>23934</v>
      </c>
      <c r="F2583" t="s">
        <v>4845</v>
      </c>
      <c r="G2583">
        <v>1965</v>
      </c>
      <c r="H2583">
        <v>7.75</v>
      </c>
      <c r="I2583" t="s">
        <v>4744</v>
      </c>
      <c r="J2583" t="s">
        <v>5191</v>
      </c>
      <c r="K2583" t="s">
        <v>3999</v>
      </c>
      <c r="L2583">
        <v>14.43</v>
      </c>
      <c r="M2583" s="452">
        <v>45923</v>
      </c>
      <c r="N2583">
        <v>13.8</v>
      </c>
      <c r="O2583">
        <v>17.22</v>
      </c>
      <c r="P2583">
        <v>111.83</v>
      </c>
    </row>
    <row r="2584" spans="1:16" x14ac:dyDescent="0.3">
      <c r="A2584">
        <v>53416</v>
      </c>
      <c r="B2584">
        <v>105</v>
      </c>
      <c r="C2584" t="s">
        <v>557</v>
      </c>
      <c r="D2584" s="452">
        <v>45931</v>
      </c>
      <c r="E2584">
        <v>20206</v>
      </c>
      <c r="F2584" t="s">
        <v>4914</v>
      </c>
      <c r="G2584">
        <v>2253</v>
      </c>
      <c r="H2584">
        <v>4</v>
      </c>
      <c r="I2584" t="s">
        <v>4736</v>
      </c>
      <c r="J2584" t="s">
        <v>5191</v>
      </c>
      <c r="K2584" t="s">
        <v>3999</v>
      </c>
      <c r="L2584">
        <v>27.75</v>
      </c>
      <c r="M2584" s="452">
        <v>45926</v>
      </c>
      <c r="N2584">
        <v>27.99</v>
      </c>
      <c r="O2584">
        <v>27.99</v>
      </c>
      <c r="P2584">
        <v>111</v>
      </c>
    </row>
    <row r="2585" spans="1:16" x14ac:dyDescent="0.3">
      <c r="A2585">
        <v>53262</v>
      </c>
      <c r="B2585">
        <v>105</v>
      </c>
      <c r="C2585" t="s">
        <v>557</v>
      </c>
      <c r="D2585" s="452">
        <v>45931</v>
      </c>
      <c r="E2585">
        <v>17957</v>
      </c>
      <c r="F2585" t="s">
        <v>4745</v>
      </c>
      <c r="G2585">
        <v>3622</v>
      </c>
      <c r="H2585">
        <v>6.75</v>
      </c>
      <c r="I2585" t="s">
        <v>4736</v>
      </c>
      <c r="J2585" t="s">
        <v>5222</v>
      </c>
      <c r="K2585" t="s">
        <v>3999</v>
      </c>
      <c r="L2585">
        <v>15.9</v>
      </c>
      <c r="M2585" s="452">
        <v>45922</v>
      </c>
      <c r="N2585">
        <v>15.9</v>
      </c>
      <c r="O2585">
        <v>15.9</v>
      </c>
      <c r="P2585">
        <v>107.32</v>
      </c>
    </row>
    <row r="2586" spans="1:16" x14ac:dyDescent="0.3">
      <c r="A2586">
        <v>53546</v>
      </c>
      <c r="B2586">
        <v>105</v>
      </c>
      <c r="C2586" t="s">
        <v>557</v>
      </c>
      <c r="D2586" s="452">
        <v>45931</v>
      </c>
      <c r="E2586">
        <v>18548</v>
      </c>
      <c r="F2586" t="s">
        <v>5029</v>
      </c>
      <c r="G2586">
        <v>3131</v>
      </c>
      <c r="H2586">
        <v>1</v>
      </c>
      <c r="I2586" t="s">
        <v>4805</v>
      </c>
      <c r="J2586" t="s">
        <v>5222</v>
      </c>
      <c r="K2586" t="s">
        <v>3999</v>
      </c>
      <c r="L2586">
        <v>0</v>
      </c>
      <c r="M2586" s="452">
        <v>45853</v>
      </c>
      <c r="N2586">
        <v>106</v>
      </c>
      <c r="O2586">
        <v>106</v>
      </c>
      <c r="P2586">
        <v>106</v>
      </c>
    </row>
    <row r="2587" spans="1:16" x14ac:dyDescent="0.3">
      <c r="A2587">
        <v>53437</v>
      </c>
      <c r="B2587">
        <v>105</v>
      </c>
      <c r="C2587" t="s">
        <v>557</v>
      </c>
      <c r="D2587" s="452">
        <v>45931</v>
      </c>
      <c r="E2587">
        <v>20308</v>
      </c>
      <c r="F2587" t="s">
        <v>4909</v>
      </c>
      <c r="G2587">
        <v>2222</v>
      </c>
      <c r="H2587">
        <v>3</v>
      </c>
      <c r="I2587" t="s">
        <v>4738</v>
      </c>
      <c r="J2587" t="s">
        <v>5191</v>
      </c>
      <c r="K2587" t="s">
        <v>3999</v>
      </c>
      <c r="L2587">
        <v>0</v>
      </c>
      <c r="M2587" s="452">
        <v>45831</v>
      </c>
      <c r="N2587">
        <v>33.799999999999997</v>
      </c>
      <c r="O2587">
        <v>24.9</v>
      </c>
      <c r="P2587">
        <v>101.4</v>
      </c>
    </row>
    <row r="2588" spans="1:16" x14ac:dyDescent="0.3">
      <c r="A2588">
        <v>53531</v>
      </c>
      <c r="B2588">
        <v>105</v>
      </c>
      <c r="C2588" t="s">
        <v>557</v>
      </c>
      <c r="D2588" s="452">
        <v>45931</v>
      </c>
      <c r="E2588">
        <v>19895</v>
      </c>
      <c r="F2588" t="s">
        <v>5080</v>
      </c>
      <c r="G2588">
        <v>2385</v>
      </c>
      <c r="H2588">
        <v>1</v>
      </c>
      <c r="I2588" t="s">
        <v>4888</v>
      </c>
      <c r="J2588" t="s">
        <v>5191</v>
      </c>
      <c r="K2588" t="s">
        <v>3999</v>
      </c>
      <c r="L2588">
        <v>0</v>
      </c>
      <c r="M2588" s="452">
        <v>45887</v>
      </c>
      <c r="N2588">
        <v>99.99</v>
      </c>
      <c r="O2588">
        <v>32.799999999999997</v>
      </c>
      <c r="P2588">
        <v>99.99</v>
      </c>
    </row>
    <row r="2589" spans="1:16" x14ac:dyDescent="0.3">
      <c r="A2589">
        <v>53320</v>
      </c>
      <c r="B2589">
        <v>105</v>
      </c>
      <c r="C2589" t="s">
        <v>557</v>
      </c>
      <c r="D2589" s="452">
        <v>45931</v>
      </c>
      <c r="E2589">
        <v>25755</v>
      </c>
      <c r="F2589" t="s">
        <v>4821</v>
      </c>
      <c r="G2589">
        <v>9071</v>
      </c>
      <c r="H2589">
        <v>13</v>
      </c>
      <c r="I2589" t="s">
        <v>4749</v>
      </c>
      <c r="J2589" t="s">
        <v>5191</v>
      </c>
      <c r="K2589" t="s">
        <v>3999</v>
      </c>
      <c r="L2589">
        <v>7.65</v>
      </c>
      <c r="M2589" s="452">
        <v>45922</v>
      </c>
      <c r="N2589">
        <v>7.65</v>
      </c>
      <c r="O2589">
        <v>7.65</v>
      </c>
      <c r="P2589">
        <v>99.45</v>
      </c>
    </row>
    <row r="2590" spans="1:16" x14ac:dyDescent="0.3">
      <c r="A2590">
        <v>53266</v>
      </c>
      <c r="B2590">
        <v>105</v>
      </c>
      <c r="C2590" t="s">
        <v>557</v>
      </c>
      <c r="D2590" s="452">
        <v>45931</v>
      </c>
      <c r="E2590">
        <v>24307</v>
      </c>
      <c r="F2590" t="s">
        <v>4755</v>
      </c>
      <c r="G2590">
        <v>3656</v>
      </c>
      <c r="H2590">
        <v>45</v>
      </c>
      <c r="I2590" t="s">
        <v>4736</v>
      </c>
      <c r="J2590" t="s">
        <v>5222</v>
      </c>
      <c r="K2590" t="s">
        <v>3999</v>
      </c>
      <c r="L2590">
        <v>0</v>
      </c>
      <c r="M2590" s="452">
        <v>45540</v>
      </c>
      <c r="N2590">
        <v>2.19</v>
      </c>
      <c r="O2590">
        <v>2.19</v>
      </c>
      <c r="P2590">
        <v>98.55</v>
      </c>
    </row>
    <row r="2591" spans="1:16" x14ac:dyDescent="0.3">
      <c r="A2591">
        <v>53483</v>
      </c>
      <c r="B2591">
        <v>105</v>
      </c>
      <c r="C2591" t="s">
        <v>557</v>
      </c>
      <c r="D2591" s="452">
        <v>45931</v>
      </c>
      <c r="E2591">
        <v>20007</v>
      </c>
      <c r="F2591" t="s">
        <v>5101</v>
      </c>
      <c r="G2591">
        <v>2343</v>
      </c>
      <c r="H2591">
        <v>2</v>
      </c>
      <c r="I2591" t="s">
        <v>4884</v>
      </c>
      <c r="J2591" t="s">
        <v>5191</v>
      </c>
      <c r="K2591" t="s">
        <v>3999</v>
      </c>
      <c r="L2591">
        <v>49.1</v>
      </c>
      <c r="M2591" s="452">
        <v>45926</v>
      </c>
      <c r="N2591">
        <v>48.9</v>
      </c>
      <c r="O2591">
        <v>48.9</v>
      </c>
      <c r="P2591">
        <v>98.2</v>
      </c>
    </row>
    <row r="2592" spans="1:16" x14ac:dyDescent="0.3">
      <c r="A2592">
        <v>53468</v>
      </c>
      <c r="B2592">
        <v>105</v>
      </c>
      <c r="C2592" t="s">
        <v>557</v>
      </c>
      <c r="D2592" s="452">
        <v>45931</v>
      </c>
      <c r="E2592">
        <v>20185</v>
      </c>
      <c r="F2592" t="s">
        <v>5054</v>
      </c>
      <c r="G2592">
        <v>2259</v>
      </c>
      <c r="H2592">
        <v>2.9</v>
      </c>
      <c r="I2592" t="s">
        <v>4744</v>
      </c>
      <c r="J2592" t="s">
        <v>5191</v>
      </c>
      <c r="K2592" t="s">
        <v>3999</v>
      </c>
      <c r="L2592">
        <v>0</v>
      </c>
      <c r="M2592" s="452">
        <v>45741</v>
      </c>
      <c r="N2592">
        <v>32.9</v>
      </c>
      <c r="O2592">
        <v>28.9</v>
      </c>
      <c r="P2592">
        <v>95.41</v>
      </c>
    </row>
    <row r="2593" spans="1:16" x14ac:dyDescent="0.3">
      <c r="A2593">
        <v>53444</v>
      </c>
      <c r="B2593">
        <v>105</v>
      </c>
      <c r="C2593" t="s">
        <v>557</v>
      </c>
      <c r="D2593" s="452">
        <v>45931</v>
      </c>
      <c r="E2593">
        <v>20213</v>
      </c>
      <c r="F2593" t="s">
        <v>5160</v>
      </c>
      <c r="G2593">
        <v>2251</v>
      </c>
      <c r="H2593">
        <v>3</v>
      </c>
      <c r="I2593" t="s">
        <v>4738</v>
      </c>
      <c r="J2593" t="s">
        <v>5191</v>
      </c>
      <c r="K2593" t="s">
        <v>3999</v>
      </c>
      <c r="L2593">
        <v>31.61</v>
      </c>
      <c r="M2593" s="452">
        <v>45926</v>
      </c>
      <c r="N2593">
        <v>31.62</v>
      </c>
      <c r="O2593">
        <v>31.62</v>
      </c>
      <c r="P2593">
        <v>94.83</v>
      </c>
    </row>
    <row r="2594" spans="1:16" x14ac:dyDescent="0.3">
      <c r="A2594">
        <v>53392</v>
      </c>
      <c r="B2594">
        <v>105</v>
      </c>
      <c r="C2594" t="s">
        <v>557</v>
      </c>
      <c r="D2594" s="452">
        <v>45931</v>
      </c>
      <c r="E2594">
        <v>24444</v>
      </c>
      <c r="F2594" t="s">
        <v>4992</v>
      </c>
      <c r="G2594">
        <v>2784</v>
      </c>
      <c r="H2594">
        <v>5</v>
      </c>
      <c r="I2594" t="s">
        <v>4744</v>
      </c>
      <c r="J2594" t="s">
        <v>5191</v>
      </c>
      <c r="K2594" t="s">
        <v>3999</v>
      </c>
      <c r="L2594">
        <v>0</v>
      </c>
      <c r="M2594" s="452">
        <v>45392</v>
      </c>
      <c r="N2594">
        <v>18.95</v>
      </c>
      <c r="O2594">
        <v>22</v>
      </c>
      <c r="P2594">
        <v>94.75</v>
      </c>
    </row>
    <row r="2595" spans="1:16" x14ac:dyDescent="0.3">
      <c r="A2595">
        <v>53422</v>
      </c>
      <c r="B2595">
        <v>105</v>
      </c>
      <c r="C2595" t="s">
        <v>557</v>
      </c>
      <c r="D2595" s="452">
        <v>45931</v>
      </c>
      <c r="E2595">
        <v>17878</v>
      </c>
      <c r="F2595" t="s">
        <v>4926</v>
      </c>
      <c r="G2595">
        <v>3677</v>
      </c>
      <c r="H2595">
        <v>4</v>
      </c>
      <c r="I2595" t="s">
        <v>4736</v>
      </c>
      <c r="J2595" t="s">
        <v>5222</v>
      </c>
      <c r="K2595" t="s">
        <v>3999</v>
      </c>
      <c r="L2595">
        <v>23.47</v>
      </c>
      <c r="M2595" s="452">
        <v>45924</v>
      </c>
      <c r="N2595">
        <v>23.47</v>
      </c>
      <c r="O2595">
        <v>23.46</v>
      </c>
      <c r="P2595">
        <v>93.88</v>
      </c>
    </row>
    <row r="2596" spans="1:16" x14ac:dyDescent="0.3">
      <c r="A2596">
        <v>53566</v>
      </c>
      <c r="B2596">
        <v>105</v>
      </c>
      <c r="C2596" t="s">
        <v>557</v>
      </c>
      <c r="D2596" s="452">
        <v>45931</v>
      </c>
      <c r="E2596">
        <v>18111</v>
      </c>
      <c r="F2596" t="s">
        <v>5049</v>
      </c>
      <c r="G2596">
        <v>3500</v>
      </c>
      <c r="H2596">
        <v>1</v>
      </c>
      <c r="I2596" t="s">
        <v>4805</v>
      </c>
      <c r="J2596" t="s">
        <v>5222</v>
      </c>
      <c r="K2596" t="s">
        <v>3999</v>
      </c>
      <c r="L2596">
        <v>0</v>
      </c>
      <c r="M2596" s="452">
        <v>45875</v>
      </c>
      <c r="N2596">
        <v>93.4</v>
      </c>
      <c r="O2596">
        <v>89.9</v>
      </c>
      <c r="P2596">
        <v>93.4</v>
      </c>
    </row>
    <row r="2597" spans="1:16" x14ac:dyDescent="0.3">
      <c r="A2597">
        <v>53442</v>
      </c>
      <c r="B2597">
        <v>105</v>
      </c>
      <c r="C2597" t="s">
        <v>557</v>
      </c>
      <c r="D2597" s="452">
        <v>45931</v>
      </c>
      <c r="E2597">
        <v>20672</v>
      </c>
      <c r="F2597" t="s">
        <v>4857</v>
      </c>
      <c r="G2597">
        <v>2107</v>
      </c>
      <c r="H2597">
        <v>3</v>
      </c>
      <c r="I2597" t="s">
        <v>4738</v>
      </c>
      <c r="J2597" t="s">
        <v>5191</v>
      </c>
      <c r="K2597" t="s">
        <v>3999</v>
      </c>
      <c r="L2597">
        <v>30.93</v>
      </c>
      <c r="M2597" s="452">
        <v>45926</v>
      </c>
      <c r="N2597">
        <v>30.93</v>
      </c>
      <c r="O2597">
        <v>30.93</v>
      </c>
      <c r="P2597">
        <v>92.79</v>
      </c>
    </row>
    <row r="2598" spans="1:16" x14ac:dyDescent="0.3">
      <c r="A2598">
        <v>53504</v>
      </c>
      <c r="B2598">
        <v>105</v>
      </c>
      <c r="C2598" t="s">
        <v>557</v>
      </c>
      <c r="D2598" s="452">
        <v>45931</v>
      </c>
      <c r="E2598">
        <v>26032</v>
      </c>
      <c r="F2598" t="s">
        <v>4896</v>
      </c>
      <c r="G2598">
        <v>6503</v>
      </c>
      <c r="H2598">
        <v>2</v>
      </c>
      <c r="I2598" t="s">
        <v>4805</v>
      </c>
      <c r="J2598" t="s">
        <v>5222</v>
      </c>
      <c r="K2598" t="s">
        <v>3999</v>
      </c>
      <c r="L2598">
        <v>0</v>
      </c>
      <c r="M2598" s="452">
        <v>45698</v>
      </c>
      <c r="N2598">
        <v>46.38</v>
      </c>
      <c r="O2598">
        <v>75.48</v>
      </c>
      <c r="P2598">
        <v>92.76</v>
      </c>
    </row>
    <row r="2599" spans="1:16" x14ac:dyDescent="0.3">
      <c r="A2599">
        <v>53360</v>
      </c>
      <c r="B2599">
        <v>105</v>
      </c>
      <c r="C2599" t="s">
        <v>557</v>
      </c>
      <c r="D2599" s="452">
        <v>45931</v>
      </c>
      <c r="E2599">
        <v>24403</v>
      </c>
      <c r="F2599" t="s">
        <v>5149</v>
      </c>
      <c r="G2599">
        <v>3049</v>
      </c>
      <c r="H2599">
        <v>6.75</v>
      </c>
      <c r="I2599" t="s">
        <v>4744</v>
      </c>
      <c r="J2599" t="s">
        <v>5191</v>
      </c>
      <c r="K2599" t="s">
        <v>3999</v>
      </c>
      <c r="L2599">
        <v>13.45</v>
      </c>
      <c r="M2599" s="452">
        <v>45926</v>
      </c>
      <c r="N2599">
        <v>13.9</v>
      </c>
      <c r="O2599">
        <v>13.9</v>
      </c>
      <c r="P2599">
        <v>90.79</v>
      </c>
    </row>
    <row r="2600" spans="1:16" x14ac:dyDescent="0.3">
      <c r="A2600">
        <v>53486</v>
      </c>
      <c r="B2600">
        <v>105</v>
      </c>
      <c r="C2600" t="s">
        <v>557</v>
      </c>
      <c r="D2600" s="452">
        <v>45931</v>
      </c>
      <c r="E2600">
        <v>19967</v>
      </c>
      <c r="F2600" t="s">
        <v>4956</v>
      </c>
      <c r="G2600">
        <v>2356</v>
      </c>
      <c r="H2600">
        <v>2</v>
      </c>
      <c r="I2600" t="s">
        <v>4888</v>
      </c>
      <c r="J2600" t="s">
        <v>5191</v>
      </c>
      <c r="K2600" t="s">
        <v>3999</v>
      </c>
      <c r="L2600">
        <v>45.37</v>
      </c>
      <c r="M2600" s="452">
        <v>45926</v>
      </c>
      <c r="N2600">
        <v>47.62</v>
      </c>
      <c r="O2600">
        <v>47.2</v>
      </c>
      <c r="P2600">
        <v>90.74</v>
      </c>
    </row>
    <row r="2601" spans="1:16" x14ac:dyDescent="0.3">
      <c r="A2601">
        <v>53440</v>
      </c>
      <c r="B2601">
        <v>105</v>
      </c>
      <c r="C2601" t="s">
        <v>557</v>
      </c>
      <c r="D2601" s="452">
        <v>45931</v>
      </c>
      <c r="E2601">
        <v>24638</v>
      </c>
      <c r="F2601" t="s">
        <v>4948</v>
      </c>
      <c r="G2601">
        <v>5690</v>
      </c>
      <c r="H2601">
        <v>3</v>
      </c>
      <c r="I2601" t="s">
        <v>4749</v>
      </c>
      <c r="J2601" t="s">
        <v>5191</v>
      </c>
      <c r="K2601" t="s">
        <v>3999</v>
      </c>
      <c r="L2601">
        <v>29.99</v>
      </c>
      <c r="M2601" s="452">
        <v>45915</v>
      </c>
      <c r="N2601">
        <v>29.99</v>
      </c>
      <c r="O2601">
        <v>29.8</v>
      </c>
      <c r="P2601">
        <v>89.97</v>
      </c>
    </row>
    <row r="2602" spans="1:16" x14ac:dyDescent="0.3">
      <c r="A2602">
        <v>53564</v>
      </c>
      <c r="B2602">
        <v>105</v>
      </c>
      <c r="C2602" t="s">
        <v>557</v>
      </c>
      <c r="D2602" s="452">
        <v>45931</v>
      </c>
      <c r="E2602">
        <v>18116</v>
      </c>
      <c r="F2602" t="s">
        <v>5045</v>
      </c>
      <c r="G2602">
        <v>3496</v>
      </c>
      <c r="H2602">
        <v>1</v>
      </c>
      <c r="I2602" t="s">
        <v>4805</v>
      </c>
      <c r="J2602" t="s">
        <v>5222</v>
      </c>
      <c r="K2602" t="s">
        <v>3999</v>
      </c>
      <c r="L2602">
        <v>89</v>
      </c>
      <c r="M2602" s="452">
        <v>45909</v>
      </c>
      <c r="N2602">
        <v>89</v>
      </c>
      <c r="O2602">
        <v>79.989999999999995</v>
      </c>
      <c r="P2602">
        <v>89</v>
      </c>
    </row>
    <row r="2603" spans="1:16" x14ac:dyDescent="0.3">
      <c r="A2603">
        <v>53460</v>
      </c>
      <c r="B2603">
        <v>105</v>
      </c>
      <c r="C2603" t="s">
        <v>557</v>
      </c>
      <c r="D2603" s="452">
        <v>45931</v>
      </c>
      <c r="E2603">
        <v>18253</v>
      </c>
      <c r="F2603" t="s">
        <v>4969</v>
      </c>
      <c r="G2603">
        <v>3376</v>
      </c>
      <c r="H2603">
        <v>3</v>
      </c>
      <c r="I2603" t="s">
        <v>4805</v>
      </c>
      <c r="J2603" t="s">
        <v>5222</v>
      </c>
      <c r="K2603" t="s">
        <v>3999</v>
      </c>
      <c r="L2603">
        <v>0</v>
      </c>
      <c r="M2603" s="452">
        <v>45895</v>
      </c>
      <c r="N2603">
        <v>28.91</v>
      </c>
      <c r="O2603">
        <v>28.99</v>
      </c>
      <c r="P2603">
        <v>86.73</v>
      </c>
    </row>
    <row r="2604" spans="1:16" x14ac:dyDescent="0.3">
      <c r="A2604">
        <v>53300</v>
      </c>
      <c r="B2604">
        <v>105</v>
      </c>
      <c r="C2604" t="s">
        <v>557</v>
      </c>
      <c r="D2604" s="452">
        <v>45931</v>
      </c>
      <c r="E2604">
        <v>25747</v>
      </c>
      <c r="F2604" t="s">
        <v>4794</v>
      </c>
      <c r="G2604">
        <v>6299</v>
      </c>
      <c r="H2604">
        <v>17</v>
      </c>
      <c r="I2604" t="s">
        <v>4736</v>
      </c>
      <c r="J2604" t="s">
        <v>5191</v>
      </c>
      <c r="K2604" t="s">
        <v>3999</v>
      </c>
      <c r="L2604">
        <v>0</v>
      </c>
      <c r="M2604" s="452">
        <v>45742</v>
      </c>
      <c r="N2604">
        <v>5.04</v>
      </c>
      <c r="O2604">
        <v>5.04</v>
      </c>
      <c r="P2604">
        <v>85.68</v>
      </c>
    </row>
    <row r="2605" spans="1:16" x14ac:dyDescent="0.3">
      <c r="A2605">
        <v>53283</v>
      </c>
      <c r="B2605">
        <v>105</v>
      </c>
      <c r="C2605" t="s">
        <v>557</v>
      </c>
      <c r="D2605" s="452">
        <v>45931</v>
      </c>
      <c r="E2605">
        <v>19623</v>
      </c>
      <c r="F2605" t="s">
        <v>4764</v>
      </c>
      <c r="G2605">
        <v>2611</v>
      </c>
      <c r="H2605">
        <v>23.6</v>
      </c>
      <c r="I2605" t="s">
        <v>4744</v>
      </c>
      <c r="J2605" t="s">
        <v>5191</v>
      </c>
      <c r="K2605" t="s">
        <v>3999</v>
      </c>
      <c r="L2605">
        <v>3.62</v>
      </c>
      <c r="M2605" s="452">
        <v>45930</v>
      </c>
      <c r="N2605">
        <v>3.4</v>
      </c>
      <c r="O2605">
        <v>3.4</v>
      </c>
      <c r="P2605">
        <v>85.43</v>
      </c>
    </row>
    <row r="2606" spans="1:16" x14ac:dyDescent="0.3">
      <c r="A2606">
        <v>53449</v>
      </c>
      <c r="B2606">
        <v>105</v>
      </c>
      <c r="C2606" t="s">
        <v>557</v>
      </c>
      <c r="D2606" s="452">
        <v>45931</v>
      </c>
      <c r="E2606">
        <v>19765</v>
      </c>
      <c r="F2606" t="s">
        <v>4889</v>
      </c>
      <c r="G2606">
        <v>2488</v>
      </c>
      <c r="H2606">
        <v>3</v>
      </c>
      <c r="I2606" t="s">
        <v>4744</v>
      </c>
      <c r="J2606" t="s">
        <v>5191</v>
      </c>
      <c r="K2606" t="s">
        <v>3999</v>
      </c>
      <c r="L2606">
        <v>28.33</v>
      </c>
      <c r="M2606" s="452">
        <v>45922</v>
      </c>
      <c r="N2606">
        <v>27</v>
      </c>
      <c r="O2606">
        <v>28</v>
      </c>
      <c r="P2606">
        <v>84.99</v>
      </c>
    </row>
    <row r="2607" spans="1:16" x14ac:dyDescent="0.3">
      <c r="A2607">
        <v>53464</v>
      </c>
      <c r="B2607">
        <v>105</v>
      </c>
      <c r="C2607" t="s">
        <v>557</v>
      </c>
      <c r="D2607" s="452">
        <v>45931</v>
      </c>
      <c r="E2607">
        <v>17881</v>
      </c>
      <c r="F2607" t="s">
        <v>5103</v>
      </c>
      <c r="G2607">
        <v>3675</v>
      </c>
      <c r="H2607">
        <v>3</v>
      </c>
      <c r="I2607" t="s">
        <v>4738</v>
      </c>
      <c r="J2607" t="s">
        <v>5222</v>
      </c>
      <c r="K2607" t="s">
        <v>3999</v>
      </c>
      <c r="L2607">
        <v>28.32</v>
      </c>
      <c r="M2607" s="452">
        <v>45901</v>
      </c>
      <c r="N2607">
        <v>28.32</v>
      </c>
      <c r="O2607">
        <v>28.32</v>
      </c>
      <c r="P2607">
        <v>84.96</v>
      </c>
    </row>
    <row r="2608" spans="1:16" x14ac:dyDescent="0.3">
      <c r="A2608">
        <v>53410</v>
      </c>
      <c r="B2608">
        <v>105</v>
      </c>
      <c r="C2608" t="s">
        <v>557</v>
      </c>
      <c r="D2608" s="452">
        <v>45931</v>
      </c>
      <c r="E2608">
        <v>20044</v>
      </c>
      <c r="F2608" t="s">
        <v>4932</v>
      </c>
      <c r="G2608">
        <v>2329</v>
      </c>
      <c r="H2608">
        <v>4</v>
      </c>
      <c r="I2608" t="s">
        <v>4744</v>
      </c>
      <c r="J2608" t="s">
        <v>5191</v>
      </c>
      <c r="K2608" t="s">
        <v>3999</v>
      </c>
      <c r="L2608">
        <v>0</v>
      </c>
      <c r="M2608" s="452">
        <v>45639</v>
      </c>
      <c r="N2608">
        <v>21</v>
      </c>
      <c r="O2608">
        <v>20.5</v>
      </c>
      <c r="P2608">
        <v>84</v>
      </c>
    </row>
    <row r="2609" spans="1:16" x14ac:dyDescent="0.3">
      <c r="A2609">
        <v>53438</v>
      </c>
      <c r="B2609">
        <v>105</v>
      </c>
      <c r="C2609" t="s">
        <v>557</v>
      </c>
      <c r="D2609" s="452">
        <v>45931</v>
      </c>
      <c r="E2609">
        <v>23656</v>
      </c>
      <c r="F2609" t="s">
        <v>4945</v>
      </c>
      <c r="G2609">
        <v>2228</v>
      </c>
      <c r="H2609">
        <v>3</v>
      </c>
      <c r="I2609" t="s">
        <v>4744</v>
      </c>
      <c r="J2609" t="s">
        <v>5191</v>
      </c>
      <c r="K2609" t="s">
        <v>3999</v>
      </c>
      <c r="L2609">
        <v>0</v>
      </c>
      <c r="M2609" s="452">
        <v>45873</v>
      </c>
      <c r="N2609">
        <v>28</v>
      </c>
      <c r="O2609">
        <v>27.55</v>
      </c>
      <c r="P2609">
        <v>84</v>
      </c>
    </row>
    <row r="2610" spans="1:16" x14ac:dyDescent="0.3">
      <c r="A2610">
        <v>53327</v>
      </c>
      <c r="B2610">
        <v>105</v>
      </c>
      <c r="C2610" t="s">
        <v>557</v>
      </c>
      <c r="D2610" s="452">
        <v>45931</v>
      </c>
      <c r="E2610">
        <v>25763</v>
      </c>
      <c r="F2610" t="s">
        <v>4943</v>
      </c>
      <c r="G2610">
        <v>6314</v>
      </c>
      <c r="H2610">
        <v>12</v>
      </c>
      <c r="I2610" t="s">
        <v>4736</v>
      </c>
      <c r="J2610" t="s">
        <v>5191</v>
      </c>
      <c r="K2610" t="s">
        <v>3999</v>
      </c>
      <c r="L2610">
        <v>0</v>
      </c>
      <c r="M2610" s="452">
        <v>-693593</v>
      </c>
      <c r="N2610">
        <v>0</v>
      </c>
      <c r="O2610">
        <v>0</v>
      </c>
      <c r="P2610">
        <v>83.88</v>
      </c>
    </row>
    <row r="2611" spans="1:16" x14ac:dyDescent="0.3">
      <c r="A2611">
        <v>53452</v>
      </c>
      <c r="B2611">
        <v>105</v>
      </c>
      <c r="C2611" t="s">
        <v>557</v>
      </c>
      <c r="D2611" s="452">
        <v>45931</v>
      </c>
      <c r="E2611">
        <v>23088</v>
      </c>
      <c r="F2611" t="s">
        <v>5027</v>
      </c>
      <c r="G2611">
        <v>2760</v>
      </c>
      <c r="H2611">
        <v>3</v>
      </c>
      <c r="I2611" t="s">
        <v>4736</v>
      </c>
      <c r="J2611" t="s">
        <v>5191</v>
      </c>
      <c r="K2611" t="s">
        <v>3999</v>
      </c>
      <c r="L2611">
        <v>27.66</v>
      </c>
      <c r="M2611" s="452">
        <v>45929</v>
      </c>
      <c r="N2611">
        <v>24.9</v>
      </c>
      <c r="O2611">
        <v>24.9</v>
      </c>
      <c r="P2611">
        <v>82.98</v>
      </c>
    </row>
    <row r="2612" spans="1:16" x14ac:dyDescent="0.3">
      <c r="A2612">
        <v>53478</v>
      </c>
      <c r="B2612">
        <v>105</v>
      </c>
      <c r="C2612" t="s">
        <v>557</v>
      </c>
      <c r="D2612" s="452">
        <v>45931</v>
      </c>
      <c r="E2612">
        <v>20057</v>
      </c>
      <c r="F2612" t="s">
        <v>4949</v>
      </c>
      <c r="G2612">
        <v>2324</v>
      </c>
      <c r="H2612">
        <v>2</v>
      </c>
      <c r="I2612" t="s">
        <v>4736</v>
      </c>
      <c r="J2612" t="s">
        <v>5191</v>
      </c>
      <c r="K2612" t="s">
        <v>3999</v>
      </c>
      <c r="L2612">
        <v>41.43</v>
      </c>
      <c r="M2612" s="452">
        <v>45911</v>
      </c>
      <c r="N2612">
        <v>41.85</v>
      </c>
      <c r="O2612">
        <v>40.700000000000003</v>
      </c>
      <c r="P2612">
        <v>82.86</v>
      </c>
    </row>
    <row r="2613" spans="1:16" x14ac:dyDescent="0.3">
      <c r="A2613">
        <v>53458</v>
      </c>
      <c r="B2613">
        <v>105</v>
      </c>
      <c r="C2613" t="s">
        <v>557</v>
      </c>
      <c r="D2613" s="452">
        <v>45931</v>
      </c>
      <c r="E2613">
        <v>18486</v>
      </c>
      <c r="F2613" t="s">
        <v>5448</v>
      </c>
      <c r="G2613">
        <v>3170</v>
      </c>
      <c r="H2613">
        <v>3</v>
      </c>
      <c r="I2613" t="s">
        <v>4805</v>
      </c>
      <c r="J2613" t="s">
        <v>5222</v>
      </c>
      <c r="K2613" t="s">
        <v>3999</v>
      </c>
      <c r="L2613">
        <v>0</v>
      </c>
      <c r="M2613" s="452">
        <v>45895</v>
      </c>
      <c r="N2613">
        <v>27.5</v>
      </c>
      <c r="O2613">
        <v>27.5</v>
      </c>
      <c r="P2613">
        <v>82.5</v>
      </c>
    </row>
    <row r="2614" spans="1:16" x14ac:dyDescent="0.3">
      <c r="A2614">
        <v>53575</v>
      </c>
      <c r="B2614">
        <v>105</v>
      </c>
      <c r="C2614" t="s">
        <v>557</v>
      </c>
      <c r="D2614" s="452">
        <v>45931</v>
      </c>
      <c r="E2614">
        <v>25767</v>
      </c>
      <c r="F2614" t="s">
        <v>5461</v>
      </c>
      <c r="G2614">
        <v>6316</v>
      </c>
      <c r="H2614">
        <v>0.8</v>
      </c>
      <c r="I2614" t="s">
        <v>4744</v>
      </c>
      <c r="J2614" t="s">
        <v>5191</v>
      </c>
      <c r="K2614" t="s">
        <v>3999</v>
      </c>
      <c r="L2614">
        <v>0</v>
      </c>
      <c r="M2614" s="452">
        <v>-693593</v>
      </c>
      <c r="N2614">
        <v>0</v>
      </c>
      <c r="O2614">
        <v>0</v>
      </c>
      <c r="P2614">
        <v>81.33</v>
      </c>
    </row>
    <row r="2615" spans="1:16" x14ac:dyDescent="0.3">
      <c r="A2615">
        <v>53339</v>
      </c>
      <c r="B2615">
        <v>105</v>
      </c>
      <c r="C2615" t="s">
        <v>557</v>
      </c>
      <c r="D2615" s="452">
        <v>45931</v>
      </c>
      <c r="E2615">
        <v>20382</v>
      </c>
      <c r="F2615" t="s">
        <v>4780</v>
      </c>
      <c r="G2615">
        <v>2196</v>
      </c>
      <c r="H2615">
        <v>9</v>
      </c>
      <c r="I2615" t="s">
        <v>4738</v>
      </c>
      <c r="J2615" t="s">
        <v>5191</v>
      </c>
      <c r="K2615" t="s">
        <v>3999</v>
      </c>
      <c r="L2615">
        <v>8.99</v>
      </c>
      <c r="M2615" s="452">
        <v>45929</v>
      </c>
      <c r="N2615">
        <v>8.99</v>
      </c>
      <c r="O2615">
        <v>8.99</v>
      </c>
      <c r="P2615">
        <v>80.91</v>
      </c>
    </row>
    <row r="2616" spans="1:16" x14ac:dyDescent="0.3">
      <c r="A2616">
        <v>53299</v>
      </c>
      <c r="B2616">
        <v>105</v>
      </c>
      <c r="C2616" t="s">
        <v>557</v>
      </c>
      <c r="D2616" s="452">
        <v>45931</v>
      </c>
      <c r="E2616">
        <v>19658</v>
      </c>
      <c r="F2616" t="s">
        <v>4784</v>
      </c>
      <c r="G2616">
        <v>2582</v>
      </c>
      <c r="H2616">
        <v>17.75</v>
      </c>
      <c r="I2616" t="s">
        <v>4744</v>
      </c>
      <c r="J2616" t="s">
        <v>5191</v>
      </c>
      <c r="K2616" t="s">
        <v>3999</v>
      </c>
      <c r="L2616">
        <v>4.53</v>
      </c>
      <c r="M2616" s="452">
        <v>45929</v>
      </c>
      <c r="N2616">
        <v>4.63</v>
      </c>
      <c r="O2616">
        <v>4.3</v>
      </c>
      <c r="P2616">
        <v>80.41</v>
      </c>
    </row>
    <row r="2617" spans="1:16" x14ac:dyDescent="0.3">
      <c r="A2617">
        <v>53429</v>
      </c>
      <c r="B2617">
        <v>105</v>
      </c>
      <c r="C2617" t="s">
        <v>557</v>
      </c>
      <c r="D2617" s="452">
        <v>45931</v>
      </c>
      <c r="E2617">
        <v>23198</v>
      </c>
      <c r="F2617" t="s">
        <v>4962</v>
      </c>
      <c r="G2617">
        <v>2657</v>
      </c>
      <c r="H2617">
        <v>3.4</v>
      </c>
      <c r="I2617" t="s">
        <v>4744</v>
      </c>
      <c r="J2617" t="s">
        <v>5191</v>
      </c>
      <c r="K2617" t="s">
        <v>3999</v>
      </c>
      <c r="L2617">
        <v>23.53</v>
      </c>
      <c r="M2617" s="452">
        <v>45930</v>
      </c>
      <c r="N2617">
        <v>15</v>
      </c>
      <c r="O2617">
        <v>15</v>
      </c>
      <c r="P2617">
        <v>80</v>
      </c>
    </row>
    <row r="2618" spans="1:16" x14ac:dyDescent="0.3">
      <c r="A2618">
        <v>53557</v>
      </c>
      <c r="B2618">
        <v>105</v>
      </c>
      <c r="C2618" t="s">
        <v>557</v>
      </c>
      <c r="D2618" s="452">
        <v>45931</v>
      </c>
      <c r="E2618">
        <v>18220</v>
      </c>
      <c r="F2618" t="s">
        <v>5147</v>
      </c>
      <c r="G2618">
        <v>3408</v>
      </c>
      <c r="H2618">
        <v>1</v>
      </c>
      <c r="I2618" t="s">
        <v>4805</v>
      </c>
      <c r="J2618" t="s">
        <v>5222</v>
      </c>
      <c r="K2618" t="s">
        <v>3999</v>
      </c>
      <c r="L2618">
        <v>80</v>
      </c>
      <c r="M2618" s="452">
        <v>45915</v>
      </c>
      <c r="N2618">
        <v>80</v>
      </c>
      <c r="O2618">
        <v>80</v>
      </c>
      <c r="P2618">
        <v>80</v>
      </c>
    </row>
    <row r="2619" spans="1:16" x14ac:dyDescent="0.3">
      <c r="A2619">
        <v>53306</v>
      </c>
      <c r="B2619">
        <v>105</v>
      </c>
      <c r="C2619" t="s">
        <v>557</v>
      </c>
      <c r="D2619" s="452">
        <v>45931</v>
      </c>
      <c r="E2619">
        <v>21093</v>
      </c>
      <c r="F2619" t="s">
        <v>4855</v>
      </c>
      <c r="G2619">
        <v>1988</v>
      </c>
      <c r="H2619">
        <v>16</v>
      </c>
      <c r="I2619" t="s">
        <v>4744</v>
      </c>
      <c r="J2619" t="s">
        <v>5191</v>
      </c>
      <c r="K2619" t="s">
        <v>3999</v>
      </c>
      <c r="L2619">
        <v>4.97</v>
      </c>
      <c r="M2619" s="452">
        <v>45929</v>
      </c>
      <c r="N2619">
        <v>4.9000000000000004</v>
      </c>
      <c r="O2619">
        <v>4.9000000000000004</v>
      </c>
      <c r="P2619">
        <v>79.52</v>
      </c>
    </row>
    <row r="2620" spans="1:16" x14ac:dyDescent="0.3">
      <c r="A2620">
        <v>53296</v>
      </c>
      <c r="B2620">
        <v>105</v>
      </c>
      <c r="C2620" t="s">
        <v>557</v>
      </c>
      <c r="D2620" s="452">
        <v>45931</v>
      </c>
      <c r="E2620">
        <v>24470</v>
      </c>
      <c r="F2620" t="s">
        <v>4752</v>
      </c>
      <c r="G2620">
        <v>3103</v>
      </c>
      <c r="H2620">
        <v>18</v>
      </c>
      <c r="I2620" t="s">
        <v>4736</v>
      </c>
      <c r="J2620" t="s">
        <v>5222</v>
      </c>
      <c r="K2620" t="s">
        <v>3999</v>
      </c>
      <c r="L2620">
        <v>0</v>
      </c>
      <c r="M2620" s="452">
        <v>45404</v>
      </c>
      <c r="N2620">
        <v>4.41</v>
      </c>
      <c r="O2620">
        <v>4.41</v>
      </c>
      <c r="P2620">
        <v>79.38</v>
      </c>
    </row>
    <row r="2621" spans="1:16" x14ac:dyDescent="0.3">
      <c r="A2621">
        <v>53523</v>
      </c>
      <c r="B2621">
        <v>105</v>
      </c>
      <c r="C2621" t="s">
        <v>557</v>
      </c>
      <c r="D2621" s="452">
        <v>45931</v>
      </c>
      <c r="E2621">
        <v>20756</v>
      </c>
      <c r="F2621" t="s">
        <v>5001</v>
      </c>
      <c r="G2621">
        <v>2086</v>
      </c>
      <c r="H2621">
        <v>1</v>
      </c>
      <c r="I2621" t="s">
        <v>4736</v>
      </c>
      <c r="J2621" t="s">
        <v>5191</v>
      </c>
      <c r="K2621" t="s">
        <v>3999</v>
      </c>
      <c r="L2621">
        <v>0</v>
      </c>
      <c r="M2621" s="452">
        <v>45607</v>
      </c>
      <c r="N2621">
        <v>79.2</v>
      </c>
      <c r="O2621">
        <v>78.900000000000006</v>
      </c>
      <c r="P2621">
        <v>79.2</v>
      </c>
    </row>
    <row r="2622" spans="1:16" x14ac:dyDescent="0.3">
      <c r="A2622">
        <v>53389</v>
      </c>
      <c r="B2622">
        <v>105</v>
      </c>
      <c r="C2622" t="s">
        <v>557</v>
      </c>
      <c r="D2622" s="452">
        <v>45931</v>
      </c>
      <c r="E2622">
        <v>20871</v>
      </c>
      <c r="F2622" t="s">
        <v>5015</v>
      </c>
      <c r="G2622">
        <v>2043</v>
      </c>
      <c r="H2622">
        <v>5</v>
      </c>
      <c r="I2622" t="s">
        <v>4879</v>
      </c>
      <c r="J2622" t="s">
        <v>5191</v>
      </c>
      <c r="K2622" t="s">
        <v>3999</v>
      </c>
      <c r="L2622">
        <v>15.8</v>
      </c>
      <c r="M2622" s="452">
        <v>45916</v>
      </c>
      <c r="N2622">
        <v>15.8</v>
      </c>
      <c r="O2622">
        <v>0</v>
      </c>
      <c r="P2622">
        <v>79</v>
      </c>
    </row>
    <row r="2623" spans="1:16" x14ac:dyDescent="0.3">
      <c r="A2623">
        <v>53279</v>
      </c>
      <c r="B2623">
        <v>105</v>
      </c>
      <c r="C2623" t="s">
        <v>557</v>
      </c>
      <c r="D2623" s="452">
        <v>45931</v>
      </c>
      <c r="E2623">
        <v>23361</v>
      </c>
      <c r="F2623" t="s">
        <v>4754</v>
      </c>
      <c r="G2623">
        <v>2497</v>
      </c>
      <c r="H2623">
        <v>27.32</v>
      </c>
      <c r="I2623" t="s">
        <v>4744</v>
      </c>
      <c r="J2623" t="s">
        <v>5191</v>
      </c>
      <c r="K2623" t="s">
        <v>3999</v>
      </c>
      <c r="L2623">
        <v>2.89</v>
      </c>
      <c r="M2623" s="452">
        <v>45930</v>
      </c>
      <c r="N2623">
        <v>3.1</v>
      </c>
      <c r="O2623">
        <v>3.1</v>
      </c>
      <c r="P2623">
        <v>78.95</v>
      </c>
    </row>
    <row r="2624" spans="1:16" x14ac:dyDescent="0.3">
      <c r="A2624">
        <v>53271</v>
      </c>
      <c r="B2624">
        <v>105</v>
      </c>
      <c r="C2624" t="s">
        <v>557</v>
      </c>
      <c r="D2624" s="452">
        <v>45931</v>
      </c>
      <c r="E2624">
        <v>24308</v>
      </c>
      <c r="F2624" t="s">
        <v>4757</v>
      </c>
      <c r="G2624">
        <v>3658</v>
      </c>
      <c r="H2624">
        <v>36</v>
      </c>
      <c r="I2624" t="s">
        <v>4736</v>
      </c>
      <c r="J2624" t="s">
        <v>5222</v>
      </c>
      <c r="K2624" t="s">
        <v>3999</v>
      </c>
      <c r="L2624">
        <v>0</v>
      </c>
      <c r="M2624" s="452">
        <v>45679</v>
      </c>
      <c r="N2624">
        <v>2.19</v>
      </c>
      <c r="O2624">
        <v>2.19</v>
      </c>
      <c r="P2624">
        <v>78.84</v>
      </c>
    </row>
    <row r="2625" spans="1:16" x14ac:dyDescent="0.3">
      <c r="A2625">
        <v>53263</v>
      </c>
      <c r="B2625">
        <v>105</v>
      </c>
      <c r="C2625" t="s">
        <v>557</v>
      </c>
      <c r="D2625" s="452">
        <v>45931</v>
      </c>
      <c r="E2625">
        <v>23095</v>
      </c>
      <c r="F2625" t="s">
        <v>4741</v>
      </c>
      <c r="G2625">
        <v>2754</v>
      </c>
      <c r="H2625">
        <v>80</v>
      </c>
      <c r="I2625" t="s">
        <v>4736</v>
      </c>
      <c r="J2625" t="s">
        <v>5191</v>
      </c>
      <c r="K2625" t="s">
        <v>3999</v>
      </c>
      <c r="L2625">
        <v>0.97</v>
      </c>
      <c r="M2625" s="452">
        <v>45930</v>
      </c>
      <c r="N2625">
        <v>0.98</v>
      </c>
      <c r="O2625">
        <v>0.98</v>
      </c>
      <c r="P2625">
        <v>77.599999999999994</v>
      </c>
    </row>
    <row r="2626" spans="1:16" x14ac:dyDescent="0.3">
      <c r="A2626">
        <v>53315</v>
      </c>
      <c r="B2626">
        <v>105</v>
      </c>
      <c r="C2626" t="s">
        <v>557</v>
      </c>
      <c r="D2626" s="452">
        <v>45931</v>
      </c>
      <c r="E2626">
        <v>23228</v>
      </c>
      <c r="F2626" t="s">
        <v>4782</v>
      </c>
      <c r="G2626">
        <v>2627</v>
      </c>
      <c r="H2626">
        <v>14.5</v>
      </c>
      <c r="I2626" t="s">
        <v>4744</v>
      </c>
      <c r="J2626" t="s">
        <v>5191</v>
      </c>
      <c r="K2626" t="s">
        <v>3999</v>
      </c>
      <c r="L2626">
        <v>5.33</v>
      </c>
      <c r="M2626" s="452">
        <v>45922</v>
      </c>
      <c r="N2626">
        <v>5</v>
      </c>
      <c r="O2626">
        <v>6</v>
      </c>
      <c r="P2626">
        <v>77.28</v>
      </c>
    </row>
    <row r="2627" spans="1:16" x14ac:dyDescent="0.3">
      <c r="A2627">
        <v>53526</v>
      </c>
      <c r="B2627">
        <v>105</v>
      </c>
      <c r="C2627" t="s">
        <v>557</v>
      </c>
      <c r="D2627" s="452">
        <v>45931</v>
      </c>
      <c r="E2627">
        <v>25358</v>
      </c>
      <c r="F2627" t="s">
        <v>4980</v>
      </c>
      <c r="G2627">
        <v>6047</v>
      </c>
      <c r="H2627">
        <v>1</v>
      </c>
      <c r="I2627" t="s">
        <v>4744</v>
      </c>
      <c r="J2627" t="s">
        <v>5191</v>
      </c>
      <c r="K2627" t="s">
        <v>3999</v>
      </c>
      <c r="L2627">
        <v>75.900000000000006</v>
      </c>
      <c r="M2627" s="452">
        <v>45904</v>
      </c>
      <c r="N2627">
        <v>75.900000000000006</v>
      </c>
      <c r="O2627">
        <v>75.900000000000006</v>
      </c>
      <c r="P2627">
        <v>75.900000000000006</v>
      </c>
    </row>
    <row r="2628" spans="1:16" x14ac:dyDescent="0.3">
      <c r="A2628">
        <v>53660</v>
      </c>
      <c r="B2628">
        <v>105</v>
      </c>
      <c r="C2628" t="s">
        <v>557</v>
      </c>
      <c r="D2628" s="452">
        <v>45931</v>
      </c>
      <c r="E2628">
        <v>18867</v>
      </c>
      <c r="F2628" t="s">
        <v>5462</v>
      </c>
      <c r="G2628">
        <v>2941</v>
      </c>
      <c r="H2628">
        <v>5.65</v>
      </c>
      <c r="I2628" t="s">
        <v>4736</v>
      </c>
      <c r="J2628" t="s">
        <v>5191</v>
      </c>
      <c r="K2628" t="s">
        <v>3999</v>
      </c>
      <c r="L2628">
        <v>0</v>
      </c>
      <c r="N2628">
        <v>0</v>
      </c>
      <c r="O2628">
        <v>0</v>
      </c>
      <c r="P2628">
        <v>73.39</v>
      </c>
    </row>
    <row r="2629" spans="1:16" x14ac:dyDescent="0.3">
      <c r="A2629">
        <v>53623</v>
      </c>
      <c r="B2629">
        <v>105</v>
      </c>
      <c r="C2629" t="s">
        <v>557</v>
      </c>
      <c r="D2629" s="452">
        <v>45931</v>
      </c>
      <c r="E2629">
        <v>18233</v>
      </c>
      <c r="F2629" t="s">
        <v>4970</v>
      </c>
      <c r="G2629">
        <v>3395</v>
      </c>
      <c r="H2629">
        <v>0.7</v>
      </c>
      <c r="I2629" t="s">
        <v>4805</v>
      </c>
      <c r="J2629" t="s">
        <v>5222</v>
      </c>
      <c r="K2629" t="s">
        <v>3999</v>
      </c>
      <c r="L2629">
        <v>0</v>
      </c>
      <c r="M2629" s="452">
        <v>45853</v>
      </c>
      <c r="N2629">
        <v>102.9</v>
      </c>
      <c r="O2629">
        <v>101</v>
      </c>
      <c r="P2629">
        <v>72.03</v>
      </c>
    </row>
    <row r="2630" spans="1:16" x14ac:dyDescent="0.3">
      <c r="A2630">
        <v>53425</v>
      </c>
      <c r="B2630">
        <v>105</v>
      </c>
      <c r="C2630" t="s">
        <v>557</v>
      </c>
      <c r="D2630" s="452">
        <v>45931</v>
      </c>
      <c r="E2630">
        <v>18992</v>
      </c>
      <c r="F2630" t="s">
        <v>4869</v>
      </c>
      <c r="G2630">
        <v>2900</v>
      </c>
      <c r="H2630">
        <v>3.85</v>
      </c>
      <c r="I2630" t="s">
        <v>4744</v>
      </c>
      <c r="J2630" t="s">
        <v>5191</v>
      </c>
      <c r="K2630" t="s">
        <v>3999</v>
      </c>
      <c r="L2630">
        <v>18.39</v>
      </c>
      <c r="M2630" s="452">
        <v>45922</v>
      </c>
      <c r="N2630">
        <v>18.39</v>
      </c>
      <c r="O2630">
        <v>18.39</v>
      </c>
      <c r="P2630">
        <v>70.8</v>
      </c>
    </row>
    <row r="2631" spans="1:16" x14ac:dyDescent="0.3">
      <c r="A2631">
        <v>53335</v>
      </c>
      <c r="B2631">
        <v>105</v>
      </c>
      <c r="C2631" t="s">
        <v>557</v>
      </c>
      <c r="D2631" s="452">
        <v>45931</v>
      </c>
      <c r="E2631">
        <v>24226</v>
      </c>
      <c r="F2631" t="s">
        <v>4795</v>
      </c>
      <c r="G2631">
        <v>3647</v>
      </c>
      <c r="H2631">
        <v>11</v>
      </c>
      <c r="I2631" t="s">
        <v>4736</v>
      </c>
      <c r="J2631" t="s">
        <v>5222</v>
      </c>
      <c r="K2631" t="s">
        <v>3999</v>
      </c>
      <c r="L2631">
        <v>0</v>
      </c>
      <c r="M2631" s="452">
        <v>45532</v>
      </c>
      <c r="N2631">
        <v>6.42</v>
      </c>
      <c r="O2631">
        <v>6.82</v>
      </c>
      <c r="P2631">
        <v>70.62</v>
      </c>
    </row>
    <row r="2632" spans="1:16" x14ac:dyDescent="0.3">
      <c r="A2632">
        <v>53357</v>
      </c>
      <c r="B2632">
        <v>105</v>
      </c>
      <c r="C2632" t="s">
        <v>557</v>
      </c>
      <c r="D2632" s="452">
        <v>45931</v>
      </c>
      <c r="E2632">
        <v>20227</v>
      </c>
      <c r="F2632" t="s">
        <v>4825</v>
      </c>
      <c r="G2632">
        <v>2248</v>
      </c>
      <c r="H2632">
        <v>7</v>
      </c>
      <c r="I2632" t="s">
        <v>4738</v>
      </c>
      <c r="J2632" t="s">
        <v>5191</v>
      </c>
      <c r="K2632" t="s">
        <v>3999</v>
      </c>
      <c r="L2632">
        <v>9.9700000000000006</v>
      </c>
      <c r="M2632" s="452">
        <v>45926</v>
      </c>
      <c r="N2632">
        <v>10.02</v>
      </c>
      <c r="O2632">
        <v>10.02</v>
      </c>
      <c r="P2632">
        <v>69.790000000000006</v>
      </c>
    </row>
    <row r="2633" spans="1:16" x14ac:dyDescent="0.3">
      <c r="A2633">
        <v>53445</v>
      </c>
      <c r="B2633">
        <v>105</v>
      </c>
      <c r="C2633" t="s">
        <v>557</v>
      </c>
      <c r="D2633" s="452">
        <v>45931</v>
      </c>
      <c r="E2633">
        <v>20653</v>
      </c>
      <c r="F2633" t="s">
        <v>5013</v>
      </c>
      <c r="G2633">
        <v>2111</v>
      </c>
      <c r="H2633">
        <v>3</v>
      </c>
      <c r="I2633" t="s">
        <v>4736</v>
      </c>
      <c r="J2633" t="s">
        <v>5191</v>
      </c>
      <c r="K2633" t="s">
        <v>3999</v>
      </c>
      <c r="L2633">
        <v>22.96</v>
      </c>
      <c r="M2633" s="452">
        <v>45926</v>
      </c>
      <c r="N2633">
        <v>22.92</v>
      </c>
      <c r="O2633">
        <v>20.91</v>
      </c>
      <c r="P2633">
        <v>68.88</v>
      </c>
    </row>
    <row r="2634" spans="1:16" x14ac:dyDescent="0.3">
      <c r="A2634">
        <v>53525</v>
      </c>
      <c r="B2634">
        <v>105</v>
      </c>
      <c r="C2634" t="s">
        <v>557</v>
      </c>
      <c r="D2634" s="452">
        <v>45931</v>
      </c>
      <c r="E2634">
        <v>20720</v>
      </c>
      <c r="F2634" t="s">
        <v>5438</v>
      </c>
      <c r="G2634">
        <v>2096</v>
      </c>
      <c r="H2634">
        <v>1</v>
      </c>
      <c r="I2634" t="s">
        <v>4884</v>
      </c>
      <c r="J2634" t="s">
        <v>5191</v>
      </c>
      <c r="K2634" t="s">
        <v>3999</v>
      </c>
      <c r="L2634">
        <v>67.92</v>
      </c>
      <c r="M2634" s="452">
        <v>45926</v>
      </c>
      <c r="N2634">
        <v>67.94</v>
      </c>
      <c r="O2634">
        <v>67.94</v>
      </c>
      <c r="P2634">
        <v>67.92</v>
      </c>
    </row>
    <row r="2635" spans="1:16" x14ac:dyDescent="0.3">
      <c r="A2635">
        <v>53369</v>
      </c>
      <c r="B2635">
        <v>105</v>
      </c>
      <c r="C2635" t="s">
        <v>557</v>
      </c>
      <c r="D2635" s="452">
        <v>45931</v>
      </c>
      <c r="E2635">
        <v>20623</v>
      </c>
      <c r="F2635" t="s">
        <v>4814</v>
      </c>
      <c r="G2635">
        <v>2116</v>
      </c>
      <c r="H2635">
        <v>6</v>
      </c>
      <c r="I2635" t="s">
        <v>4736</v>
      </c>
      <c r="J2635" t="s">
        <v>5191</v>
      </c>
      <c r="K2635" t="s">
        <v>3999</v>
      </c>
      <c r="L2635">
        <v>11.07</v>
      </c>
      <c r="M2635" s="452">
        <v>45923</v>
      </c>
      <c r="N2635">
        <v>11.07</v>
      </c>
      <c r="O2635">
        <v>11.07</v>
      </c>
      <c r="P2635">
        <v>66.42</v>
      </c>
    </row>
    <row r="2636" spans="1:16" x14ac:dyDescent="0.3">
      <c r="A2636">
        <v>53413</v>
      </c>
      <c r="B2636">
        <v>105</v>
      </c>
      <c r="C2636" t="s">
        <v>557</v>
      </c>
      <c r="D2636" s="452">
        <v>45931</v>
      </c>
      <c r="E2636">
        <v>20105</v>
      </c>
      <c r="F2636" t="s">
        <v>4831</v>
      </c>
      <c r="G2636">
        <v>2298</v>
      </c>
      <c r="H2636">
        <v>4</v>
      </c>
      <c r="I2636" t="s">
        <v>4744</v>
      </c>
      <c r="J2636" t="s">
        <v>5191</v>
      </c>
      <c r="K2636" t="s">
        <v>3999</v>
      </c>
      <c r="L2636">
        <v>0</v>
      </c>
      <c r="M2636" s="452">
        <v>45853</v>
      </c>
      <c r="N2636">
        <v>16.3</v>
      </c>
      <c r="O2636">
        <v>32.25</v>
      </c>
      <c r="P2636">
        <v>65.2</v>
      </c>
    </row>
    <row r="2637" spans="1:16" x14ac:dyDescent="0.3">
      <c r="A2637">
        <v>53593</v>
      </c>
      <c r="B2637">
        <v>105</v>
      </c>
      <c r="C2637" t="s">
        <v>557</v>
      </c>
      <c r="D2637" s="452">
        <v>45931</v>
      </c>
      <c r="E2637">
        <v>19490</v>
      </c>
      <c r="F2637" t="s">
        <v>5116</v>
      </c>
      <c r="G2637">
        <v>2718</v>
      </c>
      <c r="H2637">
        <v>0.4</v>
      </c>
      <c r="I2637" t="s">
        <v>4744</v>
      </c>
      <c r="J2637" t="s">
        <v>5191</v>
      </c>
      <c r="K2637" t="s">
        <v>3999</v>
      </c>
      <c r="L2637">
        <v>161.15</v>
      </c>
      <c r="M2637" s="452">
        <v>45930</v>
      </c>
      <c r="N2637">
        <v>130</v>
      </c>
      <c r="O2637">
        <v>113.75</v>
      </c>
      <c r="P2637">
        <v>64.459999999999994</v>
      </c>
    </row>
    <row r="2638" spans="1:16" x14ac:dyDescent="0.3">
      <c r="A2638">
        <v>53420</v>
      </c>
      <c r="B2638">
        <v>105</v>
      </c>
      <c r="C2638" t="s">
        <v>557</v>
      </c>
      <c r="D2638" s="452">
        <v>45931</v>
      </c>
      <c r="E2638">
        <v>23184</v>
      </c>
      <c r="F2638" t="s">
        <v>4935</v>
      </c>
      <c r="G2638">
        <v>2670</v>
      </c>
      <c r="H2638">
        <v>4</v>
      </c>
      <c r="I2638" t="s">
        <v>4744</v>
      </c>
      <c r="J2638" t="s">
        <v>5191</v>
      </c>
      <c r="K2638" t="s">
        <v>3999</v>
      </c>
      <c r="L2638">
        <v>16.010000000000002</v>
      </c>
      <c r="M2638" s="452">
        <v>45929</v>
      </c>
      <c r="N2638">
        <v>15</v>
      </c>
      <c r="O2638">
        <v>14.83</v>
      </c>
      <c r="P2638">
        <v>64.040000000000006</v>
      </c>
    </row>
    <row r="2639" spans="1:16" x14ac:dyDescent="0.3">
      <c r="A2639">
        <v>53448</v>
      </c>
      <c r="B2639">
        <v>105</v>
      </c>
      <c r="C2639" t="s">
        <v>557</v>
      </c>
      <c r="D2639" s="452">
        <v>45931</v>
      </c>
      <c r="E2639">
        <v>23385</v>
      </c>
      <c r="F2639" t="s">
        <v>4938</v>
      </c>
      <c r="G2639">
        <v>2479</v>
      </c>
      <c r="H2639">
        <v>3</v>
      </c>
      <c r="I2639" t="s">
        <v>4744</v>
      </c>
      <c r="J2639" t="s">
        <v>5191</v>
      </c>
      <c r="K2639" t="s">
        <v>3999</v>
      </c>
      <c r="L2639">
        <v>21.24</v>
      </c>
      <c r="M2639" s="452">
        <v>45923</v>
      </c>
      <c r="N2639">
        <v>23.75</v>
      </c>
      <c r="O2639">
        <v>25.93</v>
      </c>
      <c r="P2639">
        <v>63.72</v>
      </c>
    </row>
    <row r="2640" spans="1:16" x14ac:dyDescent="0.3">
      <c r="A2640">
        <v>53641</v>
      </c>
      <c r="B2640">
        <v>105</v>
      </c>
      <c r="C2640" t="s">
        <v>557</v>
      </c>
      <c r="D2640" s="452">
        <v>45931</v>
      </c>
      <c r="E2640">
        <v>24409</v>
      </c>
      <c r="F2640" t="s">
        <v>4742</v>
      </c>
      <c r="G2640">
        <v>3665</v>
      </c>
      <c r="H2640">
        <v>29</v>
      </c>
      <c r="I2640" t="s">
        <v>4736</v>
      </c>
      <c r="J2640" t="s">
        <v>5222</v>
      </c>
      <c r="K2640" t="s">
        <v>3999</v>
      </c>
      <c r="L2640">
        <v>0</v>
      </c>
      <c r="M2640" s="452">
        <v>45646</v>
      </c>
      <c r="N2640">
        <v>2.19</v>
      </c>
      <c r="O2640">
        <v>2.19</v>
      </c>
      <c r="P2640">
        <v>63.51</v>
      </c>
    </row>
    <row r="2641" spans="1:16" x14ac:dyDescent="0.3">
      <c r="A2641">
        <v>53611</v>
      </c>
      <c r="B2641">
        <v>105</v>
      </c>
      <c r="C2641" t="s">
        <v>557</v>
      </c>
      <c r="D2641" s="452">
        <v>45931</v>
      </c>
      <c r="E2641">
        <v>18289</v>
      </c>
      <c r="F2641" t="s">
        <v>5036</v>
      </c>
      <c r="G2641">
        <v>3339</v>
      </c>
      <c r="H2641">
        <v>0.45</v>
      </c>
      <c r="I2641" t="s">
        <v>4736</v>
      </c>
      <c r="J2641" t="s">
        <v>5222</v>
      </c>
      <c r="K2641" t="s">
        <v>3999</v>
      </c>
      <c r="L2641">
        <v>0</v>
      </c>
      <c r="M2641" s="452">
        <v>-693593</v>
      </c>
      <c r="N2641">
        <v>0</v>
      </c>
      <c r="O2641">
        <v>0</v>
      </c>
      <c r="P2641">
        <v>63</v>
      </c>
    </row>
    <row r="2642" spans="1:16" x14ac:dyDescent="0.3">
      <c r="A2642">
        <v>53433</v>
      </c>
      <c r="B2642">
        <v>105</v>
      </c>
      <c r="C2642" t="s">
        <v>557</v>
      </c>
      <c r="D2642" s="452">
        <v>45931</v>
      </c>
      <c r="E2642">
        <v>21147</v>
      </c>
      <c r="F2642" t="s">
        <v>4876</v>
      </c>
      <c r="G2642">
        <v>1952</v>
      </c>
      <c r="H2642">
        <v>3</v>
      </c>
      <c r="I2642" t="s">
        <v>4736</v>
      </c>
      <c r="J2642" t="s">
        <v>5191</v>
      </c>
      <c r="K2642" t="s">
        <v>3999</v>
      </c>
      <c r="L2642">
        <v>0</v>
      </c>
      <c r="M2642" s="452">
        <v>45800</v>
      </c>
      <c r="N2642">
        <v>20.9</v>
      </c>
      <c r="O2642">
        <v>19.899999999999999</v>
      </c>
      <c r="P2642">
        <v>62.7</v>
      </c>
    </row>
    <row r="2643" spans="1:16" x14ac:dyDescent="0.3">
      <c r="A2643">
        <v>53532</v>
      </c>
      <c r="B2643">
        <v>105</v>
      </c>
      <c r="C2643" t="s">
        <v>557</v>
      </c>
      <c r="D2643" s="452">
        <v>45931</v>
      </c>
      <c r="E2643">
        <v>20660</v>
      </c>
      <c r="F2643" t="s">
        <v>5011</v>
      </c>
      <c r="G2643">
        <v>2110</v>
      </c>
      <c r="H2643">
        <v>1</v>
      </c>
      <c r="I2643" t="s">
        <v>4955</v>
      </c>
      <c r="J2643" t="s">
        <v>5191</v>
      </c>
      <c r="K2643" t="s">
        <v>3999</v>
      </c>
      <c r="L2643">
        <v>61.13</v>
      </c>
      <c r="M2643" s="452">
        <v>45926</v>
      </c>
      <c r="N2643">
        <v>62.56</v>
      </c>
      <c r="O2643">
        <v>62.56</v>
      </c>
      <c r="P2643">
        <v>61.13</v>
      </c>
    </row>
    <row r="2644" spans="1:16" x14ac:dyDescent="0.3">
      <c r="A2644">
        <v>53647</v>
      </c>
      <c r="B2644">
        <v>105</v>
      </c>
      <c r="C2644" t="s">
        <v>557</v>
      </c>
      <c r="D2644" s="452">
        <v>45931</v>
      </c>
      <c r="E2644">
        <v>20965</v>
      </c>
      <c r="F2644" t="s">
        <v>5463</v>
      </c>
      <c r="G2644">
        <v>2013</v>
      </c>
      <c r="H2644">
        <v>4</v>
      </c>
      <c r="I2644" t="s">
        <v>4736</v>
      </c>
      <c r="J2644" t="s">
        <v>5191</v>
      </c>
      <c r="K2644" t="s">
        <v>3999</v>
      </c>
      <c r="L2644">
        <v>0</v>
      </c>
      <c r="M2644" s="452">
        <v>45737</v>
      </c>
      <c r="N2644">
        <v>14.9</v>
      </c>
      <c r="O2644">
        <v>14.2</v>
      </c>
      <c r="P2644">
        <v>59.6</v>
      </c>
    </row>
    <row r="2645" spans="1:16" x14ac:dyDescent="0.3">
      <c r="A2645">
        <v>53364</v>
      </c>
      <c r="B2645">
        <v>105</v>
      </c>
      <c r="C2645" t="s">
        <v>557</v>
      </c>
      <c r="D2645" s="452">
        <v>45931</v>
      </c>
      <c r="E2645">
        <v>20322</v>
      </c>
      <c r="F2645" t="s">
        <v>4882</v>
      </c>
      <c r="G2645">
        <v>2212</v>
      </c>
      <c r="H2645">
        <v>6</v>
      </c>
      <c r="I2645" t="s">
        <v>4738</v>
      </c>
      <c r="J2645" t="s">
        <v>5191</v>
      </c>
      <c r="K2645" t="s">
        <v>3999</v>
      </c>
      <c r="L2645">
        <v>9.74</v>
      </c>
      <c r="M2645" s="452">
        <v>45926</v>
      </c>
      <c r="N2645">
        <v>9.74</v>
      </c>
      <c r="O2645">
        <v>9.74</v>
      </c>
      <c r="P2645">
        <v>58.44</v>
      </c>
    </row>
    <row r="2646" spans="1:16" x14ac:dyDescent="0.3">
      <c r="A2646">
        <v>53488</v>
      </c>
      <c r="B2646">
        <v>105</v>
      </c>
      <c r="C2646" t="s">
        <v>557</v>
      </c>
      <c r="D2646" s="452">
        <v>45931</v>
      </c>
      <c r="E2646">
        <v>20585</v>
      </c>
      <c r="F2646" t="s">
        <v>5025</v>
      </c>
      <c r="G2646">
        <v>2121</v>
      </c>
      <c r="H2646">
        <v>2</v>
      </c>
      <c r="I2646" t="s">
        <v>4736</v>
      </c>
      <c r="J2646" t="s">
        <v>5191</v>
      </c>
      <c r="K2646" t="s">
        <v>3999</v>
      </c>
      <c r="L2646">
        <v>29.08</v>
      </c>
      <c r="M2646" s="452">
        <v>45926</v>
      </c>
      <c r="N2646">
        <v>28.96</v>
      </c>
      <c r="O2646">
        <v>28.96</v>
      </c>
      <c r="P2646">
        <v>58.16</v>
      </c>
    </row>
    <row r="2647" spans="1:16" x14ac:dyDescent="0.3">
      <c r="A2647">
        <v>53386</v>
      </c>
      <c r="B2647">
        <v>105</v>
      </c>
      <c r="C2647" t="s">
        <v>557</v>
      </c>
      <c r="D2647" s="452">
        <v>45931</v>
      </c>
      <c r="E2647">
        <v>20295</v>
      </c>
      <c r="F2647" t="s">
        <v>4881</v>
      </c>
      <c r="G2647">
        <v>2226</v>
      </c>
      <c r="H2647">
        <v>5</v>
      </c>
      <c r="I2647" t="s">
        <v>4736</v>
      </c>
      <c r="J2647" t="s">
        <v>5191</v>
      </c>
      <c r="K2647" t="s">
        <v>3999</v>
      </c>
      <c r="L2647">
        <v>0</v>
      </c>
      <c r="M2647" s="452">
        <v>45894</v>
      </c>
      <c r="N2647">
        <v>11.5</v>
      </c>
      <c r="O2647">
        <v>10.26</v>
      </c>
      <c r="P2647">
        <v>57.5</v>
      </c>
    </row>
    <row r="2648" spans="1:16" x14ac:dyDescent="0.3">
      <c r="A2648">
        <v>53518</v>
      </c>
      <c r="B2648">
        <v>105</v>
      </c>
      <c r="C2648" t="s">
        <v>557</v>
      </c>
      <c r="D2648" s="452">
        <v>45931</v>
      </c>
      <c r="E2648">
        <v>19401</v>
      </c>
      <c r="F2648" t="s">
        <v>4809</v>
      </c>
      <c r="G2648">
        <v>2761</v>
      </c>
      <c r="H2648">
        <v>1.2</v>
      </c>
      <c r="I2648" t="s">
        <v>4744</v>
      </c>
      <c r="J2648" t="s">
        <v>5191</v>
      </c>
      <c r="K2648" t="s">
        <v>3999</v>
      </c>
      <c r="L2648">
        <v>0</v>
      </c>
      <c r="M2648" s="452">
        <v>45831</v>
      </c>
      <c r="N2648">
        <v>47.9</v>
      </c>
      <c r="O2648">
        <v>49.58</v>
      </c>
      <c r="P2648">
        <v>57.48</v>
      </c>
    </row>
    <row r="2649" spans="1:16" x14ac:dyDescent="0.3">
      <c r="A2649">
        <v>53503</v>
      </c>
      <c r="B2649">
        <v>105</v>
      </c>
      <c r="C2649" t="s">
        <v>557</v>
      </c>
      <c r="D2649" s="452">
        <v>45931</v>
      </c>
      <c r="E2649">
        <v>17886</v>
      </c>
      <c r="F2649" t="s">
        <v>5083</v>
      </c>
      <c r="G2649">
        <v>3670</v>
      </c>
      <c r="H2649">
        <v>2</v>
      </c>
      <c r="I2649" t="s">
        <v>4738</v>
      </c>
      <c r="J2649" t="s">
        <v>5222</v>
      </c>
      <c r="K2649" t="s">
        <v>3999</v>
      </c>
      <c r="L2649">
        <v>28.32</v>
      </c>
      <c r="M2649" s="452">
        <v>45929</v>
      </c>
      <c r="N2649">
        <v>28.32</v>
      </c>
      <c r="O2649">
        <v>28.32</v>
      </c>
      <c r="P2649">
        <v>56.64</v>
      </c>
    </row>
    <row r="2650" spans="1:16" x14ac:dyDescent="0.3">
      <c r="A2650">
        <v>53552</v>
      </c>
      <c r="B2650">
        <v>105</v>
      </c>
      <c r="C2650" t="s">
        <v>557</v>
      </c>
      <c r="D2650" s="452">
        <v>45931</v>
      </c>
      <c r="E2650">
        <v>18339</v>
      </c>
      <c r="F2650" t="s">
        <v>5033</v>
      </c>
      <c r="G2650">
        <v>3296</v>
      </c>
      <c r="H2650">
        <v>1</v>
      </c>
      <c r="I2650" t="s">
        <v>4805</v>
      </c>
      <c r="J2650" t="s">
        <v>5222</v>
      </c>
      <c r="K2650" t="s">
        <v>3999</v>
      </c>
      <c r="L2650">
        <v>0</v>
      </c>
      <c r="M2650" s="452">
        <v>-693593</v>
      </c>
      <c r="N2650">
        <v>0</v>
      </c>
      <c r="O2650">
        <v>56.4</v>
      </c>
      <c r="P2650">
        <v>56.53</v>
      </c>
    </row>
    <row r="2651" spans="1:16" x14ac:dyDescent="0.3">
      <c r="A2651">
        <v>53411</v>
      </c>
      <c r="B2651">
        <v>105</v>
      </c>
      <c r="C2651" t="s">
        <v>557</v>
      </c>
      <c r="D2651" s="452">
        <v>45931</v>
      </c>
      <c r="E2651">
        <v>26020</v>
      </c>
      <c r="F2651" t="s">
        <v>5102</v>
      </c>
      <c r="G2651">
        <v>2105</v>
      </c>
      <c r="H2651">
        <v>4</v>
      </c>
      <c r="I2651" t="s">
        <v>4736</v>
      </c>
      <c r="J2651" t="s">
        <v>5191</v>
      </c>
      <c r="K2651" t="s">
        <v>3999</v>
      </c>
      <c r="L2651">
        <v>14.11</v>
      </c>
      <c r="M2651" s="452">
        <v>45926</v>
      </c>
      <c r="N2651">
        <v>14.14</v>
      </c>
      <c r="O2651">
        <v>14.14</v>
      </c>
      <c r="P2651">
        <v>56.44</v>
      </c>
    </row>
    <row r="2652" spans="1:16" x14ac:dyDescent="0.3">
      <c r="A2652">
        <v>53363</v>
      </c>
      <c r="B2652">
        <v>105</v>
      </c>
      <c r="C2652" t="s">
        <v>557</v>
      </c>
      <c r="D2652" s="452">
        <v>45931</v>
      </c>
      <c r="E2652">
        <v>23819</v>
      </c>
      <c r="F2652" t="s">
        <v>4947</v>
      </c>
      <c r="G2652">
        <v>2083</v>
      </c>
      <c r="H2652">
        <v>6</v>
      </c>
      <c r="I2652" t="s">
        <v>4736</v>
      </c>
      <c r="J2652" t="s">
        <v>5191</v>
      </c>
      <c r="K2652" t="s">
        <v>3999</v>
      </c>
      <c r="L2652">
        <v>9.1</v>
      </c>
      <c r="M2652" s="452">
        <v>45926</v>
      </c>
      <c r="N2652">
        <v>9.1</v>
      </c>
      <c r="O2652">
        <v>9.1</v>
      </c>
      <c r="P2652">
        <v>54.6</v>
      </c>
    </row>
    <row r="2653" spans="1:16" x14ac:dyDescent="0.3">
      <c r="A2653">
        <v>53352</v>
      </c>
      <c r="B2653">
        <v>105</v>
      </c>
      <c r="C2653" t="s">
        <v>557</v>
      </c>
      <c r="D2653" s="452">
        <v>45931</v>
      </c>
      <c r="E2653">
        <v>19751</v>
      </c>
      <c r="F2653" t="s">
        <v>4800</v>
      </c>
      <c r="G2653">
        <v>2502</v>
      </c>
      <c r="H2653">
        <v>7.9</v>
      </c>
      <c r="I2653" t="s">
        <v>4744</v>
      </c>
      <c r="J2653" t="s">
        <v>5191</v>
      </c>
      <c r="K2653" t="s">
        <v>3999</v>
      </c>
      <c r="L2653">
        <v>6.9</v>
      </c>
      <c r="M2653" s="452">
        <v>45930</v>
      </c>
      <c r="N2653">
        <v>6.99</v>
      </c>
      <c r="O2653">
        <v>7.24</v>
      </c>
      <c r="P2653">
        <v>54.51</v>
      </c>
    </row>
    <row r="2654" spans="1:16" x14ac:dyDescent="0.3">
      <c r="A2654">
        <v>53367</v>
      </c>
      <c r="B2654">
        <v>105</v>
      </c>
      <c r="C2654" t="s">
        <v>557</v>
      </c>
      <c r="D2654" s="452">
        <v>45931</v>
      </c>
      <c r="E2654">
        <v>20661</v>
      </c>
      <c r="F2654" t="s">
        <v>5012</v>
      </c>
      <c r="G2654">
        <v>2110</v>
      </c>
      <c r="H2654">
        <v>6</v>
      </c>
      <c r="I2654" t="s">
        <v>4736</v>
      </c>
      <c r="J2654" t="s">
        <v>5191</v>
      </c>
      <c r="K2654" t="s">
        <v>3999</v>
      </c>
      <c r="L2654">
        <v>9</v>
      </c>
      <c r="M2654" s="452">
        <v>45926</v>
      </c>
      <c r="N2654">
        <v>8.74</v>
      </c>
      <c r="O2654">
        <v>8.74</v>
      </c>
      <c r="P2654">
        <v>54</v>
      </c>
    </row>
    <row r="2655" spans="1:16" x14ac:dyDescent="0.3">
      <c r="A2655">
        <v>53590</v>
      </c>
      <c r="B2655">
        <v>105</v>
      </c>
      <c r="C2655" t="s">
        <v>557</v>
      </c>
      <c r="D2655" s="452">
        <v>45931</v>
      </c>
      <c r="E2655">
        <v>20716</v>
      </c>
      <c r="F2655" t="s">
        <v>5053</v>
      </c>
      <c r="G2655">
        <v>2098</v>
      </c>
      <c r="H2655">
        <v>0.45</v>
      </c>
      <c r="I2655" t="s">
        <v>4744</v>
      </c>
      <c r="J2655" t="s">
        <v>5191</v>
      </c>
      <c r="K2655" t="s">
        <v>3999</v>
      </c>
      <c r="L2655">
        <v>0</v>
      </c>
      <c r="M2655" s="452">
        <v>-693593</v>
      </c>
      <c r="N2655">
        <v>0</v>
      </c>
      <c r="O2655">
        <v>0</v>
      </c>
      <c r="P2655">
        <v>53.78</v>
      </c>
    </row>
    <row r="2656" spans="1:16" x14ac:dyDescent="0.3">
      <c r="A2656">
        <v>53606</v>
      </c>
      <c r="B2656">
        <v>105</v>
      </c>
      <c r="C2656" t="s">
        <v>557</v>
      </c>
      <c r="D2656" s="452">
        <v>45931</v>
      </c>
      <c r="E2656">
        <v>18327</v>
      </c>
      <c r="F2656" t="s">
        <v>5035</v>
      </c>
      <c r="G2656">
        <v>3306</v>
      </c>
      <c r="H2656">
        <v>0.46</v>
      </c>
      <c r="I2656" t="s">
        <v>4805</v>
      </c>
      <c r="J2656" t="s">
        <v>5222</v>
      </c>
      <c r="K2656" t="s">
        <v>3999</v>
      </c>
      <c r="L2656">
        <v>0</v>
      </c>
      <c r="M2656" s="452">
        <v>45870</v>
      </c>
      <c r="N2656">
        <v>116.9</v>
      </c>
      <c r="O2656">
        <v>107.99</v>
      </c>
      <c r="P2656">
        <v>53.77</v>
      </c>
    </row>
    <row r="2657" spans="1:16" x14ac:dyDescent="0.3">
      <c r="A2657">
        <v>53365</v>
      </c>
      <c r="B2657">
        <v>105</v>
      </c>
      <c r="C2657" t="s">
        <v>557</v>
      </c>
      <c r="D2657" s="452">
        <v>45931</v>
      </c>
      <c r="E2657">
        <v>23635</v>
      </c>
      <c r="F2657" t="s">
        <v>4837</v>
      </c>
      <c r="G2657">
        <v>2247</v>
      </c>
      <c r="H2657">
        <v>6</v>
      </c>
      <c r="I2657" t="s">
        <v>4744</v>
      </c>
      <c r="J2657" t="s">
        <v>5191</v>
      </c>
      <c r="K2657" t="s">
        <v>3999</v>
      </c>
      <c r="L2657">
        <v>0</v>
      </c>
      <c r="M2657" s="452">
        <v>45845</v>
      </c>
      <c r="N2657">
        <v>8.7100000000000009</v>
      </c>
      <c r="O2657">
        <v>7.8</v>
      </c>
      <c r="P2657">
        <v>52.26</v>
      </c>
    </row>
    <row r="2658" spans="1:16" x14ac:dyDescent="0.3">
      <c r="A2658">
        <v>53446</v>
      </c>
      <c r="B2658">
        <v>105</v>
      </c>
      <c r="C2658" t="s">
        <v>557</v>
      </c>
      <c r="D2658" s="452">
        <v>45931</v>
      </c>
      <c r="E2658">
        <v>19978</v>
      </c>
      <c r="F2658" t="s">
        <v>4887</v>
      </c>
      <c r="G2658">
        <v>2353</v>
      </c>
      <c r="H2658">
        <v>3</v>
      </c>
      <c r="I2658" t="s">
        <v>4888</v>
      </c>
      <c r="J2658" t="s">
        <v>5191</v>
      </c>
      <c r="K2658" t="s">
        <v>3999</v>
      </c>
      <c r="L2658">
        <v>17.3</v>
      </c>
      <c r="M2658" s="452">
        <v>45911</v>
      </c>
      <c r="N2658">
        <v>17.3</v>
      </c>
      <c r="O2658">
        <v>17.489999999999998</v>
      </c>
      <c r="P2658">
        <v>51.9</v>
      </c>
    </row>
    <row r="2659" spans="1:16" x14ac:dyDescent="0.3">
      <c r="A2659">
        <v>53511</v>
      </c>
      <c r="B2659">
        <v>105</v>
      </c>
      <c r="C2659" t="s">
        <v>557</v>
      </c>
      <c r="D2659" s="452">
        <v>45931</v>
      </c>
      <c r="E2659">
        <v>20887</v>
      </c>
      <c r="F2659" t="s">
        <v>4953</v>
      </c>
      <c r="G2659">
        <v>2040</v>
      </c>
      <c r="H2659">
        <v>1.5</v>
      </c>
      <c r="I2659" t="s">
        <v>4879</v>
      </c>
      <c r="J2659" t="s">
        <v>5191</v>
      </c>
      <c r="K2659" t="s">
        <v>3999</v>
      </c>
      <c r="L2659">
        <v>34</v>
      </c>
      <c r="M2659" s="452">
        <v>45901</v>
      </c>
      <c r="N2659">
        <v>34</v>
      </c>
      <c r="O2659">
        <v>35</v>
      </c>
      <c r="P2659">
        <v>51</v>
      </c>
    </row>
    <row r="2660" spans="1:16" x14ac:dyDescent="0.3">
      <c r="A2660">
        <v>53362</v>
      </c>
      <c r="B2660">
        <v>105</v>
      </c>
      <c r="C2660" t="s">
        <v>557</v>
      </c>
      <c r="D2660" s="452">
        <v>45931</v>
      </c>
      <c r="E2660">
        <v>19634</v>
      </c>
      <c r="F2660" t="s">
        <v>4792</v>
      </c>
      <c r="G2660">
        <v>2602</v>
      </c>
      <c r="H2660">
        <v>6.38</v>
      </c>
      <c r="I2660" t="s">
        <v>4744</v>
      </c>
      <c r="J2660" t="s">
        <v>5191</v>
      </c>
      <c r="K2660" t="s">
        <v>3999</v>
      </c>
      <c r="L2660">
        <v>7.99</v>
      </c>
      <c r="M2660" s="452">
        <v>45930</v>
      </c>
      <c r="N2660">
        <v>6.6</v>
      </c>
      <c r="O2660">
        <v>6.39</v>
      </c>
      <c r="P2660">
        <v>50.98</v>
      </c>
    </row>
    <row r="2661" spans="1:16" x14ac:dyDescent="0.3">
      <c r="A2661">
        <v>53405</v>
      </c>
      <c r="B2661">
        <v>105</v>
      </c>
      <c r="C2661" t="s">
        <v>557</v>
      </c>
      <c r="D2661" s="452">
        <v>45931</v>
      </c>
      <c r="E2661">
        <v>19492</v>
      </c>
      <c r="F2661" t="s">
        <v>4937</v>
      </c>
      <c r="G2661">
        <v>2717</v>
      </c>
      <c r="H2661">
        <v>4.4000000000000004</v>
      </c>
      <c r="I2661" t="s">
        <v>4744</v>
      </c>
      <c r="J2661" t="s">
        <v>5191</v>
      </c>
      <c r="K2661" t="s">
        <v>3999</v>
      </c>
      <c r="L2661">
        <v>11.48</v>
      </c>
      <c r="M2661" s="452">
        <v>45923</v>
      </c>
      <c r="N2661">
        <v>12</v>
      </c>
      <c r="O2661">
        <v>11</v>
      </c>
      <c r="P2661">
        <v>50.51</v>
      </c>
    </row>
    <row r="2662" spans="1:16" x14ac:dyDescent="0.3">
      <c r="A2662">
        <v>53642</v>
      </c>
      <c r="B2662">
        <v>105</v>
      </c>
      <c r="C2662" t="s">
        <v>557</v>
      </c>
      <c r="D2662" s="452">
        <v>45931</v>
      </c>
      <c r="E2662">
        <v>24414</v>
      </c>
      <c r="F2662" t="s">
        <v>4746</v>
      </c>
      <c r="G2662">
        <v>3670</v>
      </c>
      <c r="H2662">
        <v>23</v>
      </c>
      <c r="I2662" t="s">
        <v>4736</v>
      </c>
      <c r="J2662" t="s">
        <v>5222</v>
      </c>
      <c r="K2662" t="s">
        <v>3999</v>
      </c>
      <c r="L2662">
        <v>0</v>
      </c>
      <c r="M2662" s="452">
        <v>45623</v>
      </c>
      <c r="N2662">
        <v>2.19</v>
      </c>
      <c r="O2662">
        <v>2.19</v>
      </c>
      <c r="P2662">
        <v>50.37</v>
      </c>
    </row>
    <row r="2663" spans="1:16" x14ac:dyDescent="0.3">
      <c r="A2663">
        <v>53533</v>
      </c>
      <c r="B2663">
        <v>105</v>
      </c>
      <c r="C2663" t="s">
        <v>557</v>
      </c>
      <c r="D2663" s="452">
        <v>45931</v>
      </c>
      <c r="E2663">
        <v>20117</v>
      </c>
      <c r="F2663" t="s">
        <v>5444</v>
      </c>
      <c r="G2663">
        <v>2291</v>
      </c>
      <c r="H2663">
        <v>1</v>
      </c>
      <c r="I2663" t="s">
        <v>4736</v>
      </c>
      <c r="J2663" t="s">
        <v>5191</v>
      </c>
      <c r="K2663" t="s">
        <v>3999</v>
      </c>
      <c r="L2663">
        <v>0</v>
      </c>
      <c r="M2663" s="452">
        <v>-693593</v>
      </c>
      <c r="N2663">
        <v>0</v>
      </c>
      <c r="O2663">
        <v>37.9</v>
      </c>
      <c r="P2663">
        <v>49.9</v>
      </c>
    </row>
    <row r="2664" spans="1:16" x14ac:dyDescent="0.3">
      <c r="A2664">
        <v>53493</v>
      </c>
      <c r="B2664">
        <v>105</v>
      </c>
      <c r="C2664" t="s">
        <v>557</v>
      </c>
      <c r="D2664" s="452">
        <v>45931</v>
      </c>
      <c r="E2664">
        <v>19562</v>
      </c>
      <c r="F2664" t="s">
        <v>4939</v>
      </c>
      <c r="G2664">
        <v>2655</v>
      </c>
      <c r="H2664">
        <v>2</v>
      </c>
      <c r="I2664" t="s">
        <v>4744</v>
      </c>
      <c r="J2664" t="s">
        <v>5191</v>
      </c>
      <c r="K2664" t="s">
        <v>3999</v>
      </c>
      <c r="L2664">
        <v>24.68</v>
      </c>
      <c r="M2664" s="452">
        <v>45930</v>
      </c>
      <c r="N2664">
        <v>16</v>
      </c>
      <c r="O2664">
        <v>16</v>
      </c>
      <c r="P2664">
        <v>49.36</v>
      </c>
    </row>
    <row r="2665" spans="1:16" x14ac:dyDescent="0.3">
      <c r="A2665">
        <v>53342</v>
      </c>
      <c r="B2665">
        <v>105</v>
      </c>
      <c r="C2665" t="s">
        <v>557</v>
      </c>
      <c r="D2665" s="452">
        <v>45931</v>
      </c>
      <c r="E2665">
        <v>19752</v>
      </c>
      <c r="F2665" t="s">
        <v>4807</v>
      </c>
      <c r="G2665">
        <v>2501</v>
      </c>
      <c r="H2665">
        <v>8.4</v>
      </c>
      <c r="I2665" t="s">
        <v>4744</v>
      </c>
      <c r="J2665" t="s">
        <v>5191</v>
      </c>
      <c r="K2665" t="s">
        <v>3999</v>
      </c>
      <c r="L2665">
        <v>5.83</v>
      </c>
      <c r="M2665" s="452">
        <v>45930</v>
      </c>
      <c r="N2665">
        <v>6.5</v>
      </c>
      <c r="O2665">
        <v>4.2300000000000004</v>
      </c>
      <c r="P2665">
        <v>48.97</v>
      </c>
    </row>
    <row r="2666" spans="1:16" x14ac:dyDescent="0.3">
      <c r="A2666">
        <v>53383</v>
      </c>
      <c r="B2666">
        <v>105</v>
      </c>
      <c r="C2666" t="s">
        <v>557</v>
      </c>
      <c r="D2666" s="452">
        <v>45931</v>
      </c>
      <c r="E2666">
        <v>19507</v>
      </c>
      <c r="F2666" t="s">
        <v>4853</v>
      </c>
      <c r="G2666">
        <v>2704</v>
      </c>
      <c r="H2666">
        <v>5.0999999999999996</v>
      </c>
      <c r="I2666" t="s">
        <v>4744</v>
      </c>
      <c r="J2666" t="s">
        <v>5191</v>
      </c>
      <c r="K2666" t="s">
        <v>3999</v>
      </c>
      <c r="L2666">
        <v>9.57</v>
      </c>
      <c r="M2666" s="452">
        <v>45929</v>
      </c>
      <c r="N2666">
        <v>10.94</v>
      </c>
      <c r="O2666">
        <v>8.73</v>
      </c>
      <c r="P2666">
        <v>48.81</v>
      </c>
    </row>
    <row r="2667" spans="1:16" x14ac:dyDescent="0.3">
      <c r="A2667">
        <v>53568</v>
      </c>
      <c r="B2667">
        <v>105</v>
      </c>
      <c r="C2667" t="s">
        <v>557</v>
      </c>
      <c r="D2667" s="452">
        <v>45931</v>
      </c>
      <c r="E2667">
        <v>18073</v>
      </c>
      <c r="F2667" t="s">
        <v>4974</v>
      </c>
      <c r="G2667">
        <v>3536</v>
      </c>
      <c r="H2667">
        <v>1</v>
      </c>
      <c r="I2667" t="s">
        <v>4805</v>
      </c>
      <c r="J2667" t="s">
        <v>5222</v>
      </c>
      <c r="K2667" t="s">
        <v>3999</v>
      </c>
      <c r="L2667">
        <v>48.5</v>
      </c>
      <c r="M2667" s="452">
        <v>45924</v>
      </c>
      <c r="N2667">
        <v>48.5</v>
      </c>
      <c r="O2667">
        <v>48.5</v>
      </c>
      <c r="P2667">
        <v>48.5</v>
      </c>
    </row>
    <row r="2668" spans="1:16" x14ac:dyDescent="0.3">
      <c r="A2668">
        <v>53356</v>
      </c>
      <c r="B2668">
        <v>105</v>
      </c>
      <c r="C2668" t="s">
        <v>557</v>
      </c>
      <c r="D2668" s="452">
        <v>45931</v>
      </c>
      <c r="E2668">
        <v>25752</v>
      </c>
      <c r="F2668" t="s">
        <v>5000</v>
      </c>
      <c r="G2668">
        <v>6303</v>
      </c>
      <c r="H2668">
        <v>7</v>
      </c>
      <c r="I2668" t="s">
        <v>4749</v>
      </c>
      <c r="J2668" t="s">
        <v>5191</v>
      </c>
      <c r="K2668" t="s">
        <v>3999</v>
      </c>
      <c r="L2668">
        <v>0</v>
      </c>
      <c r="M2668" s="452">
        <v>45742</v>
      </c>
      <c r="N2668">
        <v>6.87</v>
      </c>
      <c r="O2668">
        <v>6.87</v>
      </c>
      <c r="P2668">
        <v>48.09</v>
      </c>
    </row>
    <row r="2669" spans="1:16" x14ac:dyDescent="0.3">
      <c r="A2669">
        <v>53482</v>
      </c>
      <c r="B2669">
        <v>105</v>
      </c>
      <c r="C2669" t="s">
        <v>557</v>
      </c>
      <c r="D2669" s="452">
        <v>45931</v>
      </c>
      <c r="E2669">
        <v>20219</v>
      </c>
      <c r="F2669" t="s">
        <v>5445</v>
      </c>
      <c r="G2669">
        <v>2250</v>
      </c>
      <c r="H2669">
        <v>2</v>
      </c>
      <c r="I2669" t="s">
        <v>4738</v>
      </c>
      <c r="J2669" t="s">
        <v>5191</v>
      </c>
      <c r="K2669" t="s">
        <v>3999</v>
      </c>
      <c r="L2669">
        <v>0</v>
      </c>
      <c r="M2669" s="452">
        <v>45856</v>
      </c>
      <c r="N2669">
        <v>23.9</v>
      </c>
      <c r="O2669">
        <v>24.2</v>
      </c>
      <c r="P2669">
        <v>47.8</v>
      </c>
    </row>
    <row r="2670" spans="1:16" x14ac:dyDescent="0.3">
      <c r="A2670">
        <v>53567</v>
      </c>
      <c r="B2670">
        <v>105</v>
      </c>
      <c r="C2670" t="s">
        <v>557</v>
      </c>
      <c r="D2670" s="452">
        <v>45931</v>
      </c>
      <c r="E2670">
        <v>18085</v>
      </c>
      <c r="F2670" t="s">
        <v>4973</v>
      </c>
      <c r="G2670">
        <v>3524</v>
      </c>
      <c r="H2670">
        <v>1</v>
      </c>
      <c r="I2670" t="s">
        <v>4805</v>
      </c>
      <c r="J2670" t="s">
        <v>5222</v>
      </c>
      <c r="K2670" t="s">
        <v>3999</v>
      </c>
      <c r="L2670">
        <v>0</v>
      </c>
      <c r="M2670" s="452">
        <v>45875</v>
      </c>
      <c r="N2670">
        <v>47.6</v>
      </c>
      <c r="O2670">
        <v>47.6</v>
      </c>
      <c r="P2670">
        <v>47.6</v>
      </c>
    </row>
    <row r="2671" spans="1:16" x14ac:dyDescent="0.3">
      <c r="A2671">
        <v>53569</v>
      </c>
      <c r="B2671">
        <v>105</v>
      </c>
      <c r="C2671" t="s">
        <v>557</v>
      </c>
      <c r="D2671" s="452">
        <v>45931</v>
      </c>
      <c r="E2671">
        <v>26210</v>
      </c>
      <c r="F2671" t="s">
        <v>4975</v>
      </c>
      <c r="G2671">
        <v>6624</v>
      </c>
      <c r="H2671">
        <v>1</v>
      </c>
      <c r="I2671" t="s">
        <v>4805</v>
      </c>
      <c r="J2671" t="s">
        <v>5222</v>
      </c>
      <c r="K2671" t="s">
        <v>3999</v>
      </c>
      <c r="L2671">
        <v>0</v>
      </c>
      <c r="M2671" s="452">
        <v>45875</v>
      </c>
      <c r="N2671">
        <v>47.6</v>
      </c>
      <c r="O2671">
        <v>47.6</v>
      </c>
      <c r="P2671">
        <v>47.6</v>
      </c>
    </row>
    <row r="2672" spans="1:16" x14ac:dyDescent="0.3">
      <c r="A2672">
        <v>53549</v>
      </c>
      <c r="B2672">
        <v>105</v>
      </c>
      <c r="C2672" t="s">
        <v>557</v>
      </c>
      <c r="D2672" s="452">
        <v>45931</v>
      </c>
      <c r="E2672">
        <v>18462</v>
      </c>
      <c r="F2672" t="s">
        <v>5031</v>
      </c>
      <c r="G2672">
        <v>3193</v>
      </c>
      <c r="H2672">
        <v>1</v>
      </c>
      <c r="I2672" t="s">
        <v>4805</v>
      </c>
      <c r="J2672" t="s">
        <v>5222</v>
      </c>
      <c r="K2672" t="s">
        <v>3999</v>
      </c>
      <c r="L2672">
        <v>47.24</v>
      </c>
      <c r="M2672" s="452">
        <v>45902</v>
      </c>
      <c r="N2672">
        <v>47.24</v>
      </c>
      <c r="O2672">
        <v>47.24</v>
      </c>
      <c r="P2672">
        <v>47.24</v>
      </c>
    </row>
    <row r="2673" spans="1:16" x14ac:dyDescent="0.3">
      <c r="A2673">
        <v>53436</v>
      </c>
      <c r="B2673">
        <v>105</v>
      </c>
      <c r="C2673" t="s">
        <v>557</v>
      </c>
      <c r="D2673" s="452">
        <v>45931</v>
      </c>
      <c r="E2673">
        <v>21062</v>
      </c>
      <c r="F2673" t="s">
        <v>5442</v>
      </c>
      <c r="G2673">
        <v>1997</v>
      </c>
      <c r="H2673">
        <v>3</v>
      </c>
      <c r="I2673" t="s">
        <v>4805</v>
      </c>
      <c r="J2673" t="s">
        <v>5191</v>
      </c>
      <c r="K2673" t="s">
        <v>3999</v>
      </c>
      <c r="L2673">
        <v>0</v>
      </c>
      <c r="M2673" s="452">
        <v>45887</v>
      </c>
      <c r="N2673">
        <v>15.6</v>
      </c>
      <c r="O2673">
        <v>15.58</v>
      </c>
      <c r="P2673">
        <v>46.8</v>
      </c>
    </row>
    <row r="2674" spans="1:16" x14ac:dyDescent="0.3">
      <c r="A2674">
        <v>53547</v>
      </c>
      <c r="B2674">
        <v>105</v>
      </c>
      <c r="C2674" t="s">
        <v>557</v>
      </c>
      <c r="D2674" s="452">
        <v>45931</v>
      </c>
      <c r="E2674">
        <v>18545</v>
      </c>
      <c r="F2674" t="s">
        <v>4864</v>
      </c>
      <c r="G2674">
        <v>3134</v>
      </c>
      <c r="H2674">
        <v>1</v>
      </c>
      <c r="I2674" t="s">
        <v>4805</v>
      </c>
      <c r="J2674" t="s">
        <v>5222</v>
      </c>
      <c r="K2674" t="s">
        <v>3999</v>
      </c>
      <c r="L2674">
        <v>45.05</v>
      </c>
      <c r="M2674" s="452">
        <v>45915</v>
      </c>
      <c r="N2674">
        <v>44.5</v>
      </c>
      <c r="O2674">
        <v>44.5</v>
      </c>
      <c r="P2674">
        <v>45.05</v>
      </c>
    </row>
    <row r="2675" spans="1:16" x14ac:dyDescent="0.3">
      <c r="A2675">
        <v>53408</v>
      </c>
      <c r="B2675">
        <v>105</v>
      </c>
      <c r="C2675" t="s">
        <v>557</v>
      </c>
      <c r="D2675" s="452">
        <v>45931</v>
      </c>
      <c r="E2675">
        <v>19551</v>
      </c>
      <c r="F2675" t="s">
        <v>4905</v>
      </c>
      <c r="G2675">
        <v>2665</v>
      </c>
      <c r="H2675">
        <v>4.2</v>
      </c>
      <c r="I2675" t="s">
        <v>4744</v>
      </c>
      <c r="J2675" t="s">
        <v>5191</v>
      </c>
      <c r="K2675" t="s">
        <v>3999</v>
      </c>
      <c r="L2675">
        <v>10.69</v>
      </c>
      <c r="M2675" s="452">
        <v>45930</v>
      </c>
      <c r="N2675">
        <v>6.79</v>
      </c>
      <c r="O2675">
        <v>6.79</v>
      </c>
      <c r="P2675">
        <v>44.9</v>
      </c>
    </row>
    <row r="2676" spans="1:16" x14ac:dyDescent="0.3">
      <c r="A2676">
        <v>53495</v>
      </c>
      <c r="B2676">
        <v>105</v>
      </c>
      <c r="C2676" t="s">
        <v>557</v>
      </c>
      <c r="D2676" s="452">
        <v>45931</v>
      </c>
      <c r="E2676">
        <v>19710</v>
      </c>
      <c r="F2676" t="s">
        <v>4963</v>
      </c>
      <c r="G2676">
        <v>2540</v>
      </c>
      <c r="H2676">
        <v>2</v>
      </c>
      <c r="I2676" t="s">
        <v>4738</v>
      </c>
      <c r="J2676" t="s">
        <v>5191</v>
      </c>
      <c r="K2676" t="s">
        <v>3999</v>
      </c>
      <c r="L2676">
        <v>22.1</v>
      </c>
      <c r="M2676" s="452">
        <v>45926</v>
      </c>
      <c r="N2676">
        <v>22.3</v>
      </c>
      <c r="O2676">
        <v>22.3</v>
      </c>
      <c r="P2676">
        <v>44.2</v>
      </c>
    </row>
    <row r="2677" spans="1:16" x14ac:dyDescent="0.3">
      <c r="A2677">
        <v>53496</v>
      </c>
      <c r="B2677">
        <v>105</v>
      </c>
      <c r="C2677" t="s">
        <v>557</v>
      </c>
      <c r="D2677" s="452">
        <v>45931</v>
      </c>
      <c r="E2677">
        <v>19434</v>
      </c>
      <c r="F2677" t="s">
        <v>5078</v>
      </c>
      <c r="G2677">
        <v>2757</v>
      </c>
      <c r="H2677">
        <v>2</v>
      </c>
      <c r="I2677" t="s">
        <v>4738</v>
      </c>
      <c r="J2677" t="s">
        <v>5191</v>
      </c>
      <c r="K2677" t="s">
        <v>3999</v>
      </c>
      <c r="L2677">
        <v>22.05</v>
      </c>
      <c r="M2677" s="452">
        <v>45929</v>
      </c>
      <c r="N2677">
        <v>21.9</v>
      </c>
      <c r="O2677">
        <v>21.9</v>
      </c>
      <c r="P2677">
        <v>44.1</v>
      </c>
    </row>
    <row r="2678" spans="1:16" x14ac:dyDescent="0.3">
      <c r="A2678">
        <v>53443</v>
      </c>
      <c r="B2678">
        <v>105</v>
      </c>
      <c r="C2678" t="s">
        <v>557</v>
      </c>
      <c r="D2678" s="452">
        <v>45931</v>
      </c>
      <c r="E2678">
        <v>20358</v>
      </c>
      <c r="F2678" t="s">
        <v>4911</v>
      </c>
      <c r="G2678">
        <v>2200</v>
      </c>
      <c r="H2678">
        <v>3</v>
      </c>
      <c r="I2678" t="s">
        <v>4738</v>
      </c>
      <c r="J2678" t="s">
        <v>5191</v>
      </c>
      <c r="K2678" t="s">
        <v>3999</v>
      </c>
      <c r="L2678">
        <v>14.3</v>
      </c>
      <c r="M2678" s="452">
        <v>45926</v>
      </c>
      <c r="N2678">
        <v>14.3</v>
      </c>
      <c r="O2678">
        <v>14.1</v>
      </c>
      <c r="P2678">
        <v>42.9</v>
      </c>
    </row>
    <row r="2679" spans="1:16" x14ac:dyDescent="0.3">
      <c r="A2679">
        <v>53490</v>
      </c>
      <c r="B2679">
        <v>105</v>
      </c>
      <c r="C2679" t="s">
        <v>557</v>
      </c>
      <c r="D2679" s="452">
        <v>45931</v>
      </c>
      <c r="E2679">
        <v>24522</v>
      </c>
      <c r="F2679" t="s">
        <v>5072</v>
      </c>
      <c r="G2679">
        <v>5651</v>
      </c>
      <c r="H2679">
        <v>2</v>
      </c>
      <c r="I2679" t="s">
        <v>4744</v>
      </c>
      <c r="J2679" t="s">
        <v>5191</v>
      </c>
      <c r="K2679" t="s">
        <v>3999</v>
      </c>
      <c r="L2679">
        <v>21.06</v>
      </c>
      <c r="M2679" s="452">
        <v>45922</v>
      </c>
      <c r="N2679">
        <v>21</v>
      </c>
      <c r="O2679">
        <v>21</v>
      </c>
      <c r="P2679">
        <v>42.12</v>
      </c>
    </row>
    <row r="2680" spans="1:16" x14ac:dyDescent="0.3">
      <c r="A2680">
        <v>53479</v>
      </c>
      <c r="B2680">
        <v>105</v>
      </c>
      <c r="C2680" t="s">
        <v>557</v>
      </c>
      <c r="D2680" s="452">
        <v>45931</v>
      </c>
      <c r="E2680">
        <v>20360</v>
      </c>
      <c r="F2680" t="s">
        <v>5464</v>
      </c>
      <c r="G2680">
        <v>2199</v>
      </c>
      <c r="H2680">
        <v>2</v>
      </c>
      <c r="I2680" t="s">
        <v>4738</v>
      </c>
      <c r="J2680" t="s">
        <v>5191</v>
      </c>
      <c r="K2680" t="s">
        <v>3999</v>
      </c>
      <c r="L2680">
        <v>21</v>
      </c>
      <c r="M2680" s="452">
        <v>45911</v>
      </c>
      <c r="N2680">
        <v>21</v>
      </c>
      <c r="O2680">
        <v>21.2</v>
      </c>
      <c r="P2680">
        <v>42</v>
      </c>
    </row>
    <row r="2681" spans="1:16" x14ac:dyDescent="0.3">
      <c r="A2681">
        <v>53481</v>
      </c>
      <c r="B2681">
        <v>105</v>
      </c>
      <c r="C2681" t="s">
        <v>557</v>
      </c>
      <c r="D2681" s="452">
        <v>45931</v>
      </c>
      <c r="E2681">
        <v>20234</v>
      </c>
      <c r="F2681" t="s">
        <v>5009</v>
      </c>
      <c r="G2681">
        <v>2245</v>
      </c>
      <c r="H2681">
        <v>2</v>
      </c>
      <c r="I2681" t="s">
        <v>4744</v>
      </c>
      <c r="J2681" t="s">
        <v>5191</v>
      </c>
      <c r="K2681" t="s">
        <v>3999</v>
      </c>
      <c r="L2681">
        <v>0</v>
      </c>
      <c r="M2681" s="452">
        <v>45887</v>
      </c>
      <c r="N2681">
        <v>20.9</v>
      </c>
      <c r="O2681">
        <v>18</v>
      </c>
      <c r="P2681">
        <v>41.8</v>
      </c>
    </row>
    <row r="2682" spans="1:16" x14ac:dyDescent="0.3">
      <c r="A2682">
        <v>53589</v>
      </c>
      <c r="B2682">
        <v>105</v>
      </c>
      <c r="C2682" t="s">
        <v>557</v>
      </c>
      <c r="D2682" s="452">
        <v>45931</v>
      </c>
      <c r="E2682">
        <v>19476</v>
      </c>
      <c r="F2682" t="s">
        <v>5115</v>
      </c>
      <c r="G2682">
        <v>2729</v>
      </c>
      <c r="H2682">
        <v>0.5</v>
      </c>
      <c r="I2682" t="s">
        <v>4744</v>
      </c>
      <c r="J2682" t="s">
        <v>5191</v>
      </c>
      <c r="K2682" t="s">
        <v>3999</v>
      </c>
      <c r="L2682">
        <v>80.56</v>
      </c>
      <c r="M2682" s="452">
        <v>45929</v>
      </c>
      <c r="N2682">
        <v>80</v>
      </c>
      <c r="O2682">
        <v>74.97</v>
      </c>
      <c r="P2682">
        <v>40.28</v>
      </c>
    </row>
    <row r="2683" spans="1:16" x14ac:dyDescent="0.3">
      <c r="A2683">
        <v>53550</v>
      </c>
      <c r="B2683">
        <v>105</v>
      </c>
      <c r="C2683" t="s">
        <v>557</v>
      </c>
      <c r="D2683" s="452">
        <v>45931</v>
      </c>
      <c r="E2683">
        <v>18423</v>
      </c>
      <c r="F2683" t="s">
        <v>4987</v>
      </c>
      <c r="G2683">
        <v>3220</v>
      </c>
      <c r="H2683">
        <v>1</v>
      </c>
      <c r="I2683" t="s">
        <v>4805</v>
      </c>
      <c r="J2683" t="s">
        <v>5222</v>
      </c>
      <c r="K2683" t="s">
        <v>3999</v>
      </c>
      <c r="L2683">
        <v>40</v>
      </c>
      <c r="M2683" s="452">
        <v>45902</v>
      </c>
      <c r="N2683">
        <v>40</v>
      </c>
      <c r="O2683">
        <v>40</v>
      </c>
      <c r="P2683">
        <v>40</v>
      </c>
    </row>
    <row r="2684" spans="1:16" x14ac:dyDescent="0.3">
      <c r="A2684">
        <v>53476</v>
      </c>
      <c r="B2684">
        <v>105</v>
      </c>
      <c r="C2684" t="s">
        <v>557</v>
      </c>
      <c r="D2684" s="452">
        <v>45931</v>
      </c>
      <c r="E2684">
        <v>25055</v>
      </c>
      <c r="F2684" t="s">
        <v>5003</v>
      </c>
      <c r="G2684">
        <v>2184</v>
      </c>
      <c r="H2684">
        <v>2</v>
      </c>
      <c r="I2684" t="s">
        <v>4744</v>
      </c>
      <c r="J2684" t="s">
        <v>5191</v>
      </c>
      <c r="K2684" t="s">
        <v>3999</v>
      </c>
      <c r="L2684">
        <v>0</v>
      </c>
      <c r="M2684" s="452">
        <v>45887</v>
      </c>
      <c r="N2684">
        <v>19.8</v>
      </c>
      <c r="O2684">
        <v>19.8</v>
      </c>
      <c r="P2684">
        <v>39.6</v>
      </c>
    </row>
    <row r="2685" spans="1:16" x14ac:dyDescent="0.3">
      <c r="A2685">
        <v>53298</v>
      </c>
      <c r="B2685">
        <v>105</v>
      </c>
      <c r="C2685" t="s">
        <v>557</v>
      </c>
      <c r="D2685" s="452">
        <v>45931</v>
      </c>
      <c r="E2685">
        <v>24029</v>
      </c>
      <c r="F2685" t="s">
        <v>4756</v>
      </c>
      <c r="G2685">
        <v>3591</v>
      </c>
      <c r="H2685">
        <v>18</v>
      </c>
      <c r="I2685" t="s">
        <v>4736</v>
      </c>
      <c r="J2685" t="s">
        <v>5222</v>
      </c>
      <c r="K2685" t="s">
        <v>3999</v>
      </c>
      <c r="L2685">
        <v>0</v>
      </c>
      <c r="M2685" s="452">
        <v>45546</v>
      </c>
      <c r="N2685">
        <v>2.19</v>
      </c>
      <c r="O2685">
        <v>2.19</v>
      </c>
      <c r="P2685">
        <v>39.42</v>
      </c>
    </row>
    <row r="2686" spans="1:16" x14ac:dyDescent="0.3">
      <c r="A2686">
        <v>53447</v>
      </c>
      <c r="B2686">
        <v>105</v>
      </c>
      <c r="C2686" t="s">
        <v>557</v>
      </c>
      <c r="D2686" s="452">
        <v>45931</v>
      </c>
      <c r="E2686">
        <v>26242</v>
      </c>
      <c r="F2686" t="s">
        <v>4957</v>
      </c>
      <c r="G2686">
        <v>6641</v>
      </c>
      <c r="H2686">
        <v>3</v>
      </c>
      <c r="I2686" t="s">
        <v>4736</v>
      </c>
      <c r="J2686" t="s">
        <v>5191</v>
      </c>
      <c r="K2686" t="s">
        <v>3999</v>
      </c>
      <c r="L2686">
        <v>0</v>
      </c>
      <c r="M2686" s="452">
        <v>-693593</v>
      </c>
      <c r="N2686">
        <v>0</v>
      </c>
      <c r="O2686">
        <v>0</v>
      </c>
      <c r="P2686">
        <v>38.97</v>
      </c>
    </row>
    <row r="2687" spans="1:16" x14ac:dyDescent="0.3">
      <c r="A2687">
        <v>53653</v>
      </c>
      <c r="B2687">
        <v>105</v>
      </c>
      <c r="C2687" t="s">
        <v>557</v>
      </c>
      <c r="D2687" s="452">
        <v>45931</v>
      </c>
      <c r="E2687">
        <v>19130</v>
      </c>
      <c r="F2687" t="s">
        <v>4990</v>
      </c>
      <c r="G2687">
        <v>2839</v>
      </c>
      <c r="H2687">
        <v>1.8</v>
      </c>
      <c r="I2687" t="s">
        <v>4744</v>
      </c>
      <c r="J2687" t="s">
        <v>5191</v>
      </c>
      <c r="K2687" t="s">
        <v>3999</v>
      </c>
      <c r="L2687">
        <v>0</v>
      </c>
      <c r="M2687" s="452">
        <v>-693593</v>
      </c>
      <c r="N2687">
        <v>0</v>
      </c>
      <c r="O2687">
        <v>20.45</v>
      </c>
      <c r="P2687">
        <v>36.82</v>
      </c>
    </row>
    <row r="2688" spans="1:16" x14ac:dyDescent="0.3">
      <c r="A2688">
        <v>53328</v>
      </c>
      <c r="B2688">
        <v>105</v>
      </c>
      <c r="C2688" t="s">
        <v>557</v>
      </c>
      <c r="D2688" s="452">
        <v>45931</v>
      </c>
      <c r="E2688">
        <v>19907</v>
      </c>
      <c r="F2688" t="s">
        <v>4802</v>
      </c>
      <c r="G2688">
        <v>2381</v>
      </c>
      <c r="H2688">
        <v>12</v>
      </c>
      <c r="I2688" t="s">
        <v>4736</v>
      </c>
      <c r="J2688" t="s">
        <v>5191</v>
      </c>
      <c r="K2688" t="s">
        <v>3999</v>
      </c>
      <c r="L2688">
        <v>0</v>
      </c>
      <c r="M2688" s="452">
        <v>45660</v>
      </c>
      <c r="N2688">
        <v>3.05</v>
      </c>
      <c r="O2688">
        <v>3.23</v>
      </c>
      <c r="P2688">
        <v>36.6</v>
      </c>
    </row>
    <row r="2689" spans="1:16" x14ac:dyDescent="0.3">
      <c r="A2689">
        <v>53558</v>
      </c>
      <c r="B2689">
        <v>105</v>
      </c>
      <c r="C2689" t="s">
        <v>557</v>
      </c>
      <c r="D2689" s="452">
        <v>45931</v>
      </c>
      <c r="E2689">
        <v>18218</v>
      </c>
      <c r="F2689" t="s">
        <v>5038</v>
      </c>
      <c r="G2689">
        <v>3410</v>
      </c>
      <c r="H2689">
        <v>1</v>
      </c>
      <c r="I2689" t="s">
        <v>4805</v>
      </c>
      <c r="J2689" t="s">
        <v>5222</v>
      </c>
      <c r="K2689" t="s">
        <v>3999</v>
      </c>
      <c r="L2689">
        <v>0</v>
      </c>
      <c r="M2689" s="452">
        <v>45581</v>
      </c>
      <c r="N2689">
        <v>36.5</v>
      </c>
      <c r="O2689">
        <v>28.8</v>
      </c>
      <c r="P2689">
        <v>36.5</v>
      </c>
    </row>
    <row r="2690" spans="1:16" x14ac:dyDescent="0.3">
      <c r="A2690">
        <v>53403</v>
      </c>
      <c r="B2690">
        <v>105</v>
      </c>
      <c r="C2690" t="s">
        <v>557</v>
      </c>
      <c r="D2690" s="452">
        <v>45931</v>
      </c>
      <c r="E2690">
        <v>23390</v>
      </c>
      <c r="F2690" t="s">
        <v>4873</v>
      </c>
      <c r="G2690">
        <v>2474</v>
      </c>
      <c r="H2690">
        <v>4.5</v>
      </c>
      <c r="I2690" t="s">
        <v>4744</v>
      </c>
      <c r="J2690" t="s">
        <v>5191</v>
      </c>
      <c r="K2690" t="s">
        <v>3999</v>
      </c>
      <c r="L2690">
        <v>7.99</v>
      </c>
      <c r="M2690" s="452">
        <v>45930</v>
      </c>
      <c r="N2690">
        <v>7</v>
      </c>
      <c r="O2690">
        <v>7</v>
      </c>
      <c r="P2690">
        <v>35.96</v>
      </c>
    </row>
    <row r="2691" spans="1:16" x14ac:dyDescent="0.3">
      <c r="A2691">
        <v>53522</v>
      </c>
      <c r="B2691">
        <v>105</v>
      </c>
      <c r="C2691" t="s">
        <v>557</v>
      </c>
      <c r="D2691" s="452">
        <v>45931</v>
      </c>
      <c r="E2691">
        <v>21130</v>
      </c>
      <c r="F2691" t="s">
        <v>4998</v>
      </c>
      <c r="G2691">
        <v>1963</v>
      </c>
      <c r="H2691">
        <v>1</v>
      </c>
      <c r="I2691" t="s">
        <v>4736</v>
      </c>
      <c r="J2691" t="s">
        <v>5191</v>
      </c>
      <c r="K2691" t="s">
        <v>3999</v>
      </c>
      <c r="L2691">
        <v>0</v>
      </c>
      <c r="M2691" s="452">
        <v>45811</v>
      </c>
      <c r="N2691">
        <v>35.31</v>
      </c>
      <c r="O2691">
        <v>35.31</v>
      </c>
      <c r="P2691">
        <v>35.31</v>
      </c>
    </row>
    <row r="2692" spans="1:16" x14ac:dyDescent="0.3">
      <c r="A2692">
        <v>53384</v>
      </c>
      <c r="B2692">
        <v>105</v>
      </c>
      <c r="C2692" t="s">
        <v>557</v>
      </c>
      <c r="D2692" s="452">
        <v>45931</v>
      </c>
      <c r="E2692">
        <v>25761</v>
      </c>
      <c r="F2692" t="s">
        <v>4789</v>
      </c>
      <c r="G2692">
        <v>6312</v>
      </c>
      <c r="H2692">
        <v>5</v>
      </c>
      <c r="I2692" t="s">
        <v>4736</v>
      </c>
      <c r="J2692" t="s">
        <v>5191</v>
      </c>
      <c r="K2692" t="s">
        <v>3999</v>
      </c>
      <c r="L2692">
        <v>0</v>
      </c>
      <c r="M2692" s="452">
        <v>-693593</v>
      </c>
      <c r="N2692">
        <v>0</v>
      </c>
      <c r="O2692">
        <v>0</v>
      </c>
      <c r="P2692">
        <v>34.950000000000003</v>
      </c>
    </row>
    <row r="2693" spans="1:16" x14ac:dyDescent="0.3">
      <c r="A2693">
        <v>53510</v>
      </c>
      <c r="B2693">
        <v>105</v>
      </c>
      <c r="C2693" t="s">
        <v>557</v>
      </c>
      <c r="D2693" s="452">
        <v>45931</v>
      </c>
      <c r="E2693">
        <v>24296</v>
      </c>
      <c r="F2693" t="s">
        <v>5441</v>
      </c>
      <c r="G2693">
        <v>2250</v>
      </c>
      <c r="H2693">
        <v>1.6</v>
      </c>
      <c r="I2693" t="s">
        <v>4744</v>
      </c>
      <c r="J2693" t="s">
        <v>5191</v>
      </c>
      <c r="K2693" t="s">
        <v>3999</v>
      </c>
      <c r="L2693">
        <v>0</v>
      </c>
      <c r="M2693" s="452">
        <v>45856</v>
      </c>
      <c r="N2693">
        <v>21.7</v>
      </c>
      <c r="O2693">
        <v>20.9</v>
      </c>
      <c r="P2693">
        <v>34.72</v>
      </c>
    </row>
    <row r="2694" spans="1:16" x14ac:dyDescent="0.3">
      <c r="A2694">
        <v>53302</v>
      </c>
      <c r="B2694">
        <v>105</v>
      </c>
      <c r="C2694" t="s">
        <v>557</v>
      </c>
      <c r="D2694" s="452">
        <v>45931</v>
      </c>
      <c r="E2694">
        <v>24467</v>
      </c>
      <c r="F2694" t="s">
        <v>4766</v>
      </c>
      <c r="G2694">
        <v>3673</v>
      </c>
      <c r="H2694">
        <v>17</v>
      </c>
      <c r="I2694" t="s">
        <v>4736</v>
      </c>
      <c r="J2694" t="s">
        <v>5222</v>
      </c>
      <c r="K2694" t="s">
        <v>3999</v>
      </c>
      <c r="L2694">
        <v>0</v>
      </c>
      <c r="M2694" s="452">
        <v>45520</v>
      </c>
      <c r="N2694">
        <v>1.99</v>
      </c>
      <c r="O2694">
        <v>2.19</v>
      </c>
      <c r="P2694">
        <v>33.83</v>
      </c>
    </row>
    <row r="2695" spans="1:16" x14ac:dyDescent="0.3">
      <c r="A2695">
        <v>53345</v>
      </c>
      <c r="B2695">
        <v>105</v>
      </c>
      <c r="C2695" t="s">
        <v>557</v>
      </c>
      <c r="D2695" s="452">
        <v>45931</v>
      </c>
      <c r="E2695">
        <v>19654</v>
      </c>
      <c r="F2695" t="s">
        <v>5099</v>
      </c>
      <c r="G2695">
        <v>2586</v>
      </c>
      <c r="H2695">
        <v>8</v>
      </c>
      <c r="I2695" t="s">
        <v>4744</v>
      </c>
      <c r="J2695" t="s">
        <v>5191</v>
      </c>
      <c r="K2695" t="s">
        <v>3999</v>
      </c>
      <c r="L2695">
        <v>4.2</v>
      </c>
      <c r="M2695" s="452">
        <v>45930</v>
      </c>
      <c r="N2695">
        <v>3.21</v>
      </c>
      <c r="O2695">
        <v>3.79</v>
      </c>
      <c r="P2695">
        <v>33.6</v>
      </c>
    </row>
    <row r="2696" spans="1:16" x14ac:dyDescent="0.3">
      <c r="A2696">
        <v>53512</v>
      </c>
      <c r="B2696">
        <v>105</v>
      </c>
      <c r="C2696" t="s">
        <v>557</v>
      </c>
      <c r="D2696" s="452">
        <v>45931</v>
      </c>
      <c r="E2696">
        <v>19939</v>
      </c>
      <c r="F2696" t="s">
        <v>5057</v>
      </c>
      <c r="G2696">
        <v>2365</v>
      </c>
      <c r="H2696">
        <v>1.5</v>
      </c>
      <c r="I2696" t="s">
        <v>4744</v>
      </c>
      <c r="J2696" t="s">
        <v>5191</v>
      </c>
      <c r="K2696" t="s">
        <v>3999</v>
      </c>
      <c r="L2696">
        <v>0</v>
      </c>
      <c r="M2696" s="452">
        <v>-693593</v>
      </c>
      <c r="N2696">
        <v>0</v>
      </c>
      <c r="O2696">
        <v>112</v>
      </c>
      <c r="P2696">
        <v>33</v>
      </c>
    </row>
    <row r="2697" spans="1:16" x14ac:dyDescent="0.3">
      <c r="A2697">
        <v>53326</v>
      </c>
      <c r="B2697">
        <v>105</v>
      </c>
      <c r="C2697" t="s">
        <v>557</v>
      </c>
      <c r="D2697" s="452">
        <v>45931</v>
      </c>
      <c r="E2697">
        <v>19635</v>
      </c>
      <c r="F2697" t="s">
        <v>4786</v>
      </c>
      <c r="G2697">
        <v>2601</v>
      </c>
      <c r="H2697">
        <v>12.12</v>
      </c>
      <c r="I2697" t="s">
        <v>4744</v>
      </c>
      <c r="J2697" t="s">
        <v>5191</v>
      </c>
      <c r="K2697" t="s">
        <v>3999</v>
      </c>
      <c r="L2697">
        <v>2.7</v>
      </c>
      <c r="M2697" s="452">
        <v>45925</v>
      </c>
      <c r="N2697">
        <v>3</v>
      </c>
      <c r="O2697">
        <v>2.2999999999999998</v>
      </c>
      <c r="P2697">
        <v>32.72</v>
      </c>
    </row>
    <row r="2698" spans="1:16" x14ac:dyDescent="0.3">
      <c r="A2698">
        <v>53559</v>
      </c>
      <c r="B2698">
        <v>105</v>
      </c>
      <c r="C2698" t="s">
        <v>557</v>
      </c>
      <c r="D2698" s="452">
        <v>45931</v>
      </c>
      <c r="E2698">
        <v>18214</v>
      </c>
      <c r="F2698" t="s">
        <v>5039</v>
      </c>
      <c r="G2698">
        <v>3413</v>
      </c>
      <c r="H2698">
        <v>1</v>
      </c>
      <c r="I2698" t="s">
        <v>4805</v>
      </c>
      <c r="J2698" t="s">
        <v>5222</v>
      </c>
      <c r="K2698" t="s">
        <v>3999</v>
      </c>
      <c r="L2698">
        <v>0</v>
      </c>
      <c r="M2698" s="452">
        <v>45378</v>
      </c>
      <c r="N2698">
        <v>32.200000000000003</v>
      </c>
      <c r="O2698">
        <v>37.47</v>
      </c>
      <c r="P2698">
        <v>32.200000000000003</v>
      </c>
    </row>
    <row r="2699" spans="1:16" x14ac:dyDescent="0.3">
      <c r="A2699">
        <v>53602</v>
      </c>
      <c r="B2699">
        <v>105</v>
      </c>
      <c r="C2699" t="s">
        <v>557</v>
      </c>
      <c r="D2699" s="452">
        <v>45931</v>
      </c>
      <c r="E2699">
        <v>19892</v>
      </c>
      <c r="F2699" t="s">
        <v>5150</v>
      </c>
      <c r="G2699">
        <v>2386</v>
      </c>
      <c r="H2699">
        <v>0.2</v>
      </c>
      <c r="I2699" t="s">
        <v>4744</v>
      </c>
      <c r="J2699" t="s">
        <v>5191</v>
      </c>
      <c r="K2699" t="s">
        <v>3999</v>
      </c>
      <c r="L2699">
        <v>0</v>
      </c>
      <c r="M2699" s="452">
        <v>-693593</v>
      </c>
      <c r="N2699">
        <v>0</v>
      </c>
      <c r="O2699">
        <v>159.80000000000001</v>
      </c>
      <c r="P2699">
        <v>31.96</v>
      </c>
    </row>
    <row r="2700" spans="1:16" x14ac:dyDescent="0.3">
      <c r="A2700">
        <v>53494</v>
      </c>
      <c r="B2700">
        <v>105</v>
      </c>
      <c r="C2700" t="s">
        <v>557</v>
      </c>
      <c r="D2700" s="452">
        <v>45931</v>
      </c>
      <c r="E2700">
        <v>19558</v>
      </c>
      <c r="F2700" t="s">
        <v>4994</v>
      </c>
      <c r="G2700">
        <v>2659</v>
      </c>
      <c r="H2700">
        <v>2</v>
      </c>
      <c r="I2700" t="s">
        <v>4744</v>
      </c>
      <c r="J2700" t="s">
        <v>5191</v>
      </c>
      <c r="K2700" t="s">
        <v>3999</v>
      </c>
      <c r="L2700">
        <v>15.96</v>
      </c>
      <c r="M2700" s="452">
        <v>45930</v>
      </c>
      <c r="N2700">
        <v>11.92</v>
      </c>
      <c r="O2700">
        <v>16.96</v>
      </c>
      <c r="P2700">
        <v>31.92</v>
      </c>
    </row>
    <row r="2701" spans="1:16" x14ac:dyDescent="0.3">
      <c r="A2701">
        <v>53317</v>
      </c>
      <c r="B2701">
        <v>105</v>
      </c>
      <c r="C2701" t="s">
        <v>557</v>
      </c>
      <c r="D2701" s="452">
        <v>45931</v>
      </c>
      <c r="E2701">
        <v>24468</v>
      </c>
      <c r="F2701" t="s">
        <v>4798</v>
      </c>
      <c r="G2701">
        <v>3675</v>
      </c>
      <c r="H2701">
        <v>14</v>
      </c>
      <c r="I2701" t="s">
        <v>4736</v>
      </c>
      <c r="J2701" t="s">
        <v>5222</v>
      </c>
      <c r="K2701" t="s">
        <v>3999</v>
      </c>
      <c r="L2701">
        <v>0</v>
      </c>
      <c r="M2701" s="452">
        <v>45653</v>
      </c>
      <c r="N2701">
        <v>2.19</v>
      </c>
      <c r="O2701">
        <v>2.19</v>
      </c>
      <c r="P2701">
        <v>30.66</v>
      </c>
    </row>
    <row r="2702" spans="1:16" x14ac:dyDescent="0.3">
      <c r="A2702">
        <v>53629</v>
      </c>
      <c r="B2702">
        <v>105</v>
      </c>
      <c r="C2702" t="s">
        <v>557</v>
      </c>
      <c r="D2702" s="452">
        <v>45931</v>
      </c>
      <c r="E2702">
        <v>18273</v>
      </c>
      <c r="F2702" t="s">
        <v>5058</v>
      </c>
      <c r="G2702">
        <v>3357</v>
      </c>
      <c r="H2702">
        <v>0.78</v>
      </c>
      <c r="I2702" t="s">
        <v>4805</v>
      </c>
      <c r="J2702" t="s">
        <v>5222</v>
      </c>
      <c r="K2702" t="s">
        <v>3999</v>
      </c>
      <c r="L2702">
        <v>0</v>
      </c>
      <c r="M2702" s="452">
        <v>-693593</v>
      </c>
      <c r="N2702">
        <v>0</v>
      </c>
      <c r="O2702">
        <v>42.71</v>
      </c>
      <c r="P2702">
        <v>30.56</v>
      </c>
    </row>
    <row r="2703" spans="1:16" x14ac:dyDescent="0.3">
      <c r="A2703">
        <v>53474</v>
      </c>
      <c r="B2703">
        <v>105</v>
      </c>
      <c r="C2703" t="s">
        <v>557</v>
      </c>
      <c r="D2703" s="452">
        <v>45931</v>
      </c>
      <c r="E2703">
        <v>23502</v>
      </c>
      <c r="F2703" t="s">
        <v>4930</v>
      </c>
      <c r="G2703">
        <v>2367</v>
      </c>
      <c r="H2703">
        <v>2.2000000000000002</v>
      </c>
      <c r="I2703" t="s">
        <v>4736</v>
      </c>
      <c r="J2703" t="s">
        <v>5191</v>
      </c>
      <c r="K2703" t="s">
        <v>3999</v>
      </c>
      <c r="L2703">
        <v>13.6</v>
      </c>
      <c r="M2703" s="452">
        <v>45904</v>
      </c>
      <c r="N2703">
        <v>13.6</v>
      </c>
      <c r="O2703">
        <v>13.5</v>
      </c>
      <c r="P2703">
        <v>29.92</v>
      </c>
    </row>
    <row r="2704" spans="1:16" x14ac:dyDescent="0.3">
      <c r="A2704">
        <v>53570</v>
      </c>
      <c r="B2704">
        <v>105</v>
      </c>
      <c r="C2704" t="s">
        <v>557</v>
      </c>
      <c r="D2704" s="452">
        <v>45931</v>
      </c>
      <c r="E2704">
        <v>18004</v>
      </c>
      <c r="F2704" t="s">
        <v>5093</v>
      </c>
      <c r="G2704">
        <v>3592</v>
      </c>
      <c r="H2704">
        <v>1</v>
      </c>
      <c r="I2704" t="s">
        <v>4738</v>
      </c>
      <c r="J2704" t="s">
        <v>5222</v>
      </c>
      <c r="K2704" t="s">
        <v>3999</v>
      </c>
      <c r="L2704">
        <v>29.64</v>
      </c>
      <c r="M2704" s="452">
        <v>45901</v>
      </c>
      <c r="N2704">
        <v>29.64</v>
      </c>
      <c r="O2704">
        <v>29.64</v>
      </c>
      <c r="P2704">
        <v>29.64</v>
      </c>
    </row>
    <row r="2705" spans="1:16" x14ac:dyDescent="0.3">
      <c r="A2705">
        <v>53427</v>
      </c>
      <c r="B2705">
        <v>105</v>
      </c>
      <c r="C2705" t="s">
        <v>557</v>
      </c>
      <c r="D2705" s="452">
        <v>45931</v>
      </c>
      <c r="E2705">
        <v>19472</v>
      </c>
      <c r="F2705" t="s">
        <v>4906</v>
      </c>
      <c r="G2705">
        <v>2733</v>
      </c>
      <c r="H2705">
        <v>3.5</v>
      </c>
      <c r="I2705" t="s">
        <v>4744</v>
      </c>
      <c r="J2705" t="s">
        <v>5191</v>
      </c>
      <c r="K2705" t="s">
        <v>3999</v>
      </c>
      <c r="L2705">
        <v>8.41</v>
      </c>
      <c r="M2705" s="452">
        <v>45929</v>
      </c>
      <c r="N2705">
        <v>10.94</v>
      </c>
      <c r="O2705">
        <v>10</v>
      </c>
      <c r="P2705">
        <v>29.44</v>
      </c>
    </row>
    <row r="2706" spans="1:16" x14ac:dyDescent="0.3">
      <c r="A2706">
        <v>53370</v>
      </c>
      <c r="B2706">
        <v>105</v>
      </c>
      <c r="C2706" t="s">
        <v>557</v>
      </c>
      <c r="D2706" s="452">
        <v>45931</v>
      </c>
      <c r="E2706">
        <v>18745</v>
      </c>
      <c r="F2706" t="s">
        <v>4892</v>
      </c>
      <c r="G2706">
        <v>3014</v>
      </c>
      <c r="H2706">
        <v>6</v>
      </c>
      <c r="I2706" t="s">
        <v>4736</v>
      </c>
      <c r="J2706" t="s">
        <v>5191</v>
      </c>
      <c r="K2706" t="s">
        <v>3999</v>
      </c>
      <c r="L2706">
        <v>0</v>
      </c>
      <c r="M2706" s="452">
        <v>45888</v>
      </c>
      <c r="N2706">
        <v>4.9000000000000004</v>
      </c>
      <c r="O2706">
        <v>4.9000000000000004</v>
      </c>
      <c r="P2706">
        <v>29.4</v>
      </c>
    </row>
    <row r="2707" spans="1:16" x14ac:dyDescent="0.3">
      <c r="A2707">
        <v>53528</v>
      </c>
      <c r="B2707">
        <v>105</v>
      </c>
      <c r="C2707" t="s">
        <v>557</v>
      </c>
      <c r="D2707" s="452">
        <v>45931</v>
      </c>
      <c r="E2707">
        <v>23534</v>
      </c>
      <c r="F2707" t="s">
        <v>5447</v>
      </c>
      <c r="G2707">
        <v>2337</v>
      </c>
      <c r="H2707">
        <v>1</v>
      </c>
      <c r="I2707" t="s">
        <v>4955</v>
      </c>
      <c r="J2707" t="s">
        <v>5191</v>
      </c>
      <c r="K2707" t="s">
        <v>3999</v>
      </c>
      <c r="L2707">
        <v>0</v>
      </c>
      <c r="M2707" s="452">
        <v>-693593</v>
      </c>
      <c r="N2707">
        <v>0</v>
      </c>
      <c r="O2707">
        <v>15.9</v>
      </c>
      <c r="P2707">
        <v>28.85</v>
      </c>
    </row>
    <row r="2708" spans="1:16" x14ac:dyDescent="0.3">
      <c r="A2708">
        <v>53380</v>
      </c>
      <c r="B2708">
        <v>105</v>
      </c>
      <c r="C2708" t="s">
        <v>557</v>
      </c>
      <c r="D2708" s="452">
        <v>45931</v>
      </c>
      <c r="E2708">
        <v>19505</v>
      </c>
      <c r="F2708" t="s">
        <v>4872</v>
      </c>
      <c r="G2708">
        <v>2706</v>
      </c>
      <c r="H2708">
        <v>5.25</v>
      </c>
      <c r="I2708" t="s">
        <v>4744</v>
      </c>
      <c r="J2708" t="s">
        <v>5191</v>
      </c>
      <c r="K2708" t="s">
        <v>3999</v>
      </c>
      <c r="L2708">
        <v>5.44</v>
      </c>
      <c r="M2708" s="452">
        <v>45929</v>
      </c>
      <c r="N2708">
        <v>5</v>
      </c>
      <c r="O2708">
        <v>4.7</v>
      </c>
      <c r="P2708">
        <v>28.56</v>
      </c>
    </row>
    <row r="2709" spans="1:16" x14ac:dyDescent="0.3">
      <c r="A2709">
        <v>53487</v>
      </c>
      <c r="B2709">
        <v>105</v>
      </c>
      <c r="C2709" t="s">
        <v>557</v>
      </c>
      <c r="D2709" s="452">
        <v>45931</v>
      </c>
      <c r="E2709">
        <v>24400</v>
      </c>
      <c r="F2709" t="s">
        <v>5052</v>
      </c>
      <c r="G2709">
        <v>2368</v>
      </c>
      <c r="H2709">
        <v>2</v>
      </c>
      <c r="I2709" t="s">
        <v>4736</v>
      </c>
      <c r="J2709" t="s">
        <v>5191</v>
      </c>
      <c r="K2709" t="s">
        <v>3999</v>
      </c>
      <c r="L2709">
        <v>13.8</v>
      </c>
      <c r="M2709" s="452">
        <v>45901</v>
      </c>
      <c r="N2709">
        <v>13.8</v>
      </c>
      <c r="O2709">
        <v>13.8</v>
      </c>
      <c r="P2709">
        <v>27.6</v>
      </c>
    </row>
    <row r="2710" spans="1:16" x14ac:dyDescent="0.3">
      <c r="A2710">
        <v>53480</v>
      </c>
      <c r="B2710">
        <v>105</v>
      </c>
      <c r="C2710" t="s">
        <v>557</v>
      </c>
      <c r="D2710" s="452">
        <v>45931</v>
      </c>
      <c r="E2710">
        <v>20242</v>
      </c>
      <c r="F2710" t="s">
        <v>4824</v>
      </c>
      <c r="G2710">
        <v>2242</v>
      </c>
      <c r="H2710">
        <v>2</v>
      </c>
      <c r="I2710" t="s">
        <v>4738</v>
      </c>
      <c r="J2710" t="s">
        <v>5191</v>
      </c>
      <c r="K2710" t="s">
        <v>3999</v>
      </c>
      <c r="L2710">
        <v>13.27</v>
      </c>
      <c r="M2710" s="452">
        <v>45926</v>
      </c>
      <c r="N2710">
        <v>13.68</v>
      </c>
      <c r="O2710">
        <v>13.68</v>
      </c>
      <c r="P2710">
        <v>26.54</v>
      </c>
    </row>
    <row r="2711" spans="1:16" x14ac:dyDescent="0.3">
      <c r="A2711">
        <v>53455</v>
      </c>
      <c r="B2711">
        <v>105</v>
      </c>
      <c r="C2711" t="s">
        <v>557</v>
      </c>
      <c r="D2711" s="452">
        <v>45931</v>
      </c>
      <c r="E2711">
        <v>24278</v>
      </c>
      <c r="F2711" t="s">
        <v>4901</v>
      </c>
      <c r="G2711">
        <v>2896</v>
      </c>
      <c r="H2711">
        <v>3</v>
      </c>
      <c r="I2711" t="s">
        <v>4744</v>
      </c>
      <c r="J2711" t="s">
        <v>5191</v>
      </c>
      <c r="K2711" t="s">
        <v>3999</v>
      </c>
      <c r="L2711">
        <v>8.83</v>
      </c>
      <c r="M2711" s="452">
        <v>45929</v>
      </c>
      <c r="N2711">
        <v>8.9</v>
      </c>
      <c r="O2711">
        <v>8.98</v>
      </c>
      <c r="P2711">
        <v>26.49</v>
      </c>
    </row>
    <row r="2712" spans="1:16" x14ac:dyDescent="0.3">
      <c r="A2712">
        <v>53471</v>
      </c>
      <c r="B2712">
        <v>105</v>
      </c>
      <c r="C2712" t="s">
        <v>557</v>
      </c>
      <c r="D2712" s="452">
        <v>45931</v>
      </c>
      <c r="E2712">
        <v>19728</v>
      </c>
      <c r="F2712" t="s">
        <v>5106</v>
      </c>
      <c r="G2712">
        <v>2525</v>
      </c>
      <c r="H2712">
        <v>2.5499999999999998</v>
      </c>
      <c r="I2712" t="s">
        <v>4744</v>
      </c>
      <c r="J2712" t="s">
        <v>5191</v>
      </c>
      <c r="K2712" t="s">
        <v>3999</v>
      </c>
      <c r="L2712">
        <v>10.33</v>
      </c>
      <c r="M2712" s="452">
        <v>45929</v>
      </c>
      <c r="N2712">
        <v>11</v>
      </c>
      <c r="O2712">
        <v>18.329999999999998</v>
      </c>
      <c r="P2712">
        <v>26.34</v>
      </c>
    </row>
    <row r="2713" spans="1:16" x14ac:dyDescent="0.3">
      <c r="A2713">
        <v>53293</v>
      </c>
      <c r="B2713">
        <v>105</v>
      </c>
      <c r="C2713" t="s">
        <v>557</v>
      </c>
      <c r="D2713" s="452">
        <v>45931</v>
      </c>
      <c r="E2713">
        <v>24509</v>
      </c>
      <c r="F2713" t="s">
        <v>4788</v>
      </c>
      <c r="G2713">
        <v>2607</v>
      </c>
      <c r="H2713">
        <v>19.8</v>
      </c>
      <c r="I2713" t="s">
        <v>4744</v>
      </c>
      <c r="J2713" t="s">
        <v>5191</v>
      </c>
      <c r="K2713" t="s">
        <v>3999</v>
      </c>
      <c r="L2713">
        <v>1.31</v>
      </c>
      <c r="M2713" s="452">
        <v>45930</v>
      </c>
      <c r="N2713">
        <v>1.35</v>
      </c>
      <c r="O2713">
        <v>1.22</v>
      </c>
      <c r="P2713">
        <v>25.94</v>
      </c>
    </row>
    <row r="2714" spans="1:16" x14ac:dyDescent="0.3">
      <c r="A2714">
        <v>53520</v>
      </c>
      <c r="B2714">
        <v>105</v>
      </c>
      <c r="C2714" t="s">
        <v>557</v>
      </c>
      <c r="D2714" s="452">
        <v>45931</v>
      </c>
      <c r="E2714">
        <v>23503</v>
      </c>
      <c r="F2714" t="s">
        <v>5048</v>
      </c>
      <c r="G2714">
        <v>2366</v>
      </c>
      <c r="H2714">
        <v>1.1000000000000001</v>
      </c>
      <c r="I2714" t="s">
        <v>4744</v>
      </c>
      <c r="J2714" t="s">
        <v>5191</v>
      </c>
      <c r="K2714" t="s">
        <v>3999</v>
      </c>
      <c r="L2714">
        <v>0</v>
      </c>
      <c r="M2714" s="452">
        <v>45887</v>
      </c>
      <c r="N2714">
        <v>23.5</v>
      </c>
      <c r="O2714">
        <v>23.64</v>
      </c>
      <c r="P2714">
        <v>25.85</v>
      </c>
    </row>
    <row r="2715" spans="1:16" x14ac:dyDescent="0.3">
      <c r="A2715">
        <v>53579</v>
      </c>
      <c r="B2715">
        <v>105</v>
      </c>
      <c r="C2715" t="s">
        <v>557</v>
      </c>
      <c r="D2715" s="452">
        <v>45931</v>
      </c>
      <c r="E2715">
        <v>18317</v>
      </c>
      <c r="F2715" t="s">
        <v>5056</v>
      </c>
      <c r="G2715">
        <v>3316</v>
      </c>
      <c r="H2715">
        <v>0.7</v>
      </c>
      <c r="I2715" t="s">
        <v>4805</v>
      </c>
      <c r="J2715" t="s">
        <v>5222</v>
      </c>
      <c r="K2715" t="s">
        <v>3999</v>
      </c>
      <c r="L2715">
        <v>0</v>
      </c>
      <c r="M2715" s="452">
        <v>-693593</v>
      </c>
      <c r="N2715">
        <v>0</v>
      </c>
      <c r="O2715">
        <v>37.25</v>
      </c>
      <c r="P2715">
        <v>25.82</v>
      </c>
    </row>
    <row r="2716" spans="1:16" x14ac:dyDescent="0.3">
      <c r="A2716">
        <v>53516</v>
      </c>
      <c r="B2716">
        <v>105</v>
      </c>
      <c r="C2716" t="s">
        <v>557</v>
      </c>
      <c r="D2716" s="452">
        <v>45931</v>
      </c>
      <c r="E2716">
        <v>19555</v>
      </c>
      <c r="F2716" t="s">
        <v>4903</v>
      </c>
      <c r="G2716">
        <v>2662</v>
      </c>
      <c r="H2716">
        <v>1.2</v>
      </c>
      <c r="I2716" t="s">
        <v>4744</v>
      </c>
      <c r="J2716" t="s">
        <v>5191</v>
      </c>
      <c r="K2716" t="s">
        <v>3999</v>
      </c>
      <c r="L2716">
        <v>21.41</v>
      </c>
      <c r="M2716" s="452">
        <v>45930</v>
      </c>
      <c r="N2716">
        <v>20</v>
      </c>
      <c r="O2716">
        <v>20</v>
      </c>
      <c r="P2716">
        <v>25.69</v>
      </c>
    </row>
    <row r="2717" spans="1:16" x14ac:dyDescent="0.3">
      <c r="A2717">
        <v>53626</v>
      </c>
      <c r="B2717">
        <v>105</v>
      </c>
      <c r="C2717" t="s">
        <v>557</v>
      </c>
      <c r="D2717" s="452">
        <v>45931</v>
      </c>
      <c r="E2717">
        <v>18212</v>
      </c>
      <c r="F2717" t="s">
        <v>5040</v>
      </c>
      <c r="G2717">
        <v>3415</v>
      </c>
      <c r="H2717">
        <v>0.65</v>
      </c>
      <c r="I2717" t="s">
        <v>4805</v>
      </c>
      <c r="J2717" t="s">
        <v>5222</v>
      </c>
      <c r="K2717" t="s">
        <v>3999</v>
      </c>
      <c r="L2717">
        <v>0</v>
      </c>
      <c r="M2717" s="452">
        <v>-693593</v>
      </c>
      <c r="N2717">
        <v>0</v>
      </c>
      <c r="O2717">
        <v>34</v>
      </c>
      <c r="P2717">
        <v>24.76</v>
      </c>
    </row>
    <row r="2718" spans="1:16" x14ac:dyDescent="0.3">
      <c r="A2718">
        <v>53388</v>
      </c>
      <c r="B2718">
        <v>105</v>
      </c>
      <c r="C2718" t="s">
        <v>557</v>
      </c>
      <c r="D2718" s="452">
        <v>45931</v>
      </c>
      <c r="E2718">
        <v>20138</v>
      </c>
      <c r="F2718" t="s">
        <v>4886</v>
      </c>
      <c r="G2718">
        <v>2284</v>
      </c>
      <c r="H2718">
        <v>5</v>
      </c>
      <c r="I2718" t="s">
        <v>4738</v>
      </c>
      <c r="J2718" t="s">
        <v>5191</v>
      </c>
      <c r="K2718" t="s">
        <v>3999</v>
      </c>
      <c r="L2718">
        <v>4.8</v>
      </c>
      <c r="M2718" s="452">
        <v>45926</v>
      </c>
      <c r="N2718">
        <v>4.8</v>
      </c>
      <c r="O2718">
        <v>4.8</v>
      </c>
      <c r="P2718">
        <v>24</v>
      </c>
    </row>
    <row r="2719" spans="1:16" x14ac:dyDescent="0.3">
      <c r="A2719">
        <v>53492</v>
      </c>
      <c r="B2719">
        <v>105</v>
      </c>
      <c r="C2719" t="s">
        <v>557</v>
      </c>
      <c r="D2719" s="452">
        <v>45931</v>
      </c>
      <c r="E2719">
        <v>19743</v>
      </c>
      <c r="F2719" t="s">
        <v>5047</v>
      </c>
      <c r="G2719">
        <v>2510</v>
      </c>
      <c r="H2719">
        <v>2</v>
      </c>
      <c r="I2719" t="s">
        <v>4744</v>
      </c>
      <c r="J2719" t="s">
        <v>5191</v>
      </c>
      <c r="K2719" t="s">
        <v>3999</v>
      </c>
      <c r="L2719">
        <v>12</v>
      </c>
      <c r="M2719" s="452">
        <v>45904</v>
      </c>
      <c r="N2719">
        <v>12</v>
      </c>
      <c r="O2719">
        <v>13.44</v>
      </c>
      <c r="P2719">
        <v>24</v>
      </c>
    </row>
    <row r="2720" spans="1:16" x14ac:dyDescent="0.3">
      <c r="A2720">
        <v>53650</v>
      </c>
      <c r="B2720">
        <v>105</v>
      </c>
      <c r="C2720" t="s">
        <v>557</v>
      </c>
      <c r="D2720" s="452">
        <v>45931</v>
      </c>
      <c r="E2720">
        <v>20186</v>
      </c>
      <c r="F2720" t="s">
        <v>5061</v>
      </c>
      <c r="G2720">
        <v>2259</v>
      </c>
      <c r="H2720">
        <v>1</v>
      </c>
      <c r="I2720" t="s">
        <v>4744</v>
      </c>
      <c r="J2720" t="s">
        <v>5191</v>
      </c>
      <c r="K2720" t="s">
        <v>3999</v>
      </c>
      <c r="L2720">
        <v>24</v>
      </c>
      <c r="M2720" s="452">
        <v>45926</v>
      </c>
      <c r="N2720">
        <v>24</v>
      </c>
      <c r="O2720">
        <v>24</v>
      </c>
      <c r="P2720">
        <v>24</v>
      </c>
    </row>
    <row r="2721" spans="1:16" x14ac:dyDescent="0.3">
      <c r="A2721">
        <v>53485</v>
      </c>
      <c r="B2721">
        <v>105</v>
      </c>
      <c r="C2721" t="s">
        <v>557</v>
      </c>
      <c r="D2721" s="452">
        <v>45931</v>
      </c>
      <c r="E2721">
        <v>19993</v>
      </c>
      <c r="F2721" t="s">
        <v>4954</v>
      </c>
      <c r="G2721">
        <v>2349</v>
      </c>
      <c r="H2721">
        <v>2</v>
      </c>
      <c r="I2721" t="s">
        <v>4955</v>
      </c>
      <c r="J2721" t="s">
        <v>5191</v>
      </c>
      <c r="K2721" t="s">
        <v>3999</v>
      </c>
      <c r="L2721">
        <v>0</v>
      </c>
      <c r="M2721" s="452">
        <v>-693593</v>
      </c>
      <c r="N2721">
        <v>0</v>
      </c>
      <c r="O2721">
        <v>0</v>
      </c>
      <c r="P2721">
        <v>23.98</v>
      </c>
    </row>
    <row r="2722" spans="1:16" x14ac:dyDescent="0.3">
      <c r="A2722">
        <v>53491</v>
      </c>
      <c r="B2722">
        <v>105</v>
      </c>
      <c r="C2722" t="s">
        <v>557</v>
      </c>
      <c r="D2722" s="452">
        <v>45931</v>
      </c>
      <c r="E2722">
        <v>23349</v>
      </c>
      <c r="F2722" t="s">
        <v>4988</v>
      </c>
      <c r="G2722">
        <v>2509</v>
      </c>
      <c r="H2722">
        <v>2</v>
      </c>
      <c r="I2722" t="s">
        <v>4744</v>
      </c>
      <c r="J2722" t="s">
        <v>5191</v>
      </c>
      <c r="K2722" t="s">
        <v>3999</v>
      </c>
      <c r="L2722">
        <v>11.87</v>
      </c>
      <c r="M2722" s="452">
        <v>45908</v>
      </c>
      <c r="N2722">
        <v>12</v>
      </c>
      <c r="O2722">
        <v>25.56</v>
      </c>
      <c r="P2722">
        <v>23.74</v>
      </c>
    </row>
    <row r="2723" spans="1:16" x14ac:dyDescent="0.3">
      <c r="A2723">
        <v>53454</v>
      </c>
      <c r="B2723">
        <v>105</v>
      </c>
      <c r="C2723" t="s">
        <v>557</v>
      </c>
      <c r="D2723" s="452">
        <v>45931</v>
      </c>
      <c r="E2723">
        <v>19415</v>
      </c>
      <c r="F2723" t="s">
        <v>4919</v>
      </c>
      <c r="G2723">
        <v>2759</v>
      </c>
      <c r="H2723">
        <v>3</v>
      </c>
      <c r="I2723" t="s">
        <v>4736</v>
      </c>
      <c r="J2723" t="s">
        <v>5191</v>
      </c>
      <c r="K2723" t="s">
        <v>3999</v>
      </c>
      <c r="L2723">
        <v>7.68</v>
      </c>
      <c r="M2723" s="452">
        <v>45926</v>
      </c>
      <c r="N2723">
        <v>7.68</v>
      </c>
      <c r="O2723">
        <v>7.68</v>
      </c>
      <c r="P2723">
        <v>23.04</v>
      </c>
    </row>
    <row r="2724" spans="1:16" x14ac:dyDescent="0.3">
      <c r="A2724">
        <v>53431</v>
      </c>
      <c r="B2724">
        <v>105</v>
      </c>
      <c r="C2724" t="s">
        <v>557</v>
      </c>
      <c r="D2724" s="452">
        <v>45931</v>
      </c>
      <c r="E2724">
        <v>19502</v>
      </c>
      <c r="F2724" t="s">
        <v>4871</v>
      </c>
      <c r="G2724">
        <v>2708</v>
      </c>
      <c r="H2724">
        <v>3.2</v>
      </c>
      <c r="I2724" t="s">
        <v>4744</v>
      </c>
      <c r="J2724" t="s">
        <v>5191</v>
      </c>
      <c r="K2724" t="s">
        <v>3999</v>
      </c>
      <c r="L2724">
        <v>7.18</v>
      </c>
      <c r="M2724" s="452">
        <v>45929</v>
      </c>
      <c r="N2724">
        <v>7.5</v>
      </c>
      <c r="O2724">
        <v>7.25</v>
      </c>
      <c r="P2724">
        <v>22.98</v>
      </c>
    </row>
    <row r="2725" spans="1:16" x14ac:dyDescent="0.3">
      <c r="A2725">
        <v>53517</v>
      </c>
      <c r="B2725">
        <v>105</v>
      </c>
      <c r="C2725" t="s">
        <v>557</v>
      </c>
      <c r="D2725" s="452">
        <v>45931</v>
      </c>
      <c r="E2725">
        <v>24489</v>
      </c>
      <c r="F2725" t="s">
        <v>5121</v>
      </c>
      <c r="G2725">
        <v>2686</v>
      </c>
      <c r="H2725">
        <v>1.2</v>
      </c>
      <c r="I2725" t="s">
        <v>4744</v>
      </c>
      <c r="J2725" t="s">
        <v>5191</v>
      </c>
      <c r="K2725" t="s">
        <v>3999</v>
      </c>
      <c r="L2725">
        <v>18.95</v>
      </c>
      <c r="M2725" s="452">
        <v>45930</v>
      </c>
      <c r="N2725">
        <v>17</v>
      </c>
      <c r="O2725">
        <v>17</v>
      </c>
      <c r="P2725">
        <v>22.74</v>
      </c>
    </row>
    <row r="2726" spans="1:16" x14ac:dyDescent="0.3">
      <c r="A2726">
        <v>53470</v>
      </c>
      <c r="B2726">
        <v>105</v>
      </c>
      <c r="C2726" t="s">
        <v>557</v>
      </c>
      <c r="D2726" s="452">
        <v>45931</v>
      </c>
      <c r="E2726">
        <v>23554</v>
      </c>
      <c r="F2726" t="s">
        <v>4931</v>
      </c>
      <c r="G2726">
        <v>2316</v>
      </c>
      <c r="H2726">
        <v>2.6</v>
      </c>
      <c r="I2726" t="s">
        <v>4744</v>
      </c>
      <c r="J2726" t="s">
        <v>5191</v>
      </c>
      <c r="K2726" t="s">
        <v>3999</v>
      </c>
      <c r="L2726">
        <v>0</v>
      </c>
      <c r="M2726" s="452">
        <v>45887</v>
      </c>
      <c r="N2726">
        <v>8.5</v>
      </c>
      <c r="O2726">
        <v>8.5</v>
      </c>
      <c r="P2726">
        <v>22.1</v>
      </c>
    </row>
    <row r="2727" spans="1:16" x14ac:dyDescent="0.3">
      <c r="A2727">
        <v>53524</v>
      </c>
      <c r="B2727">
        <v>105</v>
      </c>
      <c r="C2727" t="s">
        <v>557</v>
      </c>
      <c r="D2727" s="452">
        <v>45931</v>
      </c>
      <c r="E2727">
        <v>21060</v>
      </c>
      <c r="F2727" t="s">
        <v>4946</v>
      </c>
      <c r="G2727">
        <v>1998</v>
      </c>
      <c r="H2727">
        <v>1</v>
      </c>
      <c r="I2727" t="s">
        <v>4736</v>
      </c>
      <c r="J2727" t="s">
        <v>5191</v>
      </c>
      <c r="K2727" t="s">
        <v>3999</v>
      </c>
      <c r="L2727">
        <v>0</v>
      </c>
      <c r="M2727" s="452">
        <v>45819</v>
      </c>
      <c r="N2727">
        <v>21.9</v>
      </c>
      <c r="O2727">
        <v>22</v>
      </c>
      <c r="P2727">
        <v>21.9</v>
      </c>
    </row>
    <row r="2728" spans="1:16" x14ac:dyDescent="0.3">
      <c r="A2728">
        <v>53648</v>
      </c>
      <c r="B2728">
        <v>105</v>
      </c>
      <c r="C2728" t="s">
        <v>557</v>
      </c>
      <c r="D2728" s="452">
        <v>45931</v>
      </c>
      <c r="E2728">
        <v>19894</v>
      </c>
      <c r="F2728" t="s">
        <v>5451</v>
      </c>
      <c r="G2728">
        <v>2385</v>
      </c>
      <c r="H2728">
        <v>1</v>
      </c>
      <c r="I2728" t="s">
        <v>4736</v>
      </c>
      <c r="J2728" t="s">
        <v>5191</v>
      </c>
      <c r="K2728" t="s">
        <v>3999</v>
      </c>
      <c r="L2728">
        <v>0</v>
      </c>
      <c r="M2728" s="452">
        <v>45667</v>
      </c>
      <c r="N2728">
        <v>0</v>
      </c>
      <c r="O2728">
        <v>0</v>
      </c>
      <c r="P2728">
        <v>21.9</v>
      </c>
    </row>
    <row r="2729" spans="1:16" x14ac:dyDescent="0.3">
      <c r="A2729">
        <v>53573</v>
      </c>
      <c r="B2729">
        <v>105</v>
      </c>
      <c r="C2729" t="s">
        <v>557</v>
      </c>
      <c r="D2729" s="452">
        <v>45931</v>
      </c>
      <c r="E2729">
        <v>19652</v>
      </c>
      <c r="F2729" t="s">
        <v>4899</v>
      </c>
      <c r="G2729">
        <v>2587</v>
      </c>
      <c r="H2729">
        <v>0.9</v>
      </c>
      <c r="I2729" t="s">
        <v>4744</v>
      </c>
      <c r="J2729" t="s">
        <v>5191</v>
      </c>
      <c r="K2729" t="s">
        <v>3999</v>
      </c>
      <c r="L2729">
        <v>23.82</v>
      </c>
      <c r="M2729" s="452">
        <v>45922</v>
      </c>
      <c r="N2729">
        <v>26</v>
      </c>
      <c r="O2729">
        <v>22.26</v>
      </c>
      <c r="P2729">
        <v>21.44</v>
      </c>
    </row>
    <row r="2730" spans="1:16" x14ac:dyDescent="0.3">
      <c r="A2730">
        <v>53542</v>
      </c>
      <c r="B2730">
        <v>105</v>
      </c>
      <c r="C2730" t="s">
        <v>557</v>
      </c>
      <c r="D2730" s="452">
        <v>45931</v>
      </c>
      <c r="E2730">
        <v>23234</v>
      </c>
      <c r="F2730" t="s">
        <v>4986</v>
      </c>
      <c r="G2730">
        <v>2622</v>
      </c>
      <c r="H2730">
        <v>1</v>
      </c>
      <c r="I2730" t="s">
        <v>4744</v>
      </c>
      <c r="J2730" t="s">
        <v>5191</v>
      </c>
      <c r="K2730" t="s">
        <v>3999</v>
      </c>
      <c r="L2730">
        <v>21</v>
      </c>
      <c r="M2730" s="452">
        <v>45916</v>
      </c>
      <c r="N2730">
        <v>21</v>
      </c>
      <c r="O2730">
        <v>22</v>
      </c>
      <c r="P2730">
        <v>21</v>
      </c>
    </row>
    <row r="2731" spans="1:16" x14ac:dyDescent="0.3">
      <c r="A2731">
        <v>53509</v>
      </c>
      <c r="B2731">
        <v>105</v>
      </c>
      <c r="C2731" t="s">
        <v>557</v>
      </c>
      <c r="D2731" s="452">
        <v>45931</v>
      </c>
      <c r="E2731">
        <v>24186</v>
      </c>
      <c r="F2731" t="s">
        <v>4995</v>
      </c>
      <c r="G2731">
        <v>2332</v>
      </c>
      <c r="H2731">
        <v>1.6</v>
      </c>
      <c r="I2731" t="s">
        <v>4744</v>
      </c>
      <c r="J2731" t="s">
        <v>5191</v>
      </c>
      <c r="K2731" t="s">
        <v>3999</v>
      </c>
      <c r="L2731">
        <v>0</v>
      </c>
      <c r="M2731" s="452">
        <v>45706</v>
      </c>
      <c r="N2731">
        <v>13</v>
      </c>
      <c r="O2731">
        <v>6.4</v>
      </c>
      <c r="P2731">
        <v>20.8</v>
      </c>
    </row>
    <row r="2732" spans="1:16" x14ac:dyDescent="0.3">
      <c r="A2732">
        <v>53434</v>
      </c>
      <c r="B2732">
        <v>105</v>
      </c>
      <c r="C2732" t="s">
        <v>557</v>
      </c>
      <c r="D2732" s="452">
        <v>45931</v>
      </c>
      <c r="E2732">
        <v>25750</v>
      </c>
      <c r="F2732" t="s">
        <v>4908</v>
      </c>
      <c r="G2732">
        <v>6301</v>
      </c>
      <c r="H2732">
        <v>3</v>
      </c>
      <c r="I2732" t="s">
        <v>4736</v>
      </c>
      <c r="J2732" t="s">
        <v>5191</v>
      </c>
      <c r="K2732" t="s">
        <v>3999</v>
      </c>
      <c r="L2732">
        <v>0</v>
      </c>
      <c r="M2732" s="452">
        <v>45653</v>
      </c>
      <c r="N2732">
        <v>6.87</v>
      </c>
      <c r="O2732">
        <v>6.87</v>
      </c>
      <c r="P2732">
        <v>20.61</v>
      </c>
    </row>
    <row r="2733" spans="1:16" x14ac:dyDescent="0.3">
      <c r="A2733">
        <v>53505</v>
      </c>
      <c r="B2733">
        <v>105</v>
      </c>
      <c r="C2733" t="s">
        <v>557</v>
      </c>
      <c r="D2733" s="452">
        <v>45931</v>
      </c>
      <c r="E2733">
        <v>24302</v>
      </c>
      <c r="F2733" t="s">
        <v>4813</v>
      </c>
      <c r="G2733">
        <v>2251</v>
      </c>
      <c r="H2733">
        <v>1.8</v>
      </c>
      <c r="I2733" t="s">
        <v>4744</v>
      </c>
      <c r="J2733" t="s">
        <v>5191</v>
      </c>
      <c r="K2733" t="s">
        <v>3999</v>
      </c>
      <c r="L2733">
        <v>0</v>
      </c>
      <c r="M2733" s="452">
        <v>45887</v>
      </c>
      <c r="N2733">
        <v>11.19</v>
      </c>
      <c r="O2733">
        <v>10.6</v>
      </c>
      <c r="P2733">
        <v>20.14</v>
      </c>
    </row>
    <row r="2734" spans="1:16" x14ac:dyDescent="0.3">
      <c r="A2734">
        <v>53428</v>
      </c>
      <c r="B2734">
        <v>105</v>
      </c>
      <c r="C2734" t="s">
        <v>557</v>
      </c>
      <c r="D2734" s="452">
        <v>45931</v>
      </c>
      <c r="E2734">
        <v>19589</v>
      </c>
      <c r="F2734" t="s">
        <v>4983</v>
      </c>
      <c r="G2734">
        <v>2637</v>
      </c>
      <c r="H2734">
        <v>3.45</v>
      </c>
      <c r="I2734" t="s">
        <v>4744</v>
      </c>
      <c r="J2734" t="s">
        <v>5191</v>
      </c>
      <c r="K2734" t="s">
        <v>3999</v>
      </c>
      <c r="L2734">
        <v>5.8</v>
      </c>
      <c r="M2734" s="452">
        <v>45930</v>
      </c>
      <c r="N2734">
        <v>4</v>
      </c>
      <c r="O2734">
        <v>4</v>
      </c>
      <c r="P2734">
        <v>20.010000000000002</v>
      </c>
    </row>
    <row r="2735" spans="1:16" x14ac:dyDescent="0.3">
      <c r="A2735">
        <v>53412</v>
      </c>
      <c r="B2735">
        <v>105</v>
      </c>
      <c r="C2735" t="s">
        <v>557</v>
      </c>
      <c r="D2735" s="452">
        <v>45931</v>
      </c>
      <c r="E2735">
        <v>20385</v>
      </c>
      <c r="F2735" t="s">
        <v>4910</v>
      </c>
      <c r="G2735">
        <v>2195</v>
      </c>
      <c r="H2735">
        <v>4</v>
      </c>
      <c r="I2735" t="s">
        <v>4736</v>
      </c>
      <c r="J2735" t="s">
        <v>5191</v>
      </c>
      <c r="K2735" t="s">
        <v>3999</v>
      </c>
      <c r="L2735">
        <v>0</v>
      </c>
      <c r="M2735" s="452">
        <v>-693593</v>
      </c>
      <c r="N2735">
        <v>0</v>
      </c>
      <c r="O2735">
        <v>5.0999999999999996</v>
      </c>
      <c r="P2735">
        <v>19.8</v>
      </c>
    </row>
    <row r="2736" spans="1:16" x14ac:dyDescent="0.3">
      <c r="A2736">
        <v>53572</v>
      </c>
      <c r="B2736">
        <v>105</v>
      </c>
      <c r="C2736" t="s">
        <v>557</v>
      </c>
      <c r="D2736" s="452">
        <v>45931</v>
      </c>
      <c r="E2736">
        <v>24322</v>
      </c>
      <c r="F2736" t="s">
        <v>5064</v>
      </c>
      <c r="G2736">
        <v>2342</v>
      </c>
      <c r="H2736">
        <v>0.9</v>
      </c>
      <c r="I2736" t="s">
        <v>4744</v>
      </c>
      <c r="J2736" t="s">
        <v>5191</v>
      </c>
      <c r="K2736" t="s">
        <v>3999</v>
      </c>
      <c r="L2736">
        <v>22</v>
      </c>
      <c r="M2736" s="452">
        <v>45918</v>
      </c>
      <c r="N2736">
        <v>22</v>
      </c>
      <c r="O2736">
        <v>22</v>
      </c>
      <c r="P2736">
        <v>19.8</v>
      </c>
    </row>
    <row r="2737" spans="1:16" x14ac:dyDescent="0.3">
      <c r="A2737">
        <v>53576</v>
      </c>
      <c r="B2737">
        <v>105</v>
      </c>
      <c r="C2737" t="s">
        <v>557</v>
      </c>
      <c r="D2737" s="452">
        <v>45931</v>
      </c>
      <c r="E2737">
        <v>23365</v>
      </c>
      <c r="F2737" t="s">
        <v>5108</v>
      </c>
      <c r="G2737">
        <v>2493</v>
      </c>
      <c r="H2737">
        <v>0.8</v>
      </c>
      <c r="I2737" t="s">
        <v>4744</v>
      </c>
      <c r="J2737" t="s">
        <v>5191</v>
      </c>
      <c r="K2737" t="s">
        <v>3999</v>
      </c>
      <c r="L2737">
        <v>24.67</v>
      </c>
      <c r="M2737" s="452">
        <v>45930</v>
      </c>
      <c r="N2737">
        <v>27</v>
      </c>
      <c r="O2737">
        <v>27</v>
      </c>
      <c r="P2737">
        <v>19.739999999999998</v>
      </c>
    </row>
    <row r="2738" spans="1:16" x14ac:dyDescent="0.3">
      <c r="A2738">
        <v>53591</v>
      </c>
      <c r="B2738">
        <v>105</v>
      </c>
      <c r="C2738" t="s">
        <v>557</v>
      </c>
      <c r="D2738" s="452">
        <v>45931</v>
      </c>
      <c r="E2738">
        <v>19506</v>
      </c>
      <c r="F2738" t="s">
        <v>5122</v>
      </c>
      <c r="G2738">
        <v>2705</v>
      </c>
      <c r="H2738">
        <v>0.45</v>
      </c>
      <c r="I2738" t="s">
        <v>4744</v>
      </c>
      <c r="J2738" t="s">
        <v>5191</v>
      </c>
      <c r="K2738" t="s">
        <v>3999</v>
      </c>
      <c r="L2738">
        <v>43.37</v>
      </c>
      <c r="M2738" s="452">
        <v>45923</v>
      </c>
      <c r="N2738">
        <v>40</v>
      </c>
      <c r="O2738">
        <v>47.22</v>
      </c>
      <c r="P2738">
        <v>19.52</v>
      </c>
    </row>
    <row r="2739" spans="1:16" x14ac:dyDescent="0.3">
      <c r="A2739">
        <v>53654</v>
      </c>
      <c r="B2739">
        <v>105</v>
      </c>
      <c r="C2739" t="s">
        <v>557</v>
      </c>
      <c r="D2739" s="452">
        <v>45931</v>
      </c>
      <c r="E2739">
        <v>19088</v>
      </c>
      <c r="F2739" t="s">
        <v>5465</v>
      </c>
      <c r="G2739">
        <v>2857</v>
      </c>
      <c r="H2739">
        <v>1.3</v>
      </c>
      <c r="I2739" t="s">
        <v>4736</v>
      </c>
      <c r="J2739" t="s">
        <v>5191</v>
      </c>
      <c r="K2739" t="s">
        <v>3999</v>
      </c>
      <c r="L2739">
        <v>0</v>
      </c>
      <c r="M2739" s="452">
        <v>-693593</v>
      </c>
      <c r="N2739">
        <v>0</v>
      </c>
      <c r="O2739">
        <v>14.9</v>
      </c>
      <c r="P2739">
        <v>19.37</v>
      </c>
    </row>
    <row r="2740" spans="1:16" x14ac:dyDescent="0.3">
      <c r="A2740">
        <v>53507</v>
      </c>
      <c r="B2740">
        <v>105</v>
      </c>
      <c r="C2740" t="s">
        <v>557</v>
      </c>
      <c r="D2740" s="452">
        <v>45931</v>
      </c>
      <c r="E2740">
        <v>23238</v>
      </c>
      <c r="F2740" t="s">
        <v>4934</v>
      </c>
      <c r="G2740">
        <v>2618</v>
      </c>
      <c r="H2740">
        <v>1.75</v>
      </c>
      <c r="I2740" t="s">
        <v>4744</v>
      </c>
      <c r="J2740" t="s">
        <v>5191</v>
      </c>
      <c r="K2740" t="s">
        <v>3999</v>
      </c>
      <c r="L2740">
        <v>10.81</v>
      </c>
      <c r="M2740" s="452">
        <v>45929</v>
      </c>
      <c r="N2740">
        <v>10</v>
      </c>
      <c r="O2740">
        <v>10</v>
      </c>
      <c r="P2740">
        <v>18.920000000000002</v>
      </c>
    </row>
    <row r="2741" spans="1:16" x14ac:dyDescent="0.3">
      <c r="A2741">
        <v>53658</v>
      </c>
      <c r="B2741">
        <v>105</v>
      </c>
      <c r="C2741" t="s">
        <v>557</v>
      </c>
      <c r="D2741" s="452">
        <v>45931</v>
      </c>
      <c r="E2741">
        <v>20914</v>
      </c>
      <c r="F2741" t="s">
        <v>5005</v>
      </c>
      <c r="G2741">
        <v>2034</v>
      </c>
      <c r="H2741">
        <v>0.45</v>
      </c>
      <c r="I2741" t="s">
        <v>4736</v>
      </c>
      <c r="J2741" t="s">
        <v>5191</v>
      </c>
      <c r="K2741" t="s">
        <v>3999</v>
      </c>
      <c r="L2741">
        <v>0</v>
      </c>
      <c r="M2741" s="452">
        <v>-693593</v>
      </c>
      <c r="N2741">
        <v>0</v>
      </c>
      <c r="O2741">
        <v>41.45</v>
      </c>
      <c r="P2741">
        <v>18.649999999999999</v>
      </c>
    </row>
    <row r="2742" spans="1:16" x14ac:dyDescent="0.3">
      <c r="A2742">
        <v>53530</v>
      </c>
      <c r="B2742">
        <v>105</v>
      </c>
      <c r="C2742" t="s">
        <v>557</v>
      </c>
      <c r="D2742" s="452">
        <v>45931</v>
      </c>
      <c r="E2742">
        <v>20025</v>
      </c>
      <c r="F2742" t="s">
        <v>5010</v>
      </c>
      <c r="G2742">
        <v>2339</v>
      </c>
      <c r="H2742">
        <v>1</v>
      </c>
      <c r="I2742" t="s">
        <v>4736</v>
      </c>
      <c r="J2742" t="s">
        <v>5191</v>
      </c>
      <c r="K2742" t="s">
        <v>3999</v>
      </c>
      <c r="L2742">
        <v>18.600000000000001</v>
      </c>
      <c r="M2742" s="452">
        <v>45901</v>
      </c>
      <c r="N2742">
        <v>18.600000000000001</v>
      </c>
      <c r="O2742">
        <v>21.7</v>
      </c>
      <c r="P2742">
        <v>18.600000000000001</v>
      </c>
    </row>
    <row r="2743" spans="1:16" x14ac:dyDescent="0.3">
      <c r="A2743">
        <v>53577</v>
      </c>
      <c r="B2743">
        <v>105</v>
      </c>
      <c r="C2743" t="s">
        <v>557</v>
      </c>
      <c r="D2743" s="452">
        <v>45931</v>
      </c>
      <c r="E2743">
        <v>20640</v>
      </c>
      <c r="F2743" t="s">
        <v>5466</v>
      </c>
      <c r="G2743">
        <v>2114</v>
      </c>
      <c r="H2743">
        <v>0.7</v>
      </c>
      <c r="I2743" t="s">
        <v>4744</v>
      </c>
      <c r="J2743" t="s">
        <v>5191</v>
      </c>
      <c r="K2743" t="s">
        <v>3999</v>
      </c>
      <c r="L2743">
        <v>0</v>
      </c>
      <c r="M2743" s="452">
        <v>-693593</v>
      </c>
      <c r="N2743">
        <v>0</v>
      </c>
      <c r="O2743">
        <v>0</v>
      </c>
      <c r="P2743">
        <v>18</v>
      </c>
    </row>
    <row r="2744" spans="1:16" x14ac:dyDescent="0.3">
      <c r="A2744">
        <v>53378</v>
      </c>
      <c r="B2744">
        <v>105</v>
      </c>
      <c r="C2744" t="s">
        <v>557</v>
      </c>
      <c r="D2744" s="452">
        <v>45931</v>
      </c>
      <c r="E2744">
        <v>19621</v>
      </c>
      <c r="F2744" t="s">
        <v>4829</v>
      </c>
      <c r="G2744">
        <v>2613</v>
      </c>
      <c r="H2744">
        <v>5.7</v>
      </c>
      <c r="I2744" t="s">
        <v>4744</v>
      </c>
      <c r="J2744" t="s">
        <v>5191</v>
      </c>
      <c r="K2744" t="s">
        <v>3999</v>
      </c>
      <c r="L2744">
        <v>3.05</v>
      </c>
      <c r="M2744" s="452">
        <v>45930</v>
      </c>
      <c r="N2744">
        <v>3</v>
      </c>
      <c r="O2744">
        <v>3</v>
      </c>
      <c r="P2744">
        <v>17.38</v>
      </c>
    </row>
    <row r="2745" spans="1:16" x14ac:dyDescent="0.3">
      <c r="A2745">
        <v>53450</v>
      </c>
      <c r="B2745">
        <v>105</v>
      </c>
      <c r="C2745" t="s">
        <v>557</v>
      </c>
      <c r="D2745" s="452">
        <v>45931</v>
      </c>
      <c r="E2745">
        <v>23346</v>
      </c>
      <c r="F2745" t="s">
        <v>4916</v>
      </c>
      <c r="G2745">
        <v>2512</v>
      </c>
      <c r="H2745">
        <v>3</v>
      </c>
      <c r="I2745" t="s">
        <v>4744</v>
      </c>
      <c r="J2745" t="s">
        <v>5191</v>
      </c>
      <c r="K2745" t="s">
        <v>3999</v>
      </c>
      <c r="L2745">
        <v>5.77</v>
      </c>
      <c r="M2745" s="452">
        <v>45930</v>
      </c>
      <c r="N2745">
        <v>6</v>
      </c>
      <c r="O2745">
        <v>6</v>
      </c>
      <c r="P2745">
        <v>17.309999999999999</v>
      </c>
    </row>
    <row r="2746" spans="1:16" x14ac:dyDescent="0.3">
      <c r="A2746">
        <v>53657</v>
      </c>
      <c r="B2746">
        <v>105</v>
      </c>
      <c r="C2746" t="s">
        <v>557</v>
      </c>
      <c r="D2746" s="452">
        <v>45931</v>
      </c>
      <c r="E2746">
        <v>21005</v>
      </c>
      <c r="F2746" t="s">
        <v>5161</v>
      </c>
      <c r="G2746">
        <v>2007</v>
      </c>
      <c r="H2746">
        <v>0.5</v>
      </c>
      <c r="I2746" t="s">
        <v>4888</v>
      </c>
      <c r="J2746" t="s">
        <v>5191</v>
      </c>
      <c r="K2746" t="s">
        <v>3999</v>
      </c>
      <c r="L2746">
        <v>0</v>
      </c>
      <c r="M2746" s="452">
        <v>45831</v>
      </c>
      <c r="N2746">
        <v>32.9</v>
      </c>
      <c r="O2746">
        <v>79.75</v>
      </c>
      <c r="P2746">
        <v>16.45</v>
      </c>
    </row>
    <row r="2747" spans="1:16" x14ac:dyDescent="0.3">
      <c r="A2747">
        <v>53597</v>
      </c>
      <c r="B2747">
        <v>105</v>
      </c>
      <c r="C2747" t="s">
        <v>557</v>
      </c>
      <c r="D2747" s="452">
        <v>45931</v>
      </c>
      <c r="E2747">
        <v>23124</v>
      </c>
      <c r="F2747" t="s">
        <v>5126</v>
      </c>
      <c r="G2747">
        <v>2727</v>
      </c>
      <c r="H2747">
        <v>0.3</v>
      </c>
      <c r="I2747" t="s">
        <v>4744</v>
      </c>
      <c r="J2747" t="s">
        <v>5191</v>
      </c>
      <c r="K2747" t="s">
        <v>3999</v>
      </c>
      <c r="L2747">
        <v>54.73</v>
      </c>
      <c r="M2747" s="452">
        <v>45925</v>
      </c>
      <c r="N2747">
        <v>49</v>
      </c>
      <c r="O2747">
        <v>49</v>
      </c>
      <c r="P2747">
        <v>16.420000000000002</v>
      </c>
    </row>
    <row r="2748" spans="1:16" x14ac:dyDescent="0.3">
      <c r="A2748">
        <v>53404</v>
      </c>
      <c r="B2748">
        <v>105</v>
      </c>
      <c r="C2748" t="s">
        <v>557</v>
      </c>
      <c r="D2748" s="452">
        <v>45931</v>
      </c>
      <c r="E2748">
        <v>19552</v>
      </c>
      <c r="F2748" t="s">
        <v>4860</v>
      </c>
      <c r="G2748">
        <v>2664</v>
      </c>
      <c r="H2748">
        <v>4.5</v>
      </c>
      <c r="I2748" t="s">
        <v>4744</v>
      </c>
      <c r="J2748" t="s">
        <v>5191</v>
      </c>
      <c r="K2748" t="s">
        <v>3999</v>
      </c>
      <c r="L2748">
        <v>3.58</v>
      </c>
      <c r="M2748" s="452">
        <v>45929</v>
      </c>
      <c r="N2748">
        <v>3.8</v>
      </c>
      <c r="O2748">
        <v>3.8</v>
      </c>
      <c r="P2748">
        <v>16.11</v>
      </c>
    </row>
    <row r="2749" spans="1:16" x14ac:dyDescent="0.3">
      <c r="A2749">
        <v>53426</v>
      </c>
      <c r="B2749">
        <v>105</v>
      </c>
      <c r="C2749" t="s">
        <v>557</v>
      </c>
      <c r="D2749" s="452">
        <v>45931</v>
      </c>
      <c r="E2749">
        <v>19783</v>
      </c>
      <c r="F2749" t="s">
        <v>4960</v>
      </c>
      <c r="G2749">
        <v>2475</v>
      </c>
      <c r="H2749">
        <v>3.5</v>
      </c>
      <c r="I2749" t="s">
        <v>4744</v>
      </c>
      <c r="J2749" t="s">
        <v>5191</v>
      </c>
      <c r="K2749" t="s">
        <v>3999</v>
      </c>
      <c r="L2749">
        <v>0</v>
      </c>
      <c r="M2749" s="452">
        <v>45820</v>
      </c>
      <c r="N2749">
        <v>4.5</v>
      </c>
      <c r="O2749">
        <v>3.5</v>
      </c>
      <c r="P2749">
        <v>15.75</v>
      </c>
    </row>
    <row r="2750" spans="1:16" x14ac:dyDescent="0.3">
      <c r="A2750">
        <v>53600</v>
      </c>
      <c r="B2750">
        <v>105</v>
      </c>
      <c r="C2750" t="s">
        <v>557</v>
      </c>
      <c r="D2750" s="452">
        <v>45931</v>
      </c>
      <c r="E2750">
        <v>24046</v>
      </c>
      <c r="F2750" t="s">
        <v>5454</v>
      </c>
      <c r="G2750">
        <v>2315</v>
      </c>
      <c r="H2750">
        <v>0.2</v>
      </c>
      <c r="I2750" t="s">
        <v>4744</v>
      </c>
      <c r="J2750" t="s">
        <v>5191</v>
      </c>
      <c r="K2750" t="s">
        <v>3999</v>
      </c>
      <c r="L2750">
        <v>0</v>
      </c>
      <c r="M2750" s="452">
        <v>-693593</v>
      </c>
      <c r="N2750">
        <v>0</v>
      </c>
      <c r="O2750">
        <v>50.9</v>
      </c>
      <c r="P2750">
        <v>15</v>
      </c>
    </row>
    <row r="2751" spans="1:16" x14ac:dyDescent="0.3">
      <c r="A2751">
        <v>53545</v>
      </c>
      <c r="B2751">
        <v>105</v>
      </c>
      <c r="C2751" t="s">
        <v>557</v>
      </c>
      <c r="D2751" s="452">
        <v>45931</v>
      </c>
      <c r="E2751">
        <v>27145</v>
      </c>
      <c r="F2751" t="s">
        <v>5028</v>
      </c>
      <c r="G2751">
        <v>7186</v>
      </c>
      <c r="H2751">
        <v>1</v>
      </c>
      <c r="I2751" t="s">
        <v>4965</v>
      </c>
      <c r="J2751" t="s">
        <v>5222</v>
      </c>
      <c r="K2751" t="s">
        <v>3999</v>
      </c>
      <c r="L2751">
        <v>14.5</v>
      </c>
      <c r="M2751" s="452">
        <v>45909</v>
      </c>
      <c r="N2751">
        <v>14.5</v>
      </c>
      <c r="O2751">
        <v>14.5</v>
      </c>
      <c r="P2751">
        <v>14.5</v>
      </c>
    </row>
    <row r="2752" spans="1:16" x14ac:dyDescent="0.3">
      <c r="A2752">
        <v>53585</v>
      </c>
      <c r="B2752">
        <v>105</v>
      </c>
      <c r="C2752" t="s">
        <v>557</v>
      </c>
      <c r="D2752" s="452">
        <v>45931</v>
      </c>
      <c r="E2752">
        <v>20224</v>
      </c>
      <c r="F2752" t="s">
        <v>5118</v>
      </c>
      <c r="G2752">
        <v>2249</v>
      </c>
      <c r="H2752">
        <v>0.5</v>
      </c>
      <c r="I2752" t="s">
        <v>4744</v>
      </c>
      <c r="J2752" t="s">
        <v>5191</v>
      </c>
      <c r="K2752" t="s">
        <v>3999</v>
      </c>
      <c r="L2752">
        <v>29</v>
      </c>
      <c r="M2752" s="452">
        <v>45902</v>
      </c>
      <c r="N2752">
        <v>29</v>
      </c>
      <c r="O2752">
        <v>29</v>
      </c>
      <c r="P2752">
        <v>14.5</v>
      </c>
    </row>
    <row r="2753" spans="1:16" x14ac:dyDescent="0.3">
      <c r="A2753">
        <v>53541</v>
      </c>
      <c r="B2753">
        <v>105</v>
      </c>
      <c r="C2753" t="s">
        <v>557</v>
      </c>
      <c r="D2753" s="452">
        <v>45931</v>
      </c>
      <c r="E2753">
        <v>20955</v>
      </c>
      <c r="F2753" t="s">
        <v>4959</v>
      </c>
      <c r="G2753">
        <v>2019</v>
      </c>
      <c r="H2753">
        <v>1</v>
      </c>
      <c r="I2753" t="s">
        <v>4805</v>
      </c>
      <c r="J2753" t="s">
        <v>5191</v>
      </c>
      <c r="K2753" t="s">
        <v>3999</v>
      </c>
      <c r="L2753">
        <v>0</v>
      </c>
      <c r="M2753" s="452">
        <v>45888</v>
      </c>
      <c r="N2753">
        <v>13.95</v>
      </c>
      <c r="O2753">
        <v>11.91</v>
      </c>
      <c r="P2753">
        <v>13.95</v>
      </c>
    </row>
    <row r="2754" spans="1:16" x14ac:dyDescent="0.3">
      <c r="A2754">
        <v>53506</v>
      </c>
      <c r="B2754">
        <v>105</v>
      </c>
      <c r="C2754" t="s">
        <v>557</v>
      </c>
      <c r="D2754" s="452">
        <v>45931</v>
      </c>
      <c r="E2754">
        <v>23113</v>
      </c>
      <c r="F2754" t="s">
        <v>5074</v>
      </c>
      <c r="G2754">
        <v>2736</v>
      </c>
      <c r="H2754">
        <v>1.8</v>
      </c>
      <c r="I2754" t="s">
        <v>4744</v>
      </c>
      <c r="J2754" t="s">
        <v>5191</v>
      </c>
      <c r="K2754" t="s">
        <v>3999</v>
      </c>
      <c r="L2754">
        <v>7.71</v>
      </c>
      <c r="M2754" s="452">
        <v>45930</v>
      </c>
      <c r="N2754">
        <v>8</v>
      </c>
      <c r="O2754">
        <v>9.1300000000000008</v>
      </c>
      <c r="P2754">
        <v>13.88</v>
      </c>
    </row>
    <row r="2755" spans="1:16" x14ac:dyDescent="0.3">
      <c r="A2755">
        <v>53604</v>
      </c>
      <c r="B2755">
        <v>105</v>
      </c>
      <c r="C2755" t="s">
        <v>557</v>
      </c>
      <c r="D2755" s="452">
        <v>45931</v>
      </c>
      <c r="E2755">
        <v>23108</v>
      </c>
      <c r="F2755" t="s">
        <v>5117</v>
      </c>
      <c r="G2755">
        <v>2739</v>
      </c>
      <c r="H2755">
        <v>0.2</v>
      </c>
      <c r="I2755" t="s">
        <v>4744</v>
      </c>
      <c r="J2755" t="s">
        <v>5191</v>
      </c>
      <c r="K2755" t="s">
        <v>3999</v>
      </c>
      <c r="L2755">
        <v>67.25</v>
      </c>
      <c r="M2755" s="452">
        <v>45912</v>
      </c>
      <c r="N2755">
        <v>65</v>
      </c>
      <c r="O2755">
        <v>60</v>
      </c>
      <c r="P2755">
        <v>13.45</v>
      </c>
    </row>
    <row r="2756" spans="1:16" x14ac:dyDescent="0.3">
      <c r="A2756">
        <v>53519</v>
      </c>
      <c r="B2756">
        <v>105</v>
      </c>
      <c r="C2756" t="s">
        <v>557</v>
      </c>
      <c r="D2756" s="452">
        <v>45931</v>
      </c>
      <c r="E2756">
        <v>24351</v>
      </c>
      <c r="F2756" t="s">
        <v>5014</v>
      </c>
      <c r="G2756">
        <v>2287</v>
      </c>
      <c r="H2756">
        <v>1.1000000000000001</v>
      </c>
      <c r="I2756" t="s">
        <v>4736</v>
      </c>
      <c r="J2756" t="s">
        <v>5191</v>
      </c>
      <c r="K2756" t="s">
        <v>3999</v>
      </c>
      <c r="L2756">
        <v>0</v>
      </c>
      <c r="M2756" s="452">
        <v>45818</v>
      </c>
      <c r="N2756">
        <v>12</v>
      </c>
      <c r="O2756">
        <v>12.29</v>
      </c>
      <c r="P2756">
        <v>13.2</v>
      </c>
    </row>
    <row r="2757" spans="1:16" x14ac:dyDescent="0.3">
      <c r="A2757">
        <v>53361</v>
      </c>
      <c r="B2757">
        <v>105</v>
      </c>
      <c r="C2757" t="s">
        <v>557</v>
      </c>
      <c r="D2757" s="452">
        <v>45931</v>
      </c>
      <c r="E2757">
        <v>19553</v>
      </c>
      <c r="F2757" t="s">
        <v>4868</v>
      </c>
      <c r="G2757">
        <v>2663</v>
      </c>
      <c r="H2757">
        <v>6.6</v>
      </c>
      <c r="I2757" t="s">
        <v>4744</v>
      </c>
      <c r="J2757" t="s">
        <v>5191</v>
      </c>
      <c r="K2757" t="s">
        <v>3999</v>
      </c>
      <c r="L2757">
        <v>1.86</v>
      </c>
      <c r="M2757" s="452">
        <v>45929</v>
      </c>
      <c r="N2757">
        <v>1.8</v>
      </c>
      <c r="O2757">
        <v>1.8</v>
      </c>
      <c r="P2757">
        <v>12.28</v>
      </c>
    </row>
    <row r="2758" spans="1:16" x14ac:dyDescent="0.3">
      <c r="A2758">
        <v>53655</v>
      </c>
      <c r="B2758">
        <v>105</v>
      </c>
      <c r="C2758" t="s">
        <v>557</v>
      </c>
      <c r="D2758" s="452">
        <v>45931</v>
      </c>
      <c r="E2758">
        <v>20034</v>
      </c>
      <c r="F2758" t="s">
        <v>5065</v>
      </c>
      <c r="G2758">
        <v>2333</v>
      </c>
      <c r="H2758">
        <v>0.2</v>
      </c>
      <c r="I2758" t="s">
        <v>4744</v>
      </c>
      <c r="J2758" t="s">
        <v>5191</v>
      </c>
      <c r="K2758" t="s">
        <v>3999</v>
      </c>
      <c r="L2758">
        <v>0</v>
      </c>
      <c r="M2758" s="452">
        <v>-693593</v>
      </c>
      <c r="N2758">
        <v>0</v>
      </c>
      <c r="O2758">
        <v>60.8</v>
      </c>
      <c r="P2758">
        <v>12.16</v>
      </c>
    </row>
    <row r="2759" spans="1:16" x14ac:dyDescent="0.3">
      <c r="A2759">
        <v>53424</v>
      </c>
      <c r="B2759">
        <v>105</v>
      </c>
      <c r="C2759" t="s">
        <v>557</v>
      </c>
      <c r="D2759" s="452">
        <v>45931</v>
      </c>
      <c r="E2759">
        <v>19642</v>
      </c>
      <c r="F2759" t="s">
        <v>4996</v>
      </c>
      <c r="G2759">
        <v>2596</v>
      </c>
      <c r="H2759">
        <v>3.9</v>
      </c>
      <c r="I2759" t="s">
        <v>4744</v>
      </c>
      <c r="J2759" t="s">
        <v>5191</v>
      </c>
      <c r="K2759" t="s">
        <v>3999</v>
      </c>
      <c r="L2759">
        <v>3.08</v>
      </c>
      <c r="M2759" s="452">
        <v>45930</v>
      </c>
      <c r="N2759">
        <v>2.7</v>
      </c>
      <c r="O2759">
        <v>2.7</v>
      </c>
      <c r="P2759">
        <v>12.01</v>
      </c>
    </row>
    <row r="2760" spans="1:16" x14ac:dyDescent="0.3">
      <c r="A2760">
        <v>53586</v>
      </c>
      <c r="B2760">
        <v>105</v>
      </c>
      <c r="C2760" t="s">
        <v>557</v>
      </c>
      <c r="D2760" s="452">
        <v>45931</v>
      </c>
      <c r="E2760">
        <v>24272</v>
      </c>
      <c r="F2760" t="s">
        <v>5059</v>
      </c>
      <c r="G2760">
        <v>2341</v>
      </c>
      <c r="H2760">
        <v>0.5</v>
      </c>
      <c r="I2760" t="s">
        <v>4744</v>
      </c>
      <c r="J2760" t="s">
        <v>5191</v>
      </c>
      <c r="K2760" t="s">
        <v>3999</v>
      </c>
      <c r="L2760">
        <v>0</v>
      </c>
      <c r="M2760" s="452">
        <v>45737</v>
      </c>
      <c r="N2760">
        <v>24</v>
      </c>
      <c r="O2760">
        <v>24.5</v>
      </c>
      <c r="P2760">
        <v>12</v>
      </c>
    </row>
    <row r="2761" spans="1:16" x14ac:dyDescent="0.3">
      <c r="A2761">
        <v>53515</v>
      </c>
      <c r="B2761">
        <v>105</v>
      </c>
      <c r="C2761" t="s">
        <v>557</v>
      </c>
      <c r="D2761" s="452">
        <v>45931</v>
      </c>
      <c r="E2761">
        <v>19561</v>
      </c>
      <c r="F2761" t="s">
        <v>5365</v>
      </c>
      <c r="G2761">
        <v>2656</v>
      </c>
      <c r="H2761">
        <v>1.2</v>
      </c>
      <c r="I2761" t="s">
        <v>4744</v>
      </c>
      <c r="J2761" t="s">
        <v>5191</v>
      </c>
      <c r="K2761" t="s">
        <v>3999</v>
      </c>
      <c r="L2761">
        <v>9.92</v>
      </c>
      <c r="M2761" s="452">
        <v>45918</v>
      </c>
      <c r="N2761">
        <v>9.5</v>
      </c>
      <c r="O2761">
        <v>10</v>
      </c>
      <c r="P2761">
        <v>11.9</v>
      </c>
    </row>
    <row r="2762" spans="1:16" x14ac:dyDescent="0.3">
      <c r="A2762">
        <v>53514</v>
      </c>
      <c r="B2762">
        <v>105</v>
      </c>
      <c r="C2762" t="s">
        <v>557</v>
      </c>
      <c r="D2762" s="452">
        <v>45931</v>
      </c>
      <c r="E2762">
        <v>23884</v>
      </c>
      <c r="F2762" t="s">
        <v>5070</v>
      </c>
      <c r="G2762">
        <v>2015</v>
      </c>
      <c r="H2762">
        <v>1.41</v>
      </c>
      <c r="I2762" t="s">
        <v>4955</v>
      </c>
      <c r="J2762" t="s">
        <v>5191</v>
      </c>
      <c r="K2762" t="s">
        <v>3999</v>
      </c>
      <c r="L2762">
        <v>8.43</v>
      </c>
      <c r="M2762" s="452">
        <v>45911</v>
      </c>
      <c r="N2762">
        <v>8.59</v>
      </c>
      <c r="O2762">
        <v>8.59</v>
      </c>
      <c r="P2762">
        <v>11.89</v>
      </c>
    </row>
    <row r="2763" spans="1:16" x14ac:dyDescent="0.3">
      <c r="A2763">
        <v>53513</v>
      </c>
      <c r="B2763">
        <v>105</v>
      </c>
      <c r="C2763" t="s">
        <v>557</v>
      </c>
      <c r="D2763" s="452">
        <v>45931</v>
      </c>
      <c r="E2763">
        <v>24099</v>
      </c>
      <c r="F2763" t="s">
        <v>4933</v>
      </c>
      <c r="G2763">
        <v>2716</v>
      </c>
      <c r="H2763">
        <v>1.5</v>
      </c>
      <c r="I2763" t="s">
        <v>4744</v>
      </c>
      <c r="J2763" t="s">
        <v>5191</v>
      </c>
      <c r="K2763" t="s">
        <v>3999</v>
      </c>
      <c r="L2763">
        <v>7.68</v>
      </c>
      <c r="M2763" s="452">
        <v>45923</v>
      </c>
      <c r="N2763">
        <v>8</v>
      </c>
      <c r="O2763">
        <v>9</v>
      </c>
      <c r="P2763">
        <v>11.52</v>
      </c>
    </row>
    <row r="2764" spans="1:16" x14ac:dyDescent="0.3">
      <c r="A2764">
        <v>53601</v>
      </c>
      <c r="B2764">
        <v>105</v>
      </c>
      <c r="C2764" t="s">
        <v>557</v>
      </c>
      <c r="D2764" s="452">
        <v>45931</v>
      </c>
      <c r="E2764">
        <v>23548</v>
      </c>
      <c r="F2764" t="s">
        <v>5449</v>
      </c>
      <c r="G2764">
        <v>2321</v>
      </c>
      <c r="H2764">
        <v>0.2</v>
      </c>
      <c r="I2764" t="s">
        <v>4744</v>
      </c>
      <c r="J2764" t="s">
        <v>5191</v>
      </c>
      <c r="K2764" t="s">
        <v>3999</v>
      </c>
      <c r="L2764">
        <v>0</v>
      </c>
      <c r="M2764" s="452">
        <v>45519</v>
      </c>
      <c r="N2764">
        <v>56.9</v>
      </c>
      <c r="O2764">
        <v>44.9</v>
      </c>
      <c r="P2764">
        <v>11.38</v>
      </c>
    </row>
    <row r="2765" spans="1:16" x14ac:dyDescent="0.3">
      <c r="A2765">
        <v>53451</v>
      </c>
      <c r="B2765">
        <v>105</v>
      </c>
      <c r="C2765" t="s">
        <v>557</v>
      </c>
      <c r="D2765" s="452">
        <v>45931</v>
      </c>
      <c r="E2765">
        <v>19241</v>
      </c>
      <c r="F2765" t="s">
        <v>4890</v>
      </c>
      <c r="G2765">
        <v>2785</v>
      </c>
      <c r="H2765">
        <v>3</v>
      </c>
      <c r="I2765" t="s">
        <v>4736</v>
      </c>
      <c r="J2765" t="s">
        <v>5191</v>
      </c>
      <c r="K2765" t="s">
        <v>3999</v>
      </c>
      <c r="L2765">
        <v>3.75</v>
      </c>
      <c r="M2765" s="452">
        <v>45926</v>
      </c>
      <c r="N2765">
        <v>3.75</v>
      </c>
      <c r="O2765">
        <v>3.75</v>
      </c>
      <c r="P2765">
        <v>11.25</v>
      </c>
    </row>
    <row r="2766" spans="1:16" x14ac:dyDescent="0.3">
      <c r="A2766">
        <v>53548</v>
      </c>
      <c r="B2766">
        <v>105</v>
      </c>
      <c r="C2766" t="s">
        <v>557</v>
      </c>
      <c r="D2766" s="452">
        <v>45931</v>
      </c>
      <c r="E2766">
        <v>18420</v>
      </c>
      <c r="F2766" t="s">
        <v>5452</v>
      </c>
      <c r="G2766">
        <v>3222</v>
      </c>
      <c r="H2766">
        <v>1</v>
      </c>
      <c r="I2766" t="s">
        <v>4805</v>
      </c>
      <c r="J2766" t="s">
        <v>5222</v>
      </c>
      <c r="K2766" t="s">
        <v>3999</v>
      </c>
      <c r="L2766">
        <v>0</v>
      </c>
      <c r="M2766" s="452">
        <v>-693593</v>
      </c>
      <c r="N2766">
        <v>0</v>
      </c>
      <c r="O2766">
        <v>11.52</v>
      </c>
      <c r="P2766">
        <v>11.05</v>
      </c>
    </row>
    <row r="2767" spans="1:16" x14ac:dyDescent="0.3">
      <c r="A2767">
        <v>53535</v>
      </c>
      <c r="B2767">
        <v>105</v>
      </c>
      <c r="C2767" t="s">
        <v>557</v>
      </c>
      <c r="D2767" s="452">
        <v>45931</v>
      </c>
      <c r="E2767">
        <v>20790</v>
      </c>
      <c r="F2767" t="s">
        <v>5020</v>
      </c>
      <c r="G2767">
        <v>2076</v>
      </c>
      <c r="H2767">
        <v>1</v>
      </c>
      <c r="I2767" t="s">
        <v>4744</v>
      </c>
      <c r="J2767" t="s">
        <v>5191</v>
      </c>
      <c r="K2767" t="s">
        <v>3999</v>
      </c>
      <c r="L2767">
        <v>0</v>
      </c>
      <c r="M2767" s="452">
        <v>45894</v>
      </c>
      <c r="N2767">
        <v>10.199999999999999</v>
      </c>
      <c r="O2767">
        <v>9.89</v>
      </c>
      <c r="P2767">
        <v>10.199999999999999</v>
      </c>
    </row>
    <row r="2768" spans="1:16" x14ac:dyDescent="0.3">
      <c r="A2768">
        <v>53537</v>
      </c>
      <c r="B2768">
        <v>105</v>
      </c>
      <c r="C2768" t="s">
        <v>557</v>
      </c>
      <c r="D2768" s="452">
        <v>45931</v>
      </c>
      <c r="E2768">
        <v>20792</v>
      </c>
      <c r="F2768" t="s">
        <v>5022</v>
      </c>
      <c r="G2768">
        <v>2076</v>
      </c>
      <c r="H2768">
        <v>1</v>
      </c>
      <c r="I2768" t="s">
        <v>4738</v>
      </c>
      <c r="J2768" t="s">
        <v>5191</v>
      </c>
      <c r="K2768" t="s">
        <v>3999</v>
      </c>
      <c r="L2768">
        <v>0</v>
      </c>
      <c r="M2768" s="452">
        <v>45852</v>
      </c>
      <c r="N2768">
        <v>10.199999999999999</v>
      </c>
      <c r="O2768">
        <v>9.89</v>
      </c>
      <c r="P2768">
        <v>10.199999999999999</v>
      </c>
    </row>
    <row r="2769" spans="1:16" x14ac:dyDescent="0.3">
      <c r="A2769">
        <v>53583</v>
      </c>
      <c r="B2769">
        <v>105</v>
      </c>
      <c r="C2769" t="s">
        <v>557</v>
      </c>
      <c r="D2769" s="452">
        <v>45931</v>
      </c>
      <c r="E2769">
        <v>23335</v>
      </c>
      <c r="F2769" t="s">
        <v>4961</v>
      </c>
      <c r="G2769">
        <v>2523</v>
      </c>
      <c r="H2769">
        <v>0.52</v>
      </c>
      <c r="I2769" t="s">
        <v>4744</v>
      </c>
      <c r="J2769" t="s">
        <v>5191</v>
      </c>
      <c r="K2769" t="s">
        <v>3999</v>
      </c>
      <c r="L2769">
        <v>19.3</v>
      </c>
      <c r="M2769" s="452">
        <v>45915</v>
      </c>
      <c r="N2769">
        <v>20</v>
      </c>
      <c r="O2769">
        <v>20.190000000000001</v>
      </c>
      <c r="P2769">
        <v>10.039999999999999</v>
      </c>
    </row>
    <row r="2770" spans="1:16" x14ac:dyDescent="0.3">
      <c r="A2770">
        <v>53418</v>
      </c>
      <c r="B2770">
        <v>105</v>
      </c>
      <c r="C2770" t="s">
        <v>557</v>
      </c>
      <c r="D2770" s="452">
        <v>45931</v>
      </c>
      <c r="E2770">
        <v>19632</v>
      </c>
      <c r="F2770" t="s">
        <v>4936</v>
      </c>
      <c r="G2770">
        <v>2604</v>
      </c>
      <c r="H2770">
        <v>4</v>
      </c>
      <c r="I2770" t="s">
        <v>4744</v>
      </c>
      <c r="J2770" t="s">
        <v>5191</v>
      </c>
      <c r="K2770" t="s">
        <v>3999</v>
      </c>
      <c r="L2770">
        <v>2.48</v>
      </c>
      <c r="M2770" s="452">
        <v>45930</v>
      </c>
      <c r="N2770">
        <v>1.83</v>
      </c>
      <c r="O2770">
        <v>1.83</v>
      </c>
      <c r="P2770">
        <v>9.92</v>
      </c>
    </row>
    <row r="2771" spans="1:16" x14ac:dyDescent="0.3">
      <c r="A2771">
        <v>53536</v>
      </c>
      <c r="B2771">
        <v>105</v>
      </c>
      <c r="C2771" t="s">
        <v>557</v>
      </c>
      <c r="D2771" s="452">
        <v>45931</v>
      </c>
      <c r="E2771">
        <v>20791</v>
      </c>
      <c r="F2771" t="s">
        <v>5021</v>
      </c>
      <c r="G2771">
        <v>2076</v>
      </c>
      <c r="H2771">
        <v>1</v>
      </c>
      <c r="I2771" t="s">
        <v>4738</v>
      </c>
      <c r="J2771" t="s">
        <v>5191</v>
      </c>
      <c r="K2771" t="s">
        <v>3999</v>
      </c>
      <c r="L2771">
        <v>9.89</v>
      </c>
      <c r="M2771" s="452">
        <v>45901</v>
      </c>
      <c r="N2771">
        <v>9.89</v>
      </c>
      <c r="O2771">
        <v>9.89</v>
      </c>
      <c r="P2771">
        <v>9.89</v>
      </c>
    </row>
    <row r="2772" spans="1:16" x14ac:dyDescent="0.3">
      <c r="A2772">
        <v>53538</v>
      </c>
      <c r="B2772">
        <v>105</v>
      </c>
      <c r="C2772" t="s">
        <v>557</v>
      </c>
      <c r="D2772" s="452">
        <v>45931</v>
      </c>
      <c r="E2772">
        <v>20794</v>
      </c>
      <c r="F2772" t="s">
        <v>5023</v>
      </c>
      <c r="G2772">
        <v>2076</v>
      </c>
      <c r="H2772">
        <v>1</v>
      </c>
      <c r="I2772" t="s">
        <v>4744</v>
      </c>
      <c r="J2772" t="s">
        <v>5191</v>
      </c>
      <c r="K2772" t="s">
        <v>3999</v>
      </c>
      <c r="L2772">
        <v>9.89</v>
      </c>
      <c r="M2772" s="452">
        <v>45901</v>
      </c>
      <c r="N2772">
        <v>9.89</v>
      </c>
      <c r="O2772">
        <v>9.89</v>
      </c>
      <c r="P2772">
        <v>9.89</v>
      </c>
    </row>
    <row r="2773" spans="1:16" x14ac:dyDescent="0.3">
      <c r="A2773">
        <v>53539</v>
      </c>
      <c r="B2773">
        <v>105</v>
      </c>
      <c r="C2773" t="s">
        <v>557</v>
      </c>
      <c r="D2773" s="452">
        <v>45931</v>
      </c>
      <c r="E2773">
        <v>20795</v>
      </c>
      <c r="F2773" t="s">
        <v>5024</v>
      </c>
      <c r="G2773">
        <v>2076</v>
      </c>
      <c r="H2773">
        <v>1</v>
      </c>
      <c r="I2773" t="s">
        <v>4738</v>
      </c>
      <c r="J2773" t="s">
        <v>5191</v>
      </c>
      <c r="K2773" t="s">
        <v>3999</v>
      </c>
      <c r="L2773">
        <v>9.89</v>
      </c>
      <c r="M2773" s="452">
        <v>45901</v>
      </c>
      <c r="N2773">
        <v>9.89</v>
      </c>
      <c r="O2773">
        <v>9.89</v>
      </c>
      <c r="P2773">
        <v>9.89</v>
      </c>
    </row>
    <row r="2774" spans="1:16" x14ac:dyDescent="0.3">
      <c r="A2774">
        <v>53651</v>
      </c>
      <c r="B2774">
        <v>105</v>
      </c>
      <c r="C2774" t="s">
        <v>557</v>
      </c>
      <c r="D2774" s="452">
        <v>45931</v>
      </c>
      <c r="E2774">
        <v>25079</v>
      </c>
      <c r="F2774" t="s">
        <v>5006</v>
      </c>
      <c r="G2774">
        <v>2239</v>
      </c>
      <c r="H2774">
        <v>1.1000000000000001</v>
      </c>
      <c r="I2774" t="s">
        <v>4738</v>
      </c>
      <c r="J2774" t="s">
        <v>5191</v>
      </c>
      <c r="K2774" t="s">
        <v>3999</v>
      </c>
      <c r="L2774">
        <v>0</v>
      </c>
      <c r="M2774" s="452">
        <v>-693593</v>
      </c>
      <c r="N2774">
        <v>0</v>
      </c>
      <c r="O2774">
        <v>8.9499999999999993</v>
      </c>
      <c r="P2774">
        <v>9.85</v>
      </c>
    </row>
    <row r="2775" spans="1:16" x14ac:dyDescent="0.3">
      <c r="A2775">
        <v>53582</v>
      </c>
      <c r="B2775">
        <v>105</v>
      </c>
      <c r="C2775" t="s">
        <v>557</v>
      </c>
      <c r="D2775" s="452">
        <v>45931</v>
      </c>
      <c r="E2775">
        <v>19617</v>
      </c>
      <c r="F2775" t="s">
        <v>5071</v>
      </c>
      <c r="G2775">
        <v>2617</v>
      </c>
      <c r="H2775">
        <v>0.55000000000000004</v>
      </c>
      <c r="I2775" t="s">
        <v>4744</v>
      </c>
      <c r="J2775" t="s">
        <v>5191</v>
      </c>
      <c r="K2775" t="s">
        <v>3999</v>
      </c>
      <c r="L2775">
        <v>17.829999999999998</v>
      </c>
      <c r="M2775" s="452">
        <v>45929</v>
      </c>
      <c r="N2775">
        <v>18</v>
      </c>
      <c r="O2775">
        <v>14.29</v>
      </c>
      <c r="P2775">
        <v>9.81</v>
      </c>
    </row>
    <row r="2776" spans="1:16" x14ac:dyDescent="0.3">
      <c r="A2776">
        <v>53581</v>
      </c>
      <c r="B2776">
        <v>105</v>
      </c>
      <c r="C2776" t="s">
        <v>557</v>
      </c>
      <c r="D2776" s="452">
        <v>45931</v>
      </c>
      <c r="E2776">
        <v>24323</v>
      </c>
      <c r="F2776" t="s">
        <v>4844</v>
      </c>
      <c r="G2776">
        <v>2262</v>
      </c>
      <c r="H2776">
        <v>0.6</v>
      </c>
      <c r="I2776" t="s">
        <v>4744</v>
      </c>
      <c r="J2776" t="s">
        <v>5191</v>
      </c>
      <c r="K2776" t="s">
        <v>3999</v>
      </c>
      <c r="L2776">
        <v>0</v>
      </c>
      <c r="M2776" s="452">
        <v>45817</v>
      </c>
      <c r="N2776">
        <v>16.2</v>
      </c>
      <c r="O2776">
        <v>15.5</v>
      </c>
      <c r="P2776">
        <v>9.7200000000000006</v>
      </c>
    </row>
    <row r="2777" spans="1:16" x14ac:dyDescent="0.3">
      <c r="A2777">
        <v>53571</v>
      </c>
      <c r="B2777">
        <v>105</v>
      </c>
      <c r="C2777" t="s">
        <v>557</v>
      </c>
      <c r="D2777" s="452">
        <v>45931</v>
      </c>
      <c r="E2777">
        <v>21979</v>
      </c>
      <c r="F2777" t="s">
        <v>5467</v>
      </c>
      <c r="G2777">
        <v>3712</v>
      </c>
      <c r="H2777">
        <v>1</v>
      </c>
      <c r="I2777" t="s">
        <v>4749</v>
      </c>
      <c r="J2777" t="s">
        <v>5222</v>
      </c>
      <c r="K2777" t="s">
        <v>3999</v>
      </c>
      <c r="L2777">
        <v>0</v>
      </c>
      <c r="M2777" s="452">
        <v>45887</v>
      </c>
      <c r="N2777">
        <v>9.6199999999999992</v>
      </c>
      <c r="O2777">
        <v>9.6199999999999992</v>
      </c>
      <c r="P2777">
        <v>9.6199999999999992</v>
      </c>
    </row>
    <row r="2778" spans="1:16" x14ac:dyDescent="0.3">
      <c r="A2778">
        <v>53508</v>
      </c>
      <c r="B2778">
        <v>105</v>
      </c>
      <c r="C2778" t="s">
        <v>557</v>
      </c>
      <c r="D2778" s="452">
        <v>45931</v>
      </c>
      <c r="E2778">
        <v>19465</v>
      </c>
      <c r="F2778" t="s">
        <v>5114</v>
      </c>
      <c r="G2778">
        <v>2737</v>
      </c>
      <c r="H2778">
        <v>1.7</v>
      </c>
      <c r="I2778" t="s">
        <v>4744</v>
      </c>
      <c r="J2778" t="s">
        <v>5191</v>
      </c>
      <c r="K2778" t="s">
        <v>3999</v>
      </c>
      <c r="L2778">
        <v>5.18</v>
      </c>
      <c r="M2778" s="452">
        <v>45918</v>
      </c>
      <c r="N2778">
        <v>7</v>
      </c>
      <c r="O2778">
        <v>5.23</v>
      </c>
      <c r="P2778">
        <v>8.81</v>
      </c>
    </row>
    <row r="2779" spans="1:16" x14ac:dyDescent="0.3">
      <c r="A2779">
        <v>53543</v>
      </c>
      <c r="B2779">
        <v>105</v>
      </c>
      <c r="C2779" t="s">
        <v>557</v>
      </c>
      <c r="D2779" s="452">
        <v>45931</v>
      </c>
      <c r="E2779">
        <v>24598</v>
      </c>
      <c r="F2779" t="s">
        <v>4852</v>
      </c>
      <c r="G2779">
        <v>2725</v>
      </c>
      <c r="H2779">
        <v>1</v>
      </c>
      <c r="I2779" t="s">
        <v>4744</v>
      </c>
      <c r="J2779" t="s">
        <v>5191</v>
      </c>
      <c r="K2779" t="s">
        <v>3999</v>
      </c>
      <c r="L2779">
        <v>8.7100000000000009</v>
      </c>
      <c r="M2779" s="452">
        <v>45922</v>
      </c>
      <c r="N2779">
        <v>9</v>
      </c>
      <c r="O2779">
        <v>8</v>
      </c>
      <c r="P2779">
        <v>8.7100000000000009</v>
      </c>
    </row>
    <row r="2780" spans="1:16" x14ac:dyDescent="0.3">
      <c r="A2780">
        <v>53584</v>
      </c>
      <c r="B2780">
        <v>105</v>
      </c>
      <c r="C2780" t="s">
        <v>557</v>
      </c>
      <c r="D2780" s="452">
        <v>45931</v>
      </c>
      <c r="E2780">
        <v>24110</v>
      </c>
      <c r="F2780" t="s">
        <v>5450</v>
      </c>
      <c r="G2780">
        <v>2322</v>
      </c>
      <c r="H2780">
        <v>0.5</v>
      </c>
      <c r="I2780" t="s">
        <v>4744</v>
      </c>
      <c r="J2780" t="s">
        <v>5191</v>
      </c>
      <c r="K2780" t="s">
        <v>3999</v>
      </c>
      <c r="L2780">
        <v>0</v>
      </c>
      <c r="M2780" s="452">
        <v>45478</v>
      </c>
      <c r="N2780">
        <v>17.2</v>
      </c>
      <c r="O2780">
        <v>14.6</v>
      </c>
      <c r="P2780">
        <v>8.6</v>
      </c>
    </row>
    <row r="2781" spans="1:16" x14ac:dyDescent="0.3">
      <c r="A2781">
        <v>53544</v>
      </c>
      <c r="B2781">
        <v>105</v>
      </c>
      <c r="C2781" t="s">
        <v>557</v>
      </c>
      <c r="D2781" s="452">
        <v>45931</v>
      </c>
      <c r="E2781">
        <v>19742</v>
      </c>
      <c r="F2781" t="s">
        <v>4900</v>
      </c>
      <c r="G2781">
        <v>2511</v>
      </c>
      <c r="H2781">
        <v>1</v>
      </c>
      <c r="I2781" t="s">
        <v>4744</v>
      </c>
      <c r="J2781" t="s">
        <v>5191</v>
      </c>
      <c r="K2781" t="s">
        <v>3999</v>
      </c>
      <c r="L2781">
        <v>8.59</v>
      </c>
      <c r="M2781" s="452">
        <v>45923</v>
      </c>
      <c r="N2781">
        <v>9</v>
      </c>
      <c r="O2781">
        <v>8</v>
      </c>
      <c r="P2781">
        <v>8.59</v>
      </c>
    </row>
    <row r="2782" spans="1:16" x14ac:dyDescent="0.3">
      <c r="A2782">
        <v>53598</v>
      </c>
      <c r="B2782">
        <v>105</v>
      </c>
      <c r="C2782" t="s">
        <v>557</v>
      </c>
      <c r="D2782" s="452">
        <v>45931</v>
      </c>
      <c r="E2782">
        <v>19575</v>
      </c>
      <c r="F2782" t="s">
        <v>5120</v>
      </c>
      <c r="G2782">
        <v>2643</v>
      </c>
      <c r="H2782">
        <v>0.3</v>
      </c>
      <c r="I2782" t="s">
        <v>4744</v>
      </c>
      <c r="J2782" t="s">
        <v>5191</v>
      </c>
      <c r="K2782" t="s">
        <v>3999</v>
      </c>
      <c r="L2782">
        <v>28</v>
      </c>
      <c r="M2782" s="452">
        <v>45922</v>
      </c>
      <c r="N2782">
        <v>28</v>
      </c>
      <c r="O2782">
        <v>27</v>
      </c>
      <c r="P2782">
        <v>8.4</v>
      </c>
    </row>
    <row r="2783" spans="1:16" x14ac:dyDescent="0.3">
      <c r="A2783">
        <v>53540</v>
      </c>
      <c r="B2783">
        <v>105</v>
      </c>
      <c r="C2783" t="s">
        <v>557</v>
      </c>
      <c r="D2783" s="452">
        <v>45931</v>
      </c>
      <c r="E2783">
        <v>20961</v>
      </c>
      <c r="F2783" t="s">
        <v>5026</v>
      </c>
      <c r="G2783">
        <v>2015</v>
      </c>
      <c r="H2783">
        <v>1</v>
      </c>
      <c r="I2783" t="s">
        <v>4736</v>
      </c>
      <c r="J2783" t="s">
        <v>5191</v>
      </c>
      <c r="K2783" t="s">
        <v>3999</v>
      </c>
      <c r="L2783">
        <v>8.26</v>
      </c>
      <c r="M2783" s="452">
        <v>45918</v>
      </c>
      <c r="N2783">
        <v>8.36</v>
      </c>
      <c r="O2783">
        <v>8.36</v>
      </c>
      <c r="P2783">
        <v>8.26</v>
      </c>
    </row>
    <row r="2784" spans="1:16" x14ac:dyDescent="0.3">
      <c r="A2784">
        <v>53484</v>
      </c>
      <c r="B2784">
        <v>105</v>
      </c>
      <c r="C2784" t="s">
        <v>557</v>
      </c>
      <c r="D2784" s="452">
        <v>45931</v>
      </c>
      <c r="E2784">
        <v>25822</v>
      </c>
      <c r="F2784" t="s">
        <v>5468</v>
      </c>
      <c r="G2784">
        <v>6359</v>
      </c>
      <c r="H2784">
        <v>2</v>
      </c>
      <c r="I2784" t="s">
        <v>4736</v>
      </c>
      <c r="J2784" t="s">
        <v>5191</v>
      </c>
      <c r="K2784" t="s">
        <v>3999</v>
      </c>
      <c r="L2784">
        <v>3.59</v>
      </c>
      <c r="M2784" s="452">
        <v>45911</v>
      </c>
      <c r="N2784">
        <v>3.59</v>
      </c>
      <c r="O2784">
        <v>3.59</v>
      </c>
      <c r="P2784">
        <v>7.18</v>
      </c>
    </row>
    <row r="2785" spans="1:16" x14ac:dyDescent="0.3">
      <c r="A2785">
        <v>53578</v>
      </c>
      <c r="B2785">
        <v>105</v>
      </c>
      <c r="C2785" t="s">
        <v>557</v>
      </c>
      <c r="D2785" s="452">
        <v>45931</v>
      </c>
      <c r="E2785">
        <v>19577</v>
      </c>
      <c r="F2785" t="s">
        <v>4984</v>
      </c>
      <c r="G2785">
        <v>2641</v>
      </c>
      <c r="H2785">
        <v>0.7</v>
      </c>
      <c r="I2785" t="s">
        <v>4736</v>
      </c>
      <c r="J2785" t="s">
        <v>5191</v>
      </c>
      <c r="K2785" t="s">
        <v>3999</v>
      </c>
      <c r="L2785">
        <v>0</v>
      </c>
      <c r="M2785" s="452">
        <v>45532</v>
      </c>
      <c r="N2785">
        <v>10.199999999999999</v>
      </c>
      <c r="O2785">
        <v>16.899999999999999</v>
      </c>
      <c r="P2785">
        <v>7.14</v>
      </c>
    </row>
    <row r="2786" spans="1:16" x14ac:dyDescent="0.3">
      <c r="A2786">
        <v>53521</v>
      </c>
      <c r="B2786">
        <v>105</v>
      </c>
      <c r="C2786" t="s">
        <v>557</v>
      </c>
      <c r="D2786" s="452">
        <v>45931</v>
      </c>
      <c r="E2786">
        <v>23236</v>
      </c>
      <c r="F2786" t="s">
        <v>5062</v>
      </c>
      <c r="G2786">
        <v>2620</v>
      </c>
      <c r="H2786">
        <v>1.1000000000000001</v>
      </c>
      <c r="I2786" t="s">
        <v>4744</v>
      </c>
      <c r="J2786" t="s">
        <v>5191</v>
      </c>
      <c r="K2786" t="s">
        <v>3999</v>
      </c>
      <c r="L2786">
        <v>5.67</v>
      </c>
      <c r="M2786" s="452">
        <v>45930</v>
      </c>
      <c r="N2786">
        <v>5.8</v>
      </c>
      <c r="O2786">
        <v>5.8</v>
      </c>
      <c r="P2786">
        <v>6.24</v>
      </c>
    </row>
    <row r="2787" spans="1:16" x14ac:dyDescent="0.3">
      <c r="A2787">
        <v>53534</v>
      </c>
      <c r="B2787">
        <v>105</v>
      </c>
      <c r="C2787" t="s">
        <v>557</v>
      </c>
      <c r="D2787" s="452">
        <v>45931</v>
      </c>
      <c r="E2787">
        <v>19982</v>
      </c>
      <c r="F2787" t="s">
        <v>5017</v>
      </c>
      <c r="G2787">
        <v>2351</v>
      </c>
      <c r="H2787">
        <v>1</v>
      </c>
      <c r="I2787" t="s">
        <v>4888</v>
      </c>
      <c r="J2787" t="s">
        <v>5191</v>
      </c>
      <c r="K2787" t="s">
        <v>3999</v>
      </c>
      <c r="L2787">
        <v>6.15</v>
      </c>
      <c r="M2787" s="452">
        <v>45918</v>
      </c>
      <c r="N2787">
        <v>6.15</v>
      </c>
      <c r="O2787">
        <v>6.15</v>
      </c>
      <c r="P2787">
        <v>6.15</v>
      </c>
    </row>
    <row r="2788" spans="1:16" x14ac:dyDescent="0.3">
      <c r="A2788">
        <v>53580</v>
      </c>
      <c r="B2788">
        <v>105</v>
      </c>
      <c r="C2788" t="s">
        <v>557</v>
      </c>
      <c r="D2788" s="452">
        <v>45931</v>
      </c>
      <c r="E2788">
        <v>19488</v>
      </c>
      <c r="F2788" t="s">
        <v>5107</v>
      </c>
      <c r="G2788">
        <v>2720</v>
      </c>
      <c r="H2788">
        <v>0.65</v>
      </c>
      <c r="I2788" t="s">
        <v>4744</v>
      </c>
      <c r="J2788" t="s">
        <v>5191</v>
      </c>
      <c r="K2788" t="s">
        <v>3999</v>
      </c>
      <c r="L2788">
        <v>9.19</v>
      </c>
      <c r="M2788" s="452">
        <v>45923</v>
      </c>
      <c r="N2788">
        <v>10</v>
      </c>
      <c r="O2788">
        <v>11</v>
      </c>
      <c r="P2788">
        <v>5.97</v>
      </c>
    </row>
    <row r="2789" spans="1:16" x14ac:dyDescent="0.3">
      <c r="A2789">
        <v>53473</v>
      </c>
      <c r="B2789">
        <v>105</v>
      </c>
      <c r="C2789" t="s">
        <v>557</v>
      </c>
      <c r="D2789" s="452">
        <v>45931</v>
      </c>
      <c r="E2789">
        <v>19622</v>
      </c>
      <c r="F2789" t="s">
        <v>4915</v>
      </c>
      <c r="G2789">
        <v>2612</v>
      </c>
      <c r="H2789">
        <v>2.35</v>
      </c>
      <c r="I2789" t="s">
        <v>4744</v>
      </c>
      <c r="J2789" t="s">
        <v>5191</v>
      </c>
      <c r="K2789" t="s">
        <v>3999</v>
      </c>
      <c r="L2789">
        <v>2.2999999999999998</v>
      </c>
      <c r="M2789" s="452">
        <v>45930</v>
      </c>
      <c r="N2789">
        <v>2.29</v>
      </c>
      <c r="O2789">
        <v>2.29</v>
      </c>
      <c r="P2789">
        <v>5.4</v>
      </c>
    </row>
    <row r="2790" spans="1:16" x14ac:dyDescent="0.3">
      <c r="A2790">
        <v>53603</v>
      </c>
      <c r="B2790">
        <v>105</v>
      </c>
      <c r="C2790" t="s">
        <v>557</v>
      </c>
      <c r="D2790" s="452">
        <v>45931</v>
      </c>
      <c r="E2790">
        <v>19526</v>
      </c>
      <c r="F2790" t="s">
        <v>4997</v>
      </c>
      <c r="G2790">
        <v>2687</v>
      </c>
      <c r="H2790">
        <v>0.2</v>
      </c>
      <c r="I2790" t="s">
        <v>4744</v>
      </c>
      <c r="J2790" t="s">
        <v>5191</v>
      </c>
      <c r="K2790" t="s">
        <v>3999</v>
      </c>
      <c r="L2790">
        <v>25.94</v>
      </c>
      <c r="M2790" s="452">
        <v>45922</v>
      </c>
      <c r="N2790">
        <v>25</v>
      </c>
      <c r="O2790">
        <v>23.99</v>
      </c>
      <c r="P2790">
        <v>5.19</v>
      </c>
    </row>
    <row r="2791" spans="1:16" x14ac:dyDescent="0.3">
      <c r="A2791">
        <v>53489</v>
      </c>
      <c r="B2791">
        <v>105</v>
      </c>
      <c r="C2791" t="s">
        <v>557</v>
      </c>
      <c r="D2791" s="452">
        <v>45931</v>
      </c>
      <c r="E2791">
        <v>23241</v>
      </c>
      <c r="F2791" t="s">
        <v>5469</v>
      </c>
      <c r="G2791">
        <v>2616</v>
      </c>
      <c r="H2791">
        <v>2</v>
      </c>
      <c r="I2791" t="s">
        <v>4744</v>
      </c>
      <c r="J2791" t="s">
        <v>5191</v>
      </c>
      <c r="K2791" t="s">
        <v>3999</v>
      </c>
      <c r="L2791">
        <v>0</v>
      </c>
      <c r="M2791" s="452">
        <v>45890</v>
      </c>
      <c r="N2791">
        <v>2.56</v>
      </c>
      <c r="O2791">
        <v>4.92</v>
      </c>
      <c r="P2791">
        <v>5.12</v>
      </c>
    </row>
    <row r="2792" spans="1:16" x14ac:dyDescent="0.3">
      <c r="A2792">
        <v>53574</v>
      </c>
      <c r="B2792">
        <v>105</v>
      </c>
      <c r="C2792" t="s">
        <v>557</v>
      </c>
      <c r="D2792" s="452">
        <v>45931</v>
      </c>
      <c r="E2792">
        <v>23195</v>
      </c>
      <c r="F2792" t="s">
        <v>5051</v>
      </c>
      <c r="G2792">
        <v>2660</v>
      </c>
      <c r="H2792">
        <v>0.9</v>
      </c>
      <c r="I2792" t="s">
        <v>4744</v>
      </c>
      <c r="J2792" t="s">
        <v>5191</v>
      </c>
      <c r="K2792" t="s">
        <v>3999</v>
      </c>
      <c r="L2792">
        <v>5.5</v>
      </c>
      <c r="M2792" s="452">
        <v>45930</v>
      </c>
      <c r="N2792">
        <v>6</v>
      </c>
      <c r="O2792">
        <v>6</v>
      </c>
      <c r="P2792">
        <v>4.95</v>
      </c>
    </row>
    <row r="2793" spans="1:16" x14ac:dyDescent="0.3">
      <c r="A2793">
        <v>53529</v>
      </c>
      <c r="B2793">
        <v>105</v>
      </c>
      <c r="C2793" t="s">
        <v>557</v>
      </c>
      <c r="D2793" s="452">
        <v>45931</v>
      </c>
      <c r="E2793">
        <v>20359</v>
      </c>
      <c r="F2793" t="s">
        <v>5446</v>
      </c>
      <c r="G2793">
        <v>2199</v>
      </c>
      <c r="H2793">
        <v>1</v>
      </c>
      <c r="I2793" t="s">
        <v>4736</v>
      </c>
      <c r="J2793" t="s">
        <v>5191</v>
      </c>
      <c r="K2793" t="s">
        <v>3999</v>
      </c>
      <c r="L2793">
        <v>0</v>
      </c>
      <c r="M2793" s="452">
        <v>45846</v>
      </c>
      <c r="N2793">
        <v>4.76</v>
      </c>
      <c r="O2793">
        <v>4.8</v>
      </c>
      <c r="P2793">
        <v>4.76</v>
      </c>
    </row>
    <row r="2794" spans="1:16" x14ac:dyDescent="0.3">
      <c r="A2794">
        <v>53599</v>
      </c>
      <c r="B2794">
        <v>105</v>
      </c>
      <c r="C2794" t="s">
        <v>557</v>
      </c>
      <c r="D2794" s="452">
        <v>45931</v>
      </c>
      <c r="E2794">
        <v>19572</v>
      </c>
      <c r="F2794" t="s">
        <v>4989</v>
      </c>
      <c r="G2794">
        <v>2646</v>
      </c>
      <c r="H2794">
        <v>0.24</v>
      </c>
      <c r="I2794" t="s">
        <v>4744</v>
      </c>
      <c r="J2794" t="s">
        <v>5191</v>
      </c>
      <c r="K2794" t="s">
        <v>3999</v>
      </c>
      <c r="L2794">
        <v>18.059999999999999</v>
      </c>
      <c r="M2794" s="452">
        <v>45925</v>
      </c>
      <c r="N2794">
        <v>24</v>
      </c>
      <c r="O2794">
        <v>21.47</v>
      </c>
      <c r="P2794">
        <v>4.33</v>
      </c>
    </row>
    <row r="2795" spans="1:16" x14ac:dyDescent="0.3">
      <c r="A2795">
        <v>53596</v>
      </c>
      <c r="B2795">
        <v>105</v>
      </c>
      <c r="C2795" t="s">
        <v>557</v>
      </c>
      <c r="D2795" s="452">
        <v>45931</v>
      </c>
      <c r="E2795">
        <v>19480</v>
      </c>
      <c r="F2795" t="s">
        <v>5119</v>
      </c>
      <c r="G2795">
        <v>2726</v>
      </c>
      <c r="H2795">
        <v>0.35</v>
      </c>
      <c r="I2795" t="s">
        <v>4744</v>
      </c>
      <c r="J2795" t="s">
        <v>5191</v>
      </c>
      <c r="K2795" t="s">
        <v>3999</v>
      </c>
      <c r="L2795">
        <v>12.03</v>
      </c>
      <c r="M2795" s="452">
        <v>45930</v>
      </c>
      <c r="N2795">
        <v>11</v>
      </c>
      <c r="O2795">
        <v>11</v>
      </c>
      <c r="P2795">
        <v>4.21</v>
      </c>
    </row>
    <row r="2796" spans="1:16" x14ac:dyDescent="0.3">
      <c r="A2796">
        <v>53587</v>
      </c>
      <c r="B2796">
        <v>105</v>
      </c>
      <c r="C2796" t="s">
        <v>557</v>
      </c>
      <c r="D2796" s="452">
        <v>45931</v>
      </c>
      <c r="E2796">
        <v>19647</v>
      </c>
      <c r="F2796" t="s">
        <v>5050</v>
      </c>
      <c r="G2796">
        <v>2591</v>
      </c>
      <c r="H2796">
        <v>0.5</v>
      </c>
      <c r="I2796" t="s">
        <v>4744</v>
      </c>
      <c r="J2796" t="s">
        <v>5191</v>
      </c>
      <c r="K2796" t="s">
        <v>3999</v>
      </c>
      <c r="L2796">
        <v>8.0500000000000007</v>
      </c>
      <c r="M2796" s="452">
        <v>45929</v>
      </c>
      <c r="N2796">
        <v>8.5</v>
      </c>
      <c r="O2796">
        <v>8.48</v>
      </c>
      <c r="P2796">
        <v>4.03</v>
      </c>
    </row>
    <row r="2797" spans="1:16" x14ac:dyDescent="0.3">
      <c r="A2797">
        <v>53588</v>
      </c>
      <c r="B2797">
        <v>105</v>
      </c>
      <c r="C2797" t="s">
        <v>557</v>
      </c>
      <c r="D2797" s="452">
        <v>45931</v>
      </c>
      <c r="E2797">
        <v>19607</v>
      </c>
      <c r="F2797" t="s">
        <v>4981</v>
      </c>
      <c r="G2797">
        <v>2623</v>
      </c>
      <c r="H2797">
        <v>0.5</v>
      </c>
      <c r="I2797" t="s">
        <v>4744</v>
      </c>
      <c r="J2797" t="s">
        <v>5191</v>
      </c>
      <c r="K2797" t="s">
        <v>3999</v>
      </c>
      <c r="L2797">
        <v>7.4</v>
      </c>
      <c r="M2797" s="452">
        <v>45930</v>
      </c>
      <c r="N2797">
        <v>5</v>
      </c>
      <c r="O2797">
        <v>5.01</v>
      </c>
      <c r="P2797">
        <v>3.7</v>
      </c>
    </row>
    <row r="2798" spans="1:16" x14ac:dyDescent="0.3">
      <c r="A2798">
        <v>53621</v>
      </c>
      <c r="B2798">
        <v>105</v>
      </c>
      <c r="C2798" t="s">
        <v>557</v>
      </c>
      <c r="D2798" s="452">
        <v>45931</v>
      </c>
      <c r="E2798">
        <v>18281</v>
      </c>
      <c r="F2798" t="s">
        <v>5470</v>
      </c>
      <c r="G2798">
        <v>3346</v>
      </c>
      <c r="H2798">
        <v>0.1</v>
      </c>
      <c r="I2798" t="s">
        <v>4805</v>
      </c>
      <c r="J2798" t="s">
        <v>5222</v>
      </c>
      <c r="K2798" t="s">
        <v>3999</v>
      </c>
      <c r="L2798">
        <v>0</v>
      </c>
      <c r="M2798" s="452">
        <v>45547</v>
      </c>
      <c r="N2798">
        <v>34.299999999999997</v>
      </c>
      <c r="O2798">
        <v>36.25</v>
      </c>
      <c r="P2798">
        <v>3.43</v>
      </c>
    </row>
    <row r="2799" spans="1:16" x14ac:dyDescent="0.3">
      <c r="A2799">
        <v>53652</v>
      </c>
      <c r="B2799">
        <v>105</v>
      </c>
      <c r="C2799" t="s">
        <v>557</v>
      </c>
      <c r="D2799" s="452">
        <v>45931</v>
      </c>
      <c r="E2799">
        <v>24674</v>
      </c>
      <c r="F2799" t="s">
        <v>5060</v>
      </c>
      <c r="G2799">
        <v>5709</v>
      </c>
      <c r="H2799">
        <v>2.1</v>
      </c>
      <c r="I2799" t="s">
        <v>4744</v>
      </c>
      <c r="J2799" t="s">
        <v>5191</v>
      </c>
      <c r="K2799" t="s">
        <v>3999</v>
      </c>
      <c r="L2799">
        <v>0</v>
      </c>
      <c r="M2799" s="452">
        <v>-693593</v>
      </c>
      <c r="N2799">
        <v>0</v>
      </c>
      <c r="O2799">
        <v>1.2</v>
      </c>
      <c r="P2799">
        <v>2.52</v>
      </c>
    </row>
    <row r="2800" spans="1:16" x14ac:dyDescent="0.3">
      <c r="A2800">
        <v>53656</v>
      </c>
      <c r="B2800">
        <v>105</v>
      </c>
      <c r="C2800" t="s">
        <v>557</v>
      </c>
      <c r="D2800" s="452">
        <v>45931</v>
      </c>
      <c r="E2800">
        <v>21100</v>
      </c>
      <c r="F2800" t="s">
        <v>5471</v>
      </c>
      <c r="G2800">
        <v>1986</v>
      </c>
      <c r="H2800">
        <v>0.7</v>
      </c>
      <c r="I2800" t="s">
        <v>4738</v>
      </c>
      <c r="J2800" t="s">
        <v>5191</v>
      </c>
      <c r="K2800" t="s">
        <v>3999</v>
      </c>
      <c r="L2800">
        <v>0</v>
      </c>
      <c r="M2800" s="452">
        <v>-693593</v>
      </c>
      <c r="N2800">
        <v>0</v>
      </c>
      <c r="O2800">
        <v>3.45</v>
      </c>
      <c r="P2800">
        <v>2.42</v>
      </c>
    </row>
    <row r="2801" spans="1:16" x14ac:dyDescent="0.3">
      <c r="A2801">
        <v>48957</v>
      </c>
      <c r="B2801">
        <v>105</v>
      </c>
      <c r="C2801" t="s">
        <v>557</v>
      </c>
      <c r="D2801" s="452">
        <v>45901</v>
      </c>
      <c r="E2801">
        <v>18636</v>
      </c>
      <c r="F2801" t="s">
        <v>4964</v>
      </c>
      <c r="G2801">
        <v>3075</v>
      </c>
      <c r="H2801">
        <v>5</v>
      </c>
      <c r="I2801" t="s">
        <v>4965</v>
      </c>
      <c r="J2801" t="s">
        <v>5222</v>
      </c>
      <c r="K2801" t="s">
        <v>4038</v>
      </c>
      <c r="L2801">
        <v>0</v>
      </c>
      <c r="M2801" s="452">
        <v>45859</v>
      </c>
      <c r="N2801">
        <v>446.16</v>
      </c>
      <c r="O2801">
        <v>446.16</v>
      </c>
      <c r="P2801">
        <v>2230.8000000000002</v>
      </c>
    </row>
    <row r="2802" spans="1:16" x14ac:dyDescent="0.3">
      <c r="A2802">
        <v>49153</v>
      </c>
      <c r="B2802">
        <v>105</v>
      </c>
      <c r="C2802" t="s">
        <v>557</v>
      </c>
      <c r="D2802" s="452">
        <v>45901</v>
      </c>
      <c r="E2802">
        <v>18816</v>
      </c>
      <c r="F2802" t="s">
        <v>5472</v>
      </c>
      <c r="G2802">
        <v>2958</v>
      </c>
      <c r="H2802">
        <v>25.3</v>
      </c>
      <c r="I2802" t="s">
        <v>4744</v>
      </c>
      <c r="J2802" t="s">
        <v>5191</v>
      </c>
      <c r="K2802" t="s">
        <v>4038</v>
      </c>
      <c r="L2802">
        <v>0</v>
      </c>
      <c r="M2802" s="452">
        <v>-693593</v>
      </c>
      <c r="N2802">
        <v>0</v>
      </c>
      <c r="O2802">
        <v>65.44</v>
      </c>
      <c r="P2802">
        <v>1655.63</v>
      </c>
    </row>
    <row r="2803" spans="1:16" x14ac:dyDescent="0.3">
      <c r="A2803">
        <v>48850</v>
      </c>
      <c r="B2803">
        <v>105</v>
      </c>
      <c r="C2803" t="s">
        <v>557</v>
      </c>
      <c r="D2803" s="452">
        <v>45901</v>
      </c>
      <c r="E2803">
        <v>25785</v>
      </c>
      <c r="F2803" t="s">
        <v>5457</v>
      </c>
      <c r="G2803">
        <v>6326</v>
      </c>
      <c r="H2803">
        <v>18.329999999999998</v>
      </c>
      <c r="I2803" t="s">
        <v>4744</v>
      </c>
      <c r="J2803" t="s">
        <v>5191</v>
      </c>
      <c r="K2803" t="s">
        <v>4038</v>
      </c>
      <c r="L2803">
        <v>89.9</v>
      </c>
      <c r="M2803" s="452">
        <v>45895</v>
      </c>
      <c r="N2803">
        <v>89.9</v>
      </c>
      <c r="O2803">
        <v>89.9</v>
      </c>
      <c r="P2803">
        <v>1647.87</v>
      </c>
    </row>
    <row r="2804" spans="1:16" x14ac:dyDescent="0.3">
      <c r="A2804">
        <v>48865</v>
      </c>
      <c r="B2804">
        <v>105</v>
      </c>
      <c r="C2804" t="s">
        <v>557</v>
      </c>
      <c r="D2804" s="452">
        <v>45901</v>
      </c>
      <c r="E2804">
        <v>25775</v>
      </c>
      <c r="F2804" t="s">
        <v>5473</v>
      </c>
      <c r="G2804">
        <v>6321</v>
      </c>
      <c r="H2804">
        <v>13.39</v>
      </c>
      <c r="I2804" t="s">
        <v>4744</v>
      </c>
      <c r="J2804" t="s">
        <v>5191</v>
      </c>
      <c r="K2804" t="s">
        <v>4038</v>
      </c>
      <c r="L2804">
        <v>0</v>
      </c>
      <c r="M2804" s="452">
        <v>45831</v>
      </c>
      <c r="N2804">
        <v>116</v>
      </c>
      <c r="O2804">
        <v>0</v>
      </c>
      <c r="P2804">
        <v>1553.24</v>
      </c>
    </row>
    <row r="2805" spans="1:16" x14ac:dyDescent="0.3">
      <c r="A2805">
        <v>48849</v>
      </c>
      <c r="B2805">
        <v>105</v>
      </c>
      <c r="C2805" t="s">
        <v>557</v>
      </c>
      <c r="D2805" s="452">
        <v>45901</v>
      </c>
      <c r="E2805">
        <v>27018</v>
      </c>
      <c r="F2805" t="s">
        <v>4737</v>
      </c>
      <c r="G2805">
        <v>7070</v>
      </c>
      <c r="H2805">
        <v>19</v>
      </c>
      <c r="I2805" t="s">
        <v>4738</v>
      </c>
      <c r="J2805" t="s">
        <v>5222</v>
      </c>
      <c r="K2805" t="s">
        <v>4038</v>
      </c>
      <c r="L2805">
        <v>0</v>
      </c>
      <c r="M2805" s="452">
        <v>45852</v>
      </c>
      <c r="N2805">
        <v>79.64</v>
      </c>
      <c r="O2805">
        <v>79.64</v>
      </c>
      <c r="P2805">
        <v>1513.16</v>
      </c>
    </row>
    <row r="2806" spans="1:16" x14ac:dyDescent="0.3">
      <c r="A2806">
        <v>48864</v>
      </c>
      <c r="B2806">
        <v>105</v>
      </c>
      <c r="C2806" t="s">
        <v>557</v>
      </c>
      <c r="D2806" s="452">
        <v>45901</v>
      </c>
      <c r="E2806">
        <v>18822</v>
      </c>
      <c r="F2806" t="s">
        <v>4811</v>
      </c>
      <c r="G2806">
        <v>2953</v>
      </c>
      <c r="H2806">
        <v>13.62</v>
      </c>
      <c r="I2806" t="s">
        <v>4744</v>
      </c>
      <c r="J2806" t="s">
        <v>5191</v>
      </c>
      <c r="K2806" t="s">
        <v>4038</v>
      </c>
      <c r="L2806">
        <v>109</v>
      </c>
      <c r="M2806" s="452">
        <v>45895</v>
      </c>
      <c r="N2806">
        <v>109.02</v>
      </c>
      <c r="O2806">
        <v>109</v>
      </c>
      <c r="P2806">
        <v>1484.58</v>
      </c>
    </row>
    <row r="2807" spans="1:16" x14ac:dyDescent="0.3">
      <c r="A2807">
        <v>48828</v>
      </c>
      <c r="B2807">
        <v>105</v>
      </c>
      <c r="C2807" t="s">
        <v>557</v>
      </c>
      <c r="D2807" s="452">
        <v>45901</v>
      </c>
      <c r="E2807">
        <v>24116</v>
      </c>
      <c r="F2807" t="s">
        <v>4777</v>
      </c>
      <c r="G2807">
        <v>2924</v>
      </c>
      <c r="H2807">
        <v>32.35</v>
      </c>
      <c r="I2807" t="s">
        <v>4744</v>
      </c>
      <c r="J2807" t="s">
        <v>5191</v>
      </c>
      <c r="K2807" t="s">
        <v>4038</v>
      </c>
      <c r="L2807">
        <v>44</v>
      </c>
      <c r="M2807" s="452">
        <v>45894</v>
      </c>
      <c r="N2807">
        <v>44</v>
      </c>
      <c r="O2807">
        <v>44</v>
      </c>
      <c r="P2807">
        <v>1423.4</v>
      </c>
    </row>
    <row r="2808" spans="1:16" x14ac:dyDescent="0.3">
      <c r="A2808">
        <v>49052</v>
      </c>
      <c r="B2808">
        <v>105</v>
      </c>
      <c r="C2808" t="s">
        <v>557</v>
      </c>
      <c r="D2808" s="452">
        <v>45901</v>
      </c>
      <c r="E2808">
        <v>27145</v>
      </c>
      <c r="F2808" t="s">
        <v>5028</v>
      </c>
      <c r="G2808">
        <v>7186</v>
      </c>
      <c r="H2808">
        <v>2</v>
      </c>
      <c r="I2808" t="s">
        <v>4965</v>
      </c>
      <c r="J2808" t="s">
        <v>5222</v>
      </c>
      <c r="K2808" t="s">
        <v>4038</v>
      </c>
      <c r="L2808">
        <v>0</v>
      </c>
      <c r="M2808" s="452">
        <v>-693593</v>
      </c>
      <c r="N2808">
        <v>0</v>
      </c>
      <c r="O2808">
        <v>0</v>
      </c>
      <c r="P2808">
        <v>1338.86</v>
      </c>
    </row>
    <row r="2809" spans="1:16" x14ac:dyDescent="0.3">
      <c r="A2809">
        <v>48815</v>
      </c>
      <c r="B2809">
        <v>105</v>
      </c>
      <c r="C2809" t="s">
        <v>557</v>
      </c>
      <c r="D2809" s="452">
        <v>45901</v>
      </c>
      <c r="E2809">
        <v>22623</v>
      </c>
      <c r="F2809" t="s">
        <v>4751</v>
      </c>
      <c r="G2809">
        <v>3106</v>
      </c>
      <c r="H2809">
        <v>186</v>
      </c>
      <c r="I2809" t="s">
        <v>4736</v>
      </c>
      <c r="J2809" t="s">
        <v>5222</v>
      </c>
      <c r="K2809" t="s">
        <v>4038</v>
      </c>
      <c r="L2809">
        <v>0</v>
      </c>
      <c r="M2809" s="452">
        <v>45679</v>
      </c>
      <c r="N2809">
        <v>6.83</v>
      </c>
      <c r="O2809">
        <v>6.83</v>
      </c>
      <c r="P2809">
        <v>1270.3800000000001</v>
      </c>
    </row>
    <row r="2810" spans="1:16" x14ac:dyDescent="0.3">
      <c r="A2810">
        <v>48813</v>
      </c>
      <c r="B2810">
        <v>105</v>
      </c>
      <c r="C2810" t="s">
        <v>557</v>
      </c>
      <c r="D2810" s="452">
        <v>45901</v>
      </c>
      <c r="E2810">
        <v>22654</v>
      </c>
      <c r="F2810" t="s">
        <v>4735</v>
      </c>
      <c r="G2810">
        <v>3083</v>
      </c>
      <c r="H2810">
        <v>222</v>
      </c>
      <c r="I2810" t="s">
        <v>4736</v>
      </c>
      <c r="J2810" t="s">
        <v>5222</v>
      </c>
      <c r="K2810" t="s">
        <v>4038</v>
      </c>
      <c r="L2810">
        <v>0</v>
      </c>
      <c r="M2810" s="452">
        <v>45679</v>
      </c>
      <c r="N2810">
        <v>5.61</v>
      </c>
      <c r="O2810">
        <v>4.49</v>
      </c>
      <c r="P2810">
        <v>1245.42</v>
      </c>
    </row>
    <row r="2811" spans="1:16" x14ac:dyDescent="0.3">
      <c r="A2811">
        <v>48818</v>
      </c>
      <c r="B2811">
        <v>105</v>
      </c>
      <c r="C2811" t="s">
        <v>557</v>
      </c>
      <c r="D2811" s="452">
        <v>45901</v>
      </c>
      <c r="E2811">
        <v>24129</v>
      </c>
      <c r="F2811" t="s">
        <v>4740</v>
      </c>
      <c r="G2811">
        <v>3076</v>
      </c>
      <c r="H2811">
        <v>134</v>
      </c>
      <c r="I2811" t="s">
        <v>4736</v>
      </c>
      <c r="J2811" t="s">
        <v>5222</v>
      </c>
      <c r="K2811" t="s">
        <v>4038</v>
      </c>
      <c r="L2811">
        <v>0</v>
      </c>
      <c r="M2811" s="452">
        <v>45512</v>
      </c>
      <c r="N2811">
        <v>7.7</v>
      </c>
      <c r="O2811">
        <v>7.95</v>
      </c>
      <c r="P2811">
        <v>1031.8</v>
      </c>
    </row>
    <row r="2812" spans="1:16" x14ac:dyDescent="0.3">
      <c r="A2812">
        <v>48926</v>
      </c>
      <c r="B2812">
        <v>105</v>
      </c>
      <c r="C2812" t="s">
        <v>557</v>
      </c>
      <c r="D2812" s="452">
        <v>45901</v>
      </c>
      <c r="E2812">
        <v>21021</v>
      </c>
      <c r="F2812" t="s">
        <v>4883</v>
      </c>
      <c r="G2812">
        <v>2003</v>
      </c>
      <c r="H2812">
        <v>6</v>
      </c>
      <c r="I2812" t="s">
        <v>4884</v>
      </c>
      <c r="J2812" t="s">
        <v>5191</v>
      </c>
      <c r="K2812" t="s">
        <v>4038</v>
      </c>
      <c r="L2812">
        <v>168.67</v>
      </c>
      <c r="M2812" s="452">
        <v>45895</v>
      </c>
      <c r="N2812">
        <v>170.9</v>
      </c>
      <c r="O2812">
        <v>170.17</v>
      </c>
      <c r="P2812">
        <v>1012.02</v>
      </c>
    </row>
    <row r="2813" spans="1:16" x14ac:dyDescent="0.3">
      <c r="A2813">
        <v>48866</v>
      </c>
      <c r="B2813">
        <v>105</v>
      </c>
      <c r="C2813" t="s">
        <v>557</v>
      </c>
      <c r="D2813" s="452">
        <v>45901</v>
      </c>
      <c r="E2813">
        <v>19291</v>
      </c>
      <c r="F2813" t="s">
        <v>4870</v>
      </c>
      <c r="G2813">
        <v>2775</v>
      </c>
      <c r="H2813">
        <v>13.38</v>
      </c>
      <c r="I2813" t="s">
        <v>4744</v>
      </c>
      <c r="J2813" t="s">
        <v>5191</v>
      </c>
      <c r="K2813" t="s">
        <v>4038</v>
      </c>
      <c r="L2813">
        <v>66.290000000000006</v>
      </c>
      <c r="M2813" s="452">
        <v>45897</v>
      </c>
      <c r="N2813">
        <v>70.94</v>
      </c>
      <c r="O2813">
        <v>70.94</v>
      </c>
      <c r="P2813">
        <v>886.96</v>
      </c>
    </row>
    <row r="2814" spans="1:16" x14ac:dyDescent="0.3">
      <c r="A2814">
        <v>49164</v>
      </c>
      <c r="B2814">
        <v>105</v>
      </c>
      <c r="C2814" t="s">
        <v>557</v>
      </c>
      <c r="D2814" s="452">
        <v>45901</v>
      </c>
      <c r="E2814">
        <v>26006</v>
      </c>
      <c r="F2814" t="s">
        <v>4941</v>
      </c>
      <c r="G2814">
        <v>6491</v>
      </c>
      <c r="H2814">
        <v>7</v>
      </c>
      <c r="I2814" t="s">
        <v>4749</v>
      </c>
      <c r="J2814" t="s">
        <v>5191</v>
      </c>
      <c r="K2814" t="s">
        <v>4038</v>
      </c>
      <c r="L2814">
        <v>0</v>
      </c>
      <c r="M2814" s="452">
        <v>45653</v>
      </c>
      <c r="N2814">
        <v>117.84</v>
      </c>
      <c r="O2814">
        <v>117.84</v>
      </c>
      <c r="P2814">
        <v>824.88</v>
      </c>
    </row>
    <row r="2815" spans="1:16" x14ac:dyDescent="0.3">
      <c r="A2815">
        <v>48833</v>
      </c>
      <c r="B2815">
        <v>105</v>
      </c>
      <c r="C2815" t="s">
        <v>557</v>
      </c>
      <c r="D2815" s="452">
        <v>45901</v>
      </c>
      <c r="E2815">
        <v>25779</v>
      </c>
      <c r="F2815" t="s">
        <v>5456</v>
      </c>
      <c r="G2815">
        <v>6323</v>
      </c>
      <c r="H2815">
        <v>28.25</v>
      </c>
      <c r="I2815" t="s">
        <v>4744</v>
      </c>
      <c r="J2815" t="s">
        <v>5191</v>
      </c>
      <c r="K2815" t="s">
        <v>4038</v>
      </c>
      <c r="L2815">
        <v>27.9</v>
      </c>
      <c r="M2815" s="452">
        <v>45882</v>
      </c>
      <c r="N2815">
        <v>27.9</v>
      </c>
      <c r="O2815">
        <v>27.9</v>
      </c>
      <c r="P2815">
        <v>788.18</v>
      </c>
    </row>
    <row r="2816" spans="1:16" x14ac:dyDescent="0.3">
      <c r="A2816">
        <v>48874</v>
      </c>
      <c r="B2816">
        <v>105</v>
      </c>
      <c r="C2816" t="s">
        <v>557</v>
      </c>
      <c r="D2816" s="452">
        <v>45901</v>
      </c>
      <c r="E2816">
        <v>24259</v>
      </c>
      <c r="F2816" t="s">
        <v>4875</v>
      </c>
      <c r="G2816">
        <v>2938</v>
      </c>
      <c r="H2816">
        <v>12</v>
      </c>
      <c r="I2816" t="s">
        <v>4744</v>
      </c>
      <c r="J2816" t="s">
        <v>5191</v>
      </c>
      <c r="K2816" t="s">
        <v>4038</v>
      </c>
      <c r="L2816">
        <v>62.59</v>
      </c>
      <c r="M2816" s="452">
        <v>45880</v>
      </c>
      <c r="N2816">
        <v>62.59</v>
      </c>
      <c r="O2816">
        <v>36.56</v>
      </c>
      <c r="P2816">
        <v>751.08</v>
      </c>
    </row>
    <row r="2817" spans="1:16" x14ac:dyDescent="0.3">
      <c r="A2817">
        <v>48871</v>
      </c>
      <c r="B2817">
        <v>105</v>
      </c>
      <c r="C2817" t="s">
        <v>557</v>
      </c>
      <c r="D2817" s="452">
        <v>45901</v>
      </c>
      <c r="E2817">
        <v>18945</v>
      </c>
      <c r="F2817" t="s">
        <v>4768</v>
      </c>
      <c r="G2817">
        <v>2929</v>
      </c>
      <c r="H2817">
        <v>12.4</v>
      </c>
      <c r="I2817" t="s">
        <v>4744</v>
      </c>
      <c r="J2817" t="s">
        <v>5191</v>
      </c>
      <c r="K2817" t="s">
        <v>4038</v>
      </c>
      <c r="L2817">
        <v>0</v>
      </c>
      <c r="M2817" s="452">
        <v>45860</v>
      </c>
      <c r="N2817">
        <v>58.25</v>
      </c>
      <c r="O2817">
        <v>58.25</v>
      </c>
      <c r="P2817">
        <v>722.3</v>
      </c>
    </row>
    <row r="2818" spans="1:16" x14ac:dyDescent="0.3">
      <c r="A2818">
        <v>49163</v>
      </c>
      <c r="B2818">
        <v>105</v>
      </c>
      <c r="C2818" t="s">
        <v>557</v>
      </c>
      <c r="D2818" s="452">
        <v>45901</v>
      </c>
      <c r="E2818">
        <v>26004</v>
      </c>
      <c r="F2818" t="s">
        <v>4907</v>
      </c>
      <c r="G2818">
        <v>6490</v>
      </c>
      <c r="H2818">
        <v>6</v>
      </c>
      <c r="I2818" t="s">
        <v>4749</v>
      </c>
      <c r="J2818" t="s">
        <v>5191</v>
      </c>
      <c r="K2818" t="s">
        <v>4038</v>
      </c>
      <c r="L2818">
        <v>0</v>
      </c>
      <c r="M2818" s="452">
        <v>45653</v>
      </c>
      <c r="N2818">
        <v>117.84</v>
      </c>
      <c r="O2818">
        <v>117.84</v>
      </c>
      <c r="P2818">
        <v>707.04</v>
      </c>
    </row>
    <row r="2819" spans="1:16" x14ac:dyDescent="0.3">
      <c r="A2819">
        <v>48839</v>
      </c>
      <c r="B2819">
        <v>105</v>
      </c>
      <c r="C2819" t="s">
        <v>557</v>
      </c>
      <c r="D2819" s="452">
        <v>45901</v>
      </c>
      <c r="E2819">
        <v>24199</v>
      </c>
      <c r="F2819" t="s">
        <v>4783</v>
      </c>
      <c r="G2819">
        <v>5084</v>
      </c>
      <c r="H2819">
        <v>23.12</v>
      </c>
      <c r="I2819" t="s">
        <v>4744</v>
      </c>
      <c r="J2819" t="s">
        <v>5191</v>
      </c>
      <c r="K2819" t="s">
        <v>4038</v>
      </c>
      <c r="L2819">
        <v>29.97</v>
      </c>
      <c r="M2819" s="452">
        <v>45894</v>
      </c>
      <c r="N2819">
        <v>27.98</v>
      </c>
      <c r="O2819">
        <v>35.9</v>
      </c>
      <c r="P2819">
        <v>692.91</v>
      </c>
    </row>
    <row r="2820" spans="1:16" x14ac:dyDescent="0.3">
      <c r="A2820">
        <v>48868</v>
      </c>
      <c r="B2820">
        <v>105</v>
      </c>
      <c r="C2820" t="s">
        <v>557</v>
      </c>
      <c r="D2820" s="452">
        <v>45901</v>
      </c>
      <c r="E2820">
        <v>19401</v>
      </c>
      <c r="F2820" t="s">
        <v>4809</v>
      </c>
      <c r="G2820">
        <v>2761</v>
      </c>
      <c r="H2820">
        <v>12.94</v>
      </c>
      <c r="I2820" t="s">
        <v>4744</v>
      </c>
      <c r="J2820" t="s">
        <v>5191</v>
      </c>
      <c r="K2820" t="s">
        <v>4038</v>
      </c>
      <c r="L2820">
        <v>0</v>
      </c>
      <c r="M2820" s="452">
        <v>45831</v>
      </c>
      <c r="N2820">
        <v>47.9</v>
      </c>
      <c r="O2820">
        <v>49.58</v>
      </c>
      <c r="P2820">
        <v>619.83000000000004</v>
      </c>
    </row>
    <row r="2821" spans="1:16" x14ac:dyDescent="0.3">
      <c r="A2821">
        <v>48939</v>
      </c>
      <c r="B2821">
        <v>105</v>
      </c>
      <c r="C2821" t="s">
        <v>557</v>
      </c>
      <c r="D2821" s="452">
        <v>45901</v>
      </c>
      <c r="E2821">
        <v>17578</v>
      </c>
      <c r="F2821" t="s">
        <v>4842</v>
      </c>
      <c r="G2821">
        <v>3948</v>
      </c>
      <c r="H2821">
        <v>6</v>
      </c>
      <c r="I2821" t="s">
        <v>4805</v>
      </c>
      <c r="J2821" t="s">
        <v>5222</v>
      </c>
      <c r="K2821" t="s">
        <v>4038</v>
      </c>
      <c r="L2821">
        <v>0</v>
      </c>
      <c r="M2821" s="452">
        <v>45861</v>
      </c>
      <c r="N2821">
        <v>101.4</v>
      </c>
      <c r="O2821">
        <v>101.4</v>
      </c>
      <c r="P2821">
        <v>608.4</v>
      </c>
    </row>
    <row r="2822" spans="1:16" x14ac:dyDescent="0.3">
      <c r="A2822">
        <v>48883</v>
      </c>
      <c r="B2822">
        <v>105</v>
      </c>
      <c r="C2822" t="s">
        <v>557</v>
      </c>
      <c r="D2822" s="452">
        <v>45901</v>
      </c>
      <c r="E2822">
        <v>19356</v>
      </c>
      <c r="F2822" t="s">
        <v>4799</v>
      </c>
      <c r="G2822">
        <v>2768</v>
      </c>
      <c r="H2822">
        <v>10.74</v>
      </c>
      <c r="I2822" t="s">
        <v>4744</v>
      </c>
      <c r="J2822" t="s">
        <v>5191</v>
      </c>
      <c r="K2822" t="s">
        <v>4038</v>
      </c>
      <c r="L2822">
        <v>55.9</v>
      </c>
      <c r="M2822" s="452">
        <v>45895</v>
      </c>
      <c r="N2822">
        <v>55.9</v>
      </c>
      <c r="O2822">
        <v>55.9</v>
      </c>
      <c r="P2822">
        <v>600.37</v>
      </c>
    </row>
    <row r="2823" spans="1:16" x14ac:dyDescent="0.3">
      <c r="A2823">
        <v>48942</v>
      </c>
      <c r="B2823">
        <v>105</v>
      </c>
      <c r="C2823" t="s">
        <v>557</v>
      </c>
      <c r="D2823" s="452">
        <v>45901</v>
      </c>
      <c r="E2823">
        <v>18735</v>
      </c>
      <c r="F2823" t="s">
        <v>4891</v>
      </c>
      <c r="G2823">
        <v>3018</v>
      </c>
      <c r="H2823">
        <v>5.81</v>
      </c>
      <c r="I2823" t="s">
        <v>4744</v>
      </c>
      <c r="J2823" t="s">
        <v>5191</v>
      </c>
      <c r="K2823" t="s">
        <v>4038</v>
      </c>
      <c r="L2823">
        <v>0</v>
      </c>
      <c r="M2823" s="452">
        <v>45853</v>
      </c>
      <c r="N2823">
        <v>96</v>
      </c>
      <c r="O2823">
        <v>130</v>
      </c>
      <c r="P2823">
        <v>557.76</v>
      </c>
    </row>
    <row r="2824" spans="1:16" x14ac:dyDescent="0.3">
      <c r="A2824">
        <v>48855</v>
      </c>
      <c r="B2824">
        <v>105</v>
      </c>
      <c r="C2824" t="s">
        <v>557</v>
      </c>
      <c r="D2824" s="452">
        <v>45901</v>
      </c>
      <c r="E2824">
        <v>26495</v>
      </c>
      <c r="F2824" t="s">
        <v>4867</v>
      </c>
      <c r="G2824">
        <v>5447</v>
      </c>
      <c r="H2824">
        <v>15.39</v>
      </c>
      <c r="I2824" t="s">
        <v>4744</v>
      </c>
      <c r="J2824" t="s">
        <v>5191</v>
      </c>
      <c r="K2824" t="s">
        <v>4038</v>
      </c>
      <c r="L2824">
        <v>0</v>
      </c>
      <c r="M2824" s="452">
        <v>45793</v>
      </c>
      <c r="N2824">
        <v>36.200000000000003</v>
      </c>
      <c r="O2824">
        <v>39.5</v>
      </c>
      <c r="P2824">
        <v>557.12</v>
      </c>
    </row>
    <row r="2825" spans="1:16" x14ac:dyDescent="0.3">
      <c r="A2825">
        <v>48882</v>
      </c>
      <c r="B2825">
        <v>105</v>
      </c>
      <c r="C2825" t="s">
        <v>557</v>
      </c>
      <c r="D2825" s="452">
        <v>45901</v>
      </c>
      <c r="E2825">
        <v>26040</v>
      </c>
      <c r="F2825" t="s">
        <v>4812</v>
      </c>
      <c r="G2825">
        <v>6507</v>
      </c>
      <c r="H2825">
        <v>11</v>
      </c>
      <c r="I2825" t="s">
        <v>4805</v>
      </c>
      <c r="J2825" t="s">
        <v>5222</v>
      </c>
      <c r="K2825" t="s">
        <v>4038</v>
      </c>
      <c r="L2825">
        <v>0</v>
      </c>
      <c r="M2825" s="452">
        <v>45853</v>
      </c>
      <c r="N2825">
        <v>48.45</v>
      </c>
      <c r="O2825">
        <v>48.45</v>
      </c>
      <c r="P2825">
        <v>532.95000000000005</v>
      </c>
    </row>
    <row r="2826" spans="1:16" x14ac:dyDescent="0.3">
      <c r="A2826">
        <v>48812</v>
      </c>
      <c r="B2826">
        <v>105</v>
      </c>
      <c r="C2826" t="s">
        <v>557</v>
      </c>
      <c r="D2826" s="452">
        <v>45901</v>
      </c>
      <c r="E2826">
        <v>17895</v>
      </c>
      <c r="F2826" t="s">
        <v>5086</v>
      </c>
      <c r="G2826">
        <v>3665</v>
      </c>
      <c r="H2826">
        <v>18.579999999999998</v>
      </c>
      <c r="I2826" t="s">
        <v>4738</v>
      </c>
      <c r="J2826" t="s">
        <v>5222</v>
      </c>
      <c r="K2826" t="s">
        <v>4038</v>
      </c>
      <c r="L2826">
        <v>28.32</v>
      </c>
      <c r="M2826" s="452">
        <v>45887</v>
      </c>
      <c r="N2826">
        <v>28.32</v>
      </c>
      <c r="O2826">
        <v>25.88</v>
      </c>
      <c r="P2826">
        <v>526.28</v>
      </c>
    </row>
    <row r="2827" spans="1:16" x14ac:dyDescent="0.3">
      <c r="A2827">
        <v>48934</v>
      </c>
      <c r="B2827">
        <v>105</v>
      </c>
      <c r="C2827" t="s">
        <v>557</v>
      </c>
      <c r="D2827" s="452">
        <v>45901</v>
      </c>
      <c r="E2827">
        <v>18179</v>
      </c>
      <c r="F2827" t="s">
        <v>4924</v>
      </c>
      <c r="G2827">
        <v>3443</v>
      </c>
      <c r="H2827">
        <v>6</v>
      </c>
      <c r="I2827" t="s">
        <v>4805</v>
      </c>
      <c r="J2827" t="s">
        <v>5222</v>
      </c>
      <c r="K2827" t="s">
        <v>4038</v>
      </c>
      <c r="L2827">
        <v>85.5</v>
      </c>
      <c r="M2827" s="452">
        <v>45895</v>
      </c>
      <c r="N2827">
        <v>85.5</v>
      </c>
      <c r="O2827">
        <v>108.37</v>
      </c>
      <c r="P2827">
        <v>513</v>
      </c>
    </row>
    <row r="2828" spans="1:16" x14ac:dyDescent="0.3">
      <c r="A2828">
        <v>48873</v>
      </c>
      <c r="B2828">
        <v>105</v>
      </c>
      <c r="C2828" t="s">
        <v>557</v>
      </c>
      <c r="D2828" s="452">
        <v>45901</v>
      </c>
      <c r="E2828">
        <v>24217</v>
      </c>
      <c r="F2828" t="s">
        <v>4778</v>
      </c>
      <c r="G2828">
        <v>2937</v>
      </c>
      <c r="H2828">
        <v>12.07</v>
      </c>
      <c r="I2828" t="s">
        <v>4744</v>
      </c>
      <c r="J2828" t="s">
        <v>5191</v>
      </c>
      <c r="K2828" t="s">
        <v>4038</v>
      </c>
      <c r="L2828">
        <v>41.94</v>
      </c>
      <c r="M2828" s="452">
        <v>45894</v>
      </c>
      <c r="N2828">
        <v>29.9</v>
      </c>
      <c r="O2828">
        <v>29.9</v>
      </c>
      <c r="P2828">
        <v>506.22</v>
      </c>
    </row>
    <row r="2829" spans="1:16" x14ac:dyDescent="0.3">
      <c r="A2829">
        <v>48978</v>
      </c>
      <c r="B2829">
        <v>105</v>
      </c>
      <c r="C2829" t="s">
        <v>557</v>
      </c>
      <c r="D2829" s="452">
        <v>45901</v>
      </c>
      <c r="E2829">
        <v>17607</v>
      </c>
      <c r="F2829" t="s">
        <v>5436</v>
      </c>
      <c r="G2829">
        <v>3919</v>
      </c>
      <c r="H2829">
        <v>4</v>
      </c>
      <c r="I2829" t="s">
        <v>4736</v>
      </c>
      <c r="J2829" t="s">
        <v>5222</v>
      </c>
      <c r="K2829" t="s">
        <v>4038</v>
      </c>
      <c r="L2829">
        <v>0</v>
      </c>
      <c r="M2829" s="452">
        <v>-693593</v>
      </c>
      <c r="N2829">
        <v>0</v>
      </c>
      <c r="O2829">
        <v>0</v>
      </c>
      <c r="P2829">
        <v>489.24</v>
      </c>
    </row>
    <row r="2830" spans="1:16" x14ac:dyDescent="0.3">
      <c r="A2830">
        <v>48932</v>
      </c>
      <c r="B2830">
        <v>105</v>
      </c>
      <c r="C2830" t="s">
        <v>557</v>
      </c>
      <c r="D2830" s="452">
        <v>45901</v>
      </c>
      <c r="E2830">
        <v>24973</v>
      </c>
      <c r="F2830" t="s">
        <v>4819</v>
      </c>
      <c r="G2830">
        <v>5845</v>
      </c>
      <c r="H2830">
        <v>6</v>
      </c>
      <c r="I2830" t="s">
        <v>4738</v>
      </c>
      <c r="J2830" t="s">
        <v>5222</v>
      </c>
      <c r="K2830" t="s">
        <v>4038</v>
      </c>
      <c r="L2830">
        <v>0</v>
      </c>
      <c r="M2830" s="452">
        <v>45852</v>
      </c>
      <c r="N2830">
        <v>79.64</v>
      </c>
      <c r="O2830">
        <v>79.64</v>
      </c>
      <c r="P2830">
        <v>477.84</v>
      </c>
    </row>
    <row r="2831" spans="1:16" x14ac:dyDescent="0.3">
      <c r="A2831">
        <v>48838</v>
      </c>
      <c r="B2831">
        <v>105</v>
      </c>
      <c r="C2831" t="s">
        <v>557</v>
      </c>
      <c r="D2831" s="452">
        <v>45901</v>
      </c>
      <c r="E2831">
        <v>20501</v>
      </c>
      <c r="F2831" t="s">
        <v>4760</v>
      </c>
      <c r="G2831">
        <v>2154</v>
      </c>
      <c r="H2831">
        <v>23.37</v>
      </c>
      <c r="I2831" t="s">
        <v>4744</v>
      </c>
      <c r="J2831" t="s">
        <v>5191</v>
      </c>
      <c r="K2831" t="s">
        <v>4038</v>
      </c>
      <c r="L2831">
        <v>0</v>
      </c>
      <c r="M2831" s="452">
        <v>45797</v>
      </c>
      <c r="N2831">
        <v>19.989999999999998</v>
      </c>
      <c r="O2831">
        <v>27.9</v>
      </c>
      <c r="P2831">
        <v>467.17</v>
      </c>
    </row>
    <row r="2832" spans="1:16" x14ac:dyDescent="0.3">
      <c r="A2832">
        <v>48872</v>
      </c>
      <c r="B2832">
        <v>105</v>
      </c>
      <c r="C2832" t="s">
        <v>557</v>
      </c>
      <c r="D2832" s="452">
        <v>45901</v>
      </c>
      <c r="E2832">
        <v>18919</v>
      </c>
      <c r="F2832" t="s">
        <v>5474</v>
      </c>
      <c r="G2832">
        <v>2936</v>
      </c>
      <c r="H2832">
        <v>12.1</v>
      </c>
      <c r="I2832" t="s">
        <v>4744</v>
      </c>
      <c r="J2832" t="s">
        <v>5191</v>
      </c>
      <c r="K2832" t="s">
        <v>4038</v>
      </c>
      <c r="L2832">
        <v>37.770000000000003</v>
      </c>
      <c r="M2832" s="452">
        <v>45895</v>
      </c>
      <c r="N2832">
        <v>49.98</v>
      </c>
      <c r="O2832">
        <v>36.799999999999997</v>
      </c>
      <c r="P2832">
        <v>457.02</v>
      </c>
    </row>
    <row r="2833" spans="1:16" x14ac:dyDescent="0.3">
      <c r="A2833">
        <v>48943</v>
      </c>
      <c r="B2833">
        <v>105</v>
      </c>
      <c r="C2833" t="s">
        <v>557</v>
      </c>
      <c r="D2833" s="452">
        <v>45901</v>
      </c>
      <c r="E2833">
        <v>23082</v>
      </c>
      <c r="F2833" t="s">
        <v>4904</v>
      </c>
      <c r="G2833">
        <v>2763</v>
      </c>
      <c r="H2833">
        <v>5.73</v>
      </c>
      <c r="I2833" t="s">
        <v>4744</v>
      </c>
      <c r="J2833" t="s">
        <v>5191</v>
      </c>
      <c r="K2833" t="s">
        <v>4038</v>
      </c>
      <c r="L2833">
        <v>0</v>
      </c>
      <c r="M2833" s="452">
        <v>45849</v>
      </c>
      <c r="N2833">
        <v>78.900000000000006</v>
      </c>
      <c r="O2833">
        <v>78.900000000000006</v>
      </c>
      <c r="P2833">
        <v>452.1</v>
      </c>
    </row>
    <row r="2834" spans="1:16" x14ac:dyDescent="0.3">
      <c r="A2834">
        <v>48940</v>
      </c>
      <c r="B2834">
        <v>105</v>
      </c>
      <c r="C2834" t="s">
        <v>557</v>
      </c>
      <c r="D2834" s="452">
        <v>45901</v>
      </c>
      <c r="E2834">
        <v>26046</v>
      </c>
      <c r="F2834" t="s">
        <v>5148</v>
      </c>
      <c r="G2834">
        <v>6510</v>
      </c>
      <c r="H2834">
        <v>6</v>
      </c>
      <c r="I2834" t="s">
        <v>4805</v>
      </c>
      <c r="J2834" t="s">
        <v>5222</v>
      </c>
      <c r="K2834" t="s">
        <v>4038</v>
      </c>
      <c r="L2834">
        <v>0</v>
      </c>
      <c r="M2834" s="452">
        <v>45638</v>
      </c>
      <c r="N2834">
        <v>74.2</v>
      </c>
      <c r="O2834">
        <v>80.55</v>
      </c>
      <c r="P2834">
        <v>445.2</v>
      </c>
    </row>
    <row r="2835" spans="1:16" x14ac:dyDescent="0.3">
      <c r="A2835">
        <v>48996</v>
      </c>
      <c r="B2835">
        <v>105</v>
      </c>
      <c r="C2835" t="s">
        <v>557</v>
      </c>
      <c r="D2835" s="452">
        <v>45901</v>
      </c>
      <c r="E2835">
        <v>21047</v>
      </c>
      <c r="F2835" t="s">
        <v>4847</v>
      </c>
      <c r="G2835">
        <v>1999</v>
      </c>
      <c r="H2835">
        <v>3</v>
      </c>
      <c r="I2835" t="s">
        <v>4848</v>
      </c>
      <c r="J2835" t="s">
        <v>5191</v>
      </c>
      <c r="K2835" t="s">
        <v>4038</v>
      </c>
      <c r="L2835">
        <v>141.63999999999999</v>
      </c>
      <c r="M2835" s="452">
        <v>45895</v>
      </c>
      <c r="N2835">
        <v>137.9</v>
      </c>
      <c r="O2835">
        <v>137.9</v>
      </c>
      <c r="P2835">
        <v>424.92</v>
      </c>
    </row>
    <row r="2836" spans="1:16" x14ac:dyDescent="0.3">
      <c r="A2836">
        <v>48960</v>
      </c>
      <c r="B2836">
        <v>105</v>
      </c>
      <c r="C2836" t="s">
        <v>557</v>
      </c>
      <c r="D2836" s="452">
        <v>45901</v>
      </c>
      <c r="E2836">
        <v>25777</v>
      </c>
      <c r="F2836" t="s">
        <v>4774</v>
      </c>
      <c r="G2836">
        <v>6322</v>
      </c>
      <c r="H2836">
        <v>4.96</v>
      </c>
      <c r="I2836" t="s">
        <v>4744</v>
      </c>
      <c r="J2836" t="s">
        <v>5191</v>
      </c>
      <c r="K2836" t="s">
        <v>4038</v>
      </c>
      <c r="L2836">
        <v>85</v>
      </c>
      <c r="M2836" s="452">
        <v>45895</v>
      </c>
      <c r="N2836">
        <v>85</v>
      </c>
      <c r="O2836">
        <v>85</v>
      </c>
      <c r="P2836">
        <v>421.6</v>
      </c>
    </row>
    <row r="2837" spans="1:16" x14ac:dyDescent="0.3">
      <c r="A2837">
        <v>49017</v>
      </c>
      <c r="B2837">
        <v>105</v>
      </c>
      <c r="C2837" t="s">
        <v>557</v>
      </c>
      <c r="D2837" s="452">
        <v>45901</v>
      </c>
      <c r="E2837">
        <v>20909</v>
      </c>
      <c r="F2837" t="s">
        <v>5318</v>
      </c>
      <c r="G2837">
        <v>2035</v>
      </c>
      <c r="H2837">
        <v>2.7</v>
      </c>
      <c r="I2837" t="s">
        <v>4736</v>
      </c>
      <c r="J2837" t="s">
        <v>5191</v>
      </c>
      <c r="K2837" t="s">
        <v>4038</v>
      </c>
      <c r="L2837">
        <v>0</v>
      </c>
      <c r="M2837" s="452">
        <v>45804</v>
      </c>
      <c r="N2837">
        <v>156</v>
      </c>
      <c r="O2837">
        <v>182</v>
      </c>
      <c r="P2837">
        <v>421.2</v>
      </c>
    </row>
    <row r="2838" spans="1:16" x14ac:dyDescent="0.3">
      <c r="A2838">
        <v>48886</v>
      </c>
      <c r="B2838">
        <v>105</v>
      </c>
      <c r="C2838" t="s">
        <v>557</v>
      </c>
      <c r="D2838" s="452">
        <v>45901</v>
      </c>
      <c r="E2838">
        <v>24339</v>
      </c>
      <c r="F2838" t="s">
        <v>4885</v>
      </c>
      <c r="G2838">
        <v>2153</v>
      </c>
      <c r="H2838">
        <v>10.55</v>
      </c>
      <c r="I2838" t="s">
        <v>4744</v>
      </c>
      <c r="J2838" t="s">
        <v>5191</v>
      </c>
      <c r="K2838" t="s">
        <v>4038</v>
      </c>
      <c r="L2838">
        <v>0</v>
      </c>
      <c r="M2838" s="452">
        <v>45777</v>
      </c>
      <c r="N2838">
        <v>39.9</v>
      </c>
      <c r="O2838">
        <v>39.9</v>
      </c>
      <c r="P2838">
        <v>420.94</v>
      </c>
    </row>
    <row r="2839" spans="1:16" x14ac:dyDescent="0.3">
      <c r="A2839">
        <v>48969</v>
      </c>
      <c r="B2839">
        <v>105</v>
      </c>
      <c r="C2839" t="s">
        <v>557</v>
      </c>
      <c r="D2839" s="452">
        <v>45901</v>
      </c>
      <c r="E2839">
        <v>25789</v>
      </c>
      <c r="F2839" t="s">
        <v>4902</v>
      </c>
      <c r="G2839">
        <v>6328</v>
      </c>
      <c r="H2839">
        <v>4.2</v>
      </c>
      <c r="I2839" t="s">
        <v>4744</v>
      </c>
      <c r="J2839" t="s">
        <v>5191</v>
      </c>
      <c r="K2839" t="s">
        <v>4038</v>
      </c>
      <c r="L2839">
        <v>0</v>
      </c>
      <c r="M2839" s="452">
        <v>45671</v>
      </c>
      <c r="N2839">
        <v>99.8</v>
      </c>
      <c r="O2839">
        <v>99.8</v>
      </c>
      <c r="P2839">
        <v>419.16</v>
      </c>
    </row>
    <row r="2840" spans="1:16" x14ac:dyDescent="0.3">
      <c r="A2840">
        <v>48893</v>
      </c>
      <c r="B2840">
        <v>105</v>
      </c>
      <c r="C2840" t="s">
        <v>557</v>
      </c>
      <c r="D2840" s="452">
        <v>45901</v>
      </c>
      <c r="E2840">
        <v>18832</v>
      </c>
      <c r="F2840" t="s">
        <v>4785</v>
      </c>
      <c r="G2840">
        <v>2950</v>
      </c>
      <c r="H2840">
        <v>9.27</v>
      </c>
      <c r="I2840" t="s">
        <v>4744</v>
      </c>
      <c r="J2840" t="s">
        <v>5191</v>
      </c>
      <c r="K2840" t="s">
        <v>4038</v>
      </c>
      <c r="L2840">
        <v>45</v>
      </c>
      <c r="M2840" s="452">
        <v>45887</v>
      </c>
      <c r="N2840">
        <v>45</v>
      </c>
      <c r="O2840">
        <v>41.9</v>
      </c>
      <c r="P2840">
        <v>417.15</v>
      </c>
    </row>
    <row r="2841" spans="1:16" x14ac:dyDescent="0.3">
      <c r="A2841">
        <v>48936</v>
      </c>
      <c r="B2841">
        <v>105</v>
      </c>
      <c r="C2841" t="s">
        <v>557</v>
      </c>
      <c r="D2841" s="452">
        <v>45901</v>
      </c>
      <c r="E2841">
        <v>26036</v>
      </c>
      <c r="F2841" t="s">
        <v>4841</v>
      </c>
      <c r="G2841">
        <v>6505</v>
      </c>
      <c r="H2841">
        <v>6</v>
      </c>
      <c r="I2841" t="s">
        <v>4805</v>
      </c>
      <c r="J2841" t="s">
        <v>5222</v>
      </c>
      <c r="K2841" t="s">
        <v>4038</v>
      </c>
      <c r="L2841">
        <v>0</v>
      </c>
      <c r="M2841" s="452">
        <v>45833</v>
      </c>
      <c r="N2841">
        <v>69.22</v>
      </c>
      <c r="O2841">
        <v>69.22</v>
      </c>
      <c r="P2841">
        <v>415.32</v>
      </c>
    </row>
    <row r="2842" spans="1:16" x14ac:dyDescent="0.3">
      <c r="A2842">
        <v>49168</v>
      </c>
      <c r="B2842">
        <v>105</v>
      </c>
      <c r="C2842" t="s">
        <v>557</v>
      </c>
      <c r="D2842" s="452">
        <v>45901</v>
      </c>
      <c r="E2842">
        <v>18581</v>
      </c>
      <c r="F2842" t="s">
        <v>4747</v>
      </c>
      <c r="G2842">
        <v>3106</v>
      </c>
      <c r="H2842">
        <v>4.38</v>
      </c>
      <c r="I2842" t="s">
        <v>4738</v>
      </c>
      <c r="J2842" t="s">
        <v>5222</v>
      </c>
      <c r="K2842" t="s">
        <v>4038</v>
      </c>
      <c r="L2842">
        <v>0</v>
      </c>
      <c r="M2842" s="452">
        <v>-693593</v>
      </c>
      <c r="N2842">
        <v>0</v>
      </c>
      <c r="O2842">
        <v>94.27</v>
      </c>
      <c r="P2842">
        <v>412.9</v>
      </c>
    </row>
    <row r="2843" spans="1:16" x14ac:dyDescent="0.3">
      <c r="A2843">
        <v>48937</v>
      </c>
      <c r="B2843">
        <v>105</v>
      </c>
      <c r="C2843" t="s">
        <v>557</v>
      </c>
      <c r="D2843" s="452">
        <v>45901</v>
      </c>
      <c r="E2843">
        <v>24614</v>
      </c>
      <c r="F2843" t="s">
        <v>4897</v>
      </c>
      <c r="G2843">
        <v>3855</v>
      </c>
      <c r="H2843">
        <v>6</v>
      </c>
      <c r="I2843" t="s">
        <v>4805</v>
      </c>
      <c r="J2843" t="s">
        <v>5222</v>
      </c>
      <c r="K2843" t="s">
        <v>4038</v>
      </c>
      <c r="L2843">
        <v>0</v>
      </c>
      <c r="M2843" s="452">
        <v>45846</v>
      </c>
      <c r="N2843">
        <v>0</v>
      </c>
      <c r="O2843">
        <v>0</v>
      </c>
      <c r="P2843">
        <v>400.32</v>
      </c>
    </row>
    <row r="2844" spans="1:16" x14ac:dyDescent="0.3">
      <c r="A2844">
        <v>48875</v>
      </c>
      <c r="B2844">
        <v>105</v>
      </c>
      <c r="C2844" t="s">
        <v>557</v>
      </c>
      <c r="D2844" s="452">
        <v>45901</v>
      </c>
      <c r="E2844">
        <v>22721</v>
      </c>
      <c r="F2844" t="s">
        <v>4803</v>
      </c>
      <c r="G2844">
        <v>3033</v>
      </c>
      <c r="H2844">
        <v>11.81</v>
      </c>
      <c r="I2844" t="s">
        <v>4744</v>
      </c>
      <c r="J2844" t="s">
        <v>5191</v>
      </c>
      <c r="K2844" t="s">
        <v>4038</v>
      </c>
      <c r="L2844">
        <v>33.880000000000003</v>
      </c>
      <c r="M2844" s="452">
        <v>45894</v>
      </c>
      <c r="N2844">
        <v>31.4</v>
      </c>
      <c r="O2844">
        <v>23.34</v>
      </c>
      <c r="P2844">
        <v>400.12</v>
      </c>
    </row>
    <row r="2845" spans="1:16" x14ac:dyDescent="0.3">
      <c r="A2845">
        <v>48976</v>
      </c>
      <c r="B2845">
        <v>105</v>
      </c>
      <c r="C2845" t="s">
        <v>557</v>
      </c>
      <c r="D2845" s="452">
        <v>45901</v>
      </c>
      <c r="E2845">
        <v>18359</v>
      </c>
      <c r="F2845" t="s">
        <v>4921</v>
      </c>
      <c r="G2845">
        <v>3278</v>
      </c>
      <c r="H2845">
        <v>4</v>
      </c>
      <c r="I2845" t="s">
        <v>4805</v>
      </c>
      <c r="J2845" t="s">
        <v>5222</v>
      </c>
      <c r="K2845" t="s">
        <v>4038</v>
      </c>
      <c r="L2845">
        <v>99.9</v>
      </c>
      <c r="M2845" s="452">
        <v>45895</v>
      </c>
      <c r="N2845">
        <v>99.9</v>
      </c>
      <c r="O2845">
        <v>99.9</v>
      </c>
      <c r="P2845">
        <v>399.6</v>
      </c>
    </row>
    <row r="2846" spans="1:16" x14ac:dyDescent="0.3">
      <c r="A2846">
        <v>48884</v>
      </c>
      <c r="B2846">
        <v>105</v>
      </c>
      <c r="C2846" t="s">
        <v>557</v>
      </c>
      <c r="D2846" s="452">
        <v>45901</v>
      </c>
      <c r="E2846">
        <v>19003</v>
      </c>
      <c r="F2846" t="s">
        <v>4810</v>
      </c>
      <c r="G2846">
        <v>2897</v>
      </c>
      <c r="H2846">
        <v>10.73</v>
      </c>
      <c r="I2846" t="s">
        <v>4744</v>
      </c>
      <c r="J2846" t="s">
        <v>5191</v>
      </c>
      <c r="K2846" t="s">
        <v>4038</v>
      </c>
      <c r="L2846">
        <v>36.229999999999997</v>
      </c>
      <c r="M2846" s="452">
        <v>45882</v>
      </c>
      <c r="N2846">
        <v>36.9</v>
      </c>
      <c r="O2846">
        <v>36.9</v>
      </c>
      <c r="P2846">
        <v>388.75</v>
      </c>
    </row>
    <row r="2847" spans="1:16" x14ac:dyDescent="0.3">
      <c r="A2847">
        <v>48852</v>
      </c>
      <c r="B2847">
        <v>105</v>
      </c>
      <c r="C2847" t="s">
        <v>557</v>
      </c>
      <c r="D2847" s="452">
        <v>45901</v>
      </c>
      <c r="E2847">
        <v>20549</v>
      </c>
      <c r="F2847" t="s">
        <v>4823</v>
      </c>
      <c r="G2847">
        <v>2141</v>
      </c>
      <c r="H2847">
        <v>16.95</v>
      </c>
      <c r="I2847" t="s">
        <v>4744</v>
      </c>
      <c r="J2847" t="s">
        <v>5191</v>
      </c>
      <c r="K2847" t="s">
        <v>4038</v>
      </c>
      <c r="L2847">
        <v>22.74</v>
      </c>
      <c r="M2847" s="452">
        <v>45894</v>
      </c>
      <c r="N2847">
        <v>19.899999999999999</v>
      </c>
      <c r="O2847">
        <v>19.989999999999998</v>
      </c>
      <c r="P2847">
        <v>385.44</v>
      </c>
    </row>
    <row r="2848" spans="1:16" x14ac:dyDescent="0.3">
      <c r="A2848">
        <v>48889</v>
      </c>
      <c r="B2848">
        <v>105</v>
      </c>
      <c r="C2848" t="s">
        <v>557</v>
      </c>
      <c r="D2848" s="452">
        <v>45901</v>
      </c>
      <c r="E2848">
        <v>24256</v>
      </c>
      <c r="F2848" t="s">
        <v>4773</v>
      </c>
      <c r="G2848">
        <v>3003</v>
      </c>
      <c r="H2848">
        <v>10.1</v>
      </c>
      <c r="I2848" t="s">
        <v>4744</v>
      </c>
      <c r="J2848" t="s">
        <v>5191</v>
      </c>
      <c r="K2848" t="s">
        <v>4038</v>
      </c>
      <c r="L2848">
        <v>38</v>
      </c>
      <c r="M2848" s="452">
        <v>45897</v>
      </c>
      <c r="N2848">
        <v>38</v>
      </c>
      <c r="O2848">
        <v>38</v>
      </c>
      <c r="P2848">
        <v>383.8</v>
      </c>
    </row>
    <row r="2849" spans="1:16" x14ac:dyDescent="0.3">
      <c r="A2849">
        <v>48816</v>
      </c>
      <c r="B2849">
        <v>105</v>
      </c>
      <c r="C2849" t="s">
        <v>557</v>
      </c>
      <c r="D2849" s="452">
        <v>45901</v>
      </c>
      <c r="E2849">
        <v>24308</v>
      </c>
      <c r="F2849" t="s">
        <v>4757</v>
      </c>
      <c r="G2849">
        <v>3658</v>
      </c>
      <c r="H2849">
        <v>171</v>
      </c>
      <c r="I2849" t="s">
        <v>4736</v>
      </c>
      <c r="J2849" t="s">
        <v>5222</v>
      </c>
      <c r="K2849" t="s">
        <v>4038</v>
      </c>
      <c r="L2849">
        <v>0</v>
      </c>
      <c r="M2849" s="452">
        <v>45679</v>
      </c>
      <c r="N2849">
        <v>2.19</v>
      </c>
      <c r="O2849">
        <v>2.19</v>
      </c>
      <c r="P2849">
        <v>374.49</v>
      </c>
    </row>
    <row r="2850" spans="1:16" x14ac:dyDescent="0.3">
      <c r="A2850">
        <v>48881</v>
      </c>
      <c r="B2850">
        <v>105</v>
      </c>
      <c r="C2850" t="s">
        <v>557</v>
      </c>
      <c r="D2850" s="452">
        <v>45901</v>
      </c>
      <c r="E2850">
        <v>18475</v>
      </c>
      <c r="F2850" t="s">
        <v>4895</v>
      </c>
      <c r="G2850">
        <v>3181</v>
      </c>
      <c r="H2850">
        <v>11</v>
      </c>
      <c r="I2850" t="s">
        <v>4805</v>
      </c>
      <c r="J2850" t="s">
        <v>5222</v>
      </c>
      <c r="K2850" t="s">
        <v>4038</v>
      </c>
      <c r="L2850">
        <v>0</v>
      </c>
      <c r="M2850" s="452">
        <v>45854</v>
      </c>
      <c r="N2850">
        <v>32.9</v>
      </c>
      <c r="O2850">
        <v>32.9</v>
      </c>
      <c r="P2850">
        <v>361.9</v>
      </c>
    </row>
    <row r="2851" spans="1:16" x14ac:dyDescent="0.3">
      <c r="A2851">
        <v>48964</v>
      </c>
      <c r="B2851">
        <v>105</v>
      </c>
      <c r="C2851" t="s">
        <v>557</v>
      </c>
      <c r="D2851" s="452">
        <v>45901</v>
      </c>
      <c r="E2851">
        <v>18731</v>
      </c>
      <c r="F2851" t="s">
        <v>4832</v>
      </c>
      <c r="G2851">
        <v>3020</v>
      </c>
      <c r="H2851">
        <v>4.75</v>
      </c>
      <c r="I2851" t="s">
        <v>4744</v>
      </c>
      <c r="J2851" t="s">
        <v>5191</v>
      </c>
      <c r="K2851" t="s">
        <v>4038</v>
      </c>
      <c r="L2851">
        <v>0</v>
      </c>
      <c r="M2851" s="452">
        <v>45853</v>
      </c>
      <c r="N2851">
        <v>73</v>
      </c>
      <c r="O2851">
        <v>72</v>
      </c>
      <c r="P2851">
        <v>346.75</v>
      </c>
    </row>
    <row r="2852" spans="1:16" x14ac:dyDescent="0.3">
      <c r="A2852">
        <v>48814</v>
      </c>
      <c r="B2852">
        <v>105</v>
      </c>
      <c r="C2852" t="s">
        <v>557</v>
      </c>
      <c r="D2852" s="452">
        <v>45901</v>
      </c>
      <c r="E2852">
        <v>17042</v>
      </c>
      <c r="F2852" t="s">
        <v>4748</v>
      </c>
      <c r="G2852">
        <v>2830</v>
      </c>
      <c r="H2852">
        <v>204</v>
      </c>
      <c r="I2852" t="s">
        <v>4749</v>
      </c>
      <c r="J2852" t="s">
        <v>5191</v>
      </c>
      <c r="K2852" t="s">
        <v>4038</v>
      </c>
      <c r="L2852">
        <v>0</v>
      </c>
      <c r="M2852" s="452">
        <v>-693593</v>
      </c>
      <c r="N2852">
        <v>0</v>
      </c>
      <c r="O2852">
        <v>1.4</v>
      </c>
      <c r="P2852">
        <v>342.72</v>
      </c>
    </row>
    <row r="2853" spans="1:16" x14ac:dyDescent="0.3">
      <c r="A2853">
        <v>48931</v>
      </c>
      <c r="B2853">
        <v>105</v>
      </c>
      <c r="C2853" t="s">
        <v>557</v>
      </c>
      <c r="D2853" s="452">
        <v>45901</v>
      </c>
      <c r="E2853">
        <v>23974</v>
      </c>
      <c r="F2853" t="s">
        <v>4862</v>
      </c>
      <c r="G2853">
        <v>4163</v>
      </c>
      <c r="H2853">
        <v>6</v>
      </c>
      <c r="I2853" t="s">
        <v>4736</v>
      </c>
      <c r="J2853" t="s">
        <v>5222</v>
      </c>
      <c r="K2853" t="s">
        <v>4038</v>
      </c>
      <c r="L2853">
        <v>0</v>
      </c>
      <c r="M2853" s="452">
        <v>45849</v>
      </c>
      <c r="N2853">
        <v>56.16</v>
      </c>
      <c r="O2853">
        <v>56.16</v>
      </c>
      <c r="P2853">
        <v>336.96</v>
      </c>
    </row>
    <row r="2854" spans="1:16" x14ac:dyDescent="0.3">
      <c r="A2854">
        <v>48983</v>
      </c>
      <c r="B2854">
        <v>105</v>
      </c>
      <c r="C2854" t="s">
        <v>557</v>
      </c>
      <c r="D2854" s="452">
        <v>45901</v>
      </c>
      <c r="E2854">
        <v>18219</v>
      </c>
      <c r="F2854" t="s">
        <v>4972</v>
      </c>
      <c r="G2854">
        <v>3409</v>
      </c>
      <c r="H2854">
        <v>3.64</v>
      </c>
      <c r="I2854" t="s">
        <v>4805</v>
      </c>
      <c r="J2854" t="s">
        <v>5222</v>
      </c>
      <c r="K2854" t="s">
        <v>4038</v>
      </c>
      <c r="L2854">
        <v>92</v>
      </c>
      <c r="M2854" s="452">
        <v>45888</v>
      </c>
      <c r="N2854">
        <v>92</v>
      </c>
      <c r="O2854">
        <v>91.65</v>
      </c>
      <c r="P2854">
        <v>334.88</v>
      </c>
    </row>
    <row r="2855" spans="1:16" x14ac:dyDescent="0.3">
      <c r="A2855">
        <v>48997</v>
      </c>
      <c r="B2855">
        <v>105</v>
      </c>
      <c r="C2855" t="s">
        <v>557</v>
      </c>
      <c r="D2855" s="452">
        <v>45901</v>
      </c>
      <c r="E2855">
        <v>20751</v>
      </c>
      <c r="F2855" t="s">
        <v>5004</v>
      </c>
      <c r="G2855">
        <v>2088</v>
      </c>
      <c r="H2855">
        <v>3</v>
      </c>
      <c r="I2855" t="s">
        <v>4884</v>
      </c>
      <c r="J2855" t="s">
        <v>5191</v>
      </c>
      <c r="K2855" t="s">
        <v>4038</v>
      </c>
      <c r="L2855">
        <v>0</v>
      </c>
      <c r="M2855" s="452">
        <v>45832</v>
      </c>
      <c r="N2855">
        <v>109.59</v>
      </c>
      <c r="O2855">
        <v>114.95</v>
      </c>
      <c r="P2855">
        <v>328.77</v>
      </c>
    </row>
    <row r="2856" spans="1:16" x14ac:dyDescent="0.3">
      <c r="A2856">
        <v>49012</v>
      </c>
      <c r="B2856">
        <v>105</v>
      </c>
      <c r="C2856" t="s">
        <v>557</v>
      </c>
      <c r="D2856" s="452">
        <v>45901</v>
      </c>
      <c r="E2856">
        <v>25683</v>
      </c>
      <c r="F2856" t="s">
        <v>4928</v>
      </c>
      <c r="G2856">
        <v>6244</v>
      </c>
      <c r="H2856">
        <v>3</v>
      </c>
      <c r="I2856" t="s">
        <v>4805</v>
      </c>
      <c r="J2856" t="s">
        <v>5222</v>
      </c>
      <c r="K2856" t="s">
        <v>4038</v>
      </c>
      <c r="L2856">
        <v>0</v>
      </c>
      <c r="M2856" s="452">
        <v>45789</v>
      </c>
      <c r="N2856">
        <v>107.99</v>
      </c>
      <c r="O2856">
        <v>113.1</v>
      </c>
      <c r="P2856">
        <v>323.97000000000003</v>
      </c>
    </row>
    <row r="2857" spans="1:16" x14ac:dyDescent="0.3">
      <c r="A2857">
        <v>49009</v>
      </c>
      <c r="B2857">
        <v>105</v>
      </c>
      <c r="C2857" t="s">
        <v>557</v>
      </c>
      <c r="D2857" s="452">
        <v>45901</v>
      </c>
      <c r="E2857">
        <v>18550</v>
      </c>
      <c r="F2857" t="s">
        <v>4967</v>
      </c>
      <c r="G2857">
        <v>3130</v>
      </c>
      <c r="H2857">
        <v>3</v>
      </c>
      <c r="I2857" t="s">
        <v>4805</v>
      </c>
      <c r="J2857" t="s">
        <v>5222</v>
      </c>
      <c r="K2857" t="s">
        <v>4038</v>
      </c>
      <c r="L2857">
        <v>106.32</v>
      </c>
      <c r="M2857" s="452">
        <v>45874</v>
      </c>
      <c r="N2857">
        <v>106.32</v>
      </c>
      <c r="O2857">
        <v>173</v>
      </c>
      <c r="P2857">
        <v>318.95999999999998</v>
      </c>
    </row>
    <row r="2858" spans="1:16" x14ac:dyDescent="0.3">
      <c r="A2858">
        <v>48885</v>
      </c>
      <c r="B2858">
        <v>105</v>
      </c>
      <c r="C2858" t="s">
        <v>557</v>
      </c>
      <c r="D2858" s="452">
        <v>45901</v>
      </c>
      <c r="E2858">
        <v>22871</v>
      </c>
      <c r="F2858" t="s">
        <v>4898</v>
      </c>
      <c r="G2858">
        <v>2915</v>
      </c>
      <c r="H2858">
        <v>10.6</v>
      </c>
      <c r="I2858" t="s">
        <v>4744</v>
      </c>
      <c r="J2858" t="s">
        <v>5191</v>
      </c>
      <c r="K2858" t="s">
        <v>4038</v>
      </c>
      <c r="L2858">
        <v>29.54</v>
      </c>
      <c r="M2858" s="452">
        <v>45887</v>
      </c>
      <c r="N2858">
        <v>31.9</v>
      </c>
      <c r="O2858">
        <v>31.9</v>
      </c>
      <c r="P2858">
        <v>313.12</v>
      </c>
    </row>
    <row r="2859" spans="1:16" x14ac:dyDescent="0.3">
      <c r="A2859">
        <v>48911</v>
      </c>
      <c r="B2859">
        <v>105</v>
      </c>
      <c r="C2859" t="s">
        <v>557</v>
      </c>
      <c r="D2859" s="452">
        <v>45901</v>
      </c>
      <c r="E2859">
        <v>18518</v>
      </c>
      <c r="F2859" t="s">
        <v>4838</v>
      </c>
      <c r="G2859">
        <v>3148</v>
      </c>
      <c r="H2859">
        <v>7</v>
      </c>
      <c r="I2859" t="s">
        <v>4805</v>
      </c>
      <c r="J2859" t="s">
        <v>5222</v>
      </c>
      <c r="K2859" t="s">
        <v>4038</v>
      </c>
      <c r="L2859">
        <v>44.61</v>
      </c>
      <c r="M2859" s="452">
        <v>45881</v>
      </c>
      <c r="N2859">
        <v>44.61</v>
      </c>
      <c r="O2859">
        <v>44.61</v>
      </c>
      <c r="P2859">
        <v>312.27</v>
      </c>
    </row>
    <row r="2860" spans="1:16" x14ac:dyDescent="0.3">
      <c r="A2860">
        <v>48847</v>
      </c>
      <c r="B2860">
        <v>105</v>
      </c>
      <c r="C2860" t="s">
        <v>557</v>
      </c>
      <c r="D2860" s="452">
        <v>45901</v>
      </c>
      <c r="E2860">
        <v>19041</v>
      </c>
      <c r="F2860" t="s">
        <v>4762</v>
      </c>
      <c r="G2860">
        <v>2890</v>
      </c>
      <c r="H2860">
        <v>19.96</v>
      </c>
      <c r="I2860" t="s">
        <v>4744</v>
      </c>
      <c r="J2860" t="s">
        <v>5191</v>
      </c>
      <c r="K2860" t="s">
        <v>4038</v>
      </c>
      <c r="L2860">
        <v>15.39</v>
      </c>
      <c r="M2860" s="452">
        <v>45894</v>
      </c>
      <c r="N2860">
        <v>15.39</v>
      </c>
      <c r="O2860">
        <v>12.72</v>
      </c>
      <c r="P2860">
        <v>307.18</v>
      </c>
    </row>
    <row r="2861" spans="1:16" x14ac:dyDescent="0.3">
      <c r="A2861">
        <v>48941</v>
      </c>
      <c r="B2861">
        <v>105</v>
      </c>
      <c r="C2861" t="s">
        <v>557</v>
      </c>
      <c r="D2861" s="452">
        <v>45901</v>
      </c>
      <c r="E2861">
        <v>23440</v>
      </c>
      <c r="F2861" t="s">
        <v>5475</v>
      </c>
      <c r="G2861">
        <v>2424</v>
      </c>
      <c r="H2861">
        <v>5.96</v>
      </c>
      <c r="I2861" t="s">
        <v>4744</v>
      </c>
      <c r="J2861" t="s">
        <v>5191</v>
      </c>
      <c r="K2861" t="s">
        <v>4038</v>
      </c>
      <c r="L2861">
        <v>49.04</v>
      </c>
      <c r="M2861" s="452">
        <v>45900</v>
      </c>
      <c r="N2861">
        <v>48</v>
      </c>
      <c r="O2861">
        <v>48</v>
      </c>
      <c r="P2861">
        <v>292.27999999999997</v>
      </c>
    </row>
    <row r="2862" spans="1:16" x14ac:dyDescent="0.3">
      <c r="A2862">
        <v>48938</v>
      </c>
      <c r="B2862">
        <v>105</v>
      </c>
      <c r="C2862" t="s">
        <v>557</v>
      </c>
      <c r="D2862" s="452">
        <v>45901</v>
      </c>
      <c r="E2862">
        <v>26038</v>
      </c>
      <c r="F2862" t="s">
        <v>4976</v>
      </c>
      <c r="G2862">
        <v>6506</v>
      </c>
      <c r="H2862">
        <v>6</v>
      </c>
      <c r="I2862" t="s">
        <v>4805</v>
      </c>
      <c r="J2862" t="s">
        <v>5222</v>
      </c>
      <c r="K2862" t="s">
        <v>4038</v>
      </c>
      <c r="L2862">
        <v>0</v>
      </c>
      <c r="M2862" s="452">
        <v>45853</v>
      </c>
      <c r="N2862">
        <v>48.45</v>
      </c>
      <c r="O2862">
        <v>48.45</v>
      </c>
      <c r="P2862">
        <v>290.7</v>
      </c>
    </row>
    <row r="2863" spans="1:16" x14ac:dyDescent="0.3">
      <c r="A2863">
        <v>48827</v>
      </c>
      <c r="B2863">
        <v>105</v>
      </c>
      <c r="C2863" t="s">
        <v>557</v>
      </c>
      <c r="D2863" s="452">
        <v>45901</v>
      </c>
      <c r="E2863">
        <v>26505</v>
      </c>
      <c r="F2863" t="s">
        <v>4750</v>
      </c>
      <c r="G2863">
        <v>6762</v>
      </c>
      <c r="H2863">
        <v>1.42</v>
      </c>
      <c r="I2863" t="s">
        <v>4738</v>
      </c>
      <c r="J2863" t="s">
        <v>5222</v>
      </c>
      <c r="K2863" t="s">
        <v>4038</v>
      </c>
      <c r="L2863">
        <v>0</v>
      </c>
      <c r="M2863" s="452">
        <v>45722</v>
      </c>
      <c r="N2863">
        <v>203.42</v>
      </c>
      <c r="O2863">
        <v>146.80000000000001</v>
      </c>
      <c r="P2863">
        <v>288.85000000000002</v>
      </c>
    </row>
    <row r="2864" spans="1:16" x14ac:dyDescent="0.3">
      <c r="A2864">
        <v>48959</v>
      </c>
      <c r="B2864">
        <v>105</v>
      </c>
      <c r="C2864" t="s">
        <v>557</v>
      </c>
      <c r="D2864" s="452">
        <v>45901</v>
      </c>
      <c r="E2864">
        <v>17658</v>
      </c>
      <c r="F2864" t="s">
        <v>4978</v>
      </c>
      <c r="G2864">
        <v>3871</v>
      </c>
      <c r="H2864">
        <v>5</v>
      </c>
      <c r="I2864" t="s">
        <v>4805</v>
      </c>
      <c r="J2864" t="s">
        <v>5222</v>
      </c>
      <c r="K2864" t="s">
        <v>4038</v>
      </c>
      <c r="L2864">
        <v>0</v>
      </c>
      <c r="M2864" s="452">
        <v>45861</v>
      </c>
      <c r="N2864">
        <v>0</v>
      </c>
      <c r="O2864">
        <v>0</v>
      </c>
      <c r="P2864">
        <v>287.5</v>
      </c>
    </row>
    <row r="2865" spans="1:16" x14ac:dyDescent="0.3">
      <c r="A2865">
        <v>48917</v>
      </c>
      <c r="B2865">
        <v>105</v>
      </c>
      <c r="C2865" t="s">
        <v>557</v>
      </c>
      <c r="D2865" s="452">
        <v>45901</v>
      </c>
      <c r="E2865">
        <v>18991</v>
      </c>
      <c r="F2865" t="s">
        <v>4815</v>
      </c>
      <c r="G2865">
        <v>2900</v>
      </c>
      <c r="H2865">
        <v>6.7</v>
      </c>
      <c r="I2865" t="s">
        <v>4744</v>
      </c>
      <c r="J2865" t="s">
        <v>5191</v>
      </c>
      <c r="K2865" t="s">
        <v>4038</v>
      </c>
      <c r="L2865">
        <v>0</v>
      </c>
      <c r="M2865" s="452">
        <v>45750</v>
      </c>
      <c r="N2865">
        <v>42.68</v>
      </c>
      <c r="O2865">
        <v>42.68</v>
      </c>
      <c r="P2865">
        <v>285.95999999999998</v>
      </c>
    </row>
    <row r="2866" spans="1:16" x14ac:dyDescent="0.3">
      <c r="A2866">
        <v>48862</v>
      </c>
      <c r="B2866">
        <v>105</v>
      </c>
      <c r="C2866" t="s">
        <v>557</v>
      </c>
      <c r="D2866" s="452">
        <v>45901</v>
      </c>
      <c r="E2866">
        <v>25205</v>
      </c>
      <c r="F2866" t="s">
        <v>4850</v>
      </c>
      <c r="G2866">
        <v>5944</v>
      </c>
      <c r="H2866">
        <v>13.8</v>
      </c>
      <c r="I2866" t="s">
        <v>4744</v>
      </c>
      <c r="J2866" t="s">
        <v>5191</v>
      </c>
      <c r="K2866" t="s">
        <v>4038</v>
      </c>
      <c r="L2866">
        <v>0</v>
      </c>
      <c r="M2866" s="452">
        <v>45852</v>
      </c>
      <c r="N2866">
        <v>20.65</v>
      </c>
      <c r="O2866">
        <v>29.9</v>
      </c>
      <c r="P2866">
        <v>284.97000000000003</v>
      </c>
    </row>
    <row r="2867" spans="1:16" x14ac:dyDescent="0.3">
      <c r="A2867">
        <v>48962</v>
      </c>
      <c r="B2867">
        <v>105</v>
      </c>
      <c r="C2867" t="s">
        <v>557</v>
      </c>
      <c r="D2867" s="452">
        <v>45901</v>
      </c>
      <c r="E2867">
        <v>19346</v>
      </c>
      <c r="F2867" t="s">
        <v>4835</v>
      </c>
      <c r="G2867">
        <v>2770</v>
      </c>
      <c r="H2867">
        <v>4.92</v>
      </c>
      <c r="I2867" t="s">
        <v>4744</v>
      </c>
      <c r="J2867" t="s">
        <v>5191</v>
      </c>
      <c r="K2867" t="s">
        <v>4038</v>
      </c>
      <c r="L2867">
        <v>54.5</v>
      </c>
      <c r="M2867" s="452">
        <v>45880</v>
      </c>
      <c r="N2867">
        <v>54.5</v>
      </c>
      <c r="O2867">
        <v>54.5</v>
      </c>
      <c r="P2867">
        <v>268.14</v>
      </c>
    </row>
    <row r="2868" spans="1:16" x14ac:dyDescent="0.3">
      <c r="A2868">
        <v>49110</v>
      </c>
      <c r="B2868">
        <v>105</v>
      </c>
      <c r="C2868" t="s">
        <v>557</v>
      </c>
      <c r="D2868" s="452">
        <v>45901</v>
      </c>
      <c r="E2868">
        <v>18114</v>
      </c>
      <c r="F2868" t="s">
        <v>5046</v>
      </c>
      <c r="G2868">
        <v>3498</v>
      </c>
      <c r="H2868">
        <v>1</v>
      </c>
      <c r="I2868" t="s">
        <v>4805</v>
      </c>
      <c r="J2868" t="s">
        <v>5222</v>
      </c>
      <c r="K2868" t="s">
        <v>4038</v>
      </c>
      <c r="L2868">
        <v>0</v>
      </c>
      <c r="M2868" s="452">
        <v>-693593</v>
      </c>
      <c r="N2868">
        <v>0</v>
      </c>
      <c r="O2868">
        <v>232</v>
      </c>
      <c r="P2868">
        <v>261.70999999999998</v>
      </c>
    </row>
    <row r="2869" spans="1:16" x14ac:dyDescent="0.3">
      <c r="A2869">
        <v>49056</v>
      </c>
      <c r="B2869">
        <v>105</v>
      </c>
      <c r="C2869" t="s">
        <v>557</v>
      </c>
      <c r="D2869" s="452">
        <v>45901</v>
      </c>
      <c r="E2869">
        <v>18315</v>
      </c>
      <c r="F2869" t="s">
        <v>4922</v>
      </c>
      <c r="G2869">
        <v>3318</v>
      </c>
      <c r="H2869">
        <v>2</v>
      </c>
      <c r="I2869" t="s">
        <v>4805</v>
      </c>
      <c r="J2869" t="s">
        <v>5222</v>
      </c>
      <c r="K2869" t="s">
        <v>4038</v>
      </c>
      <c r="L2869">
        <v>127</v>
      </c>
      <c r="M2869" s="452">
        <v>45888</v>
      </c>
      <c r="N2869">
        <v>127</v>
      </c>
      <c r="O2869">
        <v>125</v>
      </c>
      <c r="P2869">
        <v>254</v>
      </c>
    </row>
    <row r="2870" spans="1:16" x14ac:dyDescent="0.3">
      <c r="A2870">
        <v>48947</v>
      </c>
      <c r="B2870">
        <v>105</v>
      </c>
      <c r="C2870" t="s">
        <v>557</v>
      </c>
      <c r="D2870" s="452">
        <v>45901</v>
      </c>
      <c r="E2870">
        <v>22829</v>
      </c>
      <c r="F2870" t="s">
        <v>4861</v>
      </c>
      <c r="G2870">
        <v>2942</v>
      </c>
      <c r="H2870">
        <v>5.2</v>
      </c>
      <c r="I2870" t="s">
        <v>4744</v>
      </c>
      <c r="J2870" t="s">
        <v>5191</v>
      </c>
      <c r="K2870" t="s">
        <v>4038</v>
      </c>
      <c r="L2870">
        <v>48.5</v>
      </c>
      <c r="M2870" s="452">
        <v>45880</v>
      </c>
      <c r="N2870">
        <v>48.5</v>
      </c>
      <c r="O2870">
        <v>31.8</v>
      </c>
      <c r="P2870">
        <v>252.2</v>
      </c>
    </row>
    <row r="2871" spans="1:16" x14ac:dyDescent="0.3">
      <c r="A2871">
        <v>49034</v>
      </c>
      <c r="B2871">
        <v>105</v>
      </c>
      <c r="C2871" t="s">
        <v>557</v>
      </c>
      <c r="D2871" s="452">
        <v>45901</v>
      </c>
      <c r="E2871">
        <v>17062</v>
      </c>
      <c r="F2871" t="s">
        <v>4880</v>
      </c>
      <c r="G2871">
        <v>1954</v>
      </c>
      <c r="H2871">
        <v>2</v>
      </c>
      <c r="I2871" t="s">
        <v>4879</v>
      </c>
      <c r="J2871" t="s">
        <v>5191</v>
      </c>
      <c r="K2871" t="s">
        <v>4038</v>
      </c>
      <c r="L2871">
        <v>0</v>
      </c>
      <c r="M2871" s="452">
        <v>45841</v>
      </c>
      <c r="N2871">
        <v>126.03</v>
      </c>
      <c r="O2871">
        <v>126.03</v>
      </c>
      <c r="P2871">
        <v>252.06</v>
      </c>
    </row>
    <row r="2872" spans="1:16" x14ac:dyDescent="0.3">
      <c r="A2872">
        <v>48930</v>
      </c>
      <c r="B2872">
        <v>105</v>
      </c>
      <c r="C2872" t="s">
        <v>557</v>
      </c>
      <c r="D2872" s="452">
        <v>45901</v>
      </c>
      <c r="E2872">
        <v>19322</v>
      </c>
      <c r="F2872" t="s">
        <v>4830</v>
      </c>
      <c r="G2872">
        <v>2773</v>
      </c>
      <c r="H2872">
        <v>6</v>
      </c>
      <c r="I2872" t="s">
        <v>4744</v>
      </c>
      <c r="J2872" t="s">
        <v>5191</v>
      </c>
      <c r="K2872" t="s">
        <v>4038</v>
      </c>
      <c r="L2872">
        <v>41.53</v>
      </c>
      <c r="M2872" s="452">
        <v>45895</v>
      </c>
      <c r="N2872">
        <v>40.950000000000003</v>
      </c>
      <c r="O2872">
        <v>40.950000000000003</v>
      </c>
      <c r="P2872">
        <v>249.18</v>
      </c>
    </row>
    <row r="2873" spans="1:16" x14ac:dyDescent="0.3">
      <c r="A2873">
        <v>48913</v>
      </c>
      <c r="B2873">
        <v>105</v>
      </c>
      <c r="C2873" t="s">
        <v>557</v>
      </c>
      <c r="D2873" s="452">
        <v>45901</v>
      </c>
      <c r="E2873">
        <v>18172</v>
      </c>
      <c r="F2873" t="s">
        <v>4804</v>
      </c>
      <c r="G2873">
        <v>3450</v>
      </c>
      <c r="H2873">
        <v>7</v>
      </c>
      <c r="I2873" t="s">
        <v>4805</v>
      </c>
      <c r="J2873" t="s">
        <v>5222</v>
      </c>
      <c r="K2873" t="s">
        <v>4038</v>
      </c>
      <c r="L2873">
        <v>32.93</v>
      </c>
      <c r="M2873" s="452">
        <v>45895</v>
      </c>
      <c r="N2873">
        <v>33.090000000000003</v>
      </c>
      <c r="O2873">
        <v>31.83</v>
      </c>
      <c r="P2873">
        <v>230.51</v>
      </c>
    </row>
    <row r="2874" spans="1:16" x14ac:dyDescent="0.3">
      <c r="A2874">
        <v>49011</v>
      </c>
      <c r="B2874">
        <v>105</v>
      </c>
      <c r="C2874" t="s">
        <v>557</v>
      </c>
      <c r="D2874" s="452">
        <v>45901</v>
      </c>
      <c r="E2874">
        <v>18008</v>
      </c>
      <c r="F2874" t="s">
        <v>4865</v>
      </c>
      <c r="G2874">
        <v>3589</v>
      </c>
      <c r="H2874">
        <v>3</v>
      </c>
      <c r="I2874" t="s">
        <v>4805</v>
      </c>
      <c r="J2874" t="s">
        <v>5222</v>
      </c>
      <c r="K2874" t="s">
        <v>4038</v>
      </c>
      <c r="L2874">
        <v>0</v>
      </c>
      <c r="M2874" s="452">
        <v>45716</v>
      </c>
      <c r="N2874">
        <v>76.83</v>
      </c>
      <c r="O2874">
        <v>76.83</v>
      </c>
      <c r="P2874">
        <v>230.49</v>
      </c>
    </row>
    <row r="2875" spans="1:16" x14ac:dyDescent="0.3">
      <c r="A2875">
        <v>48817</v>
      </c>
      <c r="B2875">
        <v>105</v>
      </c>
      <c r="C2875" t="s">
        <v>557</v>
      </c>
      <c r="D2875" s="452">
        <v>45901</v>
      </c>
      <c r="E2875">
        <v>17950</v>
      </c>
      <c r="F2875" t="s">
        <v>5091</v>
      </c>
      <c r="G2875">
        <v>3626</v>
      </c>
      <c r="H2875">
        <v>13.33</v>
      </c>
      <c r="I2875" t="s">
        <v>4738</v>
      </c>
      <c r="J2875" t="s">
        <v>5222</v>
      </c>
      <c r="K2875" t="s">
        <v>4038</v>
      </c>
      <c r="L2875">
        <v>0</v>
      </c>
      <c r="M2875" s="452">
        <v>45860</v>
      </c>
      <c r="N2875">
        <v>17.100000000000001</v>
      </c>
      <c r="O2875">
        <v>17.100000000000001</v>
      </c>
      <c r="P2875">
        <v>227.94</v>
      </c>
    </row>
    <row r="2876" spans="1:16" x14ac:dyDescent="0.3">
      <c r="A2876">
        <v>48904</v>
      </c>
      <c r="B2876">
        <v>105</v>
      </c>
      <c r="C2876" t="s">
        <v>557</v>
      </c>
      <c r="D2876" s="452">
        <v>45901</v>
      </c>
      <c r="E2876">
        <v>20207</v>
      </c>
      <c r="F2876" t="s">
        <v>4929</v>
      </c>
      <c r="G2876">
        <v>2253</v>
      </c>
      <c r="H2876">
        <v>7.6</v>
      </c>
      <c r="I2876" t="s">
        <v>4744</v>
      </c>
      <c r="J2876" t="s">
        <v>5191</v>
      </c>
      <c r="K2876" t="s">
        <v>4038</v>
      </c>
      <c r="L2876">
        <v>29.9</v>
      </c>
      <c r="M2876" s="452">
        <v>45895</v>
      </c>
      <c r="N2876">
        <v>29.9</v>
      </c>
      <c r="O2876">
        <v>29.9</v>
      </c>
      <c r="P2876">
        <v>227.24</v>
      </c>
    </row>
    <row r="2877" spans="1:16" x14ac:dyDescent="0.3">
      <c r="A2877">
        <v>48854</v>
      </c>
      <c r="B2877">
        <v>105</v>
      </c>
      <c r="C2877" t="s">
        <v>557</v>
      </c>
      <c r="D2877" s="452">
        <v>45901</v>
      </c>
      <c r="E2877">
        <v>18996</v>
      </c>
      <c r="F2877" t="s">
        <v>5130</v>
      </c>
      <c r="G2877">
        <v>2900</v>
      </c>
      <c r="H2877">
        <v>16.25</v>
      </c>
      <c r="I2877" t="s">
        <v>4744</v>
      </c>
      <c r="J2877" t="s">
        <v>5191</v>
      </c>
      <c r="K2877" t="s">
        <v>4038</v>
      </c>
      <c r="L2877">
        <v>13.8</v>
      </c>
      <c r="M2877" s="452">
        <v>45880</v>
      </c>
      <c r="N2877">
        <v>16.989999999999998</v>
      </c>
      <c r="O2877">
        <v>16.04</v>
      </c>
      <c r="P2877">
        <v>224.25</v>
      </c>
    </row>
    <row r="2878" spans="1:16" x14ac:dyDescent="0.3">
      <c r="A2878">
        <v>48894</v>
      </c>
      <c r="B2878">
        <v>105</v>
      </c>
      <c r="C2878" t="s">
        <v>557</v>
      </c>
      <c r="D2878" s="452">
        <v>45901</v>
      </c>
      <c r="E2878">
        <v>20809</v>
      </c>
      <c r="F2878" t="s">
        <v>4822</v>
      </c>
      <c r="G2878">
        <v>2074</v>
      </c>
      <c r="H2878">
        <v>9.1999999999999993</v>
      </c>
      <c r="I2878" t="s">
        <v>4738</v>
      </c>
      <c r="J2878" t="s">
        <v>5191</v>
      </c>
      <c r="K2878" t="s">
        <v>4038</v>
      </c>
      <c r="L2878">
        <v>24.2</v>
      </c>
      <c r="M2878" s="452">
        <v>45895</v>
      </c>
      <c r="N2878">
        <v>0</v>
      </c>
      <c r="O2878">
        <v>27.66</v>
      </c>
      <c r="P2878">
        <v>222.64</v>
      </c>
    </row>
    <row r="2879" spans="1:16" x14ac:dyDescent="0.3">
      <c r="A2879">
        <v>48859</v>
      </c>
      <c r="B2879">
        <v>105</v>
      </c>
      <c r="C2879" t="s">
        <v>557</v>
      </c>
      <c r="D2879" s="452">
        <v>45901</v>
      </c>
      <c r="E2879">
        <v>20122</v>
      </c>
      <c r="F2879" t="s">
        <v>4781</v>
      </c>
      <c r="G2879">
        <v>2290</v>
      </c>
      <c r="H2879">
        <v>15</v>
      </c>
      <c r="I2879" t="s">
        <v>4738</v>
      </c>
      <c r="J2879" t="s">
        <v>5191</v>
      </c>
      <c r="K2879" t="s">
        <v>4038</v>
      </c>
      <c r="L2879">
        <v>14.55</v>
      </c>
      <c r="M2879" s="452">
        <v>45895</v>
      </c>
      <c r="N2879">
        <v>14.6</v>
      </c>
      <c r="O2879">
        <v>14.7</v>
      </c>
      <c r="P2879">
        <v>218.25</v>
      </c>
    </row>
    <row r="2880" spans="1:16" x14ac:dyDescent="0.3">
      <c r="A2880">
        <v>48933</v>
      </c>
      <c r="B2880">
        <v>105</v>
      </c>
      <c r="C2880" t="s">
        <v>557</v>
      </c>
      <c r="D2880" s="452">
        <v>45901</v>
      </c>
      <c r="E2880">
        <v>18491</v>
      </c>
      <c r="F2880" t="s">
        <v>4839</v>
      </c>
      <c r="G2880">
        <v>3166</v>
      </c>
      <c r="H2880">
        <v>6</v>
      </c>
      <c r="I2880" t="s">
        <v>4805</v>
      </c>
      <c r="J2880" t="s">
        <v>5222</v>
      </c>
      <c r="K2880" t="s">
        <v>4038</v>
      </c>
      <c r="L2880">
        <v>0</v>
      </c>
      <c r="M2880" s="452">
        <v>45555</v>
      </c>
      <c r="N2880">
        <v>35.9</v>
      </c>
      <c r="O2880">
        <v>35.9</v>
      </c>
      <c r="P2880">
        <v>215.4</v>
      </c>
    </row>
    <row r="2881" spans="1:16" x14ac:dyDescent="0.3">
      <c r="A2881">
        <v>49033</v>
      </c>
      <c r="B2881">
        <v>105</v>
      </c>
      <c r="C2881" t="s">
        <v>557</v>
      </c>
      <c r="D2881" s="452">
        <v>45901</v>
      </c>
      <c r="E2881">
        <v>21150</v>
      </c>
      <c r="F2881" t="s">
        <v>4878</v>
      </c>
      <c r="G2881">
        <v>1951</v>
      </c>
      <c r="H2881">
        <v>2</v>
      </c>
      <c r="I2881" t="s">
        <v>4879</v>
      </c>
      <c r="J2881" t="s">
        <v>5191</v>
      </c>
      <c r="K2881" t="s">
        <v>4038</v>
      </c>
      <c r="L2881">
        <v>0</v>
      </c>
      <c r="M2881" s="452">
        <v>45469</v>
      </c>
      <c r="N2881">
        <v>106.9</v>
      </c>
      <c r="O2881">
        <v>74</v>
      </c>
      <c r="P2881">
        <v>213.8</v>
      </c>
    </row>
    <row r="2882" spans="1:16" x14ac:dyDescent="0.3">
      <c r="A2882">
        <v>52032</v>
      </c>
      <c r="B2882">
        <v>105</v>
      </c>
      <c r="C2882" t="s">
        <v>557</v>
      </c>
      <c r="D2882" s="452">
        <v>45901</v>
      </c>
      <c r="E2882">
        <v>25130</v>
      </c>
      <c r="F2882" t="s">
        <v>5476</v>
      </c>
      <c r="G2882">
        <v>5907</v>
      </c>
      <c r="H2882">
        <v>5.6</v>
      </c>
      <c r="I2882" t="s">
        <v>4744</v>
      </c>
      <c r="J2882" t="s">
        <v>5191</v>
      </c>
      <c r="K2882" t="s">
        <v>4038</v>
      </c>
      <c r="L2882">
        <v>0</v>
      </c>
      <c r="M2882" s="452">
        <v>45721</v>
      </c>
      <c r="N2882">
        <v>0</v>
      </c>
      <c r="O2882">
        <v>36</v>
      </c>
      <c r="P2882">
        <v>211.68</v>
      </c>
    </row>
    <row r="2883" spans="1:16" x14ac:dyDescent="0.3">
      <c r="A2883">
        <v>49018</v>
      </c>
      <c r="B2883">
        <v>105</v>
      </c>
      <c r="C2883" t="s">
        <v>557</v>
      </c>
      <c r="D2883" s="452">
        <v>45901</v>
      </c>
      <c r="E2883">
        <v>20756</v>
      </c>
      <c r="F2883" t="s">
        <v>5001</v>
      </c>
      <c r="G2883">
        <v>2086</v>
      </c>
      <c r="H2883">
        <v>2.65</v>
      </c>
      <c r="I2883" t="s">
        <v>4736</v>
      </c>
      <c r="J2883" t="s">
        <v>5191</v>
      </c>
      <c r="K2883" t="s">
        <v>4038</v>
      </c>
      <c r="L2883">
        <v>0</v>
      </c>
      <c r="M2883" s="452">
        <v>45607</v>
      </c>
      <c r="N2883">
        <v>79.2</v>
      </c>
      <c r="O2883">
        <v>78.900000000000006</v>
      </c>
      <c r="P2883">
        <v>209.88</v>
      </c>
    </row>
    <row r="2884" spans="1:16" x14ac:dyDescent="0.3">
      <c r="A2884">
        <v>48891</v>
      </c>
      <c r="B2884">
        <v>105</v>
      </c>
      <c r="C2884" t="s">
        <v>557</v>
      </c>
      <c r="D2884" s="452">
        <v>45901</v>
      </c>
      <c r="E2884">
        <v>20521</v>
      </c>
      <c r="F2884" t="s">
        <v>4797</v>
      </c>
      <c r="G2884">
        <v>2149</v>
      </c>
      <c r="H2884">
        <v>10</v>
      </c>
      <c r="I2884" t="s">
        <v>4744</v>
      </c>
      <c r="J2884" t="s">
        <v>5191</v>
      </c>
      <c r="K2884" t="s">
        <v>4038</v>
      </c>
      <c r="L2884">
        <v>0</v>
      </c>
      <c r="M2884" s="452">
        <v>45839</v>
      </c>
      <c r="N2884">
        <v>20.8</v>
      </c>
      <c r="O2884">
        <v>21.98</v>
      </c>
      <c r="P2884">
        <v>208</v>
      </c>
    </row>
    <row r="2885" spans="1:16" x14ac:dyDescent="0.3">
      <c r="A2885">
        <v>48912</v>
      </c>
      <c r="B2885">
        <v>105</v>
      </c>
      <c r="C2885" t="s">
        <v>557</v>
      </c>
      <c r="D2885" s="452">
        <v>45901</v>
      </c>
      <c r="E2885">
        <v>18253</v>
      </c>
      <c r="F2885" t="s">
        <v>4969</v>
      </c>
      <c r="G2885">
        <v>3376</v>
      </c>
      <c r="H2885">
        <v>7</v>
      </c>
      <c r="I2885" t="s">
        <v>4805</v>
      </c>
      <c r="J2885" t="s">
        <v>5222</v>
      </c>
      <c r="K2885" t="s">
        <v>4038</v>
      </c>
      <c r="L2885">
        <v>29</v>
      </c>
      <c r="M2885" s="452">
        <v>45895</v>
      </c>
      <c r="N2885">
        <v>28.91</v>
      </c>
      <c r="O2885">
        <v>29.5</v>
      </c>
      <c r="P2885">
        <v>203</v>
      </c>
    </row>
    <row r="2886" spans="1:16" x14ac:dyDescent="0.3">
      <c r="A2886">
        <v>49020</v>
      </c>
      <c r="B2886">
        <v>105</v>
      </c>
      <c r="C2886" t="s">
        <v>557</v>
      </c>
      <c r="D2886" s="452">
        <v>45901</v>
      </c>
      <c r="E2886">
        <v>25358</v>
      </c>
      <c r="F2886" t="s">
        <v>4980</v>
      </c>
      <c r="G2886">
        <v>6047</v>
      </c>
      <c r="H2886">
        <v>2.6</v>
      </c>
      <c r="I2886" t="s">
        <v>4744</v>
      </c>
      <c r="J2886" t="s">
        <v>5191</v>
      </c>
      <c r="K2886" t="s">
        <v>4038</v>
      </c>
      <c r="L2886">
        <v>77.099999999999994</v>
      </c>
      <c r="M2886" s="452">
        <v>45887</v>
      </c>
      <c r="N2886">
        <v>78.599999999999994</v>
      </c>
      <c r="O2886">
        <v>78.599999999999994</v>
      </c>
      <c r="P2886">
        <v>200.46</v>
      </c>
    </row>
    <row r="2887" spans="1:16" x14ac:dyDescent="0.3">
      <c r="A2887">
        <v>48977</v>
      </c>
      <c r="B2887">
        <v>105</v>
      </c>
      <c r="C2887" t="s">
        <v>557</v>
      </c>
      <c r="D2887" s="452">
        <v>45901</v>
      </c>
      <c r="E2887">
        <v>26034</v>
      </c>
      <c r="F2887" t="s">
        <v>4828</v>
      </c>
      <c r="G2887">
        <v>6504</v>
      </c>
      <c r="H2887">
        <v>4</v>
      </c>
      <c r="I2887" t="s">
        <v>4805</v>
      </c>
      <c r="J2887" t="s">
        <v>5222</v>
      </c>
      <c r="K2887" t="s">
        <v>4038</v>
      </c>
      <c r="L2887">
        <v>0</v>
      </c>
      <c r="M2887" s="452">
        <v>45853</v>
      </c>
      <c r="N2887">
        <v>49.84</v>
      </c>
      <c r="O2887">
        <v>49.84</v>
      </c>
      <c r="P2887">
        <v>199.36</v>
      </c>
    </row>
    <row r="2888" spans="1:16" x14ac:dyDescent="0.3">
      <c r="A2888">
        <v>49070</v>
      </c>
      <c r="B2888">
        <v>105</v>
      </c>
      <c r="C2888" t="s">
        <v>557</v>
      </c>
      <c r="D2888" s="452">
        <v>45901</v>
      </c>
      <c r="E2888">
        <v>18394</v>
      </c>
      <c r="F2888" t="s">
        <v>5032</v>
      </c>
      <c r="G2888">
        <v>3246</v>
      </c>
      <c r="H2888">
        <v>1.5</v>
      </c>
      <c r="I2888" t="s">
        <v>4805</v>
      </c>
      <c r="J2888" t="s">
        <v>5222</v>
      </c>
      <c r="K2888" t="s">
        <v>4038</v>
      </c>
      <c r="L2888">
        <v>0</v>
      </c>
      <c r="M2888" s="452">
        <v>45867</v>
      </c>
      <c r="N2888">
        <v>132.36000000000001</v>
      </c>
      <c r="O2888">
        <v>132.36000000000001</v>
      </c>
      <c r="P2888">
        <v>198.54</v>
      </c>
    </row>
    <row r="2889" spans="1:16" x14ac:dyDescent="0.3">
      <c r="A2889">
        <v>48832</v>
      </c>
      <c r="B2889">
        <v>105</v>
      </c>
      <c r="C2889" t="s">
        <v>557</v>
      </c>
      <c r="D2889" s="452">
        <v>45901</v>
      </c>
      <c r="E2889">
        <v>24226</v>
      </c>
      <c r="F2889" t="s">
        <v>4795</v>
      </c>
      <c r="G2889">
        <v>3647</v>
      </c>
      <c r="H2889">
        <v>30</v>
      </c>
      <c r="I2889" t="s">
        <v>4736</v>
      </c>
      <c r="J2889" t="s">
        <v>5222</v>
      </c>
      <c r="K2889" t="s">
        <v>4038</v>
      </c>
      <c r="L2889">
        <v>0</v>
      </c>
      <c r="M2889" s="452">
        <v>45532</v>
      </c>
      <c r="N2889">
        <v>6.42</v>
      </c>
      <c r="O2889">
        <v>6.82</v>
      </c>
      <c r="P2889">
        <v>192.6</v>
      </c>
    </row>
    <row r="2890" spans="1:16" x14ac:dyDescent="0.3">
      <c r="A2890">
        <v>49165</v>
      </c>
      <c r="B2890">
        <v>105</v>
      </c>
      <c r="C2890" t="s">
        <v>557</v>
      </c>
      <c r="D2890" s="452">
        <v>45901</v>
      </c>
      <c r="E2890">
        <v>26560</v>
      </c>
      <c r="F2890" t="s">
        <v>4894</v>
      </c>
      <c r="G2890">
        <v>6788</v>
      </c>
      <c r="H2890">
        <v>7</v>
      </c>
      <c r="I2890" t="s">
        <v>4805</v>
      </c>
      <c r="J2890" t="s">
        <v>5222</v>
      </c>
      <c r="K2890" t="s">
        <v>4038</v>
      </c>
      <c r="L2890">
        <v>0</v>
      </c>
      <c r="M2890" s="452">
        <v>-693593</v>
      </c>
      <c r="N2890">
        <v>0</v>
      </c>
      <c r="O2890">
        <v>27.5</v>
      </c>
      <c r="P2890">
        <v>192.5</v>
      </c>
    </row>
    <row r="2891" spans="1:16" x14ac:dyDescent="0.3">
      <c r="A2891">
        <v>49167</v>
      </c>
      <c r="B2891">
        <v>105</v>
      </c>
      <c r="C2891" t="s">
        <v>557</v>
      </c>
      <c r="D2891" s="452">
        <v>45901</v>
      </c>
      <c r="E2891">
        <v>18486</v>
      </c>
      <c r="F2891" t="s">
        <v>5448</v>
      </c>
      <c r="G2891">
        <v>3170</v>
      </c>
      <c r="H2891">
        <v>7</v>
      </c>
      <c r="I2891" t="s">
        <v>4805</v>
      </c>
      <c r="J2891" t="s">
        <v>5222</v>
      </c>
      <c r="K2891" t="s">
        <v>4038</v>
      </c>
      <c r="L2891">
        <v>0</v>
      </c>
      <c r="M2891" s="452">
        <v>-693593</v>
      </c>
      <c r="N2891">
        <v>0</v>
      </c>
      <c r="O2891">
        <v>27.5</v>
      </c>
      <c r="P2891">
        <v>192.5</v>
      </c>
    </row>
    <row r="2892" spans="1:16" x14ac:dyDescent="0.3">
      <c r="A2892">
        <v>48955</v>
      </c>
      <c r="B2892">
        <v>105</v>
      </c>
      <c r="C2892" t="s">
        <v>557</v>
      </c>
      <c r="D2892" s="452">
        <v>45901</v>
      </c>
      <c r="E2892">
        <v>19790</v>
      </c>
      <c r="F2892" t="s">
        <v>5073</v>
      </c>
      <c r="G2892">
        <v>2469</v>
      </c>
      <c r="H2892">
        <v>5</v>
      </c>
      <c r="I2892" t="s">
        <v>4744</v>
      </c>
      <c r="J2892" t="s">
        <v>5191</v>
      </c>
      <c r="K2892" t="s">
        <v>4038</v>
      </c>
      <c r="L2892">
        <v>38.479999999999997</v>
      </c>
      <c r="M2892" s="452">
        <v>45900</v>
      </c>
      <c r="N2892">
        <v>40.799999999999997</v>
      </c>
      <c r="O2892">
        <v>40.799999999999997</v>
      </c>
      <c r="P2892">
        <v>192.4</v>
      </c>
    </row>
    <row r="2893" spans="1:16" x14ac:dyDescent="0.3">
      <c r="A2893">
        <v>48958</v>
      </c>
      <c r="B2893">
        <v>105</v>
      </c>
      <c r="C2893" t="s">
        <v>557</v>
      </c>
      <c r="D2893" s="452">
        <v>45901</v>
      </c>
      <c r="E2893">
        <v>16973</v>
      </c>
      <c r="F2893" t="s">
        <v>4827</v>
      </c>
      <c r="G2893">
        <v>3710</v>
      </c>
      <c r="H2893">
        <v>5</v>
      </c>
      <c r="I2893" t="s">
        <v>4749</v>
      </c>
      <c r="J2893" t="s">
        <v>5222</v>
      </c>
      <c r="K2893" t="s">
        <v>4038</v>
      </c>
      <c r="L2893">
        <v>0</v>
      </c>
      <c r="M2893" s="452">
        <v>45740</v>
      </c>
      <c r="N2893">
        <v>0</v>
      </c>
      <c r="O2893">
        <v>135</v>
      </c>
      <c r="P2893">
        <v>190</v>
      </c>
    </row>
    <row r="2894" spans="1:16" x14ac:dyDescent="0.3">
      <c r="A2894">
        <v>48935</v>
      </c>
      <c r="B2894">
        <v>105</v>
      </c>
      <c r="C2894" t="s">
        <v>557</v>
      </c>
      <c r="D2894" s="452">
        <v>45901</v>
      </c>
      <c r="E2894">
        <v>18030</v>
      </c>
      <c r="F2894" t="s">
        <v>4840</v>
      </c>
      <c r="G2894">
        <v>3568</v>
      </c>
      <c r="H2894">
        <v>6.9</v>
      </c>
      <c r="I2894" t="s">
        <v>4805</v>
      </c>
      <c r="J2894" t="s">
        <v>5222</v>
      </c>
      <c r="K2894" t="s">
        <v>4038</v>
      </c>
      <c r="L2894">
        <v>28.8</v>
      </c>
      <c r="M2894" s="452">
        <v>45895</v>
      </c>
      <c r="N2894">
        <v>27.5</v>
      </c>
      <c r="O2894">
        <v>27.25</v>
      </c>
      <c r="P2894">
        <v>189.75</v>
      </c>
    </row>
    <row r="2895" spans="1:16" x14ac:dyDescent="0.3">
      <c r="A2895">
        <v>49058</v>
      </c>
      <c r="B2895">
        <v>105</v>
      </c>
      <c r="C2895" t="s">
        <v>557</v>
      </c>
      <c r="D2895" s="452">
        <v>45901</v>
      </c>
      <c r="E2895">
        <v>18111</v>
      </c>
      <c r="F2895" t="s">
        <v>5049</v>
      </c>
      <c r="G2895">
        <v>3500</v>
      </c>
      <c r="H2895">
        <v>2</v>
      </c>
      <c r="I2895" t="s">
        <v>4805</v>
      </c>
      <c r="J2895" t="s">
        <v>5222</v>
      </c>
      <c r="K2895" t="s">
        <v>4038</v>
      </c>
      <c r="L2895">
        <v>93.4</v>
      </c>
      <c r="M2895" s="452">
        <v>45875</v>
      </c>
      <c r="N2895">
        <v>93.4</v>
      </c>
      <c r="O2895">
        <v>93.41</v>
      </c>
      <c r="P2895">
        <v>186.8</v>
      </c>
    </row>
    <row r="2896" spans="1:16" x14ac:dyDescent="0.3">
      <c r="A2896">
        <v>48853</v>
      </c>
      <c r="B2896">
        <v>105</v>
      </c>
      <c r="C2896" t="s">
        <v>557</v>
      </c>
      <c r="D2896" s="452">
        <v>45901</v>
      </c>
      <c r="E2896">
        <v>20623</v>
      </c>
      <c r="F2896" t="s">
        <v>4814</v>
      </c>
      <c r="G2896">
        <v>2116</v>
      </c>
      <c r="H2896">
        <v>16.45</v>
      </c>
      <c r="I2896" t="s">
        <v>4736</v>
      </c>
      <c r="J2896" t="s">
        <v>5191</v>
      </c>
      <c r="K2896" t="s">
        <v>4038</v>
      </c>
      <c r="L2896">
        <v>11.07</v>
      </c>
      <c r="M2896" s="452">
        <v>45896</v>
      </c>
      <c r="N2896">
        <v>11.07</v>
      </c>
      <c r="O2896">
        <v>11.07</v>
      </c>
      <c r="P2896">
        <v>182.1</v>
      </c>
    </row>
    <row r="2897" spans="1:16" x14ac:dyDescent="0.3">
      <c r="A2897">
        <v>49079</v>
      </c>
      <c r="B2897">
        <v>105</v>
      </c>
      <c r="C2897" t="s">
        <v>557</v>
      </c>
      <c r="D2897" s="452">
        <v>45901</v>
      </c>
      <c r="E2897">
        <v>20928</v>
      </c>
      <c r="F2897" t="s">
        <v>4950</v>
      </c>
      <c r="G2897">
        <v>2033</v>
      </c>
      <c r="H2897">
        <v>1</v>
      </c>
      <c r="I2897" t="s">
        <v>4736</v>
      </c>
      <c r="J2897" t="s">
        <v>5191</v>
      </c>
      <c r="K2897" t="s">
        <v>4038</v>
      </c>
      <c r="L2897">
        <v>182</v>
      </c>
      <c r="M2897" s="452">
        <v>45888</v>
      </c>
      <c r="N2897">
        <v>182</v>
      </c>
      <c r="O2897">
        <v>185</v>
      </c>
      <c r="P2897">
        <v>182</v>
      </c>
    </row>
    <row r="2898" spans="1:16" x14ac:dyDescent="0.3">
      <c r="A2898">
        <v>49121</v>
      </c>
      <c r="B2898">
        <v>105</v>
      </c>
      <c r="C2898" t="s">
        <v>557</v>
      </c>
      <c r="D2898" s="452">
        <v>45901</v>
      </c>
      <c r="E2898">
        <v>22223</v>
      </c>
      <c r="F2898" t="s">
        <v>5437</v>
      </c>
      <c r="G2898">
        <v>3498</v>
      </c>
      <c r="H2898">
        <v>0.65</v>
      </c>
      <c r="I2898" t="s">
        <v>4955</v>
      </c>
      <c r="J2898" t="s">
        <v>5222</v>
      </c>
      <c r="K2898" t="s">
        <v>4038</v>
      </c>
      <c r="L2898">
        <v>0</v>
      </c>
      <c r="M2898" s="452">
        <v>45672</v>
      </c>
      <c r="N2898">
        <v>269.89999999999998</v>
      </c>
      <c r="O2898">
        <v>269.89999999999998</v>
      </c>
      <c r="P2898">
        <v>175.44</v>
      </c>
    </row>
    <row r="2899" spans="1:16" x14ac:dyDescent="0.3">
      <c r="A2899">
        <v>48952</v>
      </c>
      <c r="B2899">
        <v>105</v>
      </c>
      <c r="C2899" t="s">
        <v>557</v>
      </c>
      <c r="D2899" s="452">
        <v>45901</v>
      </c>
      <c r="E2899">
        <v>20887</v>
      </c>
      <c r="F2899" t="s">
        <v>4953</v>
      </c>
      <c r="G2899">
        <v>2040</v>
      </c>
      <c r="H2899">
        <v>5</v>
      </c>
      <c r="I2899" t="s">
        <v>4879</v>
      </c>
      <c r="J2899" t="s">
        <v>5191</v>
      </c>
      <c r="K2899" t="s">
        <v>4038</v>
      </c>
      <c r="L2899">
        <v>34.92</v>
      </c>
      <c r="M2899" s="452">
        <v>45895</v>
      </c>
      <c r="N2899">
        <v>34</v>
      </c>
      <c r="O2899">
        <v>34</v>
      </c>
      <c r="P2899">
        <v>174.6</v>
      </c>
    </row>
    <row r="2900" spans="1:16" x14ac:dyDescent="0.3">
      <c r="A2900">
        <v>48920</v>
      </c>
      <c r="B2900">
        <v>105</v>
      </c>
      <c r="C2900" t="s">
        <v>557</v>
      </c>
      <c r="D2900" s="452">
        <v>45901</v>
      </c>
      <c r="E2900">
        <v>20488</v>
      </c>
      <c r="F2900" t="s">
        <v>5477</v>
      </c>
      <c r="G2900">
        <v>2157</v>
      </c>
      <c r="H2900">
        <v>6.2</v>
      </c>
      <c r="I2900" t="s">
        <v>4744</v>
      </c>
      <c r="J2900" t="s">
        <v>5191</v>
      </c>
      <c r="K2900" t="s">
        <v>4038</v>
      </c>
      <c r="L2900">
        <v>27.95</v>
      </c>
      <c r="M2900" s="452">
        <v>45884</v>
      </c>
      <c r="N2900">
        <v>27.95</v>
      </c>
      <c r="O2900">
        <v>28.12</v>
      </c>
      <c r="P2900">
        <v>173.29</v>
      </c>
    </row>
    <row r="2901" spans="1:16" x14ac:dyDescent="0.3">
      <c r="A2901">
        <v>49108</v>
      </c>
      <c r="B2901">
        <v>105</v>
      </c>
      <c r="C2901" t="s">
        <v>557</v>
      </c>
      <c r="D2901" s="452">
        <v>45901</v>
      </c>
      <c r="E2901">
        <v>18119</v>
      </c>
      <c r="F2901" t="s">
        <v>5044</v>
      </c>
      <c r="G2901">
        <v>3494</v>
      </c>
      <c r="H2901">
        <v>1</v>
      </c>
      <c r="I2901" t="s">
        <v>4805</v>
      </c>
      <c r="J2901" t="s">
        <v>5222</v>
      </c>
      <c r="K2901" t="s">
        <v>4038</v>
      </c>
      <c r="L2901">
        <v>172.88</v>
      </c>
      <c r="M2901" s="452">
        <v>45875</v>
      </c>
      <c r="N2901">
        <v>172.88</v>
      </c>
      <c r="O2901">
        <v>172.88</v>
      </c>
      <c r="P2901">
        <v>172.88</v>
      </c>
    </row>
    <row r="2902" spans="1:16" x14ac:dyDescent="0.3">
      <c r="A2902">
        <v>48844</v>
      </c>
      <c r="B2902">
        <v>105</v>
      </c>
      <c r="C2902" t="s">
        <v>557</v>
      </c>
      <c r="D2902" s="452">
        <v>45901</v>
      </c>
      <c r="E2902">
        <v>22896</v>
      </c>
      <c r="F2902" t="s">
        <v>4901</v>
      </c>
      <c r="G2902">
        <v>2896</v>
      </c>
      <c r="H2902">
        <v>20.2</v>
      </c>
      <c r="I2902" t="s">
        <v>4744</v>
      </c>
      <c r="J2902" t="s">
        <v>5191</v>
      </c>
      <c r="K2902" t="s">
        <v>4038</v>
      </c>
      <c r="L2902">
        <v>8.5399999999999991</v>
      </c>
      <c r="M2902" s="452">
        <v>45887</v>
      </c>
      <c r="N2902">
        <v>8.39</v>
      </c>
      <c r="O2902">
        <v>8.49</v>
      </c>
      <c r="P2902">
        <v>172.51</v>
      </c>
    </row>
    <row r="2903" spans="1:16" x14ac:dyDescent="0.3">
      <c r="A2903">
        <v>49010</v>
      </c>
      <c r="B2903">
        <v>105</v>
      </c>
      <c r="C2903" t="s">
        <v>557</v>
      </c>
      <c r="D2903" s="452">
        <v>45901</v>
      </c>
      <c r="E2903">
        <v>18502</v>
      </c>
      <c r="F2903" t="s">
        <v>4893</v>
      </c>
      <c r="G2903">
        <v>3155</v>
      </c>
      <c r="H2903">
        <v>3</v>
      </c>
      <c r="I2903" t="s">
        <v>4805</v>
      </c>
      <c r="J2903" t="s">
        <v>5222</v>
      </c>
      <c r="K2903" t="s">
        <v>4038</v>
      </c>
      <c r="L2903">
        <v>0</v>
      </c>
      <c r="M2903" s="452">
        <v>45737</v>
      </c>
      <c r="N2903">
        <v>56.69</v>
      </c>
      <c r="O2903">
        <v>56.69</v>
      </c>
      <c r="P2903">
        <v>170.07</v>
      </c>
    </row>
    <row r="2904" spans="1:16" x14ac:dyDescent="0.3">
      <c r="A2904">
        <v>49001</v>
      </c>
      <c r="B2904">
        <v>105</v>
      </c>
      <c r="C2904" t="s">
        <v>557</v>
      </c>
      <c r="D2904" s="452">
        <v>45901</v>
      </c>
      <c r="E2904">
        <v>19955</v>
      </c>
      <c r="F2904" t="s">
        <v>4985</v>
      </c>
      <c r="G2904">
        <v>2359</v>
      </c>
      <c r="H2904">
        <v>3</v>
      </c>
      <c r="I2904" t="s">
        <v>4736</v>
      </c>
      <c r="J2904" t="s">
        <v>5191</v>
      </c>
      <c r="K2904" t="s">
        <v>4038</v>
      </c>
      <c r="L2904">
        <v>56.54</v>
      </c>
      <c r="M2904" s="452">
        <v>45870</v>
      </c>
      <c r="N2904">
        <v>56.54</v>
      </c>
      <c r="O2904">
        <v>55.98</v>
      </c>
      <c r="P2904">
        <v>169.62</v>
      </c>
    </row>
    <row r="2905" spans="1:16" x14ac:dyDescent="0.3">
      <c r="A2905">
        <v>48819</v>
      </c>
      <c r="B2905">
        <v>105</v>
      </c>
      <c r="C2905" t="s">
        <v>557</v>
      </c>
      <c r="D2905" s="452">
        <v>45901</v>
      </c>
      <c r="E2905">
        <v>17957</v>
      </c>
      <c r="F2905" t="s">
        <v>4745</v>
      </c>
      <c r="G2905">
        <v>3622</v>
      </c>
      <c r="H2905">
        <v>10.5</v>
      </c>
      <c r="I2905" t="s">
        <v>4736</v>
      </c>
      <c r="J2905" t="s">
        <v>5222</v>
      </c>
      <c r="K2905" t="s">
        <v>4038</v>
      </c>
      <c r="L2905">
        <v>0</v>
      </c>
      <c r="M2905" s="452">
        <v>45852</v>
      </c>
      <c r="N2905">
        <v>15.9</v>
      </c>
      <c r="O2905">
        <v>15.9</v>
      </c>
      <c r="P2905">
        <v>166.95</v>
      </c>
    </row>
    <row r="2906" spans="1:16" x14ac:dyDescent="0.3">
      <c r="A2906">
        <v>49106</v>
      </c>
      <c r="B2906">
        <v>105</v>
      </c>
      <c r="C2906" t="s">
        <v>557</v>
      </c>
      <c r="D2906" s="452">
        <v>45901</v>
      </c>
      <c r="E2906">
        <v>18157</v>
      </c>
      <c r="F2906" t="s">
        <v>5041</v>
      </c>
      <c r="G2906">
        <v>3463</v>
      </c>
      <c r="H2906">
        <v>1</v>
      </c>
      <c r="I2906" t="s">
        <v>4805</v>
      </c>
      <c r="J2906" t="s">
        <v>5222</v>
      </c>
      <c r="K2906" t="s">
        <v>4038</v>
      </c>
      <c r="L2906">
        <v>164.98</v>
      </c>
      <c r="M2906" s="452">
        <v>45874</v>
      </c>
      <c r="N2906">
        <v>164.98</v>
      </c>
      <c r="O2906">
        <v>205.6</v>
      </c>
      <c r="P2906">
        <v>164.98</v>
      </c>
    </row>
    <row r="2907" spans="1:16" x14ac:dyDescent="0.3">
      <c r="A2907">
        <v>48835</v>
      </c>
      <c r="B2907">
        <v>105</v>
      </c>
      <c r="C2907" t="s">
        <v>557</v>
      </c>
      <c r="D2907" s="452">
        <v>45901</v>
      </c>
      <c r="E2907">
        <v>24192</v>
      </c>
      <c r="F2907" t="s">
        <v>4772</v>
      </c>
      <c r="G2907">
        <v>3099</v>
      </c>
      <c r="H2907">
        <v>26</v>
      </c>
      <c r="I2907" t="s">
        <v>4736</v>
      </c>
      <c r="J2907" t="s">
        <v>5222</v>
      </c>
      <c r="K2907" t="s">
        <v>4038</v>
      </c>
      <c r="L2907">
        <v>0</v>
      </c>
      <c r="M2907" s="452">
        <v>45679</v>
      </c>
      <c r="N2907">
        <v>6.12</v>
      </c>
      <c r="O2907">
        <v>6.12</v>
      </c>
      <c r="P2907">
        <v>159.12</v>
      </c>
    </row>
    <row r="2908" spans="1:16" x14ac:dyDescent="0.3">
      <c r="A2908">
        <v>48831</v>
      </c>
      <c r="B2908">
        <v>105</v>
      </c>
      <c r="C2908" t="s">
        <v>557</v>
      </c>
      <c r="D2908" s="452">
        <v>45901</v>
      </c>
      <c r="E2908">
        <v>22636</v>
      </c>
      <c r="F2908" t="s">
        <v>4761</v>
      </c>
      <c r="G2908">
        <v>3099</v>
      </c>
      <c r="H2908">
        <v>30</v>
      </c>
      <c r="I2908" t="s">
        <v>4736</v>
      </c>
      <c r="J2908" t="s">
        <v>5222</v>
      </c>
      <c r="K2908" t="s">
        <v>4038</v>
      </c>
      <c r="L2908">
        <v>0</v>
      </c>
      <c r="M2908" s="452">
        <v>45671</v>
      </c>
      <c r="N2908">
        <v>5.3</v>
      </c>
      <c r="O2908">
        <v>5.0199999999999996</v>
      </c>
      <c r="P2908">
        <v>159</v>
      </c>
    </row>
    <row r="2909" spans="1:16" x14ac:dyDescent="0.3">
      <c r="A2909">
        <v>48846</v>
      </c>
      <c r="B2909">
        <v>105</v>
      </c>
      <c r="C2909" t="s">
        <v>557</v>
      </c>
      <c r="D2909" s="452">
        <v>45901</v>
      </c>
      <c r="E2909">
        <v>25167</v>
      </c>
      <c r="F2909" t="s">
        <v>4758</v>
      </c>
      <c r="G2909">
        <v>5930</v>
      </c>
      <c r="H2909">
        <v>20</v>
      </c>
      <c r="I2909" t="s">
        <v>4744</v>
      </c>
      <c r="J2909" t="s">
        <v>5191</v>
      </c>
      <c r="K2909" t="s">
        <v>4038</v>
      </c>
      <c r="L2909">
        <v>0</v>
      </c>
      <c r="M2909" s="452">
        <v>45833</v>
      </c>
      <c r="N2909">
        <v>7.9</v>
      </c>
      <c r="O2909">
        <v>7.9</v>
      </c>
      <c r="P2909">
        <v>158</v>
      </c>
    </row>
    <row r="2910" spans="1:16" x14ac:dyDescent="0.3">
      <c r="A2910">
        <v>48876</v>
      </c>
      <c r="B2910">
        <v>105</v>
      </c>
      <c r="C2910" t="s">
        <v>557</v>
      </c>
      <c r="D2910" s="452">
        <v>45901</v>
      </c>
      <c r="E2910">
        <v>24403</v>
      </c>
      <c r="F2910" t="s">
        <v>5149</v>
      </c>
      <c r="G2910">
        <v>3049</v>
      </c>
      <c r="H2910">
        <v>11.65</v>
      </c>
      <c r="I2910" t="s">
        <v>4744</v>
      </c>
      <c r="J2910" t="s">
        <v>5191</v>
      </c>
      <c r="K2910" t="s">
        <v>4038</v>
      </c>
      <c r="L2910">
        <v>13.42</v>
      </c>
      <c r="M2910" s="452">
        <v>45894</v>
      </c>
      <c r="N2910">
        <v>12.99</v>
      </c>
      <c r="O2910">
        <v>12.99</v>
      </c>
      <c r="P2910">
        <v>156.34</v>
      </c>
    </row>
    <row r="2911" spans="1:16" x14ac:dyDescent="0.3">
      <c r="A2911">
        <v>48823</v>
      </c>
      <c r="B2911">
        <v>105</v>
      </c>
      <c r="C2911" t="s">
        <v>557</v>
      </c>
      <c r="D2911" s="452">
        <v>45901</v>
      </c>
      <c r="E2911">
        <v>17886</v>
      </c>
      <c r="F2911" t="s">
        <v>5083</v>
      </c>
      <c r="G2911">
        <v>3670</v>
      </c>
      <c r="H2911">
        <v>5.5</v>
      </c>
      <c r="I2911" t="s">
        <v>4738</v>
      </c>
      <c r="J2911" t="s">
        <v>5222</v>
      </c>
      <c r="K2911" t="s">
        <v>4038</v>
      </c>
      <c r="L2911">
        <v>28.32</v>
      </c>
      <c r="M2911" s="452">
        <v>45887</v>
      </c>
      <c r="N2911">
        <v>28.32</v>
      </c>
      <c r="O2911">
        <v>26.14</v>
      </c>
      <c r="P2911">
        <v>155.76</v>
      </c>
    </row>
    <row r="2912" spans="1:16" x14ac:dyDescent="0.3">
      <c r="A2912">
        <v>48961</v>
      </c>
      <c r="B2912">
        <v>105</v>
      </c>
      <c r="C2912" t="s">
        <v>557</v>
      </c>
      <c r="D2912" s="452">
        <v>45901</v>
      </c>
      <c r="E2912">
        <v>20614</v>
      </c>
      <c r="F2912" t="s">
        <v>4958</v>
      </c>
      <c r="G2912">
        <v>2119</v>
      </c>
      <c r="H2912">
        <v>4.92</v>
      </c>
      <c r="I2912" t="s">
        <v>4736</v>
      </c>
      <c r="J2912" t="s">
        <v>5191</v>
      </c>
      <c r="K2912" t="s">
        <v>4038</v>
      </c>
      <c r="L2912">
        <v>0</v>
      </c>
      <c r="M2912" s="452">
        <v>45852</v>
      </c>
      <c r="N2912">
        <v>29.9</v>
      </c>
      <c r="O2912">
        <v>29.9</v>
      </c>
      <c r="P2912">
        <v>147.11000000000001</v>
      </c>
    </row>
    <row r="2913" spans="1:16" x14ac:dyDescent="0.3">
      <c r="A2913">
        <v>49072</v>
      </c>
      <c r="B2913">
        <v>105</v>
      </c>
      <c r="C2913" t="s">
        <v>557</v>
      </c>
      <c r="D2913" s="452">
        <v>45901</v>
      </c>
      <c r="E2913">
        <v>18538</v>
      </c>
      <c r="F2913" t="s">
        <v>5030</v>
      </c>
      <c r="G2913">
        <v>3139</v>
      </c>
      <c r="H2913">
        <v>1.42</v>
      </c>
      <c r="I2913" t="s">
        <v>4805</v>
      </c>
      <c r="J2913" t="s">
        <v>5222</v>
      </c>
      <c r="K2913" t="s">
        <v>4038</v>
      </c>
      <c r="L2913">
        <v>103.25</v>
      </c>
      <c r="M2913" s="452">
        <v>45888</v>
      </c>
      <c r="N2913">
        <v>103.25</v>
      </c>
      <c r="O2913">
        <v>103.25</v>
      </c>
      <c r="P2913">
        <v>146.61000000000001</v>
      </c>
    </row>
    <row r="2914" spans="1:16" x14ac:dyDescent="0.3">
      <c r="A2914">
        <v>48836</v>
      </c>
      <c r="B2914">
        <v>105</v>
      </c>
      <c r="C2914" t="s">
        <v>557</v>
      </c>
      <c r="D2914" s="452">
        <v>45901</v>
      </c>
      <c r="E2914">
        <v>19421</v>
      </c>
      <c r="F2914" t="s">
        <v>4918</v>
      </c>
      <c r="G2914">
        <v>2758</v>
      </c>
      <c r="H2914">
        <v>2.08</v>
      </c>
      <c r="I2914" t="s">
        <v>4749</v>
      </c>
      <c r="J2914" t="s">
        <v>5191</v>
      </c>
      <c r="K2914" t="s">
        <v>4038</v>
      </c>
      <c r="L2914">
        <v>69.540000000000006</v>
      </c>
      <c r="M2914" s="452">
        <v>45894</v>
      </c>
      <c r="N2914">
        <v>69.5</v>
      </c>
      <c r="O2914">
        <v>69.900000000000006</v>
      </c>
      <c r="P2914">
        <v>144.63999999999999</v>
      </c>
    </row>
    <row r="2915" spans="1:16" x14ac:dyDescent="0.3">
      <c r="A2915">
        <v>48821</v>
      </c>
      <c r="B2915">
        <v>105</v>
      </c>
      <c r="C2915" t="s">
        <v>557</v>
      </c>
      <c r="D2915" s="452">
        <v>45901</v>
      </c>
      <c r="E2915">
        <v>24468</v>
      </c>
      <c r="F2915" t="s">
        <v>4798</v>
      </c>
      <c r="G2915">
        <v>3675</v>
      </c>
      <c r="H2915">
        <v>65</v>
      </c>
      <c r="I2915" t="s">
        <v>4736</v>
      </c>
      <c r="J2915" t="s">
        <v>5222</v>
      </c>
      <c r="K2915" t="s">
        <v>4038</v>
      </c>
      <c r="L2915">
        <v>0</v>
      </c>
      <c r="M2915" s="452">
        <v>45653</v>
      </c>
      <c r="N2915">
        <v>2.19</v>
      </c>
      <c r="O2915">
        <v>2.19</v>
      </c>
      <c r="P2915">
        <v>142.35</v>
      </c>
    </row>
    <row r="2916" spans="1:16" x14ac:dyDescent="0.3">
      <c r="A2916">
        <v>49097</v>
      </c>
      <c r="B2916">
        <v>105</v>
      </c>
      <c r="C2916" t="s">
        <v>557</v>
      </c>
      <c r="D2916" s="452">
        <v>45901</v>
      </c>
      <c r="E2916">
        <v>18289</v>
      </c>
      <c r="F2916" t="s">
        <v>5036</v>
      </c>
      <c r="G2916">
        <v>3339</v>
      </c>
      <c r="H2916">
        <v>1</v>
      </c>
      <c r="I2916" t="s">
        <v>4736</v>
      </c>
      <c r="J2916" t="s">
        <v>5222</v>
      </c>
      <c r="K2916" t="s">
        <v>4038</v>
      </c>
      <c r="L2916">
        <v>0</v>
      </c>
      <c r="M2916" s="452">
        <v>-693593</v>
      </c>
      <c r="N2916">
        <v>0</v>
      </c>
      <c r="O2916">
        <v>0</v>
      </c>
      <c r="P2916">
        <v>140</v>
      </c>
    </row>
    <row r="2917" spans="1:16" x14ac:dyDescent="0.3">
      <c r="A2917">
        <v>49013</v>
      </c>
      <c r="B2917">
        <v>105</v>
      </c>
      <c r="C2917" t="s">
        <v>557</v>
      </c>
      <c r="D2917" s="452">
        <v>45901</v>
      </c>
      <c r="E2917">
        <v>26032</v>
      </c>
      <c r="F2917" t="s">
        <v>4896</v>
      </c>
      <c r="G2917">
        <v>6503</v>
      </c>
      <c r="H2917">
        <v>3</v>
      </c>
      <c r="I2917" t="s">
        <v>4805</v>
      </c>
      <c r="J2917" t="s">
        <v>5222</v>
      </c>
      <c r="K2917" t="s">
        <v>4038</v>
      </c>
      <c r="L2917">
        <v>0</v>
      </c>
      <c r="M2917" s="452">
        <v>45698</v>
      </c>
      <c r="N2917">
        <v>46.38</v>
      </c>
      <c r="O2917">
        <v>80.55</v>
      </c>
      <c r="P2917">
        <v>139.13999999999999</v>
      </c>
    </row>
    <row r="2918" spans="1:16" x14ac:dyDescent="0.3">
      <c r="A2918">
        <v>49014</v>
      </c>
      <c r="B2918">
        <v>105</v>
      </c>
      <c r="C2918" t="s">
        <v>557</v>
      </c>
      <c r="D2918" s="452">
        <v>45901</v>
      </c>
      <c r="E2918">
        <v>24642</v>
      </c>
      <c r="F2918" t="s">
        <v>5460</v>
      </c>
      <c r="G2918">
        <v>5692</v>
      </c>
      <c r="H2918">
        <v>3</v>
      </c>
      <c r="I2918" t="s">
        <v>4805</v>
      </c>
      <c r="J2918" t="s">
        <v>5222</v>
      </c>
      <c r="K2918" t="s">
        <v>4038</v>
      </c>
      <c r="L2918">
        <v>0</v>
      </c>
      <c r="M2918" s="452">
        <v>45596</v>
      </c>
      <c r="N2918">
        <v>46</v>
      </c>
      <c r="O2918">
        <v>46</v>
      </c>
      <c r="P2918">
        <v>138</v>
      </c>
    </row>
    <row r="2919" spans="1:16" x14ac:dyDescent="0.3">
      <c r="A2919">
        <v>49064</v>
      </c>
      <c r="B2919">
        <v>105</v>
      </c>
      <c r="C2919" t="s">
        <v>557</v>
      </c>
      <c r="D2919" s="452">
        <v>45901</v>
      </c>
      <c r="E2919">
        <v>23108</v>
      </c>
      <c r="F2919" t="s">
        <v>5117</v>
      </c>
      <c r="G2919">
        <v>2739</v>
      </c>
      <c r="H2919">
        <v>1.9</v>
      </c>
      <c r="I2919" t="s">
        <v>4744</v>
      </c>
      <c r="J2919" t="s">
        <v>5191</v>
      </c>
      <c r="K2919" t="s">
        <v>4038</v>
      </c>
      <c r="L2919">
        <v>72.11</v>
      </c>
      <c r="M2919" s="452">
        <v>45897</v>
      </c>
      <c r="N2919">
        <v>69.849999999999994</v>
      </c>
      <c r="O2919">
        <v>69.819999999999993</v>
      </c>
      <c r="P2919">
        <v>137.01</v>
      </c>
    </row>
    <row r="2920" spans="1:16" x14ac:dyDescent="0.3">
      <c r="A2920">
        <v>48867</v>
      </c>
      <c r="B2920">
        <v>105</v>
      </c>
      <c r="C2920" t="s">
        <v>557</v>
      </c>
      <c r="D2920" s="452">
        <v>45901</v>
      </c>
      <c r="E2920">
        <v>26103</v>
      </c>
      <c r="F2920" t="s">
        <v>4776</v>
      </c>
      <c r="G2920">
        <v>9072</v>
      </c>
      <c r="H2920">
        <v>13</v>
      </c>
      <c r="I2920" t="s">
        <v>4749</v>
      </c>
      <c r="J2920" t="s">
        <v>5191</v>
      </c>
      <c r="K2920" t="s">
        <v>4038</v>
      </c>
      <c r="L2920">
        <v>0</v>
      </c>
      <c r="M2920" s="452">
        <v>45742</v>
      </c>
      <c r="N2920">
        <v>10.53</v>
      </c>
      <c r="O2920">
        <v>10.53</v>
      </c>
      <c r="P2920">
        <v>136.88999999999999</v>
      </c>
    </row>
    <row r="2921" spans="1:16" x14ac:dyDescent="0.3">
      <c r="A2921">
        <v>49099</v>
      </c>
      <c r="B2921">
        <v>105</v>
      </c>
      <c r="C2921" t="s">
        <v>557</v>
      </c>
      <c r="D2921" s="452">
        <v>45901</v>
      </c>
      <c r="E2921">
        <v>18312</v>
      </c>
      <c r="F2921" t="s">
        <v>5037</v>
      </c>
      <c r="G2921">
        <v>3321</v>
      </c>
      <c r="H2921">
        <v>1</v>
      </c>
      <c r="I2921" t="s">
        <v>4805</v>
      </c>
      <c r="J2921" t="s">
        <v>5222</v>
      </c>
      <c r="K2921" t="s">
        <v>4038</v>
      </c>
      <c r="L2921">
        <v>0</v>
      </c>
      <c r="M2921" s="452">
        <v>-693593</v>
      </c>
      <c r="N2921">
        <v>0</v>
      </c>
      <c r="O2921">
        <v>86</v>
      </c>
      <c r="P2921">
        <v>135.9</v>
      </c>
    </row>
    <row r="2922" spans="1:16" x14ac:dyDescent="0.3">
      <c r="A2922">
        <v>48908</v>
      </c>
      <c r="B2922">
        <v>105</v>
      </c>
      <c r="C2922" t="s">
        <v>557</v>
      </c>
      <c r="D2922" s="452">
        <v>45901</v>
      </c>
      <c r="E2922">
        <v>21257</v>
      </c>
      <c r="F2922" t="s">
        <v>4952</v>
      </c>
      <c r="G2922">
        <v>2187</v>
      </c>
      <c r="H2922">
        <v>7</v>
      </c>
      <c r="I2922" t="s">
        <v>4736</v>
      </c>
      <c r="J2922" t="s">
        <v>5191</v>
      </c>
      <c r="K2922" t="s">
        <v>4038</v>
      </c>
      <c r="L2922">
        <v>18.739999999999998</v>
      </c>
      <c r="M2922" s="452">
        <v>45894</v>
      </c>
      <c r="N2922">
        <v>18.739999999999998</v>
      </c>
      <c r="O2922">
        <v>18.82</v>
      </c>
      <c r="P2922">
        <v>131.18</v>
      </c>
    </row>
    <row r="2923" spans="1:16" x14ac:dyDescent="0.3">
      <c r="A2923">
        <v>48837</v>
      </c>
      <c r="B2923">
        <v>105</v>
      </c>
      <c r="C2923" t="s">
        <v>557</v>
      </c>
      <c r="D2923" s="452">
        <v>45901</v>
      </c>
      <c r="E2923">
        <v>18586</v>
      </c>
      <c r="F2923" t="s">
        <v>4966</v>
      </c>
      <c r="G2923">
        <v>3104</v>
      </c>
      <c r="H2923">
        <v>1.04</v>
      </c>
      <c r="I2923" t="s">
        <v>4738</v>
      </c>
      <c r="J2923" t="s">
        <v>5222</v>
      </c>
      <c r="K2923" t="s">
        <v>4038</v>
      </c>
      <c r="L2923">
        <v>0</v>
      </c>
      <c r="M2923" s="452">
        <v>45859</v>
      </c>
      <c r="N2923">
        <v>125.31</v>
      </c>
      <c r="O2923">
        <v>117.84</v>
      </c>
      <c r="P2923">
        <v>130.32</v>
      </c>
    </row>
    <row r="2924" spans="1:16" x14ac:dyDescent="0.3">
      <c r="A2924">
        <v>48822</v>
      </c>
      <c r="B2924">
        <v>105</v>
      </c>
      <c r="C2924" t="s">
        <v>557</v>
      </c>
      <c r="D2924" s="452">
        <v>45901</v>
      </c>
      <c r="E2924">
        <v>24307</v>
      </c>
      <c r="F2924" t="s">
        <v>4755</v>
      </c>
      <c r="G2924">
        <v>3656</v>
      </c>
      <c r="H2924">
        <v>57</v>
      </c>
      <c r="I2924" t="s">
        <v>4736</v>
      </c>
      <c r="J2924" t="s">
        <v>5222</v>
      </c>
      <c r="K2924" t="s">
        <v>4038</v>
      </c>
      <c r="L2924">
        <v>0</v>
      </c>
      <c r="M2924" s="452">
        <v>45540</v>
      </c>
      <c r="N2924">
        <v>2.19</v>
      </c>
      <c r="O2924">
        <v>2.19</v>
      </c>
      <c r="P2924">
        <v>124.83</v>
      </c>
    </row>
    <row r="2925" spans="1:16" x14ac:dyDescent="0.3">
      <c r="A2925">
        <v>49095</v>
      </c>
      <c r="B2925">
        <v>105</v>
      </c>
      <c r="C2925" t="s">
        <v>557</v>
      </c>
      <c r="D2925" s="452">
        <v>45901</v>
      </c>
      <c r="E2925">
        <v>18293</v>
      </c>
      <c r="F2925" t="s">
        <v>5034</v>
      </c>
      <c r="G2925">
        <v>3336</v>
      </c>
      <c r="H2925">
        <v>1</v>
      </c>
      <c r="I2925" t="s">
        <v>4805</v>
      </c>
      <c r="J2925" t="s">
        <v>5222</v>
      </c>
      <c r="K2925" t="s">
        <v>4038</v>
      </c>
      <c r="L2925">
        <v>0</v>
      </c>
      <c r="M2925" s="452">
        <v>45525</v>
      </c>
      <c r="N2925">
        <v>124.82</v>
      </c>
      <c r="O2925">
        <v>130.81</v>
      </c>
      <c r="P2925">
        <v>124.82</v>
      </c>
    </row>
    <row r="2926" spans="1:16" x14ac:dyDescent="0.3">
      <c r="A2926">
        <v>49057</v>
      </c>
      <c r="B2926">
        <v>105</v>
      </c>
      <c r="C2926" t="s">
        <v>557</v>
      </c>
      <c r="D2926" s="452">
        <v>45901</v>
      </c>
      <c r="E2926">
        <v>18194</v>
      </c>
      <c r="F2926" t="s">
        <v>4923</v>
      </c>
      <c r="G2926">
        <v>3430</v>
      </c>
      <c r="H2926">
        <v>2</v>
      </c>
      <c r="I2926" t="s">
        <v>4805</v>
      </c>
      <c r="J2926" t="s">
        <v>5222</v>
      </c>
      <c r="K2926" t="s">
        <v>4038</v>
      </c>
      <c r="L2926">
        <v>62.3</v>
      </c>
      <c r="M2926" s="452">
        <v>45874</v>
      </c>
      <c r="N2926">
        <v>62.3</v>
      </c>
      <c r="O2926">
        <v>96</v>
      </c>
      <c r="P2926">
        <v>124.6</v>
      </c>
    </row>
    <row r="2927" spans="1:16" x14ac:dyDescent="0.3">
      <c r="A2927">
        <v>48887</v>
      </c>
      <c r="B2927">
        <v>105</v>
      </c>
      <c r="C2927" t="s">
        <v>557</v>
      </c>
      <c r="D2927" s="452">
        <v>45901</v>
      </c>
      <c r="E2927">
        <v>24351</v>
      </c>
      <c r="F2927" t="s">
        <v>5014</v>
      </c>
      <c r="G2927">
        <v>2287</v>
      </c>
      <c r="H2927">
        <v>10.25</v>
      </c>
      <c r="I2927" t="s">
        <v>4736</v>
      </c>
      <c r="J2927" t="s">
        <v>5191</v>
      </c>
      <c r="K2927" t="s">
        <v>4038</v>
      </c>
      <c r="L2927">
        <v>0</v>
      </c>
      <c r="M2927" s="452">
        <v>45818</v>
      </c>
      <c r="N2927">
        <v>12</v>
      </c>
      <c r="O2927">
        <v>12</v>
      </c>
      <c r="P2927">
        <v>123</v>
      </c>
    </row>
    <row r="2928" spans="1:16" x14ac:dyDescent="0.3">
      <c r="A2928">
        <v>49023</v>
      </c>
      <c r="B2928">
        <v>105</v>
      </c>
      <c r="C2928" t="s">
        <v>557</v>
      </c>
      <c r="D2928" s="452">
        <v>45901</v>
      </c>
      <c r="E2928">
        <v>26210</v>
      </c>
      <c r="F2928" t="s">
        <v>4975</v>
      </c>
      <c r="G2928">
        <v>6624</v>
      </c>
      <c r="H2928">
        <v>2.54</v>
      </c>
      <c r="I2928" t="s">
        <v>4805</v>
      </c>
      <c r="J2928" t="s">
        <v>5222</v>
      </c>
      <c r="K2928" t="s">
        <v>4038</v>
      </c>
      <c r="L2928">
        <v>47.6</v>
      </c>
      <c r="M2928" s="452">
        <v>45875</v>
      </c>
      <c r="N2928">
        <v>47.6</v>
      </c>
      <c r="O2928">
        <v>47.6</v>
      </c>
      <c r="P2928">
        <v>120.9</v>
      </c>
    </row>
    <row r="2929" spans="1:16" x14ac:dyDescent="0.3">
      <c r="A2929">
        <v>48841</v>
      </c>
      <c r="B2929">
        <v>105</v>
      </c>
      <c r="C2929" t="s">
        <v>557</v>
      </c>
      <c r="D2929" s="452">
        <v>45901</v>
      </c>
      <c r="E2929">
        <v>22652</v>
      </c>
      <c r="F2929" t="s">
        <v>4759</v>
      </c>
      <c r="G2929">
        <v>3085</v>
      </c>
      <c r="H2929">
        <v>20</v>
      </c>
      <c r="I2929" t="s">
        <v>4736</v>
      </c>
      <c r="J2929" t="s">
        <v>5222</v>
      </c>
      <c r="K2929" t="s">
        <v>4038</v>
      </c>
      <c r="L2929">
        <v>0</v>
      </c>
      <c r="M2929" s="452">
        <v>45679</v>
      </c>
      <c r="N2929">
        <v>5.95</v>
      </c>
      <c r="O2929">
        <v>4.09</v>
      </c>
      <c r="P2929">
        <v>119</v>
      </c>
    </row>
    <row r="2930" spans="1:16" x14ac:dyDescent="0.3">
      <c r="A2930">
        <v>48857</v>
      </c>
      <c r="B2930">
        <v>105</v>
      </c>
      <c r="C2930" t="s">
        <v>557</v>
      </c>
      <c r="D2930" s="452">
        <v>45901</v>
      </c>
      <c r="E2930">
        <v>19734</v>
      </c>
      <c r="F2930" t="s">
        <v>4833</v>
      </c>
      <c r="G2930">
        <v>2519</v>
      </c>
      <c r="H2930">
        <v>15.09</v>
      </c>
      <c r="I2930" t="s">
        <v>4744</v>
      </c>
      <c r="J2930" t="s">
        <v>5191</v>
      </c>
      <c r="K2930" t="s">
        <v>4038</v>
      </c>
      <c r="L2930">
        <v>7.87</v>
      </c>
      <c r="M2930" s="452">
        <v>45897</v>
      </c>
      <c r="N2930">
        <v>5.03</v>
      </c>
      <c r="O2930">
        <v>7.94</v>
      </c>
      <c r="P2930">
        <v>118.76</v>
      </c>
    </row>
    <row r="2931" spans="1:16" x14ac:dyDescent="0.3">
      <c r="A2931">
        <v>48824</v>
      </c>
      <c r="B2931">
        <v>105</v>
      </c>
      <c r="C2931" t="s">
        <v>557</v>
      </c>
      <c r="D2931" s="452">
        <v>45901</v>
      </c>
      <c r="E2931">
        <v>24029</v>
      </c>
      <c r="F2931" t="s">
        <v>4756</v>
      </c>
      <c r="G2931">
        <v>3591</v>
      </c>
      <c r="H2931">
        <v>54</v>
      </c>
      <c r="I2931" t="s">
        <v>4736</v>
      </c>
      <c r="J2931" t="s">
        <v>5222</v>
      </c>
      <c r="K2931" t="s">
        <v>4038</v>
      </c>
      <c r="L2931">
        <v>0</v>
      </c>
      <c r="M2931" s="452">
        <v>45546</v>
      </c>
      <c r="N2931">
        <v>2.19</v>
      </c>
      <c r="O2931">
        <v>2.19</v>
      </c>
      <c r="P2931">
        <v>118.26</v>
      </c>
    </row>
    <row r="2932" spans="1:16" x14ac:dyDescent="0.3">
      <c r="A2932">
        <v>49096</v>
      </c>
      <c r="B2932">
        <v>105</v>
      </c>
      <c r="C2932" t="s">
        <v>557</v>
      </c>
      <c r="D2932" s="452">
        <v>45901</v>
      </c>
      <c r="E2932">
        <v>18327</v>
      </c>
      <c r="F2932" t="s">
        <v>5035</v>
      </c>
      <c r="G2932">
        <v>3306</v>
      </c>
      <c r="H2932">
        <v>1</v>
      </c>
      <c r="I2932" t="s">
        <v>4805</v>
      </c>
      <c r="J2932" t="s">
        <v>5222</v>
      </c>
      <c r="K2932" t="s">
        <v>4038</v>
      </c>
      <c r="L2932">
        <v>116.9</v>
      </c>
      <c r="M2932" s="452">
        <v>45870</v>
      </c>
      <c r="N2932">
        <v>116.9</v>
      </c>
      <c r="O2932">
        <v>110.3</v>
      </c>
      <c r="P2932">
        <v>116.9</v>
      </c>
    </row>
    <row r="2933" spans="1:16" x14ac:dyDescent="0.3">
      <c r="A2933">
        <v>49100</v>
      </c>
      <c r="B2933">
        <v>105</v>
      </c>
      <c r="C2933" t="s">
        <v>557</v>
      </c>
      <c r="D2933" s="452">
        <v>45901</v>
      </c>
      <c r="E2933">
        <v>18295</v>
      </c>
      <c r="F2933" t="s">
        <v>4968</v>
      </c>
      <c r="G2933">
        <v>3334</v>
      </c>
      <c r="H2933">
        <v>1</v>
      </c>
      <c r="I2933" t="s">
        <v>4805</v>
      </c>
      <c r="J2933" t="s">
        <v>5222</v>
      </c>
      <c r="K2933" t="s">
        <v>4038</v>
      </c>
      <c r="L2933">
        <v>0</v>
      </c>
      <c r="M2933" s="452">
        <v>45672</v>
      </c>
      <c r="N2933">
        <v>116.87</v>
      </c>
      <c r="O2933">
        <v>133.46</v>
      </c>
      <c r="P2933">
        <v>116.87</v>
      </c>
    </row>
    <row r="2934" spans="1:16" x14ac:dyDescent="0.3">
      <c r="A2934">
        <v>49003</v>
      </c>
      <c r="B2934">
        <v>105</v>
      </c>
      <c r="C2934" t="s">
        <v>557</v>
      </c>
      <c r="D2934" s="452">
        <v>45901</v>
      </c>
      <c r="E2934">
        <v>19923</v>
      </c>
      <c r="F2934" t="s">
        <v>5069</v>
      </c>
      <c r="G2934">
        <v>2375</v>
      </c>
      <c r="H2934">
        <v>3</v>
      </c>
      <c r="I2934" t="s">
        <v>4738</v>
      </c>
      <c r="J2934" t="s">
        <v>5191</v>
      </c>
      <c r="K2934" t="s">
        <v>4038</v>
      </c>
      <c r="L2934">
        <v>38.799999999999997</v>
      </c>
      <c r="M2934" s="452">
        <v>45887</v>
      </c>
      <c r="N2934">
        <v>38.799999999999997</v>
      </c>
      <c r="O2934">
        <v>38.799999999999997</v>
      </c>
      <c r="P2934">
        <v>116.4</v>
      </c>
    </row>
    <row r="2935" spans="1:16" x14ac:dyDescent="0.3">
      <c r="A2935">
        <v>49107</v>
      </c>
      <c r="B2935">
        <v>105</v>
      </c>
      <c r="C2935" t="s">
        <v>557</v>
      </c>
      <c r="D2935" s="452">
        <v>45901</v>
      </c>
      <c r="E2935">
        <v>18147</v>
      </c>
      <c r="F2935" t="s">
        <v>5042</v>
      </c>
      <c r="G2935">
        <v>3471</v>
      </c>
      <c r="H2935">
        <v>1</v>
      </c>
      <c r="I2935" t="s">
        <v>4805</v>
      </c>
      <c r="J2935" t="s">
        <v>5222</v>
      </c>
      <c r="K2935" t="s">
        <v>4038</v>
      </c>
      <c r="L2935">
        <v>0</v>
      </c>
      <c r="M2935" s="452">
        <v>45427</v>
      </c>
      <c r="N2935">
        <v>115</v>
      </c>
      <c r="O2935">
        <v>113.9</v>
      </c>
      <c r="P2935">
        <v>115</v>
      </c>
    </row>
    <row r="2936" spans="1:16" x14ac:dyDescent="0.3">
      <c r="A2936">
        <v>48858</v>
      </c>
      <c r="B2936">
        <v>105</v>
      </c>
      <c r="C2936" t="s">
        <v>557</v>
      </c>
      <c r="D2936" s="452">
        <v>45901</v>
      </c>
      <c r="E2936">
        <v>25757</v>
      </c>
      <c r="F2936" t="s">
        <v>4763</v>
      </c>
      <c r="G2936">
        <v>6308</v>
      </c>
      <c r="H2936">
        <v>15</v>
      </c>
      <c r="I2936" t="s">
        <v>4736</v>
      </c>
      <c r="J2936" t="s">
        <v>5191</v>
      </c>
      <c r="K2936" t="s">
        <v>4038</v>
      </c>
      <c r="L2936">
        <v>0</v>
      </c>
      <c r="M2936" s="452">
        <v>45742</v>
      </c>
      <c r="N2936">
        <v>7.61</v>
      </c>
      <c r="O2936">
        <v>7.61</v>
      </c>
      <c r="P2936">
        <v>114.15</v>
      </c>
    </row>
    <row r="2937" spans="1:16" x14ac:dyDescent="0.3">
      <c r="A2937">
        <v>48929</v>
      </c>
      <c r="B2937">
        <v>105</v>
      </c>
      <c r="C2937" t="s">
        <v>557</v>
      </c>
      <c r="D2937" s="452">
        <v>45901</v>
      </c>
      <c r="E2937">
        <v>19979</v>
      </c>
      <c r="F2937" t="s">
        <v>5270</v>
      </c>
      <c r="G2937">
        <v>2353</v>
      </c>
      <c r="H2937">
        <v>6</v>
      </c>
      <c r="I2937" t="s">
        <v>4888</v>
      </c>
      <c r="J2937" t="s">
        <v>5191</v>
      </c>
      <c r="K2937" t="s">
        <v>4038</v>
      </c>
      <c r="L2937">
        <v>0</v>
      </c>
      <c r="M2937" s="452">
        <v>45863</v>
      </c>
      <c r="N2937">
        <v>18.98</v>
      </c>
      <c r="O2937">
        <v>18.98</v>
      </c>
      <c r="P2937">
        <v>113.88</v>
      </c>
    </row>
    <row r="2938" spans="1:16" x14ac:dyDescent="0.3">
      <c r="A2938">
        <v>48869</v>
      </c>
      <c r="B2938">
        <v>105</v>
      </c>
      <c r="C2938" t="s">
        <v>557</v>
      </c>
      <c r="D2938" s="452">
        <v>45901</v>
      </c>
      <c r="E2938">
        <v>19740</v>
      </c>
      <c r="F2938" t="s">
        <v>4779</v>
      </c>
      <c r="G2938">
        <v>2513</v>
      </c>
      <c r="H2938">
        <v>12.85</v>
      </c>
      <c r="I2938" t="s">
        <v>4744</v>
      </c>
      <c r="J2938" t="s">
        <v>5191</v>
      </c>
      <c r="K2938" t="s">
        <v>4038</v>
      </c>
      <c r="L2938">
        <v>8.76</v>
      </c>
      <c r="M2938" s="452">
        <v>45897</v>
      </c>
      <c r="N2938">
        <v>8.94</v>
      </c>
      <c r="O2938">
        <v>8.94</v>
      </c>
      <c r="P2938">
        <v>112.57</v>
      </c>
    </row>
    <row r="2939" spans="1:16" x14ac:dyDescent="0.3">
      <c r="A2939">
        <v>48921</v>
      </c>
      <c r="B2939">
        <v>105</v>
      </c>
      <c r="C2939" t="s">
        <v>557</v>
      </c>
      <c r="D2939" s="452">
        <v>45901</v>
      </c>
      <c r="E2939">
        <v>23184</v>
      </c>
      <c r="F2939" t="s">
        <v>4935</v>
      </c>
      <c r="G2939">
        <v>2670</v>
      </c>
      <c r="H2939">
        <v>6.13</v>
      </c>
      <c r="I2939" t="s">
        <v>4744</v>
      </c>
      <c r="J2939" t="s">
        <v>5191</v>
      </c>
      <c r="K2939" t="s">
        <v>4038</v>
      </c>
      <c r="L2939">
        <v>18.04</v>
      </c>
      <c r="M2939" s="452">
        <v>45897</v>
      </c>
      <c r="N2939">
        <v>16.760000000000002</v>
      </c>
      <c r="O2939">
        <v>16.760000000000002</v>
      </c>
      <c r="P2939">
        <v>110.59</v>
      </c>
    </row>
    <row r="2940" spans="1:16" x14ac:dyDescent="0.3">
      <c r="A2940">
        <v>49077</v>
      </c>
      <c r="B2940">
        <v>105</v>
      </c>
      <c r="C2940" t="s">
        <v>557</v>
      </c>
      <c r="D2940" s="452">
        <v>45901</v>
      </c>
      <c r="E2940">
        <v>19476</v>
      </c>
      <c r="F2940" t="s">
        <v>5115</v>
      </c>
      <c r="G2940">
        <v>2729</v>
      </c>
      <c r="H2940">
        <v>1.1000000000000001</v>
      </c>
      <c r="I2940" t="s">
        <v>4744</v>
      </c>
      <c r="J2940" t="s">
        <v>5191</v>
      </c>
      <c r="K2940" t="s">
        <v>4038</v>
      </c>
      <c r="L2940">
        <v>100.39</v>
      </c>
      <c r="M2940" s="452">
        <v>45897</v>
      </c>
      <c r="N2940">
        <v>78.2</v>
      </c>
      <c r="O2940">
        <v>78.2</v>
      </c>
      <c r="P2940">
        <v>110.43</v>
      </c>
    </row>
    <row r="2941" spans="1:16" x14ac:dyDescent="0.3">
      <c r="A2941">
        <v>48860</v>
      </c>
      <c r="B2941">
        <v>105</v>
      </c>
      <c r="C2941" t="s">
        <v>557</v>
      </c>
      <c r="D2941" s="452">
        <v>45901</v>
      </c>
      <c r="E2941">
        <v>25759</v>
      </c>
      <c r="F2941" t="s">
        <v>4877</v>
      </c>
      <c r="G2941">
        <v>9073</v>
      </c>
      <c r="H2941">
        <v>14</v>
      </c>
      <c r="I2941" t="s">
        <v>4736</v>
      </c>
      <c r="J2941" t="s">
        <v>5191</v>
      </c>
      <c r="K2941" t="s">
        <v>4038</v>
      </c>
      <c r="L2941">
        <v>0</v>
      </c>
      <c r="M2941" s="452">
        <v>45653</v>
      </c>
      <c r="N2941">
        <v>7.73</v>
      </c>
      <c r="O2941">
        <v>7.73</v>
      </c>
      <c r="P2941">
        <v>108.22</v>
      </c>
    </row>
    <row r="2942" spans="1:16" x14ac:dyDescent="0.3">
      <c r="A2942">
        <v>49093</v>
      </c>
      <c r="B2942">
        <v>105</v>
      </c>
      <c r="C2942" t="s">
        <v>557</v>
      </c>
      <c r="D2942" s="452">
        <v>45901</v>
      </c>
      <c r="E2942">
        <v>18548</v>
      </c>
      <c r="F2942" t="s">
        <v>5029</v>
      </c>
      <c r="G2942">
        <v>3131</v>
      </c>
      <c r="H2942">
        <v>1</v>
      </c>
      <c r="I2942" t="s">
        <v>4805</v>
      </c>
      <c r="J2942" t="s">
        <v>5222</v>
      </c>
      <c r="K2942" t="s">
        <v>4038</v>
      </c>
      <c r="L2942">
        <v>0</v>
      </c>
      <c r="M2942" s="452">
        <v>45853</v>
      </c>
      <c r="N2942">
        <v>106</v>
      </c>
      <c r="O2942">
        <v>106</v>
      </c>
      <c r="P2942">
        <v>106</v>
      </c>
    </row>
    <row r="2943" spans="1:16" x14ac:dyDescent="0.3">
      <c r="A2943">
        <v>48968</v>
      </c>
      <c r="B2943">
        <v>105</v>
      </c>
      <c r="C2943" t="s">
        <v>557</v>
      </c>
      <c r="D2943" s="452">
        <v>45901</v>
      </c>
      <c r="E2943">
        <v>19353</v>
      </c>
      <c r="F2943" t="s">
        <v>4851</v>
      </c>
      <c r="G2943">
        <v>2768</v>
      </c>
      <c r="H2943">
        <v>4.3</v>
      </c>
      <c r="I2943" t="s">
        <v>4744</v>
      </c>
      <c r="J2943" t="s">
        <v>5191</v>
      </c>
      <c r="K2943" t="s">
        <v>4038</v>
      </c>
      <c r="L2943">
        <v>0</v>
      </c>
      <c r="M2943" s="452">
        <v>45633</v>
      </c>
      <c r="N2943">
        <v>24.6</v>
      </c>
      <c r="O2943">
        <v>24.6</v>
      </c>
      <c r="P2943">
        <v>105.78</v>
      </c>
    </row>
    <row r="2944" spans="1:16" x14ac:dyDescent="0.3">
      <c r="A2944">
        <v>48951</v>
      </c>
      <c r="B2944">
        <v>105</v>
      </c>
      <c r="C2944" t="s">
        <v>557</v>
      </c>
      <c r="D2944" s="452">
        <v>45901</v>
      </c>
      <c r="E2944">
        <v>20044</v>
      </c>
      <c r="F2944" t="s">
        <v>4932</v>
      </c>
      <c r="G2944">
        <v>2329</v>
      </c>
      <c r="H2944">
        <v>5</v>
      </c>
      <c r="I2944" t="s">
        <v>4744</v>
      </c>
      <c r="J2944" t="s">
        <v>5191</v>
      </c>
      <c r="K2944" t="s">
        <v>4038</v>
      </c>
      <c r="L2944">
        <v>0</v>
      </c>
      <c r="M2944" s="452">
        <v>45639</v>
      </c>
      <c r="N2944">
        <v>21</v>
      </c>
      <c r="O2944">
        <v>21</v>
      </c>
      <c r="P2944">
        <v>105</v>
      </c>
    </row>
    <row r="2945" spans="1:16" x14ac:dyDescent="0.3">
      <c r="A2945">
        <v>48910</v>
      </c>
      <c r="B2945">
        <v>105</v>
      </c>
      <c r="C2945" t="s">
        <v>557</v>
      </c>
      <c r="D2945" s="452">
        <v>45901</v>
      </c>
      <c r="E2945">
        <v>19964</v>
      </c>
      <c r="F2945" t="s">
        <v>4817</v>
      </c>
      <c r="G2945">
        <v>2356</v>
      </c>
      <c r="H2945">
        <v>7</v>
      </c>
      <c r="I2945" t="s">
        <v>4736</v>
      </c>
      <c r="J2945" t="s">
        <v>5191</v>
      </c>
      <c r="K2945" t="s">
        <v>4038</v>
      </c>
      <c r="L2945">
        <v>0</v>
      </c>
      <c r="M2945" s="452">
        <v>45677</v>
      </c>
      <c r="N2945">
        <v>14.96</v>
      </c>
      <c r="O2945">
        <v>14.96</v>
      </c>
      <c r="P2945">
        <v>104.72</v>
      </c>
    </row>
    <row r="2946" spans="1:16" x14ac:dyDescent="0.3">
      <c r="A2946">
        <v>49103</v>
      </c>
      <c r="B2946">
        <v>105</v>
      </c>
      <c r="C2946" t="s">
        <v>557</v>
      </c>
      <c r="D2946" s="452">
        <v>45901</v>
      </c>
      <c r="E2946">
        <v>18233</v>
      </c>
      <c r="F2946" t="s">
        <v>4970</v>
      </c>
      <c r="G2946">
        <v>3395</v>
      </c>
      <c r="H2946">
        <v>1</v>
      </c>
      <c r="I2946" t="s">
        <v>4805</v>
      </c>
      <c r="J2946" t="s">
        <v>5222</v>
      </c>
      <c r="K2946" t="s">
        <v>4038</v>
      </c>
      <c r="L2946">
        <v>0</v>
      </c>
      <c r="M2946" s="452">
        <v>45853</v>
      </c>
      <c r="N2946">
        <v>102.9</v>
      </c>
      <c r="O2946">
        <v>101.17</v>
      </c>
      <c r="P2946">
        <v>102.9</v>
      </c>
    </row>
    <row r="2947" spans="1:16" x14ac:dyDescent="0.3">
      <c r="A2947">
        <v>49159</v>
      </c>
      <c r="B2947">
        <v>105</v>
      </c>
      <c r="C2947" t="s">
        <v>557</v>
      </c>
      <c r="D2947" s="452">
        <v>45901</v>
      </c>
      <c r="E2947">
        <v>19892</v>
      </c>
      <c r="F2947" t="s">
        <v>5150</v>
      </c>
      <c r="G2947">
        <v>2386</v>
      </c>
      <c r="H2947">
        <v>0.64</v>
      </c>
      <c r="I2947" t="s">
        <v>4744</v>
      </c>
      <c r="J2947" t="s">
        <v>5191</v>
      </c>
      <c r="K2947" t="s">
        <v>4038</v>
      </c>
      <c r="L2947">
        <v>0</v>
      </c>
      <c r="M2947" s="452">
        <v>-693593</v>
      </c>
      <c r="N2947">
        <v>0</v>
      </c>
      <c r="O2947">
        <v>159.80000000000001</v>
      </c>
      <c r="P2947">
        <v>102.27</v>
      </c>
    </row>
    <row r="2948" spans="1:16" x14ac:dyDescent="0.3">
      <c r="A2948">
        <v>48840</v>
      </c>
      <c r="B2948">
        <v>105</v>
      </c>
      <c r="C2948" t="s">
        <v>557</v>
      </c>
      <c r="D2948" s="452">
        <v>45901</v>
      </c>
      <c r="E2948">
        <v>24470</v>
      </c>
      <c r="F2948" t="s">
        <v>4752</v>
      </c>
      <c r="G2948">
        <v>3103</v>
      </c>
      <c r="H2948">
        <v>23</v>
      </c>
      <c r="I2948" t="s">
        <v>4736</v>
      </c>
      <c r="J2948" t="s">
        <v>5222</v>
      </c>
      <c r="K2948" t="s">
        <v>4038</v>
      </c>
      <c r="L2948">
        <v>0</v>
      </c>
      <c r="M2948" s="452">
        <v>45404</v>
      </c>
      <c r="N2948">
        <v>4.41</v>
      </c>
      <c r="O2948">
        <v>4.41</v>
      </c>
      <c r="P2948">
        <v>101.43</v>
      </c>
    </row>
    <row r="2949" spans="1:16" x14ac:dyDescent="0.3">
      <c r="A2949">
        <v>48845</v>
      </c>
      <c r="B2949">
        <v>105</v>
      </c>
      <c r="C2949" t="s">
        <v>557</v>
      </c>
      <c r="D2949" s="452">
        <v>45901</v>
      </c>
      <c r="E2949">
        <v>25747</v>
      </c>
      <c r="F2949" t="s">
        <v>4794</v>
      </c>
      <c r="G2949">
        <v>6299</v>
      </c>
      <c r="H2949">
        <v>20</v>
      </c>
      <c r="I2949" t="s">
        <v>4736</v>
      </c>
      <c r="J2949" t="s">
        <v>5191</v>
      </c>
      <c r="K2949" t="s">
        <v>4038</v>
      </c>
      <c r="L2949">
        <v>0</v>
      </c>
      <c r="M2949" s="452">
        <v>45742</v>
      </c>
      <c r="N2949">
        <v>5.04</v>
      </c>
      <c r="O2949">
        <v>5.04</v>
      </c>
      <c r="P2949">
        <v>100.8</v>
      </c>
    </row>
    <row r="2950" spans="1:16" x14ac:dyDescent="0.3">
      <c r="A2950">
        <v>49083</v>
      </c>
      <c r="B2950">
        <v>105</v>
      </c>
      <c r="C2950" t="s">
        <v>557</v>
      </c>
      <c r="D2950" s="452">
        <v>45901</v>
      </c>
      <c r="E2950">
        <v>19895</v>
      </c>
      <c r="F2950" t="s">
        <v>5080</v>
      </c>
      <c r="G2950">
        <v>2385</v>
      </c>
      <c r="H2950">
        <v>1</v>
      </c>
      <c r="I2950" t="s">
        <v>4888</v>
      </c>
      <c r="J2950" t="s">
        <v>5191</v>
      </c>
      <c r="K2950" t="s">
        <v>4038</v>
      </c>
      <c r="L2950">
        <v>99.99</v>
      </c>
      <c r="M2950" s="452">
        <v>45887</v>
      </c>
      <c r="N2950">
        <v>99.99</v>
      </c>
      <c r="O2950">
        <v>99.99</v>
      </c>
      <c r="P2950">
        <v>99.99</v>
      </c>
    </row>
    <row r="2951" spans="1:16" x14ac:dyDescent="0.3">
      <c r="A2951">
        <v>49055</v>
      </c>
      <c r="B2951">
        <v>105</v>
      </c>
      <c r="C2951" t="s">
        <v>557</v>
      </c>
      <c r="D2951" s="452">
        <v>45901</v>
      </c>
      <c r="E2951">
        <v>18462</v>
      </c>
      <c r="F2951" t="s">
        <v>5031</v>
      </c>
      <c r="G2951">
        <v>3193</v>
      </c>
      <c r="H2951">
        <v>2</v>
      </c>
      <c r="I2951" t="s">
        <v>4805</v>
      </c>
      <c r="J2951" t="s">
        <v>5222</v>
      </c>
      <c r="K2951" t="s">
        <v>4038</v>
      </c>
      <c r="L2951">
        <v>49.45</v>
      </c>
      <c r="M2951" s="452">
        <v>45882</v>
      </c>
      <c r="N2951">
        <v>50</v>
      </c>
      <c r="O2951">
        <v>50</v>
      </c>
      <c r="P2951">
        <v>98.9</v>
      </c>
    </row>
    <row r="2952" spans="1:16" x14ac:dyDescent="0.3">
      <c r="A2952">
        <v>49021</v>
      </c>
      <c r="B2952">
        <v>105</v>
      </c>
      <c r="C2952" t="s">
        <v>557</v>
      </c>
      <c r="D2952" s="452">
        <v>45901</v>
      </c>
      <c r="E2952">
        <v>19583</v>
      </c>
      <c r="F2952" t="s">
        <v>5478</v>
      </c>
      <c r="G2952">
        <v>2639</v>
      </c>
      <c r="H2952">
        <v>2.6</v>
      </c>
      <c r="I2952" t="s">
        <v>4744</v>
      </c>
      <c r="J2952" t="s">
        <v>5191</v>
      </c>
      <c r="K2952" t="s">
        <v>4038</v>
      </c>
      <c r="L2952">
        <v>38</v>
      </c>
      <c r="M2952" s="452">
        <v>45890</v>
      </c>
      <c r="N2952">
        <v>37.75</v>
      </c>
      <c r="O2952">
        <v>42.6</v>
      </c>
      <c r="P2952">
        <v>98.8</v>
      </c>
    </row>
    <row r="2953" spans="1:16" x14ac:dyDescent="0.3">
      <c r="A2953">
        <v>48928</v>
      </c>
      <c r="B2953">
        <v>105</v>
      </c>
      <c r="C2953" t="s">
        <v>557</v>
      </c>
      <c r="D2953" s="452">
        <v>45901</v>
      </c>
      <c r="E2953">
        <v>20105</v>
      </c>
      <c r="F2953" t="s">
        <v>4831</v>
      </c>
      <c r="G2953">
        <v>2298</v>
      </c>
      <c r="H2953">
        <v>6</v>
      </c>
      <c r="I2953" t="s">
        <v>4744</v>
      </c>
      <c r="J2953" t="s">
        <v>5191</v>
      </c>
      <c r="K2953" t="s">
        <v>4038</v>
      </c>
      <c r="L2953">
        <v>0</v>
      </c>
      <c r="M2953" s="452">
        <v>45853</v>
      </c>
      <c r="N2953">
        <v>16.3</v>
      </c>
      <c r="O2953">
        <v>32.25</v>
      </c>
      <c r="P2953">
        <v>97.8</v>
      </c>
    </row>
    <row r="2954" spans="1:16" x14ac:dyDescent="0.3">
      <c r="A2954">
        <v>49146</v>
      </c>
      <c r="B2954">
        <v>105</v>
      </c>
      <c r="C2954" t="s">
        <v>557</v>
      </c>
      <c r="D2954" s="452">
        <v>45901</v>
      </c>
      <c r="E2954">
        <v>18232</v>
      </c>
      <c r="F2954" t="s">
        <v>4971</v>
      </c>
      <c r="G2954">
        <v>3396</v>
      </c>
      <c r="H2954">
        <v>0.95</v>
      </c>
      <c r="I2954" t="s">
        <v>4805</v>
      </c>
      <c r="J2954" t="s">
        <v>5222</v>
      </c>
      <c r="K2954" t="s">
        <v>4038</v>
      </c>
      <c r="L2954">
        <v>0</v>
      </c>
      <c r="M2954" s="452">
        <v>45853</v>
      </c>
      <c r="N2954">
        <v>100.88</v>
      </c>
      <c r="O2954">
        <v>101.17</v>
      </c>
      <c r="P2954">
        <v>95.84</v>
      </c>
    </row>
    <row r="2955" spans="1:16" x14ac:dyDescent="0.3">
      <c r="A2955">
        <v>49040</v>
      </c>
      <c r="B2955">
        <v>105</v>
      </c>
      <c r="C2955" t="s">
        <v>557</v>
      </c>
      <c r="D2955" s="452">
        <v>45901</v>
      </c>
      <c r="E2955">
        <v>20660</v>
      </c>
      <c r="F2955" t="s">
        <v>5011</v>
      </c>
      <c r="G2955">
        <v>2110</v>
      </c>
      <c r="H2955">
        <v>2</v>
      </c>
      <c r="I2955" t="s">
        <v>4955</v>
      </c>
      <c r="J2955" t="s">
        <v>5191</v>
      </c>
      <c r="K2955" t="s">
        <v>4038</v>
      </c>
      <c r="L2955">
        <v>47.77</v>
      </c>
      <c r="M2955" s="452">
        <v>45895</v>
      </c>
      <c r="N2955">
        <v>60.65</v>
      </c>
      <c r="O2955">
        <v>60.65</v>
      </c>
      <c r="P2955">
        <v>95.54</v>
      </c>
    </row>
    <row r="2956" spans="1:16" x14ac:dyDescent="0.3">
      <c r="A2956">
        <v>49016</v>
      </c>
      <c r="B2956">
        <v>105</v>
      </c>
      <c r="C2956" t="s">
        <v>557</v>
      </c>
      <c r="D2956" s="452">
        <v>45901</v>
      </c>
      <c r="E2956">
        <v>19439</v>
      </c>
      <c r="F2956" t="s">
        <v>4917</v>
      </c>
      <c r="G2956">
        <v>2756</v>
      </c>
      <c r="H2956">
        <v>2.9</v>
      </c>
      <c r="I2956" t="s">
        <v>4744</v>
      </c>
      <c r="J2956" t="s">
        <v>5191</v>
      </c>
      <c r="K2956" t="s">
        <v>4038</v>
      </c>
      <c r="L2956">
        <v>32.549999999999997</v>
      </c>
      <c r="M2956" s="452">
        <v>45895</v>
      </c>
      <c r="N2956">
        <v>32.700000000000003</v>
      </c>
      <c r="O2956">
        <v>32.869999999999997</v>
      </c>
      <c r="P2956">
        <v>94.39</v>
      </c>
    </row>
    <row r="2957" spans="1:16" x14ac:dyDescent="0.3">
      <c r="A2957">
        <v>48972</v>
      </c>
      <c r="B2957">
        <v>105</v>
      </c>
      <c r="C2957" t="s">
        <v>557</v>
      </c>
      <c r="D2957" s="452">
        <v>45901</v>
      </c>
      <c r="E2957">
        <v>20653</v>
      </c>
      <c r="F2957" t="s">
        <v>5013</v>
      </c>
      <c r="G2957">
        <v>2111</v>
      </c>
      <c r="H2957">
        <v>4</v>
      </c>
      <c r="I2957" t="s">
        <v>4736</v>
      </c>
      <c r="J2957" t="s">
        <v>5191</v>
      </c>
      <c r="K2957" t="s">
        <v>4038</v>
      </c>
      <c r="L2957">
        <v>22.96</v>
      </c>
      <c r="M2957" s="452">
        <v>45894</v>
      </c>
      <c r="N2957">
        <v>22.77</v>
      </c>
      <c r="O2957">
        <v>22.99</v>
      </c>
      <c r="P2957">
        <v>91.84</v>
      </c>
    </row>
    <row r="2958" spans="1:16" x14ac:dyDescent="0.3">
      <c r="A2958">
        <v>49043</v>
      </c>
      <c r="B2958">
        <v>105</v>
      </c>
      <c r="C2958" t="s">
        <v>557</v>
      </c>
      <c r="D2958" s="452">
        <v>45901</v>
      </c>
      <c r="E2958">
        <v>19967</v>
      </c>
      <c r="F2958" t="s">
        <v>4956</v>
      </c>
      <c r="G2958">
        <v>2356</v>
      </c>
      <c r="H2958">
        <v>2</v>
      </c>
      <c r="I2958" t="s">
        <v>4888</v>
      </c>
      <c r="J2958" t="s">
        <v>5191</v>
      </c>
      <c r="K2958" t="s">
        <v>4038</v>
      </c>
      <c r="L2958">
        <v>45.5</v>
      </c>
      <c r="M2958" s="452">
        <v>45887</v>
      </c>
      <c r="N2958">
        <v>45.5</v>
      </c>
      <c r="O2958">
        <v>46.9</v>
      </c>
      <c r="P2958">
        <v>91</v>
      </c>
    </row>
    <row r="2959" spans="1:16" x14ac:dyDescent="0.3">
      <c r="A2959">
        <v>48843</v>
      </c>
      <c r="B2959">
        <v>105</v>
      </c>
      <c r="C2959" t="s">
        <v>557</v>
      </c>
      <c r="D2959" s="452">
        <v>45901</v>
      </c>
      <c r="E2959">
        <v>23268</v>
      </c>
      <c r="F2959" t="s">
        <v>4743</v>
      </c>
      <c r="G2959">
        <v>2592</v>
      </c>
      <c r="H2959">
        <v>20.58</v>
      </c>
      <c r="I2959" t="s">
        <v>4744</v>
      </c>
      <c r="J2959" t="s">
        <v>5191</v>
      </c>
      <c r="K2959" t="s">
        <v>4038</v>
      </c>
      <c r="L2959">
        <v>0</v>
      </c>
      <c r="M2959" s="452">
        <v>45681</v>
      </c>
      <c r="N2959">
        <v>4.42</v>
      </c>
      <c r="O2959">
        <v>5.0999999999999996</v>
      </c>
      <c r="P2959">
        <v>90.96</v>
      </c>
    </row>
    <row r="2960" spans="1:16" x14ac:dyDescent="0.3">
      <c r="A2960">
        <v>48905</v>
      </c>
      <c r="B2960">
        <v>105</v>
      </c>
      <c r="C2960" t="s">
        <v>557</v>
      </c>
      <c r="D2960" s="452">
        <v>45901</v>
      </c>
      <c r="E2960">
        <v>19601</v>
      </c>
      <c r="F2960" t="s">
        <v>5267</v>
      </c>
      <c r="G2960">
        <v>2628</v>
      </c>
      <c r="H2960">
        <v>7.55</v>
      </c>
      <c r="I2960" t="s">
        <v>4744</v>
      </c>
      <c r="J2960" t="s">
        <v>5191</v>
      </c>
      <c r="K2960" t="s">
        <v>4038</v>
      </c>
      <c r="L2960">
        <v>0</v>
      </c>
      <c r="M2960" s="452">
        <v>45824</v>
      </c>
      <c r="N2960">
        <v>12</v>
      </c>
      <c r="O2960">
        <v>7.5</v>
      </c>
      <c r="P2960">
        <v>90.6</v>
      </c>
    </row>
    <row r="2961" spans="1:16" x14ac:dyDescent="0.3">
      <c r="A2961">
        <v>48861</v>
      </c>
      <c r="B2961">
        <v>105</v>
      </c>
      <c r="C2961" t="s">
        <v>557</v>
      </c>
      <c r="D2961" s="452">
        <v>45901</v>
      </c>
      <c r="E2961">
        <v>24227</v>
      </c>
      <c r="F2961" t="s">
        <v>4806</v>
      </c>
      <c r="G2961">
        <v>3648</v>
      </c>
      <c r="H2961">
        <v>14</v>
      </c>
      <c r="I2961" t="s">
        <v>4736</v>
      </c>
      <c r="J2961" t="s">
        <v>5222</v>
      </c>
      <c r="K2961" t="s">
        <v>4038</v>
      </c>
      <c r="L2961">
        <v>0</v>
      </c>
      <c r="M2961" s="452">
        <v>45393</v>
      </c>
      <c r="N2961">
        <v>6.42</v>
      </c>
      <c r="O2961">
        <v>26.22</v>
      </c>
      <c r="P2961">
        <v>89.88</v>
      </c>
    </row>
    <row r="2962" spans="1:16" x14ac:dyDescent="0.3">
      <c r="A2962">
        <v>49109</v>
      </c>
      <c r="B2962">
        <v>105</v>
      </c>
      <c r="C2962" t="s">
        <v>557</v>
      </c>
      <c r="D2962" s="452">
        <v>45901</v>
      </c>
      <c r="E2962">
        <v>18116</v>
      </c>
      <c r="F2962" t="s">
        <v>5045</v>
      </c>
      <c r="G2962">
        <v>3496</v>
      </c>
      <c r="H2962">
        <v>1</v>
      </c>
      <c r="I2962" t="s">
        <v>4805</v>
      </c>
      <c r="J2962" t="s">
        <v>5222</v>
      </c>
      <c r="K2962" t="s">
        <v>4038</v>
      </c>
      <c r="L2962">
        <v>89</v>
      </c>
      <c r="M2962" s="452">
        <v>45895</v>
      </c>
      <c r="N2962">
        <v>89</v>
      </c>
      <c r="O2962">
        <v>89</v>
      </c>
      <c r="P2962">
        <v>89</v>
      </c>
    </row>
    <row r="2963" spans="1:16" x14ac:dyDescent="0.3">
      <c r="A2963">
        <v>49053</v>
      </c>
      <c r="B2963">
        <v>105</v>
      </c>
      <c r="C2963" t="s">
        <v>557</v>
      </c>
      <c r="D2963" s="452">
        <v>45901</v>
      </c>
      <c r="E2963">
        <v>18545</v>
      </c>
      <c r="F2963" t="s">
        <v>4864</v>
      </c>
      <c r="G2963">
        <v>3134</v>
      </c>
      <c r="H2963">
        <v>2</v>
      </c>
      <c r="I2963" t="s">
        <v>4805</v>
      </c>
      <c r="J2963" t="s">
        <v>5222</v>
      </c>
      <c r="K2963" t="s">
        <v>4038</v>
      </c>
      <c r="L2963">
        <v>43.99</v>
      </c>
      <c r="M2963" s="452">
        <v>45882</v>
      </c>
      <c r="N2963">
        <v>43.99</v>
      </c>
      <c r="O2963">
        <v>43.99</v>
      </c>
      <c r="P2963">
        <v>87.98</v>
      </c>
    </row>
    <row r="2964" spans="1:16" x14ac:dyDescent="0.3">
      <c r="A2964">
        <v>49068</v>
      </c>
      <c r="B2964">
        <v>105</v>
      </c>
      <c r="C2964" t="s">
        <v>557</v>
      </c>
      <c r="D2964" s="452">
        <v>45901</v>
      </c>
      <c r="E2964">
        <v>18339</v>
      </c>
      <c r="F2964" t="s">
        <v>5033</v>
      </c>
      <c r="G2964">
        <v>3296</v>
      </c>
      <c r="H2964">
        <v>1.54</v>
      </c>
      <c r="I2964" t="s">
        <v>4805</v>
      </c>
      <c r="J2964" t="s">
        <v>5222</v>
      </c>
      <c r="K2964" t="s">
        <v>4038</v>
      </c>
      <c r="L2964">
        <v>0</v>
      </c>
      <c r="M2964" s="452">
        <v>-693593</v>
      </c>
      <c r="N2964">
        <v>0</v>
      </c>
      <c r="O2964">
        <v>56.37</v>
      </c>
      <c r="P2964">
        <v>87.06</v>
      </c>
    </row>
    <row r="2965" spans="1:16" x14ac:dyDescent="0.3">
      <c r="A2965">
        <v>48953</v>
      </c>
      <c r="B2965">
        <v>105</v>
      </c>
      <c r="C2965" t="s">
        <v>557</v>
      </c>
      <c r="D2965" s="452">
        <v>45901</v>
      </c>
      <c r="E2965">
        <v>20871</v>
      </c>
      <c r="F2965" t="s">
        <v>5015</v>
      </c>
      <c r="G2965">
        <v>2043</v>
      </c>
      <c r="H2965">
        <v>5</v>
      </c>
      <c r="I2965" t="s">
        <v>4879</v>
      </c>
      <c r="J2965" t="s">
        <v>5191</v>
      </c>
      <c r="K2965" t="s">
        <v>4038</v>
      </c>
      <c r="L2965">
        <v>17.350000000000001</v>
      </c>
      <c r="M2965" s="452">
        <v>45881</v>
      </c>
      <c r="N2965">
        <v>15.8</v>
      </c>
      <c r="O2965">
        <v>16.600000000000001</v>
      </c>
      <c r="P2965">
        <v>86.75</v>
      </c>
    </row>
    <row r="2966" spans="1:16" x14ac:dyDescent="0.3">
      <c r="A2966">
        <v>48870</v>
      </c>
      <c r="B2966">
        <v>105</v>
      </c>
      <c r="C2966" t="s">
        <v>557</v>
      </c>
      <c r="D2966" s="452">
        <v>45901</v>
      </c>
      <c r="E2966">
        <v>19751</v>
      </c>
      <c r="F2966" t="s">
        <v>4800</v>
      </c>
      <c r="G2966">
        <v>2502</v>
      </c>
      <c r="H2966">
        <v>12.66</v>
      </c>
      <c r="I2966" t="s">
        <v>4744</v>
      </c>
      <c r="J2966" t="s">
        <v>5191</v>
      </c>
      <c r="K2966" t="s">
        <v>4038</v>
      </c>
      <c r="L2966">
        <v>6.8</v>
      </c>
      <c r="M2966" s="452">
        <v>45897</v>
      </c>
      <c r="N2966">
        <v>6.48</v>
      </c>
      <c r="O2966">
        <v>6.48</v>
      </c>
      <c r="P2966">
        <v>86.09</v>
      </c>
    </row>
    <row r="2967" spans="1:16" x14ac:dyDescent="0.3">
      <c r="A2967">
        <v>49128</v>
      </c>
      <c r="B2967">
        <v>105</v>
      </c>
      <c r="C2967" t="s">
        <v>557</v>
      </c>
      <c r="D2967" s="452">
        <v>45901</v>
      </c>
      <c r="E2967">
        <v>20544</v>
      </c>
      <c r="F2967" t="s">
        <v>4808</v>
      </c>
      <c r="G2967">
        <v>2144</v>
      </c>
      <c r="H2967">
        <v>0.4</v>
      </c>
      <c r="I2967" t="s">
        <v>4744</v>
      </c>
      <c r="J2967" t="s">
        <v>5191</v>
      </c>
      <c r="K2967" t="s">
        <v>4038</v>
      </c>
      <c r="L2967">
        <v>0</v>
      </c>
      <c r="M2967" s="452">
        <v>45855</v>
      </c>
      <c r="N2967">
        <v>214.58</v>
      </c>
      <c r="O2967">
        <v>214.58</v>
      </c>
      <c r="P2967">
        <v>85.83</v>
      </c>
    </row>
    <row r="2968" spans="1:16" x14ac:dyDescent="0.3">
      <c r="A2968">
        <v>48829</v>
      </c>
      <c r="B2968">
        <v>105</v>
      </c>
      <c r="C2968" t="s">
        <v>557</v>
      </c>
      <c r="D2968" s="452">
        <v>45901</v>
      </c>
      <c r="E2968">
        <v>23361</v>
      </c>
      <c r="F2968" t="s">
        <v>4754</v>
      </c>
      <c r="G2968">
        <v>2497</v>
      </c>
      <c r="H2968">
        <v>31.9</v>
      </c>
      <c r="I2968" t="s">
        <v>4744</v>
      </c>
      <c r="J2968" t="s">
        <v>5191</v>
      </c>
      <c r="K2968" t="s">
        <v>4038</v>
      </c>
      <c r="L2968">
        <v>2.68</v>
      </c>
      <c r="M2968" s="452">
        <v>45897</v>
      </c>
      <c r="N2968">
        <v>2.5099999999999998</v>
      </c>
      <c r="O2968">
        <v>2.5099999999999998</v>
      </c>
      <c r="P2968">
        <v>85.49</v>
      </c>
    </row>
    <row r="2969" spans="1:16" x14ac:dyDescent="0.3">
      <c r="A2969">
        <v>48988</v>
      </c>
      <c r="B2969">
        <v>105</v>
      </c>
      <c r="C2969" t="s">
        <v>557</v>
      </c>
      <c r="D2969" s="452">
        <v>45901</v>
      </c>
      <c r="E2969">
        <v>19526</v>
      </c>
      <c r="F2969" t="s">
        <v>4997</v>
      </c>
      <c r="G2969">
        <v>2687</v>
      </c>
      <c r="H2969">
        <v>3</v>
      </c>
      <c r="I2969" t="s">
        <v>4744</v>
      </c>
      <c r="J2969" t="s">
        <v>5191</v>
      </c>
      <c r="K2969" t="s">
        <v>4038</v>
      </c>
      <c r="L2969">
        <v>28.45</v>
      </c>
      <c r="M2969" s="452">
        <v>45897</v>
      </c>
      <c r="N2969">
        <v>22.35</v>
      </c>
      <c r="O2969">
        <v>12</v>
      </c>
      <c r="P2969">
        <v>85.35</v>
      </c>
    </row>
    <row r="2970" spans="1:16" x14ac:dyDescent="0.3">
      <c r="A2970">
        <v>48848</v>
      </c>
      <c r="B2970">
        <v>105</v>
      </c>
      <c r="C2970" t="s">
        <v>557</v>
      </c>
      <c r="D2970" s="452">
        <v>45901</v>
      </c>
      <c r="E2970">
        <v>19787</v>
      </c>
      <c r="F2970" t="s">
        <v>4793</v>
      </c>
      <c r="G2970">
        <v>2471</v>
      </c>
      <c r="H2970">
        <v>19.5</v>
      </c>
      <c r="I2970" t="s">
        <v>4744</v>
      </c>
      <c r="J2970" t="s">
        <v>5191</v>
      </c>
      <c r="K2970" t="s">
        <v>4038</v>
      </c>
      <c r="L2970">
        <v>4.3600000000000003</v>
      </c>
      <c r="M2970" s="452">
        <v>45897</v>
      </c>
      <c r="N2970">
        <v>3.99</v>
      </c>
      <c r="O2970">
        <v>3.99</v>
      </c>
      <c r="P2970">
        <v>85.02</v>
      </c>
    </row>
    <row r="2971" spans="1:16" x14ac:dyDescent="0.3">
      <c r="A2971">
        <v>48995</v>
      </c>
      <c r="B2971">
        <v>105</v>
      </c>
      <c r="C2971" t="s">
        <v>557</v>
      </c>
      <c r="D2971" s="452">
        <v>45901</v>
      </c>
      <c r="E2971">
        <v>23656</v>
      </c>
      <c r="F2971" t="s">
        <v>4945</v>
      </c>
      <c r="G2971">
        <v>2228</v>
      </c>
      <c r="H2971">
        <v>3</v>
      </c>
      <c r="I2971" t="s">
        <v>4744</v>
      </c>
      <c r="J2971" t="s">
        <v>5191</v>
      </c>
      <c r="K2971" t="s">
        <v>4038</v>
      </c>
      <c r="L2971">
        <v>28</v>
      </c>
      <c r="M2971" s="452">
        <v>45873</v>
      </c>
      <c r="N2971">
        <v>28</v>
      </c>
      <c r="O2971">
        <v>28</v>
      </c>
      <c r="P2971">
        <v>84</v>
      </c>
    </row>
    <row r="2972" spans="1:16" x14ac:dyDescent="0.3">
      <c r="A2972">
        <v>48880</v>
      </c>
      <c r="B2972">
        <v>105</v>
      </c>
      <c r="C2972" t="s">
        <v>557</v>
      </c>
      <c r="D2972" s="452">
        <v>45901</v>
      </c>
      <c r="E2972">
        <v>25762</v>
      </c>
      <c r="F2972" t="s">
        <v>4770</v>
      </c>
      <c r="G2972">
        <v>9070</v>
      </c>
      <c r="H2972">
        <v>11</v>
      </c>
      <c r="I2972" t="s">
        <v>4736</v>
      </c>
      <c r="J2972" t="s">
        <v>5191</v>
      </c>
      <c r="K2972" t="s">
        <v>4038</v>
      </c>
      <c r="L2972">
        <v>0</v>
      </c>
      <c r="M2972" s="452">
        <v>45742</v>
      </c>
      <c r="N2972">
        <v>7.61</v>
      </c>
      <c r="O2972">
        <v>7.61</v>
      </c>
      <c r="P2972">
        <v>83.71</v>
      </c>
    </row>
    <row r="2973" spans="1:16" x14ac:dyDescent="0.3">
      <c r="A2973">
        <v>49006</v>
      </c>
      <c r="B2973">
        <v>105</v>
      </c>
      <c r="C2973" t="s">
        <v>557</v>
      </c>
      <c r="D2973" s="452">
        <v>45901</v>
      </c>
      <c r="E2973">
        <v>19649</v>
      </c>
      <c r="F2973" t="s">
        <v>4859</v>
      </c>
      <c r="G2973">
        <v>2589</v>
      </c>
      <c r="H2973">
        <v>3</v>
      </c>
      <c r="I2973" t="s">
        <v>4744</v>
      </c>
      <c r="J2973" t="s">
        <v>5191</v>
      </c>
      <c r="K2973" t="s">
        <v>4038</v>
      </c>
      <c r="L2973">
        <v>0</v>
      </c>
      <c r="M2973" s="452">
        <v>45820</v>
      </c>
      <c r="N2973">
        <v>27.9</v>
      </c>
      <c r="O2973">
        <v>23.5</v>
      </c>
      <c r="P2973">
        <v>83.7</v>
      </c>
    </row>
    <row r="2974" spans="1:16" x14ac:dyDescent="0.3">
      <c r="A2974">
        <v>49038</v>
      </c>
      <c r="B2974">
        <v>105</v>
      </c>
      <c r="C2974" t="s">
        <v>557</v>
      </c>
      <c r="D2974" s="452">
        <v>45901</v>
      </c>
      <c r="E2974">
        <v>20057</v>
      </c>
      <c r="F2974" t="s">
        <v>4949</v>
      </c>
      <c r="G2974">
        <v>2324</v>
      </c>
      <c r="H2974">
        <v>2</v>
      </c>
      <c r="I2974" t="s">
        <v>4736</v>
      </c>
      <c r="J2974" t="s">
        <v>5191</v>
      </c>
      <c r="K2974" t="s">
        <v>4038</v>
      </c>
      <c r="L2974">
        <v>41</v>
      </c>
      <c r="M2974" s="452">
        <v>45895</v>
      </c>
      <c r="N2974">
        <v>41</v>
      </c>
      <c r="O2974">
        <v>41</v>
      </c>
      <c r="P2974">
        <v>82</v>
      </c>
    </row>
    <row r="2975" spans="1:16" x14ac:dyDescent="0.3">
      <c r="A2975">
        <v>49078</v>
      </c>
      <c r="B2975">
        <v>105</v>
      </c>
      <c r="C2975" t="s">
        <v>557</v>
      </c>
      <c r="D2975" s="452">
        <v>45901</v>
      </c>
      <c r="E2975">
        <v>20739</v>
      </c>
      <c r="F2975" t="s">
        <v>5459</v>
      </c>
      <c r="G2975">
        <v>2090</v>
      </c>
      <c r="H2975">
        <v>1</v>
      </c>
      <c r="I2975" t="s">
        <v>4736</v>
      </c>
      <c r="J2975" t="s">
        <v>5191</v>
      </c>
      <c r="K2975" t="s">
        <v>4038</v>
      </c>
      <c r="L2975">
        <v>81.73</v>
      </c>
      <c r="M2975" s="452">
        <v>45870</v>
      </c>
      <c r="N2975">
        <v>81.73</v>
      </c>
      <c r="O2975">
        <v>75.900000000000006</v>
      </c>
      <c r="P2975">
        <v>81.73</v>
      </c>
    </row>
    <row r="2976" spans="1:16" x14ac:dyDescent="0.3">
      <c r="A2976">
        <v>48954</v>
      </c>
      <c r="B2976">
        <v>105</v>
      </c>
      <c r="C2976" t="s">
        <v>557</v>
      </c>
      <c r="D2976" s="452">
        <v>45901</v>
      </c>
      <c r="E2976">
        <v>21000</v>
      </c>
      <c r="F2976" t="s">
        <v>4818</v>
      </c>
      <c r="G2976">
        <v>2008</v>
      </c>
      <c r="H2976">
        <v>5</v>
      </c>
      <c r="I2976" t="s">
        <v>4736</v>
      </c>
      <c r="J2976" t="s">
        <v>5191</v>
      </c>
      <c r="K2976" t="s">
        <v>4038</v>
      </c>
      <c r="L2976">
        <v>16.309999999999999</v>
      </c>
      <c r="M2976" s="452">
        <v>45887</v>
      </c>
      <c r="N2976">
        <v>16.309999999999999</v>
      </c>
      <c r="O2976">
        <v>16.309999999999999</v>
      </c>
      <c r="P2976">
        <v>81.55</v>
      </c>
    </row>
    <row r="2977" spans="1:16" x14ac:dyDescent="0.3">
      <c r="A2977">
        <v>48896</v>
      </c>
      <c r="B2977">
        <v>105</v>
      </c>
      <c r="C2977" t="s">
        <v>557</v>
      </c>
      <c r="D2977" s="452">
        <v>45901</v>
      </c>
      <c r="E2977">
        <v>20382</v>
      </c>
      <c r="F2977" t="s">
        <v>4780</v>
      </c>
      <c r="G2977">
        <v>2196</v>
      </c>
      <c r="H2977">
        <v>9</v>
      </c>
      <c r="I2977" t="s">
        <v>4738</v>
      </c>
      <c r="J2977" t="s">
        <v>5191</v>
      </c>
      <c r="K2977" t="s">
        <v>4038</v>
      </c>
      <c r="L2977">
        <v>8.99</v>
      </c>
      <c r="M2977" s="452">
        <v>45897</v>
      </c>
      <c r="N2977">
        <v>8.99</v>
      </c>
      <c r="O2977">
        <v>8.99</v>
      </c>
      <c r="P2977">
        <v>80.91</v>
      </c>
    </row>
    <row r="2978" spans="1:16" x14ac:dyDescent="0.3">
      <c r="A2978">
        <v>48906</v>
      </c>
      <c r="B2978">
        <v>105</v>
      </c>
      <c r="C2978" t="s">
        <v>557</v>
      </c>
      <c r="D2978" s="452">
        <v>45901</v>
      </c>
      <c r="E2978">
        <v>24302</v>
      </c>
      <c r="F2978" t="s">
        <v>4813</v>
      </c>
      <c r="G2978">
        <v>2251</v>
      </c>
      <c r="H2978">
        <v>7.1</v>
      </c>
      <c r="I2978" t="s">
        <v>4744</v>
      </c>
      <c r="J2978" t="s">
        <v>5191</v>
      </c>
      <c r="K2978" t="s">
        <v>4038</v>
      </c>
      <c r="L2978">
        <v>11.19</v>
      </c>
      <c r="M2978" s="452">
        <v>45887</v>
      </c>
      <c r="N2978">
        <v>11.19</v>
      </c>
      <c r="O2978">
        <v>11.5</v>
      </c>
      <c r="P2978">
        <v>79.45</v>
      </c>
    </row>
    <row r="2979" spans="1:16" x14ac:dyDescent="0.3">
      <c r="A2979">
        <v>48879</v>
      </c>
      <c r="B2979">
        <v>105</v>
      </c>
      <c r="C2979" t="s">
        <v>557</v>
      </c>
      <c r="D2979" s="452">
        <v>45901</v>
      </c>
      <c r="E2979">
        <v>25761</v>
      </c>
      <c r="F2979" t="s">
        <v>4789</v>
      </c>
      <c r="G2979">
        <v>6312</v>
      </c>
      <c r="H2979">
        <v>11</v>
      </c>
      <c r="I2979" t="s">
        <v>4736</v>
      </c>
      <c r="J2979" t="s">
        <v>5191</v>
      </c>
      <c r="K2979" t="s">
        <v>4038</v>
      </c>
      <c r="L2979">
        <v>0</v>
      </c>
      <c r="M2979" s="452">
        <v>-693593</v>
      </c>
      <c r="N2979">
        <v>0</v>
      </c>
      <c r="O2979">
        <v>0</v>
      </c>
      <c r="P2979">
        <v>76.89</v>
      </c>
    </row>
    <row r="2980" spans="1:16" x14ac:dyDescent="0.3">
      <c r="A2980">
        <v>48830</v>
      </c>
      <c r="B2980">
        <v>105</v>
      </c>
      <c r="C2980" t="s">
        <v>557</v>
      </c>
      <c r="D2980" s="452">
        <v>45901</v>
      </c>
      <c r="E2980">
        <v>22118</v>
      </c>
      <c r="F2980" t="s">
        <v>4765</v>
      </c>
      <c r="G2980">
        <v>3600</v>
      </c>
      <c r="H2980">
        <v>2.58</v>
      </c>
      <c r="I2980" t="s">
        <v>4749</v>
      </c>
      <c r="J2980" t="s">
        <v>5222</v>
      </c>
      <c r="K2980" t="s">
        <v>4038</v>
      </c>
      <c r="L2980">
        <v>0</v>
      </c>
      <c r="M2980" s="452">
        <v>45859</v>
      </c>
      <c r="N2980">
        <v>29.64</v>
      </c>
      <c r="O2980">
        <v>29.64</v>
      </c>
      <c r="P2980">
        <v>76.47</v>
      </c>
    </row>
    <row r="2981" spans="1:16" x14ac:dyDescent="0.3">
      <c r="A2981">
        <v>48890</v>
      </c>
      <c r="B2981">
        <v>105</v>
      </c>
      <c r="C2981" t="s">
        <v>557</v>
      </c>
      <c r="D2981" s="452">
        <v>45901</v>
      </c>
      <c r="E2981">
        <v>25756</v>
      </c>
      <c r="F2981" t="s">
        <v>4854</v>
      </c>
      <c r="G2981">
        <v>9069</v>
      </c>
      <c r="H2981">
        <v>10</v>
      </c>
      <c r="I2981" t="s">
        <v>4749</v>
      </c>
      <c r="J2981" t="s">
        <v>5191</v>
      </c>
      <c r="K2981" t="s">
        <v>4038</v>
      </c>
      <c r="L2981">
        <v>0</v>
      </c>
      <c r="M2981" s="452">
        <v>45742</v>
      </c>
      <c r="N2981">
        <v>7.61</v>
      </c>
      <c r="O2981">
        <v>7.61</v>
      </c>
      <c r="P2981">
        <v>76.099999999999994</v>
      </c>
    </row>
    <row r="2982" spans="1:16" x14ac:dyDescent="0.3">
      <c r="A2982">
        <v>49155</v>
      </c>
      <c r="B2982">
        <v>105</v>
      </c>
      <c r="C2982" t="s">
        <v>557</v>
      </c>
      <c r="D2982" s="452">
        <v>45901</v>
      </c>
      <c r="E2982">
        <v>20640</v>
      </c>
      <c r="F2982" t="s">
        <v>5466</v>
      </c>
      <c r="G2982">
        <v>2114</v>
      </c>
      <c r="H2982">
        <v>2.9</v>
      </c>
      <c r="I2982" t="s">
        <v>4744</v>
      </c>
      <c r="J2982" t="s">
        <v>5191</v>
      </c>
      <c r="K2982" t="s">
        <v>4038</v>
      </c>
      <c r="L2982">
        <v>0</v>
      </c>
      <c r="N2982">
        <v>0</v>
      </c>
      <c r="O2982">
        <v>0</v>
      </c>
      <c r="P2982">
        <v>74.59</v>
      </c>
    </row>
    <row r="2983" spans="1:16" x14ac:dyDescent="0.3">
      <c r="A2983">
        <v>49015</v>
      </c>
      <c r="B2983">
        <v>105</v>
      </c>
      <c r="C2983" t="s">
        <v>557</v>
      </c>
      <c r="D2983" s="452">
        <v>45901</v>
      </c>
      <c r="E2983">
        <v>18547</v>
      </c>
      <c r="F2983" t="s">
        <v>4863</v>
      </c>
      <c r="G2983">
        <v>3132</v>
      </c>
      <c r="H2983">
        <v>2.93</v>
      </c>
      <c r="I2983" t="s">
        <v>4805</v>
      </c>
      <c r="J2983" t="s">
        <v>5222</v>
      </c>
      <c r="K2983" t="s">
        <v>4038</v>
      </c>
      <c r="L2983">
        <v>25.27</v>
      </c>
      <c r="M2983" s="452">
        <v>45895</v>
      </c>
      <c r="N2983">
        <v>33.9</v>
      </c>
      <c r="O2983">
        <v>32.99</v>
      </c>
      <c r="P2983">
        <v>74.040000000000006</v>
      </c>
    </row>
    <row r="2984" spans="1:16" x14ac:dyDescent="0.3">
      <c r="A2984">
        <v>48993</v>
      </c>
      <c r="B2984">
        <v>105</v>
      </c>
      <c r="C2984" t="s">
        <v>557</v>
      </c>
      <c r="D2984" s="452">
        <v>45901</v>
      </c>
      <c r="E2984">
        <v>20301</v>
      </c>
      <c r="F2984" t="s">
        <v>4944</v>
      </c>
      <c r="G2984">
        <v>2223</v>
      </c>
      <c r="H2984">
        <v>3</v>
      </c>
      <c r="I2984" t="s">
        <v>4738</v>
      </c>
      <c r="J2984" t="s">
        <v>5191</v>
      </c>
      <c r="K2984" t="s">
        <v>4038</v>
      </c>
      <c r="L2984">
        <v>24.23</v>
      </c>
      <c r="M2984" s="452">
        <v>45894</v>
      </c>
      <c r="N2984">
        <v>23.33</v>
      </c>
      <c r="O2984">
        <v>23.42</v>
      </c>
      <c r="P2984">
        <v>72.69</v>
      </c>
    </row>
    <row r="2985" spans="1:16" x14ac:dyDescent="0.3">
      <c r="A2985">
        <v>48944</v>
      </c>
      <c r="B2985">
        <v>105</v>
      </c>
      <c r="C2985" t="s">
        <v>557</v>
      </c>
      <c r="D2985" s="452">
        <v>45901</v>
      </c>
      <c r="E2985">
        <v>19551</v>
      </c>
      <c r="F2985" t="s">
        <v>4905</v>
      </c>
      <c r="G2985">
        <v>2665</v>
      </c>
      <c r="H2985">
        <v>5.7</v>
      </c>
      <c r="I2985" t="s">
        <v>4744</v>
      </c>
      <c r="J2985" t="s">
        <v>5191</v>
      </c>
      <c r="K2985" t="s">
        <v>4038</v>
      </c>
      <c r="L2985">
        <v>12.6</v>
      </c>
      <c r="M2985" s="452">
        <v>45887</v>
      </c>
      <c r="N2985">
        <v>15</v>
      </c>
      <c r="O2985">
        <v>15</v>
      </c>
      <c r="P2985">
        <v>71.819999999999993</v>
      </c>
    </row>
    <row r="2986" spans="1:16" x14ac:dyDescent="0.3">
      <c r="A2986">
        <v>49032</v>
      </c>
      <c r="B2986">
        <v>105</v>
      </c>
      <c r="C2986" t="s">
        <v>557</v>
      </c>
      <c r="D2986" s="452">
        <v>45901</v>
      </c>
      <c r="E2986">
        <v>21130</v>
      </c>
      <c r="F2986" t="s">
        <v>4998</v>
      </c>
      <c r="G2986">
        <v>1963</v>
      </c>
      <c r="H2986">
        <v>2</v>
      </c>
      <c r="I2986" t="s">
        <v>4736</v>
      </c>
      <c r="J2986" t="s">
        <v>5191</v>
      </c>
      <c r="K2986" t="s">
        <v>4038</v>
      </c>
      <c r="L2986">
        <v>0</v>
      </c>
      <c r="M2986" s="452">
        <v>45811</v>
      </c>
      <c r="N2986">
        <v>35.31</v>
      </c>
      <c r="O2986">
        <v>35.31</v>
      </c>
      <c r="P2986">
        <v>70.62</v>
      </c>
    </row>
    <row r="2987" spans="1:16" x14ac:dyDescent="0.3">
      <c r="A2987">
        <v>49002</v>
      </c>
      <c r="B2987">
        <v>105</v>
      </c>
      <c r="C2987" t="s">
        <v>557</v>
      </c>
      <c r="D2987" s="452">
        <v>45901</v>
      </c>
      <c r="E2987">
        <v>23503</v>
      </c>
      <c r="F2987" t="s">
        <v>5048</v>
      </c>
      <c r="G2987">
        <v>2366</v>
      </c>
      <c r="H2987">
        <v>3</v>
      </c>
      <c r="I2987" t="s">
        <v>4744</v>
      </c>
      <c r="J2987" t="s">
        <v>5191</v>
      </c>
      <c r="K2987" t="s">
        <v>4038</v>
      </c>
      <c r="L2987">
        <v>23.5</v>
      </c>
      <c r="M2987" s="452">
        <v>45887</v>
      </c>
      <c r="N2987">
        <v>23.5</v>
      </c>
      <c r="O2987">
        <v>23.5</v>
      </c>
      <c r="P2987">
        <v>70.5</v>
      </c>
    </row>
    <row r="2988" spans="1:16" x14ac:dyDescent="0.3">
      <c r="A2988">
        <v>48825</v>
      </c>
      <c r="B2988">
        <v>105</v>
      </c>
      <c r="C2988" t="s">
        <v>557</v>
      </c>
      <c r="D2988" s="452">
        <v>45901</v>
      </c>
      <c r="E2988">
        <v>24467</v>
      </c>
      <c r="F2988" t="s">
        <v>4766</v>
      </c>
      <c r="G2988">
        <v>3673</v>
      </c>
      <c r="H2988">
        <v>35</v>
      </c>
      <c r="I2988" t="s">
        <v>4736</v>
      </c>
      <c r="J2988" t="s">
        <v>5222</v>
      </c>
      <c r="K2988" t="s">
        <v>4038</v>
      </c>
      <c r="L2988">
        <v>0</v>
      </c>
      <c r="M2988" s="452">
        <v>45520</v>
      </c>
      <c r="N2988">
        <v>1.99</v>
      </c>
      <c r="O2988">
        <v>2.19</v>
      </c>
      <c r="P2988">
        <v>69.650000000000006</v>
      </c>
    </row>
    <row r="2989" spans="1:16" x14ac:dyDescent="0.3">
      <c r="A2989">
        <v>48895</v>
      </c>
      <c r="B2989">
        <v>105</v>
      </c>
      <c r="C2989" t="s">
        <v>557</v>
      </c>
      <c r="D2989" s="452">
        <v>45901</v>
      </c>
      <c r="E2989">
        <v>25758</v>
      </c>
      <c r="F2989" t="s">
        <v>4775</v>
      </c>
      <c r="G2989">
        <v>9066</v>
      </c>
      <c r="H2989">
        <v>9</v>
      </c>
      <c r="I2989" t="s">
        <v>4736</v>
      </c>
      <c r="J2989" t="s">
        <v>5191</v>
      </c>
      <c r="K2989" t="s">
        <v>4038</v>
      </c>
      <c r="L2989">
        <v>0</v>
      </c>
      <c r="M2989" s="452">
        <v>45742</v>
      </c>
      <c r="N2989">
        <v>7.73</v>
      </c>
      <c r="O2989">
        <v>7.73</v>
      </c>
      <c r="P2989">
        <v>69.569999999999993</v>
      </c>
    </row>
    <row r="2990" spans="1:16" x14ac:dyDescent="0.3">
      <c r="A2990">
        <v>48842</v>
      </c>
      <c r="B2990">
        <v>105</v>
      </c>
      <c r="C2990" t="s">
        <v>557</v>
      </c>
      <c r="D2990" s="452">
        <v>45901</v>
      </c>
      <c r="E2990">
        <v>23359</v>
      </c>
      <c r="F2990" t="s">
        <v>4767</v>
      </c>
      <c r="G2990">
        <v>2499</v>
      </c>
      <c r="H2990">
        <v>20.96</v>
      </c>
      <c r="I2990" t="s">
        <v>4744</v>
      </c>
      <c r="J2990" t="s">
        <v>5191</v>
      </c>
      <c r="K2990" t="s">
        <v>4038</v>
      </c>
      <c r="L2990">
        <v>3.29</v>
      </c>
      <c r="M2990" s="452">
        <v>45898</v>
      </c>
      <c r="N2990">
        <v>2.2999999999999998</v>
      </c>
      <c r="O2990">
        <v>4.3600000000000003</v>
      </c>
      <c r="P2990">
        <v>68.959999999999994</v>
      </c>
    </row>
    <row r="2991" spans="1:16" x14ac:dyDescent="0.3">
      <c r="A2991">
        <v>49035</v>
      </c>
      <c r="B2991">
        <v>105</v>
      </c>
      <c r="C2991" t="s">
        <v>557</v>
      </c>
      <c r="D2991" s="452">
        <v>45901</v>
      </c>
      <c r="E2991">
        <v>20308</v>
      </c>
      <c r="F2991" t="s">
        <v>4909</v>
      </c>
      <c r="G2991">
        <v>2222</v>
      </c>
      <c r="H2991">
        <v>2</v>
      </c>
      <c r="I2991" t="s">
        <v>4738</v>
      </c>
      <c r="J2991" t="s">
        <v>5191</v>
      </c>
      <c r="K2991" t="s">
        <v>4038</v>
      </c>
      <c r="L2991">
        <v>0</v>
      </c>
      <c r="M2991" s="452">
        <v>45831</v>
      </c>
      <c r="N2991">
        <v>33.799999999999997</v>
      </c>
      <c r="O2991">
        <v>24.9</v>
      </c>
      <c r="P2991">
        <v>67.599999999999994</v>
      </c>
    </row>
    <row r="2992" spans="1:16" x14ac:dyDescent="0.3">
      <c r="A2992">
        <v>48909</v>
      </c>
      <c r="B2992">
        <v>105</v>
      </c>
      <c r="C2992" t="s">
        <v>557</v>
      </c>
      <c r="D2992" s="452">
        <v>45901</v>
      </c>
      <c r="E2992">
        <v>20322</v>
      </c>
      <c r="F2992" t="s">
        <v>4882</v>
      </c>
      <c r="G2992">
        <v>2212</v>
      </c>
      <c r="H2992">
        <v>7</v>
      </c>
      <c r="I2992" t="s">
        <v>4738</v>
      </c>
      <c r="J2992" t="s">
        <v>5191</v>
      </c>
      <c r="K2992" t="s">
        <v>4038</v>
      </c>
      <c r="L2992">
        <v>9.64</v>
      </c>
      <c r="M2992" s="452">
        <v>45894</v>
      </c>
      <c r="N2992">
        <v>9.64</v>
      </c>
      <c r="O2992">
        <v>9.64</v>
      </c>
      <c r="P2992">
        <v>67.48</v>
      </c>
    </row>
    <row r="2993" spans="1:16" x14ac:dyDescent="0.3">
      <c r="A2993">
        <v>49126</v>
      </c>
      <c r="B2993">
        <v>105</v>
      </c>
      <c r="C2993" t="s">
        <v>557</v>
      </c>
      <c r="D2993" s="452">
        <v>45901</v>
      </c>
      <c r="E2993">
        <v>19490</v>
      </c>
      <c r="F2993" t="s">
        <v>5116</v>
      </c>
      <c r="G2993">
        <v>2718</v>
      </c>
      <c r="H2993">
        <v>0.5</v>
      </c>
      <c r="I2993" t="s">
        <v>4744</v>
      </c>
      <c r="J2993" t="s">
        <v>5191</v>
      </c>
      <c r="K2993" t="s">
        <v>4038</v>
      </c>
      <c r="L2993">
        <v>132.22</v>
      </c>
      <c r="M2993" s="452">
        <v>45895</v>
      </c>
      <c r="N2993">
        <v>140</v>
      </c>
      <c r="O2993">
        <v>56</v>
      </c>
      <c r="P2993">
        <v>66.11</v>
      </c>
    </row>
    <row r="2994" spans="1:16" x14ac:dyDescent="0.3">
      <c r="A2994">
        <v>49007</v>
      </c>
      <c r="B2994">
        <v>105</v>
      </c>
      <c r="C2994" t="s">
        <v>557</v>
      </c>
      <c r="D2994" s="452">
        <v>45901</v>
      </c>
      <c r="E2994">
        <v>23385</v>
      </c>
      <c r="F2994" t="s">
        <v>4938</v>
      </c>
      <c r="G2994">
        <v>2479</v>
      </c>
      <c r="H2994">
        <v>3</v>
      </c>
      <c r="I2994" t="s">
        <v>4744</v>
      </c>
      <c r="J2994" t="s">
        <v>5191</v>
      </c>
      <c r="K2994" t="s">
        <v>4038</v>
      </c>
      <c r="L2994">
        <v>21.96</v>
      </c>
      <c r="M2994" s="452">
        <v>45897</v>
      </c>
      <c r="N2994">
        <v>20.32</v>
      </c>
      <c r="O2994">
        <v>20.32</v>
      </c>
      <c r="P2994">
        <v>65.88</v>
      </c>
    </row>
    <row r="2995" spans="1:16" x14ac:dyDescent="0.3">
      <c r="A2995">
        <v>48863</v>
      </c>
      <c r="B2995">
        <v>105</v>
      </c>
      <c r="C2995" t="s">
        <v>557</v>
      </c>
      <c r="D2995" s="452">
        <v>45901</v>
      </c>
      <c r="E2995">
        <v>20359</v>
      </c>
      <c r="F2995" t="s">
        <v>5446</v>
      </c>
      <c r="G2995">
        <v>2199</v>
      </c>
      <c r="H2995">
        <v>13.79</v>
      </c>
      <c r="I2995" t="s">
        <v>4736</v>
      </c>
      <c r="J2995" t="s">
        <v>5191</v>
      </c>
      <c r="K2995" t="s">
        <v>4038</v>
      </c>
      <c r="L2995">
        <v>0</v>
      </c>
      <c r="M2995" s="452">
        <v>45846</v>
      </c>
      <c r="N2995">
        <v>4.76</v>
      </c>
      <c r="O2995">
        <v>4.8</v>
      </c>
      <c r="P2995">
        <v>65.64</v>
      </c>
    </row>
    <row r="2996" spans="1:16" x14ac:dyDescent="0.3">
      <c r="A2996">
        <v>48898</v>
      </c>
      <c r="B2996">
        <v>105</v>
      </c>
      <c r="C2996" t="s">
        <v>557</v>
      </c>
      <c r="D2996" s="452">
        <v>45901</v>
      </c>
      <c r="E2996">
        <v>24099</v>
      </c>
      <c r="F2996" t="s">
        <v>4933</v>
      </c>
      <c r="G2996">
        <v>2716</v>
      </c>
      <c r="H2996">
        <v>8.5</v>
      </c>
      <c r="I2996" t="s">
        <v>4744</v>
      </c>
      <c r="J2996" t="s">
        <v>5191</v>
      </c>
      <c r="K2996" t="s">
        <v>4038</v>
      </c>
      <c r="L2996">
        <v>7.51</v>
      </c>
      <c r="M2996" s="452">
        <v>45897</v>
      </c>
      <c r="N2996">
        <v>7.82</v>
      </c>
      <c r="O2996">
        <v>7</v>
      </c>
      <c r="P2996">
        <v>63.84</v>
      </c>
    </row>
    <row r="2997" spans="1:16" x14ac:dyDescent="0.3">
      <c r="A2997">
        <v>48989</v>
      </c>
      <c r="B2997">
        <v>105</v>
      </c>
      <c r="C2997" t="s">
        <v>557</v>
      </c>
      <c r="D2997" s="452">
        <v>45901</v>
      </c>
      <c r="E2997">
        <v>21147</v>
      </c>
      <c r="F2997" t="s">
        <v>4876</v>
      </c>
      <c r="G2997">
        <v>1952</v>
      </c>
      <c r="H2997">
        <v>3</v>
      </c>
      <c r="I2997" t="s">
        <v>4736</v>
      </c>
      <c r="J2997" t="s">
        <v>5191</v>
      </c>
      <c r="K2997" t="s">
        <v>4038</v>
      </c>
      <c r="L2997">
        <v>0</v>
      </c>
      <c r="M2997" s="452">
        <v>45800</v>
      </c>
      <c r="N2997">
        <v>20.9</v>
      </c>
      <c r="O2997">
        <v>19.899999999999999</v>
      </c>
      <c r="P2997">
        <v>62.7</v>
      </c>
    </row>
    <row r="2998" spans="1:16" x14ac:dyDescent="0.3">
      <c r="A2998">
        <v>49076</v>
      </c>
      <c r="B2998">
        <v>105</v>
      </c>
      <c r="C2998" t="s">
        <v>557</v>
      </c>
      <c r="D2998" s="452">
        <v>45901</v>
      </c>
      <c r="E2998">
        <v>23548</v>
      </c>
      <c r="F2998" t="s">
        <v>5449</v>
      </c>
      <c r="G2998">
        <v>2321</v>
      </c>
      <c r="H2998">
        <v>1.1000000000000001</v>
      </c>
      <c r="I2998" t="s">
        <v>4744</v>
      </c>
      <c r="J2998" t="s">
        <v>5191</v>
      </c>
      <c r="K2998" t="s">
        <v>4038</v>
      </c>
      <c r="L2998">
        <v>0</v>
      </c>
      <c r="M2998" s="452">
        <v>45519</v>
      </c>
      <c r="N2998">
        <v>56.9</v>
      </c>
      <c r="O2998">
        <v>44.9</v>
      </c>
      <c r="P2998">
        <v>62.59</v>
      </c>
    </row>
    <row r="2999" spans="1:16" x14ac:dyDescent="0.3">
      <c r="A2999">
        <v>48925</v>
      </c>
      <c r="B2999">
        <v>105</v>
      </c>
      <c r="C2999" t="s">
        <v>557</v>
      </c>
      <c r="D2999" s="452">
        <v>45901</v>
      </c>
      <c r="E2999">
        <v>20227</v>
      </c>
      <c r="F2999" t="s">
        <v>4825</v>
      </c>
      <c r="G2999">
        <v>2248</v>
      </c>
      <c r="H2999">
        <v>6</v>
      </c>
      <c r="I2999" t="s">
        <v>4738</v>
      </c>
      <c r="J2999" t="s">
        <v>5191</v>
      </c>
      <c r="K2999" t="s">
        <v>4038</v>
      </c>
      <c r="L2999">
        <v>10.38</v>
      </c>
      <c r="M2999" s="452">
        <v>45895</v>
      </c>
      <c r="N2999">
        <v>10.44</v>
      </c>
      <c r="O2999">
        <v>9.9</v>
      </c>
      <c r="P2999">
        <v>62.28</v>
      </c>
    </row>
    <row r="3000" spans="1:16" x14ac:dyDescent="0.3">
      <c r="A3000">
        <v>48820</v>
      </c>
      <c r="B3000">
        <v>105</v>
      </c>
      <c r="C3000" t="s">
        <v>557</v>
      </c>
      <c r="D3000" s="452">
        <v>45901</v>
      </c>
      <c r="E3000">
        <v>23096</v>
      </c>
      <c r="F3000" t="s">
        <v>5164</v>
      </c>
      <c r="G3000">
        <v>2753</v>
      </c>
      <c r="H3000">
        <v>94</v>
      </c>
      <c r="I3000" t="s">
        <v>4736</v>
      </c>
      <c r="J3000" t="s">
        <v>5191</v>
      </c>
      <c r="K3000" t="s">
        <v>4038</v>
      </c>
      <c r="L3000">
        <v>0.65</v>
      </c>
      <c r="M3000" s="452">
        <v>45897</v>
      </c>
      <c r="N3000">
        <v>0.59</v>
      </c>
      <c r="O3000">
        <v>0.59</v>
      </c>
      <c r="P3000">
        <v>61.1</v>
      </c>
    </row>
    <row r="3001" spans="1:16" x14ac:dyDescent="0.3">
      <c r="A3001">
        <v>48965</v>
      </c>
      <c r="B3001">
        <v>105</v>
      </c>
      <c r="C3001" t="s">
        <v>557</v>
      </c>
      <c r="D3001" s="452">
        <v>45901</v>
      </c>
      <c r="E3001">
        <v>23934</v>
      </c>
      <c r="F3001" t="s">
        <v>4845</v>
      </c>
      <c r="G3001">
        <v>1965</v>
      </c>
      <c r="H3001">
        <v>4.5</v>
      </c>
      <c r="I3001" t="s">
        <v>4744</v>
      </c>
      <c r="J3001" t="s">
        <v>5191</v>
      </c>
      <c r="K3001" t="s">
        <v>4038</v>
      </c>
      <c r="L3001">
        <v>13.5</v>
      </c>
      <c r="M3001" s="452">
        <v>45881</v>
      </c>
      <c r="N3001">
        <v>13.5</v>
      </c>
      <c r="O3001">
        <v>27</v>
      </c>
      <c r="P3001">
        <v>60.75</v>
      </c>
    </row>
    <row r="3002" spans="1:16" x14ac:dyDescent="0.3">
      <c r="A3002">
        <v>49024</v>
      </c>
      <c r="B3002">
        <v>105</v>
      </c>
      <c r="C3002" t="s">
        <v>557</v>
      </c>
      <c r="D3002" s="452">
        <v>45901</v>
      </c>
      <c r="E3002">
        <v>19710</v>
      </c>
      <c r="F3002" t="s">
        <v>4963</v>
      </c>
      <c r="G3002">
        <v>2540</v>
      </c>
      <c r="H3002">
        <v>2.41</v>
      </c>
      <c r="I3002" t="s">
        <v>4738</v>
      </c>
      <c r="J3002" t="s">
        <v>5191</v>
      </c>
      <c r="K3002" t="s">
        <v>4038</v>
      </c>
      <c r="L3002">
        <v>0</v>
      </c>
      <c r="M3002" s="452">
        <v>45839</v>
      </c>
      <c r="N3002">
        <v>23.46</v>
      </c>
      <c r="O3002">
        <v>23.75</v>
      </c>
      <c r="P3002">
        <v>56.54</v>
      </c>
    </row>
    <row r="3003" spans="1:16" x14ac:dyDescent="0.3">
      <c r="A3003">
        <v>49049</v>
      </c>
      <c r="B3003">
        <v>105</v>
      </c>
      <c r="C3003" t="s">
        <v>557</v>
      </c>
      <c r="D3003" s="452">
        <v>45901</v>
      </c>
      <c r="E3003">
        <v>19765</v>
      </c>
      <c r="F3003" t="s">
        <v>4889</v>
      </c>
      <c r="G3003">
        <v>2488</v>
      </c>
      <c r="H3003">
        <v>2</v>
      </c>
      <c r="I3003" t="s">
        <v>4744</v>
      </c>
      <c r="J3003" t="s">
        <v>5191</v>
      </c>
      <c r="K3003" t="s">
        <v>4038</v>
      </c>
      <c r="L3003">
        <v>28.2</v>
      </c>
      <c r="M3003" s="452">
        <v>45897</v>
      </c>
      <c r="N3003">
        <v>27</v>
      </c>
      <c r="O3003">
        <v>27</v>
      </c>
      <c r="P3003">
        <v>56.4</v>
      </c>
    </row>
    <row r="3004" spans="1:16" x14ac:dyDescent="0.3">
      <c r="A3004">
        <v>49129</v>
      </c>
      <c r="B3004">
        <v>105</v>
      </c>
      <c r="C3004" t="s">
        <v>557</v>
      </c>
      <c r="D3004" s="452">
        <v>45901</v>
      </c>
      <c r="E3004">
        <v>24685</v>
      </c>
      <c r="F3004" t="s">
        <v>5055</v>
      </c>
      <c r="G3004">
        <v>5714</v>
      </c>
      <c r="H3004">
        <v>0.4</v>
      </c>
      <c r="I3004" t="s">
        <v>4805</v>
      </c>
      <c r="J3004" t="s">
        <v>5222</v>
      </c>
      <c r="K3004" t="s">
        <v>4038</v>
      </c>
      <c r="L3004">
        <v>0</v>
      </c>
      <c r="M3004" s="452">
        <v>45742</v>
      </c>
      <c r="N3004">
        <v>140.35</v>
      </c>
      <c r="O3004">
        <v>157</v>
      </c>
      <c r="P3004">
        <v>56.14</v>
      </c>
    </row>
    <row r="3005" spans="1:16" x14ac:dyDescent="0.3">
      <c r="A3005">
        <v>48888</v>
      </c>
      <c r="B3005">
        <v>105</v>
      </c>
      <c r="C3005" t="s">
        <v>557</v>
      </c>
      <c r="D3005" s="452">
        <v>45901</v>
      </c>
      <c r="E3005">
        <v>23228</v>
      </c>
      <c r="F3005" t="s">
        <v>4782</v>
      </c>
      <c r="G3005">
        <v>2627</v>
      </c>
      <c r="H3005">
        <v>10.1</v>
      </c>
      <c r="I3005" t="s">
        <v>4744</v>
      </c>
      <c r="J3005" t="s">
        <v>5191</v>
      </c>
      <c r="K3005" t="s">
        <v>4038</v>
      </c>
      <c r="L3005">
        <v>5.49</v>
      </c>
      <c r="M3005" s="452">
        <v>45900</v>
      </c>
      <c r="N3005">
        <v>5.76</v>
      </c>
      <c r="O3005">
        <v>5.76</v>
      </c>
      <c r="P3005">
        <v>55.45</v>
      </c>
    </row>
    <row r="3006" spans="1:16" x14ac:dyDescent="0.3">
      <c r="A3006">
        <v>48878</v>
      </c>
      <c r="B3006">
        <v>105</v>
      </c>
      <c r="C3006" t="s">
        <v>557</v>
      </c>
      <c r="D3006" s="452">
        <v>45901</v>
      </c>
      <c r="E3006">
        <v>25748</v>
      </c>
      <c r="F3006" t="s">
        <v>4999</v>
      </c>
      <c r="G3006">
        <v>9068</v>
      </c>
      <c r="H3006">
        <v>11</v>
      </c>
      <c r="I3006" t="s">
        <v>4749</v>
      </c>
      <c r="J3006" t="s">
        <v>5191</v>
      </c>
      <c r="K3006" t="s">
        <v>4038</v>
      </c>
      <c r="L3006">
        <v>0</v>
      </c>
      <c r="M3006" s="452">
        <v>45742</v>
      </c>
      <c r="N3006">
        <v>5.04</v>
      </c>
      <c r="O3006">
        <v>5.04</v>
      </c>
      <c r="P3006">
        <v>55.44</v>
      </c>
    </row>
    <row r="3007" spans="1:16" x14ac:dyDescent="0.3">
      <c r="A3007">
        <v>48856</v>
      </c>
      <c r="B3007">
        <v>105</v>
      </c>
      <c r="C3007" t="s">
        <v>557</v>
      </c>
      <c r="D3007" s="452">
        <v>45901</v>
      </c>
      <c r="E3007">
        <v>19623</v>
      </c>
      <c r="F3007" t="s">
        <v>4764</v>
      </c>
      <c r="G3007">
        <v>2611</v>
      </c>
      <c r="H3007">
        <v>15.3</v>
      </c>
      <c r="I3007" t="s">
        <v>4744</v>
      </c>
      <c r="J3007" t="s">
        <v>5191</v>
      </c>
      <c r="K3007" t="s">
        <v>4038</v>
      </c>
      <c r="L3007">
        <v>3.58</v>
      </c>
      <c r="M3007" s="452">
        <v>45897</v>
      </c>
      <c r="N3007">
        <v>3.5</v>
      </c>
      <c r="O3007">
        <v>3.6</v>
      </c>
      <c r="P3007">
        <v>54.77</v>
      </c>
    </row>
    <row r="3008" spans="1:16" x14ac:dyDescent="0.3">
      <c r="A3008">
        <v>48892</v>
      </c>
      <c r="B3008">
        <v>105</v>
      </c>
      <c r="C3008" t="s">
        <v>557</v>
      </c>
      <c r="D3008" s="452">
        <v>45901</v>
      </c>
      <c r="E3008">
        <v>23236</v>
      </c>
      <c r="F3008" t="s">
        <v>5062</v>
      </c>
      <c r="G3008">
        <v>2620</v>
      </c>
      <c r="H3008">
        <v>9.8000000000000007</v>
      </c>
      <c r="I3008" t="s">
        <v>4744</v>
      </c>
      <c r="J3008" t="s">
        <v>5191</v>
      </c>
      <c r="K3008" t="s">
        <v>4038</v>
      </c>
      <c r="L3008">
        <v>5.56</v>
      </c>
      <c r="M3008" s="452">
        <v>45897</v>
      </c>
      <c r="N3008">
        <v>7.06</v>
      </c>
      <c r="O3008">
        <v>4.5</v>
      </c>
      <c r="P3008">
        <v>54.49</v>
      </c>
    </row>
    <row r="3009" spans="1:16" x14ac:dyDescent="0.3">
      <c r="A3009">
        <v>49112</v>
      </c>
      <c r="B3009">
        <v>105</v>
      </c>
      <c r="C3009" t="s">
        <v>557</v>
      </c>
      <c r="D3009" s="452">
        <v>45901</v>
      </c>
      <c r="E3009">
        <v>26989</v>
      </c>
      <c r="F3009" t="s">
        <v>5479</v>
      </c>
      <c r="G3009">
        <v>7043</v>
      </c>
      <c r="H3009">
        <v>1</v>
      </c>
      <c r="I3009" t="s">
        <v>4805</v>
      </c>
      <c r="J3009" t="s">
        <v>5222</v>
      </c>
      <c r="K3009" t="s">
        <v>4038</v>
      </c>
      <c r="L3009">
        <v>0</v>
      </c>
      <c r="M3009" s="452">
        <v>-693593</v>
      </c>
      <c r="N3009">
        <v>0</v>
      </c>
      <c r="O3009">
        <v>56.07</v>
      </c>
      <c r="P3009">
        <v>52.65</v>
      </c>
    </row>
    <row r="3010" spans="1:16" x14ac:dyDescent="0.3">
      <c r="A3010">
        <v>48927</v>
      </c>
      <c r="B3010">
        <v>105</v>
      </c>
      <c r="C3010" t="s">
        <v>557</v>
      </c>
      <c r="D3010" s="452">
        <v>45901</v>
      </c>
      <c r="E3010">
        <v>20661</v>
      </c>
      <c r="F3010" t="s">
        <v>5012</v>
      </c>
      <c r="G3010">
        <v>2110</v>
      </c>
      <c r="H3010">
        <v>6</v>
      </c>
      <c r="I3010" t="s">
        <v>4736</v>
      </c>
      <c r="J3010" t="s">
        <v>5191</v>
      </c>
      <c r="K3010" t="s">
        <v>4038</v>
      </c>
      <c r="L3010">
        <v>8.77</v>
      </c>
      <c r="M3010" s="452">
        <v>45887</v>
      </c>
      <c r="N3010">
        <v>8.77</v>
      </c>
      <c r="O3010">
        <v>9.2899999999999991</v>
      </c>
      <c r="P3010">
        <v>52.62</v>
      </c>
    </row>
    <row r="3011" spans="1:16" x14ac:dyDescent="0.3">
      <c r="A3011">
        <v>48914</v>
      </c>
      <c r="B3011">
        <v>105</v>
      </c>
      <c r="C3011" t="s">
        <v>557</v>
      </c>
      <c r="D3011" s="452">
        <v>45901</v>
      </c>
      <c r="E3011">
        <v>19502</v>
      </c>
      <c r="F3011" t="s">
        <v>4871</v>
      </c>
      <c r="G3011">
        <v>2708</v>
      </c>
      <c r="H3011">
        <v>6.8</v>
      </c>
      <c r="I3011" t="s">
        <v>4744</v>
      </c>
      <c r="J3011" t="s">
        <v>5191</v>
      </c>
      <c r="K3011" t="s">
        <v>4038</v>
      </c>
      <c r="L3011">
        <v>7.72</v>
      </c>
      <c r="M3011" s="452">
        <v>45897</v>
      </c>
      <c r="N3011">
        <v>6.98</v>
      </c>
      <c r="O3011">
        <v>6.98</v>
      </c>
      <c r="P3011">
        <v>52.5</v>
      </c>
    </row>
    <row r="3012" spans="1:16" x14ac:dyDescent="0.3">
      <c r="A3012">
        <v>48924</v>
      </c>
      <c r="B3012">
        <v>105</v>
      </c>
      <c r="C3012" t="s">
        <v>557</v>
      </c>
      <c r="D3012" s="452">
        <v>45901</v>
      </c>
      <c r="E3012">
        <v>23635</v>
      </c>
      <c r="F3012" t="s">
        <v>4837</v>
      </c>
      <c r="G3012">
        <v>2247</v>
      </c>
      <c r="H3012">
        <v>6</v>
      </c>
      <c r="I3012" t="s">
        <v>4744</v>
      </c>
      <c r="J3012" t="s">
        <v>5191</v>
      </c>
      <c r="K3012" t="s">
        <v>4038</v>
      </c>
      <c r="L3012">
        <v>0</v>
      </c>
      <c r="M3012" s="452">
        <v>45845</v>
      </c>
      <c r="N3012">
        <v>8.7100000000000009</v>
      </c>
      <c r="O3012">
        <v>8.6999999999999993</v>
      </c>
      <c r="P3012">
        <v>52.26</v>
      </c>
    </row>
    <row r="3013" spans="1:16" x14ac:dyDescent="0.3">
      <c r="A3013">
        <v>48974</v>
      </c>
      <c r="B3013">
        <v>105</v>
      </c>
      <c r="C3013" t="s">
        <v>557</v>
      </c>
      <c r="D3013" s="452">
        <v>45901</v>
      </c>
      <c r="E3013">
        <v>26242</v>
      </c>
      <c r="F3013" t="s">
        <v>4957</v>
      </c>
      <c r="G3013">
        <v>6641</v>
      </c>
      <c r="H3013">
        <v>4</v>
      </c>
      <c r="I3013" t="s">
        <v>4736</v>
      </c>
      <c r="J3013" t="s">
        <v>5191</v>
      </c>
      <c r="K3013" t="s">
        <v>4038</v>
      </c>
      <c r="L3013">
        <v>0</v>
      </c>
      <c r="M3013" s="452">
        <v>-693593</v>
      </c>
      <c r="N3013">
        <v>0</v>
      </c>
      <c r="O3013">
        <v>0</v>
      </c>
      <c r="P3013">
        <v>51.96</v>
      </c>
    </row>
    <row r="3014" spans="1:16" x14ac:dyDescent="0.3">
      <c r="A3014">
        <v>49157</v>
      </c>
      <c r="B3014">
        <v>105</v>
      </c>
      <c r="C3014" t="s">
        <v>557</v>
      </c>
      <c r="D3014" s="452">
        <v>45901</v>
      </c>
      <c r="E3014">
        <v>25767</v>
      </c>
      <c r="F3014" t="s">
        <v>5461</v>
      </c>
      <c r="G3014">
        <v>6316</v>
      </c>
      <c r="H3014">
        <v>0.5</v>
      </c>
      <c r="I3014" t="s">
        <v>4744</v>
      </c>
      <c r="J3014" t="s">
        <v>5191</v>
      </c>
      <c r="K3014" t="s">
        <v>4038</v>
      </c>
      <c r="L3014">
        <v>0</v>
      </c>
      <c r="N3014">
        <v>0</v>
      </c>
      <c r="O3014">
        <v>0</v>
      </c>
      <c r="P3014">
        <v>50.83</v>
      </c>
    </row>
    <row r="3015" spans="1:16" x14ac:dyDescent="0.3">
      <c r="A3015">
        <v>48971</v>
      </c>
      <c r="B3015">
        <v>105</v>
      </c>
      <c r="C3015" t="s">
        <v>557</v>
      </c>
      <c r="D3015" s="452">
        <v>45901</v>
      </c>
      <c r="E3015">
        <v>20242</v>
      </c>
      <c r="F3015" t="s">
        <v>4824</v>
      </c>
      <c r="G3015">
        <v>2242</v>
      </c>
      <c r="H3015">
        <v>4</v>
      </c>
      <c r="I3015" t="s">
        <v>4738</v>
      </c>
      <c r="J3015" t="s">
        <v>5191</v>
      </c>
      <c r="K3015" t="s">
        <v>4038</v>
      </c>
      <c r="L3015">
        <v>12.6</v>
      </c>
      <c r="M3015" s="452">
        <v>45895</v>
      </c>
      <c r="N3015">
        <v>12.66</v>
      </c>
      <c r="O3015">
        <v>12.66</v>
      </c>
      <c r="P3015">
        <v>50.4</v>
      </c>
    </row>
    <row r="3016" spans="1:16" x14ac:dyDescent="0.3">
      <c r="A3016">
        <v>49060</v>
      </c>
      <c r="B3016">
        <v>105</v>
      </c>
      <c r="C3016" t="s">
        <v>557</v>
      </c>
      <c r="D3016" s="452">
        <v>45901</v>
      </c>
      <c r="E3016">
        <v>17878</v>
      </c>
      <c r="F3016" t="s">
        <v>4926</v>
      </c>
      <c r="G3016">
        <v>3677</v>
      </c>
      <c r="H3016">
        <v>2</v>
      </c>
      <c r="I3016" t="s">
        <v>4736</v>
      </c>
      <c r="J3016" t="s">
        <v>5222</v>
      </c>
      <c r="K3016" t="s">
        <v>4038</v>
      </c>
      <c r="L3016">
        <v>25.01</v>
      </c>
      <c r="M3016" s="452">
        <v>45895</v>
      </c>
      <c r="N3016">
        <v>23.23</v>
      </c>
      <c r="O3016">
        <v>23.23</v>
      </c>
      <c r="P3016">
        <v>50.02</v>
      </c>
    </row>
    <row r="3017" spans="1:16" x14ac:dyDescent="0.3">
      <c r="A3017">
        <v>49087</v>
      </c>
      <c r="B3017">
        <v>105</v>
      </c>
      <c r="C3017" t="s">
        <v>557</v>
      </c>
      <c r="D3017" s="452">
        <v>45901</v>
      </c>
      <c r="E3017">
        <v>20117</v>
      </c>
      <c r="F3017" t="s">
        <v>5444</v>
      </c>
      <c r="G3017">
        <v>2291</v>
      </c>
      <c r="H3017">
        <v>1</v>
      </c>
      <c r="I3017" t="s">
        <v>4736</v>
      </c>
      <c r="J3017" t="s">
        <v>5191</v>
      </c>
      <c r="K3017" t="s">
        <v>4038</v>
      </c>
      <c r="L3017">
        <v>0</v>
      </c>
      <c r="M3017" s="452">
        <v>-693593</v>
      </c>
      <c r="N3017">
        <v>0</v>
      </c>
      <c r="O3017">
        <v>37.86</v>
      </c>
      <c r="P3017">
        <v>49.9</v>
      </c>
    </row>
    <row r="3018" spans="1:16" x14ac:dyDescent="0.3">
      <c r="A3018">
        <v>49086</v>
      </c>
      <c r="B3018">
        <v>105</v>
      </c>
      <c r="C3018" t="s">
        <v>557</v>
      </c>
      <c r="D3018" s="452">
        <v>45901</v>
      </c>
      <c r="E3018">
        <v>20009</v>
      </c>
      <c r="F3018" t="s">
        <v>5480</v>
      </c>
      <c r="G3018">
        <v>2343</v>
      </c>
      <c r="H3018">
        <v>1</v>
      </c>
      <c r="I3018" t="s">
        <v>4736</v>
      </c>
      <c r="J3018" t="s">
        <v>5191</v>
      </c>
      <c r="K3018" t="s">
        <v>4038</v>
      </c>
      <c r="L3018">
        <v>48.48</v>
      </c>
      <c r="M3018" s="452">
        <v>45894</v>
      </c>
      <c r="N3018">
        <v>49.5</v>
      </c>
      <c r="O3018">
        <v>49.5</v>
      </c>
      <c r="P3018">
        <v>48.48</v>
      </c>
    </row>
    <row r="3019" spans="1:16" x14ac:dyDescent="0.3">
      <c r="A3019">
        <v>48907</v>
      </c>
      <c r="B3019">
        <v>105</v>
      </c>
      <c r="C3019" t="s">
        <v>557</v>
      </c>
      <c r="D3019" s="452">
        <v>45901</v>
      </c>
      <c r="E3019">
        <v>25752</v>
      </c>
      <c r="F3019" t="s">
        <v>5000</v>
      </c>
      <c r="G3019">
        <v>6303</v>
      </c>
      <c r="H3019">
        <v>7</v>
      </c>
      <c r="I3019" t="s">
        <v>4749</v>
      </c>
      <c r="J3019" t="s">
        <v>5191</v>
      </c>
      <c r="K3019" t="s">
        <v>4038</v>
      </c>
      <c r="L3019">
        <v>0</v>
      </c>
      <c r="M3019" s="452">
        <v>45742</v>
      </c>
      <c r="N3019">
        <v>6.87</v>
      </c>
      <c r="O3019">
        <v>6.87</v>
      </c>
      <c r="P3019">
        <v>48.09</v>
      </c>
    </row>
    <row r="3020" spans="1:16" x14ac:dyDescent="0.3">
      <c r="A3020">
        <v>48982</v>
      </c>
      <c r="B3020">
        <v>105</v>
      </c>
      <c r="C3020" t="s">
        <v>557</v>
      </c>
      <c r="D3020" s="452">
        <v>45901</v>
      </c>
      <c r="E3020">
        <v>23502</v>
      </c>
      <c r="F3020" t="s">
        <v>4930</v>
      </c>
      <c r="G3020">
        <v>2367</v>
      </c>
      <c r="H3020">
        <v>3.66</v>
      </c>
      <c r="I3020" t="s">
        <v>4736</v>
      </c>
      <c r="J3020" t="s">
        <v>5191</v>
      </c>
      <c r="K3020" t="s">
        <v>4038</v>
      </c>
      <c r="L3020">
        <v>12.95</v>
      </c>
      <c r="M3020" s="452">
        <v>45887</v>
      </c>
      <c r="N3020">
        <v>12.92</v>
      </c>
      <c r="O3020">
        <v>13.4</v>
      </c>
      <c r="P3020">
        <v>47.4</v>
      </c>
    </row>
    <row r="3021" spans="1:16" x14ac:dyDescent="0.3">
      <c r="A3021">
        <v>48992</v>
      </c>
      <c r="B3021">
        <v>105</v>
      </c>
      <c r="C3021" t="s">
        <v>557</v>
      </c>
      <c r="D3021" s="452">
        <v>45901</v>
      </c>
      <c r="E3021">
        <v>21062</v>
      </c>
      <c r="F3021" t="s">
        <v>5442</v>
      </c>
      <c r="G3021">
        <v>1997</v>
      </c>
      <c r="H3021">
        <v>3</v>
      </c>
      <c r="I3021" t="s">
        <v>4805</v>
      </c>
      <c r="J3021" t="s">
        <v>5191</v>
      </c>
      <c r="K3021" t="s">
        <v>4038</v>
      </c>
      <c r="L3021">
        <v>15.6</v>
      </c>
      <c r="M3021" s="452">
        <v>45887</v>
      </c>
      <c r="N3021">
        <v>15.6</v>
      </c>
      <c r="O3021">
        <v>15.58</v>
      </c>
      <c r="P3021">
        <v>46.8</v>
      </c>
    </row>
    <row r="3022" spans="1:16" x14ac:dyDescent="0.3">
      <c r="A3022">
        <v>48986</v>
      </c>
      <c r="B3022">
        <v>105</v>
      </c>
      <c r="C3022" t="s">
        <v>557</v>
      </c>
      <c r="D3022" s="452">
        <v>45901</v>
      </c>
      <c r="E3022">
        <v>20358</v>
      </c>
      <c r="F3022" t="s">
        <v>4911</v>
      </c>
      <c r="G3022">
        <v>2200</v>
      </c>
      <c r="H3022">
        <v>3.27</v>
      </c>
      <c r="I3022" t="s">
        <v>4738</v>
      </c>
      <c r="J3022" t="s">
        <v>5191</v>
      </c>
      <c r="K3022" t="s">
        <v>4038</v>
      </c>
      <c r="L3022">
        <v>14.29</v>
      </c>
      <c r="M3022" s="452">
        <v>45894</v>
      </c>
      <c r="N3022">
        <v>14.3</v>
      </c>
      <c r="O3022">
        <v>14.31</v>
      </c>
      <c r="P3022">
        <v>46.73</v>
      </c>
    </row>
    <row r="3023" spans="1:16" x14ac:dyDescent="0.3">
      <c r="A3023">
        <v>48980</v>
      </c>
      <c r="B3023">
        <v>105</v>
      </c>
      <c r="C3023" t="s">
        <v>557</v>
      </c>
      <c r="D3023" s="452">
        <v>45901</v>
      </c>
      <c r="E3023">
        <v>23238</v>
      </c>
      <c r="F3023" t="s">
        <v>4934</v>
      </c>
      <c r="G3023">
        <v>2618</v>
      </c>
      <c r="H3023">
        <v>3.9</v>
      </c>
      <c r="I3023" t="s">
        <v>4744</v>
      </c>
      <c r="J3023" t="s">
        <v>5191</v>
      </c>
      <c r="K3023" t="s">
        <v>4038</v>
      </c>
      <c r="L3023">
        <v>11.73</v>
      </c>
      <c r="M3023" s="452">
        <v>45900</v>
      </c>
      <c r="N3023">
        <v>12</v>
      </c>
      <c r="O3023">
        <v>12</v>
      </c>
      <c r="P3023">
        <v>45.75</v>
      </c>
    </row>
    <row r="3024" spans="1:16" x14ac:dyDescent="0.3">
      <c r="A3024">
        <v>49019</v>
      </c>
      <c r="B3024">
        <v>105</v>
      </c>
      <c r="C3024" t="s">
        <v>557</v>
      </c>
      <c r="D3024" s="452">
        <v>45901</v>
      </c>
      <c r="E3024">
        <v>24110</v>
      </c>
      <c r="F3024" t="s">
        <v>5450</v>
      </c>
      <c r="G3024">
        <v>2322</v>
      </c>
      <c r="H3024">
        <v>2.64</v>
      </c>
      <c r="I3024" t="s">
        <v>4744</v>
      </c>
      <c r="J3024" t="s">
        <v>5191</v>
      </c>
      <c r="K3024" t="s">
        <v>4038</v>
      </c>
      <c r="L3024">
        <v>0</v>
      </c>
      <c r="M3024" s="452">
        <v>45478</v>
      </c>
      <c r="N3024">
        <v>17.2</v>
      </c>
      <c r="O3024">
        <v>9.25</v>
      </c>
      <c r="P3024">
        <v>45.41</v>
      </c>
    </row>
    <row r="3025" spans="1:16" x14ac:dyDescent="0.3">
      <c r="A3025">
        <v>49047</v>
      </c>
      <c r="B3025">
        <v>105</v>
      </c>
      <c r="C3025" t="s">
        <v>557</v>
      </c>
      <c r="D3025" s="452">
        <v>45901</v>
      </c>
      <c r="E3025">
        <v>23234</v>
      </c>
      <c r="F3025" t="s">
        <v>4986</v>
      </c>
      <c r="G3025">
        <v>2622</v>
      </c>
      <c r="H3025">
        <v>2</v>
      </c>
      <c r="I3025" t="s">
        <v>4744</v>
      </c>
      <c r="J3025" t="s">
        <v>5191</v>
      </c>
      <c r="K3025" t="s">
        <v>4038</v>
      </c>
      <c r="L3025">
        <v>22.5</v>
      </c>
      <c r="M3025" s="452">
        <v>45897</v>
      </c>
      <c r="N3025">
        <v>23</v>
      </c>
      <c r="O3025">
        <v>23</v>
      </c>
      <c r="P3025">
        <v>45</v>
      </c>
    </row>
    <row r="3026" spans="1:16" x14ac:dyDescent="0.3">
      <c r="A3026">
        <v>49123</v>
      </c>
      <c r="B3026">
        <v>105</v>
      </c>
      <c r="C3026" t="s">
        <v>557</v>
      </c>
      <c r="D3026" s="452">
        <v>45901</v>
      </c>
      <c r="E3026">
        <v>24046</v>
      </c>
      <c r="F3026" t="s">
        <v>5454</v>
      </c>
      <c r="G3026">
        <v>2315</v>
      </c>
      <c r="H3026">
        <v>0.6</v>
      </c>
      <c r="I3026" t="s">
        <v>4744</v>
      </c>
      <c r="J3026" t="s">
        <v>5191</v>
      </c>
      <c r="K3026" t="s">
        <v>4038</v>
      </c>
      <c r="L3026">
        <v>0</v>
      </c>
      <c r="M3026" s="452">
        <v>-693593</v>
      </c>
      <c r="N3026">
        <v>0</v>
      </c>
      <c r="O3026">
        <v>50.9</v>
      </c>
      <c r="P3026">
        <v>45</v>
      </c>
    </row>
    <row r="3027" spans="1:16" x14ac:dyDescent="0.3">
      <c r="A3027">
        <v>49073</v>
      </c>
      <c r="B3027">
        <v>105</v>
      </c>
      <c r="C3027" t="s">
        <v>557</v>
      </c>
      <c r="D3027" s="452">
        <v>45901</v>
      </c>
      <c r="E3027">
        <v>20185</v>
      </c>
      <c r="F3027" t="s">
        <v>5054</v>
      </c>
      <c r="G3027">
        <v>2259</v>
      </c>
      <c r="H3027">
        <v>1.35</v>
      </c>
      <c r="I3027" t="s">
        <v>4744</v>
      </c>
      <c r="J3027" t="s">
        <v>5191</v>
      </c>
      <c r="K3027" t="s">
        <v>4038</v>
      </c>
      <c r="L3027">
        <v>0</v>
      </c>
      <c r="M3027" s="452">
        <v>45741</v>
      </c>
      <c r="N3027">
        <v>32.9</v>
      </c>
      <c r="O3027">
        <v>28.9</v>
      </c>
      <c r="P3027">
        <v>44.42</v>
      </c>
    </row>
    <row r="3028" spans="1:16" x14ac:dyDescent="0.3">
      <c r="A3028">
        <v>49030</v>
      </c>
      <c r="B3028">
        <v>105</v>
      </c>
      <c r="C3028" t="s">
        <v>557</v>
      </c>
      <c r="D3028" s="452">
        <v>45901</v>
      </c>
      <c r="E3028">
        <v>24322</v>
      </c>
      <c r="F3028" t="s">
        <v>5064</v>
      </c>
      <c r="G3028">
        <v>2342</v>
      </c>
      <c r="H3028">
        <v>2.11</v>
      </c>
      <c r="I3028" t="s">
        <v>4744</v>
      </c>
      <c r="J3028" t="s">
        <v>5191</v>
      </c>
      <c r="K3028" t="s">
        <v>4038</v>
      </c>
      <c r="L3028">
        <v>21</v>
      </c>
      <c r="M3028" s="452">
        <v>45880</v>
      </c>
      <c r="N3028">
        <v>21</v>
      </c>
      <c r="O3028">
        <v>22</v>
      </c>
      <c r="P3028">
        <v>44.31</v>
      </c>
    </row>
    <row r="3029" spans="1:16" x14ac:dyDescent="0.3">
      <c r="A3029">
        <v>49036</v>
      </c>
      <c r="B3029">
        <v>105</v>
      </c>
      <c r="C3029" t="s">
        <v>557</v>
      </c>
      <c r="D3029" s="452">
        <v>45901</v>
      </c>
      <c r="E3029">
        <v>21060</v>
      </c>
      <c r="F3029" t="s">
        <v>4946</v>
      </c>
      <c r="G3029">
        <v>1998</v>
      </c>
      <c r="H3029">
        <v>2</v>
      </c>
      <c r="I3029" t="s">
        <v>4736</v>
      </c>
      <c r="J3029" t="s">
        <v>5191</v>
      </c>
      <c r="K3029" t="s">
        <v>4038</v>
      </c>
      <c r="L3029">
        <v>0</v>
      </c>
      <c r="M3029" s="452">
        <v>45819</v>
      </c>
      <c r="N3029">
        <v>21.9</v>
      </c>
      <c r="O3029">
        <v>21.99</v>
      </c>
      <c r="P3029">
        <v>43.8</v>
      </c>
    </row>
    <row r="3030" spans="1:16" x14ac:dyDescent="0.3">
      <c r="A3030">
        <v>49114</v>
      </c>
      <c r="B3030">
        <v>105</v>
      </c>
      <c r="C3030" t="s">
        <v>557</v>
      </c>
      <c r="D3030" s="452">
        <v>45901</v>
      </c>
      <c r="E3030">
        <v>18085</v>
      </c>
      <c r="F3030" t="s">
        <v>4973</v>
      </c>
      <c r="G3030">
        <v>3524</v>
      </c>
      <c r="H3030">
        <v>0.91</v>
      </c>
      <c r="I3030" t="s">
        <v>4805</v>
      </c>
      <c r="J3030" t="s">
        <v>5222</v>
      </c>
      <c r="K3030" t="s">
        <v>4038</v>
      </c>
      <c r="L3030">
        <v>47.6</v>
      </c>
      <c r="M3030" s="452">
        <v>45875</v>
      </c>
      <c r="N3030">
        <v>47.6</v>
      </c>
      <c r="O3030">
        <v>47.6</v>
      </c>
      <c r="P3030">
        <v>43.32</v>
      </c>
    </row>
    <row r="3031" spans="1:16" x14ac:dyDescent="0.3">
      <c r="A3031">
        <v>49026</v>
      </c>
      <c r="B3031">
        <v>105</v>
      </c>
      <c r="C3031" t="s">
        <v>557</v>
      </c>
      <c r="D3031" s="452">
        <v>45901</v>
      </c>
      <c r="E3031">
        <v>24444</v>
      </c>
      <c r="F3031" t="s">
        <v>4992</v>
      </c>
      <c r="G3031">
        <v>2784</v>
      </c>
      <c r="H3031">
        <v>2.25</v>
      </c>
      <c r="I3031" t="s">
        <v>4744</v>
      </c>
      <c r="J3031" t="s">
        <v>5191</v>
      </c>
      <c r="K3031" t="s">
        <v>4038</v>
      </c>
      <c r="L3031">
        <v>0</v>
      </c>
      <c r="M3031" s="452">
        <v>45392</v>
      </c>
      <c r="N3031">
        <v>18.95</v>
      </c>
      <c r="O3031">
        <v>22</v>
      </c>
      <c r="P3031">
        <v>42.64</v>
      </c>
    </row>
    <row r="3032" spans="1:16" x14ac:dyDescent="0.3">
      <c r="A3032">
        <v>48834</v>
      </c>
      <c r="B3032">
        <v>105</v>
      </c>
      <c r="C3032" t="s">
        <v>557</v>
      </c>
      <c r="D3032" s="452">
        <v>45901</v>
      </c>
      <c r="E3032">
        <v>24509</v>
      </c>
      <c r="F3032" t="s">
        <v>4788</v>
      </c>
      <c r="G3032">
        <v>2607</v>
      </c>
      <c r="H3032">
        <v>26.65</v>
      </c>
      <c r="I3032" t="s">
        <v>4744</v>
      </c>
      <c r="J3032" t="s">
        <v>5191</v>
      </c>
      <c r="K3032" t="s">
        <v>4038</v>
      </c>
      <c r="L3032">
        <v>1.59</v>
      </c>
      <c r="M3032" s="452">
        <v>45894</v>
      </c>
      <c r="N3032">
        <v>1.52</v>
      </c>
      <c r="O3032">
        <v>1.48</v>
      </c>
      <c r="P3032">
        <v>42.37</v>
      </c>
    </row>
    <row r="3033" spans="1:16" x14ac:dyDescent="0.3">
      <c r="A3033">
        <v>48946</v>
      </c>
      <c r="B3033">
        <v>105</v>
      </c>
      <c r="C3033" t="s">
        <v>557</v>
      </c>
      <c r="D3033" s="452">
        <v>45901</v>
      </c>
      <c r="E3033">
        <v>19634</v>
      </c>
      <c r="F3033" t="s">
        <v>4792</v>
      </c>
      <c r="G3033">
        <v>2602</v>
      </c>
      <c r="H3033">
        <v>5.23</v>
      </c>
      <c r="I3033" t="s">
        <v>4744</v>
      </c>
      <c r="J3033" t="s">
        <v>5191</v>
      </c>
      <c r="K3033" t="s">
        <v>4038</v>
      </c>
      <c r="L3033">
        <v>8.1</v>
      </c>
      <c r="M3033" s="452">
        <v>45897</v>
      </c>
      <c r="N3033">
        <v>7.82</v>
      </c>
      <c r="O3033">
        <v>7.82</v>
      </c>
      <c r="P3033">
        <v>42.36</v>
      </c>
    </row>
    <row r="3034" spans="1:16" x14ac:dyDescent="0.3">
      <c r="A3034">
        <v>48918</v>
      </c>
      <c r="B3034">
        <v>105</v>
      </c>
      <c r="C3034" t="s">
        <v>557</v>
      </c>
      <c r="D3034" s="452">
        <v>45901</v>
      </c>
      <c r="E3034">
        <v>19532</v>
      </c>
      <c r="F3034" t="s">
        <v>4753</v>
      </c>
      <c r="G3034">
        <v>2683</v>
      </c>
      <c r="H3034">
        <v>6.57</v>
      </c>
      <c r="I3034" t="s">
        <v>4744</v>
      </c>
      <c r="J3034" t="s">
        <v>5191</v>
      </c>
      <c r="K3034" t="s">
        <v>4038</v>
      </c>
      <c r="L3034">
        <v>6.44</v>
      </c>
      <c r="M3034" s="452">
        <v>45897</v>
      </c>
      <c r="N3034">
        <v>4.3600000000000003</v>
      </c>
      <c r="O3034">
        <v>4.3600000000000003</v>
      </c>
      <c r="P3034">
        <v>42.31</v>
      </c>
    </row>
    <row r="3035" spans="1:16" x14ac:dyDescent="0.3">
      <c r="A3035">
        <v>48987</v>
      </c>
      <c r="B3035">
        <v>105</v>
      </c>
      <c r="C3035" t="s">
        <v>557</v>
      </c>
      <c r="D3035" s="452">
        <v>45901</v>
      </c>
      <c r="E3035">
        <v>19480</v>
      </c>
      <c r="F3035" t="s">
        <v>5119</v>
      </c>
      <c r="G3035">
        <v>2726</v>
      </c>
      <c r="H3035">
        <v>3.1</v>
      </c>
      <c r="I3035" t="s">
        <v>4744</v>
      </c>
      <c r="J3035" t="s">
        <v>5191</v>
      </c>
      <c r="K3035" t="s">
        <v>4038</v>
      </c>
      <c r="L3035">
        <v>13.57</v>
      </c>
      <c r="M3035" s="452">
        <v>45897</v>
      </c>
      <c r="N3035">
        <v>13.4</v>
      </c>
      <c r="O3035">
        <v>12</v>
      </c>
      <c r="P3035">
        <v>42.07</v>
      </c>
    </row>
    <row r="3036" spans="1:16" x14ac:dyDescent="0.3">
      <c r="A3036">
        <v>49161</v>
      </c>
      <c r="B3036">
        <v>105</v>
      </c>
      <c r="C3036" t="s">
        <v>557</v>
      </c>
      <c r="D3036" s="452">
        <v>45901</v>
      </c>
      <c r="E3036">
        <v>20589</v>
      </c>
      <c r="F3036" t="s">
        <v>5334</v>
      </c>
      <c r="G3036">
        <v>2121</v>
      </c>
      <c r="H3036">
        <v>1.45</v>
      </c>
      <c r="I3036" t="s">
        <v>4884</v>
      </c>
      <c r="J3036" t="s">
        <v>5191</v>
      </c>
      <c r="K3036" t="s">
        <v>4038</v>
      </c>
      <c r="L3036">
        <v>0</v>
      </c>
      <c r="M3036" s="452">
        <v>-693593</v>
      </c>
      <c r="N3036">
        <v>0</v>
      </c>
      <c r="O3036">
        <v>29</v>
      </c>
      <c r="P3036">
        <v>42.05</v>
      </c>
    </row>
    <row r="3037" spans="1:16" x14ac:dyDescent="0.3">
      <c r="A3037">
        <v>49048</v>
      </c>
      <c r="B3037">
        <v>105</v>
      </c>
      <c r="C3037" t="s">
        <v>557</v>
      </c>
      <c r="D3037" s="452">
        <v>45901</v>
      </c>
      <c r="E3037">
        <v>24522</v>
      </c>
      <c r="F3037" t="s">
        <v>5072</v>
      </c>
      <c r="G3037">
        <v>5651</v>
      </c>
      <c r="H3037">
        <v>2</v>
      </c>
      <c r="I3037" t="s">
        <v>4744</v>
      </c>
      <c r="J3037" t="s">
        <v>5191</v>
      </c>
      <c r="K3037" t="s">
        <v>4038</v>
      </c>
      <c r="L3037">
        <v>21</v>
      </c>
      <c r="M3037" s="452">
        <v>45887</v>
      </c>
      <c r="N3037">
        <v>21</v>
      </c>
      <c r="O3037">
        <v>21</v>
      </c>
      <c r="P3037">
        <v>42</v>
      </c>
    </row>
    <row r="3038" spans="1:16" x14ac:dyDescent="0.3">
      <c r="A3038">
        <v>49039</v>
      </c>
      <c r="B3038">
        <v>105</v>
      </c>
      <c r="C3038" t="s">
        <v>557</v>
      </c>
      <c r="D3038" s="452">
        <v>45901</v>
      </c>
      <c r="E3038">
        <v>20234</v>
      </c>
      <c r="F3038" t="s">
        <v>5009</v>
      </c>
      <c r="G3038">
        <v>2245</v>
      </c>
      <c r="H3038">
        <v>2</v>
      </c>
      <c r="I3038" t="s">
        <v>4744</v>
      </c>
      <c r="J3038" t="s">
        <v>5191</v>
      </c>
      <c r="K3038" t="s">
        <v>4038</v>
      </c>
      <c r="L3038">
        <v>20.9</v>
      </c>
      <c r="M3038" s="452">
        <v>45887</v>
      </c>
      <c r="N3038">
        <v>20.9</v>
      </c>
      <c r="O3038">
        <v>20.9</v>
      </c>
      <c r="P3038">
        <v>41.8</v>
      </c>
    </row>
    <row r="3039" spans="1:16" x14ac:dyDescent="0.3">
      <c r="A3039">
        <v>49005</v>
      </c>
      <c r="B3039">
        <v>105</v>
      </c>
      <c r="C3039" t="s">
        <v>557</v>
      </c>
      <c r="D3039" s="452">
        <v>45901</v>
      </c>
      <c r="E3039">
        <v>20955</v>
      </c>
      <c r="F3039" t="s">
        <v>4959</v>
      </c>
      <c r="G3039">
        <v>2019</v>
      </c>
      <c r="H3039">
        <v>3</v>
      </c>
      <c r="I3039" t="s">
        <v>4805</v>
      </c>
      <c r="J3039" t="s">
        <v>5191</v>
      </c>
      <c r="K3039" t="s">
        <v>4038</v>
      </c>
      <c r="L3039">
        <v>13.83</v>
      </c>
      <c r="M3039" s="452">
        <v>45888</v>
      </c>
      <c r="N3039">
        <v>13.95</v>
      </c>
      <c r="O3039">
        <v>13.6</v>
      </c>
      <c r="P3039">
        <v>41.49</v>
      </c>
    </row>
    <row r="3040" spans="1:16" x14ac:dyDescent="0.3">
      <c r="A3040">
        <v>48919</v>
      </c>
      <c r="B3040">
        <v>105</v>
      </c>
      <c r="C3040" t="s">
        <v>557</v>
      </c>
      <c r="D3040" s="452">
        <v>45901</v>
      </c>
      <c r="E3040">
        <v>19589</v>
      </c>
      <c r="F3040" t="s">
        <v>4983</v>
      </c>
      <c r="G3040">
        <v>2637</v>
      </c>
      <c r="H3040">
        <v>6.33</v>
      </c>
      <c r="I3040" t="s">
        <v>4744</v>
      </c>
      <c r="J3040" t="s">
        <v>5191</v>
      </c>
      <c r="K3040" t="s">
        <v>4038</v>
      </c>
      <c r="L3040">
        <v>6.5</v>
      </c>
      <c r="M3040" s="452">
        <v>45897</v>
      </c>
      <c r="N3040">
        <v>5.03</v>
      </c>
      <c r="O3040">
        <v>5.03</v>
      </c>
      <c r="P3040">
        <v>41.14</v>
      </c>
    </row>
    <row r="3041" spans="1:16" x14ac:dyDescent="0.3">
      <c r="A3041">
        <v>49094</v>
      </c>
      <c r="B3041">
        <v>105</v>
      </c>
      <c r="C3041" t="s">
        <v>557</v>
      </c>
      <c r="D3041" s="452">
        <v>45901</v>
      </c>
      <c r="E3041">
        <v>18423</v>
      </c>
      <c r="F3041" t="s">
        <v>4987</v>
      </c>
      <c r="G3041">
        <v>3220</v>
      </c>
      <c r="H3041">
        <v>1</v>
      </c>
      <c r="I3041" t="s">
        <v>4805</v>
      </c>
      <c r="J3041" t="s">
        <v>5222</v>
      </c>
      <c r="K3041" t="s">
        <v>4038</v>
      </c>
      <c r="L3041">
        <v>40.229999999999997</v>
      </c>
      <c r="M3041" s="452">
        <v>45888</v>
      </c>
      <c r="N3041">
        <v>40.229999999999997</v>
      </c>
      <c r="O3041">
        <v>40.229999999999997</v>
      </c>
      <c r="P3041">
        <v>40.229999999999997</v>
      </c>
    </row>
    <row r="3042" spans="1:16" x14ac:dyDescent="0.3">
      <c r="A3042">
        <v>48963</v>
      </c>
      <c r="B3042">
        <v>105</v>
      </c>
      <c r="C3042" t="s">
        <v>557</v>
      </c>
      <c r="D3042" s="452">
        <v>45901</v>
      </c>
      <c r="E3042">
        <v>23390</v>
      </c>
      <c r="F3042" t="s">
        <v>4873</v>
      </c>
      <c r="G3042">
        <v>2474</v>
      </c>
      <c r="H3042">
        <v>4.75</v>
      </c>
      <c r="I3042" t="s">
        <v>4744</v>
      </c>
      <c r="J3042" t="s">
        <v>5191</v>
      </c>
      <c r="K3042" t="s">
        <v>4038</v>
      </c>
      <c r="L3042">
        <v>8.3000000000000007</v>
      </c>
      <c r="M3042" s="452">
        <v>45897</v>
      </c>
      <c r="N3042">
        <v>9.14</v>
      </c>
      <c r="O3042">
        <v>7.26</v>
      </c>
      <c r="P3042">
        <v>39.43</v>
      </c>
    </row>
    <row r="3043" spans="1:16" x14ac:dyDescent="0.3">
      <c r="A3043">
        <v>48902</v>
      </c>
      <c r="B3043">
        <v>105</v>
      </c>
      <c r="C3043" t="s">
        <v>557</v>
      </c>
      <c r="D3043" s="452">
        <v>45901</v>
      </c>
      <c r="E3043">
        <v>18745</v>
      </c>
      <c r="F3043" t="s">
        <v>4892</v>
      </c>
      <c r="G3043">
        <v>3014</v>
      </c>
      <c r="H3043">
        <v>8</v>
      </c>
      <c r="I3043" t="s">
        <v>4736</v>
      </c>
      <c r="J3043" t="s">
        <v>5191</v>
      </c>
      <c r="K3043" t="s">
        <v>4038</v>
      </c>
      <c r="L3043">
        <v>4.9000000000000004</v>
      </c>
      <c r="M3043" s="452">
        <v>45888</v>
      </c>
      <c r="N3043">
        <v>4.9000000000000004</v>
      </c>
      <c r="O3043">
        <v>4.9000000000000004</v>
      </c>
      <c r="P3043">
        <v>39.200000000000003</v>
      </c>
    </row>
    <row r="3044" spans="1:16" x14ac:dyDescent="0.3">
      <c r="A3044">
        <v>49102</v>
      </c>
      <c r="B3044">
        <v>105</v>
      </c>
      <c r="C3044" t="s">
        <v>557</v>
      </c>
      <c r="D3044" s="452">
        <v>45901</v>
      </c>
      <c r="E3044">
        <v>18273</v>
      </c>
      <c r="F3044" t="s">
        <v>5058</v>
      </c>
      <c r="G3044">
        <v>3357</v>
      </c>
      <c r="H3044">
        <v>1</v>
      </c>
      <c r="I3044" t="s">
        <v>4805</v>
      </c>
      <c r="J3044" t="s">
        <v>5222</v>
      </c>
      <c r="K3044" t="s">
        <v>4038</v>
      </c>
      <c r="L3044">
        <v>0</v>
      </c>
      <c r="M3044" s="452">
        <v>-693593</v>
      </c>
      <c r="N3044">
        <v>0</v>
      </c>
      <c r="O3044">
        <v>45.99</v>
      </c>
      <c r="P3044">
        <v>39.18</v>
      </c>
    </row>
    <row r="3045" spans="1:16" x14ac:dyDescent="0.3">
      <c r="A3045">
        <v>48949</v>
      </c>
      <c r="B3045">
        <v>105</v>
      </c>
      <c r="C3045" t="s">
        <v>557</v>
      </c>
      <c r="D3045" s="452">
        <v>45901</v>
      </c>
      <c r="E3045">
        <v>25760</v>
      </c>
      <c r="F3045" t="s">
        <v>4787</v>
      </c>
      <c r="G3045">
        <v>6311</v>
      </c>
      <c r="H3045">
        <v>5</v>
      </c>
      <c r="I3045" t="s">
        <v>4736</v>
      </c>
      <c r="J3045" t="s">
        <v>5191</v>
      </c>
      <c r="K3045" t="s">
        <v>4038</v>
      </c>
      <c r="L3045">
        <v>0</v>
      </c>
      <c r="M3045" s="452">
        <v>45742</v>
      </c>
      <c r="N3045">
        <v>7.73</v>
      </c>
      <c r="O3045">
        <v>7.73</v>
      </c>
      <c r="P3045">
        <v>38.65</v>
      </c>
    </row>
    <row r="3046" spans="1:16" x14ac:dyDescent="0.3">
      <c r="A3046">
        <v>48950</v>
      </c>
      <c r="B3046">
        <v>105</v>
      </c>
      <c r="C3046" t="s">
        <v>557</v>
      </c>
      <c r="D3046" s="452">
        <v>45901</v>
      </c>
      <c r="E3046">
        <v>25755</v>
      </c>
      <c r="F3046" t="s">
        <v>4821</v>
      </c>
      <c r="G3046">
        <v>9071</v>
      </c>
      <c r="H3046">
        <v>5</v>
      </c>
      <c r="I3046" t="s">
        <v>4749</v>
      </c>
      <c r="J3046" t="s">
        <v>5191</v>
      </c>
      <c r="K3046" t="s">
        <v>4038</v>
      </c>
      <c r="L3046">
        <v>0</v>
      </c>
      <c r="M3046" s="452">
        <v>45742</v>
      </c>
      <c r="N3046">
        <v>7.73</v>
      </c>
      <c r="O3046">
        <v>7.73</v>
      </c>
      <c r="P3046">
        <v>38.65</v>
      </c>
    </row>
    <row r="3047" spans="1:16" x14ac:dyDescent="0.3">
      <c r="A3047">
        <v>49115</v>
      </c>
      <c r="B3047">
        <v>105</v>
      </c>
      <c r="C3047" t="s">
        <v>557</v>
      </c>
      <c r="D3047" s="452">
        <v>45901</v>
      </c>
      <c r="E3047">
        <v>18073</v>
      </c>
      <c r="F3047" t="s">
        <v>4974</v>
      </c>
      <c r="G3047">
        <v>3536</v>
      </c>
      <c r="H3047">
        <v>0.81</v>
      </c>
      <c r="I3047" t="s">
        <v>4805</v>
      </c>
      <c r="J3047" t="s">
        <v>5222</v>
      </c>
      <c r="K3047" t="s">
        <v>4038</v>
      </c>
      <c r="L3047">
        <v>47.6</v>
      </c>
      <c r="M3047" s="452">
        <v>45875</v>
      </c>
      <c r="N3047">
        <v>47.6</v>
      </c>
      <c r="O3047">
        <v>47.6</v>
      </c>
      <c r="P3047">
        <v>38.56</v>
      </c>
    </row>
    <row r="3048" spans="1:16" x14ac:dyDescent="0.3">
      <c r="A3048">
        <v>48956</v>
      </c>
      <c r="B3048">
        <v>105</v>
      </c>
      <c r="C3048" t="s">
        <v>557</v>
      </c>
      <c r="D3048" s="452">
        <v>45901</v>
      </c>
      <c r="E3048">
        <v>19415</v>
      </c>
      <c r="F3048" t="s">
        <v>4919</v>
      </c>
      <c r="G3048">
        <v>2759</v>
      </c>
      <c r="H3048">
        <v>5</v>
      </c>
      <c r="I3048" t="s">
        <v>4736</v>
      </c>
      <c r="J3048" t="s">
        <v>5191</v>
      </c>
      <c r="K3048" t="s">
        <v>4038</v>
      </c>
      <c r="L3048">
        <v>7.67</v>
      </c>
      <c r="M3048" s="452">
        <v>45895</v>
      </c>
      <c r="N3048">
        <v>7.65</v>
      </c>
      <c r="O3048">
        <v>7.65</v>
      </c>
      <c r="P3048">
        <v>38.35</v>
      </c>
    </row>
    <row r="3049" spans="1:16" x14ac:dyDescent="0.3">
      <c r="A3049">
        <v>48967</v>
      </c>
      <c r="B3049">
        <v>105</v>
      </c>
      <c r="C3049" t="s">
        <v>557</v>
      </c>
      <c r="D3049" s="452">
        <v>45901</v>
      </c>
      <c r="E3049">
        <v>23554</v>
      </c>
      <c r="F3049" t="s">
        <v>4931</v>
      </c>
      <c r="G3049">
        <v>2316</v>
      </c>
      <c r="H3049">
        <v>4.34</v>
      </c>
      <c r="I3049" t="s">
        <v>4744</v>
      </c>
      <c r="J3049" t="s">
        <v>5191</v>
      </c>
      <c r="K3049" t="s">
        <v>4038</v>
      </c>
      <c r="L3049">
        <v>8.5</v>
      </c>
      <c r="M3049" s="452">
        <v>45887</v>
      </c>
      <c r="N3049">
        <v>8.5</v>
      </c>
      <c r="O3049">
        <v>8.5</v>
      </c>
      <c r="P3049">
        <v>36.89</v>
      </c>
    </row>
    <row r="3050" spans="1:16" x14ac:dyDescent="0.3">
      <c r="A3050">
        <v>49098</v>
      </c>
      <c r="B3050">
        <v>105</v>
      </c>
      <c r="C3050" t="s">
        <v>557</v>
      </c>
      <c r="D3050" s="452">
        <v>45901</v>
      </c>
      <c r="E3050">
        <v>18317</v>
      </c>
      <c r="F3050" t="s">
        <v>5056</v>
      </c>
      <c r="G3050">
        <v>3316</v>
      </c>
      <c r="H3050">
        <v>1</v>
      </c>
      <c r="I3050" t="s">
        <v>4805</v>
      </c>
      <c r="J3050" t="s">
        <v>5222</v>
      </c>
      <c r="K3050" t="s">
        <v>4038</v>
      </c>
      <c r="L3050">
        <v>0</v>
      </c>
      <c r="M3050" s="452">
        <v>-693593</v>
      </c>
      <c r="N3050">
        <v>0</v>
      </c>
      <c r="O3050">
        <v>36.159999999999997</v>
      </c>
      <c r="P3050">
        <v>36.89</v>
      </c>
    </row>
    <row r="3051" spans="1:16" x14ac:dyDescent="0.3">
      <c r="A3051">
        <v>49104</v>
      </c>
      <c r="B3051">
        <v>105</v>
      </c>
      <c r="C3051" t="s">
        <v>557</v>
      </c>
      <c r="D3051" s="452">
        <v>45901</v>
      </c>
      <c r="E3051">
        <v>18218</v>
      </c>
      <c r="F3051" t="s">
        <v>5038</v>
      </c>
      <c r="G3051">
        <v>3410</v>
      </c>
      <c r="H3051">
        <v>1</v>
      </c>
      <c r="I3051" t="s">
        <v>4805</v>
      </c>
      <c r="J3051" t="s">
        <v>5222</v>
      </c>
      <c r="K3051" t="s">
        <v>4038</v>
      </c>
      <c r="L3051">
        <v>0</v>
      </c>
      <c r="M3051" s="452">
        <v>45581</v>
      </c>
      <c r="N3051">
        <v>36.5</v>
      </c>
      <c r="O3051">
        <v>26.09</v>
      </c>
      <c r="P3051">
        <v>36.5</v>
      </c>
    </row>
    <row r="3052" spans="1:16" x14ac:dyDescent="0.3">
      <c r="A3052">
        <v>48970</v>
      </c>
      <c r="B3052">
        <v>105</v>
      </c>
      <c r="C3052" t="s">
        <v>557</v>
      </c>
      <c r="D3052" s="452">
        <v>45901</v>
      </c>
      <c r="E3052">
        <v>23819</v>
      </c>
      <c r="F3052" t="s">
        <v>4947</v>
      </c>
      <c r="G3052">
        <v>2083</v>
      </c>
      <c r="H3052">
        <v>4</v>
      </c>
      <c r="I3052" t="s">
        <v>4736</v>
      </c>
      <c r="J3052" t="s">
        <v>5191</v>
      </c>
      <c r="K3052" t="s">
        <v>4038</v>
      </c>
      <c r="L3052">
        <v>9.1</v>
      </c>
      <c r="M3052" s="452">
        <v>45887</v>
      </c>
      <c r="N3052">
        <v>9.1</v>
      </c>
      <c r="O3052">
        <v>9.1</v>
      </c>
      <c r="P3052">
        <v>36.4</v>
      </c>
    </row>
    <row r="3053" spans="1:16" x14ac:dyDescent="0.3">
      <c r="A3053">
        <v>49080</v>
      </c>
      <c r="B3053">
        <v>105</v>
      </c>
      <c r="C3053" t="s">
        <v>557</v>
      </c>
      <c r="D3053" s="452">
        <v>45901</v>
      </c>
      <c r="E3053">
        <v>20689</v>
      </c>
      <c r="F3053" t="s">
        <v>5007</v>
      </c>
      <c r="G3053">
        <v>2105</v>
      </c>
      <c r="H3053">
        <v>1</v>
      </c>
      <c r="I3053" t="s">
        <v>4736</v>
      </c>
      <c r="J3053" t="s">
        <v>5191</v>
      </c>
      <c r="K3053" t="s">
        <v>4038</v>
      </c>
      <c r="L3053">
        <v>35.9</v>
      </c>
      <c r="M3053" s="452">
        <v>45895</v>
      </c>
      <c r="N3053">
        <v>35.9</v>
      </c>
      <c r="O3053">
        <v>35.9</v>
      </c>
      <c r="P3053">
        <v>35.9</v>
      </c>
    </row>
    <row r="3054" spans="1:16" x14ac:dyDescent="0.3">
      <c r="A3054">
        <v>48903</v>
      </c>
      <c r="B3054">
        <v>105</v>
      </c>
      <c r="C3054" t="s">
        <v>557</v>
      </c>
      <c r="D3054" s="452">
        <v>45901</v>
      </c>
      <c r="E3054">
        <v>19752</v>
      </c>
      <c r="F3054" t="s">
        <v>4807</v>
      </c>
      <c r="G3054">
        <v>2501</v>
      </c>
      <c r="H3054">
        <v>7.95</v>
      </c>
      <c r="I3054" t="s">
        <v>4744</v>
      </c>
      <c r="J3054" t="s">
        <v>5191</v>
      </c>
      <c r="K3054" t="s">
        <v>4038</v>
      </c>
      <c r="L3054">
        <v>4.51</v>
      </c>
      <c r="M3054" s="452">
        <v>45897</v>
      </c>
      <c r="N3054">
        <v>3.91</v>
      </c>
      <c r="O3054">
        <v>5</v>
      </c>
      <c r="P3054">
        <v>35.85</v>
      </c>
    </row>
    <row r="3055" spans="1:16" x14ac:dyDescent="0.3">
      <c r="A3055">
        <v>49074</v>
      </c>
      <c r="B3055">
        <v>105</v>
      </c>
      <c r="C3055" t="s">
        <v>557</v>
      </c>
      <c r="D3055" s="452">
        <v>45901</v>
      </c>
      <c r="E3055">
        <v>19652</v>
      </c>
      <c r="F3055" t="s">
        <v>4899</v>
      </c>
      <c r="G3055">
        <v>2587</v>
      </c>
      <c r="H3055">
        <v>1.2</v>
      </c>
      <c r="I3055" t="s">
        <v>4744</v>
      </c>
      <c r="J3055" t="s">
        <v>5191</v>
      </c>
      <c r="K3055" t="s">
        <v>4038</v>
      </c>
      <c r="L3055">
        <v>29.74</v>
      </c>
      <c r="M3055" s="452">
        <v>45895</v>
      </c>
      <c r="N3055">
        <v>35.840000000000003</v>
      </c>
      <c r="O3055">
        <v>20.11</v>
      </c>
      <c r="P3055">
        <v>35.69</v>
      </c>
    </row>
    <row r="3056" spans="1:16" x14ac:dyDescent="0.3">
      <c r="A3056">
        <v>48984</v>
      </c>
      <c r="B3056">
        <v>105</v>
      </c>
      <c r="C3056" t="s">
        <v>557</v>
      </c>
      <c r="D3056" s="452">
        <v>45901</v>
      </c>
      <c r="E3056">
        <v>19728</v>
      </c>
      <c r="F3056" t="s">
        <v>5106</v>
      </c>
      <c r="G3056">
        <v>2525</v>
      </c>
      <c r="H3056">
        <v>3.5</v>
      </c>
      <c r="I3056" t="s">
        <v>4744</v>
      </c>
      <c r="J3056" t="s">
        <v>5191</v>
      </c>
      <c r="K3056" t="s">
        <v>4038</v>
      </c>
      <c r="L3056">
        <v>9.93</v>
      </c>
      <c r="M3056" s="452">
        <v>45900</v>
      </c>
      <c r="N3056">
        <v>9.7200000000000006</v>
      </c>
      <c r="O3056">
        <v>9.7200000000000006</v>
      </c>
      <c r="P3056">
        <v>34.75</v>
      </c>
    </row>
    <row r="3057" spans="1:16" x14ac:dyDescent="0.3">
      <c r="A3057">
        <v>49085</v>
      </c>
      <c r="B3057">
        <v>105</v>
      </c>
      <c r="C3057" t="s">
        <v>557</v>
      </c>
      <c r="D3057" s="452">
        <v>45901</v>
      </c>
      <c r="E3057">
        <v>20176</v>
      </c>
      <c r="F3057" t="s">
        <v>5175</v>
      </c>
      <c r="G3057">
        <v>2262</v>
      </c>
      <c r="H3057">
        <v>1</v>
      </c>
      <c r="I3057" t="s">
        <v>4736</v>
      </c>
      <c r="J3057" t="s">
        <v>5191</v>
      </c>
      <c r="K3057" t="s">
        <v>4038</v>
      </c>
      <c r="L3057">
        <v>34.68</v>
      </c>
      <c r="M3057" s="452">
        <v>45895</v>
      </c>
      <c r="N3057">
        <v>34.68</v>
      </c>
      <c r="O3057">
        <v>34.68</v>
      </c>
      <c r="P3057">
        <v>34.68</v>
      </c>
    </row>
    <row r="3058" spans="1:16" x14ac:dyDescent="0.3">
      <c r="A3058">
        <v>48994</v>
      </c>
      <c r="B3058">
        <v>105</v>
      </c>
      <c r="C3058" t="s">
        <v>557</v>
      </c>
      <c r="D3058" s="452">
        <v>45901</v>
      </c>
      <c r="E3058">
        <v>20295</v>
      </c>
      <c r="F3058" t="s">
        <v>4881</v>
      </c>
      <c r="G3058">
        <v>2226</v>
      </c>
      <c r="H3058">
        <v>3</v>
      </c>
      <c r="I3058" t="s">
        <v>4736</v>
      </c>
      <c r="J3058" t="s">
        <v>5191</v>
      </c>
      <c r="K3058" t="s">
        <v>4038</v>
      </c>
      <c r="L3058">
        <v>11.51</v>
      </c>
      <c r="M3058" s="452">
        <v>45894</v>
      </c>
      <c r="N3058">
        <v>11.5</v>
      </c>
      <c r="O3058">
        <v>11.5</v>
      </c>
      <c r="P3058">
        <v>34.53</v>
      </c>
    </row>
    <row r="3059" spans="1:16" x14ac:dyDescent="0.3">
      <c r="A3059">
        <v>49101</v>
      </c>
      <c r="B3059">
        <v>105</v>
      </c>
      <c r="C3059" t="s">
        <v>557</v>
      </c>
      <c r="D3059" s="452">
        <v>45901</v>
      </c>
      <c r="E3059">
        <v>18281</v>
      </c>
      <c r="F3059" t="s">
        <v>5470</v>
      </c>
      <c r="G3059">
        <v>3346</v>
      </c>
      <c r="H3059">
        <v>1</v>
      </c>
      <c r="I3059" t="s">
        <v>4805</v>
      </c>
      <c r="J3059" t="s">
        <v>5222</v>
      </c>
      <c r="K3059" t="s">
        <v>4038</v>
      </c>
      <c r="L3059">
        <v>0</v>
      </c>
      <c r="M3059" s="452">
        <v>45547</v>
      </c>
      <c r="N3059">
        <v>34.299999999999997</v>
      </c>
      <c r="O3059">
        <v>36.25</v>
      </c>
      <c r="P3059">
        <v>34.299999999999997</v>
      </c>
    </row>
    <row r="3060" spans="1:16" x14ac:dyDescent="0.3">
      <c r="A3060">
        <v>49156</v>
      </c>
      <c r="B3060">
        <v>105</v>
      </c>
      <c r="C3060" t="s">
        <v>557</v>
      </c>
      <c r="D3060" s="452">
        <v>45901</v>
      </c>
      <c r="E3060">
        <v>19748</v>
      </c>
      <c r="F3060" t="s">
        <v>5481</v>
      </c>
      <c r="G3060">
        <v>2505</v>
      </c>
      <c r="H3060">
        <v>3.1</v>
      </c>
      <c r="I3060" t="s">
        <v>4744</v>
      </c>
      <c r="J3060" t="s">
        <v>5191</v>
      </c>
      <c r="K3060" t="s">
        <v>4038</v>
      </c>
      <c r="L3060">
        <v>0</v>
      </c>
      <c r="M3060" s="452">
        <v>45813</v>
      </c>
      <c r="N3060">
        <v>11</v>
      </c>
      <c r="O3060">
        <v>8.69</v>
      </c>
      <c r="P3060">
        <v>34.1</v>
      </c>
    </row>
    <row r="3061" spans="1:16" x14ac:dyDescent="0.3">
      <c r="A3061">
        <v>49041</v>
      </c>
      <c r="B3061">
        <v>105</v>
      </c>
      <c r="C3061" t="s">
        <v>557</v>
      </c>
      <c r="D3061" s="452">
        <v>45901</v>
      </c>
      <c r="E3061">
        <v>19978</v>
      </c>
      <c r="F3061" t="s">
        <v>4887</v>
      </c>
      <c r="G3061">
        <v>2353</v>
      </c>
      <c r="H3061">
        <v>2</v>
      </c>
      <c r="I3061" t="s">
        <v>4888</v>
      </c>
      <c r="J3061" t="s">
        <v>5191</v>
      </c>
      <c r="K3061" t="s">
        <v>4038</v>
      </c>
      <c r="L3061">
        <v>0</v>
      </c>
      <c r="M3061" s="452">
        <v>45849</v>
      </c>
      <c r="N3061">
        <v>17</v>
      </c>
      <c r="O3061">
        <v>18.98</v>
      </c>
      <c r="P3061">
        <v>34</v>
      </c>
    </row>
    <row r="3062" spans="1:16" x14ac:dyDescent="0.3">
      <c r="A3062">
        <v>49050</v>
      </c>
      <c r="B3062">
        <v>105</v>
      </c>
      <c r="C3062" t="s">
        <v>557</v>
      </c>
      <c r="D3062" s="452">
        <v>45901</v>
      </c>
      <c r="E3062">
        <v>24385</v>
      </c>
      <c r="F3062" t="s">
        <v>5482</v>
      </c>
      <c r="G3062">
        <v>2524</v>
      </c>
      <c r="H3062">
        <v>2</v>
      </c>
      <c r="I3062" t="s">
        <v>4744</v>
      </c>
      <c r="J3062" t="s">
        <v>5191</v>
      </c>
      <c r="K3062" t="s">
        <v>4038</v>
      </c>
      <c r="L3062">
        <v>17</v>
      </c>
      <c r="M3062" s="452">
        <v>45890</v>
      </c>
      <c r="N3062">
        <v>17</v>
      </c>
      <c r="O3062">
        <v>16.5</v>
      </c>
      <c r="P3062">
        <v>34</v>
      </c>
    </row>
    <row r="3063" spans="1:16" x14ac:dyDescent="0.3">
      <c r="A3063">
        <v>49069</v>
      </c>
      <c r="B3063">
        <v>105</v>
      </c>
      <c r="C3063" t="s">
        <v>557</v>
      </c>
      <c r="D3063" s="452">
        <v>45901</v>
      </c>
      <c r="E3063">
        <v>19617</v>
      </c>
      <c r="F3063" t="s">
        <v>5071</v>
      </c>
      <c r="G3063">
        <v>2617</v>
      </c>
      <c r="H3063">
        <v>1.5</v>
      </c>
      <c r="I3063" t="s">
        <v>4744</v>
      </c>
      <c r="J3063" t="s">
        <v>5191</v>
      </c>
      <c r="K3063" t="s">
        <v>4038</v>
      </c>
      <c r="L3063">
        <v>22.6</v>
      </c>
      <c r="M3063" s="452">
        <v>45897</v>
      </c>
      <c r="N3063">
        <v>19</v>
      </c>
      <c r="O3063">
        <v>19.54</v>
      </c>
      <c r="P3063">
        <v>33.9</v>
      </c>
    </row>
    <row r="3064" spans="1:16" x14ac:dyDescent="0.3">
      <c r="A3064">
        <v>48916</v>
      </c>
      <c r="B3064">
        <v>105</v>
      </c>
      <c r="C3064" t="s">
        <v>557</v>
      </c>
      <c r="D3064" s="452">
        <v>45901</v>
      </c>
      <c r="E3064">
        <v>19654</v>
      </c>
      <c r="F3064" t="s">
        <v>5099</v>
      </c>
      <c r="G3064">
        <v>2586</v>
      </c>
      <c r="H3064">
        <v>6.79</v>
      </c>
      <c r="I3064" t="s">
        <v>4744</v>
      </c>
      <c r="J3064" t="s">
        <v>5191</v>
      </c>
      <c r="K3064" t="s">
        <v>4038</v>
      </c>
      <c r="L3064">
        <v>4.8499999999999996</v>
      </c>
      <c r="M3064" s="452">
        <v>45900</v>
      </c>
      <c r="N3064">
        <v>3.36</v>
      </c>
      <c r="O3064">
        <v>3.36</v>
      </c>
      <c r="P3064">
        <v>32.93</v>
      </c>
    </row>
    <row r="3065" spans="1:16" x14ac:dyDescent="0.3">
      <c r="A3065">
        <v>48877</v>
      </c>
      <c r="B3065">
        <v>105</v>
      </c>
      <c r="C3065" t="s">
        <v>557</v>
      </c>
      <c r="D3065" s="452">
        <v>45901</v>
      </c>
      <c r="E3065">
        <v>19642</v>
      </c>
      <c r="F3065" t="s">
        <v>4996</v>
      </c>
      <c r="G3065">
        <v>2596</v>
      </c>
      <c r="H3065">
        <v>11.24</v>
      </c>
      <c r="I3065" t="s">
        <v>4744</v>
      </c>
      <c r="J3065" t="s">
        <v>5191</v>
      </c>
      <c r="K3065" t="s">
        <v>4038</v>
      </c>
      <c r="L3065">
        <v>2.9</v>
      </c>
      <c r="M3065" s="452">
        <v>45897</v>
      </c>
      <c r="N3065">
        <v>2.91</v>
      </c>
      <c r="O3065">
        <v>3.7</v>
      </c>
      <c r="P3065">
        <v>32.6</v>
      </c>
    </row>
    <row r="3066" spans="1:16" x14ac:dyDescent="0.3">
      <c r="A3066">
        <v>48985</v>
      </c>
      <c r="B3066">
        <v>105</v>
      </c>
      <c r="C3066" t="s">
        <v>557</v>
      </c>
      <c r="D3066" s="452">
        <v>45901</v>
      </c>
      <c r="E3066">
        <v>19507</v>
      </c>
      <c r="F3066" t="s">
        <v>4853</v>
      </c>
      <c r="G3066">
        <v>2704</v>
      </c>
      <c r="H3066">
        <v>3.3</v>
      </c>
      <c r="I3066" t="s">
        <v>4744</v>
      </c>
      <c r="J3066" t="s">
        <v>5191</v>
      </c>
      <c r="K3066" t="s">
        <v>4038</v>
      </c>
      <c r="L3066">
        <v>9.85</v>
      </c>
      <c r="M3066" s="452">
        <v>45897</v>
      </c>
      <c r="N3066">
        <v>12</v>
      </c>
      <c r="O3066">
        <v>9</v>
      </c>
      <c r="P3066">
        <v>32.5</v>
      </c>
    </row>
    <row r="3067" spans="1:16" x14ac:dyDescent="0.3">
      <c r="A3067">
        <v>49008</v>
      </c>
      <c r="B3067">
        <v>105</v>
      </c>
      <c r="C3067" t="s">
        <v>557</v>
      </c>
      <c r="D3067" s="452">
        <v>45901</v>
      </c>
      <c r="E3067">
        <v>18587</v>
      </c>
      <c r="F3067" t="s">
        <v>5483</v>
      </c>
      <c r="G3067">
        <v>3103</v>
      </c>
      <c r="H3067">
        <v>2</v>
      </c>
      <c r="I3067" t="s">
        <v>4736</v>
      </c>
      <c r="J3067" t="s">
        <v>5222</v>
      </c>
      <c r="K3067" t="s">
        <v>4038</v>
      </c>
      <c r="L3067">
        <v>0</v>
      </c>
      <c r="N3067">
        <v>0</v>
      </c>
      <c r="O3067">
        <v>0</v>
      </c>
      <c r="P3067">
        <v>32.479999999999997</v>
      </c>
    </row>
    <row r="3068" spans="1:16" x14ac:dyDescent="0.3">
      <c r="A3068">
        <v>49105</v>
      </c>
      <c r="B3068">
        <v>105</v>
      </c>
      <c r="C3068" t="s">
        <v>557</v>
      </c>
      <c r="D3068" s="452">
        <v>45901</v>
      </c>
      <c r="E3068">
        <v>18214</v>
      </c>
      <c r="F3068" t="s">
        <v>5039</v>
      </c>
      <c r="G3068">
        <v>3413</v>
      </c>
      <c r="H3068">
        <v>1</v>
      </c>
      <c r="I3068" t="s">
        <v>4805</v>
      </c>
      <c r="J3068" t="s">
        <v>5222</v>
      </c>
      <c r="K3068" t="s">
        <v>4038</v>
      </c>
      <c r="L3068">
        <v>0</v>
      </c>
      <c r="M3068" s="452">
        <v>45378</v>
      </c>
      <c r="N3068">
        <v>32.200000000000003</v>
      </c>
      <c r="O3068">
        <v>37.47</v>
      </c>
      <c r="P3068">
        <v>32.200000000000003</v>
      </c>
    </row>
    <row r="3069" spans="1:16" x14ac:dyDescent="0.3">
      <c r="A3069">
        <v>49061</v>
      </c>
      <c r="B3069">
        <v>105</v>
      </c>
      <c r="C3069" t="s">
        <v>557</v>
      </c>
      <c r="D3069" s="452">
        <v>45901</v>
      </c>
      <c r="E3069">
        <v>24323</v>
      </c>
      <c r="F3069" t="s">
        <v>4844</v>
      </c>
      <c r="G3069">
        <v>2262</v>
      </c>
      <c r="H3069">
        <v>1.9</v>
      </c>
      <c r="I3069" t="s">
        <v>4744</v>
      </c>
      <c r="J3069" t="s">
        <v>5191</v>
      </c>
      <c r="K3069" t="s">
        <v>4038</v>
      </c>
      <c r="L3069">
        <v>0</v>
      </c>
      <c r="M3069" s="452">
        <v>45817</v>
      </c>
      <c r="N3069">
        <v>16.2</v>
      </c>
      <c r="O3069">
        <v>15.5</v>
      </c>
      <c r="P3069">
        <v>30.78</v>
      </c>
    </row>
    <row r="3070" spans="1:16" x14ac:dyDescent="0.3">
      <c r="A3070">
        <v>49082</v>
      </c>
      <c r="B3070">
        <v>105</v>
      </c>
      <c r="C3070" t="s">
        <v>557</v>
      </c>
      <c r="D3070" s="452">
        <v>45901</v>
      </c>
      <c r="E3070">
        <v>20672</v>
      </c>
      <c r="F3070" t="s">
        <v>4857</v>
      </c>
      <c r="G3070">
        <v>2107</v>
      </c>
      <c r="H3070">
        <v>1</v>
      </c>
      <c r="I3070" t="s">
        <v>4738</v>
      </c>
      <c r="J3070" t="s">
        <v>5191</v>
      </c>
      <c r="K3070" t="s">
        <v>4038</v>
      </c>
      <c r="L3070">
        <v>30.55</v>
      </c>
      <c r="M3070" s="452">
        <v>45887</v>
      </c>
      <c r="N3070">
        <v>30.55</v>
      </c>
      <c r="O3070">
        <v>30.55</v>
      </c>
      <c r="P3070">
        <v>30.55</v>
      </c>
    </row>
    <row r="3071" spans="1:16" x14ac:dyDescent="0.3">
      <c r="A3071">
        <v>48826</v>
      </c>
      <c r="B3071">
        <v>105</v>
      </c>
      <c r="C3071" t="s">
        <v>557</v>
      </c>
      <c r="D3071" s="452">
        <v>45901</v>
      </c>
      <c r="E3071">
        <v>23095</v>
      </c>
      <c r="F3071" t="s">
        <v>4741</v>
      </c>
      <c r="G3071">
        <v>2754</v>
      </c>
      <c r="H3071">
        <v>34</v>
      </c>
      <c r="I3071" t="s">
        <v>4736</v>
      </c>
      <c r="J3071" t="s">
        <v>5191</v>
      </c>
      <c r="K3071" t="s">
        <v>4038</v>
      </c>
      <c r="L3071">
        <v>0.89</v>
      </c>
      <c r="M3071" s="452">
        <v>45897</v>
      </c>
      <c r="N3071">
        <v>0.89</v>
      </c>
      <c r="O3071">
        <v>0.89</v>
      </c>
      <c r="P3071">
        <v>30.26</v>
      </c>
    </row>
    <row r="3072" spans="1:16" x14ac:dyDescent="0.3">
      <c r="A3072">
        <v>49000</v>
      </c>
      <c r="B3072">
        <v>105</v>
      </c>
      <c r="C3072" t="s">
        <v>557</v>
      </c>
      <c r="D3072" s="452">
        <v>45901</v>
      </c>
      <c r="E3072">
        <v>19969</v>
      </c>
      <c r="F3072" t="s">
        <v>5018</v>
      </c>
      <c r="G3072">
        <v>2354</v>
      </c>
      <c r="H3072">
        <v>3</v>
      </c>
      <c r="I3072" t="s">
        <v>4888</v>
      </c>
      <c r="J3072" t="s">
        <v>5191</v>
      </c>
      <c r="K3072" t="s">
        <v>4038</v>
      </c>
      <c r="L3072">
        <v>10.050000000000001</v>
      </c>
      <c r="M3072" s="452">
        <v>45894</v>
      </c>
      <c r="N3072">
        <v>10.1</v>
      </c>
      <c r="O3072">
        <v>21.35</v>
      </c>
      <c r="P3072">
        <v>30.15</v>
      </c>
    </row>
    <row r="3073" spans="1:16" x14ac:dyDescent="0.3">
      <c r="A3073">
        <v>49092</v>
      </c>
      <c r="B3073">
        <v>105</v>
      </c>
      <c r="C3073" t="s">
        <v>557</v>
      </c>
      <c r="D3073" s="452">
        <v>45901</v>
      </c>
      <c r="E3073">
        <v>24191</v>
      </c>
      <c r="F3073" t="s">
        <v>4846</v>
      </c>
      <c r="G3073">
        <v>2889</v>
      </c>
      <c r="H3073">
        <v>1</v>
      </c>
      <c r="I3073" t="s">
        <v>4744</v>
      </c>
      <c r="J3073" t="s">
        <v>5191</v>
      </c>
      <c r="K3073" t="s">
        <v>4038</v>
      </c>
      <c r="L3073">
        <v>0</v>
      </c>
      <c r="M3073" s="452">
        <v>45845</v>
      </c>
      <c r="N3073">
        <v>29.9</v>
      </c>
      <c r="O3073">
        <v>24.89</v>
      </c>
      <c r="P3073">
        <v>29.9</v>
      </c>
    </row>
    <row r="3074" spans="1:16" x14ac:dyDescent="0.3">
      <c r="A3074">
        <v>49130</v>
      </c>
      <c r="B3074">
        <v>105</v>
      </c>
      <c r="C3074" t="s">
        <v>557</v>
      </c>
      <c r="D3074" s="452">
        <v>45901</v>
      </c>
      <c r="E3074">
        <v>20716</v>
      </c>
      <c r="F3074" t="s">
        <v>5053</v>
      </c>
      <c r="G3074">
        <v>2098</v>
      </c>
      <c r="H3074">
        <v>0.25</v>
      </c>
      <c r="I3074" t="s">
        <v>4744</v>
      </c>
      <c r="J3074" t="s">
        <v>5191</v>
      </c>
      <c r="K3074" t="s">
        <v>4038</v>
      </c>
      <c r="L3074">
        <v>0</v>
      </c>
      <c r="M3074" s="452">
        <v>-693593</v>
      </c>
      <c r="N3074">
        <v>0</v>
      </c>
      <c r="O3074">
        <v>0</v>
      </c>
      <c r="P3074">
        <v>29.88</v>
      </c>
    </row>
    <row r="3075" spans="1:16" x14ac:dyDescent="0.3">
      <c r="A3075">
        <v>48923</v>
      </c>
      <c r="B3075">
        <v>105</v>
      </c>
      <c r="C3075" t="s">
        <v>557</v>
      </c>
      <c r="D3075" s="452">
        <v>45901</v>
      </c>
      <c r="E3075">
        <v>20385</v>
      </c>
      <c r="F3075" t="s">
        <v>4910</v>
      </c>
      <c r="G3075">
        <v>2195</v>
      </c>
      <c r="H3075">
        <v>6</v>
      </c>
      <c r="I3075" t="s">
        <v>4736</v>
      </c>
      <c r="J3075" t="s">
        <v>5191</v>
      </c>
      <c r="K3075" t="s">
        <v>4038</v>
      </c>
      <c r="L3075">
        <v>0</v>
      </c>
      <c r="M3075" s="452">
        <v>-693593</v>
      </c>
      <c r="N3075">
        <v>0</v>
      </c>
      <c r="O3075">
        <v>4.9000000000000004</v>
      </c>
      <c r="P3075">
        <v>29.7</v>
      </c>
    </row>
    <row r="3076" spans="1:16" x14ac:dyDescent="0.3">
      <c r="A3076">
        <v>48851</v>
      </c>
      <c r="B3076">
        <v>105</v>
      </c>
      <c r="C3076" t="s">
        <v>557</v>
      </c>
      <c r="D3076" s="452">
        <v>45901</v>
      </c>
      <c r="E3076">
        <v>19635</v>
      </c>
      <c r="F3076" t="s">
        <v>4786</v>
      </c>
      <c r="G3076">
        <v>2601</v>
      </c>
      <c r="H3076">
        <v>17.170000000000002</v>
      </c>
      <c r="I3076" t="s">
        <v>4744</v>
      </c>
      <c r="J3076" t="s">
        <v>5191</v>
      </c>
      <c r="K3076" t="s">
        <v>4038</v>
      </c>
      <c r="L3076">
        <v>1.72</v>
      </c>
      <c r="M3076" s="452">
        <v>45897</v>
      </c>
      <c r="N3076">
        <v>1.56</v>
      </c>
      <c r="O3076">
        <v>1.51</v>
      </c>
      <c r="P3076">
        <v>29.53</v>
      </c>
    </row>
    <row r="3077" spans="1:16" x14ac:dyDescent="0.3">
      <c r="A3077">
        <v>49063</v>
      </c>
      <c r="B3077">
        <v>105</v>
      </c>
      <c r="C3077" t="s">
        <v>557</v>
      </c>
      <c r="D3077" s="452">
        <v>45901</v>
      </c>
      <c r="E3077">
        <v>19575</v>
      </c>
      <c r="F3077" t="s">
        <v>5120</v>
      </c>
      <c r="G3077">
        <v>2643</v>
      </c>
      <c r="H3077">
        <v>1.9</v>
      </c>
      <c r="I3077" t="s">
        <v>4744</v>
      </c>
      <c r="J3077" t="s">
        <v>5191</v>
      </c>
      <c r="K3077" t="s">
        <v>4038</v>
      </c>
      <c r="L3077">
        <v>15.43</v>
      </c>
      <c r="M3077" s="452">
        <v>45883</v>
      </c>
      <c r="N3077">
        <v>25</v>
      </c>
      <c r="O3077">
        <v>24</v>
      </c>
      <c r="P3077">
        <v>29.32</v>
      </c>
    </row>
    <row r="3078" spans="1:16" x14ac:dyDescent="0.3">
      <c r="A3078">
        <v>48945</v>
      </c>
      <c r="B3078">
        <v>105</v>
      </c>
      <c r="C3078" t="s">
        <v>557</v>
      </c>
      <c r="D3078" s="452">
        <v>45901</v>
      </c>
      <c r="E3078">
        <v>23346</v>
      </c>
      <c r="F3078" t="s">
        <v>4916</v>
      </c>
      <c r="G3078">
        <v>2512</v>
      </c>
      <c r="H3078">
        <v>5.5</v>
      </c>
      <c r="I3078" t="s">
        <v>4744</v>
      </c>
      <c r="J3078" t="s">
        <v>5191</v>
      </c>
      <c r="K3078" t="s">
        <v>4038</v>
      </c>
      <c r="L3078">
        <v>5.3</v>
      </c>
      <c r="M3078" s="452">
        <v>45897</v>
      </c>
      <c r="N3078">
        <v>4.3600000000000003</v>
      </c>
      <c r="O3078">
        <v>4.3600000000000003</v>
      </c>
      <c r="P3078">
        <v>29.15</v>
      </c>
    </row>
    <row r="3079" spans="1:16" x14ac:dyDescent="0.3">
      <c r="A3079">
        <v>48897</v>
      </c>
      <c r="B3079">
        <v>105</v>
      </c>
      <c r="C3079" t="s">
        <v>557</v>
      </c>
      <c r="D3079" s="452">
        <v>45901</v>
      </c>
      <c r="E3079">
        <v>19658</v>
      </c>
      <c r="F3079" t="s">
        <v>4784</v>
      </c>
      <c r="G3079">
        <v>2582</v>
      </c>
      <c r="H3079">
        <v>8.75</v>
      </c>
      <c r="I3079" t="s">
        <v>4744</v>
      </c>
      <c r="J3079" t="s">
        <v>5191</v>
      </c>
      <c r="K3079" t="s">
        <v>4038</v>
      </c>
      <c r="L3079">
        <v>3.32</v>
      </c>
      <c r="M3079" s="452">
        <v>45895</v>
      </c>
      <c r="N3079">
        <v>4.9000000000000004</v>
      </c>
      <c r="O3079">
        <v>4.47</v>
      </c>
      <c r="P3079">
        <v>29.05</v>
      </c>
    </row>
    <row r="3080" spans="1:16" x14ac:dyDescent="0.3">
      <c r="A3080">
        <v>48922</v>
      </c>
      <c r="B3080">
        <v>105</v>
      </c>
      <c r="C3080" t="s">
        <v>557</v>
      </c>
      <c r="D3080" s="452">
        <v>45901</v>
      </c>
      <c r="E3080">
        <v>21093</v>
      </c>
      <c r="F3080" t="s">
        <v>4855</v>
      </c>
      <c r="G3080">
        <v>1988</v>
      </c>
      <c r="H3080">
        <v>6</v>
      </c>
      <c r="I3080" t="s">
        <v>4744</v>
      </c>
      <c r="J3080" t="s">
        <v>5191</v>
      </c>
      <c r="K3080" t="s">
        <v>4038</v>
      </c>
      <c r="L3080">
        <v>4.84</v>
      </c>
      <c r="M3080" s="452">
        <v>45887</v>
      </c>
      <c r="N3080">
        <v>4.8499999999999996</v>
      </c>
      <c r="O3080">
        <v>4.95</v>
      </c>
      <c r="P3080">
        <v>29.04</v>
      </c>
    </row>
    <row r="3081" spans="1:16" x14ac:dyDescent="0.3">
      <c r="A3081">
        <v>49081</v>
      </c>
      <c r="B3081">
        <v>105</v>
      </c>
      <c r="C3081" t="s">
        <v>557</v>
      </c>
      <c r="D3081" s="452">
        <v>45901</v>
      </c>
      <c r="E3081">
        <v>23534</v>
      </c>
      <c r="F3081" t="s">
        <v>5447</v>
      </c>
      <c r="G3081">
        <v>2337</v>
      </c>
      <c r="H3081">
        <v>1</v>
      </c>
      <c r="I3081" t="s">
        <v>4955</v>
      </c>
      <c r="J3081" t="s">
        <v>5191</v>
      </c>
      <c r="K3081" t="s">
        <v>4038</v>
      </c>
      <c r="L3081">
        <v>0</v>
      </c>
      <c r="M3081" s="452">
        <v>-693593</v>
      </c>
      <c r="N3081">
        <v>0</v>
      </c>
      <c r="O3081">
        <v>28.92</v>
      </c>
      <c r="P3081">
        <v>28.85</v>
      </c>
    </row>
    <row r="3082" spans="1:16" x14ac:dyDescent="0.3">
      <c r="A3082">
        <v>49116</v>
      </c>
      <c r="B3082">
        <v>105</v>
      </c>
      <c r="C3082" t="s">
        <v>557</v>
      </c>
      <c r="D3082" s="452">
        <v>45901</v>
      </c>
      <c r="E3082">
        <v>18212</v>
      </c>
      <c r="F3082" t="s">
        <v>5040</v>
      </c>
      <c r="G3082">
        <v>3415</v>
      </c>
      <c r="H3082">
        <v>0.75</v>
      </c>
      <c r="I3082" t="s">
        <v>4805</v>
      </c>
      <c r="J3082" t="s">
        <v>5222</v>
      </c>
      <c r="K3082" t="s">
        <v>4038</v>
      </c>
      <c r="L3082">
        <v>0</v>
      </c>
      <c r="M3082" s="452">
        <v>-693593</v>
      </c>
      <c r="N3082">
        <v>0</v>
      </c>
      <c r="O3082">
        <v>38.299999999999997</v>
      </c>
      <c r="P3082">
        <v>28.57</v>
      </c>
    </row>
    <row r="3083" spans="1:16" x14ac:dyDescent="0.3">
      <c r="A3083">
        <v>49138</v>
      </c>
      <c r="B3083">
        <v>105</v>
      </c>
      <c r="C3083" t="s">
        <v>557</v>
      </c>
      <c r="D3083" s="452">
        <v>45901</v>
      </c>
      <c r="E3083">
        <v>18477</v>
      </c>
      <c r="F3083" t="s">
        <v>4920</v>
      </c>
      <c r="G3083">
        <v>3179</v>
      </c>
      <c r="H3083">
        <v>0.54</v>
      </c>
      <c r="I3083" t="s">
        <v>4805</v>
      </c>
      <c r="J3083" t="s">
        <v>5222</v>
      </c>
      <c r="K3083" t="s">
        <v>4038</v>
      </c>
      <c r="L3083">
        <v>0</v>
      </c>
      <c r="M3083" s="452">
        <v>45525</v>
      </c>
      <c r="N3083">
        <v>49.9</v>
      </c>
      <c r="O3083">
        <v>43.9</v>
      </c>
      <c r="P3083">
        <v>26.95</v>
      </c>
    </row>
    <row r="3084" spans="1:16" x14ac:dyDescent="0.3">
      <c r="A3084">
        <v>48900</v>
      </c>
      <c r="B3084">
        <v>105</v>
      </c>
      <c r="C3084" t="s">
        <v>557</v>
      </c>
      <c r="D3084" s="452">
        <v>45901</v>
      </c>
      <c r="E3084">
        <v>19916</v>
      </c>
      <c r="F3084" t="s">
        <v>4826</v>
      </c>
      <c r="G3084">
        <v>2379</v>
      </c>
      <c r="H3084">
        <v>8</v>
      </c>
      <c r="I3084" t="s">
        <v>4738</v>
      </c>
      <c r="J3084" t="s">
        <v>5191</v>
      </c>
      <c r="K3084" t="s">
        <v>4038</v>
      </c>
      <c r="L3084">
        <v>3.35</v>
      </c>
      <c r="M3084" s="452">
        <v>45880</v>
      </c>
      <c r="N3084">
        <v>3.35</v>
      </c>
      <c r="O3084">
        <v>32.299999999999997</v>
      </c>
      <c r="P3084">
        <v>26.8</v>
      </c>
    </row>
    <row r="3085" spans="1:16" x14ac:dyDescent="0.3">
      <c r="A3085">
        <v>49022</v>
      </c>
      <c r="B3085">
        <v>105</v>
      </c>
      <c r="C3085" t="s">
        <v>557</v>
      </c>
      <c r="D3085" s="452">
        <v>45901</v>
      </c>
      <c r="E3085">
        <v>19561</v>
      </c>
      <c r="F3085" t="s">
        <v>5365</v>
      </c>
      <c r="G3085">
        <v>2656</v>
      </c>
      <c r="H3085">
        <v>2.5499999999999998</v>
      </c>
      <c r="I3085" t="s">
        <v>4744</v>
      </c>
      <c r="J3085" t="s">
        <v>5191</v>
      </c>
      <c r="K3085" t="s">
        <v>4038</v>
      </c>
      <c r="L3085">
        <v>10.48</v>
      </c>
      <c r="M3085" s="452">
        <v>45897</v>
      </c>
      <c r="N3085">
        <v>11.16</v>
      </c>
      <c r="O3085">
        <v>11.17</v>
      </c>
      <c r="P3085">
        <v>26.72</v>
      </c>
    </row>
    <row r="3086" spans="1:16" x14ac:dyDescent="0.3">
      <c r="A3086">
        <v>49028</v>
      </c>
      <c r="B3086">
        <v>105</v>
      </c>
      <c r="C3086" t="s">
        <v>557</v>
      </c>
      <c r="D3086" s="452">
        <v>45901</v>
      </c>
      <c r="E3086">
        <v>19473</v>
      </c>
      <c r="F3086" t="s">
        <v>5484</v>
      </c>
      <c r="G3086">
        <v>2732</v>
      </c>
      <c r="H3086">
        <v>2.2000000000000002</v>
      </c>
      <c r="I3086" t="s">
        <v>4744</v>
      </c>
      <c r="J3086" t="s">
        <v>5191</v>
      </c>
      <c r="K3086" t="s">
        <v>4038</v>
      </c>
      <c r="L3086">
        <v>0</v>
      </c>
      <c r="M3086" s="452">
        <v>45824</v>
      </c>
      <c r="N3086">
        <v>12</v>
      </c>
      <c r="O3086">
        <v>7.5</v>
      </c>
      <c r="P3086">
        <v>26.4</v>
      </c>
    </row>
    <row r="3087" spans="1:16" x14ac:dyDescent="0.3">
      <c r="A3087">
        <v>49042</v>
      </c>
      <c r="B3087">
        <v>105</v>
      </c>
      <c r="C3087" t="s">
        <v>557</v>
      </c>
      <c r="D3087" s="452">
        <v>45901</v>
      </c>
      <c r="E3087">
        <v>19993</v>
      </c>
      <c r="F3087" t="s">
        <v>4954</v>
      </c>
      <c r="G3087">
        <v>2349</v>
      </c>
      <c r="H3087">
        <v>2</v>
      </c>
      <c r="I3087" t="s">
        <v>4955</v>
      </c>
      <c r="J3087" t="s">
        <v>5191</v>
      </c>
      <c r="K3087" t="s">
        <v>4038</v>
      </c>
      <c r="L3087">
        <v>0</v>
      </c>
      <c r="M3087" s="452">
        <v>-693593</v>
      </c>
      <c r="N3087">
        <v>0</v>
      </c>
      <c r="O3087">
        <v>0</v>
      </c>
      <c r="P3087">
        <v>23.98</v>
      </c>
    </row>
    <row r="3088" spans="1:16" x14ac:dyDescent="0.3">
      <c r="A3088">
        <v>49084</v>
      </c>
      <c r="B3088">
        <v>105</v>
      </c>
      <c r="C3088" t="s">
        <v>557</v>
      </c>
      <c r="D3088" s="452">
        <v>45901</v>
      </c>
      <c r="E3088">
        <v>20219</v>
      </c>
      <c r="F3088" t="s">
        <v>5445</v>
      </c>
      <c r="G3088">
        <v>2250</v>
      </c>
      <c r="H3088">
        <v>1</v>
      </c>
      <c r="I3088" t="s">
        <v>4738</v>
      </c>
      <c r="J3088" t="s">
        <v>5191</v>
      </c>
      <c r="K3088" t="s">
        <v>4038</v>
      </c>
      <c r="L3088">
        <v>0</v>
      </c>
      <c r="M3088" s="452">
        <v>45856</v>
      </c>
      <c r="N3088">
        <v>23.9</v>
      </c>
      <c r="O3088">
        <v>23.9</v>
      </c>
      <c r="P3088">
        <v>23.9</v>
      </c>
    </row>
    <row r="3089" spans="1:16" x14ac:dyDescent="0.3">
      <c r="A3089">
        <v>49117</v>
      </c>
      <c r="B3089">
        <v>105</v>
      </c>
      <c r="C3089" t="s">
        <v>557</v>
      </c>
      <c r="D3089" s="452">
        <v>45901</v>
      </c>
      <c r="E3089">
        <v>19506</v>
      </c>
      <c r="F3089" t="s">
        <v>5122</v>
      </c>
      <c r="G3089">
        <v>2705</v>
      </c>
      <c r="H3089">
        <v>0.7</v>
      </c>
      <c r="I3089" t="s">
        <v>4744</v>
      </c>
      <c r="J3089" t="s">
        <v>5191</v>
      </c>
      <c r="K3089" t="s">
        <v>4038</v>
      </c>
      <c r="L3089">
        <v>33.799999999999997</v>
      </c>
      <c r="M3089" s="452">
        <v>45895</v>
      </c>
      <c r="N3089">
        <v>46</v>
      </c>
      <c r="O3089">
        <v>13.98</v>
      </c>
      <c r="P3089">
        <v>23.66</v>
      </c>
    </row>
    <row r="3090" spans="1:16" x14ac:dyDescent="0.3">
      <c r="A3090">
        <v>49091</v>
      </c>
      <c r="B3090">
        <v>105</v>
      </c>
      <c r="C3090" t="s">
        <v>557</v>
      </c>
      <c r="D3090" s="452">
        <v>45901</v>
      </c>
      <c r="E3090">
        <v>19409</v>
      </c>
      <c r="F3090" t="s">
        <v>5485</v>
      </c>
      <c r="G3090">
        <v>2760</v>
      </c>
      <c r="H3090">
        <v>1</v>
      </c>
      <c r="I3090" t="s">
        <v>4736</v>
      </c>
      <c r="J3090" t="s">
        <v>5191</v>
      </c>
      <c r="K3090" t="s">
        <v>4038</v>
      </c>
      <c r="L3090">
        <v>0</v>
      </c>
      <c r="M3090" s="452">
        <v>45376</v>
      </c>
      <c r="N3090">
        <v>23</v>
      </c>
      <c r="O3090">
        <v>26.9</v>
      </c>
      <c r="P3090">
        <v>23</v>
      </c>
    </row>
    <row r="3091" spans="1:16" x14ac:dyDescent="0.3">
      <c r="A3091">
        <v>49071</v>
      </c>
      <c r="B3091">
        <v>105</v>
      </c>
      <c r="C3091" t="s">
        <v>557</v>
      </c>
      <c r="D3091" s="452">
        <v>45901</v>
      </c>
      <c r="E3091">
        <v>19572</v>
      </c>
      <c r="F3091" t="s">
        <v>4989</v>
      </c>
      <c r="G3091">
        <v>2646</v>
      </c>
      <c r="H3091">
        <v>1.48</v>
      </c>
      <c r="I3091" t="s">
        <v>4744</v>
      </c>
      <c r="J3091" t="s">
        <v>5191</v>
      </c>
      <c r="K3091" t="s">
        <v>4038</v>
      </c>
      <c r="L3091">
        <v>15.48</v>
      </c>
      <c r="M3091" s="452">
        <v>45888</v>
      </c>
      <c r="N3091">
        <v>19</v>
      </c>
      <c r="O3091">
        <v>13.4</v>
      </c>
      <c r="P3091">
        <v>22.91</v>
      </c>
    </row>
    <row r="3092" spans="1:16" x14ac:dyDescent="0.3">
      <c r="A3092">
        <v>48948</v>
      </c>
      <c r="B3092">
        <v>105</v>
      </c>
      <c r="C3092" t="s">
        <v>557</v>
      </c>
      <c r="D3092" s="452">
        <v>45901</v>
      </c>
      <c r="E3092">
        <v>19552</v>
      </c>
      <c r="F3092" t="s">
        <v>4860</v>
      </c>
      <c r="G3092">
        <v>2664</v>
      </c>
      <c r="H3092">
        <v>5.0999999999999996</v>
      </c>
      <c r="I3092" t="s">
        <v>4744</v>
      </c>
      <c r="J3092" t="s">
        <v>5191</v>
      </c>
      <c r="K3092" t="s">
        <v>4038</v>
      </c>
      <c r="L3092">
        <v>4.4800000000000004</v>
      </c>
      <c r="M3092" s="452">
        <v>45897</v>
      </c>
      <c r="N3092">
        <v>5.82</v>
      </c>
      <c r="O3092">
        <v>3.8</v>
      </c>
      <c r="P3092">
        <v>22.85</v>
      </c>
    </row>
    <row r="3093" spans="1:16" x14ac:dyDescent="0.3">
      <c r="A3093">
        <v>49065</v>
      </c>
      <c r="B3093">
        <v>105</v>
      </c>
      <c r="C3093" t="s">
        <v>557</v>
      </c>
      <c r="D3093" s="452">
        <v>45901</v>
      </c>
      <c r="E3093">
        <v>24186</v>
      </c>
      <c r="F3093" t="s">
        <v>4995</v>
      </c>
      <c r="G3093">
        <v>2332</v>
      </c>
      <c r="H3093">
        <v>1.71</v>
      </c>
      <c r="I3093" t="s">
        <v>4744</v>
      </c>
      <c r="J3093" t="s">
        <v>5191</v>
      </c>
      <c r="K3093" t="s">
        <v>4038</v>
      </c>
      <c r="L3093">
        <v>0</v>
      </c>
      <c r="M3093" s="452">
        <v>45706</v>
      </c>
      <c r="N3093">
        <v>13</v>
      </c>
      <c r="O3093">
        <v>6.4</v>
      </c>
      <c r="P3093">
        <v>22.23</v>
      </c>
    </row>
    <row r="3094" spans="1:16" x14ac:dyDescent="0.3">
      <c r="A3094">
        <v>49054</v>
      </c>
      <c r="B3094">
        <v>105</v>
      </c>
      <c r="C3094" t="s">
        <v>557</v>
      </c>
      <c r="D3094" s="452">
        <v>45901</v>
      </c>
      <c r="E3094">
        <v>18420</v>
      </c>
      <c r="F3094" t="s">
        <v>5452</v>
      </c>
      <c r="G3094">
        <v>3222</v>
      </c>
      <c r="H3094">
        <v>2</v>
      </c>
      <c r="I3094" t="s">
        <v>4805</v>
      </c>
      <c r="J3094" t="s">
        <v>5222</v>
      </c>
      <c r="K3094" t="s">
        <v>4038</v>
      </c>
      <c r="L3094">
        <v>0</v>
      </c>
      <c r="M3094" s="452">
        <v>-693593</v>
      </c>
      <c r="N3094">
        <v>0</v>
      </c>
      <c r="O3094">
        <v>11.52</v>
      </c>
      <c r="P3094">
        <v>22.1</v>
      </c>
    </row>
    <row r="3095" spans="1:16" x14ac:dyDescent="0.3">
      <c r="A3095">
        <v>49075</v>
      </c>
      <c r="B3095">
        <v>105</v>
      </c>
      <c r="C3095" t="s">
        <v>557</v>
      </c>
      <c r="D3095" s="452">
        <v>45901</v>
      </c>
      <c r="E3095">
        <v>25055</v>
      </c>
      <c r="F3095" t="s">
        <v>5003</v>
      </c>
      <c r="G3095">
        <v>2184</v>
      </c>
      <c r="H3095">
        <v>1.1000000000000001</v>
      </c>
      <c r="I3095" t="s">
        <v>4744</v>
      </c>
      <c r="J3095" t="s">
        <v>5191</v>
      </c>
      <c r="K3095" t="s">
        <v>4038</v>
      </c>
      <c r="L3095">
        <v>19.8</v>
      </c>
      <c r="M3095" s="452">
        <v>45887</v>
      </c>
      <c r="N3095">
        <v>19.8</v>
      </c>
      <c r="O3095">
        <v>19.8</v>
      </c>
      <c r="P3095">
        <v>21.78</v>
      </c>
    </row>
    <row r="3096" spans="1:16" x14ac:dyDescent="0.3">
      <c r="A3096">
        <v>49090</v>
      </c>
      <c r="B3096">
        <v>105</v>
      </c>
      <c r="C3096" t="s">
        <v>557</v>
      </c>
      <c r="D3096" s="452">
        <v>45901</v>
      </c>
      <c r="E3096">
        <v>19434</v>
      </c>
      <c r="F3096" t="s">
        <v>5078</v>
      </c>
      <c r="G3096">
        <v>2757</v>
      </c>
      <c r="H3096">
        <v>1</v>
      </c>
      <c r="I3096" t="s">
        <v>4738</v>
      </c>
      <c r="J3096" t="s">
        <v>5191</v>
      </c>
      <c r="K3096" t="s">
        <v>4038</v>
      </c>
      <c r="L3096">
        <v>21.74</v>
      </c>
      <c r="M3096" s="452">
        <v>45887</v>
      </c>
      <c r="N3096">
        <v>21.8</v>
      </c>
      <c r="O3096">
        <v>20.9</v>
      </c>
      <c r="P3096">
        <v>21.74</v>
      </c>
    </row>
    <row r="3097" spans="1:16" x14ac:dyDescent="0.3">
      <c r="A3097">
        <v>49037</v>
      </c>
      <c r="B3097">
        <v>105</v>
      </c>
      <c r="C3097" t="s">
        <v>557</v>
      </c>
      <c r="D3097" s="452">
        <v>45901</v>
      </c>
      <c r="E3097">
        <v>20054</v>
      </c>
      <c r="F3097" t="s">
        <v>4856</v>
      </c>
      <c r="G3097">
        <v>2325</v>
      </c>
      <c r="H3097">
        <v>2</v>
      </c>
      <c r="I3097" t="s">
        <v>4736</v>
      </c>
      <c r="J3097" t="s">
        <v>5191</v>
      </c>
      <c r="K3097" t="s">
        <v>4038</v>
      </c>
      <c r="L3097">
        <v>0</v>
      </c>
      <c r="M3097" s="452">
        <v>45706</v>
      </c>
      <c r="N3097">
        <v>10.55</v>
      </c>
      <c r="O3097">
        <v>11.5</v>
      </c>
      <c r="P3097">
        <v>21.1</v>
      </c>
    </row>
    <row r="3098" spans="1:16" x14ac:dyDescent="0.3">
      <c r="A3098">
        <v>48990</v>
      </c>
      <c r="B3098">
        <v>105</v>
      </c>
      <c r="C3098" t="s">
        <v>557</v>
      </c>
      <c r="D3098" s="452">
        <v>45901</v>
      </c>
      <c r="E3098">
        <v>25763</v>
      </c>
      <c r="F3098" t="s">
        <v>4943</v>
      </c>
      <c r="G3098">
        <v>6314</v>
      </c>
      <c r="H3098">
        <v>3</v>
      </c>
      <c r="I3098" t="s">
        <v>4736</v>
      </c>
      <c r="J3098" t="s">
        <v>5191</v>
      </c>
      <c r="K3098" t="s">
        <v>4038</v>
      </c>
      <c r="L3098">
        <v>0</v>
      </c>
      <c r="M3098" s="452">
        <v>-693593</v>
      </c>
      <c r="N3098">
        <v>0</v>
      </c>
      <c r="O3098">
        <v>0</v>
      </c>
      <c r="P3098">
        <v>20.97</v>
      </c>
    </row>
    <row r="3099" spans="1:16" x14ac:dyDescent="0.3">
      <c r="A3099">
        <v>48991</v>
      </c>
      <c r="B3099">
        <v>105</v>
      </c>
      <c r="C3099" t="s">
        <v>557</v>
      </c>
      <c r="D3099" s="452">
        <v>45901</v>
      </c>
      <c r="E3099">
        <v>25750</v>
      </c>
      <c r="F3099" t="s">
        <v>4908</v>
      </c>
      <c r="G3099">
        <v>6301</v>
      </c>
      <c r="H3099">
        <v>3</v>
      </c>
      <c r="I3099" t="s">
        <v>4736</v>
      </c>
      <c r="J3099" t="s">
        <v>5191</v>
      </c>
      <c r="K3099" t="s">
        <v>4038</v>
      </c>
      <c r="L3099">
        <v>0</v>
      </c>
      <c r="M3099" s="452">
        <v>45653</v>
      </c>
      <c r="N3099">
        <v>6.87</v>
      </c>
      <c r="O3099">
        <v>6.87</v>
      </c>
      <c r="P3099">
        <v>20.61</v>
      </c>
    </row>
    <row r="3100" spans="1:16" x14ac:dyDescent="0.3">
      <c r="A3100">
        <v>49045</v>
      </c>
      <c r="B3100">
        <v>105</v>
      </c>
      <c r="C3100" t="s">
        <v>557</v>
      </c>
      <c r="D3100" s="452">
        <v>45901</v>
      </c>
      <c r="E3100">
        <v>20792</v>
      </c>
      <c r="F3100" t="s">
        <v>5022</v>
      </c>
      <c r="G3100">
        <v>2076</v>
      </c>
      <c r="H3100">
        <v>2</v>
      </c>
      <c r="I3100" t="s">
        <v>4738</v>
      </c>
      <c r="J3100" t="s">
        <v>5191</v>
      </c>
      <c r="K3100" t="s">
        <v>4038</v>
      </c>
      <c r="L3100">
        <v>0</v>
      </c>
      <c r="M3100" s="452">
        <v>45852</v>
      </c>
      <c r="N3100">
        <v>10.199999999999999</v>
      </c>
      <c r="O3100">
        <v>10.199999999999999</v>
      </c>
      <c r="P3100">
        <v>20.399999999999999</v>
      </c>
    </row>
    <row r="3101" spans="1:16" x14ac:dyDescent="0.3">
      <c r="A3101">
        <v>49111</v>
      </c>
      <c r="B3101">
        <v>105</v>
      </c>
      <c r="C3101" t="s">
        <v>557</v>
      </c>
      <c r="D3101" s="452">
        <v>45901</v>
      </c>
      <c r="E3101">
        <v>17929</v>
      </c>
      <c r="F3101" t="s">
        <v>5486</v>
      </c>
      <c r="G3101">
        <v>3639</v>
      </c>
      <c r="H3101">
        <v>1</v>
      </c>
      <c r="I3101" t="s">
        <v>4736</v>
      </c>
      <c r="J3101" t="s">
        <v>5222</v>
      </c>
      <c r="K3101" t="s">
        <v>4038</v>
      </c>
      <c r="L3101">
        <v>0</v>
      </c>
      <c r="M3101" s="452">
        <v>45852</v>
      </c>
      <c r="N3101">
        <v>19.899999999999999</v>
      </c>
      <c r="O3101">
        <v>0</v>
      </c>
      <c r="P3101">
        <v>19.899999999999999</v>
      </c>
    </row>
    <row r="3102" spans="1:16" x14ac:dyDescent="0.3">
      <c r="A3102">
        <v>49044</v>
      </c>
      <c r="B3102">
        <v>105</v>
      </c>
      <c r="C3102" t="s">
        <v>557</v>
      </c>
      <c r="D3102" s="452">
        <v>45901</v>
      </c>
      <c r="E3102">
        <v>20791</v>
      </c>
      <c r="F3102" t="s">
        <v>5021</v>
      </c>
      <c r="G3102">
        <v>2076</v>
      </c>
      <c r="H3102">
        <v>2</v>
      </c>
      <c r="I3102" t="s">
        <v>4738</v>
      </c>
      <c r="J3102" t="s">
        <v>5191</v>
      </c>
      <c r="K3102" t="s">
        <v>4038</v>
      </c>
      <c r="L3102">
        <v>0</v>
      </c>
      <c r="M3102" s="452">
        <v>45849</v>
      </c>
      <c r="N3102">
        <v>9.8000000000000007</v>
      </c>
      <c r="O3102">
        <v>10.199999999999999</v>
      </c>
      <c r="P3102">
        <v>19.600000000000001</v>
      </c>
    </row>
    <row r="3103" spans="1:16" x14ac:dyDescent="0.3">
      <c r="A3103">
        <v>49059</v>
      </c>
      <c r="B3103">
        <v>105</v>
      </c>
      <c r="C3103" t="s">
        <v>557</v>
      </c>
      <c r="D3103" s="452">
        <v>45901</v>
      </c>
      <c r="E3103">
        <v>21979</v>
      </c>
      <c r="F3103" t="s">
        <v>5467</v>
      </c>
      <c r="G3103">
        <v>3712</v>
      </c>
      <c r="H3103">
        <v>2</v>
      </c>
      <c r="I3103" t="s">
        <v>4749</v>
      </c>
      <c r="J3103" t="s">
        <v>5222</v>
      </c>
      <c r="K3103" t="s">
        <v>4038</v>
      </c>
      <c r="L3103">
        <v>9.6199999999999992</v>
      </c>
      <c r="M3103" s="452">
        <v>45887</v>
      </c>
      <c r="N3103">
        <v>9.6199999999999992</v>
      </c>
      <c r="O3103">
        <v>9.6199999999999992</v>
      </c>
      <c r="P3103">
        <v>19.239999999999998</v>
      </c>
    </row>
    <row r="3104" spans="1:16" x14ac:dyDescent="0.3">
      <c r="A3104">
        <v>48899</v>
      </c>
      <c r="B3104">
        <v>105</v>
      </c>
      <c r="C3104" t="s">
        <v>557</v>
      </c>
      <c r="D3104" s="452">
        <v>45901</v>
      </c>
      <c r="E3104">
        <v>19621</v>
      </c>
      <c r="F3104" t="s">
        <v>4829</v>
      </c>
      <c r="G3104">
        <v>2613</v>
      </c>
      <c r="H3104">
        <v>8.14</v>
      </c>
      <c r="I3104" t="s">
        <v>4744</v>
      </c>
      <c r="J3104" t="s">
        <v>5191</v>
      </c>
      <c r="K3104" t="s">
        <v>4038</v>
      </c>
      <c r="L3104">
        <v>2.35</v>
      </c>
      <c r="M3104" s="452">
        <v>45897</v>
      </c>
      <c r="N3104">
        <v>2.12</v>
      </c>
      <c r="O3104">
        <v>2.12</v>
      </c>
      <c r="P3104">
        <v>19.13</v>
      </c>
    </row>
    <row r="3105" spans="1:16" x14ac:dyDescent="0.3">
      <c r="A3105">
        <v>49062</v>
      </c>
      <c r="B3105">
        <v>105</v>
      </c>
      <c r="C3105" t="s">
        <v>557</v>
      </c>
      <c r="D3105" s="452">
        <v>45901</v>
      </c>
      <c r="E3105">
        <v>19498</v>
      </c>
      <c r="F3105" t="s">
        <v>5487</v>
      </c>
      <c r="G3105">
        <v>2712</v>
      </c>
      <c r="H3105">
        <v>1.9</v>
      </c>
      <c r="I3105" t="s">
        <v>4744</v>
      </c>
      <c r="J3105" t="s">
        <v>5191</v>
      </c>
      <c r="K3105" t="s">
        <v>4038</v>
      </c>
      <c r="L3105">
        <v>9.5</v>
      </c>
      <c r="M3105" s="452">
        <v>45873</v>
      </c>
      <c r="N3105">
        <v>9.5</v>
      </c>
      <c r="O3105">
        <v>7</v>
      </c>
      <c r="P3105">
        <v>18.05</v>
      </c>
    </row>
    <row r="3106" spans="1:16" x14ac:dyDescent="0.3">
      <c r="A3106">
        <v>48998</v>
      </c>
      <c r="B3106">
        <v>105</v>
      </c>
      <c r="C3106" t="s">
        <v>557</v>
      </c>
      <c r="D3106" s="452">
        <v>45901</v>
      </c>
      <c r="E3106">
        <v>20138</v>
      </c>
      <c r="F3106" t="s">
        <v>4886</v>
      </c>
      <c r="G3106">
        <v>2284</v>
      </c>
      <c r="H3106">
        <v>3</v>
      </c>
      <c r="I3106" t="s">
        <v>4738</v>
      </c>
      <c r="J3106" t="s">
        <v>5191</v>
      </c>
      <c r="K3106" t="s">
        <v>4038</v>
      </c>
      <c r="L3106">
        <v>5.87</v>
      </c>
      <c r="M3106" s="452">
        <v>45897</v>
      </c>
      <c r="N3106">
        <v>6.8</v>
      </c>
      <c r="O3106">
        <v>5.96</v>
      </c>
      <c r="P3106">
        <v>17.61</v>
      </c>
    </row>
    <row r="3107" spans="1:16" x14ac:dyDescent="0.3">
      <c r="A3107">
        <v>49027</v>
      </c>
      <c r="B3107">
        <v>105</v>
      </c>
      <c r="C3107" t="s">
        <v>557</v>
      </c>
      <c r="D3107" s="452">
        <v>45901</v>
      </c>
      <c r="E3107">
        <v>19742</v>
      </c>
      <c r="F3107" t="s">
        <v>4900</v>
      </c>
      <c r="G3107">
        <v>2511</v>
      </c>
      <c r="H3107">
        <v>2.2000000000000002</v>
      </c>
      <c r="I3107" t="s">
        <v>4744</v>
      </c>
      <c r="J3107" t="s">
        <v>5191</v>
      </c>
      <c r="K3107" t="s">
        <v>4038</v>
      </c>
      <c r="L3107">
        <v>7.92</v>
      </c>
      <c r="M3107" s="452">
        <v>45900</v>
      </c>
      <c r="N3107">
        <v>8.4</v>
      </c>
      <c r="O3107">
        <v>8.4</v>
      </c>
      <c r="P3107">
        <v>17.420000000000002</v>
      </c>
    </row>
    <row r="3108" spans="1:16" x14ac:dyDescent="0.3">
      <c r="A3108">
        <v>49118</v>
      </c>
      <c r="B3108">
        <v>105</v>
      </c>
      <c r="C3108" t="s">
        <v>557</v>
      </c>
      <c r="D3108" s="452">
        <v>45901</v>
      </c>
      <c r="E3108">
        <v>19562</v>
      </c>
      <c r="F3108" t="s">
        <v>4939</v>
      </c>
      <c r="G3108">
        <v>2655</v>
      </c>
      <c r="H3108">
        <v>0.7</v>
      </c>
      <c r="I3108" t="s">
        <v>4744</v>
      </c>
      <c r="J3108" t="s">
        <v>5191</v>
      </c>
      <c r="K3108" t="s">
        <v>4038</v>
      </c>
      <c r="L3108">
        <v>24.85</v>
      </c>
      <c r="M3108" s="452">
        <v>45897</v>
      </c>
      <c r="N3108">
        <v>29</v>
      </c>
      <c r="O3108">
        <v>28</v>
      </c>
      <c r="P3108">
        <v>17.399999999999999</v>
      </c>
    </row>
    <row r="3109" spans="1:16" x14ac:dyDescent="0.3">
      <c r="A3109">
        <v>48981</v>
      </c>
      <c r="B3109">
        <v>105</v>
      </c>
      <c r="C3109" t="s">
        <v>557</v>
      </c>
      <c r="D3109" s="452">
        <v>45901</v>
      </c>
      <c r="E3109">
        <v>19783</v>
      </c>
      <c r="F3109" t="s">
        <v>4960</v>
      </c>
      <c r="G3109">
        <v>2475</v>
      </c>
      <c r="H3109">
        <v>3.8</v>
      </c>
      <c r="I3109" t="s">
        <v>4744</v>
      </c>
      <c r="J3109" t="s">
        <v>5191</v>
      </c>
      <c r="K3109" t="s">
        <v>4038</v>
      </c>
      <c r="L3109">
        <v>0</v>
      </c>
      <c r="M3109" s="452">
        <v>45820</v>
      </c>
      <c r="N3109">
        <v>4.5</v>
      </c>
      <c r="O3109">
        <v>3.5</v>
      </c>
      <c r="P3109">
        <v>17.100000000000001</v>
      </c>
    </row>
    <row r="3110" spans="1:16" x14ac:dyDescent="0.3">
      <c r="A3110">
        <v>49029</v>
      </c>
      <c r="B3110">
        <v>105</v>
      </c>
      <c r="C3110" t="s">
        <v>557</v>
      </c>
      <c r="D3110" s="452">
        <v>45901</v>
      </c>
      <c r="E3110">
        <v>19488</v>
      </c>
      <c r="F3110" t="s">
        <v>5107</v>
      </c>
      <c r="G3110">
        <v>2720</v>
      </c>
      <c r="H3110">
        <v>2.15</v>
      </c>
      <c r="I3110" t="s">
        <v>4744</v>
      </c>
      <c r="J3110" t="s">
        <v>5191</v>
      </c>
      <c r="K3110" t="s">
        <v>4038</v>
      </c>
      <c r="L3110">
        <v>7.74</v>
      </c>
      <c r="M3110" s="452">
        <v>45897</v>
      </c>
      <c r="N3110">
        <v>6.7</v>
      </c>
      <c r="O3110">
        <v>6.7</v>
      </c>
      <c r="P3110">
        <v>16.64</v>
      </c>
    </row>
    <row r="3111" spans="1:16" x14ac:dyDescent="0.3">
      <c r="A3111">
        <v>49046</v>
      </c>
      <c r="B3111">
        <v>105</v>
      </c>
      <c r="C3111" t="s">
        <v>557</v>
      </c>
      <c r="D3111" s="452">
        <v>45901</v>
      </c>
      <c r="E3111">
        <v>20961</v>
      </c>
      <c r="F3111" t="s">
        <v>5026</v>
      </c>
      <c r="G3111">
        <v>2015</v>
      </c>
      <c r="H3111">
        <v>2</v>
      </c>
      <c r="I3111" t="s">
        <v>4736</v>
      </c>
      <c r="J3111" t="s">
        <v>5191</v>
      </c>
      <c r="K3111" t="s">
        <v>4038</v>
      </c>
      <c r="L3111">
        <v>8.11</v>
      </c>
      <c r="M3111" s="452">
        <v>45887</v>
      </c>
      <c r="N3111">
        <v>8.11</v>
      </c>
      <c r="O3111">
        <v>8.11</v>
      </c>
      <c r="P3111">
        <v>16.22</v>
      </c>
    </row>
    <row r="3112" spans="1:16" x14ac:dyDescent="0.3">
      <c r="A3112">
        <v>49031</v>
      </c>
      <c r="B3112">
        <v>105</v>
      </c>
      <c r="C3112" t="s">
        <v>557</v>
      </c>
      <c r="D3112" s="452">
        <v>45901</v>
      </c>
      <c r="E3112">
        <v>19557</v>
      </c>
      <c r="F3112" t="s">
        <v>5051</v>
      </c>
      <c r="G3112">
        <v>2660</v>
      </c>
      <c r="H3112">
        <v>2.1</v>
      </c>
      <c r="I3112" t="s">
        <v>4744</v>
      </c>
      <c r="J3112" t="s">
        <v>5191</v>
      </c>
      <c r="K3112" t="s">
        <v>4038</v>
      </c>
      <c r="L3112">
        <v>0</v>
      </c>
      <c r="M3112" s="452">
        <v>45819</v>
      </c>
      <c r="N3112">
        <v>7.5</v>
      </c>
      <c r="O3112">
        <v>5</v>
      </c>
      <c r="P3112">
        <v>15.75</v>
      </c>
    </row>
    <row r="3113" spans="1:16" x14ac:dyDescent="0.3">
      <c r="A3113">
        <v>48901</v>
      </c>
      <c r="B3113">
        <v>105</v>
      </c>
      <c r="C3113" t="s">
        <v>557</v>
      </c>
      <c r="D3113" s="452">
        <v>45901</v>
      </c>
      <c r="E3113">
        <v>19553</v>
      </c>
      <c r="F3113" t="s">
        <v>4868</v>
      </c>
      <c r="G3113">
        <v>2663</v>
      </c>
      <c r="H3113">
        <v>8</v>
      </c>
      <c r="I3113" t="s">
        <v>4744</v>
      </c>
      <c r="J3113" t="s">
        <v>5191</v>
      </c>
      <c r="K3113" t="s">
        <v>4038</v>
      </c>
      <c r="L3113">
        <v>1.94</v>
      </c>
      <c r="M3113" s="452">
        <v>45883</v>
      </c>
      <c r="N3113">
        <v>2</v>
      </c>
      <c r="O3113">
        <v>3.75</v>
      </c>
      <c r="P3113">
        <v>15.52</v>
      </c>
    </row>
    <row r="3114" spans="1:16" x14ac:dyDescent="0.3">
      <c r="A3114">
        <v>49162</v>
      </c>
      <c r="B3114">
        <v>105</v>
      </c>
      <c r="C3114" t="s">
        <v>557</v>
      </c>
      <c r="D3114" s="452">
        <v>45901</v>
      </c>
      <c r="E3114">
        <v>27411</v>
      </c>
      <c r="F3114" t="s">
        <v>5488</v>
      </c>
      <c r="G3114">
        <v>2001</v>
      </c>
      <c r="H3114">
        <v>0.25</v>
      </c>
      <c r="I3114" t="s">
        <v>4736</v>
      </c>
      <c r="J3114" t="s">
        <v>5191</v>
      </c>
      <c r="K3114" t="s">
        <v>4038</v>
      </c>
      <c r="L3114">
        <v>0</v>
      </c>
      <c r="N3114">
        <v>0</v>
      </c>
      <c r="O3114">
        <v>0</v>
      </c>
      <c r="P3114">
        <v>14.48</v>
      </c>
    </row>
    <row r="3115" spans="1:16" x14ac:dyDescent="0.3">
      <c r="A3115">
        <v>48973</v>
      </c>
      <c r="B3115">
        <v>105</v>
      </c>
      <c r="C3115" t="s">
        <v>557</v>
      </c>
      <c r="D3115" s="452">
        <v>45901</v>
      </c>
      <c r="E3115">
        <v>25822</v>
      </c>
      <c r="F3115" t="s">
        <v>5468</v>
      </c>
      <c r="G3115">
        <v>6359</v>
      </c>
      <c r="H3115">
        <v>4</v>
      </c>
      <c r="I3115" t="s">
        <v>4736</v>
      </c>
      <c r="J3115" t="s">
        <v>5191</v>
      </c>
      <c r="K3115" t="s">
        <v>4038</v>
      </c>
      <c r="L3115">
        <v>0</v>
      </c>
      <c r="M3115" s="452">
        <v>45817</v>
      </c>
      <c r="N3115">
        <v>3.54</v>
      </c>
      <c r="O3115">
        <v>3.54</v>
      </c>
      <c r="P3115">
        <v>14.16</v>
      </c>
    </row>
    <row r="3116" spans="1:16" x14ac:dyDescent="0.3">
      <c r="A3116">
        <v>49122</v>
      </c>
      <c r="B3116">
        <v>105</v>
      </c>
      <c r="C3116" t="s">
        <v>557</v>
      </c>
      <c r="D3116" s="452">
        <v>45901</v>
      </c>
      <c r="E3116">
        <v>19939</v>
      </c>
      <c r="F3116" t="s">
        <v>5057</v>
      </c>
      <c r="G3116">
        <v>2365</v>
      </c>
      <c r="H3116">
        <v>0.64</v>
      </c>
      <c r="I3116" t="s">
        <v>4744</v>
      </c>
      <c r="J3116" t="s">
        <v>5191</v>
      </c>
      <c r="K3116" t="s">
        <v>4038</v>
      </c>
      <c r="L3116">
        <v>0</v>
      </c>
      <c r="M3116" s="452">
        <v>-693593</v>
      </c>
      <c r="N3116">
        <v>0</v>
      </c>
      <c r="O3116">
        <v>112</v>
      </c>
      <c r="P3116">
        <v>14.08</v>
      </c>
    </row>
    <row r="3117" spans="1:16" x14ac:dyDescent="0.3">
      <c r="A3117">
        <v>48915</v>
      </c>
      <c r="B3117">
        <v>105</v>
      </c>
      <c r="C3117" t="s">
        <v>557</v>
      </c>
      <c r="D3117" s="452">
        <v>45901</v>
      </c>
      <c r="E3117">
        <v>19632</v>
      </c>
      <c r="F3117" t="s">
        <v>4936</v>
      </c>
      <c r="G3117">
        <v>2604</v>
      </c>
      <c r="H3117">
        <v>6.8</v>
      </c>
      <c r="I3117" t="s">
        <v>4744</v>
      </c>
      <c r="J3117" t="s">
        <v>5191</v>
      </c>
      <c r="K3117" t="s">
        <v>4038</v>
      </c>
      <c r="L3117">
        <v>2.04</v>
      </c>
      <c r="M3117" s="452">
        <v>45897</v>
      </c>
      <c r="N3117">
        <v>1.68</v>
      </c>
      <c r="O3117">
        <v>2.8</v>
      </c>
      <c r="P3117">
        <v>13.87</v>
      </c>
    </row>
    <row r="3118" spans="1:16" x14ac:dyDescent="0.3">
      <c r="A3118">
        <v>49025</v>
      </c>
      <c r="B3118">
        <v>105</v>
      </c>
      <c r="C3118" t="s">
        <v>557</v>
      </c>
      <c r="D3118" s="452">
        <v>45901</v>
      </c>
      <c r="E3118">
        <v>19505</v>
      </c>
      <c r="F3118" t="s">
        <v>4872</v>
      </c>
      <c r="G3118">
        <v>2706</v>
      </c>
      <c r="H3118">
        <v>2.2999999999999998</v>
      </c>
      <c r="I3118" t="s">
        <v>4744</v>
      </c>
      <c r="J3118" t="s">
        <v>5191</v>
      </c>
      <c r="K3118" t="s">
        <v>4038</v>
      </c>
      <c r="L3118">
        <v>5.55</v>
      </c>
      <c r="M3118" s="452">
        <v>45897</v>
      </c>
      <c r="N3118">
        <v>4.47</v>
      </c>
      <c r="O3118">
        <v>4.47</v>
      </c>
      <c r="P3118">
        <v>12.76</v>
      </c>
    </row>
    <row r="3119" spans="1:16" x14ac:dyDescent="0.3">
      <c r="A3119">
        <v>48966</v>
      </c>
      <c r="B3119">
        <v>105</v>
      </c>
      <c r="C3119" t="s">
        <v>557</v>
      </c>
      <c r="D3119" s="452">
        <v>45901</v>
      </c>
      <c r="E3119">
        <v>23241</v>
      </c>
      <c r="F3119" t="s">
        <v>5469</v>
      </c>
      <c r="G3119">
        <v>2616</v>
      </c>
      <c r="H3119">
        <v>4.5</v>
      </c>
      <c r="I3119" t="s">
        <v>4744</v>
      </c>
      <c r="J3119" t="s">
        <v>5191</v>
      </c>
      <c r="K3119" t="s">
        <v>4038</v>
      </c>
      <c r="L3119">
        <v>2.82</v>
      </c>
      <c r="M3119" s="452">
        <v>45890</v>
      </c>
      <c r="N3119">
        <v>2.56</v>
      </c>
      <c r="O3119">
        <v>3</v>
      </c>
      <c r="P3119">
        <v>12.69</v>
      </c>
    </row>
    <row r="3120" spans="1:16" x14ac:dyDescent="0.3">
      <c r="A3120">
        <v>49066</v>
      </c>
      <c r="B3120">
        <v>105</v>
      </c>
      <c r="C3120" t="s">
        <v>557</v>
      </c>
      <c r="D3120" s="452">
        <v>45901</v>
      </c>
      <c r="E3120">
        <v>19647</v>
      </c>
      <c r="F3120" t="s">
        <v>5050</v>
      </c>
      <c r="G3120">
        <v>2591</v>
      </c>
      <c r="H3120">
        <v>1.6</v>
      </c>
      <c r="I3120" t="s">
        <v>4744</v>
      </c>
      <c r="J3120" t="s">
        <v>5191</v>
      </c>
      <c r="K3120" t="s">
        <v>4038</v>
      </c>
      <c r="L3120">
        <v>7.79</v>
      </c>
      <c r="M3120" s="452">
        <v>45897</v>
      </c>
      <c r="N3120">
        <v>8.5</v>
      </c>
      <c r="O3120">
        <v>9</v>
      </c>
      <c r="P3120">
        <v>12.46</v>
      </c>
    </row>
    <row r="3121" spans="1:16" x14ac:dyDescent="0.3">
      <c r="A3121">
        <v>49067</v>
      </c>
      <c r="B3121">
        <v>105</v>
      </c>
      <c r="C3121" t="s">
        <v>557</v>
      </c>
      <c r="D3121" s="452">
        <v>45901</v>
      </c>
      <c r="E3121">
        <v>19607</v>
      </c>
      <c r="F3121" t="s">
        <v>4981</v>
      </c>
      <c r="G3121">
        <v>2623</v>
      </c>
      <c r="H3121">
        <v>1.6</v>
      </c>
      <c r="I3121" t="s">
        <v>4744</v>
      </c>
      <c r="J3121" t="s">
        <v>5191</v>
      </c>
      <c r="K3121" t="s">
        <v>4038</v>
      </c>
      <c r="L3121">
        <v>7.51</v>
      </c>
      <c r="M3121" s="452">
        <v>45897</v>
      </c>
      <c r="N3121">
        <v>6.95</v>
      </c>
      <c r="O3121">
        <v>7.36</v>
      </c>
      <c r="P3121">
        <v>12.02</v>
      </c>
    </row>
    <row r="3122" spans="1:16" x14ac:dyDescent="0.3">
      <c r="A3122">
        <v>49125</v>
      </c>
      <c r="B3122">
        <v>105</v>
      </c>
      <c r="C3122" t="s">
        <v>557</v>
      </c>
      <c r="D3122" s="452">
        <v>45901</v>
      </c>
      <c r="E3122">
        <v>24272</v>
      </c>
      <c r="F3122" t="s">
        <v>5059</v>
      </c>
      <c r="G3122">
        <v>2341</v>
      </c>
      <c r="H3122">
        <v>0.5</v>
      </c>
      <c r="I3122" t="s">
        <v>4744</v>
      </c>
      <c r="J3122" t="s">
        <v>5191</v>
      </c>
      <c r="K3122" t="s">
        <v>4038</v>
      </c>
      <c r="L3122">
        <v>0</v>
      </c>
      <c r="M3122" s="452">
        <v>45737</v>
      </c>
      <c r="N3122">
        <v>24</v>
      </c>
      <c r="O3122">
        <v>24.5</v>
      </c>
      <c r="P3122">
        <v>12</v>
      </c>
    </row>
    <row r="3123" spans="1:16" x14ac:dyDescent="0.3">
      <c r="A3123">
        <v>48999</v>
      </c>
      <c r="B3123">
        <v>105</v>
      </c>
      <c r="C3123" t="s">
        <v>557</v>
      </c>
      <c r="D3123" s="452">
        <v>45901</v>
      </c>
      <c r="E3123">
        <v>25022</v>
      </c>
      <c r="F3123" t="s">
        <v>4912</v>
      </c>
      <c r="G3123">
        <v>5868</v>
      </c>
      <c r="H3123">
        <v>3</v>
      </c>
      <c r="I3123" t="s">
        <v>4738</v>
      </c>
      <c r="J3123" t="s">
        <v>5191</v>
      </c>
      <c r="K3123" t="s">
        <v>4038</v>
      </c>
      <c r="L3123">
        <v>3.97</v>
      </c>
      <c r="M3123" s="452">
        <v>45894</v>
      </c>
      <c r="N3123">
        <v>3.96</v>
      </c>
      <c r="O3123">
        <v>3.96</v>
      </c>
      <c r="P3123">
        <v>11.91</v>
      </c>
    </row>
    <row r="3124" spans="1:16" x14ac:dyDescent="0.3">
      <c r="A3124">
        <v>49124</v>
      </c>
      <c r="B3124">
        <v>105</v>
      </c>
      <c r="C3124" t="s">
        <v>557</v>
      </c>
      <c r="D3124" s="452">
        <v>45901</v>
      </c>
      <c r="E3124">
        <v>24296</v>
      </c>
      <c r="F3124" t="s">
        <v>5441</v>
      </c>
      <c r="G3124">
        <v>2250</v>
      </c>
      <c r="H3124">
        <v>0.54</v>
      </c>
      <c r="I3124" t="s">
        <v>4744</v>
      </c>
      <c r="J3124" t="s">
        <v>5191</v>
      </c>
      <c r="K3124" t="s">
        <v>4038</v>
      </c>
      <c r="L3124">
        <v>0</v>
      </c>
      <c r="M3124" s="452">
        <v>45856</v>
      </c>
      <c r="N3124">
        <v>21.7</v>
      </c>
      <c r="O3124">
        <v>21.7</v>
      </c>
      <c r="P3124">
        <v>11.72</v>
      </c>
    </row>
    <row r="3125" spans="1:16" x14ac:dyDescent="0.3">
      <c r="A3125">
        <v>49113</v>
      </c>
      <c r="B3125">
        <v>105</v>
      </c>
      <c r="C3125" t="s">
        <v>557</v>
      </c>
      <c r="D3125" s="452">
        <v>45901</v>
      </c>
      <c r="E3125">
        <v>17721</v>
      </c>
      <c r="F3125" t="s">
        <v>4977</v>
      </c>
      <c r="G3125">
        <v>3818</v>
      </c>
      <c r="H3125">
        <v>1</v>
      </c>
      <c r="I3125" t="s">
        <v>4805</v>
      </c>
      <c r="J3125" t="s">
        <v>5222</v>
      </c>
      <c r="K3125" t="s">
        <v>4038</v>
      </c>
      <c r="L3125">
        <v>0</v>
      </c>
      <c r="M3125" s="452">
        <v>45818</v>
      </c>
      <c r="N3125">
        <v>11.2</v>
      </c>
      <c r="O3125">
        <v>10.76</v>
      </c>
      <c r="P3125">
        <v>11.2</v>
      </c>
    </row>
    <row r="3126" spans="1:16" x14ac:dyDescent="0.3">
      <c r="A3126">
        <v>49131</v>
      </c>
      <c r="B3126">
        <v>105</v>
      </c>
      <c r="C3126" t="s">
        <v>557</v>
      </c>
      <c r="D3126" s="452">
        <v>45901</v>
      </c>
      <c r="E3126">
        <v>23124</v>
      </c>
      <c r="F3126" t="s">
        <v>5126</v>
      </c>
      <c r="G3126">
        <v>2727</v>
      </c>
      <c r="H3126">
        <v>0.22</v>
      </c>
      <c r="I3126" t="s">
        <v>4744</v>
      </c>
      <c r="J3126" t="s">
        <v>5191</v>
      </c>
      <c r="K3126" t="s">
        <v>4038</v>
      </c>
      <c r="L3126">
        <v>47.07</v>
      </c>
      <c r="M3126" s="452">
        <v>45883</v>
      </c>
      <c r="N3126">
        <v>51.2</v>
      </c>
      <c r="O3126">
        <v>50.8</v>
      </c>
      <c r="P3126">
        <v>10.36</v>
      </c>
    </row>
    <row r="3127" spans="1:16" x14ac:dyDescent="0.3">
      <c r="A3127">
        <v>49088</v>
      </c>
      <c r="B3127">
        <v>105</v>
      </c>
      <c r="C3127" t="s">
        <v>557</v>
      </c>
      <c r="D3127" s="452">
        <v>45901</v>
      </c>
      <c r="E3127">
        <v>20790</v>
      </c>
      <c r="F3127" t="s">
        <v>5020</v>
      </c>
      <c r="G3127">
        <v>2076</v>
      </c>
      <c r="H3127">
        <v>1</v>
      </c>
      <c r="I3127" t="s">
        <v>4744</v>
      </c>
      <c r="J3127" t="s">
        <v>5191</v>
      </c>
      <c r="K3127" t="s">
        <v>4038</v>
      </c>
      <c r="L3127">
        <v>10.199999999999999</v>
      </c>
      <c r="M3127" s="452">
        <v>45894</v>
      </c>
      <c r="N3127">
        <v>10.199999999999999</v>
      </c>
      <c r="O3127">
        <v>10.199999999999999</v>
      </c>
      <c r="P3127">
        <v>10.199999999999999</v>
      </c>
    </row>
    <row r="3128" spans="1:16" x14ac:dyDescent="0.3">
      <c r="A3128">
        <v>49089</v>
      </c>
      <c r="B3128">
        <v>105</v>
      </c>
      <c r="C3128" t="s">
        <v>557</v>
      </c>
      <c r="D3128" s="452">
        <v>45901</v>
      </c>
      <c r="E3128">
        <v>20795</v>
      </c>
      <c r="F3128" t="s">
        <v>5024</v>
      </c>
      <c r="G3128">
        <v>2076</v>
      </c>
      <c r="H3128">
        <v>1</v>
      </c>
      <c r="I3128" t="s">
        <v>4738</v>
      </c>
      <c r="J3128" t="s">
        <v>5191</v>
      </c>
      <c r="K3128" t="s">
        <v>4038</v>
      </c>
      <c r="L3128">
        <v>0</v>
      </c>
      <c r="M3128" s="452">
        <v>45852</v>
      </c>
      <c r="N3128">
        <v>10.199999999999999</v>
      </c>
      <c r="O3128">
        <v>10.199999999999999</v>
      </c>
      <c r="P3128">
        <v>10.199999999999999</v>
      </c>
    </row>
    <row r="3129" spans="1:16" x14ac:dyDescent="0.3">
      <c r="A3129">
        <v>49154</v>
      </c>
      <c r="B3129">
        <v>105</v>
      </c>
      <c r="C3129" t="s">
        <v>557</v>
      </c>
      <c r="D3129" s="452">
        <v>45901</v>
      </c>
      <c r="E3129">
        <v>20126</v>
      </c>
      <c r="F3129" t="s">
        <v>5489</v>
      </c>
      <c r="G3129">
        <v>2288</v>
      </c>
      <c r="H3129">
        <v>2</v>
      </c>
      <c r="I3129" t="s">
        <v>4738</v>
      </c>
      <c r="J3129" t="s">
        <v>5191</v>
      </c>
      <c r="K3129" t="s">
        <v>4038</v>
      </c>
      <c r="L3129">
        <v>0</v>
      </c>
      <c r="M3129" s="452">
        <v>45546</v>
      </c>
      <c r="N3129">
        <v>4.99</v>
      </c>
      <c r="O3129">
        <v>4</v>
      </c>
      <c r="P3129">
        <v>9.98</v>
      </c>
    </row>
    <row r="3130" spans="1:16" x14ac:dyDescent="0.3">
      <c r="A3130">
        <v>48979</v>
      </c>
      <c r="B3130">
        <v>105</v>
      </c>
      <c r="C3130" t="s">
        <v>557</v>
      </c>
      <c r="D3130" s="452">
        <v>45901</v>
      </c>
      <c r="E3130">
        <v>19509</v>
      </c>
      <c r="F3130" t="s">
        <v>5490</v>
      </c>
      <c r="G3130">
        <v>2703</v>
      </c>
      <c r="H3130">
        <v>3.9</v>
      </c>
      <c r="I3130" t="s">
        <v>4744</v>
      </c>
      <c r="J3130" t="s">
        <v>5191</v>
      </c>
      <c r="K3130" t="s">
        <v>4038</v>
      </c>
      <c r="L3130">
        <v>2.5299999999999998</v>
      </c>
      <c r="M3130" s="452">
        <v>45887</v>
      </c>
      <c r="N3130">
        <v>2</v>
      </c>
      <c r="O3130">
        <v>3</v>
      </c>
      <c r="P3130">
        <v>9.8699999999999992</v>
      </c>
    </row>
    <row r="3131" spans="1:16" x14ac:dyDescent="0.3">
      <c r="A3131">
        <v>49120</v>
      </c>
      <c r="B3131">
        <v>105</v>
      </c>
      <c r="C3131" t="s">
        <v>557</v>
      </c>
      <c r="D3131" s="452">
        <v>45901</v>
      </c>
      <c r="E3131">
        <v>27295</v>
      </c>
      <c r="F3131" t="s">
        <v>5491</v>
      </c>
      <c r="G3131">
        <v>5364</v>
      </c>
      <c r="H3131">
        <v>0.65</v>
      </c>
      <c r="I3131" t="s">
        <v>4744</v>
      </c>
      <c r="J3131" t="s">
        <v>5191</v>
      </c>
      <c r="K3131" t="s">
        <v>4038</v>
      </c>
      <c r="L3131">
        <v>0</v>
      </c>
      <c r="M3131" s="452">
        <v>-693593</v>
      </c>
      <c r="N3131">
        <v>0</v>
      </c>
      <c r="O3131">
        <v>0</v>
      </c>
      <c r="P3131">
        <v>9.16</v>
      </c>
    </row>
    <row r="3132" spans="1:16" x14ac:dyDescent="0.3">
      <c r="A3132">
        <v>49004</v>
      </c>
      <c r="B3132">
        <v>105</v>
      </c>
      <c r="C3132" t="s">
        <v>557</v>
      </c>
      <c r="D3132" s="452">
        <v>45901</v>
      </c>
      <c r="E3132">
        <v>19907</v>
      </c>
      <c r="F3132" t="s">
        <v>4802</v>
      </c>
      <c r="G3132">
        <v>2381</v>
      </c>
      <c r="H3132">
        <v>3</v>
      </c>
      <c r="I3132" t="s">
        <v>4736</v>
      </c>
      <c r="J3132" t="s">
        <v>5191</v>
      </c>
      <c r="K3132" t="s">
        <v>4038</v>
      </c>
      <c r="L3132">
        <v>0</v>
      </c>
      <c r="M3132" s="452">
        <v>45660</v>
      </c>
      <c r="N3132">
        <v>3.05</v>
      </c>
      <c r="O3132">
        <v>3.23</v>
      </c>
      <c r="P3132">
        <v>9.15</v>
      </c>
    </row>
    <row r="3133" spans="1:16" x14ac:dyDescent="0.3">
      <c r="A3133">
        <v>48975</v>
      </c>
      <c r="B3133">
        <v>105</v>
      </c>
      <c r="C3133" t="s">
        <v>557</v>
      </c>
      <c r="D3133" s="452">
        <v>45901</v>
      </c>
      <c r="E3133">
        <v>19622</v>
      </c>
      <c r="F3133" t="s">
        <v>4915</v>
      </c>
      <c r="G3133">
        <v>2612</v>
      </c>
      <c r="H3133">
        <v>4</v>
      </c>
      <c r="I3133" t="s">
        <v>4744</v>
      </c>
      <c r="J3133" t="s">
        <v>5191</v>
      </c>
      <c r="K3133" t="s">
        <v>4038</v>
      </c>
      <c r="L3133">
        <v>2.2799999999999998</v>
      </c>
      <c r="M3133" s="452">
        <v>45894</v>
      </c>
      <c r="N3133">
        <v>2.85</v>
      </c>
      <c r="O3133">
        <v>1.54</v>
      </c>
      <c r="P3133">
        <v>9.1199999999999992</v>
      </c>
    </row>
    <row r="3134" spans="1:16" x14ac:dyDescent="0.3">
      <c r="A3134">
        <v>49158</v>
      </c>
      <c r="B3134">
        <v>105</v>
      </c>
      <c r="C3134" t="s">
        <v>557</v>
      </c>
      <c r="D3134" s="452">
        <v>45901</v>
      </c>
      <c r="E3134">
        <v>19555</v>
      </c>
      <c r="F3134" t="s">
        <v>4903</v>
      </c>
      <c r="G3134">
        <v>2662</v>
      </c>
      <c r="H3134">
        <v>0.75</v>
      </c>
      <c r="I3134" t="s">
        <v>4744</v>
      </c>
      <c r="J3134" t="s">
        <v>5191</v>
      </c>
      <c r="K3134" t="s">
        <v>4038</v>
      </c>
      <c r="L3134">
        <v>0</v>
      </c>
      <c r="M3134" s="452">
        <v>-693593</v>
      </c>
      <c r="N3134">
        <v>0</v>
      </c>
      <c r="O3134">
        <v>10.58</v>
      </c>
      <c r="P3134">
        <v>7.94</v>
      </c>
    </row>
    <row r="3135" spans="1:16" x14ac:dyDescent="0.3">
      <c r="A3135">
        <v>49051</v>
      </c>
      <c r="B3135">
        <v>105</v>
      </c>
      <c r="C3135" t="s">
        <v>557</v>
      </c>
      <c r="D3135" s="452">
        <v>45901</v>
      </c>
      <c r="E3135">
        <v>19241</v>
      </c>
      <c r="F3135" t="s">
        <v>4890</v>
      </c>
      <c r="G3135">
        <v>2785</v>
      </c>
      <c r="H3135">
        <v>2</v>
      </c>
      <c r="I3135" t="s">
        <v>4736</v>
      </c>
      <c r="J3135" t="s">
        <v>5191</v>
      </c>
      <c r="K3135" t="s">
        <v>4038</v>
      </c>
      <c r="L3135">
        <v>3.75</v>
      </c>
      <c r="M3135" s="452">
        <v>45880</v>
      </c>
      <c r="N3135">
        <v>3.75</v>
      </c>
      <c r="O3135">
        <v>3.75</v>
      </c>
      <c r="P3135">
        <v>7.5</v>
      </c>
    </row>
    <row r="3136" spans="1:16" x14ac:dyDescent="0.3">
      <c r="A3136">
        <v>49119</v>
      </c>
      <c r="B3136">
        <v>105</v>
      </c>
      <c r="C3136" t="s">
        <v>557</v>
      </c>
      <c r="D3136" s="452">
        <v>45901</v>
      </c>
      <c r="E3136">
        <v>19577</v>
      </c>
      <c r="F3136" t="s">
        <v>4984</v>
      </c>
      <c r="G3136">
        <v>2641</v>
      </c>
      <c r="H3136">
        <v>0.67</v>
      </c>
      <c r="I3136" t="s">
        <v>4736</v>
      </c>
      <c r="J3136" t="s">
        <v>5191</v>
      </c>
      <c r="K3136" t="s">
        <v>4038</v>
      </c>
      <c r="L3136">
        <v>0</v>
      </c>
      <c r="M3136" s="452">
        <v>45532</v>
      </c>
      <c r="N3136">
        <v>10.199999999999999</v>
      </c>
      <c r="O3136">
        <v>16.899999999999999</v>
      </c>
      <c r="P3136">
        <v>6.83</v>
      </c>
    </row>
    <row r="3137" spans="1:16" x14ac:dyDescent="0.3">
      <c r="A3137">
        <v>49132</v>
      </c>
      <c r="B3137">
        <v>105</v>
      </c>
      <c r="C3137" t="s">
        <v>557</v>
      </c>
      <c r="D3137" s="452">
        <v>45901</v>
      </c>
      <c r="E3137">
        <v>23198</v>
      </c>
      <c r="F3137" t="s">
        <v>4962</v>
      </c>
      <c r="G3137">
        <v>2657</v>
      </c>
      <c r="H3137">
        <v>0.2</v>
      </c>
      <c r="I3137" t="s">
        <v>4744</v>
      </c>
      <c r="J3137" t="s">
        <v>5191</v>
      </c>
      <c r="K3137" t="s">
        <v>4038</v>
      </c>
      <c r="L3137">
        <v>25.51</v>
      </c>
      <c r="M3137" s="452">
        <v>45897</v>
      </c>
      <c r="N3137">
        <v>29</v>
      </c>
      <c r="O3137">
        <v>28</v>
      </c>
      <c r="P3137">
        <v>5.0999999999999996</v>
      </c>
    </row>
    <row r="3138" spans="1:16" x14ac:dyDescent="0.3">
      <c r="A3138">
        <v>49127</v>
      </c>
      <c r="B3138">
        <v>105</v>
      </c>
      <c r="C3138" t="s">
        <v>557</v>
      </c>
      <c r="D3138" s="452">
        <v>45901</v>
      </c>
      <c r="E3138">
        <v>19465</v>
      </c>
      <c r="F3138" t="s">
        <v>5114</v>
      </c>
      <c r="G3138">
        <v>2737</v>
      </c>
      <c r="H3138">
        <v>0.5</v>
      </c>
      <c r="I3138" t="s">
        <v>4744</v>
      </c>
      <c r="J3138" t="s">
        <v>5191</v>
      </c>
      <c r="K3138" t="s">
        <v>4038</v>
      </c>
      <c r="L3138">
        <v>5.7</v>
      </c>
      <c r="M3138" s="452">
        <v>45897</v>
      </c>
      <c r="N3138">
        <v>4.46</v>
      </c>
      <c r="O3138">
        <v>4.47</v>
      </c>
      <c r="P3138">
        <v>2.85</v>
      </c>
    </row>
    <row r="3139" spans="1:16" x14ac:dyDescent="0.3">
      <c r="A3139">
        <v>44144</v>
      </c>
      <c r="B3139">
        <v>105</v>
      </c>
      <c r="C3139" t="s">
        <v>557</v>
      </c>
      <c r="D3139" s="452">
        <v>45870</v>
      </c>
      <c r="E3139">
        <v>25775</v>
      </c>
      <c r="F3139" t="s">
        <v>5473</v>
      </c>
      <c r="G3139">
        <v>6321</v>
      </c>
      <c r="H3139">
        <v>36.25</v>
      </c>
      <c r="I3139" t="s">
        <v>4744</v>
      </c>
      <c r="J3139" t="s">
        <v>5191</v>
      </c>
      <c r="K3139" t="s">
        <v>4040</v>
      </c>
      <c r="L3139">
        <v>0</v>
      </c>
      <c r="M3139" s="452">
        <v>45831</v>
      </c>
      <c r="N3139">
        <v>116</v>
      </c>
      <c r="O3139">
        <v>62</v>
      </c>
      <c r="P3139">
        <v>4205</v>
      </c>
    </row>
    <row r="3140" spans="1:16" x14ac:dyDescent="0.3">
      <c r="A3140">
        <v>44165</v>
      </c>
      <c r="B3140">
        <v>105</v>
      </c>
      <c r="C3140" t="s">
        <v>557</v>
      </c>
      <c r="D3140" s="452">
        <v>45870</v>
      </c>
      <c r="E3140">
        <v>20544</v>
      </c>
      <c r="F3140" t="s">
        <v>4808</v>
      </c>
      <c r="G3140">
        <v>2144</v>
      </c>
      <c r="H3140">
        <v>19.2</v>
      </c>
      <c r="I3140" t="s">
        <v>4744</v>
      </c>
      <c r="J3140" t="s">
        <v>5191</v>
      </c>
      <c r="K3140" t="s">
        <v>4040</v>
      </c>
      <c r="L3140">
        <v>214.58</v>
      </c>
      <c r="M3140" s="452">
        <v>45855</v>
      </c>
      <c r="N3140">
        <v>214.58</v>
      </c>
      <c r="O3140">
        <v>214.58</v>
      </c>
      <c r="P3140">
        <v>4119.9399999999996</v>
      </c>
    </row>
    <row r="3141" spans="1:16" x14ac:dyDescent="0.3">
      <c r="A3141">
        <v>44138</v>
      </c>
      <c r="B3141">
        <v>105</v>
      </c>
      <c r="C3141" t="s">
        <v>557</v>
      </c>
      <c r="D3141" s="452">
        <v>45870</v>
      </c>
      <c r="E3141">
        <v>18945</v>
      </c>
      <c r="F3141" t="s">
        <v>4768</v>
      </c>
      <c r="G3141">
        <v>2929</v>
      </c>
      <c r="H3141">
        <v>52.3</v>
      </c>
      <c r="I3141" t="s">
        <v>4744</v>
      </c>
      <c r="J3141" t="s">
        <v>5191</v>
      </c>
      <c r="K3141" t="s">
        <v>4040</v>
      </c>
      <c r="L3141">
        <v>58.25</v>
      </c>
      <c r="M3141" s="452">
        <v>45860</v>
      </c>
      <c r="N3141">
        <v>58.25</v>
      </c>
      <c r="O3141">
        <v>58.25</v>
      </c>
      <c r="P3141">
        <v>3046.48</v>
      </c>
    </row>
    <row r="3142" spans="1:16" x14ac:dyDescent="0.3">
      <c r="A3142">
        <v>44157</v>
      </c>
      <c r="B3142">
        <v>105</v>
      </c>
      <c r="C3142" t="s">
        <v>557</v>
      </c>
      <c r="D3142" s="452">
        <v>45870</v>
      </c>
      <c r="E3142">
        <v>25785</v>
      </c>
      <c r="F3142" t="s">
        <v>5457</v>
      </c>
      <c r="G3142">
        <v>6326</v>
      </c>
      <c r="H3142">
        <v>28.84</v>
      </c>
      <c r="I3142" t="s">
        <v>4744</v>
      </c>
      <c r="J3142" t="s">
        <v>5191</v>
      </c>
      <c r="K3142" t="s">
        <v>4040</v>
      </c>
      <c r="L3142">
        <v>89.9</v>
      </c>
      <c r="M3142" s="452">
        <v>45848</v>
      </c>
      <c r="N3142">
        <v>89.9</v>
      </c>
      <c r="O3142">
        <v>89.9</v>
      </c>
      <c r="P3142">
        <v>2592.7199999999998</v>
      </c>
    </row>
    <row r="3143" spans="1:16" x14ac:dyDescent="0.3">
      <c r="A3143">
        <v>44162</v>
      </c>
      <c r="B3143">
        <v>105</v>
      </c>
      <c r="C3143" t="s">
        <v>557</v>
      </c>
      <c r="D3143" s="452">
        <v>45870</v>
      </c>
      <c r="E3143">
        <v>25777</v>
      </c>
      <c r="F3143" t="s">
        <v>4774</v>
      </c>
      <c r="G3143">
        <v>6322</v>
      </c>
      <c r="H3143">
        <v>23.1</v>
      </c>
      <c r="I3143" t="s">
        <v>4744</v>
      </c>
      <c r="J3143" t="s">
        <v>5191</v>
      </c>
      <c r="K3143" t="s">
        <v>4040</v>
      </c>
      <c r="L3143">
        <v>85</v>
      </c>
      <c r="M3143" s="452">
        <v>45852</v>
      </c>
      <c r="N3143">
        <v>85</v>
      </c>
      <c r="O3143">
        <v>85</v>
      </c>
      <c r="P3143">
        <v>1963.5</v>
      </c>
    </row>
    <row r="3144" spans="1:16" x14ac:dyDescent="0.3">
      <c r="A3144">
        <v>44134</v>
      </c>
      <c r="B3144">
        <v>105</v>
      </c>
      <c r="C3144" t="s">
        <v>557</v>
      </c>
      <c r="D3144" s="452">
        <v>45870</v>
      </c>
      <c r="E3144">
        <v>25779</v>
      </c>
      <c r="F3144" t="s">
        <v>5456</v>
      </c>
      <c r="G3144">
        <v>6323</v>
      </c>
      <c r="H3144">
        <v>68.8</v>
      </c>
      <c r="I3144" t="s">
        <v>4744</v>
      </c>
      <c r="J3144" t="s">
        <v>5191</v>
      </c>
      <c r="K3144" t="s">
        <v>4040</v>
      </c>
      <c r="L3144">
        <v>27.9</v>
      </c>
      <c r="M3144" s="452">
        <v>45866</v>
      </c>
      <c r="N3144">
        <v>27.9</v>
      </c>
      <c r="O3144">
        <v>27.9</v>
      </c>
      <c r="P3144">
        <v>1919.52</v>
      </c>
    </row>
    <row r="3145" spans="1:16" x14ac:dyDescent="0.3">
      <c r="A3145">
        <v>44153</v>
      </c>
      <c r="B3145">
        <v>105</v>
      </c>
      <c r="C3145" t="s">
        <v>557</v>
      </c>
      <c r="D3145" s="452">
        <v>45870</v>
      </c>
      <c r="E3145">
        <v>24217</v>
      </c>
      <c r="F3145" t="s">
        <v>4778</v>
      </c>
      <c r="G3145">
        <v>2937</v>
      </c>
      <c r="H3145">
        <v>30.69</v>
      </c>
      <c r="I3145" t="s">
        <v>4744</v>
      </c>
      <c r="J3145" t="s">
        <v>5191</v>
      </c>
      <c r="K3145" t="s">
        <v>4040</v>
      </c>
      <c r="L3145">
        <v>55</v>
      </c>
      <c r="M3145" s="452">
        <v>45852</v>
      </c>
      <c r="N3145">
        <v>55</v>
      </c>
      <c r="O3145">
        <v>34.9</v>
      </c>
      <c r="P3145">
        <v>1687.95</v>
      </c>
    </row>
    <row r="3146" spans="1:16" x14ac:dyDescent="0.3">
      <c r="A3146">
        <v>44218</v>
      </c>
      <c r="B3146">
        <v>105</v>
      </c>
      <c r="C3146" t="s">
        <v>557</v>
      </c>
      <c r="D3146" s="452">
        <v>45870</v>
      </c>
      <c r="E3146">
        <v>21021</v>
      </c>
      <c r="F3146" t="s">
        <v>4883</v>
      </c>
      <c r="G3146">
        <v>2003</v>
      </c>
      <c r="H3146">
        <v>9</v>
      </c>
      <c r="I3146" t="s">
        <v>4884</v>
      </c>
      <c r="J3146" t="s">
        <v>5191</v>
      </c>
      <c r="K3146" t="s">
        <v>4040</v>
      </c>
      <c r="L3146">
        <v>165.19</v>
      </c>
      <c r="M3146" s="452">
        <v>45863</v>
      </c>
      <c r="N3146">
        <v>164.9</v>
      </c>
      <c r="O3146">
        <v>164.9</v>
      </c>
      <c r="P3146">
        <v>1486.71</v>
      </c>
    </row>
    <row r="3147" spans="1:16" x14ac:dyDescent="0.3">
      <c r="A3147">
        <v>44126</v>
      </c>
      <c r="B3147">
        <v>105</v>
      </c>
      <c r="C3147" t="s">
        <v>557</v>
      </c>
      <c r="D3147" s="452">
        <v>45870</v>
      </c>
      <c r="E3147">
        <v>24129</v>
      </c>
      <c r="F3147" t="s">
        <v>4740</v>
      </c>
      <c r="G3147">
        <v>3076</v>
      </c>
      <c r="H3147">
        <v>192</v>
      </c>
      <c r="I3147" t="s">
        <v>4736</v>
      </c>
      <c r="J3147" t="s">
        <v>5222</v>
      </c>
      <c r="K3147" t="s">
        <v>4040</v>
      </c>
      <c r="L3147">
        <v>0</v>
      </c>
      <c r="M3147" s="452">
        <v>45512</v>
      </c>
      <c r="N3147">
        <v>7.7</v>
      </c>
      <c r="O3147">
        <v>7.95</v>
      </c>
      <c r="P3147">
        <v>1478.4</v>
      </c>
    </row>
    <row r="3148" spans="1:16" x14ac:dyDescent="0.3">
      <c r="A3148">
        <v>44179</v>
      </c>
      <c r="B3148">
        <v>105</v>
      </c>
      <c r="C3148" t="s">
        <v>557</v>
      </c>
      <c r="D3148" s="452">
        <v>45870</v>
      </c>
      <c r="E3148">
        <v>19291</v>
      </c>
      <c r="F3148" t="s">
        <v>4870</v>
      </c>
      <c r="G3148">
        <v>2775</v>
      </c>
      <c r="H3148">
        <v>15.55</v>
      </c>
      <c r="I3148" t="s">
        <v>4744</v>
      </c>
      <c r="J3148" t="s">
        <v>5191</v>
      </c>
      <c r="K3148" t="s">
        <v>4040</v>
      </c>
      <c r="L3148">
        <v>94.14</v>
      </c>
      <c r="M3148" s="452">
        <v>45849</v>
      </c>
      <c r="N3148">
        <v>112.96</v>
      </c>
      <c r="O3148">
        <v>52.1</v>
      </c>
      <c r="P3148">
        <v>1463.88</v>
      </c>
    </row>
    <row r="3149" spans="1:16" x14ac:dyDescent="0.3">
      <c r="A3149">
        <v>44124</v>
      </c>
      <c r="B3149">
        <v>105</v>
      </c>
      <c r="C3149" t="s">
        <v>557</v>
      </c>
      <c r="D3149" s="452">
        <v>45870</v>
      </c>
      <c r="E3149">
        <v>22654</v>
      </c>
      <c r="F3149" t="s">
        <v>4735</v>
      </c>
      <c r="G3149">
        <v>3083</v>
      </c>
      <c r="H3149">
        <v>240</v>
      </c>
      <c r="I3149" t="s">
        <v>4736</v>
      </c>
      <c r="J3149" t="s">
        <v>5222</v>
      </c>
      <c r="K3149" t="s">
        <v>4040</v>
      </c>
      <c r="L3149">
        <v>0</v>
      </c>
      <c r="M3149" s="452">
        <v>45679</v>
      </c>
      <c r="N3149">
        <v>5.61</v>
      </c>
      <c r="O3149">
        <v>4.49</v>
      </c>
      <c r="P3149">
        <v>1346.4</v>
      </c>
    </row>
    <row r="3150" spans="1:16" x14ac:dyDescent="0.3">
      <c r="A3150">
        <v>44127</v>
      </c>
      <c r="B3150">
        <v>105</v>
      </c>
      <c r="C3150" t="s">
        <v>557</v>
      </c>
      <c r="D3150" s="452">
        <v>45870</v>
      </c>
      <c r="E3150">
        <v>22623</v>
      </c>
      <c r="F3150" t="s">
        <v>4751</v>
      </c>
      <c r="G3150">
        <v>3106</v>
      </c>
      <c r="H3150">
        <v>189</v>
      </c>
      <c r="I3150" t="s">
        <v>4736</v>
      </c>
      <c r="J3150" t="s">
        <v>5222</v>
      </c>
      <c r="K3150" t="s">
        <v>4040</v>
      </c>
      <c r="L3150">
        <v>0</v>
      </c>
      <c r="M3150" s="452">
        <v>45679</v>
      </c>
      <c r="N3150">
        <v>6.83</v>
      </c>
      <c r="O3150">
        <v>6.83</v>
      </c>
      <c r="P3150">
        <v>1290.8699999999999</v>
      </c>
    </row>
    <row r="3151" spans="1:16" x14ac:dyDescent="0.3">
      <c r="A3151">
        <v>44180</v>
      </c>
      <c r="B3151">
        <v>105</v>
      </c>
      <c r="C3151" t="s">
        <v>557</v>
      </c>
      <c r="D3151" s="452">
        <v>45870</v>
      </c>
      <c r="E3151">
        <v>18731</v>
      </c>
      <c r="F3151" t="s">
        <v>4832</v>
      </c>
      <c r="G3151">
        <v>3020</v>
      </c>
      <c r="H3151">
        <v>15.45</v>
      </c>
      <c r="I3151" t="s">
        <v>4744</v>
      </c>
      <c r="J3151" t="s">
        <v>5191</v>
      </c>
      <c r="K3151" t="s">
        <v>4040</v>
      </c>
      <c r="L3151">
        <v>73</v>
      </c>
      <c r="M3151" s="452">
        <v>45853</v>
      </c>
      <c r="N3151">
        <v>73</v>
      </c>
      <c r="O3151">
        <v>72.5</v>
      </c>
      <c r="P3151">
        <v>1127.8499999999999</v>
      </c>
    </row>
    <row r="3152" spans="1:16" x14ac:dyDescent="0.3">
      <c r="A3152">
        <v>44139</v>
      </c>
      <c r="B3152">
        <v>105</v>
      </c>
      <c r="C3152" t="s">
        <v>557</v>
      </c>
      <c r="D3152" s="452">
        <v>45870</v>
      </c>
      <c r="E3152">
        <v>27145</v>
      </c>
      <c r="F3152" t="s">
        <v>5028</v>
      </c>
      <c r="G3152">
        <v>7186</v>
      </c>
      <c r="H3152">
        <v>1.67</v>
      </c>
      <c r="I3152" t="s">
        <v>4965</v>
      </c>
      <c r="J3152" t="s">
        <v>5222</v>
      </c>
      <c r="K3152" t="s">
        <v>4040</v>
      </c>
      <c r="L3152">
        <v>0</v>
      </c>
      <c r="N3152">
        <v>0</v>
      </c>
      <c r="O3152">
        <v>0</v>
      </c>
      <c r="P3152">
        <v>1117.95</v>
      </c>
    </row>
    <row r="3153" spans="1:16" x14ac:dyDescent="0.3">
      <c r="A3153">
        <v>44208</v>
      </c>
      <c r="B3153">
        <v>105</v>
      </c>
      <c r="C3153" t="s">
        <v>557</v>
      </c>
      <c r="D3153" s="452">
        <v>45870</v>
      </c>
      <c r="E3153">
        <v>18735</v>
      </c>
      <c r="F3153" t="s">
        <v>4891</v>
      </c>
      <c r="G3153">
        <v>3018</v>
      </c>
      <c r="H3153">
        <v>10.029999999999999</v>
      </c>
      <c r="I3153" t="s">
        <v>4744</v>
      </c>
      <c r="J3153" t="s">
        <v>5191</v>
      </c>
      <c r="K3153" t="s">
        <v>4040</v>
      </c>
      <c r="L3153">
        <v>96</v>
      </c>
      <c r="M3153" s="452">
        <v>45853</v>
      </c>
      <c r="N3153">
        <v>96</v>
      </c>
      <c r="O3153">
        <v>130</v>
      </c>
      <c r="P3153">
        <v>962.88</v>
      </c>
    </row>
    <row r="3154" spans="1:16" x14ac:dyDescent="0.3">
      <c r="A3154">
        <v>44159</v>
      </c>
      <c r="B3154">
        <v>105</v>
      </c>
      <c r="C3154" t="s">
        <v>557</v>
      </c>
      <c r="D3154" s="452">
        <v>45870</v>
      </c>
      <c r="E3154">
        <v>19003</v>
      </c>
      <c r="F3154" t="s">
        <v>4810</v>
      </c>
      <c r="G3154">
        <v>2897</v>
      </c>
      <c r="H3154">
        <v>25.78</v>
      </c>
      <c r="I3154" t="s">
        <v>4744</v>
      </c>
      <c r="J3154" t="s">
        <v>5191</v>
      </c>
      <c r="K3154" t="s">
        <v>4040</v>
      </c>
      <c r="L3154">
        <v>35.9</v>
      </c>
      <c r="M3154" s="452">
        <v>45869</v>
      </c>
      <c r="N3154">
        <v>35.9</v>
      </c>
      <c r="O3154">
        <v>35.9</v>
      </c>
      <c r="P3154">
        <v>925.5</v>
      </c>
    </row>
    <row r="3155" spans="1:16" x14ac:dyDescent="0.3">
      <c r="A3155">
        <v>44345</v>
      </c>
      <c r="B3155">
        <v>105</v>
      </c>
      <c r="C3155" t="s">
        <v>557</v>
      </c>
      <c r="D3155" s="452">
        <v>45870</v>
      </c>
      <c r="E3155">
        <v>18636</v>
      </c>
      <c r="F3155" t="s">
        <v>4964</v>
      </c>
      <c r="G3155">
        <v>3075</v>
      </c>
      <c r="H3155">
        <v>2</v>
      </c>
      <c r="I3155" t="s">
        <v>4965</v>
      </c>
      <c r="J3155" t="s">
        <v>5222</v>
      </c>
      <c r="K3155" t="s">
        <v>4040</v>
      </c>
      <c r="L3155">
        <v>446.16</v>
      </c>
      <c r="M3155" s="452">
        <v>45859</v>
      </c>
      <c r="N3155">
        <v>446.16</v>
      </c>
      <c r="O3155">
        <v>430.01</v>
      </c>
      <c r="P3155">
        <v>892.32</v>
      </c>
    </row>
    <row r="3156" spans="1:16" x14ac:dyDescent="0.3">
      <c r="A3156">
        <v>44155</v>
      </c>
      <c r="B3156">
        <v>105</v>
      </c>
      <c r="C3156" t="s">
        <v>557</v>
      </c>
      <c r="D3156" s="452">
        <v>45870</v>
      </c>
      <c r="E3156">
        <v>22118</v>
      </c>
      <c r="F3156" t="s">
        <v>4765</v>
      </c>
      <c r="G3156">
        <v>3600</v>
      </c>
      <c r="H3156">
        <v>30</v>
      </c>
      <c r="I3156" t="s">
        <v>4749</v>
      </c>
      <c r="J3156" t="s">
        <v>5222</v>
      </c>
      <c r="K3156" t="s">
        <v>4040</v>
      </c>
      <c r="L3156">
        <v>28.56</v>
      </c>
      <c r="M3156" s="452">
        <v>45859</v>
      </c>
      <c r="N3156">
        <v>29.64</v>
      </c>
      <c r="O3156">
        <v>29.64</v>
      </c>
      <c r="P3156">
        <v>856.8</v>
      </c>
    </row>
    <row r="3157" spans="1:16" x14ac:dyDescent="0.3">
      <c r="A3157">
        <v>44167</v>
      </c>
      <c r="B3157">
        <v>105</v>
      </c>
      <c r="C3157" t="s">
        <v>557</v>
      </c>
      <c r="D3157" s="452">
        <v>45870</v>
      </c>
      <c r="E3157">
        <v>19322</v>
      </c>
      <c r="F3157" t="s">
        <v>4830</v>
      </c>
      <c r="G3157">
        <v>2773</v>
      </c>
      <c r="H3157">
        <v>18.8</v>
      </c>
      <c r="I3157" t="s">
        <v>4744</v>
      </c>
      <c r="J3157" t="s">
        <v>5191</v>
      </c>
      <c r="K3157" t="s">
        <v>4040</v>
      </c>
      <c r="L3157">
        <v>44.1</v>
      </c>
      <c r="M3157" s="452">
        <v>45863</v>
      </c>
      <c r="N3157">
        <v>42.55</v>
      </c>
      <c r="O3157">
        <v>42.55</v>
      </c>
      <c r="P3157">
        <v>829.08</v>
      </c>
    </row>
    <row r="3158" spans="1:16" x14ac:dyDescent="0.3">
      <c r="A3158">
        <v>44273</v>
      </c>
      <c r="B3158">
        <v>105</v>
      </c>
      <c r="C3158" t="s">
        <v>557</v>
      </c>
      <c r="D3158" s="452">
        <v>45870</v>
      </c>
      <c r="E3158">
        <v>21054</v>
      </c>
      <c r="F3158" t="s">
        <v>5492</v>
      </c>
      <c r="G3158">
        <v>1999</v>
      </c>
      <c r="H3158">
        <v>4</v>
      </c>
      <c r="I3158" t="s">
        <v>4736</v>
      </c>
      <c r="J3158" t="s">
        <v>5191</v>
      </c>
      <c r="K3158" t="s">
        <v>4040</v>
      </c>
      <c r="L3158">
        <v>0</v>
      </c>
      <c r="M3158" s="452">
        <v>45678</v>
      </c>
      <c r="N3158">
        <v>184.9</v>
      </c>
      <c r="O3158">
        <v>184.9</v>
      </c>
      <c r="P3158">
        <v>739.6</v>
      </c>
    </row>
    <row r="3159" spans="1:16" x14ac:dyDescent="0.3">
      <c r="A3159">
        <v>44141</v>
      </c>
      <c r="B3159">
        <v>105</v>
      </c>
      <c r="C3159" t="s">
        <v>557</v>
      </c>
      <c r="D3159" s="452">
        <v>45870</v>
      </c>
      <c r="E3159">
        <v>19041</v>
      </c>
      <c r="F3159" t="s">
        <v>4762</v>
      </c>
      <c r="G3159">
        <v>2890</v>
      </c>
      <c r="H3159">
        <v>46.5</v>
      </c>
      <c r="I3159" t="s">
        <v>4744</v>
      </c>
      <c r="J3159" t="s">
        <v>5191</v>
      </c>
      <c r="K3159" t="s">
        <v>4040</v>
      </c>
      <c r="L3159">
        <v>15.3</v>
      </c>
      <c r="M3159" s="452">
        <v>45866</v>
      </c>
      <c r="N3159">
        <v>15.39</v>
      </c>
      <c r="O3159">
        <v>12.98</v>
      </c>
      <c r="P3159">
        <v>711.45</v>
      </c>
    </row>
    <row r="3160" spans="1:16" x14ac:dyDescent="0.3">
      <c r="A3160">
        <v>44190</v>
      </c>
      <c r="B3160">
        <v>105</v>
      </c>
      <c r="C3160" t="s">
        <v>557</v>
      </c>
      <c r="D3160" s="452">
        <v>45870</v>
      </c>
      <c r="E3160">
        <v>24320</v>
      </c>
      <c r="F3160" t="s">
        <v>4861</v>
      </c>
      <c r="G3160">
        <v>2942</v>
      </c>
      <c r="H3160">
        <v>14.25</v>
      </c>
      <c r="I3160" t="s">
        <v>4744</v>
      </c>
      <c r="J3160" t="s">
        <v>5191</v>
      </c>
      <c r="K3160" t="s">
        <v>4040</v>
      </c>
      <c r="L3160">
        <v>0</v>
      </c>
      <c r="M3160" s="452">
        <v>45831</v>
      </c>
      <c r="N3160">
        <v>49.9</v>
      </c>
      <c r="O3160">
        <v>33.799999999999997</v>
      </c>
      <c r="P3160">
        <v>711.08</v>
      </c>
    </row>
    <row r="3161" spans="1:16" x14ac:dyDescent="0.3">
      <c r="A3161">
        <v>44140</v>
      </c>
      <c r="B3161">
        <v>105</v>
      </c>
      <c r="C3161" t="s">
        <v>557</v>
      </c>
      <c r="D3161" s="452">
        <v>45870</v>
      </c>
      <c r="E3161">
        <v>17886</v>
      </c>
      <c r="F3161" t="s">
        <v>5083</v>
      </c>
      <c r="G3161">
        <v>3670</v>
      </c>
      <c r="H3161">
        <v>49</v>
      </c>
      <c r="I3161" t="s">
        <v>4738</v>
      </c>
      <c r="J3161" t="s">
        <v>5222</v>
      </c>
      <c r="K3161" t="s">
        <v>4040</v>
      </c>
      <c r="L3161">
        <v>14.32</v>
      </c>
      <c r="M3161" s="452">
        <v>45859</v>
      </c>
      <c r="N3161">
        <v>28.32</v>
      </c>
      <c r="O3161">
        <v>27.69</v>
      </c>
      <c r="P3161">
        <v>701.68</v>
      </c>
    </row>
    <row r="3162" spans="1:16" x14ac:dyDescent="0.3">
      <c r="A3162">
        <v>44194</v>
      </c>
      <c r="B3162">
        <v>105</v>
      </c>
      <c r="C3162" t="s">
        <v>557</v>
      </c>
      <c r="D3162" s="452">
        <v>45870</v>
      </c>
      <c r="E3162">
        <v>19356</v>
      </c>
      <c r="F3162" t="s">
        <v>4799</v>
      </c>
      <c r="G3162">
        <v>2768</v>
      </c>
      <c r="H3162">
        <v>13.86</v>
      </c>
      <c r="I3162" t="s">
        <v>4744</v>
      </c>
      <c r="J3162" t="s">
        <v>5191</v>
      </c>
      <c r="K3162" t="s">
        <v>4040</v>
      </c>
      <c r="L3162">
        <v>50.21</v>
      </c>
      <c r="M3162" s="452">
        <v>45853</v>
      </c>
      <c r="N3162">
        <v>49.2</v>
      </c>
      <c r="O3162">
        <v>55.9</v>
      </c>
      <c r="P3162">
        <v>695.91</v>
      </c>
    </row>
    <row r="3163" spans="1:16" x14ac:dyDescent="0.3">
      <c r="A3163">
        <v>44235</v>
      </c>
      <c r="B3163">
        <v>105</v>
      </c>
      <c r="C3163" t="s">
        <v>557</v>
      </c>
      <c r="D3163" s="452">
        <v>45870</v>
      </c>
      <c r="E3163">
        <v>25789</v>
      </c>
      <c r="F3163" t="s">
        <v>4902</v>
      </c>
      <c r="G3163">
        <v>6328</v>
      </c>
      <c r="H3163">
        <v>6.9</v>
      </c>
      <c r="I3163" t="s">
        <v>4744</v>
      </c>
      <c r="J3163" t="s">
        <v>5191</v>
      </c>
      <c r="K3163" t="s">
        <v>4040</v>
      </c>
      <c r="L3163">
        <v>0</v>
      </c>
      <c r="M3163" s="452">
        <v>45671</v>
      </c>
      <c r="N3163">
        <v>99.8</v>
      </c>
      <c r="O3163">
        <v>99.8</v>
      </c>
      <c r="P3163">
        <v>688.62</v>
      </c>
    </row>
    <row r="3164" spans="1:16" x14ac:dyDescent="0.3">
      <c r="A3164">
        <v>44207</v>
      </c>
      <c r="B3164">
        <v>105</v>
      </c>
      <c r="C3164" t="s">
        <v>557</v>
      </c>
      <c r="D3164" s="452">
        <v>45870</v>
      </c>
      <c r="E3164">
        <v>24259</v>
      </c>
      <c r="F3164" t="s">
        <v>4875</v>
      </c>
      <c r="G3164">
        <v>2938</v>
      </c>
      <c r="H3164">
        <v>10.16</v>
      </c>
      <c r="I3164" t="s">
        <v>4744</v>
      </c>
      <c r="J3164" t="s">
        <v>5191</v>
      </c>
      <c r="K3164" t="s">
        <v>4040</v>
      </c>
      <c r="L3164">
        <v>64.06</v>
      </c>
      <c r="M3164" s="452">
        <v>45852</v>
      </c>
      <c r="N3164">
        <v>72</v>
      </c>
      <c r="O3164">
        <v>51.5</v>
      </c>
      <c r="P3164">
        <v>650.85</v>
      </c>
    </row>
    <row r="3165" spans="1:16" x14ac:dyDescent="0.3">
      <c r="A3165">
        <v>44150</v>
      </c>
      <c r="B3165">
        <v>105</v>
      </c>
      <c r="C3165" t="s">
        <v>557</v>
      </c>
      <c r="D3165" s="452">
        <v>45870</v>
      </c>
      <c r="E3165">
        <v>20501</v>
      </c>
      <c r="F3165" t="s">
        <v>4760</v>
      </c>
      <c r="G3165">
        <v>2154</v>
      </c>
      <c r="H3165">
        <v>32</v>
      </c>
      <c r="I3165" t="s">
        <v>4744</v>
      </c>
      <c r="J3165" t="s">
        <v>5191</v>
      </c>
      <c r="K3165" t="s">
        <v>4040</v>
      </c>
      <c r="L3165">
        <v>0</v>
      </c>
      <c r="M3165" s="452">
        <v>45797</v>
      </c>
      <c r="N3165">
        <v>19.989999999999998</v>
      </c>
      <c r="O3165">
        <v>23.8</v>
      </c>
      <c r="P3165">
        <v>639.67999999999995</v>
      </c>
    </row>
    <row r="3166" spans="1:16" x14ac:dyDescent="0.3">
      <c r="A3166">
        <v>44191</v>
      </c>
      <c r="B3166">
        <v>105</v>
      </c>
      <c r="C3166" t="s">
        <v>557</v>
      </c>
      <c r="D3166" s="452">
        <v>45870</v>
      </c>
      <c r="E3166">
        <v>24116</v>
      </c>
      <c r="F3166" t="s">
        <v>4777</v>
      </c>
      <c r="G3166">
        <v>2924</v>
      </c>
      <c r="H3166">
        <v>14.15</v>
      </c>
      <c r="I3166" t="s">
        <v>4744</v>
      </c>
      <c r="J3166" t="s">
        <v>5191</v>
      </c>
      <c r="K3166" t="s">
        <v>4040</v>
      </c>
      <c r="L3166">
        <v>44</v>
      </c>
      <c r="M3166" s="452">
        <v>45865</v>
      </c>
      <c r="N3166">
        <v>44</v>
      </c>
      <c r="O3166">
        <v>44</v>
      </c>
      <c r="P3166">
        <v>622.6</v>
      </c>
    </row>
    <row r="3167" spans="1:16" x14ac:dyDescent="0.3">
      <c r="A3167">
        <v>44252</v>
      </c>
      <c r="B3167">
        <v>105</v>
      </c>
      <c r="C3167" t="s">
        <v>557</v>
      </c>
      <c r="D3167" s="452">
        <v>45870</v>
      </c>
      <c r="E3167">
        <v>17578</v>
      </c>
      <c r="F3167" t="s">
        <v>4842</v>
      </c>
      <c r="G3167">
        <v>3948</v>
      </c>
      <c r="H3167">
        <v>6</v>
      </c>
      <c r="I3167" t="s">
        <v>4805</v>
      </c>
      <c r="J3167" t="s">
        <v>5222</v>
      </c>
      <c r="K3167" t="s">
        <v>4040</v>
      </c>
      <c r="L3167">
        <v>101.4</v>
      </c>
      <c r="M3167" s="452">
        <v>45861</v>
      </c>
      <c r="N3167">
        <v>101.4</v>
      </c>
      <c r="O3167">
        <v>101.4</v>
      </c>
      <c r="P3167">
        <v>608.4</v>
      </c>
    </row>
    <row r="3168" spans="1:16" x14ac:dyDescent="0.3">
      <c r="A3168">
        <v>44161</v>
      </c>
      <c r="B3168">
        <v>105</v>
      </c>
      <c r="C3168" t="s">
        <v>557</v>
      </c>
      <c r="D3168" s="452">
        <v>45870</v>
      </c>
      <c r="E3168">
        <v>25205</v>
      </c>
      <c r="F3168" t="s">
        <v>4850</v>
      </c>
      <c r="G3168">
        <v>5944</v>
      </c>
      <c r="H3168">
        <v>24.2</v>
      </c>
      <c r="I3168" t="s">
        <v>4744</v>
      </c>
      <c r="J3168" t="s">
        <v>5191</v>
      </c>
      <c r="K3168" t="s">
        <v>4040</v>
      </c>
      <c r="L3168">
        <v>23.73</v>
      </c>
      <c r="M3168" s="452">
        <v>45852</v>
      </c>
      <c r="N3168">
        <v>20.65</v>
      </c>
      <c r="O3168">
        <v>18.899999999999999</v>
      </c>
      <c r="P3168">
        <v>574.27</v>
      </c>
    </row>
    <row r="3169" spans="1:16" x14ac:dyDescent="0.3">
      <c r="A3169">
        <v>44186</v>
      </c>
      <c r="B3169">
        <v>105</v>
      </c>
      <c r="C3169" t="s">
        <v>557</v>
      </c>
      <c r="D3169" s="452">
        <v>45870</v>
      </c>
      <c r="E3169">
        <v>24256</v>
      </c>
      <c r="F3169" t="s">
        <v>4773</v>
      </c>
      <c r="G3169">
        <v>3003</v>
      </c>
      <c r="H3169">
        <v>15</v>
      </c>
      <c r="I3169" t="s">
        <v>4744</v>
      </c>
      <c r="J3169" t="s">
        <v>5191</v>
      </c>
      <c r="K3169" t="s">
        <v>4040</v>
      </c>
      <c r="L3169">
        <v>38</v>
      </c>
      <c r="M3169" s="452">
        <v>45863</v>
      </c>
      <c r="N3169">
        <v>38</v>
      </c>
      <c r="O3169">
        <v>38</v>
      </c>
      <c r="P3169">
        <v>570</v>
      </c>
    </row>
    <row r="3170" spans="1:16" x14ac:dyDescent="0.3">
      <c r="A3170">
        <v>44172</v>
      </c>
      <c r="B3170">
        <v>105</v>
      </c>
      <c r="C3170" t="s">
        <v>557</v>
      </c>
      <c r="D3170" s="452">
        <v>45870</v>
      </c>
      <c r="E3170">
        <v>18475</v>
      </c>
      <c r="F3170" t="s">
        <v>4895</v>
      </c>
      <c r="G3170">
        <v>3181</v>
      </c>
      <c r="H3170">
        <v>17</v>
      </c>
      <c r="I3170" t="s">
        <v>4805</v>
      </c>
      <c r="J3170" t="s">
        <v>5222</v>
      </c>
      <c r="K3170" t="s">
        <v>4040</v>
      </c>
      <c r="L3170">
        <v>32.9</v>
      </c>
      <c r="M3170" s="452">
        <v>45854</v>
      </c>
      <c r="N3170">
        <v>32.9</v>
      </c>
      <c r="O3170">
        <v>32.9</v>
      </c>
      <c r="P3170">
        <v>559.29999999999995</v>
      </c>
    </row>
    <row r="3171" spans="1:16" x14ac:dyDescent="0.3">
      <c r="A3171">
        <v>44129</v>
      </c>
      <c r="B3171">
        <v>105</v>
      </c>
      <c r="C3171" t="s">
        <v>557</v>
      </c>
      <c r="D3171" s="452">
        <v>45870</v>
      </c>
      <c r="E3171">
        <v>22652</v>
      </c>
      <c r="F3171" t="s">
        <v>4759</v>
      </c>
      <c r="G3171">
        <v>3085</v>
      </c>
      <c r="H3171">
        <v>91</v>
      </c>
      <c r="I3171" t="s">
        <v>4736</v>
      </c>
      <c r="J3171" t="s">
        <v>5222</v>
      </c>
      <c r="K3171" t="s">
        <v>4040</v>
      </c>
      <c r="L3171">
        <v>0</v>
      </c>
      <c r="M3171" s="452">
        <v>45679</v>
      </c>
      <c r="N3171">
        <v>5.95</v>
      </c>
      <c r="O3171">
        <v>4.09</v>
      </c>
      <c r="P3171">
        <v>541.45000000000005</v>
      </c>
    </row>
    <row r="3172" spans="1:16" x14ac:dyDescent="0.3">
      <c r="A3172">
        <v>44201</v>
      </c>
      <c r="B3172">
        <v>105</v>
      </c>
      <c r="C3172" t="s">
        <v>557</v>
      </c>
      <c r="D3172" s="452">
        <v>45870</v>
      </c>
      <c r="E3172">
        <v>18832</v>
      </c>
      <c r="F3172" t="s">
        <v>4785</v>
      </c>
      <c r="G3172">
        <v>2950</v>
      </c>
      <c r="H3172">
        <v>11.9</v>
      </c>
      <c r="I3172" t="s">
        <v>4744</v>
      </c>
      <c r="J3172" t="s">
        <v>5191</v>
      </c>
      <c r="K3172" t="s">
        <v>4040</v>
      </c>
      <c r="L3172">
        <v>45</v>
      </c>
      <c r="M3172" s="452">
        <v>45852</v>
      </c>
      <c r="N3172">
        <v>45</v>
      </c>
      <c r="O3172">
        <v>41.9</v>
      </c>
      <c r="P3172">
        <v>535.5</v>
      </c>
    </row>
    <row r="3173" spans="1:16" x14ac:dyDescent="0.3">
      <c r="A3173">
        <v>44262</v>
      </c>
      <c r="B3173">
        <v>105</v>
      </c>
      <c r="C3173" t="s">
        <v>557</v>
      </c>
      <c r="D3173" s="452">
        <v>45870</v>
      </c>
      <c r="E3173">
        <v>18179</v>
      </c>
      <c r="F3173" t="s">
        <v>4924</v>
      </c>
      <c r="G3173">
        <v>3443</v>
      </c>
      <c r="H3173">
        <v>5</v>
      </c>
      <c r="I3173" t="s">
        <v>4805</v>
      </c>
      <c r="J3173" t="s">
        <v>5222</v>
      </c>
      <c r="K3173" t="s">
        <v>4040</v>
      </c>
      <c r="L3173">
        <v>0</v>
      </c>
      <c r="M3173" s="452">
        <v>45646</v>
      </c>
      <c r="N3173">
        <v>102.56</v>
      </c>
      <c r="O3173">
        <v>105.56</v>
      </c>
      <c r="P3173">
        <v>512.79999999999995</v>
      </c>
    </row>
    <row r="3174" spans="1:16" x14ac:dyDescent="0.3">
      <c r="A3174">
        <v>44283</v>
      </c>
      <c r="B3174">
        <v>105</v>
      </c>
      <c r="C3174" t="s">
        <v>557</v>
      </c>
      <c r="D3174" s="452">
        <v>45870</v>
      </c>
      <c r="E3174">
        <v>17607</v>
      </c>
      <c r="F3174" t="s">
        <v>5436</v>
      </c>
      <c r="G3174">
        <v>3919</v>
      </c>
      <c r="H3174">
        <v>4</v>
      </c>
      <c r="I3174" t="s">
        <v>4736</v>
      </c>
      <c r="J3174" t="s">
        <v>5222</v>
      </c>
      <c r="K3174" t="s">
        <v>4040</v>
      </c>
      <c r="L3174">
        <v>0</v>
      </c>
      <c r="M3174" s="452">
        <v>-693593</v>
      </c>
      <c r="N3174">
        <v>0</v>
      </c>
      <c r="O3174">
        <v>0</v>
      </c>
      <c r="P3174">
        <v>489.24</v>
      </c>
    </row>
    <row r="3175" spans="1:16" x14ac:dyDescent="0.3">
      <c r="A3175">
        <v>44222</v>
      </c>
      <c r="B3175">
        <v>105</v>
      </c>
      <c r="C3175" t="s">
        <v>557</v>
      </c>
      <c r="D3175" s="452">
        <v>45870</v>
      </c>
      <c r="E3175">
        <v>19346</v>
      </c>
      <c r="F3175" t="s">
        <v>4835</v>
      </c>
      <c r="G3175">
        <v>2770</v>
      </c>
      <c r="H3175">
        <v>8.8000000000000007</v>
      </c>
      <c r="I3175" t="s">
        <v>4744</v>
      </c>
      <c r="J3175" t="s">
        <v>5191</v>
      </c>
      <c r="K3175" t="s">
        <v>4040</v>
      </c>
      <c r="L3175">
        <v>54.7</v>
      </c>
      <c r="M3175" s="452">
        <v>45863</v>
      </c>
      <c r="N3175">
        <v>54.5</v>
      </c>
      <c r="O3175">
        <v>54.5</v>
      </c>
      <c r="P3175">
        <v>481.36</v>
      </c>
    </row>
    <row r="3176" spans="1:16" x14ac:dyDescent="0.3">
      <c r="A3176">
        <v>44195</v>
      </c>
      <c r="B3176">
        <v>105</v>
      </c>
      <c r="C3176" t="s">
        <v>557</v>
      </c>
      <c r="D3176" s="452">
        <v>45870</v>
      </c>
      <c r="E3176">
        <v>26495</v>
      </c>
      <c r="F3176" t="s">
        <v>4867</v>
      </c>
      <c r="G3176">
        <v>5447</v>
      </c>
      <c r="H3176">
        <v>13.08</v>
      </c>
      <c r="I3176" t="s">
        <v>4744</v>
      </c>
      <c r="J3176" t="s">
        <v>5191</v>
      </c>
      <c r="K3176" t="s">
        <v>4040</v>
      </c>
      <c r="L3176">
        <v>0</v>
      </c>
      <c r="M3176" s="452">
        <v>45793</v>
      </c>
      <c r="N3176">
        <v>36.200000000000003</v>
      </c>
      <c r="O3176">
        <v>36.200000000000003</v>
      </c>
      <c r="P3176">
        <v>473.5</v>
      </c>
    </row>
    <row r="3177" spans="1:16" x14ac:dyDescent="0.3">
      <c r="A3177">
        <v>44212</v>
      </c>
      <c r="B3177">
        <v>105</v>
      </c>
      <c r="C3177" t="s">
        <v>557</v>
      </c>
      <c r="D3177" s="452">
        <v>45870</v>
      </c>
      <c r="E3177">
        <v>18518</v>
      </c>
      <c r="F3177" t="s">
        <v>4838</v>
      </c>
      <c r="G3177">
        <v>3148</v>
      </c>
      <c r="H3177">
        <v>10</v>
      </c>
      <c r="I3177" t="s">
        <v>4805</v>
      </c>
      <c r="J3177" t="s">
        <v>5222</v>
      </c>
      <c r="K3177" t="s">
        <v>4040</v>
      </c>
      <c r="L3177">
        <v>45.32</v>
      </c>
      <c r="M3177" s="452">
        <v>45867</v>
      </c>
      <c r="N3177">
        <v>44.94</v>
      </c>
      <c r="O3177">
        <v>44.94</v>
      </c>
      <c r="P3177">
        <v>453.2</v>
      </c>
    </row>
    <row r="3178" spans="1:16" x14ac:dyDescent="0.3">
      <c r="A3178">
        <v>44254</v>
      </c>
      <c r="B3178">
        <v>105</v>
      </c>
      <c r="C3178" t="s">
        <v>557</v>
      </c>
      <c r="D3178" s="452">
        <v>45870</v>
      </c>
      <c r="E3178">
        <v>26046</v>
      </c>
      <c r="F3178" t="s">
        <v>5148</v>
      </c>
      <c r="G3178">
        <v>6510</v>
      </c>
      <c r="H3178">
        <v>6</v>
      </c>
      <c r="I3178" t="s">
        <v>4805</v>
      </c>
      <c r="J3178" t="s">
        <v>5222</v>
      </c>
      <c r="K3178" t="s">
        <v>4040</v>
      </c>
      <c r="L3178">
        <v>0</v>
      </c>
      <c r="M3178" s="452">
        <v>45638</v>
      </c>
      <c r="N3178">
        <v>74.2</v>
      </c>
      <c r="O3178">
        <v>80.55</v>
      </c>
      <c r="P3178">
        <v>445.2</v>
      </c>
    </row>
    <row r="3179" spans="1:16" x14ac:dyDescent="0.3">
      <c r="A3179">
        <v>44256</v>
      </c>
      <c r="B3179">
        <v>105</v>
      </c>
      <c r="C3179" t="s">
        <v>557</v>
      </c>
      <c r="D3179" s="452">
        <v>45870</v>
      </c>
      <c r="E3179">
        <v>23082</v>
      </c>
      <c r="F3179" t="s">
        <v>4904</v>
      </c>
      <c r="G3179">
        <v>2763</v>
      </c>
      <c r="H3179">
        <v>5.5</v>
      </c>
      <c r="I3179" t="s">
        <v>4744</v>
      </c>
      <c r="J3179" t="s">
        <v>5191</v>
      </c>
      <c r="K3179" t="s">
        <v>4040</v>
      </c>
      <c r="L3179">
        <v>78.900000000000006</v>
      </c>
      <c r="M3179" s="452">
        <v>45849</v>
      </c>
      <c r="N3179">
        <v>78.900000000000006</v>
      </c>
      <c r="O3179">
        <v>78.900000000000006</v>
      </c>
      <c r="P3179">
        <v>433.95</v>
      </c>
    </row>
    <row r="3180" spans="1:16" x14ac:dyDescent="0.3">
      <c r="A3180">
        <v>44280</v>
      </c>
      <c r="B3180">
        <v>105</v>
      </c>
      <c r="C3180" t="s">
        <v>557</v>
      </c>
      <c r="D3180" s="452">
        <v>45870</v>
      </c>
      <c r="E3180">
        <v>25683</v>
      </c>
      <c r="F3180" t="s">
        <v>4928</v>
      </c>
      <c r="G3180">
        <v>6244</v>
      </c>
      <c r="H3180">
        <v>4</v>
      </c>
      <c r="I3180" t="s">
        <v>4805</v>
      </c>
      <c r="J3180" t="s">
        <v>5222</v>
      </c>
      <c r="K3180" t="s">
        <v>4040</v>
      </c>
      <c r="L3180">
        <v>0</v>
      </c>
      <c r="M3180" s="452">
        <v>45789</v>
      </c>
      <c r="N3180">
        <v>107.99</v>
      </c>
      <c r="O3180">
        <v>113.1</v>
      </c>
      <c r="P3180">
        <v>431.96</v>
      </c>
    </row>
    <row r="3181" spans="1:16" x14ac:dyDescent="0.3">
      <c r="A3181">
        <v>44188</v>
      </c>
      <c r="B3181">
        <v>105</v>
      </c>
      <c r="C3181" t="s">
        <v>557</v>
      </c>
      <c r="D3181" s="452">
        <v>45870</v>
      </c>
      <c r="E3181">
        <v>24199</v>
      </c>
      <c r="F3181" t="s">
        <v>4783</v>
      </c>
      <c r="G3181">
        <v>5084</v>
      </c>
      <c r="H3181">
        <v>14.38</v>
      </c>
      <c r="I3181" t="s">
        <v>4744</v>
      </c>
      <c r="J3181" t="s">
        <v>5191</v>
      </c>
      <c r="K3181" t="s">
        <v>4040</v>
      </c>
      <c r="L3181">
        <v>29.96</v>
      </c>
      <c r="M3181" s="452">
        <v>45866</v>
      </c>
      <c r="N3181">
        <v>27.99</v>
      </c>
      <c r="O3181">
        <v>22.9</v>
      </c>
      <c r="P3181">
        <v>430.82</v>
      </c>
    </row>
    <row r="3182" spans="1:16" x14ac:dyDescent="0.3">
      <c r="A3182">
        <v>44268</v>
      </c>
      <c r="B3182">
        <v>105</v>
      </c>
      <c r="C3182" t="s">
        <v>557</v>
      </c>
      <c r="D3182" s="452">
        <v>45870</v>
      </c>
      <c r="E3182">
        <v>18359</v>
      </c>
      <c r="F3182" t="s">
        <v>4921</v>
      </c>
      <c r="G3182">
        <v>3278</v>
      </c>
      <c r="H3182">
        <v>4.22</v>
      </c>
      <c r="I3182" t="s">
        <v>4805</v>
      </c>
      <c r="J3182" t="s">
        <v>5222</v>
      </c>
      <c r="K3182" t="s">
        <v>4040</v>
      </c>
      <c r="L3182">
        <v>99.9</v>
      </c>
      <c r="M3182" s="452">
        <v>45855</v>
      </c>
      <c r="N3182">
        <v>99.9</v>
      </c>
      <c r="O3182">
        <v>99.9</v>
      </c>
      <c r="P3182">
        <v>421.58</v>
      </c>
    </row>
    <row r="3183" spans="1:16" x14ac:dyDescent="0.3">
      <c r="A3183">
        <v>44149</v>
      </c>
      <c r="B3183">
        <v>105</v>
      </c>
      <c r="C3183" t="s">
        <v>557</v>
      </c>
      <c r="D3183" s="452">
        <v>45870</v>
      </c>
      <c r="E3183">
        <v>24351</v>
      </c>
      <c r="F3183" t="s">
        <v>5014</v>
      </c>
      <c r="G3183">
        <v>2287</v>
      </c>
      <c r="H3183">
        <v>34</v>
      </c>
      <c r="I3183" t="s">
        <v>4736</v>
      </c>
      <c r="J3183" t="s">
        <v>5191</v>
      </c>
      <c r="K3183" t="s">
        <v>4040</v>
      </c>
      <c r="L3183">
        <v>0</v>
      </c>
      <c r="M3183" s="452">
        <v>45818</v>
      </c>
      <c r="N3183">
        <v>12</v>
      </c>
      <c r="O3183">
        <v>12</v>
      </c>
      <c r="P3183">
        <v>408</v>
      </c>
    </row>
    <row r="3184" spans="1:16" x14ac:dyDescent="0.3">
      <c r="A3184">
        <v>44193</v>
      </c>
      <c r="B3184">
        <v>105</v>
      </c>
      <c r="C3184" t="s">
        <v>557</v>
      </c>
      <c r="D3184" s="452">
        <v>45870</v>
      </c>
      <c r="E3184">
        <v>18030</v>
      </c>
      <c r="F3184" t="s">
        <v>4840</v>
      </c>
      <c r="G3184">
        <v>3568</v>
      </c>
      <c r="H3184">
        <v>14</v>
      </c>
      <c r="I3184" t="s">
        <v>4805</v>
      </c>
      <c r="J3184" t="s">
        <v>5222</v>
      </c>
      <c r="K3184" t="s">
        <v>4040</v>
      </c>
      <c r="L3184">
        <v>28.23</v>
      </c>
      <c r="M3184" s="452">
        <v>45860</v>
      </c>
      <c r="N3184">
        <v>29.9</v>
      </c>
      <c r="O3184">
        <v>27</v>
      </c>
      <c r="P3184">
        <v>395.22</v>
      </c>
    </row>
    <row r="3185" spans="1:16" x14ac:dyDescent="0.3">
      <c r="A3185">
        <v>44292</v>
      </c>
      <c r="B3185">
        <v>105</v>
      </c>
      <c r="C3185" t="s">
        <v>557</v>
      </c>
      <c r="D3185" s="452">
        <v>45870</v>
      </c>
      <c r="E3185">
        <v>17062</v>
      </c>
      <c r="F3185" t="s">
        <v>4880</v>
      </c>
      <c r="G3185">
        <v>1954</v>
      </c>
      <c r="H3185">
        <v>3</v>
      </c>
      <c r="I3185" t="s">
        <v>4879</v>
      </c>
      <c r="J3185" t="s">
        <v>5191</v>
      </c>
      <c r="K3185" t="s">
        <v>4040</v>
      </c>
      <c r="L3185">
        <v>126.03</v>
      </c>
      <c r="M3185" s="452">
        <v>45841</v>
      </c>
      <c r="N3185">
        <v>126.03</v>
      </c>
      <c r="O3185">
        <v>126.03</v>
      </c>
      <c r="P3185">
        <v>378.09</v>
      </c>
    </row>
    <row r="3186" spans="1:16" x14ac:dyDescent="0.3">
      <c r="A3186">
        <v>44163</v>
      </c>
      <c r="B3186">
        <v>105</v>
      </c>
      <c r="C3186" t="s">
        <v>557</v>
      </c>
      <c r="D3186" s="452">
        <v>45870</v>
      </c>
      <c r="E3186">
        <v>20999</v>
      </c>
      <c r="F3186" t="s">
        <v>5493</v>
      </c>
      <c r="G3186">
        <v>2008</v>
      </c>
      <c r="H3186">
        <v>22</v>
      </c>
      <c r="I3186" t="s">
        <v>4888</v>
      </c>
      <c r="J3186" t="s">
        <v>5191</v>
      </c>
      <c r="K3186" t="s">
        <v>4040</v>
      </c>
      <c r="L3186">
        <v>0</v>
      </c>
      <c r="M3186" s="452">
        <v>45831</v>
      </c>
      <c r="N3186">
        <v>16.809999999999999</v>
      </c>
      <c r="O3186">
        <v>16.809999999999999</v>
      </c>
      <c r="P3186">
        <v>369.82</v>
      </c>
    </row>
    <row r="3187" spans="1:16" x14ac:dyDescent="0.3">
      <c r="A3187">
        <v>44202</v>
      </c>
      <c r="B3187">
        <v>105</v>
      </c>
      <c r="C3187" t="s">
        <v>557</v>
      </c>
      <c r="D3187" s="452">
        <v>45870</v>
      </c>
      <c r="E3187">
        <v>19916</v>
      </c>
      <c r="F3187" t="s">
        <v>4826</v>
      </c>
      <c r="G3187">
        <v>2379</v>
      </c>
      <c r="H3187">
        <v>11</v>
      </c>
      <c r="I3187" t="s">
        <v>4738</v>
      </c>
      <c r="J3187" t="s">
        <v>5191</v>
      </c>
      <c r="K3187" t="s">
        <v>4040</v>
      </c>
      <c r="L3187">
        <v>33.5</v>
      </c>
      <c r="M3187" s="452">
        <v>45856</v>
      </c>
      <c r="N3187">
        <v>33.5</v>
      </c>
      <c r="O3187">
        <v>3.35</v>
      </c>
      <c r="P3187">
        <v>368.5</v>
      </c>
    </row>
    <row r="3188" spans="1:16" x14ac:dyDescent="0.3">
      <c r="A3188">
        <v>44347</v>
      </c>
      <c r="B3188">
        <v>105</v>
      </c>
      <c r="C3188" t="s">
        <v>557</v>
      </c>
      <c r="D3188" s="452">
        <v>45870</v>
      </c>
      <c r="E3188">
        <v>18550</v>
      </c>
      <c r="F3188" t="s">
        <v>4967</v>
      </c>
      <c r="G3188">
        <v>3130</v>
      </c>
      <c r="H3188">
        <v>2</v>
      </c>
      <c r="I3188" t="s">
        <v>4805</v>
      </c>
      <c r="J3188" t="s">
        <v>5222</v>
      </c>
      <c r="K3188" t="s">
        <v>4040</v>
      </c>
      <c r="L3188">
        <v>0</v>
      </c>
      <c r="M3188" s="452">
        <v>45757</v>
      </c>
      <c r="N3188">
        <v>183.08</v>
      </c>
      <c r="O3188">
        <v>153</v>
      </c>
      <c r="P3188">
        <v>366.16</v>
      </c>
    </row>
    <row r="3189" spans="1:16" x14ac:dyDescent="0.3">
      <c r="A3189">
        <v>44220</v>
      </c>
      <c r="B3189">
        <v>105</v>
      </c>
      <c r="C3189" t="s">
        <v>557</v>
      </c>
      <c r="D3189" s="452">
        <v>45870</v>
      </c>
      <c r="E3189">
        <v>24339</v>
      </c>
      <c r="F3189" t="s">
        <v>4885</v>
      </c>
      <c r="G3189">
        <v>2153</v>
      </c>
      <c r="H3189">
        <v>8.9</v>
      </c>
      <c r="I3189" t="s">
        <v>4744</v>
      </c>
      <c r="J3189" t="s">
        <v>5191</v>
      </c>
      <c r="K3189" t="s">
        <v>4040</v>
      </c>
      <c r="L3189">
        <v>0</v>
      </c>
      <c r="M3189" s="452">
        <v>45777</v>
      </c>
      <c r="N3189">
        <v>39.9</v>
      </c>
      <c r="O3189">
        <v>39.9</v>
      </c>
      <c r="P3189">
        <v>355.11</v>
      </c>
    </row>
    <row r="3190" spans="1:16" x14ac:dyDescent="0.3">
      <c r="A3190">
        <v>44189</v>
      </c>
      <c r="B3190">
        <v>105</v>
      </c>
      <c r="C3190" t="s">
        <v>557</v>
      </c>
      <c r="D3190" s="452">
        <v>45870</v>
      </c>
      <c r="E3190">
        <v>20549</v>
      </c>
      <c r="F3190" t="s">
        <v>4823</v>
      </c>
      <c r="G3190">
        <v>2141</v>
      </c>
      <c r="H3190">
        <v>14.3</v>
      </c>
      <c r="I3190" t="s">
        <v>4744</v>
      </c>
      <c r="J3190" t="s">
        <v>5191</v>
      </c>
      <c r="K3190" t="s">
        <v>4040</v>
      </c>
      <c r="L3190">
        <v>24</v>
      </c>
      <c r="M3190" s="452">
        <v>45852</v>
      </c>
      <c r="N3190">
        <v>24</v>
      </c>
      <c r="O3190">
        <v>19.989999999999998</v>
      </c>
      <c r="P3190">
        <v>343.2</v>
      </c>
    </row>
    <row r="3191" spans="1:16" x14ac:dyDescent="0.3">
      <c r="A3191">
        <v>44143</v>
      </c>
      <c r="B3191">
        <v>105</v>
      </c>
      <c r="C3191" t="s">
        <v>557</v>
      </c>
      <c r="D3191" s="452">
        <v>45870</v>
      </c>
      <c r="E3191">
        <v>26505</v>
      </c>
      <c r="F3191" t="s">
        <v>4750</v>
      </c>
      <c r="G3191">
        <v>6762</v>
      </c>
      <c r="H3191">
        <v>1.67</v>
      </c>
      <c r="I3191" t="s">
        <v>4738</v>
      </c>
      <c r="J3191" t="s">
        <v>5222</v>
      </c>
      <c r="K3191" t="s">
        <v>4040</v>
      </c>
      <c r="L3191">
        <v>0</v>
      </c>
      <c r="M3191" s="452">
        <v>45722</v>
      </c>
      <c r="N3191">
        <v>203.42</v>
      </c>
      <c r="O3191">
        <v>146.80000000000001</v>
      </c>
      <c r="P3191">
        <v>339.03</v>
      </c>
    </row>
    <row r="3192" spans="1:16" x14ac:dyDescent="0.3">
      <c r="A3192">
        <v>44247</v>
      </c>
      <c r="B3192">
        <v>105</v>
      </c>
      <c r="C3192" t="s">
        <v>557</v>
      </c>
      <c r="D3192" s="452">
        <v>45870</v>
      </c>
      <c r="E3192">
        <v>23974</v>
      </c>
      <c r="F3192" t="s">
        <v>4862</v>
      </c>
      <c r="G3192">
        <v>4163</v>
      </c>
      <c r="H3192">
        <v>6</v>
      </c>
      <c r="I3192" t="s">
        <v>4736</v>
      </c>
      <c r="J3192" t="s">
        <v>5222</v>
      </c>
      <c r="K3192" t="s">
        <v>4040</v>
      </c>
      <c r="L3192">
        <v>56.16</v>
      </c>
      <c r="M3192" s="452">
        <v>45849</v>
      </c>
      <c r="N3192">
        <v>56.16</v>
      </c>
      <c r="O3192">
        <v>56.16</v>
      </c>
      <c r="P3192">
        <v>336.96</v>
      </c>
    </row>
    <row r="3193" spans="1:16" x14ac:dyDescent="0.3">
      <c r="A3193">
        <v>44125</v>
      </c>
      <c r="B3193">
        <v>105</v>
      </c>
      <c r="C3193" t="s">
        <v>557</v>
      </c>
      <c r="D3193" s="452">
        <v>45870</v>
      </c>
      <c r="E3193">
        <v>17950</v>
      </c>
      <c r="F3193" t="s">
        <v>5091</v>
      </c>
      <c r="G3193">
        <v>3626</v>
      </c>
      <c r="H3193">
        <v>19.579999999999998</v>
      </c>
      <c r="I3193" t="s">
        <v>4738</v>
      </c>
      <c r="J3193" t="s">
        <v>5222</v>
      </c>
      <c r="K3193" t="s">
        <v>4040</v>
      </c>
      <c r="L3193">
        <v>17.100000000000001</v>
      </c>
      <c r="M3193" s="452">
        <v>45860</v>
      </c>
      <c r="N3193">
        <v>17.100000000000001</v>
      </c>
      <c r="O3193">
        <v>17.100000000000001</v>
      </c>
      <c r="P3193">
        <v>334.82</v>
      </c>
    </row>
    <row r="3194" spans="1:16" x14ac:dyDescent="0.3">
      <c r="A3194">
        <v>44294</v>
      </c>
      <c r="B3194">
        <v>105</v>
      </c>
      <c r="C3194" t="s">
        <v>557</v>
      </c>
      <c r="D3194" s="452">
        <v>45870</v>
      </c>
      <c r="E3194">
        <v>20751</v>
      </c>
      <c r="F3194" t="s">
        <v>5004</v>
      </c>
      <c r="G3194">
        <v>2088</v>
      </c>
      <c r="H3194">
        <v>3</v>
      </c>
      <c r="I3194" t="s">
        <v>4884</v>
      </c>
      <c r="J3194" t="s">
        <v>5191</v>
      </c>
      <c r="K3194" t="s">
        <v>4040</v>
      </c>
      <c r="L3194">
        <v>0</v>
      </c>
      <c r="M3194" s="452">
        <v>45832</v>
      </c>
      <c r="N3194">
        <v>109.59</v>
      </c>
      <c r="O3194">
        <v>109.99</v>
      </c>
      <c r="P3194">
        <v>328.77</v>
      </c>
    </row>
    <row r="3195" spans="1:16" x14ac:dyDescent="0.3">
      <c r="A3195">
        <v>44145</v>
      </c>
      <c r="B3195">
        <v>105</v>
      </c>
      <c r="C3195" t="s">
        <v>557</v>
      </c>
      <c r="D3195" s="452">
        <v>45870</v>
      </c>
      <c r="E3195">
        <v>20382</v>
      </c>
      <c r="F3195" t="s">
        <v>4780</v>
      </c>
      <c r="G3195">
        <v>2196</v>
      </c>
      <c r="H3195">
        <v>36</v>
      </c>
      <c r="I3195" t="s">
        <v>4738</v>
      </c>
      <c r="J3195" t="s">
        <v>5191</v>
      </c>
      <c r="K3195" t="s">
        <v>4040</v>
      </c>
      <c r="L3195">
        <v>8.99</v>
      </c>
      <c r="M3195" s="452">
        <v>45859</v>
      </c>
      <c r="N3195">
        <v>8.99</v>
      </c>
      <c r="O3195">
        <v>8.99</v>
      </c>
      <c r="P3195">
        <v>323.64</v>
      </c>
    </row>
    <row r="3196" spans="1:16" x14ac:dyDescent="0.3">
      <c r="A3196">
        <v>44214</v>
      </c>
      <c r="B3196">
        <v>105</v>
      </c>
      <c r="C3196" t="s">
        <v>557</v>
      </c>
      <c r="D3196" s="452">
        <v>45870</v>
      </c>
      <c r="E3196">
        <v>24081</v>
      </c>
      <c r="F3196" t="s">
        <v>4834</v>
      </c>
      <c r="G3196">
        <v>3034</v>
      </c>
      <c r="H3196">
        <v>9.3800000000000008</v>
      </c>
      <c r="I3196" t="s">
        <v>4744</v>
      </c>
      <c r="J3196" t="s">
        <v>5191</v>
      </c>
      <c r="K3196" t="s">
        <v>4040</v>
      </c>
      <c r="L3196">
        <v>34.24</v>
      </c>
      <c r="M3196" s="452">
        <v>45852</v>
      </c>
      <c r="N3196">
        <v>37.200000000000003</v>
      </c>
      <c r="O3196">
        <v>23.8</v>
      </c>
      <c r="P3196">
        <v>321.17</v>
      </c>
    </row>
    <row r="3197" spans="1:16" x14ac:dyDescent="0.3">
      <c r="A3197">
        <v>44291</v>
      </c>
      <c r="B3197">
        <v>105</v>
      </c>
      <c r="C3197" t="s">
        <v>557</v>
      </c>
      <c r="D3197" s="452">
        <v>45870</v>
      </c>
      <c r="E3197">
        <v>21150</v>
      </c>
      <c r="F3197" t="s">
        <v>4878</v>
      </c>
      <c r="G3197">
        <v>1951</v>
      </c>
      <c r="H3197">
        <v>3</v>
      </c>
      <c r="I3197" t="s">
        <v>4879</v>
      </c>
      <c r="J3197" t="s">
        <v>5191</v>
      </c>
      <c r="K3197" t="s">
        <v>4040</v>
      </c>
      <c r="L3197">
        <v>0</v>
      </c>
      <c r="M3197" s="452">
        <v>45469</v>
      </c>
      <c r="N3197">
        <v>106.9</v>
      </c>
      <c r="O3197">
        <v>113.31</v>
      </c>
      <c r="P3197">
        <v>320.7</v>
      </c>
    </row>
    <row r="3198" spans="1:16" x14ac:dyDescent="0.3">
      <c r="A3198">
        <v>44123</v>
      </c>
      <c r="B3198">
        <v>105</v>
      </c>
      <c r="C3198" t="s">
        <v>557</v>
      </c>
      <c r="D3198" s="452">
        <v>45870</v>
      </c>
      <c r="E3198">
        <v>17957</v>
      </c>
      <c r="F3198" t="s">
        <v>4745</v>
      </c>
      <c r="G3198">
        <v>3622</v>
      </c>
      <c r="H3198">
        <v>20.079999999999998</v>
      </c>
      <c r="I3198" t="s">
        <v>4736</v>
      </c>
      <c r="J3198" t="s">
        <v>5222</v>
      </c>
      <c r="K3198" t="s">
        <v>4040</v>
      </c>
      <c r="L3198">
        <v>15.9</v>
      </c>
      <c r="M3198" s="452">
        <v>45852</v>
      </c>
      <c r="N3198">
        <v>15.9</v>
      </c>
      <c r="O3198">
        <v>15.9</v>
      </c>
      <c r="P3198">
        <v>319.27</v>
      </c>
    </row>
    <row r="3199" spans="1:16" x14ac:dyDescent="0.3">
      <c r="A3199">
        <v>44324</v>
      </c>
      <c r="B3199">
        <v>105</v>
      </c>
      <c r="C3199" t="s">
        <v>557</v>
      </c>
      <c r="D3199" s="452">
        <v>45870</v>
      </c>
      <c r="E3199">
        <v>20909</v>
      </c>
      <c r="F3199" t="s">
        <v>5318</v>
      </c>
      <c r="G3199">
        <v>2035</v>
      </c>
      <c r="H3199">
        <v>2</v>
      </c>
      <c r="I3199" t="s">
        <v>4736</v>
      </c>
      <c r="J3199" t="s">
        <v>5191</v>
      </c>
      <c r="K3199" t="s">
        <v>4040</v>
      </c>
      <c r="L3199">
        <v>0</v>
      </c>
      <c r="M3199" s="452">
        <v>45804</v>
      </c>
      <c r="N3199">
        <v>156</v>
      </c>
      <c r="O3199">
        <v>180</v>
      </c>
      <c r="P3199">
        <v>312</v>
      </c>
    </row>
    <row r="3200" spans="1:16" x14ac:dyDescent="0.3">
      <c r="A3200">
        <v>44279</v>
      </c>
      <c r="B3200">
        <v>105</v>
      </c>
      <c r="C3200" t="s">
        <v>557</v>
      </c>
      <c r="D3200" s="452">
        <v>45870</v>
      </c>
      <c r="E3200">
        <v>18008</v>
      </c>
      <c r="F3200" t="s">
        <v>4865</v>
      </c>
      <c r="G3200">
        <v>3589</v>
      </c>
      <c r="H3200">
        <v>4</v>
      </c>
      <c r="I3200" t="s">
        <v>4805</v>
      </c>
      <c r="J3200" t="s">
        <v>5222</v>
      </c>
      <c r="K3200" t="s">
        <v>4040</v>
      </c>
      <c r="L3200">
        <v>0</v>
      </c>
      <c r="M3200" s="452">
        <v>45716</v>
      </c>
      <c r="N3200">
        <v>76.83</v>
      </c>
      <c r="O3200">
        <v>76.83</v>
      </c>
      <c r="P3200">
        <v>307.32</v>
      </c>
    </row>
    <row r="3201" spans="1:16" x14ac:dyDescent="0.3">
      <c r="A3201">
        <v>44217</v>
      </c>
      <c r="B3201">
        <v>105</v>
      </c>
      <c r="C3201" t="s">
        <v>557</v>
      </c>
      <c r="D3201" s="452">
        <v>45870</v>
      </c>
      <c r="E3201">
        <v>20809</v>
      </c>
      <c r="F3201" t="s">
        <v>4822</v>
      </c>
      <c r="G3201">
        <v>2074</v>
      </c>
      <c r="H3201">
        <v>9</v>
      </c>
      <c r="I3201" t="s">
        <v>4738</v>
      </c>
      <c r="J3201" t="s">
        <v>5191</v>
      </c>
      <c r="K3201" t="s">
        <v>4040</v>
      </c>
      <c r="L3201">
        <v>32.9</v>
      </c>
      <c r="M3201" s="452">
        <v>45863</v>
      </c>
      <c r="N3201">
        <v>32.85</v>
      </c>
      <c r="O3201">
        <v>29.88</v>
      </c>
      <c r="P3201">
        <v>296.10000000000002</v>
      </c>
    </row>
    <row r="3202" spans="1:16" x14ac:dyDescent="0.3">
      <c r="A3202">
        <v>44169</v>
      </c>
      <c r="B3202">
        <v>105</v>
      </c>
      <c r="C3202" t="s">
        <v>557</v>
      </c>
      <c r="D3202" s="452">
        <v>45870</v>
      </c>
      <c r="E3202">
        <v>19421</v>
      </c>
      <c r="F3202" t="s">
        <v>4918</v>
      </c>
      <c r="G3202">
        <v>2758</v>
      </c>
      <c r="H3202">
        <v>18</v>
      </c>
      <c r="I3202" t="s">
        <v>4749</v>
      </c>
      <c r="J3202" t="s">
        <v>5191</v>
      </c>
      <c r="K3202" t="s">
        <v>4040</v>
      </c>
      <c r="L3202">
        <v>16.149999999999999</v>
      </c>
      <c r="M3202" s="452">
        <v>45863</v>
      </c>
      <c r="N3202">
        <v>68.5</v>
      </c>
      <c r="O3202">
        <v>68.52</v>
      </c>
      <c r="P3202">
        <v>290.7</v>
      </c>
    </row>
    <row r="3203" spans="1:16" x14ac:dyDescent="0.3">
      <c r="A3203">
        <v>44221</v>
      </c>
      <c r="B3203">
        <v>105</v>
      </c>
      <c r="C3203" t="s">
        <v>557</v>
      </c>
      <c r="D3203" s="452">
        <v>45870</v>
      </c>
      <c r="E3203">
        <v>18172</v>
      </c>
      <c r="F3203" t="s">
        <v>4804</v>
      </c>
      <c r="G3203">
        <v>3450</v>
      </c>
      <c r="H3203">
        <v>8.86</v>
      </c>
      <c r="I3203" t="s">
        <v>4805</v>
      </c>
      <c r="J3203" t="s">
        <v>5222</v>
      </c>
      <c r="K3203" t="s">
        <v>4040</v>
      </c>
      <c r="L3203">
        <v>32.76</v>
      </c>
      <c r="M3203" s="452">
        <v>45867</v>
      </c>
      <c r="N3203">
        <v>32.840000000000003</v>
      </c>
      <c r="O3203">
        <v>32.840000000000003</v>
      </c>
      <c r="P3203">
        <v>290.25</v>
      </c>
    </row>
    <row r="3204" spans="1:16" x14ac:dyDescent="0.3">
      <c r="A3204">
        <v>44250</v>
      </c>
      <c r="B3204">
        <v>105</v>
      </c>
      <c r="C3204" t="s">
        <v>557</v>
      </c>
      <c r="D3204" s="452">
        <v>45870</v>
      </c>
      <c r="E3204">
        <v>26032</v>
      </c>
      <c r="F3204" t="s">
        <v>4896</v>
      </c>
      <c r="G3204">
        <v>6503</v>
      </c>
      <c r="H3204">
        <v>6</v>
      </c>
      <c r="I3204" t="s">
        <v>4805</v>
      </c>
      <c r="J3204" t="s">
        <v>5222</v>
      </c>
      <c r="K3204" t="s">
        <v>4040</v>
      </c>
      <c r="L3204">
        <v>0</v>
      </c>
      <c r="M3204" s="452">
        <v>45698</v>
      </c>
      <c r="N3204">
        <v>46.38</v>
      </c>
      <c r="O3204">
        <v>80.55</v>
      </c>
      <c r="P3204">
        <v>278.27999999999997</v>
      </c>
    </row>
    <row r="3205" spans="1:16" x14ac:dyDescent="0.3">
      <c r="A3205">
        <v>44281</v>
      </c>
      <c r="B3205">
        <v>105</v>
      </c>
      <c r="C3205" t="s">
        <v>557</v>
      </c>
      <c r="D3205" s="452">
        <v>45870</v>
      </c>
      <c r="E3205">
        <v>26036</v>
      </c>
      <c r="F3205" t="s">
        <v>4841</v>
      </c>
      <c r="G3205">
        <v>6505</v>
      </c>
      <c r="H3205">
        <v>4</v>
      </c>
      <c r="I3205" t="s">
        <v>4805</v>
      </c>
      <c r="J3205" t="s">
        <v>5222</v>
      </c>
      <c r="K3205" t="s">
        <v>4040</v>
      </c>
      <c r="L3205">
        <v>0</v>
      </c>
      <c r="M3205" s="452">
        <v>45833</v>
      </c>
      <c r="N3205">
        <v>69.22</v>
      </c>
      <c r="O3205">
        <v>69.22</v>
      </c>
      <c r="P3205">
        <v>276.88</v>
      </c>
    </row>
    <row r="3206" spans="1:16" x14ac:dyDescent="0.3">
      <c r="A3206">
        <v>44414</v>
      </c>
      <c r="B3206">
        <v>105</v>
      </c>
      <c r="C3206" t="s">
        <v>557</v>
      </c>
      <c r="D3206" s="452">
        <v>45870</v>
      </c>
      <c r="E3206">
        <v>18114</v>
      </c>
      <c r="F3206" t="s">
        <v>5046</v>
      </c>
      <c r="G3206">
        <v>3498</v>
      </c>
      <c r="H3206">
        <v>1</v>
      </c>
      <c r="I3206" t="s">
        <v>4805</v>
      </c>
      <c r="J3206" t="s">
        <v>5222</v>
      </c>
      <c r="K3206" t="s">
        <v>4040</v>
      </c>
      <c r="L3206">
        <v>0</v>
      </c>
      <c r="M3206" s="452">
        <v>-693593</v>
      </c>
      <c r="N3206">
        <v>0</v>
      </c>
      <c r="O3206">
        <v>256.38</v>
      </c>
      <c r="P3206">
        <v>261.70999999999998</v>
      </c>
    </row>
    <row r="3207" spans="1:16" x14ac:dyDescent="0.3">
      <c r="A3207">
        <v>44349</v>
      </c>
      <c r="B3207">
        <v>105</v>
      </c>
      <c r="C3207" t="s">
        <v>557</v>
      </c>
      <c r="D3207" s="452">
        <v>45870</v>
      </c>
      <c r="E3207">
        <v>18315</v>
      </c>
      <c r="F3207" t="s">
        <v>4922</v>
      </c>
      <c r="G3207">
        <v>3318</v>
      </c>
      <c r="H3207">
        <v>2</v>
      </c>
      <c r="I3207" t="s">
        <v>4805</v>
      </c>
      <c r="J3207" t="s">
        <v>5222</v>
      </c>
      <c r="K3207" t="s">
        <v>4040</v>
      </c>
      <c r="L3207">
        <v>130.58000000000001</v>
      </c>
      <c r="M3207" s="452">
        <v>45867</v>
      </c>
      <c r="N3207">
        <v>132.16</v>
      </c>
      <c r="O3207">
        <v>127</v>
      </c>
      <c r="P3207">
        <v>261.16000000000003</v>
      </c>
    </row>
    <row r="3208" spans="1:16" x14ac:dyDescent="0.3">
      <c r="A3208">
        <v>44136</v>
      </c>
      <c r="B3208">
        <v>105</v>
      </c>
      <c r="C3208" t="s">
        <v>557</v>
      </c>
      <c r="D3208" s="452">
        <v>45870</v>
      </c>
      <c r="E3208">
        <v>24470</v>
      </c>
      <c r="F3208" t="s">
        <v>4752</v>
      </c>
      <c r="G3208">
        <v>3103</v>
      </c>
      <c r="H3208">
        <v>59</v>
      </c>
      <c r="I3208" t="s">
        <v>4736</v>
      </c>
      <c r="J3208" t="s">
        <v>5222</v>
      </c>
      <c r="K3208" t="s">
        <v>4040</v>
      </c>
      <c r="L3208">
        <v>0</v>
      </c>
      <c r="M3208" s="452">
        <v>45404</v>
      </c>
      <c r="N3208">
        <v>4.41</v>
      </c>
      <c r="O3208">
        <v>4.41</v>
      </c>
      <c r="P3208">
        <v>260.19</v>
      </c>
    </row>
    <row r="3209" spans="1:16" x14ac:dyDescent="0.3">
      <c r="A3209">
        <v>44223</v>
      </c>
      <c r="B3209">
        <v>105</v>
      </c>
      <c r="C3209" t="s">
        <v>557</v>
      </c>
      <c r="D3209" s="452">
        <v>45870</v>
      </c>
      <c r="E3209">
        <v>24191</v>
      </c>
      <c r="F3209" t="s">
        <v>4846</v>
      </c>
      <c r="G3209">
        <v>2889</v>
      </c>
      <c r="H3209">
        <v>8.6</v>
      </c>
      <c r="I3209" t="s">
        <v>4744</v>
      </c>
      <c r="J3209" t="s">
        <v>5191</v>
      </c>
      <c r="K3209" t="s">
        <v>4040</v>
      </c>
      <c r="L3209">
        <v>29.9</v>
      </c>
      <c r="M3209" s="452">
        <v>45845</v>
      </c>
      <c r="N3209">
        <v>29.9</v>
      </c>
      <c r="O3209">
        <v>22.49</v>
      </c>
      <c r="P3209">
        <v>257.14</v>
      </c>
    </row>
    <row r="3210" spans="1:16" x14ac:dyDescent="0.3">
      <c r="A3210">
        <v>44482</v>
      </c>
      <c r="B3210">
        <v>105</v>
      </c>
      <c r="C3210" t="s">
        <v>557</v>
      </c>
      <c r="D3210" s="452">
        <v>45870</v>
      </c>
      <c r="E3210">
        <v>25714</v>
      </c>
      <c r="F3210" t="s">
        <v>4927</v>
      </c>
      <c r="G3210">
        <v>6275</v>
      </c>
      <c r="H3210">
        <v>2</v>
      </c>
      <c r="I3210" t="s">
        <v>4805</v>
      </c>
      <c r="J3210" t="s">
        <v>5222</v>
      </c>
      <c r="K3210" t="s">
        <v>4040</v>
      </c>
      <c r="L3210">
        <v>128.05000000000001</v>
      </c>
      <c r="M3210" s="452">
        <v>45861</v>
      </c>
      <c r="N3210">
        <v>128.05000000000001</v>
      </c>
      <c r="O3210">
        <v>128.05000000000001</v>
      </c>
      <c r="P3210">
        <v>256.10000000000002</v>
      </c>
    </row>
    <row r="3211" spans="1:16" x14ac:dyDescent="0.3">
      <c r="A3211">
        <v>44348</v>
      </c>
      <c r="B3211">
        <v>105</v>
      </c>
      <c r="C3211" t="s">
        <v>557</v>
      </c>
      <c r="D3211" s="452">
        <v>45870</v>
      </c>
      <c r="E3211">
        <v>18293</v>
      </c>
      <c r="F3211" t="s">
        <v>5034</v>
      </c>
      <c r="G3211">
        <v>3336</v>
      </c>
      <c r="H3211">
        <v>2</v>
      </c>
      <c r="I3211" t="s">
        <v>4805</v>
      </c>
      <c r="J3211" t="s">
        <v>5222</v>
      </c>
      <c r="K3211" t="s">
        <v>4040</v>
      </c>
      <c r="L3211">
        <v>0</v>
      </c>
      <c r="M3211" s="452">
        <v>45525</v>
      </c>
      <c r="N3211">
        <v>124.82</v>
      </c>
      <c r="O3211">
        <v>129.41</v>
      </c>
      <c r="P3211">
        <v>249.64</v>
      </c>
    </row>
    <row r="3212" spans="1:16" x14ac:dyDescent="0.3">
      <c r="A3212">
        <v>44241</v>
      </c>
      <c r="B3212">
        <v>105</v>
      </c>
      <c r="C3212" t="s">
        <v>557</v>
      </c>
      <c r="D3212" s="452">
        <v>45870</v>
      </c>
      <c r="E3212">
        <v>19730</v>
      </c>
      <c r="F3212" t="s">
        <v>4961</v>
      </c>
      <c r="G3212">
        <v>2523</v>
      </c>
      <c r="H3212">
        <v>6.4</v>
      </c>
      <c r="I3212" t="s">
        <v>4744</v>
      </c>
      <c r="J3212" t="s">
        <v>5191</v>
      </c>
      <c r="K3212" t="s">
        <v>4040</v>
      </c>
      <c r="L3212">
        <v>0</v>
      </c>
      <c r="M3212" s="452">
        <v>45817</v>
      </c>
      <c r="N3212">
        <v>39</v>
      </c>
      <c r="O3212">
        <v>31.25</v>
      </c>
      <c r="P3212">
        <v>249.6</v>
      </c>
    </row>
    <row r="3213" spans="1:16" x14ac:dyDescent="0.3">
      <c r="A3213">
        <v>44233</v>
      </c>
      <c r="B3213">
        <v>105</v>
      </c>
      <c r="C3213" t="s">
        <v>557</v>
      </c>
      <c r="D3213" s="452">
        <v>45870</v>
      </c>
      <c r="E3213">
        <v>18547</v>
      </c>
      <c r="F3213" t="s">
        <v>4863</v>
      </c>
      <c r="G3213">
        <v>3132</v>
      </c>
      <c r="H3213">
        <v>7</v>
      </c>
      <c r="I3213" t="s">
        <v>4805</v>
      </c>
      <c r="J3213" t="s">
        <v>5222</v>
      </c>
      <c r="K3213" t="s">
        <v>4040</v>
      </c>
      <c r="L3213">
        <v>0</v>
      </c>
      <c r="M3213" s="452">
        <v>45742</v>
      </c>
      <c r="N3213">
        <v>34.75</v>
      </c>
      <c r="O3213">
        <v>34</v>
      </c>
      <c r="P3213">
        <v>243.25</v>
      </c>
    </row>
    <row r="3214" spans="1:16" x14ac:dyDescent="0.3">
      <c r="A3214">
        <v>44137</v>
      </c>
      <c r="B3214">
        <v>105</v>
      </c>
      <c r="C3214" t="s">
        <v>557</v>
      </c>
      <c r="D3214" s="452">
        <v>45870</v>
      </c>
      <c r="E3214">
        <v>23268</v>
      </c>
      <c r="F3214" t="s">
        <v>4743</v>
      </c>
      <c r="G3214">
        <v>2592</v>
      </c>
      <c r="H3214">
        <v>54.6</v>
      </c>
      <c r="I3214" t="s">
        <v>4744</v>
      </c>
      <c r="J3214" t="s">
        <v>5191</v>
      </c>
      <c r="K3214" t="s">
        <v>4040</v>
      </c>
      <c r="L3214">
        <v>0</v>
      </c>
      <c r="M3214" s="452">
        <v>45681</v>
      </c>
      <c r="N3214">
        <v>4.42</v>
      </c>
      <c r="O3214">
        <v>5.0999999999999996</v>
      </c>
      <c r="P3214">
        <v>241.33</v>
      </c>
    </row>
    <row r="3215" spans="1:16" x14ac:dyDescent="0.3">
      <c r="A3215">
        <v>44154</v>
      </c>
      <c r="B3215">
        <v>105</v>
      </c>
      <c r="C3215" t="s">
        <v>557</v>
      </c>
      <c r="D3215" s="452">
        <v>45870</v>
      </c>
      <c r="E3215">
        <v>25167</v>
      </c>
      <c r="F3215" t="s">
        <v>4758</v>
      </c>
      <c r="G3215">
        <v>5930</v>
      </c>
      <c r="H3215">
        <v>30</v>
      </c>
      <c r="I3215" t="s">
        <v>4744</v>
      </c>
      <c r="J3215" t="s">
        <v>5191</v>
      </c>
      <c r="K3215" t="s">
        <v>4040</v>
      </c>
      <c r="L3215">
        <v>0</v>
      </c>
      <c r="M3215" s="452">
        <v>45833</v>
      </c>
      <c r="N3215">
        <v>7.9</v>
      </c>
      <c r="O3215">
        <v>7.9</v>
      </c>
      <c r="P3215">
        <v>237</v>
      </c>
    </row>
    <row r="3216" spans="1:16" x14ac:dyDescent="0.3">
      <c r="A3216">
        <v>44264</v>
      </c>
      <c r="B3216">
        <v>105</v>
      </c>
      <c r="C3216" t="s">
        <v>557</v>
      </c>
      <c r="D3216" s="452">
        <v>45870</v>
      </c>
      <c r="E3216">
        <v>26040</v>
      </c>
      <c r="F3216" t="s">
        <v>4812</v>
      </c>
      <c r="G3216">
        <v>6507</v>
      </c>
      <c r="H3216">
        <v>5</v>
      </c>
      <c r="I3216" t="s">
        <v>4805</v>
      </c>
      <c r="J3216" t="s">
        <v>5222</v>
      </c>
      <c r="K3216" t="s">
        <v>4040</v>
      </c>
      <c r="L3216">
        <v>46.76</v>
      </c>
      <c r="M3216" s="452">
        <v>45853</v>
      </c>
      <c r="N3216">
        <v>48.45</v>
      </c>
      <c r="O3216">
        <v>48.45</v>
      </c>
      <c r="P3216">
        <v>233.8</v>
      </c>
    </row>
    <row r="3217" spans="1:16" x14ac:dyDescent="0.3">
      <c r="A3217">
        <v>44146</v>
      </c>
      <c r="B3217">
        <v>105</v>
      </c>
      <c r="C3217" t="s">
        <v>557</v>
      </c>
      <c r="D3217" s="452">
        <v>45870</v>
      </c>
      <c r="E3217">
        <v>24226</v>
      </c>
      <c r="F3217" t="s">
        <v>4795</v>
      </c>
      <c r="G3217">
        <v>3647</v>
      </c>
      <c r="H3217">
        <v>36</v>
      </c>
      <c r="I3217" t="s">
        <v>4736</v>
      </c>
      <c r="J3217" t="s">
        <v>5222</v>
      </c>
      <c r="K3217" t="s">
        <v>4040</v>
      </c>
      <c r="L3217">
        <v>0</v>
      </c>
      <c r="M3217" s="452">
        <v>45532</v>
      </c>
      <c r="N3217">
        <v>6.42</v>
      </c>
      <c r="O3217">
        <v>6.82</v>
      </c>
      <c r="P3217">
        <v>231.12</v>
      </c>
    </row>
    <row r="3218" spans="1:16" x14ac:dyDescent="0.3">
      <c r="A3218">
        <v>44200</v>
      </c>
      <c r="B3218">
        <v>105</v>
      </c>
      <c r="C3218" t="s">
        <v>557</v>
      </c>
      <c r="D3218" s="452">
        <v>45870</v>
      </c>
      <c r="E3218">
        <v>19979</v>
      </c>
      <c r="F3218" t="s">
        <v>5270</v>
      </c>
      <c r="G3218">
        <v>2353</v>
      </c>
      <c r="H3218">
        <v>12</v>
      </c>
      <c r="I3218" t="s">
        <v>4888</v>
      </c>
      <c r="J3218" t="s">
        <v>5191</v>
      </c>
      <c r="K3218" t="s">
        <v>4040</v>
      </c>
      <c r="L3218">
        <v>18.920000000000002</v>
      </c>
      <c r="M3218" s="452">
        <v>45863</v>
      </c>
      <c r="N3218">
        <v>18.98</v>
      </c>
      <c r="O3218">
        <v>18.98</v>
      </c>
      <c r="P3218">
        <v>227.04</v>
      </c>
    </row>
    <row r="3219" spans="1:16" x14ac:dyDescent="0.3">
      <c r="A3219">
        <v>44359</v>
      </c>
      <c r="B3219">
        <v>105</v>
      </c>
      <c r="C3219" t="s">
        <v>557</v>
      </c>
      <c r="D3219" s="452">
        <v>45870</v>
      </c>
      <c r="E3219">
        <v>18394</v>
      </c>
      <c r="F3219" t="s">
        <v>5032</v>
      </c>
      <c r="G3219">
        <v>3246</v>
      </c>
      <c r="H3219">
        <v>1.69</v>
      </c>
      <c r="I3219" t="s">
        <v>4805</v>
      </c>
      <c r="J3219" t="s">
        <v>5222</v>
      </c>
      <c r="K3219" t="s">
        <v>4040</v>
      </c>
      <c r="L3219">
        <v>133.11000000000001</v>
      </c>
      <c r="M3219" s="452">
        <v>45867</v>
      </c>
      <c r="N3219">
        <v>132.36000000000001</v>
      </c>
      <c r="O3219">
        <v>132.36000000000001</v>
      </c>
      <c r="P3219">
        <v>224.96</v>
      </c>
    </row>
    <row r="3220" spans="1:16" x14ac:dyDescent="0.3">
      <c r="A3220">
        <v>44142</v>
      </c>
      <c r="B3220">
        <v>105</v>
      </c>
      <c r="C3220" t="s">
        <v>557</v>
      </c>
      <c r="D3220" s="452">
        <v>45870</v>
      </c>
      <c r="E3220">
        <v>22636</v>
      </c>
      <c r="F3220" t="s">
        <v>4761</v>
      </c>
      <c r="G3220">
        <v>3099</v>
      </c>
      <c r="H3220">
        <v>42</v>
      </c>
      <c r="I3220" t="s">
        <v>4736</v>
      </c>
      <c r="J3220" t="s">
        <v>5222</v>
      </c>
      <c r="K3220" t="s">
        <v>4040</v>
      </c>
      <c r="L3220">
        <v>0</v>
      </c>
      <c r="M3220" s="452">
        <v>45671</v>
      </c>
      <c r="N3220">
        <v>5.3</v>
      </c>
      <c r="O3220">
        <v>5.0199999999999996</v>
      </c>
      <c r="P3220">
        <v>222.6</v>
      </c>
    </row>
    <row r="3221" spans="1:16" x14ac:dyDescent="0.3">
      <c r="A3221">
        <v>44205</v>
      </c>
      <c r="B3221">
        <v>105</v>
      </c>
      <c r="C3221" t="s">
        <v>557</v>
      </c>
      <c r="D3221" s="452">
        <v>45870</v>
      </c>
      <c r="E3221">
        <v>20521</v>
      </c>
      <c r="F3221" t="s">
        <v>4797</v>
      </c>
      <c r="G3221">
        <v>2149</v>
      </c>
      <c r="H3221">
        <v>10.7</v>
      </c>
      <c r="I3221" t="s">
        <v>4744</v>
      </c>
      <c r="J3221" t="s">
        <v>5191</v>
      </c>
      <c r="K3221" t="s">
        <v>4040</v>
      </c>
      <c r="L3221">
        <v>20.8</v>
      </c>
      <c r="M3221" s="452">
        <v>45839</v>
      </c>
      <c r="N3221">
        <v>20.8</v>
      </c>
      <c r="O3221">
        <v>20.99</v>
      </c>
      <c r="P3221">
        <v>222.56</v>
      </c>
    </row>
    <row r="3222" spans="1:16" x14ac:dyDescent="0.3">
      <c r="A3222">
        <v>44248</v>
      </c>
      <c r="B3222">
        <v>105</v>
      </c>
      <c r="C3222" t="s">
        <v>557</v>
      </c>
      <c r="D3222" s="452">
        <v>45870</v>
      </c>
      <c r="E3222">
        <v>18491</v>
      </c>
      <c r="F3222" t="s">
        <v>4839</v>
      </c>
      <c r="G3222">
        <v>3166</v>
      </c>
      <c r="H3222">
        <v>6</v>
      </c>
      <c r="I3222" t="s">
        <v>4805</v>
      </c>
      <c r="J3222" t="s">
        <v>5222</v>
      </c>
      <c r="K3222" t="s">
        <v>4040</v>
      </c>
      <c r="L3222">
        <v>0</v>
      </c>
      <c r="M3222" s="452">
        <v>45555</v>
      </c>
      <c r="N3222">
        <v>35.9</v>
      </c>
      <c r="O3222">
        <v>35.9</v>
      </c>
      <c r="P3222">
        <v>215.4</v>
      </c>
    </row>
    <row r="3223" spans="1:16" x14ac:dyDescent="0.3">
      <c r="A3223">
        <v>44346</v>
      </c>
      <c r="B3223">
        <v>105</v>
      </c>
      <c r="C3223" t="s">
        <v>557</v>
      </c>
      <c r="D3223" s="452">
        <v>45870</v>
      </c>
      <c r="E3223">
        <v>18548</v>
      </c>
      <c r="F3223" t="s">
        <v>5029</v>
      </c>
      <c r="G3223">
        <v>3131</v>
      </c>
      <c r="H3223">
        <v>2</v>
      </c>
      <c r="I3223" t="s">
        <v>4805</v>
      </c>
      <c r="J3223" t="s">
        <v>5222</v>
      </c>
      <c r="K3223" t="s">
        <v>4040</v>
      </c>
      <c r="L3223">
        <v>106</v>
      </c>
      <c r="M3223" s="452">
        <v>45853</v>
      </c>
      <c r="N3223">
        <v>106</v>
      </c>
      <c r="O3223">
        <v>106</v>
      </c>
      <c r="P3223">
        <v>212</v>
      </c>
    </row>
    <row r="3224" spans="1:16" x14ac:dyDescent="0.3">
      <c r="A3224">
        <v>44350</v>
      </c>
      <c r="B3224">
        <v>105</v>
      </c>
      <c r="C3224" t="s">
        <v>557</v>
      </c>
      <c r="D3224" s="452">
        <v>45870</v>
      </c>
      <c r="E3224">
        <v>18219</v>
      </c>
      <c r="F3224" t="s">
        <v>4972</v>
      </c>
      <c r="G3224">
        <v>3409</v>
      </c>
      <c r="H3224">
        <v>2</v>
      </c>
      <c r="I3224" t="s">
        <v>4805</v>
      </c>
      <c r="J3224" t="s">
        <v>5222</v>
      </c>
      <c r="K3224" t="s">
        <v>4040</v>
      </c>
      <c r="L3224">
        <v>104.99</v>
      </c>
      <c r="M3224" s="452">
        <v>45860</v>
      </c>
      <c r="N3224">
        <v>104.99</v>
      </c>
      <c r="O3224">
        <v>96.11</v>
      </c>
      <c r="P3224">
        <v>209.98</v>
      </c>
    </row>
    <row r="3225" spans="1:16" x14ac:dyDescent="0.3">
      <c r="A3225">
        <v>44183</v>
      </c>
      <c r="B3225">
        <v>105</v>
      </c>
      <c r="C3225" t="s">
        <v>557</v>
      </c>
      <c r="D3225" s="452">
        <v>45870</v>
      </c>
      <c r="E3225">
        <v>20122</v>
      </c>
      <c r="F3225" t="s">
        <v>4781</v>
      </c>
      <c r="G3225">
        <v>2290</v>
      </c>
      <c r="H3225">
        <v>15</v>
      </c>
      <c r="I3225" t="s">
        <v>4738</v>
      </c>
      <c r="J3225" t="s">
        <v>5191</v>
      </c>
      <c r="K3225" t="s">
        <v>4040</v>
      </c>
      <c r="L3225">
        <v>0</v>
      </c>
      <c r="M3225" s="452">
        <v>45817</v>
      </c>
      <c r="N3225">
        <v>13.8</v>
      </c>
      <c r="O3225">
        <v>14.5</v>
      </c>
      <c r="P3225">
        <v>207</v>
      </c>
    </row>
    <row r="3226" spans="1:16" x14ac:dyDescent="0.3">
      <c r="A3226">
        <v>44236</v>
      </c>
      <c r="B3226">
        <v>105</v>
      </c>
      <c r="C3226" t="s">
        <v>557</v>
      </c>
      <c r="D3226" s="452">
        <v>45870</v>
      </c>
      <c r="E3226">
        <v>18253</v>
      </c>
      <c r="F3226" t="s">
        <v>4969</v>
      </c>
      <c r="G3226">
        <v>3376</v>
      </c>
      <c r="H3226">
        <v>6.75</v>
      </c>
      <c r="I3226" t="s">
        <v>4805</v>
      </c>
      <c r="J3226" t="s">
        <v>5222</v>
      </c>
      <c r="K3226" t="s">
        <v>4040</v>
      </c>
      <c r="L3226">
        <v>30.53</v>
      </c>
      <c r="M3226" s="452">
        <v>45867</v>
      </c>
      <c r="N3226">
        <v>29.22</v>
      </c>
      <c r="O3226">
        <v>29.22</v>
      </c>
      <c r="P3226">
        <v>206.08</v>
      </c>
    </row>
    <row r="3227" spans="1:16" x14ac:dyDescent="0.3">
      <c r="A3227">
        <v>44128</v>
      </c>
      <c r="B3227">
        <v>105</v>
      </c>
      <c r="C3227" t="s">
        <v>557</v>
      </c>
      <c r="D3227" s="452">
        <v>45870</v>
      </c>
      <c r="E3227">
        <v>24308</v>
      </c>
      <c r="F3227" t="s">
        <v>4757</v>
      </c>
      <c r="G3227">
        <v>3658</v>
      </c>
      <c r="H3227">
        <v>94</v>
      </c>
      <c r="I3227" t="s">
        <v>4736</v>
      </c>
      <c r="J3227" t="s">
        <v>5222</v>
      </c>
      <c r="K3227" t="s">
        <v>4040</v>
      </c>
      <c r="L3227">
        <v>0</v>
      </c>
      <c r="M3227" s="452">
        <v>45679</v>
      </c>
      <c r="N3227">
        <v>2.19</v>
      </c>
      <c r="O3227">
        <v>2.19</v>
      </c>
      <c r="P3227">
        <v>205.86</v>
      </c>
    </row>
    <row r="3228" spans="1:16" x14ac:dyDescent="0.3">
      <c r="A3228">
        <v>44152</v>
      </c>
      <c r="B3228">
        <v>105</v>
      </c>
      <c r="C3228" t="s">
        <v>557</v>
      </c>
      <c r="D3228" s="452">
        <v>45870</v>
      </c>
      <c r="E3228">
        <v>27018</v>
      </c>
      <c r="F3228" t="s">
        <v>4737</v>
      </c>
      <c r="G3228">
        <v>7070</v>
      </c>
      <c r="H3228">
        <v>2.58</v>
      </c>
      <c r="I3228" t="s">
        <v>4738</v>
      </c>
      <c r="J3228" t="s">
        <v>5222</v>
      </c>
      <c r="K3228" t="s">
        <v>4040</v>
      </c>
      <c r="L3228">
        <v>79.64</v>
      </c>
      <c r="M3228" s="452">
        <v>45852</v>
      </c>
      <c r="N3228">
        <v>79.64</v>
      </c>
      <c r="O3228">
        <v>79.64</v>
      </c>
      <c r="P3228">
        <v>205.74</v>
      </c>
    </row>
    <row r="3229" spans="1:16" x14ac:dyDescent="0.3">
      <c r="A3229">
        <v>47458</v>
      </c>
      <c r="B3229">
        <v>105</v>
      </c>
      <c r="C3229" t="s">
        <v>557</v>
      </c>
      <c r="D3229" s="452">
        <v>45870</v>
      </c>
      <c r="E3229">
        <v>18991</v>
      </c>
      <c r="F3229" t="s">
        <v>4815</v>
      </c>
      <c r="G3229">
        <v>2900</v>
      </c>
      <c r="H3229">
        <v>4.8</v>
      </c>
      <c r="I3229" t="s">
        <v>4744</v>
      </c>
      <c r="J3229" t="s">
        <v>5191</v>
      </c>
      <c r="K3229" t="s">
        <v>4040</v>
      </c>
      <c r="L3229">
        <v>0</v>
      </c>
      <c r="M3229" s="452">
        <v>45750</v>
      </c>
      <c r="N3229">
        <v>42.68</v>
      </c>
      <c r="O3229">
        <v>42.68</v>
      </c>
      <c r="P3229">
        <v>204.86</v>
      </c>
    </row>
    <row r="3230" spans="1:16" x14ac:dyDescent="0.3">
      <c r="A3230">
        <v>44227</v>
      </c>
      <c r="B3230">
        <v>105</v>
      </c>
      <c r="C3230" t="s">
        <v>557</v>
      </c>
      <c r="D3230" s="452">
        <v>45870</v>
      </c>
      <c r="E3230">
        <v>20301</v>
      </c>
      <c r="F3230" t="s">
        <v>4944</v>
      </c>
      <c r="G3230">
        <v>2223</v>
      </c>
      <c r="H3230">
        <v>8</v>
      </c>
      <c r="I3230" t="s">
        <v>4738</v>
      </c>
      <c r="J3230" t="s">
        <v>5191</v>
      </c>
      <c r="K3230" t="s">
        <v>4040</v>
      </c>
      <c r="L3230">
        <v>25.13</v>
      </c>
      <c r="M3230" s="452">
        <v>45863</v>
      </c>
      <c r="N3230">
        <v>24.96</v>
      </c>
      <c r="O3230">
        <v>24.96</v>
      </c>
      <c r="P3230">
        <v>201.04</v>
      </c>
    </row>
    <row r="3231" spans="1:16" x14ac:dyDescent="0.3">
      <c r="A3231">
        <v>44174</v>
      </c>
      <c r="B3231">
        <v>105</v>
      </c>
      <c r="C3231" t="s">
        <v>557</v>
      </c>
      <c r="D3231" s="452">
        <v>45870</v>
      </c>
      <c r="E3231">
        <v>19734</v>
      </c>
      <c r="F3231" t="s">
        <v>4833</v>
      </c>
      <c r="G3231">
        <v>2519</v>
      </c>
      <c r="H3231">
        <v>16.13</v>
      </c>
      <c r="I3231" t="s">
        <v>4744</v>
      </c>
      <c r="J3231" t="s">
        <v>5191</v>
      </c>
      <c r="K3231" t="s">
        <v>4040</v>
      </c>
      <c r="L3231">
        <v>12.4</v>
      </c>
      <c r="M3231" s="452">
        <v>45862</v>
      </c>
      <c r="N3231">
        <v>9.9</v>
      </c>
      <c r="O3231">
        <v>8.4</v>
      </c>
      <c r="P3231">
        <v>200.01</v>
      </c>
    </row>
    <row r="3232" spans="1:16" x14ac:dyDescent="0.3">
      <c r="A3232">
        <v>44210</v>
      </c>
      <c r="B3232">
        <v>105</v>
      </c>
      <c r="C3232" t="s">
        <v>557</v>
      </c>
      <c r="D3232" s="452">
        <v>45870</v>
      </c>
      <c r="E3232">
        <v>24456</v>
      </c>
      <c r="F3232" t="s">
        <v>4845</v>
      </c>
      <c r="G3232">
        <v>1965</v>
      </c>
      <c r="H3232">
        <v>10</v>
      </c>
      <c r="I3232" t="s">
        <v>4744</v>
      </c>
      <c r="J3232" t="s">
        <v>5191</v>
      </c>
      <c r="K3232" t="s">
        <v>4040</v>
      </c>
      <c r="L3232">
        <v>0</v>
      </c>
      <c r="M3232" s="452">
        <v>45825</v>
      </c>
      <c r="N3232">
        <v>20</v>
      </c>
      <c r="O3232">
        <v>29.83</v>
      </c>
      <c r="P3232">
        <v>200</v>
      </c>
    </row>
    <row r="3233" spans="1:16" x14ac:dyDescent="0.3">
      <c r="A3233">
        <v>44151</v>
      </c>
      <c r="B3233">
        <v>105</v>
      </c>
      <c r="C3233" t="s">
        <v>557</v>
      </c>
      <c r="D3233" s="452">
        <v>45870</v>
      </c>
      <c r="E3233">
        <v>24192</v>
      </c>
      <c r="F3233" t="s">
        <v>4772</v>
      </c>
      <c r="G3233">
        <v>3099</v>
      </c>
      <c r="H3233">
        <v>32</v>
      </c>
      <c r="I3233" t="s">
        <v>4736</v>
      </c>
      <c r="J3233" t="s">
        <v>5222</v>
      </c>
      <c r="K3233" t="s">
        <v>4040</v>
      </c>
      <c r="L3233">
        <v>0</v>
      </c>
      <c r="M3233" s="452">
        <v>45679</v>
      </c>
      <c r="N3233">
        <v>6.12</v>
      </c>
      <c r="O3233">
        <v>6.12</v>
      </c>
      <c r="P3233">
        <v>195.84</v>
      </c>
    </row>
    <row r="3234" spans="1:16" x14ac:dyDescent="0.3">
      <c r="A3234">
        <v>44282</v>
      </c>
      <c r="B3234">
        <v>105</v>
      </c>
      <c r="C3234" t="s">
        <v>557</v>
      </c>
      <c r="D3234" s="452">
        <v>45870</v>
      </c>
      <c r="E3234">
        <v>26038</v>
      </c>
      <c r="F3234" t="s">
        <v>4976</v>
      </c>
      <c r="G3234">
        <v>6506</v>
      </c>
      <c r="H3234">
        <v>4</v>
      </c>
      <c r="I3234" t="s">
        <v>4805</v>
      </c>
      <c r="J3234" t="s">
        <v>5222</v>
      </c>
      <c r="K3234" t="s">
        <v>4040</v>
      </c>
      <c r="L3234">
        <v>48.45</v>
      </c>
      <c r="M3234" s="452">
        <v>45853</v>
      </c>
      <c r="N3234">
        <v>48.45</v>
      </c>
      <c r="O3234">
        <v>48.45</v>
      </c>
      <c r="P3234">
        <v>193.8</v>
      </c>
    </row>
    <row r="3235" spans="1:16" x14ac:dyDescent="0.3">
      <c r="A3235">
        <v>44133</v>
      </c>
      <c r="B3235">
        <v>105</v>
      </c>
      <c r="C3235" t="s">
        <v>557</v>
      </c>
      <c r="D3235" s="452">
        <v>45870</v>
      </c>
      <c r="E3235">
        <v>24029</v>
      </c>
      <c r="F3235" t="s">
        <v>4756</v>
      </c>
      <c r="G3235">
        <v>3591</v>
      </c>
      <c r="H3235">
        <v>87</v>
      </c>
      <c r="I3235" t="s">
        <v>4736</v>
      </c>
      <c r="J3235" t="s">
        <v>5222</v>
      </c>
      <c r="K3235" t="s">
        <v>4040</v>
      </c>
      <c r="L3235">
        <v>0</v>
      </c>
      <c r="M3235" s="452">
        <v>45546</v>
      </c>
      <c r="N3235">
        <v>2.19</v>
      </c>
      <c r="O3235">
        <v>2.19</v>
      </c>
      <c r="P3235">
        <v>190.53</v>
      </c>
    </row>
    <row r="3236" spans="1:16" x14ac:dyDescent="0.3">
      <c r="A3236">
        <v>44263</v>
      </c>
      <c r="B3236">
        <v>105</v>
      </c>
      <c r="C3236" t="s">
        <v>557</v>
      </c>
      <c r="D3236" s="452">
        <v>45870</v>
      </c>
      <c r="E3236">
        <v>16973</v>
      </c>
      <c r="F3236" t="s">
        <v>4827</v>
      </c>
      <c r="G3236">
        <v>3710</v>
      </c>
      <c r="H3236">
        <v>5</v>
      </c>
      <c r="I3236" t="s">
        <v>4749</v>
      </c>
      <c r="J3236" t="s">
        <v>5222</v>
      </c>
      <c r="K3236" t="s">
        <v>4040</v>
      </c>
      <c r="L3236">
        <v>0</v>
      </c>
      <c r="M3236" s="452">
        <v>45740</v>
      </c>
      <c r="N3236">
        <v>0</v>
      </c>
      <c r="O3236">
        <v>135</v>
      </c>
      <c r="P3236">
        <v>190</v>
      </c>
    </row>
    <row r="3237" spans="1:16" x14ac:dyDescent="0.3">
      <c r="A3237">
        <v>44312</v>
      </c>
      <c r="B3237">
        <v>105</v>
      </c>
      <c r="C3237" t="s">
        <v>557</v>
      </c>
      <c r="D3237" s="452">
        <v>45870</v>
      </c>
      <c r="E3237">
        <v>18194</v>
      </c>
      <c r="F3237" t="s">
        <v>4923</v>
      </c>
      <c r="G3237">
        <v>3430</v>
      </c>
      <c r="H3237">
        <v>3</v>
      </c>
      <c r="I3237" t="s">
        <v>4805</v>
      </c>
      <c r="J3237" t="s">
        <v>5222</v>
      </c>
      <c r="K3237" t="s">
        <v>4040</v>
      </c>
      <c r="L3237">
        <v>63</v>
      </c>
      <c r="M3237" s="452">
        <v>45853</v>
      </c>
      <c r="N3237">
        <v>63</v>
      </c>
      <c r="O3237">
        <v>64.62</v>
      </c>
      <c r="P3237">
        <v>189</v>
      </c>
    </row>
    <row r="3238" spans="1:16" x14ac:dyDescent="0.3">
      <c r="A3238">
        <v>44427</v>
      </c>
      <c r="B3238">
        <v>105</v>
      </c>
      <c r="C3238" t="s">
        <v>557</v>
      </c>
      <c r="D3238" s="452">
        <v>45870</v>
      </c>
      <c r="E3238">
        <v>20928</v>
      </c>
      <c r="F3238" t="s">
        <v>4950</v>
      </c>
      <c r="G3238">
        <v>2033</v>
      </c>
      <c r="H3238">
        <v>0.85</v>
      </c>
      <c r="I3238" t="s">
        <v>4736</v>
      </c>
      <c r="J3238" t="s">
        <v>5191</v>
      </c>
      <c r="K3238" t="s">
        <v>4040</v>
      </c>
      <c r="L3238">
        <v>220</v>
      </c>
      <c r="M3238" s="452">
        <v>45852</v>
      </c>
      <c r="N3238">
        <v>220</v>
      </c>
      <c r="O3238">
        <v>182</v>
      </c>
      <c r="P3238">
        <v>187</v>
      </c>
    </row>
    <row r="3239" spans="1:16" x14ac:dyDescent="0.3">
      <c r="A3239">
        <v>44297</v>
      </c>
      <c r="B3239">
        <v>105</v>
      </c>
      <c r="C3239" t="s">
        <v>557</v>
      </c>
      <c r="D3239" s="452">
        <v>45870</v>
      </c>
      <c r="E3239">
        <v>20660</v>
      </c>
      <c r="F3239" t="s">
        <v>5011</v>
      </c>
      <c r="G3239">
        <v>2110</v>
      </c>
      <c r="H3239">
        <v>3</v>
      </c>
      <c r="I3239" t="s">
        <v>4955</v>
      </c>
      <c r="J3239" t="s">
        <v>5191</v>
      </c>
      <c r="K3239" t="s">
        <v>4040</v>
      </c>
      <c r="L3239">
        <v>61.9</v>
      </c>
      <c r="M3239" s="452">
        <v>45852</v>
      </c>
      <c r="N3239">
        <v>61.9</v>
      </c>
      <c r="O3239">
        <v>58.9</v>
      </c>
      <c r="P3239">
        <v>185.7</v>
      </c>
    </row>
    <row r="3240" spans="1:16" x14ac:dyDescent="0.3">
      <c r="A3240">
        <v>44147</v>
      </c>
      <c r="B3240">
        <v>105</v>
      </c>
      <c r="C3240" t="s">
        <v>557</v>
      </c>
      <c r="D3240" s="452">
        <v>45870</v>
      </c>
      <c r="E3240">
        <v>18586</v>
      </c>
      <c r="F3240" t="s">
        <v>4966</v>
      </c>
      <c r="G3240">
        <v>3104</v>
      </c>
      <c r="H3240">
        <v>1.46</v>
      </c>
      <c r="I3240" t="s">
        <v>4738</v>
      </c>
      <c r="J3240" t="s">
        <v>5222</v>
      </c>
      <c r="K3240" t="s">
        <v>4040</v>
      </c>
      <c r="L3240">
        <v>125.31</v>
      </c>
      <c r="M3240" s="452">
        <v>45859</v>
      </c>
      <c r="N3240">
        <v>125.31</v>
      </c>
      <c r="O3240">
        <v>125.31</v>
      </c>
      <c r="P3240">
        <v>182.74</v>
      </c>
    </row>
    <row r="3241" spans="1:16" x14ac:dyDescent="0.3">
      <c r="A3241">
        <v>44204</v>
      </c>
      <c r="B3241">
        <v>105</v>
      </c>
      <c r="C3241" t="s">
        <v>557</v>
      </c>
      <c r="D3241" s="452">
        <v>45870</v>
      </c>
      <c r="E3241">
        <v>20105</v>
      </c>
      <c r="F3241" t="s">
        <v>4831</v>
      </c>
      <c r="G3241">
        <v>2298</v>
      </c>
      <c r="H3241">
        <v>10.78</v>
      </c>
      <c r="I3241" t="s">
        <v>4744</v>
      </c>
      <c r="J3241" t="s">
        <v>5191</v>
      </c>
      <c r="K3241" t="s">
        <v>4040</v>
      </c>
      <c r="L3241">
        <v>16.3</v>
      </c>
      <c r="M3241" s="452">
        <v>45853</v>
      </c>
      <c r="N3241">
        <v>16.3</v>
      </c>
      <c r="O3241">
        <v>16.3</v>
      </c>
      <c r="P3241">
        <v>175.71</v>
      </c>
    </row>
    <row r="3242" spans="1:16" x14ac:dyDescent="0.3">
      <c r="A3242">
        <v>44412</v>
      </c>
      <c r="B3242">
        <v>105</v>
      </c>
      <c r="C3242" t="s">
        <v>557</v>
      </c>
      <c r="D3242" s="452">
        <v>45870</v>
      </c>
      <c r="E3242">
        <v>18119</v>
      </c>
      <c r="F3242" t="s">
        <v>5044</v>
      </c>
      <c r="G3242">
        <v>3494</v>
      </c>
      <c r="H3242">
        <v>1</v>
      </c>
      <c r="I3242" t="s">
        <v>4805</v>
      </c>
      <c r="J3242" t="s">
        <v>5222</v>
      </c>
      <c r="K3242" t="s">
        <v>4040</v>
      </c>
      <c r="L3242">
        <v>0</v>
      </c>
      <c r="M3242" s="452">
        <v>45833</v>
      </c>
      <c r="N3242">
        <v>172.88</v>
      </c>
      <c r="O3242">
        <v>172.88</v>
      </c>
      <c r="P3242">
        <v>172.88</v>
      </c>
    </row>
    <row r="3243" spans="1:16" x14ac:dyDescent="0.3">
      <c r="A3243">
        <v>44311</v>
      </c>
      <c r="B3243">
        <v>105</v>
      </c>
      <c r="C3243" t="s">
        <v>557</v>
      </c>
      <c r="D3243" s="452">
        <v>45870</v>
      </c>
      <c r="E3243">
        <v>18502</v>
      </c>
      <c r="F3243" t="s">
        <v>4893</v>
      </c>
      <c r="G3243">
        <v>3155</v>
      </c>
      <c r="H3243">
        <v>3</v>
      </c>
      <c r="I3243" t="s">
        <v>4805</v>
      </c>
      <c r="J3243" t="s">
        <v>5222</v>
      </c>
      <c r="K3243" t="s">
        <v>4040</v>
      </c>
      <c r="L3243">
        <v>0</v>
      </c>
      <c r="M3243" s="452">
        <v>45737</v>
      </c>
      <c r="N3243">
        <v>56.69</v>
      </c>
      <c r="O3243">
        <v>56.69</v>
      </c>
      <c r="P3243">
        <v>170.07</v>
      </c>
    </row>
    <row r="3244" spans="1:16" x14ac:dyDescent="0.3">
      <c r="A3244">
        <v>44436</v>
      </c>
      <c r="B3244">
        <v>105</v>
      </c>
      <c r="C3244" t="s">
        <v>557</v>
      </c>
      <c r="D3244" s="452">
        <v>45870</v>
      </c>
      <c r="E3244">
        <v>22223</v>
      </c>
      <c r="F3244" t="s">
        <v>5437</v>
      </c>
      <c r="G3244">
        <v>3498</v>
      </c>
      <c r="H3244">
        <v>0.62</v>
      </c>
      <c r="I3244" t="s">
        <v>4955</v>
      </c>
      <c r="J3244" t="s">
        <v>5222</v>
      </c>
      <c r="K3244" t="s">
        <v>4040</v>
      </c>
      <c r="L3244">
        <v>0</v>
      </c>
      <c r="M3244" s="452">
        <v>45672</v>
      </c>
      <c r="N3244">
        <v>269.89999999999998</v>
      </c>
      <c r="O3244">
        <v>269.89999999999998</v>
      </c>
      <c r="P3244">
        <v>167.34</v>
      </c>
    </row>
    <row r="3245" spans="1:16" x14ac:dyDescent="0.3">
      <c r="A3245">
        <v>44320</v>
      </c>
      <c r="B3245">
        <v>105</v>
      </c>
      <c r="C3245" t="s">
        <v>557</v>
      </c>
      <c r="D3245" s="452">
        <v>45870</v>
      </c>
      <c r="E3245">
        <v>20756</v>
      </c>
      <c r="F3245" t="s">
        <v>5001</v>
      </c>
      <c r="G3245">
        <v>2086</v>
      </c>
      <c r="H3245">
        <v>2</v>
      </c>
      <c r="I3245" t="s">
        <v>4736</v>
      </c>
      <c r="J3245" t="s">
        <v>5191</v>
      </c>
      <c r="K3245" t="s">
        <v>4040</v>
      </c>
      <c r="L3245">
        <v>0</v>
      </c>
      <c r="M3245" s="452">
        <v>45607</v>
      </c>
      <c r="N3245">
        <v>79.2</v>
      </c>
      <c r="O3245">
        <v>78.900000000000006</v>
      </c>
      <c r="P3245">
        <v>158.4</v>
      </c>
    </row>
    <row r="3246" spans="1:16" x14ac:dyDescent="0.3">
      <c r="A3246">
        <v>44182</v>
      </c>
      <c r="B3246">
        <v>105</v>
      </c>
      <c r="C3246" t="s">
        <v>557</v>
      </c>
      <c r="D3246" s="452">
        <v>45870</v>
      </c>
      <c r="E3246">
        <v>26103</v>
      </c>
      <c r="F3246" t="s">
        <v>4776</v>
      </c>
      <c r="G3246">
        <v>9072</v>
      </c>
      <c r="H3246">
        <v>15</v>
      </c>
      <c r="I3246" t="s">
        <v>4749</v>
      </c>
      <c r="J3246" t="s">
        <v>5191</v>
      </c>
      <c r="K3246" t="s">
        <v>4040</v>
      </c>
      <c r="L3246">
        <v>0</v>
      </c>
      <c r="M3246" s="452">
        <v>45742</v>
      </c>
      <c r="N3246">
        <v>10.53</v>
      </c>
      <c r="O3246">
        <v>10.53</v>
      </c>
      <c r="P3246">
        <v>157.94999999999999</v>
      </c>
    </row>
    <row r="3247" spans="1:16" x14ac:dyDescent="0.3">
      <c r="A3247">
        <v>44234</v>
      </c>
      <c r="B3247">
        <v>105</v>
      </c>
      <c r="C3247" t="s">
        <v>557</v>
      </c>
      <c r="D3247" s="452">
        <v>45870</v>
      </c>
      <c r="E3247">
        <v>17895</v>
      </c>
      <c r="F3247" t="s">
        <v>5086</v>
      </c>
      <c r="G3247">
        <v>3665</v>
      </c>
      <c r="H3247">
        <v>7</v>
      </c>
      <c r="I3247" t="s">
        <v>4738</v>
      </c>
      <c r="J3247" t="s">
        <v>5222</v>
      </c>
      <c r="K3247" t="s">
        <v>4040</v>
      </c>
      <c r="L3247">
        <v>22.24</v>
      </c>
      <c r="M3247" s="452">
        <v>45859</v>
      </c>
      <c r="N3247">
        <v>28.32</v>
      </c>
      <c r="O3247">
        <v>28.32</v>
      </c>
      <c r="P3247">
        <v>155.68</v>
      </c>
    </row>
    <row r="3248" spans="1:16" x14ac:dyDescent="0.3">
      <c r="A3248">
        <v>44166</v>
      </c>
      <c r="B3248">
        <v>105</v>
      </c>
      <c r="C3248" t="s">
        <v>557</v>
      </c>
      <c r="D3248" s="452">
        <v>45870</v>
      </c>
      <c r="E3248">
        <v>25759</v>
      </c>
      <c r="F3248" t="s">
        <v>4877</v>
      </c>
      <c r="G3248">
        <v>9073</v>
      </c>
      <c r="H3248">
        <v>19</v>
      </c>
      <c r="I3248" t="s">
        <v>4736</v>
      </c>
      <c r="J3248" t="s">
        <v>5191</v>
      </c>
      <c r="K3248" t="s">
        <v>4040</v>
      </c>
      <c r="L3248">
        <v>0</v>
      </c>
      <c r="M3248" s="452">
        <v>45653</v>
      </c>
      <c r="N3248">
        <v>7.73</v>
      </c>
      <c r="O3248">
        <v>7.73</v>
      </c>
      <c r="P3248">
        <v>146.87</v>
      </c>
    </row>
    <row r="3249" spans="1:16" x14ac:dyDescent="0.3">
      <c r="A3249">
        <v>44132</v>
      </c>
      <c r="B3249">
        <v>105</v>
      </c>
      <c r="C3249" t="s">
        <v>557</v>
      </c>
      <c r="D3249" s="452">
        <v>45870</v>
      </c>
      <c r="E3249">
        <v>17042</v>
      </c>
      <c r="F3249" t="s">
        <v>4748</v>
      </c>
      <c r="G3249">
        <v>2830</v>
      </c>
      <c r="H3249">
        <v>87</v>
      </c>
      <c r="I3249" t="s">
        <v>4749</v>
      </c>
      <c r="J3249" t="s">
        <v>5191</v>
      </c>
      <c r="K3249" t="s">
        <v>4040</v>
      </c>
      <c r="L3249">
        <v>0</v>
      </c>
      <c r="M3249" s="452">
        <v>-693593</v>
      </c>
      <c r="N3249">
        <v>0</v>
      </c>
      <c r="O3249">
        <v>1.4</v>
      </c>
      <c r="P3249">
        <v>146.16</v>
      </c>
    </row>
    <row r="3250" spans="1:16" x14ac:dyDescent="0.3">
      <c r="A3250">
        <v>44269</v>
      </c>
      <c r="B3250">
        <v>105</v>
      </c>
      <c r="C3250" t="s">
        <v>557</v>
      </c>
      <c r="D3250" s="452">
        <v>45870</v>
      </c>
      <c r="E3250">
        <v>22721</v>
      </c>
      <c r="F3250" t="s">
        <v>4803</v>
      </c>
      <c r="G3250">
        <v>3033</v>
      </c>
      <c r="H3250">
        <v>4.21</v>
      </c>
      <c r="I3250" t="s">
        <v>4744</v>
      </c>
      <c r="J3250" t="s">
        <v>5191</v>
      </c>
      <c r="K3250" t="s">
        <v>4040</v>
      </c>
      <c r="L3250">
        <v>34.11</v>
      </c>
      <c r="M3250" s="452">
        <v>45866</v>
      </c>
      <c r="N3250">
        <v>32.9</v>
      </c>
      <c r="O3250">
        <v>29.6</v>
      </c>
      <c r="P3250">
        <v>143.6</v>
      </c>
    </row>
    <row r="3251" spans="1:16" x14ac:dyDescent="0.3">
      <c r="A3251">
        <v>44298</v>
      </c>
      <c r="B3251">
        <v>105</v>
      </c>
      <c r="C3251" t="s">
        <v>557</v>
      </c>
      <c r="D3251" s="452">
        <v>45870</v>
      </c>
      <c r="E3251">
        <v>20007</v>
      </c>
      <c r="F3251" t="s">
        <v>5101</v>
      </c>
      <c r="G3251">
        <v>2343</v>
      </c>
      <c r="H3251">
        <v>3</v>
      </c>
      <c r="I3251" t="s">
        <v>4884</v>
      </c>
      <c r="J3251" t="s">
        <v>5191</v>
      </c>
      <c r="K3251" t="s">
        <v>4040</v>
      </c>
      <c r="L3251">
        <v>47.16</v>
      </c>
      <c r="M3251" s="452">
        <v>45856</v>
      </c>
      <c r="N3251">
        <v>47.78</v>
      </c>
      <c r="O3251">
        <v>47.78</v>
      </c>
      <c r="P3251">
        <v>141.47999999999999</v>
      </c>
    </row>
    <row r="3252" spans="1:16" x14ac:dyDescent="0.3">
      <c r="A3252">
        <v>44401</v>
      </c>
      <c r="B3252">
        <v>105</v>
      </c>
      <c r="C3252" t="s">
        <v>557</v>
      </c>
      <c r="D3252" s="452">
        <v>45870</v>
      </c>
      <c r="E3252">
        <v>18289</v>
      </c>
      <c r="F3252" t="s">
        <v>5036</v>
      </c>
      <c r="G3252">
        <v>3339</v>
      </c>
      <c r="H3252">
        <v>1</v>
      </c>
      <c r="I3252" t="s">
        <v>4736</v>
      </c>
      <c r="J3252" t="s">
        <v>5222</v>
      </c>
      <c r="K3252" t="s">
        <v>4040</v>
      </c>
      <c r="L3252">
        <v>0</v>
      </c>
      <c r="M3252" s="452">
        <v>-693593</v>
      </c>
      <c r="N3252">
        <v>0</v>
      </c>
      <c r="O3252">
        <v>0</v>
      </c>
      <c r="P3252">
        <v>140</v>
      </c>
    </row>
    <row r="3253" spans="1:16" x14ac:dyDescent="0.3">
      <c r="A3253">
        <v>44230</v>
      </c>
      <c r="B3253">
        <v>105</v>
      </c>
      <c r="C3253" t="s">
        <v>557</v>
      </c>
      <c r="D3253" s="452">
        <v>45870</v>
      </c>
      <c r="E3253">
        <v>18996</v>
      </c>
      <c r="F3253" t="s">
        <v>5130</v>
      </c>
      <c r="G3253">
        <v>2900</v>
      </c>
      <c r="H3253">
        <v>7.26</v>
      </c>
      <c r="I3253" t="s">
        <v>4744</v>
      </c>
      <c r="J3253" t="s">
        <v>5191</v>
      </c>
      <c r="K3253" t="s">
        <v>4040</v>
      </c>
      <c r="L3253">
        <v>19.04</v>
      </c>
      <c r="M3253" s="452">
        <v>45866</v>
      </c>
      <c r="N3253">
        <v>17.690000000000001</v>
      </c>
      <c r="O3253">
        <v>11.8</v>
      </c>
      <c r="P3253">
        <v>138.22999999999999</v>
      </c>
    </row>
    <row r="3254" spans="1:16" x14ac:dyDescent="0.3">
      <c r="A3254">
        <v>44313</v>
      </c>
      <c r="B3254">
        <v>105</v>
      </c>
      <c r="C3254" t="s">
        <v>557</v>
      </c>
      <c r="D3254" s="452">
        <v>45870</v>
      </c>
      <c r="E3254">
        <v>24642</v>
      </c>
      <c r="F3254" t="s">
        <v>5460</v>
      </c>
      <c r="G3254">
        <v>5692</v>
      </c>
      <c r="H3254">
        <v>3</v>
      </c>
      <c r="I3254" t="s">
        <v>4805</v>
      </c>
      <c r="J3254" t="s">
        <v>5222</v>
      </c>
      <c r="K3254" t="s">
        <v>4040</v>
      </c>
      <c r="L3254">
        <v>0</v>
      </c>
      <c r="M3254" s="452">
        <v>45596</v>
      </c>
      <c r="N3254">
        <v>46</v>
      </c>
      <c r="O3254">
        <v>46</v>
      </c>
      <c r="P3254">
        <v>138</v>
      </c>
    </row>
    <row r="3255" spans="1:16" x14ac:dyDescent="0.3">
      <c r="A3255">
        <v>44135</v>
      </c>
      <c r="B3255">
        <v>105</v>
      </c>
      <c r="C3255" t="s">
        <v>557</v>
      </c>
      <c r="D3255" s="452">
        <v>45870</v>
      </c>
      <c r="E3255">
        <v>24414</v>
      </c>
      <c r="F3255" t="s">
        <v>4746</v>
      </c>
      <c r="G3255">
        <v>3670</v>
      </c>
      <c r="H3255">
        <v>63</v>
      </c>
      <c r="I3255" t="s">
        <v>4736</v>
      </c>
      <c r="J3255" t="s">
        <v>5222</v>
      </c>
      <c r="K3255" t="s">
        <v>4040</v>
      </c>
      <c r="L3255">
        <v>0</v>
      </c>
      <c r="M3255" s="452">
        <v>45623</v>
      </c>
      <c r="N3255">
        <v>2.19</v>
      </c>
      <c r="O3255">
        <v>2.19</v>
      </c>
      <c r="P3255">
        <v>137.97</v>
      </c>
    </row>
    <row r="3256" spans="1:16" x14ac:dyDescent="0.3">
      <c r="A3256">
        <v>44239</v>
      </c>
      <c r="B3256">
        <v>105</v>
      </c>
      <c r="C3256" t="s">
        <v>557</v>
      </c>
      <c r="D3256" s="452">
        <v>45870</v>
      </c>
      <c r="E3256">
        <v>20044</v>
      </c>
      <c r="F3256" t="s">
        <v>4932</v>
      </c>
      <c r="G3256">
        <v>2329</v>
      </c>
      <c r="H3256">
        <v>6.5</v>
      </c>
      <c r="I3256" t="s">
        <v>4744</v>
      </c>
      <c r="J3256" t="s">
        <v>5191</v>
      </c>
      <c r="K3256" t="s">
        <v>4040</v>
      </c>
      <c r="L3256">
        <v>0</v>
      </c>
      <c r="M3256" s="452">
        <v>45639</v>
      </c>
      <c r="N3256">
        <v>21</v>
      </c>
      <c r="O3256">
        <v>23.9</v>
      </c>
      <c r="P3256">
        <v>136.5</v>
      </c>
    </row>
    <row r="3257" spans="1:16" x14ac:dyDescent="0.3">
      <c r="A3257">
        <v>44403</v>
      </c>
      <c r="B3257">
        <v>105</v>
      </c>
      <c r="C3257" t="s">
        <v>557</v>
      </c>
      <c r="D3257" s="452">
        <v>45870</v>
      </c>
      <c r="E3257">
        <v>18312</v>
      </c>
      <c r="F3257" t="s">
        <v>5037</v>
      </c>
      <c r="G3257">
        <v>3321</v>
      </c>
      <c r="H3257">
        <v>1</v>
      </c>
      <c r="I3257" t="s">
        <v>4805</v>
      </c>
      <c r="J3257" t="s">
        <v>5222</v>
      </c>
      <c r="K3257" t="s">
        <v>4040</v>
      </c>
      <c r="L3257">
        <v>0</v>
      </c>
      <c r="M3257" s="452">
        <v>-693593</v>
      </c>
      <c r="N3257">
        <v>0</v>
      </c>
      <c r="O3257">
        <v>86</v>
      </c>
      <c r="P3257">
        <v>135.9</v>
      </c>
    </row>
    <row r="3258" spans="1:16" x14ac:dyDescent="0.3">
      <c r="A3258">
        <v>44411</v>
      </c>
      <c r="B3258">
        <v>105</v>
      </c>
      <c r="C3258" t="s">
        <v>557</v>
      </c>
      <c r="D3258" s="452">
        <v>45870</v>
      </c>
      <c r="E3258">
        <v>18129</v>
      </c>
      <c r="F3258" t="s">
        <v>5043</v>
      </c>
      <c r="G3258">
        <v>3486</v>
      </c>
      <c r="H3258">
        <v>1</v>
      </c>
      <c r="I3258" t="s">
        <v>4805</v>
      </c>
      <c r="J3258" t="s">
        <v>5222</v>
      </c>
      <c r="K3258" t="s">
        <v>4040</v>
      </c>
      <c r="L3258">
        <v>134.22999999999999</v>
      </c>
      <c r="M3258" s="452">
        <v>45861</v>
      </c>
      <c r="N3258">
        <v>139.65</v>
      </c>
      <c r="O3258">
        <v>128.5</v>
      </c>
      <c r="P3258">
        <v>134.22999999999999</v>
      </c>
    </row>
    <row r="3259" spans="1:16" x14ac:dyDescent="0.3">
      <c r="A3259">
        <v>44473</v>
      </c>
      <c r="B3259">
        <v>105</v>
      </c>
      <c r="C3259" t="s">
        <v>557</v>
      </c>
      <c r="D3259" s="452">
        <v>45870</v>
      </c>
      <c r="E3259">
        <v>18157</v>
      </c>
      <c r="F3259" t="s">
        <v>5041</v>
      </c>
      <c r="G3259">
        <v>3463</v>
      </c>
      <c r="H3259">
        <v>0.65</v>
      </c>
      <c r="I3259" t="s">
        <v>4805</v>
      </c>
      <c r="J3259" t="s">
        <v>5222</v>
      </c>
      <c r="K3259" t="s">
        <v>4040</v>
      </c>
      <c r="L3259">
        <v>0</v>
      </c>
      <c r="M3259" s="452">
        <v>45672</v>
      </c>
      <c r="N3259">
        <v>205.61</v>
      </c>
      <c r="O3259">
        <v>205.61</v>
      </c>
      <c r="P3259">
        <v>133.65</v>
      </c>
    </row>
    <row r="3260" spans="1:16" x14ac:dyDescent="0.3">
      <c r="A3260">
        <v>44171</v>
      </c>
      <c r="B3260">
        <v>105</v>
      </c>
      <c r="C3260" t="s">
        <v>557</v>
      </c>
      <c r="D3260" s="452">
        <v>45870</v>
      </c>
      <c r="E3260">
        <v>25757</v>
      </c>
      <c r="F3260" t="s">
        <v>4763</v>
      </c>
      <c r="G3260">
        <v>6308</v>
      </c>
      <c r="H3260">
        <v>17</v>
      </c>
      <c r="I3260" t="s">
        <v>4736</v>
      </c>
      <c r="J3260" t="s">
        <v>5191</v>
      </c>
      <c r="K3260" t="s">
        <v>4040</v>
      </c>
      <c r="L3260">
        <v>0</v>
      </c>
      <c r="M3260" s="452">
        <v>45742</v>
      </c>
      <c r="N3260">
        <v>7.61</v>
      </c>
      <c r="O3260">
        <v>7.61</v>
      </c>
      <c r="P3260">
        <v>129.37</v>
      </c>
    </row>
    <row r="3261" spans="1:16" x14ac:dyDescent="0.3">
      <c r="A3261">
        <v>44362</v>
      </c>
      <c r="B3261">
        <v>105</v>
      </c>
      <c r="C3261" t="s">
        <v>557</v>
      </c>
      <c r="D3261" s="452">
        <v>45870</v>
      </c>
      <c r="E3261">
        <v>25358</v>
      </c>
      <c r="F3261" t="s">
        <v>4980</v>
      </c>
      <c r="G3261">
        <v>6047</v>
      </c>
      <c r="H3261">
        <v>1.62</v>
      </c>
      <c r="I3261" t="s">
        <v>4744</v>
      </c>
      <c r="J3261" t="s">
        <v>5191</v>
      </c>
      <c r="K3261" t="s">
        <v>4040</v>
      </c>
      <c r="L3261">
        <v>78.599999999999994</v>
      </c>
      <c r="M3261" s="452">
        <v>45856</v>
      </c>
      <c r="N3261">
        <v>78.599999999999994</v>
      </c>
      <c r="O3261">
        <v>78.599999999999994</v>
      </c>
      <c r="P3261">
        <v>127.33</v>
      </c>
    </row>
    <row r="3262" spans="1:16" x14ac:dyDescent="0.3">
      <c r="A3262">
        <v>44249</v>
      </c>
      <c r="B3262">
        <v>105</v>
      </c>
      <c r="C3262" t="s">
        <v>557</v>
      </c>
      <c r="D3262" s="452">
        <v>45870</v>
      </c>
      <c r="E3262">
        <v>17878</v>
      </c>
      <c r="F3262" t="s">
        <v>4926</v>
      </c>
      <c r="G3262">
        <v>3677</v>
      </c>
      <c r="H3262">
        <v>6</v>
      </c>
      <c r="I3262" t="s">
        <v>4736</v>
      </c>
      <c r="J3262" t="s">
        <v>5222</v>
      </c>
      <c r="K3262" t="s">
        <v>4040</v>
      </c>
      <c r="L3262">
        <v>20.72</v>
      </c>
      <c r="M3262" s="452">
        <v>45860</v>
      </c>
      <c r="N3262">
        <v>25.9</v>
      </c>
      <c r="O3262">
        <v>23.43</v>
      </c>
      <c r="P3262">
        <v>124.32</v>
      </c>
    </row>
    <row r="3263" spans="1:16" x14ac:dyDescent="0.3">
      <c r="A3263">
        <v>44175</v>
      </c>
      <c r="B3263">
        <v>105</v>
      </c>
      <c r="C3263" t="s">
        <v>557</v>
      </c>
      <c r="D3263" s="452">
        <v>45870</v>
      </c>
      <c r="E3263">
        <v>25756</v>
      </c>
      <c r="F3263" t="s">
        <v>4854</v>
      </c>
      <c r="G3263">
        <v>9069</v>
      </c>
      <c r="H3263">
        <v>16</v>
      </c>
      <c r="I3263" t="s">
        <v>4749</v>
      </c>
      <c r="J3263" t="s">
        <v>5191</v>
      </c>
      <c r="K3263" t="s">
        <v>4040</v>
      </c>
      <c r="L3263">
        <v>0</v>
      </c>
      <c r="M3263" s="452">
        <v>45742</v>
      </c>
      <c r="N3263">
        <v>7.61</v>
      </c>
      <c r="O3263">
        <v>7.61</v>
      </c>
      <c r="P3263">
        <v>121.76</v>
      </c>
    </row>
    <row r="3264" spans="1:16" x14ac:dyDescent="0.3">
      <c r="A3264">
        <v>44176</v>
      </c>
      <c r="B3264">
        <v>105</v>
      </c>
      <c r="C3264" t="s">
        <v>557</v>
      </c>
      <c r="D3264" s="452">
        <v>45870</v>
      </c>
      <c r="E3264">
        <v>25762</v>
      </c>
      <c r="F3264" t="s">
        <v>4770</v>
      </c>
      <c r="G3264">
        <v>9070</v>
      </c>
      <c r="H3264">
        <v>16</v>
      </c>
      <c r="I3264" t="s">
        <v>4736</v>
      </c>
      <c r="J3264" t="s">
        <v>5191</v>
      </c>
      <c r="K3264" t="s">
        <v>4040</v>
      </c>
      <c r="L3264">
        <v>0</v>
      </c>
      <c r="M3264" s="452">
        <v>45742</v>
      </c>
      <c r="N3264">
        <v>7.61</v>
      </c>
      <c r="O3264">
        <v>7.61</v>
      </c>
      <c r="P3264">
        <v>121.76</v>
      </c>
    </row>
    <row r="3265" spans="1:16" x14ac:dyDescent="0.3">
      <c r="A3265">
        <v>44377</v>
      </c>
      <c r="B3265">
        <v>105</v>
      </c>
      <c r="C3265" t="s">
        <v>557</v>
      </c>
      <c r="D3265" s="452">
        <v>45870</v>
      </c>
      <c r="E3265">
        <v>18295</v>
      </c>
      <c r="F3265" t="s">
        <v>4968</v>
      </c>
      <c r="G3265">
        <v>3334</v>
      </c>
      <c r="H3265">
        <v>1.02</v>
      </c>
      <c r="I3265" t="s">
        <v>4805</v>
      </c>
      <c r="J3265" t="s">
        <v>5222</v>
      </c>
      <c r="K3265" t="s">
        <v>4040</v>
      </c>
      <c r="L3265">
        <v>0</v>
      </c>
      <c r="M3265" s="452">
        <v>45672</v>
      </c>
      <c r="N3265">
        <v>116.87</v>
      </c>
      <c r="O3265">
        <v>135.22999999999999</v>
      </c>
      <c r="P3265">
        <v>119.21</v>
      </c>
    </row>
    <row r="3266" spans="1:16" x14ac:dyDescent="0.3">
      <c r="A3266">
        <v>44333</v>
      </c>
      <c r="B3266">
        <v>105</v>
      </c>
      <c r="C3266" t="s">
        <v>557</v>
      </c>
      <c r="D3266" s="452">
        <v>45870</v>
      </c>
      <c r="E3266">
        <v>19955</v>
      </c>
      <c r="F3266" t="s">
        <v>4985</v>
      </c>
      <c r="G3266">
        <v>2359</v>
      </c>
      <c r="H3266">
        <v>2</v>
      </c>
      <c r="I3266" t="s">
        <v>4736</v>
      </c>
      <c r="J3266" t="s">
        <v>5191</v>
      </c>
      <c r="K3266" t="s">
        <v>4040</v>
      </c>
      <c r="L3266">
        <v>58.8</v>
      </c>
      <c r="M3266" s="452">
        <v>45859</v>
      </c>
      <c r="N3266">
        <v>58.99</v>
      </c>
      <c r="O3266">
        <v>58.9</v>
      </c>
      <c r="P3266">
        <v>117.6</v>
      </c>
    </row>
    <row r="3267" spans="1:16" x14ac:dyDescent="0.3">
      <c r="A3267">
        <v>44410</v>
      </c>
      <c r="B3267">
        <v>105</v>
      </c>
      <c r="C3267" t="s">
        <v>557</v>
      </c>
      <c r="D3267" s="452">
        <v>45870</v>
      </c>
      <c r="E3267">
        <v>18147</v>
      </c>
      <c r="F3267" t="s">
        <v>5042</v>
      </c>
      <c r="G3267">
        <v>3471</v>
      </c>
      <c r="H3267">
        <v>1</v>
      </c>
      <c r="I3267" t="s">
        <v>4805</v>
      </c>
      <c r="J3267" t="s">
        <v>5222</v>
      </c>
      <c r="K3267" t="s">
        <v>4040</v>
      </c>
      <c r="L3267">
        <v>0</v>
      </c>
      <c r="M3267" s="452">
        <v>45427</v>
      </c>
      <c r="N3267">
        <v>115</v>
      </c>
      <c r="O3267">
        <v>113.9</v>
      </c>
      <c r="P3267">
        <v>115</v>
      </c>
    </row>
    <row r="3268" spans="1:16" x14ac:dyDescent="0.3">
      <c r="A3268">
        <v>44206</v>
      </c>
      <c r="B3268">
        <v>105</v>
      </c>
      <c r="C3268" t="s">
        <v>557</v>
      </c>
      <c r="D3268" s="452">
        <v>45870</v>
      </c>
      <c r="E3268">
        <v>20623</v>
      </c>
      <c r="F3268" t="s">
        <v>4814</v>
      </c>
      <c r="G3268">
        <v>2116</v>
      </c>
      <c r="H3268">
        <v>10.220000000000001</v>
      </c>
      <c r="I3268" t="s">
        <v>4736</v>
      </c>
      <c r="J3268" t="s">
        <v>5191</v>
      </c>
      <c r="K3268" t="s">
        <v>4040</v>
      </c>
      <c r="L3268">
        <v>11.07</v>
      </c>
      <c r="M3268" s="452">
        <v>45867</v>
      </c>
      <c r="N3268">
        <v>11.07</v>
      </c>
      <c r="O3268">
        <v>11.07</v>
      </c>
      <c r="P3268">
        <v>113.14</v>
      </c>
    </row>
    <row r="3269" spans="1:16" x14ac:dyDescent="0.3">
      <c r="A3269">
        <v>44178</v>
      </c>
      <c r="B3269">
        <v>105</v>
      </c>
      <c r="C3269" t="s">
        <v>557</v>
      </c>
      <c r="D3269" s="452">
        <v>45870</v>
      </c>
      <c r="E3269">
        <v>24973</v>
      </c>
      <c r="F3269" t="s">
        <v>4819</v>
      </c>
      <c r="G3269">
        <v>5845</v>
      </c>
      <c r="H3269">
        <v>1.33</v>
      </c>
      <c r="I3269" t="s">
        <v>4738</v>
      </c>
      <c r="J3269" t="s">
        <v>5222</v>
      </c>
      <c r="K3269" t="s">
        <v>4040</v>
      </c>
      <c r="L3269">
        <v>79.64</v>
      </c>
      <c r="M3269" s="452">
        <v>45852</v>
      </c>
      <c r="N3269">
        <v>79.64</v>
      </c>
      <c r="O3269">
        <v>79.64</v>
      </c>
      <c r="P3269">
        <v>106.19</v>
      </c>
    </row>
    <row r="3270" spans="1:16" x14ac:dyDescent="0.3">
      <c r="A3270">
        <v>44231</v>
      </c>
      <c r="B3270">
        <v>105</v>
      </c>
      <c r="C3270" t="s">
        <v>557</v>
      </c>
      <c r="D3270" s="452">
        <v>45870</v>
      </c>
      <c r="E3270">
        <v>19964</v>
      </c>
      <c r="F3270" t="s">
        <v>4817</v>
      </c>
      <c r="G3270">
        <v>2356</v>
      </c>
      <c r="H3270">
        <v>7</v>
      </c>
      <c r="I3270" t="s">
        <v>4736</v>
      </c>
      <c r="J3270" t="s">
        <v>5191</v>
      </c>
      <c r="K3270" t="s">
        <v>4040</v>
      </c>
      <c r="L3270">
        <v>0</v>
      </c>
      <c r="M3270" s="452">
        <v>45677</v>
      </c>
      <c r="N3270">
        <v>14.96</v>
      </c>
      <c r="O3270">
        <v>14.96</v>
      </c>
      <c r="P3270">
        <v>104.72</v>
      </c>
    </row>
    <row r="3271" spans="1:16" x14ac:dyDescent="0.3">
      <c r="A3271">
        <v>44406</v>
      </c>
      <c r="B3271">
        <v>105</v>
      </c>
      <c r="C3271" t="s">
        <v>557</v>
      </c>
      <c r="D3271" s="452">
        <v>45870</v>
      </c>
      <c r="E3271">
        <v>18233</v>
      </c>
      <c r="F3271" t="s">
        <v>4970</v>
      </c>
      <c r="G3271">
        <v>3395</v>
      </c>
      <c r="H3271">
        <v>1</v>
      </c>
      <c r="I3271" t="s">
        <v>4805</v>
      </c>
      <c r="J3271" t="s">
        <v>5222</v>
      </c>
      <c r="K3271" t="s">
        <v>4040</v>
      </c>
      <c r="L3271">
        <v>102.9</v>
      </c>
      <c r="M3271" s="452">
        <v>45853</v>
      </c>
      <c r="N3271">
        <v>102.9</v>
      </c>
      <c r="O3271">
        <v>0</v>
      </c>
      <c r="P3271">
        <v>102.9</v>
      </c>
    </row>
    <row r="3272" spans="1:16" x14ac:dyDescent="0.3">
      <c r="A3272">
        <v>44299</v>
      </c>
      <c r="B3272">
        <v>105</v>
      </c>
      <c r="C3272" t="s">
        <v>557</v>
      </c>
      <c r="D3272" s="452">
        <v>45870</v>
      </c>
      <c r="E3272">
        <v>20887</v>
      </c>
      <c r="F3272" t="s">
        <v>4953</v>
      </c>
      <c r="G3272">
        <v>2040</v>
      </c>
      <c r="H3272">
        <v>3</v>
      </c>
      <c r="I3272" t="s">
        <v>4879</v>
      </c>
      <c r="J3272" t="s">
        <v>5191</v>
      </c>
      <c r="K3272" t="s">
        <v>4040</v>
      </c>
      <c r="L3272">
        <v>34</v>
      </c>
      <c r="M3272" s="452">
        <v>45859</v>
      </c>
      <c r="N3272">
        <v>34</v>
      </c>
      <c r="O3272">
        <v>34</v>
      </c>
      <c r="P3272">
        <v>102</v>
      </c>
    </row>
    <row r="3273" spans="1:16" x14ac:dyDescent="0.3">
      <c r="A3273">
        <v>44224</v>
      </c>
      <c r="B3273">
        <v>105</v>
      </c>
      <c r="C3273" t="s">
        <v>557</v>
      </c>
      <c r="D3273" s="452">
        <v>45870</v>
      </c>
      <c r="E3273">
        <v>19492</v>
      </c>
      <c r="F3273" t="s">
        <v>4937</v>
      </c>
      <c r="G3273">
        <v>2717</v>
      </c>
      <c r="H3273">
        <v>8.58</v>
      </c>
      <c r="I3273" t="s">
        <v>4744</v>
      </c>
      <c r="J3273" t="s">
        <v>5191</v>
      </c>
      <c r="K3273" t="s">
        <v>4040</v>
      </c>
      <c r="L3273">
        <v>11.81</v>
      </c>
      <c r="M3273" s="452">
        <v>45867</v>
      </c>
      <c r="N3273">
        <v>11</v>
      </c>
      <c r="O3273">
        <v>10.99</v>
      </c>
      <c r="P3273">
        <v>101.33</v>
      </c>
    </row>
    <row r="3274" spans="1:16" x14ac:dyDescent="0.3">
      <c r="A3274">
        <v>44407</v>
      </c>
      <c r="B3274">
        <v>105</v>
      </c>
      <c r="C3274" t="s">
        <v>557</v>
      </c>
      <c r="D3274" s="452">
        <v>45870</v>
      </c>
      <c r="E3274">
        <v>18232</v>
      </c>
      <c r="F3274" t="s">
        <v>4971</v>
      </c>
      <c r="G3274">
        <v>3396</v>
      </c>
      <c r="H3274">
        <v>1</v>
      </c>
      <c r="I3274" t="s">
        <v>4805</v>
      </c>
      <c r="J3274" t="s">
        <v>5222</v>
      </c>
      <c r="K3274" t="s">
        <v>4040</v>
      </c>
      <c r="L3274">
        <v>100.88</v>
      </c>
      <c r="M3274" s="452">
        <v>45853</v>
      </c>
      <c r="N3274">
        <v>100.88</v>
      </c>
      <c r="O3274">
        <v>102.81</v>
      </c>
      <c r="P3274">
        <v>100.88</v>
      </c>
    </row>
    <row r="3275" spans="1:16" x14ac:dyDescent="0.3">
      <c r="A3275">
        <v>44164</v>
      </c>
      <c r="B3275">
        <v>105</v>
      </c>
      <c r="C3275" t="s">
        <v>557</v>
      </c>
      <c r="D3275" s="452">
        <v>45870</v>
      </c>
      <c r="E3275">
        <v>25747</v>
      </c>
      <c r="F3275" t="s">
        <v>4794</v>
      </c>
      <c r="G3275">
        <v>6299</v>
      </c>
      <c r="H3275">
        <v>20</v>
      </c>
      <c r="I3275" t="s">
        <v>4736</v>
      </c>
      <c r="J3275" t="s">
        <v>5191</v>
      </c>
      <c r="K3275" t="s">
        <v>4040</v>
      </c>
      <c r="L3275">
        <v>0</v>
      </c>
      <c r="M3275" s="452">
        <v>45742</v>
      </c>
      <c r="N3275">
        <v>5.04</v>
      </c>
      <c r="O3275">
        <v>5.04</v>
      </c>
      <c r="P3275">
        <v>100.8</v>
      </c>
    </row>
    <row r="3276" spans="1:16" x14ac:dyDescent="0.3">
      <c r="A3276">
        <v>44196</v>
      </c>
      <c r="B3276">
        <v>105</v>
      </c>
      <c r="C3276" t="s">
        <v>557</v>
      </c>
      <c r="D3276" s="452">
        <v>45870</v>
      </c>
      <c r="E3276">
        <v>25758</v>
      </c>
      <c r="F3276" t="s">
        <v>4775</v>
      </c>
      <c r="G3276">
        <v>9066</v>
      </c>
      <c r="H3276">
        <v>13</v>
      </c>
      <c r="I3276" t="s">
        <v>4736</v>
      </c>
      <c r="J3276" t="s">
        <v>5191</v>
      </c>
      <c r="K3276" t="s">
        <v>4040</v>
      </c>
      <c r="L3276">
        <v>0</v>
      </c>
      <c r="M3276" s="452">
        <v>45742</v>
      </c>
      <c r="N3276">
        <v>7.73</v>
      </c>
      <c r="O3276">
        <v>7.73</v>
      </c>
      <c r="P3276">
        <v>100.49</v>
      </c>
    </row>
    <row r="3277" spans="1:16" x14ac:dyDescent="0.3">
      <c r="A3277">
        <v>44185</v>
      </c>
      <c r="B3277">
        <v>105</v>
      </c>
      <c r="C3277" t="s">
        <v>557</v>
      </c>
      <c r="D3277" s="452">
        <v>45870</v>
      </c>
      <c r="E3277">
        <v>19532</v>
      </c>
      <c r="F3277" t="s">
        <v>4753</v>
      </c>
      <c r="G3277">
        <v>2683</v>
      </c>
      <c r="H3277">
        <v>15</v>
      </c>
      <c r="I3277" t="s">
        <v>4744</v>
      </c>
      <c r="J3277" t="s">
        <v>5191</v>
      </c>
      <c r="K3277" t="s">
        <v>4040</v>
      </c>
      <c r="L3277">
        <v>6.6</v>
      </c>
      <c r="M3277" s="452">
        <v>45868</v>
      </c>
      <c r="N3277">
        <v>6.43</v>
      </c>
      <c r="O3277">
        <v>6.44</v>
      </c>
      <c r="P3277">
        <v>99</v>
      </c>
    </row>
    <row r="3278" spans="1:16" x14ac:dyDescent="0.3">
      <c r="A3278">
        <v>44187</v>
      </c>
      <c r="B3278">
        <v>105</v>
      </c>
      <c r="C3278" t="s">
        <v>557</v>
      </c>
      <c r="D3278" s="452">
        <v>45870</v>
      </c>
      <c r="E3278">
        <v>24227</v>
      </c>
      <c r="F3278" t="s">
        <v>4806</v>
      </c>
      <c r="G3278">
        <v>3648</v>
      </c>
      <c r="H3278">
        <v>15</v>
      </c>
      <c r="I3278" t="s">
        <v>4736</v>
      </c>
      <c r="J3278" t="s">
        <v>5222</v>
      </c>
      <c r="K3278" t="s">
        <v>4040</v>
      </c>
      <c r="L3278">
        <v>0</v>
      </c>
      <c r="M3278" s="452">
        <v>45393</v>
      </c>
      <c r="N3278">
        <v>6.42</v>
      </c>
      <c r="O3278">
        <v>26.22</v>
      </c>
      <c r="P3278">
        <v>96.3</v>
      </c>
    </row>
    <row r="3279" spans="1:16" x14ac:dyDescent="0.3">
      <c r="A3279">
        <v>44431</v>
      </c>
      <c r="B3279">
        <v>105</v>
      </c>
      <c r="C3279" t="s">
        <v>557</v>
      </c>
      <c r="D3279" s="452">
        <v>45870</v>
      </c>
      <c r="E3279">
        <v>18822</v>
      </c>
      <c r="F3279" t="s">
        <v>4811</v>
      </c>
      <c r="G3279">
        <v>2953</v>
      </c>
      <c r="H3279">
        <v>0.71</v>
      </c>
      <c r="I3279" t="s">
        <v>4744</v>
      </c>
      <c r="J3279" t="s">
        <v>5191</v>
      </c>
      <c r="K3279" t="s">
        <v>4040</v>
      </c>
      <c r="L3279">
        <v>134.47</v>
      </c>
      <c r="M3279" s="452">
        <v>45852</v>
      </c>
      <c r="N3279">
        <v>108.99</v>
      </c>
      <c r="O3279">
        <v>109</v>
      </c>
      <c r="P3279">
        <v>95.47</v>
      </c>
    </row>
    <row r="3280" spans="1:16" x14ac:dyDescent="0.3">
      <c r="A3280">
        <v>44353</v>
      </c>
      <c r="B3280">
        <v>105</v>
      </c>
      <c r="C3280" t="s">
        <v>557</v>
      </c>
      <c r="D3280" s="452">
        <v>45870</v>
      </c>
      <c r="E3280">
        <v>26210</v>
      </c>
      <c r="F3280" t="s">
        <v>4975</v>
      </c>
      <c r="G3280">
        <v>6624</v>
      </c>
      <c r="H3280">
        <v>1.97</v>
      </c>
      <c r="I3280" t="s">
        <v>4805</v>
      </c>
      <c r="J3280" t="s">
        <v>5222</v>
      </c>
      <c r="K3280" t="s">
        <v>4040</v>
      </c>
      <c r="L3280">
        <v>47.6</v>
      </c>
      <c r="M3280" s="452">
        <v>45853</v>
      </c>
      <c r="N3280">
        <v>47.6</v>
      </c>
      <c r="O3280">
        <v>47.6</v>
      </c>
      <c r="P3280">
        <v>93.77</v>
      </c>
    </row>
    <row r="3281" spans="1:16" x14ac:dyDescent="0.3">
      <c r="A3281">
        <v>44415</v>
      </c>
      <c r="B3281">
        <v>105</v>
      </c>
      <c r="C3281" t="s">
        <v>557</v>
      </c>
      <c r="D3281" s="452">
        <v>45870</v>
      </c>
      <c r="E3281">
        <v>18111</v>
      </c>
      <c r="F3281" t="s">
        <v>5049</v>
      </c>
      <c r="G3281">
        <v>3500</v>
      </c>
      <c r="H3281">
        <v>1</v>
      </c>
      <c r="I3281" t="s">
        <v>4805</v>
      </c>
      <c r="J3281" t="s">
        <v>5222</v>
      </c>
      <c r="K3281" t="s">
        <v>4040</v>
      </c>
      <c r="L3281">
        <v>93.41</v>
      </c>
      <c r="M3281" s="452">
        <v>45845</v>
      </c>
      <c r="N3281">
        <v>93.41</v>
      </c>
      <c r="O3281">
        <v>93.4</v>
      </c>
      <c r="P3281">
        <v>93.41</v>
      </c>
    </row>
    <row r="3282" spans="1:16" x14ac:dyDescent="0.3">
      <c r="A3282">
        <v>44184</v>
      </c>
      <c r="B3282">
        <v>105</v>
      </c>
      <c r="C3282" t="s">
        <v>557</v>
      </c>
      <c r="D3282" s="452">
        <v>45870</v>
      </c>
      <c r="E3282">
        <v>20985</v>
      </c>
      <c r="F3282" t="s">
        <v>5494</v>
      </c>
      <c r="G3282">
        <v>2011</v>
      </c>
      <c r="H3282">
        <v>15</v>
      </c>
      <c r="I3282" t="s">
        <v>4736</v>
      </c>
      <c r="J3282" t="s">
        <v>5191</v>
      </c>
      <c r="K3282" t="s">
        <v>4040</v>
      </c>
      <c r="L3282">
        <v>6.13</v>
      </c>
      <c r="M3282" s="452">
        <v>45863</v>
      </c>
      <c r="N3282">
        <v>7.7</v>
      </c>
      <c r="O3282">
        <v>8</v>
      </c>
      <c r="P3282">
        <v>91.95</v>
      </c>
    </row>
    <row r="3283" spans="1:16" x14ac:dyDescent="0.3">
      <c r="A3283">
        <v>44156</v>
      </c>
      <c r="B3283">
        <v>105</v>
      </c>
      <c r="C3283" t="s">
        <v>557</v>
      </c>
      <c r="D3283" s="452">
        <v>45870</v>
      </c>
      <c r="E3283">
        <v>23361</v>
      </c>
      <c r="F3283" t="s">
        <v>4754</v>
      </c>
      <c r="G3283">
        <v>2497</v>
      </c>
      <c r="H3283">
        <v>28.9</v>
      </c>
      <c r="I3283" t="s">
        <v>4744</v>
      </c>
      <c r="J3283" t="s">
        <v>5191</v>
      </c>
      <c r="K3283" t="s">
        <v>4040</v>
      </c>
      <c r="L3283">
        <v>3.17</v>
      </c>
      <c r="M3283" s="452">
        <v>45866</v>
      </c>
      <c r="N3283">
        <v>3.36</v>
      </c>
      <c r="O3283">
        <v>2.37</v>
      </c>
      <c r="P3283">
        <v>91.61</v>
      </c>
    </row>
    <row r="3284" spans="1:16" x14ac:dyDescent="0.3">
      <c r="A3284">
        <v>44356</v>
      </c>
      <c r="B3284">
        <v>105</v>
      </c>
      <c r="C3284" t="s">
        <v>557</v>
      </c>
      <c r="D3284" s="452">
        <v>45870</v>
      </c>
      <c r="E3284">
        <v>18477</v>
      </c>
      <c r="F3284" t="s">
        <v>4920</v>
      </c>
      <c r="G3284">
        <v>3179</v>
      </c>
      <c r="H3284">
        <v>1.8</v>
      </c>
      <c r="I3284" t="s">
        <v>4805</v>
      </c>
      <c r="J3284" t="s">
        <v>5222</v>
      </c>
      <c r="K3284" t="s">
        <v>4040</v>
      </c>
      <c r="L3284">
        <v>0</v>
      </c>
      <c r="M3284" s="452">
        <v>45525</v>
      </c>
      <c r="N3284">
        <v>49.9</v>
      </c>
      <c r="O3284">
        <v>43.9</v>
      </c>
      <c r="P3284">
        <v>89.82</v>
      </c>
    </row>
    <row r="3285" spans="1:16" x14ac:dyDescent="0.3">
      <c r="A3285">
        <v>44303</v>
      </c>
      <c r="B3285">
        <v>105</v>
      </c>
      <c r="C3285" t="s">
        <v>557</v>
      </c>
      <c r="D3285" s="452">
        <v>45870</v>
      </c>
      <c r="E3285">
        <v>20614</v>
      </c>
      <c r="F3285" t="s">
        <v>4958</v>
      </c>
      <c r="G3285">
        <v>2119</v>
      </c>
      <c r="H3285">
        <v>3</v>
      </c>
      <c r="I3285" t="s">
        <v>4736</v>
      </c>
      <c r="J3285" t="s">
        <v>5191</v>
      </c>
      <c r="K3285" t="s">
        <v>4040</v>
      </c>
      <c r="L3285">
        <v>29.9</v>
      </c>
      <c r="M3285" s="452">
        <v>45852</v>
      </c>
      <c r="N3285">
        <v>29.9</v>
      </c>
      <c r="O3285">
        <v>29.9</v>
      </c>
      <c r="P3285">
        <v>89.7</v>
      </c>
    </row>
    <row r="3286" spans="1:16" x14ac:dyDescent="0.3">
      <c r="A3286">
        <v>44315</v>
      </c>
      <c r="B3286">
        <v>105</v>
      </c>
      <c r="C3286" t="s">
        <v>557</v>
      </c>
      <c r="D3286" s="452">
        <v>45870</v>
      </c>
      <c r="E3286">
        <v>21130</v>
      </c>
      <c r="F3286" t="s">
        <v>4998</v>
      </c>
      <c r="G3286">
        <v>1963</v>
      </c>
      <c r="H3286">
        <v>2.5</v>
      </c>
      <c r="I3286" t="s">
        <v>4736</v>
      </c>
      <c r="J3286" t="s">
        <v>5191</v>
      </c>
      <c r="K3286" t="s">
        <v>4040</v>
      </c>
      <c r="L3286">
        <v>0</v>
      </c>
      <c r="M3286" s="452">
        <v>45811</v>
      </c>
      <c r="N3286">
        <v>35.31</v>
      </c>
      <c r="O3286">
        <v>35</v>
      </c>
      <c r="P3286">
        <v>88.28</v>
      </c>
    </row>
    <row r="3287" spans="1:16" x14ac:dyDescent="0.3">
      <c r="A3287">
        <v>44211</v>
      </c>
      <c r="B3287">
        <v>105</v>
      </c>
      <c r="C3287" t="s">
        <v>557</v>
      </c>
      <c r="D3287" s="452">
        <v>45870</v>
      </c>
      <c r="E3287">
        <v>20661</v>
      </c>
      <c r="F3287" t="s">
        <v>5012</v>
      </c>
      <c r="G3287">
        <v>2110</v>
      </c>
      <c r="H3287">
        <v>10</v>
      </c>
      <c r="I3287" t="s">
        <v>4736</v>
      </c>
      <c r="J3287" t="s">
        <v>5191</v>
      </c>
      <c r="K3287" t="s">
        <v>4040</v>
      </c>
      <c r="L3287">
        <v>8.59</v>
      </c>
      <c r="M3287" s="452">
        <v>45846</v>
      </c>
      <c r="N3287">
        <v>8.59</v>
      </c>
      <c r="O3287">
        <v>8.77</v>
      </c>
      <c r="P3287">
        <v>85.9</v>
      </c>
    </row>
    <row r="3288" spans="1:16" x14ac:dyDescent="0.3">
      <c r="A3288">
        <v>44470</v>
      </c>
      <c r="B3288">
        <v>105</v>
      </c>
      <c r="C3288" t="s">
        <v>557</v>
      </c>
      <c r="D3288" s="452">
        <v>45870</v>
      </c>
      <c r="E3288">
        <v>24685</v>
      </c>
      <c r="F3288" t="s">
        <v>5055</v>
      </c>
      <c r="G3288">
        <v>5714</v>
      </c>
      <c r="H3288">
        <v>0.6</v>
      </c>
      <c r="I3288" t="s">
        <v>4805</v>
      </c>
      <c r="J3288" t="s">
        <v>5222</v>
      </c>
      <c r="K3288" t="s">
        <v>4040</v>
      </c>
      <c r="L3288">
        <v>0</v>
      </c>
      <c r="M3288" s="452">
        <v>45742</v>
      </c>
      <c r="N3288">
        <v>140.35</v>
      </c>
      <c r="O3288">
        <v>165.9</v>
      </c>
      <c r="P3288">
        <v>84.21</v>
      </c>
    </row>
    <row r="3289" spans="1:16" x14ac:dyDescent="0.3">
      <c r="A3289">
        <v>44328</v>
      </c>
      <c r="B3289">
        <v>105</v>
      </c>
      <c r="C3289" t="s">
        <v>557</v>
      </c>
      <c r="D3289" s="452">
        <v>45870</v>
      </c>
      <c r="E3289">
        <v>20856</v>
      </c>
      <c r="F3289" t="s">
        <v>5495</v>
      </c>
      <c r="G3289">
        <v>2045</v>
      </c>
      <c r="H3289">
        <v>2</v>
      </c>
      <c r="I3289" t="s">
        <v>4736</v>
      </c>
      <c r="J3289" t="s">
        <v>5191</v>
      </c>
      <c r="K3289" t="s">
        <v>4040</v>
      </c>
      <c r="L3289">
        <v>0</v>
      </c>
      <c r="M3289" s="452">
        <v>45831</v>
      </c>
      <c r="N3289">
        <v>41.99</v>
      </c>
      <c r="O3289">
        <v>41.99</v>
      </c>
      <c r="P3289">
        <v>83.98</v>
      </c>
    </row>
    <row r="3290" spans="1:16" x14ac:dyDescent="0.3">
      <c r="A3290">
        <v>44198</v>
      </c>
      <c r="B3290">
        <v>105</v>
      </c>
      <c r="C3290" t="s">
        <v>557</v>
      </c>
      <c r="D3290" s="452">
        <v>45870</v>
      </c>
      <c r="E3290">
        <v>25761</v>
      </c>
      <c r="F3290" t="s">
        <v>4789</v>
      </c>
      <c r="G3290">
        <v>6312</v>
      </c>
      <c r="H3290">
        <v>12</v>
      </c>
      <c r="I3290" t="s">
        <v>4736</v>
      </c>
      <c r="J3290" t="s">
        <v>5191</v>
      </c>
      <c r="K3290" t="s">
        <v>4040</v>
      </c>
      <c r="L3290">
        <v>0</v>
      </c>
      <c r="M3290" s="452">
        <v>-693593</v>
      </c>
      <c r="N3290">
        <v>0</v>
      </c>
      <c r="O3290">
        <v>0</v>
      </c>
      <c r="P3290">
        <v>83.88</v>
      </c>
    </row>
    <row r="3291" spans="1:16" x14ac:dyDescent="0.3">
      <c r="A3291">
        <v>44270</v>
      </c>
      <c r="B3291">
        <v>105</v>
      </c>
      <c r="C3291" t="s">
        <v>557</v>
      </c>
      <c r="D3291" s="452">
        <v>45870</v>
      </c>
      <c r="E3291">
        <v>21147</v>
      </c>
      <c r="F3291" t="s">
        <v>4876</v>
      </c>
      <c r="G3291">
        <v>1952</v>
      </c>
      <c r="H3291">
        <v>4</v>
      </c>
      <c r="I3291" t="s">
        <v>4736</v>
      </c>
      <c r="J3291" t="s">
        <v>5191</v>
      </c>
      <c r="K3291" t="s">
        <v>4040</v>
      </c>
      <c r="L3291">
        <v>0</v>
      </c>
      <c r="M3291" s="452">
        <v>45800</v>
      </c>
      <c r="N3291">
        <v>20.9</v>
      </c>
      <c r="O3291">
        <v>19.899999999999999</v>
      </c>
      <c r="P3291">
        <v>83.6</v>
      </c>
    </row>
    <row r="3292" spans="1:16" x14ac:dyDescent="0.3">
      <c r="A3292">
        <v>44343</v>
      </c>
      <c r="B3292">
        <v>105</v>
      </c>
      <c r="C3292" t="s">
        <v>557</v>
      </c>
      <c r="D3292" s="452">
        <v>45870</v>
      </c>
      <c r="E3292">
        <v>19790</v>
      </c>
      <c r="F3292" t="s">
        <v>5073</v>
      </c>
      <c r="G3292">
        <v>2469</v>
      </c>
      <c r="H3292">
        <v>2</v>
      </c>
      <c r="I3292" t="s">
        <v>4744</v>
      </c>
      <c r="J3292" t="s">
        <v>5191</v>
      </c>
      <c r="K3292" t="s">
        <v>4040</v>
      </c>
      <c r="L3292">
        <v>41.1</v>
      </c>
      <c r="M3292" s="452">
        <v>45867</v>
      </c>
      <c r="N3292">
        <v>40.799999999999997</v>
      </c>
      <c r="O3292">
        <v>40.799999999999997</v>
      </c>
      <c r="P3292">
        <v>82.2</v>
      </c>
    </row>
    <row r="3293" spans="1:16" x14ac:dyDescent="0.3">
      <c r="A3293">
        <v>44413</v>
      </c>
      <c r="B3293">
        <v>105</v>
      </c>
      <c r="C3293" t="s">
        <v>557</v>
      </c>
      <c r="D3293" s="452">
        <v>45870</v>
      </c>
      <c r="E3293">
        <v>18116</v>
      </c>
      <c r="F3293" t="s">
        <v>5045</v>
      </c>
      <c r="G3293">
        <v>3496</v>
      </c>
      <c r="H3293">
        <v>1</v>
      </c>
      <c r="I3293" t="s">
        <v>4805</v>
      </c>
      <c r="J3293" t="s">
        <v>5222</v>
      </c>
      <c r="K3293" t="s">
        <v>4040</v>
      </c>
      <c r="L3293">
        <v>82.18</v>
      </c>
      <c r="M3293" s="452">
        <v>45853</v>
      </c>
      <c r="N3293">
        <v>82.18</v>
      </c>
      <c r="O3293">
        <v>82.18</v>
      </c>
      <c r="P3293">
        <v>82.18</v>
      </c>
    </row>
    <row r="3294" spans="1:16" x14ac:dyDescent="0.3">
      <c r="A3294">
        <v>44287</v>
      </c>
      <c r="B3294">
        <v>105</v>
      </c>
      <c r="C3294" t="s">
        <v>557</v>
      </c>
      <c r="D3294" s="452">
        <v>45870</v>
      </c>
      <c r="E3294">
        <v>24489</v>
      </c>
      <c r="F3294" t="s">
        <v>5121</v>
      </c>
      <c r="G3294">
        <v>2686</v>
      </c>
      <c r="H3294">
        <v>3.5</v>
      </c>
      <c r="I3294" t="s">
        <v>4744</v>
      </c>
      <c r="J3294" t="s">
        <v>5191</v>
      </c>
      <c r="K3294" t="s">
        <v>4040</v>
      </c>
      <c r="L3294">
        <v>23.29</v>
      </c>
      <c r="M3294" s="452">
        <v>45868</v>
      </c>
      <c r="N3294">
        <v>24.05</v>
      </c>
      <c r="O3294">
        <v>24.05</v>
      </c>
      <c r="P3294">
        <v>81.52</v>
      </c>
    </row>
    <row r="3295" spans="1:16" x14ac:dyDescent="0.3">
      <c r="A3295">
        <v>44131</v>
      </c>
      <c r="B3295">
        <v>105</v>
      </c>
      <c r="C3295" t="s">
        <v>557</v>
      </c>
      <c r="D3295" s="452">
        <v>45870</v>
      </c>
      <c r="E3295">
        <v>23095</v>
      </c>
      <c r="F3295" t="s">
        <v>4741</v>
      </c>
      <c r="G3295">
        <v>2754</v>
      </c>
      <c r="H3295">
        <v>90</v>
      </c>
      <c r="I3295" t="s">
        <v>4736</v>
      </c>
      <c r="J3295" t="s">
        <v>5191</v>
      </c>
      <c r="K3295" t="s">
        <v>4040</v>
      </c>
      <c r="L3295">
        <v>0.9</v>
      </c>
      <c r="M3295" s="452">
        <v>45862</v>
      </c>
      <c r="N3295">
        <v>0.85</v>
      </c>
      <c r="O3295">
        <v>0.9</v>
      </c>
      <c r="P3295">
        <v>81</v>
      </c>
    </row>
    <row r="3296" spans="1:16" x14ac:dyDescent="0.3">
      <c r="A3296">
        <v>44380</v>
      </c>
      <c r="B3296">
        <v>105</v>
      </c>
      <c r="C3296" t="s">
        <v>557</v>
      </c>
      <c r="D3296" s="452">
        <v>45870</v>
      </c>
      <c r="E3296">
        <v>20743</v>
      </c>
      <c r="F3296" t="s">
        <v>5496</v>
      </c>
      <c r="G3296">
        <v>2090</v>
      </c>
      <c r="H3296">
        <v>1</v>
      </c>
      <c r="I3296" t="s">
        <v>4736</v>
      </c>
      <c r="J3296" t="s">
        <v>5191</v>
      </c>
      <c r="K3296" t="s">
        <v>4040</v>
      </c>
      <c r="L3296">
        <v>0</v>
      </c>
      <c r="M3296" s="452">
        <v>45790</v>
      </c>
      <c r="N3296">
        <v>80.95</v>
      </c>
      <c r="O3296">
        <v>82.59</v>
      </c>
      <c r="P3296">
        <v>80.95</v>
      </c>
    </row>
    <row r="3297" spans="1:16" x14ac:dyDescent="0.3">
      <c r="A3297">
        <v>44243</v>
      </c>
      <c r="B3297">
        <v>105</v>
      </c>
      <c r="C3297" t="s">
        <v>557</v>
      </c>
      <c r="D3297" s="452">
        <v>45870</v>
      </c>
      <c r="E3297">
        <v>20242</v>
      </c>
      <c r="F3297" t="s">
        <v>4824</v>
      </c>
      <c r="G3297">
        <v>2242</v>
      </c>
      <c r="H3297">
        <v>6</v>
      </c>
      <c r="I3297" t="s">
        <v>4738</v>
      </c>
      <c r="J3297" t="s">
        <v>5191</v>
      </c>
      <c r="K3297" t="s">
        <v>4040</v>
      </c>
      <c r="L3297">
        <v>13.46</v>
      </c>
      <c r="M3297" s="452">
        <v>45856</v>
      </c>
      <c r="N3297">
        <v>12.66</v>
      </c>
      <c r="O3297">
        <v>12.37</v>
      </c>
      <c r="P3297">
        <v>80.760000000000005</v>
      </c>
    </row>
    <row r="3298" spans="1:16" x14ac:dyDescent="0.3">
      <c r="A3298">
        <v>44317</v>
      </c>
      <c r="B3298">
        <v>105</v>
      </c>
      <c r="C3298" t="s">
        <v>557</v>
      </c>
      <c r="D3298" s="452">
        <v>45870</v>
      </c>
      <c r="E3298">
        <v>20185</v>
      </c>
      <c r="F3298" t="s">
        <v>5054</v>
      </c>
      <c r="G3298">
        <v>2259</v>
      </c>
      <c r="H3298">
        <v>2.4</v>
      </c>
      <c r="I3298" t="s">
        <v>4744</v>
      </c>
      <c r="J3298" t="s">
        <v>5191</v>
      </c>
      <c r="K3298" t="s">
        <v>4040</v>
      </c>
      <c r="L3298">
        <v>0</v>
      </c>
      <c r="M3298" s="452">
        <v>45741</v>
      </c>
      <c r="N3298">
        <v>32.9</v>
      </c>
      <c r="O3298">
        <v>32.9</v>
      </c>
      <c r="P3298">
        <v>78.959999999999994</v>
      </c>
    </row>
    <row r="3299" spans="1:16" x14ac:dyDescent="0.3">
      <c r="A3299">
        <v>44300</v>
      </c>
      <c r="B3299">
        <v>105</v>
      </c>
      <c r="C3299" t="s">
        <v>557</v>
      </c>
      <c r="D3299" s="452">
        <v>45870</v>
      </c>
      <c r="E3299">
        <v>19967</v>
      </c>
      <c r="F3299" t="s">
        <v>4956</v>
      </c>
      <c r="G3299">
        <v>2356</v>
      </c>
      <c r="H3299">
        <v>3</v>
      </c>
      <c r="I3299" t="s">
        <v>4888</v>
      </c>
      <c r="J3299" t="s">
        <v>5191</v>
      </c>
      <c r="K3299" t="s">
        <v>4040</v>
      </c>
      <c r="L3299">
        <v>25.94</v>
      </c>
      <c r="M3299" s="452">
        <v>45854</v>
      </c>
      <c r="N3299">
        <v>51.88</v>
      </c>
      <c r="O3299">
        <v>45.6</v>
      </c>
      <c r="P3299">
        <v>77.819999999999993</v>
      </c>
    </row>
    <row r="3300" spans="1:16" x14ac:dyDescent="0.3">
      <c r="A3300">
        <v>44209</v>
      </c>
      <c r="B3300">
        <v>105</v>
      </c>
      <c r="C3300" t="s">
        <v>557</v>
      </c>
      <c r="D3300" s="452">
        <v>45870</v>
      </c>
      <c r="E3300">
        <v>25760</v>
      </c>
      <c r="F3300" t="s">
        <v>4787</v>
      </c>
      <c r="G3300">
        <v>6311</v>
      </c>
      <c r="H3300">
        <v>10</v>
      </c>
      <c r="I3300" t="s">
        <v>4736</v>
      </c>
      <c r="J3300" t="s">
        <v>5191</v>
      </c>
      <c r="K3300" t="s">
        <v>4040</v>
      </c>
      <c r="L3300">
        <v>0</v>
      </c>
      <c r="M3300" s="452">
        <v>45742</v>
      </c>
      <c r="N3300">
        <v>7.73</v>
      </c>
      <c r="O3300">
        <v>7.73</v>
      </c>
      <c r="P3300">
        <v>77.3</v>
      </c>
    </row>
    <row r="3301" spans="1:16" x14ac:dyDescent="0.3">
      <c r="A3301">
        <v>44331</v>
      </c>
      <c r="B3301">
        <v>105</v>
      </c>
      <c r="C3301" t="s">
        <v>557</v>
      </c>
      <c r="D3301" s="452">
        <v>45870</v>
      </c>
      <c r="E3301">
        <v>19923</v>
      </c>
      <c r="F3301" t="s">
        <v>5069</v>
      </c>
      <c r="G3301">
        <v>2375</v>
      </c>
      <c r="H3301">
        <v>2</v>
      </c>
      <c r="I3301" t="s">
        <v>4738</v>
      </c>
      <c r="J3301" t="s">
        <v>5191</v>
      </c>
      <c r="K3301" t="s">
        <v>4040</v>
      </c>
      <c r="L3301">
        <v>0</v>
      </c>
      <c r="M3301" s="452">
        <v>45763</v>
      </c>
      <c r="N3301">
        <v>38</v>
      </c>
      <c r="O3301">
        <v>39.25</v>
      </c>
      <c r="P3301">
        <v>76</v>
      </c>
    </row>
    <row r="3302" spans="1:16" x14ac:dyDescent="0.3">
      <c r="A3302">
        <v>44197</v>
      </c>
      <c r="B3302">
        <v>105</v>
      </c>
      <c r="C3302" t="s">
        <v>557</v>
      </c>
      <c r="D3302" s="452">
        <v>45870</v>
      </c>
      <c r="E3302">
        <v>19740</v>
      </c>
      <c r="F3302" t="s">
        <v>4779</v>
      </c>
      <c r="G3302">
        <v>2513</v>
      </c>
      <c r="H3302">
        <v>12.3</v>
      </c>
      <c r="I3302" t="s">
        <v>4744</v>
      </c>
      <c r="J3302" t="s">
        <v>5191</v>
      </c>
      <c r="K3302" t="s">
        <v>4040</v>
      </c>
      <c r="L3302">
        <v>6.12</v>
      </c>
      <c r="M3302" s="452">
        <v>45859</v>
      </c>
      <c r="N3302">
        <v>6</v>
      </c>
      <c r="O3302">
        <v>6.77</v>
      </c>
      <c r="P3302">
        <v>75.28</v>
      </c>
    </row>
    <row r="3303" spans="1:16" x14ac:dyDescent="0.3">
      <c r="A3303">
        <v>44168</v>
      </c>
      <c r="B3303">
        <v>105</v>
      </c>
      <c r="C3303" t="s">
        <v>557</v>
      </c>
      <c r="D3303" s="452">
        <v>45870</v>
      </c>
      <c r="E3303">
        <v>19623</v>
      </c>
      <c r="F3303" t="s">
        <v>4764</v>
      </c>
      <c r="G3303">
        <v>2611</v>
      </c>
      <c r="H3303">
        <v>18</v>
      </c>
      <c r="I3303" t="s">
        <v>4744</v>
      </c>
      <c r="J3303" t="s">
        <v>5191</v>
      </c>
      <c r="K3303" t="s">
        <v>4040</v>
      </c>
      <c r="L3303">
        <v>4.18</v>
      </c>
      <c r="M3303" s="452">
        <v>45867</v>
      </c>
      <c r="N3303">
        <v>1.56</v>
      </c>
      <c r="O3303">
        <v>3.7</v>
      </c>
      <c r="P3303">
        <v>75.239999999999995</v>
      </c>
    </row>
    <row r="3304" spans="1:16" x14ac:dyDescent="0.3">
      <c r="A3304">
        <v>44177</v>
      </c>
      <c r="B3304">
        <v>105</v>
      </c>
      <c r="C3304" t="s">
        <v>557</v>
      </c>
      <c r="D3304" s="452">
        <v>45870</v>
      </c>
      <c r="E3304">
        <v>19787</v>
      </c>
      <c r="F3304" t="s">
        <v>4793</v>
      </c>
      <c r="G3304">
        <v>2471</v>
      </c>
      <c r="H3304">
        <v>16</v>
      </c>
      <c r="I3304" t="s">
        <v>4744</v>
      </c>
      <c r="J3304" t="s">
        <v>5191</v>
      </c>
      <c r="K3304" t="s">
        <v>4040</v>
      </c>
      <c r="L3304">
        <v>4.5</v>
      </c>
      <c r="M3304" s="452">
        <v>45866</v>
      </c>
      <c r="N3304">
        <v>4.5</v>
      </c>
      <c r="O3304">
        <v>3.8</v>
      </c>
      <c r="P3304">
        <v>72</v>
      </c>
    </row>
    <row r="3305" spans="1:16" x14ac:dyDescent="0.3">
      <c r="A3305">
        <v>44203</v>
      </c>
      <c r="B3305">
        <v>105</v>
      </c>
      <c r="C3305" t="s">
        <v>557</v>
      </c>
      <c r="D3305" s="452">
        <v>45870</v>
      </c>
      <c r="E3305">
        <v>19751</v>
      </c>
      <c r="F3305" t="s">
        <v>4800</v>
      </c>
      <c r="G3305">
        <v>2502</v>
      </c>
      <c r="H3305">
        <v>10.8</v>
      </c>
      <c r="I3305" t="s">
        <v>4744</v>
      </c>
      <c r="J3305" t="s">
        <v>5191</v>
      </c>
      <c r="K3305" t="s">
        <v>4040</v>
      </c>
      <c r="L3305">
        <v>6.56</v>
      </c>
      <c r="M3305" s="452">
        <v>45868</v>
      </c>
      <c r="N3305">
        <v>7.2</v>
      </c>
      <c r="O3305">
        <v>5.5</v>
      </c>
      <c r="P3305">
        <v>70.849999999999994</v>
      </c>
    </row>
    <row r="3306" spans="1:16" x14ac:dyDescent="0.3">
      <c r="A3306">
        <v>44192</v>
      </c>
      <c r="B3306">
        <v>105</v>
      </c>
      <c r="C3306" t="s">
        <v>557</v>
      </c>
      <c r="D3306" s="452">
        <v>45870</v>
      </c>
      <c r="E3306">
        <v>25748</v>
      </c>
      <c r="F3306" t="s">
        <v>4999</v>
      </c>
      <c r="G3306">
        <v>9068</v>
      </c>
      <c r="H3306">
        <v>14</v>
      </c>
      <c r="I3306" t="s">
        <v>4749</v>
      </c>
      <c r="J3306" t="s">
        <v>5191</v>
      </c>
      <c r="K3306" t="s">
        <v>4040</v>
      </c>
      <c r="L3306">
        <v>0</v>
      </c>
      <c r="M3306" s="452">
        <v>45742</v>
      </c>
      <c r="N3306">
        <v>5.04</v>
      </c>
      <c r="O3306">
        <v>5.04</v>
      </c>
      <c r="P3306">
        <v>70.56</v>
      </c>
    </row>
    <row r="3307" spans="1:16" x14ac:dyDescent="0.3">
      <c r="A3307">
        <v>44215</v>
      </c>
      <c r="B3307">
        <v>105</v>
      </c>
      <c r="C3307" t="s">
        <v>557</v>
      </c>
      <c r="D3307" s="452">
        <v>45870</v>
      </c>
      <c r="E3307">
        <v>25755</v>
      </c>
      <c r="F3307" t="s">
        <v>4821</v>
      </c>
      <c r="G3307">
        <v>9071</v>
      </c>
      <c r="H3307">
        <v>9</v>
      </c>
      <c r="I3307" t="s">
        <v>4749</v>
      </c>
      <c r="J3307" t="s">
        <v>5191</v>
      </c>
      <c r="K3307" t="s">
        <v>4040</v>
      </c>
      <c r="L3307">
        <v>0</v>
      </c>
      <c r="M3307" s="452">
        <v>45742</v>
      </c>
      <c r="N3307">
        <v>7.73</v>
      </c>
      <c r="O3307">
        <v>7.73</v>
      </c>
      <c r="P3307">
        <v>69.569999999999993</v>
      </c>
    </row>
    <row r="3308" spans="1:16" x14ac:dyDescent="0.3">
      <c r="A3308">
        <v>44130</v>
      </c>
      <c r="B3308">
        <v>105</v>
      </c>
      <c r="C3308" t="s">
        <v>557</v>
      </c>
      <c r="D3308" s="452">
        <v>45870</v>
      </c>
      <c r="E3308">
        <v>24394</v>
      </c>
      <c r="F3308" t="s">
        <v>5164</v>
      </c>
      <c r="G3308">
        <v>2753</v>
      </c>
      <c r="H3308">
        <v>90</v>
      </c>
      <c r="I3308" t="s">
        <v>4736</v>
      </c>
      <c r="J3308" t="s">
        <v>5191</v>
      </c>
      <c r="K3308" t="s">
        <v>4040</v>
      </c>
      <c r="L3308">
        <v>0</v>
      </c>
      <c r="M3308" s="452">
        <v>45824</v>
      </c>
      <c r="N3308">
        <v>0.77</v>
      </c>
      <c r="O3308">
        <v>0.62</v>
      </c>
      <c r="P3308">
        <v>69.3</v>
      </c>
    </row>
    <row r="3309" spans="1:16" x14ac:dyDescent="0.3">
      <c r="A3309">
        <v>44148</v>
      </c>
      <c r="B3309">
        <v>105</v>
      </c>
      <c r="C3309" t="s">
        <v>557</v>
      </c>
      <c r="D3309" s="452">
        <v>45870</v>
      </c>
      <c r="E3309">
        <v>19635</v>
      </c>
      <c r="F3309" t="s">
        <v>4786</v>
      </c>
      <c r="G3309">
        <v>2601</v>
      </c>
      <c r="H3309">
        <v>34.770000000000003</v>
      </c>
      <c r="I3309" t="s">
        <v>4744</v>
      </c>
      <c r="J3309" t="s">
        <v>5191</v>
      </c>
      <c r="K3309" t="s">
        <v>4040</v>
      </c>
      <c r="L3309">
        <v>1.99</v>
      </c>
      <c r="M3309" s="452">
        <v>45868</v>
      </c>
      <c r="N3309">
        <v>3</v>
      </c>
      <c r="O3309">
        <v>3</v>
      </c>
      <c r="P3309">
        <v>69.19</v>
      </c>
    </row>
    <row r="3310" spans="1:16" x14ac:dyDescent="0.3">
      <c r="A3310">
        <v>44310</v>
      </c>
      <c r="B3310">
        <v>105</v>
      </c>
      <c r="C3310" t="s">
        <v>557</v>
      </c>
      <c r="D3310" s="452">
        <v>45870</v>
      </c>
      <c r="E3310">
        <v>19409</v>
      </c>
      <c r="F3310" t="s">
        <v>5485</v>
      </c>
      <c r="G3310">
        <v>2760</v>
      </c>
      <c r="H3310">
        <v>3</v>
      </c>
      <c r="I3310" t="s">
        <v>4736</v>
      </c>
      <c r="J3310" t="s">
        <v>5191</v>
      </c>
      <c r="K3310" t="s">
        <v>4040</v>
      </c>
      <c r="L3310">
        <v>0</v>
      </c>
      <c r="M3310" s="452">
        <v>45376</v>
      </c>
      <c r="N3310">
        <v>23</v>
      </c>
      <c r="O3310">
        <v>30.3</v>
      </c>
      <c r="P3310">
        <v>69</v>
      </c>
    </row>
    <row r="3311" spans="1:16" x14ac:dyDescent="0.3">
      <c r="A3311">
        <v>44275</v>
      </c>
      <c r="B3311">
        <v>105</v>
      </c>
      <c r="C3311" t="s">
        <v>557</v>
      </c>
      <c r="D3311" s="452">
        <v>45870</v>
      </c>
      <c r="E3311">
        <v>20231</v>
      </c>
      <c r="F3311" t="s">
        <v>5273</v>
      </c>
      <c r="G3311">
        <v>2247</v>
      </c>
      <c r="H3311">
        <v>4</v>
      </c>
      <c r="I3311" t="s">
        <v>4738</v>
      </c>
      <c r="J3311" t="s">
        <v>5191</v>
      </c>
      <c r="K3311" t="s">
        <v>4040</v>
      </c>
      <c r="L3311">
        <v>16.899999999999999</v>
      </c>
      <c r="M3311" s="452">
        <v>45856</v>
      </c>
      <c r="N3311">
        <v>16.899999999999999</v>
      </c>
      <c r="O3311">
        <v>16.899999999999999</v>
      </c>
      <c r="P3311">
        <v>67.599999999999994</v>
      </c>
    </row>
    <row r="3312" spans="1:16" x14ac:dyDescent="0.3">
      <c r="A3312">
        <v>44260</v>
      </c>
      <c r="B3312">
        <v>105</v>
      </c>
      <c r="C3312" t="s">
        <v>557</v>
      </c>
      <c r="D3312" s="452">
        <v>45870</v>
      </c>
      <c r="E3312">
        <v>26242</v>
      </c>
      <c r="F3312" t="s">
        <v>4957</v>
      </c>
      <c r="G3312">
        <v>6641</v>
      </c>
      <c r="H3312">
        <v>5</v>
      </c>
      <c r="I3312" t="s">
        <v>4736</v>
      </c>
      <c r="J3312" t="s">
        <v>5191</v>
      </c>
      <c r="K3312" t="s">
        <v>4040</v>
      </c>
      <c r="L3312">
        <v>0</v>
      </c>
      <c r="M3312" s="452">
        <v>-693593</v>
      </c>
      <c r="N3312">
        <v>0</v>
      </c>
      <c r="O3312">
        <v>0</v>
      </c>
      <c r="P3312">
        <v>64.95</v>
      </c>
    </row>
    <row r="3313" spans="1:16" x14ac:dyDescent="0.3">
      <c r="A3313">
        <v>44480</v>
      </c>
      <c r="B3313">
        <v>105</v>
      </c>
      <c r="C3313" t="s">
        <v>557</v>
      </c>
      <c r="D3313" s="452">
        <v>45870</v>
      </c>
      <c r="E3313">
        <v>18327</v>
      </c>
      <c r="F3313" t="s">
        <v>5035</v>
      </c>
      <c r="G3313">
        <v>3306</v>
      </c>
      <c r="H3313">
        <v>0.6</v>
      </c>
      <c r="I3313" t="s">
        <v>4805</v>
      </c>
      <c r="J3313" t="s">
        <v>5222</v>
      </c>
      <c r="K3313" t="s">
        <v>4040</v>
      </c>
      <c r="L3313">
        <v>0</v>
      </c>
      <c r="M3313" s="452">
        <v>45762</v>
      </c>
      <c r="N3313">
        <v>106</v>
      </c>
      <c r="O3313">
        <v>116.9</v>
      </c>
      <c r="P3313">
        <v>63.6</v>
      </c>
    </row>
    <row r="3314" spans="1:16" x14ac:dyDescent="0.3">
      <c r="A3314">
        <v>44266</v>
      </c>
      <c r="B3314">
        <v>105</v>
      </c>
      <c r="C3314" t="s">
        <v>557</v>
      </c>
      <c r="D3314" s="452">
        <v>45870</v>
      </c>
      <c r="E3314">
        <v>20358</v>
      </c>
      <c r="F3314" t="s">
        <v>4911</v>
      </c>
      <c r="G3314">
        <v>2200</v>
      </c>
      <c r="H3314">
        <v>4.3600000000000003</v>
      </c>
      <c r="I3314" t="s">
        <v>4738</v>
      </c>
      <c r="J3314" t="s">
        <v>5191</v>
      </c>
      <c r="K3314" t="s">
        <v>4040</v>
      </c>
      <c r="L3314">
        <v>14.3</v>
      </c>
      <c r="M3314" s="452">
        <v>45852</v>
      </c>
      <c r="N3314">
        <v>14.3</v>
      </c>
      <c r="O3314">
        <v>14.29</v>
      </c>
      <c r="P3314">
        <v>62.35</v>
      </c>
    </row>
    <row r="3315" spans="1:16" x14ac:dyDescent="0.3">
      <c r="A3315">
        <v>44374</v>
      </c>
      <c r="B3315">
        <v>105</v>
      </c>
      <c r="C3315" t="s">
        <v>557</v>
      </c>
      <c r="D3315" s="452">
        <v>45870</v>
      </c>
      <c r="E3315">
        <v>19401</v>
      </c>
      <c r="F3315" t="s">
        <v>4809</v>
      </c>
      <c r="G3315">
        <v>2761</v>
      </c>
      <c r="H3315">
        <v>1.3</v>
      </c>
      <c r="I3315" t="s">
        <v>4744</v>
      </c>
      <c r="J3315" t="s">
        <v>5191</v>
      </c>
      <c r="K3315" t="s">
        <v>4040</v>
      </c>
      <c r="L3315">
        <v>0</v>
      </c>
      <c r="M3315" s="452">
        <v>45831</v>
      </c>
      <c r="N3315">
        <v>47.9</v>
      </c>
      <c r="O3315">
        <v>59.98</v>
      </c>
      <c r="P3315">
        <v>62.27</v>
      </c>
    </row>
    <row r="3316" spans="1:16" x14ac:dyDescent="0.3">
      <c r="A3316">
        <v>44216</v>
      </c>
      <c r="B3316">
        <v>105</v>
      </c>
      <c r="C3316" t="s">
        <v>557</v>
      </c>
      <c r="D3316" s="452">
        <v>45870</v>
      </c>
      <c r="E3316">
        <v>25752</v>
      </c>
      <c r="F3316" t="s">
        <v>5000</v>
      </c>
      <c r="G3316">
        <v>6303</v>
      </c>
      <c r="H3316">
        <v>9</v>
      </c>
      <c r="I3316" t="s">
        <v>4749</v>
      </c>
      <c r="J3316" t="s">
        <v>5191</v>
      </c>
      <c r="K3316" t="s">
        <v>4040</v>
      </c>
      <c r="L3316">
        <v>0</v>
      </c>
      <c r="M3316" s="452">
        <v>45742</v>
      </c>
      <c r="N3316">
        <v>6.87</v>
      </c>
      <c r="O3316">
        <v>6.87</v>
      </c>
      <c r="P3316">
        <v>61.83</v>
      </c>
    </row>
    <row r="3317" spans="1:16" x14ac:dyDescent="0.3">
      <c r="A3317">
        <v>44352</v>
      </c>
      <c r="B3317">
        <v>105</v>
      </c>
      <c r="C3317" t="s">
        <v>557</v>
      </c>
      <c r="D3317" s="452">
        <v>45870</v>
      </c>
      <c r="E3317">
        <v>19652</v>
      </c>
      <c r="F3317" t="s">
        <v>4899</v>
      </c>
      <c r="G3317">
        <v>2587</v>
      </c>
      <c r="H3317">
        <v>1.99</v>
      </c>
      <c r="I3317" t="s">
        <v>4744</v>
      </c>
      <c r="J3317" t="s">
        <v>5191</v>
      </c>
      <c r="K3317" t="s">
        <v>4040</v>
      </c>
      <c r="L3317">
        <v>31.01</v>
      </c>
      <c r="M3317" s="452">
        <v>45867</v>
      </c>
      <c r="N3317">
        <v>29.76</v>
      </c>
      <c r="O3317">
        <v>27.92</v>
      </c>
      <c r="P3317">
        <v>61.71</v>
      </c>
    </row>
    <row r="3318" spans="1:16" x14ac:dyDescent="0.3">
      <c r="A3318">
        <v>44265</v>
      </c>
      <c r="B3318">
        <v>105</v>
      </c>
      <c r="C3318" t="s">
        <v>557</v>
      </c>
      <c r="D3318" s="452">
        <v>45870</v>
      </c>
      <c r="E3318">
        <v>19551</v>
      </c>
      <c r="F3318" t="s">
        <v>4905</v>
      </c>
      <c r="G3318">
        <v>2665</v>
      </c>
      <c r="H3318">
        <v>4.4000000000000004</v>
      </c>
      <c r="I3318" t="s">
        <v>4744</v>
      </c>
      <c r="J3318" t="s">
        <v>5191</v>
      </c>
      <c r="K3318" t="s">
        <v>4040</v>
      </c>
      <c r="L3318">
        <v>13.98</v>
      </c>
      <c r="M3318" s="452">
        <v>45867</v>
      </c>
      <c r="N3318">
        <v>10.01</v>
      </c>
      <c r="O3318">
        <v>10.01</v>
      </c>
      <c r="P3318">
        <v>61.51</v>
      </c>
    </row>
    <row r="3319" spans="1:16" x14ac:dyDescent="0.3">
      <c r="A3319">
        <v>44325</v>
      </c>
      <c r="B3319">
        <v>105</v>
      </c>
      <c r="C3319" t="s">
        <v>557</v>
      </c>
      <c r="D3319" s="452">
        <v>45870</v>
      </c>
      <c r="E3319">
        <v>20672</v>
      </c>
      <c r="F3319" t="s">
        <v>4857</v>
      </c>
      <c r="G3319">
        <v>2107</v>
      </c>
      <c r="H3319">
        <v>2</v>
      </c>
      <c r="I3319" t="s">
        <v>4738</v>
      </c>
      <c r="J3319" t="s">
        <v>5191</v>
      </c>
      <c r="K3319" t="s">
        <v>4040</v>
      </c>
      <c r="L3319">
        <v>30.66</v>
      </c>
      <c r="M3319" s="452">
        <v>45852</v>
      </c>
      <c r="N3319">
        <v>30.66</v>
      </c>
      <c r="O3319">
        <v>29.55</v>
      </c>
      <c r="P3319">
        <v>61.32</v>
      </c>
    </row>
    <row r="3320" spans="1:16" x14ac:dyDescent="0.3">
      <c r="A3320">
        <v>44366</v>
      </c>
      <c r="B3320">
        <v>105</v>
      </c>
      <c r="C3320" t="s">
        <v>557</v>
      </c>
      <c r="D3320" s="452">
        <v>45870</v>
      </c>
      <c r="E3320">
        <v>19583</v>
      </c>
      <c r="F3320" t="s">
        <v>5478</v>
      </c>
      <c r="G3320">
        <v>2639</v>
      </c>
      <c r="H3320">
        <v>1.54</v>
      </c>
      <c r="I3320" t="s">
        <v>4744</v>
      </c>
      <c r="J3320" t="s">
        <v>5191</v>
      </c>
      <c r="K3320" t="s">
        <v>4040</v>
      </c>
      <c r="L3320">
        <v>39.67</v>
      </c>
      <c r="M3320" s="452">
        <v>45867</v>
      </c>
      <c r="N3320">
        <v>36</v>
      </c>
      <c r="O3320">
        <v>37</v>
      </c>
      <c r="P3320">
        <v>61.09</v>
      </c>
    </row>
    <row r="3321" spans="1:16" x14ac:dyDescent="0.3">
      <c r="A3321">
        <v>44340</v>
      </c>
      <c r="B3321">
        <v>105</v>
      </c>
      <c r="C3321" t="s">
        <v>557</v>
      </c>
      <c r="D3321" s="452">
        <v>45870</v>
      </c>
      <c r="E3321">
        <v>19765</v>
      </c>
      <c r="F3321" t="s">
        <v>4889</v>
      </c>
      <c r="G3321">
        <v>2488</v>
      </c>
      <c r="H3321">
        <v>2</v>
      </c>
      <c r="I3321" t="s">
        <v>4744</v>
      </c>
      <c r="J3321" t="s">
        <v>5191</v>
      </c>
      <c r="K3321" t="s">
        <v>4040</v>
      </c>
      <c r="L3321">
        <v>30.5</v>
      </c>
      <c r="M3321" s="452">
        <v>45854</v>
      </c>
      <c r="N3321">
        <v>28</v>
      </c>
      <c r="O3321">
        <v>27</v>
      </c>
      <c r="P3321">
        <v>61</v>
      </c>
    </row>
    <row r="3322" spans="1:16" x14ac:dyDescent="0.3">
      <c r="A3322">
        <v>44309</v>
      </c>
      <c r="B3322">
        <v>105</v>
      </c>
      <c r="C3322" t="s">
        <v>557</v>
      </c>
      <c r="D3322" s="452">
        <v>45870</v>
      </c>
      <c r="E3322">
        <v>19434</v>
      </c>
      <c r="F3322" t="s">
        <v>5078</v>
      </c>
      <c r="G3322">
        <v>2757</v>
      </c>
      <c r="H3322">
        <v>3</v>
      </c>
      <c r="I3322" t="s">
        <v>4738</v>
      </c>
      <c r="J3322" t="s">
        <v>5191</v>
      </c>
      <c r="K3322" t="s">
        <v>4040</v>
      </c>
      <c r="L3322">
        <v>20.3</v>
      </c>
      <c r="M3322" s="452">
        <v>45856</v>
      </c>
      <c r="N3322">
        <v>19.989999999999998</v>
      </c>
      <c r="O3322">
        <v>21.3</v>
      </c>
      <c r="P3322">
        <v>60.9</v>
      </c>
    </row>
    <row r="3323" spans="1:16" x14ac:dyDescent="0.3">
      <c r="A3323">
        <v>44261</v>
      </c>
      <c r="B3323">
        <v>105</v>
      </c>
      <c r="C3323" t="s">
        <v>557</v>
      </c>
      <c r="D3323" s="452">
        <v>45870</v>
      </c>
      <c r="E3323">
        <v>19473</v>
      </c>
      <c r="F3323" t="s">
        <v>5484</v>
      </c>
      <c r="G3323">
        <v>2732</v>
      </c>
      <c r="H3323">
        <v>5</v>
      </c>
      <c r="I3323" t="s">
        <v>4744</v>
      </c>
      <c r="J3323" t="s">
        <v>5191</v>
      </c>
      <c r="K3323" t="s">
        <v>4040</v>
      </c>
      <c r="L3323">
        <v>0</v>
      </c>
      <c r="M3323" s="452">
        <v>45824</v>
      </c>
      <c r="N3323">
        <v>12</v>
      </c>
      <c r="O3323">
        <v>13</v>
      </c>
      <c r="P3323">
        <v>60</v>
      </c>
    </row>
    <row r="3324" spans="1:16" x14ac:dyDescent="0.3">
      <c r="A3324">
        <v>44272</v>
      </c>
      <c r="B3324">
        <v>105</v>
      </c>
      <c r="C3324" t="s">
        <v>557</v>
      </c>
      <c r="D3324" s="452">
        <v>45870</v>
      </c>
      <c r="E3324">
        <v>21062</v>
      </c>
      <c r="F3324" t="s">
        <v>5442</v>
      </c>
      <c r="G3324">
        <v>1997</v>
      </c>
      <c r="H3324">
        <v>4</v>
      </c>
      <c r="I3324" t="s">
        <v>4805</v>
      </c>
      <c r="J3324" t="s">
        <v>5191</v>
      </c>
      <c r="K3324" t="s">
        <v>4040</v>
      </c>
      <c r="L3324">
        <v>0</v>
      </c>
      <c r="M3324" s="452">
        <v>45756</v>
      </c>
      <c r="N3324">
        <v>14.9</v>
      </c>
      <c r="O3324">
        <v>15.88</v>
      </c>
      <c r="P3324">
        <v>59.6</v>
      </c>
    </row>
    <row r="3325" spans="1:16" x14ac:dyDescent="0.3">
      <c r="A3325">
        <v>44461</v>
      </c>
      <c r="B3325">
        <v>105</v>
      </c>
      <c r="C3325" t="s">
        <v>557</v>
      </c>
      <c r="D3325" s="452">
        <v>45870</v>
      </c>
      <c r="E3325">
        <v>18538</v>
      </c>
      <c r="F3325" t="s">
        <v>5030</v>
      </c>
      <c r="G3325">
        <v>3139</v>
      </c>
      <c r="H3325">
        <v>0.59</v>
      </c>
      <c r="I3325" t="s">
        <v>4805</v>
      </c>
      <c r="J3325" t="s">
        <v>5222</v>
      </c>
      <c r="K3325" t="s">
        <v>4040</v>
      </c>
      <c r="L3325">
        <v>0</v>
      </c>
      <c r="M3325" s="452">
        <v>45653</v>
      </c>
      <c r="N3325">
        <v>98.9</v>
      </c>
      <c r="O3325">
        <v>107.05</v>
      </c>
      <c r="P3325">
        <v>58.35</v>
      </c>
    </row>
    <row r="3326" spans="1:16" x14ac:dyDescent="0.3">
      <c r="A3326">
        <v>44390</v>
      </c>
      <c r="B3326">
        <v>105</v>
      </c>
      <c r="C3326" t="s">
        <v>557</v>
      </c>
      <c r="D3326" s="452">
        <v>45870</v>
      </c>
      <c r="E3326">
        <v>26816</v>
      </c>
      <c r="F3326" t="s">
        <v>5497</v>
      </c>
      <c r="G3326">
        <v>6910</v>
      </c>
      <c r="H3326">
        <v>1</v>
      </c>
      <c r="I3326" t="s">
        <v>4736</v>
      </c>
      <c r="J3326" t="s">
        <v>5191</v>
      </c>
      <c r="K3326" t="s">
        <v>4040</v>
      </c>
      <c r="L3326">
        <v>0</v>
      </c>
      <c r="M3326" s="452">
        <v>-693593</v>
      </c>
      <c r="N3326">
        <v>0</v>
      </c>
      <c r="O3326">
        <v>57.3</v>
      </c>
      <c r="P3326">
        <v>57.3</v>
      </c>
    </row>
    <row r="3327" spans="1:16" x14ac:dyDescent="0.3">
      <c r="A3327">
        <v>44199</v>
      </c>
      <c r="B3327">
        <v>105</v>
      </c>
      <c r="C3327" t="s">
        <v>557</v>
      </c>
      <c r="D3327" s="452">
        <v>45870</v>
      </c>
      <c r="E3327">
        <v>20359</v>
      </c>
      <c r="F3327" t="s">
        <v>5446</v>
      </c>
      <c r="G3327">
        <v>2199</v>
      </c>
      <c r="H3327">
        <v>12</v>
      </c>
      <c r="I3327" t="s">
        <v>4736</v>
      </c>
      <c r="J3327" t="s">
        <v>5191</v>
      </c>
      <c r="K3327" t="s">
        <v>4040</v>
      </c>
      <c r="L3327">
        <v>4.76</v>
      </c>
      <c r="M3327" s="452">
        <v>45846</v>
      </c>
      <c r="N3327">
        <v>4.76</v>
      </c>
      <c r="O3327">
        <v>4.79</v>
      </c>
      <c r="P3327">
        <v>57.12</v>
      </c>
    </row>
    <row r="3328" spans="1:16" x14ac:dyDescent="0.3">
      <c r="A3328">
        <v>44400</v>
      </c>
      <c r="B3328">
        <v>105</v>
      </c>
      <c r="C3328" t="s">
        <v>557</v>
      </c>
      <c r="D3328" s="452">
        <v>45870</v>
      </c>
      <c r="E3328">
        <v>18339</v>
      </c>
      <c r="F3328" t="s">
        <v>5033</v>
      </c>
      <c r="G3328">
        <v>3296</v>
      </c>
      <c r="H3328">
        <v>1</v>
      </c>
      <c r="I3328" t="s">
        <v>4805</v>
      </c>
      <c r="J3328" t="s">
        <v>5222</v>
      </c>
      <c r="K3328" t="s">
        <v>4040</v>
      </c>
      <c r="L3328">
        <v>0</v>
      </c>
      <c r="M3328" s="452">
        <v>-693593</v>
      </c>
      <c r="N3328">
        <v>0</v>
      </c>
      <c r="O3328">
        <v>58.74</v>
      </c>
      <c r="P3328">
        <v>56.53</v>
      </c>
    </row>
    <row r="3329" spans="1:16" x14ac:dyDescent="0.3">
      <c r="A3329">
        <v>44335</v>
      </c>
      <c r="B3329">
        <v>105</v>
      </c>
      <c r="C3329" t="s">
        <v>557</v>
      </c>
      <c r="D3329" s="452">
        <v>45870</v>
      </c>
      <c r="E3329">
        <v>19649</v>
      </c>
      <c r="F3329" t="s">
        <v>4859</v>
      </c>
      <c r="G3329">
        <v>2589</v>
      </c>
      <c r="H3329">
        <v>2</v>
      </c>
      <c r="I3329" t="s">
        <v>4744</v>
      </c>
      <c r="J3329" t="s">
        <v>5191</v>
      </c>
      <c r="K3329" t="s">
        <v>4040</v>
      </c>
      <c r="L3329">
        <v>0</v>
      </c>
      <c r="M3329" s="452">
        <v>45820</v>
      </c>
      <c r="N3329">
        <v>27.9</v>
      </c>
      <c r="O3329">
        <v>25</v>
      </c>
      <c r="P3329">
        <v>55.8</v>
      </c>
    </row>
    <row r="3330" spans="1:16" x14ac:dyDescent="0.3">
      <c r="A3330">
        <v>44226</v>
      </c>
      <c r="B3330">
        <v>105</v>
      </c>
      <c r="C3330" t="s">
        <v>557</v>
      </c>
      <c r="D3330" s="452">
        <v>45870</v>
      </c>
      <c r="E3330">
        <v>25750</v>
      </c>
      <c r="F3330" t="s">
        <v>4908</v>
      </c>
      <c r="G3330">
        <v>6301</v>
      </c>
      <c r="H3330">
        <v>8</v>
      </c>
      <c r="I3330" t="s">
        <v>4736</v>
      </c>
      <c r="J3330" t="s">
        <v>5191</v>
      </c>
      <c r="K3330" t="s">
        <v>4040</v>
      </c>
      <c r="L3330">
        <v>0</v>
      </c>
      <c r="M3330" s="452">
        <v>45653</v>
      </c>
      <c r="N3330">
        <v>6.87</v>
      </c>
      <c r="O3330">
        <v>6.87</v>
      </c>
      <c r="P3330">
        <v>54.96</v>
      </c>
    </row>
    <row r="3331" spans="1:16" x14ac:dyDescent="0.3">
      <c r="A3331">
        <v>44295</v>
      </c>
      <c r="B3331">
        <v>105</v>
      </c>
      <c r="C3331" t="s">
        <v>557</v>
      </c>
      <c r="D3331" s="452">
        <v>45870</v>
      </c>
      <c r="E3331">
        <v>20419</v>
      </c>
      <c r="F3331" t="s">
        <v>5498</v>
      </c>
      <c r="G3331">
        <v>2187</v>
      </c>
      <c r="H3331">
        <v>3</v>
      </c>
      <c r="I3331" t="s">
        <v>4738</v>
      </c>
      <c r="J3331" t="s">
        <v>5191</v>
      </c>
      <c r="K3331" t="s">
        <v>4040</v>
      </c>
      <c r="L3331">
        <v>0</v>
      </c>
      <c r="M3331" s="452">
        <v>45817</v>
      </c>
      <c r="N3331">
        <v>18.3</v>
      </c>
      <c r="O3331">
        <v>18.25</v>
      </c>
      <c r="P3331">
        <v>54.9</v>
      </c>
    </row>
    <row r="3332" spans="1:16" x14ac:dyDescent="0.3">
      <c r="A3332">
        <v>44160</v>
      </c>
      <c r="B3332">
        <v>105</v>
      </c>
      <c r="C3332" t="s">
        <v>557</v>
      </c>
      <c r="D3332" s="452">
        <v>45870</v>
      </c>
      <c r="E3332">
        <v>24307</v>
      </c>
      <c r="F3332" t="s">
        <v>4755</v>
      </c>
      <c r="G3332">
        <v>3656</v>
      </c>
      <c r="H3332">
        <v>25</v>
      </c>
      <c r="I3332" t="s">
        <v>4736</v>
      </c>
      <c r="J3332" t="s">
        <v>5222</v>
      </c>
      <c r="K3332" t="s">
        <v>4040</v>
      </c>
      <c r="L3332">
        <v>0</v>
      </c>
      <c r="M3332" s="452">
        <v>45540</v>
      </c>
      <c r="N3332">
        <v>2.19</v>
      </c>
      <c r="O3332">
        <v>2.19</v>
      </c>
      <c r="P3332">
        <v>54.75</v>
      </c>
    </row>
    <row r="3333" spans="1:16" x14ac:dyDescent="0.3">
      <c r="A3333">
        <v>44351</v>
      </c>
      <c r="B3333">
        <v>105</v>
      </c>
      <c r="C3333" t="s">
        <v>557</v>
      </c>
      <c r="D3333" s="452">
        <v>45870</v>
      </c>
      <c r="E3333">
        <v>17881</v>
      </c>
      <c r="F3333" t="s">
        <v>5103</v>
      </c>
      <c r="G3333">
        <v>3675</v>
      </c>
      <c r="H3333">
        <v>2</v>
      </c>
      <c r="I3333" t="s">
        <v>4738</v>
      </c>
      <c r="J3333" t="s">
        <v>5222</v>
      </c>
      <c r="K3333" t="s">
        <v>4040</v>
      </c>
      <c r="L3333">
        <v>27.1</v>
      </c>
      <c r="M3333" s="452">
        <v>45859</v>
      </c>
      <c r="N3333">
        <v>28.32</v>
      </c>
      <c r="O3333">
        <v>28.32</v>
      </c>
      <c r="P3333">
        <v>54.2</v>
      </c>
    </row>
    <row r="3334" spans="1:16" x14ac:dyDescent="0.3">
      <c r="A3334">
        <v>44318</v>
      </c>
      <c r="B3334">
        <v>105</v>
      </c>
      <c r="C3334" t="s">
        <v>557</v>
      </c>
      <c r="D3334" s="452">
        <v>45870</v>
      </c>
      <c r="E3334">
        <v>19710</v>
      </c>
      <c r="F3334" t="s">
        <v>4963</v>
      </c>
      <c r="G3334">
        <v>2540</v>
      </c>
      <c r="H3334">
        <v>2.2999999999999998</v>
      </c>
      <c r="I3334" t="s">
        <v>4738</v>
      </c>
      <c r="J3334" t="s">
        <v>5191</v>
      </c>
      <c r="K3334" t="s">
        <v>4040</v>
      </c>
      <c r="L3334">
        <v>23.46</v>
      </c>
      <c r="M3334" s="452">
        <v>45839</v>
      </c>
      <c r="N3334">
        <v>23.46</v>
      </c>
      <c r="O3334">
        <v>23.75</v>
      </c>
      <c r="P3334">
        <v>53.96</v>
      </c>
    </row>
    <row r="3335" spans="1:16" x14ac:dyDescent="0.3">
      <c r="A3335">
        <v>44258</v>
      </c>
      <c r="B3335">
        <v>105</v>
      </c>
      <c r="C3335" t="s">
        <v>557</v>
      </c>
      <c r="D3335" s="452">
        <v>45870</v>
      </c>
      <c r="E3335">
        <v>20054</v>
      </c>
      <c r="F3335" t="s">
        <v>4856</v>
      </c>
      <c r="G3335">
        <v>2325</v>
      </c>
      <c r="H3335">
        <v>5</v>
      </c>
      <c r="I3335" t="s">
        <v>4736</v>
      </c>
      <c r="J3335" t="s">
        <v>5191</v>
      </c>
      <c r="K3335" t="s">
        <v>4040</v>
      </c>
      <c r="L3335">
        <v>0</v>
      </c>
      <c r="M3335" s="452">
        <v>45706</v>
      </c>
      <c r="N3335">
        <v>10.55</v>
      </c>
      <c r="O3335">
        <v>11.8</v>
      </c>
      <c r="P3335">
        <v>52.75</v>
      </c>
    </row>
    <row r="3336" spans="1:16" x14ac:dyDescent="0.3">
      <c r="A3336">
        <v>44418</v>
      </c>
      <c r="B3336">
        <v>105</v>
      </c>
      <c r="C3336" t="s">
        <v>557</v>
      </c>
      <c r="D3336" s="452">
        <v>45870</v>
      </c>
      <c r="E3336">
        <v>26989</v>
      </c>
      <c r="F3336" t="s">
        <v>5479</v>
      </c>
      <c r="G3336">
        <v>7043</v>
      </c>
      <c r="H3336">
        <v>1</v>
      </c>
      <c r="I3336" t="s">
        <v>4805</v>
      </c>
      <c r="J3336" t="s">
        <v>5222</v>
      </c>
      <c r="K3336" t="s">
        <v>4040</v>
      </c>
      <c r="L3336">
        <v>0</v>
      </c>
      <c r="M3336" s="452">
        <v>-693593</v>
      </c>
      <c r="N3336">
        <v>0</v>
      </c>
      <c r="O3336">
        <v>56.07</v>
      </c>
      <c r="P3336">
        <v>52.65</v>
      </c>
    </row>
    <row r="3337" spans="1:16" x14ac:dyDescent="0.3">
      <c r="A3337">
        <v>44442</v>
      </c>
      <c r="B3337">
        <v>105</v>
      </c>
      <c r="C3337" t="s">
        <v>557</v>
      </c>
      <c r="D3337" s="452">
        <v>45870</v>
      </c>
      <c r="E3337">
        <v>20716</v>
      </c>
      <c r="F3337" t="s">
        <v>5053</v>
      </c>
      <c r="G3337">
        <v>2098</v>
      </c>
      <c r="H3337">
        <v>0.44</v>
      </c>
      <c r="I3337" t="s">
        <v>4744</v>
      </c>
      <c r="J3337" t="s">
        <v>5191</v>
      </c>
      <c r="K3337" t="s">
        <v>4040</v>
      </c>
      <c r="L3337">
        <v>0</v>
      </c>
      <c r="M3337" s="452">
        <v>-693593</v>
      </c>
      <c r="N3337">
        <v>0</v>
      </c>
      <c r="O3337">
        <v>0</v>
      </c>
      <c r="P3337">
        <v>52.58</v>
      </c>
    </row>
    <row r="3338" spans="1:16" x14ac:dyDescent="0.3">
      <c r="A3338">
        <v>44158</v>
      </c>
      <c r="B3338">
        <v>105</v>
      </c>
      <c r="C3338" t="s">
        <v>557</v>
      </c>
      <c r="D3338" s="452">
        <v>45870</v>
      </c>
      <c r="E3338">
        <v>24509</v>
      </c>
      <c r="F3338" t="s">
        <v>4788</v>
      </c>
      <c r="G3338">
        <v>2607</v>
      </c>
      <c r="H3338">
        <v>27.35</v>
      </c>
      <c r="I3338" t="s">
        <v>4744</v>
      </c>
      <c r="J3338" t="s">
        <v>5191</v>
      </c>
      <c r="K3338" t="s">
        <v>4040</v>
      </c>
      <c r="L3338">
        <v>1.89</v>
      </c>
      <c r="M3338" s="452">
        <v>45868</v>
      </c>
      <c r="N3338">
        <v>1.56</v>
      </c>
      <c r="O3338">
        <v>1.64</v>
      </c>
      <c r="P3338">
        <v>51.69</v>
      </c>
    </row>
    <row r="3339" spans="1:16" x14ac:dyDescent="0.3">
      <c r="A3339">
        <v>44398</v>
      </c>
      <c r="B3339">
        <v>105</v>
      </c>
      <c r="C3339" t="s">
        <v>557</v>
      </c>
      <c r="D3339" s="452">
        <v>45870</v>
      </c>
      <c r="E3339">
        <v>18462</v>
      </c>
      <c r="F3339" t="s">
        <v>5031</v>
      </c>
      <c r="G3339">
        <v>3193</v>
      </c>
      <c r="H3339">
        <v>1</v>
      </c>
      <c r="I3339" t="s">
        <v>4805</v>
      </c>
      <c r="J3339" t="s">
        <v>5222</v>
      </c>
      <c r="K3339" t="s">
        <v>4040</v>
      </c>
      <c r="L3339">
        <v>51.14</v>
      </c>
      <c r="M3339" s="452">
        <v>45839</v>
      </c>
      <c r="N3339">
        <v>51.14</v>
      </c>
      <c r="O3339">
        <v>51.14</v>
      </c>
      <c r="P3339">
        <v>51.14</v>
      </c>
    </row>
    <row r="3340" spans="1:16" x14ac:dyDescent="0.3">
      <c r="A3340">
        <v>44245</v>
      </c>
      <c r="B3340">
        <v>105</v>
      </c>
      <c r="C3340" t="s">
        <v>557</v>
      </c>
      <c r="D3340" s="452">
        <v>45870</v>
      </c>
      <c r="E3340">
        <v>24099</v>
      </c>
      <c r="F3340" t="s">
        <v>4933</v>
      </c>
      <c r="G3340">
        <v>2716</v>
      </c>
      <c r="H3340">
        <v>6</v>
      </c>
      <c r="I3340" t="s">
        <v>4744</v>
      </c>
      <c r="J3340" t="s">
        <v>5191</v>
      </c>
      <c r="K3340" t="s">
        <v>4040</v>
      </c>
      <c r="L3340">
        <v>8.52</v>
      </c>
      <c r="M3340" s="452">
        <v>45867</v>
      </c>
      <c r="N3340">
        <v>2.76</v>
      </c>
      <c r="O3340">
        <v>8</v>
      </c>
      <c r="P3340">
        <v>51.12</v>
      </c>
    </row>
    <row r="3341" spans="1:16" x14ac:dyDescent="0.3">
      <c r="A3341">
        <v>44307</v>
      </c>
      <c r="B3341">
        <v>105</v>
      </c>
      <c r="C3341" t="s">
        <v>557</v>
      </c>
      <c r="D3341" s="452">
        <v>45870</v>
      </c>
      <c r="E3341">
        <v>19978</v>
      </c>
      <c r="F3341" t="s">
        <v>4887</v>
      </c>
      <c r="G3341">
        <v>2353</v>
      </c>
      <c r="H3341">
        <v>3</v>
      </c>
      <c r="I3341" t="s">
        <v>4888</v>
      </c>
      <c r="J3341" t="s">
        <v>5191</v>
      </c>
      <c r="K3341" t="s">
        <v>4040</v>
      </c>
      <c r="L3341">
        <v>16.88</v>
      </c>
      <c r="M3341" s="452">
        <v>45849</v>
      </c>
      <c r="N3341">
        <v>17</v>
      </c>
      <c r="O3341">
        <v>17.899999999999999</v>
      </c>
      <c r="P3341">
        <v>50.64</v>
      </c>
    </row>
    <row r="3342" spans="1:16" x14ac:dyDescent="0.3">
      <c r="A3342">
        <v>47460</v>
      </c>
      <c r="B3342">
        <v>105</v>
      </c>
      <c r="C3342" t="s">
        <v>557</v>
      </c>
      <c r="D3342" s="452">
        <v>45870</v>
      </c>
      <c r="E3342">
        <v>20117</v>
      </c>
      <c r="F3342" t="s">
        <v>5444</v>
      </c>
      <c r="G3342">
        <v>2291</v>
      </c>
      <c r="H3342">
        <v>1</v>
      </c>
      <c r="I3342" t="s">
        <v>4736</v>
      </c>
      <c r="J3342" t="s">
        <v>5191</v>
      </c>
      <c r="K3342" t="s">
        <v>4040</v>
      </c>
      <c r="L3342">
        <v>0</v>
      </c>
      <c r="N3342">
        <v>0</v>
      </c>
      <c r="O3342">
        <v>37.5</v>
      </c>
      <c r="P3342">
        <v>49.9</v>
      </c>
    </row>
    <row r="3343" spans="1:16" x14ac:dyDescent="0.3">
      <c r="A3343">
        <v>44419</v>
      </c>
      <c r="B3343">
        <v>105</v>
      </c>
      <c r="C3343" t="s">
        <v>557</v>
      </c>
      <c r="D3343" s="452">
        <v>45870</v>
      </c>
      <c r="E3343">
        <v>26034</v>
      </c>
      <c r="F3343" t="s">
        <v>4828</v>
      </c>
      <c r="G3343">
        <v>6504</v>
      </c>
      <c r="H3343">
        <v>1</v>
      </c>
      <c r="I3343" t="s">
        <v>4805</v>
      </c>
      <c r="J3343" t="s">
        <v>5222</v>
      </c>
      <c r="K3343" t="s">
        <v>4040</v>
      </c>
      <c r="L3343">
        <v>49.84</v>
      </c>
      <c r="M3343" s="452">
        <v>45853</v>
      </c>
      <c r="N3343">
        <v>49.84</v>
      </c>
      <c r="O3343">
        <v>49.84</v>
      </c>
      <c r="P3343">
        <v>49.84</v>
      </c>
    </row>
    <row r="3344" spans="1:16" x14ac:dyDescent="0.3">
      <c r="A3344">
        <v>44323</v>
      </c>
      <c r="B3344">
        <v>105</v>
      </c>
      <c r="C3344" t="s">
        <v>557</v>
      </c>
      <c r="D3344" s="452">
        <v>45870</v>
      </c>
      <c r="E3344">
        <v>24638</v>
      </c>
      <c r="F3344" t="s">
        <v>4948</v>
      </c>
      <c r="G3344">
        <v>5690</v>
      </c>
      <c r="H3344">
        <v>2</v>
      </c>
      <c r="I3344" t="s">
        <v>4749</v>
      </c>
      <c r="J3344" t="s">
        <v>5191</v>
      </c>
      <c r="K3344" t="s">
        <v>4040</v>
      </c>
      <c r="L3344">
        <v>24.9</v>
      </c>
      <c r="M3344" s="452">
        <v>45853</v>
      </c>
      <c r="N3344">
        <v>24.9</v>
      </c>
      <c r="O3344">
        <v>30.5</v>
      </c>
      <c r="P3344">
        <v>49.8</v>
      </c>
    </row>
    <row r="3345" spans="1:16" x14ac:dyDescent="0.3">
      <c r="A3345">
        <v>44368</v>
      </c>
      <c r="B3345">
        <v>105</v>
      </c>
      <c r="C3345" t="s">
        <v>557</v>
      </c>
      <c r="D3345" s="452">
        <v>45870</v>
      </c>
      <c r="E3345">
        <v>21005</v>
      </c>
      <c r="F3345" t="s">
        <v>5161</v>
      </c>
      <c r="G3345">
        <v>2007</v>
      </c>
      <c r="H3345">
        <v>1.5</v>
      </c>
      <c r="I3345" t="s">
        <v>4888</v>
      </c>
      <c r="J3345" t="s">
        <v>5191</v>
      </c>
      <c r="K3345" t="s">
        <v>4040</v>
      </c>
      <c r="L3345">
        <v>0</v>
      </c>
      <c r="M3345" s="452">
        <v>45831</v>
      </c>
      <c r="N3345">
        <v>32.9</v>
      </c>
      <c r="O3345">
        <v>31.9</v>
      </c>
      <c r="P3345">
        <v>49.35</v>
      </c>
    </row>
    <row r="3346" spans="1:16" x14ac:dyDescent="0.3">
      <c r="A3346">
        <v>44225</v>
      </c>
      <c r="B3346">
        <v>105</v>
      </c>
      <c r="C3346" t="s">
        <v>557</v>
      </c>
      <c r="D3346" s="452">
        <v>45870</v>
      </c>
      <c r="E3346">
        <v>23228</v>
      </c>
      <c r="F3346" t="s">
        <v>4782</v>
      </c>
      <c r="G3346">
        <v>2627</v>
      </c>
      <c r="H3346">
        <v>8.1</v>
      </c>
      <c r="I3346" t="s">
        <v>4744</v>
      </c>
      <c r="J3346" t="s">
        <v>5191</v>
      </c>
      <c r="K3346" t="s">
        <v>4040</v>
      </c>
      <c r="L3346">
        <v>5.94</v>
      </c>
      <c r="M3346" s="452">
        <v>45867</v>
      </c>
      <c r="N3346">
        <v>5.76</v>
      </c>
      <c r="O3346">
        <v>5.76</v>
      </c>
      <c r="P3346">
        <v>48.11</v>
      </c>
    </row>
    <row r="3347" spans="1:16" x14ac:dyDescent="0.3">
      <c r="A3347">
        <v>44278</v>
      </c>
      <c r="B3347">
        <v>105</v>
      </c>
      <c r="C3347" t="s">
        <v>557</v>
      </c>
      <c r="D3347" s="452">
        <v>45870</v>
      </c>
      <c r="E3347">
        <v>19601</v>
      </c>
      <c r="F3347" t="s">
        <v>5267</v>
      </c>
      <c r="G3347">
        <v>2628</v>
      </c>
      <c r="H3347">
        <v>4</v>
      </c>
      <c r="I3347" t="s">
        <v>4744</v>
      </c>
      <c r="J3347" t="s">
        <v>5191</v>
      </c>
      <c r="K3347" t="s">
        <v>4040</v>
      </c>
      <c r="L3347">
        <v>0</v>
      </c>
      <c r="M3347" s="452">
        <v>45824</v>
      </c>
      <c r="N3347">
        <v>12</v>
      </c>
      <c r="O3347">
        <v>7.5</v>
      </c>
      <c r="P3347">
        <v>48</v>
      </c>
    </row>
    <row r="3348" spans="1:16" x14ac:dyDescent="0.3">
      <c r="A3348">
        <v>44306</v>
      </c>
      <c r="B3348">
        <v>105</v>
      </c>
      <c r="C3348" t="s">
        <v>557</v>
      </c>
      <c r="D3348" s="452">
        <v>45870</v>
      </c>
      <c r="E3348">
        <v>19600</v>
      </c>
      <c r="F3348" t="s">
        <v>5499</v>
      </c>
      <c r="G3348">
        <v>2629</v>
      </c>
      <c r="H3348">
        <v>3</v>
      </c>
      <c r="I3348" t="s">
        <v>4744</v>
      </c>
      <c r="J3348" t="s">
        <v>5191</v>
      </c>
      <c r="K3348" t="s">
        <v>4040</v>
      </c>
      <c r="L3348">
        <v>15.9</v>
      </c>
      <c r="M3348" s="452">
        <v>45867</v>
      </c>
      <c r="N3348">
        <v>16.5</v>
      </c>
      <c r="O3348">
        <v>16.5</v>
      </c>
      <c r="P3348">
        <v>47.7</v>
      </c>
    </row>
    <row r="3349" spans="1:16" x14ac:dyDescent="0.3">
      <c r="A3349">
        <v>44240</v>
      </c>
      <c r="B3349">
        <v>105</v>
      </c>
      <c r="C3349" t="s">
        <v>557</v>
      </c>
      <c r="D3349" s="452">
        <v>45870</v>
      </c>
      <c r="E3349">
        <v>19465</v>
      </c>
      <c r="F3349" t="s">
        <v>5114</v>
      </c>
      <c r="G3349">
        <v>2737</v>
      </c>
      <c r="H3349">
        <v>6.5</v>
      </c>
      <c r="I3349" t="s">
        <v>4744</v>
      </c>
      <c r="J3349" t="s">
        <v>5191</v>
      </c>
      <c r="K3349" t="s">
        <v>4040</v>
      </c>
      <c r="L3349">
        <v>7.06</v>
      </c>
      <c r="M3349" s="452">
        <v>45861</v>
      </c>
      <c r="N3349">
        <v>7.5</v>
      </c>
      <c r="O3349">
        <v>6.32</v>
      </c>
      <c r="P3349">
        <v>45.89</v>
      </c>
    </row>
    <row r="3350" spans="1:16" x14ac:dyDescent="0.3">
      <c r="A3350">
        <v>44344</v>
      </c>
      <c r="B3350">
        <v>105</v>
      </c>
      <c r="C3350" t="s">
        <v>557</v>
      </c>
      <c r="D3350" s="452">
        <v>45870</v>
      </c>
      <c r="E3350">
        <v>26497</v>
      </c>
      <c r="F3350" t="s">
        <v>5500</v>
      </c>
      <c r="G3350">
        <v>5677</v>
      </c>
      <c r="H3350">
        <v>2</v>
      </c>
      <c r="I3350" t="s">
        <v>4884</v>
      </c>
      <c r="J3350" t="s">
        <v>5191</v>
      </c>
      <c r="K3350" t="s">
        <v>4040</v>
      </c>
      <c r="L3350">
        <v>22.9</v>
      </c>
      <c r="M3350" s="452">
        <v>45856</v>
      </c>
      <c r="N3350">
        <v>22.9</v>
      </c>
      <c r="O3350">
        <v>22.9</v>
      </c>
      <c r="P3350">
        <v>45.8</v>
      </c>
    </row>
    <row r="3351" spans="1:16" x14ac:dyDescent="0.3">
      <c r="A3351">
        <v>44322</v>
      </c>
      <c r="B3351">
        <v>105</v>
      </c>
      <c r="C3351" t="s">
        <v>557</v>
      </c>
      <c r="D3351" s="452">
        <v>45870</v>
      </c>
      <c r="E3351">
        <v>21060</v>
      </c>
      <c r="F3351" t="s">
        <v>4946</v>
      </c>
      <c r="G3351">
        <v>1998</v>
      </c>
      <c r="H3351">
        <v>2</v>
      </c>
      <c r="I3351" t="s">
        <v>4736</v>
      </c>
      <c r="J3351" t="s">
        <v>5191</v>
      </c>
      <c r="K3351" t="s">
        <v>4040</v>
      </c>
      <c r="L3351">
        <v>0</v>
      </c>
      <c r="M3351" s="452">
        <v>45819</v>
      </c>
      <c r="N3351">
        <v>21.9</v>
      </c>
      <c r="O3351">
        <v>21.9</v>
      </c>
      <c r="P3351">
        <v>43.8</v>
      </c>
    </row>
    <row r="3352" spans="1:16" x14ac:dyDescent="0.3">
      <c r="A3352">
        <v>44397</v>
      </c>
      <c r="B3352">
        <v>105</v>
      </c>
      <c r="C3352" t="s">
        <v>557</v>
      </c>
      <c r="D3352" s="452">
        <v>45870</v>
      </c>
      <c r="E3352">
        <v>18545</v>
      </c>
      <c r="F3352" t="s">
        <v>4864</v>
      </c>
      <c r="G3352">
        <v>3134</v>
      </c>
      <c r="H3352">
        <v>1</v>
      </c>
      <c r="I3352" t="s">
        <v>4805</v>
      </c>
      <c r="J3352" t="s">
        <v>5222</v>
      </c>
      <c r="K3352" t="s">
        <v>4040</v>
      </c>
      <c r="L3352">
        <v>43</v>
      </c>
      <c r="M3352" s="452">
        <v>45853</v>
      </c>
      <c r="N3352">
        <v>43</v>
      </c>
      <c r="O3352">
        <v>43.99</v>
      </c>
      <c r="P3352">
        <v>43</v>
      </c>
    </row>
    <row r="3353" spans="1:16" x14ac:dyDescent="0.3">
      <c r="A3353">
        <v>44425</v>
      </c>
      <c r="B3353">
        <v>105</v>
      </c>
      <c r="C3353" t="s">
        <v>557</v>
      </c>
      <c r="D3353" s="452">
        <v>45870</v>
      </c>
      <c r="E3353">
        <v>18073</v>
      </c>
      <c r="F3353" t="s">
        <v>4974</v>
      </c>
      <c r="G3353">
        <v>3536</v>
      </c>
      <c r="H3353">
        <v>0.88</v>
      </c>
      <c r="I3353" t="s">
        <v>4805</v>
      </c>
      <c r="J3353" t="s">
        <v>5222</v>
      </c>
      <c r="K3353" t="s">
        <v>4040</v>
      </c>
      <c r="L3353">
        <v>48.75</v>
      </c>
      <c r="M3353" s="452">
        <v>45853</v>
      </c>
      <c r="N3353">
        <v>47.6</v>
      </c>
      <c r="O3353">
        <v>47.6</v>
      </c>
      <c r="P3353">
        <v>42.9</v>
      </c>
    </row>
    <row r="3354" spans="1:16" x14ac:dyDescent="0.3">
      <c r="A3354">
        <v>44395</v>
      </c>
      <c r="B3354">
        <v>105</v>
      </c>
      <c r="C3354" t="s">
        <v>557</v>
      </c>
      <c r="D3354" s="452">
        <v>45870</v>
      </c>
      <c r="E3354">
        <v>19506</v>
      </c>
      <c r="F3354" t="s">
        <v>5122</v>
      </c>
      <c r="G3354">
        <v>2705</v>
      </c>
      <c r="H3354">
        <v>1</v>
      </c>
      <c r="I3354" t="s">
        <v>4744</v>
      </c>
      <c r="J3354" t="s">
        <v>5191</v>
      </c>
      <c r="K3354" t="s">
        <v>4040</v>
      </c>
      <c r="L3354">
        <v>42.51</v>
      </c>
      <c r="M3354" s="452">
        <v>45862</v>
      </c>
      <c r="N3354">
        <v>50</v>
      </c>
      <c r="O3354">
        <v>45</v>
      </c>
      <c r="P3354">
        <v>42.51</v>
      </c>
    </row>
    <row r="3355" spans="1:16" x14ac:dyDescent="0.3">
      <c r="A3355">
        <v>44440</v>
      </c>
      <c r="B3355">
        <v>105</v>
      </c>
      <c r="C3355" t="s">
        <v>557</v>
      </c>
      <c r="D3355" s="452">
        <v>45870</v>
      </c>
      <c r="E3355">
        <v>24267</v>
      </c>
      <c r="F3355" t="s">
        <v>5501</v>
      </c>
      <c r="G3355">
        <v>2249</v>
      </c>
      <c r="H3355">
        <v>0.5</v>
      </c>
      <c r="I3355" t="s">
        <v>4744</v>
      </c>
      <c r="J3355" t="s">
        <v>5191</v>
      </c>
      <c r="K3355" t="s">
        <v>4040</v>
      </c>
      <c r="L3355">
        <v>0</v>
      </c>
      <c r="M3355" s="452">
        <v>45507</v>
      </c>
      <c r="N3355">
        <v>85</v>
      </c>
      <c r="O3355">
        <v>28</v>
      </c>
      <c r="P3355">
        <v>42.5</v>
      </c>
    </row>
    <row r="3356" spans="1:16" x14ac:dyDescent="0.3">
      <c r="A3356">
        <v>44360</v>
      </c>
      <c r="B3356">
        <v>105</v>
      </c>
      <c r="C3356" t="s">
        <v>557</v>
      </c>
      <c r="D3356" s="452">
        <v>45870</v>
      </c>
      <c r="E3356">
        <v>19962</v>
      </c>
      <c r="F3356" t="s">
        <v>5502</v>
      </c>
      <c r="G3356">
        <v>2356</v>
      </c>
      <c r="H3356">
        <v>1.68</v>
      </c>
      <c r="I3356" t="s">
        <v>4888</v>
      </c>
      <c r="J3356" t="s">
        <v>5191</v>
      </c>
      <c r="K3356" t="s">
        <v>4040</v>
      </c>
      <c r="L3356">
        <v>0</v>
      </c>
      <c r="M3356" s="452">
        <v>45832</v>
      </c>
      <c r="N3356">
        <v>25.28</v>
      </c>
      <c r="O3356">
        <v>23.7</v>
      </c>
      <c r="P3356">
        <v>42.47</v>
      </c>
    </row>
    <row r="3357" spans="1:16" x14ac:dyDescent="0.3">
      <c r="A3357">
        <v>44255</v>
      </c>
      <c r="B3357">
        <v>105</v>
      </c>
      <c r="C3357" t="s">
        <v>557</v>
      </c>
      <c r="D3357" s="452">
        <v>45870</v>
      </c>
      <c r="E3357">
        <v>19505</v>
      </c>
      <c r="F3357" t="s">
        <v>4872</v>
      </c>
      <c r="G3357">
        <v>2706</v>
      </c>
      <c r="H3357">
        <v>5.5</v>
      </c>
      <c r="I3357" t="s">
        <v>4744</v>
      </c>
      <c r="J3357" t="s">
        <v>5191</v>
      </c>
      <c r="K3357" t="s">
        <v>4040</v>
      </c>
      <c r="L3357">
        <v>7.65</v>
      </c>
      <c r="M3357" s="452">
        <v>45868</v>
      </c>
      <c r="N3357">
        <v>7.2</v>
      </c>
      <c r="O3357">
        <v>5.09</v>
      </c>
      <c r="P3357">
        <v>42.08</v>
      </c>
    </row>
    <row r="3358" spans="1:16" x14ac:dyDescent="0.3">
      <c r="A3358">
        <v>44339</v>
      </c>
      <c r="B3358">
        <v>105</v>
      </c>
      <c r="C3358" t="s">
        <v>557</v>
      </c>
      <c r="D3358" s="452">
        <v>45870</v>
      </c>
      <c r="E3358">
        <v>24522</v>
      </c>
      <c r="F3358" t="s">
        <v>5072</v>
      </c>
      <c r="G3358">
        <v>5651</v>
      </c>
      <c r="H3358">
        <v>2</v>
      </c>
      <c r="I3358" t="s">
        <v>4744</v>
      </c>
      <c r="J3358" t="s">
        <v>5191</v>
      </c>
      <c r="K3358" t="s">
        <v>4040</v>
      </c>
      <c r="L3358">
        <v>21</v>
      </c>
      <c r="M3358" s="452">
        <v>45867</v>
      </c>
      <c r="N3358">
        <v>21</v>
      </c>
      <c r="O3358">
        <v>21</v>
      </c>
      <c r="P3358">
        <v>42</v>
      </c>
    </row>
    <row r="3359" spans="1:16" x14ac:dyDescent="0.3">
      <c r="A3359">
        <v>44244</v>
      </c>
      <c r="B3359">
        <v>105</v>
      </c>
      <c r="C3359" t="s">
        <v>557</v>
      </c>
      <c r="D3359" s="452">
        <v>45870</v>
      </c>
      <c r="E3359">
        <v>20138</v>
      </c>
      <c r="F3359" t="s">
        <v>4886</v>
      </c>
      <c r="G3359">
        <v>2284</v>
      </c>
      <c r="H3359">
        <v>6</v>
      </c>
      <c r="I3359" t="s">
        <v>4738</v>
      </c>
      <c r="J3359" t="s">
        <v>5191</v>
      </c>
      <c r="K3359" t="s">
        <v>4040</v>
      </c>
      <c r="L3359">
        <v>6.8</v>
      </c>
      <c r="M3359" s="452">
        <v>45852</v>
      </c>
      <c r="N3359">
        <v>6.8</v>
      </c>
      <c r="O3359">
        <v>6.8</v>
      </c>
      <c r="P3359">
        <v>40.799999999999997</v>
      </c>
    </row>
    <row r="3360" spans="1:16" x14ac:dyDescent="0.3">
      <c r="A3360">
        <v>44321</v>
      </c>
      <c r="B3360">
        <v>105</v>
      </c>
      <c r="C3360" t="s">
        <v>557</v>
      </c>
      <c r="D3360" s="452">
        <v>45870</v>
      </c>
      <c r="E3360">
        <v>20429</v>
      </c>
      <c r="F3360" t="s">
        <v>5317</v>
      </c>
      <c r="G3360">
        <v>2184</v>
      </c>
      <c r="H3360">
        <v>2</v>
      </c>
      <c r="I3360" t="s">
        <v>4736</v>
      </c>
      <c r="J3360" t="s">
        <v>5191</v>
      </c>
      <c r="K3360" t="s">
        <v>4040</v>
      </c>
      <c r="L3360">
        <v>0</v>
      </c>
      <c r="M3360" s="452">
        <v>45831</v>
      </c>
      <c r="N3360">
        <v>20.3</v>
      </c>
      <c r="O3360">
        <v>20.25</v>
      </c>
      <c r="P3360">
        <v>40.6</v>
      </c>
    </row>
    <row r="3361" spans="1:16" x14ac:dyDescent="0.3">
      <c r="A3361">
        <v>44289</v>
      </c>
      <c r="B3361">
        <v>105</v>
      </c>
      <c r="C3361" t="s">
        <v>557</v>
      </c>
      <c r="D3361" s="452">
        <v>45870</v>
      </c>
      <c r="E3361">
        <v>24403</v>
      </c>
      <c r="F3361" t="s">
        <v>5149</v>
      </c>
      <c r="G3361">
        <v>3049</v>
      </c>
      <c r="H3361">
        <v>3.35</v>
      </c>
      <c r="I3361" t="s">
        <v>4744</v>
      </c>
      <c r="J3361" t="s">
        <v>5191</v>
      </c>
      <c r="K3361" t="s">
        <v>4040</v>
      </c>
      <c r="L3361">
        <v>12</v>
      </c>
      <c r="M3361" s="452">
        <v>45842</v>
      </c>
      <c r="N3361">
        <v>12</v>
      </c>
      <c r="O3361">
        <v>12.99</v>
      </c>
      <c r="P3361">
        <v>40.200000000000003</v>
      </c>
    </row>
    <row r="3362" spans="1:16" x14ac:dyDescent="0.3">
      <c r="A3362">
        <v>44399</v>
      </c>
      <c r="B3362">
        <v>105</v>
      </c>
      <c r="C3362" t="s">
        <v>557</v>
      </c>
      <c r="D3362" s="452">
        <v>45870</v>
      </c>
      <c r="E3362">
        <v>18423</v>
      </c>
      <c r="F3362" t="s">
        <v>4987</v>
      </c>
      <c r="G3362">
        <v>3220</v>
      </c>
      <c r="H3362">
        <v>1</v>
      </c>
      <c r="I3362" t="s">
        <v>4805</v>
      </c>
      <c r="J3362" t="s">
        <v>5222</v>
      </c>
      <c r="K3362" t="s">
        <v>4040</v>
      </c>
      <c r="L3362">
        <v>39.659999999999997</v>
      </c>
      <c r="M3362" s="452">
        <v>45854</v>
      </c>
      <c r="N3362">
        <v>39.659999999999997</v>
      </c>
      <c r="O3362">
        <v>39.659999999999997</v>
      </c>
      <c r="P3362">
        <v>39.659999999999997</v>
      </c>
    </row>
    <row r="3363" spans="1:16" x14ac:dyDescent="0.3">
      <c r="A3363">
        <v>44361</v>
      </c>
      <c r="B3363">
        <v>105</v>
      </c>
      <c r="C3363" t="s">
        <v>557</v>
      </c>
      <c r="D3363" s="452">
        <v>45870</v>
      </c>
      <c r="E3363">
        <v>24272</v>
      </c>
      <c r="F3363" t="s">
        <v>5059</v>
      </c>
      <c r="G3363">
        <v>2341</v>
      </c>
      <c r="H3363">
        <v>1.65</v>
      </c>
      <c r="I3363" t="s">
        <v>4744</v>
      </c>
      <c r="J3363" t="s">
        <v>5191</v>
      </c>
      <c r="K3363" t="s">
        <v>4040</v>
      </c>
      <c r="L3363">
        <v>0</v>
      </c>
      <c r="M3363" s="452">
        <v>45737</v>
      </c>
      <c r="N3363">
        <v>24</v>
      </c>
      <c r="O3363">
        <v>24.5</v>
      </c>
      <c r="P3363">
        <v>39.6</v>
      </c>
    </row>
    <row r="3364" spans="1:16" x14ac:dyDescent="0.3">
      <c r="A3364">
        <v>44389</v>
      </c>
      <c r="B3364">
        <v>105</v>
      </c>
      <c r="C3364" t="s">
        <v>557</v>
      </c>
      <c r="D3364" s="452">
        <v>45870</v>
      </c>
      <c r="E3364">
        <v>27065</v>
      </c>
      <c r="F3364" t="s">
        <v>5503</v>
      </c>
      <c r="G3364">
        <v>7113</v>
      </c>
      <c r="H3364">
        <v>1</v>
      </c>
      <c r="I3364" t="s">
        <v>4738</v>
      </c>
      <c r="J3364" t="s">
        <v>5191</v>
      </c>
      <c r="K3364" t="s">
        <v>4040</v>
      </c>
      <c r="L3364">
        <v>0</v>
      </c>
      <c r="M3364" s="452">
        <v>-693593</v>
      </c>
      <c r="N3364">
        <v>0</v>
      </c>
      <c r="O3364">
        <v>0</v>
      </c>
      <c r="P3364">
        <v>39.51</v>
      </c>
    </row>
    <row r="3365" spans="1:16" x14ac:dyDescent="0.3">
      <c r="A3365">
        <v>44170</v>
      </c>
      <c r="B3365">
        <v>105</v>
      </c>
      <c r="C3365" t="s">
        <v>557</v>
      </c>
      <c r="D3365" s="452">
        <v>45870</v>
      </c>
      <c r="E3365">
        <v>24468</v>
      </c>
      <c r="F3365" t="s">
        <v>4798</v>
      </c>
      <c r="G3365">
        <v>3675</v>
      </c>
      <c r="H3365">
        <v>18</v>
      </c>
      <c r="I3365" t="s">
        <v>4736</v>
      </c>
      <c r="J3365" t="s">
        <v>5222</v>
      </c>
      <c r="K3365" t="s">
        <v>4040</v>
      </c>
      <c r="L3365">
        <v>0</v>
      </c>
      <c r="M3365" s="452">
        <v>45653</v>
      </c>
      <c r="N3365">
        <v>2.19</v>
      </c>
      <c r="O3365">
        <v>2.19</v>
      </c>
      <c r="P3365">
        <v>39.42</v>
      </c>
    </row>
    <row r="3366" spans="1:16" x14ac:dyDescent="0.3">
      <c r="A3366">
        <v>44405</v>
      </c>
      <c r="B3366">
        <v>105</v>
      </c>
      <c r="C3366" t="s">
        <v>557</v>
      </c>
      <c r="D3366" s="452">
        <v>45870</v>
      </c>
      <c r="E3366">
        <v>18273</v>
      </c>
      <c r="F3366" t="s">
        <v>5058</v>
      </c>
      <c r="G3366">
        <v>3357</v>
      </c>
      <c r="H3366">
        <v>1</v>
      </c>
      <c r="I3366" t="s">
        <v>4805</v>
      </c>
      <c r="J3366" t="s">
        <v>5222</v>
      </c>
      <c r="K3366" t="s">
        <v>4040</v>
      </c>
      <c r="L3366">
        <v>0</v>
      </c>
      <c r="M3366" s="452">
        <v>-693593</v>
      </c>
      <c r="N3366">
        <v>0</v>
      </c>
      <c r="O3366">
        <v>45.99</v>
      </c>
      <c r="P3366">
        <v>39.18</v>
      </c>
    </row>
    <row r="3367" spans="1:16" x14ac:dyDescent="0.3">
      <c r="A3367">
        <v>44181</v>
      </c>
      <c r="B3367">
        <v>105</v>
      </c>
      <c r="C3367" t="s">
        <v>557</v>
      </c>
      <c r="D3367" s="452">
        <v>45870</v>
      </c>
      <c r="E3367">
        <v>23359</v>
      </c>
      <c r="F3367" t="s">
        <v>4767</v>
      </c>
      <c r="G3367">
        <v>2499</v>
      </c>
      <c r="H3367">
        <v>15.4</v>
      </c>
      <c r="I3367" t="s">
        <v>4744</v>
      </c>
      <c r="J3367" t="s">
        <v>5191</v>
      </c>
      <c r="K3367" t="s">
        <v>4040</v>
      </c>
      <c r="L3367">
        <v>2.54</v>
      </c>
      <c r="M3367" s="452">
        <v>45862</v>
      </c>
      <c r="N3367">
        <v>2.2000000000000002</v>
      </c>
      <c r="O3367">
        <v>1.89</v>
      </c>
      <c r="P3367">
        <v>39.119999999999997</v>
      </c>
    </row>
    <row r="3368" spans="1:16" x14ac:dyDescent="0.3">
      <c r="A3368">
        <v>44229</v>
      </c>
      <c r="B3368">
        <v>105</v>
      </c>
      <c r="C3368" t="s">
        <v>557</v>
      </c>
      <c r="D3368" s="452">
        <v>45870</v>
      </c>
      <c r="E3368">
        <v>18745</v>
      </c>
      <c r="F3368" t="s">
        <v>4892</v>
      </c>
      <c r="G3368">
        <v>3014</v>
      </c>
      <c r="H3368">
        <v>8</v>
      </c>
      <c r="I3368" t="s">
        <v>4736</v>
      </c>
      <c r="J3368" t="s">
        <v>5191</v>
      </c>
      <c r="K3368" t="s">
        <v>4040</v>
      </c>
      <c r="L3368">
        <v>0</v>
      </c>
      <c r="M3368" s="452">
        <v>45804</v>
      </c>
      <c r="N3368">
        <v>4.8</v>
      </c>
      <c r="O3368">
        <v>4.8</v>
      </c>
      <c r="P3368">
        <v>38.4</v>
      </c>
    </row>
    <row r="3369" spans="1:16" x14ac:dyDescent="0.3">
      <c r="A3369">
        <v>44329</v>
      </c>
      <c r="B3369">
        <v>105</v>
      </c>
      <c r="C3369" t="s">
        <v>557</v>
      </c>
      <c r="D3369" s="452">
        <v>45870</v>
      </c>
      <c r="E3369">
        <v>27069</v>
      </c>
      <c r="F3369" t="s">
        <v>5504</v>
      </c>
      <c r="G3369">
        <v>2286</v>
      </c>
      <c r="H3369">
        <v>2</v>
      </c>
      <c r="I3369" t="s">
        <v>4738</v>
      </c>
      <c r="J3369" t="s">
        <v>5191</v>
      </c>
      <c r="K3369" t="s">
        <v>4040</v>
      </c>
      <c r="L3369">
        <v>0</v>
      </c>
      <c r="M3369" s="452">
        <v>-693593</v>
      </c>
      <c r="N3369">
        <v>0</v>
      </c>
      <c r="O3369">
        <v>7.45</v>
      </c>
      <c r="P3369">
        <v>38</v>
      </c>
    </row>
    <row r="3370" spans="1:16" x14ac:dyDescent="0.3">
      <c r="A3370">
        <v>44383</v>
      </c>
      <c r="B3370">
        <v>105</v>
      </c>
      <c r="C3370" t="s">
        <v>557</v>
      </c>
      <c r="D3370" s="452">
        <v>45870</v>
      </c>
      <c r="E3370">
        <v>20689</v>
      </c>
      <c r="F3370" t="s">
        <v>5007</v>
      </c>
      <c r="G3370">
        <v>2105</v>
      </c>
      <c r="H3370">
        <v>1</v>
      </c>
      <c r="I3370" t="s">
        <v>4736</v>
      </c>
      <c r="J3370" t="s">
        <v>5191</v>
      </c>
      <c r="K3370" t="s">
        <v>4040</v>
      </c>
      <c r="L3370">
        <v>37.9</v>
      </c>
      <c r="M3370" s="452">
        <v>45852</v>
      </c>
      <c r="N3370">
        <v>37.9</v>
      </c>
      <c r="O3370">
        <v>35.9</v>
      </c>
      <c r="P3370">
        <v>37.9</v>
      </c>
    </row>
    <row r="3371" spans="1:16" x14ac:dyDescent="0.3">
      <c r="A3371">
        <v>44173</v>
      </c>
      <c r="B3371">
        <v>105</v>
      </c>
      <c r="C3371" t="s">
        <v>557</v>
      </c>
      <c r="D3371" s="452">
        <v>45870</v>
      </c>
      <c r="E3371">
        <v>19658</v>
      </c>
      <c r="F3371" t="s">
        <v>4784</v>
      </c>
      <c r="G3371">
        <v>2582</v>
      </c>
      <c r="H3371">
        <v>16.86</v>
      </c>
      <c r="I3371" t="s">
        <v>4744</v>
      </c>
      <c r="J3371" t="s">
        <v>5191</v>
      </c>
      <c r="K3371" t="s">
        <v>4040</v>
      </c>
      <c r="L3371">
        <v>2.21</v>
      </c>
      <c r="M3371" s="452">
        <v>45867</v>
      </c>
      <c r="N3371">
        <v>2.2000000000000002</v>
      </c>
      <c r="O3371">
        <v>2.2000000000000002</v>
      </c>
      <c r="P3371">
        <v>37.26</v>
      </c>
    </row>
    <row r="3372" spans="1:16" x14ac:dyDescent="0.3">
      <c r="A3372">
        <v>44402</v>
      </c>
      <c r="B3372">
        <v>105</v>
      </c>
      <c r="C3372" t="s">
        <v>557</v>
      </c>
      <c r="D3372" s="452">
        <v>45870</v>
      </c>
      <c r="E3372">
        <v>18317</v>
      </c>
      <c r="F3372" t="s">
        <v>5056</v>
      </c>
      <c r="G3372">
        <v>3316</v>
      </c>
      <c r="H3372">
        <v>1</v>
      </c>
      <c r="I3372" t="s">
        <v>4805</v>
      </c>
      <c r="J3372" t="s">
        <v>5222</v>
      </c>
      <c r="K3372" t="s">
        <v>4040</v>
      </c>
      <c r="L3372">
        <v>0</v>
      </c>
      <c r="M3372" s="452">
        <v>-693593</v>
      </c>
      <c r="N3372">
        <v>0</v>
      </c>
      <c r="O3372">
        <v>37.9</v>
      </c>
      <c r="P3372">
        <v>36.89</v>
      </c>
    </row>
    <row r="3373" spans="1:16" x14ac:dyDescent="0.3">
      <c r="A3373">
        <v>44408</v>
      </c>
      <c r="B3373">
        <v>105</v>
      </c>
      <c r="C3373" t="s">
        <v>557</v>
      </c>
      <c r="D3373" s="452">
        <v>45870</v>
      </c>
      <c r="E3373">
        <v>18218</v>
      </c>
      <c r="F3373" t="s">
        <v>5038</v>
      </c>
      <c r="G3373">
        <v>3410</v>
      </c>
      <c r="H3373">
        <v>1</v>
      </c>
      <c r="I3373" t="s">
        <v>4805</v>
      </c>
      <c r="J3373" t="s">
        <v>5222</v>
      </c>
      <c r="K3373" t="s">
        <v>4040</v>
      </c>
      <c r="L3373">
        <v>0</v>
      </c>
      <c r="M3373" s="452">
        <v>45581</v>
      </c>
      <c r="N3373">
        <v>36.5</v>
      </c>
      <c r="O3373">
        <v>26.09</v>
      </c>
      <c r="P3373">
        <v>36.5</v>
      </c>
    </row>
    <row r="3374" spans="1:16" x14ac:dyDescent="0.3">
      <c r="A3374">
        <v>44274</v>
      </c>
      <c r="B3374">
        <v>105</v>
      </c>
      <c r="C3374" t="s">
        <v>557</v>
      </c>
      <c r="D3374" s="452">
        <v>45870</v>
      </c>
      <c r="E3374">
        <v>20760</v>
      </c>
      <c r="F3374" t="s">
        <v>5505</v>
      </c>
      <c r="G3374">
        <v>2083</v>
      </c>
      <c r="H3374">
        <v>4</v>
      </c>
      <c r="I3374" t="s">
        <v>4738</v>
      </c>
      <c r="J3374" t="s">
        <v>5191</v>
      </c>
      <c r="K3374" t="s">
        <v>4040</v>
      </c>
      <c r="L3374">
        <v>0</v>
      </c>
      <c r="M3374" s="452">
        <v>45831</v>
      </c>
      <c r="N3374">
        <v>9.1</v>
      </c>
      <c r="O3374">
        <v>9.1</v>
      </c>
      <c r="P3374">
        <v>36.4</v>
      </c>
    </row>
    <row r="3375" spans="1:16" x14ac:dyDescent="0.3">
      <c r="A3375">
        <v>44327</v>
      </c>
      <c r="B3375">
        <v>105</v>
      </c>
      <c r="C3375" t="s">
        <v>557</v>
      </c>
      <c r="D3375" s="452">
        <v>45870</v>
      </c>
      <c r="E3375">
        <v>19895</v>
      </c>
      <c r="F3375" t="s">
        <v>5080</v>
      </c>
      <c r="G3375">
        <v>2385</v>
      </c>
      <c r="H3375">
        <v>2</v>
      </c>
      <c r="I3375" t="s">
        <v>4888</v>
      </c>
      <c r="J3375" t="s">
        <v>5191</v>
      </c>
      <c r="K3375" t="s">
        <v>4040</v>
      </c>
      <c r="L3375">
        <v>0</v>
      </c>
      <c r="M3375" s="452">
        <v>-693593</v>
      </c>
      <c r="N3375">
        <v>0</v>
      </c>
      <c r="O3375">
        <v>96.9</v>
      </c>
      <c r="P3375">
        <v>36</v>
      </c>
    </row>
    <row r="3376" spans="1:16" x14ac:dyDescent="0.3">
      <c r="A3376">
        <v>44242</v>
      </c>
      <c r="B3376">
        <v>105</v>
      </c>
      <c r="C3376" t="s">
        <v>557</v>
      </c>
      <c r="D3376" s="452">
        <v>45870</v>
      </c>
      <c r="E3376">
        <v>21093</v>
      </c>
      <c r="F3376" t="s">
        <v>4855</v>
      </c>
      <c r="G3376">
        <v>1988</v>
      </c>
      <c r="H3376">
        <v>6</v>
      </c>
      <c r="I3376" t="s">
        <v>4744</v>
      </c>
      <c r="J3376" t="s">
        <v>5191</v>
      </c>
      <c r="K3376" t="s">
        <v>4040</v>
      </c>
      <c r="L3376">
        <v>5.81</v>
      </c>
      <c r="M3376" s="452">
        <v>45863</v>
      </c>
      <c r="N3376">
        <v>50</v>
      </c>
      <c r="O3376">
        <v>4.79</v>
      </c>
      <c r="P3376">
        <v>34.86</v>
      </c>
    </row>
    <row r="3377" spans="1:16" x14ac:dyDescent="0.3">
      <c r="A3377">
        <v>44435</v>
      </c>
      <c r="B3377">
        <v>105</v>
      </c>
      <c r="C3377" t="s">
        <v>557</v>
      </c>
      <c r="D3377" s="452">
        <v>45870</v>
      </c>
      <c r="E3377">
        <v>19842</v>
      </c>
      <c r="F3377" t="s">
        <v>5300</v>
      </c>
      <c r="G3377">
        <v>2425</v>
      </c>
      <c r="H3377">
        <v>0.7</v>
      </c>
      <c r="I3377" t="s">
        <v>4744</v>
      </c>
      <c r="J3377" t="s">
        <v>5191</v>
      </c>
      <c r="K3377" t="s">
        <v>4040</v>
      </c>
      <c r="L3377">
        <v>49.34</v>
      </c>
      <c r="M3377" s="452">
        <v>45867</v>
      </c>
      <c r="N3377">
        <v>49.34</v>
      </c>
      <c r="O3377">
        <v>50</v>
      </c>
      <c r="P3377">
        <v>34.54</v>
      </c>
    </row>
    <row r="3378" spans="1:16" x14ac:dyDescent="0.3">
      <c r="A3378">
        <v>44443</v>
      </c>
      <c r="B3378">
        <v>105</v>
      </c>
      <c r="C3378" t="s">
        <v>557</v>
      </c>
      <c r="D3378" s="452">
        <v>45870</v>
      </c>
      <c r="E3378">
        <v>19490</v>
      </c>
      <c r="F3378" t="s">
        <v>5116</v>
      </c>
      <c r="G3378">
        <v>2718</v>
      </c>
      <c r="H3378">
        <v>0.41</v>
      </c>
      <c r="I3378" t="s">
        <v>4744</v>
      </c>
      <c r="J3378" t="s">
        <v>5191</v>
      </c>
      <c r="K3378" t="s">
        <v>4040</v>
      </c>
      <c r="L3378">
        <v>83.81</v>
      </c>
      <c r="M3378" s="452">
        <v>45862</v>
      </c>
      <c r="N3378">
        <v>120</v>
      </c>
      <c r="O3378">
        <v>0</v>
      </c>
      <c r="P3378">
        <v>34.36</v>
      </c>
    </row>
    <row r="3379" spans="1:16" x14ac:dyDescent="0.3">
      <c r="A3379">
        <v>44404</v>
      </c>
      <c r="B3379">
        <v>105</v>
      </c>
      <c r="C3379" t="s">
        <v>557</v>
      </c>
      <c r="D3379" s="452">
        <v>45870</v>
      </c>
      <c r="E3379">
        <v>18281</v>
      </c>
      <c r="F3379" t="s">
        <v>5470</v>
      </c>
      <c r="G3379">
        <v>3346</v>
      </c>
      <c r="H3379">
        <v>1</v>
      </c>
      <c r="I3379" t="s">
        <v>4805</v>
      </c>
      <c r="J3379" t="s">
        <v>5222</v>
      </c>
      <c r="K3379" t="s">
        <v>4040</v>
      </c>
      <c r="L3379">
        <v>0</v>
      </c>
      <c r="M3379" s="452">
        <v>45547</v>
      </c>
      <c r="N3379">
        <v>34.299999999999997</v>
      </c>
      <c r="O3379">
        <v>36.25</v>
      </c>
      <c r="P3379">
        <v>34.299999999999997</v>
      </c>
    </row>
    <row r="3380" spans="1:16" x14ac:dyDescent="0.3">
      <c r="A3380">
        <v>44238</v>
      </c>
      <c r="B3380">
        <v>105</v>
      </c>
      <c r="C3380" t="s">
        <v>557</v>
      </c>
      <c r="D3380" s="452">
        <v>45870</v>
      </c>
      <c r="E3380">
        <v>19752</v>
      </c>
      <c r="F3380" t="s">
        <v>4807</v>
      </c>
      <c r="G3380">
        <v>2501</v>
      </c>
      <c r="H3380">
        <v>6.57</v>
      </c>
      <c r="I3380" t="s">
        <v>4744</v>
      </c>
      <c r="J3380" t="s">
        <v>5191</v>
      </c>
      <c r="K3380" t="s">
        <v>4040</v>
      </c>
      <c r="L3380">
        <v>5.19</v>
      </c>
      <c r="M3380" s="452">
        <v>45867</v>
      </c>
      <c r="N3380">
        <v>3.4</v>
      </c>
      <c r="O3380">
        <v>4.5</v>
      </c>
      <c r="P3380">
        <v>34.1</v>
      </c>
    </row>
    <row r="3381" spans="1:16" x14ac:dyDescent="0.3">
      <c r="A3381">
        <v>44378</v>
      </c>
      <c r="B3381">
        <v>105</v>
      </c>
      <c r="C3381" t="s">
        <v>557</v>
      </c>
      <c r="D3381" s="452">
        <v>45870</v>
      </c>
      <c r="E3381">
        <v>20308</v>
      </c>
      <c r="F3381" t="s">
        <v>4909</v>
      </c>
      <c r="G3381">
        <v>2222</v>
      </c>
      <c r="H3381">
        <v>1</v>
      </c>
      <c r="I3381" t="s">
        <v>4738</v>
      </c>
      <c r="J3381" t="s">
        <v>5191</v>
      </c>
      <c r="K3381" t="s">
        <v>4040</v>
      </c>
      <c r="L3381">
        <v>0</v>
      </c>
      <c r="M3381" s="452">
        <v>45831</v>
      </c>
      <c r="N3381">
        <v>33.799999999999997</v>
      </c>
      <c r="O3381">
        <v>33.799999999999997</v>
      </c>
      <c r="P3381">
        <v>33.799999999999997</v>
      </c>
    </row>
    <row r="3382" spans="1:16" x14ac:dyDescent="0.3">
      <c r="A3382">
        <v>44296</v>
      </c>
      <c r="B3382">
        <v>105</v>
      </c>
      <c r="C3382" t="s">
        <v>557</v>
      </c>
      <c r="D3382" s="452">
        <v>45870</v>
      </c>
      <c r="E3382">
        <v>20227</v>
      </c>
      <c r="F3382" t="s">
        <v>4825</v>
      </c>
      <c r="G3382">
        <v>2248</v>
      </c>
      <c r="H3382">
        <v>3</v>
      </c>
      <c r="I3382" t="s">
        <v>4738</v>
      </c>
      <c r="J3382" t="s">
        <v>5191</v>
      </c>
      <c r="K3382" t="s">
        <v>4040</v>
      </c>
      <c r="L3382">
        <v>11.1</v>
      </c>
      <c r="M3382" s="452">
        <v>45863</v>
      </c>
      <c r="N3382">
        <v>10.98</v>
      </c>
      <c r="O3382">
        <v>10.98</v>
      </c>
      <c r="P3382">
        <v>33.299999999999997</v>
      </c>
    </row>
    <row r="3383" spans="1:16" x14ac:dyDescent="0.3">
      <c r="A3383">
        <v>44434</v>
      </c>
      <c r="B3383">
        <v>105</v>
      </c>
      <c r="C3383" t="s">
        <v>557</v>
      </c>
      <c r="D3383" s="452">
        <v>45870</v>
      </c>
      <c r="E3383">
        <v>23440</v>
      </c>
      <c r="F3383" t="s">
        <v>5475</v>
      </c>
      <c r="G3383">
        <v>2424</v>
      </c>
      <c r="H3383">
        <v>0.7</v>
      </c>
      <c r="I3383" t="s">
        <v>4744</v>
      </c>
      <c r="J3383" t="s">
        <v>5191</v>
      </c>
      <c r="K3383" t="s">
        <v>4040</v>
      </c>
      <c r="L3383">
        <v>47.38</v>
      </c>
      <c r="M3383" s="452">
        <v>45866</v>
      </c>
      <c r="N3383">
        <v>48</v>
      </c>
      <c r="O3383">
        <v>48</v>
      </c>
      <c r="P3383">
        <v>33.17</v>
      </c>
    </row>
    <row r="3384" spans="1:16" x14ac:dyDescent="0.3">
      <c r="A3384">
        <v>44290</v>
      </c>
      <c r="B3384">
        <v>105</v>
      </c>
      <c r="C3384" t="s">
        <v>557</v>
      </c>
      <c r="D3384" s="452">
        <v>45870</v>
      </c>
      <c r="E3384">
        <v>19502</v>
      </c>
      <c r="F3384" t="s">
        <v>4871</v>
      </c>
      <c r="G3384">
        <v>2708</v>
      </c>
      <c r="H3384">
        <v>3.03</v>
      </c>
      <c r="I3384" t="s">
        <v>4744</v>
      </c>
      <c r="J3384" t="s">
        <v>5191</v>
      </c>
      <c r="K3384" t="s">
        <v>4040</v>
      </c>
      <c r="L3384">
        <v>10.77</v>
      </c>
      <c r="M3384" s="452">
        <v>45867</v>
      </c>
      <c r="N3384">
        <v>8.5</v>
      </c>
      <c r="O3384">
        <v>9.3000000000000007</v>
      </c>
      <c r="P3384">
        <v>32.630000000000003</v>
      </c>
    </row>
    <row r="3385" spans="1:16" x14ac:dyDescent="0.3">
      <c r="A3385">
        <v>44426</v>
      </c>
      <c r="B3385">
        <v>105</v>
      </c>
      <c r="C3385" t="s">
        <v>557</v>
      </c>
      <c r="D3385" s="452">
        <v>45870</v>
      </c>
      <c r="E3385">
        <v>18212</v>
      </c>
      <c r="F3385" t="s">
        <v>5040</v>
      </c>
      <c r="G3385">
        <v>3415</v>
      </c>
      <c r="H3385">
        <v>0.85</v>
      </c>
      <c r="I3385" t="s">
        <v>4805</v>
      </c>
      <c r="J3385" t="s">
        <v>5222</v>
      </c>
      <c r="K3385" t="s">
        <v>4040</v>
      </c>
      <c r="L3385">
        <v>0</v>
      </c>
      <c r="M3385" s="452">
        <v>-693593</v>
      </c>
      <c r="N3385">
        <v>0</v>
      </c>
      <c r="O3385">
        <v>38.299999999999997</v>
      </c>
      <c r="P3385">
        <v>32.380000000000003</v>
      </c>
    </row>
    <row r="3386" spans="1:16" x14ac:dyDescent="0.3">
      <c r="A3386">
        <v>44409</v>
      </c>
      <c r="B3386">
        <v>105</v>
      </c>
      <c r="C3386" t="s">
        <v>557</v>
      </c>
      <c r="D3386" s="452">
        <v>45870</v>
      </c>
      <c r="E3386">
        <v>18214</v>
      </c>
      <c r="F3386" t="s">
        <v>5039</v>
      </c>
      <c r="G3386">
        <v>3413</v>
      </c>
      <c r="H3386">
        <v>1</v>
      </c>
      <c r="I3386" t="s">
        <v>4805</v>
      </c>
      <c r="J3386" t="s">
        <v>5222</v>
      </c>
      <c r="K3386" t="s">
        <v>4040</v>
      </c>
      <c r="L3386">
        <v>0</v>
      </c>
      <c r="M3386" s="452">
        <v>45378</v>
      </c>
      <c r="N3386">
        <v>32.200000000000003</v>
      </c>
      <c r="O3386">
        <v>37.47</v>
      </c>
      <c r="P3386">
        <v>32.200000000000003</v>
      </c>
    </row>
    <row r="3387" spans="1:16" x14ac:dyDescent="0.3">
      <c r="A3387">
        <v>44284</v>
      </c>
      <c r="B3387">
        <v>105</v>
      </c>
      <c r="C3387" t="s">
        <v>557</v>
      </c>
      <c r="D3387" s="452">
        <v>45870</v>
      </c>
      <c r="E3387">
        <v>19507</v>
      </c>
      <c r="F3387" t="s">
        <v>4853</v>
      </c>
      <c r="G3387">
        <v>2704</v>
      </c>
      <c r="H3387">
        <v>3.92</v>
      </c>
      <c r="I3387" t="s">
        <v>4744</v>
      </c>
      <c r="J3387" t="s">
        <v>5191</v>
      </c>
      <c r="K3387" t="s">
        <v>4040</v>
      </c>
      <c r="L3387">
        <v>8.19</v>
      </c>
      <c r="M3387" s="452">
        <v>45868</v>
      </c>
      <c r="N3387">
        <v>8.2200000000000006</v>
      </c>
      <c r="O3387">
        <v>8.89</v>
      </c>
      <c r="P3387">
        <v>32.1</v>
      </c>
    </row>
    <row r="3388" spans="1:16" x14ac:dyDescent="0.3">
      <c r="A3388">
        <v>44371</v>
      </c>
      <c r="B3388">
        <v>105</v>
      </c>
      <c r="C3388" t="s">
        <v>557</v>
      </c>
      <c r="D3388" s="452">
        <v>45870</v>
      </c>
      <c r="E3388">
        <v>20219</v>
      </c>
      <c r="F3388" t="s">
        <v>5445</v>
      </c>
      <c r="G3388">
        <v>2250</v>
      </c>
      <c r="H3388">
        <v>1.34</v>
      </c>
      <c r="I3388" t="s">
        <v>4738</v>
      </c>
      <c r="J3388" t="s">
        <v>5191</v>
      </c>
      <c r="K3388" t="s">
        <v>4040</v>
      </c>
      <c r="L3388">
        <v>23.9</v>
      </c>
      <c r="M3388" s="452">
        <v>45856</v>
      </c>
      <c r="N3388">
        <v>23.9</v>
      </c>
      <c r="O3388">
        <v>23.9</v>
      </c>
      <c r="P3388">
        <v>32.03</v>
      </c>
    </row>
    <row r="3389" spans="1:16" x14ac:dyDescent="0.3">
      <c r="A3389">
        <v>44387</v>
      </c>
      <c r="B3389">
        <v>105</v>
      </c>
      <c r="C3389" t="s">
        <v>557</v>
      </c>
      <c r="D3389" s="452">
        <v>45870</v>
      </c>
      <c r="E3389">
        <v>20213</v>
      </c>
      <c r="F3389" t="s">
        <v>5160</v>
      </c>
      <c r="G3389">
        <v>2251</v>
      </c>
      <c r="H3389">
        <v>1</v>
      </c>
      <c r="I3389" t="s">
        <v>4738</v>
      </c>
      <c r="J3389" t="s">
        <v>5191</v>
      </c>
      <c r="K3389" t="s">
        <v>4040</v>
      </c>
      <c r="L3389">
        <v>0</v>
      </c>
      <c r="M3389" s="452">
        <v>45824</v>
      </c>
      <c r="N3389">
        <v>31.62</v>
      </c>
      <c r="O3389">
        <v>31.62</v>
      </c>
      <c r="P3389">
        <v>31.62</v>
      </c>
    </row>
    <row r="3390" spans="1:16" x14ac:dyDescent="0.3">
      <c r="A3390">
        <v>44330</v>
      </c>
      <c r="B3390">
        <v>105</v>
      </c>
      <c r="C3390" t="s">
        <v>557</v>
      </c>
      <c r="D3390" s="452">
        <v>45870</v>
      </c>
      <c r="E3390">
        <v>20871</v>
      </c>
      <c r="F3390" t="s">
        <v>5015</v>
      </c>
      <c r="G3390">
        <v>2043</v>
      </c>
      <c r="H3390">
        <v>2</v>
      </c>
      <c r="I3390" t="s">
        <v>4879</v>
      </c>
      <c r="J3390" t="s">
        <v>5191</v>
      </c>
      <c r="K3390" t="s">
        <v>4040</v>
      </c>
      <c r="L3390">
        <v>0</v>
      </c>
      <c r="M3390" s="452">
        <v>45793</v>
      </c>
      <c r="N3390">
        <v>15.8</v>
      </c>
      <c r="O3390">
        <v>17.399999999999999</v>
      </c>
      <c r="P3390">
        <v>31.6</v>
      </c>
    </row>
    <row r="3391" spans="1:16" x14ac:dyDescent="0.3">
      <c r="A3391">
        <v>44302</v>
      </c>
      <c r="B3391">
        <v>105</v>
      </c>
      <c r="C3391" t="s">
        <v>557</v>
      </c>
      <c r="D3391" s="452">
        <v>45870</v>
      </c>
      <c r="E3391">
        <v>20795</v>
      </c>
      <c r="F3391" t="s">
        <v>5024</v>
      </c>
      <c r="G3391">
        <v>2076</v>
      </c>
      <c r="H3391">
        <v>3</v>
      </c>
      <c r="I3391" t="s">
        <v>4738</v>
      </c>
      <c r="J3391" t="s">
        <v>5191</v>
      </c>
      <c r="K3391" t="s">
        <v>4040</v>
      </c>
      <c r="L3391">
        <v>10.199999999999999</v>
      </c>
      <c r="M3391" s="452">
        <v>45852</v>
      </c>
      <c r="N3391">
        <v>10.199999999999999</v>
      </c>
      <c r="O3391">
        <v>9.8000000000000007</v>
      </c>
      <c r="P3391">
        <v>30.6</v>
      </c>
    </row>
    <row r="3392" spans="1:16" x14ac:dyDescent="0.3">
      <c r="A3392">
        <v>44277</v>
      </c>
      <c r="B3392">
        <v>105</v>
      </c>
      <c r="C3392" t="s">
        <v>557</v>
      </c>
      <c r="D3392" s="452">
        <v>45870</v>
      </c>
      <c r="E3392">
        <v>20961</v>
      </c>
      <c r="F3392" t="s">
        <v>5026</v>
      </c>
      <c r="G3392">
        <v>2015</v>
      </c>
      <c r="H3392">
        <v>4</v>
      </c>
      <c r="I3392" t="s">
        <v>4736</v>
      </c>
      <c r="J3392" t="s">
        <v>5191</v>
      </c>
      <c r="K3392" t="s">
        <v>4040</v>
      </c>
      <c r="L3392">
        <v>0</v>
      </c>
      <c r="M3392" s="452">
        <v>45824</v>
      </c>
      <c r="N3392">
        <v>7.5</v>
      </c>
      <c r="O3392">
        <v>8.11</v>
      </c>
      <c r="P3392">
        <v>30</v>
      </c>
    </row>
    <row r="3393" spans="1:16" x14ac:dyDescent="0.3">
      <c r="A3393">
        <v>44319</v>
      </c>
      <c r="B3393">
        <v>105</v>
      </c>
      <c r="C3393" t="s">
        <v>557</v>
      </c>
      <c r="D3393" s="452">
        <v>45870</v>
      </c>
      <c r="E3393">
        <v>21065</v>
      </c>
      <c r="F3393" t="s">
        <v>5506</v>
      </c>
      <c r="G3393">
        <v>1997</v>
      </c>
      <c r="H3393">
        <v>2</v>
      </c>
      <c r="I3393" t="s">
        <v>4805</v>
      </c>
      <c r="J3393" t="s">
        <v>5191</v>
      </c>
      <c r="K3393" t="s">
        <v>4040</v>
      </c>
      <c r="L3393">
        <v>0</v>
      </c>
      <c r="M3393" s="452">
        <v>45817</v>
      </c>
      <c r="N3393">
        <v>14.9</v>
      </c>
      <c r="O3393">
        <v>15.6</v>
      </c>
      <c r="P3393">
        <v>29.8</v>
      </c>
    </row>
    <row r="3394" spans="1:16" x14ac:dyDescent="0.3">
      <c r="A3394">
        <v>44301</v>
      </c>
      <c r="B3394">
        <v>105</v>
      </c>
      <c r="C3394" t="s">
        <v>557</v>
      </c>
      <c r="D3394" s="452">
        <v>45870</v>
      </c>
      <c r="E3394">
        <v>20791</v>
      </c>
      <c r="F3394" t="s">
        <v>5021</v>
      </c>
      <c r="G3394">
        <v>2076</v>
      </c>
      <c r="H3394">
        <v>3</v>
      </c>
      <c r="I3394" t="s">
        <v>4738</v>
      </c>
      <c r="J3394" t="s">
        <v>5191</v>
      </c>
      <c r="K3394" t="s">
        <v>4040</v>
      </c>
      <c r="L3394">
        <v>9.93</v>
      </c>
      <c r="M3394" s="452">
        <v>45849</v>
      </c>
      <c r="N3394">
        <v>9.8000000000000007</v>
      </c>
      <c r="O3394">
        <v>9.8000000000000007</v>
      </c>
      <c r="P3394">
        <v>29.79</v>
      </c>
    </row>
    <row r="3395" spans="1:16" x14ac:dyDescent="0.3">
      <c r="A3395">
        <v>44379</v>
      </c>
      <c r="B3395">
        <v>105</v>
      </c>
      <c r="C3395" t="s">
        <v>557</v>
      </c>
      <c r="D3395" s="452">
        <v>45870</v>
      </c>
      <c r="E3395">
        <v>23656</v>
      </c>
      <c r="F3395" t="s">
        <v>4945</v>
      </c>
      <c r="G3395">
        <v>2228</v>
      </c>
      <c r="H3395">
        <v>1</v>
      </c>
      <c r="I3395" t="s">
        <v>4744</v>
      </c>
      <c r="J3395" t="s">
        <v>5191</v>
      </c>
      <c r="K3395" t="s">
        <v>4040</v>
      </c>
      <c r="L3395">
        <v>29.2</v>
      </c>
      <c r="M3395" s="452">
        <v>45859</v>
      </c>
      <c r="N3395">
        <v>28.9</v>
      </c>
      <c r="O3395">
        <v>28.9</v>
      </c>
      <c r="P3395">
        <v>29.2</v>
      </c>
    </row>
    <row r="3396" spans="1:16" x14ac:dyDescent="0.3">
      <c r="A3396">
        <v>44385</v>
      </c>
      <c r="B3396">
        <v>105</v>
      </c>
      <c r="C3396" t="s">
        <v>557</v>
      </c>
      <c r="D3396" s="452">
        <v>45870</v>
      </c>
      <c r="E3396">
        <v>23534</v>
      </c>
      <c r="F3396" t="s">
        <v>5447</v>
      </c>
      <c r="G3396">
        <v>2337</v>
      </c>
      <c r="H3396">
        <v>1</v>
      </c>
      <c r="I3396" t="s">
        <v>4955</v>
      </c>
      <c r="J3396" t="s">
        <v>5191</v>
      </c>
      <c r="K3396" t="s">
        <v>4040</v>
      </c>
      <c r="L3396">
        <v>0</v>
      </c>
      <c r="M3396" s="452">
        <v>-693593</v>
      </c>
      <c r="N3396">
        <v>0</v>
      </c>
      <c r="O3396">
        <v>28.96</v>
      </c>
      <c r="P3396">
        <v>28.85</v>
      </c>
    </row>
    <row r="3397" spans="1:16" x14ac:dyDescent="0.3">
      <c r="A3397">
        <v>44424</v>
      </c>
      <c r="B3397">
        <v>105</v>
      </c>
      <c r="C3397" t="s">
        <v>557</v>
      </c>
      <c r="D3397" s="452">
        <v>45870</v>
      </c>
      <c r="E3397">
        <v>19439</v>
      </c>
      <c r="F3397" t="s">
        <v>4917</v>
      </c>
      <c r="G3397">
        <v>2756</v>
      </c>
      <c r="H3397">
        <v>0.9</v>
      </c>
      <c r="I3397" t="s">
        <v>4744</v>
      </c>
      <c r="J3397" t="s">
        <v>5191</v>
      </c>
      <c r="K3397" t="s">
        <v>4040</v>
      </c>
      <c r="L3397">
        <v>31.75</v>
      </c>
      <c r="M3397" s="452">
        <v>45852</v>
      </c>
      <c r="N3397">
        <v>32.85</v>
      </c>
      <c r="O3397">
        <v>32.29</v>
      </c>
      <c r="P3397">
        <v>28.58</v>
      </c>
    </row>
    <row r="3398" spans="1:16" x14ac:dyDescent="0.3">
      <c r="A3398">
        <v>44439</v>
      </c>
      <c r="B3398">
        <v>105</v>
      </c>
      <c r="C3398" t="s">
        <v>557</v>
      </c>
      <c r="D3398" s="452">
        <v>45870</v>
      </c>
      <c r="E3398">
        <v>23548</v>
      </c>
      <c r="F3398" t="s">
        <v>5449</v>
      </c>
      <c r="G3398">
        <v>2321</v>
      </c>
      <c r="H3398">
        <v>0.5</v>
      </c>
      <c r="I3398" t="s">
        <v>4744</v>
      </c>
      <c r="J3398" t="s">
        <v>5191</v>
      </c>
      <c r="K3398" t="s">
        <v>4040</v>
      </c>
      <c r="L3398">
        <v>0</v>
      </c>
      <c r="M3398" s="452">
        <v>45519</v>
      </c>
      <c r="N3398">
        <v>56.9</v>
      </c>
      <c r="O3398">
        <v>44.9</v>
      </c>
      <c r="P3398">
        <v>28.45</v>
      </c>
    </row>
    <row r="3399" spans="1:16" x14ac:dyDescent="0.3">
      <c r="A3399">
        <v>44228</v>
      </c>
      <c r="B3399">
        <v>105</v>
      </c>
      <c r="C3399" t="s">
        <v>557</v>
      </c>
      <c r="D3399" s="452">
        <v>45870</v>
      </c>
      <c r="E3399">
        <v>25822</v>
      </c>
      <c r="F3399" t="s">
        <v>5468</v>
      </c>
      <c r="G3399">
        <v>6359</v>
      </c>
      <c r="H3399">
        <v>8</v>
      </c>
      <c r="I3399" t="s">
        <v>4736</v>
      </c>
      <c r="J3399" t="s">
        <v>5191</v>
      </c>
      <c r="K3399" t="s">
        <v>4040</v>
      </c>
      <c r="L3399">
        <v>0</v>
      </c>
      <c r="M3399" s="452">
        <v>45817</v>
      </c>
      <c r="N3399">
        <v>3.54</v>
      </c>
      <c r="O3399">
        <v>3.54</v>
      </c>
      <c r="P3399">
        <v>28.32</v>
      </c>
    </row>
    <row r="3400" spans="1:16" x14ac:dyDescent="0.3">
      <c r="A3400">
        <v>44271</v>
      </c>
      <c r="B3400">
        <v>105</v>
      </c>
      <c r="C3400" t="s">
        <v>557</v>
      </c>
      <c r="D3400" s="452">
        <v>45870</v>
      </c>
      <c r="E3400">
        <v>25763</v>
      </c>
      <c r="F3400" t="s">
        <v>4943</v>
      </c>
      <c r="G3400">
        <v>6314</v>
      </c>
      <c r="H3400">
        <v>4</v>
      </c>
      <c r="I3400" t="s">
        <v>4736</v>
      </c>
      <c r="J3400" t="s">
        <v>5191</v>
      </c>
      <c r="K3400" t="s">
        <v>4040</v>
      </c>
      <c r="L3400">
        <v>0</v>
      </c>
      <c r="M3400" s="452">
        <v>-693593</v>
      </c>
      <c r="N3400">
        <v>0</v>
      </c>
      <c r="O3400">
        <v>0</v>
      </c>
      <c r="P3400">
        <v>27.96</v>
      </c>
    </row>
    <row r="3401" spans="1:16" x14ac:dyDescent="0.3">
      <c r="A3401">
        <v>44358</v>
      </c>
      <c r="B3401">
        <v>105</v>
      </c>
      <c r="C3401" t="s">
        <v>557</v>
      </c>
      <c r="D3401" s="452">
        <v>45870</v>
      </c>
      <c r="E3401">
        <v>24323</v>
      </c>
      <c r="F3401" t="s">
        <v>4844</v>
      </c>
      <c r="G3401">
        <v>2262</v>
      </c>
      <c r="H3401">
        <v>1.7</v>
      </c>
      <c r="I3401" t="s">
        <v>4744</v>
      </c>
      <c r="J3401" t="s">
        <v>5191</v>
      </c>
      <c r="K3401" t="s">
        <v>4040</v>
      </c>
      <c r="L3401">
        <v>0</v>
      </c>
      <c r="M3401" s="452">
        <v>45817</v>
      </c>
      <c r="N3401">
        <v>16.2</v>
      </c>
      <c r="O3401">
        <v>15.5</v>
      </c>
      <c r="P3401">
        <v>27.54</v>
      </c>
    </row>
    <row r="3402" spans="1:16" x14ac:dyDescent="0.3">
      <c r="A3402">
        <v>44367</v>
      </c>
      <c r="B3402">
        <v>105</v>
      </c>
      <c r="C3402" t="s">
        <v>557</v>
      </c>
      <c r="D3402" s="452">
        <v>45870</v>
      </c>
      <c r="E3402">
        <v>24250</v>
      </c>
      <c r="F3402" t="s">
        <v>5507</v>
      </c>
      <c r="G3402">
        <v>2339</v>
      </c>
      <c r="H3402">
        <v>1.52</v>
      </c>
      <c r="I3402" t="s">
        <v>4744</v>
      </c>
      <c r="J3402" t="s">
        <v>5191</v>
      </c>
      <c r="K3402" t="s">
        <v>4040</v>
      </c>
      <c r="L3402">
        <v>0</v>
      </c>
      <c r="M3402" s="452">
        <v>45756</v>
      </c>
      <c r="N3402">
        <v>18.100000000000001</v>
      </c>
      <c r="O3402">
        <v>39.14</v>
      </c>
      <c r="P3402">
        <v>27.51</v>
      </c>
    </row>
    <row r="3403" spans="1:16" x14ac:dyDescent="0.3">
      <c r="A3403">
        <v>44219</v>
      </c>
      <c r="B3403">
        <v>105</v>
      </c>
      <c r="C3403" t="s">
        <v>557</v>
      </c>
      <c r="D3403" s="452">
        <v>45870</v>
      </c>
      <c r="E3403">
        <v>19907</v>
      </c>
      <c r="F3403" t="s">
        <v>4802</v>
      </c>
      <c r="G3403">
        <v>2381</v>
      </c>
      <c r="H3403">
        <v>9</v>
      </c>
      <c r="I3403" t="s">
        <v>4736</v>
      </c>
      <c r="J3403" t="s">
        <v>5191</v>
      </c>
      <c r="K3403" t="s">
        <v>4040</v>
      </c>
      <c r="L3403">
        <v>0</v>
      </c>
      <c r="M3403" s="452">
        <v>45660</v>
      </c>
      <c r="N3403">
        <v>3.05</v>
      </c>
      <c r="O3403">
        <v>3.23</v>
      </c>
      <c r="P3403">
        <v>27.45</v>
      </c>
    </row>
    <row r="3404" spans="1:16" x14ac:dyDescent="0.3">
      <c r="A3404">
        <v>44370</v>
      </c>
      <c r="B3404">
        <v>105</v>
      </c>
      <c r="C3404" t="s">
        <v>557</v>
      </c>
      <c r="D3404" s="452">
        <v>45870</v>
      </c>
      <c r="E3404">
        <v>19572</v>
      </c>
      <c r="F3404" t="s">
        <v>4989</v>
      </c>
      <c r="G3404">
        <v>2646</v>
      </c>
      <c r="H3404">
        <v>1.35</v>
      </c>
      <c r="I3404" t="s">
        <v>4744</v>
      </c>
      <c r="J3404" t="s">
        <v>5191</v>
      </c>
      <c r="K3404" t="s">
        <v>4040</v>
      </c>
      <c r="L3404">
        <v>19.96</v>
      </c>
      <c r="M3404" s="452">
        <v>45852</v>
      </c>
      <c r="N3404">
        <v>18.52</v>
      </c>
      <c r="O3404">
        <v>14.93</v>
      </c>
      <c r="P3404">
        <v>26.95</v>
      </c>
    </row>
    <row r="3405" spans="1:16" x14ac:dyDescent="0.3">
      <c r="A3405">
        <v>44365</v>
      </c>
      <c r="B3405">
        <v>105</v>
      </c>
      <c r="C3405" t="s">
        <v>557</v>
      </c>
      <c r="D3405" s="452">
        <v>45870</v>
      </c>
      <c r="E3405">
        <v>24110</v>
      </c>
      <c r="F3405" t="s">
        <v>5450</v>
      </c>
      <c r="G3405">
        <v>2322</v>
      </c>
      <c r="H3405">
        <v>1.56</v>
      </c>
      <c r="I3405" t="s">
        <v>4744</v>
      </c>
      <c r="J3405" t="s">
        <v>5191</v>
      </c>
      <c r="K3405" t="s">
        <v>4040</v>
      </c>
      <c r="L3405">
        <v>0</v>
      </c>
      <c r="M3405" s="452">
        <v>45478</v>
      </c>
      <c r="N3405">
        <v>17.2</v>
      </c>
      <c r="O3405">
        <v>9.25</v>
      </c>
      <c r="P3405">
        <v>26.83</v>
      </c>
    </row>
    <row r="3406" spans="1:16" x14ac:dyDescent="0.3">
      <c r="A3406">
        <v>44354</v>
      </c>
      <c r="B3406">
        <v>105</v>
      </c>
      <c r="C3406" t="s">
        <v>557</v>
      </c>
      <c r="D3406" s="452">
        <v>45870</v>
      </c>
      <c r="E3406">
        <v>24186</v>
      </c>
      <c r="F3406" t="s">
        <v>4995</v>
      </c>
      <c r="G3406">
        <v>2332</v>
      </c>
      <c r="H3406">
        <v>1.95</v>
      </c>
      <c r="I3406" t="s">
        <v>4744</v>
      </c>
      <c r="J3406" t="s">
        <v>5191</v>
      </c>
      <c r="K3406" t="s">
        <v>4040</v>
      </c>
      <c r="L3406">
        <v>0</v>
      </c>
      <c r="M3406" s="452">
        <v>45706</v>
      </c>
      <c r="N3406">
        <v>13</v>
      </c>
      <c r="O3406">
        <v>6.4</v>
      </c>
      <c r="P3406">
        <v>25.35</v>
      </c>
    </row>
    <row r="3407" spans="1:16" x14ac:dyDescent="0.3">
      <c r="A3407">
        <v>44259</v>
      </c>
      <c r="B3407">
        <v>105</v>
      </c>
      <c r="C3407" t="s">
        <v>557</v>
      </c>
      <c r="D3407" s="452">
        <v>45870</v>
      </c>
      <c r="E3407">
        <v>20385</v>
      </c>
      <c r="F3407" t="s">
        <v>4910</v>
      </c>
      <c r="G3407">
        <v>2195</v>
      </c>
      <c r="H3407">
        <v>5</v>
      </c>
      <c r="I3407" t="s">
        <v>4736</v>
      </c>
      <c r="J3407" t="s">
        <v>5191</v>
      </c>
      <c r="K3407" t="s">
        <v>4040</v>
      </c>
      <c r="L3407">
        <v>0</v>
      </c>
      <c r="M3407" s="452">
        <v>-693593</v>
      </c>
      <c r="N3407">
        <v>0</v>
      </c>
      <c r="O3407">
        <v>4.95</v>
      </c>
      <c r="P3407">
        <v>24.75</v>
      </c>
    </row>
    <row r="3408" spans="1:16" x14ac:dyDescent="0.3">
      <c r="A3408">
        <v>44342</v>
      </c>
      <c r="B3408">
        <v>105</v>
      </c>
      <c r="C3408" t="s">
        <v>557</v>
      </c>
      <c r="D3408" s="452">
        <v>45870</v>
      </c>
      <c r="E3408">
        <v>19993</v>
      </c>
      <c r="F3408" t="s">
        <v>4954</v>
      </c>
      <c r="G3408">
        <v>2349</v>
      </c>
      <c r="H3408">
        <v>2</v>
      </c>
      <c r="I3408" t="s">
        <v>4955</v>
      </c>
      <c r="J3408" t="s">
        <v>5191</v>
      </c>
      <c r="K3408" t="s">
        <v>4040</v>
      </c>
      <c r="L3408">
        <v>0</v>
      </c>
      <c r="M3408" s="452">
        <v>-693593</v>
      </c>
      <c r="N3408">
        <v>0</v>
      </c>
      <c r="O3408">
        <v>0</v>
      </c>
      <c r="P3408">
        <v>23.98</v>
      </c>
    </row>
    <row r="3409" spans="1:16" x14ac:dyDescent="0.3">
      <c r="A3409">
        <v>44421</v>
      </c>
      <c r="B3409">
        <v>105</v>
      </c>
      <c r="C3409" t="s">
        <v>557</v>
      </c>
      <c r="D3409" s="452">
        <v>45870</v>
      </c>
      <c r="E3409">
        <v>24322</v>
      </c>
      <c r="F3409" t="s">
        <v>5064</v>
      </c>
      <c r="G3409">
        <v>2342</v>
      </c>
      <c r="H3409">
        <v>0.98</v>
      </c>
      <c r="I3409" t="s">
        <v>4744</v>
      </c>
      <c r="J3409" t="s">
        <v>5191</v>
      </c>
      <c r="K3409" t="s">
        <v>4040</v>
      </c>
      <c r="L3409">
        <v>23</v>
      </c>
      <c r="M3409" s="452">
        <v>45856</v>
      </c>
      <c r="N3409">
        <v>23</v>
      </c>
      <c r="O3409">
        <v>23</v>
      </c>
      <c r="P3409">
        <v>22.54</v>
      </c>
    </row>
    <row r="3410" spans="1:16" x14ac:dyDescent="0.3">
      <c r="A3410">
        <v>44450</v>
      </c>
      <c r="B3410">
        <v>105</v>
      </c>
      <c r="C3410" t="s">
        <v>557</v>
      </c>
      <c r="D3410" s="452">
        <v>45870</v>
      </c>
      <c r="E3410">
        <v>24046</v>
      </c>
      <c r="F3410" t="s">
        <v>5454</v>
      </c>
      <c r="G3410">
        <v>2315</v>
      </c>
      <c r="H3410">
        <v>0.3</v>
      </c>
      <c r="I3410" t="s">
        <v>4744</v>
      </c>
      <c r="J3410" t="s">
        <v>5191</v>
      </c>
      <c r="K3410" t="s">
        <v>4040</v>
      </c>
      <c r="L3410">
        <v>0</v>
      </c>
      <c r="M3410" s="452">
        <v>-693593</v>
      </c>
      <c r="N3410">
        <v>0</v>
      </c>
      <c r="O3410">
        <v>75</v>
      </c>
      <c r="P3410">
        <v>22.5</v>
      </c>
    </row>
    <row r="3411" spans="1:16" x14ac:dyDescent="0.3">
      <c r="A3411">
        <v>44369</v>
      </c>
      <c r="B3411">
        <v>105</v>
      </c>
      <c r="C3411" t="s">
        <v>557</v>
      </c>
      <c r="D3411" s="452">
        <v>45870</v>
      </c>
      <c r="E3411">
        <v>19130</v>
      </c>
      <c r="F3411" t="s">
        <v>4990</v>
      </c>
      <c r="G3411">
        <v>2839</v>
      </c>
      <c r="H3411">
        <v>1.4</v>
      </c>
      <c r="I3411" t="s">
        <v>4744</v>
      </c>
      <c r="J3411" t="s">
        <v>5191</v>
      </c>
      <c r="K3411" t="s">
        <v>4040</v>
      </c>
      <c r="L3411">
        <v>0</v>
      </c>
      <c r="M3411" s="452">
        <v>-693593</v>
      </c>
      <c r="N3411">
        <v>0</v>
      </c>
      <c r="O3411">
        <v>20.45</v>
      </c>
      <c r="P3411">
        <v>22.38</v>
      </c>
    </row>
    <row r="3412" spans="1:16" x14ac:dyDescent="0.3">
      <c r="A3412">
        <v>47459</v>
      </c>
      <c r="B3412">
        <v>105</v>
      </c>
      <c r="C3412" t="s">
        <v>557</v>
      </c>
      <c r="D3412" s="452">
        <v>45870</v>
      </c>
      <c r="E3412">
        <v>19353</v>
      </c>
      <c r="F3412" t="s">
        <v>4851</v>
      </c>
      <c r="G3412">
        <v>2768</v>
      </c>
      <c r="H3412">
        <v>0.9</v>
      </c>
      <c r="I3412" t="s">
        <v>4744</v>
      </c>
      <c r="J3412" t="s">
        <v>5191</v>
      </c>
      <c r="K3412" t="s">
        <v>4040</v>
      </c>
      <c r="L3412">
        <v>0</v>
      </c>
      <c r="M3412" s="452">
        <v>45633</v>
      </c>
      <c r="N3412">
        <v>24.6</v>
      </c>
      <c r="O3412">
        <v>24.6</v>
      </c>
      <c r="P3412">
        <v>22.14</v>
      </c>
    </row>
    <row r="3413" spans="1:16" x14ac:dyDescent="0.3">
      <c r="A3413">
        <v>44388</v>
      </c>
      <c r="B3413">
        <v>105</v>
      </c>
      <c r="C3413" t="s">
        <v>557</v>
      </c>
      <c r="D3413" s="452">
        <v>45870</v>
      </c>
      <c r="E3413">
        <v>20653</v>
      </c>
      <c r="F3413" t="s">
        <v>5013</v>
      </c>
      <c r="G3413">
        <v>2111</v>
      </c>
      <c r="H3413">
        <v>1</v>
      </c>
      <c r="I3413" t="s">
        <v>4736</v>
      </c>
      <c r="J3413" t="s">
        <v>5191</v>
      </c>
      <c r="K3413" t="s">
        <v>4040</v>
      </c>
      <c r="L3413">
        <v>0</v>
      </c>
      <c r="M3413" s="452">
        <v>45824</v>
      </c>
      <c r="N3413">
        <v>21.98</v>
      </c>
      <c r="O3413">
        <v>22.94</v>
      </c>
      <c r="P3413">
        <v>21.98</v>
      </c>
    </row>
    <row r="3414" spans="1:16" x14ac:dyDescent="0.3">
      <c r="A3414">
        <v>44237</v>
      </c>
      <c r="B3414">
        <v>105</v>
      </c>
      <c r="C3414" t="s">
        <v>557</v>
      </c>
      <c r="D3414" s="452">
        <v>45870</v>
      </c>
      <c r="E3414">
        <v>19509</v>
      </c>
      <c r="F3414" t="s">
        <v>5490</v>
      </c>
      <c r="G3414">
        <v>2703</v>
      </c>
      <c r="H3414">
        <v>6.7</v>
      </c>
      <c r="I3414" t="s">
        <v>4744</v>
      </c>
      <c r="J3414" t="s">
        <v>5191</v>
      </c>
      <c r="K3414" t="s">
        <v>4040</v>
      </c>
      <c r="L3414">
        <v>3.26</v>
      </c>
      <c r="M3414" s="452">
        <v>45867</v>
      </c>
      <c r="N3414">
        <v>2.7</v>
      </c>
      <c r="O3414">
        <v>2.7</v>
      </c>
      <c r="P3414">
        <v>21.84</v>
      </c>
    </row>
    <row r="3415" spans="1:16" x14ac:dyDescent="0.3">
      <c r="A3415">
        <v>44433</v>
      </c>
      <c r="B3415">
        <v>105</v>
      </c>
      <c r="C3415" t="s">
        <v>557</v>
      </c>
      <c r="D3415" s="452">
        <v>45870</v>
      </c>
      <c r="E3415">
        <v>20207</v>
      </c>
      <c r="F3415" t="s">
        <v>4929</v>
      </c>
      <c r="G3415">
        <v>2253</v>
      </c>
      <c r="H3415">
        <v>0.7</v>
      </c>
      <c r="I3415" t="s">
        <v>4744</v>
      </c>
      <c r="J3415" t="s">
        <v>5191</v>
      </c>
      <c r="K3415" t="s">
        <v>4040</v>
      </c>
      <c r="L3415">
        <v>0</v>
      </c>
      <c r="M3415" s="452">
        <v>45817</v>
      </c>
      <c r="N3415">
        <v>29.9</v>
      </c>
      <c r="O3415">
        <v>29.9</v>
      </c>
      <c r="P3415">
        <v>20.93</v>
      </c>
    </row>
    <row r="3416" spans="1:16" x14ac:dyDescent="0.3">
      <c r="A3416">
        <v>44276</v>
      </c>
      <c r="B3416">
        <v>105</v>
      </c>
      <c r="C3416" t="s">
        <v>557</v>
      </c>
      <c r="D3416" s="452">
        <v>45870</v>
      </c>
      <c r="E3416">
        <v>25022</v>
      </c>
      <c r="F3416" t="s">
        <v>4912</v>
      </c>
      <c r="G3416">
        <v>5868</v>
      </c>
      <c r="H3416">
        <v>4</v>
      </c>
      <c r="I3416" t="s">
        <v>4738</v>
      </c>
      <c r="J3416" t="s">
        <v>5191</v>
      </c>
      <c r="K3416" t="s">
        <v>4040</v>
      </c>
      <c r="L3416">
        <v>5.1100000000000003</v>
      </c>
      <c r="M3416" s="452">
        <v>45856</v>
      </c>
      <c r="N3416">
        <v>4.26</v>
      </c>
      <c r="O3416">
        <v>4.26</v>
      </c>
      <c r="P3416">
        <v>20.440000000000001</v>
      </c>
    </row>
    <row r="3417" spans="1:16" x14ac:dyDescent="0.3">
      <c r="A3417">
        <v>44363</v>
      </c>
      <c r="B3417">
        <v>105</v>
      </c>
      <c r="C3417" t="s">
        <v>557</v>
      </c>
      <c r="D3417" s="452">
        <v>45870</v>
      </c>
      <c r="E3417">
        <v>19742</v>
      </c>
      <c r="F3417" t="s">
        <v>4900</v>
      </c>
      <c r="G3417">
        <v>2511</v>
      </c>
      <c r="H3417">
        <v>1.6</v>
      </c>
      <c r="I3417" t="s">
        <v>4744</v>
      </c>
      <c r="J3417" t="s">
        <v>5191</v>
      </c>
      <c r="K3417" t="s">
        <v>4040</v>
      </c>
      <c r="L3417">
        <v>12.69</v>
      </c>
      <c r="M3417" s="452">
        <v>45859</v>
      </c>
      <c r="N3417">
        <v>9.5299999999999994</v>
      </c>
      <c r="O3417">
        <v>7.6</v>
      </c>
      <c r="P3417">
        <v>20.3</v>
      </c>
    </row>
    <row r="3418" spans="1:16" x14ac:dyDescent="0.3">
      <c r="A3418">
        <v>44332</v>
      </c>
      <c r="B3418">
        <v>105</v>
      </c>
      <c r="C3418" t="s">
        <v>557</v>
      </c>
      <c r="D3418" s="452">
        <v>45870</v>
      </c>
      <c r="E3418">
        <v>19969</v>
      </c>
      <c r="F3418" t="s">
        <v>5018</v>
      </c>
      <c r="G3418">
        <v>2354</v>
      </c>
      <c r="H3418">
        <v>2</v>
      </c>
      <c r="I3418" t="s">
        <v>4888</v>
      </c>
      <c r="J3418" t="s">
        <v>5191</v>
      </c>
      <c r="K3418" t="s">
        <v>4040</v>
      </c>
      <c r="L3418">
        <v>10.039999999999999</v>
      </c>
      <c r="M3418" s="452">
        <v>45852</v>
      </c>
      <c r="N3418">
        <v>10.02</v>
      </c>
      <c r="O3418">
        <v>10.050000000000001</v>
      </c>
      <c r="P3418">
        <v>20.079999999999998</v>
      </c>
    </row>
    <row r="3419" spans="1:16" x14ac:dyDescent="0.3">
      <c r="A3419">
        <v>44304</v>
      </c>
      <c r="B3419">
        <v>105</v>
      </c>
      <c r="C3419" t="s">
        <v>557</v>
      </c>
      <c r="D3419" s="452">
        <v>45870</v>
      </c>
      <c r="E3419">
        <v>19654</v>
      </c>
      <c r="F3419" t="s">
        <v>5099</v>
      </c>
      <c r="G3419">
        <v>2586</v>
      </c>
      <c r="H3419">
        <v>3</v>
      </c>
      <c r="I3419" t="s">
        <v>4744</v>
      </c>
      <c r="J3419" t="s">
        <v>5191</v>
      </c>
      <c r="K3419" t="s">
        <v>4040</v>
      </c>
      <c r="L3419">
        <v>6.65</v>
      </c>
      <c r="M3419" s="452">
        <v>45867</v>
      </c>
      <c r="N3419">
        <v>5.04</v>
      </c>
      <c r="O3419">
        <v>3.36</v>
      </c>
      <c r="P3419">
        <v>19.95</v>
      </c>
    </row>
    <row r="3420" spans="1:16" x14ac:dyDescent="0.3">
      <c r="A3420">
        <v>44213</v>
      </c>
      <c r="B3420">
        <v>105</v>
      </c>
      <c r="C3420" t="s">
        <v>557</v>
      </c>
      <c r="D3420" s="452">
        <v>45870</v>
      </c>
      <c r="E3420">
        <v>24467</v>
      </c>
      <c r="F3420" t="s">
        <v>4766</v>
      </c>
      <c r="G3420">
        <v>3673</v>
      </c>
      <c r="H3420">
        <v>10</v>
      </c>
      <c r="I3420" t="s">
        <v>4736</v>
      </c>
      <c r="J3420" t="s">
        <v>5222</v>
      </c>
      <c r="K3420" t="s">
        <v>4040</v>
      </c>
      <c r="L3420">
        <v>0</v>
      </c>
      <c r="M3420" s="452">
        <v>45520</v>
      </c>
      <c r="N3420">
        <v>1.99</v>
      </c>
      <c r="O3420">
        <v>2.19</v>
      </c>
      <c r="P3420">
        <v>19.899999999999999</v>
      </c>
    </row>
    <row r="3421" spans="1:16" x14ac:dyDescent="0.3">
      <c r="A3421">
        <v>44416</v>
      </c>
      <c r="B3421">
        <v>105</v>
      </c>
      <c r="C3421" t="s">
        <v>557</v>
      </c>
      <c r="D3421" s="452">
        <v>45870</v>
      </c>
      <c r="E3421">
        <v>17929</v>
      </c>
      <c r="F3421" t="s">
        <v>5486</v>
      </c>
      <c r="G3421">
        <v>3639</v>
      </c>
      <c r="H3421">
        <v>1</v>
      </c>
      <c r="I3421" t="s">
        <v>4736</v>
      </c>
      <c r="J3421" t="s">
        <v>5222</v>
      </c>
      <c r="K3421" t="s">
        <v>4040</v>
      </c>
      <c r="L3421">
        <v>19.899999999999999</v>
      </c>
      <c r="M3421" s="452">
        <v>45852</v>
      </c>
      <c r="N3421">
        <v>19.899999999999999</v>
      </c>
      <c r="O3421">
        <v>2.9</v>
      </c>
      <c r="P3421">
        <v>19.899999999999999</v>
      </c>
    </row>
    <row r="3422" spans="1:16" x14ac:dyDescent="0.3">
      <c r="A3422">
        <v>44246</v>
      </c>
      <c r="B3422">
        <v>105</v>
      </c>
      <c r="C3422" t="s">
        <v>557</v>
      </c>
      <c r="D3422" s="452">
        <v>45870</v>
      </c>
      <c r="E3422">
        <v>23241</v>
      </c>
      <c r="F3422" t="s">
        <v>5469</v>
      </c>
      <c r="G3422">
        <v>2616</v>
      </c>
      <c r="H3422">
        <v>6</v>
      </c>
      <c r="I3422" t="s">
        <v>4744</v>
      </c>
      <c r="J3422" t="s">
        <v>5191</v>
      </c>
      <c r="K3422" t="s">
        <v>4040</v>
      </c>
      <c r="L3422">
        <v>3.26</v>
      </c>
      <c r="M3422" s="452">
        <v>45867</v>
      </c>
      <c r="N3422">
        <v>3.13</v>
      </c>
      <c r="O3422">
        <v>3.13</v>
      </c>
      <c r="P3422">
        <v>19.559999999999999</v>
      </c>
    </row>
    <row r="3423" spans="1:16" x14ac:dyDescent="0.3">
      <c r="A3423">
        <v>44334</v>
      </c>
      <c r="B3423">
        <v>105</v>
      </c>
      <c r="C3423" t="s">
        <v>557</v>
      </c>
      <c r="D3423" s="452">
        <v>45870</v>
      </c>
      <c r="E3423">
        <v>19498</v>
      </c>
      <c r="F3423" t="s">
        <v>5487</v>
      </c>
      <c r="G3423">
        <v>2712</v>
      </c>
      <c r="H3423">
        <v>2</v>
      </c>
      <c r="I3423" t="s">
        <v>4744</v>
      </c>
      <c r="J3423" t="s">
        <v>5191</v>
      </c>
      <c r="K3423" t="s">
        <v>4040</v>
      </c>
      <c r="L3423">
        <v>9.7200000000000006</v>
      </c>
      <c r="M3423" s="452">
        <v>45859</v>
      </c>
      <c r="N3423">
        <v>10.5</v>
      </c>
      <c r="O3423">
        <v>9</v>
      </c>
      <c r="P3423">
        <v>19.440000000000001</v>
      </c>
    </row>
    <row r="3424" spans="1:16" x14ac:dyDescent="0.3">
      <c r="A3424">
        <v>44326</v>
      </c>
      <c r="B3424">
        <v>105</v>
      </c>
      <c r="C3424" t="s">
        <v>557</v>
      </c>
      <c r="D3424" s="452">
        <v>45870</v>
      </c>
      <c r="E3424">
        <v>20322</v>
      </c>
      <c r="F3424" t="s">
        <v>4882</v>
      </c>
      <c r="G3424">
        <v>2212</v>
      </c>
      <c r="H3424">
        <v>2</v>
      </c>
      <c r="I3424" t="s">
        <v>4738</v>
      </c>
      <c r="J3424" t="s">
        <v>5191</v>
      </c>
      <c r="K3424" t="s">
        <v>4040</v>
      </c>
      <c r="L3424">
        <v>9.64</v>
      </c>
      <c r="M3424" s="452">
        <v>45863</v>
      </c>
      <c r="N3424">
        <v>9.64</v>
      </c>
      <c r="O3424">
        <v>9.64</v>
      </c>
      <c r="P3424">
        <v>19.28</v>
      </c>
    </row>
    <row r="3425" spans="1:16" x14ac:dyDescent="0.3">
      <c r="A3425">
        <v>44316</v>
      </c>
      <c r="B3425">
        <v>105</v>
      </c>
      <c r="C3425" t="s">
        <v>557</v>
      </c>
      <c r="D3425" s="452">
        <v>45870</v>
      </c>
      <c r="E3425">
        <v>19589</v>
      </c>
      <c r="F3425" t="s">
        <v>4983</v>
      </c>
      <c r="G3425">
        <v>2637</v>
      </c>
      <c r="H3425">
        <v>2.5</v>
      </c>
      <c r="I3425" t="s">
        <v>4744</v>
      </c>
      <c r="J3425" t="s">
        <v>5191</v>
      </c>
      <c r="K3425" t="s">
        <v>4040</v>
      </c>
      <c r="L3425">
        <v>7.64</v>
      </c>
      <c r="M3425" s="452">
        <v>45867</v>
      </c>
      <c r="N3425">
        <v>7.5</v>
      </c>
      <c r="O3425">
        <v>6.9</v>
      </c>
      <c r="P3425">
        <v>19.100000000000001</v>
      </c>
    </row>
    <row r="3426" spans="1:16" x14ac:dyDescent="0.3">
      <c r="A3426">
        <v>44267</v>
      </c>
      <c r="B3426">
        <v>105</v>
      </c>
      <c r="C3426" t="s">
        <v>557</v>
      </c>
      <c r="D3426" s="452">
        <v>45870</v>
      </c>
      <c r="E3426">
        <v>19783</v>
      </c>
      <c r="F3426" t="s">
        <v>4960</v>
      </c>
      <c r="G3426">
        <v>2475</v>
      </c>
      <c r="H3426">
        <v>4.2300000000000004</v>
      </c>
      <c r="I3426" t="s">
        <v>4744</v>
      </c>
      <c r="J3426" t="s">
        <v>5191</v>
      </c>
      <c r="K3426" t="s">
        <v>4040</v>
      </c>
      <c r="L3426">
        <v>0</v>
      </c>
      <c r="M3426" s="452">
        <v>45820</v>
      </c>
      <c r="N3426">
        <v>4.5</v>
      </c>
      <c r="O3426">
        <v>3.5</v>
      </c>
      <c r="P3426">
        <v>19.04</v>
      </c>
    </row>
    <row r="3427" spans="1:16" x14ac:dyDescent="0.3">
      <c r="A3427">
        <v>44444</v>
      </c>
      <c r="B3427">
        <v>105</v>
      </c>
      <c r="C3427" t="s">
        <v>557</v>
      </c>
      <c r="D3427" s="452">
        <v>45870</v>
      </c>
      <c r="E3427">
        <v>23698</v>
      </c>
      <c r="F3427" t="s">
        <v>5453</v>
      </c>
      <c r="G3427">
        <v>2188</v>
      </c>
      <c r="H3427">
        <v>0.4</v>
      </c>
      <c r="I3427" t="s">
        <v>4744</v>
      </c>
      <c r="J3427" t="s">
        <v>5191</v>
      </c>
      <c r="K3427" t="s">
        <v>4040</v>
      </c>
      <c r="L3427">
        <v>0</v>
      </c>
      <c r="M3427" s="452">
        <v>45811</v>
      </c>
      <c r="N3427">
        <v>46.9</v>
      </c>
      <c r="O3427">
        <v>60</v>
      </c>
      <c r="P3427">
        <v>18.760000000000002</v>
      </c>
    </row>
    <row r="3428" spans="1:16" x14ac:dyDescent="0.3">
      <c r="A3428">
        <v>44293</v>
      </c>
      <c r="B3428">
        <v>105</v>
      </c>
      <c r="C3428" t="s">
        <v>557</v>
      </c>
      <c r="D3428" s="452">
        <v>45870</v>
      </c>
      <c r="E3428">
        <v>20295</v>
      </c>
      <c r="F3428" t="s">
        <v>4881</v>
      </c>
      <c r="G3428">
        <v>2226</v>
      </c>
      <c r="H3428">
        <v>3</v>
      </c>
      <c r="I3428" t="s">
        <v>4736</v>
      </c>
      <c r="J3428" t="s">
        <v>5191</v>
      </c>
      <c r="K3428" t="s">
        <v>4040</v>
      </c>
      <c r="L3428">
        <v>6.2</v>
      </c>
      <c r="M3428" s="452">
        <v>45856</v>
      </c>
      <c r="N3428">
        <v>6.2</v>
      </c>
      <c r="O3428">
        <v>11.51</v>
      </c>
      <c r="P3428">
        <v>18.600000000000001</v>
      </c>
    </row>
    <row r="3429" spans="1:16" x14ac:dyDescent="0.3">
      <c r="A3429">
        <v>44428</v>
      </c>
      <c r="B3429">
        <v>105</v>
      </c>
      <c r="C3429" t="s">
        <v>557</v>
      </c>
      <c r="D3429" s="452">
        <v>45870</v>
      </c>
      <c r="E3429">
        <v>19939</v>
      </c>
      <c r="F3429" t="s">
        <v>5057</v>
      </c>
      <c r="G3429">
        <v>2365</v>
      </c>
      <c r="H3429">
        <v>0.8</v>
      </c>
      <c r="I3429" t="s">
        <v>4744</v>
      </c>
      <c r="J3429" t="s">
        <v>5191</v>
      </c>
      <c r="K3429" t="s">
        <v>4040</v>
      </c>
      <c r="L3429">
        <v>0</v>
      </c>
      <c r="M3429" s="452">
        <v>-693593</v>
      </c>
      <c r="N3429">
        <v>0</v>
      </c>
      <c r="O3429">
        <v>79.599999999999994</v>
      </c>
      <c r="P3429">
        <v>17.600000000000001</v>
      </c>
    </row>
    <row r="3430" spans="1:16" x14ac:dyDescent="0.3">
      <c r="A3430">
        <v>44449</v>
      </c>
      <c r="B3430">
        <v>105</v>
      </c>
      <c r="C3430" t="s">
        <v>557</v>
      </c>
      <c r="D3430" s="452">
        <v>45870</v>
      </c>
      <c r="E3430">
        <v>18085</v>
      </c>
      <c r="F3430" t="s">
        <v>4973</v>
      </c>
      <c r="G3430">
        <v>3524</v>
      </c>
      <c r="H3430">
        <v>0.36</v>
      </c>
      <c r="I3430" t="s">
        <v>4805</v>
      </c>
      <c r="J3430" t="s">
        <v>5222</v>
      </c>
      <c r="K3430" t="s">
        <v>4040</v>
      </c>
      <c r="L3430">
        <v>48.75</v>
      </c>
      <c r="M3430" s="452">
        <v>45853</v>
      </c>
      <c r="N3430">
        <v>47.6</v>
      </c>
      <c r="O3430">
        <v>47.6</v>
      </c>
      <c r="P3430">
        <v>17.55</v>
      </c>
    </row>
    <row r="3431" spans="1:16" x14ac:dyDescent="0.3">
      <c r="A3431">
        <v>44288</v>
      </c>
      <c r="B3431">
        <v>105</v>
      </c>
      <c r="C3431" t="s">
        <v>557</v>
      </c>
      <c r="D3431" s="452">
        <v>45870</v>
      </c>
      <c r="E3431">
        <v>19634</v>
      </c>
      <c r="F3431" t="s">
        <v>4792</v>
      </c>
      <c r="G3431">
        <v>2602</v>
      </c>
      <c r="H3431">
        <v>3.49</v>
      </c>
      <c r="I3431" t="s">
        <v>4744</v>
      </c>
      <c r="J3431" t="s">
        <v>5191</v>
      </c>
      <c r="K3431" t="s">
        <v>4040</v>
      </c>
      <c r="L3431">
        <v>4.79</v>
      </c>
      <c r="M3431" s="452">
        <v>45868</v>
      </c>
      <c r="N3431">
        <v>4.45</v>
      </c>
      <c r="O3431">
        <v>4.79</v>
      </c>
      <c r="P3431">
        <v>16.72</v>
      </c>
    </row>
    <row r="3432" spans="1:16" x14ac:dyDescent="0.3">
      <c r="A3432">
        <v>44336</v>
      </c>
      <c r="B3432">
        <v>105</v>
      </c>
      <c r="C3432" t="s">
        <v>557</v>
      </c>
      <c r="D3432" s="452">
        <v>45870</v>
      </c>
      <c r="E3432">
        <v>19647</v>
      </c>
      <c r="F3432" t="s">
        <v>5050</v>
      </c>
      <c r="G3432">
        <v>2591</v>
      </c>
      <c r="H3432">
        <v>2</v>
      </c>
      <c r="I3432" t="s">
        <v>4744</v>
      </c>
      <c r="J3432" t="s">
        <v>5191</v>
      </c>
      <c r="K3432" t="s">
        <v>4040</v>
      </c>
      <c r="L3432">
        <v>8.0299999999999994</v>
      </c>
      <c r="M3432" s="452">
        <v>45867</v>
      </c>
      <c r="N3432">
        <v>7</v>
      </c>
      <c r="O3432">
        <v>6.5</v>
      </c>
      <c r="P3432">
        <v>16.059999999999999</v>
      </c>
    </row>
    <row r="3433" spans="1:16" x14ac:dyDescent="0.3">
      <c r="A3433">
        <v>44455</v>
      </c>
      <c r="B3433">
        <v>105</v>
      </c>
      <c r="C3433" t="s">
        <v>557</v>
      </c>
      <c r="D3433" s="452">
        <v>45870</v>
      </c>
      <c r="E3433">
        <v>19476</v>
      </c>
      <c r="F3433" t="s">
        <v>5115</v>
      </c>
      <c r="G3433">
        <v>2729</v>
      </c>
      <c r="H3433">
        <v>0.25</v>
      </c>
      <c r="I3433" t="s">
        <v>4744</v>
      </c>
      <c r="J3433" t="s">
        <v>5191</v>
      </c>
      <c r="K3433" t="s">
        <v>4040</v>
      </c>
      <c r="L3433">
        <v>64.08</v>
      </c>
      <c r="M3433" s="452">
        <v>45867</v>
      </c>
      <c r="N3433">
        <v>79.75</v>
      </c>
      <c r="O3433">
        <v>71</v>
      </c>
      <c r="P3433">
        <v>16.02</v>
      </c>
    </row>
    <row r="3434" spans="1:16" x14ac:dyDescent="0.3">
      <c r="A3434">
        <v>44341</v>
      </c>
      <c r="B3434">
        <v>105</v>
      </c>
      <c r="C3434" t="s">
        <v>557</v>
      </c>
      <c r="D3434" s="452">
        <v>45870</v>
      </c>
      <c r="E3434">
        <v>23346</v>
      </c>
      <c r="F3434" t="s">
        <v>4916</v>
      </c>
      <c r="G3434">
        <v>2512</v>
      </c>
      <c r="H3434">
        <v>2</v>
      </c>
      <c r="I3434" t="s">
        <v>4744</v>
      </c>
      <c r="J3434" t="s">
        <v>5191</v>
      </c>
      <c r="K3434" t="s">
        <v>4040</v>
      </c>
      <c r="L3434">
        <v>7.95</v>
      </c>
      <c r="M3434" s="452">
        <v>45862</v>
      </c>
      <c r="N3434">
        <v>6.5</v>
      </c>
      <c r="O3434">
        <v>4.75</v>
      </c>
      <c r="P3434">
        <v>15.9</v>
      </c>
    </row>
    <row r="3435" spans="1:16" x14ac:dyDescent="0.3">
      <c r="A3435">
        <v>44373</v>
      </c>
      <c r="B3435">
        <v>105</v>
      </c>
      <c r="C3435" t="s">
        <v>557</v>
      </c>
      <c r="D3435" s="452">
        <v>45870</v>
      </c>
      <c r="E3435">
        <v>19558</v>
      </c>
      <c r="F3435" t="s">
        <v>4994</v>
      </c>
      <c r="G3435">
        <v>2659</v>
      </c>
      <c r="H3435">
        <v>1.3</v>
      </c>
      <c r="I3435" t="s">
        <v>4744</v>
      </c>
      <c r="J3435" t="s">
        <v>5191</v>
      </c>
      <c r="K3435" t="s">
        <v>4040</v>
      </c>
      <c r="L3435">
        <v>11.97</v>
      </c>
      <c r="M3435" s="452">
        <v>45867</v>
      </c>
      <c r="N3435">
        <v>9.5299999999999994</v>
      </c>
      <c r="O3435">
        <v>11.35</v>
      </c>
      <c r="P3435">
        <v>15.56</v>
      </c>
    </row>
    <row r="3436" spans="1:16" x14ac:dyDescent="0.3">
      <c r="A3436">
        <v>44357</v>
      </c>
      <c r="B3436">
        <v>105</v>
      </c>
      <c r="C3436" t="s">
        <v>557</v>
      </c>
      <c r="D3436" s="452">
        <v>45870</v>
      </c>
      <c r="E3436">
        <v>23635</v>
      </c>
      <c r="F3436" t="s">
        <v>4837</v>
      </c>
      <c r="G3436">
        <v>2247</v>
      </c>
      <c r="H3436">
        <v>1.75</v>
      </c>
      <c r="I3436" t="s">
        <v>4744</v>
      </c>
      <c r="J3436" t="s">
        <v>5191</v>
      </c>
      <c r="K3436" t="s">
        <v>4040</v>
      </c>
      <c r="L3436">
        <v>8.7100000000000009</v>
      </c>
      <c r="M3436" s="452">
        <v>45845</v>
      </c>
      <c r="N3436">
        <v>8.7100000000000009</v>
      </c>
      <c r="O3436">
        <v>8.7100000000000009</v>
      </c>
      <c r="P3436">
        <v>15.24</v>
      </c>
    </row>
    <row r="3437" spans="1:16" x14ac:dyDescent="0.3">
      <c r="A3437">
        <v>44429</v>
      </c>
      <c r="B3437">
        <v>105</v>
      </c>
      <c r="C3437" t="s">
        <v>557</v>
      </c>
      <c r="D3437" s="452">
        <v>45870</v>
      </c>
      <c r="E3437">
        <v>24444</v>
      </c>
      <c r="F3437" t="s">
        <v>4992</v>
      </c>
      <c r="G3437">
        <v>2784</v>
      </c>
      <c r="H3437">
        <v>0.8</v>
      </c>
      <c r="I3437" t="s">
        <v>4744</v>
      </c>
      <c r="J3437" t="s">
        <v>5191</v>
      </c>
      <c r="K3437" t="s">
        <v>4040</v>
      </c>
      <c r="L3437">
        <v>0</v>
      </c>
      <c r="M3437" s="452">
        <v>45392</v>
      </c>
      <c r="N3437">
        <v>18.95</v>
      </c>
      <c r="O3437">
        <v>22</v>
      </c>
      <c r="P3437">
        <v>15.16</v>
      </c>
    </row>
    <row r="3438" spans="1:16" x14ac:dyDescent="0.3">
      <c r="A3438">
        <v>44452</v>
      </c>
      <c r="B3438">
        <v>105</v>
      </c>
      <c r="C3438" t="s">
        <v>557</v>
      </c>
      <c r="D3438" s="452">
        <v>45870</v>
      </c>
      <c r="E3438">
        <v>19463</v>
      </c>
      <c r="F3438" t="s">
        <v>5117</v>
      </c>
      <c r="G3438">
        <v>2739</v>
      </c>
      <c r="H3438">
        <v>0.3</v>
      </c>
      <c r="I3438" t="s">
        <v>4744</v>
      </c>
      <c r="J3438" t="s">
        <v>5191</v>
      </c>
      <c r="K3438" t="s">
        <v>4040</v>
      </c>
      <c r="L3438">
        <v>0</v>
      </c>
      <c r="M3438" s="452">
        <v>45819</v>
      </c>
      <c r="N3438">
        <v>50</v>
      </c>
      <c r="O3438">
        <v>55.2</v>
      </c>
      <c r="P3438">
        <v>15</v>
      </c>
    </row>
    <row r="3439" spans="1:16" x14ac:dyDescent="0.3">
      <c r="A3439">
        <v>44376</v>
      </c>
      <c r="B3439">
        <v>105</v>
      </c>
      <c r="C3439" t="s">
        <v>557</v>
      </c>
      <c r="D3439" s="452">
        <v>45870</v>
      </c>
      <c r="E3439">
        <v>19936</v>
      </c>
      <c r="F3439" t="s">
        <v>5508</v>
      </c>
      <c r="G3439">
        <v>2367</v>
      </c>
      <c r="H3439">
        <v>1.1499999999999999</v>
      </c>
      <c r="I3439" t="s">
        <v>4744</v>
      </c>
      <c r="J3439" t="s">
        <v>5191</v>
      </c>
      <c r="K3439" t="s">
        <v>4040</v>
      </c>
      <c r="L3439">
        <v>0</v>
      </c>
      <c r="M3439" s="452">
        <v>45817</v>
      </c>
      <c r="N3439">
        <v>12.92</v>
      </c>
      <c r="O3439">
        <v>18</v>
      </c>
      <c r="P3439">
        <v>14.86</v>
      </c>
    </row>
    <row r="3440" spans="1:16" x14ac:dyDescent="0.3">
      <c r="A3440">
        <v>44384</v>
      </c>
      <c r="B3440">
        <v>105</v>
      </c>
      <c r="C3440" t="s">
        <v>557</v>
      </c>
      <c r="D3440" s="452">
        <v>45870</v>
      </c>
      <c r="E3440">
        <v>26020</v>
      </c>
      <c r="F3440" t="s">
        <v>5102</v>
      </c>
      <c r="G3440">
        <v>2105</v>
      </c>
      <c r="H3440">
        <v>1</v>
      </c>
      <c r="I3440" t="s">
        <v>4736</v>
      </c>
      <c r="J3440" t="s">
        <v>5191</v>
      </c>
      <c r="K3440" t="s">
        <v>4040</v>
      </c>
      <c r="L3440">
        <v>14.59</v>
      </c>
      <c r="M3440" s="452">
        <v>45856</v>
      </c>
      <c r="N3440">
        <v>14.1</v>
      </c>
      <c r="O3440">
        <v>14.48</v>
      </c>
      <c r="P3440">
        <v>14.59</v>
      </c>
    </row>
    <row r="3441" spans="1:16" x14ac:dyDescent="0.3">
      <c r="A3441">
        <v>44381</v>
      </c>
      <c r="B3441">
        <v>105</v>
      </c>
      <c r="C3441" t="s">
        <v>557</v>
      </c>
      <c r="D3441" s="452">
        <v>45870</v>
      </c>
      <c r="E3441">
        <v>20057</v>
      </c>
      <c r="F3441" t="s">
        <v>4949</v>
      </c>
      <c r="G3441">
        <v>2324</v>
      </c>
      <c r="H3441">
        <v>1</v>
      </c>
      <c r="I3441" t="s">
        <v>4736</v>
      </c>
      <c r="J3441" t="s">
        <v>5191</v>
      </c>
      <c r="K3441" t="s">
        <v>4040</v>
      </c>
      <c r="L3441">
        <v>0</v>
      </c>
      <c r="M3441" s="452">
        <v>45817</v>
      </c>
      <c r="N3441">
        <v>14.26</v>
      </c>
      <c r="O3441">
        <v>40.1</v>
      </c>
      <c r="P3441">
        <v>14.26</v>
      </c>
    </row>
    <row r="3442" spans="1:16" x14ac:dyDescent="0.3">
      <c r="A3442">
        <v>44364</v>
      </c>
      <c r="B3442">
        <v>105</v>
      </c>
      <c r="C3442" t="s">
        <v>557</v>
      </c>
      <c r="D3442" s="452">
        <v>45870</v>
      </c>
      <c r="E3442">
        <v>24089</v>
      </c>
      <c r="F3442" t="s">
        <v>4931</v>
      </c>
      <c r="G3442">
        <v>2316</v>
      </c>
      <c r="H3442">
        <v>1.6</v>
      </c>
      <c r="I3442" t="s">
        <v>4744</v>
      </c>
      <c r="J3442" t="s">
        <v>5191</v>
      </c>
      <c r="K3442" t="s">
        <v>4040</v>
      </c>
      <c r="L3442">
        <v>0</v>
      </c>
      <c r="M3442" s="452">
        <v>45757</v>
      </c>
      <c r="N3442">
        <v>8.9</v>
      </c>
      <c r="O3442">
        <v>9</v>
      </c>
      <c r="P3442">
        <v>14.24</v>
      </c>
    </row>
    <row r="3443" spans="1:16" x14ac:dyDescent="0.3">
      <c r="A3443">
        <v>44337</v>
      </c>
      <c r="B3443">
        <v>105</v>
      </c>
      <c r="C3443" t="s">
        <v>557</v>
      </c>
      <c r="D3443" s="452">
        <v>45870</v>
      </c>
      <c r="E3443">
        <v>23390</v>
      </c>
      <c r="F3443" t="s">
        <v>4873</v>
      </c>
      <c r="G3443">
        <v>2474</v>
      </c>
      <c r="H3443">
        <v>2</v>
      </c>
      <c r="I3443" t="s">
        <v>4744</v>
      </c>
      <c r="J3443" t="s">
        <v>5191</v>
      </c>
      <c r="K3443" t="s">
        <v>4040</v>
      </c>
      <c r="L3443">
        <v>7.06</v>
      </c>
      <c r="M3443" s="452">
        <v>45859</v>
      </c>
      <c r="N3443">
        <v>6.5</v>
      </c>
      <c r="O3443">
        <v>7</v>
      </c>
      <c r="P3443">
        <v>14.12</v>
      </c>
    </row>
    <row r="3444" spans="1:16" x14ac:dyDescent="0.3">
      <c r="A3444">
        <v>47457</v>
      </c>
      <c r="B3444">
        <v>105</v>
      </c>
      <c r="C3444" t="s">
        <v>557</v>
      </c>
      <c r="D3444" s="452">
        <v>45870</v>
      </c>
      <c r="E3444">
        <v>27295</v>
      </c>
      <c r="F3444" t="s">
        <v>5491</v>
      </c>
      <c r="G3444">
        <v>5364</v>
      </c>
      <c r="H3444">
        <v>1</v>
      </c>
      <c r="I3444" t="s">
        <v>4744</v>
      </c>
      <c r="J3444" t="s">
        <v>5191</v>
      </c>
      <c r="K3444" t="s">
        <v>4040</v>
      </c>
      <c r="L3444">
        <v>0</v>
      </c>
      <c r="N3444">
        <v>0</v>
      </c>
      <c r="O3444">
        <v>0</v>
      </c>
      <c r="P3444">
        <v>14.09</v>
      </c>
    </row>
    <row r="3445" spans="1:16" x14ac:dyDescent="0.3">
      <c r="A3445">
        <v>44308</v>
      </c>
      <c r="B3445">
        <v>105</v>
      </c>
      <c r="C3445" t="s">
        <v>557</v>
      </c>
      <c r="D3445" s="452">
        <v>45870</v>
      </c>
      <c r="E3445">
        <v>19241</v>
      </c>
      <c r="F3445" t="s">
        <v>4890</v>
      </c>
      <c r="G3445">
        <v>2785</v>
      </c>
      <c r="H3445">
        <v>3</v>
      </c>
      <c r="I3445" t="s">
        <v>4736</v>
      </c>
      <c r="J3445" t="s">
        <v>5191</v>
      </c>
      <c r="K3445" t="s">
        <v>4040</v>
      </c>
      <c r="L3445">
        <v>4.63</v>
      </c>
      <c r="M3445" s="452">
        <v>45856</v>
      </c>
      <c r="N3445">
        <v>3.75</v>
      </c>
      <c r="O3445">
        <v>3.75</v>
      </c>
      <c r="P3445">
        <v>13.89</v>
      </c>
    </row>
    <row r="3446" spans="1:16" x14ac:dyDescent="0.3">
      <c r="A3446">
        <v>44232</v>
      </c>
      <c r="B3446">
        <v>105</v>
      </c>
      <c r="C3446" t="s">
        <v>557</v>
      </c>
      <c r="D3446" s="452">
        <v>45870</v>
      </c>
      <c r="E3446">
        <v>19632</v>
      </c>
      <c r="F3446" t="s">
        <v>4936</v>
      </c>
      <c r="G3446">
        <v>2604</v>
      </c>
      <c r="H3446">
        <v>7</v>
      </c>
      <c r="I3446" t="s">
        <v>4744</v>
      </c>
      <c r="J3446" t="s">
        <v>5191</v>
      </c>
      <c r="K3446" t="s">
        <v>4040</v>
      </c>
      <c r="L3446">
        <v>1.89</v>
      </c>
      <c r="M3446" s="452">
        <v>45868</v>
      </c>
      <c r="N3446">
        <v>1.59</v>
      </c>
      <c r="O3446">
        <v>1.86</v>
      </c>
      <c r="P3446">
        <v>13.23</v>
      </c>
    </row>
    <row r="3447" spans="1:16" x14ac:dyDescent="0.3">
      <c r="A3447">
        <v>44437</v>
      </c>
      <c r="B3447">
        <v>105</v>
      </c>
      <c r="C3447" t="s">
        <v>557</v>
      </c>
      <c r="D3447" s="452">
        <v>45870</v>
      </c>
      <c r="E3447">
        <v>24296</v>
      </c>
      <c r="F3447" t="s">
        <v>5441</v>
      </c>
      <c r="G3447">
        <v>2250</v>
      </c>
      <c r="H3447">
        <v>0.6</v>
      </c>
      <c r="I3447" t="s">
        <v>4744</v>
      </c>
      <c r="J3447" t="s">
        <v>5191</v>
      </c>
      <c r="K3447" t="s">
        <v>4040</v>
      </c>
      <c r="L3447">
        <v>21.7</v>
      </c>
      <c r="M3447" s="452">
        <v>45856</v>
      </c>
      <c r="N3447">
        <v>21.7</v>
      </c>
      <c r="O3447">
        <v>21.7</v>
      </c>
      <c r="P3447">
        <v>13.02</v>
      </c>
    </row>
    <row r="3448" spans="1:16" x14ac:dyDescent="0.3">
      <c r="A3448">
        <v>44457</v>
      </c>
      <c r="B3448">
        <v>105</v>
      </c>
      <c r="C3448" t="s">
        <v>557</v>
      </c>
      <c r="D3448" s="452">
        <v>45870</v>
      </c>
      <c r="E3448">
        <v>20034</v>
      </c>
      <c r="F3448" t="s">
        <v>5065</v>
      </c>
      <c r="G3448">
        <v>2333</v>
      </c>
      <c r="H3448">
        <v>0.2</v>
      </c>
      <c r="I3448" t="s">
        <v>4744</v>
      </c>
      <c r="J3448" t="s">
        <v>5191</v>
      </c>
      <c r="K3448" t="s">
        <v>4040</v>
      </c>
      <c r="L3448">
        <v>0</v>
      </c>
      <c r="M3448" s="452">
        <v>-693593</v>
      </c>
      <c r="N3448">
        <v>0</v>
      </c>
      <c r="O3448">
        <v>62</v>
      </c>
      <c r="P3448">
        <v>12.61</v>
      </c>
    </row>
    <row r="3449" spans="1:16" x14ac:dyDescent="0.3">
      <c r="A3449">
        <v>44394</v>
      </c>
      <c r="B3449">
        <v>105</v>
      </c>
      <c r="C3449" t="s">
        <v>557</v>
      </c>
      <c r="D3449" s="452">
        <v>45870</v>
      </c>
      <c r="E3449">
        <v>20955</v>
      </c>
      <c r="F3449" t="s">
        <v>4959</v>
      </c>
      <c r="G3449">
        <v>2019</v>
      </c>
      <c r="H3449">
        <v>1</v>
      </c>
      <c r="I3449" t="s">
        <v>4805</v>
      </c>
      <c r="J3449" t="s">
        <v>5191</v>
      </c>
      <c r="K3449" t="s">
        <v>4040</v>
      </c>
      <c r="L3449">
        <v>12.29</v>
      </c>
      <c r="M3449" s="452">
        <v>45860</v>
      </c>
      <c r="N3449">
        <v>13.7</v>
      </c>
      <c r="O3449">
        <v>12.46</v>
      </c>
      <c r="P3449">
        <v>12.29</v>
      </c>
    </row>
    <row r="3450" spans="1:16" x14ac:dyDescent="0.3">
      <c r="A3450">
        <v>44422</v>
      </c>
      <c r="B3450">
        <v>105</v>
      </c>
      <c r="C3450" t="s">
        <v>557</v>
      </c>
      <c r="D3450" s="452">
        <v>45870</v>
      </c>
      <c r="E3450">
        <v>17032</v>
      </c>
      <c r="F3450" t="s">
        <v>5509</v>
      </c>
      <c r="G3450">
        <v>2366</v>
      </c>
      <c r="H3450">
        <v>0.92</v>
      </c>
      <c r="I3450" t="s">
        <v>4744</v>
      </c>
      <c r="J3450" t="s">
        <v>5191</v>
      </c>
      <c r="K3450" t="s">
        <v>4040</v>
      </c>
      <c r="L3450">
        <v>0</v>
      </c>
      <c r="M3450" s="452">
        <v>45757</v>
      </c>
      <c r="N3450">
        <v>12.94</v>
      </c>
      <c r="O3450">
        <v>25.9</v>
      </c>
      <c r="P3450">
        <v>11.9</v>
      </c>
    </row>
    <row r="3451" spans="1:16" x14ac:dyDescent="0.3">
      <c r="A3451">
        <v>44420</v>
      </c>
      <c r="B3451">
        <v>105</v>
      </c>
      <c r="C3451" t="s">
        <v>557</v>
      </c>
      <c r="D3451" s="452">
        <v>45870</v>
      </c>
      <c r="E3451">
        <v>17721</v>
      </c>
      <c r="F3451" t="s">
        <v>4977</v>
      </c>
      <c r="G3451">
        <v>3818</v>
      </c>
      <c r="H3451">
        <v>1</v>
      </c>
      <c r="I3451" t="s">
        <v>4805</v>
      </c>
      <c r="J3451" t="s">
        <v>5222</v>
      </c>
      <c r="K3451" t="s">
        <v>4040</v>
      </c>
      <c r="L3451">
        <v>0</v>
      </c>
      <c r="M3451" s="452">
        <v>45818</v>
      </c>
      <c r="N3451">
        <v>11.2</v>
      </c>
      <c r="O3451">
        <v>10.25</v>
      </c>
      <c r="P3451">
        <v>11.2</v>
      </c>
    </row>
    <row r="3452" spans="1:16" x14ac:dyDescent="0.3">
      <c r="A3452">
        <v>44483</v>
      </c>
      <c r="B3452">
        <v>105</v>
      </c>
      <c r="C3452" t="s">
        <v>557</v>
      </c>
      <c r="D3452" s="452">
        <v>45870</v>
      </c>
      <c r="E3452">
        <v>18420</v>
      </c>
      <c r="F3452" t="s">
        <v>5452</v>
      </c>
      <c r="G3452">
        <v>3222</v>
      </c>
      <c r="H3452">
        <v>1</v>
      </c>
      <c r="I3452" t="s">
        <v>4805</v>
      </c>
      <c r="J3452" t="s">
        <v>5222</v>
      </c>
      <c r="K3452" t="s">
        <v>4040</v>
      </c>
      <c r="L3452">
        <v>0</v>
      </c>
      <c r="M3452" s="452">
        <v>-693593</v>
      </c>
      <c r="N3452">
        <v>0</v>
      </c>
      <c r="O3452">
        <v>11.05</v>
      </c>
      <c r="P3452">
        <v>11.05</v>
      </c>
    </row>
    <row r="3453" spans="1:16" x14ac:dyDescent="0.3">
      <c r="A3453">
        <v>44438</v>
      </c>
      <c r="B3453">
        <v>105</v>
      </c>
      <c r="C3453" t="s">
        <v>557</v>
      </c>
      <c r="D3453" s="452">
        <v>45870</v>
      </c>
      <c r="E3453">
        <v>23198</v>
      </c>
      <c r="F3453" t="s">
        <v>4962</v>
      </c>
      <c r="G3453">
        <v>2657</v>
      </c>
      <c r="H3453">
        <v>0.6</v>
      </c>
      <c r="I3453" t="s">
        <v>4744</v>
      </c>
      <c r="J3453" t="s">
        <v>5191</v>
      </c>
      <c r="K3453" t="s">
        <v>4040</v>
      </c>
      <c r="L3453">
        <v>18.39</v>
      </c>
      <c r="M3453" s="452">
        <v>45867</v>
      </c>
      <c r="N3453">
        <v>13</v>
      </c>
      <c r="O3453">
        <v>15.2</v>
      </c>
      <c r="P3453">
        <v>11.03</v>
      </c>
    </row>
    <row r="3454" spans="1:16" x14ac:dyDescent="0.3">
      <c r="A3454">
        <v>44285</v>
      </c>
      <c r="B3454">
        <v>105</v>
      </c>
      <c r="C3454" t="s">
        <v>557</v>
      </c>
      <c r="D3454" s="452">
        <v>45870</v>
      </c>
      <c r="E3454">
        <v>19642</v>
      </c>
      <c r="F3454" t="s">
        <v>4996</v>
      </c>
      <c r="G3454">
        <v>2596</v>
      </c>
      <c r="H3454">
        <v>3.8</v>
      </c>
      <c r="I3454" t="s">
        <v>4744</v>
      </c>
      <c r="J3454" t="s">
        <v>5191</v>
      </c>
      <c r="K3454" t="s">
        <v>4040</v>
      </c>
      <c r="L3454">
        <v>2.74</v>
      </c>
      <c r="M3454" s="452">
        <v>45868</v>
      </c>
      <c r="N3454">
        <v>2.57</v>
      </c>
      <c r="O3454">
        <v>2.42</v>
      </c>
      <c r="P3454">
        <v>10.41</v>
      </c>
    </row>
    <row r="3455" spans="1:16" x14ac:dyDescent="0.3">
      <c r="A3455">
        <v>44446</v>
      </c>
      <c r="B3455">
        <v>105</v>
      </c>
      <c r="C3455" t="s">
        <v>557</v>
      </c>
      <c r="D3455" s="452">
        <v>45870</v>
      </c>
      <c r="E3455">
        <v>19617</v>
      </c>
      <c r="F3455" t="s">
        <v>5071</v>
      </c>
      <c r="G3455">
        <v>2617</v>
      </c>
      <c r="H3455">
        <v>0.4</v>
      </c>
      <c r="I3455" t="s">
        <v>4744</v>
      </c>
      <c r="J3455" t="s">
        <v>5191</v>
      </c>
      <c r="K3455" t="s">
        <v>4040</v>
      </c>
      <c r="L3455">
        <v>25.78</v>
      </c>
      <c r="M3455" s="452">
        <v>45866</v>
      </c>
      <c r="N3455">
        <v>35</v>
      </c>
      <c r="O3455">
        <v>30</v>
      </c>
      <c r="P3455">
        <v>10.31</v>
      </c>
    </row>
    <row r="3456" spans="1:16" x14ac:dyDescent="0.3">
      <c r="A3456">
        <v>44393</v>
      </c>
      <c r="B3456">
        <v>105</v>
      </c>
      <c r="C3456" t="s">
        <v>557</v>
      </c>
      <c r="D3456" s="452">
        <v>45870</v>
      </c>
      <c r="E3456">
        <v>20792</v>
      </c>
      <c r="F3456" t="s">
        <v>5022</v>
      </c>
      <c r="G3456">
        <v>2076</v>
      </c>
      <c r="H3456">
        <v>1</v>
      </c>
      <c r="I3456" t="s">
        <v>4738</v>
      </c>
      <c r="J3456" t="s">
        <v>5191</v>
      </c>
      <c r="K3456" t="s">
        <v>4040</v>
      </c>
      <c r="L3456">
        <v>10.199999999999999</v>
      </c>
      <c r="M3456" s="452">
        <v>45852</v>
      </c>
      <c r="N3456">
        <v>10.199999999999999</v>
      </c>
      <c r="O3456">
        <v>9.8000000000000007</v>
      </c>
      <c r="P3456">
        <v>10.199999999999999</v>
      </c>
    </row>
    <row r="3457" spans="1:16" x14ac:dyDescent="0.3">
      <c r="A3457">
        <v>44396</v>
      </c>
      <c r="B3457">
        <v>105</v>
      </c>
      <c r="C3457" t="s">
        <v>557</v>
      </c>
      <c r="D3457" s="452">
        <v>45870</v>
      </c>
      <c r="E3457">
        <v>19577</v>
      </c>
      <c r="F3457" t="s">
        <v>4984</v>
      </c>
      <c r="G3457">
        <v>2641</v>
      </c>
      <c r="H3457">
        <v>1</v>
      </c>
      <c r="I3457" t="s">
        <v>4736</v>
      </c>
      <c r="J3457" t="s">
        <v>5191</v>
      </c>
      <c r="K3457" t="s">
        <v>4040</v>
      </c>
      <c r="L3457">
        <v>0</v>
      </c>
      <c r="M3457" s="452">
        <v>45532</v>
      </c>
      <c r="N3457">
        <v>10.199999999999999</v>
      </c>
      <c r="O3457">
        <v>17</v>
      </c>
      <c r="P3457">
        <v>10.199999999999999</v>
      </c>
    </row>
    <row r="3458" spans="1:16" x14ac:dyDescent="0.3">
      <c r="A3458">
        <v>44392</v>
      </c>
      <c r="B3458">
        <v>105</v>
      </c>
      <c r="C3458" t="s">
        <v>557</v>
      </c>
      <c r="D3458" s="452">
        <v>45870</v>
      </c>
      <c r="E3458">
        <v>20790</v>
      </c>
      <c r="F3458" t="s">
        <v>5020</v>
      </c>
      <c r="G3458">
        <v>2076</v>
      </c>
      <c r="H3458">
        <v>1</v>
      </c>
      <c r="I3458" t="s">
        <v>4744</v>
      </c>
      <c r="J3458" t="s">
        <v>5191</v>
      </c>
      <c r="K3458" t="s">
        <v>4040</v>
      </c>
      <c r="L3458">
        <v>9.93</v>
      </c>
      <c r="M3458" s="452">
        <v>45849</v>
      </c>
      <c r="N3458">
        <v>9.8000000000000007</v>
      </c>
      <c r="O3458">
        <v>9.8000000000000007</v>
      </c>
      <c r="P3458">
        <v>9.93</v>
      </c>
    </row>
    <row r="3459" spans="1:16" x14ac:dyDescent="0.3">
      <c r="A3459">
        <v>44375</v>
      </c>
      <c r="B3459">
        <v>105</v>
      </c>
      <c r="C3459" t="s">
        <v>557</v>
      </c>
      <c r="D3459" s="452">
        <v>45870</v>
      </c>
      <c r="E3459">
        <v>19590</v>
      </c>
      <c r="F3459" t="s">
        <v>5510</v>
      </c>
      <c r="G3459">
        <v>2636</v>
      </c>
      <c r="H3459">
        <v>1.25</v>
      </c>
      <c r="I3459" t="s">
        <v>4744</v>
      </c>
      <c r="J3459" t="s">
        <v>5191</v>
      </c>
      <c r="K3459" t="s">
        <v>4040</v>
      </c>
      <c r="L3459">
        <v>7.5</v>
      </c>
      <c r="M3459" s="452">
        <v>45861</v>
      </c>
      <c r="N3459">
        <v>7.5</v>
      </c>
      <c r="O3459">
        <v>7.5</v>
      </c>
      <c r="P3459">
        <v>9.3800000000000008</v>
      </c>
    </row>
    <row r="3460" spans="1:16" x14ac:dyDescent="0.3">
      <c r="A3460">
        <v>44386</v>
      </c>
      <c r="B3460">
        <v>105</v>
      </c>
      <c r="C3460" t="s">
        <v>557</v>
      </c>
      <c r="D3460" s="452">
        <v>45870</v>
      </c>
      <c r="E3460">
        <v>20022</v>
      </c>
      <c r="F3460" t="s">
        <v>5455</v>
      </c>
      <c r="G3460">
        <v>2340</v>
      </c>
      <c r="H3460">
        <v>1</v>
      </c>
      <c r="I3460" t="s">
        <v>4736</v>
      </c>
      <c r="J3460" t="s">
        <v>5191</v>
      </c>
      <c r="K3460" t="s">
        <v>4040</v>
      </c>
      <c r="L3460">
        <v>9.2100000000000009</v>
      </c>
      <c r="M3460" s="452">
        <v>45839</v>
      </c>
      <c r="N3460">
        <v>9.2100000000000009</v>
      </c>
      <c r="O3460">
        <v>9.2100000000000009</v>
      </c>
      <c r="P3460">
        <v>9.2100000000000009</v>
      </c>
    </row>
    <row r="3461" spans="1:16" x14ac:dyDescent="0.3">
      <c r="A3461">
        <v>44372</v>
      </c>
      <c r="B3461">
        <v>105</v>
      </c>
      <c r="C3461" t="s">
        <v>557</v>
      </c>
      <c r="D3461" s="452">
        <v>45870</v>
      </c>
      <c r="E3461">
        <v>23236</v>
      </c>
      <c r="F3461" t="s">
        <v>5062</v>
      </c>
      <c r="G3461">
        <v>2620</v>
      </c>
      <c r="H3461">
        <v>1.3</v>
      </c>
      <c r="I3461" t="s">
        <v>4744</v>
      </c>
      <c r="J3461" t="s">
        <v>5191</v>
      </c>
      <c r="K3461" t="s">
        <v>4040</v>
      </c>
      <c r="L3461">
        <v>7.03</v>
      </c>
      <c r="M3461" s="452">
        <v>45867</v>
      </c>
      <c r="N3461">
        <v>6</v>
      </c>
      <c r="O3461">
        <v>6</v>
      </c>
      <c r="P3461">
        <v>9.14</v>
      </c>
    </row>
    <row r="3462" spans="1:16" x14ac:dyDescent="0.3">
      <c r="A3462">
        <v>44441</v>
      </c>
      <c r="B3462">
        <v>105</v>
      </c>
      <c r="C3462" t="s">
        <v>557</v>
      </c>
      <c r="D3462" s="452">
        <v>45870</v>
      </c>
      <c r="E3462">
        <v>23184</v>
      </c>
      <c r="F3462" t="s">
        <v>4935</v>
      </c>
      <c r="G3462">
        <v>2670</v>
      </c>
      <c r="H3462">
        <v>0.5</v>
      </c>
      <c r="I3462" t="s">
        <v>4744</v>
      </c>
      <c r="J3462" t="s">
        <v>5191</v>
      </c>
      <c r="K3462" t="s">
        <v>4040</v>
      </c>
      <c r="L3462">
        <v>18.260000000000002</v>
      </c>
      <c r="M3462" s="452">
        <v>45862</v>
      </c>
      <c r="N3462">
        <v>15.5</v>
      </c>
      <c r="O3462">
        <v>13.5</v>
      </c>
      <c r="P3462">
        <v>9.1300000000000008</v>
      </c>
    </row>
    <row r="3463" spans="1:16" x14ac:dyDescent="0.3">
      <c r="A3463">
        <v>44382</v>
      </c>
      <c r="B3463">
        <v>105</v>
      </c>
      <c r="C3463" t="s">
        <v>557</v>
      </c>
      <c r="D3463" s="452">
        <v>45870</v>
      </c>
      <c r="E3463">
        <v>25079</v>
      </c>
      <c r="F3463" t="s">
        <v>5006</v>
      </c>
      <c r="G3463">
        <v>2239</v>
      </c>
      <c r="H3463">
        <v>1</v>
      </c>
      <c r="I3463" t="s">
        <v>4738</v>
      </c>
      <c r="J3463" t="s">
        <v>5191</v>
      </c>
      <c r="K3463" t="s">
        <v>4040</v>
      </c>
      <c r="L3463">
        <v>0</v>
      </c>
      <c r="M3463" s="452">
        <v>-693593</v>
      </c>
      <c r="N3463">
        <v>0</v>
      </c>
      <c r="O3463">
        <v>8.9499999999999993</v>
      </c>
      <c r="P3463">
        <v>8.9499999999999993</v>
      </c>
    </row>
    <row r="3464" spans="1:16" x14ac:dyDescent="0.3">
      <c r="A3464">
        <v>44257</v>
      </c>
      <c r="B3464">
        <v>105</v>
      </c>
      <c r="C3464" t="s">
        <v>557</v>
      </c>
      <c r="D3464" s="452">
        <v>45870</v>
      </c>
      <c r="E3464">
        <v>19621</v>
      </c>
      <c r="F3464" t="s">
        <v>4829</v>
      </c>
      <c r="G3464">
        <v>2613</v>
      </c>
      <c r="H3464">
        <v>5.3</v>
      </c>
      <c r="I3464" t="s">
        <v>4744</v>
      </c>
      <c r="J3464" t="s">
        <v>5191</v>
      </c>
      <c r="K3464" t="s">
        <v>4040</v>
      </c>
      <c r="L3464">
        <v>1.64</v>
      </c>
      <c r="M3464" s="452">
        <v>45867</v>
      </c>
      <c r="N3464">
        <v>1.59</v>
      </c>
      <c r="O3464">
        <v>1.62</v>
      </c>
      <c r="P3464">
        <v>8.69</v>
      </c>
    </row>
    <row r="3465" spans="1:16" x14ac:dyDescent="0.3">
      <c r="A3465">
        <v>44423</v>
      </c>
      <c r="B3465">
        <v>105</v>
      </c>
      <c r="C3465" t="s">
        <v>557</v>
      </c>
      <c r="D3465" s="452">
        <v>45870</v>
      </c>
      <c r="E3465">
        <v>19561</v>
      </c>
      <c r="F3465" t="s">
        <v>5365</v>
      </c>
      <c r="G3465">
        <v>2656</v>
      </c>
      <c r="H3465">
        <v>0.9</v>
      </c>
      <c r="I3465" t="s">
        <v>4744</v>
      </c>
      <c r="J3465" t="s">
        <v>5191</v>
      </c>
      <c r="K3465" t="s">
        <v>4040</v>
      </c>
      <c r="L3465">
        <v>9.19</v>
      </c>
      <c r="M3465" s="452">
        <v>45862</v>
      </c>
      <c r="N3465">
        <v>11.3</v>
      </c>
      <c r="O3465">
        <v>11.29</v>
      </c>
      <c r="P3465">
        <v>8.27</v>
      </c>
    </row>
    <row r="3466" spans="1:16" x14ac:dyDescent="0.3">
      <c r="A3466">
        <v>44430</v>
      </c>
      <c r="B3466">
        <v>105</v>
      </c>
      <c r="C3466" t="s">
        <v>557</v>
      </c>
      <c r="D3466" s="452">
        <v>45870</v>
      </c>
      <c r="E3466">
        <v>24302</v>
      </c>
      <c r="F3466" t="s">
        <v>4813</v>
      </c>
      <c r="G3466">
        <v>2251</v>
      </c>
      <c r="H3466">
        <v>0.72</v>
      </c>
      <c r="I3466" t="s">
        <v>4744</v>
      </c>
      <c r="J3466" t="s">
        <v>5191</v>
      </c>
      <c r="K3466" t="s">
        <v>4040</v>
      </c>
      <c r="L3466">
        <v>11.05</v>
      </c>
      <c r="M3466" s="452">
        <v>45852</v>
      </c>
      <c r="N3466">
        <v>10.9</v>
      </c>
      <c r="O3466">
        <v>11.19</v>
      </c>
      <c r="P3466">
        <v>7.96</v>
      </c>
    </row>
    <row r="3467" spans="1:16" x14ac:dyDescent="0.3">
      <c r="A3467">
        <v>44355</v>
      </c>
      <c r="B3467">
        <v>105</v>
      </c>
      <c r="C3467" t="s">
        <v>557</v>
      </c>
      <c r="D3467" s="452">
        <v>45870</v>
      </c>
      <c r="E3467">
        <v>19552</v>
      </c>
      <c r="F3467" t="s">
        <v>4860</v>
      </c>
      <c r="G3467">
        <v>2664</v>
      </c>
      <c r="H3467">
        <v>1.8</v>
      </c>
      <c r="I3467" t="s">
        <v>4744</v>
      </c>
      <c r="J3467" t="s">
        <v>5191</v>
      </c>
      <c r="K3467" t="s">
        <v>4040</v>
      </c>
      <c r="L3467">
        <v>4.26</v>
      </c>
      <c r="M3467" s="452">
        <v>45862</v>
      </c>
      <c r="N3467">
        <v>3.8</v>
      </c>
      <c r="O3467">
        <v>3.91</v>
      </c>
      <c r="P3467">
        <v>7.67</v>
      </c>
    </row>
    <row r="3468" spans="1:16" x14ac:dyDescent="0.3">
      <c r="A3468">
        <v>44286</v>
      </c>
      <c r="B3468">
        <v>105</v>
      </c>
      <c r="C3468" t="s">
        <v>557</v>
      </c>
      <c r="D3468" s="452">
        <v>45870</v>
      </c>
      <c r="E3468">
        <v>19553</v>
      </c>
      <c r="F3468" t="s">
        <v>4868</v>
      </c>
      <c r="G3468">
        <v>2663</v>
      </c>
      <c r="H3468">
        <v>3.7</v>
      </c>
      <c r="I3468" t="s">
        <v>4744</v>
      </c>
      <c r="J3468" t="s">
        <v>5191</v>
      </c>
      <c r="K3468" t="s">
        <v>4040</v>
      </c>
      <c r="L3468">
        <v>2.0499999999999998</v>
      </c>
      <c r="M3468" s="452">
        <v>45867</v>
      </c>
      <c r="N3468">
        <v>1.9</v>
      </c>
      <c r="O3468">
        <v>1.9</v>
      </c>
      <c r="P3468">
        <v>7.58</v>
      </c>
    </row>
    <row r="3469" spans="1:16" x14ac:dyDescent="0.3">
      <c r="A3469">
        <v>44305</v>
      </c>
      <c r="B3469">
        <v>105</v>
      </c>
      <c r="C3469" t="s">
        <v>557</v>
      </c>
      <c r="D3469" s="452">
        <v>45870</v>
      </c>
      <c r="E3469">
        <v>19622</v>
      </c>
      <c r="F3469" t="s">
        <v>4915</v>
      </c>
      <c r="G3469">
        <v>2612</v>
      </c>
      <c r="H3469">
        <v>3</v>
      </c>
      <c r="I3469" t="s">
        <v>4744</v>
      </c>
      <c r="J3469" t="s">
        <v>5191</v>
      </c>
      <c r="K3469" t="s">
        <v>4040</v>
      </c>
      <c r="L3469">
        <v>2.4700000000000002</v>
      </c>
      <c r="M3469" s="452">
        <v>45867</v>
      </c>
      <c r="N3469">
        <v>2.2599999999999998</v>
      </c>
      <c r="O3469">
        <v>2.2599999999999998</v>
      </c>
      <c r="P3469">
        <v>7.41</v>
      </c>
    </row>
    <row r="3470" spans="1:16" x14ac:dyDescent="0.3">
      <c r="A3470">
        <v>44432</v>
      </c>
      <c r="B3470">
        <v>105</v>
      </c>
      <c r="C3470" t="s">
        <v>557</v>
      </c>
      <c r="D3470" s="452">
        <v>45870</v>
      </c>
      <c r="E3470">
        <v>24598</v>
      </c>
      <c r="F3470" t="s">
        <v>4852</v>
      </c>
      <c r="G3470">
        <v>2725</v>
      </c>
      <c r="H3470">
        <v>0.7</v>
      </c>
      <c r="I3470" t="s">
        <v>4744</v>
      </c>
      <c r="J3470" t="s">
        <v>5191</v>
      </c>
      <c r="K3470" t="s">
        <v>4040</v>
      </c>
      <c r="L3470">
        <v>8.9</v>
      </c>
      <c r="M3470" s="452">
        <v>45845</v>
      </c>
      <c r="N3470">
        <v>8.9</v>
      </c>
      <c r="O3470">
        <v>8</v>
      </c>
      <c r="P3470">
        <v>6.23</v>
      </c>
    </row>
    <row r="3471" spans="1:16" x14ac:dyDescent="0.3">
      <c r="A3471">
        <v>44391</v>
      </c>
      <c r="B3471">
        <v>105</v>
      </c>
      <c r="C3471" t="s">
        <v>557</v>
      </c>
      <c r="D3471" s="452">
        <v>45870</v>
      </c>
      <c r="E3471">
        <v>19982</v>
      </c>
      <c r="F3471" t="s">
        <v>5017</v>
      </c>
      <c r="G3471">
        <v>2351</v>
      </c>
      <c r="H3471">
        <v>1</v>
      </c>
      <c r="I3471" t="s">
        <v>4888</v>
      </c>
      <c r="J3471" t="s">
        <v>5191</v>
      </c>
      <c r="K3471" t="s">
        <v>4040</v>
      </c>
      <c r="L3471">
        <v>0</v>
      </c>
      <c r="M3471" s="452">
        <v>45831</v>
      </c>
      <c r="N3471">
        <v>6.15</v>
      </c>
      <c r="O3471">
        <v>6.15</v>
      </c>
      <c r="P3471">
        <v>6.15</v>
      </c>
    </row>
    <row r="3472" spans="1:16" x14ac:dyDescent="0.3">
      <c r="A3472">
        <v>44458</v>
      </c>
      <c r="B3472">
        <v>105</v>
      </c>
      <c r="C3472" t="s">
        <v>557</v>
      </c>
      <c r="D3472" s="452">
        <v>45870</v>
      </c>
      <c r="E3472">
        <v>19562</v>
      </c>
      <c r="F3472" t="s">
        <v>4939</v>
      </c>
      <c r="G3472">
        <v>2655</v>
      </c>
      <c r="H3472">
        <v>0.2</v>
      </c>
      <c r="I3472" t="s">
        <v>4744</v>
      </c>
      <c r="J3472" t="s">
        <v>5191</v>
      </c>
      <c r="K3472" t="s">
        <v>4040</v>
      </c>
      <c r="L3472">
        <v>18.57</v>
      </c>
      <c r="M3472" s="452">
        <v>45867</v>
      </c>
      <c r="N3472">
        <v>13</v>
      </c>
      <c r="O3472">
        <v>13</v>
      </c>
      <c r="P3472">
        <v>3.71</v>
      </c>
    </row>
    <row r="3473" spans="1:16" x14ac:dyDescent="0.3">
      <c r="A3473">
        <v>44445</v>
      </c>
      <c r="B3473">
        <v>105</v>
      </c>
      <c r="C3473" t="s">
        <v>557</v>
      </c>
      <c r="D3473" s="452">
        <v>45870</v>
      </c>
      <c r="E3473">
        <v>19488</v>
      </c>
      <c r="F3473" t="s">
        <v>5107</v>
      </c>
      <c r="G3473">
        <v>2720</v>
      </c>
      <c r="H3473">
        <v>0.4</v>
      </c>
      <c r="I3473" t="s">
        <v>4744</v>
      </c>
      <c r="J3473" t="s">
        <v>5191</v>
      </c>
      <c r="K3473" t="s">
        <v>4040</v>
      </c>
      <c r="L3473">
        <v>8.84</v>
      </c>
      <c r="M3473" s="452">
        <v>45862</v>
      </c>
      <c r="N3473">
        <v>9</v>
      </c>
      <c r="O3473">
        <v>8.2799999999999994</v>
      </c>
      <c r="P3473">
        <v>3.54</v>
      </c>
    </row>
    <row r="3474" spans="1:16" x14ac:dyDescent="0.3">
      <c r="A3474">
        <v>44456</v>
      </c>
      <c r="B3474">
        <v>105</v>
      </c>
      <c r="C3474" t="s">
        <v>557</v>
      </c>
      <c r="D3474" s="452">
        <v>45870</v>
      </c>
      <c r="E3474">
        <v>21098</v>
      </c>
      <c r="F3474" t="s">
        <v>5511</v>
      </c>
      <c r="G3474">
        <v>1987</v>
      </c>
      <c r="H3474">
        <v>0.2</v>
      </c>
      <c r="I3474" t="s">
        <v>4738</v>
      </c>
      <c r="J3474" t="s">
        <v>5191</v>
      </c>
      <c r="K3474" t="s">
        <v>4040</v>
      </c>
      <c r="L3474">
        <v>0</v>
      </c>
      <c r="M3474" s="452">
        <v>-693593</v>
      </c>
      <c r="N3474">
        <v>0</v>
      </c>
      <c r="O3474">
        <v>17.25</v>
      </c>
      <c r="P3474">
        <v>3.41</v>
      </c>
    </row>
    <row r="3475" spans="1:16" x14ac:dyDescent="0.3">
      <c r="A3475">
        <v>44454</v>
      </c>
      <c r="B3475">
        <v>105</v>
      </c>
      <c r="C3475" t="s">
        <v>557</v>
      </c>
      <c r="D3475" s="452">
        <v>45870</v>
      </c>
      <c r="E3475">
        <v>19480</v>
      </c>
      <c r="F3475" t="s">
        <v>5119</v>
      </c>
      <c r="G3475">
        <v>2726</v>
      </c>
      <c r="H3475">
        <v>0.25</v>
      </c>
      <c r="I3475" t="s">
        <v>4744</v>
      </c>
      <c r="J3475" t="s">
        <v>5191</v>
      </c>
      <c r="K3475" t="s">
        <v>4040</v>
      </c>
      <c r="L3475">
        <v>13.26</v>
      </c>
      <c r="M3475" s="452">
        <v>45866</v>
      </c>
      <c r="N3475">
        <v>15</v>
      </c>
      <c r="O3475">
        <v>10.5</v>
      </c>
      <c r="P3475">
        <v>3.32</v>
      </c>
    </row>
    <row r="3476" spans="1:16" x14ac:dyDescent="0.3">
      <c r="A3476">
        <v>44447</v>
      </c>
      <c r="B3476">
        <v>105</v>
      </c>
      <c r="C3476" t="s">
        <v>557</v>
      </c>
      <c r="D3476" s="452">
        <v>45870</v>
      </c>
      <c r="E3476">
        <v>19557</v>
      </c>
      <c r="F3476" t="s">
        <v>5051</v>
      </c>
      <c r="G3476">
        <v>2660</v>
      </c>
      <c r="H3476">
        <v>0.4</v>
      </c>
      <c r="I3476" t="s">
        <v>4744</v>
      </c>
      <c r="J3476" t="s">
        <v>5191</v>
      </c>
      <c r="K3476" t="s">
        <v>4040</v>
      </c>
      <c r="L3476">
        <v>0</v>
      </c>
      <c r="M3476" s="452">
        <v>45819</v>
      </c>
      <c r="N3476">
        <v>7.5</v>
      </c>
      <c r="O3476">
        <v>6.9</v>
      </c>
      <c r="P3476">
        <v>3</v>
      </c>
    </row>
    <row r="3477" spans="1:16" x14ac:dyDescent="0.3">
      <c r="A3477">
        <v>44451</v>
      </c>
      <c r="B3477">
        <v>105</v>
      </c>
      <c r="C3477" t="s">
        <v>557</v>
      </c>
      <c r="D3477" s="452">
        <v>45870</v>
      </c>
      <c r="E3477">
        <v>19468</v>
      </c>
      <c r="F3477" t="s">
        <v>5074</v>
      </c>
      <c r="G3477">
        <v>2736</v>
      </c>
      <c r="H3477">
        <v>0.3</v>
      </c>
      <c r="I3477" t="s">
        <v>4744</v>
      </c>
      <c r="J3477" t="s">
        <v>5191</v>
      </c>
      <c r="K3477" t="s">
        <v>4040</v>
      </c>
      <c r="L3477">
        <v>0</v>
      </c>
      <c r="M3477" s="452">
        <v>45824</v>
      </c>
      <c r="N3477">
        <v>7.5</v>
      </c>
      <c r="O3477">
        <v>6</v>
      </c>
      <c r="P3477">
        <v>2.25</v>
      </c>
    </row>
    <row r="3478" spans="1:16" x14ac:dyDescent="0.3">
      <c r="A3478">
        <v>44453</v>
      </c>
      <c r="B3478">
        <v>105</v>
      </c>
      <c r="C3478" t="s">
        <v>557</v>
      </c>
      <c r="D3478" s="452">
        <v>45870</v>
      </c>
      <c r="E3478">
        <v>19607</v>
      </c>
      <c r="F3478" t="s">
        <v>4981</v>
      </c>
      <c r="G3478">
        <v>2623</v>
      </c>
      <c r="H3478">
        <v>0.25</v>
      </c>
      <c r="I3478" t="s">
        <v>4744</v>
      </c>
      <c r="J3478" t="s">
        <v>5191</v>
      </c>
      <c r="K3478" t="s">
        <v>4040</v>
      </c>
      <c r="L3478">
        <v>8.65</v>
      </c>
      <c r="M3478" s="452">
        <v>45854</v>
      </c>
      <c r="N3478">
        <v>8.9499999999999993</v>
      </c>
      <c r="O3478">
        <v>8</v>
      </c>
      <c r="P3478">
        <v>2.16</v>
      </c>
    </row>
    <row r="3479" spans="1:16" x14ac:dyDescent="0.3">
      <c r="A3479">
        <v>44448</v>
      </c>
      <c r="B3479">
        <v>105</v>
      </c>
      <c r="C3479" t="s">
        <v>557</v>
      </c>
      <c r="D3479" s="452">
        <v>45870</v>
      </c>
      <c r="E3479">
        <v>24674</v>
      </c>
      <c r="F3479" t="s">
        <v>5060</v>
      </c>
      <c r="G3479">
        <v>5709</v>
      </c>
      <c r="H3479">
        <v>0.4</v>
      </c>
      <c r="I3479" t="s">
        <v>4744</v>
      </c>
      <c r="J3479" t="s">
        <v>5191</v>
      </c>
      <c r="K3479" t="s">
        <v>4040</v>
      </c>
      <c r="L3479">
        <v>0</v>
      </c>
      <c r="M3479" s="452">
        <v>-693593</v>
      </c>
      <c r="N3479">
        <v>0</v>
      </c>
      <c r="O3479">
        <v>1.3</v>
      </c>
      <c r="P3479">
        <v>0.32</v>
      </c>
    </row>
    <row r="3480" spans="1:16" x14ac:dyDescent="0.3">
      <c r="A3480">
        <v>44251</v>
      </c>
      <c r="B3480">
        <v>105</v>
      </c>
      <c r="C3480" t="s">
        <v>557</v>
      </c>
      <c r="D3480" s="452">
        <v>45870</v>
      </c>
      <c r="E3480">
        <v>24614</v>
      </c>
      <c r="F3480" t="s">
        <v>4897</v>
      </c>
      <c r="G3480">
        <v>3855</v>
      </c>
      <c r="H3480">
        <v>6</v>
      </c>
      <c r="I3480" t="s">
        <v>4805</v>
      </c>
      <c r="J3480" t="s">
        <v>5222</v>
      </c>
      <c r="K3480" t="s">
        <v>4040</v>
      </c>
      <c r="L3480">
        <v>0</v>
      </c>
      <c r="M3480" s="452">
        <v>45846</v>
      </c>
      <c r="N3480">
        <v>0</v>
      </c>
      <c r="O3480">
        <v>39.299999999999997</v>
      </c>
      <c r="P3480">
        <v>0</v>
      </c>
    </row>
    <row r="3481" spans="1:16" x14ac:dyDescent="0.3">
      <c r="A3481">
        <v>44253</v>
      </c>
      <c r="B3481">
        <v>105</v>
      </c>
      <c r="C3481" t="s">
        <v>557</v>
      </c>
      <c r="D3481" s="452">
        <v>45870</v>
      </c>
      <c r="E3481">
        <v>17658</v>
      </c>
      <c r="F3481" t="s">
        <v>4978</v>
      </c>
      <c r="G3481">
        <v>3871</v>
      </c>
      <c r="H3481">
        <v>6</v>
      </c>
      <c r="I3481" t="s">
        <v>4805</v>
      </c>
      <c r="J3481" t="s">
        <v>5222</v>
      </c>
      <c r="K3481" t="s">
        <v>4040</v>
      </c>
      <c r="L3481">
        <v>0</v>
      </c>
      <c r="M3481" s="452">
        <v>45861</v>
      </c>
      <c r="N3481">
        <v>0</v>
      </c>
      <c r="O3481">
        <v>0</v>
      </c>
      <c r="P3481">
        <v>0</v>
      </c>
    </row>
    <row r="3482" spans="1:16" x14ac:dyDescent="0.3">
      <c r="A3482">
        <v>44314</v>
      </c>
      <c r="B3482">
        <v>105</v>
      </c>
      <c r="C3482" t="s">
        <v>557</v>
      </c>
      <c r="D3482" s="452">
        <v>45870</v>
      </c>
      <c r="E3482">
        <v>17713</v>
      </c>
      <c r="F3482" t="s">
        <v>5512</v>
      </c>
      <c r="G3482">
        <v>3823</v>
      </c>
      <c r="H3482">
        <v>3</v>
      </c>
      <c r="I3482" t="s">
        <v>4805</v>
      </c>
      <c r="J3482" t="s">
        <v>5222</v>
      </c>
      <c r="K3482" t="s">
        <v>4040</v>
      </c>
      <c r="L3482">
        <v>0</v>
      </c>
      <c r="M3482" s="452">
        <v>45853</v>
      </c>
      <c r="N3482">
        <v>0</v>
      </c>
      <c r="O3482">
        <v>0</v>
      </c>
      <c r="P3482">
        <v>0</v>
      </c>
    </row>
    <row r="3483" spans="1:16" x14ac:dyDescent="0.3">
      <c r="A3483">
        <v>44338</v>
      </c>
      <c r="B3483">
        <v>105</v>
      </c>
      <c r="C3483" t="s">
        <v>557</v>
      </c>
      <c r="D3483" s="452">
        <v>45870</v>
      </c>
      <c r="E3483">
        <v>23234</v>
      </c>
      <c r="F3483" t="s">
        <v>4986</v>
      </c>
      <c r="G3483">
        <v>2622</v>
      </c>
      <c r="H3483">
        <v>2</v>
      </c>
      <c r="I3483" t="s">
        <v>4744</v>
      </c>
      <c r="J3483" t="s">
        <v>5191</v>
      </c>
      <c r="K3483" t="s">
        <v>4040</v>
      </c>
      <c r="L3483">
        <v>0</v>
      </c>
      <c r="M3483" s="452">
        <v>45854</v>
      </c>
      <c r="N3483">
        <v>0</v>
      </c>
      <c r="O3483">
        <v>21.3</v>
      </c>
      <c r="P3483">
        <v>0</v>
      </c>
    </row>
    <row r="3484" spans="1:16" x14ac:dyDescent="0.3">
      <c r="A3484">
        <v>44481</v>
      </c>
      <c r="B3484">
        <v>105</v>
      </c>
      <c r="C3484" t="s">
        <v>557</v>
      </c>
      <c r="D3484" s="452">
        <v>45870</v>
      </c>
      <c r="E3484">
        <v>18587</v>
      </c>
      <c r="F3484" t="s">
        <v>5483</v>
      </c>
      <c r="G3484">
        <v>3103</v>
      </c>
      <c r="H3484">
        <v>31</v>
      </c>
      <c r="I3484" t="s">
        <v>4736</v>
      </c>
      <c r="J3484" t="s">
        <v>5222</v>
      </c>
      <c r="K3484" t="s">
        <v>4040</v>
      </c>
      <c r="L3484">
        <v>0</v>
      </c>
      <c r="M3484" s="452">
        <v>-693593</v>
      </c>
      <c r="N3484">
        <v>0</v>
      </c>
      <c r="O3484">
        <v>0</v>
      </c>
      <c r="P3484">
        <v>0</v>
      </c>
    </row>
    <row r="3485" spans="1:16" x14ac:dyDescent="0.3">
      <c r="A3485">
        <v>41198</v>
      </c>
      <c r="B3485">
        <v>105</v>
      </c>
      <c r="C3485" t="s">
        <v>557</v>
      </c>
      <c r="D3485" s="452">
        <v>45839</v>
      </c>
      <c r="E3485">
        <v>25775</v>
      </c>
      <c r="F3485" t="s">
        <v>5473</v>
      </c>
      <c r="G3485">
        <v>6321</v>
      </c>
      <c r="H3485">
        <v>29.3</v>
      </c>
      <c r="I3485" t="s">
        <v>4744</v>
      </c>
      <c r="J3485" t="s">
        <v>5191</v>
      </c>
      <c r="K3485" t="s">
        <v>3935</v>
      </c>
      <c r="L3485">
        <v>116</v>
      </c>
      <c r="M3485" s="452">
        <v>45831</v>
      </c>
      <c r="N3485">
        <v>116</v>
      </c>
      <c r="O3485">
        <v>116</v>
      </c>
      <c r="P3485">
        <v>3398.8</v>
      </c>
    </row>
    <row r="3486" spans="1:16" x14ac:dyDescent="0.3">
      <c r="A3486">
        <v>41275</v>
      </c>
      <c r="B3486">
        <v>105</v>
      </c>
      <c r="C3486" t="s">
        <v>557</v>
      </c>
      <c r="D3486" s="452">
        <v>45839</v>
      </c>
      <c r="E3486">
        <v>17957</v>
      </c>
      <c r="F3486" t="s">
        <v>4745</v>
      </c>
      <c r="G3486">
        <v>3622</v>
      </c>
      <c r="H3486">
        <v>152</v>
      </c>
      <c r="I3486" t="s">
        <v>4736</v>
      </c>
      <c r="J3486" t="s">
        <v>5222</v>
      </c>
      <c r="K3486" t="s">
        <v>3935</v>
      </c>
      <c r="L3486">
        <v>15.9</v>
      </c>
      <c r="M3486" s="452">
        <v>45835</v>
      </c>
      <c r="N3486">
        <v>15.9</v>
      </c>
      <c r="O3486">
        <v>15.9</v>
      </c>
      <c r="P3486">
        <v>2416.8000000000002</v>
      </c>
    </row>
    <row r="3487" spans="1:16" x14ac:dyDescent="0.3">
      <c r="A3487">
        <v>41218</v>
      </c>
      <c r="B3487">
        <v>105</v>
      </c>
      <c r="C3487" t="s">
        <v>557</v>
      </c>
      <c r="D3487" s="452">
        <v>45839</v>
      </c>
      <c r="E3487">
        <v>26130</v>
      </c>
      <c r="F3487" t="s">
        <v>5513</v>
      </c>
      <c r="G3487">
        <v>6583</v>
      </c>
      <c r="H3487">
        <v>13.4</v>
      </c>
      <c r="I3487" t="s">
        <v>4744</v>
      </c>
      <c r="J3487" t="s">
        <v>5191</v>
      </c>
      <c r="K3487" t="s">
        <v>3935</v>
      </c>
      <c r="L3487">
        <v>0</v>
      </c>
      <c r="M3487" s="452">
        <v>45743</v>
      </c>
      <c r="N3487">
        <v>162</v>
      </c>
      <c r="O3487">
        <v>162</v>
      </c>
      <c r="P3487">
        <v>2170.8000000000002</v>
      </c>
    </row>
    <row r="3488" spans="1:16" x14ac:dyDescent="0.3">
      <c r="A3488">
        <v>41211</v>
      </c>
      <c r="B3488">
        <v>105</v>
      </c>
      <c r="C3488" t="s">
        <v>557</v>
      </c>
      <c r="D3488" s="452">
        <v>45839</v>
      </c>
      <c r="E3488">
        <v>25777</v>
      </c>
      <c r="F3488" t="s">
        <v>4774</v>
      </c>
      <c r="G3488">
        <v>6322</v>
      </c>
      <c r="H3488">
        <v>19.5</v>
      </c>
      <c r="I3488" t="s">
        <v>4744</v>
      </c>
      <c r="J3488" t="s">
        <v>5191</v>
      </c>
      <c r="K3488" t="s">
        <v>3935</v>
      </c>
      <c r="L3488">
        <v>0</v>
      </c>
      <c r="M3488" s="452">
        <v>45772</v>
      </c>
      <c r="N3488">
        <v>83</v>
      </c>
      <c r="O3488">
        <v>83</v>
      </c>
      <c r="P3488">
        <v>1618.5</v>
      </c>
    </row>
    <row r="3489" spans="1:16" x14ac:dyDescent="0.3">
      <c r="A3489">
        <v>41208</v>
      </c>
      <c r="B3489">
        <v>105</v>
      </c>
      <c r="C3489" t="s">
        <v>557</v>
      </c>
      <c r="D3489" s="452">
        <v>45839</v>
      </c>
      <c r="E3489">
        <v>18945</v>
      </c>
      <c r="F3489" t="s">
        <v>4768</v>
      </c>
      <c r="G3489">
        <v>2929</v>
      </c>
      <c r="H3489">
        <v>26</v>
      </c>
      <c r="I3489" t="s">
        <v>4744</v>
      </c>
      <c r="J3489" t="s">
        <v>5191</v>
      </c>
      <c r="K3489" t="s">
        <v>3935</v>
      </c>
      <c r="L3489">
        <v>58.25</v>
      </c>
      <c r="M3489" s="452">
        <v>45832</v>
      </c>
      <c r="N3489">
        <v>58.25</v>
      </c>
      <c r="O3489">
        <v>58.25</v>
      </c>
      <c r="P3489">
        <v>1514.5</v>
      </c>
    </row>
    <row r="3490" spans="1:16" x14ac:dyDescent="0.3">
      <c r="A3490">
        <v>41277</v>
      </c>
      <c r="B3490">
        <v>105</v>
      </c>
      <c r="C3490" t="s">
        <v>557</v>
      </c>
      <c r="D3490" s="452">
        <v>45839</v>
      </c>
      <c r="E3490">
        <v>22118</v>
      </c>
      <c r="F3490" t="s">
        <v>4765</v>
      </c>
      <c r="G3490">
        <v>3600</v>
      </c>
      <c r="H3490">
        <v>52</v>
      </c>
      <c r="I3490" t="s">
        <v>4749</v>
      </c>
      <c r="J3490" t="s">
        <v>5222</v>
      </c>
      <c r="K3490" t="s">
        <v>3935</v>
      </c>
      <c r="L3490">
        <v>27.48</v>
      </c>
      <c r="M3490" s="452">
        <v>45832</v>
      </c>
      <c r="N3490">
        <v>27.48</v>
      </c>
      <c r="O3490">
        <v>32.18</v>
      </c>
      <c r="P3490">
        <v>1428.96</v>
      </c>
    </row>
    <row r="3491" spans="1:16" x14ac:dyDescent="0.3">
      <c r="A3491">
        <v>41062</v>
      </c>
      <c r="B3491">
        <v>105</v>
      </c>
      <c r="C3491" t="s">
        <v>557</v>
      </c>
      <c r="D3491" s="452">
        <v>45839</v>
      </c>
      <c r="E3491">
        <v>21021</v>
      </c>
      <c r="F3491" t="s">
        <v>4883</v>
      </c>
      <c r="G3491">
        <v>2003</v>
      </c>
      <c r="H3491">
        <v>8</v>
      </c>
      <c r="I3491" t="s">
        <v>4884</v>
      </c>
      <c r="J3491" t="s">
        <v>5191</v>
      </c>
      <c r="K3491" t="s">
        <v>3935</v>
      </c>
      <c r="L3491">
        <v>170.3</v>
      </c>
      <c r="M3491" s="452">
        <v>45832</v>
      </c>
      <c r="N3491">
        <v>170.3</v>
      </c>
      <c r="O3491">
        <v>167.9</v>
      </c>
      <c r="P3491">
        <v>1362.4</v>
      </c>
    </row>
    <row r="3492" spans="1:16" x14ac:dyDescent="0.3">
      <c r="A3492">
        <v>41201</v>
      </c>
      <c r="B3492">
        <v>105</v>
      </c>
      <c r="C3492" t="s">
        <v>557</v>
      </c>
      <c r="D3492" s="452">
        <v>45839</v>
      </c>
      <c r="E3492">
        <v>25785</v>
      </c>
      <c r="F3492" t="s">
        <v>5457</v>
      </c>
      <c r="G3492">
        <v>6326</v>
      </c>
      <c r="H3492">
        <v>15</v>
      </c>
      <c r="I3492" t="s">
        <v>4744</v>
      </c>
      <c r="J3492" t="s">
        <v>5191</v>
      </c>
      <c r="K3492" t="s">
        <v>3935</v>
      </c>
      <c r="L3492">
        <v>89.9</v>
      </c>
      <c r="M3492" s="452">
        <v>45817</v>
      </c>
      <c r="N3492">
        <v>89.9</v>
      </c>
      <c r="O3492">
        <v>89.9</v>
      </c>
      <c r="P3492">
        <v>1348.5</v>
      </c>
    </row>
    <row r="3493" spans="1:16" x14ac:dyDescent="0.3">
      <c r="A3493">
        <v>41210</v>
      </c>
      <c r="B3493">
        <v>105</v>
      </c>
      <c r="C3493" t="s">
        <v>557</v>
      </c>
      <c r="D3493" s="452">
        <v>45839</v>
      </c>
      <c r="E3493">
        <v>24259</v>
      </c>
      <c r="F3493" t="s">
        <v>4875</v>
      </c>
      <c r="G3493">
        <v>2938</v>
      </c>
      <c r="H3493">
        <v>20.6</v>
      </c>
      <c r="I3493" t="s">
        <v>4744</v>
      </c>
      <c r="J3493" t="s">
        <v>5191</v>
      </c>
      <c r="K3493" t="s">
        <v>3935</v>
      </c>
      <c r="L3493">
        <v>64.599999999999994</v>
      </c>
      <c r="M3493" s="452">
        <v>45838</v>
      </c>
      <c r="N3493">
        <v>0</v>
      </c>
      <c r="O3493">
        <v>69.040000000000006</v>
      </c>
      <c r="P3493">
        <v>1330.76</v>
      </c>
    </row>
    <row r="3494" spans="1:16" x14ac:dyDescent="0.3">
      <c r="A3494">
        <v>43039</v>
      </c>
      <c r="B3494">
        <v>105</v>
      </c>
      <c r="C3494" t="s">
        <v>557</v>
      </c>
      <c r="D3494" s="452">
        <v>45839</v>
      </c>
      <c r="E3494">
        <v>18636</v>
      </c>
      <c r="F3494" t="s">
        <v>4964</v>
      </c>
      <c r="G3494">
        <v>3075</v>
      </c>
      <c r="H3494">
        <v>2.9</v>
      </c>
      <c r="I3494" t="s">
        <v>4965</v>
      </c>
      <c r="J3494" t="s">
        <v>5222</v>
      </c>
      <c r="K3494" t="s">
        <v>3935</v>
      </c>
      <c r="L3494">
        <v>446.16</v>
      </c>
      <c r="M3494" s="452">
        <v>45832</v>
      </c>
      <c r="N3494">
        <v>446.16</v>
      </c>
      <c r="O3494">
        <v>446.16</v>
      </c>
      <c r="P3494">
        <v>1293.8599999999999</v>
      </c>
    </row>
    <row r="3495" spans="1:16" x14ac:dyDescent="0.3">
      <c r="A3495">
        <v>41024</v>
      </c>
      <c r="B3495">
        <v>105</v>
      </c>
      <c r="C3495" t="s">
        <v>557</v>
      </c>
      <c r="D3495" s="452">
        <v>45839</v>
      </c>
      <c r="E3495">
        <v>21054</v>
      </c>
      <c r="F3495" t="s">
        <v>5492</v>
      </c>
      <c r="G3495">
        <v>1999</v>
      </c>
      <c r="H3495">
        <v>6.8</v>
      </c>
      <c r="I3495" t="s">
        <v>4736</v>
      </c>
      <c r="J3495" t="s">
        <v>5191</v>
      </c>
      <c r="K3495" t="s">
        <v>3935</v>
      </c>
      <c r="L3495">
        <v>0</v>
      </c>
      <c r="M3495" s="452">
        <v>45678</v>
      </c>
      <c r="N3495">
        <v>184.9</v>
      </c>
      <c r="O3495">
        <v>184.9</v>
      </c>
      <c r="P3495">
        <v>1257.32</v>
      </c>
    </row>
    <row r="3496" spans="1:16" x14ac:dyDescent="0.3">
      <c r="A3496">
        <v>41228</v>
      </c>
      <c r="B3496">
        <v>105</v>
      </c>
      <c r="C3496" t="s">
        <v>557</v>
      </c>
      <c r="D3496" s="452">
        <v>45839</v>
      </c>
      <c r="E3496">
        <v>22623</v>
      </c>
      <c r="F3496" t="s">
        <v>4751</v>
      </c>
      <c r="G3496">
        <v>3106</v>
      </c>
      <c r="H3496">
        <v>171</v>
      </c>
      <c r="I3496" t="s">
        <v>4736</v>
      </c>
      <c r="J3496" t="s">
        <v>5222</v>
      </c>
      <c r="K3496" t="s">
        <v>3935</v>
      </c>
      <c r="L3496">
        <v>0</v>
      </c>
      <c r="M3496" s="452">
        <v>45679</v>
      </c>
      <c r="N3496">
        <v>6.83</v>
      </c>
      <c r="O3496">
        <v>6.83</v>
      </c>
      <c r="P3496">
        <v>1167.93</v>
      </c>
    </row>
    <row r="3497" spans="1:16" x14ac:dyDescent="0.3">
      <c r="A3497">
        <v>41224</v>
      </c>
      <c r="B3497">
        <v>105</v>
      </c>
      <c r="C3497" t="s">
        <v>557</v>
      </c>
      <c r="D3497" s="452">
        <v>45839</v>
      </c>
      <c r="E3497">
        <v>22654</v>
      </c>
      <c r="F3497" t="s">
        <v>4735</v>
      </c>
      <c r="G3497">
        <v>3083</v>
      </c>
      <c r="H3497">
        <v>203</v>
      </c>
      <c r="I3497" t="s">
        <v>4736</v>
      </c>
      <c r="J3497" t="s">
        <v>5222</v>
      </c>
      <c r="K3497" t="s">
        <v>3935</v>
      </c>
      <c r="L3497">
        <v>0</v>
      </c>
      <c r="M3497" s="452">
        <v>45679</v>
      </c>
      <c r="N3497">
        <v>5.61</v>
      </c>
      <c r="O3497">
        <v>4.49</v>
      </c>
      <c r="P3497">
        <v>1138.83</v>
      </c>
    </row>
    <row r="3498" spans="1:16" x14ac:dyDescent="0.3">
      <c r="A3498">
        <v>41072</v>
      </c>
      <c r="B3498">
        <v>105</v>
      </c>
      <c r="C3498" t="s">
        <v>557</v>
      </c>
      <c r="D3498" s="452">
        <v>45839</v>
      </c>
      <c r="E3498">
        <v>20501</v>
      </c>
      <c r="F3498" t="s">
        <v>4760</v>
      </c>
      <c r="G3498">
        <v>2154</v>
      </c>
      <c r="H3498">
        <v>55.65</v>
      </c>
      <c r="I3498" t="s">
        <v>4744</v>
      </c>
      <c r="J3498" t="s">
        <v>5191</v>
      </c>
      <c r="K3498" t="s">
        <v>3935</v>
      </c>
      <c r="L3498">
        <v>0</v>
      </c>
      <c r="M3498" s="452">
        <v>45797</v>
      </c>
      <c r="N3498">
        <v>19.989999999999998</v>
      </c>
      <c r="O3498">
        <v>23.8</v>
      </c>
      <c r="P3498">
        <v>1112.44</v>
      </c>
    </row>
    <row r="3499" spans="1:16" x14ac:dyDescent="0.3">
      <c r="A3499">
        <v>41188</v>
      </c>
      <c r="B3499">
        <v>105</v>
      </c>
      <c r="C3499" t="s">
        <v>557</v>
      </c>
      <c r="D3499" s="452">
        <v>45839</v>
      </c>
      <c r="E3499">
        <v>19356</v>
      </c>
      <c r="F3499" t="s">
        <v>4799</v>
      </c>
      <c r="G3499">
        <v>2768</v>
      </c>
      <c r="H3499">
        <v>19.5</v>
      </c>
      <c r="I3499" t="s">
        <v>4744</v>
      </c>
      <c r="J3499" t="s">
        <v>5191</v>
      </c>
      <c r="K3499" t="s">
        <v>3935</v>
      </c>
      <c r="L3499">
        <v>55.9</v>
      </c>
      <c r="M3499" s="452">
        <v>45817</v>
      </c>
      <c r="N3499">
        <v>55.9</v>
      </c>
      <c r="O3499">
        <v>53.23</v>
      </c>
      <c r="P3499">
        <v>1090.05</v>
      </c>
    </row>
    <row r="3500" spans="1:16" x14ac:dyDescent="0.3">
      <c r="A3500">
        <v>41354</v>
      </c>
      <c r="B3500">
        <v>105</v>
      </c>
      <c r="C3500" t="s">
        <v>557</v>
      </c>
      <c r="D3500" s="452">
        <v>45839</v>
      </c>
      <c r="E3500">
        <v>21150</v>
      </c>
      <c r="F3500" t="s">
        <v>4878</v>
      </c>
      <c r="G3500">
        <v>1951</v>
      </c>
      <c r="H3500">
        <v>10</v>
      </c>
      <c r="I3500" t="s">
        <v>4879</v>
      </c>
      <c r="J3500" t="s">
        <v>5191</v>
      </c>
      <c r="K3500" t="s">
        <v>3935</v>
      </c>
      <c r="L3500">
        <v>0</v>
      </c>
      <c r="M3500" s="452">
        <v>45469</v>
      </c>
      <c r="N3500">
        <v>106.9</v>
      </c>
      <c r="O3500">
        <v>74</v>
      </c>
      <c r="P3500">
        <v>1069</v>
      </c>
    </row>
    <row r="3501" spans="1:16" x14ac:dyDescent="0.3">
      <c r="A3501">
        <v>41220</v>
      </c>
      <c r="B3501">
        <v>105</v>
      </c>
      <c r="C3501" t="s">
        <v>557</v>
      </c>
      <c r="D3501" s="452">
        <v>45839</v>
      </c>
      <c r="E3501">
        <v>25789</v>
      </c>
      <c r="F3501" t="s">
        <v>4902</v>
      </c>
      <c r="G3501">
        <v>6328</v>
      </c>
      <c r="H3501">
        <v>10.6</v>
      </c>
      <c r="I3501" t="s">
        <v>4744</v>
      </c>
      <c r="J3501" t="s">
        <v>5191</v>
      </c>
      <c r="K3501" t="s">
        <v>3935</v>
      </c>
      <c r="L3501">
        <v>0</v>
      </c>
      <c r="M3501" s="452">
        <v>45671</v>
      </c>
      <c r="N3501">
        <v>99.8</v>
      </c>
      <c r="O3501">
        <v>99.8</v>
      </c>
      <c r="P3501">
        <v>1057.8800000000001</v>
      </c>
    </row>
    <row r="3502" spans="1:16" x14ac:dyDescent="0.3">
      <c r="A3502">
        <v>41203</v>
      </c>
      <c r="B3502">
        <v>105</v>
      </c>
      <c r="C3502" t="s">
        <v>557</v>
      </c>
      <c r="D3502" s="452">
        <v>45839</v>
      </c>
      <c r="E3502">
        <v>25779</v>
      </c>
      <c r="F3502" t="s">
        <v>5456</v>
      </c>
      <c r="G3502">
        <v>6323</v>
      </c>
      <c r="H3502">
        <v>35.08</v>
      </c>
      <c r="I3502" t="s">
        <v>4744</v>
      </c>
      <c r="J3502" t="s">
        <v>5191</v>
      </c>
      <c r="K3502" t="s">
        <v>3935</v>
      </c>
      <c r="L3502">
        <v>27.9</v>
      </c>
      <c r="M3502" s="452">
        <v>45831</v>
      </c>
      <c r="N3502">
        <v>27.9</v>
      </c>
      <c r="O3502">
        <v>27.9</v>
      </c>
      <c r="P3502">
        <v>978.73</v>
      </c>
    </row>
    <row r="3503" spans="1:16" x14ac:dyDescent="0.3">
      <c r="A3503">
        <v>43040</v>
      </c>
      <c r="B3503">
        <v>105</v>
      </c>
      <c r="C3503" t="s">
        <v>557</v>
      </c>
      <c r="D3503" s="452">
        <v>45839</v>
      </c>
      <c r="E3503">
        <v>27145</v>
      </c>
      <c r="F3503" t="s">
        <v>5028</v>
      </c>
      <c r="G3503">
        <v>7186</v>
      </c>
      <c r="H3503">
        <v>1.3</v>
      </c>
      <c r="I3503" t="s">
        <v>4965</v>
      </c>
      <c r="J3503" t="s">
        <v>5222</v>
      </c>
      <c r="K3503" t="s">
        <v>3935</v>
      </c>
      <c r="L3503">
        <v>0</v>
      </c>
      <c r="N3503">
        <v>0</v>
      </c>
      <c r="O3503">
        <v>0</v>
      </c>
      <c r="P3503">
        <v>872</v>
      </c>
    </row>
    <row r="3504" spans="1:16" x14ac:dyDescent="0.3">
      <c r="A3504">
        <v>41223</v>
      </c>
      <c r="B3504">
        <v>105</v>
      </c>
      <c r="C3504" t="s">
        <v>557</v>
      </c>
      <c r="D3504" s="452">
        <v>45839</v>
      </c>
      <c r="E3504">
        <v>24129</v>
      </c>
      <c r="F3504" t="s">
        <v>4740</v>
      </c>
      <c r="G3504">
        <v>3076</v>
      </c>
      <c r="H3504">
        <v>109</v>
      </c>
      <c r="I3504" t="s">
        <v>4736</v>
      </c>
      <c r="J3504" t="s">
        <v>5222</v>
      </c>
      <c r="K3504" t="s">
        <v>3935</v>
      </c>
      <c r="L3504">
        <v>0</v>
      </c>
      <c r="M3504" s="452">
        <v>45512</v>
      </c>
      <c r="N3504">
        <v>7.7</v>
      </c>
      <c r="O3504">
        <v>7.95</v>
      </c>
      <c r="P3504">
        <v>839.3</v>
      </c>
    </row>
    <row r="3505" spans="1:16" x14ac:dyDescent="0.3">
      <c r="A3505">
        <v>41233</v>
      </c>
      <c r="B3505">
        <v>105</v>
      </c>
      <c r="C3505" t="s">
        <v>557</v>
      </c>
      <c r="D3505" s="452">
        <v>45839</v>
      </c>
      <c r="E3505">
        <v>18550</v>
      </c>
      <c r="F3505" t="s">
        <v>4967</v>
      </c>
      <c r="G3505">
        <v>3130</v>
      </c>
      <c r="H3505">
        <v>4</v>
      </c>
      <c r="I3505" t="s">
        <v>4805</v>
      </c>
      <c r="J3505" t="s">
        <v>5222</v>
      </c>
      <c r="K3505" t="s">
        <v>3935</v>
      </c>
      <c r="L3505">
        <v>0</v>
      </c>
      <c r="M3505" s="452">
        <v>45757</v>
      </c>
      <c r="N3505">
        <v>183.08</v>
      </c>
      <c r="O3505">
        <v>176.96</v>
      </c>
      <c r="P3505">
        <v>732.32</v>
      </c>
    </row>
    <row r="3506" spans="1:16" x14ac:dyDescent="0.3">
      <c r="A3506">
        <v>41205</v>
      </c>
      <c r="B3506">
        <v>105</v>
      </c>
      <c r="C3506" t="s">
        <v>557</v>
      </c>
      <c r="D3506" s="452">
        <v>45839</v>
      </c>
      <c r="E3506">
        <v>19041</v>
      </c>
      <c r="F3506" t="s">
        <v>4762</v>
      </c>
      <c r="G3506">
        <v>2890</v>
      </c>
      <c r="H3506">
        <v>48</v>
      </c>
      <c r="I3506" t="s">
        <v>4744</v>
      </c>
      <c r="J3506" t="s">
        <v>5191</v>
      </c>
      <c r="K3506" t="s">
        <v>3935</v>
      </c>
      <c r="L3506">
        <v>15.22</v>
      </c>
      <c r="M3506" s="452">
        <v>45838</v>
      </c>
      <c r="N3506">
        <v>15.49</v>
      </c>
      <c r="O3506">
        <v>15.49</v>
      </c>
      <c r="P3506">
        <v>730.56</v>
      </c>
    </row>
    <row r="3507" spans="1:16" x14ac:dyDescent="0.3">
      <c r="A3507">
        <v>41193</v>
      </c>
      <c r="B3507">
        <v>105</v>
      </c>
      <c r="C3507" t="s">
        <v>557</v>
      </c>
      <c r="D3507" s="452">
        <v>45839</v>
      </c>
      <c r="E3507">
        <v>19291</v>
      </c>
      <c r="F3507" t="s">
        <v>4870</v>
      </c>
      <c r="G3507">
        <v>2775</v>
      </c>
      <c r="H3507">
        <v>9.75</v>
      </c>
      <c r="I3507" t="s">
        <v>4744</v>
      </c>
      <c r="J3507" t="s">
        <v>5191</v>
      </c>
      <c r="K3507" t="s">
        <v>3935</v>
      </c>
      <c r="L3507">
        <v>74.03</v>
      </c>
      <c r="M3507" s="452">
        <v>45824</v>
      </c>
      <c r="N3507">
        <v>75.31</v>
      </c>
      <c r="O3507">
        <v>73.510000000000005</v>
      </c>
      <c r="P3507">
        <v>721.79</v>
      </c>
    </row>
    <row r="3508" spans="1:16" x14ac:dyDescent="0.3">
      <c r="A3508">
        <v>41200</v>
      </c>
      <c r="B3508">
        <v>105</v>
      </c>
      <c r="C3508" t="s">
        <v>557</v>
      </c>
      <c r="D3508" s="452">
        <v>45839</v>
      </c>
      <c r="E3508">
        <v>24116</v>
      </c>
      <c r="F3508" t="s">
        <v>4777</v>
      </c>
      <c r="G3508">
        <v>2924</v>
      </c>
      <c r="H3508">
        <v>14.5</v>
      </c>
      <c r="I3508" t="s">
        <v>4744</v>
      </c>
      <c r="J3508" t="s">
        <v>5191</v>
      </c>
      <c r="K3508" t="s">
        <v>3935</v>
      </c>
      <c r="L3508">
        <v>44</v>
      </c>
      <c r="M3508" s="452">
        <v>45829</v>
      </c>
      <c r="N3508">
        <v>44</v>
      </c>
      <c r="O3508">
        <v>44</v>
      </c>
      <c r="P3508">
        <v>638</v>
      </c>
    </row>
    <row r="3509" spans="1:16" x14ac:dyDescent="0.3">
      <c r="A3509">
        <v>41262</v>
      </c>
      <c r="B3509">
        <v>105</v>
      </c>
      <c r="C3509" t="s">
        <v>557</v>
      </c>
      <c r="D3509" s="452">
        <v>45839</v>
      </c>
      <c r="E3509">
        <v>18179</v>
      </c>
      <c r="F3509" t="s">
        <v>4924</v>
      </c>
      <c r="G3509">
        <v>3443</v>
      </c>
      <c r="H3509">
        <v>6</v>
      </c>
      <c r="I3509" t="s">
        <v>4805</v>
      </c>
      <c r="J3509" t="s">
        <v>5222</v>
      </c>
      <c r="K3509" t="s">
        <v>3935</v>
      </c>
      <c r="L3509">
        <v>0</v>
      </c>
      <c r="M3509" s="452">
        <v>45646</v>
      </c>
      <c r="N3509">
        <v>102.56</v>
      </c>
      <c r="O3509">
        <v>105.54</v>
      </c>
      <c r="P3509">
        <v>615.36</v>
      </c>
    </row>
    <row r="3510" spans="1:16" x14ac:dyDescent="0.3">
      <c r="A3510">
        <v>41217</v>
      </c>
      <c r="B3510">
        <v>105</v>
      </c>
      <c r="C3510" t="s">
        <v>557</v>
      </c>
      <c r="D3510" s="452">
        <v>45839</v>
      </c>
      <c r="E3510">
        <v>18735</v>
      </c>
      <c r="F3510" t="s">
        <v>4891</v>
      </c>
      <c r="G3510">
        <v>3018</v>
      </c>
      <c r="H3510">
        <v>6.9</v>
      </c>
      <c r="I3510" t="s">
        <v>4744</v>
      </c>
      <c r="J3510" t="s">
        <v>5191</v>
      </c>
      <c r="K3510" t="s">
        <v>3935</v>
      </c>
      <c r="L3510">
        <v>89</v>
      </c>
      <c r="M3510" s="452">
        <v>45831</v>
      </c>
      <c r="N3510">
        <v>89</v>
      </c>
      <c r="O3510">
        <v>67.900000000000006</v>
      </c>
      <c r="P3510">
        <v>614.1</v>
      </c>
    </row>
    <row r="3511" spans="1:16" x14ac:dyDescent="0.3">
      <c r="A3511">
        <v>41214</v>
      </c>
      <c r="B3511">
        <v>105</v>
      </c>
      <c r="C3511" t="s">
        <v>557</v>
      </c>
      <c r="D3511" s="452">
        <v>45839</v>
      </c>
      <c r="E3511">
        <v>24320</v>
      </c>
      <c r="F3511" t="s">
        <v>4861</v>
      </c>
      <c r="G3511">
        <v>2942</v>
      </c>
      <c r="H3511">
        <v>12.3</v>
      </c>
      <c r="I3511" t="s">
        <v>4744</v>
      </c>
      <c r="J3511" t="s">
        <v>5191</v>
      </c>
      <c r="K3511" t="s">
        <v>3935</v>
      </c>
      <c r="L3511">
        <v>49.9</v>
      </c>
      <c r="M3511" s="452">
        <v>45831</v>
      </c>
      <c r="N3511">
        <v>49.9</v>
      </c>
      <c r="O3511">
        <v>33.799999999999997</v>
      </c>
      <c r="P3511">
        <v>613.77</v>
      </c>
    </row>
    <row r="3512" spans="1:16" x14ac:dyDescent="0.3">
      <c r="A3512">
        <v>41241</v>
      </c>
      <c r="B3512">
        <v>105</v>
      </c>
      <c r="C3512" t="s">
        <v>557</v>
      </c>
      <c r="D3512" s="452">
        <v>45839</v>
      </c>
      <c r="E3512">
        <v>18475</v>
      </c>
      <c r="F3512" t="s">
        <v>4895</v>
      </c>
      <c r="G3512">
        <v>3181</v>
      </c>
      <c r="H3512">
        <v>18</v>
      </c>
      <c r="I3512" t="s">
        <v>4805</v>
      </c>
      <c r="J3512" t="s">
        <v>5222</v>
      </c>
      <c r="K3512" t="s">
        <v>3935</v>
      </c>
      <c r="L3512">
        <v>32.9</v>
      </c>
      <c r="M3512" s="452">
        <v>45832</v>
      </c>
      <c r="N3512">
        <v>32.9</v>
      </c>
      <c r="O3512">
        <v>32.9</v>
      </c>
      <c r="P3512">
        <v>592.20000000000005</v>
      </c>
    </row>
    <row r="3513" spans="1:16" x14ac:dyDescent="0.3">
      <c r="A3513">
        <v>41209</v>
      </c>
      <c r="B3513">
        <v>105</v>
      </c>
      <c r="C3513" t="s">
        <v>557</v>
      </c>
      <c r="D3513" s="452">
        <v>45839</v>
      </c>
      <c r="E3513">
        <v>24256</v>
      </c>
      <c r="F3513" t="s">
        <v>4773</v>
      </c>
      <c r="G3513">
        <v>3003</v>
      </c>
      <c r="H3513">
        <v>14.1</v>
      </c>
      <c r="I3513" t="s">
        <v>4744</v>
      </c>
      <c r="J3513" t="s">
        <v>5191</v>
      </c>
      <c r="K3513" t="s">
        <v>3935</v>
      </c>
      <c r="L3513">
        <v>41.5</v>
      </c>
      <c r="M3513" s="452">
        <v>45824</v>
      </c>
      <c r="N3513">
        <v>45</v>
      </c>
      <c r="O3513">
        <v>38</v>
      </c>
      <c r="P3513">
        <v>585.15</v>
      </c>
    </row>
    <row r="3514" spans="1:16" x14ac:dyDescent="0.3">
      <c r="A3514">
        <v>41070</v>
      </c>
      <c r="B3514">
        <v>105</v>
      </c>
      <c r="C3514" t="s">
        <v>557</v>
      </c>
      <c r="D3514" s="452">
        <v>45839</v>
      </c>
      <c r="E3514">
        <v>20544</v>
      </c>
      <c r="F3514" t="s">
        <v>4808</v>
      </c>
      <c r="G3514">
        <v>2144</v>
      </c>
      <c r="H3514">
        <v>13.8</v>
      </c>
      <c r="I3514" t="s">
        <v>4744</v>
      </c>
      <c r="J3514" t="s">
        <v>5191</v>
      </c>
      <c r="K3514" t="s">
        <v>3935</v>
      </c>
      <c r="L3514">
        <v>0</v>
      </c>
      <c r="M3514" s="452">
        <v>45705</v>
      </c>
      <c r="N3514">
        <v>38.32</v>
      </c>
      <c r="O3514">
        <v>38.32</v>
      </c>
      <c r="P3514">
        <v>528.82000000000005</v>
      </c>
    </row>
    <row r="3515" spans="1:16" x14ac:dyDescent="0.3">
      <c r="A3515">
        <v>41302</v>
      </c>
      <c r="B3515">
        <v>105</v>
      </c>
      <c r="C3515" t="s">
        <v>557</v>
      </c>
      <c r="D3515" s="452">
        <v>45839</v>
      </c>
      <c r="E3515">
        <v>17607</v>
      </c>
      <c r="F3515" t="s">
        <v>5436</v>
      </c>
      <c r="G3515">
        <v>3919</v>
      </c>
      <c r="H3515">
        <v>4</v>
      </c>
      <c r="I3515" t="s">
        <v>4736</v>
      </c>
      <c r="J3515" t="s">
        <v>5222</v>
      </c>
      <c r="K3515" t="s">
        <v>3935</v>
      </c>
      <c r="L3515">
        <v>0</v>
      </c>
      <c r="M3515" s="452">
        <v>-693593</v>
      </c>
      <c r="N3515">
        <v>0</v>
      </c>
      <c r="O3515">
        <v>0</v>
      </c>
      <c r="P3515">
        <v>489.24</v>
      </c>
    </row>
    <row r="3516" spans="1:16" x14ac:dyDescent="0.3">
      <c r="A3516">
        <v>41186</v>
      </c>
      <c r="B3516">
        <v>105</v>
      </c>
      <c r="C3516" t="s">
        <v>557</v>
      </c>
      <c r="D3516" s="452">
        <v>45839</v>
      </c>
      <c r="E3516">
        <v>19401</v>
      </c>
      <c r="F3516" t="s">
        <v>4809</v>
      </c>
      <c r="G3516">
        <v>2761</v>
      </c>
      <c r="H3516">
        <v>10.4</v>
      </c>
      <c r="I3516" t="s">
        <v>4744</v>
      </c>
      <c r="J3516" t="s">
        <v>5191</v>
      </c>
      <c r="K3516" t="s">
        <v>3935</v>
      </c>
      <c r="L3516">
        <v>46.19</v>
      </c>
      <c r="M3516" s="452">
        <v>45831</v>
      </c>
      <c r="N3516">
        <v>47.9</v>
      </c>
      <c r="O3516">
        <v>47.98</v>
      </c>
      <c r="P3516">
        <v>480.38</v>
      </c>
    </row>
    <row r="3517" spans="1:16" x14ac:dyDescent="0.3">
      <c r="A3517">
        <v>41300</v>
      </c>
      <c r="B3517">
        <v>105</v>
      </c>
      <c r="C3517" t="s">
        <v>557</v>
      </c>
      <c r="D3517" s="452">
        <v>45839</v>
      </c>
      <c r="E3517">
        <v>17578</v>
      </c>
      <c r="F3517" t="s">
        <v>4842</v>
      </c>
      <c r="G3517">
        <v>3948</v>
      </c>
      <c r="H3517">
        <v>6</v>
      </c>
      <c r="I3517" t="s">
        <v>4805</v>
      </c>
      <c r="J3517" t="s">
        <v>5222</v>
      </c>
      <c r="K3517" t="s">
        <v>3935</v>
      </c>
      <c r="L3517">
        <v>0</v>
      </c>
      <c r="M3517" s="452">
        <v>45698</v>
      </c>
      <c r="N3517">
        <v>79.209999999999994</v>
      </c>
      <c r="O3517">
        <v>0</v>
      </c>
      <c r="P3517">
        <v>475.26</v>
      </c>
    </row>
    <row r="3518" spans="1:16" x14ac:dyDescent="0.3">
      <c r="A3518">
        <v>41215</v>
      </c>
      <c r="B3518">
        <v>105</v>
      </c>
      <c r="C3518" t="s">
        <v>557</v>
      </c>
      <c r="D3518" s="452">
        <v>45839</v>
      </c>
      <c r="E3518">
        <v>18832</v>
      </c>
      <c r="F3518" t="s">
        <v>4785</v>
      </c>
      <c r="G3518">
        <v>2950</v>
      </c>
      <c r="H3518">
        <v>9.6</v>
      </c>
      <c r="I3518" t="s">
        <v>4744</v>
      </c>
      <c r="J3518" t="s">
        <v>5191</v>
      </c>
      <c r="K3518" t="s">
        <v>3935</v>
      </c>
      <c r="L3518">
        <v>47</v>
      </c>
      <c r="M3518" s="452">
        <v>45831</v>
      </c>
      <c r="N3518">
        <v>47</v>
      </c>
      <c r="O3518">
        <v>47</v>
      </c>
      <c r="P3518">
        <v>451.2</v>
      </c>
    </row>
    <row r="3519" spans="1:16" x14ac:dyDescent="0.3">
      <c r="A3519">
        <v>41353</v>
      </c>
      <c r="B3519">
        <v>105</v>
      </c>
      <c r="C3519" t="s">
        <v>557</v>
      </c>
      <c r="D3519" s="452">
        <v>45839</v>
      </c>
      <c r="E3519">
        <v>21149</v>
      </c>
      <c r="F3519" t="s">
        <v>5514</v>
      </c>
      <c r="G3519">
        <v>1951</v>
      </c>
      <c r="H3519">
        <v>10</v>
      </c>
      <c r="I3519" t="s">
        <v>4744</v>
      </c>
      <c r="J3519" t="s">
        <v>5191</v>
      </c>
      <c r="K3519" t="s">
        <v>3935</v>
      </c>
      <c r="L3519">
        <v>0</v>
      </c>
      <c r="M3519" s="452">
        <v>-693593</v>
      </c>
      <c r="N3519">
        <v>0</v>
      </c>
      <c r="O3519">
        <v>45.01</v>
      </c>
      <c r="P3519">
        <v>450.09</v>
      </c>
    </row>
    <row r="3520" spans="1:16" x14ac:dyDescent="0.3">
      <c r="A3520">
        <v>41197</v>
      </c>
      <c r="B3520">
        <v>105</v>
      </c>
      <c r="C3520" t="s">
        <v>557</v>
      </c>
      <c r="D3520" s="452">
        <v>45839</v>
      </c>
      <c r="E3520">
        <v>22871</v>
      </c>
      <c r="F3520" t="s">
        <v>4898</v>
      </c>
      <c r="G3520">
        <v>2915</v>
      </c>
      <c r="H3520">
        <v>13.7</v>
      </c>
      <c r="I3520" t="s">
        <v>4744</v>
      </c>
      <c r="J3520" t="s">
        <v>5191</v>
      </c>
      <c r="K3520" t="s">
        <v>3935</v>
      </c>
      <c r="L3520">
        <v>31.9</v>
      </c>
      <c r="M3520" s="452">
        <v>45831</v>
      </c>
      <c r="N3520">
        <v>31.9</v>
      </c>
      <c r="O3520">
        <v>31.9</v>
      </c>
      <c r="P3520">
        <v>437.03</v>
      </c>
    </row>
    <row r="3521" spans="1:16" x14ac:dyDescent="0.3">
      <c r="A3521">
        <v>41293</v>
      </c>
      <c r="B3521">
        <v>105</v>
      </c>
      <c r="C3521" t="s">
        <v>557</v>
      </c>
      <c r="D3521" s="452">
        <v>45839</v>
      </c>
      <c r="E3521">
        <v>25714</v>
      </c>
      <c r="F3521" t="s">
        <v>4927</v>
      </c>
      <c r="G3521">
        <v>6275</v>
      </c>
      <c r="H3521">
        <v>3</v>
      </c>
      <c r="I3521" t="s">
        <v>4805</v>
      </c>
      <c r="J3521" t="s">
        <v>5222</v>
      </c>
      <c r="K3521" t="s">
        <v>3935</v>
      </c>
      <c r="L3521">
        <v>0</v>
      </c>
      <c r="M3521" s="452">
        <v>45757</v>
      </c>
      <c r="N3521">
        <v>136.37</v>
      </c>
      <c r="O3521">
        <v>142.38999999999999</v>
      </c>
      <c r="P3521">
        <v>409.11</v>
      </c>
    </row>
    <row r="3522" spans="1:16" x14ac:dyDescent="0.3">
      <c r="A3522">
        <v>41204</v>
      </c>
      <c r="B3522">
        <v>105</v>
      </c>
      <c r="C3522" t="s">
        <v>557</v>
      </c>
      <c r="D3522" s="452">
        <v>45839</v>
      </c>
      <c r="E3522">
        <v>24199</v>
      </c>
      <c r="F3522" t="s">
        <v>4783</v>
      </c>
      <c r="G3522">
        <v>5084</v>
      </c>
      <c r="H3522">
        <v>13.45</v>
      </c>
      <c r="I3522" t="s">
        <v>4744</v>
      </c>
      <c r="J3522" t="s">
        <v>5191</v>
      </c>
      <c r="K3522" t="s">
        <v>3935</v>
      </c>
      <c r="L3522">
        <v>29.46</v>
      </c>
      <c r="M3522" s="452">
        <v>45838</v>
      </c>
      <c r="N3522">
        <v>29.8</v>
      </c>
      <c r="O3522">
        <v>14.6</v>
      </c>
      <c r="P3522">
        <v>396.24</v>
      </c>
    </row>
    <row r="3523" spans="1:16" x14ac:dyDescent="0.3">
      <c r="A3523">
        <v>41199</v>
      </c>
      <c r="B3523">
        <v>105</v>
      </c>
      <c r="C3523" t="s">
        <v>557</v>
      </c>
      <c r="D3523" s="452">
        <v>45839</v>
      </c>
      <c r="E3523">
        <v>22721</v>
      </c>
      <c r="F3523" t="s">
        <v>4803</v>
      </c>
      <c r="G3523">
        <v>3033</v>
      </c>
      <c r="H3523">
        <v>11.69</v>
      </c>
      <c r="I3523" t="s">
        <v>4744</v>
      </c>
      <c r="J3523" t="s">
        <v>5191</v>
      </c>
      <c r="K3523" t="s">
        <v>3935</v>
      </c>
      <c r="L3523">
        <v>33.75</v>
      </c>
      <c r="M3523" s="452">
        <v>45835</v>
      </c>
      <c r="N3523">
        <v>33.75</v>
      </c>
      <c r="O3523">
        <v>33.75</v>
      </c>
      <c r="P3523">
        <v>394.54</v>
      </c>
    </row>
    <row r="3524" spans="1:16" x14ac:dyDescent="0.3">
      <c r="A3524">
        <v>41343</v>
      </c>
      <c r="B3524">
        <v>105</v>
      </c>
      <c r="C3524" t="s">
        <v>557</v>
      </c>
      <c r="D3524" s="452">
        <v>45839</v>
      </c>
      <c r="E3524">
        <v>26505</v>
      </c>
      <c r="F3524" t="s">
        <v>4750</v>
      </c>
      <c r="G3524">
        <v>6762</v>
      </c>
      <c r="H3524">
        <v>1.79</v>
      </c>
      <c r="I3524" t="s">
        <v>4738</v>
      </c>
      <c r="J3524" t="s">
        <v>5222</v>
      </c>
      <c r="K3524" t="s">
        <v>3935</v>
      </c>
      <c r="L3524">
        <v>0</v>
      </c>
      <c r="M3524" s="452">
        <v>45722</v>
      </c>
      <c r="N3524">
        <v>203.42</v>
      </c>
      <c r="O3524">
        <v>146.80000000000001</v>
      </c>
      <c r="P3524">
        <v>364.46</v>
      </c>
    </row>
    <row r="3525" spans="1:16" x14ac:dyDescent="0.3">
      <c r="A3525">
        <v>41189</v>
      </c>
      <c r="B3525">
        <v>105</v>
      </c>
      <c r="C3525" t="s">
        <v>557</v>
      </c>
      <c r="D3525" s="452">
        <v>45839</v>
      </c>
      <c r="E3525">
        <v>23082</v>
      </c>
      <c r="F3525" t="s">
        <v>4904</v>
      </c>
      <c r="G3525">
        <v>2763</v>
      </c>
      <c r="H3525">
        <v>4.5</v>
      </c>
      <c r="I3525" t="s">
        <v>4744</v>
      </c>
      <c r="J3525" t="s">
        <v>5191</v>
      </c>
      <c r="K3525" t="s">
        <v>3935</v>
      </c>
      <c r="L3525">
        <v>78.900000000000006</v>
      </c>
      <c r="M3525" s="452">
        <v>45824</v>
      </c>
      <c r="N3525">
        <v>78.900000000000006</v>
      </c>
      <c r="O3525">
        <v>78.900000000000006</v>
      </c>
      <c r="P3525">
        <v>355.05</v>
      </c>
    </row>
    <row r="3526" spans="1:16" x14ac:dyDescent="0.3">
      <c r="A3526">
        <v>41219</v>
      </c>
      <c r="B3526">
        <v>105</v>
      </c>
      <c r="C3526" t="s">
        <v>557</v>
      </c>
      <c r="D3526" s="452">
        <v>45839</v>
      </c>
      <c r="E3526">
        <v>18731</v>
      </c>
      <c r="F3526" t="s">
        <v>4832</v>
      </c>
      <c r="G3526">
        <v>3020</v>
      </c>
      <c r="H3526">
        <v>4.8</v>
      </c>
      <c r="I3526" t="s">
        <v>4744</v>
      </c>
      <c r="J3526" t="s">
        <v>5191</v>
      </c>
      <c r="K3526" t="s">
        <v>3935</v>
      </c>
      <c r="L3526">
        <v>73</v>
      </c>
      <c r="M3526" s="452">
        <v>45814</v>
      </c>
      <c r="N3526">
        <v>73</v>
      </c>
      <c r="O3526">
        <v>73</v>
      </c>
      <c r="P3526">
        <v>350.4</v>
      </c>
    </row>
    <row r="3527" spans="1:16" x14ac:dyDescent="0.3">
      <c r="A3527">
        <v>41234</v>
      </c>
      <c r="B3527">
        <v>105</v>
      </c>
      <c r="C3527" t="s">
        <v>557</v>
      </c>
      <c r="D3527" s="452">
        <v>45839</v>
      </c>
      <c r="E3527">
        <v>18547</v>
      </c>
      <c r="F3527" t="s">
        <v>4863</v>
      </c>
      <c r="G3527">
        <v>3132</v>
      </c>
      <c r="H3527">
        <v>10</v>
      </c>
      <c r="I3527" t="s">
        <v>4805</v>
      </c>
      <c r="J3527" t="s">
        <v>5222</v>
      </c>
      <c r="K3527" t="s">
        <v>3935</v>
      </c>
      <c r="L3527">
        <v>0</v>
      </c>
      <c r="M3527" s="452">
        <v>45742</v>
      </c>
      <c r="N3527">
        <v>34.75</v>
      </c>
      <c r="O3527">
        <v>37.520000000000003</v>
      </c>
      <c r="P3527">
        <v>347.5</v>
      </c>
    </row>
    <row r="3528" spans="1:16" x14ac:dyDescent="0.3">
      <c r="A3528">
        <v>41020</v>
      </c>
      <c r="B3528">
        <v>105</v>
      </c>
      <c r="C3528" t="s">
        <v>557</v>
      </c>
      <c r="D3528" s="452">
        <v>45839</v>
      </c>
      <c r="E3528">
        <v>20301</v>
      </c>
      <c r="F3528" t="s">
        <v>4944</v>
      </c>
      <c r="G3528">
        <v>2223</v>
      </c>
      <c r="H3528">
        <v>13</v>
      </c>
      <c r="I3528" t="s">
        <v>4738</v>
      </c>
      <c r="J3528" t="s">
        <v>5191</v>
      </c>
      <c r="K3528" t="s">
        <v>3935</v>
      </c>
      <c r="L3528">
        <v>26.17</v>
      </c>
      <c r="M3528" s="452">
        <v>45835</v>
      </c>
      <c r="N3528">
        <v>25.96</v>
      </c>
      <c r="O3528">
        <v>25.96</v>
      </c>
      <c r="P3528">
        <v>340.21</v>
      </c>
    </row>
    <row r="3529" spans="1:16" x14ac:dyDescent="0.3">
      <c r="A3529">
        <v>41303</v>
      </c>
      <c r="B3529">
        <v>105</v>
      </c>
      <c r="C3529" t="s">
        <v>557</v>
      </c>
      <c r="D3529" s="452">
        <v>45839</v>
      </c>
      <c r="E3529">
        <v>26040</v>
      </c>
      <c r="F3529" t="s">
        <v>4812</v>
      </c>
      <c r="G3529">
        <v>6507</v>
      </c>
      <c r="H3529">
        <v>7</v>
      </c>
      <c r="I3529" t="s">
        <v>4805</v>
      </c>
      <c r="J3529" t="s">
        <v>5222</v>
      </c>
      <c r="K3529" t="s">
        <v>3935</v>
      </c>
      <c r="L3529">
        <v>48.46</v>
      </c>
      <c r="M3529" s="452">
        <v>45833</v>
      </c>
      <c r="N3529">
        <v>48.45</v>
      </c>
      <c r="O3529">
        <v>48.45</v>
      </c>
      <c r="P3529">
        <v>339.22</v>
      </c>
    </row>
    <row r="3530" spans="1:16" x14ac:dyDescent="0.3">
      <c r="A3530">
        <v>41216</v>
      </c>
      <c r="B3530">
        <v>105</v>
      </c>
      <c r="C3530" t="s">
        <v>557</v>
      </c>
      <c r="D3530" s="452">
        <v>45839</v>
      </c>
      <c r="E3530">
        <v>18996</v>
      </c>
      <c r="F3530" t="s">
        <v>5130</v>
      </c>
      <c r="G3530">
        <v>2900</v>
      </c>
      <c r="H3530">
        <v>17.399999999999999</v>
      </c>
      <c r="I3530" t="s">
        <v>4744</v>
      </c>
      <c r="J3530" t="s">
        <v>5191</v>
      </c>
      <c r="K3530" t="s">
        <v>3935</v>
      </c>
      <c r="L3530">
        <v>19.170000000000002</v>
      </c>
      <c r="M3530" s="452">
        <v>45838</v>
      </c>
      <c r="N3530">
        <v>17.89</v>
      </c>
      <c r="O3530">
        <v>17.89</v>
      </c>
      <c r="P3530">
        <v>333.56</v>
      </c>
    </row>
    <row r="3531" spans="1:16" x14ac:dyDescent="0.3">
      <c r="A3531">
        <v>41294</v>
      </c>
      <c r="B3531">
        <v>105</v>
      </c>
      <c r="C3531" t="s">
        <v>557</v>
      </c>
      <c r="D3531" s="452">
        <v>45839</v>
      </c>
      <c r="E3531">
        <v>25683</v>
      </c>
      <c r="F3531" t="s">
        <v>4928</v>
      </c>
      <c r="G3531">
        <v>6244</v>
      </c>
      <c r="H3531">
        <v>3</v>
      </c>
      <c r="I3531" t="s">
        <v>4805</v>
      </c>
      <c r="J3531" t="s">
        <v>5222</v>
      </c>
      <c r="K3531" t="s">
        <v>3935</v>
      </c>
      <c r="L3531">
        <v>0</v>
      </c>
      <c r="M3531" s="452">
        <v>45789</v>
      </c>
      <c r="N3531">
        <v>107.99</v>
      </c>
      <c r="O3531">
        <v>113.1</v>
      </c>
      <c r="P3531">
        <v>323.97000000000003</v>
      </c>
    </row>
    <row r="3532" spans="1:16" x14ac:dyDescent="0.3">
      <c r="A3532">
        <v>41048</v>
      </c>
      <c r="B3532">
        <v>105</v>
      </c>
      <c r="C3532" t="s">
        <v>557</v>
      </c>
      <c r="D3532" s="452">
        <v>45839</v>
      </c>
      <c r="E3532">
        <v>20382</v>
      </c>
      <c r="F3532" t="s">
        <v>4780</v>
      </c>
      <c r="G3532">
        <v>2196</v>
      </c>
      <c r="H3532">
        <v>36</v>
      </c>
      <c r="I3532" t="s">
        <v>4738</v>
      </c>
      <c r="J3532" t="s">
        <v>5191</v>
      </c>
      <c r="K3532" t="s">
        <v>3935</v>
      </c>
      <c r="L3532">
        <v>8.9700000000000006</v>
      </c>
      <c r="M3532" s="452">
        <v>45825</v>
      </c>
      <c r="N3532">
        <v>8.99</v>
      </c>
      <c r="O3532">
        <v>8.99</v>
      </c>
      <c r="P3532">
        <v>322.92</v>
      </c>
    </row>
    <row r="3533" spans="1:16" x14ac:dyDescent="0.3">
      <c r="A3533">
        <v>41092</v>
      </c>
      <c r="B3533">
        <v>105</v>
      </c>
      <c r="C3533" t="s">
        <v>557</v>
      </c>
      <c r="D3533" s="452">
        <v>45839</v>
      </c>
      <c r="E3533">
        <v>20999</v>
      </c>
      <c r="F3533" t="s">
        <v>5493</v>
      </c>
      <c r="G3533">
        <v>2008</v>
      </c>
      <c r="H3533">
        <v>20</v>
      </c>
      <c r="I3533" t="s">
        <v>4888</v>
      </c>
      <c r="J3533" t="s">
        <v>5191</v>
      </c>
      <c r="K3533" t="s">
        <v>3935</v>
      </c>
      <c r="L3533">
        <v>15.65</v>
      </c>
      <c r="M3533" s="452">
        <v>45831</v>
      </c>
      <c r="N3533">
        <v>16.809999999999999</v>
      </c>
      <c r="O3533">
        <v>16.809999999999999</v>
      </c>
      <c r="P3533">
        <v>313</v>
      </c>
    </row>
    <row r="3534" spans="1:16" x14ac:dyDescent="0.3">
      <c r="A3534">
        <v>41281</v>
      </c>
      <c r="B3534">
        <v>105</v>
      </c>
      <c r="C3534" t="s">
        <v>557</v>
      </c>
      <c r="D3534" s="452">
        <v>45839</v>
      </c>
      <c r="E3534">
        <v>24226</v>
      </c>
      <c r="F3534" t="s">
        <v>4795</v>
      </c>
      <c r="G3534">
        <v>3647</v>
      </c>
      <c r="H3534">
        <v>48</v>
      </c>
      <c r="I3534" t="s">
        <v>4736</v>
      </c>
      <c r="J3534" t="s">
        <v>5222</v>
      </c>
      <c r="K3534" t="s">
        <v>3935</v>
      </c>
      <c r="L3534">
        <v>0</v>
      </c>
      <c r="M3534" s="452">
        <v>45532</v>
      </c>
      <c r="N3534">
        <v>6.42</v>
      </c>
      <c r="O3534">
        <v>6.82</v>
      </c>
      <c r="P3534">
        <v>308.16000000000003</v>
      </c>
    </row>
    <row r="3535" spans="1:16" x14ac:dyDescent="0.3">
      <c r="A3535">
        <v>41047</v>
      </c>
      <c r="B3535">
        <v>105</v>
      </c>
      <c r="C3535" t="s">
        <v>557</v>
      </c>
      <c r="D3535" s="452">
        <v>45839</v>
      </c>
      <c r="E3535">
        <v>25167</v>
      </c>
      <c r="F3535" t="s">
        <v>4758</v>
      </c>
      <c r="G3535">
        <v>5930</v>
      </c>
      <c r="H3535">
        <v>39</v>
      </c>
      <c r="I3535" t="s">
        <v>4744</v>
      </c>
      <c r="J3535" t="s">
        <v>5191</v>
      </c>
      <c r="K3535" t="s">
        <v>3935</v>
      </c>
      <c r="L3535">
        <v>7.9</v>
      </c>
      <c r="M3535" s="452">
        <v>45833</v>
      </c>
      <c r="N3535">
        <v>7.9</v>
      </c>
      <c r="O3535">
        <v>7.9</v>
      </c>
      <c r="P3535">
        <v>308.10000000000002</v>
      </c>
    </row>
    <row r="3536" spans="1:16" x14ac:dyDescent="0.3">
      <c r="A3536">
        <v>41244</v>
      </c>
      <c r="B3536">
        <v>105</v>
      </c>
      <c r="C3536" t="s">
        <v>557</v>
      </c>
      <c r="D3536" s="452">
        <v>45839</v>
      </c>
      <c r="E3536">
        <v>18359</v>
      </c>
      <c r="F3536" t="s">
        <v>4921</v>
      </c>
      <c r="G3536">
        <v>3278</v>
      </c>
      <c r="H3536">
        <v>3</v>
      </c>
      <c r="I3536" t="s">
        <v>4805</v>
      </c>
      <c r="J3536" t="s">
        <v>5222</v>
      </c>
      <c r="K3536" t="s">
        <v>3935</v>
      </c>
      <c r="L3536">
        <v>99.9</v>
      </c>
      <c r="M3536" s="452">
        <v>45818</v>
      </c>
      <c r="N3536">
        <v>99.9</v>
      </c>
      <c r="O3536">
        <v>91</v>
      </c>
      <c r="P3536">
        <v>299.7</v>
      </c>
    </row>
    <row r="3537" spans="1:16" x14ac:dyDescent="0.3">
      <c r="A3537">
        <v>41040</v>
      </c>
      <c r="B3537">
        <v>105</v>
      </c>
      <c r="C3537" t="s">
        <v>557</v>
      </c>
      <c r="D3537" s="452">
        <v>45839</v>
      </c>
      <c r="E3537">
        <v>20549</v>
      </c>
      <c r="F3537" t="s">
        <v>4823</v>
      </c>
      <c r="G3537">
        <v>2141</v>
      </c>
      <c r="H3537">
        <v>12.4</v>
      </c>
      <c r="I3537" t="s">
        <v>4744</v>
      </c>
      <c r="J3537" t="s">
        <v>5191</v>
      </c>
      <c r="K3537" t="s">
        <v>3935</v>
      </c>
      <c r="L3537">
        <v>24</v>
      </c>
      <c r="M3537" s="452">
        <v>45831</v>
      </c>
      <c r="N3537">
        <v>24</v>
      </c>
      <c r="O3537">
        <v>26.8</v>
      </c>
      <c r="P3537">
        <v>297.60000000000002</v>
      </c>
    </row>
    <row r="3538" spans="1:16" x14ac:dyDescent="0.3">
      <c r="A3538">
        <v>41305</v>
      </c>
      <c r="B3538">
        <v>105</v>
      </c>
      <c r="C3538" t="s">
        <v>557</v>
      </c>
      <c r="D3538" s="452">
        <v>45839</v>
      </c>
      <c r="E3538">
        <v>26046</v>
      </c>
      <c r="F3538" t="s">
        <v>5148</v>
      </c>
      <c r="G3538">
        <v>6510</v>
      </c>
      <c r="H3538">
        <v>4</v>
      </c>
      <c r="I3538" t="s">
        <v>4805</v>
      </c>
      <c r="J3538" t="s">
        <v>5222</v>
      </c>
      <c r="K3538" t="s">
        <v>3935</v>
      </c>
      <c r="L3538">
        <v>0</v>
      </c>
      <c r="M3538" s="452">
        <v>45638</v>
      </c>
      <c r="N3538">
        <v>74.2</v>
      </c>
      <c r="O3538">
        <v>80.55</v>
      </c>
      <c r="P3538">
        <v>296.8</v>
      </c>
    </row>
    <row r="3539" spans="1:16" x14ac:dyDescent="0.3">
      <c r="A3539">
        <v>41236</v>
      </c>
      <c r="B3539">
        <v>105</v>
      </c>
      <c r="C3539" t="s">
        <v>557</v>
      </c>
      <c r="D3539" s="452">
        <v>45839</v>
      </c>
      <c r="E3539">
        <v>18518</v>
      </c>
      <c r="F3539" t="s">
        <v>4838</v>
      </c>
      <c r="G3539">
        <v>3148</v>
      </c>
      <c r="H3539">
        <v>7</v>
      </c>
      <c r="I3539" t="s">
        <v>4805</v>
      </c>
      <c r="J3539" t="s">
        <v>5222</v>
      </c>
      <c r="K3539" t="s">
        <v>3935</v>
      </c>
      <c r="L3539">
        <v>42.2</v>
      </c>
      <c r="M3539" s="452">
        <v>45812</v>
      </c>
      <c r="N3539">
        <v>42.2</v>
      </c>
      <c r="O3539">
        <v>42.2</v>
      </c>
      <c r="P3539">
        <v>295.39999999999998</v>
      </c>
    </row>
    <row r="3540" spans="1:16" x14ac:dyDescent="0.3">
      <c r="A3540">
        <v>41299</v>
      </c>
      <c r="B3540">
        <v>105</v>
      </c>
      <c r="C3540" t="s">
        <v>557</v>
      </c>
      <c r="D3540" s="452">
        <v>45839</v>
      </c>
      <c r="E3540">
        <v>26038</v>
      </c>
      <c r="F3540" t="s">
        <v>4976</v>
      </c>
      <c r="G3540">
        <v>6506</v>
      </c>
      <c r="H3540">
        <v>6</v>
      </c>
      <c r="I3540" t="s">
        <v>4805</v>
      </c>
      <c r="J3540" t="s">
        <v>5222</v>
      </c>
      <c r="K3540" t="s">
        <v>3935</v>
      </c>
      <c r="L3540">
        <v>48.46</v>
      </c>
      <c r="M3540" s="452">
        <v>45812</v>
      </c>
      <c r="N3540">
        <v>48.46</v>
      </c>
      <c r="O3540">
        <v>48.46</v>
      </c>
      <c r="P3540">
        <v>290.76</v>
      </c>
    </row>
    <row r="3541" spans="1:16" x14ac:dyDescent="0.3">
      <c r="A3541">
        <v>41239</v>
      </c>
      <c r="B3541">
        <v>105</v>
      </c>
      <c r="C3541" t="s">
        <v>557</v>
      </c>
      <c r="D3541" s="452">
        <v>45839</v>
      </c>
      <c r="E3541">
        <v>18491</v>
      </c>
      <c r="F3541" t="s">
        <v>4839</v>
      </c>
      <c r="G3541">
        <v>3166</v>
      </c>
      <c r="H3541">
        <v>8</v>
      </c>
      <c r="I3541" t="s">
        <v>4805</v>
      </c>
      <c r="J3541" t="s">
        <v>5222</v>
      </c>
      <c r="K3541" t="s">
        <v>3935</v>
      </c>
      <c r="L3541">
        <v>0</v>
      </c>
      <c r="M3541" s="452">
        <v>45555</v>
      </c>
      <c r="N3541">
        <v>35.9</v>
      </c>
      <c r="O3541">
        <v>35.9</v>
      </c>
      <c r="P3541">
        <v>287.2</v>
      </c>
    </row>
    <row r="3542" spans="1:16" x14ac:dyDescent="0.3">
      <c r="A3542">
        <v>41298</v>
      </c>
      <c r="B3542">
        <v>105</v>
      </c>
      <c r="C3542" t="s">
        <v>557</v>
      </c>
      <c r="D3542" s="452">
        <v>45839</v>
      </c>
      <c r="E3542">
        <v>24614</v>
      </c>
      <c r="F3542" t="s">
        <v>4897</v>
      </c>
      <c r="G3542">
        <v>3855</v>
      </c>
      <c r="H3542">
        <v>4</v>
      </c>
      <c r="I3542" t="s">
        <v>4805</v>
      </c>
      <c r="J3542" t="s">
        <v>5222</v>
      </c>
      <c r="K3542" t="s">
        <v>3935</v>
      </c>
      <c r="L3542">
        <v>0</v>
      </c>
      <c r="M3542" s="452">
        <v>45548</v>
      </c>
      <c r="N3542">
        <v>69.650000000000006</v>
      </c>
      <c r="O3542">
        <v>79.3</v>
      </c>
      <c r="P3542">
        <v>278.60000000000002</v>
      </c>
    </row>
    <row r="3543" spans="1:16" x14ac:dyDescent="0.3">
      <c r="A3543">
        <v>41296</v>
      </c>
      <c r="B3543">
        <v>105</v>
      </c>
      <c r="C3543" t="s">
        <v>557</v>
      </c>
      <c r="D3543" s="452">
        <v>45839</v>
      </c>
      <c r="E3543">
        <v>26032</v>
      </c>
      <c r="F3543" t="s">
        <v>4896</v>
      </c>
      <c r="G3543">
        <v>6503</v>
      </c>
      <c r="H3543">
        <v>6</v>
      </c>
      <c r="I3543" t="s">
        <v>4805</v>
      </c>
      <c r="J3543" t="s">
        <v>5222</v>
      </c>
      <c r="K3543" t="s">
        <v>3935</v>
      </c>
      <c r="L3543">
        <v>0</v>
      </c>
      <c r="M3543" s="452">
        <v>45698</v>
      </c>
      <c r="N3543">
        <v>46.38</v>
      </c>
      <c r="O3543">
        <v>80.55</v>
      </c>
      <c r="P3543">
        <v>278.27999999999997</v>
      </c>
    </row>
    <row r="3544" spans="1:16" x14ac:dyDescent="0.3">
      <c r="A3544">
        <v>41283</v>
      </c>
      <c r="B3544">
        <v>105</v>
      </c>
      <c r="C3544" t="s">
        <v>557</v>
      </c>
      <c r="D3544" s="452">
        <v>45839</v>
      </c>
      <c r="E3544">
        <v>24307</v>
      </c>
      <c r="F3544" t="s">
        <v>4755</v>
      </c>
      <c r="G3544">
        <v>3656</v>
      </c>
      <c r="H3544">
        <v>127</v>
      </c>
      <c r="I3544" t="s">
        <v>4736</v>
      </c>
      <c r="J3544" t="s">
        <v>5222</v>
      </c>
      <c r="K3544" t="s">
        <v>3935</v>
      </c>
      <c r="L3544">
        <v>0</v>
      </c>
      <c r="M3544" s="452">
        <v>45540</v>
      </c>
      <c r="N3544">
        <v>2.19</v>
      </c>
      <c r="O3544">
        <v>2.19</v>
      </c>
      <c r="P3544">
        <v>278.13</v>
      </c>
    </row>
    <row r="3545" spans="1:16" x14ac:dyDescent="0.3">
      <c r="A3545">
        <v>41064</v>
      </c>
      <c r="B3545">
        <v>105</v>
      </c>
      <c r="C3545" t="s">
        <v>557</v>
      </c>
      <c r="D3545" s="452">
        <v>45839</v>
      </c>
      <c r="E3545">
        <v>20660</v>
      </c>
      <c r="F3545" t="s">
        <v>5011</v>
      </c>
      <c r="G3545">
        <v>2110</v>
      </c>
      <c r="H3545">
        <v>4.5</v>
      </c>
      <c r="I3545" t="s">
        <v>4955</v>
      </c>
      <c r="J3545" t="s">
        <v>5191</v>
      </c>
      <c r="K3545" t="s">
        <v>3935</v>
      </c>
      <c r="L3545">
        <v>61.74</v>
      </c>
      <c r="M3545" s="452">
        <v>45835</v>
      </c>
      <c r="N3545">
        <v>61.9</v>
      </c>
      <c r="O3545">
        <v>61.9</v>
      </c>
      <c r="P3545">
        <v>277.83</v>
      </c>
    </row>
    <row r="3546" spans="1:16" x14ac:dyDescent="0.3">
      <c r="A3546">
        <v>41295</v>
      </c>
      <c r="B3546">
        <v>105</v>
      </c>
      <c r="C3546" t="s">
        <v>557</v>
      </c>
      <c r="D3546" s="452">
        <v>45839</v>
      </c>
      <c r="E3546">
        <v>26036</v>
      </c>
      <c r="F3546" t="s">
        <v>4841</v>
      </c>
      <c r="G3546">
        <v>6505</v>
      </c>
      <c r="H3546">
        <v>4</v>
      </c>
      <c r="I3546" t="s">
        <v>4805</v>
      </c>
      <c r="J3546" t="s">
        <v>5222</v>
      </c>
      <c r="K3546" t="s">
        <v>3935</v>
      </c>
      <c r="L3546">
        <v>69.22</v>
      </c>
      <c r="M3546" s="452">
        <v>45833</v>
      </c>
      <c r="N3546">
        <v>69.22</v>
      </c>
      <c r="O3546">
        <v>69.22</v>
      </c>
      <c r="P3546">
        <v>276.88</v>
      </c>
    </row>
    <row r="3547" spans="1:16" x14ac:dyDescent="0.3">
      <c r="A3547">
        <v>41078</v>
      </c>
      <c r="B3547">
        <v>105</v>
      </c>
      <c r="C3547" t="s">
        <v>557</v>
      </c>
      <c r="D3547" s="452">
        <v>45839</v>
      </c>
      <c r="E3547">
        <v>20122</v>
      </c>
      <c r="F3547" t="s">
        <v>4781</v>
      </c>
      <c r="G3547">
        <v>2290</v>
      </c>
      <c r="H3547">
        <v>20</v>
      </c>
      <c r="I3547" t="s">
        <v>4738</v>
      </c>
      <c r="J3547" t="s">
        <v>5191</v>
      </c>
      <c r="K3547" t="s">
        <v>3935</v>
      </c>
      <c r="L3547">
        <v>13.8</v>
      </c>
      <c r="M3547" s="452">
        <v>45817</v>
      </c>
      <c r="N3547">
        <v>13.8</v>
      </c>
      <c r="O3547">
        <v>13.8</v>
      </c>
      <c r="P3547">
        <v>276</v>
      </c>
    </row>
    <row r="3548" spans="1:16" x14ac:dyDescent="0.3">
      <c r="A3548">
        <v>41284</v>
      </c>
      <c r="B3548">
        <v>105</v>
      </c>
      <c r="C3548" t="s">
        <v>557</v>
      </c>
      <c r="D3548" s="452">
        <v>45839</v>
      </c>
      <c r="E3548">
        <v>24308</v>
      </c>
      <c r="F3548" t="s">
        <v>4757</v>
      </c>
      <c r="G3548">
        <v>3658</v>
      </c>
      <c r="H3548">
        <v>125</v>
      </c>
      <c r="I3548" t="s">
        <v>4736</v>
      </c>
      <c r="J3548" t="s">
        <v>5222</v>
      </c>
      <c r="K3548" t="s">
        <v>3935</v>
      </c>
      <c r="L3548">
        <v>0</v>
      </c>
      <c r="M3548" s="452">
        <v>45679</v>
      </c>
      <c r="N3548">
        <v>2.19</v>
      </c>
      <c r="O3548">
        <v>2.19</v>
      </c>
      <c r="P3548">
        <v>273.75</v>
      </c>
    </row>
    <row r="3549" spans="1:16" x14ac:dyDescent="0.3">
      <c r="A3549">
        <v>41213</v>
      </c>
      <c r="B3549">
        <v>105</v>
      </c>
      <c r="C3549" t="s">
        <v>557</v>
      </c>
      <c r="D3549" s="452">
        <v>45839</v>
      </c>
      <c r="E3549">
        <v>19003</v>
      </c>
      <c r="F3549" t="s">
        <v>4810</v>
      </c>
      <c r="G3549">
        <v>2897</v>
      </c>
      <c r="H3549">
        <v>7.4</v>
      </c>
      <c r="I3549" t="s">
        <v>4744</v>
      </c>
      <c r="J3549" t="s">
        <v>5191</v>
      </c>
      <c r="K3549" t="s">
        <v>3935</v>
      </c>
      <c r="L3549">
        <v>35.89</v>
      </c>
      <c r="M3549" s="452">
        <v>45838</v>
      </c>
      <c r="N3549">
        <v>35.9</v>
      </c>
      <c r="O3549">
        <v>35.9</v>
      </c>
      <c r="P3549">
        <v>265.58999999999997</v>
      </c>
    </row>
    <row r="3550" spans="1:16" x14ac:dyDescent="0.3">
      <c r="A3550">
        <v>41268</v>
      </c>
      <c r="B3550">
        <v>105</v>
      </c>
      <c r="C3550" t="s">
        <v>557</v>
      </c>
      <c r="D3550" s="452">
        <v>45839</v>
      </c>
      <c r="E3550">
        <v>18114</v>
      </c>
      <c r="F3550" t="s">
        <v>5046</v>
      </c>
      <c r="G3550">
        <v>3498</v>
      </c>
      <c r="H3550">
        <v>1</v>
      </c>
      <c r="I3550" t="s">
        <v>4805</v>
      </c>
      <c r="J3550" t="s">
        <v>5222</v>
      </c>
      <c r="K3550" t="s">
        <v>3935</v>
      </c>
      <c r="L3550">
        <v>0</v>
      </c>
      <c r="M3550" s="452">
        <v>-693593</v>
      </c>
      <c r="N3550">
        <v>0</v>
      </c>
      <c r="O3550">
        <v>242.21</v>
      </c>
      <c r="P3550">
        <v>261.70999999999998</v>
      </c>
    </row>
    <row r="3551" spans="1:16" x14ac:dyDescent="0.3">
      <c r="A3551">
        <v>41250</v>
      </c>
      <c r="B3551">
        <v>105</v>
      </c>
      <c r="C3551" t="s">
        <v>557</v>
      </c>
      <c r="D3551" s="452">
        <v>45839</v>
      </c>
      <c r="E3551">
        <v>18315</v>
      </c>
      <c r="F3551" t="s">
        <v>4922</v>
      </c>
      <c r="G3551">
        <v>3318</v>
      </c>
      <c r="H3551">
        <v>2</v>
      </c>
      <c r="I3551" t="s">
        <v>4805</v>
      </c>
      <c r="J3551" t="s">
        <v>5222</v>
      </c>
      <c r="K3551" t="s">
        <v>3935</v>
      </c>
      <c r="L3551">
        <v>0</v>
      </c>
      <c r="M3551" s="452">
        <v>45790</v>
      </c>
      <c r="N3551">
        <v>130.81</v>
      </c>
      <c r="O3551">
        <v>131.68</v>
      </c>
      <c r="P3551">
        <v>261.62</v>
      </c>
    </row>
    <row r="3552" spans="1:16" x14ac:dyDescent="0.3">
      <c r="A3552">
        <v>41159</v>
      </c>
      <c r="B3552">
        <v>105</v>
      </c>
      <c r="C3552" t="s">
        <v>557</v>
      </c>
      <c r="D3552" s="452">
        <v>45839</v>
      </c>
      <c r="E3552">
        <v>19734</v>
      </c>
      <c r="F3552" t="s">
        <v>4833</v>
      </c>
      <c r="G3552">
        <v>2519</v>
      </c>
      <c r="H3552">
        <v>15</v>
      </c>
      <c r="I3552" t="s">
        <v>4744</v>
      </c>
      <c r="J3552" t="s">
        <v>5191</v>
      </c>
      <c r="K3552" t="s">
        <v>3935</v>
      </c>
      <c r="L3552">
        <v>17.350000000000001</v>
      </c>
      <c r="M3552" s="452">
        <v>45838</v>
      </c>
      <c r="N3552">
        <v>16.64</v>
      </c>
      <c r="O3552">
        <v>16.64</v>
      </c>
      <c r="P3552">
        <v>260.25</v>
      </c>
    </row>
    <row r="3553" spans="1:16" x14ac:dyDescent="0.3">
      <c r="A3553">
        <v>41099</v>
      </c>
      <c r="B3553">
        <v>105</v>
      </c>
      <c r="C3553" t="s">
        <v>557</v>
      </c>
      <c r="D3553" s="452">
        <v>45839</v>
      </c>
      <c r="E3553">
        <v>20486</v>
      </c>
      <c r="F3553" t="s">
        <v>5515</v>
      </c>
      <c r="G3553">
        <v>2157</v>
      </c>
      <c r="H3553">
        <v>6.5</v>
      </c>
      <c r="I3553" t="s">
        <v>4744</v>
      </c>
      <c r="J3553" t="s">
        <v>5191</v>
      </c>
      <c r="K3553" t="s">
        <v>3935</v>
      </c>
      <c r="L3553">
        <v>0</v>
      </c>
      <c r="M3553" s="452">
        <v>45785</v>
      </c>
      <c r="N3553">
        <v>38.75</v>
      </c>
      <c r="O3553">
        <v>27.3</v>
      </c>
      <c r="P3553">
        <v>251.88</v>
      </c>
    </row>
    <row r="3554" spans="1:16" x14ac:dyDescent="0.3">
      <c r="A3554">
        <v>41246</v>
      </c>
      <c r="B3554">
        <v>105</v>
      </c>
      <c r="C3554" t="s">
        <v>557</v>
      </c>
      <c r="D3554" s="452">
        <v>45839</v>
      </c>
      <c r="E3554">
        <v>18293</v>
      </c>
      <c r="F3554" t="s">
        <v>5034</v>
      </c>
      <c r="G3554">
        <v>3336</v>
      </c>
      <c r="H3554">
        <v>2</v>
      </c>
      <c r="I3554" t="s">
        <v>4805</v>
      </c>
      <c r="J3554" t="s">
        <v>5222</v>
      </c>
      <c r="K3554" t="s">
        <v>3935</v>
      </c>
      <c r="L3554">
        <v>0</v>
      </c>
      <c r="M3554" s="452">
        <v>45525</v>
      </c>
      <c r="N3554">
        <v>124.82</v>
      </c>
      <c r="O3554">
        <v>130.81</v>
      </c>
      <c r="P3554">
        <v>249.64</v>
      </c>
    </row>
    <row r="3555" spans="1:16" x14ac:dyDescent="0.3">
      <c r="A3555">
        <v>41043</v>
      </c>
      <c r="B3555">
        <v>105</v>
      </c>
      <c r="C3555" t="s">
        <v>557</v>
      </c>
      <c r="D3555" s="452">
        <v>45839</v>
      </c>
      <c r="E3555">
        <v>20689</v>
      </c>
      <c r="F3555" t="s">
        <v>5007</v>
      </c>
      <c r="G3555">
        <v>2105</v>
      </c>
      <c r="H3555">
        <v>6.4</v>
      </c>
      <c r="I3555" t="s">
        <v>4736</v>
      </c>
      <c r="J3555" t="s">
        <v>5191</v>
      </c>
      <c r="K3555" t="s">
        <v>3935</v>
      </c>
      <c r="L3555">
        <v>37.9</v>
      </c>
      <c r="M3555" s="452">
        <v>45835</v>
      </c>
      <c r="N3555">
        <v>37.9</v>
      </c>
      <c r="O3555">
        <v>37.9</v>
      </c>
      <c r="P3555">
        <v>242.56</v>
      </c>
    </row>
    <row r="3556" spans="1:16" x14ac:dyDescent="0.3">
      <c r="A3556">
        <v>41071</v>
      </c>
      <c r="B3556">
        <v>105</v>
      </c>
      <c r="C3556" t="s">
        <v>557</v>
      </c>
      <c r="D3556" s="452">
        <v>45839</v>
      </c>
      <c r="E3556">
        <v>24339</v>
      </c>
      <c r="F3556" t="s">
        <v>4885</v>
      </c>
      <c r="G3556">
        <v>2153</v>
      </c>
      <c r="H3556">
        <v>6.05</v>
      </c>
      <c r="I3556" t="s">
        <v>4744</v>
      </c>
      <c r="J3556" t="s">
        <v>5191</v>
      </c>
      <c r="K3556" t="s">
        <v>3935</v>
      </c>
      <c r="L3556">
        <v>0</v>
      </c>
      <c r="M3556" s="452">
        <v>45777</v>
      </c>
      <c r="N3556">
        <v>39.9</v>
      </c>
      <c r="O3556">
        <v>36</v>
      </c>
      <c r="P3556">
        <v>241.4</v>
      </c>
    </row>
    <row r="3557" spans="1:16" x14ac:dyDescent="0.3">
      <c r="A3557">
        <v>41226</v>
      </c>
      <c r="B3557">
        <v>105</v>
      </c>
      <c r="C3557" t="s">
        <v>557</v>
      </c>
      <c r="D3557" s="452">
        <v>45839</v>
      </c>
      <c r="E3557">
        <v>27018</v>
      </c>
      <c r="F3557" t="s">
        <v>4737</v>
      </c>
      <c r="G3557">
        <v>7070</v>
      </c>
      <c r="H3557">
        <v>3</v>
      </c>
      <c r="I3557" t="s">
        <v>4738</v>
      </c>
      <c r="J3557" t="s">
        <v>5222</v>
      </c>
      <c r="K3557" t="s">
        <v>3935</v>
      </c>
      <c r="L3557">
        <v>79.64</v>
      </c>
      <c r="M3557" s="452">
        <v>45832</v>
      </c>
      <c r="N3557">
        <v>79.64</v>
      </c>
      <c r="O3557">
        <v>79.64</v>
      </c>
      <c r="P3557">
        <v>238.92</v>
      </c>
    </row>
    <row r="3558" spans="1:16" x14ac:dyDescent="0.3">
      <c r="A3558">
        <v>41230</v>
      </c>
      <c r="B3558">
        <v>105</v>
      </c>
      <c r="C3558" t="s">
        <v>557</v>
      </c>
      <c r="D3558" s="452">
        <v>45839</v>
      </c>
      <c r="E3558">
        <v>24192</v>
      </c>
      <c r="F3558" t="s">
        <v>4772</v>
      </c>
      <c r="G3558">
        <v>3099</v>
      </c>
      <c r="H3558">
        <v>39</v>
      </c>
      <c r="I3558" t="s">
        <v>4736</v>
      </c>
      <c r="J3558" t="s">
        <v>5222</v>
      </c>
      <c r="K3558" t="s">
        <v>3935</v>
      </c>
      <c r="L3558">
        <v>0</v>
      </c>
      <c r="M3558" s="452">
        <v>45679</v>
      </c>
      <c r="N3558">
        <v>6.12</v>
      </c>
      <c r="O3558">
        <v>6.12</v>
      </c>
      <c r="P3558">
        <v>238.68</v>
      </c>
    </row>
    <row r="3559" spans="1:16" x14ac:dyDescent="0.3">
      <c r="A3559">
        <v>41276</v>
      </c>
      <c r="B3559">
        <v>105</v>
      </c>
      <c r="C3559" t="s">
        <v>557</v>
      </c>
      <c r="D3559" s="452">
        <v>45839</v>
      </c>
      <c r="E3559">
        <v>24029</v>
      </c>
      <c r="F3559" t="s">
        <v>4756</v>
      </c>
      <c r="G3559">
        <v>3591</v>
      </c>
      <c r="H3559">
        <v>106</v>
      </c>
      <c r="I3559" t="s">
        <v>4736</v>
      </c>
      <c r="J3559" t="s">
        <v>5222</v>
      </c>
      <c r="K3559" t="s">
        <v>3935</v>
      </c>
      <c r="L3559">
        <v>0</v>
      </c>
      <c r="M3559" s="452">
        <v>45546</v>
      </c>
      <c r="N3559">
        <v>2.19</v>
      </c>
      <c r="O3559">
        <v>2.19</v>
      </c>
      <c r="P3559">
        <v>232.14</v>
      </c>
    </row>
    <row r="3560" spans="1:16" x14ac:dyDescent="0.3">
      <c r="A3560">
        <v>41272</v>
      </c>
      <c r="B3560">
        <v>105</v>
      </c>
      <c r="C3560" t="s">
        <v>557</v>
      </c>
      <c r="D3560" s="452">
        <v>45839</v>
      </c>
      <c r="E3560">
        <v>18008</v>
      </c>
      <c r="F3560" t="s">
        <v>4865</v>
      </c>
      <c r="G3560">
        <v>3589</v>
      </c>
      <c r="H3560">
        <v>3</v>
      </c>
      <c r="I3560" t="s">
        <v>4805</v>
      </c>
      <c r="J3560" t="s">
        <v>5222</v>
      </c>
      <c r="K3560" t="s">
        <v>3935</v>
      </c>
      <c r="L3560">
        <v>0</v>
      </c>
      <c r="M3560" s="452">
        <v>45716</v>
      </c>
      <c r="N3560">
        <v>76.83</v>
      </c>
      <c r="O3560">
        <v>76.83</v>
      </c>
      <c r="P3560">
        <v>230.49</v>
      </c>
    </row>
    <row r="3561" spans="1:16" x14ac:dyDescent="0.3">
      <c r="A3561">
        <v>41232</v>
      </c>
      <c r="B3561">
        <v>105</v>
      </c>
      <c r="C3561" t="s">
        <v>557</v>
      </c>
      <c r="D3561" s="452">
        <v>45839</v>
      </c>
      <c r="E3561">
        <v>18586</v>
      </c>
      <c r="F3561" t="s">
        <v>4966</v>
      </c>
      <c r="G3561">
        <v>3104</v>
      </c>
      <c r="H3561">
        <v>1.67</v>
      </c>
      <c r="I3561" t="s">
        <v>4738</v>
      </c>
      <c r="J3561" t="s">
        <v>5222</v>
      </c>
      <c r="K3561" t="s">
        <v>3935</v>
      </c>
      <c r="L3561">
        <v>134.74</v>
      </c>
      <c r="M3561" s="452">
        <v>45812</v>
      </c>
      <c r="N3561">
        <v>134.74</v>
      </c>
      <c r="O3561">
        <v>134.74</v>
      </c>
      <c r="P3561">
        <v>224.57</v>
      </c>
    </row>
    <row r="3562" spans="1:16" x14ac:dyDescent="0.3">
      <c r="A3562">
        <v>41031</v>
      </c>
      <c r="B3562">
        <v>105</v>
      </c>
      <c r="C3562" t="s">
        <v>557</v>
      </c>
      <c r="D3562" s="452">
        <v>45839</v>
      </c>
      <c r="E3562">
        <v>25358</v>
      </c>
      <c r="F3562" t="s">
        <v>4980</v>
      </c>
      <c r="G3562">
        <v>6047</v>
      </c>
      <c r="H3562">
        <v>2.8</v>
      </c>
      <c r="I3562" t="s">
        <v>4744</v>
      </c>
      <c r="J3562" t="s">
        <v>5191</v>
      </c>
      <c r="K3562" t="s">
        <v>3935</v>
      </c>
      <c r="L3562">
        <v>78.599999999999994</v>
      </c>
      <c r="M3562" s="452">
        <v>45831</v>
      </c>
      <c r="N3562">
        <v>78.599999999999994</v>
      </c>
      <c r="O3562">
        <v>78.900000000000006</v>
      </c>
      <c r="P3562">
        <v>220.08</v>
      </c>
    </row>
    <row r="3563" spans="1:16" x14ac:dyDescent="0.3">
      <c r="A3563">
        <v>41029</v>
      </c>
      <c r="B3563">
        <v>105</v>
      </c>
      <c r="C3563" t="s">
        <v>557</v>
      </c>
      <c r="D3563" s="452">
        <v>45839</v>
      </c>
      <c r="E3563">
        <v>20809</v>
      </c>
      <c r="F3563" t="s">
        <v>4822</v>
      </c>
      <c r="G3563">
        <v>2074</v>
      </c>
      <c r="H3563">
        <v>6</v>
      </c>
      <c r="I3563" t="s">
        <v>4738</v>
      </c>
      <c r="J3563" t="s">
        <v>5191</v>
      </c>
      <c r="K3563" t="s">
        <v>3935</v>
      </c>
      <c r="L3563">
        <v>36.03</v>
      </c>
      <c r="M3563" s="452">
        <v>45838</v>
      </c>
      <c r="N3563">
        <v>33.950000000000003</v>
      </c>
      <c r="O3563">
        <v>33.950000000000003</v>
      </c>
      <c r="P3563">
        <v>216.18</v>
      </c>
    </row>
    <row r="3564" spans="1:16" x14ac:dyDescent="0.3">
      <c r="A3564">
        <v>41077</v>
      </c>
      <c r="B3564">
        <v>105</v>
      </c>
      <c r="C3564" t="s">
        <v>557</v>
      </c>
      <c r="D3564" s="452">
        <v>45839</v>
      </c>
      <c r="E3564">
        <v>24351</v>
      </c>
      <c r="F3564" t="s">
        <v>5014</v>
      </c>
      <c r="G3564">
        <v>2287</v>
      </c>
      <c r="H3564">
        <v>18</v>
      </c>
      <c r="I3564" t="s">
        <v>4736</v>
      </c>
      <c r="J3564" t="s">
        <v>5191</v>
      </c>
      <c r="K3564" t="s">
        <v>3935</v>
      </c>
      <c r="L3564">
        <v>12</v>
      </c>
      <c r="M3564" s="452">
        <v>45818</v>
      </c>
      <c r="N3564">
        <v>12</v>
      </c>
      <c r="O3564">
        <v>12</v>
      </c>
      <c r="P3564">
        <v>216</v>
      </c>
    </row>
    <row r="3565" spans="1:16" x14ac:dyDescent="0.3">
      <c r="A3565">
        <v>41190</v>
      </c>
      <c r="B3565">
        <v>105</v>
      </c>
      <c r="C3565" t="s">
        <v>557</v>
      </c>
      <c r="D3565" s="452">
        <v>45839</v>
      </c>
      <c r="E3565">
        <v>19346</v>
      </c>
      <c r="F3565" t="s">
        <v>4835</v>
      </c>
      <c r="G3565">
        <v>2770</v>
      </c>
      <c r="H3565">
        <v>3.87</v>
      </c>
      <c r="I3565" t="s">
        <v>4744</v>
      </c>
      <c r="J3565" t="s">
        <v>5191</v>
      </c>
      <c r="K3565" t="s">
        <v>3935</v>
      </c>
      <c r="L3565">
        <v>0</v>
      </c>
      <c r="M3565" s="452">
        <v>45757</v>
      </c>
      <c r="N3565">
        <v>54.5</v>
      </c>
      <c r="O3565">
        <v>54.9</v>
      </c>
      <c r="P3565">
        <v>210.92</v>
      </c>
    </row>
    <row r="3566" spans="1:16" x14ac:dyDescent="0.3">
      <c r="A3566">
        <v>41278</v>
      </c>
      <c r="B3566">
        <v>105</v>
      </c>
      <c r="C3566" t="s">
        <v>557</v>
      </c>
      <c r="D3566" s="452">
        <v>45839</v>
      </c>
      <c r="E3566">
        <v>27090</v>
      </c>
      <c r="F3566" t="s">
        <v>5324</v>
      </c>
      <c r="G3566">
        <v>7134</v>
      </c>
      <c r="H3566">
        <v>19</v>
      </c>
      <c r="I3566" t="s">
        <v>4736</v>
      </c>
      <c r="J3566" t="s">
        <v>5222</v>
      </c>
      <c r="K3566" t="s">
        <v>3935</v>
      </c>
      <c r="L3566">
        <v>0</v>
      </c>
      <c r="M3566" s="452">
        <v>-693593</v>
      </c>
      <c r="N3566">
        <v>0</v>
      </c>
      <c r="O3566">
        <v>0</v>
      </c>
      <c r="P3566">
        <v>210.52</v>
      </c>
    </row>
    <row r="3567" spans="1:16" x14ac:dyDescent="0.3">
      <c r="A3567">
        <v>41227</v>
      </c>
      <c r="B3567">
        <v>105</v>
      </c>
      <c r="C3567" t="s">
        <v>557</v>
      </c>
      <c r="D3567" s="452">
        <v>45839</v>
      </c>
      <c r="E3567">
        <v>22652</v>
      </c>
      <c r="F3567" t="s">
        <v>4759</v>
      </c>
      <c r="G3567">
        <v>3085</v>
      </c>
      <c r="H3567">
        <v>35</v>
      </c>
      <c r="I3567" t="s">
        <v>4736</v>
      </c>
      <c r="J3567" t="s">
        <v>5222</v>
      </c>
      <c r="K3567" t="s">
        <v>3935</v>
      </c>
      <c r="L3567">
        <v>0</v>
      </c>
      <c r="M3567" s="452">
        <v>45679</v>
      </c>
      <c r="N3567">
        <v>5.95</v>
      </c>
      <c r="O3567">
        <v>4.09</v>
      </c>
      <c r="P3567">
        <v>208.25</v>
      </c>
    </row>
    <row r="3568" spans="1:16" x14ac:dyDescent="0.3">
      <c r="A3568">
        <v>41101</v>
      </c>
      <c r="B3568">
        <v>105</v>
      </c>
      <c r="C3568" t="s">
        <v>557</v>
      </c>
      <c r="D3568" s="452">
        <v>45839</v>
      </c>
      <c r="E3568">
        <v>19906</v>
      </c>
      <c r="F3568" t="s">
        <v>5159</v>
      </c>
      <c r="G3568">
        <v>2381</v>
      </c>
      <c r="H3568">
        <v>9</v>
      </c>
      <c r="I3568" t="s">
        <v>4738</v>
      </c>
      <c r="J3568" t="s">
        <v>5191</v>
      </c>
      <c r="K3568" t="s">
        <v>3935</v>
      </c>
      <c r="L3568">
        <v>22.87</v>
      </c>
      <c r="M3568" s="452">
        <v>45832</v>
      </c>
      <c r="N3568">
        <v>3.3</v>
      </c>
      <c r="O3568">
        <v>7</v>
      </c>
      <c r="P3568">
        <v>205.83</v>
      </c>
    </row>
    <row r="3569" spans="1:16" x14ac:dyDescent="0.3">
      <c r="A3569">
        <v>41069</v>
      </c>
      <c r="B3569">
        <v>105</v>
      </c>
      <c r="C3569" t="s">
        <v>557</v>
      </c>
      <c r="D3569" s="452">
        <v>45839</v>
      </c>
      <c r="E3569">
        <v>20521</v>
      </c>
      <c r="F3569" t="s">
        <v>4797</v>
      </c>
      <c r="G3569">
        <v>2149</v>
      </c>
      <c r="H3569">
        <v>9.5</v>
      </c>
      <c r="I3569" t="s">
        <v>4744</v>
      </c>
      <c r="J3569" t="s">
        <v>5191</v>
      </c>
      <c r="K3569" t="s">
        <v>3935</v>
      </c>
      <c r="L3569">
        <v>20.8</v>
      </c>
      <c r="M3569" s="452">
        <v>45835</v>
      </c>
      <c r="N3569">
        <v>20.8</v>
      </c>
      <c r="O3569">
        <v>20.8</v>
      </c>
      <c r="P3569">
        <v>197.6</v>
      </c>
    </row>
    <row r="3570" spans="1:16" x14ac:dyDescent="0.3">
      <c r="A3570">
        <v>41297</v>
      </c>
      <c r="B3570">
        <v>105</v>
      </c>
      <c r="C3570" t="s">
        <v>557</v>
      </c>
      <c r="D3570" s="452">
        <v>45839</v>
      </c>
      <c r="E3570">
        <v>26034</v>
      </c>
      <c r="F3570" t="s">
        <v>4828</v>
      </c>
      <c r="G3570">
        <v>6504</v>
      </c>
      <c r="H3570">
        <v>4</v>
      </c>
      <c r="I3570" t="s">
        <v>4805</v>
      </c>
      <c r="J3570" t="s">
        <v>5222</v>
      </c>
      <c r="K3570" t="s">
        <v>3935</v>
      </c>
      <c r="L3570">
        <v>48.45</v>
      </c>
      <c r="M3570" s="452">
        <v>45833</v>
      </c>
      <c r="N3570">
        <v>48.45</v>
      </c>
      <c r="O3570">
        <v>48.45</v>
      </c>
      <c r="P3570">
        <v>193.8</v>
      </c>
    </row>
    <row r="3571" spans="1:16" x14ac:dyDescent="0.3">
      <c r="A3571">
        <v>41269</v>
      </c>
      <c r="B3571">
        <v>105</v>
      </c>
      <c r="C3571" t="s">
        <v>557</v>
      </c>
      <c r="D3571" s="452">
        <v>45839</v>
      </c>
      <c r="E3571">
        <v>22223</v>
      </c>
      <c r="F3571" t="s">
        <v>5437</v>
      </c>
      <c r="G3571">
        <v>3498</v>
      </c>
      <c r="H3571">
        <v>0.7</v>
      </c>
      <c r="I3571" t="s">
        <v>4955</v>
      </c>
      <c r="J3571" t="s">
        <v>5222</v>
      </c>
      <c r="K3571" t="s">
        <v>3935</v>
      </c>
      <c r="L3571">
        <v>0</v>
      </c>
      <c r="M3571" s="452">
        <v>45672</v>
      </c>
      <c r="N3571">
        <v>269.89999999999998</v>
      </c>
      <c r="O3571">
        <v>269.89999999999998</v>
      </c>
      <c r="P3571">
        <v>188.93</v>
      </c>
    </row>
    <row r="3572" spans="1:16" x14ac:dyDescent="0.3">
      <c r="A3572">
        <v>41195</v>
      </c>
      <c r="B3572">
        <v>105</v>
      </c>
      <c r="C3572" t="s">
        <v>557</v>
      </c>
      <c r="D3572" s="452">
        <v>45839</v>
      </c>
      <c r="E3572">
        <v>17042</v>
      </c>
      <c r="F3572" t="s">
        <v>4748</v>
      </c>
      <c r="G3572">
        <v>2830</v>
      </c>
      <c r="H3572">
        <v>110</v>
      </c>
      <c r="I3572" t="s">
        <v>4749</v>
      </c>
      <c r="J3572" t="s">
        <v>5191</v>
      </c>
      <c r="K3572" t="s">
        <v>3935</v>
      </c>
      <c r="L3572">
        <v>0</v>
      </c>
      <c r="M3572" s="452">
        <v>-693593</v>
      </c>
      <c r="N3572">
        <v>0</v>
      </c>
      <c r="O3572">
        <v>2.8</v>
      </c>
      <c r="P3572">
        <v>184.8</v>
      </c>
    </row>
    <row r="3573" spans="1:16" x14ac:dyDescent="0.3">
      <c r="A3573">
        <v>41089</v>
      </c>
      <c r="B3573">
        <v>105</v>
      </c>
      <c r="C3573" t="s">
        <v>557</v>
      </c>
      <c r="D3573" s="452">
        <v>45839</v>
      </c>
      <c r="E3573">
        <v>19955</v>
      </c>
      <c r="F3573" t="s">
        <v>4985</v>
      </c>
      <c r="G3573">
        <v>2359</v>
      </c>
      <c r="H3573">
        <v>3</v>
      </c>
      <c r="I3573" t="s">
        <v>4736</v>
      </c>
      <c r="J3573" t="s">
        <v>5191</v>
      </c>
      <c r="K3573" t="s">
        <v>3935</v>
      </c>
      <c r="L3573">
        <v>58.6</v>
      </c>
      <c r="M3573" s="452">
        <v>45835</v>
      </c>
      <c r="N3573">
        <v>58.6</v>
      </c>
      <c r="O3573">
        <v>58.6</v>
      </c>
      <c r="P3573">
        <v>175.8</v>
      </c>
    </row>
    <row r="3574" spans="1:16" x14ac:dyDescent="0.3">
      <c r="A3574">
        <v>41304</v>
      </c>
      <c r="B3574">
        <v>105</v>
      </c>
      <c r="C3574" t="s">
        <v>557</v>
      </c>
      <c r="D3574" s="452">
        <v>45839</v>
      </c>
      <c r="E3574">
        <v>17658</v>
      </c>
      <c r="F3574" t="s">
        <v>4978</v>
      </c>
      <c r="G3574">
        <v>3871</v>
      </c>
      <c r="H3574">
        <v>3</v>
      </c>
      <c r="I3574" t="s">
        <v>4805</v>
      </c>
      <c r="J3574" t="s">
        <v>5222</v>
      </c>
      <c r="K3574" t="s">
        <v>3935</v>
      </c>
      <c r="L3574">
        <v>0</v>
      </c>
      <c r="M3574" s="452">
        <v>45757</v>
      </c>
      <c r="N3574">
        <v>58</v>
      </c>
      <c r="O3574">
        <v>58</v>
      </c>
      <c r="P3574">
        <v>174</v>
      </c>
    </row>
    <row r="3575" spans="1:16" x14ac:dyDescent="0.3">
      <c r="A3575">
        <v>41266</v>
      </c>
      <c r="B3575">
        <v>105</v>
      </c>
      <c r="C3575" t="s">
        <v>557</v>
      </c>
      <c r="D3575" s="452">
        <v>45839</v>
      </c>
      <c r="E3575">
        <v>18119</v>
      </c>
      <c r="F3575" t="s">
        <v>5044</v>
      </c>
      <c r="G3575">
        <v>3494</v>
      </c>
      <c r="H3575">
        <v>1</v>
      </c>
      <c r="I3575" t="s">
        <v>4805</v>
      </c>
      <c r="J3575" t="s">
        <v>5222</v>
      </c>
      <c r="K3575" t="s">
        <v>3935</v>
      </c>
      <c r="L3575">
        <v>172.88</v>
      </c>
      <c r="M3575" s="452">
        <v>45833</v>
      </c>
      <c r="N3575">
        <v>172.88</v>
      </c>
      <c r="O3575">
        <v>172.88</v>
      </c>
      <c r="P3575">
        <v>172.88</v>
      </c>
    </row>
    <row r="3576" spans="1:16" x14ac:dyDescent="0.3">
      <c r="A3576">
        <v>41192</v>
      </c>
      <c r="B3576">
        <v>105</v>
      </c>
      <c r="C3576" t="s">
        <v>557</v>
      </c>
      <c r="D3576" s="452">
        <v>45839</v>
      </c>
      <c r="E3576">
        <v>19322</v>
      </c>
      <c r="F3576" t="s">
        <v>4830</v>
      </c>
      <c r="G3576">
        <v>2773</v>
      </c>
      <c r="H3576">
        <v>3.92</v>
      </c>
      <c r="I3576" t="s">
        <v>4744</v>
      </c>
      <c r="J3576" t="s">
        <v>5191</v>
      </c>
      <c r="K3576" t="s">
        <v>3935</v>
      </c>
      <c r="L3576">
        <v>43.95</v>
      </c>
      <c r="M3576" s="452">
        <v>45838</v>
      </c>
      <c r="N3576">
        <v>42.99</v>
      </c>
      <c r="O3576">
        <v>42.99</v>
      </c>
      <c r="P3576">
        <v>172.28</v>
      </c>
    </row>
    <row r="3577" spans="1:16" x14ac:dyDescent="0.3">
      <c r="A3577">
        <v>41238</v>
      </c>
      <c r="B3577">
        <v>105</v>
      </c>
      <c r="C3577" t="s">
        <v>557</v>
      </c>
      <c r="D3577" s="452">
        <v>45839</v>
      </c>
      <c r="E3577">
        <v>18502</v>
      </c>
      <c r="F3577" t="s">
        <v>4893</v>
      </c>
      <c r="G3577">
        <v>3155</v>
      </c>
      <c r="H3577">
        <v>3</v>
      </c>
      <c r="I3577" t="s">
        <v>4805</v>
      </c>
      <c r="J3577" t="s">
        <v>5222</v>
      </c>
      <c r="K3577" t="s">
        <v>3935</v>
      </c>
      <c r="L3577">
        <v>0</v>
      </c>
      <c r="M3577" s="452">
        <v>45737</v>
      </c>
      <c r="N3577">
        <v>56.69</v>
      </c>
      <c r="O3577">
        <v>56.69</v>
      </c>
      <c r="P3577">
        <v>170.07</v>
      </c>
    </row>
    <row r="3578" spans="1:16" x14ac:dyDescent="0.3">
      <c r="A3578">
        <v>41019</v>
      </c>
      <c r="B3578">
        <v>105</v>
      </c>
      <c r="C3578" t="s">
        <v>557</v>
      </c>
      <c r="D3578" s="452">
        <v>45839</v>
      </c>
      <c r="E3578">
        <v>20308</v>
      </c>
      <c r="F3578" t="s">
        <v>4909</v>
      </c>
      <c r="G3578">
        <v>2222</v>
      </c>
      <c r="H3578">
        <v>5</v>
      </c>
      <c r="I3578" t="s">
        <v>4738</v>
      </c>
      <c r="J3578" t="s">
        <v>5191</v>
      </c>
      <c r="K3578" t="s">
        <v>3935</v>
      </c>
      <c r="L3578">
        <v>33.799999999999997</v>
      </c>
      <c r="M3578" s="452">
        <v>45831</v>
      </c>
      <c r="N3578">
        <v>33.799999999999997</v>
      </c>
      <c r="O3578">
        <v>33.799999999999997</v>
      </c>
      <c r="P3578">
        <v>169</v>
      </c>
    </row>
    <row r="3579" spans="1:16" x14ac:dyDescent="0.3">
      <c r="A3579">
        <v>41026</v>
      </c>
      <c r="B3579">
        <v>105</v>
      </c>
      <c r="C3579" t="s">
        <v>557</v>
      </c>
      <c r="D3579" s="452">
        <v>45839</v>
      </c>
      <c r="E3579">
        <v>20743</v>
      </c>
      <c r="F3579" t="s">
        <v>5496</v>
      </c>
      <c r="G3579">
        <v>2090</v>
      </c>
      <c r="H3579">
        <v>2</v>
      </c>
      <c r="I3579" t="s">
        <v>4736</v>
      </c>
      <c r="J3579" t="s">
        <v>5191</v>
      </c>
      <c r="K3579" t="s">
        <v>3935</v>
      </c>
      <c r="L3579">
        <v>0</v>
      </c>
      <c r="M3579" s="452">
        <v>45790</v>
      </c>
      <c r="N3579">
        <v>80.95</v>
      </c>
      <c r="O3579">
        <v>80.739999999999995</v>
      </c>
      <c r="P3579">
        <v>161.9</v>
      </c>
    </row>
    <row r="3580" spans="1:16" x14ac:dyDescent="0.3">
      <c r="A3580">
        <v>41016</v>
      </c>
      <c r="B3580">
        <v>105</v>
      </c>
      <c r="C3580" t="s">
        <v>557</v>
      </c>
      <c r="D3580" s="452">
        <v>45839</v>
      </c>
      <c r="E3580">
        <v>20756</v>
      </c>
      <c r="F3580" t="s">
        <v>5001</v>
      </c>
      <c r="G3580">
        <v>2086</v>
      </c>
      <c r="H3580">
        <v>2</v>
      </c>
      <c r="I3580" t="s">
        <v>4736</v>
      </c>
      <c r="J3580" t="s">
        <v>5191</v>
      </c>
      <c r="K3580" t="s">
        <v>3935</v>
      </c>
      <c r="L3580">
        <v>0</v>
      </c>
      <c r="M3580" s="452">
        <v>45607</v>
      </c>
      <c r="N3580">
        <v>79.2</v>
      </c>
      <c r="O3580">
        <v>78.900000000000006</v>
      </c>
      <c r="P3580">
        <v>158.4</v>
      </c>
    </row>
    <row r="3581" spans="1:16" x14ac:dyDescent="0.3">
      <c r="A3581">
        <v>41038</v>
      </c>
      <c r="B3581">
        <v>105</v>
      </c>
      <c r="C3581" t="s">
        <v>557</v>
      </c>
      <c r="D3581" s="452">
        <v>45839</v>
      </c>
      <c r="E3581">
        <v>20909</v>
      </c>
      <c r="F3581" t="s">
        <v>5318</v>
      </c>
      <c r="G3581">
        <v>2035</v>
      </c>
      <c r="H3581">
        <v>1</v>
      </c>
      <c r="I3581" t="s">
        <v>4736</v>
      </c>
      <c r="J3581" t="s">
        <v>5191</v>
      </c>
      <c r="K3581" t="s">
        <v>3935</v>
      </c>
      <c r="L3581">
        <v>0</v>
      </c>
      <c r="M3581" s="452">
        <v>45804</v>
      </c>
      <c r="N3581">
        <v>156</v>
      </c>
      <c r="O3581">
        <v>179.9</v>
      </c>
      <c r="P3581">
        <v>156</v>
      </c>
    </row>
    <row r="3582" spans="1:16" x14ac:dyDescent="0.3">
      <c r="A3582">
        <v>41254</v>
      </c>
      <c r="B3582">
        <v>105</v>
      </c>
      <c r="C3582" t="s">
        <v>557</v>
      </c>
      <c r="D3582" s="452">
        <v>45839</v>
      </c>
      <c r="E3582">
        <v>18253</v>
      </c>
      <c r="F3582" t="s">
        <v>4969</v>
      </c>
      <c r="G3582">
        <v>3376</v>
      </c>
      <c r="H3582">
        <v>5</v>
      </c>
      <c r="I3582" t="s">
        <v>4805</v>
      </c>
      <c r="J3582" t="s">
        <v>5222</v>
      </c>
      <c r="K3582" t="s">
        <v>3935</v>
      </c>
      <c r="L3582">
        <v>30.49</v>
      </c>
      <c r="M3582" s="452">
        <v>45833</v>
      </c>
      <c r="N3582">
        <v>29.66</v>
      </c>
      <c r="O3582">
        <v>29.66</v>
      </c>
      <c r="P3582">
        <v>152.44999999999999</v>
      </c>
    </row>
    <row r="3583" spans="1:16" x14ac:dyDescent="0.3">
      <c r="A3583">
        <v>41279</v>
      </c>
      <c r="B3583">
        <v>105</v>
      </c>
      <c r="C3583" t="s">
        <v>557</v>
      </c>
      <c r="D3583" s="452">
        <v>45839</v>
      </c>
      <c r="E3583">
        <v>16973</v>
      </c>
      <c r="F3583" t="s">
        <v>4827</v>
      </c>
      <c r="G3583">
        <v>3710</v>
      </c>
      <c r="H3583">
        <v>4</v>
      </c>
      <c r="I3583" t="s">
        <v>4749</v>
      </c>
      <c r="J3583" t="s">
        <v>5222</v>
      </c>
      <c r="K3583" t="s">
        <v>3935</v>
      </c>
      <c r="L3583">
        <v>0</v>
      </c>
      <c r="M3583" s="452">
        <v>45740</v>
      </c>
      <c r="N3583">
        <v>0</v>
      </c>
      <c r="O3583">
        <v>135</v>
      </c>
      <c r="P3583">
        <v>152</v>
      </c>
    </row>
    <row r="3584" spans="1:16" x14ac:dyDescent="0.3">
      <c r="A3584">
        <v>41037</v>
      </c>
      <c r="B3584">
        <v>105</v>
      </c>
      <c r="C3584" t="s">
        <v>557</v>
      </c>
      <c r="D3584" s="452">
        <v>45839</v>
      </c>
      <c r="E3584">
        <v>20928</v>
      </c>
      <c r="F3584" t="s">
        <v>4950</v>
      </c>
      <c r="G3584">
        <v>2033</v>
      </c>
      <c r="H3584">
        <v>1</v>
      </c>
      <c r="I3584" t="s">
        <v>4736</v>
      </c>
      <c r="J3584" t="s">
        <v>5191</v>
      </c>
      <c r="K3584" t="s">
        <v>3935</v>
      </c>
      <c r="L3584">
        <v>0</v>
      </c>
      <c r="M3584" s="452">
        <v>45740</v>
      </c>
      <c r="N3584">
        <v>150</v>
      </c>
      <c r="O3584">
        <v>219.29</v>
      </c>
      <c r="P3584">
        <v>150</v>
      </c>
    </row>
    <row r="3585" spans="1:16" x14ac:dyDescent="0.3">
      <c r="A3585">
        <v>41240</v>
      </c>
      <c r="B3585">
        <v>105</v>
      </c>
      <c r="C3585" t="s">
        <v>557</v>
      </c>
      <c r="D3585" s="452">
        <v>45839</v>
      </c>
      <c r="E3585">
        <v>18477</v>
      </c>
      <c r="F3585" t="s">
        <v>4920</v>
      </c>
      <c r="G3585">
        <v>3179</v>
      </c>
      <c r="H3585">
        <v>3</v>
      </c>
      <c r="I3585" t="s">
        <v>4805</v>
      </c>
      <c r="J3585" t="s">
        <v>5222</v>
      </c>
      <c r="K3585" t="s">
        <v>3935</v>
      </c>
      <c r="L3585">
        <v>0</v>
      </c>
      <c r="M3585" s="452">
        <v>45525</v>
      </c>
      <c r="N3585">
        <v>49.9</v>
      </c>
      <c r="O3585">
        <v>43.9</v>
      </c>
      <c r="P3585">
        <v>149.69999999999999</v>
      </c>
    </row>
    <row r="3586" spans="1:16" x14ac:dyDescent="0.3">
      <c r="A3586">
        <v>41273</v>
      </c>
      <c r="B3586">
        <v>105</v>
      </c>
      <c r="C3586" t="s">
        <v>557</v>
      </c>
      <c r="D3586" s="452">
        <v>45839</v>
      </c>
      <c r="E3586">
        <v>18030</v>
      </c>
      <c r="F3586" t="s">
        <v>4840</v>
      </c>
      <c r="G3586">
        <v>3568</v>
      </c>
      <c r="H3586">
        <v>5</v>
      </c>
      <c r="I3586" t="s">
        <v>4805</v>
      </c>
      <c r="J3586" t="s">
        <v>5222</v>
      </c>
      <c r="K3586" t="s">
        <v>3935</v>
      </c>
      <c r="L3586">
        <v>29.9</v>
      </c>
      <c r="M3586" s="452">
        <v>45818</v>
      </c>
      <c r="N3586">
        <v>29.9</v>
      </c>
      <c r="O3586">
        <v>28.4</v>
      </c>
      <c r="P3586">
        <v>149.5</v>
      </c>
    </row>
    <row r="3587" spans="1:16" x14ac:dyDescent="0.3">
      <c r="A3587">
        <v>41338</v>
      </c>
      <c r="B3587">
        <v>105</v>
      </c>
      <c r="C3587" t="s">
        <v>557</v>
      </c>
      <c r="D3587" s="452">
        <v>45839</v>
      </c>
      <c r="E3587">
        <v>18157</v>
      </c>
      <c r="F3587" t="s">
        <v>5041</v>
      </c>
      <c r="G3587">
        <v>3463</v>
      </c>
      <c r="H3587">
        <v>0.72</v>
      </c>
      <c r="I3587" t="s">
        <v>4805</v>
      </c>
      <c r="J3587" t="s">
        <v>5222</v>
      </c>
      <c r="K3587" t="s">
        <v>3935</v>
      </c>
      <c r="L3587">
        <v>0</v>
      </c>
      <c r="M3587" s="452">
        <v>45672</v>
      </c>
      <c r="N3587">
        <v>205.61</v>
      </c>
      <c r="O3587">
        <v>205.61</v>
      </c>
      <c r="P3587">
        <v>148.04</v>
      </c>
    </row>
    <row r="3588" spans="1:16" x14ac:dyDescent="0.3">
      <c r="A3588">
        <v>41036</v>
      </c>
      <c r="B3588">
        <v>105</v>
      </c>
      <c r="C3588" t="s">
        <v>557</v>
      </c>
      <c r="D3588" s="452">
        <v>45839</v>
      </c>
      <c r="E3588">
        <v>20044</v>
      </c>
      <c r="F3588" t="s">
        <v>4932</v>
      </c>
      <c r="G3588">
        <v>2329</v>
      </c>
      <c r="H3588">
        <v>7</v>
      </c>
      <c r="I3588" t="s">
        <v>4744</v>
      </c>
      <c r="J3588" t="s">
        <v>5191</v>
      </c>
      <c r="K3588" t="s">
        <v>3935</v>
      </c>
      <c r="L3588">
        <v>0</v>
      </c>
      <c r="M3588" s="452">
        <v>45639</v>
      </c>
      <c r="N3588">
        <v>21</v>
      </c>
      <c r="O3588">
        <v>23.9</v>
      </c>
      <c r="P3588">
        <v>147</v>
      </c>
    </row>
    <row r="3589" spans="1:16" x14ac:dyDescent="0.3">
      <c r="A3589">
        <v>41248</v>
      </c>
      <c r="B3589">
        <v>105</v>
      </c>
      <c r="C3589" t="s">
        <v>557</v>
      </c>
      <c r="D3589" s="452">
        <v>45839</v>
      </c>
      <c r="E3589">
        <v>24685</v>
      </c>
      <c r="F3589" t="s">
        <v>5055</v>
      </c>
      <c r="G3589">
        <v>5714</v>
      </c>
      <c r="H3589">
        <v>1</v>
      </c>
      <c r="I3589" t="s">
        <v>4805</v>
      </c>
      <c r="J3589" t="s">
        <v>5222</v>
      </c>
      <c r="K3589" t="s">
        <v>3935</v>
      </c>
      <c r="L3589">
        <v>0</v>
      </c>
      <c r="M3589" s="452">
        <v>45742</v>
      </c>
      <c r="N3589">
        <v>140.35</v>
      </c>
      <c r="O3589">
        <v>149.9</v>
      </c>
      <c r="P3589">
        <v>140.35</v>
      </c>
    </row>
    <row r="3590" spans="1:16" x14ac:dyDescent="0.3">
      <c r="A3590">
        <v>41301</v>
      </c>
      <c r="B3590">
        <v>105</v>
      </c>
      <c r="C3590" t="s">
        <v>557</v>
      </c>
      <c r="D3590" s="452">
        <v>45839</v>
      </c>
      <c r="E3590">
        <v>24642</v>
      </c>
      <c r="F3590" t="s">
        <v>5460</v>
      </c>
      <c r="G3590">
        <v>5692</v>
      </c>
      <c r="H3590">
        <v>3</v>
      </c>
      <c r="I3590" t="s">
        <v>4805</v>
      </c>
      <c r="J3590" t="s">
        <v>5222</v>
      </c>
      <c r="K3590" t="s">
        <v>3935</v>
      </c>
      <c r="L3590">
        <v>0</v>
      </c>
      <c r="M3590" s="452">
        <v>45596</v>
      </c>
      <c r="N3590">
        <v>46</v>
      </c>
      <c r="O3590">
        <v>46</v>
      </c>
      <c r="P3590">
        <v>138</v>
      </c>
    </row>
    <row r="3591" spans="1:16" x14ac:dyDescent="0.3">
      <c r="A3591">
        <v>41002</v>
      </c>
      <c r="B3591">
        <v>105</v>
      </c>
      <c r="C3591" t="s">
        <v>557</v>
      </c>
      <c r="D3591" s="452">
        <v>45839</v>
      </c>
      <c r="E3591">
        <v>25757</v>
      </c>
      <c r="F3591" t="s">
        <v>4763</v>
      </c>
      <c r="G3591">
        <v>6308</v>
      </c>
      <c r="H3591">
        <v>18</v>
      </c>
      <c r="I3591" t="s">
        <v>4736</v>
      </c>
      <c r="J3591" t="s">
        <v>5191</v>
      </c>
      <c r="K3591" t="s">
        <v>3935</v>
      </c>
      <c r="L3591">
        <v>0</v>
      </c>
      <c r="M3591" s="452">
        <v>45742</v>
      </c>
      <c r="N3591">
        <v>7.61</v>
      </c>
      <c r="O3591">
        <v>7.61</v>
      </c>
      <c r="P3591">
        <v>136.97999999999999</v>
      </c>
    </row>
    <row r="3592" spans="1:16" x14ac:dyDescent="0.3">
      <c r="A3592">
        <v>41251</v>
      </c>
      <c r="B3592">
        <v>105</v>
      </c>
      <c r="C3592" t="s">
        <v>557</v>
      </c>
      <c r="D3592" s="452">
        <v>45839</v>
      </c>
      <c r="E3592">
        <v>18312</v>
      </c>
      <c r="F3592" t="s">
        <v>5037</v>
      </c>
      <c r="G3592">
        <v>3321</v>
      </c>
      <c r="H3592">
        <v>1</v>
      </c>
      <c r="I3592" t="s">
        <v>4805</v>
      </c>
      <c r="J3592" t="s">
        <v>5222</v>
      </c>
      <c r="K3592" t="s">
        <v>3935</v>
      </c>
      <c r="L3592">
        <v>0</v>
      </c>
      <c r="M3592" s="452">
        <v>-693593</v>
      </c>
      <c r="N3592">
        <v>0</v>
      </c>
      <c r="O3592">
        <v>105.9</v>
      </c>
      <c r="P3592">
        <v>135.9</v>
      </c>
    </row>
    <row r="3593" spans="1:16" x14ac:dyDescent="0.3">
      <c r="A3593">
        <v>41231</v>
      </c>
      <c r="B3593">
        <v>105</v>
      </c>
      <c r="C3593" t="s">
        <v>557</v>
      </c>
      <c r="D3593" s="452">
        <v>45839</v>
      </c>
      <c r="E3593">
        <v>24470</v>
      </c>
      <c r="F3593" t="s">
        <v>4752</v>
      </c>
      <c r="G3593">
        <v>3103</v>
      </c>
      <c r="H3593">
        <v>30</v>
      </c>
      <c r="I3593" t="s">
        <v>4736</v>
      </c>
      <c r="J3593" t="s">
        <v>5222</v>
      </c>
      <c r="K3593" t="s">
        <v>3935</v>
      </c>
      <c r="L3593">
        <v>0</v>
      </c>
      <c r="M3593" s="452">
        <v>45404</v>
      </c>
      <c r="N3593">
        <v>4.41</v>
      </c>
      <c r="O3593">
        <v>4.41</v>
      </c>
      <c r="P3593">
        <v>132.30000000000001</v>
      </c>
    </row>
    <row r="3594" spans="1:16" x14ac:dyDescent="0.3">
      <c r="A3594">
        <v>41288</v>
      </c>
      <c r="B3594">
        <v>105</v>
      </c>
      <c r="C3594" t="s">
        <v>557</v>
      </c>
      <c r="D3594" s="452">
        <v>45839</v>
      </c>
      <c r="E3594">
        <v>17883</v>
      </c>
      <c r="F3594" t="s">
        <v>5113</v>
      </c>
      <c r="G3594">
        <v>3673</v>
      </c>
      <c r="H3594">
        <v>5</v>
      </c>
      <c r="I3594" t="s">
        <v>4738</v>
      </c>
      <c r="J3594" t="s">
        <v>5222</v>
      </c>
      <c r="K3594" t="s">
        <v>3935</v>
      </c>
      <c r="L3594">
        <v>26.28</v>
      </c>
      <c r="M3594" s="452">
        <v>45832</v>
      </c>
      <c r="N3594">
        <v>26.28</v>
      </c>
      <c r="O3594">
        <v>26.28</v>
      </c>
      <c r="P3594">
        <v>131.4</v>
      </c>
    </row>
    <row r="3595" spans="1:16" x14ac:dyDescent="0.3">
      <c r="A3595">
        <v>41265</v>
      </c>
      <c r="B3595">
        <v>105</v>
      </c>
      <c r="C3595" t="s">
        <v>557</v>
      </c>
      <c r="D3595" s="452">
        <v>45839</v>
      </c>
      <c r="E3595">
        <v>18129</v>
      </c>
      <c r="F3595" t="s">
        <v>5043</v>
      </c>
      <c r="G3595">
        <v>3486</v>
      </c>
      <c r="H3595">
        <v>1</v>
      </c>
      <c r="I3595" t="s">
        <v>4805</v>
      </c>
      <c r="J3595" t="s">
        <v>5222</v>
      </c>
      <c r="K3595" t="s">
        <v>3935</v>
      </c>
      <c r="L3595">
        <v>0</v>
      </c>
      <c r="M3595" s="452">
        <v>45807</v>
      </c>
      <c r="N3595">
        <v>128.1</v>
      </c>
      <c r="O3595">
        <v>165.9</v>
      </c>
      <c r="P3595">
        <v>128.1</v>
      </c>
    </row>
    <row r="3596" spans="1:16" x14ac:dyDescent="0.3">
      <c r="A3596">
        <v>41145</v>
      </c>
      <c r="B3596">
        <v>105</v>
      </c>
      <c r="C3596" t="s">
        <v>557</v>
      </c>
      <c r="D3596" s="452">
        <v>45839</v>
      </c>
      <c r="E3596">
        <v>19765</v>
      </c>
      <c r="F3596" t="s">
        <v>4889</v>
      </c>
      <c r="G3596">
        <v>2488</v>
      </c>
      <c r="H3596">
        <v>4</v>
      </c>
      <c r="I3596" t="s">
        <v>4744</v>
      </c>
      <c r="J3596" t="s">
        <v>5191</v>
      </c>
      <c r="K3596" t="s">
        <v>3935</v>
      </c>
      <c r="L3596">
        <v>32</v>
      </c>
      <c r="M3596" s="452">
        <v>45838</v>
      </c>
      <c r="N3596">
        <v>32</v>
      </c>
      <c r="O3596">
        <v>32</v>
      </c>
      <c r="P3596">
        <v>128</v>
      </c>
    </row>
    <row r="3597" spans="1:16" x14ac:dyDescent="0.3">
      <c r="A3597">
        <v>41322</v>
      </c>
      <c r="B3597">
        <v>105</v>
      </c>
      <c r="C3597" t="s">
        <v>557</v>
      </c>
      <c r="D3597" s="452">
        <v>45839</v>
      </c>
      <c r="E3597">
        <v>18394</v>
      </c>
      <c r="F3597" t="s">
        <v>5032</v>
      </c>
      <c r="G3597">
        <v>3246</v>
      </c>
      <c r="H3597">
        <v>0.7</v>
      </c>
      <c r="I3597" t="s">
        <v>4805</v>
      </c>
      <c r="J3597" t="s">
        <v>5222</v>
      </c>
      <c r="K3597" t="s">
        <v>3935</v>
      </c>
      <c r="L3597">
        <v>0</v>
      </c>
      <c r="M3597" s="452">
        <v>45589</v>
      </c>
      <c r="N3597">
        <v>182</v>
      </c>
      <c r="O3597">
        <v>134</v>
      </c>
      <c r="P3597">
        <v>127.4</v>
      </c>
    </row>
    <row r="3598" spans="1:16" x14ac:dyDescent="0.3">
      <c r="A3598">
        <v>41134</v>
      </c>
      <c r="B3598">
        <v>105</v>
      </c>
      <c r="C3598" t="s">
        <v>557</v>
      </c>
      <c r="D3598" s="452">
        <v>45839</v>
      </c>
      <c r="E3598">
        <v>19779</v>
      </c>
      <c r="F3598" t="s">
        <v>4938</v>
      </c>
      <c r="G3598">
        <v>2479</v>
      </c>
      <c r="H3598">
        <v>3</v>
      </c>
      <c r="I3598" t="s">
        <v>4744</v>
      </c>
      <c r="J3598" t="s">
        <v>5191</v>
      </c>
      <c r="K3598" t="s">
        <v>3935</v>
      </c>
      <c r="L3598">
        <v>0</v>
      </c>
      <c r="M3598" s="452">
        <v>-693593</v>
      </c>
      <c r="N3598">
        <v>0</v>
      </c>
      <c r="O3598">
        <v>38</v>
      </c>
      <c r="P3598">
        <v>124.75</v>
      </c>
    </row>
    <row r="3599" spans="1:16" x14ac:dyDescent="0.3">
      <c r="A3599">
        <v>41282</v>
      </c>
      <c r="B3599">
        <v>105</v>
      </c>
      <c r="C3599" t="s">
        <v>557</v>
      </c>
      <c r="D3599" s="452">
        <v>45839</v>
      </c>
      <c r="E3599">
        <v>24227</v>
      </c>
      <c r="F3599" t="s">
        <v>4806</v>
      </c>
      <c r="G3599">
        <v>3648</v>
      </c>
      <c r="H3599">
        <v>19</v>
      </c>
      <c r="I3599" t="s">
        <v>4736</v>
      </c>
      <c r="J3599" t="s">
        <v>5222</v>
      </c>
      <c r="K3599" t="s">
        <v>3935</v>
      </c>
      <c r="L3599">
        <v>0</v>
      </c>
      <c r="M3599" s="452">
        <v>45393</v>
      </c>
      <c r="N3599">
        <v>6.42</v>
      </c>
      <c r="O3599">
        <v>23.89</v>
      </c>
      <c r="P3599">
        <v>121.98</v>
      </c>
    </row>
    <row r="3600" spans="1:16" x14ac:dyDescent="0.3">
      <c r="A3600">
        <v>41103</v>
      </c>
      <c r="B3600">
        <v>105</v>
      </c>
      <c r="C3600" t="s">
        <v>557</v>
      </c>
      <c r="D3600" s="452">
        <v>45839</v>
      </c>
      <c r="E3600">
        <v>20185</v>
      </c>
      <c r="F3600" t="s">
        <v>5054</v>
      </c>
      <c r="G3600">
        <v>2259</v>
      </c>
      <c r="H3600">
        <v>3.7</v>
      </c>
      <c r="I3600" t="s">
        <v>4744</v>
      </c>
      <c r="J3600" t="s">
        <v>5191</v>
      </c>
      <c r="K3600" t="s">
        <v>3935</v>
      </c>
      <c r="L3600">
        <v>0</v>
      </c>
      <c r="M3600" s="452">
        <v>45741</v>
      </c>
      <c r="N3600">
        <v>32.9</v>
      </c>
      <c r="O3600">
        <v>32.9</v>
      </c>
      <c r="P3600">
        <v>121.73</v>
      </c>
    </row>
    <row r="3601" spans="1:16" x14ac:dyDescent="0.3">
      <c r="A3601">
        <v>41148</v>
      </c>
      <c r="B3601">
        <v>105</v>
      </c>
      <c r="C3601" t="s">
        <v>557</v>
      </c>
      <c r="D3601" s="452">
        <v>45839</v>
      </c>
      <c r="E3601">
        <v>23361</v>
      </c>
      <c r="F3601" t="s">
        <v>4754</v>
      </c>
      <c r="G3601">
        <v>2497</v>
      </c>
      <c r="H3601">
        <v>41</v>
      </c>
      <c r="I3601" t="s">
        <v>4744</v>
      </c>
      <c r="J3601" t="s">
        <v>5191</v>
      </c>
      <c r="K3601" t="s">
        <v>3935</v>
      </c>
      <c r="L3601">
        <v>2.9</v>
      </c>
      <c r="M3601" s="452">
        <v>45838</v>
      </c>
      <c r="N3601">
        <v>2.9</v>
      </c>
      <c r="O3601">
        <v>2.9</v>
      </c>
      <c r="P3601">
        <v>118.9</v>
      </c>
    </row>
    <row r="3602" spans="1:16" x14ac:dyDescent="0.3">
      <c r="A3602">
        <v>41075</v>
      </c>
      <c r="B3602">
        <v>105</v>
      </c>
      <c r="C3602" t="s">
        <v>557</v>
      </c>
      <c r="D3602" s="452">
        <v>45839</v>
      </c>
      <c r="E3602">
        <v>27065</v>
      </c>
      <c r="F3602" t="s">
        <v>5503</v>
      </c>
      <c r="G3602">
        <v>7113</v>
      </c>
      <c r="H3602">
        <v>3</v>
      </c>
      <c r="I3602" t="s">
        <v>4738</v>
      </c>
      <c r="J3602" t="s">
        <v>5191</v>
      </c>
      <c r="K3602" t="s">
        <v>3935</v>
      </c>
      <c r="L3602">
        <v>0</v>
      </c>
      <c r="M3602" s="452">
        <v>-693593</v>
      </c>
      <c r="N3602">
        <v>0</v>
      </c>
      <c r="O3602">
        <v>0</v>
      </c>
      <c r="P3602">
        <v>118.53</v>
      </c>
    </row>
    <row r="3603" spans="1:16" x14ac:dyDescent="0.3">
      <c r="A3603">
        <v>41252</v>
      </c>
      <c r="B3603">
        <v>105</v>
      </c>
      <c r="C3603" t="s">
        <v>557</v>
      </c>
      <c r="D3603" s="452">
        <v>45839</v>
      </c>
      <c r="E3603">
        <v>18295</v>
      </c>
      <c r="F3603" t="s">
        <v>4968</v>
      </c>
      <c r="G3603">
        <v>3334</v>
      </c>
      <c r="H3603">
        <v>1</v>
      </c>
      <c r="I3603" t="s">
        <v>4805</v>
      </c>
      <c r="J3603" t="s">
        <v>5222</v>
      </c>
      <c r="K3603" t="s">
        <v>3935</v>
      </c>
      <c r="L3603">
        <v>0</v>
      </c>
      <c r="M3603" s="452">
        <v>45672</v>
      </c>
      <c r="N3603">
        <v>116.87</v>
      </c>
      <c r="O3603">
        <v>149.9</v>
      </c>
      <c r="P3603">
        <v>116.87</v>
      </c>
    </row>
    <row r="3604" spans="1:16" x14ac:dyDescent="0.3">
      <c r="A3604">
        <v>41207</v>
      </c>
      <c r="B3604">
        <v>105</v>
      </c>
      <c r="C3604" t="s">
        <v>557</v>
      </c>
      <c r="D3604" s="452">
        <v>45839</v>
      </c>
      <c r="E3604">
        <v>24217</v>
      </c>
      <c r="F3604" t="s">
        <v>4778</v>
      </c>
      <c r="G3604">
        <v>2937</v>
      </c>
      <c r="H3604">
        <v>2.1</v>
      </c>
      <c r="I3604" t="s">
        <v>4744</v>
      </c>
      <c r="J3604" t="s">
        <v>5191</v>
      </c>
      <c r="K3604" t="s">
        <v>3935</v>
      </c>
      <c r="L3604">
        <v>55</v>
      </c>
      <c r="M3604" s="452">
        <v>45838</v>
      </c>
      <c r="N3604">
        <v>55</v>
      </c>
      <c r="O3604">
        <v>48.9</v>
      </c>
      <c r="P3604">
        <v>115.5</v>
      </c>
    </row>
    <row r="3605" spans="1:16" x14ac:dyDescent="0.3">
      <c r="A3605">
        <v>41264</v>
      </c>
      <c r="B3605">
        <v>105</v>
      </c>
      <c r="C3605" t="s">
        <v>557</v>
      </c>
      <c r="D3605" s="452">
        <v>45839</v>
      </c>
      <c r="E3605">
        <v>18147</v>
      </c>
      <c r="F3605" t="s">
        <v>5042</v>
      </c>
      <c r="G3605">
        <v>3471</v>
      </c>
      <c r="H3605">
        <v>1</v>
      </c>
      <c r="I3605" t="s">
        <v>4805</v>
      </c>
      <c r="J3605" t="s">
        <v>5222</v>
      </c>
      <c r="K3605" t="s">
        <v>3935</v>
      </c>
      <c r="L3605">
        <v>0</v>
      </c>
      <c r="M3605" s="452">
        <v>45427</v>
      </c>
      <c r="N3605">
        <v>115</v>
      </c>
      <c r="O3605">
        <v>113.9</v>
      </c>
      <c r="P3605">
        <v>115</v>
      </c>
    </row>
    <row r="3606" spans="1:16" x14ac:dyDescent="0.3">
      <c r="A3606">
        <v>41003</v>
      </c>
      <c r="B3606">
        <v>105</v>
      </c>
      <c r="C3606" t="s">
        <v>557</v>
      </c>
      <c r="D3606" s="452">
        <v>45839</v>
      </c>
      <c r="E3606">
        <v>25762</v>
      </c>
      <c r="F3606" t="s">
        <v>4770</v>
      </c>
      <c r="G3606">
        <v>9070</v>
      </c>
      <c r="H3606">
        <v>15</v>
      </c>
      <c r="I3606" t="s">
        <v>4736</v>
      </c>
      <c r="J3606" t="s">
        <v>5191</v>
      </c>
      <c r="K3606" t="s">
        <v>3935</v>
      </c>
      <c r="L3606">
        <v>0</v>
      </c>
      <c r="M3606" s="452">
        <v>45742</v>
      </c>
      <c r="N3606">
        <v>7.61</v>
      </c>
      <c r="O3606">
        <v>7.61</v>
      </c>
      <c r="P3606">
        <v>114.15</v>
      </c>
    </row>
    <row r="3607" spans="1:16" x14ac:dyDescent="0.3">
      <c r="A3607">
        <v>41097</v>
      </c>
      <c r="B3607">
        <v>105</v>
      </c>
      <c r="C3607" t="s">
        <v>557</v>
      </c>
      <c r="D3607" s="452">
        <v>45839</v>
      </c>
      <c r="E3607">
        <v>19923</v>
      </c>
      <c r="F3607" t="s">
        <v>5069</v>
      </c>
      <c r="G3607">
        <v>2375</v>
      </c>
      <c r="H3607">
        <v>3</v>
      </c>
      <c r="I3607" t="s">
        <v>4738</v>
      </c>
      <c r="J3607" t="s">
        <v>5191</v>
      </c>
      <c r="K3607" t="s">
        <v>3935</v>
      </c>
      <c r="L3607">
        <v>0</v>
      </c>
      <c r="M3607" s="452">
        <v>45763</v>
      </c>
      <c r="N3607">
        <v>38</v>
      </c>
      <c r="O3607">
        <v>38</v>
      </c>
      <c r="P3607">
        <v>114</v>
      </c>
    </row>
    <row r="3608" spans="1:16" x14ac:dyDescent="0.3">
      <c r="A3608">
        <v>41044</v>
      </c>
      <c r="B3608">
        <v>105</v>
      </c>
      <c r="C3608" t="s">
        <v>557</v>
      </c>
      <c r="D3608" s="452">
        <v>45839</v>
      </c>
      <c r="E3608">
        <v>26020</v>
      </c>
      <c r="F3608" t="s">
        <v>5102</v>
      </c>
      <c r="G3608">
        <v>2105</v>
      </c>
      <c r="H3608">
        <v>8</v>
      </c>
      <c r="I3608" t="s">
        <v>4736</v>
      </c>
      <c r="J3608" t="s">
        <v>5191</v>
      </c>
      <c r="K3608" t="s">
        <v>3935</v>
      </c>
      <c r="L3608">
        <v>14.1</v>
      </c>
      <c r="M3608" s="452">
        <v>45831</v>
      </c>
      <c r="N3608">
        <v>14.1</v>
      </c>
      <c r="O3608">
        <v>14.1</v>
      </c>
      <c r="P3608">
        <v>112.8</v>
      </c>
    </row>
    <row r="3609" spans="1:16" x14ac:dyDescent="0.3">
      <c r="A3609">
        <v>41052</v>
      </c>
      <c r="B3609">
        <v>105</v>
      </c>
      <c r="C3609" t="s">
        <v>557</v>
      </c>
      <c r="D3609" s="452">
        <v>45839</v>
      </c>
      <c r="E3609">
        <v>20242</v>
      </c>
      <c r="F3609" t="s">
        <v>4824</v>
      </c>
      <c r="G3609">
        <v>2242</v>
      </c>
      <c r="H3609">
        <v>8</v>
      </c>
      <c r="I3609" t="s">
        <v>4738</v>
      </c>
      <c r="J3609" t="s">
        <v>5191</v>
      </c>
      <c r="K3609" t="s">
        <v>3935</v>
      </c>
      <c r="L3609">
        <v>14.02</v>
      </c>
      <c r="M3609" s="452">
        <v>45835</v>
      </c>
      <c r="N3609">
        <v>13.99</v>
      </c>
      <c r="O3609">
        <v>13.99</v>
      </c>
      <c r="P3609">
        <v>112.16</v>
      </c>
    </row>
    <row r="3610" spans="1:16" x14ac:dyDescent="0.3">
      <c r="A3610">
        <v>41138</v>
      </c>
      <c r="B3610">
        <v>105</v>
      </c>
      <c r="C3610" t="s">
        <v>557</v>
      </c>
      <c r="D3610" s="452">
        <v>45839</v>
      </c>
      <c r="E3610">
        <v>19623</v>
      </c>
      <c r="F3610" t="s">
        <v>4764</v>
      </c>
      <c r="G3610">
        <v>2611</v>
      </c>
      <c r="H3610">
        <v>21.2</v>
      </c>
      <c r="I3610" t="s">
        <v>4744</v>
      </c>
      <c r="J3610" t="s">
        <v>5191</v>
      </c>
      <c r="K3610" t="s">
        <v>3935</v>
      </c>
      <c r="L3610">
        <v>5.26</v>
      </c>
      <c r="M3610" s="452">
        <v>45838</v>
      </c>
      <c r="N3610">
        <v>5</v>
      </c>
      <c r="O3610">
        <v>5</v>
      </c>
      <c r="P3610">
        <v>111.51</v>
      </c>
    </row>
    <row r="3611" spans="1:16" x14ac:dyDescent="0.3">
      <c r="A3611">
        <v>41157</v>
      </c>
      <c r="B3611">
        <v>105</v>
      </c>
      <c r="C3611" t="s">
        <v>557</v>
      </c>
      <c r="D3611" s="452">
        <v>45839</v>
      </c>
      <c r="E3611">
        <v>19740</v>
      </c>
      <c r="F3611" t="s">
        <v>4779</v>
      </c>
      <c r="G3611">
        <v>2513</v>
      </c>
      <c r="H3611">
        <v>12</v>
      </c>
      <c r="I3611" t="s">
        <v>4744</v>
      </c>
      <c r="J3611" t="s">
        <v>5191</v>
      </c>
      <c r="K3611" t="s">
        <v>3935</v>
      </c>
      <c r="L3611">
        <v>9.2799999999999994</v>
      </c>
      <c r="M3611" s="452">
        <v>45834</v>
      </c>
      <c r="N3611">
        <v>6</v>
      </c>
      <c r="O3611">
        <v>6.2</v>
      </c>
      <c r="P3611">
        <v>111.36</v>
      </c>
    </row>
    <row r="3612" spans="1:16" x14ac:dyDescent="0.3">
      <c r="A3612">
        <v>41025</v>
      </c>
      <c r="B3612">
        <v>105</v>
      </c>
      <c r="C3612" t="s">
        <v>557</v>
      </c>
      <c r="D3612" s="452">
        <v>45839</v>
      </c>
      <c r="E3612">
        <v>20751</v>
      </c>
      <c r="F3612" t="s">
        <v>5004</v>
      </c>
      <c r="G3612">
        <v>2088</v>
      </c>
      <c r="H3612">
        <v>1</v>
      </c>
      <c r="I3612" t="s">
        <v>4884</v>
      </c>
      <c r="J3612" t="s">
        <v>5191</v>
      </c>
      <c r="K3612" t="s">
        <v>3935</v>
      </c>
      <c r="L3612">
        <v>109.39</v>
      </c>
      <c r="M3612" s="452">
        <v>45832</v>
      </c>
      <c r="N3612">
        <v>109.59</v>
      </c>
      <c r="O3612">
        <v>60</v>
      </c>
      <c r="P3612">
        <v>109.39</v>
      </c>
    </row>
    <row r="3613" spans="1:16" x14ac:dyDescent="0.3">
      <c r="A3613">
        <v>41181</v>
      </c>
      <c r="B3613">
        <v>105</v>
      </c>
      <c r="C3613" t="s">
        <v>557</v>
      </c>
      <c r="D3613" s="452">
        <v>45839</v>
      </c>
      <c r="E3613">
        <v>26495</v>
      </c>
      <c r="F3613" t="s">
        <v>4867</v>
      </c>
      <c r="G3613">
        <v>5447</v>
      </c>
      <c r="H3613">
        <v>3</v>
      </c>
      <c r="I3613" t="s">
        <v>4744</v>
      </c>
      <c r="J3613" t="s">
        <v>5191</v>
      </c>
      <c r="K3613" t="s">
        <v>3935</v>
      </c>
      <c r="L3613">
        <v>0</v>
      </c>
      <c r="M3613" s="452">
        <v>45793</v>
      </c>
      <c r="N3613">
        <v>36.200000000000003</v>
      </c>
      <c r="O3613">
        <v>36.200000000000003</v>
      </c>
      <c r="P3613">
        <v>108.6</v>
      </c>
    </row>
    <row r="3614" spans="1:16" x14ac:dyDescent="0.3">
      <c r="A3614">
        <v>41311</v>
      </c>
      <c r="B3614">
        <v>105</v>
      </c>
      <c r="C3614" t="s">
        <v>557</v>
      </c>
      <c r="D3614" s="452">
        <v>45839</v>
      </c>
      <c r="E3614">
        <v>17895</v>
      </c>
      <c r="F3614" t="s">
        <v>5086</v>
      </c>
      <c r="G3614">
        <v>3665</v>
      </c>
      <c r="H3614">
        <v>4.08</v>
      </c>
      <c r="I3614" t="s">
        <v>4738</v>
      </c>
      <c r="J3614" t="s">
        <v>5222</v>
      </c>
      <c r="K3614" t="s">
        <v>3935</v>
      </c>
      <c r="L3614">
        <v>26.28</v>
      </c>
      <c r="M3614" s="452">
        <v>45832</v>
      </c>
      <c r="N3614">
        <v>26.28</v>
      </c>
      <c r="O3614">
        <v>26.28</v>
      </c>
      <c r="P3614">
        <v>107.31</v>
      </c>
    </row>
    <row r="3615" spans="1:16" x14ac:dyDescent="0.3">
      <c r="A3615">
        <v>41011</v>
      </c>
      <c r="B3615">
        <v>105</v>
      </c>
      <c r="C3615" t="s">
        <v>557</v>
      </c>
      <c r="D3615" s="452">
        <v>45839</v>
      </c>
      <c r="E3615">
        <v>16997</v>
      </c>
      <c r="F3615" t="s">
        <v>5516</v>
      </c>
      <c r="G3615">
        <v>4750</v>
      </c>
      <c r="H3615">
        <v>3.1</v>
      </c>
      <c r="I3615" t="s">
        <v>4744</v>
      </c>
      <c r="J3615" t="s">
        <v>5191</v>
      </c>
      <c r="K3615" t="s">
        <v>3935</v>
      </c>
      <c r="L3615">
        <v>0</v>
      </c>
      <c r="M3615" s="452">
        <v>45750</v>
      </c>
      <c r="N3615">
        <v>34.49</v>
      </c>
      <c r="O3615">
        <v>34.49</v>
      </c>
      <c r="P3615">
        <v>106.92</v>
      </c>
    </row>
    <row r="3616" spans="1:16" x14ac:dyDescent="0.3">
      <c r="A3616">
        <v>41247</v>
      </c>
      <c r="B3616">
        <v>105</v>
      </c>
      <c r="C3616" t="s">
        <v>557</v>
      </c>
      <c r="D3616" s="452">
        <v>45839</v>
      </c>
      <c r="E3616">
        <v>18327</v>
      </c>
      <c r="F3616" t="s">
        <v>5035</v>
      </c>
      <c r="G3616">
        <v>3306</v>
      </c>
      <c r="H3616">
        <v>1</v>
      </c>
      <c r="I3616" t="s">
        <v>4805</v>
      </c>
      <c r="J3616" t="s">
        <v>5222</v>
      </c>
      <c r="K3616" t="s">
        <v>3935</v>
      </c>
      <c r="L3616">
        <v>0</v>
      </c>
      <c r="M3616" s="452">
        <v>45762</v>
      </c>
      <c r="N3616">
        <v>106</v>
      </c>
      <c r="O3616">
        <v>106.9</v>
      </c>
      <c r="P3616">
        <v>106</v>
      </c>
    </row>
    <row r="3617" spans="1:16" x14ac:dyDescent="0.3">
      <c r="A3617">
        <v>41175</v>
      </c>
      <c r="B3617">
        <v>105</v>
      </c>
      <c r="C3617" t="s">
        <v>557</v>
      </c>
      <c r="D3617" s="452">
        <v>45839</v>
      </c>
      <c r="E3617">
        <v>19551</v>
      </c>
      <c r="F3617" t="s">
        <v>4905</v>
      </c>
      <c r="G3617">
        <v>2665</v>
      </c>
      <c r="H3617">
        <v>5.98</v>
      </c>
      <c r="I3617" t="s">
        <v>4744</v>
      </c>
      <c r="J3617" t="s">
        <v>5191</v>
      </c>
      <c r="K3617" t="s">
        <v>3935</v>
      </c>
      <c r="L3617">
        <v>17.670000000000002</v>
      </c>
      <c r="M3617" s="452">
        <v>45820</v>
      </c>
      <c r="N3617">
        <v>18</v>
      </c>
      <c r="O3617">
        <v>18</v>
      </c>
      <c r="P3617">
        <v>105.67</v>
      </c>
    </row>
    <row r="3618" spans="1:16" x14ac:dyDescent="0.3">
      <c r="A3618">
        <v>41274</v>
      </c>
      <c r="B3618">
        <v>105</v>
      </c>
      <c r="C3618" t="s">
        <v>557</v>
      </c>
      <c r="D3618" s="452">
        <v>45839</v>
      </c>
      <c r="E3618">
        <v>17950</v>
      </c>
      <c r="F3618" t="s">
        <v>5091</v>
      </c>
      <c r="G3618">
        <v>3626</v>
      </c>
      <c r="H3618">
        <v>6.17</v>
      </c>
      <c r="I3618" t="s">
        <v>4738</v>
      </c>
      <c r="J3618" t="s">
        <v>5222</v>
      </c>
      <c r="K3618" t="s">
        <v>3935</v>
      </c>
      <c r="L3618">
        <v>17.100000000000001</v>
      </c>
      <c r="M3618" s="452">
        <v>45835</v>
      </c>
      <c r="N3618">
        <v>17.100000000000001</v>
      </c>
      <c r="O3618">
        <v>17.100000000000001</v>
      </c>
      <c r="P3618">
        <v>105.45</v>
      </c>
    </row>
    <row r="3619" spans="1:16" x14ac:dyDescent="0.3">
      <c r="A3619">
        <v>41257</v>
      </c>
      <c r="B3619">
        <v>105</v>
      </c>
      <c r="C3619" t="s">
        <v>557</v>
      </c>
      <c r="D3619" s="452">
        <v>45839</v>
      </c>
      <c r="E3619">
        <v>18219</v>
      </c>
      <c r="F3619" t="s">
        <v>4972</v>
      </c>
      <c r="G3619">
        <v>3409</v>
      </c>
      <c r="H3619">
        <v>1</v>
      </c>
      <c r="I3619" t="s">
        <v>4805</v>
      </c>
      <c r="J3619" t="s">
        <v>5222</v>
      </c>
      <c r="K3619" t="s">
        <v>3935</v>
      </c>
      <c r="L3619">
        <v>105</v>
      </c>
      <c r="M3619" s="452">
        <v>45818</v>
      </c>
      <c r="N3619">
        <v>105</v>
      </c>
      <c r="O3619">
        <v>96.11</v>
      </c>
      <c r="P3619">
        <v>105</v>
      </c>
    </row>
    <row r="3620" spans="1:16" x14ac:dyDescent="0.3">
      <c r="A3620">
        <v>41088</v>
      </c>
      <c r="B3620">
        <v>105</v>
      </c>
      <c r="C3620" t="s">
        <v>557</v>
      </c>
      <c r="D3620" s="452">
        <v>45839</v>
      </c>
      <c r="E3620">
        <v>19964</v>
      </c>
      <c r="F3620" t="s">
        <v>4817</v>
      </c>
      <c r="G3620">
        <v>2356</v>
      </c>
      <c r="H3620">
        <v>7</v>
      </c>
      <c r="I3620" t="s">
        <v>4736</v>
      </c>
      <c r="J3620" t="s">
        <v>5191</v>
      </c>
      <c r="K3620" t="s">
        <v>3935</v>
      </c>
      <c r="L3620">
        <v>0</v>
      </c>
      <c r="M3620" s="452">
        <v>45677</v>
      </c>
      <c r="N3620">
        <v>14.96</v>
      </c>
      <c r="O3620">
        <v>14.96</v>
      </c>
      <c r="P3620">
        <v>104.72</v>
      </c>
    </row>
    <row r="3621" spans="1:16" x14ac:dyDescent="0.3">
      <c r="A3621">
        <v>41177</v>
      </c>
      <c r="B3621">
        <v>105</v>
      </c>
      <c r="C3621" t="s">
        <v>557</v>
      </c>
      <c r="D3621" s="452">
        <v>45839</v>
      </c>
      <c r="E3621">
        <v>19541</v>
      </c>
      <c r="F3621" t="s">
        <v>5517</v>
      </c>
      <c r="G3621">
        <v>2675</v>
      </c>
      <c r="H3621">
        <v>12</v>
      </c>
      <c r="I3621" t="s">
        <v>4744</v>
      </c>
      <c r="J3621" t="s">
        <v>5191</v>
      </c>
      <c r="K3621" t="s">
        <v>3935</v>
      </c>
      <c r="L3621">
        <v>8.66</v>
      </c>
      <c r="M3621" s="452">
        <v>45820</v>
      </c>
      <c r="N3621">
        <v>9</v>
      </c>
      <c r="O3621">
        <v>8.5</v>
      </c>
      <c r="P3621">
        <v>103.92</v>
      </c>
    </row>
    <row r="3622" spans="1:16" x14ac:dyDescent="0.3">
      <c r="A3622">
        <v>41080</v>
      </c>
      <c r="B3622">
        <v>105</v>
      </c>
      <c r="C3622" t="s">
        <v>557</v>
      </c>
      <c r="D3622" s="452">
        <v>45839</v>
      </c>
      <c r="E3622">
        <v>20887</v>
      </c>
      <c r="F3622" t="s">
        <v>4953</v>
      </c>
      <c r="G3622">
        <v>2040</v>
      </c>
      <c r="H3622">
        <v>3</v>
      </c>
      <c r="I3622" t="s">
        <v>4879</v>
      </c>
      <c r="J3622" t="s">
        <v>5191</v>
      </c>
      <c r="K3622" t="s">
        <v>3935</v>
      </c>
      <c r="L3622">
        <v>34</v>
      </c>
      <c r="M3622" s="452">
        <v>45831</v>
      </c>
      <c r="N3622">
        <v>34</v>
      </c>
      <c r="O3622">
        <v>34</v>
      </c>
      <c r="P3622">
        <v>102</v>
      </c>
    </row>
    <row r="3623" spans="1:16" x14ac:dyDescent="0.3">
      <c r="A3623">
        <v>41256</v>
      </c>
      <c r="B3623">
        <v>105</v>
      </c>
      <c r="C3623" t="s">
        <v>557</v>
      </c>
      <c r="D3623" s="452">
        <v>45839</v>
      </c>
      <c r="E3623">
        <v>18232</v>
      </c>
      <c r="F3623" t="s">
        <v>4971</v>
      </c>
      <c r="G3623">
        <v>3396</v>
      </c>
      <c r="H3623">
        <v>1</v>
      </c>
      <c r="I3623" t="s">
        <v>4805</v>
      </c>
      <c r="J3623" t="s">
        <v>5222</v>
      </c>
      <c r="K3623" t="s">
        <v>3935</v>
      </c>
      <c r="L3623">
        <v>0</v>
      </c>
      <c r="M3623" s="452">
        <v>45807</v>
      </c>
      <c r="N3623">
        <v>100.89</v>
      </c>
      <c r="O3623">
        <v>100.88</v>
      </c>
      <c r="P3623">
        <v>100.89</v>
      </c>
    </row>
    <row r="3624" spans="1:16" x14ac:dyDescent="0.3">
      <c r="A3624">
        <v>41010</v>
      </c>
      <c r="B3624">
        <v>105</v>
      </c>
      <c r="C3624" t="s">
        <v>557</v>
      </c>
      <c r="D3624" s="452">
        <v>45839</v>
      </c>
      <c r="E3624">
        <v>24456</v>
      </c>
      <c r="F3624" t="s">
        <v>4845</v>
      </c>
      <c r="G3624">
        <v>1965</v>
      </c>
      <c r="H3624">
        <v>5</v>
      </c>
      <c r="I3624" t="s">
        <v>4744</v>
      </c>
      <c r="J3624" t="s">
        <v>5191</v>
      </c>
      <c r="K3624" t="s">
        <v>3935</v>
      </c>
      <c r="L3624">
        <v>20</v>
      </c>
      <c r="M3624" s="452">
        <v>45825</v>
      </c>
      <c r="N3624">
        <v>20</v>
      </c>
      <c r="O3624">
        <v>21.22</v>
      </c>
      <c r="P3624">
        <v>100</v>
      </c>
    </row>
    <row r="3625" spans="1:16" x14ac:dyDescent="0.3">
      <c r="A3625">
        <v>41079</v>
      </c>
      <c r="B3625">
        <v>105</v>
      </c>
      <c r="C3625" t="s">
        <v>557</v>
      </c>
      <c r="D3625" s="452">
        <v>45839</v>
      </c>
      <c r="E3625">
        <v>20105</v>
      </c>
      <c r="F3625" t="s">
        <v>4831</v>
      </c>
      <c r="G3625">
        <v>2298</v>
      </c>
      <c r="H3625">
        <v>6</v>
      </c>
      <c r="I3625" t="s">
        <v>4744</v>
      </c>
      <c r="J3625" t="s">
        <v>5191</v>
      </c>
      <c r="K3625" t="s">
        <v>3935</v>
      </c>
      <c r="L3625">
        <v>16.5</v>
      </c>
      <c r="M3625" s="452">
        <v>45819</v>
      </c>
      <c r="N3625">
        <v>16.5</v>
      </c>
      <c r="O3625">
        <v>16.5</v>
      </c>
      <c r="P3625">
        <v>99</v>
      </c>
    </row>
    <row r="3626" spans="1:16" x14ac:dyDescent="0.3">
      <c r="A3626">
        <v>41237</v>
      </c>
      <c r="B3626">
        <v>105</v>
      </c>
      <c r="C3626" t="s">
        <v>557</v>
      </c>
      <c r="D3626" s="452">
        <v>45839</v>
      </c>
      <c r="E3626">
        <v>18538</v>
      </c>
      <c r="F3626" t="s">
        <v>5030</v>
      </c>
      <c r="G3626">
        <v>3139</v>
      </c>
      <c r="H3626">
        <v>1</v>
      </c>
      <c r="I3626" t="s">
        <v>4805</v>
      </c>
      <c r="J3626" t="s">
        <v>5222</v>
      </c>
      <c r="K3626" t="s">
        <v>3935</v>
      </c>
      <c r="L3626">
        <v>0</v>
      </c>
      <c r="M3626" s="452">
        <v>45653</v>
      </c>
      <c r="N3626">
        <v>98.9</v>
      </c>
      <c r="O3626">
        <v>109.9</v>
      </c>
      <c r="P3626">
        <v>98.9</v>
      </c>
    </row>
    <row r="3627" spans="1:16" x14ac:dyDescent="0.3">
      <c r="A3627">
        <v>41063</v>
      </c>
      <c r="B3627">
        <v>105</v>
      </c>
      <c r="C3627" t="s">
        <v>557</v>
      </c>
      <c r="D3627" s="452">
        <v>45839</v>
      </c>
      <c r="E3627">
        <v>20213</v>
      </c>
      <c r="F3627" t="s">
        <v>5160</v>
      </c>
      <c r="G3627">
        <v>2251</v>
      </c>
      <c r="H3627">
        <v>3</v>
      </c>
      <c r="I3627" t="s">
        <v>4738</v>
      </c>
      <c r="J3627" t="s">
        <v>5191</v>
      </c>
      <c r="K3627" t="s">
        <v>3935</v>
      </c>
      <c r="L3627">
        <v>31.62</v>
      </c>
      <c r="M3627" s="452">
        <v>45824</v>
      </c>
      <c r="N3627">
        <v>31.62</v>
      </c>
      <c r="O3627">
        <v>31.62</v>
      </c>
      <c r="P3627">
        <v>94.86</v>
      </c>
    </row>
    <row r="3628" spans="1:16" x14ac:dyDescent="0.3">
      <c r="A3628">
        <v>41005</v>
      </c>
      <c r="B3628">
        <v>105</v>
      </c>
      <c r="C3628" t="s">
        <v>557</v>
      </c>
      <c r="D3628" s="452">
        <v>45839</v>
      </c>
      <c r="E3628">
        <v>26103</v>
      </c>
      <c r="F3628" t="s">
        <v>4776</v>
      </c>
      <c r="G3628">
        <v>9072</v>
      </c>
      <c r="H3628">
        <v>9</v>
      </c>
      <c r="I3628" t="s">
        <v>4749</v>
      </c>
      <c r="J3628" t="s">
        <v>5191</v>
      </c>
      <c r="K3628" t="s">
        <v>3935</v>
      </c>
      <c r="L3628">
        <v>0</v>
      </c>
      <c r="M3628" s="452">
        <v>45742</v>
      </c>
      <c r="N3628">
        <v>10.53</v>
      </c>
      <c r="O3628">
        <v>10.53</v>
      </c>
      <c r="P3628">
        <v>94.77</v>
      </c>
    </row>
    <row r="3629" spans="1:16" x14ac:dyDescent="0.3">
      <c r="A3629">
        <v>41076</v>
      </c>
      <c r="B3629">
        <v>105</v>
      </c>
      <c r="C3629" t="s">
        <v>557</v>
      </c>
      <c r="D3629" s="452">
        <v>45839</v>
      </c>
      <c r="E3629">
        <v>20007</v>
      </c>
      <c r="F3629" t="s">
        <v>5101</v>
      </c>
      <c r="G3629">
        <v>2343</v>
      </c>
      <c r="H3629">
        <v>2</v>
      </c>
      <c r="I3629" t="s">
        <v>4884</v>
      </c>
      <c r="J3629" t="s">
        <v>5191</v>
      </c>
      <c r="K3629" t="s">
        <v>3935</v>
      </c>
      <c r="L3629">
        <v>46.74</v>
      </c>
      <c r="M3629" s="452">
        <v>45832</v>
      </c>
      <c r="N3629">
        <v>46.96</v>
      </c>
      <c r="O3629">
        <v>46.96</v>
      </c>
      <c r="P3629">
        <v>93.48</v>
      </c>
    </row>
    <row r="3630" spans="1:16" x14ac:dyDescent="0.3">
      <c r="A3630">
        <v>41206</v>
      </c>
      <c r="B3630">
        <v>105</v>
      </c>
      <c r="C3630" t="s">
        <v>557</v>
      </c>
      <c r="D3630" s="452">
        <v>45839</v>
      </c>
      <c r="E3630">
        <v>22843</v>
      </c>
      <c r="F3630" t="s">
        <v>4849</v>
      </c>
      <c r="G3630">
        <v>2936</v>
      </c>
      <c r="H3630">
        <v>1.9</v>
      </c>
      <c r="I3630" t="s">
        <v>4744</v>
      </c>
      <c r="J3630" t="s">
        <v>5191</v>
      </c>
      <c r="K3630" t="s">
        <v>3935</v>
      </c>
      <c r="L3630">
        <v>0</v>
      </c>
      <c r="M3630" s="452">
        <v>45805</v>
      </c>
      <c r="N3630">
        <v>49</v>
      </c>
      <c r="O3630">
        <v>49</v>
      </c>
      <c r="P3630">
        <v>93.1</v>
      </c>
    </row>
    <row r="3631" spans="1:16" x14ac:dyDescent="0.3">
      <c r="A3631">
        <v>41270</v>
      </c>
      <c r="B3631">
        <v>105</v>
      </c>
      <c r="C3631" t="s">
        <v>557</v>
      </c>
      <c r="D3631" s="452">
        <v>45839</v>
      </c>
      <c r="E3631">
        <v>18111</v>
      </c>
      <c r="F3631" t="s">
        <v>5049</v>
      </c>
      <c r="G3631">
        <v>3500</v>
      </c>
      <c r="H3631">
        <v>1</v>
      </c>
      <c r="I3631" t="s">
        <v>4805</v>
      </c>
      <c r="J3631" t="s">
        <v>5222</v>
      </c>
      <c r="K3631" t="s">
        <v>3935</v>
      </c>
      <c r="L3631">
        <v>0</v>
      </c>
      <c r="M3631" s="452">
        <v>45743</v>
      </c>
      <c r="N3631">
        <v>92.47</v>
      </c>
      <c r="O3631">
        <v>93.41</v>
      </c>
      <c r="P3631">
        <v>92.47</v>
      </c>
    </row>
    <row r="3632" spans="1:16" x14ac:dyDescent="0.3">
      <c r="A3632">
        <v>41054</v>
      </c>
      <c r="B3632">
        <v>105</v>
      </c>
      <c r="C3632" t="s">
        <v>557</v>
      </c>
      <c r="D3632" s="452">
        <v>45839</v>
      </c>
      <c r="E3632">
        <v>20227</v>
      </c>
      <c r="F3632" t="s">
        <v>4825</v>
      </c>
      <c r="G3632">
        <v>2248</v>
      </c>
      <c r="H3632">
        <v>8</v>
      </c>
      <c r="I3632" t="s">
        <v>4738</v>
      </c>
      <c r="J3632" t="s">
        <v>5191</v>
      </c>
      <c r="K3632" t="s">
        <v>3935</v>
      </c>
      <c r="L3632">
        <v>11.2</v>
      </c>
      <c r="M3632" s="452">
        <v>45835</v>
      </c>
      <c r="N3632">
        <v>11.2</v>
      </c>
      <c r="O3632">
        <v>11.2</v>
      </c>
      <c r="P3632">
        <v>89.6</v>
      </c>
    </row>
    <row r="3633" spans="1:16" x14ac:dyDescent="0.3">
      <c r="A3633">
        <v>41060</v>
      </c>
      <c r="B3633">
        <v>105</v>
      </c>
      <c r="C3633" t="s">
        <v>557</v>
      </c>
      <c r="D3633" s="452">
        <v>45839</v>
      </c>
      <c r="E3633">
        <v>20856</v>
      </c>
      <c r="F3633" t="s">
        <v>5495</v>
      </c>
      <c r="G3633">
        <v>2045</v>
      </c>
      <c r="H3633">
        <v>2</v>
      </c>
      <c r="I3633" t="s">
        <v>4736</v>
      </c>
      <c r="J3633" t="s">
        <v>5191</v>
      </c>
      <c r="K3633" t="s">
        <v>3935</v>
      </c>
      <c r="L3633">
        <v>44.45</v>
      </c>
      <c r="M3633" s="452">
        <v>45831</v>
      </c>
      <c r="N3633">
        <v>41.99</v>
      </c>
      <c r="O3633">
        <v>41.99</v>
      </c>
      <c r="P3633">
        <v>88.9</v>
      </c>
    </row>
    <row r="3634" spans="1:16" x14ac:dyDescent="0.3">
      <c r="A3634">
        <v>41255</v>
      </c>
      <c r="B3634">
        <v>105</v>
      </c>
      <c r="C3634" t="s">
        <v>557</v>
      </c>
      <c r="D3634" s="452">
        <v>45839</v>
      </c>
      <c r="E3634">
        <v>18233</v>
      </c>
      <c r="F3634" t="s">
        <v>4970</v>
      </c>
      <c r="G3634">
        <v>3395</v>
      </c>
      <c r="H3634">
        <v>1</v>
      </c>
      <c r="I3634" t="s">
        <v>4805</v>
      </c>
      <c r="J3634" t="s">
        <v>5222</v>
      </c>
      <c r="K3634" t="s">
        <v>3935</v>
      </c>
      <c r="L3634">
        <v>0</v>
      </c>
      <c r="M3634" s="452">
        <v>45638</v>
      </c>
      <c r="N3634">
        <v>88.9</v>
      </c>
      <c r="O3634">
        <v>106.9</v>
      </c>
      <c r="P3634">
        <v>88.9</v>
      </c>
    </row>
    <row r="3635" spans="1:16" x14ac:dyDescent="0.3">
      <c r="A3635">
        <v>40999</v>
      </c>
      <c r="B3635">
        <v>105</v>
      </c>
      <c r="C3635" t="s">
        <v>557</v>
      </c>
      <c r="D3635" s="452">
        <v>45839</v>
      </c>
      <c r="E3635">
        <v>25760</v>
      </c>
      <c r="F3635" t="s">
        <v>4787</v>
      </c>
      <c r="G3635">
        <v>6311</v>
      </c>
      <c r="H3635">
        <v>11</v>
      </c>
      <c r="I3635" t="s">
        <v>4736</v>
      </c>
      <c r="J3635" t="s">
        <v>5191</v>
      </c>
      <c r="K3635" t="s">
        <v>3935</v>
      </c>
      <c r="L3635">
        <v>0</v>
      </c>
      <c r="M3635" s="452">
        <v>45742</v>
      </c>
      <c r="N3635">
        <v>7.73</v>
      </c>
      <c r="O3635">
        <v>7.73</v>
      </c>
      <c r="P3635">
        <v>85.03</v>
      </c>
    </row>
    <row r="3636" spans="1:16" x14ac:dyDescent="0.3">
      <c r="A3636">
        <v>41004</v>
      </c>
      <c r="B3636">
        <v>105</v>
      </c>
      <c r="C3636" t="s">
        <v>557</v>
      </c>
      <c r="D3636" s="452">
        <v>45839</v>
      </c>
      <c r="E3636">
        <v>25755</v>
      </c>
      <c r="F3636" t="s">
        <v>4821</v>
      </c>
      <c r="G3636">
        <v>9071</v>
      </c>
      <c r="H3636">
        <v>11</v>
      </c>
      <c r="I3636" t="s">
        <v>4749</v>
      </c>
      <c r="J3636" t="s">
        <v>5191</v>
      </c>
      <c r="K3636" t="s">
        <v>3935</v>
      </c>
      <c r="L3636">
        <v>0</v>
      </c>
      <c r="M3636" s="452">
        <v>45742</v>
      </c>
      <c r="N3636">
        <v>7.73</v>
      </c>
      <c r="O3636">
        <v>7.73</v>
      </c>
      <c r="P3636">
        <v>85.03</v>
      </c>
    </row>
    <row r="3637" spans="1:16" x14ac:dyDescent="0.3">
      <c r="A3637">
        <v>41032</v>
      </c>
      <c r="B3637">
        <v>105</v>
      </c>
      <c r="C3637" t="s">
        <v>557</v>
      </c>
      <c r="D3637" s="452">
        <v>45839</v>
      </c>
      <c r="E3637">
        <v>24123</v>
      </c>
      <c r="F3637" t="s">
        <v>5518</v>
      </c>
      <c r="G3637">
        <v>2237</v>
      </c>
      <c r="H3637">
        <v>1</v>
      </c>
      <c r="I3637" t="s">
        <v>4738</v>
      </c>
      <c r="J3637" t="s">
        <v>5191</v>
      </c>
      <c r="K3637" t="s">
        <v>3935</v>
      </c>
      <c r="L3637">
        <v>0</v>
      </c>
      <c r="M3637" s="452">
        <v>45757</v>
      </c>
      <c r="N3637">
        <v>0</v>
      </c>
      <c r="O3637">
        <v>150.94999999999999</v>
      </c>
      <c r="P3637">
        <v>85</v>
      </c>
    </row>
    <row r="3638" spans="1:16" x14ac:dyDescent="0.3">
      <c r="A3638">
        <v>40993</v>
      </c>
      <c r="B3638">
        <v>105</v>
      </c>
      <c r="C3638" t="s">
        <v>557</v>
      </c>
      <c r="D3638" s="452">
        <v>45839</v>
      </c>
      <c r="E3638">
        <v>21147</v>
      </c>
      <c r="F3638" t="s">
        <v>4876</v>
      </c>
      <c r="G3638">
        <v>1952</v>
      </c>
      <c r="H3638">
        <v>4</v>
      </c>
      <c r="I3638" t="s">
        <v>4736</v>
      </c>
      <c r="J3638" t="s">
        <v>5191</v>
      </c>
      <c r="K3638" t="s">
        <v>3935</v>
      </c>
      <c r="L3638">
        <v>0</v>
      </c>
      <c r="M3638" s="452">
        <v>45800</v>
      </c>
      <c r="N3638">
        <v>20.9</v>
      </c>
      <c r="O3638">
        <v>19.899999999999999</v>
      </c>
      <c r="P3638">
        <v>83.6</v>
      </c>
    </row>
    <row r="3639" spans="1:16" x14ac:dyDescent="0.3">
      <c r="A3639">
        <v>41122</v>
      </c>
      <c r="B3639">
        <v>105</v>
      </c>
      <c r="C3639" t="s">
        <v>557</v>
      </c>
      <c r="D3639" s="452">
        <v>45839</v>
      </c>
      <c r="E3639">
        <v>19652</v>
      </c>
      <c r="F3639" t="s">
        <v>4899</v>
      </c>
      <c r="G3639">
        <v>2587</v>
      </c>
      <c r="H3639">
        <v>2.2999999999999998</v>
      </c>
      <c r="I3639" t="s">
        <v>4744</v>
      </c>
      <c r="J3639" t="s">
        <v>5191</v>
      </c>
      <c r="K3639" t="s">
        <v>3935</v>
      </c>
      <c r="L3639">
        <v>36.35</v>
      </c>
      <c r="M3639" s="452">
        <v>45838</v>
      </c>
      <c r="N3639">
        <v>31.13</v>
      </c>
      <c r="O3639">
        <v>31.56</v>
      </c>
      <c r="P3639">
        <v>83.6</v>
      </c>
    </row>
    <row r="3640" spans="1:16" x14ac:dyDescent="0.3">
      <c r="A3640">
        <v>41344</v>
      </c>
      <c r="B3640">
        <v>105</v>
      </c>
      <c r="C3640" t="s">
        <v>557</v>
      </c>
      <c r="D3640" s="452">
        <v>45839</v>
      </c>
      <c r="E3640">
        <v>19409</v>
      </c>
      <c r="F3640" t="s">
        <v>5485</v>
      </c>
      <c r="G3640">
        <v>2760</v>
      </c>
      <c r="H3640">
        <v>3.6</v>
      </c>
      <c r="I3640" t="s">
        <v>4736</v>
      </c>
      <c r="J3640" t="s">
        <v>5191</v>
      </c>
      <c r="K3640" t="s">
        <v>3935</v>
      </c>
      <c r="L3640">
        <v>0</v>
      </c>
      <c r="M3640" s="452">
        <v>45376</v>
      </c>
      <c r="N3640">
        <v>23</v>
      </c>
      <c r="O3640">
        <v>24.9</v>
      </c>
      <c r="P3640">
        <v>82.8</v>
      </c>
    </row>
    <row r="3641" spans="1:16" x14ac:dyDescent="0.3">
      <c r="A3641">
        <v>41267</v>
      </c>
      <c r="B3641">
        <v>105</v>
      </c>
      <c r="C3641" t="s">
        <v>557</v>
      </c>
      <c r="D3641" s="452">
        <v>45839</v>
      </c>
      <c r="E3641">
        <v>18116</v>
      </c>
      <c r="F3641" t="s">
        <v>5045</v>
      </c>
      <c r="G3641">
        <v>3496</v>
      </c>
      <c r="H3641">
        <v>1</v>
      </c>
      <c r="I3641" t="s">
        <v>4805</v>
      </c>
      <c r="J3641" t="s">
        <v>5222</v>
      </c>
      <c r="K3641" t="s">
        <v>3935</v>
      </c>
      <c r="L3641">
        <v>82.19</v>
      </c>
      <c r="M3641" s="452">
        <v>45818</v>
      </c>
      <c r="N3641">
        <v>82.19</v>
      </c>
      <c r="O3641">
        <v>82.19</v>
      </c>
      <c r="P3641">
        <v>82.19</v>
      </c>
    </row>
    <row r="3642" spans="1:16" x14ac:dyDescent="0.3">
      <c r="A3642">
        <v>41081</v>
      </c>
      <c r="B3642">
        <v>105</v>
      </c>
      <c r="C3642" t="s">
        <v>557</v>
      </c>
      <c r="D3642" s="452">
        <v>45839</v>
      </c>
      <c r="E3642">
        <v>20871</v>
      </c>
      <c r="F3642" t="s">
        <v>5015</v>
      </c>
      <c r="G3642">
        <v>2043</v>
      </c>
      <c r="H3642">
        <v>5</v>
      </c>
      <c r="I3642" t="s">
        <v>4879</v>
      </c>
      <c r="J3642" t="s">
        <v>5191</v>
      </c>
      <c r="K3642" t="s">
        <v>3935</v>
      </c>
      <c r="L3642">
        <v>0</v>
      </c>
      <c r="M3642" s="452">
        <v>45793</v>
      </c>
      <c r="N3642">
        <v>15.8</v>
      </c>
      <c r="O3642">
        <v>28</v>
      </c>
      <c r="P3642">
        <v>79</v>
      </c>
    </row>
    <row r="3643" spans="1:16" x14ac:dyDescent="0.3">
      <c r="A3643">
        <v>41271</v>
      </c>
      <c r="B3643">
        <v>105</v>
      </c>
      <c r="C3643" t="s">
        <v>557</v>
      </c>
      <c r="D3643" s="452">
        <v>45839</v>
      </c>
      <c r="E3643">
        <v>26210</v>
      </c>
      <c r="F3643" t="s">
        <v>4975</v>
      </c>
      <c r="G3643">
        <v>6624</v>
      </c>
      <c r="H3643">
        <v>1</v>
      </c>
      <c r="I3643" t="s">
        <v>4805</v>
      </c>
      <c r="J3643" t="s">
        <v>5222</v>
      </c>
      <c r="K3643" t="s">
        <v>3935</v>
      </c>
      <c r="L3643">
        <v>0</v>
      </c>
      <c r="M3643" s="452">
        <v>45793</v>
      </c>
      <c r="N3643">
        <v>77</v>
      </c>
      <c r="O3643">
        <v>77</v>
      </c>
      <c r="P3643">
        <v>77</v>
      </c>
    </row>
    <row r="3644" spans="1:16" x14ac:dyDescent="0.3">
      <c r="A3644">
        <v>41212</v>
      </c>
      <c r="B3644">
        <v>105</v>
      </c>
      <c r="C3644" t="s">
        <v>557</v>
      </c>
      <c r="D3644" s="452">
        <v>45839</v>
      </c>
      <c r="E3644">
        <v>24278</v>
      </c>
      <c r="F3644" t="s">
        <v>4901</v>
      </c>
      <c r="G3644">
        <v>2896</v>
      </c>
      <c r="H3644">
        <v>9</v>
      </c>
      <c r="I3644" t="s">
        <v>4744</v>
      </c>
      <c r="J3644" t="s">
        <v>5191</v>
      </c>
      <c r="K3644" t="s">
        <v>3935</v>
      </c>
      <c r="L3644">
        <v>8.49</v>
      </c>
      <c r="M3644" s="452">
        <v>45811</v>
      </c>
      <c r="N3644">
        <v>8.49</v>
      </c>
      <c r="O3644">
        <v>8.09</v>
      </c>
      <c r="P3644">
        <v>76.41</v>
      </c>
    </row>
    <row r="3645" spans="1:16" x14ac:dyDescent="0.3">
      <c r="A3645">
        <v>41180</v>
      </c>
      <c r="B3645">
        <v>105</v>
      </c>
      <c r="C3645" t="s">
        <v>557</v>
      </c>
      <c r="D3645" s="452">
        <v>45839</v>
      </c>
      <c r="E3645">
        <v>24489</v>
      </c>
      <c r="F3645" t="s">
        <v>5121</v>
      </c>
      <c r="G3645">
        <v>2686</v>
      </c>
      <c r="H3645">
        <v>3.8</v>
      </c>
      <c r="I3645" t="s">
        <v>4744</v>
      </c>
      <c r="J3645" t="s">
        <v>5191</v>
      </c>
      <c r="K3645" t="s">
        <v>3935</v>
      </c>
      <c r="L3645">
        <v>20.010000000000002</v>
      </c>
      <c r="M3645" s="452">
        <v>45824</v>
      </c>
      <c r="N3645">
        <v>21.76</v>
      </c>
      <c r="O3645">
        <v>21.76</v>
      </c>
      <c r="P3645">
        <v>76.040000000000006</v>
      </c>
    </row>
    <row r="3646" spans="1:16" x14ac:dyDescent="0.3">
      <c r="A3646">
        <v>41348</v>
      </c>
      <c r="B3646">
        <v>105</v>
      </c>
      <c r="C3646" t="s">
        <v>557</v>
      </c>
      <c r="D3646" s="452">
        <v>45839</v>
      </c>
      <c r="E3646">
        <v>27069</v>
      </c>
      <c r="F3646" t="s">
        <v>5504</v>
      </c>
      <c r="G3646">
        <v>2286</v>
      </c>
      <c r="H3646">
        <v>4</v>
      </c>
      <c r="I3646" t="s">
        <v>4738</v>
      </c>
      <c r="J3646" t="s">
        <v>5191</v>
      </c>
      <c r="K3646" t="s">
        <v>3935</v>
      </c>
      <c r="L3646">
        <v>0</v>
      </c>
      <c r="M3646" s="452">
        <v>-693593</v>
      </c>
      <c r="N3646">
        <v>0</v>
      </c>
      <c r="O3646">
        <v>7.45</v>
      </c>
      <c r="P3646">
        <v>76</v>
      </c>
    </row>
    <row r="3647" spans="1:16" x14ac:dyDescent="0.3">
      <c r="A3647">
        <v>41008</v>
      </c>
      <c r="B3647">
        <v>105</v>
      </c>
      <c r="C3647" t="s">
        <v>557</v>
      </c>
      <c r="D3647" s="452">
        <v>45839</v>
      </c>
      <c r="E3647">
        <v>25750</v>
      </c>
      <c r="F3647" t="s">
        <v>4908</v>
      </c>
      <c r="G3647">
        <v>6301</v>
      </c>
      <c r="H3647">
        <v>11</v>
      </c>
      <c r="I3647" t="s">
        <v>4736</v>
      </c>
      <c r="J3647" t="s">
        <v>5191</v>
      </c>
      <c r="K3647" t="s">
        <v>3935</v>
      </c>
      <c r="L3647">
        <v>0</v>
      </c>
      <c r="M3647" s="452">
        <v>45653</v>
      </c>
      <c r="N3647">
        <v>6.87</v>
      </c>
      <c r="O3647">
        <v>6.87</v>
      </c>
      <c r="P3647">
        <v>75.569999999999993</v>
      </c>
    </row>
    <row r="3648" spans="1:16" x14ac:dyDescent="0.3">
      <c r="A3648">
        <v>41225</v>
      </c>
      <c r="B3648">
        <v>105</v>
      </c>
      <c r="C3648" t="s">
        <v>557</v>
      </c>
      <c r="D3648" s="452">
        <v>45839</v>
      </c>
      <c r="E3648">
        <v>24973</v>
      </c>
      <c r="F3648" t="s">
        <v>4819</v>
      </c>
      <c r="G3648">
        <v>5845</v>
      </c>
      <c r="H3648">
        <v>1</v>
      </c>
      <c r="I3648" t="s">
        <v>4738</v>
      </c>
      <c r="J3648" t="s">
        <v>5222</v>
      </c>
      <c r="K3648" t="s">
        <v>3935</v>
      </c>
      <c r="L3648">
        <v>0</v>
      </c>
      <c r="M3648" s="452">
        <v>45737</v>
      </c>
      <c r="N3648">
        <v>74.64</v>
      </c>
      <c r="O3648">
        <v>74.64</v>
      </c>
      <c r="P3648">
        <v>74.64</v>
      </c>
    </row>
    <row r="3649" spans="1:16" x14ac:dyDescent="0.3">
      <c r="A3649">
        <v>41185</v>
      </c>
      <c r="B3649">
        <v>105</v>
      </c>
      <c r="C3649" t="s">
        <v>557</v>
      </c>
      <c r="D3649" s="452">
        <v>45839</v>
      </c>
      <c r="E3649">
        <v>19421</v>
      </c>
      <c r="F3649" t="s">
        <v>4918</v>
      </c>
      <c r="G3649">
        <v>2758</v>
      </c>
      <c r="H3649">
        <v>14</v>
      </c>
      <c r="I3649" t="s">
        <v>4749</v>
      </c>
      <c r="J3649" t="s">
        <v>5191</v>
      </c>
      <c r="K3649" t="s">
        <v>3935</v>
      </c>
      <c r="L3649">
        <v>5.16</v>
      </c>
      <c r="M3649" s="452">
        <v>45838</v>
      </c>
      <c r="N3649">
        <v>0</v>
      </c>
      <c r="O3649">
        <v>5.34</v>
      </c>
      <c r="P3649">
        <v>72.239999999999995</v>
      </c>
    </row>
    <row r="3650" spans="1:16" x14ac:dyDescent="0.3">
      <c r="A3650">
        <v>40994</v>
      </c>
      <c r="B3650">
        <v>105</v>
      </c>
      <c r="C3650" t="s">
        <v>557</v>
      </c>
      <c r="D3650" s="452">
        <v>45839</v>
      </c>
      <c r="E3650">
        <v>21130</v>
      </c>
      <c r="F3650" t="s">
        <v>4998</v>
      </c>
      <c r="G3650">
        <v>1963</v>
      </c>
      <c r="H3650">
        <v>2</v>
      </c>
      <c r="I3650" t="s">
        <v>4736</v>
      </c>
      <c r="J3650" t="s">
        <v>5191</v>
      </c>
      <c r="K3650" t="s">
        <v>3935</v>
      </c>
      <c r="L3650">
        <v>35.31</v>
      </c>
      <c r="M3650" s="452">
        <v>45811</v>
      </c>
      <c r="N3650">
        <v>35.31</v>
      </c>
      <c r="O3650">
        <v>33.5</v>
      </c>
      <c r="P3650">
        <v>70.62</v>
      </c>
    </row>
    <row r="3651" spans="1:16" x14ac:dyDescent="0.3">
      <c r="A3651">
        <v>41009</v>
      </c>
      <c r="B3651">
        <v>105</v>
      </c>
      <c r="C3651" t="s">
        <v>557</v>
      </c>
      <c r="D3651" s="452">
        <v>45839</v>
      </c>
      <c r="E3651">
        <v>25752</v>
      </c>
      <c r="F3651" t="s">
        <v>5000</v>
      </c>
      <c r="G3651">
        <v>6303</v>
      </c>
      <c r="H3651">
        <v>10</v>
      </c>
      <c r="I3651" t="s">
        <v>4749</v>
      </c>
      <c r="J3651" t="s">
        <v>5191</v>
      </c>
      <c r="K3651" t="s">
        <v>3935</v>
      </c>
      <c r="L3651">
        <v>0</v>
      </c>
      <c r="M3651" s="452">
        <v>45742</v>
      </c>
      <c r="N3651">
        <v>6.87</v>
      </c>
      <c r="O3651">
        <v>6.87</v>
      </c>
      <c r="P3651">
        <v>68.7</v>
      </c>
    </row>
    <row r="3652" spans="1:16" x14ac:dyDescent="0.3">
      <c r="A3652">
        <v>41261</v>
      </c>
      <c r="B3652">
        <v>105</v>
      </c>
      <c r="C3652" t="s">
        <v>557</v>
      </c>
      <c r="D3652" s="452">
        <v>45839</v>
      </c>
      <c r="E3652">
        <v>18194</v>
      </c>
      <c r="F3652" t="s">
        <v>4923</v>
      </c>
      <c r="G3652">
        <v>3430</v>
      </c>
      <c r="H3652">
        <v>1</v>
      </c>
      <c r="I3652" t="s">
        <v>4805</v>
      </c>
      <c r="J3652" t="s">
        <v>5222</v>
      </c>
      <c r="K3652" t="s">
        <v>3935</v>
      </c>
      <c r="L3652">
        <v>67.7</v>
      </c>
      <c r="M3652" s="452">
        <v>45818</v>
      </c>
      <c r="N3652">
        <v>67.7</v>
      </c>
      <c r="O3652">
        <v>66.55</v>
      </c>
      <c r="P3652">
        <v>67.7</v>
      </c>
    </row>
    <row r="3653" spans="1:16" x14ac:dyDescent="0.3">
      <c r="A3653">
        <v>41068</v>
      </c>
      <c r="B3653">
        <v>105</v>
      </c>
      <c r="C3653" t="s">
        <v>557</v>
      </c>
      <c r="D3653" s="452">
        <v>45839</v>
      </c>
      <c r="E3653">
        <v>24323</v>
      </c>
      <c r="F3653" t="s">
        <v>4844</v>
      </c>
      <c r="G3653">
        <v>2262</v>
      </c>
      <c r="H3653">
        <v>4.0999999999999996</v>
      </c>
      <c r="I3653" t="s">
        <v>4744</v>
      </c>
      <c r="J3653" t="s">
        <v>5191</v>
      </c>
      <c r="K3653" t="s">
        <v>3935</v>
      </c>
      <c r="L3653">
        <v>16.2</v>
      </c>
      <c r="M3653" s="452">
        <v>45817</v>
      </c>
      <c r="N3653">
        <v>16.2</v>
      </c>
      <c r="O3653">
        <v>16.2</v>
      </c>
      <c r="P3653">
        <v>66.42</v>
      </c>
    </row>
    <row r="3654" spans="1:16" x14ac:dyDescent="0.3">
      <c r="A3654">
        <v>41100</v>
      </c>
      <c r="B3654">
        <v>105</v>
      </c>
      <c r="C3654" t="s">
        <v>557</v>
      </c>
      <c r="D3654" s="452">
        <v>45839</v>
      </c>
      <c r="E3654">
        <v>20207</v>
      </c>
      <c r="F3654" t="s">
        <v>4929</v>
      </c>
      <c r="G3654">
        <v>2253</v>
      </c>
      <c r="H3654">
        <v>2.2000000000000002</v>
      </c>
      <c r="I3654" t="s">
        <v>4744</v>
      </c>
      <c r="J3654" t="s">
        <v>5191</v>
      </c>
      <c r="K3654" t="s">
        <v>3935</v>
      </c>
      <c r="L3654">
        <v>29.9</v>
      </c>
      <c r="M3654" s="452">
        <v>45817</v>
      </c>
      <c r="N3654">
        <v>29.9</v>
      </c>
      <c r="O3654">
        <v>29.9</v>
      </c>
      <c r="P3654">
        <v>65.78</v>
      </c>
    </row>
    <row r="3655" spans="1:16" x14ac:dyDescent="0.3">
      <c r="A3655">
        <v>41184</v>
      </c>
      <c r="B3655">
        <v>105</v>
      </c>
      <c r="C3655" t="s">
        <v>557</v>
      </c>
      <c r="D3655" s="452">
        <v>45839</v>
      </c>
      <c r="E3655">
        <v>19434</v>
      </c>
      <c r="F3655" t="s">
        <v>5078</v>
      </c>
      <c r="G3655">
        <v>2757</v>
      </c>
      <c r="H3655">
        <v>3</v>
      </c>
      <c r="I3655" t="s">
        <v>4738</v>
      </c>
      <c r="J3655" t="s">
        <v>5191</v>
      </c>
      <c r="K3655" t="s">
        <v>3935</v>
      </c>
      <c r="L3655">
        <v>21.92</v>
      </c>
      <c r="M3655" s="452">
        <v>45832</v>
      </c>
      <c r="N3655">
        <v>21.98</v>
      </c>
      <c r="O3655">
        <v>21.85</v>
      </c>
      <c r="P3655">
        <v>65.760000000000005</v>
      </c>
    </row>
    <row r="3656" spans="1:16" x14ac:dyDescent="0.3">
      <c r="A3656">
        <v>41023</v>
      </c>
      <c r="B3656">
        <v>105</v>
      </c>
      <c r="C3656" t="s">
        <v>557</v>
      </c>
      <c r="D3656" s="452">
        <v>45839</v>
      </c>
      <c r="E3656">
        <v>21060</v>
      </c>
      <c r="F3656" t="s">
        <v>4946</v>
      </c>
      <c r="G3656">
        <v>1998</v>
      </c>
      <c r="H3656">
        <v>3</v>
      </c>
      <c r="I3656" t="s">
        <v>4736</v>
      </c>
      <c r="J3656" t="s">
        <v>5191</v>
      </c>
      <c r="K3656" t="s">
        <v>3935</v>
      </c>
      <c r="L3656">
        <v>21.9</v>
      </c>
      <c r="M3656" s="452">
        <v>45819</v>
      </c>
      <c r="N3656">
        <v>21.9</v>
      </c>
      <c r="O3656">
        <v>21.9</v>
      </c>
      <c r="P3656">
        <v>65.7</v>
      </c>
    </row>
    <row r="3657" spans="1:16" x14ac:dyDescent="0.3">
      <c r="A3657">
        <v>41263</v>
      </c>
      <c r="B3657">
        <v>105</v>
      </c>
      <c r="C3657" t="s">
        <v>557</v>
      </c>
      <c r="D3657" s="452">
        <v>45839</v>
      </c>
      <c r="E3657">
        <v>18172</v>
      </c>
      <c r="F3657" t="s">
        <v>4804</v>
      </c>
      <c r="G3657">
        <v>3450</v>
      </c>
      <c r="H3657">
        <v>2</v>
      </c>
      <c r="I3657" t="s">
        <v>4805</v>
      </c>
      <c r="J3657" t="s">
        <v>5222</v>
      </c>
      <c r="K3657" t="s">
        <v>3935</v>
      </c>
      <c r="L3657">
        <v>32.82</v>
      </c>
      <c r="M3657" s="452">
        <v>45833</v>
      </c>
      <c r="N3657">
        <v>32.840000000000003</v>
      </c>
      <c r="O3657">
        <v>32.840000000000003</v>
      </c>
      <c r="P3657">
        <v>65.64</v>
      </c>
    </row>
    <row r="3658" spans="1:16" x14ac:dyDescent="0.3">
      <c r="A3658">
        <v>41129</v>
      </c>
      <c r="B3658">
        <v>105</v>
      </c>
      <c r="C3658" t="s">
        <v>557</v>
      </c>
      <c r="D3658" s="452">
        <v>45839</v>
      </c>
      <c r="E3658">
        <v>19635</v>
      </c>
      <c r="F3658" t="s">
        <v>4786</v>
      </c>
      <c r="G3658">
        <v>2601</v>
      </c>
      <c r="H3658">
        <v>24.13</v>
      </c>
      <c r="I3658" t="s">
        <v>4744</v>
      </c>
      <c r="J3658" t="s">
        <v>5191</v>
      </c>
      <c r="K3658" t="s">
        <v>3935</v>
      </c>
      <c r="L3658">
        <v>2.68</v>
      </c>
      <c r="M3658" s="452">
        <v>45834</v>
      </c>
      <c r="N3658">
        <v>2.68</v>
      </c>
      <c r="O3658">
        <v>1.8</v>
      </c>
      <c r="P3658">
        <v>64.67</v>
      </c>
    </row>
    <row r="3659" spans="1:16" x14ac:dyDescent="0.3">
      <c r="A3659">
        <v>41345</v>
      </c>
      <c r="B3659">
        <v>105</v>
      </c>
      <c r="C3659" t="s">
        <v>557</v>
      </c>
      <c r="D3659" s="452">
        <v>45839</v>
      </c>
      <c r="E3659">
        <v>20670</v>
      </c>
      <c r="F3659" t="s">
        <v>5008</v>
      </c>
      <c r="G3659">
        <v>2107</v>
      </c>
      <c r="H3659">
        <v>2</v>
      </c>
      <c r="I3659" t="s">
        <v>4738</v>
      </c>
      <c r="J3659" t="s">
        <v>5191</v>
      </c>
      <c r="K3659" t="s">
        <v>3935</v>
      </c>
      <c r="L3659">
        <v>31.56</v>
      </c>
      <c r="M3659" s="452">
        <v>45835</v>
      </c>
      <c r="N3659">
        <v>32.450000000000003</v>
      </c>
      <c r="O3659">
        <v>32.450000000000003</v>
      </c>
      <c r="P3659">
        <v>63.12</v>
      </c>
    </row>
    <row r="3660" spans="1:16" x14ac:dyDescent="0.3">
      <c r="A3660">
        <v>41055</v>
      </c>
      <c r="B3660">
        <v>105</v>
      </c>
      <c r="C3660" t="s">
        <v>557</v>
      </c>
      <c r="D3660" s="452">
        <v>45839</v>
      </c>
      <c r="E3660">
        <v>20234</v>
      </c>
      <c r="F3660" t="s">
        <v>5009</v>
      </c>
      <c r="G3660">
        <v>2245</v>
      </c>
      <c r="H3660">
        <v>3</v>
      </c>
      <c r="I3660" t="s">
        <v>4744</v>
      </c>
      <c r="J3660" t="s">
        <v>5191</v>
      </c>
      <c r="K3660" t="s">
        <v>3935</v>
      </c>
      <c r="L3660">
        <v>21</v>
      </c>
      <c r="M3660" s="452">
        <v>45821</v>
      </c>
      <c r="N3660">
        <v>21</v>
      </c>
      <c r="O3660">
        <v>21.73</v>
      </c>
      <c r="P3660">
        <v>63</v>
      </c>
    </row>
    <row r="3661" spans="1:16" x14ac:dyDescent="0.3">
      <c r="A3661">
        <v>41017</v>
      </c>
      <c r="B3661">
        <v>105</v>
      </c>
      <c r="C3661" t="s">
        <v>557</v>
      </c>
      <c r="D3661" s="452">
        <v>45839</v>
      </c>
      <c r="E3661">
        <v>20429</v>
      </c>
      <c r="F3661" t="s">
        <v>5317</v>
      </c>
      <c r="G3661">
        <v>2184</v>
      </c>
      <c r="H3661">
        <v>3</v>
      </c>
      <c r="I3661" t="s">
        <v>4736</v>
      </c>
      <c r="J3661" t="s">
        <v>5191</v>
      </c>
      <c r="K3661" t="s">
        <v>3935</v>
      </c>
      <c r="L3661">
        <v>20.3</v>
      </c>
      <c r="M3661" s="452">
        <v>45831</v>
      </c>
      <c r="N3661">
        <v>20.3</v>
      </c>
      <c r="O3661">
        <v>20.25</v>
      </c>
      <c r="P3661">
        <v>60.9</v>
      </c>
    </row>
    <row r="3662" spans="1:16" x14ac:dyDescent="0.3">
      <c r="A3662">
        <v>41222</v>
      </c>
      <c r="B3662">
        <v>105</v>
      </c>
      <c r="C3662" t="s">
        <v>557</v>
      </c>
      <c r="D3662" s="452">
        <v>45839</v>
      </c>
      <c r="E3662">
        <v>25205</v>
      </c>
      <c r="F3662" t="s">
        <v>4850</v>
      </c>
      <c r="G3662">
        <v>5944</v>
      </c>
      <c r="H3662">
        <v>2</v>
      </c>
      <c r="I3662" t="s">
        <v>4744</v>
      </c>
      <c r="J3662" t="s">
        <v>5191</v>
      </c>
      <c r="K3662" t="s">
        <v>3935</v>
      </c>
      <c r="L3662">
        <v>29.9</v>
      </c>
      <c r="M3662" s="452">
        <v>45838</v>
      </c>
      <c r="N3662">
        <v>29.9</v>
      </c>
      <c r="O3662">
        <v>29.9</v>
      </c>
      <c r="P3662">
        <v>59.8</v>
      </c>
    </row>
    <row r="3663" spans="1:16" x14ac:dyDescent="0.3">
      <c r="A3663">
        <v>41183</v>
      </c>
      <c r="B3663">
        <v>105</v>
      </c>
      <c r="C3663" t="s">
        <v>557</v>
      </c>
      <c r="D3663" s="452">
        <v>45839</v>
      </c>
      <c r="E3663">
        <v>19241</v>
      </c>
      <c r="F3663" t="s">
        <v>4890</v>
      </c>
      <c r="G3663">
        <v>2785</v>
      </c>
      <c r="H3663">
        <v>9</v>
      </c>
      <c r="I3663" t="s">
        <v>4736</v>
      </c>
      <c r="J3663" t="s">
        <v>5191</v>
      </c>
      <c r="K3663" t="s">
        <v>3935</v>
      </c>
      <c r="L3663">
        <v>6.5</v>
      </c>
      <c r="M3663" s="452">
        <v>45819</v>
      </c>
      <c r="N3663">
        <v>6.5</v>
      </c>
      <c r="O3663">
        <v>6.5</v>
      </c>
      <c r="P3663">
        <v>58.5</v>
      </c>
    </row>
    <row r="3664" spans="1:16" x14ac:dyDescent="0.3">
      <c r="A3664">
        <v>41111</v>
      </c>
      <c r="B3664">
        <v>105</v>
      </c>
      <c r="C3664" t="s">
        <v>557</v>
      </c>
      <c r="D3664" s="452">
        <v>45839</v>
      </c>
      <c r="E3664">
        <v>20614</v>
      </c>
      <c r="F3664" t="s">
        <v>4958</v>
      </c>
      <c r="G3664">
        <v>2119</v>
      </c>
      <c r="H3664">
        <v>2</v>
      </c>
      <c r="I3664" t="s">
        <v>4736</v>
      </c>
      <c r="J3664" t="s">
        <v>5191</v>
      </c>
      <c r="K3664" t="s">
        <v>3935</v>
      </c>
      <c r="L3664">
        <v>0</v>
      </c>
      <c r="M3664" s="452">
        <v>45504</v>
      </c>
      <c r="N3664">
        <v>28.61</v>
      </c>
      <c r="O3664">
        <v>29.9</v>
      </c>
      <c r="P3664">
        <v>57.22</v>
      </c>
    </row>
    <row r="3665" spans="1:16" x14ac:dyDescent="0.3">
      <c r="A3665">
        <v>41051</v>
      </c>
      <c r="B3665">
        <v>105</v>
      </c>
      <c r="C3665" t="s">
        <v>557</v>
      </c>
      <c r="D3665" s="452">
        <v>45839</v>
      </c>
      <c r="E3665">
        <v>20358</v>
      </c>
      <c r="F3665" t="s">
        <v>4911</v>
      </c>
      <c r="G3665">
        <v>2200</v>
      </c>
      <c r="H3665">
        <v>4</v>
      </c>
      <c r="I3665" t="s">
        <v>4738</v>
      </c>
      <c r="J3665" t="s">
        <v>5191</v>
      </c>
      <c r="K3665" t="s">
        <v>3935</v>
      </c>
      <c r="L3665">
        <v>14.3</v>
      </c>
      <c r="M3665" s="452">
        <v>45832</v>
      </c>
      <c r="N3665">
        <v>14.3</v>
      </c>
      <c r="O3665">
        <v>14.3</v>
      </c>
      <c r="P3665">
        <v>57.2</v>
      </c>
    </row>
    <row r="3666" spans="1:16" x14ac:dyDescent="0.3">
      <c r="A3666">
        <v>41245</v>
      </c>
      <c r="B3666">
        <v>105</v>
      </c>
      <c r="C3666" t="s">
        <v>557</v>
      </c>
      <c r="D3666" s="452">
        <v>45839</v>
      </c>
      <c r="E3666">
        <v>18339</v>
      </c>
      <c r="F3666" t="s">
        <v>5033</v>
      </c>
      <c r="G3666">
        <v>3296</v>
      </c>
      <c r="H3666">
        <v>1</v>
      </c>
      <c r="I3666" t="s">
        <v>4805</v>
      </c>
      <c r="J3666" t="s">
        <v>5222</v>
      </c>
      <c r="K3666" t="s">
        <v>3935</v>
      </c>
      <c r="L3666">
        <v>0</v>
      </c>
      <c r="M3666" s="452">
        <v>-693593</v>
      </c>
      <c r="N3666">
        <v>0</v>
      </c>
      <c r="O3666">
        <v>57.01</v>
      </c>
      <c r="P3666">
        <v>56.53</v>
      </c>
    </row>
    <row r="3667" spans="1:16" x14ac:dyDescent="0.3">
      <c r="A3667">
        <v>41326</v>
      </c>
      <c r="B3667">
        <v>105</v>
      </c>
      <c r="C3667" t="s">
        <v>557</v>
      </c>
      <c r="D3667" s="452">
        <v>45839</v>
      </c>
      <c r="E3667">
        <v>18289</v>
      </c>
      <c r="F3667" t="s">
        <v>5036</v>
      </c>
      <c r="G3667">
        <v>3339</v>
      </c>
      <c r="H3667">
        <v>0.4</v>
      </c>
      <c r="I3667" t="s">
        <v>4736</v>
      </c>
      <c r="J3667" t="s">
        <v>5222</v>
      </c>
      <c r="K3667" t="s">
        <v>3935</v>
      </c>
      <c r="L3667">
        <v>0</v>
      </c>
      <c r="M3667" s="452">
        <v>-693593</v>
      </c>
      <c r="N3667">
        <v>0</v>
      </c>
      <c r="O3667">
        <v>0</v>
      </c>
      <c r="P3667">
        <v>56</v>
      </c>
    </row>
    <row r="3668" spans="1:16" x14ac:dyDescent="0.3">
      <c r="A3668">
        <v>41127</v>
      </c>
      <c r="B3668">
        <v>105</v>
      </c>
      <c r="C3668" t="s">
        <v>557</v>
      </c>
      <c r="D3668" s="452">
        <v>45839</v>
      </c>
      <c r="E3668">
        <v>23268</v>
      </c>
      <c r="F3668" t="s">
        <v>4743</v>
      </c>
      <c r="G3668">
        <v>2592</v>
      </c>
      <c r="H3668">
        <v>12.6</v>
      </c>
      <c r="I3668" t="s">
        <v>4744</v>
      </c>
      <c r="J3668" t="s">
        <v>5191</v>
      </c>
      <c r="K3668" t="s">
        <v>3935</v>
      </c>
      <c r="L3668">
        <v>0</v>
      </c>
      <c r="M3668" s="452">
        <v>45681</v>
      </c>
      <c r="N3668">
        <v>4.42</v>
      </c>
      <c r="O3668">
        <v>5.0999999999999996</v>
      </c>
      <c r="P3668">
        <v>55.69</v>
      </c>
    </row>
    <row r="3669" spans="1:16" x14ac:dyDescent="0.3">
      <c r="A3669">
        <v>41067</v>
      </c>
      <c r="B3669">
        <v>105</v>
      </c>
      <c r="C3669" t="s">
        <v>557</v>
      </c>
      <c r="D3669" s="452">
        <v>45839</v>
      </c>
      <c r="E3669">
        <v>24322</v>
      </c>
      <c r="F3669" t="s">
        <v>5064</v>
      </c>
      <c r="G3669">
        <v>2342</v>
      </c>
      <c r="H3669">
        <v>2.4</v>
      </c>
      <c r="I3669" t="s">
        <v>4744</v>
      </c>
      <c r="J3669" t="s">
        <v>5191</v>
      </c>
      <c r="K3669" t="s">
        <v>3935</v>
      </c>
      <c r="L3669">
        <v>23</v>
      </c>
      <c r="M3669" s="452">
        <v>45835</v>
      </c>
      <c r="N3669">
        <v>23</v>
      </c>
      <c r="O3669">
        <v>23</v>
      </c>
      <c r="P3669">
        <v>55.2</v>
      </c>
    </row>
    <row r="3670" spans="1:16" x14ac:dyDescent="0.3">
      <c r="A3670">
        <v>41065</v>
      </c>
      <c r="B3670">
        <v>105</v>
      </c>
      <c r="C3670" t="s">
        <v>557</v>
      </c>
      <c r="D3670" s="452">
        <v>45839</v>
      </c>
      <c r="E3670">
        <v>20661</v>
      </c>
      <c r="F3670" t="s">
        <v>5012</v>
      </c>
      <c r="G3670">
        <v>2110</v>
      </c>
      <c r="H3670">
        <v>6</v>
      </c>
      <c r="I3670" t="s">
        <v>4736</v>
      </c>
      <c r="J3670" t="s">
        <v>5191</v>
      </c>
      <c r="K3670" t="s">
        <v>3935</v>
      </c>
      <c r="L3670">
        <v>9.1199999999999992</v>
      </c>
      <c r="M3670" s="452">
        <v>45817</v>
      </c>
      <c r="N3670">
        <v>9.1199999999999992</v>
      </c>
      <c r="O3670">
        <v>8.7899999999999991</v>
      </c>
      <c r="P3670">
        <v>54.72</v>
      </c>
    </row>
    <row r="3671" spans="1:16" x14ac:dyDescent="0.3">
      <c r="A3671">
        <v>41242</v>
      </c>
      <c r="B3671">
        <v>105</v>
      </c>
      <c r="C3671" t="s">
        <v>557</v>
      </c>
      <c r="D3671" s="452">
        <v>45839</v>
      </c>
      <c r="E3671">
        <v>18462</v>
      </c>
      <c r="F3671" t="s">
        <v>5031</v>
      </c>
      <c r="G3671">
        <v>3193</v>
      </c>
      <c r="H3671">
        <v>1</v>
      </c>
      <c r="I3671" t="s">
        <v>4805</v>
      </c>
      <c r="J3671" t="s">
        <v>5222</v>
      </c>
      <c r="K3671" t="s">
        <v>3935</v>
      </c>
      <c r="L3671">
        <v>0</v>
      </c>
      <c r="M3671" s="452">
        <v>45793</v>
      </c>
      <c r="N3671">
        <v>53.71</v>
      </c>
      <c r="O3671">
        <v>45.9</v>
      </c>
      <c r="P3671">
        <v>53.71</v>
      </c>
    </row>
    <row r="3672" spans="1:16" x14ac:dyDescent="0.3">
      <c r="A3672">
        <v>41041</v>
      </c>
      <c r="B3672">
        <v>105</v>
      </c>
      <c r="C3672" t="s">
        <v>557</v>
      </c>
      <c r="D3672" s="452">
        <v>45839</v>
      </c>
      <c r="E3672">
        <v>20419</v>
      </c>
      <c r="F3672" t="s">
        <v>5498</v>
      </c>
      <c r="G3672">
        <v>2187</v>
      </c>
      <c r="H3672">
        <v>3</v>
      </c>
      <c r="I3672" t="s">
        <v>4738</v>
      </c>
      <c r="J3672" t="s">
        <v>5191</v>
      </c>
      <c r="K3672" t="s">
        <v>3935</v>
      </c>
      <c r="L3672">
        <v>17.73</v>
      </c>
      <c r="M3672" s="452">
        <v>45817</v>
      </c>
      <c r="N3672">
        <v>18.3</v>
      </c>
      <c r="O3672">
        <v>16.2</v>
      </c>
      <c r="P3672">
        <v>53.19</v>
      </c>
    </row>
    <row r="3673" spans="1:16" x14ac:dyDescent="0.3">
      <c r="A3673">
        <v>41167</v>
      </c>
      <c r="B3673">
        <v>105</v>
      </c>
      <c r="C3673" t="s">
        <v>557</v>
      </c>
      <c r="D3673" s="452">
        <v>45839</v>
      </c>
      <c r="E3673">
        <v>19572</v>
      </c>
      <c r="F3673" t="s">
        <v>4989</v>
      </c>
      <c r="G3673">
        <v>2646</v>
      </c>
      <c r="H3673">
        <v>2.6</v>
      </c>
      <c r="I3673" t="s">
        <v>4744</v>
      </c>
      <c r="J3673" t="s">
        <v>5191</v>
      </c>
      <c r="K3673" t="s">
        <v>3935</v>
      </c>
      <c r="L3673">
        <v>20.41</v>
      </c>
      <c r="M3673" s="452">
        <v>45833</v>
      </c>
      <c r="N3673">
        <v>23.67</v>
      </c>
      <c r="O3673">
        <v>20</v>
      </c>
      <c r="P3673">
        <v>53.07</v>
      </c>
    </row>
    <row r="3674" spans="1:16" x14ac:dyDescent="0.3">
      <c r="A3674">
        <v>41221</v>
      </c>
      <c r="B3674">
        <v>105</v>
      </c>
      <c r="C3674" t="s">
        <v>557</v>
      </c>
      <c r="D3674" s="452">
        <v>45839</v>
      </c>
      <c r="E3674">
        <v>18745</v>
      </c>
      <c r="F3674" t="s">
        <v>4892</v>
      </c>
      <c r="G3674">
        <v>3014</v>
      </c>
      <c r="H3674">
        <v>11</v>
      </c>
      <c r="I3674" t="s">
        <v>4736</v>
      </c>
      <c r="J3674" t="s">
        <v>5191</v>
      </c>
      <c r="K3674" t="s">
        <v>3935</v>
      </c>
      <c r="L3674">
        <v>0</v>
      </c>
      <c r="M3674" s="452">
        <v>45804</v>
      </c>
      <c r="N3674">
        <v>4.8</v>
      </c>
      <c r="O3674">
        <v>4.8</v>
      </c>
      <c r="P3674">
        <v>52.8</v>
      </c>
    </row>
    <row r="3675" spans="1:16" x14ac:dyDescent="0.3">
      <c r="A3675">
        <v>41033</v>
      </c>
      <c r="B3675">
        <v>105</v>
      </c>
      <c r="C3675" t="s">
        <v>557</v>
      </c>
      <c r="D3675" s="452">
        <v>45839</v>
      </c>
      <c r="E3675">
        <v>20054</v>
      </c>
      <c r="F3675" t="s">
        <v>4856</v>
      </c>
      <c r="G3675">
        <v>2325</v>
      </c>
      <c r="H3675">
        <v>5</v>
      </c>
      <c r="I3675" t="s">
        <v>4736</v>
      </c>
      <c r="J3675" t="s">
        <v>5191</v>
      </c>
      <c r="K3675" t="s">
        <v>3935</v>
      </c>
      <c r="L3675">
        <v>0</v>
      </c>
      <c r="M3675" s="452">
        <v>45706</v>
      </c>
      <c r="N3675">
        <v>10.55</v>
      </c>
      <c r="O3675">
        <v>11.2</v>
      </c>
      <c r="P3675">
        <v>52.75</v>
      </c>
    </row>
    <row r="3676" spans="1:16" x14ac:dyDescent="0.3">
      <c r="A3676">
        <v>41292</v>
      </c>
      <c r="B3676">
        <v>105</v>
      </c>
      <c r="C3676" t="s">
        <v>557</v>
      </c>
      <c r="D3676" s="452">
        <v>45839</v>
      </c>
      <c r="E3676">
        <v>26989</v>
      </c>
      <c r="F3676" t="s">
        <v>5479</v>
      </c>
      <c r="G3676">
        <v>7043</v>
      </c>
      <c r="H3676">
        <v>1</v>
      </c>
      <c r="I3676" t="s">
        <v>4805</v>
      </c>
      <c r="J3676" t="s">
        <v>5222</v>
      </c>
      <c r="K3676" t="s">
        <v>3935</v>
      </c>
      <c r="L3676">
        <v>0</v>
      </c>
      <c r="M3676" s="452">
        <v>-693593</v>
      </c>
      <c r="N3676">
        <v>0</v>
      </c>
      <c r="O3676">
        <v>0</v>
      </c>
      <c r="P3676">
        <v>52.65</v>
      </c>
    </row>
    <row r="3677" spans="1:16" x14ac:dyDescent="0.3">
      <c r="A3677">
        <v>41098</v>
      </c>
      <c r="B3677">
        <v>105</v>
      </c>
      <c r="C3677" t="s">
        <v>557</v>
      </c>
      <c r="D3677" s="452">
        <v>45839</v>
      </c>
      <c r="E3677">
        <v>26242</v>
      </c>
      <c r="F3677" t="s">
        <v>4957</v>
      </c>
      <c r="G3677">
        <v>6641</v>
      </c>
      <c r="H3677">
        <v>4</v>
      </c>
      <c r="I3677" t="s">
        <v>4736</v>
      </c>
      <c r="J3677" t="s">
        <v>5191</v>
      </c>
      <c r="K3677" t="s">
        <v>3935</v>
      </c>
      <c r="L3677">
        <v>0</v>
      </c>
      <c r="M3677" s="452">
        <v>-693593</v>
      </c>
      <c r="N3677">
        <v>0</v>
      </c>
      <c r="O3677">
        <v>0</v>
      </c>
      <c r="P3677">
        <v>51.96</v>
      </c>
    </row>
    <row r="3678" spans="1:16" x14ac:dyDescent="0.3">
      <c r="A3678">
        <v>41291</v>
      </c>
      <c r="B3678">
        <v>105</v>
      </c>
      <c r="C3678" t="s">
        <v>557</v>
      </c>
      <c r="D3678" s="452">
        <v>45839</v>
      </c>
      <c r="E3678">
        <v>17878</v>
      </c>
      <c r="F3678" t="s">
        <v>4926</v>
      </c>
      <c r="G3678">
        <v>3677</v>
      </c>
      <c r="H3678">
        <v>2</v>
      </c>
      <c r="I3678" t="s">
        <v>4736</v>
      </c>
      <c r="J3678" t="s">
        <v>5222</v>
      </c>
      <c r="K3678" t="s">
        <v>3935</v>
      </c>
      <c r="L3678">
        <v>0</v>
      </c>
      <c r="M3678" s="452">
        <v>45771</v>
      </c>
      <c r="N3678">
        <v>25.59</v>
      </c>
      <c r="O3678">
        <v>24.81</v>
      </c>
      <c r="P3678">
        <v>51.18</v>
      </c>
    </row>
    <row r="3679" spans="1:16" x14ac:dyDescent="0.3">
      <c r="A3679">
        <v>41142</v>
      </c>
      <c r="B3679">
        <v>105</v>
      </c>
      <c r="C3679" t="s">
        <v>557</v>
      </c>
      <c r="D3679" s="452">
        <v>45839</v>
      </c>
      <c r="E3679">
        <v>19842</v>
      </c>
      <c r="F3679" t="s">
        <v>5300</v>
      </c>
      <c r="G3679">
        <v>2425</v>
      </c>
      <c r="H3679">
        <v>1</v>
      </c>
      <c r="I3679" t="s">
        <v>4744</v>
      </c>
      <c r="J3679" t="s">
        <v>5191</v>
      </c>
      <c r="K3679" t="s">
        <v>3935</v>
      </c>
      <c r="L3679">
        <v>50.57</v>
      </c>
      <c r="M3679" s="452">
        <v>45834</v>
      </c>
      <c r="N3679">
        <v>49.7</v>
      </c>
      <c r="O3679">
        <v>50</v>
      </c>
      <c r="P3679">
        <v>50.57</v>
      </c>
    </row>
    <row r="3680" spans="1:16" x14ac:dyDescent="0.3">
      <c r="A3680">
        <v>40998</v>
      </c>
      <c r="B3680">
        <v>105</v>
      </c>
      <c r="C3680" t="s">
        <v>557</v>
      </c>
      <c r="D3680" s="452">
        <v>45839</v>
      </c>
      <c r="E3680">
        <v>25747</v>
      </c>
      <c r="F3680" t="s">
        <v>4794</v>
      </c>
      <c r="G3680">
        <v>6299</v>
      </c>
      <c r="H3680">
        <v>10</v>
      </c>
      <c r="I3680" t="s">
        <v>4736</v>
      </c>
      <c r="J3680" t="s">
        <v>5191</v>
      </c>
      <c r="K3680" t="s">
        <v>3935</v>
      </c>
      <c r="L3680">
        <v>0</v>
      </c>
      <c r="M3680" s="452">
        <v>45742</v>
      </c>
      <c r="N3680">
        <v>5.04</v>
      </c>
      <c r="O3680">
        <v>5.04</v>
      </c>
      <c r="P3680">
        <v>50.4</v>
      </c>
    </row>
    <row r="3681" spans="1:16" x14ac:dyDescent="0.3">
      <c r="A3681">
        <v>41289</v>
      </c>
      <c r="B3681">
        <v>105</v>
      </c>
      <c r="C3681" t="s">
        <v>557</v>
      </c>
      <c r="D3681" s="452">
        <v>45839</v>
      </c>
      <c r="E3681">
        <v>24468</v>
      </c>
      <c r="F3681" t="s">
        <v>4798</v>
      </c>
      <c r="G3681">
        <v>3675</v>
      </c>
      <c r="H3681">
        <v>23</v>
      </c>
      <c r="I3681" t="s">
        <v>4736</v>
      </c>
      <c r="J3681" t="s">
        <v>5222</v>
      </c>
      <c r="K3681" t="s">
        <v>3935</v>
      </c>
      <c r="L3681">
        <v>0</v>
      </c>
      <c r="M3681" s="452">
        <v>45653</v>
      </c>
      <c r="N3681">
        <v>2.19</v>
      </c>
      <c r="O3681">
        <v>2.19</v>
      </c>
      <c r="P3681">
        <v>50.37</v>
      </c>
    </row>
    <row r="3682" spans="1:16" x14ac:dyDescent="0.3">
      <c r="A3682">
        <v>41136</v>
      </c>
      <c r="B3682">
        <v>105</v>
      </c>
      <c r="C3682" t="s">
        <v>557</v>
      </c>
      <c r="D3682" s="452">
        <v>45839</v>
      </c>
      <c r="E3682">
        <v>24509</v>
      </c>
      <c r="F3682" t="s">
        <v>4788</v>
      </c>
      <c r="G3682">
        <v>2607</v>
      </c>
      <c r="H3682">
        <v>20.8</v>
      </c>
      <c r="I3682" t="s">
        <v>4744</v>
      </c>
      <c r="J3682" t="s">
        <v>5191</v>
      </c>
      <c r="K3682" t="s">
        <v>3935</v>
      </c>
      <c r="L3682">
        <v>2.42</v>
      </c>
      <c r="M3682" s="452">
        <v>45838</v>
      </c>
      <c r="N3682">
        <v>2.1800000000000002</v>
      </c>
      <c r="O3682">
        <v>2.4</v>
      </c>
      <c r="P3682">
        <v>50.34</v>
      </c>
    </row>
    <row r="3683" spans="1:16" x14ac:dyDescent="0.3">
      <c r="A3683">
        <v>41087</v>
      </c>
      <c r="B3683">
        <v>105</v>
      </c>
      <c r="C3683" t="s">
        <v>557</v>
      </c>
      <c r="D3683" s="452">
        <v>45839</v>
      </c>
      <c r="E3683">
        <v>19962</v>
      </c>
      <c r="F3683" t="s">
        <v>5502</v>
      </c>
      <c r="G3683">
        <v>2356</v>
      </c>
      <c r="H3683">
        <v>2</v>
      </c>
      <c r="I3683" t="s">
        <v>4888</v>
      </c>
      <c r="J3683" t="s">
        <v>5191</v>
      </c>
      <c r="K3683" t="s">
        <v>3935</v>
      </c>
      <c r="L3683">
        <v>24.75</v>
      </c>
      <c r="M3683" s="452">
        <v>45832</v>
      </c>
      <c r="N3683">
        <v>25.28</v>
      </c>
      <c r="O3683">
        <v>25.28</v>
      </c>
      <c r="P3683">
        <v>49.5</v>
      </c>
    </row>
    <row r="3684" spans="1:16" x14ac:dyDescent="0.3">
      <c r="A3684">
        <v>41141</v>
      </c>
      <c r="B3684">
        <v>105</v>
      </c>
      <c r="C3684" t="s">
        <v>557</v>
      </c>
      <c r="D3684" s="452">
        <v>45839</v>
      </c>
      <c r="E3684">
        <v>23440</v>
      </c>
      <c r="F3684" t="s">
        <v>5475</v>
      </c>
      <c r="G3684">
        <v>2424</v>
      </c>
      <c r="H3684">
        <v>1</v>
      </c>
      <c r="I3684" t="s">
        <v>4744</v>
      </c>
      <c r="J3684" t="s">
        <v>5191</v>
      </c>
      <c r="K3684" t="s">
        <v>3935</v>
      </c>
      <c r="L3684">
        <v>49</v>
      </c>
      <c r="M3684" s="452">
        <v>45834</v>
      </c>
      <c r="N3684">
        <v>49</v>
      </c>
      <c r="O3684">
        <v>49</v>
      </c>
      <c r="P3684">
        <v>49</v>
      </c>
    </row>
    <row r="3685" spans="1:16" x14ac:dyDescent="0.3">
      <c r="A3685">
        <v>41117</v>
      </c>
      <c r="B3685">
        <v>105</v>
      </c>
      <c r="C3685" t="s">
        <v>557</v>
      </c>
      <c r="D3685" s="452">
        <v>45839</v>
      </c>
      <c r="E3685">
        <v>19507</v>
      </c>
      <c r="F3685" t="s">
        <v>4853</v>
      </c>
      <c r="G3685">
        <v>2704</v>
      </c>
      <c r="H3685">
        <v>5.08</v>
      </c>
      <c r="I3685" t="s">
        <v>4744</v>
      </c>
      <c r="J3685" t="s">
        <v>5191</v>
      </c>
      <c r="K3685" t="s">
        <v>3935</v>
      </c>
      <c r="L3685">
        <v>9.4700000000000006</v>
      </c>
      <c r="M3685" s="452">
        <v>45838</v>
      </c>
      <c r="N3685">
        <v>8.0500000000000007</v>
      </c>
      <c r="O3685">
        <v>9.44</v>
      </c>
      <c r="P3685">
        <v>48.11</v>
      </c>
    </row>
    <row r="3686" spans="1:16" x14ac:dyDescent="0.3">
      <c r="A3686">
        <v>41235</v>
      </c>
      <c r="B3686">
        <v>105</v>
      </c>
      <c r="C3686" t="s">
        <v>557</v>
      </c>
      <c r="D3686" s="452">
        <v>45839</v>
      </c>
      <c r="E3686">
        <v>18545</v>
      </c>
      <c r="F3686" t="s">
        <v>4864</v>
      </c>
      <c r="G3686">
        <v>3134</v>
      </c>
      <c r="H3686">
        <v>1</v>
      </c>
      <c r="I3686" t="s">
        <v>4805</v>
      </c>
      <c r="J3686" t="s">
        <v>5222</v>
      </c>
      <c r="K3686" t="s">
        <v>3935</v>
      </c>
      <c r="L3686">
        <v>47.7</v>
      </c>
      <c r="M3686" s="452">
        <v>45818</v>
      </c>
      <c r="N3686">
        <v>47.7</v>
      </c>
      <c r="O3686">
        <v>46.21</v>
      </c>
      <c r="P3686">
        <v>47.7</v>
      </c>
    </row>
    <row r="3687" spans="1:16" x14ac:dyDescent="0.3">
      <c r="A3687">
        <v>41046</v>
      </c>
      <c r="B3687">
        <v>105</v>
      </c>
      <c r="C3687" t="s">
        <v>557</v>
      </c>
      <c r="D3687" s="452">
        <v>45839</v>
      </c>
      <c r="E3687">
        <v>23698</v>
      </c>
      <c r="F3687" t="s">
        <v>5453</v>
      </c>
      <c r="G3687">
        <v>2188</v>
      </c>
      <c r="H3687">
        <v>1</v>
      </c>
      <c r="I3687" t="s">
        <v>4744</v>
      </c>
      <c r="J3687" t="s">
        <v>5191</v>
      </c>
      <c r="K3687" t="s">
        <v>3935</v>
      </c>
      <c r="L3687">
        <v>46.9</v>
      </c>
      <c r="M3687" s="452">
        <v>45811</v>
      </c>
      <c r="N3687">
        <v>46.9</v>
      </c>
      <c r="O3687">
        <v>46.9</v>
      </c>
      <c r="P3687">
        <v>46.9</v>
      </c>
    </row>
    <row r="3688" spans="1:16" x14ac:dyDescent="0.3">
      <c r="A3688">
        <v>41057</v>
      </c>
      <c r="B3688">
        <v>105</v>
      </c>
      <c r="C3688" t="s">
        <v>557</v>
      </c>
      <c r="D3688" s="452">
        <v>45839</v>
      </c>
      <c r="E3688">
        <v>24267</v>
      </c>
      <c r="F3688" t="s">
        <v>5501</v>
      </c>
      <c r="G3688">
        <v>2249</v>
      </c>
      <c r="H3688">
        <v>0.55000000000000004</v>
      </c>
      <c r="I3688" t="s">
        <v>4744</v>
      </c>
      <c r="J3688" t="s">
        <v>5191</v>
      </c>
      <c r="K3688" t="s">
        <v>3935</v>
      </c>
      <c r="L3688">
        <v>0</v>
      </c>
      <c r="M3688" s="452">
        <v>45507</v>
      </c>
      <c r="N3688">
        <v>85</v>
      </c>
      <c r="O3688">
        <v>28</v>
      </c>
      <c r="P3688">
        <v>46.75</v>
      </c>
    </row>
    <row r="3689" spans="1:16" x14ac:dyDescent="0.3">
      <c r="A3689">
        <v>41114</v>
      </c>
      <c r="B3689">
        <v>105</v>
      </c>
      <c r="C3689" t="s">
        <v>557</v>
      </c>
      <c r="D3689" s="452">
        <v>45839</v>
      </c>
      <c r="E3689">
        <v>19658</v>
      </c>
      <c r="F3689" t="s">
        <v>4784</v>
      </c>
      <c r="G3689">
        <v>2582</v>
      </c>
      <c r="H3689">
        <v>19.29</v>
      </c>
      <c r="I3689" t="s">
        <v>4744</v>
      </c>
      <c r="J3689" t="s">
        <v>5191</v>
      </c>
      <c r="K3689" t="s">
        <v>3935</v>
      </c>
      <c r="L3689">
        <v>2.41</v>
      </c>
      <c r="M3689" s="452">
        <v>45838</v>
      </c>
      <c r="N3689">
        <v>2.17</v>
      </c>
      <c r="O3689">
        <v>2.2599999999999998</v>
      </c>
      <c r="P3689">
        <v>46.49</v>
      </c>
    </row>
    <row r="3690" spans="1:16" x14ac:dyDescent="0.3">
      <c r="A3690">
        <v>41179</v>
      </c>
      <c r="B3690">
        <v>105</v>
      </c>
      <c r="C3690" t="s">
        <v>557</v>
      </c>
      <c r="D3690" s="452">
        <v>45839</v>
      </c>
      <c r="E3690">
        <v>19710</v>
      </c>
      <c r="F3690" t="s">
        <v>4963</v>
      </c>
      <c r="G3690">
        <v>2540</v>
      </c>
      <c r="H3690">
        <v>2</v>
      </c>
      <c r="I3690" t="s">
        <v>4738</v>
      </c>
      <c r="J3690" t="s">
        <v>5191</v>
      </c>
      <c r="K3690" t="s">
        <v>3935</v>
      </c>
      <c r="L3690">
        <v>23.23</v>
      </c>
      <c r="M3690" s="452">
        <v>45838</v>
      </c>
      <c r="N3690">
        <v>23.46</v>
      </c>
      <c r="O3690">
        <v>23.46</v>
      </c>
      <c r="P3690">
        <v>46.46</v>
      </c>
    </row>
    <row r="3691" spans="1:16" x14ac:dyDescent="0.3">
      <c r="A3691">
        <v>41035</v>
      </c>
      <c r="B3691">
        <v>105</v>
      </c>
      <c r="C3691" t="s">
        <v>557</v>
      </c>
      <c r="D3691" s="452">
        <v>45839</v>
      </c>
      <c r="E3691">
        <v>20716</v>
      </c>
      <c r="F3691" t="s">
        <v>5053</v>
      </c>
      <c r="G3691">
        <v>2098</v>
      </c>
      <c r="H3691">
        <v>0.38</v>
      </c>
      <c r="I3691" t="s">
        <v>4744</v>
      </c>
      <c r="J3691" t="s">
        <v>5191</v>
      </c>
      <c r="K3691" t="s">
        <v>3935</v>
      </c>
      <c r="L3691">
        <v>0</v>
      </c>
      <c r="M3691" s="452">
        <v>-693593</v>
      </c>
      <c r="N3691">
        <v>0</v>
      </c>
      <c r="O3691">
        <v>0</v>
      </c>
      <c r="P3691">
        <v>45.41</v>
      </c>
    </row>
    <row r="3692" spans="1:16" x14ac:dyDescent="0.3">
      <c r="A3692">
        <v>41172</v>
      </c>
      <c r="B3692">
        <v>105</v>
      </c>
      <c r="C3692" t="s">
        <v>557</v>
      </c>
      <c r="D3692" s="452">
        <v>45839</v>
      </c>
      <c r="E3692">
        <v>19473</v>
      </c>
      <c r="F3692" t="s">
        <v>5484</v>
      </c>
      <c r="G3692">
        <v>2732</v>
      </c>
      <c r="H3692">
        <v>2.91</v>
      </c>
      <c r="I3692" t="s">
        <v>4744</v>
      </c>
      <c r="J3692" t="s">
        <v>5191</v>
      </c>
      <c r="K3692" t="s">
        <v>3935</v>
      </c>
      <c r="L3692">
        <v>15.6</v>
      </c>
      <c r="M3692" s="452">
        <v>45824</v>
      </c>
      <c r="N3692">
        <v>12</v>
      </c>
      <c r="O3692">
        <v>12</v>
      </c>
      <c r="P3692">
        <v>45.4</v>
      </c>
    </row>
    <row r="3693" spans="1:16" x14ac:dyDescent="0.3">
      <c r="A3693">
        <v>41013</v>
      </c>
      <c r="B3693">
        <v>105</v>
      </c>
      <c r="C3693" t="s">
        <v>557</v>
      </c>
      <c r="D3693" s="452">
        <v>45839</v>
      </c>
      <c r="E3693">
        <v>21065</v>
      </c>
      <c r="F3693" t="s">
        <v>5506</v>
      </c>
      <c r="G3693">
        <v>1997</v>
      </c>
      <c r="H3693">
        <v>3</v>
      </c>
      <c r="I3693" t="s">
        <v>4805</v>
      </c>
      <c r="J3693" t="s">
        <v>5191</v>
      </c>
      <c r="K3693" t="s">
        <v>3935</v>
      </c>
      <c r="L3693">
        <v>14.9</v>
      </c>
      <c r="M3693" s="452">
        <v>45817</v>
      </c>
      <c r="N3693">
        <v>14.9</v>
      </c>
      <c r="O3693">
        <v>14.91</v>
      </c>
      <c r="P3693">
        <v>44.7</v>
      </c>
    </row>
    <row r="3694" spans="1:16" x14ac:dyDescent="0.3">
      <c r="A3694">
        <v>41202</v>
      </c>
      <c r="B3694">
        <v>105</v>
      </c>
      <c r="C3694" t="s">
        <v>557</v>
      </c>
      <c r="D3694" s="452">
        <v>45839</v>
      </c>
      <c r="E3694">
        <v>24191</v>
      </c>
      <c r="F3694" t="s">
        <v>4846</v>
      </c>
      <c r="G3694">
        <v>2889</v>
      </c>
      <c r="H3694">
        <v>1.64</v>
      </c>
      <c r="I3694" t="s">
        <v>4744</v>
      </c>
      <c r="J3694" t="s">
        <v>5191</v>
      </c>
      <c r="K3694" t="s">
        <v>3935</v>
      </c>
      <c r="L3694">
        <v>0</v>
      </c>
      <c r="M3694" s="452">
        <v>45804</v>
      </c>
      <c r="N3694">
        <v>26.9</v>
      </c>
      <c r="O3694">
        <v>23.99</v>
      </c>
      <c r="P3694">
        <v>44.12</v>
      </c>
    </row>
    <row r="3695" spans="1:16" x14ac:dyDescent="0.3">
      <c r="A3695">
        <v>41066</v>
      </c>
      <c r="B3695">
        <v>105</v>
      </c>
      <c r="C3695" t="s">
        <v>557</v>
      </c>
      <c r="D3695" s="452">
        <v>45839</v>
      </c>
      <c r="E3695">
        <v>20653</v>
      </c>
      <c r="F3695" t="s">
        <v>5013</v>
      </c>
      <c r="G3695">
        <v>2111</v>
      </c>
      <c r="H3695">
        <v>2</v>
      </c>
      <c r="I3695" t="s">
        <v>4736</v>
      </c>
      <c r="J3695" t="s">
        <v>5191</v>
      </c>
      <c r="K3695" t="s">
        <v>3935</v>
      </c>
      <c r="L3695">
        <v>21.98</v>
      </c>
      <c r="M3695" s="452">
        <v>45824</v>
      </c>
      <c r="N3695">
        <v>21.98</v>
      </c>
      <c r="O3695">
        <v>21.46</v>
      </c>
      <c r="P3695">
        <v>43.96</v>
      </c>
    </row>
    <row r="3696" spans="1:16" x14ac:dyDescent="0.3">
      <c r="A3696">
        <v>41143</v>
      </c>
      <c r="B3696">
        <v>105</v>
      </c>
      <c r="C3696" t="s">
        <v>557</v>
      </c>
      <c r="D3696" s="452">
        <v>45839</v>
      </c>
      <c r="E3696">
        <v>23238</v>
      </c>
      <c r="F3696" t="s">
        <v>4934</v>
      </c>
      <c r="G3696">
        <v>2618</v>
      </c>
      <c r="H3696">
        <v>3.6</v>
      </c>
      <c r="I3696" t="s">
        <v>4744</v>
      </c>
      <c r="J3696" t="s">
        <v>5191</v>
      </c>
      <c r="K3696" t="s">
        <v>3935</v>
      </c>
      <c r="L3696">
        <v>12</v>
      </c>
      <c r="M3696" s="452">
        <v>45838</v>
      </c>
      <c r="N3696">
        <v>12.8</v>
      </c>
      <c r="O3696">
        <v>12.18</v>
      </c>
      <c r="P3696">
        <v>43.2</v>
      </c>
    </row>
    <row r="3697" spans="1:16" x14ac:dyDescent="0.3">
      <c r="A3697">
        <v>41318</v>
      </c>
      <c r="B3697">
        <v>105</v>
      </c>
      <c r="C3697" t="s">
        <v>557</v>
      </c>
      <c r="D3697" s="452">
        <v>45839</v>
      </c>
      <c r="E3697">
        <v>18220</v>
      </c>
      <c r="F3697" t="s">
        <v>5147</v>
      </c>
      <c r="G3697">
        <v>3408</v>
      </c>
      <c r="H3697">
        <v>0.4</v>
      </c>
      <c r="I3697" t="s">
        <v>4805</v>
      </c>
      <c r="J3697" t="s">
        <v>5222</v>
      </c>
      <c r="K3697" t="s">
        <v>3935</v>
      </c>
      <c r="L3697">
        <v>102.75</v>
      </c>
      <c r="M3697" s="452">
        <v>45812</v>
      </c>
      <c r="N3697">
        <v>102.75</v>
      </c>
      <c r="O3697">
        <v>97.97</v>
      </c>
      <c r="P3697">
        <v>41.1</v>
      </c>
    </row>
    <row r="3698" spans="1:16" x14ac:dyDescent="0.3">
      <c r="A3698">
        <v>41153</v>
      </c>
      <c r="B3698">
        <v>105</v>
      </c>
      <c r="C3698" t="s">
        <v>557</v>
      </c>
      <c r="D3698" s="452">
        <v>45839</v>
      </c>
      <c r="E3698">
        <v>19743</v>
      </c>
      <c r="F3698" t="s">
        <v>5047</v>
      </c>
      <c r="G3698">
        <v>2510</v>
      </c>
      <c r="H3698">
        <v>3</v>
      </c>
      <c r="I3698" t="s">
        <v>4744</v>
      </c>
      <c r="J3698" t="s">
        <v>5191</v>
      </c>
      <c r="K3698" t="s">
        <v>3935</v>
      </c>
      <c r="L3698">
        <v>13.63</v>
      </c>
      <c r="M3698" s="452">
        <v>45819</v>
      </c>
      <c r="N3698">
        <v>13</v>
      </c>
      <c r="O3698">
        <v>12.5</v>
      </c>
      <c r="P3698">
        <v>40.89</v>
      </c>
    </row>
    <row r="3699" spans="1:16" x14ac:dyDescent="0.3">
      <c r="A3699">
        <v>41351</v>
      </c>
      <c r="B3699">
        <v>105</v>
      </c>
      <c r="C3699" t="s">
        <v>557</v>
      </c>
      <c r="D3699" s="452">
        <v>45839</v>
      </c>
      <c r="E3699">
        <v>26816</v>
      </c>
      <c r="F3699" t="s">
        <v>5497</v>
      </c>
      <c r="G3699">
        <v>6910</v>
      </c>
      <c r="H3699">
        <v>0.7</v>
      </c>
      <c r="I3699" t="s">
        <v>4736</v>
      </c>
      <c r="J3699" t="s">
        <v>5191</v>
      </c>
      <c r="K3699" t="s">
        <v>3935</v>
      </c>
      <c r="L3699">
        <v>0</v>
      </c>
      <c r="M3699" s="452">
        <v>-693593</v>
      </c>
      <c r="N3699">
        <v>0</v>
      </c>
      <c r="O3699">
        <v>57.3</v>
      </c>
      <c r="P3699">
        <v>40.11</v>
      </c>
    </row>
    <row r="3700" spans="1:16" x14ac:dyDescent="0.3">
      <c r="A3700">
        <v>41053</v>
      </c>
      <c r="B3700">
        <v>105</v>
      </c>
      <c r="C3700" t="s">
        <v>557</v>
      </c>
      <c r="D3700" s="452">
        <v>45839</v>
      </c>
      <c r="E3700">
        <v>20231</v>
      </c>
      <c r="F3700" t="s">
        <v>5273</v>
      </c>
      <c r="G3700">
        <v>2247</v>
      </c>
      <c r="H3700">
        <v>2</v>
      </c>
      <c r="I3700" t="s">
        <v>4738</v>
      </c>
      <c r="J3700" t="s">
        <v>5191</v>
      </c>
      <c r="K3700" t="s">
        <v>3935</v>
      </c>
      <c r="L3700">
        <v>0</v>
      </c>
      <c r="M3700" s="452">
        <v>45763</v>
      </c>
      <c r="N3700">
        <v>19.89</v>
      </c>
      <c r="O3700">
        <v>12.1</v>
      </c>
      <c r="P3700">
        <v>39.78</v>
      </c>
    </row>
    <row r="3701" spans="1:16" x14ac:dyDescent="0.3">
      <c r="A3701">
        <v>41285</v>
      </c>
      <c r="B3701">
        <v>105</v>
      </c>
      <c r="C3701" t="s">
        <v>557</v>
      </c>
      <c r="D3701" s="452">
        <v>45839</v>
      </c>
      <c r="E3701">
        <v>24414</v>
      </c>
      <c r="F3701" t="s">
        <v>4746</v>
      </c>
      <c r="G3701">
        <v>3670</v>
      </c>
      <c r="H3701">
        <v>18</v>
      </c>
      <c r="I3701" t="s">
        <v>4736</v>
      </c>
      <c r="J3701" t="s">
        <v>5222</v>
      </c>
      <c r="K3701" t="s">
        <v>3935</v>
      </c>
      <c r="L3701">
        <v>0</v>
      </c>
      <c r="M3701" s="452">
        <v>45623</v>
      </c>
      <c r="N3701">
        <v>2.19</v>
      </c>
      <c r="O3701">
        <v>2.19</v>
      </c>
      <c r="P3701">
        <v>39.42</v>
      </c>
    </row>
    <row r="3702" spans="1:16" x14ac:dyDescent="0.3">
      <c r="A3702">
        <v>41243</v>
      </c>
      <c r="B3702">
        <v>105</v>
      </c>
      <c r="C3702" t="s">
        <v>557</v>
      </c>
      <c r="D3702" s="452">
        <v>45839</v>
      </c>
      <c r="E3702">
        <v>18423</v>
      </c>
      <c r="F3702" t="s">
        <v>4987</v>
      </c>
      <c r="G3702">
        <v>3220</v>
      </c>
      <c r="H3702">
        <v>1</v>
      </c>
      <c r="I3702" t="s">
        <v>4805</v>
      </c>
      <c r="J3702" t="s">
        <v>5222</v>
      </c>
      <c r="K3702" t="s">
        <v>3935</v>
      </c>
      <c r="L3702">
        <v>0</v>
      </c>
      <c r="M3702" s="452">
        <v>45707</v>
      </c>
      <c r="N3702">
        <v>39.299999999999997</v>
      </c>
      <c r="O3702">
        <v>39.299999999999997</v>
      </c>
      <c r="P3702">
        <v>39.299999999999997</v>
      </c>
    </row>
    <row r="3703" spans="1:16" x14ac:dyDescent="0.3">
      <c r="A3703">
        <v>41253</v>
      </c>
      <c r="B3703">
        <v>105</v>
      </c>
      <c r="C3703" t="s">
        <v>557</v>
      </c>
      <c r="D3703" s="452">
        <v>45839</v>
      </c>
      <c r="E3703">
        <v>18273</v>
      </c>
      <c r="F3703" t="s">
        <v>5058</v>
      </c>
      <c r="G3703">
        <v>3357</v>
      </c>
      <c r="H3703">
        <v>1</v>
      </c>
      <c r="I3703" t="s">
        <v>4805</v>
      </c>
      <c r="J3703" t="s">
        <v>5222</v>
      </c>
      <c r="K3703" t="s">
        <v>3935</v>
      </c>
      <c r="L3703">
        <v>0</v>
      </c>
      <c r="M3703" s="452">
        <v>-693593</v>
      </c>
      <c r="N3703">
        <v>0</v>
      </c>
      <c r="O3703">
        <v>45.99</v>
      </c>
      <c r="P3703">
        <v>39.18</v>
      </c>
    </row>
    <row r="3704" spans="1:16" x14ac:dyDescent="0.3">
      <c r="A3704">
        <v>41007</v>
      </c>
      <c r="B3704">
        <v>105</v>
      </c>
      <c r="C3704" t="s">
        <v>557</v>
      </c>
      <c r="D3704" s="452">
        <v>45839</v>
      </c>
      <c r="E3704">
        <v>25759</v>
      </c>
      <c r="F3704" t="s">
        <v>4877</v>
      </c>
      <c r="G3704">
        <v>9073</v>
      </c>
      <c r="H3704">
        <v>5</v>
      </c>
      <c r="I3704" t="s">
        <v>4736</v>
      </c>
      <c r="J3704" t="s">
        <v>5191</v>
      </c>
      <c r="K3704" t="s">
        <v>3935</v>
      </c>
      <c r="L3704">
        <v>0</v>
      </c>
      <c r="M3704" s="452">
        <v>45653</v>
      </c>
      <c r="N3704">
        <v>7.73</v>
      </c>
      <c r="O3704">
        <v>7.73</v>
      </c>
      <c r="P3704">
        <v>38.65</v>
      </c>
    </row>
    <row r="3705" spans="1:16" x14ac:dyDescent="0.3">
      <c r="A3705">
        <v>41260</v>
      </c>
      <c r="B3705">
        <v>105</v>
      </c>
      <c r="C3705" t="s">
        <v>557</v>
      </c>
      <c r="D3705" s="452">
        <v>45839</v>
      </c>
      <c r="E3705">
        <v>18212</v>
      </c>
      <c r="F3705" t="s">
        <v>5040</v>
      </c>
      <c r="G3705">
        <v>3415</v>
      </c>
      <c r="H3705">
        <v>1</v>
      </c>
      <c r="I3705" t="s">
        <v>4805</v>
      </c>
      <c r="J3705" t="s">
        <v>5222</v>
      </c>
      <c r="K3705" t="s">
        <v>3935</v>
      </c>
      <c r="L3705">
        <v>0</v>
      </c>
      <c r="M3705" s="452">
        <v>-693593</v>
      </c>
      <c r="N3705">
        <v>0</v>
      </c>
      <c r="O3705">
        <v>38.299999999999997</v>
      </c>
      <c r="P3705">
        <v>38.1</v>
      </c>
    </row>
    <row r="3706" spans="1:16" x14ac:dyDescent="0.3">
      <c r="A3706">
        <v>41001</v>
      </c>
      <c r="B3706">
        <v>105</v>
      </c>
      <c r="C3706" t="s">
        <v>557</v>
      </c>
      <c r="D3706" s="452">
        <v>45839</v>
      </c>
      <c r="E3706">
        <v>25756</v>
      </c>
      <c r="F3706" t="s">
        <v>4854</v>
      </c>
      <c r="G3706">
        <v>9069</v>
      </c>
      <c r="H3706">
        <v>5</v>
      </c>
      <c r="I3706" t="s">
        <v>4749</v>
      </c>
      <c r="J3706" t="s">
        <v>5191</v>
      </c>
      <c r="K3706" t="s">
        <v>3935</v>
      </c>
      <c r="L3706">
        <v>0</v>
      </c>
      <c r="M3706" s="452">
        <v>45742</v>
      </c>
      <c r="N3706">
        <v>7.61</v>
      </c>
      <c r="O3706">
        <v>7.61</v>
      </c>
      <c r="P3706">
        <v>38.049999999999997</v>
      </c>
    </row>
    <row r="3707" spans="1:16" x14ac:dyDescent="0.3">
      <c r="A3707">
        <v>41287</v>
      </c>
      <c r="B3707">
        <v>105</v>
      </c>
      <c r="C3707" t="s">
        <v>557</v>
      </c>
      <c r="D3707" s="452">
        <v>45839</v>
      </c>
      <c r="E3707">
        <v>24467</v>
      </c>
      <c r="F3707" t="s">
        <v>4766</v>
      </c>
      <c r="G3707">
        <v>3673</v>
      </c>
      <c r="H3707">
        <v>19</v>
      </c>
      <c r="I3707" t="s">
        <v>4736</v>
      </c>
      <c r="J3707" t="s">
        <v>5222</v>
      </c>
      <c r="K3707" t="s">
        <v>3935</v>
      </c>
      <c r="L3707">
        <v>0</v>
      </c>
      <c r="M3707" s="452">
        <v>45520</v>
      </c>
      <c r="N3707">
        <v>1.99</v>
      </c>
      <c r="O3707">
        <v>2.19</v>
      </c>
      <c r="P3707">
        <v>37.81</v>
      </c>
    </row>
    <row r="3708" spans="1:16" x14ac:dyDescent="0.3">
      <c r="A3708">
        <v>41112</v>
      </c>
      <c r="B3708">
        <v>105</v>
      </c>
      <c r="C3708" t="s">
        <v>557</v>
      </c>
      <c r="D3708" s="452">
        <v>45839</v>
      </c>
      <c r="E3708">
        <v>20961</v>
      </c>
      <c r="F3708" t="s">
        <v>5026</v>
      </c>
      <c r="G3708">
        <v>2015</v>
      </c>
      <c r="H3708">
        <v>5</v>
      </c>
      <c r="I3708" t="s">
        <v>4736</v>
      </c>
      <c r="J3708" t="s">
        <v>5191</v>
      </c>
      <c r="K3708" t="s">
        <v>3935</v>
      </c>
      <c r="L3708">
        <v>7.52</v>
      </c>
      <c r="M3708" s="452">
        <v>45824</v>
      </c>
      <c r="N3708">
        <v>7.5</v>
      </c>
      <c r="O3708">
        <v>6.98</v>
      </c>
      <c r="P3708">
        <v>37.6</v>
      </c>
    </row>
    <row r="3709" spans="1:16" x14ac:dyDescent="0.3">
      <c r="A3709">
        <v>41058</v>
      </c>
      <c r="B3709">
        <v>105</v>
      </c>
      <c r="C3709" t="s">
        <v>557</v>
      </c>
      <c r="D3709" s="452">
        <v>45839</v>
      </c>
      <c r="E3709">
        <v>24272</v>
      </c>
      <c r="F3709" t="s">
        <v>5059</v>
      </c>
      <c r="G3709">
        <v>2341</v>
      </c>
      <c r="H3709">
        <v>1.55</v>
      </c>
      <c r="I3709" t="s">
        <v>4744</v>
      </c>
      <c r="J3709" t="s">
        <v>5191</v>
      </c>
      <c r="K3709" t="s">
        <v>3935</v>
      </c>
      <c r="L3709">
        <v>0</v>
      </c>
      <c r="M3709" s="452">
        <v>45737</v>
      </c>
      <c r="N3709">
        <v>24</v>
      </c>
      <c r="O3709">
        <v>24</v>
      </c>
      <c r="P3709">
        <v>37.200000000000003</v>
      </c>
    </row>
    <row r="3710" spans="1:16" x14ac:dyDescent="0.3">
      <c r="A3710">
        <v>41160</v>
      </c>
      <c r="B3710">
        <v>105</v>
      </c>
      <c r="C3710" t="s">
        <v>557</v>
      </c>
      <c r="D3710" s="452">
        <v>45839</v>
      </c>
      <c r="E3710">
        <v>19730</v>
      </c>
      <c r="F3710" t="s">
        <v>4961</v>
      </c>
      <c r="G3710">
        <v>2523</v>
      </c>
      <c r="H3710">
        <v>1</v>
      </c>
      <c r="I3710" t="s">
        <v>4744</v>
      </c>
      <c r="J3710" t="s">
        <v>5191</v>
      </c>
      <c r="K3710" t="s">
        <v>3935</v>
      </c>
      <c r="L3710">
        <v>37</v>
      </c>
      <c r="M3710" s="452">
        <v>45817</v>
      </c>
      <c r="N3710">
        <v>39</v>
      </c>
      <c r="O3710">
        <v>30</v>
      </c>
      <c r="P3710">
        <v>37</v>
      </c>
    </row>
    <row r="3711" spans="1:16" x14ac:dyDescent="0.3">
      <c r="A3711">
        <v>41113</v>
      </c>
      <c r="B3711">
        <v>105</v>
      </c>
      <c r="C3711" t="s">
        <v>557</v>
      </c>
      <c r="D3711" s="452">
        <v>45839</v>
      </c>
      <c r="E3711">
        <v>19787</v>
      </c>
      <c r="F3711" t="s">
        <v>4793</v>
      </c>
      <c r="G3711">
        <v>2471</v>
      </c>
      <c r="H3711">
        <v>8</v>
      </c>
      <c r="I3711" t="s">
        <v>4744</v>
      </c>
      <c r="J3711" t="s">
        <v>5191</v>
      </c>
      <c r="K3711" t="s">
        <v>3935</v>
      </c>
      <c r="L3711">
        <v>4.62</v>
      </c>
      <c r="M3711" s="452">
        <v>45838</v>
      </c>
      <c r="N3711">
        <v>4.3</v>
      </c>
      <c r="O3711">
        <v>4.21</v>
      </c>
      <c r="P3711">
        <v>36.96</v>
      </c>
    </row>
    <row r="3712" spans="1:16" x14ac:dyDescent="0.3">
      <c r="A3712">
        <v>41249</v>
      </c>
      <c r="B3712">
        <v>105</v>
      </c>
      <c r="C3712" t="s">
        <v>557</v>
      </c>
      <c r="D3712" s="452">
        <v>45839</v>
      </c>
      <c r="E3712">
        <v>18317</v>
      </c>
      <c r="F3712" t="s">
        <v>5056</v>
      </c>
      <c r="G3712">
        <v>3316</v>
      </c>
      <c r="H3712">
        <v>1</v>
      </c>
      <c r="I3712" t="s">
        <v>4805</v>
      </c>
      <c r="J3712" t="s">
        <v>5222</v>
      </c>
      <c r="K3712" t="s">
        <v>3935</v>
      </c>
      <c r="L3712">
        <v>0</v>
      </c>
      <c r="M3712" s="452">
        <v>-693593</v>
      </c>
      <c r="N3712">
        <v>0</v>
      </c>
      <c r="O3712">
        <v>35.11</v>
      </c>
      <c r="P3712">
        <v>36.89</v>
      </c>
    </row>
    <row r="3713" spans="1:16" x14ac:dyDescent="0.3">
      <c r="A3713">
        <v>41128</v>
      </c>
      <c r="B3713">
        <v>105</v>
      </c>
      <c r="C3713" t="s">
        <v>557</v>
      </c>
      <c r="D3713" s="452">
        <v>45839</v>
      </c>
      <c r="E3713">
        <v>19642</v>
      </c>
      <c r="F3713" t="s">
        <v>4996</v>
      </c>
      <c r="G3713">
        <v>2596</v>
      </c>
      <c r="H3713">
        <v>8.6999999999999993</v>
      </c>
      <c r="I3713" t="s">
        <v>4744</v>
      </c>
      <c r="J3713" t="s">
        <v>5191</v>
      </c>
      <c r="K3713" t="s">
        <v>3935</v>
      </c>
      <c r="L3713">
        <v>4.2300000000000004</v>
      </c>
      <c r="M3713" s="452">
        <v>45833</v>
      </c>
      <c r="N3713">
        <v>3.6</v>
      </c>
      <c r="O3713">
        <v>3.3</v>
      </c>
      <c r="P3713">
        <v>36.799999999999997</v>
      </c>
    </row>
    <row r="3714" spans="1:16" x14ac:dyDescent="0.3">
      <c r="A3714">
        <v>41130</v>
      </c>
      <c r="B3714">
        <v>105</v>
      </c>
      <c r="C3714" t="s">
        <v>557</v>
      </c>
      <c r="D3714" s="452">
        <v>45839</v>
      </c>
      <c r="E3714">
        <v>19634</v>
      </c>
      <c r="F3714" t="s">
        <v>4792</v>
      </c>
      <c r="G3714">
        <v>2602</v>
      </c>
      <c r="H3714">
        <v>7.89</v>
      </c>
      <c r="I3714" t="s">
        <v>4744</v>
      </c>
      <c r="J3714" t="s">
        <v>5191</v>
      </c>
      <c r="K3714" t="s">
        <v>3935</v>
      </c>
      <c r="L3714">
        <v>4.6399999999999997</v>
      </c>
      <c r="M3714" s="452">
        <v>45834</v>
      </c>
      <c r="N3714">
        <v>5.12</v>
      </c>
      <c r="O3714">
        <v>5.69</v>
      </c>
      <c r="P3714">
        <v>36.61</v>
      </c>
    </row>
    <row r="3715" spans="1:16" x14ac:dyDescent="0.3">
      <c r="A3715">
        <v>41258</v>
      </c>
      <c r="B3715">
        <v>105</v>
      </c>
      <c r="C3715" t="s">
        <v>557</v>
      </c>
      <c r="D3715" s="452">
        <v>45839</v>
      </c>
      <c r="E3715">
        <v>18218</v>
      </c>
      <c r="F3715" t="s">
        <v>5038</v>
      </c>
      <c r="G3715">
        <v>3410</v>
      </c>
      <c r="H3715">
        <v>1</v>
      </c>
      <c r="I3715" t="s">
        <v>4805</v>
      </c>
      <c r="J3715" t="s">
        <v>5222</v>
      </c>
      <c r="K3715" t="s">
        <v>3935</v>
      </c>
      <c r="L3715">
        <v>0</v>
      </c>
      <c r="M3715" s="452">
        <v>45581</v>
      </c>
      <c r="N3715">
        <v>36.5</v>
      </c>
      <c r="O3715">
        <v>28.52</v>
      </c>
      <c r="P3715">
        <v>36.5</v>
      </c>
    </row>
    <row r="3716" spans="1:16" x14ac:dyDescent="0.3">
      <c r="A3716">
        <v>41028</v>
      </c>
      <c r="B3716">
        <v>105</v>
      </c>
      <c r="C3716" t="s">
        <v>557</v>
      </c>
      <c r="D3716" s="452">
        <v>45839</v>
      </c>
      <c r="E3716">
        <v>20760</v>
      </c>
      <c r="F3716" t="s">
        <v>5505</v>
      </c>
      <c r="G3716">
        <v>2083</v>
      </c>
      <c r="H3716">
        <v>4</v>
      </c>
      <c r="I3716" t="s">
        <v>4738</v>
      </c>
      <c r="J3716" t="s">
        <v>5191</v>
      </c>
      <c r="K3716" t="s">
        <v>3935</v>
      </c>
      <c r="L3716">
        <v>9.1</v>
      </c>
      <c r="M3716" s="452">
        <v>45831</v>
      </c>
      <c r="N3716">
        <v>9.1</v>
      </c>
      <c r="O3716">
        <v>9.1</v>
      </c>
      <c r="P3716">
        <v>36.4</v>
      </c>
    </row>
    <row r="3717" spans="1:16" x14ac:dyDescent="0.3">
      <c r="A3717">
        <v>41059</v>
      </c>
      <c r="B3717">
        <v>105</v>
      </c>
      <c r="C3717" t="s">
        <v>557</v>
      </c>
      <c r="D3717" s="452">
        <v>45839</v>
      </c>
      <c r="E3717">
        <v>19895</v>
      </c>
      <c r="F3717" t="s">
        <v>5080</v>
      </c>
      <c r="G3717">
        <v>2385</v>
      </c>
      <c r="H3717">
        <v>2</v>
      </c>
      <c r="I3717" t="s">
        <v>4888</v>
      </c>
      <c r="J3717" t="s">
        <v>5191</v>
      </c>
      <c r="K3717" t="s">
        <v>3935</v>
      </c>
      <c r="L3717">
        <v>0</v>
      </c>
      <c r="M3717" s="452">
        <v>-693593</v>
      </c>
      <c r="N3717">
        <v>0</v>
      </c>
      <c r="O3717">
        <v>31.99</v>
      </c>
      <c r="P3717">
        <v>36</v>
      </c>
    </row>
    <row r="3718" spans="1:16" x14ac:dyDescent="0.3">
      <c r="A3718">
        <v>41349</v>
      </c>
      <c r="B3718">
        <v>105</v>
      </c>
      <c r="C3718" t="s">
        <v>557</v>
      </c>
      <c r="D3718" s="452">
        <v>45839</v>
      </c>
      <c r="E3718">
        <v>20133</v>
      </c>
      <c r="F3718" t="s">
        <v>5519</v>
      </c>
      <c r="G3718">
        <v>2286</v>
      </c>
      <c r="H3718">
        <v>4</v>
      </c>
      <c r="I3718" t="s">
        <v>4738</v>
      </c>
      <c r="J3718" t="s">
        <v>5191</v>
      </c>
      <c r="K3718" t="s">
        <v>3935</v>
      </c>
      <c r="L3718">
        <v>0</v>
      </c>
      <c r="M3718" s="452">
        <v>-693593</v>
      </c>
      <c r="N3718">
        <v>0</v>
      </c>
      <c r="O3718">
        <v>8.8000000000000007</v>
      </c>
      <c r="P3718">
        <v>35.200000000000003</v>
      </c>
    </row>
    <row r="3719" spans="1:16" x14ac:dyDescent="0.3">
      <c r="A3719">
        <v>41152</v>
      </c>
      <c r="B3719">
        <v>105</v>
      </c>
      <c r="C3719" t="s">
        <v>557</v>
      </c>
      <c r="D3719" s="452">
        <v>45839</v>
      </c>
      <c r="E3719">
        <v>19479</v>
      </c>
      <c r="F3719" t="s">
        <v>5063</v>
      </c>
      <c r="G3719">
        <v>2727</v>
      </c>
      <c r="H3719">
        <v>0.44</v>
      </c>
      <c r="I3719" t="s">
        <v>4744</v>
      </c>
      <c r="J3719" t="s">
        <v>5191</v>
      </c>
      <c r="K3719" t="s">
        <v>3935</v>
      </c>
      <c r="L3719">
        <v>0</v>
      </c>
      <c r="M3719" s="452">
        <v>45770</v>
      </c>
      <c r="N3719">
        <v>75</v>
      </c>
      <c r="O3719">
        <v>64</v>
      </c>
      <c r="P3719">
        <v>33</v>
      </c>
    </row>
    <row r="3720" spans="1:16" x14ac:dyDescent="0.3">
      <c r="A3720">
        <v>41091</v>
      </c>
      <c r="B3720">
        <v>105</v>
      </c>
      <c r="C3720" t="s">
        <v>557</v>
      </c>
      <c r="D3720" s="452">
        <v>45839</v>
      </c>
      <c r="E3720">
        <v>21005</v>
      </c>
      <c r="F3720" t="s">
        <v>5161</v>
      </c>
      <c r="G3720">
        <v>2007</v>
      </c>
      <c r="H3720">
        <v>1</v>
      </c>
      <c r="I3720" t="s">
        <v>4888</v>
      </c>
      <c r="J3720" t="s">
        <v>5191</v>
      </c>
      <c r="K3720" t="s">
        <v>3935</v>
      </c>
      <c r="L3720">
        <v>32.9</v>
      </c>
      <c r="M3720" s="452">
        <v>45831</v>
      </c>
      <c r="N3720">
        <v>32.9</v>
      </c>
      <c r="O3720">
        <v>32.9</v>
      </c>
      <c r="P3720">
        <v>32.9</v>
      </c>
    </row>
    <row r="3721" spans="1:16" x14ac:dyDescent="0.3">
      <c r="A3721">
        <v>41191</v>
      </c>
      <c r="B3721">
        <v>105</v>
      </c>
      <c r="C3721" t="s">
        <v>557</v>
      </c>
      <c r="D3721" s="452">
        <v>45839</v>
      </c>
      <c r="E3721">
        <v>24444</v>
      </c>
      <c r="F3721" t="s">
        <v>4992</v>
      </c>
      <c r="G3721">
        <v>2784</v>
      </c>
      <c r="H3721">
        <v>1.72</v>
      </c>
      <c r="I3721" t="s">
        <v>4744</v>
      </c>
      <c r="J3721" t="s">
        <v>5191</v>
      </c>
      <c r="K3721" t="s">
        <v>3935</v>
      </c>
      <c r="L3721">
        <v>0</v>
      </c>
      <c r="M3721" s="452">
        <v>45392</v>
      </c>
      <c r="N3721">
        <v>18.95</v>
      </c>
      <c r="O3721">
        <v>22</v>
      </c>
      <c r="P3721">
        <v>32.590000000000003</v>
      </c>
    </row>
    <row r="3722" spans="1:16" x14ac:dyDescent="0.3">
      <c r="A3722">
        <v>41083</v>
      </c>
      <c r="B3722">
        <v>105</v>
      </c>
      <c r="C3722" t="s">
        <v>557</v>
      </c>
      <c r="D3722" s="452">
        <v>45839</v>
      </c>
      <c r="E3722">
        <v>19978</v>
      </c>
      <c r="F3722" t="s">
        <v>4887</v>
      </c>
      <c r="G3722">
        <v>2353</v>
      </c>
      <c r="H3722">
        <v>2</v>
      </c>
      <c r="I3722" t="s">
        <v>4888</v>
      </c>
      <c r="J3722" t="s">
        <v>5191</v>
      </c>
      <c r="K3722" t="s">
        <v>3935</v>
      </c>
      <c r="L3722">
        <v>16.2</v>
      </c>
      <c r="M3722" s="452">
        <v>45824</v>
      </c>
      <c r="N3722">
        <v>16.2</v>
      </c>
      <c r="O3722">
        <v>16.5</v>
      </c>
      <c r="P3722">
        <v>32.4</v>
      </c>
    </row>
    <row r="3723" spans="1:16" x14ac:dyDescent="0.3">
      <c r="A3723">
        <v>41150</v>
      </c>
      <c r="B3723">
        <v>105</v>
      </c>
      <c r="C3723" t="s">
        <v>557</v>
      </c>
      <c r="D3723" s="452">
        <v>45839</v>
      </c>
      <c r="E3723">
        <v>19751</v>
      </c>
      <c r="F3723" t="s">
        <v>4800</v>
      </c>
      <c r="G3723">
        <v>2502</v>
      </c>
      <c r="H3723">
        <v>5</v>
      </c>
      <c r="I3723" t="s">
        <v>4744</v>
      </c>
      <c r="J3723" t="s">
        <v>5191</v>
      </c>
      <c r="K3723" t="s">
        <v>3935</v>
      </c>
      <c r="L3723">
        <v>6.48</v>
      </c>
      <c r="M3723" s="452">
        <v>45834</v>
      </c>
      <c r="N3723">
        <v>6.3</v>
      </c>
      <c r="O3723">
        <v>6.32</v>
      </c>
      <c r="P3723">
        <v>32.4</v>
      </c>
    </row>
    <row r="3724" spans="1:16" x14ac:dyDescent="0.3">
      <c r="A3724">
        <v>41149</v>
      </c>
      <c r="B3724">
        <v>105</v>
      </c>
      <c r="C3724" t="s">
        <v>557</v>
      </c>
      <c r="D3724" s="452">
        <v>45839</v>
      </c>
      <c r="E3724">
        <v>19752</v>
      </c>
      <c r="F3724" t="s">
        <v>4807</v>
      </c>
      <c r="G3724">
        <v>2501</v>
      </c>
      <c r="H3724">
        <v>6.9</v>
      </c>
      <c r="I3724" t="s">
        <v>4744</v>
      </c>
      <c r="J3724" t="s">
        <v>5191</v>
      </c>
      <c r="K3724" t="s">
        <v>3935</v>
      </c>
      <c r="L3724">
        <v>4.6900000000000004</v>
      </c>
      <c r="M3724" s="452">
        <v>45838</v>
      </c>
      <c r="N3724">
        <v>5</v>
      </c>
      <c r="O3724">
        <v>5</v>
      </c>
      <c r="P3724">
        <v>32.36</v>
      </c>
    </row>
    <row r="3725" spans="1:16" x14ac:dyDescent="0.3">
      <c r="A3725">
        <v>41259</v>
      </c>
      <c r="B3725">
        <v>105</v>
      </c>
      <c r="C3725" t="s">
        <v>557</v>
      </c>
      <c r="D3725" s="452">
        <v>45839</v>
      </c>
      <c r="E3725">
        <v>18214</v>
      </c>
      <c r="F3725" t="s">
        <v>5039</v>
      </c>
      <c r="G3725">
        <v>3413</v>
      </c>
      <c r="H3725">
        <v>1</v>
      </c>
      <c r="I3725" t="s">
        <v>4805</v>
      </c>
      <c r="J3725" t="s">
        <v>5222</v>
      </c>
      <c r="K3725" t="s">
        <v>3935</v>
      </c>
      <c r="L3725">
        <v>0</v>
      </c>
      <c r="M3725" s="452">
        <v>45378</v>
      </c>
      <c r="N3725">
        <v>32.200000000000003</v>
      </c>
      <c r="O3725">
        <v>37.47</v>
      </c>
      <c r="P3725">
        <v>32.200000000000003</v>
      </c>
    </row>
    <row r="3726" spans="1:16" x14ac:dyDescent="0.3">
      <c r="A3726">
        <v>41196</v>
      </c>
      <c r="B3726">
        <v>105</v>
      </c>
      <c r="C3726" t="s">
        <v>557</v>
      </c>
      <c r="D3726" s="452">
        <v>45839</v>
      </c>
      <c r="E3726">
        <v>19130</v>
      </c>
      <c r="F3726" t="s">
        <v>4990</v>
      </c>
      <c r="G3726">
        <v>2839</v>
      </c>
      <c r="H3726">
        <v>2</v>
      </c>
      <c r="I3726" t="s">
        <v>4744</v>
      </c>
      <c r="J3726" t="s">
        <v>5191</v>
      </c>
      <c r="K3726" t="s">
        <v>3935</v>
      </c>
      <c r="L3726">
        <v>0</v>
      </c>
      <c r="M3726" s="452">
        <v>-693593</v>
      </c>
      <c r="N3726">
        <v>0</v>
      </c>
      <c r="O3726">
        <v>39.479999999999997</v>
      </c>
      <c r="P3726">
        <v>31.97</v>
      </c>
    </row>
    <row r="3727" spans="1:16" x14ac:dyDescent="0.3">
      <c r="A3727">
        <v>41182</v>
      </c>
      <c r="B3727">
        <v>105</v>
      </c>
      <c r="C3727" t="s">
        <v>557</v>
      </c>
      <c r="D3727" s="452">
        <v>45839</v>
      </c>
      <c r="E3727">
        <v>19439</v>
      </c>
      <c r="F3727" t="s">
        <v>4917</v>
      </c>
      <c r="G3727">
        <v>2756</v>
      </c>
      <c r="H3727">
        <v>1</v>
      </c>
      <c r="I3727" t="s">
        <v>4744</v>
      </c>
      <c r="J3727" t="s">
        <v>5191</v>
      </c>
      <c r="K3727" t="s">
        <v>3935</v>
      </c>
      <c r="L3727">
        <v>31.65</v>
      </c>
      <c r="M3727" s="452">
        <v>45838</v>
      </c>
      <c r="N3727">
        <v>29.12</v>
      </c>
      <c r="O3727">
        <v>29.12</v>
      </c>
      <c r="P3727">
        <v>31.65</v>
      </c>
    </row>
    <row r="3728" spans="1:16" x14ac:dyDescent="0.3">
      <c r="A3728">
        <v>41280</v>
      </c>
      <c r="B3728">
        <v>105</v>
      </c>
      <c r="C3728" t="s">
        <v>557</v>
      </c>
      <c r="D3728" s="452">
        <v>45839</v>
      </c>
      <c r="E3728">
        <v>17838</v>
      </c>
      <c r="F3728" t="s">
        <v>4925</v>
      </c>
      <c r="G3728">
        <v>3712</v>
      </c>
      <c r="H3728">
        <v>2</v>
      </c>
      <c r="I3728" t="s">
        <v>4749</v>
      </c>
      <c r="J3728" t="s">
        <v>5222</v>
      </c>
      <c r="K3728" t="s">
        <v>3935</v>
      </c>
      <c r="L3728">
        <v>0</v>
      </c>
      <c r="M3728" s="452">
        <v>45771</v>
      </c>
      <c r="N3728">
        <v>15.5</v>
      </c>
      <c r="O3728">
        <v>10.56</v>
      </c>
      <c r="P3728">
        <v>31</v>
      </c>
    </row>
    <row r="3729" spans="1:16" x14ac:dyDescent="0.3">
      <c r="A3729">
        <v>41102</v>
      </c>
      <c r="B3729">
        <v>105</v>
      </c>
      <c r="C3729" t="s">
        <v>557</v>
      </c>
      <c r="D3729" s="452">
        <v>45839</v>
      </c>
      <c r="E3729">
        <v>19907</v>
      </c>
      <c r="F3729" t="s">
        <v>4802</v>
      </c>
      <c r="G3729">
        <v>2381</v>
      </c>
      <c r="H3729">
        <v>10</v>
      </c>
      <c r="I3729" t="s">
        <v>4736</v>
      </c>
      <c r="J3729" t="s">
        <v>5191</v>
      </c>
      <c r="K3729" t="s">
        <v>3935</v>
      </c>
      <c r="L3729">
        <v>0</v>
      </c>
      <c r="M3729" s="452">
        <v>45660</v>
      </c>
      <c r="N3729">
        <v>3.05</v>
      </c>
      <c r="O3729">
        <v>2.8</v>
      </c>
      <c r="P3729">
        <v>30.5</v>
      </c>
    </row>
    <row r="3730" spans="1:16" x14ac:dyDescent="0.3">
      <c r="A3730">
        <v>41121</v>
      </c>
      <c r="B3730">
        <v>105</v>
      </c>
      <c r="C3730" t="s">
        <v>557</v>
      </c>
      <c r="D3730" s="452">
        <v>45839</v>
      </c>
      <c r="E3730">
        <v>19498</v>
      </c>
      <c r="F3730" t="s">
        <v>5487</v>
      </c>
      <c r="G3730">
        <v>2712</v>
      </c>
      <c r="H3730">
        <v>2.9</v>
      </c>
      <c r="I3730" t="s">
        <v>4744</v>
      </c>
      <c r="J3730" t="s">
        <v>5191</v>
      </c>
      <c r="K3730" t="s">
        <v>3935</v>
      </c>
      <c r="L3730">
        <v>10.38</v>
      </c>
      <c r="M3730" s="452">
        <v>45834</v>
      </c>
      <c r="N3730">
        <v>8.5</v>
      </c>
      <c r="O3730">
        <v>8</v>
      </c>
      <c r="P3730">
        <v>30.1</v>
      </c>
    </row>
    <row r="3731" spans="1:16" x14ac:dyDescent="0.3">
      <c r="A3731">
        <v>41022</v>
      </c>
      <c r="B3731">
        <v>105</v>
      </c>
      <c r="C3731" t="s">
        <v>557</v>
      </c>
      <c r="D3731" s="452">
        <v>45839</v>
      </c>
      <c r="E3731">
        <v>20293</v>
      </c>
      <c r="F3731" t="s">
        <v>5520</v>
      </c>
      <c r="G3731">
        <v>2228</v>
      </c>
      <c r="H3731">
        <v>1</v>
      </c>
      <c r="I3731" t="s">
        <v>4749</v>
      </c>
      <c r="J3731" t="s">
        <v>5191</v>
      </c>
      <c r="K3731" t="s">
        <v>3935</v>
      </c>
      <c r="L3731">
        <v>29.98</v>
      </c>
      <c r="M3731" s="452">
        <v>45831</v>
      </c>
      <c r="N3731">
        <v>29.98</v>
      </c>
      <c r="O3731">
        <v>29.98</v>
      </c>
      <c r="P3731">
        <v>29.98</v>
      </c>
    </row>
    <row r="3732" spans="1:16" x14ac:dyDescent="0.3">
      <c r="A3732">
        <v>41015</v>
      </c>
      <c r="B3732">
        <v>105</v>
      </c>
      <c r="C3732" t="s">
        <v>557</v>
      </c>
      <c r="D3732" s="452">
        <v>45839</v>
      </c>
      <c r="E3732">
        <v>21093</v>
      </c>
      <c r="F3732" t="s">
        <v>4855</v>
      </c>
      <c r="G3732">
        <v>1988</v>
      </c>
      <c r="H3732">
        <v>6</v>
      </c>
      <c r="I3732" t="s">
        <v>4744</v>
      </c>
      <c r="J3732" t="s">
        <v>5191</v>
      </c>
      <c r="K3732" t="s">
        <v>3935</v>
      </c>
      <c r="L3732">
        <v>4.97</v>
      </c>
      <c r="M3732" s="452">
        <v>45838</v>
      </c>
      <c r="N3732">
        <v>4.93</v>
      </c>
      <c r="O3732">
        <v>4.93</v>
      </c>
      <c r="P3732">
        <v>29.82</v>
      </c>
    </row>
    <row r="3733" spans="1:16" x14ac:dyDescent="0.3">
      <c r="A3733">
        <v>41049</v>
      </c>
      <c r="B3733">
        <v>105</v>
      </c>
      <c r="C3733" t="s">
        <v>557</v>
      </c>
      <c r="D3733" s="452">
        <v>45839</v>
      </c>
      <c r="E3733">
        <v>20359</v>
      </c>
      <c r="F3733" t="s">
        <v>5446</v>
      </c>
      <c r="G3733">
        <v>2199</v>
      </c>
      <c r="H3733">
        <v>6</v>
      </c>
      <c r="I3733" t="s">
        <v>4736</v>
      </c>
      <c r="J3733" t="s">
        <v>5191</v>
      </c>
      <c r="K3733" t="s">
        <v>3935</v>
      </c>
      <c r="L3733">
        <v>4.91</v>
      </c>
      <c r="M3733" s="452">
        <v>45832</v>
      </c>
      <c r="N3733">
        <v>4.95</v>
      </c>
      <c r="O3733">
        <v>4.76</v>
      </c>
      <c r="P3733">
        <v>29.46</v>
      </c>
    </row>
    <row r="3734" spans="1:16" x14ac:dyDescent="0.3">
      <c r="A3734">
        <v>41158</v>
      </c>
      <c r="B3734">
        <v>105</v>
      </c>
      <c r="C3734" t="s">
        <v>557</v>
      </c>
      <c r="D3734" s="452">
        <v>45839</v>
      </c>
      <c r="E3734">
        <v>19600</v>
      </c>
      <c r="F3734" t="s">
        <v>5499</v>
      </c>
      <c r="G3734">
        <v>2629</v>
      </c>
      <c r="H3734">
        <v>2.1</v>
      </c>
      <c r="I3734" t="s">
        <v>4744</v>
      </c>
      <c r="J3734" t="s">
        <v>5191</v>
      </c>
      <c r="K3734" t="s">
        <v>3935</v>
      </c>
      <c r="L3734">
        <v>14</v>
      </c>
      <c r="M3734" s="452">
        <v>45838</v>
      </c>
      <c r="N3734">
        <v>15</v>
      </c>
      <c r="O3734">
        <v>14</v>
      </c>
      <c r="P3734">
        <v>29.4</v>
      </c>
    </row>
    <row r="3735" spans="1:16" x14ac:dyDescent="0.3">
      <c r="A3735">
        <v>41125</v>
      </c>
      <c r="B3735">
        <v>105</v>
      </c>
      <c r="C3735" t="s">
        <v>557</v>
      </c>
      <c r="D3735" s="452">
        <v>45839</v>
      </c>
      <c r="E3735">
        <v>23390</v>
      </c>
      <c r="F3735" t="s">
        <v>4873</v>
      </c>
      <c r="G3735">
        <v>2474</v>
      </c>
      <c r="H3735">
        <v>4</v>
      </c>
      <c r="I3735" t="s">
        <v>4744</v>
      </c>
      <c r="J3735" t="s">
        <v>5191</v>
      </c>
      <c r="K3735" t="s">
        <v>3935</v>
      </c>
      <c r="L3735">
        <v>7.25</v>
      </c>
      <c r="M3735" s="452">
        <v>45838</v>
      </c>
      <c r="N3735">
        <v>7.5</v>
      </c>
      <c r="O3735">
        <v>7.5</v>
      </c>
      <c r="P3735">
        <v>29</v>
      </c>
    </row>
    <row r="3736" spans="1:16" x14ac:dyDescent="0.3">
      <c r="A3736">
        <v>41168</v>
      </c>
      <c r="B3736">
        <v>105</v>
      </c>
      <c r="C3736" t="s">
        <v>557</v>
      </c>
      <c r="D3736" s="452">
        <v>45839</v>
      </c>
      <c r="E3736">
        <v>19558</v>
      </c>
      <c r="F3736" t="s">
        <v>4994</v>
      </c>
      <c r="G3736">
        <v>2659</v>
      </c>
      <c r="H3736">
        <v>2</v>
      </c>
      <c r="I3736" t="s">
        <v>4744</v>
      </c>
      <c r="J3736" t="s">
        <v>5191</v>
      </c>
      <c r="K3736" t="s">
        <v>3935</v>
      </c>
      <c r="L3736">
        <v>14.5</v>
      </c>
      <c r="M3736" s="452">
        <v>45819</v>
      </c>
      <c r="N3736">
        <v>14</v>
      </c>
      <c r="O3736">
        <v>16.350000000000001</v>
      </c>
      <c r="P3736">
        <v>29</v>
      </c>
    </row>
    <row r="3737" spans="1:16" x14ac:dyDescent="0.3">
      <c r="A3737">
        <v>41045</v>
      </c>
      <c r="B3737">
        <v>105</v>
      </c>
      <c r="C3737" t="s">
        <v>557</v>
      </c>
      <c r="D3737" s="452">
        <v>45839</v>
      </c>
      <c r="E3737">
        <v>23534</v>
      </c>
      <c r="F3737" t="s">
        <v>5447</v>
      </c>
      <c r="G3737">
        <v>2337</v>
      </c>
      <c r="H3737">
        <v>1</v>
      </c>
      <c r="I3737" t="s">
        <v>4955</v>
      </c>
      <c r="J3737" t="s">
        <v>5191</v>
      </c>
      <c r="K3737" t="s">
        <v>3935</v>
      </c>
      <c r="L3737">
        <v>0</v>
      </c>
      <c r="M3737" s="452">
        <v>-693593</v>
      </c>
      <c r="N3737">
        <v>0</v>
      </c>
      <c r="O3737">
        <v>28.92</v>
      </c>
      <c r="P3737">
        <v>28.85</v>
      </c>
    </row>
    <row r="3738" spans="1:16" x14ac:dyDescent="0.3">
      <c r="A3738">
        <v>41034</v>
      </c>
      <c r="B3738">
        <v>105</v>
      </c>
      <c r="C3738" t="s">
        <v>557</v>
      </c>
      <c r="D3738" s="452">
        <v>45839</v>
      </c>
      <c r="E3738">
        <v>20057</v>
      </c>
      <c r="F3738" t="s">
        <v>4949</v>
      </c>
      <c r="G3738">
        <v>2324</v>
      </c>
      <c r="H3738">
        <v>2</v>
      </c>
      <c r="I3738" t="s">
        <v>4736</v>
      </c>
      <c r="J3738" t="s">
        <v>5191</v>
      </c>
      <c r="K3738" t="s">
        <v>3935</v>
      </c>
      <c r="L3738">
        <v>14.26</v>
      </c>
      <c r="M3738" s="452">
        <v>45817</v>
      </c>
      <c r="N3738">
        <v>14.26</v>
      </c>
      <c r="O3738">
        <v>40.200000000000003</v>
      </c>
      <c r="P3738">
        <v>28.52</v>
      </c>
    </row>
    <row r="3739" spans="1:16" x14ac:dyDescent="0.3">
      <c r="A3739">
        <v>41352</v>
      </c>
      <c r="B3739">
        <v>105</v>
      </c>
      <c r="C3739" t="s">
        <v>557</v>
      </c>
      <c r="D3739" s="452">
        <v>45839</v>
      </c>
      <c r="E3739">
        <v>23548</v>
      </c>
      <c r="F3739" t="s">
        <v>5449</v>
      </c>
      <c r="G3739">
        <v>2321</v>
      </c>
      <c r="H3739">
        <v>0.5</v>
      </c>
      <c r="I3739" t="s">
        <v>4744</v>
      </c>
      <c r="J3739" t="s">
        <v>5191</v>
      </c>
      <c r="K3739" t="s">
        <v>3935</v>
      </c>
      <c r="L3739">
        <v>0</v>
      </c>
      <c r="M3739" s="452">
        <v>45519</v>
      </c>
      <c r="N3739">
        <v>56.9</v>
      </c>
      <c r="O3739">
        <v>65.900000000000006</v>
      </c>
      <c r="P3739">
        <v>28.45</v>
      </c>
    </row>
    <row r="3740" spans="1:16" x14ac:dyDescent="0.3">
      <c r="A3740">
        <v>41151</v>
      </c>
      <c r="B3740">
        <v>105</v>
      </c>
      <c r="C3740" t="s">
        <v>557</v>
      </c>
      <c r="D3740" s="452">
        <v>45839</v>
      </c>
      <c r="E3740">
        <v>23359</v>
      </c>
      <c r="F3740" t="s">
        <v>4767</v>
      </c>
      <c r="G3740">
        <v>2499</v>
      </c>
      <c r="H3740">
        <v>12.9</v>
      </c>
      <c r="I3740" t="s">
        <v>4744</v>
      </c>
      <c r="J3740" t="s">
        <v>5191</v>
      </c>
      <c r="K3740" t="s">
        <v>3935</v>
      </c>
      <c r="L3740">
        <v>2.19</v>
      </c>
      <c r="M3740" s="452">
        <v>45838</v>
      </c>
      <c r="N3740">
        <v>2.6</v>
      </c>
      <c r="O3740">
        <v>2.15</v>
      </c>
      <c r="P3740">
        <v>28.25</v>
      </c>
    </row>
    <row r="3741" spans="1:16" x14ac:dyDescent="0.3">
      <c r="A3741">
        <v>41312</v>
      </c>
      <c r="B3741">
        <v>105</v>
      </c>
      <c r="C3741" t="s">
        <v>557</v>
      </c>
      <c r="D3741" s="452">
        <v>45839</v>
      </c>
      <c r="E3741">
        <v>18085</v>
      </c>
      <c r="F3741" t="s">
        <v>4973</v>
      </c>
      <c r="G3741">
        <v>3524</v>
      </c>
      <c r="H3741">
        <v>0.6</v>
      </c>
      <c r="I3741" t="s">
        <v>4805</v>
      </c>
      <c r="J3741" t="s">
        <v>5222</v>
      </c>
      <c r="K3741" t="s">
        <v>3935</v>
      </c>
      <c r="L3741">
        <v>0</v>
      </c>
      <c r="M3741" s="452">
        <v>45737</v>
      </c>
      <c r="N3741">
        <v>47</v>
      </c>
      <c r="O3741">
        <v>47</v>
      </c>
      <c r="P3741">
        <v>28.2</v>
      </c>
    </row>
    <row r="3742" spans="1:16" x14ac:dyDescent="0.3">
      <c r="A3742">
        <v>41000</v>
      </c>
      <c r="B3742">
        <v>105</v>
      </c>
      <c r="C3742" t="s">
        <v>557</v>
      </c>
      <c r="D3742" s="452">
        <v>45839</v>
      </c>
      <c r="E3742">
        <v>25763</v>
      </c>
      <c r="F3742" t="s">
        <v>4943</v>
      </c>
      <c r="G3742">
        <v>6314</v>
      </c>
      <c r="H3742">
        <v>4</v>
      </c>
      <c r="I3742" t="s">
        <v>4736</v>
      </c>
      <c r="J3742" t="s">
        <v>5191</v>
      </c>
      <c r="K3742" t="s">
        <v>3935</v>
      </c>
      <c r="L3742">
        <v>0</v>
      </c>
      <c r="M3742" s="452">
        <v>-693593</v>
      </c>
      <c r="N3742">
        <v>0</v>
      </c>
      <c r="O3742">
        <v>0</v>
      </c>
      <c r="P3742">
        <v>27.96</v>
      </c>
    </row>
    <row r="3743" spans="1:16" x14ac:dyDescent="0.3">
      <c r="A3743">
        <v>41329</v>
      </c>
      <c r="B3743">
        <v>105</v>
      </c>
      <c r="C3743" t="s">
        <v>557</v>
      </c>
      <c r="D3743" s="452">
        <v>45839</v>
      </c>
      <c r="E3743">
        <v>18281</v>
      </c>
      <c r="F3743" t="s">
        <v>5470</v>
      </c>
      <c r="G3743">
        <v>3346</v>
      </c>
      <c r="H3743">
        <v>0.81</v>
      </c>
      <c r="I3743" t="s">
        <v>4805</v>
      </c>
      <c r="J3743" t="s">
        <v>5222</v>
      </c>
      <c r="K3743" t="s">
        <v>3935</v>
      </c>
      <c r="L3743">
        <v>0</v>
      </c>
      <c r="M3743" s="452">
        <v>45547</v>
      </c>
      <c r="N3743">
        <v>34.299999999999997</v>
      </c>
      <c r="O3743">
        <v>37.5</v>
      </c>
      <c r="P3743">
        <v>27.78</v>
      </c>
    </row>
    <row r="3744" spans="1:16" x14ac:dyDescent="0.3">
      <c r="A3744">
        <v>41313</v>
      </c>
      <c r="B3744">
        <v>105</v>
      </c>
      <c r="C3744" t="s">
        <v>557</v>
      </c>
      <c r="D3744" s="452">
        <v>45839</v>
      </c>
      <c r="E3744">
        <v>18073</v>
      </c>
      <c r="F3744" t="s">
        <v>4974</v>
      </c>
      <c r="G3744">
        <v>3536</v>
      </c>
      <c r="H3744">
        <v>0.57999999999999996</v>
      </c>
      <c r="I3744" t="s">
        <v>4805</v>
      </c>
      <c r="J3744" t="s">
        <v>5222</v>
      </c>
      <c r="K3744" t="s">
        <v>3935</v>
      </c>
      <c r="L3744">
        <v>0</v>
      </c>
      <c r="M3744" s="452">
        <v>45793</v>
      </c>
      <c r="N3744">
        <v>47</v>
      </c>
      <c r="O3744">
        <v>47</v>
      </c>
      <c r="P3744">
        <v>27.26</v>
      </c>
    </row>
    <row r="3745" spans="1:16" x14ac:dyDescent="0.3">
      <c r="A3745">
        <v>41123</v>
      </c>
      <c r="B3745">
        <v>105</v>
      </c>
      <c r="C3745" t="s">
        <v>557</v>
      </c>
      <c r="D3745" s="452">
        <v>45839</v>
      </c>
      <c r="E3745">
        <v>19649</v>
      </c>
      <c r="F3745" t="s">
        <v>4859</v>
      </c>
      <c r="G3745">
        <v>2589</v>
      </c>
      <c r="H3745">
        <v>1</v>
      </c>
      <c r="I3745" t="s">
        <v>4744</v>
      </c>
      <c r="J3745" t="s">
        <v>5191</v>
      </c>
      <c r="K3745" t="s">
        <v>3935</v>
      </c>
      <c r="L3745">
        <v>26.97</v>
      </c>
      <c r="M3745" s="452">
        <v>45820</v>
      </c>
      <c r="N3745">
        <v>27.9</v>
      </c>
      <c r="O3745">
        <v>26.8</v>
      </c>
      <c r="P3745">
        <v>26.97</v>
      </c>
    </row>
    <row r="3746" spans="1:16" x14ac:dyDescent="0.3">
      <c r="A3746">
        <v>41050</v>
      </c>
      <c r="B3746">
        <v>105</v>
      </c>
      <c r="C3746" t="s">
        <v>557</v>
      </c>
      <c r="D3746" s="452">
        <v>45839</v>
      </c>
      <c r="E3746">
        <v>20322</v>
      </c>
      <c r="F3746" t="s">
        <v>4882</v>
      </c>
      <c r="G3746">
        <v>2212</v>
      </c>
      <c r="H3746">
        <v>2.75</v>
      </c>
      <c r="I3746" t="s">
        <v>4738</v>
      </c>
      <c r="J3746" t="s">
        <v>5191</v>
      </c>
      <c r="K3746" t="s">
        <v>3935</v>
      </c>
      <c r="L3746">
        <v>9.64</v>
      </c>
      <c r="M3746" s="452">
        <v>45824</v>
      </c>
      <c r="N3746">
        <v>9.64</v>
      </c>
      <c r="O3746">
        <v>9.64</v>
      </c>
      <c r="P3746">
        <v>26.51</v>
      </c>
    </row>
    <row r="3747" spans="1:16" x14ac:dyDescent="0.3">
      <c r="A3747">
        <v>41290</v>
      </c>
      <c r="B3747">
        <v>105</v>
      </c>
      <c r="C3747" t="s">
        <v>557</v>
      </c>
      <c r="D3747" s="452">
        <v>45839</v>
      </c>
      <c r="E3747">
        <v>17881</v>
      </c>
      <c r="F3747" t="s">
        <v>5103</v>
      </c>
      <c r="G3747">
        <v>3675</v>
      </c>
      <c r="H3747">
        <v>1</v>
      </c>
      <c r="I3747" t="s">
        <v>4738</v>
      </c>
      <c r="J3747" t="s">
        <v>5222</v>
      </c>
      <c r="K3747" t="s">
        <v>3935</v>
      </c>
      <c r="L3747">
        <v>26.28</v>
      </c>
      <c r="M3747" s="452">
        <v>45832</v>
      </c>
      <c r="N3747">
        <v>26.28</v>
      </c>
      <c r="O3747">
        <v>26.28</v>
      </c>
      <c r="P3747">
        <v>26.28</v>
      </c>
    </row>
    <row r="3748" spans="1:16" x14ac:dyDescent="0.3">
      <c r="A3748">
        <v>41039</v>
      </c>
      <c r="B3748">
        <v>105</v>
      </c>
      <c r="C3748" t="s">
        <v>557</v>
      </c>
      <c r="D3748" s="452">
        <v>45839</v>
      </c>
      <c r="E3748">
        <v>24186</v>
      </c>
      <c r="F3748" t="s">
        <v>4995</v>
      </c>
      <c r="G3748">
        <v>2332</v>
      </c>
      <c r="H3748">
        <v>2</v>
      </c>
      <c r="I3748" t="s">
        <v>4744</v>
      </c>
      <c r="J3748" t="s">
        <v>5191</v>
      </c>
      <c r="K3748" t="s">
        <v>3935</v>
      </c>
      <c r="L3748">
        <v>0</v>
      </c>
      <c r="M3748" s="452">
        <v>45706</v>
      </c>
      <c r="N3748">
        <v>13</v>
      </c>
      <c r="O3748">
        <v>13.5</v>
      </c>
      <c r="P3748">
        <v>26</v>
      </c>
    </row>
    <row r="3749" spans="1:16" x14ac:dyDescent="0.3">
      <c r="A3749">
        <v>41154</v>
      </c>
      <c r="B3749">
        <v>105</v>
      </c>
      <c r="C3749" t="s">
        <v>557</v>
      </c>
      <c r="D3749" s="452">
        <v>45839</v>
      </c>
      <c r="E3749">
        <v>23228</v>
      </c>
      <c r="F3749" t="s">
        <v>4782</v>
      </c>
      <c r="G3749">
        <v>2627</v>
      </c>
      <c r="H3749">
        <v>3.6</v>
      </c>
      <c r="I3749" t="s">
        <v>4744</v>
      </c>
      <c r="J3749" t="s">
        <v>5191</v>
      </c>
      <c r="K3749" t="s">
        <v>3935</v>
      </c>
      <c r="L3749">
        <v>6.8</v>
      </c>
      <c r="M3749" s="452">
        <v>45833</v>
      </c>
      <c r="N3749">
        <v>6.8</v>
      </c>
      <c r="O3749">
        <v>6.38</v>
      </c>
      <c r="P3749">
        <v>24.48</v>
      </c>
    </row>
    <row r="3750" spans="1:16" x14ac:dyDescent="0.3">
      <c r="A3750">
        <v>41161</v>
      </c>
      <c r="B3750">
        <v>105</v>
      </c>
      <c r="C3750" t="s">
        <v>557</v>
      </c>
      <c r="D3750" s="452">
        <v>45839</v>
      </c>
      <c r="E3750">
        <v>24394</v>
      </c>
      <c r="F3750" t="s">
        <v>5164</v>
      </c>
      <c r="G3750">
        <v>2753</v>
      </c>
      <c r="H3750">
        <v>32</v>
      </c>
      <c r="I3750" t="s">
        <v>4736</v>
      </c>
      <c r="J3750" t="s">
        <v>5191</v>
      </c>
      <c r="K3750" t="s">
        <v>3935</v>
      </c>
      <c r="L3750">
        <v>0.76</v>
      </c>
      <c r="M3750" s="452">
        <v>45824</v>
      </c>
      <c r="N3750">
        <v>0.77</v>
      </c>
      <c r="O3750">
        <v>0.68</v>
      </c>
      <c r="P3750">
        <v>24.32</v>
      </c>
    </row>
    <row r="3751" spans="1:16" x14ac:dyDescent="0.3">
      <c r="A3751">
        <v>41120</v>
      </c>
      <c r="B3751">
        <v>105</v>
      </c>
      <c r="C3751" t="s">
        <v>557</v>
      </c>
      <c r="D3751" s="452">
        <v>45839</v>
      </c>
      <c r="E3751">
        <v>19502</v>
      </c>
      <c r="F3751" t="s">
        <v>4871</v>
      </c>
      <c r="G3751">
        <v>2708</v>
      </c>
      <c r="H3751">
        <v>2.1</v>
      </c>
      <c r="I3751" t="s">
        <v>4744</v>
      </c>
      <c r="J3751" t="s">
        <v>5191</v>
      </c>
      <c r="K3751" t="s">
        <v>3935</v>
      </c>
      <c r="L3751">
        <v>11.45</v>
      </c>
      <c r="M3751" s="452">
        <v>45838</v>
      </c>
      <c r="N3751">
        <v>11</v>
      </c>
      <c r="O3751">
        <v>10.6</v>
      </c>
      <c r="P3751">
        <v>24.04</v>
      </c>
    </row>
    <row r="3752" spans="1:16" x14ac:dyDescent="0.3">
      <c r="A3752">
        <v>41084</v>
      </c>
      <c r="B3752">
        <v>105</v>
      </c>
      <c r="C3752" t="s">
        <v>557</v>
      </c>
      <c r="D3752" s="452">
        <v>45839</v>
      </c>
      <c r="E3752">
        <v>19993</v>
      </c>
      <c r="F3752" t="s">
        <v>4954</v>
      </c>
      <c r="G3752">
        <v>2349</v>
      </c>
      <c r="H3752">
        <v>2</v>
      </c>
      <c r="I3752" t="s">
        <v>4955</v>
      </c>
      <c r="J3752" t="s">
        <v>5191</v>
      </c>
      <c r="K3752" t="s">
        <v>3935</v>
      </c>
      <c r="L3752">
        <v>0</v>
      </c>
      <c r="M3752" s="452">
        <v>-693593</v>
      </c>
      <c r="N3752">
        <v>0</v>
      </c>
      <c r="O3752">
        <v>0</v>
      </c>
      <c r="P3752">
        <v>23.98</v>
      </c>
    </row>
    <row r="3753" spans="1:16" x14ac:dyDescent="0.3">
      <c r="A3753">
        <v>41096</v>
      </c>
      <c r="B3753">
        <v>105</v>
      </c>
      <c r="C3753" t="s">
        <v>557</v>
      </c>
      <c r="D3753" s="452">
        <v>45839</v>
      </c>
      <c r="E3753">
        <v>19936</v>
      </c>
      <c r="F3753" t="s">
        <v>5508</v>
      </c>
      <c r="G3753">
        <v>2367</v>
      </c>
      <c r="H3753">
        <v>1.8</v>
      </c>
      <c r="I3753" t="s">
        <v>4744</v>
      </c>
      <c r="J3753" t="s">
        <v>5191</v>
      </c>
      <c r="K3753" t="s">
        <v>3935</v>
      </c>
      <c r="L3753">
        <v>12.92</v>
      </c>
      <c r="M3753" s="452">
        <v>45817</v>
      </c>
      <c r="N3753">
        <v>12.92</v>
      </c>
      <c r="O3753">
        <v>13.5</v>
      </c>
      <c r="P3753">
        <v>23.26</v>
      </c>
    </row>
    <row r="3754" spans="1:16" x14ac:dyDescent="0.3">
      <c r="A3754">
        <v>41119</v>
      </c>
      <c r="B3754">
        <v>105</v>
      </c>
      <c r="C3754" t="s">
        <v>557</v>
      </c>
      <c r="D3754" s="452">
        <v>45839</v>
      </c>
      <c r="E3754">
        <v>19505</v>
      </c>
      <c r="F3754" t="s">
        <v>4872</v>
      </c>
      <c r="G3754">
        <v>2706</v>
      </c>
      <c r="H3754">
        <v>3</v>
      </c>
      <c r="I3754" t="s">
        <v>4744</v>
      </c>
      <c r="J3754" t="s">
        <v>5191</v>
      </c>
      <c r="K3754" t="s">
        <v>3935</v>
      </c>
      <c r="L3754">
        <v>7.59</v>
      </c>
      <c r="M3754" s="452">
        <v>45838</v>
      </c>
      <c r="N3754">
        <v>8</v>
      </c>
      <c r="O3754">
        <v>7.56</v>
      </c>
      <c r="P3754">
        <v>22.77</v>
      </c>
    </row>
    <row r="3755" spans="1:16" x14ac:dyDescent="0.3">
      <c r="A3755">
        <v>41018</v>
      </c>
      <c r="B3755">
        <v>105</v>
      </c>
      <c r="C3755" t="s">
        <v>557</v>
      </c>
      <c r="D3755" s="452">
        <v>45839</v>
      </c>
      <c r="E3755">
        <v>24046</v>
      </c>
      <c r="F3755" t="s">
        <v>5454</v>
      </c>
      <c r="G3755">
        <v>2315</v>
      </c>
      <c r="H3755">
        <v>0.3</v>
      </c>
      <c r="I3755" t="s">
        <v>4744</v>
      </c>
      <c r="J3755" t="s">
        <v>5191</v>
      </c>
      <c r="K3755" t="s">
        <v>3935</v>
      </c>
      <c r="L3755">
        <v>0</v>
      </c>
      <c r="M3755" s="452">
        <v>-693593</v>
      </c>
      <c r="N3755">
        <v>0</v>
      </c>
      <c r="O3755">
        <v>75</v>
      </c>
      <c r="P3755">
        <v>22.5</v>
      </c>
    </row>
    <row r="3756" spans="1:16" x14ac:dyDescent="0.3">
      <c r="A3756">
        <v>41308</v>
      </c>
      <c r="B3756">
        <v>105</v>
      </c>
      <c r="C3756" t="s">
        <v>557</v>
      </c>
      <c r="D3756" s="452">
        <v>45839</v>
      </c>
      <c r="E3756">
        <v>20955</v>
      </c>
      <c r="F3756" t="s">
        <v>4959</v>
      </c>
      <c r="G3756">
        <v>2019</v>
      </c>
      <c r="H3756">
        <v>2</v>
      </c>
      <c r="I3756" t="s">
        <v>4805</v>
      </c>
      <c r="J3756" t="s">
        <v>5191</v>
      </c>
      <c r="K3756" t="s">
        <v>3935</v>
      </c>
      <c r="L3756">
        <v>0</v>
      </c>
      <c r="M3756" s="452">
        <v>45790</v>
      </c>
      <c r="N3756">
        <v>11.2</v>
      </c>
      <c r="O3756">
        <v>10.46</v>
      </c>
      <c r="P3756">
        <v>22.4</v>
      </c>
    </row>
    <row r="3757" spans="1:16" x14ac:dyDescent="0.3">
      <c r="A3757">
        <v>41155</v>
      </c>
      <c r="B3757">
        <v>105</v>
      </c>
      <c r="C3757" t="s">
        <v>557</v>
      </c>
      <c r="D3757" s="452">
        <v>45839</v>
      </c>
      <c r="E3757">
        <v>19601</v>
      </c>
      <c r="F3757" t="s">
        <v>5267</v>
      </c>
      <c r="G3757">
        <v>2628</v>
      </c>
      <c r="H3757">
        <v>2.1</v>
      </c>
      <c r="I3757" t="s">
        <v>4744</v>
      </c>
      <c r="J3757" t="s">
        <v>5191</v>
      </c>
      <c r="K3757" t="s">
        <v>3935</v>
      </c>
      <c r="L3757">
        <v>9.9499999999999993</v>
      </c>
      <c r="M3757" s="452">
        <v>45824</v>
      </c>
      <c r="N3757">
        <v>12</v>
      </c>
      <c r="O3757">
        <v>8.5</v>
      </c>
      <c r="P3757">
        <v>20.9</v>
      </c>
    </row>
    <row r="3758" spans="1:16" x14ac:dyDescent="0.3">
      <c r="A3758">
        <v>41178</v>
      </c>
      <c r="B3758">
        <v>105</v>
      </c>
      <c r="C3758" t="s">
        <v>557</v>
      </c>
      <c r="D3758" s="452">
        <v>45839</v>
      </c>
      <c r="E3758">
        <v>19463</v>
      </c>
      <c r="F3758" t="s">
        <v>5117</v>
      </c>
      <c r="G3758">
        <v>2739</v>
      </c>
      <c r="H3758">
        <v>0.4</v>
      </c>
      <c r="I3758" t="s">
        <v>4744</v>
      </c>
      <c r="J3758" t="s">
        <v>5191</v>
      </c>
      <c r="K3758" t="s">
        <v>3935</v>
      </c>
      <c r="L3758">
        <v>51.67</v>
      </c>
      <c r="M3758" s="452">
        <v>45819</v>
      </c>
      <c r="N3758">
        <v>50</v>
      </c>
      <c r="O3758">
        <v>50</v>
      </c>
      <c r="P3758">
        <v>20.67</v>
      </c>
    </row>
    <row r="3759" spans="1:16" x14ac:dyDescent="0.3">
      <c r="A3759">
        <v>41073</v>
      </c>
      <c r="B3759">
        <v>105</v>
      </c>
      <c r="C3759" t="s">
        <v>557</v>
      </c>
      <c r="D3759" s="452">
        <v>45839</v>
      </c>
      <c r="E3759">
        <v>20138</v>
      </c>
      <c r="F3759" t="s">
        <v>4886</v>
      </c>
      <c r="G3759">
        <v>2284</v>
      </c>
      <c r="H3759">
        <v>3</v>
      </c>
      <c r="I3759" t="s">
        <v>4738</v>
      </c>
      <c r="J3759" t="s">
        <v>5191</v>
      </c>
      <c r="K3759" t="s">
        <v>3935</v>
      </c>
      <c r="L3759">
        <v>6.8</v>
      </c>
      <c r="M3759" s="452">
        <v>45831</v>
      </c>
      <c r="N3759">
        <v>6.8</v>
      </c>
      <c r="O3759">
        <v>6.8</v>
      </c>
      <c r="P3759">
        <v>20.399999999999999</v>
      </c>
    </row>
    <row r="3760" spans="1:16" x14ac:dyDescent="0.3">
      <c r="A3760">
        <v>40996</v>
      </c>
      <c r="B3760">
        <v>105</v>
      </c>
      <c r="C3760" t="s">
        <v>557</v>
      </c>
      <c r="D3760" s="452">
        <v>45839</v>
      </c>
      <c r="E3760">
        <v>25748</v>
      </c>
      <c r="F3760" t="s">
        <v>4999</v>
      </c>
      <c r="G3760">
        <v>9068</v>
      </c>
      <c r="H3760">
        <v>4</v>
      </c>
      <c r="I3760" t="s">
        <v>4749</v>
      </c>
      <c r="J3760" t="s">
        <v>5191</v>
      </c>
      <c r="K3760" t="s">
        <v>3935</v>
      </c>
      <c r="L3760">
        <v>0</v>
      </c>
      <c r="M3760" s="452">
        <v>45742</v>
      </c>
      <c r="N3760">
        <v>5.04</v>
      </c>
      <c r="O3760">
        <v>5.04</v>
      </c>
      <c r="P3760">
        <v>20.16</v>
      </c>
    </row>
    <row r="3761" spans="1:16" x14ac:dyDescent="0.3">
      <c r="A3761">
        <v>41118</v>
      </c>
      <c r="B3761">
        <v>105</v>
      </c>
      <c r="C3761" t="s">
        <v>557</v>
      </c>
      <c r="D3761" s="452">
        <v>45839</v>
      </c>
      <c r="E3761">
        <v>19506</v>
      </c>
      <c r="F3761" t="s">
        <v>5122</v>
      </c>
      <c r="G3761">
        <v>2705</v>
      </c>
      <c r="H3761">
        <v>0.5</v>
      </c>
      <c r="I3761" t="s">
        <v>4744</v>
      </c>
      <c r="J3761" t="s">
        <v>5191</v>
      </c>
      <c r="K3761" t="s">
        <v>3935</v>
      </c>
      <c r="L3761">
        <v>40.31</v>
      </c>
      <c r="M3761" s="452">
        <v>45834</v>
      </c>
      <c r="N3761">
        <v>38.4</v>
      </c>
      <c r="O3761">
        <v>38.4</v>
      </c>
      <c r="P3761">
        <v>20.16</v>
      </c>
    </row>
    <row r="3762" spans="1:16" x14ac:dyDescent="0.3">
      <c r="A3762">
        <v>41104</v>
      </c>
      <c r="B3762">
        <v>105</v>
      </c>
      <c r="C3762" t="s">
        <v>557</v>
      </c>
      <c r="D3762" s="452">
        <v>45839</v>
      </c>
      <c r="E3762">
        <v>20787</v>
      </c>
      <c r="F3762" t="s">
        <v>5333</v>
      </c>
      <c r="G3762">
        <v>2076</v>
      </c>
      <c r="H3762">
        <v>2</v>
      </c>
      <c r="I3762" t="s">
        <v>4738</v>
      </c>
      <c r="J3762" t="s">
        <v>5191</v>
      </c>
      <c r="K3762" t="s">
        <v>3935</v>
      </c>
      <c r="L3762">
        <v>10</v>
      </c>
      <c r="M3762" s="452">
        <v>45835</v>
      </c>
      <c r="N3762">
        <v>10.199999999999999</v>
      </c>
      <c r="O3762">
        <v>10.199999999999999</v>
      </c>
      <c r="P3762">
        <v>20</v>
      </c>
    </row>
    <row r="3763" spans="1:16" x14ac:dyDescent="0.3">
      <c r="A3763">
        <v>41346</v>
      </c>
      <c r="B3763">
        <v>105</v>
      </c>
      <c r="C3763" t="s">
        <v>557</v>
      </c>
      <c r="D3763" s="452">
        <v>45839</v>
      </c>
      <c r="E3763">
        <v>20385</v>
      </c>
      <c r="F3763" t="s">
        <v>4910</v>
      </c>
      <c r="G3763">
        <v>2195</v>
      </c>
      <c r="H3763">
        <v>4</v>
      </c>
      <c r="I3763" t="s">
        <v>4736</v>
      </c>
      <c r="J3763" t="s">
        <v>5191</v>
      </c>
      <c r="K3763" t="s">
        <v>3935</v>
      </c>
      <c r="L3763">
        <v>0</v>
      </c>
      <c r="M3763" s="452">
        <v>-693593</v>
      </c>
      <c r="N3763">
        <v>0</v>
      </c>
      <c r="O3763">
        <v>4.95</v>
      </c>
      <c r="P3763">
        <v>19.8</v>
      </c>
    </row>
    <row r="3764" spans="1:16" x14ac:dyDescent="0.3">
      <c r="A3764">
        <v>41156</v>
      </c>
      <c r="B3764">
        <v>105</v>
      </c>
      <c r="C3764" t="s">
        <v>557</v>
      </c>
      <c r="D3764" s="452">
        <v>45839</v>
      </c>
      <c r="E3764">
        <v>19476</v>
      </c>
      <c r="F3764" t="s">
        <v>5115</v>
      </c>
      <c r="G3764">
        <v>2729</v>
      </c>
      <c r="H3764">
        <v>0.4</v>
      </c>
      <c r="I3764" t="s">
        <v>4744</v>
      </c>
      <c r="J3764" t="s">
        <v>5191</v>
      </c>
      <c r="K3764" t="s">
        <v>3935</v>
      </c>
      <c r="L3764">
        <v>48.95</v>
      </c>
      <c r="M3764" s="452">
        <v>45838</v>
      </c>
      <c r="N3764">
        <v>47.35</v>
      </c>
      <c r="O3764">
        <v>49.56</v>
      </c>
      <c r="P3764">
        <v>19.579999999999998</v>
      </c>
    </row>
    <row r="3765" spans="1:16" x14ac:dyDescent="0.3">
      <c r="A3765">
        <v>41171</v>
      </c>
      <c r="B3765">
        <v>105</v>
      </c>
      <c r="C3765" t="s">
        <v>557</v>
      </c>
      <c r="D3765" s="452">
        <v>45839</v>
      </c>
      <c r="E3765">
        <v>19552</v>
      </c>
      <c r="F3765" t="s">
        <v>4860</v>
      </c>
      <c r="G3765">
        <v>2664</v>
      </c>
      <c r="H3765">
        <v>4</v>
      </c>
      <c r="I3765" t="s">
        <v>4744</v>
      </c>
      <c r="J3765" t="s">
        <v>5191</v>
      </c>
      <c r="K3765" t="s">
        <v>3935</v>
      </c>
      <c r="L3765">
        <v>4.6900000000000004</v>
      </c>
      <c r="M3765" s="452">
        <v>45834</v>
      </c>
      <c r="N3765">
        <v>4.93</v>
      </c>
      <c r="O3765">
        <v>4.2</v>
      </c>
      <c r="P3765">
        <v>18.760000000000002</v>
      </c>
    </row>
    <row r="3766" spans="1:16" x14ac:dyDescent="0.3">
      <c r="A3766">
        <v>41135</v>
      </c>
      <c r="B3766">
        <v>105</v>
      </c>
      <c r="C3766" t="s">
        <v>557</v>
      </c>
      <c r="D3766" s="452">
        <v>45839</v>
      </c>
      <c r="E3766">
        <v>19490</v>
      </c>
      <c r="F3766" t="s">
        <v>5116</v>
      </c>
      <c r="G3766">
        <v>2718</v>
      </c>
      <c r="H3766">
        <v>0.5</v>
      </c>
      <c r="I3766" t="s">
        <v>4744</v>
      </c>
      <c r="J3766" t="s">
        <v>5191</v>
      </c>
      <c r="K3766" t="s">
        <v>3935</v>
      </c>
      <c r="L3766">
        <v>37.119999999999997</v>
      </c>
      <c r="M3766" s="452">
        <v>45833</v>
      </c>
      <c r="N3766">
        <v>35.799999999999997</v>
      </c>
      <c r="O3766">
        <v>36.18</v>
      </c>
      <c r="P3766">
        <v>18.559999999999999</v>
      </c>
    </row>
    <row r="3767" spans="1:16" x14ac:dyDescent="0.3">
      <c r="A3767">
        <v>41021</v>
      </c>
      <c r="B3767">
        <v>105</v>
      </c>
      <c r="C3767" t="s">
        <v>557</v>
      </c>
      <c r="D3767" s="452">
        <v>45839</v>
      </c>
      <c r="E3767">
        <v>20295</v>
      </c>
      <c r="F3767" t="s">
        <v>4881</v>
      </c>
      <c r="G3767">
        <v>2226</v>
      </c>
      <c r="H3767">
        <v>2</v>
      </c>
      <c r="I3767" t="s">
        <v>4736</v>
      </c>
      <c r="J3767" t="s">
        <v>5191</v>
      </c>
      <c r="K3767" t="s">
        <v>3935</v>
      </c>
      <c r="L3767">
        <v>9.17</v>
      </c>
      <c r="M3767" s="452">
        <v>45817</v>
      </c>
      <c r="N3767">
        <v>6.68</v>
      </c>
      <c r="O3767">
        <v>6.6</v>
      </c>
      <c r="P3767">
        <v>18.34</v>
      </c>
    </row>
    <row r="3768" spans="1:16" x14ac:dyDescent="0.3">
      <c r="A3768">
        <v>41286</v>
      </c>
      <c r="B3768">
        <v>105</v>
      </c>
      <c r="C3768" t="s">
        <v>557</v>
      </c>
      <c r="D3768" s="452">
        <v>45839</v>
      </c>
      <c r="E3768">
        <v>17886</v>
      </c>
      <c r="F3768" t="s">
        <v>5083</v>
      </c>
      <c r="G3768">
        <v>3670</v>
      </c>
      <c r="H3768">
        <v>1</v>
      </c>
      <c r="I3768" t="s">
        <v>4738</v>
      </c>
      <c r="J3768" t="s">
        <v>5222</v>
      </c>
      <c r="K3768" t="s">
        <v>3935</v>
      </c>
      <c r="L3768">
        <v>18.190000000000001</v>
      </c>
      <c r="M3768" s="452">
        <v>45832</v>
      </c>
      <c r="N3768">
        <v>0</v>
      </c>
      <c r="O3768">
        <v>23.71</v>
      </c>
      <c r="P3768">
        <v>18.190000000000001</v>
      </c>
    </row>
    <row r="3769" spans="1:16" x14ac:dyDescent="0.3">
      <c r="A3769">
        <v>41174</v>
      </c>
      <c r="B3769">
        <v>105</v>
      </c>
      <c r="C3769" t="s">
        <v>557</v>
      </c>
      <c r="D3769" s="452">
        <v>45839</v>
      </c>
      <c r="E3769">
        <v>23113</v>
      </c>
      <c r="F3769" t="s">
        <v>5074</v>
      </c>
      <c r="G3769">
        <v>2736</v>
      </c>
      <c r="H3769">
        <v>2.2999999999999998</v>
      </c>
      <c r="I3769" t="s">
        <v>4744</v>
      </c>
      <c r="J3769" t="s">
        <v>5191</v>
      </c>
      <c r="K3769" t="s">
        <v>3935</v>
      </c>
      <c r="L3769">
        <v>7.75</v>
      </c>
      <c r="M3769" s="452">
        <v>45834</v>
      </c>
      <c r="N3769">
        <v>7.5</v>
      </c>
      <c r="O3769">
        <v>7.5</v>
      </c>
      <c r="P3769">
        <v>17.82</v>
      </c>
    </row>
    <row r="3770" spans="1:16" x14ac:dyDescent="0.3">
      <c r="A3770">
        <v>41090</v>
      </c>
      <c r="B3770">
        <v>105</v>
      </c>
      <c r="C3770" t="s">
        <v>557</v>
      </c>
      <c r="D3770" s="452">
        <v>45839</v>
      </c>
      <c r="E3770">
        <v>19939</v>
      </c>
      <c r="F3770" t="s">
        <v>5057</v>
      </c>
      <c r="G3770">
        <v>2365</v>
      </c>
      <c r="H3770">
        <v>0.8</v>
      </c>
      <c r="I3770" t="s">
        <v>4744</v>
      </c>
      <c r="J3770" t="s">
        <v>5191</v>
      </c>
      <c r="K3770" t="s">
        <v>3935</v>
      </c>
      <c r="L3770">
        <v>0</v>
      </c>
      <c r="M3770" s="452">
        <v>-693593</v>
      </c>
      <c r="N3770">
        <v>0</v>
      </c>
      <c r="O3770">
        <v>79.599999999999994</v>
      </c>
      <c r="P3770">
        <v>17.600000000000001</v>
      </c>
    </row>
    <row r="3771" spans="1:16" x14ac:dyDescent="0.3">
      <c r="A3771">
        <v>41014</v>
      </c>
      <c r="B3771">
        <v>105</v>
      </c>
      <c r="C3771" t="s">
        <v>557</v>
      </c>
      <c r="D3771" s="452">
        <v>45839</v>
      </c>
      <c r="E3771">
        <v>21098</v>
      </c>
      <c r="F3771" t="s">
        <v>5511</v>
      </c>
      <c r="G3771">
        <v>1987</v>
      </c>
      <c r="H3771">
        <v>1</v>
      </c>
      <c r="I3771" t="s">
        <v>4738</v>
      </c>
      <c r="J3771" t="s">
        <v>5191</v>
      </c>
      <c r="K3771" t="s">
        <v>3935</v>
      </c>
      <c r="L3771">
        <v>0</v>
      </c>
      <c r="M3771" s="452">
        <v>-693593</v>
      </c>
      <c r="N3771">
        <v>0</v>
      </c>
      <c r="O3771">
        <v>8.1999999999999993</v>
      </c>
      <c r="P3771">
        <v>17.03</v>
      </c>
    </row>
    <row r="3772" spans="1:16" x14ac:dyDescent="0.3">
      <c r="A3772">
        <v>41074</v>
      </c>
      <c r="B3772">
        <v>105</v>
      </c>
      <c r="C3772" t="s">
        <v>557</v>
      </c>
      <c r="D3772" s="452">
        <v>45839</v>
      </c>
      <c r="E3772">
        <v>25022</v>
      </c>
      <c r="F3772" t="s">
        <v>4912</v>
      </c>
      <c r="G3772">
        <v>5868</v>
      </c>
      <c r="H3772">
        <v>4</v>
      </c>
      <c r="I3772" t="s">
        <v>4738</v>
      </c>
      <c r="J3772" t="s">
        <v>5191</v>
      </c>
      <c r="K3772" t="s">
        <v>3935</v>
      </c>
      <c r="L3772">
        <v>4.2300000000000004</v>
      </c>
      <c r="M3772" s="452">
        <v>45835</v>
      </c>
      <c r="N3772">
        <v>4.26</v>
      </c>
      <c r="O3772">
        <v>4.26</v>
      </c>
      <c r="P3772">
        <v>16.920000000000002</v>
      </c>
    </row>
    <row r="3773" spans="1:16" x14ac:dyDescent="0.3">
      <c r="A3773">
        <v>41094</v>
      </c>
      <c r="B3773">
        <v>105</v>
      </c>
      <c r="C3773" t="s">
        <v>557</v>
      </c>
      <c r="D3773" s="452">
        <v>45839</v>
      </c>
      <c r="E3773">
        <v>17032</v>
      </c>
      <c r="F3773" t="s">
        <v>5509</v>
      </c>
      <c r="G3773">
        <v>2366</v>
      </c>
      <c r="H3773">
        <v>1.23</v>
      </c>
      <c r="I3773" t="s">
        <v>4744</v>
      </c>
      <c r="J3773" t="s">
        <v>5191</v>
      </c>
      <c r="K3773" t="s">
        <v>3935</v>
      </c>
      <c r="L3773">
        <v>0</v>
      </c>
      <c r="M3773" s="452">
        <v>45757</v>
      </c>
      <c r="N3773">
        <v>12.94</v>
      </c>
      <c r="O3773">
        <v>22.9</v>
      </c>
      <c r="P3773">
        <v>15.92</v>
      </c>
    </row>
    <row r="3774" spans="1:16" x14ac:dyDescent="0.3">
      <c r="A3774">
        <v>41030</v>
      </c>
      <c r="B3774">
        <v>105</v>
      </c>
      <c r="C3774" t="s">
        <v>557</v>
      </c>
      <c r="D3774" s="452">
        <v>45839</v>
      </c>
      <c r="E3774">
        <v>24110</v>
      </c>
      <c r="F3774" t="s">
        <v>5450</v>
      </c>
      <c r="G3774">
        <v>2322</v>
      </c>
      <c r="H3774">
        <v>0.9</v>
      </c>
      <c r="I3774" t="s">
        <v>4744</v>
      </c>
      <c r="J3774" t="s">
        <v>5191</v>
      </c>
      <c r="K3774" t="s">
        <v>3935</v>
      </c>
      <c r="L3774">
        <v>0</v>
      </c>
      <c r="M3774" s="452">
        <v>45478</v>
      </c>
      <c r="N3774">
        <v>17.2</v>
      </c>
      <c r="O3774">
        <v>16.899999999999999</v>
      </c>
      <c r="P3774">
        <v>15.48</v>
      </c>
    </row>
    <row r="3775" spans="1:16" x14ac:dyDescent="0.3">
      <c r="A3775">
        <v>41187</v>
      </c>
      <c r="B3775">
        <v>105</v>
      </c>
      <c r="C3775" t="s">
        <v>557</v>
      </c>
      <c r="D3775" s="452">
        <v>45839</v>
      </c>
      <c r="E3775">
        <v>19415</v>
      </c>
      <c r="F3775" t="s">
        <v>4919</v>
      </c>
      <c r="G3775">
        <v>2759</v>
      </c>
      <c r="H3775">
        <v>2</v>
      </c>
      <c r="I3775" t="s">
        <v>4736</v>
      </c>
      <c r="J3775" t="s">
        <v>5191</v>
      </c>
      <c r="K3775" t="s">
        <v>3935</v>
      </c>
      <c r="L3775">
        <v>7.74</v>
      </c>
      <c r="M3775" s="452">
        <v>45838</v>
      </c>
      <c r="N3775">
        <v>7.6</v>
      </c>
      <c r="O3775">
        <v>7.6</v>
      </c>
      <c r="P3775">
        <v>15.48</v>
      </c>
    </row>
    <row r="3776" spans="1:16" x14ac:dyDescent="0.3">
      <c r="A3776">
        <v>40995</v>
      </c>
      <c r="B3776">
        <v>105</v>
      </c>
      <c r="C3776" t="s">
        <v>557</v>
      </c>
      <c r="D3776" s="452">
        <v>45839</v>
      </c>
      <c r="E3776">
        <v>25758</v>
      </c>
      <c r="F3776" t="s">
        <v>4775</v>
      </c>
      <c r="G3776">
        <v>9066</v>
      </c>
      <c r="H3776">
        <v>2</v>
      </c>
      <c r="I3776" t="s">
        <v>4736</v>
      </c>
      <c r="J3776" t="s">
        <v>5191</v>
      </c>
      <c r="K3776" t="s">
        <v>3935</v>
      </c>
      <c r="L3776">
        <v>0</v>
      </c>
      <c r="M3776" s="452">
        <v>45742</v>
      </c>
      <c r="N3776">
        <v>7.73</v>
      </c>
      <c r="O3776">
        <v>7.73</v>
      </c>
      <c r="P3776">
        <v>15.46</v>
      </c>
    </row>
    <row r="3777" spans="1:16" x14ac:dyDescent="0.3">
      <c r="A3777">
        <v>41012</v>
      </c>
      <c r="B3777">
        <v>105</v>
      </c>
      <c r="C3777" t="s">
        <v>557</v>
      </c>
      <c r="D3777" s="452">
        <v>45839</v>
      </c>
      <c r="E3777">
        <v>21062</v>
      </c>
      <c r="F3777" t="s">
        <v>5442</v>
      </c>
      <c r="G3777">
        <v>1997</v>
      </c>
      <c r="H3777">
        <v>1</v>
      </c>
      <c r="I3777" t="s">
        <v>4805</v>
      </c>
      <c r="J3777" t="s">
        <v>5191</v>
      </c>
      <c r="K3777" t="s">
        <v>3935</v>
      </c>
      <c r="L3777">
        <v>0</v>
      </c>
      <c r="M3777" s="452">
        <v>45756</v>
      </c>
      <c r="N3777">
        <v>14.9</v>
      </c>
      <c r="O3777">
        <v>17.149999999999999</v>
      </c>
      <c r="P3777">
        <v>14.9</v>
      </c>
    </row>
    <row r="3778" spans="1:16" x14ac:dyDescent="0.3">
      <c r="A3778">
        <v>41163</v>
      </c>
      <c r="B3778">
        <v>105</v>
      </c>
      <c r="C3778" t="s">
        <v>557</v>
      </c>
      <c r="D3778" s="452">
        <v>45839</v>
      </c>
      <c r="E3778">
        <v>19728</v>
      </c>
      <c r="F3778" t="s">
        <v>5106</v>
      </c>
      <c r="G3778">
        <v>2525</v>
      </c>
      <c r="H3778">
        <v>1.3</v>
      </c>
      <c r="I3778" t="s">
        <v>4744</v>
      </c>
      <c r="J3778" t="s">
        <v>5191</v>
      </c>
      <c r="K3778" t="s">
        <v>3935</v>
      </c>
      <c r="L3778">
        <v>10.93</v>
      </c>
      <c r="M3778" s="452">
        <v>45834</v>
      </c>
      <c r="N3778">
        <v>10.95</v>
      </c>
      <c r="O3778">
        <v>11</v>
      </c>
      <c r="P3778">
        <v>14.21</v>
      </c>
    </row>
    <row r="3779" spans="1:16" x14ac:dyDescent="0.3">
      <c r="A3779">
        <v>41082</v>
      </c>
      <c r="B3779">
        <v>105</v>
      </c>
      <c r="C3779" t="s">
        <v>557</v>
      </c>
      <c r="D3779" s="452">
        <v>45839</v>
      </c>
      <c r="E3779">
        <v>25822</v>
      </c>
      <c r="F3779" t="s">
        <v>5468</v>
      </c>
      <c r="G3779">
        <v>6359</v>
      </c>
      <c r="H3779">
        <v>4</v>
      </c>
      <c r="I3779" t="s">
        <v>4736</v>
      </c>
      <c r="J3779" t="s">
        <v>5191</v>
      </c>
      <c r="K3779" t="s">
        <v>3935</v>
      </c>
      <c r="L3779">
        <v>3.54</v>
      </c>
      <c r="M3779" s="452">
        <v>45817</v>
      </c>
      <c r="N3779">
        <v>3.54</v>
      </c>
      <c r="O3779">
        <v>3.54</v>
      </c>
      <c r="P3779">
        <v>14.16</v>
      </c>
    </row>
    <row r="3780" spans="1:16" x14ac:dyDescent="0.3">
      <c r="A3780">
        <v>40997</v>
      </c>
      <c r="B3780">
        <v>105</v>
      </c>
      <c r="C3780" t="s">
        <v>557</v>
      </c>
      <c r="D3780" s="452">
        <v>45839</v>
      </c>
      <c r="E3780">
        <v>25761</v>
      </c>
      <c r="F3780" t="s">
        <v>4789</v>
      </c>
      <c r="G3780">
        <v>6312</v>
      </c>
      <c r="H3780">
        <v>2</v>
      </c>
      <c r="I3780" t="s">
        <v>4736</v>
      </c>
      <c r="J3780" t="s">
        <v>5191</v>
      </c>
      <c r="K3780" t="s">
        <v>3935</v>
      </c>
      <c r="L3780">
        <v>0</v>
      </c>
      <c r="M3780" s="452">
        <v>-693593</v>
      </c>
      <c r="N3780">
        <v>0</v>
      </c>
      <c r="O3780">
        <v>0</v>
      </c>
      <c r="P3780">
        <v>13.98</v>
      </c>
    </row>
    <row r="3781" spans="1:16" x14ac:dyDescent="0.3">
      <c r="A3781">
        <v>41042</v>
      </c>
      <c r="B3781">
        <v>105</v>
      </c>
      <c r="C3781" t="s">
        <v>557</v>
      </c>
      <c r="D3781" s="452">
        <v>45839</v>
      </c>
      <c r="E3781">
        <v>20034</v>
      </c>
      <c r="F3781" t="s">
        <v>5065</v>
      </c>
      <c r="G3781">
        <v>2333</v>
      </c>
      <c r="H3781">
        <v>0.2</v>
      </c>
      <c r="I3781" t="s">
        <v>4744</v>
      </c>
      <c r="J3781" t="s">
        <v>5191</v>
      </c>
      <c r="K3781" t="s">
        <v>3935</v>
      </c>
      <c r="L3781">
        <v>0</v>
      </c>
      <c r="M3781" s="452">
        <v>-693593</v>
      </c>
      <c r="N3781">
        <v>0</v>
      </c>
      <c r="O3781">
        <v>63.06</v>
      </c>
      <c r="P3781">
        <v>12.61</v>
      </c>
    </row>
    <row r="3782" spans="1:16" x14ac:dyDescent="0.3">
      <c r="A3782">
        <v>41309</v>
      </c>
      <c r="B3782">
        <v>105</v>
      </c>
      <c r="C3782" t="s">
        <v>557</v>
      </c>
      <c r="D3782" s="452">
        <v>45839</v>
      </c>
      <c r="E3782">
        <v>17721</v>
      </c>
      <c r="F3782" t="s">
        <v>4977</v>
      </c>
      <c r="G3782">
        <v>3818</v>
      </c>
      <c r="H3782">
        <v>1.02</v>
      </c>
      <c r="I3782" t="s">
        <v>4805</v>
      </c>
      <c r="J3782" t="s">
        <v>5222</v>
      </c>
      <c r="K3782" t="s">
        <v>3935</v>
      </c>
      <c r="L3782">
        <v>11.2</v>
      </c>
      <c r="M3782" s="452">
        <v>45818</v>
      </c>
      <c r="N3782">
        <v>11.2</v>
      </c>
      <c r="O3782">
        <v>10.25</v>
      </c>
      <c r="P3782">
        <v>11.42</v>
      </c>
    </row>
    <row r="3783" spans="1:16" x14ac:dyDescent="0.3">
      <c r="A3783">
        <v>41176</v>
      </c>
      <c r="B3783">
        <v>105</v>
      </c>
      <c r="C3783" t="s">
        <v>557</v>
      </c>
      <c r="D3783" s="452">
        <v>45839</v>
      </c>
      <c r="E3783">
        <v>23184</v>
      </c>
      <c r="F3783" t="s">
        <v>4935</v>
      </c>
      <c r="G3783">
        <v>2670</v>
      </c>
      <c r="H3783">
        <v>0.52</v>
      </c>
      <c r="I3783" t="s">
        <v>4744</v>
      </c>
      <c r="J3783" t="s">
        <v>5191</v>
      </c>
      <c r="K3783" t="s">
        <v>3935</v>
      </c>
      <c r="L3783">
        <v>21.63</v>
      </c>
      <c r="M3783" s="452">
        <v>45838</v>
      </c>
      <c r="N3783">
        <v>19</v>
      </c>
      <c r="O3783">
        <v>17</v>
      </c>
      <c r="P3783">
        <v>11.25</v>
      </c>
    </row>
    <row r="3784" spans="1:16" x14ac:dyDescent="0.3">
      <c r="A3784">
        <v>41061</v>
      </c>
      <c r="B3784">
        <v>105</v>
      </c>
      <c r="C3784" t="s">
        <v>557</v>
      </c>
      <c r="D3784" s="452">
        <v>45839</v>
      </c>
      <c r="E3784">
        <v>20219</v>
      </c>
      <c r="F3784" t="s">
        <v>5445</v>
      </c>
      <c r="G3784">
        <v>2250</v>
      </c>
      <c r="H3784">
        <v>0.5</v>
      </c>
      <c r="I3784" t="s">
        <v>4738</v>
      </c>
      <c r="J3784" t="s">
        <v>5191</v>
      </c>
      <c r="K3784" t="s">
        <v>3935</v>
      </c>
      <c r="L3784">
        <v>0</v>
      </c>
      <c r="M3784" s="452">
        <v>45770</v>
      </c>
      <c r="N3784">
        <v>21.9</v>
      </c>
      <c r="O3784">
        <v>25.2</v>
      </c>
      <c r="P3784">
        <v>10.95</v>
      </c>
    </row>
    <row r="3785" spans="1:16" x14ac:dyDescent="0.3">
      <c r="A3785">
        <v>41229</v>
      </c>
      <c r="B3785">
        <v>105</v>
      </c>
      <c r="C3785" t="s">
        <v>557</v>
      </c>
      <c r="D3785" s="452">
        <v>45839</v>
      </c>
      <c r="E3785">
        <v>22636</v>
      </c>
      <c r="F3785" t="s">
        <v>4761</v>
      </c>
      <c r="G3785">
        <v>3099</v>
      </c>
      <c r="H3785">
        <v>2</v>
      </c>
      <c r="I3785" t="s">
        <v>4736</v>
      </c>
      <c r="J3785" t="s">
        <v>5222</v>
      </c>
      <c r="K3785" t="s">
        <v>3935</v>
      </c>
      <c r="L3785">
        <v>0</v>
      </c>
      <c r="M3785" s="452">
        <v>45671</v>
      </c>
      <c r="N3785">
        <v>5.3</v>
      </c>
      <c r="O3785">
        <v>5.0199999999999996</v>
      </c>
      <c r="P3785">
        <v>10.6</v>
      </c>
    </row>
    <row r="3786" spans="1:16" x14ac:dyDescent="0.3">
      <c r="A3786">
        <v>41173</v>
      </c>
      <c r="B3786">
        <v>105</v>
      </c>
      <c r="C3786" t="s">
        <v>557</v>
      </c>
      <c r="D3786" s="452">
        <v>45839</v>
      </c>
      <c r="E3786">
        <v>19468</v>
      </c>
      <c r="F3786" t="s">
        <v>5074</v>
      </c>
      <c r="G3786">
        <v>2736</v>
      </c>
      <c r="H3786">
        <v>1.3</v>
      </c>
      <c r="I3786" t="s">
        <v>4744</v>
      </c>
      <c r="J3786" t="s">
        <v>5191</v>
      </c>
      <c r="K3786" t="s">
        <v>3935</v>
      </c>
      <c r="L3786">
        <v>7.86</v>
      </c>
      <c r="M3786" s="452">
        <v>45824</v>
      </c>
      <c r="N3786">
        <v>7.5</v>
      </c>
      <c r="O3786">
        <v>7</v>
      </c>
      <c r="P3786">
        <v>10.220000000000001</v>
      </c>
    </row>
    <row r="3787" spans="1:16" x14ac:dyDescent="0.3">
      <c r="A3787">
        <v>41105</v>
      </c>
      <c r="B3787">
        <v>105</v>
      </c>
      <c r="C3787" t="s">
        <v>557</v>
      </c>
      <c r="D3787" s="452">
        <v>45839</v>
      </c>
      <c r="E3787">
        <v>20790</v>
      </c>
      <c r="F3787" t="s">
        <v>5020</v>
      </c>
      <c r="G3787">
        <v>2076</v>
      </c>
      <c r="H3787">
        <v>1</v>
      </c>
      <c r="I3787" t="s">
        <v>4744</v>
      </c>
      <c r="J3787" t="s">
        <v>5191</v>
      </c>
      <c r="K3787" t="s">
        <v>3935</v>
      </c>
      <c r="L3787">
        <v>10.199999999999999</v>
      </c>
      <c r="M3787" s="452">
        <v>45835</v>
      </c>
      <c r="N3787">
        <v>10.199999999999999</v>
      </c>
      <c r="O3787">
        <v>10.199999999999999</v>
      </c>
      <c r="P3787">
        <v>10.199999999999999</v>
      </c>
    </row>
    <row r="3788" spans="1:16" x14ac:dyDescent="0.3">
      <c r="A3788">
        <v>41086</v>
      </c>
      <c r="B3788">
        <v>105</v>
      </c>
      <c r="C3788" t="s">
        <v>557</v>
      </c>
      <c r="D3788" s="452">
        <v>45839</v>
      </c>
      <c r="E3788">
        <v>19969</v>
      </c>
      <c r="F3788" t="s">
        <v>5018</v>
      </c>
      <c r="G3788">
        <v>2354</v>
      </c>
      <c r="H3788">
        <v>1</v>
      </c>
      <c r="I3788" t="s">
        <v>4888</v>
      </c>
      <c r="J3788" t="s">
        <v>5191</v>
      </c>
      <c r="K3788" t="s">
        <v>3935</v>
      </c>
      <c r="L3788">
        <v>10.050000000000001</v>
      </c>
      <c r="M3788" s="452">
        <v>45835</v>
      </c>
      <c r="N3788">
        <v>10.050000000000001</v>
      </c>
      <c r="O3788">
        <v>10.050000000000001</v>
      </c>
      <c r="P3788">
        <v>10.050000000000001</v>
      </c>
    </row>
    <row r="3789" spans="1:16" x14ac:dyDescent="0.3">
      <c r="A3789">
        <v>41137</v>
      </c>
      <c r="B3789">
        <v>105</v>
      </c>
      <c r="C3789" t="s">
        <v>557</v>
      </c>
      <c r="D3789" s="452">
        <v>45839</v>
      </c>
      <c r="E3789">
        <v>19622</v>
      </c>
      <c r="F3789" t="s">
        <v>4915</v>
      </c>
      <c r="G3789">
        <v>2612</v>
      </c>
      <c r="H3789">
        <v>3</v>
      </c>
      <c r="I3789" t="s">
        <v>4744</v>
      </c>
      <c r="J3789" t="s">
        <v>5191</v>
      </c>
      <c r="K3789" t="s">
        <v>3935</v>
      </c>
      <c r="L3789">
        <v>3.34</v>
      </c>
      <c r="M3789" s="452">
        <v>45833</v>
      </c>
      <c r="N3789">
        <v>2.39</v>
      </c>
      <c r="O3789">
        <v>2.39</v>
      </c>
      <c r="P3789">
        <v>10.02</v>
      </c>
    </row>
    <row r="3790" spans="1:16" x14ac:dyDescent="0.3">
      <c r="A3790">
        <v>41095</v>
      </c>
      <c r="B3790">
        <v>105</v>
      </c>
      <c r="C3790" t="s">
        <v>557</v>
      </c>
      <c r="D3790" s="452">
        <v>45839</v>
      </c>
      <c r="E3790">
        <v>20623</v>
      </c>
      <c r="F3790" t="s">
        <v>4814</v>
      </c>
      <c r="G3790">
        <v>2116</v>
      </c>
      <c r="H3790">
        <v>0.9</v>
      </c>
      <c r="I3790" t="s">
        <v>4736</v>
      </c>
      <c r="J3790" t="s">
        <v>5191</v>
      </c>
      <c r="K3790" t="s">
        <v>3935</v>
      </c>
      <c r="L3790">
        <v>11.07</v>
      </c>
      <c r="M3790" s="452">
        <v>45825</v>
      </c>
      <c r="N3790">
        <v>11.07</v>
      </c>
      <c r="O3790">
        <v>11.07</v>
      </c>
      <c r="P3790">
        <v>9.9600000000000009</v>
      </c>
    </row>
    <row r="3791" spans="1:16" x14ac:dyDescent="0.3">
      <c r="A3791">
        <v>41106</v>
      </c>
      <c r="B3791">
        <v>105</v>
      </c>
      <c r="C3791" t="s">
        <v>557</v>
      </c>
      <c r="D3791" s="452">
        <v>45839</v>
      </c>
      <c r="E3791">
        <v>20791</v>
      </c>
      <c r="F3791" t="s">
        <v>5021</v>
      </c>
      <c r="G3791">
        <v>2076</v>
      </c>
      <c r="H3791">
        <v>1</v>
      </c>
      <c r="I3791" t="s">
        <v>4738</v>
      </c>
      <c r="J3791" t="s">
        <v>5191</v>
      </c>
      <c r="K3791" t="s">
        <v>3935</v>
      </c>
      <c r="L3791">
        <v>9.93</v>
      </c>
      <c r="M3791" s="452">
        <v>45835</v>
      </c>
      <c r="N3791">
        <v>10.199999999999999</v>
      </c>
      <c r="O3791">
        <v>10.199999999999999</v>
      </c>
      <c r="P3791">
        <v>9.93</v>
      </c>
    </row>
    <row r="3792" spans="1:16" x14ac:dyDescent="0.3">
      <c r="A3792">
        <v>41107</v>
      </c>
      <c r="B3792">
        <v>105</v>
      </c>
      <c r="C3792" t="s">
        <v>557</v>
      </c>
      <c r="D3792" s="452">
        <v>45839</v>
      </c>
      <c r="E3792">
        <v>20792</v>
      </c>
      <c r="F3792" t="s">
        <v>5022</v>
      </c>
      <c r="G3792">
        <v>2076</v>
      </c>
      <c r="H3792">
        <v>1</v>
      </c>
      <c r="I3792" t="s">
        <v>4738</v>
      </c>
      <c r="J3792" t="s">
        <v>5191</v>
      </c>
      <c r="K3792" t="s">
        <v>3935</v>
      </c>
      <c r="L3792">
        <v>9.93</v>
      </c>
      <c r="M3792" s="452">
        <v>45835</v>
      </c>
      <c r="N3792">
        <v>10.199999999999999</v>
      </c>
      <c r="O3792">
        <v>10.199999999999999</v>
      </c>
      <c r="P3792">
        <v>9.93</v>
      </c>
    </row>
    <row r="3793" spans="1:16" x14ac:dyDescent="0.3">
      <c r="A3793">
        <v>41108</v>
      </c>
      <c r="B3793">
        <v>105</v>
      </c>
      <c r="C3793" t="s">
        <v>557</v>
      </c>
      <c r="D3793" s="452">
        <v>45839</v>
      </c>
      <c r="E3793">
        <v>20793</v>
      </c>
      <c r="F3793" t="s">
        <v>5521</v>
      </c>
      <c r="G3793">
        <v>2076</v>
      </c>
      <c r="H3793">
        <v>1</v>
      </c>
      <c r="I3793" t="s">
        <v>4738</v>
      </c>
      <c r="J3793" t="s">
        <v>5191</v>
      </c>
      <c r="K3793" t="s">
        <v>3935</v>
      </c>
      <c r="L3793">
        <v>9.8000000000000007</v>
      </c>
      <c r="M3793" s="452">
        <v>45811</v>
      </c>
      <c r="N3793">
        <v>9.8000000000000007</v>
      </c>
      <c r="O3793">
        <v>9.7200000000000006</v>
      </c>
      <c r="P3793">
        <v>9.8000000000000007</v>
      </c>
    </row>
    <row r="3794" spans="1:16" x14ac:dyDescent="0.3">
      <c r="A3794">
        <v>41109</v>
      </c>
      <c r="B3794">
        <v>105</v>
      </c>
      <c r="C3794" t="s">
        <v>557</v>
      </c>
      <c r="D3794" s="452">
        <v>45839</v>
      </c>
      <c r="E3794">
        <v>20794</v>
      </c>
      <c r="F3794" t="s">
        <v>5023</v>
      </c>
      <c r="G3794">
        <v>2076</v>
      </c>
      <c r="H3794">
        <v>1</v>
      </c>
      <c r="I3794" t="s">
        <v>4744</v>
      </c>
      <c r="J3794" t="s">
        <v>5191</v>
      </c>
      <c r="K3794" t="s">
        <v>3935</v>
      </c>
      <c r="L3794">
        <v>9.8000000000000007</v>
      </c>
      <c r="M3794" s="452">
        <v>45832</v>
      </c>
      <c r="N3794">
        <v>9.8000000000000007</v>
      </c>
      <c r="O3794">
        <v>9.8000000000000007</v>
      </c>
      <c r="P3794">
        <v>9.8000000000000007</v>
      </c>
    </row>
    <row r="3795" spans="1:16" x14ac:dyDescent="0.3">
      <c r="A3795">
        <v>41110</v>
      </c>
      <c r="B3795">
        <v>105</v>
      </c>
      <c r="C3795" t="s">
        <v>557</v>
      </c>
      <c r="D3795" s="452">
        <v>45839</v>
      </c>
      <c r="E3795">
        <v>20795</v>
      </c>
      <c r="F3795" t="s">
        <v>5024</v>
      </c>
      <c r="G3795">
        <v>2076</v>
      </c>
      <c r="H3795">
        <v>1</v>
      </c>
      <c r="I3795" t="s">
        <v>4738</v>
      </c>
      <c r="J3795" t="s">
        <v>5191</v>
      </c>
      <c r="K3795" t="s">
        <v>3935</v>
      </c>
      <c r="L3795">
        <v>9.8000000000000007</v>
      </c>
      <c r="M3795" s="452">
        <v>45824</v>
      </c>
      <c r="N3795">
        <v>9.8000000000000007</v>
      </c>
      <c r="O3795">
        <v>9.8000000000000007</v>
      </c>
      <c r="P3795">
        <v>9.8000000000000007</v>
      </c>
    </row>
    <row r="3796" spans="1:16" x14ac:dyDescent="0.3">
      <c r="A3796">
        <v>41139</v>
      </c>
      <c r="B3796">
        <v>105</v>
      </c>
      <c r="C3796" t="s">
        <v>557</v>
      </c>
      <c r="D3796" s="452">
        <v>45839</v>
      </c>
      <c r="E3796">
        <v>19621</v>
      </c>
      <c r="F3796" t="s">
        <v>4829</v>
      </c>
      <c r="G3796">
        <v>2613</v>
      </c>
      <c r="H3796">
        <v>3.8</v>
      </c>
      <c r="I3796" t="s">
        <v>4744</v>
      </c>
      <c r="J3796" t="s">
        <v>5191</v>
      </c>
      <c r="K3796" t="s">
        <v>3935</v>
      </c>
      <c r="L3796">
        <v>2.46</v>
      </c>
      <c r="M3796" s="452">
        <v>45838</v>
      </c>
      <c r="N3796">
        <v>1.64</v>
      </c>
      <c r="O3796">
        <v>2.13</v>
      </c>
      <c r="P3796">
        <v>9.35</v>
      </c>
    </row>
    <row r="3797" spans="1:16" x14ac:dyDescent="0.3">
      <c r="A3797">
        <v>41146</v>
      </c>
      <c r="B3797">
        <v>105</v>
      </c>
      <c r="C3797" t="s">
        <v>557</v>
      </c>
      <c r="D3797" s="452">
        <v>45839</v>
      </c>
      <c r="E3797">
        <v>19607</v>
      </c>
      <c r="F3797" t="s">
        <v>4981</v>
      </c>
      <c r="G3797">
        <v>2623</v>
      </c>
      <c r="H3797">
        <v>1</v>
      </c>
      <c r="I3797" t="s">
        <v>4744</v>
      </c>
      <c r="J3797" t="s">
        <v>5191</v>
      </c>
      <c r="K3797" t="s">
        <v>3935</v>
      </c>
      <c r="L3797">
        <v>9.3000000000000007</v>
      </c>
      <c r="M3797" s="452">
        <v>45825</v>
      </c>
      <c r="N3797">
        <v>8.6</v>
      </c>
      <c r="O3797">
        <v>8.57</v>
      </c>
      <c r="P3797">
        <v>9.3000000000000007</v>
      </c>
    </row>
    <row r="3798" spans="1:16" x14ac:dyDescent="0.3">
      <c r="A3798">
        <v>41347</v>
      </c>
      <c r="B3798">
        <v>105</v>
      </c>
      <c r="C3798" t="s">
        <v>557</v>
      </c>
      <c r="D3798" s="452">
        <v>45839</v>
      </c>
      <c r="E3798">
        <v>20022</v>
      </c>
      <c r="F3798" t="s">
        <v>5455</v>
      </c>
      <c r="G3798">
        <v>2340</v>
      </c>
      <c r="H3798">
        <v>1</v>
      </c>
      <c r="I3798" t="s">
        <v>4736</v>
      </c>
      <c r="J3798" t="s">
        <v>5191</v>
      </c>
      <c r="K3798" t="s">
        <v>3935</v>
      </c>
      <c r="L3798">
        <v>9.2100000000000009</v>
      </c>
      <c r="M3798" s="452">
        <v>45835</v>
      </c>
      <c r="N3798">
        <v>9.2100000000000009</v>
      </c>
      <c r="O3798">
        <v>9.2100000000000009</v>
      </c>
      <c r="P3798">
        <v>9.2100000000000009</v>
      </c>
    </row>
    <row r="3799" spans="1:16" x14ac:dyDescent="0.3">
      <c r="A3799">
        <v>41165</v>
      </c>
      <c r="B3799">
        <v>105</v>
      </c>
      <c r="C3799" t="s">
        <v>557</v>
      </c>
      <c r="D3799" s="452">
        <v>45839</v>
      </c>
      <c r="E3799">
        <v>19577</v>
      </c>
      <c r="F3799" t="s">
        <v>4984</v>
      </c>
      <c r="G3799">
        <v>2641</v>
      </c>
      <c r="H3799">
        <v>0.9</v>
      </c>
      <c r="I3799" t="s">
        <v>4736</v>
      </c>
      <c r="J3799" t="s">
        <v>5191</v>
      </c>
      <c r="K3799" t="s">
        <v>3935</v>
      </c>
      <c r="L3799">
        <v>0</v>
      </c>
      <c r="M3799" s="452">
        <v>45532</v>
      </c>
      <c r="N3799">
        <v>10.199999999999999</v>
      </c>
      <c r="O3799">
        <v>21</v>
      </c>
      <c r="P3799">
        <v>9.18</v>
      </c>
    </row>
    <row r="3800" spans="1:16" x14ac:dyDescent="0.3">
      <c r="A3800">
        <v>41133</v>
      </c>
      <c r="B3800">
        <v>105</v>
      </c>
      <c r="C3800" t="s">
        <v>557</v>
      </c>
      <c r="D3800" s="452">
        <v>45839</v>
      </c>
      <c r="E3800">
        <v>19492</v>
      </c>
      <c r="F3800" t="s">
        <v>4937</v>
      </c>
      <c r="G3800">
        <v>2717</v>
      </c>
      <c r="H3800">
        <v>0.7</v>
      </c>
      <c r="I3800" t="s">
        <v>4744</v>
      </c>
      <c r="J3800" t="s">
        <v>5191</v>
      </c>
      <c r="K3800" t="s">
        <v>3935</v>
      </c>
      <c r="L3800">
        <v>13.03</v>
      </c>
      <c r="M3800" s="452">
        <v>45833</v>
      </c>
      <c r="N3800">
        <v>12.17</v>
      </c>
      <c r="O3800">
        <v>11.8</v>
      </c>
      <c r="P3800">
        <v>9.1199999999999992</v>
      </c>
    </row>
    <row r="3801" spans="1:16" x14ac:dyDescent="0.3">
      <c r="A3801">
        <v>41056</v>
      </c>
      <c r="B3801">
        <v>105</v>
      </c>
      <c r="C3801" t="s">
        <v>557</v>
      </c>
      <c r="D3801" s="452">
        <v>45839</v>
      </c>
      <c r="E3801">
        <v>24250</v>
      </c>
      <c r="F3801" t="s">
        <v>5507</v>
      </c>
      <c r="G3801">
        <v>2339</v>
      </c>
      <c r="H3801">
        <v>0.5</v>
      </c>
      <c r="I3801" t="s">
        <v>4744</v>
      </c>
      <c r="J3801" t="s">
        <v>5191</v>
      </c>
      <c r="K3801" t="s">
        <v>3935</v>
      </c>
      <c r="L3801">
        <v>0</v>
      </c>
      <c r="M3801" s="452">
        <v>45756</v>
      </c>
      <c r="N3801">
        <v>18.100000000000001</v>
      </c>
      <c r="O3801">
        <v>39.14</v>
      </c>
      <c r="P3801">
        <v>9.0500000000000007</v>
      </c>
    </row>
    <row r="3802" spans="1:16" x14ac:dyDescent="0.3">
      <c r="A3802">
        <v>41144</v>
      </c>
      <c r="B3802">
        <v>105</v>
      </c>
      <c r="C3802" t="s">
        <v>557</v>
      </c>
      <c r="D3802" s="452">
        <v>45839</v>
      </c>
      <c r="E3802">
        <v>23236</v>
      </c>
      <c r="F3802" t="s">
        <v>5062</v>
      </c>
      <c r="G3802">
        <v>2620</v>
      </c>
      <c r="H3802">
        <v>1.4</v>
      </c>
      <c r="I3802" t="s">
        <v>4744</v>
      </c>
      <c r="J3802" t="s">
        <v>5191</v>
      </c>
      <c r="K3802" t="s">
        <v>3935</v>
      </c>
      <c r="L3802">
        <v>6.39</v>
      </c>
      <c r="M3802" s="452">
        <v>45838</v>
      </c>
      <c r="N3802">
        <v>6.5</v>
      </c>
      <c r="O3802">
        <v>6.45</v>
      </c>
      <c r="P3802">
        <v>8.9499999999999993</v>
      </c>
    </row>
    <row r="3803" spans="1:16" x14ac:dyDescent="0.3">
      <c r="A3803">
        <v>41350</v>
      </c>
      <c r="B3803">
        <v>105</v>
      </c>
      <c r="C3803" t="s">
        <v>557</v>
      </c>
      <c r="D3803" s="452">
        <v>45839</v>
      </c>
      <c r="E3803">
        <v>25079</v>
      </c>
      <c r="F3803" t="s">
        <v>5006</v>
      </c>
      <c r="G3803">
        <v>2239</v>
      </c>
      <c r="H3803">
        <v>1</v>
      </c>
      <c r="I3803" t="s">
        <v>4738</v>
      </c>
      <c r="J3803" t="s">
        <v>5191</v>
      </c>
      <c r="K3803" t="s">
        <v>3935</v>
      </c>
      <c r="L3803">
        <v>0</v>
      </c>
      <c r="M3803" s="452">
        <v>-693593</v>
      </c>
      <c r="N3803">
        <v>0</v>
      </c>
      <c r="O3803">
        <v>8.9499999999999993</v>
      </c>
      <c r="P3803">
        <v>8.9499999999999993</v>
      </c>
    </row>
    <row r="3804" spans="1:16" x14ac:dyDescent="0.3">
      <c r="A3804">
        <v>41162</v>
      </c>
      <c r="B3804">
        <v>105</v>
      </c>
      <c r="C3804" t="s">
        <v>557</v>
      </c>
      <c r="D3804" s="452">
        <v>45839</v>
      </c>
      <c r="E3804">
        <v>19589</v>
      </c>
      <c r="F3804" t="s">
        <v>4983</v>
      </c>
      <c r="G3804">
        <v>2637</v>
      </c>
      <c r="H3804">
        <v>1.7</v>
      </c>
      <c r="I3804" t="s">
        <v>4744</v>
      </c>
      <c r="J3804" t="s">
        <v>5191</v>
      </c>
      <c r="K3804" t="s">
        <v>3935</v>
      </c>
      <c r="L3804">
        <v>5.18</v>
      </c>
      <c r="M3804" s="452">
        <v>45834</v>
      </c>
      <c r="N3804">
        <v>6.5</v>
      </c>
      <c r="O3804">
        <v>7</v>
      </c>
      <c r="P3804">
        <v>8.81</v>
      </c>
    </row>
    <row r="3805" spans="1:16" x14ac:dyDescent="0.3">
      <c r="A3805">
        <v>41166</v>
      </c>
      <c r="B3805">
        <v>105</v>
      </c>
      <c r="C3805" t="s">
        <v>557</v>
      </c>
      <c r="D3805" s="452">
        <v>45839</v>
      </c>
      <c r="E3805">
        <v>19575</v>
      </c>
      <c r="F3805" t="s">
        <v>5120</v>
      </c>
      <c r="G3805">
        <v>2643</v>
      </c>
      <c r="H3805">
        <v>0.3</v>
      </c>
      <c r="I3805" t="s">
        <v>4744</v>
      </c>
      <c r="J3805" t="s">
        <v>5191</v>
      </c>
      <c r="K3805" t="s">
        <v>3935</v>
      </c>
      <c r="L3805">
        <v>28</v>
      </c>
      <c r="M3805" s="452">
        <v>45833</v>
      </c>
      <c r="N3805">
        <v>28</v>
      </c>
      <c r="O3805">
        <v>30</v>
      </c>
      <c r="P3805">
        <v>8.4</v>
      </c>
    </row>
    <row r="3806" spans="1:16" x14ac:dyDescent="0.3">
      <c r="A3806">
        <v>41132</v>
      </c>
      <c r="B3806">
        <v>105</v>
      </c>
      <c r="C3806" t="s">
        <v>557</v>
      </c>
      <c r="D3806" s="452">
        <v>45839</v>
      </c>
      <c r="E3806">
        <v>24099</v>
      </c>
      <c r="F3806" t="s">
        <v>4933</v>
      </c>
      <c r="G3806">
        <v>2716</v>
      </c>
      <c r="H3806">
        <v>0.91</v>
      </c>
      <c r="I3806" t="s">
        <v>4744</v>
      </c>
      <c r="J3806" t="s">
        <v>5191</v>
      </c>
      <c r="K3806" t="s">
        <v>3935</v>
      </c>
      <c r="L3806">
        <v>9.01</v>
      </c>
      <c r="M3806" s="452">
        <v>45838</v>
      </c>
      <c r="N3806">
        <v>8</v>
      </c>
      <c r="O3806">
        <v>7.67</v>
      </c>
      <c r="P3806">
        <v>8.1999999999999993</v>
      </c>
    </row>
    <row r="3807" spans="1:16" x14ac:dyDescent="0.3">
      <c r="A3807">
        <v>41164</v>
      </c>
      <c r="B3807">
        <v>105</v>
      </c>
      <c r="C3807" t="s">
        <v>557</v>
      </c>
      <c r="D3807" s="452">
        <v>45839</v>
      </c>
      <c r="E3807">
        <v>19583</v>
      </c>
      <c r="F3807" t="s">
        <v>5478</v>
      </c>
      <c r="G3807">
        <v>2639</v>
      </c>
      <c r="H3807">
        <v>0.2</v>
      </c>
      <c r="I3807" t="s">
        <v>4744</v>
      </c>
      <c r="J3807" t="s">
        <v>5191</v>
      </c>
      <c r="K3807" t="s">
        <v>3935</v>
      </c>
      <c r="L3807">
        <v>38.700000000000003</v>
      </c>
      <c r="M3807" s="452">
        <v>45824</v>
      </c>
      <c r="N3807">
        <v>38.4</v>
      </c>
      <c r="O3807">
        <v>38.4</v>
      </c>
      <c r="P3807">
        <v>7.74</v>
      </c>
    </row>
    <row r="3808" spans="1:16" x14ac:dyDescent="0.3">
      <c r="A3808">
        <v>41006</v>
      </c>
      <c r="B3808">
        <v>105</v>
      </c>
      <c r="C3808" t="s">
        <v>557</v>
      </c>
      <c r="D3808" s="452">
        <v>45839</v>
      </c>
      <c r="E3808">
        <v>25754</v>
      </c>
      <c r="F3808" t="s">
        <v>5142</v>
      </c>
      <c r="G3808">
        <v>6305</v>
      </c>
      <c r="H3808">
        <v>1</v>
      </c>
      <c r="I3808" t="s">
        <v>4736</v>
      </c>
      <c r="J3808" t="s">
        <v>5191</v>
      </c>
      <c r="K3808" t="s">
        <v>3935</v>
      </c>
      <c r="L3808">
        <v>0</v>
      </c>
      <c r="M3808" s="452">
        <v>45653</v>
      </c>
      <c r="N3808">
        <v>7.73</v>
      </c>
      <c r="O3808">
        <v>7.73</v>
      </c>
      <c r="P3808">
        <v>7.73</v>
      </c>
    </row>
    <row r="3809" spans="1:16" x14ac:dyDescent="0.3">
      <c r="A3809">
        <v>41124</v>
      </c>
      <c r="B3809">
        <v>105</v>
      </c>
      <c r="C3809" t="s">
        <v>557</v>
      </c>
      <c r="D3809" s="452">
        <v>45839</v>
      </c>
      <c r="E3809">
        <v>19647</v>
      </c>
      <c r="F3809" t="s">
        <v>5050</v>
      </c>
      <c r="G3809">
        <v>2591</v>
      </c>
      <c r="H3809">
        <v>0.8</v>
      </c>
      <c r="I3809" t="s">
        <v>4744</v>
      </c>
      <c r="J3809" t="s">
        <v>5191</v>
      </c>
      <c r="K3809" t="s">
        <v>3935</v>
      </c>
      <c r="L3809">
        <v>8.75</v>
      </c>
      <c r="M3809" s="452">
        <v>45838</v>
      </c>
      <c r="N3809">
        <v>8</v>
      </c>
      <c r="O3809">
        <v>8</v>
      </c>
      <c r="P3809">
        <v>7</v>
      </c>
    </row>
    <row r="3810" spans="1:16" x14ac:dyDescent="0.3">
      <c r="A3810">
        <v>41115</v>
      </c>
      <c r="B3810">
        <v>105</v>
      </c>
      <c r="C3810" t="s">
        <v>557</v>
      </c>
      <c r="D3810" s="452">
        <v>45839</v>
      </c>
      <c r="E3810">
        <v>19654</v>
      </c>
      <c r="F3810" t="s">
        <v>5099</v>
      </c>
      <c r="G3810">
        <v>2586</v>
      </c>
      <c r="H3810">
        <v>1.57</v>
      </c>
      <c r="I3810" t="s">
        <v>4744</v>
      </c>
      <c r="J3810" t="s">
        <v>5191</v>
      </c>
      <c r="K3810" t="s">
        <v>3935</v>
      </c>
      <c r="L3810">
        <v>4.3</v>
      </c>
      <c r="M3810" s="452">
        <v>45833</v>
      </c>
      <c r="N3810">
        <v>4.99</v>
      </c>
      <c r="O3810">
        <v>4.05</v>
      </c>
      <c r="P3810">
        <v>6.75</v>
      </c>
    </row>
    <row r="3811" spans="1:16" x14ac:dyDescent="0.3">
      <c r="A3811">
        <v>41126</v>
      </c>
      <c r="B3811">
        <v>105</v>
      </c>
      <c r="C3811" t="s">
        <v>557</v>
      </c>
      <c r="D3811" s="452">
        <v>45839</v>
      </c>
      <c r="E3811">
        <v>19783</v>
      </c>
      <c r="F3811" t="s">
        <v>4960</v>
      </c>
      <c r="G3811">
        <v>2475</v>
      </c>
      <c r="H3811">
        <v>1.5</v>
      </c>
      <c r="I3811" t="s">
        <v>4744</v>
      </c>
      <c r="J3811" t="s">
        <v>5191</v>
      </c>
      <c r="K3811" t="s">
        <v>3935</v>
      </c>
      <c r="L3811">
        <v>4.4800000000000004</v>
      </c>
      <c r="M3811" s="452">
        <v>45820</v>
      </c>
      <c r="N3811">
        <v>4.5</v>
      </c>
      <c r="O3811">
        <v>4.2</v>
      </c>
      <c r="P3811">
        <v>6.72</v>
      </c>
    </row>
    <row r="3812" spans="1:16" x14ac:dyDescent="0.3">
      <c r="A3812">
        <v>41131</v>
      </c>
      <c r="B3812">
        <v>105</v>
      </c>
      <c r="C3812" t="s">
        <v>557</v>
      </c>
      <c r="D3812" s="452">
        <v>45839</v>
      </c>
      <c r="E3812">
        <v>19632</v>
      </c>
      <c r="F3812" t="s">
        <v>4936</v>
      </c>
      <c r="G3812">
        <v>2604</v>
      </c>
      <c r="H3812">
        <v>2.66</v>
      </c>
      <c r="I3812" t="s">
        <v>4744</v>
      </c>
      <c r="J3812" t="s">
        <v>5191</v>
      </c>
      <c r="K3812" t="s">
        <v>3935</v>
      </c>
      <c r="L3812">
        <v>2.4</v>
      </c>
      <c r="M3812" s="452">
        <v>45834</v>
      </c>
      <c r="N3812">
        <v>1.79</v>
      </c>
      <c r="O3812">
        <v>1.92</v>
      </c>
      <c r="P3812">
        <v>6.38</v>
      </c>
    </row>
    <row r="3813" spans="1:16" x14ac:dyDescent="0.3">
      <c r="A3813">
        <v>41027</v>
      </c>
      <c r="B3813">
        <v>105</v>
      </c>
      <c r="C3813" t="s">
        <v>557</v>
      </c>
      <c r="D3813" s="452">
        <v>45839</v>
      </c>
      <c r="E3813">
        <v>24089</v>
      </c>
      <c r="F3813" t="s">
        <v>4931</v>
      </c>
      <c r="G3813">
        <v>2316</v>
      </c>
      <c r="H3813">
        <v>0.7</v>
      </c>
      <c r="I3813" t="s">
        <v>4744</v>
      </c>
      <c r="J3813" t="s">
        <v>5191</v>
      </c>
      <c r="K3813" t="s">
        <v>3935</v>
      </c>
      <c r="L3813">
        <v>0</v>
      </c>
      <c r="M3813" s="452">
        <v>45757</v>
      </c>
      <c r="N3813">
        <v>8.9</v>
      </c>
      <c r="O3813">
        <v>9</v>
      </c>
      <c r="P3813">
        <v>6.23</v>
      </c>
    </row>
    <row r="3814" spans="1:16" x14ac:dyDescent="0.3">
      <c r="A3814">
        <v>41085</v>
      </c>
      <c r="B3814">
        <v>105</v>
      </c>
      <c r="C3814" t="s">
        <v>557</v>
      </c>
      <c r="D3814" s="452">
        <v>45839</v>
      </c>
      <c r="E3814">
        <v>19982</v>
      </c>
      <c r="F3814" t="s">
        <v>5017</v>
      </c>
      <c r="G3814">
        <v>2351</v>
      </c>
      <c r="H3814">
        <v>1</v>
      </c>
      <c r="I3814" t="s">
        <v>4888</v>
      </c>
      <c r="J3814" t="s">
        <v>5191</v>
      </c>
      <c r="K3814" t="s">
        <v>3935</v>
      </c>
      <c r="L3814">
        <v>6.15</v>
      </c>
      <c r="M3814" s="452">
        <v>45831</v>
      </c>
      <c r="N3814">
        <v>6.15</v>
      </c>
      <c r="O3814">
        <v>7.2</v>
      </c>
      <c r="P3814">
        <v>6.15</v>
      </c>
    </row>
    <row r="3815" spans="1:16" x14ac:dyDescent="0.3">
      <c r="A3815">
        <v>41169</v>
      </c>
      <c r="B3815">
        <v>105</v>
      </c>
      <c r="C3815" t="s">
        <v>557</v>
      </c>
      <c r="D3815" s="452">
        <v>45839</v>
      </c>
      <c r="E3815">
        <v>19557</v>
      </c>
      <c r="F3815" t="s">
        <v>5051</v>
      </c>
      <c r="G3815">
        <v>2660</v>
      </c>
      <c r="H3815">
        <v>0.8</v>
      </c>
      <c r="I3815" t="s">
        <v>4744</v>
      </c>
      <c r="J3815" t="s">
        <v>5191</v>
      </c>
      <c r="K3815" t="s">
        <v>3935</v>
      </c>
      <c r="L3815">
        <v>7.5</v>
      </c>
      <c r="M3815" s="452">
        <v>45819</v>
      </c>
      <c r="N3815">
        <v>7.5</v>
      </c>
      <c r="O3815">
        <v>7.5</v>
      </c>
      <c r="P3815">
        <v>6</v>
      </c>
    </row>
    <row r="3816" spans="1:16" x14ac:dyDescent="0.3">
      <c r="A3816">
        <v>41116</v>
      </c>
      <c r="B3816">
        <v>105</v>
      </c>
      <c r="C3816" t="s">
        <v>557</v>
      </c>
      <c r="D3816" s="452">
        <v>45839</v>
      </c>
      <c r="E3816">
        <v>19509</v>
      </c>
      <c r="F3816" t="s">
        <v>5490</v>
      </c>
      <c r="G3816">
        <v>2703</v>
      </c>
      <c r="H3816">
        <v>2</v>
      </c>
      <c r="I3816" t="s">
        <v>4744</v>
      </c>
      <c r="J3816" t="s">
        <v>5191</v>
      </c>
      <c r="K3816" t="s">
        <v>3935</v>
      </c>
      <c r="L3816">
        <v>2.96</v>
      </c>
      <c r="M3816" s="452">
        <v>45834</v>
      </c>
      <c r="N3816">
        <v>2.8</v>
      </c>
      <c r="O3816">
        <v>2.8</v>
      </c>
      <c r="P3816">
        <v>5.92</v>
      </c>
    </row>
    <row r="3817" spans="1:16" x14ac:dyDescent="0.3">
      <c r="A3817">
        <v>41147</v>
      </c>
      <c r="B3817">
        <v>105</v>
      </c>
      <c r="C3817" t="s">
        <v>557</v>
      </c>
      <c r="D3817" s="452">
        <v>45839</v>
      </c>
      <c r="E3817">
        <v>19480</v>
      </c>
      <c r="F3817" t="s">
        <v>5119</v>
      </c>
      <c r="G3817">
        <v>2726</v>
      </c>
      <c r="H3817">
        <v>0.4</v>
      </c>
      <c r="I3817" t="s">
        <v>4744</v>
      </c>
      <c r="J3817" t="s">
        <v>5191</v>
      </c>
      <c r="K3817" t="s">
        <v>3935</v>
      </c>
      <c r="L3817">
        <v>14.17</v>
      </c>
      <c r="M3817" s="452">
        <v>45834</v>
      </c>
      <c r="N3817">
        <v>10</v>
      </c>
      <c r="O3817">
        <v>12.5</v>
      </c>
      <c r="P3817">
        <v>5.67</v>
      </c>
    </row>
    <row r="3818" spans="1:16" x14ac:dyDescent="0.3">
      <c r="A3818">
        <v>41170</v>
      </c>
      <c r="B3818">
        <v>105</v>
      </c>
      <c r="C3818" t="s">
        <v>557</v>
      </c>
      <c r="D3818" s="452">
        <v>45839</v>
      </c>
      <c r="E3818">
        <v>19553</v>
      </c>
      <c r="F3818" t="s">
        <v>4868</v>
      </c>
      <c r="G3818">
        <v>2663</v>
      </c>
      <c r="H3818">
        <v>2.2000000000000002</v>
      </c>
      <c r="I3818" t="s">
        <v>4744</v>
      </c>
      <c r="J3818" t="s">
        <v>5191</v>
      </c>
      <c r="K3818" t="s">
        <v>3935</v>
      </c>
      <c r="L3818">
        <v>2.2999999999999998</v>
      </c>
      <c r="M3818" s="452">
        <v>45838</v>
      </c>
      <c r="N3818">
        <v>2.14</v>
      </c>
      <c r="O3818">
        <v>2.06</v>
      </c>
      <c r="P3818">
        <v>5.0599999999999996</v>
      </c>
    </row>
    <row r="3819" spans="1:16" x14ac:dyDescent="0.3">
      <c r="A3819">
        <v>41194</v>
      </c>
      <c r="B3819">
        <v>105</v>
      </c>
      <c r="C3819" t="s">
        <v>557</v>
      </c>
      <c r="D3819" s="452">
        <v>45839</v>
      </c>
      <c r="E3819">
        <v>24674</v>
      </c>
      <c r="F3819" t="s">
        <v>5060</v>
      </c>
      <c r="G3819">
        <v>5709</v>
      </c>
      <c r="H3819">
        <v>3</v>
      </c>
      <c r="I3819" t="s">
        <v>4744</v>
      </c>
      <c r="J3819" t="s">
        <v>5191</v>
      </c>
      <c r="K3819" t="s">
        <v>3935</v>
      </c>
      <c r="L3819">
        <v>0</v>
      </c>
      <c r="M3819" s="452">
        <v>-693593</v>
      </c>
      <c r="N3819">
        <v>0</v>
      </c>
      <c r="O3819">
        <v>1.3</v>
      </c>
      <c r="P3819">
        <v>2.4</v>
      </c>
    </row>
    <row r="3820" spans="1:16" x14ac:dyDescent="0.3">
      <c r="A3820">
        <v>41140</v>
      </c>
      <c r="B3820">
        <v>105</v>
      </c>
      <c r="C3820" t="s">
        <v>557</v>
      </c>
      <c r="D3820" s="452">
        <v>45839</v>
      </c>
      <c r="E3820">
        <v>23241</v>
      </c>
      <c r="F3820" t="s">
        <v>5469</v>
      </c>
      <c r="G3820">
        <v>2616</v>
      </c>
      <c r="H3820">
        <v>0.7</v>
      </c>
      <c r="I3820" t="s">
        <v>4744</v>
      </c>
      <c r="J3820" t="s">
        <v>5191</v>
      </c>
      <c r="K3820" t="s">
        <v>3935</v>
      </c>
      <c r="L3820">
        <v>2.4</v>
      </c>
      <c r="M3820" s="452">
        <v>45838</v>
      </c>
      <c r="N3820">
        <v>2.4</v>
      </c>
      <c r="O3820">
        <v>2.4</v>
      </c>
      <c r="P3820">
        <v>1.68</v>
      </c>
    </row>
    <row r="3821" spans="1:16" x14ac:dyDescent="0.3">
      <c r="A3821">
        <v>41093</v>
      </c>
      <c r="B3821">
        <v>105</v>
      </c>
      <c r="C3821" t="s">
        <v>557</v>
      </c>
      <c r="D3821" s="452">
        <v>45839</v>
      </c>
      <c r="E3821">
        <v>20985</v>
      </c>
      <c r="F3821" t="s">
        <v>5494</v>
      </c>
      <c r="G3821">
        <v>2011</v>
      </c>
      <c r="H3821">
        <v>6</v>
      </c>
      <c r="I3821" t="s">
        <v>4736</v>
      </c>
      <c r="J3821" t="s">
        <v>5191</v>
      </c>
      <c r="K3821" t="s">
        <v>3935</v>
      </c>
      <c r="L3821">
        <v>0</v>
      </c>
      <c r="M3821" s="452">
        <v>45838</v>
      </c>
      <c r="N3821">
        <v>0</v>
      </c>
      <c r="O3821">
        <v>0</v>
      </c>
      <c r="P3821">
        <v>0</v>
      </c>
    </row>
    <row r="3822" spans="1:16" x14ac:dyDescent="0.3">
      <c r="A3822">
        <v>38556</v>
      </c>
      <c r="B3822">
        <v>105</v>
      </c>
      <c r="C3822" t="s">
        <v>557</v>
      </c>
      <c r="D3822" s="452">
        <v>45809</v>
      </c>
      <c r="E3822">
        <v>26132</v>
      </c>
      <c r="F3822" t="s">
        <v>5522</v>
      </c>
      <c r="G3822">
        <v>6584</v>
      </c>
      <c r="H3822">
        <v>25.35</v>
      </c>
      <c r="I3822" t="s">
        <v>4744</v>
      </c>
      <c r="J3822" t="s">
        <v>5191</v>
      </c>
      <c r="K3822" t="s">
        <v>4434</v>
      </c>
      <c r="L3822">
        <v>0</v>
      </c>
      <c r="M3822" s="452">
        <v>-693593</v>
      </c>
      <c r="N3822">
        <v>0</v>
      </c>
      <c r="O3822">
        <v>0</v>
      </c>
      <c r="P3822">
        <v>2509.65</v>
      </c>
    </row>
    <row r="3823" spans="1:16" x14ac:dyDescent="0.3">
      <c r="A3823">
        <v>38776</v>
      </c>
      <c r="B3823">
        <v>105</v>
      </c>
      <c r="C3823" t="s">
        <v>557</v>
      </c>
      <c r="D3823" s="452">
        <v>45809</v>
      </c>
      <c r="E3823">
        <v>26130</v>
      </c>
      <c r="F3823" t="s">
        <v>5513</v>
      </c>
      <c r="G3823">
        <v>6583</v>
      </c>
      <c r="H3823">
        <v>13.5</v>
      </c>
      <c r="I3823" t="s">
        <v>4744</v>
      </c>
      <c r="J3823" t="s">
        <v>5191</v>
      </c>
      <c r="K3823" t="s">
        <v>4434</v>
      </c>
      <c r="L3823">
        <v>0</v>
      </c>
      <c r="M3823" s="452">
        <v>45743</v>
      </c>
      <c r="N3823">
        <v>162</v>
      </c>
      <c r="O3823">
        <v>162</v>
      </c>
      <c r="P3823">
        <v>2187</v>
      </c>
    </row>
    <row r="3824" spans="1:16" x14ac:dyDescent="0.3">
      <c r="A3824">
        <v>38772</v>
      </c>
      <c r="B3824">
        <v>105</v>
      </c>
      <c r="C3824" t="s">
        <v>557</v>
      </c>
      <c r="D3824" s="452">
        <v>45809</v>
      </c>
      <c r="E3824">
        <v>17895</v>
      </c>
      <c r="F3824" t="s">
        <v>5086</v>
      </c>
      <c r="G3824">
        <v>3665</v>
      </c>
      <c r="H3824">
        <v>69</v>
      </c>
      <c r="I3824" t="s">
        <v>4738</v>
      </c>
      <c r="J3824" t="s">
        <v>5222</v>
      </c>
      <c r="K3824" t="s">
        <v>4434</v>
      </c>
      <c r="L3824">
        <v>26.28</v>
      </c>
      <c r="M3824" s="452">
        <v>45789</v>
      </c>
      <c r="N3824">
        <v>26.28</v>
      </c>
      <c r="O3824">
        <v>26.28</v>
      </c>
      <c r="P3824">
        <v>1813.32</v>
      </c>
    </row>
    <row r="3825" spans="1:16" x14ac:dyDescent="0.3">
      <c r="A3825">
        <v>38725</v>
      </c>
      <c r="B3825">
        <v>105</v>
      </c>
      <c r="C3825" t="s">
        <v>557</v>
      </c>
      <c r="D3825" s="452">
        <v>45809</v>
      </c>
      <c r="E3825">
        <v>20501</v>
      </c>
      <c r="F3825" t="s">
        <v>4760</v>
      </c>
      <c r="G3825">
        <v>2154</v>
      </c>
      <c r="H3825">
        <v>70.38</v>
      </c>
      <c r="I3825" t="s">
        <v>4744</v>
      </c>
      <c r="J3825" t="s">
        <v>5191</v>
      </c>
      <c r="K3825" t="s">
        <v>4434</v>
      </c>
      <c r="L3825">
        <v>23</v>
      </c>
      <c r="M3825" s="452">
        <v>45797</v>
      </c>
      <c r="N3825">
        <v>19.989999999999998</v>
      </c>
      <c r="O3825">
        <v>20.8</v>
      </c>
      <c r="P3825">
        <v>1618.74</v>
      </c>
    </row>
    <row r="3826" spans="1:16" x14ac:dyDescent="0.3">
      <c r="A3826">
        <v>38626</v>
      </c>
      <c r="B3826">
        <v>105</v>
      </c>
      <c r="C3826" t="s">
        <v>557</v>
      </c>
      <c r="D3826" s="452">
        <v>45809</v>
      </c>
      <c r="E3826">
        <v>18636</v>
      </c>
      <c r="F3826" t="s">
        <v>4964</v>
      </c>
      <c r="G3826">
        <v>3075</v>
      </c>
      <c r="H3826">
        <v>3</v>
      </c>
      <c r="I3826" t="s">
        <v>4965</v>
      </c>
      <c r="J3826" t="s">
        <v>5222</v>
      </c>
      <c r="K3826" t="s">
        <v>4434</v>
      </c>
      <c r="L3826">
        <v>446.16</v>
      </c>
      <c r="M3826" s="452">
        <v>45789</v>
      </c>
      <c r="N3826">
        <v>446.16</v>
      </c>
      <c r="O3826">
        <v>446.16</v>
      </c>
      <c r="P3826">
        <v>1338.48</v>
      </c>
    </row>
    <row r="3827" spans="1:16" x14ac:dyDescent="0.3">
      <c r="A3827">
        <v>38655</v>
      </c>
      <c r="B3827">
        <v>105</v>
      </c>
      <c r="C3827" t="s">
        <v>557</v>
      </c>
      <c r="D3827" s="452">
        <v>45809</v>
      </c>
      <c r="E3827">
        <v>18945</v>
      </c>
      <c r="F3827" t="s">
        <v>4768</v>
      </c>
      <c r="G3827">
        <v>2929</v>
      </c>
      <c r="H3827">
        <v>21</v>
      </c>
      <c r="I3827" t="s">
        <v>4744</v>
      </c>
      <c r="J3827" t="s">
        <v>5191</v>
      </c>
      <c r="K3827" t="s">
        <v>4434</v>
      </c>
      <c r="L3827">
        <v>58.09</v>
      </c>
      <c r="M3827" s="452">
        <v>45805</v>
      </c>
      <c r="N3827">
        <v>58.25</v>
      </c>
      <c r="O3827">
        <v>58.25</v>
      </c>
      <c r="P3827">
        <v>1219.8900000000001</v>
      </c>
    </row>
    <row r="3828" spans="1:16" x14ac:dyDescent="0.3">
      <c r="A3828">
        <v>38571</v>
      </c>
      <c r="B3828">
        <v>105</v>
      </c>
      <c r="C3828" t="s">
        <v>557</v>
      </c>
      <c r="D3828" s="452">
        <v>45809</v>
      </c>
      <c r="E3828">
        <v>21054</v>
      </c>
      <c r="F3828" t="s">
        <v>5492</v>
      </c>
      <c r="G3828">
        <v>1999</v>
      </c>
      <c r="H3828">
        <v>6</v>
      </c>
      <c r="I3828" t="s">
        <v>4736</v>
      </c>
      <c r="J3828" t="s">
        <v>5191</v>
      </c>
      <c r="K3828" t="s">
        <v>4434</v>
      </c>
      <c r="L3828">
        <v>0</v>
      </c>
      <c r="M3828" s="452">
        <v>45678</v>
      </c>
      <c r="N3828">
        <v>184.9</v>
      </c>
      <c r="O3828">
        <v>184.9</v>
      </c>
      <c r="P3828">
        <v>1109.4000000000001</v>
      </c>
    </row>
    <row r="3829" spans="1:16" x14ac:dyDescent="0.3">
      <c r="A3829">
        <v>38676</v>
      </c>
      <c r="B3829">
        <v>105</v>
      </c>
      <c r="C3829" t="s">
        <v>557</v>
      </c>
      <c r="D3829" s="452">
        <v>45809</v>
      </c>
      <c r="E3829">
        <v>24256</v>
      </c>
      <c r="F3829" t="s">
        <v>4773</v>
      </c>
      <c r="G3829">
        <v>3003</v>
      </c>
      <c r="H3829">
        <v>24.2</v>
      </c>
      <c r="I3829" t="s">
        <v>4744</v>
      </c>
      <c r="J3829" t="s">
        <v>5191</v>
      </c>
      <c r="K3829" t="s">
        <v>4434</v>
      </c>
      <c r="L3829">
        <v>45</v>
      </c>
      <c r="M3829" s="452">
        <v>45804</v>
      </c>
      <c r="N3829">
        <v>45</v>
      </c>
      <c r="O3829">
        <v>38</v>
      </c>
      <c r="P3829">
        <v>1089</v>
      </c>
    </row>
    <row r="3830" spans="1:16" x14ac:dyDescent="0.3">
      <c r="A3830">
        <v>38804</v>
      </c>
      <c r="B3830">
        <v>105</v>
      </c>
      <c r="C3830" t="s">
        <v>557</v>
      </c>
      <c r="D3830" s="452">
        <v>45809</v>
      </c>
      <c r="E3830">
        <v>25789</v>
      </c>
      <c r="F3830" t="s">
        <v>4902</v>
      </c>
      <c r="G3830">
        <v>6328</v>
      </c>
      <c r="H3830">
        <v>10.77</v>
      </c>
      <c r="I3830" t="s">
        <v>4744</v>
      </c>
      <c r="J3830" t="s">
        <v>5191</v>
      </c>
      <c r="K3830" t="s">
        <v>4434</v>
      </c>
      <c r="L3830">
        <v>0</v>
      </c>
      <c r="M3830" s="452">
        <v>45671</v>
      </c>
      <c r="N3830">
        <v>99.8</v>
      </c>
      <c r="O3830">
        <v>99.8</v>
      </c>
      <c r="P3830">
        <v>1074.8399999999999</v>
      </c>
    </row>
    <row r="3831" spans="1:16" x14ac:dyDescent="0.3">
      <c r="A3831">
        <v>38618</v>
      </c>
      <c r="B3831">
        <v>105</v>
      </c>
      <c r="C3831" t="s">
        <v>557</v>
      </c>
      <c r="D3831" s="452">
        <v>45809</v>
      </c>
      <c r="E3831">
        <v>22654</v>
      </c>
      <c r="F3831" t="s">
        <v>4735</v>
      </c>
      <c r="G3831">
        <v>3083</v>
      </c>
      <c r="H3831">
        <v>186</v>
      </c>
      <c r="I3831" t="s">
        <v>4736</v>
      </c>
      <c r="J3831" t="s">
        <v>5222</v>
      </c>
      <c r="K3831" t="s">
        <v>4434</v>
      </c>
      <c r="L3831">
        <v>0</v>
      </c>
      <c r="M3831" s="452">
        <v>45679</v>
      </c>
      <c r="N3831">
        <v>5.61</v>
      </c>
      <c r="O3831">
        <v>4.49</v>
      </c>
      <c r="P3831">
        <v>1043.46</v>
      </c>
    </row>
    <row r="3832" spans="1:16" x14ac:dyDescent="0.3">
      <c r="A3832">
        <v>38627</v>
      </c>
      <c r="B3832">
        <v>105</v>
      </c>
      <c r="C3832" t="s">
        <v>557</v>
      </c>
      <c r="D3832" s="452">
        <v>45809</v>
      </c>
      <c r="E3832">
        <v>25785</v>
      </c>
      <c r="F3832" t="s">
        <v>5457</v>
      </c>
      <c r="G3832">
        <v>6326</v>
      </c>
      <c r="H3832">
        <v>11.35</v>
      </c>
      <c r="I3832" t="s">
        <v>4744</v>
      </c>
      <c r="J3832" t="s">
        <v>5191</v>
      </c>
      <c r="K3832" t="s">
        <v>4434</v>
      </c>
      <c r="L3832">
        <v>0</v>
      </c>
      <c r="M3832" s="452">
        <v>45772</v>
      </c>
      <c r="N3832">
        <v>89.9</v>
      </c>
      <c r="O3832">
        <v>89.9</v>
      </c>
      <c r="P3832">
        <v>1020.36</v>
      </c>
    </row>
    <row r="3833" spans="1:16" x14ac:dyDescent="0.3">
      <c r="A3833">
        <v>38810</v>
      </c>
      <c r="B3833">
        <v>105</v>
      </c>
      <c r="C3833" t="s">
        <v>557</v>
      </c>
      <c r="D3833" s="452">
        <v>45809</v>
      </c>
      <c r="E3833">
        <v>19291</v>
      </c>
      <c r="F3833" t="s">
        <v>4870</v>
      </c>
      <c r="G3833">
        <v>2775</v>
      </c>
      <c r="H3833">
        <v>13</v>
      </c>
      <c r="I3833" t="s">
        <v>4744</v>
      </c>
      <c r="J3833" t="s">
        <v>5191</v>
      </c>
      <c r="K3833" t="s">
        <v>4434</v>
      </c>
      <c r="L3833">
        <v>72.349999999999994</v>
      </c>
      <c r="M3833" s="452">
        <v>45807</v>
      </c>
      <c r="N3833">
        <v>72.349999999999994</v>
      </c>
      <c r="O3833">
        <v>72.349999999999994</v>
      </c>
      <c r="P3833">
        <v>940.55</v>
      </c>
    </row>
    <row r="3834" spans="1:16" x14ac:dyDescent="0.3">
      <c r="A3834">
        <v>38677</v>
      </c>
      <c r="B3834">
        <v>105</v>
      </c>
      <c r="C3834" t="s">
        <v>557</v>
      </c>
      <c r="D3834" s="452">
        <v>45809</v>
      </c>
      <c r="E3834">
        <v>24259</v>
      </c>
      <c r="F3834" t="s">
        <v>4875</v>
      </c>
      <c r="G3834">
        <v>2938</v>
      </c>
      <c r="H3834">
        <v>10.81</v>
      </c>
      <c r="I3834" t="s">
        <v>4744</v>
      </c>
      <c r="J3834" t="s">
        <v>5191</v>
      </c>
      <c r="K3834" t="s">
        <v>4434</v>
      </c>
      <c r="L3834">
        <v>73.95</v>
      </c>
      <c r="M3834" s="452">
        <v>45805</v>
      </c>
      <c r="N3834">
        <v>73.95</v>
      </c>
      <c r="O3834">
        <v>69.989999999999995</v>
      </c>
      <c r="P3834">
        <v>799.4</v>
      </c>
    </row>
    <row r="3835" spans="1:16" x14ac:dyDescent="0.3">
      <c r="A3835">
        <v>38615</v>
      </c>
      <c r="B3835">
        <v>105</v>
      </c>
      <c r="C3835" t="s">
        <v>557</v>
      </c>
      <c r="D3835" s="452">
        <v>45809</v>
      </c>
      <c r="E3835">
        <v>24129</v>
      </c>
      <c r="F3835" t="s">
        <v>4740</v>
      </c>
      <c r="G3835">
        <v>3076</v>
      </c>
      <c r="H3835">
        <v>102</v>
      </c>
      <c r="I3835" t="s">
        <v>4736</v>
      </c>
      <c r="J3835" t="s">
        <v>5222</v>
      </c>
      <c r="K3835" t="s">
        <v>4434</v>
      </c>
      <c r="L3835">
        <v>0</v>
      </c>
      <c r="M3835" s="452">
        <v>45512</v>
      </c>
      <c r="N3835">
        <v>7.7</v>
      </c>
      <c r="O3835">
        <v>7.95</v>
      </c>
      <c r="P3835">
        <v>785.4</v>
      </c>
    </row>
    <row r="3836" spans="1:16" x14ac:dyDescent="0.3">
      <c r="A3836">
        <v>38805</v>
      </c>
      <c r="B3836">
        <v>105</v>
      </c>
      <c r="C3836" t="s">
        <v>557</v>
      </c>
      <c r="D3836" s="452">
        <v>45809</v>
      </c>
      <c r="E3836">
        <v>19356</v>
      </c>
      <c r="F3836" t="s">
        <v>4799</v>
      </c>
      <c r="G3836">
        <v>2768</v>
      </c>
      <c r="H3836">
        <v>13.88</v>
      </c>
      <c r="I3836" t="s">
        <v>4744</v>
      </c>
      <c r="J3836" t="s">
        <v>5191</v>
      </c>
      <c r="K3836" t="s">
        <v>4434</v>
      </c>
      <c r="L3836">
        <v>55.9</v>
      </c>
      <c r="M3836" s="452">
        <v>45797</v>
      </c>
      <c r="N3836">
        <v>55.9</v>
      </c>
      <c r="O3836">
        <v>55.9</v>
      </c>
      <c r="P3836">
        <v>775.89</v>
      </c>
    </row>
    <row r="3837" spans="1:16" x14ac:dyDescent="0.3">
      <c r="A3837">
        <v>38558</v>
      </c>
      <c r="B3837">
        <v>105</v>
      </c>
      <c r="C3837" t="s">
        <v>557</v>
      </c>
      <c r="D3837" s="452">
        <v>45809</v>
      </c>
      <c r="E3837">
        <v>18550</v>
      </c>
      <c r="F3837" t="s">
        <v>4967</v>
      </c>
      <c r="G3837">
        <v>3130</v>
      </c>
      <c r="H3837">
        <v>4</v>
      </c>
      <c r="I3837" t="s">
        <v>4805</v>
      </c>
      <c r="J3837" t="s">
        <v>5222</v>
      </c>
      <c r="K3837" t="s">
        <v>4434</v>
      </c>
      <c r="L3837">
        <v>0</v>
      </c>
      <c r="M3837" s="452">
        <v>45757</v>
      </c>
      <c r="N3837">
        <v>183.08</v>
      </c>
      <c r="O3837">
        <v>171.9</v>
      </c>
      <c r="P3837">
        <v>732.32</v>
      </c>
    </row>
    <row r="3838" spans="1:16" x14ac:dyDescent="0.3">
      <c r="A3838">
        <v>38873</v>
      </c>
      <c r="B3838">
        <v>105</v>
      </c>
      <c r="C3838" t="s">
        <v>557</v>
      </c>
      <c r="D3838" s="452">
        <v>45809</v>
      </c>
      <c r="E3838">
        <v>18179</v>
      </c>
      <c r="F3838" t="s">
        <v>4924</v>
      </c>
      <c r="G3838">
        <v>3443</v>
      </c>
      <c r="H3838">
        <v>7</v>
      </c>
      <c r="I3838" t="s">
        <v>4805</v>
      </c>
      <c r="J3838" t="s">
        <v>5222</v>
      </c>
      <c r="K3838" t="s">
        <v>4434</v>
      </c>
      <c r="L3838">
        <v>0</v>
      </c>
      <c r="M3838" s="452">
        <v>45646</v>
      </c>
      <c r="N3838">
        <v>102.56</v>
      </c>
      <c r="O3838">
        <v>101.06</v>
      </c>
      <c r="P3838">
        <v>717.92</v>
      </c>
    </row>
    <row r="3839" spans="1:16" x14ac:dyDescent="0.3">
      <c r="A3839">
        <v>39254</v>
      </c>
      <c r="B3839">
        <v>105</v>
      </c>
      <c r="C3839" t="s">
        <v>557</v>
      </c>
      <c r="D3839" s="452">
        <v>45809</v>
      </c>
      <c r="E3839">
        <v>27145</v>
      </c>
      <c r="F3839" t="s">
        <v>5028</v>
      </c>
      <c r="G3839">
        <v>7186</v>
      </c>
      <c r="H3839">
        <v>1</v>
      </c>
      <c r="I3839" t="s">
        <v>4965</v>
      </c>
      <c r="J3839" t="s">
        <v>5222</v>
      </c>
      <c r="K3839" t="s">
        <v>4434</v>
      </c>
      <c r="L3839">
        <v>0</v>
      </c>
      <c r="N3839">
        <v>0</v>
      </c>
      <c r="O3839">
        <v>0</v>
      </c>
      <c r="P3839">
        <v>627</v>
      </c>
    </row>
    <row r="3840" spans="1:16" x14ac:dyDescent="0.3">
      <c r="A3840">
        <v>38867</v>
      </c>
      <c r="B3840">
        <v>105</v>
      </c>
      <c r="C3840" t="s">
        <v>557</v>
      </c>
      <c r="D3840" s="452">
        <v>45809</v>
      </c>
      <c r="E3840">
        <v>17607</v>
      </c>
      <c r="F3840" t="s">
        <v>5436</v>
      </c>
      <c r="G3840">
        <v>3919</v>
      </c>
      <c r="H3840">
        <v>5</v>
      </c>
      <c r="I3840" t="s">
        <v>4736</v>
      </c>
      <c r="J3840" t="s">
        <v>5222</v>
      </c>
      <c r="K3840" t="s">
        <v>4434</v>
      </c>
      <c r="L3840">
        <v>0</v>
      </c>
      <c r="M3840" s="452">
        <v>-693593</v>
      </c>
      <c r="N3840">
        <v>0</v>
      </c>
      <c r="O3840">
        <v>0</v>
      </c>
      <c r="P3840">
        <v>611.54999999999995</v>
      </c>
    </row>
    <row r="3841" spans="1:16" x14ac:dyDescent="0.3">
      <c r="A3841">
        <v>38621</v>
      </c>
      <c r="B3841">
        <v>105</v>
      </c>
      <c r="C3841" t="s">
        <v>557</v>
      </c>
      <c r="D3841" s="452">
        <v>45809</v>
      </c>
      <c r="E3841">
        <v>22623</v>
      </c>
      <c r="F3841" t="s">
        <v>4751</v>
      </c>
      <c r="G3841">
        <v>3106</v>
      </c>
      <c r="H3841">
        <v>85</v>
      </c>
      <c r="I3841" t="s">
        <v>4736</v>
      </c>
      <c r="J3841" t="s">
        <v>5222</v>
      </c>
      <c r="K3841" t="s">
        <v>4434</v>
      </c>
      <c r="L3841">
        <v>0</v>
      </c>
      <c r="M3841" s="452">
        <v>45679</v>
      </c>
      <c r="N3841">
        <v>6.83</v>
      </c>
      <c r="O3841">
        <v>6.83</v>
      </c>
      <c r="P3841">
        <v>580.54999999999995</v>
      </c>
    </row>
    <row r="3842" spans="1:16" x14ac:dyDescent="0.3">
      <c r="A3842">
        <v>38809</v>
      </c>
      <c r="B3842">
        <v>105</v>
      </c>
      <c r="C3842" t="s">
        <v>557</v>
      </c>
      <c r="D3842" s="452">
        <v>45809</v>
      </c>
      <c r="E3842">
        <v>19322</v>
      </c>
      <c r="F3842" t="s">
        <v>4830</v>
      </c>
      <c r="G3842">
        <v>2773</v>
      </c>
      <c r="H3842">
        <v>12.76</v>
      </c>
      <c r="I3842" t="s">
        <v>4744</v>
      </c>
      <c r="J3842" t="s">
        <v>5191</v>
      </c>
      <c r="K3842" t="s">
        <v>4434</v>
      </c>
      <c r="L3842">
        <v>45.4</v>
      </c>
      <c r="M3842" s="452">
        <v>45797</v>
      </c>
      <c r="N3842">
        <v>45.32</v>
      </c>
      <c r="O3842">
        <v>45.2</v>
      </c>
      <c r="P3842">
        <v>579.29999999999995</v>
      </c>
    </row>
    <row r="3843" spans="1:16" x14ac:dyDescent="0.3">
      <c r="A3843">
        <v>38820</v>
      </c>
      <c r="B3843">
        <v>105</v>
      </c>
      <c r="C3843" t="s">
        <v>557</v>
      </c>
      <c r="D3843" s="452">
        <v>45809</v>
      </c>
      <c r="E3843">
        <v>25714</v>
      </c>
      <c r="F3843" t="s">
        <v>4927</v>
      </c>
      <c r="G3843">
        <v>6275</v>
      </c>
      <c r="H3843">
        <v>4</v>
      </c>
      <c r="I3843" t="s">
        <v>4805</v>
      </c>
      <c r="J3843" t="s">
        <v>5222</v>
      </c>
      <c r="K3843" t="s">
        <v>4434</v>
      </c>
      <c r="L3843">
        <v>0</v>
      </c>
      <c r="M3843" s="452">
        <v>45757</v>
      </c>
      <c r="N3843">
        <v>136.37</v>
      </c>
      <c r="O3843">
        <v>142.38999999999999</v>
      </c>
      <c r="P3843">
        <v>545.48</v>
      </c>
    </row>
    <row r="3844" spans="1:16" x14ac:dyDescent="0.3">
      <c r="A3844">
        <v>38643</v>
      </c>
      <c r="B3844">
        <v>105</v>
      </c>
      <c r="C3844" t="s">
        <v>557</v>
      </c>
      <c r="D3844" s="452">
        <v>45809</v>
      </c>
      <c r="E3844">
        <v>22843</v>
      </c>
      <c r="F3844" t="s">
        <v>4849</v>
      </c>
      <c r="G3844">
        <v>2936</v>
      </c>
      <c r="H3844">
        <v>10.5</v>
      </c>
      <c r="I3844" t="s">
        <v>4744</v>
      </c>
      <c r="J3844" t="s">
        <v>5191</v>
      </c>
      <c r="K3844" t="s">
        <v>4434</v>
      </c>
      <c r="L3844">
        <v>49</v>
      </c>
      <c r="M3844" s="452">
        <v>45805</v>
      </c>
      <c r="N3844">
        <v>49</v>
      </c>
      <c r="O3844">
        <v>28.8</v>
      </c>
      <c r="P3844">
        <v>514.5</v>
      </c>
    </row>
    <row r="3845" spans="1:16" x14ac:dyDescent="0.3">
      <c r="A3845">
        <v>38696</v>
      </c>
      <c r="B3845">
        <v>105</v>
      </c>
      <c r="C3845" t="s">
        <v>557</v>
      </c>
      <c r="D3845" s="452">
        <v>45809</v>
      </c>
      <c r="E3845">
        <v>24320</v>
      </c>
      <c r="F3845" t="s">
        <v>4861</v>
      </c>
      <c r="G3845">
        <v>2942</v>
      </c>
      <c r="H3845">
        <v>10.3</v>
      </c>
      <c r="I3845" t="s">
        <v>4744</v>
      </c>
      <c r="J3845" t="s">
        <v>5191</v>
      </c>
      <c r="K3845" t="s">
        <v>4434</v>
      </c>
      <c r="L3845">
        <v>49.9</v>
      </c>
      <c r="M3845" s="452">
        <v>45805</v>
      </c>
      <c r="N3845">
        <v>49.9</v>
      </c>
      <c r="O3845">
        <v>39.840000000000003</v>
      </c>
      <c r="P3845">
        <v>513.97</v>
      </c>
    </row>
    <row r="3846" spans="1:16" x14ac:dyDescent="0.3">
      <c r="A3846">
        <v>38616</v>
      </c>
      <c r="B3846">
        <v>105</v>
      </c>
      <c r="C3846" t="s">
        <v>557</v>
      </c>
      <c r="D3846" s="452">
        <v>45809</v>
      </c>
      <c r="E3846">
        <v>26505</v>
      </c>
      <c r="F3846" t="s">
        <v>4750</v>
      </c>
      <c r="G3846">
        <v>6762</v>
      </c>
      <c r="H3846">
        <v>2.42</v>
      </c>
      <c r="I3846" t="s">
        <v>4738</v>
      </c>
      <c r="J3846" t="s">
        <v>5222</v>
      </c>
      <c r="K3846" t="s">
        <v>4434</v>
      </c>
      <c r="L3846">
        <v>0</v>
      </c>
      <c r="M3846" s="452">
        <v>45722</v>
      </c>
      <c r="N3846">
        <v>203.42</v>
      </c>
      <c r="O3846">
        <v>146.80000000000001</v>
      </c>
      <c r="P3846">
        <v>491.6</v>
      </c>
    </row>
    <row r="3847" spans="1:16" x14ac:dyDescent="0.3">
      <c r="A3847">
        <v>38865</v>
      </c>
      <c r="B3847">
        <v>105</v>
      </c>
      <c r="C3847" t="s">
        <v>557</v>
      </c>
      <c r="D3847" s="452">
        <v>45809</v>
      </c>
      <c r="E3847">
        <v>17578</v>
      </c>
      <c r="F3847" t="s">
        <v>4842</v>
      </c>
      <c r="G3847">
        <v>3948</v>
      </c>
      <c r="H3847">
        <v>6</v>
      </c>
      <c r="I3847" t="s">
        <v>4805</v>
      </c>
      <c r="J3847" t="s">
        <v>5222</v>
      </c>
      <c r="K3847" t="s">
        <v>4434</v>
      </c>
      <c r="L3847">
        <v>0</v>
      </c>
      <c r="M3847" s="452">
        <v>45698</v>
      </c>
      <c r="N3847">
        <v>79.209999999999994</v>
      </c>
      <c r="O3847">
        <v>0</v>
      </c>
      <c r="P3847">
        <v>475.26</v>
      </c>
    </row>
    <row r="3848" spans="1:16" x14ac:dyDescent="0.3">
      <c r="A3848">
        <v>38775</v>
      </c>
      <c r="B3848">
        <v>105</v>
      </c>
      <c r="C3848" t="s">
        <v>557</v>
      </c>
      <c r="D3848" s="452">
        <v>45809</v>
      </c>
      <c r="E3848">
        <v>18735</v>
      </c>
      <c r="F3848" t="s">
        <v>4891</v>
      </c>
      <c r="G3848">
        <v>3018</v>
      </c>
      <c r="H3848">
        <v>6.4</v>
      </c>
      <c r="I3848" t="s">
        <v>4744</v>
      </c>
      <c r="J3848" t="s">
        <v>5191</v>
      </c>
      <c r="K3848" t="s">
        <v>4434</v>
      </c>
      <c r="L3848">
        <v>0</v>
      </c>
      <c r="M3848" s="452">
        <v>45740</v>
      </c>
      <c r="N3848">
        <v>74</v>
      </c>
      <c r="O3848">
        <v>67</v>
      </c>
      <c r="P3848">
        <v>473.6</v>
      </c>
    </row>
    <row r="3849" spans="1:16" x14ac:dyDescent="0.3">
      <c r="A3849">
        <v>38530</v>
      </c>
      <c r="B3849">
        <v>105</v>
      </c>
      <c r="C3849" t="s">
        <v>557</v>
      </c>
      <c r="D3849" s="452">
        <v>45809</v>
      </c>
      <c r="E3849">
        <v>22871</v>
      </c>
      <c r="F3849" t="s">
        <v>4898</v>
      </c>
      <c r="G3849">
        <v>2915</v>
      </c>
      <c r="H3849">
        <v>13.5</v>
      </c>
      <c r="I3849" t="s">
        <v>4744</v>
      </c>
      <c r="J3849" t="s">
        <v>5191</v>
      </c>
      <c r="K3849" t="s">
        <v>4434</v>
      </c>
      <c r="L3849">
        <v>31.9</v>
      </c>
      <c r="M3849" s="452">
        <v>45805</v>
      </c>
      <c r="N3849">
        <v>31.9</v>
      </c>
      <c r="O3849">
        <v>31.9</v>
      </c>
      <c r="P3849">
        <v>430.65</v>
      </c>
    </row>
    <row r="3850" spans="1:16" x14ac:dyDescent="0.3">
      <c r="A3850">
        <v>38738</v>
      </c>
      <c r="B3850">
        <v>105</v>
      </c>
      <c r="C3850" t="s">
        <v>557</v>
      </c>
      <c r="D3850" s="452">
        <v>45809</v>
      </c>
      <c r="E3850">
        <v>19401</v>
      </c>
      <c r="F3850" t="s">
        <v>4809</v>
      </c>
      <c r="G3850">
        <v>2761</v>
      </c>
      <c r="H3850">
        <v>9.36</v>
      </c>
      <c r="I3850" t="s">
        <v>4744</v>
      </c>
      <c r="J3850" t="s">
        <v>5191</v>
      </c>
      <c r="K3850" t="s">
        <v>4434</v>
      </c>
      <c r="L3850">
        <v>45.98</v>
      </c>
      <c r="M3850" s="452">
        <v>45804</v>
      </c>
      <c r="N3850">
        <v>45.98</v>
      </c>
      <c r="O3850">
        <v>45.98</v>
      </c>
      <c r="P3850">
        <v>430.37</v>
      </c>
    </row>
    <row r="3851" spans="1:16" x14ac:dyDescent="0.3">
      <c r="A3851">
        <v>38577</v>
      </c>
      <c r="B3851">
        <v>105</v>
      </c>
      <c r="C3851" t="s">
        <v>557</v>
      </c>
      <c r="D3851" s="452">
        <v>45809</v>
      </c>
      <c r="E3851">
        <v>24081</v>
      </c>
      <c r="F3851" t="s">
        <v>4834</v>
      </c>
      <c r="G3851">
        <v>3034</v>
      </c>
      <c r="H3851">
        <v>11.54</v>
      </c>
      <c r="I3851" t="s">
        <v>4744</v>
      </c>
      <c r="J3851" t="s">
        <v>5191</v>
      </c>
      <c r="K3851" t="s">
        <v>4434</v>
      </c>
      <c r="L3851">
        <v>37.200000000000003</v>
      </c>
      <c r="M3851" s="452">
        <v>45805</v>
      </c>
      <c r="N3851">
        <v>37.200000000000003</v>
      </c>
      <c r="O3851">
        <v>37.200000000000003</v>
      </c>
      <c r="P3851">
        <v>429.29</v>
      </c>
    </row>
    <row r="3852" spans="1:16" x14ac:dyDescent="0.3">
      <c r="A3852">
        <v>38656</v>
      </c>
      <c r="B3852">
        <v>105</v>
      </c>
      <c r="C3852" t="s">
        <v>557</v>
      </c>
      <c r="D3852" s="452">
        <v>45809</v>
      </c>
      <c r="E3852">
        <v>16997</v>
      </c>
      <c r="F3852" t="s">
        <v>5516</v>
      </c>
      <c r="G3852">
        <v>4750</v>
      </c>
      <c r="H3852">
        <v>12</v>
      </c>
      <c r="I3852" t="s">
        <v>4744</v>
      </c>
      <c r="J3852" t="s">
        <v>5191</v>
      </c>
      <c r="K3852" t="s">
        <v>4434</v>
      </c>
      <c r="L3852">
        <v>0</v>
      </c>
      <c r="M3852" s="452">
        <v>45750</v>
      </c>
      <c r="N3852">
        <v>34.49</v>
      </c>
      <c r="O3852">
        <v>34.49</v>
      </c>
      <c r="P3852">
        <v>413.88</v>
      </c>
    </row>
    <row r="3853" spans="1:16" x14ac:dyDescent="0.3">
      <c r="A3853">
        <v>38680</v>
      </c>
      <c r="B3853">
        <v>105</v>
      </c>
      <c r="C3853" t="s">
        <v>557</v>
      </c>
      <c r="D3853" s="452">
        <v>45809</v>
      </c>
      <c r="E3853">
        <v>25777</v>
      </c>
      <c r="F3853" t="s">
        <v>4774</v>
      </c>
      <c r="G3853">
        <v>6322</v>
      </c>
      <c r="H3853">
        <v>4.88</v>
      </c>
      <c r="I3853" t="s">
        <v>4744</v>
      </c>
      <c r="J3853" t="s">
        <v>5191</v>
      </c>
      <c r="K3853" t="s">
        <v>4434</v>
      </c>
      <c r="L3853">
        <v>0</v>
      </c>
      <c r="M3853" s="452">
        <v>45772</v>
      </c>
      <c r="N3853">
        <v>83</v>
      </c>
      <c r="O3853">
        <v>83</v>
      </c>
      <c r="P3853">
        <v>405.04</v>
      </c>
    </row>
    <row r="3854" spans="1:16" x14ac:dyDescent="0.3">
      <c r="A3854">
        <v>38688</v>
      </c>
      <c r="B3854">
        <v>105</v>
      </c>
      <c r="C3854" t="s">
        <v>557</v>
      </c>
      <c r="D3854" s="452">
        <v>45809</v>
      </c>
      <c r="E3854">
        <v>18359</v>
      </c>
      <c r="F3854" t="s">
        <v>4921</v>
      </c>
      <c r="G3854">
        <v>3278</v>
      </c>
      <c r="H3854">
        <v>4</v>
      </c>
      <c r="I3854" t="s">
        <v>4805</v>
      </c>
      <c r="J3854" t="s">
        <v>5222</v>
      </c>
      <c r="K3854" t="s">
        <v>4434</v>
      </c>
      <c r="L3854">
        <v>99.9</v>
      </c>
      <c r="M3854" s="452">
        <v>45790</v>
      </c>
      <c r="N3854">
        <v>99.9</v>
      </c>
      <c r="O3854">
        <v>98.93</v>
      </c>
      <c r="P3854">
        <v>399.6</v>
      </c>
    </row>
    <row r="3855" spans="1:16" x14ac:dyDescent="0.3">
      <c r="A3855">
        <v>38807</v>
      </c>
      <c r="B3855">
        <v>105</v>
      </c>
      <c r="C3855" t="s">
        <v>557</v>
      </c>
      <c r="D3855" s="452">
        <v>45809</v>
      </c>
      <c r="E3855">
        <v>19346</v>
      </c>
      <c r="F3855" t="s">
        <v>4835</v>
      </c>
      <c r="G3855">
        <v>2770</v>
      </c>
      <c r="H3855">
        <v>7.27</v>
      </c>
      <c r="I3855" t="s">
        <v>4744</v>
      </c>
      <c r="J3855" t="s">
        <v>5191</v>
      </c>
      <c r="K3855" t="s">
        <v>4434</v>
      </c>
      <c r="L3855">
        <v>0</v>
      </c>
      <c r="M3855" s="452">
        <v>45757</v>
      </c>
      <c r="N3855">
        <v>54.5</v>
      </c>
      <c r="O3855">
        <v>56.13</v>
      </c>
      <c r="P3855">
        <v>396.22</v>
      </c>
    </row>
    <row r="3856" spans="1:16" x14ac:dyDescent="0.3">
      <c r="A3856">
        <v>38684</v>
      </c>
      <c r="B3856">
        <v>105</v>
      </c>
      <c r="C3856" t="s">
        <v>557</v>
      </c>
      <c r="D3856" s="452">
        <v>45809</v>
      </c>
      <c r="E3856">
        <v>19003</v>
      </c>
      <c r="F3856" t="s">
        <v>4810</v>
      </c>
      <c r="G3856">
        <v>2897</v>
      </c>
      <c r="H3856">
        <v>9.9700000000000006</v>
      </c>
      <c r="I3856" t="s">
        <v>4744</v>
      </c>
      <c r="J3856" t="s">
        <v>5191</v>
      </c>
      <c r="K3856" t="s">
        <v>4434</v>
      </c>
      <c r="L3856">
        <v>35.9</v>
      </c>
      <c r="M3856" s="452">
        <v>45793</v>
      </c>
      <c r="N3856">
        <v>35.9</v>
      </c>
      <c r="O3856">
        <v>35.9</v>
      </c>
      <c r="P3856">
        <v>357.92</v>
      </c>
    </row>
    <row r="3857" spans="1:16" x14ac:dyDescent="0.3">
      <c r="A3857">
        <v>38723</v>
      </c>
      <c r="B3857">
        <v>105</v>
      </c>
      <c r="C3857" t="s">
        <v>557</v>
      </c>
      <c r="D3857" s="452">
        <v>45809</v>
      </c>
      <c r="E3857">
        <v>20544</v>
      </c>
      <c r="F3857" t="s">
        <v>4808</v>
      </c>
      <c r="G3857">
        <v>2144</v>
      </c>
      <c r="H3857">
        <v>8.8000000000000007</v>
      </c>
      <c r="I3857" t="s">
        <v>4744</v>
      </c>
      <c r="J3857" t="s">
        <v>5191</v>
      </c>
      <c r="K3857" t="s">
        <v>4434</v>
      </c>
      <c r="L3857">
        <v>0</v>
      </c>
      <c r="M3857" s="452">
        <v>45705</v>
      </c>
      <c r="N3857">
        <v>38.32</v>
      </c>
      <c r="O3857">
        <v>38.32</v>
      </c>
      <c r="P3857">
        <v>337.22</v>
      </c>
    </row>
    <row r="3858" spans="1:16" x14ac:dyDescent="0.3">
      <c r="A3858">
        <v>38802</v>
      </c>
      <c r="B3858">
        <v>105</v>
      </c>
      <c r="C3858" t="s">
        <v>557</v>
      </c>
      <c r="D3858" s="452">
        <v>45809</v>
      </c>
      <c r="E3858">
        <v>18731</v>
      </c>
      <c r="F3858" t="s">
        <v>4832</v>
      </c>
      <c r="G3858">
        <v>3020</v>
      </c>
      <c r="H3858">
        <v>4</v>
      </c>
      <c r="I3858" t="s">
        <v>4744</v>
      </c>
      <c r="J3858" t="s">
        <v>5191</v>
      </c>
      <c r="K3858" t="s">
        <v>4434</v>
      </c>
      <c r="L3858">
        <v>83.9</v>
      </c>
      <c r="M3858" s="452">
        <v>45797</v>
      </c>
      <c r="N3858">
        <v>83.9</v>
      </c>
      <c r="O3858">
        <v>73</v>
      </c>
      <c r="P3858">
        <v>335.6</v>
      </c>
    </row>
    <row r="3859" spans="1:16" x14ac:dyDescent="0.3">
      <c r="A3859">
        <v>38559</v>
      </c>
      <c r="B3859">
        <v>105</v>
      </c>
      <c r="C3859" t="s">
        <v>557</v>
      </c>
      <c r="D3859" s="452">
        <v>45809</v>
      </c>
      <c r="E3859">
        <v>18547</v>
      </c>
      <c r="F3859" t="s">
        <v>4863</v>
      </c>
      <c r="G3859">
        <v>3132</v>
      </c>
      <c r="H3859">
        <v>9.5500000000000007</v>
      </c>
      <c r="I3859" t="s">
        <v>4805</v>
      </c>
      <c r="J3859" t="s">
        <v>5222</v>
      </c>
      <c r="K3859" t="s">
        <v>4434</v>
      </c>
      <c r="L3859">
        <v>0</v>
      </c>
      <c r="M3859" s="452">
        <v>45742</v>
      </c>
      <c r="N3859">
        <v>34.75</v>
      </c>
      <c r="O3859">
        <v>34.75</v>
      </c>
      <c r="P3859">
        <v>331.86</v>
      </c>
    </row>
    <row r="3860" spans="1:16" x14ac:dyDescent="0.3">
      <c r="A3860">
        <v>38713</v>
      </c>
      <c r="B3860">
        <v>105</v>
      </c>
      <c r="C3860" t="s">
        <v>557</v>
      </c>
      <c r="D3860" s="452">
        <v>45809</v>
      </c>
      <c r="E3860">
        <v>18315</v>
      </c>
      <c r="F3860" t="s">
        <v>4922</v>
      </c>
      <c r="G3860">
        <v>3318</v>
      </c>
      <c r="H3860">
        <v>2.52</v>
      </c>
      <c r="I3860" t="s">
        <v>4805</v>
      </c>
      <c r="J3860" t="s">
        <v>5222</v>
      </c>
      <c r="K3860" t="s">
        <v>4434</v>
      </c>
      <c r="L3860">
        <v>130.81</v>
      </c>
      <c r="M3860" s="452">
        <v>45790</v>
      </c>
      <c r="N3860">
        <v>130.81</v>
      </c>
      <c r="O3860">
        <v>137.9</v>
      </c>
      <c r="P3860">
        <v>329.64</v>
      </c>
    </row>
    <row r="3861" spans="1:16" x14ac:dyDescent="0.3">
      <c r="A3861">
        <v>38860</v>
      </c>
      <c r="B3861">
        <v>105</v>
      </c>
      <c r="C3861" t="s">
        <v>557</v>
      </c>
      <c r="D3861" s="452">
        <v>45809</v>
      </c>
      <c r="E3861">
        <v>26032</v>
      </c>
      <c r="F3861" t="s">
        <v>4896</v>
      </c>
      <c r="G3861">
        <v>6503</v>
      </c>
      <c r="H3861">
        <v>7</v>
      </c>
      <c r="I3861" t="s">
        <v>4805</v>
      </c>
      <c r="J3861" t="s">
        <v>5222</v>
      </c>
      <c r="K3861" t="s">
        <v>4434</v>
      </c>
      <c r="L3861">
        <v>0</v>
      </c>
      <c r="M3861" s="452">
        <v>45698</v>
      </c>
      <c r="N3861">
        <v>46.38</v>
      </c>
      <c r="O3861">
        <v>46.38</v>
      </c>
      <c r="P3861">
        <v>324.66000000000003</v>
      </c>
    </row>
    <row r="3862" spans="1:16" x14ac:dyDescent="0.3">
      <c r="A3862">
        <v>38850</v>
      </c>
      <c r="B3862">
        <v>105</v>
      </c>
      <c r="C3862" t="s">
        <v>557</v>
      </c>
      <c r="D3862" s="452">
        <v>45809</v>
      </c>
      <c r="E3862">
        <v>25683</v>
      </c>
      <c r="F3862" t="s">
        <v>4928</v>
      </c>
      <c r="G3862">
        <v>6244</v>
      </c>
      <c r="H3862">
        <v>3</v>
      </c>
      <c r="I3862" t="s">
        <v>4805</v>
      </c>
      <c r="J3862" t="s">
        <v>5222</v>
      </c>
      <c r="K3862" t="s">
        <v>4434</v>
      </c>
      <c r="L3862">
        <v>107.99</v>
      </c>
      <c r="M3862" s="452">
        <v>45789</v>
      </c>
      <c r="N3862">
        <v>107.99</v>
      </c>
      <c r="O3862">
        <v>113.1</v>
      </c>
      <c r="P3862">
        <v>323.97000000000003</v>
      </c>
    </row>
    <row r="3863" spans="1:16" x14ac:dyDescent="0.3">
      <c r="A3863">
        <v>38707</v>
      </c>
      <c r="B3863">
        <v>105</v>
      </c>
      <c r="C3863" t="s">
        <v>557</v>
      </c>
      <c r="D3863" s="452">
        <v>45809</v>
      </c>
      <c r="E3863">
        <v>18293</v>
      </c>
      <c r="F3863" t="s">
        <v>5034</v>
      </c>
      <c r="G3863">
        <v>3336</v>
      </c>
      <c r="H3863">
        <v>2.52</v>
      </c>
      <c r="I3863" t="s">
        <v>4805</v>
      </c>
      <c r="J3863" t="s">
        <v>5222</v>
      </c>
      <c r="K3863" t="s">
        <v>4434</v>
      </c>
      <c r="L3863">
        <v>0</v>
      </c>
      <c r="M3863" s="452">
        <v>45525</v>
      </c>
      <c r="N3863">
        <v>124.82</v>
      </c>
      <c r="O3863">
        <v>130.81</v>
      </c>
      <c r="P3863">
        <v>314.55</v>
      </c>
    </row>
    <row r="3864" spans="1:16" x14ac:dyDescent="0.3">
      <c r="A3864">
        <v>38578</v>
      </c>
      <c r="B3864">
        <v>105</v>
      </c>
      <c r="C3864" t="s">
        <v>557</v>
      </c>
      <c r="D3864" s="452">
        <v>45809</v>
      </c>
      <c r="E3864">
        <v>23268</v>
      </c>
      <c r="F3864" t="s">
        <v>4743</v>
      </c>
      <c r="G3864">
        <v>2592</v>
      </c>
      <c r="H3864">
        <v>69.55</v>
      </c>
      <c r="I3864" t="s">
        <v>4744</v>
      </c>
      <c r="J3864" t="s">
        <v>5191</v>
      </c>
      <c r="K3864" t="s">
        <v>4434</v>
      </c>
      <c r="L3864">
        <v>0</v>
      </c>
      <c r="M3864" s="452">
        <v>45681</v>
      </c>
      <c r="N3864">
        <v>4.42</v>
      </c>
      <c r="O3864">
        <v>5.0999999999999996</v>
      </c>
      <c r="P3864">
        <v>307.41000000000003</v>
      </c>
    </row>
    <row r="3865" spans="1:16" x14ac:dyDescent="0.3">
      <c r="A3865">
        <v>38567</v>
      </c>
      <c r="B3865">
        <v>105</v>
      </c>
      <c r="C3865" t="s">
        <v>557</v>
      </c>
      <c r="D3865" s="452">
        <v>45809</v>
      </c>
      <c r="E3865">
        <v>20301</v>
      </c>
      <c r="F3865" t="s">
        <v>4944</v>
      </c>
      <c r="G3865">
        <v>2223</v>
      </c>
      <c r="H3865">
        <v>12</v>
      </c>
      <c r="I3865" t="s">
        <v>4738</v>
      </c>
      <c r="J3865" t="s">
        <v>5191</v>
      </c>
      <c r="K3865" t="s">
        <v>4434</v>
      </c>
      <c r="L3865">
        <v>25.37</v>
      </c>
      <c r="M3865" s="452">
        <v>45804</v>
      </c>
      <c r="N3865">
        <v>25.55</v>
      </c>
      <c r="O3865">
        <v>26.29</v>
      </c>
      <c r="P3865">
        <v>304.44</v>
      </c>
    </row>
    <row r="3866" spans="1:16" x14ac:dyDescent="0.3">
      <c r="A3866">
        <v>38563</v>
      </c>
      <c r="B3866">
        <v>105</v>
      </c>
      <c r="C3866" t="s">
        <v>557</v>
      </c>
      <c r="D3866" s="452">
        <v>45809</v>
      </c>
      <c r="E3866">
        <v>18518</v>
      </c>
      <c r="F3866" t="s">
        <v>4838</v>
      </c>
      <c r="G3866">
        <v>3148</v>
      </c>
      <c r="H3866">
        <v>8</v>
      </c>
      <c r="I3866" t="s">
        <v>4805</v>
      </c>
      <c r="J3866" t="s">
        <v>5222</v>
      </c>
      <c r="K3866" t="s">
        <v>4434</v>
      </c>
      <c r="L3866">
        <v>38</v>
      </c>
      <c r="M3866" s="452">
        <v>45799</v>
      </c>
      <c r="N3866">
        <v>38</v>
      </c>
      <c r="O3866">
        <v>38</v>
      </c>
      <c r="P3866">
        <v>304</v>
      </c>
    </row>
    <row r="3867" spans="1:16" x14ac:dyDescent="0.3">
      <c r="A3867">
        <v>38605</v>
      </c>
      <c r="B3867">
        <v>105</v>
      </c>
      <c r="C3867" t="s">
        <v>557</v>
      </c>
      <c r="D3867" s="452">
        <v>45809</v>
      </c>
      <c r="E3867">
        <v>24116</v>
      </c>
      <c r="F3867" t="s">
        <v>4777</v>
      </c>
      <c r="G3867">
        <v>2924</v>
      </c>
      <c r="H3867">
        <v>6.85</v>
      </c>
      <c r="I3867" t="s">
        <v>4744</v>
      </c>
      <c r="J3867" t="s">
        <v>5191</v>
      </c>
      <c r="K3867" t="s">
        <v>4434</v>
      </c>
      <c r="L3867">
        <v>44</v>
      </c>
      <c r="M3867" s="452">
        <v>45800</v>
      </c>
      <c r="N3867">
        <v>44</v>
      </c>
      <c r="O3867">
        <v>43.1</v>
      </c>
      <c r="P3867">
        <v>301.39999999999998</v>
      </c>
    </row>
    <row r="3868" spans="1:16" x14ac:dyDescent="0.3">
      <c r="A3868">
        <v>38589</v>
      </c>
      <c r="B3868">
        <v>105</v>
      </c>
      <c r="C3868" t="s">
        <v>557</v>
      </c>
      <c r="D3868" s="452">
        <v>45809</v>
      </c>
      <c r="E3868">
        <v>18491</v>
      </c>
      <c r="F3868" t="s">
        <v>4839</v>
      </c>
      <c r="G3868">
        <v>3166</v>
      </c>
      <c r="H3868">
        <v>8.3800000000000008</v>
      </c>
      <c r="I3868" t="s">
        <v>4805</v>
      </c>
      <c r="J3868" t="s">
        <v>5222</v>
      </c>
      <c r="K3868" t="s">
        <v>4434</v>
      </c>
      <c r="L3868">
        <v>0</v>
      </c>
      <c r="M3868" s="452">
        <v>45555</v>
      </c>
      <c r="N3868">
        <v>35.9</v>
      </c>
      <c r="O3868">
        <v>35.9</v>
      </c>
      <c r="P3868">
        <v>300.83999999999997</v>
      </c>
    </row>
    <row r="3869" spans="1:16" x14ac:dyDescent="0.3">
      <c r="A3869">
        <v>38722</v>
      </c>
      <c r="B3869">
        <v>105</v>
      </c>
      <c r="C3869" t="s">
        <v>557</v>
      </c>
      <c r="D3869" s="452">
        <v>45809</v>
      </c>
      <c r="E3869">
        <v>20521</v>
      </c>
      <c r="F3869" t="s">
        <v>4797</v>
      </c>
      <c r="G3869">
        <v>2149</v>
      </c>
      <c r="H3869">
        <v>13.1</v>
      </c>
      <c r="I3869" t="s">
        <v>4744</v>
      </c>
      <c r="J3869" t="s">
        <v>5191</v>
      </c>
      <c r="K3869" t="s">
        <v>4434</v>
      </c>
      <c r="L3869">
        <v>0</v>
      </c>
      <c r="M3869" s="452">
        <v>45763</v>
      </c>
      <c r="N3869">
        <v>22.75</v>
      </c>
      <c r="O3869">
        <v>24.5</v>
      </c>
      <c r="P3869">
        <v>298.02</v>
      </c>
    </row>
    <row r="3870" spans="1:16" x14ac:dyDescent="0.3">
      <c r="A3870">
        <v>38769</v>
      </c>
      <c r="B3870">
        <v>105</v>
      </c>
      <c r="C3870" t="s">
        <v>557</v>
      </c>
      <c r="D3870" s="452">
        <v>45809</v>
      </c>
      <c r="E3870">
        <v>18832</v>
      </c>
      <c r="F3870" t="s">
        <v>4785</v>
      </c>
      <c r="G3870">
        <v>2950</v>
      </c>
      <c r="H3870">
        <v>6.23</v>
      </c>
      <c r="I3870" t="s">
        <v>4744</v>
      </c>
      <c r="J3870" t="s">
        <v>5191</v>
      </c>
      <c r="K3870" t="s">
        <v>4434</v>
      </c>
      <c r="L3870">
        <v>47</v>
      </c>
      <c r="M3870" s="452">
        <v>45805</v>
      </c>
      <c r="N3870">
        <v>47</v>
      </c>
      <c r="O3870">
        <v>42.08</v>
      </c>
      <c r="P3870">
        <v>292.81</v>
      </c>
    </row>
    <row r="3871" spans="1:16" x14ac:dyDescent="0.3">
      <c r="A3871">
        <v>38868</v>
      </c>
      <c r="B3871">
        <v>105</v>
      </c>
      <c r="C3871" t="s">
        <v>557</v>
      </c>
      <c r="D3871" s="452">
        <v>45809</v>
      </c>
      <c r="E3871">
        <v>26040</v>
      </c>
      <c r="F3871" t="s">
        <v>4812</v>
      </c>
      <c r="G3871">
        <v>6507</v>
      </c>
      <c r="H3871">
        <v>6</v>
      </c>
      <c r="I3871" t="s">
        <v>4805</v>
      </c>
      <c r="J3871" t="s">
        <v>5222</v>
      </c>
      <c r="K3871" t="s">
        <v>4434</v>
      </c>
      <c r="L3871">
        <v>48.46</v>
      </c>
      <c r="M3871" s="452">
        <v>45789</v>
      </c>
      <c r="N3871">
        <v>48.46</v>
      </c>
      <c r="O3871">
        <v>48.46</v>
      </c>
      <c r="P3871">
        <v>290.76</v>
      </c>
    </row>
    <row r="3872" spans="1:16" x14ac:dyDescent="0.3">
      <c r="A3872">
        <v>38833</v>
      </c>
      <c r="B3872">
        <v>105</v>
      </c>
      <c r="C3872" t="s">
        <v>557</v>
      </c>
      <c r="D3872" s="452">
        <v>45809</v>
      </c>
      <c r="E3872">
        <v>18586</v>
      </c>
      <c r="F3872" t="s">
        <v>4966</v>
      </c>
      <c r="G3872">
        <v>3104</v>
      </c>
      <c r="H3872">
        <v>2.13</v>
      </c>
      <c r="I3872" t="s">
        <v>4738</v>
      </c>
      <c r="J3872" t="s">
        <v>5222</v>
      </c>
      <c r="K3872" t="s">
        <v>4434</v>
      </c>
      <c r="L3872">
        <v>134.74</v>
      </c>
      <c r="M3872" s="452">
        <v>45789</v>
      </c>
      <c r="N3872">
        <v>134.74</v>
      </c>
      <c r="O3872">
        <v>134.74</v>
      </c>
      <c r="P3872">
        <v>286.32</v>
      </c>
    </row>
    <row r="3873" spans="1:16" x14ac:dyDescent="0.3">
      <c r="A3873">
        <v>38593</v>
      </c>
      <c r="B3873">
        <v>105</v>
      </c>
      <c r="C3873" t="s">
        <v>557</v>
      </c>
      <c r="D3873" s="452">
        <v>45809</v>
      </c>
      <c r="E3873">
        <v>18475</v>
      </c>
      <c r="F3873" t="s">
        <v>4895</v>
      </c>
      <c r="G3873">
        <v>3181</v>
      </c>
      <c r="H3873">
        <v>8.6</v>
      </c>
      <c r="I3873" t="s">
        <v>4805</v>
      </c>
      <c r="J3873" t="s">
        <v>5222</v>
      </c>
      <c r="K3873" t="s">
        <v>4434</v>
      </c>
      <c r="L3873">
        <v>32.9</v>
      </c>
      <c r="M3873" s="452">
        <v>45790</v>
      </c>
      <c r="N3873">
        <v>32.9</v>
      </c>
      <c r="O3873">
        <v>32.89</v>
      </c>
      <c r="P3873">
        <v>282.94</v>
      </c>
    </row>
    <row r="3874" spans="1:16" x14ac:dyDescent="0.3">
      <c r="A3874">
        <v>38859</v>
      </c>
      <c r="B3874">
        <v>105</v>
      </c>
      <c r="C3874" t="s">
        <v>557</v>
      </c>
      <c r="D3874" s="452">
        <v>45809</v>
      </c>
      <c r="E3874">
        <v>26036</v>
      </c>
      <c r="F3874" t="s">
        <v>4841</v>
      </c>
      <c r="G3874">
        <v>6505</v>
      </c>
      <c r="H3874">
        <v>4</v>
      </c>
      <c r="I3874" t="s">
        <v>4805</v>
      </c>
      <c r="J3874" t="s">
        <v>5222</v>
      </c>
      <c r="K3874" t="s">
        <v>4434</v>
      </c>
      <c r="L3874">
        <v>0</v>
      </c>
      <c r="M3874" s="452">
        <v>45742</v>
      </c>
      <c r="N3874">
        <v>69.23</v>
      </c>
      <c r="O3874">
        <v>69.23</v>
      </c>
      <c r="P3874">
        <v>276.92</v>
      </c>
    </row>
    <row r="3875" spans="1:16" x14ac:dyDescent="0.3">
      <c r="A3875">
        <v>38848</v>
      </c>
      <c r="B3875">
        <v>105</v>
      </c>
      <c r="C3875" t="s">
        <v>557</v>
      </c>
      <c r="D3875" s="452">
        <v>45809</v>
      </c>
      <c r="E3875">
        <v>19541</v>
      </c>
      <c r="F3875" t="s">
        <v>5517</v>
      </c>
      <c r="G3875">
        <v>2675</v>
      </c>
      <c r="H3875">
        <v>30.6</v>
      </c>
      <c r="I3875" t="s">
        <v>4744</v>
      </c>
      <c r="J3875" t="s">
        <v>5191</v>
      </c>
      <c r="K3875" t="s">
        <v>4434</v>
      </c>
      <c r="L3875">
        <v>8.77</v>
      </c>
      <c r="M3875" s="452">
        <v>45807</v>
      </c>
      <c r="N3875">
        <v>10.96</v>
      </c>
      <c r="O3875">
        <v>9.94</v>
      </c>
      <c r="P3875">
        <v>268.36</v>
      </c>
    </row>
    <row r="3876" spans="1:16" x14ac:dyDescent="0.3">
      <c r="A3876">
        <v>38882</v>
      </c>
      <c r="B3876">
        <v>105</v>
      </c>
      <c r="C3876" t="s">
        <v>557</v>
      </c>
      <c r="D3876" s="452">
        <v>45809</v>
      </c>
      <c r="E3876">
        <v>18114</v>
      </c>
      <c r="F3876" t="s">
        <v>5046</v>
      </c>
      <c r="G3876">
        <v>3498</v>
      </c>
      <c r="H3876">
        <v>1</v>
      </c>
      <c r="I3876" t="s">
        <v>4805</v>
      </c>
      <c r="J3876" t="s">
        <v>5222</v>
      </c>
      <c r="K3876" t="s">
        <v>4434</v>
      </c>
      <c r="L3876">
        <v>0</v>
      </c>
      <c r="M3876" s="452">
        <v>-693593</v>
      </c>
      <c r="N3876">
        <v>0</v>
      </c>
      <c r="O3876">
        <v>261.79000000000002</v>
      </c>
      <c r="P3876">
        <v>261.70999999999998</v>
      </c>
    </row>
    <row r="3877" spans="1:16" x14ac:dyDescent="0.3">
      <c r="A3877">
        <v>38574</v>
      </c>
      <c r="B3877">
        <v>105</v>
      </c>
      <c r="C3877" t="s">
        <v>557</v>
      </c>
      <c r="D3877" s="452">
        <v>45809</v>
      </c>
      <c r="E3877">
        <v>22721</v>
      </c>
      <c r="F3877" t="s">
        <v>4803</v>
      </c>
      <c r="G3877">
        <v>3033</v>
      </c>
      <c r="H3877">
        <v>7.65</v>
      </c>
      <c r="I3877" t="s">
        <v>4744</v>
      </c>
      <c r="J3877" t="s">
        <v>5191</v>
      </c>
      <c r="K3877" t="s">
        <v>4434</v>
      </c>
      <c r="L3877">
        <v>33.75</v>
      </c>
      <c r="M3877" s="452">
        <v>45785</v>
      </c>
      <c r="N3877">
        <v>33.75</v>
      </c>
      <c r="O3877">
        <v>32.11</v>
      </c>
      <c r="P3877">
        <v>258.19</v>
      </c>
    </row>
    <row r="3878" spans="1:16" x14ac:dyDescent="0.3">
      <c r="A3878">
        <v>38620</v>
      </c>
      <c r="B3878">
        <v>105</v>
      </c>
      <c r="C3878" t="s">
        <v>557</v>
      </c>
      <c r="D3878" s="452">
        <v>45809</v>
      </c>
      <c r="E3878">
        <v>22652</v>
      </c>
      <c r="F3878" t="s">
        <v>4759</v>
      </c>
      <c r="G3878">
        <v>3085</v>
      </c>
      <c r="H3878">
        <v>41</v>
      </c>
      <c r="I3878" t="s">
        <v>4736</v>
      </c>
      <c r="J3878" t="s">
        <v>5222</v>
      </c>
      <c r="K3878" t="s">
        <v>4434</v>
      </c>
      <c r="L3878">
        <v>0</v>
      </c>
      <c r="M3878" s="452">
        <v>45679</v>
      </c>
      <c r="N3878">
        <v>5.95</v>
      </c>
      <c r="O3878">
        <v>4.09</v>
      </c>
      <c r="P3878">
        <v>243.95</v>
      </c>
    </row>
    <row r="3879" spans="1:16" x14ac:dyDescent="0.3">
      <c r="A3879">
        <v>38573</v>
      </c>
      <c r="B3879">
        <v>105</v>
      </c>
      <c r="C3879" t="s">
        <v>557</v>
      </c>
      <c r="D3879" s="452">
        <v>45809</v>
      </c>
      <c r="E3879">
        <v>20743</v>
      </c>
      <c r="F3879" t="s">
        <v>5496</v>
      </c>
      <c r="G3879">
        <v>2090</v>
      </c>
      <c r="H3879">
        <v>3</v>
      </c>
      <c r="I3879" t="s">
        <v>4736</v>
      </c>
      <c r="J3879" t="s">
        <v>5191</v>
      </c>
      <c r="K3879" t="s">
        <v>4434</v>
      </c>
      <c r="L3879">
        <v>80.95</v>
      </c>
      <c r="M3879" s="452">
        <v>45790</v>
      </c>
      <c r="N3879">
        <v>80.95</v>
      </c>
      <c r="O3879">
        <v>81.569999999999993</v>
      </c>
      <c r="P3879">
        <v>242.85</v>
      </c>
    </row>
    <row r="3880" spans="1:16" x14ac:dyDescent="0.3">
      <c r="A3880">
        <v>38665</v>
      </c>
      <c r="B3880">
        <v>105</v>
      </c>
      <c r="C3880" t="s">
        <v>557</v>
      </c>
      <c r="D3880" s="452">
        <v>45809</v>
      </c>
      <c r="E3880">
        <v>25167</v>
      </c>
      <c r="F3880" t="s">
        <v>4758</v>
      </c>
      <c r="G3880">
        <v>5930</v>
      </c>
      <c r="H3880">
        <v>30</v>
      </c>
      <c r="I3880" t="s">
        <v>4744</v>
      </c>
      <c r="J3880" t="s">
        <v>5191</v>
      </c>
      <c r="K3880" t="s">
        <v>4434</v>
      </c>
      <c r="L3880">
        <v>7.9</v>
      </c>
      <c r="M3880" s="452">
        <v>45793</v>
      </c>
      <c r="N3880">
        <v>7.9</v>
      </c>
      <c r="O3880">
        <v>55.5</v>
      </c>
      <c r="P3880">
        <v>237</v>
      </c>
    </row>
    <row r="3881" spans="1:16" x14ac:dyDescent="0.3">
      <c r="A3881">
        <v>38697</v>
      </c>
      <c r="B3881">
        <v>105</v>
      </c>
      <c r="C3881" t="s">
        <v>557</v>
      </c>
      <c r="D3881" s="452">
        <v>45809</v>
      </c>
      <c r="E3881">
        <v>19756</v>
      </c>
      <c r="F3881" t="s">
        <v>4754</v>
      </c>
      <c r="G3881">
        <v>2497</v>
      </c>
      <c r="H3881">
        <v>50.2</v>
      </c>
      <c r="I3881" t="s">
        <v>4744</v>
      </c>
      <c r="J3881" t="s">
        <v>5191</v>
      </c>
      <c r="K3881" t="s">
        <v>4434</v>
      </c>
      <c r="L3881">
        <v>4.7</v>
      </c>
      <c r="M3881" s="452">
        <v>45807</v>
      </c>
      <c r="N3881">
        <v>4</v>
      </c>
      <c r="O3881">
        <v>44.61</v>
      </c>
      <c r="P3881">
        <v>235.94</v>
      </c>
    </row>
    <row r="3882" spans="1:16" x14ac:dyDescent="0.3">
      <c r="A3882">
        <v>38666</v>
      </c>
      <c r="B3882">
        <v>105</v>
      </c>
      <c r="C3882" t="s">
        <v>557</v>
      </c>
      <c r="D3882" s="452">
        <v>45809</v>
      </c>
      <c r="E3882">
        <v>20382</v>
      </c>
      <c r="F3882" t="s">
        <v>4780</v>
      </c>
      <c r="G3882">
        <v>2196</v>
      </c>
      <c r="H3882">
        <v>26</v>
      </c>
      <c r="I3882" t="s">
        <v>4738</v>
      </c>
      <c r="J3882" t="s">
        <v>5191</v>
      </c>
      <c r="K3882" t="s">
        <v>4434</v>
      </c>
      <c r="L3882">
        <v>8.99</v>
      </c>
      <c r="M3882" s="452">
        <v>45798</v>
      </c>
      <c r="N3882">
        <v>8.99</v>
      </c>
      <c r="O3882">
        <v>8.99</v>
      </c>
      <c r="P3882">
        <v>233.74</v>
      </c>
    </row>
    <row r="3883" spans="1:16" x14ac:dyDescent="0.3">
      <c r="A3883">
        <v>38746</v>
      </c>
      <c r="B3883">
        <v>105</v>
      </c>
      <c r="C3883" t="s">
        <v>557</v>
      </c>
      <c r="D3883" s="452">
        <v>45809</v>
      </c>
      <c r="E3883">
        <v>19734</v>
      </c>
      <c r="F3883" t="s">
        <v>4833</v>
      </c>
      <c r="G3883">
        <v>2519</v>
      </c>
      <c r="H3883">
        <v>12.4</v>
      </c>
      <c r="I3883" t="s">
        <v>4744</v>
      </c>
      <c r="J3883" t="s">
        <v>5191</v>
      </c>
      <c r="K3883" t="s">
        <v>4434</v>
      </c>
      <c r="L3883">
        <v>18.75</v>
      </c>
      <c r="M3883" s="452">
        <v>45807</v>
      </c>
      <c r="N3883">
        <v>19.5</v>
      </c>
      <c r="O3883">
        <v>18.14</v>
      </c>
      <c r="P3883">
        <v>232.5</v>
      </c>
    </row>
    <row r="3884" spans="1:16" x14ac:dyDescent="0.3">
      <c r="A3884">
        <v>38870</v>
      </c>
      <c r="B3884">
        <v>105</v>
      </c>
      <c r="C3884" t="s">
        <v>557</v>
      </c>
      <c r="D3884" s="452">
        <v>45809</v>
      </c>
      <c r="E3884">
        <v>17658</v>
      </c>
      <c r="F3884" t="s">
        <v>4978</v>
      </c>
      <c r="G3884">
        <v>3871</v>
      </c>
      <c r="H3884">
        <v>4</v>
      </c>
      <c r="I3884" t="s">
        <v>4805</v>
      </c>
      <c r="J3884" t="s">
        <v>5222</v>
      </c>
      <c r="K3884" t="s">
        <v>4434</v>
      </c>
      <c r="L3884">
        <v>0</v>
      </c>
      <c r="M3884" s="452">
        <v>45757</v>
      </c>
      <c r="N3884">
        <v>58</v>
      </c>
      <c r="O3884">
        <v>58</v>
      </c>
      <c r="P3884">
        <v>232</v>
      </c>
    </row>
    <row r="3885" spans="1:16" x14ac:dyDescent="0.3">
      <c r="A3885">
        <v>38864</v>
      </c>
      <c r="B3885">
        <v>105</v>
      </c>
      <c r="C3885" t="s">
        <v>557</v>
      </c>
      <c r="D3885" s="452">
        <v>45809</v>
      </c>
      <c r="E3885">
        <v>26038</v>
      </c>
      <c r="F3885" t="s">
        <v>4976</v>
      </c>
      <c r="G3885">
        <v>6506</v>
      </c>
      <c r="H3885">
        <v>5</v>
      </c>
      <c r="I3885" t="s">
        <v>4805</v>
      </c>
      <c r="J3885" t="s">
        <v>5222</v>
      </c>
      <c r="K3885" t="s">
        <v>4434</v>
      </c>
      <c r="L3885">
        <v>0</v>
      </c>
      <c r="M3885" s="452">
        <v>45709</v>
      </c>
      <c r="N3885">
        <v>46.38</v>
      </c>
      <c r="O3885">
        <v>46.38</v>
      </c>
      <c r="P3885">
        <v>231.9</v>
      </c>
    </row>
    <row r="3886" spans="1:16" x14ac:dyDescent="0.3">
      <c r="A3886">
        <v>38888</v>
      </c>
      <c r="B3886">
        <v>105</v>
      </c>
      <c r="C3886" t="s">
        <v>557</v>
      </c>
      <c r="D3886" s="452">
        <v>45809</v>
      </c>
      <c r="E3886">
        <v>26210</v>
      </c>
      <c r="F3886" t="s">
        <v>4975</v>
      </c>
      <c r="G3886">
        <v>6624</v>
      </c>
      <c r="H3886">
        <v>3</v>
      </c>
      <c r="I3886" t="s">
        <v>4805</v>
      </c>
      <c r="J3886" t="s">
        <v>5222</v>
      </c>
      <c r="K3886" t="s">
        <v>4434</v>
      </c>
      <c r="L3886">
        <v>77</v>
      </c>
      <c r="M3886" s="452">
        <v>45793</v>
      </c>
      <c r="N3886">
        <v>77</v>
      </c>
      <c r="O3886">
        <v>77</v>
      </c>
      <c r="P3886">
        <v>231</v>
      </c>
    </row>
    <row r="3887" spans="1:16" x14ac:dyDescent="0.3">
      <c r="A3887">
        <v>38658</v>
      </c>
      <c r="B3887">
        <v>105</v>
      </c>
      <c r="C3887" t="s">
        <v>557</v>
      </c>
      <c r="D3887" s="452">
        <v>45809</v>
      </c>
      <c r="E3887">
        <v>18008</v>
      </c>
      <c r="F3887" t="s">
        <v>4865</v>
      </c>
      <c r="G3887">
        <v>3589</v>
      </c>
      <c r="H3887">
        <v>3</v>
      </c>
      <c r="I3887" t="s">
        <v>4805</v>
      </c>
      <c r="J3887" t="s">
        <v>5222</v>
      </c>
      <c r="K3887" t="s">
        <v>4434</v>
      </c>
      <c r="L3887">
        <v>0</v>
      </c>
      <c r="M3887" s="452">
        <v>45716</v>
      </c>
      <c r="N3887">
        <v>76.83</v>
      </c>
      <c r="O3887">
        <v>76.83</v>
      </c>
      <c r="P3887">
        <v>230.49</v>
      </c>
    </row>
    <row r="3888" spans="1:16" x14ac:dyDescent="0.3">
      <c r="A3888">
        <v>38871</v>
      </c>
      <c r="B3888">
        <v>105</v>
      </c>
      <c r="C3888" t="s">
        <v>557</v>
      </c>
      <c r="D3888" s="452">
        <v>45809</v>
      </c>
      <c r="E3888">
        <v>26046</v>
      </c>
      <c r="F3888" t="s">
        <v>5148</v>
      </c>
      <c r="G3888">
        <v>6510</v>
      </c>
      <c r="H3888">
        <v>3</v>
      </c>
      <c r="I3888" t="s">
        <v>4805</v>
      </c>
      <c r="J3888" t="s">
        <v>5222</v>
      </c>
      <c r="K3888" t="s">
        <v>4434</v>
      </c>
      <c r="L3888">
        <v>0</v>
      </c>
      <c r="M3888" s="452">
        <v>45638</v>
      </c>
      <c r="N3888">
        <v>74.2</v>
      </c>
      <c r="O3888">
        <v>80.55</v>
      </c>
      <c r="P3888">
        <v>222.6</v>
      </c>
    </row>
    <row r="3889" spans="1:16" x14ac:dyDescent="0.3">
      <c r="A3889">
        <v>39253</v>
      </c>
      <c r="B3889">
        <v>105</v>
      </c>
      <c r="C3889" t="s">
        <v>557</v>
      </c>
      <c r="D3889" s="452">
        <v>45809</v>
      </c>
      <c r="E3889">
        <v>24981</v>
      </c>
      <c r="F3889" t="s">
        <v>5140</v>
      </c>
      <c r="G3889">
        <v>5849</v>
      </c>
      <c r="H3889">
        <v>0.5</v>
      </c>
      <c r="I3889" t="s">
        <v>4965</v>
      </c>
      <c r="J3889" t="s">
        <v>5222</v>
      </c>
      <c r="K3889" t="s">
        <v>4434</v>
      </c>
      <c r="L3889">
        <v>435</v>
      </c>
      <c r="M3889" s="452">
        <v>45789</v>
      </c>
      <c r="N3889">
        <v>435</v>
      </c>
      <c r="O3889">
        <v>435</v>
      </c>
      <c r="P3889">
        <v>217.5</v>
      </c>
    </row>
    <row r="3890" spans="1:16" x14ac:dyDescent="0.3">
      <c r="A3890">
        <v>38821</v>
      </c>
      <c r="B3890">
        <v>105</v>
      </c>
      <c r="C3890" t="s">
        <v>557</v>
      </c>
      <c r="D3890" s="452">
        <v>45809</v>
      </c>
      <c r="E3890">
        <v>19916</v>
      </c>
      <c r="F3890" t="s">
        <v>4826</v>
      </c>
      <c r="G3890">
        <v>2379</v>
      </c>
      <c r="H3890">
        <v>7</v>
      </c>
      <c r="I3890" t="s">
        <v>4738</v>
      </c>
      <c r="J3890" t="s">
        <v>5191</v>
      </c>
      <c r="K3890" t="s">
        <v>4434</v>
      </c>
      <c r="L3890">
        <v>30.9</v>
      </c>
      <c r="M3890" s="452">
        <v>45790</v>
      </c>
      <c r="N3890">
        <v>30.9</v>
      </c>
      <c r="O3890">
        <v>3.3</v>
      </c>
      <c r="P3890">
        <v>216.3</v>
      </c>
    </row>
    <row r="3891" spans="1:16" x14ac:dyDescent="0.3">
      <c r="A3891">
        <v>38633</v>
      </c>
      <c r="B3891">
        <v>105</v>
      </c>
      <c r="C3891" t="s">
        <v>557</v>
      </c>
      <c r="D3891" s="452">
        <v>45809</v>
      </c>
      <c r="E3891">
        <v>24191</v>
      </c>
      <c r="F3891" t="s">
        <v>4846</v>
      </c>
      <c r="G3891">
        <v>2889</v>
      </c>
      <c r="H3891">
        <v>8</v>
      </c>
      <c r="I3891" t="s">
        <v>4744</v>
      </c>
      <c r="J3891" t="s">
        <v>5191</v>
      </c>
      <c r="K3891" t="s">
        <v>4434</v>
      </c>
      <c r="L3891">
        <v>26.9</v>
      </c>
      <c r="M3891" s="452">
        <v>45804</v>
      </c>
      <c r="N3891">
        <v>26.9</v>
      </c>
      <c r="O3891">
        <v>24.99</v>
      </c>
      <c r="P3891">
        <v>215.2</v>
      </c>
    </row>
    <row r="3892" spans="1:16" x14ac:dyDescent="0.3">
      <c r="A3892">
        <v>38587</v>
      </c>
      <c r="B3892">
        <v>105</v>
      </c>
      <c r="C3892" t="s">
        <v>557</v>
      </c>
      <c r="D3892" s="452">
        <v>45809</v>
      </c>
      <c r="E3892">
        <v>27090</v>
      </c>
      <c r="F3892" t="s">
        <v>5324</v>
      </c>
      <c r="G3892">
        <v>7134</v>
      </c>
      <c r="H3892">
        <v>19</v>
      </c>
      <c r="I3892" t="s">
        <v>4736</v>
      </c>
      <c r="J3892" t="s">
        <v>5222</v>
      </c>
      <c r="K3892" t="s">
        <v>4434</v>
      </c>
      <c r="L3892">
        <v>0</v>
      </c>
      <c r="N3892">
        <v>0</v>
      </c>
      <c r="O3892">
        <v>0</v>
      </c>
      <c r="P3892">
        <v>210.52</v>
      </c>
    </row>
    <row r="3893" spans="1:16" x14ac:dyDescent="0.3">
      <c r="A3893">
        <v>38829</v>
      </c>
      <c r="B3893">
        <v>105</v>
      </c>
      <c r="C3893" t="s">
        <v>557</v>
      </c>
      <c r="D3893" s="452">
        <v>45809</v>
      </c>
      <c r="E3893">
        <v>17883</v>
      </c>
      <c r="F3893" t="s">
        <v>5113</v>
      </c>
      <c r="G3893">
        <v>3673</v>
      </c>
      <c r="H3893">
        <v>8</v>
      </c>
      <c r="I3893" t="s">
        <v>4738</v>
      </c>
      <c r="J3893" t="s">
        <v>5222</v>
      </c>
      <c r="K3893" t="s">
        <v>4434</v>
      </c>
      <c r="L3893">
        <v>26.28</v>
      </c>
      <c r="M3893" s="452">
        <v>45779</v>
      </c>
      <c r="N3893">
        <v>26.28</v>
      </c>
      <c r="O3893">
        <v>11.38</v>
      </c>
      <c r="P3893">
        <v>210.24</v>
      </c>
    </row>
    <row r="3894" spans="1:16" x14ac:dyDescent="0.3">
      <c r="A3894">
        <v>38863</v>
      </c>
      <c r="B3894">
        <v>105</v>
      </c>
      <c r="C3894" t="s">
        <v>557</v>
      </c>
      <c r="D3894" s="452">
        <v>45809</v>
      </c>
      <c r="E3894">
        <v>24614</v>
      </c>
      <c r="F3894" t="s">
        <v>4897</v>
      </c>
      <c r="G3894">
        <v>3855</v>
      </c>
      <c r="H3894">
        <v>3</v>
      </c>
      <c r="I3894" t="s">
        <v>4805</v>
      </c>
      <c r="J3894" t="s">
        <v>5222</v>
      </c>
      <c r="K3894" t="s">
        <v>4434</v>
      </c>
      <c r="L3894">
        <v>0</v>
      </c>
      <c r="M3894" s="452">
        <v>45548</v>
      </c>
      <c r="N3894">
        <v>69.650000000000006</v>
      </c>
      <c r="O3894">
        <v>79.3</v>
      </c>
      <c r="P3894">
        <v>208.95</v>
      </c>
    </row>
    <row r="3895" spans="1:16" x14ac:dyDescent="0.3">
      <c r="A3895">
        <v>38878</v>
      </c>
      <c r="B3895">
        <v>105</v>
      </c>
      <c r="C3895" t="s">
        <v>557</v>
      </c>
      <c r="D3895" s="452">
        <v>45809</v>
      </c>
      <c r="E3895">
        <v>18129</v>
      </c>
      <c r="F3895" t="s">
        <v>5043</v>
      </c>
      <c r="G3895">
        <v>3486</v>
      </c>
      <c r="H3895">
        <v>1.6</v>
      </c>
      <c r="I3895" t="s">
        <v>4805</v>
      </c>
      <c r="J3895" t="s">
        <v>5222</v>
      </c>
      <c r="K3895" t="s">
        <v>4434</v>
      </c>
      <c r="L3895">
        <v>128.1</v>
      </c>
      <c r="M3895" s="452">
        <v>45807</v>
      </c>
      <c r="N3895">
        <v>128.1</v>
      </c>
      <c r="O3895">
        <v>128.1</v>
      </c>
      <c r="P3895">
        <v>204.96</v>
      </c>
    </row>
    <row r="3896" spans="1:16" x14ac:dyDescent="0.3">
      <c r="A3896">
        <v>38872</v>
      </c>
      <c r="B3896">
        <v>105</v>
      </c>
      <c r="C3896" t="s">
        <v>557</v>
      </c>
      <c r="D3896" s="452">
        <v>45809</v>
      </c>
      <c r="E3896">
        <v>18194</v>
      </c>
      <c r="F3896" t="s">
        <v>4923</v>
      </c>
      <c r="G3896">
        <v>3430</v>
      </c>
      <c r="H3896">
        <v>3</v>
      </c>
      <c r="I3896" t="s">
        <v>4805</v>
      </c>
      <c r="J3896" t="s">
        <v>5222</v>
      </c>
      <c r="K3896" t="s">
        <v>4434</v>
      </c>
      <c r="L3896">
        <v>66.55</v>
      </c>
      <c r="M3896" s="452">
        <v>45793</v>
      </c>
      <c r="N3896">
        <v>66.55</v>
      </c>
      <c r="O3896">
        <v>64</v>
      </c>
      <c r="P3896">
        <v>199.65</v>
      </c>
    </row>
    <row r="3897" spans="1:16" x14ac:dyDescent="0.3">
      <c r="A3897">
        <v>38598</v>
      </c>
      <c r="B3897">
        <v>105</v>
      </c>
      <c r="C3897" t="s">
        <v>557</v>
      </c>
      <c r="D3897" s="452">
        <v>45809</v>
      </c>
      <c r="E3897">
        <v>20809</v>
      </c>
      <c r="F3897" t="s">
        <v>4822</v>
      </c>
      <c r="G3897">
        <v>2074</v>
      </c>
      <c r="H3897">
        <v>6</v>
      </c>
      <c r="I3897" t="s">
        <v>4738</v>
      </c>
      <c r="J3897" t="s">
        <v>5191</v>
      </c>
      <c r="K3897" t="s">
        <v>4434</v>
      </c>
      <c r="L3897">
        <v>33.119999999999997</v>
      </c>
      <c r="M3897" s="452">
        <v>45807</v>
      </c>
      <c r="N3897">
        <v>33.770000000000003</v>
      </c>
      <c r="O3897">
        <v>33.770000000000003</v>
      </c>
      <c r="P3897">
        <v>198.72</v>
      </c>
    </row>
    <row r="3898" spans="1:16" x14ac:dyDescent="0.3">
      <c r="A3898">
        <v>38861</v>
      </c>
      <c r="B3898">
        <v>105</v>
      </c>
      <c r="C3898" t="s">
        <v>557</v>
      </c>
      <c r="D3898" s="452">
        <v>45809</v>
      </c>
      <c r="E3898">
        <v>26034</v>
      </c>
      <c r="F3898" t="s">
        <v>4828</v>
      </c>
      <c r="G3898">
        <v>6504</v>
      </c>
      <c r="H3898">
        <v>4</v>
      </c>
      <c r="I3898" t="s">
        <v>4805</v>
      </c>
      <c r="J3898" t="s">
        <v>5222</v>
      </c>
      <c r="K3898" t="s">
        <v>4434</v>
      </c>
      <c r="L3898">
        <v>48.46</v>
      </c>
      <c r="M3898" s="452">
        <v>45789</v>
      </c>
      <c r="N3898">
        <v>48.46</v>
      </c>
      <c r="O3898">
        <v>48.46</v>
      </c>
      <c r="P3898">
        <v>193.84</v>
      </c>
    </row>
    <row r="3899" spans="1:16" x14ac:dyDescent="0.3">
      <c r="A3899">
        <v>38542</v>
      </c>
      <c r="B3899">
        <v>105</v>
      </c>
      <c r="C3899" t="s">
        <v>557</v>
      </c>
      <c r="D3899" s="452">
        <v>45809</v>
      </c>
      <c r="E3899">
        <v>18006</v>
      </c>
      <c r="F3899" t="s">
        <v>5094</v>
      </c>
      <c r="G3899">
        <v>3591</v>
      </c>
      <c r="H3899">
        <v>7</v>
      </c>
      <c r="I3899" t="s">
        <v>4738</v>
      </c>
      <c r="J3899" t="s">
        <v>5222</v>
      </c>
      <c r="K3899" t="s">
        <v>4434</v>
      </c>
      <c r="L3899">
        <v>0</v>
      </c>
      <c r="M3899" s="452">
        <v>45750</v>
      </c>
      <c r="N3899">
        <v>27.48</v>
      </c>
      <c r="O3899">
        <v>27.48</v>
      </c>
      <c r="P3899">
        <v>192.36</v>
      </c>
    </row>
    <row r="3900" spans="1:16" x14ac:dyDescent="0.3">
      <c r="A3900">
        <v>38692</v>
      </c>
      <c r="B3900">
        <v>105</v>
      </c>
      <c r="C3900" t="s">
        <v>557</v>
      </c>
      <c r="D3900" s="452">
        <v>45809</v>
      </c>
      <c r="E3900">
        <v>17903</v>
      </c>
      <c r="F3900" t="s">
        <v>5084</v>
      </c>
      <c r="G3900">
        <v>3658</v>
      </c>
      <c r="H3900">
        <v>7</v>
      </c>
      <c r="I3900" t="s">
        <v>4738</v>
      </c>
      <c r="J3900" t="s">
        <v>5222</v>
      </c>
      <c r="K3900" t="s">
        <v>4434</v>
      </c>
      <c r="L3900">
        <v>27.48</v>
      </c>
      <c r="M3900" s="452">
        <v>45789</v>
      </c>
      <c r="N3900">
        <v>27.48</v>
      </c>
      <c r="O3900">
        <v>27.48</v>
      </c>
      <c r="P3900">
        <v>192.36</v>
      </c>
    </row>
    <row r="3901" spans="1:16" x14ac:dyDescent="0.3">
      <c r="A3901">
        <v>38824</v>
      </c>
      <c r="B3901">
        <v>105</v>
      </c>
      <c r="C3901" t="s">
        <v>557</v>
      </c>
      <c r="D3901" s="452">
        <v>45809</v>
      </c>
      <c r="E3901">
        <v>18253</v>
      </c>
      <c r="F3901" t="s">
        <v>4969</v>
      </c>
      <c r="G3901">
        <v>3376</v>
      </c>
      <c r="H3901">
        <v>6.4</v>
      </c>
      <c r="I3901" t="s">
        <v>4805</v>
      </c>
      <c r="J3901" t="s">
        <v>5222</v>
      </c>
      <c r="K3901" t="s">
        <v>4434</v>
      </c>
      <c r="L3901">
        <v>29.99</v>
      </c>
      <c r="M3901" s="452">
        <v>45790</v>
      </c>
      <c r="N3901">
        <v>29.99</v>
      </c>
      <c r="O3901">
        <v>29.9</v>
      </c>
      <c r="P3901">
        <v>191.36</v>
      </c>
    </row>
    <row r="3902" spans="1:16" x14ac:dyDescent="0.3">
      <c r="A3902">
        <v>38866</v>
      </c>
      <c r="B3902">
        <v>105</v>
      </c>
      <c r="C3902" t="s">
        <v>557</v>
      </c>
      <c r="D3902" s="452">
        <v>45809</v>
      </c>
      <c r="E3902">
        <v>24642</v>
      </c>
      <c r="F3902" t="s">
        <v>5460</v>
      </c>
      <c r="G3902">
        <v>5692</v>
      </c>
      <c r="H3902">
        <v>4</v>
      </c>
      <c r="I3902" t="s">
        <v>4805</v>
      </c>
      <c r="J3902" t="s">
        <v>5222</v>
      </c>
      <c r="K3902" t="s">
        <v>4434</v>
      </c>
      <c r="L3902">
        <v>0</v>
      </c>
      <c r="M3902" s="452">
        <v>45596</v>
      </c>
      <c r="N3902">
        <v>46</v>
      </c>
      <c r="O3902">
        <v>46</v>
      </c>
      <c r="P3902">
        <v>184</v>
      </c>
    </row>
    <row r="3903" spans="1:16" x14ac:dyDescent="0.3">
      <c r="A3903">
        <v>38591</v>
      </c>
      <c r="B3903">
        <v>105</v>
      </c>
      <c r="C3903" t="s">
        <v>557</v>
      </c>
      <c r="D3903" s="452">
        <v>45809</v>
      </c>
      <c r="E3903">
        <v>18477</v>
      </c>
      <c r="F3903" t="s">
        <v>4920</v>
      </c>
      <c r="G3903">
        <v>3179</v>
      </c>
      <c r="H3903">
        <v>3.6</v>
      </c>
      <c r="I3903" t="s">
        <v>4805</v>
      </c>
      <c r="J3903" t="s">
        <v>5222</v>
      </c>
      <c r="K3903" t="s">
        <v>4434</v>
      </c>
      <c r="L3903">
        <v>0</v>
      </c>
      <c r="M3903" s="452">
        <v>45525</v>
      </c>
      <c r="N3903">
        <v>49.9</v>
      </c>
      <c r="O3903">
        <v>43.9</v>
      </c>
      <c r="P3903">
        <v>179.64</v>
      </c>
    </row>
    <row r="3904" spans="1:16" x14ac:dyDescent="0.3">
      <c r="A3904">
        <v>38884</v>
      </c>
      <c r="B3904">
        <v>105</v>
      </c>
      <c r="C3904" t="s">
        <v>557</v>
      </c>
      <c r="D3904" s="452">
        <v>45809</v>
      </c>
      <c r="E3904">
        <v>18111</v>
      </c>
      <c r="F3904" t="s">
        <v>5049</v>
      </c>
      <c r="G3904">
        <v>3500</v>
      </c>
      <c r="H3904">
        <v>1.88</v>
      </c>
      <c r="I3904" t="s">
        <v>4805</v>
      </c>
      <c r="J3904" t="s">
        <v>5222</v>
      </c>
      <c r="K3904" t="s">
        <v>4434</v>
      </c>
      <c r="L3904">
        <v>0</v>
      </c>
      <c r="M3904" s="452">
        <v>45743</v>
      </c>
      <c r="N3904">
        <v>92.47</v>
      </c>
      <c r="O3904">
        <v>93.41</v>
      </c>
      <c r="P3904">
        <v>173.84</v>
      </c>
    </row>
    <row r="3905" spans="1:16" x14ac:dyDescent="0.3">
      <c r="A3905">
        <v>38642</v>
      </c>
      <c r="B3905">
        <v>105</v>
      </c>
      <c r="C3905" t="s">
        <v>557</v>
      </c>
      <c r="D3905" s="452">
        <v>45809</v>
      </c>
      <c r="E3905">
        <v>19041</v>
      </c>
      <c r="F3905" t="s">
        <v>4762</v>
      </c>
      <c r="G3905">
        <v>2890</v>
      </c>
      <c r="H3905">
        <v>8.31</v>
      </c>
      <c r="I3905" t="s">
        <v>4744</v>
      </c>
      <c r="J3905" t="s">
        <v>5191</v>
      </c>
      <c r="K3905" t="s">
        <v>4434</v>
      </c>
      <c r="L3905">
        <v>20.57</v>
      </c>
      <c r="M3905" s="452">
        <v>45804</v>
      </c>
      <c r="N3905">
        <v>15.99</v>
      </c>
      <c r="O3905">
        <v>15.99</v>
      </c>
      <c r="P3905">
        <v>170.94</v>
      </c>
    </row>
    <row r="3906" spans="1:16" x14ac:dyDescent="0.3">
      <c r="A3906">
        <v>38739</v>
      </c>
      <c r="B3906">
        <v>105</v>
      </c>
      <c r="C3906" t="s">
        <v>557</v>
      </c>
      <c r="D3906" s="452">
        <v>45809</v>
      </c>
      <c r="E3906">
        <v>19740</v>
      </c>
      <c r="F3906" t="s">
        <v>4779</v>
      </c>
      <c r="G3906">
        <v>2513</v>
      </c>
      <c r="H3906">
        <v>15.1</v>
      </c>
      <c r="I3906" t="s">
        <v>4744</v>
      </c>
      <c r="J3906" t="s">
        <v>5191</v>
      </c>
      <c r="K3906" t="s">
        <v>4434</v>
      </c>
      <c r="L3906">
        <v>11.31</v>
      </c>
      <c r="M3906" s="452">
        <v>45804</v>
      </c>
      <c r="N3906">
        <v>11.5</v>
      </c>
      <c r="O3906">
        <v>9.94</v>
      </c>
      <c r="P3906">
        <v>170.78</v>
      </c>
    </row>
    <row r="3907" spans="1:16" x14ac:dyDescent="0.3">
      <c r="A3907">
        <v>38588</v>
      </c>
      <c r="B3907">
        <v>105</v>
      </c>
      <c r="C3907" t="s">
        <v>557</v>
      </c>
      <c r="D3907" s="452">
        <v>45809</v>
      </c>
      <c r="E3907">
        <v>18502</v>
      </c>
      <c r="F3907" t="s">
        <v>4893</v>
      </c>
      <c r="G3907">
        <v>3155</v>
      </c>
      <c r="H3907">
        <v>3</v>
      </c>
      <c r="I3907" t="s">
        <v>4805</v>
      </c>
      <c r="J3907" t="s">
        <v>5222</v>
      </c>
      <c r="K3907" t="s">
        <v>4434</v>
      </c>
      <c r="L3907">
        <v>0</v>
      </c>
      <c r="M3907" s="452">
        <v>45737</v>
      </c>
      <c r="N3907">
        <v>56.69</v>
      </c>
      <c r="O3907">
        <v>56.69</v>
      </c>
      <c r="P3907">
        <v>170.07</v>
      </c>
    </row>
    <row r="3908" spans="1:16" x14ac:dyDescent="0.3">
      <c r="A3908">
        <v>38659</v>
      </c>
      <c r="B3908">
        <v>105</v>
      </c>
      <c r="C3908" t="s">
        <v>557</v>
      </c>
      <c r="D3908" s="452">
        <v>45809</v>
      </c>
      <c r="E3908">
        <v>18030</v>
      </c>
      <c r="F3908" t="s">
        <v>4840</v>
      </c>
      <c r="G3908">
        <v>3568</v>
      </c>
      <c r="H3908">
        <v>6.5</v>
      </c>
      <c r="I3908" t="s">
        <v>4805</v>
      </c>
      <c r="J3908" t="s">
        <v>5222</v>
      </c>
      <c r="K3908" t="s">
        <v>4434</v>
      </c>
      <c r="L3908">
        <v>0</v>
      </c>
      <c r="M3908" s="452">
        <v>45777</v>
      </c>
      <c r="N3908">
        <v>25.9</v>
      </c>
      <c r="O3908">
        <v>27.9</v>
      </c>
      <c r="P3908">
        <v>168.35</v>
      </c>
    </row>
    <row r="3909" spans="1:16" x14ac:dyDescent="0.3">
      <c r="A3909">
        <v>38724</v>
      </c>
      <c r="B3909">
        <v>105</v>
      </c>
      <c r="C3909" t="s">
        <v>557</v>
      </c>
      <c r="D3909" s="452">
        <v>45809</v>
      </c>
      <c r="E3909">
        <v>24339</v>
      </c>
      <c r="F3909" t="s">
        <v>4885</v>
      </c>
      <c r="G3909">
        <v>2153</v>
      </c>
      <c r="H3909">
        <v>4.2</v>
      </c>
      <c r="I3909" t="s">
        <v>4744</v>
      </c>
      <c r="J3909" t="s">
        <v>5191</v>
      </c>
      <c r="K3909" t="s">
        <v>4434</v>
      </c>
      <c r="L3909">
        <v>0</v>
      </c>
      <c r="M3909" s="452">
        <v>45777</v>
      </c>
      <c r="N3909">
        <v>39.9</v>
      </c>
      <c r="O3909">
        <v>39.9</v>
      </c>
      <c r="P3909">
        <v>167.58</v>
      </c>
    </row>
    <row r="3910" spans="1:16" x14ac:dyDescent="0.3">
      <c r="A3910">
        <v>38637</v>
      </c>
      <c r="B3910">
        <v>105</v>
      </c>
      <c r="C3910" t="s">
        <v>557</v>
      </c>
      <c r="D3910" s="452">
        <v>45809</v>
      </c>
      <c r="E3910">
        <v>25779</v>
      </c>
      <c r="F3910" t="s">
        <v>5456</v>
      </c>
      <c r="G3910">
        <v>6323</v>
      </c>
      <c r="H3910">
        <v>6</v>
      </c>
      <c r="I3910" t="s">
        <v>4744</v>
      </c>
      <c r="J3910" t="s">
        <v>5191</v>
      </c>
      <c r="K3910" t="s">
        <v>4434</v>
      </c>
      <c r="L3910">
        <v>27.9</v>
      </c>
      <c r="M3910" s="452">
        <v>45804</v>
      </c>
      <c r="N3910">
        <v>27.9</v>
      </c>
      <c r="O3910">
        <v>27.9</v>
      </c>
      <c r="P3910">
        <v>167.4</v>
      </c>
    </row>
    <row r="3911" spans="1:16" x14ac:dyDescent="0.3">
      <c r="A3911">
        <v>38883</v>
      </c>
      <c r="B3911">
        <v>105</v>
      </c>
      <c r="C3911" t="s">
        <v>557</v>
      </c>
      <c r="D3911" s="452">
        <v>45809</v>
      </c>
      <c r="E3911">
        <v>22223</v>
      </c>
      <c r="F3911" t="s">
        <v>5437</v>
      </c>
      <c r="G3911">
        <v>3498</v>
      </c>
      <c r="H3911">
        <v>0.62</v>
      </c>
      <c r="I3911" t="s">
        <v>4955</v>
      </c>
      <c r="J3911" t="s">
        <v>5222</v>
      </c>
      <c r="K3911" t="s">
        <v>4434</v>
      </c>
      <c r="L3911">
        <v>0</v>
      </c>
      <c r="M3911" s="452">
        <v>45672</v>
      </c>
      <c r="N3911">
        <v>269.89999999999998</v>
      </c>
      <c r="O3911">
        <v>269.89999999999998</v>
      </c>
      <c r="P3911">
        <v>167.34</v>
      </c>
    </row>
    <row r="3912" spans="1:16" x14ac:dyDescent="0.3">
      <c r="A3912">
        <v>38690</v>
      </c>
      <c r="B3912">
        <v>105</v>
      </c>
      <c r="C3912" t="s">
        <v>557</v>
      </c>
      <c r="D3912" s="452">
        <v>45809</v>
      </c>
      <c r="E3912">
        <v>17905</v>
      </c>
      <c r="F3912" t="s">
        <v>5085</v>
      </c>
      <c r="G3912">
        <v>3656</v>
      </c>
      <c r="H3912">
        <v>6</v>
      </c>
      <c r="I3912" t="s">
        <v>4738</v>
      </c>
      <c r="J3912" t="s">
        <v>5222</v>
      </c>
      <c r="K3912" t="s">
        <v>4434</v>
      </c>
      <c r="L3912">
        <v>27.48</v>
      </c>
      <c r="M3912" s="452">
        <v>45789</v>
      </c>
      <c r="N3912">
        <v>27.48</v>
      </c>
      <c r="O3912">
        <v>5.5</v>
      </c>
      <c r="P3912">
        <v>164.88</v>
      </c>
    </row>
    <row r="3913" spans="1:16" x14ac:dyDescent="0.3">
      <c r="A3913">
        <v>38765</v>
      </c>
      <c r="B3913">
        <v>105</v>
      </c>
      <c r="C3913" t="s">
        <v>557</v>
      </c>
      <c r="D3913" s="452">
        <v>45809</v>
      </c>
      <c r="E3913">
        <v>20623</v>
      </c>
      <c r="F3913" t="s">
        <v>4814</v>
      </c>
      <c r="G3913">
        <v>2116</v>
      </c>
      <c r="H3913">
        <v>14.68</v>
      </c>
      <c r="I3913" t="s">
        <v>4736</v>
      </c>
      <c r="J3913" t="s">
        <v>5191</v>
      </c>
      <c r="K3913" t="s">
        <v>4434</v>
      </c>
      <c r="L3913">
        <v>11.07</v>
      </c>
      <c r="M3913" s="452">
        <v>45785</v>
      </c>
      <c r="N3913">
        <v>11.07</v>
      </c>
      <c r="O3913">
        <v>11.07</v>
      </c>
      <c r="P3913">
        <v>162.51</v>
      </c>
    </row>
    <row r="3914" spans="1:16" x14ac:dyDescent="0.3">
      <c r="A3914">
        <v>38784</v>
      </c>
      <c r="B3914">
        <v>105</v>
      </c>
      <c r="C3914" t="s">
        <v>557</v>
      </c>
      <c r="D3914" s="452">
        <v>45809</v>
      </c>
      <c r="E3914">
        <v>25757</v>
      </c>
      <c r="F3914" t="s">
        <v>4763</v>
      </c>
      <c r="G3914">
        <v>6308</v>
      </c>
      <c r="H3914">
        <v>21</v>
      </c>
      <c r="I3914" t="s">
        <v>4736</v>
      </c>
      <c r="J3914" t="s">
        <v>5191</v>
      </c>
      <c r="K3914" t="s">
        <v>4434</v>
      </c>
      <c r="L3914">
        <v>0</v>
      </c>
      <c r="M3914" s="452">
        <v>45742</v>
      </c>
      <c r="N3914">
        <v>7.61</v>
      </c>
      <c r="O3914">
        <v>7.61</v>
      </c>
      <c r="P3914">
        <v>159.81</v>
      </c>
    </row>
    <row r="3915" spans="1:16" x14ac:dyDescent="0.3">
      <c r="A3915">
        <v>38634</v>
      </c>
      <c r="B3915">
        <v>105</v>
      </c>
      <c r="C3915" t="s">
        <v>557</v>
      </c>
      <c r="D3915" s="452">
        <v>45809</v>
      </c>
      <c r="E3915">
        <v>22636</v>
      </c>
      <c r="F3915" t="s">
        <v>4761</v>
      </c>
      <c r="G3915">
        <v>3099</v>
      </c>
      <c r="H3915">
        <v>30</v>
      </c>
      <c r="I3915" t="s">
        <v>4736</v>
      </c>
      <c r="J3915" t="s">
        <v>5222</v>
      </c>
      <c r="K3915" t="s">
        <v>4434</v>
      </c>
      <c r="L3915">
        <v>0</v>
      </c>
      <c r="M3915" s="452">
        <v>45671</v>
      </c>
      <c r="N3915">
        <v>5.3</v>
      </c>
      <c r="O3915">
        <v>5.0199999999999996</v>
      </c>
      <c r="P3915">
        <v>159</v>
      </c>
    </row>
    <row r="3916" spans="1:16" x14ac:dyDescent="0.3">
      <c r="A3916">
        <v>38547</v>
      </c>
      <c r="B3916">
        <v>105</v>
      </c>
      <c r="C3916" t="s">
        <v>557</v>
      </c>
      <c r="D3916" s="452">
        <v>45809</v>
      </c>
      <c r="E3916">
        <v>20756</v>
      </c>
      <c r="F3916" t="s">
        <v>5001</v>
      </c>
      <c r="G3916">
        <v>2086</v>
      </c>
      <c r="H3916">
        <v>2</v>
      </c>
      <c r="I3916" t="s">
        <v>4736</v>
      </c>
      <c r="J3916" t="s">
        <v>5191</v>
      </c>
      <c r="K3916" t="s">
        <v>4434</v>
      </c>
      <c r="L3916">
        <v>0</v>
      </c>
      <c r="M3916" s="452">
        <v>45607</v>
      </c>
      <c r="N3916">
        <v>79.2</v>
      </c>
      <c r="O3916">
        <v>78.900000000000006</v>
      </c>
      <c r="P3916">
        <v>158.4</v>
      </c>
    </row>
    <row r="3917" spans="1:16" x14ac:dyDescent="0.3">
      <c r="A3917">
        <v>38730</v>
      </c>
      <c r="B3917">
        <v>105</v>
      </c>
      <c r="C3917" t="s">
        <v>557</v>
      </c>
      <c r="D3917" s="452">
        <v>45809</v>
      </c>
      <c r="E3917">
        <v>27065</v>
      </c>
      <c r="F3917" t="s">
        <v>5503</v>
      </c>
      <c r="G3917">
        <v>7113</v>
      </c>
      <c r="H3917">
        <v>4</v>
      </c>
      <c r="I3917" t="s">
        <v>4738</v>
      </c>
      <c r="J3917" t="s">
        <v>5191</v>
      </c>
      <c r="K3917" t="s">
        <v>4434</v>
      </c>
      <c r="L3917">
        <v>0</v>
      </c>
      <c r="N3917">
        <v>0</v>
      </c>
      <c r="O3917">
        <v>0</v>
      </c>
      <c r="P3917">
        <v>158.04</v>
      </c>
    </row>
    <row r="3918" spans="1:16" x14ac:dyDescent="0.3">
      <c r="A3918">
        <v>38625</v>
      </c>
      <c r="B3918">
        <v>105</v>
      </c>
      <c r="C3918" t="s">
        <v>557</v>
      </c>
      <c r="D3918" s="452">
        <v>45809</v>
      </c>
      <c r="E3918">
        <v>20909</v>
      </c>
      <c r="F3918" t="s">
        <v>5318</v>
      </c>
      <c r="G3918">
        <v>2035</v>
      </c>
      <c r="H3918">
        <v>1</v>
      </c>
      <c r="I3918" t="s">
        <v>4736</v>
      </c>
      <c r="J3918" t="s">
        <v>5191</v>
      </c>
      <c r="K3918" t="s">
        <v>4434</v>
      </c>
      <c r="L3918">
        <v>156</v>
      </c>
      <c r="M3918" s="452">
        <v>45804</v>
      </c>
      <c r="N3918">
        <v>156</v>
      </c>
      <c r="O3918">
        <v>156</v>
      </c>
      <c r="P3918">
        <v>156</v>
      </c>
    </row>
    <row r="3919" spans="1:16" x14ac:dyDescent="0.3">
      <c r="A3919">
        <v>38741</v>
      </c>
      <c r="B3919">
        <v>105</v>
      </c>
      <c r="C3919" t="s">
        <v>557</v>
      </c>
      <c r="D3919" s="452">
        <v>45809</v>
      </c>
      <c r="E3919">
        <v>20122</v>
      </c>
      <c r="F3919" t="s">
        <v>4781</v>
      </c>
      <c r="G3919">
        <v>2290</v>
      </c>
      <c r="H3919">
        <v>11</v>
      </c>
      <c r="I3919" t="s">
        <v>4738</v>
      </c>
      <c r="J3919" t="s">
        <v>5191</v>
      </c>
      <c r="K3919" t="s">
        <v>4434</v>
      </c>
      <c r="L3919">
        <v>13.8</v>
      </c>
      <c r="M3919" s="452">
        <v>45804</v>
      </c>
      <c r="N3919">
        <v>13.8</v>
      </c>
      <c r="O3919">
        <v>13.8</v>
      </c>
      <c r="P3919">
        <v>151.80000000000001</v>
      </c>
    </row>
    <row r="3920" spans="1:16" x14ac:dyDescent="0.3">
      <c r="A3920">
        <v>38844</v>
      </c>
      <c r="B3920">
        <v>105</v>
      </c>
      <c r="C3920" t="s">
        <v>557</v>
      </c>
      <c r="D3920" s="452">
        <v>45809</v>
      </c>
      <c r="E3920">
        <v>18232</v>
      </c>
      <c r="F3920" t="s">
        <v>4971</v>
      </c>
      <c r="G3920">
        <v>3396</v>
      </c>
      <c r="H3920">
        <v>1.5</v>
      </c>
      <c r="I3920" t="s">
        <v>4805</v>
      </c>
      <c r="J3920" t="s">
        <v>5222</v>
      </c>
      <c r="K3920" t="s">
        <v>4434</v>
      </c>
      <c r="L3920">
        <v>100.89</v>
      </c>
      <c r="M3920" s="452">
        <v>45807</v>
      </c>
      <c r="N3920">
        <v>100.89</v>
      </c>
      <c r="O3920">
        <v>100.89</v>
      </c>
      <c r="P3920">
        <v>151.34</v>
      </c>
    </row>
    <row r="3921" spans="1:16" x14ac:dyDescent="0.3">
      <c r="A3921">
        <v>38624</v>
      </c>
      <c r="B3921">
        <v>105</v>
      </c>
      <c r="C3921" t="s">
        <v>557</v>
      </c>
      <c r="D3921" s="452">
        <v>45809</v>
      </c>
      <c r="E3921">
        <v>20928</v>
      </c>
      <c r="F3921" t="s">
        <v>4950</v>
      </c>
      <c r="G3921">
        <v>2033</v>
      </c>
      <c r="H3921">
        <v>1</v>
      </c>
      <c r="I3921" t="s">
        <v>4736</v>
      </c>
      <c r="J3921" t="s">
        <v>5191</v>
      </c>
      <c r="K3921" t="s">
        <v>4434</v>
      </c>
      <c r="L3921">
        <v>0</v>
      </c>
      <c r="M3921" s="452">
        <v>45740</v>
      </c>
      <c r="N3921">
        <v>150</v>
      </c>
      <c r="O3921">
        <v>180</v>
      </c>
      <c r="P3921">
        <v>150</v>
      </c>
    </row>
    <row r="3922" spans="1:16" x14ac:dyDescent="0.3">
      <c r="A3922">
        <v>38685</v>
      </c>
      <c r="B3922">
        <v>105</v>
      </c>
      <c r="C3922" t="s">
        <v>557</v>
      </c>
      <c r="D3922" s="452">
        <v>45809</v>
      </c>
      <c r="E3922">
        <v>17092</v>
      </c>
      <c r="F3922" t="s">
        <v>5146</v>
      </c>
      <c r="G3922">
        <v>4165</v>
      </c>
      <c r="H3922">
        <v>3</v>
      </c>
      <c r="I3922" t="s">
        <v>4736</v>
      </c>
      <c r="J3922" t="s">
        <v>5222</v>
      </c>
      <c r="K3922" t="s">
        <v>4434</v>
      </c>
      <c r="L3922">
        <v>0</v>
      </c>
      <c r="M3922" s="452">
        <v>45722</v>
      </c>
      <c r="N3922">
        <v>49.4</v>
      </c>
      <c r="O3922">
        <v>47.5</v>
      </c>
      <c r="P3922">
        <v>148.19999999999999</v>
      </c>
    </row>
    <row r="3923" spans="1:16" x14ac:dyDescent="0.3">
      <c r="A3923">
        <v>38623</v>
      </c>
      <c r="B3923">
        <v>105</v>
      </c>
      <c r="C3923" t="s">
        <v>557</v>
      </c>
      <c r="D3923" s="452">
        <v>45809</v>
      </c>
      <c r="E3923">
        <v>20044</v>
      </c>
      <c r="F3923" t="s">
        <v>4932</v>
      </c>
      <c r="G3923">
        <v>2329</v>
      </c>
      <c r="H3923">
        <v>7</v>
      </c>
      <c r="I3923" t="s">
        <v>4744</v>
      </c>
      <c r="J3923" t="s">
        <v>5191</v>
      </c>
      <c r="K3923" t="s">
        <v>4434</v>
      </c>
      <c r="L3923">
        <v>0</v>
      </c>
      <c r="M3923" s="452">
        <v>45639</v>
      </c>
      <c r="N3923">
        <v>21</v>
      </c>
      <c r="O3923">
        <v>38.479999999999997</v>
      </c>
      <c r="P3923">
        <v>147</v>
      </c>
    </row>
    <row r="3924" spans="1:16" x14ac:dyDescent="0.3">
      <c r="A3924">
        <v>38540</v>
      </c>
      <c r="B3924">
        <v>105</v>
      </c>
      <c r="C3924" t="s">
        <v>557</v>
      </c>
      <c r="D3924" s="452">
        <v>45809</v>
      </c>
      <c r="E3924">
        <v>17958</v>
      </c>
      <c r="F3924" t="s">
        <v>5076</v>
      </c>
      <c r="G3924">
        <v>3622</v>
      </c>
      <c r="H3924">
        <v>9</v>
      </c>
      <c r="I3924" t="s">
        <v>4738</v>
      </c>
      <c r="J3924" t="s">
        <v>5222</v>
      </c>
      <c r="K3924" t="s">
        <v>4434</v>
      </c>
      <c r="L3924">
        <v>15.9</v>
      </c>
      <c r="M3924" s="452">
        <v>45804</v>
      </c>
      <c r="N3924">
        <v>15.9</v>
      </c>
      <c r="O3924">
        <v>15.9</v>
      </c>
      <c r="P3924">
        <v>143.1</v>
      </c>
    </row>
    <row r="3925" spans="1:16" x14ac:dyDescent="0.3">
      <c r="A3925">
        <v>38670</v>
      </c>
      <c r="B3925">
        <v>105</v>
      </c>
      <c r="C3925" t="s">
        <v>557</v>
      </c>
      <c r="D3925" s="452">
        <v>45809</v>
      </c>
      <c r="E3925">
        <v>20242</v>
      </c>
      <c r="F3925" t="s">
        <v>4824</v>
      </c>
      <c r="G3925">
        <v>2242</v>
      </c>
      <c r="H3925">
        <v>10</v>
      </c>
      <c r="I3925" t="s">
        <v>4738</v>
      </c>
      <c r="J3925" t="s">
        <v>5191</v>
      </c>
      <c r="K3925" t="s">
        <v>4434</v>
      </c>
      <c r="L3925">
        <v>14.19</v>
      </c>
      <c r="M3925" s="452">
        <v>45807</v>
      </c>
      <c r="N3925">
        <v>14.2</v>
      </c>
      <c r="O3925">
        <v>14.2</v>
      </c>
      <c r="P3925">
        <v>141.9</v>
      </c>
    </row>
    <row r="3926" spans="1:16" x14ac:dyDescent="0.3">
      <c r="A3926">
        <v>38711</v>
      </c>
      <c r="B3926">
        <v>105</v>
      </c>
      <c r="C3926" t="s">
        <v>557</v>
      </c>
      <c r="D3926" s="452">
        <v>45809</v>
      </c>
      <c r="E3926">
        <v>24685</v>
      </c>
      <c r="F3926" t="s">
        <v>5055</v>
      </c>
      <c r="G3926">
        <v>5714</v>
      </c>
      <c r="H3926">
        <v>1</v>
      </c>
      <c r="I3926" t="s">
        <v>4805</v>
      </c>
      <c r="J3926" t="s">
        <v>5222</v>
      </c>
      <c r="K3926" t="s">
        <v>4434</v>
      </c>
      <c r="L3926">
        <v>0</v>
      </c>
      <c r="M3926" s="452">
        <v>45742</v>
      </c>
      <c r="N3926">
        <v>140.35</v>
      </c>
      <c r="O3926">
        <v>138</v>
      </c>
      <c r="P3926">
        <v>140.35</v>
      </c>
    </row>
    <row r="3927" spans="1:16" x14ac:dyDescent="0.3">
      <c r="A3927">
        <v>38716</v>
      </c>
      <c r="B3927">
        <v>105</v>
      </c>
      <c r="C3927" t="s">
        <v>557</v>
      </c>
      <c r="D3927" s="452">
        <v>45809</v>
      </c>
      <c r="E3927">
        <v>18295</v>
      </c>
      <c r="F3927" t="s">
        <v>4968</v>
      </c>
      <c r="G3927">
        <v>3334</v>
      </c>
      <c r="H3927">
        <v>1.2</v>
      </c>
      <c r="I3927" t="s">
        <v>4805</v>
      </c>
      <c r="J3927" t="s">
        <v>5222</v>
      </c>
      <c r="K3927" t="s">
        <v>4434</v>
      </c>
      <c r="L3927">
        <v>0</v>
      </c>
      <c r="M3927" s="452">
        <v>45672</v>
      </c>
      <c r="N3927">
        <v>116.87</v>
      </c>
      <c r="O3927">
        <v>155.9</v>
      </c>
      <c r="P3927">
        <v>140.24</v>
      </c>
    </row>
    <row r="3928" spans="1:16" x14ac:dyDescent="0.3">
      <c r="A3928">
        <v>38712</v>
      </c>
      <c r="B3928">
        <v>105</v>
      </c>
      <c r="C3928" t="s">
        <v>557</v>
      </c>
      <c r="D3928" s="452">
        <v>45809</v>
      </c>
      <c r="E3928">
        <v>18289</v>
      </c>
      <c r="F3928" t="s">
        <v>5036</v>
      </c>
      <c r="G3928">
        <v>3339</v>
      </c>
      <c r="H3928">
        <v>1</v>
      </c>
      <c r="I3928" t="s">
        <v>4736</v>
      </c>
      <c r="J3928" t="s">
        <v>5222</v>
      </c>
      <c r="K3928" t="s">
        <v>4434</v>
      </c>
      <c r="L3928">
        <v>0</v>
      </c>
      <c r="M3928" s="452">
        <v>-693593</v>
      </c>
      <c r="N3928">
        <v>0</v>
      </c>
      <c r="O3928">
        <v>0</v>
      </c>
      <c r="P3928">
        <v>139.99</v>
      </c>
    </row>
    <row r="3929" spans="1:16" x14ac:dyDescent="0.3">
      <c r="A3929">
        <v>38781</v>
      </c>
      <c r="B3929">
        <v>105</v>
      </c>
      <c r="C3929" t="s">
        <v>557</v>
      </c>
      <c r="D3929" s="452">
        <v>45809</v>
      </c>
      <c r="E3929">
        <v>25760</v>
      </c>
      <c r="F3929" t="s">
        <v>4787</v>
      </c>
      <c r="G3929">
        <v>6311</v>
      </c>
      <c r="H3929">
        <v>18</v>
      </c>
      <c r="I3929" t="s">
        <v>4736</v>
      </c>
      <c r="J3929" t="s">
        <v>5191</v>
      </c>
      <c r="K3929" t="s">
        <v>4434</v>
      </c>
      <c r="L3929">
        <v>0</v>
      </c>
      <c r="M3929" s="452">
        <v>45742</v>
      </c>
      <c r="N3929">
        <v>7.73</v>
      </c>
      <c r="O3929">
        <v>7.73</v>
      </c>
      <c r="P3929">
        <v>139.13999999999999</v>
      </c>
    </row>
    <row r="3930" spans="1:16" x14ac:dyDescent="0.3">
      <c r="A3930">
        <v>38709</v>
      </c>
      <c r="B3930">
        <v>105</v>
      </c>
      <c r="C3930" t="s">
        <v>557</v>
      </c>
      <c r="D3930" s="452">
        <v>45809</v>
      </c>
      <c r="E3930">
        <v>18327</v>
      </c>
      <c r="F3930" t="s">
        <v>5035</v>
      </c>
      <c r="G3930">
        <v>3306</v>
      </c>
      <c r="H3930">
        <v>1.3</v>
      </c>
      <c r="I3930" t="s">
        <v>4805</v>
      </c>
      <c r="J3930" t="s">
        <v>5222</v>
      </c>
      <c r="K3930" t="s">
        <v>4434</v>
      </c>
      <c r="L3930">
        <v>0</v>
      </c>
      <c r="M3930" s="452">
        <v>45762</v>
      </c>
      <c r="N3930">
        <v>106</v>
      </c>
      <c r="O3930">
        <v>107</v>
      </c>
      <c r="P3930">
        <v>137.80000000000001</v>
      </c>
    </row>
    <row r="3931" spans="1:16" x14ac:dyDescent="0.3">
      <c r="A3931">
        <v>38715</v>
      </c>
      <c r="B3931">
        <v>105</v>
      </c>
      <c r="C3931" t="s">
        <v>557</v>
      </c>
      <c r="D3931" s="452">
        <v>45809</v>
      </c>
      <c r="E3931">
        <v>18312</v>
      </c>
      <c r="F3931" t="s">
        <v>5037</v>
      </c>
      <c r="G3931">
        <v>3321</v>
      </c>
      <c r="H3931">
        <v>1</v>
      </c>
      <c r="I3931" t="s">
        <v>4805</v>
      </c>
      <c r="J3931" t="s">
        <v>5222</v>
      </c>
      <c r="K3931" t="s">
        <v>4434</v>
      </c>
      <c r="L3931">
        <v>0</v>
      </c>
      <c r="M3931" s="452">
        <v>-693593</v>
      </c>
      <c r="N3931">
        <v>0</v>
      </c>
      <c r="O3931">
        <v>105.9</v>
      </c>
      <c r="P3931">
        <v>135.9</v>
      </c>
    </row>
    <row r="3932" spans="1:16" x14ac:dyDescent="0.3">
      <c r="A3932">
        <v>38744</v>
      </c>
      <c r="B3932">
        <v>105</v>
      </c>
      <c r="C3932" t="s">
        <v>557</v>
      </c>
      <c r="D3932" s="452">
        <v>45809</v>
      </c>
      <c r="E3932">
        <v>20887</v>
      </c>
      <c r="F3932" t="s">
        <v>4953</v>
      </c>
      <c r="G3932">
        <v>2040</v>
      </c>
      <c r="H3932">
        <v>3.5</v>
      </c>
      <c r="I3932" t="s">
        <v>4879</v>
      </c>
      <c r="J3932" t="s">
        <v>5191</v>
      </c>
      <c r="K3932" t="s">
        <v>4434</v>
      </c>
      <c r="L3932">
        <v>38.6</v>
      </c>
      <c r="M3932" s="452">
        <v>45804</v>
      </c>
      <c r="N3932">
        <v>38.6</v>
      </c>
      <c r="O3932">
        <v>34</v>
      </c>
      <c r="P3932">
        <v>135.1</v>
      </c>
    </row>
    <row r="3933" spans="1:16" x14ac:dyDescent="0.3">
      <c r="A3933">
        <v>38756</v>
      </c>
      <c r="B3933">
        <v>105</v>
      </c>
      <c r="C3933" t="s">
        <v>557</v>
      </c>
      <c r="D3933" s="452">
        <v>45809</v>
      </c>
      <c r="E3933">
        <v>19964</v>
      </c>
      <c r="F3933" t="s">
        <v>4817</v>
      </c>
      <c r="G3933">
        <v>2356</v>
      </c>
      <c r="H3933">
        <v>9</v>
      </c>
      <c r="I3933" t="s">
        <v>4736</v>
      </c>
      <c r="J3933" t="s">
        <v>5191</v>
      </c>
      <c r="K3933" t="s">
        <v>4434</v>
      </c>
      <c r="L3933">
        <v>0</v>
      </c>
      <c r="M3933" s="452">
        <v>45677</v>
      </c>
      <c r="N3933">
        <v>14.96</v>
      </c>
      <c r="O3933">
        <v>14.96</v>
      </c>
      <c r="P3933">
        <v>134.63999999999999</v>
      </c>
    </row>
    <row r="3934" spans="1:16" x14ac:dyDescent="0.3">
      <c r="A3934">
        <v>38875</v>
      </c>
      <c r="B3934">
        <v>105</v>
      </c>
      <c r="C3934" t="s">
        <v>557</v>
      </c>
      <c r="D3934" s="452">
        <v>45809</v>
      </c>
      <c r="E3934">
        <v>18157</v>
      </c>
      <c r="F3934" t="s">
        <v>5041</v>
      </c>
      <c r="G3934">
        <v>3463</v>
      </c>
      <c r="H3934">
        <v>0.65</v>
      </c>
      <c r="I3934" t="s">
        <v>4805</v>
      </c>
      <c r="J3934" t="s">
        <v>5222</v>
      </c>
      <c r="K3934" t="s">
        <v>4434</v>
      </c>
      <c r="L3934">
        <v>0</v>
      </c>
      <c r="M3934" s="452">
        <v>45672</v>
      </c>
      <c r="N3934">
        <v>205.61</v>
      </c>
      <c r="O3934">
        <v>175</v>
      </c>
      <c r="P3934">
        <v>133.65</v>
      </c>
    </row>
    <row r="3935" spans="1:16" x14ac:dyDescent="0.3">
      <c r="A3935">
        <v>38773</v>
      </c>
      <c r="B3935">
        <v>105</v>
      </c>
      <c r="C3935" t="s">
        <v>557</v>
      </c>
      <c r="D3935" s="452">
        <v>45809</v>
      </c>
      <c r="E3935">
        <v>24414</v>
      </c>
      <c r="F3935" t="s">
        <v>4746</v>
      </c>
      <c r="G3935">
        <v>3670</v>
      </c>
      <c r="H3935">
        <v>61</v>
      </c>
      <c r="I3935" t="s">
        <v>4736</v>
      </c>
      <c r="J3935" t="s">
        <v>5222</v>
      </c>
      <c r="K3935" t="s">
        <v>4434</v>
      </c>
      <c r="L3935">
        <v>0</v>
      </c>
      <c r="M3935" s="452">
        <v>45623</v>
      </c>
      <c r="N3935">
        <v>2.19</v>
      </c>
      <c r="O3935">
        <v>2.19</v>
      </c>
      <c r="P3935">
        <v>133.59</v>
      </c>
    </row>
    <row r="3936" spans="1:16" x14ac:dyDescent="0.3">
      <c r="A3936">
        <v>38766</v>
      </c>
      <c r="B3936">
        <v>105</v>
      </c>
      <c r="C3936" t="s">
        <v>557</v>
      </c>
      <c r="D3936" s="452">
        <v>45809</v>
      </c>
      <c r="E3936">
        <v>17042</v>
      </c>
      <c r="F3936" t="s">
        <v>4748</v>
      </c>
      <c r="G3936">
        <v>2830</v>
      </c>
      <c r="H3936">
        <v>79</v>
      </c>
      <c r="I3936" t="s">
        <v>4749</v>
      </c>
      <c r="J3936" t="s">
        <v>5191</v>
      </c>
      <c r="K3936" t="s">
        <v>4434</v>
      </c>
      <c r="L3936">
        <v>0</v>
      </c>
      <c r="M3936" s="452">
        <v>-693593</v>
      </c>
      <c r="N3936">
        <v>0</v>
      </c>
      <c r="O3936">
        <v>1.68</v>
      </c>
      <c r="P3936">
        <v>132.72</v>
      </c>
    </row>
    <row r="3937" spans="1:16" x14ac:dyDescent="0.3">
      <c r="A3937">
        <v>38635</v>
      </c>
      <c r="B3937">
        <v>105</v>
      </c>
      <c r="C3937" t="s">
        <v>557</v>
      </c>
      <c r="D3937" s="452">
        <v>45809</v>
      </c>
      <c r="E3937">
        <v>18595</v>
      </c>
      <c r="F3937" t="s">
        <v>5092</v>
      </c>
      <c r="G3937">
        <v>3099</v>
      </c>
      <c r="H3937">
        <v>1</v>
      </c>
      <c r="I3937" t="s">
        <v>4738</v>
      </c>
      <c r="J3937" t="s">
        <v>5222</v>
      </c>
      <c r="K3937" t="s">
        <v>4434</v>
      </c>
      <c r="L3937">
        <v>132.08000000000001</v>
      </c>
      <c r="M3937" s="452">
        <v>45789</v>
      </c>
      <c r="N3937">
        <v>132.08000000000001</v>
      </c>
      <c r="O3937">
        <v>132.08000000000001</v>
      </c>
      <c r="P3937">
        <v>132.08000000000001</v>
      </c>
    </row>
    <row r="3938" spans="1:16" x14ac:dyDescent="0.3">
      <c r="A3938">
        <v>38874</v>
      </c>
      <c r="B3938">
        <v>105</v>
      </c>
      <c r="C3938" t="s">
        <v>557</v>
      </c>
      <c r="D3938" s="452">
        <v>45809</v>
      </c>
      <c r="E3938">
        <v>18172</v>
      </c>
      <c r="F3938" t="s">
        <v>4804</v>
      </c>
      <c r="G3938">
        <v>3450</v>
      </c>
      <c r="H3938">
        <v>4</v>
      </c>
      <c r="I3938" t="s">
        <v>4805</v>
      </c>
      <c r="J3938" t="s">
        <v>5222</v>
      </c>
      <c r="K3938" t="s">
        <v>4434</v>
      </c>
      <c r="L3938">
        <v>32.630000000000003</v>
      </c>
      <c r="M3938" s="452">
        <v>45807</v>
      </c>
      <c r="N3938">
        <v>32.64</v>
      </c>
      <c r="O3938">
        <v>32.64</v>
      </c>
      <c r="P3938">
        <v>130.52000000000001</v>
      </c>
    </row>
    <row r="3939" spans="1:16" x14ac:dyDescent="0.3">
      <c r="A3939">
        <v>38650</v>
      </c>
      <c r="B3939">
        <v>105</v>
      </c>
      <c r="C3939" t="s">
        <v>557</v>
      </c>
      <c r="D3939" s="452">
        <v>45809</v>
      </c>
      <c r="E3939">
        <v>24226</v>
      </c>
      <c r="F3939" t="s">
        <v>4795</v>
      </c>
      <c r="G3939">
        <v>3647</v>
      </c>
      <c r="H3939">
        <v>20</v>
      </c>
      <c r="I3939" t="s">
        <v>4736</v>
      </c>
      <c r="J3939" t="s">
        <v>5222</v>
      </c>
      <c r="K3939" t="s">
        <v>4434</v>
      </c>
      <c r="L3939">
        <v>0</v>
      </c>
      <c r="M3939" s="452">
        <v>45532</v>
      </c>
      <c r="N3939">
        <v>6.42</v>
      </c>
      <c r="O3939">
        <v>6.82</v>
      </c>
      <c r="P3939">
        <v>128.4</v>
      </c>
    </row>
    <row r="3940" spans="1:16" x14ac:dyDescent="0.3">
      <c r="A3940">
        <v>38606</v>
      </c>
      <c r="B3940">
        <v>105</v>
      </c>
      <c r="C3940" t="s">
        <v>557</v>
      </c>
      <c r="D3940" s="452">
        <v>45809</v>
      </c>
      <c r="E3940">
        <v>25358</v>
      </c>
      <c r="F3940" t="s">
        <v>4980</v>
      </c>
      <c r="G3940">
        <v>6047</v>
      </c>
      <c r="H3940">
        <v>1.64</v>
      </c>
      <c r="I3940" t="s">
        <v>4744</v>
      </c>
      <c r="J3940" t="s">
        <v>5191</v>
      </c>
      <c r="K3940" t="s">
        <v>4434</v>
      </c>
      <c r="L3940">
        <v>0</v>
      </c>
      <c r="M3940" s="452">
        <v>45763</v>
      </c>
      <c r="N3940">
        <v>78</v>
      </c>
      <c r="O3940">
        <v>72</v>
      </c>
      <c r="P3940">
        <v>127.92</v>
      </c>
    </row>
    <row r="3941" spans="1:16" x14ac:dyDescent="0.3">
      <c r="A3941">
        <v>38651</v>
      </c>
      <c r="B3941">
        <v>105</v>
      </c>
      <c r="C3941" t="s">
        <v>557</v>
      </c>
      <c r="D3941" s="452">
        <v>45809</v>
      </c>
      <c r="E3941">
        <v>17918</v>
      </c>
      <c r="F3941" t="s">
        <v>5368</v>
      </c>
      <c r="G3941">
        <v>3647</v>
      </c>
      <c r="H3941">
        <v>3</v>
      </c>
      <c r="I3941" t="s">
        <v>4738</v>
      </c>
      <c r="J3941" t="s">
        <v>5222</v>
      </c>
      <c r="K3941" t="s">
        <v>4434</v>
      </c>
      <c r="L3941">
        <v>42.26</v>
      </c>
      <c r="M3941" s="452">
        <v>45789</v>
      </c>
      <c r="N3941">
        <v>40.92</v>
      </c>
      <c r="O3941">
        <v>40.950000000000003</v>
      </c>
      <c r="P3941">
        <v>126.78</v>
      </c>
    </row>
    <row r="3942" spans="1:16" x14ac:dyDescent="0.3">
      <c r="A3942">
        <v>38876</v>
      </c>
      <c r="B3942">
        <v>105</v>
      </c>
      <c r="C3942" t="s">
        <v>557</v>
      </c>
      <c r="D3942" s="452">
        <v>45809</v>
      </c>
      <c r="E3942">
        <v>18147</v>
      </c>
      <c r="F3942" t="s">
        <v>5042</v>
      </c>
      <c r="G3942">
        <v>3471</v>
      </c>
      <c r="H3942">
        <v>1.1000000000000001</v>
      </c>
      <c r="I3942" t="s">
        <v>4805</v>
      </c>
      <c r="J3942" t="s">
        <v>5222</v>
      </c>
      <c r="K3942" t="s">
        <v>4434</v>
      </c>
      <c r="L3942">
        <v>0</v>
      </c>
      <c r="M3942" s="452">
        <v>45427</v>
      </c>
      <c r="N3942">
        <v>115</v>
      </c>
      <c r="O3942">
        <v>113.9</v>
      </c>
      <c r="P3942">
        <v>126.5</v>
      </c>
    </row>
    <row r="3943" spans="1:16" x14ac:dyDescent="0.3">
      <c r="A3943">
        <v>38586</v>
      </c>
      <c r="B3943">
        <v>105</v>
      </c>
      <c r="C3943" t="s">
        <v>557</v>
      </c>
      <c r="D3943" s="452">
        <v>45809</v>
      </c>
      <c r="E3943">
        <v>19492</v>
      </c>
      <c r="F3943" t="s">
        <v>4937</v>
      </c>
      <c r="G3943">
        <v>2717</v>
      </c>
      <c r="H3943">
        <v>8.33</v>
      </c>
      <c r="I3943" t="s">
        <v>4744</v>
      </c>
      <c r="J3943" t="s">
        <v>5191</v>
      </c>
      <c r="K3943" t="s">
        <v>4434</v>
      </c>
      <c r="L3943">
        <v>15</v>
      </c>
      <c r="M3943" s="452">
        <v>45793</v>
      </c>
      <c r="N3943">
        <v>15</v>
      </c>
      <c r="O3943">
        <v>14.5</v>
      </c>
      <c r="P3943">
        <v>124.95</v>
      </c>
    </row>
    <row r="3944" spans="1:16" x14ac:dyDescent="0.3">
      <c r="A3944">
        <v>38880</v>
      </c>
      <c r="B3944">
        <v>105</v>
      </c>
      <c r="C3944" t="s">
        <v>557</v>
      </c>
      <c r="D3944" s="452">
        <v>45809</v>
      </c>
      <c r="E3944">
        <v>18119</v>
      </c>
      <c r="F3944" t="s">
        <v>5044</v>
      </c>
      <c r="G3944">
        <v>3494</v>
      </c>
      <c r="H3944">
        <v>0.71</v>
      </c>
      <c r="I3944" t="s">
        <v>4805</v>
      </c>
      <c r="J3944" t="s">
        <v>5222</v>
      </c>
      <c r="K3944" t="s">
        <v>4434</v>
      </c>
      <c r="L3944">
        <v>172.88</v>
      </c>
      <c r="M3944" s="452">
        <v>45807</v>
      </c>
      <c r="N3944">
        <v>172.88</v>
      </c>
      <c r="O3944">
        <v>172.88</v>
      </c>
      <c r="P3944">
        <v>122.74</v>
      </c>
    </row>
    <row r="3945" spans="1:16" x14ac:dyDescent="0.3">
      <c r="A3945">
        <v>38803</v>
      </c>
      <c r="B3945">
        <v>105</v>
      </c>
      <c r="C3945" t="s">
        <v>557</v>
      </c>
      <c r="D3945" s="452">
        <v>45809</v>
      </c>
      <c r="E3945">
        <v>20486</v>
      </c>
      <c r="F3945" t="s">
        <v>5515</v>
      </c>
      <c r="G3945">
        <v>2157</v>
      </c>
      <c r="H3945">
        <v>3.15</v>
      </c>
      <c r="I3945" t="s">
        <v>4744</v>
      </c>
      <c r="J3945" t="s">
        <v>5191</v>
      </c>
      <c r="K3945" t="s">
        <v>4434</v>
      </c>
      <c r="L3945">
        <v>38.75</v>
      </c>
      <c r="M3945" s="452">
        <v>45785</v>
      </c>
      <c r="N3945">
        <v>38.75</v>
      </c>
      <c r="O3945">
        <v>27.55</v>
      </c>
      <c r="P3945">
        <v>122.06</v>
      </c>
    </row>
    <row r="3946" spans="1:16" x14ac:dyDescent="0.3">
      <c r="A3946">
        <v>38785</v>
      </c>
      <c r="B3946">
        <v>105</v>
      </c>
      <c r="C3946" t="s">
        <v>557</v>
      </c>
      <c r="D3946" s="452">
        <v>45809</v>
      </c>
      <c r="E3946">
        <v>25762</v>
      </c>
      <c r="F3946" t="s">
        <v>4770</v>
      </c>
      <c r="G3946">
        <v>9070</v>
      </c>
      <c r="H3946">
        <v>16</v>
      </c>
      <c r="I3946" t="s">
        <v>4736</v>
      </c>
      <c r="J3946" t="s">
        <v>5191</v>
      </c>
      <c r="K3946" t="s">
        <v>4434</v>
      </c>
      <c r="L3946">
        <v>0</v>
      </c>
      <c r="M3946" s="452">
        <v>45742</v>
      </c>
      <c r="N3946">
        <v>7.61</v>
      </c>
      <c r="O3946">
        <v>7.61</v>
      </c>
      <c r="P3946">
        <v>121.76</v>
      </c>
    </row>
    <row r="3947" spans="1:16" x14ac:dyDescent="0.3">
      <c r="A3947">
        <v>38693</v>
      </c>
      <c r="B3947">
        <v>105</v>
      </c>
      <c r="C3947" t="s">
        <v>557</v>
      </c>
      <c r="D3947" s="452">
        <v>45809</v>
      </c>
      <c r="E3947">
        <v>24308</v>
      </c>
      <c r="F3947" t="s">
        <v>4757</v>
      </c>
      <c r="G3947">
        <v>3658</v>
      </c>
      <c r="H3947">
        <v>55</v>
      </c>
      <c r="I3947" t="s">
        <v>4736</v>
      </c>
      <c r="J3947" t="s">
        <v>5222</v>
      </c>
      <c r="K3947" t="s">
        <v>4434</v>
      </c>
      <c r="L3947">
        <v>0</v>
      </c>
      <c r="M3947" s="452">
        <v>45679</v>
      </c>
      <c r="N3947">
        <v>2.19</v>
      </c>
      <c r="O3947">
        <v>2.19</v>
      </c>
      <c r="P3947">
        <v>120.45</v>
      </c>
    </row>
    <row r="3948" spans="1:16" x14ac:dyDescent="0.3">
      <c r="A3948">
        <v>38806</v>
      </c>
      <c r="B3948">
        <v>105</v>
      </c>
      <c r="C3948" t="s">
        <v>557</v>
      </c>
      <c r="D3948" s="452">
        <v>45809</v>
      </c>
      <c r="E3948">
        <v>23082</v>
      </c>
      <c r="F3948" t="s">
        <v>4904</v>
      </c>
      <c r="G3948">
        <v>2763</v>
      </c>
      <c r="H3948">
        <v>0.79</v>
      </c>
      <c r="I3948" t="s">
        <v>4744</v>
      </c>
      <c r="J3948" t="s">
        <v>5191</v>
      </c>
      <c r="K3948" t="s">
        <v>4434</v>
      </c>
      <c r="L3948">
        <v>0</v>
      </c>
      <c r="M3948" s="452">
        <v>45757</v>
      </c>
      <c r="N3948">
        <v>150.80000000000001</v>
      </c>
      <c r="O3948">
        <v>78.900000000000006</v>
      </c>
      <c r="P3948">
        <v>119.13</v>
      </c>
    </row>
    <row r="3949" spans="1:16" x14ac:dyDescent="0.3">
      <c r="A3949">
        <v>38681</v>
      </c>
      <c r="B3949">
        <v>105</v>
      </c>
      <c r="C3949" t="s">
        <v>557</v>
      </c>
      <c r="D3949" s="452">
        <v>45809</v>
      </c>
      <c r="E3949">
        <v>24278</v>
      </c>
      <c r="F3949" t="s">
        <v>4901</v>
      </c>
      <c r="G3949">
        <v>2896</v>
      </c>
      <c r="H3949">
        <v>10.4</v>
      </c>
      <c r="I3949" t="s">
        <v>4744</v>
      </c>
      <c r="J3949" t="s">
        <v>5191</v>
      </c>
      <c r="K3949" t="s">
        <v>4434</v>
      </c>
      <c r="L3949">
        <v>11.4</v>
      </c>
      <c r="M3949" s="452">
        <v>45804</v>
      </c>
      <c r="N3949">
        <v>9.19</v>
      </c>
      <c r="O3949">
        <v>9.08</v>
      </c>
      <c r="P3949">
        <v>118.56</v>
      </c>
    </row>
    <row r="3950" spans="1:16" x14ac:dyDescent="0.3">
      <c r="A3950">
        <v>38698</v>
      </c>
      <c r="B3950">
        <v>105</v>
      </c>
      <c r="C3950" t="s">
        <v>557</v>
      </c>
      <c r="D3950" s="452">
        <v>45809</v>
      </c>
      <c r="E3950">
        <v>20660</v>
      </c>
      <c r="F3950" t="s">
        <v>5011</v>
      </c>
      <c r="G3950">
        <v>2110</v>
      </c>
      <c r="H3950">
        <v>1.86</v>
      </c>
      <c r="I3950" t="s">
        <v>4955</v>
      </c>
      <c r="J3950" t="s">
        <v>5191</v>
      </c>
      <c r="K3950" t="s">
        <v>4434</v>
      </c>
      <c r="L3950">
        <v>62.82</v>
      </c>
      <c r="M3950" s="452">
        <v>45807</v>
      </c>
      <c r="N3950">
        <v>62.39</v>
      </c>
      <c r="O3950">
        <v>62.39</v>
      </c>
      <c r="P3950">
        <v>117.1</v>
      </c>
    </row>
    <row r="3951" spans="1:16" x14ac:dyDescent="0.3">
      <c r="A3951">
        <v>38608</v>
      </c>
      <c r="B3951">
        <v>105</v>
      </c>
      <c r="C3951" t="s">
        <v>557</v>
      </c>
      <c r="D3951" s="452">
        <v>45809</v>
      </c>
      <c r="E3951">
        <v>20054</v>
      </c>
      <c r="F3951" t="s">
        <v>4856</v>
      </c>
      <c r="G3951">
        <v>2325</v>
      </c>
      <c r="H3951">
        <v>11</v>
      </c>
      <c r="I3951" t="s">
        <v>4736</v>
      </c>
      <c r="J3951" t="s">
        <v>5191</v>
      </c>
      <c r="K3951" t="s">
        <v>4434</v>
      </c>
      <c r="L3951">
        <v>0</v>
      </c>
      <c r="M3951" s="452">
        <v>45706</v>
      </c>
      <c r="N3951">
        <v>10.55</v>
      </c>
      <c r="O3951">
        <v>10.8</v>
      </c>
      <c r="P3951">
        <v>116.05</v>
      </c>
    </row>
    <row r="3952" spans="1:16" x14ac:dyDescent="0.3">
      <c r="A3952">
        <v>38550</v>
      </c>
      <c r="B3952">
        <v>105</v>
      </c>
      <c r="C3952" t="s">
        <v>557</v>
      </c>
      <c r="D3952" s="452">
        <v>45809</v>
      </c>
      <c r="E3952">
        <v>19502</v>
      </c>
      <c r="F3952" t="s">
        <v>4871</v>
      </c>
      <c r="G3952">
        <v>2708</v>
      </c>
      <c r="H3952">
        <v>6.5</v>
      </c>
      <c r="I3952" t="s">
        <v>4744</v>
      </c>
      <c r="J3952" t="s">
        <v>5191</v>
      </c>
      <c r="K3952" t="s">
        <v>4434</v>
      </c>
      <c r="L3952">
        <v>17.84</v>
      </c>
      <c r="M3952" s="452">
        <v>45807</v>
      </c>
      <c r="N3952">
        <v>15</v>
      </c>
      <c r="O3952">
        <v>13.5</v>
      </c>
      <c r="P3952">
        <v>115.96</v>
      </c>
    </row>
    <row r="3953" spans="1:16" x14ac:dyDescent="0.3">
      <c r="A3953">
        <v>38757</v>
      </c>
      <c r="B3953">
        <v>105</v>
      </c>
      <c r="C3953" t="s">
        <v>557</v>
      </c>
      <c r="D3953" s="452">
        <v>45809</v>
      </c>
      <c r="E3953">
        <v>19955</v>
      </c>
      <c r="F3953" t="s">
        <v>4985</v>
      </c>
      <c r="G3953">
        <v>2359</v>
      </c>
      <c r="H3953">
        <v>2</v>
      </c>
      <c r="I3953" t="s">
        <v>4736</v>
      </c>
      <c r="J3953" t="s">
        <v>5191</v>
      </c>
      <c r="K3953" t="s">
        <v>4434</v>
      </c>
      <c r="L3953">
        <v>57.9</v>
      </c>
      <c r="M3953" s="452">
        <v>45797</v>
      </c>
      <c r="N3953">
        <v>57.9</v>
      </c>
      <c r="O3953">
        <v>57.9</v>
      </c>
      <c r="P3953">
        <v>115.8</v>
      </c>
    </row>
    <row r="3954" spans="1:16" x14ac:dyDescent="0.3">
      <c r="A3954">
        <v>38827</v>
      </c>
      <c r="B3954">
        <v>105</v>
      </c>
      <c r="C3954" t="s">
        <v>557</v>
      </c>
      <c r="D3954" s="452">
        <v>45809</v>
      </c>
      <c r="E3954">
        <v>20185</v>
      </c>
      <c r="F3954" t="s">
        <v>5054</v>
      </c>
      <c r="G3954">
        <v>2259</v>
      </c>
      <c r="H3954">
        <v>3.49</v>
      </c>
      <c r="I3954" t="s">
        <v>4744</v>
      </c>
      <c r="J3954" t="s">
        <v>5191</v>
      </c>
      <c r="K3954" t="s">
        <v>4434</v>
      </c>
      <c r="L3954">
        <v>0</v>
      </c>
      <c r="M3954" s="452">
        <v>45741</v>
      </c>
      <c r="N3954">
        <v>32.9</v>
      </c>
      <c r="O3954">
        <v>32.9</v>
      </c>
      <c r="P3954">
        <v>114.82</v>
      </c>
    </row>
    <row r="3955" spans="1:16" x14ac:dyDescent="0.3">
      <c r="A3955">
        <v>38851</v>
      </c>
      <c r="B3955">
        <v>105</v>
      </c>
      <c r="C3955" t="s">
        <v>557</v>
      </c>
      <c r="D3955" s="452">
        <v>45809</v>
      </c>
      <c r="E3955">
        <v>25205</v>
      </c>
      <c r="F3955" t="s">
        <v>4850</v>
      </c>
      <c r="G3955">
        <v>5944</v>
      </c>
      <c r="H3955">
        <v>4.0999999999999996</v>
      </c>
      <c r="I3955" t="s">
        <v>4744</v>
      </c>
      <c r="J3955" t="s">
        <v>5191</v>
      </c>
      <c r="K3955" t="s">
        <v>4434</v>
      </c>
      <c r="L3955">
        <v>0</v>
      </c>
      <c r="M3955" s="452">
        <v>45772</v>
      </c>
      <c r="N3955">
        <v>28</v>
      </c>
      <c r="O3955">
        <v>19.989999999999998</v>
      </c>
      <c r="P3955">
        <v>114.8</v>
      </c>
    </row>
    <row r="3956" spans="1:16" x14ac:dyDescent="0.3">
      <c r="A3956">
        <v>38796</v>
      </c>
      <c r="B3956">
        <v>105</v>
      </c>
      <c r="C3956" t="s">
        <v>557</v>
      </c>
      <c r="D3956" s="452">
        <v>45809</v>
      </c>
      <c r="E3956">
        <v>19923</v>
      </c>
      <c r="F3956" t="s">
        <v>5069</v>
      </c>
      <c r="G3956">
        <v>2375</v>
      </c>
      <c r="H3956">
        <v>3</v>
      </c>
      <c r="I3956" t="s">
        <v>4738</v>
      </c>
      <c r="J3956" t="s">
        <v>5191</v>
      </c>
      <c r="K3956" t="s">
        <v>4434</v>
      </c>
      <c r="L3956">
        <v>0</v>
      </c>
      <c r="M3956" s="452">
        <v>45763</v>
      </c>
      <c r="N3956">
        <v>38</v>
      </c>
      <c r="O3956">
        <v>38</v>
      </c>
      <c r="P3956">
        <v>114</v>
      </c>
    </row>
    <row r="3957" spans="1:16" x14ac:dyDescent="0.3">
      <c r="A3957">
        <v>38835</v>
      </c>
      <c r="B3957">
        <v>105</v>
      </c>
      <c r="C3957" t="s">
        <v>557</v>
      </c>
      <c r="D3957" s="452">
        <v>45809</v>
      </c>
      <c r="E3957">
        <v>17878</v>
      </c>
      <c r="F3957" t="s">
        <v>4926</v>
      </c>
      <c r="G3957">
        <v>3677</v>
      </c>
      <c r="H3957">
        <v>4.5</v>
      </c>
      <c r="I3957" t="s">
        <v>4736</v>
      </c>
      <c r="J3957" t="s">
        <v>5222</v>
      </c>
      <c r="K3957" t="s">
        <v>4434</v>
      </c>
      <c r="L3957">
        <v>0</v>
      </c>
      <c r="M3957" s="452">
        <v>45771</v>
      </c>
      <c r="N3957">
        <v>25.59</v>
      </c>
      <c r="O3957">
        <v>25.22</v>
      </c>
      <c r="P3957">
        <v>113.49</v>
      </c>
    </row>
    <row r="3958" spans="1:16" x14ac:dyDescent="0.3">
      <c r="A3958">
        <v>38750</v>
      </c>
      <c r="B3958">
        <v>105</v>
      </c>
      <c r="C3958" t="s">
        <v>557</v>
      </c>
      <c r="D3958" s="452">
        <v>45809</v>
      </c>
      <c r="E3958">
        <v>19979</v>
      </c>
      <c r="F3958" t="s">
        <v>5270</v>
      </c>
      <c r="G3958">
        <v>2353</v>
      </c>
      <c r="H3958">
        <v>7</v>
      </c>
      <c r="I3958" t="s">
        <v>4888</v>
      </c>
      <c r="J3958" t="s">
        <v>5191</v>
      </c>
      <c r="K3958" t="s">
        <v>4434</v>
      </c>
      <c r="L3958">
        <v>0</v>
      </c>
      <c r="M3958" s="452">
        <v>45770</v>
      </c>
      <c r="N3958">
        <v>16.2</v>
      </c>
      <c r="O3958">
        <v>16.149999999999999</v>
      </c>
      <c r="P3958">
        <v>113.4</v>
      </c>
    </row>
    <row r="3959" spans="1:16" x14ac:dyDescent="0.3">
      <c r="A3959">
        <v>38564</v>
      </c>
      <c r="B3959">
        <v>105</v>
      </c>
      <c r="C3959" t="s">
        <v>557</v>
      </c>
      <c r="D3959" s="452">
        <v>45809</v>
      </c>
      <c r="E3959">
        <v>18538</v>
      </c>
      <c r="F3959" t="s">
        <v>5030</v>
      </c>
      <c r="G3959">
        <v>3139</v>
      </c>
      <c r="H3959">
        <v>1.1399999999999999</v>
      </c>
      <c r="I3959" t="s">
        <v>4805</v>
      </c>
      <c r="J3959" t="s">
        <v>5222</v>
      </c>
      <c r="K3959" t="s">
        <v>4434</v>
      </c>
      <c r="L3959">
        <v>0</v>
      </c>
      <c r="M3959" s="452">
        <v>45653</v>
      </c>
      <c r="N3959">
        <v>98.9</v>
      </c>
      <c r="O3959">
        <v>106</v>
      </c>
      <c r="P3959">
        <v>112.75</v>
      </c>
    </row>
    <row r="3960" spans="1:16" x14ac:dyDescent="0.3">
      <c r="A3960">
        <v>38611</v>
      </c>
      <c r="B3960">
        <v>105</v>
      </c>
      <c r="C3960" t="s">
        <v>557</v>
      </c>
      <c r="D3960" s="452">
        <v>45809</v>
      </c>
      <c r="E3960">
        <v>19623</v>
      </c>
      <c r="F3960" t="s">
        <v>4764</v>
      </c>
      <c r="G3960">
        <v>2611</v>
      </c>
      <c r="H3960">
        <v>18.649999999999999</v>
      </c>
      <c r="I3960" t="s">
        <v>4744</v>
      </c>
      <c r="J3960" t="s">
        <v>5191</v>
      </c>
      <c r="K3960" t="s">
        <v>4434</v>
      </c>
      <c r="L3960">
        <v>6.04</v>
      </c>
      <c r="M3960" s="452">
        <v>45807</v>
      </c>
      <c r="N3960">
        <v>6</v>
      </c>
      <c r="O3960">
        <v>11.14</v>
      </c>
      <c r="P3960">
        <v>112.65</v>
      </c>
    </row>
    <row r="3961" spans="1:16" x14ac:dyDescent="0.3">
      <c r="A3961">
        <v>38682</v>
      </c>
      <c r="B3961">
        <v>105</v>
      </c>
      <c r="C3961" t="s">
        <v>557</v>
      </c>
      <c r="D3961" s="452">
        <v>45809</v>
      </c>
      <c r="E3961">
        <v>19765</v>
      </c>
      <c r="F3961" t="s">
        <v>4889</v>
      </c>
      <c r="G3961">
        <v>2488</v>
      </c>
      <c r="H3961">
        <v>3</v>
      </c>
      <c r="I3961" t="s">
        <v>4744</v>
      </c>
      <c r="J3961" t="s">
        <v>5191</v>
      </c>
      <c r="K3961" t="s">
        <v>4434</v>
      </c>
      <c r="L3961">
        <v>37.33</v>
      </c>
      <c r="M3961" s="452">
        <v>45807</v>
      </c>
      <c r="N3961">
        <v>34</v>
      </c>
      <c r="O3961">
        <v>34</v>
      </c>
      <c r="P3961">
        <v>111.99</v>
      </c>
    </row>
    <row r="3962" spans="1:16" x14ac:dyDescent="0.3">
      <c r="A3962">
        <v>38745</v>
      </c>
      <c r="B3962">
        <v>105</v>
      </c>
      <c r="C3962" t="s">
        <v>557</v>
      </c>
      <c r="D3962" s="452">
        <v>45809</v>
      </c>
      <c r="E3962">
        <v>20871</v>
      </c>
      <c r="F3962" t="s">
        <v>5015</v>
      </c>
      <c r="G3962">
        <v>2043</v>
      </c>
      <c r="H3962">
        <v>7</v>
      </c>
      <c r="I3962" t="s">
        <v>4879</v>
      </c>
      <c r="J3962" t="s">
        <v>5191</v>
      </c>
      <c r="K3962" t="s">
        <v>4434</v>
      </c>
      <c r="L3962">
        <v>15.8</v>
      </c>
      <c r="M3962" s="452">
        <v>45793</v>
      </c>
      <c r="N3962">
        <v>15.8</v>
      </c>
      <c r="O3962">
        <v>15.8</v>
      </c>
      <c r="P3962">
        <v>110.6</v>
      </c>
    </row>
    <row r="3963" spans="1:16" x14ac:dyDescent="0.3">
      <c r="A3963">
        <v>38632</v>
      </c>
      <c r="B3963">
        <v>105</v>
      </c>
      <c r="C3963" t="s">
        <v>557</v>
      </c>
      <c r="D3963" s="452">
        <v>45809</v>
      </c>
      <c r="E3963">
        <v>18394</v>
      </c>
      <c r="F3963" t="s">
        <v>5032</v>
      </c>
      <c r="G3963">
        <v>3246</v>
      </c>
      <c r="H3963">
        <v>0.6</v>
      </c>
      <c r="I3963" t="s">
        <v>4805</v>
      </c>
      <c r="J3963" t="s">
        <v>5222</v>
      </c>
      <c r="K3963" t="s">
        <v>4434</v>
      </c>
      <c r="L3963">
        <v>0</v>
      </c>
      <c r="M3963" s="452">
        <v>45589</v>
      </c>
      <c r="N3963">
        <v>182</v>
      </c>
      <c r="O3963">
        <v>134</v>
      </c>
      <c r="P3963">
        <v>109.2</v>
      </c>
    </row>
    <row r="3964" spans="1:16" x14ac:dyDescent="0.3">
      <c r="A3964">
        <v>38580</v>
      </c>
      <c r="B3964">
        <v>105</v>
      </c>
      <c r="C3964" t="s">
        <v>557</v>
      </c>
      <c r="D3964" s="452">
        <v>45809</v>
      </c>
      <c r="E3964">
        <v>19635</v>
      </c>
      <c r="F3964" t="s">
        <v>4786</v>
      </c>
      <c r="G3964">
        <v>2601</v>
      </c>
      <c r="H3964">
        <v>36.979999999999997</v>
      </c>
      <c r="I3964" t="s">
        <v>4744</v>
      </c>
      <c r="J3964" t="s">
        <v>5191</v>
      </c>
      <c r="K3964" t="s">
        <v>4434</v>
      </c>
      <c r="L3964">
        <v>2.95</v>
      </c>
      <c r="M3964" s="452">
        <v>45807</v>
      </c>
      <c r="N3964">
        <v>2.8</v>
      </c>
      <c r="O3964">
        <v>2.2799999999999998</v>
      </c>
      <c r="P3964">
        <v>109.09</v>
      </c>
    </row>
    <row r="3965" spans="1:16" x14ac:dyDescent="0.3">
      <c r="A3965">
        <v>38801</v>
      </c>
      <c r="B3965">
        <v>105</v>
      </c>
      <c r="C3965" t="s">
        <v>557</v>
      </c>
      <c r="D3965" s="452">
        <v>45809</v>
      </c>
      <c r="E3965">
        <v>19790</v>
      </c>
      <c r="F3965" t="s">
        <v>5073</v>
      </c>
      <c r="G3965">
        <v>2469</v>
      </c>
      <c r="H3965">
        <v>2.5</v>
      </c>
      <c r="I3965" t="s">
        <v>4744</v>
      </c>
      <c r="J3965" t="s">
        <v>5191</v>
      </c>
      <c r="K3965" t="s">
        <v>4434</v>
      </c>
      <c r="L3965">
        <v>43.4</v>
      </c>
      <c r="M3965" s="452">
        <v>45807</v>
      </c>
      <c r="N3965">
        <v>42</v>
      </c>
      <c r="O3965">
        <v>42</v>
      </c>
      <c r="P3965">
        <v>108.5</v>
      </c>
    </row>
    <row r="3966" spans="1:16" x14ac:dyDescent="0.3">
      <c r="A3966">
        <v>38553</v>
      </c>
      <c r="B3966">
        <v>105</v>
      </c>
      <c r="C3966" t="s">
        <v>557</v>
      </c>
      <c r="D3966" s="452">
        <v>45809</v>
      </c>
      <c r="E3966">
        <v>19649</v>
      </c>
      <c r="F3966" t="s">
        <v>4859</v>
      </c>
      <c r="G3966">
        <v>2589</v>
      </c>
      <c r="H3966">
        <v>4</v>
      </c>
      <c r="I3966" t="s">
        <v>4744</v>
      </c>
      <c r="J3966" t="s">
        <v>5191</v>
      </c>
      <c r="K3966" t="s">
        <v>4434</v>
      </c>
      <c r="L3966">
        <v>26.42</v>
      </c>
      <c r="M3966" s="452">
        <v>45807</v>
      </c>
      <c r="N3966">
        <v>25</v>
      </c>
      <c r="O3966">
        <v>37.42</v>
      </c>
      <c r="P3966">
        <v>105.68</v>
      </c>
    </row>
    <row r="3967" spans="1:16" x14ac:dyDescent="0.3">
      <c r="A3967">
        <v>38787</v>
      </c>
      <c r="B3967">
        <v>105</v>
      </c>
      <c r="C3967" t="s">
        <v>557</v>
      </c>
      <c r="D3967" s="452">
        <v>45809</v>
      </c>
      <c r="E3967">
        <v>26103</v>
      </c>
      <c r="F3967" t="s">
        <v>4776</v>
      </c>
      <c r="G3967">
        <v>9072</v>
      </c>
      <c r="H3967">
        <v>10</v>
      </c>
      <c r="I3967" t="s">
        <v>4749</v>
      </c>
      <c r="J3967" t="s">
        <v>5191</v>
      </c>
      <c r="K3967" t="s">
        <v>4434</v>
      </c>
      <c r="L3967">
        <v>0</v>
      </c>
      <c r="M3967" s="452">
        <v>45742</v>
      </c>
      <c r="N3967">
        <v>10.53</v>
      </c>
      <c r="O3967">
        <v>10.53</v>
      </c>
      <c r="P3967">
        <v>105.3</v>
      </c>
    </row>
    <row r="3968" spans="1:16" x14ac:dyDescent="0.3">
      <c r="A3968">
        <v>38649</v>
      </c>
      <c r="B3968">
        <v>105</v>
      </c>
      <c r="C3968" t="s">
        <v>557</v>
      </c>
      <c r="D3968" s="452">
        <v>45809</v>
      </c>
      <c r="E3968">
        <v>21147</v>
      </c>
      <c r="F3968" t="s">
        <v>4876</v>
      </c>
      <c r="G3968">
        <v>1952</v>
      </c>
      <c r="H3968">
        <v>5</v>
      </c>
      <c r="I3968" t="s">
        <v>4736</v>
      </c>
      <c r="J3968" t="s">
        <v>5191</v>
      </c>
      <c r="K3968" t="s">
        <v>4434</v>
      </c>
      <c r="L3968">
        <v>20.9</v>
      </c>
      <c r="M3968" s="452">
        <v>45800</v>
      </c>
      <c r="N3968">
        <v>20.9</v>
      </c>
      <c r="O3968">
        <v>20.9</v>
      </c>
      <c r="P3968">
        <v>104.5</v>
      </c>
    </row>
    <row r="3969" spans="1:16" x14ac:dyDescent="0.3">
      <c r="A3969">
        <v>38572</v>
      </c>
      <c r="B3969">
        <v>105</v>
      </c>
      <c r="C3969" t="s">
        <v>557</v>
      </c>
      <c r="D3969" s="452">
        <v>45809</v>
      </c>
      <c r="E3969">
        <v>20751</v>
      </c>
      <c r="F3969" t="s">
        <v>5004</v>
      </c>
      <c r="G3969">
        <v>2088</v>
      </c>
      <c r="H3969">
        <v>1</v>
      </c>
      <c r="I3969" t="s">
        <v>4884</v>
      </c>
      <c r="J3969" t="s">
        <v>5191</v>
      </c>
      <c r="K3969" t="s">
        <v>4434</v>
      </c>
      <c r="L3969">
        <v>0</v>
      </c>
      <c r="M3969" s="452">
        <v>45740</v>
      </c>
      <c r="N3969">
        <v>103.8</v>
      </c>
      <c r="O3969">
        <v>108.99</v>
      </c>
      <c r="P3969">
        <v>103.8</v>
      </c>
    </row>
    <row r="3970" spans="1:16" x14ac:dyDescent="0.3">
      <c r="A3970">
        <v>38691</v>
      </c>
      <c r="B3970">
        <v>105</v>
      </c>
      <c r="C3970" t="s">
        <v>557</v>
      </c>
      <c r="D3970" s="452">
        <v>45809</v>
      </c>
      <c r="E3970">
        <v>24307</v>
      </c>
      <c r="F3970" t="s">
        <v>4755</v>
      </c>
      <c r="G3970">
        <v>3656</v>
      </c>
      <c r="H3970">
        <v>47</v>
      </c>
      <c r="I3970" t="s">
        <v>4736</v>
      </c>
      <c r="J3970" t="s">
        <v>5222</v>
      </c>
      <c r="K3970" t="s">
        <v>4434</v>
      </c>
      <c r="L3970">
        <v>0</v>
      </c>
      <c r="M3970" s="452">
        <v>45540</v>
      </c>
      <c r="N3970">
        <v>2.19</v>
      </c>
      <c r="O3970">
        <v>2.19</v>
      </c>
      <c r="P3970">
        <v>102.93</v>
      </c>
    </row>
    <row r="3971" spans="1:16" x14ac:dyDescent="0.3">
      <c r="A3971">
        <v>38742</v>
      </c>
      <c r="B3971">
        <v>105</v>
      </c>
      <c r="C3971" t="s">
        <v>557</v>
      </c>
      <c r="D3971" s="452">
        <v>45809</v>
      </c>
      <c r="E3971">
        <v>20105</v>
      </c>
      <c r="F3971" t="s">
        <v>4831</v>
      </c>
      <c r="G3971">
        <v>2298</v>
      </c>
      <c r="H3971">
        <v>6</v>
      </c>
      <c r="I3971" t="s">
        <v>4744</v>
      </c>
      <c r="J3971" t="s">
        <v>5191</v>
      </c>
      <c r="K3971" t="s">
        <v>4434</v>
      </c>
      <c r="L3971">
        <v>16.5</v>
      </c>
      <c r="M3971" s="452">
        <v>45804</v>
      </c>
      <c r="N3971">
        <v>16.5</v>
      </c>
      <c r="O3971">
        <v>16.5</v>
      </c>
      <c r="P3971">
        <v>99</v>
      </c>
    </row>
    <row r="3972" spans="1:16" x14ac:dyDescent="0.3">
      <c r="A3972">
        <v>38561</v>
      </c>
      <c r="B3972">
        <v>105</v>
      </c>
      <c r="C3972" t="s">
        <v>557</v>
      </c>
      <c r="D3972" s="452">
        <v>45809</v>
      </c>
      <c r="E3972">
        <v>18545</v>
      </c>
      <c r="F3972" t="s">
        <v>4864</v>
      </c>
      <c r="G3972">
        <v>3134</v>
      </c>
      <c r="H3972">
        <v>2.17</v>
      </c>
      <c r="I3972" t="s">
        <v>4805</v>
      </c>
      <c r="J3972" t="s">
        <v>5222</v>
      </c>
      <c r="K3972" t="s">
        <v>4434</v>
      </c>
      <c r="L3972">
        <v>0</v>
      </c>
      <c r="M3972" s="452">
        <v>45742</v>
      </c>
      <c r="N3972">
        <v>45.54</v>
      </c>
      <c r="O3972">
        <v>45.54</v>
      </c>
      <c r="P3972">
        <v>98.82</v>
      </c>
    </row>
    <row r="3973" spans="1:16" x14ac:dyDescent="0.3">
      <c r="A3973">
        <v>38812</v>
      </c>
      <c r="B3973">
        <v>105</v>
      </c>
      <c r="C3973" t="s">
        <v>557</v>
      </c>
      <c r="D3973" s="452">
        <v>45809</v>
      </c>
      <c r="E3973">
        <v>20207</v>
      </c>
      <c r="F3973" t="s">
        <v>4929</v>
      </c>
      <c r="G3973">
        <v>2253</v>
      </c>
      <c r="H3973">
        <v>3.18</v>
      </c>
      <c r="I3973" t="s">
        <v>4744</v>
      </c>
      <c r="J3973" t="s">
        <v>5191</v>
      </c>
      <c r="K3973" t="s">
        <v>4434</v>
      </c>
      <c r="L3973">
        <v>30.9</v>
      </c>
      <c r="M3973" s="452">
        <v>45804</v>
      </c>
      <c r="N3973">
        <v>30.9</v>
      </c>
      <c r="O3973">
        <v>30.9</v>
      </c>
      <c r="P3973">
        <v>98.26</v>
      </c>
    </row>
    <row r="3974" spans="1:16" x14ac:dyDescent="0.3">
      <c r="A3974">
        <v>38645</v>
      </c>
      <c r="B3974">
        <v>105</v>
      </c>
      <c r="C3974" t="s">
        <v>557</v>
      </c>
      <c r="D3974" s="452">
        <v>45809</v>
      </c>
      <c r="E3974">
        <v>19439</v>
      </c>
      <c r="F3974" t="s">
        <v>4917</v>
      </c>
      <c r="G3974">
        <v>2756</v>
      </c>
      <c r="H3974">
        <v>3</v>
      </c>
      <c r="I3974" t="s">
        <v>4744</v>
      </c>
      <c r="J3974" t="s">
        <v>5191</v>
      </c>
      <c r="K3974" t="s">
        <v>4434</v>
      </c>
      <c r="L3974">
        <v>32.630000000000003</v>
      </c>
      <c r="M3974" s="452">
        <v>45797</v>
      </c>
      <c r="N3974">
        <v>32.4</v>
      </c>
      <c r="O3974">
        <v>32.1</v>
      </c>
      <c r="P3974">
        <v>97.89</v>
      </c>
    </row>
    <row r="3975" spans="1:16" x14ac:dyDescent="0.3">
      <c r="A3975">
        <v>38749</v>
      </c>
      <c r="B3975">
        <v>105</v>
      </c>
      <c r="C3975" t="s">
        <v>557</v>
      </c>
      <c r="D3975" s="452">
        <v>45809</v>
      </c>
      <c r="E3975">
        <v>19978</v>
      </c>
      <c r="F3975" t="s">
        <v>4887</v>
      </c>
      <c r="G3975">
        <v>2353</v>
      </c>
      <c r="H3975">
        <v>6</v>
      </c>
      <c r="I3975" t="s">
        <v>4888</v>
      </c>
      <c r="J3975" t="s">
        <v>5191</v>
      </c>
      <c r="K3975" t="s">
        <v>4434</v>
      </c>
      <c r="L3975">
        <v>0</v>
      </c>
      <c r="M3975" s="452">
        <v>45757</v>
      </c>
      <c r="N3975">
        <v>16.29</v>
      </c>
      <c r="O3975">
        <v>16.2</v>
      </c>
      <c r="P3975">
        <v>97.74</v>
      </c>
    </row>
    <row r="3976" spans="1:16" x14ac:dyDescent="0.3">
      <c r="A3976">
        <v>38761</v>
      </c>
      <c r="B3976">
        <v>105</v>
      </c>
      <c r="C3976" t="s">
        <v>557</v>
      </c>
      <c r="D3976" s="452">
        <v>45809</v>
      </c>
      <c r="E3976">
        <v>20985</v>
      </c>
      <c r="F3976" t="s">
        <v>5494</v>
      </c>
      <c r="G3976">
        <v>2011</v>
      </c>
      <c r="H3976">
        <v>11</v>
      </c>
      <c r="I3976" t="s">
        <v>4736</v>
      </c>
      <c r="J3976" t="s">
        <v>5191</v>
      </c>
      <c r="K3976" t="s">
        <v>4434</v>
      </c>
      <c r="L3976">
        <v>0</v>
      </c>
      <c r="M3976" s="452">
        <v>45675</v>
      </c>
      <c r="N3976">
        <v>8.7799999999999994</v>
      </c>
      <c r="O3976">
        <v>8.8800000000000008</v>
      </c>
      <c r="P3976">
        <v>96.58</v>
      </c>
    </row>
    <row r="3977" spans="1:16" x14ac:dyDescent="0.3">
      <c r="A3977">
        <v>38638</v>
      </c>
      <c r="B3977">
        <v>105</v>
      </c>
      <c r="C3977" t="s">
        <v>557</v>
      </c>
      <c r="D3977" s="452">
        <v>45809</v>
      </c>
      <c r="E3977">
        <v>24199</v>
      </c>
      <c r="F3977" t="s">
        <v>4783</v>
      </c>
      <c r="G3977">
        <v>5084</v>
      </c>
      <c r="H3977">
        <v>3</v>
      </c>
      <c r="I3977" t="s">
        <v>4744</v>
      </c>
      <c r="J3977" t="s">
        <v>5191</v>
      </c>
      <c r="K3977" t="s">
        <v>4434</v>
      </c>
      <c r="L3977">
        <v>32</v>
      </c>
      <c r="M3977" s="452">
        <v>45793</v>
      </c>
      <c r="N3977">
        <v>32</v>
      </c>
      <c r="O3977">
        <v>26.34</v>
      </c>
      <c r="P3977">
        <v>96</v>
      </c>
    </row>
    <row r="3978" spans="1:16" x14ac:dyDescent="0.3">
      <c r="A3978">
        <v>38675</v>
      </c>
      <c r="B3978">
        <v>105</v>
      </c>
      <c r="C3978" t="s">
        <v>557</v>
      </c>
      <c r="D3978" s="452">
        <v>45809</v>
      </c>
      <c r="E3978">
        <v>27069</v>
      </c>
      <c r="F3978" t="s">
        <v>5504</v>
      </c>
      <c r="G3978">
        <v>2286</v>
      </c>
      <c r="H3978">
        <v>5</v>
      </c>
      <c r="I3978" t="s">
        <v>4738</v>
      </c>
      <c r="J3978" t="s">
        <v>5191</v>
      </c>
      <c r="K3978" t="s">
        <v>4434</v>
      </c>
      <c r="L3978">
        <v>0</v>
      </c>
      <c r="M3978" s="452">
        <v>-693593</v>
      </c>
      <c r="N3978">
        <v>0</v>
      </c>
      <c r="O3978">
        <v>19</v>
      </c>
      <c r="P3978">
        <v>95</v>
      </c>
    </row>
    <row r="3979" spans="1:16" x14ac:dyDescent="0.3">
      <c r="A3979">
        <v>38854</v>
      </c>
      <c r="B3979">
        <v>105</v>
      </c>
      <c r="C3979" t="s">
        <v>557</v>
      </c>
      <c r="D3979" s="452">
        <v>45809</v>
      </c>
      <c r="E3979">
        <v>18219</v>
      </c>
      <c r="F3979" t="s">
        <v>4972</v>
      </c>
      <c r="G3979">
        <v>3409</v>
      </c>
      <c r="H3979">
        <v>1</v>
      </c>
      <c r="I3979" t="s">
        <v>4805</v>
      </c>
      <c r="J3979" t="s">
        <v>5222</v>
      </c>
      <c r="K3979" t="s">
        <v>4434</v>
      </c>
      <c r="L3979">
        <v>0</v>
      </c>
      <c r="M3979" s="452">
        <v>45777</v>
      </c>
      <c r="N3979">
        <v>0</v>
      </c>
      <c r="O3979">
        <v>0</v>
      </c>
      <c r="P3979">
        <v>94.6</v>
      </c>
    </row>
    <row r="3980" spans="1:16" x14ac:dyDescent="0.3">
      <c r="A3980">
        <v>38886</v>
      </c>
      <c r="B3980">
        <v>105</v>
      </c>
      <c r="C3980" t="s">
        <v>557</v>
      </c>
      <c r="D3980" s="452">
        <v>45809</v>
      </c>
      <c r="E3980">
        <v>18085</v>
      </c>
      <c r="F3980" t="s">
        <v>4973</v>
      </c>
      <c r="G3980">
        <v>3524</v>
      </c>
      <c r="H3980">
        <v>2</v>
      </c>
      <c r="I3980" t="s">
        <v>4805</v>
      </c>
      <c r="J3980" t="s">
        <v>5222</v>
      </c>
      <c r="K3980" t="s">
        <v>4434</v>
      </c>
      <c r="L3980">
        <v>0</v>
      </c>
      <c r="M3980" s="452">
        <v>45737</v>
      </c>
      <c r="N3980">
        <v>47</v>
      </c>
      <c r="O3980">
        <v>47</v>
      </c>
      <c r="P3980">
        <v>94</v>
      </c>
    </row>
    <row r="3981" spans="1:16" x14ac:dyDescent="0.3">
      <c r="A3981">
        <v>38832</v>
      </c>
      <c r="B3981">
        <v>105</v>
      </c>
      <c r="C3981" t="s">
        <v>557</v>
      </c>
      <c r="D3981" s="452">
        <v>45809</v>
      </c>
      <c r="E3981">
        <v>24470</v>
      </c>
      <c r="F3981" t="s">
        <v>4752</v>
      </c>
      <c r="G3981">
        <v>3103</v>
      </c>
      <c r="H3981">
        <v>21</v>
      </c>
      <c r="I3981" t="s">
        <v>4736</v>
      </c>
      <c r="J3981" t="s">
        <v>5222</v>
      </c>
      <c r="K3981" t="s">
        <v>4434</v>
      </c>
      <c r="L3981">
        <v>0</v>
      </c>
      <c r="M3981" s="452">
        <v>45404</v>
      </c>
      <c r="N3981">
        <v>4.41</v>
      </c>
      <c r="O3981">
        <v>4.41</v>
      </c>
      <c r="P3981">
        <v>92.61</v>
      </c>
    </row>
    <row r="3982" spans="1:16" x14ac:dyDescent="0.3">
      <c r="A3982">
        <v>38705</v>
      </c>
      <c r="B3982">
        <v>105</v>
      </c>
      <c r="C3982" t="s">
        <v>557</v>
      </c>
      <c r="D3982" s="452">
        <v>45809</v>
      </c>
      <c r="E3982">
        <v>18339</v>
      </c>
      <c r="F3982" t="s">
        <v>5033</v>
      </c>
      <c r="G3982">
        <v>3296</v>
      </c>
      <c r="H3982">
        <v>1.6</v>
      </c>
      <c r="I3982" t="s">
        <v>4805</v>
      </c>
      <c r="J3982" t="s">
        <v>5222</v>
      </c>
      <c r="K3982" t="s">
        <v>4434</v>
      </c>
      <c r="L3982">
        <v>0</v>
      </c>
      <c r="N3982">
        <v>0</v>
      </c>
      <c r="O3982">
        <v>56.53</v>
      </c>
      <c r="P3982">
        <v>90.45</v>
      </c>
    </row>
    <row r="3983" spans="1:16" x14ac:dyDescent="0.3">
      <c r="A3983">
        <v>38853</v>
      </c>
      <c r="B3983">
        <v>105</v>
      </c>
      <c r="C3983" t="s">
        <v>557</v>
      </c>
      <c r="D3983" s="452">
        <v>45809</v>
      </c>
      <c r="E3983">
        <v>24489</v>
      </c>
      <c r="F3983" t="s">
        <v>5121</v>
      </c>
      <c r="G3983">
        <v>2686</v>
      </c>
      <c r="H3983">
        <v>4.6900000000000004</v>
      </c>
      <c r="I3983" t="s">
        <v>4744</v>
      </c>
      <c r="J3983" t="s">
        <v>5191</v>
      </c>
      <c r="K3983" t="s">
        <v>4434</v>
      </c>
      <c r="L3983">
        <v>18.829999999999998</v>
      </c>
      <c r="M3983" s="452">
        <v>45807</v>
      </c>
      <c r="N3983">
        <v>15</v>
      </c>
      <c r="O3983">
        <v>15</v>
      </c>
      <c r="P3983">
        <v>88.31</v>
      </c>
    </row>
    <row r="3984" spans="1:16" x14ac:dyDescent="0.3">
      <c r="A3984">
        <v>38539</v>
      </c>
      <c r="B3984">
        <v>105</v>
      </c>
      <c r="C3984" t="s">
        <v>557</v>
      </c>
      <c r="D3984" s="452">
        <v>45809</v>
      </c>
      <c r="E3984">
        <v>17957</v>
      </c>
      <c r="F3984" t="s">
        <v>4745</v>
      </c>
      <c r="G3984">
        <v>3622</v>
      </c>
      <c r="H3984">
        <v>70</v>
      </c>
      <c r="I3984" t="s">
        <v>4736</v>
      </c>
      <c r="J3984" t="s">
        <v>5222</v>
      </c>
      <c r="K3984" t="s">
        <v>4434</v>
      </c>
      <c r="L3984">
        <v>0</v>
      </c>
      <c r="M3984" s="452">
        <v>45680</v>
      </c>
      <c r="N3984">
        <v>1.23</v>
      </c>
      <c r="O3984">
        <v>0.66</v>
      </c>
      <c r="P3984">
        <v>86.1</v>
      </c>
    </row>
    <row r="3985" spans="1:16" x14ac:dyDescent="0.3">
      <c r="A3985">
        <v>38846</v>
      </c>
      <c r="B3985">
        <v>105</v>
      </c>
      <c r="C3985" t="s">
        <v>557</v>
      </c>
      <c r="D3985" s="452">
        <v>45809</v>
      </c>
      <c r="E3985">
        <v>19551</v>
      </c>
      <c r="F3985" t="s">
        <v>4905</v>
      </c>
      <c r="G3985">
        <v>2665</v>
      </c>
      <c r="H3985">
        <v>4.79</v>
      </c>
      <c r="I3985" t="s">
        <v>4744</v>
      </c>
      <c r="J3985" t="s">
        <v>5191</v>
      </c>
      <c r="K3985" t="s">
        <v>4434</v>
      </c>
      <c r="L3985">
        <v>17.75</v>
      </c>
      <c r="M3985" s="452">
        <v>45807</v>
      </c>
      <c r="N3985">
        <v>17</v>
      </c>
      <c r="O3985">
        <v>17</v>
      </c>
      <c r="P3985">
        <v>85.02</v>
      </c>
    </row>
    <row r="3986" spans="1:16" x14ac:dyDescent="0.3">
      <c r="A3986">
        <v>38607</v>
      </c>
      <c r="B3986">
        <v>105</v>
      </c>
      <c r="C3986" t="s">
        <v>557</v>
      </c>
      <c r="D3986" s="452">
        <v>45809</v>
      </c>
      <c r="E3986">
        <v>24123</v>
      </c>
      <c r="F3986" t="s">
        <v>5518</v>
      </c>
      <c r="G3986">
        <v>2237</v>
      </c>
      <c r="H3986">
        <v>1</v>
      </c>
      <c r="I3986" t="s">
        <v>4738</v>
      </c>
      <c r="J3986" t="s">
        <v>5191</v>
      </c>
      <c r="K3986" t="s">
        <v>4434</v>
      </c>
      <c r="L3986">
        <v>0</v>
      </c>
      <c r="M3986" s="452">
        <v>45757</v>
      </c>
      <c r="N3986">
        <v>0</v>
      </c>
      <c r="O3986">
        <v>150.94999999999999</v>
      </c>
      <c r="P3986">
        <v>85</v>
      </c>
    </row>
    <row r="3987" spans="1:16" x14ac:dyDescent="0.3">
      <c r="A3987">
        <v>38783</v>
      </c>
      <c r="B3987">
        <v>105</v>
      </c>
      <c r="C3987" t="s">
        <v>557</v>
      </c>
      <c r="D3987" s="452">
        <v>45809</v>
      </c>
      <c r="E3987">
        <v>25756</v>
      </c>
      <c r="F3987" t="s">
        <v>4854</v>
      </c>
      <c r="G3987">
        <v>9069</v>
      </c>
      <c r="H3987">
        <v>11</v>
      </c>
      <c r="I3987" t="s">
        <v>4749</v>
      </c>
      <c r="J3987" t="s">
        <v>5191</v>
      </c>
      <c r="K3987" t="s">
        <v>4434</v>
      </c>
      <c r="L3987">
        <v>0</v>
      </c>
      <c r="M3987" s="452">
        <v>45742</v>
      </c>
      <c r="N3987">
        <v>7.61</v>
      </c>
      <c r="O3987">
        <v>7.61</v>
      </c>
      <c r="P3987">
        <v>83.71</v>
      </c>
    </row>
    <row r="3988" spans="1:16" x14ac:dyDescent="0.3">
      <c r="A3988">
        <v>38652</v>
      </c>
      <c r="B3988">
        <v>105</v>
      </c>
      <c r="C3988" t="s">
        <v>557</v>
      </c>
      <c r="D3988" s="452">
        <v>45809</v>
      </c>
      <c r="E3988">
        <v>24227</v>
      </c>
      <c r="F3988" t="s">
        <v>4806</v>
      </c>
      <c r="G3988">
        <v>3648</v>
      </c>
      <c r="H3988">
        <v>13</v>
      </c>
      <c r="I3988" t="s">
        <v>4736</v>
      </c>
      <c r="J3988" t="s">
        <v>5222</v>
      </c>
      <c r="K3988" t="s">
        <v>4434</v>
      </c>
      <c r="L3988">
        <v>0</v>
      </c>
      <c r="M3988" s="452">
        <v>45393</v>
      </c>
      <c r="N3988">
        <v>6.42</v>
      </c>
      <c r="O3988">
        <v>27.28</v>
      </c>
      <c r="P3988">
        <v>83.46</v>
      </c>
    </row>
    <row r="3989" spans="1:16" x14ac:dyDescent="0.3">
      <c r="A3989">
        <v>38545</v>
      </c>
      <c r="B3989">
        <v>105</v>
      </c>
      <c r="C3989" t="s">
        <v>557</v>
      </c>
      <c r="D3989" s="452">
        <v>45809</v>
      </c>
      <c r="E3989">
        <v>18004</v>
      </c>
      <c r="F3989" t="s">
        <v>5093</v>
      </c>
      <c r="G3989">
        <v>3592</v>
      </c>
      <c r="H3989">
        <v>3</v>
      </c>
      <c r="I3989" t="s">
        <v>4738</v>
      </c>
      <c r="J3989" t="s">
        <v>5222</v>
      </c>
      <c r="K3989" t="s">
        <v>4434</v>
      </c>
      <c r="L3989">
        <v>27.48</v>
      </c>
      <c r="M3989" s="452">
        <v>45789</v>
      </c>
      <c r="N3989">
        <v>27.48</v>
      </c>
      <c r="O3989">
        <v>27.48</v>
      </c>
      <c r="P3989">
        <v>82.44</v>
      </c>
    </row>
    <row r="3990" spans="1:16" x14ac:dyDescent="0.3">
      <c r="A3990">
        <v>38790</v>
      </c>
      <c r="B3990">
        <v>105</v>
      </c>
      <c r="C3990" t="s">
        <v>557</v>
      </c>
      <c r="D3990" s="452">
        <v>45809</v>
      </c>
      <c r="E3990">
        <v>25752</v>
      </c>
      <c r="F3990" t="s">
        <v>5000</v>
      </c>
      <c r="G3990">
        <v>6303</v>
      </c>
      <c r="H3990">
        <v>12</v>
      </c>
      <c r="I3990" t="s">
        <v>4749</v>
      </c>
      <c r="J3990" t="s">
        <v>5191</v>
      </c>
      <c r="K3990" t="s">
        <v>4434</v>
      </c>
      <c r="L3990">
        <v>0</v>
      </c>
      <c r="M3990" s="452">
        <v>45742</v>
      </c>
      <c r="N3990">
        <v>6.87</v>
      </c>
      <c r="O3990">
        <v>6.87</v>
      </c>
      <c r="P3990">
        <v>82.44</v>
      </c>
    </row>
    <row r="3991" spans="1:16" x14ac:dyDescent="0.3">
      <c r="A3991">
        <v>38671</v>
      </c>
      <c r="B3991">
        <v>105</v>
      </c>
      <c r="C3991" t="s">
        <v>557</v>
      </c>
      <c r="D3991" s="452">
        <v>45809</v>
      </c>
      <c r="E3991">
        <v>20231</v>
      </c>
      <c r="F3991" t="s">
        <v>5273</v>
      </c>
      <c r="G3991">
        <v>2247</v>
      </c>
      <c r="H3991">
        <v>4</v>
      </c>
      <c r="I3991" t="s">
        <v>4738</v>
      </c>
      <c r="J3991" t="s">
        <v>5191</v>
      </c>
      <c r="K3991" t="s">
        <v>4434</v>
      </c>
      <c r="L3991">
        <v>0</v>
      </c>
      <c r="M3991" s="452">
        <v>45763</v>
      </c>
      <c r="N3991">
        <v>19.89</v>
      </c>
      <c r="O3991">
        <v>18.600000000000001</v>
      </c>
      <c r="P3991">
        <v>79.56</v>
      </c>
    </row>
    <row r="3992" spans="1:16" x14ac:dyDescent="0.3">
      <c r="A3992">
        <v>38774</v>
      </c>
      <c r="B3992">
        <v>105</v>
      </c>
      <c r="C3992" t="s">
        <v>557</v>
      </c>
      <c r="D3992" s="452">
        <v>45809</v>
      </c>
      <c r="E3992">
        <v>17886</v>
      </c>
      <c r="F3992" t="s">
        <v>5083</v>
      </c>
      <c r="G3992">
        <v>3670</v>
      </c>
      <c r="H3992">
        <v>3</v>
      </c>
      <c r="I3992" t="s">
        <v>4738</v>
      </c>
      <c r="J3992" t="s">
        <v>5222</v>
      </c>
      <c r="K3992" t="s">
        <v>4434</v>
      </c>
      <c r="L3992">
        <v>26.28</v>
      </c>
      <c r="M3992" s="452">
        <v>45789</v>
      </c>
      <c r="N3992">
        <v>26.28</v>
      </c>
      <c r="O3992">
        <v>26.28</v>
      </c>
      <c r="P3992">
        <v>78.84</v>
      </c>
    </row>
    <row r="3993" spans="1:16" x14ac:dyDescent="0.3">
      <c r="A3993">
        <v>38800</v>
      </c>
      <c r="B3993">
        <v>105</v>
      </c>
      <c r="C3993" t="s">
        <v>557</v>
      </c>
      <c r="D3993" s="452">
        <v>45809</v>
      </c>
      <c r="E3993">
        <v>26242</v>
      </c>
      <c r="F3993" t="s">
        <v>4957</v>
      </c>
      <c r="G3993">
        <v>6641</v>
      </c>
      <c r="H3993">
        <v>6</v>
      </c>
      <c r="I3993" t="s">
        <v>4736</v>
      </c>
      <c r="J3993" t="s">
        <v>5191</v>
      </c>
      <c r="K3993" t="s">
        <v>4434</v>
      </c>
      <c r="L3993">
        <v>0</v>
      </c>
      <c r="M3993" s="452">
        <v>-693593</v>
      </c>
      <c r="N3993">
        <v>0</v>
      </c>
      <c r="O3993">
        <v>0</v>
      </c>
      <c r="P3993">
        <v>77.94</v>
      </c>
    </row>
    <row r="3994" spans="1:16" x14ac:dyDescent="0.3">
      <c r="A3994">
        <v>38786</v>
      </c>
      <c r="B3994">
        <v>105</v>
      </c>
      <c r="C3994" t="s">
        <v>557</v>
      </c>
      <c r="D3994" s="452">
        <v>45809</v>
      </c>
      <c r="E3994">
        <v>25755</v>
      </c>
      <c r="F3994" t="s">
        <v>4821</v>
      </c>
      <c r="G3994">
        <v>9071</v>
      </c>
      <c r="H3994">
        <v>10</v>
      </c>
      <c r="I3994" t="s">
        <v>4749</v>
      </c>
      <c r="J3994" t="s">
        <v>5191</v>
      </c>
      <c r="K3994" t="s">
        <v>4434</v>
      </c>
      <c r="L3994">
        <v>0</v>
      </c>
      <c r="M3994" s="452">
        <v>45742</v>
      </c>
      <c r="N3994">
        <v>7.73</v>
      </c>
      <c r="O3994">
        <v>7.73</v>
      </c>
      <c r="P3994">
        <v>77.3</v>
      </c>
    </row>
    <row r="3995" spans="1:16" x14ac:dyDescent="0.3">
      <c r="A3995">
        <v>38770</v>
      </c>
      <c r="B3995">
        <v>105</v>
      </c>
      <c r="C3995" t="s">
        <v>557</v>
      </c>
      <c r="D3995" s="452">
        <v>45809</v>
      </c>
      <c r="E3995">
        <v>24660</v>
      </c>
      <c r="F3995" t="s">
        <v>5523</v>
      </c>
      <c r="G3995">
        <v>5702</v>
      </c>
      <c r="H3995">
        <v>6.4</v>
      </c>
      <c r="I3995" t="s">
        <v>4744</v>
      </c>
      <c r="J3995" t="s">
        <v>5191</v>
      </c>
      <c r="K3995" t="s">
        <v>4434</v>
      </c>
      <c r="L3995">
        <v>0</v>
      </c>
      <c r="M3995" s="452">
        <v>45770</v>
      </c>
      <c r="N3995">
        <v>12</v>
      </c>
      <c r="O3995">
        <v>12</v>
      </c>
      <c r="P3995">
        <v>76.8</v>
      </c>
    </row>
    <row r="3996" spans="1:16" x14ac:dyDescent="0.3">
      <c r="A3996">
        <v>38595</v>
      </c>
      <c r="B3996">
        <v>105</v>
      </c>
      <c r="C3996" t="s">
        <v>557</v>
      </c>
      <c r="D3996" s="452">
        <v>45809</v>
      </c>
      <c r="E3996">
        <v>18462</v>
      </c>
      <c r="F3996" t="s">
        <v>5031</v>
      </c>
      <c r="G3996">
        <v>3193</v>
      </c>
      <c r="H3996">
        <v>1.4</v>
      </c>
      <c r="I3996" t="s">
        <v>4805</v>
      </c>
      <c r="J3996" t="s">
        <v>5222</v>
      </c>
      <c r="K3996" t="s">
        <v>4434</v>
      </c>
      <c r="L3996">
        <v>53.71</v>
      </c>
      <c r="M3996" s="452">
        <v>45793</v>
      </c>
      <c r="N3996">
        <v>53.71</v>
      </c>
      <c r="O3996">
        <v>0</v>
      </c>
      <c r="P3996">
        <v>75.19</v>
      </c>
    </row>
    <row r="3997" spans="1:16" x14ac:dyDescent="0.3">
      <c r="A3997">
        <v>38720</v>
      </c>
      <c r="B3997">
        <v>105</v>
      </c>
      <c r="C3997" t="s">
        <v>557</v>
      </c>
      <c r="D3997" s="452">
        <v>45809</v>
      </c>
      <c r="E3997">
        <v>19751</v>
      </c>
      <c r="F3997" t="s">
        <v>4800</v>
      </c>
      <c r="G3997">
        <v>2502</v>
      </c>
      <c r="H3997">
        <v>9.18</v>
      </c>
      <c r="I3997" t="s">
        <v>4744</v>
      </c>
      <c r="J3997" t="s">
        <v>5191</v>
      </c>
      <c r="K3997" t="s">
        <v>4434</v>
      </c>
      <c r="L3997">
        <v>8.02</v>
      </c>
      <c r="M3997" s="452">
        <v>45807</v>
      </c>
      <c r="N3997">
        <v>8.5</v>
      </c>
      <c r="O3997">
        <v>6.41</v>
      </c>
      <c r="P3997">
        <v>73.62</v>
      </c>
    </row>
    <row r="3998" spans="1:16" x14ac:dyDescent="0.3">
      <c r="A3998">
        <v>38855</v>
      </c>
      <c r="B3998">
        <v>105</v>
      </c>
      <c r="C3998" t="s">
        <v>557</v>
      </c>
      <c r="D3998" s="452">
        <v>45809</v>
      </c>
      <c r="E3998">
        <v>18218</v>
      </c>
      <c r="F3998" t="s">
        <v>5038</v>
      </c>
      <c r="G3998">
        <v>3410</v>
      </c>
      <c r="H3998">
        <v>2</v>
      </c>
      <c r="I3998" t="s">
        <v>4805</v>
      </c>
      <c r="J3998" t="s">
        <v>5222</v>
      </c>
      <c r="K3998" t="s">
        <v>4434</v>
      </c>
      <c r="L3998">
        <v>0</v>
      </c>
      <c r="M3998" s="452">
        <v>45581</v>
      </c>
      <c r="N3998">
        <v>36.5</v>
      </c>
      <c r="O3998">
        <v>32.9</v>
      </c>
      <c r="P3998">
        <v>73</v>
      </c>
    </row>
    <row r="3999" spans="1:16" x14ac:dyDescent="0.3">
      <c r="A3999">
        <v>38640</v>
      </c>
      <c r="B3999">
        <v>105</v>
      </c>
      <c r="C3999" t="s">
        <v>557</v>
      </c>
      <c r="D3999" s="452">
        <v>45809</v>
      </c>
      <c r="E3999">
        <v>19615</v>
      </c>
      <c r="F3999" t="s">
        <v>4934</v>
      </c>
      <c r="G3999">
        <v>2618</v>
      </c>
      <c r="H3999">
        <v>3.96</v>
      </c>
      <c r="I3999" t="s">
        <v>4744</v>
      </c>
      <c r="J3999" t="s">
        <v>5191</v>
      </c>
      <c r="K3999" t="s">
        <v>4434</v>
      </c>
      <c r="L3999">
        <v>18.420000000000002</v>
      </c>
      <c r="M3999" s="452">
        <v>45807</v>
      </c>
      <c r="N3999">
        <v>15</v>
      </c>
      <c r="O3999">
        <v>15</v>
      </c>
      <c r="P3999">
        <v>72.94</v>
      </c>
    </row>
    <row r="4000" spans="1:16" x14ac:dyDescent="0.3">
      <c r="A4000">
        <v>38764</v>
      </c>
      <c r="B4000">
        <v>105</v>
      </c>
      <c r="C4000" t="s">
        <v>557</v>
      </c>
      <c r="D4000" s="452">
        <v>45809</v>
      </c>
      <c r="E4000">
        <v>23095</v>
      </c>
      <c r="F4000" t="s">
        <v>4741</v>
      </c>
      <c r="G4000">
        <v>2754</v>
      </c>
      <c r="H4000">
        <v>60</v>
      </c>
      <c r="I4000" t="s">
        <v>4736</v>
      </c>
      <c r="J4000" t="s">
        <v>5191</v>
      </c>
      <c r="K4000" t="s">
        <v>4434</v>
      </c>
      <c r="L4000">
        <v>1.21</v>
      </c>
      <c r="M4000" s="452">
        <v>45807</v>
      </c>
      <c r="N4000">
        <v>1.23</v>
      </c>
      <c r="O4000">
        <v>2.4</v>
      </c>
      <c r="P4000">
        <v>72.599999999999994</v>
      </c>
    </row>
    <row r="4001" spans="1:16" x14ac:dyDescent="0.3">
      <c r="A4001">
        <v>38646</v>
      </c>
      <c r="B4001">
        <v>105</v>
      </c>
      <c r="C4001" t="s">
        <v>557</v>
      </c>
      <c r="D4001" s="452">
        <v>45809</v>
      </c>
      <c r="E4001">
        <v>20689</v>
      </c>
      <c r="F4001" t="s">
        <v>5007</v>
      </c>
      <c r="G4001">
        <v>2105</v>
      </c>
      <c r="H4001">
        <v>2</v>
      </c>
      <c r="I4001" t="s">
        <v>4736</v>
      </c>
      <c r="J4001" t="s">
        <v>5191</v>
      </c>
      <c r="K4001" t="s">
        <v>4434</v>
      </c>
      <c r="L4001">
        <v>36.07</v>
      </c>
      <c r="M4001" s="452">
        <v>45804</v>
      </c>
      <c r="N4001">
        <v>32.4</v>
      </c>
      <c r="O4001">
        <v>37.9</v>
      </c>
      <c r="P4001">
        <v>72.14</v>
      </c>
    </row>
    <row r="4002" spans="1:16" x14ac:dyDescent="0.3">
      <c r="A4002">
        <v>38732</v>
      </c>
      <c r="B4002">
        <v>105</v>
      </c>
      <c r="C4002" t="s">
        <v>557</v>
      </c>
      <c r="D4002" s="452">
        <v>45809</v>
      </c>
      <c r="E4002">
        <v>20007</v>
      </c>
      <c r="F4002" t="s">
        <v>5101</v>
      </c>
      <c r="G4002">
        <v>2343</v>
      </c>
      <c r="H4002">
        <v>1.55</v>
      </c>
      <c r="I4002" t="s">
        <v>4884</v>
      </c>
      <c r="J4002" t="s">
        <v>5191</v>
      </c>
      <c r="K4002" t="s">
        <v>4434</v>
      </c>
      <c r="L4002">
        <v>46.12</v>
      </c>
      <c r="M4002" s="452">
        <v>45807</v>
      </c>
      <c r="N4002">
        <v>46.18</v>
      </c>
      <c r="O4002">
        <v>46.18</v>
      </c>
      <c r="P4002">
        <v>71.489999999999995</v>
      </c>
    </row>
    <row r="4003" spans="1:16" x14ac:dyDescent="0.3">
      <c r="A4003">
        <v>38566</v>
      </c>
      <c r="B4003">
        <v>105</v>
      </c>
      <c r="C4003" t="s">
        <v>557</v>
      </c>
      <c r="D4003" s="452">
        <v>45809</v>
      </c>
      <c r="E4003">
        <v>20308</v>
      </c>
      <c r="F4003" t="s">
        <v>4909</v>
      </c>
      <c r="G4003">
        <v>2222</v>
      </c>
      <c r="H4003">
        <v>2</v>
      </c>
      <c r="I4003" t="s">
        <v>4738</v>
      </c>
      <c r="J4003" t="s">
        <v>5191</v>
      </c>
      <c r="K4003" t="s">
        <v>4434</v>
      </c>
      <c r="L4003">
        <v>0</v>
      </c>
      <c r="M4003" s="452">
        <v>45770</v>
      </c>
      <c r="N4003">
        <v>34.69</v>
      </c>
      <c r="O4003">
        <v>34.9</v>
      </c>
      <c r="P4003">
        <v>69.38</v>
      </c>
    </row>
    <row r="4004" spans="1:16" x14ac:dyDescent="0.3">
      <c r="A4004">
        <v>38843</v>
      </c>
      <c r="B4004">
        <v>105</v>
      </c>
      <c r="C4004" t="s">
        <v>557</v>
      </c>
      <c r="D4004" s="452">
        <v>45809</v>
      </c>
      <c r="E4004">
        <v>18233</v>
      </c>
      <c r="F4004" t="s">
        <v>4970</v>
      </c>
      <c r="G4004">
        <v>3395</v>
      </c>
      <c r="H4004">
        <v>0.78</v>
      </c>
      <c r="I4004" t="s">
        <v>4805</v>
      </c>
      <c r="J4004" t="s">
        <v>5222</v>
      </c>
      <c r="K4004" t="s">
        <v>4434</v>
      </c>
      <c r="L4004">
        <v>0</v>
      </c>
      <c r="M4004" s="452">
        <v>45638</v>
      </c>
      <c r="N4004">
        <v>88.9</v>
      </c>
      <c r="O4004">
        <v>100.88</v>
      </c>
      <c r="P4004">
        <v>69.34</v>
      </c>
    </row>
    <row r="4005" spans="1:16" x14ac:dyDescent="0.3">
      <c r="A4005">
        <v>38735</v>
      </c>
      <c r="B4005">
        <v>105</v>
      </c>
      <c r="C4005" t="s">
        <v>557</v>
      </c>
      <c r="D4005" s="452">
        <v>45809</v>
      </c>
      <c r="E4005">
        <v>19601</v>
      </c>
      <c r="F4005" t="s">
        <v>5267</v>
      </c>
      <c r="G4005">
        <v>2628</v>
      </c>
      <c r="H4005">
        <v>5.6</v>
      </c>
      <c r="I4005" t="s">
        <v>4744</v>
      </c>
      <c r="J4005" t="s">
        <v>5191</v>
      </c>
      <c r="K4005" t="s">
        <v>4434</v>
      </c>
      <c r="L4005">
        <v>12.19</v>
      </c>
      <c r="M4005" s="452">
        <v>45807</v>
      </c>
      <c r="N4005">
        <v>10</v>
      </c>
      <c r="O4005">
        <v>14.91</v>
      </c>
      <c r="P4005">
        <v>68.260000000000005</v>
      </c>
    </row>
    <row r="4006" spans="1:16" x14ac:dyDescent="0.3">
      <c r="A4006">
        <v>38881</v>
      </c>
      <c r="B4006">
        <v>105</v>
      </c>
      <c r="C4006" t="s">
        <v>557</v>
      </c>
      <c r="D4006" s="452">
        <v>45809</v>
      </c>
      <c r="E4006">
        <v>18116</v>
      </c>
      <c r="F4006" t="s">
        <v>5045</v>
      </c>
      <c r="G4006">
        <v>3496</v>
      </c>
      <c r="H4006">
        <v>0.82</v>
      </c>
      <c r="I4006" t="s">
        <v>4805</v>
      </c>
      <c r="J4006" t="s">
        <v>5222</v>
      </c>
      <c r="K4006" t="s">
        <v>4434</v>
      </c>
      <c r="L4006">
        <v>0</v>
      </c>
      <c r="M4006" s="452">
        <v>45737</v>
      </c>
      <c r="N4006">
        <v>82.18</v>
      </c>
      <c r="O4006">
        <v>82.18</v>
      </c>
      <c r="P4006">
        <v>67.39</v>
      </c>
    </row>
    <row r="4007" spans="1:16" x14ac:dyDescent="0.3">
      <c r="A4007">
        <v>38763</v>
      </c>
      <c r="B4007">
        <v>105</v>
      </c>
      <c r="C4007" t="s">
        <v>557</v>
      </c>
      <c r="D4007" s="452">
        <v>45809</v>
      </c>
      <c r="E4007">
        <v>24394</v>
      </c>
      <c r="F4007" t="s">
        <v>5164</v>
      </c>
      <c r="G4007">
        <v>2753</v>
      </c>
      <c r="H4007">
        <v>82</v>
      </c>
      <c r="I4007" t="s">
        <v>4736</v>
      </c>
      <c r="J4007" t="s">
        <v>5191</v>
      </c>
      <c r="K4007" t="s">
        <v>4434</v>
      </c>
      <c r="L4007">
        <v>0.82</v>
      </c>
      <c r="M4007" s="452">
        <v>45807</v>
      </c>
      <c r="N4007">
        <v>0.75</v>
      </c>
      <c r="O4007">
        <v>0.75</v>
      </c>
      <c r="P4007">
        <v>67.239999999999995</v>
      </c>
    </row>
    <row r="4008" spans="1:16" x14ac:dyDescent="0.3">
      <c r="A4008">
        <v>38535</v>
      </c>
      <c r="B4008">
        <v>105</v>
      </c>
      <c r="C4008" t="s">
        <v>557</v>
      </c>
      <c r="D4008" s="452">
        <v>45809</v>
      </c>
      <c r="E4008">
        <v>21079</v>
      </c>
      <c r="F4008" t="s">
        <v>5124</v>
      </c>
      <c r="G4008">
        <v>1991</v>
      </c>
      <c r="H4008">
        <v>2</v>
      </c>
      <c r="I4008" t="s">
        <v>4736</v>
      </c>
      <c r="J4008" t="s">
        <v>5191</v>
      </c>
      <c r="K4008" t="s">
        <v>4434</v>
      </c>
      <c r="L4008">
        <v>0</v>
      </c>
      <c r="M4008" s="452">
        <v>45733</v>
      </c>
      <c r="N4008">
        <v>33.29</v>
      </c>
      <c r="O4008">
        <v>49.9</v>
      </c>
      <c r="P4008">
        <v>66.58</v>
      </c>
    </row>
    <row r="4009" spans="1:16" x14ac:dyDescent="0.3">
      <c r="A4009">
        <v>38780</v>
      </c>
      <c r="B4009">
        <v>105</v>
      </c>
      <c r="C4009" t="s">
        <v>557</v>
      </c>
      <c r="D4009" s="452">
        <v>45809</v>
      </c>
      <c r="E4009">
        <v>25747</v>
      </c>
      <c r="F4009" t="s">
        <v>4794</v>
      </c>
      <c r="G4009">
        <v>6299</v>
      </c>
      <c r="H4009">
        <v>13</v>
      </c>
      <c r="I4009" t="s">
        <v>4736</v>
      </c>
      <c r="J4009" t="s">
        <v>5191</v>
      </c>
      <c r="K4009" t="s">
        <v>4434</v>
      </c>
      <c r="L4009">
        <v>0</v>
      </c>
      <c r="M4009" s="452">
        <v>45742</v>
      </c>
      <c r="N4009">
        <v>5.04</v>
      </c>
      <c r="O4009">
        <v>5.04</v>
      </c>
      <c r="P4009">
        <v>65.52</v>
      </c>
    </row>
    <row r="4010" spans="1:16" x14ac:dyDescent="0.3">
      <c r="A4010">
        <v>38579</v>
      </c>
      <c r="B4010">
        <v>105</v>
      </c>
      <c r="C4010" t="s">
        <v>557</v>
      </c>
      <c r="D4010" s="452">
        <v>45809</v>
      </c>
      <c r="E4010">
        <v>19642</v>
      </c>
      <c r="F4010" t="s">
        <v>4996</v>
      </c>
      <c r="G4010">
        <v>2596</v>
      </c>
      <c r="H4010">
        <v>13.57</v>
      </c>
      <c r="I4010" t="s">
        <v>4744</v>
      </c>
      <c r="J4010" t="s">
        <v>5191</v>
      </c>
      <c r="K4010" t="s">
        <v>4434</v>
      </c>
      <c r="L4010">
        <v>4.7300000000000004</v>
      </c>
      <c r="M4010" s="452">
        <v>45807</v>
      </c>
      <c r="N4010">
        <v>4.2</v>
      </c>
      <c r="O4010">
        <v>4.26</v>
      </c>
      <c r="P4010">
        <v>64.19</v>
      </c>
    </row>
    <row r="4011" spans="1:16" x14ac:dyDescent="0.3">
      <c r="A4011">
        <v>38552</v>
      </c>
      <c r="B4011">
        <v>105</v>
      </c>
      <c r="C4011" t="s">
        <v>557</v>
      </c>
      <c r="D4011" s="452">
        <v>45809</v>
      </c>
      <c r="E4011">
        <v>19652</v>
      </c>
      <c r="F4011" t="s">
        <v>4899</v>
      </c>
      <c r="G4011">
        <v>2587</v>
      </c>
      <c r="H4011">
        <v>1.86</v>
      </c>
      <c r="I4011" t="s">
        <v>4744</v>
      </c>
      <c r="J4011" t="s">
        <v>5191</v>
      </c>
      <c r="K4011" t="s">
        <v>4434</v>
      </c>
      <c r="L4011">
        <v>34</v>
      </c>
      <c r="M4011" s="452">
        <v>45790</v>
      </c>
      <c r="N4011">
        <v>34</v>
      </c>
      <c r="O4011">
        <v>30.63</v>
      </c>
      <c r="P4011">
        <v>63.24</v>
      </c>
    </row>
    <row r="4012" spans="1:16" x14ac:dyDescent="0.3">
      <c r="A4012">
        <v>38654</v>
      </c>
      <c r="B4012">
        <v>105</v>
      </c>
      <c r="C4012" t="s">
        <v>557</v>
      </c>
      <c r="D4012" s="452">
        <v>45809</v>
      </c>
      <c r="E4012">
        <v>24230</v>
      </c>
      <c r="F4012" t="s">
        <v>4986</v>
      </c>
      <c r="G4012">
        <v>2622</v>
      </c>
      <c r="H4012">
        <v>2.9</v>
      </c>
      <c r="I4012" t="s">
        <v>4744</v>
      </c>
      <c r="J4012" t="s">
        <v>5191</v>
      </c>
      <c r="K4012" t="s">
        <v>4434</v>
      </c>
      <c r="L4012">
        <v>21.76</v>
      </c>
      <c r="M4012" s="452">
        <v>45783</v>
      </c>
      <c r="N4012">
        <v>21.76</v>
      </c>
      <c r="O4012">
        <v>23</v>
      </c>
      <c r="P4012">
        <v>63.1</v>
      </c>
    </row>
    <row r="4013" spans="1:16" x14ac:dyDescent="0.3">
      <c r="A4013">
        <v>38673</v>
      </c>
      <c r="B4013">
        <v>105</v>
      </c>
      <c r="C4013" t="s">
        <v>557</v>
      </c>
      <c r="D4013" s="452">
        <v>45809</v>
      </c>
      <c r="E4013">
        <v>20234</v>
      </c>
      <c r="F4013" t="s">
        <v>5009</v>
      </c>
      <c r="G4013">
        <v>2245</v>
      </c>
      <c r="H4013">
        <v>3</v>
      </c>
      <c r="I4013" t="s">
        <v>4744</v>
      </c>
      <c r="J4013" t="s">
        <v>5191</v>
      </c>
      <c r="K4013" t="s">
        <v>4434</v>
      </c>
      <c r="L4013">
        <v>20.9</v>
      </c>
      <c r="M4013" s="452">
        <v>45798</v>
      </c>
      <c r="N4013">
        <v>20.9</v>
      </c>
      <c r="O4013">
        <v>20.9</v>
      </c>
      <c r="P4013">
        <v>62.7</v>
      </c>
    </row>
    <row r="4014" spans="1:16" x14ac:dyDescent="0.3">
      <c r="A4014">
        <v>38789</v>
      </c>
      <c r="B4014">
        <v>105</v>
      </c>
      <c r="C4014" t="s">
        <v>557</v>
      </c>
      <c r="D4014" s="452">
        <v>45809</v>
      </c>
      <c r="E4014">
        <v>25750</v>
      </c>
      <c r="F4014" t="s">
        <v>4908</v>
      </c>
      <c r="G4014">
        <v>6301</v>
      </c>
      <c r="H4014">
        <v>9</v>
      </c>
      <c r="I4014" t="s">
        <v>4736</v>
      </c>
      <c r="J4014" t="s">
        <v>5191</v>
      </c>
      <c r="K4014" t="s">
        <v>4434</v>
      </c>
      <c r="L4014">
        <v>0</v>
      </c>
      <c r="M4014" s="452">
        <v>45653</v>
      </c>
      <c r="N4014">
        <v>6.87</v>
      </c>
      <c r="O4014">
        <v>6.87</v>
      </c>
      <c r="P4014">
        <v>61.83</v>
      </c>
    </row>
    <row r="4015" spans="1:16" x14ac:dyDescent="0.3">
      <c r="A4015">
        <v>38814</v>
      </c>
      <c r="B4015">
        <v>105</v>
      </c>
      <c r="C4015" t="s">
        <v>557</v>
      </c>
      <c r="D4015" s="452">
        <v>45809</v>
      </c>
      <c r="E4015">
        <v>24456</v>
      </c>
      <c r="F4015" t="s">
        <v>4845</v>
      </c>
      <c r="G4015">
        <v>1965</v>
      </c>
      <c r="H4015">
        <v>4.5</v>
      </c>
      <c r="I4015" t="s">
        <v>4744</v>
      </c>
      <c r="J4015" t="s">
        <v>5191</v>
      </c>
      <c r="K4015" t="s">
        <v>4434</v>
      </c>
      <c r="L4015">
        <v>0</v>
      </c>
      <c r="M4015" s="452">
        <v>45793</v>
      </c>
      <c r="N4015">
        <v>0</v>
      </c>
      <c r="O4015">
        <v>13.5</v>
      </c>
      <c r="P4015">
        <v>60.75</v>
      </c>
    </row>
    <row r="4016" spans="1:16" x14ac:dyDescent="0.3">
      <c r="A4016">
        <v>38531</v>
      </c>
      <c r="B4016">
        <v>105</v>
      </c>
      <c r="C4016" t="s">
        <v>557</v>
      </c>
      <c r="D4016" s="452">
        <v>45809</v>
      </c>
      <c r="E4016">
        <v>21062</v>
      </c>
      <c r="F4016" t="s">
        <v>5442</v>
      </c>
      <c r="G4016">
        <v>1997</v>
      </c>
      <c r="H4016">
        <v>4</v>
      </c>
      <c r="I4016" t="s">
        <v>4805</v>
      </c>
      <c r="J4016" t="s">
        <v>5191</v>
      </c>
      <c r="K4016" t="s">
        <v>4434</v>
      </c>
      <c r="L4016">
        <v>0</v>
      </c>
      <c r="M4016" s="452">
        <v>45756</v>
      </c>
      <c r="N4016">
        <v>14.9</v>
      </c>
      <c r="O4016">
        <v>17.149999999999999</v>
      </c>
      <c r="P4016">
        <v>59.6</v>
      </c>
    </row>
    <row r="4017" spans="1:16" x14ac:dyDescent="0.3">
      <c r="A4017">
        <v>38647</v>
      </c>
      <c r="B4017">
        <v>105</v>
      </c>
      <c r="C4017" t="s">
        <v>557</v>
      </c>
      <c r="D4017" s="452">
        <v>45809</v>
      </c>
      <c r="E4017">
        <v>26020</v>
      </c>
      <c r="F4017" t="s">
        <v>5102</v>
      </c>
      <c r="G4017">
        <v>2105</v>
      </c>
      <c r="H4017">
        <v>4</v>
      </c>
      <c r="I4017" t="s">
        <v>4736</v>
      </c>
      <c r="J4017" t="s">
        <v>5191</v>
      </c>
      <c r="K4017" t="s">
        <v>4434</v>
      </c>
      <c r="L4017">
        <v>14.81</v>
      </c>
      <c r="M4017" s="452">
        <v>45807</v>
      </c>
      <c r="N4017">
        <v>14.8</v>
      </c>
      <c r="O4017">
        <v>14.8</v>
      </c>
      <c r="P4017">
        <v>59.24</v>
      </c>
    </row>
    <row r="4018" spans="1:16" x14ac:dyDescent="0.3">
      <c r="A4018">
        <v>38842</v>
      </c>
      <c r="B4018">
        <v>105</v>
      </c>
      <c r="C4018" t="s">
        <v>557</v>
      </c>
      <c r="D4018" s="452">
        <v>45809</v>
      </c>
      <c r="E4018">
        <v>20614</v>
      </c>
      <c r="F4018" t="s">
        <v>4958</v>
      </c>
      <c r="G4018">
        <v>2119</v>
      </c>
      <c r="H4018">
        <v>2</v>
      </c>
      <c r="I4018" t="s">
        <v>4736</v>
      </c>
      <c r="J4018" t="s">
        <v>5191</v>
      </c>
      <c r="K4018" t="s">
        <v>4434</v>
      </c>
      <c r="L4018">
        <v>0</v>
      </c>
      <c r="M4018" s="452">
        <v>45504</v>
      </c>
      <c r="N4018">
        <v>28.61</v>
      </c>
      <c r="O4018">
        <v>28.78</v>
      </c>
      <c r="P4018">
        <v>57.22</v>
      </c>
    </row>
    <row r="4019" spans="1:16" x14ac:dyDescent="0.3">
      <c r="A4019">
        <v>38536</v>
      </c>
      <c r="B4019">
        <v>105</v>
      </c>
      <c r="C4019" t="s">
        <v>557</v>
      </c>
      <c r="D4019" s="452">
        <v>45809</v>
      </c>
      <c r="E4019">
        <v>19507</v>
      </c>
      <c r="F4019" t="s">
        <v>4853</v>
      </c>
      <c r="G4019">
        <v>2704</v>
      </c>
      <c r="H4019">
        <v>5.27</v>
      </c>
      <c r="I4019" t="s">
        <v>4744</v>
      </c>
      <c r="J4019" t="s">
        <v>5191</v>
      </c>
      <c r="K4019" t="s">
        <v>4434</v>
      </c>
      <c r="L4019">
        <v>10.84</v>
      </c>
      <c r="M4019" s="452">
        <v>45807</v>
      </c>
      <c r="N4019">
        <v>10</v>
      </c>
      <c r="O4019">
        <v>9.8699999999999992</v>
      </c>
      <c r="P4019">
        <v>57.13</v>
      </c>
    </row>
    <row r="4020" spans="1:16" x14ac:dyDescent="0.3">
      <c r="A4020">
        <v>38619</v>
      </c>
      <c r="B4020">
        <v>105</v>
      </c>
      <c r="C4020" t="s">
        <v>557</v>
      </c>
      <c r="D4020" s="452">
        <v>45809</v>
      </c>
      <c r="E4020">
        <v>24973</v>
      </c>
      <c r="F4020" t="s">
        <v>4819</v>
      </c>
      <c r="G4020">
        <v>5845</v>
      </c>
      <c r="H4020">
        <v>9</v>
      </c>
      <c r="I4020" t="s">
        <v>4738</v>
      </c>
      <c r="J4020" t="s">
        <v>5222</v>
      </c>
      <c r="K4020" t="s">
        <v>4434</v>
      </c>
      <c r="L4020">
        <v>0</v>
      </c>
      <c r="M4020" s="452">
        <v>45737</v>
      </c>
      <c r="N4020">
        <v>74.64</v>
      </c>
      <c r="O4020">
        <v>74.64</v>
      </c>
      <c r="P4020">
        <v>55.98</v>
      </c>
    </row>
    <row r="4021" spans="1:16" x14ac:dyDescent="0.3">
      <c r="A4021">
        <v>38679</v>
      </c>
      <c r="B4021">
        <v>105</v>
      </c>
      <c r="C4021" t="s">
        <v>557</v>
      </c>
      <c r="D4021" s="452">
        <v>45809</v>
      </c>
      <c r="E4021">
        <v>24272</v>
      </c>
      <c r="F4021" t="s">
        <v>5059</v>
      </c>
      <c r="G4021">
        <v>2341</v>
      </c>
      <c r="H4021">
        <v>2.29</v>
      </c>
      <c r="I4021" t="s">
        <v>4744</v>
      </c>
      <c r="J4021" t="s">
        <v>5191</v>
      </c>
      <c r="K4021" t="s">
        <v>4434</v>
      </c>
      <c r="L4021">
        <v>0</v>
      </c>
      <c r="M4021" s="452">
        <v>45737</v>
      </c>
      <c r="N4021">
        <v>24</v>
      </c>
      <c r="O4021">
        <v>71.760000000000005</v>
      </c>
      <c r="P4021">
        <v>54.96</v>
      </c>
    </row>
    <row r="4022" spans="1:16" x14ac:dyDescent="0.3">
      <c r="A4022">
        <v>38818</v>
      </c>
      <c r="B4022">
        <v>105</v>
      </c>
      <c r="C4022" t="s">
        <v>557</v>
      </c>
      <c r="D4022" s="452">
        <v>45809</v>
      </c>
      <c r="E4022">
        <v>18273</v>
      </c>
      <c r="F4022" t="s">
        <v>5058</v>
      </c>
      <c r="G4022">
        <v>3357</v>
      </c>
      <c r="H4022">
        <v>1.4</v>
      </c>
      <c r="I4022" t="s">
        <v>4805</v>
      </c>
      <c r="J4022" t="s">
        <v>5222</v>
      </c>
      <c r="K4022" t="s">
        <v>4434</v>
      </c>
      <c r="L4022">
        <v>0</v>
      </c>
      <c r="N4022">
        <v>0</v>
      </c>
      <c r="O4022">
        <v>39.18</v>
      </c>
      <c r="P4022">
        <v>54.85</v>
      </c>
    </row>
    <row r="4023" spans="1:16" x14ac:dyDescent="0.3">
      <c r="A4023">
        <v>38817</v>
      </c>
      <c r="B4023">
        <v>105</v>
      </c>
      <c r="C4023" t="s">
        <v>557</v>
      </c>
      <c r="D4023" s="452">
        <v>45809</v>
      </c>
      <c r="E4023">
        <v>19473</v>
      </c>
      <c r="F4023" t="s">
        <v>5484</v>
      </c>
      <c r="G4023">
        <v>2732</v>
      </c>
      <c r="H4023">
        <v>3.06</v>
      </c>
      <c r="I4023" t="s">
        <v>4744</v>
      </c>
      <c r="J4023" t="s">
        <v>5191</v>
      </c>
      <c r="K4023" t="s">
        <v>4434</v>
      </c>
      <c r="L4023">
        <v>17.78</v>
      </c>
      <c r="M4023" s="452">
        <v>45807</v>
      </c>
      <c r="N4023">
        <v>18.8</v>
      </c>
      <c r="O4023">
        <v>18.8</v>
      </c>
      <c r="P4023">
        <v>54.41</v>
      </c>
    </row>
    <row r="4024" spans="1:16" x14ac:dyDescent="0.3">
      <c r="A4024">
        <v>38728</v>
      </c>
      <c r="B4024">
        <v>105</v>
      </c>
      <c r="C4024" t="s">
        <v>557</v>
      </c>
      <c r="D4024" s="452">
        <v>45809</v>
      </c>
      <c r="E4024">
        <v>20138</v>
      </c>
      <c r="F4024" t="s">
        <v>4886</v>
      </c>
      <c r="G4024">
        <v>2284</v>
      </c>
      <c r="H4024">
        <v>8</v>
      </c>
      <c r="I4024" t="s">
        <v>4738</v>
      </c>
      <c r="J4024" t="s">
        <v>5191</v>
      </c>
      <c r="K4024" t="s">
        <v>4434</v>
      </c>
      <c r="L4024">
        <v>0</v>
      </c>
      <c r="M4024" s="452">
        <v>45763</v>
      </c>
      <c r="N4024">
        <v>6.8</v>
      </c>
      <c r="O4024">
        <v>6.8</v>
      </c>
      <c r="P4024">
        <v>54.4</v>
      </c>
    </row>
    <row r="4025" spans="1:16" x14ac:dyDescent="0.3">
      <c r="A4025">
        <v>38788</v>
      </c>
      <c r="B4025">
        <v>105</v>
      </c>
      <c r="C4025" t="s">
        <v>557</v>
      </c>
      <c r="D4025" s="452">
        <v>45809</v>
      </c>
      <c r="E4025">
        <v>25759</v>
      </c>
      <c r="F4025" t="s">
        <v>4877</v>
      </c>
      <c r="G4025">
        <v>9073</v>
      </c>
      <c r="H4025">
        <v>7</v>
      </c>
      <c r="I4025" t="s">
        <v>4736</v>
      </c>
      <c r="J4025" t="s">
        <v>5191</v>
      </c>
      <c r="K4025" t="s">
        <v>4434</v>
      </c>
      <c r="L4025">
        <v>0</v>
      </c>
      <c r="M4025" s="452">
        <v>45653</v>
      </c>
      <c r="N4025">
        <v>7.73</v>
      </c>
      <c r="O4025">
        <v>7.73</v>
      </c>
      <c r="P4025">
        <v>54.11</v>
      </c>
    </row>
    <row r="4026" spans="1:16" x14ac:dyDescent="0.3">
      <c r="A4026">
        <v>38601</v>
      </c>
      <c r="B4026">
        <v>105</v>
      </c>
      <c r="C4026" t="s">
        <v>557</v>
      </c>
      <c r="D4026" s="452">
        <v>45809</v>
      </c>
      <c r="E4026">
        <v>26989</v>
      </c>
      <c r="F4026" t="s">
        <v>5479</v>
      </c>
      <c r="G4026">
        <v>7043</v>
      </c>
      <c r="H4026">
        <v>1</v>
      </c>
      <c r="I4026" t="s">
        <v>4805</v>
      </c>
      <c r="J4026" t="s">
        <v>5222</v>
      </c>
      <c r="K4026" t="s">
        <v>4434</v>
      </c>
      <c r="L4026">
        <v>0</v>
      </c>
      <c r="M4026" s="452">
        <v>-693593</v>
      </c>
      <c r="N4026">
        <v>0</v>
      </c>
      <c r="O4026">
        <v>0</v>
      </c>
      <c r="P4026">
        <v>52.65</v>
      </c>
    </row>
    <row r="4027" spans="1:16" x14ac:dyDescent="0.3">
      <c r="A4027">
        <v>38526</v>
      </c>
      <c r="B4027">
        <v>105</v>
      </c>
      <c r="C4027" t="s">
        <v>557</v>
      </c>
      <c r="D4027" s="452">
        <v>45809</v>
      </c>
      <c r="E4027">
        <v>19787</v>
      </c>
      <c r="F4027" t="s">
        <v>4793</v>
      </c>
      <c r="G4027">
        <v>2471</v>
      </c>
      <c r="H4027">
        <v>10.7</v>
      </c>
      <c r="I4027" t="s">
        <v>4744</v>
      </c>
      <c r="J4027" t="s">
        <v>5191</v>
      </c>
      <c r="K4027" t="s">
        <v>4434</v>
      </c>
      <c r="L4027">
        <v>4.92</v>
      </c>
      <c r="M4027" s="452">
        <v>45807</v>
      </c>
      <c r="N4027">
        <v>4.2</v>
      </c>
      <c r="O4027">
        <v>5.77</v>
      </c>
      <c r="P4027">
        <v>52.64</v>
      </c>
    </row>
    <row r="4028" spans="1:16" x14ac:dyDescent="0.3">
      <c r="A4028">
        <v>38546</v>
      </c>
      <c r="B4028">
        <v>105</v>
      </c>
      <c r="C4028" t="s">
        <v>557</v>
      </c>
      <c r="D4028" s="452">
        <v>45809</v>
      </c>
      <c r="E4028">
        <v>20321</v>
      </c>
      <c r="F4028" t="s">
        <v>5067</v>
      </c>
      <c r="G4028">
        <v>2213</v>
      </c>
      <c r="H4028">
        <v>0.4</v>
      </c>
      <c r="I4028" t="s">
        <v>4744</v>
      </c>
      <c r="J4028" t="s">
        <v>5191</v>
      </c>
      <c r="K4028" t="s">
        <v>4434</v>
      </c>
      <c r="L4028">
        <v>0</v>
      </c>
      <c r="M4028" s="452">
        <v>-693593</v>
      </c>
      <c r="N4028">
        <v>0</v>
      </c>
      <c r="O4028">
        <v>130.51</v>
      </c>
      <c r="P4028">
        <v>52.2</v>
      </c>
    </row>
    <row r="4029" spans="1:16" x14ac:dyDescent="0.3">
      <c r="A4029">
        <v>38630</v>
      </c>
      <c r="B4029">
        <v>105</v>
      </c>
      <c r="C4029" t="s">
        <v>557</v>
      </c>
      <c r="D4029" s="452">
        <v>45809</v>
      </c>
      <c r="E4029">
        <v>19842</v>
      </c>
      <c r="F4029" t="s">
        <v>5300</v>
      </c>
      <c r="G4029">
        <v>2425</v>
      </c>
      <c r="H4029">
        <v>1.2</v>
      </c>
      <c r="I4029" t="s">
        <v>4744</v>
      </c>
      <c r="J4029" t="s">
        <v>5191</v>
      </c>
      <c r="K4029" t="s">
        <v>4434</v>
      </c>
      <c r="L4029">
        <v>43.5</v>
      </c>
      <c r="M4029" s="452">
        <v>45793</v>
      </c>
      <c r="N4029">
        <v>50</v>
      </c>
      <c r="O4029">
        <v>52</v>
      </c>
      <c r="P4029">
        <v>52.2</v>
      </c>
    </row>
    <row r="4030" spans="1:16" x14ac:dyDescent="0.3">
      <c r="A4030">
        <v>38663</v>
      </c>
      <c r="B4030">
        <v>105</v>
      </c>
      <c r="C4030" t="s">
        <v>557</v>
      </c>
      <c r="D4030" s="452">
        <v>45809</v>
      </c>
      <c r="E4030">
        <v>20670</v>
      </c>
      <c r="F4030" t="s">
        <v>5008</v>
      </c>
      <c r="G4030">
        <v>2107</v>
      </c>
      <c r="H4030">
        <v>1.7</v>
      </c>
      <c r="I4030" t="s">
        <v>4738</v>
      </c>
      <c r="J4030" t="s">
        <v>5191</v>
      </c>
      <c r="K4030" t="s">
        <v>4434</v>
      </c>
      <c r="L4030">
        <v>0</v>
      </c>
      <c r="M4030" s="452">
        <v>45636</v>
      </c>
      <c r="N4030">
        <v>30.4</v>
      </c>
      <c r="O4030">
        <v>29.5</v>
      </c>
      <c r="P4030">
        <v>51.68</v>
      </c>
    </row>
    <row r="4031" spans="1:16" x14ac:dyDescent="0.3">
      <c r="A4031">
        <v>38537</v>
      </c>
      <c r="B4031">
        <v>105</v>
      </c>
      <c r="C4031" t="s">
        <v>557</v>
      </c>
      <c r="D4031" s="452">
        <v>45809</v>
      </c>
      <c r="E4031">
        <v>17950</v>
      </c>
      <c r="F4031" t="s">
        <v>5091</v>
      </c>
      <c r="G4031">
        <v>3626</v>
      </c>
      <c r="H4031">
        <v>3</v>
      </c>
      <c r="I4031" t="s">
        <v>4738</v>
      </c>
      <c r="J4031" t="s">
        <v>5222</v>
      </c>
      <c r="K4031" t="s">
        <v>4434</v>
      </c>
      <c r="L4031">
        <v>17.100000000000001</v>
      </c>
      <c r="M4031" s="452">
        <v>45804</v>
      </c>
      <c r="N4031">
        <v>17.100000000000001</v>
      </c>
      <c r="O4031">
        <v>17.100000000000001</v>
      </c>
      <c r="P4031">
        <v>51.3</v>
      </c>
    </row>
    <row r="4032" spans="1:16" x14ac:dyDescent="0.3">
      <c r="A4032">
        <v>38743</v>
      </c>
      <c r="B4032">
        <v>105</v>
      </c>
      <c r="C4032" t="s">
        <v>557</v>
      </c>
      <c r="D4032" s="452">
        <v>45809</v>
      </c>
      <c r="E4032">
        <v>19600</v>
      </c>
      <c r="F4032" t="s">
        <v>5499</v>
      </c>
      <c r="G4032">
        <v>2629</v>
      </c>
      <c r="H4032">
        <v>4.18</v>
      </c>
      <c r="I4032" t="s">
        <v>4744</v>
      </c>
      <c r="J4032" t="s">
        <v>5191</v>
      </c>
      <c r="K4032" t="s">
        <v>4434</v>
      </c>
      <c r="L4032">
        <v>12.13</v>
      </c>
      <c r="M4032" s="452">
        <v>45807</v>
      </c>
      <c r="N4032">
        <v>13.5</v>
      </c>
      <c r="O4032">
        <v>12.75</v>
      </c>
      <c r="P4032">
        <v>50.7</v>
      </c>
    </row>
    <row r="4033" spans="1:16" x14ac:dyDescent="0.3">
      <c r="A4033">
        <v>38527</v>
      </c>
      <c r="B4033">
        <v>105</v>
      </c>
      <c r="C4033" t="s">
        <v>557</v>
      </c>
      <c r="D4033" s="452">
        <v>45809</v>
      </c>
      <c r="E4033">
        <v>19658</v>
      </c>
      <c r="F4033" t="s">
        <v>4784</v>
      </c>
      <c r="G4033">
        <v>2582</v>
      </c>
      <c r="H4033">
        <v>20.57</v>
      </c>
      <c r="I4033" t="s">
        <v>4744</v>
      </c>
      <c r="J4033" t="s">
        <v>5191</v>
      </c>
      <c r="K4033" t="s">
        <v>4434</v>
      </c>
      <c r="L4033">
        <v>2.4300000000000002</v>
      </c>
      <c r="M4033" s="452">
        <v>45805</v>
      </c>
      <c r="N4033">
        <v>2.5</v>
      </c>
      <c r="O4033">
        <v>2.13</v>
      </c>
      <c r="P4033">
        <v>49.99</v>
      </c>
    </row>
    <row r="4034" spans="1:16" x14ac:dyDescent="0.3">
      <c r="A4034">
        <v>38604</v>
      </c>
      <c r="B4034">
        <v>105</v>
      </c>
      <c r="C4034" t="s">
        <v>557</v>
      </c>
      <c r="D4034" s="452">
        <v>45809</v>
      </c>
      <c r="E4034">
        <v>24638</v>
      </c>
      <c r="F4034" t="s">
        <v>4948</v>
      </c>
      <c r="G4034">
        <v>5690</v>
      </c>
      <c r="H4034">
        <v>2</v>
      </c>
      <c r="I4034" t="s">
        <v>4749</v>
      </c>
      <c r="J4034" t="s">
        <v>5191</v>
      </c>
      <c r="K4034" t="s">
        <v>4434</v>
      </c>
      <c r="L4034">
        <v>24.98</v>
      </c>
      <c r="M4034" s="452">
        <v>45793</v>
      </c>
      <c r="N4034">
        <v>24.98</v>
      </c>
      <c r="O4034">
        <v>31.9</v>
      </c>
      <c r="P4034">
        <v>49.96</v>
      </c>
    </row>
    <row r="4035" spans="1:16" x14ac:dyDescent="0.3">
      <c r="A4035">
        <v>38617</v>
      </c>
      <c r="B4035">
        <v>105</v>
      </c>
      <c r="C4035" t="s">
        <v>557</v>
      </c>
      <c r="D4035" s="452">
        <v>45809</v>
      </c>
      <c r="E4035">
        <v>27018</v>
      </c>
      <c r="F4035" t="s">
        <v>4737</v>
      </c>
      <c r="G4035">
        <v>7070</v>
      </c>
      <c r="H4035">
        <v>7</v>
      </c>
      <c r="I4035" t="s">
        <v>4738</v>
      </c>
      <c r="J4035" t="s">
        <v>5222</v>
      </c>
      <c r="K4035" t="s">
        <v>4434</v>
      </c>
      <c r="L4035">
        <v>0</v>
      </c>
      <c r="N4035">
        <v>0</v>
      </c>
      <c r="O4035">
        <v>0</v>
      </c>
      <c r="P4035">
        <v>48.93</v>
      </c>
    </row>
    <row r="4036" spans="1:16" x14ac:dyDescent="0.3">
      <c r="A4036">
        <v>38740</v>
      </c>
      <c r="B4036">
        <v>105</v>
      </c>
      <c r="C4036" t="s">
        <v>557</v>
      </c>
      <c r="D4036" s="452">
        <v>45809</v>
      </c>
      <c r="E4036">
        <v>24351</v>
      </c>
      <c r="F4036" t="s">
        <v>5014</v>
      </c>
      <c r="G4036">
        <v>2287</v>
      </c>
      <c r="H4036">
        <v>3.73</v>
      </c>
      <c r="I4036" t="s">
        <v>4736</v>
      </c>
      <c r="J4036" t="s">
        <v>5191</v>
      </c>
      <c r="K4036" t="s">
        <v>4434</v>
      </c>
      <c r="L4036">
        <v>13.04</v>
      </c>
      <c r="M4036" s="452">
        <v>45805</v>
      </c>
      <c r="N4036">
        <v>12</v>
      </c>
      <c r="O4036">
        <v>12</v>
      </c>
      <c r="P4036">
        <v>48.64</v>
      </c>
    </row>
    <row r="4037" spans="1:16" x14ac:dyDescent="0.3">
      <c r="A4037">
        <v>38887</v>
      </c>
      <c r="B4037">
        <v>105</v>
      </c>
      <c r="C4037" t="s">
        <v>557</v>
      </c>
      <c r="D4037" s="452">
        <v>45809</v>
      </c>
      <c r="E4037">
        <v>18073</v>
      </c>
      <c r="F4037" t="s">
        <v>4974</v>
      </c>
      <c r="G4037">
        <v>3536</v>
      </c>
      <c r="H4037">
        <v>1</v>
      </c>
      <c r="I4037" t="s">
        <v>4805</v>
      </c>
      <c r="J4037" t="s">
        <v>5222</v>
      </c>
      <c r="K4037" t="s">
        <v>4434</v>
      </c>
      <c r="L4037">
        <v>48.45</v>
      </c>
      <c r="M4037" s="452">
        <v>45793</v>
      </c>
      <c r="N4037">
        <v>47</v>
      </c>
      <c r="O4037">
        <v>47</v>
      </c>
      <c r="P4037">
        <v>48.45</v>
      </c>
    </row>
    <row r="4038" spans="1:16" x14ac:dyDescent="0.3">
      <c r="A4038">
        <v>38755</v>
      </c>
      <c r="B4038">
        <v>105</v>
      </c>
      <c r="C4038" t="s">
        <v>557</v>
      </c>
      <c r="D4038" s="452">
        <v>45809</v>
      </c>
      <c r="E4038">
        <v>19962</v>
      </c>
      <c r="F4038" t="s">
        <v>5502</v>
      </c>
      <c r="G4038">
        <v>2356</v>
      </c>
      <c r="H4038">
        <v>2</v>
      </c>
      <c r="I4038" t="s">
        <v>4888</v>
      </c>
      <c r="J4038" t="s">
        <v>5191</v>
      </c>
      <c r="K4038" t="s">
        <v>4434</v>
      </c>
      <c r="L4038">
        <v>24.1</v>
      </c>
      <c r="M4038" s="452">
        <v>45807</v>
      </c>
      <c r="N4038">
        <v>24.1</v>
      </c>
      <c r="O4038">
        <v>24.1</v>
      </c>
      <c r="P4038">
        <v>48.2</v>
      </c>
    </row>
    <row r="4039" spans="1:16" x14ac:dyDescent="0.3">
      <c r="A4039">
        <v>38721</v>
      </c>
      <c r="B4039">
        <v>105</v>
      </c>
      <c r="C4039" t="s">
        <v>557</v>
      </c>
      <c r="D4039" s="452">
        <v>45809</v>
      </c>
      <c r="E4039">
        <v>24326</v>
      </c>
      <c r="F4039" t="s">
        <v>4767</v>
      </c>
      <c r="G4039">
        <v>2499</v>
      </c>
      <c r="H4039">
        <v>19.899999999999999</v>
      </c>
      <c r="I4039" t="s">
        <v>4744</v>
      </c>
      <c r="J4039" t="s">
        <v>5191</v>
      </c>
      <c r="K4039" t="s">
        <v>4434</v>
      </c>
      <c r="L4039">
        <v>2.39</v>
      </c>
      <c r="M4039" s="452">
        <v>45807</v>
      </c>
      <c r="N4039">
        <v>2.2999999999999998</v>
      </c>
      <c r="O4039">
        <v>22.77</v>
      </c>
      <c r="P4039">
        <v>47.56</v>
      </c>
    </row>
    <row r="4040" spans="1:16" x14ac:dyDescent="0.3">
      <c r="A4040">
        <v>38678</v>
      </c>
      <c r="B4040">
        <v>105</v>
      </c>
      <c r="C4040" t="s">
        <v>557</v>
      </c>
      <c r="D4040" s="452">
        <v>45809</v>
      </c>
      <c r="E4040">
        <v>24267</v>
      </c>
      <c r="F4040" t="s">
        <v>5501</v>
      </c>
      <c r="G4040">
        <v>2249</v>
      </c>
      <c r="H4040">
        <v>0.55000000000000004</v>
      </c>
      <c r="I4040" t="s">
        <v>4744</v>
      </c>
      <c r="J4040" t="s">
        <v>5191</v>
      </c>
      <c r="K4040" t="s">
        <v>4434</v>
      </c>
      <c r="L4040">
        <v>0</v>
      </c>
      <c r="M4040" s="452">
        <v>45507</v>
      </c>
      <c r="N4040">
        <v>85</v>
      </c>
      <c r="O4040">
        <v>28</v>
      </c>
      <c r="P4040">
        <v>46.75</v>
      </c>
    </row>
    <row r="4041" spans="1:16" x14ac:dyDescent="0.3">
      <c r="A4041">
        <v>38622</v>
      </c>
      <c r="B4041">
        <v>105</v>
      </c>
      <c r="C4041" t="s">
        <v>557</v>
      </c>
      <c r="D4041" s="452">
        <v>45809</v>
      </c>
      <c r="E4041">
        <v>17838</v>
      </c>
      <c r="F4041" t="s">
        <v>4925</v>
      </c>
      <c r="G4041">
        <v>3712</v>
      </c>
      <c r="H4041">
        <v>3</v>
      </c>
      <c r="I4041" t="s">
        <v>4749</v>
      </c>
      <c r="J4041" t="s">
        <v>5222</v>
      </c>
      <c r="K4041" t="s">
        <v>4434</v>
      </c>
      <c r="L4041">
        <v>0</v>
      </c>
      <c r="M4041" s="452">
        <v>45771</v>
      </c>
      <c r="N4041">
        <v>15.5</v>
      </c>
      <c r="O4041">
        <v>15.5</v>
      </c>
      <c r="P4041">
        <v>46.5</v>
      </c>
    </row>
    <row r="4042" spans="1:16" x14ac:dyDescent="0.3">
      <c r="A4042">
        <v>38584</v>
      </c>
      <c r="B4042">
        <v>105</v>
      </c>
      <c r="C4042" t="s">
        <v>557</v>
      </c>
      <c r="D4042" s="452">
        <v>45809</v>
      </c>
      <c r="E4042">
        <v>20760</v>
      </c>
      <c r="F4042" t="s">
        <v>5505</v>
      </c>
      <c r="G4042">
        <v>2083</v>
      </c>
      <c r="H4042">
        <v>5</v>
      </c>
      <c r="I4042" t="s">
        <v>4738</v>
      </c>
      <c r="J4042" t="s">
        <v>5191</v>
      </c>
      <c r="K4042" t="s">
        <v>4434</v>
      </c>
      <c r="L4042">
        <v>9.1</v>
      </c>
      <c r="M4042" s="452">
        <v>45797</v>
      </c>
      <c r="N4042">
        <v>9.1</v>
      </c>
      <c r="O4042">
        <v>9.1</v>
      </c>
      <c r="P4042">
        <v>45.5</v>
      </c>
    </row>
    <row r="4043" spans="1:16" x14ac:dyDescent="0.3">
      <c r="A4043">
        <v>38702</v>
      </c>
      <c r="B4043">
        <v>105</v>
      </c>
      <c r="C4043" t="s">
        <v>557</v>
      </c>
      <c r="D4043" s="452">
        <v>45809</v>
      </c>
      <c r="E4043">
        <v>19421</v>
      </c>
      <c r="F4043" t="s">
        <v>4918</v>
      </c>
      <c r="G4043">
        <v>2758</v>
      </c>
      <c r="H4043">
        <v>1</v>
      </c>
      <c r="I4043" t="s">
        <v>4749</v>
      </c>
      <c r="J4043" t="s">
        <v>5191</v>
      </c>
      <c r="K4043" t="s">
        <v>4434</v>
      </c>
      <c r="L4043">
        <v>44.96</v>
      </c>
      <c r="M4043" s="452">
        <v>45807</v>
      </c>
      <c r="N4043">
        <v>5.89</v>
      </c>
      <c r="O4043">
        <v>5.89</v>
      </c>
      <c r="P4043">
        <v>44.96</v>
      </c>
    </row>
    <row r="4044" spans="1:16" x14ac:dyDescent="0.3">
      <c r="A4044">
        <v>38570</v>
      </c>
      <c r="B4044">
        <v>105</v>
      </c>
      <c r="C4044" t="s">
        <v>557</v>
      </c>
      <c r="D4044" s="452">
        <v>45809</v>
      </c>
      <c r="E4044">
        <v>21060</v>
      </c>
      <c r="F4044" t="s">
        <v>4946</v>
      </c>
      <c r="G4044">
        <v>1998</v>
      </c>
      <c r="H4044">
        <v>2</v>
      </c>
      <c r="I4044" t="s">
        <v>4736</v>
      </c>
      <c r="J4044" t="s">
        <v>5191</v>
      </c>
      <c r="K4044" t="s">
        <v>4434</v>
      </c>
      <c r="L4044">
        <v>0</v>
      </c>
      <c r="M4044" s="452">
        <v>45756</v>
      </c>
      <c r="N4044">
        <v>21.9</v>
      </c>
      <c r="O4044">
        <v>21.96</v>
      </c>
      <c r="P4044">
        <v>43.8</v>
      </c>
    </row>
    <row r="4045" spans="1:16" x14ac:dyDescent="0.3">
      <c r="A4045">
        <v>38700</v>
      </c>
      <c r="B4045">
        <v>105</v>
      </c>
      <c r="C4045" t="s">
        <v>557</v>
      </c>
      <c r="D4045" s="452">
        <v>45809</v>
      </c>
      <c r="E4045">
        <v>20653</v>
      </c>
      <c r="F4045" t="s">
        <v>5013</v>
      </c>
      <c r="G4045">
        <v>2111</v>
      </c>
      <c r="H4045">
        <v>2</v>
      </c>
      <c r="I4045" t="s">
        <v>4736</v>
      </c>
      <c r="J4045" t="s">
        <v>5191</v>
      </c>
      <c r="K4045" t="s">
        <v>4434</v>
      </c>
      <c r="L4045">
        <v>21.76</v>
      </c>
      <c r="M4045" s="452">
        <v>45807</v>
      </c>
      <c r="N4045">
        <v>21.76</v>
      </c>
      <c r="O4045">
        <v>21.76</v>
      </c>
      <c r="P4045">
        <v>43.52</v>
      </c>
    </row>
    <row r="4046" spans="1:16" x14ac:dyDescent="0.3">
      <c r="A4046">
        <v>38669</v>
      </c>
      <c r="B4046">
        <v>105</v>
      </c>
      <c r="C4046" t="s">
        <v>557</v>
      </c>
      <c r="D4046" s="452">
        <v>45809</v>
      </c>
      <c r="E4046">
        <v>20358</v>
      </c>
      <c r="F4046" t="s">
        <v>4911</v>
      </c>
      <c r="G4046">
        <v>2200</v>
      </c>
      <c r="H4046">
        <v>3</v>
      </c>
      <c r="I4046" t="s">
        <v>4738</v>
      </c>
      <c r="J4046" t="s">
        <v>5191</v>
      </c>
      <c r="K4046" t="s">
        <v>4434</v>
      </c>
      <c r="L4046">
        <v>14.33</v>
      </c>
      <c r="M4046" s="452">
        <v>45807</v>
      </c>
      <c r="N4046">
        <v>14.3</v>
      </c>
      <c r="O4046">
        <v>14.3</v>
      </c>
      <c r="P4046">
        <v>42.99</v>
      </c>
    </row>
    <row r="4047" spans="1:16" x14ac:dyDescent="0.3">
      <c r="A4047">
        <v>38661</v>
      </c>
      <c r="B4047">
        <v>105</v>
      </c>
      <c r="C4047" t="s">
        <v>557</v>
      </c>
      <c r="D4047" s="452">
        <v>45809</v>
      </c>
      <c r="E4047">
        <v>23534</v>
      </c>
      <c r="F4047" t="s">
        <v>5447</v>
      </c>
      <c r="G4047">
        <v>2337</v>
      </c>
      <c r="H4047">
        <v>1.49</v>
      </c>
      <c r="I4047" t="s">
        <v>4955</v>
      </c>
      <c r="J4047" t="s">
        <v>5191</v>
      </c>
      <c r="K4047" t="s">
        <v>4434</v>
      </c>
      <c r="L4047">
        <v>0</v>
      </c>
      <c r="N4047">
        <v>0</v>
      </c>
      <c r="O4047">
        <v>28.92</v>
      </c>
      <c r="P4047">
        <v>42.98</v>
      </c>
    </row>
    <row r="4048" spans="1:16" x14ac:dyDescent="0.3">
      <c r="A4048">
        <v>38549</v>
      </c>
      <c r="B4048">
        <v>105</v>
      </c>
      <c r="C4048" t="s">
        <v>557</v>
      </c>
      <c r="D4048" s="452">
        <v>45809</v>
      </c>
      <c r="E4048">
        <v>19505</v>
      </c>
      <c r="F4048" t="s">
        <v>4872</v>
      </c>
      <c r="G4048">
        <v>2706</v>
      </c>
      <c r="H4048">
        <v>4.4000000000000004</v>
      </c>
      <c r="I4048" t="s">
        <v>4744</v>
      </c>
      <c r="J4048" t="s">
        <v>5191</v>
      </c>
      <c r="K4048" t="s">
        <v>4434</v>
      </c>
      <c r="L4048">
        <v>9.48</v>
      </c>
      <c r="M4048" s="452">
        <v>45807</v>
      </c>
      <c r="N4048">
        <v>8.5</v>
      </c>
      <c r="O4048">
        <v>12.02</v>
      </c>
      <c r="P4048">
        <v>41.71</v>
      </c>
    </row>
    <row r="4049" spans="1:16" x14ac:dyDescent="0.3">
      <c r="A4049">
        <v>38811</v>
      </c>
      <c r="B4049">
        <v>105</v>
      </c>
      <c r="C4049" t="s">
        <v>557</v>
      </c>
      <c r="D4049" s="452">
        <v>45809</v>
      </c>
      <c r="E4049">
        <v>19558</v>
      </c>
      <c r="F4049" t="s">
        <v>4994</v>
      </c>
      <c r="G4049">
        <v>2659</v>
      </c>
      <c r="H4049">
        <v>3</v>
      </c>
      <c r="I4049" t="s">
        <v>4744</v>
      </c>
      <c r="J4049" t="s">
        <v>5191</v>
      </c>
      <c r="K4049" t="s">
        <v>4434</v>
      </c>
      <c r="L4049">
        <v>13.78</v>
      </c>
      <c r="M4049" s="452">
        <v>45807</v>
      </c>
      <c r="N4049">
        <v>15</v>
      </c>
      <c r="O4049">
        <v>15</v>
      </c>
      <c r="P4049">
        <v>41.34</v>
      </c>
    </row>
    <row r="4050" spans="1:16" x14ac:dyDescent="0.3">
      <c r="A4050">
        <v>38719</v>
      </c>
      <c r="B4050">
        <v>105</v>
      </c>
      <c r="C4050" t="s">
        <v>557</v>
      </c>
      <c r="D4050" s="452">
        <v>45809</v>
      </c>
      <c r="E4050">
        <v>19752</v>
      </c>
      <c r="F4050" t="s">
        <v>4807</v>
      </c>
      <c r="G4050">
        <v>2501</v>
      </c>
      <c r="H4050">
        <v>6.87</v>
      </c>
      <c r="I4050" t="s">
        <v>4744</v>
      </c>
      <c r="J4050" t="s">
        <v>5191</v>
      </c>
      <c r="K4050" t="s">
        <v>4434</v>
      </c>
      <c r="L4050">
        <v>5.97</v>
      </c>
      <c r="M4050" s="452">
        <v>45807</v>
      </c>
      <c r="N4050">
        <v>4.5</v>
      </c>
      <c r="O4050">
        <v>4.5</v>
      </c>
      <c r="P4050">
        <v>41.01</v>
      </c>
    </row>
    <row r="4051" spans="1:16" x14ac:dyDescent="0.3">
      <c r="A4051">
        <v>38726</v>
      </c>
      <c r="B4051">
        <v>105</v>
      </c>
      <c r="C4051" t="s">
        <v>557</v>
      </c>
      <c r="D4051" s="452">
        <v>45809</v>
      </c>
      <c r="E4051">
        <v>19479</v>
      </c>
      <c r="F4051" t="s">
        <v>5063</v>
      </c>
      <c r="G4051">
        <v>2727</v>
      </c>
      <c r="H4051">
        <v>0.54</v>
      </c>
      <c r="I4051" t="s">
        <v>4744</v>
      </c>
      <c r="J4051" t="s">
        <v>5191</v>
      </c>
      <c r="K4051" t="s">
        <v>4434</v>
      </c>
      <c r="L4051">
        <v>0</v>
      </c>
      <c r="M4051" s="452">
        <v>45770</v>
      </c>
      <c r="N4051">
        <v>75</v>
      </c>
      <c r="O4051">
        <v>64</v>
      </c>
      <c r="P4051">
        <v>40.5</v>
      </c>
    </row>
    <row r="4052" spans="1:16" x14ac:dyDescent="0.3">
      <c r="A4052">
        <v>38609</v>
      </c>
      <c r="B4052">
        <v>105</v>
      </c>
      <c r="C4052" t="s">
        <v>557</v>
      </c>
      <c r="D4052" s="452">
        <v>45809</v>
      </c>
      <c r="E4052">
        <v>24509</v>
      </c>
      <c r="F4052" t="s">
        <v>4788</v>
      </c>
      <c r="G4052">
        <v>2607</v>
      </c>
      <c r="H4052">
        <v>11.41</v>
      </c>
      <c r="I4052" t="s">
        <v>4744</v>
      </c>
      <c r="J4052" t="s">
        <v>5191</v>
      </c>
      <c r="K4052" t="s">
        <v>4434</v>
      </c>
      <c r="L4052">
        <v>3.46</v>
      </c>
      <c r="M4052" s="452">
        <v>45805</v>
      </c>
      <c r="N4052">
        <v>3.75</v>
      </c>
      <c r="O4052">
        <v>14.78</v>
      </c>
      <c r="P4052">
        <v>39.479999999999997</v>
      </c>
    </row>
    <row r="4053" spans="1:16" x14ac:dyDescent="0.3">
      <c r="A4053">
        <v>38830</v>
      </c>
      <c r="B4053">
        <v>105</v>
      </c>
      <c r="C4053" t="s">
        <v>557</v>
      </c>
      <c r="D4053" s="452">
        <v>45809</v>
      </c>
      <c r="E4053">
        <v>24468</v>
      </c>
      <c r="F4053" t="s">
        <v>4798</v>
      </c>
      <c r="G4053">
        <v>3675</v>
      </c>
      <c r="H4053">
        <v>18</v>
      </c>
      <c r="I4053" t="s">
        <v>4736</v>
      </c>
      <c r="J4053" t="s">
        <v>5222</v>
      </c>
      <c r="K4053" t="s">
        <v>4434</v>
      </c>
      <c r="L4053">
        <v>0</v>
      </c>
      <c r="M4053" s="452">
        <v>45653</v>
      </c>
      <c r="N4053">
        <v>2.19</v>
      </c>
      <c r="O4053">
        <v>2.19</v>
      </c>
      <c r="P4053">
        <v>39.42</v>
      </c>
    </row>
    <row r="4054" spans="1:16" x14ac:dyDescent="0.3">
      <c r="A4054">
        <v>38597</v>
      </c>
      <c r="B4054">
        <v>105</v>
      </c>
      <c r="C4054" t="s">
        <v>557</v>
      </c>
      <c r="D4054" s="452">
        <v>45809</v>
      </c>
      <c r="E4054">
        <v>18423</v>
      </c>
      <c r="F4054" t="s">
        <v>4987</v>
      </c>
      <c r="G4054">
        <v>3220</v>
      </c>
      <c r="H4054">
        <v>1</v>
      </c>
      <c r="I4054" t="s">
        <v>4805</v>
      </c>
      <c r="J4054" t="s">
        <v>5222</v>
      </c>
      <c r="K4054" t="s">
        <v>4434</v>
      </c>
      <c r="L4054">
        <v>0</v>
      </c>
      <c r="M4054" s="452">
        <v>45707</v>
      </c>
      <c r="N4054">
        <v>39.299999999999997</v>
      </c>
      <c r="O4054">
        <v>39.299999999999997</v>
      </c>
      <c r="P4054">
        <v>39.299999999999997</v>
      </c>
    </row>
    <row r="4055" spans="1:16" x14ac:dyDescent="0.3">
      <c r="A4055">
        <v>38599</v>
      </c>
      <c r="B4055">
        <v>105</v>
      </c>
      <c r="C4055" t="s">
        <v>557</v>
      </c>
      <c r="D4055" s="452">
        <v>45809</v>
      </c>
      <c r="E4055">
        <v>16973</v>
      </c>
      <c r="F4055" t="s">
        <v>4827</v>
      </c>
      <c r="G4055">
        <v>3710</v>
      </c>
      <c r="H4055">
        <v>1</v>
      </c>
      <c r="I4055" t="s">
        <v>4749</v>
      </c>
      <c r="J4055" t="s">
        <v>5222</v>
      </c>
      <c r="K4055" t="s">
        <v>4434</v>
      </c>
      <c r="L4055">
        <v>0</v>
      </c>
      <c r="M4055" s="452">
        <v>45740</v>
      </c>
      <c r="N4055">
        <v>0</v>
      </c>
      <c r="O4055">
        <v>38</v>
      </c>
      <c r="P4055">
        <v>38</v>
      </c>
    </row>
    <row r="4056" spans="1:16" x14ac:dyDescent="0.3">
      <c r="A4056">
        <v>38683</v>
      </c>
      <c r="B4056">
        <v>105</v>
      </c>
      <c r="C4056" t="s">
        <v>557</v>
      </c>
      <c r="D4056" s="452">
        <v>45809</v>
      </c>
      <c r="E4056">
        <v>19895</v>
      </c>
      <c r="F4056" t="s">
        <v>5080</v>
      </c>
      <c r="G4056">
        <v>2385</v>
      </c>
      <c r="H4056">
        <v>2</v>
      </c>
      <c r="I4056" t="s">
        <v>4888</v>
      </c>
      <c r="J4056" t="s">
        <v>5191</v>
      </c>
      <c r="K4056" t="s">
        <v>4434</v>
      </c>
      <c r="L4056">
        <v>0</v>
      </c>
      <c r="M4056" s="452">
        <v>-693593</v>
      </c>
      <c r="N4056">
        <v>0</v>
      </c>
      <c r="O4056">
        <v>31.99</v>
      </c>
      <c r="P4056">
        <v>36</v>
      </c>
    </row>
    <row r="4057" spans="1:16" x14ac:dyDescent="0.3">
      <c r="A4057">
        <v>38689</v>
      </c>
      <c r="B4057">
        <v>105</v>
      </c>
      <c r="C4057" t="s">
        <v>557</v>
      </c>
      <c r="D4057" s="452">
        <v>45809</v>
      </c>
      <c r="E4057">
        <v>21132</v>
      </c>
      <c r="F4057" t="s">
        <v>5524</v>
      </c>
      <c r="G4057">
        <v>1963</v>
      </c>
      <c r="H4057">
        <v>1</v>
      </c>
      <c r="I4057" t="s">
        <v>4738</v>
      </c>
      <c r="J4057" t="s">
        <v>5191</v>
      </c>
      <c r="K4057" t="s">
        <v>4434</v>
      </c>
      <c r="L4057">
        <v>0</v>
      </c>
      <c r="M4057" s="452">
        <v>45757</v>
      </c>
      <c r="N4057">
        <v>35.31</v>
      </c>
      <c r="O4057">
        <v>35.31</v>
      </c>
      <c r="P4057">
        <v>35.31</v>
      </c>
    </row>
    <row r="4058" spans="1:16" x14ac:dyDescent="0.3">
      <c r="A4058">
        <v>38778</v>
      </c>
      <c r="B4058">
        <v>105</v>
      </c>
      <c r="C4058" t="s">
        <v>557</v>
      </c>
      <c r="D4058" s="452">
        <v>45809</v>
      </c>
      <c r="E4058">
        <v>25748</v>
      </c>
      <c r="F4058" t="s">
        <v>4999</v>
      </c>
      <c r="G4058">
        <v>9068</v>
      </c>
      <c r="H4058">
        <v>7</v>
      </c>
      <c r="I4058" t="s">
        <v>4749</v>
      </c>
      <c r="J4058" t="s">
        <v>5191</v>
      </c>
      <c r="K4058" t="s">
        <v>4434</v>
      </c>
      <c r="L4058">
        <v>0</v>
      </c>
      <c r="M4058" s="452">
        <v>45742</v>
      </c>
      <c r="N4058">
        <v>5.04</v>
      </c>
      <c r="O4058">
        <v>5.04</v>
      </c>
      <c r="P4058">
        <v>35.28</v>
      </c>
    </row>
    <row r="4059" spans="1:16" x14ac:dyDescent="0.3">
      <c r="A4059">
        <v>38672</v>
      </c>
      <c r="B4059">
        <v>105</v>
      </c>
      <c r="C4059" t="s">
        <v>557</v>
      </c>
      <c r="D4059" s="452">
        <v>45809</v>
      </c>
      <c r="E4059">
        <v>20227</v>
      </c>
      <c r="F4059" t="s">
        <v>4825</v>
      </c>
      <c r="G4059">
        <v>2248</v>
      </c>
      <c r="H4059">
        <v>3</v>
      </c>
      <c r="I4059" t="s">
        <v>4738</v>
      </c>
      <c r="J4059" t="s">
        <v>5191</v>
      </c>
      <c r="K4059" t="s">
        <v>4434</v>
      </c>
      <c r="L4059">
        <v>11.5</v>
      </c>
      <c r="M4059" s="452">
        <v>45807</v>
      </c>
      <c r="N4059">
        <v>11.2</v>
      </c>
      <c r="O4059">
        <v>11.2</v>
      </c>
      <c r="P4059">
        <v>34.5</v>
      </c>
    </row>
    <row r="4060" spans="1:16" x14ac:dyDescent="0.3">
      <c r="A4060">
        <v>38718</v>
      </c>
      <c r="B4060">
        <v>105</v>
      </c>
      <c r="C4060" t="s">
        <v>557</v>
      </c>
      <c r="D4060" s="452">
        <v>45809</v>
      </c>
      <c r="E4060">
        <v>18281</v>
      </c>
      <c r="F4060" t="s">
        <v>5470</v>
      </c>
      <c r="G4060">
        <v>3346</v>
      </c>
      <c r="H4060">
        <v>1</v>
      </c>
      <c r="I4060" t="s">
        <v>4805</v>
      </c>
      <c r="J4060" t="s">
        <v>5222</v>
      </c>
      <c r="K4060" t="s">
        <v>4434</v>
      </c>
      <c r="L4060">
        <v>0</v>
      </c>
      <c r="M4060" s="452">
        <v>45547</v>
      </c>
      <c r="N4060">
        <v>34.299999999999997</v>
      </c>
      <c r="O4060">
        <v>37.5</v>
      </c>
      <c r="P4060">
        <v>34.299999999999997</v>
      </c>
    </row>
    <row r="4061" spans="1:16" x14ac:dyDescent="0.3">
      <c r="A4061">
        <v>38704</v>
      </c>
      <c r="B4061">
        <v>105</v>
      </c>
      <c r="C4061" t="s">
        <v>557</v>
      </c>
      <c r="D4061" s="452">
        <v>45809</v>
      </c>
      <c r="E4061">
        <v>24323</v>
      </c>
      <c r="F4061" t="s">
        <v>4844</v>
      </c>
      <c r="G4061">
        <v>2262</v>
      </c>
      <c r="H4061">
        <v>2</v>
      </c>
      <c r="I4061" t="s">
        <v>4744</v>
      </c>
      <c r="J4061" t="s">
        <v>5191</v>
      </c>
      <c r="K4061" t="s">
        <v>4434</v>
      </c>
      <c r="L4061">
        <v>0</v>
      </c>
      <c r="M4061" s="452">
        <v>45741</v>
      </c>
      <c r="N4061">
        <v>17.05</v>
      </c>
      <c r="O4061">
        <v>17.05</v>
      </c>
      <c r="P4061">
        <v>34.1</v>
      </c>
    </row>
    <row r="4062" spans="1:16" x14ac:dyDescent="0.3">
      <c r="A4062">
        <v>38733</v>
      </c>
      <c r="B4062">
        <v>105</v>
      </c>
      <c r="C4062" t="s">
        <v>557</v>
      </c>
      <c r="D4062" s="452">
        <v>45809</v>
      </c>
      <c r="E4062">
        <v>19742</v>
      </c>
      <c r="F4062" t="s">
        <v>4900</v>
      </c>
      <c r="G4062">
        <v>2511</v>
      </c>
      <c r="H4062">
        <v>3.35</v>
      </c>
      <c r="I4062" t="s">
        <v>4744</v>
      </c>
      <c r="J4062" t="s">
        <v>5191</v>
      </c>
      <c r="K4062" t="s">
        <v>4434</v>
      </c>
      <c r="L4062">
        <v>10.1</v>
      </c>
      <c r="M4062" s="452">
        <v>45807</v>
      </c>
      <c r="N4062">
        <v>7.5</v>
      </c>
      <c r="O4062">
        <v>7.5</v>
      </c>
      <c r="P4062">
        <v>33.840000000000003</v>
      </c>
    </row>
    <row r="4063" spans="1:16" x14ac:dyDescent="0.3">
      <c r="A4063">
        <v>38760</v>
      </c>
      <c r="B4063">
        <v>105</v>
      </c>
      <c r="C4063" t="s">
        <v>557</v>
      </c>
      <c r="D4063" s="452">
        <v>45809</v>
      </c>
      <c r="E4063">
        <v>21005</v>
      </c>
      <c r="F4063" t="s">
        <v>5161</v>
      </c>
      <c r="G4063">
        <v>2007</v>
      </c>
      <c r="H4063">
        <v>0.38</v>
      </c>
      <c r="I4063" t="s">
        <v>4888</v>
      </c>
      <c r="J4063" t="s">
        <v>5191</v>
      </c>
      <c r="K4063" t="s">
        <v>4434</v>
      </c>
      <c r="L4063">
        <v>0</v>
      </c>
      <c r="M4063" s="452">
        <v>45763</v>
      </c>
      <c r="N4063">
        <v>88.9</v>
      </c>
      <c r="O4063">
        <v>32.200000000000003</v>
      </c>
      <c r="P4063">
        <v>33.78</v>
      </c>
    </row>
    <row r="4064" spans="1:16" x14ac:dyDescent="0.3">
      <c r="A4064">
        <v>38555</v>
      </c>
      <c r="B4064">
        <v>105</v>
      </c>
      <c r="C4064" t="s">
        <v>557</v>
      </c>
      <c r="D4064" s="452">
        <v>45809</v>
      </c>
      <c r="E4064">
        <v>20429</v>
      </c>
      <c r="F4064" t="s">
        <v>5317</v>
      </c>
      <c r="G4064">
        <v>2184</v>
      </c>
      <c r="H4064">
        <v>1.8</v>
      </c>
      <c r="I4064" t="s">
        <v>4736</v>
      </c>
      <c r="J4064" t="s">
        <v>5191</v>
      </c>
      <c r="K4064" t="s">
        <v>4434</v>
      </c>
      <c r="L4064">
        <v>0</v>
      </c>
      <c r="M4064" s="452">
        <v>45741</v>
      </c>
      <c r="N4064">
        <v>18.600000000000001</v>
      </c>
      <c r="O4064">
        <v>20.25</v>
      </c>
      <c r="P4064">
        <v>33.479999999999997</v>
      </c>
    </row>
    <row r="4065" spans="1:16" x14ac:dyDescent="0.3">
      <c r="A4065">
        <v>38544</v>
      </c>
      <c r="B4065">
        <v>105</v>
      </c>
      <c r="C4065" t="s">
        <v>557</v>
      </c>
      <c r="D4065" s="452">
        <v>45809</v>
      </c>
      <c r="E4065">
        <v>22118</v>
      </c>
      <c r="F4065" t="s">
        <v>4765</v>
      </c>
      <c r="G4065">
        <v>3600</v>
      </c>
      <c r="H4065">
        <v>15</v>
      </c>
      <c r="I4065" t="s">
        <v>4749</v>
      </c>
      <c r="J4065" t="s">
        <v>5222</v>
      </c>
      <c r="K4065" t="s">
        <v>4434</v>
      </c>
      <c r="L4065">
        <v>0</v>
      </c>
      <c r="M4065" s="452">
        <v>45679</v>
      </c>
      <c r="N4065">
        <v>2.19</v>
      </c>
      <c r="O4065">
        <v>27.48</v>
      </c>
      <c r="P4065">
        <v>32.85</v>
      </c>
    </row>
    <row r="4066" spans="1:16" x14ac:dyDescent="0.3">
      <c r="A4066">
        <v>38585</v>
      </c>
      <c r="B4066">
        <v>105</v>
      </c>
      <c r="C4066" t="s">
        <v>557</v>
      </c>
      <c r="D4066" s="452">
        <v>45809</v>
      </c>
      <c r="E4066">
        <v>24099</v>
      </c>
      <c r="F4066" t="s">
        <v>4933</v>
      </c>
      <c r="G4066">
        <v>2716</v>
      </c>
      <c r="H4066">
        <v>3.2</v>
      </c>
      <c r="I4066" t="s">
        <v>4744</v>
      </c>
      <c r="J4066" t="s">
        <v>5191</v>
      </c>
      <c r="K4066" t="s">
        <v>4434</v>
      </c>
      <c r="L4066">
        <v>10.25</v>
      </c>
      <c r="M4066" s="452">
        <v>45805</v>
      </c>
      <c r="N4066">
        <v>10</v>
      </c>
      <c r="O4066">
        <v>8.2100000000000009</v>
      </c>
      <c r="P4066">
        <v>32.799999999999997</v>
      </c>
    </row>
    <row r="4067" spans="1:16" x14ac:dyDescent="0.3">
      <c r="A4067">
        <v>38551</v>
      </c>
      <c r="B4067">
        <v>105</v>
      </c>
      <c r="C4067" t="s">
        <v>557</v>
      </c>
      <c r="D4067" s="452">
        <v>45809</v>
      </c>
      <c r="E4067">
        <v>19498</v>
      </c>
      <c r="F4067" t="s">
        <v>5487</v>
      </c>
      <c r="G4067">
        <v>2712</v>
      </c>
      <c r="H4067">
        <v>3.2</v>
      </c>
      <c r="I4067" t="s">
        <v>4744</v>
      </c>
      <c r="J4067" t="s">
        <v>5191</v>
      </c>
      <c r="K4067" t="s">
        <v>4434</v>
      </c>
      <c r="L4067">
        <v>10.24</v>
      </c>
      <c r="M4067" s="452">
        <v>45807</v>
      </c>
      <c r="N4067">
        <v>10</v>
      </c>
      <c r="O4067">
        <v>11.64</v>
      </c>
      <c r="P4067">
        <v>32.770000000000003</v>
      </c>
    </row>
    <row r="4068" spans="1:16" x14ac:dyDescent="0.3">
      <c r="A4068">
        <v>38856</v>
      </c>
      <c r="B4068">
        <v>105</v>
      </c>
      <c r="C4068" t="s">
        <v>557</v>
      </c>
      <c r="D4068" s="452">
        <v>45809</v>
      </c>
      <c r="E4068">
        <v>18214</v>
      </c>
      <c r="F4068" t="s">
        <v>5039</v>
      </c>
      <c r="G4068">
        <v>3413</v>
      </c>
      <c r="H4068">
        <v>1</v>
      </c>
      <c r="I4068" t="s">
        <v>4805</v>
      </c>
      <c r="J4068" t="s">
        <v>5222</v>
      </c>
      <c r="K4068" t="s">
        <v>4434</v>
      </c>
      <c r="L4068">
        <v>0</v>
      </c>
      <c r="M4068" s="452">
        <v>45378</v>
      </c>
      <c r="N4068">
        <v>32.200000000000003</v>
      </c>
      <c r="O4068">
        <v>33.770000000000003</v>
      </c>
      <c r="P4068">
        <v>32.200000000000003</v>
      </c>
    </row>
    <row r="4069" spans="1:16" x14ac:dyDescent="0.3">
      <c r="A4069">
        <v>38657</v>
      </c>
      <c r="B4069">
        <v>105</v>
      </c>
      <c r="C4069" t="s">
        <v>557</v>
      </c>
      <c r="D4069" s="452">
        <v>45809</v>
      </c>
      <c r="E4069">
        <v>24522</v>
      </c>
      <c r="F4069" t="s">
        <v>5072</v>
      </c>
      <c r="G4069">
        <v>5651</v>
      </c>
      <c r="H4069">
        <v>1.2</v>
      </c>
      <c r="I4069" t="s">
        <v>4744</v>
      </c>
      <c r="J4069" t="s">
        <v>5191</v>
      </c>
      <c r="K4069" t="s">
        <v>4434</v>
      </c>
      <c r="L4069">
        <v>26.65</v>
      </c>
      <c r="M4069" s="452">
        <v>45797</v>
      </c>
      <c r="N4069">
        <v>29</v>
      </c>
      <c r="O4069">
        <v>28</v>
      </c>
      <c r="P4069">
        <v>31.98</v>
      </c>
    </row>
    <row r="4070" spans="1:16" x14ac:dyDescent="0.3">
      <c r="A4070">
        <v>38569</v>
      </c>
      <c r="B4070">
        <v>105</v>
      </c>
      <c r="C4070" t="s">
        <v>557</v>
      </c>
      <c r="D4070" s="452">
        <v>45809</v>
      </c>
      <c r="E4070">
        <v>20293</v>
      </c>
      <c r="F4070" t="s">
        <v>5520</v>
      </c>
      <c r="G4070">
        <v>2228</v>
      </c>
      <c r="H4070">
        <v>1</v>
      </c>
      <c r="I4070" t="s">
        <v>4749</v>
      </c>
      <c r="J4070" t="s">
        <v>5191</v>
      </c>
      <c r="K4070" t="s">
        <v>4434</v>
      </c>
      <c r="L4070">
        <v>29.03</v>
      </c>
      <c r="M4070" s="452">
        <v>45804</v>
      </c>
      <c r="N4070">
        <v>29.2</v>
      </c>
      <c r="O4070">
        <v>29.2</v>
      </c>
      <c r="P4070">
        <v>29.03</v>
      </c>
    </row>
    <row r="4071" spans="1:16" x14ac:dyDescent="0.3">
      <c r="A4071">
        <v>38826</v>
      </c>
      <c r="B4071">
        <v>105</v>
      </c>
      <c r="C4071" t="s">
        <v>557</v>
      </c>
      <c r="D4071" s="452">
        <v>45809</v>
      </c>
      <c r="E4071">
        <v>18745</v>
      </c>
      <c r="F4071" t="s">
        <v>4892</v>
      </c>
      <c r="G4071">
        <v>3014</v>
      </c>
      <c r="H4071">
        <v>6</v>
      </c>
      <c r="I4071" t="s">
        <v>4736</v>
      </c>
      <c r="J4071" t="s">
        <v>5191</v>
      </c>
      <c r="K4071" t="s">
        <v>4434</v>
      </c>
      <c r="L4071">
        <v>4.8</v>
      </c>
      <c r="M4071" s="452">
        <v>45804</v>
      </c>
      <c r="N4071">
        <v>4.8</v>
      </c>
      <c r="O4071">
        <v>4.8</v>
      </c>
      <c r="P4071">
        <v>28.8</v>
      </c>
    </row>
    <row r="4072" spans="1:16" x14ac:dyDescent="0.3">
      <c r="A4072">
        <v>38653</v>
      </c>
      <c r="B4072">
        <v>105</v>
      </c>
      <c r="C4072" t="s">
        <v>557</v>
      </c>
      <c r="D4072" s="452">
        <v>45809</v>
      </c>
      <c r="E4072">
        <v>17916</v>
      </c>
      <c r="F4072" t="s">
        <v>5235</v>
      </c>
      <c r="G4072">
        <v>3648</v>
      </c>
      <c r="H4072">
        <v>1</v>
      </c>
      <c r="I4072" t="s">
        <v>4738</v>
      </c>
      <c r="J4072" t="s">
        <v>5222</v>
      </c>
      <c r="K4072" t="s">
        <v>4434</v>
      </c>
      <c r="L4072">
        <v>28.67</v>
      </c>
      <c r="M4072" s="452">
        <v>45789</v>
      </c>
      <c r="N4072">
        <v>27.28</v>
      </c>
      <c r="O4072">
        <v>27.28</v>
      </c>
      <c r="P4072">
        <v>28.67</v>
      </c>
    </row>
    <row r="4073" spans="1:16" x14ac:dyDescent="0.3">
      <c r="A4073">
        <v>38703</v>
      </c>
      <c r="B4073">
        <v>105</v>
      </c>
      <c r="C4073" t="s">
        <v>557</v>
      </c>
      <c r="D4073" s="452">
        <v>45809</v>
      </c>
      <c r="E4073">
        <v>24322</v>
      </c>
      <c r="F4073" t="s">
        <v>5064</v>
      </c>
      <c r="G4073">
        <v>2342</v>
      </c>
      <c r="H4073">
        <v>1.1599999999999999</v>
      </c>
      <c r="I4073" t="s">
        <v>4744</v>
      </c>
      <c r="J4073" t="s">
        <v>5191</v>
      </c>
      <c r="K4073" t="s">
        <v>4434</v>
      </c>
      <c r="L4073">
        <v>24.45</v>
      </c>
      <c r="M4073" s="452">
        <v>45807</v>
      </c>
      <c r="N4073">
        <v>23</v>
      </c>
      <c r="O4073">
        <v>23</v>
      </c>
      <c r="P4073">
        <v>28.36</v>
      </c>
    </row>
    <row r="4074" spans="1:16" x14ac:dyDescent="0.3">
      <c r="A4074">
        <v>38639</v>
      </c>
      <c r="B4074">
        <v>105</v>
      </c>
      <c r="C4074" t="s">
        <v>557</v>
      </c>
      <c r="D4074" s="452">
        <v>45809</v>
      </c>
      <c r="E4074">
        <v>20421</v>
      </c>
      <c r="F4074" t="s">
        <v>5525</v>
      </c>
      <c r="G4074">
        <v>2187</v>
      </c>
      <c r="H4074">
        <v>2</v>
      </c>
      <c r="I4074" t="s">
        <v>4736</v>
      </c>
      <c r="J4074" t="s">
        <v>5191</v>
      </c>
      <c r="K4074" t="s">
        <v>4434</v>
      </c>
      <c r="L4074">
        <v>0</v>
      </c>
      <c r="M4074" s="452">
        <v>45741</v>
      </c>
      <c r="N4074">
        <v>14</v>
      </c>
      <c r="O4074">
        <v>16.489999999999998</v>
      </c>
      <c r="P4074">
        <v>28</v>
      </c>
    </row>
    <row r="4075" spans="1:16" x14ac:dyDescent="0.3">
      <c r="A4075">
        <v>38782</v>
      </c>
      <c r="B4075">
        <v>105</v>
      </c>
      <c r="C4075" t="s">
        <v>557</v>
      </c>
      <c r="D4075" s="452">
        <v>45809</v>
      </c>
      <c r="E4075">
        <v>25763</v>
      </c>
      <c r="F4075" t="s">
        <v>4943</v>
      </c>
      <c r="G4075">
        <v>6314</v>
      </c>
      <c r="H4075">
        <v>4</v>
      </c>
      <c r="I4075" t="s">
        <v>4736</v>
      </c>
      <c r="J4075" t="s">
        <v>5191</v>
      </c>
      <c r="K4075" t="s">
        <v>4434</v>
      </c>
      <c r="L4075">
        <v>0</v>
      </c>
      <c r="M4075" s="452">
        <v>-693593</v>
      </c>
      <c r="N4075">
        <v>0</v>
      </c>
      <c r="O4075">
        <v>0</v>
      </c>
      <c r="P4075">
        <v>27.96</v>
      </c>
    </row>
    <row r="4076" spans="1:16" x14ac:dyDescent="0.3">
      <c r="A4076">
        <v>38602</v>
      </c>
      <c r="B4076">
        <v>105</v>
      </c>
      <c r="C4076" t="s">
        <v>557</v>
      </c>
      <c r="D4076" s="452">
        <v>45809</v>
      </c>
      <c r="E4076">
        <v>24110</v>
      </c>
      <c r="F4076" t="s">
        <v>5450</v>
      </c>
      <c r="G4076">
        <v>2322</v>
      </c>
      <c r="H4076">
        <v>1.6</v>
      </c>
      <c r="I4076" t="s">
        <v>4744</v>
      </c>
      <c r="J4076" t="s">
        <v>5191</v>
      </c>
      <c r="K4076" t="s">
        <v>4434</v>
      </c>
      <c r="L4076">
        <v>0</v>
      </c>
      <c r="M4076" s="452">
        <v>45478</v>
      </c>
      <c r="N4076">
        <v>17.2</v>
      </c>
      <c r="O4076">
        <v>60</v>
      </c>
      <c r="P4076">
        <v>27.52</v>
      </c>
    </row>
    <row r="4077" spans="1:16" x14ac:dyDescent="0.3">
      <c r="A4077">
        <v>38631</v>
      </c>
      <c r="B4077">
        <v>105</v>
      </c>
      <c r="C4077" t="s">
        <v>557</v>
      </c>
      <c r="D4077" s="452">
        <v>45809</v>
      </c>
      <c r="E4077">
        <v>24186</v>
      </c>
      <c r="F4077" t="s">
        <v>4995</v>
      </c>
      <c r="G4077">
        <v>2332</v>
      </c>
      <c r="H4077">
        <v>2.06</v>
      </c>
      <c r="I4077" t="s">
        <v>4744</v>
      </c>
      <c r="J4077" t="s">
        <v>5191</v>
      </c>
      <c r="K4077" t="s">
        <v>4434</v>
      </c>
      <c r="L4077">
        <v>0</v>
      </c>
      <c r="M4077" s="452">
        <v>45706</v>
      </c>
      <c r="N4077">
        <v>13</v>
      </c>
      <c r="O4077">
        <v>6</v>
      </c>
      <c r="P4077">
        <v>26.78</v>
      </c>
    </row>
    <row r="4078" spans="1:16" x14ac:dyDescent="0.3">
      <c r="A4078">
        <v>38736</v>
      </c>
      <c r="B4078">
        <v>105</v>
      </c>
      <c r="C4078" t="s">
        <v>557</v>
      </c>
      <c r="D4078" s="452">
        <v>45809</v>
      </c>
      <c r="E4078">
        <v>19741</v>
      </c>
      <c r="F4078" t="s">
        <v>4916</v>
      </c>
      <c r="G4078">
        <v>2512</v>
      </c>
      <c r="H4078">
        <v>3</v>
      </c>
      <c r="I4078" t="s">
        <v>4744</v>
      </c>
      <c r="J4078" t="s">
        <v>5191</v>
      </c>
      <c r="K4078" t="s">
        <v>4434</v>
      </c>
      <c r="L4078">
        <v>8.9</v>
      </c>
      <c r="M4078" s="452">
        <v>45807</v>
      </c>
      <c r="N4078">
        <v>11.5</v>
      </c>
      <c r="O4078">
        <v>12.72</v>
      </c>
      <c r="P4078">
        <v>26.7</v>
      </c>
    </row>
    <row r="4079" spans="1:16" x14ac:dyDescent="0.3">
      <c r="A4079">
        <v>38831</v>
      </c>
      <c r="B4079">
        <v>105</v>
      </c>
      <c r="C4079" t="s">
        <v>557</v>
      </c>
      <c r="D4079" s="452">
        <v>45809</v>
      </c>
      <c r="E4079">
        <v>17881</v>
      </c>
      <c r="F4079" t="s">
        <v>5103</v>
      </c>
      <c r="G4079">
        <v>3675</v>
      </c>
      <c r="H4079">
        <v>1</v>
      </c>
      <c r="I4079" t="s">
        <v>4738</v>
      </c>
      <c r="J4079" t="s">
        <v>5222</v>
      </c>
      <c r="K4079" t="s">
        <v>4434</v>
      </c>
      <c r="L4079">
        <v>26.28</v>
      </c>
      <c r="M4079" s="452">
        <v>45779</v>
      </c>
      <c r="N4079">
        <v>26.28</v>
      </c>
      <c r="O4079">
        <v>26.28</v>
      </c>
      <c r="P4079">
        <v>26.28</v>
      </c>
    </row>
    <row r="4080" spans="1:16" x14ac:dyDescent="0.3">
      <c r="A4080">
        <v>38816</v>
      </c>
      <c r="B4080">
        <v>105</v>
      </c>
      <c r="C4080" t="s">
        <v>557</v>
      </c>
      <c r="D4080" s="452">
        <v>45809</v>
      </c>
      <c r="E4080">
        <v>19552</v>
      </c>
      <c r="F4080" t="s">
        <v>4860</v>
      </c>
      <c r="G4080">
        <v>2664</v>
      </c>
      <c r="H4080">
        <v>5.0999999999999996</v>
      </c>
      <c r="I4080" t="s">
        <v>4744</v>
      </c>
      <c r="J4080" t="s">
        <v>5191</v>
      </c>
      <c r="K4080" t="s">
        <v>4434</v>
      </c>
      <c r="L4080">
        <v>4.8899999999999997</v>
      </c>
      <c r="M4080" s="452">
        <v>45807</v>
      </c>
      <c r="N4080">
        <v>4.5</v>
      </c>
      <c r="O4080">
        <v>4.3</v>
      </c>
      <c r="P4080">
        <v>24.94</v>
      </c>
    </row>
    <row r="4081" spans="1:16" x14ac:dyDescent="0.3">
      <c r="A4081">
        <v>38748</v>
      </c>
      <c r="B4081">
        <v>105</v>
      </c>
      <c r="C4081" t="s">
        <v>557</v>
      </c>
      <c r="D4081" s="452">
        <v>45809</v>
      </c>
      <c r="E4081">
        <v>19993</v>
      </c>
      <c r="F4081" t="s">
        <v>4954</v>
      </c>
      <c r="G4081">
        <v>2349</v>
      </c>
      <c r="H4081">
        <v>2.02</v>
      </c>
      <c r="I4081" t="s">
        <v>4955</v>
      </c>
      <c r="J4081" t="s">
        <v>5191</v>
      </c>
      <c r="K4081" t="s">
        <v>4434</v>
      </c>
      <c r="L4081">
        <v>0</v>
      </c>
      <c r="N4081">
        <v>0</v>
      </c>
      <c r="O4081">
        <v>0</v>
      </c>
      <c r="P4081">
        <v>24.22</v>
      </c>
    </row>
    <row r="4082" spans="1:16" x14ac:dyDescent="0.3">
      <c r="A4082">
        <v>38767</v>
      </c>
      <c r="B4082">
        <v>105</v>
      </c>
      <c r="C4082" t="s">
        <v>557</v>
      </c>
      <c r="D4082" s="452">
        <v>45809</v>
      </c>
      <c r="E4082">
        <v>19130</v>
      </c>
      <c r="F4082" t="s">
        <v>4990</v>
      </c>
      <c r="G4082">
        <v>2839</v>
      </c>
      <c r="H4082">
        <v>1.5</v>
      </c>
      <c r="I4082" t="s">
        <v>4744</v>
      </c>
      <c r="J4082" t="s">
        <v>5191</v>
      </c>
      <c r="K4082" t="s">
        <v>4434</v>
      </c>
      <c r="L4082">
        <v>0</v>
      </c>
      <c r="M4082" s="452">
        <v>-693593</v>
      </c>
      <c r="N4082">
        <v>0</v>
      </c>
      <c r="O4082">
        <v>20.03</v>
      </c>
      <c r="P4082">
        <v>23.98</v>
      </c>
    </row>
    <row r="4083" spans="1:16" x14ac:dyDescent="0.3">
      <c r="A4083">
        <v>38834</v>
      </c>
      <c r="B4083">
        <v>105</v>
      </c>
      <c r="C4083" t="s">
        <v>557</v>
      </c>
      <c r="D4083" s="452">
        <v>45809</v>
      </c>
      <c r="E4083">
        <v>18317</v>
      </c>
      <c r="F4083" t="s">
        <v>5056</v>
      </c>
      <c r="G4083">
        <v>3316</v>
      </c>
      <c r="H4083">
        <v>0.65</v>
      </c>
      <c r="I4083" t="s">
        <v>4805</v>
      </c>
      <c r="J4083" t="s">
        <v>5222</v>
      </c>
      <c r="K4083" t="s">
        <v>4434</v>
      </c>
      <c r="L4083">
        <v>0</v>
      </c>
      <c r="M4083" s="452">
        <v>-693593</v>
      </c>
      <c r="N4083">
        <v>0</v>
      </c>
      <c r="O4083">
        <v>36.9</v>
      </c>
      <c r="P4083">
        <v>23.98</v>
      </c>
    </row>
    <row r="4084" spans="1:16" x14ac:dyDescent="0.3">
      <c r="A4084">
        <v>38852</v>
      </c>
      <c r="B4084">
        <v>105</v>
      </c>
      <c r="C4084" t="s">
        <v>557</v>
      </c>
      <c r="D4084" s="452">
        <v>45809</v>
      </c>
      <c r="E4084">
        <v>19710</v>
      </c>
      <c r="F4084" t="s">
        <v>4963</v>
      </c>
      <c r="G4084">
        <v>2540</v>
      </c>
      <c r="H4084">
        <v>1</v>
      </c>
      <c r="I4084" t="s">
        <v>4738</v>
      </c>
      <c r="J4084" t="s">
        <v>5191</v>
      </c>
      <c r="K4084" t="s">
        <v>4434</v>
      </c>
      <c r="L4084">
        <v>23.9</v>
      </c>
      <c r="M4084" s="452">
        <v>45804</v>
      </c>
      <c r="N4084">
        <v>23.9</v>
      </c>
      <c r="O4084">
        <v>23.25</v>
      </c>
      <c r="P4084">
        <v>23.9</v>
      </c>
    </row>
    <row r="4085" spans="1:16" x14ac:dyDescent="0.3">
      <c r="A4085">
        <v>38777</v>
      </c>
      <c r="B4085">
        <v>105</v>
      </c>
      <c r="C4085" t="s">
        <v>557</v>
      </c>
      <c r="D4085" s="452">
        <v>45809</v>
      </c>
      <c r="E4085">
        <v>25758</v>
      </c>
      <c r="F4085" t="s">
        <v>4775</v>
      </c>
      <c r="G4085">
        <v>9066</v>
      </c>
      <c r="H4085">
        <v>3</v>
      </c>
      <c r="I4085" t="s">
        <v>4736</v>
      </c>
      <c r="J4085" t="s">
        <v>5191</v>
      </c>
      <c r="K4085" t="s">
        <v>4434</v>
      </c>
      <c r="L4085">
        <v>0</v>
      </c>
      <c r="M4085" s="452">
        <v>45742</v>
      </c>
      <c r="N4085">
        <v>7.73</v>
      </c>
      <c r="O4085">
        <v>7.73</v>
      </c>
      <c r="P4085">
        <v>23.19</v>
      </c>
    </row>
    <row r="4086" spans="1:16" x14ac:dyDescent="0.3">
      <c r="A4086">
        <v>38791</v>
      </c>
      <c r="B4086">
        <v>105</v>
      </c>
      <c r="C4086" t="s">
        <v>557</v>
      </c>
      <c r="D4086" s="452">
        <v>45809</v>
      </c>
      <c r="E4086">
        <v>25754</v>
      </c>
      <c r="F4086" t="s">
        <v>5142</v>
      </c>
      <c r="G4086">
        <v>6305</v>
      </c>
      <c r="H4086">
        <v>3</v>
      </c>
      <c r="I4086" t="s">
        <v>4736</v>
      </c>
      <c r="J4086" t="s">
        <v>5191</v>
      </c>
      <c r="K4086" t="s">
        <v>4434</v>
      </c>
      <c r="L4086">
        <v>0</v>
      </c>
      <c r="M4086" s="452">
        <v>45653</v>
      </c>
      <c r="N4086">
        <v>7.73</v>
      </c>
      <c r="O4086">
        <v>7.73</v>
      </c>
      <c r="P4086">
        <v>23.19</v>
      </c>
    </row>
    <row r="4087" spans="1:16" x14ac:dyDescent="0.3">
      <c r="A4087">
        <v>38534</v>
      </c>
      <c r="B4087">
        <v>105</v>
      </c>
      <c r="C4087" t="s">
        <v>557</v>
      </c>
      <c r="D4087" s="452">
        <v>45809</v>
      </c>
      <c r="E4087">
        <v>21085</v>
      </c>
      <c r="F4087" t="s">
        <v>5066</v>
      </c>
      <c r="G4087">
        <v>1989</v>
      </c>
      <c r="H4087">
        <v>1</v>
      </c>
      <c r="I4087" t="s">
        <v>4749</v>
      </c>
      <c r="J4087" t="s">
        <v>5191</v>
      </c>
      <c r="K4087" t="s">
        <v>4434</v>
      </c>
      <c r="L4087">
        <v>0</v>
      </c>
      <c r="M4087" s="452">
        <v>45733</v>
      </c>
      <c r="N4087">
        <v>22.56</v>
      </c>
      <c r="O4087">
        <v>18.690000000000001</v>
      </c>
      <c r="P4087">
        <v>22.56</v>
      </c>
    </row>
    <row r="4088" spans="1:16" x14ac:dyDescent="0.3">
      <c r="A4088">
        <v>38754</v>
      </c>
      <c r="B4088">
        <v>105</v>
      </c>
      <c r="C4088" t="s">
        <v>557</v>
      </c>
      <c r="D4088" s="452">
        <v>45809</v>
      </c>
      <c r="E4088">
        <v>19730</v>
      </c>
      <c r="F4088" t="s">
        <v>4961</v>
      </c>
      <c r="G4088">
        <v>2523</v>
      </c>
      <c r="H4088">
        <v>0.6</v>
      </c>
      <c r="I4088" t="s">
        <v>4744</v>
      </c>
      <c r="J4088" t="s">
        <v>5191</v>
      </c>
      <c r="K4088" t="s">
        <v>4434</v>
      </c>
      <c r="L4088">
        <v>37.340000000000003</v>
      </c>
      <c r="M4088" s="452">
        <v>45807</v>
      </c>
      <c r="N4088">
        <v>36</v>
      </c>
      <c r="O4088">
        <v>175.64</v>
      </c>
      <c r="P4088">
        <v>22.4</v>
      </c>
    </row>
    <row r="4089" spans="1:16" x14ac:dyDescent="0.3">
      <c r="A4089">
        <v>38701</v>
      </c>
      <c r="B4089">
        <v>105</v>
      </c>
      <c r="C4089" t="s">
        <v>557</v>
      </c>
      <c r="D4089" s="452">
        <v>45809</v>
      </c>
      <c r="E4089">
        <v>19434</v>
      </c>
      <c r="F4089" t="s">
        <v>5078</v>
      </c>
      <c r="G4089">
        <v>2757</v>
      </c>
      <c r="H4089">
        <v>1</v>
      </c>
      <c r="I4089" t="s">
        <v>4738</v>
      </c>
      <c r="J4089" t="s">
        <v>5191</v>
      </c>
      <c r="K4089" t="s">
        <v>4434</v>
      </c>
      <c r="L4089">
        <v>22.11</v>
      </c>
      <c r="M4089" s="452">
        <v>45807</v>
      </c>
      <c r="N4089">
        <v>22.19</v>
      </c>
      <c r="O4089">
        <v>22.19</v>
      </c>
      <c r="P4089">
        <v>22.11</v>
      </c>
    </row>
    <row r="4090" spans="1:16" x14ac:dyDescent="0.3">
      <c r="A4090">
        <v>38687</v>
      </c>
      <c r="B4090">
        <v>105</v>
      </c>
      <c r="C4090" t="s">
        <v>557</v>
      </c>
      <c r="D4090" s="452">
        <v>45809</v>
      </c>
      <c r="E4090">
        <v>20219</v>
      </c>
      <c r="F4090" t="s">
        <v>5445</v>
      </c>
      <c r="G4090">
        <v>2250</v>
      </c>
      <c r="H4090">
        <v>1</v>
      </c>
      <c r="I4090" t="s">
        <v>4738</v>
      </c>
      <c r="J4090" t="s">
        <v>5191</v>
      </c>
      <c r="K4090" t="s">
        <v>4434</v>
      </c>
      <c r="L4090">
        <v>0</v>
      </c>
      <c r="M4090" s="452">
        <v>45770</v>
      </c>
      <c r="N4090">
        <v>21.9</v>
      </c>
      <c r="O4090">
        <v>23.9</v>
      </c>
      <c r="P4090">
        <v>21.9</v>
      </c>
    </row>
    <row r="4091" spans="1:16" x14ac:dyDescent="0.3">
      <c r="A4091">
        <v>38869</v>
      </c>
      <c r="B4091">
        <v>105</v>
      </c>
      <c r="C4091" t="s">
        <v>557</v>
      </c>
      <c r="D4091" s="452">
        <v>45809</v>
      </c>
      <c r="E4091">
        <v>17721</v>
      </c>
      <c r="F4091" t="s">
        <v>4977</v>
      </c>
      <c r="G4091">
        <v>3818</v>
      </c>
      <c r="H4091">
        <v>2</v>
      </c>
      <c r="I4091" t="s">
        <v>4805</v>
      </c>
      <c r="J4091" t="s">
        <v>5222</v>
      </c>
      <c r="K4091" t="s">
        <v>4434</v>
      </c>
      <c r="L4091">
        <v>10.8</v>
      </c>
      <c r="M4091" s="452">
        <v>45790</v>
      </c>
      <c r="N4091">
        <v>10.8</v>
      </c>
      <c r="O4091">
        <v>10.8</v>
      </c>
      <c r="P4091">
        <v>21.6</v>
      </c>
    </row>
    <row r="4092" spans="1:16" x14ac:dyDescent="0.3">
      <c r="A4092">
        <v>38779</v>
      </c>
      <c r="B4092">
        <v>105</v>
      </c>
      <c r="C4092" t="s">
        <v>557</v>
      </c>
      <c r="D4092" s="452">
        <v>45809</v>
      </c>
      <c r="E4092">
        <v>25761</v>
      </c>
      <c r="F4092" t="s">
        <v>4789</v>
      </c>
      <c r="G4092">
        <v>6312</v>
      </c>
      <c r="H4092">
        <v>3</v>
      </c>
      <c r="I4092" t="s">
        <v>4736</v>
      </c>
      <c r="J4092" t="s">
        <v>5191</v>
      </c>
      <c r="K4092" t="s">
        <v>4434</v>
      </c>
      <c r="L4092">
        <v>0</v>
      </c>
      <c r="M4092" s="452">
        <v>-693593</v>
      </c>
      <c r="N4092">
        <v>0</v>
      </c>
      <c r="O4092">
        <v>0</v>
      </c>
      <c r="P4092">
        <v>20.97</v>
      </c>
    </row>
    <row r="4093" spans="1:16" x14ac:dyDescent="0.3">
      <c r="A4093">
        <v>38629</v>
      </c>
      <c r="B4093">
        <v>105</v>
      </c>
      <c r="C4093" t="s">
        <v>557</v>
      </c>
      <c r="D4093" s="452">
        <v>45809</v>
      </c>
      <c r="E4093">
        <v>19617</v>
      </c>
      <c r="F4093" t="s">
        <v>5071</v>
      </c>
      <c r="G4093">
        <v>2617</v>
      </c>
      <c r="H4093">
        <v>1.8</v>
      </c>
      <c r="I4093" t="s">
        <v>4744</v>
      </c>
      <c r="J4093" t="s">
        <v>5191</v>
      </c>
      <c r="K4093" t="s">
        <v>4434</v>
      </c>
      <c r="L4093">
        <v>11.42</v>
      </c>
      <c r="M4093" s="452">
        <v>45807</v>
      </c>
      <c r="N4093">
        <v>10</v>
      </c>
      <c r="O4093">
        <v>9.76</v>
      </c>
      <c r="P4093">
        <v>20.56</v>
      </c>
    </row>
    <row r="4094" spans="1:16" x14ac:dyDescent="0.3">
      <c r="A4094">
        <v>38768</v>
      </c>
      <c r="B4094">
        <v>105</v>
      </c>
      <c r="C4094" t="s">
        <v>557</v>
      </c>
      <c r="D4094" s="452">
        <v>45809</v>
      </c>
      <c r="E4094">
        <v>19936</v>
      </c>
      <c r="F4094" t="s">
        <v>5508</v>
      </c>
      <c r="G4094">
        <v>2367</v>
      </c>
      <c r="H4094">
        <v>1.57</v>
      </c>
      <c r="I4094" t="s">
        <v>4744</v>
      </c>
      <c r="J4094" t="s">
        <v>5191</v>
      </c>
      <c r="K4094" t="s">
        <v>4434</v>
      </c>
      <c r="L4094">
        <v>0</v>
      </c>
      <c r="M4094" s="452">
        <v>45763</v>
      </c>
      <c r="N4094">
        <v>12.92</v>
      </c>
      <c r="O4094">
        <v>12.92</v>
      </c>
      <c r="P4094">
        <v>20.28</v>
      </c>
    </row>
    <row r="4095" spans="1:16" x14ac:dyDescent="0.3">
      <c r="A4095">
        <v>38557</v>
      </c>
      <c r="B4095">
        <v>105</v>
      </c>
      <c r="C4095" t="s">
        <v>557</v>
      </c>
      <c r="D4095" s="452">
        <v>45809</v>
      </c>
      <c r="E4095">
        <v>24046</v>
      </c>
      <c r="F4095" t="s">
        <v>5454</v>
      </c>
      <c r="G4095">
        <v>2315</v>
      </c>
      <c r="H4095">
        <v>0.27</v>
      </c>
      <c r="I4095" t="s">
        <v>4744</v>
      </c>
      <c r="J4095" t="s">
        <v>5191</v>
      </c>
      <c r="K4095" t="s">
        <v>4434</v>
      </c>
      <c r="L4095">
        <v>0</v>
      </c>
      <c r="M4095" s="452">
        <v>-693593</v>
      </c>
      <c r="N4095">
        <v>0</v>
      </c>
      <c r="O4095">
        <v>75</v>
      </c>
      <c r="P4095">
        <v>20.25</v>
      </c>
    </row>
    <row r="4096" spans="1:16" x14ac:dyDescent="0.3">
      <c r="A4096">
        <v>38858</v>
      </c>
      <c r="B4096">
        <v>105</v>
      </c>
      <c r="C4096" t="s">
        <v>557</v>
      </c>
      <c r="D4096" s="452">
        <v>45809</v>
      </c>
      <c r="E4096">
        <v>20961</v>
      </c>
      <c r="F4096" t="s">
        <v>5026</v>
      </c>
      <c r="G4096">
        <v>2015</v>
      </c>
      <c r="H4096">
        <v>3</v>
      </c>
      <c r="I4096" t="s">
        <v>4736</v>
      </c>
      <c r="J4096" t="s">
        <v>5191</v>
      </c>
      <c r="K4096" t="s">
        <v>4434</v>
      </c>
      <c r="L4096">
        <v>6.73</v>
      </c>
      <c r="M4096" s="452">
        <v>45807</v>
      </c>
      <c r="N4096">
        <v>6.73</v>
      </c>
      <c r="O4096">
        <v>6.73</v>
      </c>
      <c r="P4096">
        <v>20.190000000000001</v>
      </c>
    </row>
    <row r="4097" spans="1:16" x14ac:dyDescent="0.3">
      <c r="A4097">
        <v>38828</v>
      </c>
      <c r="B4097">
        <v>105</v>
      </c>
      <c r="C4097" t="s">
        <v>557</v>
      </c>
      <c r="D4097" s="452">
        <v>45809</v>
      </c>
      <c r="E4097">
        <v>24467</v>
      </c>
      <c r="F4097" t="s">
        <v>4766</v>
      </c>
      <c r="G4097">
        <v>3673</v>
      </c>
      <c r="H4097">
        <v>10</v>
      </c>
      <c r="I4097" t="s">
        <v>4736</v>
      </c>
      <c r="J4097" t="s">
        <v>5222</v>
      </c>
      <c r="K4097" t="s">
        <v>4434</v>
      </c>
      <c r="L4097">
        <v>0</v>
      </c>
      <c r="M4097" s="452">
        <v>45520</v>
      </c>
      <c r="N4097">
        <v>1.99</v>
      </c>
      <c r="O4097">
        <v>2.19</v>
      </c>
      <c r="P4097">
        <v>19.899999999999999</v>
      </c>
    </row>
    <row r="4098" spans="1:16" x14ac:dyDescent="0.3">
      <c r="A4098">
        <v>38668</v>
      </c>
      <c r="B4098">
        <v>105</v>
      </c>
      <c r="C4098" t="s">
        <v>557</v>
      </c>
      <c r="D4098" s="452">
        <v>45809</v>
      </c>
      <c r="E4098">
        <v>20322</v>
      </c>
      <c r="F4098" t="s">
        <v>4882</v>
      </c>
      <c r="G4098">
        <v>2212</v>
      </c>
      <c r="H4098">
        <v>2</v>
      </c>
      <c r="I4098" t="s">
        <v>4738</v>
      </c>
      <c r="J4098" t="s">
        <v>5191</v>
      </c>
      <c r="K4098" t="s">
        <v>4434</v>
      </c>
      <c r="L4098">
        <v>9.89</v>
      </c>
      <c r="M4098" s="452">
        <v>45790</v>
      </c>
      <c r="N4098">
        <v>9.89</v>
      </c>
      <c r="O4098">
        <v>9.64</v>
      </c>
      <c r="P4098">
        <v>19.78</v>
      </c>
    </row>
    <row r="4099" spans="1:16" x14ac:dyDescent="0.3">
      <c r="A4099">
        <v>38795</v>
      </c>
      <c r="B4099">
        <v>105</v>
      </c>
      <c r="C4099" t="s">
        <v>557</v>
      </c>
      <c r="D4099" s="452">
        <v>45809</v>
      </c>
      <c r="E4099">
        <v>19572</v>
      </c>
      <c r="F4099" t="s">
        <v>4989</v>
      </c>
      <c r="G4099">
        <v>2646</v>
      </c>
      <c r="H4099">
        <v>1</v>
      </c>
      <c r="I4099" t="s">
        <v>4744</v>
      </c>
      <c r="J4099" t="s">
        <v>5191</v>
      </c>
      <c r="K4099" t="s">
        <v>4434</v>
      </c>
      <c r="L4099">
        <v>19.649999999999999</v>
      </c>
      <c r="M4099" s="452">
        <v>45793</v>
      </c>
      <c r="N4099">
        <v>19.5</v>
      </c>
      <c r="O4099">
        <v>18.739999999999998</v>
      </c>
      <c r="P4099">
        <v>19.649999999999999</v>
      </c>
    </row>
    <row r="4100" spans="1:16" x14ac:dyDescent="0.3">
      <c r="A4100">
        <v>38734</v>
      </c>
      <c r="B4100">
        <v>105</v>
      </c>
      <c r="C4100" t="s">
        <v>557</v>
      </c>
      <c r="D4100" s="452">
        <v>45809</v>
      </c>
      <c r="E4100">
        <v>19602</v>
      </c>
      <c r="F4100" t="s">
        <v>4782</v>
      </c>
      <c r="G4100">
        <v>2627</v>
      </c>
      <c r="H4100">
        <v>3</v>
      </c>
      <c r="I4100" t="s">
        <v>4744</v>
      </c>
      <c r="J4100" t="s">
        <v>5191</v>
      </c>
      <c r="K4100" t="s">
        <v>4434</v>
      </c>
      <c r="L4100">
        <v>6.52</v>
      </c>
      <c r="M4100" s="452">
        <v>45807</v>
      </c>
      <c r="N4100">
        <v>6.9</v>
      </c>
      <c r="O4100">
        <v>22.69</v>
      </c>
      <c r="P4100">
        <v>19.559999999999999</v>
      </c>
    </row>
    <row r="4101" spans="1:16" x14ac:dyDescent="0.3">
      <c r="A4101">
        <v>38583</v>
      </c>
      <c r="B4101">
        <v>105</v>
      </c>
      <c r="C4101" t="s">
        <v>557</v>
      </c>
      <c r="D4101" s="452">
        <v>45809</v>
      </c>
      <c r="E4101">
        <v>24089</v>
      </c>
      <c r="F4101" t="s">
        <v>4931</v>
      </c>
      <c r="G4101">
        <v>2316</v>
      </c>
      <c r="H4101">
        <v>2.19</v>
      </c>
      <c r="I4101" t="s">
        <v>4744</v>
      </c>
      <c r="J4101" t="s">
        <v>5191</v>
      </c>
      <c r="K4101" t="s">
        <v>4434</v>
      </c>
      <c r="L4101">
        <v>0</v>
      </c>
      <c r="M4101" s="452">
        <v>45757</v>
      </c>
      <c r="N4101">
        <v>8.9</v>
      </c>
      <c r="O4101">
        <v>9</v>
      </c>
      <c r="P4101">
        <v>19.489999999999998</v>
      </c>
    </row>
    <row r="4102" spans="1:16" x14ac:dyDescent="0.3">
      <c r="A4102">
        <v>38771</v>
      </c>
      <c r="B4102">
        <v>105</v>
      </c>
      <c r="C4102" t="s">
        <v>557</v>
      </c>
      <c r="D4102" s="452">
        <v>45809</v>
      </c>
      <c r="E4102">
        <v>19589</v>
      </c>
      <c r="F4102" t="s">
        <v>4983</v>
      </c>
      <c r="G4102">
        <v>2637</v>
      </c>
      <c r="H4102">
        <v>4.18</v>
      </c>
      <c r="I4102" t="s">
        <v>4744</v>
      </c>
      <c r="J4102" t="s">
        <v>5191</v>
      </c>
      <c r="K4102" t="s">
        <v>4434</v>
      </c>
      <c r="L4102">
        <v>4.47</v>
      </c>
      <c r="M4102" s="452">
        <v>45807</v>
      </c>
      <c r="N4102">
        <v>4</v>
      </c>
      <c r="O4102">
        <v>3.7</v>
      </c>
      <c r="P4102">
        <v>18.68</v>
      </c>
    </row>
    <row r="4103" spans="1:16" x14ac:dyDescent="0.3">
      <c r="A4103">
        <v>38533</v>
      </c>
      <c r="B4103">
        <v>105</v>
      </c>
      <c r="C4103" t="s">
        <v>557</v>
      </c>
      <c r="D4103" s="452">
        <v>45809</v>
      </c>
      <c r="E4103">
        <v>21093</v>
      </c>
      <c r="F4103" t="s">
        <v>4855</v>
      </c>
      <c r="G4103">
        <v>1988</v>
      </c>
      <c r="H4103">
        <v>4</v>
      </c>
      <c r="I4103" t="s">
        <v>4744</v>
      </c>
      <c r="J4103" t="s">
        <v>5191</v>
      </c>
      <c r="K4103" t="s">
        <v>4434</v>
      </c>
      <c r="L4103">
        <v>4.5</v>
      </c>
      <c r="M4103" s="452">
        <v>45790</v>
      </c>
      <c r="N4103">
        <v>4.5</v>
      </c>
      <c r="O4103">
        <v>4.95</v>
      </c>
      <c r="P4103">
        <v>18</v>
      </c>
    </row>
    <row r="4104" spans="1:16" x14ac:dyDescent="0.3">
      <c r="A4104">
        <v>38762</v>
      </c>
      <c r="B4104">
        <v>105</v>
      </c>
      <c r="C4104" t="s">
        <v>557</v>
      </c>
      <c r="D4104" s="452">
        <v>45809</v>
      </c>
      <c r="E4104">
        <v>17032</v>
      </c>
      <c r="F4104" t="s">
        <v>5509</v>
      </c>
      <c r="G4104">
        <v>2366</v>
      </c>
      <c r="H4104">
        <v>1.39</v>
      </c>
      <c r="I4104" t="s">
        <v>4744</v>
      </c>
      <c r="J4104" t="s">
        <v>5191</v>
      </c>
      <c r="K4104" t="s">
        <v>4434</v>
      </c>
      <c r="L4104">
        <v>0</v>
      </c>
      <c r="M4104" s="452">
        <v>45757</v>
      </c>
      <c r="N4104">
        <v>12.94</v>
      </c>
      <c r="O4104">
        <v>22.9</v>
      </c>
      <c r="P4104">
        <v>17.989999999999998</v>
      </c>
    </row>
    <row r="4105" spans="1:16" x14ac:dyDescent="0.3">
      <c r="A4105">
        <v>38532</v>
      </c>
      <c r="B4105">
        <v>105</v>
      </c>
      <c r="C4105" t="s">
        <v>557</v>
      </c>
      <c r="D4105" s="452">
        <v>45809</v>
      </c>
      <c r="E4105">
        <v>21098</v>
      </c>
      <c r="F4105" t="s">
        <v>5511</v>
      </c>
      <c r="G4105">
        <v>1987</v>
      </c>
      <c r="H4105">
        <v>1</v>
      </c>
      <c r="I4105" t="s">
        <v>4738</v>
      </c>
      <c r="J4105" t="s">
        <v>5191</v>
      </c>
      <c r="K4105" t="s">
        <v>4434</v>
      </c>
      <c r="L4105">
        <v>0</v>
      </c>
      <c r="M4105" s="452">
        <v>-693593</v>
      </c>
      <c r="N4105">
        <v>0</v>
      </c>
      <c r="O4105">
        <v>13.31</v>
      </c>
      <c r="P4105">
        <v>17.03</v>
      </c>
    </row>
    <row r="4106" spans="1:16" x14ac:dyDescent="0.3">
      <c r="A4106">
        <v>38641</v>
      </c>
      <c r="B4106">
        <v>105</v>
      </c>
      <c r="C4106" t="s">
        <v>557</v>
      </c>
      <c r="D4106" s="452">
        <v>45809</v>
      </c>
      <c r="E4106">
        <v>19613</v>
      </c>
      <c r="F4106" t="s">
        <v>5062</v>
      </c>
      <c r="G4106">
        <v>2620</v>
      </c>
      <c r="H4106">
        <v>2.5</v>
      </c>
      <c r="I4106" t="s">
        <v>4744</v>
      </c>
      <c r="J4106" t="s">
        <v>5191</v>
      </c>
      <c r="K4106" t="s">
        <v>4434</v>
      </c>
      <c r="L4106">
        <v>6.65</v>
      </c>
      <c r="M4106" s="452">
        <v>45807</v>
      </c>
      <c r="N4106">
        <v>5</v>
      </c>
      <c r="O4106">
        <v>21.67</v>
      </c>
      <c r="P4106">
        <v>16.62</v>
      </c>
    </row>
    <row r="4107" spans="1:16" x14ac:dyDescent="0.3">
      <c r="A4107">
        <v>38727</v>
      </c>
      <c r="B4107">
        <v>105</v>
      </c>
      <c r="C4107" t="s">
        <v>557</v>
      </c>
      <c r="D4107" s="452">
        <v>45809</v>
      </c>
      <c r="E4107">
        <v>19743</v>
      </c>
      <c r="F4107" t="s">
        <v>5047</v>
      </c>
      <c r="G4107">
        <v>2510</v>
      </c>
      <c r="H4107">
        <v>1.19</v>
      </c>
      <c r="I4107" t="s">
        <v>4744</v>
      </c>
      <c r="J4107" t="s">
        <v>5191</v>
      </c>
      <c r="K4107" t="s">
        <v>4434</v>
      </c>
      <c r="L4107">
        <v>13.67</v>
      </c>
      <c r="M4107" s="452">
        <v>45807</v>
      </c>
      <c r="N4107">
        <v>14</v>
      </c>
      <c r="O4107">
        <v>14</v>
      </c>
      <c r="P4107">
        <v>16.27</v>
      </c>
    </row>
    <row r="4108" spans="1:16" x14ac:dyDescent="0.3">
      <c r="A4108">
        <v>38528</v>
      </c>
      <c r="B4108">
        <v>105</v>
      </c>
      <c r="C4108" t="s">
        <v>557</v>
      </c>
      <c r="D4108" s="452">
        <v>45809</v>
      </c>
      <c r="E4108">
        <v>19654</v>
      </c>
      <c r="F4108" t="s">
        <v>5099</v>
      </c>
      <c r="G4108">
        <v>2586</v>
      </c>
      <c r="H4108">
        <v>5.6</v>
      </c>
      <c r="I4108" t="s">
        <v>4744</v>
      </c>
      <c r="J4108" t="s">
        <v>5191</v>
      </c>
      <c r="K4108" t="s">
        <v>4434</v>
      </c>
      <c r="L4108">
        <v>2.87</v>
      </c>
      <c r="M4108" s="452">
        <v>45807</v>
      </c>
      <c r="N4108">
        <v>1.95</v>
      </c>
      <c r="O4108">
        <v>2.62</v>
      </c>
      <c r="P4108">
        <v>16.07</v>
      </c>
    </row>
    <row r="4109" spans="1:16" x14ac:dyDescent="0.3">
      <c r="A4109">
        <v>38644</v>
      </c>
      <c r="B4109">
        <v>105</v>
      </c>
      <c r="C4109" t="s">
        <v>557</v>
      </c>
      <c r="D4109" s="452">
        <v>45809</v>
      </c>
      <c r="E4109">
        <v>20034</v>
      </c>
      <c r="F4109" t="s">
        <v>5065</v>
      </c>
      <c r="G4109">
        <v>2333</v>
      </c>
      <c r="H4109">
        <v>0.25</v>
      </c>
      <c r="I4109" t="s">
        <v>4744</v>
      </c>
      <c r="J4109" t="s">
        <v>5191</v>
      </c>
      <c r="K4109" t="s">
        <v>4434</v>
      </c>
      <c r="L4109">
        <v>0</v>
      </c>
      <c r="M4109" s="452">
        <v>-693593</v>
      </c>
      <c r="N4109">
        <v>0</v>
      </c>
      <c r="O4109">
        <v>63.06</v>
      </c>
      <c r="P4109">
        <v>15.76</v>
      </c>
    </row>
    <row r="4110" spans="1:16" x14ac:dyDescent="0.3">
      <c r="A4110">
        <v>38541</v>
      </c>
      <c r="B4110">
        <v>105</v>
      </c>
      <c r="C4110" t="s">
        <v>557</v>
      </c>
      <c r="D4110" s="452">
        <v>45809</v>
      </c>
      <c r="E4110">
        <v>24029</v>
      </c>
      <c r="F4110" t="s">
        <v>4756</v>
      </c>
      <c r="G4110">
        <v>3591</v>
      </c>
      <c r="H4110">
        <v>7</v>
      </c>
      <c r="I4110" t="s">
        <v>4736</v>
      </c>
      <c r="J4110" t="s">
        <v>5222</v>
      </c>
      <c r="K4110" t="s">
        <v>4434</v>
      </c>
      <c r="L4110">
        <v>0</v>
      </c>
      <c r="M4110" s="452">
        <v>45546</v>
      </c>
      <c r="N4110">
        <v>2.19</v>
      </c>
      <c r="O4110">
        <v>2.19</v>
      </c>
      <c r="P4110">
        <v>15.33</v>
      </c>
    </row>
    <row r="4111" spans="1:16" x14ac:dyDescent="0.3">
      <c r="A4111">
        <v>38822</v>
      </c>
      <c r="B4111">
        <v>105</v>
      </c>
      <c r="C4111" t="s">
        <v>557</v>
      </c>
      <c r="D4111" s="452">
        <v>45809</v>
      </c>
      <c r="E4111">
        <v>19907</v>
      </c>
      <c r="F4111" t="s">
        <v>4802</v>
      </c>
      <c r="G4111">
        <v>2381</v>
      </c>
      <c r="H4111">
        <v>5</v>
      </c>
      <c r="I4111" t="s">
        <v>4736</v>
      </c>
      <c r="J4111" t="s">
        <v>5191</v>
      </c>
      <c r="K4111" t="s">
        <v>4434</v>
      </c>
      <c r="L4111">
        <v>0</v>
      </c>
      <c r="M4111" s="452">
        <v>45660</v>
      </c>
      <c r="N4111">
        <v>3.05</v>
      </c>
      <c r="O4111">
        <v>3.01</v>
      </c>
      <c r="P4111">
        <v>15.25</v>
      </c>
    </row>
    <row r="4112" spans="1:16" x14ac:dyDescent="0.3">
      <c r="A4112">
        <v>38603</v>
      </c>
      <c r="B4112">
        <v>105</v>
      </c>
      <c r="C4112" t="s">
        <v>557</v>
      </c>
      <c r="D4112" s="452">
        <v>45809</v>
      </c>
      <c r="E4112">
        <v>19490</v>
      </c>
      <c r="F4112" t="s">
        <v>5116</v>
      </c>
      <c r="G4112">
        <v>2718</v>
      </c>
      <c r="H4112">
        <v>0.4</v>
      </c>
      <c r="I4112" t="s">
        <v>4744</v>
      </c>
      <c r="J4112" t="s">
        <v>5191</v>
      </c>
      <c r="K4112" t="s">
        <v>4434</v>
      </c>
      <c r="L4112">
        <v>36.47</v>
      </c>
      <c r="M4112" s="452">
        <v>45800</v>
      </c>
      <c r="N4112">
        <v>36.4</v>
      </c>
      <c r="O4112">
        <v>36.4</v>
      </c>
      <c r="P4112">
        <v>14.59</v>
      </c>
    </row>
    <row r="4113" spans="1:16" x14ac:dyDescent="0.3">
      <c r="A4113">
        <v>38808</v>
      </c>
      <c r="B4113">
        <v>105</v>
      </c>
      <c r="C4113" t="s">
        <v>557</v>
      </c>
      <c r="D4113" s="452">
        <v>45809</v>
      </c>
      <c r="E4113">
        <v>24444</v>
      </c>
      <c r="F4113" t="s">
        <v>4992</v>
      </c>
      <c r="G4113">
        <v>2784</v>
      </c>
      <c r="H4113">
        <v>0.76</v>
      </c>
      <c r="I4113" t="s">
        <v>4744</v>
      </c>
      <c r="J4113" t="s">
        <v>5191</v>
      </c>
      <c r="K4113" t="s">
        <v>4434</v>
      </c>
      <c r="L4113">
        <v>0</v>
      </c>
      <c r="M4113" s="452">
        <v>45392</v>
      </c>
      <c r="N4113">
        <v>18.95</v>
      </c>
      <c r="O4113">
        <v>22</v>
      </c>
      <c r="P4113">
        <v>14.4</v>
      </c>
    </row>
    <row r="4114" spans="1:16" x14ac:dyDescent="0.3">
      <c r="A4114">
        <v>38614</v>
      </c>
      <c r="B4114">
        <v>105</v>
      </c>
      <c r="C4114" t="s">
        <v>557</v>
      </c>
      <c r="D4114" s="452">
        <v>45809</v>
      </c>
      <c r="E4114">
        <v>20716</v>
      </c>
      <c r="F4114" t="s">
        <v>5053</v>
      </c>
      <c r="G4114">
        <v>2098</v>
      </c>
      <c r="H4114">
        <v>0.12</v>
      </c>
      <c r="I4114" t="s">
        <v>4744</v>
      </c>
      <c r="J4114" t="s">
        <v>5191</v>
      </c>
      <c r="K4114" t="s">
        <v>4434</v>
      </c>
      <c r="L4114">
        <v>0</v>
      </c>
      <c r="M4114" s="452">
        <v>-693593</v>
      </c>
      <c r="N4114">
        <v>0</v>
      </c>
      <c r="O4114">
        <v>0</v>
      </c>
      <c r="P4114">
        <v>14.34</v>
      </c>
    </row>
    <row r="4115" spans="1:16" x14ac:dyDescent="0.3">
      <c r="A4115">
        <v>38731</v>
      </c>
      <c r="B4115">
        <v>105</v>
      </c>
      <c r="C4115" t="s">
        <v>557</v>
      </c>
      <c r="D4115" s="452">
        <v>45809</v>
      </c>
      <c r="E4115">
        <v>20127</v>
      </c>
      <c r="F4115" t="s">
        <v>5350</v>
      </c>
      <c r="G4115">
        <v>2288</v>
      </c>
      <c r="H4115">
        <v>2</v>
      </c>
      <c r="I4115" t="s">
        <v>4738</v>
      </c>
      <c r="J4115" t="s">
        <v>5191</v>
      </c>
      <c r="K4115" t="s">
        <v>4434</v>
      </c>
      <c r="L4115">
        <v>0</v>
      </c>
      <c r="M4115" s="452">
        <v>45610</v>
      </c>
      <c r="N4115">
        <v>6.8</v>
      </c>
      <c r="O4115">
        <v>6.8</v>
      </c>
      <c r="P4115">
        <v>13.6</v>
      </c>
    </row>
    <row r="4116" spans="1:16" x14ac:dyDescent="0.3">
      <c r="A4116">
        <v>38613</v>
      </c>
      <c r="B4116">
        <v>105</v>
      </c>
      <c r="C4116" t="s">
        <v>557</v>
      </c>
      <c r="D4116" s="452">
        <v>45809</v>
      </c>
      <c r="E4116">
        <v>19621</v>
      </c>
      <c r="F4116" t="s">
        <v>4829</v>
      </c>
      <c r="G4116">
        <v>2613</v>
      </c>
      <c r="H4116">
        <v>4.12</v>
      </c>
      <c r="I4116" t="s">
        <v>4744</v>
      </c>
      <c r="J4116" t="s">
        <v>5191</v>
      </c>
      <c r="K4116" t="s">
        <v>4434</v>
      </c>
      <c r="L4116">
        <v>3.26</v>
      </c>
      <c r="M4116" s="452">
        <v>45807</v>
      </c>
      <c r="N4116">
        <v>2.85</v>
      </c>
      <c r="O4116">
        <v>2.84</v>
      </c>
      <c r="P4116">
        <v>13.43</v>
      </c>
    </row>
    <row r="4117" spans="1:16" x14ac:dyDescent="0.3">
      <c r="A4117">
        <v>38581</v>
      </c>
      <c r="B4117">
        <v>105</v>
      </c>
      <c r="C4117" t="s">
        <v>557</v>
      </c>
      <c r="D4117" s="452">
        <v>45809</v>
      </c>
      <c r="E4117">
        <v>19634</v>
      </c>
      <c r="F4117" t="s">
        <v>4792</v>
      </c>
      <c r="G4117">
        <v>2602</v>
      </c>
      <c r="H4117">
        <v>2.95</v>
      </c>
      <c r="I4117" t="s">
        <v>4744</v>
      </c>
      <c r="J4117" t="s">
        <v>5191</v>
      </c>
      <c r="K4117" t="s">
        <v>4434</v>
      </c>
      <c r="L4117">
        <v>4.42</v>
      </c>
      <c r="M4117" s="452">
        <v>45807</v>
      </c>
      <c r="N4117">
        <v>3.5</v>
      </c>
      <c r="O4117">
        <v>3.39</v>
      </c>
      <c r="P4117">
        <v>13.04</v>
      </c>
    </row>
    <row r="4118" spans="1:16" x14ac:dyDescent="0.3">
      <c r="A4118">
        <v>38849</v>
      </c>
      <c r="B4118">
        <v>105</v>
      </c>
      <c r="C4118" t="s">
        <v>557</v>
      </c>
      <c r="D4118" s="452">
        <v>45809</v>
      </c>
      <c r="E4118">
        <v>19463</v>
      </c>
      <c r="F4118" t="s">
        <v>5117</v>
      </c>
      <c r="G4118">
        <v>2739</v>
      </c>
      <c r="H4118">
        <v>0.25</v>
      </c>
      <c r="I4118" t="s">
        <v>4744</v>
      </c>
      <c r="J4118" t="s">
        <v>5191</v>
      </c>
      <c r="K4118" t="s">
        <v>4434</v>
      </c>
      <c r="L4118">
        <v>52.08</v>
      </c>
      <c r="M4118" s="452">
        <v>45807</v>
      </c>
      <c r="N4118">
        <v>50</v>
      </c>
      <c r="O4118">
        <v>53.57</v>
      </c>
      <c r="P4118">
        <v>13.02</v>
      </c>
    </row>
    <row r="4119" spans="1:16" x14ac:dyDescent="0.3">
      <c r="A4119">
        <v>38582</v>
      </c>
      <c r="B4119">
        <v>105</v>
      </c>
      <c r="C4119" t="s">
        <v>557</v>
      </c>
      <c r="D4119" s="452">
        <v>45809</v>
      </c>
      <c r="E4119">
        <v>19632</v>
      </c>
      <c r="F4119" t="s">
        <v>4936</v>
      </c>
      <c r="G4119">
        <v>2604</v>
      </c>
      <c r="H4119">
        <v>4.32</v>
      </c>
      <c r="I4119" t="s">
        <v>4744</v>
      </c>
      <c r="J4119" t="s">
        <v>5191</v>
      </c>
      <c r="K4119" t="s">
        <v>4434</v>
      </c>
      <c r="L4119">
        <v>2.94</v>
      </c>
      <c r="M4119" s="452">
        <v>45807</v>
      </c>
      <c r="N4119">
        <v>2.8</v>
      </c>
      <c r="O4119">
        <v>2.8</v>
      </c>
      <c r="P4119">
        <v>12.7</v>
      </c>
    </row>
    <row r="4120" spans="1:16" x14ac:dyDescent="0.3">
      <c r="A4120">
        <v>38636</v>
      </c>
      <c r="B4120">
        <v>105</v>
      </c>
      <c r="C4120" t="s">
        <v>557</v>
      </c>
      <c r="D4120" s="452">
        <v>45809</v>
      </c>
      <c r="E4120">
        <v>24192</v>
      </c>
      <c r="F4120" t="s">
        <v>4772</v>
      </c>
      <c r="G4120">
        <v>3099</v>
      </c>
      <c r="H4120">
        <v>2</v>
      </c>
      <c r="I4120" t="s">
        <v>4736</v>
      </c>
      <c r="J4120" t="s">
        <v>5222</v>
      </c>
      <c r="K4120" t="s">
        <v>4434</v>
      </c>
      <c r="L4120">
        <v>0</v>
      </c>
      <c r="M4120" s="452">
        <v>45679</v>
      </c>
      <c r="N4120">
        <v>6.12</v>
      </c>
      <c r="O4120">
        <v>6.12</v>
      </c>
      <c r="P4120">
        <v>12.24</v>
      </c>
    </row>
    <row r="4121" spans="1:16" x14ac:dyDescent="0.3">
      <c r="A4121">
        <v>38747</v>
      </c>
      <c r="B4121">
        <v>105</v>
      </c>
      <c r="C4121" t="s">
        <v>557</v>
      </c>
      <c r="D4121" s="452">
        <v>45809</v>
      </c>
      <c r="E4121">
        <v>24674</v>
      </c>
      <c r="F4121" t="s">
        <v>5060</v>
      </c>
      <c r="G4121">
        <v>5709</v>
      </c>
      <c r="H4121">
        <v>15</v>
      </c>
      <c r="I4121" t="s">
        <v>4744</v>
      </c>
      <c r="J4121" t="s">
        <v>5191</v>
      </c>
      <c r="K4121" t="s">
        <v>4434</v>
      </c>
      <c r="L4121">
        <v>0</v>
      </c>
      <c r="M4121" s="452">
        <v>-693593</v>
      </c>
      <c r="N4121">
        <v>0</v>
      </c>
      <c r="O4121">
        <v>0.8</v>
      </c>
      <c r="P4121">
        <v>12</v>
      </c>
    </row>
    <row r="4122" spans="1:16" x14ac:dyDescent="0.3">
      <c r="A4122">
        <v>38794</v>
      </c>
      <c r="B4122">
        <v>105</v>
      </c>
      <c r="C4122" t="s">
        <v>557</v>
      </c>
      <c r="D4122" s="452">
        <v>45809</v>
      </c>
      <c r="E4122">
        <v>19575</v>
      </c>
      <c r="F4122" t="s">
        <v>5120</v>
      </c>
      <c r="G4122">
        <v>2643</v>
      </c>
      <c r="H4122">
        <v>0.4</v>
      </c>
      <c r="I4122" t="s">
        <v>4744</v>
      </c>
      <c r="J4122" t="s">
        <v>5191</v>
      </c>
      <c r="K4122" t="s">
        <v>4434</v>
      </c>
      <c r="L4122">
        <v>0</v>
      </c>
      <c r="M4122" s="452">
        <v>45777</v>
      </c>
      <c r="N4122">
        <v>30</v>
      </c>
      <c r="O4122">
        <v>27.25</v>
      </c>
      <c r="P4122">
        <v>12</v>
      </c>
    </row>
    <row r="4123" spans="1:16" x14ac:dyDescent="0.3">
      <c r="A4123">
        <v>38815</v>
      </c>
      <c r="B4123">
        <v>105</v>
      </c>
      <c r="C4123" t="s">
        <v>557</v>
      </c>
      <c r="D4123" s="452">
        <v>45809</v>
      </c>
      <c r="E4123">
        <v>19553</v>
      </c>
      <c r="F4123" t="s">
        <v>4868</v>
      </c>
      <c r="G4123">
        <v>2663</v>
      </c>
      <c r="H4123">
        <v>4.8</v>
      </c>
      <c r="I4123" t="s">
        <v>4744</v>
      </c>
      <c r="J4123" t="s">
        <v>5191</v>
      </c>
      <c r="K4123" t="s">
        <v>4434</v>
      </c>
      <c r="L4123">
        <v>2.5</v>
      </c>
      <c r="M4123" s="452">
        <v>45807</v>
      </c>
      <c r="N4123">
        <v>2.5</v>
      </c>
      <c r="O4123">
        <v>2.5</v>
      </c>
      <c r="P4123">
        <v>12</v>
      </c>
    </row>
    <row r="4124" spans="1:16" x14ac:dyDescent="0.3">
      <c r="A4124">
        <v>38610</v>
      </c>
      <c r="B4124">
        <v>105</v>
      </c>
      <c r="C4124" t="s">
        <v>557</v>
      </c>
      <c r="D4124" s="452">
        <v>45809</v>
      </c>
      <c r="E4124">
        <v>19622</v>
      </c>
      <c r="F4124" t="s">
        <v>4915</v>
      </c>
      <c r="G4124">
        <v>2612</v>
      </c>
      <c r="H4124">
        <v>2.68</v>
      </c>
      <c r="I4124" t="s">
        <v>4744</v>
      </c>
      <c r="J4124" t="s">
        <v>5191</v>
      </c>
      <c r="K4124" t="s">
        <v>4434</v>
      </c>
      <c r="L4124">
        <v>4.25</v>
      </c>
      <c r="M4124" s="452">
        <v>45793</v>
      </c>
      <c r="N4124">
        <v>4.16</v>
      </c>
      <c r="O4124">
        <v>4.0999999999999996</v>
      </c>
      <c r="P4124">
        <v>11.39</v>
      </c>
    </row>
    <row r="4125" spans="1:16" x14ac:dyDescent="0.3">
      <c r="A4125">
        <v>38862</v>
      </c>
      <c r="B4125">
        <v>105</v>
      </c>
      <c r="C4125" t="s">
        <v>557</v>
      </c>
      <c r="D4125" s="452">
        <v>45809</v>
      </c>
      <c r="E4125">
        <v>20955</v>
      </c>
      <c r="F4125" t="s">
        <v>4959</v>
      </c>
      <c r="G4125">
        <v>2019</v>
      </c>
      <c r="H4125">
        <v>1</v>
      </c>
      <c r="I4125" t="s">
        <v>4805</v>
      </c>
      <c r="J4125" t="s">
        <v>5191</v>
      </c>
      <c r="K4125" t="s">
        <v>4434</v>
      </c>
      <c r="L4125">
        <v>11.2</v>
      </c>
      <c r="M4125" s="452">
        <v>45790</v>
      </c>
      <c r="N4125">
        <v>11.2</v>
      </c>
      <c r="O4125">
        <v>10.35</v>
      </c>
      <c r="P4125">
        <v>11.2</v>
      </c>
    </row>
    <row r="4126" spans="1:16" x14ac:dyDescent="0.3">
      <c r="A4126">
        <v>38758</v>
      </c>
      <c r="B4126">
        <v>105</v>
      </c>
      <c r="C4126" t="s">
        <v>557</v>
      </c>
      <c r="D4126" s="452">
        <v>45809</v>
      </c>
      <c r="E4126">
        <v>27091</v>
      </c>
      <c r="F4126" t="s">
        <v>5526</v>
      </c>
      <c r="G4126">
        <v>2304</v>
      </c>
      <c r="H4126">
        <v>0.9</v>
      </c>
      <c r="I4126" t="s">
        <v>4744</v>
      </c>
      <c r="J4126" t="s">
        <v>5191</v>
      </c>
      <c r="K4126" t="s">
        <v>4434</v>
      </c>
      <c r="L4126">
        <v>0</v>
      </c>
      <c r="N4126">
        <v>0</v>
      </c>
      <c r="O4126">
        <v>0</v>
      </c>
      <c r="P4126">
        <v>10.98</v>
      </c>
    </row>
    <row r="4127" spans="1:16" x14ac:dyDescent="0.3">
      <c r="A4127">
        <v>38792</v>
      </c>
      <c r="B4127">
        <v>105</v>
      </c>
      <c r="C4127" t="s">
        <v>557</v>
      </c>
      <c r="D4127" s="452">
        <v>45809</v>
      </c>
      <c r="E4127">
        <v>19583</v>
      </c>
      <c r="F4127" t="s">
        <v>5478</v>
      </c>
      <c r="G4127">
        <v>2639</v>
      </c>
      <c r="H4127">
        <v>0.3</v>
      </c>
      <c r="I4127" t="s">
        <v>4744</v>
      </c>
      <c r="J4127" t="s">
        <v>5191</v>
      </c>
      <c r="K4127" t="s">
        <v>4434</v>
      </c>
      <c r="L4127">
        <v>36.5</v>
      </c>
      <c r="M4127" s="452">
        <v>45807</v>
      </c>
      <c r="N4127">
        <v>39</v>
      </c>
      <c r="O4127">
        <v>39</v>
      </c>
      <c r="P4127">
        <v>10.95</v>
      </c>
    </row>
    <row r="4128" spans="1:16" x14ac:dyDescent="0.3">
      <c r="A4128">
        <v>38752</v>
      </c>
      <c r="B4128">
        <v>105</v>
      </c>
      <c r="C4128" t="s">
        <v>557</v>
      </c>
      <c r="D4128" s="452">
        <v>45809</v>
      </c>
      <c r="E4128">
        <v>19969</v>
      </c>
      <c r="F4128" t="s">
        <v>5018</v>
      </c>
      <c r="G4128">
        <v>2354</v>
      </c>
      <c r="H4128">
        <v>1</v>
      </c>
      <c r="I4128" t="s">
        <v>4888</v>
      </c>
      <c r="J4128" t="s">
        <v>5191</v>
      </c>
      <c r="K4128" t="s">
        <v>4434</v>
      </c>
      <c r="L4128">
        <v>10.88</v>
      </c>
      <c r="M4128" s="452">
        <v>45804</v>
      </c>
      <c r="N4128">
        <v>10.88</v>
      </c>
      <c r="O4128">
        <v>10.050000000000001</v>
      </c>
      <c r="P4128">
        <v>10.88</v>
      </c>
    </row>
    <row r="4129" spans="1:16" x14ac:dyDescent="0.3">
      <c r="A4129">
        <v>38576</v>
      </c>
      <c r="B4129">
        <v>105</v>
      </c>
      <c r="C4129" t="s">
        <v>557</v>
      </c>
      <c r="D4129" s="452">
        <v>45809</v>
      </c>
      <c r="E4129">
        <v>19783</v>
      </c>
      <c r="F4129" t="s">
        <v>4960</v>
      </c>
      <c r="G4129">
        <v>2475</v>
      </c>
      <c r="H4129">
        <v>2.4</v>
      </c>
      <c r="I4129" t="s">
        <v>4744</v>
      </c>
      <c r="J4129" t="s">
        <v>5191</v>
      </c>
      <c r="K4129" t="s">
        <v>4434</v>
      </c>
      <c r="L4129">
        <v>4.5</v>
      </c>
      <c r="M4129" s="452">
        <v>45807</v>
      </c>
      <c r="N4129">
        <v>4.5</v>
      </c>
      <c r="O4129">
        <v>3.71</v>
      </c>
      <c r="P4129">
        <v>10.8</v>
      </c>
    </row>
    <row r="4130" spans="1:16" x14ac:dyDescent="0.3">
      <c r="A4130">
        <v>38612</v>
      </c>
      <c r="B4130">
        <v>105</v>
      </c>
      <c r="C4130" t="s">
        <v>557</v>
      </c>
      <c r="D4130" s="452">
        <v>45809</v>
      </c>
      <c r="E4130">
        <v>19488</v>
      </c>
      <c r="F4130" t="s">
        <v>5107</v>
      </c>
      <c r="G4130">
        <v>2720</v>
      </c>
      <c r="H4130">
        <v>0.8</v>
      </c>
      <c r="I4130" t="s">
        <v>4744</v>
      </c>
      <c r="J4130" t="s">
        <v>5191</v>
      </c>
      <c r="K4130" t="s">
        <v>4434</v>
      </c>
      <c r="L4130">
        <v>12.84</v>
      </c>
      <c r="M4130" s="452">
        <v>45807</v>
      </c>
      <c r="N4130">
        <v>12</v>
      </c>
      <c r="O4130">
        <v>9.7100000000000009</v>
      </c>
      <c r="P4130">
        <v>10.27</v>
      </c>
    </row>
    <row r="4131" spans="1:16" x14ac:dyDescent="0.3">
      <c r="A4131">
        <v>38837</v>
      </c>
      <c r="B4131">
        <v>105</v>
      </c>
      <c r="C4131" t="s">
        <v>557</v>
      </c>
      <c r="D4131" s="452">
        <v>45809</v>
      </c>
      <c r="E4131">
        <v>20787</v>
      </c>
      <c r="F4131" t="s">
        <v>5333</v>
      </c>
      <c r="G4131">
        <v>2076</v>
      </c>
      <c r="H4131">
        <v>1</v>
      </c>
      <c r="I4131" t="s">
        <v>4738</v>
      </c>
      <c r="J4131" t="s">
        <v>5191</v>
      </c>
      <c r="K4131" t="s">
        <v>4434</v>
      </c>
      <c r="L4131">
        <v>10.199999999999999</v>
      </c>
      <c r="M4131" s="452">
        <v>45804</v>
      </c>
      <c r="N4131">
        <v>10.199999999999999</v>
      </c>
      <c r="O4131">
        <v>9.7200000000000006</v>
      </c>
      <c r="P4131">
        <v>10.199999999999999</v>
      </c>
    </row>
    <row r="4132" spans="1:16" x14ac:dyDescent="0.3">
      <c r="A4132">
        <v>38838</v>
      </c>
      <c r="B4132">
        <v>105</v>
      </c>
      <c r="C4132" t="s">
        <v>557</v>
      </c>
      <c r="D4132" s="452">
        <v>45809</v>
      </c>
      <c r="E4132">
        <v>20790</v>
      </c>
      <c r="F4132" t="s">
        <v>5020</v>
      </c>
      <c r="G4132">
        <v>2076</v>
      </c>
      <c r="H4132">
        <v>1</v>
      </c>
      <c r="I4132" t="s">
        <v>4744</v>
      </c>
      <c r="J4132" t="s">
        <v>5191</v>
      </c>
      <c r="K4132" t="s">
        <v>4434</v>
      </c>
      <c r="L4132">
        <v>10.199999999999999</v>
      </c>
      <c r="M4132" s="452">
        <v>45804</v>
      </c>
      <c r="N4132">
        <v>10.199999999999999</v>
      </c>
      <c r="O4132">
        <v>9.7200000000000006</v>
      </c>
      <c r="P4132">
        <v>10.199999999999999</v>
      </c>
    </row>
    <row r="4133" spans="1:16" x14ac:dyDescent="0.3">
      <c r="A4133">
        <v>38839</v>
      </c>
      <c r="B4133">
        <v>105</v>
      </c>
      <c r="C4133" t="s">
        <v>557</v>
      </c>
      <c r="D4133" s="452">
        <v>45809</v>
      </c>
      <c r="E4133">
        <v>20791</v>
      </c>
      <c r="F4133" t="s">
        <v>5021</v>
      </c>
      <c r="G4133">
        <v>2076</v>
      </c>
      <c r="H4133">
        <v>1</v>
      </c>
      <c r="I4133" t="s">
        <v>4738</v>
      </c>
      <c r="J4133" t="s">
        <v>5191</v>
      </c>
      <c r="K4133" t="s">
        <v>4434</v>
      </c>
      <c r="L4133">
        <v>0</v>
      </c>
      <c r="M4133" s="452">
        <v>45777</v>
      </c>
      <c r="N4133">
        <v>10.199999999999999</v>
      </c>
      <c r="O4133">
        <v>9.7200000000000006</v>
      </c>
      <c r="P4133">
        <v>10.199999999999999</v>
      </c>
    </row>
    <row r="4134" spans="1:16" x14ac:dyDescent="0.3">
      <c r="A4134">
        <v>38840</v>
      </c>
      <c r="B4134">
        <v>105</v>
      </c>
      <c r="C4134" t="s">
        <v>557</v>
      </c>
      <c r="D4134" s="452">
        <v>45809</v>
      </c>
      <c r="E4134">
        <v>20792</v>
      </c>
      <c r="F4134" t="s">
        <v>5022</v>
      </c>
      <c r="G4134">
        <v>2076</v>
      </c>
      <c r="H4134">
        <v>1</v>
      </c>
      <c r="I4134" t="s">
        <v>4738</v>
      </c>
      <c r="J4134" t="s">
        <v>5191</v>
      </c>
      <c r="K4134" t="s">
        <v>4434</v>
      </c>
      <c r="L4134">
        <v>0</v>
      </c>
      <c r="M4134" s="452">
        <v>45777</v>
      </c>
      <c r="N4134">
        <v>10.199999999999999</v>
      </c>
      <c r="O4134">
        <v>9.7200000000000006</v>
      </c>
      <c r="P4134">
        <v>10.199999999999999</v>
      </c>
    </row>
    <row r="4135" spans="1:16" x14ac:dyDescent="0.3">
      <c r="A4135">
        <v>38841</v>
      </c>
      <c r="B4135">
        <v>105</v>
      </c>
      <c r="C4135" t="s">
        <v>557</v>
      </c>
      <c r="D4135" s="452">
        <v>45809</v>
      </c>
      <c r="E4135">
        <v>20795</v>
      </c>
      <c r="F4135" t="s">
        <v>5024</v>
      </c>
      <c r="G4135">
        <v>2076</v>
      </c>
      <c r="H4135">
        <v>1</v>
      </c>
      <c r="I4135" t="s">
        <v>4738</v>
      </c>
      <c r="J4135" t="s">
        <v>5191</v>
      </c>
      <c r="K4135" t="s">
        <v>4434</v>
      </c>
      <c r="L4135">
        <v>10.199999999999999</v>
      </c>
      <c r="M4135" s="452">
        <v>45797</v>
      </c>
      <c r="N4135">
        <v>10.199999999999999</v>
      </c>
      <c r="O4135">
        <v>10.199999999999999</v>
      </c>
      <c r="P4135">
        <v>10.199999999999999</v>
      </c>
    </row>
    <row r="4136" spans="1:16" x14ac:dyDescent="0.3">
      <c r="A4136">
        <v>38793</v>
      </c>
      <c r="B4136">
        <v>105</v>
      </c>
      <c r="C4136" t="s">
        <v>557</v>
      </c>
      <c r="D4136" s="452">
        <v>45809</v>
      </c>
      <c r="E4136">
        <v>19577</v>
      </c>
      <c r="F4136" t="s">
        <v>4984</v>
      </c>
      <c r="G4136">
        <v>2641</v>
      </c>
      <c r="H4136">
        <v>0.97</v>
      </c>
      <c r="I4136" t="s">
        <v>4736</v>
      </c>
      <c r="J4136" t="s">
        <v>5191</v>
      </c>
      <c r="K4136" t="s">
        <v>4434</v>
      </c>
      <c r="L4136">
        <v>0</v>
      </c>
      <c r="M4136" s="452">
        <v>45532</v>
      </c>
      <c r="N4136">
        <v>10.199999999999999</v>
      </c>
      <c r="O4136">
        <v>21</v>
      </c>
      <c r="P4136">
        <v>9.89</v>
      </c>
    </row>
    <row r="4137" spans="1:16" x14ac:dyDescent="0.3">
      <c r="A4137">
        <v>38667</v>
      </c>
      <c r="B4137">
        <v>105</v>
      </c>
      <c r="C4137" t="s">
        <v>557</v>
      </c>
      <c r="D4137" s="452">
        <v>45809</v>
      </c>
      <c r="E4137">
        <v>20359</v>
      </c>
      <c r="F4137" t="s">
        <v>5446</v>
      </c>
      <c r="G4137">
        <v>2199</v>
      </c>
      <c r="H4137">
        <v>2</v>
      </c>
      <c r="I4137" t="s">
        <v>4736</v>
      </c>
      <c r="J4137" t="s">
        <v>5191</v>
      </c>
      <c r="K4137" t="s">
        <v>4434</v>
      </c>
      <c r="L4137">
        <v>4.76</v>
      </c>
      <c r="M4137" s="452">
        <v>45807</v>
      </c>
      <c r="N4137">
        <v>4.76</v>
      </c>
      <c r="O4137">
        <v>4.76</v>
      </c>
      <c r="P4137">
        <v>9.52</v>
      </c>
    </row>
    <row r="4138" spans="1:16" x14ac:dyDescent="0.3">
      <c r="A4138">
        <v>38674</v>
      </c>
      <c r="B4138">
        <v>105</v>
      </c>
      <c r="C4138" t="s">
        <v>557</v>
      </c>
      <c r="D4138" s="452">
        <v>45809</v>
      </c>
      <c r="E4138">
        <v>24250</v>
      </c>
      <c r="F4138" t="s">
        <v>5507</v>
      </c>
      <c r="G4138">
        <v>2339</v>
      </c>
      <c r="H4138">
        <v>0.5</v>
      </c>
      <c r="I4138" t="s">
        <v>4744</v>
      </c>
      <c r="J4138" t="s">
        <v>5191</v>
      </c>
      <c r="K4138" t="s">
        <v>4434</v>
      </c>
      <c r="L4138">
        <v>0</v>
      </c>
      <c r="M4138" s="452">
        <v>45756</v>
      </c>
      <c r="N4138">
        <v>18.100000000000001</v>
      </c>
      <c r="O4138">
        <v>18.100000000000001</v>
      </c>
      <c r="P4138">
        <v>9.0500000000000007</v>
      </c>
    </row>
    <row r="4139" spans="1:16" x14ac:dyDescent="0.3">
      <c r="A4139">
        <v>38575</v>
      </c>
      <c r="B4139">
        <v>105</v>
      </c>
      <c r="C4139" t="s">
        <v>557</v>
      </c>
      <c r="D4139" s="452">
        <v>45809</v>
      </c>
      <c r="E4139">
        <v>19784</v>
      </c>
      <c r="F4139" t="s">
        <v>4873</v>
      </c>
      <c r="G4139">
        <v>2474</v>
      </c>
      <c r="H4139">
        <v>1.1000000000000001</v>
      </c>
      <c r="I4139" t="s">
        <v>4744</v>
      </c>
      <c r="J4139" t="s">
        <v>5191</v>
      </c>
      <c r="K4139" t="s">
        <v>4434</v>
      </c>
      <c r="L4139">
        <v>8.06</v>
      </c>
      <c r="M4139" s="452">
        <v>45800</v>
      </c>
      <c r="N4139">
        <v>7.5</v>
      </c>
      <c r="O4139">
        <v>7.5</v>
      </c>
      <c r="P4139">
        <v>8.8699999999999992</v>
      </c>
    </row>
    <row r="4140" spans="1:16" x14ac:dyDescent="0.3">
      <c r="A4140">
        <v>38823</v>
      </c>
      <c r="B4140">
        <v>105</v>
      </c>
      <c r="C4140" t="s">
        <v>557</v>
      </c>
      <c r="D4140" s="452">
        <v>45809</v>
      </c>
      <c r="E4140">
        <v>19465</v>
      </c>
      <c r="F4140" t="s">
        <v>5114</v>
      </c>
      <c r="G4140">
        <v>2737</v>
      </c>
      <c r="H4140">
        <v>0.65</v>
      </c>
      <c r="I4140" t="s">
        <v>4744</v>
      </c>
      <c r="J4140" t="s">
        <v>5191</v>
      </c>
      <c r="K4140" t="s">
        <v>4434</v>
      </c>
      <c r="L4140">
        <v>0</v>
      </c>
      <c r="M4140" s="452">
        <v>45756</v>
      </c>
      <c r="N4140">
        <v>13</v>
      </c>
      <c r="O4140">
        <v>8.4499999999999993</v>
      </c>
      <c r="P4140">
        <v>8.4499999999999993</v>
      </c>
    </row>
    <row r="4141" spans="1:16" x14ac:dyDescent="0.3">
      <c r="A4141">
        <v>38686</v>
      </c>
      <c r="B4141">
        <v>105</v>
      </c>
      <c r="C4141" t="s">
        <v>557</v>
      </c>
      <c r="D4141" s="452">
        <v>45809</v>
      </c>
      <c r="E4141">
        <v>19607</v>
      </c>
      <c r="F4141" t="s">
        <v>4981</v>
      </c>
      <c r="G4141">
        <v>2623</v>
      </c>
      <c r="H4141">
        <v>0.7</v>
      </c>
      <c r="I4141" t="s">
        <v>4744</v>
      </c>
      <c r="J4141" t="s">
        <v>5191</v>
      </c>
      <c r="K4141" t="s">
        <v>4434</v>
      </c>
      <c r="L4141">
        <v>11.76</v>
      </c>
      <c r="M4141" s="452">
        <v>45805</v>
      </c>
      <c r="N4141">
        <v>11</v>
      </c>
      <c r="O4141">
        <v>10.38</v>
      </c>
      <c r="P4141">
        <v>8.23</v>
      </c>
    </row>
    <row r="4142" spans="1:16" x14ac:dyDescent="0.3">
      <c r="A4142">
        <v>38568</v>
      </c>
      <c r="B4142">
        <v>105</v>
      </c>
      <c r="C4142" t="s">
        <v>557</v>
      </c>
      <c r="D4142" s="452">
        <v>45809</v>
      </c>
      <c r="E4142">
        <v>20295</v>
      </c>
      <c r="F4142" t="s">
        <v>4881</v>
      </c>
      <c r="G4142">
        <v>2226</v>
      </c>
      <c r="H4142">
        <v>1</v>
      </c>
      <c r="I4142" t="s">
        <v>4736</v>
      </c>
      <c r="J4142" t="s">
        <v>5191</v>
      </c>
      <c r="K4142" t="s">
        <v>4434</v>
      </c>
      <c r="L4142">
        <v>7.6</v>
      </c>
      <c r="M4142" s="452">
        <v>45797</v>
      </c>
      <c r="N4142">
        <v>7.6</v>
      </c>
      <c r="O4142">
        <v>7.6</v>
      </c>
      <c r="P4142">
        <v>7.6</v>
      </c>
    </row>
    <row r="4143" spans="1:16" x14ac:dyDescent="0.3">
      <c r="A4143">
        <v>38813</v>
      </c>
      <c r="B4143">
        <v>105</v>
      </c>
      <c r="C4143" t="s">
        <v>557</v>
      </c>
      <c r="D4143" s="452">
        <v>45809</v>
      </c>
      <c r="E4143">
        <v>19557</v>
      </c>
      <c r="F4143" t="s">
        <v>5051</v>
      </c>
      <c r="G4143">
        <v>2660</v>
      </c>
      <c r="H4143">
        <v>0.9</v>
      </c>
      <c r="I4143" t="s">
        <v>4744</v>
      </c>
      <c r="J4143" t="s">
        <v>5191</v>
      </c>
      <c r="K4143" t="s">
        <v>4434</v>
      </c>
      <c r="L4143">
        <v>8.41</v>
      </c>
      <c r="M4143" s="452">
        <v>45804</v>
      </c>
      <c r="N4143">
        <v>7.5</v>
      </c>
      <c r="O4143">
        <v>6</v>
      </c>
      <c r="P4143">
        <v>7.57</v>
      </c>
    </row>
    <row r="4144" spans="1:16" x14ac:dyDescent="0.3">
      <c r="A4144">
        <v>38729</v>
      </c>
      <c r="B4144">
        <v>105</v>
      </c>
      <c r="C4144" t="s">
        <v>557</v>
      </c>
      <c r="D4144" s="452">
        <v>45809</v>
      </c>
      <c r="E4144">
        <v>25022</v>
      </c>
      <c r="F4144" t="s">
        <v>4912</v>
      </c>
      <c r="G4144">
        <v>5868</v>
      </c>
      <c r="H4144">
        <v>1</v>
      </c>
      <c r="I4144" t="s">
        <v>4738</v>
      </c>
      <c r="J4144" t="s">
        <v>5191</v>
      </c>
      <c r="K4144" t="s">
        <v>4434</v>
      </c>
      <c r="L4144">
        <v>7.48</v>
      </c>
      <c r="M4144" s="452">
        <v>45804</v>
      </c>
      <c r="N4144">
        <v>7.48</v>
      </c>
      <c r="O4144">
        <v>7.48</v>
      </c>
      <c r="P4144">
        <v>7.48</v>
      </c>
    </row>
    <row r="4145" spans="1:16" x14ac:dyDescent="0.3">
      <c r="A4145">
        <v>38548</v>
      </c>
      <c r="B4145">
        <v>105</v>
      </c>
      <c r="C4145" t="s">
        <v>557</v>
      </c>
      <c r="D4145" s="452">
        <v>45809</v>
      </c>
      <c r="E4145">
        <v>19506</v>
      </c>
      <c r="F4145" t="s">
        <v>5122</v>
      </c>
      <c r="G4145">
        <v>2705</v>
      </c>
      <c r="H4145">
        <v>0.2</v>
      </c>
      <c r="I4145" t="s">
        <v>4744</v>
      </c>
      <c r="J4145" t="s">
        <v>5191</v>
      </c>
      <c r="K4145" t="s">
        <v>4434</v>
      </c>
      <c r="L4145">
        <v>36.4</v>
      </c>
      <c r="M4145" s="452">
        <v>45793</v>
      </c>
      <c r="N4145">
        <v>36.4</v>
      </c>
      <c r="O4145">
        <v>36.17</v>
      </c>
      <c r="P4145">
        <v>7.28</v>
      </c>
    </row>
    <row r="4146" spans="1:16" x14ac:dyDescent="0.3">
      <c r="A4146">
        <v>38847</v>
      </c>
      <c r="B4146">
        <v>105</v>
      </c>
      <c r="C4146" t="s">
        <v>557</v>
      </c>
      <c r="D4146" s="452">
        <v>45809</v>
      </c>
      <c r="E4146">
        <v>19546</v>
      </c>
      <c r="F4146" t="s">
        <v>5527</v>
      </c>
      <c r="G4146">
        <v>2670</v>
      </c>
      <c r="H4146">
        <v>0.39</v>
      </c>
      <c r="I4146" t="s">
        <v>4744</v>
      </c>
      <c r="J4146" t="s">
        <v>5191</v>
      </c>
      <c r="K4146" t="s">
        <v>4434</v>
      </c>
      <c r="L4146">
        <v>18.05</v>
      </c>
      <c r="M4146" s="452">
        <v>45800</v>
      </c>
      <c r="N4146">
        <v>16</v>
      </c>
      <c r="O4146">
        <v>24</v>
      </c>
      <c r="P4146">
        <v>7.04</v>
      </c>
    </row>
    <row r="4147" spans="1:16" x14ac:dyDescent="0.3">
      <c r="A4147">
        <v>38737</v>
      </c>
      <c r="B4147">
        <v>105</v>
      </c>
      <c r="C4147" t="s">
        <v>557</v>
      </c>
      <c r="D4147" s="452">
        <v>45809</v>
      </c>
      <c r="E4147">
        <v>19476</v>
      </c>
      <c r="F4147" t="s">
        <v>5115</v>
      </c>
      <c r="G4147">
        <v>2729</v>
      </c>
      <c r="H4147">
        <v>0.15</v>
      </c>
      <c r="I4147" t="s">
        <v>4744</v>
      </c>
      <c r="J4147" t="s">
        <v>5191</v>
      </c>
      <c r="K4147" t="s">
        <v>4434</v>
      </c>
      <c r="L4147">
        <v>45</v>
      </c>
      <c r="M4147" s="452">
        <v>45797</v>
      </c>
      <c r="N4147">
        <v>45</v>
      </c>
      <c r="O4147">
        <v>40</v>
      </c>
      <c r="P4147">
        <v>6.75</v>
      </c>
    </row>
    <row r="4148" spans="1:16" x14ac:dyDescent="0.3">
      <c r="A4148">
        <v>38694</v>
      </c>
      <c r="B4148">
        <v>105</v>
      </c>
      <c r="C4148" t="s">
        <v>557</v>
      </c>
      <c r="D4148" s="452">
        <v>45809</v>
      </c>
      <c r="E4148">
        <v>26495</v>
      </c>
      <c r="F4148" t="s">
        <v>4867</v>
      </c>
      <c r="G4148">
        <v>5447</v>
      </c>
      <c r="H4148">
        <v>0.18</v>
      </c>
      <c r="I4148" t="s">
        <v>4744</v>
      </c>
      <c r="J4148" t="s">
        <v>5191</v>
      </c>
      <c r="K4148" t="s">
        <v>4434</v>
      </c>
      <c r="L4148">
        <v>36.200000000000003</v>
      </c>
      <c r="M4148" s="452">
        <v>45793</v>
      </c>
      <c r="N4148">
        <v>36.200000000000003</v>
      </c>
      <c r="O4148">
        <v>36.200000000000003</v>
      </c>
      <c r="P4148">
        <v>6.52</v>
      </c>
    </row>
    <row r="4149" spans="1:16" x14ac:dyDescent="0.3">
      <c r="A4149">
        <v>38751</v>
      </c>
      <c r="B4149">
        <v>105</v>
      </c>
      <c r="C4149" t="s">
        <v>557</v>
      </c>
      <c r="D4149" s="452">
        <v>45809</v>
      </c>
      <c r="E4149">
        <v>19982</v>
      </c>
      <c r="F4149" t="s">
        <v>5017</v>
      </c>
      <c r="G4149">
        <v>2351</v>
      </c>
      <c r="H4149">
        <v>1</v>
      </c>
      <c r="I4149" t="s">
        <v>4888</v>
      </c>
      <c r="J4149" t="s">
        <v>5191</v>
      </c>
      <c r="K4149" t="s">
        <v>4434</v>
      </c>
      <c r="L4149">
        <v>0</v>
      </c>
      <c r="M4149" s="452">
        <v>45777</v>
      </c>
      <c r="N4149">
        <v>6.15</v>
      </c>
      <c r="O4149">
        <v>6.15</v>
      </c>
      <c r="P4149">
        <v>6.15</v>
      </c>
    </row>
    <row r="4150" spans="1:16" x14ac:dyDescent="0.3">
      <c r="A4150">
        <v>38529</v>
      </c>
      <c r="B4150">
        <v>105</v>
      </c>
      <c r="C4150" t="s">
        <v>557</v>
      </c>
      <c r="D4150" s="452">
        <v>45809</v>
      </c>
      <c r="E4150">
        <v>19509</v>
      </c>
      <c r="F4150" t="s">
        <v>5490</v>
      </c>
      <c r="G4150">
        <v>2703</v>
      </c>
      <c r="H4150">
        <v>1.85</v>
      </c>
      <c r="I4150" t="s">
        <v>4744</v>
      </c>
      <c r="J4150" t="s">
        <v>5191</v>
      </c>
      <c r="K4150" t="s">
        <v>4434</v>
      </c>
      <c r="L4150">
        <v>3.32</v>
      </c>
      <c r="M4150" s="452">
        <v>45807</v>
      </c>
      <c r="N4150">
        <v>3</v>
      </c>
      <c r="O4150">
        <v>3</v>
      </c>
      <c r="P4150">
        <v>6.14</v>
      </c>
    </row>
    <row r="4151" spans="1:16" x14ac:dyDescent="0.3">
      <c r="A4151">
        <v>38628</v>
      </c>
      <c r="B4151">
        <v>105</v>
      </c>
      <c r="C4151" t="s">
        <v>557</v>
      </c>
      <c r="D4151" s="452">
        <v>45809</v>
      </c>
      <c r="E4151">
        <v>19618</v>
      </c>
      <c r="F4151" t="s">
        <v>5469</v>
      </c>
      <c r="G4151">
        <v>2616</v>
      </c>
      <c r="H4151">
        <v>2.35</v>
      </c>
      <c r="I4151" t="s">
        <v>4744</v>
      </c>
      <c r="J4151" t="s">
        <v>5191</v>
      </c>
      <c r="K4151" t="s">
        <v>4434</v>
      </c>
      <c r="L4151">
        <v>2.61</v>
      </c>
      <c r="M4151" s="452">
        <v>45807</v>
      </c>
      <c r="N4151">
        <v>2.5</v>
      </c>
      <c r="O4151">
        <v>2.5</v>
      </c>
      <c r="P4151">
        <v>6.13</v>
      </c>
    </row>
    <row r="4152" spans="1:16" x14ac:dyDescent="0.3">
      <c r="A4152">
        <v>38759</v>
      </c>
      <c r="B4152">
        <v>105</v>
      </c>
      <c r="C4152" t="s">
        <v>557</v>
      </c>
      <c r="D4152" s="452">
        <v>45809</v>
      </c>
      <c r="E4152">
        <v>19939</v>
      </c>
      <c r="F4152" t="s">
        <v>5057</v>
      </c>
      <c r="G4152">
        <v>2365</v>
      </c>
      <c r="H4152">
        <v>0.27</v>
      </c>
      <c r="I4152" t="s">
        <v>4744</v>
      </c>
      <c r="J4152" t="s">
        <v>5191</v>
      </c>
      <c r="K4152" t="s">
        <v>4434</v>
      </c>
      <c r="L4152">
        <v>0</v>
      </c>
      <c r="M4152" s="452">
        <v>-693593</v>
      </c>
      <c r="N4152">
        <v>0</v>
      </c>
      <c r="O4152">
        <v>79.599999999999994</v>
      </c>
      <c r="P4152">
        <v>5.94</v>
      </c>
    </row>
    <row r="4153" spans="1:16" x14ac:dyDescent="0.3">
      <c r="A4153">
        <v>38600</v>
      </c>
      <c r="B4153">
        <v>105</v>
      </c>
      <c r="C4153" t="s">
        <v>557</v>
      </c>
      <c r="D4153" s="452">
        <v>45809</v>
      </c>
      <c r="E4153">
        <v>19779</v>
      </c>
      <c r="F4153" t="s">
        <v>4938</v>
      </c>
      <c r="G4153">
        <v>2479</v>
      </c>
      <c r="H4153">
        <v>0.12</v>
      </c>
      <c r="I4153" t="s">
        <v>4744</v>
      </c>
      <c r="J4153" t="s">
        <v>5191</v>
      </c>
      <c r="K4153" t="s">
        <v>4434</v>
      </c>
      <c r="L4153">
        <v>0</v>
      </c>
      <c r="M4153" s="452">
        <v>-693593</v>
      </c>
      <c r="N4153">
        <v>0</v>
      </c>
      <c r="O4153">
        <v>122.5</v>
      </c>
      <c r="P4153">
        <v>4.99</v>
      </c>
    </row>
    <row r="4154" spans="1:16" x14ac:dyDescent="0.3">
      <c r="A4154">
        <v>38857</v>
      </c>
      <c r="B4154">
        <v>105</v>
      </c>
      <c r="C4154" t="s">
        <v>557</v>
      </c>
      <c r="D4154" s="452">
        <v>45809</v>
      </c>
      <c r="E4154">
        <v>18212</v>
      </c>
      <c r="F4154" t="s">
        <v>5040</v>
      </c>
      <c r="G4154">
        <v>3415</v>
      </c>
      <c r="H4154">
        <v>0.1</v>
      </c>
      <c r="I4154" t="s">
        <v>4805</v>
      </c>
      <c r="J4154" t="s">
        <v>5222</v>
      </c>
      <c r="K4154" t="s">
        <v>4434</v>
      </c>
      <c r="L4154">
        <v>0</v>
      </c>
      <c r="M4154" s="452">
        <v>-693593</v>
      </c>
      <c r="N4154">
        <v>0</v>
      </c>
      <c r="O4154">
        <v>38.9</v>
      </c>
      <c r="P4154">
        <v>3.81</v>
      </c>
    </row>
    <row r="4155" spans="1:16" x14ac:dyDescent="0.3">
      <c r="A4155">
        <v>38648</v>
      </c>
      <c r="B4155">
        <v>105</v>
      </c>
      <c r="C4155" t="s">
        <v>557</v>
      </c>
      <c r="D4155" s="452">
        <v>45809</v>
      </c>
      <c r="E4155">
        <v>20685</v>
      </c>
      <c r="F4155" t="s">
        <v>5528</v>
      </c>
      <c r="G4155">
        <v>2106</v>
      </c>
      <c r="H4155">
        <v>1</v>
      </c>
      <c r="I4155" t="s">
        <v>4736</v>
      </c>
      <c r="J4155" t="s">
        <v>5191</v>
      </c>
      <c r="K4155" t="s">
        <v>4434</v>
      </c>
      <c r="L4155">
        <v>0</v>
      </c>
      <c r="M4155" s="452">
        <v>-693593</v>
      </c>
      <c r="N4155">
        <v>0</v>
      </c>
      <c r="O4155">
        <v>0</v>
      </c>
      <c r="P4155">
        <v>3.5</v>
      </c>
    </row>
    <row r="4156" spans="1:16" x14ac:dyDescent="0.3">
      <c r="A4156">
        <v>38797</v>
      </c>
      <c r="B4156">
        <v>105</v>
      </c>
      <c r="C4156" t="s">
        <v>557</v>
      </c>
      <c r="D4156" s="452">
        <v>45809</v>
      </c>
      <c r="E4156">
        <v>19562</v>
      </c>
      <c r="F4156" t="s">
        <v>4939</v>
      </c>
      <c r="G4156">
        <v>2655</v>
      </c>
      <c r="H4156">
        <v>0.2</v>
      </c>
      <c r="I4156" t="s">
        <v>4744</v>
      </c>
      <c r="J4156" t="s">
        <v>5191</v>
      </c>
      <c r="K4156" t="s">
        <v>4434</v>
      </c>
      <c r="L4156">
        <v>13</v>
      </c>
      <c r="M4156" s="452">
        <v>45800</v>
      </c>
      <c r="N4156">
        <v>12</v>
      </c>
      <c r="O4156">
        <v>13.58</v>
      </c>
      <c r="P4156">
        <v>2.6</v>
      </c>
    </row>
    <row r="4157" spans="1:16" x14ac:dyDescent="0.3">
      <c r="A4157">
        <v>38664</v>
      </c>
      <c r="B4157">
        <v>105</v>
      </c>
      <c r="C4157" t="s">
        <v>557</v>
      </c>
      <c r="D4157" s="452">
        <v>45809</v>
      </c>
      <c r="E4157">
        <v>20674</v>
      </c>
      <c r="F4157" t="s">
        <v>5529</v>
      </c>
      <c r="G4157">
        <v>2107</v>
      </c>
      <c r="H4157">
        <v>0.12</v>
      </c>
      <c r="I4157" t="s">
        <v>4738</v>
      </c>
      <c r="J4157" t="s">
        <v>5191</v>
      </c>
      <c r="K4157" t="s">
        <v>4434</v>
      </c>
      <c r="L4157">
        <v>17.71</v>
      </c>
      <c r="M4157" s="452">
        <v>45804</v>
      </c>
      <c r="N4157">
        <v>10.25</v>
      </c>
      <c r="O4157">
        <v>10.25</v>
      </c>
      <c r="P4157">
        <v>2.13</v>
      </c>
    </row>
    <row r="4158" spans="1:16" x14ac:dyDescent="0.3">
      <c r="A4158">
        <v>38799</v>
      </c>
      <c r="B4158">
        <v>105</v>
      </c>
      <c r="C4158" t="s">
        <v>557</v>
      </c>
      <c r="D4158" s="452">
        <v>45809</v>
      </c>
      <c r="E4158">
        <v>19560</v>
      </c>
      <c r="F4158" t="s">
        <v>4962</v>
      </c>
      <c r="G4158">
        <v>2657</v>
      </c>
      <c r="H4158">
        <v>0.15</v>
      </c>
      <c r="I4158" t="s">
        <v>4744</v>
      </c>
      <c r="J4158" t="s">
        <v>5191</v>
      </c>
      <c r="K4158" t="s">
        <v>4434</v>
      </c>
      <c r="L4158">
        <v>12.67</v>
      </c>
      <c r="M4158" s="452">
        <v>45800</v>
      </c>
      <c r="N4158">
        <v>12</v>
      </c>
      <c r="O4158">
        <v>13.64</v>
      </c>
      <c r="P4158">
        <v>1.9</v>
      </c>
    </row>
    <row r="4159" spans="1:16" x14ac:dyDescent="0.3">
      <c r="A4159">
        <v>38695</v>
      </c>
      <c r="B4159">
        <v>105</v>
      </c>
      <c r="C4159" t="s">
        <v>557</v>
      </c>
      <c r="D4159" s="452">
        <v>45809</v>
      </c>
      <c r="E4159">
        <v>19480</v>
      </c>
      <c r="F4159" t="s">
        <v>5119</v>
      </c>
      <c r="G4159">
        <v>2726</v>
      </c>
      <c r="H4159">
        <v>0.1</v>
      </c>
      <c r="I4159" t="s">
        <v>4744</v>
      </c>
      <c r="J4159" t="s">
        <v>5191</v>
      </c>
      <c r="K4159" t="s">
        <v>4434</v>
      </c>
      <c r="L4159">
        <v>14.45</v>
      </c>
      <c r="M4159" s="452">
        <v>45807</v>
      </c>
      <c r="N4159">
        <v>18.2</v>
      </c>
      <c r="O4159">
        <v>12.16</v>
      </c>
      <c r="P4159">
        <v>1.44</v>
      </c>
    </row>
    <row r="4160" spans="1:16" x14ac:dyDescent="0.3">
      <c r="A4160">
        <v>38798</v>
      </c>
      <c r="B4160">
        <v>105</v>
      </c>
      <c r="C4160" t="s">
        <v>557</v>
      </c>
      <c r="D4160" s="452">
        <v>45809</v>
      </c>
      <c r="E4160">
        <v>19561</v>
      </c>
      <c r="F4160" t="s">
        <v>5365</v>
      </c>
      <c r="G4160">
        <v>2656</v>
      </c>
      <c r="H4160">
        <v>0.15</v>
      </c>
      <c r="I4160" t="s">
        <v>4744</v>
      </c>
      <c r="J4160" t="s">
        <v>5191</v>
      </c>
      <c r="K4160" t="s">
        <v>4434</v>
      </c>
      <c r="L4160">
        <v>8.33</v>
      </c>
      <c r="M4160" s="452">
        <v>45804</v>
      </c>
      <c r="N4160">
        <v>7.5</v>
      </c>
      <c r="O4160">
        <v>7.1</v>
      </c>
      <c r="P4160">
        <v>1.25</v>
      </c>
    </row>
    <row r="4161" spans="1:16" x14ac:dyDescent="0.3">
      <c r="A4161">
        <v>38554</v>
      </c>
      <c r="B4161">
        <v>105</v>
      </c>
      <c r="C4161" t="s">
        <v>557</v>
      </c>
      <c r="D4161" s="452">
        <v>45809</v>
      </c>
      <c r="E4161">
        <v>19647</v>
      </c>
      <c r="F4161" t="s">
        <v>5050</v>
      </c>
      <c r="G4161">
        <v>2591</v>
      </c>
      <c r="H4161">
        <v>0.1</v>
      </c>
      <c r="I4161" t="s">
        <v>4744</v>
      </c>
      <c r="J4161" t="s">
        <v>5191</v>
      </c>
      <c r="K4161" t="s">
        <v>4434</v>
      </c>
      <c r="L4161">
        <v>12</v>
      </c>
      <c r="M4161" s="452">
        <v>45807</v>
      </c>
      <c r="N4161">
        <v>12</v>
      </c>
      <c r="O4161">
        <v>10.16</v>
      </c>
      <c r="P4161">
        <v>1.2</v>
      </c>
    </row>
    <row r="4162" spans="1:16" x14ac:dyDescent="0.3">
      <c r="A4162">
        <v>31117</v>
      </c>
      <c r="B4162">
        <v>105</v>
      </c>
      <c r="C4162" t="s">
        <v>557</v>
      </c>
      <c r="D4162" s="452">
        <v>45778</v>
      </c>
      <c r="E4162">
        <v>26132</v>
      </c>
      <c r="F4162" t="s">
        <v>5522</v>
      </c>
      <c r="G4162">
        <v>6584</v>
      </c>
      <c r="H4162">
        <v>36.07</v>
      </c>
      <c r="I4162" t="s">
        <v>4744</v>
      </c>
      <c r="J4162" t="s">
        <v>5191</v>
      </c>
      <c r="K4162" t="s">
        <v>4436</v>
      </c>
      <c r="L4162">
        <v>0</v>
      </c>
      <c r="M4162" s="452">
        <v>-693593</v>
      </c>
      <c r="N4162">
        <v>0</v>
      </c>
      <c r="O4162">
        <v>0</v>
      </c>
      <c r="P4162">
        <v>3570.93</v>
      </c>
    </row>
    <row r="4163" spans="1:16" x14ac:dyDescent="0.3">
      <c r="A4163">
        <v>31128</v>
      </c>
      <c r="B4163">
        <v>105</v>
      </c>
      <c r="C4163" t="s">
        <v>557</v>
      </c>
      <c r="D4163" s="452">
        <v>45778</v>
      </c>
      <c r="E4163">
        <v>18945</v>
      </c>
      <c r="F4163" t="s">
        <v>4768</v>
      </c>
      <c r="G4163">
        <v>2929</v>
      </c>
      <c r="H4163">
        <v>61.45</v>
      </c>
      <c r="I4163" t="s">
        <v>4744</v>
      </c>
      <c r="J4163" t="s">
        <v>5191</v>
      </c>
      <c r="K4163" t="s">
        <v>4436</v>
      </c>
      <c r="L4163">
        <v>56.61</v>
      </c>
      <c r="M4163" s="452">
        <v>45770</v>
      </c>
      <c r="N4163">
        <v>56.61</v>
      </c>
      <c r="O4163">
        <v>56.61</v>
      </c>
      <c r="P4163">
        <v>3478.68</v>
      </c>
    </row>
    <row r="4164" spans="1:16" x14ac:dyDescent="0.3">
      <c r="A4164">
        <v>31140</v>
      </c>
      <c r="B4164">
        <v>105</v>
      </c>
      <c r="C4164" t="s">
        <v>557</v>
      </c>
      <c r="D4164" s="452">
        <v>45778</v>
      </c>
      <c r="E4164">
        <v>26130</v>
      </c>
      <c r="F4164" t="s">
        <v>5513</v>
      </c>
      <c r="G4164">
        <v>6583</v>
      </c>
      <c r="H4164">
        <v>18.59</v>
      </c>
      <c r="I4164" t="s">
        <v>4744</v>
      </c>
      <c r="J4164" t="s">
        <v>5191</v>
      </c>
      <c r="K4164" t="s">
        <v>4436</v>
      </c>
      <c r="L4164">
        <v>0</v>
      </c>
      <c r="M4164" s="452">
        <v>45743</v>
      </c>
      <c r="N4164">
        <v>162</v>
      </c>
      <c r="O4164">
        <v>162</v>
      </c>
      <c r="P4164">
        <v>3011.58</v>
      </c>
    </row>
    <row r="4165" spans="1:16" x14ac:dyDescent="0.3">
      <c r="A4165">
        <v>31121</v>
      </c>
      <c r="B4165">
        <v>105</v>
      </c>
      <c r="C4165" t="s">
        <v>557</v>
      </c>
      <c r="D4165" s="452">
        <v>45778</v>
      </c>
      <c r="E4165">
        <v>25785</v>
      </c>
      <c r="F4165" t="s">
        <v>5457</v>
      </c>
      <c r="G4165">
        <v>6326</v>
      </c>
      <c r="H4165">
        <v>25.76</v>
      </c>
      <c r="I4165" t="s">
        <v>4744</v>
      </c>
      <c r="J4165" t="s">
        <v>5191</v>
      </c>
      <c r="K4165" t="s">
        <v>4436</v>
      </c>
      <c r="L4165">
        <v>89.9</v>
      </c>
      <c r="M4165" s="452">
        <v>45772</v>
      </c>
      <c r="N4165">
        <v>89.9</v>
      </c>
      <c r="O4165">
        <v>89.9</v>
      </c>
      <c r="P4165">
        <v>2315.8200000000002</v>
      </c>
    </row>
    <row r="4166" spans="1:16" x14ac:dyDescent="0.3">
      <c r="A4166">
        <v>31130</v>
      </c>
      <c r="B4166">
        <v>105</v>
      </c>
      <c r="C4166" t="s">
        <v>557</v>
      </c>
      <c r="D4166" s="452">
        <v>45778</v>
      </c>
      <c r="E4166">
        <v>24256</v>
      </c>
      <c r="F4166" t="s">
        <v>4773</v>
      </c>
      <c r="G4166">
        <v>3003</v>
      </c>
      <c r="H4166">
        <v>48.65</v>
      </c>
      <c r="I4166" t="s">
        <v>4744</v>
      </c>
      <c r="J4166" t="s">
        <v>5191</v>
      </c>
      <c r="K4166" t="s">
        <v>4436</v>
      </c>
      <c r="L4166">
        <v>45</v>
      </c>
      <c r="M4166" s="452">
        <v>45770</v>
      </c>
      <c r="N4166">
        <v>45</v>
      </c>
      <c r="O4166">
        <v>40.799999999999997</v>
      </c>
      <c r="P4166">
        <v>2189.25</v>
      </c>
    </row>
    <row r="4167" spans="1:16" x14ac:dyDescent="0.3">
      <c r="A4167">
        <v>31127</v>
      </c>
      <c r="B4167">
        <v>105</v>
      </c>
      <c r="C4167" t="s">
        <v>557</v>
      </c>
      <c r="D4167" s="452">
        <v>45778</v>
      </c>
      <c r="E4167">
        <v>24217</v>
      </c>
      <c r="F4167" t="s">
        <v>4778</v>
      </c>
      <c r="G4167">
        <v>2937</v>
      </c>
      <c r="H4167">
        <v>37.74</v>
      </c>
      <c r="I4167" t="s">
        <v>4744</v>
      </c>
      <c r="J4167" t="s">
        <v>5191</v>
      </c>
      <c r="K4167" t="s">
        <v>4436</v>
      </c>
      <c r="L4167">
        <v>51.11</v>
      </c>
      <c r="M4167" s="452">
        <v>45756</v>
      </c>
      <c r="N4167">
        <v>51.11</v>
      </c>
      <c r="O4167">
        <v>3.08</v>
      </c>
      <c r="P4167">
        <v>1928.89</v>
      </c>
    </row>
    <row r="4168" spans="1:16" x14ac:dyDescent="0.3">
      <c r="A4168">
        <v>31131</v>
      </c>
      <c r="B4168">
        <v>105</v>
      </c>
      <c r="C4168" t="s">
        <v>557</v>
      </c>
      <c r="D4168" s="452">
        <v>45778</v>
      </c>
      <c r="E4168">
        <v>22839</v>
      </c>
      <c r="F4168" t="s">
        <v>4875</v>
      </c>
      <c r="G4168">
        <v>2938</v>
      </c>
      <c r="H4168">
        <v>23</v>
      </c>
      <c r="I4168" t="s">
        <v>4744</v>
      </c>
      <c r="J4168" t="s">
        <v>5191</v>
      </c>
      <c r="K4168" t="s">
        <v>4436</v>
      </c>
      <c r="L4168">
        <v>0</v>
      </c>
      <c r="M4168" s="452">
        <v>45685</v>
      </c>
      <c r="N4168">
        <v>79.900000000000006</v>
      </c>
      <c r="O4168">
        <v>77.900000000000006</v>
      </c>
      <c r="P4168">
        <v>1837.7</v>
      </c>
    </row>
    <row r="4169" spans="1:16" x14ac:dyDescent="0.3">
      <c r="A4169">
        <v>31151</v>
      </c>
      <c r="B4169">
        <v>105</v>
      </c>
      <c r="C4169" t="s">
        <v>557</v>
      </c>
      <c r="D4169" s="452">
        <v>45778</v>
      </c>
      <c r="E4169">
        <v>18636</v>
      </c>
      <c r="F4169" t="s">
        <v>4964</v>
      </c>
      <c r="G4169">
        <v>3075</v>
      </c>
      <c r="H4169">
        <v>4</v>
      </c>
      <c r="I4169" t="s">
        <v>4965</v>
      </c>
      <c r="J4169" t="s">
        <v>5222</v>
      </c>
      <c r="K4169" t="s">
        <v>4436</v>
      </c>
      <c r="L4169">
        <v>446.16</v>
      </c>
      <c r="M4169" s="452">
        <v>45777</v>
      </c>
      <c r="N4169">
        <v>446.16</v>
      </c>
      <c r="O4169">
        <v>669.24</v>
      </c>
      <c r="P4169">
        <v>1784.64</v>
      </c>
    </row>
    <row r="4170" spans="1:16" x14ac:dyDescent="0.3">
      <c r="A4170">
        <v>31142</v>
      </c>
      <c r="B4170">
        <v>105</v>
      </c>
      <c r="C4170" t="s">
        <v>557</v>
      </c>
      <c r="D4170" s="452">
        <v>45778</v>
      </c>
      <c r="E4170">
        <v>25789</v>
      </c>
      <c r="F4170" t="s">
        <v>4902</v>
      </c>
      <c r="G4170">
        <v>6328</v>
      </c>
      <c r="H4170">
        <v>11.6</v>
      </c>
      <c r="I4170" t="s">
        <v>4744</v>
      </c>
      <c r="J4170" t="s">
        <v>5191</v>
      </c>
      <c r="K4170" t="s">
        <v>4436</v>
      </c>
      <c r="L4170">
        <v>0</v>
      </c>
      <c r="M4170" s="452">
        <v>45671</v>
      </c>
      <c r="N4170">
        <v>99.8</v>
      </c>
      <c r="O4170">
        <v>99.8</v>
      </c>
      <c r="P4170">
        <v>1157.68</v>
      </c>
    </row>
    <row r="4171" spans="1:16" x14ac:dyDescent="0.3">
      <c r="A4171">
        <v>31132</v>
      </c>
      <c r="B4171">
        <v>105</v>
      </c>
      <c r="C4171" t="s">
        <v>557</v>
      </c>
      <c r="D4171" s="452">
        <v>45778</v>
      </c>
      <c r="E4171">
        <v>25777</v>
      </c>
      <c r="F4171" t="s">
        <v>4774</v>
      </c>
      <c r="G4171">
        <v>6322</v>
      </c>
      <c r="H4171">
        <v>12.17</v>
      </c>
      <c r="I4171" t="s">
        <v>4744</v>
      </c>
      <c r="J4171" t="s">
        <v>5191</v>
      </c>
      <c r="K4171" t="s">
        <v>4436</v>
      </c>
      <c r="L4171">
        <v>83</v>
      </c>
      <c r="M4171" s="452">
        <v>45772</v>
      </c>
      <c r="N4171">
        <v>83</v>
      </c>
      <c r="O4171">
        <v>83</v>
      </c>
      <c r="P4171">
        <v>1010.11</v>
      </c>
    </row>
    <row r="4172" spans="1:16" x14ac:dyDescent="0.3">
      <c r="A4172">
        <v>30982</v>
      </c>
      <c r="B4172">
        <v>105</v>
      </c>
      <c r="C4172" t="s">
        <v>557</v>
      </c>
      <c r="D4172" s="452">
        <v>45778</v>
      </c>
      <c r="E4172">
        <v>21024</v>
      </c>
      <c r="F4172" t="s">
        <v>5403</v>
      </c>
      <c r="G4172">
        <v>2003</v>
      </c>
      <c r="H4172">
        <v>6</v>
      </c>
      <c r="I4172" t="s">
        <v>4884</v>
      </c>
      <c r="J4172" t="s">
        <v>5191</v>
      </c>
      <c r="K4172" t="s">
        <v>4436</v>
      </c>
      <c r="L4172">
        <v>167.56</v>
      </c>
      <c r="M4172" s="452">
        <v>45777</v>
      </c>
      <c r="N4172">
        <v>167.97</v>
      </c>
      <c r="O4172">
        <v>167.97</v>
      </c>
      <c r="P4172">
        <v>1005.36</v>
      </c>
    </row>
    <row r="4173" spans="1:16" x14ac:dyDescent="0.3">
      <c r="A4173">
        <v>31123</v>
      </c>
      <c r="B4173">
        <v>105</v>
      </c>
      <c r="C4173" t="s">
        <v>557</v>
      </c>
      <c r="D4173" s="452">
        <v>45778</v>
      </c>
      <c r="E4173">
        <v>25779</v>
      </c>
      <c r="F4173" t="s">
        <v>5456</v>
      </c>
      <c r="G4173">
        <v>6323</v>
      </c>
      <c r="H4173">
        <v>35.72</v>
      </c>
      <c r="I4173" t="s">
        <v>4744</v>
      </c>
      <c r="J4173" t="s">
        <v>5191</v>
      </c>
      <c r="K4173" t="s">
        <v>4436</v>
      </c>
      <c r="L4173">
        <v>27.9</v>
      </c>
      <c r="M4173" s="452">
        <v>45777</v>
      </c>
      <c r="N4173">
        <v>27.9</v>
      </c>
      <c r="O4173">
        <v>27.9</v>
      </c>
      <c r="P4173">
        <v>996.59</v>
      </c>
    </row>
    <row r="4174" spans="1:16" x14ac:dyDescent="0.3">
      <c r="A4174">
        <v>31185</v>
      </c>
      <c r="B4174">
        <v>105</v>
      </c>
      <c r="C4174" t="s">
        <v>557</v>
      </c>
      <c r="D4174" s="452">
        <v>45778</v>
      </c>
      <c r="E4174">
        <v>18179</v>
      </c>
      <c r="F4174" t="s">
        <v>4924</v>
      </c>
      <c r="G4174">
        <v>3443</v>
      </c>
      <c r="H4174">
        <v>9</v>
      </c>
      <c r="I4174" t="s">
        <v>4805</v>
      </c>
      <c r="J4174" t="s">
        <v>5222</v>
      </c>
      <c r="K4174" t="s">
        <v>4436</v>
      </c>
      <c r="L4174">
        <v>0</v>
      </c>
      <c r="M4174" s="452">
        <v>45646</v>
      </c>
      <c r="N4174">
        <v>102.56</v>
      </c>
      <c r="O4174">
        <v>4.0599999999999996</v>
      </c>
      <c r="P4174">
        <v>923.04</v>
      </c>
    </row>
    <row r="4175" spans="1:16" x14ac:dyDescent="0.3">
      <c r="A4175">
        <v>31156</v>
      </c>
      <c r="B4175">
        <v>105</v>
      </c>
      <c r="C4175" t="s">
        <v>557</v>
      </c>
      <c r="D4175" s="452">
        <v>45778</v>
      </c>
      <c r="E4175">
        <v>18550</v>
      </c>
      <c r="F4175" t="s">
        <v>4967</v>
      </c>
      <c r="G4175">
        <v>3130</v>
      </c>
      <c r="H4175">
        <v>5</v>
      </c>
      <c r="I4175" t="s">
        <v>4805</v>
      </c>
      <c r="J4175" t="s">
        <v>5222</v>
      </c>
      <c r="K4175" t="s">
        <v>4436</v>
      </c>
      <c r="L4175">
        <v>183.08</v>
      </c>
      <c r="M4175" s="452">
        <v>45757</v>
      </c>
      <c r="N4175">
        <v>183.08</v>
      </c>
      <c r="O4175">
        <v>12.62</v>
      </c>
      <c r="P4175">
        <v>915.4</v>
      </c>
    </row>
    <row r="4176" spans="1:16" x14ac:dyDescent="0.3">
      <c r="A4176">
        <v>31145</v>
      </c>
      <c r="B4176">
        <v>105</v>
      </c>
      <c r="C4176" t="s">
        <v>557</v>
      </c>
      <c r="D4176" s="452">
        <v>45778</v>
      </c>
      <c r="E4176">
        <v>24129</v>
      </c>
      <c r="F4176" t="s">
        <v>4740</v>
      </c>
      <c r="G4176">
        <v>3076</v>
      </c>
      <c r="H4176">
        <v>118</v>
      </c>
      <c r="I4176" t="s">
        <v>4736</v>
      </c>
      <c r="J4176" t="s">
        <v>5222</v>
      </c>
      <c r="K4176" t="s">
        <v>4436</v>
      </c>
      <c r="L4176">
        <v>0</v>
      </c>
      <c r="M4176" s="452">
        <v>45512</v>
      </c>
      <c r="N4176">
        <v>7.7</v>
      </c>
      <c r="O4176">
        <v>7.95</v>
      </c>
      <c r="P4176">
        <v>908.6</v>
      </c>
    </row>
    <row r="4177" spans="1:16" x14ac:dyDescent="0.3">
      <c r="A4177">
        <v>30993</v>
      </c>
      <c r="B4177">
        <v>105</v>
      </c>
      <c r="C4177" t="s">
        <v>557</v>
      </c>
      <c r="D4177" s="452">
        <v>45778</v>
      </c>
      <c r="E4177">
        <v>20501</v>
      </c>
      <c r="F4177" t="s">
        <v>4760</v>
      </c>
      <c r="G4177">
        <v>2154</v>
      </c>
      <c r="H4177">
        <v>40.58</v>
      </c>
      <c r="I4177" t="s">
        <v>4744</v>
      </c>
      <c r="J4177" t="s">
        <v>5191</v>
      </c>
      <c r="K4177" t="s">
        <v>4436</v>
      </c>
      <c r="L4177">
        <v>22.22</v>
      </c>
      <c r="M4177" s="452">
        <v>45757</v>
      </c>
      <c r="N4177">
        <v>23.1</v>
      </c>
      <c r="O4177">
        <v>19.989999999999998</v>
      </c>
      <c r="P4177">
        <v>901.69</v>
      </c>
    </row>
    <row r="4178" spans="1:16" x14ac:dyDescent="0.3">
      <c r="A4178">
        <v>31105</v>
      </c>
      <c r="B4178">
        <v>105</v>
      </c>
      <c r="C4178" t="s">
        <v>557</v>
      </c>
      <c r="D4178" s="452">
        <v>45778</v>
      </c>
      <c r="E4178">
        <v>19421</v>
      </c>
      <c r="F4178" t="s">
        <v>4918</v>
      </c>
      <c r="G4178">
        <v>2758</v>
      </c>
      <c r="H4178">
        <v>17</v>
      </c>
      <c r="I4178" t="s">
        <v>4749</v>
      </c>
      <c r="J4178" t="s">
        <v>5191</v>
      </c>
      <c r="K4178" t="s">
        <v>4436</v>
      </c>
      <c r="L4178">
        <v>50.68</v>
      </c>
      <c r="M4178" s="452">
        <v>45777</v>
      </c>
      <c r="N4178">
        <v>5.89</v>
      </c>
      <c r="O4178">
        <v>57.24</v>
      </c>
      <c r="P4178">
        <v>861.56</v>
      </c>
    </row>
    <row r="4179" spans="1:16" x14ac:dyDescent="0.3">
      <c r="A4179">
        <v>31139</v>
      </c>
      <c r="B4179">
        <v>105</v>
      </c>
      <c r="C4179" t="s">
        <v>557</v>
      </c>
      <c r="D4179" s="452">
        <v>45778</v>
      </c>
      <c r="E4179">
        <v>18735</v>
      </c>
      <c r="F4179" t="s">
        <v>4891</v>
      </c>
      <c r="G4179">
        <v>3018</v>
      </c>
      <c r="H4179">
        <v>11.55</v>
      </c>
      <c r="I4179" t="s">
        <v>4744</v>
      </c>
      <c r="J4179" t="s">
        <v>5191</v>
      </c>
      <c r="K4179" t="s">
        <v>4436</v>
      </c>
      <c r="L4179">
        <v>0</v>
      </c>
      <c r="M4179" s="452">
        <v>45740</v>
      </c>
      <c r="N4179">
        <v>74</v>
      </c>
      <c r="O4179">
        <v>112</v>
      </c>
      <c r="P4179">
        <v>854.7</v>
      </c>
    </row>
    <row r="4180" spans="1:16" x14ac:dyDescent="0.3">
      <c r="A4180">
        <v>30991</v>
      </c>
      <c r="B4180">
        <v>105</v>
      </c>
      <c r="C4180" t="s">
        <v>557</v>
      </c>
      <c r="D4180" s="452">
        <v>45778</v>
      </c>
      <c r="E4180">
        <v>20544</v>
      </c>
      <c r="F4180" t="s">
        <v>4808</v>
      </c>
      <c r="G4180">
        <v>2144</v>
      </c>
      <c r="H4180">
        <v>21.68</v>
      </c>
      <c r="I4180" t="s">
        <v>4744</v>
      </c>
      <c r="J4180" t="s">
        <v>5191</v>
      </c>
      <c r="K4180" t="s">
        <v>4436</v>
      </c>
      <c r="L4180">
        <v>0</v>
      </c>
      <c r="M4180" s="452">
        <v>45705</v>
      </c>
      <c r="N4180">
        <v>38.32</v>
      </c>
      <c r="O4180">
        <v>38.32</v>
      </c>
      <c r="P4180">
        <v>830.78</v>
      </c>
    </row>
    <row r="4181" spans="1:16" x14ac:dyDescent="0.3">
      <c r="A4181">
        <v>31119</v>
      </c>
      <c r="B4181">
        <v>105</v>
      </c>
      <c r="C4181" t="s">
        <v>557</v>
      </c>
      <c r="D4181" s="452">
        <v>45778</v>
      </c>
      <c r="E4181">
        <v>24081</v>
      </c>
      <c r="F4181" t="s">
        <v>4834</v>
      </c>
      <c r="G4181">
        <v>3034</v>
      </c>
      <c r="H4181">
        <v>22.45</v>
      </c>
      <c r="I4181" t="s">
        <v>4744</v>
      </c>
      <c r="J4181" t="s">
        <v>5191</v>
      </c>
      <c r="K4181" t="s">
        <v>4436</v>
      </c>
      <c r="L4181">
        <v>35.65</v>
      </c>
      <c r="M4181" s="452">
        <v>45772</v>
      </c>
      <c r="N4181">
        <v>37.200000000000003</v>
      </c>
      <c r="O4181">
        <v>2.72</v>
      </c>
      <c r="P4181">
        <v>800.34</v>
      </c>
    </row>
    <row r="4182" spans="1:16" x14ac:dyDescent="0.3">
      <c r="A4182">
        <v>31258</v>
      </c>
      <c r="B4182">
        <v>105</v>
      </c>
      <c r="C4182" t="s">
        <v>557</v>
      </c>
      <c r="D4182" s="452">
        <v>45778</v>
      </c>
      <c r="E4182">
        <v>26505</v>
      </c>
      <c r="F4182" t="s">
        <v>4750</v>
      </c>
      <c r="G4182">
        <v>6762</v>
      </c>
      <c r="H4182">
        <v>3.92</v>
      </c>
      <c r="I4182" t="s">
        <v>4738</v>
      </c>
      <c r="J4182" t="s">
        <v>5222</v>
      </c>
      <c r="K4182" t="s">
        <v>4436</v>
      </c>
      <c r="L4182">
        <v>0</v>
      </c>
      <c r="M4182" s="452">
        <v>45722</v>
      </c>
      <c r="N4182">
        <v>203.42</v>
      </c>
      <c r="O4182">
        <v>146.80000000000001</v>
      </c>
      <c r="P4182">
        <v>796.73</v>
      </c>
    </row>
    <row r="4183" spans="1:16" x14ac:dyDescent="0.3">
      <c r="A4183">
        <v>30945</v>
      </c>
      <c r="B4183">
        <v>105</v>
      </c>
      <c r="C4183" t="s">
        <v>557</v>
      </c>
      <c r="D4183" s="452">
        <v>45778</v>
      </c>
      <c r="E4183">
        <v>21054</v>
      </c>
      <c r="F4183" t="s">
        <v>5492</v>
      </c>
      <c r="G4183">
        <v>1999</v>
      </c>
      <c r="H4183">
        <v>4</v>
      </c>
      <c r="I4183" t="s">
        <v>4736</v>
      </c>
      <c r="J4183" t="s">
        <v>5191</v>
      </c>
      <c r="K4183" t="s">
        <v>4436</v>
      </c>
      <c r="L4183">
        <v>0</v>
      </c>
      <c r="M4183" s="452">
        <v>45678</v>
      </c>
      <c r="N4183">
        <v>184.9</v>
      </c>
      <c r="O4183">
        <v>184.9</v>
      </c>
      <c r="P4183">
        <v>739.6</v>
      </c>
    </row>
    <row r="4184" spans="1:16" x14ac:dyDescent="0.3">
      <c r="A4184">
        <v>31108</v>
      </c>
      <c r="B4184">
        <v>105</v>
      </c>
      <c r="C4184" t="s">
        <v>557</v>
      </c>
      <c r="D4184" s="452">
        <v>45778</v>
      </c>
      <c r="E4184">
        <v>19356</v>
      </c>
      <c r="F4184" t="s">
        <v>4799</v>
      </c>
      <c r="G4184">
        <v>2768</v>
      </c>
      <c r="H4184">
        <v>12.65</v>
      </c>
      <c r="I4184" t="s">
        <v>4744</v>
      </c>
      <c r="J4184" t="s">
        <v>5191</v>
      </c>
      <c r="K4184" t="s">
        <v>4436</v>
      </c>
      <c r="L4184">
        <v>55.5</v>
      </c>
      <c r="M4184" s="452">
        <v>45756</v>
      </c>
      <c r="N4184">
        <v>55.5</v>
      </c>
      <c r="O4184">
        <v>55.78</v>
      </c>
      <c r="P4184">
        <v>702.08</v>
      </c>
    </row>
    <row r="4185" spans="1:16" x14ac:dyDescent="0.3">
      <c r="A4185">
        <v>31136</v>
      </c>
      <c r="B4185">
        <v>105</v>
      </c>
      <c r="C4185" t="s">
        <v>557</v>
      </c>
      <c r="D4185" s="452">
        <v>45778</v>
      </c>
      <c r="E4185">
        <v>18832</v>
      </c>
      <c r="F4185" t="s">
        <v>4785</v>
      </c>
      <c r="G4185">
        <v>2950</v>
      </c>
      <c r="H4185">
        <v>14.69</v>
      </c>
      <c r="I4185" t="s">
        <v>4744</v>
      </c>
      <c r="J4185" t="s">
        <v>5191</v>
      </c>
      <c r="K4185" t="s">
        <v>4436</v>
      </c>
      <c r="L4185">
        <v>47</v>
      </c>
      <c r="M4185" s="452">
        <v>45777</v>
      </c>
      <c r="N4185">
        <v>47</v>
      </c>
      <c r="O4185">
        <v>47</v>
      </c>
      <c r="P4185">
        <v>690.43</v>
      </c>
    </row>
    <row r="4186" spans="1:16" x14ac:dyDescent="0.3">
      <c r="A4186">
        <v>31113</v>
      </c>
      <c r="B4186">
        <v>105</v>
      </c>
      <c r="C4186" t="s">
        <v>557</v>
      </c>
      <c r="D4186" s="452">
        <v>45778</v>
      </c>
      <c r="E4186">
        <v>19291</v>
      </c>
      <c r="F4186" t="s">
        <v>4870</v>
      </c>
      <c r="G4186">
        <v>2775</v>
      </c>
      <c r="H4186">
        <v>9.44</v>
      </c>
      <c r="I4186" t="s">
        <v>4744</v>
      </c>
      <c r="J4186" t="s">
        <v>5191</v>
      </c>
      <c r="K4186" t="s">
        <v>4436</v>
      </c>
      <c r="L4186">
        <v>72.25</v>
      </c>
      <c r="M4186" s="452">
        <v>45763</v>
      </c>
      <c r="N4186">
        <v>72.25</v>
      </c>
      <c r="O4186">
        <v>60</v>
      </c>
      <c r="P4186">
        <v>682.04</v>
      </c>
    </row>
    <row r="4187" spans="1:16" x14ac:dyDescent="0.3">
      <c r="A4187">
        <v>30929</v>
      </c>
      <c r="B4187">
        <v>105</v>
      </c>
      <c r="C4187" t="s">
        <v>557</v>
      </c>
      <c r="D4187" s="452">
        <v>45778</v>
      </c>
      <c r="E4187">
        <v>17062</v>
      </c>
      <c r="F4187" t="s">
        <v>4880</v>
      </c>
      <c r="G4187">
        <v>1954</v>
      </c>
      <c r="H4187">
        <v>5</v>
      </c>
      <c r="I4187" t="s">
        <v>4879</v>
      </c>
      <c r="J4187" t="s">
        <v>5191</v>
      </c>
      <c r="K4187" t="s">
        <v>4436</v>
      </c>
      <c r="L4187">
        <v>0</v>
      </c>
      <c r="M4187" s="452">
        <v>45698</v>
      </c>
      <c r="N4187">
        <v>126</v>
      </c>
      <c r="O4187">
        <v>45.01</v>
      </c>
      <c r="P4187">
        <v>630</v>
      </c>
    </row>
    <row r="4188" spans="1:16" x14ac:dyDescent="0.3">
      <c r="A4188">
        <v>31224</v>
      </c>
      <c r="B4188">
        <v>105</v>
      </c>
      <c r="C4188" t="s">
        <v>557</v>
      </c>
      <c r="D4188" s="452">
        <v>45778</v>
      </c>
      <c r="E4188">
        <v>17607</v>
      </c>
      <c r="F4188" t="s">
        <v>5436</v>
      </c>
      <c r="G4188">
        <v>3919</v>
      </c>
      <c r="H4188">
        <v>5</v>
      </c>
      <c r="I4188" t="s">
        <v>4736</v>
      </c>
      <c r="J4188" t="s">
        <v>5222</v>
      </c>
      <c r="K4188" t="s">
        <v>4436</v>
      </c>
      <c r="L4188">
        <v>0</v>
      </c>
      <c r="M4188" s="452">
        <v>-693593</v>
      </c>
      <c r="N4188">
        <v>0</v>
      </c>
      <c r="O4188">
        <v>0</v>
      </c>
      <c r="P4188">
        <v>611.54999999999995</v>
      </c>
    </row>
    <row r="4189" spans="1:16" x14ac:dyDescent="0.3">
      <c r="A4189">
        <v>31125</v>
      </c>
      <c r="B4189">
        <v>105</v>
      </c>
      <c r="C4189" t="s">
        <v>557</v>
      </c>
      <c r="D4189" s="452">
        <v>45778</v>
      </c>
      <c r="E4189">
        <v>19041</v>
      </c>
      <c r="F4189" t="s">
        <v>4762</v>
      </c>
      <c r="G4189">
        <v>2890</v>
      </c>
      <c r="H4189">
        <v>33.26</v>
      </c>
      <c r="I4189" t="s">
        <v>4744</v>
      </c>
      <c r="J4189" t="s">
        <v>5191</v>
      </c>
      <c r="K4189" t="s">
        <v>4436</v>
      </c>
      <c r="L4189">
        <v>17.899999999999999</v>
      </c>
      <c r="M4189" s="452">
        <v>45772</v>
      </c>
      <c r="N4189">
        <v>0</v>
      </c>
      <c r="O4189">
        <v>15.99</v>
      </c>
      <c r="P4189">
        <v>595.35</v>
      </c>
    </row>
    <row r="4190" spans="1:16" x14ac:dyDescent="0.3">
      <c r="A4190">
        <v>31149</v>
      </c>
      <c r="B4190">
        <v>105</v>
      </c>
      <c r="C4190" t="s">
        <v>557</v>
      </c>
      <c r="D4190" s="452">
        <v>45778</v>
      </c>
      <c r="E4190">
        <v>22652</v>
      </c>
      <c r="F4190" t="s">
        <v>4759</v>
      </c>
      <c r="G4190">
        <v>3085</v>
      </c>
      <c r="H4190">
        <v>96</v>
      </c>
      <c r="I4190" t="s">
        <v>4736</v>
      </c>
      <c r="J4190" t="s">
        <v>5222</v>
      </c>
      <c r="K4190" t="s">
        <v>4436</v>
      </c>
      <c r="L4190">
        <v>0</v>
      </c>
      <c r="M4190" s="452">
        <v>45679</v>
      </c>
      <c r="N4190">
        <v>5.95</v>
      </c>
      <c r="O4190">
        <v>4.09</v>
      </c>
      <c r="P4190">
        <v>571.20000000000005</v>
      </c>
    </row>
    <row r="4191" spans="1:16" x14ac:dyDescent="0.3">
      <c r="A4191">
        <v>31120</v>
      </c>
      <c r="B4191">
        <v>105</v>
      </c>
      <c r="C4191" t="s">
        <v>557</v>
      </c>
      <c r="D4191" s="452">
        <v>45778</v>
      </c>
      <c r="E4191">
        <v>24116</v>
      </c>
      <c r="F4191" t="s">
        <v>4777</v>
      </c>
      <c r="G4191">
        <v>2924</v>
      </c>
      <c r="H4191">
        <v>12.79</v>
      </c>
      <c r="I4191" t="s">
        <v>4744</v>
      </c>
      <c r="J4191" t="s">
        <v>5191</v>
      </c>
      <c r="K4191" t="s">
        <v>4436</v>
      </c>
      <c r="L4191">
        <v>44</v>
      </c>
      <c r="M4191" s="452">
        <v>45770</v>
      </c>
      <c r="N4191">
        <v>44</v>
      </c>
      <c r="O4191">
        <v>44</v>
      </c>
      <c r="P4191">
        <v>562.76</v>
      </c>
    </row>
    <row r="4192" spans="1:16" x14ac:dyDescent="0.3">
      <c r="A4192">
        <v>31141</v>
      </c>
      <c r="B4192">
        <v>105</v>
      </c>
      <c r="C4192" t="s">
        <v>557</v>
      </c>
      <c r="D4192" s="452">
        <v>45778</v>
      </c>
      <c r="E4192">
        <v>18731</v>
      </c>
      <c r="F4192" t="s">
        <v>4832</v>
      </c>
      <c r="G4192">
        <v>3020</v>
      </c>
      <c r="H4192">
        <v>6.69</v>
      </c>
      <c r="I4192" t="s">
        <v>4744</v>
      </c>
      <c r="J4192" t="s">
        <v>5191</v>
      </c>
      <c r="K4192" t="s">
        <v>4436</v>
      </c>
      <c r="L4192">
        <v>83.9</v>
      </c>
      <c r="M4192" s="452">
        <v>45763</v>
      </c>
      <c r="N4192">
        <v>83.9</v>
      </c>
      <c r="O4192">
        <v>2.09</v>
      </c>
      <c r="P4192">
        <v>561.29</v>
      </c>
    </row>
    <row r="4193" spans="1:16" x14ac:dyDescent="0.3">
      <c r="A4193">
        <v>31134</v>
      </c>
      <c r="B4193">
        <v>105</v>
      </c>
      <c r="C4193" t="s">
        <v>557</v>
      </c>
      <c r="D4193" s="452">
        <v>45778</v>
      </c>
      <c r="E4193">
        <v>19003</v>
      </c>
      <c r="F4193" t="s">
        <v>4810</v>
      </c>
      <c r="G4193">
        <v>2897</v>
      </c>
      <c r="H4193">
        <v>15.5</v>
      </c>
      <c r="I4193" t="s">
        <v>4744</v>
      </c>
      <c r="J4193" t="s">
        <v>5191</v>
      </c>
      <c r="K4193" t="s">
        <v>4436</v>
      </c>
      <c r="L4193">
        <v>35.9</v>
      </c>
      <c r="M4193" s="452">
        <v>45771</v>
      </c>
      <c r="N4193">
        <v>35.9</v>
      </c>
      <c r="O4193">
        <v>35.9</v>
      </c>
      <c r="P4193">
        <v>556.45000000000005</v>
      </c>
    </row>
    <row r="4194" spans="1:16" x14ac:dyDescent="0.3">
      <c r="A4194">
        <v>30956</v>
      </c>
      <c r="B4194">
        <v>105</v>
      </c>
      <c r="C4194" t="s">
        <v>557</v>
      </c>
      <c r="D4194" s="452">
        <v>45778</v>
      </c>
      <c r="E4194">
        <v>20716</v>
      </c>
      <c r="F4194" t="s">
        <v>5053</v>
      </c>
      <c r="G4194">
        <v>2098</v>
      </c>
      <c r="H4194">
        <v>4.5</v>
      </c>
      <c r="I4194" t="s">
        <v>4744</v>
      </c>
      <c r="J4194" t="s">
        <v>5191</v>
      </c>
      <c r="K4194" t="s">
        <v>4436</v>
      </c>
      <c r="L4194">
        <v>0</v>
      </c>
      <c r="M4194" s="452">
        <v>-693593</v>
      </c>
      <c r="N4194">
        <v>0</v>
      </c>
      <c r="O4194">
        <v>0</v>
      </c>
      <c r="P4194">
        <v>537.92999999999995</v>
      </c>
    </row>
    <row r="4195" spans="1:16" x14ac:dyDescent="0.3">
      <c r="A4195">
        <v>31150</v>
      </c>
      <c r="B4195">
        <v>105</v>
      </c>
      <c r="C4195" t="s">
        <v>557</v>
      </c>
      <c r="D4195" s="452">
        <v>45778</v>
      </c>
      <c r="E4195">
        <v>22623</v>
      </c>
      <c r="F4195" t="s">
        <v>4751</v>
      </c>
      <c r="G4195">
        <v>3106</v>
      </c>
      <c r="H4195">
        <v>78</v>
      </c>
      <c r="I4195" t="s">
        <v>4736</v>
      </c>
      <c r="J4195" t="s">
        <v>5222</v>
      </c>
      <c r="K4195" t="s">
        <v>4436</v>
      </c>
      <c r="L4195">
        <v>0</v>
      </c>
      <c r="M4195" s="452">
        <v>45679</v>
      </c>
      <c r="N4195">
        <v>6.83</v>
      </c>
      <c r="O4195">
        <v>6.83</v>
      </c>
      <c r="P4195">
        <v>532.74</v>
      </c>
    </row>
    <row r="4196" spans="1:16" x14ac:dyDescent="0.3">
      <c r="A4196">
        <v>31106</v>
      </c>
      <c r="B4196">
        <v>105</v>
      </c>
      <c r="C4196" t="s">
        <v>557</v>
      </c>
      <c r="D4196" s="452">
        <v>45778</v>
      </c>
      <c r="E4196">
        <v>19401</v>
      </c>
      <c r="F4196" t="s">
        <v>4809</v>
      </c>
      <c r="G4196">
        <v>2761</v>
      </c>
      <c r="H4196">
        <v>11</v>
      </c>
      <c r="I4196" t="s">
        <v>4744</v>
      </c>
      <c r="J4196" t="s">
        <v>5191</v>
      </c>
      <c r="K4196" t="s">
        <v>4436</v>
      </c>
      <c r="L4196">
        <v>45.98</v>
      </c>
      <c r="M4196" s="452">
        <v>45777</v>
      </c>
      <c r="N4196">
        <v>45.98</v>
      </c>
      <c r="O4196">
        <v>44.32</v>
      </c>
      <c r="P4196">
        <v>505.78</v>
      </c>
    </row>
    <row r="4197" spans="1:16" x14ac:dyDescent="0.3">
      <c r="A4197">
        <v>31260</v>
      </c>
      <c r="B4197">
        <v>105</v>
      </c>
      <c r="C4197" t="s">
        <v>557</v>
      </c>
      <c r="D4197" s="452">
        <v>45778</v>
      </c>
      <c r="E4197">
        <v>21047</v>
      </c>
      <c r="F4197" t="s">
        <v>4847</v>
      </c>
      <c r="G4197">
        <v>1999</v>
      </c>
      <c r="H4197">
        <v>2.83</v>
      </c>
      <c r="I4197" t="s">
        <v>4848</v>
      </c>
      <c r="J4197" t="s">
        <v>5191</v>
      </c>
      <c r="K4197" t="s">
        <v>4436</v>
      </c>
      <c r="L4197">
        <v>177.76</v>
      </c>
      <c r="M4197" s="452">
        <v>45777</v>
      </c>
      <c r="N4197">
        <v>174.85</v>
      </c>
      <c r="O4197">
        <v>175.12</v>
      </c>
      <c r="P4197">
        <v>503.06</v>
      </c>
    </row>
    <row r="4198" spans="1:16" x14ac:dyDescent="0.3">
      <c r="A4198">
        <v>31126</v>
      </c>
      <c r="B4198">
        <v>105</v>
      </c>
      <c r="C4198" t="s">
        <v>557</v>
      </c>
      <c r="D4198" s="452">
        <v>45778</v>
      </c>
      <c r="E4198">
        <v>22843</v>
      </c>
      <c r="F4198" t="s">
        <v>4849</v>
      </c>
      <c r="G4198">
        <v>2936</v>
      </c>
      <c r="H4198">
        <v>10</v>
      </c>
      <c r="I4198" t="s">
        <v>4744</v>
      </c>
      <c r="J4198" t="s">
        <v>5191</v>
      </c>
      <c r="K4198" t="s">
        <v>4436</v>
      </c>
      <c r="L4198">
        <v>49</v>
      </c>
      <c r="M4198" s="452">
        <v>45770</v>
      </c>
      <c r="N4198">
        <v>49</v>
      </c>
      <c r="O4198">
        <v>49</v>
      </c>
      <c r="P4198">
        <v>490</v>
      </c>
    </row>
    <row r="4199" spans="1:16" x14ac:dyDescent="0.3">
      <c r="A4199">
        <v>31217</v>
      </c>
      <c r="B4199">
        <v>105</v>
      </c>
      <c r="C4199" t="s">
        <v>557</v>
      </c>
      <c r="D4199" s="452">
        <v>45778</v>
      </c>
      <c r="E4199">
        <v>26036</v>
      </c>
      <c r="F4199" t="s">
        <v>4841</v>
      </c>
      <c r="G4199">
        <v>6505</v>
      </c>
      <c r="H4199">
        <v>7</v>
      </c>
      <c r="I4199" t="s">
        <v>4805</v>
      </c>
      <c r="J4199" t="s">
        <v>5222</v>
      </c>
      <c r="K4199" t="s">
        <v>4436</v>
      </c>
      <c r="L4199">
        <v>0</v>
      </c>
      <c r="M4199" s="452">
        <v>45742</v>
      </c>
      <c r="N4199">
        <v>69.23</v>
      </c>
      <c r="O4199">
        <v>69.23</v>
      </c>
      <c r="P4199">
        <v>484.61</v>
      </c>
    </row>
    <row r="4200" spans="1:16" x14ac:dyDescent="0.3">
      <c r="A4200">
        <v>31118</v>
      </c>
      <c r="B4200">
        <v>105</v>
      </c>
      <c r="C4200" t="s">
        <v>557</v>
      </c>
      <c r="D4200" s="452">
        <v>45778</v>
      </c>
      <c r="E4200">
        <v>22721</v>
      </c>
      <c r="F4200" t="s">
        <v>4803</v>
      </c>
      <c r="G4200">
        <v>3033</v>
      </c>
      <c r="H4200">
        <v>12.68</v>
      </c>
      <c r="I4200" t="s">
        <v>4744</v>
      </c>
      <c r="J4200" t="s">
        <v>5191</v>
      </c>
      <c r="K4200" t="s">
        <v>4436</v>
      </c>
      <c r="L4200">
        <v>38.130000000000003</v>
      </c>
      <c r="M4200" s="452">
        <v>45763</v>
      </c>
      <c r="N4200">
        <v>33.75</v>
      </c>
      <c r="O4200">
        <v>67.03</v>
      </c>
      <c r="P4200">
        <v>483.49</v>
      </c>
    </row>
    <row r="4201" spans="1:16" x14ac:dyDescent="0.3">
      <c r="A4201">
        <v>31222</v>
      </c>
      <c r="B4201">
        <v>105</v>
      </c>
      <c r="C4201" t="s">
        <v>557</v>
      </c>
      <c r="D4201" s="452">
        <v>45778</v>
      </c>
      <c r="E4201">
        <v>17578</v>
      </c>
      <c r="F4201" t="s">
        <v>4842</v>
      </c>
      <c r="G4201">
        <v>3948</v>
      </c>
      <c r="H4201">
        <v>6</v>
      </c>
      <c r="I4201" t="s">
        <v>4805</v>
      </c>
      <c r="J4201" t="s">
        <v>5222</v>
      </c>
      <c r="K4201" t="s">
        <v>4436</v>
      </c>
      <c r="L4201">
        <v>0</v>
      </c>
      <c r="M4201" s="452">
        <v>45698</v>
      </c>
      <c r="N4201">
        <v>79.209999999999994</v>
      </c>
      <c r="O4201">
        <v>0</v>
      </c>
      <c r="P4201">
        <v>475.26</v>
      </c>
    </row>
    <row r="4202" spans="1:16" x14ac:dyDescent="0.3">
      <c r="A4202">
        <v>31135</v>
      </c>
      <c r="B4202">
        <v>105</v>
      </c>
      <c r="C4202" t="s">
        <v>557</v>
      </c>
      <c r="D4202" s="452">
        <v>45778</v>
      </c>
      <c r="E4202">
        <v>24320</v>
      </c>
      <c r="F4202" t="s">
        <v>4861</v>
      </c>
      <c r="G4202">
        <v>2942</v>
      </c>
      <c r="H4202">
        <v>9.41</v>
      </c>
      <c r="I4202" t="s">
        <v>4744</v>
      </c>
      <c r="J4202" t="s">
        <v>5191</v>
      </c>
      <c r="K4202" t="s">
        <v>4436</v>
      </c>
      <c r="L4202">
        <v>49.9</v>
      </c>
      <c r="M4202" s="452">
        <v>45756</v>
      </c>
      <c r="N4202">
        <v>49.9</v>
      </c>
      <c r="O4202">
        <v>45.9</v>
      </c>
      <c r="P4202">
        <v>469.56</v>
      </c>
    </row>
    <row r="4203" spans="1:16" x14ac:dyDescent="0.3">
      <c r="A4203">
        <v>31164</v>
      </c>
      <c r="B4203">
        <v>105</v>
      </c>
      <c r="C4203" t="s">
        <v>557</v>
      </c>
      <c r="D4203" s="452">
        <v>45778</v>
      </c>
      <c r="E4203">
        <v>18475</v>
      </c>
      <c r="F4203" t="s">
        <v>4895</v>
      </c>
      <c r="G4203">
        <v>3181</v>
      </c>
      <c r="H4203">
        <v>14</v>
      </c>
      <c r="I4203" t="s">
        <v>4805</v>
      </c>
      <c r="J4203" t="s">
        <v>5222</v>
      </c>
      <c r="K4203" t="s">
        <v>4436</v>
      </c>
      <c r="L4203">
        <v>32.9</v>
      </c>
      <c r="M4203" s="452">
        <v>45762</v>
      </c>
      <c r="N4203">
        <v>32.9</v>
      </c>
      <c r="O4203">
        <v>32.9</v>
      </c>
      <c r="P4203">
        <v>460.6</v>
      </c>
    </row>
    <row r="4204" spans="1:16" x14ac:dyDescent="0.3">
      <c r="A4204">
        <v>30931</v>
      </c>
      <c r="B4204">
        <v>105</v>
      </c>
      <c r="C4204" t="s">
        <v>557</v>
      </c>
      <c r="D4204" s="452">
        <v>45778</v>
      </c>
      <c r="E4204">
        <v>16997</v>
      </c>
      <c r="F4204" t="s">
        <v>5516</v>
      </c>
      <c r="G4204">
        <v>4750</v>
      </c>
      <c r="H4204">
        <v>13.35</v>
      </c>
      <c r="I4204" t="s">
        <v>4744</v>
      </c>
      <c r="J4204" t="s">
        <v>5191</v>
      </c>
      <c r="K4204" t="s">
        <v>4436</v>
      </c>
      <c r="L4204">
        <v>34.49</v>
      </c>
      <c r="M4204" s="452">
        <v>45750</v>
      </c>
      <c r="N4204">
        <v>34.49</v>
      </c>
      <c r="O4204">
        <v>34.49</v>
      </c>
      <c r="P4204">
        <v>460.44</v>
      </c>
    </row>
    <row r="4205" spans="1:16" x14ac:dyDescent="0.3">
      <c r="A4205">
        <v>30990</v>
      </c>
      <c r="B4205">
        <v>105</v>
      </c>
      <c r="C4205" t="s">
        <v>557</v>
      </c>
      <c r="D4205" s="452">
        <v>45778</v>
      </c>
      <c r="E4205">
        <v>20521</v>
      </c>
      <c r="F4205" t="s">
        <v>4797</v>
      </c>
      <c r="G4205">
        <v>2149</v>
      </c>
      <c r="H4205">
        <v>18.39</v>
      </c>
      <c r="I4205" t="s">
        <v>4744</v>
      </c>
      <c r="J4205" t="s">
        <v>5191</v>
      </c>
      <c r="K4205" t="s">
        <v>4436</v>
      </c>
      <c r="L4205">
        <v>24.38</v>
      </c>
      <c r="M4205" s="452">
        <v>45763</v>
      </c>
      <c r="N4205">
        <v>22.75</v>
      </c>
      <c r="O4205">
        <v>19.989999999999998</v>
      </c>
      <c r="P4205">
        <v>448.35</v>
      </c>
    </row>
    <row r="4206" spans="1:16" x14ac:dyDescent="0.3">
      <c r="A4206">
        <v>31259</v>
      </c>
      <c r="B4206">
        <v>105</v>
      </c>
      <c r="C4206" t="s">
        <v>557</v>
      </c>
      <c r="D4206" s="452">
        <v>45778</v>
      </c>
      <c r="E4206">
        <v>24973</v>
      </c>
      <c r="F4206" t="s">
        <v>4819</v>
      </c>
      <c r="G4206">
        <v>5845</v>
      </c>
      <c r="H4206">
        <v>6</v>
      </c>
      <c r="I4206" t="s">
        <v>4738</v>
      </c>
      <c r="J4206" t="s">
        <v>5222</v>
      </c>
      <c r="K4206" t="s">
        <v>4436</v>
      </c>
      <c r="L4206">
        <v>0</v>
      </c>
      <c r="M4206" s="452">
        <v>45737</v>
      </c>
      <c r="N4206">
        <v>74.64</v>
      </c>
      <c r="O4206">
        <v>74.64</v>
      </c>
      <c r="P4206">
        <v>447.84</v>
      </c>
    </row>
    <row r="4207" spans="1:16" x14ac:dyDescent="0.3">
      <c r="A4207">
        <v>31228</v>
      </c>
      <c r="B4207">
        <v>105</v>
      </c>
      <c r="C4207" t="s">
        <v>557</v>
      </c>
      <c r="D4207" s="452">
        <v>45778</v>
      </c>
      <c r="E4207">
        <v>26046</v>
      </c>
      <c r="F4207" t="s">
        <v>5148</v>
      </c>
      <c r="G4207">
        <v>6510</v>
      </c>
      <c r="H4207">
        <v>6</v>
      </c>
      <c r="I4207" t="s">
        <v>4805</v>
      </c>
      <c r="J4207" t="s">
        <v>5222</v>
      </c>
      <c r="K4207" t="s">
        <v>4436</v>
      </c>
      <c r="L4207">
        <v>0</v>
      </c>
      <c r="M4207" s="452">
        <v>45638</v>
      </c>
      <c r="N4207">
        <v>74.2</v>
      </c>
      <c r="O4207">
        <v>74.2</v>
      </c>
      <c r="P4207">
        <v>445.2</v>
      </c>
    </row>
    <row r="4208" spans="1:16" x14ac:dyDescent="0.3">
      <c r="A4208">
        <v>31152</v>
      </c>
      <c r="B4208">
        <v>105</v>
      </c>
      <c r="C4208" t="s">
        <v>557</v>
      </c>
      <c r="D4208" s="452">
        <v>45778</v>
      </c>
      <c r="E4208">
        <v>24981</v>
      </c>
      <c r="F4208" t="s">
        <v>5140</v>
      </c>
      <c r="G4208">
        <v>5849</v>
      </c>
      <c r="H4208">
        <v>1</v>
      </c>
      <c r="I4208" t="s">
        <v>4965</v>
      </c>
      <c r="J4208" t="s">
        <v>5222</v>
      </c>
      <c r="K4208" t="s">
        <v>4436</v>
      </c>
      <c r="L4208">
        <v>435</v>
      </c>
      <c r="M4208" s="452">
        <v>45770</v>
      </c>
      <c r="N4208">
        <v>435</v>
      </c>
      <c r="O4208">
        <v>435</v>
      </c>
      <c r="P4208">
        <v>435</v>
      </c>
    </row>
    <row r="4209" spans="1:16" x14ac:dyDescent="0.3">
      <c r="A4209">
        <v>31215</v>
      </c>
      <c r="B4209">
        <v>105</v>
      </c>
      <c r="C4209" t="s">
        <v>557</v>
      </c>
      <c r="D4209" s="452">
        <v>45778</v>
      </c>
      <c r="E4209">
        <v>25683</v>
      </c>
      <c r="F4209" t="s">
        <v>4928</v>
      </c>
      <c r="G4209">
        <v>6244</v>
      </c>
      <c r="H4209">
        <v>4</v>
      </c>
      <c r="I4209" t="s">
        <v>4805</v>
      </c>
      <c r="J4209" t="s">
        <v>5222</v>
      </c>
      <c r="K4209" t="s">
        <v>4436</v>
      </c>
      <c r="L4209">
        <v>0</v>
      </c>
      <c r="M4209" s="452">
        <v>45740</v>
      </c>
      <c r="N4209">
        <v>107.99</v>
      </c>
      <c r="O4209">
        <v>113.1</v>
      </c>
      <c r="P4209">
        <v>431.96</v>
      </c>
    </row>
    <row r="4210" spans="1:16" x14ac:dyDescent="0.3">
      <c r="A4210">
        <v>31220</v>
      </c>
      <c r="B4210">
        <v>105</v>
      </c>
      <c r="C4210" t="s">
        <v>557</v>
      </c>
      <c r="D4210" s="452">
        <v>45778</v>
      </c>
      <c r="E4210">
        <v>24614</v>
      </c>
      <c r="F4210" t="s">
        <v>4897</v>
      </c>
      <c r="G4210">
        <v>3855</v>
      </c>
      <c r="H4210">
        <v>6</v>
      </c>
      <c r="I4210" t="s">
        <v>4805</v>
      </c>
      <c r="J4210" t="s">
        <v>5222</v>
      </c>
      <c r="K4210" t="s">
        <v>4436</v>
      </c>
      <c r="L4210">
        <v>0</v>
      </c>
      <c r="M4210" s="452">
        <v>45548</v>
      </c>
      <c r="N4210">
        <v>69.650000000000006</v>
      </c>
      <c r="O4210">
        <v>0</v>
      </c>
      <c r="P4210">
        <v>417.9</v>
      </c>
    </row>
    <row r="4211" spans="1:16" x14ac:dyDescent="0.3">
      <c r="A4211">
        <v>31014</v>
      </c>
      <c r="B4211">
        <v>105</v>
      </c>
      <c r="C4211" t="s">
        <v>557</v>
      </c>
      <c r="D4211" s="452">
        <v>45778</v>
      </c>
      <c r="E4211">
        <v>20623</v>
      </c>
      <c r="F4211" t="s">
        <v>4814</v>
      </c>
      <c r="G4211">
        <v>2116</v>
      </c>
      <c r="H4211">
        <v>23.01</v>
      </c>
      <c r="I4211" t="s">
        <v>4736</v>
      </c>
      <c r="J4211" t="s">
        <v>5191</v>
      </c>
      <c r="K4211" t="s">
        <v>4436</v>
      </c>
      <c r="L4211">
        <v>17.8</v>
      </c>
      <c r="M4211" s="452">
        <v>45777</v>
      </c>
      <c r="N4211">
        <v>11.07</v>
      </c>
      <c r="O4211">
        <v>11.07</v>
      </c>
      <c r="P4211">
        <v>409.58</v>
      </c>
    </row>
    <row r="4212" spans="1:16" x14ac:dyDescent="0.3">
      <c r="A4212">
        <v>31214</v>
      </c>
      <c r="B4212">
        <v>105</v>
      </c>
      <c r="C4212" t="s">
        <v>557</v>
      </c>
      <c r="D4212" s="452">
        <v>45778</v>
      </c>
      <c r="E4212">
        <v>25714</v>
      </c>
      <c r="F4212" t="s">
        <v>4927</v>
      </c>
      <c r="G4212">
        <v>6275</v>
      </c>
      <c r="H4212">
        <v>3</v>
      </c>
      <c r="I4212" t="s">
        <v>4805</v>
      </c>
      <c r="J4212" t="s">
        <v>5222</v>
      </c>
      <c r="K4212" t="s">
        <v>4436</v>
      </c>
      <c r="L4212">
        <v>136.37</v>
      </c>
      <c r="M4212" s="452">
        <v>45757</v>
      </c>
      <c r="N4212">
        <v>136.37</v>
      </c>
      <c r="O4212">
        <v>235.96</v>
      </c>
      <c r="P4212">
        <v>409.11</v>
      </c>
    </row>
    <row r="4213" spans="1:16" x14ac:dyDescent="0.3">
      <c r="A4213">
        <v>31167</v>
      </c>
      <c r="B4213">
        <v>105</v>
      </c>
      <c r="C4213" t="s">
        <v>557</v>
      </c>
      <c r="D4213" s="452">
        <v>45778</v>
      </c>
      <c r="E4213">
        <v>18359</v>
      </c>
      <c r="F4213" t="s">
        <v>4921</v>
      </c>
      <c r="G4213">
        <v>3278</v>
      </c>
      <c r="H4213">
        <v>4</v>
      </c>
      <c r="I4213" t="s">
        <v>4805</v>
      </c>
      <c r="J4213" t="s">
        <v>5222</v>
      </c>
      <c r="K4213" t="s">
        <v>4436</v>
      </c>
      <c r="L4213">
        <v>99.9</v>
      </c>
      <c r="M4213" s="452">
        <v>45777</v>
      </c>
      <c r="N4213">
        <v>99.9</v>
      </c>
      <c r="O4213">
        <v>1.43</v>
      </c>
      <c r="P4213">
        <v>399.6</v>
      </c>
    </row>
    <row r="4214" spans="1:16" x14ac:dyDescent="0.3">
      <c r="A4214">
        <v>31198</v>
      </c>
      <c r="B4214">
        <v>105</v>
      </c>
      <c r="C4214" t="s">
        <v>557</v>
      </c>
      <c r="D4214" s="452">
        <v>45778</v>
      </c>
      <c r="E4214">
        <v>18008</v>
      </c>
      <c r="F4214" t="s">
        <v>4865</v>
      </c>
      <c r="G4214">
        <v>3589</v>
      </c>
      <c r="H4214">
        <v>5</v>
      </c>
      <c r="I4214" t="s">
        <v>4805</v>
      </c>
      <c r="J4214" t="s">
        <v>5222</v>
      </c>
      <c r="K4214" t="s">
        <v>4436</v>
      </c>
      <c r="L4214">
        <v>0</v>
      </c>
      <c r="M4214" s="452">
        <v>45716</v>
      </c>
      <c r="N4214">
        <v>76.83</v>
      </c>
      <c r="O4214">
        <v>76.83</v>
      </c>
      <c r="P4214">
        <v>384.15</v>
      </c>
    </row>
    <row r="4215" spans="1:16" x14ac:dyDescent="0.3">
      <c r="A4215">
        <v>31116</v>
      </c>
      <c r="B4215">
        <v>105</v>
      </c>
      <c r="C4215" t="s">
        <v>557</v>
      </c>
      <c r="D4215" s="452">
        <v>45778</v>
      </c>
      <c r="E4215">
        <v>22871</v>
      </c>
      <c r="F4215" t="s">
        <v>4898</v>
      </c>
      <c r="G4215">
        <v>2915</v>
      </c>
      <c r="H4215">
        <v>12.81</v>
      </c>
      <c r="I4215" t="s">
        <v>4744</v>
      </c>
      <c r="J4215" t="s">
        <v>5191</v>
      </c>
      <c r="K4215" t="s">
        <v>4436</v>
      </c>
      <c r="L4215">
        <v>29.86</v>
      </c>
      <c r="M4215" s="452">
        <v>45777</v>
      </c>
      <c r="N4215">
        <v>31.9</v>
      </c>
      <c r="O4215">
        <v>31.9</v>
      </c>
      <c r="P4215">
        <v>382.51</v>
      </c>
    </row>
    <row r="4216" spans="1:16" x14ac:dyDescent="0.3">
      <c r="A4216">
        <v>31122</v>
      </c>
      <c r="B4216">
        <v>105</v>
      </c>
      <c r="C4216" t="s">
        <v>557</v>
      </c>
      <c r="D4216" s="452">
        <v>45778</v>
      </c>
      <c r="E4216">
        <v>22910</v>
      </c>
      <c r="F4216" t="s">
        <v>4846</v>
      </c>
      <c r="G4216">
        <v>2889</v>
      </c>
      <c r="H4216">
        <v>10.96</v>
      </c>
      <c r="I4216" t="s">
        <v>4744</v>
      </c>
      <c r="J4216" t="s">
        <v>5191</v>
      </c>
      <c r="K4216" t="s">
        <v>4436</v>
      </c>
      <c r="L4216">
        <v>0</v>
      </c>
      <c r="M4216" s="452">
        <v>45674</v>
      </c>
      <c r="N4216">
        <v>34.9</v>
      </c>
      <c r="O4216">
        <v>27.99</v>
      </c>
      <c r="P4216">
        <v>382.5</v>
      </c>
    </row>
    <row r="4217" spans="1:16" x14ac:dyDescent="0.3">
      <c r="A4217">
        <v>31124</v>
      </c>
      <c r="B4217">
        <v>105</v>
      </c>
      <c r="C4217" t="s">
        <v>557</v>
      </c>
      <c r="D4217" s="452">
        <v>45778</v>
      </c>
      <c r="E4217">
        <v>24199</v>
      </c>
      <c r="F4217" t="s">
        <v>4783</v>
      </c>
      <c r="G4217">
        <v>5084</v>
      </c>
      <c r="H4217">
        <v>10.79</v>
      </c>
      <c r="I4217" t="s">
        <v>4744</v>
      </c>
      <c r="J4217" t="s">
        <v>5191</v>
      </c>
      <c r="K4217" t="s">
        <v>4436</v>
      </c>
      <c r="L4217">
        <v>35.299999999999997</v>
      </c>
      <c r="M4217" s="452">
        <v>45777</v>
      </c>
      <c r="N4217">
        <v>34.9</v>
      </c>
      <c r="O4217">
        <v>34.9</v>
      </c>
      <c r="P4217">
        <v>380.89</v>
      </c>
    </row>
    <row r="4218" spans="1:16" x14ac:dyDescent="0.3">
      <c r="A4218">
        <v>31109</v>
      </c>
      <c r="B4218">
        <v>105</v>
      </c>
      <c r="C4218" t="s">
        <v>557</v>
      </c>
      <c r="D4218" s="452">
        <v>45778</v>
      </c>
      <c r="E4218">
        <v>23082</v>
      </c>
      <c r="F4218" t="s">
        <v>4904</v>
      </c>
      <c r="G4218">
        <v>2763</v>
      </c>
      <c r="H4218">
        <v>2.5</v>
      </c>
      <c r="I4218" t="s">
        <v>4744</v>
      </c>
      <c r="J4218" t="s">
        <v>5191</v>
      </c>
      <c r="K4218" t="s">
        <v>4436</v>
      </c>
      <c r="L4218">
        <v>150.80000000000001</v>
      </c>
      <c r="M4218" s="452">
        <v>45757</v>
      </c>
      <c r="N4218">
        <v>150.80000000000001</v>
      </c>
      <c r="O4218">
        <v>78.900000000000006</v>
      </c>
      <c r="P4218">
        <v>377</v>
      </c>
    </row>
    <row r="4219" spans="1:16" x14ac:dyDescent="0.3">
      <c r="A4219">
        <v>31216</v>
      </c>
      <c r="B4219">
        <v>105</v>
      </c>
      <c r="C4219" t="s">
        <v>557</v>
      </c>
      <c r="D4219" s="452">
        <v>45778</v>
      </c>
      <c r="E4219">
        <v>17790</v>
      </c>
      <c r="F4219" t="s">
        <v>5530</v>
      </c>
      <c r="G4219">
        <v>3754</v>
      </c>
      <c r="H4219">
        <v>4</v>
      </c>
      <c r="I4219" t="s">
        <v>4805</v>
      </c>
      <c r="J4219" t="s">
        <v>5222</v>
      </c>
      <c r="K4219" t="s">
        <v>4436</v>
      </c>
      <c r="L4219">
        <v>0</v>
      </c>
      <c r="M4219" s="452">
        <v>45742</v>
      </c>
      <c r="N4219">
        <v>84.45</v>
      </c>
      <c r="O4219">
        <v>84.45</v>
      </c>
      <c r="P4219">
        <v>337.8</v>
      </c>
    </row>
    <row r="4220" spans="1:16" x14ac:dyDescent="0.3">
      <c r="A4220">
        <v>30950</v>
      </c>
      <c r="B4220">
        <v>105</v>
      </c>
      <c r="C4220" t="s">
        <v>557</v>
      </c>
      <c r="D4220" s="452">
        <v>45778</v>
      </c>
      <c r="E4220">
        <v>20809</v>
      </c>
      <c r="F4220" t="s">
        <v>4822</v>
      </c>
      <c r="G4220">
        <v>2074</v>
      </c>
      <c r="H4220">
        <v>10</v>
      </c>
      <c r="I4220" t="s">
        <v>4738</v>
      </c>
      <c r="J4220" t="s">
        <v>5191</v>
      </c>
      <c r="K4220" t="s">
        <v>4436</v>
      </c>
      <c r="L4220">
        <v>33.75</v>
      </c>
      <c r="M4220" s="452">
        <v>45777</v>
      </c>
      <c r="N4220">
        <v>35.89</v>
      </c>
      <c r="O4220">
        <v>33.81</v>
      </c>
      <c r="P4220">
        <v>337.5</v>
      </c>
    </row>
    <row r="4221" spans="1:16" x14ac:dyDescent="0.3">
      <c r="A4221">
        <v>31100</v>
      </c>
      <c r="B4221">
        <v>105</v>
      </c>
      <c r="C4221" t="s">
        <v>557</v>
      </c>
      <c r="D4221" s="452">
        <v>45778</v>
      </c>
      <c r="E4221">
        <v>26495</v>
      </c>
      <c r="F4221" t="s">
        <v>4867</v>
      </c>
      <c r="G4221">
        <v>5447</v>
      </c>
      <c r="H4221">
        <v>8.43</v>
      </c>
      <c r="I4221" t="s">
        <v>4744</v>
      </c>
      <c r="J4221" t="s">
        <v>5191</v>
      </c>
      <c r="K4221" t="s">
        <v>4436</v>
      </c>
      <c r="L4221">
        <v>36.200000000000003</v>
      </c>
      <c r="M4221" s="452">
        <v>45770</v>
      </c>
      <c r="N4221">
        <v>36.200000000000003</v>
      </c>
      <c r="O4221">
        <v>36.200000000000003</v>
      </c>
      <c r="P4221">
        <v>305.17</v>
      </c>
    </row>
    <row r="4222" spans="1:16" x14ac:dyDescent="0.3">
      <c r="A4222">
        <v>31147</v>
      </c>
      <c r="B4222">
        <v>105</v>
      </c>
      <c r="C4222" t="s">
        <v>557</v>
      </c>
      <c r="D4222" s="452">
        <v>45778</v>
      </c>
      <c r="E4222">
        <v>22654</v>
      </c>
      <c r="F4222" t="s">
        <v>4735</v>
      </c>
      <c r="G4222">
        <v>3083</v>
      </c>
      <c r="H4222">
        <v>54</v>
      </c>
      <c r="I4222" t="s">
        <v>4736</v>
      </c>
      <c r="J4222" t="s">
        <v>5222</v>
      </c>
      <c r="K4222" t="s">
        <v>4436</v>
      </c>
      <c r="L4222">
        <v>0</v>
      </c>
      <c r="M4222" s="452">
        <v>45679</v>
      </c>
      <c r="N4222">
        <v>5.61</v>
      </c>
      <c r="O4222">
        <v>4.49</v>
      </c>
      <c r="P4222">
        <v>302.94</v>
      </c>
    </row>
    <row r="4223" spans="1:16" x14ac:dyDescent="0.3">
      <c r="A4223">
        <v>31159</v>
      </c>
      <c r="B4223">
        <v>105</v>
      </c>
      <c r="C4223" t="s">
        <v>557</v>
      </c>
      <c r="D4223" s="452">
        <v>45778</v>
      </c>
      <c r="E4223">
        <v>18518</v>
      </c>
      <c r="F4223" t="s">
        <v>4838</v>
      </c>
      <c r="G4223">
        <v>3148</v>
      </c>
      <c r="H4223">
        <v>6</v>
      </c>
      <c r="I4223" t="s">
        <v>4805</v>
      </c>
      <c r="J4223" t="s">
        <v>5222</v>
      </c>
      <c r="K4223" t="s">
        <v>4436</v>
      </c>
      <c r="L4223">
        <v>0</v>
      </c>
      <c r="M4223" s="452">
        <v>45722</v>
      </c>
      <c r="N4223">
        <v>50</v>
      </c>
      <c r="O4223">
        <v>50</v>
      </c>
      <c r="P4223">
        <v>300</v>
      </c>
    </row>
    <row r="4224" spans="1:16" x14ac:dyDescent="0.3">
      <c r="A4224">
        <v>31162</v>
      </c>
      <c r="B4224">
        <v>105</v>
      </c>
      <c r="C4224" t="s">
        <v>557</v>
      </c>
      <c r="D4224" s="452">
        <v>45778</v>
      </c>
      <c r="E4224">
        <v>18491</v>
      </c>
      <c r="F4224" t="s">
        <v>4839</v>
      </c>
      <c r="G4224">
        <v>3166</v>
      </c>
      <c r="H4224">
        <v>8</v>
      </c>
      <c r="I4224" t="s">
        <v>4805</v>
      </c>
      <c r="J4224" t="s">
        <v>5222</v>
      </c>
      <c r="K4224" t="s">
        <v>4436</v>
      </c>
      <c r="L4224">
        <v>0</v>
      </c>
      <c r="M4224" s="452">
        <v>45555</v>
      </c>
      <c r="N4224">
        <v>35.9</v>
      </c>
      <c r="O4224">
        <v>35.9</v>
      </c>
      <c r="P4224">
        <v>287.2</v>
      </c>
    </row>
    <row r="4225" spans="1:16" x14ac:dyDescent="0.3">
      <c r="A4225">
        <v>31019</v>
      </c>
      <c r="B4225">
        <v>105</v>
      </c>
      <c r="C4225" t="s">
        <v>557</v>
      </c>
      <c r="D4225" s="452">
        <v>45778</v>
      </c>
      <c r="E4225">
        <v>19916</v>
      </c>
      <c r="F4225" t="s">
        <v>4826</v>
      </c>
      <c r="G4225">
        <v>2379</v>
      </c>
      <c r="H4225">
        <v>9</v>
      </c>
      <c r="I4225" t="s">
        <v>4738</v>
      </c>
      <c r="J4225" t="s">
        <v>5191</v>
      </c>
      <c r="K4225" t="s">
        <v>4436</v>
      </c>
      <c r="L4225">
        <v>31</v>
      </c>
      <c r="M4225" s="452">
        <v>45757</v>
      </c>
      <c r="N4225">
        <v>31</v>
      </c>
      <c r="O4225">
        <v>3.06</v>
      </c>
      <c r="P4225">
        <v>279</v>
      </c>
    </row>
    <row r="4226" spans="1:16" x14ac:dyDescent="0.3">
      <c r="A4226">
        <v>31157</v>
      </c>
      <c r="B4226">
        <v>105</v>
      </c>
      <c r="C4226" t="s">
        <v>557</v>
      </c>
      <c r="D4226" s="452">
        <v>45778</v>
      </c>
      <c r="E4226">
        <v>18547</v>
      </c>
      <c r="F4226" t="s">
        <v>4863</v>
      </c>
      <c r="G4226">
        <v>3132</v>
      </c>
      <c r="H4226">
        <v>8</v>
      </c>
      <c r="I4226" t="s">
        <v>4805</v>
      </c>
      <c r="J4226" t="s">
        <v>5222</v>
      </c>
      <c r="K4226" t="s">
        <v>4436</v>
      </c>
      <c r="L4226">
        <v>0</v>
      </c>
      <c r="M4226" s="452">
        <v>45742</v>
      </c>
      <c r="N4226">
        <v>34.75</v>
      </c>
      <c r="O4226">
        <v>1.79</v>
      </c>
      <c r="P4226">
        <v>278</v>
      </c>
    </row>
    <row r="4227" spans="1:16" x14ac:dyDescent="0.3">
      <c r="A4227">
        <v>31192</v>
      </c>
      <c r="B4227">
        <v>105</v>
      </c>
      <c r="C4227" t="s">
        <v>557</v>
      </c>
      <c r="D4227" s="452">
        <v>45778</v>
      </c>
      <c r="E4227">
        <v>18114</v>
      </c>
      <c r="F4227" t="s">
        <v>5046</v>
      </c>
      <c r="G4227">
        <v>3498</v>
      </c>
      <c r="H4227">
        <v>1</v>
      </c>
      <c r="I4227" t="s">
        <v>4805</v>
      </c>
      <c r="J4227" t="s">
        <v>5222</v>
      </c>
      <c r="K4227" t="s">
        <v>4436</v>
      </c>
      <c r="L4227">
        <v>0</v>
      </c>
      <c r="M4227" s="452">
        <v>-693593</v>
      </c>
      <c r="N4227">
        <v>0</v>
      </c>
      <c r="O4227">
        <v>261.70999999999998</v>
      </c>
      <c r="P4227">
        <v>261.70999999999998</v>
      </c>
    </row>
    <row r="4228" spans="1:16" x14ac:dyDescent="0.3">
      <c r="A4228">
        <v>31173</v>
      </c>
      <c r="B4228">
        <v>105</v>
      </c>
      <c r="C4228" t="s">
        <v>557</v>
      </c>
      <c r="D4228" s="452">
        <v>45778</v>
      </c>
      <c r="E4228">
        <v>18315</v>
      </c>
      <c r="F4228" t="s">
        <v>4922</v>
      </c>
      <c r="G4228">
        <v>3318</v>
      </c>
      <c r="H4228">
        <v>2</v>
      </c>
      <c r="I4228" t="s">
        <v>4805</v>
      </c>
      <c r="J4228" t="s">
        <v>5222</v>
      </c>
      <c r="K4228" t="s">
        <v>4436</v>
      </c>
      <c r="L4228">
        <v>128</v>
      </c>
      <c r="M4228" s="452">
        <v>45777</v>
      </c>
      <c r="N4228">
        <v>128</v>
      </c>
      <c r="O4228">
        <v>39.54</v>
      </c>
      <c r="P4228">
        <v>256</v>
      </c>
    </row>
    <row r="4229" spans="1:16" x14ac:dyDescent="0.3">
      <c r="A4229">
        <v>31115</v>
      </c>
      <c r="B4229">
        <v>105</v>
      </c>
      <c r="C4229" t="s">
        <v>557</v>
      </c>
      <c r="D4229" s="452">
        <v>45778</v>
      </c>
      <c r="E4229">
        <v>19130</v>
      </c>
      <c r="F4229" t="s">
        <v>4990</v>
      </c>
      <c r="G4229">
        <v>2839</v>
      </c>
      <c r="H4229">
        <v>16</v>
      </c>
      <c r="I4229" t="s">
        <v>4744</v>
      </c>
      <c r="J4229" t="s">
        <v>5191</v>
      </c>
      <c r="K4229" t="s">
        <v>4436</v>
      </c>
      <c r="L4229">
        <v>0</v>
      </c>
      <c r="M4229" s="452">
        <v>-693593</v>
      </c>
      <c r="N4229">
        <v>0</v>
      </c>
      <c r="O4229">
        <v>705</v>
      </c>
      <c r="P4229">
        <v>255.84</v>
      </c>
    </row>
    <row r="4230" spans="1:16" x14ac:dyDescent="0.3">
      <c r="A4230">
        <v>31112</v>
      </c>
      <c r="B4230">
        <v>105</v>
      </c>
      <c r="C4230" t="s">
        <v>557</v>
      </c>
      <c r="D4230" s="452">
        <v>45778</v>
      </c>
      <c r="E4230">
        <v>19322</v>
      </c>
      <c r="F4230" t="s">
        <v>4830</v>
      </c>
      <c r="G4230">
        <v>2773</v>
      </c>
      <c r="H4230">
        <v>5.36</v>
      </c>
      <c r="I4230" t="s">
        <v>4744</v>
      </c>
      <c r="J4230" t="s">
        <v>5191</v>
      </c>
      <c r="K4230" t="s">
        <v>4436</v>
      </c>
      <c r="L4230">
        <v>47.4</v>
      </c>
      <c r="M4230" s="452">
        <v>45770</v>
      </c>
      <c r="N4230">
        <v>45.78</v>
      </c>
      <c r="O4230">
        <v>45.78</v>
      </c>
      <c r="P4230">
        <v>254.06</v>
      </c>
    </row>
    <row r="4231" spans="1:16" x14ac:dyDescent="0.3">
      <c r="A4231">
        <v>31169</v>
      </c>
      <c r="B4231">
        <v>105</v>
      </c>
      <c r="C4231" t="s">
        <v>557</v>
      </c>
      <c r="D4231" s="452">
        <v>45778</v>
      </c>
      <c r="E4231">
        <v>18293</v>
      </c>
      <c r="F4231" t="s">
        <v>5034</v>
      </c>
      <c r="G4231">
        <v>3336</v>
      </c>
      <c r="H4231">
        <v>2</v>
      </c>
      <c r="I4231" t="s">
        <v>4805</v>
      </c>
      <c r="J4231" t="s">
        <v>5222</v>
      </c>
      <c r="K4231" t="s">
        <v>4436</v>
      </c>
      <c r="L4231">
        <v>0</v>
      </c>
      <c r="M4231" s="452">
        <v>45525</v>
      </c>
      <c r="N4231">
        <v>124.82</v>
      </c>
      <c r="O4231">
        <v>101.75</v>
      </c>
      <c r="P4231">
        <v>249.64</v>
      </c>
    </row>
    <row r="4232" spans="1:16" x14ac:dyDescent="0.3">
      <c r="A4232">
        <v>30992</v>
      </c>
      <c r="B4232">
        <v>105</v>
      </c>
      <c r="C4232" t="s">
        <v>557</v>
      </c>
      <c r="D4232" s="452">
        <v>45778</v>
      </c>
      <c r="E4232">
        <v>24339</v>
      </c>
      <c r="F4232" t="s">
        <v>4885</v>
      </c>
      <c r="G4232">
        <v>2153</v>
      </c>
      <c r="H4232">
        <v>6.21</v>
      </c>
      <c r="I4232" t="s">
        <v>4744</v>
      </c>
      <c r="J4232" t="s">
        <v>5191</v>
      </c>
      <c r="K4232" t="s">
        <v>4436</v>
      </c>
      <c r="L4232">
        <v>39.9</v>
      </c>
      <c r="M4232" s="452">
        <v>45777</v>
      </c>
      <c r="N4232">
        <v>39.9</v>
      </c>
      <c r="O4232">
        <v>39.9</v>
      </c>
      <c r="P4232">
        <v>247.78</v>
      </c>
    </row>
    <row r="4233" spans="1:16" x14ac:dyDescent="0.3">
      <c r="A4233">
        <v>31043</v>
      </c>
      <c r="B4233">
        <v>105</v>
      </c>
      <c r="C4233" t="s">
        <v>557</v>
      </c>
      <c r="D4233" s="452">
        <v>45778</v>
      </c>
      <c r="E4233">
        <v>23268</v>
      </c>
      <c r="F4233" t="s">
        <v>4743</v>
      </c>
      <c r="G4233">
        <v>2592</v>
      </c>
      <c r="H4233">
        <v>55.84</v>
      </c>
      <c r="I4233" t="s">
        <v>4744</v>
      </c>
      <c r="J4233" t="s">
        <v>5191</v>
      </c>
      <c r="K4233" t="s">
        <v>4436</v>
      </c>
      <c r="L4233">
        <v>0</v>
      </c>
      <c r="M4233" s="452">
        <v>45681</v>
      </c>
      <c r="N4233">
        <v>4.42</v>
      </c>
      <c r="O4233">
        <v>4.45</v>
      </c>
      <c r="P4233">
        <v>246.81</v>
      </c>
    </row>
    <row r="4234" spans="1:16" x14ac:dyDescent="0.3">
      <c r="A4234">
        <v>31062</v>
      </c>
      <c r="B4234">
        <v>105</v>
      </c>
      <c r="C4234" t="s">
        <v>557</v>
      </c>
      <c r="D4234" s="452">
        <v>45778</v>
      </c>
      <c r="E4234">
        <v>19756</v>
      </c>
      <c r="F4234" t="s">
        <v>4754</v>
      </c>
      <c r="G4234">
        <v>2497</v>
      </c>
      <c r="H4234">
        <v>43.45</v>
      </c>
      <c r="I4234" t="s">
        <v>4744</v>
      </c>
      <c r="J4234" t="s">
        <v>5191</v>
      </c>
      <c r="K4234" t="s">
        <v>4436</v>
      </c>
      <c r="L4234">
        <v>5.42</v>
      </c>
      <c r="M4234" s="452">
        <v>45777</v>
      </c>
      <c r="N4234">
        <v>4.9000000000000004</v>
      </c>
      <c r="O4234">
        <v>4.9000000000000004</v>
      </c>
      <c r="P4234">
        <v>235.5</v>
      </c>
    </row>
    <row r="4235" spans="1:16" x14ac:dyDescent="0.3">
      <c r="A4235">
        <v>31221</v>
      </c>
      <c r="B4235">
        <v>105</v>
      </c>
      <c r="C4235" t="s">
        <v>557</v>
      </c>
      <c r="D4235" s="452">
        <v>45778</v>
      </c>
      <c r="E4235">
        <v>26038</v>
      </c>
      <c r="F4235" t="s">
        <v>4976</v>
      </c>
      <c r="G4235">
        <v>6506</v>
      </c>
      <c r="H4235">
        <v>5</v>
      </c>
      <c r="I4235" t="s">
        <v>4805</v>
      </c>
      <c r="J4235" t="s">
        <v>5222</v>
      </c>
      <c r="K4235" t="s">
        <v>4436</v>
      </c>
      <c r="L4235">
        <v>0</v>
      </c>
      <c r="M4235" s="452">
        <v>45709</v>
      </c>
      <c r="N4235">
        <v>46.38</v>
      </c>
      <c r="O4235">
        <v>46.38</v>
      </c>
      <c r="P4235">
        <v>231.9</v>
      </c>
    </row>
    <row r="4236" spans="1:16" x14ac:dyDescent="0.3">
      <c r="A4236">
        <v>31161</v>
      </c>
      <c r="B4236">
        <v>105</v>
      </c>
      <c r="C4236" t="s">
        <v>557</v>
      </c>
      <c r="D4236" s="452">
        <v>45778</v>
      </c>
      <c r="E4236">
        <v>18502</v>
      </c>
      <c r="F4236" t="s">
        <v>4893</v>
      </c>
      <c r="G4236">
        <v>3155</v>
      </c>
      <c r="H4236">
        <v>4</v>
      </c>
      <c r="I4236" t="s">
        <v>4805</v>
      </c>
      <c r="J4236" t="s">
        <v>5222</v>
      </c>
      <c r="K4236" t="s">
        <v>4436</v>
      </c>
      <c r="L4236">
        <v>0</v>
      </c>
      <c r="M4236" s="452">
        <v>45737</v>
      </c>
      <c r="N4236">
        <v>56.69</v>
      </c>
      <c r="O4236">
        <v>56.69</v>
      </c>
      <c r="P4236">
        <v>226.76</v>
      </c>
    </row>
    <row r="4237" spans="1:16" x14ac:dyDescent="0.3">
      <c r="A4237">
        <v>31154</v>
      </c>
      <c r="B4237">
        <v>105</v>
      </c>
      <c r="C4237" t="s">
        <v>557</v>
      </c>
      <c r="D4237" s="452">
        <v>45778</v>
      </c>
      <c r="E4237">
        <v>24192</v>
      </c>
      <c r="F4237" t="s">
        <v>4772</v>
      </c>
      <c r="G4237">
        <v>3099</v>
      </c>
      <c r="H4237">
        <v>37</v>
      </c>
      <c r="I4237" t="s">
        <v>4736</v>
      </c>
      <c r="J4237" t="s">
        <v>5222</v>
      </c>
      <c r="K4237" t="s">
        <v>4436</v>
      </c>
      <c r="L4237">
        <v>0</v>
      </c>
      <c r="M4237" s="452">
        <v>45679</v>
      </c>
      <c r="N4237">
        <v>6.12</v>
      </c>
      <c r="O4237">
        <v>6.12</v>
      </c>
      <c r="P4237">
        <v>226.44</v>
      </c>
    </row>
    <row r="4238" spans="1:16" x14ac:dyDescent="0.3">
      <c r="A4238">
        <v>30997</v>
      </c>
      <c r="B4238">
        <v>105</v>
      </c>
      <c r="C4238" t="s">
        <v>557</v>
      </c>
      <c r="D4238" s="452">
        <v>45778</v>
      </c>
      <c r="E4238">
        <v>20122</v>
      </c>
      <c r="F4238" t="s">
        <v>4781</v>
      </c>
      <c r="G4238">
        <v>2290</v>
      </c>
      <c r="H4238">
        <v>14</v>
      </c>
      <c r="I4238" t="s">
        <v>4738</v>
      </c>
      <c r="J4238" t="s">
        <v>5191</v>
      </c>
      <c r="K4238" t="s">
        <v>4436</v>
      </c>
      <c r="L4238">
        <v>16</v>
      </c>
      <c r="M4238" s="452">
        <v>45757</v>
      </c>
      <c r="N4238">
        <v>16</v>
      </c>
      <c r="O4238">
        <v>13.8</v>
      </c>
      <c r="P4238">
        <v>224</v>
      </c>
    </row>
    <row r="4239" spans="1:16" x14ac:dyDescent="0.3">
      <c r="A4239">
        <v>31102</v>
      </c>
      <c r="B4239">
        <v>105</v>
      </c>
      <c r="C4239" t="s">
        <v>557</v>
      </c>
      <c r="D4239" s="452">
        <v>45778</v>
      </c>
      <c r="E4239">
        <v>19353</v>
      </c>
      <c r="F4239" t="s">
        <v>4851</v>
      </c>
      <c r="G4239">
        <v>2768</v>
      </c>
      <c r="H4239">
        <v>9</v>
      </c>
      <c r="I4239" t="s">
        <v>4744</v>
      </c>
      <c r="J4239" t="s">
        <v>5191</v>
      </c>
      <c r="K4239" t="s">
        <v>4436</v>
      </c>
      <c r="L4239">
        <v>0</v>
      </c>
      <c r="M4239" s="452">
        <v>45633</v>
      </c>
      <c r="N4239">
        <v>24.6</v>
      </c>
      <c r="O4239">
        <v>24.6</v>
      </c>
      <c r="P4239">
        <v>221.4</v>
      </c>
    </row>
    <row r="4240" spans="1:16" x14ac:dyDescent="0.3">
      <c r="A4240">
        <v>30941</v>
      </c>
      <c r="B4240">
        <v>105</v>
      </c>
      <c r="C4240" t="s">
        <v>557</v>
      </c>
      <c r="D4240" s="452">
        <v>45778</v>
      </c>
      <c r="E4240">
        <v>20301</v>
      </c>
      <c r="F4240" t="s">
        <v>4944</v>
      </c>
      <c r="G4240">
        <v>2223</v>
      </c>
      <c r="H4240">
        <v>8</v>
      </c>
      <c r="I4240" t="s">
        <v>4738</v>
      </c>
      <c r="J4240" t="s">
        <v>5191</v>
      </c>
      <c r="K4240" t="s">
        <v>4436</v>
      </c>
      <c r="L4240">
        <v>27.1</v>
      </c>
      <c r="M4240" s="452">
        <v>45777</v>
      </c>
      <c r="N4240">
        <v>26.6</v>
      </c>
      <c r="O4240">
        <v>26.34</v>
      </c>
      <c r="P4240">
        <v>216.8</v>
      </c>
    </row>
    <row r="4241" spans="1:16" x14ac:dyDescent="0.3">
      <c r="A4241">
        <v>31190</v>
      </c>
      <c r="B4241">
        <v>105</v>
      </c>
      <c r="C4241" t="s">
        <v>557</v>
      </c>
      <c r="D4241" s="452">
        <v>45778</v>
      </c>
      <c r="E4241">
        <v>18119</v>
      </c>
      <c r="F4241" t="s">
        <v>5044</v>
      </c>
      <c r="G4241">
        <v>3494</v>
      </c>
      <c r="H4241">
        <v>1</v>
      </c>
      <c r="I4241" t="s">
        <v>4805</v>
      </c>
      <c r="J4241" t="s">
        <v>5222</v>
      </c>
      <c r="K4241" t="s">
        <v>4436</v>
      </c>
      <c r="L4241">
        <v>216.36</v>
      </c>
      <c r="M4241" s="452">
        <v>45762</v>
      </c>
      <c r="N4241">
        <v>172.85</v>
      </c>
      <c r="O4241">
        <v>155.09</v>
      </c>
      <c r="P4241">
        <v>216.36</v>
      </c>
    </row>
    <row r="4242" spans="1:16" x14ac:dyDescent="0.3">
      <c r="A4242">
        <v>30968</v>
      </c>
      <c r="B4242">
        <v>105</v>
      </c>
      <c r="C4242" t="s">
        <v>557</v>
      </c>
      <c r="D4242" s="452">
        <v>45778</v>
      </c>
      <c r="E4242">
        <v>25167</v>
      </c>
      <c r="F4242" t="s">
        <v>4758</v>
      </c>
      <c r="G4242">
        <v>5930</v>
      </c>
      <c r="H4242">
        <v>27.16</v>
      </c>
      <c r="I4242" t="s">
        <v>4744</v>
      </c>
      <c r="J4242" t="s">
        <v>5191</v>
      </c>
      <c r="K4242" t="s">
        <v>4436</v>
      </c>
      <c r="L4242">
        <v>7.9</v>
      </c>
      <c r="M4242" s="452">
        <v>45777</v>
      </c>
      <c r="N4242">
        <v>7.9</v>
      </c>
      <c r="O4242">
        <v>7.9</v>
      </c>
      <c r="P4242">
        <v>214.56</v>
      </c>
    </row>
    <row r="4243" spans="1:16" x14ac:dyDescent="0.3">
      <c r="A4243">
        <v>31229</v>
      </c>
      <c r="B4243">
        <v>105</v>
      </c>
      <c r="C4243" t="s">
        <v>557</v>
      </c>
      <c r="D4243" s="452">
        <v>45778</v>
      </c>
      <c r="E4243">
        <v>21150</v>
      </c>
      <c r="F4243" t="s">
        <v>4878</v>
      </c>
      <c r="G4243">
        <v>1951</v>
      </c>
      <c r="H4243">
        <v>2</v>
      </c>
      <c r="I4243" t="s">
        <v>4879</v>
      </c>
      <c r="J4243" t="s">
        <v>5191</v>
      </c>
      <c r="K4243" t="s">
        <v>4436</v>
      </c>
      <c r="L4243">
        <v>0</v>
      </c>
      <c r="M4243" s="452">
        <v>45469</v>
      </c>
      <c r="N4243">
        <v>106.9</v>
      </c>
      <c r="O4243">
        <v>113.31</v>
      </c>
      <c r="P4243">
        <v>213.8</v>
      </c>
    </row>
    <row r="4244" spans="1:16" x14ac:dyDescent="0.3">
      <c r="A4244">
        <v>31211</v>
      </c>
      <c r="B4244">
        <v>105</v>
      </c>
      <c r="C4244" t="s">
        <v>557</v>
      </c>
      <c r="D4244" s="452">
        <v>45778</v>
      </c>
      <c r="E4244">
        <v>24467</v>
      </c>
      <c r="F4244" t="s">
        <v>4766</v>
      </c>
      <c r="G4244">
        <v>3673</v>
      </c>
      <c r="H4244">
        <v>107</v>
      </c>
      <c r="I4244" t="s">
        <v>4736</v>
      </c>
      <c r="J4244" t="s">
        <v>5222</v>
      </c>
      <c r="K4244" t="s">
        <v>4436</v>
      </c>
      <c r="L4244">
        <v>0</v>
      </c>
      <c r="M4244" s="452">
        <v>45520</v>
      </c>
      <c r="N4244">
        <v>1.99</v>
      </c>
      <c r="O4244">
        <v>2.19</v>
      </c>
      <c r="P4244">
        <v>212.93</v>
      </c>
    </row>
    <row r="4245" spans="1:16" x14ac:dyDescent="0.3">
      <c r="A4245">
        <v>30996</v>
      </c>
      <c r="B4245">
        <v>105</v>
      </c>
      <c r="C4245" t="s">
        <v>557</v>
      </c>
      <c r="D4245" s="452">
        <v>45778</v>
      </c>
      <c r="E4245">
        <v>24351</v>
      </c>
      <c r="F4245" t="s">
        <v>5014</v>
      </c>
      <c r="G4245">
        <v>2287</v>
      </c>
      <c r="H4245">
        <v>17.71</v>
      </c>
      <c r="I4245" t="s">
        <v>4736</v>
      </c>
      <c r="J4245" t="s">
        <v>5191</v>
      </c>
      <c r="K4245" t="s">
        <v>4436</v>
      </c>
      <c r="L4245">
        <v>12</v>
      </c>
      <c r="M4245" s="452">
        <v>45763</v>
      </c>
      <c r="N4245">
        <v>12</v>
      </c>
      <c r="O4245">
        <v>12</v>
      </c>
      <c r="P4245">
        <v>212.52</v>
      </c>
    </row>
    <row r="4246" spans="1:16" x14ac:dyDescent="0.3">
      <c r="A4246">
        <v>31187</v>
      </c>
      <c r="B4246">
        <v>105</v>
      </c>
      <c r="C4246" t="s">
        <v>557</v>
      </c>
      <c r="D4246" s="452">
        <v>45778</v>
      </c>
      <c r="E4246">
        <v>18157</v>
      </c>
      <c r="F4246" t="s">
        <v>5041</v>
      </c>
      <c r="G4246">
        <v>3463</v>
      </c>
      <c r="H4246">
        <v>1</v>
      </c>
      <c r="I4246" t="s">
        <v>4805</v>
      </c>
      <c r="J4246" t="s">
        <v>5222</v>
      </c>
      <c r="K4246" t="s">
        <v>4436</v>
      </c>
      <c r="L4246">
        <v>0</v>
      </c>
      <c r="M4246" s="452">
        <v>45672</v>
      </c>
      <c r="N4246">
        <v>205.61</v>
      </c>
      <c r="O4246">
        <v>174.6</v>
      </c>
      <c r="P4246">
        <v>205.61</v>
      </c>
    </row>
    <row r="4247" spans="1:16" x14ac:dyDescent="0.3">
      <c r="A4247">
        <v>31076</v>
      </c>
      <c r="B4247">
        <v>105</v>
      </c>
      <c r="C4247" t="s">
        <v>557</v>
      </c>
      <c r="D4247" s="452">
        <v>45778</v>
      </c>
      <c r="E4247">
        <v>23095</v>
      </c>
      <c r="F4247" t="s">
        <v>4741</v>
      </c>
      <c r="G4247">
        <v>2754</v>
      </c>
      <c r="H4247">
        <v>85</v>
      </c>
      <c r="I4247" t="s">
        <v>4736</v>
      </c>
      <c r="J4247" t="s">
        <v>5191</v>
      </c>
      <c r="K4247" t="s">
        <v>4436</v>
      </c>
      <c r="L4247">
        <v>2.41</v>
      </c>
      <c r="M4247" s="452">
        <v>45776</v>
      </c>
      <c r="N4247">
        <v>1.45</v>
      </c>
      <c r="O4247">
        <v>0.01</v>
      </c>
      <c r="P4247">
        <v>204.85</v>
      </c>
    </row>
    <row r="4248" spans="1:16" x14ac:dyDescent="0.3">
      <c r="A4248">
        <v>31096</v>
      </c>
      <c r="B4248">
        <v>105</v>
      </c>
      <c r="C4248" t="s">
        <v>557</v>
      </c>
      <c r="D4248" s="452">
        <v>45778</v>
      </c>
      <c r="E4248">
        <v>19541</v>
      </c>
      <c r="F4248" t="s">
        <v>5517</v>
      </c>
      <c r="G4248">
        <v>2675</v>
      </c>
      <c r="H4248">
        <v>16.18</v>
      </c>
      <c r="I4248" t="s">
        <v>4744</v>
      </c>
      <c r="J4248" t="s">
        <v>5191</v>
      </c>
      <c r="K4248" t="s">
        <v>4436</v>
      </c>
      <c r="L4248">
        <v>12.64</v>
      </c>
      <c r="M4248" s="452">
        <v>45776</v>
      </c>
      <c r="N4248">
        <v>12.5</v>
      </c>
      <c r="O4248">
        <v>9.7100000000000009</v>
      </c>
      <c r="P4248">
        <v>204.52</v>
      </c>
    </row>
    <row r="4249" spans="1:16" x14ac:dyDescent="0.3">
      <c r="A4249">
        <v>31144</v>
      </c>
      <c r="B4249">
        <v>105</v>
      </c>
      <c r="C4249" t="s">
        <v>557</v>
      </c>
      <c r="D4249" s="452">
        <v>45778</v>
      </c>
      <c r="E4249">
        <v>25205</v>
      </c>
      <c r="F4249" t="s">
        <v>4850</v>
      </c>
      <c r="G4249">
        <v>5944</v>
      </c>
      <c r="H4249">
        <v>7.3</v>
      </c>
      <c r="I4249" t="s">
        <v>4744</v>
      </c>
      <c r="J4249" t="s">
        <v>5191</v>
      </c>
      <c r="K4249" t="s">
        <v>4436</v>
      </c>
      <c r="L4249">
        <v>28</v>
      </c>
      <c r="M4249" s="452">
        <v>45772</v>
      </c>
      <c r="N4249">
        <v>28</v>
      </c>
      <c r="O4249">
        <v>28</v>
      </c>
      <c r="P4249">
        <v>204.4</v>
      </c>
    </row>
    <row r="4250" spans="1:16" x14ac:dyDescent="0.3">
      <c r="A4250">
        <v>31110</v>
      </c>
      <c r="B4250">
        <v>105</v>
      </c>
      <c r="C4250" t="s">
        <v>557</v>
      </c>
      <c r="D4250" s="452">
        <v>45778</v>
      </c>
      <c r="E4250">
        <v>19346</v>
      </c>
      <c r="F4250" t="s">
        <v>4835</v>
      </c>
      <c r="G4250">
        <v>2770</v>
      </c>
      <c r="H4250">
        <v>3.71</v>
      </c>
      <c r="I4250" t="s">
        <v>4744</v>
      </c>
      <c r="J4250" t="s">
        <v>5191</v>
      </c>
      <c r="K4250" t="s">
        <v>4436</v>
      </c>
      <c r="L4250">
        <v>54.5</v>
      </c>
      <c r="M4250" s="452">
        <v>45757</v>
      </c>
      <c r="N4250">
        <v>54.5</v>
      </c>
      <c r="O4250">
        <v>54.5</v>
      </c>
      <c r="P4250">
        <v>202.2</v>
      </c>
    </row>
    <row r="4251" spans="1:16" x14ac:dyDescent="0.3">
      <c r="A4251">
        <v>31011</v>
      </c>
      <c r="B4251">
        <v>105</v>
      </c>
      <c r="C4251" t="s">
        <v>557</v>
      </c>
      <c r="D4251" s="452">
        <v>45778</v>
      </c>
      <c r="E4251">
        <v>21000</v>
      </c>
      <c r="F4251" t="s">
        <v>4818</v>
      </c>
      <c r="G4251">
        <v>2008</v>
      </c>
      <c r="H4251">
        <v>12</v>
      </c>
      <c r="I4251" t="s">
        <v>4736</v>
      </c>
      <c r="J4251" t="s">
        <v>5191</v>
      </c>
      <c r="K4251" t="s">
        <v>4436</v>
      </c>
      <c r="L4251">
        <v>0</v>
      </c>
      <c r="M4251" s="452">
        <v>45678</v>
      </c>
      <c r="N4251">
        <v>16.72</v>
      </c>
      <c r="O4251">
        <v>16.72</v>
      </c>
      <c r="P4251">
        <v>200.64</v>
      </c>
    </row>
    <row r="4252" spans="1:16" x14ac:dyDescent="0.3">
      <c r="A4252">
        <v>31163</v>
      </c>
      <c r="B4252">
        <v>105</v>
      </c>
      <c r="C4252" t="s">
        <v>557</v>
      </c>
      <c r="D4252" s="452">
        <v>45778</v>
      </c>
      <c r="E4252">
        <v>18477</v>
      </c>
      <c r="F4252" t="s">
        <v>4920</v>
      </c>
      <c r="G4252">
        <v>3179</v>
      </c>
      <c r="H4252">
        <v>4</v>
      </c>
      <c r="I4252" t="s">
        <v>4805</v>
      </c>
      <c r="J4252" t="s">
        <v>5222</v>
      </c>
      <c r="K4252" t="s">
        <v>4436</v>
      </c>
      <c r="L4252">
        <v>0</v>
      </c>
      <c r="M4252" s="452">
        <v>45525</v>
      </c>
      <c r="N4252">
        <v>49.9</v>
      </c>
      <c r="O4252">
        <v>43.9</v>
      </c>
      <c r="P4252">
        <v>199.6</v>
      </c>
    </row>
    <row r="4253" spans="1:16" x14ac:dyDescent="0.3">
      <c r="A4253">
        <v>31209</v>
      </c>
      <c r="B4253">
        <v>105</v>
      </c>
      <c r="C4253" t="s">
        <v>557</v>
      </c>
      <c r="D4253" s="452">
        <v>45778</v>
      </c>
      <c r="E4253">
        <v>17895</v>
      </c>
      <c r="F4253" t="s">
        <v>5086</v>
      </c>
      <c r="G4253">
        <v>3665</v>
      </c>
      <c r="H4253">
        <v>7.58</v>
      </c>
      <c r="I4253" t="s">
        <v>4738</v>
      </c>
      <c r="J4253" t="s">
        <v>5222</v>
      </c>
      <c r="K4253" t="s">
        <v>4436</v>
      </c>
      <c r="L4253">
        <v>26.28</v>
      </c>
      <c r="M4253" s="452">
        <v>45770</v>
      </c>
      <c r="N4253">
        <v>26.28</v>
      </c>
      <c r="O4253">
        <v>29.05</v>
      </c>
      <c r="P4253">
        <v>199.29</v>
      </c>
    </row>
    <row r="4254" spans="1:16" x14ac:dyDescent="0.3">
      <c r="A4254">
        <v>31205</v>
      </c>
      <c r="B4254">
        <v>105</v>
      </c>
      <c r="C4254" t="s">
        <v>557</v>
      </c>
      <c r="D4254" s="452">
        <v>45778</v>
      </c>
      <c r="E4254">
        <v>24226</v>
      </c>
      <c r="F4254" t="s">
        <v>4795</v>
      </c>
      <c r="G4254">
        <v>3647</v>
      </c>
      <c r="H4254">
        <v>31</v>
      </c>
      <c r="I4254" t="s">
        <v>4736</v>
      </c>
      <c r="J4254" t="s">
        <v>5222</v>
      </c>
      <c r="K4254" t="s">
        <v>4436</v>
      </c>
      <c r="L4254">
        <v>0</v>
      </c>
      <c r="M4254" s="452">
        <v>45532</v>
      </c>
      <c r="N4254">
        <v>6.42</v>
      </c>
      <c r="O4254">
        <v>6.82</v>
      </c>
      <c r="P4254">
        <v>199.02</v>
      </c>
    </row>
    <row r="4255" spans="1:16" x14ac:dyDescent="0.3">
      <c r="A4255">
        <v>31207</v>
      </c>
      <c r="B4255">
        <v>105</v>
      </c>
      <c r="C4255" t="s">
        <v>557</v>
      </c>
      <c r="D4255" s="452">
        <v>45778</v>
      </c>
      <c r="E4255">
        <v>24307</v>
      </c>
      <c r="F4255" t="s">
        <v>4755</v>
      </c>
      <c r="G4255">
        <v>3656</v>
      </c>
      <c r="H4255">
        <v>90</v>
      </c>
      <c r="I4255" t="s">
        <v>4736</v>
      </c>
      <c r="J4255" t="s">
        <v>5222</v>
      </c>
      <c r="K4255" t="s">
        <v>4436</v>
      </c>
      <c r="L4255">
        <v>0</v>
      </c>
      <c r="M4255" s="452">
        <v>45540</v>
      </c>
      <c r="N4255">
        <v>2.19</v>
      </c>
      <c r="O4255">
        <v>2.19</v>
      </c>
      <c r="P4255">
        <v>197.1</v>
      </c>
    </row>
    <row r="4256" spans="1:16" x14ac:dyDescent="0.3">
      <c r="A4256">
        <v>31186</v>
      </c>
      <c r="B4256">
        <v>105</v>
      </c>
      <c r="C4256" t="s">
        <v>557</v>
      </c>
      <c r="D4256" s="452">
        <v>45778</v>
      </c>
      <c r="E4256">
        <v>18172</v>
      </c>
      <c r="F4256" t="s">
        <v>4804</v>
      </c>
      <c r="G4256">
        <v>3450</v>
      </c>
      <c r="H4256">
        <v>6</v>
      </c>
      <c r="I4256" t="s">
        <v>4805</v>
      </c>
      <c r="J4256" t="s">
        <v>5222</v>
      </c>
      <c r="K4256" t="s">
        <v>4436</v>
      </c>
      <c r="L4256">
        <v>32.770000000000003</v>
      </c>
      <c r="M4256" s="452">
        <v>45777</v>
      </c>
      <c r="N4256">
        <v>32.880000000000003</v>
      </c>
      <c r="O4256">
        <v>8.64</v>
      </c>
      <c r="P4256">
        <v>196.62</v>
      </c>
    </row>
    <row r="4257" spans="1:16" x14ac:dyDescent="0.3">
      <c r="A4257">
        <v>31059</v>
      </c>
      <c r="B4257">
        <v>105</v>
      </c>
      <c r="C4257" t="s">
        <v>557</v>
      </c>
      <c r="D4257" s="452">
        <v>45778</v>
      </c>
      <c r="E4257">
        <v>19765</v>
      </c>
      <c r="F4257" t="s">
        <v>4889</v>
      </c>
      <c r="G4257">
        <v>2488</v>
      </c>
      <c r="H4257">
        <v>5.52</v>
      </c>
      <c r="I4257" t="s">
        <v>4744</v>
      </c>
      <c r="J4257" t="s">
        <v>5191</v>
      </c>
      <c r="K4257" t="s">
        <v>4436</v>
      </c>
      <c r="L4257">
        <v>35.28</v>
      </c>
      <c r="M4257" s="452">
        <v>45771</v>
      </c>
      <c r="N4257">
        <v>35.1</v>
      </c>
      <c r="O4257">
        <v>16.68</v>
      </c>
      <c r="P4257">
        <v>194.75</v>
      </c>
    </row>
    <row r="4258" spans="1:16" x14ac:dyDescent="0.3">
      <c r="A4258">
        <v>31225</v>
      </c>
      <c r="B4258">
        <v>105</v>
      </c>
      <c r="C4258" t="s">
        <v>557</v>
      </c>
      <c r="D4258" s="452">
        <v>45778</v>
      </c>
      <c r="E4258">
        <v>26040</v>
      </c>
      <c r="F4258" t="s">
        <v>4812</v>
      </c>
      <c r="G4258">
        <v>6507</v>
      </c>
      <c r="H4258">
        <v>4</v>
      </c>
      <c r="I4258" t="s">
        <v>4805</v>
      </c>
      <c r="J4258" t="s">
        <v>5222</v>
      </c>
      <c r="K4258" t="s">
        <v>4436</v>
      </c>
      <c r="L4258">
        <v>48.46</v>
      </c>
      <c r="M4258" s="452">
        <v>45777</v>
      </c>
      <c r="N4258">
        <v>48.46</v>
      </c>
      <c r="O4258">
        <v>48.46</v>
      </c>
      <c r="P4258">
        <v>193.84</v>
      </c>
    </row>
    <row r="4259" spans="1:16" x14ac:dyDescent="0.3">
      <c r="A4259">
        <v>31018</v>
      </c>
      <c r="B4259">
        <v>105</v>
      </c>
      <c r="C4259" t="s">
        <v>557</v>
      </c>
      <c r="D4259" s="452">
        <v>45778</v>
      </c>
      <c r="E4259">
        <v>20486</v>
      </c>
      <c r="F4259" t="s">
        <v>5515</v>
      </c>
      <c r="G4259">
        <v>2157</v>
      </c>
      <c r="H4259">
        <v>7.04</v>
      </c>
      <c r="I4259" t="s">
        <v>4744</v>
      </c>
      <c r="J4259" t="s">
        <v>5191</v>
      </c>
      <c r="K4259" t="s">
        <v>4436</v>
      </c>
      <c r="L4259">
        <v>27.2</v>
      </c>
      <c r="M4259" s="452">
        <v>45763</v>
      </c>
      <c r="N4259">
        <v>27.2</v>
      </c>
      <c r="O4259">
        <v>28.75</v>
      </c>
      <c r="P4259">
        <v>191.49</v>
      </c>
    </row>
    <row r="4260" spans="1:16" x14ac:dyDescent="0.3">
      <c r="A4260">
        <v>31153</v>
      </c>
      <c r="B4260">
        <v>105</v>
      </c>
      <c r="C4260" t="s">
        <v>557</v>
      </c>
      <c r="D4260" s="452">
        <v>45778</v>
      </c>
      <c r="E4260">
        <v>22636</v>
      </c>
      <c r="F4260" t="s">
        <v>4761</v>
      </c>
      <c r="G4260">
        <v>3099</v>
      </c>
      <c r="H4260">
        <v>36</v>
      </c>
      <c r="I4260" t="s">
        <v>4736</v>
      </c>
      <c r="J4260" t="s">
        <v>5222</v>
      </c>
      <c r="K4260" t="s">
        <v>4436</v>
      </c>
      <c r="L4260">
        <v>0</v>
      </c>
      <c r="M4260" s="452">
        <v>45671</v>
      </c>
      <c r="N4260">
        <v>5.3</v>
      </c>
      <c r="O4260">
        <v>5.0199999999999996</v>
      </c>
      <c r="P4260">
        <v>190.8</v>
      </c>
    </row>
    <row r="4261" spans="1:16" x14ac:dyDescent="0.3">
      <c r="A4261">
        <v>31203</v>
      </c>
      <c r="B4261">
        <v>105</v>
      </c>
      <c r="C4261" t="s">
        <v>557</v>
      </c>
      <c r="D4261" s="452">
        <v>45778</v>
      </c>
      <c r="E4261">
        <v>16973</v>
      </c>
      <c r="F4261" t="s">
        <v>4827</v>
      </c>
      <c r="G4261">
        <v>3710</v>
      </c>
      <c r="H4261">
        <v>5</v>
      </c>
      <c r="I4261" t="s">
        <v>4749</v>
      </c>
      <c r="J4261" t="s">
        <v>5222</v>
      </c>
      <c r="K4261" t="s">
        <v>4436</v>
      </c>
      <c r="L4261">
        <v>0</v>
      </c>
      <c r="M4261" s="452">
        <v>45740</v>
      </c>
      <c r="N4261">
        <v>0</v>
      </c>
      <c r="O4261">
        <v>38</v>
      </c>
      <c r="P4261">
        <v>190</v>
      </c>
    </row>
    <row r="4262" spans="1:16" x14ac:dyDescent="0.3">
      <c r="A4262">
        <v>30985</v>
      </c>
      <c r="B4262">
        <v>105</v>
      </c>
      <c r="C4262" t="s">
        <v>557</v>
      </c>
      <c r="D4262" s="452">
        <v>45778</v>
      </c>
      <c r="E4262">
        <v>20660</v>
      </c>
      <c r="F4262" t="s">
        <v>5011</v>
      </c>
      <c r="G4262">
        <v>2110</v>
      </c>
      <c r="H4262">
        <v>3</v>
      </c>
      <c r="I4262" t="s">
        <v>4955</v>
      </c>
      <c r="J4262" t="s">
        <v>5191</v>
      </c>
      <c r="K4262" t="s">
        <v>4436</v>
      </c>
      <c r="L4262">
        <v>62.62</v>
      </c>
      <c r="M4262" s="452">
        <v>45777</v>
      </c>
      <c r="N4262">
        <v>61.69</v>
      </c>
      <c r="O4262">
        <v>61.69</v>
      </c>
      <c r="P4262">
        <v>187.86</v>
      </c>
    </row>
    <row r="4263" spans="1:16" x14ac:dyDescent="0.3">
      <c r="A4263">
        <v>30918</v>
      </c>
      <c r="B4263">
        <v>105</v>
      </c>
      <c r="C4263" t="s">
        <v>557</v>
      </c>
      <c r="D4263" s="452">
        <v>45778</v>
      </c>
      <c r="E4263">
        <v>25760</v>
      </c>
      <c r="F4263" t="s">
        <v>4787</v>
      </c>
      <c r="G4263">
        <v>6311</v>
      </c>
      <c r="H4263">
        <v>24</v>
      </c>
      <c r="I4263" t="s">
        <v>4736</v>
      </c>
      <c r="J4263" t="s">
        <v>5191</v>
      </c>
      <c r="K4263" t="s">
        <v>4436</v>
      </c>
      <c r="L4263">
        <v>0</v>
      </c>
      <c r="M4263" s="452">
        <v>45742</v>
      </c>
      <c r="N4263">
        <v>7.73</v>
      </c>
      <c r="O4263">
        <v>7.73</v>
      </c>
      <c r="P4263">
        <v>185.52</v>
      </c>
    </row>
    <row r="4264" spans="1:16" x14ac:dyDescent="0.3">
      <c r="A4264">
        <v>31194</v>
      </c>
      <c r="B4264">
        <v>105</v>
      </c>
      <c r="C4264" t="s">
        <v>557</v>
      </c>
      <c r="D4264" s="452">
        <v>45778</v>
      </c>
      <c r="E4264">
        <v>18111</v>
      </c>
      <c r="F4264" t="s">
        <v>5049</v>
      </c>
      <c r="G4264">
        <v>3500</v>
      </c>
      <c r="H4264">
        <v>2</v>
      </c>
      <c r="I4264" t="s">
        <v>4805</v>
      </c>
      <c r="J4264" t="s">
        <v>5222</v>
      </c>
      <c r="K4264" t="s">
        <v>4436</v>
      </c>
      <c r="L4264">
        <v>0</v>
      </c>
      <c r="M4264" s="452">
        <v>45743</v>
      </c>
      <c r="N4264">
        <v>92.47</v>
      </c>
      <c r="O4264">
        <v>93.41</v>
      </c>
      <c r="P4264">
        <v>184.94</v>
      </c>
    </row>
    <row r="4265" spans="1:16" x14ac:dyDescent="0.3">
      <c r="A4265">
        <v>31178</v>
      </c>
      <c r="B4265">
        <v>105</v>
      </c>
      <c r="C4265" t="s">
        <v>557</v>
      </c>
      <c r="D4265" s="452">
        <v>45778</v>
      </c>
      <c r="E4265">
        <v>18253</v>
      </c>
      <c r="F4265" t="s">
        <v>4969</v>
      </c>
      <c r="G4265">
        <v>3376</v>
      </c>
      <c r="H4265">
        <v>6</v>
      </c>
      <c r="I4265" t="s">
        <v>4805</v>
      </c>
      <c r="J4265" t="s">
        <v>5222</v>
      </c>
      <c r="K4265" t="s">
        <v>4436</v>
      </c>
      <c r="L4265">
        <v>30.53</v>
      </c>
      <c r="M4265" s="452">
        <v>45762</v>
      </c>
      <c r="N4265">
        <v>29.49</v>
      </c>
      <c r="O4265">
        <v>7.37</v>
      </c>
      <c r="P4265">
        <v>183.18</v>
      </c>
    </row>
    <row r="4266" spans="1:16" x14ac:dyDescent="0.3">
      <c r="A4266">
        <v>31212</v>
      </c>
      <c r="B4266">
        <v>105</v>
      </c>
      <c r="C4266" t="s">
        <v>557</v>
      </c>
      <c r="D4266" s="452">
        <v>45778</v>
      </c>
      <c r="E4266">
        <v>24468</v>
      </c>
      <c r="F4266" t="s">
        <v>4798</v>
      </c>
      <c r="G4266">
        <v>3675</v>
      </c>
      <c r="H4266">
        <v>80</v>
      </c>
      <c r="I4266" t="s">
        <v>4736</v>
      </c>
      <c r="J4266" t="s">
        <v>5222</v>
      </c>
      <c r="K4266" t="s">
        <v>4436</v>
      </c>
      <c r="L4266">
        <v>0</v>
      </c>
      <c r="M4266" s="452">
        <v>45653</v>
      </c>
      <c r="N4266">
        <v>2.19</v>
      </c>
      <c r="O4266">
        <v>2.19</v>
      </c>
      <c r="P4266">
        <v>175.2</v>
      </c>
    </row>
    <row r="4267" spans="1:16" x14ac:dyDescent="0.3">
      <c r="A4267">
        <v>30921</v>
      </c>
      <c r="B4267">
        <v>105</v>
      </c>
      <c r="C4267" t="s">
        <v>557</v>
      </c>
      <c r="D4267" s="452">
        <v>45778</v>
      </c>
      <c r="E4267">
        <v>25757</v>
      </c>
      <c r="F4267" t="s">
        <v>4763</v>
      </c>
      <c r="G4267">
        <v>6308</v>
      </c>
      <c r="H4267">
        <v>23</v>
      </c>
      <c r="I4267" t="s">
        <v>4736</v>
      </c>
      <c r="J4267" t="s">
        <v>5191</v>
      </c>
      <c r="K4267" t="s">
        <v>4436</v>
      </c>
      <c r="L4267">
        <v>0</v>
      </c>
      <c r="M4267" s="452">
        <v>45742</v>
      </c>
      <c r="N4267">
        <v>7.61</v>
      </c>
      <c r="O4267">
        <v>7.61</v>
      </c>
      <c r="P4267">
        <v>175.03</v>
      </c>
    </row>
    <row r="4268" spans="1:16" x14ac:dyDescent="0.3">
      <c r="A4268">
        <v>31227</v>
      </c>
      <c r="B4268">
        <v>105</v>
      </c>
      <c r="C4268" t="s">
        <v>557</v>
      </c>
      <c r="D4268" s="452">
        <v>45778</v>
      </c>
      <c r="E4268">
        <v>17658</v>
      </c>
      <c r="F4268" t="s">
        <v>4978</v>
      </c>
      <c r="G4268">
        <v>3871</v>
      </c>
      <c r="H4268">
        <v>3</v>
      </c>
      <c r="I4268" t="s">
        <v>4805</v>
      </c>
      <c r="J4268" t="s">
        <v>5222</v>
      </c>
      <c r="K4268" t="s">
        <v>4436</v>
      </c>
      <c r="L4268">
        <v>58</v>
      </c>
      <c r="M4268" s="452">
        <v>45757</v>
      </c>
      <c r="N4268">
        <v>58</v>
      </c>
      <c r="O4268">
        <v>58</v>
      </c>
      <c r="P4268">
        <v>174</v>
      </c>
    </row>
    <row r="4269" spans="1:16" x14ac:dyDescent="0.3">
      <c r="A4269">
        <v>30952</v>
      </c>
      <c r="B4269">
        <v>105</v>
      </c>
      <c r="C4269" t="s">
        <v>557</v>
      </c>
      <c r="D4269" s="452">
        <v>45778</v>
      </c>
      <c r="E4269">
        <v>25358</v>
      </c>
      <c r="F4269" t="s">
        <v>4980</v>
      </c>
      <c r="G4269">
        <v>6047</v>
      </c>
      <c r="H4269">
        <v>2.21</v>
      </c>
      <c r="I4269" t="s">
        <v>4744</v>
      </c>
      <c r="J4269" t="s">
        <v>5191</v>
      </c>
      <c r="K4269" t="s">
        <v>4436</v>
      </c>
      <c r="L4269">
        <v>77.33</v>
      </c>
      <c r="M4269" s="452">
        <v>45763</v>
      </c>
      <c r="N4269">
        <v>78</v>
      </c>
      <c r="O4269">
        <v>78.400000000000006</v>
      </c>
      <c r="P4269">
        <v>170.9</v>
      </c>
    </row>
    <row r="4270" spans="1:16" x14ac:dyDescent="0.3">
      <c r="A4270">
        <v>30974</v>
      </c>
      <c r="B4270">
        <v>105</v>
      </c>
      <c r="C4270" t="s">
        <v>557</v>
      </c>
      <c r="D4270" s="452">
        <v>45778</v>
      </c>
      <c r="E4270">
        <v>20242</v>
      </c>
      <c r="F4270" t="s">
        <v>4824</v>
      </c>
      <c r="G4270">
        <v>2242</v>
      </c>
      <c r="H4270">
        <v>12</v>
      </c>
      <c r="I4270" t="s">
        <v>4738</v>
      </c>
      <c r="J4270" t="s">
        <v>5191</v>
      </c>
      <c r="K4270" t="s">
        <v>4436</v>
      </c>
      <c r="L4270">
        <v>14.14</v>
      </c>
      <c r="M4270" s="452">
        <v>45770</v>
      </c>
      <c r="N4270">
        <v>14.69</v>
      </c>
      <c r="O4270">
        <v>14.06</v>
      </c>
      <c r="P4270">
        <v>169.68</v>
      </c>
    </row>
    <row r="4271" spans="1:16" x14ac:dyDescent="0.3">
      <c r="A4271">
        <v>31208</v>
      </c>
      <c r="B4271">
        <v>105</v>
      </c>
      <c r="C4271" t="s">
        <v>557</v>
      </c>
      <c r="D4271" s="452">
        <v>45778</v>
      </c>
      <c r="E4271">
        <v>24308</v>
      </c>
      <c r="F4271" t="s">
        <v>4757</v>
      </c>
      <c r="G4271">
        <v>3658</v>
      </c>
      <c r="H4271">
        <v>75</v>
      </c>
      <c r="I4271" t="s">
        <v>4736</v>
      </c>
      <c r="J4271" t="s">
        <v>5222</v>
      </c>
      <c r="K4271" t="s">
        <v>4436</v>
      </c>
      <c r="L4271">
        <v>0</v>
      </c>
      <c r="M4271" s="452">
        <v>45679</v>
      </c>
      <c r="N4271">
        <v>2.19</v>
      </c>
      <c r="O4271">
        <v>2.19</v>
      </c>
      <c r="P4271">
        <v>164.25</v>
      </c>
    </row>
    <row r="4272" spans="1:16" x14ac:dyDescent="0.3">
      <c r="A4272">
        <v>31193</v>
      </c>
      <c r="B4272">
        <v>105</v>
      </c>
      <c r="C4272" t="s">
        <v>557</v>
      </c>
      <c r="D4272" s="452">
        <v>45778</v>
      </c>
      <c r="E4272">
        <v>22223</v>
      </c>
      <c r="F4272" t="s">
        <v>5437</v>
      </c>
      <c r="G4272">
        <v>3498</v>
      </c>
      <c r="H4272">
        <v>0.6</v>
      </c>
      <c r="I4272" t="s">
        <v>4955</v>
      </c>
      <c r="J4272" t="s">
        <v>5222</v>
      </c>
      <c r="K4272" t="s">
        <v>4436</v>
      </c>
      <c r="L4272">
        <v>0</v>
      </c>
      <c r="M4272" s="452">
        <v>45672</v>
      </c>
      <c r="N4272">
        <v>269.89999999999998</v>
      </c>
      <c r="O4272">
        <v>269.89999999999998</v>
      </c>
      <c r="P4272">
        <v>161.94</v>
      </c>
    </row>
    <row r="4273" spans="1:16" x14ac:dyDescent="0.3">
      <c r="A4273">
        <v>30998</v>
      </c>
      <c r="B4273">
        <v>105</v>
      </c>
      <c r="C4273" t="s">
        <v>557</v>
      </c>
      <c r="D4273" s="452">
        <v>45778</v>
      </c>
      <c r="E4273">
        <v>20105</v>
      </c>
      <c r="F4273" t="s">
        <v>4831</v>
      </c>
      <c r="G4273">
        <v>2298</v>
      </c>
      <c r="H4273">
        <v>10</v>
      </c>
      <c r="I4273" t="s">
        <v>4744</v>
      </c>
      <c r="J4273" t="s">
        <v>5191</v>
      </c>
      <c r="K4273" t="s">
        <v>4436</v>
      </c>
      <c r="L4273">
        <v>16.100000000000001</v>
      </c>
      <c r="M4273" s="452">
        <v>45777</v>
      </c>
      <c r="N4273">
        <v>16.100000000000001</v>
      </c>
      <c r="O4273">
        <v>16.100000000000001</v>
      </c>
      <c r="P4273">
        <v>161</v>
      </c>
    </row>
    <row r="4274" spans="1:16" x14ac:dyDescent="0.3">
      <c r="A4274">
        <v>30959</v>
      </c>
      <c r="B4274">
        <v>105</v>
      </c>
      <c r="C4274" t="s">
        <v>557</v>
      </c>
      <c r="D4274" s="452">
        <v>45778</v>
      </c>
      <c r="E4274">
        <v>20909</v>
      </c>
      <c r="F4274" t="s">
        <v>5318</v>
      </c>
      <c r="G4274">
        <v>2035</v>
      </c>
      <c r="H4274">
        <v>1</v>
      </c>
      <c r="I4274" t="s">
        <v>4736</v>
      </c>
      <c r="J4274" t="s">
        <v>5191</v>
      </c>
      <c r="K4274" t="s">
        <v>4436</v>
      </c>
      <c r="L4274">
        <v>159.99</v>
      </c>
      <c r="M4274" s="452">
        <v>45756</v>
      </c>
      <c r="N4274">
        <v>159.99</v>
      </c>
      <c r="O4274">
        <v>159.99</v>
      </c>
      <c r="P4274">
        <v>159.99</v>
      </c>
    </row>
    <row r="4275" spans="1:16" x14ac:dyDescent="0.3">
      <c r="A4275">
        <v>30937</v>
      </c>
      <c r="B4275">
        <v>105</v>
      </c>
      <c r="C4275" t="s">
        <v>557</v>
      </c>
      <c r="D4275" s="452">
        <v>45778</v>
      </c>
      <c r="E4275">
        <v>20756</v>
      </c>
      <c r="F4275" t="s">
        <v>5001</v>
      </c>
      <c r="G4275">
        <v>2086</v>
      </c>
      <c r="H4275">
        <v>2</v>
      </c>
      <c r="I4275" t="s">
        <v>4736</v>
      </c>
      <c r="J4275" t="s">
        <v>5191</v>
      </c>
      <c r="K4275" t="s">
        <v>4436</v>
      </c>
      <c r="L4275">
        <v>0</v>
      </c>
      <c r="M4275" s="452">
        <v>45607</v>
      </c>
      <c r="N4275">
        <v>79.2</v>
      </c>
      <c r="O4275">
        <v>78.900000000000006</v>
      </c>
      <c r="P4275">
        <v>158.4</v>
      </c>
    </row>
    <row r="4276" spans="1:16" x14ac:dyDescent="0.3">
      <c r="A4276">
        <v>31199</v>
      </c>
      <c r="B4276">
        <v>105</v>
      </c>
      <c r="C4276" t="s">
        <v>557</v>
      </c>
      <c r="D4276" s="452">
        <v>45778</v>
      </c>
      <c r="E4276">
        <v>18030</v>
      </c>
      <c r="F4276" t="s">
        <v>4840</v>
      </c>
      <c r="G4276">
        <v>3568</v>
      </c>
      <c r="H4276">
        <v>6</v>
      </c>
      <c r="I4276" t="s">
        <v>4805</v>
      </c>
      <c r="J4276" t="s">
        <v>5222</v>
      </c>
      <c r="K4276" t="s">
        <v>4436</v>
      </c>
      <c r="L4276">
        <v>25.9</v>
      </c>
      <c r="M4276" s="452">
        <v>45777</v>
      </c>
      <c r="N4276">
        <v>25.9</v>
      </c>
      <c r="O4276">
        <v>2.4300000000000002</v>
      </c>
      <c r="P4276">
        <v>155.4</v>
      </c>
    </row>
    <row r="4277" spans="1:16" x14ac:dyDescent="0.3">
      <c r="A4277">
        <v>30999</v>
      </c>
      <c r="B4277">
        <v>105</v>
      </c>
      <c r="C4277" t="s">
        <v>557</v>
      </c>
      <c r="D4277" s="452">
        <v>45778</v>
      </c>
      <c r="E4277">
        <v>23861</v>
      </c>
      <c r="F4277" t="s">
        <v>5531</v>
      </c>
      <c r="G4277">
        <v>2040</v>
      </c>
      <c r="H4277">
        <v>4.84</v>
      </c>
      <c r="I4277" t="s">
        <v>4744</v>
      </c>
      <c r="J4277" t="s">
        <v>5191</v>
      </c>
      <c r="K4277" t="s">
        <v>4436</v>
      </c>
      <c r="L4277">
        <v>0</v>
      </c>
      <c r="M4277" s="452">
        <v>45679</v>
      </c>
      <c r="N4277">
        <v>32</v>
      </c>
      <c r="O4277">
        <v>32</v>
      </c>
      <c r="P4277">
        <v>154.88</v>
      </c>
    </row>
    <row r="4278" spans="1:16" x14ac:dyDescent="0.3">
      <c r="A4278">
        <v>30958</v>
      </c>
      <c r="B4278">
        <v>105</v>
      </c>
      <c r="C4278" t="s">
        <v>557</v>
      </c>
      <c r="D4278" s="452">
        <v>45778</v>
      </c>
      <c r="E4278">
        <v>20928</v>
      </c>
      <c r="F4278" t="s">
        <v>4950</v>
      </c>
      <c r="G4278">
        <v>2033</v>
      </c>
      <c r="H4278">
        <v>1</v>
      </c>
      <c r="I4278" t="s">
        <v>4736</v>
      </c>
      <c r="J4278" t="s">
        <v>5191</v>
      </c>
      <c r="K4278" t="s">
        <v>4436</v>
      </c>
      <c r="L4278">
        <v>0</v>
      </c>
      <c r="M4278" s="452">
        <v>45740</v>
      </c>
      <c r="N4278">
        <v>150</v>
      </c>
      <c r="O4278">
        <v>180</v>
      </c>
      <c r="P4278">
        <v>150</v>
      </c>
    </row>
    <row r="4279" spans="1:16" x14ac:dyDescent="0.3">
      <c r="A4279">
        <v>30957</v>
      </c>
      <c r="B4279">
        <v>105</v>
      </c>
      <c r="C4279" t="s">
        <v>557</v>
      </c>
      <c r="D4279" s="452">
        <v>45778</v>
      </c>
      <c r="E4279">
        <v>20044</v>
      </c>
      <c r="F4279" t="s">
        <v>4932</v>
      </c>
      <c r="G4279">
        <v>2329</v>
      </c>
      <c r="H4279">
        <v>7</v>
      </c>
      <c r="I4279" t="s">
        <v>4744</v>
      </c>
      <c r="J4279" t="s">
        <v>5191</v>
      </c>
      <c r="K4279" t="s">
        <v>4436</v>
      </c>
      <c r="L4279">
        <v>0</v>
      </c>
      <c r="M4279" s="452">
        <v>45639</v>
      </c>
      <c r="N4279">
        <v>21</v>
      </c>
      <c r="O4279">
        <v>38.479999999999997</v>
      </c>
      <c r="P4279">
        <v>147</v>
      </c>
    </row>
    <row r="4280" spans="1:16" x14ac:dyDescent="0.3">
      <c r="A4280">
        <v>31201</v>
      </c>
      <c r="B4280">
        <v>105</v>
      </c>
      <c r="C4280" t="s">
        <v>557</v>
      </c>
      <c r="D4280" s="452">
        <v>45778</v>
      </c>
      <c r="E4280">
        <v>24029</v>
      </c>
      <c r="F4280" t="s">
        <v>4756</v>
      </c>
      <c r="G4280">
        <v>3591</v>
      </c>
      <c r="H4280">
        <v>66</v>
      </c>
      <c r="I4280" t="s">
        <v>4736</v>
      </c>
      <c r="J4280" t="s">
        <v>5222</v>
      </c>
      <c r="K4280" t="s">
        <v>4436</v>
      </c>
      <c r="L4280">
        <v>0</v>
      </c>
      <c r="M4280" s="452">
        <v>45546</v>
      </c>
      <c r="N4280">
        <v>2.19</v>
      </c>
      <c r="O4280">
        <v>2.19</v>
      </c>
      <c r="P4280">
        <v>144.54</v>
      </c>
    </row>
    <row r="4281" spans="1:16" x14ac:dyDescent="0.3">
      <c r="A4281">
        <v>30970</v>
      </c>
      <c r="B4281">
        <v>105</v>
      </c>
      <c r="C4281" t="s">
        <v>557</v>
      </c>
      <c r="D4281" s="452">
        <v>45778</v>
      </c>
      <c r="E4281">
        <v>20382</v>
      </c>
      <c r="F4281" t="s">
        <v>4780</v>
      </c>
      <c r="G4281">
        <v>2196</v>
      </c>
      <c r="H4281">
        <v>16</v>
      </c>
      <c r="I4281" t="s">
        <v>4738</v>
      </c>
      <c r="J4281" t="s">
        <v>5191</v>
      </c>
      <c r="K4281" t="s">
        <v>4436</v>
      </c>
      <c r="L4281">
        <v>8.99</v>
      </c>
      <c r="M4281" s="452">
        <v>45771</v>
      </c>
      <c r="N4281">
        <v>8.99</v>
      </c>
      <c r="O4281">
        <v>8.99</v>
      </c>
      <c r="P4281">
        <v>143.84</v>
      </c>
    </row>
    <row r="4282" spans="1:16" x14ac:dyDescent="0.3">
      <c r="A4282">
        <v>31171</v>
      </c>
      <c r="B4282">
        <v>105</v>
      </c>
      <c r="C4282" t="s">
        <v>557</v>
      </c>
      <c r="D4282" s="452">
        <v>45778</v>
      </c>
      <c r="E4282">
        <v>24685</v>
      </c>
      <c r="F4282" t="s">
        <v>5055</v>
      </c>
      <c r="G4282">
        <v>5714</v>
      </c>
      <c r="H4282">
        <v>1</v>
      </c>
      <c r="I4282" t="s">
        <v>4805</v>
      </c>
      <c r="J4282" t="s">
        <v>5222</v>
      </c>
      <c r="K4282" t="s">
        <v>4436</v>
      </c>
      <c r="L4282">
        <v>0</v>
      </c>
      <c r="M4282" s="452">
        <v>45742</v>
      </c>
      <c r="N4282">
        <v>140.35</v>
      </c>
      <c r="O4282">
        <v>29.98</v>
      </c>
      <c r="P4282">
        <v>140.35</v>
      </c>
    </row>
    <row r="4283" spans="1:16" x14ac:dyDescent="0.3">
      <c r="A4283">
        <v>31218</v>
      </c>
      <c r="B4283">
        <v>105</v>
      </c>
      <c r="C4283" t="s">
        <v>557</v>
      </c>
      <c r="D4283" s="452">
        <v>45778</v>
      </c>
      <c r="E4283">
        <v>26032</v>
      </c>
      <c r="F4283" t="s">
        <v>4896</v>
      </c>
      <c r="G4283">
        <v>6503</v>
      </c>
      <c r="H4283">
        <v>3</v>
      </c>
      <c r="I4283" t="s">
        <v>4805</v>
      </c>
      <c r="J4283" t="s">
        <v>5222</v>
      </c>
      <c r="K4283" t="s">
        <v>4436</v>
      </c>
      <c r="L4283">
        <v>0</v>
      </c>
      <c r="M4283" s="452">
        <v>45698</v>
      </c>
      <c r="N4283">
        <v>46.38</v>
      </c>
      <c r="O4283">
        <v>46.38</v>
      </c>
      <c r="P4283">
        <v>139.13999999999999</v>
      </c>
    </row>
    <row r="4284" spans="1:16" x14ac:dyDescent="0.3">
      <c r="A4284">
        <v>31223</v>
      </c>
      <c r="B4284">
        <v>105</v>
      </c>
      <c r="C4284" t="s">
        <v>557</v>
      </c>
      <c r="D4284" s="452">
        <v>45778</v>
      </c>
      <c r="E4284">
        <v>24642</v>
      </c>
      <c r="F4284" t="s">
        <v>5460</v>
      </c>
      <c r="G4284">
        <v>5692</v>
      </c>
      <c r="H4284">
        <v>3</v>
      </c>
      <c r="I4284" t="s">
        <v>4805</v>
      </c>
      <c r="J4284" t="s">
        <v>5222</v>
      </c>
      <c r="K4284" t="s">
        <v>4436</v>
      </c>
      <c r="L4284">
        <v>0</v>
      </c>
      <c r="M4284" s="452">
        <v>45596</v>
      </c>
      <c r="N4284">
        <v>46</v>
      </c>
      <c r="O4284">
        <v>46</v>
      </c>
      <c r="P4284">
        <v>138</v>
      </c>
    </row>
    <row r="4285" spans="1:16" x14ac:dyDescent="0.3">
      <c r="A4285">
        <v>30922</v>
      </c>
      <c r="B4285">
        <v>105</v>
      </c>
      <c r="C4285" t="s">
        <v>557</v>
      </c>
      <c r="D4285" s="452">
        <v>45778</v>
      </c>
      <c r="E4285">
        <v>25762</v>
      </c>
      <c r="F4285" t="s">
        <v>4770</v>
      </c>
      <c r="G4285">
        <v>9070</v>
      </c>
      <c r="H4285">
        <v>18</v>
      </c>
      <c r="I4285" t="s">
        <v>4736</v>
      </c>
      <c r="J4285" t="s">
        <v>5191</v>
      </c>
      <c r="K4285" t="s">
        <v>4436</v>
      </c>
      <c r="L4285">
        <v>0</v>
      </c>
      <c r="M4285" s="452">
        <v>45742</v>
      </c>
      <c r="N4285">
        <v>7.61</v>
      </c>
      <c r="O4285">
        <v>7.61</v>
      </c>
      <c r="P4285">
        <v>136.97999999999999</v>
      </c>
    </row>
    <row r="4286" spans="1:16" x14ac:dyDescent="0.3">
      <c r="A4286">
        <v>30924</v>
      </c>
      <c r="B4286">
        <v>105</v>
      </c>
      <c r="C4286" t="s">
        <v>557</v>
      </c>
      <c r="D4286" s="452">
        <v>45778</v>
      </c>
      <c r="E4286">
        <v>26103</v>
      </c>
      <c r="F4286" t="s">
        <v>4776</v>
      </c>
      <c r="G4286">
        <v>9072</v>
      </c>
      <c r="H4286">
        <v>13</v>
      </c>
      <c r="I4286" t="s">
        <v>4749</v>
      </c>
      <c r="J4286" t="s">
        <v>5191</v>
      </c>
      <c r="K4286" t="s">
        <v>4436</v>
      </c>
      <c r="L4286">
        <v>0</v>
      </c>
      <c r="M4286" s="452">
        <v>45742</v>
      </c>
      <c r="N4286">
        <v>10.53</v>
      </c>
      <c r="O4286">
        <v>10.53</v>
      </c>
      <c r="P4286">
        <v>136.88999999999999</v>
      </c>
    </row>
    <row r="4287" spans="1:16" x14ac:dyDescent="0.3">
      <c r="A4287">
        <v>31174</v>
      </c>
      <c r="B4287">
        <v>105</v>
      </c>
      <c r="C4287" t="s">
        <v>557</v>
      </c>
      <c r="D4287" s="452">
        <v>45778</v>
      </c>
      <c r="E4287">
        <v>18312</v>
      </c>
      <c r="F4287" t="s">
        <v>5037</v>
      </c>
      <c r="G4287">
        <v>3321</v>
      </c>
      <c r="H4287">
        <v>1</v>
      </c>
      <c r="I4287" t="s">
        <v>4805</v>
      </c>
      <c r="J4287" t="s">
        <v>5222</v>
      </c>
      <c r="K4287" t="s">
        <v>4436</v>
      </c>
      <c r="L4287">
        <v>0</v>
      </c>
      <c r="M4287" s="452">
        <v>-693593</v>
      </c>
      <c r="N4287">
        <v>0</v>
      </c>
      <c r="O4287">
        <v>135.9</v>
      </c>
      <c r="P4287">
        <v>135.9</v>
      </c>
    </row>
    <row r="4288" spans="1:16" x14ac:dyDescent="0.3">
      <c r="A4288">
        <v>31007</v>
      </c>
      <c r="B4288">
        <v>105</v>
      </c>
      <c r="C4288" t="s">
        <v>557</v>
      </c>
      <c r="D4288" s="452">
        <v>45778</v>
      </c>
      <c r="E4288">
        <v>19964</v>
      </c>
      <c r="F4288" t="s">
        <v>4817</v>
      </c>
      <c r="G4288">
        <v>2356</v>
      </c>
      <c r="H4288">
        <v>9</v>
      </c>
      <c r="I4288" t="s">
        <v>4736</v>
      </c>
      <c r="J4288" t="s">
        <v>5191</v>
      </c>
      <c r="K4288" t="s">
        <v>4436</v>
      </c>
      <c r="L4288">
        <v>0</v>
      </c>
      <c r="M4288" s="452">
        <v>45677</v>
      </c>
      <c r="N4288">
        <v>14.96</v>
      </c>
      <c r="O4288">
        <v>14.96</v>
      </c>
      <c r="P4288">
        <v>134.63999999999999</v>
      </c>
    </row>
    <row r="4289" spans="1:16" x14ac:dyDescent="0.3">
      <c r="A4289">
        <v>30919</v>
      </c>
      <c r="B4289">
        <v>105</v>
      </c>
      <c r="C4289" t="s">
        <v>557</v>
      </c>
      <c r="D4289" s="452">
        <v>45778</v>
      </c>
      <c r="E4289">
        <v>25763</v>
      </c>
      <c r="F4289" t="s">
        <v>4943</v>
      </c>
      <c r="G4289">
        <v>6314</v>
      </c>
      <c r="H4289">
        <v>19</v>
      </c>
      <c r="I4289" t="s">
        <v>4736</v>
      </c>
      <c r="J4289" t="s">
        <v>5191</v>
      </c>
      <c r="K4289" t="s">
        <v>4436</v>
      </c>
      <c r="L4289">
        <v>0</v>
      </c>
      <c r="M4289" s="452">
        <v>-693593</v>
      </c>
      <c r="N4289">
        <v>0</v>
      </c>
      <c r="O4289">
        <v>0</v>
      </c>
      <c r="P4289">
        <v>132.81</v>
      </c>
    </row>
    <row r="4290" spans="1:16" x14ac:dyDescent="0.3">
      <c r="A4290">
        <v>31189</v>
      </c>
      <c r="B4290">
        <v>105</v>
      </c>
      <c r="C4290" t="s">
        <v>557</v>
      </c>
      <c r="D4290" s="452">
        <v>45778</v>
      </c>
      <c r="E4290">
        <v>18129</v>
      </c>
      <c r="F4290" t="s">
        <v>5043</v>
      </c>
      <c r="G4290">
        <v>3486</v>
      </c>
      <c r="H4290">
        <v>1</v>
      </c>
      <c r="I4290" t="s">
        <v>4805</v>
      </c>
      <c r="J4290" t="s">
        <v>5222</v>
      </c>
      <c r="K4290" t="s">
        <v>4436</v>
      </c>
      <c r="L4290">
        <v>128.9</v>
      </c>
      <c r="M4290" s="452">
        <v>45777</v>
      </c>
      <c r="N4290">
        <v>128.9</v>
      </c>
      <c r="O4290">
        <v>128.72999999999999</v>
      </c>
      <c r="P4290">
        <v>128.9</v>
      </c>
    </row>
    <row r="4291" spans="1:16" x14ac:dyDescent="0.3">
      <c r="A4291">
        <v>31184</v>
      </c>
      <c r="B4291">
        <v>105</v>
      </c>
      <c r="C4291" t="s">
        <v>557</v>
      </c>
      <c r="D4291" s="452">
        <v>45778</v>
      </c>
      <c r="E4291">
        <v>18194</v>
      </c>
      <c r="F4291" t="s">
        <v>4923</v>
      </c>
      <c r="G4291">
        <v>3430</v>
      </c>
      <c r="H4291">
        <v>2</v>
      </c>
      <c r="I4291" t="s">
        <v>4805</v>
      </c>
      <c r="J4291" t="s">
        <v>5222</v>
      </c>
      <c r="K4291" t="s">
        <v>4436</v>
      </c>
      <c r="L4291">
        <v>63.75</v>
      </c>
      <c r="M4291" s="452">
        <v>45777</v>
      </c>
      <c r="N4291">
        <v>63</v>
      </c>
      <c r="O4291">
        <v>31.25</v>
      </c>
      <c r="P4291">
        <v>127.5</v>
      </c>
    </row>
    <row r="4292" spans="1:16" x14ac:dyDescent="0.3">
      <c r="A4292">
        <v>30961</v>
      </c>
      <c r="B4292">
        <v>105</v>
      </c>
      <c r="C4292" t="s">
        <v>557</v>
      </c>
      <c r="D4292" s="452">
        <v>45778</v>
      </c>
      <c r="E4292">
        <v>24189</v>
      </c>
      <c r="F4292" t="s">
        <v>5532</v>
      </c>
      <c r="G4292">
        <v>2140</v>
      </c>
      <c r="H4292">
        <v>5.45</v>
      </c>
      <c r="I4292" t="s">
        <v>4744</v>
      </c>
      <c r="J4292" t="s">
        <v>5191</v>
      </c>
      <c r="K4292" t="s">
        <v>4436</v>
      </c>
      <c r="L4292">
        <v>0</v>
      </c>
      <c r="M4292" s="452">
        <v>45546</v>
      </c>
      <c r="N4292">
        <v>22.4</v>
      </c>
      <c r="O4292">
        <v>22.34</v>
      </c>
      <c r="P4292">
        <v>122.08</v>
      </c>
    </row>
    <row r="4293" spans="1:16" x14ac:dyDescent="0.3">
      <c r="A4293">
        <v>31175</v>
      </c>
      <c r="B4293">
        <v>105</v>
      </c>
      <c r="C4293" t="s">
        <v>557</v>
      </c>
      <c r="D4293" s="452">
        <v>45778</v>
      </c>
      <c r="E4293">
        <v>18295</v>
      </c>
      <c r="F4293" t="s">
        <v>4968</v>
      </c>
      <c r="G4293">
        <v>3334</v>
      </c>
      <c r="H4293">
        <v>1</v>
      </c>
      <c r="I4293" t="s">
        <v>4805</v>
      </c>
      <c r="J4293" t="s">
        <v>5222</v>
      </c>
      <c r="K4293" t="s">
        <v>4436</v>
      </c>
      <c r="L4293">
        <v>0</v>
      </c>
      <c r="M4293" s="452">
        <v>45672</v>
      </c>
      <c r="N4293">
        <v>116.87</v>
      </c>
      <c r="O4293">
        <v>121.9</v>
      </c>
      <c r="P4293">
        <v>116.87</v>
      </c>
    </row>
    <row r="4294" spans="1:16" x14ac:dyDescent="0.3">
      <c r="A4294">
        <v>31146</v>
      </c>
      <c r="B4294">
        <v>105</v>
      </c>
      <c r="C4294" t="s">
        <v>557</v>
      </c>
      <c r="D4294" s="452">
        <v>45778</v>
      </c>
      <c r="E4294">
        <v>18635</v>
      </c>
      <c r="F4294" t="s">
        <v>5533</v>
      </c>
      <c r="G4294">
        <v>3076</v>
      </c>
      <c r="H4294">
        <v>1</v>
      </c>
      <c r="I4294" t="s">
        <v>4738</v>
      </c>
      <c r="J4294" t="s">
        <v>5222</v>
      </c>
      <c r="K4294" t="s">
        <v>4436</v>
      </c>
      <c r="L4294">
        <v>0</v>
      </c>
      <c r="M4294" s="452">
        <v>45463</v>
      </c>
      <c r="N4294">
        <v>116.64</v>
      </c>
      <c r="O4294">
        <v>0</v>
      </c>
      <c r="P4294">
        <v>116.64</v>
      </c>
    </row>
    <row r="4295" spans="1:16" x14ac:dyDescent="0.3">
      <c r="A4295">
        <v>31129</v>
      </c>
      <c r="B4295">
        <v>105</v>
      </c>
      <c r="C4295" t="s">
        <v>557</v>
      </c>
      <c r="D4295" s="452">
        <v>45778</v>
      </c>
      <c r="E4295">
        <v>25745</v>
      </c>
      <c r="F4295" t="s">
        <v>5534</v>
      </c>
      <c r="G4295">
        <v>6297</v>
      </c>
      <c r="H4295">
        <v>2.2000000000000002</v>
      </c>
      <c r="I4295" t="s">
        <v>4744</v>
      </c>
      <c r="J4295" t="s">
        <v>5191</v>
      </c>
      <c r="K4295" t="s">
        <v>4436</v>
      </c>
      <c r="L4295">
        <v>0</v>
      </c>
      <c r="M4295" s="452">
        <v>-693593</v>
      </c>
      <c r="N4295">
        <v>0</v>
      </c>
      <c r="O4295">
        <v>0</v>
      </c>
      <c r="P4295">
        <v>116.58</v>
      </c>
    </row>
    <row r="4296" spans="1:16" x14ac:dyDescent="0.3">
      <c r="A4296">
        <v>31008</v>
      </c>
      <c r="B4296">
        <v>105</v>
      </c>
      <c r="C4296" t="s">
        <v>557</v>
      </c>
      <c r="D4296" s="452">
        <v>45778</v>
      </c>
      <c r="E4296">
        <v>19955</v>
      </c>
      <c r="F4296" t="s">
        <v>4985</v>
      </c>
      <c r="G4296">
        <v>2359</v>
      </c>
      <c r="H4296">
        <v>2</v>
      </c>
      <c r="I4296" t="s">
        <v>4736</v>
      </c>
      <c r="J4296" t="s">
        <v>5191</v>
      </c>
      <c r="K4296" t="s">
        <v>4436</v>
      </c>
      <c r="L4296">
        <v>57.9</v>
      </c>
      <c r="M4296" s="452">
        <v>45777</v>
      </c>
      <c r="N4296">
        <v>57.9</v>
      </c>
      <c r="O4296">
        <v>59.23</v>
      </c>
      <c r="P4296">
        <v>115.8</v>
      </c>
    </row>
    <row r="4297" spans="1:16" x14ac:dyDescent="0.3">
      <c r="A4297">
        <v>31188</v>
      </c>
      <c r="B4297">
        <v>105</v>
      </c>
      <c r="C4297" t="s">
        <v>557</v>
      </c>
      <c r="D4297" s="452">
        <v>45778</v>
      </c>
      <c r="E4297">
        <v>18147</v>
      </c>
      <c r="F4297" t="s">
        <v>5042</v>
      </c>
      <c r="G4297">
        <v>3471</v>
      </c>
      <c r="H4297">
        <v>1</v>
      </c>
      <c r="I4297" t="s">
        <v>4805</v>
      </c>
      <c r="J4297" t="s">
        <v>5222</v>
      </c>
      <c r="K4297" t="s">
        <v>4436</v>
      </c>
      <c r="L4297">
        <v>0</v>
      </c>
      <c r="M4297" s="452">
        <v>45427</v>
      </c>
      <c r="N4297">
        <v>115</v>
      </c>
      <c r="O4297">
        <v>113.9</v>
      </c>
      <c r="P4297">
        <v>115</v>
      </c>
    </row>
    <row r="4298" spans="1:16" x14ac:dyDescent="0.3">
      <c r="A4298">
        <v>31012</v>
      </c>
      <c r="B4298">
        <v>105</v>
      </c>
      <c r="C4298" t="s">
        <v>557</v>
      </c>
      <c r="D4298" s="452">
        <v>45778</v>
      </c>
      <c r="E4298">
        <v>20985</v>
      </c>
      <c r="F4298" t="s">
        <v>5494</v>
      </c>
      <c r="G4298">
        <v>2011</v>
      </c>
      <c r="H4298">
        <v>13</v>
      </c>
      <c r="I4298" t="s">
        <v>4736</v>
      </c>
      <c r="J4298" t="s">
        <v>5191</v>
      </c>
      <c r="K4298" t="s">
        <v>4436</v>
      </c>
      <c r="L4298">
        <v>0</v>
      </c>
      <c r="M4298" s="452">
        <v>45675</v>
      </c>
      <c r="N4298">
        <v>8.7799999999999994</v>
      </c>
      <c r="O4298">
        <v>8.8800000000000008</v>
      </c>
      <c r="P4298">
        <v>114.14</v>
      </c>
    </row>
    <row r="4299" spans="1:16" x14ac:dyDescent="0.3">
      <c r="A4299">
        <v>30930</v>
      </c>
      <c r="B4299">
        <v>105</v>
      </c>
      <c r="C4299" t="s">
        <v>557</v>
      </c>
      <c r="D4299" s="452">
        <v>45778</v>
      </c>
      <c r="E4299">
        <v>25606</v>
      </c>
      <c r="F4299" t="s">
        <v>5535</v>
      </c>
      <c r="G4299">
        <v>6191</v>
      </c>
      <c r="H4299">
        <v>1</v>
      </c>
      <c r="I4299" t="s">
        <v>4884</v>
      </c>
      <c r="J4299" t="s">
        <v>5191</v>
      </c>
      <c r="K4299" t="s">
        <v>4436</v>
      </c>
      <c r="L4299">
        <v>0</v>
      </c>
      <c r="M4299" s="452">
        <v>45742</v>
      </c>
      <c r="N4299">
        <v>114.07</v>
      </c>
      <c r="O4299">
        <v>76</v>
      </c>
      <c r="P4299">
        <v>114.07</v>
      </c>
    </row>
    <row r="4300" spans="1:16" x14ac:dyDescent="0.3">
      <c r="A4300">
        <v>31003</v>
      </c>
      <c r="B4300">
        <v>105</v>
      </c>
      <c r="C4300" t="s">
        <v>557</v>
      </c>
      <c r="D4300" s="452">
        <v>45778</v>
      </c>
      <c r="E4300">
        <v>19979</v>
      </c>
      <c r="F4300" t="s">
        <v>5270</v>
      </c>
      <c r="G4300">
        <v>2353</v>
      </c>
      <c r="H4300">
        <v>7</v>
      </c>
      <c r="I4300" t="s">
        <v>4888</v>
      </c>
      <c r="J4300" t="s">
        <v>5191</v>
      </c>
      <c r="K4300" t="s">
        <v>4436</v>
      </c>
      <c r="L4300">
        <v>15.77</v>
      </c>
      <c r="M4300" s="452">
        <v>45770</v>
      </c>
      <c r="N4300">
        <v>16.2</v>
      </c>
      <c r="O4300">
        <v>16.2</v>
      </c>
      <c r="P4300">
        <v>110.39</v>
      </c>
    </row>
    <row r="4301" spans="1:16" x14ac:dyDescent="0.3">
      <c r="A4301">
        <v>31138</v>
      </c>
      <c r="B4301">
        <v>105</v>
      </c>
      <c r="C4301" t="s">
        <v>557</v>
      </c>
      <c r="D4301" s="452">
        <v>45778</v>
      </c>
      <c r="E4301">
        <v>18996</v>
      </c>
      <c r="F4301" t="s">
        <v>5130</v>
      </c>
      <c r="G4301">
        <v>2900</v>
      </c>
      <c r="H4301">
        <v>4.95</v>
      </c>
      <c r="I4301" t="s">
        <v>4744</v>
      </c>
      <c r="J4301" t="s">
        <v>5191</v>
      </c>
      <c r="K4301" t="s">
        <v>4436</v>
      </c>
      <c r="L4301">
        <v>22.21</v>
      </c>
      <c r="M4301" s="452">
        <v>45777</v>
      </c>
      <c r="N4301">
        <v>23.9</v>
      </c>
      <c r="O4301">
        <v>23.9</v>
      </c>
      <c r="P4301">
        <v>109.94</v>
      </c>
    </row>
    <row r="4302" spans="1:16" x14ac:dyDescent="0.3">
      <c r="A4302">
        <v>30923</v>
      </c>
      <c r="B4302">
        <v>105</v>
      </c>
      <c r="C4302" t="s">
        <v>557</v>
      </c>
      <c r="D4302" s="452">
        <v>45778</v>
      </c>
      <c r="E4302">
        <v>25755</v>
      </c>
      <c r="F4302" t="s">
        <v>4821</v>
      </c>
      <c r="G4302">
        <v>9071</v>
      </c>
      <c r="H4302">
        <v>14</v>
      </c>
      <c r="I4302" t="s">
        <v>4749</v>
      </c>
      <c r="J4302" t="s">
        <v>5191</v>
      </c>
      <c r="K4302" t="s">
        <v>4436</v>
      </c>
      <c r="L4302">
        <v>0</v>
      </c>
      <c r="M4302" s="452">
        <v>45742</v>
      </c>
      <c r="N4302">
        <v>7.73</v>
      </c>
      <c r="O4302">
        <v>7.73</v>
      </c>
      <c r="P4302">
        <v>108.22</v>
      </c>
    </row>
    <row r="4303" spans="1:16" x14ac:dyDescent="0.3">
      <c r="A4303">
        <v>30920</v>
      </c>
      <c r="B4303">
        <v>105</v>
      </c>
      <c r="C4303" t="s">
        <v>557</v>
      </c>
      <c r="D4303" s="452">
        <v>45778</v>
      </c>
      <c r="E4303">
        <v>25756</v>
      </c>
      <c r="F4303" t="s">
        <v>4854</v>
      </c>
      <c r="G4303">
        <v>9069</v>
      </c>
      <c r="H4303">
        <v>14</v>
      </c>
      <c r="I4303" t="s">
        <v>4749</v>
      </c>
      <c r="J4303" t="s">
        <v>5191</v>
      </c>
      <c r="K4303" t="s">
        <v>4436</v>
      </c>
      <c r="L4303">
        <v>0</v>
      </c>
      <c r="M4303" s="452">
        <v>45742</v>
      </c>
      <c r="N4303">
        <v>7.61</v>
      </c>
      <c r="O4303">
        <v>7.61</v>
      </c>
      <c r="P4303">
        <v>106.54</v>
      </c>
    </row>
    <row r="4304" spans="1:16" x14ac:dyDescent="0.3">
      <c r="A4304">
        <v>31170</v>
      </c>
      <c r="B4304">
        <v>105</v>
      </c>
      <c r="C4304" t="s">
        <v>557</v>
      </c>
      <c r="D4304" s="452">
        <v>45778</v>
      </c>
      <c r="E4304">
        <v>18327</v>
      </c>
      <c r="F4304" t="s">
        <v>5035</v>
      </c>
      <c r="G4304">
        <v>3306</v>
      </c>
      <c r="H4304">
        <v>1</v>
      </c>
      <c r="I4304" t="s">
        <v>4805</v>
      </c>
      <c r="J4304" t="s">
        <v>5222</v>
      </c>
      <c r="K4304" t="s">
        <v>4436</v>
      </c>
      <c r="L4304">
        <v>106</v>
      </c>
      <c r="M4304" s="452">
        <v>45762</v>
      </c>
      <c r="N4304">
        <v>106</v>
      </c>
      <c r="O4304">
        <v>106</v>
      </c>
      <c r="P4304">
        <v>106</v>
      </c>
    </row>
    <row r="4305" spans="1:16" x14ac:dyDescent="0.3">
      <c r="A4305">
        <v>31133</v>
      </c>
      <c r="B4305">
        <v>105</v>
      </c>
      <c r="C4305" t="s">
        <v>557</v>
      </c>
      <c r="D4305" s="452">
        <v>45778</v>
      </c>
      <c r="E4305">
        <v>24278</v>
      </c>
      <c r="F4305" t="s">
        <v>4901</v>
      </c>
      <c r="G4305">
        <v>2896</v>
      </c>
      <c r="H4305">
        <v>7.75</v>
      </c>
      <c r="I4305" t="s">
        <v>4744</v>
      </c>
      <c r="J4305" t="s">
        <v>5191</v>
      </c>
      <c r="K4305" t="s">
        <v>4436</v>
      </c>
      <c r="L4305">
        <v>13.54</v>
      </c>
      <c r="M4305" s="452">
        <v>45777</v>
      </c>
      <c r="N4305">
        <v>13.9</v>
      </c>
      <c r="O4305">
        <v>10.46</v>
      </c>
      <c r="P4305">
        <v>104.93</v>
      </c>
    </row>
    <row r="4306" spans="1:16" x14ac:dyDescent="0.3">
      <c r="A4306">
        <v>31200</v>
      </c>
      <c r="B4306">
        <v>105</v>
      </c>
      <c r="C4306" t="s">
        <v>557</v>
      </c>
      <c r="D4306" s="452">
        <v>45778</v>
      </c>
      <c r="E4306">
        <v>17957</v>
      </c>
      <c r="F4306" t="s">
        <v>4745</v>
      </c>
      <c r="G4306">
        <v>3622</v>
      </c>
      <c r="H4306">
        <v>85</v>
      </c>
      <c r="I4306" t="s">
        <v>4736</v>
      </c>
      <c r="J4306" t="s">
        <v>5222</v>
      </c>
      <c r="K4306" t="s">
        <v>4436</v>
      </c>
      <c r="L4306">
        <v>0</v>
      </c>
      <c r="M4306" s="452">
        <v>45680</v>
      </c>
      <c r="N4306">
        <v>1.23</v>
      </c>
      <c r="O4306">
        <v>0.66</v>
      </c>
      <c r="P4306">
        <v>104.55</v>
      </c>
    </row>
    <row r="4307" spans="1:16" x14ac:dyDescent="0.3">
      <c r="A4307">
        <v>30946</v>
      </c>
      <c r="B4307">
        <v>105</v>
      </c>
      <c r="C4307" t="s">
        <v>557</v>
      </c>
      <c r="D4307" s="452">
        <v>45778</v>
      </c>
      <c r="E4307">
        <v>20751</v>
      </c>
      <c r="F4307" t="s">
        <v>5004</v>
      </c>
      <c r="G4307">
        <v>2088</v>
      </c>
      <c r="H4307">
        <v>1</v>
      </c>
      <c r="I4307" t="s">
        <v>4884</v>
      </c>
      <c r="J4307" t="s">
        <v>5191</v>
      </c>
      <c r="K4307" t="s">
        <v>4436</v>
      </c>
      <c r="L4307">
        <v>0</v>
      </c>
      <c r="M4307" s="452">
        <v>45740</v>
      </c>
      <c r="N4307">
        <v>103.8</v>
      </c>
      <c r="O4307">
        <v>106.98</v>
      </c>
      <c r="P4307">
        <v>103.8</v>
      </c>
    </row>
    <row r="4308" spans="1:16" x14ac:dyDescent="0.3">
      <c r="A4308">
        <v>30927</v>
      </c>
      <c r="B4308">
        <v>105</v>
      </c>
      <c r="C4308" t="s">
        <v>557</v>
      </c>
      <c r="D4308" s="452">
        <v>45778</v>
      </c>
      <c r="E4308">
        <v>25752</v>
      </c>
      <c r="F4308" t="s">
        <v>5000</v>
      </c>
      <c r="G4308">
        <v>6303</v>
      </c>
      <c r="H4308">
        <v>15</v>
      </c>
      <c r="I4308" t="s">
        <v>4749</v>
      </c>
      <c r="J4308" t="s">
        <v>5191</v>
      </c>
      <c r="K4308" t="s">
        <v>4436</v>
      </c>
      <c r="L4308">
        <v>0</v>
      </c>
      <c r="M4308" s="452">
        <v>45742</v>
      </c>
      <c r="N4308">
        <v>6.87</v>
      </c>
      <c r="O4308">
        <v>6.87</v>
      </c>
      <c r="P4308">
        <v>103.05</v>
      </c>
    </row>
    <row r="4309" spans="1:16" x14ac:dyDescent="0.3">
      <c r="A4309">
        <v>31053</v>
      </c>
      <c r="B4309">
        <v>105</v>
      </c>
      <c r="C4309" t="s">
        <v>557</v>
      </c>
      <c r="D4309" s="452">
        <v>45778</v>
      </c>
      <c r="E4309">
        <v>19623</v>
      </c>
      <c r="F4309" t="s">
        <v>4764</v>
      </c>
      <c r="G4309">
        <v>2611</v>
      </c>
      <c r="H4309">
        <v>16.14</v>
      </c>
      <c r="I4309" t="s">
        <v>4744</v>
      </c>
      <c r="J4309" t="s">
        <v>5191</v>
      </c>
      <c r="K4309" t="s">
        <v>4436</v>
      </c>
      <c r="L4309">
        <v>6.28</v>
      </c>
      <c r="M4309" s="452">
        <v>45772</v>
      </c>
      <c r="N4309">
        <v>5.5</v>
      </c>
      <c r="O4309">
        <v>5.33</v>
      </c>
      <c r="P4309">
        <v>101.36</v>
      </c>
    </row>
    <row r="4310" spans="1:16" x14ac:dyDescent="0.3">
      <c r="A4310">
        <v>31180</v>
      </c>
      <c r="B4310">
        <v>105</v>
      </c>
      <c r="C4310" t="s">
        <v>557</v>
      </c>
      <c r="D4310" s="452">
        <v>45778</v>
      </c>
      <c r="E4310">
        <v>18232</v>
      </c>
      <c r="F4310" t="s">
        <v>4971</v>
      </c>
      <c r="G4310">
        <v>3396</v>
      </c>
      <c r="H4310">
        <v>1</v>
      </c>
      <c r="I4310" t="s">
        <v>4805</v>
      </c>
      <c r="J4310" t="s">
        <v>5222</v>
      </c>
      <c r="K4310" t="s">
        <v>4436</v>
      </c>
      <c r="L4310">
        <v>0</v>
      </c>
      <c r="M4310" s="452">
        <v>45737</v>
      </c>
      <c r="N4310">
        <v>100.88</v>
      </c>
      <c r="O4310">
        <v>50.44</v>
      </c>
      <c r="P4310">
        <v>100.88</v>
      </c>
    </row>
    <row r="4311" spans="1:16" x14ac:dyDescent="0.3">
      <c r="A4311">
        <v>31160</v>
      </c>
      <c r="B4311">
        <v>105</v>
      </c>
      <c r="C4311" t="s">
        <v>557</v>
      </c>
      <c r="D4311" s="452">
        <v>45778</v>
      </c>
      <c r="E4311">
        <v>18538</v>
      </c>
      <c r="F4311" t="s">
        <v>5030</v>
      </c>
      <c r="G4311">
        <v>3139</v>
      </c>
      <c r="H4311">
        <v>1</v>
      </c>
      <c r="I4311" t="s">
        <v>4805</v>
      </c>
      <c r="J4311" t="s">
        <v>5222</v>
      </c>
      <c r="K4311" t="s">
        <v>4436</v>
      </c>
      <c r="L4311">
        <v>0</v>
      </c>
      <c r="M4311" s="452">
        <v>45653</v>
      </c>
      <c r="N4311">
        <v>98.9</v>
      </c>
      <c r="O4311">
        <v>104.3</v>
      </c>
      <c r="P4311">
        <v>98.9</v>
      </c>
    </row>
    <row r="4312" spans="1:16" x14ac:dyDescent="0.3">
      <c r="A4312">
        <v>31058</v>
      </c>
      <c r="B4312">
        <v>105</v>
      </c>
      <c r="C4312" t="s">
        <v>557</v>
      </c>
      <c r="D4312" s="452">
        <v>45778</v>
      </c>
      <c r="E4312">
        <v>24522</v>
      </c>
      <c r="F4312" t="s">
        <v>5072</v>
      </c>
      <c r="G4312">
        <v>5651</v>
      </c>
      <c r="H4312">
        <v>4.4000000000000004</v>
      </c>
      <c r="I4312" t="s">
        <v>4744</v>
      </c>
      <c r="J4312" t="s">
        <v>5191</v>
      </c>
      <c r="K4312" t="s">
        <v>4436</v>
      </c>
      <c r="L4312">
        <v>22.45</v>
      </c>
      <c r="M4312" s="452">
        <v>45772</v>
      </c>
      <c r="N4312">
        <v>25</v>
      </c>
      <c r="O4312">
        <v>25</v>
      </c>
      <c r="P4312">
        <v>98.78</v>
      </c>
    </row>
    <row r="4313" spans="1:16" x14ac:dyDescent="0.3">
      <c r="A4313">
        <v>31172</v>
      </c>
      <c r="B4313">
        <v>105</v>
      </c>
      <c r="C4313" t="s">
        <v>557</v>
      </c>
      <c r="D4313" s="452">
        <v>45778</v>
      </c>
      <c r="E4313">
        <v>18289</v>
      </c>
      <c r="F4313" t="s">
        <v>5036</v>
      </c>
      <c r="G4313">
        <v>3339</v>
      </c>
      <c r="H4313">
        <v>0.7</v>
      </c>
      <c r="I4313" t="s">
        <v>4736</v>
      </c>
      <c r="J4313" t="s">
        <v>5222</v>
      </c>
      <c r="K4313" t="s">
        <v>4436</v>
      </c>
      <c r="L4313">
        <v>0</v>
      </c>
      <c r="M4313" s="452">
        <v>-693593</v>
      </c>
      <c r="N4313">
        <v>0</v>
      </c>
      <c r="O4313">
        <v>0</v>
      </c>
      <c r="P4313">
        <v>97.99</v>
      </c>
    </row>
    <row r="4314" spans="1:16" x14ac:dyDescent="0.3">
      <c r="A4314">
        <v>31045</v>
      </c>
      <c r="B4314">
        <v>105</v>
      </c>
      <c r="C4314" t="s">
        <v>557</v>
      </c>
      <c r="D4314" s="452">
        <v>45778</v>
      </c>
      <c r="E4314">
        <v>19635</v>
      </c>
      <c r="F4314" t="s">
        <v>4786</v>
      </c>
      <c r="G4314">
        <v>2601</v>
      </c>
      <c r="H4314">
        <v>33.99</v>
      </c>
      <c r="I4314" t="s">
        <v>4744</v>
      </c>
      <c r="J4314" t="s">
        <v>5191</v>
      </c>
      <c r="K4314" t="s">
        <v>4436</v>
      </c>
      <c r="L4314">
        <v>2.8</v>
      </c>
      <c r="M4314" s="452">
        <v>45777</v>
      </c>
      <c r="N4314">
        <v>2.8</v>
      </c>
      <c r="O4314">
        <v>2.8</v>
      </c>
      <c r="P4314">
        <v>95.17</v>
      </c>
    </row>
    <row r="4315" spans="1:16" x14ac:dyDescent="0.3">
      <c r="A4315">
        <v>30954</v>
      </c>
      <c r="B4315">
        <v>105</v>
      </c>
      <c r="C4315" t="s">
        <v>557</v>
      </c>
      <c r="D4315" s="452">
        <v>45778</v>
      </c>
      <c r="E4315">
        <v>20054</v>
      </c>
      <c r="F4315" t="s">
        <v>4856</v>
      </c>
      <c r="G4315">
        <v>2325</v>
      </c>
      <c r="H4315">
        <v>9</v>
      </c>
      <c r="I4315" t="s">
        <v>4736</v>
      </c>
      <c r="J4315" t="s">
        <v>5191</v>
      </c>
      <c r="K4315" t="s">
        <v>4436</v>
      </c>
      <c r="L4315">
        <v>0</v>
      </c>
      <c r="M4315" s="452">
        <v>45706</v>
      </c>
      <c r="N4315">
        <v>10.55</v>
      </c>
      <c r="O4315">
        <v>10.65</v>
      </c>
      <c r="P4315">
        <v>94.95</v>
      </c>
    </row>
    <row r="4316" spans="1:16" x14ac:dyDescent="0.3">
      <c r="A4316">
        <v>31181</v>
      </c>
      <c r="B4316">
        <v>105</v>
      </c>
      <c r="C4316" t="s">
        <v>557</v>
      </c>
      <c r="D4316" s="452">
        <v>45778</v>
      </c>
      <c r="E4316">
        <v>18219</v>
      </c>
      <c r="F4316" t="s">
        <v>4972</v>
      </c>
      <c r="G4316">
        <v>3409</v>
      </c>
      <c r="H4316">
        <v>1</v>
      </c>
      <c r="I4316" t="s">
        <v>4805</v>
      </c>
      <c r="J4316" t="s">
        <v>5222</v>
      </c>
      <c r="K4316" t="s">
        <v>4436</v>
      </c>
      <c r="L4316">
        <v>0</v>
      </c>
      <c r="M4316" s="452">
        <v>45777</v>
      </c>
      <c r="N4316">
        <v>0</v>
      </c>
      <c r="O4316">
        <v>46.5</v>
      </c>
      <c r="P4316">
        <v>94.6</v>
      </c>
    </row>
    <row r="4317" spans="1:16" x14ac:dyDescent="0.3">
      <c r="A4317">
        <v>31195</v>
      </c>
      <c r="B4317">
        <v>105</v>
      </c>
      <c r="C4317" t="s">
        <v>557</v>
      </c>
      <c r="D4317" s="452">
        <v>45778</v>
      </c>
      <c r="E4317">
        <v>18085</v>
      </c>
      <c r="F4317" t="s">
        <v>4973</v>
      </c>
      <c r="G4317">
        <v>3524</v>
      </c>
      <c r="H4317">
        <v>2</v>
      </c>
      <c r="I4317" t="s">
        <v>4805</v>
      </c>
      <c r="J4317" t="s">
        <v>5222</v>
      </c>
      <c r="K4317" t="s">
        <v>4436</v>
      </c>
      <c r="L4317">
        <v>0</v>
      </c>
      <c r="M4317" s="452">
        <v>45737</v>
      </c>
      <c r="N4317">
        <v>47</v>
      </c>
      <c r="O4317">
        <v>47</v>
      </c>
      <c r="P4317">
        <v>94</v>
      </c>
    </row>
    <row r="4318" spans="1:16" x14ac:dyDescent="0.3">
      <c r="A4318">
        <v>31197</v>
      </c>
      <c r="B4318">
        <v>105</v>
      </c>
      <c r="C4318" t="s">
        <v>557</v>
      </c>
      <c r="D4318" s="452">
        <v>45778</v>
      </c>
      <c r="E4318">
        <v>26210</v>
      </c>
      <c r="F4318" t="s">
        <v>4975</v>
      </c>
      <c r="G4318">
        <v>6624</v>
      </c>
      <c r="H4318">
        <v>2</v>
      </c>
      <c r="I4318" t="s">
        <v>4805</v>
      </c>
      <c r="J4318" t="s">
        <v>5222</v>
      </c>
      <c r="K4318" t="s">
        <v>4436</v>
      </c>
      <c r="L4318">
        <v>0</v>
      </c>
      <c r="M4318" s="452">
        <v>45737</v>
      </c>
      <c r="N4318">
        <v>47</v>
      </c>
      <c r="O4318">
        <v>47</v>
      </c>
      <c r="P4318">
        <v>94</v>
      </c>
    </row>
    <row r="4319" spans="1:16" x14ac:dyDescent="0.3">
      <c r="A4319">
        <v>30980</v>
      </c>
      <c r="B4319">
        <v>105</v>
      </c>
      <c r="C4319" t="s">
        <v>557</v>
      </c>
      <c r="D4319" s="452">
        <v>45778</v>
      </c>
      <c r="E4319">
        <v>20859</v>
      </c>
      <c r="F4319" t="s">
        <v>5536</v>
      </c>
      <c r="G4319">
        <v>2045</v>
      </c>
      <c r="H4319">
        <v>2</v>
      </c>
      <c r="I4319" t="s">
        <v>4736</v>
      </c>
      <c r="J4319" t="s">
        <v>5191</v>
      </c>
      <c r="K4319" t="s">
        <v>4436</v>
      </c>
      <c r="L4319">
        <v>46.9</v>
      </c>
      <c r="M4319" s="452">
        <v>45771</v>
      </c>
      <c r="N4319">
        <v>46.9</v>
      </c>
      <c r="O4319">
        <v>46.9</v>
      </c>
      <c r="P4319">
        <v>93.8</v>
      </c>
    </row>
    <row r="4320" spans="1:16" x14ac:dyDescent="0.3">
      <c r="A4320">
        <v>31039</v>
      </c>
      <c r="B4320">
        <v>105</v>
      </c>
      <c r="C4320" t="s">
        <v>557</v>
      </c>
      <c r="D4320" s="452">
        <v>45778</v>
      </c>
      <c r="E4320">
        <v>19649</v>
      </c>
      <c r="F4320" t="s">
        <v>4859</v>
      </c>
      <c r="G4320">
        <v>2589</v>
      </c>
      <c r="H4320">
        <v>3.62</v>
      </c>
      <c r="I4320" t="s">
        <v>4744</v>
      </c>
      <c r="J4320" t="s">
        <v>5191</v>
      </c>
      <c r="K4320" t="s">
        <v>4436</v>
      </c>
      <c r="L4320">
        <v>25.41</v>
      </c>
      <c r="M4320" s="452">
        <v>45777</v>
      </c>
      <c r="N4320">
        <v>28</v>
      </c>
      <c r="O4320">
        <v>28</v>
      </c>
      <c r="P4320">
        <v>91.98</v>
      </c>
    </row>
    <row r="4321" spans="1:16" x14ac:dyDescent="0.3">
      <c r="A4321">
        <v>31010</v>
      </c>
      <c r="B4321">
        <v>105</v>
      </c>
      <c r="C4321" t="s">
        <v>557</v>
      </c>
      <c r="D4321" s="452">
        <v>45778</v>
      </c>
      <c r="E4321">
        <v>21005</v>
      </c>
      <c r="F4321" t="s">
        <v>5161</v>
      </c>
      <c r="G4321">
        <v>2007</v>
      </c>
      <c r="H4321">
        <v>1</v>
      </c>
      <c r="I4321" t="s">
        <v>4888</v>
      </c>
      <c r="J4321" t="s">
        <v>5191</v>
      </c>
      <c r="K4321" t="s">
        <v>4436</v>
      </c>
      <c r="L4321">
        <v>88.9</v>
      </c>
      <c r="M4321" s="452">
        <v>45763</v>
      </c>
      <c r="N4321">
        <v>88.9</v>
      </c>
      <c r="O4321">
        <v>88.9</v>
      </c>
      <c r="P4321">
        <v>88.9</v>
      </c>
    </row>
    <row r="4322" spans="1:16" x14ac:dyDescent="0.3">
      <c r="A4322">
        <v>31179</v>
      </c>
      <c r="B4322">
        <v>105</v>
      </c>
      <c r="C4322" t="s">
        <v>557</v>
      </c>
      <c r="D4322" s="452">
        <v>45778</v>
      </c>
      <c r="E4322">
        <v>18233</v>
      </c>
      <c r="F4322" t="s">
        <v>4970</v>
      </c>
      <c r="G4322">
        <v>3395</v>
      </c>
      <c r="H4322">
        <v>1</v>
      </c>
      <c r="I4322" t="s">
        <v>4805</v>
      </c>
      <c r="J4322" t="s">
        <v>5222</v>
      </c>
      <c r="K4322" t="s">
        <v>4436</v>
      </c>
      <c r="L4322">
        <v>0</v>
      </c>
      <c r="M4322" s="452">
        <v>45638</v>
      </c>
      <c r="N4322">
        <v>88.9</v>
      </c>
      <c r="O4322">
        <v>100.88</v>
      </c>
      <c r="P4322">
        <v>88.9</v>
      </c>
    </row>
    <row r="4323" spans="1:16" x14ac:dyDescent="0.3">
      <c r="A4323">
        <v>31137</v>
      </c>
      <c r="B4323">
        <v>105</v>
      </c>
      <c r="C4323" t="s">
        <v>557</v>
      </c>
      <c r="D4323" s="452">
        <v>45778</v>
      </c>
      <c r="E4323">
        <v>24660</v>
      </c>
      <c r="F4323" t="s">
        <v>5523</v>
      </c>
      <c r="G4323">
        <v>5702</v>
      </c>
      <c r="H4323">
        <v>7.4</v>
      </c>
      <c r="I4323" t="s">
        <v>4744</v>
      </c>
      <c r="J4323" t="s">
        <v>5191</v>
      </c>
      <c r="K4323" t="s">
        <v>4436</v>
      </c>
      <c r="L4323">
        <v>12</v>
      </c>
      <c r="M4323" s="452">
        <v>45770</v>
      </c>
      <c r="N4323">
        <v>12</v>
      </c>
      <c r="O4323">
        <v>12</v>
      </c>
      <c r="P4323">
        <v>88.8</v>
      </c>
    </row>
    <row r="4324" spans="1:16" x14ac:dyDescent="0.3">
      <c r="A4324">
        <v>31029</v>
      </c>
      <c r="B4324">
        <v>105</v>
      </c>
      <c r="C4324" t="s">
        <v>557</v>
      </c>
      <c r="D4324" s="452">
        <v>45778</v>
      </c>
      <c r="E4324">
        <v>19787</v>
      </c>
      <c r="F4324" t="s">
        <v>4793</v>
      </c>
      <c r="G4324">
        <v>2471</v>
      </c>
      <c r="H4324">
        <v>15.8</v>
      </c>
      <c r="I4324" t="s">
        <v>4744</v>
      </c>
      <c r="J4324" t="s">
        <v>5191</v>
      </c>
      <c r="K4324" t="s">
        <v>4436</v>
      </c>
      <c r="L4324">
        <v>5.49</v>
      </c>
      <c r="M4324" s="452">
        <v>45777</v>
      </c>
      <c r="N4324">
        <v>5</v>
      </c>
      <c r="O4324">
        <v>1.79</v>
      </c>
      <c r="P4324">
        <v>86.74</v>
      </c>
    </row>
    <row r="4325" spans="1:16" x14ac:dyDescent="0.3">
      <c r="A4325">
        <v>30953</v>
      </c>
      <c r="B4325">
        <v>105</v>
      </c>
      <c r="C4325" t="s">
        <v>557</v>
      </c>
      <c r="D4325" s="452">
        <v>45778</v>
      </c>
      <c r="E4325">
        <v>24123</v>
      </c>
      <c r="F4325" t="s">
        <v>5518</v>
      </c>
      <c r="G4325">
        <v>2237</v>
      </c>
      <c r="H4325">
        <v>1</v>
      </c>
      <c r="I4325" t="s">
        <v>4738</v>
      </c>
      <c r="J4325" t="s">
        <v>5191</v>
      </c>
      <c r="K4325" t="s">
        <v>4436</v>
      </c>
      <c r="L4325">
        <v>0</v>
      </c>
      <c r="M4325" s="452">
        <v>45757</v>
      </c>
      <c r="N4325">
        <v>0</v>
      </c>
      <c r="O4325">
        <v>128.9</v>
      </c>
      <c r="P4325">
        <v>85</v>
      </c>
    </row>
    <row r="4326" spans="1:16" x14ac:dyDescent="0.3">
      <c r="A4326">
        <v>31213</v>
      </c>
      <c r="B4326">
        <v>105</v>
      </c>
      <c r="C4326" t="s">
        <v>557</v>
      </c>
      <c r="D4326" s="452">
        <v>45778</v>
      </c>
      <c r="E4326">
        <v>17878</v>
      </c>
      <c r="F4326" t="s">
        <v>4926</v>
      </c>
      <c r="G4326">
        <v>3677</v>
      </c>
      <c r="H4326">
        <v>3.5</v>
      </c>
      <c r="I4326" t="s">
        <v>4736</v>
      </c>
      <c r="J4326" t="s">
        <v>5222</v>
      </c>
      <c r="K4326" t="s">
        <v>4436</v>
      </c>
      <c r="L4326">
        <v>24.05</v>
      </c>
      <c r="M4326" s="452">
        <v>45771</v>
      </c>
      <c r="N4326">
        <v>25.59</v>
      </c>
      <c r="O4326">
        <v>25.59</v>
      </c>
      <c r="P4326">
        <v>84.18</v>
      </c>
    </row>
    <row r="4327" spans="1:16" x14ac:dyDescent="0.3">
      <c r="A4327">
        <v>30926</v>
      </c>
      <c r="B4327">
        <v>105</v>
      </c>
      <c r="C4327" t="s">
        <v>557</v>
      </c>
      <c r="D4327" s="452">
        <v>45778</v>
      </c>
      <c r="E4327">
        <v>25750</v>
      </c>
      <c r="F4327" t="s">
        <v>4908</v>
      </c>
      <c r="G4327">
        <v>6301</v>
      </c>
      <c r="H4327">
        <v>12</v>
      </c>
      <c r="I4327" t="s">
        <v>4736</v>
      </c>
      <c r="J4327" t="s">
        <v>5191</v>
      </c>
      <c r="K4327" t="s">
        <v>4436</v>
      </c>
      <c r="L4327">
        <v>0</v>
      </c>
      <c r="M4327" s="452">
        <v>45653</v>
      </c>
      <c r="N4327">
        <v>6.87</v>
      </c>
      <c r="O4327">
        <v>6.87</v>
      </c>
      <c r="P4327">
        <v>82.44</v>
      </c>
    </row>
    <row r="4328" spans="1:16" x14ac:dyDescent="0.3">
      <c r="A4328">
        <v>31191</v>
      </c>
      <c r="B4328">
        <v>105</v>
      </c>
      <c r="C4328" t="s">
        <v>557</v>
      </c>
      <c r="D4328" s="452">
        <v>45778</v>
      </c>
      <c r="E4328">
        <v>18116</v>
      </c>
      <c r="F4328" t="s">
        <v>5045</v>
      </c>
      <c r="G4328">
        <v>3496</v>
      </c>
      <c r="H4328">
        <v>1</v>
      </c>
      <c r="I4328" t="s">
        <v>4805</v>
      </c>
      <c r="J4328" t="s">
        <v>5222</v>
      </c>
      <c r="K4328" t="s">
        <v>4436</v>
      </c>
      <c r="L4328">
        <v>0</v>
      </c>
      <c r="M4328" s="452">
        <v>45737</v>
      </c>
      <c r="N4328">
        <v>82.18</v>
      </c>
      <c r="O4328">
        <v>82.18</v>
      </c>
      <c r="P4328">
        <v>82.18</v>
      </c>
    </row>
    <row r="4329" spans="1:16" x14ac:dyDescent="0.3">
      <c r="A4329">
        <v>31048</v>
      </c>
      <c r="B4329">
        <v>105</v>
      </c>
      <c r="C4329" t="s">
        <v>557</v>
      </c>
      <c r="D4329" s="452">
        <v>45778</v>
      </c>
      <c r="E4329">
        <v>24099</v>
      </c>
      <c r="F4329" t="s">
        <v>4933</v>
      </c>
      <c r="G4329">
        <v>2716</v>
      </c>
      <c r="H4329">
        <v>5.24</v>
      </c>
      <c r="I4329" t="s">
        <v>4744</v>
      </c>
      <c r="J4329" t="s">
        <v>5191</v>
      </c>
      <c r="K4329" t="s">
        <v>4436</v>
      </c>
      <c r="L4329">
        <v>15.67</v>
      </c>
      <c r="M4329" s="452">
        <v>45777</v>
      </c>
      <c r="N4329">
        <v>11.7</v>
      </c>
      <c r="O4329">
        <v>1.6</v>
      </c>
      <c r="P4329">
        <v>82.11</v>
      </c>
    </row>
    <row r="4330" spans="1:16" x14ac:dyDescent="0.3">
      <c r="A4330">
        <v>31038</v>
      </c>
      <c r="B4330">
        <v>105</v>
      </c>
      <c r="C4330" t="s">
        <v>557</v>
      </c>
      <c r="D4330" s="452">
        <v>45778</v>
      </c>
      <c r="E4330">
        <v>19652</v>
      </c>
      <c r="F4330" t="s">
        <v>4899</v>
      </c>
      <c r="G4330">
        <v>2587</v>
      </c>
      <c r="H4330">
        <v>2.4</v>
      </c>
      <c r="I4330" t="s">
        <v>4744</v>
      </c>
      <c r="J4330" t="s">
        <v>5191</v>
      </c>
      <c r="K4330" t="s">
        <v>4436</v>
      </c>
      <c r="L4330">
        <v>34</v>
      </c>
      <c r="M4330" s="452">
        <v>45776</v>
      </c>
      <c r="N4330">
        <v>34</v>
      </c>
      <c r="O4330">
        <v>34</v>
      </c>
      <c r="P4330">
        <v>81.599999999999994</v>
      </c>
    </row>
    <row r="4331" spans="1:16" x14ac:dyDescent="0.3">
      <c r="A4331">
        <v>31279</v>
      </c>
      <c r="B4331">
        <v>105</v>
      </c>
      <c r="C4331" t="s">
        <v>557</v>
      </c>
      <c r="D4331" s="452">
        <v>45778</v>
      </c>
      <c r="E4331">
        <v>19672</v>
      </c>
      <c r="F4331" t="s">
        <v>5537</v>
      </c>
      <c r="G4331">
        <v>2567</v>
      </c>
      <c r="H4331">
        <v>9.6</v>
      </c>
      <c r="I4331" t="s">
        <v>4744</v>
      </c>
      <c r="J4331" t="s">
        <v>5191</v>
      </c>
      <c r="K4331" t="s">
        <v>4436</v>
      </c>
      <c r="L4331">
        <v>0</v>
      </c>
      <c r="M4331" s="452">
        <v>45737</v>
      </c>
      <c r="N4331">
        <v>8.5</v>
      </c>
      <c r="O4331">
        <v>14.5</v>
      </c>
      <c r="P4331">
        <v>81.599999999999994</v>
      </c>
    </row>
    <row r="4332" spans="1:16" x14ac:dyDescent="0.3">
      <c r="A4332">
        <v>30947</v>
      </c>
      <c r="B4332">
        <v>105</v>
      </c>
      <c r="C4332" t="s">
        <v>557</v>
      </c>
      <c r="D4332" s="452">
        <v>45778</v>
      </c>
      <c r="E4332">
        <v>20743</v>
      </c>
      <c r="F4332" t="s">
        <v>5496</v>
      </c>
      <c r="G4332">
        <v>2090</v>
      </c>
      <c r="H4332">
        <v>1</v>
      </c>
      <c r="I4332" t="s">
        <v>4736</v>
      </c>
      <c r="J4332" t="s">
        <v>5191</v>
      </c>
      <c r="K4332" t="s">
        <v>4436</v>
      </c>
      <c r="L4332">
        <v>80.95</v>
      </c>
      <c r="M4332" s="452">
        <v>45757</v>
      </c>
      <c r="N4332">
        <v>80.95</v>
      </c>
      <c r="O4332">
        <v>0</v>
      </c>
      <c r="P4332">
        <v>80.95</v>
      </c>
    </row>
    <row r="4333" spans="1:16" x14ac:dyDescent="0.3">
      <c r="A4333">
        <v>31148</v>
      </c>
      <c r="B4333">
        <v>105</v>
      </c>
      <c r="C4333" t="s">
        <v>557</v>
      </c>
      <c r="D4333" s="452">
        <v>45778</v>
      </c>
      <c r="E4333">
        <v>24977</v>
      </c>
      <c r="F4333" t="s">
        <v>5538</v>
      </c>
      <c r="G4333">
        <v>5847</v>
      </c>
      <c r="H4333">
        <v>1</v>
      </c>
      <c r="I4333" t="s">
        <v>4738</v>
      </c>
      <c r="J4333" t="s">
        <v>5222</v>
      </c>
      <c r="K4333" t="s">
        <v>4436</v>
      </c>
      <c r="L4333">
        <v>79.64</v>
      </c>
      <c r="M4333" s="452">
        <v>45770</v>
      </c>
      <c r="N4333">
        <v>79.64</v>
      </c>
      <c r="O4333">
        <v>79.64</v>
      </c>
      <c r="P4333">
        <v>79.64</v>
      </c>
    </row>
    <row r="4334" spans="1:16" x14ac:dyDescent="0.3">
      <c r="A4334">
        <v>31030</v>
      </c>
      <c r="B4334">
        <v>105</v>
      </c>
      <c r="C4334" t="s">
        <v>557</v>
      </c>
      <c r="D4334" s="452">
        <v>45778</v>
      </c>
      <c r="E4334">
        <v>19658</v>
      </c>
      <c r="F4334" t="s">
        <v>4784</v>
      </c>
      <c r="G4334">
        <v>2582</v>
      </c>
      <c r="H4334">
        <v>32.17</v>
      </c>
      <c r="I4334" t="s">
        <v>4744</v>
      </c>
      <c r="J4334" t="s">
        <v>5191</v>
      </c>
      <c r="K4334" t="s">
        <v>4436</v>
      </c>
      <c r="L4334">
        <v>2.4700000000000002</v>
      </c>
      <c r="M4334" s="452">
        <v>45771</v>
      </c>
      <c r="N4334">
        <v>2.5</v>
      </c>
      <c r="O4334">
        <v>0.11</v>
      </c>
      <c r="P4334">
        <v>79.459999999999994</v>
      </c>
    </row>
    <row r="4335" spans="1:16" x14ac:dyDescent="0.3">
      <c r="A4335">
        <v>31051</v>
      </c>
      <c r="B4335">
        <v>105</v>
      </c>
      <c r="C4335" t="s">
        <v>557</v>
      </c>
      <c r="D4335" s="452">
        <v>45778</v>
      </c>
      <c r="E4335">
        <v>24509</v>
      </c>
      <c r="F4335" t="s">
        <v>4788</v>
      </c>
      <c r="G4335">
        <v>2607</v>
      </c>
      <c r="H4335">
        <v>24.59</v>
      </c>
      <c r="I4335" t="s">
        <v>4744</v>
      </c>
      <c r="J4335" t="s">
        <v>5191</v>
      </c>
      <c r="K4335" t="s">
        <v>4436</v>
      </c>
      <c r="L4335">
        <v>3.23</v>
      </c>
      <c r="M4335" s="452">
        <v>45772</v>
      </c>
      <c r="N4335">
        <v>3.64</v>
      </c>
      <c r="O4335">
        <v>0.2</v>
      </c>
      <c r="P4335">
        <v>79.430000000000007</v>
      </c>
    </row>
    <row r="4336" spans="1:16" x14ac:dyDescent="0.3">
      <c r="A4336">
        <v>31272</v>
      </c>
      <c r="B4336">
        <v>105</v>
      </c>
      <c r="C4336" t="s">
        <v>557</v>
      </c>
      <c r="D4336" s="452">
        <v>45778</v>
      </c>
      <c r="E4336">
        <v>20757</v>
      </c>
      <c r="F4336" t="s">
        <v>5176</v>
      </c>
      <c r="G4336">
        <v>2086</v>
      </c>
      <c r="H4336">
        <v>1</v>
      </c>
      <c r="I4336" t="s">
        <v>4884</v>
      </c>
      <c r="J4336" t="s">
        <v>5191</v>
      </c>
      <c r="K4336" t="s">
        <v>4436</v>
      </c>
      <c r="L4336">
        <v>78.989999999999995</v>
      </c>
      <c r="M4336" s="452">
        <v>45770</v>
      </c>
      <c r="N4336">
        <v>78.989999999999995</v>
      </c>
      <c r="O4336">
        <v>79</v>
      </c>
      <c r="P4336">
        <v>78.989999999999995</v>
      </c>
    </row>
    <row r="4337" spans="1:16" x14ac:dyDescent="0.3">
      <c r="A4337">
        <v>31210</v>
      </c>
      <c r="B4337">
        <v>105</v>
      </c>
      <c r="C4337" t="s">
        <v>557</v>
      </c>
      <c r="D4337" s="452">
        <v>45778</v>
      </c>
      <c r="E4337">
        <v>24414</v>
      </c>
      <c r="F4337" t="s">
        <v>4746</v>
      </c>
      <c r="G4337">
        <v>3670</v>
      </c>
      <c r="H4337">
        <v>36</v>
      </c>
      <c r="I4337" t="s">
        <v>4736</v>
      </c>
      <c r="J4337" t="s">
        <v>5222</v>
      </c>
      <c r="K4337" t="s">
        <v>4436</v>
      </c>
      <c r="L4337">
        <v>0</v>
      </c>
      <c r="M4337" s="452">
        <v>45623</v>
      </c>
      <c r="N4337">
        <v>2.19</v>
      </c>
      <c r="O4337">
        <v>2.19</v>
      </c>
      <c r="P4337">
        <v>78.84</v>
      </c>
    </row>
    <row r="4338" spans="1:16" x14ac:dyDescent="0.3">
      <c r="A4338">
        <v>31049</v>
      </c>
      <c r="B4338">
        <v>105</v>
      </c>
      <c r="C4338" t="s">
        <v>557</v>
      </c>
      <c r="D4338" s="452">
        <v>45778</v>
      </c>
      <c r="E4338">
        <v>19492</v>
      </c>
      <c r="F4338" t="s">
        <v>4937</v>
      </c>
      <c r="G4338">
        <v>2717</v>
      </c>
      <c r="H4338">
        <v>4.97</v>
      </c>
      <c r="I4338" t="s">
        <v>4744</v>
      </c>
      <c r="J4338" t="s">
        <v>5191</v>
      </c>
      <c r="K4338" t="s">
        <v>4436</v>
      </c>
      <c r="L4338">
        <v>15.67</v>
      </c>
      <c r="M4338" s="452">
        <v>45777</v>
      </c>
      <c r="N4338">
        <v>13</v>
      </c>
      <c r="O4338">
        <v>13</v>
      </c>
      <c r="P4338">
        <v>77.88</v>
      </c>
    </row>
    <row r="4339" spans="1:16" x14ac:dyDescent="0.3">
      <c r="A4339">
        <v>31065</v>
      </c>
      <c r="B4339">
        <v>105</v>
      </c>
      <c r="C4339" t="s">
        <v>557</v>
      </c>
      <c r="D4339" s="452">
        <v>45778</v>
      </c>
      <c r="E4339">
        <v>24326</v>
      </c>
      <c r="F4339" t="s">
        <v>4767</v>
      </c>
      <c r="G4339">
        <v>2499</v>
      </c>
      <c r="H4339">
        <v>24.1</v>
      </c>
      <c r="I4339" t="s">
        <v>4744</v>
      </c>
      <c r="J4339" t="s">
        <v>5191</v>
      </c>
      <c r="K4339" t="s">
        <v>4436</v>
      </c>
      <c r="L4339">
        <v>3.17</v>
      </c>
      <c r="M4339" s="452">
        <v>45776</v>
      </c>
      <c r="N4339">
        <v>2.1</v>
      </c>
      <c r="O4339">
        <v>2.52</v>
      </c>
      <c r="P4339">
        <v>76.400000000000006</v>
      </c>
    </row>
    <row r="4340" spans="1:16" x14ac:dyDescent="0.3">
      <c r="A4340">
        <v>30963</v>
      </c>
      <c r="B4340">
        <v>105</v>
      </c>
      <c r="C4340" t="s">
        <v>557</v>
      </c>
      <c r="D4340" s="452">
        <v>45778</v>
      </c>
      <c r="E4340">
        <v>20689</v>
      </c>
      <c r="F4340" t="s">
        <v>5007</v>
      </c>
      <c r="G4340">
        <v>2105</v>
      </c>
      <c r="H4340">
        <v>2</v>
      </c>
      <c r="I4340" t="s">
        <v>4736</v>
      </c>
      <c r="J4340" t="s">
        <v>5191</v>
      </c>
      <c r="K4340" t="s">
        <v>4436</v>
      </c>
      <c r="L4340">
        <v>37.9</v>
      </c>
      <c r="M4340" s="452">
        <v>45777</v>
      </c>
      <c r="N4340">
        <v>37.9</v>
      </c>
      <c r="O4340">
        <v>37.9</v>
      </c>
      <c r="P4340">
        <v>75.8</v>
      </c>
    </row>
    <row r="4341" spans="1:16" x14ac:dyDescent="0.3">
      <c r="A4341">
        <v>30955</v>
      </c>
      <c r="B4341">
        <v>105</v>
      </c>
      <c r="C4341" t="s">
        <v>557</v>
      </c>
      <c r="D4341" s="452">
        <v>45778</v>
      </c>
      <c r="E4341">
        <v>20060</v>
      </c>
      <c r="F4341" t="s">
        <v>5539</v>
      </c>
      <c r="G4341">
        <v>2324</v>
      </c>
      <c r="H4341">
        <v>2</v>
      </c>
      <c r="I4341" t="s">
        <v>4736</v>
      </c>
      <c r="J4341" t="s">
        <v>5191</v>
      </c>
      <c r="K4341" t="s">
        <v>4436</v>
      </c>
      <c r="L4341">
        <v>37.5</v>
      </c>
      <c r="M4341" s="452">
        <v>45757</v>
      </c>
      <c r="N4341">
        <v>37.5</v>
      </c>
      <c r="O4341">
        <v>37.5</v>
      </c>
      <c r="P4341">
        <v>75</v>
      </c>
    </row>
    <row r="4342" spans="1:16" x14ac:dyDescent="0.3">
      <c r="A4342">
        <v>30978</v>
      </c>
      <c r="B4342">
        <v>105</v>
      </c>
      <c r="C4342" t="s">
        <v>557</v>
      </c>
      <c r="D4342" s="452">
        <v>45778</v>
      </c>
      <c r="E4342">
        <v>24272</v>
      </c>
      <c r="F4342" t="s">
        <v>5059</v>
      </c>
      <c r="G4342">
        <v>2341</v>
      </c>
      <c r="H4342">
        <v>3.02</v>
      </c>
      <c r="I4342" t="s">
        <v>4744</v>
      </c>
      <c r="J4342" t="s">
        <v>5191</v>
      </c>
      <c r="K4342" t="s">
        <v>4436</v>
      </c>
      <c r="L4342">
        <v>0</v>
      </c>
      <c r="M4342" s="452">
        <v>45737</v>
      </c>
      <c r="N4342">
        <v>24</v>
      </c>
      <c r="O4342">
        <v>24.2</v>
      </c>
      <c r="P4342">
        <v>72.48</v>
      </c>
    </row>
    <row r="4343" spans="1:16" x14ac:dyDescent="0.3">
      <c r="A4343">
        <v>31021</v>
      </c>
      <c r="B4343">
        <v>105</v>
      </c>
      <c r="C4343" t="s">
        <v>557</v>
      </c>
      <c r="D4343" s="452">
        <v>45778</v>
      </c>
      <c r="E4343">
        <v>20185</v>
      </c>
      <c r="F4343" t="s">
        <v>5054</v>
      </c>
      <c r="G4343">
        <v>2259</v>
      </c>
      <c r="H4343">
        <v>2.16</v>
      </c>
      <c r="I4343" t="s">
        <v>4744</v>
      </c>
      <c r="J4343" t="s">
        <v>5191</v>
      </c>
      <c r="K4343" t="s">
        <v>4436</v>
      </c>
      <c r="L4343">
        <v>0</v>
      </c>
      <c r="M4343" s="452">
        <v>45741</v>
      </c>
      <c r="N4343">
        <v>32.9</v>
      </c>
      <c r="O4343">
        <v>32.9</v>
      </c>
      <c r="P4343">
        <v>71.06</v>
      </c>
    </row>
    <row r="4344" spans="1:16" x14ac:dyDescent="0.3">
      <c r="A4344">
        <v>30917</v>
      </c>
      <c r="B4344">
        <v>105</v>
      </c>
      <c r="C4344" t="s">
        <v>557</v>
      </c>
      <c r="D4344" s="452">
        <v>45778</v>
      </c>
      <c r="E4344">
        <v>25747</v>
      </c>
      <c r="F4344" t="s">
        <v>4794</v>
      </c>
      <c r="G4344">
        <v>6299</v>
      </c>
      <c r="H4344">
        <v>14</v>
      </c>
      <c r="I4344" t="s">
        <v>4736</v>
      </c>
      <c r="J4344" t="s">
        <v>5191</v>
      </c>
      <c r="K4344" t="s">
        <v>4436</v>
      </c>
      <c r="L4344">
        <v>0</v>
      </c>
      <c r="M4344" s="452">
        <v>45742</v>
      </c>
      <c r="N4344">
        <v>5.04</v>
      </c>
      <c r="O4344">
        <v>5.04</v>
      </c>
      <c r="P4344">
        <v>70.56</v>
      </c>
    </row>
    <row r="4345" spans="1:16" x14ac:dyDescent="0.3">
      <c r="A4345">
        <v>31000</v>
      </c>
      <c r="B4345">
        <v>105</v>
      </c>
      <c r="C4345" t="s">
        <v>557</v>
      </c>
      <c r="D4345" s="452">
        <v>45778</v>
      </c>
      <c r="E4345">
        <v>20871</v>
      </c>
      <c r="F4345" t="s">
        <v>5015</v>
      </c>
      <c r="G4345">
        <v>2043</v>
      </c>
      <c r="H4345">
        <v>3</v>
      </c>
      <c r="I4345" t="s">
        <v>4879</v>
      </c>
      <c r="J4345" t="s">
        <v>5191</v>
      </c>
      <c r="K4345" t="s">
        <v>4436</v>
      </c>
      <c r="L4345">
        <v>23.35</v>
      </c>
      <c r="M4345" s="452">
        <v>45763</v>
      </c>
      <c r="N4345">
        <v>15.8</v>
      </c>
      <c r="O4345">
        <v>15.8</v>
      </c>
      <c r="P4345">
        <v>70.05</v>
      </c>
    </row>
    <row r="4346" spans="1:16" x14ac:dyDescent="0.3">
      <c r="A4346">
        <v>30925</v>
      </c>
      <c r="B4346">
        <v>105</v>
      </c>
      <c r="C4346" t="s">
        <v>557</v>
      </c>
      <c r="D4346" s="452">
        <v>45778</v>
      </c>
      <c r="E4346">
        <v>25759</v>
      </c>
      <c r="F4346" t="s">
        <v>4877</v>
      </c>
      <c r="G4346">
        <v>9073</v>
      </c>
      <c r="H4346">
        <v>9</v>
      </c>
      <c r="I4346" t="s">
        <v>4736</v>
      </c>
      <c r="J4346" t="s">
        <v>5191</v>
      </c>
      <c r="K4346" t="s">
        <v>4436</v>
      </c>
      <c r="L4346">
        <v>0</v>
      </c>
      <c r="M4346" s="452">
        <v>45653</v>
      </c>
      <c r="N4346">
        <v>7.73</v>
      </c>
      <c r="O4346">
        <v>7.73</v>
      </c>
      <c r="P4346">
        <v>69.569999999999993</v>
      </c>
    </row>
    <row r="4347" spans="1:16" x14ac:dyDescent="0.3">
      <c r="A4347">
        <v>31069</v>
      </c>
      <c r="B4347">
        <v>105</v>
      </c>
      <c r="C4347" t="s">
        <v>557</v>
      </c>
      <c r="D4347" s="452">
        <v>45778</v>
      </c>
      <c r="E4347">
        <v>19602</v>
      </c>
      <c r="F4347" t="s">
        <v>4782</v>
      </c>
      <c r="G4347">
        <v>2627</v>
      </c>
      <c r="H4347">
        <v>10.66</v>
      </c>
      <c r="I4347" t="s">
        <v>4744</v>
      </c>
      <c r="J4347" t="s">
        <v>5191</v>
      </c>
      <c r="K4347" t="s">
        <v>4436</v>
      </c>
      <c r="L4347">
        <v>6.28</v>
      </c>
      <c r="M4347" s="452">
        <v>45777</v>
      </c>
      <c r="N4347">
        <v>6.4</v>
      </c>
      <c r="O4347">
        <v>6.4</v>
      </c>
      <c r="P4347">
        <v>66.94</v>
      </c>
    </row>
    <row r="4348" spans="1:16" x14ac:dyDescent="0.3">
      <c r="A4348">
        <v>31099</v>
      </c>
      <c r="B4348">
        <v>105</v>
      </c>
      <c r="C4348" t="s">
        <v>557</v>
      </c>
      <c r="D4348" s="452">
        <v>45778</v>
      </c>
      <c r="E4348">
        <v>24489</v>
      </c>
      <c r="F4348" t="s">
        <v>5121</v>
      </c>
      <c r="G4348">
        <v>2686</v>
      </c>
      <c r="H4348">
        <v>2.89</v>
      </c>
      <c r="I4348" t="s">
        <v>4744</v>
      </c>
      <c r="J4348" t="s">
        <v>5191</v>
      </c>
      <c r="K4348" t="s">
        <v>4436</v>
      </c>
      <c r="L4348">
        <v>23.09</v>
      </c>
      <c r="M4348" s="452">
        <v>45770</v>
      </c>
      <c r="N4348">
        <v>25</v>
      </c>
      <c r="O4348">
        <v>25</v>
      </c>
      <c r="P4348">
        <v>66.73</v>
      </c>
    </row>
    <row r="4349" spans="1:16" x14ac:dyDescent="0.3">
      <c r="A4349">
        <v>31267</v>
      </c>
      <c r="B4349">
        <v>105</v>
      </c>
      <c r="C4349" t="s">
        <v>557</v>
      </c>
      <c r="D4349" s="452">
        <v>45778</v>
      </c>
      <c r="E4349">
        <v>20034</v>
      </c>
      <c r="F4349" t="s">
        <v>5065</v>
      </c>
      <c r="G4349">
        <v>2333</v>
      </c>
      <c r="H4349">
        <v>1.04</v>
      </c>
      <c r="I4349" t="s">
        <v>4744</v>
      </c>
      <c r="J4349" t="s">
        <v>5191</v>
      </c>
      <c r="K4349" t="s">
        <v>4436</v>
      </c>
      <c r="L4349">
        <v>0</v>
      </c>
      <c r="M4349" s="452">
        <v>-693593</v>
      </c>
      <c r="N4349">
        <v>0</v>
      </c>
      <c r="O4349">
        <v>63.06</v>
      </c>
      <c r="P4349">
        <v>65.58</v>
      </c>
    </row>
    <row r="4350" spans="1:16" x14ac:dyDescent="0.3">
      <c r="A4350">
        <v>31017</v>
      </c>
      <c r="B4350">
        <v>105</v>
      </c>
      <c r="C4350" t="s">
        <v>557</v>
      </c>
      <c r="D4350" s="452">
        <v>45778</v>
      </c>
      <c r="E4350">
        <v>26242</v>
      </c>
      <c r="F4350" t="s">
        <v>4957</v>
      </c>
      <c r="G4350">
        <v>6641</v>
      </c>
      <c r="H4350">
        <v>5</v>
      </c>
      <c r="I4350" t="s">
        <v>4736</v>
      </c>
      <c r="J4350" t="s">
        <v>5191</v>
      </c>
      <c r="K4350" t="s">
        <v>4436</v>
      </c>
      <c r="L4350">
        <v>0</v>
      </c>
      <c r="M4350" s="452">
        <v>-693593</v>
      </c>
      <c r="N4350">
        <v>0</v>
      </c>
      <c r="O4350">
        <v>0</v>
      </c>
      <c r="P4350">
        <v>64.95</v>
      </c>
    </row>
    <row r="4351" spans="1:16" x14ac:dyDescent="0.3">
      <c r="A4351">
        <v>31206</v>
      </c>
      <c r="B4351">
        <v>105</v>
      </c>
      <c r="C4351" t="s">
        <v>557</v>
      </c>
      <c r="D4351" s="452">
        <v>45778</v>
      </c>
      <c r="E4351">
        <v>24227</v>
      </c>
      <c r="F4351" t="s">
        <v>4806</v>
      </c>
      <c r="G4351">
        <v>3648</v>
      </c>
      <c r="H4351">
        <v>10</v>
      </c>
      <c r="I4351" t="s">
        <v>4736</v>
      </c>
      <c r="J4351" t="s">
        <v>5222</v>
      </c>
      <c r="K4351" t="s">
        <v>4436</v>
      </c>
      <c r="L4351">
        <v>0</v>
      </c>
      <c r="M4351" s="452">
        <v>45393</v>
      </c>
      <c r="N4351">
        <v>6.42</v>
      </c>
      <c r="O4351">
        <v>0</v>
      </c>
      <c r="P4351">
        <v>64.2</v>
      </c>
    </row>
    <row r="4352" spans="1:16" x14ac:dyDescent="0.3">
      <c r="A4352">
        <v>31202</v>
      </c>
      <c r="B4352">
        <v>105</v>
      </c>
      <c r="C4352" t="s">
        <v>557</v>
      </c>
      <c r="D4352" s="452">
        <v>45778</v>
      </c>
      <c r="E4352">
        <v>22118</v>
      </c>
      <c r="F4352" t="s">
        <v>4765</v>
      </c>
      <c r="G4352">
        <v>3600</v>
      </c>
      <c r="H4352">
        <v>29</v>
      </c>
      <c r="I4352" t="s">
        <v>4749</v>
      </c>
      <c r="J4352" t="s">
        <v>5222</v>
      </c>
      <c r="K4352" t="s">
        <v>4436</v>
      </c>
      <c r="L4352">
        <v>0</v>
      </c>
      <c r="M4352" s="452">
        <v>45679</v>
      </c>
      <c r="N4352">
        <v>2.19</v>
      </c>
      <c r="O4352">
        <v>0</v>
      </c>
      <c r="P4352">
        <v>63.51</v>
      </c>
    </row>
    <row r="4353" spans="1:16" x14ac:dyDescent="0.3">
      <c r="A4353">
        <v>30912</v>
      </c>
      <c r="B4353">
        <v>105</v>
      </c>
      <c r="C4353" t="s">
        <v>557</v>
      </c>
      <c r="D4353" s="452">
        <v>45778</v>
      </c>
      <c r="E4353">
        <v>21147</v>
      </c>
      <c r="F4353" t="s">
        <v>4876</v>
      </c>
      <c r="G4353">
        <v>1952</v>
      </c>
      <c r="H4353">
        <v>3</v>
      </c>
      <c r="I4353" t="s">
        <v>4736</v>
      </c>
      <c r="J4353" t="s">
        <v>5191</v>
      </c>
      <c r="K4353" t="s">
        <v>4436</v>
      </c>
      <c r="L4353">
        <v>0</v>
      </c>
      <c r="M4353" s="452">
        <v>45694</v>
      </c>
      <c r="N4353">
        <v>20.99</v>
      </c>
      <c r="O4353">
        <v>19.899999999999999</v>
      </c>
      <c r="P4353">
        <v>62.97</v>
      </c>
    </row>
    <row r="4354" spans="1:16" x14ac:dyDescent="0.3">
      <c r="A4354">
        <v>30983</v>
      </c>
      <c r="B4354">
        <v>105</v>
      </c>
      <c r="C4354" t="s">
        <v>557</v>
      </c>
      <c r="D4354" s="452">
        <v>45778</v>
      </c>
      <c r="E4354">
        <v>20213</v>
      </c>
      <c r="F4354" t="s">
        <v>5160</v>
      </c>
      <c r="G4354">
        <v>2251</v>
      </c>
      <c r="H4354">
        <v>2</v>
      </c>
      <c r="I4354" t="s">
        <v>4738</v>
      </c>
      <c r="J4354" t="s">
        <v>5191</v>
      </c>
      <c r="K4354" t="s">
        <v>4436</v>
      </c>
      <c r="L4354">
        <v>31.01</v>
      </c>
      <c r="M4354" s="452">
        <v>45770</v>
      </c>
      <c r="N4354">
        <v>31.02</v>
      </c>
      <c r="O4354">
        <v>30.54</v>
      </c>
      <c r="P4354">
        <v>62.02</v>
      </c>
    </row>
    <row r="4355" spans="1:16" x14ac:dyDescent="0.3">
      <c r="A4355">
        <v>30928</v>
      </c>
      <c r="B4355">
        <v>105</v>
      </c>
      <c r="C4355" t="s">
        <v>557</v>
      </c>
      <c r="D4355" s="452">
        <v>45778</v>
      </c>
      <c r="E4355">
        <v>24456</v>
      </c>
      <c r="F4355" t="s">
        <v>4845</v>
      </c>
      <c r="G4355">
        <v>1965</v>
      </c>
      <c r="H4355">
        <v>4.5</v>
      </c>
      <c r="I4355" t="s">
        <v>4744</v>
      </c>
      <c r="J4355" t="s">
        <v>5191</v>
      </c>
      <c r="K4355" t="s">
        <v>4436</v>
      </c>
      <c r="L4355">
        <v>0</v>
      </c>
      <c r="M4355" s="452">
        <v>45735</v>
      </c>
      <c r="N4355">
        <v>13.5</v>
      </c>
      <c r="O4355">
        <v>22.1</v>
      </c>
      <c r="P4355">
        <v>60.75</v>
      </c>
    </row>
    <row r="4356" spans="1:16" x14ac:dyDescent="0.3">
      <c r="A4356">
        <v>30915</v>
      </c>
      <c r="B4356">
        <v>105</v>
      </c>
      <c r="C4356" t="s">
        <v>557</v>
      </c>
      <c r="D4356" s="452">
        <v>45778</v>
      </c>
      <c r="E4356">
        <v>25748</v>
      </c>
      <c r="F4356" t="s">
        <v>4999</v>
      </c>
      <c r="G4356">
        <v>9068</v>
      </c>
      <c r="H4356">
        <v>12</v>
      </c>
      <c r="I4356" t="s">
        <v>4749</v>
      </c>
      <c r="J4356" t="s">
        <v>5191</v>
      </c>
      <c r="K4356" t="s">
        <v>4436</v>
      </c>
      <c r="L4356">
        <v>0</v>
      </c>
      <c r="M4356" s="452">
        <v>45742</v>
      </c>
      <c r="N4356">
        <v>5.04</v>
      </c>
      <c r="O4356">
        <v>5.04</v>
      </c>
      <c r="P4356">
        <v>60.48</v>
      </c>
    </row>
    <row r="4357" spans="1:16" x14ac:dyDescent="0.3">
      <c r="A4357">
        <v>31101</v>
      </c>
      <c r="B4357">
        <v>105</v>
      </c>
      <c r="C4357" t="s">
        <v>557</v>
      </c>
      <c r="D4357" s="452">
        <v>45778</v>
      </c>
      <c r="E4357">
        <v>19439</v>
      </c>
      <c r="F4357" t="s">
        <v>4917</v>
      </c>
      <c r="G4357">
        <v>2756</v>
      </c>
      <c r="H4357">
        <v>1.81</v>
      </c>
      <c r="I4357" t="s">
        <v>4744</v>
      </c>
      <c r="J4357" t="s">
        <v>5191</v>
      </c>
      <c r="K4357" t="s">
        <v>4436</v>
      </c>
      <c r="L4357">
        <v>33.200000000000003</v>
      </c>
      <c r="M4357" s="452">
        <v>45777</v>
      </c>
      <c r="N4357">
        <v>32.9</v>
      </c>
      <c r="O4357">
        <v>33.07</v>
      </c>
      <c r="P4357">
        <v>60.09</v>
      </c>
    </row>
    <row r="4358" spans="1:16" x14ac:dyDescent="0.3">
      <c r="A4358">
        <v>30977</v>
      </c>
      <c r="B4358">
        <v>105</v>
      </c>
      <c r="C4358" t="s">
        <v>557</v>
      </c>
      <c r="D4358" s="452">
        <v>45778</v>
      </c>
      <c r="E4358">
        <v>24267</v>
      </c>
      <c r="F4358" t="s">
        <v>5501</v>
      </c>
      <c r="G4358">
        <v>2249</v>
      </c>
      <c r="H4358">
        <v>0.7</v>
      </c>
      <c r="I4358" t="s">
        <v>4744</v>
      </c>
      <c r="J4358" t="s">
        <v>5191</v>
      </c>
      <c r="K4358" t="s">
        <v>4436</v>
      </c>
      <c r="L4358">
        <v>0</v>
      </c>
      <c r="M4358" s="452">
        <v>45507</v>
      </c>
      <c r="N4358">
        <v>85</v>
      </c>
      <c r="O4358">
        <v>34</v>
      </c>
      <c r="P4358">
        <v>59.5</v>
      </c>
    </row>
    <row r="4359" spans="1:16" x14ac:dyDescent="0.3">
      <c r="A4359">
        <v>31093</v>
      </c>
      <c r="B4359">
        <v>105</v>
      </c>
      <c r="C4359" t="s">
        <v>557</v>
      </c>
      <c r="D4359" s="452">
        <v>45778</v>
      </c>
      <c r="E4359">
        <v>19551</v>
      </c>
      <c r="F4359" t="s">
        <v>4905</v>
      </c>
      <c r="G4359">
        <v>2665</v>
      </c>
      <c r="H4359">
        <v>3.08</v>
      </c>
      <c r="I4359" t="s">
        <v>4744</v>
      </c>
      <c r="J4359" t="s">
        <v>5191</v>
      </c>
      <c r="K4359" t="s">
        <v>4436</v>
      </c>
      <c r="L4359">
        <v>19.239999999999998</v>
      </c>
      <c r="M4359" s="452">
        <v>45776</v>
      </c>
      <c r="N4359">
        <v>20</v>
      </c>
      <c r="O4359">
        <v>19.329999999999998</v>
      </c>
      <c r="P4359">
        <v>59.26</v>
      </c>
    </row>
    <row r="4360" spans="1:16" x14ac:dyDescent="0.3">
      <c r="A4360">
        <v>30964</v>
      </c>
      <c r="B4360">
        <v>105</v>
      </c>
      <c r="C4360" t="s">
        <v>557</v>
      </c>
      <c r="D4360" s="452">
        <v>45778</v>
      </c>
      <c r="E4360">
        <v>26020</v>
      </c>
      <c r="F4360" t="s">
        <v>5102</v>
      </c>
      <c r="G4360">
        <v>2105</v>
      </c>
      <c r="H4360">
        <v>4</v>
      </c>
      <c r="I4360" t="s">
        <v>4736</v>
      </c>
      <c r="J4360" t="s">
        <v>5191</v>
      </c>
      <c r="K4360" t="s">
        <v>4436</v>
      </c>
      <c r="L4360">
        <v>14.54</v>
      </c>
      <c r="M4360" s="452">
        <v>45763</v>
      </c>
      <c r="N4360">
        <v>14.78</v>
      </c>
      <c r="O4360">
        <v>14.66</v>
      </c>
      <c r="P4360">
        <v>58.16</v>
      </c>
    </row>
    <row r="4361" spans="1:16" x14ac:dyDescent="0.3">
      <c r="A4361">
        <v>30973</v>
      </c>
      <c r="B4361">
        <v>105</v>
      </c>
      <c r="C4361" t="s">
        <v>557</v>
      </c>
      <c r="D4361" s="452">
        <v>45778</v>
      </c>
      <c r="E4361">
        <v>20358</v>
      </c>
      <c r="F4361" t="s">
        <v>4911</v>
      </c>
      <c r="G4361">
        <v>2200</v>
      </c>
      <c r="H4361">
        <v>4</v>
      </c>
      <c r="I4361" t="s">
        <v>4738</v>
      </c>
      <c r="J4361" t="s">
        <v>5191</v>
      </c>
      <c r="K4361" t="s">
        <v>4436</v>
      </c>
      <c r="L4361">
        <v>14.4</v>
      </c>
      <c r="M4361" s="452">
        <v>45763</v>
      </c>
      <c r="N4361">
        <v>14.39</v>
      </c>
      <c r="O4361">
        <v>14.3</v>
      </c>
      <c r="P4361">
        <v>57.6</v>
      </c>
    </row>
    <row r="4362" spans="1:16" x14ac:dyDescent="0.3">
      <c r="A4362">
        <v>31155</v>
      </c>
      <c r="B4362">
        <v>105</v>
      </c>
      <c r="C4362" t="s">
        <v>557</v>
      </c>
      <c r="D4362" s="452">
        <v>45778</v>
      </c>
      <c r="E4362">
        <v>24470</v>
      </c>
      <c r="F4362" t="s">
        <v>4752</v>
      </c>
      <c r="G4362">
        <v>3103</v>
      </c>
      <c r="H4362">
        <v>13</v>
      </c>
      <c r="I4362" t="s">
        <v>4736</v>
      </c>
      <c r="J4362" t="s">
        <v>5222</v>
      </c>
      <c r="K4362" t="s">
        <v>4436</v>
      </c>
      <c r="L4362">
        <v>0</v>
      </c>
      <c r="M4362" s="452">
        <v>45404</v>
      </c>
      <c r="N4362">
        <v>4.41</v>
      </c>
      <c r="O4362">
        <v>4.41</v>
      </c>
      <c r="P4362">
        <v>57.33</v>
      </c>
    </row>
    <row r="4363" spans="1:16" x14ac:dyDescent="0.3">
      <c r="A4363">
        <v>31025</v>
      </c>
      <c r="B4363">
        <v>105</v>
      </c>
      <c r="C4363" t="s">
        <v>557</v>
      </c>
      <c r="D4363" s="452">
        <v>45778</v>
      </c>
      <c r="E4363">
        <v>20614</v>
      </c>
      <c r="F4363" t="s">
        <v>4958</v>
      </c>
      <c r="G4363">
        <v>2119</v>
      </c>
      <c r="H4363">
        <v>2</v>
      </c>
      <c r="I4363" t="s">
        <v>4736</v>
      </c>
      <c r="J4363" t="s">
        <v>5191</v>
      </c>
      <c r="K4363" t="s">
        <v>4436</v>
      </c>
      <c r="L4363">
        <v>0</v>
      </c>
      <c r="M4363" s="452">
        <v>45504</v>
      </c>
      <c r="N4363">
        <v>28.61</v>
      </c>
      <c r="O4363">
        <v>28.7</v>
      </c>
      <c r="P4363">
        <v>57.22</v>
      </c>
    </row>
    <row r="4364" spans="1:16" x14ac:dyDescent="0.3">
      <c r="A4364">
        <v>30962</v>
      </c>
      <c r="B4364">
        <v>105</v>
      </c>
      <c r="C4364" t="s">
        <v>557</v>
      </c>
      <c r="D4364" s="452">
        <v>45778</v>
      </c>
      <c r="E4364">
        <v>20421</v>
      </c>
      <c r="F4364" t="s">
        <v>5525</v>
      </c>
      <c r="G4364">
        <v>2187</v>
      </c>
      <c r="H4364">
        <v>4</v>
      </c>
      <c r="I4364" t="s">
        <v>4736</v>
      </c>
      <c r="J4364" t="s">
        <v>5191</v>
      </c>
      <c r="K4364" t="s">
        <v>4436</v>
      </c>
      <c r="L4364">
        <v>0</v>
      </c>
      <c r="M4364" s="452">
        <v>45741</v>
      </c>
      <c r="N4364">
        <v>14</v>
      </c>
      <c r="O4364">
        <v>16.52</v>
      </c>
      <c r="P4364">
        <v>56</v>
      </c>
    </row>
    <row r="4365" spans="1:16" x14ac:dyDescent="0.3">
      <c r="A4365">
        <v>30914</v>
      </c>
      <c r="B4365">
        <v>105</v>
      </c>
      <c r="C4365" t="s">
        <v>557</v>
      </c>
      <c r="D4365" s="452">
        <v>45778</v>
      </c>
      <c r="E4365">
        <v>25758</v>
      </c>
      <c r="F4365" t="s">
        <v>4775</v>
      </c>
      <c r="G4365">
        <v>9066</v>
      </c>
      <c r="H4365">
        <v>7</v>
      </c>
      <c r="I4365" t="s">
        <v>4736</v>
      </c>
      <c r="J4365" t="s">
        <v>5191</v>
      </c>
      <c r="K4365" t="s">
        <v>4436</v>
      </c>
      <c r="L4365">
        <v>0</v>
      </c>
      <c r="M4365" s="452">
        <v>45742</v>
      </c>
      <c r="N4365">
        <v>7.73</v>
      </c>
      <c r="O4365">
        <v>7.73</v>
      </c>
      <c r="P4365">
        <v>54.11</v>
      </c>
    </row>
    <row r="4366" spans="1:16" x14ac:dyDescent="0.3">
      <c r="A4366">
        <v>31168</v>
      </c>
      <c r="B4366">
        <v>105</v>
      </c>
      <c r="C4366" t="s">
        <v>557</v>
      </c>
      <c r="D4366" s="452">
        <v>45778</v>
      </c>
      <c r="E4366">
        <v>18339</v>
      </c>
      <c r="F4366" t="s">
        <v>5033</v>
      </c>
      <c r="G4366">
        <v>3296</v>
      </c>
      <c r="H4366">
        <v>1</v>
      </c>
      <c r="I4366" t="s">
        <v>4805</v>
      </c>
      <c r="J4366" t="s">
        <v>5222</v>
      </c>
      <c r="K4366" t="s">
        <v>4436</v>
      </c>
      <c r="L4366">
        <v>0</v>
      </c>
      <c r="M4366" s="452">
        <v>-693593</v>
      </c>
      <c r="N4366">
        <v>0</v>
      </c>
      <c r="O4366">
        <v>14.84</v>
      </c>
      <c r="P4366">
        <v>53.67</v>
      </c>
    </row>
    <row r="4367" spans="1:16" x14ac:dyDescent="0.3">
      <c r="A4367">
        <v>31066</v>
      </c>
      <c r="B4367">
        <v>105</v>
      </c>
      <c r="C4367" t="s">
        <v>557</v>
      </c>
      <c r="D4367" s="452">
        <v>45778</v>
      </c>
      <c r="E4367">
        <v>19479</v>
      </c>
      <c r="F4367" t="s">
        <v>5063</v>
      </c>
      <c r="G4367">
        <v>2727</v>
      </c>
      <c r="H4367">
        <v>0.71</v>
      </c>
      <c r="I4367" t="s">
        <v>4744</v>
      </c>
      <c r="J4367" t="s">
        <v>5191</v>
      </c>
      <c r="K4367" t="s">
        <v>4436</v>
      </c>
      <c r="L4367">
        <v>75</v>
      </c>
      <c r="M4367" s="452">
        <v>45770</v>
      </c>
      <c r="N4367">
        <v>75</v>
      </c>
      <c r="O4367">
        <v>75</v>
      </c>
      <c r="P4367">
        <v>53.25</v>
      </c>
    </row>
    <row r="4368" spans="1:16" x14ac:dyDescent="0.3">
      <c r="A4368">
        <v>31282</v>
      </c>
      <c r="B4368">
        <v>105</v>
      </c>
      <c r="C4368" t="s">
        <v>557</v>
      </c>
      <c r="D4368" s="452">
        <v>45778</v>
      </c>
      <c r="E4368">
        <v>26989</v>
      </c>
      <c r="F4368" t="s">
        <v>5479</v>
      </c>
      <c r="G4368">
        <v>7043</v>
      </c>
      <c r="H4368">
        <v>1</v>
      </c>
      <c r="I4368" t="s">
        <v>4805</v>
      </c>
      <c r="J4368" t="s">
        <v>5222</v>
      </c>
      <c r="K4368" t="s">
        <v>4436</v>
      </c>
      <c r="L4368">
        <v>52.65</v>
      </c>
      <c r="M4368" s="452">
        <v>45764</v>
      </c>
      <c r="N4368">
        <v>52.65</v>
      </c>
      <c r="O4368">
        <v>0</v>
      </c>
      <c r="P4368">
        <v>52.65</v>
      </c>
    </row>
    <row r="4369" spans="1:16" x14ac:dyDescent="0.3">
      <c r="A4369">
        <v>30971</v>
      </c>
      <c r="B4369">
        <v>105</v>
      </c>
      <c r="C4369" t="s">
        <v>557</v>
      </c>
      <c r="D4369" s="452">
        <v>45778</v>
      </c>
      <c r="E4369">
        <v>20359</v>
      </c>
      <c r="F4369" t="s">
        <v>5446</v>
      </c>
      <c r="G4369">
        <v>2199</v>
      </c>
      <c r="H4369">
        <v>11</v>
      </c>
      <c r="I4369" t="s">
        <v>4736</v>
      </c>
      <c r="J4369" t="s">
        <v>5191</v>
      </c>
      <c r="K4369" t="s">
        <v>4436</v>
      </c>
      <c r="L4369">
        <v>4.76</v>
      </c>
      <c r="M4369" s="452">
        <v>45770</v>
      </c>
      <c r="N4369">
        <v>4.76</v>
      </c>
      <c r="O4369">
        <v>4.76</v>
      </c>
      <c r="P4369">
        <v>52.36</v>
      </c>
    </row>
    <row r="4370" spans="1:16" x14ac:dyDescent="0.3">
      <c r="A4370">
        <v>31064</v>
      </c>
      <c r="B4370">
        <v>105</v>
      </c>
      <c r="C4370" t="s">
        <v>557</v>
      </c>
      <c r="D4370" s="452">
        <v>45778</v>
      </c>
      <c r="E4370">
        <v>19751</v>
      </c>
      <c r="F4370" t="s">
        <v>4800</v>
      </c>
      <c r="G4370">
        <v>2502</v>
      </c>
      <c r="H4370">
        <v>7.2</v>
      </c>
      <c r="I4370" t="s">
        <v>4744</v>
      </c>
      <c r="J4370" t="s">
        <v>5191</v>
      </c>
      <c r="K4370" t="s">
        <v>4436</v>
      </c>
      <c r="L4370">
        <v>7.25</v>
      </c>
      <c r="M4370" s="452">
        <v>45776</v>
      </c>
      <c r="N4370">
        <v>7</v>
      </c>
      <c r="O4370">
        <v>0.92</v>
      </c>
      <c r="P4370">
        <v>52.2</v>
      </c>
    </row>
    <row r="4371" spans="1:16" x14ac:dyDescent="0.3">
      <c r="A4371">
        <v>30934</v>
      </c>
      <c r="B4371">
        <v>105</v>
      </c>
      <c r="C4371" t="s">
        <v>557</v>
      </c>
      <c r="D4371" s="452">
        <v>45778</v>
      </c>
      <c r="E4371">
        <v>21090</v>
      </c>
      <c r="F4371" t="s">
        <v>5540</v>
      </c>
      <c r="G4371">
        <v>1988</v>
      </c>
      <c r="H4371">
        <v>11</v>
      </c>
      <c r="I4371" t="s">
        <v>4738</v>
      </c>
      <c r="J4371" t="s">
        <v>5191</v>
      </c>
      <c r="K4371" t="s">
        <v>4436</v>
      </c>
      <c r="L4371">
        <v>4.68</v>
      </c>
      <c r="M4371" s="452">
        <v>45770</v>
      </c>
      <c r="N4371">
        <v>4.68</v>
      </c>
      <c r="O4371">
        <v>4.6500000000000004</v>
      </c>
      <c r="P4371">
        <v>51.48</v>
      </c>
    </row>
    <row r="4372" spans="1:16" x14ac:dyDescent="0.3">
      <c r="A4372">
        <v>31044</v>
      </c>
      <c r="B4372">
        <v>105</v>
      </c>
      <c r="C4372" t="s">
        <v>557</v>
      </c>
      <c r="D4372" s="452">
        <v>45778</v>
      </c>
      <c r="E4372">
        <v>19642</v>
      </c>
      <c r="F4372" t="s">
        <v>4996</v>
      </c>
      <c r="G4372">
        <v>2596</v>
      </c>
      <c r="H4372">
        <v>8.75</v>
      </c>
      <c r="I4372" t="s">
        <v>4744</v>
      </c>
      <c r="J4372" t="s">
        <v>5191</v>
      </c>
      <c r="K4372" t="s">
        <v>4436</v>
      </c>
      <c r="L4372">
        <v>5.8</v>
      </c>
      <c r="M4372" s="452">
        <v>45776</v>
      </c>
      <c r="N4372">
        <v>6</v>
      </c>
      <c r="O4372">
        <v>6</v>
      </c>
      <c r="P4372">
        <v>50.75</v>
      </c>
    </row>
    <row r="4373" spans="1:16" x14ac:dyDescent="0.3">
      <c r="A4373">
        <v>30976</v>
      </c>
      <c r="B4373">
        <v>105</v>
      </c>
      <c r="C4373" t="s">
        <v>557</v>
      </c>
      <c r="D4373" s="452">
        <v>45778</v>
      </c>
      <c r="E4373">
        <v>20227</v>
      </c>
      <c r="F4373" t="s">
        <v>4825</v>
      </c>
      <c r="G4373">
        <v>2248</v>
      </c>
      <c r="H4373">
        <v>4</v>
      </c>
      <c r="I4373" t="s">
        <v>4738</v>
      </c>
      <c r="J4373" t="s">
        <v>5191</v>
      </c>
      <c r="K4373" t="s">
        <v>4436</v>
      </c>
      <c r="L4373">
        <v>12.68</v>
      </c>
      <c r="M4373" s="452">
        <v>45770</v>
      </c>
      <c r="N4373">
        <v>12.68</v>
      </c>
      <c r="O4373">
        <v>12.55</v>
      </c>
      <c r="P4373">
        <v>50.72</v>
      </c>
    </row>
    <row r="4374" spans="1:16" x14ac:dyDescent="0.3">
      <c r="A4374">
        <v>31063</v>
      </c>
      <c r="B4374">
        <v>105</v>
      </c>
      <c r="C4374" t="s">
        <v>557</v>
      </c>
      <c r="D4374" s="452">
        <v>45778</v>
      </c>
      <c r="E4374">
        <v>19752</v>
      </c>
      <c r="F4374" t="s">
        <v>4807</v>
      </c>
      <c r="G4374">
        <v>2501</v>
      </c>
      <c r="H4374">
        <v>6.7</v>
      </c>
      <c r="I4374" t="s">
        <v>4744</v>
      </c>
      <c r="J4374" t="s">
        <v>5191</v>
      </c>
      <c r="K4374" t="s">
        <v>4436</v>
      </c>
      <c r="L4374">
        <v>7.42</v>
      </c>
      <c r="M4374" s="452">
        <v>45772</v>
      </c>
      <c r="N4374">
        <v>6</v>
      </c>
      <c r="O4374">
        <v>5.17</v>
      </c>
      <c r="P4374">
        <v>49.71</v>
      </c>
    </row>
    <row r="4375" spans="1:16" x14ac:dyDescent="0.3">
      <c r="A4375">
        <v>31033</v>
      </c>
      <c r="B4375">
        <v>105</v>
      </c>
      <c r="C4375" t="s">
        <v>557</v>
      </c>
      <c r="D4375" s="452">
        <v>45778</v>
      </c>
      <c r="E4375">
        <v>19507</v>
      </c>
      <c r="F4375" t="s">
        <v>4853</v>
      </c>
      <c r="G4375">
        <v>2704</v>
      </c>
      <c r="H4375">
        <v>4.01</v>
      </c>
      <c r="I4375" t="s">
        <v>4744</v>
      </c>
      <c r="J4375" t="s">
        <v>5191</v>
      </c>
      <c r="K4375" t="s">
        <v>4436</v>
      </c>
      <c r="L4375">
        <v>12.28</v>
      </c>
      <c r="M4375" s="452">
        <v>45777</v>
      </c>
      <c r="N4375">
        <v>11.38</v>
      </c>
      <c r="O4375">
        <v>1.8</v>
      </c>
      <c r="P4375">
        <v>49.24</v>
      </c>
    </row>
    <row r="4376" spans="1:16" x14ac:dyDescent="0.3">
      <c r="A4376">
        <v>31002</v>
      </c>
      <c r="B4376">
        <v>105</v>
      </c>
      <c r="C4376" t="s">
        <v>557</v>
      </c>
      <c r="D4376" s="452">
        <v>45778</v>
      </c>
      <c r="E4376">
        <v>19978</v>
      </c>
      <c r="F4376" t="s">
        <v>4887</v>
      </c>
      <c r="G4376">
        <v>2353</v>
      </c>
      <c r="H4376">
        <v>3</v>
      </c>
      <c r="I4376" t="s">
        <v>4888</v>
      </c>
      <c r="J4376" t="s">
        <v>5191</v>
      </c>
      <c r="K4376" t="s">
        <v>4436</v>
      </c>
      <c r="L4376">
        <v>16.29</v>
      </c>
      <c r="M4376" s="452">
        <v>45757</v>
      </c>
      <c r="N4376">
        <v>16.29</v>
      </c>
      <c r="O4376">
        <v>16.29</v>
      </c>
      <c r="P4376">
        <v>48.87</v>
      </c>
    </row>
    <row r="4377" spans="1:16" x14ac:dyDescent="0.3">
      <c r="A4377">
        <v>31219</v>
      </c>
      <c r="B4377">
        <v>105</v>
      </c>
      <c r="C4377" t="s">
        <v>557</v>
      </c>
      <c r="D4377" s="452">
        <v>45778</v>
      </c>
      <c r="E4377">
        <v>26034</v>
      </c>
      <c r="F4377" t="s">
        <v>4828</v>
      </c>
      <c r="G4377">
        <v>6504</v>
      </c>
      <c r="H4377">
        <v>1</v>
      </c>
      <c r="I4377" t="s">
        <v>4805</v>
      </c>
      <c r="J4377" t="s">
        <v>5222</v>
      </c>
      <c r="K4377" t="s">
        <v>4436</v>
      </c>
      <c r="L4377">
        <v>48.46</v>
      </c>
      <c r="M4377" s="452">
        <v>45777</v>
      </c>
      <c r="N4377">
        <v>48.46</v>
      </c>
      <c r="O4377">
        <v>48.46</v>
      </c>
      <c r="P4377">
        <v>48.46</v>
      </c>
    </row>
    <row r="4378" spans="1:16" x14ac:dyDescent="0.3">
      <c r="A4378">
        <v>30994</v>
      </c>
      <c r="B4378">
        <v>105</v>
      </c>
      <c r="C4378" t="s">
        <v>557</v>
      </c>
      <c r="D4378" s="452">
        <v>45778</v>
      </c>
      <c r="E4378">
        <v>20138</v>
      </c>
      <c r="F4378" t="s">
        <v>4886</v>
      </c>
      <c r="G4378">
        <v>2284</v>
      </c>
      <c r="H4378">
        <v>7</v>
      </c>
      <c r="I4378" t="s">
        <v>4738</v>
      </c>
      <c r="J4378" t="s">
        <v>5191</v>
      </c>
      <c r="K4378" t="s">
        <v>4436</v>
      </c>
      <c r="L4378">
        <v>6.8</v>
      </c>
      <c r="M4378" s="452">
        <v>45763</v>
      </c>
      <c r="N4378">
        <v>6.8</v>
      </c>
      <c r="O4378">
        <v>6.8</v>
      </c>
      <c r="P4378">
        <v>47.6</v>
      </c>
    </row>
    <row r="4379" spans="1:16" x14ac:dyDescent="0.3">
      <c r="A4379">
        <v>31196</v>
      </c>
      <c r="B4379">
        <v>105</v>
      </c>
      <c r="C4379" t="s">
        <v>557</v>
      </c>
      <c r="D4379" s="452">
        <v>45778</v>
      </c>
      <c r="E4379">
        <v>18073</v>
      </c>
      <c r="F4379" t="s">
        <v>4974</v>
      </c>
      <c r="G4379">
        <v>3536</v>
      </c>
      <c r="H4379">
        <v>1</v>
      </c>
      <c r="I4379" t="s">
        <v>4805</v>
      </c>
      <c r="J4379" t="s">
        <v>5222</v>
      </c>
      <c r="K4379" t="s">
        <v>4436</v>
      </c>
      <c r="L4379">
        <v>0</v>
      </c>
      <c r="M4379" s="452">
        <v>45686</v>
      </c>
      <c r="N4379">
        <v>46</v>
      </c>
      <c r="O4379">
        <v>46</v>
      </c>
      <c r="P4379">
        <v>46</v>
      </c>
    </row>
    <row r="4380" spans="1:16" x14ac:dyDescent="0.3">
      <c r="A4380">
        <v>30995</v>
      </c>
      <c r="B4380">
        <v>105</v>
      </c>
      <c r="C4380" t="s">
        <v>557</v>
      </c>
      <c r="D4380" s="452">
        <v>45778</v>
      </c>
      <c r="E4380">
        <v>20007</v>
      </c>
      <c r="F4380" t="s">
        <v>5101</v>
      </c>
      <c r="G4380">
        <v>2343</v>
      </c>
      <c r="H4380">
        <v>1</v>
      </c>
      <c r="I4380" t="s">
        <v>4884</v>
      </c>
      <c r="J4380" t="s">
        <v>5191</v>
      </c>
      <c r="K4380" t="s">
        <v>4436</v>
      </c>
      <c r="L4380">
        <v>45.62</v>
      </c>
      <c r="M4380" s="452">
        <v>45777</v>
      </c>
      <c r="N4380">
        <v>44.96</v>
      </c>
      <c r="O4380">
        <v>44.96</v>
      </c>
      <c r="P4380">
        <v>45.62</v>
      </c>
    </row>
    <row r="4381" spans="1:16" x14ac:dyDescent="0.3">
      <c r="A4381">
        <v>31158</v>
      </c>
      <c r="B4381">
        <v>105</v>
      </c>
      <c r="C4381" t="s">
        <v>557</v>
      </c>
      <c r="D4381" s="452">
        <v>45778</v>
      </c>
      <c r="E4381">
        <v>18545</v>
      </c>
      <c r="F4381" t="s">
        <v>4864</v>
      </c>
      <c r="G4381">
        <v>3134</v>
      </c>
      <c r="H4381">
        <v>1</v>
      </c>
      <c r="I4381" t="s">
        <v>4805</v>
      </c>
      <c r="J4381" t="s">
        <v>5222</v>
      </c>
      <c r="K4381" t="s">
        <v>4436</v>
      </c>
      <c r="L4381">
        <v>0</v>
      </c>
      <c r="M4381" s="452">
        <v>45742</v>
      </c>
      <c r="N4381">
        <v>45.54</v>
      </c>
      <c r="O4381">
        <v>2.2799999999999998</v>
      </c>
      <c r="P4381">
        <v>45.54</v>
      </c>
    </row>
    <row r="4382" spans="1:16" x14ac:dyDescent="0.3">
      <c r="A4382">
        <v>30972</v>
      </c>
      <c r="B4382">
        <v>105</v>
      </c>
      <c r="C4382" t="s">
        <v>557</v>
      </c>
      <c r="D4382" s="452">
        <v>45778</v>
      </c>
      <c r="E4382">
        <v>20322</v>
      </c>
      <c r="F4382" t="s">
        <v>4882</v>
      </c>
      <c r="G4382">
        <v>2212</v>
      </c>
      <c r="H4382">
        <v>4.54</v>
      </c>
      <c r="I4382" t="s">
        <v>4738</v>
      </c>
      <c r="J4382" t="s">
        <v>5191</v>
      </c>
      <c r="K4382" t="s">
        <v>4436</v>
      </c>
      <c r="L4382">
        <v>9.7100000000000009</v>
      </c>
      <c r="M4382" s="452">
        <v>45770</v>
      </c>
      <c r="N4382">
        <v>9.69</v>
      </c>
      <c r="O4382">
        <v>9.69</v>
      </c>
      <c r="P4382">
        <v>44.08</v>
      </c>
    </row>
    <row r="4383" spans="1:16" x14ac:dyDescent="0.3">
      <c r="A4383">
        <v>30987</v>
      </c>
      <c r="B4383">
        <v>105</v>
      </c>
      <c r="C4383" t="s">
        <v>557</v>
      </c>
      <c r="D4383" s="452">
        <v>45778</v>
      </c>
      <c r="E4383">
        <v>20653</v>
      </c>
      <c r="F4383" t="s">
        <v>5013</v>
      </c>
      <c r="G4383">
        <v>2111</v>
      </c>
      <c r="H4383">
        <v>2</v>
      </c>
      <c r="I4383" t="s">
        <v>4736</v>
      </c>
      <c r="J4383" t="s">
        <v>5191</v>
      </c>
      <c r="K4383" t="s">
        <v>4436</v>
      </c>
      <c r="L4383">
        <v>21.98</v>
      </c>
      <c r="M4383" s="452">
        <v>45763</v>
      </c>
      <c r="N4383">
        <v>21.98</v>
      </c>
      <c r="O4383">
        <v>21.88</v>
      </c>
      <c r="P4383">
        <v>43.96</v>
      </c>
    </row>
    <row r="4384" spans="1:16" x14ac:dyDescent="0.3">
      <c r="A4384">
        <v>30944</v>
      </c>
      <c r="B4384">
        <v>105</v>
      </c>
      <c r="C4384" t="s">
        <v>557</v>
      </c>
      <c r="D4384" s="452">
        <v>45778</v>
      </c>
      <c r="E4384">
        <v>21060</v>
      </c>
      <c r="F4384" t="s">
        <v>4946</v>
      </c>
      <c r="G4384">
        <v>1998</v>
      </c>
      <c r="H4384">
        <v>2</v>
      </c>
      <c r="I4384" t="s">
        <v>4736</v>
      </c>
      <c r="J4384" t="s">
        <v>5191</v>
      </c>
      <c r="K4384" t="s">
        <v>4436</v>
      </c>
      <c r="L4384">
        <v>21.9</v>
      </c>
      <c r="M4384" s="452">
        <v>45756</v>
      </c>
      <c r="N4384">
        <v>21.9</v>
      </c>
      <c r="O4384">
        <v>21.99</v>
      </c>
      <c r="P4384">
        <v>43.8</v>
      </c>
    </row>
    <row r="4385" spans="1:16" x14ac:dyDescent="0.3">
      <c r="A4385">
        <v>31104</v>
      </c>
      <c r="B4385">
        <v>105</v>
      </c>
      <c r="C4385" t="s">
        <v>557</v>
      </c>
      <c r="D4385" s="452">
        <v>45778</v>
      </c>
      <c r="E4385">
        <v>19434</v>
      </c>
      <c r="F4385" t="s">
        <v>5078</v>
      </c>
      <c r="G4385">
        <v>2757</v>
      </c>
      <c r="H4385">
        <v>2</v>
      </c>
      <c r="I4385" t="s">
        <v>4738</v>
      </c>
      <c r="J4385" t="s">
        <v>5191</v>
      </c>
      <c r="K4385" t="s">
        <v>4436</v>
      </c>
      <c r="L4385">
        <v>21.74</v>
      </c>
      <c r="M4385" s="452">
        <v>45777</v>
      </c>
      <c r="N4385">
        <v>22.75</v>
      </c>
      <c r="O4385">
        <v>22.75</v>
      </c>
      <c r="P4385">
        <v>43.48</v>
      </c>
    </row>
    <row r="4386" spans="1:16" x14ac:dyDescent="0.3">
      <c r="A4386">
        <v>30988</v>
      </c>
      <c r="B4386">
        <v>105</v>
      </c>
      <c r="C4386" t="s">
        <v>557</v>
      </c>
      <c r="D4386" s="452">
        <v>45778</v>
      </c>
      <c r="E4386">
        <v>24322</v>
      </c>
      <c r="F4386" t="s">
        <v>5064</v>
      </c>
      <c r="G4386">
        <v>2342</v>
      </c>
      <c r="H4386">
        <v>1.79</v>
      </c>
      <c r="I4386" t="s">
        <v>4744</v>
      </c>
      <c r="J4386" t="s">
        <v>5191</v>
      </c>
      <c r="K4386" t="s">
        <v>4436</v>
      </c>
      <c r="L4386">
        <v>23</v>
      </c>
      <c r="M4386" s="452">
        <v>45777</v>
      </c>
      <c r="N4386">
        <v>23</v>
      </c>
      <c r="O4386">
        <v>23</v>
      </c>
      <c r="P4386">
        <v>41.17</v>
      </c>
    </row>
    <row r="4387" spans="1:16" x14ac:dyDescent="0.3">
      <c r="A4387">
        <v>31057</v>
      </c>
      <c r="B4387">
        <v>105</v>
      </c>
      <c r="C4387" t="s">
        <v>557</v>
      </c>
      <c r="D4387" s="452">
        <v>45778</v>
      </c>
      <c r="E4387">
        <v>24230</v>
      </c>
      <c r="F4387" t="s">
        <v>4986</v>
      </c>
      <c r="G4387">
        <v>2622</v>
      </c>
      <c r="H4387">
        <v>1.85</v>
      </c>
      <c r="I4387" t="s">
        <v>4744</v>
      </c>
      <c r="J4387" t="s">
        <v>5191</v>
      </c>
      <c r="K4387" t="s">
        <v>4436</v>
      </c>
      <c r="L4387">
        <v>22.1</v>
      </c>
      <c r="M4387" s="452">
        <v>45762</v>
      </c>
      <c r="N4387">
        <v>22.1</v>
      </c>
      <c r="O4387">
        <v>20</v>
      </c>
      <c r="P4387">
        <v>40.89</v>
      </c>
    </row>
    <row r="4388" spans="1:16" x14ac:dyDescent="0.3">
      <c r="A4388">
        <v>31016</v>
      </c>
      <c r="B4388">
        <v>105</v>
      </c>
      <c r="C4388" t="s">
        <v>557</v>
      </c>
      <c r="D4388" s="452">
        <v>45778</v>
      </c>
      <c r="E4388">
        <v>19923</v>
      </c>
      <c r="F4388" t="s">
        <v>5069</v>
      </c>
      <c r="G4388">
        <v>2375</v>
      </c>
      <c r="H4388">
        <v>1.06</v>
      </c>
      <c r="I4388" t="s">
        <v>4738</v>
      </c>
      <c r="J4388" t="s">
        <v>5191</v>
      </c>
      <c r="K4388" t="s">
        <v>4436</v>
      </c>
      <c r="L4388">
        <v>38</v>
      </c>
      <c r="M4388" s="452">
        <v>45763</v>
      </c>
      <c r="N4388">
        <v>38</v>
      </c>
      <c r="O4388">
        <v>76</v>
      </c>
      <c r="P4388">
        <v>40.28</v>
      </c>
    </row>
    <row r="4389" spans="1:16" x14ac:dyDescent="0.3">
      <c r="A4389">
        <v>31165</v>
      </c>
      <c r="B4389">
        <v>105</v>
      </c>
      <c r="C4389" t="s">
        <v>557</v>
      </c>
      <c r="D4389" s="452">
        <v>45778</v>
      </c>
      <c r="E4389">
        <v>18460</v>
      </c>
      <c r="F4389" t="s">
        <v>5541</v>
      </c>
      <c r="G4389">
        <v>3193</v>
      </c>
      <c r="H4389">
        <v>1</v>
      </c>
      <c r="I4389" t="s">
        <v>4805</v>
      </c>
      <c r="J4389" t="s">
        <v>5222</v>
      </c>
      <c r="K4389" t="s">
        <v>4436</v>
      </c>
      <c r="L4389">
        <v>0</v>
      </c>
      <c r="M4389" s="452">
        <v>45644</v>
      </c>
      <c r="N4389">
        <v>39.9</v>
      </c>
      <c r="O4389">
        <v>39.9</v>
      </c>
      <c r="P4389">
        <v>39.9</v>
      </c>
    </row>
    <row r="4390" spans="1:16" x14ac:dyDescent="0.3">
      <c r="A4390">
        <v>30975</v>
      </c>
      <c r="B4390">
        <v>105</v>
      </c>
      <c r="C4390" t="s">
        <v>557</v>
      </c>
      <c r="D4390" s="452">
        <v>45778</v>
      </c>
      <c r="E4390">
        <v>20231</v>
      </c>
      <c r="F4390" t="s">
        <v>5273</v>
      </c>
      <c r="G4390">
        <v>2247</v>
      </c>
      <c r="H4390">
        <v>2</v>
      </c>
      <c r="I4390" t="s">
        <v>4738</v>
      </c>
      <c r="J4390" t="s">
        <v>5191</v>
      </c>
      <c r="K4390" t="s">
        <v>4436</v>
      </c>
      <c r="L4390">
        <v>19.89</v>
      </c>
      <c r="M4390" s="452">
        <v>45763</v>
      </c>
      <c r="N4390">
        <v>19.89</v>
      </c>
      <c r="O4390">
        <v>19.62</v>
      </c>
      <c r="P4390">
        <v>39.78</v>
      </c>
    </row>
    <row r="4391" spans="1:16" x14ac:dyDescent="0.3">
      <c r="A4391">
        <v>31166</v>
      </c>
      <c r="B4391">
        <v>105</v>
      </c>
      <c r="C4391" t="s">
        <v>557</v>
      </c>
      <c r="D4391" s="452">
        <v>45778</v>
      </c>
      <c r="E4391">
        <v>18423</v>
      </c>
      <c r="F4391" t="s">
        <v>4987</v>
      </c>
      <c r="G4391">
        <v>3220</v>
      </c>
      <c r="H4391">
        <v>1</v>
      </c>
      <c r="I4391" t="s">
        <v>4805</v>
      </c>
      <c r="J4391" t="s">
        <v>5222</v>
      </c>
      <c r="K4391" t="s">
        <v>4436</v>
      </c>
      <c r="L4391">
        <v>0</v>
      </c>
      <c r="M4391" s="452">
        <v>45707</v>
      </c>
      <c r="N4391">
        <v>39.299999999999997</v>
      </c>
      <c r="O4391">
        <v>39.299999999999997</v>
      </c>
      <c r="P4391">
        <v>39.299999999999997</v>
      </c>
    </row>
    <row r="4392" spans="1:16" x14ac:dyDescent="0.3">
      <c r="A4392">
        <v>31177</v>
      </c>
      <c r="B4392">
        <v>105</v>
      </c>
      <c r="C4392" t="s">
        <v>557</v>
      </c>
      <c r="D4392" s="452">
        <v>45778</v>
      </c>
      <c r="E4392">
        <v>18273</v>
      </c>
      <c r="F4392" t="s">
        <v>5058</v>
      </c>
      <c r="G4392">
        <v>3357</v>
      </c>
      <c r="H4392">
        <v>1</v>
      </c>
      <c r="I4392" t="s">
        <v>4805</v>
      </c>
      <c r="J4392" t="s">
        <v>5222</v>
      </c>
      <c r="K4392" t="s">
        <v>4436</v>
      </c>
      <c r="L4392">
        <v>0</v>
      </c>
      <c r="M4392" s="452">
        <v>-693593</v>
      </c>
      <c r="N4392">
        <v>0</v>
      </c>
      <c r="O4392">
        <v>39.18</v>
      </c>
      <c r="P4392">
        <v>39.18</v>
      </c>
    </row>
    <row r="4393" spans="1:16" x14ac:dyDescent="0.3">
      <c r="A4393">
        <v>31111</v>
      </c>
      <c r="B4393">
        <v>105</v>
      </c>
      <c r="C4393" t="s">
        <v>557</v>
      </c>
      <c r="D4393" s="452">
        <v>45778</v>
      </c>
      <c r="E4393">
        <v>24444</v>
      </c>
      <c r="F4393" t="s">
        <v>4992</v>
      </c>
      <c r="G4393">
        <v>2784</v>
      </c>
      <c r="H4393">
        <v>2.0499999999999998</v>
      </c>
      <c r="I4393" t="s">
        <v>4744</v>
      </c>
      <c r="J4393" t="s">
        <v>5191</v>
      </c>
      <c r="K4393" t="s">
        <v>4436</v>
      </c>
      <c r="L4393">
        <v>0</v>
      </c>
      <c r="M4393" s="452">
        <v>45392</v>
      </c>
      <c r="N4393">
        <v>18.95</v>
      </c>
      <c r="O4393">
        <v>22</v>
      </c>
      <c r="P4393">
        <v>38.85</v>
      </c>
    </row>
    <row r="4394" spans="1:16" x14ac:dyDescent="0.3">
      <c r="A4394">
        <v>31075</v>
      </c>
      <c r="B4394">
        <v>105</v>
      </c>
      <c r="C4394" t="s">
        <v>557</v>
      </c>
      <c r="D4394" s="452">
        <v>45778</v>
      </c>
      <c r="E4394">
        <v>24394</v>
      </c>
      <c r="F4394" t="s">
        <v>5164</v>
      </c>
      <c r="G4394">
        <v>2753</v>
      </c>
      <c r="H4394">
        <v>40</v>
      </c>
      <c r="I4394" t="s">
        <v>4736</v>
      </c>
      <c r="J4394" t="s">
        <v>5191</v>
      </c>
      <c r="K4394" t="s">
        <v>4436</v>
      </c>
      <c r="L4394">
        <v>0.94</v>
      </c>
      <c r="M4394" s="452">
        <v>45772</v>
      </c>
      <c r="N4394">
        <v>0.89</v>
      </c>
      <c r="O4394">
        <v>0.87</v>
      </c>
      <c r="P4394">
        <v>37.6</v>
      </c>
    </row>
    <row r="4395" spans="1:16" x14ac:dyDescent="0.3">
      <c r="A4395">
        <v>31085</v>
      </c>
      <c r="B4395">
        <v>105</v>
      </c>
      <c r="C4395" t="s">
        <v>557</v>
      </c>
      <c r="D4395" s="452">
        <v>45778</v>
      </c>
      <c r="E4395">
        <v>19790</v>
      </c>
      <c r="F4395" t="s">
        <v>5073</v>
      </c>
      <c r="G4395">
        <v>2469</v>
      </c>
      <c r="H4395">
        <v>2.4</v>
      </c>
      <c r="I4395" t="s">
        <v>4744</v>
      </c>
      <c r="J4395" t="s">
        <v>5191</v>
      </c>
      <c r="K4395" t="s">
        <v>4436</v>
      </c>
      <c r="L4395">
        <v>15.6</v>
      </c>
      <c r="M4395" s="452">
        <v>45776</v>
      </c>
      <c r="N4395">
        <v>15.6</v>
      </c>
      <c r="O4395">
        <v>15.6</v>
      </c>
      <c r="P4395">
        <v>37.44</v>
      </c>
    </row>
    <row r="4396" spans="1:16" x14ac:dyDescent="0.3">
      <c r="A4396">
        <v>31072</v>
      </c>
      <c r="B4396">
        <v>105</v>
      </c>
      <c r="C4396" t="s">
        <v>557</v>
      </c>
      <c r="D4396" s="452">
        <v>45778</v>
      </c>
      <c r="E4396">
        <v>19740</v>
      </c>
      <c r="F4396" t="s">
        <v>4779</v>
      </c>
      <c r="G4396">
        <v>2513</v>
      </c>
      <c r="H4396">
        <v>5</v>
      </c>
      <c r="I4396" t="s">
        <v>4744</v>
      </c>
      <c r="J4396" t="s">
        <v>5191</v>
      </c>
      <c r="K4396" t="s">
        <v>4436</v>
      </c>
      <c r="L4396">
        <v>7.47</v>
      </c>
      <c r="M4396" s="452">
        <v>45771</v>
      </c>
      <c r="N4396">
        <v>9</v>
      </c>
      <c r="O4396">
        <v>0.95</v>
      </c>
      <c r="P4396">
        <v>37.35</v>
      </c>
    </row>
    <row r="4397" spans="1:16" x14ac:dyDescent="0.3">
      <c r="A4397">
        <v>30938</v>
      </c>
      <c r="B4397">
        <v>105</v>
      </c>
      <c r="C4397" t="s">
        <v>557</v>
      </c>
      <c r="D4397" s="452">
        <v>45778</v>
      </c>
      <c r="E4397">
        <v>20429</v>
      </c>
      <c r="F4397" t="s">
        <v>5317</v>
      </c>
      <c r="G4397">
        <v>2184</v>
      </c>
      <c r="H4397">
        <v>2</v>
      </c>
      <c r="I4397" t="s">
        <v>4736</v>
      </c>
      <c r="J4397" t="s">
        <v>5191</v>
      </c>
      <c r="K4397" t="s">
        <v>4436</v>
      </c>
      <c r="L4397">
        <v>0</v>
      </c>
      <c r="M4397" s="452">
        <v>45741</v>
      </c>
      <c r="N4397">
        <v>18.600000000000001</v>
      </c>
      <c r="O4397">
        <v>19.899999999999999</v>
      </c>
      <c r="P4397">
        <v>37.200000000000003</v>
      </c>
    </row>
    <row r="4398" spans="1:16" x14ac:dyDescent="0.3">
      <c r="A4398">
        <v>31090</v>
      </c>
      <c r="B4398">
        <v>105</v>
      </c>
      <c r="C4398" t="s">
        <v>557</v>
      </c>
      <c r="D4398" s="452">
        <v>45778</v>
      </c>
      <c r="E4398">
        <v>19473</v>
      </c>
      <c r="F4398" t="s">
        <v>5484</v>
      </c>
      <c r="G4398">
        <v>2732</v>
      </c>
      <c r="H4398">
        <v>2.31</v>
      </c>
      <c r="I4398" t="s">
        <v>4744</v>
      </c>
      <c r="J4398" t="s">
        <v>5191</v>
      </c>
      <c r="K4398" t="s">
        <v>4436</v>
      </c>
      <c r="L4398">
        <v>15.99</v>
      </c>
      <c r="M4398" s="452">
        <v>45777</v>
      </c>
      <c r="N4398">
        <v>18.809999999999999</v>
      </c>
      <c r="O4398">
        <v>18.809999999999999</v>
      </c>
      <c r="P4398">
        <v>36.94</v>
      </c>
    </row>
    <row r="4399" spans="1:16" x14ac:dyDescent="0.3">
      <c r="A4399">
        <v>31182</v>
      </c>
      <c r="B4399">
        <v>105</v>
      </c>
      <c r="C4399" t="s">
        <v>557</v>
      </c>
      <c r="D4399" s="452">
        <v>45778</v>
      </c>
      <c r="E4399">
        <v>18218</v>
      </c>
      <c r="F4399" t="s">
        <v>5038</v>
      </c>
      <c r="G4399">
        <v>3410</v>
      </c>
      <c r="H4399">
        <v>1</v>
      </c>
      <c r="I4399" t="s">
        <v>4805</v>
      </c>
      <c r="J4399" t="s">
        <v>5222</v>
      </c>
      <c r="K4399" t="s">
        <v>4436</v>
      </c>
      <c r="L4399">
        <v>0</v>
      </c>
      <c r="M4399" s="452">
        <v>45581</v>
      </c>
      <c r="N4399">
        <v>36.5</v>
      </c>
      <c r="O4399">
        <v>2.0299999999999998</v>
      </c>
      <c r="P4399">
        <v>36.5</v>
      </c>
    </row>
    <row r="4400" spans="1:16" x14ac:dyDescent="0.3">
      <c r="A4400">
        <v>30979</v>
      </c>
      <c r="B4400">
        <v>105</v>
      </c>
      <c r="C4400" t="s">
        <v>557</v>
      </c>
      <c r="D4400" s="452">
        <v>45778</v>
      </c>
      <c r="E4400">
        <v>19895</v>
      </c>
      <c r="F4400" t="s">
        <v>5080</v>
      </c>
      <c r="G4400">
        <v>2385</v>
      </c>
      <c r="H4400">
        <v>2</v>
      </c>
      <c r="I4400" t="s">
        <v>4888</v>
      </c>
      <c r="J4400" t="s">
        <v>5191</v>
      </c>
      <c r="K4400" t="s">
        <v>4436</v>
      </c>
      <c r="L4400">
        <v>0</v>
      </c>
      <c r="M4400" s="452">
        <v>-693593</v>
      </c>
      <c r="N4400">
        <v>0</v>
      </c>
      <c r="O4400">
        <v>31.99</v>
      </c>
      <c r="P4400">
        <v>36</v>
      </c>
    </row>
    <row r="4401" spans="1:16" x14ac:dyDescent="0.3">
      <c r="A4401">
        <v>30913</v>
      </c>
      <c r="B4401">
        <v>105</v>
      </c>
      <c r="C4401" t="s">
        <v>557</v>
      </c>
      <c r="D4401" s="452">
        <v>45778</v>
      </c>
      <c r="E4401">
        <v>21132</v>
      </c>
      <c r="F4401" t="s">
        <v>5524</v>
      </c>
      <c r="G4401">
        <v>1963</v>
      </c>
      <c r="H4401">
        <v>1</v>
      </c>
      <c r="I4401" t="s">
        <v>4738</v>
      </c>
      <c r="J4401" t="s">
        <v>5191</v>
      </c>
      <c r="K4401" t="s">
        <v>4436</v>
      </c>
      <c r="L4401">
        <v>35.31</v>
      </c>
      <c r="M4401" s="452">
        <v>45757</v>
      </c>
      <c r="N4401">
        <v>35.31</v>
      </c>
      <c r="O4401">
        <v>35.31</v>
      </c>
      <c r="P4401">
        <v>35.31</v>
      </c>
    </row>
    <row r="4402" spans="1:16" x14ac:dyDescent="0.3">
      <c r="A4402">
        <v>30916</v>
      </c>
      <c r="B4402">
        <v>105</v>
      </c>
      <c r="C4402" t="s">
        <v>557</v>
      </c>
      <c r="D4402" s="452">
        <v>45778</v>
      </c>
      <c r="E4402">
        <v>25761</v>
      </c>
      <c r="F4402" t="s">
        <v>4789</v>
      </c>
      <c r="G4402">
        <v>6312</v>
      </c>
      <c r="H4402">
        <v>5</v>
      </c>
      <c r="I4402" t="s">
        <v>4736</v>
      </c>
      <c r="J4402" t="s">
        <v>5191</v>
      </c>
      <c r="K4402" t="s">
        <v>4436</v>
      </c>
      <c r="L4402">
        <v>0</v>
      </c>
      <c r="M4402" s="452">
        <v>-693593</v>
      </c>
      <c r="N4402">
        <v>0</v>
      </c>
      <c r="O4402">
        <v>0</v>
      </c>
      <c r="P4402">
        <v>34.950000000000003</v>
      </c>
    </row>
    <row r="4403" spans="1:16" x14ac:dyDescent="0.3">
      <c r="A4403">
        <v>30940</v>
      </c>
      <c r="B4403">
        <v>105</v>
      </c>
      <c r="C4403" t="s">
        <v>557</v>
      </c>
      <c r="D4403" s="452">
        <v>45778</v>
      </c>
      <c r="E4403">
        <v>20308</v>
      </c>
      <c r="F4403" t="s">
        <v>4909</v>
      </c>
      <c r="G4403">
        <v>2222</v>
      </c>
      <c r="H4403">
        <v>1</v>
      </c>
      <c r="I4403" t="s">
        <v>4738</v>
      </c>
      <c r="J4403" t="s">
        <v>5191</v>
      </c>
      <c r="K4403" t="s">
        <v>4436</v>
      </c>
      <c r="L4403">
        <v>34.299999999999997</v>
      </c>
      <c r="M4403" s="452">
        <v>45770</v>
      </c>
      <c r="N4403">
        <v>34.69</v>
      </c>
      <c r="O4403">
        <v>34.69</v>
      </c>
      <c r="P4403">
        <v>34.299999999999997</v>
      </c>
    </row>
    <row r="4404" spans="1:16" x14ac:dyDescent="0.3">
      <c r="A4404">
        <v>31176</v>
      </c>
      <c r="B4404">
        <v>105</v>
      </c>
      <c r="C4404" t="s">
        <v>557</v>
      </c>
      <c r="D4404" s="452">
        <v>45778</v>
      </c>
      <c r="E4404">
        <v>18281</v>
      </c>
      <c r="F4404" t="s">
        <v>5470</v>
      </c>
      <c r="G4404">
        <v>3346</v>
      </c>
      <c r="H4404">
        <v>1</v>
      </c>
      <c r="I4404" t="s">
        <v>4805</v>
      </c>
      <c r="J4404" t="s">
        <v>5222</v>
      </c>
      <c r="K4404" t="s">
        <v>4436</v>
      </c>
      <c r="L4404">
        <v>0</v>
      </c>
      <c r="M4404" s="452">
        <v>45547</v>
      </c>
      <c r="N4404">
        <v>34.299999999999997</v>
      </c>
      <c r="O4404">
        <v>37.5</v>
      </c>
      <c r="P4404">
        <v>34.299999999999997</v>
      </c>
    </row>
    <row r="4405" spans="1:16" x14ac:dyDescent="0.3">
      <c r="A4405">
        <v>30936</v>
      </c>
      <c r="B4405">
        <v>105</v>
      </c>
      <c r="C4405" t="s">
        <v>557</v>
      </c>
      <c r="D4405" s="452">
        <v>45778</v>
      </c>
      <c r="E4405">
        <v>21079</v>
      </c>
      <c r="F4405" t="s">
        <v>5124</v>
      </c>
      <c r="G4405">
        <v>1991</v>
      </c>
      <c r="H4405">
        <v>1</v>
      </c>
      <c r="I4405" t="s">
        <v>4736</v>
      </c>
      <c r="J4405" t="s">
        <v>5191</v>
      </c>
      <c r="K4405" t="s">
        <v>4436</v>
      </c>
      <c r="L4405">
        <v>0</v>
      </c>
      <c r="M4405" s="452">
        <v>45733</v>
      </c>
      <c r="N4405">
        <v>33.29</v>
      </c>
      <c r="O4405">
        <v>33.04</v>
      </c>
      <c r="P4405">
        <v>33.29</v>
      </c>
    </row>
    <row r="4406" spans="1:16" x14ac:dyDescent="0.3">
      <c r="A4406">
        <v>31015</v>
      </c>
      <c r="B4406">
        <v>105</v>
      </c>
      <c r="C4406" t="s">
        <v>557</v>
      </c>
      <c r="D4406" s="452">
        <v>45778</v>
      </c>
      <c r="E4406">
        <v>19936</v>
      </c>
      <c r="F4406" t="s">
        <v>5508</v>
      </c>
      <c r="G4406">
        <v>2367</v>
      </c>
      <c r="H4406">
        <v>2.5299999999999998</v>
      </c>
      <c r="I4406" t="s">
        <v>4744</v>
      </c>
      <c r="J4406" t="s">
        <v>5191</v>
      </c>
      <c r="K4406" t="s">
        <v>4436</v>
      </c>
      <c r="L4406">
        <v>12.92</v>
      </c>
      <c r="M4406" s="452">
        <v>45763</v>
      </c>
      <c r="N4406">
        <v>12.92</v>
      </c>
      <c r="O4406">
        <v>12.92</v>
      </c>
      <c r="P4406">
        <v>32.69</v>
      </c>
    </row>
    <row r="4407" spans="1:16" x14ac:dyDescent="0.3">
      <c r="A4407">
        <v>31183</v>
      </c>
      <c r="B4407">
        <v>105</v>
      </c>
      <c r="C4407" t="s">
        <v>557</v>
      </c>
      <c r="D4407" s="452">
        <v>45778</v>
      </c>
      <c r="E4407">
        <v>18214</v>
      </c>
      <c r="F4407" t="s">
        <v>5039</v>
      </c>
      <c r="G4407">
        <v>3413</v>
      </c>
      <c r="H4407">
        <v>1</v>
      </c>
      <c r="I4407" t="s">
        <v>4805</v>
      </c>
      <c r="J4407" t="s">
        <v>5222</v>
      </c>
      <c r="K4407" t="s">
        <v>4436</v>
      </c>
      <c r="L4407">
        <v>0</v>
      </c>
      <c r="M4407" s="452">
        <v>45378</v>
      </c>
      <c r="N4407">
        <v>32.200000000000003</v>
      </c>
      <c r="O4407">
        <v>16.89</v>
      </c>
      <c r="P4407">
        <v>32.200000000000003</v>
      </c>
    </row>
    <row r="4408" spans="1:16" x14ac:dyDescent="0.3">
      <c r="A4408">
        <v>30943</v>
      </c>
      <c r="B4408">
        <v>105</v>
      </c>
      <c r="C4408" t="s">
        <v>557</v>
      </c>
      <c r="D4408" s="452">
        <v>45778</v>
      </c>
      <c r="E4408">
        <v>24056</v>
      </c>
      <c r="F4408" t="s">
        <v>4945</v>
      </c>
      <c r="G4408">
        <v>2228</v>
      </c>
      <c r="H4408">
        <v>1</v>
      </c>
      <c r="I4408" t="s">
        <v>4744</v>
      </c>
      <c r="J4408" t="s">
        <v>5191</v>
      </c>
      <c r="K4408" t="s">
        <v>4436</v>
      </c>
      <c r="L4408">
        <v>0</v>
      </c>
      <c r="M4408" s="452">
        <v>-693593</v>
      </c>
      <c r="N4408">
        <v>0</v>
      </c>
      <c r="O4408">
        <v>32.119999999999997</v>
      </c>
      <c r="P4408">
        <v>32.119999999999997</v>
      </c>
    </row>
    <row r="4409" spans="1:16" x14ac:dyDescent="0.3">
      <c r="A4409">
        <v>31204</v>
      </c>
      <c r="B4409">
        <v>105</v>
      </c>
      <c r="C4409" t="s">
        <v>557</v>
      </c>
      <c r="D4409" s="452">
        <v>45778</v>
      </c>
      <c r="E4409">
        <v>17838</v>
      </c>
      <c r="F4409" t="s">
        <v>4925</v>
      </c>
      <c r="G4409">
        <v>3712</v>
      </c>
      <c r="H4409">
        <v>2</v>
      </c>
      <c r="I4409" t="s">
        <v>4749</v>
      </c>
      <c r="J4409" t="s">
        <v>5222</v>
      </c>
      <c r="K4409" t="s">
        <v>4436</v>
      </c>
      <c r="L4409">
        <v>15.5</v>
      </c>
      <c r="M4409" s="452">
        <v>45771</v>
      </c>
      <c r="N4409">
        <v>15.5</v>
      </c>
      <c r="O4409">
        <v>15.5</v>
      </c>
      <c r="P4409">
        <v>31</v>
      </c>
    </row>
    <row r="4410" spans="1:16" x14ac:dyDescent="0.3">
      <c r="A4410">
        <v>31081</v>
      </c>
      <c r="B4410">
        <v>105</v>
      </c>
      <c r="C4410" t="s">
        <v>557</v>
      </c>
      <c r="D4410" s="452">
        <v>45778</v>
      </c>
      <c r="E4410">
        <v>19572</v>
      </c>
      <c r="F4410" t="s">
        <v>4989</v>
      </c>
      <c r="G4410">
        <v>2646</v>
      </c>
      <c r="H4410">
        <v>1.76</v>
      </c>
      <c r="I4410" t="s">
        <v>4744</v>
      </c>
      <c r="J4410" t="s">
        <v>5191</v>
      </c>
      <c r="K4410" t="s">
        <v>4436</v>
      </c>
      <c r="L4410">
        <v>17.3</v>
      </c>
      <c r="M4410" s="452">
        <v>45777</v>
      </c>
      <c r="N4410">
        <v>19.8</v>
      </c>
      <c r="O4410">
        <v>19.8</v>
      </c>
      <c r="P4410">
        <v>30.45</v>
      </c>
    </row>
    <row r="4411" spans="1:16" x14ac:dyDescent="0.3">
      <c r="A4411">
        <v>31040</v>
      </c>
      <c r="B4411">
        <v>105</v>
      </c>
      <c r="C4411" t="s">
        <v>557</v>
      </c>
      <c r="D4411" s="452">
        <v>45778</v>
      </c>
      <c r="E4411">
        <v>19647</v>
      </c>
      <c r="F4411" t="s">
        <v>5050</v>
      </c>
      <c r="G4411">
        <v>2591</v>
      </c>
      <c r="H4411">
        <v>1.95</v>
      </c>
      <c r="I4411" t="s">
        <v>4744</v>
      </c>
      <c r="J4411" t="s">
        <v>5191</v>
      </c>
      <c r="K4411" t="s">
        <v>4436</v>
      </c>
      <c r="L4411">
        <v>15.5</v>
      </c>
      <c r="M4411" s="452">
        <v>45771</v>
      </c>
      <c r="N4411">
        <v>16</v>
      </c>
      <c r="O4411">
        <v>0.81</v>
      </c>
      <c r="P4411">
        <v>30.22</v>
      </c>
    </row>
    <row r="4412" spans="1:16" x14ac:dyDescent="0.3">
      <c r="A4412">
        <v>31074</v>
      </c>
      <c r="B4412">
        <v>105</v>
      </c>
      <c r="C4412" t="s">
        <v>557</v>
      </c>
      <c r="D4412" s="452">
        <v>45778</v>
      </c>
      <c r="E4412">
        <v>19730</v>
      </c>
      <c r="F4412" t="s">
        <v>4961</v>
      </c>
      <c r="G4412">
        <v>2523</v>
      </c>
      <c r="H4412">
        <v>1</v>
      </c>
      <c r="I4412" t="s">
        <v>4744</v>
      </c>
      <c r="J4412" t="s">
        <v>5191</v>
      </c>
      <c r="K4412" t="s">
        <v>4436</v>
      </c>
      <c r="L4412">
        <v>30.11</v>
      </c>
      <c r="M4412" s="452">
        <v>45777</v>
      </c>
      <c r="N4412">
        <v>28.6</v>
      </c>
      <c r="O4412">
        <v>26.87</v>
      </c>
      <c r="P4412">
        <v>30.11</v>
      </c>
    </row>
    <row r="4413" spans="1:16" x14ac:dyDescent="0.3">
      <c r="A4413">
        <v>31046</v>
      </c>
      <c r="B4413">
        <v>105</v>
      </c>
      <c r="C4413" t="s">
        <v>557</v>
      </c>
      <c r="D4413" s="452">
        <v>45778</v>
      </c>
      <c r="E4413">
        <v>19634</v>
      </c>
      <c r="F4413" t="s">
        <v>4792</v>
      </c>
      <c r="G4413">
        <v>2602</v>
      </c>
      <c r="H4413">
        <v>5.4</v>
      </c>
      <c r="I4413" t="s">
        <v>4744</v>
      </c>
      <c r="J4413" t="s">
        <v>5191</v>
      </c>
      <c r="K4413" t="s">
        <v>4436</v>
      </c>
      <c r="L4413">
        <v>5.28</v>
      </c>
      <c r="M4413" s="452">
        <v>45776</v>
      </c>
      <c r="N4413">
        <v>5.5</v>
      </c>
      <c r="O4413">
        <v>4.5</v>
      </c>
      <c r="P4413">
        <v>28.51</v>
      </c>
    </row>
    <row r="4414" spans="1:16" x14ac:dyDescent="0.3">
      <c r="A4414">
        <v>31143</v>
      </c>
      <c r="B4414">
        <v>105</v>
      </c>
      <c r="C4414" t="s">
        <v>557</v>
      </c>
      <c r="D4414" s="452">
        <v>45778</v>
      </c>
      <c r="E4414">
        <v>18745</v>
      </c>
      <c r="F4414" t="s">
        <v>4892</v>
      </c>
      <c r="G4414">
        <v>3014</v>
      </c>
      <c r="H4414">
        <v>5</v>
      </c>
      <c r="I4414" t="s">
        <v>4736</v>
      </c>
      <c r="J4414" t="s">
        <v>5191</v>
      </c>
      <c r="K4414" t="s">
        <v>4436</v>
      </c>
      <c r="L4414">
        <v>5.69</v>
      </c>
      <c r="M4414" s="452">
        <v>45770</v>
      </c>
      <c r="N4414">
        <v>5.69</v>
      </c>
      <c r="O4414">
        <v>5.69</v>
      </c>
      <c r="P4414">
        <v>28.45</v>
      </c>
    </row>
    <row r="4415" spans="1:16" x14ac:dyDescent="0.3">
      <c r="A4415">
        <v>30951</v>
      </c>
      <c r="B4415">
        <v>105</v>
      </c>
      <c r="C4415" t="s">
        <v>557</v>
      </c>
      <c r="D4415" s="452">
        <v>45778</v>
      </c>
      <c r="E4415">
        <v>24110</v>
      </c>
      <c r="F4415" t="s">
        <v>5450</v>
      </c>
      <c r="G4415">
        <v>2322</v>
      </c>
      <c r="H4415">
        <v>1.65</v>
      </c>
      <c r="I4415" t="s">
        <v>4744</v>
      </c>
      <c r="J4415" t="s">
        <v>5191</v>
      </c>
      <c r="K4415" t="s">
        <v>4436</v>
      </c>
      <c r="L4415">
        <v>0</v>
      </c>
      <c r="M4415" s="452">
        <v>45478</v>
      </c>
      <c r="N4415">
        <v>17.2</v>
      </c>
      <c r="O4415">
        <v>28.6</v>
      </c>
      <c r="P4415">
        <v>28.38</v>
      </c>
    </row>
    <row r="4416" spans="1:16" x14ac:dyDescent="0.3">
      <c r="A4416">
        <v>30986</v>
      </c>
      <c r="B4416">
        <v>105</v>
      </c>
      <c r="C4416" t="s">
        <v>557</v>
      </c>
      <c r="D4416" s="452">
        <v>45778</v>
      </c>
      <c r="E4416">
        <v>20661</v>
      </c>
      <c r="F4416" t="s">
        <v>5012</v>
      </c>
      <c r="G4416">
        <v>2110</v>
      </c>
      <c r="H4416">
        <v>3</v>
      </c>
      <c r="I4416" t="s">
        <v>4736</v>
      </c>
      <c r="J4416" t="s">
        <v>5191</v>
      </c>
      <c r="K4416" t="s">
        <v>4436</v>
      </c>
      <c r="L4416">
        <v>9.14</v>
      </c>
      <c r="M4416" s="452">
        <v>45763</v>
      </c>
      <c r="N4416">
        <v>9.16</v>
      </c>
      <c r="O4416">
        <v>8.99</v>
      </c>
      <c r="P4416">
        <v>27.42</v>
      </c>
    </row>
    <row r="4417" spans="1:16" x14ac:dyDescent="0.3">
      <c r="A4417">
        <v>31103</v>
      </c>
      <c r="B4417">
        <v>105</v>
      </c>
      <c r="C4417" t="s">
        <v>557</v>
      </c>
      <c r="D4417" s="452">
        <v>45778</v>
      </c>
      <c r="E4417">
        <v>19241</v>
      </c>
      <c r="F4417" t="s">
        <v>4890</v>
      </c>
      <c r="G4417">
        <v>2785</v>
      </c>
      <c r="H4417">
        <v>4</v>
      </c>
      <c r="I4417" t="s">
        <v>4736</v>
      </c>
      <c r="J4417" t="s">
        <v>5191</v>
      </c>
      <c r="K4417" t="s">
        <v>4436</v>
      </c>
      <c r="L4417">
        <v>6.8</v>
      </c>
      <c r="M4417" s="452">
        <v>45763</v>
      </c>
      <c r="N4417">
        <v>6.8</v>
      </c>
      <c r="O4417">
        <v>6.8</v>
      </c>
      <c r="P4417">
        <v>27.2</v>
      </c>
    </row>
    <row r="4418" spans="1:16" x14ac:dyDescent="0.3">
      <c r="A4418">
        <v>30967</v>
      </c>
      <c r="B4418">
        <v>105</v>
      </c>
      <c r="C4418" t="s">
        <v>557</v>
      </c>
      <c r="D4418" s="452">
        <v>45778</v>
      </c>
      <c r="E4418">
        <v>23698</v>
      </c>
      <c r="F4418" t="s">
        <v>5453</v>
      </c>
      <c r="G4418">
        <v>2188</v>
      </c>
      <c r="H4418">
        <v>0.47</v>
      </c>
      <c r="I4418" t="s">
        <v>4744</v>
      </c>
      <c r="J4418" t="s">
        <v>5191</v>
      </c>
      <c r="K4418" t="s">
        <v>4436</v>
      </c>
      <c r="L4418">
        <v>0</v>
      </c>
      <c r="M4418" s="452">
        <v>45559</v>
      </c>
      <c r="N4418">
        <v>56.5</v>
      </c>
      <c r="O4418">
        <v>44.22</v>
      </c>
      <c r="P4418">
        <v>26.56</v>
      </c>
    </row>
    <row r="4419" spans="1:16" x14ac:dyDescent="0.3">
      <c r="A4419">
        <v>31035</v>
      </c>
      <c r="B4419">
        <v>105</v>
      </c>
      <c r="C4419" t="s">
        <v>557</v>
      </c>
      <c r="D4419" s="452">
        <v>45778</v>
      </c>
      <c r="E4419">
        <v>19505</v>
      </c>
      <c r="F4419" t="s">
        <v>4872</v>
      </c>
      <c r="G4419">
        <v>2706</v>
      </c>
      <c r="H4419">
        <v>2.4500000000000002</v>
      </c>
      <c r="I4419" t="s">
        <v>4744</v>
      </c>
      <c r="J4419" t="s">
        <v>5191</v>
      </c>
      <c r="K4419" t="s">
        <v>4436</v>
      </c>
      <c r="L4419">
        <v>10.7</v>
      </c>
      <c r="M4419" s="452">
        <v>45776</v>
      </c>
      <c r="N4419">
        <v>12.5</v>
      </c>
      <c r="O4419">
        <v>3.91</v>
      </c>
      <c r="P4419">
        <v>26.22</v>
      </c>
    </row>
    <row r="4420" spans="1:16" x14ac:dyDescent="0.3">
      <c r="A4420">
        <v>30960</v>
      </c>
      <c r="B4420">
        <v>105</v>
      </c>
      <c r="C4420" t="s">
        <v>557</v>
      </c>
      <c r="D4420" s="452">
        <v>45778</v>
      </c>
      <c r="E4420">
        <v>20257</v>
      </c>
      <c r="F4420" t="s">
        <v>5542</v>
      </c>
      <c r="G4420">
        <v>2239</v>
      </c>
      <c r="H4420">
        <v>1</v>
      </c>
      <c r="I4420" t="s">
        <v>4738</v>
      </c>
      <c r="J4420" t="s">
        <v>5191</v>
      </c>
      <c r="K4420" t="s">
        <v>4436</v>
      </c>
      <c r="L4420">
        <v>0</v>
      </c>
      <c r="M4420" s="452">
        <v>-693593</v>
      </c>
      <c r="N4420">
        <v>0</v>
      </c>
      <c r="O4420">
        <v>25</v>
      </c>
      <c r="P4420">
        <v>26</v>
      </c>
    </row>
    <row r="4421" spans="1:16" x14ac:dyDescent="0.3">
      <c r="A4421">
        <v>30942</v>
      </c>
      <c r="B4421">
        <v>105</v>
      </c>
      <c r="C4421" t="s">
        <v>557</v>
      </c>
      <c r="D4421" s="452">
        <v>45778</v>
      </c>
      <c r="E4421">
        <v>20295</v>
      </c>
      <c r="F4421" t="s">
        <v>4881</v>
      </c>
      <c r="G4421">
        <v>2226</v>
      </c>
      <c r="H4421">
        <v>2</v>
      </c>
      <c r="I4421" t="s">
        <v>4736</v>
      </c>
      <c r="J4421" t="s">
        <v>5191</v>
      </c>
      <c r="K4421" t="s">
        <v>4436</v>
      </c>
      <c r="L4421">
        <v>12.9</v>
      </c>
      <c r="M4421" s="452">
        <v>45757</v>
      </c>
      <c r="N4421">
        <v>12.9</v>
      </c>
      <c r="O4421">
        <v>11.89</v>
      </c>
      <c r="P4421">
        <v>25.8</v>
      </c>
    </row>
    <row r="4422" spans="1:16" x14ac:dyDescent="0.3">
      <c r="A4422">
        <v>30969</v>
      </c>
      <c r="B4422">
        <v>105</v>
      </c>
      <c r="C4422" t="s">
        <v>557</v>
      </c>
      <c r="D4422" s="452">
        <v>45778</v>
      </c>
      <c r="E4422">
        <v>20390</v>
      </c>
      <c r="F4422" t="s">
        <v>5543</v>
      </c>
      <c r="G4422">
        <v>2194</v>
      </c>
      <c r="H4422">
        <v>1.24</v>
      </c>
      <c r="I4422" t="s">
        <v>4738</v>
      </c>
      <c r="J4422" t="s">
        <v>5191</v>
      </c>
      <c r="K4422" t="s">
        <v>4436</v>
      </c>
      <c r="L4422">
        <v>0</v>
      </c>
      <c r="M4422" s="452">
        <v>45434</v>
      </c>
      <c r="N4422">
        <v>20.8</v>
      </c>
      <c r="O4422">
        <v>20.399999999999999</v>
      </c>
      <c r="P4422">
        <v>25.79</v>
      </c>
    </row>
    <row r="4423" spans="1:16" x14ac:dyDescent="0.3">
      <c r="A4423">
        <v>30932</v>
      </c>
      <c r="B4423">
        <v>105</v>
      </c>
      <c r="C4423" t="s">
        <v>557</v>
      </c>
      <c r="D4423" s="452">
        <v>45778</v>
      </c>
      <c r="E4423">
        <v>21062</v>
      </c>
      <c r="F4423" t="s">
        <v>5442</v>
      </c>
      <c r="G4423">
        <v>1997</v>
      </c>
      <c r="H4423">
        <v>1.7</v>
      </c>
      <c r="I4423" t="s">
        <v>4805</v>
      </c>
      <c r="J4423" t="s">
        <v>5191</v>
      </c>
      <c r="K4423" t="s">
        <v>4436</v>
      </c>
      <c r="L4423">
        <v>14.9</v>
      </c>
      <c r="M4423" s="452">
        <v>45756</v>
      </c>
      <c r="N4423">
        <v>14.9</v>
      </c>
      <c r="O4423">
        <v>14.85</v>
      </c>
      <c r="P4423">
        <v>25.33</v>
      </c>
    </row>
    <row r="4424" spans="1:16" x14ac:dyDescent="0.3">
      <c r="A4424">
        <v>31037</v>
      </c>
      <c r="B4424">
        <v>105</v>
      </c>
      <c r="C4424" t="s">
        <v>557</v>
      </c>
      <c r="D4424" s="452">
        <v>45778</v>
      </c>
      <c r="E4424">
        <v>19498</v>
      </c>
      <c r="F4424" t="s">
        <v>5487</v>
      </c>
      <c r="G4424">
        <v>2712</v>
      </c>
      <c r="H4424">
        <v>2.15</v>
      </c>
      <c r="I4424" t="s">
        <v>4744</v>
      </c>
      <c r="J4424" t="s">
        <v>5191</v>
      </c>
      <c r="K4424" t="s">
        <v>4436</v>
      </c>
      <c r="L4424">
        <v>11.4</v>
      </c>
      <c r="M4424" s="452">
        <v>45776</v>
      </c>
      <c r="N4424">
        <v>10.4</v>
      </c>
      <c r="O4424">
        <v>10.4</v>
      </c>
      <c r="P4424">
        <v>24.51</v>
      </c>
    </row>
    <row r="4425" spans="1:16" x14ac:dyDescent="0.3">
      <c r="A4425">
        <v>31006</v>
      </c>
      <c r="B4425">
        <v>105</v>
      </c>
      <c r="C4425" t="s">
        <v>557</v>
      </c>
      <c r="D4425" s="452">
        <v>45778</v>
      </c>
      <c r="E4425">
        <v>19962</v>
      </c>
      <c r="F4425" t="s">
        <v>5502</v>
      </c>
      <c r="G4425">
        <v>2356</v>
      </c>
      <c r="H4425">
        <v>1</v>
      </c>
      <c r="I4425" t="s">
        <v>4888</v>
      </c>
      <c r="J4425" t="s">
        <v>5191</v>
      </c>
      <c r="K4425" t="s">
        <v>4436</v>
      </c>
      <c r="L4425">
        <v>24.36</v>
      </c>
      <c r="M4425" s="452">
        <v>45757</v>
      </c>
      <c r="N4425">
        <v>24.11</v>
      </c>
      <c r="O4425">
        <v>24.11</v>
      </c>
      <c r="P4425">
        <v>24.36</v>
      </c>
    </row>
    <row r="4426" spans="1:16" x14ac:dyDescent="0.3">
      <c r="A4426">
        <v>31095</v>
      </c>
      <c r="B4426">
        <v>105</v>
      </c>
      <c r="C4426" t="s">
        <v>557</v>
      </c>
      <c r="D4426" s="452">
        <v>45778</v>
      </c>
      <c r="E4426">
        <v>19546</v>
      </c>
      <c r="F4426" t="s">
        <v>5527</v>
      </c>
      <c r="G4426">
        <v>2670</v>
      </c>
      <c r="H4426">
        <v>1.41</v>
      </c>
      <c r="I4426" t="s">
        <v>4744</v>
      </c>
      <c r="J4426" t="s">
        <v>5191</v>
      </c>
      <c r="K4426" t="s">
        <v>4436</v>
      </c>
      <c r="L4426">
        <v>17.05</v>
      </c>
      <c r="M4426" s="452">
        <v>45772</v>
      </c>
      <c r="N4426">
        <v>18.2</v>
      </c>
      <c r="O4426">
        <v>18.100000000000001</v>
      </c>
      <c r="P4426">
        <v>24.04</v>
      </c>
    </row>
    <row r="4427" spans="1:16" x14ac:dyDescent="0.3">
      <c r="A4427">
        <v>31027</v>
      </c>
      <c r="B4427">
        <v>105</v>
      </c>
      <c r="C4427" t="s">
        <v>557</v>
      </c>
      <c r="D4427" s="452">
        <v>45778</v>
      </c>
      <c r="E4427">
        <v>20961</v>
      </c>
      <c r="F4427" t="s">
        <v>5026</v>
      </c>
      <c r="G4427">
        <v>2015</v>
      </c>
      <c r="H4427">
        <v>3</v>
      </c>
      <c r="I4427" t="s">
        <v>4736</v>
      </c>
      <c r="J4427" t="s">
        <v>5191</v>
      </c>
      <c r="K4427" t="s">
        <v>4436</v>
      </c>
      <c r="L4427">
        <v>0</v>
      </c>
      <c r="M4427" s="452">
        <v>45653</v>
      </c>
      <c r="N4427">
        <v>7.98</v>
      </c>
      <c r="O4427">
        <v>6.78</v>
      </c>
      <c r="P4427">
        <v>23.94</v>
      </c>
    </row>
    <row r="4428" spans="1:16" x14ac:dyDescent="0.3">
      <c r="A4428">
        <v>31094</v>
      </c>
      <c r="B4428">
        <v>105</v>
      </c>
      <c r="C4428" t="s">
        <v>557</v>
      </c>
      <c r="D4428" s="452">
        <v>45778</v>
      </c>
      <c r="E4428">
        <v>25472</v>
      </c>
      <c r="F4428" t="s">
        <v>5544</v>
      </c>
      <c r="G4428">
        <v>6126</v>
      </c>
      <c r="H4428">
        <v>0.6</v>
      </c>
      <c r="I4428" t="s">
        <v>4744</v>
      </c>
      <c r="J4428" t="s">
        <v>5191</v>
      </c>
      <c r="K4428" t="s">
        <v>4436</v>
      </c>
      <c r="L4428">
        <v>39.07</v>
      </c>
      <c r="M4428" s="452">
        <v>45772</v>
      </c>
      <c r="N4428">
        <v>55</v>
      </c>
      <c r="O4428">
        <v>55</v>
      </c>
      <c r="P4428">
        <v>23.44</v>
      </c>
    </row>
    <row r="4429" spans="1:16" x14ac:dyDescent="0.3">
      <c r="A4429">
        <v>31098</v>
      </c>
      <c r="B4429">
        <v>105</v>
      </c>
      <c r="C4429" t="s">
        <v>557</v>
      </c>
      <c r="D4429" s="452">
        <v>45778</v>
      </c>
      <c r="E4429">
        <v>19710</v>
      </c>
      <c r="F4429" t="s">
        <v>4963</v>
      </c>
      <c r="G4429">
        <v>2540</v>
      </c>
      <c r="H4429">
        <v>1</v>
      </c>
      <c r="I4429" t="s">
        <v>4738</v>
      </c>
      <c r="J4429" t="s">
        <v>5191</v>
      </c>
      <c r="K4429" t="s">
        <v>4436</v>
      </c>
      <c r="L4429">
        <v>23.4</v>
      </c>
      <c r="M4429" s="452">
        <v>45757</v>
      </c>
      <c r="N4429">
        <v>23.4</v>
      </c>
      <c r="O4429">
        <v>23.9</v>
      </c>
      <c r="P4429">
        <v>23.4</v>
      </c>
    </row>
    <row r="4430" spans="1:16" x14ac:dyDescent="0.3">
      <c r="A4430">
        <v>31073</v>
      </c>
      <c r="B4430">
        <v>105</v>
      </c>
      <c r="C4430" t="s">
        <v>557</v>
      </c>
      <c r="D4430" s="452">
        <v>45778</v>
      </c>
      <c r="E4430">
        <v>19600</v>
      </c>
      <c r="F4430" t="s">
        <v>5499</v>
      </c>
      <c r="G4430">
        <v>2629</v>
      </c>
      <c r="H4430">
        <v>1.61</v>
      </c>
      <c r="I4430" t="s">
        <v>4744</v>
      </c>
      <c r="J4430" t="s">
        <v>5191</v>
      </c>
      <c r="K4430" t="s">
        <v>4436</v>
      </c>
      <c r="L4430">
        <v>14.5</v>
      </c>
      <c r="M4430" s="452">
        <v>45772</v>
      </c>
      <c r="N4430">
        <v>10</v>
      </c>
      <c r="O4430">
        <v>11</v>
      </c>
      <c r="P4430">
        <v>23.35</v>
      </c>
    </row>
    <row r="4431" spans="1:16" x14ac:dyDescent="0.3">
      <c r="A4431">
        <v>31041</v>
      </c>
      <c r="B4431">
        <v>105</v>
      </c>
      <c r="C4431" t="s">
        <v>557</v>
      </c>
      <c r="D4431" s="452">
        <v>45778</v>
      </c>
      <c r="E4431">
        <v>19784</v>
      </c>
      <c r="F4431" t="s">
        <v>4873</v>
      </c>
      <c r="G4431">
        <v>2474</v>
      </c>
      <c r="H4431">
        <v>2.75</v>
      </c>
      <c r="I4431" t="s">
        <v>4744</v>
      </c>
      <c r="J4431" t="s">
        <v>5191</v>
      </c>
      <c r="K4431" t="s">
        <v>4436</v>
      </c>
      <c r="L4431">
        <v>8.36</v>
      </c>
      <c r="M4431" s="452">
        <v>45772</v>
      </c>
      <c r="N4431">
        <v>8.5</v>
      </c>
      <c r="O4431">
        <v>8</v>
      </c>
      <c r="P4431">
        <v>22.99</v>
      </c>
    </row>
    <row r="4432" spans="1:16" x14ac:dyDescent="0.3">
      <c r="A4432">
        <v>30935</v>
      </c>
      <c r="B4432">
        <v>105</v>
      </c>
      <c r="C4432" t="s">
        <v>557</v>
      </c>
      <c r="D4432" s="452">
        <v>45778</v>
      </c>
      <c r="E4432">
        <v>21085</v>
      </c>
      <c r="F4432" t="s">
        <v>5066</v>
      </c>
      <c r="G4432">
        <v>1989</v>
      </c>
      <c r="H4432">
        <v>1</v>
      </c>
      <c r="I4432" t="s">
        <v>4749</v>
      </c>
      <c r="J4432" t="s">
        <v>5191</v>
      </c>
      <c r="K4432" t="s">
        <v>4436</v>
      </c>
      <c r="L4432">
        <v>0</v>
      </c>
      <c r="M4432" s="452">
        <v>45733</v>
      </c>
      <c r="N4432">
        <v>22.56</v>
      </c>
      <c r="O4432">
        <v>20.47</v>
      </c>
      <c r="P4432">
        <v>22.56</v>
      </c>
    </row>
    <row r="4433" spans="1:16" x14ac:dyDescent="0.3">
      <c r="A4433">
        <v>30981</v>
      </c>
      <c r="B4433">
        <v>105</v>
      </c>
      <c r="C4433" t="s">
        <v>557</v>
      </c>
      <c r="D4433" s="452">
        <v>45778</v>
      </c>
      <c r="E4433">
        <v>20219</v>
      </c>
      <c r="F4433" t="s">
        <v>5445</v>
      </c>
      <c r="G4433">
        <v>2250</v>
      </c>
      <c r="H4433">
        <v>1.03</v>
      </c>
      <c r="I4433" t="s">
        <v>4738</v>
      </c>
      <c r="J4433" t="s">
        <v>5191</v>
      </c>
      <c r="K4433" t="s">
        <v>4436</v>
      </c>
      <c r="L4433">
        <v>21.9</v>
      </c>
      <c r="M4433" s="452">
        <v>45770</v>
      </c>
      <c r="N4433">
        <v>21.9</v>
      </c>
      <c r="O4433">
        <v>21.9</v>
      </c>
      <c r="P4433">
        <v>22.56</v>
      </c>
    </row>
    <row r="4434" spans="1:16" x14ac:dyDescent="0.3">
      <c r="A4434">
        <v>30939</v>
      </c>
      <c r="B4434">
        <v>105</v>
      </c>
      <c r="C4434" t="s">
        <v>557</v>
      </c>
      <c r="D4434" s="452">
        <v>45778</v>
      </c>
      <c r="E4434">
        <v>24046</v>
      </c>
      <c r="F4434" t="s">
        <v>5454</v>
      </c>
      <c r="G4434">
        <v>2315</v>
      </c>
      <c r="H4434">
        <v>0.28999999999999998</v>
      </c>
      <c r="I4434" t="s">
        <v>4744</v>
      </c>
      <c r="J4434" t="s">
        <v>5191</v>
      </c>
      <c r="K4434" t="s">
        <v>4436</v>
      </c>
      <c r="L4434">
        <v>0</v>
      </c>
      <c r="M4434" s="452">
        <v>-693593</v>
      </c>
      <c r="N4434">
        <v>0</v>
      </c>
      <c r="O4434">
        <v>75</v>
      </c>
      <c r="P4434">
        <v>21.75</v>
      </c>
    </row>
    <row r="4435" spans="1:16" x14ac:dyDescent="0.3">
      <c r="A4435">
        <v>31278</v>
      </c>
      <c r="B4435">
        <v>105</v>
      </c>
      <c r="C4435" t="s">
        <v>557</v>
      </c>
      <c r="D4435" s="452">
        <v>45778</v>
      </c>
      <c r="E4435">
        <v>25138</v>
      </c>
      <c r="F4435" t="s">
        <v>5545</v>
      </c>
      <c r="G4435">
        <v>5916</v>
      </c>
      <c r="H4435">
        <v>1.45</v>
      </c>
      <c r="I4435" t="s">
        <v>4744</v>
      </c>
      <c r="J4435" t="s">
        <v>5191</v>
      </c>
      <c r="K4435" t="s">
        <v>4436</v>
      </c>
      <c r="L4435">
        <v>0</v>
      </c>
      <c r="M4435" s="452">
        <v>-693593</v>
      </c>
      <c r="N4435">
        <v>0</v>
      </c>
      <c r="O4435">
        <v>0</v>
      </c>
      <c r="P4435">
        <v>21.61</v>
      </c>
    </row>
    <row r="4436" spans="1:16" x14ac:dyDescent="0.3">
      <c r="A4436">
        <v>31226</v>
      </c>
      <c r="B4436">
        <v>105</v>
      </c>
      <c r="C4436" t="s">
        <v>557</v>
      </c>
      <c r="D4436" s="452">
        <v>45778</v>
      </c>
      <c r="E4436">
        <v>17721</v>
      </c>
      <c r="F4436" t="s">
        <v>4977</v>
      </c>
      <c r="G4436">
        <v>3818</v>
      </c>
      <c r="H4436">
        <v>2</v>
      </c>
      <c r="I4436" t="s">
        <v>4805</v>
      </c>
      <c r="J4436" t="s">
        <v>5222</v>
      </c>
      <c r="K4436" t="s">
        <v>4436</v>
      </c>
      <c r="L4436">
        <v>10.79</v>
      </c>
      <c r="M4436" s="452">
        <v>45757</v>
      </c>
      <c r="N4436">
        <v>10.79</v>
      </c>
      <c r="O4436">
        <v>10.26</v>
      </c>
      <c r="P4436">
        <v>21.58</v>
      </c>
    </row>
    <row r="4437" spans="1:16" x14ac:dyDescent="0.3">
      <c r="A4437">
        <v>31276</v>
      </c>
      <c r="B4437">
        <v>105</v>
      </c>
      <c r="C4437" t="s">
        <v>557</v>
      </c>
      <c r="D4437" s="452">
        <v>45778</v>
      </c>
      <c r="E4437">
        <v>24186</v>
      </c>
      <c r="F4437" t="s">
        <v>4995</v>
      </c>
      <c r="G4437">
        <v>2332</v>
      </c>
      <c r="H4437">
        <v>1.66</v>
      </c>
      <c r="I4437" t="s">
        <v>4744</v>
      </c>
      <c r="J4437" t="s">
        <v>5191</v>
      </c>
      <c r="K4437" t="s">
        <v>4436</v>
      </c>
      <c r="L4437">
        <v>0</v>
      </c>
      <c r="M4437" s="452">
        <v>45706</v>
      </c>
      <c r="N4437">
        <v>13</v>
      </c>
      <c r="O4437">
        <v>12</v>
      </c>
      <c r="P4437">
        <v>21.58</v>
      </c>
    </row>
    <row r="4438" spans="1:16" x14ac:dyDescent="0.3">
      <c r="A4438">
        <v>30989</v>
      </c>
      <c r="B4438">
        <v>105</v>
      </c>
      <c r="C4438" t="s">
        <v>557</v>
      </c>
      <c r="D4438" s="452">
        <v>45778</v>
      </c>
      <c r="E4438">
        <v>24323</v>
      </c>
      <c r="F4438" t="s">
        <v>4844</v>
      </c>
      <c r="G4438">
        <v>2262</v>
      </c>
      <c r="H4438">
        <v>1.24</v>
      </c>
      <c r="I4438" t="s">
        <v>4744</v>
      </c>
      <c r="J4438" t="s">
        <v>5191</v>
      </c>
      <c r="K4438" t="s">
        <v>4436</v>
      </c>
      <c r="L4438">
        <v>0</v>
      </c>
      <c r="M4438" s="452">
        <v>45741</v>
      </c>
      <c r="N4438">
        <v>17.05</v>
      </c>
      <c r="O4438">
        <v>17.05</v>
      </c>
      <c r="P4438">
        <v>21.14</v>
      </c>
    </row>
    <row r="4439" spans="1:16" x14ac:dyDescent="0.3">
      <c r="A4439">
        <v>31013</v>
      </c>
      <c r="B4439">
        <v>105</v>
      </c>
      <c r="C4439" t="s">
        <v>557</v>
      </c>
      <c r="D4439" s="452">
        <v>45778</v>
      </c>
      <c r="E4439">
        <v>17032</v>
      </c>
      <c r="F4439" t="s">
        <v>5509</v>
      </c>
      <c r="G4439">
        <v>2366</v>
      </c>
      <c r="H4439">
        <v>1.63</v>
      </c>
      <c r="I4439" t="s">
        <v>4744</v>
      </c>
      <c r="J4439" t="s">
        <v>5191</v>
      </c>
      <c r="K4439" t="s">
        <v>4436</v>
      </c>
      <c r="L4439">
        <v>12.94</v>
      </c>
      <c r="M4439" s="452">
        <v>45757</v>
      </c>
      <c r="N4439">
        <v>12.94</v>
      </c>
      <c r="O4439">
        <v>22.1</v>
      </c>
      <c r="P4439">
        <v>21.09</v>
      </c>
    </row>
    <row r="4440" spans="1:16" x14ac:dyDescent="0.3">
      <c r="A4440">
        <v>31070</v>
      </c>
      <c r="B4440">
        <v>105</v>
      </c>
      <c r="C4440" t="s">
        <v>557</v>
      </c>
      <c r="D4440" s="452">
        <v>45778</v>
      </c>
      <c r="E4440">
        <v>19741</v>
      </c>
      <c r="F4440" t="s">
        <v>4916</v>
      </c>
      <c r="G4440">
        <v>2512</v>
      </c>
      <c r="H4440">
        <v>2.6</v>
      </c>
      <c r="I4440" t="s">
        <v>4744</v>
      </c>
      <c r="J4440" t="s">
        <v>5191</v>
      </c>
      <c r="K4440" t="s">
        <v>4436</v>
      </c>
      <c r="L4440">
        <v>8.06</v>
      </c>
      <c r="M4440" s="452">
        <v>45776</v>
      </c>
      <c r="N4440">
        <v>7.5</v>
      </c>
      <c r="O4440">
        <v>7.5</v>
      </c>
      <c r="P4440">
        <v>20.96</v>
      </c>
    </row>
    <row r="4441" spans="1:16" x14ac:dyDescent="0.3">
      <c r="A4441">
        <v>31005</v>
      </c>
      <c r="B4441">
        <v>105</v>
      </c>
      <c r="C4441" t="s">
        <v>557</v>
      </c>
      <c r="D4441" s="452">
        <v>45778</v>
      </c>
      <c r="E4441">
        <v>19969</v>
      </c>
      <c r="F4441" t="s">
        <v>5018</v>
      </c>
      <c r="G4441">
        <v>2354</v>
      </c>
      <c r="H4441">
        <v>2</v>
      </c>
      <c r="I4441" t="s">
        <v>4888</v>
      </c>
      <c r="J4441" t="s">
        <v>5191</v>
      </c>
      <c r="K4441" t="s">
        <v>4436</v>
      </c>
      <c r="L4441">
        <v>10.050000000000001</v>
      </c>
      <c r="M4441" s="452">
        <v>45777</v>
      </c>
      <c r="N4441">
        <v>10.050000000000001</v>
      </c>
      <c r="O4441">
        <v>10.050000000000001</v>
      </c>
      <c r="P4441">
        <v>20.100000000000001</v>
      </c>
    </row>
    <row r="4442" spans="1:16" x14ac:dyDescent="0.3">
      <c r="A4442">
        <v>31028</v>
      </c>
      <c r="B4442">
        <v>105</v>
      </c>
      <c r="C4442" t="s">
        <v>557</v>
      </c>
      <c r="D4442" s="452">
        <v>45778</v>
      </c>
      <c r="E4442">
        <v>20955</v>
      </c>
      <c r="F4442" t="s">
        <v>4959</v>
      </c>
      <c r="G4442">
        <v>2019</v>
      </c>
      <c r="H4442">
        <v>2</v>
      </c>
      <c r="I4442" t="s">
        <v>4805</v>
      </c>
      <c r="J4442" t="s">
        <v>5191</v>
      </c>
      <c r="K4442" t="s">
        <v>4436</v>
      </c>
      <c r="L4442">
        <v>0</v>
      </c>
      <c r="M4442" s="452">
        <v>45737</v>
      </c>
      <c r="N4442">
        <v>9.99</v>
      </c>
      <c r="O4442">
        <v>10.8</v>
      </c>
      <c r="P4442">
        <v>19.98</v>
      </c>
    </row>
    <row r="4443" spans="1:16" x14ac:dyDescent="0.3">
      <c r="A4443">
        <v>31031</v>
      </c>
      <c r="B4443">
        <v>105</v>
      </c>
      <c r="C4443" t="s">
        <v>557</v>
      </c>
      <c r="D4443" s="452">
        <v>45778</v>
      </c>
      <c r="E4443">
        <v>19654</v>
      </c>
      <c r="F4443" t="s">
        <v>5099</v>
      </c>
      <c r="G4443">
        <v>2586</v>
      </c>
      <c r="H4443">
        <v>4.25</v>
      </c>
      <c r="I4443" t="s">
        <v>4744</v>
      </c>
      <c r="J4443" t="s">
        <v>5191</v>
      </c>
      <c r="K4443" t="s">
        <v>4436</v>
      </c>
      <c r="L4443">
        <v>4.7</v>
      </c>
      <c r="M4443" s="452">
        <v>45777</v>
      </c>
      <c r="N4443">
        <v>3.84</v>
      </c>
      <c r="O4443">
        <v>3.84</v>
      </c>
      <c r="P4443">
        <v>19.98</v>
      </c>
    </row>
    <row r="4444" spans="1:16" x14ac:dyDescent="0.3">
      <c r="A4444">
        <v>31023</v>
      </c>
      <c r="B4444">
        <v>105</v>
      </c>
      <c r="C4444" t="s">
        <v>557</v>
      </c>
      <c r="D4444" s="452">
        <v>45778</v>
      </c>
      <c r="E4444">
        <v>20794</v>
      </c>
      <c r="F4444" t="s">
        <v>5023</v>
      </c>
      <c r="G4444">
        <v>2076</v>
      </c>
      <c r="H4444">
        <v>2</v>
      </c>
      <c r="I4444" t="s">
        <v>4744</v>
      </c>
      <c r="J4444" t="s">
        <v>5191</v>
      </c>
      <c r="K4444" t="s">
        <v>4436</v>
      </c>
      <c r="L4444">
        <v>9.6</v>
      </c>
      <c r="M4444" s="452">
        <v>45756</v>
      </c>
      <c r="N4444">
        <v>9.6</v>
      </c>
      <c r="O4444">
        <v>9.6</v>
      </c>
      <c r="P4444">
        <v>19.2</v>
      </c>
    </row>
    <row r="4445" spans="1:16" x14ac:dyDescent="0.3">
      <c r="A4445">
        <v>31067</v>
      </c>
      <c r="B4445">
        <v>105</v>
      </c>
      <c r="C4445" t="s">
        <v>557</v>
      </c>
      <c r="D4445" s="452">
        <v>45778</v>
      </c>
      <c r="E4445">
        <v>19743</v>
      </c>
      <c r="F4445" t="s">
        <v>5047</v>
      </c>
      <c r="G4445">
        <v>2510</v>
      </c>
      <c r="H4445">
        <v>1.35</v>
      </c>
      <c r="I4445" t="s">
        <v>4744</v>
      </c>
      <c r="J4445" t="s">
        <v>5191</v>
      </c>
      <c r="K4445" t="s">
        <v>4436</v>
      </c>
      <c r="L4445">
        <v>14.09</v>
      </c>
      <c r="M4445" s="452">
        <v>45777</v>
      </c>
      <c r="N4445">
        <v>14.5</v>
      </c>
      <c r="O4445">
        <v>14.5</v>
      </c>
      <c r="P4445">
        <v>19.02</v>
      </c>
    </row>
    <row r="4446" spans="1:16" x14ac:dyDescent="0.3">
      <c r="A4446">
        <v>31068</v>
      </c>
      <c r="B4446">
        <v>105</v>
      </c>
      <c r="C4446" t="s">
        <v>557</v>
      </c>
      <c r="D4446" s="452">
        <v>45778</v>
      </c>
      <c r="E4446">
        <v>19742</v>
      </c>
      <c r="F4446" t="s">
        <v>4900</v>
      </c>
      <c r="G4446">
        <v>2511</v>
      </c>
      <c r="H4446">
        <v>2</v>
      </c>
      <c r="I4446" t="s">
        <v>4744</v>
      </c>
      <c r="J4446" t="s">
        <v>5191</v>
      </c>
      <c r="K4446" t="s">
        <v>4436</v>
      </c>
      <c r="L4446">
        <v>9.5</v>
      </c>
      <c r="M4446" s="452">
        <v>45772</v>
      </c>
      <c r="N4446">
        <v>10</v>
      </c>
      <c r="O4446">
        <v>10</v>
      </c>
      <c r="P4446">
        <v>19</v>
      </c>
    </row>
    <row r="4447" spans="1:16" x14ac:dyDescent="0.3">
      <c r="A4447">
        <v>31114</v>
      </c>
      <c r="B4447">
        <v>105</v>
      </c>
      <c r="C4447" t="s">
        <v>557</v>
      </c>
      <c r="D4447" s="452">
        <v>45778</v>
      </c>
      <c r="E4447">
        <v>24674</v>
      </c>
      <c r="F4447" t="s">
        <v>5060</v>
      </c>
      <c r="G4447">
        <v>5709</v>
      </c>
      <c r="H4447">
        <v>23</v>
      </c>
      <c r="I4447" t="s">
        <v>4744</v>
      </c>
      <c r="J4447" t="s">
        <v>5191</v>
      </c>
      <c r="K4447" t="s">
        <v>4436</v>
      </c>
      <c r="L4447">
        <v>0</v>
      </c>
      <c r="M4447" s="452">
        <v>-693593</v>
      </c>
      <c r="N4447">
        <v>0</v>
      </c>
      <c r="O4447">
        <v>0.8</v>
      </c>
      <c r="P4447">
        <v>18.399999999999999</v>
      </c>
    </row>
    <row r="4448" spans="1:16" x14ac:dyDescent="0.3">
      <c r="A4448">
        <v>30949</v>
      </c>
      <c r="B4448">
        <v>105</v>
      </c>
      <c r="C4448" t="s">
        <v>557</v>
      </c>
      <c r="D4448" s="452">
        <v>45778</v>
      </c>
      <c r="E4448">
        <v>20760</v>
      </c>
      <c r="F4448" t="s">
        <v>5505</v>
      </c>
      <c r="G4448">
        <v>2083</v>
      </c>
      <c r="H4448">
        <v>2</v>
      </c>
      <c r="I4448" t="s">
        <v>4738</v>
      </c>
      <c r="J4448" t="s">
        <v>5191</v>
      </c>
      <c r="K4448" t="s">
        <v>4436</v>
      </c>
      <c r="L4448">
        <v>8.6999999999999993</v>
      </c>
      <c r="M4448" s="452">
        <v>45770</v>
      </c>
      <c r="N4448">
        <v>8.6999999999999993</v>
      </c>
      <c r="O4448">
        <v>9.1</v>
      </c>
      <c r="P4448">
        <v>17.399999999999999</v>
      </c>
    </row>
    <row r="4449" spans="1:16" x14ac:dyDescent="0.3">
      <c r="A4449">
        <v>30933</v>
      </c>
      <c r="B4449">
        <v>105</v>
      </c>
      <c r="C4449" t="s">
        <v>557</v>
      </c>
      <c r="D4449" s="452">
        <v>45778</v>
      </c>
      <c r="E4449">
        <v>21098</v>
      </c>
      <c r="F4449" t="s">
        <v>5511</v>
      </c>
      <c r="G4449">
        <v>1987</v>
      </c>
      <c r="H4449">
        <v>1</v>
      </c>
      <c r="I4449" t="s">
        <v>4738</v>
      </c>
      <c r="J4449" t="s">
        <v>5191</v>
      </c>
      <c r="K4449" t="s">
        <v>4436</v>
      </c>
      <c r="L4449">
        <v>0</v>
      </c>
      <c r="M4449" s="452">
        <v>-693593</v>
      </c>
      <c r="N4449">
        <v>0</v>
      </c>
      <c r="O4449">
        <v>17.23</v>
      </c>
      <c r="P4449">
        <v>17.03</v>
      </c>
    </row>
    <row r="4450" spans="1:16" x14ac:dyDescent="0.3">
      <c r="A4450">
        <v>30984</v>
      </c>
      <c r="B4450">
        <v>105</v>
      </c>
      <c r="C4450" t="s">
        <v>557</v>
      </c>
      <c r="D4450" s="452">
        <v>45778</v>
      </c>
      <c r="E4450">
        <v>23630</v>
      </c>
      <c r="F4450" t="s">
        <v>4813</v>
      </c>
      <c r="G4450">
        <v>2251</v>
      </c>
      <c r="H4450">
        <v>1.46</v>
      </c>
      <c r="I4450" t="s">
        <v>4744</v>
      </c>
      <c r="J4450" t="s">
        <v>5191</v>
      </c>
      <c r="K4450" t="s">
        <v>4436</v>
      </c>
      <c r="L4450">
        <v>0</v>
      </c>
      <c r="M4450" s="452">
        <v>45677</v>
      </c>
      <c r="N4450">
        <v>11.65</v>
      </c>
      <c r="O4450">
        <v>11.66</v>
      </c>
      <c r="P4450">
        <v>17.010000000000002</v>
      </c>
    </row>
    <row r="4451" spans="1:16" x14ac:dyDescent="0.3">
      <c r="A4451">
        <v>31280</v>
      </c>
      <c r="B4451">
        <v>105</v>
      </c>
      <c r="C4451" t="s">
        <v>557</v>
      </c>
      <c r="D4451" s="452">
        <v>45778</v>
      </c>
      <c r="E4451">
        <v>19779</v>
      </c>
      <c r="F4451" t="s">
        <v>4938</v>
      </c>
      <c r="G4451">
        <v>2479</v>
      </c>
      <c r="H4451">
        <v>0.4</v>
      </c>
      <c r="I4451" t="s">
        <v>4744</v>
      </c>
      <c r="J4451" t="s">
        <v>5191</v>
      </c>
      <c r="K4451" t="s">
        <v>4436</v>
      </c>
      <c r="L4451">
        <v>0</v>
      </c>
      <c r="M4451" s="452">
        <v>-693593</v>
      </c>
      <c r="N4451">
        <v>0</v>
      </c>
      <c r="O4451">
        <v>41.6</v>
      </c>
      <c r="P4451">
        <v>16.64</v>
      </c>
    </row>
    <row r="4452" spans="1:16" x14ac:dyDescent="0.3">
      <c r="A4452">
        <v>31277</v>
      </c>
      <c r="B4452">
        <v>105</v>
      </c>
      <c r="C4452" t="s">
        <v>557</v>
      </c>
      <c r="D4452" s="452">
        <v>45778</v>
      </c>
      <c r="E4452">
        <v>23534</v>
      </c>
      <c r="F4452" t="s">
        <v>5447</v>
      </c>
      <c r="G4452">
        <v>2337</v>
      </c>
      <c r="H4452">
        <v>0.48</v>
      </c>
      <c r="I4452" t="s">
        <v>4955</v>
      </c>
      <c r="J4452" t="s">
        <v>5191</v>
      </c>
      <c r="K4452" t="s">
        <v>4436</v>
      </c>
      <c r="L4452">
        <v>0</v>
      </c>
      <c r="M4452" s="452">
        <v>-693593</v>
      </c>
      <c r="N4452">
        <v>0</v>
      </c>
      <c r="O4452">
        <v>32.14</v>
      </c>
      <c r="P4452">
        <v>15.43</v>
      </c>
    </row>
    <row r="4453" spans="1:16" x14ac:dyDescent="0.3">
      <c r="A4453">
        <v>31107</v>
      </c>
      <c r="B4453">
        <v>105</v>
      </c>
      <c r="C4453" t="s">
        <v>557</v>
      </c>
      <c r="D4453" s="452">
        <v>45778</v>
      </c>
      <c r="E4453">
        <v>19415</v>
      </c>
      <c r="F4453" t="s">
        <v>4919</v>
      </c>
      <c r="G4453">
        <v>2759</v>
      </c>
      <c r="H4453">
        <v>2</v>
      </c>
      <c r="I4453" t="s">
        <v>4736</v>
      </c>
      <c r="J4453" t="s">
        <v>5191</v>
      </c>
      <c r="K4453" t="s">
        <v>4436</v>
      </c>
      <c r="L4453">
        <v>7.6</v>
      </c>
      <c r="M4453" s="452">
        <v>45777</v>
      </c>
      <c r="N4453">
        <v>7.8</v>
      </c>
      <c r="O4453">
        <v>7.8</v>
      </c>
      <c r="P4453">
        <v>15.2</v>
      </c>
    </row>
    <row r="4454" spans="1:16" x14ac:dyDescent="0.3">
      <c r="A4454">
        <v>31082</v>
      </c>
      <c r="B4454">
        <v>105</v>
      </c>
      <c r="C4454" t="s">
        <v>557</v>
      </c>
      <c r="D4454" s="452">
        <v>45778</v>
      </c>
      <c r="E4454">
        <v>19562</v>
      </c>
      <c r="F4454" t="s">
        <v>4939</v>
      </c>
      <c r="G4454">
        <v>2655</v>
      </c>
      <c r="H4454">
        <v>0.85</v>
      </c>
      <c r="I4454" t="s">
        <v>4744</v>
      </c>
      <c r="J4454" t="s">
        <v>5191</v>
      </c>
      <c r="K4454" t="s">
        <v>4436</v>
      </c>
      <c r="L4454">
        <v>17</v>
      </c>
      <c r="M4454" s="452">
        <v>45772</v>
      </c>
      <c r="N4454">
        <v>20</v>
      </c>
      <c r="O4454">
        <v>16</v>
      </c>
      <c r="P4454">
        <v>14.45</v>
      </c>
    </row>
    <row r="4455" spans="1:16" x14ac:dyDescent="0.3">
      <c r="A4455">
        <v>30948</v>
      </c>
      <c r="B4455">
        <v>105</v>
      </c>
      <c r="C4455" t="s">
        <v>557</v>
      </c>
      <c r="D4455" s="452">
        <v>45778</v>
      </c>
      <c r="E4455">
        <v>24089</v>
      </c>
      <c r="F4455" t="s">
        <v>4931</v>
      </c>
      <c r="G4455">
        <v>2316</v>
      </c>
      <c r="H4455">
        <v>1.48</v>
      </c>
      <c r="I4455" t="s">
        <v>4744</v>
      </c>
      <c r="J4455" t="s">
        <v>5191</v>
      </c>
      <c r="K4455" t="s">
        <v>4436</v>
      </c>
      <c r="L4455">
        <v>8.9</v>
      </c>
      <c r="M4455" s="452">
        <v>45757</v>
      </c>
      <c r="N4455">
        <v>8.9</v>
      </c>
      <c r="O4455">
        <v>8.9</v>
      </c>
      <c r="P4455">
        <v>13.17</v>
      </c>
    </row>
    <row r="4456" spans="1:16" x14ac:dyDescent="0.3">
      <c r="A4456">
        <v>31091</v>
      </c>
      <c r="B4456">
        <v>105</v>
      </c>
      <c r="C4456" t="s">
        <v>557</v>
      </c>
      <c r="D4456" s="452">
        <v>45778</v>
      </c>
      <c r="E4456">
        <v>19468</v>
      </c>
      <c r="F4456" t="s">
        <v>5074</v>
      </c>
      <c r="G4456">
        <v>2736</v>
      </c>
      <c r="H4456">
        <v>0.84</v>
      </c>
      <c r="I4456" t="s">
        <v>4744</v>
      </c>
      <c r="J4456" t="s">
        <v>5191</v>
      </c>
      <c r="K4456" t="s">
        <v>4436</v>
      </c>
      <c r="L4456">
        <v>14.69</v>
      </c>
      <c r="M4456" s="452">
        <v>45776</v>
      </c>
      <c r="N4456">
        <v>14</v>
      </c>
      <c r="O4456">
        <v>10.11</v>
      </c>
      <c r="P4456">
        <v>12.34</v>
      </c>
    </row>
    <row r="4457" spans="1:16" x14ac:dyDescent="0.3">
      <c r="A4457">
        <v>30966</v>
      </c>
      <c r="B4457">
        <v>105</v>
      </c>
      <c r="C4457" t="s">
        <v>557</v>
      </c>
      <c r="D4457" s="452">
        <v>45778</v>
      </c>
      <c r="E4457">
        <v>20674</v>
      </c>
      <c r="F4457" t="s">
        <v>5529</v>
      </c>
      <c r="G4457">
        <v>2107</v>
      </c>
      <c r="H4457">
        <v>1</v>
      </c>
      <c r="I4457" t="s">
        <v>4738</v>
      </c>
      <c r="J4457" t="s">
        <v>5191</v>
      </c>
      <c r="K4457" t="s">
        <v>4436</v>
      </c>
      <c r="L4457">
        <v>12.28</v>
      </c>
      <c r="M4457" s="452">
        <v>45771</v>
      </c>
      <c r="N4457">
        <v>16.55</v>
      </c>
      <c r="O4457">
        <v>7.98</v>
      </c>
      <c r="P4457">
        <v>12.28</v>
      </c>
    </row>
    <row r="4458" spans="1:16" x14ac:dyDescent="0.3">
      <c r="A4458">
        <v>31020</v>
      </c>
      <c r="B4458">
        <v>105</v>
      </c>
      <c r="C4458" t="s">
        <v>557</v>
      </c>
      <c r="D4458" s="452">
        <v>45778</v>
      </c>
      <c r="E4458">
        <v>19907</v>
      </c>
      <c r="F4458" t="s">
        <v>4802</v>
      </c>
      <c r="G4458">
        <v>2381</v>
      </c>
      <c r="H4458">
        <v>4</v>
      </c>
      <c r="I4458" t="s">
        <v>4736</v>
      </c>
      <c r="J4458" t="s">
        <v>5191</v>
      </c>
      <c r="K4458" t="s">
        <v>4436</v>
      </c>
      <c r="L4458">
        <v>0</v>
      </c>
      <c r="M4458" s="452">
        <v>45660</v>
      </c>
      <c r="N4458">
        <v>3.05</v>
      </c>
      <c r="O4458">
        <v>3.04</v>
      </c>
      <c r="P4458">
        <v>12.2</v>
      </c>
    </row>
    <row r="4459" spans="1:16" x14ac:dyDescent="0.3">
      <c r="A4459">
        <v>31009</v>
      </c>
      <c r="B4459">
        <v>105</v>
      </c>
      <c r="C4459" t="s">
        <v>557</v>
      </c>
      <c r="D4459" s="452">
        <v>45778</v>
      </c>
      <c r="E4459">
        <v>19939</v>
      </c>
      <c r="F4459" t="s">
        <v>5057</v>
      </c>
      <c r="G4459">
        <v>2365</v>
      </c>
      <c r="H4459">
        <v>0.55000000000000004</v>
      </c>
      <c r="I4459" t="s">
        <v>4744</v>
      </c>
      <c r="J4459" t="s">
        <v>5191</v>
      </c>
      <c r="K4459" t="s">
        <v>4436</v>
      </c>
      <c r="L4459">
        <v>0</v>
      </c>
      <c r="M4459" s="452">
        <v>-693593</v>
      </c>
      <c r="N4459">
        <v>0</v>
      </c>
      <c r="O4459">
        <v>79.599999999999994</v>
      </c>
      <c r="P4459">
        <v>12.1</v>
      </c>
    </row>
    <row r="4460" spans="1:16" x14ac:dyDescent="0.3">
      <c r="A4460">
        <v>31042</v>
      </c>
      <c r="B4460">
        <v>105</v>
      </c>
      <c r="C4460" t="s">
        <v>557</v>
      </c>
      <c r="D4460" s="452">
        <v>45778</v>
      </c>
      <c r="E4460">
        <v>19783</v>
      </c>
      <c r="F4460" t="s">
        <v>4960</v>
      </c>
      <c r="G4460">
        <v>2475</v>
      </c>
      <c r="H4460">
        <v>2.6</v>
      </c>
      <c r="I4460" t="s">
        <v>4744</v>
      </c>
      <c r="J4460" t="s">
        <v>5191</v>
      </c>
      <c r="K4460" t="s">
        <v>4436</v>
      </c>
      <c r="L4460">
        <v>4.6100000000000003</v>
      </c>
      <c r="M4460" s="452">
        <v>45776</v>
      </c>
      <c r="N4460">
        <v>4.5</v>
      </c>
      <c r="O4460">
        <v>4.32</v>
      </c>
      <c r="P4460">
        <v>11.99</v>
      </c>
    </row>
    <row r="4461" spans="1:16" x14ac:dyDescent="0.3">
      <c r="A4461">
        <v>31079</v>
      </c>
      <c r="B4461">
        <v>105</v>
      </c>
      <c r="C4461" t="s">
        <v>557</v>
      </c>
      <c r="D4461" s="452">
        <v>45778</v>
      </c>
      <c r="E4461">
        <v>19577</v>
      </c>
      <c r="F4461" t="s">
        <v>4984</v>
      </c>
      <c r="G4461">
        <v>2641</v>
      </c>
      <c r="H4461">
        <v>1.1399999999999999</v>
      </c>
      <c r="I4461" t="s">
        <v>4736</v>
      </c>
      <c r="J4461" t="s">
        <v>5191</v>
      </c>
      <c r="K4461" t="s">
        <v>4436</v>
      </c>
      <c r="L4461">
        <v>0</v>
      </c>
      <c r="M4461" s="452">
        <v>45532</v>
      </c>
      <c r="N4461">
        <v>10.199999999999999</v>
      </c>
      <c r="O4461">
        <v>22.2</v>
      </c>
      <c r="P4461">
        <v>11.63</v>
      </c>
    </row>
    <row r="4462" spans="1:16" x14ac:dyDescent="0.3">
      <c r="A4462">
        <v>31281</v>
      </c>
      <c r="B4462">
        <v>105</v>
      </c>
      <c r="C4462" t="s">
        <v>557</v>
      </c>
      <c r="D4462" s="452">
        <v>45778</v>
      </c>
      <c r="E4462">
        <v>18212</v>
      </c>
      <c r="F4462" t="s">
        <v>5040</v>
      </c>
      <c r="G4462">
        <v>3415</v>
      </c>
      <c r="H4462">
        <v>0.3</v>
      </c>
      <c r="I4462" t="s">
        <v>4805</v>
      </c>
      <c r="J4462" t="s">
        <v>5222</v>
      </c>
      <c r="K4462" t="s">
        <v>4436</v>
      </c>
      <c r="L4462">
        <v>0</v>
      </c>
      <c r="M4462" s="452">
        <v>-693593</v>
      </c>
      <c r="N4462">
        <v>0</v>
      </c>
      <c r="O4462">
        <v>38.1</v>
      </c>
      <c r="P4462">
        <v>11.43</v>
      </c>
    </row>
    <row r="4463" spans="1:16" x14ac:dyDescent="0.3">
      <c r="A4463">
        <v>30965</v>
      </c>
      <c r="B4463">
        <v>105</v>
      </c>
      <c r="C4463" t="s">
        <v>557</v>
      </c>
      <c r="D4463" s="452">
        <v>45778</v>
      </c>
      <c r="E4463">
        <v>20685</v>
      </c>
      <c r="F4463" t="s">
        <v>5528</v>
      </c>
      <c r="G4463">
        <v>2106</v>
      </c>
      <c r="H4463">
        <v>3</v>
      </c>
      <c r="I4463" t="s">
        <v>4736</v>
      </c>
      <c r="J4463" t="s">
        <v>5191</v>
      </c>
      <c r="K4463" t="s">
        <v>4436</v>
      </c>
      <c r="L4463">
        <v>0</v>
      </c>
      <c r="M4463" s="452">
        <v>-693593</v>
      </c>
      <c r="N4463">
        <v>0</v>
      </c>
      <c r="O4463">
        <v>0</v>
      </c>
      <c r="P4463">
        <v>10.5</v>
      </c>
    </row>
    <row r="4464" spans="1:16" x14ac:dyDescent="0.3">
      <c r="A4464">
        <v>31097</v>
      </c>
      <c r="B4464">
        <v>105</v>
      </c>
      <c r="C4464" t="s">
        <v>557</v>
      </c>
      <c r="D4464" s="452">
        <v>45778</v>
      </c>
      <c r="E4464">
        <v>19463</v>
      </c>
      <c r="F4464" t="s">
        <v>5117</v>
      </c>
      <c r="G4464">
        <v>2739</v>
      </c>
      <c r="H4464">
        <v>0.18</v>
      </c>
      <c r="I4464" t="s">
        <v>4744</v>
      </c>
      <c r="J4464" t="s">
        <v>5191</v>
      </c>
      <c r="K4464" t="s">
        <v>4436</v>
      </c>
      <c r="L4464">
        <v>55.91</v>
      </c>
      <c r="M4464" s="452">
        <v>45770</v>
      </c>
      <c r="N4464">
        <v>55</v>
      </c>
      <c r="O4464">
        <v>55</v>
      </c>
      <c r="P4464">
        <v>10.06</v>
      </c>
    </row>
    <row r="4465" spans="1:16" x14ac:dyDescent="0.3">
      <c r="A4465">
        <v>31024</v>
      </c>
      <c r="B4465">
        <v>105</v>
      </c>
      <c r="C4465" t="s">
        <v>557</v>
      </c>
      <c r="D4465" s="452">
        <v>45778</v>
      </c>
      <c r="E4465">
        <v>20795</v>
      </c>
      <c r="F4465" t="s">
        <v>5024</v>
      </c>
      <c r="G4465">
        <v>2076</v>
      </c>
      <c r="H4465">
        <v>1</v>
      </c>
      <c r="I4465" t="s">
        <v>4738</v>
      </c>
      <c r="J4465" t="s">
        <v>5191</v>
      </c>
      <c r="K4465" t="s">
        <v>4436</v>
      </c>
      <c r="L4465">
        <v>9.9700000000000006</v>
      </c>
      <c r="M4465" s="452">
        <v>45777</v>
      </c>
      <c r="N4465">
        <v>10.199999999999999</v>
      </c>
      <c r="O4465">
        <v>10.199999999999999</v>
      </c>
      <c r="P4465">
        <v>9.9700000000000006</v>
      </c>
    </row>
    <row r="4466" spans="1:16" x14ac:dyDescent="0.3">
      <c r="A4466">
        <v>31022</v>
      </c>
      <c r="B4466">
        <v>105</v>
      </c>
      <c r="C4466" t="s">
        <v>557</v>
      </c>
      <c r="D4466" s="452">
        <v>45778</v>
      </c>
      <c r="E4466">
        <v>20791</v>
      </c>
      <c r="F4466" t="s">
        <v>5021</v>
      </c>
      <c r="G4466">
        <v>2076</v>
      </c>
      <c r="H4466">
        <v>1</v>
      </c>
      <c r="I4466" t="s">
        <v>4738</v>
      </c>
      <c r="J4466" t="s">
        <v>5191</v>
      </c>
      <c r="K4466" t="s">
        <v>4436</v>
      </c>
      <c r="L4466">
        <v>9.9</v>
      </c>
      <c r="M4466" s="452">
        <v>45777</v>
      </c>
      <c r="N4466">
        <v>10.199999999999999</v>
      </c>
      <c r="O4466">
        <v>10.199999999999999</v>
      </c>
      <c r="P4466">
        <v>9.9</v>
      </c>
    </row>
    <row r="4467" spans="1:16" x14ac:dyDescent="0.3">
      <c r="A4467">
        <v>31071</v>
      </c>
      <c r="B4467">
        <v>105</v>
      </c>
      <c r="C4467" t="s">
        <v>557</v>
      </c>
      <c r="D4467" s="452">
        <v>45778</v>
      </c>
      <c r="E4467">
        <v>19476</v>
      </c>
      <c r="F4467" t="s">
        <v>5115</v>
      </c>
      <c r="G4467">
        <v>2729</v>
      </c>
      <c r="H4467">
        <v>0.2</v>
      </c>
      <c r="I4467" t="s">
        <v>4744</v>
      </c>
      <c r="J4467" t="s">
        <v>5191</v>
      </c>
      <c r="K4467" t="s">
        <v>4436</v>
      </c>
      <c r="L4467">
        <v>47</v>
      </c>
      <c r="M4467" s="452">
        <v>45777</v>
      </c>
      <c r="N4467">
        <v>52</v>
      </c>
      <c r="O4467">
        <v>138.5</v>
      </c>
      <c r="P4467">
        <v>9.4</v>
      </c>
    </row>
    <row r="4468" spans="1:16" x14ac:dyDescent="0.3">
      <c r="A4468">
        <v>31032</v>
      </c>
      <c r="B4468">
        <v>105</v>
      </c>
      <c r="C4468" t="s">
        <v>557</v>
      </c>
      <c r="D4468" s="452">
        <v>45778</v>
      </c>
      <c r="E4468">
        <v>19509</v>
      </c>
      <c r="F4468" t="s">
        <v>5490</v>
      </c>
      <c r="G4468">
        <v>2703</v>
      </c>
      <c r="H4468">
        <v>1.95</v>
      </c>
      <c r="I4468" t="s">
        <v>4744</v>
      </c>
      <c r="J4468" t="s">
        <v>5191</v>
      </c>
      <c r="K4468" t="s">
        <v>4436</v>
      </c>
      <c r="L4468">
        <v>4.8099999999999996</v>
      </c>
      <c r="M4468" s="452">
        <v>45772</v>
      </c>
      <c r="N4468">
        <v>3.5</v>
      </c>
      <c r="O4468">
        <v>3.5</v>
      </c>
      <c r="P4468">
        <v>9.3800000000000008</v>
      </c>
    </row>
    <row r="4469" spans="1:16" x14ac:dyDescent="0.3">
      <c r="A4469">
        <v>31089</v>
      </c>
      <c r="B4469">
        <v>105</v>
      </c>
      <c r="C4469" t="s">
        <v>557</v>
      </c>
      <c r="D4469" s="452">
        <v>45778</v>
      </c>
      <c r="E4469">
        <v>19552</v>
      </c>
      <c r="F4469" t="s">
        <v>4860</v>
      </c>
      <c r="G4469">
        <v>2664</v>
      </c>
      <c r="H4469">
        <v>1.4</v>
      </c>
      <c r="I4469" t="s">
        <v>4744</v>
      </c>
      <c r="J4469" t="s">
        <v>5191</v>
      </c>
      <c r="K4469" t="s">
        <v>4436</v>
      </c>
      <c r="L4469">
        <v>6.5</v>
      </c>
      <c r="M4469" s="452">
        <v>45762</v>
      </c>
      <c r="N4469">
        <v>6.5</v>
      </c>
      <c r="O4469">
        <v>2.75</v>
      </c>
      <c r="P4469">
        <v>9.1</v>
      </c>
    </row>
    <row r="4470" spans="1:16" x14ac:dyDescent="0.3">
      <c r="A4470">
        <v>31084</v>
      </c>
      <c r="B4470">
        <v>105</v>
      </c>
      <c r="C4470" t="s">
        <v>557</v>
      </c>
      <c r="D4470" s="452">
        <v>45778</v>
      </c>
      <c r="E4470">
        <v>19560</v>
      </c>
      <c r="F4470" t="s">
        <v>4962</v>
      </c>
      <c r="G4470">
        <v>2657</v>
      </c>
      <c r="H4470">
        <v>0.53</v>
      </c>
      <c r="I4470" t="s">
        <v>4744</v>
      </c>
      <c r="J4470" t="s">
        <v>5191</v>
      </c>
      <c r="K4470" t="s">
        <v>4436</v>
      </c>
      <c r="L4470">
        <v>17</v>
      </c>
      <c r="M4470" s="452">
        <v>45772</v>
      </c>
      <c r="N4470">
        <v>20</v>
      </c>
      <c r="O4470">
        <v>16.5</v>
      </c>
      <c r="P4470">
        <v>9.01</v>
      </c>
    </row>
    <row r="4471" spans="1:16" x14ac:dyDescent="0.3">
      <c r="A4471">
        <v>31080</v>
      </c>
      <c r="B4471">
        <v>105</v>
      </c>
      <c r="C4471" t="s">
        <v>557</v>
      </c>
      <c r="D4471" s="452">
        <v>45778</v>
      </c>
      <c r="E4471">
        <v>19575</v>
      </c>
      <c r="F4471" t="s">
        <v>5120</v>
      </c>
      <c r="G4471">
        <v>2643</v>
      </c>
      <c r="H4471">
        <v>0.3</v>
      </c>
      <c r="I4471" t="s">
        <v>4744</v>
      </c>
      <c r="J4471" t="s">
        <v>5191</v>
      </c>
      <c r="K4471" t="s">
        <v>4436</v>
      </c>
      <c r="L4471">
        <v>30</v>
      </c>
      <c r="M4471" s="452">
        <v>45777</v>
      </c>
      <c r="N4471">
        <v>30</v>
      </c>
      <c r="O4471">
        <v>30</v>
      </c>
      <c r="P4471">
        <v>9</v>
      </c>
    </row>
    <row r="4472" spans="1:16" x14ac:dyDescent="0.3">
      <c r="A4472">
        <v>31088</v>
      </c>
      <c r="B4472">
        <v>105</v>
      </c>
      <c r="C4472" t="s">
        <v>557</v>
      </c>
      <c r="D4472" s="452">
        <v>45778</v>
      </c>
      <c r="E4472">
        <v>19553</v>
      </c>
      <c r="F4472" t="s">
        <v>4868</v>
      </c>
      <c r="G4472">
        <v>2663</v>
      </c>
      <c r="H4472">
        <v>2.2999999999999998</v>
      </c>
      <c r="I4472" t="s">
        <v>4744</v>
      </c>
      <c r="J4472" t="s">
        <v>5191</v>
      </c>
      <c r="K4472" t="s">
        <v>4436</v>
      </c>
      <c r="L4472">
        <v>3.6</v>
      </c>
      <c r="M4472" s="452">
        <v>45770</v>
      </c>
      <c r="N4472">
        <v>3.5</v>
      </c>
      <c r="O4472">
        <v>3.2</v>
      </c>
      <c r="P4472">
        <v>8.2799999999999994</v>
      </c>
    </row>
    <row r="4473" spans="1:16" x14ac:dyDescent="0.3">
      <c r="A4473">
        <v>31050</v>
      </c>
      <c r="B4473">
        <v>105</v>
      </c>
      <c r="C4473" t="s">
        <v>557</v>
      </c>
      <c r="D4473" s="452">
        <v>45778</v>
      </c>
      <c r="E4473">
        <v>19490</v>
      </c>
      <c r="F4473" t="s">
        <v>5116</v>
      </c>
      <c r="G4473">
        <v>2718</v>
      </c>
      <c r="H4473">
        <v>0.22</v>
      </c>
      <c r="I4473" t="s">
        <v>4744</v>
      </c>
      <c r="J4473" t="s">
        <v>5191</v>
      </c>
      <c r="K4473" t="s">
        <v>4436</v>
      </c>
      <c r="L4473">
        <v>35</v>
      </c>
      <c r="M4473" s="452">
        <v>45757</v>
      </c>
      <c r="N4473">
        <v>35</v>
      </c>
      <c r="O4473">
        <v>175</v>
      </c>
      <c r="P4473">
        <v>7.7</v>
      </c>
    </row>
    <row r="4474" spans="1:16" x14ac:dyDescent="0.3">
      <c r="A4474">
        <v>31056</v>
      </c>
      <c r="B4474">
        <v>105</v>
      </c>
      <c r="C4474" t="s">
        <v>557</v>
      </c>
      <c r="D4474" s="452">
        <v>45778</v>
      </c>
      <c r="E4474">
        <v>19617</v>
      </c>
      <c r="F4474" t="s">
        <v>5071</v>
      </c>
      <c r="G4474">
        <v>2617</v>
      </c>
      <c r="H4474">
        <v>0.25</v>
      </c>
      <c r="I4474" t="s">
        <v>4744</v>
      </c>
      <c r="J4474" t="s">
        <v>5191</v>
      </c>
      <c r="K4474" t="s">
        <v>4436</v>
      </c>
      <c r="L4474">
        <v>30.65</v>
      </c>
      <c r="M4474" s="452">
        <v>45776</v>
      </c>
      <c r="N4474">
        <v>25</v>
      </c>
      <c r="O4474">
        <v>4.55</v>
      </c>
      <c r="P4474">
        <v>7.66</v>
      </c>
    </row>
    <row r="4475" spans="1:16" x14ac:dyDescent="0.3">
      <c r="A4475">
        <v>31061</v>
      </c>
      <c r="B4475">
        <v>105</v>
      </c>
      <c r="C4475" t="s">
        <v>557</v>
      </c>
      <c r="D4475" s="452">
        <v>45778</v>
      </c>
      <c r="E4475">
        <v>19480</v>
      </c>
      <c r="F4475" t="s">
        <v>5119</v>
      </c>
      <c r="G4475">
        <v>2726</v>
      </c>
      <c r="H4475">
        <v>0.5</v>
      </c>
      <c r="I4475" t="s">
        <v>4744</v>
      </c>
      <c r="J4475" t="s">
        <v>5191</v>
      </c>
      <c r="K4475" t="s">
        <v>4436</v>
      </c>
      <c r="L4475">
        <v>14.91</v>
      </c>
      <c r="M4475" s="452">
        <v>45769</v>
      </c>
      <c r="N4475">
        <v>4.9000000000000004</v>
      </c>
      <c r="O4475">
        <v>13</v>
      </c>
      <c r="P4475">
        <v>7.46</v>
      </c>
    </row>
    <row r="4476" spans="1:16" x14ac:dyDescent="0.3">
      <c r="A4476">
        <v>31271</v>
      </c>
      <c r="B4476">
        <v>105</v>
      </c>
      <c r="C4476" t="s">
        <v>557</v>
      </c>
      <c r="D4476" s="452">
        <v>45778</v>
      </c>
      <c r="E4476">
        <v>20984</v>
      </c>
      <c r="F4476" t="s">
        <v>5133</v>
      </c>
      <c r="G4476">
        <v>2011</v>
      </c>
      <c r="H4476">
        <v>0.82</v>
      </c>
      <c r="I4476" t="s">
        <v>4888</v>
      </c>
      <c r="J4476" t="s">
        <v>5191</v>
      </c>
      <c r="K4476" t="s">
        <v>4436</v>
      </c>
      <c r="L4476">
        <v>8.0399999999999991</v>
      </c>
      <c r="M4476" s="452">
        <v>45777</v>
      </c>
      <c r="N4476">
        <v>8.15</v>
      </c>
      <c r="O4476">
        <v>8.02</v>
      </c>
      <c r="P4476">
        <v>6.59</v>
      </c>
    </row>
    <row r="4477" spans="1:16" x14ac:dyDescent="0.3">
      <c r="A4477">
        <v>31004</v>
      </c>
      <c r="B4477">
        <v>105</v>
      </c>
      <c r="C4477" t="s">
        <v>557</v>
      </c>
      <c r="D4477" s="452">
        <v>45778</v>
      </c>
      <c r="E4477">
        <v>19982</v>
      </c>
      <c r="F4477" t="s">
        <v>5017</v>
      </c>
      <c r="G4477">
        <v>2351</v>
      </c>
      <c r="H4477">
        <v>1</v>
      </c>
      <c r="I4477" t="s">
        <v>4888</v>
      </c>
      <c r="J4477" t="s">
        <v>5191</v>
      </c>
      <c r="K4477" t="s">
        <v>4436</v>
      </c>
      <c r="L4477">
        <v>6.15</v>
      </c>
      <c r="M4477" s="452">
        <v>45777</v>
      </c>
      <c r="N4477">
        <v>6.15</v>
      </c>
      <c r="O4477">
        <v>6.15</v>
      </c>
      <c r="P4477">
        <v>6.15</v>
      </c>
    </row>
    <row r="4478" spans="1:16" x14ac:dyDescent="0.3">
      <c r="A4478">
        <v>31078</v>
      </c>
      <c r="B4478">
        <v>105</v>
      </c>
      <c r="C4478" t="s">
        <v>557</v>
      </c>
      <c r="D4478" s="452">
        <v>45778</v>
      </c>
      <c r="E4478">
        <v>19583</v>
      </c>
      <c r="F4478" t="s">
        <v>5478</v>
      </c>
      <c r="G4478">
        <v>2639</v>
      </c>
      <c r="H4478">
        <v>0.15</v>
      </c>
      <c r="I4478" t="s">
        <v>4744</v>
      </c>
      <c r="J4478" t="s">
        <v>5191</v>
      </c>
      <c r="K4478" t="s">
        <v>4436</v>
      </c>
      <c r="L4478">
        <v>0</v>
      </c>
      <c r="M4478" s="452">
        <v>45737</v>
      </c>
      <c r="N4478">
        <v>38</v>
      </c>
      <c r="O4478">
        <v>29</v>
      </c>
      <c r="P4478">
        <v>5.7</v>
      </c>
    </row>
    <row r="4479" spans="1:16" x14ac:dyDescent="0.3">
      <c r="A4479">
        <v>31270</v>
      </c>
      <c r="B4479">
        <v>105</v>
      </c>
      <c r="C4479" t="s">
        <v>557</v>
      </c>
      <c r="D4479" s="452">
        <v>45778</v>
      </c>
      <c r="E4479">
        <v>20792</v>
      </c>
      <c r="F4479" t="s">
        <v>5022</v>
      </c>
      <c r="G4479">
        <v>2076</v>
      </c>
      <c r="H4479">
        <v>0.56999999999999995</v>
      </c>
      <c r="I4479" t="s">
        <v>4738</v>
      </c>
      <c r="J4479" t="s">
        <v>5191</v>
      </c>
      <c r="K4479" t="s">
        <v>4436</v>
      </c>
      <c r="L4479">
        <v>9.9</v>
      </c>
      <c r="M4479" s="452">
        <v>45777</v>
      </c>
      <c r="N4479">
        <v>10.199999999999999</v>
      </c>
      <c r="O4479">
        <v>10.199999999999999</v>
      </c>
      <c r="P4479">
        <v>5.64</v>
      </c>
    </row>
    <row r="4480" spans="1:16" x14ac:dyDescent="0.3">
      <c r="A4480">
        <v>31060</v>
      </c>
      <c r="B4480">
        <v>105</v>
      </c>
      <c r="C4480" t="s">
        <v>557</v>
      </c>
      <c r="D4480" s="452">
        <v>45778</v>
      </c>
      <c r="E4480">
        <v>19607</v>
      </c>
      <c r="F4480" t="s">
        <v>4981</v>
      </c>
      <c r="G4480">
        <v>2623</v>
      </c>
      <c r="H4480">
        <v>0.45</v>
      </c>
      <c r="I4480" t="s">
        <v>4744</v>
      </c>
      <c r="J4480" t="s">
        <v>5191</v>
      </c>
      <c r="K4480" t="s">
        <v>4436</v>
      </c>
      <c r="L4480">
        <v>11.53</v>
      </c>
      <c r="M4480" s="452">
        <v>45776</v>
      </c>
      <c r="N4480">
        <v>12.75</v>
      </c>
      <c r="O4480">
        <v>1.25</v>
      </c>
      <c r="P4480">
        <v>5.19</v>
      </c>
    </row>
    <row r="4481" spans="1:16" x14ac:dyDescent="0.3">
      <c r="A4481">
        <v>31047</v>
      </c>
      <c r="B4481">
        <v>105</v>
      </c>
      <c r="C4481" t="s">
        <v>557</v>
      </c>
      <c r="D4481" s="452">
        <v>45778</v>
      </c>
      <c r="E4481">
        <v>19632</v>
      </c>
      <c r="F4481" t="s">
        <v>4936</v>
      </c>
      <c r="G4481">
        <v>2604</v>
      </c>
      <c r="H4481">
        <v>1.45</v>
      </c>
      <c r="I4481" t="s">
        <v>4744</v>
      </c>
      <c r="J4481" t="s">
        <v>5191</v>
      </c>
      <c r="K4481" t="s">
        <v>4436</v>
      </c>
      <c r="L4481">
        <v>3.25</v>
      </c>
      <c r="M4481" s="452">
        <v>45772</v>
      </c>
      <c r="N4481">
        <v>2.8</v>
      </c>
      <c r="O4481">
        <v>2.8</v>
      </c>
      <c r="P4481">
        <v>4.71</v>
      </c>
    </row>
    <row r="4482" spans="1:16" x14ac:dyDescent="0.3">
      <c r="A4482">
        <v>31086</v>
      </c>
      <c r="B4482">
        <v>105</v>
      </c>
      <c r="C4482" t="s">
        <v>557</v>
      </c>
      <c r="D4482" s="452">
        <v>45778</v>
      </c>
      <c r="E4482">
        <v>19558</v>
      </c>
      <c r="F4482" t="s">
        <v>4994</v>
      </c>
      <c r="G4482">
        <v>2659</v>
      </c>
      <c r="H4482">
        <v>0.25</v>
      </c>
      <c r="I4482" t="s">
        <v>4744</v>
      </c>
      <c r="J4482" t="s">
        <v>5191</v>
      </c>
      <c r="K4482" t="s">
        <v>4436</v>
      </c>
      <c r="L4482">
        <v>17.829999999999998</v>
      </c>
      <c r="M4482" s="452">
        <v>45772</v>
      </c>
      <c r="N4482">
        <v>15</v>
      </c>
      <c r="O4482">
        <v>7.5</v>
      </c>
      <c r="P4482">
        <v>4.46</v>
      </c>
    </row>
    <row r="4483" spans="1:16" x14ac:dyDescent="0.3">
      <c r="A4483">
        <v>31052</v>
      </c>
      <c r="B4483">
        <v>105</v>
      </c>
      <c r="C4483" t="s">
        <v>557</v>
      </c>
      <c r="D4483" s="452">
        <v>45778</v>
      </c>
      <c r="E4483">
        <v>19622</v>
      </c>
      <c r="F4483" t="s">
        <v>4915</v>
      </c>
      <c r="G4483">
        <v>2612</v>
      </c>
      <c r="H4483">
        <v>1.1200000000000001</v>
      </c>
      <c r="I4483" t="s">
        <v>4744</v>
      </c>
      <c r="J4483" t="s">
        <v>5191</v>
      </c>
      <c r="K4483" t="s">
        <v>4436</v>
      </c>
      <c r="L4483">
        <v>3.46</v>
      </c>
      <c r="M4483" s="452">
        <v>45777</v>
      </c>
      <c r="N4483">
        <v>3.5</v>
      </c>
      <c r="O4483">
        <v>3.5</v>
      </c>
      <c r="P4483">
        <v>3.88</v>
      </c>
    </row>
    <row r="4484" spans="1:16" x14ac:dyDescent="0.3">
      <c r="A4484">
        <v>31034</v>
      </c>
      <c r="B4484">
        <v>105</v>
      </c>
      <c r="C4484" t="s">
        <v>557</v>
      </c>
      <c r="D4484" s="452">
        <v>45778</v>
      </c>
      <c r="E4484">
        <v>19506</v>
      </c>
      <c r="F4484" t="s">
        <v>5122</v>
      </c>
      <c r="G4484">
        <v>2705</v>
      </c>
      <c r="H4484">
        <v>0.1</v>
      </c>
      <c r="I4484" t="s">
        <v>4744</v>
      </c>
      <c r="J4484" t="s">
        <v>5191</v>
      </c>
      <c r="K4484" t="s">
        <v>4436</v>
      </c>
      <c r="L4484">
        <v>36.4</v>
      </c>
      <c r="M4484" s="452">
        <v>45772</v>
      </c>
      <c r="N4484">
        <v>36.4</v>
      </c>
      <c r="O4484">
        <v>364</v>
      </c>
      <c r="P4484">
        <v>3.64</v>
      </c>
    </row>
    <row r="4485" spans="1:16" x14ac:dyDescent="0.3">
      <c r="A4485">
        <v>31001</v>
      </c>
      <c r="B4485">
        <v>105</v>
      </c>
      <c r="C4485" t="s">
        <v>557</v>
      </c>
      <c r="D4485" s="452">
        <v>45778</v>
      </c>
      <c r="E4485">
        <v>25822</v>
      </c>
      <c r="F4485" t="s">
        <v>5468</v>
      </c>
      <c r="G4485">
        <v>6359</v>
      </c>
      <c r="H4485">
        <v>1</v>
      </c>
      <c r="I4485" t="s">
        <v>4736</v>
      </c>
      <c r="J4485" t="s">
        <v>5191</v>
      </c>
      <c r="K4485" t="s">
        <v>4436</v>
      </c>
      <c r="L4485">
        <v>0</v>
      </c>
      <c r="M4485" s="452">
        <v>45740</v>
      </c>
      <c r="N4485">
        <v>3.59</v>
      </c>
      <c r="O4485">
        <v>3.59</v>
      </c>
      <c r="P4485">
        <v>3.59</v>
      </c>
    </row>
    <row r="4486" spans="1:16" x14ac:dyDescent="0.3">
      <c r="A4486">
        <v>31055</v>
      </c>
      <c r="B4486">
        <v>105</v>
      </c>
      <c r="C4486" t="s">
        <v>557</v>
      </c>
      <c r="D4486" s="452">
        <v>45778</v>
      </c>
      <c r="E4486">
        <v>19621</v>
      </c>
      <c r="F4486" t="s">
        <v>4829</v>
      </c>
      <c r="G4486">
        <v>2613</v>
      </c>
      <c r="H4486">
        <v>1.03</v>
      </c>
      <c r="I4486" t="s">
        <v>4744</v>
      </c>
      <c r="J4486" t="s">
        <v>5191</v>
      </c>
      <c r="K4486" t="s">
        <v>4436</v>
      </c>
      <c r="L4486">
        <v>3.36</v>
      </c>
      <c r="M4486" s="452">
        <v>45776</v>
      </c>
      <c r="N4486">
        <v>3</v>
      </c>
      <c r="O4486">
        <v>0.31</v>
      </c>
      <c r="P4486">
        <v>3.46</v>
      </c>
    </row>
    <row r="4487" spans="1:16" x14ac:dyDescent="0.3">
      <c r="A4487">
        <v>31077</v>
      </c>
      <c r="B4487">
        <v>105</v>
      </c>
      <c r="C4487" t="s">
        <v>557</v>
      </c>
      <c r="D4487" s="452">
        <v>45778</v>
      </c>
      <c r="E4487">
        <v>19589</v>
      </c>
      <c r="F4487" t="s">
        <v>4983</v>
      </c>
      <c r="G4487">
        <v>2637</v>
      </c>
      <c r="H4487">
        <v>0.74</v>
      </c>
      <c r="I4487" t="s">
        <v>4744</v>
      </c>
      <c r="J4487" t="s">
        <v>5191</v>
      </c>
      <c r="K4487" t="s">
        <v>4436</v>
      </c>
      <c r="L4487">
        <v>4.6399999999999997</v>
      </c>
      <c r="M4487" s="452">
        <v>45772</v>
      </c>
      <c r="N4487">
        <v>4.5</v>
      </c>
      <c r="O4487">
        <v>4</v>
      </c>
      <c r="P4487">
        <v>3.43</v>
      </c>
    </row>
    <row r="4488" spans="1:16" x14ac:dyDescent="0.3">
      <c r="A4488">
        <v>31083</v>
      </c>
      <c r="B4488">
        <v>105</v>
      </c>
      <c r="C4488" t="s">
        <v>557</v>
      </c>
      <c r="D4488" s="452">
        <v>45778</v>
      </c>
      <c r="E4488">
        <v>19561</v>
      </c>
      <c r="F4488" t="s">
        <v>5365</v>
      </c>
      <c r="G4488">
        <v>2656</v>
      </c>
      <c r="H4488">
        <v>0.4</v>
      </c>
      <c r="I4488" t="s">
        <v>4744</v>
      </c>
      <c r="J4488" t="s">
        <v>5191</v>
      </c>
      <c r="K4488" t="s">
        <v>4436</v>
      </c>
      <c r="L4488">
        <v>0</v>
      </c>
      <c r="M4488" s="452">
        <v>45737</v>
      </c>
      <c r="N4488">
        <v>7</v>
      </c>
      <c r="O4488">
        <v>1.42</v>
      </c>
      <c r="P4488">
        <v>2.8</v>
      </c>
    </row>
    <row r="4489" spans="1:16" x14ac:dyDescent="0.3">
      <c r="A4489">
        <v>31026</v>
      </c>
      <c r="B4489">
        <v>105</v>
      </c>
      <c r="C4489" t="s">
        <v>557</v>
      </c>
      <c r="D4489" s="452">
        <v>45778</v>
      </c>
      <c r="E4489">
        <v>20970</v>
      </c>
      <c r="F4489" t="s">
        <v>5546</v>
      </c>
      <c r="G4489">
        <v>2012</v>
      </c>
      <c r="H4489">
        <v>1</v>
      </c>
      <c r="I4489" t="s">
        <v>4736</v>
      </c>
      <c r="J4489" t="s">
        <v>5191</v>
      </c>
      <c r="K4489" t="s">
        <v>4436</v>
      </c>
      <c r="L4489">
        <v>0</v>
      </c>
      <c r="M4489" s="452">
        <v>45677</v>
      </c>
      <c r="N4489">
        <v>2.59</v>
      </c>
      <c r="O4489">
        <v>2.59</v>
      </c>
      <c r="P4489">
        <v>2.59</v>
      </c>
    </row>
    <row r="4490" spans="1:16" x14ac:dyDescent="0.3">
      <c r="A4490">
        <v>31087</v>
      </c>
      <c r="B4490">
        <v>105</v>
      </c>
      <c r="C4490" t="s">
        <v>557</v>
      </c>
      <c r="D4490" s="452">
        <v>45778</v>
      </c>
      <c r="E4490">
        <v>19557</v>
      </c>
      <c r="F4490" t="s">
        <v>5051</v>
      </c>
      <c r="G4490">
        <v>2660</v>
      </c>
      <c r="H4490">
        <v>0.3</v>
      </c>
      <c r="I4490" t="s">
        <v>4744</v>
      </c>
      <c r="J4490" t="s">
        <v>5191</v>
      </c>
      <c r="K4490" t="s">
        <v>4436</v>
      </c>
      <c r="L4490">
        <v>7.83</v>
      </c>
      <c r="M4490" s="452">
        <v>45770</v>
      </c>
      <c r="N4490">
        <v>7.5</v>
      </c>
      <c r="O4490">
        <v>7.5</v>
      </c>
      <c r="P4490">
        <v>2.35</v>
      </c>
    </row>
    <row r="4491" spans="1:16" x14ac:dyDescent="0.3">
      <c r="A4491">
        <v>31036</v>
      </c>
      <c r="B4491">
        <v>105</v>
      </c>
      <c r="C4491" t="s">
        <v>557</v>
      </c>
      <c r="D4491" s="452">
        <v>45778</v>
      </c>
      <c r="E4491">
        <v>19502</v>
      </c>
      <c r="F4491" t="s">
        <v>4871</v>
      </c>
      <c r="G4491">
        <v>2708</v>
      </c>
      <c r="H4491">
        <v>0.1</v>
      </c>
      <c r="I4491" t="s">
        <v>4744</v>
      </c>
      <c r="J4491" t="s">
        <v>5191</v>
      </c>
      <c r="K4491" t="s">
        <v>4436</v>
      </c>
      <c r="L4491">
        <v>19.079999999999998</v>
      </c>
      <c r="M4491" s="452">
        <v>45776</v>
      </c>
      <c r="N4491">
        <v>24</v>
      </c>
      <c r="O4491">
        <v>8.94</v>
      </c>
      <c r="P4491">
        <v>1.91</v>
      </c>
    </row>
    <row r="4492" spans="1:16" x14ac:dyDescent="0.3">
      <c r="A4492">
        <v>31092</v>
      </c>
      <c r="B4492">
        <v>105</v>
      </c>
      <c r="C4492" t="s">
        <v>557</v>
      </c>
      <c r="D4492" s="452">
        <v>45778</v>
      </c>
      <c r="E4492">
        <v>19465</v>
      </c>
      <c r="F4492" t="s">
        <v>5114</v>
      </c>
      <c r="G4492">
        <v>2737</v>
      </c>
      <c r="H4492">
        <v>0.13</v>
      </c>
      <c r="I4492" t="s">
        <v>4744</v>
      </c>
      <c r="J4492" t="s">
        <v>5191</v>
      </c>
      <c r="K4492" t="s">
        <v>4436</v>
      </c>
      <c r="L4492">
        <v>12.78</v>
      </c>
      <c r="M4492" s="452">
        <v>45756</v>
      </c>
      <c r="N4492">
        <v>13</v>
      </c>
      <c r="O4492">
        <v>2.38</v>
      </c>
      <c r="P4492">
        <v>1.66</v>
      </c>
    </row>
    <row r="4493" spans="1:16" x14ac:dyDescent="0.3">
      <c r="A4493">
        <v>31054</v>
      </c>
      <c r="B4493">
        <v>105</v>
      </c>
      <c r="C4493" t="s">
        <v>557</v>
      </c>
      <c r="D4493" s="452">
        <v>45778</v>
      </c>
      <c r="E4493">
        <v>19488</v>
      </c>
      <c r="F4493" t="s">
        <v>5107</v>
      </c>
      <c r="G4493">
        <v>2720</v>
      </c>
      <c r="H4493">
        <v>0.1</v>
      </c>
      <c r="I4493" t="s">
        <v>4744</v>
      </c>
      <c r="J4493" t="s">
        <v>5191</v>
      </c>
      <c r="K4493" t="s">
        <v>4436</v>
      </c>
      <c r="L4493">
        <v>13.45</v>
      </c>
      <c r="M4493" s="452">
        <v>45776</v>
      </c>
      <c r="N4493">
        <v>15</v>
      </c>
      <c r="O4493">
        <v>10.71</v>
      </c>
      <c r="P4493">
        <v>1.34</v>
      </c>
    </row>
    <row r="4494" spans="1:16" x14ac:dyDescent="0.3">
      <c r="A4494">
        <v>27347</v>
      </c>
      <c r="B4494">
        <v>105</v>
      </c>
      <c r="C4494" t="s">
        <v>557</v>
      </c>
      <c r="D4494" s="452">
        <v>45748</v>
      </c>
      <c r="E4494">
        <v>18636</v>
      </c>
      <c r="F4494" t="s">
        <v>4964</v>
      </c>
      <c r="G4494">
        <v>3075</v>
      </c>
      <c r="H4494">
        <v>5</v>
      </c>
      <c r="I4494" t="s">
        <v>4965</v>
      </c>
      <c r="J4494" t="s">
        <v>5222</v>
      </c>
      <c r="K4494" t="s">
        <v>4455</v>
      </c>
      <c r="L4494">
        <v>441.87</v>
      </c>
      <c r="M4494" s="452">
        <v>45741</v>
      </c>
      <c r="N4494">
        <v>446.16</v>
      </c>
      <c r="O4494">
        <v>446.16</v>
      </c>
      <c r="P4494">
        <v>2230.8000000000002</v>
      </c>
    </row>
    <row r="4495" spans="1:16" x14ac:dyDescent="0.3">
      <c r="A4495">
        <v>27321</v>
      </c>
      <c r="B4495">
        <v>105</v>
      </c>
      <c r="C4495" t="s">
        <v>557</v>
      </c>
      <c r="D4495" s="452">
        <v>45748</v>
      </c>
      <c r="E4495">
        <v>24217</v>
      </c>
      <c r="F4495" t="s">
        <v>4778</v>
      </c>
      <c r="G4495">
        <v>2937</v>
      </c>
      <c r="H4495">
        <v>37.520000000000003</v>
      </c>
      <c r="I4495" t="s">
        <v>4744</v>
      </c>
      <c r="J4495" t="s">
        <v>5191</v>
      </c>
      <c r="K4495" t="s">
        <v>4455</v>
      </c>
      <c r="L4495">
        <v>51.11</v>
      </c>
      <c r="M4495" s="452">
        <v>45735</v>
      </c>
      <c r="N4495">
        <v>51.11</v>
      </c>
      <c r="O4495">
        <v>34.979999999999997</v>
      </c>
      <c r="P4495">
        <v>1917.65</v>
      </c>
    </row>
    <row r="4496" spans="1:16" x14ac:dyDescent="0.3">
      <c r="A4496">
        <v>27333</v>
      </c>
      <c r="B4496">
        <v>105</v>
      </c>
      <c r="C4496" t="s">
        <v>557</v>
      </c>
      <c r="D4496" s="452">
        <v>45748</v>
      </c>
      <c r="E4496">
        <v>26130</v>
      </c>
      <c r="F4496" t="s">
        <v>5513</v>
      </c>
      <c r="G4496">
        <v>6583</v>
      </c>
      <c r="H4496">
        <v>11.79</v>
      </c>
      <c r="I4496" t="s">
        <v>4744</v>
      </c>
      <c r="J4496" t="s">
        <v>5191</v>
      </c>
      <c r="K4496" t="s">
        <v>4455</v>
      </c>
      <c r="L4496">
        <v>162</v>
      </c>
      <c r="M4496" s="452">
        <v>45743</v>
      </c>
      <c r="N4496">
        <v>162</v>
      </c>
      <c r="O4496">
        <v>162</v>
      </c>
      <c r="P4496">
        <v>1909.98</v>
      </c>
    </row>
    <row r="4497" spans="1:16" x14ac:dyDescent="0.3">
      <c r="A4497">
        <v>27341</v>
      </c>
      <c r="B4497">
        <v>105</v>
      </c>
      <c r="C4497" t="s">
        <v>557</v>
      </c>
      <c r="D4497" s="452">
        <v>45748</v>
      </c>
      <c r="E4497">
        <v>22654</v>
      </c>
      <c r="F4497" t="s">
        <v>4735</v>
      </c>
      <c r="G4497">
        <v>3083</v>
      </c>
      <c r="H4497">
        <v>321</v>
      </c>
      <c r="I4497" t="s">
        <v>4736</v>
      </c>
      <c r="J4497" t="s">
        <v>5222</v>
      </c>
      <c r="K4497" t="s">
        <v>4455</v>
      </c>
      <c r="L4497">
        <v>0</v>
      </c>
      <c r="M4497" s="452">
        <v>45679</v>
      </c>
      <c r="N4497">
        <v>5.61</v>
      </c>
      <c r="O4497">
        <v>4.49</v>
      </c>
      <c r="P4497">
        <v>1800.81</v>
      </c>
    </row>
    <row r="4498" spans="1:16" x14ac:dyDescent="0.3">
      <c r="A4498">
        <v>27322</v>
      </c>
      <c r="B4498">
        <v>105</v>
      </c>
      <c r="C4498" t="s">
        <v>557</v>
      </c>
      <c r="D4498" s="452">
        <v>45748</v>
      </c>
      <c r="E4498">
        <v>18945</v>
      </c>
      <c r="F4498" t="s">
        <v>4768</v>
      </c>
      <c r="G4498">
        <v>2929</v>
      </c>
      <c r="H4498">
        <v>27.6</v>
      </c>
      <c r="I4498" t="s">
        <v>4744</v>
      </c>
      <c r="J4498" t="s">
        <v>5191</v>
      </c>
      <c r="K4498" t="s">
        <v>4455</v>
      </c>
      <c r="L4498">
        <v>56.61</v>
      </c>
      <c r="M4498" s="452">
        <v>45741</v>
      </c>
      <c r="N4498">
        <v>56.61</v>
      </c>
      <c r="O4498">
        <v>56.61</v>
      </c>
      <c r="P4498">
        <v>1562.44</v>
      </c>
    </row>
    <row r="4499" spans="1:16" x14ac:dyDescent="0.3">
      <c r="A4499">
        <v>27181</v>
      </c>
      <c r="B4499">
        <v>105</v>
      </c>
      <c r="C4499" t="s">
        <v>557</v>
      </c>
      <c r="D4499" s="452">
        <v>45748</v>
      </c>
      <c r="E4499">
        <v>21024</v>
      </c>
      <c r="F4499" t="s">
        <v>5403</v>
      </c>
      <c r="G4499">
        <v>2003</v>
      </c>
      <c r="H4499">
        <v>9</v>
      </c>
      <c r="I4499" t="s">
        <v>4884</v>
      </c>
      <c r="J4499" t="s">
        <v>5191</v>
      </c>
      <c r="K4499" t="s">
        <v>4455</v>
      </c>
      <c r="L4499">
        <v>161.02000000000001</v>
      </c>
      <c r="M4499" s="452">
        <v>45740</v>
      </c>
      <c r="N4499">
        <v>161.9</v>
      </c>
      <c r="O4499">
        <v>161.9</v>
      </c>
      <c r="P4499">
        <v>1449.18</v>
      </c>
    </row>
    <row r="4500" spans="1:16" x14ac:dyDescent="0.3">
      <c r="A4500">
        <v>27189</v>
      </c>
      <c r="B4500">
        <v>105</v>
      </c>
      <c r="C4500" t="s">
        <v>557</v>
      </c>
      <c r="D4500" s="452">
        <v>45748</v>
      </c>
      <c r="E4500">
        <v>20544</v>
      </c>
      <c r="F4500" t="s">
        <v>4808</v>
      </c>
      <c r="G4500">
        <v>2144</v>
      </c>
      <c r="H4500">
        <v>35.090000000000003</v>
      </c>
      <c r="I4500" t="s">
        <v>4744</v>
      </c>
      <c r="J4500" t="s">
        <v>5191</v>
      </c>
      <c r="K4500" t="s">
        <v>4455</v>
      </c>
      <c r="L4500">
        <v>0</v>
      </c>
      <c r="M4500" s="452">
        <v>45705</v>
      </c>
      <c r="N4500">
        <v>38.32</v>
      </c>
      <c r="O4500">
        <v>38.32</v>
      </c>
      <c r="P4500">
        <v>1344.65</v>
      </c>
    </row>
    <row r="4501" spans="1:16" x14ac:dyDescent="0.3">
      <c r="A4501">
        <v>27310</v>
      </c>
      <c r="B4501">
        <v>105</v>
      </c>
      <c r="C4501" t="s">
        <v>557</v>
      </c>
      <c r="D4501" s="452">
        <v>45748</v>
      </c>
      <c r="E4501">
        <v>26132</v>
      </c>
      <c r="F4501" t="s">
        <v>5522</v>
      </c>
      <c r="G4501">
        <v>6584</v>
      </c>
      <c r="H4501">
        <v>13.43</v>
      </c>
      <c r="I4501" t="s">
        <v>4744</v>
      </c>
      <c r="J4501" t="s">
        <v>5191</v>
      </c>
      <c r="K4501" t="s">
        <v>4455</v>
      </c>
      <c r="L4501">
        <v>0</v>
      </c>
      <c r="M4501" s="452">
        <v>-693593</v>
      </c>
      <c r="N4501">
        <v>0</v>
      </c>
      <c r="O4501">
        <v>0</v>
      </c>
      <c r="P4501">
        <v>1329.57</v>
      </c>
    </row>
    <row r="4502" spans="1:16" x14ac:dyDescent="0.3">
      <c r="A4502">
        <v>27131</v>
      </c>
      <c r="B4502">
        <v>105</v>
      </c>
      <c r="C4502" t="s">
        <v>557</v>
      </c>
      <c r="D4502" s="452">
        <v>45748</v>
      </c>
      <c r="E4502">
        <v>17062</v>
      </c>
      <c r="F4502" t="s">
        <v>4880</v>
      </c>
      <c r="G4502">
        <v>1954</v>
      </c>
      <c r="H4502">
        <v>10</v>
      </c>
      <c r="I4502" t="s">
        <v>4879</v>
      </c>
      <c r="J4502" t="s">
        <v>5191</v>
      </c>
      <c r="K4502" t="s">
        <v>4455</v>
      </c>
      <c r="L4502">
        <v>0</v>
      </c>
      <c r="M4502" s="452">
        <v>45698</v>
      </c>
      <c r="N4502">
        <v>126</v>
      </c>
      <c r="O4502">
        <v>126</v>
      </c>
      <c r="P4502">
        <v>1260</v>
      </c>
    </row>
    <row r="4503" spans="1:16" x14ac:dyDescent="0.3">
      <c r="A4503">
        <v>27335</v>
      </c>
      <c r="B4503">
        <v>105</v>
      </c>
      <c r="C4503" t="s">
        <v>557</v>
      </c>
      <c r="D4503" s="452">
        <v>45748</v>
      </c>
      <c r="E4503">
        <v>25789</v>
      </c>
      <c r="F4503" t="s">
        <v>4902</v>
      </c>
      <c r="G4503">
        <v>6328</v>
      </c>
      <c r="H4503">
        <v>12.15</v>
      </c>
      <c r="I4503" t="s">
        <v>4744</v>
      </c>
      <c r="J4503" t="s">
        <v>5191</v>
      </c>
      <c r="K4503" t="s">
        <v>4455</v>
      </c>
      <c r="L4503">
        <v>0</v>
      </c>
      <c r="M4503" s="452">
        <v>45671</v>
      </c>
      <c r="N4503">
        <v>99.8</v>
      </c>
      <c r="O4503">
        <v>99.8</v>
      </c>
      <c r="P4503">
        <v>1212.57</v>
      </c>
    </row>
    <row r="4504" spans="1:16" x14ac:dyDescent="0.3">
      <c r="A4504">
        <v>27325</v>
      </c>
      <c r="B4504">
        <v>105</v>
      </c>
      <c r="C4504" t="s">
        <v>557</v>
      </c>
      <c r="D4504" s="452">
        <v>45748</v>
      </c>
      <c r="E4504">
        <v>25777</v>
      </c>
      <c r="F4504" t="s">
        <v>4774</v>
      </c>
      <c r="G4504">
        <v>6322</v>
      </c>
      <c r="H4504">
        <v>14.93</v>
      </c>
      <c r="I4504" t="s">
        <v>4744</v>
      </c>
      <c r="J4504" t="s">
        <v>5191</v>
      </c>
      <c r="K4504" t="s">
        <v>4455</v>
      </c>
      <c r="L4504">
        <v>81</v>
      </c>
      <c r="M4504" s="452">
        <v>45735</v>
      </c>
      <c r="N4504">
        <v>81</v>
      </c>
      <c r="O4504">
        <v>81</v>
      </c>
      <c r="P4504">
        <v>1209.33</v>
      </c>
    </row>
    <row r="4505" spans="1:16" x14ac:dyDescent="0.3">
      <c r="A4505">
        <v>27316</v>
      </c>
      <c r="B4505">
        <v>105</v>
      </c>
      <c r="C4505" t="s">
        <v>557</v>
      </c>
      <c r="D4505" s="452">
        <v>45748</v>
      </c>
      <c r="E4505">
        <v>24196</v>
      </c>
      <c r="F4505" t="s">
        <v>5547</v>
      </c>
      <c r="G4505">
        <v>2933</v>
      </c>
      <c r="H4505">
        <v>41.5</v>
      </c>
      <c r="I4505" t="s">
        <v>4744</v>
      </c>
      <c r="J4505" t="s">
        <v>5191</v>
      </c>
      <c r="K4505" t="s">
        <v>4455</v>
      </c>
      <c r="L4505">
        <v>0</v>
      </c>
      <c r="M4505" s="452">
        <v>45545</v>
      </c>
      <c r="N4505">
        <v>25.9</v>
      </c>
      <c r="O4505">
        <v>21.9</v>
      </c>
      <c r="P4505">
        <v>1074.71</v>
      </c>
    </row>
    <row r="4506" spans="1:16" x14ac:dyDescent="0.3">
      <c r="A4506">
        <v>27385</v>
      </c>
      <c r="B4506">
        <v>105</v>
      </c>
      <c r="C4506" t="s">
        <v>557</v>
      </c>
      <c r="D4506" s="452">
        <v>45748</v>
      </c>
      <c r="E4506">
        <v>18179</v>
      </c>
      <c r="F4506" t="s">
        <v>4924</v>
      </c>
      <c r="G4506">
        <v>3443</v>
      </c>
      <c r="H4506">
        <v>10</v>
      </c>
      <c r="I4506" t="s">
        <v>4805</v>
      </c>
      <c r="J4506" t="s">
        <v>5222</v>
      </c>
      <c r="K4506" t="s">
        <v>4455</v>
      </c>
      <c r="L4506">
        <v>0</v>
      </c>
      <c r="M4506" s="452">
        <v>45646</v>
      </c>
      <c r="N4506">
        <v>102.56</v>
      </c>
      <c r="O4506">
        <v>104.74</v>
      </c>
      <c r="P4506">
        <v>1025.5999999999999</v>
      </c>
    </row>
    <row r="4507" spans="1:16" x14ac:dyDescent="0.3">
      <c r="A4507">
        <v>27308</v>
      </c>
      <c r="B4507">
        <v>105</v>
      </c>
      <c r="C4507" t="s">
        <v>557</v>
      </c>
      <c r="D4507" s="452">
        <v>45748</v>
      </c>
      <c r="E4507">
        <v>19291</v>
      </c>
      <c r="F4507" t="s">
        <v>4870</v>
      </c>
      <c r="G4507">
        <v>2775</v>
      </c>
      <c r="H4507">
        <v>13.8</v>
      </c>
      <c r="I4507" t="s">
        <v>4744</v>
      </c>
      <c r="J4507" t="s">
        <v>5191</v>
      </c>
      <c r="K4507" t="s">
        <v>4455</v>
      </c>
      <c r="L4507">
        <v>72.25</v>
      </c>
      <c r="M4507" s="452">
        <v>45733</v>
      </c>
      <c r="N4507">
        <v>72.25</v>
      </c>
      <c r="O4507">
        <v>72.25</v>
      </c>
      <c r="P4507">
        <v>997.05</v>
      </c>
    </row>
    <row r="4508" spans="1:16" x14ac:dyDescent="0.3">
      <c r="A4508">
        <v>27348</v>
      </c>
      <c r="B4508">
        <v>105</v>
      </c>
      <c r="C4508" t="s">
        <v>557</v>
      </c>
      <c r="D4508" s="452">
        <v>45748</v>
      </c>
      <c r="E4508">
        <v>24981</v>
      </c>
      <c r="F4508" t="s">
        <v>5140</v>
      </c>
      <c r="G4508">
        <v>5849</v>
      </c>
      <c r="H4508">
        <v>2</v>
      </c>
      <c r="I4508" t="s">
        <v>4965</v>
      </c>
      <c r="J4508" t="s">
        <v>5222</v>
      </c>
      <c r="K4508" t="s">
        <v>4455</v>
      </c>
      <c r="L4508">
        <v>435</v>
      </c>
      <c r="M4508" s="452">
        <v>45741</v>
      </c>
      <c r="N4508">
        <v>435</v>
      </c>
      <c r="O4508">
        <v>435</v>
      </c>
      <c r="P4508">
        <v>870</v>
      </c>
    </row>
    <row r="4509" spans="1:16" x14ac:dyDescent="0.3">
      <c r="A4509">
        <v>27435</v>
      </c>
      <c r="B4509">
        <v>105</v>
      </c>
      <c r="C4509" t="s">
        <v>557</v>
      </c>
      <c r="D4509" s="452">
        <v>45748</v>
      </c>
      <c r="E4509">
        <v>17607</v>
      </c>
      <c r="F4509" t="s">
        <v>5436</v>
      </c>
      <c r="G4509">
        <v>3919</v>
      </c>
      <c r="H4509">
        <v>7</v>
      </c>
      <c r="I4509" t="s">
        <v>4736</v>
      </c>
      <c r="J4509" t="s">
        <v>5222</v>
      </c>
      <c r="K4509" t="s">
        <v>4455</v>
      </c>
      <c r="L4509">
        <v>0</v>
      </c>
      <c r="M4509" s="452">
        <v>-693593</v>
      </c>
      <c r="N4509">
        <v>0</v>
      </c>
      <c r="O4509">
        <v>0</v>
      </c>
      <c r="P4509">
        <v>856.17</v>
      </c>
    </row>
    <row r="4510" spans="1:16" x14ac:dyDescent="0.3">
      <c r="A4510">
        <v>27483</v>
      </c>
      <c r="B4510">
        <v>105</v>
      </c>
      <c r="C4510" t="s">
        <v>557</v>
      </c>
      <c r="D4510" s="452">
        <v>45748</v>
      </c>
      <c r="E4510">
        <v>24979</v>
      </c>
      <c r="F4510" t="s">
        <v>5548</v>
      </c>
      <c r="G4510">
        <v>5848</v>
      </c>
      <c r="H4510">
        <v>6</v>
      </c>
      <c r="I4510" t="s">
        <v>4738</v>
      </c>
      <c r="J4510" t="s">
        <v>5222</v>
      </c>
      <c r="K4510" t="s">
        <v>4455</v>
      </c>
      <c r="L4510">
        <v>141.52000000000001</v>
      </c>
      <c r="M4510" s="452">
        <v>45741</v>
      </c>
      <c r="N4510">
        <v>0</v>
      </c>
      <c r="O4510">
        <v>0</v>
      </c>
      <c r="P4510">
        <v>849.12</v>
      </c>
    </row>
    <row r="4511" spans="1:16" x14ac:dyDescent="0.3">
      <c r="A4511">
        <v>27328</v>
      </c>
      <c r="B4511">
        <v>105</v>
      </c>
      <c r="C4511" t="s">
        <v>557</v>
      </c>
      <c r="D4511" s="452">
        <v>45748</v>
      </c>
      <c r="E4511">
        <v>24320</v>
      </c>
      <c r="F4511" t="s">
        <v>4861</v>
      </c>
      <c r="G4511">
        <v>2942</v>
      </c>
      <c r="H4511">
        <v>15.05</v>
      </c>
      <c r="I4511" t="s">
        <v>4744</v>
      </c>
      <c r="J4511" t="s">
        <v>5191</v>
      </c>
      <c r="K4511" t="s">
        <v>4455</v>
      </c>
      <c r="L4511">
        <v>55.9</v>
      </c>
      <c r="M4511" s="452">
        <v>45743</v>
      </c>
      <c r="N4511">
        <v>55.9</v>
      </c>
      <c r="O4511">
        <v>47.9</v>
      </c>
      <c r="P4511">
        <v>841.3</v>
      </c>
    </row>
    <row r="4512" spans="1:16" x14ac:dyDescent="0.3">
      <c r="A4512">
        <v>27340</v>
      </c>
      <c r="B4512">
        <v>105</v>
      </c>
      <c r="C4512" t="s">
        <v>557</v>
      </c>
      <c r="D4512" s="452">
        <v>45748</v>
      </c>
      <c r="E4512">
        <v>26505</v>
      </c>
      <c r="F4512" t="s">
        <v>4750</v>
      </c>
      <c r="G4512">
        <v>6762</v>
      </c>
      <c r="H4512">
        <v>5.58</v>
      </c>
      <c r="I4512" t="s">
        <v>4738</v>
      </c>
      <c r="J4512" t="s">
        <v>5222</v>
      </c>
      <c r="K4512" t="s">
        <v>4455</v>
      </c>
      <c r="L4512">
        <v>203.42</v>
      </c>
      <c r="M4512" s="452">
        <v>45722</v>
      </c>
      <c r="N4512">
        <v>203.42</v>
      </c>
      <c r="O4512">
        <v>146.80000000000001</v>
      </c>
      <c r="P4512">
        <v>819.63</v>
      </c>
    </row>
    <row r="4513" spans="1:16" x14ac:dyDescent="0.3">
      <c r="A4513">
        <v>27191</v>
      </c>
      <c r="B4513">
        <v>105</v>
      </c>
      <c r="C4513" t="s">
        <v>557</v>
      </c>
      <c r="D4513" s="452">
        <v>45748</v>
      </c>
      <c r="E4513">
        <v>20501</v>
      </c>
      <c r="F4513" t="s">
        <v>4760</v>
      </c>
      <c r="G4513">
        <v>2154</v>
      </c>
      <c r="H4513">
        <v>39.630000000000003</v>
      </c>
      <c r="I4513" t="s">
        <v>4744</v>
      </c>
      <c r="J4513" t="s">
        <v>5191</v>
      </c>
      <c r="K4513" t="s">
        <v>4455</v>
      </c>
      <c r="L4513">
        <v>20.48</v>
      </c>
      <c r="M4513" s="452">
        <v>45740</v>
      </c>
      <c r="N4513">
        <v>20.89</v>
      </c>
      <c r="O4513">
        <v>19.899999999999999</v>
      </c>
      <c r="P4513">
        <v>811.62</v>
      </c>
    </row>
    <row r="4514" spans="1:16" x14ac:dyDescent="0.3">
      <c r="A4514">
        <v>27339</v>
      </c>
      <c r="B4514">
        <v>105</v>
      </c>
      <c r="C4514" t="s">
        <v>557</v>
      </c>
      <c r="D4514" s="452">
        <v>45748</v>
      </c>
      <c r="E4514">
        <v>24129</v>
      </c>
      <c r="F4514" t="s">
        <v>4740</v>
      </c>
      <c r="G4514">
        <v>3076</v>
      </c>
      <c r="H4514">
        <v>104</v>
      </c>
      <c r="I4514" t="s">
        <v>4736</v>
      </c>
      <c r="J4514" t="s">
        <v>5222</v>
      </c>
      <c r="K4514" t="s">
        <v>4455</v>
      </c>
      <c r="L4514">
        <v>0</v>
      </c>
      <c r="M4514" s="452">
        <v>45512</v>
      </c>
      <c r="N4514">
        <v>7.7</v>
      </c>
      <c r="O4514">
        <v>7.95</v>
      </c>
      <c r="P4514">
        <v>800.8</v>
      </c>
    </row>
    <row r="4515" spans="1:16" x14ac:dyDescent="0.3">
      <c r="A4515">
        <v>27346</v>
      </c>
      <c r="B4515">
        <v>105</v>
      </c>
      <c r="C4515" t="s">
        <v>557</v>
      </c>
      <c r="D4515" s="452">
        <v>45748</v>
      </c>
      <c r="E4515">
        <v>22623</v>
      </c>
      <c r="F4515" t="s">
        <v>4751</v>
      </c>
      <c r="G4515">
        <v>3106</v>
      </c>
      <c r="H4515">
        <v>114</v>
      </c>
      <c r="I4515" t="s">
        <v>4736</v>
      </c>
      <c r="J4515" t="s">
        <v>5222</v>
      </c>
      <c r="K4515" t="s">
        <v>4455</v>
      </c>
      <c r="L4515">
        <v>0</v>
      </c>
      <c r="M4515" s="452">
        <v>45679</v>
      </c>
      <c r="N4515">
        <v>6.83</v>
      </c>
      <c r="O4515">
        <v>6.83</v>
      </c>
      <c r="P4515">
        <v>778.62</v>
      </c>
    </row>
    <row r="4516" spans="1:16" x14ac:dyDescent="0.3">
      <c r="A4516">
        <v>27320</v>
      </c>
      <c r="B4516">
        <v>105</v>
      </c>
      <c r="C4516" t="s">
        <v>557</v>
      </c>
      <c r="D4516" s="452">
        <v>45748</v>
      </c>
      <c r="E4516">
        <v>22843</v>
      </c>
      <c r="F4516" t="s">
        <v>4849</v>
      </c>
      <c r="G4516">
        <v>2936</v>
      </c>
      <c r="H4516">
        <v>19.5</v>
      </c>
      <c r="I4516" t="s">
        <v>4744</v>
      </c>
      <c r="J4516" t="s">
        <v>5191</v>
      </c>
      <c r="K4516" t="s">
        <v>4455</v>
      </c>
      <c r="L4516">
        <v>36.950000000000003</v>
      </c>
      <c r="M4516" s="452">
        <v>45741</v>
      </c>
      <c r="N4516">
        <v>0</v>
      </c>
      <c r="O4516">
        <v>49</v>
      </c>
      <c r="P4516">
        <v>720.53</v>
      </c>
    </row>
    <row r="4517" spans="1:16" x14ac:dyDescent="0.3">
      <c r="A4517">
        <v>27344</v>
      </c>
      <c r="B4517">
        <v>105</v>
      </c>
      <c r="C4517" t="s">
        <v>557</v>
      </c>
      <c r="D4517" s="452">
        <v>45748</v>
      </c>
      <c r="E4517">
        <v>24977</v>
      </c>
      <c r="F4517" t="s">
        <v>5538</v>
      </c>
      <c r="G4517">
        <v>5847</v>
      </c>
      <c r="H4517">
        <v>9</v>
      </c>
      <c r="I4517" t="s">
        <v>4738</v>
      </c>
      <c r="J4517" t="s">
        <v>5222</v>
      </c>
      <c r="K4517" t="s">
        <v>4455</v>
      </c>
      <c r="L4517">
        <v>74.64</v>
      </c>
      <c r="M4517" s="452">
        <v>45741</v>
      </c>
      <c r="N4517">
        <v>0</v>
      </c>
      <c r="O4517">
        <v>0</v>
      </c>
      <c r="P4517">
        <v>671.76</v>
      </c>
    </row>
    <row r="4518" spans="1:16" x14ac:dyDescent="0.3">
      <c r="A4518">
        <v>27345</v>
      </c>
      <c r="B4518">
        <v>105</v>
      </c>
      <c r="C4518" t="s">
        <v>557</v>
      </c>
      <c r="D4518" s="452">
        <v>45748</v>
      </c>
      <c r="E4518">
        <v>22652</v>
      </c>
      <c r="F4518" t="s">
        <v>4759</v>
      </c>
      <c r="G4518">
        <v>3085</v>
      </c>
      <c r="H4518">
        <v>112</v>
      </c>
      <c r="I4518" t="s">
        <v>4736</v>
      </c>
      <c r="J4518" t="s">
        <v>5222</v>
      </c>
      <c r="K4518" t="s">
        <v>4455</v>
      </c>
      <c r="L4518">
        <v>0</v>
      </c>
      <c r="M4518" s="452">
        <v>45679</v>
      </c>
      <c r="N4518">
        <v>5.95</v>
      </c>
      <c r="O4518">
        <v>4.09</v>
      </c>
      <c r="P4518">
        <v>666.4</v>
      </c>
    </row>
    <row r="4519" spans="1:16" x14ac:dyDescent="0.3">
      <c r="A4519">
        <v>27332</v>
      </c>
      <c r="B4519">
        <v>105</v>
      </c>
      <c r="C4519" t="s">
        <v>557</v>
      </c>
      <c r="D4519" s="452">
        <v>45748</v>
      </c>
      <c r="E4519">
        <v>18735</v>
      </c>
      <c r="F4519" t="s">
        <v>4891</v>
      </c>
      <c r="G4519">
        <v>3018</v>
      </c>
      <c r="H4519">
        <v>8.93</v>
      </c>
      <c r="I4519" t="s">
        <v>4744</v>
      </c>
      <c r="J4519" t="s">
        <v>5191</v>
      </c>
      <c r="K4519" t="s">
        <v>4455</v>
      </c>
      <c r="L4519">
        <v>74</v>
      </c>
      <c r="M4519" s="452">
        <v>45740</v>
      </c>
      <c r="N4519">
        <v>74</v>
      </c>
      <c r="O4519">
        <v>67</v>
      </c>
      <c r="P4519">
        <v>660.82</v>
      </c>
    </row>
    <row r="4520" spans="1:16" x14ac:dyDescent="0.3">
      <c r="A4520">
        <v>27426</v>
      </c>
      <c r="B4520">
        <v>105</v>
      </c>
      <c r="C4520" t="s">
        <v>557</v>
      </c>
      <c r="D4520" s="452">
        <v>45748</v>
      </c>
      <c r="E4520">
        <v>25683</v>
      </c>
      <c r="F4520" t="s">
        <v>4928</v>
      </c>
      <c r="G4520">
        <v>6244</v>
      </c>
      <c r="H4520">
        <v>6</v>
      </c>
      <c r="I4520" t="s">
        <v>4805</v>
      </c>
      <c r="J4520" t="s">
        <v>5222</v>
      </c>
      <c r="K4520" t="s">
        <v>4455</v>
      </c>
      <c r="L4520">
        <v>107.99</v>
      </c>
      <c r="M4520" s="452">
        <v>45740</v>
      </c>
      <c r="N4520">
        <v>107.99</v>
      </c>
      <c r="O4520">
        <v>107.99</v>
      </c>
      <c r="P4520">
        <v>647.94000000000005</v>
      </c>
    </row>
    <row r="4521" spans="1:16" x14ac:dyDescent="0.3">
      <c r="A4521">
        <v>27318</v>
      </c>
      <c r="B4521">
        <v>105</v>
      </c>
      <c r="C4521" t="s">
        <v>557</v>
      </c>
      <c r="D4521" s="452">
        <v>45748</v>
      </c>
      <c r="E4521">
        <v>19041</v>
      </c>
      <c r="F4521" t="s">
        <v>4762</v>
      </c>
      <c r="G4521">
        <v>2890</v>
      </c>
      <c r="H4521">
        <v>33.700000000000003</v>
      </c>
      <c r="I4521" t="s">
        <v>4744</v>
      </c>
      <c r="J4521" t="s">
        <v>5191</v>
      </c>
      <c r="K4521" t="s">
        <v>4455</v>
      </c>
      <c r="L4521">
        <v>0</v>
      </c>
      <c r="M4521" s="452">
        <v>45713</v>
      </c>
      <c r="N4521">
        <v>18.5</v>
      </c>
      <c r="O4521">
        <v>14.5</v>
      </c>
      <c r="P4521">
        <v>623.45000000000005</v>
      </c>
    </row>
    <row r="4522" spans="1:16" x14ac:dyDescent="0.3">
      <c r="A4522">
        <v>27329</v>
      </c>
      <c r="B4522">
        <v>105</v>
      </c>
      <c r="C4522" t="s">
        <v>557</v>
      </c>
      <c r="D4522" s="452">
        <v>45748</v>
      </c>
      <c r="E4522">
        <v>18832</v>
      </c>
      <c r="F4522" t="s">
        <v>4785</v>
      </c>
      <c r="G4522">
        <v>2950</v>
      </c>
      <c r="H4522">
        <v>12.85</v>
      </c>
      <c r="I4522" t="s">
        <v>4744</v>
      </c>
      <c r="J4522" t="s">
        <v>5191</v>
      </c>
      <c r="K4522" t="s">
        <v>4455</v>
      </c>
      <c r="L4522">
        <v>47</v>
      </c>
      <c r="M4522" s="452">
        <v>45741</v>
      </c>
      <c r="N4522">
        <v>47</v>
      </c>
      <c r="O4522">
        <v>38.450000000000003</v>
      </c>
      <c r="P4522">
        <v>603.95000000000005</v>
      </c>
    </row>
    <row r="4523" spans="1:16" x14ac:dyDescent="0.3">
      <c r="A4523">
        <v>27301</v>
      </c>
      <c r="B4523">
        <v>105</v>
      </c>
      <c r="C4523" t="s">
        <v>557</v>
      </c>
      <c r="D4523" s="452">
        <v>45748</v>
      </c>
      <c r="E4523">
        <v>19401</v>
      </c>
      <c r="F4523" t="s">
        <v>4809</v>
      </c>
      <c r="G4523">
        <v>2761</v>
      </c>
      <c r="H4523">
        <v>13.05</v>
      </c>
      <c r="I4523" t="s">
        <v>4744</v>
      </c>
      <c r="J4523" t="s">
        <v>5191</v>
      </c>
      <c r="K4523" t="s">
        <v>4455</v>
      </c>
      <c r="L4523">
        <v>45.98</v>
      </c>
      <c r="M4523" s="452">
        <v>45741</v>
      </c>
      <c r="N4523">
        <v>45.98</v>
      </c>
      <c r="O4523">
        <v>45.98</v>
      </c>
      <c r="P4523">
        <v>600.04</v>
      </c>
    </row>
    <row r="4524" spans="1:16" x14ac:dyDescent="0.3">
      <c r="A4524">
        <v>27366</v>
      </c>
      <c r="B4524">
        <v>105</v>
      </c>
      <c r="C4524" t="s">
        <v>557</v>
      </c>
      <c r="D4524" s="452">
        <v>45748</v>
      </c>
      <c r="E4524">
        <v>18359</v>
      </c>
      <c r="F4524" t="s">
        <v>4921</v>
      </c>
      <c r="G4524">
        <v>3278</v>
      </c>
      <c r="H4524">
        <v>6</v>
      </c>
      <c r="I4524" t="s">
        <v>4805</v>
      </c>
      <c r="J4524" t="s">
        <v>5222</v>
      </c>
      <c r="K4524" t="s">
        <v>4455</v>
      </c>
      <c r="L4524">
        <v>99.9</v>
      </c>
      <c r="M4524" s="452">
        <v>45743</v>
      </c>
      <c r="N4524">
        <v>99.9</v>
      </c>
      <c r="O4524">
        <v>99.9</v>
      </c>
      <c r="P4524">
        <v>599.4</v>
      </c>
    </row>
    <row r="4525" spans="1:16" x14ac:dyDescent="0.3">
      <c r="A4525">
        <v>27159</v>
      </c>
      <c r="B4525">
        <v>105</v>
      </c>
      <c r="C4525" t="s">
        <v>557</v>
      </c>
      <c r="D4525" s="452">
        <v>45748</v>
      </c>
      <c r="E4525">
        <v>24189</v>
      </c>
      <c r="F4525" t="s">
        <v>5532</v>
      </c>
      <c r="G4525">
        <v>2140</v>
      </c>
      <c r="H4525">
        <v>25.3</v>
      </c>
      <c r="I4525" t="s">
        <v>4744</v>
      </c>
      <c r="J4525" t="s">
        <v>5191</v>
      </c>
      <c r="K4525" t="s">
        <v>4455</v>
      </c>
      <c r="L4525">
        <v>0</v>
      </c>
      <c r="M4525" s="452">
        <v>45546</v>
      </c>
      <c r="N4525">
        <v>22.4</v>
      </c>
      <c r="O4525">
        <v>22.34</v>
      </c>
      <c r="P4525">
        <v>566.72</v>
      </c>
    </row>
    <row r="4526" spans="1:16" x14ac:dyDescent="0.3">
      <c r="A4526">
        <v>27353</v>
      </c>
      <c r="B4526">
        <v>105</v>
      </c>
      <c r="C4526" t="s">
        <v>557</v>
      </c>
      <c r="D4526" s="452">
        <v>45748</v>
      </c>
      <c r="E4526">
        <v>18550</v>
      </c>
      <c r="F4526" t="s">
        <v>4967</v>
      </c>
      <c r="G4526">
        <v>3130</v>
      </c>
      <c r="H4526">
        <v>4</v>
      </c>
      <c r="I4526" t="s">
        <v>4805</v>
      </c>
      <c r="J4526" t="s">
        <v>5222</v>
      </c>
      <c r="K4526" t="s">
        <v>4455</v>
      </c>
      <c r="L4526">
        <v>140.19999999999999</v>
      </c>
      <c r="M4526" s="452">
        <v>45742</v>
      </c>
      <c r="N4526">
        <v>175.89</v>
      </c>
      <c r="O4526">
        <v>175.89</v>
      </c>
      <c r="P4526">
        <v>560.79999999999995</v>
      </c>
    </row>
    <row r="4527" spans="1:16" x14ac:dyDescent="0.3">
      <c r="A4527">
        <v>27143</v>
      </c>
      <c r="B4527">
        <v>105</v>
      </c>
      <c r="C4527" t="s">
        <v>557</v>
      </c>
      <c r="D4527" s="452">
        <v>45748</v>
      </c>
      <c r="E4527">
        <v>21054</v>
      </c>
      <c r="F4527" t="s">
        <v>5492</v>
      </c>
      <c r="G4527">
        <v>1999</v>
      </c>
      <c r="H4527">
        <v>3</v>
      </c>
      <c r="I4527" t="s">
        <v>4736</v>
      </c>
      <c r="J4527" t="s">
        <v>5191</v>
      </c>
      <c r="K4527" t="s">
        <v>4455</v>
      </c>
      <c r="L4527">
        <v>0</v>
      </c>
      <c r="M4527" s="452">
        <v>45678</v>
      </c>
      <c r="N4527">
        <v>184.9</v>
      </c>
      <c r="O4527">
        <v>184.9</v>
      </c>
      <c r="P4527">
        <v>554.70000000000005</v>
      </c>
    </row>
    <row r="4528" spans="1:16" x14ac:dyDescent="0.3">
      <c r="A4528">
        <v>27311</v>
      </c>
      <c r="B4528">
        <v>105</v>
      </c>
      <c r="C4528" t="s">
        <v>557</v>
      </c>
      <c r="D4528" s="452">
        <v>45748</v>
      </c>
      <c r="E4528">
        <v>22721</v>
      </c>
      <c r="F4528" t="s">
        <v>4803</v>
      </c>
      <c r="G4528">
        <v>3033</v>
      </c>
      <c r="H4528">
        <v>14.27</v>
      </c>
      <c r="I4528" t="s">
        <v>4744</v>
      </c>
      <c r="J4528" t="s">
        <v>5191</v>
      </c>
      <c r="K4528" t="s">
        <v>4455</v>
      </c>
      <c r="L4528">
        <v>38</v>
      </c>
      <c r="M4528" s="452">
        <v>45737</v>
      </c>
      <c r="N4528">
        <v>38</v>
      </c>
      <c r="O4528">
        <v>32.700000000000003</v>
      </c>
      <c r="P4528">
        <v>542.26</v>
      </c>
    </row>
    <row r="4529" spans="1:16" x14ac:dyDescent="0.3">
      <c r="A4529">
        <v>27408</v>
      </c>
      <c r="B4529">
        <v>105</v>
      </c>
      <c r="C4529" t="s">
        <v>557</v>
      </c>
      <c r="D4529" s="452">
        <v>45748</v>
      </c>
      <c r="E4529">
        <v>17996</v>
      </c>
      <c r="F4529" t="s">
        <v>4765</v>
      </c>
      <c r="G4529">
        <v>3600</v>
      </c>
      <c r="H4529">
        <v>4</v>
      </c>
      <c r="I4529" t="s">
        <v>4738</v>
      </c>
      <c r="J4529" t="s">
        <v>5222</v>
      </c>
      <c r="K4529" t="s">
        <v>4455</v>
      </c>
      <c r="L4529">
        <v>0</v>
      </c>
      <c r="M4529" s="452">
        <v>45653</v>
      </c>
      <c r="N4529">
        <v>0</v>
      </c>
      <c r="O4529">
        <v>2.19</v>
      </c>
      <c r="P4529">
        <v>525.6</v>
      </c>
    </row>
    <row r="4530" spans="1:16" x14ac:dyDescent="0.3">
      <c r="A4530">
        <v>27428</v>
      </c>
      <c r="B4530">
        <v>105</v>
      </c>
      <c r="C4530" t="s">
        <v>557</v>
      </c>
      <c r="D4530" s="452">
        <v>45748</v>
      </c>
      <c r="E4530">
        <v>17790</v>
      </c>
      <c r="F4530" t="s">
        <v>5530</v>
      </c>
      <c r="G4530">
        <v>3754</v>
      </c>
      <c r="H4530">
        <v>6</v>
      </c>
      <c r="I4530" t="s">
        <v>4805</v>
      </c>
      <c r="J4530" t="s">
        <v>5222</v>
      </c>
      <c r="K4530" t="s">
        <v>4455</v>
      </c>
      <c r="L4530">
        <v>84.45</v>
      </c>
      <c r="M4530" s="452">
        <v>45742</v>
      </c>
      <c r="N4530">
        <v>84.45</v>
      </c>
      <c r="O4530">
        <v>84.45</v>
      </c>
      <c r="P4530">
        <v>506.7</v>
      </c>
    </row>
    <row r="4531" spans="1:16" x14ac:dyDescent="0.3">
      <c r="A4531">
        <v>27307</v>
      </c>
      <c r="B4531">
        <v>105</v>
      </c>
      <c r="C4531" t="s">
        <v>557</v>
      </c>
      <c r="D4531" s="452">
        <v>45748</v>
      </c>
      <c r="E4531">
        <v>19322</v>
      </c>
      <c r="F4531" t="s">
        <v>4830</v>
      </c>
      <c r="G4531">
        <v>2773</v>
      </c>
      <c r="H4531">
        <v>12.83</v>
      </c>
      <c r="I4531" t="s">
        <v>4744</v>
      </c>
      <c r="J4531" t="s">
        <v>5191</v>
      </c>
      <c r="K4531" t="s">
        <v>4455</v>
      </c>
      <c r="L4531">
        <v>38.75</v>
      </c>
      <c r="M4531" s="452">
        <v>45733</v>
      </c>
      <c r="N4531">
        <v>38.75</v>
      </c>
      <c r="O4531">
        <v>48.02</v>
      </c>
      <c r="P4531">
        <v>497.16</v>
      </c>
    </row>
    <row r="4532" spans="1:16" x14ac:dyDescent="0.3">
      <c r="A4532">
        <v>27433</v>
      </c>
      <c r="B4532">
        <v>105</v>
      </c>
      <c r="C4532" t="s">
        <v>557</v>
      </c>
      <c r="D4532" s="452">
        <v>45748</v>
      </c>
      <c r="E4532">
        <v>17578</v>
      </c>
      <c r="F4532" t="s">
        <v>4842</v>
      </c>
      <c r="G4532">
        <v>3948</v>
      </c>
      <c r="H4532">
        <v>6</v>
      </c>
      <c r="I4532" t="s">
        <v>4805</v>
      </c>
      <c r="J4532" t="s">
        <v>5222</v>
      </c>
      <c r="K4532" t="s">
        <v>4455</v>
      </c>
      <c r="L4532">
        <v>0</v>
      </c>
      <c r="M4532" s="452">
        <v>45698</v>
      </c>
      <c r="N4532">
        <v>79.209999999999994</v>
      </c>
      <c r="O4532">
        <v>82.38</v>
      </c>
      <c r="P4532">
        <v>475.26</v>
      </c>
    </row>
    <row r="4533" spans="1:16" x14ac:dyDescent="0.3">
      <c r="A4533">
        <v>27398</v>
      </c>
      <c r="B4533">
        <v>105</v>
      </c>
      <c r="C4533" t="s">
        <v>557</v>
      </c>
      <c r="D4533" s="452">
        <v>45748</v>
      </c>
      <c r="E4533">
        <v>18008</v>
      </c>
      <c r="F4533" t="s">
        <v>4865</v>
      </c>
      <c r="G4533">
        <v>3589</v>
      </c>
      <c r="H4533">
        <v>6</v>
      </c>
      <c r="I4533" t="s">
        <v>4805</v>
      </c>
      <c r="J4533" t="s">
        <v>5222</v>
      </c>
      <c r="K4533" t="s">
        <v>4455</v>
      </c>
      <c r="L4533">
        <v>0</v>
      </c>
      <c r="M4533" s="452">
        <v>45716</v>
      </c>
      <c r="N4533">
        <v>76.83</v>
      </c>
      <c r="O4533">
        <v>76.83</v>
      </c>
      <c r="P4533">
        <v>460.98</v>
      </c>
    </row>
    <row r="4534" spans="1:16" x14ac:dyDescent="0.3">
      <c r="A4534">
        <v>27188</v>
      </c>
      <c r="B4534">
        <v>105</v>
      </c>
      <c r="C4534" t="s">
        <v>557</v>
      </c>
      <c r="D4534" s="452">
        <v>45748</v>
      </c>
      <c r="E4534">
        <v>20521</v>
      </c>
      <c r="F4534" t="s">
        <v>4797</v>
      </c>
      <c r="G4534">
        <v>2149</v>
      </c>
      <c r="H4534">
        <v>16.95</v>
      </c>
      <c r="I4534" t="s">
        <v>4744</v>
      </c>
      <c r="J4534" t="s">
        <v>5191</v>
      </c>
      <c r="K4534" t="s">
        <v>4455</v>
      </c>
      <c r="L4534">
        <v>0</v>
      </c>
      <c r="M4534" s="452">
        <v>45707</v>
      </c>
      <c r="N4534">
        <v>26.7</v>
      </c>
      <c r="O4534">
        <v>19.899999999999999</v>
      </c>
      <c r="P4534">
        <v>452.56</v>
      </c>
    </row>
    <row r="4535" spans="1:16" x14ac:dyDescent="0.3">
      <c r="A4535">
        <v>27356</v>
      </c>
      <c r="B4535">
        <v>105</v>
      </c>
      <c r="C4535" t="s">
        <v>557</v>
      </c>
      <c r="D4535" s="452">
        <v>45748</v>
      </c>
      <c r="E4535">
        <v>18518</v>
      </c>
      <c r="F4535" t="s">
        <v>4838</v>
      </c>
      <c r="G4535">
        <v>3148</v>
      </c>
      <c r="H4535">
        <v>9</v>
      </c>
      <c r="I4535" t="s">
        <v>4805</v>
      </c>
      <c r="J4535" t="s">
        <v>5222</v>
      </c>
      <c r="K4535" t="s">
        <v>4455</v>
      </c>
      <c r="L4535">
        <v>50</v>
      </c>
      <c r="M4535" s="452">
        <v>45722</v>
      </c>
      <c r="N4535">
        <v>50</v>
      </c>
      <c r="O4535">
        <v>50</v>
      </c>
      <c r="P4535">
        <v>450</v>
      </c>
    </row>
    <row r="4536" spans="1:16" x14ac:dyDescent="0.3">
      <c r="A4536">
        <v>27323</v>
      </c>
      <c r="B4536">
        <v>105</v>
      </c>
      <c r="C4536" t="s">
        <v>557</v>
      </c>
      <c r="D4536" s="452">
        <v>45748</v>
      </c>
      <c r="E4536">
        <v>24256</v>
      </c>
      <c r="F4536" t="s">
        <v>4773</v>
      </c>
      <c r="G4536">
        <v>3003</v>
      </c>
      <c r="H4536">
        <v>9.85</v>
      </c>
      <c r="I4536" t="s">
        <v>4744</v>
      </c>
      <c r="J4536" t="s">
        <v>5191</v>
      </c>
      <c r="K4536" t="s">
        <v>4455</v>
      </c>
      <c r="L4536">
        <v>45</v>
      </c>
      <c r="M4536" s="452">
        <v>45740</v>
      </c>
      <c r="N4536">
        <v>45</v>
      </c>
      <c r="O4536">
        <v>62</v>
      </c>
      <c r="P4536">
        <v>443.25</v>
      </c>
    </row>
    <row r="4537" spans="1:16" x14ac:dyDescent="0.3">
      <c r="A4537">
        <v>27354</v>
      </c>
      <c r="B4537">
        <v>105</v>
      </c>
      <c r="C4537" t="s">
        <v>557</v>
      </c>
      <c r="D4537" s="452">
        <v>45748</v>
      </c>
      <c r="E4537">
        <v>18547</v>
      </c>
      <c r="F4537" t="s">
        <v>4863</v>
      </c>
      <c r="G4537">
        <v>3132</v>
      </c>
      <c r="H4537">
        <v>12</v>
      </c>
      <c r="I4537" t="s">
        <v>4805</v>
      </c>
      <c r="J4537" t="s">
        <v>5222</v>
      </c>
      <c r="K4537" t="s">
        <v>4455</v>
      </c>
      <c r="L4537">
        <v>36.520000000000003</v>
      </c>
      <c r="M4537" s="452">
        <v>45742</v>
      </c>
      <c r="N4537">
        <v>34.75</v>
      </c>
      <c r="O4537">
        <v>34.75</v>
      </c>
      <c r="P4537">
        <v>438.24</v>
      </c>
    </row>
    <row r="4538" spans="1:16" x14ac:dyDescent="0.3">
      <c r="A4538">
        <v>27343</v>
      </c>
      <c r="B4538">
        <v>105</v>
      </c>
      <c r="C4538" t="s">
        <v>557</v>
      </c>
      <c r="D4538" s="452">
        <v>45748</v>
      </c>
      <c r="E4538">
        <v>24980</v>
      </c>
      <c r="F4538" t="s">
        <v>5549</v>
      </c>
      <c r="G4538">
        <v>5848</v>
      </c>
      <c r="H4538">
        <v>48</v>
      </c>
      <c r="I4538" t="s">
        <v>4736</v>
      </c>
      <c r="J4538" t="s">
        <v>5222</v>
      </c>
      <c r="K4538" t="s">
        <v>4455</v>
      </c>
      <c r="L4538">
        <v>0</v>
      </c>
      <c r="M4538" s="452">
        <v>45679</v>
      </c>
      <c r="N4538">
        <v>8.7899999999999991</v>
      </c>
      <c r="O4538">
        <v>8.7899999999999991</v>
      </c>
      <c r="P4538">
        <v>421.92</v>
      </c>
    </row>
    <row r="4539" spans="1:16" x14ac:dyDescent="0.3">
      <c r="A4539">
        <v>27431</v>
      </c>
      <c r="B4539">
        <v>105</v>
      </c>
      <c r="C4539" t="s">
        <v>557</v>
      </c>
      <c r="D4539" s="452">
        <v>45748</v>
      </c>
      <c r="E4539">
        <v>24614</v>
      </c>
      <c r="F4539" t="s">
        <v>4897</v>
      </c>
      <c r="G4539">
        <v>3855</v>
      </c>
      <c r="H4539">
        <v>6</v>
      </c>
      <c r="I4539" t="s">
        <v>4805</v>
      </c>
      <c r="J4539" t="s">
        <v>5222</v>
      </c>
      <c r="K4539" t="s">
        <v>4455</v>
      </c>
      <c r="L4539">
        <v>0</v>
      </c>
      <c r="M4539" s="452">
        <v>45548</v>
      </c>
      <c r="N4539">
        <v>69.650000000000006</v>
      </c>
      <c r="O4539">
        <v>79.349999999999994</v>
      </c>
      <c r="P4539">
        <v>417.9</v>
      </c>
    </row>
    <row r="4540" spans="1:16" x14ac:dyDescent="0.3">
      <c r="A4540">
        <v>27140</v>
      </c>
      <c r="B4540">
        <v>105</v>
      </c>
      <c r="C4540" t="s">
        <v>557</v>
      </c>
      <c r="D4540" s="452">
        <v>45748</v>
      </c>
      <c r="E4540">
        <v>20301</v>
      </c>
      <c r="F4540" t="s">
        <v>4944</v>
      </c>
      <c r="G4540">
        <v>2223</v>
      </c>
      <c r="H4540">
        <v>14</v>
      </c>
      <c r="I4540" t="s">
        <v>4738</v>
      </c>
      <c r="J4540" t="s">
        <v>5191</v>
      </c>
      <c r="K4540" t="s">
        <v>4455</v>
      </c>
      <c r="L4540">
        <v>29.84</v>
      </c>
      <c r="M4540" s="452">
        <v>45740</v>
      </c>
      <c r="N4540">
        <v>30.4</v>
      </c>
      <c r="O4540">
        <v>28.62</v>
      </c>
      <c r="P4540">
        <v>417.76</v>
      </c>
    </row>
    <row r="4541" spans="1:16" x14ac:dyDescent="0.3">
      <c r="A4541">
        <v>27429</v>
      </c>
      <c r="B4541">
        <v>105</v>
      </c>
      <c r="C4541" t="s">
        <v>557</v>
      </c>
      <c r="D4541" s="452">
        <v>45748</v>
      </c>
      <c r="E4541">
        <v>26036</v>
      </c>
      <c r="F4541" t="s">
        <v>4841</v>
      </c>
      <c r="G4541">
        <v>6505</v>
      </c>
      <c r="H4541">
        <v>6</v>
      </c>
      <c r="I4541" t="s">
        <v>4805</v>
      </c>
      <c r="J4541" t="s">
        <v>5222</v>
      </c>
      <c r="K4541" t="s">
        <v>4455</v>
      </c>
      <c r="L4541">
        <v>69.23</v>
      </c>
      <c r="M4541" s="452">
        <v>45742</v>
      </c>
      <c r="N4541">
        <v>69.23</v>
      </c>
      <c r="O4541">
        <v>69.23</v>
      </c>
      <c r="P4541">
        <v>415.38</v>
      </c>
    </row>
    <row r="4542" spans="1:16" x14ac:dyDescent="0.3">
      <c r="A4542">
        <v>27416</v>
      </c>
      <c r="B4542">
        <v>105</v>
      </c>
      <c r="C4542" t="s">
        <v>557</v>
      </c>
      <c r="D4542" s="452">
        <v>45748</v>
      </c>
      <c r="E4542">
        <v>17903</v>
      </c>
      <c r="F4542" t="s">
        <v>5084</v>
      </c>
      <c r="G4542">
        <v>3658</v>
      </c>
      <c r="H4542">
        <v>15</v>
      </c>
      <c r="I4542" t="s">
        <v>4738</v>
      </c>
      <c r="J4542" t="s">
        <v>5222</v>
      </c>
      <c r="K4542" t="s">
        <v>4455</v>
      </c>
      <c r="L4542">
        <v>27.48</v>
      </c>
      <c r="M4542" s="452">
        <v>45741</v>
      </c>
      <c r="N4542">
        <v>27.48</v>
      </c>
      <c r="O4542">
        <v>27.48</v>
      </c>
      <c r="P4542">
        <v>412.2</v>
      </c>
    </row>
    <row r="4543" spans="1:16" x14ac:dyDescent="0.3">
      <c r="A4543">
        <v>27157</v>
      </c>
      <c r="B4543">
        <v>105</v>
      </c>
      <c r="C4543" t="s">
        <v>557</v>
      </c>
      <c r="D4543" s="452">
        <v>45748</v>
      </c>
      <c r="E4543">
        <v>20928</v>
      </c>
      <c r="F4543" t="s">
        <v>4950</v>
      </c>
      <c r="G4543">
        <v>2033</v>
      </c>
      <c r="H4543">
        <v>2.67</v>
      </c>
      <c r="I4543" t="s">
        <v>4736</v>
      </c>
      <c r="J4543" t="s">
        <v>5191</v>
      </c>
      <c r="K4543" t="s">
        <v>4455</v>
      </c>
      <c r="L4543">
        <v>150</v>
      </c>
      <c r="M4543" s="452">
        <v>45740</v>
      </c>
      <c r="N4543">
        <v>150</v>
      </c>
      <c r="O4543">
        <v>150</v>
      </c>
      <c r="P4543">
        <v>400.5</v>
      </c>
    </row>
    <row r="4544" spans="1:16" x14ac:dyDescent="0.3">
      <c r="A4544">
        <v>27362</v>
      </c>
      <c r="B4544">
        <v>105</v>
      </c>
      <c r="C4544" t="s">
        <v>557</v>
      </c>
      <c r="D4544" s="452">
        <v>45748</v>
      </c>
      <c r="E4544">
        <v>18475</v>
      </c>
      <c r="F4544" t="s">
        <v>4895</v>
      </c>
      <c r="G4544">
        <v>3181</v>
      </c>
      <c r="H4544">
        <v>12</v>
      </c>
      <c r="I4544" t="s">
        <v>4805</v>
      </c>
      <c r="J4544" t="s">
        <v>5222</v>
      </c>
      <c r="K4544" t="s">
        <v>4455</v>
      </c>
      <c r="L4544">
        <v>32.9</v>
      </c>
      <c r="M4544" s="452">
        <v>45742</v>
      </c>
      <c r="N4544">
        <v>32.9</v>
      </c>
      <c r="O4544">
        <v>32.9</v>
      </c>
      <c r="P4544">
        <v>394.8</v>
      </c>
    </row>
    <row r="4545" spans="1:16" x14ac:dyDescent="0.3">
      <c r="A4545">
        <v>27334</v>
      </c>
      <c r="B4545">
        <v>105</v>
      </c>
      <c r="C4545" t="s">
        <v>557</v>
      </c>
      <c r="D4545" s="452">
        <v>45748</v>
      </c>
      <c r="E4545">
        <v>18731</v>
      </c>
      <c r="F4545" t="s">
        <v>4832</v>
      </c>
      <c r="G4545">
        <v>3020</v>
      </c>
      <c r="H4545">
        <v>4.5199999999999996</v>
      </c>
      <c r="I4545" t="s">
        <v>4744</v>
      </c>
      <c r="J4545" t="s">
        <v>5191</v>
      </c>
      <c r="K4545" t="s">
        <v>4455</v>
      </c>
      <c r="L4545">
        <v>83.9</v>
      </c>
      <c r="M4545" s="452">
        <v>45735</v>
      </c>
      <c r="N4545">
        <v>83.9</v>
      </c>
      <c r="O4545">
        <v>73</v>
      </c>
      <c r="P4545">
        <v>379.23</v>
      </c>
    </row>
    <row r="4546" spans="1:16" x14ac:dyDescent="0.3">
      <c r="A4546">
        <v>27317</v>
      </c>
      <c r="B4546">
        <v>105</v>
      </c>
      <c r="C4546" t="s">
        <v>557</v>
      </c>
      <c r="D4546" s="452">
        <v>45748</v>
      </c>
      <c r="E4546">
        <v>24199</v>
      </c>
      <c r="F4546" t="s">
        <v>4783</v>
      </c>
      <c r="G4546">
        <v>5084</v>
      </c>
      <c r="H4546">
        <v>10.86</v>
      </c>
      <c r="I4546" t="s">
        <v>4744</v>
      </c>
      <c r="J4546" t="s">
        <v>5191</v>
      </c>
      <c r="K4546" t="s">
        <v>4455</v>
      </c>
      <c r="L4546">
        <v>34.340000000000003</v>
      </c>
      <c r="M4546" s="452">
        <v>45741</v>
      </c>
      <c r="N4546">
        <v>35.9</v>
      </c>
      <c r="O4546">
        <v>27.9</v>
      </c>
      <c r="P4546">
        <v>372.93</v>
      </c>
    </row>
    <row r="4547" spans="1:16" x14ac:dyDescent="0.3">
      <c r="A4547">
        <v>27487</v>
      </c>
      <c r="B4547">
        <v>105</v>
      </c>
      <c r="C4547" t="s">
        <v>557</v>
      </c>
      <c r="D4547" s="452">
        <v>45748</v>
      </c>
      <c r="E4547">
        <v>26046</v>
      </c>
      <c r="F4547" t="s">
        <v>5148</v>
      </c>
      <c r="G4547">
        <v>6510</v>
      </c>
      <c r="H4547">
        <v>5</v>
      </c>
      <c r="I4547" t="s">
        <v>4805</v>
      </c>
      <c r="J4547" t="s">
        <v>5222</v>
      </c>
      <c r="K4547" t="s">
        <v>4455</v>
      </c>
      <c r="L4547">
        <v>0</v>
      </c>
      <c r="M4547" s="452">
        <v>45638</v>
      </c>
      <c r="N4547">
        <v>74.2</v>
      </c>
      <c r="O4547">
        <v>74.2</v>
      </c>
      <c r="P4547">
        <v>371</v>
      </c>
    </row>
    <row r="4548" spans="1:16" x14ac:dyDescent="0.3">
      <c r="A4548">
        <v>27324</v>
      </c>
      <c r="B4548">
        <v>105</v>
      </c>
      <c r="C4548" t="s">
        <v>557</v>
      </c>
      <c r="D4548" s="452">
        <v>45748</v>
      </c>
      <c r="E4548">
        <v>22839</v>
      </c>
      <c r="F4548" t="s">
        <v>4875</v>
      </c>
      <c r="G4548">
        <v>2938</v>
      </c>
      <c r="H4548">
        <v>4.5999999999999996</v>
      </c>
      <c r="I4548" t="s">
        <v>4744</v>
      </c>
      <c r="J4548" t="s">
        <v>5191</v>
      </c>
      <c r="K4548" t="s">
        <v>4455</v>
      </c>
      <c r="L4548">
        <v>0</v>
      </c>
      <c r="M4548" s="452">
        <v>45685</v>
      </c>
      <c r="N4548">
        <v>79.900000000000006</v>
      </c>
      <c r="O4548">
        <v>77.900000000000006</v>
      </c>
      <c r="P4548">
        <v>367.54</v>
      </c>
    </row>
    <row r="4549" spans="1:16" x14ac:dyDescent="0.3">
      <c r="A4549">
        <v>27293</v>
      </c>
      <c r="B4549">
        <v>105</v>
      </c>
      <c r="C4549" t="s">
        <v>557</v>
      </c>
      <c r="D4549" s="452">
        <v>45748</v>
      </c>
      <c r="E4549">
        <v>19541</v>
      </c>
      <c r="F4549" t="s">
        <v>5517</v>
      </c>
      <c r="G4549">
        <v>2675</v>
      </c>
      <c r="H4549">
        <v>34</v>
      </c>
      <c r="I4549" t="s">
        <v>4744</v>
      </c>
      <c r="J4549" t="s">
        <v>5191</v>
      </c>
      <c r="K4549" t="s">
        <v>4455</v>
      </c>
      <c r="L4549">
        <v>10.76</v>
      </c>
      <c r="M4549" s="452">
        <v>45744</v>
      </c>
      <c r="N4549">
        <v>14.56</v>
      </c>
      <c r="O4549">
        <v>12.47</v>
      </c>
      <c r="P4549">
        <v>365.84</v>
      </c>
    </row>
    <row r="4550" spans="1:16" x14ac:dyDescent="0.3">
      <c r="A4550">
        <v>27313</v>
      </c>
      <c r="B4550">
        <v>105</v>
      </c>
      <c r="C4550" t="s">
        <v>557</v>
      </c>
      <c r="D4550" s="452">
        <v>45748</v>
      </c>
      <c r="E4550">
        <v>24091</v>
      </c>
      <c r="F4550" t="s">
        <v>5550</v>
      </c>
      <c r="G4550">
        <v>2919</v>
      </c>
      <c r="H4550">
        <v>5.77</v>
      </c>
      <c r="I4550" t="s">
        <v>4744</v>
      </c>
      <c r="J4550" t="s">
        <v>5191</v>
      </c>
      <c r="K4550" t="s">
        <v>4455</v>
      </c>
      <c r="L4550">
        <v>0</v>
      </c>
      <c r="M4550" s="452">
        <v>45499</v>
      </c>
      <c r="N4550">
        <v>0</v>
      </c>
      <c r="O4550">
        <v>0</v>
      </c>
      <c r="P4550">
        <v>357.68</v>
      </c>
    </row>
    <row r="4551" spans="1:16" x14ac:dyDescent="0.3">
      <c r="A4551">
        <v>27319</v>
      </c>
      <c r="B4551">
        <v>105</v>
      </c>
      <c r="C4551" t="s">
        <v>557</v>
      </c>
      <c r="D4551" s="452">
        <v>45748</v>
      </c>
      <c r="E4551">
        <v>22844</v>
      </c>
      <c r="F4551" t="s">
        <v>5551</v>
      </c>
      <c r="G4551">
        <v>2935</v>
      </c>
      <c r="H4551">
        <v>7.75</v>
      </c>
      <c r="I4551" t="s">
        <v>4744</v>
      </c>
      <c r="J4551" t="s">
        <v>5191</v>
      </c>
      <c r="K4551" t="s">
        <v>4455</v>
      </c>
      <c r="L4551">
        <v>42.4</v>
      </c>
      <c r="M4551" s="452">
        <v>45743</v>
      </c>
      <c r="N4551">
        <v>47.9</v>
      </c>
      <c r="O4551">
        <v>47.9</v>
      </c>
      <c r="P4551">
        <v>328.6</v>
      </c>
    </row>
    <row r="4552" spans="1:16" x14ac:dyDescent="0.3">
      <c r="A4552">
        <v>27386</v>
      </c>
      <c r="B4552">
        <v>105</v>
      </c>
      <c r="C4552" t="s">
        <v>557</v>
      </c>
      <c r="D4552" s="452">
        <v>45748</v>
      </c>
      <c r="E4552">
        <v>18172</v>
      </c>
      <c r="F4552" t="s">
        <v>4804</v>
      </c>
      <c r="G4552">
        <v>3450</v>
      </c>
      <c r="H4552">
        <v>10</v>
      </c>
      <c r="I4552" t="s">
        <v>4805</v>
      </c>
      <c r="J4552" t="s">
        <v>5222</v>
      </c>
      <c r="K4552" t="s">
        <v>4455</v>
      </c>
      <c r="L4552">
        <v>0</v>
      </c>
      <c r="M4552" s="452">
        <v>45706</v>
      </c>
      <c r="N4552">
        <v>32.630000000000003</v>
      </c>
      <c r="O4552">
        <v>32.630000000000003</v>
      </c>
      <c r="P4552">
        <v>326.3</v>
      </c>
    </row>
    <row r="4553" spans="1:16" x14ac:dyDescent="0.3">
      <c r="A4553">
        <v>27436</v>
      </c>
      <c r="B4553">
        <v>105</v>
      </c>
      <c r="C4553" t="s">
        <v>557</v>
      </c>
      <c r="D4553" s="452">
        <v>45748</v>
      </c>
      <c r="E4553">
        <v>26236</v>
      </c>
      <c r="F4553" t="s">
        <v>5077</v>
      </c>
      <c r="G4553">
        <v>6638</v>
      </c>
      <c r="H4553">
        <v>2</v>
      </c>
      <c r="I4553" t="s">
        <v>4805</v>
      </c>
      <c r="J4553" t="s">
        <v>5222</v>
      </c>
      <c r="K4553" t="s">
        <v>4455</v>
      </c>
      <c r="L4553">
        <v>0</v>
      </c>
      <c r="M4553" s="452">
        <v>-693593</v>
      </c>
      <c r="N4553">
        <v>0</v>
      </c>
      <c r="O4553">
        <v>0</v>
      </c>
      <c r="P4553">
        <v>321.10000000000002</v>
      </c>
    </row>
    <row r="4554" spans="1:16" x14ac:dyDescent="0.3">
      <c r="A4554">
        <v>27314</v>
      </c>
      <c r="B4554">
        <v>105</v>
      </c>
      <c r="C4554" t="s">
        <v>557</v>
      </c>
      <c r="D4554" s="452">
        <v>45748</v>
      </c>
      <c r="E4554">
        <v>22860</v>
      </c>
      <c r="F4554" t="s">
        <v>4777</v>
      </c>
      <c r="G4554">
        <v>2924</v>
      </c>
      <c r="H4554">
        <v>7.1</v>
      </c>
      <c r="I4554" t="s">
        <v>4744</v>
      </c>
      <c r="J4554" t="s">
        <v>5191</v>
      </c>
      <c r="K4554" t="s">
        <v>4455</v>
      </c>
      <c r="L4554">
        <v>0</v>
      </c>
      <c r="M4554" s="452">
        <v>45678</v>
      </c>
      <c r="N4554">
        <v>44</v>
      </c>
      <c r="O4554">
        <v>44</v>
      </c>
      <c r="P4554">
        <v>312.39999999999998</v>
      </c>
    </row>
    <row r="4555" spans="1:16" x14ac:dyDescent="0.3">
      <c r="A4555">
        <v>27399</v>
      </c>
      <c r="B4555">
        <v>105</v>
      </c>
      <c r="C4555" t="s">
        <v>557</v>
      </c>
      <c r="D4555" s="452">
        <v>45748</v>
      </c>
      <c r="E4555">
        <v>18030</v>
      </c>
      <c r="F4555" t="s">
        <v>4840</v>
      </c>
      <c r="G4555">
        <v>3568</v>
      </c>
      <c r="H4555">
        <v>12</v>
      </c>
      <c r="I4555" t="s">
        <v>4805</v>
      </c>
      <c r="J4555" t="s">
        <v>5222</v>
      </c>
      <c r="K4555" t="s">
        <v>4455</v>
      </c>
      <c r="L4555">
        <v>25.9</v>
      </c>
      <c r="M4555" s="452">
        <v>45737</v>
      </c>
      <c r="N4555">
        <v>25.9</v>
      </c>
      <c r="O4555">
        <v>25.9</v>
      </c>
      <c r="P4555">
        <v>310.8</v>
      </c>
    </row>
    <row r="4556" spans="1:16" x14ac:dyDescent="0.3">
      <c r="A4556">
        <v>27331</v>
      </c>
      <c r="B4556">
        <v>105</v>
      </c>
      <c r="C4556" t="s">
        <v>557</v>
      </c>
      <c r="D4556" s="452">
        <v>45748</v>
      </c>
      <c r="E4556">
        <v>18996</v>
      </c>
      <c r="F4556" t="s">
        <v>5130</v>
      </c>
      <c r="G4556">
        <v>2900</v>
      </c>
      <c r="H4556">
        <v>14.95</v>
      </c>
      <c r="I4556" t="s">
        <v>4744</v>
      </c>
      <c r="J4556" t="s">
        <v>5191</v>
      </c>
      <c r="K4556" t="s">
        <v>4455</v>
      </c>
      <c r="L4556">
        <v>19.88</v>
      </c>
      <c r="M4556" s="452">
        <v>45741</v>
      </c>
      <c r="N4556">
        <v>19.88</v>
      </c>
      <c r="O4556">
        <v>19.88</v>
      </c>
      <c r="P4556">
        <v>297.20999999999998</v>
      </c>
    </row>
    <row r="4557" spans="1:16" x14ac:dyDescent="0.3">
      <c r="A4557">
        <v>27298</v>
      </c>
      <c r="B4557">
        <v>105</v>
      </c>
      <c r="C4557" t="s">
        <v>557</v>
      </c>
      <c r="D4557" s="452">
        <v>45748</v>
      </c>
      <c r="E4557">
        <v>19353</v>
      </c>
      <c r="F4557" t="s">
        <v>4851</v>
      </c>
      <c r="G4557">
        <v>2768</v>
      </c>
      <c r="H4557">
        <v>11.85</v>
      </c>
      <c r="I4557" t="s">
        <v>4744</v>
      </c>
      <c r="J4557" t="s">
        <v>5191</v>
      </c>
      <c r="K4557" t="s">
        <v>4455</v>
      </c>
      <c r="L4557">
        <v>0</v>
      </c>
      <c r="M4557" s="452">
        <v>45633</v>
      </c>
      <c r="N4557">
        <v>24.6</v>
      </c>
      <c r="O4557">
        <v>24.6</v>
      </c>
      <c r="P4557">
        <v>291.51</v>
      </c>
    </row>
    <row r="4558" spans="1:16" x14ac:dyDescent="0.3">
      <c r="A4558">
        <v>27384</v>
      </c>
      <c r="B4558">
        <v>105</v>
      </c>
      <c r="C4558" t="s">
        <v>557</v>
      </c>
      <c r="D4558" s="452">
        <v>45748</v>
      </c>
      <c r="E4558">
        <v>18194</v>
      </c>
      <c r="F4558" t="s">
        <v>4923</v>
      </c>
      <c r="G4558">
        <v>3430</v>
      </c>
      <c r="H4558">
        <v>3</v>
      </c>
      <c r="I4558" t="s">
        <v>4805</v>
      </c>
      <c r="J4558" t="s">
        <v>5222</v>
      </c>
      <c r="K4558" t="s">
        <v>4455</v>
      </c>
      <c r="L4558">
        <v>0</v>
      </c>
      <c r="M4558" s="452">
        <v>45716</v>
      </c>
      <c r="N4558">
        <v>96.16</v>
      </c>
      <c r="O4558">
        <v>63.99</v>
      </c>
      <c r="P4558">
        <v>288.48</v>
      </c>
    </row>
    <row r="4559" spans="1:16" x14ac:dyDescent="0.3">
      <c r="A4559">
        <v>27360</v>
      </c>
      <c r="B4559">
        <v>105</v>
      </c>
      <c r="C4559" t="s">
        <v>557</v>
      </c>
      <c r="D4559" s="452">
        <v>45748</v>
      </c>
      <c r="E4559">
        <v>18491</v>
      </c>
      <c r="F4559" t="s">
        <v>4839</v>
      </c>
      <c r="G4559">
        <v>3166</v>
      </c>
      <c r="H4559">
        <v>8</v>
      </c>
      <c r="I4559" t="s">
        <v>4805</v>
      </c>
      <c r="J4559" t="s">
        <v>5222</v>
      </c>
      <c r="K4559" t="s">
        <v>4455</v>
      </c>
      <c r="L4559">
        <v>0</v>
      </c>
      <c r="M4559" s="452">
        <v>45555</v>
      </c>
      <c r="N4559">
        <v>35.9</v>
      </c>
      <c r="O4559">
        <v>35.9</v>
      </c>
      <c r="P4559">
        <v>287.2</v>
      </c>
    </row>
    <row r="4560" spans="1:16" x14ac:dyDescent="0.3">
      <c r="A4560">
        <v>27312</v>
      </c>
      <c r="B4560">
        <v>105</v>
      </c>
      <c r="C4560" t="s">
        <v>557</v>
      </c>
      <c r="D4560" s="452">
        <v>45748</v>
      </c>
      <c r="E4560">
        <v>22719</v>
      </c>
      <c r="F4560" t="s">
        <v>4834</v>
      </c>
      <c r="G4560">
        <v>3034</v>
      </c>
      <c r="H4560">
        <v>9.1</v>
      </c>
      <c r="I4560" t="s">
        <v>4744</v>
      </c>
      <c r="J4560" t="s">
        <v>5191</v>
      </c>
      <c r="K4560" t="s">
        <v>4455</v>
      </c>
      <c r="L4560">
        <v>0</v>
      </c>
      <c r="M4560" s="452">
        <v>45685</v>
      </c>
      <c r="N4560">
        <v>31</v>
      </c>
      <c r="O4560">
        <v>31</v>
      </c>
      <c r="P4560">
        <v>282.10000000000002</v>
      </c>
    </row>
    <row r="4561" spans="1:16" x14ac:dyDescent="0.3">
      <c r="A4561">
        <v>27430</v>
      </c>
      <c r="B4561">
        <v>105</v>
      </c>
      <c r="C4561" t="s">
        <v>557</v>
      </c>
      <c r="D4561" s="452">
        <v>45748</v>
      </c>
      <c r="E4561">
        <v>26032</v>
      </c>
      <c r="F4561" t="s">
        <v>4896</v>
      </c>
      <c r="G4561">
        <v>6503</v>
      </c>
      <c r="H4561">
        <v>6</v>
      </c>
      <c r="I4561" t="s">
        <v>4805</v>
      </c>
      <c r="J4561" t="s">
        <v>5222</v>
      </c>
      <c r="K4561" t="s">
        <v>4455</v>
      </c>
      <c r="L4561">
        <v>0</v>
      </c>
      <c r="M4561" s="452">
        <v>45698</v>
      </c>
      <c r="N4561">
        <v>46.38</v>
      </c>
      <c r="O4561">
        <v>46.38</v>
      </c>
      <c r="P4561">
        <v>278.27999999999997</v>
      </c>
    </row>
    <row r="4562" spans="1:16" x14ac:dyDescent="0.3">
      <c r="A4562">
        <v>27432</v>
      </c>
      <c r="B4562">
        <v>105</v>
      </c>
      <c r="C4562" t="s">
        <v>557</v>
      </c>
      <c r="D4562" s="452">
        <v>45748</v>
      </c>
      <c r="E4562">
        <v>26038</v>
      </c>
      <c r="F4562" t="s">
        <v>4976</v>
      </c>
      <c r="G4562">
        <v>6506</v>
      </c>
      <c r="H4562">
        <v>6</v>
      </c>
      <c r="I4562" t="s">
        <v>4805</v>
      </c>
      <c r="J4562" t="s">
        <v>5222</v>
      </c>
      <c r="K4562" t="s">
        <v>4455</v>
      </c>
      <c r="L4562">
        <v>0</v>
      </c>
      <c r="M4562" s="452">
        <v>45709</v>
      </c>
      <c r="N4562">
        <v>46.38</v>
      </c>
      <c r="O4562">
        <v>46.38</v>
      </c>
      <c r="P4562">
        <v>278.27999999999997</v>
      </c>
    </row>
    <row r="4563" spans="1:16" x14ac:dyDescent="0.3">
      <c r="A4563">
        <v>27486</v>
      </c>
      <c r="B4563">
        <v>105</v>
      </c>
      <c r="C4563" t="s">
        <v>557</v>
      </c>
      <c r="D4563" s="452">
        <v>45748</v>
      </c>
      <c r="E4563">
        <v>26040</v>
      </c>
      <c r="F4563" t="s">
        <v>4812</v>
      </c>
      <c r="G4563">
        <v>6507</v>
      </c>
      <c r="H4563">
        <v>6</v>
      </c>
      <c r="I4563" t="s">
        <v>4805</v>
      </c>
      <c r="J4563" t="s">
        <v>5222</v>
      </c>
      <c r="K4563" t="s">
        <v>4455</v>
      </c>
      <c r="L4563">
        <v>0</v>
      </c>
      <c r="M4563" s="452">
        <v>45638</v>
      </c>
      <c r="N4563">
        <v>46.38</v>
      </c>
      <c r="O4563">
        <v>46.38</v>
      </c>
      <c r="P4563">
        <v>278.27999999999997</v>
      </c>
    </row>
    <row r="4564" spans="1:16" x14ac:dyDescent="0.3">
      <c r="A4564">
        <v>27183</v>
      </c>
      <c r="B4564">
        <v>105</v>
      </c>
      <c r="C4564" t="s">
        <v>557</v>
      </c>
      <c r="D4564" s="452">
        <v>45748</v>
      </c>
      <c r="E4564">
        <v>20660</v>
      </c>
      <c r="F4564" t="s">
        <v>5011</v>
      </c>
      <c r="G4564">
        <v>2110</v>
      </c>
      <c r="H4564">
        <v>4.3099999999999996</v>
      </c>
      <c r="I4564" t="s">
        <v>4955</v>
      </c>
      <c r="J4564" t="s">
        <v>5191</v>
      </c>
      <c r="K4564" t="s">
        <v>4455</v>
      </c>
      <c r="L4564">
        <v>64.36</v>
      </c>
      <c r="M4564" s="452">
        <v>45741</v>
      </c>
      <c r="N4564">
        <v>64.510000000000005</v>
      </c>
      <c r="O4564">
        <v>63.98</v>
      </c>
      <c r="P4564">
        <v>277.39</v>
      </c>
    </row>
    <row r="4565" spans="1:16" x14ac:dyDescent="0.3">
      <c r="A4565">
        <v>27404</v>
      </c>
      <c r="B4565">
        <v>105</v>
      </c>
      <c r="C4565" t="s">
        <v>557</v>
      </c>
      <c r="D4565" s="452">
        <v>45748</v>
      </c>
      <c r="E4565">
        <v>17958</v>
      </c>
      <c r="F4565" t="s">
        <v>5076</v>
      </c>
      <c r="G4565">
        <v>3622</v>
      </c>
      <c r="H4565">
        <v>17</v>
      </c>
      <c r="I4565" t="s">
        <v>4738</v>
      </c>
      <c r="J4565" t="s">
        <v>5222</v>
      </c>
      <c r="K4565" t="s">
        <v>4455</v>
      </c>
      <c r="L4565">
        <v>15.9</v>
      </c>
      <c r="M4565" s="452">
        <v>45743</v>
      </c>
      <c r="N4565">
        <v>15.9</v>
      </c>
      <c r="O4565">
        <v>15.9</v>
      </c>
      <c r="P4565">
        <v>270.3</v>
      </c>
    </row>
    <row r="4566" spans="1:16" x14ac:dyDescent="0.3">
      <c r="A4566">
        <v>27145</v>
      </c>
      <c r="B4566">
        <v>105</v>
      </c>
      <c r="C4566" t="s">
        <v>557</v>
      </c>
      <c r="D4566" s="452">
        <v>45748</v>
      </c>
      <c r="E4566">
        <v>20743</v>
      </c>
      <c r="F4566" t="s">
        <v>5496</v>
      </c>
      <c r="G4566">
        <v>2090</v>
      </c>
      <c r="H4566">
        <v>3.4</v>
      </c>
      <c r="I4566" t="s">
        <v>4736</v>
      </c>
      <c r="J4566" t="s">
        <v>5191</v>
      </c>
      <c r="K4566" t="s">
        <v>4455</v>
      </c>
      <c r="L4566">
        <v>79.31</v>
      </c>
      <c r="M4566" s="452">
        <v>45740</v>
      </c>
      <c r="N4566">
        <v>79.31</v>
      </c>
      <c r="O4566">
        <v>86.1</v>
      </c>
      <c r="P4566">
        <v>269.64999999999998</v>
      </c>
    </row>
    <row r="4567" spans="1:16" x14ac:dyDescent="0.3">
      <c r="A4567">
        <v>27372</v>
      </c>
      <c r="B4567">
        <v>105</v>
      </c>
      <c r="C4567" t="s">
        <v>557</v>
      </c>
      <c r="D4567" s="452">
        <v>45748</v>
      </c>
      <c r="E4567">
        <v>18315</v>
      </c>
      <c r="F4567" t="s">
        <v>4922</v>
      </c>
      <c r="G4567">
        <v>3318</v>
      </c>
      <c r="H4567">
        <v>2</v>
      </c>
      <c r="I4567" t="s">
        <v>4805</v>
      </c>
      <c r="J4567" t="s">
        <v>5222</v>
      </c>
      <c r="K4567" t="s">
        <v>4455</v>
      </c>
      <c r="L4567">
        <v>133</v>
      </c>
      <c r="M4567" s="452">
        <v>45737</v>
      </c>
      <c r="N4567">
        <v>133</v>
      </c>
      <c r="O4567">
        <v>133</v>
      </c>
      <c r="P4567">
        <v>266</v>
      </c>
    </row>
    <row r="4568" spans="1:16" x14ac:dyDescent="0.3">
      <c r="A4568">
        <v>27392</v>
      </c>
      <c r="B4568">
        <v>105</v>
      </c>
      <c r="C4568" t="s">
        <v>557</v>
      </c>
      <c r="D4568" s="452">
        <v>45748</v>
      </c>
      <c r="E4568">
        <v>18114</v>
      </c>
      <c r="F4568" t="s">
        <v>5046</v>
      </c>
      <c r="G4568">
        <v>3498</v>
      </c>
      <c r="H4568">
        <v>1</v>
      </c>
      <c r="I4568" t="s">
        <v>4805</v>
      </c>
      <c r="J4568" t="s">
        <v>5222</v>
      </c>
      <c r="K4568" t="s">
        <v>4455</v>
      </c>
      <c r="L4568">
        <v>0</v>
      </c>
      <c r="M4568" s="452">
        <v>-693593</v>
      </c>
      <c r="N4568">
        <v>0</v>
      </c>
      <c r="O4568">
        <v>261.70999999999998</v>
      </c>
      <c r="P4568">
        <v>261.70999999999998</v>
      </c>
    </row>
    <row r="4569" spans="1:16" x14ac:dyDescent="0.3">
      <c r="A4569">
        <v>27130</v>
      </c>
      <c r="B4569">
        <v>105</v>
      </c>
      <c r="C4569" t="s">
        <v>557</v>
      </c>
      <c r="D4569" s="452">
        <v>45748</v>
      </c>
      <c r="E4569">
        <v>21150</v>
      </c>
      <c r="F4569" t="s">
        <v>4878</v>
      </c>
      <c r="G4569">
        <v>1951</v>
      </c>
      <c r="H4569">
        <v>2.35</v>
      </c>
      <c r="I4569" t="s">
        <v>4879</v>
      </c>
      <c r="J4569" t="s">
        <v>5191</v>
      </c>
      <c r="K4569" t="s">
        <v>4455</v>
      </c>
      <c r="L4569">
        <v>0</v>
      </c>
      <c r="M4569" s="452">
        <v>45469</v>
      </c>
      <c r="N4569">
        <v>106.9</v>
      </c>
      <c r="O4569">
        <v>113.31</v>
      </c>
      <c r="P4569">
        <v>251.22</v>
      </c>
    </row>
    <row r="4570" spans="1:16" x14ac:dyDescent="0.3">
      <c r="A4570">
        <v>27368</v>
      </c>
      <c r="B4570">
        <v>105</v>
      </c>
      <c r="C4570" t="s">
        <v>557</v>
      </c>
      <c r="D4570" s="452">
        <v>45748</v>
      </c>
      <c r="E4570">
        <v>18293</v>
      </c>
      <c r="F4570" t="s">
        <v>5034</v>
      </c>
      <c r="G4570">
        <v>3336</v>
      </c>
      <c r="H4570">
        <v>2</v>
      </c>
      <c r="I4570" t="s">
        <v>4805</v>
      </c>
      <c r="J4570" t="s">
        <v>5222</v>
      </c>
      <c r="K4570" t="s">
        <v>4455</v>
      </c>
      <c r="L4570">
        <v>0</v>
      </c>
      <c r="M4570" s="452">
        <v>45525</v>
      </c>
      <c r="N4570">
        <v>124.82</v>
      </c>
      <c r="O4570">
        <v>115.89</v>
      </c>
      <c r="P4570">
        <v>249.64</v>
      </c>
    </row>
    <row r="4571" spans="1:16" x14ac:dyDescent="0.3">
      <c r="A4571">
        <v>27327</v>
      </c>
      <c r="B4571">
        <v>105</v>
      </c>
      <c r="C4571" t="s">
        <v>557</v>
      </c>
      <c r="D4571" s="452">
        <v>45748</v>
      </c>
      <c r="E4571">
        <v>19003</v>
      </c>
      <c r="F4571" t="s">
        <v>4810</v>
      </c>
      <c r="G4571">
        <v>2897</v>
      </c>
      <c r="H4571">
        <v>6.95</v>
      </c>
      <c r="I4571" t="s">
        <v>4744</v>
      </c>
      <c r="J4571" t="s">
        <v>5191</v>
      </c>
      <c r="K4571" t="s">
        <v>4455</v>
      </c>
      <c r="L4571">
        <v>35.9</v>
      </c>
      <c r="M4571" s="452">
        <v>45743</v>
      </c>
      <c r="N4571">
        <v>35.9</v>
      </c>
      <c r="O4571">
        <v>35.9</v>
      </c>
      <c r="P4571">
        <v>249.5</v>
      </c>
    </row>
    <row r="4572" spans="1:16" x14ac:dyDescent="0.3">
      <c r="A4572">
        <v>27259</v>
      </c>
      <c r="B4572">
        <v>105</v>
      </c>
      <c r="C4572" t="s">
        <v>557</v>
      </c>
      <c r="D4572" s="452">
        <v>45748</v>
      </c>
      <c r="E4572">
        <v>19756</v>
      </c>
      <c r="F4572" t="s">
        <v>4754</v>
      </c>
      <c r="G4572">
        <v>2497</v>
      </c>
      <c r="H4572">
        <v>48.72</v>
      </c>
      <c r="I4572" t="s">
        <v>4744</v>
      </c>
      <c r="J4572" t="s">
        <v>5191</v>
      </c>
      <c r="K4572" t="s">
        <v>4455</v>
      </c>
      <c r="L4572">
        <v>5.1100000000000003</v>
      </c>
      <c r="M4572" s="452">
        <v>45747</v>
      </c>
      <c r="N4572">
        <v>4.9400000000000004</v>
      </c>
      <c r="O4572">
        <v>4.9400000000000004</v>
      </c>
      <c r="P4572">
        <v>248.96</v>
      </c>
    </row>
    <row r="4573" spans="1:16" x14ac:dyDescent="0.3">
      <c r="A4573">
        <v>27196</v>
      </c>
      <c r="B4573">
        <v>105</v>
      </c>
      <c r="C4573" t="s">
        <v>557</v>
      </c>
      <c r="D4573" s="452">
        <v>45748</v>
      </c>
      <c r="E4573">
        <v>20122</v>
      </c>
      <c r="F4573" t="s">
        <v>4781</v>
      </c>
      <c r="G4573">
        <v>2290</v>
      </c>
      <c r="H4573">
        <v>18</v>
      </c>
      <c r="I4573" t="s">
        <v>4738</v>
      </c>
      <c r="J4573" t="s">
        <v>5191</v>
      </c>
      <c r="K4573" t="s">
        <v>4455</v>
      </c>
      <c r="L4573">
        <v>13.8</v>
      </c>
      <c r="M4573" s="452">
        <v>45740</v>
      </c>
      <c r="N4573">
        <v>13.8</v>
      </c>
      <c r="O4573">
        <v>13.8</v>
      </c>
      <c r="P4573">
        <v>248.4</v>
      </c>
    </row>
    <row r="4574" spans="1:16" x14ac:dyDescent="0.3">
      <c r="A4574">
        <v>27338</v>
      </c>
      <c r="B4574">
        <v>105</v>
      </c>
      <c r="C4574" t="s">
        <v>557</v>
      </c>
      <c r="D4574" s="452">
        <v>45748</v>
      </c>
      <c r="E4574">
        <v>23974</v>
      </c>
      <c r="F4574" t="s">
        <v>4862</v>
      </c>
      <c r="G4574">
        <v>4163</v>
      </c>
      <c r="H4574">
        <v>5</v>
      </c>
      <c r="I4574" t="s">
        <v>4736</v>
      </c>
      <c r="J4574" t="s">
        <v>5222</v>
      </c>
      <c r="K4574" t="s">
        <v>4455</v>
      </c>
      <c r="L4574">
        <v>49.4</v>
      </c>
      <c r="M4574" s="452">
        <v>45737</v>
      </c>
      <c r="N4574">
        <v>49.4</v>
      </c>
      <c r="O4574">
        <v>49.4</v>
      </c>
      <c r="P4574">
        <v>247</v>
      </c>
    </row>
    <row r="4575" spans="1:16" x14ac:dyDescent="0.3">
      <c r="A4575">
        <v>27419</v>
      </c>
      <c r="B4575">
        <v>105</v>
      </c>
      <c r="C4575" t="s">
        <v>557</v>
      </c>
      <c r="D4575" s="452">
        <v>45748</v>
      </c>
      <c r="E4575">
        <v>17895</v>
      </c>
      <c r="F4575" t="s">
        <v>5086</v>
      </c>
      <c r="G4575">
        <v>3665</v>
      </c>
      <c r="H4575">
        <v>9</v>
      </c>
      <c r="I4575" t="s">
        <v>4738</v>
      </c>
      <c r="J4575" t="s">
        <v>5222</v>
      </c>
      <c r="K4575" t="s">
        <v>4455</v>
      </c>
      <c r="L4575">
        <v>26.28</v>
      </c>
      <c r="M4575" s="452">
        <v>45741</v>
      </c>
      <c r="N4575">
        <v>26.28</v>
      </c>
      <c r="O4575">
        <v>26.28</v>
      </c>
      <c r="P4575">
        <v>236.52</v>
      </c>
    </row>
    <row r="4576" spans="1:16" x14ac:dyDescent="0.3">
      <c r="A4576">
        <v>27358</v>
      </c>
      <c r="B4576">
        <v>105</v>
      </c>
      <c r="C4576" t="s">
        <v>557</v>
      </c>
      <c r="D4576" s="452">
        <v>45748</v>
      </c>
      <c r="E4576">
        <v>18502</v>
      </c>
      <c r="F4576" t="s">
        <v>4893</v>
      </c>
      <c r="G4576">
        <v>3155</v>
      </c>
      <c r="H4576">
        <v>4</v>
      </c>
      <c r="I4576" t="s">
        <v>4805</v>
      </c>
      <c r="J4576" t="s">
        <v>5222</v>
      </c>
      <c r="K4576" t="s">
        <v>4455</v>
      </c>
      <c r="L4576">
        <v>58.01</v>
      </c>
      <c r="M4576" s="452">
        <v>45737</v>
      </c>
      <c r="N4576">
        <v>56.69</v>
      </c>
      <c r="O4576">
        <v>56.69</v>
      </c>
      <c r="P4576">
        <v>232.04</v>
      </c>
    </row>
    <row r="4577" spans="1:16" x14ac:dyDescent="0.3">
      <c r="A4577">
        <v>27304</v>
      </c>
      <c r="B4577">
        <v>105</v>
      </c>
      <c r="C4577" t="s">
        <v>557</v>
      </c>
      <c r="D4577" s="452">
        <v>45748</v>
      </c>
      <c r="E4577">
        <v>23082</v>
      </c>
      <c r="F4577" t="s">
        <v>4904</v>
      </c>
      <c r="G4577">
        <v>2763</v>
      </c>
      <c r="H4577">
        <v>2.79</v>
      </c>
      <c r="I4577" t="s">
        <v>4744</v>
      </c>
      <c r="J4577" t="s">
        <v>5191</v>
      </c>
      <c r="K4577" t="s">
        <v>4455</v>
      </c>
      <c r="L4577">
        <v>78.900000000000006</v>
      </c>
      <c r="M4577" s="452">
        <v>45735</v>
      </c>
      <c r="N4577">
        <v>78.900000000000006</v>
      </c>
      <c r="O4577">
        <v>79.3</v>
      </c>
      <c r="P4577">
        <v>220.13</v>
      </c>
    </row>
    <row r="4578" spans="1:16" x14ac:dyDescent="0.3">
      <c r="A4578">
        <v>27190</v>
      </c>
      <c r="B4578">
        <v>105</v>
      </c>
      <c r="C4578" t="s">
        <v>557</v>
      </c>
      <c r="D4578" s="452">
        <v>45748</v>
      </c>
      <c r="E4578">
        <v>24339</v>
      </c>
      <c r="F4578" t="s">
        <v>4885</v>
      </c>
      <c r="G4578">
        <v>2153</v>
      </c>
      <c r="H4578">
        <v>7.85</v>
      </c>
      <c r="I4578" t="s">
        <v>4744</v>
      </c>
      <c r="J4578" t="s">
        <v>5191</v>
      </c>
      <c r="K4578" t="s">
        <v>4455</v>
      </c>
      <c r="L4578">
        <v>28</v>
      </c>
      <c r="M4578" s="452">
        <v>45737</v>
      </c>
      <c r="N4578">
        <v>28</v>
      </c>
      <c r="O4578">
        <v>28</v>
      </c>
      <c r="P4578">
        <v>219.8</v>
      </c>
    </row>
    <row r="4579" spans="1:16" x14ac:dyDescent="0.3">
      <c r="A4579">
        <v>27369</v>
      </c>
      <c r="B4579">
        <v>105</v>
      </c>
      <c r="C4579" t="s">
        <v>557</v>
      </c>
      <c r="D4579" s="452">
        <v>45748</v>
      </c>
      <c r="E4579">
        <v>18327</v>
      </c>
      <c r="F4579" t="s">
        <v>5035</v>
      </c>
      <c r="G4579">
        <v>3306</v>
      </c>
      <c r="H4579">
        <v>2</v>
      </c>
      <c r="I4579" t="s">
        <v>4805</v>
      </c>
      <c r="J4579" t="s">
        <v>5222</v>
      </c>
      <c r="K4579" t="s">
        <v>4455</v>
      </c>
      <c r="L4579">
        <v>0</v>
      </c>
      <c r="M4579" s="452">
        <v>45672</v>
      </c>
      <c r="N4579">
        <v>109.9</v>
      </c>
      <c r="O4579">
        <v>108</v>
      </c>
      <c r="P4579">
        <v>219.8</v>
      </c>
    </row>
    <row r="4580" spans="1:16" x14ac:dyDescent="0.3">
      <c r="A4580">
        <v>27173</v>
      </c>
      <c r="B4580">
        <v>105</v>
      </c>
      <c r="C4580" t="s">
        <v>557</v>
      </c>
      <c r="D4580" s="452">
        <v>45748</v>
      </c>
      <c r="E4580">
        <v>20242</v>
      </c>
      <c r="F4580" t="s">
        <v>4824</v>
      </c>
      <c r="G4580">
        <v>2242</v>
      </c>
      <c r="H4580">
        <v>16</v>
      </c>
      <c r="I4580" t="s">
        <v>4738</v>
      </c>
      <c r="J4580" t="s">
        <v>5191</v>
      </c>
      <c r="K4580" t="s">
        <v>4455</v>
      </c>
      <c r="L4580">
        <v>12.96</v>
      </c>
      <c r="M4580" s="452">
        <v>45740</v>
      </c>
      <c r="N4580">
        <v>12.96</v>
      </c>
      <c r="O4580">
        <v>12.96</v>
      </c>
      <c r="P4580">
        <v>207.36</v>
      </c>
    </row>
    <row r="4581" spans="1:16" x14ac:dyDescent="0.3">
      <c r="A4581">
        <v>27387</v>
      </c>
      <c r="B4581">
        <v>105</v>
      </c>
      <c r="C4581" t="s">
        <v>557</v>
      </c>
      <c r="D4581" s="452">
        <v>45748</v>
      </c>
      <c r="E4581">
        <v>18157</v>
      </c>
      <c r="F4581" t="s">
        <v>5041</v>
      </c>
      <c r="G4581">
        <v>3463</v>
      </c>
      <c r="H4581">
        <v>1</v>
      </c>
      <c r="I4581" t="s">
        <v>4805</v>
      </c>
      <c r="J4581" t="s">
        <v>5222</v>
      </c>
      <c r="K4581" t="s">
        <v>4455</v>
      </c>
      <c r="L4581">
        <v>0</v>
      </c>
      <c r="M4581" s="452">
        <v>45672</v>
      </c>
      <c r="N4581">
        <v>205.61</v>
      </c>
      <c r="O4581">
        <v>174.6</v>
      </c>
      <c r="P4581">
        <v>205.61</v>
      </c>
    </row>
    <row r="4582" spans="1:16" x14ac:dyDescent="0.3">
      <c r="A4582">
        <v>27379</v>
      </c>
      <c r="B4582">
        <v>105</v>
      </c>
      <c r="C4582" t="s">
        <v>557</v>
      </c>
      <c r="D4582" s="452">
        <v>45748</v>
      </c>
      <c r="E4582">
        <v>18232</v>
      </c>
      <c r="F4582" t="s">
        <v>4971</v>
      </c>
      <c r="G4582">
        <v>3396</v>
      </c>
      <c r="H4582">
        <v>2</v>
      </c>
      <c r="I4582" t="s">
        <v>4805</v>
      </c>
      <c r="J4582" t="s">
        <v>5222</v>
      </c>
      <c r="K4582" t="s">
        <v>4455</v>
      </c>
      <c r="L4582">
        <v>100.88</v>
      </c>
      <c r="M4582" s="452">
        <v>45737</v>
      </c>
      <c r="N4582">
        <v>100.88</v>
      </c>
      <c r="O4582">
        <v>100.88</v>
      </c>
      <c r="P4582">
        <v>201.76</v>
      </c>
    </row>
    <row r="4583" spans="1:16" x14ac:dyDescent="0.3">
      <c r="A4583">
        <v>27349</v>
      </c>
      <c r="B4583">
        <v>105</v>
      </c>
      <c r="C4583" t="s">
        <v>557</v>
      </c>
      <c r="D4583" s="452">
        <v>45748</v>
      </c>
      <c r="E4583">
        <v>22636</v>
      </c>
      <c r="F4583" t="s">
        <v>4761</v>
      </c>
      <c r="G4583">
        <v>3099</v>
      </c>
      <c r="H4583">
        <v>38</v>
      </c>
      <c r="I4583" t="s">
        <v>4736</v>
      </c>
      <c r="J4583" t="s">
        <v>5222</v>
      </c>
      <c r="K4583" t="s">
        <v>4455</v>
      </c>
      <c r="L4583">
        <v>0</v>
      </c>
      <c r="M4583" s="452">
        <v>45671</v>
      </c>
      <c r="N4583">
        <v>5.3</v>
      </c>
      <c r="O4583">
        <v>5.0199999999999996</v>
      </c>
      <c r="P4583">
        <v>201.4</v>
      </c>
    </row>
    <row r="4584" spans="1:16" x14ac:dyDescent="0.3">
      <c r="A4584">
        <v>27168</v>
      </c>
      <c r="B4584">
        <v>105</v>
      </c>
      <c r="C4584" t="s">
        <v>557</v>
      </c>
      <c r="D4584" s="452">
        <v>45748</v>
      </c>
      <c r="E4584">
        <v>20382</v>
      </c>
      <c r="F4584" t="s">
        <v>4780</v>
      </c>
      <c r="G4584">
        <v>2196</v>
      </c>
      <c r="H4584">
        <v>22</v>
      </c>
      <c r="I4584" t="s">
        <v>4738</v>
      </c>
      <c r="J4584" t="s">
        <v>5191</v>
      </c>
      <c r="K4584" t="s">
        <v>4455</v>
      </c>
      <c r="L4584">
        <v>8.94</v>
      </c>
      <c r="M4584" s="452">
        <v>45743</v>
      </c>
      <c r="N4584">
        <v>8.99</v>
      </c>
      <c r="O4584">
        <v>8.9</v>
      </c>
      <c r="P4584">
        <v>196.68</v>
      </c>
    </row>
    <row r="4585" spans="1:16" x14ac:dyDescent="0.3">
      <c r="A4585">
        <v>27402</v>
      </c>
      <c r="B4585">
        <v>105</v>
      </c>
      <c r="C4585" t="s">
        <v>557</v>
      </c>
      <c r="D4585" s="452">
        <v>45748</v>
      </c>
      <c r="E4585">
        <v>17950</v>
      </c>
      <c r="F4585" t="s">
        <v>5091</v>
      </c>
      <c r="G4585">
        <v>3626</v>
      </c>
      <c r="H4585">
        <v>11</v>
      </c>
      <c r="I4585" t="s">
        <v>4738</v>
      </c>
      <c r="J4585" t="s">
        <v>5222</v>
      </c>
      <c r="K4585" t="s">
        <v>4455</v>
      </c>
      <c r="L4585">
        <v>17.100000000000001</v>
      </c>
      <c r="M4585" s="452">
        <v>45744</v>
      </c>
      <c r="N4585">
        <v>17.100000000000001</v>
      </c>
      <c r="O4585">
        <v>17.100000000000001</v>
      </c>
      <c r="P4585">
        <v>188.1</v>
      </c>
    </row>
    <row r="4586" spans="1:16" x14ac:dyDescent="0.3">
      <c r="A4586">
        <v>27394</v>
      </c>
      <c r="B4586">
        <v>105</v>
      </c>
      <c r="C4586" t="s">
        <v>557</v>
      </c>
      <c r="D4586" s="452">
        <v>45748</v>
      </c>
      <c r="E4586">
        <v>18111</v>
      </c>
      <c r="F4586" t="s">
        <v>5049</v>
      </c>
      <c r="G4586">
        <v>3500</v>
      </c>
      <c r="H4586">
        <v>2</v>
      </c>
      <c r="I4586" t="s">
        <v>4805</v>
      </c>
      <c r="J4586" t="s">
        <v>5222</v>
      </c>
      <c r="K4586" t="s">
        <v>4455</v>
      </c>
      <c r="L4586">
        <v>92.47</v>
      </c>
      <c r="M4586" s="452">
        <v>45743</v>
      </c>
      <c r="N4586">
        <v>92.47</v>
      </c>
      <c r="O4586">
        <v>92.47</v>
      </c>
      <c r="P4586">
        <v>184.94</v>
      </c>
    </row>
    <row r="4587" spans="1:16" x14ac:dyDescent="0.3">
      <c r="A4587">
        <v>27365</v>
      </c>
      <c r="B4587">
        <v>105</v>
      </c>
      <c r="C4587" t="s">
        <v>557</v>
      </c>
      <c r="D4587" s="452">
        <v>45748</v>
      </c>
      <c r="E4587">
        <v>18394</v>
      </c>
      <c r="F4587" t="s">
        <v>5032</v>
      </c>
      <c r="G4587">
        <v>3246</v>
      </c>
      <c r="H4587">
        <v>1</v>
      </c>
      <c r="I4587" t="s">
        <v>4805</v>
      </c>
      <c r="J4587" t="s">
        <v>5222</v>
      </c>
      <c r="K4587" t="s">
        <v>4455</v>
      </c>
      <c r="L4587">
        <v>0</v>
      </c>
      <c r="M4587" s="452">
        <v>45589</v>
      </c>
      <c r="N4587">
        <v>182</v>
      </c>
      <c r="O4587">
        <v>132.75</v>
      </c>
      <c r="P4587">
        <v>182</v>
      </c>
    </row>
    <row r="4588" spans="1:16" x14ac:dyDescent="0.3">
      <c r="A4588">
        <v>27156</v>
      </c>
      <c r="B4588">
        <v>105</v>
      </c>
      <c r="C4588" t="s">
        <v>557</v>
      </c>
      <c r="D4588" s="452">
        <v>45748</v>
      </c>
      <c r="E4588">
        <v>20044</v>
      </c>
      <c r="F4588" t="s">
        <v>4932</v>
      </c>
      <c r="G4588">
        <v>2329</v>
      </c>
      <c r="H4588">
        <v>8.5500000000000007</v>
      </c>
      <c r="I4588" t="s">
        <v>4744</v>
      </c>
      <c r="J4588" t="s">
        <v>5191</v>
      </c>
      <c r="K4588" t="s">
        <v>4455</v>
      </c>
      <c r="L4588">
        <v>0</v>
      </c>
      <c r="M4588" s="452">
        <v>45639</v>
      </c>
      <c r="N4588">
        <v>21</v>
      </c>
      <c r="O4588">
        <v>150</v>
      </c>
      <c r="P4588">
        <v>179.55</v>
      </c>
    </row>
    <row r="4589" spans="1:16" x14ac:dyDescent="0.3">
      <c r="A4589">
        <v>27153</v>
      </c>
      <c r="B4589">
        <v>105</v>
      </c>
      <c r="C4589" t="s">
        <v>557</v>
      </c>
      <c r="D4589" s="452">
        <v>45748</v>
      </c>
      <c r="E4589">
        <v>20054</v>
      </c>
      <c r="F4589" t="s">
        <v>4856</v>
      </c>
      <c r="G4589">
        <v>2325</v>
      </c>
      <c r="H4589">
        <v>17</v>
      </c>
      <c r="I4589" t="s">
        <v>4736</v>
      </c>
      <c r="J4589" t="s">
        <v>5191</v>
      </c>
      <c r="K4589" t="s">
        <v>4455</v>
      </c>
      <c r="L4589">
        <v>0</v>
      </c>
      <c r="M4589" s="452">
        <v>45706</v>
      </c>
      <c r="N4589">
        <v>10.55</v>
      </c>
      <c r="O4589">
        <v>10.98</v>
      </c>
      <c r="P4589">
        <v>179.35</v>
      </c>
    </row>
    <row r="4590" spans="1:16" x14ac:dyDescent="0.3">
      <c r="A4590">
        <v>27352</v>
      </c>
      <c r="B4590">
        <v>105</v>
      </c>
      <c r="C4590" t="s">
        <v>557</v>
      </c>
      <c r="D4590" s="452">
        <v>45748</v>
      </c>
      <c r="E4590">
        <v>18586</v>
      </c>
      <c r="F4590" t="s">
        <v>4966</v>
      </c>
      <c r="G4590">
        <v>3104</v>
      </c>
      <c r="H4590">
        <v>1.29</v>
      </c>
      <c r="I4590" t="s">
        <v>4738</v>
      </c>
      <c r="J4590" t="s">
        <v>5222</v>
      </c>
      <c r="K4590" t="s">
        <v>4455</v>
      </c>
      <c r="L4590">
        <v>121.3</v>
      </c>
      <c r="M4590" s="452">
        <v>45741</v>
      </c>
      <c r="N4590">
        <v>134.74</v>
      </c>
      <c r="O4590">
        <v>134.74</v>
      </c>
      <c r="P4590">
        <v>174.04</v>
      </c>
    </row>
    <row r="4591" spans="1:16" x14ac:dyDescent="0.3">
      <c r="A4591">
        <v>27197</v>
      </c>
      <c r="B4591">
        <v>105</v>
      </c>
      <c r="C4591" t="s">
        <v>557</v>
      </c>
      <c r="D4591" s="452">
        <v>45748</v>
      </c>
      <c r="E4591">
        <v>20105</v>
      </c>
      <c r="F4591" t="s">
        <v>4831</v>
      </c>
      <c r="G4591">
        <v>2298</v>
      </c>
      <c r="H4591">
        <v>10.38</v>
      </c>
      <c r="I4591" t="s">
        <v>4744</v>
      </c>
      <c r="J4591" t="s">
        <v>5191</v>
      </c>
      <c r="K4591" t="s">
        <v>4455</v>
      </c>
      <c r="L4591">
        <v>16.5</v>
      </c>
      <c r="M4591" s="452">
        <v>45727</v>
      </c>
      <c r="N4591">
        <v>16.5</v>
      </c>
      <c r="O4591">
        <v>16.5</v>
      </c>
      <c r="P4591">
        <v>171.27</v>
      </c>
    </row>
    <row r="4592" spans="1:16" x14ac:dyDescent="0.3">
      <c r="A4592">
        <v>27114</v>
      </c>
      <c r="B4592">
        <v>105</v>
      </c>
      <c r="C4592" t="s">
        <v>557</v>
      </c>
      <c r="D4592" s="452">
        <v>45748</v>
      </c>
      <c r="E4592">
        <v>25758</v>
      </c>
      <c r="F4592" t="s">
        <v>4775</v>
      </c>
      <c r="G4592">
        <v>9066</v>
      </c>
      <c r="H4592">
        <v>22</v>
      </c>
      <c r="I4592" t="s">
        <v>4736</v>
      </c>
      <c r="J4592" t="s">
        <v>5191</v>
      </c>
      <c r="K4592" t="s">
        <v>4455</v>
      </c>
      <c r="L4592">
        <v>7.73</v>
      </c>
      <c r="M4592" s="452">
        <v>45742</v>
      </c>
      <c r="N4592">
        <v>7.73</v>
      </c>
      <c r="O4592">
        <v>7.73</v>
      </c>
      <c r="P4592">
        <v>170.06</v>
      </c>
    </row>
    <row r="4593" spans="1:16" x14ac:dyDescent="0.3">
      <c r="A4593">
        <v>27438</v>
      </c>
      <c r="B4593">
        <v>105</v>
      </c>
      <c r="C4593" t="s">
        <v>557</v>
      </c>
      <c r="D4593" s="452">
        <v>45748</v>
      </c>
      <c r="E4593">
        <v>17658</v>
      </c>
      <c r="F4593" t="s">
        <v>4978</v>
      </c>
      <c r="G4593">
        <v>3871</v>
      </c>
      <c r="H4593">
        <v>3</v>
      </c>
      <c r="I4593" t="s">
        <v>4805</v>
      </c>
      <c r="J4593" t="s">
        <v>5222</v>
      </c>
      <c r="K4593" t="s">
        <v>4455</v>
      </c>
      <c r="L4593">
        <v>0</v>
      </c>
      <c r="M4593" s="452">
        <v>45596</v>
      </c>
      <c r="N4593">
        <v>56</v>
      </c>
      <c r="O4593">
        <v>56</v>
      </c>
      <c r="P4593">
        <v>168</v>
      </c>
    </row>
    <row r="4594" spans="1:16" x14ac:dyDescent="0.3">
      <c r="A4594">
        <v>27351</v>
      </c>
      <c r="B4594">
        <v>105</v>
      </c>
      <c r="C4594" t="s">
        <v>557</v>
      </c>
      <c r="D4594" s="452">
        <v>45748</v>
      </c>
      <c r="E4594">
        <v>24470</v>
      </c>
      <c r="F4594" t="s">
        <v>4752</v>
      </c>
      <c r="G4594">
        <v>3103</v>
      </c>
      <c r="H4594">
        <v>38</v>
      </c>
      <c r="I4594" t="s">
        <v>4736</v>
      </c>
      <c r="J4594" t="s">
        <v>5222</v>
      </c>
      <c r="K4594" t="s">
        <v>4455</v>
      </c>
      <c r="L4594">
        <v>0</v>
      </c>
      <c r="M4594" s="452">
        <v>45404</v>
      </c>
      <c r="N4594">
        <v>4.41</v>
      </c>
      <c r="O4594">
        <v>4.41</v>
      </c>
      <c r="P4594">
        <v>167.58</v>
      </c>
    </row>
    <row r="4595" spans="1:16" x14ac:dyDescent="0.3">
      <c r="A4595">
        <v>27209</v>
      </c>
      <c r="B4595">
        <v>105</v>
      </c>
      <c r="C4595" t="s">
        <v>557</v>
      </c>
      <c r="D4595" s="452">
        <v>45748</v>
      </c>
      <c r="E4595">
        <v>21000</v>
      </c>
      <c r="F4595" t="s">
        <v>4818</v>
      </c>
      <c r="G4595">
        <v>2008</v>
      </c>
      <c r="H4595">
        <v>10</v>
      </c>
      <c r="I4595" t="s">
        <v>4736</v>
      </c>
      <c r="J4595" t="s">
        <v>5191</v>
      </c>
      <c r="K4595" t="s">
        <v>4455</v>
      </c>
      <c r="L4595">
        <v>0</v>
      </c>
      <c r="M4595" s="452">
        <v>45678</v>
      </c>
      <c r="N4595">
        <v>16.72</v>
      </c>
      <c r="O4595">
        <v>16.72</v>
      </c>
      <c r="P4595">
        <v>167.2</v>
      </c>
    </row>
    <row r="4596" spans="1:16" x14ac:dyDescent="0.3">
      <c r="A4596">
        <v>27305</v>
      </c>
      <c r="B4596">
        <v>105</v>
      </c>
      <c r="C4596" t="s">
        <v>557</v>
      </c>
      <c r="D4596" s="452">
        <v>45748</v>
      </c>
      <c r="E4596">
        <v>19346</v>
      </c>
      <c r="F4596" t="s">
        <v>4835</v>
      </c>
      <c r="G4596">
        <v>2770</v>
      </c>
      <c r="H4596">
        <v>3.03</v>
      </c>
      <c r="I4596" t="s">
        <v>4744</v>
      </c>
      <c r="J4596" t="s">
        <v>5191</v>
      </c>
      <c r="K4596" t="s">
        <v>4455</v>
      </c>
      <c r="L4596">
        <v>0</v>
      </c>
      <c r="M4596" s="452">
        <v>45693</v>
      </c>
      <c r="N4596">
        <v>54.9</v>
      </c>
      <c r="O4596">
        <v>56.89</v>
      </c>
      <c r="P4596">
        <v>166.35</v>
      </c>
    </row>
    <row r="4597" spans="1:16" x14ac:dyDescent="0.3">
      <c r="A4597">
        <v>27303</v>
      </c>
      <c r="B4597">
        <v>105</v>
      </c>
      <c r="C4597" t="s">
        <v>557</v>
      </c>
      <c r="D4597" s="452">
        <v>45748</v>
      </c>
      <c r="E4597">
        <v>19356</v>
      </c>
      <c r="F4597" t="s">
        <v>4799</v>
      </c>
      <c r="G4597">
        <v>2768</v>
      </c>
      <c r="H4597">
        <v>2.93</v>
      </c>
      <c r="I4597" t="s">
        <v>4744</v>
      </c>
      <c r="J4597" t="s">
        <v>5191</v>
      </c>
      <c r="K4597" t="s">
        <v>4455</v>
      </c>
      <c r="L4597">
        <v>55.5</v>
      </c>
      <c r="M4597" s="452">
        <v>45742</v>
      </c>
      <c r="N4597">
        <v>55.5</v>
      </c>
      <c r="O4597">
        <v>55.5</v>
      </c>
      <c r="P4597">
        <v>162.62</v>
      </c>
    </row>
    <row r="4598" spans="1:16" x14ac:dyDescent="0.3">
      <c r="A4598">
        <v>27336</v>
      </c>
      <c r="B4598">
        <v>105</v>
      </c>
      <c r="C4598" t="s">
        <v>557</v>
      </c>
      <c r="D4598" s="452">
        <v>45748</v>
      </c>
      <c r="E4598">
        <v>25205</v>
      </c>
      <c r="F4598" t="s">
        <v>4850</v>
      </c>
      <c r="G4598">
        <v>5944</v>
      </c>
      <c r="H4598">
        <v>5.76</v>
      </c>
      <c r="I4598" t="s">
        <v>4744</v>
      </c>
      <c r="J4598" t="s">
        <v>5191</v>
      </c>
      <c r="K4598" t="s">
        <v>4455</v>
      </c>
      <c r="L4598">
        <v>28</v>
      </c>
      <c r="M4598" s="452">
        <v>45735</v>
      </c>
      <c r="N4598">
        <v>28</v>
      </c>
      <c r="O4598">
        <v>28</v>
      </c>
      <c r="P4598">
        <v>161.28</v>
      </c>
    </row>
    <row r="4599" spans="1:16" x14ac:dyDescent="0.3">
      <c r="A4599">
        <v>27122</v>
      </c>
      <c r="B4599">
        <v>105</v>
      </c>
      <c r="C4599" t="s">
        <v>557</v>
      </c>
      <c r="D4599" s="452">
        <v>45748</v>
      </c>
      <c r="E4599">
        <v>25762</v>
      </c>
      <c r="F4599" t="s">
        <v>4770</v>
      </c>
      <c r="G4599">
        <v>9070</v>
      </c>
      <c r="H4599">
        <v>21</v>
      </c>
      <c r="I4599" t="s">
        <v>4736</v>
      </c>
      <c r="J4599" t="s">
        <v>5191</v>
      </c>
      <c r="K4599" t="s">
        <v>4455</v>
      </c>
      <c r="L4599">
        <v>7.61</v>
      </c>
      <c r="M4599" s="452">
        <v>45742</v>
      </c>
      <c r="N4599">
        <v>7.61</v>
      </c>
      <c r="O4599">
        <v>7.61</v>
      </c>
      <c r="P4599">
        <v>159.81</v>
      </c>
    </row>
    <row r="4600" spans="1:16" x14ac:dyDescent="0.3">
      <c r="A4600">
        <v>27326</v>
      </c>
      <c r="B4600">
        <v>105</v>
      </c>
      <c r="C4600" t="s">
        <v>557</v>
      </c>
      <c r="D4600" s="452">
        <v>45748</v>
      </c>
      <c r="E4600">
        <v>24278</v>
      </c>
      <c r="F4600" t="s">
        <v>4901</v>
      </c>
      <c r="G4600">
        <v>2896</v>
      </c>
      <c r="H4600">
        <v>11.75</v>
      </c>
      <c r="I4600" t="s">
        <v>4744</v>
      </c>
      <c r="J4600" t="s">
        <v>5191</v>
      </c>
      <c r="K4600" t="s">
        <v>4455</v>
      </c>
      <c r="L4600">
        <v>13.5</v>
      </c>
      <c r="M4600" s="452">
        <v>45741</v>
      </c>
      <c r="N4600">
        <v>13.5</v>
      </c>
      <c r="O4600">
        <v>9.49</v>
      </c>
      <c r="P4600">
        <v>158.62</v>
      </c>
    </row>
    <row r="4601" spans="1:16" x14ac:dyDescent="0.3">
      <c r="A4601">
        <v>27315</v>
      </c>
      <c r="B4601">
        <v>105</v>
      </c>
      <c r="C4601" t="s">
        <v>557</v>
      </c>
      <c r="D4601" s="452">
        <v>45748</v>
      </c>
      <c r="E4601">
        <v>22910</v>
      </c>
      <c r="F4601" t="s">
        <v>4846</v>
      </c>
      <c r="G4601">
        <v>2889</v>
      </c>
      <c r="H4601">
        <v>4.54</v>
      </c>
      <c r="I4601" t="s">
        <v>4744</v>
      </c>
      <c r="J4601" t="s">
        <v>5191</v>
      </c>
      <c r="K4601" t="s">
        <v>4455</v>
      </c>
      <c r="L4601">
        <v>0</v>
      </c>
      <c r="M4601" s="452">
        <v>45674</v>
      </c>
      <c r="N4601">
        <v>34.9</v>
      </c>
      <c r="O4601">
        <v>27.99</v>
      </c>
      <c r="P4601">
        <v>158.44</v>
      </c>
    </row>
    <row r="4602" spans="1:16" x14ac:dyDescent="0.3">
      <c r="A4602">
        <v>27124</v>
      </c>
      <c r="B4602">
        <v>105</v>
      </c>
      <c r="C4602" t="s">
        <v>557</v>
      </c>
      <c r="D4602" s="452">
        <v>45748</v>
      </c>
      <c r="E4602">
        <v>26103</v>
      </c>
      <c r="F4602" t="s">
        <v>4776</v>
      </c>
      <c r="G4602">
        <v>9072</v>
      </c>
      <c r="H4602">
        <v>15</v>
      </c>
      <c r="I4602" t="s">
        <v>4749</v>
      </c>
      <c r="J4602" t="s">
        <v>5191</v>
      </c>
      <c r="K4602" t="s">
        <v>4455</v>
      </c>
      <c r="L4602">
        <v>10.53</v>
      </c>
      <c r="M4602" s="452">
        <v>45742</v>
      </c>
      <c r="N4602">
        <v>10.53</v>
      </c>
      <c r="O4602">
        <v>10.53</v>
      </c>
      <c r="P4602">
        <v>157.94999999999999</v>
      </c>
    </row>
    <row r="4603" spans="1:16" x14ac:dyDescent="0.3">
      <c r="A4603">
        <v>27427</v>
      </c>
      <c r="B4603">
        <v>105</v>
      </c>
      <c r="C4603" t="s">
        <v>557</v>
      </c>
      <c r="D4603" s="452">
        <v>45748</v>
      </c>
      <c r="E4603">
        <v>17814</v>
      </c>
      <c r="F4603" t="s">
        <v>5552</v>
      </c>
      <c r="G4603">
        <v>3735</v>
      </c>
      <c r="H4603">
        <v>3</v>
      </c>
      <c r="I4603" t="s">
        <v>4805</v>
      </c>
      <c r="J4603" t="s">
        <v>5222</v>
      </c>
      <c r="K4603" t="s">
        <v>4455</v>
      </c>
      <c r="L4603">
        <v>0</v>
      </c>
      <c r="M4603" s="452">
        <v>45595</v>
      </c>
      <c r="N4603">
        <v>52.61</v>
      </c>
      <c r="O4603">
        <v>51.09</v>
      </c>
      <c r="P4603">
        <v>157.83000000000001</v>
      </c>
    </row>
    <row r="4604" spans="1:16" x14ac:dyDescent="0.3">
      <c r="A4604">
        <v>27118</v>
      </c>
      <c r="B4604">
        <v>105</v>
      </c>
      <c r="C4604" t="s">
        <v>557</v>
      </c>
      <c r="D4604" s="452">
        <v>45748</v>
      </c>
      <c r="E4604">
        <v>25760</v>
      </c>
      <c r="F4604" t="s">
        <v>4787</v>
      </c>
      <c r="G4604">
        <v>6311</v>
      </c>
      <c r="H4604">
        <v>20</v>
      </c>
      <c r="I4604" t="s">
        <v>4736</v>
      </c>
      <c r="J4604" t="s">
        <v>5191</v>
      </c>
      <c r="K4604" t="s">
        <v>4455</v>
      </c>
      <c r="L4604">
        <v>7.73</v>
      </c>
      <c r="M4604" s="452">
        <v>45742</v>
      </c>
      <c r="N4604">
        <v>7.73</v>
      </c>
      <c r="O4604">
        <v>7.73</v>
      </c>
      <c r="P4604">
        <v>154.6</v>
      </c>
    </row>
    <row r="4605" spans="1:16" x14ac:dyDescent="0.3">
      <c r="A4605">
        <v>27121</v>
      </c>
      <c r="B4605">
        <v>105</v>
      </c>
      <c r="C4605" t="s">
        <v>557</v>
      </c>
      <c r="D4605" s="452">
        <v>45748</v>
      </c>
      <c r="E4605">
        <v>25757</v>
      </c>
      <c r="F4605" t="s">
        <v>4763</v>
      </c>
      <c r="G4605">
        <v>6308</v>
      </c>
      <c r="H4605">
        <v>20</v>
      </c>
      <c r="I4605" t="s">
        <v>4736</v>
      </c>
      <c r="J4605" t="s">
        <v>5191</v>
      </c>
      <c r="K4605" t="s">
        <v>4455</v>
      </c>
      <c r="L4605">
        <v>7.61</v>
      </c>
      <c r="M4605" s="452">
        <v>45742</v>
      </c>
      <c r="N4605">
        <v>7.61</v>
      </c>
      <c r="O4605">
        <v>7.61</v>
      </c>
      <c r="P4605">
        <v>152.19999999999999</v>
      </c>
    </row>
    <row r="4606" spans="1:16" x14ac:dyDescent="0.3">
      <c r="A4606">
        <v>27270</v>
      </c>
      <c r="B4606">
        <v>105</v>
      </c>
      <c r="C4606" t="s">
        <v>557</v>
      </c>
      <c r="D4606" s="452">
        <v>45748</v>
      </c>
      <c r="E4606">
        <v>19740</v>
      </c>
      <c r="F4606" t="s">
        <v>4779</v>
      </c>
      <c r="G4606">
        <v>2513</v>
      </c>
      <c r="H4606">
        <v>16.55</v>
      </c>
      <c r="I4606" t="s">
        <v>4744</v>
      </c>
      <c r="J4606" t="s">
        <v>5191</v>
      </c>
      <c r="K4606" t="s">
        <v>4455</v>
      </c>
      <c r="L4606">
        <v>9.0299999999999994</v>
      </c>
      <c r="M4606" s="452">
        <v>45741</v>
      </c>
      <c r="N4606">
        <v>8.5</v>
      </c>
      <c r="O4606">
        <v>7.8</v>
      </c>
      <c r="P4606">
        <v>149.44999999999999</v>
      </c>
    </row>
    <row r="4607" spans="1:16" x14ac:dyDescent="0.3">
      <c r="A4607">
        <v>27377</v>
      </c>
      <c r="B4607">
        <v>105</v>
      </c>
      <c r="C4607" t="s">
        <v>557</v>
      </c>
      <c r="D4607" s="452">
        <v>45748</v>
      </c>
      <c r="E4607">
        <v>18253</v>
      </c>
      <c r="F4607" t="s">
        <v>4969</v>
      </c>
      <c r="G4607">
        <v>3376</v>
      </c>
      <c r="H4607">
        <v>5</v>
      </c>
      <c r="I4607" t="s">
        <v>4805</v>
      </c>
      <c r="J4607" t="s">
        <v>5222</v>
      </c>
      <c r="K4607" t="s">
        <v>4455</v>
      </c>
      <c r="L4607">
        <v>29.49</v>
      </c>
      <c r="M4607" s="452">
        <v>45742</v>
      </c>
      <c r="N4607">
        <v>29.49</v>
      </c>
      <c r="O4607">
        <v>29.49</v>
      </c>
      <c r="P4607">
        <v>147.44999999999999</v>
      </c>
    </row>
    <row r="4608" spans="1:16" x14ac:dyDescent="0.3">
      <c r="A4608">
        <v>27350</v>
      </c>
      <c r="B4608">
        <v>105</v>
      </c>
      <c r="C4608" t="s">
        <v>557</v>
      </c>
      <c r="D4608" s="452">
        <v>45748</v>
      </c>
      <c r="E4608">
        <v>24192</v>
      </c>
      <c r="F4608" t="s">
        <v>4772</v>
      </c>
      <c r="G4608">
        <v>3099</v>
      </c>
      <c r="H4608">
        <v>24</v>
      </c>
      <c r="I4608" t="s">
        <v>4736</v>
      </c>
      <c r="J4608" t="s">
        <v>5222</v>
      </c>
      <c r="K4608" t="s">
        <v>4455</v>
      </c>
      <c r="L4608">
        <v>0</v>
      </c>
      <c r="M4608" s="452">
        <v>45679</v>
      </c>
      <c r="N4608">
        <v>6.12</v>
      </c>
      <c r="O4608">
        <v>6.12</v>
      </c>
      <c r="P4608">
        <v>146.88</v>
      </c>
    </row>
    <row r="4609" spans="1:16" x14ac:dyDescent="0.3">
      <c r="A4609">
        <v>27280</v>
      </c>
      <c r="B4609">
        <v>105</v>
      </c>
      <c r="C4609" t="s">
        <v>557</v>
      </c>
      <c r="D4609" s="452">
        <v>45748</v>
      </c>
      <c r="E4609">
        <v>19790</v>
      </c>
      <c r="F4609" t="s">
        <v>5073</v>
      </c>
      <c r="G4609">
        <v>2469</v>
      </c>
      <c r="H4609">
        <v>3</v>
      </c>
      <c r="I4609" t="s">
        <v>4744</v>
      </c>
      <c r="J4609" t="s">
        <v>5191</v>
      </c>
      <c r="K4609" t="s">
        <v>4455</v>
      </c>
      <c r="L4609">
        <v>48</v>
      </c>
      <c r="M4609" s="452">
        <v>45737</v>
      </c>
      <c r="N4609">
        <v>48</v>
      </c>
      <c r="O4609">
        <v>48</v>
      </c>
      <c r="P4609">
        <v>144</v>
      </c>
    </row>
    <row r="4610" spans="1:16" x14ac:dyDescent="0.3">
      <c r="A4610">
        <v>27180</v>
      </c>
      <c r="B4610">
        <v>105</v>
      </c>
      <c r="C4610" t="s">
        <v>557</v>
      </c>
      <c r="D4610" s="452">
        <v>45748</v>
      </c>
      <c r="E4610">
        <v>20856</v>
      </c>
      <c r="F4610" t="s">
        <v>5495</v>
      </c>
      <c r="G4610">
        <v>2045</v>
      </c>
      <c r="H4610">
        <v>3</v>
      </c>
      <c r="I4610" t="s">
        <v>4736</v>
      </c>
      <c r="J4610" t="s">
        <v>5191</v>
      </c>
      <c r="K4610" t="s">
        <v>4455</v>
      </c>
      <c r="L4610">
        <v>47.6</v>
      </c>
      <c r="M4610" s="452">
        <v>45743</v>
      </c>
      <c r="N4610">
        <v>47.6</v>
      </c>
      <c r="O4610">
        <v>46.95</v>
      </c>
      <c r="P4610">
        <v>142.80000000000001</v>
      </c>
    </row>
    <row r="4611" spans="1:16" x14ac:dyDescent="0.3">
      <c r="A4611">
        <v>27137</v>
      </c>
      <c r="B4611">
        <v>105</v>
      </c>
      <c r="C4611" t="s">
        <v>557</v>
      </c>
      <c r="D4611" s="452">
        <v>45748</v>
      </c>
      <c r="E4611">
        <v>20756</v>
      </c>
      <c r="F4611" t="s">
        <v>5001</v>
      </c>
      <c r="G4611">
        <v>2086</v>
      </c>
      <c r="H4611">
        <v>1.8</v>
      </c>
      <c r="I4611" t="s">
        <v>4736</v>
      </c>
      <c r="J4611" t="s">
        <v>5191</v>
      </c>
      <c r="K4611" t="s">
        <v>4455</v>
      </c>
      <c r="L4611">
        <v>0</v>
      </c>
      <c r="M4611" s="452">
        <v>45607</v>
      </c>
      <c r="N4611">
        <v>79.2</v>
      </c>
      <c r="O4611">
        <v>78.900000000000006</v>
      </c>
      <c r="P4611">
        <v>142.56</v>
      </c>
    </row>
    <row r="4612" spans="1:16" x14ac:dyDescent="0.3">
      <c r="A4612">
        <v>27248</v>
      </c>
      <c r="B4612">
        <v>105</v>
      </c>
      <c r="C4612" t="s">
        <v>557</v>
      </c>
      <c r="D4612" s="452">
        <v>45748</v>
      </c>
      <c r="E4612">
        <v>19623</v>
      </c>
      <c r="F4612" t="s">
        <v>4764</v>
      </c>
      <c r="G4612">
        <v>2611</v>
      </c>
      <c r="H4612">
        <v>25.83</v>
      </c>
      <c r="I4612" t="s">
        <v>4744</v>
      </c>
      <c r="J4612" t="s">
        <v>5191</v>
      </c>
      <c r="K4612" t="s">
        <v>4455</v>
      </c>
      <c r="L4612">
        <v>5.45</v>
      </c>
      <c r="M4612" s="452">
        <v>45741</v>
      </c>
      <c r="N4612">
        <v>5.5</v>
      </c>
      <c r="O4612">
        <v>5</v>
      </c>
      <c r="P4612">
        <v>140.77000000000001</v>
      </c>
    </row>
    <row r="4613" spans="1:16" x14ac:dyDescent="0.3">
      <c r="A4613">
        <v>27370</v>
      </c>
      <c r="B4613">
        <v>105</v>
      </c>
      <c r="C4613" t="s">
        <v>557</v>
      </c>
      <c r="D4613" s="452">
        <v>45748</v>
      </c>
      <c r="E4613">
        <v>24685</v>
      </c>
      <c r="F4613" t="s">
        <v>5055</v>
      </c>
      <c r="G4613">
        <v>5714</v>
      </c>
      <c r="H4613">
        <v>1</v>
      </c>
      <c r="I4613" t="s">
        <v>4805</v>
      </c>
      <c r="J4613" t="s">
        <v>5222</v>
      </c>
      <c r="K4613" t="s">
        <v>4455</v>
      </c>
      <c r="L4613">
        <v>140.35</v>
      </c>
      <c r="M4613" s="452">
        <v>45742</v>
      </c>
      <c r="N4613">
        <v>140.35</v>
      </c>
      <c r="O4613">
        <v>140</v>
      </c>
      <c r="P4613">
        <v>140.35</v>
      </c>
    </row>
    <row r="4614" spans="1:16" x14ac:dyDescent="0.3">
      <c r="A4614">
        <v>27149</v>
      </c>
      <c r="B4614">
        <v>105</v>
      </c>
      <c r="C4614" t="s">
        <v>557</v>
      </c>
      <c r="D4614" s="452">
        <v>45748</v>
      </c>
      <c r="E4614">
        <v>20809</v>
      </c>
      <c r="F4614" t="s">
        <v>4822</v>
      </c>
      <c r="G4614">
        <v>2074</v>
      </c>
      <c r="H4614">
        <v>4.5</v>
      </c>
      <c r="I4614" t="s">
        <v>4738</v>
      </c>
      <c r="J4614" t="s">
        <v>5191</v>
      </c>
      <c r="K4614" t="s">
        <v>4455</v>
      </c>
      <c r="L4614">
        <v>31.18</v>
      </c>
      <c r="M4614" s="452">
        <v>45741</v>
      </c>
      <c r="N4614">
        <v>30.65</v>
      </c>
      <c r="O4614">
        <v>31.67</v>
      </c>
      <c r="P4614">
        <v>140.31</v>
      </c>
    </row>
    <row r="4615" spans="1:16" x14ac:dyDescent="0.3">
      <c r="A4615">
        <v>27260</v>
      </c>
      <c r="B4615">
        <v>105</v>
      </c>
      <c r="C4615" t="s">
        <v>557</v>
      </c>
      <c r="D4615" s="452">
        <v>45748</v>
      </c>
      <c r="E4615">
        <v>19752</v>
      </c>
      <c r="F4615" t="s">
        <v>4807</v>
      </c>
      <c r="G4615">
        <v>2501</v>
      </c>
      <c r="H4615">
        <v>12.62</v>
      </c>
      <c r="I4615" t="s">
        <v>4744</v>
      </c>
      <c r="J4615" t="s">
        <v>5191</v>
      </c>
      <c r="K4615" t="s">
        <v>4455</v>
      </c>
      <c r="L4615">
        <v>11.07</v>
      </c>
      <c r="M4615" s="452">
        <v>45744</v>
      </c>
      <c r="N4615">
        <v>15.86</v>
      </c>
      <c r="O4615">
        <v>15.86</v>
      </c>
      <c r="P4615">
        <v>139.69999999999999</v>
      </c>
    </row>
    <row r="4616" spans="1:16" x14ac:dyDescent="0.3">
      <c r="A4616">
        <v>27434</v>
      </c>
      <c r="B4616">
        <v>105</v>
      </c>
      <c r="C4616" t="s">
        <v>557</v>
      </c>
      <c r="D4616" s="452">
        <v>45748</v>
      </c>
      <c r="E4616">
        <v>24642</v>
      </c>
      <c r="F4616" t="s">
        <v>5460</v>
      </c>
      <c r="G4616">
        <v>5692</v>
      </c>
      <c r="H4616">
        <v>3</v>
      </c>
      <c r="I4616" t="s">
        <v>4805</v>
      </c>
      <c r="J4616" t="s">
        <v>5222</v>
      </c>
      <c r="K4616" t="s">
        <v>4455</v>
      </c>
      <c r="L4616">
        <v>0</v>
      </c>
      <c r="M4616" s="452">
        <v>45596</v>
      </c>
      <c r="N4616">
        <v>46</v>
      </c>
      <c r="O4616">
        <v>46</v>
      </c>
      <c r="P4616">
        <v>138</v>
      </c>
    </row>
    <row r="4617" spans="1:16" x14ac:dyDescent="0.3">
      <c r="A4617">
        <v>27406</v>
      </c>
      <c r="B4617">
        <v>105</v>
      </c>
      <c r="C4617" t="s">
        <v>557</v>
      </c>
      <c r="D4617" s="452">
        <v>45748</v>
      </c>
      <c r="E4617">
        <v>18006</v>
      </c>
      <c r="F4617" t="s">
        <v>5094</v>
      </c>
      <c r="G4617">
        <v>3591</v>
      </c>
      <c r="H4617">
        <v>5</v>
      </c>
      <c r="I4617" t="s">
        <v>4738</v>
      </c>
      <c r="J4617" t="s">
        <v>5222</v>
      </c>
      <c r="K4617" t="s">
        <v>4455</v>
      </c>
      <c r="L4617">
        <v>27.48</v>
      </c>
      <c r="M4617" s="452">
        <v>45741</v>
      </c>
      <c r="N4617">
        <v>27.48</v>
      </c>
      <c r="O4617">
        <v>27.48</v>
      </c>
      <c r="P4617">
        <v>137.4</v>
      </c>
    </row>
    <row r="4618" spans="1:16" x14ac:dyDescent="0.3">
      <c r="A4618">
        <v>27373</v>
      </c>
      <c r="B4618">
        <v>105</v>
      </c>
      <c r="C4618" t="s">
        <v>557</v>
      </c>
      <c r="D4618" s="452">
        <v>45748</v>
      </c>
      <c r="E4618">
        <v>18312</v>
      </c>
      <c r="F4618" t="s">
        <v>5037</v>
      </c>
      <c r="G4618">
        <v>3321</v>
      </c>
      <c r="H4618">
        <v>1</v>
      </c>
      <c r="I4618" t="s">
        <v>4805</v>
      </c>
      <c r="J4618" t="s">
        <v>5222</v>
      </c>
      <c r="K4618" t="s">
        <v>4455</v>
      </c>
      <c r="L4618">
        <v>0</v>
      </c>
      <c r="M4618" s="452">
        <v>-693593</v>
      </c>
      <c r="N4618">
        <v>0</v>
      </c>
      <c r="O4618">
        <v>135.9</v>
      </c>
      <c r="P4618">
        <v>135.9</v>
      </c>
    </row>
    <row r="4619" spans="1:16" x14ac:dyDescent="0.3">
      <c r="A4619">
        <v>27205</v>
      </c>
      <c r="B4619">
        <v>105</v>
      </c>
      <c r="C4619" t="s">
        <v>557</v>
      </c>
      <c r="D4619" s="452">
        <v>45748</v>
      </c>
      <c r="E4619">
        <v>19964</v>
      </c>
      <c r="F4619" t="s">
        <v>4817</v>
      </c>
      <c r="G4619">
        <v>2356</v>
      </c>
      <c r="H4619">
        <v>9</v>
      </c>
      <c r="I4619" t="s">
        <v>4736</v>
      </c>
      <c r="J4619" t="s">
        <v>5191</v>
      </c>
      <c r="K4619" t="s">
        <v>4455</v>
      </c>
      <c r="L4619">
        <v>0</v>
      </c>
      <c r="M4619" s="452">
        <v>45677</v>
      </c>
      <c r="N4619">
        <v>14.96</v>
      </c>
      <c r="O4619">
        <v>14.96</v>
      </c>
      <c r="P4619">
        <v>134.63999999999999</v>
      </c>
    </row>
    <row r="4620" spans="1:16" x14ac:dyDescent="0.3">
      <c r="A4620">
        <v>27359</v>
      </c>
      <c r="B4620">
        <v>105</v>
      </c>
      <c r="C4620" t="s">
        <v>557</v>
      </c>
      <c r="D4620" s="452">
        <v>45748</v>
      </c>
      <c r="E4620">
        <v>18493</v>
      </c>
      <c r="F4620" t="s">
        <v>5553</v>
      </c>
      <c r="G4620">
        <v>3164</v>
      </c>
      <c r="H4620">
        <v>3</v>
      </c>
      <c r="I4620" t="s">
        <v>4805</v>
      </c>
      <c r="J4620" t="s">
        <v>5222</v>
      </c>
      <c r="K4620" t="s">
        <v>4455</v>
      </c>
      <c r="L4620">
        <v>0</v>
      </c>
      <c r="M4620" s="452">
        <v>45694</v>
      </c>
      <c r="N4620">
        <v>43.9</v>
      </c>
      <c r="O4620">
        <v>43.9</v>
      </c>
      <c r="P4620">
        <v>131.69999999999999</v>
      </c>
    </row>
    <row r="4621" spans="1:16" x14ac:dyDescent="0.3">
      <c r="A4621">
        <v>27389</v>
      </c>
      <c r="B4621">
        <v>105</v>
      </c>
      <c r="C4621" t="s">
        <v>557</v>
      </c>
      <c r="D4621" s="452">
        <v>45748</v>
      </c>
      <c r="E4621">
        <v>18129</v>
      </c>
      <c r="F4621" t="s">
        <v>5043</v>
      </c>
      <c r="G4621">
        <v>3486</v>
      </c>
      <c r="H4621">
        <v>1</v>
      </c>
      <c r="I4621" t="s">
        <v>4805</v>
      </c>
      <c r="J4621" t="s">
        <v>5222</v>
      </c>
      <c r="K4621" t="s">
        <v>4455</v>
      </c>
      <c r="L4621">
        <v>128.46</v>
      </c>
      <c r="M4621" s="452">
        <v>45737</v>
      </c>
      <c r="N4621">
        <v>128.46</v>
      </c>
      <c r="O4621">
        <v>128.47</v>
      </c>
      <c r="P4621">
        <v>128.46</v>
      </c>
    </row>
    <row r="4622" spans="1:16" x14ac:dyDescent="0.3">
      <c r="A4622">
        <v>27204</v>
      </c>
      <c r="B4622">
        <v>105</v>
      </c>
      <c r="C4622" t="s">
        <v>557</v>
      </c>
      <c r="D4622" s="452">
        <v>45748</v>
      </c>
      <c r="E4622">
        <v>19962</v>
      </c>
      <c r="F4622" t="s">
        <v>5502</v>
      </c>
      <c r="G4622">
        <v>2356</v>
      </c>
      <c r="H4622">
        <v>5.09</v>
      </c>
      <c r="I4622" t="s">
        <v>4888</v>
      </c>
      <c r="J4622" t="s">
        <v>5191</v>
      </c>
      <c r="K4622" t="s">
        <v>4455</v>
      </c>
      <c r="L4622">
        <v>24.12</v>
      </c>
      <c r="M4622" s="452">
        <v>45741</v>
      </c>
      <c r="N4622">
        <v>24.12</v>
      </c>
      <c r="O4622">
        <v>24.12</v>
      </c>
      <c r="P4622">
        <v>122.77</v>
      </c>
    </row>
    <row r="4623" spans="1:16" x14ac:dyDescent="0.3">
      <c r="A4623">
        <v>27120</v>
      </c>
      <c r="B4623">
        <v>105</v>
      </c>
      <c r="C4623" t="s">
        <v>557</v>
      </c>
      <c r="D4623" s="452">
        <v>45748</v>
      </c>
      <c r="E4623">
        <v>25756</v>
      </c>
      <c r="F4623" t="s">
        <v>4854</v>
      </c>
      <c r="G4623">
        <v>9069</v>
      </c>
      <c r="H4623">
        <v>16</v>
      </c>
      <c r="I4623" t="s">
        <v>4749</v>
      </c>
      <c r="J4623" t="s">
        <v>5191</v>
      </c>
      <c r="K4623" t="s">
        <v>4455</v>
      </c>
      <c r="L4623">
        <v>7.61</v>
      </c>
      <c r="M4623" s="452">
        <v>45742</v>
      </c>
      <c r="N4623">
        <v>7.61</v>
      </c>
      <c r="O4623">
        <v>7.61</v>
      </c>
      <c r="P4623">
        <v>121.76</v>
      </c>
    </row>
    <row r="4624" spans="1:16" x14ac:dyDescent="0.3">
      <c r="A4624">
        <v>27484</v>
      </c>
      <c r="B4624">
        <v>105</v>
      </c>
      <c r="C4624" t="s">
        <v>557</v>
      </c>
      <c r="D4624" s="452">
        <v>45748</v>
      </c>
      <c r="E4624">
        <v>18635</v>
      </c>
      <c r="F4624" t="s">
        <v>5533</v>
      </c>
      <c r="G4624">
        <v>3076</v>
      </c>
      <c r="H4624">
        <v>0.96</v>
      </c>
      <c r="I4624" t="s">
        <v>4738</v>
      </c>
      <c r="J4624" t="s">
        <v>5222</v>
      </c>
      <c r="K4624" t="s">
        <v>4455</v>
      </c>
      <c r="L4624">
        <v>0</v>
      </c>
      <c r="M4624" s="452">
        <v>45463</v>
      </c>
      <c r="N4624">
        <v>116.64</v>
      </c>
      <c r="O4624">
        <v>124.92</v>
      </c>
      <c r="P4624">
        <v>119.72</v>
      </c>
    </row>
    <row r="4625" spans="1:16" x14ac:dyDescent="0.3">
      <c r="A4625">
        <v>27206</v>
      </c>
      <c r="B4625">
        <v>105</v>
      </c>
      <c r="C4625" t="s">
        <v>557</v>
      </c>
      <c r="D4625" s="452">
        <v>45748</v>
      </c>
      <c r="E4625">
        <v>19955</v>
      </c>
      <c r="F4625" t="s">
        <v>4985</v>
      </c>
      <c r="G4625">
        <v>2359</v>
      </c>
      <c r="H4625">
        <v>2</v>
      </c>
      <c r="I4625" t="s">
        <v>4736</v>
      </c>
      <c r="J4625" t="s">
        <v>5191</v>
      </c>
      <c r="K4625" t="s">
        <v>4455</v>
      </c>
      <c r="L4625">
        <v>0</v>
      </c>
      <c r="M4625" s="452">
        <v>45714</v>
      </c>
      <c r="N4625">
        <v>59.5</v>
      </c>
      <c r="O4625">
        <v>59.6</v>
      </c>
      <c r="P4625">
        <v>119</v>
      </c>
    </row>
    <row r="4626" spans="1:16" x14ac:dyDescent="0.3">
      <c r="A4626">
        <v>27290</v>
      </c>
      <c r="B4626">
        <v>105</v>
      </c>
      <c r="C4626" t="s">
        <v>557</v>
      </c>
      <c r="D4626" s="452">
        <v>45748</v>
      </c>
      <c r="E4626">
        <v>19551</v>
      </c>
      <c r="F4626" t="s">
        <v>4905</v>
      </c>
      <c r="G4626">
        <v>2665</v>
      </c>
      <c r="H4626">
        <v>5.59</v>
      </c>
      <c r="I4626" t="s">
        <v>4744</v>
      </c>
      <c r="J4626" t="s">
        <v>5191</v>
      </c>
      <c r="K4626" t="s">
        <v>4455</v>
      </c>
      <c r="L4626">
        <v>21.2</v>
      </c>
      <c r="M4626" s="452">
        <v>45744</v>
      </c>
      <c r="N4626">
        <v>45.5</v>
      </c>
      <c r="O4626">
        <v>45.5</v>
      </c>
      <c r="P4626">
        <v>118.51</v>
      </c>
    </row>
    <row r="4627" spans="1:16" x14ac:dyDescent="0.3">
      <c r="A4627">
        <v>27252</v>
      </c>
      <c r="B4627">
        <v>105</v>
      </c>
      <c r="C4627" t="s">
        <v>557</v>
      </c>
      <c r="D4627" s="452">
        <v>45748</v>
      </c>
      <c r="E4627">
        <v>19842</v>
      </c>
      <c r="F4627" t="s">
        <v>5300</v>
      </c>
      <c r="G4627">
        <v>2425</v>
      </c>
      <c r="H4627">
        <v>2</v>
      </c>
      <c r="I4627" t="s">
        <v>4744</v>
      </c>
      <c r="J4627" t="s">
        <v>5191</v>
      </c>
      <c r="K4627" t="s">
        <v>4455</v>
      </c>
      <c r="L4627">
        <v>58.5</v>
      </c>
      <c r="M4627" s="452">
        <v>45744</v>
      </c>
      <c r="N4627">
        <v>65</v>
      </c>
      <c r="O4627">
        <v>65</v>
      </c>
      <c r="P4627">
        <v>117</v>
      </c>
    </row>
    <row r="4628" spans="1:16" x14ac:dyDescent="0.3">
      <c r="A4628">
        <v>27374</v>
      </c>
      <c r="B4628">
        <v>105</v>
      </c>
      <c r="C4628" t="s">
        <v>557</v>
      </c>
      <c r="D4628" s="452">
        <v>45748</v>
      </c>
      <c r="E4628">
        <v>18295</v>
      </c>
      <c r="F4628" t="s">
        <v>4968</v>
      </c>
      <c r="G4628">
        <v>3334</v>
      </c>
      <c r="H4628">
        <v>1</v>
      </c>
      <c r="I4628" t="s">
        <v>4805</v>
      </c>
      <c r="J4628" t="s">
        <v>5222</v>
      </c>
      <c r="K4628" t="s">
        <v>4455</v>
      </c>
      <c r="L4628">
        <v>0</v>
      </c>
      <c r="M4628" s="452">
        <v>45672</v>
      </c>
      <c r="N4628">
        <v>116.87</v>
      </c>
      <c r="O4628">
        <v>109</v>
      </c>
      <c r="P4628">
        <v>116.87</v>
      </c>
    </row>
    <row r="4629" spans="1:16" x14ac:dyDescent="0.3">
      <c r="A4629">
        <v>27128</v>
      </c>
      <c r="B4629">
        <v>105</v>
      </c>
      <c r="C4629" t="s">
        <v>557</v>
      </c>
      <c r="D4629" s="452">
        <v>45748</v>
      </c>
      <c r="E4629">
        <v>25752</v>
      </c>
      <c r="F4629" t="s">
        <v>5000</v>
      </c>
      <c r="G4629">
        <v>6303</v>
      </c>
      <c r="H4629">
        <v>17</v>
      </c>
      <c r="I4629" t="s">
        <v>4749</v>
      </c>
      <c r="J4629" t="s">
        <v>5191</v>
      </c>
      <c r="K4629" t="s">
        <v>4455</v>
      </c>
      <c r="L4629">
        <v>6.87</v>
      </c>
      <c r="M4629" s="452">
        <v>45742</v>
      </c>
      <c r="N4629">
        <v>6.87</v>
      </c>
      <c r="O4629">
        <v>6.87</v>
      </c>
      <c r="P4629">
        <v>116.79</v>
      </c>
    </row>
    <row r="4630" spans="1:16" x14ac:dyDescent="0.3">
      <c r="A4630">
        <v>27388</v>
      </c>
      <c r="B4630">
        <v>105</v>
      </c>
      <c r="C4630" t="s">
        <v>557</v>
      </c>
      <c r="D4630" s="452">
        <v>45748</v>
      </c>
      <c r="E4630">
        <v>18147</v>
      </c>
      <c r="F4630" t="s">
        <v>5042</v>
      </c>
      <c r="G4630">
        <v>3471</v>
      </c>
      <c r="H4630">
        <v>1</v>
      </c>
      <c r="I4630" t="s">
        <v>4805</v>
      </c>
      <c r="J4630" t="s">
        <v>5222</v>
      </c>
      <c r="K4630" t="s">
        <v>4455</v>
      </c>
      <c r="L4630">
        <v>0</v>
      </c>
      <c r="M4630" s="452">
        <v>45427</v>
      </c>
      <c r="N4630">
        <v>115</v>
      </c>
      <c r="O4630">
        <v>113.9</v>
      </c>
      <c r="P4630">
        <v>115</v>
      </c>
    </row>
    <row r="4631" spans="1:16" x14ac:dyDescent="0.3">
      <c r="A4631">
        <v>27132</v>
      </c>
      <c r="B4631">
        <v>105</v>
      </c>
      <c r="C4631" t="s">
        <v>557</v>
      </c>
      <c r="D4631" s="452">
        <v>45748</v>
      </c>
      <c r="E4631">
        <v>25606</v>
      </c>
      <c r="F4631" t="s">
        <v>5535</v>
      </c>
      <c r="G4631">
        <v>6191</v>
      </c>
      <c r="H4631">
        <v>1</v>
      </c>
      <c r="I4631" t="s">
        <v>4884</v>
      </c>
      <c r="J4631" t="s">
        <v>5191</v>
      </c>
      <c r="K4631" t="s">
        <v>4455</v>
      </c>
      <c r="L4631">
        <v>114.07</v>
      </c>
      <c r="M4631" s="452">
        <v>45742</v>
      </c>
      <c r="N4631">
        <v>114.07</v>
      </c>
      <c r="O4631">
        <v>76</v>
      </c>
      <c r="P4631">
        <v>114.07</v>
      </c>
    </row>
    <row r="4632" spans="1:16" x14ac:dyDescent="0.3">
      <c r="A4632">
        <v>27256</v>
      </c>
      <c r="B4632">
        <v>105</v>
      </c>
      <c r="C4632" t="s">
        <v>557</v>
      </c>
      <c r="D4632" s="452">
        <v>45748</v>
      </c>
      <c r="E4632">
        <v>19765</v>
      </c>
      <c r="F4632" t="s">
        <v>4889</v>
      </c>
      <c r="G4632">
        <v>2488</v>
      </c>
      <c r="H4632">
        <v>2.72</v>
      </c>
      <c r="I4632" t="s">
        <v>4744</v>
      </c>
      <c r="J4632" t="s">
        <v>5191</v>
      </c>
      <c r="K4632" t="s">
        <v>4455</v>
      </c>
      <c r="L4632">
        <v>41.88</v>
      </c>
      <c r="M4632" s="452">
        <v>45731</v>
      </c>
      <c r="N4632">
        <v>35.64</v>
      </c>
      <c r="O4632">
        <v>35.64</v>
      </c>
      <c r="P4632">
        <v>113.91</v>
      </c>
    </row>
    <row r="4633" spans="1:16" x14ac:dyDescent="0.3">
      <c r="A4633">
        <v>27414</v>
      </c>
      <c r="B4633">
        <v>105</v>
      </c>
      <c r="C4633" t="s">
        <v>557</v>
      </c>
      <c r="D4633" s="452">
        <v>45748</v>
      </c>
      <c r="E4633">
        <v>17905</v>
      </c>
      <c r="F4633" t="s">
        <v>5085</v>
      </c>
      <c r="G4633">
        <v>3656</v>
      </c>
      <c r="H4633">
        <v>4</v>
      </c>
      <c r="I4633" t="s">
        <v>4738</v>
      </c>
      <c r="J4633" t="s">
        <v>5222</v>
      </c>
      <c r="K4633" t="s">
        <v>4455</v>
      </c>
      <c r="L4633">
        <v>27.41</v>
      </c>
      <c r="M4633" s="452">
        <v>45741</v>
      </c>
      <c r="N4633">
        <v>27.48</v>
      </c>
      <c r="O4633">
        <v>27.48</v>
      </c>
      <c r="P4633">
        <v>109.64</v>
      </c>
    </row>
    <row r="4634" spans="1:16" x14ac:dyDescent="0.3">
      <c r="A4634">
        <v>27212</v>
      </c>
      <c r="B4634">
        <v>105</v>
      </c>
      <c r="C4634" t="s">
        <v>557</v>
      </c>
      <c r="D4634" s="452">
        <v>45748</v>
      </c>
      <c r="E4634">
        <v>20623</v>
      </c>
      <c r="F4634" t="s">
        <v>4814</v>
      </c>
      <c r="G4634">
        <v>2116</v>
      </c>
      <c r="H4634">
        <v>10.23</v>
      </c>
      <c r="I4634" t="s">
        <v>4736</v>
      </c>
      <c r="J4634" t="s">
        <v>5191</v>
      </c>
      <c r="K4634" t="s">
        <v>4455</v>
      </c>
      <c r="L4634">
        <v>10.6</v>
      </c>
      <c r="M4634" s="452">
        <v>45734</v>
      </c>
      <c r="N4634">
        <v>11.07</v>
      </c>
      <c r="O4634">
        <v>11.07</v>
      </c>
      <c r="P4634">
        <v>108.44</v>
      </c>
    </row>
    <row r="4635" spans="1:16" x14ac:dyDescent="0.3">
      <c r="A4635">
        <v>27123</v>
      </c>
      <c r="B4635">
        <v>105</v>
      </c>
      <c r="C4635" t="s">
        <v>557</v>
      </c>
      <c r="D4635" s="452">
        <v>45748</v>
      </c>
      <c r="E4635">
        <v>25755</v>
      </c>
      <c r="F4635" t="s">
        <v>4821</v>
      </c>
      <c r="G4635">
        <v>9071</v>
      </c>
      <c r="H4635">
        <v>14</v>
      </c>
      <c r="I4635" t="s">
        <v>4749</v>
      </c>
      <c r="J4635" t="s">
        <v>5191</v>
      </c>
      <c r="K4635" t="s">
        <v>4455</v>
      </c>
      <c r="L4635">
        <v>7.73</v>
      </c>
      <c r="M4635" s="452">
        <v>45742</v>
      </c>
      <c r="N4635">
        <v>7.73</v>
      </c>
      <c r="O4635">
        <v>7.73</v>
      </c>
      <c r="P4635">
        <v>108.22</v>
      </c>
    </row>
    <row r="4636" spans="1:16" x14ac:dyDescent="0.3">
      <c r="A4636">
        <v>27367</v>
      </c>
      <c r="B4636">
        <v>105</v>
      </c>
      <c r="C4636" t="s">
        <v>557</v>
      </c>
      <c r="D4636" s="452">
        <v>45748</v>
      </c>
      <c r="E4636">
        <v>18339</v>
      </c>
      <c r="F4636" t="s">
        <v>5033</v>
      </c>
      <c r="G4636">
        <v>3296</v>
      </c>
      <c r="H4636">
        <v>2</v>
      </c>
      <c r="I4636" t="s">
        <v>4805</v>
      </c>
      <c r="J4636" t="s">
        <v>5222</v>
      </c>
      <c r="K4636" t="s">
        <v>4455</v>
      </c>
      <c r="L4636">
        <v>0</v>
      </c>
      <c r="M4636" s="452">
        <v>-693593</v>
      </c>
      <c r="N4636">
        <v>0</v>
      </c>
      <c r="O4636">
        <v>54.9</v>
      </c>
      <c r="P4636">
        <v>107.34</v>
      </c>
    </row>
    <row r="4637" spans="1:16" x14ac:dyDescent="0.3">
      <c r="A4637">
        <v>27146</v>
      </c>
      <c r="B4637">
        <v>105</v>
      </c>
      <c r="C4637" t="s">
        <v>557</v>
      </c>
      <c r="D4637" s="452">
        <v>45748</v>
      </c>
      <c r="E4637">
        <v>20729</v>
      </c>
      <c r="F4637" t="s">
        <v>5554</v>
      </c>
      <c r="G4637">
        <v>2093</v>
      </c>
      <c r="H4637">
        <v>2</v>
      </c>
      <c r="I4637" t="s">
        <v>4884</v>
      </c>
      <c r="J4637" t="s">
        <v>5191</v>
      </c>
      <c r="K4637" t="s">
        <v>4455</v>
      </c>
      <c r="L4637">
        <v>0</v>
      </c>
      <c r="M4637" s="452">
        <v>45695</v>
      </c>
      <c r="N4637">
        <v>52.79</v>
      </c>
      <c r="O4637">
        <v>54.78</v>
      </c>
      <c r="P4637">
        <v>105.58</v>
      </c>
    </row>
    <row r="4638" spans="1:16" x14ac:dyDescent="0.3">
      <c r="A4638">
        <v>27421</v>
      </c>
      <c r="B4638">
        <v>105</v>
      </c>
      <c r="C4638" t="s">
        <v>557</v>
      </c>
      <c r="D4638" s="452">
        <v>45748</v>
      </c>
      <c r="E4638">
        <v>17886</v>
      </c>
      <c r="F4638" t="s">
        <v>5083</v>
      </c>
      <c r="G4638">
        <v>3670</v>
      </c>
      <c r="H4638">
        <v>4</v>
      </c>
      <c r="I4638" t="s">
        <v>4738</v>
      </c>
      <c r="J4638" t="s">
        <v>5222</v>
      </c>
      <c r="K4638" t="s">
        <v>4455</v>
      </c>
      <c r="L4638">
        <v>26.28</v>
      </c>
      <c r="M4638" s="452">
        <v>45741</v>
      </c>
      <c r="N4638">
        <v>26.28</v>
      </c>
      <c r="O4638">
        <v>26.28</v>
      </c>
      <c r="P4638">
        <v>105.12</v>
      </c>
    </row>
    <row r="4639" spans="1:16" x14ac:dyDescent="0.3">
      <c r="A4639">
        <v>27425</v>
      </c>
      <c r="B4639">
        <v>105</v>
      </c>
      <c r="C4639" t="s">
        <v>557</v>
      </c>
      <c r="D4639" s="452">
        <v>45748</v>
      </c>
      <c r="E4639">
        <v>17881</v>
      </c>
      <c r="F4639" t="s">
        <v>5103</v>
      </c>
      <c r="G4639">
        <v>3675</v>
      </c>
      <c r="H4639">
        <v>4</v>
      </c>
      <c r="I4639" t="s">
        <v>4738</v>
      </c>
      <c r="J4639" t="s">
        <v>5222</v>
      </c>
      <c r="K4639" t="s">
        <v>4455</v>
      </c>
      <c r="L4639">
        <v>26.28</v>
      </c>
      <c r="M4639" s="452">
        <v>45741</v>
      </c>
      <c r="N4639">
        <v>26.28</v>
      </c>
      <c r="O4639">
        <v>26.28</v>
      </c>
      <c r="P4639">
        <v>105.12</v>
      </c>
    </row>
    <row r="4640" spans="1:16" x14ac:dyDescent="0.3">
      <c r="A4640">
        <v>27144</v>
      </c>
      <c r="B4640">
        <v>105</v>
      </c>
      <c r="C4640" t="s">
        <v>557</v>
      </c>
      <c r="D4640" s="452">
        <v>45748</v>
      </c>
      <c r="E4640">
        <v>20751</v>
      </c>
      <c r="F4640" t="s">
        <v>5004</v>
      </c>
      <c r="G4640">
        <v>2088</v>
      </c>
      <c r="H4640">
        <v>1</v>
      </c>
      <c r="I4640" t="s">
        <v>4884</v>
      </c>
      <c r="J4640" t="s">
        <v>5191</v>
      </c>
      <c r="K4640" t="s">
        <v>4455</v>
      </c>
      <c r="L4640">
        <v>103.8</v>
      </c>
      <c r="M4640" s="452">
        <v>45740</v>
      </c>
      <c r="N4640">
        <v>103.8</v>
      </c>
      <c r="O4640">
        <v>103.8</v>
      </c>
      <c r="P4640">
        <v>103.8</v>
      </c>
    </row>
    <row r="4641" spans="1:16" x14ac:dyDescent="0.3">
      <c r="A4641">
        <v>27294</v>
      </c>
      <c r="B4641">
        <v>105</v>
      </c>
      <c r="C4641" t="s">
        <v>557</v>
      </c>
      <c r="D4641" s="452">
        <v>45748</v>
      </c>
      <c r="E4641">
        <v>19463</v>
      </c>
      <c r="F4641" t="s">
        <v>5117</v>
      </c>
      <c r="G4641">
        <v>2739</v>
      </c>
      <c r="H4641">
        <v>1.65</v>
      </c>
      <c r="I4641" t="s">
        <v>4744</v>
      </c>
      <c r="J4641" t="s">
        <v>5191</v>
      </c>
      <c r="K4641" t="s">
        <v>4455</v>
      </c>
      <c r="L4641">
        <v>62.6</v>
      </c>
      <c r="M4641" s="452">
        <v>45747</v>
      </c>
      <c r="N4641">
        <v>55</v>
      </c>
      <c r="O4641">
        <v>55</v>
      </c>
      <c r="P4641">
        <v>103.29</v>
      </c>
    </row>
    <row r="4642" spans="1:16" x14ac:dyDescent="0.3">
      <c r="A4642">
        <v>27117</v>
      </c>
      <c r="B4642">
        <v>105</v>
      </c>
      <c r="C4642" t="s">
        <v>557</v>
      </c>
      <c r="D4642" s="452">
        <v>45748</v>
      </c>
      <c r="E4642">
        <v>25747</v>
      </c>
      <c r="F4642" t="s">
        <v>4794</v>
      </c>
      <c r="G4642">
        <v>6299</v>
      </c>
      <c r="H4642">
        <v>20</v>
      </c>
      <c r="I4642" t="s">
        <v>4736</v>
      </c>
      <c r="J4642" t="s">
        <v>5191</v>
      </c>
      <c r="K4642" t="s">
        <v>4455</v>
      </c>
      <c r="L4642">
        <v>5.04</v>
      </c>
      <c r="M4642" s="452">
        <v>45742</v>
      </c>
      <c r="N4642">
        <v>5.04</v>
      </c>
      <c r="O4642">
        <v>5.04</v>
      </c>
      <c r="P4642">
        <v>100.8</v>
      </c>
    </row>
    <row r="4643" spans="1:16" x14ac:dyDescent="0.3">
      <c r="A4643">
        <v>27296</v>
      </c>
      <c r="B4643">
        <v>105</v>
      </c>
      <c r="C4643" t="s">
        <v>557</v>
      </c>
      <c r="D4643" s="452">
        <v>45748</v>
      </c>
      <c r="E4643">
        <v>26495</v>
      </c>
      <c r="F4643" t="s">
        <v>4867</v>
      </c>
      <c r="G4643">
        <v>5447</v>
      </c>
      <c r="H4643">
        <v>2.75</v>
      </c>
      <c r="I4643" t="s">
        <v>4744</v>
      </c>
      <c r="J4643" t="s">
        <v>5191</v>
      </c>
      <c r="K4643" t="s">
        <v>4455</v>
      </c>
      <c r="L4643">
        <v>36.200000000000003</v>
      </c>
      <c r="M4643" s="452">
        <v>45743</v>
      </c>
      <c r="N4643">
        <v>36.200000000000003</v>
      </c>
      <c r="O4643">
        <v>36.200000000000003</v>
      </c>
      <c r="P4643">
        <v>99.55</v>
      </c>
    </row>
    <row r="4644" spans="1:16" x14ac:dyDescent="0.3">
      <c r="A4644">
        <v>27357</v>
      </c>
      <c r="B4644">
        <v>105</v>
      </c>
      <c r="C4644" t="s">
        <v>557</v>
      </c>
      <c r="D4644" s="452">
        <v>45748</v>
      </c>
      <c r="E4644">
        <v>18538</v>
      </c>
      <c r="F4644" t="s">
        <v>5030</v>
      </c>
      <c r="G4644">
        <v>3139</v>
      </c>
      <c r="H4644">
        <v>1</v>
      </c>
      <c r="I4644" t="s">
        <v>4805</v>
      </c>
      <c r="J4644" t="s">
        <v>5222</v>
      </c>
      <c r="K4644" t="s">
        <v>4455</v>
      </c>
      <c r="L4644">
        <v>0</v>
      </c>
      <c r="M4644" s="452">
        <v>45653</v>
      </c>
      <c r="N4644">
        <v>98.9</v>
      </c>
      <c r="O4644">
        <v>106</v>
      </c>
      <c r="P4644">
        <v>98.9</v>
      </c>
    </row>
    <row r="4645" spans="1:16" x14ac:dyDescent="0.3">
      <c r="A4645">
        <v>27337</v>
      </c>
      <c r="B4645">
        <v>105</v>
      </c>
      <c r="C4645" t="s">
        <v>557</v>
      </c>
      <c r="D4645" s="452">
        <v>45748</v>
      </c>
      <c r="E4645">
        <v>17092</v>
      </c>
      <c r="F4645" t="s">
        <v>5146</v>
      </c>
      <c r="G4645">
        <v>4165</v>
      </c>
      <c r="H4645">
        <v>2</v>
      </c>
      <c r="I4645" t="s">
        <v>4736</v>
      </c>
      <c r="J4645" t="s">
        <v>5222</v>
      </c>
      <c r="K4645" t="s">
        <v>4455</v>
      </c>
      <c r="L4645">
        <v>49.4</v>
      </c>
      <c r="M4645" s="452">
        <v>45722</v>
      </c>
      <c r="N4645">
        <v>49.4</v>
      </c>
      <c r="O4645">
        <v>47.5</v>
      </c>
      <c r="P4645">
        <v>98.8</v>
      </c>
    </row>
    <row r="4646" spans="1:16" x14ac:dyDescent="0.3">
      <c r="A4646">
        <v>27247</v>
      </c>
      <c r="B4646">
        <v>105</v>
      </c>
      <c r="C4646" t="s">
        <v>557</v>
      </c>
      <c r="D4646" s="452">
        <v>45748</v>
      </c>
      <c r="E4646">
        <v>24509</v>
      </c>
      <c r="F4646" t="s">
        <v>4788</v>
      </c>
      <c r="G4646">
        <v>2607</v>
      </c>
      <c r="H4646">
        <v>30.8</v>
      </c>
      <c r="I4646" t="s">
        <v>4744</v>
      </c>
      <c r="J4646" t="s">
        <v>5191</v>
      </c>
      <c r="K4646" t="s">
        <v>4455</v>
      </c>
      <c r="L4646">
        <v>3.19</v>
      </c>
      <c r="M4646" s="452">
        <v>45744</v>
      </c>
      <c r="N4646">
        <v>3.06</v>
      </c>
      <c r="O4646">
        <v>3.09</v>
      </c>
      <c r="P4646">
        <v>98.25</v>
      </c>
    </row>
    <row r="4647" spans="1:16" x14ac:dyDescent="0.3">
      <c r="A4647">
        <v>27262</v>
      </c>
      <c r="B4647">
        <v>105</v>
      </c>
      <c r="C4647" t="s">
        <v>557</v>
      </c>
      <c r="D4647" s="452">
        <v>45748</v>
      </c>
      <c r="E4647">
        <v>24326</v>
      </c>
      <c r="F4647" t="s">
        <v>4767</v>
      </c>
      <c r="G4647">
        <v>2499</v>
      </c>
      <c r="H4647">
        <v>34.479999999999997</v>
      </c>
      <c r="I4647" t="s">
        <v>4744</v>
      </c>
      <c r="J4647" t="s">
        <v>5191</v>
      </c>
      <c r="K4647" t="s">
        <v>4455</v>
      </c>
      <c r="L4647">
        <v>2.83</v>
      </c>
      <c r="M4647" s="452">
        <v>45744</v>
      </c>
      <c r="N4647">
        <v>2.6</v>
      </c>
      <c r="O4647">
        <v>2.4500000000000002</v>
      </c>
      <c r="P4647">
        <v>97.58</v>
      </c>
    </row>
    <row r="4648" spans="1:16" x14ac:dyDescent="0.3">
      <c r="A4648">
        <v>27355</v>
      </c>
      <c r="B4648">
        <v>105</v>
      </c>
      <c r="C4648" t="s">
        <v>557</v>
      </c>
      <c r="D4648" s="452">
        <v>45748</v>
      </c>
      <c r="E4648">
        <v>18545</v>
      </c>
      <c r="F4648" t="s">
        <v>4864</v>
      </c>
      <c r="G4648">
        <v>3134</v>
      </c>
      <c r="H4648">
        <v>2</v>
      </c>
      <c r="I4648" t="s">
        <v>4805</v>
      </c>
      <c r="J4648" t="s">
        <v>5222</v>
      </c>
      <c r="K4648" t="s">
        <v>4455</v>
      </c>
      <c r="L4648">
        <v>48.52</v>
      </c>
      <c r="M4648" s="452">
        <v>45742</v>
      </c>
      <c r="N4648">
        <v>45.54</v>
      </c>
      <c r="O4648">
        <v>45.54</v>
      </c>
      <c r="P4648">
        <v>97.04</v>
      </c>
    </row>
    <row r="4649" spans="1:16" x14ac:dyDescent="0.3">
      <c r="A4649">
        <v>27412</v>
      </c>
      <c r="B4649">
        <v>105</v>
      </c>
      <c r="C4649" t="s">
        <v>557</v>
      </c>
      <c r="D4649" s="452">
        <v>45748</v>
      </c>
      <c r="E4649">
        <v>24227</v>
      </c>
      <c r="F4649" t="s">
        <v>4806</v>
      </c>
      <c r="G4649">
        <v>3648</v>
      </c>
      <c r="H4649">
        <v>15</v>
      </c>
      <c r="I4649" t="s">
        <v>4736</v>
      </c>
      <c r="J4649" t="s">
        <v>5222</v>
      </c>
      <c r="K4649" t="s">
        <v>4455</v>
      </c>
      <c r="L4649">
        <v>0</v>
      </c>
      <c r="M4649" s="452">
        <v>45393</v>
      </c>
      <c r="N4649">
        <v>6.42</v>
      </c>
      <c r="O4649">
        <v>6.82</v>
      </c>
      <c r="P4649">
        <v>96.3</v>
      </c>
    </row>
    <row r="4650" spans="1:16" x14ac:dyDescent="0.3">
      <c r="A4650">
        <v>27381</v>
      </c>
      <c r="B4650">
        <v>105</v>
      </c>
      <c r="C4650" t="s">
        <v>557</v>
      </c>
      <c r="D4650" s="452">
        <v>45748</v>
      </c>
      <c r="E4650">
        <v>18219</v>
      </c>
      <c r="F4650" t="s">
        <v>4972</v>
      </c>
      <c r="G4650">
        <v>3409</v>
      </c>
      <c r="H4650">
        <v>1</v>
      </c>
      <c r="I4650" t="s">
        <v>4805</v>
      </c>
      <c r="J4650" t="s">
        <v>5222</v>
      </c>
      <c r="K4650" t="s">
        <v>4455</v>
      </c>
      <c r="L4650">
        <v>94.6</v>
      </c>
      <c r="M4650" s="452">
        <v>45737</v>
      </c>
      <c r="N4650">
        <v>94.6</v>
      </c>
      <c r="O4650">
        <v>94.6</v>
      </c>
      <c r="P4650">
        <v>94.6</v>
      </c>
    </row>
    <row r="4651" spans="1:16" x14ac:dyDescent="0.3">
      <c r="A4651">
        <v>27395</v>
      </c>
      <c r="B4651">
        <v>105</v>
      </c>
      <c r="C4651" t="s">
        <v>557</v>
      </c>
      <c r="D4651" s="452">
        <v>45748</v>
      </c>
      <c r="E4651">
        <v>18085</v>
      </c>
      <c r="F4651" t="s">
        <v>4973</v>
      </c>
      <c r="G4651">
        <v>3524</v>
      </c>
      <c r="H4651">
        <v>2</v>
      </c>
      <c r="I4651" t="s">
        <v>4805</v>
      </c>
      <c r="J4651" t="s">
        <v>5222</v>
      </c>
      <c r="K4651" t="s">
        <v>4455</v>
      </c>
      <c r="L4651">
        <v>47</v>
      </c>
      <c r="M4651" s="452">
        <v>45737</v>
      </c>
      <c r="N4651">
        <v>47</v>
      </c>
      <c r="O4651">
        <v>47</v>
      </c>
      <c r="P4651">
        <v>94</v>
      </c>
    </row>
    <row r="4652" spans="1:16" x14ac:dyDescent="0.3">
      <c r="A4652">
        <v>27397</v>
      </c>
      <c r="B4652">
        <v>105</v>
      </c>
      <c r="C4652" t="s">
        <v>557</v>
      </c>
      <c r="D4652" s="452">
        <v>45748</v>
      </c>
      <c r="E4652">
        <v>26210</v>
      </c>
      <c r="F4652" t="s">
        <v>4975</v>
      </c>
      <c r="G4652">
        <v>6624</v>
      </c>
      <c r="H4652">
        <v>2</v>
      </c>
      <c r="I4652" t="s">
        <v>4805</v>
      </c>
      <c r="J4652" t="s">
        <v>5222</v>
      </c>
      <c r="K4652" t="s">
        <v>4455</v>
      </c>
      <c r="L4652">
        <v>46.95</v>
      </c>
      <c r="M4652" s="452">
        <v>45737</v>
      </c>
      <c r="N4652">
        <v>47</v>
      </c>
      <c r="O4652">
        <v>47</v>
      </c>
      <c r="P4652">
        <v>93.9</v>
      </c>
    </row>
    <row r="4653" spans="1:16" x14ac:dyDescent="0.3">
      <c r="A4653">
        <v>27380</v>
      </c>
      <c r="B4653">
        <v>105</v>
      </c>
      <c r="C4653" t="s">
        <v>557</v>
      </c>
      <c r="D4653" s="452">
        <v>45748</v>
      </c>
      <c r="E4653">
        <v>22310</v>
      </c>
      <c r="F4653" t="s">
        <v>5555</v>
      </c>
      <c r="G4653">
        <v>3408</v>
      </c>
      <c r="H4653">
        <v>1</v>
      </c>
      <c r="I4653" t="s">
        <v>4805</v>
      </c>
      <c r="J4653" t="s">
        <v>5222</v>
      </c>
      <c r="K4653" t="s">
        <v>4455</v>
      </c>
      <c r="L4653">
        <v>89.9</v>
      </c>
      <c r="M4653" s="452">
        <v>45737</v>
      </c>
      <c r="N4653">
        <v>89.9</v>
      </c>
      <c r="O4653">
        <v>89.9</v>
      </c>
      <c r="P4653">
        <v>89.9</v>
      </c>
    </row>
    <row r="4654" spans="1:16" x14ac:dyDescent="0.3">
      <c r="A4654">
        <v>27229</v>
      </c>
      <c r="B4654">
        <v>105</v>
      </c>
      <c r="C4654" t="s">
        <v>557</v>
      </c>
      <c r="D4654" s="452">
        <v>45748</v>
      </c>
      <c r="E4654">
        <v>19787</v>
      </c>
      <c r="F4654" t="s">
        <v>4793</v>
      </c>
      <c r="G4654">
        <v>2471</v>
      </c>
      <c r="H4654">
        <v>14.57</v>
      </c>
      <c r="I4654" t="s">
        <v>4744</v>
      </c>
      <c r="J4654" t="s">
        <v>5191</v>
      </c>
      <c r="K4654" t="s">
        <v>4455</v>
      </c>
      <c r="L4654">
        <v>6.15</v>
      </c>
      <c r="M4654" s="452">
        <v>45747</v>
      </c>
      <c r="N4654">
        <v>5.65</v>
      </c>
      <c r="O4654">
        <v>5.65</v>
      </c>
      <c r="P4654">
        <v>89.61</v>
      </c>
    </row>
    <row r="4655" spans="1:16" x14ac:dyDescent="0.3">
      <c r="A4655">
        <v>27378</v>
      </c>
      <c r="B4655">
        <v>105</v>
      </c>
      <c r="C4655" t="s">
        <v>557</v>
      </c>
      <c r="D4655" s="452">
        <v>45748</v>
      </c>
      <c r="E4655">
        <v>18233</v>
      </c>
      <c r="F4655" t="s">
        <v>4970</v>
      </c>
      <c r="G4655">
        <v>3395</v>
      </c>
      <c r="H4655">
        <v>1</v>
      </c>
      <c r="I4655" t="s">
        <v>4805</v>
      </c>
      <c r="J4655" t="s">
        <v>5222</v>
      </c>
      <c r="K4655" t="s">
        <v>4455</v>
      </c>
      <c r="L4655">
        <v>0</v>
      </c>
      <c r="M4655" s="452">
        <v>45638</v>
      </c>
      <c r="N4655">
        <v>88.9</v>
      </c>
      <c r="O4655">
        <v>96.9</v>
      </c>
      <c r="P4655">
        <v>88.9</v>
      </c>
    </row>
    <row r="4656" spans="1:16" x14ac:dyDescent="0.3">
      <c r="A4656">
        <v>27251</v>
      </c>
      <c r="B4656">
        <v>105</v>
      </c>
      <c r="C4656" t="s">
        <v>557</v>
      </c>
      <c r="D4656" s="452">
        <v>45748</v>
      </c>
      <c r="E4656">
        <v>19844</v>
      </c>
      <c r="F4656" t="s">
        <v>5475</v>
      </c>
      <c r="G4656">
        <v>2424</v>
      </c>
      <c r="H4656">
        <v>2.1</v>
      </c>
      <c r="I4656" t="s">
        <v>4744</v>
      </c>
      <c r="J4656" t="s">
        <v>5191</v>
      </c>
      <c r="K4656" t="s">
        <v>4455</v>
      </c>
      <c r="L4656">
        <v>41.92</v>
      </c>
      <c r="M4656" s="452">
        <v>45744</v>
      </c>
      <c r="N4656">
        <v>41.6</v>
      </c>
      <c r="O4656">
        <v>41.6</v>
      </c>
      <c r="P4656">
        <v>88.03</v>
      </c>
    </row>
    <row r="4657" spans="1:16" x14ac:dyDescent="0.3">
      <c r="A4657">
        <v>27161</v>
      </c>
      <c r="B4657">
        <v>105</v>
      </c>
      <c r="C4657" t="s">
        <v>557</v>
      </c>
      <c r="D4657" s="452">
        <v>45748</v>
      </c>
      <c r="E4657">
        <v>20689</v>
      </c>
      <c r="F4657" t="s">
        <v>5007</v>
      </c>
      <c r="G4657">
        <v>2105</v>
      </c>
      <c r="H4657">
        <v>2.3199999999999998</v>
      </c>
      <c r="I4657" t="s">
        <v>4736</v>
      </c>
      <c r="J4657" t="s">
        <v>5191</v>
      </c>
      <c r="K4657" t="s">
        <v>4455</v>
      </c>
      <c r="L4657">
        <v>37.75</v>
      </c>
      <c r="M4657" s="452">
        <v>45742</v>
      </c>
      <c r="N4657">
        <v>37.9</v>
      </c>
      <c r="O4657">
        <v>37.9</v>
      </c>
      <c r="P4657">
        <v>87.58</v>
      </c>
    </row>
    <row r="4658" spans="1:16" x14ac:dyDescent="0.3">
      <c r="A4658">
        <v>27390</v>
      </c>
      <c r="B4658">
        <v>105</v>
      </c>
      <c r="C4658" t="s">
        <v>557</v>
      </c>
      <c r="D4658" s="452">
        <v>45748</v>
      </c>
      <c r="E4658">
        <v>18119</v>
      </c>
      <c r="F4658" t="s">
        <v>5044</v>
      </c>
      <c r="G4658">
        <v>3494</v>
      </c>
      <c r="H4658">
        <v>0.5</v>
      </c>
      <c r="I4658" t="s">
        <v>4805</v>
      </c>
      <c r="J4658" t="s">
        <v>5222</v>
      </c>
      <c r="K4658" t="s">
        <v>4455</v>
      </c>
      <c r="L4658">
        <v>172.88</v>
      </c>
      <c r="M4658" s="452">
        <v>45737</v>
      </c>
      <c r="N4658">
        <v>172.88</v>
      </c>
      <c r="O4658">
        <v>172.88</v>
      </c>
      <c r="P4658">
        <v>86.44</v>
      </c>
    </row>
    <row r="4659" spans="1:16" x14ac:dyDescent="0.3">
      <c r="A4659">
        <v>27152</v>
      </c>
      <c r="B4659">
        <v>105</v>
      </c>
      <c r="C4659" t="s">
        <v>557</v>
      </c>
      <c r="D4659" s="452">
        <v>45748</v>
      </c>
      <c r="E4659">
        <v>24123</v>
      </c>
      <c r="F4659" t="s">
        <v>5518</v>
      </c>
      <c r="G4659">
        <v>2237</v>
      </c>
      <c r="H4659">
        <v>1</v>
      </c>
      <c r="I4659" t="s">
        <v>4738</v>
      </c>
      <c r="J4659" t="s">
        <v>5191</v>
      </c>
      <c r="K4659" t="s">
        <v>4455</v>
      </c>
      <c r="L4659">
        <v>85</v>
      </c>
      <c r="M4659" s="452">
        <v>45733</v>
      </c>
      <c r="N4659">
        <v>0</v>
      </c>
      <c r="O4659">
        <v>109.9</v>
      </c>
      <c r="P4659">
        <v>85</v>
      </c>
    </row>
    <row r="4660" spans="1:16" x14ac:dyDescent="0.3">
      <c r="A4660">
        <v>27176</v>
      </c>
      <c r="B4660">
        <v>105</v>
      </c>
      <c r="C4660" t="s">
        <v>557</v>
      </c>
      <c r="D4660" s="452">
        <v>45748</v>
      </c>
      <c r="E4660">
        <v>24267</v>
      </c>
      <c r="F4660" t="s">
        <v>5501</v>
      </c>
      <c r="G4660">
        <v>2249</v>
      </c>
      <c r="H4660">
        <v>1</v>
      </c>
      <c r="I4660" t="s">
        <v>4744</v>
      </c>
      <c r="J4660" t="s">
        <v>5191</v>
      </c>
      <c r="K4660" t="s">
        <v>4455</v>
      </c>
      <c r="L4660">
        <v>0</v>
      </c>
      <c r="M4660" s="452">
        <v>45507</v>
      </c>
      <c r="N4660">
        <v>85</v>
      </c>
      <c r="O4660">
        <v>34</v>
      </c>
      <c r="P4660">
        <v>85</v>
      </c>
    </row>
    <row r="4661" spans="1:16" x14ac:dyDescent="0.3">
      <c r="A4661">
        <v>27401</v>
      </c>
      <c r="B4661">
        <v>105</v>
      </c>
      <c r="C4661" t="s">
        <v>557</v>
      </c>
      <c r="D4661" s="452">
        <v>45748</v>
      </c>
      <c r="E4661">
        <v>24011</v>
      </c>
      <c r="F4661" t="s">
        <v>4739</v>
      </c>
      <c r="G4661">
        <v>3626</v>
      </c>
      <c r="H4661">
        <v>64</v>
      </c>
      <c r="I4661" t="s">
        <v>4736</v>
      </c>
      <c r="J4661" t="s">
        <v>5222</v>
      </c>
      <c r="K4661" t="s">
        <v>4455</v>
      </c>
      <c r="L4661">
        <v>0</v>
      </c>
      <c r="M4661" s="452">
        <v>45562</v>
      </c>
      <c r="N4661">
        <v>1.32</v>
      </c>
      <c r="O4661">
        <v>1.33</v>
      </c>
      <c r="P4661">
        <v>84.48</v>
      </c>
    </row>
    <row r="4662" spans="1:16" x14ac:dyDescent="0.3">
      <c r="A4662">
        <v>27410</v>
      </c>
      <c r="B4662">
        <v>105</v>
      </c>
      <c r="C4662" t="s">
        <v>557</v>
      </c>
      <c r="D4662" s="452">
        <v>45748</v>
      </c>
      <c r="E4662">
        <v>24226</v>
      </c>
      <c r="F4662" t="s">
        <v>4795</v>
      </c>
      <c r="G4662">
        <v>3647</v>
      </c>
      <c r="H4662">
        <v>13</v>
      </c>
      <c r="I4662" t="s">
        <v>4736</v>
      </c>
      <c r="J4662" t="s">
        <v>5222</v>
      </c>
      <c r="K4662" t="s">
        <v>4455</v>
      </c>
      <c r="L4662">
        <v>0</v>
      </c>
      <c r="M4662" s="452">
        <v>45532</v>
      </c>
      <c r="N4662">
        <v>6.42</v>
      </c>
      <c r="O4662">
        <v>6.09</v>
      </c>
      <c r="P4662">
        <v>83.46</v>
      </c>
    </row>
    <row r="4663" spans="1:16" x14ac:dyDescent="0.3">
      <c r="A4663">
        <v>27127</v>
      </c>
      <c r="B4663">
        <v>105</v>
      </c>
      <c r="C4663" t="s">
        <v>557</v>
      </c>
      <c r="D4663" s="452">
        <v>45748</v>
      </c>
      <c r="E4663">
        <v>25750</v>
      </c>
      <c r="F4663" t="s">
        <v>4908</v>
      </c>
      <c r="G4663">
        <v>6301</v>
      </c>
      <c r="H4663">
        <v>12</v>
      </c>
      <c r="I4663" t="s">
        <v>4736</v>
      </c>
      <c r="J4663" t="s">
        <v>5191</v>
      </c>
      <c r="K4663" t="s">
        <v>4455</v>
      </c>
      <c r="L4663">
        <v>0</v>
      </c>
      <c r="M4663" s="452">
        <v>45653</v>
      </c>
      <c r="N4663">
        <v>6.87</v>
      </c>
      <c r="O4663">
        <v>6.87</v>
      </c>
      <c r="P4663">
        <v>82.44</v>
      </c>
    </row>
    <row r="4664" spans="1:16" x14ac:dyDescent="0.3">
      <c r="A4664">
        <v>27391</v>
      </c>
      <c r="B4664">
        <v>105</v>
      </c>
      <c r="C4664" t="s">
        <v>557</v>
      </c>
      <c r="D4664" s="452">
        <v>45748</v>
      </c>
      <c r="E4664">
        <v>18116</v>
      </c>
      <c r="F4664" t="s">
        <v>5045</v>
      </c>
      <c r="G4664">
        <v>3496</v>
      </c>
      <c r="H4664">
        <v>1</v>
      </c>
      <c r="I4664" t="s">
        <v>4805</v>
      </c>
      <c r="J4664" t="s">
        <v>5222</v>
      </c>
      <c r="K4664" t="s">
        <v>4455</v>
      </c>
      <c r="L4664">
        <v>82.18</v>
      </c>
      <c r="M4664" s="452">
        <v>45737</v>
      </c>
      <c r="N4664">
        <v>82.18</v>
      </c>
      <c r="O4664">
        <v>82.18</v>
      </c>
      <c r="P4664">
        <v>82.18</v>
      </c>
    </row>
    <row r="4665" spans="1:16" x14ac:dyDescent="0.3">
      <c r="A4665">
        <v>27411</v>
      </c>
      <c r="B4665">
        <v>105</v>
      </c>
      <c r="C4665" t="s">
        <v>557</v>
      </c>
      <c r="D4665" s="452">
        <v>45748</v>
      </c>
      <c r="E4665">
        <v>17918</v>
      </c>
      <c r="F4665" t="s">
        <v>5368</v>
      </c>
      <c r="G4665">
        <v>3647</v>
      </c>
      <c r="H4665">
        <v>2</v>
      </c>
      <c r="I4665" t="s">
        <v>4738</v>
      </c>
      <c r="J4665" t="s">
        <v>5222</v>
      </c>
      <c r="K4665" t="s">
        <v>4455</v>
      </c>
      <c r="L4665">
        <v>40.92</v>
      </c>
      <c r="M4665" s="452">
        <v>45741</v>
      </c>
      <c r="N4665">
        <v>40.92</v>
      </c>
      <c r="O4665">
        <v>40.92</v>
      </c>
      <c r="P4665">
        <v>81.84</v>
      </c>
    </row>
    <row r="4666" spans="1:16" x14ac:dyDescent="0.3">
      <c r="A4666">
        <v>27244</v>
      </c>
      <c r="B4666">
        <v>105</v>
      </c>
      <c r="C4666" t="s">
        <v>557</v>
      </c>
      <c r="D4666" s="452">
        <v>45748</v>
      </c>
      <c r="E4666">
        <v>24099</v>
      </c>
      <c r="F4666" t="s">
        <v>4933</v>
      </c>
      <c r="G4666">
        <v>2716</v>
      </c>
      <c r="H4666">
        <v>4.45</v>
      </c>
      <c r="I4666" t="s">
        <v>4744</v>
      </c>
      <c r="J4666" t="s">
        <v>5191</v>
      </c>
      <c r="K4666" t="s">
        <v>4455</v>
      </c>
      <c r="L4666">
        <v>18.27</v>
      </c>
      <c r="M4666" s="452">
        <v>45747</v>
      </c>
      <c r="N4666">
        <v>16</v>
      </c>
      <c r="O4666">
        <v>16</v>
      </c>
      <c r="P4666">
        <v>81.3</v>
      </c>
    </row>
    <row r="4667" spans="1:16" x14ac:dyDescent="0.3">
      <c r="A4667">
        <v>27236</v>
      </c>
      <c r="B4667">
        <v>105</v>
      </c>
      <c r="C4667" t="s">
        <v>557</v>
      </c>
      <c r="D4667" s="452">
        <v>45748</v>
      </c>
      <c r="E4667">
        <v>19649</v>
      </c>
      <c r="F4667" t="s">
        <v>4859</v>
      </c>
      <c r="G4667">
        <v>2589</v>
      </c>
      <c r="H4667">
        <v>3</v>
      </c>
      <c r="I4667" t="s">
        <v>4744</v>
      </c>
      <c r="J4667" t="s">
        <v>5191</v>
      </c>
      <c r="K4667" t="s">
        <v>4455</v>
      </c>
      <c r="L4667">
        <v>27</v>
      </c>
      <c r="M4667" s="452">
        <v>45737</v>
      </c>
      <c r="N4667">
        <v>27</v>
      </c>
      <c r="O4667">
        <v>26.6</v>
      </c>
      <c r="P4667">
        <v>81</v>
      </c>
    </row>
    <row r="4668" spans="1:16" x14ac:dyDescent="0.3">
      <c r="A4668">
        <v>27182</v>
      </c>
      <c r="B4668">
        <v>105</v>
      </c>
      <c r="C4668" t="s">
        <v>557</v>
      </c>
      <c r="D4668" s="452">
        <v>45748</v>
      </c>
      <c r="E4668">
        <v>23630</v>
      </c>
      <c r="F4668" t="s">
        <v>4813</v>
      </c>
      <c r="G4668">
        <v>2251</v>
      </c>
      <c r="H4668">
        <v>6.95</v>
      </c>
      <c r="I4668" t="s">
        <v>4744</v>
      </c>
      <c r="J4668" t="s">
        <v>5191</v>
      </c>
      <c r="K4668" t="s">
        <v>4455</v>
      </c>
      <c r="L4668">
        <v>0</v>
      </c>
      <c r="M4668" s="452">
        <v>45677</v>
      </c>
      <c r="N4668">
        <v>11.65</v>
      </c>
      <c r="O4668">
        <v>11.66</v>
      </c>
      <c r="P4668">
        <v>80.97</v>
      </c>
    </row>
    <row r="4669" spans="1:16" x14ac:dyDescent="0.3">
      <c r="A4669">
        <v>27393</v>
      </c>
      <c r="B4669">
        <v>105</v>
      </c>
      <c r="C4669" t="s">
        <v>557</v>
      </c>
      <c r="D4669" s="452">
        <v>45748</v>
      </c>
      <c r="E4669">
        <v>22223</v>
      </c>
      <c r="F4669" t="s">
        <v>5437</v>
      </c>
      <c r="G4669">
        <v>3498</v>
      </c>
      <c r="H4669">
        <v>0.3</v>
      </c>
      <c r="I4669" t="s">
        <v>4955</v>
      </c>
      <c r="J4669" t="s">
        <v>5222</v>
      </c>
      <c r="K4669" t="s">
        <v>4455</v>
      </c>
      <c r="L4669">
        <v>0</v>
      </c>
      <c r="M4669" s="452">
        <v>45672</v>
      </c>
      <c r="N4669">
        <v>269.89999999999998</v>
      </c>
      <c r="O4669">
        <v>269.89999999999998</v>
      </c>
      <c r="P4669">
        <v>80.97</v>
      </c>
    </row>
    <row r="4670" spans="1:16" x14ac:dyDescent="0.3">
      <c r="A4670">
        <v>27363</v>
      </c>
      <c r="B4670">
        <v>105</v>
      </c>
      <c r="C4670" t="s">
        <v>557</v>
      </c>
      <c r="D4670" s="452">
        <v>45748</v>
      </c>
      <c r="E4670">
        <v>18460</v>
      </c>
      <c r="F4670" t="s">
        <v>5541</v>
      </c>
      <c r="G4670">
        <v>3193</v>
      </c>
      <c r="H4670">
        <v>2</v>
      </c>
      <c r="I4670" t="s">
        <v>4805</v>
      </c>
      <c r="J4670" t="s">
        <v>5222</v>
      </c>
      <c r="K4670" t="s">
        <v>4455</v>
      </c>
      <c r="L4670">
        <v>0</v>
      </c>
      <c r="M4670" s="452">
        <v>45644</v>
      </c>
      <c r="N4670">
        <v>39.9</v>
      </c>
      <c r="O4670">
        <v>39.9</v>
      </c>
      <c r="P4670">
        <v>79.8</v>
      </c>
    </row>
    <row r="4671" spans="1:16" x14ac:dyDescent="0.3">
      <c r="A4671">
        <v>27220</v>
      </c>
      <c r="B4671">
        <v>105</v>
      </c>
      <c r="C4671" t="s">
        <v>557</v>
      </c>
      <c r="D4671" s="452">
        <v>45748</v>
      </c>
      <c r="E4671">
        <v>20185</v>
      </c>
      <c r="F4671" t="s">
        <v>5054</v>
      </c>
      <c r="G4671">
        <v>2259</v>
      </c>
      <c r="H4671">
        <v>2.41</v>
      </c>
      <c r="I4671" t="s">
        <v>4744</v>
      </c>
      <c r="J4671" t="s">
        <v>5191</v>
      </c>
      <c r="K4671" t="s">
        <v>4455</v>
      </c>
      <c r="L4671">
        <v>32.9</v>
      </c>
      <c r="M4671" s="452">
        <v>45741</v>
      </c>
      <c r="N4671">
        <v>32.9</v>
      </c>
      <c r="O4671">
        <v>32.9</v>
      </c>
      <c r="P4671">
        <v>79.290000000000006</v>
      </c>
    </row>
    <row r="4672" spans="1:16" x14ac:dyDescent="0.3">
      <c r="A4672">
        <v>27174</v>
      </c>
      <c r="B4672">
        <v>105</v>
      </c>
      <c r="C4672" t="s">
        <v>557</v>
      </c>
      <c r="D4672" s="452">
        <v>45748</v>
      </c>
      <c r="E4672">
        <v>20231</v>
      </c>
      <c r="F4672" t="s">
        <v>5273</v>
      </c>
      <c r="G4672">
        <v>2247</v>
      </c>
      <c r="H4672">
        <v>4</v>
      </c>
      <c r="I4672" t="s">
        <v>4738</v>
      </c>
      <c r="J4672" t="s">
        <v>5191</v>
      </c>
      <c r="K4672" t="s">
        <v>4455</v>
      </c>
      <c r="L4672">
        <v>19.8</v>
      </c>
      <c r="M4672" s="452">
        <v>45741</v>
      </c>
      <c r="N4672">
        <v>19.8</v>
      </c>
      <c r="O4672">
        <v>19.7</v>
      </c>
      <c r="P4672">
        <v>79.2</v>
      </c>
    </row>
    <row r="4673" spans="1:16" x14ac:dyDescent="0.3">
      <c r="A4673">
        <v>27195</v>
      </c>
      <c r="B4673">
        <v>105</v>
      </c>
      <c r="C4673" t="s">
        <v>557</v>
      </c>
      <c r="D4673" s="452">
        <v>45748</v>
      </c>
      <c r="E4673">
        <v>20009</v>
      </c>
      <c r="F4673" t="s">
        <v>5480</v>
      </c>
      <c r="G4673">
        <v>2343</v>
      </c>
      <c r="H4673">
        <v>2.11</v>
      </c>
      <c r="I4673" t="s">
        <v>4736</v>
      </c>
      <c r="J4673" t="s">
        <v>5191</v>
      </c>
      <c r="K4673" t="s">
        <v>4455</v>
      </c>
      <c r="L4673">
        <v>0</v>
      </c>
      <c r="M4673" s="452">
        <v>45666</v>
      </c>
      <c r="N4673">
        <v>37.520000000000003</v>
      </c>
      <c r="O4673">
        <v>47.88</v>
      </c>
      <c r="P4673">
        <v>79.17</v>
      </c>
    </row>
    <row r="4674" spans="1:16" x14ac:dyDescent="0.3">
      <c r="A4674">
        <v>27166</v>
      </c>
      <c r="B4674">
        <v>105</v>
      </c>
      <c r="C4674" t="s">
        <v>557</v>
      </c>
      <c r="D4674" s="452">
        <v>45748</v>
      </c>
      <c r="E4674">
        <v>25167</v>
      </c>
      <c r="F4674" t="s">
        <v>4758</v>
      </c>
      <c r="G4674">
        <v>5930</v>
      </c>
      <c r="H4674">
        <v>10</v>
      </c>
      <c r="I4674" t="s">
        <v>4744</v>
      </c>
      <c r="J4674" t="s">
        <v>5191</v>
      </c>
      <c r="K4674" t="s">
        <v>4455</v>
      </c>
      <c r="L4674">
        <v>7.9</v>
      </c>
      <c r="M4674" s="452">
        <v>45742</v>
      </c>
      <c r="N4674">
        <v>7.9</v>
      </c>
      <c r="O4674">
        <v>7.9</v>
      </c>
      <c r="P4674">
        <v>79</v>
      </c>
    </row>
    <row r="4675" spans="1:16" x14ac:dyDescent="0.3">
      <c r="A4675">
        <v>27423</v>
      </c>
      <c r="B4675">
        <v>105</v>
      </c>
      <c r="C4675" t="s">
        <v>557</v>
      </c>
      <c r="D4675" s="452">
        <v>45748</v>
      </c>
      <c r="E4675">
        <v>17883</v>
      </c>
      <c r="F4675" t="s">
        <v>5113</v>
      </c>
      <c r="G4675">
        <v>3673</v>
      </c>
      <c r="H4675">
        <v>3</v>
      </c>
      <c r="I4675" t="s">
        <v>4738</v>
      </c>
      <c r="J4675" t="s">
        <v>5222</v>
      </c>
      <c r="K4675" t="s">
        <v>4455</v>
      </c>
      <c r="L4675">
        <v>26.28</v>
      </c>
      <c r="M4675" s="452">
        <v>45741</v>
      </c>
      <c r="N4675">
        <v>26.28</v>
      </c>
      <c r="O4675">
        <v>26.28</v>
      </c>
      <c r="P4675">
        <v>78.84</v>
      </c>
    </row>
    <row r="4676" spans="1:16" x14ac:dyDescent="0.3">
      <c r="A4676">
        <v>27179</v>
      </c>
      <c r="B4676">
        <v>105</v>
      </c>
      <c r="C4676" t="s">
        <v>557</v>
      </c>
      <c r="D4676" s="452">
        <v>45748</v>
      </c>
      <c r="E4676">
        <v>24284</v>
      </c>
      <c r="F4676" t="s">
        <v>5556</v>
      </c>
      <c r="G4676">
        <v>2038</v>
      </c>
      <c r="H4676">
        <v>1.5</v>
      </c>
      <c r="I4676" t="s">
        <v>4744</v>
      </c>
      <c r="J4676" t="s">
        <v>5191</v>
      </c>
      <c r="K4676" t="s">
        <v>4455</v>
      </c>
      <c r="L4676">
        <v>0</v>
      </c>
      <c r="M4676" s="452">
        <v>-693593</v>
      </c>
      <c r="N4676">
        <v>0</v>
      </c>
      <c r="O4676">
        <v>52.2</v>
      </c>
      <c r="P4676">
        <v>78.3</v>
      </c>
    </row>
    <row r="4677" spans="1:16" x14ac:dyDescent="0.3">
      <c r="A4677">
        <v>27126</v>
      </c>
      <c r="B4677">
        <v>105</v>
      </c>
      <c r="C4677" t="s">
        <v>557</v>
      </c>
      <c r="D4677" s="452">
        <v>45748</v>
      </c>
      <c r="E4677">
        <v>25759</v>
      </c>
      <c r="F4677" t="s">
        <v>4877</v>
      </c>
      <c r="G4677">
        <v>9073</v>
      </c>
      <c r="H4677">
        <v>10</v>
      </c>
      <c r="I4677" t="s">
        <v>4736</v>
      </c>
      <c r="J4677" t="s">
        <v>5191</v>
      </c>
      <c r="K4677" t="s">
        <v>4455</v>
      </c>
      <c r="L4677">
        <v>0</v>
      </c>
      <c r="M4677" s="452">
        <v>45653</v>
      </c>
      <c r="N4677">
        <v>7.73</v>
      </c>
      <c r="O4677">
        <v>7.73</v>
      </c>
      <c r="P4677">
        <v>77.3</v>
      </c>
    </row>
    <row r="4678" spans="1:16" x14ac:dyDescent="0.3">
      <c r="A4678">
        <v>27342</v>
      </c>
      <c r="B4678">
        <v>105</v>
      </c>
      <c r="C4678" t="s">
        <v>557</v>
      </c>
      <c r="D4678" s="452">
        <v>45748</v>
      </c>
      <c r="E4678">
        <v>24973</v>
      </c>
      <c r="F4678" t="s">
        <v>4819</v>
      </c>
      <c r="G4678">
        <v>5845</v>
      </c>
      <c r="H4678">
        <v>1</v>
      </c>
      <c r="I4678" t="s">
        <v>4738</v>
      </c>
      <c r="J4678" t="s">
        <v>5222</v>
      </c>
      <c r="K4678" t="s">
        <v>4455</v>
      </c>
      <c r="L4678">
        <v>74.64</v>
      </c>
      <c r="M4678" s="452">
        <v>45737</v>
      </c>
      <c r="N4678">
        <v>74.64</v>
      </c>
      <c r="O4678">
        <v>74.64</v>
      </c>
      <c r="P4678">
        <v>74.64</v>
      </c>
    </row>
    <row r="4679" spans="1:16" x14ac:dyDescent="0.3">
      <c r="A4679">
        <v>27169</v>
      </c>
      <c r="B4679">
        <v>105</v>
      </c>
      <c r="C4679" t="s">
        <v>557</v>
      </c>
      <c r="D4679" s="452">
        <v>45748</v>
      </c>
      <c r="E4679">
        <v>20359</v>
      </c>
      <c r="F4679" t="s">
        <v>5446</v>
      </c>
      <c r="G4679">
        <v>2199</v>
      </c>
      <c r="H4679">
        <v>15.55</v>
      </c>
      <c r="I4679" t="s">
        <v>4736</v>
      </c>
      <c r="J4679" t="s">
        <v>5191</v>
      </c>
      <c r="K4679" t="s">
        <v>4455</v>
      </c>
      <c r="L4679">
        <v>4.75</v>
      </c>
      <c r="M4679" s="452">
        <v>45733</v>
      </c>
      <c r="N4679">
        <v>4.75</v>
      </c>
      <c r="O4679">
        <v>4.95</v>
      </c>
      <c r="P4679">
        <v>73.86</v>
      </c>
    </row>
    <row r="4680" spans="1:16" x14ac:dyDescent="0.3">
      <c r="A4680">
        <v>27177</v>
      </c>
      <c r="B4680">
        <v>105</v>
      </c>
      <c r="C4680" t="s">
        <v>557</v>
      </c>
      <c r="D4680" s="452">
        <v>45748</v>
      </c>
      <c r="E4680">
        <v>24272</v>
      </c>
      <c r="F4680" t="s">
        <v>5059</v>
      </c>
      <c r="G4680">
        <v>2341</v>
      </c>
      <c r="H4680">
        <v>3.05</v>
      </c>
      <c r="I4680" t="s">
        <v>4744</v>
      </c>
      <c r="J4680" t="s">
        <v>5191</v>
      </c>
      <c r="K4680" t="s">
        <v>4455</v>
      </c>
      <c r="L4680">
        <v>24</v>
      </c>
      <c r="M4680" s="452">
        <v>45737</v>
      </c>
      <c r="N4680">
        <v>24</v>
      </c>
      <c r="O4680">
        <v>24</v>
      </c>
      <c r="P4680">
        <v>73.2</v>
      </c>
    </row>
    <row r="4681" spans="1:16" x14ac:dyDescent="0.3">
      <c r="A4681">
        <v>27403</v>
      </c>
      <c r="B4681">
        <v>105</v>
      </c>
      <c r="C4681" t="s">
        <v>557</v>
      </c>
      <c r="D4681" s="452">
        <v>45748</v>
      </c>
      <c r="E4681">
        <v>17957</v>
      </c>
      <c r="F4681" t="s">
        <v>4745</v>
      </c>
      <c r="G4681">
        <v>3622</v>
      </c>
      <c r="H4681">
        <v>58</v>
      </c>
      <c r="I4681" t="s">
        <v>4736</v>
      </c>
      <c r="J4681" t="s">
        <v>5222</v>
      </c>
      <c r="K4681" t="s">
        <v>4455</v>
      </c>
      <c r="L4681">
        <v>0</v>
      </c>
      <c r="M4681" s="452">
        <v>45680</v>
      </c>
      <c r="N4681">
        <v>1.23</v>
      </c>
      <c r="O4681">
        <v>0.66</v>
      </c>
      <c r="P4681">
        <v>71.34</v>
      </c>
    </row>
    <row r="4682" spans="1:16" x14ac:dyDescent="0.3">
      <c r="A4682">
        <v>27115</v>
      </c>
      <c r="B4682">
        <v>105</v>
      </c>
      <c r="C4682" t="s">
        <v>557</v>
      </c>
      <c r="D4682" s="452">
        <v>45748</v>
      </c>
      <c r="E4682">
        <v>25748</v>
      </c>
      <c r="F4682" t="s">
        <v>4999</v>
      </c>
      <c r="G4682">
        <v>9068</v>
      </c>
      <c r="H4682">
        <v>14</v>
      </c>
      <c r="I4682" t="s">
        <v>4749</v>
      </c>
      <c r="J4682" t="s">
        <v>5191</v>
      </c>
      <c r="K4682" t="s">
        <v>4455</v>
      </c>
      <c r="L4682">
        <v>5.04</v>
      </c>
      <c r="M4682" s="452">
        <v>45742</v>
      </c>
      <c r="N4682">
        <v>5.04</v>
      </c>
      <c r="O4682">
        <v>5.04</v>
      </c>
      <c r="P4682">
        <v>70.56</v>
      </c>
    </row>
    <row r="4683" spans="1:16" x14ac:dyDescent="0.3">
      <c r="A4683">
        <v>27125</v>
      </c>
      <c r="B4683">
        <v>105</v>
      </c>
      <c r="C4683" t="s">
        <v>557</v>
      </c>
      <c r="D4683" s="452">
        <v>45748</v>
      </c>
      <c r="E4683">
        <v>25754</v>
      </c>
      <c r="F4683" t="s">
        <v>5142</v>
      </c>
      <c r="G4683">
        <v>6305</v>
      </c>
      <c r="H4683">
        <v>9</v>
      </c>
      <c r="I4683" t="s">
        <v>4736</v>
      </c>
      <c r="J4683" t="s">
        <v>5191</v>
      </c>
      <c r="K4683" t="s">
        <v>4455</v>
      </c>
      <c r="L4683">
        <v>0</v>
      </c>
      <c r="M4683" s="452">
        <v>45653</v>
      </c>
      <c r="N4683">
        <v>7.73</v>
      </c>
      <c r="O4683">
        <v>7.73</v>
      </c>
      <c r="P4683">
        <v>69.569999999999993</v>
      </c>
    </row>
    <row r="4684" spans="1:16" x14ac:dyDescent="0.3">
      <c r="A4684">
        <v>27151</v>
      </c>
      <c r="B4684">
        <v>105</v>
      </c>
      <c r="C4684" t="s">
        <v>557</v>
      </c>
      <c r="D4684" s="452">
        <v>45748</v>
      </c>
      <c r="E4684">
        <v>25358</v>
      </c>
      <c r="F4684" t="s">
        <v>4980</v>
      </c>
      <c r="G4684">
        <v>6047</v>
      </c>
      <c r="H4684">
        <v>0.86</v>
      </c>
      <c r="I4684" t="s">
        <v>4744</v>
      </c>
      <c r="J4684" t="s">
        <v>5191</v>
      </c>
      <c r="K4684" t="s">
        <v>4455</v>
      </c>
      <c r="L4684">
        <v>80.400000000000006</v>
      </c>
      <c r="M4684" s="452">
        <v>45740</v>
      </c>
      <c r="N4684">
        <v>80.400000000000006</v>
      </c>
      <c r="O4684">
        <v>80.400000000000006</v>
      </c>
      <c r="P4684">
        <v>69.14</v>
      </c>
    </row>
    <row r="4685" spans="1:16" x14ac:dyDescent="0.3">
      <c r="A4685">
        <v>27154</v>
      </c>
      <c r="B4685">
        <v>105</v>
      </c>
      <c r="C4685" t="s">
        <v>557</v>
      </c>
      <c r="D4685" s="452">
        <v>45748</v>
      </c>
      <c r="E4685">
        <v>20060</v>
      </c>
      <c r="F4685" t="s">
        <v>5539</v>
      </c>
      <c r="G4685">
        <v>2324</v>
      </c>
      <c r="H4685">
        <v>1.92</v>
      </c>
      <c r="I4685" t="s">
        <v>4736</v>
      </c>
      <c r="J4685" t="s">
        <v>5191</v>
      </c>
      <c r="K4685" t="s">
        <v>4455</v>
      </c>
      <c r="L4685">
        <v>35.5</v>
      </c>
      <c r="M4685" s="452">
        <v>45741</v>
      </c>
      <c r="N4685">
        <v>35.5</v>
      </c>
      <c r="O4685">
        <v>35.5</v>
      </c>
      <c r="P4685">
        <v>68.16</v>
      </c>
    </row>
    <row r="4686" spans="1:16" x14ac:dyDescent="0.3">
      <c r="A4686">
        <v>27198</v>
      </c>
      <c r="B4686">
        <v>105</v>
      </c>
      <c r="C4686" t="s">
        <v>557</v>
      </c>
      <c r="D4686" s="452">
        <v>45748</v>
      </c>
      <c r="E4686">
        <v>23861</v>
      </c>
      <c r="F4686" t="s">
        <v>5531</v>
      </c>
      <c r="G4686">
        <v>2040</v>
      </c>
      <c r="H4686">
        <v>2</v>
      </c>
      <c r="I4686" t="s">
        <v>4744</v>
      </c>
      <c r="J4686" t="s">
        <v>5191</v>
      </c>
      <c r="K4686" t="s">
        <v>4455</v>
      </c>
      <c r="L4686">
        <v>0</v>
      </c>
      <c r="M4686" s="452">
        <v>45679</v>
      </c>
      <c r="N4686">
        <v>32</v>
      </c>
      <c r="O4686">
        <v>32</v>
      </c>
      <c r="P4686">
        <v>64</v>
      </c>
    </row>
    <row r="4687" spans="1:16" x14ac:dyDescent="0.3">
      <c r="A4687">
        <v>27112</v>
      </c>
      <c r="B4687">
        <v>105</v>
      </c>
      <c r="C4687" t="s">
        <v>557</v>
      </c>
      <c r="D4687" s="452">
        <v>45748</v>
      </c>
      <c r="E4687">
        <v>21147</v>
      </c>
      <c r="F4687" t="s">
        <v>4876</v>
      </c>
      <c r="G4687">
        <v>1952</v>
      </c>
      <c r="H4687">
        <v>3</v>
      </c>
      <c r="I4687" t="s">
        <v>4736</v>
      </c>
      <c r="J4687" t="s">
        <v>5191</v>
      </c>
      <c r="K4687" t="s">
        <v>4455</v>
      </c>
      <c r="L4687">
        <v>0</v>
      </c>
      <c r="M4687" s="452">
        <v>45694</v>
      </c>
      <c r="N4687">
        <v>20.99</v>
      </c>
      <c r="O4687">
        <v>20.99</v>
      </c>
      <c r="P4687">
        <v>62.97</v>
      </c>
    </row>
    <row r="4688" spans="1:16" x14ac:dyDescent="0.3">
      <c r="A4688">
        <v>27245</v>
      </c>
      <c r="B4688">
        <v>105</v>
      </c>
      <c r="C4688" t="s">
        <v>557</v>
      </c>
      <c r="D4688" s="452">
        <v>45748</v>
      </c>
      <c r="E4688">
        <v>19492</v>
      </c>
      <c r="F4688" t="s">
        <v>4937</v>
      </c>
      <c r="G4688">
        <v>2717</v>
      </c>
      <c r="H4688">
        <v>3.35</v>
      </c>
      <c r="I4688" t="s">
        <v>4744</v>
      </c>
      <c r="J4688" t="s">
        <v>5191</v>
      </c>
      <c r="K4688" t="s">
        <v>4455</v>
      </c>
      <c r="L4688">
        <v>18.71</v>
      </c>
      <c r="M4688" s="452">
        <v>45747</v>
      </c>
      <c r="N4688">
        <v>16</v>
      </c>
      <c r="O4688">
        <v>16</v>
      </c>
      <c r="P4688">
        <v>62.68</v>
      </c>
    </row>
    <row r="4689" spans="1:16" x14ac:dyDescent="0.3">
      <c r="A4689">
        <v>27113</v>
      </c>
      <c r="B4689">
        <v>105</v>
      </c>
      <c r="C4689" t="s">
        <v>557</v>
      </c>
      <c r="D4689" s="452">
        <v>45748</v>
      </c>
      <c r="E4689">
        <v>21132</v>
      </c>
      <c r="F4689" t="s">
        <v>5524</v>
      </c>
      <c r="G4689">
        <v>1963</v>
      </c>
      <c r="H4689">
        <v>1.75</v>
      </c>
      <c r="I4689" t="s">
        <v>4738</v>
      </c>
      <c r="J4689" t="s">
        <v>5191</v>
      </c>
      <c r="K4689" t="s">
        <v>4455</v>
      </c>
      <c r="L4689">
        <v>0</v>
      </c>
      <c r="M4689" s="452">
        <v>45660</v>
      </c>
      <c r="N4689">
        <v>35.31</v>
      </c>
      <c r="O4689">
        <v>35.31</v>
      </c>
      <c r="P4689">
        <v>61.79</v>
      </c>
    </row>
    <row r="4690" spans="1:16" x14ac:dyDescent="0.3">
      <c r="A4690">
        <v>27210</v>
      </c>
      <c r="B4690">
        <v>105</v>
      </c>
      <c r="C4690" t="s">
        <v>557</v>
      </c>
      <c r="D4690" s="452">
        <v>45748</v>
      </c>
      <c r="E4690">
        <v>20985</v>
      </c>
      <c r="F4690" t="s">
        <v>5494</v>
      </c>
      <c r="G4690">
        <v>2011</v>
      </c>
      <c r="H4690">
        <v>7</v>
      </c>
      <c r="I4690" t="s">
        <v>4736</v>
      </c>
      <c r="J4690" t="s">
        <v>5191</v>
      </c>
      <c r="K4690" t="s">
        <v>4455</v>
      </c>
      <c r="L4690">
        <v>0</v>
      </c>
      <c r="M4690" s="452">
        <v>45675</v>
      </c>
      <c r="N4690">
        <v>8.7799999999999994</v>
      </c>
      <c r="O4690">
        <v>8.8800000000000008</v>
      </c>
      <c r="P4690">
        <v>61.46</v>
      </c>
    </row>
    <row r="4691" spans="1:16" x14ac:dyDescent="0.3">
      <c r="A4691">
        <v>27230</v>
      </c>
      <c r="B4691">
        <v>105</v>
      </c>
      <c r="C4691" t="s">
        <v>557</v>
      </c>
      <c r="D4691" s="452">
        <v>45748</v>
      </c>
      <c r="E4691">
        <v>19658</v>
      </c>
      <c r="F4691" t="s">
        <v>4784</v>
      </c>
      <c r="G4691">
        <v>2582</v>
      </c>
      <c r="H4691">
        <v>24.53</v>
      </c>
      <c r="I4691" t="s">
        <v>4744</v>
      </c>
      <c r="J4691" t="s">
        <v>5191</v>
      </c>
      <c r="K4691" t="s">
        <v>4455</v>
      </c>
      <c r="L4691">
        <v>2.4500000000000002</v>
      </c>
      <c r="M4691" s="452">
        <v>45744</v>
      </c>
      <c r="N4691">
        <v>2.41</v>
      </c>
      <c r="O4691">
        <v>2.41</v>
      </c>
      <c r="P4691">
        <v>60.1</v>
      </c>
    </row>
    <row r="4692" spans="1:16" x14ac:dyDescent="0.3">
      <c r="A4692">
        <v>27155</v>
      </c>
      <c r="B4692">
        <v>105</v>
      </c>
      <c r="C4692" t="s">
        <v>557</v>
      </c>
      <c r="D4692" s="452">
        <v>45748</v>
      </c>
      <c r="E4692">
        <v>20716</v>
      </c>
      <c r="F4692" t="s">
        <v>5053</v>
      </c>
      <c r="G4692">
        <v>2098</v>
      </c>
      <c r="H4692">
        <v>0.5</v>
      </c>
      <c r="I4692" t="s">
        <v>4744</v>
      </c>
      <c r="J4692" t="s">
        <v>5191</v>
      </c>
      <c r="K4692" t="s">
        <v>4455</v>
      </c>
      <c r="L4692">
        <v>0</v>
      </c>
      <c r="M4692" s="452">
        <v>-693593</v>
      </c>
      <c r="N4692">
        <v>0</v>
      </c>
      <c r="O4692">
        <v>0</v>
      </c>
      <c r="P4692">
        <v>59.77</v>
      </c>
    </row>
    <row r="4693" spans="1:16" x14ac:dyDescent="0.3">
      <c r="A4693">
        <v>27400</v>
      </c>
      <c r="B4693">
        <v>105</v>
      </c>
      <c r="C4693" t="s">
        <v>557</v>
      </c>
      <c r="D4693" s="452">
        <v>45748</v>
      </c>
      <c r="E4693">
        <v>24690</v>
      </c>
      <c r="F4693" t="s">
        <v>5168</v>
      </c>
      <c r="G4693">
        <v>5716</v>
      </c>
      <c r="H4693">
        <v>1</v>
      </c>
      <c r="I4693" t="s">
        <v>4749</v>
      </c>
      <c r="J4693" t="s">
        <v>5222</v>
      </c>
      <c r="K4693" t="s">
        <v>4455</v>
      </c>
      <c r="L4693">
        <v>58</v>
      </c>
      <c r="M4693" s="452">
        <v>45737</v>
      </c>
      <c r="N4693">
        <v>58</v>
      </c>
      <c r="O4693">
        <v>58</v>
      </c>
      <c r="P4693">
        <v>58</v>
      </c>
    </row>
    <row r="4694" spans="1:16" x14ac:dyDescent="0.3">
      <c r="A4694">
        <v>27172</v>
      </c>
      <c r="B4694">
        <v>105</v>
      </c>
      <c r="C4694" t="s">
        <v>557</v>
      </c>
      <c r="D4694" s="452">
        <v>45748</v>
      </c>
      <c r="E4694">
        <v>20358</v>
      </c>
      <c r="F4694" t="s">
        <v>4911</v>
      </c>
      <c r="G4694">
        <v>2200</v>
      </c>
      <c r="H4694">
        <v>3.93</v>
      </c>
      <c r="I4694" t="s">
        <v>4738</v>
      </c>
      <c r="J4694" t="s">
        <v>5191</v>
      </c>
      <c r="K4694" t="s">
        <v>4455</v>
      </c>
      <c r="L4694">
        <v>0</v>
      </c>
      <c r="M4694" s="452">
        <v>45714</v>
      </c>
      <c r="N4694">
        <v>14.4</v>
      </c>
      <c r="O4694">
        <v>14.4</v>
      </c>
      <c r="P4694">
        <v>56.59</v>
      </c>
    </row>
    <row r="4695" spans="1:16" x14ac:dyDescent="0.3">
      <c r="A4695">
        <v>27119</v>
      </c>
      <c r="B4695">
        <v>105</v>
      </c>
      <c r="C4695" t="s">
        <v>557</v>
      </c>
      <c r="D4695" s="452">
        <v>45748</v>
      </c>
      <c r="E4695">
        <v>25763</v>
      </c>
      <c r="F4695" t="s">
        <v>4943</v>
      </c>
      <c r="G4695">
        <v>6314</v>
      </c>
      <c r="H4695">
        <v>8</v>
      </c>
      <c r="I4695" t="s">
        <v>4736</v>
      </c>
      <c r="J4695" t="s">
        <v>5191</v>
      </c>
      <c r="K4695" t="s">
        <v>4455</v>
      </c>
      <c r="L4695">
        <v>0</v>
      </c>
      <c r="M4695" s="452">
        <v>-693593</v>
      </c>
      <c r="N4695">
        <v>0</v>
      </c>
      <c r="O4695">
        <v>0</v>
      </c>
      <c r="P4695">
        <v>55.92</v>
      </c>
    </row>
    <row r="4696" spans="1:16" x14ac:dyDescent="0.3">
      <c r="A4696">
        <v>27158</v>
      </c>
      <c r="B4696">
        <v>105</v>
      </c>
      <c r="C4696" t="s">
        <v>557</v>
      </c>
      <c r="D4696" s="452">
        <v>45748</v>
      </c>
      <c r="E4696">
        <v>20911</v>
      </c>
      <c r="F4696" t="s">
        <v>5557</v>
      </c>
      <c r="G4696">
        <v>2035</v>
      </c>
      <c r="H4696">
        <v>0.45</v>
      </c>
      <c r="I4696" t="s">
        <v>4736</v>
      </c>
      <c r="J4696" t="s">
        <v>5191</v>
      </c>
      <c r="K4696" t="s">
        <v>4455</v>
      </c>
      <c r="L4696">
        <v>0</v>
      </c>
      <c r="M4696" s="452">
        <v>45678</v>
      </c>
      <c r="N4696">
        <v>120</v>
      </c>
      <c r="O4696">
        <v>120</v>
      </c>
      <c r="P4696">
        <v>54</v>
      </c>
    </row>
    <row r="4697" spans="1:16" x14ac:dyDescent="0.3">
      <c r="A4697">
        <v>27243</v>
      </c>
      <c r="B4697">
        <v>105</v>
      </c>
      <c r="C4697" t="s">
        <v>557</v>
      </c>
      <c r="D4697" s="452">
        <v>45748</v>
      </c>
      <c r="E4697">
        <v>19635</v>
      </c>
      <c r="F4697" t="s">
        <v>4786</v>
      </c>
      <c r="G4697">
        <v>2601</v>
      </c>
      <c r="H4697">
        <v>18.8</v>
      </c>
      <c r="I4697" t="s">
        <v>4744</v>
      </c>
      <c r="J4697" t="s">
        <v>5191</v>
      </c>
      <c r="K4697" t="s">
        <v>4455</v>
      </c>
      <c r="L4697">
        <v>2.87</v>
      </c>
      <c r="M4697" s="452">
        <v>45744</v>
      </c>
      <c r="N4697">
        <v>3.64</v>
      </c>
      <c r="O4697">
        <v>3.64</v>
      </c>
      <c r="P4697">
        <v>53.96</v>
      </c>
    </row>
    <row r="4698" spans="1:16" x14ac:dyDescent="0.3">
      <c r="A4698">
        <v>27129</v>
      </c>
      <c r="B4698">
        <v>105</v>
      </c>
      <c r="C4698" t="s">
        <v>557</v>
      </c>
      <c r="D4698" s="452">
        <v>45748</v>
      </c>
      <c r="E4698">
        <v>24456</v>
      </c>
      <c r="F4698" t="s">
        <v>4845</v>
      </c>
      <c r="G4698">
        <v>1965</v>
      </c>
      <c r="H4698">
        <v>3.98</v>
      </c>
      <c r="I4698" t="s">
        <v>4744</v>
      </c>
      <c r="J4698" t="s">
        <v>5191</v>
      </c>
      <c r="K4698" t="s">
        <v>4455</v>
      </c>
      <c r="L4698">
        <v>13.5</v>
      </c>
      <c r="M4698" s="452">
        <v>45735</v>
      </c>
      <c r="N4698">
        <v>13.5</v>
      </c>
      <c r="O4698">
        <v>25.37</v>
      </c>
      <c r="P4698">
        <v>53.73</v>
      </c>
    </row>
    <row r="4699" spans="1:16" x14ac:dyDescent="0.3">
      <c r="A4699">
        <v>27233</v>
      </c>
      <c r="B4699">
        <v>105</v>
      </c>
      <c r="C4699" t="s">
        <v>557</v>
      </c>
      <c r="D4699" s="452">
        <v>45748</v>
      </c>
      <c r="E4699">
        <v>19498</v>
      </c>
      <c r="F4699" t="s">
        <v>5487</v>
      </c>
      <c r="G4699">
        <v>2712</v>
      </c>
      <c r="H4699">
        <v>3</v>
      </c>
      <c r="I4699" t="s">
        <v>4744</v>
      </c>
      <c r="J4699" t="s">
        <v>5191</v>
      </c>
      <c r="K4699" t="s">
        <v>4455</v>
      </c>
      <c r="L4699">
        <v>17.59</v>
      </c>
      <c r="M4699" s="452">
        <v>45744</v>
      </c>
      <c r="N4699">
        <v>22.1</v>
      </c>
      <c r="O4699">
        <v>14</v>
      </c>
      <c r="P4699">
        <v>52.77</v>
      </c>
    </row>
    <row r="4700" spans="1:16" x14ac:dyDescent="0.3">
      <c r="A4700">
        <v>27285</v>
      </c>
      <c r="B4700">
        <v>105</v>
      </c>
      <c r="C4700" t="s">
        <v>557</v>
      </c>
      <c r="D4700" s="452">
        <v>45748</v>
      </c>
      <c r="E4700">
        <v>19552</v>
      </c>
      <c r="F4700" t="s">
        <v>4860</v>
      </c>
      <c r="G4700">
        <v>2664</v>
      </c>
      <c r="H4700">
        <v>6.9</v>
      </c>
      <c r="I4700" t="s">
        <v>4744</v>
      </c>
      <c r="J4700" t="s">
        <v>5191</v>
      </c>
      <c r="K4700" t="s">
        <v>4455</v>
      </c>
      <c r="L4700">
        <v>7.58</v>
      </c>
      <c r="M4700" s="452">
        <v>45744</v>
      </c>
      <c r="N4700">
        <v>9.75</v>
      </c>
      <c r="O4700">
        <v>6.5</v>
      </c>
      <c r="P4700">
        <v>52.3</v>
      </c>
    </row>
    <row r="4701" spans="1:16" x14ac:dyDescent="0.3">
      <c r="A4701">
        <v>27160</v>
      </c>
      <c r="B4701">
        <v>105</v>
      </c>
      <c r="C4701" t="s">
        <v>557</v>
      </c>
      <c r="D4701" s="452">
        <v>45748</v>
      </c>
      <c r="E4701">
        <v>20421</v>
      </c>
      <c r="F4701" t="s">
        <v>5525</v>
      </c>
      <c r="G4701">
        <v>2187</v>
      </c>
      <c r="H4701">
        <v>3.5</v>
      </c>
      <c r="I4701" t="s">
        <v>4736</v>
      </c>
      <c r="J4701" t="s">
        <v>5191</v>
      </c>
      <c r="K4701" t="s">
        <v>4455</v>
      </c>
      <c r="L4701">
        <v>14.86</v>
      </c>
      <c r="M4701" s="452">
        <v>45741</v>
      </c>
      <c r="N4701">
        <v>14</v>
      </c>
      <c r="O4701">
        <v>14.78</v>
      </c>
      <c r="P4701">
        <v>52.01</v>
      </c>
    </row>
    <row r="4702" spans="1:16" x14ac:dyDescent="0.3">
      <c r="A4702">
        <v>27309</v>
      </c>
      <c r="B4702">
        <v>105</v>
      </c>
      <c r="C4702" t="s">
        <v>557</v>
      </c>
      <c r="D4702" s="452">
        <v>45748</v>
      </c>
      <c r="E4702">
        <v>19161</v>
      </c>
      <c r="F4702" t="s">
        <v>5558</v>
      </c>
      <c r="G4702">
        <v>2830</v>
      </c>
      <c r="H4702">
        <v>24</v>
      </c>
      <c r="I4702" t="s">
        <v>4736</v>
      </c>
      <c r="J4702" t="s">
        <v>5191</v>
      </c>
      <c r="K4702" t="s">
        <v>4455</v>
      </c>
      <c r="L4702">
        <v>0</v>
      </c>
      <c r="M4702" s="452">
        <v>-693593</v>
      </c>
      <c r="N4702">
        <v>0</v>
      </c>
      <c r="O4702">
        <v>0</v>
      </c>
      <c r="P4702">
        <v>51.84</v>
      </c>
    </row>
    <row r="4703" spans="1:16" x14ac:dyDescent="0.3">
      <c r="A4703">
        <v>27187</v>
      </c>
      <c r="B4703">
        <v>105</v>
      </c>
      <c r="C4703" t="s">
        <v>557</v>
      </c>
      <c r="D4703" s="452">
        <v>45748</v>
      </c>
      <c r="E4703">
        <v>24323</v>
      </c>
      <c r="F4703" t="s">
        <v>4844</v>
      </c>
      <c r="G4703">
        <v>2262</v>
      </c>
      <c r="H4703">
        <v>3</v>
      </c>
      <c r="I4703" t="s">
        <v>4744</v>
      </c>
      <c r="J4703" t="s">
        <v>5191</v>
      </c>
      <c r="K4703" t="s">
        <v>4455</v>
      </c>
      <c r="L4703">
        <v>17.13</v>
      </c>
      <c r="M4703" s="452">
        <v>45741</v>
      </c>
      <c r="N4703">
        <v>17.05</v>
      </c>
      <c r="O4703">
        <v>17.05</v>
      </c>
      <c r="P4703">
        <v>51.39</v>
      </c>
    </row>
    <row r="4704" spans="1:16" x14ac:dyDescent="0.3">
      <c r="A4704">
        <v>27175</v>
      </c>
      <c r="B4704">
        <v>105</v>
      </c>
      <c r="C4704" t="s">
        <v>557</v>
      </c>
      <c r="D4704" s="452">
        <v>45748</v>
      </c>
      <c r="E4704">
        <v>20227</v>
      </c>
      <c r="F4704" t="s">
        <v>4825</v>
      </c>
      <c r="G4704">
        <v>2248</v>
      </c>
      <c r="H4704">
        <v>4</v>
      </c>
      <c r="I4704" t="s">
        <v>4738</v>
      </c>
      <c r="J4704" t="s">
        <v>5191</v>
      </c>
      <c r="K4704" t="s">
        <v>4455</v>
      </c>
      <c r="L4704">
        <v>12.71</v>
      </c>
      <c r="M4704" s="452">
        <v>45741</v>
      </c>
      <c r="N4704">
        <v>12.78</v>
      </c>
      <c r="O4704">
        <v>12.33</v>
      </c>
      <c r="P4704">
        <v>50.84</v>
      </c>
    </row>
    <row r="4705" spans="1:16" x14ac:dyDescent="0.3">
      <c r="A4705">
        <v>27330</v>
      </c>
      <c r="B4705">
        <v>105</v>
      </c>
      <c r="C4705" t="s">
        <v>557</v>
      </c>
      <c r="D4705" s="452">
        <v>45748</v>
      </c>
      <c r="E4705">
        <v>24660</v>
      </c>
      <c r="F4705" t="s">
        <v>5523</v>
      </c>
      <c r="G4705">
        <v>5702</v>
      </c>
      <c r="H4705">
        <v>2.65</v>
      </c>
      <c r="I4705" t="s">
        <v>4744</v>
      </c>
      <c r="J4705" t="s">
        <v>5191</v>
      </c>
      <c r="K4705" t="s">
        <v>4455</v>
      </c>
      <c r="L4705">
        <v>0</v>
      </c>
      <c r="M4705" s="452">
        <v>45623</v>
      </c>
      <c r="N4705">
        <v>18.89</v>
      </c>
      <c r="O4705">
        <v>12.8</v>
      </c>
      <c r="P4705">
        <v>50.06</v>
      </c>
    </row>
    <row r="4706" spans="1:16" x14ac:dyDescent="0.3">
      <c r="A4706">
        <v>27361</v>
      </c>
      <c r="B4706">
        <v>105</v>
      </c>
      <c r="C4706" t="s">
        <v>557</v>
      </c>
      <c r="D4706" s="452">
        <v>45748</v>
      </c>
      <c r="E4706">
        <v>18477</v>
      </c>
      <c r="F4706" t="s">
        <v>4920</v>
      </c>
      <c r="G4706">
        <v>3179</v>
      </c>
      <c r="H4706">
        <v>1</v>
      </c>
      <c r="I4706" t="s">
        <v>4805</v>
      </c>
      <c r="J4706" t="s">
        <v>5222</v>
      </c>
      <c r="K4706" t="s">
        <v>4455</v>
      </c>
      <c r="L4706">
        <v>0</v>
      </c>
      <c r="M4706" s="452">
        <v>45525</v>
      </c>
      <c r="N4706">
        <v>49.9</v>
      </c>
      <c r="O4706">
        <v>43.9</v>
      </c>
      <c r="P4706">
        <v>49.9</v>
      </c>
    </row>
    <row r="4707" spans="1:16" x14ac:dyDescent="0.3">
      <c r="A4707">
        <v>27289</v>
      </c>
      <c r="B4707">
        <v>105</v>
      </c>
      <c r="C4707" t="s">
        <v>557</v>
      </c>
      <c r="D4707" s="452">
        <v>45748</v>
      </c>
      <c r="E4707">
        <v>19672</v>
      </c>
      <c r="F4707" t="s">
        <v>5537</v>
      </c>
      <c r="G4707">
        <v>2567</v>
      </c>
      <c r="H4707">
        <v>6</v>
      </c>
      <c r="I4707" t="s">
        <v>4744</v>
      </c>
      <c r="J4707" t="s">
        <v>5191</v>
      </c>
      <c r="K4707" t="s">
        <v>4455</v>
      </c>
      <c r="L4707">
        <v>8</v>
      </c>
      <c r="M4707" s="452">
        <v>45737</v>
      </c>
      <c r="N4707">
        <v>8.5</v>
      </c>
      <c r="O4707">
        <v>12.5</v>
      </c>
      <c r="P4707">
        <v>48</v>
      </c>
    </row>
    <row r="4708" spans="1:16" x14ac:dyDescent="0.3">
      <c r="A4708">
        <v>27186</v>
      </c>
      <c r="B4708">
        <v>105</v>
      </c>
      <c r="C4708" t="s">
        <v>557</v>
      </c>
      <c r="D4708" s="452">
        <v>45748</v>
      </c>
      <c r="E4708">
        <v>24322</v>
      </c>
      <c r="F4708" t="s">
        <v>5064</v>
      </c>
      <c r="G4708">
        <v>2342</v>
      </c>
      <c r="H4708">
        <v>2.0499999999999998</v>
      </c>
      <c r="I4708" t="s">
        <v>4744</v>
      </c>
      <c r="J4708" t="s">
        <v>5191</v>
      </c>
      <c r="K4708" t="s">
        <v>4455</v>
      </c>
      <c r="L4708">
        <v>23</v>
      </c>
      <c r="M4708" s="452">
        <v>45741</v>
      </c>
      <c r="N4708">
        <v>23</v>
      </c>
      <c r="O4708">
        <v>23</v>
      </c>
      <c r="P4708">
        <v>47.15</v>
      </c>
    </row>
    <row r="4709" spans="1:16" x14ac:dyDescent="0.3">
      <c r="A4709">
        <v>27440</v>
      </c>
      <c r="B4709">
        <v>105</v>
      </c>
      <c r="C4709" t="s">
        <v>557</v>
      </c>
      <c r="D4709" s="452">
        <v>45748</v>
      </c>
      <c r="E4709">
        <v>20871</v>
      </c>
      <c r="F4709" t="s">
        <v>5015</v>
      </c>
      <c r="G4709">
        <v>2043</v>
      </c>
      <c r="H4709">
        <v>1.51</v>
      </c>
      <c r="I4709" t="s">
        <v>4879</v>
      </c>
      <c r="J4709" t="s">
        <v>5191</v>
      </c>
      <c r="K4709" t="s">
        <v>4455</v>
      </c>
      <c r="L4709">
        <v>0</v>
      </c>
      <c r="M4709" s="452">
        <v>45679</v>
      </c>
      <c r="N4709">
        <v>30.9</v>
      </c>
      <c r="O4709">
        <v>30.9</v>
      </c>
      <c r="P4709">
        <v>46.66</v>
      </c>
    </row>
    <row r="4710" spans="1:16" x14ac:dyDescent="0.3">
      <c r="A4710">
        <v>27396</v>
      </c>
      <c r="B4710">
        <v>105</v>
      </c>
      <c r="C4710" t="s">
        <v>557</v>
      </c>
      <c r="D4710" s="452">
        <v>45748</v>
      </c>
      <c r="E4710">
        <v>18073</v>
      </c>
      <c r="F4710" t="s">
        <v>4974</v>
      </c>
      <c r="G4710">
        <v>3536</v>
      </c>
      <c r="H4710">
        <v>1</v>
      </c>
      <c r="I4710" t="s">
        <v>4805</v>
      </c>
      <c r="J4710" t="s">
        <v>5222</v>
      </c>
      <c r="K4710" t="s">
        <v>4455</v>
      </c>
      <c r="L4710">
        <v>0</v>
      </c>
      <c r="M4710" s="452">
        <v>45686</v>
      </c>
      <c r="N4710">
        <v>46</v>
      </c>
      <c r="O4710">
        <v>46</v>
      </c>
      <c r="P4710">
        <v>46</v>
      </c>
    </row>
    <row r="4711" spans="1:16" x14ac:dyDescent="0.3">
      <c r="A4711">
        <v>27415</v>
      </c>
      <c r="B4711">
        <v>105</v>
      </c>
      <c r="C4711" t="s">
        <v>557</v>
      </c>
      <c r="D4711" s="452">
        <v>45748</v>
      </c>
      <c r="E4711">
        <v>24307</v>
      </c>
      <c r="F4711" t="s">
        <v>4755</v>
      </c>
      <c r="G4711">
        <v>3656</v>
      </c>
      <c r="H4711">
        <v>21</v>
      </c>
      <c r="I4711" t="s">
        <v>4736</v>
      </c>
      <c r="J4711" t="s">
        <v>5222</v>
      </c>
      <c r="K4711" t="s">
        <v>4455</v>
      </c>
      <c r="L4711">
        <v>0</v>
      </c>
      <c r="M4711" s="452">
        <v>45540</v>
      </c>
      <c r="N4711">
        <v>2.19</v>
      </c>
      <c r="O4711">
        <v>2.19</v>
      </c>
      <c r="P4711">
        <v>45.99</v>
      </c>
    </row>
    <row r="4712" spans="1:16" x14ac:dyDescent="0.3">
      <c r="A4712">
        <v>27424</v>
      </c>
      <c r="B4712">
        <v>105</v>
      </c>
      <c r="C4712" t="s">
        <v>557</v>
      </c>
      <c r="D4712" s="452">
        <v>45748</v>
      </c>
      <c r="E4712">
        <v>24468</v>
      </c>
      <c r="F4712" t="s">
        <v>4798</v>
      </c>
      <c r="G4712">
        <v>3675</v>
      </c>
      <c r="H4712">
        <v>21</v>
      </c>
      <c r="I4712" t="s">
        <v>4736</v>
      </c>
      <c r="J4712" t="s">
        <v>5222</v>
      </c>
      <c r="K4712" t="s">
        <v>4455</v>
      </c>
      <c r="L4712">
        <v>0</v>
      </c>
      <c r="M4712" s="452">
        <v>45653</v>
      </c>
      <c r="N4712">
        <v>2.19</v>
      </c>
      <c r="O4712">
        <v>2.19</v>
      </c>
      <c r="P4712">
        <v>45.99</v>
      </c>
    </row>
    <row r="4713" spans="1:16" x14ac:dyDescent="0.3">
      <c r="A4713">
        <v>27281</v>
      </c>
      <c r="B4713">
        <v>105</v>
      </c>
      <c r="C4713" t="s">
        <v>557</v>
      </c>
      <c r="D4713" s="452">
        <v>45748</v>
      </c>
      <c r="E4713">
        <v>20678</v>
      </c>
      <c r="F4713" t="s">
        <v>5559</v>
      </c>
      <c r="G4713">
        <v>5765</v>
      </c>
      <c r="H4713">
        <v>3</v>
      </c>
      <c r="I4713" t="s">
        <v>4805</v>
      </c>
      <c r="J4713" t="s">
        <v>5191</v>
      </c>
      <c r="K4713" t="s">
        <v>4455</v>
      </c>
      <c r="L4713">
        <v>0</v>
      </c>
      <c r="M4713" s="452">
        <v>45706</v>
      </c>
      <c r="N4713">
        <v>15.1</v>
      </c>
      <c r="O4713">
        <v>12.5</v>
      </c>
      <c r="P4713">
        <v>45.3</v>
      </c>
    </row>
    <row r="4714" spans="1:16" x14ac:dyDescent="0.3">
      <c r="A4714">
        <v>27133</v>
      </c>
      <c r="B4714">
        <v>105</v>
      </c>
      <c r="C4714" t="s">
        <v>557</v>
      </c>
      <c r="D4714" s="452">
        <v>45748</v>
      </c>
      <c r="E4714">
        <v>21068</v>
      </c>
      <c r="F4714" t="s">
        <v>5560</v>
      </c>
      <c r="G4714">
        <v>1997</v>
      </c>
      <c r="H4714">
        <v>3</v>
      </c>
      <c r="I4714" t="s">
        <v>4805</v>
      </c>
      <c r="J4714" t="s">
        <v>5191</v>
      </c>
      <c r="K4714" t="s">
        <v>4455</v>
      </c>
      <c r="L4714">
        <v>14.9</v>
      </c>
      <c r="M4714" s="452">
        <v>45741</v>
      </c>
      <c r="N4714">
        <v>14.9</v>
      </c>
      <c r="O4714">
        <v>14.9</v>
      </c>
      <c r="P4714">
        <v>44.7</v>
      </c>
    </row>
    <row r="4715" spans="1:16" x14ac:dyDescent="0.3">
      <c r="A4715">
        <v>27273</v>
      </c>
      <c r="B4715">
        <v>105</v>
      </c>
      <c r="C4715" t="s">
        <v>557</v>
      </c>
      <c r="D4715" s="452">
        <v>45748</v>
      </c>
      <c r="E4715">
        <v>23095</v>
      </c>
      <c r="F4715" t="s">
        <v>4741</v>
      </c>
      <c r="G4715">
        <v>2754</v>
      </c>
      <c r="H4715">
        <v>29</v>
      </c>
      <c r="I4715" t="s">
        <v>4736</v>
      </c>
      <c r="J4715" t="s">
        <v>5191</v>
      </c>
      <c r="K4715" t="s">
        <v>4455</v>
      </c>
      <c r="L4715">
        <v>1.54</v>
      </c>
      <c r="M4715" s="452">
        <v>45747</v>
      </c>
      <c r="N4715">
        <v>1.45</v>
      </c>
      <c r="O4715">
        <v>1.45</v>
      </c>
      <c r="P4715">
        <v>44.66</v>
      </c>
    </row>
    <row r="4716" spans="1:16" x14ac:dyDescent="0.3">
      <c r="A4716">
        <v>27116</v>
      </c>
      <c r="B4716">
        <v>105</v>
      </c>
      <c r="C4716" t="s">
        <v>557</v>
      </c>
      <c r="D4716" s="452">
        <v>45748</v>
      </c>
      <c r="E4716">
        <v>25761</v>
      </c>
      <c r="F4716" t="s">
        <v>4789</v>
      </c>
      <c r="G4716">
        <v>6312</v>
      </c>
      <c r="H4716">
        <v>6</v>
      </c>
      <c r="I4716" t="s">
        <v>4736</v>
      </c>
      <c r="J4716" t="s">
        <v>5191</v>
      </c>
      <c r="K4716" t="s">
        <v>4455</v>
      </c>
      <c r="L4716">
        <v>0</v>
      </c>
      <c r="M4716" s="452">
        <v>-693593</v>
      </c>
      <c r="N4716">
        <v>0</v>
      </c>
      <c r="O4716">
        <v>0</v>
      </c>
      <c r="P4716">
        <v>41.94</v>
      </c>
    </row>
    <row r="4717" spans="1:16" x14ac:dyDescent="0.3">
      <c r="A4717">
        <v>27263</v>
      </c>
      <c r="B4717">
        <v>105</v>
      </c>
      <c r="C4717" t="s">
        <v>557</v>
      </c>
      <c r="D4717" s="452">
        <v>45748</v>
      </c>
      <c r="E4717">
        <v>19478</v>
      </c>
      <c r="F4717" t="s">
        <v>5283</v>
      </c>
      <c r="G4717">
        <v>2728</v>
      </c>
      <c r="H4717">
        <v>0.55000000000000004</v>
      </c>
      <c r="I4717" t="s">
        <v>4744</v>
      </c>
      <c r="J4717" t="s">
        <v>5191</v>
      </c>
      <c r="K4717" t="s">
        <v>4455</v>
      </c>
      <c r="L4717">
        <v>75</v>
      </c>
      <c r="M4717" s="452">
        <v>45723</v>
      </c>
      <c r="N4717">
        <v>75</v>
      </c>
      <c r="O4717">
        <v>65</v>
      </c>
      <c r="P4717">
        <v>41.25</v>
      </c>
    </row>
    <row r="4718" spans="1:16" x14ac:dyDescent="0.3">
      <c r="A4718">
        <v>27227</v>
      </c>
      <c r="B4718">
        <v>105</v>
      </c>
      <c r="C4718" t="s">
        <v>557</v>
      </c>
      <c r="D4718" s="452">
        <v>45748</v>
      </c>
      <c r="E4718">
        <v>20961</v>
      </c>
      <c r="F4718" t="s">
        <v>5026</v>
      </c>
      <c r="G4718">
        <v>2015</v>
      </c>
      <c r="H4718">
        <v>5</v>
      </c>
      <c r="I4718" t="s">
        <v>4736</v>
      </c>
      <c r="J4718" t="s">
        <v>5191</v>
      </c>
      <c r="K4718" t="s">
        <v>4455</v>
      </c>
      <c r="L4718">
        <v>0</v>
      </c>
      <c r="M4718" s="452">
        <v>45653</v>
      </c>
      <c r="N4718">
        <v>7.98</v>
      </c>
      <c r="O4718">
        <v>6.98</v>
      </c>
      <c r="P4718">
        <v>39.9</v>
      </c>
    </row>
    <row r="4719" spans="1:16" x14ac:dyDescent="0.3">
      <c r="A4719">
        <v>27418</v>
      </c>
      <c r="B4719">
        <v>105</v>
      </c>
      <c r="C4719" t="s">
        <v>557</v>
      </c>
      <c r="D4719" s="452">
        <v>45748</v>
      </c>
      <c r="E4719">
        <v>24409</v>
      </c>
      <c r="F4719" t="s">
        <v>4742</v>
      </c>
      <c r="G4719">
        <v>3665</v>
      </c>
      <c r="H4719">
        <v>18</v>
      </c>
      <c r="I4719" t="s">
        <v>4736</v>
      </c>
      <c r="J4719" t="s">
        <v>5222</v>
      </c>
      <c r="K4719" t="s">
        <v>4455</v>
      </c>
      <c r="L4719">
        <v>0</v>
      </c>
      <c r="M4719" s="452">
        <v>45646</v>
      </c>
      <c r="N4719">
        <v>2.19</v>
      </c>
      <c r="O4719">
        <v>2.19</v>
      </c>
      <c r="P4719">
        <v>39.42</v>
      </c>
    </row>
    <row r="4720" spans="1:16" x14ac:dyDescent="0.3">
      <c r="A4720">
        <v>27420</v>
      </c>
      <c r="B4720">
        <v>105</v>
      </c>
      <c r="C4720" t="s">
        <v>557</v>
      </c>
      <c r="D4720" s="452">
        <v>45748</v>
      </c>
      <c r="E4720">
        <v>24414</v>
      </c>
      <c r="F4720" t="s">
        <v>4746</v>
      </c>
      <c r="G4720">
        <v>3670</v>
      </c>
      <c r="H4720">
        <v>18</v>
      </c>
      <c r="I4720" t="s">
        <v>4736</v>
      </c>
      <c r="J4720" t="s">
        <v>5222</v>
      </c>
      <c r="K4720" t="s">
        <v>4455</v>
      </c>
      <c r="L4720">
        <v>0</v>
      </c>
      <c r="M4720" s="452">
        <v>45623</v>
      </c>
      <c r="N4720">
        <v>2.19</v>
      </c>
      <c r="O4720">
        <v>2.19</v>
      </c>
      <c r="P4720">
        <v>39.42</v>
      </c>
    </row>
    <row r="4721" spans="1:16" x14ac:dyDescent="0.3">
      <c r="A4721">
        <v>27282</v>
      </c>
      <c r="B4721">
        <v>105</v>
      </c>
      <c r="C4721" t="s">
        <v>557</v>
      </c>
      <c r="D4721" s="452">
        <v>45748</v>
      </c>
      <c r="E4721">
        <v>19558</v>
      </c>
      <c r="F4721" t="s">
        <v>4994</v>
      </c>
      <c r="G4721">
        <v>2659</v>
      </c>
      <c r="H4721">
        <v>2.5499999999999998</v>
      </c>
      <c r="I4721" t="s">
        <v>4744</v>
      </c>
      <c r="J4721" t="s">
        <v>5191</v>
      </c>
      <c r="K4721" t="s">
        <v>4455</v>
      </c>
      <c r="L4721">
        <v>15.44</v>
      </c>
      <c r="M4721" s="452">
        <v>45744</v>
      </c>
      <c r="N4721">
        <v>22.1</v>
      </c>
      <c r="O4721">
        <v>22.1</v>
      </c>
      <c r="P4721">
        <v>39.369999999999997</v>
      </c>
    </row>
    <row r="4722" spans="1:16" x14ac:dyDescent="0.3">
      <c r="A4722">
        <v>27364</v>
      </c>
      <c r="B4722">
        <v>105</v>
      </c>
      <c r="C4722" t="s">
        <v>557</v>
      </c>
      <c r="D4722" s="452">
        <v>45748</v>
      </c>
      <c r="E4722">
        <v>18423</v>
      </c>
      <c r="F4722" t="s">
        <v>4987</v>
      </c>
      <c r="G4722">
        <v>3220</v>
      </c>
      <c r="H4722">
        <v>1</v>
      </c>
      <c r="I4722" t="s">
        <v>4805</v>
      </c>
      <c r="J4722" t="s">
        <v>5222</v>
      </c>
      <c r="K4722" t="s">
        <v>4455</v>
      </c>
      <c r="L4722">
        <v>0</v>
      </c>
      <c r="M4722" s="452">
        <v>45707</v>
      </c>
      <c r="N4722">
        <v>39.299999999999997</v>
      </c>
      <c r="O4722">
        <v>39.299999999999997</v>
      </c>
      <c r="P4722">
        <v>39.299999999999997</v>
      </c>
    </row>
    <row r="4723" spans="1:16" x14ac:dyDescent="0.3">
      <c r="A4723">
        <v>27376</v>
      </c>
      <c r="B4723">
        <v>105</v>
      </c>
      <c r="C4723" t="s">
        <v>557</v>
      </c>
      <c r="D4723" s="452">
        <v>45748</v>
      </c>
      <c r="E4723">
        <v>18273</v>
      </c>
      <c r="F4723" t="s">
        <v>5058</v>
      </c>
      <c r="G4723">
        <v>3357</v>
      </c>
      <c r="H4723">
        <v>1</v>
      </c>
      <c r="I4723" t="s">
        <v>4805</v>
      </c>
      <c r="J4723" t="s">
        <v>5222</v>
      </c>
      <c r="K4723" t="s">
        <v>4455</v>
      </c>
      <c r="L4723">
        <v>0</v>
      </c>
      <c r="M4723" s="452">
        <v>-693593</v>
      </c>
      <c r="N4723">
        <v>0</v>
      </c>
      <c r="O4723">
        <v>39.18</v>
      </c>
      <c r="P4723">
        <v>39.18</v>
      </c>
    </row>
    <row r="4724" spans="1:16" x14ac:dyDescent="0.3">
      <c r="A4724">
        <v>27265</v>
      </c>
      <c r="B4724">
        <v>105</v>
      </c>
      <c r="C4724" t="s">
        <v>557</v>
      </c>
      <c r="D4724" s="452">
        <v>45748</v>
      </c>
      <c r="E4724">
        <v>19742</v>
      </c>
      <c r="F4724" t="s">
        <v>4900</v>
      </c>
      <c r="G4724">
        <v>2511</v>
      </c>
      <c r="H4724">
        <v>3.55</v>
      </c>
      <c r="I4724" t="s">
        <v>4744</v>
      </c>
      <c r="J4724" t="s">
        <v>5191</v>
      </c>
      <c r="K4724" t="s">
        <v>4455</v>
      </c>
      <c r="L4724">
        <v>10.84</v>
      </c>
      <c r="M4724" s="452">
        <v>45744</v>
      </c>
      <c r="N4724">
        <v>10.4</v>
      </c>
      <c r="O4724">
        <v>10.4</v>
      </c>
      <c r="P4724">
        <v>38.479999999999997</v>
      </c>
    </row>
    <row r="4725" spans="1:16" x14ac:dyDescent="0.3">
      <c r="A4725">
        <v>27192</v>
      </c>
      <c r="B4725">
        <v>105</v>
      </c>
      <c r="C4725" t="s">
        <v>557</v>
      </c>
      <c r="D4725" s="452">
        <v>45748</v>
      </c>
      <c r="E4725">
        <v>20138</v>
      </c>
      <c r="F4725" t="s">
        <v>4886</v>
      </c>
      <c r="G4725">
        <v>2284</v>
      </c>
      <c r="H4725">
        <v>4</v>
      </c>
      <c r="I4725" t="s">
        <v>4738</v>
      </c>
      <c r="J4725" t="s">
        <v>5191</v>
      </c>
      <c r="K4725" t="s">
        <v>4455</v>
      </c>
      <c r="L4725">
        <v>9.25</v>
      </c>
      <c r="M4725" s="452">
        <v>45743</v>
      </c>
      <c r="N4725">
        <v>6.8</v>
      </c>
      <c r="O4725">
        <v>6.8</v>
      </c>
      <c r="P4725">
        <v>37</v>
      </c>
    </row>
    <row r="4726" spans="1:16" x14ac:dyDescent="0.3">
      <c r="A4726">
        <v>27185</v>
      </c>
      <c r="B4726">
        <v>105</v>
      </c>
      <c r="C4726" t="s">
        <v>557</v>
      </c>
      <c r="D4726" s="452">
        <v>45748</v>
      </c>
      <c r="E4726">
        <v>20653</v>
      </c>
      <c r="F4726" t="s">
        <v>5013</v>
      </c>
      <c r="G4726">
        <v>2111</v>
      </c>
      <c r="H4726">
        <v>1.68</v>
      </c>
      <c r="I4726" t="s">
        <v>4736</v>
      </c>
      <c r="J4726" t="s">
        <v>5191</v>
      </c>
      <c r="K4726" t="s">
        <v>4455</v>
      </c>
      <c r="L4726">
        <v>0</v>
      </c>
      <c r="M4726" s="452">
        <v>45713</v>
      </c>
      <c r="N4726">
        <v>21.98</v>
      </c>
      <c r="O4726">
        <v>21.98</v>
      </c>
      <c r="P4726">
        <v>36.93</v>
      </c>
    </row>
    <row r="4727" spans="1:16" x14ac:dyDescent="0.3">
      <c r="A4727">
        <v>27199</v>
      </c>
      <c r="B4727">
        <v>105</v>
      </c>
      <c r="C4727" t="s">
        <v>557</v>
      </c>
      <c r="D4727" s="452">
        <v>45748</v>
      </c>
      <c r="E4727">
        <v>25822</v>
      </c>
      <c r="F4727" t="s">
        <v>5468</v>
      </c>
      <c r="G4727">
        <v>6359</v>
      </c>
      <c r="H4727">
        <v>10</v>
      </c>
      <c r="I4727" t="s">
        <v>4736</v>
      </c>
      <c r="J4727" t="s">
        <v>5191</v>
      </c>
      <c r="K4727" t="s">
        <v>4455</v>
      </c>
      <c r="L4727">
        <v>3.66</v>
      </c>
      <c r="M4727" s="452">
        <v>45740</v>
      </c>
      <c r="N4727">
        <v>3.59</v>
      </c>
      <c r="O4727">
        <v>3.59</v>
      </c>
      <c r="P4727">
        <v>36.6</v>
      </c>
    </row>
    <row r="4728" spans="1:16" x14ac:dyDescent="0.3">
      <c r="A4728">
        <v>27382</v>
      </c>
      <c r="B4728">
        <v>105</v>
      </c>
      <c r="C4728" t="s">
        <v>557</v>
      </c>
      <c r="D4728" s="452">
        <v>45748</v>
      </c>
      <c r="E4728">
        <v>18218</v>
      </c>
      <c r="F4728" t="s">
        <v>5038</v>
      </c>
      <c r="G4728">
        <v>3410</v>
      </c>
      <c r="H4728">
        <v>1</v>
      </c>
      <c r="I4728" t="s">
        <v>4805</v>
      </c>
      <c r="J4728" t="s">
        <v>5222</v>
      </c>
      <c r="K4728" t="s">
        <v>4455</v>
      </c>
      <c r="L4728">
        <v>0</v>
      </c>
      <c r="M4728" s="452">
        <v>45581</v>
      </c>
      <c r="N4728">
        <v>36.5</v>
      </c>
      <c r="O4728">
        <v>28.89</v>
      </c>
      <c r="P4728">
        <v>36.5</v>
      </c>
    </row>
    <row r="4729" spans="1:16" x14ac:dyDescent="0.3">
      <c r="A4729">
        <v>27178</v>
      </c>
      <c r="B4729">
        <v>105</v>
      </c>
      <c r="C4729" t="s">
        <v>557</v>
      </c>
      <c r="D4729" s="452">
        <v>45748</v>
      </c>
      <c r="E4729">
        <v>19895</v>
      </c>
      <c r="F4729" t="s">
        <v>5080</v>
      </c>
      <c r="G4729">
        <v>2385</v>
      </c>
      <c r="H4729">
        <v>2</v>
      </c>
      <c r="I4729" t="s">
        <v>4888</v>
      </c>
      <c r="J4729" t="s">
        <v>5191</v>
      </c>
      <c r="K4729" t="s">
        <v>4455</v>
      </c>
      <c r="L4729">
        <v>0</v>
      </c>
      <c r="M4729" s="452">
        <v>-693593</v>
      </c>
      <c r="N4729">
        <v>0</v>
      </c>
      <c r="O4729">
        <v>27.9</v>
      </c>
      <c r="P4729">
        <v>36</v>
      </c>
    </row>
    <row r="4730" spans="1:16" x14ac:dyDescent="0.3">
      <c r="A4730">
        <v>27184</v>
      </c>
      <c r="B4730">
        <v>105</v>
      </c>
      <c r="C4730" t="s">
        <v>557</v>
      </c>
      <c r="D4730" s="452">
        <v>45748</v>
      </c>
      <c r="E4730">
        <v>20661</v>
      </c>
      <c r="F4730" t="s">
        <v>5012</v>
      </c>
      <c r="G4730">
        <v>2110</v>
      </c>
      <c r="H4730">
        <v>4</v>
      </c>
      <c r="I4730" t="s">
        <v>4736</v>
      </c>
      <c r="J4730" t="s">
        <v>5191</v>
      </c>
      <c r="K4730" t="s">
        <v>4455</v>
      </c>
      <c r="L4730">
        <v>8.99</v>
      </c>
      <c r="M4730" s="452">
        <v>45733</v>
      </c>
      <c r="N4730">
        <v>8.99</v>
      </c>
      <c r="O4730">
        <v>8.99</v>
      </c>
      <c r="P4730">
        <v>35.96</v>
      </c>
    </row>
    <row r="4731" spans="1:16" x14ac:dyDescent="0.3">
      <c r="A4731">
        <v>27422</v>
      </c>
      <c r="B4731">
        <v>105</v>
      </c>
      <c r="C4731" t="s">
        <v>557</v>
      </c>
      <c r="D4731" s="452">
        <v>45748</v>
      </c>
      <c r="E4731">
        <v>24467</v>
      </c>
      <c r="F4731" t="s">
        <v>4766</v>
      </c>
      <c r="G4731">
        <v>3673</v>
      </c>
      <c r="H4731">
        <v>18</v>
      </c>
      <c r="I4731" t="s">
        <v>4736</v>
      </c>
      <c r="J4731" t="s">
        <v>5222</v>
      </c>
      <c r="K4731" t="s">
        <v>4455</v>
      </c>
      <c r="L4731">
        <v>0</v>
      </c>
      <c r="M4731" s="452">
        <v>45520</v>
      </c>
      <c r="N4731">
        <v>1.99</v>
      </c>
      <c r="O4731">
        <v>2.19</v>
      </c>
      <c r="P4731">
        <v>35.82</v>
      </c>
    </row>
    <row r="4732" spans="1:16" x14ac:dyDescent="0.3">
      <c r="A4732">
        <v>27407</v>
      </c>
      <c r="B4732">
        <v>105</v>
      </c>
      <c r="C4732" t="s">
        <v>557</v>
      </c>
      <c r="D4732" s="452">
        <v>45748</v>
      </c>
      <c r="E4732">
        <v>22118</v>
      </c>
      <c r="F4732" t="s">
        <v>4765</v>
      </c>
      <c r="G4732">
        <v>3600</v>
      </c>
      <c r="H4732">
        <v>16</v>
      </c>
      <c r="I4732" t="s">
        <v>4749</v>
      </c>
      <c r="J4732" t="s">
        <v>5222</v>
      </c>
      <c r="K4732" t="s">
        <v>4455</v>
      </c>
      <c r="L4732">
        <v>0</v>
      </c>
      <c r="M4732" s="452">
        <v>45679</v>
      </c>
      <c r="N4732">
        <v>2.19</v>
      </c>
      <c r="O4732">
        <v>13.14</v>
      </c>
      <c r="P4732">
        <v>35.04</v>
      </c>
    </row>
    <row r="4733" spans="1:16" x14ac:dyDescent="0.3">
      <c r="A4733">
        <v>27286</v>
      </c>
      <c r="B4733">
        <v>105</v>
      </c>
      <c r="C4733" t="s">
        <v>557</v>
      </c>
      <c r="D4733" s="452">
        <v>45748</v>
      </c>
      <c r="E4733">
        <v>19453</v>
      </c>
      <c r="F4733" t="s">
        <v>5561</v>
      </c>
      <c r="G4733">
        <v>2752</v>
      </c>
      <c r="H4733">
        <v>1.25</v>
      </c>
      <c r="I4733" t="s">
        <v>4744</v>
      </c>
      <c r="J4733" t="s">
        <v>5191</v>
      </c>
      <c r="K4733" t="s">
        <v>4455</v>
      </c>
      <c r="L4733">
        <v>28</v>
      </c>
      <c r="M4733" s="452">
        <v>45720</v>
      </c>
      <c r="N4733">
        <v>28</v>
      </c>
      <c r="O4733">
        <v>15</v>
      </c>
      <c r="P4733">
        <v>35</v>
      </c>
    </row>
    <row r="4734" spans="1:16" x14ac:dyDescent="0.3">
      <c r="A4734">
        <v>27375</v>
      </c>
      <c r="B4734">
        <v>105</v>
      </c>
      <c r="C4734" t="s">
        <v>557</v>
      </c>
      <c r="D4734" s="452">
        <v>45748</v>
      </c>
      <c r="E4734">
        <v>18281</v>
      </c>
      <c r="F4734" t="s">
        <v>5470</v>
      </c>
      <c r="G4734">
        <v>3346</v>
      </c>
      <c r="H4734">
        <v>1</v>
      </c>
      <c r="I4734" t="s">
        <v>4805</v>
      </c>
      <c r="J4734" t="s">
        <v>5222</v>
      </c>
      <c r="K4734" t="s">
        <v>4455</v>
      </c>
      <c r="L4734">
        <v>0</v>
      </c>
      <c r="M4734" s="452">
        <v>45547</v>
      </c>
      <c r="N4734">
        <v>34.299999999999997</v>
      </c>
      <c r="O4734">
        <v>35.5</v>
      </c>
      <c r="P4734">
        <v>34.299999999999997</v>
      </c>
    </row>
    <row r="4735" spans="1:16" x14ac:dyDescent="0.3">
      <c r="A4735">
        <v>27231</v>
      </c>
      <c r="B4735">
        <v>105</v>
      </c>
      <c r="C4735" t="s">
        <v>557</v>
      </c>
      <c r="D4735" s="452">
        <v>45748</v>
      </c>
      <c r="E4735">
        <v>19507</v>
      </c>
      <c r="F4735" t="s">
        <v>4853</v>
      </c>
      <c r="G4735">
        <v>2704</v>
      </c>
      <c r="H4735">
        <v>2.48</v>
      </c>
      <c r="I4735" t="s">
        <v>4744</v>
      </c>
      <c r="J4735" t="s">
        <v>5191</v>
      </c>
      <c r="K4735" t="s">
        <v>4455</v>
      </c>
      <c r="L4735">
        <v>13.71</v>
      </c>
      <c r="M4735" s="452">
        <v>45744</v>
      </c>
      <c r="N4735">
        <v>13</v>
      </c>
      <c r="O4735">
        <v>13</v>
      </c>
      <c r="P4735">
        <v>34</v>
      </c>
    </row>
    <row r="4736" spans="1:16" x14ac:dyDescent="0.3">
      <c r="A4736">
        <v>27139</v>
      </c>
      <c r="B4736">
        <v>105</v>
      </c>
      <c r="C4736" t="s">
        <v>557</v>
      </c>
      <c r="D4736" s="452">
        <v>45748</v>
      </c>
      <c r="E4736">
        <v>20308</v>
      </c>
      <c r="F4736" t="s">
        <v>4909</v>
      </c>
      <c r="G4736">
        <v>2222</v>
      </c>
      <c r="H4736">
        <v>1</v>
      </c>
      <c r="I4736" t="s">
        <v>4738</v>
      </c>
      <c r="J4736" t="s">
        <v>5191</v>
      </c>
      <c r="K4736" t="s">
        <v>4455</v>
      </c>
      <c r="L4736">
        <v>0</v>
      </c>
      <c r="M4736" s="452">
        <v>45693</v>
      </c>
      <c r="N4736">
        <v>33.9</v>
      </c>
      <c r="O4736">
        <v>33.92</v>
      </c>
      <c r="P4736">
        <v>33.9</v>
      </c>
    </row>
    <row r="4737" spans="1:16" x14ac:dyDescent="0.3">
      <c r="A4737">
        <v>27136</v>
      </c>
      <c r="B4737">
        <v>105</v>
      </c>
      <c r="C4737" t="s">
        <v>557</v>
      </c>
      <c r="D4737" s="452">
        <v>45748</v>
      </c>
      <c r="E4737">
        <v>21079</v>
      </c>
      <c r="F4737" t="s">
        <v>5124</v>
      </c>
      <c r="G4737">
        <v>1991</v>
      </c>
      <c r="H4737">
        <v>0.99</v>
      </c>
      <c r="I4737" t="s">
        <v>4736</v>
      </c>
      <c r="J4737" t="s">
        <v>5191</v>
      </c>
      <c r="K4737" t="s">
        <v>4455</v>
      </c>
      <c r="L4737">
        <v>33.29</v>
      </c>
      <c r="M4737" s="452">
        <v>45733</v>
      </c>
      <c r="N4737">
        <v>33.29</v>
      </c>
      <c r="O4737">
        <v>33.130000000000003</v>
      </c>
      <c r="P4737">
        <v>33.22</v>
      </c>
    </row>
    <row r="4738" spans="1:16" x14ac:dyDescent="0.3">
      <c r="A4738">
        <v>27383</v>
      </c>
      <c r="B4738">
        <v>105</v>
      </c>
      <c r="C4738" t="s">
        <v>557</v>
      </c>
      <c r="D4738" s="452">
        <v>45748</v>
      </c>
      <c r="E4738">
        <v>18214</v>
      </c>
      <c r="F4738" t="s">
        <v>5039</v>
      </c>
      <c r="G4738">
        <v>3413</v>
      </c>
      <c r="H4738">
        <v>1</v>
      </c>
      <c r="I4738" t="s">
        <v>4805</v>
      </c>
      <c r="J4738" t="s">
        <v>5222</v>
      </c>
      <c r="K4738" t="s">
        <v>4455</v>
      </c>
      <c r="L4738">
        <v>0</v>
      </c>
      <c r="M4738" s="452">
        <v>45378</v>
      </c>
      <c r="N4738">
        <v>32.200000000000003</v>
      </c>
      <c r="O4738">
        <v>34.1</v>
      </c>
      <c r="P4738">
        <v>32.200000000000003</v>
      </c>
    </row>
    <row r="4739" spans="1:16" x14ac:dyDescent="0.3">
      <c r="A4739">
        <v>27479</v>
      </c>
      <c r="B4739">
        <v>105</v>
      </c>
      <c r="C4739" t="s">
        <v>557</v>
      </c>
      <c r="D4739" s="452">
        <v>45748</v>
      </c>
      <c r="E4739">
        <v>24056</v>
      </c>
      <c r="F4739" t="s">
        <v>4945</v>
      </c>
      <c r="G4739">
        <v>2228</v>
      </c>
      <c r="H4739">
        <v>1</v>
      </c>
      <c r="I4739" t="s">
        <v>4744</v>
      </c>
      <c r="J4739" t="s">
        <v>5191</v>
      </c>
      <c r="K4739" t="s">
        <v>4455</v>
      </c>
      <c r="L4739">
        <v>0</v>
      </c>
      <c r="M4739" s="452">
        <v>-693593</v>
      </c>
      <c r="N4739">
        <v>0</v>
      </c>
      <c r="O4739">
        <v>32.119999999999997</v>
      </c>
      <c r="P4739">
        <v>32.119999999999997</v>
      </c>
    </row>
    <row r="4740" spans="1:16" x14ac:dyDescent="0.3">
      <c r="A4740">
        <v>27297</v>
      </c>
      <c r="B4740">
        <v>105</v>
      </c>
      <c r="C4740" t="s">
        <v>557</v>
      </c>
      <c r="D4740" s="452">
        <v>45748</v>
      </c>
      <c r="E4740">
        <v>19439</v>
      </c>
      <c r="F4740" t="s">
        <v>4917</v>
      </c>
      <c r="G4740">
        <v>2756</v>
      </c>
      <c r="H4740">
        <v>1</v>
      </c>
      <c r="I4740" t="s">
        <v>4744</v>
      </c>
      <c r="J4740" t="s">
        <v>5191</v>
      </c>
      <c r="K4740" t="s">
        <v>4455</v>
      </c>
      <c r="L4740">
        <v>30.82</v>
      </c>
      <c r="M4740" s="452">
        <v>45737</v>
      </c>
      <c r="N4740">
        <v>27.8</v>
      </c>
      <c r="O4740">
        <v>33.869999999999997</v>
      </c>
      <c r="P4740">
        <v>30.82</v>
      </c>
    </row>
    <row r="4741" spans="1:16" x14ac:dyDescent="0.3">
      <c r="A4741">
        <v>27261</v>
      </c>
      <c r="B4741">
        <v>105</v>
      </c>
      <c r="C4741" t="s">
        <v>557</v>
      </c>
      <c r="D4741" s="452">
        <v>45748</v>
      </c>
      <c r="E4741">
        <v>19751</v>
      </c>
      <c r="F4741" t="s">
        <v>4800</v>
      </c>
      <c r="G4741">
        <v>2502</v>
      </c>
      <c r="H4741">
        <v>4</v>
      </c>
      <c r="I4741" t="s">
        <v>4744</v>
      </c>
      <c r="J4741" t="s">
        <v>5191</v>
      </c>
      <c r="K4741" t="s">
        <v>4455</v>
      </c>
      <c r="L4741">
        <v>7.7</v>
      </c>
      <c r="M4741" s="452">
        <v>45747</v>
      </c>
      <c r="N4741">
        <v>7</v>
      </c>
      <c r="O4741">
        <v>7</v>
      </c>
      <c r="P4741">
        <v>30.8</v>
      </c>
    </row>
    <row r="4742" spans="1:16" x14ac:dyDescent="0.3">
      <c r="A4742">
        <v>27405</v>
      </c>
      <c r="B4742">
        <v>105</v>
      </c>
      <c r="C4742" t="s">
        <v>557</v>
      </c>
      <c r="D4742" s="452">
        <v>45748</v>
      </c>
      <c r="E4742">
        <v>24029</v>
      </c>
      <c r="F4742" t="s">
        <v>4756</v>
      </c>
      <c r="G4742">
        <v>3591</v>
      </c>
      <c r="H4742">
        <v>14</v>
      </c>
      <c r="I4742" t="s">
        <v>4736</v>
      </c>
      <c r="J4742" t="s">
        <v>5222</v>
      </c>
      <c r="K4742" t="s">
        <v>4455</v>
      </c>
      <c r="L4742">
        <v>0</v>
      </c>
      <c r="M4742" s="452">
        <v>45546</v>
      </c>
      <c r="N4742">
        <v>2.19</v>
      </c>
      <c r="O4742">
        <v>2.19</v>
      </c>
      <c r="P4742">
        <v>30.66</v>
      </c>
    </row>
    <row r="4743" spans="1:16" x14ac:dyDescent="0.3">
      <c r="A4743">
        <v>27417</v>
      </c>
      <c r="B4743">
        <v>105</v>
      </c>
      <c r="C4743" t="s">
        <v>557</v>
      </c>
      <c r="D4743" s="452">
        <v>45748</v>
      </c>
      <c r="E4743">
        <v>24308</v>
      </c>
      <c r="F4743" t="s">
        <v>4757</v>
      </c>
      <c r="G4743">
        <v>3658</v>
      </c>
      <c r="H4743">
        <v>14</v>
      </c>
      <c r="I4743" t="s">
        <v>4736</v>
      </c>
      <c r="J4743" t="s">
        <v>5222</v>
      </c>
      <c r="K4743" t="s">
        <v>4455</v>
      </c>
      <c r="L4743">
        <v>0</v>
      </c>
      <c r="M4743" s="452">
        <v>45679</v>
      </c>
      <c r="N4743">
        <v>2.19</v>
      </c>
      <c r="O4743">
        <v>2.19</v>
      </c>
      <c r="P4743">
        <v>30.66</v>
      </c>
    </row>
    <row r="4744" spans="1:16" x14ac:dyDescent="0.3">
      <c r="A4744">
        <v>27442</v>
      </c>
      <c r="B4744">
        <v>105</v>
      </c>
      <c r="C4744" t="s">
        <v>557</v>
      </c>
      <c r="D4744" s="452">
        <v>45748</v>
      </c>
      <c r="E4744">
        <v>19978</v>
      </c>
      <c r="F4744" t="s">
        <v>4887</v>
      </c>
      <c r="G4744">
        <v>2353</v>
      </c>
      <c r="H4744">
        <v>2</v>
      </c>
      <c r="I4744" t="s">
        <v>4888</v>
      </c>
      <c r="J4744" t="s">
        <v>5191</v>
      </c>
      <c r="K4744" t="s">
        <v>4455</v>
      </c>
      <c r="L4744">
        <v>14.9</v>
      </c>
      <c r="M4744" s="452">
        <v>45733</v>
      </c>
      <c r="N4744">
        <v>14.9</v>
      </c>
      <c r="O4744">
        <v>14.9</v>
      </c>
      <c r="P4744">
        <v>29.8</v>
      </c>
    </row>
    <row r="4745" spans="1:16" x14ac:dyDescent="0.3">
      <c r="A4745">
        <v>27208</v>
      </c>
      <c r="B4745">
        <v>105</v>
      </c>
      <c r="C4745" t="s">
        <v>557</v>
      </c>
      <c r="D4745" s="452">
        <v>45748</v>
      </c>
      <c r="E4745">
        <v>21005</v>
      </c>
      <c r="F4745" t="s">
        <v>5161</v>
      </c>
      <c r="G4745">
        <v>2007</v>
      </c>
      <c r="H4745">
        <v>0.37</v>
      </c>
      <c r="I4745" t="s">
        <v>4888</v>
      </c>
      <c r="J4745" t="s">
        <v>5191</v>
      </c>
      <c r="K4745" t="s">
        <v>4455</v>
      </c>
      <c r="L4745">
        <v>0</v>
      </c>
      <c r="M4745" s="452">
        <v>-693593</v>
      </c>
      <c r="N4745">
        <v>0</v>
      </c>
      <c r="O4745">
        <v>79.69</v>
      </c>
      <c r="P4745">
        <v>29.49</v>
      </c>
    </row>
    <row r="4746" spans="1:16" x14ac:dyDescent="0.3">
      <c r="A4746">
        <v>27272</v>
      </c>
      <c r="B4746">
        <v>105</v>
      </c>
      <c r="C4746" t="s">
        <v>557</v>
      </c>
      <c r="D4746" s="452">
        <v>45748</v>
      </c>
      <c r="E4746">
        <v>24394</v>
      </c>
      <c r="F4746" t="s">
        <v>5164</v>
      </c>
      <c r="G4746">
        <v>2753</v>
      </c>
      <c r="H4746">
        <v>30</v>
      </c>
      <c r="I4746" t="s">
        <v>4736</v>
      </c>
      <c r="J4746" t="s">
        <v>5191</v>
      </c>
      <c r="K4746" t="s">
        <v>4455</v>
      </c>
      <c r="L4746">
        <v>0.96</v>
      </c>
      <c r="M4746" s="452">
        <v>45747</v>
      </c>
      <c r="N4746">
        <v>0.91</v>
      </c>
      <c r="O4746">
        <v>0.91</v>
      </c>
      <c r="P4746">
        <v>28.8</v>
      </c>
    </row>
    <row r="4747" spans="1:16" x14ac:dyDescent="0.3">
      <c r="A4747">
        <v>27299</v>
      </c>
      <c r="B4747">
        <v>105</v>
      </c>
      <c r="C4747" t="s">
        <v>557</v>
      </c>
      <c r="D4747" s="452">
        <v>45748</v>
      </c>
      <c r="E4747">
        <v>19241</v>
      </c>
      <c r="F4747" t="s">
        <v>4890</v>
      </c>
      <c r="G4747">
        <v>2785</v>
      </c>
      <c r="H4747">
        <v>4</v>
      </c>
      <c r="I4747" t="s">
        <v>4736</v>
      </c>
      <c r="J4747" t="s">
        <v>5191</v>
      </c>
      <c r="K4747" t="s">
        <v>4455</v>
      </c>
      <c r="L4747">
        <v>7.2</v>
      </c>
      <c r="M4747" s="452">
        <v>45735</v>
      </c>
      <c r="N4747">
        <v>7.2</v>
      </c>
      <c r="O4747">
        <v>7.2</v>
      </c>
      <c r="P4747">
        <v>28.8</v>
      </c>
    </row>
    <row r="4748" spans="1:16" x14ac:dyDescent="0.3">
      <c r="A4748">
        <v>27224</v>
      </c>
      <c r="B4748">
        <v>105</v>
      </c>
      <c r="C4748" t="s">
        <v>557</v>
      </c>
      <c r="D4748" s="452">
        <v>45748</v>
      </c>
      <c r="E4748">
        <v>20614</v>
      </c>
      <c r="F4748" t="s">
        <v>4958</v>
      </c>
      <c r="G4748">
        <v>2119</v>
      </c>
      <c r="H4748">
        <v>1</v>
      </c>
      <c r="I4748" t="s">
        <v>4736</v>
      </c>
      <c r="J4748" t="s">
        <v>5191</v>
      </c>
      <c r="K4748" t="s">
        <v>4455</v>
      </c>
      <c r="L4748">
        <v>0</v>
      </c>
      <c r="M4748" s="452">
        <v>45504</v>
      </c>
      <c r="N4748">
        <v>28.61</v>
      </c>
      <c r="O4748">
        <v>28.78</v>
      </c>
      <c r="P4748">
        <v>28.61</v>
      </c>
    </row>
    <row r="4749" spans="1:16" x14ac:dyDescent="0.3">
      <c r="A4749">
        <v>27217</v>
      </c>
      <c r="B4749">
        <v>105</v>
      </c>
      <c r="C4749" t="s">
        <v>557</v>
      </c>
      <c r="D4749" s="452">
        <v>45748</v>
      </c>
      <c r="E4749">
        <v>20207</v>
      </c>
      <c r="F4749" t="s">
        <v>4929</v>
      </c>
      <c r="G4749">
        <v>2253</v>
      </c>
      <c r="H4749">
        <v>1</v>
      </c>
      <c r="I4749" t="s">
        <v>4744</v>
      </c>
      <c r="J4749" t="s">
        <v>5191</v>
      </c>
      <c r="K4749" t="s">
        <v>4455</v>
      </c>
      <c r="L4749">
        <v>28.23</v>
      </c>
      <c r="M4749" s="452">
        <v>45741</v>
      </c>
      <c r="N4749">
        <v>26.9</v>
      </c>
      <c r="O4749">
        <v>26.9</v>
      </c>
      <c r="P4749">
        <v>28.23</v>
      </c>
    </row>
    <row r="4750" spans="1:16" x14ac:dyDescent="0.3">
      <c r="A4750">
        <v>27134</v>
      </c>
      <c r="B4750">
        <v>105</v>
      </c>
      <c r="C4750" t="s">
        <v>557</v>
      </c>
      <c r="D4750" s="452">
        <v>45748</v>
      </c>
      <c r="E4750">
        <v>21093</v>
      </c>
      <c r="F4750" t="s">
        <v>4855</v>
      </c>
      <c r="G4750">
        <v>1988</v>
      </c>
      <c r="H4750">
        <v>6.06</v>
      </c>
      <c r="I4750" t="s">
        <v>4744</v>
      </c>
      <c r="J4750" t="s">
        <v>5191</v>
      </c>
      <c r="K4750" t="s">
        <v>4455</v>
      </c>
      <c r="L4750">
        <v>4.6500000000000004</v>
      </c>
      <c r="M4750" s="452">
        <v>45733</v>
      </c>
      <c r="N4750">
        <v>4.6500000000000004</v>
      </c>
      <c r="O4750">
        <v>4.79</v>
      </c>
      <c r="P4750">
        <v>28.18</v>
      </c>
    </row>
    <row r="4751" spans="1:16" x14ac:dyDescent="0.3">
      <c r="A4751">
        <v>27481</v>
      </c>
      <c r="B4751">
        <v>105</v>
      </c>
      <c r="C4751" t="s">
        <v>557</v>
      </c>
      <c r="D4751" s="452">
        <v>45748</v>
      </c>
      <c r="E4751">
        <v>24241</v>
      </c>
      <c r="F4751" t="s">
        <v>5562</v>
      </c>
      <c r="G4751">
        <v>2197</v>
      </c>
      <c r="H4751">
        <v>1.5</v>
      </c>
      <c r="I4751" t="s">
        <v>4744</v>
      </c>
      <c r="J4751" t="s">
        <v>5191</v>
      </c>
      <c r="K4751" t="s">
        <v>4455</v>
      </c>
      <c r="L4751">
        <v>0</v>
      </c>
      <c r="M4751" s="452">
        <v>45504</v>
      </c>
      <c r="N4751">
        <v>18.5</v>
      </c>
      <c r="O4751">
        <v>18.5</v>
      </c>
      <c r="P4751">
        <v>27.75</v>
      </c>
    </row>
    <row r="4752" spans="1:16" x14ac:dyDescent="0.3">
      <c r="A4752">
        <v>27413</v>
      </c>
      <c r="B4752">
        <v>105</v>
      </c>
      <c r="C4752" t="s">
        <v>557</v>
      </c>
      <c r="D4752" s="452">
        <v>45748</v>
      </c>
      <c r="E4752">
        <v>17916</v>
      </c>
      <c r="F4752" t="s">
        <v>5235</v>
      </c>
      <c r="G4752">
        <v>3648</v>
      </c>
      <c r="H4752">
        <v>1</v>
      </c>
      <c r="I4752" t="s">
        <v>4738</v>
      </c>
      <c r="J4752" t="s">
        <v>5222</v>
      </c>
      <c r="K4752" t="s">
        <v>4455</v>
      </c>
      <c r="L4752">
        <v>27.28</v>
      </c>
      <c r="M4752" s="452">
        <v>45741</v>
      </c>
      <c r="N4752">
        <v>0</v>
      </c>
      <c r="O4752">
        <v>29.97</v>
      </c>
      <c r="P4752">
        <v>27.28</v>
      </c>
    </row>
    <row r="4753" spans="1:16" x14ac:dyDescent="0.3">
      <c r="A4753">
        <v>27274</v>
      </c>
      <c r="B4753">
        <v>105</v>
      </c>
      <c r="C4753" t="s">
        <v>557</v>
      </c>
      <c r="D4753" s="452">
        <v>45748</v>
      </c>
      <c r="E4753">
        <v>19589</v>
      </c>
      <c r="F4753" t="s">
        <v>4983</v>
      </c>
      <c r="G4753">
        <v>2637</v>
      </c>
      <c r="H4753">
        <v>4.1100000000000003</v>
      </c>
      <c r="I4753" t="s">
        <v>4744</v>
      </c>
      <c r="J4753" t="s">
        <v>5191</v>
      </c>
      <c r="K4753" t="s">
        <v>4455</v>
      </c>
      <c r="L4753">
        <v>6.61</v>
      </c>
      <c r="M4753" s="452">
        <v>45744</v>
      </c>
      <c r="N4753">
        <v>5.98</v>
      </c>
      <c r="O4753">
        <v>5.98</v>
      </c>
      <c r="P4753">
        <v>27.17</v>
      </c>
    </row>
    <row r="4754" spans="1:16" x14ac:dyDescent="0.3">
      <c r="A4754">
        <v>27300</v>
      </c>
      <c r="B4754">
        <v>105</v>
      </c>
      <c r="C4754" t="s">
        <v>557</v>
      </c>
      <c r="D4754" s="452">
        <v>45748</v>
      </c>
      <c r="E4754">
        <v>19434</v>
      </c>
      <c r="F4754" t="s">
        <v>5078</v>
      </c>
      <c r="G4754">
        <v>2757</v>
      </c>
      <c r="H4754">
        <v>1.29</v>
      </c>
      <c r="I4754" t="s">
        <v>4738</v>
      </c>
      <c r="J4754" t="s">
        <v>5191</v>
      </c>
      <c r="K4754" t="s">
        <v>4455</v>
      </c>
      <c r="L4754">
        <v>20.93</v>
      </c>
      <c r="M4754" s="452">
        <v>45740</v>
      </c>
      <c r="N4754">
        <v>21.38</v>
      </c>
      <c r="O4754">
        <v>21.03</v>
      </c>
      <c r="P4754">
        <v>27</v>
      </c>
    </row>
    <row r="4755" spans="1:16" x14ac:dyDescent="0.3">
      <c r="A4755">
        <v>27165</v>
      </c>
      <c r="B4755">
        <v>105</v>
      </c>
      <c r="C4755" t="s">
        <v>557</v>
      </c>
      <c r="D4755" s="452">
        <v>45748</v>
      </c>
      <c r="E4755">
        <v>23698</v>
      </c>
      <c r="F4755" t="s">
        <v>5453</v>
      </c>
      <c r="G4755">
        <v>2188</v>
      </c>
      <c r="H4755">
        <v>0.47</v>
      </c>
      <c r="I4755" t="s">
        <v>4744</v>
      </c>
      <c r="J4755" t="s">
        <v>5191</v>
      </c>
      <c r="K4755" t="s">
        <v>4455</v>
      </c>
      <c r="L4755">
        <v>0</v>
      </c>
      <c r="M4755" s="452">
        <v>45559</v>
      </c>
      <c r="N4755">
        <v>56.5</v>
      </c>
      <c r="O4755">
        <v>53.9</v>
      </c>
      <c r="P4755">
        <v>26.56</v>
      </c>
    </row>
    <row r="4756" spans="1:16" x14ac:dyDescent="0.3">
      <c r="A4756">
        <v>27135</v>
      </c>
      <c r="B4756">
        <v>105</v>
      </c>
      <c r="C4756" t="s">
        <v>557</v>
      </c>
      <c r="D4756" s="452">
        <v>45748</v>
      </c>
      <c r="E4756">
        <v>21085</v>
      </c>
      <c r="F4756" t="s">
        <v>5066</v>
      </c>
      <c r="G4756">
        <v>1989</v>
      </c>
      <c r="H4756">
        <v>1.17</v>
      </c>
      <c r="I4756" t="s">
        <v>4749</v>
      </c>
      <c r="J4756" t="s">
        <v>5191</v>
      </c>
      <c r="K4756" t="s">
        <v>4455</v>
      </c>
      <c r="L4756">
        <v>22.56</v>
      </c>
      <c r="M4756" s="452">
        <v>45733</v>
      </c>
      <c r="N4756">
        <v>22.56</v>
      </c>
      <c r="O4756">
        <v>18.690000000000001</v>
      </c>
      <c r="P4756">
        <v>26.4</v>
      </c>
    </row>
    <row r="4757" spans="1:16" x14ac:dyDescent="0.3">
      <c r="A4757">
        <v>27241</v>
      </c>
      <c r="B4757">
        <v>105</v>
      </c>
      <c r="C4757" t="s">
        <v>557</v>
      </c>
      <c r="D4757" s="452">
        <v>45748</v>
      </c>
      <c r="E4757">
        <v>19642</v>
      </c>
      <c r="F4757" t="s">
        <v>4996</v>
      </c>
      <c r="G4757">
        <v>2596</v>
      </c>
      <c r="H4757">
        <v>3.91</v>
      </c>
      <c r="I4757" t="s">
        <v>4744</v>
      </c>
      <c r="J4757" t="s">
        <v>5191</v>
      </c>
      <c r="K4757" t="s">
        <v>4455</v>
      </c>
      <c r="L4757">
        <v>6.54</v>
      </c>
      <c r="M4757" s="452">
        <v>45744</v>
      </c>
      <c r="N4757">
        <v>6.76</v>
      </c>
      <c r="O4757">
        <v>6.76</v>
      </c>
      <c r="P4757">
        <v>25.57</v>
      </c>
    </row>
    <row r="4758" spans="1:16" x14ac:dyDescent="0.3">
      <c r="A4758">
        <v>27167</v>
      </c>
      <c r="B4758">
        <v>105</v>
      </c>
      <c r="C4758" t="s">
        <v>557</v>
      </c>
      <c r="D4758" s="452">
        <v>45748</v>
      </c>
      <c r="E4758">
        <v>20390</v>
      </c>
      <c r="F4758" t="s">
        <v>5543</v>
      </c>
      <c r="G4758">
        <v>2194</v>
      </c>
      <c r="H4758">
        <v>1.22</v>
      </c>
      <c r="I4758" t="s">
        <v>4738</v>
      </c>
      <c r="J4758" t="s">
        <v>5191</v>
      </c>
      <c r="K4758" t="s">
        <v>4455</v>
      </c>
      <c r="L4758">
        <v>0</v>
      </c>
      <c r="M4758" s="452">
        <v>45434</v>
      </c>
      <c r="N4758">
        <v>20.8</v>
      </c>
      <c r="O4758">
        <v>20.399999999999999</v>
      </c>
      <c r="P4758">
        <v>25.38</v>
      </c>
    </row>
    <row r="4759" spans="1:16" x14ac:dyDescent="0.3">
      <c r="A4759">
        <v>27255</v>
      </c>
      <c r="B4759">
        <v>105</v>
      </c>
      <c r="C4759" t="s">
        <v>557</v>
      </c>
      <c r="D4759" s="452">
        <v>45748</v>
      </c>
      <c r="E4759">
        <v>24522</v>
      </c>
      <c r="F4759" t="s">
        <v>5072</v>
      </c>
      <c r="G4759">
        <v>5651</v>
      </c>
      <c r="H4759">
        <v>1.05</v>
      </c>
      <c r="I4759" t="s">
        <v>4744</v>
      </c>
      <c r="J4759" t="s">
        <v>5191</v>
      </c>
      <c r="K4759" t="s">
        <v>4455</v>
      </c>
      <c r="L4759">
        <v>0</v>
      </c>
      <c r="M4759" s="452">
        <v>45701</v>
      </c>
      <c r="N4759">
        <v>23.46</v>
      </c>
      <c r="O4759">
        <v>23.46</v>
      </c>
      <c r="P4759">
        <v>24.63</v>
      </c>
    </row>
    <row r="4760" spans="1:16" x14ac:dyDescent="0.3">
      <c r="A4760">
        <v>27201</v>
      </c>
      <c r="B4760">
        <v>105</v>
      </c>
      <c r="C4760" t="s">
        <v>557</v>
      </c>
      <c r="D4760" s="452">
        <v>45748</v>
      </c>
      <c r="E4760">
        <v>19993</v>
      </c>
      <c r="F4760" t="s">
        <v>4954</v>
      </c>
      <c r="G4760">
        <v>2349</v>
      </c>
      <c r="H4760">
        <v>2</v>
      </c>
      <c r="I4760" t="s">
        <v>4955</v>
      </c>
      <c r="J4760" t="s">
        <v>5191</v>
      </c>
      <c r="K4760" t="s">
        <v>4455</v>
      </c>
      <c r="L4760">
        <v>0</v>
      </c>
      <c r="M4760" s="452">
        <v>-693593</v>
      </c>
      <c r="N4760">
        <v>0</v>
      </c>
      <c r="O4760">
        <v>0</v>
      </c>
      <c r="P4760">
        <v>23.98</v>
      </c>
    </row>
    <row r="4761" spans="1:16" x14ac:dyDescent="0.3">
      <c r="A4761">
        <v>27284</v>
      </c>
      <c r="B4761">
        <v>105</v>
      </c>
      <c r="C4761" t="s">
        <v>557</v>
      </c>
      <c r="D4761" s="452">
        <v>45748</v>
      </c>
      <c r="E4761">
        <v>19553</v>
      </c>
      <c r="F4761" t="s">
        <v>4868</v>
      </c>
      <c r="G4761">
        <v>2663</v>
      </c>
      <c r="H4761">
        <v>4.8499999999999996</v>
      </c>
      <c r="I4761" t="s">
        <v>4744</v>
      </c>
      <c r="J4761" t="s">
        <v>5191</v>
      </c>
      <c r="K4761" t="s">
        <v>4455</v>
      </c>
      <c r="L4761">
        <v>4.88</v>
      </c>
      <c r="M4761" s="452">
        <v>45744</v>
      </c>
      <c r="N4761">
        <v>5.85</v>
      </c>
      <c r="O4761">
        <v>5.85</v>
      </c>
      <c r="P4761">
        <v>23.67</v>
      </c>
    </row>
    <row r="4762" spans="1:16" x14ac:dyDescent="0.3">
      <c r="A4762">
        <v>27211</v>
      </c>
      <c r="B4762">
        <v>105</v>
      </c>
      <c r="C4762" t="s">
        <v>557</v>
      </c>
      <c r="D4762" s="452">
        <v>45748</v>
      </c>
      <c r="E4762">
        <v>17032</v>
      </c>
      <c r="F4762" t="s">
        <v>5509</v>
      </c>
      <c r="G4762">
        <v>2366</v>
      </c>
      <c r="H4762">
        <v>1.24</v>
      </c>
      <c r="I4762" t="s">
        <v>4744</v>
      </c>
      <c r="J4762" t="s">
        <v>5191</v>
      </c>
      <c r="K4762" t="s">
        <v>4455</v>
      </c>
      <c r="L4762">
        <v>0</v>
      </c>
      <c r="M4762" s="452">
        <v>45378</v>
      </c>
      <c r="N4762">
        <v>18.899999999999999</v>
      </c>
      <c r="O4762">
        <v>22.78</v>
      </c>
      <c r="P4762">
        <v>23.44</v>
      </c>
    </row>
    <row r="4763" spans="1:16" x14ac:dyDescent="0.3">
      <c r="A4763">
        <v>27216</v>
      </c>
      <c r="B4763">
        <v>105</v>
      </c>
      <c r="C4763" t="s">
        <v>557</v>
      </c>
      <c r="D4763" s="452">
        <v>45748</v>
      </c>
      <c r="E4763">
        <v>20487</v>
      </c>
      <c r="F4763" t="s">
        <v>4836</v>
      </c>
      <c r="G4763">
        <v>2157</v>
      </c>
      <c r="H4763">
        <v>1</v>
      </c>
      <c r="I4763" t="s">
        <v>4744</v>
      </c>
      <c r="J4763" t="s">
        <v>5191</v>
      </c>
      <c r="K4763" t="s">
        <v>4455</v>
      </c>
      <c r="L4763">
        <v>23.4</v>
      </c>
      <c r="M4763" s="452">
        <v>45735</v>
      </c>
      <c r="N4763">
        <v>23.4</v>
      </c>
      <c r="O4763">
        <v>27.75</v>
      </c>
      <c r="P4763">
        <v>23.4</v>
      </c>
    </row>
    <row r="4764" spans="1:16" x14ac:dyDescent="0.3">
      <c r="A4764">
        <v>27214</v>
      </c>
      <c r="B4764">
        <v>105</v>
      </c>
      <c r="C4764" t="s">
        <v>557</v>
      </c>
      <c r="D4764" s="452">
        <v>45748</v>
      </c>
      <c r="E4764">
        <v>19923</v>
      </c>
      <c r="F4764" t="s">
        <v>5069</v>
      </c>
      <c r="G4764">
        <v>2375</v>
      </c>
      <c r="H4764">
        <v>0.57999999999999996</v>
      </c>
      <c r="I4764" t="s">
        <v>4738</v>
      </c>
      <c r="J4764" t="s">
        <v>5191</v>
      </c>
      <c r="K4764" t="s">
        <v>4455</v>
      </c>
      <c r="L4764">
        <v>38.9</v>
      </c>
      <c r="M4764" s="452">
        <v>45737</v>
      </c>
      <c r="N4764">
        <v>38.9</v>
      </c>
      <c r="O4764">
        <v>38</v>
      </c>
      <c r="P4764">
        <v>22.56</v>
      </c>
    </row>
    <row r="4765" spans="1:16" x14ac:dyDescent="0.3">
      <c r="A4765">
        <v>27267</v>
      </c>
      <c r="B4765">
        <v>105</v>
      </c>
      <c r="C4765" t="s">
        <v>557</v>
      </c>
      <c r="D4765" s="452">
        <v>45748</v>
      </c>
      <c r="E4765">
        <v>19601</v>
      </c>
      <c r="F4765" t="s">
        <v>5267</v>
      </c>
      <c r="G4765">
        <v>2628</v>
      </c>
      <c r="H4765">
        <v>1.8</v>
      </c>
      <c r="I4765" t="s">
        <v>4744</v>
      </c>
      <c r="J4765" t="s">
        <v>5191</v>
      </c>
      <c r="K4765" t="s">
        <v>4455</v>
      </c>
      <c r="L4765">
        <v>12.36</v>
      </c>
      <c r="M4765" s="452">
        <v>45747</v>
      </c>
      <c r="N4765">
        <v>11.7</v>
      </c>
      <c r="O4765">
        <v>11.7</v>
      </c>
      <c r="P4765">
        <v>22.25</v>
      </c>
    </row>
    <row r="4766" spans="1:16" x14ac:dyDescent="0.3">
      <c r="A4766">
        <v>27213</v>
      </c>
      <c r="B4766">
        <v>105</v>
      </c>
      <c r="C4766" t="s">
        <v>557</v>
      </c>
      <c r="D4766" s="452">
        <v>45748</v>
      </c>
      <c r="E4766">
        <v>19936</v>
      </c>
      <c r="F4766" t="s">
        <v>5508</v>
      </c>
      <c r="G4766">
        <v>2367</v>
      </c>
      <c r="H4766">
        <v>1.73</v>
      </c>
      <c r="I4766" t="s">
        <v>4744</v>
      </c>
      <c r="J4766" t="s">
        <v>5191</v>
      </c>
      <c r="K4766" t="s">
        <v>4455</v>
      </c>
      <c r="L4766">
        <v>12.82</v>
      </c>
      <c r="M4766" s="452">
        <v>45733</v>
      </c>
      <c r="N4766">
        <v>12.82</v>
      </c>
      <c r="O4766">
        <v>12.92</v>
      </c>
      <c r="P4766">
        <v>22.18</v>
      </c>
    </row>
    <row r="4767" spans="1:16" x14ac:dyDescent="0.3">
      <c r="A4767">
        <v>27240</v>
      </c>
      <c r="B4767">
        <v>105</v>
      </c>
      <c r="C4767" t="s">
        <v>557</v>
      </c>
      <c r="D4767" s="452">
        <v>45748</v>
      </c>
      <c r="E4767">
        <v>23268</v>
      </c>
      <c r="F4767" t="s">
        <v>4743</v>
      </c>
      <c r="G4767">
        <v>2592</v>
      </c>
      <c r="H4767">
        <v>4.96</v>
      </c>
      <c r="I4767" t="s">
        <v>4744</v>
      </c>
      <c r="J4767" t="s">
        <v>5191</v>
      </c>
      <c r="K4767" t="s">
        <v>4455</v>
      </c>
      <c r="L4767">
        <v>0</v>
      </c>
      <c r="M4767" s="452">
        <v>45681</v>
      </c>
      <c r="N4767">
        <v>4.42</v>
      </c>
      <c r="O4767">
        <v>4.45</v>
      </c>
      <c r="P4767">
        <v>21.92</v>
      </c>
    </row>
    <row r="4768" spans="1:16" x14ac:dyDescent="0.3">
      <c r="A4768">
        <v>27302</v>
      </c>
      <c r="B4768">
        <v>105</v>
      </c>
      <c r="C4768" t="s">
        <v>557</v>
      </c>
      <c r="D4768" s="452">
        <v>45748</v>
      </c>
      <c r="E4768">
        <v>19415</v>
      </c>
      <c r="F4768" t="s">
        <v>4919</v>
      </c>
      <c r="G4768">
        <v>2759</v>
      </c>
      <c r="H4768">
        <v>3</v>
      </c>
      <c r="I4768" t="s">
        <v>4736</v>
      </c>
      <c r="J4768" t="s">
        <v>5191</v>
      </c>
      <c r="K4768" t="s">
        <v>4455</v>
      </c>
      <c r="L4768">
        <v>7.26</v>
      </c>
      <c r="M4768" s="452">
        <v>45741</v>
      </c>
      <c r="N4768">
        <v>7.3</v>
      </c>
      <c r="O4768">
        <v>7.3</v>
      </c>
      <c r="P4768">
        <v>21.78</v>
      </c>
    </row>
    <row r="4769" spans="1:16" x14ac:dyDescent="0.3">
      <c r="A4769">
        <v>27235</v>
      </c>
      <c r="B4769">
        <v>105</v>
      </c>
      <c r="C4769" t="s">
        <v>557</v>
      </c>
      <c r="D4769" s="452">
        <v>45748</v>
      </c>
      <c r="E4769">
        <v>19652</v>
      </c>
      <c r="F4769" t="s">
        <v>4899</v>
      </c>
      <c r="G4769">
        <v>2587</v>
      </c>
      <c r="H4769">
        <v>0.6</v>
      </c>
      <c r="I4769" t="s">
        <v>4744</v>
      </c>
      <c r="J4769" t="s">
        <v>5191</v>
      </c>
      <c r="K4769" t="s">
        <v>4455</v>
      </c>
      <c r="L4769">
        <v>35.4</v>
      </c>
      <c r="M4769" s="452">
        <v>45747</v>
      </c>
      <c r="N4769">
        <v>34</v>
      </c>
      <c r="O4769">
        <v>34</v>
      </c>
      <c r="P4769">
        <v>21.24</v>
      </c>
    </row>
    <row r="4770" spans="1:16" x14ac:dyDescent="0.3">
      <c r="A4770">
        <v>27228</v>
      </c>
      <c r="B4770">
        <v>105</v>
      </c>
      <c r="C4770" t="s">
        <v>557</v>
      </c>
      <c r="D4770" s="452">
        <v>45748</v>
      </c>
      <c r="E4770">
        <v>20955</v>
      </c>
      <c r="F4770" t="s">
        <v>4959</v>
      </c>
      <c r="G4770">
        <v>2019</v>
      </c>
      <c r="H4770">
        <v>2</v>
      </c>
      <c r="I4770" t="s">
        <v>4805</v>
      </c>
      <c r="J4770" t="s">
        <v>5191</v>
      </c>
      <c r="K4770" t="s">
        <v>4455</v>
      </c>
      <c r="L4770">
        <v>10.48</v>
      </c>
      <c r="M4770" s="452">
        <v>45737</v>
      </c>
      <c r="N4770">
        <v>9.99</v>
      </c>
      <c r="O4770">
        <v>10.69</v>
      </c>
      <c r="P4770">
        <v>20.96</v>
      </c>
    </row>
    <row r="4771" spans="1:16" x14ac:dyDescent="0.3">
      <c r="A4771">
        <v>27225</v>
      </c>
      <c r="B4771">
        <v>105</v>
      </c>
      <c r="C4771" t="s">
        <v>557</v>
      </c>
      <c r="D4771" s="452">
        <v>45748</v>
      </c>
      <c r="E4771">
        <v>20965</v>
      </c>
      <c r="F4771" t="s">
        <v>5463</v>
      </c>
      <c r="G4771">
        <v>2013</v>
      </c>
      <c r="H4771">
        <v>1.4</v>
      </c>
      <c r="I4771" t="s">
        <v>4736</v>
      </c>
      <c r="J4771" t="s">
        <v>5191</v>
      </c>
      <c r="K4771" t="s">
        <v>4455</v>
      </c>
      <c r="L4771">
        <v>14.9</v>
      </c>
      <c r="M4771" s="452">
        <v>45737</v>
      </c>
      <c r="N4771">
        <v>14.9</v>
      </c>
      <c r="O4771">
        <v>14.9</v>
      </c>
      <c r="P4771">
        <v>20.86</v>
      </c>
    </row>
    <row r="4772" spans="1:16" x14ac:dyDescent="0.3">
      <c r="A4772">
        <v>27371</v>
      </c>
      <c r="B4772">
        <v>105</v>
      </c>
      <c r="C4772" t="s">
        <v>557</v>
      </c>
      <c r="D4772" s="452">
        <v>45748</v>
      </c>
      <c r="E4772">
        <v>18317</v>
      </c>
      <c r="F4772" t="s">
        <v>5056</v>
      </c>
      <c r="G4772">
        <v>3316</v>
      </c>
      <c r="H4772">
        <v>0.6</v>
      </c>
      <c r="I4772" t="s">
        <v>4805</v>
      </c>
      <c r="J4772" t="s">
        <v>5222</v>
      </c>
      <c r="K4772" t="s">
        <v>4455</v>
      </c>
      <c r="L4772">
        <v>0</v>
      </c>
      <c r="M4772" s="452">
        <v>-693593</v>
      </c>
      <c r="N4772">
        <v>0</v>
      </c>
      <c r="O4772">
        <v>35.909999999999997</v>
      </c>
      <c r="P4772">
        <v>20.7</v>
      </c>
    </row>
    <row r="4773" spans="1:16" x14ac:dyDescent="0.3">
      <c r="A4773">
        <v>27474</v>
      </c>
      <c r="B4773">
        <v>105</v>
      </c>
      <c r="C4773" t="s">
        <v>557</v>
      </c>
      <c r="D4773" s="452">
        <v>45748</v>
      </c>
      <c r="E4773">
        <v>24046</v>
      </c>
      <c r="F4773" t="s">
        <v>5454</v>
      </c>
      <c r="G4773">
        <v>2315</v>
      </c>
      <c r="H4773">
        <v>0.27</v>
      </c>
      <c r="I4773" t="s">
        <v>4744</v>
      </c>
      <c r="J4773" t="s">
        <v>5191</v>
      </c>
      <c r="K4773" t="s">
        <v>4455</v>
      </c>
      <c r="L4773">
        <v>0</v>
      </c>
      <c r="M4773" s="452">
        <v>-693593</v>
      </c>
      <c r="N4773">
        <v>0</v>
      </c>
      <c r="O4773">
        <v>75</v>
      </c>
      <c r="P4773">
        <v>20.25</v>
      </c>
    </row>
    <row r="4774" spans="1:16" x14ac:dyDescent="0.3">
      <c r="A4774">
        <v>27254</v>
      </c>
      <c r="B4774">
        <v>105</v>
      </c>
      <c r="C4774" t="s">
        <v>557</v>
      </c>
      <c r="D4774" s="452">
        <v>45748</v>
      </c>
      <c r="E4774">
        <v>24230</v>
      </c>
      <c r="F4774" t="s">
        <v>4986</v>
      </c>
      <c r="G4774">
        <v>2622</v>
      </c>
      <c r="H4774">
        <v>0.9</v>
      </c>
      <c r="I4774" t="s">
        <v>4744</v>
      </c>
      <c r="J4774" t="s">
        <v>5191</v>
      </c>
      <c r="K4774" t="s">
        <v>4455</v>
      </c>
      <c r="L4774">
        <v>22.44</v>
      </c>
      <c r="M4774" s="452">
        <v>45731</v>
      </c>
      <c r="N4774">
        <v>22.44</v>
      </c>
      <c r="O4774">
        <v>22.1</v>
      </c>
      <c r="P4774">
        <v>20.2</v>
      </c>
    </row>
    <row r="4775" spans="1:16" x14ac:dyDescent="0.3">
      <c r="A4775">
        <v>27150</v>
      </c>
      <c r="B4775">
        <v>105</v>
      </c>
      <c r="C4775" t="s">
        <v>557</v>
      </c>
      <c r="D4775" s="452">
        <v>45748</v>
      </c>
      <c r="E4775">
        <v>24110</v>
      </c>
      <c r="F4775" t="s">
        <v>5450</v>
      </c>
      <c r="G4775">
        <v>2322</v>
      </c>
      <c r="H4775">
        <v>1.17</v>
      </c>
      <c r="I4775" t="s">
        <v>4744</v>
      </c>
      <c r="J4775" t="s">
        <v>5191</v>
      </c>
      <c r="K4775" t="s">
        <v>4455</v>
      </c>
      <c r="L4775">
        <v>0</v>
      </c>
      <c r="M4775" s="452">
        <v>45478</v>
      </c>
      <c r="N4775">
        <v>17.2</v>
      </c>
      <c r="O4775">
        <v>32</v>
      </c>
      <c r="P4775">
        <v>20.12</v>
      </c>
    </row>
    <row r="4776" spans="1:16" x14ac:dyDescent="0.3">
      <c r="A4776">
        <v>27437</v>
      </c>
      <c r="B4776">
        <v>105</v>
      </c>
      <c r="C4776" t="s">
        <v>557</v>
      </c>
      <c r="D4776" s="452">
        <v>45748</v>
      </c>
      <c r="E4776">
        <v>17721</v>
      </c>
      <c r="F4776" t="s">
        <v>4977</v>
      </c>
      <c r="G4776">
        <v>3818</v>
      </c>
      <c r="H4776">
        <v>2</v>
      </c>
      <c r="I4776" t="s">
        <v>4805</v>
      </c>
      <c r="J4776" t="s">
        <v>5222</v>
      </c>
      <c r="K4776" t="s">
        <v>4455</v>
      </c>
      <c r="L4776">
        <v>0</v>
      </c>
      <c r="M4776" s="452">
        <v>45695</v>
      </c>
      <c r="N4776">
        <v>10.029999999999999</v>
      </c>
      <c r="O4776">
        <v>10.69</v>
      </c>
      <c r="P4776">
        <v>20.059999999999999</v>
      </c>
    </row>
    <row r="4777" spans="1:16" x14ac:dyDescent="0.3">
      <c r="A4777">
        <v>27266</v>
      </c>
      <c r="B4777">
        <v>105</v>
      </c>
      <c r="C4777" t="s">
        <v>557</v>
      </c>
      <c r="D4777" s="452">
        <v>45748</v>
      </c>
      <c r="E4777">
        <v>19602</v>
      </c>
      <c r="F4777" t="s">
        <v>4782</v>
      </c>
      <c r="G4777">
        <v>2627</v>
      </c>
      <c r="H4777">
        <v>3.15</v>
      </c>
      <c r="I4777" t="s">
        <v>4744</v>
      </c>
      <c r="J4777" t="s">
        <v>5191</v>
      </c>
      <c r="K4777" t="s">
        <v>4455</v>
      </c>
      <c r="L4777">
        <v>6.36</v>
      </c>
      <c r="M4777" s="452">
        <v>45747</v>
      </c>
      <c r="N4777">
        <v>5.85</v>
      </c>
      <c r="O4777">
        <v>5.85</v>
      </c>
      <c r="P4777">
        <v>20.03</v>
      </c>
    </row>
    <row r="4778" spans="1:16" x14ac:dyDescent="0.3">
      <c r="A4778">
        <v>27295</v>
      </c>
      <c r="B4778">
        <v>105</v>
      </c>
      <c r="C4778" t="s">
        <v>557</v>
      </c>
      <c r="D4778" s="452">
        <v>45748</v>
      </c>
      <c r="E4778">
        <v>19710</v>
      </c>
      <c r="F4778" t="s">
        <v>4963</v>
      </c>
      <c r="G4778">
        <v>2540</v>
      </c>
      <c r="H4778">
        <v>1</v>
      </c>
      <c r="I4778" t="s">
        <v>4738</v>
      </c>
      <c r="J4778" t="s">
        <v>5191</v>
      </c>
      <c r="K4778" t="s">
        <v>4455</v>
      </c>
      <c r="L4778">
        <v>0</v>
      </c>
      <c r="M4778" s="452">
        <v>45586</v>
      </c>
      <c r="N4778">
        <v>19.899999999999999</v>
      </c>
      <c r="O4778">
        <v>24.5</v>
      </c>
      <c r="P4778">
        <v>19.899999999999999</v>
      </c>
    </row>
    <row r="4779" spans="1:16" x14ac:dyDescent="0.3">
      <c r="A4779">
        <v>27218</v>
      </c>
      <c r="B4779">
        <v>105</v>
      </c>
      <c r="C4779" t="s">
        <v>557</v>
      </c>
      <c r="D4779" s="452">
        <v>45748</v>
      </c>
      <c r="E4779">
        <v>19916</v>
      </c>
      <c r="F4779" t="s">
        <v>4826</v>
      </c>
      <c r="G4779">
        <v>2379</v>
      </c>
      <c r="H4779">
        <v>6</v>
      </c>
      <c r="I4779" t="s">
        <v>4738</v>
      </c>
      <c r="J4779" t="s">
        <v>5191</v>
      </c>
      <c r="K4779" t="s">
        <v>4455</v>
      </c>
      <c r="L4779">
        <v>3.06</v>
      </c>
      <c r="M4779" s="452">
        <v>45733</v>
      </c>
      <c r="N4779">
        <v>3.06</v>
      </c>
      <c r="O4779">
        <v>3.06</v>
      </c>
      <c r="P4779">
        <v>18.36</v>
      </c>
    </row>
    <row r="4780" spans="1:16" x14ac:dyDescent="0.3">
      <c r="A4780">
        <v>27473</v>
      </c>
      <c r="B4780">
        <v>105</v>
      </c>
      <c r="C4780" t="s">
        <v>557</v>
      </c>
      <c r="D4780" s="452">
        <v>45748</v>
      </c>
      <c r="E4780">
        <v>20257</v>
      </c>
      <c r="F4780" t="s">
        <v>5542</v>
      </c>
      <c r="G4780">
        <v>2239</v>
      </c>
      <c r="H4780">
        <v>0.68</v>
      </c>
      <c r="I4780" t="s">
        <v>4738</v>
      </c>
      <c r="J4780" t="s">
        <v>5191</v>
      </c>
      <c r="K4780" t="s">
        <v>4455</v>
      </c>
      <c r="L4780">
        <v>0</v>
      </c>
      <c r="M4780" s="452">
        <v>-693593</v>
      </c>
      <c r="N4780">
        <v>0</v>
      </c>
      <c r="O4780">
        <v>26</v>
      </c>
      <c r="P4780">
        <v>17.68</v>
      </c>
    </row>
    <row r="4781" spans="1:16" x14ac:dyDescent="0.3">
      <c r="A4781">
        <v>27237</v>
      </c>
      <c r="B4781">
        <v>105</v>
      </c>
      <c r="C4781" t="s">
        <v>557</v>
      </c>
      <c r="D4781" s="452">
        <v>45748</v>
      </c>
      <c r="E4781">
        <v>19647</v>
      </c>
      <c r="F4781" t="s">
        <v>5050</v>
      </c>
      <c r="G4781">
        <v>2591</v>
      </c>
      <c r="H4781">
        <v>1</v>
      </c>
      <c r="I4781" t="s">
        <v>4744</v>
      </c>
      <c r="J4781" t="s">
        <v>5191</v>
      </c>
      <c r="K4781" t="s">
        <v>4455</v>
      </c>
      <c r="L4781">
        <v>17.149999999999999</v>
      </c>
      <c r="M4781" s="452">
        <v>45741</v>
      </c>
      <c r="N4781">
        <v>18</v>
      </c>
      <c r="O4781">
        <v>18</v>
      </c>
      <c r="P4781">
        <v>17.149999999999999</v>
      </c>
    </row>
    <row r="4782" spans="1:16" x14ac:dyDescent="0.3">
      <c r="A4782">
        <v>27464</v>
      </c>
      <c r="B4782">
        <v>105</v>
      </c>
      <c r="C4782" t="s">
        <v>557</v>
      </c>
      <c r="D4782" s="452">
        <v>45748</v>
      </c>
      <c r="E4782">
        <v>18117</v>
      </c>
      <c r="F4782" t="s">
        <v>5563</v>
      </c>
      <c r="G4782">
        <v>3496</v>
      </c>
      <c r="H4782">
        <v>0.2</v>
      </c>
      <c r="I4782" t="s">
        <v>4736</v>
      </c>
      <c r="J4782" t="s">
        <v>5222</v>
      </c>
      <c r="K4782" t="s">
        <v>4455</v>
      </c>
      <c r="L4782">
        <v>0</v>
      </c>
      <c r="M4782" s="452">
        <v>45672</v>
      </c>
      <c r="N4782">
        <v>82.19</v>
      </c>
      <c r="O4782">
        <v>82.19</v>
      </c>
      <c r="P4782">
        <v>16.440000000000001</v>
      </c>
    </row>
    <row r="4783" spans="1:16" x14ac:dyDescent="0.3">
      <c r="A4783">
        <v>27242</v>
      </c>
      <c r="B4783">
        <v>105</v>
      </c>
      <c r="C4783" t="s">
        <v>557</v>
      </c>
      <c r="D4783" s="452">
        <v>45748</v>
      </c>
      <c r="E4783">
        <v>19638</v>
      </c>
      <c r="F4783" t="s">
        <v>5564</v>
      </c>
      <c r="G4783">
        <v>2598</v>
      </c>
      <c r="H4783">
        <v>4.5</v>
      </c>
      <c r="I4783" t="s">
        <v>4744</v>
      </c>
      <c r="J4783" t="s">
        <v>5191</v>
      </c>
      <c r="K4783" t="s">
        <v>4455</v>
      </c>
      <c r="L4783">
        <v>0</v>
      </c>
      <c r="M4783" s="452">
        <v>45716</v>
      </c>
      <c r="N4783">
        <v>3.64</v>
      </c>
      <c r="O4783">
        <v>2.5</v>
      </c>
      <c r="P4783">
        <v>16.38</v>
      </c>
    </row>
    <row r="4784" spans="1:16" x14ac:dyDescent="0.3">
      <c r="A4784">
        <v>27306</v>
      </c>
      <c r="B4784">
        <v>105</v>
      </c>
      <c r="C4784" t="s">
        <v>557</v>
      </c>
      <c r="D4784" s="452">
        <v>45748</v>
      </c>
      <c r="E4784">
        <v>24444</v>
      </c>
      <c r="F4784" t="s">
        <v>4992</v>
      </c>
      <c r="G4784">
        <v>2784</v>
      </c>
      <c r="H4784">
        <v>0.86</v>
      </c>
      <c r="I4784" t="s">
        <v>4744</v>
      </c>
      <c r="J4784" t="s">
        <v>5191</v>
      </c>
      <c r="K4784" t="s">
        <v>4455</v>
      </c>
      <c r="L4784">
        <v>0</v>
      </c>
      <c r="M4784" s="452">
        <v>45392</v>
      </c>
      <c r="N4784">
        <v>18.95</v>
      </c>
      <c r="O4784">
        <v>22</v>
      </c>
      <c r="P4784">
        <v>16.3</v>
      </c>
    </row>
    <row r="4785" spans="1:16" x14ac:dyDescent="0.3">
      <c r="A4785">
        <v>27279</v>
      </c>
      <c r="B4785">
        <v>105</v>
      </c>
      <c r="C4785" t="s">
        <v>557</v>
      </c>
      <c r="D4785" s="452">
        <v>45748</v>
      </c>
      <c r="E4785">
        <v>19561</v>
      </c>
      <c r="F4785" t="s">
        <v>5365</v>
      </c>
      <c r="G4785">
        <v>2656</v>
      </c>
      <c r="H4785">
        <v>2.2999999999999998</v>
      </c>
      <c r="I4785" t="s">
        <v>4744</v>
      </c>
      <c r="J4785" t="s">
        <v>5191</v>
      </c>
      <c r="K4785" t="s">
        <v>4455</v>
      </c>
      <c r="L4785">
        <v>7</v>
      </c>
      <c r="M4785" s="452">
        <v>45737</v>
      </c>
      <c r="N4785">
        <v>7</v>
      </c>
      <c r="O4785">
        <v>8</v>
      </c>
      <c r="P4785">
        <v>16.100000000000001</v>
      </c>
    </row>
    <row r="4786" spans="1:16" x14ac:dyDescent="0.3">
      <c r="A4786">
        <v>27268</v>
      </c>
      <c r="B4786">
        <v>105</v>
      </c>
      <c r="C4786" t="s">
        <v>557</v>
      </c>
      <c r="D4786" s="452">
        <v>45748</v>
      </c>
      <c r="E4786">
        <v>19741</v>
      </c>
      <c r="F4786" t="s">
        <v>4916</v>
      </c>
      <c r="G4786">
        <v>2512</v>
      </c>
      <c r="H4786">
        <v>2.35</v>
      </c>
      <c r="I4786" t="s">
        <v>4744</v>
      </c>
      <c r="J4786" t="s">
        <v>5191</v>
      </c>
      <c r="K4786" t="s">
        <v>4455</v>
      </c>
      <c r="L4786">
        <v>6.77</v>
      </c>
      <c r="M4786" s="452">
        <v>45744</v>
      </c>
      <c r="N4786">
        <v>8.32</v>
      </c>
      <c r="O4786">
        <v>7.5</v>
      </c>
      <c r="P4786">
        <v>15.91</v>
      </c>
    </row>
    <row r="4787" spans="1:16" x14ac:dyDescent="0.3">
      <c r="A4787">
        <v>27257</v>
      </c>
      <c r="B4787">
        <v>105</v>
      </c>
      <c r="C4787" t="s">
        <v>557</v>
      </c>
      <c r="D4787" s="452">
        <v>45748</v>
      </c>
      <c r="E4787">
        <v>19607</v>
      </c>
      <c r="F4787" t="s">
        <v>4981</v>
      </c>
      <c r="G4787">
        <v>2623</v>
      </c>
      <c r="H4787">
        <v>0.9</v>
      </c>
      <c r="I4787" t="s">
        <v>4744</v>
      </c>
      <c r="J4787" t="s">
        <v>5191</v>
      </c>
      <c r="K4787" t="s">
        <v>4455</v>
      </c>
      <c r="L4787">
        <v>16.670000000000002</v>
      </c>
      <c r="M4787" s="452">
        <v>45735</v>
      </c>
      <c r="N4787">
        <v>16</v>
      </c>
      <c r="O4787">
        <v>14</v>
      </c>
      <c r="P4787">
        <v>15</v>
      </c>
    </row>
    <row r="4788" spans="1:16" x14ac:dyDescent="0.3">
      <c r="A4788">
        <v>27203</v>
      </c>
      <c r="B4788">
        <v>105</v>
      </c>
      <c r="C4788" t="s">
        <v>557</v>
      </c>
      <c r="D4788" s="452">
        <v>45748</v>
      </c>
      <c r="E4788">
        <v>19969</v>
      </c>
      <c r="F4788" t="s">
        <v>5018</v>
      </c>
      <c r="G4788">
        <v>2354</v>
      </c>
      <c r="H4788">
        <v>1.46</v>
      </c>
      <c r="I4788" t="s">
        <v>4888</v>
      </c>
      <c r="J4788" t="s">
        <v>5191</v>
      </c>
      <c r="K4788" t="s">
        <v>4455</v>
      </c>
      <c r="L4788">
        <v>9.8000000000000007</v>
      </c>
      <c r="M4788" s="452">
        <v>45737</v>
      </c>
      <c r="N4788">
        <v>9.8000000000000007</v>
      </c>
      <c r="O4788">
        <v>9.6999999999999993</v>
      </c>
      <c r="P4788">
        <v>14.31</v>
      </c>
    </row>
    <row r="4789" spans="1:16" x14ac:dyDescent="0.3">
      <c r="A4789">
        <v>27269</v>
      </c>
      <c r="B4789">
        <v>105</v>
      </c>
      <c r="C4789" t="s">
        <v>557</v>
      </c>
      <c r="D4789" s="452">
        <v>45748</v>
      </c>
      <c r="E4789">
        <v>19476</v>
      </c>
      <c r="F4789" t="s">
        <v>5115</v>
      </c>
      <c r="G4789">
        <v>2729</v>
      </c>
      <c r="H4789">
        <v>0.3</v>
      </c>
      <c r="I4789" t="s">
        <v>4744</v>
      </c>
      <c r="J4789" t="s">
        <v>5191</v>
      </c>
      <c r="K4789" t="s">
        <v>4455</v>
      </c>
      <c r="L4789">
        <v>47.33</v>
      </c>
      <c r="M4789" s="452">
        <v>45744</v>
      </c>
      <c r="N4789">
        <v>52</v>
      </c>
      <c r="O4789">
        <v>33.4</v>
      </c>
      <c r="P4789">
        <v>14.2</v>
      </c>
    </row>
    <row r="4790" spans="1:16" x14ac:dyDescent="0.3">
      <c r="A4790">
        <v>27232</v>
      </c>
      <c r="B4790">
        <v>105</v>
      </c>
      <c r="C4790" t="s">
        <v>557</v>
      </c>
      <c r="D4790" s="452">
        <v>45748</v>
      </c>
      <c r="E4790">
        <v>19505</v>
      </c>
      <c r="F4790" t="s">
        <v>4872</v>
      </c>
      <c r="G4790">
        <v>2706</v>
      </c>
      <c r="H4790">
        <v>1.05</v>
      </c>
      <c r="I4790" t="s">
        <v>4744</v>
      </c>
      <c r="J4790" t="s">
        <v>5191</v>
      </c>
      <c r="K4790" t="s">
        <v>4455</v>
      </c>
      <c r="L4790">
        <v>13.03</v>
      </c>
      <c r="M4790" s="452">
        <v>45747</v>
      </c>
      <c r="N4790">
        <v>10</v>
      </c>
      <c r="O4790">
        <v>10</v>
      </c>
      <c r="P4790">
        <v>13.68</v>
      </c>
    </row>
    <row r="4791" spans="1:16" x14ac:dyDescent="0.3">
      <c r="A4791">
        <v>27271</v>
      </c>
      <c r="B4791">
        <v>105</v>
      </c>
      <c r="C4791" t="s">
        <v>557</v>
      </c>
      <c r="D4791" s="452">
        <v>45748</v>
      </c>
      <c r="E4791">
        <v>19739</v>
      </c>
      <c r="F4791" t="s">
        <v>5565</v>
      </c>
      <c r="G4791">
        <v>2514</v>
      </c>
      <c r="H4791">
        <v>1.1399999999999999</v>
      </c>
      <c r="I4791" t="s">
        <v>4744</v>
      </c>
      <c r="J4791" t="s">
        <v>5191</v>
      </c>
      <c r="K4791" t="s">
        <v>4455</v>
      </c>
      <c r="L4791">
        <v>0</v>
      </c>
      <c r="M4791" s="452">
        <v>45681</v>
      </c>
      <c r="N4791">
        <v>12</v>
      </c>
      <c r="O4791">
        <v>7.7</v>
      </c>
      <c r="P4791">
        <v>13.68</v>
      </c>
    </row>
    <row r="4792" spans="1:16" x14ac:dyDescent="0.3">
      <c r="A4792">
        <v>27246</v>
      </c>
      <c r="B4792">
        <v>105</v>
      </c>
      <c r="C4792" t="s">
        <v>557</v>
      </c>
      <c r="D4792" s="452">
        <v>45748</v>
      </c>
      <c r="E4792">
        <v>19490</v>
      </c>
      <c r="F4792" t="s">
        <v>5116</v>
      </c>
      <c r="G4792">
        <v>2718</v>
      </c>
      <c r="H4792">
        <v>0.39</v>
      </c>
      <c r="I4792" t="s">
        <v>4744</v>
      </c>
      <c r="J4792" t="s">
        <v>5191</v>
      </c>
      <c r="K4792" t="s">
        <v>4455</v>
      </c>
      <c r="L4792">
        <v>35</v>
      </c>
      <c r="M4792" s="452">
        <v>45737</v>
      </c>
      <c r="N4792">
        <v>35</v>
      </c>
      <c r="O4792">
        <v>35</v>
      </c>
      <c r="P4792">
        <v>13.65</v>
      </c>
    </row>
    <row r="4793" spans="1:16" x14ac:dyDescent="0.3">
      <c r="A4793">
        <v>27409</v>
      </c>
      <c r="B4793">
        <v>105</v>
      </c>
      <c r="C4793" t="s">
        <v>557</v>
      </c>
      <c r="D4793" s="452">
        <v>45748</v>
      </c>
      <c r="E4793">
        <v>17838</v>
      </c>
      <c r="F4793" t="s">
        <v>4925</v>
      </c>
      <c r="G4793">
        <v>3712</v>
      </c>
      <c r="H4793">
        <v>1</v>
      </c>
      <c r="I4793" t="s">
        <v>4749</v>
      </c>
      <c r="J4793" t="s">
        <v>5222</v>
      </c>
      <c r="K4793" t="s">
        <v>4455</v>
      </c>
      <c r="L4793">
        <v>13.15</v>
      </c>
      <c r="M4793" s="452">
        <v>45733</v>
      </c>
      <c r="N4793">
        <v>13.15</v>
      </c>
      <c r="O4793">
        <v>15.5</v>
      </c>
      <c r="P4793">
        <v>13.15</v>
      </c>
    </row>
    <row r="4794" spans="1:16" x14ac:dyDescent="0.3">
      <c r="A4794">
        <v>27215</v>
      </c>
      <c r="B4794">
        <v>105</v>
      </c>
      <c r="C4794" t="s">
        <v>557</v>
      </c>
      <c r="D4794" s="452">
        <v>45748</v>
      </c>
      <c r="E4794">
        <v>26242</v>
      </c>
      <c r="F4794" t="s">
        <v>4957</v>
      </c>
      <c r="G4794">
        <v>6641</v>
      </c>
      <c r="H4794">
        <v>0.98</v>
      </c>
      <c r="I4794" t="s">
        <v>4736</v>
      </c>
      <c r="J4794" t="s">
        <v>5191</v>
      </c>
      <c r="K4794" t="s">
        <v>4455</v>
      </c>
      <c r="L4794">
        <v>0</v>
      </c>
      <c r="M4794" s="452">
        <v>-693593</v>
      </c>
      <c r="N4794">
        <v>0</v>
      </c>
      <c r="O4794">
        <v>0</v>
      </c>
      <c r="P4794">
        <v>12.73</v>
      </c>
    </row>
    <row r="4795" spans="1:16" x14ac:dyDescent="0.3">
      <c r="A4795">
        <v>27277</v>
      </c>
      <c r="B4795">
        <v>105</v>
      </c>
      <c r="C4795" t="s">
        <v>557</v>
      </c>
      <c r="D4795" s="452">
        <v>45748</v>
      </c>
      <c r="E4795">
        <v>19575</v>
      </c>
      <c r="F4795" t="s">
        <v>5120</v>
      </c>
      <c r="G4795">
        <v>2643</v>
      </c>
      <c r="H4795">
        <v>0.5</v>
      </c>
      <c r="I4795" t="s">
        <v>4744</v>
      </c>
      <c r="J4795" t="s">
        <v>5191</v>
      </c>
      <c r="K4795" t="s">
        <v>4455</v>
      </c>
      <c r="L4795">
        <v>25</v>
      </c>
      <c r="M4795" s="452">
        <v>45741</v>
      </c>
      <c r="N4795">
        <v>25</v>
      </c>
      <c r="O4795">
        <v>26</v>
      </c>
      <c r="P4795">
        <v>12.5</v>
      </c>
    </row>
    <row r="4796" spans="1:16" x14ac:dyDescent="0.3">
      <c r="A4796">
        <v>27141</v>
      </c>
      <c r="B4796">
        <v>105</v>
      </c>
      <c r="C4796" t="s">
        <v>557</v>
      </c>
      <c r="D4796" s="452">
        <v>45748</v>
      </c>
      <c r="E4796">
        <v>20295</v>
      </c>
      <c r="F4796" t="s">
        <v>4881</v>
      </c>
      <c r="G4796">
        <v>2226</v>
      </c>
      <c r="H4796">
        <v>1.82</v>
      </c>
      <c r="I4796" t="s">
        <v>4736</v>
      </c>
      <c r="J4796" t="s">
        <v>5191</v>
      </c>
      <c r="K4796" t="s">
        <v>4455</v>
      </c>
      <c r="L4796">
        <v>6.8</v>
      </c>
      <c r="M4796" s="452">
        <v>45740</v>
      </c>
      <c r="N4796">
        <v>6.8</v>
      </c>
      <c r="O4796">
        <v>6.8</v>
      </c>
      <c r="P4796">
        <v>12.38</v>
      </c>
    </row>
    <row r="4797" spans="1:16" x14ac:dyDescent="0.3">
      <c r="A4797">
        <v>27276</v>
      </c>
      <c r="B4797">
        <v>105</v>
      </c>
      <c r="C4797" t="s">
        <v>557</v>
      </c>
      <c r="D4797" s="452">
        <v>45748</v>
      </c>
      <c r="E4797">
        <v>19577</v>
      </c>
      <c r="F4797" t="s">
        <v>4984</v>
      </c>
      <c r="G4797">
        <v>2641</v>
      </c>
      <c r="H4797">
        <v>1.21</v>
      </c>
      <c r="I4797" t="s">
        <v>4736</v>
      </c>
      <c r="J4797" t="s">
        <v>5191</v>
      </c>
      <c r="K4797" t="s">
        <v>4455</v>
      </c>
      <c r="L4797">
        <v>0</v>
      </c>
      <c r="M4797" s="452">
        <v>45532</v>
      </c>
      <c r="N4797">
        <v>10.199999999999999</v>
      </c>
      <c r="O4797">
        <v>21</v>
      </c>
      <c r="P4797">
        <v>12.34</v>
      </c>
    </row>
    <row r="4798" spans="1:16" x14ac:dyDescent="0.3">
      <c r="A4798">
        <v>27142</v>
      </c>
      <c r="B4798">
        <v>105</v>
      </c>
      <c r="C4798" t="s">
        <v>557</v>
      </c>
      <c r="D4798" s="452">
        <v>45748</v>
      </c>
      <c r="E4798">
        <v>21060</v>
      </c>
      <c r="F4798" t="s">
        <v>4946</v>
      </c>
      <c r="G4798">
        <v>1998</v>
      </c>
      <c r="H4798">
        <v>0.56000000000000005</v>
      </c>
      <c r="I4798" t="s">
        <v>4736</v>
      </c>
      <c r="J4798" t="s">
        <v>5191</v>
      </c>
      <c r="K4798" t="s">
        <v>4455</v>
      </c>
      <c r="L4798">
        <v>21.99</v>
      </c>
      <c r="M4798" s="452">
        <v>45743</v>
      </c>
      <c r="N4798">
        <v>21.99</v>
      </c>
      <c r="O4798">
        <v>21.93</v>
      </c>
      <c r="P4798">
        <v>12.31</v>
      </c>
    </row>
    <row r="4799" spans="1:16" x14ac:dyDescent="0.3">
      <c r="A4799">
        <v>27278</v>
      </c>
      <c r="B4799">
        <v>105</v>
      </c>
      <c r="C4799" t="s">
        <v>557</v>
      </c>
      <c r="D4799" s="452">
        <v>45748</v>
      </c>
      <c r="E4799">
        <v>19572</v>
      </c>
      <c r="F4799" t="s">
        <v>4989</v>
      </c>
      <c r="G4799">
        <v>2646</v>
      </c>
      <c r="H4799">
        <v>0.84</v>
      </c>
      <c r="I4799" t="s">
        <v>4744</v>
      </c>
      <c r="J4799" t="s">
        <v>5191</v>
      </c>
      <c r="K4799" t="s">
        <v>4455</v>
      </c>
      <c r="L4799">
        <v>14.6</v>
      </c>
      <c r="M4799" s="452">
        <v>45741</v>
      </c>
      <c r="N4799">
        <v>12</v>
      </c>
      <c r="O4799">
        <v>12</v>
      </c>
      <c r="P4799">
        <v>12.26</v>
      </c>
    </row>
    <row r="4800" spans="1:16" x14ac:dyDescent="0.3">
      <c r="A4800">
        <v>27472</v>
      </c>
      <c r="B4800">
        <v>105</v>
      </c>
      <c r="C4800" t="s">
        <v>557</v>
      </c>
      <c r="D4800" s="452">
        <v>45748</v>
      </c>
      <c r="E4800">
        <v>21098</v>
      </c>
      <c r="F4800" t="s">
        <v>5511</v>
      </c>
      <c r="G4800">
        <v>1987</v>
      </c>
      <c r="H4800">
        <v>0.72</v>
      </c>
      <c r="I4800" t="s">
        <v>4738</v>
      </c>
      <c r="J4800" t="s">
        <v>5191</v>
      </c>
      <c r="K4800" t="s">
        <v>4455</v>
      </c>
      <c r="L4800">
        <v>0</v>
      </c>
      <c r="M4800" s="452">
        <v>-693593</v>
      </c>
      <c r="N4800">
        <v>0</v>
      </c>
      <c r="O4800">
        <v>17.03</v>
      </c>
      <c r="P4800">
        <v>12.26</v>
      </c>
    </row>
    <row r="4801" spans="1:16" x14ac:dyDescent="0.3">
      <c r="A4801">
        <v>27219</v>
      </c>
      <c r="B4801">
        <v>105</v>
      </c>
      <c r="C4801" t="s">
        <v>557</v>
      </c>
      <c r="D4801" s="452">
        <v>45748</v>
      </c>
      <c r="E4801">
        <v>19907</v>
      </c>
      <c r="F4801" t="s">
        <v>4802</v>
      </c>
      <c r="G4801">
        <v>2381</v>
      </c>
      <c r="H4801">
        <v>4</v>
      </c>
      <c r="I4801" t="s">
        <v>4736</v>
      </c>
      <c r="J4801" t="s">
        <v>5191</v>
      </c>
      <c r="K4801" t="s">
        <v>4455</v>
      </c>
      <c r="L4801">
        <v>0</v>
      </c>
      <c r="M4801" s="452">
        <v>45660</v>
      </c>
      <c r="N4801">
        <v>3.05</v>
      </c>
      <c r="O4801">
        <v>3.04</v>
      </c>
      <c r="P4801">
        <v>12.2</v>
      </c>
    </row>
    <row r="4802" spans="1:16" x14ac:dyDescent="0.3">
      <c r="A4802">
        <v>27207</v>
      </c>
      <c r="B4802">
        <v>105</v>
      </c>
      <c r="C4802" t="s">
        <v>557</v>
      </c>
      <c r="D4802" s="452">
        <v>45748</v>
      </c>
      <c r="E4802">
        <v>19939</v>
      </c>
      <c r="F4802" t="s">
        <v>5057</v>
      </c>
      <c r="G4802">
        <v>2365</v>
      </c>
      <c r="H4802">
        <v>0.55000000000000004</v>
      </c>
      <c r="I4802" t="s">
        <v>4744</v>
      </c>
      <c r="J4802" t="s">
        <v>5191</v>
      </c>
      <c r="K4802" t="s">
        <v>4455</v>
      </c>
      <c r="L4802">
        <v>0</v>
      </c>
      <c r="M4802" s="452">
        <v>-693593</v>
      </c>
      <c r="N4802">
        <v>0</v>
      </c>
      <c r="O4802">
        <v>79.599999999999994</v>
      </c>
      <c r="P4802">
        <v>12.1</v>
      </c>
    </row>
    <row r="4803" spans="1:16" x14ac:dyDescent="0.3">
      <c r="A4803">
        <v>27147</v>
      </c>
      <c r="B4803">
        <v>105</v>
      </c>
      <c r="C4803" t="s">
        <v>557</v>
      </c>
      <c r="D4803" s="452">
        <v>45748</v>
      </c>
      <c r="E4803">
        <v>24089</v>
      </c>
      <c r="F4803" t="s">
        <v>4931</v>
      </c>
      <c r="G4803">
        <v>2316</v>
      </c>
      <c r="H4803">
        <v>1.41</v>
      </c>
      <c r="I4803" t="s">
        <v>4744</v>
      </c>
      <c r="J4803" t="s">
        <v>5191</v>
      </c>
      <c r="K4803" t="s">
        <v>4455</v>
      </c>
      <c r="L4803">
        <v>8.5</v>
      </c>
      <c r="M4803" s="452">
        <v>45740</v>
      </c>
      <c r="N4803">
        <v>8.5</v>
      </c>
      <c r="O4803">
        <v>8.5</v>
      </c>
      <c r="P4803">
        <v>11.98</v>
      </c>
    </row>
    <row r="4804" spans="1:16" x14ac:dyDescent="0.3">
      <c r="A4804">
        <v>27162</v>
      </c>
      <c r="B4804">
        <v>105</v>
      </c>
      <c r="C4804" t="s">
        <v>557</v>
      </c>
      <c r="D4804" s="452">
        <v>45748</v>
      </c>
      <c r="E4804">
        <v>20685</v>
      </c>
      <c r="F4804" t="s">
        <v>5528</v>
      </c>
      <c r="G4804">
        <v>2106</v>
      </c>
      <c r="H4804">
        <v>3</v>
      </c>
      <c r="I4804" t="s">
        <v>4736</v>
      </c>
      <c r="J4804" t="s">
        <v>5191</v>
      </c>
      <c r="K4804" t="s">
        <v>4455</v>
      </c>
      <c r="L4804">
        <v>0</v>
      </c>
      <c r="M4804" s="452">
        <v>-693593</v>
      </c>
      <c r="N4804">
        <v>0</v>
      </c>
      <c r="O4804">
        <v>0</v>
      </c>
      <c r="P4804">
        <v>10.5</v>
      </c>
    </row>
    <row r="4805" spans="1:16" x14ac:dyDescent="0.3">
      <c r="A4805">
        <v>27283</v>
      </c>
      <c r="B4805">
        <v>105</v>
      </c>
      <c r="C4805" t="s">
        <v>557</v>
      </c>
      <c r="D4805" s="452">
        <v>45748</v>
      </c>
      <c r="E4805">
        <v>19557</v>
      </c>
      <c r="F4805" t="s">
        <v>5051</v>
      </c>
      <c r="G4805">
        <v>2660</v>
      </c>
      <c r="H4805">
        <v>0.85</v>
      </c>
      <c r="I4805" t="s">
        <v>4744</v>
      </c>
      <c r="J4805" t="s">
        <v>5191</v>
      </c>
      <c r="K4805" t="s">
        <v>4455</v>
      </c>
      <c r="L4805">
        <v>12</v>
      </c>
      <c r="M4805" s="452">
        <v>45737</v>
      </c>
      <c r="N4805">
        <v>12</v>
      </c>
      <c r="O4805">
        <v>9</v>
      </c>
      <c r="P4805">
        <v>10.199999999999999</v>
      </c>
    </row>
    <row r="4806" spans="1:16" x14ac:dyDescent="0.3">
      <c r="A4806">
        <v>27164</v>
      </c>
      <c r="B4806">
        <v>105</v>
      </c>
      <c r="C4806" t="s">
        <v>557</v>
      </c>
      <c r="D4806" s="452">
        <v>45748</v>
      </c>
      <c r="E4806">
        <v>20674</v>
      </c>
      <c r="F4806" t="s">
        <v>5529</v>
      </c>
      <c r="G4806">
        <v>2107</v>
      </c>
      <c r="H4806">
        <v>1</v>
      </c>
      <c r="I4806" t="s">
        <v>4738</v>
      </c>
      <c r="J4806" t="s">
        <v>5191</v>
      </c>
      <c r="K4806" t="s">
        <v>4455</v>
      </c>
      <c r="L4806">
        <v>10.15</v>
      </c>
      <c r="M4806" s="452">
        <v>45740</v>
      </c>
      <c r="N4806">
        <v>10.199999999999999</v>
      </c>
      <c r="O4806">
        <v>10.199999999999999</v>
      </c>
      <c r="P4806">
        <v>10.15</v>
      </c>
    </row>
    <row r="4807" spans="1:16" x14ac:dyDescent="0.3">
      <c r="A4807">
        <v>27170</v>
      </c>
      <c r="B4807">
        <v>105</v>
      </c>
      <c r="C4807" t="s">
        <v>557</v>
      </c>
      <c r="D4807" s="452">
        <v>45748</v>
      </c>
      <c r="E4807">
        <v>20322</v>
      </c>
      <c r="F4807" t="s">
        <v>4882</v>
      </c>
      <c r="G4807">
        <v>2212</v>
      </c>
      <c r="H4807">
        <v>1</v>
      </c>
      <c r="I4807" t="s">
        <v>4738</v>
      </c>
      <c r="J4807" t="s">
        <v>5191</v>
      </c>
      <c r="K4807" t="s">
        <v>4455</v>
      </c>
      <c r="L4807">
        <v>9.7899999999999991</v>
      </c>
      <c r="M4807" s="452">
        <v>45733</v>
      </c>
      <c r="N4807">
        <v>9.7899999999999991</v>
      </c>
      <c r="O4807">
        <v>9.7899999999999991</v>
      </c>
      <c r="P4807">
        <v>9.7899999999999991</v>
      </c>
    </row>
    <row r="4808" spans="1:16" x14ac:dyDescent="0.3">
      <c r="A4808">
        <v>27253</v>
      </c>
      <c r="B4808">
        <v>105</v>
      </c>
      <c r="C4808" t="s">
        <v>557</v>
      </c>
      <c r="D4808" s="452">
        <v>45748</v>
      </c>
      <c r="E4808">
        <v>19613</v>
      </c>
      <c r="F4808" t="s">
        <v>5062</v>
      </c>
      <c r="G4808">
        <v>2620</v>
      </c>
      <c r="H4808">
        <v>1.17</v>
      </c>
      <c r="I4808" t="s">
        <v>4744</v>
      </c>
      <c r="J4808" t="s">
        <v>5191</v>
      </c>
      <c r="K4808" t="s">
        <v>4455</v>
      </c>
      <c r="L4808">
        <v>8.25</v>
      </c>
      <c r="M4808" s="452">
        <v>45747</v>
      </c>
      <c r="N4808">
        <v>7.5</v>
      </c>
      <c r="O4808">
        <v>7.5</v>
      </c>
      <c r="P4808">
        <v>9.65</v>
      </c>
    </row>
    <row r="4809" spans="1:16" x14ac:dyDescent="0.3">
      <c r="A4809">
        <v>27221</v>
      </c>
      <c r="B4809">
        <v>105</v>
      </c>
      <c r="C4809" t="s">
        <v>557</v>
      </c>
      <c r="D4809" s="452">
        <v>45748</v>
      </c>
      <c r="E4809">
        <v>20787</v>
      </c>
      <c r="F4809" t="s">
        <v>5333</v>
      </c>
      <c r="G4809">
        <v>2076</v>
      </c>
      <c r="H4809">
        <v>1</v>
      </c>
      <c r="I4809" t="s">
        <v>4738</v>
      </c>
      <c r="J4809" t="s">
        <v>5191</v>
      </c>
      <c r="K4809" t="s">
        <v>4455</v>
      </c>
      <c r="L4809">
        <v>9.6</v>
      </c>
      <c r="M4809" s="452">
        <v>45741</v>
      </c>
      <c r="N4809">
        <v>9.6</v>
      </c>
      <c r="O4809">
        <v>9.6</v>
      </c>
      <c r="P4809">
        <v>9.6</v>
      </c>
    </row>
    <row r="4810" spans="1:16" x14ac:dyDescent="0.3">
      <c r="A4810">
        <v>27222</v>
      </c>
      <c r="B4810">
        <v>105</v>
      </c>
      <c r="C4810" t="s">
        <v>557</v>
      </c>
      <c r="D4810" s="452">
        <v>45748</v>
      </c>
      <c r="E4810">
        <v>20790</v>
      </c>
      <c r="F4810" t="s">
        <v>5020</v>
      </c>
      <c r="G4810">
        <v>2076</v>
      </c>
      <c r="H4810">
        <v>1</v>
      </c>
      <c r="I4810" t="s">
        <v>4744</v>
      </c>
      <c r="J4810" t="s">
        <v>5191</v>
      </c>
      <c r="K4810" t="s">
        <v>4455</v>
      </c>
      <c r="L4810">
        <v>9.6</v>
      </c>
      <c r="M4810" s="452">
        <v>45741</v>
      </c>
      <c r="N4810">
        <v>9.6</v>
      </c>
      <c r="O4810">
        <v>9.6</v>
      </c>
      <c r="P4810">
        <v>9.6</v>
      </c>
    </row>
    <row r="4811" spans="1:16" x14ac:dyDescent="0.3">
      <c r="A4811">
        <v>27223</v>
      </c>
      <c r="B4811">
        <v>105</v>
      </c>
      <c r="C4811" t="s">
        <v>557</v>
      </c>
      <c r="D4811" s="452">
        <v>45748</v>
      </c>
      <c r="E4811">
        <v>20791</v>
      </c>
      <c r="F4811" t="s">
        <v>5021</v>
      </c>
      <c r="G4811">
        <v>2076</v>
      </c>
      <c r="H4811">
        <v>1</v>
      </c>
      <c r="I4811" t="s">
        <v>4738</v>
      </c>
      <c r="J4811" t="s">
        <v>5191</v>
      </c>
      <c r="K4811" t="s">
        <v>4455</v>
      </c>
      <c r="L4811">
        <v>9.6</v>
      </c>
      <c r="M4811" s="452">
        <v>45741</v>
      </c>
      <c r="N4811">
        <v>9.6</v>
      </c>
      <c r="O4811">
        <v>9.6</v>
      </c>
      <c r="P4811">
        <v>9.6</v>
      </c>
    </row>
    <row r="4812" spans="1:16" x14ac:dyDescent="0.3">
      <c r="A4812">
        <v>27275</v>
      </c>
      <c r="B4812">
        <v>105</v>
      </c>
      <c r="C4812" t="s">
        <v>557</v>
      </c>
      <c r="D4812" s="452">
        <v>45748</v>
      </c>
      <c r="E4812">
        <v>19583</v>
      </c>
      <c r="F4812" t="s">
        <v>5478</v>
      </c>
      <c r="G4812">
        <v>2639</v>
      </c>
      <c r="H4812">
        <v>0.25</v>
      </c>
      <c r="I4812" t="s">
        <v>4744</v>
      </c>
      <c r="J4812" t="s">
        <v>5191</v>
      </c>
      <c r="K4812" t="s">
        <v>4455</v>
      </c>
      <c r="L4812">
        <v>38</v>
      </c>
      <c r="M4812" s="452">
        <v>45737</v>
      </c>
      <c r="N4812">
        <v>38</v>
      </c>
      <c r="O4812">
        <v>33</v>
      </c>
      <c r="P4812">
        <v>9.5</v>
      </c>
    </row>
    <row r="4813" spans="1:16" x14ac:dyDescent="0.3">
      <c r="A4813">
        <v>27138</v>
      </c>
      <c r="B4813">
        <v>105</v>
      </c>
      <c r="C4813" t="s">
        <v>557</v>
      </c>
      <c r="D4813" s="452">
        <v>45748</v>
      </c>
      <c r="E4813">
        <v>20429</v>
      </c>
      <c r="F4813" t="s">
        <v>5317</v>
      </c>
      <c r="G4813">
        <v>2184</v>
      </c>
      <c r="H4813">
        <v>0.49</v>
      </c>
      <c r="I4813" t="s">
        <v>4736</v>
      </c>
      <c r="J4813" t="s">
        <v>5191</v>
      </c>
      <c r="K4813" t="s">
        <v>4455</v>
      </c>
      <c r="L4813">
        <v>18.600000000000001</v>
      </c>
      <c r="M4813" s="452">
        <v>45741</v>
      </c>
      <c r="N4813">
        <v>18.600000000000001</v>
      </c>
      <c r="O4813">
        <v>32.5</v>
      </c>
      <c r="P4813">
        <v>9.11</v>
      </c>
    </row>
    <row r="4814" spans="1:16" x14ac:dyDescent="0.3">
      <c r="A4814">
        <v>27202</v>
      </c>
      <c r="B4814">
        <v>105</v>
      </c>
      <c r="C4814" t="s">
        <v>557</v>
      </c>
      <c r="D4814" s="452">
        <v>45748</v>
      </c>
      <c r="E4814">
        <v>19982</v>
      </c>
      <c r="F4814" t="s">
        <v>5017</v>
      </c>
      <c r="G4814">
        <v>2351</v>
      </c>
      <c r="H4814">
        <v>1.49</v>
      </c>
      <c r="I4814" t="s">
        <v>4888</v>
      </c>
      <c r="J4814" t="s">
        <v>5191</v>
      </c>
      <c r="K4814" t="s">
        <v>4455</v>
      </c>
      <c r="L4814">
        <v>0</v>
      </c>
      <c r="M4814" s="452">
        <v>45519</v>
      </c>
      <c r="N4814">
        <v>6</v>
      </c>
      <c r="O4814">
        <v>5.95</v>
      </c>
      <c r="P4814">
        <v>8.94</v>
      </c>
    </row>
    <row r="4815" spans="1:16" x14ac:dyDescent="0.3">
      <c r="A4815">
        <v>27238</v>
      </c>
      <c r="B4815">
        <v>105</v>
      </c>
      <c r="C4815" t="s">
        <v>557</v>
      </c>
      <c r="D4815" s="452">
        <v>45748</v>
      </c>
      <c r="E4815">
        <v>19784</v>
      </c>
      <c r="F4815" t="s">
        <v>4873</v>
      </c>
      <c r="G4815">
        <v>2474</v>
      </c>
      <c r="H4815">
        <v>1</v>
      </c>
      <c r="I4815" t="s">
        <v>4744</v>
      </c>
      <c r="J4815" t="s">
        <v>5191</v>
      </c>
      <c r="K4815" t="s">
        <v>4455</v>
      </c>
      <c r="L4815">
        <v>8.4600000000000009</v>
      </c>
      <c r="M4815" s="452">
        <v>45747</v>
      </c>
      <c r="N4815">
        <v>8</v>
      </c>
      <c r="O4815">
        <v>8</v>
      </c>
      <c r="P4815">
        <v>8.4600000000000009</v>
      </c>
    </row>
    <row r="4816" spans="1:16" x14ac:dyDescent="0.3">
      <c r="A4816">
        <v>27292</v>
      </c>
      <c r="B4816">
        <v>105</v>
      </c>
      <c r="C4816" t="s">
        <v>557</v>
      </c>
      <c r="D4816" s="452">
        <v>45748</v>
      </c>
      <c r="E4816">
        <v>19546</v>
      </c>
      <c r="F4816" t="s">
        <v>5527</v>
      </c>
      <c r="G4816">
        <v>2670</v>
      </c>
      <c r="H4816">
        <v>0.45</v>
      </c>
      <c r="I4816" t="s">
        <v>4744</v>
      </c>
      <c r="J4816" t="s">
        <v>5191</v>
      </c>
      <c r="K4816" t="s">
        <v>4455</v>
      </c>
      <c r="L4816">
        <v>17.43</v>
      </c>
      <c r="M4816" s="452">
        <v>45747</v>
      </c>
      <c r="N4816">
        <v>16.2</v>
      </c>
      <c r="O4816">
        <v>15.72</v>
      </c>
      <c r="P4816">
        <v>7.84</v>
      </c>
    </row>
    <row r="4817" spans="1:16" x14ac:dyDescent="0.3">
      <c r="A4817">
        <v>27163</v>
      </c>
      <c r="B4817">
        <v>105</v>
      </c>
      <c r="C4817" t="s">
        <v>557</v>
      </c>
      <c r="D4817" s="452">
        <v>45748</v>
      </c>
      <c r="E4817">
        <v>20030</v>
      </c>
      <c r="F4817" t="s">
        <v>5125</v>
      </c>
      <c r="G4817">
        <v>2337</v>
      </c>
      <c r="H4817">
        <v>1</v>
      </c>
      <c r="I4817" t="s">
        <v>4736</v>
      </c>
      <c r="J4817" t="s">
        <v>5191</v>
      </c>
      <c r="K4817" t="s">
        <v>4455</v>
      </c>
      <c r="L4817">
        <v>0</v>
      </c>
      <c r="M4817" s="452">
        <v>-693593</v>
      </c>
      <c r="N4817">
        <v>0</v>
      </c>
      <c r="O4817">
        <v>7</v>
      </c>
      <c r="P4817">
        <v>7.58</v>
      </c>
    </row>
    <row r="4818" spans="1:16" x14ac:dyDescent="0.3">
      <c r="A4818">
        <v>27258</v>
      </c>
      <c r="B4818">
        <v>105</v>
      </c>
      <c r="C4818" t="s">
        <v>557</v>
      </c>
      <c r="D4818" s="452">
        <v>45748</v>
      </c>
      <c r="E4818">
        <v>19480</v>
      </c>
      <c r="F4818" t="s">
        <v>5119</v>
      </c>
      <c r="G4818">
        <v>2726</v>
      </c>
      <c r="H4818">
        <v>0.41</v>
      </c>
      <c r="I4818" t="s">
        <v>4744</v>
      </c>
      <c r="J4818" t="s">
        <v>5191</v>
      </c>
      <c r="K4818" t="s">
        <v>4455</v>
      </c>
      <c r="L4818">
        <v>18</v>
      </c>
      <c r="M4818" s="452">
        <v>45747</v>
      </c>
      <c r="N4818">
        <v>18</v>
      </c>
      <c r="O4818">
        <v>16.64</v>
      </c>
      <c r="P4818">
        <v>7.38</v>
      </c>
    </row>
    <row r="4819" spans="1:16" x14ac:dyDescent="0.3">
      <c r="A4819">
        <v>27291</v>
      </c>
      <c r="B4819">
        <v>105</v>
      </c>
      <c r="C4819" t="s">
        <v>557</v>
      </c>
      <c r="D4819" s="452">
        <v>45748</v>
      </c>
      <c r="E4819">
        <v>25472</v>
      </c>
      <c r="F4819" t="s">
        <v>5544</v>
      </c>
      <c r="G4819">
        <v>6126</v>
      </c>
      <c r="H4819">
        <v>0.2</v>
      </c>
      <c r="I4819" t="s">
        <v>4744</v>
      </c>
      <c r="J4819" t="s">
        <v>5191</v>
      </c>
      <c r="K4819" t="s">
        <v>4455</v>
      </c>
      <c r="L4819">
        <v>34.56</v>
      </c>
      <c r="M4819" s="452">
        <v>45747</v>
      </c>
      <c r="N4819">
        <v>30</v>
      </c>
      <c r="O4819">
        <v>30</v>
      </c>
      <c r="P4819">
        <v>6.91</v>
      </c>
    </row>
    <row r="4820" spans="1:16" x14ac:dyDescent="0.3">
      <c r="A4820">
        <v>27194</v>
      </c>
      <c r="B4820">
        <v>105</v>
      </c>
      <c r="C4820" t="s">
        <v>557</v>
      </c>
      <c r="D4820" s="452">
        <v>45748</v>
      </c>
      <c r="E4820">
        <v>25022</v>
      </c>
      <c r="F4820" t="s">
        <v>4912</v>
      </c>
      <c r="G4820">
        <v>5868</v>
      </c>
      <c r="H4820">
        <v>1</v>
      </c>
      <c r="I4820" t="s">
        <v>4738</v>
      </c>
      <c r="J4820" t="s">
        <v>5191</v>
      </c>
      <c r="K4820" t="s">
        <v>4455</v>
      </c>
      <c r="L4820">
        <v>6.88</v>
      </c>
      <c r="M4820" s="452">
        <v>45743</v>
      </c>
      <c r="N4820">
        <v>6.8</v>
      </c>
      <c r="O4820">
        <v>6.8</v>
      </c>
      <c r="P4820">
        <v>6.88</v>
      </c>
    </row>
    <row r="4821" spans="1:16" x14ac:dyDescent="0.3">
      <c r="A4821">
        <v>27239</v>
      </c>
      <c r="B4821">
        <v>105</v>
      </c>
      <c r="C4821" t="s">
        <v>557</v>
      </c>
      <c r="D4821" s="452">
        <v>45748</v>
      </c>
      <c r="E4821">
        <v>19783</v>
      </c>
      <c r="F4821" t="s">
        <v>4960</v>
      </c>
      <c r="G4821">
        <v>2475</v>
      </c>
      <c r="H4821">
        <v>1.24</v>
      </c>
      <c r="I4821" t="s">
        <v>4744</v>
      </c>
      <c r="J4821" t="s">
        <v>5191</v>
      </c>
      <c r="K4821" t="s">
        <v>4455</v>
      </c>
      <c r="L4821">
        <v>4.6500000000000004</v>
      </c>
      <c r="M4821" s="452">
        <v>45747</v>
      </c>
      <c r="N4821">
        <v>4.5</v>
      </c>
      <c r="O4821">
        <v>4.5</v>
      </c>
      <c r="P4821">
        <v>5.77</v>
      </c>
    </row>
    <row r="4822" spans="1:16" x14ac:dyDescent="0.3">
      <c r="A4822">
        <v>27193</v>
      </c>
      <c r="B4822">
        <v>105</v>
      </c>
      <c r="C4822" t="s">
        <v>557</v>
      </c>
      <c r="D4822" s="452">
        <v>45748</v>
      </c>
      <c r="E4822">
        <v>20140</v>
      </c>
      <c r="F4822" t="s">
        <v>5566</v>
      </c>
      <c r="G4822">
        <v>2284</v>
      </c>
      <c r="H4822">
        <v>0.55000000000000004</v>
      </c>
      <c r="I4822" t="s">
        <v>4736</v>
      </c>
      <c r="J4822" t="s">
        <v>5191</v>
      </c>
      <c r="K4822" t="s">
        <v>4455</v>
      </c>
      <c r="L4822">
        <v>0</v>
      </c>
      <c r="M4822" s="452">
        <v>45678</v>
      </c>
      <c r="N4822">
        <v>7.3</v>
      </c>
      <c r="O4822">
        <v>7.25</v>
      </c>
      <c r="P4822">
        <v>4.0199999999999996</v>
      </c>
    </row>
    <row r="4823" spans="1:16" x14ac:dyDescent="0.3">
      <c r="A4823">
        <v>27234</v>
      </c>
      <c r="B4823">
        <v>105</v>
      </c>
      <c r="C4823" t="s">
        <v>557</v>
      </c>
      <c r="D4823" s="452">
        <v>45748</v>
      </c>
      <c r="E4823">
        <v>19496</v>
      </c>
      <c r="F4823" t="s">
        <v>5567</v>
      </c>
      <c r="G4823">
        <v>2714</v>
      </c>
      <c r="H4823">
        <v>0.17</v>
      </c>
      <c r="I4823" t="s">
        <v>4744</v>
      </c>
      <c r="J4823" t="s">
        <v>5191</v>
      </c>
      <c r="K4823" t="s">
        <v>4455</v>
      </c>
      <c r="L4823">
        <v>21.99</v>
      </c>
      <c r="M4823" s="452">
        <v>45727</v>
      </c>
      <c r="N4823">
        <v>21.99</v>
      </c>
      <c r="O4823">
        <v>18</v>
      </c>
      <c r="P4823">
        <v>3.74</v>
      </c>
    </row>
    <row r="4824" spans="1:16" x14ac:dyDescent="0.3">
      <c r="A4824">
        <v>27171</v>
      </c>
      <c r="B4824">
        <v>105</v>
      </c>
      <c r="C4824" t="s">
        <v>557</v>
      </c>
      <c r="D4824" s="452">
        <v>45748</v>
      </c>
      <c r="E4824">
        <v>24486</v>
      </c>
      <c r="F4824" t="s">
        <v>5568</v>
      </c>
      <c r="G4824">
        <v>2212</v>
      </c>
      <c r="H4824">
        <v>0.39</v>
      </c>
      <c r="I4824" t="s">
        <v>4744</v>
      </c>
      <c r="J4824" t="s">
        <v>5191</v>
      </c>
      <c r="K4824" t="s">
        <v>4455</v>
      </c>
      <c r="L4824">
        <v>0</v>
      </c>
      <c r="M4824" s="452">
        <v>45486</v>
      </c>
      <c r="N4824">
        <v>8.99</v>
      </c>
      <c r="O4824">
        <v>8.99</v>
      </c>
      <c r="P4824">
        <v>3.51</v>
      </c>
    </row>
    <row r="4825" spans="1:16" x14ac:dyDescent="0.3">
      <c r="A4825">
        <v>27475</v>
      </c>
      <c r="B4825">
        <v>105</v>
      </c>
      <c r="C4825" t="s">
        <v>557</v>
      </c>
      <c r="D4825" s="452">
        <v>45748</v>
      </c>
      <c r="E4825">
        <v>19921</v>
      </c>
      <c r="F4825" t="s">
        <v>5569</v>
      </c>
      <c r="G4825">
        <v>2376</v>
      </c>
      <c r="H4825">
        <v>0.38</v>
      </c>
      <c r="I4825" t="s">
        <v>4738</v>
      </c>
      <c r="J4825" t="s">
        <v>5191</v>
      </c>
      <c r="K4825" t="s">
        <v>4455</v>
      </c>
      <c r="L4825">
        <v>0</v>
      </c>
      <c r="M4825" s="452">
        <v>-693593</v>
      </c>
      <c r="N4825">
        <v>0</v>
      </c>
      <c r="O4825">
        <v>8.5</v>
      </c>
      <c r="P4825">
        <v>3.23</v>
      </c>
    </row>
    <row r="4826" spans="1:16" x14ac:dyDescent="0.3">
      <c r="A4826">
        <v>27200</v>
      </c>
      <c r="B4826">
        <v>105</v>
      </c>
      <c r="C4826" t="s">
        <v>557</v>
      </c>
      <c r="D4826" s="452">
        <v>45748</v>
      </c>
      <c r="E4826">
        <v>19979</v>
      </c>
      <c r="F4826" t="s">
        <v>5270</v>
      </c>
      <c r="G4826">
        <v>2353</v>
      </c>
      <c r="H4826">
        <v>0.2</v>
      </c>
      <c r="I4826" t="s">
        <v>4888</v>
      </c>
      <c r="J4826" t="s">
        <v>5191</v>
      </c>
      <c r="K4826" t="s">
        <v>4455</v>
      </c>
      <c r="L4826">
        <v>15</v>
      </c>
      <c r="M4826" s="452">
        <v>45727</v>
      </c>
      <c r="N4826">
        <v>15</v>
      </c>
      <c r="O4826">
        <v>15.29</v>
      </c>
      <c r="P4826">
        <v>3</v>
      </c>
    </row>
    <row r="4827" spans="1:16" x14ac:dyDescent="0.3">
      <c r="A4827">
        <v>27264</v>
      </c>
      <c r="B4827">
        <v>105</v>
      </c>
      <c r="C4827" t="s">
        <v>557</v>
      </c>
      <c r="D4827" s="452">
        <v>45748</v>
      </c>
      <c r="E4827">
        <v>19743</v>
      </c>
      <c r="F4827" t="s">
        <v>5047</v>
      </c>
      <c r="G4827">
        <v>2510</v>
      </c>
      <c r="H4827">
        <v>0.2</v>
      </c>
      <c r="I4827" t="s">
        <v>4744</v>
      </c>
      <c r="J4827" t="s">
        <v>5191</v>
      </c>
      <c r="K4827" t="s">
        <v>4455</v>
      </c>
      <c r="L4827">
        <v>14.33</v>
      </c>
      <c r="M4827" s="452">
        <v>45747</v>
      </c>
      <c r="N4827">
        <v>13.5</v>
      </c>
      <c r="O4827">
        <v>13.5</v>
      </c>
      <c r="P4827">
        <v>2.87</v>
      </c>
    </row>
    <row r="4828" spans="1:16" x14ac:dyDescent="0.3">
      <c r="A4828">
        <v>27226</v>
      </c>
      <c r="B4828">
        <v>105</v>
      </c>
      <c r="C4828" t="s">
        <v>557</v>
      </c>
      <c r="D4828" s="452">
        <v>45748</v>
      </c>
      <c r="E4828">
        <v>20970</v>
      </c>
      <c r="F4828" t="s">
        <v>5546</v>
      </c>
      <c r="G4828">
        <v>2012</v>
      </c>
      <c r="H4828">
        <v>1</v>
      </c>
      <c r="I4828" t="s">
        <v>4736</v>
      </c>
      <c r="J4828" t="s">
        <v>5191</v>
      </c>
      <c r="K4828" t="s">
        <v>4455</v>
      </c>
      <c r="L4828">
        <v>0</v>
      </c>
      <c r="M4828" s="452">
        <v>45677</v>
      </c>
      <c r="N4828">
        <v>2.59</v>
      </c>
      <c r="O4828">
        <v>2.59</v>
      </c>
      <c r="P4828">
        <v>2.59</v>
      </c>
    </row>
    <row r="4829" spans="1:16" x14ac:dyDescent="0.3">
      <c r="A4829">
        <v>27288</v>
      </c>
      <c r="B4829">
        <v>105</v>
      </c>
      <c r="C4829" t="s">
        <v>557</v>
      </c>
      <c r="D4829" s="452">
        <v>45748</v>
      </c>
      <c r="E4829">
        <v>19465</v>
      </c>
      <c r="F4829" t="s">
        <v>5114</v>
      </c>
      <c r="G4829">
        <v>2737</v>
      </c>
      <c r="H4829">
        <v>0.23</v>
      </c>
      <c r="I4829" t="s">
        <v>4744</v>
      </c>
      <c r="J4829" t="s">
        <v>5191</v>
      </c>
      <c r="K4829" t="s">
        <v>4455</v>
      </c>
      <c r="L4829">
        <v>11.07</v>
      </c>
      <c r="M4829" s="452">
        <v>45747</v>
      </c>
      <c r="N4829">
        <v>12.5</v>
      </c>
      <c r="O4829">
        <v>12.5</v>
      </c>
      <c r="P4829">
        <v>2.5499999999999998</v>
      </c>
    </row>
    <row r="4830" spans="1:16" x14ac:dyDescent="0.3">
      <c r="A4830">
        <v>27148</v>
      </c>
      <c r="B4830">
        <v>105</v>
      </c>
      <c r="C4830" t="s">
        <v>557</v>
      </c>
      <c r="D4830" s="452">
        <v>45748</v>
      </c>
      <c r="E4830">
        <v>20760</v>
      </c>
      <c r="F4830" t="s">
        <v>5505</v>
      </c>
      <c r="G4830">
        <v>2083</v>
      </c>
      <c r="H4830">
        <v>0.28999999999999998</v>
      </c>
      <c r="I4830" t="s">
        <v>4738</v>
      </c>
      <c r="J4830" t="s">
        <v>5191</v>
      </c>
      <c r="K4830" t="s">
        <v>4455</v>
      </c>
      <c r="L4830">
        <v>0</v>
      </c>
      <c r="M4830" s="452">
        <v>-693593</v>
      </c>
      <c r="N4830">
        <v>0</v>
      </c>
      <c r="O4830">
        <v>8.6999999999999993</v>
      </c>
      <c r="P4830">
        <v>2.52</v>
      </c>
    </row>
    <row r="4831" spans="1:16" x14ac:dyDescent="0.3">
      <c r="A4831">
        <v>27249</v>
      </c>
      <c r="B4831">
        <v>105</v>
      </c>
      <c r="C4831" t="s">
        <v>557</v>
      </c>
      <c r="D4831" s="452">
        <v>45748</v>
      </c>
      <c r="E4831">
        <v>19488</v>
      </c>
      <c r="F4831" t="s">
        <v>5107</v>
      </c>
      <c r="G4831">
        <v>2720</v>
      </c>
      <c r="H4831">
        <v>0.15</v>
      </c>
      <c r="I4831" t="s">
        <v>4744</v>
      </c>
      <c r="J4831" t="s">
        <v>5191</v>
      </c>
      <c r="K4831" t="s">
        <v>4455</v>
      </c>
      <c r="L4831">
        <v>15.01</v>
      </c>
      <c r="M4831" s="452">
        <v>45747</v>
      </c>
      <c r="N4831">
        <v>14.85</v>
      </c>
      <c r="O4831">
        <v>14.85</v>
      </c>
      <c r="P4831">
        <v>2.25</v>
      </c>
    </row>
    <row r="4832" spans="1:16" x14ac:dyDescent="0.3">
      <c r="A4832">
        <v>27250</v>
      </c>
      <c r="B4832">
        <v>105</v>
      </c>
      <c r="C4832" t="s">
        <v>557</v>
      </c>
      <c r="D4832" s="452">
        <v>45748</v>
      </c>
      <c r="E4832">
        <v>19621</v>
      </c>
      <c r="F4832" t="s">
        <v>4829</v>
      </c>
      <c r="G4832">
        <v>2613</v>
      </c>
      <c r="H4832">
        <v>0.38</v>
      </c>
      <c r="I4832" t="s">
        <v>4744</v>
      </c>
      <c r="J4832" t="s">
        <v>5191</v>
      </c>
      <c r="K4832" t="s">
        <v>4455</v>
      </c>
      <c r="L4832">
        <v>4.24</v>
      </c>
      <c r="M4832" s="452">
        <v>45747</v>
      </c>
      <c r="N4832">
        <v>3.5</v>
      </c>
      <c r="O4832">
        <v>3.5</v>
      </c>
      <c r="P4832">
        <v>1.61</v>
      </c>
    </row>
    <row r="4833" spans="1:16" x14ac:dyDescent="0.3">
      <c r="A4833">
        <v>27287</v>
      </c>
      <c r="B4833">
        <v>105</v>
      </c>
      <c r="C4833" t="s">
        <v>557</v>
      </c>
      <c r="D4833" s="452">
        <v>45748</v>
      </c>
      <c r="E4833">
        <v>19468</v>
      </c>
      <c r="F4833" t="s">
        <v>5074</v>
      </c>
      <c r="G4833">
        <v>2736</v>
      </c>
      <c r="H4833">
        <v>0.06</v>
      </c>
      <c r="I4833" t="s">
        <v>4744</v>
      </c>
      <c r="J4833" t="s">
        <v>5191</v>
      </c>
      <c r="K4833" t="s">
        <v>4455</v>
      </c>
      <c r="L4833">
        <v>20.010000000000002</v>
      </c>
      <c r="M4833" s="452">
        <v>45737</v>
      </c>
      <c r="N4833">
        <v>20.25</v>
      </c>
      <c r="O4833">
        <v>17.5</v>
      </c>
      <c r="P4833">
        <v>1.2</v>
      </c>
    </row>
    <row r="4834" spans="1:16" x14ac:dyDescent="0.3">
      <c r="A4834">
        <v>27477</v>
      </c>
      <c r="B4834">
        <v>105</v>
      </c>
      <c r="C4834" t="s">
        <v>557</v>
      </c>
      <c r="D4834" s="452">
        <v>45748</v>
      </c>
      <c r="E4834">
        <v>24674</v>
      </c>
      <c r="F4834" t="s">
        <v>5060</v>
      </c>
      <c r="G4834">
        <v>5709</v>
      </c>
      <c r="H4834">
        <v>0.7</v>
      </c>
      <c r="I4834" t="s">
        <v>4744</v>
      </c>
      <c r="J4834" t="s">
        <v>5191</v>
      </c>
      <c r="K4834" t="s">
        <v>4455</v>
      </c>
      <c r="L4834">
        <v>0</v>
      </c>
      <c r="M4834" s="452">
        <v>-693593</v>
      </c>
      <c r="N4834">
        <v>0</v>
      </c>
      <c r="O4834">
        <v>0.8</v>
      </c>
      <c r="P4834">
        <v>0.56000000000000005</v>
      </c>
    </row>
    <row r="4835" spans="1:16" x14ac:dyDescent="0.3">
      <c r="A4835">
        <v>27471</v>
      </c>
      <c r="B4835">
        <v>105</v>
      </c>
      <c r="C4835" t="s">
        <v>557</v>
      </c>
      <c r="D4835" s="452">
        <v>45748</v>
      </c>
      <c r="E4835">
        <v>25745</v>
      </c>
      <c r="F4835" t="s">
        <v>5534</v>
      </c>
      <c r="G4835">
        <v>6297</v>
      </c>
      <c r="H4835">
        <v>2.15</v>
      </c>
      <c r="I4835" t="s">
        <v>4744</v>
      </c>
      <c r="J4835" t="s">
        <v>5191</v>
      </c>
      <c r="K4835" t="s">
        <v>4455</v>
      </c>
      <c r="L4835">
        <v>0</v>
      </c>
      <c r="M4835" s="452">
        <v>-693593</v>
      </c>
      <c r="N4835">
        <v>0</v>
      </c>
      <c r="O4835">
        <v>0</v>
      </c>
      <c r="P4835">
        <v>0</v>
      </c>
    </row>
    <row r="4836" spans="1:16" x14ac:dyDescent="0.3">
      <c r="A4836">
        <v>27476</v>
      </c>
      <c r="B4836">
        <v>105</v>
      </c>
      <c r="C4836" t="s">
        <v>557</v>
      </c>
      <c r="D4836" s="452">
        <v>45748</v>
      </c>
      <c r="E4836">
        <v>19130</v>
      </c>
      <c r="F4836" t="s">
        <v>4990</v>
      </c>
      <c r="G4836">
        <v>2839</v>
      </c>
      <c r="H4836">
        <v>1.3</v>
      </c>
      <c r="I4836" t="s">
        <v>4744</v>
      </c>
      <c r="J4836" t="s">
        <v>5191</v>
      </c>
      <c r="K4836" t="s">
        <v>4455</v>
      </c>
      <c r="L4836">
        <v>0</v>
      </c>
      <c r="M4836" s="452">
        <v>-693593</v>
      </c>
      <c r="N4836">
        <v>0</v>
      </c>
      <c r="O4836">
        <v>0</v>
      </c>
      <c r="P4836">
        <v>0</v>
      </c>
    </row>
    <row r="4837" spans="1:16" x14ac:dyDescent="0.3">
      <c r="A4837">
        <v>27478</v>
      </c>
      <c r="B4837">
        <v>105</v>
      </c>
      <c r="C4837" t="s">
        <v>557</v>
      </c>
      <c r="D4837" s="452">
        <v>45748</v>
      </c>
      <c r="E4837">
        <v>20994</v>
      </c>
      <c r="F4837" t="s">
        <v>5570</v>
      </c>
      <c r="G4837">
        <v>2010</v>
      </c>
      <c r="H4837">
        <v>0.66</v>
      </c>
      <c r="I4837" t="s">
        <v>4736</v>
      </c>
      <c r="J4837" t="s">
        <v>5191</v>
      </c>
      <c r="K4837" t="s">
        <v>4455</v>
      </c>
      <c r="L4837">
        <v>0</v>
      </c>
      <c r="M4837" s="452">
        <v>-693593</v>
      </c>
      <c r="N4837">
        <v>0</v>
      </c>
      <c r="O4837">
        <v>0</v>
      </c>
      <c r="P4837">
        <v>0</v>
      </c>
    </row>
    <row r="4838" spans="1:16" x14ac:dyDescent="0.3">
      <c r="A4838">
        <v>27480</v>
      </c>
      <c r="B4838">
        <v>105</v>
      </c>
      <c r="C4838" t="s">
        <v>557</v>
      </c>
      <c r="D4838" s="452">
        <v>45748</v>
      </c>
      <c r="E4838">
        <v>16973</v>
      </c>
      <c r="F4838" t="s">
        <v>4827</v>
      </c>
      <c r="G4838">
        <v>3710</v>
      </c>
      <c r="H4838">
        <v>3</v>
      </c>
      <c r="I4838" t="s">
        <v>4749</v>
      </c>
      <c r="J4838" t="s">
        <v>5222</v>
      </c>
      <c r="K4838" t="s">
        <v>4455</v>
      </c>
      <c r="L4838">
        <v>0</v>
      </c>
      <c r="M4838" s="452">
        <v>45740</v>
      </c>
      <c r="N4838">
        <v>0</v>
      </c>
      <c r="O4838">
        <v>0</v>
      </c>
      <c r="P4838">
        <v>0</v>
      </c>
    </row>
    <row r="4839" spans="1:16" x14ac:dyDescent="0.3">
      <c r="A4839">
        <v>27485</v>
      </c>
      <c r="B4839">
        <v>105</v>
      </c>
      <c r="C4839" t="s">
        <v>557</v>
      </c>
      <c r="D4839" s="452">
        <v>45748</v>
      </c>
      <c r="E4839">
        <v>18289</v>
      </c>
      <c r="F4839" t="s">
        <v>5036</v>
      </c>
      <c r="G4839">
        <v>3339</v>
      </c>
      <c r="H4839">
        <v>1</v>
      </c>
      <c r="I4839" t="s">
        <v>4736</v>
      </c>
      <c r="J4839" t="s">
        <v>5222</v>
      </c>
      <c r="K4839" t="s">
        <v>4455</v>
      </c>
      <c r="L4839">
        <v>0</v>
      </c>
      <c r="M4839" s="452">
        <v>-693593</v>
      </c>
      <c r="N4839">
        <v>0</v>
      </c>
      <c r="O4839">
        <v>0</v>
      </c>
      <c r="P4839">
        <v>0</v>
      </c>
    </row>
    <row r="4840" spans="1:16" x14ac:dyDescent="0.3">
      <c r="A4840">
        <v>22660</v>
      </c>
      <c r="B4840">
        <v>105</v>
      </c>
      <c r="C4840" t="s">
        <v>557</v>
      </c>
      <c r="D4840" s="452">
        <v>45717</v>
      </c>
      <c r="E4840">
        <v>22839</v>
      </c>
      <c r="F4840" t="s">
        <v>4875</v>
      </c>
      <c r="G4840">
        <v>2938</v>
      </c>
      <c r="H4840">
        <v>38</v>
      </c>
      <c r="I4840" t="s">
        <v>4744</v>
      </c>
      <c r="J4840" t="s">
        <v>5191</v>
      </c>
      <c r="K4840" t="s">
        <v>4476</v>
      </c>
      <c r="L4840">
        <v>0</v>
      </c>
      <c r="M4840" s="452">
        <v>45685</v>
      </c>
      <c r="N4840">
        <v>79.900000000000006</v>
      </c>
      <c r="O4840">
        <v>77.900000000000006</v>
      </c>
      <c r="P4840">
        <v>3036.21</v>
      </c>
    </row>
    <row r="4841" spans="1:16" x14ac:dyDescent="0.3">
      <c r="A4841">
        <v>22693</v>
      </c>
      <c r="B4841">
        <v>105</v>
      </c>
      <c r="C4841" t="s">
        <v>557</v>
      </c>
      <c r="D4841" s="452">
        <v>45717</v>
      </c>
      <c r="E4841">
        <v>18636</v>
      </c>
      <c r="F4841" t="s">
        <v>4964</v>
      </c>
      <c r="G4841">
        <v>3075</v>
      </c>
      <c r="H4841">
        <v>7</v>
      </c>
      <c r="I4841" t="s">
        <v>4965</v>
      </c>
      <c r="J4841" t="s">
        <v>5222</v>
      </c>
      <c r="K4841" t="s">
        <v>4476</v>
      </c>
      <c r="L4841">
        <v>429</v>
      </c>
      <c r="M4841" s="452">
        <v>45716</v>
      </c>
      <c r="N4841">
        <v>429</v>
      </c>
      <c r="O4841">
        <v>429</v>
      </c>
      <c r="P4841">
        <v>3003</v>
      </c>
    </row>
    <row r="4842" spans="1:16" x14ac:dyDescent="0.3">
      <c r="A4842">
        <v>22633</v>
      </c>
      <c r="B4842">
        <v>105</v>
      </c>
      <c r="C4842" t="s">
        <v>557</v>
      </c>
      <c r="D4842" s="452">
        <v>45717</v>
      </c>
      <c r="E4842">
        <v>26132</v>
      </c>
      <c r="F4842" t="s">
        <v>5522</v>
      </c>
      <c r="G4842">
        <v>6584</v>
      </c>
      <c r="H4842">
        <v>24.15</v>
      </c>
      <c r="I4842" t="s">
        <v>4744</v>
      </c>
      <c r="J4842" t="s">
        <v>5191</v>
      </c>
      <c r="K4842" t="s">
        <v>4476</v>
      </c>
      <c r="L4842">
        <v>0</v>
      </c>
      <c r="M4842" s="452">
        <v>-693593</v>
      </c>
      <c r="N4842">
        <v>0</v>
      </c>
      <c r="O4842">
        <v>0</v>
      </c>
      <c r="P4842">
        <v>2390.85</v>
      </c>
    </row>
    <row r="4843" spans="1:16" x14ac:dyDescent="0.3">
      <c r="A4843">
        <v>22674</v>
      </c>
      <c r="B4843">
        <v>105</v>
      </c>
      <c r="C4843" t="s">
        <v>557</v>
      </c>
      <c r="D4843" s="452">
        <v>45717</v>
      </c>
      <c r="E4843">
        <v>26130</v>
      </c>
      <c r="F4843" t="s">
        <v>5513</v>
      </c>
      <c r="G4843">
        <v>6583</v>
      </c>
      <c r="H4843">
        <v>14.38</v>
      </c>
      <c r="I4843" t="s">
        <v>4744</v>
      </c>
      <c r="J4843" t="s">
        <v>5191</v>
      </c>
      <c r="K4843" t="s">
        <v>4476</v>
      </c>
      <c r="L4843">
        <v>0</v>
      </c>
      <c r="M4843" s="452">
        <v>-693593</v>
      </c>
      <c r="N4843">
        <v>0</v>
      </c>
      <c r="O4843">
        <v>0</v>
      </c>
      <c r="P4843">
        <v>2329.56</v>
      </c>
    </row>
    <row r="4844" spans="1:16" x14ac:dyDescent="0.3">
      <c r="A4844">
        <v>22700</v>
      </c>
      <c r="B4844">
        <v>105</v>
      </c>
      <c r="C4844" t="s">
        <v>557</v>
      </c>
      <c r="D4844" s="452">
        <v>45717</v>
      </c>
      <c r="E4844">
        <v>18589</v>
      </c>
      <c r="F4844" t="s">
        <v>5089</v>
      </c>
      <c r="G4844">
        <v>3103</v>
      </c>
      <c r="H4844">
        <v>21</v>
      </c>
      <c r="I4844" t="s">
        <v>4738</v>
      </c>
      <c r="J4844" t="s">
        <v>5222</v>
      </c>
      <c r="K4844" t="s">
        <v>4476</v>
      </c>
      <c r="L4844">
        <v>105.84</v>
      </c>
      <c r="M4844" s="452">
        <v>45699</v>
      </c>
      <c r="N4844">
        <v>105.84</v>
      </c>
      <c r="O4844">
        <v>105.84</v>
      </c>
      <c r="P4844">
        <v>2222.64</v>
      </c>
    </row>
    <row r="4845" spans="1:16" x14ac:dyDescent="0.3">
      <c r="A4845">
        <v>22387</v>
      </c>
      <c r="B4845">
        <v>105</v>
      </c>
      <c r="C4845" t="s">
        <v>557</v>
      </c>
      <c r="D4845" s="452">
        <v>45717</v>
      </c>
      <c r="E4845">
        <v>17062</v>
      </c>
      <c r="F4845" t="s">
        <v>4880</v>
      </c>
      <c r="G4845">
        <v>1954</v>
      </c>
      <c r="H4845">
        <v>17.45</v>
      </c>
      <c r="I4845" t="s">
        <v>4879</v>
      </c>
      <c r="J4845" t="s">
        <v>5191</v>
      </c>
      <c r="K4845" t="s">
        <v>4476</v>
      </c>
      <c r="L4845">
        <v>126</v>
      </c>
      <c r="M4845" s="452">
        <v>45698</v>
      </c>
      <c r="N4845">
        <v>126</v>
      </c>
      <c r="O4845">
        <v>126</v>
      </c>
      <c r="P4845">
        <v>2198.6999999999998</v>
      </c>
    </row>
    <row r="4846" spans="1:16" x14ac:dyDescent="0.3">
      <c r="A4846">
        <v>22656</v>
      </c>
      <c r="B4846">
        <v>105</v>
      </c>
      <c r="C4846" t="s">
        <v>557</v>
      </c>
      <c r="D4846" s="452">
        <v>45717</v>
      </c>
      <c r="E4846">
        <v>24217</v>
      </c>
      <c r="F4846" t="s">
        <v>4778</v>
      </c>
      <c r="G4846">
        <v>2937</v>
      </c>
      <c r="H4846">
        <v>40</v>
      </c>
      <c r="I4846" t="s">
        <v>4744</v>
      </c>
      <c r="J4846" t="s">
        <v>5191</v>
      </c>
      <c r="K4846" t="s">
        <v>4476</v>
      </c>
      <c r="L4846">
        <v>51.11</v>
      </c>
      <c r="M4846" s="452">
        <v>45713</v>
      </c>
      <c r="N4846">
        <v>51.11</v>
      </c>
      <c r="O4846">
        <v>51.11</v>
      </c>
      <c r="P4846">
        <v>2044.4</v>
      </c>
    </row>
    <row r="4847" spans="1:16" x14ac:dyDescent="0.3">
      <c r="A4847">
        <v>22673</v>
      </c>
      <c r="B4847">
        <v>105</v>
      </c>
      <c r="C4847" t="s">
        <v>557</v>
      </c>
      <c r="D4847" s="452">
        <v>45717</v>
      </c>
      <c r="E4847">
        <v>18822</v>
      </c>
      <c r="F4847" t="s">
        <v>4811</v>
      </c>
      <c r="G4847">
        <v>2953</v>
      </c>
      <c r="H4847">
        <v>12</v>
      </c>
      <c r="I4847" t="s">
        <v>4744</v>
      </c>
      <c r="J4847" t="s">
        <v>5191</v>
      </c>
      <c r="K4847" t="s">
        <v>4476</v>
      </c>
      <c r="L4847">
        <v>162</v>
      </c>
      <c r="M4847" s="452">
        <v>45694</v>
      </c>
      <c r="N4847">
        <v>162</v>
      </c>
      <c r="O4847">
        <v>79.89</v>
      </c>
      <c r="P4847">
        <v>1944</v>
      </c>
    </row>
    <row r="4848" spans="1:16" x14ac:dyDescent="0.3">
      <c r="A4848">
        <v>22662</v>
      </c>
      <c r="B4848">
        <v>105</v>
      </c>
      <c r="C4848" t="s">
        <v>557</v>
      </c>
      <c r="D4848" s="452">
        <v>45717</v>
      </c>
      <c r="E4848">
        <v>22837</v>
      </c>
      <c r="F4848" t="s">
        <v>5435</v>
      </c>
      <c r="G4848">
        <v>2939</v>
      </c>
      <c r="H4848">
        <v>21.88</v>
      </c>
      <c r="I4848" t="s">
        <v>4744</v>
      </c>
      <c r="J4848" t="s">
        <v>5191</v>
      </c>
      <c r="K4848" t="s">
        <v>4476</v>
      </c>
      <c r="L4848">
        <v>0</v>
      </c>
      <c r="M4848" s="452">
        <v>45685</v>
      </c>
      <c r="N4848">
        <v>81</v>
      </c>
      <c r="O4848">
        <v>81</v>
      </c>
      <c r="P4848">
        <v>1772.28</v>
      </c>
    </row>
    <row r="4849" spans="1:16" x14ac:dyDescent="0.3">
      <c r="A4849">
        <v>22651</v>
      </c>
      <c r="B4849">
        <v>105</v>
      </c>
      <c r="C4849" t="s">
        <v>557</v>
      </c>
      <c r="D4849" s="452">
        <v>45717</v>
      </c>
      <c r="E4849">
        <v>24196</v>
      </c>
      <c r="F4849" t="s">
        <v>5547</v>
      </c>
      <c r="G4849">
        <v>2933</v>
      </c>
      <c r="H4849">
        <v>66.2</v>
      </c>
      <c r="I4849" t="s">
        <v>4744</v>
      </c>
      <c r="J4849" t="s">
        <v>5191</v>
      </c>
      <c r="K4849" t="s">
        <v>4476</v>
      </c>
      <c r="L4849">
        <v>0</v>
      </c>
      <c r="M4849" s="452">
        <v>45545</v>
      </c>
      <c r="N4849">
        <v>25.9</v>
      </c>
      <c r="O4849">
        <v>21.9</v>
      </c>
      <c r="P4849">
        <v>1714.35</v>
      </c>
    </row>
    <row r="4850" spans="1:16" x14ac:dyDescent="0.3">
      <c r="A4850">
        <v>22683</v>
      </c>
      <c r="B4850">
        <v>105</v>
      </c>
      <c r="C4850" t="s">
        <v>557</v>
      </c>
      <c r="D4850" s="452">
        <v>45717</v>
      </c>
      <c r="E4850">
        <v>22654</v>
      </c>
      <c r="F4850" t="s">
        <v>4735</v>
      </c>
      <c r="G4850">
        <v>3083</v>
      </c>
      <c r="H4850">
        <v>301</v>
      </c>
      <c r="I4850" t="s">
        <v>4736</v>
      </c>
      <c r="J4850" t="s">
        <v>5222</v>
      </c>
      <c r="K4850" t="s">
        <v>4476</v>
      </c>
      <c r="L4850">
        <v>0</v>
      </c>
      <c r="M4850" s="452">
        <v>45679</v>
      </c>
      <c r="N4850">
        <v>5.61</v>
      </c>
      <c r="O4850">
        <v>4.49</v>
      </c>
      <c r="P4850">
        <v>1688.61</v>
      </c>
    </row>
    <row r="4851" spans="1:16" x14ac:dyDescent="0.3">
      <c r="A4851">
        <v>22458</v>
      </c>
      <c r="B4851">
        <v>105</v>
      </c>
      <c r="C4851" t="s">
        <v>557</v>
      </c>
      <c r="D4851" s="452">
        <v>45717</v>
      </c>
      <c r="E4851">
        <v>21021</v>
      </c>
      <c r="F4851" t="s">
        <v>4883</v>
      </c>
      <c r="G4851">
        <v>2003</v>
      </c>
      <c r="H4851">
        <v>9</v>
      </c>
      <c r="I4851" t="s">
        <v>4884</v>
      </c>
      <c r="J4851" t="s">
        <v>5191</v>
      </c>
      <c r="K4851" t="s">
        <v>4476</v>
      </c>
      <c r="L4851">
        <v>167.87</v>
      </c>
      <c r="M4851" s="452">
        <v>45713</v>
      </c>
      <c r="N4851">
        <v>168.34</v>
      </c>
      <c r="O4851">
        <v>169.44</v>
      </c>
      <c r="P4851">
        <v>1510.83</v>
      </c>
    </row>
    <row r="4852" spans="1:16" x14ac:dyDescent="0.3">
      <c r="A4852">
        <v>22404</v>
      </c>
      <c r="B4852">
        <v>105</v>
      </c>
      <c r="C4852" t="s">
        <v>557</v>
      </c>
      <c r="D4852" s="452">
        <v>45717</v>
      </c>
      <c r="E4852">
        <v>21054</v>
      </c>
      <c r="F4852" t="s">
        <v>5492</v>
      </c>
      <c r="G4852">
        <v>1999</v>
      </c>
      <c r="H4852">
        <v>8</v>
      </c>
      <c r="I4852" t="s">
        <v>4736</v>
      </c>
      <c r="J4852" t="s">
        <v>5191</v>
      </c>
      <c r="K4852" t="s">
        <v>4476</v>
      </c>
      <c r="L4852">
        <v>0</v>
      </c>
      <c r="M4852" s="452">
        <v>45678</v>
      </c>
      <c r="N4852">
        <v>184.9</v>
      </c>
      <c r="O4852">
        <v>184.9</v>
      </c>
      <c r="P4852">
        <v>1479.2</v>
      </c>
    </row>
    <row r="4853" spans="1:16" x14ac:dyDescent="0.3">
      <c r="A4853">
        <v>22676</v>
      </c>
      <c r="B4853">
        <v>105</v>
      </c>
      <c r="C4853" t="s">
        <v>557</v>
      </c>
      <c r="D4853" s="452">
        <v>45717</v>
      </c>
      <c r="E4853">
        <v>25789</v>
      </c>
      <c r="F4853" t="s">
        <v>4902</v>
      </c>
      <c r="G4853">
        <v>6328</v>
      </c>
      <c r="H4853">
        <v>14.8</v>
      </c>
      <c r="I4853" t="s">
        <v>4744</v>
      </c>
      <c r="J4853" t="s">
        <v>5191</v>
      </c>
      <c r="K4853" t="s">
        <v>4476</v>
      </c>
      <c r="L4853">
        <v>0</v>
      </c>
      <c r="M4853" s="452">
        <v>45671</v>
      </c>
      <c r="N4853">
        <v>99.8</v>
      </c>
      <c r="O4853">
        <v>99.8</v>
      </c>
      <c r="P4853">
        <v>1477.04</v>
      </c>
    </row>
    <row r="4854" spans="1:16" x14ac:dyDescent="0.3">
      <c r="A4854">
        <v>22657</v>
      </c>
      <c r="B4854">
        <v>105</v>
      </c>
      <c r="C4854" t="s">
        <v>557</v>
      </c>
      <c r="D4854" s="452">
        <v>45717</v>
      </c>
      <c r="E4854">
        <v>18945</v>
      </c>
      <c r="F4854" t="s">
        <v>4768</v>
      </c>
      <c r="G4854">
        <v>2929</v>
      </c>
      <c r="H4854">
        <v>25</v>
      </c>
      <c r="I4854" t="s">
        <v>4744</v>
      </c>
      <c r="J4854" t="s">
        <v>5191</v>
      </c>
      <c r="K4854" t="s">
        <v>4476</v>
      </c>
      <c r="L4854">
        <v>56.61</v>
      </c>
      <c r="M4854" s="452">
        <v>45713</v>
      </c>
      <c r="N4854">
        <v>56.61</v>
      </c>
      <c r="O4854">
        <v>56.61</v>
      </c>
      <c r="P4854">
        <v>1415.25</v>
      </c>
    </row>
    <row r="4855" spans="1:16" x14ac:dyDescent="0.3">
      <c r="A4855">
        <v>22672</v>
      </c>
      <c r="B4855">
        <v>105</v>
      </c>
      <c r="C4855" t="s">
        <v>557</v>
      </c>
      <c r="D4855" s="452">
        <v>45717</v>
      </c>
      <c r="E4855">
        <v>18735</v>
      </c>
      <c r="F4855" t="s">
        <v>4891</v>
      </c>
      <c r="G4855">
        <v>3018</v>
      </c>
      <c r="H4855">
        <v>17.34</v>
      </c>
      <c r="I4855" t="s">
        <v>4744</v>
      </c>
      <c r="J4855" t="s">
        <v>5191</v>
      </c>
      <c r="K4855" t="s">
        <v>4476</v>
      </c>
      <c r="L4855">
        <v>74</v>
      </c>
      <c r="M4855" s="452">
        <v>45700</v>
      </c>
      <c r="N4855">
        <v>74</v>
      </c>
      <c r="O4855">
        <v>67.900000000000006</v>
      </c>
      <c r="P4855">
        <v>1283.1600000000001</v>
      </c>
    </row>
    <row r="4856" spans="1:16" x14ac:dyDescent="0.3">
      <c r="A4856">
        <v>22618</v>
      </c>
      <c r="B4856">
        <v>105</v>
      </c>
      <c r="C4856" t="s">
        <v>557</v>
      </c>
      <c r="D4856" s="452">
        <v>45717</v>
      </c>
      <c r="E4856">
        <v>19401</v>
      </c>
      <c r="F4856" t="s">
        <v>4809</v>
      </c>
      <c r="G4856">
        <v>2761</v>
      </c>
      <c r="H4856">
        <v>10.93</v>
      </c>
      <c r="I4856" t="s">
        <v>4744</v>
      </c>
      <c r="J4856" t="s">
        <v>5191</v>
      </c>
      <c r="K4856" t="s">
        <v>4476</v>
      </c>
      <c r="L4856">
        <v>114.95</v>
      </c>
      <c r="M4856" s="452">
        <v>45716</v>
      </c>
      <c r="N4856">
        <v>45.98</v>
      </c>
      <c r="O4856">
        <v>45.98</v>
      </c>
      <c r="P4856">
        <v>1256.4000000000001</v>
      </c>
    </row>
    <row r="4857" spans="1:16" x14ac:dyDescent="0.3">
      <c r="A4857">
        <v>22733</v>
      </c>
      <c r="B4857">
        <v>105</v>
      </c>
      <c r="C4857" t="s">
        <v>557</v>
      </c>
      <c r="D4857" s="452">
        <v>45717</v>
      </c>
      <c r="E4857">
        <v>18179</v>
      </c>
      <c r="F4857" t="s">
        <v>4924</v>
      </c>
      <c r="G4857">
        <v>3443</v>
      </c>
      <c r="H4857">
        <v>11.7</v>
      </c>
      <c r="I4857" t="s">
        <v>4805</v>
      </c>
      <c r="J4857" t="s">
        <v>5222</v>
      </c>
      <c r="K4857" t="s">
        <v>4476</v>
      </c>
      <c r="L4857">
        <v>0</v>
      </c>
      <c r="M4857" s="452">
        <v>45646</v>
      </c>
      <c r="N4857">
        <v>102.56</v>
      </c>
      <c r="O4857">
        <v>104.07</v>
      </c>
      <c r="P4857">
        <v>1199.95</v>
      </c>
    </row>
    <row r="4858" spans="1:16" x14ac:dyDescent="0.3">
      <c r="A4858">
        <v>22628</v>
      </c>
      <c r="B4858">
        <v>105</v>
      </c>
      <c r="C4858" t="s">
        <v>557</v>
      </c>
      <c r="D4858" s="452">
        <v>45717</v>
      </c>
      <c r="E4858">
        <v>19297</v>
      </c>
      <c r="F4858" t="s">
        <v>5571</v>
      </c>
      <c r="G4858">
        <v>2775</v>
      </c>
      <c r="H4858">
        <v>16.28</v>
      </c>
      <c r="I4858" t="s">
        <v>4744</v>
      </c>
      <c r="J4858" t="s">
        <v>5191</v>
      </c>
      <c r="K4858" t="s">
        <v>4476</v>
      </c>
      <c r="L4858">
        <v>72</v>
      </c>
      <c r="M4858" s="452">
        <v>45693</v>
      </c>
      <c r="N4858">
        <v>72</v>
      </c>
      <c r="O4858">
        <v>72.25</v>
      </c>
      <c r="P4858">
        <v>1172.1600000000001</v>
      </c>
    </row>
    <row r="4859" spans="1:16" x14ac:dyDescent="0.3">
      <c r="A4859">
        <v>22454</v>
      </c>
      <c r="B4859">
        <v>105</v>
      </c>
      <c r="C4859" t="s">
        <v>557</v>
      </c>
      <c r="D4859" s="452">
        <v>45717</v>
      </c>
      <c r="E4859">
        <v>24283</v>
      </c>
      <c r="F4859" t="s">
        <v>5572</v>
      </c>
      <c r="G4859">
        <v>2039</v>
      </c>
      <c r="H4859">
        <v>10</v>
      </c>
      <c r="I4859" t="s">
        <v>4744</v>
      </c>
      <c r="J4859" t="s">
        <v>5191</v>
      </c>
      <c r="K4859" t="s">
        <v>4476</v>
      </c>
      <c r="L4859">
        <v>0</v>
      </c>
      <c r="M4859" s="452">
        <v>-693593</v>
      </c>
      <c r="N4859">
        <v>0</v>
      </c>
      <c r="O4859">
        <v>0</v>
      </c>
      <c r="P4859">
        <v>1044.8</v>
      </c>
    </row>
    <row r="4860" spans="1:16" x14ac:dyDescent="0.3">
      <c r="A4860">
        <v>22734</v>
      </c>
      <c r="B4860">
        <v>105</v>
      </c>
      <c r="C4860" t="s">
        <v>557</v>
      </c>
      <c r="D4860" s="452">
        <v>45717</v>
      </c>
      <c r="E4860">
        <v>18172</v>
      </c>
      <c r="F4860" t="s">
        <v>4804</v>
      </c>
      <c r="G4860">
        <v>3450</v>
      </c>
      <c r="H4860">
        <v>32</v>
      </c>
      <c r="I4860" t="s">
        <v>4805</v>
      </c>
      <c r="J4860" t="s">
        <v>5222</v>
      </c>
      <c r="K4860" t="s">
        <v>4476</v>
      </c>
      <c r="L4860">
        <v>32.630000000000003</v>
      </c>
      <c r="M4860" s="452">
        <v>45706</v>
      </c>
      <c r="N4860">
        <v>32.630000000000003</v>
      </c>
      <c r="O4860">
        <v>30</v>
      </c>
      <c r="P4860">
        <v>1044.1600000000001</v>
      </c>
    </row>
    <row r="4861" spans="1:16" x14ac:dyDescent="0.3">
      <c r="A4861">
        <v>22470</v>
      </c>
      <c r="B4861">
        <v>105</v>
      </c>
      <c r="C4861" t="s">
        <v>557</v>
      </c>
      <c r="D4861" s="452">
        <v>45717</v>
      </c>
      <c r="E4861">
        <v>20501</v>
      </c>
      <c r="F4861" t="s">
        <v>4760</v>
      </c>
      <c r="G4861">
        <v>2154</v>
      </c>
      <c r="H4861">
        <v>40</v>
      </c>
      <c r="I4861" t="s">
        <v>4744</v>
      </c>
      <c r="J4861" t="s">
        <v>5191</v>
      </c>
      <c r="K4861" t="s">
        <v>4476</v>
      </c>
      <c r="L4861">
        <v>24.8</v>
      </c>
      <c r="M4861" s="452">
        <v>45707</v>
      </c>
      <c r="N4861">
        <v>24.8</v>
      </c>
      <c r="O4861">
        <v>19.989999999999998</v>
      </c>
      <c r="P4861">
        <v>992</v>
      </c>
    </row>
    <row r="4862" spans="1:16" x14ac:dyDescent="0.3">
      <c r="A4862">
        <v>22655</v>
      </c>
      <c r="B4862">
        <v>105</v>
      </c>
      <c r="C4862" t="s">
        <v>557</v>
      </c>
      <c r="D4862" s="452">
        <v>45717</v>
      </c>
      <c r="E4862">
        <v>22843</v>
      </c>
      <c r="F4862" t="s">
        <v>4849</v>
      </c>
      <c r="G4862">
        <v>2936</v>
      </c>
      <c r="H4862">
        <v>26.55</v>
      </c>
      <c r="I4862" t="s">
        <v>4744</v>
      </c>
      <c r="J4862" t="s">
        <v>5191</v>
      </c>
      <c r="K4862" t="s">
        <v>4476</v>
      </c>
      <c r="L4862">
        <v>36.96</v>
      </c>
      <c r="M4862" s="452">
        <v>45707</v>
      </c>
      <c r="N4862">
        <v>36.96</v>
      </c>
      <c r="O4862">
        <v>36.950000000000003</v>
      </c>
      <c r="P4862">
        <v>981.29</v>
      </c>
    </row>
    <row r="4863" spans="1:16" x14ac:dyDescent="0.3">
      <c r="A4863">
        <v>22621</v>
      </c>
      <c r="B4863">
        <v>105</v>
      </c>
      <c r="C4863" t="s">
        <v>557</v>
      </c>
      <c r="D4863" s="452">
        <v>45717</v>
      </c>
      <c r="E4863">
        <v>19356</v>
      </c>
      <c r="F4863" t="s">
        <v>4799</v>
      </c>
      <c r="G4863">
        <v>2768</v>
      </c>
      <c r="H4863">
        <v>17.05</v>
      </c>
      <c r="I4863" t="s">
        <v>4744</v>
      </c>
      <c r="J4863" t="s">
        <v>5191</v>
      </c>
      <c r="K4863" t="s">
        <v>4476</v>
      </c>
      <c r="L4863">
        <v>54.5</v>
      </c>
      <c r="M4863" s="452">
        <v>45698</v>
      </c>
      <c r="N4863">
        <v>54.5</v>
      </c>
      <c r="O4863">
        <v>55.5</v>
      </c>
      <c r="P4863">
        <v>929.22</v>
      </c>
    </row>
    <row r="4864" spans="1:16" x14ac:dyDescent="0.3">
      <c r="A4864">
        <v>22640</v>
      </c>
      <c r="B4864">
        <v>105</v>
      </c>
      <c r="C4864" t="s">
        <v>557</v>
      </c>
      <c r="D4864" s="452">
        <v>45717</v>
      </c>
      <c r="E4864">
        <v>24091</v>
      </c>
      <c r="F4864" t="s">
        <v>5550</v>
      </c>
      <c r="G4864">
        <v>2919</v>
      </c>
      <c r="H4864">
        <v>14.85</v>
      </c>
      <c r="I4864" t="s">
        <v>4744</v>
      </c>
      <c r="J4864" t="s">
        <v>5191</v>
      </c>
      <c r="K4864" t="s">
        <v>4476</v>
      </c>
      <c r="L4864">
        <v>0</v>
      </c>
      <c r="M4864" s="452">
        <v>45499</v>
      </c>
      <c r="N4864">
        <v>0</v>
      </c>
      <c r="O4864">
        <v>0</v>
      </c>
      <c r="P4864">
        <v>920.55</v>
      </c>
    </row>
    <row r="4865" spans="1:16" x14ac:dyDescent="0.3">
      <c r="A4865">
        <v>22681</v>
      </c>
      <c r="B4865">
        <v>105</v>
      </c>
      <c r="C4865" t="s">
        <v>557</v>
      </c>
      <c r="D4865" s="452">
        <v>45717</v>
      </c>
      <c r="E4865">
        <v>24129</v>
      </c>
      <c r="F4865" t="s">
        <v>4740</v>
      </c>
      <c r="G4865">
        <v>3076</v>
      </c>
      <c r="H4865">
        <v>119</v>
      </c>
      <c r="I4865" t="s">
        <v>4736</v>
      </c>
      <c r="J4865" t="s">
        <v>5222</v>
      </c>
      <c r="K4865" t="s">
        <v>4476</v>
      </c>
      <c r="L4865">
        <v>0</v>
      </c>
      <c r="M4865" s="452">
        <v>45512</v>
      </c>
      <c r="N4865">
        <v>7.7</v>
      </c>
      <c r="O4865">
        <v>7.95</v>
      </c>
      <c r="P4865">
        <v>916.3</v>
      </c>
    </row>
    <row r="4866" spans="1:16" x14ac:dyDescent="0.3">
      <c r="A4866">
        <v>22689</v>
      </c>
      <c r="B4866">
        <v>105</v>
      </c>
      <c r="C4866" t="s">
        <v>557</v>
      </c>
      <c r="D4866" s="452">
        <v>45717</v>
      </c>
      <c r="E4866">
        <v>22652</v>
      </c>
      <c r="F4866" t="s">
        <v>4759</v>
      </c>
      <c r="G4866">
        <v>3085</v>
      </c>
      <c r="H4866">
        <v>153</v>
      </c>
      <c r="I4866" t="s">
        <v>4736</v>
      </c>
      <c r="J4866" t="s">
        <v>5222</v>
      </c>
      <c r="K4866" t="s">
        <v>4476</v>
      </c>
      <c r="L4866">
        <v>0</v>
      </c>
      <c r="M4866" s="452">
        <v>45679</v>
      </c>
      <c r="N4866">
        <v>5.95</v>
      </c>
      <c r="O4866">
        <v>4.09</v>
      </c>
      <c r="P4866">
        <v>910.35</v>
      </c>
    </row>
    <row r="4867" spans="1:16" x14ac:dyDescent="0.3">
      <c r="A4867">
        <v>22667</v>
      </c>
      <c r="B4867">
        <v>105</v>
      </c>
      <c r="C4867" t="s">
        <v>557</v>
      </c>
      <c r="D4867" s="452">
        <v>45717</v>
      </c>
      <c r="E4867">
        <v>24320</v>
      </c>
      <c r="F4867" t="s">
        <v>4861</v>
      </c>
      <c r="G4867">
        <v>2942</v>
      </c>
      <c r="H4867">
        <v>17.149999999999999</v>
      </c>
      <c r="I4867" t="s">
        <v>4744</v>
      </c>
      <c r="J4867" t="s">
        <v>5191</v>
      </c>
      <c r="K4867" t="s">
        <v>4476</v>
      </c>
      <c r="L4867">
        <v>49.9</v>
      </c>
      <c r="M4867" s="452">
        <v>45699</v>
      </c>
      <c r="N4867">
        <v>49.9</v>
      </c>
      <c r="O4867">
        <v>35.880000000000003</v>
      </c>
      <c r="P4867">
        <v>855.78</v>
      </c>
    </row>
    <row r="4868" spans="1:16" x14ac:dyDescent="0.3">
      <c r="A4868">
        <v>22467</v>
      </c>
      <c r="B4868">
        <v>105</v>
      </c>
      <c r="C4868" t="s">
        <v>557</v>
      </c>
      <c r="D4868" s="452">
        <v>45717</v>
      </c>
      <c r="E4868">
        <v>20544</v>
      </c>
      <c r="F4868" t="s">
        <v>4808</v>
      </c>
      <c r="G4868">
        <v>2144</v>
      </c>
      <c r="H4868">
        <v>18.95</v>
      </c>
      <c r="I4868" t="s">
        <v>4744</v>
      </c>
      <c r="J4868" t="s">
        <v>5191</v>
      </c>
      <c r="K4868" t="s">
        <v>4476</v>
      </c>
      <c r="L4868">
        <v>38.32</v>
      </c>
      <c r="M4868" s="452">
        <v>45705</v>
      </c>
      <c r="N4868">
        <v>38.32</v>
      </c>
      <c r="O4868">
        <v>38.32</v>
      </c>
      <c r="P4868">
        <v>726.16</v>
      </c>
    </row>
    <row r="4869" spans="1:16" x14ac:dyDescent="0.3">
      <c r="A4869">
        <v>22692</v>
      </c>
      <c r="B4869">
        <v>105</v>
      </c>
      <c r="C4869" t="s">
        <v>557</v>
      </c>
      <c r="D4869" s="452">
        <v>45717</v>
      </c>
      <c r="E4869">
        <v>22623</v>
      </c>
      <c r="F4869" t="s">
        <v>4751</v>
      </c>
      <c r="G4869">
        <v>3106</v>
      </c>
      <c r="H4869">
        <v>105</v>
      </c>
      <c r="I4869" t="s">
        <v>4736</v>
      </c>
      <c r="J4869" t="s">
        <v>5222</v>
      </c>
      <c r="K4869" t="s">
        <v>4476</v>
      </c>
      <c r="L4869">
        <v>0</v>
      </c>
      <c r="M4869" s="452">
        <v>45679</v>
      </c>
      <c r="N4869">
        <v>6.83</v>
      </c>
      <c r="O4869">
        <v>6.83</v>
      </c>
      <c r="P4869">
        <v>717.15</v>
      </c>
    </row>
    <row r="4870" spans="1:16" x14ac:dyDescent="0.3">
      <c r="A4870">
        <v>22714</v>
      </c>
      <c r="B4870">
        <v>105</v>
      </c>
      <c r="C4870" t="s">
        <v>557</v>
      </c>
      <c r="D4870" s="452">
        <v>45717</v>
      </c>
      <c r="E4870">
        <v>18359</v>
      </c>
      <c r="F4870" t="s">
        <v>4921</v>
      </c>
      <c r="G4870">
        <v>3278</v>
      </c>
      <c r="H4870">
        <v>7</v>
      </c>
      <c r="I4870" t="s">
        <v>4805</v>
      </c>
      <c r="J4870" t="s">
        <v>5222</v>
      </c>
      <c r="K4870" t="s">
        <v>4476</v>
      </c>
      <c r="L4870">
        <v>99.9</v>
      </c>
      <c r="M4870" s="452">
        <v>45706</v>
      </c>
      <c r="N4870">
        <v>99.9</v>
      </c>
      <c r="O4870">
        <v>99.9</v>
      </c>
      <c r="P4870">
        <v>699.3</v>
      </c>
    </row>
    <row r="4871" spans="1:16" x14ac:dyDescent="0.3">
      <c r="A4871">
        <v>22732</v>
      </c>
      <c r="B4871">
        <v>105</v>
      </c>
      <c r="C4871" t="s">
        <v>557</v>
      </c>
      <c r="D4871" s="452">
        <v>45717</v>
      </c>
      <c r="E4871">
        <v>18194</v>
      </c>
      <c r="F4871" t="s">
        <v>4923</v>
      </c>
      <c r="G4871">
        <v>3430</v>
      </c>
      <c r="H4871">
        <v>7</v>
      </c>
      <c r="I4871" t="s">
        <v>4805</v>
      </c>
      <c r="J4871" t="s">
        <v>5222</v>
      </c>
      <c r="K4871" t="s">
        <v>4476</v>
      </c>
      <c r="L4871">
        <v>96.16</v>
      </c>
      <c r="M4871" s="452">
        <v>45716</v>
      </c>
      <c r="N4871">
        <v>96.16</v>
      </c>
      <c r="O4871">
        <v>96.16</v>
      </c>
      <c r="P4871">
        <v>673.12</v>
      </c>
    </row>
    <row r="4872" spans="1:16" x14ac:dyDescent="0.3">
      <c r="A4872">
        <v>22627</v>
      </c>
      <c r="B4872">
        <v>105</v>
      </c>
      <c r="C4872" t="s">
        <v>557</v>
      </c>
      <c r="D4872" s="452">
        <v>45717</v>
      </c>
      <c r="E4872">
        <v>19322</v>
      </c>
      <c r="F4872" t="s">
        <v>4830</v>
      </c>
      <c r="G4872">
        <v>2773</v>
      </c>
      <c r="H4872">
        <v>14.6</v>
      </c>
      <c r="I4872" t="s">
        <v>4744</v>
      </c>
      <c r="J4872" t="s">
        <v>5191</v>
      </c>
      <c r="K4872" t="s">
        <v>4476</v>
      </c>
      <c r="L4872">
        <v>45.1</v>
      </c>
      <c r="M4872" s="452">
        <v>45713</v>
      </c>
      <c r="N4872">
        <v>48.02</v>
      </c>
      <c r="O4872">
        <v>48.02</v>
      </c>
      <c r="P4872">
        <v>658.46</v>
      </c>
    </row>
    <row r="4873" spans="1:16" x14ac:dyDescent="0.3">
      <c r="A4873">
        <v>22686</v>
      </c>
      <c r="B4873">
        <v>105</v>
      </c>
      <c r="C4873" t="s">
        <v>557</v>
      </c>
      <c r="D4873" s="452">
        <v>45717</v>
      </c>
      <c r="E4873">
        <v>24980</v>
      </c>
      <c r="F4873" t="s">
        <v>5549</v>
      </c>
      <c r="G4873">
        <v>5848</v>
      </c>
      <c r="H4873">
        <v>73</v>
      </c>
      <c r="I4873" t="s">
        <v>4736</v>
      </c>
      <c r="J4873" t="s">
        <v>5222</v>
      </c>
      <c r="K4873" t="s">
        <v>4476</v>
      </c>
      <c r="L4873">
        <v>0</v>
      </c>
      <c r="M4873" s="452">
        <v>45679</v>
      </c>
      <c r="N4873">
        <v>8.7899999999999991</v>
      </c>
      <c r="O4873">
        <v>8.7899999999999991</v>
      </c>
      <c r="P4873">
        <v>641.66999999999996</v>
      </c>
    </row>
    <row r="4874" spans="1:16" x14ac:dyDescent="0.3">
      <c r="A4874">
        <v>22675</v>
      </c>
      <c r="B4874">
        <v>105</v>
      </c>
      <c r="C4874" t="s">
        <v>557</v>
      </c>
      <c r="D4874" s="452">
        <v>45717</v>
      </c>
      <c r="E4874">
        <v>18731</v>
      </c>
      <c r="F4874" t="s">
        <v>4832</v>
      </c>
      <c r="G4874">
        <v>3020</v>
      </c>
      <c r="H4874">
        <v>7.2</v>
      </c>
      <c r="I4874" t="s">
        <v>4744</v>
      </c>
      <c r="J4874" t="s">
        <v>5191</v>
      </c>
      <c r="K4874" t="s">
        <v>4476</v>
      </c>
      <c r="L4874">
        <v>85.9</v>
      </c>
      <c r="M4874" s="452">
        <v>45698</v>
      </c>
      <c r="N4874">
        <v>85.9</v>
      </c>
      <c r="O4874">
        <v>55</v>
      </c>
      <c r="P4874">
        <v>618.48</v>
      </c>
    </row>
    <row r="4875" spans="1:16" x14ac:dyDescent="0.3">
      <c r="A4875">
        <v>22804</v>
      </c>
      <c r="B4875">
        <v>105</v>
      </c>
      <c r="C4875" t="s">
        <v>557</v>
      </c>
      <c r="D4875" s="452">
        <v>45717</v>
      </c>
      <c r="E4875">
        <v>17607</v>
      </c>
      <c r="F4875" t="s">
        <v>5436</v>
      </c>
      <c r="G4875">
        <v>3919</v>
      </c>
      <c r="H4875">
        <v>5</v>
      </c>
      <c r="I4875" t="s">
        <v>4736</v>
      </c>
      <c r="J4875" t="s">
        <v>5222</v>
      </c>
      <c r="K4875" t="s">
        <v>4476</v>
      </c>
      <c r="L4875">
        <v>0</v>
      </c>
      <c r="M4875" s="452">
        <v>-693593</v>
      </c>
      <c r="N4875">
        <v>0</v>
      </c>
      <c r="O4875">
        <v>0</v>
      </c>
      <c r="P4875">
        <v>611.54999999999995</v>
      </c>
    </row>
    <row r="4876" spans="1:16" x14ac:dyDescent="0.3">
      <c r="A4876">
        <v>22704</v>
      </c>
      <c r="B4876">
        <v>105</v>
      </c>
      <c r="C4876" t="s">
        <v>557</v>
      </c>
      <c r="D4876" s="452">
        <v>45717</v>
      </c>
      <c r="E4876">
        <v>18518</v>
      </c>
      <c r="F4876" t="s">
        <v>4838</v>
      </c>
      <c r="G4876">
        <v>3148</v>
      </c>
      <c r="H4876">
        <v>12</v>
      </c>
      <c r="I4876" t="s">
        <v>4805</v>
      </c>
      <c r="J4876" t="s">
        <v>5222</v>
      </c>
      <c r="K4876" t="s">
        <v>4476</v>
      </c>
      <c r="L4876">
        <v>50</v>
      </c>
      <c r="M4876" s="452">
        <v>45695</v>
      </c>
      <c r="N4876">
        <v>50</v>
      </c>
      <c r="O4876">
        <v>50</v>
      </c>
      <c r="P4876">
        <v>600</v>
      </c>
    </row>
    <row r="4877" spans="1:16" x14ac:dyDescent="0.3">
      <c r="A4877">
        <v>22653</v>
      </c>
      <c r="B4877">
        <v>105</v>
      </c>
      <c r="C4877" t="s">
        <v>557</v>
      </c>
      <c r="D4877" s="452">
        <v>45717</v>
      </c>
      <c r="E4877">
        <v>24199</v>
      </c>
      <c r="F4877" t="s">
        <v>4783</v>
      </c>
      <c r="G4877">
        <v>5084</v>
      </c>
      <c r="H4877">
        <v>18.21</v>
      </c>
      <c r="I4877" t="s">
        <v>4744</v>
      </c>
      <c r="J4877" t="s">
        <v>5191</v>
      </c>
      <c r="K4877" t="s">
        <v>4476</v>
      </c>
      <c r="L4877">
        <v>32</v>
      </c>
      <c r="M4877" s="452">
        <v>45713</v>
      </c>
      <c r="N4877">
        <v>32</v>
      </c>
      <c r="O4877">
        <v>32</v>
      </c>
      <c r="P4877">
        <v>582.72</v>
      </c>
    </row>
    <row r="4878" spans="1:16" x14ac:dyDescent="0.3">
      <c r="A4878">
        <v>22631</v>
      </c>
      <c r="B4878">
        <v>105</v>
      </c>
      <c r="C4878" t="s">
        <v>557</v>
      </c>
      <c r="D4878" s="452">
        <v>45717</v>
      </c>
      <c r="E4878">
        <v>19161</v>
      </c>
      <c r="F4878" t="s">
        <v>5558</v>
      </c>
      <c r="G4878">
        <v>2830</v>
      </c>
      <c r="H4878">
        <v>259</v>
      </c>
      <c r="I4878" t="s">
        <v>4736</v>
      </c>
      <c r="J4878" t="s">
        <v>5191</v>
      </c>
      <c r="K4878" t="s">
        <v>4476</v>
      </c>
      <c r="L4878">
        <v>0</v>
      </c>
      <c r="M4878" s="452">
        <v>-693593</v>
      </c>
      <c r="N4878">
        <v>0</v>
      </c>
      <c r="O4878">
        <v>0</v>
      </c>
      <c r="P4878">
        <v>559.44000000000005</v>
      </c>
    </row>
    <row r="4879" spans="1:16" x14ac:dyDescent="0.3">
      <c r="A4879">
        <v>22654</v>
      </c>
      <c r="B4879">
        <v>105</v>
      </c>
      <c r="C4879" t="s">
        <v>557</v>
      </c>
      <c r="D4879" s="452">
        <v>45717</v>
      </c>
      <c r="E4879">
        <v>19041</v>
      </c>
      <c r="F4879" t="s">
        <v>4762</v>
      </c>
      <c r="G4879">
        <v>2890</v>
      </c>
      <c r="H4879">
        <v>30.14</v>
      </c>
      <c r="I4879" t="s">
        <v>4744</v>
      </c>
      <c r="J4879" t="s">
        <v>5191</v>
      </c>
      <c r="K4879" t="s">
        <v>4476</v>
      </c>
      <c r="L4879">
        <v>18.5</v>
      </c>
      <c r="M4879" s="452">
        <v>45713</v>
      </c>
      <c r="N4879">
        <v>18.5</v>
      </c>
      <c r="O4879">
        <v>14.4</v>
      </c>
      <c r="P4879">
        <v>557.59</v>
      </c>
    </row>
    <row r="4880" spans="1:16" x14ac:dyDescent="0.3">
      <c r="A4880">
        <v>22720</v>
      </c>
      <c r="B4880">
        <v>105</v>
      </c>
      <c r="C4880" t="s">
        <v>557</v>
      </c>
      <c r="D4880" s="452">
        <v>45717</v>
      </c>
      <c r="E4880">
        <v>18315</v>
      </c>
      <c r="F4880" t="s">
        <v>4922</v>
      </c>
      <c r="G4880">
        <v>3318</v>
      </c>
      <c r="H4880">
        <v>4</v>
      </c>
      <c r="I4880" t="s">
        <v>4805</v>
      </c>
      <c r="J4880" t="s">
        <v>5222</v>
      </c>
      <c r="K4880" t="s">
        <v>4476</v>
      </c>
      <c r="L4880">
        <v>130.84</v>
      </c>
      <c r="M4880" s="452">
        <v>45695</v>
      </c>
      <c r="N4880">
        <v>130.84</v>
      </c>
      <c r="O4880">
        <v>130.81</v>
      </c>
      <c r="P4880">
        <v>523.36</v>
      </c>
    </row>
    <row r="4881" spans="1:16" x14ac:dyDescent="0.3">
      <c r="A4881">
        <v>22386</v>
      </c>
      <c r="B4881">
        <v>105</v>
      </c>
      <c r="C4881" t="s">
        <v>557</v>
      </c>
      <c r="D4881" s="452">
        <v>45717</v>
      </c>
      <c r="E4881">
        <v>21150</v>
      </c>
      <c r="F4881" t="s">
        <v>4878</v>
      </c>
      <c r="G4881">
        <v>1951</v>
      </c>
      <c r="H4881">
        <v>4.8499999999999996</v>
      </c>
      <c r="I4881" t="s">
        <v>4879</v>
      </c>
      <c r="J4881" t="s">
        <v>5191</v>
      </c>
      <c r="K4881" t="s">
        <v>4476</v>
      </c>
      <c r="L4881">
        <v>0</v>
      </c>
      <c r="M4881" s="452">
        <v>45469</v>
      </c>
      <c r="N4881">
        <v>106.9</v>
      </c>
      <c r="O4881">
        <v>113.31</v>
      </c>
      <c r="P4881">
        <v>518.46</v>
      </c>
    </row>
    <row r="4882" spans="1:16" x14ac:dyDescent="0.3">
      <c r="A4882">
        <v>22768</v>
      </c>
      <c r="B4882">
        <v>105</v>
      </c>
      <c r="C4882" t="s">
        <v>557</v>
      </c>
      <c r="D4882" s="452">
        <v>45717</v>
      </c>
      <c r="E4882">
        <v>17903</v>
      </c>
      <c r="F4882" t="s">
        <v>5084</v>
      </c>
      <c r="G4882">
        <v>3658</v>
      </c>
      <c r="H4882">
        <v>19</v>
      </c>
      <c r="I4882" t="s">
        <v>4738</v>
      </c>
      <c r="J4882" t="s">
        <v>5222</v>
      </c>
      <c r="K4882" t="s">
        <v>4476</v>
      </c>
      <c r="L4882">
        <v>0</v>
      </c>
      <c r="M4882" s="452">
        <v>45685</v>
      </c>
      <c r="N4882">
        <v>26.28</v>
      </c>
      <c r="O4882">
        <v>22.86</v>
      </c>
      <c r="P4882">
        <v>499.32</v>
      </c>
    </row>
    <row r="4883" spans="1:16" x14ac:dyDescent="0.3">
      <c r="A4883">
        <v>22778</v>
      </c>
      <c r="B4883">
        <v>105</v>
      </c>
      <c r="C4883" t="s">
        <v>557</v>
      </c>
      <c r="D4883" s="452">
        <v>45717</v>
      </c>
      <c r="E4883">
        <v>17790</v>
      </c>
      <c r="F4883" t="s">
        <v>5530</v>
      </c>
      <c r="G4883">
        <v>3754</v>
      </c>
      <c r="H4883">
        <v>6</v>
      </c>
      <c r="I4883" t="s">
        <v>4805</v>
      </c>
      <c r="J4883" t="s">
        <v>5222</v>
      </c>
      <c r="K4883" t="s">
        <v>4476</v>
      </c>
      <c r="L4883">
        <v>81.34</v>
      </c>
      <c r="M4883" s="452">
        <v>45698</v>
      </c>
      <c r="N4883">
        <v>81.34</v>
      </c>
      <c r="O4883">
        <v>81.34</v>
      </c>
      <c r="P4883">
        <v>488.04</v>
      </c>
    </row>
    <row r="4884" spans="1:16" x14ac:dyDescent="0.3">
      <c r="A4884">
        <v>22801</v>
      </c>
      <c r="B4884">
        <v>105</v>
      </c>
      <c r="C4884" t="s">
        <v>557</v>
      </c>
      <c r="D4884" s="452">
        <v>45717</v>
      </c>
      <c r="E4884">
        <v>25676</v>
      </c>
      <c r="F4884" t="s">
        <v>4866</v>
      </c>
      <c r="G4884">
        <v>6237</v>
      </c>
      <c r="H4884">
        <v>6</v>
      </c>
      <c r="I4884" t="s">
        <v>4805</v>
      </c>
      <c r="J4884" t="s">
        <v>5222</v>
      </c>
      <c r="K4884" t="s">
        <v>4476</v>
      </c>
      <c r="L4884">
        <v>0</v>
      </c>
      <c r="M4884" s="452">
        <v>-693593</v>
      </c>
      <c r="N4884">
        <v>0</v>
      </c>
      <c r="O4884">
        <v>80.55</v>
      </c>
      <c r="P4884">
        <v>483.3</v>
      </c>
    </row>
    <row r="4885" spans="1:16" x14ac:dyDescent="0.3">
      <c r="A4885">
        <v>22800</v>
      </c>
      <c r="B4885">
        <v>105</v>
      </c>
      <c r="C4885" t="s">
        <v>557</v>
      </c>
      <c r="D4885" s="452">
        <v>45717</v>
      </c>
      <c r="E4885">
        <v>26236</v>
      </c>
      <c r="F4885" t="s">
        <v>5077</v>
      </c>
      <c r="G4885">
        <v>6638</v>
      </c>
      <c r="H4885">
        <v>3</v>
      </c>
      <c r="I4885" t="s">
        <v>4805</v>
      </c>
      <c r="J4885" t="s">
        <v>5222</v>
      </c>
      <c r="K4885" t="s">
        <v>4476</v>
      </c>
      <c r="L4885">
        <v>0</v>
      </c>
      <c r="M4885" s="452">
        <v>-693593</v>
      </c>
      <c r="N4885">
        <v>0</v>
      </c>
      <c r="O4885">
        <v>0</v>
      </c>
      <c r="P4885">
        <v>481.65</v>
      </c>
    </row>
    <row r="4886" spans="1:16" x14ac:dyDescent="0.3">
      <c r="A4886">
        <v>22785</v>
      </c>
      <c r="B4886">
        <v>105</v>
      </c>
      <c r="C4886" t="s">
        <v>557</v>
      </c>
      <c r="D4886" s="452">
        <v>45717</v>
      </c>
      <c r="E4886">
        <v>17578</v>
      </c>
      <c r="F4886" t="s">
        <v>4842</v>
      </c>
      <c r="G4886">
        <v>3948</v>
      </c>
      <c r="H4886">
        <v>6</v>
      </c>
      <c r="I4886" t="s">
        <v>4805</v>
      </c>
      <c r="J4886" t="s">
        <v>5222</v>
      </c>
      <c r="K4886" t="s">
        <v>4476</v>
      </c>
      <c r="L4886">
        <v>79.209999999999994</v>
      </c>
      <c r="M4886" s="452">
        <v>45698</v>
      </c>
      <c r="N4886">
        <v>79.209999999999994</v>
      </c>
      <c r="O4886">
        <v>82.38</v>
      </c>
      <c r="P4886">
        <v>475.26</v>
      </c>
    </row>
    <row r="4887" spans="1:16" x14ac:dyDescent="0.3">
      <c r="A4887">
        <v>22364</v>
      </c>
      <c r="B4887">
        <v>105</v>
      </c>
      <c r="C4887" t="s">
        <v>557</v>
      </c>
      <c r="D4887" s="452">
        <v>45717</v>
      </c>
      <c r="E4887">
        <v>26004</v>
      </c>
      <c r="F4887" t="s">
        <v>4907</v>
      </c>
      <c r="G4887">
        <v>6490</v>
      </c>
      <c r="H4887">
        <v>4</v>
      </c>
      <c r="I4887" t="s">
        <v>4749</v>
      </c>
      <c r="J4887" t="s">
        <v>5191</v>
      </c>
      <c r="K4887" t="s">
        <v>4476</v>
      </c>
      <c r="L4887">
        <v>0</v>
      </c>
      <c r="M4887" s="452">
        <v>45653</v>
      </c>
      <c r="N4887">
        <v>117.84</v>
      </c>
      <c r="O4887">
        <v>117.84</v>
      </c>
      <c r="P4887">
        <v>471.36</v>
      </c>
    </row>
    <row r="4888" spans="1:16" x14ac:dyDescent="0.3">
      <c r="A4888">
        <v>22666</v>
      </c>
      <c r="B4888">
        <v>105</v>
      </c>
      <c r="C4888" t="s">
        <v>557</v>
      </c>
      <c r="D4888" s="452">
        <v>45717</v>
      </c>
      <c r="E4888">
        <v>19003</v>
      </c>
      <c r="F4888" t="s">
        <v>4810</v>
      </c>
      <c r="G4888">
        <v>2897</v>
      </c>
      <c r="H4888">
        <v>13</v>
      </c>
      <c r="I4888" t="s">
        <v>4744</v>
      </c>
      <c r="J4888" t="s">
        <v>5191</v>
      </c>
      <c r="K4888" t="s">
        <v>4476</v>
      </c>
      <c r="L4888">
        <v>35.9</v>
      </c>
      <c r="M4888" s="452">
        <v>45712</v>
      </c>
      <c r="N4888">
        <v>35.9</v>
      </c>
      <c r="O4888">
        <v>35.9</v>
      </c>
      <c r="P4888">
        <v>466.7</v>
      </c>
    </row>
    <row r="4889" spans="1:16" x14ac:dyDescent="0.3">
      <c r="A4889">
        <v>22634</v>
      </c>
      <c r="B4889">
        <v>105</v>
      </c>
      <c r="C4889" t="s">
        <v>557</v>
      </c>
      <c r="D4889" s="452">
        <v>45717</v>
      </c>
      <c r="E4889">
        <v>24954</v>
      </c>
      <c r="F4889" t="s">
        <v>4769</v>
      </c>
      <c r="G4889">
        <v>5836</v>
      </c>
      <c r="H4889">
        <v>8.6999999999999993</v>
      </c>
      <c r="I4889" t="s">
        <v>4744</v>
      </c>
      <c r="J4889" t="s">
        <v>5191</v>
      </c>
      <c r="K4889" t="s">
        <v>4476</v>
      </c>
      <c r="L4889">
        <v>0</v>
      </c>
      <c r="M4889" s="452">
        <v>45631</v>
      </c>
      <c r="N4889">
        <v>53</v>
      </c>
      <c r="O4889">
        <v>53</v>
      </c>
      <c r="P4889">
        <v>461.1</v>
      </c>
    </row>
    <row r="4890" spans="1:16" x14ac:dyDescent="0.3">
      <c r="A4890">
        <v>22749</v>
      </c>
      <c r="B4890">
        <v>105</v>
      </c>
      <c r="C4890" t="s">
        <v>557</v>
      </c>
      <c r="D4890" s="452">
        <v>45717</v>
      </c>
      <c r="E4890">
        <v>18008</v>
      </c>
      <c r="F4890" t="s">
        <v>4865</v>
      </c>
      <c r="G4890">
        <v>3589</v>
      </c>
      <c r="H4890">
        <v>6</v>
      </c>
      <c r="I4890" t="s">
        <v>4805</v>
      </c>
      <c r="J4890" t="s">
        <v>5222</v>
      </c>
      <c r="K4890" t="s">
        <v>4476</v>
      </c>
      <c r="L4890">
        <v>76.83</v>
      </c>
      <c r="M4890" s="452">
        <v>45716</v>
      </c>
      <c r="N4890">
        <v>76.83</v>
      </c>
      <c r="O4890">
        <v>76.83</v>
      </c>
      <c r="P4890">
        <v>460.98</v>
      </c>
    </row>
    <row r="4891" spans="1:16" x14ac:dyDescent="0.3">
      <c r="A4891">
        <v>22710</v>
      </c>
      <c r="B4891">
        <v>105</v>
      </c>
      <c r="C4891" t="s">
        <v>557</v>
      </c>
      <c r="D4891" s="452">
        <v>45717</v>
      </c>
      <c r="E4891">
        <v>18475</v>
      </c>
      <c r="F4891" t="s">
        <v>4895</v>
      </c>
      <c r="G4891">
        <v>3181</v>
      </c>
      <c r="H4891">
        <v>13</v>
      </c>
      <c r="I4891" t="s">
        <v>4805</v>
      </c>
      <c r="J4891" t="s">
        <v>5222</v>
      </c>
      <c r="K4891" t="s">
        <v>4476</v>
      </c>
      <c r="L4891">
        <v>32.9</v>
      </c>
      <c r="M4891" s="452">
        <v>45707</v>
      </c>
      <c r="N4891">
        <v>32.9</v>
      </c>
      <c r="O4891">
        <v>32.9</v>
      </c>
      <c r="P4891">
        <v>427.7</v>
      </c>
    </row>
    <row r="4892" spans="1:16" x14ac:dyDescent="0.3">
      <c r="A4892">
        <v>22637</v>
      </c>
      <c r="B4892">
        <v>105</v>
      </c>
      <c r="C4892" t="s">
        <v>557</v>
      </c>
      <c r="D4892" s="452">
        <v>45717</v>
      </c>
      <c r="E4892">
        <v>22719</v>
      </c>
      <c r="F4892" t="s">
        <v>4834</v>
      </c>
      <c r="G4892">
        <v>3034</v>
      </c>
      <c r="H4892">
        <v>13.79</v>
      </c>
      <c r="I4892" t="s">
        <v>4744</v>
      </c>
      <c r="J4892" t="s">
        <v>5191</v>
      </c>
      <c r="K4892" t="s">
        <v>4476</v>
      </c>
      <c r="L4892">
        <v>0</v>
      </c>
      <c r="M4892" s="452">
        <v>45685</v>
      </c>
      <c r="N4892">
        <v>31</v>
      </c>
      <c r="O4892">
        <v>31</v>
      </c>
      <c r="P4892">
        <v>427.49</v>
      </c>
    </row>
    <row r="4893" spans="1:16" x14ac:dyDescent="0.3">
      <c r="A4893">
        <v>22802</v>
      </c>
      <c r="B4893">
        <v>105</v>
      </c>
      <c r="C4893" t="s">
        <v>557</v>
      </c>
      <c r="D4893" s="452">
        <v>45717</v>
      </c>
      <c r="E4893">
        <v>25683</v>
      </c>
      <c r="F4893" t="s">
        <v>4928</v>
      </c>
      <c r="G4893">
        <v>6244</v>
      </c>
      <c r="H4893">
        <v>4</v>
      </c>
      <c r="I4893" t="s">
        <v>4805</v>
      </c>
      <c r="J4893" t="s">
        <v>5222</v>
      </c>
      <c r="K4893" t="s">
        <v>4476</v>
      </c>
      <c r="L4893">
        <v>0</v>
      </c>
      <c r="M4893" s="452">
        <v>-693593</v>
      </c>
      <c r="N4893">
        <v>0</v>
      </c>
      <c r="O4893">
        <v>106.08</v>
      </c>
      <c r="P4893">
        <v>424.32</v>
      </c>
    </row>
    <row r="4894" spans="1:16" x14ac:dyDescent="0.3">
      <c r="A4894">
        <v>22694</v>
      </c>
      <c r="B4894">
        <v>105</v>
      </c>
      <c r="C4894" t="s">
        <v>557</v>
      </c>
      <c r="D4894" s="452">
        <v>45717</v>
      </c>
      <c r="E4894">
        <v>24981</v>
      </c>
      <c r="F4894" t="s">
        <v>5140</v>
      </c>
      <c r="G4894">
        <v>5849</v>
      </c>
      <c r="H4894">
        <v>1</v>
      </c>
      <c r="I4894" t="s">
        <v>4965</v>
      </c>
      <c r="J4894" t="s">
        <v>5222</v>
      </c>
      <c r="K4894" t="s">
        <v>4476</v>
      </c>
      <c r="L4894">
        <v>420</v>
      </c>
      <c r="M4894" s="452">
        <v>45706</v>
      </c>
      <c r="N4894">
        <v>420</v>
      </c>
      <c r="O4894">
        <v>420</v>
      </c>
      <c r="P4894">
        <v>420</v>
      </c>
    </row>
    <row r="4895" spans="1:16" x14ac:dyDescent="0.3">
      <c r="A4895">
        <v>22784</v>
      </c>
      <c r="B4895">
        <v>105</v>
      </c>
      <c r="C4895" t="s">
        <v>557</v>
      </c>
      <c r="D4895" s="452">
        <v>45717</v>
      </c>
      <c r="E4895">
        <v>26038</v>
      </c>
      <c r="F4895" t="s">
        <v>4976</v>
      </c>
      <c r="G4895">
        <v>6506</v>
      </c>
      <c r="H4895">
        <v>9</v>
      </c>
      <c r="I4895" t="s">
        <v>4805</v>
      </c>
      <c r="J4895" t="s">
        <v>5222</v>
      </c>
      <c r="K4895" t="s">
        <v>4476</v>
      </c>
      <c r="L4895">
        <v>46.38</v>
      </c>
      <c r="M4895" s="452">
        <v>45709</v>
      </c>
      <c r="N4895">
        <v>46.38</v>
      </c>
      <c r="O4895">
        <v>46.38</v>
      </c>
      <c r="P4895">
        <v>417.42</v>
      </c>
    </row>
    <row r="4896" spans="1:16" x14ac:dyDescent="0.3">
      <c r="A4896">
        <v>22644</v>
      </c>
      <c r="B4896">
        <v>105</v>
      </c>
      <c r="C4896" t="s">
        <v>557</v>
      </c>
      <c r="D4896" s="452">
        <v>45717</v>
      </c>
      <c r="E4896">
        <v>22860</v>
      </c>
      <c r="F4896" t="s">
        <v>4777</v>
      </c>
      <c r="G4896">
        <v>2924</v>
      </c>
      <c r="H4896">
        <v>9.2799999999999994</v>
      </c>
      <c r="I4896" t="s">
        <v>4744</v>
      </c>
      <c r="J4896" t="s">
        <v>5191</v>
      </c>
      <c r="K4896" t="s">
        <v>4476</v>
      </c>
      <c r="L4896">
        <v>0</v>
      </c>
      <c r="M4896" s="452">
        <v>45678</v>
      </c>
      <c r="N4896">
        <v>44</v>
      </c>
      <c r="O4896">
        <v>44</v>
      </c>
      <c r="P4896">
        <v>408.32</v>
      </c>
    </row>
    <row r="4897" spans="1:16" x14ac:dyDescent="0.3">
      <c r="A4897">
        <v>22422</v>
      </c>
      <c r="B4897">
        <v>105</v>
      </c>
      <c r="C4897" t="s">
        <v>557</v>
      </c>
      <c r="D4897" s="452">
        <v>45717</v>
      </c>
      <c r="E4897">
        <v>20911</v>
      </c>
      <c r="F4897" t="s">
        <v>5557</v>
      </c>
      <c r="G4897">
        <v>2035</v>
      </c>
      <c r="H4897">
        <v>3.37</v>
      </c>
      <c r="I4897" t="s">
        <v>4736</v>
      </c>
      <c r="J4897" t="s">
        <v>5191</v>
      </c>
      <c r="K4897" t="s">
        <v>4476</v>
      </c>
      <c r="L4897">
        <v>0</v>
      </c>
      <c r="M4897" s="452">
        <v>45678</v>
      </c>
      <c r="N4897">
        <v>120</v>
      </c>
      <c r="O4897">
        <v>120</v>
      </c>
      <c r="P4897">
        <v>404.4</v>
      </c>
    </row>
    <row r="4898" spans="1:16" x14ac:dyDescent="0.3">
      <c r="A4898">
        <v>22536</v>
      </c>
      <c r="B4898">
        <v>105</v>
      </c>
      <c r="C4898" t="s">
        <v>557</v>
      </c>
      <c r="D4898" s="452">
        <v>45717</v>
      </c>
      <c r="E4898">
        <v>23268</v>
      </c>
      <c r="F4898" t="s">
        <v>4743</v>
      </c>
      <c r="G4898">
        <v>2592</v>
      </c>
      <c r="H4898">
        <v>91.4</v>
      </c>
      <c r="I4898" t="s">
        <v>4744</v>
      </c>
      <c r="J4898" t="s">
        <v>5191</v>
      </c>
      <c r="K4898" t="s">
        <v>4476</v>
      </c>
      <c r="L4898">
        <v>0</v>
      </c>
      <c r="M4898" s="452">
        <v>45681</v>
      </c>
      <c r="N4898">
        <v>4.42</v>
      </c>
      <c r="O4898">
        <v>0.05</v>
      </c>
      <c r="P4898">
        <v>403.99</v>
      </c>
    </row>
    <row r="4899" spans="1:16" x14ac:dyDescent="0.3">
      <c r="A4899">
        <v>22758</v>
      </c>
      <c r="B4899">
        <v>105</v>
      </c>
      <c r="C4899" t="s">
        <v>557</v>
      </c>
      <c r="D4899" s="452">
        <v>45717</v>
      </c>
      <c r="E4899">
        <v>17996</v>
      </c>
      <c r="F4899" t="s">
        <v>4765</v>
      </c>
      <c r="G4899">
        <v>3600</v>
      </c>
      <c r="H4899">
        <v>3</v>
      </c>
      <c r="I4899" t="s">
        <v>4738</v>
      </c>
      <c r="J4899" t="s">
        <v>5222</v>
      </c>
      <c r="K4899" t="s">
        <v>4476</v>
      </c>
      <c r="L4899">
        <v>0</v>
      </c>
      <c r="M4899" s="452">
        <v>45653</v>
      </c>
      <c r="N4899">
        <v>0</v>
      </c>
      <c r="O4899">
        <v>2.19</v>
      </c>
      <c r="P4899">
        <v>394.2</v>
      </c>
    </row>
    <row r="4900" spans="1:16" x14ac:dyDescent="0.3">
      <c r="A4900">
        <v>22735</v>
      </c>
      <c r="B4900">
        <v>105</v>
      </c>
      <c r="C4900" t="s">
        <v>557</v>
      </c>
      <c r="D4900" s="452">
        <v>45717</v>
      </c>
      <c r="E4900">
        <v>18157</v>
      </c>
      <c r="F4900" t="s">
        <v>5041</v>
      </c>
      <c r="G4900">
        <v>3463</v>
      </c>
      <c r="H4900">
        <v>1.9</v>
      </c>
      <c r="I4900" t="s">
        <v>4805</v>
      </c>
      <c r="J4900" t="s">
        <v>5222</v>
      </c>
      <c r="K4900" t="s">
        <v>4476</v>
      </c>
      <c r="L4900">
        <v>0</v>
      </c>
      <c r="M4900" s="452">
        <v>45672</v>
      </c>
      <c r="N4900">
        <v>205.61</v>
      </c>
      <c r="O4900">
        <v>185.47</v>
      </c>
      <c r="P4900">
        <v>390.66</v>
      </c>
    </row>
    <row r="4901" spans="1:16" x14ac:dyDescent="0.3">
      <c r="A4901">
        <v>22412</v>
      </c>
      <c r="B4901">
        <v>105</v>
      </c>
      <c r="C4901" t="s">
        <v>557</v>
      </c>
      <c r="D4901" s="452">
        <v>45717</v>
      </c>
      <c r="E4901">
        <v>20809</v>
      </c>
      <c r="F4901" t="s">
        <v>4822</v>
      </c>
      <c r="G4901">
        <v>2074</v>
      </c>
      <c r="H4901">
        <v>13</v>
      </c>
      <c r="I4901" t="s">
        <v>4738</v>
      </c>
      <c r="J4901" t="s">
        <v>5191</v>
      </c>
      <c r="K4901" t="s">
        <v>4476</v>
      </c>
      <c r="L4901">
        <v>28.16</v>
      </c>
      <c r="M4901" s="452">
        <v>45713</v>
      </c>
      <c r="N4901">
        <v>27.99</v>
      </c>
      <c r="O4901">
        <v>30.65</v>
      </c>
      <c r="P4901">
        <v>366.08</v>
      </c>
    </row>
    <row r="4902" spans="1:16" x14ac:dyDescent="0.3">
      <c r="A4902">
        <v>22754</v>
      </c>
      <c r="B4902">
        <v>105</v>
      </c>
      <c r="C4902" t="s">
        <v>557</v>
      </c>
      <c r="D4902" s="452">
        <v>45717</v>
      </c>
      <c r="E4902">
        <v>17958</v>
      </c>
      <c r="F4902" t="s">
        <v>5076</v>
      </c>
      <c r="G4902">
        <v>3622</v>
      </c>
      <c r="H4902">
        <v>23</v>
      </c>
      <c r="I4902" t="s">
        <v>4738</v>
      </c>
      <c r="J4902" t="s">
        <v>5222</v>
      </c>
      <c r="K4902" t="s">
        <v>4476</v>
      </c>
      <c r="L4902">
        <v>15.9</v>
      </c>
      <c r="M4902" s="452">
        <v>45714</v>
      </c>
      <c r="N4902">
        <v>15.9</v>
      </c>
      <c r="O4902">
        <v>15.9</v>
      </c>
      <c r="P4902">
        <v>365.7</v>
      </c>
    </row>
    <row r="4903" spans="1:16" x14ac:dyDescent="0.3">
      <c r="A4903">
        <v>22636</v>
      </c>
      <c r="B4903">
        <v>105</v>
      </c>
      <c r="C4903" t="s">
        <v>557</v>
      </c>
      <c r="D4903" s="452">
        <v>45717</v>
      </c>
      <c r="E4903">
        <v>18708</v>
      </c>
      <c r="F4903" t="s">
        <v>5573</v>
      </c>
      <c r="G4903">
        <v>3033</v>
      </c>
      <c r="H4903">
        <v>12</v>
      </c>
      <c r="I4903" t="s">
        <v>4744</v>
      </c>
      <c r="J4903" t="s">
        <v>5191</v>
      </c>
      <c r="K4903" t="s">
        <v>4476</v>
      </c>
      <c r="L4903">
        <v>0</v>
      </c>
      <c r="M4903" s="452">
        <v>45685</v>
      </c>
      <c r="N4903">
        <v>30.4</v>
      </c>
      <c r="O4903">
        <v>30.4</v>
      </c>
      <c r="P4903">
        <v>364.8</v>
      </c>
    </row>
    <row r="4904" spans="1:16" x14ac:dyDescent="0.3">
      <c r="A4904">
        <v>22562</v>
      </c>
      <c r="B4904">
        <v>105</v>
      </c>
      <c r="C4904" t="s">
        <v>557</v>
      </c>
      <c r="D4904" s="452">
        <v>45717</v>
      </c>
      <c r="E4904">
        <v>19756</v>
      </c>
      <c r="F4904" t="s">
        <v>4754</v>
      </c>
      <c r="G4904">
        <v>2497</v>
      </c>
      <c r="H4904">
        <v>71.400000000000006</v>
      </c>
      <c r="I4904" t="s">
        <v>4744</v>
      </c>
      <c r="J4904" t="s">
        <v>5191</v>
      </c>
      <c r="K4904" t="s">
        <v>4476</v>
      </c>
      <c r="L4904">
        <v>5.0999999999999996</v>
      </c>
      <c r="M4904" s="452">
        <v>45716</v>
      </c>
      <c r="N4904">
        <v>5.07</v>
      </c>
      <c r="O4904">
        <v>4.5999999999999996</v>
      </c>
      <c r="P4904">
        <v>364.14</v>
      </c>
    </row>
    <row r="4905" spans="1:16" x14ac:dyDescent="0.3">
      <c r="A4905">
        <v>22519</v>
      </c>
      <c r="B4905">
        <v>105</v>
      </c>
      <c r="C4905" t="s">
        <v>557</v>
      </c>
      <c r="D4905" s="452">
        <v>45717</v>
      </c>
      <c r="E4905">
        <v>19787</v>
      </c>
      <c r="F4905" t="s">
        <v>4793</v>
      </c>
      <c r="G4905">
        <v>2471</v>
      </c>
      <c r="H4905">
        <v>49.53</v>
      </c>
      <c r="I4905" t="s">
        <v>4744</v>
      </c>
      <c r="J4905" t="s">
        <v>5191</v>
      </c>
      <c r="K4905" t="s">
        <v>4476</v>
      </c>
      <c r="L4905">
        <v>7.24</v>
      </c>
      <c r="M4905" s="452">
        <v>45716</v>
      </c>
      <c r="N4905">
        <v>7.26</v>
      </c>
      <c r="O4905">
        <v>7.05</v>
      </c>
      <c r="P4905">
        <v>358.6</v>
      </c>
    </row>
    <row r="4906" spans="1:16" x14ac:dyDescent="0.3">
      <c r="A4906">
        <v>22623</v>
      </c>
      <c r="B4906">
        <v>105</v>
      </c>
      <c r="C4906" t="s">
        <v>557</v>
      </c>
      <c r="D4906" s="452">
        <v>45717</v>
      </c>
      <c r="E4906">
        <v>24434</v>
      </c>
      <c r="F4906" t="s">
        <v>5574</v>
      </c>
      <c r="G4906">
        <v>2789</v>
      </c>
      <c r="H4906">
        <v>4.54</v>
      </c>
      <c r="I4906" t="s">
        <v>4744</v>
      </c>
      <c r="J4906" t="s">
        <v>5191</v>
      </c>
      <c r="K4906" t="s">
        <v>4476</v>
      </c>
      <c r="L4906">
        <v>0</v>
      </c>
      <c r="M4906" s="452">
        <v>45539</v>
      </c>
      <c r="N4906">
        <v>78.5</v>
      </c>
      <c r="O4906">
        <v>78.5</v>
      </c>
      <c r="P4906">
        <v>356.39</v>
      </c>
    </row>
    <row r="4907" spans="1:16" x14ac:dyDescent="0.3">
      <c r="A4907">
        <v>22365</v>
      </c>
      <c r="B4907">
        <v>105</v>
      </c>
      <c r="C4907" t="s">
        <v>557</v>
      </c>
      <c r="D4907" s="452">
        <v>45717</v>
      </c>
      <c r="E4907">
        <v>26006</v>
      </c>
      <c r="F4907" t="s">
        <v>4941</v>
      </c>
      <c r="G4907">
        <v>6491</v>
      </c>
      <c r="H4907">
        <v>3</v>
      </c>
      <c r="I4907" t="s">
        <v>4749</v>
      </c>
      <c r="J4907" t="s">
        <v>5191</v>
      </c>
      <c r="K4907" t="s">
        <v>4476</v>
      </c>
      <c r="L4907">
        <v>0</v>
      </c>
      <c r="M4907" s="452">
        <v>45653</v>
      </c>
      <c r="N4907">
        <v>117.84</v>
      </c>
      <c r="O4907">
        <v>117.84</v>
      </c>
      <c r="P4907">
        <v>353.52</v>
      </c>
    </row>
    <row r="4908" spans="1:16" x14ac:dyDescent="0.3">
      <c r="A4908">
        <v>22709</v>
      </c>
      <c r="B4908">
        <v>105</v>
      </c>
      <c r="C4908" t="s">
        <v>557</v>
      </c>
      <c r="D4908" s="452">
        <v>45717</v>
      </c>
      <c r="E4908">
        <v>18491</v>
      </c>
      <c r="F4908" t="s">
        <v>4839</v>
      </c>
      <c r="G4908">
        <v>3166</v>
      </c>
      <c r="H4908">
        <v>9.8000000000000007</v>
      </c>
      <c r="I4908" t="s">
        <v>4805</v>
      </c>
      <c r="J4908" t="s">
        <v>5222</v>
      </c>
      <c r="K4908" t="s">
        <v>4476</v>
      </c>
      <c r="L4908">
        <v>0</v>
      </c>
      <c r="M4908" s="452">
        <v>45555</v>
      </c>
      <c r="N4908">
        <v>35.9</v>
      </c>
      <c r="O4908">
        <v>35.9</v>
      </c>
      <c r="P4908">
        <v>351.82</v>
      </c>
    </row>
    <row r="4909" spans="1:16" x14ac:dyDescent="0.3">
      <c r="A4909">
        <v>22771</v>
      </c>
      <c r="B4909">
        <v>105</v>
      </c>
      <c r="C4909" t="s">
        <v>557</v>
      </c>
      <c r="D4909" s="452">
        <v>45717</v>
      </c>
      <c r="E4909">
        <v>17895</v>
      </c>
      <c r="F4909" t="s">
        <v>5086</v>
      </c>
      <c r="G4909">
        <v>3665</v>
      </c>
      <c r="H4909">
        <v>13</v>
      </c>
      <c r="I4909" t="s">
        <v>4738</v>
      </c>
      <c r="J4909" t="s">
        <v>5222</v>
      </c>
      <c r="K4909" t="s">
        <v>4476</v>
      </c>
      <c r="L4909">
        <v>26.28</v>
      </c>
      <c r="M4909" s="452">
        <v>45716</v>
      </c>
      <c r="N4909">
        <v>26.28</v>
      </c>
      <c r="O4909">
        <v>26.28</v>
      </c>
      <c r="P4909">
        <v>341.64</v>
      </c>
    </row>
    <row r="4910" spans="1:16" x14ac:dyDescent="0.3">
      <c r="A4910">
        <v>22685</v>
      </c>
      <c r="B4910">
        <v>105</v>
      </c>
      <c r="C4910" t="s">
        <v>557</v>
      </c>
      <c r="D4910" s="452">
        <v>45717</v>
      </c>
      <c r="E4910">
        <v>18571</v>
      </c>
      <c r="F4910" t="s">
        <v>5575</v>
      </c>
      <c r="G4910">
        <v>3111</v>
      </c>
      <c r="H4910">
        <v>29</v>
      </c>
      <c r="I4910" t="s">
        <v>4736</v>
      </c>
      <c r="J4910" t="s">
        <v>5222</v>
      </c>
      <c r="K4910" t="s">
        <v>4476</v>
      </c>
      <c r="L4910">
        <v>0</v>
      </c>
      <c r="M4910" s="452">
        <v>45421</v>
      </c>
      <c r="N4910">
        <v>11.73</v>
      </c>
      <c r="O4910">
        <v>11.73</v>
      </c>
      <c r="P4910">
        <v>340.17</v>
      </c>
    </row>
    <row r="4911" spans="1:16" x14ac:dyDescent="0.3">
      <c r="A4911">
        <v>22750</v>
      </c>
      <c r="B4911">
        <v>105</v>
      </c>
      <c r="C4911" t="s">
        <v>557</v>
      </c>
      <c r="D4911" s="452">
        <v>45717</v>
      </c>
      <c r="E4911">
        <v>18030</v>
      </c>
      <c r="F4911" t="s">
        <v>4840</v>
      </c>
      <c r="G4911">
        <v>3568</v>
      </c>
      <c r="H4911">
        <v>12.2</v>
      </c>
      <c r="I4911" t="s">
        <v>4805</v>
      </c>
      <c r="J4911" t="s">
        <v>5222</v>
      </c>
      <c r="K4911" t="s">
        <v>4476</v>
      </c>
      <c r="L4911">
        <v>27.5</v>
      </c>
      <c r="M4911" s="452">
        <v>45707</v>
      </c>
      <c r="N4911">
        <v>27.5</v>
      </c>
      <c r="O4911">
        <v>27.5</v>
      </c>
      <c r="P4911">
        <v>335.5</v>
      </c>
    </row>
    <row r="4912" spans="1:16" x14ac:dyDescent="0.3">
      <c r="A4912">
        <v>22727</v>
      </c>
      <c r="B4912">
        <v>105</v>
      </c>
      <c r="C4912" t="s">
        <v>557</v>
      </c>
      <c r="D4912" s="452">
        <v>45717</v>
      </c>
      <c r="E4912">
        <v>18232</v>
      </c>
      <c r="F4912" t="s">
        <v>4971</v>
      </c>
      <c r="G4912">
        <v>3396</v>
      </c>
      <c r="H4912">
        <v>3.2</v>
      </c>
      <c r="I4912" t="s">
        <v>4805</v>
      </c>
      <c r="J4912" t="s">
        <v>5222</v>
      </c>
      <c r="K4912" t="s">
        <v>4476</v>
      </c>
      <c r="L4912">
        <v>100.88</v>
      </c>
      <c r="M4912" s="452">
        <v>45695</v>
      </c>
      <c r="N4912">
        <v>100.88</v>
      </c>
      <c r="O4912">
        <v>96.3</v>
      </c>
      <c r="P4912">
        <v>322.82</v>
      </c>
    </row>
    <row r="4913" spans="1:16" x14ac:dyDescent="0.3">
      <c r="A4913">
        <v>22658</v>
      </c>
      <c r="B4913">
        <v>105</v>
      </c>
      <c r="C4913" t="s">
        <v>557</v>
      </c>
      <c r="D4913" s="452">
        <v>45717</v>
      </c>
      <c r="E4913">
        <v>24256</v>
      </c>
      <c r="F4913" t="s">
        <v>4773</v>
      </c>
      <c r="G4913">
        <v>3003</v>
      </c>
      <c r="H4913">
        <v>7</v>
      </c>
      <c r="I4913" t="s">
        <v>4744</v>
      </c>
      <c r="J4913" t="s">
        <v>5191</v>
      </c>
      <c r="K4913" t="s">
        <v>4476</v>
      </c>
      <c r="L4913">
        <v>45</v>
      </c>
      <c r="M4913" s="452">
        <v>45709</v>
      </c>
      <c r="N4913">
        <v>45</v>
      </c>
      <c r="O4913">
        <v>45</v>
      </c>
      <c r="P4913">
        <v>315</v>
      </c>
    </row>
    <row r="4914" spans="1:16" x14ac:dyDescent="0.3">
      <c r="A4914">
        <v>22701</v>
      </c>
      <c r="B4914">
        <v>105</v>
      </c>
      <c r="C4914" t="s">
        <v>557</v>
      </c>
      <c r="D4914" s="452">
        <v>45717</v>
      </c>
      <c r="E4914">
        <v>18550</v>
      </c>
      <c r="F4914" t="s">
        <v>4967</v>
      </c>
      <c r="G4914">
        <v>3130</v>
      </c>
      <c r="H4914">
        <v>1.36</v>
      </c>
      <c r="I4914" t="s">
        <v>4805</v>
      </c>
      <c r="J4914" t="s">
        <v>5222</v>
      </c>
      <c r="K4914" t="s">
        <v>4476</v>
      </c>
      <c r="L4914">
        <v>0</v>
      </c>
      <c r="M4914" s="452">
        <v>45644</v>
      </c>
      <c r="N4914">
        <v>229.9</v>
      </c>
      <c r="O4914">
        <v>168</v>
      </c>
      <c r="P4914">
        <v>312.66000000000003</v>
      </c>
    </row>
    <row r="4915" spans="1:16" x14ac:dyDescent="0.3">
      <c r="A4915">
        <v>22668</v>
      </c>
      <c r="B4915">
        <v>105</v>
      </c>
      <c r="C4915" t="s">
        <v>557</v>
      </c>
      <c r="D4915" s="452">
        <v>45717</v>
      </c>
      <c r="E4915">
        <v>18832</v>
      </c>
      <c r="F4915" t="s">
        <v>4785</v>
      </c>
      <c r="G4915">
        <v>2950</v>
      </c>
      <c r="H4915">
        <v>6.5</v>
      </c>
      <c r="I4915" t="s">
        <v>4744</v>
      </c>
      <c r="J4915" t="s">
        <v>5191</v>
      </c>
      <c r="K4915" t="s">
        <v>4476</v>
      </c>
      <c r="L4915">
        <v>47</v>
      </c>
      <c r="M4915" s="452">
        <v>45713</v>
      </c>
      <c r="N4915">
        <v>47</v>
      </c>
      <c r="O4915">
        <v>45.32</v>
      </c>
      <c r="P4915">
        <v>305.5</v>
      </c>
    </row>
    <row r="4916" spans="1:16" x14ac:dyDescent="0.3">
      <c r="A4916">
        <v>22475</v>
      </c>
      <c r="B4916">
        <v>105</v>
      </c>
      <c r="C4916" t="s">
        <v>557</v>
      </c>
      <c r="D4916" s="452">
        <v>45717</v>
      </c>
      <c r="E4916">
        <v>24351</v>
      </c>
      <c r="F4916" t="s">
        <v>5014</v>
      </c>
      <c r="G4916">
        <v>2287</v>
      </c>
      <c r="H4916">
        <v>25</v>
      </c>
      <c r="I4916" t="s">
        <v>4736</v>
      </c>
      <c r="J4916" t="s">
        <v>5191</v>
      </c>
      <c r="K4916" t="s">
        <v>4476</v>
      </c>
      <c r="L4916">
        <v>12</v>
      </c>
      <c r="M4916" s="452">
        <v>45707</v>
      </c>
      <c r="N4916">
        <v>12</v>
      </c>
      <c r="O4916">
        <v>12</v>
      </c>
      <c r="P4916">
        <v>300</v>
      </c>
    </row>
    <row r="4917" spans="1:16" x14ac:dyDescent="0.3">
      <c r="A4917">
        <v>22688</v>
      </c>
      <c r="B4917">
        <v>105</v>
      </c>
      <c r="C4917" t="s">
        <v>557</v>
      </c>
      <c r="D4917" s="452">
        <v>45717</v>
      </c>
      <c r="E4917">
        <v>24977</v>
      </c>
      <c r="F4917" t="s">
        <v>5538</v>
      </c>
      <c r="G4917">
        <v>5847</v>
      </c>
      <c r="H4917">
        <v>4</v>
      </c>
      <c r="I4917" t="s">
        <v>4738</v>
      </c>
      <c r="J4917" t="s">
        <v>5222</v>
      </c>
      <c r="K4917" t="s">
        <v>4476</v>
      </c>
      <c r="L4917">
        <v>74.64</v>
      </c>
      <c r="M4917" s="452">
        <v>45716</v>
      </c>
      <c r="N4917">
        <v>74.64</v>
      </c>
      <c r="O4917">
        <v>74.64</v>
      </c>
      <c r="P4917">
        <v>298.56</v>
      </c>
    </row>
    <row r="4918" spans="1:16" x14ac:dyDescent="0.3">
      <c r="A4918">
        <v>22465</v>
      </c>
      <c r="B4918">
        <v>105</v>
      </c>
      <c r="C4918" t="s">
        <v>557</v>
      </c>
      <c r="D4918" s="452">
        <v>45717</v>
      </c>
      <c r="E4918">
        <v>20521</v>
      </c>
      <c r="F4918" t="s">
        <v>4797</v>
      </c>
      <c r="G4918">
        <v>2149</v>
      </c>
      <c r="H4918">
        <v>11.14</v>
      </c>
      <c r="I4918" t="s">
        <v>4744</v>
      </c>
      <c r="J4918" t="s">
        <v>5191</v>
      </c>
      <c r="K4918" t="s">
        <v>4476</v>
      </c>
      <c r="L4918">
        <v>26.7</v>
      </c>
      <c r="M4918" s="452">
        <v>45707</v>
      </c>
      <c r="N4918">
        <v>26.7</v>
      </c>
      <c r="O4918">
        <v>19.899999999999999</v>
      </c>
      <c r="P4918">
        <v>297.44</v>
      </c>
    </row>
    <row r="4919" spans="1:16" x14ac:dyDescent="0.3">
      <c r="A4919">
        <v>22426</v>
      </c>
      <c r="B4919">
        <v>105</v>
      </c>
      <c r="C4919" t="s">
        <v>557</v>
      </c>
      <c r="D4919" s="452">
        <v>45717</v>
      </c>
      <c r="E4919">
        <v>24189</v>
      </c>
      <c r="F4919" t="s">
        <v>5532</v>
      </c>
      <c r="G4919">
        <v>2140</v>
      </c>
      <c r="H4919">
        <v>13</v>
      </c>
      <c r="I4919" t="s">
        <v>4744</v>
      </c>
      <c r="J4919" t="s">
        <v>5191</v>
      </c>
      <c r="K4919" t="s">
        <v>4476</v>
      </c>
      <c r="L4919">
        <v>0</v>
      </c>
      <c r="M4919" s="452">
        <v>45546</v>
      </c>
      <c r="N4919">
        <v>22.4</v>
      </c>
      <c r="O4919">
        <v>22.34</v>
      </c>
      <c r="P4919">
        <v>291.2</v>
      </c>
    </row>
    <row r="4920" spans="1:16" x14ac:dyDescent="0.3">
      <c r="A4920">
        <v>22468</v>
      </c>
      <c r="B4920">
        <v>105</v>
      </c>
      <c r="C4920" t="s">
        <v>557</v>
      </c>
      <c r="D4920" s="452">
        <v>45717</v>
      </c>
      <c r="E4920">
        <v>24339</v>
      </c>
      <c r="F4920" t="s">
        <v>4885</v>
      </c>
      <c r="G4920">
        <v>2153</v>
      </c>
      <c r="H4920">
        <v>7.22</v>
      </c>
      <c r="I4920" t="s">
        <v>4744</v>
      </c>
      <c r="J4920" t="s">
        <v>5191</v>
      </c>
      <c r="K4920" t="s">
        <v>4476</v>
      </c>
      <c r="L4920">
        <v>39.9</v>
      </c>
      <c r="M4920" s="452">
        <v>45706</v>
      </c>
      <c r="N4920">
        <v>39.9</v>
      </c>
      <c r="O4920">
        <v>28</v>
      </c>
      <c r="P4920">
        <v>288.08</v>
      </c>
    </row>
    <row r="4921" spans="1:16" x14ac:dyDescent="0.3">
      <c r="A4921">
        <v>22803</v>
      </c>
      <c r="B4921">
        <v>105</v>
      </c>
      <c r="C4921" t="s">
        <v>557</v>
      </c>
      <c r="D4921" s="452">
        <v>45717</v>
      </c>
      <c r="E4921">
        <v>24614</v>
      </c>
      <c r="F4921" t="s">
        <v>4897</v>
      </c>
      <c r="G4921">
        <v>3855</v>
      </c>
      <c r="H4921">
        <v>4</v>
      </c>
      <c r="I4921" t="s">
        <v>4805</v>
      </c>
      <c r="J4921" t="s">
        <v>5222</v>
      </c>
      <c r="K4921" t="s">
        <v>4476</v>
      </c>
      <c r="L4921">
        <v>0</v>
      </c>
      <c r="M4921" s="452">
        <v>45548</v>
      </c>
      <c r="N4921">
        <v>69.650000000000006</v>
      </c>
      <c r="O4921">
        <v>79.349999999999994</v>
      </c>
      <c r="P4921">
        <v>278.60000000000002</v>
      </c>
    </row>
    <row r="4922" spans="1:16" x14ac:dyDescent="0.3">
      <c r="A4922">
        <v>22779</v>
      </c>
      <c r="B4922">
        <v>105</v>
      </c>
      <c r="C4922" t="s">
        <v>557</v>
      </c>
      <c r="D4922" s="452">
        <v>45717</v>
      </c>
      <c r="E4922">
        <v>26036</v>
      </c>
      <c r="F4922" t="s">
        <v>4841</v>
      </c>
      <c r="G4922">
        <v>6505</v>
      </c>
      <c r="H4922">
        <v>6</v>
      </c>
      <c r="I4922" t="s">
        <v>4805</v>
      </c>
      <c r="J4922" t="s">
        <v>5222</v>
      </c>
      <c r="K4922" t="s">
        <v>4476</v>
      </c>
      <c r="L4922">
        <v>46.38</v>
      </c>
      <c r="M4922" s="452">
        <v>45698</v>
      </c>
      <c r="N4922">
        <v>46.38</v>
      </c>
      <c r="O4922">
        <v>46.38</v>
      </c>
      <c r="P4922">
        <v>278.27999999999997</v>
      </c>
    </row>
    <row r="4923" spans="1:16" x14ac:dyDescent="0.3">
      <c r="A4923">
        <v>22780</v>
      </c>
      <c r="B4923">
        <v>105</v>
      </c>
      <c r="C4923" t="s">
        <v>557</v>
      </c>
      <c r="D4923" s="452">
        <v>45717</v>
      </c>
      <c r="E4923">
        <v>26032</v>
      </c>
      <c r="F4923" t="s">
        <v>4896</v>
      </c>
      <c r="G4923">
        <v>6503</v>
      </c>
      <c r="H4923">
        <v>6</v>
      </c>
      <c r="I4923" t="s">
        <v>4805</v>
      </c>
      <c r="J4923" t="s">
        <v>5222</v>
      </c>
      <c r="K4923" t="s">
        <v>4476</v>
      </c>
      <c r="L4923">
        <v>46.38</v>
      </c>
      <c r="M4923" s="452">
        <v>45698</v>
      </c>
      <c r="N4923">
        <v>46.38</v>
      </c>
      <c r="O4923">
        <v>46.38</v>
      </c>
      <c r="P4923">
        <v>278.27999999999997</v>
      </c>
    </row>
    <row r="4924" spans="1:16" x14ac:dyDescent="0.3">
      <c r="A4924">
        <v>22502</v>
      </c>
      <c r="B4924">
        <v>105</v>
      </c>
      <c r="C4924" t="s">
        <v>557</v>
      </c>
      <c r="D4924" s="452">
        <v>45717</v>
      </c>
      <c r="E4924">
        <v>20276</v>
      </c>
      <c r="F4924" t="s">
        <v>5576</v>
      </c>
      <c r="G4924">
        <v>2231</v>
      </c>
      <c r="H4924">
        <v>10.199999999999999</v>
      </c>
      <c r="I4924" t="s">
        <v>4736</v>
      </c>
      <c r="J4924" t="s">
        <v>5191</v>
      </c>
      <c r="K4924" t="s">
        <v>4476</v>
      </c>
      <c r="L4924">
        <v>0</v>
      </c>
      <c r="M4924" s="452">
        <v>-693593</v>
      </c>
      <c r="N4924">
        <v>0</v>
      </c>
      <c r="O4924">
        <v>0</v>
      </c>
      <c r="P4924">
        <v>274.56</v>
      </c>
    </row>
    <row r="4925" spans="1:16" x14ac:dyDescent="0.3">
      <c r="A4925">
        <v>22798</v>
      </c>
      <c r="B4925">
        <v>105</v>
      </c>
      <c r="C4925" t="s">
        <v>557</v>
      </c>
      <c r="D4925" s="452">
        <v>45717</v>
      </c>
      <c r="E4925">
        <v>17814</v>
      </c>
      <c r="F4925" t="s">
        <v>5552</v>
      </c>
      <c r="G4925">
        <v>3735</v>
      </c>
      <c r="H4925">
        <v>5</v>
      </c>
      <c r="I4925" t="s">
        <v>4805</v>
      </c>
      <c r="J4925" t="s">
        <v>5222</v>
      </c>
      <c r="K4925" t="s">
        <v>4476</v>
      </c>
      <c r="L4925">
        <v>0</v>
      </c>
      <c r="M4925" s="452">
        <v>45595</v>
      </c>
      <c r="N4925">
        <v>52.61</v>
      </c>
      <c r="O4925">
        <v>50.7</v>
      </c>
      <c r="P4925">
        <v>263.05</v>
      </c>
    </row>
    <row r="4926" spans="1:16" x14ac:dyDescent="0.3">
      <c r="A4926">
        <v>22740</v>
      </c>
      <c r="B4926">
        <v>105</v>
      </c>
      <c r="C4926" t="s">
        <v>557</v>
      </c>
      <c r="D4926" s="452">
        <v>45717</v>
      </c>
      <c r="E4926">
        <v>18114</v>
      </c>
      <c r="F4926" t="s">
        <v>5046</v>
      </c>
      <c r="G4926">
        <v>3498</v>
      </c>
      <c r="H4926">
        <v>1</v>
      </c>
      <c r="I4926" t="s">
        <v>4805</v>
      </c>
      <c r="J4926" t="s">
        <v>5222</v>
      </c>
      <c r="K4926" t="s">
        <v>4476</v>
      </c>
      <c r="L4926">
        <v>0</v>
      </c>
      <c r="M4926" s="452">
        <v>-693593</v>
      </c>
      <c r="N4926">
        <v>0</v>
      </c>
      <c r="O4926">
        <v>269.89999999999998</v>
      </c>
      <c r="P4926">
        <v>261.70999999999998</v>
      </c>
    </row>
    <row r="4927" spans="1:16" x14ac:dyDescent="0.3">
      <c r="A4927">
        <v>22738</v>
      </c>
      <c r="B4927">
        <v>105</v>
      </c>
      <c r="C4927" t="s">
        <v>557</v>
      </c>
      <c r="D4927" s="452">
        <v>45717</v>
      </c>
      <c r="E4927">
        <v>18119</v>
      </c>
      <c r="F4927" t="s">
        <v>5044</v>
      </c>
      <c r="G4927">
        <v>3494</v>
      </c>
      <c r="H4927">
        <v>1.5</v>
      </c>
      <c r="I4927" t="s">
        <v>4805</v>
      </c>
      <c r="J4927" t="s">
        <v>5222</v>
      </c>
      <c r="K4927" t="s">
        <v>4476</v>
      </c>
      <c r="L4927">
        <v>0</v>
      </c>
      <c r="M4927" s="452">
        <v>45686</v>
      </c>
      <c r="N4927">
        <v>172.8</v>
      </c>
      <c r="O4927">
        <v>172.88</v>
      </c>
      <c r="P4927">
        <v>259.2</v>
      </c>
    </row>
    <row r="4928" spans="1:16" x14ac:dyDescent="0.3">
      <c r="A4928">
        <v>22716</v>
      </c>
      <c r="B4928">
        <v>105</v>
      </c>
      <c r="C4928" t="s">
        <v>557</v>
      </c>
      <c r="D4928" s="452">
        <v>45717</v>
      </c>
      <c r="E4928">
        <v>18293</v>
      </c>
      <c r="F4928" t="s">
        <v>5034</v>
      </c>
      <c r="G4928">
        <v>3336</v>
      </c>
      <c r="H4928">
        <v>2</v>
      </c>
      <c r="I4928" t="s">
        <v>4805</v>
      </c>
      <c r="J4928" t="s">
        <v>5222</v>
      </c>
      <c r="K4928" t="s">
        <v>4476</v>
      </c>
      <c r="L4928">
        <v>0</v>
      </c>
      <c r="M4928" s="452">
        <v>45525</v>
      </c>
      <c r="N4928">
        <v>124.82</v>
      </c>
      <c r="O4928">
        <v>107.83</v>
      </c>
      <c r="P4928">
        <v>249.64</v>
      </c>
    </row>
    <row r="4929" spans="1:16" x14ac:dyDescent="0.3">
      <c r="A4929">
        <v>22724</v>
      </c>
      <c r="B4929">
        <v>105</v>
      </c>
      <c r="C4929" t="s">
        <v>557</v>
      </c>
      <c r="D4929" s="452">
        <v>45717</v>
      </c>
      <c r="E4929">
        <v>18253</v>
      </c>
      <c r="F4929" t="s">
        <v>4969</v>
      </c>
      <c r="G4929">
        <v>3376</v>
      </c>
      <c r="H4929">
        <v>8.1999999999999993</v>
      </c>
      <c r="I4929" t="s">
        <v>4805</v>
      </c>
      <c r="J4929" t="s">
        <v>5222</v>
      </c>
      <c r="K4929" t="s">
        <v>4476</v>
      </c>
      <c r="L4929">
        <v>30.1</v>
      </c>
      <c r="M4929" s="452">
        <v>45707</v>
      </c>
      <c r="N4929">
        <v>30.3</v>
      </c>
      <c r="O4929">
        <v>29.9</v>
      </c>
      <c r="P4929">
        <v>246.82</v>
      </c>
    </row>
    <row r="4930" spans="1:16" x14ac:dyDescent="0.3">
      <c r="A4930">
        <v>22773</v>
      </c>
      <c r="B4930">
        <v>105</v>
      </c>
      <c r="C4930" t="s">
        <v>557</v>
      </c>
      <c r="D4930" s="452">
        <v>45717</v>
      </c>
      <c r="E4930">
        <v>17886</v>
      </c>
      <c r="F4930" t="s">
        <v>5083</v>
      </c>
      <c r="G4930">
        <v>3670</v>
      </c>
      <c r="H4930">
        <v>9</v>
      </c>
      <c r="I4930" t="s">
        <v>4738</v>
      </c>
      <c r="J4930" t="s">
        <v>5222</v>
      </c>
      <c r="K4930" t="s">
        <v>4476</v>
      </c>
      <c r="L4930">
        <v>26.28</v>
      </c>
      <c r="M4930" s="452">
        <v>45716</v>
      </c>
      <c r="N4930">
        <v>26.28</v>
      </c>
      <c r="O4930">
        <v>26.28</v>
      </c>
      <c r="P4930">
        <v>236.52</v>
      </c>
    </row>
    <row r="4931" spans="1:16" x14ac:dyDescent="0.3">
      <c r="A4931">
        <v>22728</v>
      </c>
      <c r="B4931">
        <v>105</v>
      </c>
      <c r="C4931" t="s">
        <v>557</v>
      </c>
      <c r="D4931" s="452">
        <v>45717</v>
      </c>
      <c r="E4931">
        <v>18220</v>
      </c>
      <c r="F4931" t="s">
        <v>5147</v>
      </c>
      <c r="G4931">
        <v>3408</v>
      </c>
      <c r="H4931">
        <v>1.2</v>
      </c>
      <c r="I4931" t="s">
        <v>4805</v>
      </c>
      <c r="J4931" t="s">
        <v>5222</v>
      </c>
      <c r="K4931" t="s">
        <v>4476</v>
      </c>
      <c r="L4931">
        <v>0</v>
      </c>
      <c r="M4931" s="452">
        <v>45436</v>
      </c>
      <c r="N4931">
        <v>190.7</v>
      </c>
      <c r="O4931">
        <v>79.03</v>
      </c>
      <c r="P4931">
        <v>228.84</v>
      </c>
    </row>
    <row r="4932" spans="1:16" x14ac:dyDescent="0.3">
      <c r="A4932">
        <v>22806</v>
      </c>
      <c r="B4932">
        <v>105</v>
      </c>
      <c r="C4932" t="s">
        <v>557</v>
      </c>
      <c r="D4932" s="452">
        <v>45717</v>
      </c>
      <c r="E4932">
        <v>17658</v>
      </c>
      <c r="F4932" t="s">
        <v>4978</v>
      </c>
      <c r="G4932">
        <v>3871</v>
      </c>
      <c r="H4932">
        <v>4</v>
      </c>
      <c r="I4932" t="s">
        <v>4805</v>
      </c>
      <c r="J4932" t="s">
        <v>5222</v>
      </c>
      <c r="K4932" t="s">
        <v>4476</v>
      </c>
      <c r="L4932">
        <v>0</v>
      </c>
      <c r="M4932" s="452">
        <v>45596</v>
      </c>
      <c r="N4932">
        <v>56</v>
      </c>
      <c r="O4932">
        <v>56</v>
      </c>
      <c r="P4932">
        <v>224</v>
      </c>
    </row>
    <row r="4933" spans="1:16" x14ac:dyDescent="0.3">
      <c r="A4933">
        <v>22752</v>
      </c>
      <c r="B4933">
        <v>105</v>
      </c>
      <c r="C4933" t="s">
        <v>557</v>
      </c>
      <c r="D4933" s="452">
        <v>45717</v>
      </c>
      <c r="E4933">
        <v>17950</v>
      </c>
      <c r="F4933" t="s">
        <v>5091</v>
      </c>
      <c r="G4933">
        <v>3626</v>
      </c>
      <c r="H4933">
        <v>13</v>
      </c>
      <c r="I4933" t="s">
        <v>4738</v>
      </c>
      <c r="J4933" t="s">
        <v>5222</v>
      </c>
      <c r="K4933" t="s">
        <v>4476</v>
      </c>
      <c r="L4933">
        <v>17.100000000000001</v>
      </c>
      <c r="M4933" s="452">
        <v>45714</v>
      </c>
      <c r="N4933">
        <v>17.100000000000001</v>
      </c>
      <c r="O4933">
        <v>17.100000000000001</v>
      </c>
      <c r="P4933">
        <v>222.3</v>
      </c>
    </row>
    <row r="4934" spans="1:16" x14ac:dyDescent="0.3">
      <c r="A4934">
        <v>22763</v>
      </c>
      <c r="B4934">
        <v>105</v>
      </c>
      <c r="C4934" t="s">
        <v>557</v>
      </c>
      <c r="D4934" s="452">
        <v>45717</v>
      </c>
      <c r="E4934">
        <v>24226</v>
      </c>
      <c r="F4934" t="s">
        <v>4795</v>
      </c>
      <c r="G4934">
        <v>3647</v>
      </c>
      <c r="H4934">
        <v>33</v>
      </c>
      <c r="I4934" t="s">
        <v>4736</v>
      </c>
      <c r="J4934" t="s">
        <v>5222</v>
      </c>
      <c r="K4934" t="s">
        <v>4476</v>
      </c>
      <c r="L4934">
        <v>0</v>
      </c>
      <c r="M4934" s="452">
        <v>45532</v>
      </c>
      <c r="N4934">
        <v>6.42</v>
      </c>
      <c r="O4934">
        <v>6.09</v>
      </c>
      <c r="P4934">
        <v>211.86</v>
      </c>
    </row>
    <row r="4935" spans="1:16" x14ac:dyDescent="0.3">
      <c r="A4935">
        <v>22764</v>
      </c>
      <c r="B4935">
        <v>105</v>
      </c>
      <c r="C4935" t="s">
        <v>557</v>
      </c>
      <c r="D4935" s="452">
        <v>45717</v>
      </c>
      <c r="E4935">
        <v>24227</v>
      </c>
      <c r="F4935" t="s">
        <v>4806</v>
      </c>
      <c r="G4935">
        <v>3648</v>
      </c>
      <c r="H4935">
        <v>33</v>
      </c>
      <c r="I4935" t="s">
        <v>4736</v>
      </c>
      <c r="J4935" t="s">
        <v>5222</v>
      </c>
      <c r="K4935" t="s">
        <v>4476</v>
      </c>
      <c r="L4935">
        <v>0</v>
      </c>
      <c r="M4935" s="452">
        <v>45393</v>
      </c>
      <c r="N4935">
        <v>6.42</v>
      </c>
      <c r="O4935">
        <v>6.09</v>
      </c>
      <c r="P4935">
        <v>211.86</v>
      </c>
    </row>
    <row r="4936" spans="1:16" x14ac:dyDescent="0.3">
      <c r="A4936">
        <v>22392</v>
      </c>
      <c r="B4936">
        <v>105</v>
      </c>
      <c r="C4936" t="s">
        <v>557</v>
      </c>
      <c r="D4936" s="452">
        <v>45717</v>
      </c>
      <c r="E4936">
        <v>21093</v>
      </c>
      <c r="F4936" t="s">
        <v>4855</v>
      </c>
      <c r="G4936">
        <v>1988</v>
      </c>
      <c r="H4936">
        <v>43</v>
      </c>
      <c r="I4936" t="s">
        <v>4744</v>
      </c>
      <c r="J4936" t="s">
        <v>5191</v>
      </c>
      <c r="K4936" t="s">
        <v>4476</v>
      </c>
      <c r="L4936">
        <v>4.79</v>
      </c>
      <c r="M4936" s="452">
        <v>45706</v>
      </c>
      <c r="N4936">
        <v>4.99</v>
      </c>
      <c r="O4936">
        <v>5.01</v>
      </c>
      <c r="P4936">
        <v>205.97</v>
      </c>
    </row>
    <row r="4937" spans="1:16" x14ac:dyDescent="0.3">
      <c r="A4937">
        <v>22492</v>
      </c>
      <c r="B4937">
        <v>105</v>
      </c>
      <c r="C4937" t="s">
        <v>557</v>
      </c>
      <c r="D4937" s="452">
        <v>45717</v>
      </c>
      <c r="E4937">
        <v>21000</v>
      </c>
      <c r="F4937" t="s">
        <v>4818</v>
      </c>
      <c r="G4937">
        <v>2008</v>
      </c>
      <c r="H4937">
        <v>12</v>
      </c>
      <c r="I4937" t="s">
        <v>4736</v>
      </c>
      <c r="J4937" t="s">
        <v>5191</v>
      </c>
      <c r="K4937" t="s">
        <v>4476</v>
      </c>
      <c r="L4937">
        <v>0</v>
      </c>
      <c r="M4937" s="452">
        <v>45678</v>
      </c>
      <c r="N4937">
        <v>16.72</v>
      </c>
      <c r="O4937">
        <v>16.72</v>
      </c>
      <c r="P4937">
        <v>200.64</v>
      </c>
    </row>
    <row r="4938" spans="1:16" x14ac:dyDescent="0.3">
      <c r="A4938">
        <v>22713</v>
      </c>
      <c r="B4938">
        <v>105</v>
      </c>
      <c r="C4938" t="s">
        <v>557</v>
      </c>
      <c r="D4938" s="452">
        <v>45717</v>
      </c>
      <c r="E4938">
        <v>18394</v>
      </c>
      <c r="F4938" t="s">
        <v>5032</v>
      </c>
      <c r="G4938">
        <v>3246</v>
      </c>
      <c r="H4938">
        <v>1.1000000000000001</v>
      </c>
      <c r="I4938" t="s">
        <v>4805</v>
      </c>
      <c r="J4938" t="s">
        <v>5222</v>
      </c>
      <c r="K4938" t="s">
        <v>4476</v>
      </c>
      <c r="L4938">
        <v>0</v>
      </c>
      <c r="M4938" s="452">
        <v>45589</v>
      </c>
      <c r="N4938">
        <v>182</v>
      </c>
      <c r="O4938">
        <v>146.9</v>
      </c>
      <c r="P4938">
        <v>200.2</v>
      </c>
    </row>
    <row r="4939" spans="1:16" x14ac:dyDescent="0.3">
      <c r="A4939">
        <v>22405</v>
      </c>
      <c r="B4939">
        <v>105</v>
      </c>
      <c r="C4939" t="s">
        <v>557</v>
      </c>
      <c r="D4939" s="452">
        <v>45717</v>
      </c>
      <c r="E4939">
        <v>20751</v>
      </c>
      <c r="F4939" t="s">
        <v>5004</v>
      </c>
      <c r="G4939">
        <v>2088</v>
      </c>
      <c r="H4939">
        <v>2</v>
      </c>
      <c r="I4939" t="s">
        <v>4884</v>
      </c>
      <c r="J4939" t="s">
        <v>5191</v>
      </c>
      <c r="K4939" t="s">
        <v>4476</v>
      </c>
      <c r="L4939">
        <v>99.99</v>
      </c>
      <c r="M4939" s="452">
        <v>45713</v>
      </c>
      <c r="N4939">
        <v>99.99</v>
      </c>
      <c r="O4939">
        <v>99.99</v>
      </c>
      <c r="P4939">
        <v>199.98</v>
      </c>
    </row>
    <row r="4940" spans="1:16" x14ac:dyDescent="0.3">
      <c r="A4940">
        <v>22702</v>
      </c>
      <c r="B4940">
        <v>105</v>
      </c>
      <c r="C4940" t="s">
        <v>557</v>
      </c>
      <c r="D4940" s="452">
        <v>45717</v>
      </c>
      <c r="E4940">
        <v>18547</v>
      </c>
      <c r="F4940" t="s">
        <v>4863</v>
      </c>
      <c r="G4940">
        <v>3132</v>
      </c>
      <c r="H4940">
        <v>5.0999999999999996</v>
      </c>
      <c r="I4940" t="s">
        <v>4805</v>
      </c>
      <c r="J4940" t="s">
        <v>5222</v>
      </c>
      <c r="K4940" t="s">
        <v>4476</v>
      </c>
      <c r="L4940">
        <v>38.89</v>
      </c>
      <c r="M4940" s="452">
        <v>45695</v>
      </c>
      <c r="N4940">
        <v>38.89</v>
      </c>
      <c r="O4940">
        <v>35.979999999999997</v>
      </c>
      <c r="P4940">
        <v>198.34</v>
      </c>
    </row>
    <row r="4941" spans="1:16" x14ac:dyDescent="0.3">
      <c r="A4941">
        <v>22705</v>
      </c>
      <c r="B4941">
        <v>105</v>
      </c>
      <c r="C4941" t="s">
        <v>557</v>
      </c>
      <c r="D4941" s="452">
        <v>45717</v>
      </c>
      <c r="E4941">
        <v>18538</v>
      </c>
      <c r="F4941" t="s">
        <v>5030</v>
      </c>
      <c r="G4941">
        <v>3139</v>
      </c>
      <c r="H4941">
        <v>2</v>
      </c>
      <c r="I4941" t="s">
        <v>4805</v>
      </c>
      <c r="J4941" t="s">
        <v>5222</v>
      </c>
      <c r="K4941" t="s">
        <v>4476</v>
      </c>
      <c r="L4941">
        <v>0</v>
      </c>
      <c r="M4941" s="452">
        <v>45653</v>
      </c>
      <c r="N4941">
        <v>98.9</v>
      </c>
      <c r="O4941">
        <v>99.69</v>
      </c>
      <c r="P4941">
        <v>197.8</v>
      </c>
    </row>
    <row r="4942" spans="1:16" x14ac:dyDescent="0.3">
      <c r="A4942">
        <v>22642</v>
      </c>
      <c r="B4942">
        <v>105</v>
      </c>
      <c r="C4942" t="s">
        <v>557</v>
      </c>
      <c r="D4942" s="452">
        <v>45717</v>
      </c>
      <c r="E4942">
        <v>25130</v>
      </c>
      <c r="F4942" t="s">
        <v>5476</v>
      </c>
      <c r="G4942">
        <v>5907</v>
      </c>
      <c r="H4942">
        <v>5.49</v>
      </c>
      <c r="I4942" t="s">
        <v>4744</v>
      </c>
      <c r="J4942" t="s">
        <v>5191</v>
      </c>
      <c r="K4942" t="s">
        <v>4476</v>
      </c>
      <c r="L4942">
        <v>0</v>
      </c>
      <c r="M4942" s="452">
        <v>-693593</v>
      </c>
      <c r="N4942">
        <v>0</v>
      </c>
      <c r="O4942">
        <v>33.799999999999997</v>
      </c>
      <c r="P4942">
        <v>197.64</v>
      </c>
    </row>
    <row r="4943" spans="1:16" x14ac:dyDescent="0.3">
      <c r="A4943">
        <v>22603</v>
      </c>
      <c r="B4943">
        <v>105</v>
      </c>
      <c r="C4943" t="s">
        <v>557</v>
      </c>
      <c r="D4943" s="452">
        <v>45717</v>
      </c>
      <c r="E4943">
        <v>23179</v>
      </c>
      <c r="F4943" t="s">
        <v>5577</v>
      </c>
      <c r="G4943">
        <v>2675</v>
      </c>
      <c r="H4943">
        <v>32.9</v>
      </c>
      <c r="I4943" t="s">
        <v>4744</v>
      </c>
      <c r="J4943" t="s">
        <v>5191</v>
      </c>
      <c r="K4943" t="s">
        <v>4476</v>
      </c>
      <c r="L4943">
        <v>0</v>
      </c>
      <c r="M4943" s="452">
        <v>45684</v>
      </c>
      <c r="N4943">
        <v>6</v>
      </c>
      <c r="O4943">
        <v>0.12</v>
      </c>
      <c r="P4943">
        <v>197.4</v>
      </c>
    </row>
    <row r="4944" spans="1:16" x14ac:dyDescent="0.3">
      <c r="A4944">
        <v>22476</v>
      </c>
      <c r="B4944">
        <v>105</v>
      </c>
      <c r="C4944" t="s">
        <v>557</v>
      </c>
      <c r="D4944" s="452">
        <v>45717</v>
      </c>
      <c r="E4944">
        <v>20122</v>
      </c>
      <c r="F4944" t="s">
        <v>4781</v>
      </c>
      <c r="G4944">
        <v>2290</v>
      </c>
      <c r="H4944">
        <v>14</v>
      </c>
      <c r="I4944" t="s">
        <v>4738</v>
      </c>
      <c r="J4944" t="s">
        <v>5191</v>
      </c>
      <c r="K4944" t="s">
        <v>4476</v>
      </c>
      <c r="L4944">
        <v>13.7</v>
      </c>
      <c r="M4944" s="452">
        <v>45706</v>
      </c>
      <c r="N4944">
        <v>13.7</v>
      </c>
      <c r="O4944">
        <v>13.7</v>
      </c>
      <c r="P4944">
        <v>191.8</v>
      </c>
    </row>
    <row r="4945" spans="1:16" x14ac:dyDescent="0.3">
      <c r="A4945">
        <v>22417</v>
      </c>
      <c r="B4945">
        <v>105</v>
      </c>
      <c r="C4945" t="s">
        <v>557</v>
      </c>
      <c r="D4945" s="452">
        <v>45717</v>
      </c>
      <c r="E4945">
        <v>20054</v>
      </c>
      <c r="F4945" t="s">
        <v>4856</v>
      </c>
      <c r="G4945">
        <v>2325</v>
      </c>
      <c r="H4945">
        <v>18</v>
      </c>
      <c r="I4945" t="s">
        <v>4736</v>
      </c>
      <c r="J4945" t="s">
        <v>5191</v>
      </c>
      <c r="K4945" t="s">
        <v>4476</v>
      </c>
      <c r="L4945">
        <v>10.55</v>
      </c>
      <c r="M4945" s="452">
        <v>45706</v>
      </c>
      <c r="N4945">
        <v>10.55</v>
      </c>
      <c r="O4945">
        <v>10.7</v>
      </c>
      <c r="P4945">
        <v>189.9</v>
      </c>
    </row>
    <row r="4946" spans="1:16" x14ac:dyDescent="0.3">
      <c r="A4946">
        <v>22697</v>
      </c>
      <c r="B4946">
        <v>105</v>
      </c>
      <c r="C4946" t="s">
        <v>557</v>
      </c>
      <c r="D4946" s="452">
        <v>45717</v>
      </c>
      <c r="E4946">
        <v>24192</v>
      </c>
      <c r="F4946" t="s">
        <v>4772</v>
      </c>
      <c r="G4946">
        <v>3099</v>
      </c>
      <c r="H4946">
        <v>31</v>
      </c>
      <c r="I4946" t="s">
        <v>4736</v>
      </c>
      <c r="J4946" t="s">
        <v>5222</v>
      </c>
      <c r="K4946" t="s">
        <v>4476</v>
      </c>
      <c r="L4946">
        <v>0</v>
      </c>
      <c r="M4946" s="452">
        <v>45679</v>
      </c>
      <c r="N4946">
        <v>6.12</v>
      </c>
      <c r="O4946">
        <v>6.12</v>
      </c>
      <c r="P4946">
        <v>189.72</v>
      </c>
    </row>
    <row r="4947" spans="1:16" x14ac:dyDescent="0.3">
      <c r="A4947">
        <v>22726</v>
      </c>
      <c r="B4947">
        <v>105</v>
      </c>
      <c r="C4947" t="s">
        <v>557</v>
      </c>
      <c r="D4947" s="452">
        <v>45717</v>
      </c>
      <c r="E4947">
        <v>18233</v>
      </c>
      <c r="F4947" t="s">
        <v>4970</v>
      </c>
      <c r="G4947">
        <v>3395</v>
      </c>
      <c r="H4947">
        <v>2.1</v>
      </c>
      <c r="I4947" t="s">
        <v>4805</v>
      </c>
      <c r="J4947" t="s">
        <v>5222</v>
      </c>
      <c r="K4947" t="s">
        <v>4476</v>
      </c>
      <c r="L4947">
        <v>0</v>
      </c>
      <c r="M4947" s="452">
        <v>45638</v>
      </c>
      <c r="N4947">
        <v>88.9</v>
      </c>
      <c r="O4947">
        <v>91.9</v>
      </c>
      <c r="P4947">
        <v>186.69</v>
      </c>
    </row>
    <row r="4948" spans="1:16" x14ac:dyDescent="0.3">
      <c r="A4948">
        <v>22805</v>
      </c>
      <c r="B4948">
        <v>105</v>
      </c>
      <c r="C4948" t="s">
        <v>557</v>
      </c>
      <c r="D4948" s="452">
        <v>45717</v>
      </c>
      <c r="E4948">
        <v>24642</v>
      </c>
      <c r="F4948" t="s">
        <v>5460</v>
      </c>
      <c r="G4948">
        <v>5692</v>
      </c>
      <c r="H4948">
        <v>4</v>
      </c>
      <c r="I4948" t="s">
        <v>4805</v>
      </c>
      <c r="J4948" t="s">
        <v>5222</v>
      </c>
      <c r="K4948" t="s">
        <v>4476</v>
      </c>
      <c r="L4948">
        <v>0</v>
      </c>
      <c r="M4948" s="452">
        <v>45596</v>
      </c>
      <c r="N4948">
        <v>46</v>
      </c>
      <c r="O4948">
        <v>46</v>
      </c>
      <c r="P4948">
        <v>184</v>
      </c>
    </row>
    <row r="4949" spans="1:16" x14ac:dyDescent="0.3">
      <c r="A4949">
        <v>22418</v>
      </c>
      <c r="B4949">
        <v>105</v>
      </c>
      <c r="C4949" t="s">
        <v>557</v>
      </c>
      <c r="D4949" s="452">
        <v>45717</v>
      </c>
      <c r="E4949">
        <v>20060</v>
      </c>
      <c r="F4949" t="s">
        <v>5539</v>
      </c>
      <c r="G4949">
        <v>2324</v>
      </c>
      <c r="H4949">
        <v>5.2</v>
      </c>
      <c r="I4949" t="s">
        <v>4736</v>
      </c>
      <c r="J4949" t="s">
        <v>5191</v>
      </c>
      <c r="K4949" t="s">
        <v>4476</v>
      </c>
      <c r="L4949">
        <v>34.9</v>
      </c>
      <c r="M4949" s="452">
        <v>45706</v>
      </c>
      <c r="N4949">
        <v>34.9</v>
      </c>
      <c r="O4949">
        <v>34.9</v>
      </c>
      <c r="P4949">
        <v>181.48</v>
      </c>
    </row>
    <row r="4950" spans="1:16" x14ac:dyDescent="0.3">
      <c r="A4950">
        <v>22483</v>
      </c>
      <c r="B4950">
        <v>105</v>
      </c>
      <c r="C4950" t="s">
        <v>557</v>
      </c>
      <c r="D4950" s="452">
        <v>45717</v>
      </c>
      <c r="E4950">
        <v>19979</v>
      </c>
      <c r="F4950" t="s">
        <v>5270</v>
      </c>
      <c r="G4950">
        <v>2353</v>
      </c>
      <c r="H4950">
        <v>12</v>
      </c>
      <c r="I4950" t="s">
        <v>4888</v>
      </c>
      <c r="J4950" t="s">
        <v>5191</v>
      </c>
      <c r="K4950" t="s">
        <v>4476</v>
      </c>
      <c r="L4950">
        <v>14.98</v>
      </c>
      <c r="M4950" s="452">
        <v>45713</v>
      </c>
      <c r="N4950">
        <v>14.98</v>
      </c>
      <c r="O4950">
        <v>14.98</v>
      </c>
      <c r="P4950">
        <v>179.76</v>
      </c>
    </row>
    <row r="4951" spans="1:16" x14ac:dyDescent="0.3">
      <c r="A4951">
        <v>22437</v>
      </c>
      <c r="B4951">
        <v>105</v>
      </c>
      <c r="C4951" t="s">
        <v>557</v>
      </c>
      <c r="D4951" s="452">
        <v>45717</v>
      </c>
      <c r="E4951">
        <v>20382</v>
      </c>
      <c r="F4951" t="s">
        <v>4780</v>
      </c>
      <c r="G4951">
        <v>2196</v>
      </c>
      <c r="H4951">
        <v>20</v>
      </c>
      <c r="I4951" t="s">
        <v>4738</v>
      </c>
      <c r="J4951" t="s">
        <v>5191</v>
      </c>
      <c r="K4951" t="s">
        <v>4476</v>
      </c>
      <c r="L4951">
        <v>8.9</v>
      </c>
      <c r="M4951" s="452">
        <v>45701</v>
      </c>
      <c r="N4951">
        <v>8.9</v>
      </c>
      <c r="O4951">
        <v>8.9</v>
      </c>
      <c r="P4951">
        <v>178</v>
      </c>
    </row>
    <row r="4952" spans="1:16" x14ac:dyDescent="0.3">
      <c r="A4952">
        <v>22741</v>
      </c>
      <c r="B4952">
        <v>105</v>
      </c>
      <c r="C4952" t="s">
        <v>557</v>
      </c>
      <c r="D4952" s="452">
        <v>45717</v>
      </c>
      <c r="E4952">
        <v>22223</v>
      </c>
      <c r="F4952" t="s">
        <v>5437</v>
      </c>
      <c r="G4952">
        <v>3498</v>
      </c>
      <c r="H4952">
        <v>0.65</v>
      </c>
      <c r="I4952" t="s">
        <v>4955</v>
      </c>
      <c r="J4952" t="s">
        <v>5222</v>
      </c>
      <c r="K4952" t="s">
        <v>4476</v>
      </c>
      <c r="L4952">
        <v>0</v>
      </c>
      <c r="M4952" s="452">
        <v>45672</v>
      </c>
      <c r="N4952">
        <v>269.89999999999998</v>
      </c>
      <c r="O4952">
        <v>269.89999999999998</v>
      </c>
      <c r="P4952">
        <v>175.44</v>
      </c>
    </row>
    <row r="4953" spans="1:16" x14ac:dyDescent="0.3">
      <c r="A4953">
        <v>22563</v>
      </c>
      <c r="B4953">
        <v>105</v>
      </c>
      <c r="C4953" t="s">
        <v>557</v>
      </c>
      <c r="D4953" s="452">
        <v>45717</v>
      </c>
      <c r="E4953">
        <v>19752</v>
      </c>
      <c r="F4953" t="s">
        <v>4807</v>
      </c>
      <c r="G4953">
        <v>2501</v>
      </c>
      <c r="H4953">
        <v>16.149999999999999</v>
      </c>
      <c r="I4953" t="s">
        <v>4744</v>
      </c>
      <c r="J4953" t="s">
        <v>5191</v>
      </c>
      <c r="K4953" t="s">
        <v>4476</v>
      </c>
      <c r="L4953">
        <v>10.75</v>
      </c>
      <c r="M4953" s="452">
        <v>45716</v>
      </c>
      <c r="N4953">
        <v>10</v>
      </c>
      <c r="O4953">
        <v>10</v>
      </c>
      <c r="P4953">
        <v>173.61</v>
      </c>
    </row>
    <row r="4954" spans="1:16" x14ac:dyDescent="0.3">
      <c r="A4954">
        <v>22420</v>
      </c>
      <c r="B4954">
        <v>105</v>
      </c>
      <c r="C4954" t="s">
        <v>557</v>
      </c>
      <c r="D4954" s="452">
        <v>45717</v>
      </c>
      <c r="E4954">
        <v>20044</v>
      </c>
      <c r="F4954" t="s">
        <v>4932</v>
      </c>
      <c r="G4954">
        <v>2329</v>
      </c>
      <c r="H4954">
        <v>8</v>
      </c>
      <c r="I4954" t="s">
        <v>4744</v>
      </c>
      <c r="J4954" t="s">
        <v>5191</v>
      </c>
      <c r="K4954" t="s">
        <v>4476</v>
      </c>
      <c r="L4954">
        <v>0</v>
      </c>
      <c r="M4954" s="452">
        <v>45639</v>
      </c>
      <c r="N4954">
        <v>21</v>
      </c>
      <c r="O4954">
        <v>21.9</v>
      </c>
      <c r="P4954">
        <v>168</v>
      </c>
    </row>
    <row r="4955" spans="1:16" x14ac:dyDescent="0.3">
      <c r="A4955">
        <v>22739</v>
      </c>
      <c r="B4955">
        <v>105</v>
      </c>
      <c r="C4955" t="s">
        <v>557</v>
      </c>
      <c r="D4955" s="452">
        <v>45717</v>
      </c>
      <c r="E4955">
        <v>18117</v>
      </c>
      <c r="F4955" t="s">
        <v>5563</v>
      </c>
      <c r="G4955">
        <v>3496</v>
      </c>
      <c r="H4955">
        <v>2</v>
      </c>
      <c r="I4955" t="s">
        <v>4736</v>
      </c>
      <c r="J4955" t="s">
        <v>5222</v>
      </c>
      <c r="K4955" t="s">
        <v>4476</v>
      </c>
      <c r="L4955">
        <v>0</v>
      </c>
      <c r="M4955" s="452">
        <v>45672</v>
      </c>
      <c r="N4955">
        <v>82.19</v>
      </c>
      <c r="O4955">
        <v>82.19</v>
      </c>
      <c r="P4955">
        <v>164.38</v>
      </c>
    </row>
    <row r="4956" spans="1:16" x14ac:dyDescent="0.3">
      <c r="A4956">
        <v>22742</v>
      </c>
      <c r="B4956">
        <v>105</v>
      </c>
      <c r="C4956" t="s">
        <v>557</v>
      </c>
      <c r="D4956" s="452">
        <v>45717</v>
      </c>
      <c r="E4956">
        <v>18111</v>
      </c>
      <c r="F4956" t="s">
        <v>5049</v>
      </c>
      <c r="G4956">
        <v>3500</v>
      </c>
      <c r="H4956">
        <v>1.9</v>
      </c>
      <c r="I4956" t="s">
        <v>4805</v>
      </c>
      <c r="J4956" t="s">
        <v>5222</v>
      </c>
      <c r="K4956" t="s">
        <v>4476</v>
      </c>
      <c r="L4956">
        <v>0</v>
      </c>
      <c r="M4956" s="452">
        <v>45470</v>
      </c>
      <c r="N4956">
        <v>85.93</v>
      </c>
      <c r="O4956">
        <v>92.47</v>
      </c>
      <c r="P4956">
        <v>163.27000000000001</v>
      </c>
    </row>
    <row r="4957" spans="1:16" x14ac:dyDescent="0.3">
      <c r="A4957">
        <v>22729</v>
      </c>
      <c r="B4957">
        <v>105</v>
      </c>
      <c r="C4957" t="s">
        <v>557</v>
      </c>
      <c r="D4957" s="452">
        <v>45717</v>
      </c>
      <c r="E4957">
        <v>18219</v>
      </c>
      <c r="F4957" t="s">
        <v>4972</v>
      </c>
      <c r="G4957">
        <v>3409</v>
      </c>
      <c r="H4957">
        <v>1</v>
      </c>
      <c r="I4957" t="s">
        <v>4805</v>
      </c>
      <c r="J4957" t="s">
        <v>5222</v>
      </c>
      <c r="K4957" t="s">
        <v>4476</v>
      </c>
      <c r="L4957">
        <v>0</v>
      </c>
      <c r="M4957" s="452">
        <v>45639</v>
      </c>
      <c r="N4957">
        <v>159.9</v>
      </c>
      <c r="O4957">
        <v>95.95</v>
      </c>
      <c r="P4957">
        <v>159.9</v>
      </c>
    </row>
    <row r="4958" spans="1:16" x14ac:dyDescent="0.3">
      <c r="A4958">
        <v>22677</v>
      </c>
      <c r="B4958">
        <v>105</v>
      </c>
      <c r="C4958" t="s">
        <v>557</v>
      </c>
      <c r="D4958" s="452">
        <v>45717</v>
      </c>
      <c r="E4958">
        <v>25205</v>
      </c>
      <c r="F4958" t="s">
        <v>4850</v>
      </c>
      <c r="G4958">
        <v>5944</v>
      </c>
      <c r="H4958">
        <v>5</v>
      </c>
      <c r="I4958" t="s">
        <v>4744</v>
      </c>
      <c r="J4958" t="s">
        <v>5191</v>
      </c>
      <c r="K4958" t="s">
        <v>4476</v>
      </c>
      <c r="L4958">
        <v>0</v>
      </c>
      <c r="M4958" s="452">
        <v>45707</v>
      </c>
      <c r="N4958">
        <v>0</v>
      </c>
      <c r="O4958">
        <v>24</v>
      </c>
      <c r="P4958">
        <v>159.53</v>
      </c>
    </row>
    <row r="4959" spans="1:16" x14ac:dyDescent="0.3">
      <c r="A4959">
        <v>22396</v>
      </c>
      <c r="B4959">
        <v>105</v>
      </c>
      <c r="C4959" t="s">
        <v>557</v>
      </c>
      <c r="D4959" s="452">
        <v>45717</v>
      </c>
      <c r="E4959">
        <v>20756</v>
      </c>
      <c r="F4959" t="s">
        <v>5001</v>
      </c>
      <c r="G4959">
        <v>2086</v>
      </c>
      <c r="H4959">
        <v>2</v>
      </c>
      <c r="I4959" t="s">
        <v>4736</v>
      </c>
      <c r="J4959" t="s">
        <v>5191</v>
      </c>
      <c r="K4959" t="s">
        <v>4476</v>
      </c>
      <c r="L4959">
        <v>0</v>
      </c>
      <c r="M4959" s="452">
        <v>45607</v>
      </c>
      <c r="N4959">
        <v>79.2</v>
      </c>
      <c r="O4959">
        <v>78.900000000000006</v>
      </c>
      <c r="P4959">
        <v>158.4</v>
      </c>
    </row>
    <row r="4960" spans="1:16" x14ac:dyDescent="0.3">
      <c r="A4960">
        <v>22408</v>
      </c>
      <c r="B4960">
        <v>105</v>
      </c>
      <c r="C4960" t="s">
        <v>557</v>
      </c>
      <c r="D4960" s="452">
        <v>45717</v>
      </c>
      <c r="E4960">
        <v>20729</v>
      </c>
      <c r="F4960" t="s">
        <v>5554</v>
      </c>
      <c r="G4960">
        <v>2093</v>
      </c>
      <c r="H4960">
        <v>3</v>
      </c>
      <c r="I4960" t="s">
        <v>4884</v>
      </c>
      <c r="J4960" t="s">
        <v>5191</v>
      </c>
      <c r="K4960" t="s">
        <v>4476</v>
      </c>
      <c r="L4960">
        <v>52.79</v>
      </c>
      <c r="M4960" s="452">
        <v>45695</v>
      </c>
      <c r="N4960">
        <v>52.79</v>
      </c>
      <c r="O4960">
        <v>52.98</v>
      </c>
      <c r="P4960">
        <v>158.37</v>
      </c>
    </row>
    <row r="4961" spans="1:16" x14ac:dyDescent="0.3">
      <c r="A4961">
        <v>22494</v>
      </c>
      <c r="B4961">
        <v>105</v>
      </c>
      <c r="C4961" t="s">
        <v>557</v>
      </c>
      <c r="D4961" s="452">
        <v>45717</v>
      </c>
      <c r="E4961">
        <v>20985</v>
      </c>
      <c r="F4961" t="s">
        <v>5494</v>
      </c>
      <c r="G4961">
        <v>2011</v>
      </c>
      <c r="H4961">
        <v>18</v>
      </c>
      <c r="I4961" t="s">
        <v>4736</v>
      </c>
      <c r="J4961" t="s">
        <v>5191</v>
      </c>
      <c r="K4961" t="s">
        <v>4476</v>
      </c>
      <c r="L4961">
        <v>0</v>
      </c>
      <c r="M4961" s="452">
        <v>45675</v>
      </c>
      <c r="N4961">
        <v>8.7799999999999994</v>
      </c>
      <c r="O4961">
        <v>8.8800000000000008</v>
      </c>
      <c r="P4961">
        <v>158.04</v>
      </c>
    </row>
    <row r="4962" spans="1:16" x14ac:dyDescent="0.3">
      <c r="A4962">
        <v>22455</v>
      </c>
      <c r="B4962">
        <v>105</v>
      </c>
      <c r="C4962" t="s">
        <v>557</v>
      </c>
      <c r="D4962" s="452">
        <v>45717</v>
      </c>
      <c r="E4962">
        <v>24284</v>
      </c>
      <c r="F4962" t="s">
        <v>5556</v>
      </c>
      <c r="G4962">
        <v>2038</v>
      </c>
      <c r="H4962">
        <v>3</v>
      </c>
      <c r="I4962" t="s">
        <v>4744</v>
      </c>
      <c r="J4962" t="s">
        <v>5191</v>
      </c>
      <c r="K4962" t="s">
        <v>4476</v>
      </c>
      <c r="L4962">
        <v>0</v>
      </c>
      <c r="M4962" s="452">
        <v>-693593</v>
      </c>
      <c r="N4962">
        <v>0</v>
      </c>
      <c r="O4962">
        <v>52.2</v>
      </c>
      <c r="P4962">
        <v>156.6</v>
      </c>
    </row>
    <row r="4963" spans="1:16" x14ac:dyDescent="0.3">
      <c r="A4963">
        <v>22580</v>
      </c>
      <c r="B4963">
        <v>105</v>
      </c>
      <c r="C4963" t="s">
        <v>557</v>
      </c>
      <c r="D4963" s="452">
        <v>45717</v>
      </c>
      <c r="E4963">
        <v>23095</v>
      </c>
      <c r="F4963" t="s">
        <v>4741</v>
      </c>
      <c r="G4963">
        <v>2754</v>
      </c>
      <c r="H4963">
        <v>125</v>
      </c>
      <c r="I4963" t="s">
        <v>4736</v>
      </c>
      <c r="J4963" t="s">
        <v>5191</v>
      </c>
      <c r="K4963" t="s">
        <v>4476</v>
      </c>
      <c r="L4963">
        <v>1.23</v>
      </c>
      <c r="M4963" s="452">
        <v>45713</v>
      </c>
      <c r="N4963">
        <v>1</v>
      </c>
      <c r="O4963">
        <v>0.01</v>
      </c>
      <c r="P4963">
        <v>153.75</v>
      </c>
    </row>
    <row r="4964" spans="1:16" x14ac:dyDescent="0.3">
      <c r="A4964">
        <v>22400</v>
      </c>
      <c r="B4964">
        <v>105</v>
      </c>
      <c r="C4964" t="s">
        <v>557</v>
      </c>
      <c r="D4964" s="452">
        <v>45717</v>
      </c>
      <c r="E4964">
        <v>20301</v>
      </c>
      <c r="F4964" t="s">
        <v>4944</v>
      </c>
      <c r="G4964">
        <v>2223</v>
      </c>
      <c r="H4964">
        <v>5</v>
      </c>
      <c r="I4964" t="s">
        <v>4738</v>
      </c>
      <c r="J4964" t="s">
        <v>5191</v>
      </c>
      <c r="K4964" t="s">
        <v>4476</v>
      </c>
      <c r="L4964">
        <v>30.37</v>
      </c>
      <c r="M4964" s="452">
        <v>45706</v>
      </c>
      <c r="N4964">
        <v>30.37</v>
      </c>
      <c r="O4964">
        <v>33.159999999999997</v>
      </c>
      <c r="P4964">
        <v>151.85</v>
      </c>
    </row>
    <row r="4965" spans="1:16" x14ac:dyDescent="0.3">
      <c r="A4965">
        <v>22737</v>
      </c>
      <c r="B4965">
        <v>105</v>
      </c>
      <c r="C4965" t="s">
        <v>557</v>
      </c>
      <c r="D4965" s="452">
        <v>45717</v>
      </c>
      <c r="E4965">
        <v>18129</v>
      </c>
      <c r="F4965" t="s">
        <v>5043</v>
      </c>
      <c r="G4965">
        <v>3486</v>
      </c>
      <c r="H4965">
        <v>1.1000000000000001</v>
      </c>
      <c r="I4965" t="s">
        <v>4805</v>
      </c>
      <c r="J4965" t="s">
        <v>5222</v>
      </c>
      <c r="K4965" t="s">
        <v>4476</v>
      </c>
      <c r="L4965">
        <v>0</v>
      </c>
      <c r="M4965" s="452">
        <v>45672</v>
      </c>
      <c r="N4965">
        <v>136.69</v>
      </c>
      <c r="O4965">
        <v>159.9</v>
      </c>
      <c r="P4965">
        <v>150.36000000000001</v>
      </c>
    </row>
    <row r="4966" spans="1:16" x14ac:dyDescent="0.3">
      <c r="A4966">
        <v>22565</v>
      </c>
      <c r="B4966">
        <v>105</v>
      </c>
      <c r="C4966" t="s">
        <v>557</v>
      </c>
      <c r="D4966" s="452">
        <v>45717</v>
      </c>
      <c r="E4966">
        <v>24326</v>
      </c>
      <c r="F4966" t="s">
        <v>4767</v>
      </c>
      <c r="G4966">
        <v>2499</v>
      </c>
      <c r="H4966">
        <v>49.43</v>
      </c>
      <c r="I4966" t="s">
        <v>4744</v>
      </c>
      <c r="J4966" t="s">
        <v>5191</v>
      </c>
      <c r="K4966" t="s">
        <v>4476</v>
      </c>
      <c r="L4966">
        <v>3.04</v>
      </c>
      <c r="M4966" s="452">
        <v>45716</v>
      </c>
      <c r="N4966">
        <v>2.64</v>
      </c>
      <c r="O4966">
        <v>2.63</v>
      </c>
      <c r="P4966">
        <v>150.27000000000001</v>
      </c>
    </row>
    <row r="4967" spans="1:16" x14ac:dyDescent="0.3">
      <c r="A4967">
        <v>22718</v>
      </c>
      <c r="B4967">
        <v>105</v>
      </c>
      <c r="C4967" t="s">
        <v>557</v>
      </c>
      <c r="D4967" s="452">
        <v>45717</v>
      </c>
      <c r="E4967">
        <v>24685</v>
      </c>
      <c r="F4967" t="s">
        <v>5055</v>
      </c>
      <c r="G4967">
        <v>5714</v>
      </c>
      <c r="H4967">
        <v>1</v>
      </c>
      <c r="I4967" t="s">
        <v>4805</v>
      </c>
      <c r="J4967" t="s">
        <v>5222</v>
      </c>
      <c r="K4967" t="s">
        <v>4476</v>
      </c>
      <c r="L4967">
        <v>0</v>
      </c>
      <c r="M4967" s="452">
        <v>45534</v>
      </c>
      <c r="N4967">
        <v>149.9</v>
      </c>
      <c r="O4967">
        <v>140.35</v>
      </c>
      <c r="P4967">
        <v>149.9</v>
      </c>
    </row>
    <row r="4968" spans="1:16" x14ac:dyDescent="0.3">
      <c r="A4968">
        <v>22415</v>
      </c>
      <c r="B4968">
        <v>105</v>
      </c>
      <c r="C4968" t="s">
        <v>557</v>
      </c>
      <c r="D4968" s="452">
        <v>45717</v>
      </c>
      <c r="E4968">
        <v>20269</v>
      </c>
      <c r="F4968" t="s">
        <v>5578</v>
      </c>
      <c r="G4968">
        <v>2233</v>
      </c>
      <c r="H4968">
        <v>1.9</v>
      </c>
      <c r="I4968" t="s">
        <v>4736</v>
      </c>
      <c r="J4968" t="s">
        <v>5191</v>
      </c>
      <c r="K4968" t="s">
        <v>4476</v>
      </c>
      <c r="L4968">
        <v>0</v>
      </c>
      <c r="M4968" s="452">
        <v>45646</v>
      </c>
      <c r="N4968">
        <v>78.599999999999994</v>
      </c>
      <c r="O4968">
        <v>78.599999999999994</v>
      </c>
      <c r="P4968">
        <v>149.34</v>
      </c>
    </row>
    <row r="4969" spans="1:16" x14ac:dyDescent="0.3">
      <c r="A4969">
        <v>22624</v>
      </c>
      <c r="B4969">
        <v>105</v>
      </c>
      <c r="C4969" t="s">
        <v>557</v>
      </c>
      <c r="D4969" s="452">
        <v>45717</v>
      </c>
      <c r="E4969">
        <v>19346</v>
      </c>
      <c r="F4969" t="s">
        <v>4835</v>
      </c>
      <c r="G4969">
        <v>2770</v>
      </c>
      <c r="H4969">
        <v>2.6</v>
      </c>
      <c r="I4969" t="s">
        <v>4744</v>
      </c>
      <c r="J4969" t="s">
        <v>5191</v>
      </c>
      <c r="K4969" t="s">
        <v>4476</v>
      </c>
      <c r="L4969">
        <v>54.9</v>
      </c>
      <c r="M4969" s="452">
        <v>45693</v>
      </c>
      <c r="N4969">
        <v>54.9</v>
      </c>
      <c r="O4969">
        <v>54.5</v>
      </c>
      <c r="P4969">
        <v>142.74</v>
      </c>
    </row>
    <row r="4970" spans="1:16" x14ac:dyDescent="0.3">
      <c r="A4970">
        <v>22721</v>
      </c>
      <c r="B4970">
        <v>105</v>
      </c>
      <c r="C4970" t="s">
        <v>557</v>
      </c>
      <c r="D4970" s="452">
        <v>45717</v>
      </c>
      <c r="E4970">
        <v>18295</v>
      </c>
      <c r="F4970" t="s">
        <v>4968</v>
      </c>
      <c r="G4970">
        <v>3334</v>
      </c>
      <c r="H4970">
        <v>1.2</v>
      </c>
      <c r="I4970" t="s">
        <v>4805</v>
      </c>
      <c r="J4970" t="s">
        <v>5222</v>
      </c>
      <c r="K4970" t="s">
        <v>4476</v>
      </c>
      <c r="L4970">
        <v>0</v>
      </c>
      <c r="M4970" s="452">
        <v>45672</v>
      </c>
      <c r="N4970">
        <v>116.87</v>
      </c>
      <c r="O4970">
        <v>108.9</v>
      </c>
      <c r="P4970">
        <v>140.24</v>
      </c>
    </row>
    <row r="4971" spans="1:16" x14ac:dyDescent="0.3">
      <c r="A4971">
        <v>22444</v>
      </c>
      <c r="B4971">
        <v>105</v>
      </c>
      <c r="C4971" t="s">
        <v>557</v>
      </c>
      <c r="D4971" s="452">
        <v>45717</v>
      </c>
      <c r="E4971">
        <v>20241</v>
      </c>
      <c r="F4971" t="s">
        <v>5579</v>
      </c>
      <c r="G4971">
        <v>2242</v>
      </c>
      <c r="H4971">
        <v>10</v>
      </c>
      <c r="I4971" t="s">
        <v>4736</v>
      </c>
      <c r="J4971" t="s">
        <v>5191</v>
      </c>
      <c r="K4971" t="s">
        <v>4476</v>
      </c>
      <c r="L4971">
        <v>0</v>
      </c>
      <c r="M4971" s="452">
        <v>45675</v>
      </c>
      <c r="N4971">
        <v>14</v>
      </c>
      <c r="O4971">
        <v>14</v>
      </c>
      <c r="P4971">
        <v>140</v>
      </c>
    </row>
    <row r="4972" spans="1:16" x14ac:dyDescent="0.3">
      <c r="A4972">
        <v>22635</v>
      </c>
      <c r="B4972">
        <v>105</v>
      </c>
      <c r="C4972" t="s">
        <v>557</v>
      </c>
      <c r="D4972" s="452">
        <v>45717</v>
      </c>
      <c r="E4972">
        <v>18932</v>
      </c>
      <c r="F4972" t="s">
        <v>5580</v>
      </c>
      <c r="G4972">
        <v>2930</v>
      </c>
      <c r="H4972">
        <v>4.6500000000000004</v>
      </c>
      <c r="I4972" t="s">
        <v>4744</v>
      </c>
      <c r="J4972" t="s">
        <v>5191</v>
      </c>
      <c r="K4972" t="s">
        <v>4476</v>
      </c>
      <c r="L4972">
        <v>0</v>
      </c>
      <c r="M4972" s="452">
        <v>45499</v>
      </c>
      <c r="N4972">
        <v>0</v>
      </c>
      <c r="O4972">
        <v>0</v>
      </c>
      <c r="P4972">
        <v>139.4</v>
      </c>
    </row>
    <row r="4973" spans="1:16" x14ac:dyDescent="0.3">
      <c r="A4973">
        <v>22431</v>
      </c>
      <c r="B4973">
        <v>105</v>
      </c>
      <c r="C4973" t="s">
        <v>557</v>
      </c>
      <c r="D4973" s="452">
        <v>45717</v>
      </c>
      <c r="E4973">
        <v>26020</v>
      </c>
      <c r="F4973" t="s">
        <v>5102</v>
      </c>
      <c r="G4973">
        <v>2105</v>
      </c>
      <c r="H4973">
        <v>8</v>
      </c>
      <c r="I4973" t="s">
        <v>4736</v>
      </c>
      <c r="J4973" t="s">
        <v>5191</v>
      </c>
      <c r="K4973" t="s">
        <v>4476</v>
      </c>
      <c r="L4973">
        <v>0</v>
      </c>
      <c r="M4973" s="452">
        <v>-693593</v>
      </c>
      <c r="N4973">
        <v>0</v>
      </c>
      <c r="O4973">
        <v>14.48</v>
      </c>
      <c r="P4973">
        <v>136.56</v>
      </c>
    </row>
    <row r="4974" spans="1:16" x14ac:dyDescent="0.3">
      <c r="A4974">
        <v>22725</v>
      </c>
      <c r="B4974">
        <v>105</v>
      </c>
      <c r="C4974" t="s">
        <v>557</v>
      </c>
      <c r="D4974" s="452">
        <v>45717</v>
      </c>
      <c r="E4974">
        <v>18242</v>
      </c>
      <c r="F4974" t="s">
        <v>5581</v>
      </c>
      <c r="G4974">
        <v>3386</v>
      </c>
      <c r="H4974">
        <v>0.6</v>
      </c>
      <c r="I4974" t="s">
        <v>4805</v>
      </c>
      <c r="J4974" t="s">
        <v>5222</v>
      </c>
      <c r="K4974" t="s">
        <v>4476</v>
      </c>
      <c r="L4974">
        <v>0</v>
      </c>
      <c r="M4974" s="452">
        <v>-693593</v>
      </c>
      <c r="N4974">
        <v>0</v>
      </c>
      <c r="O4974">
        <v>227.11</v>
      </c>
      <c r="P4974">
        <v>136.26</v>
      </c>
    </row>
    <row r="4975" spans="1:16" x14ac:dyDescent="0.3">
      <c r="A4975">
        <v>22789</v>
      </c>
      <c r="B4975">
        <v>105</v>
      </c>
      <c r="C4975" t="s">
        <v>557</v>
      </c>
      <c r="D4975" s="452">
        <v>45717</v>
      </c>
      <c r="E4975">
        <v>18312</v>
      </c>
      <c r="F4975" t="s">
        <v>5037</v>
      </c>
      <c r="G4975">
        <v>3321</v>
      </c>
      <c r="H4975">
        <v>1</v>
      </c>
      <c r="I4975" t="s">
        <v>4805</v>
      </c>
      <c r="J4975" t="s">
        <v>5222</v>
      </c>
      <c r="K4975" t="s">
        <v>4476</v>
      </c>
      <c r="L4975">
        <v>0</v>
      </c>
      <c r="M4975" s="452">
        <v>-693593</v>
      </c>
      <c r="N4975">
        <v>0</v>
      </c>
      <c r="O4975">
        <v>135.9</v>
      </c>
      <c r="P4975">
        <v>135.9</v>
      </c>
    </row>
    <row r="4976" spans="1:16" x14ac:dyDescent="0.3">
      <c r="A4976">
        <v>22487</v>
      </c>
      <c r="B4976">
        <v>105</v>
      </c>
      <c r="C4976" t="s">
        <v>557</v>
      </c>
      <c r="D4976" s="452">
        <v>45717</v>
      </c>
      <c r="E4976">
        <v>19964</v>
      </c>
      <c r="F4976" t="s">
        <v>4817</v>
      </c>
      <c r="G4976">
        <v>2356</v>
      </c>
      <c r="H4976">
        <v>9</v>
      </c>
      <c r="I4976" t="s">
        <v>4736</v>
      </c>
      <c r="J4976" t="s">
        <v>5191</v>
      </c>
      <c r="K4976" t="s">
        <v>4476</v>
      </c>
      <c r="L4976">
        <v>0</v>
      </c>
      <c r="M4976" s="452">
        <v>45677</v>
      </c>
      <c r="N4976">
        <v>14.96</v>
      </c>
      <c r="O4976">
        <v>14.96</v>
      </c>
      <c r="P4976">
        <v>134.63999999999999</v>
      </c>
    </row>
    <row r="4977" spans="1:16" x14ac:dyDescent="0.3">
      <c r="A4977">
        <v>22543</v>
      </c>
      <c r="B4977">
        <v>105</v>
      </c>
      <c r="C4977" t="s">
        <v>557</v>
      </c>
      <c r="D4977" s="452">
        <v>45717</v>
      </c>
      <c r="E4977">
        <v>24099</v>
      </c>
      <c r="F4977" t="s">
        <v>4933</v>
      </c>
      <c r="G4977">
        <v>2716</v>
      </c>
      <c r="H4977">
        <v>7.47</v>
      </c>
      <c r="I4977" t="s">
        <v>4744</v>
      </c>
      <c r="J4977" t="s">
        <v>5191</v>
      </c>
      <c r="K4977" t="s">
        <v>4476</v>
      </c>
      <c r="L4977">
        <v>17.21</v>
      </c>
      <c r="M4977" s="452">
        <v>45716</v>
      </c>
      <c r="N4977">
        <v>16</v>
      </c>
      <c r="O4977">
        <v>4.8099999999999996</v>
      </c>
      <c r="P4977">
        <v>128.56</v>
      </c>
    </row>
    <row r="4978" spans="1:16" x14ac:dyDescent="0.3">
      <c r="A4978">
        <v>22539</v>
      </c>
      <c r="B4978">
        <v>105</v>
      </c>
      <c r="C4978" t="s">
        <v>557</v>
      </c>
      <c r="D4978" s="452">
        <v>45717</v>
      </c>
      <c r="E4978">
        <v>19638</v>
      </c>
      <c r="F4978" t="s">
        <v>5564</v>
      </c>
      <c r="G4978">
        <v>2598</v>
      </c>
      <c r="H4978">
        <v>36.409999999999997</v>
      </c>
      <c r="I4978" t="s">
        <v>4744</v>
      </c>
      <c r="J4978" t="s">
        <v>5191</v>
      </c>
      <c r="K4978" t="s">
        <v>4476</v>
      </c>
      <c r="L4978">
        <v>3.47</v>
      </c>
      <c r="M4978" s="452">
        <v>45716</v>
      </c>
      <c r="N4978">
        <v>3.64</v>
      </c>
      <c r="O4978">
        <v>3.54</v>
      </c>
      <c r="P4978">
        <v>126.34</v>
      </c>
    </row>
    <row r="4979" spans="1:16" x14ac:dyDescent="0.3">
      <c r="A4979">
        <v>22564</v>
      </c>
      <c r="B4979">
        <v>105</v>
      </c>
      <c r="C4979" t="s">
        <v>557</v>
      </c>
      <c r="D4979" s="452">
        <v>45717</v>
      </c>
      <c r="E4979">
        <v>19751</v>
      </c>
      <c r="F4979" t="s">
        <v>4800</v>
      </c>
      <c r="G4979">
        <v>2502</v>
      </c>
      <c r="H4979">
        <v>15.8</v>
      </c>
      <c r="I4979" t="s">
        <v>4744</v>
      </c>
      <c r="J4979" t="s">
        <v>5191</v>
      </c>
      <c r="K4979" t="s">
        <v>4476</v>
      </c>
      <c r="L4979">
        <v>7.79</v>
      </c>
      <c r="M4979" s="452">
        <v>45716</v>
      </c>
      <c r="N4979">
        <v>7.5</v>
      </c>
      <c r="O4979">
        <v>2.73</v>
      </c>
      <c r="P4979">
        <v>123.08</v>
      </c>
    </row>
    <row r="4980" spans="1:16" x14ac:dyDescent="0.3">
      <c r="A4980">
        <v>22474</v>
      </c>
      <c r="B4980">
        <v>105</v>
      </c>
      <c r="C4980" t="s">
        <v>557</v>
      </c>
      <c r="D4980" s="452">
        <v>45717</v>
      </c>
      <c r="E4980">
        <v>20009</v>
      </c>
      <c r="F4980" t="s">
        <v>5480</v>
      </c>
      <c r="G4980">
        <v>2343</v>
      </c>
      <c r="H4980">
        <v>3.2</v>
      </c>
      <c r="I4980" t="s">
        <v>4736</v>
      </c>
      <c r="J4980" t="s">
        <v>5191</v>
      </c>
      <c r="K4980" t="s">
        <v>4476</v>
      </c>
      <c r="L4980">
        <v>0</v>
      </c>
      <c r="M4980" s="452">
        <v>45666</v>
      </c>
      <c r="N4980">
        <v>37.520000000000003</v>
      </c>
      <c r="O4980">
        <v>47.88</v>
      </c>
      <c r="P4980">
        <v>120.06</v>
      </c>
    </row>
    <row r="4981" spans="1:16" x14ac:dyDescent="0.3">
      <c r="A4981">
        <v>22576</v>
      </c>
      <c r="B4981">
        <v>105</v>
      </c>
      <c r="C4981" t="s">
        <v>557</v>
      </c>
      <c r="D4981" s="452">
        <v>45717</v>
      </c>
      <c r="E4981">
        <v>19739</v>
      </c>
      <c r="F4981" t="s">
        <v>5565</v>
      </c>
      <c r="G4981">
        <v>2514</v>
      </c>
      <c r="H4981">
        <v>10</v>
      </c>
      <c r="I4981" t="s">
        <v>4744</v>
      </c>
      <c r="J4981" t="s">
        <v>5191</v>
      </c>
      <c r="K4981" t="s">
        <v>4476</v>
      </c>
      <c r="L4981">
        <v>0</v>
      </c>
      <c r="M4981" s="452">
        <v>45681</v>
      </c>
      <c r="N4981">
        <v>12</v>
      </c>
      <c r="O4981">
        <v>0.49</v>
      </c>
      <c r="P4981">
        <v>120</v>
      </c>
    </row>
    <row r="4982" spans="1:16" x14ac:dyDescent="0.3">
      <c r="A4982">
        <v>22490</v>
      </c>
      <c r="B4982">
        <v>105</v>
      </c>
      <c r="C4982" t="s">
        <v>557</v>
      </c>
      <c r="D4982" s="452">
        <v>45717</v>
      </c>
      <c r="E4982">
        <v>19955</v>
      </c>
      <c r="F4982" t="s">
        <v>4985</v>
      </c>
      <c r="G4982">
        <v>2359</v>
      </c>
      <c r="H4982">
        <v>2</v>
      </c>
      <c r="I4982" t="s">
        <v>4736</v>
      </c>
      <c r="J4982" t="s">
        <v>5191</v>
      </c>
      <c r="K4982" t="s">
        <v>4476</v>
      </c>
      <c r="L4982">
        <v>59.5</v>
      </c>
      <c r="M4982" s="452">
        <v>45714</v>
      </c>
      <c r="N4982">
        <v>59.5</v>
      </c>
      <c r="O4982">
        <v>59.5</v>
      </c>
      <c r="P4982">
        <v>119</v>
      </c>
    </row>
    <row r="4983" spans="1:16" x14ac:dyDescent="0.3">
      <c r="A4983">
        <v>22421</v>
      </c>
      <c r="B4983">
        <v>105</v>
      </c>
      <c r="C4983" t="s">
        <v>557</v>
      </c>
      <c r="D4983" s="452">
        <v>45717</v>
      </c>
      <c r="E4983">
        <v>20928</v>
      </c>
      <c r="F4983" t="s">
        <v>4950</v>
      </c>
      <c r="G4983">
        <v>2033</v>
      </c>
      <c r="H4983">
        <v>1</v>
      </c>
      <c r="I4983" t="s">
        <v>4736</v>
      </c>
      <c r="J4983" t="s">
        <v>5191</v>
      </c>
      <c r="K4983" t="s">
        <v>4476</v>
      </c>
      <c r="L4983">
        <v>0</v>
      </c>
      <c r="M4983" s="452">
        <v>45622</v>
      </c>
      <c r="N4983">
        <v>117.94</v>
      </c>
      <c r="O4983">
        <v>127.25</v>
      </c>
      <c r="P4983">
        <v>117.94</v>
      </c>
    </row>
    <row r="4984" spans="1:16" x14ac:dyDescent="0.3">
      <c r="A4984">
        <v>22613</v>
      </c>
      <c r="B4984">
        <v>105</v>
      </c>
      <c r="C4984" t="s">
        <v>557</v>
      </c>
      <c r="D4984" s="452">
        <v>45717</v>
      </c>
      <c r="E4984">
        <v>19420</v>
      </c>
      <c r="F4984" t="s">
        <v>5582</v>
      </c>
      <c r="G4984">
        <v>2758</v>
      </c>
      <c r="H4984">
        <v>20</v>
      </c>
      <c r="I4984" t="s">
        <v>4736</v>
      </c>
      <c r="J4984" t="s">
        <v>5191</v>
      </c>
      <c r="K4984" t="s">
        <v>4476</v>
      </c>
      <c r="L4984">
        <v>0</v>
      </c>
      <c r="M4984" s="452">
        <v>45675</v>
      </c>
      <c r="N4984">
        <v>5.89</v>
      </c>
      <c r="O4984">
        <v>5.79</v>
      </c>
      <c r="P4984">
        <v>117.8</v>
      </c>
    </row>
    <row r="4985" spans="1:16" x14ac:dyDescent="0.3">
      <c r="A4985">
        <v>22695</v>
      </c>
      <c r="B4985">
        <v>105</v>
      </c>
      <c r="C4985" t="s">
        <v>557</v>
      </c>
      <c r="D4985" s="452">
        <v>45717</v>
      </c>
      <c r="E4985">
        <v>22636</v>
      </c>
      <c r="F4985" t="s">
        <v>4761</v>
      </c>
      <c r="G4985">
        <v>3099</v>
      </c>
      <c r="H4985">
        <v>22</v>
      </c>
      <c r="I4985" t="s">
        <v>4736</v>
      </c>
      <c r="J4985" t="s">
        <v>5222</v>
      </c>
      <c r="K4985" t="s">
        <v>4476</v>
      </c>
      <c r="L4985">
        <v>0</v>
      </c>
      <c r="M4985" s="452">
        <v>45671</v>
      </c>
      <c r="N4985">
        <v>5.3</v>
      </c>
      <c r="O4985">
        <v>5.0199999999999996</v>
      </c>
      <c r="P4985">
        <v>116.6</v>
      </c>
    </row>
    <row r="4986" spans="1:16" x14ac:dyDescent="0.3">
      <c r="A4986">
        <v>22442</v>
      </c>
      <c r="B4986">
        <v>105</v>
      </c>
      <c r="C4986" t="s">
        <v>557</v>
      </c>
      <c r="D4986" s="452">
        <v>45717</v>
      </c>
      <c r="E4986">
        <v>20358</v>
      </c>
      <c r="F4986" t="s">
        <v>4911</v>
      </c>
      <c r="G4986">
        <v>2200</v>
      </c>
      <c r="H4986">
        <v>8</v>
      </c>
      <c r="I4986" t="s">
        <v>4738</v>
      </c>
      <c r="J4986" t="s">
        <v>5191</v>
      </c>
      <c r="K4986" t="s">
        <v>4476</v>
      </c>
      <c r="L4986">
        <v>14.4</v>
      </c>
      <c r="M4986" s="452">
        <v>45714</v>
      </c>
      <c r="N4986">
        <v>14.4</v>
      </c>
      <c r="O4986">
        <v>14.4</v>
      </c>
      <c r="P4986">
        <v>115.2</v>
      </c>
    </row>
    <row r="4987" spans="1:16" x14ac:dyDescent="0.3">
      <c r="A4987">
        <v>22715</v>
      </c>
      <c r="B4987">
        <v>105</v>
      </c>
      <c r="C4987" t="s">
        <v>557</v>
      </c>
      <c r="D4987" s="452">
        <v>45717</v>
      </c>
      <c r="E4987">
        <v>18339</v>
      </c>
      <c r="F4987" t="s">
        <v>5033</v>
      </c>
      <c r="G4987">
        <v>3296</v>
      </c>
      <c r="H4987">
        <v>2.1</v>
      </c>
      <c r="I4987" t="s">
        <v>4805</v>
      </c>
      <c r="J4987" t="s">
        <v>5222</v>
      </c>
      <c r="K4987" t="s">
        <v>4476</v>
      </c>
      <c r="L4987">
        <v>0</v>
      </c>
      <c r="M4987" s="452">
        <v>-693593</v>
      </c>
      <c r="N4987">
        <v>0</v>
      </c>
      <c r="O4987">
        <v>54.9</v>
      </c>
      <c r="P4987">
        <v>112.71</v>
      </c>
    </row>
    <row r="4988" spans="1:16" x14ac:dyDescent="0.3">
      <c r="A4988">
        <v>22430</v>
      </c>
      <c r="B4988">
        <v>105</v>
      </c>
      <c r="C4988" t="s">
        <v>557</v>
      </c>
      <c r="D4988" s="452">
        <v>45717</v>
      </c>
      <c r="E4988">
        <v>20689</v>
      </c>
      <c r="F4988" t="s">
        <v>5007</v>
      </c>
      <c r="G4988">
        <v>2105</v>
      </c>
      <c r="H4988">
        <v>3</v>
      </c>
      <c r="I4988" t="s">
        <v>4736</v>
      </c>
      <c r="J4988" t="s">
        <v>5191</v>
      </c>
      <c r="K4988" t="s">
        <v>4476</v>
      </c>
      <c r="L4988">
        <v>37.5</v>
      </c>
      <c r="M4988" s="452">
        <v>45716</v>
      </c>
      <c r="N4988">
        <v>37.5</v>
      </c>
      <c r="O4988">
        <v>37.5</v>
      </c>
      <c r="P4988">
        <v>112.5</v>
      </c>
    </row>
    <row r="4989" spans="1:16" x14ac:dyDescent="0.3">
      <c r="A4989">
        <v>22698</v>
      </c>
      <c r="B4989">
        <v>105</v>
      </c>
      <c r="C4989" t="s">
        <v>557</v>
      </c>
      <c r="D4989" s="452">
        <v>45717</v>
      </c>
      <c r="E4989">
        <v>24470</v>
      </c>
      <c r="F4989" t="s">
        <v>4752</v>
      </c>
      <c r="G4989">
        <v>3103</v>
      </c>
      <c r="H4989">
        <v>25</v>
      </c>
      <c r="I4989" t="s">
        <v>4736</v>
      </c>
      <c r="J4989" t="s">
        <v>5222</v>
      </c>
      <c r="K4989" t="s">
        <v>4476</v>
      </c>
      <c r="L4989">
        <v>0</v>
      </c>
      <c r="M4989" s="452">
        <v>45404</v>
      </c>
      <c r="N4989">
        <v>4.41</v>
      </c>
      <c r="O4989">
        <v>4.41</v>
      </c>
      <c r="P4989">
        <v>110.25</v>
      </c>
    </row>
    <row r="4990" spans="1:16" x14ac:dyDescent="0.3">
      <c r="A4990">
        <v>22717</v>
      </c>
      <c r="B4990">
        <v>105</v>
      </c>
      <c r="C4990" t="s">
        <v>557</v>
      </c>
      <c r="D4990" s="452">
        <v>45717</v>
      </c>
      <c r="E4990">
        <v>18327</v>
      </c>
      <c r="F4990" t="s">
        <v>5035</v>
      </c>
      <c r="G4990">
        <v>3306</v>
      </c>
      <c r="H4990">
        <v>1</v>
      </c>
      <c r="I4990" t="s">
        <v>4805</v>
      </c>
      <c r="J4990" t="s">
        <v>5222</v>
      </c>
      <c r="K4990" t="s">
        <v>4476</v>
      </c>
      <c r="L4990">
        <v>0</v>
      </c>
      <c r="M4990" s="452">
        <v>45672</v>
      </c>
      <c r="N4990">
        <v>109.9</v>
      </c>
      <c r="O4990">
        <v>98.64</v>
      </c>
      <c r="P4990">
        <v>109.9</v>
      </c>
    </row>
    <row r="4991" spans="1:16" x14ac:dyDescent="0.3">
      <c r="A4991">
        <v>22707</v>
      </c>
      <c r="B4991">
        <v>105</v>
      </c>
      <c r="C4991" t="s">
        <v>557</v>
      </c>
      <c r="D4991" s="452">
        <v>45717</v>
      </c>
      <c r="E4991">
        <v>18493</v>
      </c>
      <c r="F4991" t="s">
        <v>5553</v>
      </c>
      <c r="G4991">
        <v>3164</v>
      </c>
      <c r="H4991">
        <v>2.5</v>
      </c>
      <c r="I4991" t="s">
        <v>4805</v>
      </c>
      <c r="J4991" t="s">
        <v>5222</v>
      </c>
      <c r="K4991" t="s">
        <v>4476</v>
      </c>
      <c r="L4991">
        <v>43.9</v>
      </c>
      <c r="M4991" s="452">
        <v>45694</v>
      </c>
      <c r="N4991">
        <v>43.9</v>
      </c>
      <c r="O4991">
        <v>43.9</v>
      </c>
      <c r="P4991">
        <v>109.75</v>
      </c>
    </row>
    <row r="4992" spans="1:16" x14ac:dyDescent="0.3">
      <c r="A4992">
        <v>22766</v>
      </c>
      <c r="B4992">
        <v>105</v>
      </c>
      <c r="C4992" t="s">
        <v>557</v>
      </c>
      <c r="D4992" s="452">
        <v>45717</v>
      </c>
      <c r="E4992">
        <v>17905</v>
      </c>
      <c r="F4992" t="s">
        <v>5085</v>
      </c>
      <c r="G4992">
        <v>3656</v>
      </c>
      <c r="H4992">
        <v>4</v>
      </c>
      <c r="I4992" t="s">
        <v>4738</v>
      </c>
      <c r="J4992" t="s">
        <v>5222</v>
      </c>
      <c r="K4992" t="s">
        <v>4476</v>
      </c>
      <c r="L4992">
        <v>26.97</v>
      </c>
      <c r="M4992" s="452">
        <v>45716</v>
      </c>
      <c r="N4992">
        <v>27.48</v>
      </c>
      <c r="O4992">
        <v>27.48</v>
      </c>
      <c r="P4992">
        <v>107.88</v>
      </c>
    </row>
    <row r="4993" spans="1:16" x14ac:dyDescent="0.3">
      <c r="A4993">
        <v>22456</v>
      </c>
      <c r="B4993">
        <v>105</v>
      </c>
      <c r="C4993" t="s">
        <v>557</v>
      </c>
      <c r="D4993" s="452">
        <v>45717</v>
      </c>
      <c r="E4993">
        <v>20856</v>
      </c>
      <c r="F4993" t="s">
        <v>5495</v>
      </c>
      <c r="G4993">
        <v>2045</v>
      </c>
      <c r="H4993">
        <v>3</v>
      </c>
      <c r="I4993" t="s">
        <v>4736</v>
      </c>
      <c r="J4993" t="s">
        <v>5191</v>
      </c>
      <c r="K4993" t="s">
        <v>4476</v>
      </c>
      <c r="L4993">
        <v>0</v>
      </c>
      <c r="M4993" s="452">
        <v>45631</v>
      </c>
      <c r="N4993">
        <v>35.799999999999997</v>
      </c>
      <c r="O4993">
        <v>42.5</v>
      </c>
      <c r="P4993">
        <v>107.4</v>
      </c>
    </row>
    <row r="4994" spans="1:16" x14ac:dyDescent="0.3">
      <c r="A4994">
        <v>22756</v>
      </c>
      <c r="B4994">
        <v>105</v>
      </c>
      <c r="C4994" t="s">
        <v>557</v>
      </c>
      <c r="D4994" s="452">
        <v>45717</v>
      </c>
      <c r="E4994">
        <v>18006</v>
      </c>
      <c r="F4994" t="s">
        <v>5094</v>
      </c>
      <c r="G4994">
        <v>3591</v>
      </c>
      <c r="H4994">
        <v>4</v>
      </c>
      <c r="I4994" t="s">
        <v>4738</v>
      </c>
      <c r="J4994" t="s">
        <v>5222</v>
      </c>
      <c r="K4994" t="s">
        <v>4476</v>
      </c>
      <c r="L4994">
        <v>26.79</v>
      </c>
      <c r="M4994" s="452">
        <v>45716</v>
      </c>
      <c r="N4994">
        <v>27.48</v>
      </c>
      <c r="O4994">
        <v>27.48</v>
      </c>
      <c r="P4994">
        <v>107.16</v>
      </c>
    </row>
    <row r="4995" spans="1:16" x14ac:dyDescent="0.3">
      <c r="A4995">
        <v>22751</v>
      </c>
      <c r="B4995">
        <v>105</v>
      </c>
      <c r="C4995" t="s">
        <v>557</v>
      </c>
      <c r="D4995" s="452">
        <v>45717</v>
      </c>
      <c r="E4995">
        <v>24011</v>
      </c>
      <c r="F4995" t="s">
        <v>4739</v>
      </c>
      <c r="G4995">
        <v>3626</v>
      </c>
      <c r="H4995">
        <v>80</v>
      </c>
      <c r="I4995" t="s">
        <v>4736</v>
      </c>
      <c r="J4995" t="s">
        <v>5222</v>
      </c>
      <c r="K4995" t="s">
        <v>4476</v>
      </c>
      <c r="L4995">
        <v>0</v>
      </c>
      <c r="M4995" s="452">
        <v>45562</v>
      </c>
      <c r="N4995">
        <v>1.32</v>
      </c>
      <c r="O4995">
        <v>1.33</v>
      </c>
      <c r="P4995">
        <v>105.6</v>
      </c>
    </row>
    <row r="4996" spans="1:16" x14ac:dyDescent="0.3">
      <c r="A4996">
        <v>22703</v>
      </c>
      <c r="B4996">
        <v>105</v>
      </c>
      <c r="C4996" t="s">
        <v>557</v>
      </c>
      <c r="D4996" s="452">
        <v>45717</v>
      </c>
      <c r="E4996">
        <v>18545</v>
      </c>
      <c r="F4996" t="s">
        <v>4864</v>
      </c>
      <c r="G4996">
        <v>3134</v>
      </c>
      <c r="H4996">
        <v>2.1</v>
      </c>
      <c r="I4996" t="s">
        <v>4805</v>
      </c>
      <c r="J4996" t="s">
        <v>5222</v>
      </c>
      <c r="K4996" t="s">
        <v>4476</v>
      </c>
      <c r="L4996">
        <v>0</v>
      </c>
      <c r="M4996" s="452">
        <v>45653</v>
      </c>
      <c r="N4996">
        <v>49.99</v>
      </c>
      <c r="O4996">
        <v>45.91</v>
      </c>
      <c r="P4996">
        <v>104.98</v>
      </c>
    </row>
    <row r="4997" spans="1:16" x14ac:dyDescent="0.3">
      <c r="A4997">
        <v>22366</v>
      </c>
      <c r="B4997">
        <v>105</v>
      </c>
      <c r="C4997" t="s">
        <v>557</v>
      </c>
      <c r="D4997" s="452">
        <v>45717</v>
      </c>
      <c r="E4997">
        <v>21147</v>
      </c>
      <c r="F4997" t="s">
        <v>4876</v>
      </c>
      <c r="G4997">
        <v>1952</v>
      </c>
      <c r="H4997">
        <v>5</v>
      </c>
      <c r="I4997" t="s">
        <v>4736</v>
      </c>
      <c r="J4997" t="s">
        <v>5191</v>
      </c>
      <c r="K4997" t="s">
        <v>4476</v>
      </c>
      <c r="L4997">
        <v>20.99</v>
      </c>
      <c r="M4997" s="452">
        <v>45694</v>
      </c>
      <c r="N4997">
        <v>20.99</v>
      </c>
      <c r="O4997">
        <v>20.99</v>
      </c>
      <c r="P4997">
        <v>104.95</v>
      </c>
    </row>
    <row r="4998" spans="1:16" x14ac:dyDescent="0.3">
      <c r="A4998">
        <v>22625</v>
      </c>
      <c r="B4998">
        <v>105</v>
      </c>
      <c r="C4998" t="s">
        <v>557</v>
      </c>
      <c r="D4998" s="452">
        <v>45717</v>
      </c>
      <c r="E4998">
        <v>24444</v>
      </c>
      <c r="F4998" t="s">
        <v>4992</v>
      </c>
      <c r="G4998">
        <v>2784</v>
      </c>
      <c r="H4998">
        <v>5.52</v>
      </c>
      <c r="I4998" t="s">
        <v>4744</v>
      </c>
      <c r="J4998" t="s">
        <v>5191</v>
      </c>
      <c r="K4998" t="s">
        <v>4476</v>
      </c>
      <c r="L4998">
        <v>0</v>
      </c>
      <c r="M4998" s="452">
        <v>45392</v>
      </c>
      <c r="N4998">
        <v>18.95</v>
      </c>
      <c r="O4998">
        <v>22</v>
      </c>
      <c r="P4998">
        <v>104.6</v>
      </c>
    </row>
    <row r="4999" spans="1:16" x14ac:dyDescent="0.3">
      <c r="A4999">
        <v>22736</v>
      </c>
      <c r="B4999">
        <v>105</v>
      </c>
      <c r="C4999" t="s">
        <v>557</v>
      </c>
      <c r="D4999" s="452">
        <v>45717</v>
      </c>
      <c r="E4999">
        <v>18147</v>
      </c>
      <c r="F4999" t="s">
        <v>5042</v>
      </c>
      <c r="G4999">
        <v>3471</v>
      </c>
      <c r="H4999">
        <v>0.9</v>
      </c>
      <c r="I4999" t="s">
        <v>4805</v>
      </c>
      <c r="J4999" t="s">
        <v>5222</v>
      </c>
      <c r="K4999" t="s">
        <v>4476</v>
      </c>
      <c r="L4999">
        <v>0</v>
      </c>
      <c r="M4999" s="452">
        <v>45427</v>
      </c>
      <c r="N4999">
        <v>115</v>
      </c>
      <c r="O4999">
        <v>113.9</v>
      </c>
      <c r="P4999">
        <v>103.5</v>
      </c>
    </row>
    <row r="5000" spans="1:16" x14ac:dyDescent="0.3">
      <c r="A5000">
        <v>22399</v>
      </c>
      <c r="B5000">
        <v>105</v>
      </c>
      <c r="C5000" t="s">
        <v>557</v>
      </c>
      <c r="D5000" s="452">
        <v>45717</v>
      </c>
      <c r="E5000">
        <v>20308</v>
      </c>
      <c r="F5000" t="s">
        <v>4909</v>
      </c>
      <c r="G5000">
        <v>2222</v>
      </c>
      <c r="H5000">
        <v>3</v>
      </c>
      <c r="I5000" t="s">
        <v>4738</v>
      </c>
      <c r="J5000" t="s">
        <v>5191</v>
      </c>
      <c r="K5000" t="s">
        <v>4476</v>
      </c>
      <c r="L5000">
        <v>33.9</v>
      </c>
      <c r="M5000" s="452">
        <v>45693</v>
      </c>
      <c r="N5000">
        <v>33.9</v>
      </c>
      <c r="O5000">
        <v>33.92</v>
      </c>
      <c r="P5000">
        <v>101.7</v>
      </c>
    </row>
    <row r="5001" spans="1:16" x14ac:dyDescent="0.3">
      <c r="A5001">
        <v>22767</v>
      </c>
      <c r="B5001">
        <v>105</v>
      </c>
      <c r="C5001" t="s">
        <v>557</v>
      </c>
      <c r="D5001" s="452">
        <v>45717</v>
      </c>
      <c r="E5001">
        <v>24307</v>
      </c>
      <c r="F5001" t="s">
        <v>4755</v>
      </c>
      <c r="G5001">
        <v>3656</v>
      </c>
      <c r="H5001">
        <v>46</v>
      </c>
      <c r="I5001" t="s">
        <v>4736</v>
      </c>
      <c r="J5001" t="s">
        <v>5222</v>
      </c>
      <c r="K5001" t="s">
        <v>4476</v>
      </c>
      <c r="L5001">
        <v>0</v>
      </c>
      <c r="M5001" s="452">
        <v>45540</v>
      </c>
      <c r="N5001">
        <v>2.19</v>
      </c>
      <c r="O5001">
        <v>2.19</v>
      </c>
      <c r="P5001">
        <v>100.74</v>
      </c>
    </row>
    <row r="5002" spans="1:16" x14ac:dyDescent="0.3">
      <c r="A5002">
        <v>22797</v>
      </c>
      <c r="B5002">
        <v>105</v>
      </c>
      <c r="C5002" t="s">
        <v>557</v>
      </c>
      <c r="D5002" s="452">
        <v>45717</v>
      </c>
      <c r="E5002">
        <v>18477</v>
      </c>
      <c r="F5002" t="s">
        <v>4920</v>
      </c>
      <c r="G5002">
        <v>3179</v>
      </c>
      <c r="H5002">
        <v>2</v>
      </c>
      <c r="I5002" t="s">
        <v>4805</v>
      </c>
      <c r="J5002" t="s">
        <v>5222</v>
      </c>
      <c r="K5002" t="s">
        <v>4476</v>
      </c>
      <c r="L5002">
        <v>0</v>
      </c>
      <c r="M5002" s="452">
        <v>45525</v>
      </c>
      <c r="N5002">
        <v>49.9</v>
      </c>
      <c r="O5002">
        <v>43.9</v>
      </c>
      <c r="P5002">
        <v>99.8</v>
      </c>
    </row>
    <row r="5003" spans="1:16" x14ac:dyDescent="0.3">
      <c r="A5003">
        <v>22730</v>
      </c>
      <c r="B5003">
        <v>105</v>
      </c>
      <c r="C5003" t="s">
        <v>557</v>
      </c>
      <c r="D5003" s="452">
        <v>45717</v>
      </c>
      <c r="E5003">
        <v>18218</v>
      </c>
      <c r="F5003" t="s">
        <v>5038</v>
      </c>
      <c r="G5003">
        <v>3410</v>
      </c>
      <c r="H5003">
        <v>2.7</v>
      </c>
      <c r="I5003" t="s">
        <v>4805</v>
      </c>
      <c r="J5003" t="s">
        <v>5222</v>
      </c>
      <c r="K5003" t="s">
        <v>4476</v>
      </c>
      <c r="L5003">
        <v>0</v>
      </c>
      <c r="M5003" s="452">
        <v>45581</v>
      </c>
      <c r="N5003">
        <v>36.5</v>
      </c>
      <c r="O5003">
        <v>38.9</v>
      </c>
      <c r="P5003">
        <v>98.55</v>
      </c>
    </row>
    <row r="5004" spans="1:16" x14ac:dyDescent="0.3">
      <c r="A5004">
        <v>22753</v>
      </c>
      <c r="B5004">
        <v>105</v>
      </c>
      <c r="C5004" t="s">
        <v>557</v>
      </c>
      <c r="D5004" s="452">
        <v>45717</v>
      </c>
      <c r="E5004">
        <v>17957</v>
      </c>
      <c r="F5004" t="s">
        <v>4745</v>
      </c>
      <c r="G5004">
        <v>3622</v>
      </c>
      <c r="H5004">
        <v>80</v>
      </c>
      <c r="I5004" t="s">
        <v>4736</v>
      </c>
      <c r="J5004" t="s">
        <v>5222</v>
      </c>
      <c r="K5004" t="s">
        <v>4476</v>
      </c>
      <c r="L5004">
        <v>0</v>
      </c>
      <c r="M5004" s="452">
        <v>45680</v>
      </c>
      <c r="N5004">
        <v>1.23</v>
      </c>
      <c r="O5004">
        <v>0.66</v>
      </c>
      <c r="P5004">
        <v>98.4</v>
      </c>
    </row>
    <row r="5005" spans="1:16" x14ac:dyDescent="0.3">
      <c r="A5005">
        <v>22648</v>
      </c>
      <c r="B5005">
        <v>105</v>
      </c>
      <c r="C5005" t="s">
        <v>557</v>
      </c>
      <c r="D5005" s="452">
        <v>45717</v>
      </c>
      <c r="E5005">
        <v>22910</v>
      </c>
      <c r="F5005" t="s">
        <v>4846</v>
      </c>
      <c r="G5005">
        <v>2889</v>
      </c>
      <c r="H5005">
        <v>2.8</v>
      </c>
      <c r="I5005" t="s">
        <v>4744</v>
      </c>
      <c r="J5005" t="s">
        <v>5191</v>
      </c>
      <c r="K5005" t="s">
        <v>4476</v>
      </c>
      <c r="L5005">
        <v>0</v>
      </c>
      <c r="M5005" s="452">
        <v>45674</v>
      </c>
      <c r="N5005">
        <v>34.9</v>
      </c>
      <c r="O5005">
        <v>27.99</v>
      </c>
      <c r="P5005">
        <v>97.72</v>
      </c>
    </row>
    <row r="5006" spans="1:16" x14ac:dyDescent="0.3">
      <c r="A5006">
        <v>22529</v>
      </c>
      <c r="B5006">
        <v>105</v>
      </c>
      <c r="C5006" t="s">
        <v>557</v>
      </c>
      <c r="D5006" s="452">
        <v>45717</v>
      </c>
      <c r="E5006">
        <v>19498</v>
      </c>
      <c r="F5006" t="s">
        <v>5487</v>
      </c>
      <c r="G5006">
        <v>2712</v>
      </c>
      <c r="H5006">
        <v>5.49</v>
      </c>
      <c r="I5006" t="s">
        <v>4744</v>
      </c>
      <c r="J5006" t="s">
        <v>5191</v>
      </c>
      <c r="K5006" t="s">
        <v>4476</v>
      </c>
      <c r="L5006">
        <v>17.62</v>
      </c>
      <c r="M5006" s="452">
        <v>45716</v>
      </c>
      <c r="N5006">
        <v>20</v>
      </c>
      <c r="O5006">
        <v>14.97</v>
      </c>
      <c r="P5006">
        <v>96.73</v>
      </c>
    </row>
    <row r="5007" spans="1:16" x14ac:dyDescent="0.3">
      <c r="A5007">
        <v>22383</v>
      </c>
      <c r="B5007">
        <v>105</v>
      </c>
      <c r="C5007" t="s">
        <v>557</v>
      </c>
      <c r="D5007" s="452">
        <v>45717</v>
      </c>
      <c r="E5007">
        <v>25750</v>
      </c>
      <c r="F5007" t="s">
        <v>4908</v>
      </c>
      <c r="G5007">
        <v>6301</v>
      </c>
      <c r="H5007">
        <v>14</v>
      </c>
      <c r="I5007" t="s">
        <v>4736</v>
      </c>
      <c r="J5007" t="s">
        <v>5191</v>
      </c>
      <c r="K5007" t="s">
        <v>4476</v>
      </c>
      <c r="L5007">
        <v>0</v>
      </c>
      <c r="M5007" s="452">
        <v>45653</v>
      </c>
      <c r="N5007">
        <v>6.87</v>
      </c>
      <c r="O5007">
        <v>6.87</v>
      </c>
      <c r="P5007">
        <v>96.18</v>
      </c>
    </row>
    <row r="5008" spans="1:16" x14ac:dyDescent="0.3">
      <c r="A5008">
        <v>22769</v>
      </c>
      <c r="B5008">
        <v>105</v>
      </c>
      <c r="C5008" t="s">
        <v>557</v>
      </c>
      <c r="D5008" s="452">
        <v>45717</v>
      </c>
      <c r="E5008">
        <v>24308</v>
      </c>
      <c r="F5008" t="s">
        <v>4757</v>
      </c>
      <c r="G5008">
        <v>3658</v>
      </c>
      <c r="H5008">
        <v>43</v>
      </c>
      <c r="I5008" t="s">
        <v>4736</v>
      </c>
      <c r="J5008" t="s">
        <v>5222</v>
      </c>
      <c r="K5008" t="s">
        <v>4476</v>
      </c>
      <c r="L5008">
        <v>0</v>
      </c>
      <c r="M5008" s="452">
        <v>45679</v>
      </c>
      <c r="N5008">
        <v>2.19</v>
      </c>
      <c r="O5008">
        <v>2.19</v>
      </c>
      <c r="P5008">
        <v>94.17</v>
      </c>
    </row>
    <row r="5009" spans="1:16" x14ac:dyDescent="0.3">
      <c r="A5009">
        <v>22497</v>
      </c>
      <c r="B5009">
        <v>105</v>
      </c>
      <c r="C5009" t="s">
        <v>557</v>
      </c>
      <c r="D5009" s="452">
        <v>45717</v>
      </c>
      <c r="E5009">
        <v>20623</v>
      </c>
      <c r="F5009" t="s">
        <v>4814</v>
      </c>
      <c r="G5009">
        <v>2116</v>
      </c>
      <c r="H5009">
        <v>9.16</v>
      </c>
      <c r="I5009" t="s">
        <v>4736</v>
      </c>
      <c r="J5009" t="s">
        <v>5191</v>
      </c>
      <c r="K5009" t="s">
        <v>4476</v>
      </c>
      <c r="L5009">
        <v>10.25</v>
      </c>
      <c r="M5009" s="452">
        <v>45694</v>
      </c>
      <c r="N5009">
        <v>10.25</v>
      </c>
      <c r="O5009">
        <v>41.4</v>
      </c>
      <c r="P5009">
        <v>93.89</v>
      </c>
    </row>
    <row r="5010" spans="1:16" x14ac:dyDescent="0.3">
      <c r="A5010">
        <v>22382</v>
      </c>
      <c r="B5010">
        <v>105</v>
      </c>
      <c r="C5010" t="s">
        <v>557</v>
      </c>
      <c r="D5010" s="452">
        <v>45717</v>
      </c>
      <c r="E5010">
        <v>25759</v>
      </c>
      <c r="F5010" t="s">
        <v>4877</v>
      </c>
      <c r="G5010">
        <v>9073</v>
      </c>
      <c r="H5010">
        <v>12</v>
      </c>
      <c r="I5010" t="s">
        <v>4736</v>
      </c>
      <c r="J5010" t="s">
        <v>5191</v>
      </c>
      <c r="K5010" t="s">
        <v>4476</v>
      </c>
      <c r="L5010">
        <v>0</v>
      </c>
      <c r="M5010" s="452">
        <v>45653</v>
      </c>
      <c r="N5010">
        <v>7.73</v>
      </c>
      <c r="O5010">
        <v>7.73</v>
      </c>
      <c r="P5010">
        <v>92.76</v>
      </c>
    </row>
    <row r="5011" spans="1:16" x14ac:dyDescent="0.3">
      <c r="A5011">
        <v>22680</v>
      </c>
      <c r="B5011">
        <v>105</v>
      </c>
      <c r="C5011" t="s">
        <v>557</v>
      </c>
      <c r="D5011" s="452">
        <v>45717</v>
      </c>
      <c r="E5011">
        <v>23974</v>
      </c>
      <c r="F5011" t="s">
        <v>4862</v>
      </c>
      <c r="G5011">
        <v>4163</v>
      </c>
      <c r="H5011">
        <v>2</v>
      </c>
      <c r="I5011" t="s">
        <v>4736</v>
      </c>
      <c r="J5011" t="s">
        <v>5222</v>
      </c>
      <c r="K5011" t="s">
        <v>4476</v>
      </c>
      <c r="L5011">
        <v>0</v>
      </c>
      <c r="M5011" s="452">
        <v>45617</v>
      </c>
      <c r="N5011">
        <v>45.6</v>
      </c>
      <c r="O5011">
        <v>49.4</v>
      </c>
      <c r="P5011">
        <v>91.2</v>
      </c>
    </row>
    <row r="5012" spans="1:16" x14ac:dyDescent="0.3">
      <c r="A5012">
        <v>22609</v>
      </c>
      <c r="B5012">
        <v>105</v>
      </c>
      <c r="C5012" t="s">
        <v>557</v>
      </c>
      <c r="D5012" s="452">
        <v>45717</v>
      </c>
      <c r="E5012">
        <v>19439</v>
      </c>
      <c r="F5012" t="s">
        <v>4917</v>
      </c>
      <c r="G5012">
        <v>2756</v>
      </c>
      <c r="H5012">
        <v>2.72</v>
      </c>
      <c r="I5012" t="s">
        <v>4744</v>
      </c>
      <c r="J5012" t="s">
        <v>5191</v>
      </c>
      <c r="K5012" t="s">
        <v>4476</v>
      </c>
      <c r="L5012">
        <v>32.92</v>
      </c>
      <c r="M5012" s="452">
        <v>45714</v>
      </c>
      <c r="N5012">
        <v>32.979999999999997</v>
      </c>
      <c r="O5012">
        <v>32.979999999999997</v>
      </c>
      <c r="P5012">
        <v>89.54</v>
      </c>
    </row>
    <row r="5013" spans="1:16" x14ac:dyDescent="0.3">
      <c r="A5013">
        <v>22559</v>
      </c>
      <c r="B5013">
        <v>105</v>
      </c>
      <c r="C5013" t="s">
        <v>557</v>
      </c>
      <c r="D5013" s="452">
        <v>45717</v>
      </c>
      <c r="E5013">
        <v>19765</v>
      </c>
      <c r="F5013" t="s">
        <v>4889</v>
      </c>
      <c r="G5013">
        <v>2488</v>
      </c>
      <c r="H5013">
        <v>2.5</v>
      </c>
      <c r="I5013" t="s">
        <v>4744</v>
      </c>
      <c r="J5013" t="s">
        <v>5191</v>
      </c>
      <c r="K5013" t="s">
        <v>4476</v>
      </c>
      <c r="L5013">
        <v>35.81</v>
      </c>
      <c r="M5013" s="452">
        <v>45713</v>
      </c>
      <c r="N5013">
        <v>35.1</v>
      </c>
      <c r="O5013">
        <v>30</v>
      </c>
      <c r="P5013">
        <v>89.52</v>
      </c>
    </row>
    <row r="5014" spans="1:16" x14ac:dyDescent="0.3">
      <c r="A5014">
        <v>22554</v>
      </c>
      <c r="B5014">
        <v>105</v>
      </c>
      <c r="C5014" t="s">
        <v>557</v>
      </c>
      <c r="D5014" s="452">
        <v>45717</v>
      </c>
      <c r="E5014">
        <v>19844</v>
      </c>
      <c r="F5014" t="s">
        <v>5475</v>
      </c>
      <c r="G5014">
        <v>2424</v>
      </c>
      <c r="H5014">
        <v>2</v>
      </c>
      <c r="I5014" t="s">
        <v>4744</v>
      </c>
      <c r="J5014" t="s">
        <v>5191</v>
      </c>
      <c r="K5014" t="s">
        <v>4476</v>
      </c>
      <c r="L5014">
        <v>44.5</v>
      </c>
      <c r="M5014" s="452">
        <v>45716</v>
      </c>
      <c r="N5014">
        <v>45</v>
      </c>
      <c r="O5014">
        <v>25</v>
      </c>
      <c r="P5014">
        <v>89</v>
      </c>
    </row>
    <row r="5015" spans="1:16" x14ac:dyDescent="0.3">
      <c r="A5015">
        <v>22545</v>
      </c>
      <c r="B5015">
        <v>105</v>
      </c>
      <c r="C5015" t="s">
        <v>557</v>
      </c>
      <c r="D5015" s="452">
        <v>45717</v>
      </c>
      <c r="E5015">
        <v>19490</v>
      </c>
      <c r="F5015" t="s">
        <v>5116</v>
      </c>
      <c r="G5015">
        <v>2718</v>
      </c>
      <c r="H5015">
        <v>3.1</v>
      </c>
      <c r="I5015" t="s">
        <v>4744</v>
      </c>
      <c r="J5015" t="s">
        <v>5191</v>
      </c>
      <c r="K5015" t="s">
        <v>4476</v>
      </c>
      <c r="L5015">
        <v>28</v>
      </c>
      <c r="M5015" s="452">
        <v>45716</v>
      </c>
      <c r="N5015">
        <v>28</v>
      </c>
      <c r="O5015">
        <v>28</v>
      </c>
      <c r="P5015">
        <v>86.8</v>
      </c>
    </row>
    <row r="5016" spans="1:16" x14ac:dyDescent="0.3">
      <c r="A5016">
        <v>22723</v>
      </c>
      <c r="B5016">
        <v>105</v>
      </c>
      <c r="C5016" t="s">
        <v>557</v>
      </c>
      <c r="D5016" s="452">
        <v>45717</v>
      </c>
      <c r="E5016">
        <v>18273</v>
      </c>
      <c r="F5016" t="s">
        <v>5058</v>
      </c>
      <c r="G5016">
        <v>3357</v>
      </c>
      <c r="H5016">
        <v>2.2000000000000002</v>
      </c>
      <c r="I5016" t="s">
        <v>4805</v>
      </c>
      <c r="J5016" t="s">
        <v>5222</v>
      </c>
      <c r="K5016" t="s">
        <v>4476</v>
      </c>
      <c r="L5016">
        <v>0</v>
      </c>
      <c r="M5016" s="452">
        <v>-693593</v>
      </c>
      <c r="N5016">
        <v>0</v>
      </c>
      <c r="O5016">
        <v>39.18</v>
      </c>
      <c r="P5016">
        <v>86.2</v>
      </c>
    </row>
    <row r="5017" spans="1:16" x14ac:dyDescent="0.3">
      <c r="A5017">
        <v>22549</v>
      </c>
      <c r="B5017">
        <v>105</v>
      </c>
      <c r="C5017" t="s">
        <v>557</v>
      </c>
      <c r="D5017" s="452">
        <v>45717</v>
      </c>
      <c r="E5017">
        <v>19623</v>
      </c>
      <c r="F5017" t="s">
        <v>4764</v>
      </c>
      <c r="G5017">
        <v>2611</v>
      </c>
      <c r="H5017">
        <v>18.149999999999999</v>
      </c>
      <c r="I5017" t="s">
        <v>4744</v>
      </c>
      <c r="J5017" t="s">
        <v>5191</v>
      </c>
      <c r="K5017" t="s">
        <v>4476</v>
      </c>
      <c r="L5017">
        <v>4.7300000000000004</v>
      </c>
      <c r="M5017" s="452">
        <v>45716</v>
      </c>
      <c r="N5017">
        <v>5.61</v>
      </c>
      <c r="O5017">
        <v>5.54</v>
      </c>
      <c r="P5017">
        <v>85.85</v>
      </c>
    </row>
    <row r="5018" spans="1:16" x14ac:dyDescent="0.3">
      <c r="A5018">
        <v>22381</v>
      </c>
      <c r="B5018">
        <v>105</v>
      </c>
      <c r="C5018" t="s">
        <v>557</v>
      </c>
      <c r="D5018" s="452">
        <v>45717</v>
      </c>
      <c r="E5018">
        <v>25754</v>
      </c>
      <c r="F5018" t="s">
        <v>5142</v>
      </c>
      <c r="G5018">
        <v>6305</v>
      </c>
      <c r="H5018">
        <v>11</v>
      </c>
      <c r="I5018" t="s">
        <v>4736</v>
      </c>
      <c r="J5018" t="s">
        <v>5191</v>
      </c>
      <c r="K5018" t="s">
        <v>4476</v>
      </c>
      <c r="L5018">
        <v>0</v>
      </c>
      <c r="M5018" s="452">
        <v>45653</v>
      </c>
      <c r="N5018">
        <v>7.73</v>
      </c>
      <c r="O5018">
        <v>7.73</v>
      </c>
      <c r="P5018">
        <v>85.03</v>
      </c>
    </row>
    <row r="5019" spans="1:16" x14ac:dyDescent="0.3">
      <c r="A5019">
        <v>22743</v>
      </c>
      <c r="B5019">
        <v>105</v>
      </c>
      <c r="C5019" t="s">
        <v>557</v>
      </c>
      <c r="D5019" s="452">
        <v>45717</v>
      </c>
      <c r="E5019">
        <v>18067</v>
      </c>
      <c r="F5019" t="s">
        <v>5583</v>
      </c>
      <c r="G5019">
        <v>3542</v>
      </c>
      <c r="H5019">
        <v>2.5</v>
      </c>
      <c r="I5019" t="s">
        <v>4736</v>
      </c>
      <c r="J5019" t="s">
        <v>5222</v>
      </c>
      <c r="K5019" t="s">
        <v>4476</v>
      </c>
      <c r="L5019">
        <v>0</v>
      </c>
      <c r="M5019" s="452">
        <v>45653</v>
      </c>
      <c r="N5019">
        <v>33.979999999999997</v>
      </c>
      <c r="O5019">
        <v>33.979999999999997</v>
      </c>
      <c r="P5019">
        <v>84.95</v>
      </c>
    </row>
    <row r="5020" spans="1:16" x14ac:dyDescent="0.3">
      <c r="A5020">
        <v>22379</v>
      </c>
      <c r="B5020">
        <v>105</v>
      </c>
      <c r="C5020" t="s">
        <v>557</v>
      </c>
      <c r="D5020" s="452">
        <v>45717</v>
      </c>
      <c r="E5020">
        <v>26103</v>
      </c>
      <c r="F5020" t="s">
        <v>4776</v>
      </c>
      <c r="G5020">
        <v>9072</v>
      </c>
      <c r="H5020">
        <v>6</v>
      </c>
      <c r="I5020" t="s">
        <v>4749</v>
      </c>
      <c r="J5020" t="s">
        <v>5191</v>
      </c>
      <c r="K5020" t="s">
        <v>4476</v>
      </c>
      <c r="L5020">
        <v>0</v>
      </c>
      <c r="M5020" s="452">
        <v>-693593</v>
      </c>
      <c r="N5020">
        <v>0</v>
      </c>
      <c r="O5020">
        <v>0</v>
      </c>
      <c r="P5020">
        <v>83.94</v>
      </c>
    </row>
    <row r="5021" spans="1:16" x14ac:dyDescent="0.3">
      <c r="A5021">
        <v>22384</v>
      </c>
      <c r="B5021">
        <v>105</v>
      </c>
      <c r="C5021" t="s">
        <v>557</v>
      </c>
      <c r="D5021" s="452">
        <v>45717</v>
      </c>
      <c r="E5021">
        <v>25752</v>
      </c>
      <c r="F5021" t="s">
        <v>5000</v>
      </c>
      <c r="G5021">
        <v>6303</v>
      </c>
      <c r="H5021">
        <v>12</v>
      </c>
      <c r="I5021" t="s">
        <v>4749</v>
      </c>
      <c r="J5021" t="s">
        <v>5191</v>
      </c>
      <c r="K5021" t="s">
        <v>4476</v>
      </c>
      <c r="L5021">
        <v>0</v>
      </c>
      <c r="M5021" s="452">
        <v>-693593</v>
      </c>
      <c r="N5021">
        <v>0</v>
      </c>
      <c r="O5021">
        <v>0</v>
      </c>
      <c r="P5021">
        <v>83.88</v>
      </c>
    </row>
    <row r="5022" spans="1:16" x14ac:dyDescent="0.3">
      <c r="A5022">
        <v>22793</v>
      </c>
      <c r="B5022">
        <v>105</v>
      </c>
      <c r="C5022" t="s">
        <v>557</v>
      </c>
      <c r="D5022" s="452">
        <v>45717</v>
      </c>
      <c r="E5022">
        <v>21005</v>
      </c>
      <c r="F5022" t="s">
        <v>5161</v>
      </c>
      <c r="G5022">
        <v>2007</v>
      </c>
      <c r="H5022">
        <v>1</v>
      </c>
      <c r="I5022" t="s">
        <v>4888</v>
      </c>
      <c r="J5022" t="s">
        <v>5191</v>
      </c>
      <c r="K5022" t="s">
        <v>4476</v>
      </c>
      <c r="L5022">
        <v>0</v>
      </c>
      <c r="M5022" s="452">
        <v>-693593</v>
      </c>
      <c r="N5022">
        <v>0</v>
      </c>
      <c r="O5022">
        <v>79.69</v>
      </c>
      <c r="P5022">
        <v>79.69</v>
      </c>
    </row>
    <row r="5023" spans="1:16" x14ac:dyDescent="0.3">
      <c r="A5023">
        <v>22434</v>
      </c>
      <c r="B5023">
        <v>105</v>
      </c>
      <c r="C5023" t="s">
        <v>557</v>
      </c>
      <c r="D5023" s="452">
        <v>45717</v>
      </c>
      <c r="E5023">
        <v>23698</v>
      </c>
      <c r="F5023" t="s">
        <v>5453</v>
      </c>
      <c r="G5023">
        <v>2188</v>
      </c>
      <c r="H5023">
        <v>1.4</v>
      </c>
      <c r="I5023" t="s">
        <v>4744</v>
      </c>
      <c r="J5023" t="s">
        <v>5191</v>
      </c>
      <c r="K5023" t="s">
        <v>4476</v>
      </c>
      <c r="L5023">
        <v>0</v>
      </c>
      <c r="M5023" s="452">
        <v>45559</v>
      </c>
      <c r="N5023">
        <v>56.5</v>
      </c>
      <c r="O5023">
        <v>53.9</v>
      </c>
      <c r="P5023">
        <v>79.099999999999994</v>
      </c>
    </row>
    <row r="5024" spans="1:16" x14ac:dyDescent="0.3">
      <c r="A5024">
        <v>22435</v>
      </c>
      <c r="B5024">
        <v>105</v>
      </c>
      <c r="C5024" t="s">
        <v>557</v>
      </c>
      <c r="D5024" s="452">
        <v>45717</v>
      </c>
      <c r="E5024">
        <v>25167</v>
      </c>
      <c r="F5024" t="s">
        <v>4758</v>
      </c>
      <c r="G5024">
        <v>5930</v>
      </c>
      <c r="H5024">
        <v>10</v>
      </c>
      <c r="I5024" t="s">
        <v>4744</v>
      </c>
      <c r="J5024" t="s">
        <v>5191</v>
      </c>
      <c r="K5024" t="s">
        <v>4476</v>
      </c>
      <c r="L5024">
        <v>7.9</v>
      </c>
      <c r="M5024" s="452">
        <v>45694</v>
      </c>
      <c r="N5024">
        <v>7.9</v>
      </c>
      <c r="O5024">
        <v>7.9</v>
      </c>
      <c r="P5024">
        <v>79</v>
      </c>
    </row>
    <row r="5025" spans="1:16" x14ac:dyDescent="0.3">
      <c r="A5025">
        <v>22706</v>
      </c>
      <c r="B5025">
        <v>105</v>
      </c>
      <c r="C5025" t="s">
        <v>557</v>
      </c>
      <c r="D5025" s="452">
        <v>45717</v>
      </c>
      <c r="E5025">
        <v>18502</v>
      </c>
      <c r="F5025" t="s">
        <v>4893</v>
      </c>
      <c r="G5025">
        <v>3155</v>
      </c>
      <c r="H5025">
        <v>2.2000000000000002</v>
      </c>
      <c r="I5025" t="s">
        <v>4805</v>
      </c>
      <c r="J5025" t="s">
        <v>5222</v>
      </c>
      <c r="K5025" t="s">
        <v>4476</v>
      </c>
      <c r="L5025">
        <v>35.9</v>
      </c>
      <c r="M5025" s="452">
        <v>45694</v>
      </c>
      <c r="N5025">
        <v>35.9</v>
      </c>
      <c r="O5025">
        <v>35.9</v>
      </c>
      <c r="P5025">
        <v>78.98</v>
      </c>
    </row>
    <row r="5026" spans="1:16" x14ac:dyDescent="0.3">
      <c r="A5026">
        <v>22501</v>
      </c>
      <c r="B5026">
        <v>105</v>
      </c>
      <c r="C5026" t="s">
        <v>557</v>
      </c>
      <c r="D5026" s="452">
        <v>45717</v>
      </c>
      <c r="E5026">
        <v>26242</v>
      </c>
      <c r="F5026" t="s">
        <v>4957</v>
      </c>
      <c r="G5026">
        <v>6641</v>
      </c>
      <c r="H5026">
        <v>6</v>
      </c>
      <c r="I5026" t="s">
        <v>4736</v>
      </c>
      <c r="J5026" t="s">
        <v>5191</v>
      </c>
      <c r="K5026" t="s">
        <v>4476</v>
      </c>
      <c r="L5026">
        <v>0</v>
      </c>
      <c r="M5026" s="452">
        <v>-693593</v>
      </c>
      <c r="N5026">
        <v>0</v>
      </c>
      <c r="O5026">
        <v>0</v>
      </c>
      <c r="P5026">
        <v>77.94</v>
      </c>
    </row>
    <row r="5027" spans="1:16" x14ac:dyDescent="0.3">
      <c r="A5027">
        <v>22385</v>
      </c>
      <c r="B5027">
        <v>105</v>
      </c>
      <c r="C5027" t="s">
        <v>557</v>
      </c>
      <c r="D5027" s="452">
        <v>45717</v>
      </c>
      <c r="E5027">
        <v>24456</v>
      </c>
      <c r="F5027" t="s">
        <v>4845</v>
      </c>
      <c r="G5027">
        <v>1965</v>
      </c>
      <c r="H5027">
        <v>3.1</v>
      </c>
      <c r="I5027" t="s">
        <v>4744</v>
      </c>
      <c r="J5027" t="s">
        <v>5191</v>
      </c>
      <c r="K5027" t="s">
        <v>4476</v>
      </c>
      <c r="L5027">
        <v>25</v>
      </c>
      <c r="M5027" s="452">
        <v>45701</v>
      </c>
      <c r="N5027">
        <v>25</v>
      </c>
      <c r="O5027">
        <v>22.44</v>
      </c>
      <c r="P5027">
        <v>77.5</v>
      </c>
    </row>
    <row r="5028" spans="1:16" x14ac:dyDescent="0.3">
      <c r="A5028">
        <v>22369</v>
      </c>
      <c r="B5028">
        <v>105</v>
      </c>
      <c r="C5028" t="s">
        <v>557</v>
      </c>
      <c r="D5028" s="452">
        <v>45717</v>
      </c>
      <c r="E5028">
        <v>25758</v>
      </c>
      <c r="F5028" t="s">
        <v>4775</v>
      </c>
      <c r="G5028">
        <v>9066</v>
      </c>
      <c r="H5028">
        <v>11</v>
      </c>
      <c r="I5028" t="s">
        <v>4736</v>
      </c>
      <c r="J5028" t="s">
        <v>5191</v>
      </c>
      <c r="K5028" t="s">
        <v>4476</v>
      </c>
      <c r="L5028">
        <v>0</v>
      </c>
      <c r="M5028" s="452">
        <v>-693593</v>
      </c>
      <c r="N5028">
        <v>0</v>
      </c>
      <c r="O5028">
        <v>0</v>
      </c>
      <c r="P5028">
        <v>76.89</v>
      </c>
    </row>
    <row r="5029" spans="1:16" x14ac:dyDescent="0.3">
      <c r="A5029">
        <v>22371</v>
      </c>
      <c r="B5029">
        <v>105</v>
      </c>
      <c r="C5029" t="s">
        <v>557</v>
      </c>
      <c r="D5029" s="452">
        <v>45717</v>
      </c>
      <c r="E5029">
        <v>25761</v>
      </c>
      <c r="F5029" t="s">
        <v>4789</v>
      </c>
      <c r="G5029">
        <v>6312</v>
      </c>
      <c r="H5029">
        <v>11</v>
      </c>
      <c r="I5029" t="s">
        <v>4736</v>
      </c>
      <c r="J5029" t="s">
        <v>5191</v>
      </c>
      <c r="K5029" t="s">
        <v>4476</v>
      </c>
      <c r="L5029">
        <v>0</v>
      </c>
      <c r="M5029" s="452">
        <v>-693593</v>
      </c>
      <c r="N5029">
        <v>0</v>
      </c>
      <c r="O5029">
        <v>0</v>
      </c>
      <c r="P5029">
        <v>76.89</v>
      </c>
    </row>
    <row r="5030" spans="1:16" x14ac:dyDescent="0.3">
      <c r="A5030">
        <v>22372</v>
      </c>
      <c r="B5030">
        <v>105</v>
      </c>
      <c r="C5030" t="s">
        <v>557</v>
      </c>
      <c r="D5030" s="452">
        <v>45717</v>
      </c>
      <c r="E5030">
        <v>25747</v>
      </c>
      <c r="F5030" t="s">
        <v>4794</v>
      </c>
      <c r="G5030">
        <v>6299</v>
      </c>
      <c r="H5030">
        <v>11</v>
      </c>
      <c r="I5030" t="s">
        <v>4736</v>
      </c>
      <c r="J5030" t="s">
        <v>5191</v>
      </c>
      <c r="K5030" t="s">
        <v>4476</v>
      </c>
      <c r="L5030">
        <v>0</v>
      </c>
      <c r="M5030" s="452">
        <v>-693593</v>
      </c>
      <c r="N5030">
        <v>0</v>
      </c>
      <c r="O5030">
        <v>0</v>
      </c>
      <c r="P5030">
        <v>76.89</v>
      </c>
    </row>
    <row r="5031" spans="1:16" x14ac:dyDescent="0.3">
      <c r="A5031">
        <v>22770</v>
      </c>
      <c r="B5031">
        <v>105</v>
      </c>
      <c r="C5031" t="s">
        <v>557</v>
      </c>
      <c r="D5031" s="452">
        <v>45717</v>
      </c>
      <c r="E5031">
        <v>24409</v>
      </c>
      <c r="F5031" t="s">
        <v>4742</v>
      </c>
      <c r="G5031">
        <v>3665</v>
      </c>
      <c r="H5031">
        <v>35</v>
      </c>
      <c r="I5031" t="s">
        <v>4736</v>
      </c>
      <c r="J5031" t="s">
        <v>5222</v>
      </c>
      <c r="K5031" t="s">
        <v>4476</v>
      </c>
      <c r="L5031">
        <v>0</v>
      </c>
      <c r="M5031" s="452">
        <v>45646</v>
      </c>
      <c r="N5031">
        <v>2.19</v>
      </c>
      <c r="O5031">
        <v>2.19</v>
      </c>
      <c r="P5031">
        <v>76.650000000000006</v>
      </c>
    </row>
    <row r="5032" spans="1:16" x14ac:dyDescent="0.3">
      <c r="A5032">
        <v>22546</v>
      </c>
      <c r="B5032">
        <v>105</v>
      </c>
      <c r="C5032" t="s">
        <v>557</v>
      </c>
      <c r="D5032" s="452">
        <v>45717</v>
      </c>
      <c r="E5032">
        <v>24509</v>
      </c>
      <c r="F5032" t="s">
        <v>4788</v>
      </c>
      <c r="G5032">
        <v>2607</v>
      </c>
      <c r="H5032">
        <v>23.39</v>
      </c>
      <c r="I5032" t="s">
        <v>4744</v>
      </c>
      <c r="J5032" t="s">
        <v>5191</v>
      </c>
      <c r="K5032" t="s">
        <v>4476</v>
      </c>
      <c r="L5032">
        <v>3.23</v>
      </c>
      <c r="M5032" s="452">
        <v>45713</v>
      </c>
      <c r="N5032">
        <v>3.5</v>
      </c>
      <c r="O5032">
        <v>3.24</v>
      </c>
      <c r="P5032">
        <v>75.55</v>
      </c>
    </row>
    <row r="5033" spans="1:16" x14ac:dyDescent="0.3">
      <c r="A5033">
        <v>22590</v>
      </c>
      <c r="B5033">
        <v>105</v>
      </c>
      <c r="C5033" t="s">
        <v>557</v>
      </c>
      <c r="D5033" s="452">
        <v>45717</v>
      </c>
      <c r="E5033">
        <v>20678</v>
      </c>
      <c r="F5033" t="s">
        <v>5559</v>
      </c>
      <c r="G5033">
        <v>5765</v>
      </c>
      <c r="H5033">
        <v>5</v>
      </c>
      <c r="I5033" t="s">
        <v>4805</v>
      </c>
      <c r="J5033" t="s">
        <v>5191</v>
      </c>
      <c r="K5033" t="s">
        <v>4476</v>
      </c>
      <c r="L5033">
        <v>15.1</v>
      </c>
      <c r="M5033" s="452">
        <v>45706</v>
      </c>
      <c r="N5033">
        <v>15.1</v>
      </c>
      <c r="O5033">
        <v>21.56</v>
      </c>
      <c r="P5033">
        <v>75.5</v>
      </c>
    </row>
    <row r="5034" spans="1:16" x14ac:dyDescent="0.3">
      <c r="A5034">
        <v>22520</v>
      </c>
      <c r="B5034">
        <v>105</v>
      </c>
      <c r="C5034" t="s">
        <v>557</v>
      </c>
      <c r="D5034" s="452">
        <v>45717</v>
      </c>
      <c r="E5034">
        <v>19658</v>
      </c>
      <c r="F5034" t="s">
        <v>4784</v>
      </c>
      <c r="G5034">
        <v>2582</v>
      </c>
      <c r="H5034">
        <v>31.66</v>
      </c>
      <c r="I5034" t="s">
        <v>4744</v>
      </c>
      <c r="J5034" t="s">
        <v>5191</v>
      </c>
      <c r="K5034" t="s">
        <v>4476</v>
      </c>
      <c r="L5034">
        <v>2.34</v>
      </c>
      <c r="M5034" s="452">
        <v>45713</v>
      </c>
      <c r="N5034">
        <v>2.21</v>
      </c>
      <c r="O5034">
        <v>2.2400000000000002</v>
      </c>
      <c r="P5034">
        <v>74.08</v>
      </c>
    </row>
    <row r="5035" spans="1:16" x14ac:dyDescent="0.3">
      <c r="A5035">
        <v>22746</v>
      </c>
      <c r="B5035">
        <v>105</v>
      </c>
      <c r="C5035" t="s">
        <v>557</v>
      </c>
      <c r="D5035" s="452">
        <v>45717</v>
      </c>
      <c r="E5035">
        <v>18073</v>
      </c>
      <c r="F5035" t="s">
        <v>4974</v>
      </c>
      <c r="G5035">
        <v>3536</v>
      </c>
      <c r="H5035">
        <v>1.6</v>
      </c>
      <c r="I5035" t="s">
        <v>4805</v>
      </c>
      <c r="J5035" t="s">
        <v>5222</v>
      </c>
      <c r="K5035" t="s">
        <v>4476</v>
      </c>
      <c r="L5035">
        <v>0</v>
      </c>
      <c r="M5035" s="452">
        <v>45686</v>
      </c>
      <c r="N5035">
        <v>46</v>
      </c>
      <c r="O5035">
        <v>46</v>
      </c>
      <c r="P5035">
        <v>73.599999999999994</v>
      </c>
    </row>
    <row r="5036" spans="1:16" x14ac:dyDescent="0.3">
      <c r="A5036">
        <v>22527</v>
      </c>
      <c r="B5036">
        <v>105</v>
      </c>
      <c r="C5036" t="s">
        <v>557</v>
      </c>
      <c r="D5036" s="452">
        <v>45717</v>
      </c>
      <c r="E5036">
        <v>19502</v>
      </c>
      <c r="F5036" t="s">
        <v>4871</v>
      </c>
      <c r="G5036">
        <v>2708</v>
      </c>
      <c r="H5036">
        <v>3.58</v>
      </c>
      <c r="I5036" t="s">
        <v>4744</v>
      </c>
      <c r="J5036" t="s">
        <v>5191</v>
      </c>
      <c r="K5036" t="s">
        <v>4476</v>
      </c>
      <c r="L5036">
        <v>20.52</v>
      </c>
      <c r="M5036" s="452">
        <v>45716</v>
      </c>
      <c r="N5036">
        <v>21.66</v>
      </c>
      <c r="O5036">
        <v>21.88</v>
      </c>
      <c r="P5036">
        <v>73.459999999999994</v>
      </c>
    </row>
    <row r="5037" spans="1:16" x14ac:dyDescent="0.3">
      <c r="A5037">
        <v>22577</v>
      </c>
      <c r="B5037">
        <v>105</v>
      </c>
      <c r="C5037" t="s">
        <v>557</v>
      </c>
      <c r="D5037" s="452">
        <v>45717</v>
      </c>
      <c r="E5037">
        <v>19732</v>
      </c>
      <c r="F5037" t="s">
        <v>5584</v>
      </c>
      <c r="G5037">
        <v>2521</v>
      </c>
      <c r="H5037">
        <v>8.92</v>
      </c>
      <c r="I5037" t="s">
        <v>4744</v>
      </c>
      <c r="J5037" t="s">
        <v>5191</v>
      </c>
      <c r="K5037" t="s">
        <v>4476</v>
      </c>
      <c r="L5037">
        <v>8.18</v>
      </c>
      <c r="M5037" s="452">
        <v>45713</v>
      </c>
      <c r="N5037">
        <v>7.5</v>
      </c>
      <c r="O5037">
        <v>8.2100000000000009</v>
      </c>
      <c r="P5037">
        <v>72.97</v>
      </c>
    </row>
    <row r="5038" spans="1:16" x14ac:dyDescent="0.3">
      <c r="A5038">
        <v>22772</v>
      </c>
      <c r="B5038">
        <v>105</v>
      </c>
      <c r="C5038" t="s">
        <v>557</v>
      </c>
      <c r="D5038" s="452">
        <v>45717</v>
      </c>
      <c r="E5038">
        <v>24414</v>
      </c>
      <c r="F5038" t="s">
        <v>4746</v>
      </c>
      <c r="G5038">
        <v>3670</v>
      </c>
      <c r="H5038">
        <v>33</v>
      </c>
      <c r="I5038" t="s">
        <v>4736</v>
      </c>
      <c r="J5038" t="s">
        <v>5222</v>
      </c>
      <c r="K5038" t="s">
        <v>4476</v>
      </c>
      <c r="L5038">
        <v>0</v>
      </c>
      <c r="M5038" s="452">
        <v>45623</v>
      </c>
      <c r="N5038">
        <v>2.19</v>
      </c>
      <c r="O5038">
        <v>2.19</v>
      </c>
      <c r="P5038">
        <v>72.27</v>
      </c>
    </row>
    <row r="5039" spans="1:16" x14ac:dyDescent="0.3">
      <c r="A5039">
        <v>22532</v>
      </c>
      <c r="B5039">
        <v>105</v>
      </c>
      <c r="C5039" t="s">
        <v>557</v>
      </c>
      <c r="D5039" s="452">
        <v>45717</v>
      </c>
      <c r="E5039">
        <v>19649</v>
      </c>
      <c r="F5039" t="s">
        <v>4859</v>
      </c>
      <c r="G5039">
        <v>2589</v>
      </c>
      <c r="H5039">
        <v>2.62</v>
      </c>
      <c r="I5039" t="s">
        <v>4744</v>
      </c>
      <c r="J5039" t="s">
        <v>5191</v>
      </c>
      <c r="K5039" t="s">
        <v>4476</v>
      </c>
      <c r="L5039">
        <v>27.31</v>
      </c>
      <c r="M5039" s="452">
        <v>45716</v>
      </c>
      <c r="N5039">
        <v>27</v>
      </c>
      <c r="O5039">
        <v>26.75</v>
      </c>
      <c r="P5039">
        <v>71.55</v>
      </c>
    </row>
    <row r="5040" spans="1:16" x14ac:dyDescent="0.3">
      <c r="A5040">
        <v>22712</v>
      </c>
      <c r="B5040">
        <v>105</v>
      </c>
      <c r="C5040" t="s">
        <v>557</v>
      </c>
      <c r="D5040" s="452">
        <v>45717</v>
      </c>
      <c r="E5040">
        <v>18423</v>
      </c>
      <c r="F5040" t="s">
        <v>4987</v>
      </c>
      <c r="G5040">
        <v>3220</v>
      </c>
      <c r="H5040">
        <v>1.8</v>
      </c>
      <c r="I5040" t="s">
        <v>4805</v>
      </c>
      <c r="J5040" t="s">
        <v>5222</v>
      </c>
      <c r="K5040" t="s">
        <v>4476</v>
      </c>
      <c r="L5040">
        <v>39.299999999999997</v>
      </c>
      <c r="M5040" s="452">
        <v>45707</v>
      </c>
      <c r="N5040">
        <v>39.299999999999997</v>
      </c>
      <c r="O5040">
        <v>39.299999999999997</v>
      </c>
      <c r="P5040">
        <v>70.739999999999995</v>
      </c>
    </row>
    <row r="5041" spans="1:16" x14ac:dyDescent="0.3">
      <c r="A5041">
        <v>22374</v>
      </c>
      <c r="B5041">
        <v>105</v>
      </c>
      <c r="C5041" t="s">
        <v>557</v>
      </c>
      <c r="D5041" s="452">
        <v>45717</v>
      </c>
      <c r="E5041">
        <v>25763</v>
      </c>
      <c r="F5041" t="s">
        <v>4943</v>
      </c>
      <c r="G5041">
        <v>6314</v>
      </c>
      <c r="H5041">
        <v>10</v>
      </c>
      <c r="I5041" t="s">
        <v>4736</v>
      </c>
      <c r="J5041" t="s">
        <v>5191</v>
      </c>
      <c r="K5041" t="s">
        <v>4476</v>
      </c>
      <c r="L5041">
        <v>0</v>
      </c>
      <c r="M5041" s="452">
        <v>-693593</v>
      </c>
      <c r="N5041">
        <v>0</v>
      </c>
      <c r="O5041">
        <v>0</v>
      </c>
      <c r="P5041">
        <v>69.900000000000006</v>
      </c>
    </row>
    <row r="5042" spans="1:16" x14ac:dyDescent="0.3">
      <c r="A5042">
        <v>22722</v>
      </c>
      <c r="B5042">
        <v>105</v>
      </c>
      <c r="C5042" t="s">
        <v>557</v>
      </c>
      <c r="D5042" s="452">
        <v>45717</v>
      </c>
      <c r="E5042">
        <v>18281</v>
      </c>
      <c r="F5042" t="s">
        <v>5470</v>
      </c>
      <c r="G5042">
        <v>3346</v>
      </c>
      <c r="H5042">
        <v>2</v>
      </c>
      <c r="I5042" t="s">
        <v>4805</v>
      </c>
      <c r="J5042" t="s">
        <v>5222</v>
      </c>
      <c r="K5042" t="s">
        <v>4476</v>
      </c>
      <c r="L5042">
        <v>0</v>
      </c>
      <c r="M5042" s="452">
        <v>45547</v>
      </c>
      <c r="N5042">
        <v>34.299999999999997</v>
      </c>
      <c r="O5042">
        <v>35.5</v>
      </c>
      <c r="P5042">
        <v>68.599999999999994</v>
      </c>
    </row>
    <row r="5043" spans="1:16" x14ac:dyDescent="0.3">
      <c r="A5043">
        <v>22509</v>
      </c>
      <c r="B5043">
        <v>105</v>
      </c>
      <c r="C5043" t="s">
        <v>557</v>
      </c>
      <c r="D5043" s="452">
        <v>45717</v>
      </c>
      <c r="E5043">
        <v>20185</v>
      </c>
      <c r="F5043" t="s">
        <v>5054</v>
      </c>
      <c r="G5043">
        <v>2259</v>
      </c>
      <c r="H5043">
        <v>1.9</v>
      </c>
      <c r="I5043" t="s">
        <v>4744</v>
      </c>
      <c r="J5043" t="s">
        <v>5191</v>
      </c>
      <c r="K5043" t="s">
        <v>4476</v>
      </c>
      <c r="L5043">
        <v>0</v>
      </c>
      <c r="M5043" s="452">
        <v>45582</v>
      </c>
      <c r="N5043">
        <v>34.9</v>
      </c>
      <c r="O5043">
        <v>58.6</v>
      </c>
      <c r="P5043">
        <v>66.31</v>
      </c>
    </row>
    <row r="5044" spans="1:16" x14ac:dyDescent="0.3">
      <c r="A5044">
        <v>22460</v>
      </c>
      <c r="B5044">
        <v>105</v>
      </c>
      <c r="C5044" t="s">
        <v>557</v>
      </c>
      <c r="D5044" s="452">
        <v>45717</v>
      </c>
      <c r="E5044">
        <v>20660</v>
      </c>
      <c r="F5044" t="s">
        <v>5011</v>
      </c>
      <c r="G5044">
        <v>2110</v>
      </c>
      <c r="H5044">
        <v>1</v>
      </c>
      <c r="I5044" t="s">
        <v>4955</v>
      </c>
      <c r="J5044" t="s">
        <v>5191</v>
      </c>
      <c r="K5044" t="s">
        <v>4476</v>
      </c>
      <c r="L5044">
        <v>65.02</v>
      </c>
      <c r="M5044" s="452">
        <v>45706</v>
      </c>
      <c r="N5044">
        <v>65.02</v>
      </c>
      <c r="O5044">
        <v>63.05</v>
      </c>
      <c r="P5044">
        <v>65.02</v>
      </c>
    </row>
    <row r="5045" spans="1:16" x14ac:dyDescent="0.3">
      <c r="A5045">
        <v>22376</v>
      </c>
      <c r="B5045">
        <v>105</v>
      </c>
      <c r="C5045" t="s">
        <v>557</v>
      </c>
      <c r="D5045" s="452">
        <v>45717</v>
      </c>
      <c r="E5045">
        <v>25757</v>
      </c>
      <c r="F5045" t="s">
        <v>4763</v>
      </c>
      <c r="G5045">
        <v>6308</v>
      </c>
      <c r="H5045">
        <v>9</v>
      </c>
      <c r="I5045" t="s">
        <v>4736</v>
      </c>
      <c r="J5045" t="s">
        <v>5191</v>
      </c>
      <c r="K5045" t="s">
        <v>4476</v>
      </c>
      <c r="L5045">
        <v>0</v>
      </c>
      <c r="M5045" s="452">
        <v>-693593</v>
      </c>
      <c r="N5045">
        <v>0</v>
      </c>
      <c r="O5045">
        <v>0</v>
      </c>
      <c r="P5045">
        <v>62.91</v>
      </c>
    </row>
    <row r="5046" spans="1:16" x14ac:dyDescent="0.3">
      <c r="A5046">
        <v>22480</v>
      </c>
      <c r="B5046">
        <v>105</v>
      </c>
      <c r="C5046" t="s">
        <v>557</v>
      </c>
      <c r="D5046" s="452">
        <v>45717</v>
      </c>
      <c r="E5046">
        <v>20871</v>
      </c>
      <c r="F5046" t="s">
        <v>5015</v>
      </c>
      <c r="G5046">
        <v>2043</v>
      </c>
      <c r="H5046">
        <v>2</v>
      </c>
      <c r="I5046" t="s">
        <v>4879</v>
      </c>
      <c r="J5046" t="s">
        <v>5191</v>
      </c>
      <c r="K5046" t="s">
        <v>4476</v>
      </c>
      <c r="L5046">
        <v>0</v>
      </c>
      <c r="M5046" s="452">
        <v>45679</v>
      </c>
      <c r="N5046">
        <v>30.9</v>
      </c>
      <c r="O5046">
        <v>28</v>
      </c>
      <c r="P5046">
        <v>61.8</v>
      </c>
    </row>
    <row r="5047" spans="1:16" x14ac:dyDescent="0.3">
      <c r="A5047">
        <v>22525</v>
      </c>
      <c r="B5047">
        <v>105</v>
      </c>
      <c r="C5047" t="s">
        <v>557</v>
      </c>
      <c r="D5047" s="452">
        <v>45717</v>
      </c>
      <c r="E5047">
        <v>19505</v>
      </c>
      <c r="F5047" t="s">
        <v>4872</v>
      </c>
      <c r="G5047">
        <v>2706</v>
      </c>
      <c r="H5047">
        <v>5</v>
      </c>
      <c r="I5047" t="s">
        <v>4744</v>
      </c>
      <c r="J5047" t="s">
        <v>5191</v>
      </c>
      <c r="K5047" t="s">
        <v>4476</v>
      </c>
      <c r="L5047">
        <v>12.31</v>
      </c>
      <c r="M5047" s="452">
        <v>45716</v>
      </c>
      <c r="N5047">
        <v>13</v>
      </c>
      <c r="O5047">
        <v>8.7799999999999994</v>
      </c>
      <c r="P5047">
        <v>61.55</v>
      </c>
    </row>
    <row r="5048" spans="1:16" x14ac:dyDescent="0.3">
      <c r="A5048">
        <v>22482</v>
      </c>
      <c r="B5048">
        <v>105</v>
      </c>
      <c r="C5048" t="s">
        <v>557</v>
      </c>
      <c r="D5048" s="452">
        <v>45717</v>
      </c>
      <c r="E5048">
        <v>19978</v>
      </c>
      <c r="F5048" t="s">
        <v>4887</v>
      </c>
      <c r="G5048">
        <v>2353</v>
      </c>
      <c r="H5048">
        <v>4</v>
      </c>
      <c r="I5048" t="s">
        <v>4888</v>
      </c>
      <c r="J5048" t="s">
        <v>5191</v>
      </c>
      <c r="K5048" t="s">
        <v>4476</v>
      </c>
      <c r="L5048">
        <v>14.98</v>
      </c>
      <c r="M5048" s="452">
        <v>45713</v>
      </c>
      <c r="N5048">
        <v>14.98</v>
      </c>
      <c r="O5048">
        <v>14.98</v>
      </c>
      <c r="P5048">
        <v>59.92</v>
      </c>
    </row>
    <row r="5049" spans="1:16" x14ac:dyDescent="0.3">
      <c r="A5049">
        <v>22782</v>
      </c>
      <c r="B5049">
        <v>105</v>
      </c>
      <c r="C5049" t="s">
        <v>557</v>
      </c>
      <c r="D5049" s="452">
        <v>45717</v>
      </c>
      <c r="E5049">
        <v>24640</v>
      </c>
      <c r="F5049" t="s">
        <v>5585</v>
      </c>
      <c r="G5049">
        <v>5691</v>
      </c>
      <c r="H5049">
        <v>1</v>
      </c>
      <c r="I5049" t="s">
        <v>4805</v>
      </c>
      <c r="J5049" t="s">
        <v>5222</v>
      </c>
      <c r="K5049" t="s">
        <v>4476</v>
      </c>
      <c r="L5049">
        <v>0</v>
      </c>
      <c r="M5049" s="452">
        <v>45432</v>
      </c>
      <c r="N5049">
        <v>59</v>
      </c>
      <c r="O5049">
        <v>59</v>
      </c>
      <c r="P5049">
        <v>59</v>
      </c>
    </row>
    <row r="5050" spans="1:16" x14ac:dyDescent="0.3">
      <c r="A5050">
        <v>22616</v>
      </c>
      <c r="B5050">
        <v>105</v>
      </c>
      <c r="C5050" t="s">
        <v>557</v>
      </c>
      <c r="D5050" s="452">
        <v>45717</v>
      </c>
      <c r="E5050">
        <v>19436</v>
      </c>
      <c r="F5050" t="s">
        <v>5586</v>
      </c>
      <c r="G5050">
        <v>2757</v>
      </c>
      <c r="H5050">
        <v>2</v>
      </c>
      <c r="I5050" t="s">
        <v>4736</v>
      </c>
      <c r="J5050" t="s">
        <v>5191</v>
      </c>
      <c r="K5050" t="s">
        <v>4476</v>
      </c>
      <c r="L5050">
        <v>0</v>
      </c>
      <c r="M5050" s="452">
        <v>-693593</v>
      </c>
      <c r="N5050">
        <v>0</v>
      </c>
      <c r="O5050">
        <v>14.58</v>
      </c>
      <c r="P5050">
        <v>58.06</v>
      </c>
    </row>
    <row r="5051" spans="1:16" x14ac:dyDescent="0.3">
      <c r="A5051">
        <v>22599</v>
      </c>
      <c r="B5051">
        <v>105</v>
      </c>
      <c r="C5051" t="s">
        <v>557</v>
      </c>
      <c r="D5051" s="452">
        <v>45717</v>
      </c>
      <c r="E5051">
        <v>19551</v>
      </c>
      <c r="F5051" t="s">
        <v>4905</v>
      </c>
      <c r="G5051">
        <v>2665</v>
      </c>
      <c r="H5051">
        <v>3.45</v>
      </c>
      <c r="I5051" t="s">
        <v>4744</v>
      </c>
      <c r="J5051" t="s">
        <v>5191</v>
      </c>
      <c r="K5051" t="s">
        <v>4476</v>
      </c>
      <c r="L5051">
        <v>16.39</v>
      </c>
      <c r="M5051" s="452">
        <v>45716</v>
      </c>
      <c r="N5051">
        <v>17.16</v>
      </c>
      <c r="O5051">
        <v>17.16</v>
      </c>
      <c r="P5051">
        <v>56.55</v>
      </c>
    </row>
    <row r="5052" spans="1:16" x14ac:dyDescent="0.3">
      <c r="A5052">
        <v>22439</v>
      </c>
      <c r="B5052">
        <v>105</v>
      </c>
      <c r="C5052" t="s">
        <v>557</v>
      </c>
      <c r="D5052" s="452">
        <v>45717</v>
      </c>
      <c r="E5052">
        <v>20359</v>
      </c>
      <c r="F5052" t="s">
        <v>5446</v>
      </c>
      <c r="G5052">
        <v>2199</v>
      </c>
      <c r="H5052">
        <v>12</v>
      </c>
      <c r="I5052" t="s">
        <v>4736</v>
      </c>
      <c r="J5052" t="s">
        <v>5191</v>
      </c>
      <c r="K5052" t="s">
        <v>4476</v>
      </c>
      <c r="L5052">
        <v>4.71</v>
      </c>
      <c r="M5052" s="452">
        <v>45695</v>
      </c>
      <c r="N5052">
        <v>4.71</v>
      </c>
      <c r="O5052">
        <v>4.72</v>
      </c>
      <c r="P5052">
        <v>56.52</v>
      </c>
    </row>
    <row r="5053" spans="1:16" x14ac:dyDescent="0.3">
      <c r="A5053">
        <v>22377</v>
      </c>
      <c r="B5053">
        <v>105</v>
      </c>
      <c r="C5053" t="s">
        <v>557</v>
      </c>
      <c r="D5053" s="452">
        <v>45717</v>
      </c>
      <c r="E5053">
        <v>25762</v>
      </c>
      <c r="F5053" t="s">
        <v>4770</v>
      </c>
      <c r="G5053">
        <v>9070</v>
      </c>
      <c r="H5053">
        <v>8</v>
      </c>
      <c r="I5053" t="s">
        <v>4736</v>
      </c>
      <c r="J5053" t="s">
        <v>5191</v>
      </c>
      <c r="K5053" t="s">
        <v>4476</v>
      </c>
      <c r="L5053">
        <v>0</v>
      </c>
      <c r="M5053" s="452">
        <v>-693593</v>
      </c>
      <c r="N5053">
        <v>0</v>
      </c>
      <c r="O5053">
        <v>0</v>
      </c>
      <c r="P5053">
        <v>55.92</v>
      </c>
    </row>
    <row r="5054" spans="1:16" x14ac:dyDescent="0.3">
      <c r="A5054">
        <v>22731</v>
      </c>
      <c r="B5054">
        <v>105</v>
      </c>
      <c r="C5054" t="s">
        <v>557</v>
      </c>
      <c r="D5054" s="452">
        <v>45717</v>
      </c>
      <c r="E5054">
        <v>18214</v>
      </c>
      <c r="F5054" t="s">
        <v>5039</v>
      </c>
      <c r="G5054">
        <v>3413</v>
      </c>
      <c r="H5054">
        <v>1.7</v>
      </c>
      <c r="I5054" t="s">
        <v>4805</v>
      </c>
      <c r="J5054" t="s">
        <v>5222</v>
      </c>
      <c r="K5054" t="s">
        <v>4476</v>
      </c>
      <c r="L5054">
        <v>0</v>
      </c>
      <c r="M5054" s="452">
        <v>45378</v>
      </c>
      <c r="N5054">
        <v>32.200000000000003</v>
      </c>
      <c r="O5054">
        <v>34.1</v>
      </c>
      <c r="P5054">
        <v>54.74</v>
      </c>
    </row>
    <row r="5055" spans="1:16" x14ac:dyDescent="0.3">
      <c r="A5055">
        <v>22579</v>
      </c>
      <c r="B5055">
        <v>105</v>
      </c>
      <c r="C5055" t="s">
        <v>557</v>
      </c>
      <c r="D5055" s="452">
        <v>45717</v>
      </c>
      <c r="E5055">
        <v>24394</v>
      </c>
      <c r="F5055" t="s">
        <v>5164</v>
      </c>
      <c r="G5055">
        <v>2753</v>
      </c>
      <c r="H5055">
        <v>60</v>
      </c>
      <c r="I5055" t="s">
        <v>4736</v>
      </c>
      <c r="J5055" t="s">
        <v>5191</v>
      </c>
      <c r="K5055" t="s">
        <v>4476</v>
      </c>
      <c r="L5055">
        <v>0.91</v>
      </c>
      <c r="M5055" s="452">
        <v>45716</v>
      </c>
      <c r="N5055">
        <v>0.98</v>
      </c>
      <c r="O5055">
        <v>0.16</v>
      </c>
      <c r="P5055">
        <v>54.6</v>
      </c>
    </row>
    <row r="5056" spans="1:16" x14ac:dyDescent="0.3">
      <c r="A5056">
        <v>22461</v>
      </c>
      <c r="B5056">
        <v>105</v>
      </c>
      <c r="C5056" t="s">
        <v>557</v>
      </c>
      <c r="D5056" s="452">
        <v>45717</v>
      </c>
      <c r="E5056">
        <v>20661</v>
      </c>
      <c r="F5056" t="s">
        <v>5012</v>
      </c>
      <c r="G5056">
        <v>2110</v>
      </c>
      <c r="H5056">
        <v>6</v>
      </c>
      <c r="I5056" t="s">
        <v>4736</v>
      </c>
      <c r="J5056" t="s">
        <v>5191</v>
      </c>
      <c r="K5056" t="s">
        <v>4476</v>
      </c>
      <c r="L5056">
        <v>8.99</v>
      </c>
      <c r="M5056" s="452">
        <v>45713</v>
      </c>
      <c r="N5056">
        <v>8.99</v>
      </c>
      <c r="O5056">
        <v>9.35</v>
      </c>
      <c r="P5056">
        <v>53.94</v>
      </c>
    </row>
    <row r="5057" spans="1:16" x14ac:dyDescent="0.3">
      <c r="A5057">
        <v>22503</v>
      </c>
      <c r="B5057">
        <v>105</v>
      </c>
      <c r="C5057" t="s">
        <v>557</v>
      </c>
      <c r="D5057" s="452">
        <v>45717</v>
      </c>
      <c r="E5057">
        <v>20207</v>
      </c>
      <c r="F5057" t="s">
        <v>4929</v>
      </c>
      <c r="G5057">
        <v>2253</v>
      </c>
      <c r="H5057">
        <v>1</v>
      </c>
      <c r="I5057" t="s">
        <v>4744</v>
      </c>
      <c r="J5057" t="s">
        <v>5191</v>
      </c>
      <c r="K5057" t="s">
        <v>4476</v>
      </c>
      <c r="L5057">
        <v>53.7</v>
      </c>
      <c r="M5057" s="452">
        <v>45706</v>
      </c>
      <c r="N5057">
        <v>29.9</v>
      </c>
      <c r="O5057">
        <v>29.9</v>
      </c>
      <c r="P5057">
        <v>53.7</v>
      </c>
    </row>
    <row r="5058" spans="1:16" x14ac:dyDescent="0.3">
      <c r="A5058">
        <v>22783</v>
      </c>
      <c r="B5058">
        <v>105</v>
      </c>
      <c r="C5058" t="s">
        <v>557</v>
      </c>
      <c r="D5058" s="452">
        <v>45717</v>
      </c>
      <c r="E5058">
        <v>17597</v>
      </c>
      <c r="F5058" t="s">
        <v>5587</v>
      </c>
      <c r="G5058">
        <v>3930</v>
      </c>
      <c r="H5058">
        <v>1</v>
      </c>
      <c r="I5058" t="s">
        <v>4805</v>
      </c>
      <c r="J5058" t="s">
        <v>5222</v>
      </c>
      <c r="K5058" t="s">
        <v>4476</v>
      </c>
      <c r="L5058">
        <v>0</v>
      </c>
      <c r="M5058" s="452">
        <v>45595</v>
      </c>
      <c r="N5058">
        <v>52.61</v>
      </c>
      <c r="O5058">
        <v>51.71</v>
      </c>
      <c r="P5058">
        <v>52.61</v>
      </c>
    </row>
    <row r="5059" spans="1:16" x14ac:dyDescent="0.3">
      <c r="A5059">
        <v>22775</v>
      </c>
      <c r="B5059">
        <v>105</v>
      </c>
      <c r="C5059" t="s">
        <v>557</v>
      </c>
      <c r="D5059" s="452">
        <v>45717</v>
      </c>
      <c r="E5059">
        <v>17883</v>
      </c>
      <c r="F5059" t="s">
        <v>5113</v>
      </c>
      <c r="G5059">
        <v>3673</v>
      </c>
      <c r="H5059">
        <v>2</v>
      </c>
      <c r="I5059" t="s">
        <v>4738</v>
      </c>
      <c r="J5059" t="s">
        <v>5222</v>
      </c>
      <c r="K5059" t="s">
        <v>4476</v>
      </c>
      <c r="L5059">
        <v>26.28</v>
      </c>
      <c r="M5059" s="452">
        <v>45716</v>
      </c>
      <c r="N5059">
        <v>26.28</v>
      </c>
      <c r="O5059">
        <v>26.28</v>
      </c>
      <c r="P5059">
        <v>52.56</v>
      </c>
    </row>
    <row r="5060" spans="1:16" x14ac:dyDescent="0.3">
      <c r="A5060">
        <v>22477</v>
      </c>
      <c r="B5060">
        <v>105</v>
      </c>
      <c r="C5060" t="s">
        <v>557</v>
      </c>
      <c r="D5060" s="452">
        <v>45717</v>
      </c>
      <c r="E5060">
        <v>20105</v>
      </c>
      <c r="F5060" t="s">
        <v>4831</v>
      </c>
      <c r="G5060">
        <v>2298</v>
      </c>
      <c r="H5060">
        <v>3.01</v>
      </c>
      <c r="I5060" t="s">
        <v>4744</v>
      </c>
      <c r="J5060" t="s">
        <v>5191</v>
      </c>
      <c r="K5060" t="s">
        <v>4476</v>
      </c>
      <c r="L5060">
        <v>0</v>
      </c>
      <c r="M5060" s="452">
        <v>45574</v>
      </c>
      <c r="N5060">
        <v>16.899999999999999</v>
      </c>
      <c r="O5060">
        <v>16.5</v>
      </c>
      <c r="P5060">
        <v>50.87</v>
      </c>
    </row>
    <row r="5061" spans="1:16" x14ac:dyDescent="0.3">
      <c r="A5061">
        <v>22570</v>
      </c>
      <c r="B5061">
        <v>105</v>
      </c>
      <c r="C5061" t="s">
        <v>557</v>
      </c>
      <c r="D5061" s="452">
        <v>45717</v>
      </c>
      <c r="E5061">
        <v>19602</v>
      </c>
      <c r="F5061" t="s">
        <v>4782</v>
      </c>
      <c r="G5061">
        <v>2627</v>
      </c>
      <c r="H5061">
        <v>7.28</v>
      </c>
      <c r="I5061" t="s">
        <v>4744</v>
      </c>
      <c r="J5061" t="s">
        <v>5191</v>
      </c>
      <c r="K5061" t="s">
        <v>4476</v>
      </c>
      <c r="L5061">
        <v>6.98</v>
      </c>
      <c r="M5061" s="452">
        <v>45713</v>
      </c>
      <c r="N5061">
        <v>6.5</v>
      </c>
      <c r="O5061">
        <v>5.88</v>
      </c>
      <c r="P5061">
        <v>50.81</v>
      </c>
    </row>
    <row r="5062" spans="1:16" x14ac:dyDescent="0.3">
      <c r="A5062">
        <v>22398</v>
      </c>
      <c r="B5062">
        <v>105</v>
      </c>
      <c r="C5062" t="s">
        <v>557</v>
      </c>
      <c r="D5062" s="452">
        <v>45717</v>
      </c>
      <c r="E5062">
        <v>20429</v>
      </c>
      <c r="F5062" t="s">
        <v>5317</v>
      </c>
      <c r="G5062">
        <v>2184</v>
      </c>
      <c r="H5062">
        <v>2.6</v>
      </c>
      <c r="I5062" t="s">
        <v>4736</v>
      </c>
      <c r="J5062" t="s">
        <v>5191</v>
      </c>
      <c r="K5062" t="s">
        <v>4476</v>
      </c>
      <c r="L5062">
        <v>0</v>
      </c>
      <c r="M5062" s="452">
        <v>45631</v>
      </c>
      <c r="N5062">
        <v>19.399999999999999</v>
      </c>
      <c r="O5062">
        <v>18.600000000000001</v>
      </c>
      <c r="P5062">
        <v>50.44</v>
      </c>
    </row>
    <row r="5063" spans="1:16" x14ac:dyDescent="0.3">
      <c r="A5063">
        <v>22610</v>
      </c>
      <c r="B5063">
        <v>105</v>
      </c>
      <c r="C5063" t="s">
        <v>557</v>
      </c>
      <c r="D5063" s="452">
        <v>45717</v>
      </c>
      <c r="E5063">
        <v>19353</v>
      </c>
      <c r="F5063" t="s">
        <v>4851</v>
      </c>
      <c r="G5063">
        <v>2768</v>
      </c>
      <c r="H5063">
        <v>2</v>
      </c>
      <c r="I5063" t="s">
        <v>4744</v>
      </c>
      <c r="J5063" t="s">
        <v>5191</v>
      </c>
      <c r="K5063" t="s">
        <v>4476</v>
      </c>
      <c r="L5063">
        <v>0</v>
      </c>
      <c r="M5063" s="452">
        <v>45633</v>
      </c>
      <c r="N5063">
        <v>24.6</v>
      </c>
      <c r="O5063">
        <v>24.6</v>
      </c>
      <c r="P5063">
        <v>49.2</v>
      </c>
    </row>
    <row r="5064" spans="1:16" x14ac:dyDescent="0.3">
      <c r="A5064">
        <v>22373</v>
      </c>
      <c r="B5064">
        <v>105</v>
      </c>
      <c r="C5064" t="s">
        <v>557</v>
      </c>
      <c r="D5064" s="452">
        <v>45717</v>
      </c>
      <c r="E5064">
        <v>25760</v>
      </c>
      <c r="F5064" t="s">
        <v>4787</v>
      </c>
      <c r="G5064">
        <v>6311</v>
      </c>
      <c r="H5064">
        <v>7</v>
      </c>
      <c r="I5064" t="s">
        <v>4736</v>
      </c>
      <c r="J5064" t="s">
        <v>5191</v>
      </c>
      <c r="K5064" t="s">
        <v>4476</v>
      </c>
      <c r="L5064">
        <v>0</v>
      </c>
      <c r="M5064" s="452">
        <v>-693593</v>
      </c>
      <c r="N5064">
        <v>0</v>
      </c>
      <c r="O5064">
        <v>0</v>
      </c>
      <c r="P5064">
        <v>48.93</v>
      </c>
    </row>
    <row r="5065" spans="1:16" x14ac:dyDescent="0.3">
      <c r="A5065">
        <v>22596</v>
      </c>
      <c r="B5065">
        <v>105</v>
      </c>
      <c r="C5065" t="s">
        <v>557</v>
      </c>
      <c r="D5065" s="452">
        <v>45717</v>
      </c>
      <c r="E5065">
        <v>19453</v>
      </c>
      <c r="F5065" t="s">
        <v>5561</v>
      </c>
      <c r="G5065">
        <v>2752</v>
      </c>
      <c r="H5065">
        <v>2.17</v>
      </c>
      <c r="I5065" t="s">
        <v>4744</v>
      </c>
      <c r="J5065" t="s">
        <v>5191</v>
      </c>
      <c r="K5065" t="s">
        <v>4476</v>
      </c>
      <c r="L5065">
        <v>22.22</v>
      </c>
      <c r="M5065" s="452">
        <v>45713</v>
      </c>
      <c r="N5065">
        <v>25</v>
      </c>
      <c r="O5065">
        <v>28.59</v>
      </c>
      <c r="P5065">
        <v>48.22</v>
      </c>
    </row>
    <row r="5066" spans="1:16" x14ac:dyDescent="0.3">
      <c r="A5066">
        <v>22428</v>
      </c>
      <c r="B5066">
        <v>105</v>
      </c>
      <c r="C5066" t="s">
        <v>557</v>
      </c>
      <c r="D5066" s="452">
        <v>45717</v>
      </c>
      <c r="E5066">
        <v>20419</v>
      </c>
      <c r="F5066" t="s">
        <v>5498</v>
      </c>
      <c r="G5066">
        <v>2187</v>
      </c>
      <c r="H5066">
        <v>3</v>
      </c>
      <c r="I5066" t="s">
        <v>4738</v>
      </c>
      <c r="J5066" t="s">
        <v>5191</v>
      </c>
      <c r="K5066" t="s">
        <v>4476</v>
      </c>
      <c r="L5066">
        <v>0</v>
      </c>
      <c r="M5066" s="452">
        <v>45573</v>
      </c>
      <c r="N5066">
        <v>16.02</v>
      </c>
      <c r="O5066">
        <v>17.25</v>
      </c>
      <c r="P5066">
        <v>48.06</v>
      </c>
    </row>
    <row r="5067" spans="1:16" x14ac:dyDescent="0.3">
      <c r="A5067">
        <v>22781</v>
      </c>
      <c r="B5067">
        <v>105</v>
      </c>
      <c r="C5067" t="s">
        <v>557</v>
      </c>
      <c r="D5067" s="452">
        <v>45717</v>
      </c>
      <c r="E5067">
        <v>26034</v>
      </c>
      <c r="F5067" t="s">
        <v>4828</v>
      </c>
      <c r="G5067">
        <v>6504</v>
      </c>
      <c r="H5067">
        <v>1</v>
      </c>
      <c r="I5067" t="s">
        <v>4805</v>
      </c>
      <c r="J5067" t="s">
        <v>5222</v>
      </c>
      <c r="K5067" t="s">
        <v>4476</v>
      </c>
      <c r="L5067">
        <v>46.38</v>
      </c>
      <c r="M5067" s="452">
        <v>45709</v>
      </c>
      <c r="N5067">
        <v>46.38</v>
      </c>
      <c r="O5067">
        <v>46.38</v>
      </c>
      <c r="P5067">
        <v>46.38</v>
      </c>
    </row>
    <row r="5068" spans="1:16" x14ac:dyDescent="0.3">
      <c r="A5068">
        <v>22389</v>
      </c>
      <c r="B5068">
        <v>105</v>
      </c>
      <c r="C5068" t="s">
        <v>557</v>
      </c>
      <c r="D5068" s="452">
        <v>45717</v>
      </c>
      <c r="E5068">
        <v>21065</v>
      </c>
      <c r="F5068" t="s">
        <v>5506</v>
      </c>
      <c r="G5068">
        <v>1997</v>
      </c>
      <c r="H5068">
        <v>3</v>
      </c>
      <c r="I5068" t="s">
        <v>4805</v>
      </c>
      <c r="J5068" t="s">
        <v>5191</v>
      </c>
      <c r="K5068" t="s">
        <v>4476</v>
      </c>
      <c r="L5068">
        <v>0</v>
      </c>
      <c r="M5068" s="452">
        <v>45677</v>
      </c>
      <c r="N5068">
        <v>15.37</v>
      </c>
      <c r="O5068">
        <v>14.9</v>
      </c>
      <c r="P5068">
        <v>46.11</v>
      </c>
    </row>
    <row r="5069" spans="1:16" x14ac:dyDescent="0.3">
      <c r="A5069">
        <v>22757</v>
      </c>
      <c r="B5069">
        <v>105</v>
      </c>
      <c r="C5069" t="s">
        <v>557</v>
      </c>
      <c r="D5069" s="452">
        <v>45717</v>
      </c>
      <c r="E5069">
        <v>22118</v>
      </c>
      <c r="F5069" t="s">
        <v>4765</v>
      </c>
      <c r="G5069">
        <v>3600</v>
      </c>
      <c r="H5069">
        <v>20</v>
      </c>
      <c r="I5069" t="s">
        <v>4749</v>
      </c>
      <c r="J5069" t="s">
        <v>5222</v>
      </c>
      <c r="K5069" t="s">
        <v>4476</v>
      </c>
      <c r="L5069">
        <v>0</v>
      </c>
      <c r="M5069" s="452">
        <v>45679</v>
      </c>
      <c r="N5069">
        <v>2.19</v>
      </c>
      <c r="O5069">
        <v>2.19</v>
      </c>
      <c r="P5069">
        <v>43.8</v>
      </c>
    </row>
    <row r="5070" spans="1:16" x14ac:dyDescent="0.3">
      <c r="A5070">
        <v>22671</v>
      </c>
      <c r="B5070">
        <v>105</v>
      </c>
      <c r="C5070" t="s">
        <v>557</v>
      </c>
      <c r="D5070" s="452">
        <v>45717</v>
      </c>
      <c r="E5070">
        <v>18996</v>
      </c>
      <c r="F5070" t="s">
        <v>5130</v>
      </c>
      <c r="G5070">
        <v>2900</v>
      </c>
      <c r="H5070">
        <v>2.15</v>
      </c>
      <c r="I5070" t="s">
        <v>4744</v>
      </c>
      <c r="J5070" t="s">
        <v>5191</v>
      </c>
      <c r="K5070" t="s">
        <v>4476</v>
      </c>
      <c r="L5070">
        <v>19.88</v>
      </c>
      <c r="M5070" s="452">
        <v>45707</v>
      </c>
      <c r="N5070">
        <v>19.88</v>
      </c>
      <c r="O5070">
        <v>17.25</v>
      </c>
      <c r="P5070">
        <v>42.74</v>
      </c>
    </row>
    <row r="5071" spans="1:16" x14ac:dyDescent="0.3">
      <c r="A5071">
        <v>22452</v>
      </c>
      <c r="B5071">
        <v>105</v>
      </c>
      <c r="C5071" t="s">
        <v>557</v>
      </c>
      <c r="D5071" s="452">
        <v>45717</v>
      </c>
      <c r="E5071">
        <v>24272</v>
      </c>
      <c r="F5071" t="s">
        <v>5059</v>
      </c>
      <c r="G5071">
        <v>2341</v>
      </c>
      <c r="H5071">
        <v>1.75</v>
      </c>
      <c r="I5071" t="s">
        <v>4744</v>
      </c>
      <c r="J5071" t="s">
        <v>5191</v>
      </c>
      <c r="K5071" t="s">
        <v>4476</v>
      </c>
      <c r="L5071">
        <v>24</v>
      </c>
      <c r="M5071" s="452">
        <v>45693</v>
      </c>
      <c r="N5071">
        <v>24</v>
      </c>
      <c r="O5071">
        <v>24</v>
      </c>
      <c r="P5071">
        <v>42</v>
      </c>
    </row>
    <row r="5072" spans="1:16" x14ac:dyDescent="0.3">
      <c r="A5072">
        <v>22719</v>
      </c>
      <c r="B5072">
        <v>105</v>
      </c>
      <c r="C5072" t="s">
        <v>557</v>
      </c>
      <c r="D5072" s="452">
        <v>45717</v>
      </c>
      <c r="E5072">
        <v>18317</v>
      </c>
      <c r="F5072" t="s">
        <v>5056</v>
      </c>
      <c r="G5072">
        <v>3316</v>
      </c>
      <c r="H5072">
        <v>1.2</v>
      </c>
      <c r="I5072" t="s">
        <v>4805</v>
      </c>
      <c r="J5072" t="s">
        <v>5222</v>
      </c>
      <c r="K5072" t="s">
        <v>4476</v>
      </c>
      <c r="L5072">
        <v>0</v>
      </c>
      <c r="M5072" s="452">
        <v>-693593</v>
      </c>
      <c r="N5072">
        <v>0</v>
      </c>
      <c r="O5072">
        <v>35.909999999999997</v>
      </c>
      <c r="P5072">
        <v>41.39</v>
      </c>
    </row>
    <row r="5073" spans="1:16" x14ac:dyDescent="0.3">
      <c r="A5073">
        <v>22517</v>
      </c>
      <c r="B5073">
        <v>105</v>
      </c>
      <c r="C5073" t="s">
        <v>557</v>
      </c>
      <c r="D5073" s="452">
        <v>45717</v>
      </c>
      <c r="E5073">
        <v>20961</v>
      </c>
      <c r="F5073" t="s">
        <v>5026</v>
      </c>
      <c r="G5073">
        <v>2015</v>
      </c>
      <c r="H5073">
        <v>5</v>
      </c>
      <c r="I5073" t="s">
        <v>4736</v>
      </c>
      <c r="J5073" t="s">
        <v>5191</v>
      </c>
      <c r="K5073" t="s">
        <v>4476</v>
      </c>
      <c r="L5073">
        <v>0</v>
      </c>
      <c r="M5073" s="452">
        <v>45653</v>
      </c>
      <c r="N5073">
        <v>7.98</v>
      </c>
      <c r="O5073">
        <v>6.98</v>
      </c>
      <c r="P5073">
        <v>39.9</v>
      </c>
    </row>
    <row r="5074" spans="1:16" x14ac:dyDescent="0.3">
      <c r="A5074">
        <v>22414</v>
      </c>
      <c r="B5074">
        <v>105</v>
      </c>
      <c r="C5074" t="s">
        <v>557</v>
      </c>
      <c r="D5074" s="452">
        <v>45717</v>
      </c>
      <c r="E5074">
        <v>24638</v>
      </c>
      <c r="F5074" t="s">
        <v>4948</v>
      </c>
      <c r="G5074">
        <v>5690</v>
      </c>
      <c r="H5074">
        <v>1</v>
      </c>
      <c r="I5074" t="s">
        <v>4749</v>
      </c>
      <c r="J5074" t="s">
        <v>5191</v>
      </c>
      <c r="K5074" t="s">
        <v>4476</v>
      </c>
      <c r="L5074">
        <v>0</v>
      </c>
      <c r="M5074" s="452">
        <v>45674</v>
      </c>
      <c r="N5074">
        <v>39.5</v>
      </c>
      <c r="O5074">
        <v>52</v>
      </c>
      <c r="P5074">
        <v>39.5</v>
      </c>
    </row>
    <row r="5075" spans="1:16" x14ac:dyDescent="0.3">
      <c r="A5075">
        <v>22776</v>
      </c>
      <c r="B5075">
        <v>105</v>
      </c>
      <c r="C5075" t="s">
        <v>557</v>
      </c>
      <c r="D5075" s="452">
        <v>45717</v>
      </c>
      <c r="E5075">
        <v>24468</v>
      </c>
      <c r="F5075" t="s">
        <v>4798</v>
      </c>
      <c r="G5075">
        <v>3675</v>
      </c>
      <c r="H5075">
        <v>18</v>
      </c>
      <c r="I5075" t="s">
        <v>4736</v>
      </c>
      <c r="J5075" t="s">
        <v>5222</v>
      </c>
      <c r="K5075" t="s">
        <v>4476</v>
      </c>
      <c r="L5075">
        <v>0</v>
      </c>
      <c r="M5075" s="452">
        <v>45653</v>
      </c>
      <c r="N5075">
        <v>2.19</v>
      </c>
      <c r="O5075">
        <v>2.19</v>
      </c>
      <c r="P5075">
        <v>39.42</v>
      </c>
    </row>
    <row r="5076" spans="1:16" x14ac:dyDescent="0.3">
      <c r="A5076">
        <v>22669</v>
      </c>
      <c r="B5076">
        <v>105</v>
      </c>
      <c r="C5076" t="s">
        <v>557</v>
      </c>
      <c r="D5076" s="452">
        <v>45717</v>
      </c>
      <c r="E5076">
        <v>24660</v>
      </c>
      <c r="F5076" t="s">
        <v>5523</v>
      </c>
      <c r="G5076">
        <v>5702</v>
      </c>
      <c r="H5076">
        <v>2.0499999999999998</v>
      </c>
      <c r="I5076" t="s">
        <v>4744</v>
      </c>
      <c r="J5076" t="s">
        <v>5191</v>
      </c>
      <c r="K5076" t="s">
        <v>4476</v>
      </c>
      <c r="L5076">
        <v>0</v>
      </c>
      <c r="M5076" s="452">
        <v>45623</v>
      </c>
      <c r="N5076">
        <v>18.89</v>
      </c>
      <c r="O5076">
        <v>12.8</v>
      </c>
      <c r="P5076">
        <v>38.72</v>
      </c>
    </row>
    <row r="5077" spans="1:16" x14ac:dyDescent="0.3">
      <c r="A5077">
        <v>22774</v>
      </c>
      <c r="B5077">
        <v>105</v>
      </c>
      <c r="C5077" t="s">
        <v>557</v>
      </c>
      <c r="D5077" s="452">
        <v>45717</v>
      </c>
      <c r="E5077">
        <v>24467</v>
      </c>
      <c r="F5077" t="s">
        <v>4766</v>
      </c>
      <c r="G5077">
        <v>3673</v>
      </c>
      <c r="H5077">
        <v>19</v>
      </c>
      <c r="I5077" t="s">
        <v>4736</v>
      </c>
      <c r="J5077" t="s">
        <v>5222</v>
      </c>
      <c r="K5077" t="s">
        <v>4476</v>
      </c>
      <c r="L5077">
        <v>0</v>
      </c>
      <c r="M5077" s="452">
        <v>45520</v>
      </c>
      <c r="N5077">
        <v>1.99</v>
      </c>
      <c r="O5077">
        <v>2.19</v>
      </c>
      <c r="P5077">
        <v>37.81</v>
      </c>
    </row>
    <row r="5078" spans="1:16" x14ac:dyDescent="0.3">
      <c r="A5078">
        <v>22755</v>
      </c>
      <c r="B5078">
        <v>105</v>
      </c>
      <c r="C5078" t="s">
        <v>557</v>
      </c>
      <c r="D5078" s="452">
        <v>45717</v>
      </c>
      <c r="E5078">
        <v>24029</v>
      </c>
      <c r="F5078" t="s">
        <v>4756</v>
      </c>
      <c r="G5078">
        <v>3591</v>
      </c>
      <c r="H5078">
        <v>17</v>
      </c>
      <c r="I5078" t="s">
        <v>4736</v>
      </c>
      <c r="J5078" t="s">
        <v>5222</v>
      </c>
      <c r="K5078" t="s">
        <v>4476</v>
      </c>
      <c r="L5078">
        <v>0</v>
      </c>
      <c r="M5078" s="452">
        <v>45546</v>
      </c>
      <c r="N5078">
        <v>2.19</v>
      </c>
      <c r="O5078">
        <v>2.19</v>
      </c>
      <c r="P5078">
        <v>37.229999999999997</v>
      </c>
    </row>
    <row r="5079" spans="1:16" x14ac:dyDescent="0.3">
      <c r="A5079">
        <v>22569</v>
      </c>
      <c r="B5079">
        <v>105</v>
      </c>
      <c r="C5079" t="s">
        <v>557</v>
      </c>
      <c r="D5079" s="452">
        <v>45717</v>
      </c>
      <c r="E5079">
        <v>19742</v>
      </c>
      <c r="F5079" t="s">
        <v>4900</v>
      </c>
      <c r="G5079">
        <v>2511</v>
      </c>
      <c r="H5079">
        <v>3.78</v>
      </c>
      <c r="I5079" t="s">
        <v>4744</v>
      </c>
      <c r="J5079" t="s">
        <v>5191</v>
      </c>
      <c r="K5079" t="s">
        <v>4476</v>
      </c>
      <c r="L5079">
        <v>9.6300000000000008</v>
      </c>
      <c r="M5079" s="452">
        <v>45716</v>
      </c>
      <c r="N5079">
        <v>9</v>
      </c>
      <c r="O5079">
        <v>9</v>
      </c>
      <c r="P5079">
        <v>36.4</v>
      </c>
    </row>
    <row r="5080" spans="1:16" x14ac:dyDescent="0.3">
      <c r="A5080">
        <v>22453</v>
      </c>
      <c r="B5080">
        <v>105</v>
      </c>
      <c r="C5080" t="s">
        <v>557</v>
      </c>
      <c r="D5080" s="452">
        <v>45717</v>
      </c>
      <c r="E5080">
        <v>19895</v>
      </c>
      <c r="F5080" t="s">
        <v>5080</v>
      </c>
      <c r="G5080">
        <v>2385</v>
      </c>
      <c r="H5080">
        <v>2</v>
      </c>
      <c r="I5080" t="s">
        <v>4888</v>
      </c>
      <c r="J5080" t="s">
        <v>5191</v>
      </c>
      <c r="K5080" t="s">
        <v>4476</v>
      </c>
      <c r="L5080">
        <v>0</v>
      </c>
      <c r="M5080" s="452">
        <v>-693593</v>
      </c>
      <c r="N5080">
        <v>0</v>
      </c>
      <c r="O5080">
        <v>39.86</v>
      </c>
      <c r="P5080">
        <v>36</v>
      </c>
    </row>
    <row r="5081" spans="1:16" x14ac:dyDescent="0.3">
      <c r="A5081">
        <v>22368</v>
      </c>
      <c r="B5081">
        <v>105</v>
      </c>
      <c r="C5081" t="s">
        <v>557</v>
      </c>
      <c r="D5081" s="452">
        <v>45717</v>
      </c>
      <c r="E5081">
        <v>21132</v>
      </c>
      <c r="F5081" t="s">
        <v>5524</v>
      </c>
      <c r="G5081">
        <v>1963</v>
      </c>
      <c r="H5081">
        <v>1</v>
      </c>
      <c r="I5081" t="s">
        <v>4738</v>
      </c>
      <c r="J5081" t="s">
        <v>5191</v>
      </c>
      <c r="K5081" t="s">
        <v>4476</v>
      </c>
      <c r="L5081">
        <v>0</v>
      </c>
      <c r="M5081" s="452">
        <v>45660</v>
      </c>
      <c r="N5081">
        <v>35.31</v>
      </c>
      <c r="O5081">
        <v>34.5</v>
      </c>
      <c r="P5081">
        <v>35.31</v>
      </c>
    </row>
    <row r="5082" spans="1:16" x14ac:dyDescent="0.3">
      <c r="A5082">
        <v>22608</v>
      </c>
      <c r="B5082">
        <v>105</v>
      </c>
      <c r="C5082" t="s">
        <v>557</v>
      </c>
      <c r="D5082" s="452">
        <v>45717</v>
      </c>
      <c r="E5082">
        <v>24489</v>
      </c>
      <c r="F5082" t="s">
        <v>5121</v>
      </c>
      <c r="G5082">
        <v>2686</v>
      </c>
      <c r="H5082">
        <v>2</v>
      </c>
      <c r="I5082" t="s">
        <v>4744</v>
      </c>
      <c r="J5082" t="s">
        <v>5191</v>
      </c>
      <c r="K5082" t="s">
        <v>4476</v>
      </c>
      <c r="L5082">
        <v>17.440000000000001</v>
      </c>
      <c r="M5082" s="452">
        <v>45716</v>
      </c>
      <c r="N5082">
        <v>15</v>
      </c>
      <c r="O5082">
        <v>14.33</v>
      </c>
      <c r="P5082">
        <v>34.880000000000003</v>
      </c>
    </row>
    <row r="5083" spans="1:16" x14ac:dyDescent="0.3">
      <c r="A5083">
        <v>22489</v>
      </c>
      <c r="B5083">
        <v>105</v>
      </c>
      <c r="C5083" t="s">
        <v>557</v>
      </c>
      <c r="D5083" s="452">
        <v>45717</v>
      </c>
      <c r="E5083">
        <v>19967</v>
      </c>
      <c r="F5083" t="s">
        <v>4956</v>
      </c>
      <c r="G5083">
        <v>2356</v>
      </c>
      <c r="H5083">
        <v>1</v>
      </c>
      <c r="I5083" t="s">
        <v>4888</v>
      </c>
      <c r="J5083" t="s">
        <v>5191</v>
      </c>
      <c r="K5083" t="s">
        <v>4476</v>
      </c>
      <c r="L5083">
        <v>33.880000000000003</v>
      </c>
      <c r="M5083" s="452">
        <v>45714</v>
      </c>
      <c r="N5083">
        <v>61.5</v>
      </c>
      <c r="O5083">
        <v>61.5</v>
      </c>
      <c r="P5083">
        <v>33.880000000000003</v>
      </c>
    </row>
    <row r="5084" spans="1:16" x14ac:dyDescent="0.3">
      <c r="A5084">
        <v>22478</v>
      </c>
      <c r="B5084">
        <v>105</v>
      </c>
      <c r="C5084" t="s">
        <v>557</v>
      </c>
      <c r="D5084" s="452">
        <v>45717</v>
      </c>
      <c r="E5084">
        <v>20887</v>
      </c>
      <c r="F5084" t="s">
        <v>4953</v>
      </c>
      <c r="G5084">
        <v>2040</v>
      </c>
      <c r="H5084">
        <v>1</v>
      </c>
      <c r="I5084" t="s">
        <v>4879</v>
      </c>
      <c r="J5084" t="s">
        <v>5191</v>
      </c>
      <c r="K5084" t="s">
        <v>4476</v>
      </c>
      <c r="L5084">
        <v>33</v>
      </c>
      <c r="M5084" s="452">
        <v>45701</v>
      </c>
      <c r="N5084">
        <v>33</v>
      </c>
      <c r="O5084">
        <v>33</v>
      </c>
      <c r="P5084">
        <v>33</v>
      </c>
    </row>
    <row r="5085" spans="1:16" x14ac:dyDescent="0.3">
      <c r="A5085">
        <v>22761</v>
      </c>
      <c r="B5085">
        <v>105</v>
      </c>
      <c r="C5085" t="s">
        <v>557</v>
      </c>
      <c r="D5085" s="452">
        <v>45717</v>
      </c>
      <c r="E5085">
        <v>17838</v>
      </c>
      <c r="F5085" t="s">
        <v>4925</v>
      </c>
      <c r="G5085">
        <v>3712</v>
      </c>
      <c r="H5085">
        <v>2</v>
      </c>
      <c r="I5085" t="s">
        <v>4749</v>
      </c>
      <c r="J5085" t="s">
        <v>5222</v>
      </c>
      <c r="K5085" t="s">
        <v>4476</v>
      </c>
      <c r="L5085">
        <v>16.5</v>
      </c>
      <c r="M5085" s="452">
        <v>45701</v>
      </c>
      <c r="N5085">
        <v>16.5</v>
      </c>
      <c r="O5085">
        <v>13.82</v>
      </c>
      <c r="P5085">
        <v>33</v>
      </c>
    </row>
    <row r="5086" spans="1:16" x14ac:dyDescent="0.3">
      <c r="A5086">
        <v>22425</v>
      </c>
      <c r="B5086">
        <v>105</v>
      </c>
      <c r="C5086" t="s">
        <v>557</v>
      </c>
      <c r="D5086" s="452">
        <v>45717</v>
      </c>
      <c r="E5086">
        <v>24186</v>
      </c>
      <c r="F5086" t="s">
        <v>4995</v>
      </c>
      <c r="G5086">
        <v>2332</v>
      </c>
      <c r="H5086">
        <v>2.5</v>
      </c>
      <c r="I5086" t="s">
        <v>4744</v>
      </c>
      <c r="J5086" t="s">
        <v>5191</v>
      </c>
      <c r="K5086" t="s">
        <v>4476</v>
      </c>
      <c r="L5086">
        <v>13</v>
      </c>
      <c r="M5086" s="452">
        <v>45706</v>
      </c>
      <c r="N5086">
        <v>13</v>
      </c>
      <c r="O5086">
        <v>13</v>
      </c>
      <c r="P5086">
        <v>32.5</v>
      </c>
    </row>
    <row r="5087" spans="1:16" x14ac:dyDescent="0.3">
      <c r="A5087">
        <v>22748</v>
      </c>
      <c r="B5087">
        <v>105</v>
      </c>
      <c r="C5087" t="s">
        <v>557</v>
      </c>
      <c r="D5087" s="452">
        <v>45717</v>
      </c>
      <c r="E5087">
        <v>26210</v>
      </c>
      <c r="F5087" t="s">
        <v>4975</v>
      </c>
      <c r="G5087">
        <v>6624</v>
      </c>
      <c r="H5087">
        <v>0.7</v>
      </c>
      <c r="I5087" t="s">
        <v>4805</v>
      </c>
      <c r="J5087" t="s">
        <v>5222</v>
      </c>
      <c r="K5087" t="s">
        <v>4476</v>
      </c>
      <c r="L5087">
        <v>46</v>
      </c>
      <c r="M5087" s="452">
        <v>45700</v>
      </c>
      <c r="N5087">
        <v>46</v>
      </c>
      <c r="O5087">
        <v>46</v>
      </c>
      <c r="P5087">
        <v>32.200000000000003</v>
      </c>
    </row>
    <row r="5088" spans="1:16" x14ac:dyDescent="0.3">
      <c r="A5088">
        <v>22591</v>
      </c>
      <c r="B5088">
        <v>105</v>
      </c>
      <c r="C5088" t="s">
        <v>557</v>
      </c>
      <c r="D5088" s="452">
        <v>45717</v>
      </c>
      <c r="E5088">
        <v>19558</v>
      </c>
      <c r="F5088" t="s">
        <v>4994</v>
      </c>
      <c r="G5088">
        <v>2659</v>
      </c>
      <c r="H5088">
        <v>2</v>
      </c>
      <c r="I5088" t="s">
        <v>4744</v>
      </c>
      <c r="J5088" t="s">
        <v>5191</v>
      </c>
      <c r="K5088" t="s">
        <v>4476</v>
      </c>
      <c r="L5088">
        <v>15.75</v>
      </c>
      <c r="M5088" s="452">
        <v>45716</v>
      </c>
      <c r="N5088">
        <v>15</v>
      </c>
      <c r="O5088">
        <v>15</v>
      </c>
      <c r="P5088">
        <v>31.5</v>
      </c>
    </row>
    <row r="5089" spans="1:16" x14ac:dyDescent="0.3">
      <c r="A5089">
        <v>22791</v>
      </c>
      <c r="B5089">
        <v>105</v>
      </c>
      <c r="C5089" t="s">
        <v>557</v>
      </c>
      <c r="D5089" s="452">
        <v>45717</v>
      </c>
      <c r="E5089">
        <v>26507</v>
      </c>
      <c r="F5089" t="s">
        <v>5588</v>
      </c>
      <c r="G5089">
        <v>2356</v>
      </c>
      <c r="H5089">
        <v>1</v>
      </c>
      <c r="I5089" t="s">
        <v>4879</v>
      </c>
      <c r="J5089" t="s">
        <v>5191</v>
      </c>
      <c r="K5089" t="s">
        <v>4476</v>
      </c>
      <c r="L5089">
        <v>0</v>
      </c>
      <c r="M5089" s="452">
        <v>-693593</v>
      </c>
      <c r="N5089">
        <v>0</v>
      </c>
      <c r="O5089">
        <v>0</v>
      </c>
      <c r="P5089">
        <v>31.4</v>
      </c>
    </row>
    <row r="5090" spans="1:16" x14ac:dyDescent="0.3">
      <c r="A5090">
        <v>22541</v>
      </c>
      <c r="B5090">
        <v>105</v>
      </c>
      <c r="C5090" t="s">
        <v>557</v>
      </c>
      <c r="D5090" s="452">
        <v>45717</v>
      </c>
      <c r="E5090">
        <v>19634</v>
      </c>
      <c r="F5090" t="s">
        <v>4792</v>
      </c>
      <c r="G5090">
        <v>2602</v>
      </c>
      <c r="H5090">
        <v>4.8899999999999997</v>
      </c>
      <c r="I5090" t="s">
        <v>4744</v>
      </c>
      <c r="J5090" t="s">
        <v>5191</v>
      </c>
      <c r="K5090" t="s">
        <v>4476</v>
      </c>
      <c r="L5090">
        <v>6.24</v>
      </c>
      <c r="M5090" s="452">
        <v>45716</v>
      </c>
      <c r="N5090">
        <v>5.5</v>
      </c>
      <c r="O5090">
        <v>4.3099999999999996</v>
      </c>
      <c r="P5090">
        <v>30.51</v>
      </c>
    </row>
    <row r="5091" spans="1:16" x14ac:dyDescent="0.3">
      <c r="A5091">
        <v>22786</v>
      </c>
      <c r="B5091">
        <v>105</v>
      </c>
      <c r="C5091" t="s">
        <v>557</v>
      </c>
      <c r="D5091" s="452">
        <v>45717</v>
      </c>
      <c r="E5091">
        <v>17721</v>
      </c>
      <c r="F5091" t="s">
        <v>4977</v>
      </c>
      <c r="G5091">
        <v>3818</v>
      </c>
      <c r="H5091">
        <v>3</v>
      </c>
      <c r="I5091" t="s">
        <v>4805</v>
      </c>
      <c r="J5091" t="s">
        <v>5222</v>
      </c>
      <c r="K5091" t="s">
        <v>4476</v>
      </c>
      <c r="L5091">
        <v>10.029999999999999</v>
      </c>
      <c r="M5091" s="452">
        <v>45695</v>
      </c>
      <c r="N5091">
        <v>10.029999999999999</v>
      </c>
      <c r="O5091">
        <v>10.69</v>
      </c>
      <c r="P5091">
        <v>30.09</v>
      </c>
    </row>
    <row r="5092" spans="1:16" x14ac:dyDescent="0.3">
      <c r="A5092">
        <v>22788</v>
      </c>
      <c r="B5092">
        <v>105</v>
      </c>
      <c r="C5092" t="s">
        <v>557</v>
      </c>
      <c r="D5092" s="452">
        <v>45717</v>
      </c>
      <c r="E5092">
        <v>19600</v>
      </c>
      <c r="F5092" t="s">
        <v>5499</v>
      </c>
      <c r="G5092">
        <v>2629</v>
      </c>
      <c r="H5092">
        <v>2.1</v>
      </c>
      <c r="I5092" t="s">
        <v>4744</v>
      </c>
      <c r="J5092" t="s">
        <v>5191</v>
      </c>
      <c r="K5092" t="s">
        <v>4476</v>
      </c>
      <c r="L5092">
        <v>14</v>
      </c>
      <c r="M5092" s="452">
        <v>45716</v>
      </c>
      <c r="N5092">
        <v>14</v>
      </c>
      <c r="O5092">
        <v>14</v>
      </c>
      <c r="P5092">
        <v>29.4</v>
      </c>
    </row>
    <row r="5093" spans="1:16" x14ac:dyDescent="0.3">
      <c r="A5093">
        <v>22472</v>
      </c>
      <c r="B5093">
        <v>105</v>
      </c>
      <c r="C5093" t="s">
        <v>557</v>
      </c>
      <c r="D5093" s="452">
        <v>45717</v>
      </c>
      <c r="E5093">
        <v>20140</v>
      </c>
      <c r="F5093" t="s">
        <v>5566</v>
      </c>
      <c r="G5093">
        <v>2284</v>
      </c>
      <c r="H5093">
        <v>4</v>
      </c>
      <c r="I5093" t="s">
        <v>4736</v>
      </c>
      <c r="J5093" t="s">
        <v>5191</v>
      </c>
      <c r="K5093" t="s">
        <v>4476</v>
      </c>
      <c r="L5093">
        <v>0</v>
      </c>
      <c r="M5093" s="452">
        <v>45678</v>
      </c>
      <c r="N5093">
        <v>7.3</v>
      </c>
      <c r="O5093">
        <v>7.25</v>
      </c>
      <c r="P5093">
        <v>29.2</v>
      </c>
    </row>
    <row r="5094" spans="1:16" x14ac:dyDescent="0.3">
      <c r="A5094">
        <v>22531</v>
      </c>
      <c r="B5094">
        <v>105</v>
      </c>
      <c r="C5094" t="s">
        <v>557</v>
      </c>
      <c r="D5094" s="452">
        <v>45717</v>
      </c>
      <c r="E5094">
        <v>19652</v>
      </c>
      <c r="F5094" t="s">
        <v>4899</v>
      </c>
      <c r="G5094">
        <v>2587</v>
      </c>
      <c r="H5094">
        <v>0.9</v>
      </c>
      <c r="I5094" t="s">
        <v>4744</v>
      </c>
      <c r="J5094" t="s">
        <v>5191</v>
      </c>
      <c r="K5094" t="s">
        <v>4476</v>
      </c>
      <c r="L5094">
        <v>32</v>
      </c>
      <c r="M5094" s="452">
        <v>45716</v>
      </c>
      <c r="N5094">
        <v>32</v>
      </c>
      <c r="O5094">
        <v>19.93</v>
      </c>
      <c r="P5094">
        <v>28.8</v>
      </c>
    </row>
    <row r="5095" spans="1:16" x14ac:dyDescent="0.3">
      <c r="A5095">
        <v>22796</v>
      </c>
      <c r="B5095">
        <v>105</v>
      </c>
      <c r="C5095" t="s">
        <v>557</v>
      </c>
      <c r="D5095" s="452">
        <v>45717</v>
      </c>
      <c r="E5095">
        <v>20614</v>
      </c>
      <c r="F5095" t="s">
        <v>4958</v>
      </c>
      <c r="G5095">
        <v>2119</v>
      </c>
      <c r="H5095">
        <v>1</v>
      </c>
      <c r="I5095" t="s">
        <v>4736</v>
      </c>
      <c r="J5095" t="s">
        <v>5191</v>
      </c>
      <c r="K5095" t="s">
        <v>4476</v>
      </c>
      <c r="L5095">
        <v>0</v>
      </c>
      <c r="M5095" s="452">
        <v>45504</v>
      </c>
      <c r="N5095">
        <v>28.61</v>
      </c>
      <c r="O5095">
        <v>28.78</v>
      </c>
      <c r="P5095">
        <v>28.61</v>
      </c>
    </row>
    <row r="5096" spans="1:16" x14ac:dyDescent="0.3">
      <c r="A5096">
        <v>22557</v>
      </c>
      <c r="B5096">
        <v>105</v>
      </c>
      <c r="C5096" t="s">
        <v>557</v>
      </c>
      <c r="D5096" s="452">
        <v>45717</v>
      </c>
      <c r="E5096">
        <v>19613</v>
      </c>
      <c r="F5096" t="s">
        <v>5062</v>
      </c>
      <c r="G5096">
        <v>2620</v>
      </c>
      <c r="H5096">
        <v>3.35</v>
      </c>
      <c r="I5096" t="s">
        <v>4744</v>
      </c>
      <c r="J5096" t="s">
        <v>5191</v>
      </c>
      <c r="K5096" t="s">
        <v>4476</v>
      </c>
      <c r="L5096">
        <v>8.23</v>
      </c>
      <c r="M5096" s="452">
        <v>45713</v>
      </c>
      <c r="N5096">
        <v>9.2799999999999994</v>
      </c>
      <c r="O5096">
        <v>11.38</v>
      </c>
      <c r="P5096">
        <v>27.57</v>
      </c>
    </row>
    <row r="5097" spans="1:16" x14ac:dyDescent="0.3">
      <c r="A5097">
        <v>22448</v>
      </c>
      <c r="B5097">
        <v>105</v>
      </c>
      <c r="C5097" t="s">
        <v>557</v>
      </c>
      <c r="D5097" s="452">
        <v>45717</v>
      </c>
      <c r="E5097">
        <v>20227</v>
      </c>
      <c r="F5097" t="s">
        <v>4825</v>
      </c>
      <c r="G5097">
        <v>2248</v>
      </c>
      <c r="H5097">
        <v>2</v>
      </c>
      <c r="I5097" t="s">
        <v>4738</v>
      </c>
      <c r="J5097" t="s">
        <v>5191</v>
      </c>
      <c r="K5097" t="s">
        <v>4476</v>
      </c>
      <c r="L5097">
        <v>13.4</v>
      </c>
      <c r="M5097" s="452">
        <v>45714</v>
      </c>
      <c r="N5097">
        <v>12.8</v>
      </c>
      <c r="O5097">
        <v>12.67</v>
      </c>
      <c r="P5097">
        <v>26.8</v>
      </c>
    </row>
    <row r="5098" spans="1:16" x14ac:dyDescent="0.3">
      <c r="A5098">
        <v>22679</v>
      </c>
      <c r="B5098">
        <v>105</v>
      </c>
      <c r="C5098" t="s">
        <v>557</v>
      </c>
      <c r="D5098" s="452">
        <v>45717</v>
      </c>
      <c r="E5098">
        <v>17092</v>
      </c>
      <c r="F5098" t="s">
        <v>5146</v>
      </c>
      <c r="G5098">
        <v>4165</v>
      </c>
      <c r="H5098">
        <v>14</v>
      </c>
      <c r="I5098" t="s">
        <v>4736</v>
      </c>
      <c r="J5098" t="s">
        <v>5222</v>
      </c>
      <c r="K5098" t="s">
        <v>4476</v>
      </c>
      <c r="L5098">
        <v>0</v>
      </c>
      <c r="M5098" s="452">
        <v>45415</v>
      </c>
      <c r="N5098">
        <v>1.9</v>
      </c>
      <c r="O5098">
        <v>1.9</v>
      </c>
      <c r="P5098">
        <v>26.6</v>
      </c>
    </row>
    <row r="5099" spans="1:16" x14ac:dyDescent="0.3">
      <c r="A5099">
        <v>22419</v>
      </c>
      <c r="B5099">
        <v>105</v>
      </c>
      <c r="C5099" t="s">
        <v>557</v>
      </c>
      <c r="D5099" s="452">
        <v>45717</v>
      </c>
      <c r="E5099">
        <v>20716</v>
      </c>
      <c r="F5099" t="s">
        <v>5053</v>
      </c>
      <c r="G5099">
        <v>2098</v>
      </c>
      <c r="H5099">
        <v>0.22</v>
      </c>
      <c r="I5099" t="s">
        <v>4744</v>
      </c>
      <c r="J5099" t="s">
        <v>5191</v>
      </c>
      <c r="K5099" t="s">
        <v>4476</v>
      </c>
      <c r="L5099">
        <v>0</v>
      </c>
      <c r="M5099" s="452">
        <v>-693593</v>
      </c>
      <c r="N5099">
        <v>0</v>
      </c>
      <c r="O5099">
        <v>0</v>
      </c>
      <c r="P5099">
        <v>26.3</v>
      </c>
    </row>
    <row r="5100" spans="1:16" x14ac:dyDescent="0.3">
      <c r="A5100">
        <v>22777</v>
      </c>
      <c r="B5100">
        <v>105</v>
      </c>
      <c r="C5100" t="s">
        <v>557</v>
      </c>
      <c r="D5100" s="452">
        <v>45717</v>
      </c>
      <c r="E5100">
        <v>17881</v>
      </c>
      <c r="F5100" t="s">
        <v>5103</v>
      </c>
      <c r="G5100">
        <v>3675</v>
      </c>
      <c r="H5100">
        <v>1</v>
      </c>
      <c r="I5100" t="s">
        <v>4738</v>
      </c>
      <c r="J5100" t="s">
        <v>5222</v>
      </c>
      <c r="K5100" t="s">
        <v>4476</v>
      </c>
      <c r="L5100">
        <v>26.28</v>
      </c>
      <c r="M5100" s="452">
        <v>45716</v>
      </c>
      <c r="N5100">
        <v>26.28</v>
      </c>
      <c r="O5100">
        <v>26.28</v>
      </c>
      <c r="P5100">
        <v>26.28</v>
      </c>
    </row>
    <row r="5101" spans="1:16" x14ac:dyDescent="0.3">
      <c r="A5101">
        <v>22436</v>
      </c>
      <c r="B5101">
        <v>105</v>
      </c>
      <c r="C5101" t="s">
        <v>557</v>
      </c>
      <c r="D5101" s="452">
        <v>45717</v>
      </c>
      <c r="E5101">
        <v>20390</v>
      </c>
      <c r="F5101" t="s">
        <v>5543</v>
      </c>
      <c r="G5101">
        <v>2194</v>
      </c>
      <c r="H5101">
        <v>1.2</v>
      </c>
      <c r="I5101" t="s">
        <v>4738</v>
      </c>
      <c r="J5101" t="s">
        <v>5191</v>
      </c>
      <c r="K5101" t="s">
        <v>4476</v>
      </c>
      <c r="L5101">
        <v>0</v>
      </c>
      <c r="M5101" s="452">
        <v>45434</v>
      </c>
      <c r="N5101">
        <v>20.8</v>
      </c>
      <c r="O5101">
        <v>20.399999999999999</v>
      </c>
      <c r="P5101">
        <v>24.96</v>
      </c>
    </row>
    <row r="5102" spans="1:16" x14ac:dyDescent="0.3">
      <c r="A5102">
        <v>22484</v>
      </c>
      <c r="B5102">
        <v>105</v>
      </c>
      <c r="C5102" t="s">
        <v>557</v>
      </c>
      <c r="D5102" s="452">
        <v>45717</v>
      </c>
      <c r="E5102">
        <v>19993</v>
      </c>
      <c r="F5102" t="s">
        <v>4954</v>
      </c>
      <c r="G5102">
        <v>2349</v>
      </c>
      <c r="H5102">
        <v>2</v>
      </c>
      <c r="I5102" t="s">
        <v>4955</v>
      </c>
      <c r="J5102" t="s">
        <v>5191</v>
      </c>
      <c r="K5102" t="s">
        <v>4476</v>
      </c>
      <c r="L5102">
        <v>0</v>
      </c>
      <c r="M5102" s="452">
        <v>-693593</v>
      </c>
      <c r="N5102">
        <v>0</v>
      </c>
      <c r="O5102">
        <v>0</v>
      </c>
      <c r="P5102">
        <v>23.98</v>
      </c>
    </row>
    <row r="5103" spans="1:16" x14ac:dyDescent="0.3">
      <c r="A5103">
        <v>22711</v>
      </c>
      <c r="B5103">
        <v>105</v>
      </c>
      <c r="C5103" t="s">
        <v>557</v>
      </c>
      <c r="D5103" s="452">
        <v>45717</v>
      </c>
      <c r="E5103">
        <v>18460</v>
      </c>
      <c r="F5103" t="s">
        <v>5541</v>
      </c>
      <c r="G5103">
        <v>3193</v>
      </c>
      <c r="H5103">
        <v>0.6</v>
      </c>
      <c r="I5103" t="s">
        <v>4805</v>
      </c>
      <c r="J5103" t="s">
        <v>5222</v>
      </c>
      <c r="K5103" t="s">
        <v>4476</v>
      </c>
      <c r="L5103">
        <v>0</v>
      </c>
      <c r="M5103" s="452">
        <v>45644</v>
      </c>
      <c r="N5103">
        <v>39.9</v>
      </c>
      <c r="O5103">
        <v>39.9</v>
      </c>
      <c r="P5103">
        <v>23.94</v>
      </c>
    </row>
    <row r="5104" spans="1:16" x14ac:dyDescent="0.3">
      <c r="A5104">
        <v>22535</v>
      </c>
      <c r="B5104">
        <v>105</v>
      </c>
      <c r="C5104" t="s">
        <v>557</v>
      </c>
      <c r="D5104" s="452">
        <v>45717</v>
      </c>
      <c r="E5104">
        <v>19783</v>
      </c>
      <c r="F5104" t="s">
        <v>4960</v>
      </c>
      <c r="G5104">
        <v>2475</v>
      </c>
      <c r="H5104">
        <v>4.7</v>
      </c>
      <c r="I5104" t="s">
        <v>4744</v>
      </c>
      <c r="J5104" t="s">
        <v>5191</v>
      </c>
      <c r="K5104" t="s">
        <v>4476</v>
      </c>
      <c r="L5104">
        <v>4.88</v>
      </c>
      <c r="M5104" s="452">
        <v>45716</v>
      </c>
      <c r="N5104">
        <v>4.5</v>
      </c>
      <c r="O5104">
        <v>4.12</v>
      </c>
      <c r="P5104">
        <v>22.94</v>
      </c>
    </row>
    <row r="5105" spans="1:16" x14ac:dyDescent="0.3">
      <c r="A5105">
        <v>22523</v>
      </c>
      <c r="B5105">
        <v>105</v>
      </c>
      <c r="C5105" t="s">
        <v>557</v>
      </c>
      <c r="D5105" s="452">
        <v>45717</v>
      </c>
      <c r="E5105">
        <v>19506</v>
      </c>
      <c r="F5105" t="s">
        <v>5122</v>
      </c>
      <c r="G5105">
        <v>2705</v>
      </c>
      <c r="H5105">
        <v>0.55000000000000004</v>
      </c>
      <c r="I5105" t="s">
        <v>4744</v>
      </c>
      <c r="J5105" t="s">
        <v>5191</v>
      </c>
      <c r="K5105" t="s">
        <v>4476</v>
      </c>
      <c r="L5105">
        <v>41.34</v>
      </c>
      <c r="M5105" s="452">
        <v>45716</v>
      </c>
      <c r="N5105">
        <v>39</v>
      </c>
      <c r="O5105">
        <v>65.19</v>
      </c>
      <c r="P5105">
        <v>22.74</v>
      </c>
    </row>
    <row r="5106" spans="1:16" x14ac:dyDescent="0.3">
      <c r="A5106">
        <v>22393</v>
      </c>
      <c r="B5106">
        <v>105</v>
      </c>
      <c r="C5106" t="s">
        <v>557</v>
      </c>
      <c r="D5106" s="452">
        <v>45717</v>
      </c>
      <c r="E5106">
        <v>21085</v>
      </c>
      <c r="F5106" t="s">
        <v>5066</v>
      </c>
      <c r="G5106">
        <v>1989</v>
      </c>
      <c r="H5106">
        <v>1</v>
      </c>
      <c r="I5106" t="s">
        <v>4749</v>
      </c>
      <c r="J5106" t="s">
        <v>5191</v>
      </c>
      <c r="K5106" t="s">
        <v>4476</v>
      </c>
      <c r="L5106">
        <v>0</v>
      </c>
      <c r="M5106" s="452">
        <v>45618</v>
      </c>
      <c r="N5106">
        <v>22.16</v>
      </c>
      <c r="O5106">
        <v>22.36</v>
      </c>
      <c r="P5106">
        <v>22.16</v>
      </c>
    </row>
    <row r="5107" spans="1:16" x14ac:dyDescent="0.3">
      <c r="A5107">
        <v>22462</v>
      </c>
      <c r="B5107">
        <v>105</v>
      </c>
      <c r="C5107" t="s">
        <v>557</v>
      </c>
      <c r="D5107" s="452">
        <v>45717</v>
      </c>
      <c r="E5107">
        <v>20653</v>
      </c>
      <c r="F5107" t="s">
        <v>5013</v>
      </c>
      <c r="G5107">
        <v>2111</v>
      </c>
      <c r="H5107">
        <v>1</v>
      </c>
      <c r="I5107" t="s">
        <v>4736</v>
      </c>
      <c r="J5107" t="s">
        <v>5191</v>
      </c>
      <c r="K5107" t="s">
        <v>4476</v>
      </c>
      <c r="L5107">
        <v>21.98</v>
      </c>
      <c r="M5107" s="452">
        <v>45713</v>
      </c>
      <c r="N5107">
        <v>21.98</v>
      </c>
      <c r="O5107">
        <v>21.98</v>
      </c>
      <c r="P5107">
        <v>21.98</v>
      </c>
    </row>
    <row r="5108" spans="1:16" x14ac:dyDescent="0.3">
      <c r="A5108">
        <v>22792</v>
      </c>
      <c r="B5108">
        <v>105</v>
      </c>
      <c r="C5108" t="s">
        <v>557</v>
      </c>
      <c r="D5108" s="452">
        <v>45717</v>
      </c>
      <c r="E5108">
        <v>21060</v>
      </c>
      <c r="F5108" t="s">
        <v>4946</v>
      </c>
      <c r="G5108">
        <v>1998</v>
      </c>
      <c r="H5108">
        <v>1</v>
      </c>
      <c r="I5108" t="s">
        <v>4736</v>
      </c>
      <c r="J5108" t="s">
        <v>5191</v>
      </c>
      <c r="K5108" t="s">
        <v>4476</v>
      </c>
      <c r="L5108">
        <v>21.9</v>
      </c>
      <c r="M5108" s="452">
        <v>45714</v>
      </c>
      <c r="N5108">
        <v>21.9</v>
      </c>
      <c r="O5108">
        <v>21.9</v>
      </c>
      <c r="P5108">
        <v>21.9</v>
      </c>
    </row>
    <row r="5109" spans="1:16" x14ac:dyDescent="0.3">
      <c r="A5109">
        <v>22464</v>
      </c>
      <c r="B5109">
        <v>105</v>
      </c>
      <c r="C5109" t="s">
        <v>557</v>
      </c>
      <c r="D5109" s="452">
        <v>45717</v>
      </c>
      <c r="E5109">
        <v>24323</v>
      </c>
      <c r="F5109" t="s">
        <v>4844</v>
      </c>
      <c r="G5109">
        <v>2262</v>
      </c>
      <c r="H5109">
        <v>1.1499999999999999</v>
      </c>
      <c r="I5109" t="s">
        <v>4744</v>
      </c>
      <c r="J5109" t="s">
        <v>5191</v>
      </c>
      <c r="K5109" t="s">
        <v>4476</v>
      </c>
      <c r="L5109">
        <v>0</v>
      </c>
      <c r="M5109" s="452">
        <v>45646</v>
      </c>
      <c r="N5109">
        <v>18.53</v>
      </c>
      <c r="O5109">
        <v>16.899999999999999</v>
      </c>
      <c r="P5109">
        <v>21.31</v>
      </c>
    </row>
    <row r="5110" spans="1:16" x14ac:dyDescent="0.3">
      <c r="A5110">
        <v>22585</v>
      </c>
      <c r="B5110">
        <v>105</v>
      </c>
      <c r="C5110" t="s">
        <v>557</v>
      </c>
      <c r="D5110" s="452">
        <v>45717</v>
      </c>
      <c r="E5110">
        <v>19572</v>
      </c>
      <c r="F5110" t="s">
        <v>4989</v>
      </c>
      <c r="G5110">
        <v>2646</v>
      </c>
      <c r="H5110">
        <v>1.4</v>
      </c>
      <c r="I5110" t="s">
        <v>4744</v>
      </c>
      <c r="J5110" t="s">
        <v>5191</v>
      </c>
      <c r="K5110" t="s">
        <v>4476</v>
      </c>
      <c r="L5110">
        <v>15</v>
      </c>
      <c r="M5110" s="452">
        <v>45713</v>
      </c>
      <c r="N5110">
        <v>15</v>
      </c>
      <c r="O5110">
        <v>85</v>
      </c>
      <c r="P5110">
        <v>21</v>
      </c>
    </row>
    <row r="5111" spans="1:16" x14ac:dyDescent="0.3">
      <c r="A5111">
        <v>22370</v>
      </c>
      <c r="B5111">
        <v>105</v>
      </c>
      <c r="C5111" t="s">
        <v>557</v>
      </c>
      <c r="D5111" s="452">
        <v>45717</v>
      </c>
      <c r="E5111">
        <v>25748</v>
      </c>
      <c r="F5111" t="s">
        <v>4999</v>
      </c>
      <c r="G5111">
        <v>9068</v>
      </c>
      <c r="H5111">
        <v>3</v>
      </c>
      <c r="I5111" t="s">
        <v>4749</v>
      </c>
      <c r="J5111" t="s">
        <v>5191</v>
      </c>
      <c r="K5111" t="s">
        <v>4476</v>
      </c>
      <c r="L5111">
        <v>0</v>
      </c>
      <c r="M5111" s="452">
        <v>-693593</v>
      </c>
      <c r="N5111">
        <v>0</v>
      </c>
      <c r="O5111">
        <v>0</v>
      </c>
      <c r="P5111">
        <v>20.97</v>
      </c>
    </row>
    <row r="5112" spans="1:16" x14ac:dyDescent="0.3">
      <c r="A5112">
        <v>22375</v>
      </c>
      <c r="B5112">
        <v>105</v>
      </c>
      <c r="C5112" t="s">
        <v>557</v>
      </c>
      <c r="D5112" s="452">
        <v>45717</v>
      </c>
      <c r="E5112">
        <v>25756</v>
      </c>
      <c r="F5112" t="s">
        <v>4854</v>
      </c>
      <c r="G5112">
        <v>9069</v>
      </c>
      <c r="H5112">
        <v>3</v>
      </c>
      <c r="I5112" t="s">
        <v>4749</v>
      </c>
      <c r="J5112" t="s">
        <v>5191</v>
      </c>
      <c r="K5112" t="s">
        <v>4476</v>
      </c>
      <c r="L5112">
        <v>0</v>
      </c>
      <c r="M5112" s="452">
        <v>-693593</v>
      </c>
      <c r="N5112">
        <v>0</v>
      </c>
      <c r="O5112">
        <v>0</v>
      </c>
      <c r="P5112">
        <v>20.97</v>
      </c>
    </row>
    <row r="5113" spans="1:16" x14ac:dyDescent="0.3">
      <c r="A5113">
        <v>22611</v>
      </c>
      <c r="B5113">
        <v>105</v>
      </c>
      <c r="C5113" t="s">
        <v>557</v>
      </c>
      <c r="D5113" s="452">
        <v>45717</v>
      </c>
      <c r="E5113">
        <v>19241</v>
      </c>
      <c r="F5113" t="s">
        <v>4890</v>
      </c>
      <c r="G5113">
        <v>2785</v>
      </c>
      <c r="H5113">
        <v>3</v>
      </c>
      <c r="I5113" t="s">
        <v>4736</v>
      </c>
      <c r="J5113" t="s">
        <v>5191</v>
      </c>
      <c r="K5113" t="s">
        <v>4476</v>
      </c>
      <c r="L5113">
        <v>6.8</v>
      </c>
      <c r="M5113" s="452">
        <v>45694</v>
      </c>
      <c r="N5113">
        <v>6.8</v>
      </c>
      <c r="O5113">
        <v>6.8</v>
      </c>
      <c r="P5113">
        <v>20.399999999999999</v>
      </c>
    </row>
    <row r="5114" spans="1:16" x14ac:dyDescent="0.3">
      <c r="A5114">
        <v>22794</v>
      </c>
      <c r="B5114">
        <v>105</v>
      </c>
      <c r="C5114" t="s">
        <v>557</v>
      </c>
      <c r="D5114" s="452">
        <v>45717</v>
      </c>
      <c r="E5114">
        <v>20674</v>
      </c>
      <c r="F5114" t="s">
        <v>5529</v>
      </c>
      <c r="G5114">
        <v>2107</v>
      </c>
      <c r="H5114">
        <v>2</v>
      </c>
      <c r="I5114" t="s">
        <v>4738</v>
      </c>
      <c r="J5114" t="s">
        <v>5191</v>
      </c>
      <c r="K5114" t="s">
        <v>4476</v>
      </c>
      <c r="L5114">
        <v>0</v>
      </c>
      <c r="M5114" s="452">
        <v>45678</v>
      </c>
      <c r="N5114">
        <v>10.199999999999999</v>
      </c>
      <c r="O5114">
        <v>10.1</v>
      </c>
      <c r="P5114">
        <v>20.399999999999999</v>
      </c>
    </row>
    <row r="5115" spans="1:16" x14ac:dyDescent="0.3">
      <c r="A5115">
        <v>22449</v>
      </c>
      <c r="B5115">
        <v>105</v>
      </c>
      <c r="C5115" t="s">
        <v>557</v>
      </c>
      <c r="D5115" s="452">
        <v>45717</v>
      </c>
      <c r="E5115">
        <v>20025</v>
      </c>
      <c r="F5115" t="s">
        <v>5010</v>
      </c>
      <c r="G5115">
        <v>2339</v>
      </c>
      <c r="H5115">
        <v>1</v>
      </c>
      <c r="I5115" t="s">
        <v>4736</v>
      </c>
      <c r="J5115" t="s">
        <v>5191</v>
      </c>
      <c r="K5115" t="s">
        <v>4476</v>
      </c>
      <c r="L5115">
        <v>0</v>
      </c>
      <c r="M5115" s="452">
        <v>45565</v>
      </c>
      <c r="N5115">
        <v>19.95</v>
      </c>
      <c r="O5115">
        <v>19.5</v>
      </c>
      <c r="P5115">
        <v>19.95</v>
      </c>
    </row>
    <row r="5116" spans="1:16" x14ac:dyDescent="0.3">
      <c r="A5116">
        <v>22607</v>
      </c>
      <c r="B5116">
        <v>105</v>
      </c>
      <c r="C5116" t="s">
        <v>557</v>
      </c>
      <c r="D5116" s="452">
        <v>45717</v>
      </c>
      <c r="E5116">
        <v>19710</v>
      </c>
      <c r="F5116" t="s">
        <v>4963</v>
      </c>
      <c r="G5116">
        <v>2540</v>
      </c>
      <c r="H5116">
        <v>1</v>
      </c>
      <c r="I5116" t="s">
        <v>4738</v>
      </c>
      <c r="J5116" t="s">
        <v>5191</v>
      </c>
      <c r="K5116" t="s">
        <v>4476</v>
      </c>
      <c r="L5116">
        <v>0</v>
      </c>
      <c r="M5116" s="452">
        <v>45586</v>
      </c>
      <c r="N5116">
        <v>19.899999999999999</v>
      </c>
      <c r="O5116">
        <v>24.5</v>
      </c>
      <c r="P5116">
        <v>19.899999999999999</v>
      </c>
    </row>
    <row r="5117" spans="1:16" x14ac:dyDescent="0.3">
      <c r="A5117">
        <v>22561</v>
      </c>
      <c r="B5117">
        <v>105</v>
      </c>
      <c r="C5117" t="s">
        <v>557</v>
      </c>
      <c r="D5117" s="452">
        <v>45717</v>
      </c>
      <c r="E5117">
        <v>19480</v>
      </c>
      <c r="F5117" t="s">
        <v>5119</v>
      </c>
      <c r="G5117">
        <v>2726</v>
      </c>
      <c r="H5117">
        <v>1.1000000000000001</v>
      </c>
      <c r="I5117" t="s">
        <v>4744</v>
      </c>
      <c r="J5117" t="s">
        <v>5191</v>
      </c>
      <c r="K5117" t="s">
        <v>4476</v>
      </c>
      <c r="L5117">
        <v>18</v>
      </c>
      <c r="M5117" s="452">
        <v>45716</v>
      </c>
      <c r="N5117">
        <v>18</v>
      </c>
      <c r="O5117">
        <v>23.68</v>
      </c>
      <c r="P5117">
        <v>19.8</v>
      </c>
    </row>
    <row r="5118" spans="1:16" x14ac:dyDescent="0.3">
      <c r="A5118">
        <v>22496</v>
      </c>
      <c r="B5118">
        <v>105</v>
      </c>
      <c r="C5118" t="s">
        <v>557</v>
      </c>
      <c r="D5118" s="452">
        <v>45717</v>
      </c>
      <c r="E5118">
        <v>17032</v>
      </c>
      <c r="F5118" t="s">
        <v>5509</v>
      </c>
      <c r="G5118">
        <v>2366</v>
      </c>
      <c r="H5118">
        <v>1</v>
      </c>
      <c r="I5118" t="s">
        <v>4744</v>
      </c>
      <c r="J5118" t="s">
        <v>5191</v>
      </c>
      <c r="K5118" t="s">
        <v>4476</v>
      </c>
      <c r="L5118">
        <v>0</v>
      </c>
      <c r="M5118" s="452">
        <v>45378</v>
      </c>
      <c r="N5118">
        <v>18.899999999999999</v>
      </c>
      <c r="O5118">
        <v>22.1</v>
      </c>
      <c r="P5118">
        <v>18.899999999999999</v>
      </c>
    </row>
    <row r="5119" spans="1:16" x14ac:dyDescent="0.3">
      <c r="A5119">
        <v>22744</v>
      </c>
      <c r="B5119">
        <v>105</v>
      </c>
      <c r="C5119" t="s">
        <v>557</v>
      </c>
      <c r="D5119" s="452">
        <v>45717</v>
      </c>
      <c r="E5119">
        <v>18085</v>
      </c>
      <c r="F5119" t="s">
        <v>4973</v>
      </c>
      <c r="G5119">
        <v>3524</v>
      </c>
      <c r="H5119">
        <v>0.4</v>
      </c>
      <c r="I5119" t="s">
        <v>4805</v>
      </c>
      <c r="J5119" t="s">
        <v>5222</v>
      </c>
      <c r="K5119" t="s">
        <v>4476</v>
      </c>
      <c r="L5119">
        <v>46</v>
      </c>
      <c r="M5119" s="452">
        <v>45700</v>
      </c>
      <c r="N5119">
        <v>46</v>
      </c>
      <c r="O5119">
        <v>46</v>
      </c>
      <c r="P5119">
        <v>18.399999999999999</v>
      </c>
    </row>
    <row r="5120" spans="1:16" x14ac:dyDescent="0.3">
      <c r="A5120">
        <v>22522</v>
      </c>
      <c r="B5120">
        <v>105</v>
      </c>
      <c r="C5120" t="s">
        <v>557</v>
      </c>
      <c r="D5120" s="452">
        <v>45717</v>
      </c>
      <c r="E5120">
        <v>19458</v>
      </c>
      <c r="F5120" t="s">
        <v>5589</v>
      </c>
      <c r="G5120">
        <v>2746</v>
      </c>
      <c r="H5120">
        <v>1.4</v>
      </c>
      <c r="I5120" t="s">
        <v>4744</v>
      </c>
      <c r="J5120" t="s">
        <v>5191</v>
      </c>
      <c r="K5120" t="s">
        <v>4476</v>
      </c>
      <c r="L5120">
        <v>13.13</v>
      </c>
      <c r="M5120" s="452">
        <v>45713</v>
      </c>
      <c r="N5120">
        <v>13</v>
      </c>
      <c r="O5120">
        <v>15.83</v>
      </c>
      <c r="P5120">
        <v>18.38</v>
      </c>
    </row>
    <row r="5121" spans="1:16" x14ac:dyDescent="0.3">
      <c r="A5121">
        <v>22441</v>
      </c>
      <c r="B5121">
        <v>105</v>
      </c>
      <c r="C5121" t="s">
        <v>557</v>
      </c>
      <c r="D5121" s="452">
        <v>45717</v>
      </c>
      <c r="E5121">
        <v>24486</v>
      </c>
      <c r="F5121" t="s">
        <v>5568</v>
      </c>
      <c r="G5121">
        <v>2212</v>
      </c>
      <c r="H5121">
        <v>2</v>
      </c>
      <c r="I5121" t="s">
        <v>4744</v>
      </c>
      <c r="J5121" t="s">
        <v>5191</v>
      </c>
      <c r="K5121" t="s">
        <v>4476</v>
      </c>
      <c r="L5121">
        <v>0</v>
      </c>
      <c r="M5121" s="452">
        <v>45486</v>
      </c>
      <c r="N5121">
        <v>8.99</v>
      </c>
      <c r="O5121">
        <v>8.99</v>
      </c>
      <c r="P5121">
        <v>17.98</v>
      </c>
    </row>
    <row r="5122" spans="1:16" x14ac:dyDescent="0.3">
      <c r="A5122">
        <v>22533</v>
      </c>
      <c r="B5122">
        <v>105</v>
      </c>
      <c r="C5122" t="s">
        <v>557</v>
      </c>
      <c r="D5122" s="452">
        <v>45717</v>
      </c>
      <c r="E5122">
        <v>19647</v>
      </c>
      <c r="F5122" t="s">
        <v>5050</v>
      </c>
      <c r="G5122">
        <v>2591</v>
      </c>
      <c r="H5122">
        <v>1.1499999999999999</v>
      </c>
      <c r="I5122" t="s">
        <v>4744</v>
      </c>
      <c r="J5122" t="s">
        <v>5191</v>
      </c>
      <c r="K5122" t="s">
        <v>4476</v>
      </c>
      <c r="L5122">
        <v>15.22</v>
      </c>
      <c r="M5122" s="452">
        <v>45713</v>
      </c>
      <c r="N5122">
        <v>15.6</v>
      </c>
      <c r="O5122">
        <v>5.35</v>
      </c>
      <c r="P5122">
        <v>17.5</v>
      </c>
    </row>
    <row r="5123" spans="1:16" x14ac:dyDescent="0.3">
      <c r="A5123">
        <v>22808</v>
      </c>
      <c r="B5123">
        <v>105</v>
      </c>
      <c r="C5123" t="s">
        <v>557</v>
      </c>
      <c r="D5123" s="452">
        <v>45717</v>
      </c>
      <c r="E5123">
        <v>20760</v>
      </c>
      <c r="F5123" t="s">
        <v>5505</v>
      </c>
      <c r="G5123">
        <v>2083</v>
      </c>
      <c r="H5123">
        <v>2</v>
      </c>
      <c r="I5123" t="s">
        <v>4738</v>
      </c>
      <c r="J5123" t="s">
        <v>5191</v>
      </c>
      <c r="K5123" t="s">
        <v>4476</v>
      </c>
      <c r="L5123">
        <v>0</v>
      </c>
      <c r="M5123" s="452">
        <v>-693593</v>
      </c>
      <c r="N5123">
        <v>0</v>
      </c>
      <c r="O5123">
        <v>8.6999999999999993</v>
      </c>
      <c r="P5123">
        <v>17.399999999999999</v>
      </c>
    </row>
    <row r="5124" spans="1:16" x14ac:dyDescent="0.3">
      <c r="A5124">
        <v>22574</v>
      </c>
      <c r="B5124">
        <v>105</v>
      </c>
      <c r="C5124" t="s">
        <v>557</v>
      </c>
      <c r="D5124" s="452">
        <v>45717</v>
      </c>
      <c r="E5124">
        <v>19476</v>
      </c>
      <c r="F5124" t="s">
        <v>5115</v>
      </c>
      <c r="G5124">
        <v>2729</v>
      </c>
      <c r="H5124">
        <v>0.35</v>
      </c>
      <c r="I5124" t="s">
        <v>4744</v>
      </c>
      <c r="J5124" t="s">
        <v>5191</v>
      </c>
      <c r="K5124" t="s">
        <v>4476</v>
      </c>
      <c r="L5124">
        <v>45</v>
      </c>
      <c r="M5124" s="452">
        <v>45716</v>
      </c>
      <c r="N5124">
        <v>45</v>
      </c>
      <c r="O5124">
        <v>45.6</v>
      </c>
      <c r="P5124">
        <v>15.75</v>
      </c>
    </row>
    <row r="5125" spans="1:16" x14ac:dyDescent="0.3">
      <c r="A5125">
        <v>22459</v>
      </c>
      <c r="B5125">
        <v>105</v>
      </c>
      <c r="C5125" t="s">
        <v>557</v>
      </c>
      <c r="D5125" s="452">
        <v>45717</v>
      </c>
      <c r="E5125">
        <v>23630</v>
      </c>
      <c r="F5125" t="s">
        <v>4813</v>
      </c>
      <c r="G5125">
        <v>2251</v>
      </c>
      <c r="H5125">
        <v>1.3</v>
      </c>
      <c r="I5125" t="s">
        <v>4744</v>
      </c>
      <c r="J5125" t="s">
        <v>5191</v>
      </c>
      <c r="K5125" t="s">
        <v>4476</v>
      </c>
      <c r="L5125">
        <v>0</v>
      </c>
      <c r="M5125" s="452">
        <v>45677</v>
      </c>
      <c r="N5125">
        <v>11.65</v>
      </c>
      <c r="O5125">
        <v>11.66</v>
      </c>
      <c r="P5125">
        <v>15.15</v>
      </c>
    </row>
    <row r="5126" spans="1:16" x14ac:dyDescent="0.3">
      <c r="A5126">
        <v>22606</v>
      </c>
      <c r="B5126">
        <v>105</v>
      </c>
      <c r="C5126" t="s">
        <v>557</v>
      </c>
      <c r="D5126" s="452">
        <v>45717</v>
      </c>
      <c r="E5126">
        <v>19463</v>
      </c>
      <c r="F5126" t="s">
        <v>5117</v>
      </c>
      <c r="G5126">
        <v>2739</v>
      </c>
      <c r="H5126">
        <v>0.25</v>
      </c>
      <c r="I5126" t="s">
        <v>4744</v>
      </c>
      <c r="J5126" t="s">
        <v>5191</v>
      </c>
      <c r="K5126" t="s">
        <v>4476</v>
      </c>
      <c r="L5126">
        <v>60.6</v>
      </c>
      <c r="M5126" s="452">
        <v>45716</v>
      </c>
      <c r="N5126">
        <v>60</v>
      </c>
      <c r="O5126">
        <v>110</v>
      </c>
      <c r="P5126">
        <v>15.15</v>
      </c>
    </row>
    <row r="5127" spans="1:16" x14ac:dyDescent="0.3">
      <c r="A5127">
        <v>22581</v>
      </c>
      <c r="B5127">
        <v>105</v>
      </c>
      <c r="C5127" t="s">
        <v>557</v>
      </c>
      <c r="D5127" s="452">
        <v>45717</v>
      </c>
      <c r="E5127">
        <v>19589</v>
      </c>
      <c r="F5127" t="s">
        <v>4983</v>
      </c>
      <c r="G5127">
        <v>2637</v>
      </c>
      <c r="H5127">
        <v>2.04</v>
      </c>
      <c r="I5127" t="s">
        <v>4744</v>
      </c>
      <c r="J5127" t="s">
        <v>5191</v>
      </c>
      <c r="K5127" t="s">
        <v>4476</v>
      </c>
      <c r="L5127">
        <v>7.28</v>
      </c>
      <c r="M5127" s="452">
        <v>45716</v>
      </c>
      <c r="N5127">
        <v>6.5</v>
      </c>
      <c r="O5127">
        <v>8.1300000000000008</v>
      </c>
      <c r="P5127">
        <v>14.85</v>
      </c>
    </row>
    <row r="5128" spans="1:16" x14ac:dyDescent="0.3">
      <c r="A5128">
        <v>22619</v>
      </c>
      <c r="B5128">
        <v>105</v>
      </c>
      <c r="C5128" t="s">
        <v>557</v>
      </c>
      <c r="D5128" s="452">
        <v>45717</v>
      </c>
      <c r="E5128">
        <v>19415</v>
      </c>
      <c r="F5128" t="s">
        <v>4919</v>
      </c>
      <c r="G5128">
        <v>2759</v>
      </c>
      <c r="H5128">
        <v>2</v>
      </c>
      <c r="I5128" t="s">
        <v>4736</v>
      </c>
      <c r="J5128" t="s">
        <v>5191</v>
      </c>
      <c r="K5128" t="s">
        <v>4476</v>
      </c>
      <c r="L5128">
        <v>7.23</v>
      </c>
      <c r="M5128" s="452">
        <v>45714</v>
      </c>
      <c r="N5128">
        <v>7.3</v>
      </c>
      <c r="O5128">
        <v>7.25</v>
      </c>
      <c r="P5128">
        <v>14.46</v>
      </c>
    </row>
    <row r="5129" spans="1:16" x14ac:dyDescent="0.3">
      <c r="A5129">
        <v>22457</v>
      </c>
      <c r="B5129">
        <v>105</v>
      </c>
      <c r="C5129" t="s">
        <v>557</v>
      </c>
      <c r="D5129" s="452">
        <v>45717</v>
      </c>
      <c r="E5129">
        <v>20219</v>
      </c>
      <c r="F5129" t="s">
        <v>5445</v>
      </c>
      <c r="G5129">
        <v>2250</v>
      </c>
      <c r="H5129">
        <v>0.6</v>
      </c>
      <c r="I5129" t="s">
        <v>4738</v>
      </c>
      <c r="J5129" t="s">
        <v>5191</v>
      </c>
      <c r="K5129" t="s">
        <v>4476</v>
      </c>
      <c r="L5129">
        <v>0</v>
      </c>
      <c r="M5129" s="452">
        <v>45573</v>
      </c>
      <c r="N5129">
        <v>23.9</v>
      </c>
      <c r="O5129">
        <v>23.95</v>
      </c>
      <c r="P5129">
        <v>14.34</v>
      </c>
    </row>
    <row r="5130" spans="1:16" x14ac:dyDescent="0.3">
      <c r="A5130">
        <v>22558</v>
      </c>
      <c r="B5130">
        <v>105</v>
      </c>
      <c r="C5130" t="s">
        <v>557</v>
      </c>
      <c r="D5130" s="452">
        <v>45717</v>
      </c>
      <c r="E5130">
        <v>24522</v>
      </c>
      <c r="F5130" t="s">
        <v>5072</v>
      </c>
      <c r="G5130">
        <v>5651</v>
      </c>
      <c r="H5130">
        <v>0.61</v>
      </c>
      <c r="I5130" t="s">
        <v>4744</v>
      </c>
      <c r="J5130" t="s">
        <v>5191</v>
      </c>
      <c r="K5130" t="s">
        <v>4476</v>
      </c>
      <c r="L5130">
        <v>23.46</v>
      </c>
      <c r="M5130" s="452">
        <v>45701</v>
      </c>
      <c r="N5130">
        <v>23.46</v>
      </c>
      <c r="O5130">
        <v>23.46</v>
      </c>
      <c r="P5130">
        <v>14.31</v>
      </c>
    </row>
    <row r="5131" spans="1:16" x14ac:dyDescent="0.3">
      <c r="A5131">
        <v>22583</v>
      </c>
      <c r="B5131">
        <v>105</v>
      </c>
      <c r="C5131" t="s">
        <v>557</v>
      </c>
      <c r="D5131" s="452">
        <v>45717</v>
      </c>
      <c r="E5131">
        <v>19577</v>
      </c>
      <c r="F5131" t="s">
        <v>4984</v>
      </c>
      <c r="G5131">
        <v>2641</v>
      </c>
      <c r="H5131">
        <v>1.4</v>
      </c>
      <c r="I5131" t="s">
        <v>4736</v>
      </c>
      <c r="J5131" t="s">
        <v>5191</v>
      </c>
      <c r="K5131" t="s">
        <v>4476</v>
      </c>
      <c r="L5131">
        <v>0</v>
      </c>
      <c r="M5131" s="452">
        <v>45532</v>
      </c>
      <c r="N5131">
        <v>10.199999999999999</v>
      </c>
      <c r="O5131">
        <v>21</v>
      </c>
      <c r="P5131">
        <v>14.28</v>
      </c>
    </row>
    <row r="5132" spans="1:16" x14ac:dyDescent="0.3">
      <c r="A5132">
        <v>22380</v>
      </c>
      <c r="B5132">
        <v>105</v>
      </c>
      <c r="C5132" t="s">
        <v>557</v>
      </c>
      <c r="D5132" s="452">
        <v>45717</v>
      </c>
      <c r="E5132">
        <v>25751</v>
      </c>
      <c r="F5132" t="s">
        <v>5169</v>
      </c>
      <c r="G5132">
        <v>6302</v>
      </c>
      <c r="H5132">
        <v>2</v>
      </c>
      <c r="I5132" t="s">
        <v>4736</v>
      </c>
      <c r="J5132" t="s">
        <v>5191</v>
      </c>
      <c r="K5132" t="s">
        <v>4476</v>
      </c>
      <c r="L5132">
        <v>0</v>
      </c>
      <c r="M5132" s="452">
        <v>-693593</v>
      </c>
      <c r="N5132">
        <v>0</v>
      </c>
      <c r="O5132">
        <v>0</v>
      </c>
      <c r="P5132">
        <v>13.98</v>
      </c>
    </row>
    <row r="5133" spans="1:16" x14ac:dyDescent="0.3">
      <c r="A5133">
        <v>22595</v>
      </c>
      <c r="B5133">
        <v>105</v>
      </c>
      <c r="C5133" t="s">
        <v>557</v>
      </c>
      <c r="D5133" s="452">
        <v>45717</v>
      </c>
      <c r="E5133">
        <v>19554</v>
      </c>
      <c r="F5133" t="s">
        <v>5590</v>
      </c>
      <c r="G5133">
        <v>2663</v>
      </c>
      <c r="H5133">
        <v>3.55</v>
      </c>
      <c r="I5133" t="s">
        <v>4744</v>
      </c>
      <c r="J5133" t="s">
        <v>5191</v>
      </c>
      <c r="K5133" t="s">
        <v>4476</v>
      </c>
      <c r="L5133">
        <v>3.85</v>
      </c>
      <c r="M5133" s="452">
        <v>45707</v>
      </c>
      <c r="N5133">
        <v>3.85</v>
      </c>
      <c r="O5133">
        <v>3.85</v>
      </c>
      <c r="P5133">
        <v>13.67</v>
      </c>
    </row>
    <row r="5134" spans="1:16" x14ac:dyDescent="0.3">
      <c r="A5134">
        <v>22401</v>
      </c>
      <c r="B5134">
        <v>105</v>
      </c>
      <c r="C5134" t="s">
        <v>557</v>
      </c>
      <c r="D5134" s="452">
        <v>45717</v>
      </c>
      <c r="E5134">
        <v>20295</v>
      </c>
      <c r="F5134" t="s">
        <v>4881</v>
      </c>
      <c r="G5134">
        <v>2226</v>
      </c>
      <c r="H5134">
        <v>1</v>
      </c>
      <c r="I5134" t="s">
        <v>4736</v>
      </c>
      <c r="J5134" t="s">
        <v>5191</v>
      </c>
      <c r="K5134" t="s">
        <v>4476</v>
      </c>
      <c r="L5134">
        <v>13.48</v>
      </c>
      <c r="M5134" s="452">
        <v>45706</v>
      </c>
      <c r="N5134">
        <v>13.48</v>
      </c>
      <c r="O5134">
        <v>13.48</v>
      </c>
      <c r="P5134">
        <v>13.48</v>
      </c>
    </row>
    <row r="5135" spans="1:16" x14ac:dyDescent="0.3">
      <c r="A5135">
        <v>22521</v>
      </c>
      <c r="B5135">
        <v>105</v>
      </c>
      <c r="C5135" t="s">
        <v>557</v>
      </c>
      <c r="D5135" s="452">
        <v>45717</v>
      </c>
      <c r="E5135">
        <v>19654</v>
      </c>
      <c r="F5135" t="s">
        <v>5099</v>
      </c>
      <c r="G5135">
        <v>2586</v>
      </c>
      <c r="H5135">
        <v>3.45</v>
      </c>
      <c r="I5135" t="s">
        <v>4744</v>
      </c>
      <c r="J5135" t="s">
        <v>5191</v>
      </c>
      <c r="K5135" t="s">
        <v>4476</v>
      </c>
      <c r="L5135">
        <v>3.9</v>
      </c>
      <c r="M5135" s="452">
        <v>45716</v>
      </c>
      <c r="N5135">
        <v>4.62</v>
      </c>
      <c r="O5135">
        <v>1.81</v>
      </c>
      <c r="P5135">
        <v>13.46</v>
      </c>
    </row>
    <row r="5136" spans="1:16" x14ac:dyDescent="0.3">
      <c r="A5136">
        <v>22479</v>
      </c>
      <c r="B5136">
        <v>105</v>
      </c>
      <c r="C5136" t="s">
        <v>557</v>
      </c>
      <c r="D5136" s="452">
        <v>45717</v>
      </c>
      <c r="E5136">
        <v>23861</v>
      </c>
      <c r="F5136" t="s">
        <v>5531</v>
      </c>
      <c r="G5136">
        <v>2040</v>
      </c>
      <c r="H5136">
        <v>0.4</v>
      </c>
      <c r="I5136" t="s">
        <v>4744</v>
      </c>
      <c r="J5136" t="s">
        <v>5191</v>
      </c>
      <c r="K5136" t="s">
        <v>4476</v>
      </c>
      <c r="L5136">
        <v>0</v>
      </c>
      <c r="M5136" s="452">
        <v>45679</v>
      </c>
      <c r="N5136">
        <v>32</v>
      </c>
      <c r="O5136">
        <v>32</v>
      </c>
      <c r="P5136">
        <v>12.8</v>
      </c>
    </row>
    <row r="5137" spans="1:16" x14ac:dyDescent="0.3">
      <c r="A5137">
        <v>22451</v>
      </c>
      <c r="B5137">
        <v>105</v>
      </c>
      <c r="C5137" t="s">
        <v>557</v>
      </c>
      <c r="D5137" s="452">
        <v>45717</v>
      </c>
      <c r="E5137">
        <v>24267</v>
      </c>
      <c r="F5137" t="s">
        <v>5501</v>
      </c>
      <c r="G5137">
        <v>2249</v>
      </c>
      <c r="H5137">
        <v>0.15</v>
      </c>
      <c r="I5137" t="s">
        <v>4744</v>
      </c>
      <c r="J5137" t="s">
        <v>5191</v>
      </c>
      <c r="K5137" t="s">
        <v>4476</v>
      </c>
      <c r="L5137">
        <v>0</v>
      </c>
      <c r="M5137" s="452">
        <v>45507</v>
      </c>
      <c r="N5137">
        <v>85</v>
      </c>
      <c r="O5137">
        <v>36</v>
      </c>
      <c r="P5137">
        <v>12.75</v>
      </c>
    </row>
    <row r="5138" spans="1:16" x14ac:dyDescent="0.3">
      <c r="A5138">
        <v>22597</v>
      </c>
      <c r="B5138">
        <v>105</v>
      </c>
      <c r="C5138" t="s">
        <v>557</v>
      </c>
      <c r="D5138" s="452">
        <v>45717</v>
      </c>
      <c r="E5138">
        <v>19468</v>
      </c>
      <c r="F5138" t="s">
        <v>5074</v>
      </c>
      <c r="G5138">
        <v>2736</v>
      </c>
      <c r="H5138">
        <v>1</v>
      </c>
      <c r="I5138" t="s">
        <v>4744</v>
      </c>
      <c r="J5138" t="s">
        <v>5191</v>
      </c>
      <c r="K5138" t="s">
        <v>4476</v>
      </c>
      <c r="L5138">
        <v>12.5</v>
      </c>
      <c r="M5138" s="452">
        <v>45716</v>
      </c>
      <c r="N5138">
        <v>15</v>
      </c>
      <c r="O5138">
        <v>11.89</v>
      </c>
      <c r="P5138">
        <v>12.5</v>
      </c>
    </row>
    <row r="5139" spans="1:16" x14ac:dyDescent="0.3">
      <c r="A5139">
        <v>22508</v>
      </c>
      <c r="B5139">
        <v>105</v>
      </c>
      <c r="C5139" t="s">
        <v>557</v>
      </c>
      <c r="D5139" s="452">
        <v>45717</v>
      </c>
      <c r="E5139">
        <v>19907</v>
      </c>
      <c r="F5139" t="s">
        <v>4802</v>
      </c>
      <c r="G5139">
        <v>2381</v>
      </c>
      <c r="H5139">
        <v>4</v>
      </c>
      <c r="I5139" t="s">
        <v>4736</v>
      </c>
      <c r="J5139" t="s">
        <v>5191</v>
      </c>
      <c r="K5139" t="s">
        <v>4476</v>
      </c>
      <c r="L5139">
        <v>0</v>
      </c>
      <c r="M5139" s="452">
        <v>45660</v>
      </c>
      <c r="N5139">
        <v>3.05</v>
      </c>
      <c r="O5139">
        <v>3.04</v>
      </c>
      <c r="P5139">
        <v>12.2</v>
      </c>
    </row>
    <row r="5140" spans="1:16" x14ac:dyDescent="0.3">
      <c r="A5140">
        <v>22538</v>
      </c>
      <c r="B5140">
        <v>105</v>
      </c>
      <c r="C5140" t="s">
        <v>557</v>
      </c>
      <c r="D5140" s="452">
        <v>45717</v>
      </c>
      <c r="E5140">
        <v>19642</v>
      </c>
      <c r="F5140" t="s">
        <v>4996</v>
      </c>
      <c r="G5140">
        <v>2596</v>
      </c>
      <c r="H5140">
        <v>2.1</v>
      </c>
      <c r="I5140" t="s">
        <v>4744</v>
      </c>
      <c r="J5140" t="s">
        <v>5191</v>
      </c>
      <c r="K5140" t="s">
        <v>4476</v>
      </c>
      <c r="L5140">
        <v>5.71</v>
      </c>
      <c r="M5140" s="452">
        <v>45716</v>
      </c>
      <c r="N5140">
        <v>4.8</v>
      </c>
      <c r="O5140">
        <v>4.8</v>
      </c>
      <c r="P5140">
        <v>11.99</v>
      </c>
    </row>
    <row r="5141" spans="1:16" x14ac:dyDescent="0.3">
      <c r="A5141">
        <v>22594</v>
      </c>
      <c r="B5141">
        <v>105</v>
      </c>
      <c r="C5141" t="s">
        <v>557</v>
      </c>
      <c r="D5141" s="452">
        <v>45717</v>
      </c>
      <c r="E5141">
        <v>19552</v>
      </c>
      <c r="F5141" t="s">
        <v>4860</v>
      </c>
      <c r="G5141">
        <v>2664</v>
      </c>
      <c r="H5141">
        <v>2.4</v>
      </c>
      <c r="I5141" t="s">
        <v>4744</v>
      </c>
      <c r="J5141" t="s">
        <v>5191</v>
      </c>
      <c r="K5141" t="s">
        <v>4476</v>
      </c>
      <c r="L5141">
        <v>4.95</v>
      </c>
      <c r="M5141" s="452">
        <v>45716</v>
      </c>
      <c r="N5141">
        <v>6.09</v>
      </c>
      <c r="O5141">
        <v>4.0599999999999996</v>
      </c>
      <c r="P5141">
        <v>11.88</v>
      </c>
    </row>
    <row r="5142" spans="1:16" x14ac:dyDescent="0.3">
      <c r="A5142">
        <v>22807</v>
      </c>
      <c r="B5142">
        <v>105</v>
      </c>
      <c r="C5142" t="s">
        <v>557</v>
      </c>
      <c r="D5142" s="452">
        <v>45717</v>
      </c>
      <c r="E5142">
        <v>19923</v>
      </c>
      <c r="F5142" t="s">
        <v>5069</v>
      </c>
      <c r="G5142">
        <v>2375</v>
      </c>
      <c r="H5142">
        <v>0.3</v>
      </c>
      <c r="I5142" t="s">
        <v>4738</v>
      </c>
      <c r="J5142" t="s">
        <v>5191</v>
      </c>
      <c r="K5142" t="s">
        <v>4476</v>
      </c>
      <c r="L5142">
        <v>38.9</v>
      </c>
      <c r="M5142" s="452">
        <v>45714</v>
      </c>
      <c r="N5142">
        <v>38.9</v>
      </c>
      <c r="O5142">
        <v>38.9</v>
      </c>
      <c r="P5142">
        <v>11.67</v>
      </c>
    </row>
    <row r="5143" spans="1:16" x14ac:dyDescent="0.3">
      <c r="A5143">
        <v>22516</v>
      </c>
      <c r="B5143">
        <v>105</v>
      </c>
      <c r="C5143" t="s">
        <v>557</v>
      </c>
      <c r="D5143" s="452">
        <v>45717</v>
      </c>
      <c r="E5143">
        <v>20970</v>
      </c>
      <c r="F5143" t="s">
        <v>5546</v>
      </c>
      <c r="G5143">
        <v>2012</v>
      </c>
      <c r="H5143">
        <v>4.4000000000000004</v>
      </c>
      <c r="I5143" t="s">
        <v>4736</v>
      </c>
      <c r="J5143" t="s">
        <v>5191</v>
      </c>
      <c r="K5143" t="s">
        <v>4476</v>
      </c>
      <c r="L5143">
        <v>0</v>
      </c>
      <c r="M5143" s="452">
        <v>45677</v>
      </c>
      <c r="N5143">
        <v>2.59</v>
      </c>
      <c r="O5143">
        <v>2.59</v>
      </c>
      <c r="P5143">
        <v>11.4</v>
      </c>
    </row>
    <row r="5144" spans="1:16" x14ac:dyDescent="0.3">
      <c r="A5144">
        <v>22413</v>
      </c>
      <c r="B5144">
        <v>105</v>
      </c>
      <c r="C5144" t="s">
        <v>557</v>
      </c>
      <c r="D5144" s="452">
        <v>45717</v>
      </c>
      <c r="E5144">
        <v>24110</v>
      </c>
      <c r="F5144" t="s">
        <v>5450</v>
      </c>
      <c r="G5144">
        <v>2322</v>
      </c>
      <c r="H5144">
        <v>0.65</v>
      </c>
      <c r="I5144" t="s">
        <v>4744</v>
      </c>
      <c r="J5144" t="s">
        <v>5191</v>
      </c>
      <c r="K5144" t="s">
        <v>4476</v>
      </c>
      <c r="L5144">
        <v>0</v>
      </c>
      <c r="M5144" s="452">
        <v>45478</v>
      </c>
      <c r="N5144">
        <v>17.2</v>
      </c>
      <c r="O5144">
        <v>32</v>
      </c>
      <c r="P5144">
        <v>11.18</v>
      </c>
    </row>
    <row r="5145" spans="1:16" x14ac:dyDescent="0.3">
      <c r="A5145">
        <v>22432</v>
      </c>
      <c r="B5145">
        <v>105</v>
      </c>
      <c r="C5145" t="s">
        <v>557</v>
      </c>
      <c r="D5145" s="452">
        <v>45717</v>
      </c>
      <c r="E5145">
        <v>20685</v>
      </c>
      <c r="F5145" t="s">
        <v>5528</v>
      </c>
      <c r="G5145">
        <v>2106</v>
      </c>
      <c r="H5145">
        <v>3</v>
      </c>
      <c r="I5145" t="s">
        <v>4736</v>
      </c>
      <c r="J5145" t="s">
        <v>5191</v>
      </c>
      <c r="K5145" t="s">
        <v>4476</v>
      </c>
      <c r="L5145">
        <v>0</v>
      </c>
      <c r="M5145" s="452">
        <v>-693593</v>
      </c>
      <c r="N5145">
        <v>0</v>
      </c>
      <c r="O5145">
        <v>0</v>
      </c>
      <c r="P5145">
        <v>10.5</v>
      </c>
    </row>
    <row r="5146" spans="1:16" x14ac:dyDescent="0.3">
      <c r="A5146">
        <v>22560</v>
      </c>
      <c r="B5146">
        <v>105</v>
      </c>
      <c r="C5146" t="s">
        <v>557</v>
      </c>
      <c r="D5146" s="452">
        <v>45717</v>
      </c>
      <c r="E5146">
        <v>19607</v>
      </c>
      <c r="F5146" t="s">
        <v>4981</v>
      </c>
      <c r="G5146">
        <v>2623</v>
      </c>
      <c r="H5146">
        <v>0.6</v>
      </c>
      <c r="I5146" t="s">
        <v>4744</v>
      </c>
      <c r="J5146" t="s">
        <v>5191</v>
      </c>
      <c r="K5146" t="s">
        <v>4476</v>
      </c>
      <c r="L5146">
        <v>17.329999999999998</v>
      </c>
      <c r="M5146" s="452">
        <v>45713</v>
      </c>
      <c r="N5146">
        <v>17</v>
      </c>
      <c r="O5146">
        <v>1.9</v>
      </c>
      <c r="P5146">
        <v>10.4</v>
      </c>
    </row>
    <row r="5147" spans="1:16" x14ac:dyDescent="0.3">
      <c r="A5147">
        <v>22605</v>
      </c>
      <c r="B5147">
        <v>105</v>
      </c>
      <c r="C5147" t="s">
        <v>557</v>
      </c>
      <c r="D5147" s="452">
        <v>45717</v>
      </c>
      <c r="E5147">
        <v>19531</v>
      </c>
      <c r="F5147" t="s">
        <v>5591</v>
      </c>
      <c r="G5147">
        <v>2684</v>
      </c>
      <c r="H5147">
        <v>0.75</v>
      </c>
      <c r="I5147" t="s">
        <v>4744</v>
      </c>
      <c r="J5147" t="s">
        <v>5191</v>
      </c>
      <c r="K5147" t="s">
        <v>4476</v>
      </c>
      <c r="L5147">
        <v>0</v>
      </c>
      <c r="M5147" s="452">
        <v>45688</v>
      </c>
      <c r="N5147">
        <v>13.8</v>
      </c>
      <c r="O5147">
        <v>13.8</v>
      </c>
      <c r="P5147">
        <v>10.35</v>
      </c>
    </row>
    <row r="5148" spans="1:16" x14ac:dyDescent="0.3">
      <c r="A5148">
        <v>22551</v>
      </c>
      <c r="B5148">
        <v>105</v>
      </c>
      <c r="C5148" t="s">
        <v>557</v>
      </c>
      <c r="D5148" s="452">
        <v>45717</v>
      </c>
      <c r="E5148">
        <v>19621</v>
      </c>
      <c r="F5148" t="s">
        <v>4829</v>
      </c>
      <c r="G5148">
        <v>2613</v>
      </c>
      <c r="H5148">
        <v>2.11</v>
      </c>
      <c r="I5148" t="s">
        <v>4744</v>
      </c>
      <c r="J5148" t="s">
        <v>5191</v>
      </c>
      <c r="K5148" t="s">
        <v>4476</v>
      </c>
      <c r="L5148">
        <v>4.63</v>
      </c>
      <c r="M5148" s="452">
        <v>45716</v>
      </c>
      <c r="N5148">
        <v>4.5</v>
      </c>
      <c r="O5148">
        <v>2.2799999999999998</v>
      </c>
      <c r="P5148">
        <v>9.77</v>
      </c>
    </row>
    <row r="5149" spans="1:16" x14ac:dyDescent="0.3">
      <c r="A5149">
        <v>22511</v>
      </c>
      <c r="B5149">
        <v>105</v>
      </c>
      <c r="C5149" t="s">
        <v>557</v>
      </c>
      <c r="D5149" s="452">
        <v>45717</v>
      </c>
      <c r="E5149">
        <v>20791</v>
      </c>
      <c r="F5149" t="s">
        <v>5021</v>
      </c>
      <c r="G5149">
        <v>2076</v>
      </c>
      <c r="H5149">
        <v>1</v>
      </c>
      <c r="I5149" t="s">
        <v>4738</v>
      </c>
      <c r="J5149" t="s">
        <v>5191</v>
      </c>
      <c r="K5149" t="s">
        <v>4476</v>
      </c>
      <c r="L5149">
        <v>9.5299999999999994</v>
      </c>
      <c r="M5149" s="452">
        <v>45714</v>
      </c>
      <c r="N5149">
        <v>9.6</v>
      </c>
      <c r="O5149">
        <v>9.5299999999999994</v>
      </c>
      <c r="P5149">
        <v>9.5299999999999994</v>
      </c>
    </row>
    <row r="5150" spans="1:16" x14ac:dyDescent="0.3">
      <c r="A5150">
        <v>22486</v>
      </c>
      <c r="B5150">
        <v>105</v>
      </c>
      <c r="C5150" t="s">
        <v>557</v>
      </c>
      <c r="D5150" s="452">
        <v>45717</v>
      </c>
      <c r="E5150">
        <v>19969</v>
      </c>
      <c r="F5150" t="s">
        <v>5018</v>
      </c>
      <c r="G5150">
        <v>2354</v>
      </c>
      <c r="H5150">
        <v>1</v>
      </c>
      <c r="I5150" t="s">
        <v>4888</v>
      </c>
      <c r="J5150" t="s">
        <v>5191</v>
      </c>
      <c r="K5150" t="s">
        <v>4476</v>
      </c>
      <c r="L5150">
        <v>0</v>
      </c>
      <c r="M5150" s="452">
        <v>45678</v>
      </c>
      <c r="N5150">
        <v>9.48</v>
      </c>
      <c r="O5150">
        <v>9.6999999999999993</v>
      </c>
      <c r="P5150">
        <v>9.48</v>
      </c>
    </row>
    <row r="5151" spans="1:16" x14ac:dyDescent="0.3">
      <c r="A5151">
        <v>22498</v>
      </c>
      <c r="B5151">
        <v>105</v>
      </c>
      <c r="C5151" t="s">
        <v>557</v>
      </c>
      <c r="D5151" s="452">
        <v>45717</v>
      </c>
      <c r="E5151">
        <v>19936</v>
      </c>
      <c r="F5151" t="s">
        <v>5508</v>
      </c>
      <c r="G5151">
        <v>2367</v>
      </c>
      <c r="H5151">
        <v>0.7</v>
      </c>
      <c r="I5151" t="s">
        <v>4744</v>
      </c>
      <c r="J5151" t="s">
        <v>5191</v>
      </c>
      <c r="K5151" t="s">
        <v>4476</v>
      </c>
      <c r="L5151">
        <v>13.5</v>
      </c>
      <c r="M5151" s="452">
        <v>45714</v>
      </c>
      <c r="N5151">
        <v>13.5</v>
      </c>
      <c r="O5151">
        <v>13.5</v>
      </c>
      <c r="P5151">
        <v>9.4499999999999993</v>
      </c>
    </row>
    <row r="5152" spans="1:16" x14ac:dyDescent="0.3">
      <c r="A5152">
        <v>22568</v>
      </c>
      <c r="B5152">
        <v>105</v>
      </c>
      <c r="C5152" t="s">
        <v>557</v>
      </c>
      <c r="D5152" s="452">
        <v>45717</v>
      </c>
      <c r="E5152">
        <v>19743</v>
      </c>
      <c r="F5152" t="s">
        <v>5047</v>
      </c>
      <c r="G5152">
        <v>2510</v>
      </c>
      <c r="H5152">
        <v>0.65</v>
      </c>
      <c r="I5152" t="s">
        <v>4744</v>
      </c>
      <c r="J5152" t="s">
        <v>5191</v>
      </c>
      <c r="K5152" t="s">
        <v>4476</v>
      </c>
      <c r="L5152">
        <v>14.5</v>
      </c>
      <c r="M5152" s="452">
        <v>45713</v>
      </c>
      <c r="N5152">
        <v>15</v>
      </c>
      <c r="O5152">
        <v>12.9</v>
      </c>
      <c r="P5152">
        <v>9.43</v>
      </c>
    </row>
    <row r="5153" spans="1:16" x14ac:dyDescent="0.3">
      <c r="A5153">
        <v>22447</v>
      </c>
      <c r="B5153">
        <v>105</v>
      </c>
      <c r="C5153" t="s">
        <v>557</v>
      </c>
      <c r="D5153" s="452">
        <v>45717</v>
      </c>
      <c r="E5153">
        <v>23635</v>
      </c>
      <c r="F5153" t="s">
        <v>4837</v>
      </c>
      <c r="G5153">
        <v>2247</v>
      </c>
      <c r="H5153">
        <v>1</v>
      </c>
      <c r="I5153" t="s">
        <v>4744</v>
      </c>
      <c r="J5153" t="s">
        <v>5191</v>
      </c>
      <c r="K5153" t="s">
        <v>4476</v>
      </c>
      <c r="L5153">
        <v>0</v>
      </c>
      <c r="M5153" s="452">
        <v>45678</v>
      </c>
      <c r="N5153">
        <v>8.9</v>
      </c>
      <c r="O5153">
        <v>8.9</v>
      </c>
      <c r="P5153">
        <v>8.9</v>
      </c>
    </row>
    <row r="5154" spans="1:16" x14ac:dyDescent="0.3">
      <c r="A5154">
        <v>22450</v>
      </c>
      <c r="B5154">
        <v>105</v>
      </c>
      <c r="C5154" t="s">
        <v>557</v>
      </c>
      <c r="D5154" s="452">
        <v>45717</v>
      </c>
      <c r="E5154">
        <v>20022</v>
      </c>
      <c r="F5154" t="s">
        <v>5455</v>
      </c>
      <c r="G5154">
        <v>2340</v>
      </c>
      <c r="H5154">
        <v>1</v>
      </c>
      <c r="I5154" t="s">
        <v>4736</v>
      </c>
      <c r="J5154" t="s">
        <v>5191</v>
      </c>
      <c r="K5154" t="s">
        <v>4476</v>
      </c>
      <c r="L5154">
        <v>0</v>
      </c>
      <c r="M5154" s="452">
        <v>45586</v>
      </c>
      <c r="N5154">
        <v>8.85</v>
      </c>
      <c r="O5154">
        <v>9.2899999999999991</v>
      </c>
      <c r="P5154">
        <v>8.85</v>
      </c>
    </row>
    <row r="5155" spans="1:16" x14ac:dyDescent="0.3">
      <c r="A5155">
        <v>22552</v>
      </c>
      <c r="B5155">
        <v>105</v>
      </c>
      <c r="C5155" t="s">
        <v>557</v>
      </c>
      <c r="D5155" s="452">
        <v>45717</v>
      </c>
      <c r="E5155">
        <v>19618</v>
      </c>
      <c r="F5155" t="s">
        <v>5469</v>
      </c>
      <c r="G5155">
        <v>2616</v>
      </c>
      <c r="H5155">
        <v>2.25</v>
      </c>
      <c r="I5155" t="s">
        <v>4744</v>
      </c>
      <c r="J5155" t="s">
        <v>5191</v>
      </c>
      <c r="K5155" t="s">
        <v>4476</v>
      </c>
      <c r="L5155">
        <v>3.9</v>
      </c>
      <c r="M5155" s="452">
        <v>45716</v>
      </c>
      <c r="N5155">
        <v>3.43</v>
      </c>
      <c r="O5155">
        <v>3.43</v>
      </c>
      <c r="P5155">
        <v>8.7799999999999994</v>
      </c>
    </row>
    <row r="5156" spans="1:16" x14ac:dyDescent="0.3">
      <c r="A5156">
        <v>22410</v>
      </c>
      <c r="B5156">
        <v>105</v>
      </c>
      <c r="C5156" t="s">
        <v>557</v>
      </c>
      <c r="D5156" s="452">
        <v>45717</v>
      </c>
      <c r="E5156">
        <v>24089</v>
      </c>
      <c r="F5156" t="s">
        <v>4931</v>
      </c>
      <c r="G5156">
        <v>2316</v>
      </c>
      <c r="H5156">
        <v>1</v>
      </c>
      <c r="I5156" t="s">
        <v>4744</v>
      </c>
      <c r="J5156" t="s">
        <v>5191</v>
      </c>
      <c r="K5156" t="s">
        <v>4476</v>
      </c>
      <c r="L5156">
        <v>0</v>
      </c>
      <c r="M5156" s="452">
        <v>45532</v>
      </c>
      <c r="N5156">
        <v>8.5</v>
      </c>
      <c r="O5156">
        <v>8.5</v>
      </c>
      <c r="P5156">
        <v>8.5</v>
      </c>
    </row>
    <row r="5157" spans="1:16" x14ac:dyDescent="0.3">
      <c r="A5157">
        <v>22602</v>
      </c>
      <c r="B5157">
        <v>105</v>
      </c>
      <c r="C5157" t="s">
        <v>557</v>
      </c>
      <c r="D5157" s="452">
        <v>45717</v>
      </c>
      <c r="E5157">
        <v>19546</v>
      </c>
      <c r="F5157" t="s">
        <v>5527</v>
      </c>
      <c r="G5157">
        <v>2670</v>
      </c>
      <c r="H5157">
        <v>0.53</v>
      </c>
      <c r="I5157" t="s">
        <v>4744</v>
      </c>
      <c r="J5157" t="s">
        <v>5191</v>
      </c>
      <c r="K5157" t="s">
        <v>4476</v>
      </c>
      <c r="L5157">
        <v>15.29</v>
      </c>
      <c r="M5157" s="452">
        <v>45716</v>
      </c>
      <c r="N5157">
        <v>15.6</v>
      </c>
      <c r="O5157">
        <v>15.67</v>
      </c>
      <c r="P5157">
        <v>8.1</v>
      </c>
    </row>
    <row r="5158" spans="1:16" x14ac:dyDescent="0.3">
      <c r="A5158">
        <v>22795</v>
      </c>
      <c r="B5158">
        <v>105</v>
      </c>
      <c r="C5158" t="s">
        <v>557</v>
      </c>
      <c r="D5158" s="452">
        <v>45717</v>
      </c>
      <c r="E5158">
        <v>20030</v>
      </c>
      <c r="F5158" t="s">
        <v>5125</v>
      </c>
      <c r="G5158">
        <v>2337</v>
      </c>
      <c r="H5158">
        <v>1</v>
      </c>
      <c r="I5158" t="s">
        <v>4736</v>
      </c>
      <c r="J5158" t="s">
        <v>5191</v>
      </c>
      <c r="K5158" t="s">
        <v>4476</v>
      </c>
      <c r="L5158">
        <v>0</v>
      </c>
      <c r="M5158" s="452">
        <v>-693593</v>
      </c>
      <c r="N5158">
        <v>0</v>
      </c>
      <c r="O5158">
        <v>7.58</v>
      </c>
      <c r="P5158">
        <v>7.58</v>
      </c>
    </row>
    <row r="5159" spans="1:16" x14ac:dyDescent="0.3">
      <c r="A5159">
        <v>22588</v>
      </c>
      <c r="B5159">
        <v>105</v>
      </c>
      <c r="C5159" t="s">
        <v>557</v>
      </c>
      <c r="D5159" s="452">
        <v>45717</v>
      </c>
      <c r="E5159">
        <v>19560</v>
      </c>
      <c r="F5159" t="s">
        <v>4962</v>
      </c>
      <c r="G5159">
        <v>2657</v>
      </c>
      <c r="H5159">
        <v>0.66</v>
      </c>
      <c r="I5159" t="s">
        <v>4744</v>
      </c>
      <c r="J5159" t="s">
        <v>5191</v>
      </c>
      <c r="K5159" t="s">
        <v>4476</v>
      </c>
      <c r="L5159">
        <v>11.27</v>
      </c>
      <c r="M5159" s="452">
        <v>45713</v>
      </c>
      <c r="N5159">
        <v>11.7</v>
      </c>
      <c r="O5159">
        <v>10.67</v>
      </c>
      <c r="P5159">
        <v>7.44</v>
      </c>
    </row>
    <row r="5160" spans="1:16" x14ac:dyDescent="0.3">
      <c r="A5160">
        <v>22542</v>
      </c>
      <c r="B5160">
        <v>105</v>
      </c>
      <c r="C5160" t="s">
        <v>557</v>
      </c>
      <c r="D5160" s="452">
        <v>45717</v>
      </c>
      <c r="E5160">
        <v>19632</v>
      </c>
      <c r="F5160" t="s">
        <v>4936</v>
      </c>
      <c r="G5160">
        <v>2604</v>
      </c>
      <c r="H5160">
        <v>2.6</v>
      </c>
      <c r="I5160" t="s">
        <v>4744</v>
      </c>
      <c r="J5160" t="s">
        <v>5191</v>
      </c>
      <c r="K5160" t="s">
        <v>4476</v>
      </c>
      <c r="L5160">
        <v>2.8</v>
      </c>
      <c r="M5160" s="452">
        <v>45716</v>
      </c>
      <c r="N5160">
        <v>2.8</v>
      </c>
      <c r="O5160">
        <v>2.8</v>
      </c>
      <c r="P5160">
        <v>7.28</v>
      </c>
    </row>
    <row r="5161" spans="1:16" x14ac:dyDescent="0.3">
      <c r="A5161">
        <v>22378</v>
      </c>
      <c r="B5161">
        <v>105</v>
      </c>
      <c r="C5161" t="s">
        <v>557</v>
      </c>
      <c r="D5161" s="452">
        <v>45717</v>
      </c>
      <c r="E5161">
        <v>25755</v>
      </c>
      <c r="F5161" t="s">
        <v>4821</v>
      </c>
      <c r="G5161">
        <v>9071</v>
      </c>
      <c r="H5161">
        <v>1</v>
      </c>
      <c r="I5161" t="s">
        <v>4749</v>
      </c>
      <c r="J5161" t="s">
        <v>5191</v>
      </c>
      <c r="K5161" t="s">
        <v>4476</v>
      </c>
      <c r="L5161">
        <v>0</v>
      </c>
      <c r="M5161" s="452">
        <v>-693593</v>
      </c>
      <c r="N5161">
        <v>0</v>
      </c>
      <c r="O5161">
        <v>0</v>
      </c>
      <c r="P5161">
        <v>6.99</v>
      </c>
    </row>
    <row r="5162" spans="1:16" x14ac:dyDescent="0.3">
      <c r="A5162">
        <v>22473</v>
      </c>
      <c r="B5162">
        <v>105</v>
      </c>
      <c r="C5162" t="s">
        <v>557</v>
      </c>
      <c r="D5162" s="452">
        <v>45717</v>
      </c>
      <c r="E5162">
        <v>25022</v>
      </c>
      <c r="F5162" t="s">
        <v>4912</v>
      </c>
      <c r="G5162">
        <v>5868</v>
      </c>
      <c r="H5162">
        <v>1</v>
      </c>
      <c r="I5162" t="s">
        <v>4738</v>
      </c>
      <c r="J5162" t="s">
        <v>5191</v>
      </c>
      <c r="K5162" t="s">
        <v>4476</v>
      </c>
      <c r="L5162">
        <v>6.9</v>
      </c>
      <c r="M5162" s="452">
        <v>45694</v>
      </c>
      <c r="N5162">
        <v>6.9</v>
      </c>
      <c r="O5162">
        <v>6.8</v>
      </c>
      <c r="P5162">
        <v>6.9</v>
      </c>
    </row>
    <row r="5163" spans="1:16" x14ac:dyDescent="0.3">
      <c r="A5163">
        <v>22485</v>
      </c>
      <c r="B5163">
        <v>105</v>
      </c>
      <c r="C5163" t="s">
        <v>557</v>
      </c>
      <c r="D5163" s="452">
        <v>45717</v>
      </c>
      <c r="E5163">
        <v>19982</v>
      </c>
      <c r="F5163" t="s">
        <v>5017</v>
      </c>
      <c r="G5163">
        <v>2351</v>
      </c>
      <c r="H5163">
        <v>1</v>
      </c>
      <c r="I5163" t="s">
        <v>4888</v>
      </c>
      <c r="J5163" t="s">
        <v>5191</v>
      </c>
      <c r="K5163" t="s">
        <v>4476</v>
      </c>
      <c r="L5163">
        <v>0</v>
      </c>
      <c r="M5163" s="452">
        <v>45519</v>
      </c>
      <c r="N5163">
        <v>6</v>
      </c>
      <c r="O5163">
        <v>5.95</v>
      </c>
      <c r="P5163">
        <v>6</v>
      </c>
    </row>
    <row r="5164" spans="1:16" x14ac:dyDescent="0.3">
      <c r="A5164">
        <v>22553</v>
      </c>
      <c r="B5164">
        <v>105</v>
      </c>
      <c r="C5164" t="s">
        <v>557</v>
      </c>
      <c r="D5164" s="452">
        <v>45717</v>
      </c>
      <c r="E5164">
        <v>19617</v>
      </c>
      <c r="F5164" t="s">
        <v>5071</v>
      </c>
      <c r="G5164">
        <v>2617</v>
      </c>
      <c r="H5164">
        <v>0.3</v>
      </c>
      <c r="I5164" t="s">
        <v>4744</v>
      </c>
      <c r="J5164" t="s">
        <v>5191</v>
      </c>
      <c r="K5164" t="s">
        <v>4476</v>
      </c>
      <c r="L5164">
        <v>19.09</v>
      </c>
      <c r="M5164" s="452">
        <v>45716</v>
      </c>
      <c r="N5164">
        <v>30</v>
      </c>
      <c r="O5164">
        <v>25.79</v>
      </c>
      <c r="P5164">
        <v>5.73</v>
      </c>
    </row>
    <row r="5165" spans="1:16" x14ac:dyDescent="0.3">
      <c r="A5165">
        <v>22587</v>
      </c>
      <c r="B5165">
        <v>105</v>
      </c>
      <c r="C5165" t="s">
        <v>557</v>
      </c>
      <c r="D5165" s="452">
        <v>45717</v>
      </c>
      <c r="E5165">
        <v>19561</v>
      </c>
      <c r="F5165" t="s">
        <v>5365</v>
      </c>
      <c r="G5165">
        <v>2656</v>
      </c>
      <c r="H5165">
        <v>0.75</v>
      </c>
      <c r="I5165" t="s">
        <v>4744</v>
      </c>
      <c r="J5165" t="s">
        <v>5191</v>
      </c>
      <c r="K5165" t="s">
        <v>4476</v>
      </c>
      <c r="L5165">
        <v>7.41</v>
      </c>
      <c r="M5165" s="452">
        <v>45713</v>
      </c>
      <c r="N5165">
        <v>7.5</v>
      </c>
      <c r="O5165">
        <v>1.4</v>
      </c>
      <c r="P5165">
        <v>5.56</v>
      </c>
    </row>
    <row r="5166" spans="1:16" x14ac:dyDescent="0.3">
      <c r="A5166">
        <v>22586</v>
      </c>
      <c r="B5166">
        <v>105</v>
      </c>
      <c r="C5166" t="s">
        <v>557</v>
      </c>
      <c r="D5166" s="452">
        <v>45717</v>
      </c>
      <c r="E5166">
        <v>19562</v>
      </c>
      <c r="F5166" t="s">
        <v>4939</v>
      </c>
      <c r="G5166">
        <v>2655</v>
      </c>
      <c r="H5166">
        <v>0.35</v>
      </c>
      <c r="I5166" t="s">
        <v>4744</v>
      </c>
      <c r="J5166" t="s">
        <v>5191</v>
      </c>
      <c r="K5166" t="s">
        <v>4476</v>
      </c>
      <c r="L5166">
        <v>11.75</v>
      </c>
      <c r="M5166" s="452">
        <v>45713</v>
      </c>
      <c r="N5166">
        <v>11.7</v>
      </c>
      <c r="O5166">
        <v>9.15</v>
      </c>
      <c r="P5166">
        <v>4.1100000000000003</v>
      </c>
    </row>
    <row r="5167" spans="1:16" x14ac:dyDescent="0.3">
      <c r="A5167">
        <v>22548</v>
      </c>
      <c r="B5167">
        <v>105</v>
      </c>
      <c r="C5167" t="s">
        <v>557</v>
      </c>
      <c r="D5167" s="452">
        <v>45717</v>
      </c>
      <c r="E5167">
        <v>19622</v>
      </c>
      <c r="F5167" t="s">
        <v>4915</v>
      </c>
      <c r="G5167">
        <v>2612</v>
      </c>
      <c r="H5167">
        <v>1.1499999999999999</v>
      </c>
      <c r="I5167" t="s">
        <v>4744</v>
      </c>
      <c r="J5167" t="s">
        <v>5191</v>
      </c>
      <c r="K5167" t="s">
        <v>4476</v>
      </c>
      <c r="L5167">
        <v>3.08</v>
      </c>
      <c r="M5167" s="452">
        <v>45716</v>
      </c>
      <c r="N5167">
        <v>3.3</v>
      </c>
      <c r="O5167">
        <v>3.3</v>
      </c>
      <c r="P5167">
        <v>3.54</v>
      </c>
    </row>
    <row r="5168" spans="1:16" x14ac:dyDescent="0.3">
      <c r="A5168">
        <v>22491</v>
      </c>
      <c r="B5168">
        <v>105</v>
      </c>
      <c r="C5168" t="s">
        <v>557</v>
      </c>
      <c r="D5168" s="452">
        <v>45717</v>
      </c>
      <c r="E5168">
        <v>19939</v>
      </c>
      <c r="F5168" t="s">
        <v>5057</v>
      </c>
      <c r="G5168">
        <v>2365</v>
      </c>
      <c r="H5168">
        <v>0.15</v>
      </c>
      <c r="I5168" t="s">
        <v>4744</v>
      </c>
      <c r="J5168" t="s">
        <v>5191</v>
      </c>
      <c r="K5168" t="s">
        <v>4476</v>
      </c>
      <c r="L5168">
        <v>0</v>
      </c>
      <c r="M5168" s="452">
        <v>-693593</v>
      </c>
      <c r="N5168">
        <v>0</v>
      </c>
      <c r="O5168">
        <v>79.599999999999994</v>
      </c>
      <c r="P5168">
        <v>3.3</v>
      </c>
    </row>
    <row r="5169" spans="1:16" x14ac:dyDescent="0.3">
      <c r="A5169">
        <v>22578</v>
      </c>
      <c r="B5169">
        <v>105</v>
      </c>
      <c r="C5169" t="s">
        <v>557</v>
      </c>
      <c r="D5169" s="452">
        <v>45717</v>
      </c>
      <c r="E5169">
        <v>19730</v>
      </c>
      <c r="F5169" t="s">
        <v>4961</v>
      </c>
      <c r="G5169">
        <v>2523</v>
      </c>
      <c r="H5169">
        <v>0.1</v>
      </c>
      <c r="I5169" t="s">
        <v>4744</v>
      </c>
      <c r="J5169" t="s">
        <v>5191</v>
      </c>
      <c r="K5169" t="s">
        <v>4476</v>
      </c>
      <c r="L5169">
        <v>28.03</v>
      </c>
      <c r="M5169" s="452">
        <v>45705</v>
      </c>
      <c r="N5169">
        <v>32</v>
      </c>
      <c r="O5169">
        <v>39.17</v>
      </c>
      <c r="P5169">
        <v>2.8</v>
      </c>
    </row>
    <row r="5170" spans="1:16" x14ac:dyDescent="0.3">
      <c r="A5170">
        <v>22550</v>
      </c>
      <c r="B5170">
        <v>105</v>
      </c>
      <c r="C5170" t="s">
        <v>557</v>
      </c>
      <c r="D5170" s="452">
        <v>45717</v>
      </c>
      <c r="E5170">
        <v>19488</v>
      </c>
      <c r="F5170" t="s">
        <v>5107</v>
      </c>
      <c r="G5170">
        <v>2720</v>
      </c>
      <c r="H5170">
        <v>0.2</v>
      </c>
      <c r="I5170" t="s">
        <v>4744</v>
      </c>
      <c r="J5170" t="s">
        <v>5191</v>
      </c>
      <c r="K5170" t="s">
        <v>4476</v>
      </c>
      <c r="L5170">
        <v>13.04</v>
      </c>
      <c r="M5170" s="452">
        <v>45716</v>
      </c>
      <c r="N5170">
        <v>14</v>
      </c>
      <c r="O5170">
        <v>2.63</v>
      </c>
      <c r="P5170">
        <v>2.61</v>
      </c>
    </row>
    <row r="5171" spans="1:16" x14ac:dyDescent="0.3">
      <c r="A5171">
        <v>22584</v>
      </c>
      <c r="B5171">
        <v>105</v>
      </c>
      <c r="C5171" t="s">
        <v>557</v>
      </c>
      <c r="D5171" s="452">
        <v>45717</v>
      </c>
      <c r="E5171">
        <v>19575</v>
      </c>
      <c r="F5171" t="s">
        <v>5120</v>
      </c>
      <c r="G5171">
        <v>2643</v>
      </c>
      <c r="H5171">
        <v>0.1</v>
      </c>
      <c r="I5171" t="s">
        <v>4744</v>
      </c>
      <c r="J5171" t="s">
        <v>5191</v>
      </c>
      <c r="K5171" t="s">
        <v>4476</v>
      </c>
      <c r="L5171">
        <v>22</v>
      </c>
      <c r="M5171" s="452">
        <v>45694</v>
      </c>
      <c r="N5171">
        <v>22</v>
      </c>
      <c r="O5171">
        <v>28.33</v>
      </c>
      <c r="P5171">
        <v>2.2000000000000002</v>
      </c>
    </row>
    <row r="5172" spans="1:16" x14ac:dyDescent="0.3">
      <c r="A5172">
        <v>22424</v>
      </c>
      <c r="B5172">
        <v>105</v>
      </c>
      <c r="C5172" t="s">
        <v>557</v>
      </c>
      <c r="D5172" s="452">
        <v>45717</v>
      </c>
      <c r="E5172">
        <v>24185</v>
      </c>
      <c r="F5172" t="s">
        <v>5592</v>
      </c>
      <c r="G5172">
        <v>2331</v>
      </c>
      <c r="H5172">
        <v>0.25</v>
      </c>
      <c r="I5172" t="s">
        <v>4744</v>
      </c>
      <c r="J5172" t="s">
        <v>5191</v>
      </c>
      <c r="K5172" t="s">
        <v>4476</v>
      </c>
      <c r="L5172">
        <v>0</v>
      </c>
      <c r="M5172" s="452">
        <v>45401</v>
      </c>
      <c r="N5172">
        <v>7.2</v>
      </c>
      <c r="O5172">
        <v>0</v>
      </c>
      <c r="P5172">
        <v>1.8</v>
      </c>
    </row>
    <row r="5173" spans="1:16" x14ac:dyDescent="0.3">
      <c r="A5173">
        <v>17477</v>
      </c>
      <c r="B5173">
        <v>105</v>
      </c>
      <c r="C5173" t="s">
        <v>557</v>
      </c>
      <c r="D5173" s="452">
        <v>45689</v>
      </c>
      <c r="E5173">
        <v>26130</v>
      </c>
      <c r="F5173" t="s">
        <v>5513</v>
      </c>
      <c r="G5173">
        <v>6583</v>
      </c>
      <c r="H5173">
        <v>33.53</v>
      </c>
      <c r="I5173" t="s">
        <v>4744</v>
      </c>
      <c r="J5173" t="s">
        <v>5191</v>
      </c>
      <c r="K5173" t="s">
        <v>4560</v>
      </c>
      <c r="L5173">
        <v>0</v>
      </c>
      <c r="M5173" s="452">
        <v>-693593</v>
      </c>
      <c r="N5173">
        <v>0</v>
      </c>
      <c r="O5173">
        <v>0</v>
      </c>
      <c r="P5173">
        <v>5431.86</v>
      </c>
    </row>
    <row r="5174" spans="1:16" x14ac:dyDescent="0.3">
      <c r="A5174">
        <v>17438</v>
      </c>
      <c r="B5174">
        <v>105</v>
      </c>
      <c r="C5174" t="s">
        <v>557</v>
      </c>
      <c r="D5174" s="452">
        <v>45689</v>
      </c>
      <c r="E5174">
        <v>26132</v>
      </c>
      <c r="F5174" t="s">
        <v>5522</v>
      </c>
      <c r="G5174">
        <v>6584</v>
      </c>
      <c r="H5174">
        <v>45.6</v>
      </c>
      <c r="I5174" t="s">
        <v>4744</v>
      </c>
      <c r="J5174" t="s">
        <v>5191</v>
      </c>
      <c r="K5174" t="s">
        <v>4560</v>
      </c>
      <c r="L5174">
        <v>0</v>
      </c>
      <c r="M5174" s="452">
        <v>-693593</v>
      </c>
      <c r="N5174">
        <v>0</v>
      </c>
      <c r="O5174">
        <v>0</v>
      </c>
      <c r="P5174">
        <v>4514.3999999999996</v>
      </c>
    </row>
    <row r="5175" spans="1:16" x14ac:dyDescent="0.3">
      <c r="A5175">
        <v>17459</v>
      </c>
      <c r="B5175">
        <v>105</v>
      </c>
      <c r="C5175" t="s">
        <v>557</v>
      </c>
      <c r="D5175" s="452">
        <v>45689</v>
      </c>
      <c r="E5175">
        <v>18945</v>
      </c>
      <c r="F5175" t="s">
        <v>4768</v>
      </c>
      <c r="G5175">
        <v>2929</v>
      </c>
      <c r="H5175">
        <v>62.4</v>
      </c>
      <c r="I5175" t="s">
        <v>4744</v>
      </c>
      <c r="J5175" t="s">
        <v>5191</v>
      </c>
      <c r="K5175" t="s">
        <v>4560</v>
      </c>
      <c r="L5175">
        <v>57.07</v>
      </c>
      <c r="M5175" s="452">
        <v>45685</v>
      </c>
      <c r="N5175">
        <v>56.61</v>
      </c>
      <c r="O5175">
        <v>56.61</v>
      </c>
      <c r="P5175">
        <v>3561.17</v>
      </c>
    </row>
    <row r="5176" spans="1:16" x14ac:dyDescent="0.3">
      <c r="A5176">
        <v>17493</v>
      </c>
      <c r="B5176">
        <v>105</v>
      </c>
      <c r="C5176" t="s">
        <v>557</v>
      </c>
      <c r="D5176" s="452">
        <v>45689</v>
      </c>
      <c r="E5176">
        <v>18636</v>
      </c>
      <c r="F5176" t="s">
        <v>4964</v>
      </c>
      <c r="G5176">
        <v>3075</v>
      </c>
      <c r="H5176">
        <v>8</v>
      </c>
      <c r="I5176" t="s">
        <v>4965</v>
      </c>
      <c r="J5176" t="s">
        <v>5222</v>
      </c>
      <c r="K5176" t="s">
        <v>4560</v>
      </c>
      <c r="L5176">
        <v>429</v>
      </c>
      <c r="M5176" s="452">
        <v>45685</v>
      </c>
      <c r="N5176">
        <v>429</v>
      </c>
      <c r="O5176">
        <v>456.29</v>
      </c>
      <c r="P5176">
        <v>3432</v>
      </c>
    </row>
    <row r="5177" spans="1:16" x14ac:dyDescent="0.3">
      <c r="A5177">
        <v>17655</v>
      </c>
      <c r="B5177">
        <v>105</v>
      </c>
      <c r="C5177" t="s">
        <v>557</v>
      </c>
      <c r="D5177" s="452">
        <v>45689</v>
      </c>
      <c r="E5177">
        <v>24227</v>
      </c>
      <c r="F5177" t="s">
        <v>4806</v>
      </c>
      <c r="G5177">
        <v>3648</v>
      </c>
      <c r="H5177">
        <v>17</v>
      </c>
      <c r="I5177" t="s">
        <v>4736</v>
      </c>
      <c r="J5177" t="s">
        <v>5222</v>
      </c>
      <c r="K5177" t="s">
        <v>4560</v>
      </c>
      <c r="L5177">
        <v>0</v>
      </c>
      <c r="M5177" s="452">
        <v>45393</v>
      </c>
      <c r="N5177">
        <v>6.42</v>
      </c>
      <c r="O5177">
        <v>6.82</v>
      </c>
      <c r="P5177">
        <v>3228.3</v>
      </c>
    </row>
    <row r="5178" spans="1:16" x14ac:dyDescent="0.3">
      <c r="A5178">
        <v>17463</v>
      </c>
      <c r="B5178">
        <v>105</v>
      </c>
      <c r="C5178" t="s">
        <v>557</v>
      </c>
      <c r="D5178" s="452">
        <v>45689</v>
      </c>
      <c r="E5178">
        <v>22839</v>
      </c>
      <c r="F5178" t="s">
        <v>4875</v>
      </c>
      <c r="G5178">
        <v>2938</v>
      </c>
      <c r="H5178">
        <v>35.43</v>
      </c>
      <c r="I5178" t="s">
        <v>4744</v>
      </c>
      <c r="J5178" t="s">
        <v>5191</v>
      </c>
      <c r="K5178" t="s">
        <v>4560</v>
      </c>
      <c r="L5178">
        <v>85.1</v>
      </c>
      <c r="M5178" s="452">
        <v>45685</v>
      </c>
      <c r="N5178">
        <v>79.900000000000006</v>
      </c>
      <c r="O5178">
        <v>77.900000000000006</v>
      </c>
      <c r="P5178">
        <v>3015.09</v>
      </c>
    </row>
    <row r="5179" spans="1:16" x14ac:dyDescent="0.3">
      <c r="A5179">
        <v>17465</v>
      </c>
      <c r="B5179">
        <v>105</v>
      </c>
      <c r="C5179" t="s">
        <v>557</v>
      </c>
      <c r="D5179" s="452">
        <v>45689</v>
      </c>
      <c r="E5179">
        <v>22837</v>
      </c>
      <c r="F5179" t="s">
        <v>5435</v>
      </c>
      <c r="G5179">
        <v>2939</v>
      </c>
      <c r="H5179">
        <v>23.26</v>
      </c>
      <c r="I5179" t="s">
        <v>4744</v>
      </c>
      <c r="J5179" t="s">
        <v>5191</v>
      </c>
      <c r="K5179" t="s">
        <v>4560</v>
      </c>
      <c r="L5179">
        <v>81</v>
      </c>
      <c r="M5179" s="452">
        <v>45685</v>
      </c>
      <c r="N5179">
        <v>81</v>
      </c>
      <c r="O5179">
        <v>81</v>
      </c>
      <c r="P5179">
        <v>1884.06</v>
      </c>
    </row>
    <row r="5180" spans="1:16" x14ac:dyDescent="0.3">
      <c r="A5180">
        <v>17487</v>
      </c>
      <c r="B5180">
        <v>105</v>
      </c>
      <c r="C5180" t="s">
        <v>557</v>
      </c>
      <c r="D5180" s="452">
        <v>45689</v>
      </c>
      <c r="E5180">
        <v>22654</v>
      </c>
      <c r="F5180" t="s">
        <v>4735</v>
      </c>
      <c r="G5180">
        <v>3083</v>
      </c>
      <c r="H5180">
        <v>279</v>
      </c>
      <c r="I5180" t="s">
        <v>4736</v>
      </c>
      <c r="J5180" t="s">
        <v>5222</v>
      </c>
      <c r="K5180" t="s">
        <v>4560</v>
      </c>
      <c r="L5180">
        <v>6.09</v>
      </c>
      <c r="M5180" s="452">
        <v>45679</v>
      </c>
      <c r="N5180">
        <v>5.61</v>
      </c>
      <c r="O5180">
        <v>4.49</v>
      </c>
      <c r="P5180">
        <v>1699.11</v>
      </c>
    </row>
    <row r="5181" spans="1:16" x14ac:dyDescent="0.3">
      <c r="A5181">
        <v>17479</v>
      </c>
      <c r="B5181">
        <v>105</v>
      </c>
      <c r="C5181" t="s">
        <v>557</v>
      </c>
      <c r="D5181" s="452">
        <v>45689</v>
      </c>
      <c r="E5181">
        <v>25789</v>
      </c>
      <c r="F5181" t="s">
        <v>4902</v>
      </c>
      <c r="G5181">
        <v>6328</v>
      </c>
      <c r="H5181">
        <v>16.899999999999999</v>
      </c>
      <c r="I5181" t="s">
        <v>4744</v>
      </c>
      <c r="J5181" t="s">
        <v>5191</v>
      </c>
      <c r="K5181" t="s">
        <v>4560</v>
      </c>
      <c r="L5181">
        <v>99.8</v>
      </c>
      <c r="M5181" s="452">
        <v>45671</v>
      </c>
      <c r="N5181">
        <v>99.8</v>
      </c>
      <c r="O5181">
        <v>99.8</v>
      </c>
      <c r="P5181">
        <v>1686.62</v>
      </c>
    </row>
    <row r="5182" spans="1:16" x14ac:dyDescent="0.3">
      <c r="A5182">
        <v>17444</v>
      </c>
      <c r="B5182">
        <v>105</v>
      </c>
      <c r="C5182" t="s">
        <v>557</v>
      </c>
      <c r="D5182" s="452">
        <v>45689</v>
      </c>
      <c r="E5182">
        <v>24091</v>
      </c>
      <c r="F5182" t="s">
        <v>5550</v>
      </c>
      <c r="G5182">
        <v>2919</v>
      </c>
      <c r="H5182">
        <v>24.8</v>
      </c>
      <c r="I5182" t="s">
        <v>4744</v>
      </c>
      <c r="J5182" t="s">
        <v>5191</v>
      </c>
      <c r="K5182" t="s">
        <v>4560</v>
      </c>
      <c r="L5182">
        <v>0</v>
      </c>
      <c r="M5182" s="452">
        <v>45499</v>
      </c>
      <c r="N5182">
        <v>0</v>
      </c>
      <c r="O5182">
        <v>0</v>
      </c>
      <c r="P5182">
        <v>1537.35</v>
      </c>
    </row>
    <row r="5183" spans="1:16" x14ac:dyDescent="0.3">
      <c r="A5183">
        <v>17186</v>
      </c>
      <c r="B5183">
        <v>105</v>
      </c>
      <c r="C5183" t="s">
        <v>557</v>
      </c>
      <c r="D5183" s="452">
        <v>45689</v>
      </c>
      <c r="E5183">
        <v>26004</v>
      </c>
      <c r="F5183" t="s">
        <v>4907</v>
      </c>
      <c r="G5183">
        <v>6490</v>
      </c>
      <c r="H5183">
        <v>12</v>
      </c>
      <c r="I5183" t="s">
        <v>4749</v>
      </c>
      <c r="J5183" t="s">
        <v>5191</v>
      </c>
      <c r="K5183" t="s">
        <v>4560</v>
      </c>
      <c r="L5183">
        <v>0</v>
      </c>
      <c r="M5183" s="452">
        <v>45653</v>
      </c>
      <c r="N5183">
        <v>117.84</v>
      </c>
      <c r="O5183">
        <v>117.84</v>
      </c>
      <c r="P5183">
        <v>1414.08</v>
      </c>
    </row>
    <row r="5184" spans="1:16" x14ac:dyDescent="0.3">
      <c r="A5184">
        <v>17288</v>
      </c>
      <c r="B5184">
        <v>105</v>
      </c>
      <c r="C5184" t="s">
        <v>557</v>
      </c>
      <c r="D5184" s="452">
        <v>45689</v>
      </c>
      <c r="E5184">
        <v>20544</v>
      </c>
      <c r="F5184" t="s">
        <v>4808</v>
      </c>
      <c r="G5184">
        <v>2144</v>
      </c>
      <c r="H5184">
        <v>36.82</v>
      </c>
      <c r="I5184" t="s">
        <v>4744</v>
      </c>
      <c r="J5184" t="s">
        <v>5191</v>
      </c>
      <c r="K5184" t="s">
        <v>4560</v>
      </c>
      <c r="L5184">
        <v>38.32</v>
      </c>
      <c r="M5184" s="452">
        <v>45688</v>
      </c>
      <c r="N5184">
        <v>38.32</v>
      </c>
      <c r="O5184">
        <v>38.32</v>
      </c>
      <c r="P5184">
        <v>1410.94</v>
      </c>
    </row>
    <row r="5185" spans="1:16" x14ac:dyDescent="0.3">
      <c r="A5185">
        <v>17435</v>
      </c>
      <c r="B5185">
        <v>105</v>
      </c>
      <c r="C5185" t="s">
        <v>557</v>
      </c>
      <c r="D5185" s="452">
        <v>45689</v>
      </c>
      <c r="E5185">
        <v>19297</v>
      </c>
      <c r="F5185" t="s">
        <v>5571</v>
      </c>
      <c r="G5185">
        <v>2775</v>
      </c>
      <c r="H5185">
        <v>15.99</v>
      </c>
      <c r="I5185" t="s">
        <v>4744</v>
      </c>
      <c r="J5185" t="s">
        <v>5191</v>
      </c>
      <c r="K5185" t="s">
        <v>4560</v>
      </c>
      <c r="L5185">
        <v>72</v>
      </c>
      <c r="M5185" s="452">
        <v>45677</v>
      </c>
      <c r="N5185">
        <v>72</v>
      </c>
      <c r="O5185">
        <v>72</v>
      </c>
      <c r="P5185">
        <v>1151.28</v>
      </c>
    </row>
    <row r="5186" spans="1:16" x14ac:dyDescent="0.3">
      <c r="A5186">
        <v>17273</v>
      </c>
      <c r="B5186">
        <v>105</v>
      </c>
      <c r="C5186" t="s">
        <v>557</v>
      </c>
      <c r="D5186" s="452">
        <v>45689</v>
      </c>
      <c r="E5186">
        <v>24283</v>
      </c>
      <c r="F5186" t="s">
        <v>5572</v>
      </c>
      <c r="G5186">
        <v>2039</v>
      </c>
      <c r="H5186">
        <v>11</v>
      </c>
      <c r="I5186" t="s">
        <v>4744</v>
      </c>
      <c r="J5186" t="s">
        <v>5191</v>
      </c>
      <c r="K5186" t="s">
        <v>4560</v>
      </c>
      <c r="L5186">
        <v>0</v>
      </c>
      <c r="M5186" s="452">
        <v>-693593</v>
      </c>
      <c r="N5186">
        <v>0</v>
      </c>
      <c r="O5186">
        <v>0</v>
      </c>
      <c r="P5186">
        <v>1149.28</v>
      </c>
    </row>
    <row r="5187" spans="1:16" x14ac:dyDescent="0.3">
      <c r="A5187">
        <v>17485</v>
      </c>
      <c r="B5187">
        <v>105</v>
      </c>
      <c r="C5187" t="s">
        <v>557</v>
      </c>
      <c r="D5187" s="452">
        <v>45689</v>
      </c>
      <c r="E5187">
        <v>24129</v>
      </c>
      <c r="F5187" t="s">
        <v>4740</v>
      </c>
      <c r="G5187">
        <v>3076</v>
      </c>
      <c r="H5187">
        <v>149</v>
      </c>
      <c r="I5187" t="s">
        <v>4736</v>
      </c>
      <c r="J5187" t="s">
        <v>5222</v>
      </c>
      <c r="K5187" t="s">
        <v>4560</v>
      </c>
      <c r="L5187">
        <v>0</v>
      </c>
      <c r="M5187" s="452">
        <v>45512</v>
      </c>
      <c r="N5187">
        <v>7.7</v>
      </c>
      <c r="O5187">
        <v>7.95</v>
      </c>
      <c r="P5187">
        <v>1147.3</v>
      </c>
    </row>
    <row r="5188" spans="1:16" x14ac:dyDescent="0.3">
      <c r="A5188">
        <v>17531</v>
      </c>
      <c r="B5188">
        <v>105</v>
      </c>
      <c r="C5188" t="s">
        <v>557</v>
      </c>
      <c r="D5188" s="452">
        <v>45689</v>
      </c>
      <c r="E5188">
        <v>18179</v>
      </c>
      <c r="F5188" t="s">
        <v>4924</v>
      </c>
      <c r="G5188">
        <v>3443</v>
      </c>
      <c r="H5188">
        <v>11</v>
      </c>
      <c r="I5188" t="s">
        <v>4805</v>
      </c>
      <c r="J5188" t="s">
        <v>5222</v>
      </c>
      <c r="K5188" t="s">
        <v>4560</v>
      </c>
      <c r="L5188">
        <v>0</v>
      </c>
      <c r="M5188" s="452">
        <v>45646</v>
      </c>
      <c r="N5188">
        <v>102.56</v>
      </c>
      <c r="O5188">
        <v>0</v>
      </c>
      <c r="P5188">
        <v>1128.1600000000001</v>
      </c>
    </row>
    <row r="5189" spans="1:16" x14ac:dyDescent="0.3">
      <c r="A5189">
        <v>17439</v>
      </c>
      <c r="B5189">
        <v>105</v>
      </c>
      <c r="C5189" t="s">
        <v>557</v>
      </c>
      <c r="D5189" s="452">
        <v>45689</v>
      </c>
      <c r="E5189">
        <v>24954</v>
      </c>
      <c r="F5189" t="s">
        <v>4769</v>
      </c>
      <c r="G5189">
        <v>5836</v>
      </c>
      <c r="H5189">
        <v>20.5</v>
      </c>
      <c r="I5189" t="s">
        <v>4744</v>
      </c>
      <c r="J5189" t="s">
        <v>5191</v>
      </c>
      <c r="K5189" t="s">
        <v>4560</v>
      </c>
      <c r="L5189">
        <v>0</v>
      </c>
      <c r="M5189" s="452">
        <v>45631</v>
      </c>
      <c r="N5189">
        <v>53</v>
      </c>
      <c r="O5189">
        <v>53</v>
      </c>
      <c r="P5189">
        <v>1086.5</v>
      </c>
    </row>
    <row r="5190" spans="1:16" x14ac:dyDescent="0.3">
      <c r="A5190">
        <v>17558</v>
      </c>
      <c r="B5190">
        <v>105</v>
      </c>
      <c r="C5190" t="s">
        <v>557</v>
      </c>
      <c r="D5190" s="452">
        <v>45689</v>
      </c>
      <c r="E5190">
        <v>17841</v>
      </c>
      <c r="F5190" t="s">
        <v>5593</v>
      </c>
      <c r="G5190">
        <v>8510</v>
      </c>
      <c r="H5190">
        <v>8.34</v>
      </c>
      <c r="I5190" t="s">
        <v>4749</v>
      </c>
      <c r="J5190" t="s">
        <v>5222</v>
      </c>
      <c r="K5190" t="s">
        <v>4560</v>
      </c>
      <c r="L5190">
        <v>0</v>
      </c>
      <c r="M5190" s="452">
        <v>45350</v>
      </c>
      <c r="N5190">
        <v>0</v>
      </c>
      <c r="O5190">
        <v>130</v>
      </c>
      <c r="P5190">
        <v>1084.2</v>
      </c>
    </row>
    <row r="5191" spans="1:16" x14ac:dyDescent="0.3">
      <c r="A5191">
        <v>17278</v>
      </c>
      <c r="B5191">
        <v>105</v>
      </c>
      <c r="C5191" t="s">
        <v>557</v>
      </c>
      <c r="D5191" s="452">
        <v>45689</v>
      </c>
      <c r="E5191">
        <v>21021</v>
      </c>
      <c r="F5191" t="s">
        <v>4883</v>
      </c>
      <c r="G5191">
        <v>2003</v>
      </c>
      <c r="H5191">
        <v>6</v>
      </c>
      <c r="I5191" t="s">
        <v>4884</v>
      </c>
      <c r="J5191" t="s">
        <v>5191</v>
      </c>
      <c r="K5191" t="s">
        <v>4560</v>
      </c>
      <c r="L5191">
        <v>169.9</v>
      </c>
      <c r="M5191" s="452">
        <v>45678</v>
      </c>
      <c r="N5191">
        <v>169.9</v>
      </c>
      <c r="O5191">
        <v>169.9</v>
      </c>
      <c r="P5191">
        <v>1019.4</v>
      </c>
    </row>
    <row r="5192" spans="1:16" x14ac:dyDescent="0.3">
      <c r="A5192">
        <v>17654</v>
      </c>
      <c r="B5192">
        <v>105</v>
      </c>
      <c r="C5192" t="s">
        <v>557</v>
      </c>
      <c r="D5192" s="452">
        <v>45689</v>
      </c>
      <c r="E5192">
        <v>24470</v>
      </c>
      <c r="F5192" t="s">
        <v>4752</v>
      </c>
      <c r="G5192">
        <v>3103</v>
      </c>
      <c r="H5192">
        <v>51</v>
      </c>
      <c r="I5192" t="s">
        <v>4736</v>
      </c>
      <c r="J5192" t="s">
        <v>5222</v>
      </c>
      <c r="K5192" t="s">
        <v>4560</v>
      </c>
      <c r="L5192">
        <v>0</v>
      </c>
      <c r="M5192" s="452">
        <v>45404</v>
      </c>
      <c r="N5192">
        <v>4.41</v>
      </c>
      <c r="O5192">
        <v>4.41</v>
      </c>
      <c r="P5192">
        <v>1014.9</v>
      </c>
    </row>
    <row r="5193" spans="1:16" x14ac:dyDescent="0.3">
      <c r="A5193">
        <v>17494</v>
      </c>
      <c r="B5193">
        <v>105</v>
      </c>
      <c r="C5193" t="s">
        <v>557</v>
      </c>
      <c r="D5193" s="452">
        <v>45689</v>
      </c>
      <c r="E5193">
        <v>24981</v>
      </c>
      <c r="F5193" t="s">
        <v>5140</v>
      </c>
      <c r="G5193">
        <v>5849</v>
      </c>
      <c r="H5193">
        <v>2</v>
      </c>
      <c r="I5193" t="s">
        <v>4965</v>
      </c>
      <c r="J5193" t="s">
        <v>5222</v>
      </c>
      <c r="K5193" t="s">
        <v>4560</v>
      </c>
      <c r="L5193">
        <v>0</v>
      </c>
      <c r="M5193" s="452">
        <v>45653</v>
      </c>
      <c r="N5193">
        <v>420</v>
      </c>
      <c r="O5193">
        <v>420</v>
      </c>
      <c r="P5193">
        <v>840</v>
      </c>
    </row>
    <row r="5194" spans="1:16" x14ac:dyDescent="0.3">
      <c r="A5194">
        <v>17458</v>
      </c>
      <c r="B5194">
        <v>105</v>
      </c>
      <c r="C5194" t="s">
        <v>557</v>
      </c>
      <c r="D5194" s="452">
        <v>45689</v>
      </c>
      <c r="E5194">
        <v>24217</v>
      </c>
      <c r="F5194" t="s">
        <v>4778</v>
      </c>
      <c r="G5194">
        <v>2937</v>
      </c>
      <c r="H5194">
        <v>15.7</v>
      </c>
      <c r="I5194" t="s">
        <v>4744</v>
      </c>
      <c r="J5194" t="s">
        <v>5191</v>
      </c>
      <c r="K5194" t="s">
        <v>4560</v>
      </c>
      <c r="L5194">
        <v>0</v>
      </c>
      <c r="M5194" s="452">
        <v>45552</v>
      </c>
      <c r="N5194">
        <v>51.69</v>
      </c>
      <c r="O5194">
        <v>51.11</v>
      </c>
      <c r="P5194">
        <v>811.53</v>
      </c>
    </row>
    <row r="5195" spans="1:16" x14ac:dyDescent="0.3">
      <c r="A5195">
        <v>17291</v>
      </c>
      <c r="B5195">
        <v>105</v>
      </c>
      <c r="C5195" t="s">
        <v>557</v>
      </c>
      <c r="D5195" s="452">
        <v>45689</v>
      </c>
      <c r="E5195">
        <v>20501</v>
      </c>
      <c r="F5195" t="s">
        <v>4760</v>
      </c>
      <c r="G5195">
        <v>2154</v>
      </c>
      <c r="H5195">
        <v>31.92</v>
      </c>
      <c r="I5195" t="s">
        <v>4744</v>
      </c>
      <c r="J5195" t="s">
        <v>5191</v>
      </c>
      <c r="K5195" t="s">
        <v>4560</v>
      </c>
      <c r="L5195">
        <v>0</v>
      </c>
      <c r="M5195" s="452">
        <v>45553</v>
      </c>
      <c r="N5195">
        <v>24.45</v>
      </c>
      <c r="O5195">
        <v>21.49</v>
      </c>
      <c r="P5195">
        <v>780.44</v>
      </c>
    </row>
    <row r="5196" spans="1:16" x14ac:dyDescent="0.3">
      <c r="A5196">
        <v>17208</v>
      </c>
      <c r="B5196">
        <v>105</v>
      </c>
      <c r="C5196" t="s">
        <v>557</v>
      </c>
      <c r="D5196" s="452">
        <v>45689</v>
      </c>
      <c r="E5196">
        <v>21150</v>
      </c>
      <c r="F5196" t="s">
        <v>4878</v>
      </c>
      <c r="G5196">
        <v>1951</v>
      </c>
      <c r="H5196">
        <v>7.3</v>
      </c>
      <c r="I5196" t="s">
        <v>4879</v>
      </c>
      <c r="J5196" t="s">
        <v>5191</v>
      </c>
      <c r="K5196" t="s">
        <v>4560</v>
      </c>
      <c r="L5196">
        <v>0</v>
      </c>
      <c r="M5196" s="452">
        <v>45469</v>
      </c>
      <c r="N5196">
        <v>106.9</v>
      </c>
      <c r="O5196">
        <v>56.65</v>
      </c>
      <c r="P5196">
        <v>780.37</v>
      </c>
    </row>
    <row r="5197" spans="1:16" x14ac:dyDescent="0.3">
      <c r="A5197">
        <v>17498</v>
      </c>
      <c r="B5197">
        <v>105</v>
      </c>
      <c r="C5197" t="s">
        <v>557</v>
      </c>
      <c r="D5197" s="452">
        <v>45689</v>
      </c>
      <c r="E5197">
        <v>18550</v>
      </c>
      <c r="F5197" t="s">
        <v>4967</v>
      </c>
      <c r="G5197">
        <v>3130</v>
      </c>
      <c r="H5197">
        <v>3</v>
      </c>
      <c r="I5197" t="s">
        <v>4805</v>
      </c>
      <c r="J5197" t="s">
        <v>5222</v>
      </c>
      <c r="K5197" t="s">
        <v>4560</v>
      </c>
      <c r="L5197">
        <v>0</v>
      </c>
      <c r="M5197" s="452">
        <v>45644</v>
      </c>
      <c r="N5197">
        <v>229.9</v>
      </c>
      <c r="O5197">
        <v>168</v>
      </c>
      <c r="P5197">
        <v>689.7</v>
      </c>
    </row>
    <row r="5198" spans="1:16" x14ac:dyDescent="0.3">
      <c r="A5198">
        <v>17441</v>
      </c>
      <c r="B5198">
        <v>105</v>
      </c>
      <c r="C5198" t="s">
        <v>557</v>
      </c>
      <c r="D5198" s="452">
        <v>45689</v>
      </c>
      <c r="E5198">
        <v>18708</v>
      </c>
      <c r="F5198" t="s">
        <v>5573</v>
      </c>
      <c r="G5198">
        <v>3033</v>
      </c>
      <c r="H5198">
        <v>21.99</v>
      </c>
      <c r="I5198" t="s">
        <v>4744</v>
      </c>
      <c r="J5198" t="s">
        <v>5191</v>
      </c>
      <c r="K5198" t="s">
        <v>4560</v>
      </c>
      <c r="L5198">
        <v>31.12</v>
      </c>
      <c r="M5198" s="452">
        <v>45685</v>
      </c>
      <c r="N5198">
        <v>30.4</v>
      </c>
      <c r="O5198">
        <v>30.4</v>
      </c>
      <c r="P5198">
        <v>684.33</v>
      </c>
    </row>
    <row r="5199" spans="1:16" x14ac:dyDescent="0.3">
      <c r="A5199">
        <v>17475</v>
      </c>
      <c r="B5199">
        <v>105</v>
      </c>
      <c r="C5199" t="s">
        <v>557</v>
      </c>
      <c r="D5199" s="452">
        <v>45689</v>
      </c>
      <c r="E5199">
        <v>18735</v>
      </c>
      <c r="F5199" t="s">
        <v>4891</v>
      </c>
      <c r="G5199">
        <v>3018</v>
      </c>
      <c r="H5199">
        <v>9.9499999999999993</v>
      </c>
      <c r="I5199" t="s">
        <v>4744</v>
      </c>
      <c r="J5199" t="s">
        <v>5191</v>
      </c>
      <c r="K5199" t="s">
        <v>4560</v>
      </c>
      <c r="L5199">
        <v>67.900000000000006</v>
      </c>
      <c r="M5199" s="452">
        <v>45670</v>
      </c>
      <c r="N5199">
        <v>67.900000000000006</v>
      </c>
      <c r="O5199">
        <v>99</v>
      </c>
      <c r="P5199">
        <v>675.6</v>
      </c>
    </row>
    <row r="5200" spans="1:16" x14ac:dyDescent="0.3">
      <c r="A5200">
        <v>17492</v>
      </c>
      <c r="B5200">
        <v>105</v>
      </c>
      <c r="C5200" t="s">
        <v>557</v>
      </c>
      <c r="D5200" s="452">
        <v>45689</v>
      </c>
      <c r="E5200">
        <v>22623</v>
      </c>
      <c r="F5200" t="s">
        <v>4751</v>
      </c>
      <c r="G5200">
        <v>3106</v>
      </c>
      <c r="H5200">
        <v>97</v>
      </c>
      <c r="I5200" t="s">
        <v>4736</v>
      </c>
      <c r="J5200" t="s">
        <v>5222</v>
      </c>
      <c r="K5200" t="s">
        <v>4560</v>
      </c>
      <c r="L5200">
        <v>6.83</v>
      </c>
      <c r="M5200" s="452">
        <v>45679</v>
      </c>
      <c r="N5200">
        <v>6.83</v>
      </c>
      <c r="O5200">
        <v>6.83</v>
      </c>
      <c r="P5200">
        <v>662.51</v>
      </c>
    </row>
    <row r="5201" spans="1:16" x14ac:dyDescent="0.3">
      <c r="A5201">
        <v>17469</v>
      </c>
      <c r="B5201">
        <v>105</v>
      </c>
      <c r="C5201" t="s">
        <v>557</v>
      </c>
      <c r="D5201" s="452">
        <v>45689</v>
      </c>
      <c r="E5201">
        <v>24320</v>
      </c>
      <c r="F5201" t="s">
        <v>4861</v>
      </c>
      <c r="G5201">
        <v>2942</v>
      </c>
      <c r="H5201">
        <v>16.2</v>
      </c>
      <c r="I5201" t="s">
        <v>4744</v>
      </c>
      <c r="J5201" t="s">
        <v>5191</v>
      </c>
      <c r="K5201" t="s">
        <v>4560</v>
      </c>
      <c r="L5201">
        <v>0</v>
      </c>
      <c r="M5201" s="452">
        <v>45546</v>
      </c>
      <c r="N5201">
        <v>40.75</v>
      </c>
      <c r="O5201">
        <v>35.49</v>
      </c>
      <c r="P5201">
        <v>660.15</v>
      </c>
    </row>
    <row r="5202" spans="1:16" x14ac:dyDescent="0.3">
      <c r="A5202">
        <v>17454</v>
      </c>
      <c r="B5202">
        <v>105</v>
      </c>
      <c r="C5202" t="s">
        <v>557</v>
      </c>
      <c r="D5202" s="452">
        <v>45689</v>
      </c>
      <c r="E5202">
        <v>24196</v>
      </c>
      <c r="F5202" t="s">
        <v>5547</v>
      </c>
      <c r="G5202">
        <v>2933</v>
      </c>
      <c r="H5202">
        <v>25.43</v>
      </c>
      <c r="I5202" t="s">
        <v>4744</v>
      </c>
      <c r="J5202" t="s">
        <v>5191</v>
      </c>
      <c r="K5202" t="s">
        <v>4560</v>
      </c>
      <c r="L5202">
        <v>0</v>
      </c>
      <c r="M5202" s="452">
        <v>45545</v>
      </c>
      <c r="N5202">
        <v>25.9</v>
      </c>
      <c r="O5202">
        <v>21.9</v>
      </c>
      <c r="P5202">
        <v>658.55</v>
      </c>
    </row>
    <row r="5203" spans="1:16" x14ac:dyDescent="0.3">
      <c r="A5203">
        <v>17547</v>
      </c>
      <c r="B5203">
        <v>105</v>
      </c>
      <c r="C5203" t="s">
        <v>557</v>
      </c>
      <c r="D5203" s="452">
        <v>45689</v>
      </c>
      <c r="E5203">
        <v>18008</v>
      </c>
      <c r="F5203" t="s">
        <v>4865</v>
      </c>
      <c r="G5203">
        <v>3589</v>
      </c>
      <c r="H5203">
        <v>5</v>
      </c>
      <c r="I5203" t="s">
        <v>4805</v>
      </c>
      <c r="J5203" t="s">
        <v>5222</v>
      </c>
      <c r="K5203" t="s">
        <v>4560</v>
      </c>
      <c r="L5203">
        <v>0</v>
      </c>
      <c r="M5203" s="452">
        <v>-693593</v>
      </c>
      <c r="N5203">
        <v>0</v>
      </c>
      <c r="O5203">
        <v>0</v>
      </c>
      <c r="P5203">
        <v>654.95000000000005</v>
      </c>
    </row>
    <row r="5204" spans="1:16" x14ac:dyDescent="0.3">
      <c r="A5204">
        <v>17429</v>
      </c>
      <c r="B5204">
        <v>105</v>
      </c>
      <c r="C5204" t="s">
        <v>557</v>
      </c>
      <c r="D5204" s="452">
        <v>45689</v>
      </c>
      <c r="E5204">
        <v>19356</v>
      </c>
      <c r="F5204" t="s">
        <v>4799</v>
      </c>
      <c r="G5204">
        <v>2768</v>
      </c>
      <c r="H5204">
        <v>12.86</v>
      </c>
      <c r="I5204" t="s">
        <v>4744</v>
      </c>
      <c r="J5204" t="s">
        <v>5191</v>
      </c>
      <c r="K5204" t="s">
        <v>4560</v>
      </c>
      <c r="L5204">
        <v>0</v>
      </c>
      <c r="M5204" s="452">
        <v>45646</v>
      </c>
      <c r="N5204">
        <v>50.9</v>
      </c>
      <c r="O5204">
        <v>53.65</v>
      </c>
      <c r="P5204">
        <v>654.57000000000005</v>
      </c>
    </row>
    <row r="5205" spans="1:16" x14ac:dyDescent="0.3">
      <c r="A5205">
        <v>17583</v>
      </c>
      <c r="B5205">
        <v>105</v>
      </c>
      <c r="C5205" t="s">
        <v>557</v>
      </c>
      <c r="D5205" s="452">
        <v>45689</v>
      </c>
      <c r="E5205">
        <v>17578</v>
      </c>
      <c r="F5205" t="s">
        <v>4842</v>
      </c>
      <c r="G5205">
        <v>3948</v>
      </c>
      <c r="H5205">
        <v>8.1999999999999993</v>
      </c>
      <c r="I5205" t="s">
        <v>4805</v>
      </c>
      <c r="J5205" t="s">
        <v>5222</v>
      </c>
      <c r="K5205" t="s">
        <v>4560</v>
      </c>
      <c r="L5205">
        <v>79.209999999999994</v>
      </c>
      <c r="M5205" s="452">
        <v>45672</v>
      </c>
      <c r="N5205">
        <v>79.209999999999994</v>
      </c>
      <c r="O5205">
        <v>82.38</v>
      </c>
      <c r="P5205">
        <v>649.52</v>
      </c>
    </row>
    <row r="5206" spans="1:16" x14ac:dyDescent="0.3">
      <c r="A5206">
        <v>17530</v>
      </c>
      <c r="B5206">
        <v>105</v>
      </c>
      <c r="C5206" t="s">
        <v>557</v>
      </c>
      <c r="D5206" s="452">
        <v>45689</v>
      </c>
      <c r="E5206">
        <v>18194</v>
      </c>
      <c r="F5206" t="s">
        <v>4923</v>
      </c>
      <c r="G5206">
        <v>3430</v>
      </c>
      <c r="H5206">
        <v>6.5</v>
      </c>
      <c r="I5206" t="s">
        <v>4805</v>
      </c>
      <c r="J5206" t="s">
        <v>5222</v>
      </c>
      <c r="K5206" t="s">
        <v>4560</v>
      </c>
      <c r="L5206">
        <v>0</v>
      </c>
      <c r="M5206" s="452">
        <v>45652</v>
      </c>
      <c r="N5206">
        <v>95</v>
      </c>
      <c r="O5206">
        <v>96.15</v>
      </c>
      <c r="P5206">
        <v>617.5</v>
      </c>
    </row>
    <row r="5207" spans="1:16" x14ac:dyDescent="0.3">
      <c r="A5207">
        <v>17461</v>
      </c>
      <c r="B5207">
        <v>105</v>
      </c>
      <c r="C5207" t="s">
        <v>557</v>
      </c>
      <c r="D5207" s="452">
        <v>45689</v>
      </c>
      <c r="E5207">
        <v>24256</v>
      </c>
      <c r="F5207" t="s">
        <v>4773</v>
      </c>
      <c r="G5207">
        <v>3003</v>
      </c>
      <c r="H5207">
        <v>13.7</v>
      </c>
      <c r="I5207" t="s">
        <v>4744</v>
      </c>
      <c r="J5207" t="s">
        <v>5191</v>
      </c>
      <c r="K5207" t="s">
        <v>4560</v>
      </c>
      <c r="L5207">
        <v>0</v>
      </c>
      <c r="M5207" s="452">
        <v>45545</v>
      </c>
      <c r="N5207">
        <v>45</v>
      </c>
      <c r="O5207">
        <v>45</v>
      </c>
      <c r="P5207">
        <v>616.5</v>
      </c>
    </row>
    <row r="5208" spans="1:16" x14ac:dyDescent="0.3">
      <c r="A5208">
        <v>17248</v>
      </c>
      <c r="B5208">
        <v>105</v>
      </c>
      <c r="C5208" t="s">
        <v>557</v>
      </c>
      <c r="D5208" s="452">
        <v>45689</v>
      </c>
      <c r="E5208">
        <v>24189</v>
      </c>
      <c r="F5208" t="s">
        <v>5532</v>
      </c>
      <c r="G5208">
        <v>2140</v>
      </c>
      <c r="H5208">
        <v>27.34</v>
      </c>
      <c r="I5208" t="s">
        <v>4744</v>
      </c>
      <c r="J5208" t="s">
        <v>5191</v>
      </c>
      <c r="K5208" t="s">
        <v>4560</v>
      </c>
      <c r="L5208">
        <v>0</v>
      </c>
      <c r="M5208" s="452">
        <v>45546</v>
      </c>
      <c r="N5208">
        <v>22.4</v>
      </c>
      <c r="O5208">
        <v>22.34</v>
      </c>
      <c r="P5208">
        <v>612.41999999999996</v>
      </c>
    </row>
    <row r="5209" spans="1:16" x14ac:dyDescent="0.3">
      <c r="A5209">
        <v>17491</v>
      </c>
      <c r="B5209">
        <v>105</v>
      </c>
      <c r="C5209" t="s">
        <v>557</v>
      </c>
      <c r="D5209" s="452">
        <v>45689</v>
      </c>
      <c r="E5209">
        <v>22652</v>
      </c>
      <c r="F5209" t="s">
        <v>4759</v>
      </c>
      <c r="G5209">
        <v>3085</v>
      </c>
      <c r="H5209">
        <v>101</v>
      </c>
      <c r="I5209" t="s">
        <v>4736</v>
      </c>
      <c r="J5209" t="s">
        <v>5222</v>
      </c>
      <c r="K5209" t="s">
        <v>4560</v>
      </c>
      <c r="L5209">
        <v>5.95</v>
      </c>
      <c r="M5209" s="452">
        <v>45679</v>
      </c>
      <c r="N5209">
        <v>5.95</v>
      </c>
      <c r="O5209">
        <v>4.09</v>
      </c>
      <c r="P5209">
        <v>600.95000000000005</v>
      </c>
    </row>
    <row r="5210" spans="1:16" x14ac:dyDescent="0.3">
      <c r="A5210">
        <v>17511</v>
      </c>
      <c r="B5210">
        <v>105</v>
      </c>
      <c r="C5210" t="s">
        <v>557</v>
      </c>
      <c r="D5210" s="452">
        <v>45689</v>
      </c>
      <c r="E5210">
        <v>18359</v>
      </c>
      <c r="F5210" t="s">
        <v>4921</v>
      </c>
      <c r="G5210">
        <v>3278</v>
      </c>
      <c r="H5210">
        <v>6</v>
      </c>
      <c r="I5210" t="s">
        <v>4805</v>
      </c>
      <c r="J5210" t="s">
        <v>5222</v>
      </c>
      <c r="K5210" t="s">
        <v>4560</v>
      </c>
      <c r="L5210">
        <v>99.9</v>
      </c>
      <c r="M5210" s="452">
        <v>45672</v>
      </c>
      <c r="N5210">
        <v>99.9</v>
      </c>
      <c r="O5210">
        <v>93.9</v>
      </c>
      <c r="P5210">
        <v>599.4</v>
      </c>
    </row>
    <row r="5211" spans="1:16" x14ac:dyDescent="0.3">
      <c r="A5211">
        <v>17501</v>
      </c>
      <c r="B5211">
        <v>105</v>
      </c>
      <c r="C5211" t="s">
        <v>557</v>
      </c>
      <c r="D5211" s="452">
        <v>45689</v>
      </c>
      <c r="E5211">
        <v>18518</v>
      </c>
      <c r="F5211" t="s">
        <v>4838</v>
      </c>
      <c r="G5211">
        <v>3148</v>
      </c>
      <c r="H5211">
        <v>11.8</v>
      </c>
      <c r="I5211" t="s">
        <v>4805</v>
      </c>
      <c r="J5211" t="s">
        <v>5222</v>
      </c>
      <c r="K5211" t="s">
        <v>4560</v>
      </c>
      <c r="L5211">
        <v>0</v>
      </c>
      <c r="M5211" s="452">
        <v>45645</v>
      </c>
      <c r="N5211">
        <v>50</v>
      </c>
      <c r="O5211">
        <v>50</v>
      </c>
      <c r="P5211">
        <v>590</v>
      </c>
    </row>
    <row r="5212" spans="1:16" x14ac:dyDescent="0.3">
      <c r="A5212">
        <v>17443</v>
      </c>
      <c r="B5212">
        <v>105</v>
      </c>
      <c r="C5212" t="s">
        <v>557</v>
      </c>
      <c r="D5212" s="452">
        <v>45689</v>
      </c>
      <c r="E5212">
        <v>22719</v>
      </c>
      <c r="F5212" t="s">
        <v>4834</v>
      </c>
      <c r="G5212">
        <v>3034</v>
      </c>
      <c r="H5212">
        <v>18.079999999999998</v>
      </c>
      <c r="I5212" t="s">
        <v>4744</v>
      </c>
      <c r="J5212" t="s">
        <v>5191</v>
      </c>
      <c r="K5212" t="s">
        <v>4560</v>
      </c>
      <c r="L5212">
        <v>29.59</v>
      </c>
      <c r="M5212" s="452">
        <v>45685</v>
      </c>
      <c r="N5212">
        <v>31</v>
      </c>
      <c r="O5212">
        <v>31</v>
      </c>
      <c r="P5212">
        <v>534.99</v>
      </c>
    </row>
    <row r="5213" spans="1:16" x14ac:dyDescent="0.3">
      <c r="A5213">
        <v>17339</v>
      </c>
      <c r="B5213">
        <v>105</v>
      </c>
      <c r="C5213" t="s">
        <v>557</v>
      </c>
      <c r="D5213" s="452">
        <v>45689</v>
      </c>
      <c r="E5213">
        <v>19787</v>
      </c>
      <c r="F5213" t="s">
        <v>4793</v>
      </c>
      <c r="G5213">
        <v>2471</v>
      </c>
      <c r="H5213">
        <v>75.22</v>
      </c>
      <c r="I5213" t="s">
        <v>4744</v>
      </c>
      <c r="J5213" t="s">
        <v>5191</v>
      </c>
      <c r="K5213" t="s">
        <v>4560</v>
      </c>
      <c r="L5213">
        <v>7.08</v>
      </c>
      <c r="M5213" s="452">
        <v>45688</v>
      </c>
      <c r="N5213">
        <v>6.6</v>
      </c>
      <c r="O5213">
        <v>7.16</v>
      </c>
      <c r="P5213">
        <v>532.55999999999995</v>
      </c>
    </row>
    <row r="5214" spans="1:16" x14ac:dyDescent="0.3">
      <c r="A5214">
        <v>17225</v>
      </c>
      <c r="B5214">
        <v>105</v>
      </c>
      <c r="C5214" t="s">
        <v>557</v>
      </c>
      <c r="D5214" s="452">
        <v>45689</v>
      </c>
      <c r="E5214">
        <v>20301</v>
      </c>
      <c r="F5214" t="s">
        <v>4944</v>
      </c>
      <c r="G5214">
        <v>2223</v>
      </c>
      <c r="H5214">
        <v>16</v>
      </c>
      <c r="I5214" t="s">
        <v>4738</v>
      </c>
      <c r="J5214" t="s">
        <v>5191</v>
      </c>
      <c r="K5214" t="s">
        <v>4560</v>
      </c>
      <c r="L5214">
        <v>32.979999999999997</v>
      </c>
      <c r="M5214" s="452">
        <v>45677</v>
      </c>
      <c r="N5214">
        <v>32.979999999999997</v>
      </c>
      <c r="O5214">
        <v>31.12</v>
      </c>
      <c r="P5214">
        <v>527.67999999999995</v>
      </c>
    </row>
    <row r="5215" spans="1:16" x14ac:dyDescent="0.3">
      <c r="A5215">
        <v>18469</v>
      </c>
      <c r="B5215">
        <v>105</v>
      </c>
      <c r="C5215" t="s">
        <v>557</v>
      </c>
      <c r="D5215" s="452">
        <v>45689</v>
      </c>
      <c r="E5215">
        <v>25205</v>
      </c>
      <c r="F5215" t="s">
        <v>4850</v>
      </c>
      <c r="G5215">
        <v>5944</v>
      </c>
      <c r="H5215">
        <v>15.77</v>
      </c>
      <c r="I5215" t="s">
        <v>4744</v>
      </c>
      <c r="J5215" t="s">
        <v>5191</v>
      </c>
      <c r="K5215" t="s">
        <v>4560</v>
      </c>
      <c r="L5215">
        <v>0</v>
      </c>
      <c r="M5215" s="452">
        <v>45674</v>
      </c>
      <c r="N5215">
        <v>0</v>
      </c>
      <c r="O5215">
        <v>0</v>
      </c>
      <c r="P5215">
        <v>503.16</v>
      </c>
    </row>
    <row r="5216" spans="1:16" x14ac:dyDescent="0.3">
      <c r="A5216">
        <v>17567</v>
      </c>
      <c r="B5216">
        <v>105</v>
      </c>
      <c r="C5216" t="s">
        <v>557</v>
      </c>
      <c r="D5216" s="452">
        <v>45689</v>
      </c>
      <c r="E5216">
        <v>17895</v>
      </c>
      <c r="F5216" t="s">
        <v>5086</v>
      </c>
      <c r="G5216">
        <v>3665</v>
      </c>
      <c r="H5216">
        <v>19</v>
      </c>
      <c r="I5216" t="s">
        <v>4738</v>
      </c>
      <c r="J5216" t="s">
        <v>5222</v>
      </c>
      <c r="K5216" t="s">
        <v>4560</v>
      </c>
      <c r="L5216">
        <v>26.28</v>
      </c>
      <c r="M5216" s="452">
        <v>45685</v>
      </c>
      <c r="N5216">
        <v>26.28</v>
      </c>
      <c r="O5216">
        <v>26.28</v>
      </c>
      <c r="P5216">
        <v>499.32</v>
      </c>
    </row>
    <row r="5217" spans="1:16" x14ac:dyDescent="0.3">
      <c r="A5217">
        <v>17506</v>
      </c>
      <c r="B5217">
        <v>105</v>
      </c>
      <c r="C5217" t="s">
        <v>557</v>
      </c>
      <c r="D5217" s="452">
        <v>45689</v>
      </c>
      <c r="E5217">
        <v>18475</v>
      </c>
      <c r="F5217" t="s">
        <v>4895</v>
      </c>
      <c r="G5217">
        <v>3181</v>
      </c>
      <c r="H5217">
        <v>15</v>
      </c>
      <c r="I5217" t="s">
        <v>4805</v>
      </c>
      <c r="J5217" t="s">
        <v>5222</v>
      </c>
      <c r="K5217" t="s">
        <v>4560</v>
      </c>
      <c r="L5217">
        <v>32.9</v>
      </c>
      <c r="M5217" s="452">
        <v>45672</v>
      </c>
      <c r="N5217">
        <v>32.9</v>
      </c>
      <c r="O5217">
        <v>32.9</v>
      </c>
      <c r="P5217">
        <v>493.5</v>
      </c>
    </row>
    <row r="5218" spans="1:16" x14ac:dyDescent="0.3">
      <c r="A5218">
        <v>17589</v>
      </c>
      <c r="B5218">
        <v>105</v>
      </c>
      <c r="C5218" t="s">
        <v>557</v>
      </c>
      <c r="D5218" s="452">
        <v>45689</v>
      </c>
      <c r="E5218">
        <v>17574</v>
      </c>
      <c r="F5218" t="s">
        <v>5594</v>
      </c>
      <c r="G5218">
        <v>3953</v>
      </c>
      <c r="H5218">
        <v>5</v>
      </c>
      <c r="I5218" t="s">
        <v>4736</v>
      </c>
      <c r="J5218" t="s">
        <v>5222</v>
      </c>
      <c r="K5218" t="s">
        <v>4560</v>
      </c>
      <c r="L5218">
        <v>0</v>
      </c>
      <c r="M5218" s="452">
        <v>-693593</v>
      </c>
      <c r="N5218">
        <v>0</v>
      </c>
      <c r="O5218">
        <v>0</v>
      </c>
      <c r="P5218">
        <v>479.9</v>
      </c>
    </row>
    <row r="5219" spans="1:16" x14ac:dyDescent="0.3">
      <c r="A5219">
        <v>17532</v>
      </c>
      <c r="B5219">
        <v>105</v>
      </c>
      <c r="C5219" t="s">
        <v>557</v>
      </c>
      <c r="D5219" s="452">
        <v>45689</v>
      </c>
      <c r="E5219">
        <v>18172</v>
      </c>
      <c r="F5219" t="s">
        <v>4804</v>
      </c>
      <c r="G5219">
        <v>3450</v>
      </c>
      <c r="H5219">
        <v>14</v>
      </c>
      <c r="I5219" t="s">
        <v>4805</v>
      </c>
      <c r="J5219" t="s">
        <v>5222</v>
      </c>
      <c r="K5219" t="s">
        <v>4560</v>
      </c>
      <c r="L5219">
        <v>0</v>
      </c>
      <c r="M5219" s="452">
        <v>45652</v>
      </c>
      <c r="N5219">
        <v>33.56</v>
      </c>
      <c r="O5219">
        <v>32.53</v>
      </c>
      <c r="P5219">
        <v>469.84</v>
      </c>
    </row>
    <row r="5220" spans="1:16" x14ac:dyDescent="0.3">
      <c r="A5220">
        <v>17488</v>
      </c>
      <c r="B5220">
        <v>105</v>
      </c>
      <c r="C5220" t="s">
        <v>557</v>
      </c>
      <c r="D5220" s="452">
        <v>45689</v>
      </c>
      <c r="E5220">
        <v>18571</v>
      </c>
      <c r="F5220" t="s">
        <v>5575</v>
      </c>
      <c r="G5220">
        <v>3111</v>
      </c>
      <c r="H5220">
        <v>40</v>
      </c>
      <c r="I5220" t="s">
        <v>4736</v>
      </c>
      <c r="J5220" t="s">
        <v>5222</v>
      </c>
      <c r="K5220" t="s">
        <v>4560</v>
      </c>
      <c r="L5220">
        <v>0</v>
      </c>
      <c r="M5220" s="452">
        <v>45421</v>
      </c>
      <c r="N5220">
        <v>11.73</v>
      </c>
      <c r="O5220">
        <v>11.73</v>
      </c>
      <c r="P5220">
        <v>469.2</v>
      </c>
    </row>
    <row r="5221" spans="1:16" x14ac:dyDescent="0.3">
      <c r="A5221">
        <v>17496</v>
      </c>
      <c r="B5221">
        <v>105</v>
      </c>
      <c r="C5221" t="s">
        <v>557</v>
      </c>
      <c r="D5221" s="452">
        <v>45689</v>
      </c>
      <c r="E5221">
        <v>24192</v>
      </c>
      <c r="F5221" t="s">
        <v>4772</v>
      </c>
      <c r="G5221">
        <v>3099</v>
      </c>
      <c r="H5221">
        <v>74</v>
      </c>
      <c r="I5221" t="s">
        <v>4736</v>
      </c>
      <c r="J5221" t="s">
        <v>5222</v>
      </c>
      <c r="K5221" t="s">
        <v>4560</v>
      </c>
      <c r="L5221">
        <v>6.12</v>
      </c>
      <c r="M5221" s="452">
        <v>45679</v>
      </c>
      <c r="N5221">
        <v>6.12</v>
      </c>
      <c r="O5221">
        <v>6.12</v>
      </c>
      <c r="P5221">
        <v>452.88</v>
      </c>
    </row>
    <row r="5222" spans="1:16" x14ac:dyDescent="0.3">
      <c r="A5222">
        <v>17564</v>
      </c>
      <c r="B5222">
        <v>105</v>
      </c>
      <c r="C5222" t="s">
        <v>557</v>
      </c>
      <c r="D5222" s="452">
        <v>45689</v>
      </c>
      <c r="E5222">
        <v>17903</v>
      </c>
      <c r="F5222" t="s">
        <v>5084</v>
      </c>
      <c r="G5222">
        <v>3658</v>
      </c>
      <c r="H5222">
        <v>17</v>
      </c>
      <c r="I5222" t="s">
        <v>4738</v>
      </c>
      <c r="J5222" t="s">
        <v>5222</v>
      </c>
      <c r="K5222" t="s">
        <v>4560</v>
      </c>
      <c r="L5222">
        <v>26.28</v>
      </c>
      <c r="M5222" s="452">
        <v>45685</v>
      </c>
      <c r="N5222">
        <v>26.28</v>
      </c>
      <c r="O5222">
        <v>26.28</v>
      </c>
      <c r="P5222">
        <v>446.76</v>
      </c>
    </row>
    <row r="5223" spans="1:16" x14ac:dyDescent="0.3">
      <c r="A5223">
        <v>17489</v>
      </c>
      <c r="B5223">
        <v>105</v>
      </c>
      <c r="C5223" t="s">
        <v>557</v>
      </c>
      <c r="D5223" s="452">
        <v>45689</v>
      </c>
      <c r="E5223">
        <v>24980</v>
      </c>
      <c r="F5223" t="s">
        <v>5549</v>
      </c>
      <c r="G5223">
        <v>5848</v>
      </c>
      <c r="H5223">
        <v>50</v>
      </c>
      <c r="I5223" t="s">
        <v>4736</v>
      </c>
      <c r="J5223" t="s">
        <v>5222</v>
      </c>
      <c r="K5223" t="s">
        <v>4560</v>
      </c>
      <c r="L5223">
        <v>8.7899999999999991</v>
      </c>
      <c r="M5223" s="452">
        <v>45679</v>
      </c>
      <c r="N5223">
        <v>8.7899999999999991</v>
      </c>
      <c r="O5223">
        <v>8.7899999999999991</v>
      </c>
      <c r="P5223">
        <v>439.5</v>
      </c>
    </row>
    <row r="5224" spans="1:16" x14ac:dyDescent="0.3">
      <c r="A5224">
        <v>17445</v>
      </c>
      <c r="B5224">
        <v>105</v>
      </c>
      <c r="C5224" t="s">
        <v>557</v>
      </c>
      <c r="D5224" s="452">
        <v>45689</v>
      </c>
      <c r="E5224">
        <v>25130</v>
      </c>
      <c r="F5224" t="s">
        <v>5476</v>
      </c>
      <c r="G5224">
        <v>5907</v>
      </c>
      <c r="H5224">
        <v>11.95</v>
      </c>
      <c r="I5224" t="s">
        <v>4744</v>
      </c>
      <c r="J5224" t="s">
        <v>5191</v>
      </c>
      <c r="K5224" t="s">
        <v>4560</v>
      </c>
      <c r="L5224">
        <v>0</v>
      </c>
      <c r="M5224" s="452">
        <v>-693593</v>
      </c>
      <c r="N5224">
        <v>0</v>
      </c>
      <c r="O5224">
        <v>36</v>
      </c>
      <c r="P5224">
        <v>430.2</v>
      </c>
    </row>
    <row r="5225" spans="1:16" x14ac:dyDescent="0.3">
      <c r="A5225">
        <v>17478</v>
      </c>
      <c r="B5225">
        <v>105</v>
      </c>
      <c r="C5225" t="s">
        <v>557</v>
      </c>
      <c r="D5225" s="452">
        <v>45689</v>
      </c>
      <c r="E5225">
        <v>18731</v>
      </c>
      <c r="F5225" t="s">
        <v>4832</v>
      </c>
      <c r="G5225">
        <v>3020</v>
      </c>
      <c r="H5225">
        <v>4.7699999999999996</v>
      </c>
      <c r="I5225" t="s">
        <v>4744</v>
      </c>
      <c r="J5225" t="s">
        <v>5191</v>
      </c>
      <c r="K5225" t="s">
        <v>4560</v>
      </c>
      <c r="L5225">
        <v>89.9</v>
      </c>
      <c r="M5225" s="452">
        <v>45670</v>
      </c>
      <c r="N5225">
        <v>89.9</v>
      </c>
      <c r="O5225">
        <v>55</v>
      </c>
      <c r="P5225">
        <v>428.82</v>
      </c>
    </row>
    <row r="5226" spans="1:16" x14ac:dyDescent="0.3">
      <c r="A5226">
        <v>17467</v>
      </c>
      <c r="B5226">
        <v>105</v>
      </c>
      <c r="C5226" t="s">
        <v>557</v>
      </c>
      <c r="D5226" s="452">
        <v>45689</v>
      </c>
      <c r="E5226">
        <v>18648</v>
      </c>
      <c r="F5226" t="s">
        <v>5595</v>
      </c>
      <c r="G5226">
        <v>3068</v>
      </c>
      <c r="H5226">
        <v>3.4</v>
      </c>
      <c r="I5226" t="s">
        <v>4744</v>
      </c>
      <c r="J5226" t="s">
        <v>5191</v>
      </c>
      <c r="K5226" t="s">
        <v>4560</v>
      </c>
      <c r="L5226">
        <v>0</v>
      </c>
      <c r="M5226" s="452">
        <v>45601</v>
      </c>
      <c r="N5226">
        <v>124.95</v>
      </c>
      <c r="O5226">
        <v>124.95</v>
      </c>
      <c r="P5226">
        <v>424.83</v>
      </c>
    </row>
    <row r="5227" spans="1:16" x14ac:dyDescent="0.3">
      <c r="A5227">
        <v>17434</v>
      </c>
      <c r="B5227">
        <v>105</v>
      </c>
      <c r="C5227" t="s">
        <v>557</v>
      </c>
      <c r="D5227" s="452">
        <v>45689</v>
      </c>
      <c r="E5227">
        <v>19322</v>
      </c>
      <c r="F5227" t="s">
        <v>4830</v>
      </c>
      <c r="G5227">
        <v>2773</v>
      </c>
      <c r="H5227">
        <v>9.3699999999999992</v>
      </c>
      <c r="I5227" t="s">
        <v>4744</v>
      </c>
      <c r="J5227" t="s">
        <v>5191</v>
      </c>
      <c r="K5227" t="s">
        <v>4560</v>
      </c>
      <c r="L5227">
        <v>44.5</v>
      </c>
      <c r="M5227" s="452">
        <v>45678</v>
      </c>
      <c r="N5227">
        <v>44.5</v>
      </c>
      <c r="O5227">
        <v>49.9</v>
      </c>
      <c r="P5227">
        <v>416.96</v>
      </c>
    </row>
    <row r="5228" spans="1:16" x14ac:dyDescent="0.3">
      <c r="A5228">
        <v>17380</v>
      </c>
      <c r="B5228">
        <v>105</v>
      </c>
      <c r="C5228" t="s">
        <v>557</v>
      </c>
      <c r="D5228" s="452">
        <v>45689</v>
      </c>
      <c r="E5228">
        <v>19756</v>
      </c>
      <c r="F5228" t="s">
        <v>4754</v>
      </c>
      <c r="G5228">
        <v>2497</v>
      </c>
      <c r="H5228">
        <v>75.010000000000005</v>
      </c>
      <c r="I5228" t="s">
        <v>4744</v>
      </c>
      <c r="J5228" t="s">
        <v>5191</v>
      </c>
      <c r="K5228" t="s">
        <v>4560</v>
      </c>
      <c r="L5228">
        <v>5.44</v>
      </c>
      <c r="M5228" s="452">
        <v>45688</v>
      </c>
      <c r="N5228">
        <v>5.66</v>
      </c>
      <c r="O5228">
        <v>5.35</v>
      </c>
      <c r="P5228">
        <v>408.05</v>
      </c>
    </row>
    <row r="5229" spans="1:16" x14ac:dyDescent="0.3">
      <c r="A5229">
        <v>17354</v>
      </c>
      <c r="B5229">
        <v>105</v>
      </c>
      <c r="C5229" t="s">
        <v>557</v>
      </c>
      <c r="D5229" s="452">
        <v>45689</v>
      </c>
      <c r="E5229">
        <v>23268</v>
      </c>
      <c r="F5229" t="s">
        <v>4743</v>
      </c>
      <c r="G5229">
        <v>2592</v>
      </c>
      <c r="H5229">
        <v>79.95</v>
      </c>
      <c r="I5229" t="s">
        <v>4744</v>
      </c>
      <c r="J5229" t="s">
        <v>5191</v>
      </c>
      <c r="K5229" t="s">
        <v>4560</v>
      </c>
      <c r="L5229">
        <v>5.0199999999999996</v>
      </c>
      <c r="M5229" s="452">
        <v>45681</v>
      </c>
      <c r="N5229">
        <v>4.42</v>
      </c>
      <c r="O5229">
        <v>4.16</v>
      </c>
      <c r="P5229">
        <v>401.35</v>
      </c>
    </row>
    <row r="5230" spans="1:16" x14ac:dyDescent="0.3">
      <c r="A5230">
        <v>17526</v>
      </c>
      <c r="B5230">
        <v>105</v>
      </c>
      <c r="C5230" t="s">
        <v>557</v>
      </c>
      <c r="D5230" s="452">
        <v>45689</v>
      </c>
      <c r="E5230">
        <v>18220</v>
      </c>
      <c r="F5230" t="s">
        <v>5147</v>
      </c>
      <c r="G5230">
        <v>3408</v>
      </c>
      <c r="H5230">
        <v>2</v>
      </c>
      <c r="I5230" t="s">
        <v>4805</v>
      </c>
      <c r="J5230" t="s">
        <v>5222</v>
      </c>
      <c r="K5230" t="s">
        <v>4560</v>
      </c>
      <c r="L5230">
        <v>0</v>
      </c>
      <c r="M5230" s="452">
        <v>45436</v>
      </c>
      <c r="N5230">
        <v>190.7</v>
      </c>
      <c r="O5230">
        <v>115.9</v>
      </c>
      <c r="P5230">
        <v>381.4</v>
      </c>
    </row>
    <row r="5231" spans="1:16" x14ac:dyDescent="0.3">
      <c r="A5231">
        <v>17533</v>
      </c>
      <c r="B5231">
        <v>105</v>
      </c>
      <c r="C5231" t="s">
        <v>557</v>
      </c>
      <c r="D5231" s="452">
        <v>45689</v>
      </c>
      <c r="E5231">
        <v>18157</v>
      </c>
      <c r="F5231" t="s">
        <v>5041</v>
      </c>
      <c r="G5231">
        <v>3463</v>
      </c>
      <c r="H5231">
        <v>1.8</v>
      </c>
      <c r="I5231" t="s">
        <v>4805</v>
      </c>
      <c r="J5231" t="s">
        <v>5222</v>
      </c>
      <c r="K5231" t="s">
        <v>4560</v>
      </c>
      <c r="L5231">
        <v>205.61</v>
      </c>
      <c r="M5231" s="452">
        <v>45672</v>
      </c>
      <c r="N5231">
        <v>205.61</v>
      </c>
      <c r="O5231">
        <v>205.61</v>
      </c>
      <c r="P5231">
        <v>370.1</v>
      </c>
    </row>
    <row r="5232" spans="1:16" x14ac:dyDescent="0.3">
      <c r="A5232">
        <v>17228</v>
      </c>
      <c r="B5232">
        <v>105</v>
      </c>
      <c r="C5232" t="s">
        <v>557</v>
      </c>
      <c r="D5232" s="452">
        <v>45689</v>
      </c>
      <c r="E5232">
        <v>21054</v>
      </c>
      <c r="F5232" t="s">
        <v>5492</v>
      </c>
      <c r="G5232">
        <v>1999</v>
      </c>
      <c r="H5232">
        <v>2</v>
      </c>
      <c r="I5232" t="s">
        <v>4736</v>
      </c>
      <c r="J5232" t="s">
        <v>5191</v>
      </c>
      <c r="K5232" t="s">
        <v>4560</v>
      </c>
      <c r="L5232">
        <v>184.9</v>
      </c>
      <c r="M5232" s="452">
        <v>45678</v>
      </c>
      <c r="N5232">
        <v>184.9</v>
      </c>
      <c r="O5232">
        <v>184.9</v>
      </c>
      <c r="P5232">
        <v>369.8</v>
      </c>
    </row>
    <row r="5233" spans="1:16" x14ac:dyDescent="0.3">
      <c r="A5233">
        <v>18468</v>
      </c>
      <c r="B5233">
        <v>105</v>
      </c>
      <c r="C5233" t="s">
        <v>557</v>
      </c>
      <c r="D5233" s="452">
        <v>45689</v>
      </c>
      <c r="E5233">
        <v>19161</v>
      </c>
      <c r="F5233" t="s">
        <v>5558</v>
      </c>
      <c r="G5233">
        <v>2830</v>
      </c>
      <c r="H5233">
        <v>158</v>
      </c>
      <c r="I5233" t="s">
        <v>4736</v>
      </c>
      <c r="J5233" t="s">
        <v>5191</v>
      </c>
      <c r="K5233" t="s">
        <v>4560</v>
      </c>
      <c r="L5233">
        <v>0</v>
      </c>
      <c r="M5233" s="452">
        <v>-693593</v>
      </c>
      <c r="N5233">
        <v>0</v>
      </c>
      <c r="O5233">
        <v>0</v>
      </c>
      <c r="P5233">
        <v>341.28</v>
      </c>
    </row>
    <row r="5234" spans="1:16" x14ac:dyDescent="0.3">
      <c r="A5234">
        <v>17495</v>
      </c>
      <c r="B5234">
        <v>105</v>
      </c>
      <c r="C5234" t="s">
        <v>557</v>
      </c>
      <c r="D5234" s="452">
        <v>45689</v>
      </c>
      <c r="E5234">
        <v>22636</v>
      </c>
      <c r="F5234" t="s">
        <v>4761</v>
      </c>
      <c r="G5234">
        <v>3099</v>
      </c>
      <c r="H5234">
        <v>63</v>
      </c>
      <c r="I5234" t="s">
        <v>4736</v>
      </c>
      <c r="J5234" t="s">
        <v>5222</v>
      </c>
      <c r="K5234" t="s">
        <v>4560</v>
      </c>
      <c r="L5234">
        <v>5.3</v>
      </c>
      <c r="M5234" s="452">
        <v>45671</v>
      </c>
      <c r="N5234">
        <v>5.3</v>
      </c>
      <c r="O5234">
        <v>5.0199999999999996</v>
      </c>
      <c r="P5234">
        <v>333.9</v>
      </c>
    </row>
    <row r="5235" spans="1:16" x14ac:dyDescent="0.3">
      <c r="A5235">
        <v>17553</v>
      </c>
      <c r="B5235">
        <v>105</v>
      </c>
      <c r="C5235" t="s">
        <v>557</v>
      </c>
      <c r="D5235" s="452">
        <v>45689</v>
      </c>
      <c r="E5235">
        <v>17958</v>
      </c>
      <c r="F5235" t="s">
        <v>5076</v>
      </c>
      <c r="G5235">
        <v>3622</v>
      </c>
      <c r="H5235">
        <v>21</v>
      </c>
      <c r="I5235" t="s">
        <v>4738</v>
      </c>
      <c r="J5235" t="s">
        <v>5222</v>
      </c>
      <c r="K5235" t="s">
        <v>4560</v>
      </c>
      <c r="L5235">
        <v>15.9</v>
      </c>
      <c r="M5235" s="452">
        <v>45688</v>
      </c>
      <c r="N5235">
        <v>15.9</v>
      </c>
      <c r="O5235">
        <v>15.9</v>
      </c>
      <c r="P5235">
        <v>333.9</v>
      </c>
    </row>
    <row r="5236" spans="1:16" x14ac:dyDescent="0.3">
      <c r="A5236">
        <v>17576</v>
      </c>
      <c r="B5236">
        <v>105</v>
      </c>
      <c r="C5236" t="s">
        <v>557</v>
      </c>
      <c r="D5236" s="452">
        <v>45689</v>
      </c>
      <c r="E5236">
        <v>26036</v>
      </c>
      <c r="F5236" t="s">
        <v>4841</v>
      </c>
      <c r="G5236">
        <v>6505</v>
      </c>
      <c r="H5236">
        <v>5</v>
      </c>
      <c r="I5236" t="s">
        <v>4805</v>
      </c>
      <c r="J5236" t="s">
        <v>5222</v>
      </c>
      <c r="K5236" t="s">
        <v>4560</v>
      </c>
      <c r="L5236">
        <v>0</v>
      </c>
      <c r="M5236" s="452">
        <v>45638</v>
      </c>
      <c r="N5236">
        <v>66.36</v>
      </c>
      <c r="O5236">
        <v>66.36</v>
      </c>
      <c r="P5236">
        <v>331.8</v>
      </c>
    </row>
    <row r="5237" spans="1:16" x14ac:dyDescent="0.3">
      <c r="A5237">
        <v>17574</v>
      </c>
      <c r="B5237">
        <v>105</v>
      </c>
      <c r="C5237" t="s">
        <v>557</v>
      </c>
      <c r="D5237" s="452">
        <v>45689</v>
      </c>
      <c r="E5237">
        <v>17790</v>
      </c>
      <c r="F5237" t="s">
        <v>5530</v>
      </c>
      <c r="G5237">
        <v>3754</v>
      </c>
      <c r="H5237">
        <v>4</v>
      </c>
      <c r="I5237" t="s">
        <v>4805</v>
      </c>
      <c r="J5237" t="s">
        <v>5222</v>
      </c>
      <c r="K5237" t="s">
        <v>4560</v>
      </c>
      <c r="L5237">
        <v>81.34</v>
      </c>
      <c r="M5237" s="452">
        <v>45672</v>
      </c>
      <c r="N5237">
        <v>81.34</v>
      </c>
      <c r="O5237">
        <v>74.510000000000005</v>
      </c>
      <c r="P5237">
        <v>325.36</v>
      </c>
    </row>
    <row r="5238" spans="1:16" x14ac:dyDescent="0.3">
      <c r="A5238">
        <v>17466</v>
      </c>
      <c r="B5238">
        <v>105</v>
      </c>
      <c r="C5238" t="s">
        <v>557</v>
      </c>
      <c r="D5238" s="452">
        <v>45689</v>
      </c>
      <c r="E5238">
        <v>22896</v>
      </c>
      <c r="F5238" t="s">
        <v>4901</v>
      </c>
      <c r="G5238">
        <v>2896</v>
      </c>
      <c r="H5238">
        <v>11.4</v>
      </c>
      <c r="I5238" t="s">
        <v>4744</v>
      </c>
      <c r="J5238" t="s">
        <v>5191</v>
      </c>
      <c r="K5238" t="s">
        <v>4560</v>
      </c>
      <c r="L5238">
        <v>28.06</v>
      </c>
      <c r="M5238" s="452">
        <v>45685</v>
      </c>
      <c r="N5238">
        <v>13.5</v>
      </c>
      <c r="O5238">
        <v>13.5</v>
      </c>
      <c r="P5238">
        <v>319.88</v>
      </c>
    </row>
    <row r="5239" spans="1:16" x14ac:dyDescent="0.3">
      <c r="A5239">
        <v>17427</v>
      </c>
      <c r="B5239">
        <v>105</v>
      </c>
      <c r="C5239" t="s">
        <v>557</v>
      </c>
      <c r="D5239" s="452">
        <v>45689</v>
      </c>
      <c r="E5239">
        <v>19224</v>
      </c>
      <c r="F5239" t="s">
        <v>5100</v>
      </c>
      <c r="G5239">
        <v>5850</v>
      </c>
      <c r="H5239">
        <v>1.38</v>
      </c>
      <c r="I5239" t="s">
        <v>4736</v>
      </c>
      <c r="J5239" t="s">
        <v>5191</v>
      </c>
      <c r="K5239" t="s">
        <v>4560</v>
      </c>
      <c r="L5239">
        <v>229.9</v>
      </c>
      <c r="M5239" s="452">
        <v>45678</v>
      </c>
      <c r="N5239">
        <v>229.9</v>
      </c>
      <c r="O5239">
        <v>229.9</v>
      </c>
      <c r="P5239">
        <v>317.26</v>
      </c>
    </row>
    <row r="5240" spans="1:16" x14ac:dyDescent="0.3">
      <c r="A5240">
        <v>17525</v>
      </c>
      <c r="B5240">
        <v>105</v>
      </c>
      <c r="C5240" t="s">
        <v>557</v>
      </c>
      <c r="D5240" s="452">
        <v>45689</v>
      </c>
      <c r="E5240">
        <v>18232</v>
      </c>
      <c r="F5240" t="s">
        <v>4971</v>
      </c>
      <c r="G5240">
        <v>3396</v>
      </c>
      <c r="H5240">
        <v>3</v>
      </c>
      <c r="I5240" t="s">
        <v>4805</v>
      </c>
      <c r="J5240" t="s">
        <v>5222</v>
      </c>
      <c r="K5240" t="s">
        <v>4560</v>
      </c>
      <c r="L5240">
        <v>0</v>
      </c>
      <c r="M5240" s="452">
        <v>45652</v>
      </c>
      <c r="N5240">
        <v>100.88</v>
      </c>
      <c r="O5240">
        <v>100.88</v>
      </c>
      <c r="P5240">
        <v>302.64</v>
      </c>
    </row>
    <row r="5241" spans="1:16" x14ac:dyDescent="0.3">
      <c r="A5241">
        <v>17457</v>
      </c>
      <c r="B5241">
        <v>105</v>
      </c>
      <c r="C5241" t="s">
        <v>557</v>
      </c>
      <c r="D5241" s="452">
        <v>45689</v>
      </c>
      <c r="E5241">
        <v>19041</v>
      </c>
      <c r="F5241" t="s">
        <v>4762</v>
      </c>
      <c r="G5241">
        <v>2890</v>
      </c>
      <c r="H5241">
        <v>16.899999999999999</v>
      </c>
      <c r="I5241" t="s">
        <v>4744</v>
      </c>
      <c r="J5241" t="s">
        <v>5191</v>
      </c>
      <c r="K5241" t="s">
        <v>4560</v>
      </c>
      <c r="L5241">
        <v>0</v>
      </c>
      <c r="M5241" s="452">
        <v>45624</v>
      </c>
      <c r="N5241">
        <v>17.3</v>
      </c>
      <c r="O5241">
        <v>9.89</v>
      </c>
      <c r="P5241">
        <v>292.37</v>
      </c>
    </row>
    <row r="5242" spans="1:16" x14ac:dyDescent="0.3">
      <c r="A5242">
        <v>17452</v>
      </c>
      <c r="B5242">
        <v>105</v>
      </c>
      <c r="C5242" t="s">
        <v>557</v>
      </c>
      <c r="D5242" s="452">
        <v>45689</v>
      </c>
      <c r="E5242">
        <v>22910</v>
      </c>
      <c r="F5242" t="s">
        <v>4846</v>
      </c>
      <c r="G5242">
        <v>2889</v>
      </c>
      <c r="H5242">
        <v>8.3000000000000007</v>
      </c>
      <c r="I5242" t="s">
        <v>4744</v>
      </c>
      <c r="J5242" t="s">
        <v>5191</v>
      </c>
      <c r="K5242" t="s">
        <v>4560</v>
      </c>
      <c r="L5242">
        <v>34.9</v>
      </c>
      <c r="M5242" s="452">
        <v>45674</v>
      </c>
      <c r="N5242">
        <v>34.9</v>
      </c>
      <c r="O5242">
        <v>27.99</v>
      </c>
      <c r="P5242">
        <v>289.67</v>
      </c>
    </row>
    <row r="5243" spans="1:16" x14ac:dyDescent="0.3">
      <c r="A5243">
        <v>17227</v>
      </c>
      <c r="B5243">
        <v>105</v>
      </c>
      <c r="C5243" t="s">
        <v>557</v>
      </c>
      <c r="D5243" s="452">
        <v>45689</v>
      </c>
      <c r="E5243">
        <v>21047</v>
      </c>
      <c r="F5243" t="s">
        <v>4847</v>
      </c>
      <c r="G5243">
        <v>1999</v>
      </c>
      <c r="H5243">
        <v>1.6</v>
      </c>
      <c r="I5243" t="s">
        <v>4848</v>
      </c>
      <c r="J5243" t="s">
        <v>5191</v>
      </c>
      <c r="K5243" t="s">
        <v>4560</v>
      </c>
      <c r="L5243">
        <v>0</v>
      </c>
      <c r="M5243" s="452">
        <v>45554</v>
      </c>
      <c r="N5243">
        <v>175.9</v>
      </c>
      <c r="O5243">
        <v>183.09</v>
      </c>
      <c r="P5243">
        <v>281.44</v>
      </c>
    </row>
    <row r="5244" spans="1:16" x14ac:dyDescent="0.3">
      <c r="A5244">
        <v>17430</v>
      </c>
      <c r="B5244">
        <v>105</v>
      </c>
      <c r="C5244" t="s">
        <v>557</v>
      </c>
      <c r="D5244" s="452">
        <v>45689</v>
      </c>
      <c r="E5244">
        <v>24434</v>
      </c>
      <c r="F5244" t="s">
        <v>5574</v>
      </c>
      <c r="G5244">
        <v>2789</v>
      </c>
      <c r="H5244">
        <v>3.57</v>
      </c>
      <c r="I5244" t="s">
        <v>4744</v>
      </c>
      <c r="J5244" t="s">
        <v>5191</v>
      </c>
      <c r="K5244" t="s">
        <v>4560</v>
      </c>
      <c r="L5244">
        <v>0</v>
      </c>
      <c r="M5244" s="452">
        <v>45539</v>
      </c>
      <c r="N5244">
        <v>78.5</v>
      </c>
      <c r="O5244">
        <v>78.5</v>
      </c>
      <c r="P5244">
        <v>280.24</v>
      </c>
    </row>
    <row r="5245" spans="1:16" x14ac:dyDescent="0.3">
      <c r="A5245">
        <v>17505</v>
      </c>
      <c r="B5245">
        <v>105</v>
      </c>
      <c r="C5245" t="s">
        <v>557</v>
      </c>
      <c r="D5245" s="452">
        <v>45689</v>
      </c>
      <c r="E5245">
        <v>18491</v>
      </c>
      <c r="F5245" t="s">
        <v>4839</v>
      </c>
      <c r="G5245">
        <v>3166</v>
      </c>
      <c r="H5245">
        <v>7.8</v>
      </c>
      <c r="I5245" t="s">
        <v>4805</v>
      </c>
      <c r="J5245" t="s">
        <v>5222</v>
      </c>
      <c r="K5245" t="s">
        <v>4560</v>
      </c>
      <c r="L5245">
        <v>0</v>
      </c>
      <c r="M5245" s="452">
        <v>45555</v>
      </c>
      <c r="N5245">
        <v>35.9</v>
      </c>
      <c r="O5245">
        <v>35.9</v>
      </c>
      <c r="P5245">
        <v>280.02</v>
      </c>
    </row>
    <row r="5246" spans="1:16" x14ac:dyDescent="0.3">
      <c r="A5246">
        <v>17509</v>
      </c>
      <c r="B5246">
        <v>105</v>
      </c>
      <c r="C5246" t="s">
        <v>557</v>
      </c>
      <c r="D5246" s="452">
        <v>45689</v>
      </c>
      <c r="E5246">
        <v>18394</v>
      </c>
      <c r="F5246" t="s">
        <v>5032</v>
      </c>
      <c r="G5246">
        <v>3246</v>
      </c>
      <c r="H5246">
        <v>1.53</v>
      </c>
      <c r="I5246" t="s">
        <v>4805</v>
      </c>
      <c r="J5246" t="s">
        <v>5222</v>
      </c>
      <c r="K5246" t="s">
        <v>4560</v>
      </c>
      <c r="L5246">
        <v>0</v>
      </c>
      <c r="M5246" s="452">
        <v>45589</v>
      </c>
      <c r="N5246">
        <v>182</v>
      </c>
      <c r="O5246">
        <v>146.9</v>
      </c>
      <c r="P5246">
        <v>278.45999999999998</v>
      </c>
    </row>
    <row r="5247" spans="1:16" x14ac:dyDescent="0.3">
      <c r="A5247">
        <v>17536</v>
      </c>
      <c r="B5247">
        <v>105</v>
      </c>
      <c r="C5247" t="s">
        <v>557</v>
      </c>
      <c r="D5247" s="452">
        <v>45689</v>
      </c>
      <c r="E5247">
        <v>18119</v>
      </c>
      <c r="F5247" t="s">
        <v>5044</v>
      </c>
      <c r="G5247">
        <v>3494</v>
      </c>
      <c r="H5247">
        <v>1.6</v>
      </c>
      <c r="I5247" t="s">
        <v>4805</v>
      </c>
      <c r="J5247" t="s">
        <v>5222</v>
      </c>
      <c r="K5247" t="s">
        <v>4560</v>
      </c>
      <c r="L5247">
        <v>172.8</v>
      </c>
      <c r="M5247" s="452">
        <v>45686</v>
      </c>
      <c r="N5247">
        <v>172.8</v>
      </c>
      <c r="O5247">
        <v>172.85</v>
      </c>
      <c r="P5247">
        <v>276.48</v>
      </c>
    </row>
    <row r="5248" spans="1:16" x14ac:dyDescent="0.3">
      <c r="A5248">
        <v>17456</v>
      </c>
      <c r="B5248">
        <v>105</v>
      </c>
      <c r="C5248" t="s">
        <v>557</v>
      </c>
      <c r="D5248" s="452">
        <v>45689</v>
      </c>
      <c r="E5248">
        <v>24199</v>
      </c>
      <c r="F5248" t="s">
        <v>4783</v>
      </c>
      <c r="G5248">
        <v>5084</v>
      </c>
      <c r="H5248">
        <v>7.88</v>
      </c>
      <c r="I5248" t="s">
        <v>4744</v>
      </c>
      <c r="J5248" t="s">
        <v>5191</v>
      </c>
      <c r="K5248" t="s">
        <v>4560</v>
      </c>
      <c r="L5248">
        <v>0</v>
      </c>
      <c r="M5248" s="452">
        <v>45540</v>
      </c>
      <c r="N5248">
        <v>34.9</v>
      </c>
      <c r="O5248">
        <v>24.8</v>
      </c>
      <c r="P5248">
        <v>275.01</v>
      </c>
    </row>
    <row r="5249" spans="1:16" x14ac:dyDescent="0.3">
      <c r="A5249">
        <v>17499</v>
      </c>
      <c r="B5249">
        <v>105</v>
      </c>
      <c r="C5249" t="s">
        <v>557</v>
      </c>
      <c r="D5249" s="452">
        <v>45689</v>
      </c>
      <c r="E5249">
        <v>18547</v>
      </c>
      <c r="F5249" t="s">
        <v>4863</v>
      </c>
      <c r="G5249">
        <v>3132</v>
      </c>
      <c r="H5249">
        <v>7</v>
      </c>
      <c r="I5249" t="s">
        <v>4805</v>
      </c>
      <c r="J5249" t="s">
        <v>5222</v>
      </c>
      <c r="K5249" t="s">
        <v>4560</v>
      </c>
      <c r="L5249">
        <v>0</v>
      </c>
      <c r="M5249" s="452">
        <v>45644</v>
      </c>
      <c r="N5249">
        <v>38.9</v>
      </c>
      <c r="O5249">
        <v>38.19</v>
      </c>
      <c r="P5249">
        <v>272.3</v>
      </c>
    </row>
    <row r="5250" spans="1:16" x14ac:dyDescent="0.3">
      <c r="A5250">
        <v>17540</v>
      </c>
      <c r="B5250">
        <v>105</v>
      </c>
      <c r="C5250" t="s">
        <v>557</v>
      </c>
      <c r="D5250" s="452">
        <v>45689</v>
      </c>
      <c r="E5250">
        <v>22223</v>
      </c>
      <c r="F5250" t="s">
        <v>5437</v>
      </c>
      <c r="G5250">
        <v>3498</v>
      </c>
      <c r="H5250">
        <v>1</v>
      </c>
      <c r="I5250" t="s">
        <v>4955</v>
      </c>
      <c r="J5250" t="s">
        <v>5222</v>
      </c>
      <c r="K5250" t="s">
        <v>4560</v>
      </c>
      <c r="L5250">
        <v>269.89999999999998</v>
      </c>
      <c r="M5250" s="452">
        <v>45672</v>
      </c>
      <c r="N5250">
        <v>269.89999999999998</v>
      </c>
      <c r="O5250">
        <v>269.89999999999998</v>
      </c>
      <c r="P5250">
        <v>269.89999999999998</v>
      </c>
    </row>
    <row r="5251" spans="1:16" x14ac:dyDescent="0.3">
      <c r="A5251">
        <v>17556</v>
      </c>
      <c r="B5251">
        <v>105</v>
      </c>
      <c r="C5251" t="s">
        <v>557</v>
      </c>
      <c r="D5251" s="452">
        <v>45689</v>
      </c>
      <c r="E5251">
        <v>17996</v>
      </c>
      <c r="F5251" t="s">
        <v>4765</v>
      </c>
      <c r="G5251">
        <v>3600</v>
      </c>
      <c r="H5251">
        <v>2</v>
      </c>
      <c r="I5251" t="s">
        <v>4738</v>
      </c>
      <c r="J5251" t="s">
        <v>5222</v>
      </c>
      <c r="K5251" t="s">
        <v>4560</v>
      </c>
      <c r="L5251">
        <v>0</v>
      </c>
      <c r="M5251" s="452">
        <v>45653</v>
      </c>
      <c r="N5251">
        <v>0</v>
      </c>
      <c r="O5251">
        <v>2.19</v>
      </c>
      <c r="P5251">
        <v>262.8</v>
      </c>
    </row>
    <row r="5252" spans="1:16" x14ac:dyDescent="0.3">
      <c r="A5252">
        <v>17569</v>
      </c>
      <c r="B5252">
        <v>105</v>
      </c>
      <c r="C5252" t="s">
        <v>557</v>
      </c>
      <c r="D5252" s="452">
        <v>45689</v>
      </c>
      <c r="E5252">
        <v>17886</v>
      </c>
      <c r="F5252" t="s">
        <v>5083</v>
      </c>
      <c r="G5252">
        <v>3670</v>
      </c>
      <c r="H5252">
        <v>10</v>
      </c>
      <c r="I5252" t="s">
        <v>4738</v>
      </c>
      <c r="J5252" t="s">
        <v>5222</v>
      </c>
      <c r="K5252" t="s">
        <v>4560</v>
      </c>
      <c r="L5252">
        <v>26.28</v>
      </c>
      <c r="M5252" s="452">
        <v>45685</v>
      </c>
      <c r="N5252">
        <v>26.28</v>
      </c>
      <c r="O5252">
        <v>26.28</v>
      </c>
      <c r="P5252">
        <v>262.8</v>
      </c>
    </row>
    <row r="5253" spans="1:16" x14ac:dyDescent="0.3">
      <c r="A5253">
        <v>17418</v>
      </c>
      <c r="B5253">
        <v>105</v>
      </c>
      <c r="C5253" t="s">
        <v>557</v>
      </c>
      <c r="D5253" s="452">
        <v>45689</v>
      </c>
      <c r="E5253">
        <v>23179</v>
      </c>
      <c r="F5253" t="s">
        <v>5577</v>
      </c>
      <c r="G5253">
        <v>2675</v>
      </c>
      <c r="H5253">
        <v>43.1</v>
      </c>
      <c r="I5253" t="s">
        <v>4744</v>
      </c>
      <c r="J5253" t="s">
        <v>5191</v>
      </c>
      <c r="K5253" t="s">
        <v>4560</v>
      </c>
      <c r="L5253">
        <v>6.03</v>
      </c>
      <c r="M5253" s="452">
        <v>45684</v>
      </c>
      <c r="N5253">
        <v>6</v>
      </c>
      <c r="O5253">
        <v>2.02</v>
      </c>
      <c r="P5253">
        <v>259.89</v>
      </c>
    </row>
    <row r="5254" spans="1:16" x14ac:dyDescent="0.3">
      <c r="A5254">
        <v>17561</v>
      </c>
      <c r="B5254">
        <v>105</v>
      </c>
      <c r="C5254" t="s">
        <v>557</v>
      </c>
      <c r="D5254" s="452">
        <v>45689</v>
      </c>
      <c r="E5254">
        <v>24226</v>
      </c>
      <c r="F5254" t="s">
        <v>4795</v>
      </c>
      <c r="G5254">
        <v>3647</v>
      </c>
      <c r="H5254">
        <v>38</v>
      </c>
      <c r="I5254" t="s">
        <v>4736</v>
      </c>
      <c r="J5254" t="s">
        <v>5222</v>
      </c>
      <c r="K5254" t="s">
        <v>4560</v>
      </c>
      <c r="L5254">
        <v>0</v>
      </c>
      <c r="M5254" s="452">
        <v>45532</v>
      </c>
      <c r="N5254">
        <v>6.42</v>
      </c>
      <c r="O5254">
        <v>6.82</v>
      </c>
      <c r="P5254">
        <v>243.96</v>
      </c>
    </row>
    <row r="5255" spans="1:16" x14ac:dyDescent="0.3">
      <c r="A5255">
        <v>17233</v>
      </c>
      <c r="B5255">
        <v>105</v>
      </c>
      <c r="C5255" t="s">
        <v>557</v>
      </c>
      <c r="D5255" s="452">
        <v>45689</v>
      </c>
      <c r="E5255">
        <v>20809</v>
      </c>
      <c r="F5255" t="s">
        <v>4822</v>
      </c>
      <c r="G5255">
        <v>2074</v>
      </c>
      <c r="H5255">
        <v>10</v>
      </c>
      <c r="I5255" t="s">
        <v>4738</v>
      </c>
      <c r="J5255" t="s">
        <v>5191</v>
      </c>
      <c r="K5255" t="s">
        <v>4560</v>
      </c>
      <c r="L5255">
        <v>0</v>
      </c>
      <c r="M5255" s="452">
        <v>45653</v>
      </c>
      <c r="N5255">
        <v>24.21</v>
      </c>
      <c r="O5255">
        <v>27.7</v>
      </c>
      <c r="P5255">
        <v>242.1</v>
      </c>
    </row>
    <row r="5256" spans="1:16" x14ac:dyDescent="0.3">
      <c r="A5256">
        <v>17548</v>
      </c>
      <c r="B5256">
        <v>105</v>
      </c>
      <c r="C5256" t="s">
        <v>557</v>
      </c>
      <c r="D5256" s="452">
        <v>45689</v>
      </c>
      <c r="E5256">
        <v>18030</v>
      </c>
      <c r="F5256" t="s">
        <v>4840</v>
      </c>
      <c r="G5256">
        <v>3568</v>
      </c>
      <c r="H5256">
        <v>9</v>
      </c>
      <c r="I5256" t="s">
        <v>4805</v>
      </c>
      <c r="J5256" t="s">
        <v>5222</v>
      </c>
      <c r="K5256" t="s">
        <v>4560</v>
      </c>
      <c r="L5256">
        <v>26.9</v>
      </c>
      <c r="M5256" s="452">
        <v>45672</v>
      </c>
      <c r="N5256">
        <v>26.9</v>
      </c>
      <c r="O5256">
        <v>28.61</v>
      </c>
      <c r="P5256">
        <v>242.1</v>
      </c>
    </row>
    <row r="5257" spans="1:16" x14ac:dyDescent="0.3">
      <c r="A5257">
        <v>17297</v>
      </c>
      <c r="B5257">
        <v>105</v>
      </c>
      <c r="C5257" t="s">
        <v>557</v>
      </c>
      <c r="D5257" s="452">
        <v>45689</v>
      </c>
      <c r="E5257">
        <v>24351</v>
      </c>
      <c r="F5257" t="s">
        <v>5014</v>
      </c>
      <c r="G5257">
        <v>2287</v>
      </c>
      <c r="H5257">
        <v>20</v>
      </c>
      <c r="I5257" t="s">
        <v>4736</v>
      </c>
      <c r="J5257" t="s">
        <v>5191</v>
      </c>
      <c r="K5257" t="s">
        <v>4560</v>
      </c>
      <c r="L5257">
        <v>0</v>
      </c>
      <c r="M5257" s="452">
        <v>45546</v>
      </c>
      <c r="N5257">
        <v>12</v>
      </c>
      <c r="O5257">
        <v>12.19</v>
      </c>
      <c r="P5257">
        <v>240</v>
      </c>
    </row>
    <row r="5258" spans="1:16" x14ac:dyDescent="0.3">
      <c r="A5258">
        <v>17653</v>
      </c>
      <c r="B5258">
        <v>105</v>
      </c>
      <c r="C5258" t="s">
        <v>557</v>
      </c>
      <c r="D5258" s="452">
        <v>45689</v>
      </c>
      <c r="E5258">
        <v>18293</v>
      </c>
      <c r="F5258" t="s">
        <v>5034</v>
      </c>
      <c r="G5258">
        <v>3336</v>
      </c>
      <c r="H5258">
        <v>2</v>
      </c>
      <c r="I5258" t="s">
        <v>4805</v>
      </c>
      <c r="J5258" t="s">
        <v>5222</v>
      </c>
      <c r="K5258" t="s">
        <v>4560</v>
      </c>
      <c r="L5258">
        <v>0</v>
      </c>
      <c r="M5258" s="452">
        <v>45525</v>
      </c>
      <c r="N5258">
        <v>124.82</v>
      </c>
      <c r="O5258">
        <v>122.9</v>
      </c>
      <c r="P5258">
        <v>239.8</v>
      </c>
    </row>
    <row r="5259" spans="1:16" x14ac:dyDescent="0.3">
      <c r="A5259">
        <v>17577</v>
      </c>
      <c r="B5259">
        <v>105</v>
      </c>
      <c r="C5259" t="s">
        <v>557</v>
      </c>
      <c r="D5259" s="452">
        <v>45689</v>
      </c>
      <c r="E5259">
        <v>26034</v>
      </c>
      <c r="F5259" t="s">
        <v>4828</v>
      </c>
      <c r="G5259">
        <v>6504</v>
      </c>
      <c r="H5259">
        <v>5</v>
      </c>
      <c r="I5259" t="s">
        <v>4805</v>
      </c>
      <c r="J5259" t="s">
        <v>5222</v>
      </c>
      <c r="K5259" t="s">
        <v>4560</v>
      </c>
      <c r="L5259">
        <v>46.38</v>
      </c>
      <c r="M5259" s="452">
        <v>45672</v>
      </c>
      <c r="N5259">
        <v>46.38</v>
      </c>
      <c r="O5259">
        <v>46.38</v>
      </c>
      <c r="P5259">
        <v>231.9</v>
      </c>
    </row>
    <row r="5260" spans="1:16" x14ac:dyDescent="0.3">
      <c r="A5260">
        <v>17539</v>
      </c>
      <c r="B5260">
        <v>105</v>
      </c>
      <c r="C5260" t="s">
        <v>557</v>
      </c>
      <c r="D5260" s="452">
        <v>45689</v>
      </c>
      <c r="E5260">
        <v>18114</v>
      </c>
      <c r="F5260" t="s">
        <v>5046</v>
      </c>
      <c r="G5260">
        <v>3498</v>
      </c>
      <c r="H5260">
        <v>0.87</v>
      </c>
      <c r="I5260" t="s">
        <v>4805</v>
      </c>
      <c r="J5260" t="s">
        <v>5222</v>
      </c>
      <c r="K5260" t="s">
        <v>4560</v>
      </c>
      <c r="L5260">
        <v>0</v>
      </c>
      <c r="M5260" s="452">
        <v>-693593</v>
      </c>
      <c r="N5260">
        <v>0</v>
      </c>
      <c r="O5260">
        <v>235</v>
      </c>
      <c r="P5260">
        <v>227.69</v>
      </c>
    </row>
    <row r="5261" spans="1:16" x14ac:dyDescent="0.3">
      <c r="A5261">
        <v>17527</v>
      </c>
      <c r="B5261">
        <v>105</v>
      </c>
      <c r="C5261" t="s">
        <v>557</v>
      </c>
      <c r="D5261" s="452">
        <v>45689</v>
      </c>
      <c r="E5261">
        <v>18219</v>
      </c>
      <c r="F5261" t="s">
        <v>4972</v>
      </c>
      <c r="G5261">
        <v>3409</v>
      </c>
      <c r="H5261">
        <v>1.4</v>
      </c>
      <c r="I5261" t="s">
        <v>4805</v>
      </c>
      <c r="J5261" t="s">
        <v>5222</v>
      </c>
      <c r="K5261" t="s">
        <v>4560</v>
      </c>
      <c r="L5261">
        <v>0</v>
      </c>
      <c r="M5261" s="452">
        <v>45639</v>
      </c>
      <c r="N5261">
        <v>159.9</v>
      </c>
      <c r="O5261">
        <v>112.11</v>
      </c>
      <c r="P5261">
        <v>223.86</v>
      </c>
    </row>
    <row r="5262" spans="1:16" x14ac:dyDescent="0.3">
      <c r="A5262">
        <v>17290</v>
      </c>
      <c r="B5262">
        <v>105</v>
      </c>
      <c r="C5262" t="s">
        <v>557</v>
      </c>
      <c r="D5262" s="452">
        <v>45689</v>
      </c>
      <c r="E5262">
        <v>24339</v>
      </c>
      <c r="F5262" t="s">
        <v>4885</v>
      </c>
      <c r="G5262">
        <v>2153</v>
      </c>
      <c r="H5262">
        <v>8.58</v>
      </c>
      <c r="I5262" t="s">
        <v>4744</v>
      </c>
      <c r="J5262" t="s">
        <v>5191</v>
      </c>
      <c r="K5262" t="s">
        <v>4560</v>
      </c>
      <c r="L5262">
        <v>0</v>
      </c>
      <c r="M5262" s="452">
        <v>45490</v>
      </c>
      <c r="N5262">
        <v>25.9</v>
      </c>
      <c r="O5262">
        <v>28</v>
      </c>
      <c r="P5262">
        <v>222.22</v>
      </c>
    </row>
    <row r="5263" spans="1:16" x14ac:dyDescent="0.3">
      <c r="A5263">
        <v>17213</v>
      </c>
      <c r="B5263">
        <v>105</v>
      </c>
      <c r="C5263" t="s">
        <v>557</v>
      </c>
      <c r="D5263" s="452">
        <v>45689</v>
      </c>
      <c r="E5263">
        <v>21102</v>
      </c>
      <c r="F5263" t="s">
        <v>5596</v>
      </c>
      <c r="G5263">
        <v>1985</v>
      </c>
      <c r="H5263">
        <v>45</v>
      </c>
      <c r="I5263" t="s">
        <v>4738</v>
      </c>
      <c r="J5263" t="s">
        <v>5191</v>
      </c>
      <c r="K5263" t="s">
        <v>4560</v>
      </c>
      <c r="L5263">
        <v>0</v>
      </c>
      <c r="M5263" s="452">
        <v>45372</v>
      </c>
      <c r="N5263">
        <v>4.6900000000000004</v>
      </c>
      <c r="O5263">
        <v>4.6900000000000004</v>
      </c>
      <c r="P5263">
        <v>211.05</v>
      </c>
    </row>
    <row r="5264" spans="1:16" x14ac:dyDescent="0.3">
      <c r="A5264">
        <v>17562</v>
      </c>
      <c r="B5264">
        <v>105</v>
      </c>
      <c r="C5264" t="s">
        <v>557</v>
      </c>
      <c r="D5264" s="452">
        <v>45689</v>
      </c>
      <c r="E5264">
        <v>17905</v>
      </c>
      <c r="F5264" t="s">
        <v>5085</v>
      </c>
      <c r="G5264">
        <v>3656</v>
      </c>
      <c r="H5264">
        <v>8</v>
      </c>
      <c r="I5264" t="s">
        <v>4738</v>
      </c>
      <c r="J5264" t="s">
        <v>5222</v>
      </c>
      <c r="K5264" t="s">
        <v>4560</v>
      </c>
      <c r="L5264">
        <v>26.28</v>
      </c>
      <c r="M5264" s="452">
        <v>45685</v>
      </c>
      <c r="N5264">
        <v>26.28</v>
      </c>
      <c r="O5264">
        <v>26.28</v>
      </c>
      <c r="P5264">
        <v>210.24</v>
      </c>
    </row>
    <row r="5265" spans="1:16" x14ac:dyDescent="0.3">
      <c r="A5265">
        <v>17518</v>
      </c>
      <c r="B5265">
        <v>105</v>
      </c>
      <c r="C5265" t="s">
        <v>557</v>
      </c>
      <c r="D5265" s="452">
        <v>45689</v>
      </c>
      <c r="E5265">
        <v>18295</v>
      </c>
      <c r="F5265" t="s">
        <v>4968</v>
      </c>
      <c r="G5265">
        <v>3334</v>
      </c>
      <c r="H5265">
        <v>1.7</v>
      </c>
      <c r="I5265" t="s">
        <v>4805</v>
      </c>
      <c r="J5265" t="s">
        <v>5222</v>
      </c>
      <c r="K5265" t="s">
        <v>4560</v>
      </c>
      <c r="L5265">
        <v>116.87</v>
      </c>
      <c r="M5265" s="452">
        <v>45672</v>
      </c>
      <c r="N5265">
        <v>116.87</v>
      </c>
      <c r="O5265">
        <v>116.87</v>
      </c>
      <c r="P5265">
        <v>198.68</v>
      </c>
    </row>
    <row r="5266" spans="1:16" x14ac:dyDescent="0.3">
      <c r="A5266">
        <v>17535</v>
      </c>
      <c r="B5266">
        <v>105</v>
      </c>
      <c r="C5266" t="s">
        <v>557</v>
      </c>
      <c r="D5266" s="452">
        <v>45689</v>
      </c>
      <c r="E5266">
        <v>18129</v>
      </c>
      <c r="F5266" t="s">
        <v>5043</v>
      </c>
      <c r="G5266">
        <v>3486</v>
      </c>
      <c r="H5266">
        <v>1.45</v>
      </c>
      <c r="I5266" t="s">
        <v>4805</v>
      </c>
      <c r="J5266" t="s">
        <v>5222</v>
      </c>
      <c r="K5266" t="s">
        <v>4560</v>
      </c>
      <c r="L5266">
        <v>136.69</v>
      </c>
      <c r="M5266" s="452">
        <v>45672</v>
      </c>
      <c r="N5266">
        <v>136.69</v>
      </c>
      <c r="O5266">
        <v>136.69999999999999</v>
      </c>
      <c r="P5266">
        <v>198.2</v>
      </c>
    </row>
    <row r="5267" spans="1:16" x14ac:dyDescent="0.3">
      <c r="A5267">
        <v>17281</v>
      </c>
      <c r="B5267">
        <v>105</v>
      </c>
      <c r="C5267" t="s">
        <v>557</v>
      </c>
      <c r="D5267" s="452">
        <v>45689</v>
      </c>
      <c r="E5267">
        <v>20660</v>
      </c>
      <c r="F5267" t="s">
        <v>5011</v>
      </c>
      <c r="G5267">
        <v>2110</v>
      </c>
      <c r="H5267">
        <v>3</v>
      </c>
      <c r="I5267" t="s">
        <v>4955</v>
      </c>
      <c r="J5267" t="s">
        <v>5191</v>
      </c>
      <c r="K5267" t="s">
        <v>4560</v>
      </c>
      <c r="L5267">
        <v>65.95</v>
      </c>
      <c r="M5267" s="452">
        <v>45677</v>
      </c>
      <c r="N5267">
        <v>65.95</v>
      </c>
      <c r="O5267">
        <v>65.95</v>
      </c>
      <c r="P5267">
        <v>197.85</v>
      </c>
    </row>
    <row r="5268" spans="1:16" x14ac:dyDescent="0.3">
      <c r="A5268">
        <v>17502</v>
      </c>
      <c r="B5268">
        <v>105</v>
      </c>
      <c r="C5268" t="s">
        <v>557</v>
      </c>
      <c r="D5268" s="452">
        <v>45689</v>
      </c>
      <c r="E5268">
        <v>18538</v>
      </c>
      <c r="F5268" t="s">
        <v>5030</v>
      </c>
      <c r="G5268">
        <v>3139</v>
      </c>
      <c r="H5268">
        <v>2</v>
      </c>
      <c r="I5268" t="s">
        <v>4805</v>
      </c>
      <c r="J5268" t="s">
        <v>5222</v>
      </c>
      <c r="K5268" t="s">
        <v>4560</v>
      </c>
      <c r="L5268">
        <v>0</v>
      </c>
      <c r="M5268" s="452">
        <v>45653</v>
      </c>
      <c r="N5268">
        <v>98.9</v>
      </c>
      <c r="O5268">
        <v>108.32</v>
      </c>
      <c r="P5268">
        <v>197.8</v>
      </c>
    </row>
    <row r="5269" spans="1:16" x14ac:dyDescent="0.3">
      <c r="A5269">
        <v>17423</v>
      </c>
      <c r="B5269">
        <v>105</v>
      </c>
      <c r="C5269" t="s">
        <v>557</v>
      </c>
      <c r="D5269" s="452">
        <v>45689</v>
      </c>
      <c r="E5269">
        <v>19439</v>
      </c>
      <c r="F5269" t="s">
        <v>4917</v>
      </c>
      <c r="G5269">
        <v>2756</v>
      </c>
      <c r="H5269">
        <v>6</v>
      </c>
      <c r="I5269" t="s">
        <v>4744</v>
      </c>
      <c r="J5269" t="s">
        <v>5191</v>
      </c>
      <c r="K5269" t="s">
        <v>4560</v>
      </c>
      <c r="L5269">
        <v>32.799999999999997</v>
      </c>
      <c r="M5269" s="452">
        <v>45678</v>
      </c>
      <c r="N5269">
        <v>32.799999999999997</v>
      </c>
      <c r="O5269">
        <v>32.6</v>
      </c>
      <c r="P5269">
        <v>196.8</v>
      </c>
    </row>
    <row r="5270" spans="1:16" x14ac:dyDescent="0.3">
      <c r="A5270">
        <v>18478</v>
      </c>
      <c r="B5270">
        <v>105</v>
      </c>
      <c r="C5270" t="s">
        <v>557</v>
      </c>
      <c r="D5270" s="452">
        <v>45689</v>
      </c>
      <c r="E5270">
        <v>20276</v>
      </c>
      <c r="F5270" t="s">
        <v>5576</v>
      </c>
      <c r="G5270">
        <v>2231</v>
      </c>
      <c r="H5270">
        <v>7.3</v>
      </c>
      <c r="I5270" t="s">
        <v>4736</v>
      </c>
      <c r="J5270" t="s">
        <v>5191</v>
      </c>
      <c r="K5270" t="s">
        <v>4560</v>
      </c>
      <c r="L5270">
        <v>0</v>
      </c>
      <c r="M5270" s="452">
        <v>-693593</v>
      </c>
      <c r="N5270">
        <v>0</v>
      </c>
      <c r="O5270">
        <v>0</v>
      </c>
      <c r="P5270">
        <v>196.5</v>
      </c>
    </row>
    <row r="5271" spans="1:16" x14ac:dyDescent="0.3">
      <c r="A5271">
        <v>17311</v>
      </c>
      <c r="B5271">
        <v>105</v>
      </c>
      <c r="C5271" t="s">
        <v>557</v>
      </c>
      <c r="D5271" s="452">
        <v>45689</v>
      </c>
      <c r="E5271">
        <v>19964</v>
      </c>
      <c r="F5271" t="s">
        <v>4817</v>
      </c>
      <c r="G5271">
        <v>2356</v>
      </c>
      <c r="H5271">
        <v>13</v>
      </c>
      <c r="I5271" t="s">
        <v>4736</v>
      </c>
      <c r="J5271" t="s">
        <v>5191</v>
      </c>
      <c r="K5271" t="s">
        <v>4560</v>
      </c>
      <c r="L5271">
        <v>14.96</v>
      </c>
      <c r="M5271" s="452">
        <v>45677</v>
      </c>
      <c r="N5271">
        <v>14.96</v>
      </c>
      <c r="O5271">
        <v>14.96</v>
      </c>
      <c r="P5271">
        <v>194.48</v>
      </c>
    </row>
    <row r="5272" spans="1:16" x14ac:dyDescent="0.3">
      <c r="A5272">
        <v>17298</v>
      </c>
      <c r="B5272">
        <v>105</v>
      </c>
      <c r="C5272" t="s">
        <v>557</v>
      </c>
      <c r="D5272" s="452">
        <v>45689</v>
      </c>
      <c r="E5272">
        <v>20122</v>
      </c>
      <c r="F5272" t="s">
        <v>4781</v>
      </c>
      <c r="G5272">
        <v>2290</v>
      </c>
      <c r="H5272">
        <v>14</v>
      </c>
      <c r="I5272" t="s">
        <v>4738</v>
      </c>
      <c r="J5272" t="s">
        <v>5191</v>
      </c>
      <c r="K5272" t="s">
        <v>4560</v>
      </c>
      <c r="L5272">
        <v>0</v>
      </c>
      <c r="M5272" s="452">
        <v>45631</v>
      </c>
      <c r="N5272">
        <v>13.6</v>
      </c>
      <c r="O5272">
        <v>13.8</v>
      </c>
      <c r="P5272">
        <v>190.4</v>
      </c>
    </row>
    <row r="5273" spans="1:16" x14ac:dyDescent="0.3">
      <c r="A5273">
        <v>17241</v>
      </c>
      <c r="B5273">
        <v>105</v>
      </c>
      <c r="C5273" t="s">
        <v>557</v>
      </c>
      <c r="D5273" s="452">
        <v>45689</v>
      </c>
      <c r="E5273">
        <v>20044</v>
      </c>
      <c r="F5273" t="s">
        <v>4932</v>
      </c>
      <c r="G5273">
        <v>2329</v>
      </c>
      <c r="H5273">
        <v>9</v>
      </c>
      <c r="I5273" t="s">
        <v>4744</v>
      </c>
      <c r="J5273" t="s">
        <v>5191</v>
      </c>
      <c r="K5273" t="s">
        <v>4560</v>
      </c>
      <c r="L5273">
        <v>0</v>
      </c>
      <c r="M5273" s="452">
        <v>45639</v>
      </c>
      <c r="N5273">
        <v>21</v>
      </c>
      <c r="O5273">
        <v>58</v>
      </c>
      <c r="P5273">
        <v>189</v>
      </c>
    </row>
    <row r="5274" spans="1:16" x14ac:dyDescent="0.3">
      <c r="A5274">
        <v>17440</v>
      </c>
      <c r="B5274">
        <v>105</v>
      </c>
      <c r="C5274" t="s">
        <v>557</v>
      </c>
      <c r="D5274" s="452">
        <v>45689</v>
      </c>
      <c r="E5274">
        <v>18932</v>
      </c>
      <c r="F5274" t="s">
        <v>5580</v>
      </c>
      <c r="G5274">
        <v>2930</v>
      </c>
      <c r="H5274">
        <v>6.25</v>
      </c>
      <c r="I5274" t="s">
        <v>4744</v>
      </c>
      <c r="J5274" t="s">
        <v>5191</v>
      </c>
      <c r="K5274" t="s">
        <v>4560</v>
      </c>
      <c r="L5274">
        <v>0</v>
      </c>
      <c r="M5274" s="452">
        <v>45499</v>
      </c>
      <c r="N5274">
        <v>0</v>
      </c>
      <c r="O5274">
        <v>0</v>
      </c>
      <c r="P5274">
        <v>187.37</v>
      </c>
    </row>
    <row r="5275" spans="1:16" x14ac:dyDescent="0.3">
      <c r="A5275">
        <v>17513</v>
      </c>
      <c r="B5275">
        <v>105</v>
      </c>
      <c r="C5275" t="s">
        <v>557</v>
      </c>
      <c r="D5275" s="452">
        <v>45689</v>
      </c>
      <c r="E5275">
        <v>18327</v>
      </c>
      <c r="F5275" t="s">
        <v>5035</v>
      </c>
      <c r="G5275">
        <v>3306</v>
      </c>
      <c r="H5275">
        <v>1.7</v>
      </c>
      <c r="I5275" t="s">
        <v>4805</v>
      </c>
      <c r="J5275" t="s">
        <v>5222</v>
      </c>
      <c r="K5275" t="s">
        <v>4560</v>
      </c>
      <c r="L5275">
        <v>109.9</v>
      </c>
      <c r="M5275" s="452">
        <v>45672</v>
      </c>
      <c r="N5275">
        <v>109.9</v>
      </c>
      <c r="O5275">
        <v>112.9</v>
      </c>
      <c r="P5275">
        <v>186.83</v>
      </c>
    </row>
    <row r="5276" spans="1:16" x14ac:dyDescent="0.3">
      <c r="A5276">
        <v>17365</v>
      </c>
      <c r="B5276">
        <v>105</v>
      </c>
      <c r="C5276" t="s">
        <v>557</v>
      </c>
      <c r="D5276" s="452">
        <v>45689</v>
      </c>
      <c r="E5276">
        <v>19623</v>
      </c>
      <c r="F5276" t="s">
        <v>4764</v>
      </c>
      <c r="G5276">
        <v>2611</v>
      </c>
      <c r="H5276">
        <v>40.200000000000003</v>
      </c>
      <c r="I5276" t="s">
        <v>4744</v>
      </c>
      <c r="J5276" t="s">
        <v>5191</v>
      </c>
      <c r="K5276" t="s">
        <v>4560</v>
      </c>
      <c r="L5276">
        <v>4.6399999999999997</v>
      </c>
      <c r="M5276" s="452">
        <v>45688</v>
      </c>
      <c r="N5276">
        <v>4</v>
      </c>
      <c r="O5276">
        <v>4.26</v>
      </c>
      <c r="P5276">
        <v>186.53</v>
      </c>
    </row>
    <row r="5277" spans="1:16" x14ac:dyDescent="0.3">
      <c r="A5277">
        <v>17306</v>
      </c>
      <c r="B5277">
        <v>105</v>
      </c>
      <c r="C5277" t="s">
        <v>557</v>
      </c>
      <c r="D5277" s="452">
        <v>45689</v>
      </c>
      <c r="E5277">
        <v>19979</v>
      </c>
      <c r="F5277" t="s">
        <v>5270</v>
      </c>
      <c r="G5277">
        <v>2353</v>
      </c>
      <c r="H5277">
        <v>12</v>
      </c>
      <c r="I5277" t="s">
        <v>4888</v>
      </c>
      <c r="J5277" t="s">
        <v>5191</v>
      </c>
      <c r="K5277" t="s">
        <v>4560</v>
      </c>
      <c r="L5277">
        <v>0</v>
      </c>
      <c r="M5277" s="452">
        <v>45631</v>
      </c>
      <c r="N5277">
        <v>15.2</v>
      </c>
      <c r="O5277">
        <v>14.59</v>
      </c>
      <c r="P5277">
        <v>182.4</v>
      </c>
    </row>
    <row r="5278" spans="1:16" x14ac:dyDescent="0.3">
      <c r="A5278">
        <v>17483</v>
      </c>
      <c r="B5278">
        <v>105</v>
      </c>
      <c r="C5278" t="s">
        <v>557</v>
      </c>
      <c r="D5278" s="452">
        <v>45689</v>
      </c>
      <c r="E5278">
        <v>23974</v>
      </c>
      <c r="F5278" t="s">
        <v>4862</v>
      </c>
      <c r="G5278">
        <v>4163</v>
      </c>
      <c r="H5278">
        <v>4</v>
      </c>
      <c r="I5278" t="s">
        <v>4736</v>
      </c>
      <c r="J5278" t="s">
        <v>5222</v>
      </c>
      <c r="K5278" t="s">
        <v>4560</v>
      </c>
      <c r="L5278">
        <v>0</v>
      </c>
      <c r="M5278" s="452">
        <v>45617</v>
      </c>
      <c r="N5278">
        <v>45.6</v>
      </c>
      <c r="O5278">
        <v>55.12</v>
      </c>
      <c r="P5278">
        <v>182.4</v>
      </c>
    </row>
    <row r="5279" spans="1:16" x14ac:dyDescent="0.3">
      <c r="A5279">
        <v>17524</v>
      </c>
      <c r="B5279">
        <v>105</v>
      </c>
      <c r="C5279" t="s">
        <v>557</v>
      </c>
      <c r="D5279" s="452">
        <v>45689</v>
      </c>
      <c r="E5279">
        <v>18233</v>
      </c>
      <c r="F5279" t="s">
        <v>4970</v>
      </c>
      <c r="G5279">
        <v>3395</v>
      </c>
      <c r="H5279">
        <v>2</v>
      </c>
      <c r="I5279" t="s">
        <v>4805</v>
      </c>
      <c r="J5279" t="s">
        <v>5222</v>
      </c>
      <c r="K5279" t="s">
        <v>4560</v>
      </c>
      <c r="L5279">
        <v>0</v>
      </c>
      <c r="M5279" s="452">
        <v>45638</v>
      </c>
      <c r="N5279">
        <v>88.9</v>
      </c>
      <c r="O5279">
        <v>89.9</v>
      </c>
      <c r="P5279">
        <v>177.8</v>
      </c>
    </row>
    <row r="5280" spans="1:16" x14ac:dyDescent="0.3">
      <c r="A5280">
        <v>17538</v>
      </c>
      <c r="B5280">
        <v>105</v>
      </c>
      <c r="C5280" t="s">
        <v>557</v>
      </c>
      <c r="D5280" s="452">
        <v>45689</v>
      </c>
      <c r="E5280">
        <v>18117</v>
      </c>
      <c r="F5280" t="s">
        <v>5563</v>
      </c>
      <c r="G5280">
        <v>3496</v>
      </c>
      <c r="H5280">
        <v>2.13</v>
      </c>
      <c r="I5280" t="s">
        <v>4736</v>
      </c>
      <c r="J5280" t="s">
        <v>5222</v>
      </c>
      <c r="K5280" t="s">
        <v>4560</v>
      </c>
      <c r="L5280">
        <v>82.19</v>
      </c>
      <c r="M5280" s="452">
        <v>45672</v>
      </c>
      <c r="N5280">
        <v>82.19</v>
      </c>
      <c r="O5280">
        <v>82.19</v>
      </c>
      <c r="P5280">
        <v>175.06</v>
      </c>
    </row>
    <row r="5281" spans="1:16" x14ac:dyDescent="0.3">
      <c r="A5281">
        <v>18471</v>
      </c>
      <c r="B5281">
        <v>105</v>
      </c>
      <c r="C5281" t="s">
        <v>557</v>
      </c>
      <c r="D5281" s="452">
        <v>45689</v>
      </c>
      <c r="E5281">
        <v>26020</v>
      </c>
      <c r="F5281" t="s">
        <v>5102</v>
      </c>
      <c r="G5281">
        <v>2105</v>
      </c>
      <c r="H5281">
        <v>10</v>
      </c>
      <c r="I5281" t="s">
        <v>4736</v>
      </c>
      <c r="J5281" t="s">
        <v>5191</v>
      </c>
      <c r="K5281" t="s">
        <v>4560</v>
      </c>
      <c r="L5281">
        <v>0</v>
      </c>
      <c r="M5281" s="452">
        <v>-693593</v>
      </c>
      <c r="N5281">
        <v>0</v>
      </c>
      <c r="O5281">
        <v>14.28</v>
      </c>
      <c r="P5281">
        <v>170.7</v>
      </c>
    </row>
    <row r="5282" spans="1:16" x14ac:dyDescent="0.3">
      <c r="A5282">
        <v>17320</v>
      </c>
      <c r="B5282">
        <v>105</v>
      </c>
      <c r="C5282" t="s">
        <v>557</v>
      </c>
      <c r="D5282" s="452">
        <v>45689</v>
      </c>
      <c r="E5282">
        <v>20623</v>
      </c>
      <c r="F5282" t="s">
        <v>4814</v>
      </c>
      <c r="G5282">
        <v>2116</v>
      </c>
      <c r="H5282">
        <v>16.54</v>
      </c>
      <c r="I5282" t="s">
        <v>4736</v>
      </c>
      <c r="J5282" t="s">
        <v>5191</v>
      </c>
      <c r="K5282" t="s">
        <v>4560</v>
      </c>
      <c r="L5282">
        <v>10.25</v>
      </c>
      <c r="M5282" s="452">
        <v>45686</v>
      </c>
      <c r="N5282">
        <v>10.25</v>
      </c>
      <c r="O5282">
        <v>10.25</v>
      </c>
      <c r="P5282">
        <v>169.54</v>
      </c>
    </row>
    <row r="5283" spans="1:16" x14ac:dyDescent="0.3">
      <c r="A5283">
        <v>17424</v>
      </c>
      <c r="B5283">
        <v>105</v>
      </c>
      <c r="C5283" t="s">
        <v>557</v>
      </c>
      <c r="D5283" s="452">
        <v>45689</v>
      </c>
      <c r="E5283">
        <v>19353</v>
      </c>
      <c r="F5283" t="s">
        <v>4851</v>
      </c>
      <c r="G5283">
        <v>2768</v>
      </c>
      <c r="H5283">
        <v>6.6</v>
      </c>
      <c r="I5283" t="s">
        <v>4744</v>
      </c>
      <c r="J5283" t="s">
        <v>5191</v>
      </c>
      <c r="K5283" t="s">
        <v>4560</v>
      </c>
      <c r="L5283">
        <v>0</v>
      </c>
      <c r="M5283" s="452">
        <v>45633</v>
      </c>
      <c r="N5283">
        <v>24.6</v>
      </c>
      <c r="O5283">
        <v>24.6</v>
      </c>
      <c r="P5283">
        <v>162.36000000000001</v>
      </c>
    </row>
    <row r="5284" spans="1:16" x14ac:dyDescent="0.3">
      <c r="A5284">
        <v>17203</v>
      </c>
      <c r="B5284">
        <v>105</v>
      </c>
      <c r="C5284" t="s">
        <v>557</v>
      </c>
      <c r="D5284" s="452">
        <v>45689</v>
      </c>
      <c r="E5284">
        <v>25754</v>
      </c>
      <c r="F5284" t="s">
        <v>5142</v>
      </c>
      <c r="G5284">
        <v>6305</v>
      </c>
      <c r="H5284">
        <v>21</v>
      </c>
      <c r="I5284" t="s">
        <v>4736</v>
      </c>
      <c r="J5284" t="s">
        <v>5191</v>
      </c>
      <c r="K5284" t="s">
        <v>4560</v>
      </c>
      <c r="L5284">
        <v>0</v>
      </c>
      <c r="M5284" s="452">
        <v>45653</v>
      </c>
      <c r="N5284">
        <v>7.73</v>
      </c>
      <c r="O5284">
        <v>7.73</v>
      </c>
      <c r="P5284">
        <v>162.33000000000001</v>
      </c>
    </row>
    <row r="5285" spans="1:16" x14ac:dyDescent="0.3">
      <c r="A5285">
        <v>17397</v>
      </c>
      <c r="B5285">
        <v>105</v>
      </c>
      <c r="C5285" t="s">
        <v>557</v>
      </c>
      <c r="D5285" s="452">
        <v>45689</v>
      </c>
      <c r="E5285">
        <v>23095</v>
      </c>
      <c r="F5285" t="s">
        <v>4741</v>
      </c>
      <c r="G5285">
        <v>2754</v>
      </c>
      <c r="H5285">
        <v>159</v>
      </c>
      <c r="I5285" t="s">
        <v>4736</v>
      </c>
      <c r="J5285" t="s">
        <v>5191</v>
      </c>
      <c r="K5285" t="s">
        <v>4560</v>
      </c>
      <c r="L5285">
        <v>1.01</v>
      </c>
      <c r="M5285" s="452">
        <v>45688</v>
      </c>
      <c r="N5285">
        <v>0.92</v>
      </c>
      <c r="O5285">
        <v>1.33</v>
      </c>
      <c r="P5285">
        <v>160.59</v>
      </c>
    </row>
    <row r="5286" spans="1:16" x14ac:dyDescent="0.3">
      <c r="A5286">
        <v>17249</v>
      </c>
      <c r="B5286">
        <v>105</v>
      </c>
      <c r="C5286" t="s">
        <v>557</v>
      </c>
      <c r="D5286" s="452">
        <v>45689</v>
      </c>
      <c r="E5286">
        <v>20419</v>
      </c>
      <c r="F5286" t="s">
        <v>5498</v>
      </c>
      <c r="G5286">
        <v>2187</v>
      </c>
      <c r="H5286">
        <v>10</v>
      </c>
      <c r="I5286" t="s">
        <v>4738</v>
      </c>
      <c r="J5286" t="s">
        <v>5191</v>
      </c>
      <c r="K5286" t="s">
        <v>4560</v>
      </c>
      <c r="L5286">
        <v>0</v>
      </c>
      <c r="M5286" s="452">
        <v>45573</v>
      </c>
      <c r="N5286">
        <v>16.02</v>
      </c>
      <c r="O5286">
        <v>16.02</v>
      </c>
      <c r="P5286">
        <v>160.19999999999999</v>
      </c>
    </row>
    <row r="5287" spans="1:16" x14ac:dyDescent="0.3">
      <c r="A5287">
        <v>17497</v>
      </c>
      <c r="B5287">
        <v>105</v>
      </c>
      <c r="C5287" t="s">
        <v>557</v>
      </c>
      <c r="D5287" s="452">
        <v>45689</v>
      </c>
      <c r="E5287">
        <v>24470</v>
      </c>
      <c r="F5287" t="s">
        <v>4752</v>
      </c>
      <c r="G5287">
        <v>3103</v>
      </c>
      <c r="H5287">
        <v>36</v>
      </c>
      <c r="I5287" t="s">
        <v>4736</v>
      </c>
      <c r="J5287" t="s">
        <v>5222</v>
      </c>
      <c r="K5287" t="s">
        <v>4560</v>
      </c>
      <c r="L5287">
        <v>0</v>
      </c>
      <c r="M5287" s="452">
        <v>45404</v>
      </c>
      <c r="N5287">
        <v>4.41</v>
      </c>
      <c r="O5287">
        <v>4.41</v>
      </c>
      <c r="P5287">
        <v>158.76</v>
      </c>
    </row>
    <row r="5288" spans="1:16" x14ac:dyDescent="0.3">
      <c r="A5288">
        <v>17243</v>
      </c>
      <c r="B5288">
        <v>105</v>
      </c>
      <c r="C5288" t="s">
        <v>557</v>
      </c>
      <c r="D5288" s="452">
        <v>45689</v>
      </c>
      <c r="E5288">
        <v>20928</v>
      </c>
      <c r="F5288" t="s">
        <v>4950</v>
      </c>
      <c r="G5288">
        <v>2033</v>
      </c>
      <c r="H5288">
        <v>1.34</v>
      </c>
      <c r="I5288" t="s">
        <v>4736</v>
      </c>
      <c r="J5288" t="s">
        <v>5191</v>
      </c>
      <c r="K5288" t="s">
        <v>4560</v>
      </c>
      <c r="L5288">
        <v>0</v>
      </c>
      <c r="M5288" s="452">
        <v>45622</v>
      </c>
      <c r="N5288">
        <v>117.94</v>
      </c>
      <c r="O5288">
        <v>132</v>
      </c>
      <c r="P5288">
        <v>158.04</v>
      </c>
    </row>
    <row r="5289" spans="1:16" x14ac:dyDescent="0.3">
      <c r="A5289">
        <v>17394</v>
      </c>
      <c r="B5289">
        <v>105</v>
      </c>
      <c r="C5289" t="s">
        <v>557</v>
      </c>
      <c r="D5289" s="452">
        <v>45689</v>
      </c>
      <c r="E5289">
        <v>19732</v>
      </c>
      <c r="F5289" t="s">
        <v>5584</v>
      </c>
      <c r="G5289">
        <v>2521</v>
      </c>
      <c r="H5289">
        <v>13.07</v>
      </c>
      <c r="I5289" t="s">
        <v>4744</v>
      </c>
      <c r="J5289" t="s">
        <v>5191</v>
      </c>
      <c r="K5289" t="s">
        <v>4560</v>
      </c>
      <c r="L5289">
        <v>12.07</v>
      </c>
      <c r="M5289" s="452">
        <v>45688</v>
      </c>
      <c r="N5289">
        <v>10.5</v>
      </c>
      <c r="O5289">
        <v>10.5</v>
      </c>
      <c r="P5289">
        <v>157.75</v>
      </c>
    </row>
    <row r="5290" spans="1:16" x14ac:dyDescent="0.3">
      <c r="A5290">
        <v>17274</v>
      </c>
      <c r="B5290">
        <v>105</v>
      </c>
      <c r="C5290" t="s">
        <v>557</v>
      </c>
      <c r="D5290" s="452">
        <v>45689</v>
      </c>
      <c r="E5290">
        <v>24284</v>
      </c>
      <c r="F5290" t="s">
        <v>5556</v>
      </c>
      <c r="G5290">
        <v>2038</v>
      </c>
      <c r="H5290">
        <v>3</v>
      </c>
      <c r="I5290" t="s">
        <v>4744</v>
      </c>
      <c r="J5290" t="s">
        <v>5191</v>
      </c>
      <c r="K5290" t="s">
        <v>4560</v>
      </c>
      <c r="L5290">
        <v>0</v>
      </c>
      <c r="M5290" s="452">
        <v>-693593</v>
      </c>
      <c r="N5290">
        <v>0</v>
      </c>
      <c r="O5290">
        <v>52.2</v>
      </c>
      <c r="P5290">
        <v>156.6</v>
      </c>
    </row>
    <row r="5291" spans="1:16" x14ac:dyDescent="0.3">
      <c r="A5291">
        <v>17551</v>
      </c>
      <c r="B5291">
        <v>105</v>
      </c>
      <c r="C5291" t="s">
        <v>557</v>
      </c>
      <c r="D5291" s="452">
        <v>45689</v>
      </c>
      <c r="E5291">
        <v>17950</v>
      </c>
      <c r="F5291" t="s">
        <v>5091</v>
      </c>
      <c r="G5291">
        <v>3626</v>
      </c>
      <c r="H5291">
        <v>9</v>
      </c>
      <c r="I5291" t="s">
        <v>4738</v>
      </c>
      <c r="J5291" t="s">
        <v>5222</v>
      </c>
      <c r="K5291" t="s">
        <v>4560</v>
      </c>
      <c r="L5291">
        <v>17.100000000000001</v>
      </c>
      <c r="M5291" s="452">
        <v>45688</v>
      </c>
      <c r="N5291">
        <v>17.100000000000001</v>
      </c>
      <c r="O5291">
        <v>17.100000000000001</v>
      </c>
      <c r="P5291">
        <v>153.9</v>
      </c>
    </row>
    <row r="5292" spans="1:16" x14ac:dyDescent="0.3">
      <c r="A5292">
        <v>17201</v>
      </c>
      <c r="B5292">
        <v>105</v>
      </c>
      <c r="C5292" t="s">
        <v>557</v>
      </c>
      <c r="D5292" s="452">
        <v>45689</v>
      </c>
      <c r="E5292">
        <v>26103</v>
      </c>
      <c r="F5292" t="s">
        <v>4776</v>
      </c>
      <c r="G5292">
        <v>9072</v>
      </c>
      <c r="H5292">
        <v>11</v>
      </c>
      <c r="I5292" t="s">
        <v>4749</v>
      </c>
      <c r="J5292" t="s">
        <v>5191</v>
      </c>
      <c r="K5292" t="s">
        <v>4560</v>
      </c>
      <c r="L5292">
        <v>0</v>
      </c>
      <c r="M5292" s="452">
        <v>-693593</v>
      </c>
      <c r="N5292">
        <v>0</v>
      </c>
      <c r="O5292">
        <v>0</v>
      </c>
      <c r="P5292">
        <v>153.88999999999999</v>
      </c>
    </row>
    <row r="5293" spans="1:16" x14ac:dyDescent="0.3">
      <c r="A5293">
        <v>17381</v>
      </c>
      <c r="B5293">
        <v>105</v>
      </c>
      <c r="C5293" t="s">
        <v>557</v>
      </c>
      <c r="D5293" s="452">
        <v>45689</v>
      </c>
      <c r="E5293">
        <v>19752</v>
      </c>
      <c r="F5293" t="s">
        <v>4807</v>
      </c>
      <c r="G5293">
        <v>2501</v>
      </c>
      <c r="H5293">
        <v>10.66</v>
      </c>
      <c r="I5293" t="s">
        <v>4744</v>
      </c>
      <c r="J5293" t="s">
        <v>5191</v>
      </c>
      <c r="K5293" t="s">
        <v>4560</v>
      </c>
      <c r="L5293">
        <v>14.14</v>
      </c>
      <c r="M5293" s="452">
        <v>45681</v>
      </c>
      <c r="N5293">
        <v>12</v>
      </c>
      <c r="O5293">
        <v>12</v>
      </c>
      <c r="P5293">
        <v>150.72999999999999</v>
      </c>
    </row>
    <row r="5294" spans="1:16" x14ac:dyDescent="0.3">
      <c r="A5294">
        <v>17209</v>
      </c>
      <c r="B5294">
        <v>105</v>
      </c>
      <c r="C5294" t="s">
        <v>557</v>
      </c>
      <c r="D5294" s="452">
        <v>45689</v>
      </c>
      <c r="E5294">
        <v>17062</v>
      </c>
      <c r="F5294" t="s">
        <v>4880</v>
      </c>
      <c r="G5294">
        <v>1954</v>
      </c>
      <c r="H5294">
        <v>4.2</v>
      </c>
      <c r="I5294" t="s">
        <v>4879</v>
      </c>
      <c r="J5294" t="s">
        <v>5191</v>
      </c>
      <c r="K5294" t="s">
        <v>4560</v>
      </c>
      <c r="L5294">
        <v>0</v>
      </c>
      <c r="M5294" s="452">
        <v>-693593</v>
      </c>
      <c r="N5294">
        <v>0</v>
      </c>
      <c r="O5294">
        <v>0</v>
      </c>
      <c r="P5294">
        <v>150.4</v>
      </c>
    </row>
    <row r="5295" spans="1:16" x14ac:dyDescent="0.3">
      <c r="A5295">
        <v>17541</v>
      </c>
      <c r="B5295">
        <v>105</v>
      </c>
      <c r="C5295" t="s">
        <v>557</v>
      </c>
      <c r="D5295" s="452">
        <v>45689</v>
      </c>
      <c r="E5295">
        <v>18111</v>
      </c>
      <c r="F5295" t="s">
        <v>5049</v>
      </c>
      <c r="G5295">
        <v>3500</v>
      </c>
      <c r="H5295">
        <v>1.75</v>
      </c>
      <c r="I5295" t="s">
        <v>4805</v>
      </c>
      <c r="J5295" t="s">
        <v>5222</v>
      </c>
      <c r="K5295" t="s">
        <v>4560</v>
      </c>
      <c r="L5295">
        <v>0</v>
      </c>
      <c r="M5295" s="452">
        <v>45470</v>
      </c>
      <c r="N5295">
        <v>85.93</v>
      </c>
      <c r="O5295">
        <v>79.900000000000006</v>
      </c>
      <c r="P5295">
        <v>150.38</v>
      </c>
    </row>
    <row r="5296" spans="1:16" x14ac:dyDescent="0.3">
      <c r="A5296">
        <v>17238</v>
      </c>
      <c r="B5296">
        <v>105</v>
      </c>
      <c r="C5296" t="s">
        <v>557</v>
      </c>
      <c r="D5296" s="452">
        <v>45689</v>
      </c>
      <c r="E5296">
        <v>20054</v>
      </c>
      <c r="F5296" t="s">
        <v>4856</v>
      </c>
      <c r="G5296">
        <v>2325</v>
      </c>
      <c r="H5296">
        <v>13</v>
      </c>
      <c r="I5296" t="s">
        <v>4736</v>
      </c>
      <c r="J5296" t="s">
        <v>5191</v>
      </c>
      <c r="K5296" t="s">
        <v>4560</v>
      </c>
      <c r="L5296">
        <v>0</v>
      </c>
      <c r="M5296" s="452">
        <v>45600</v>
      </c>
      <c r="N5296">
        <v>11.55</v>
      </c>
      <c r="O5296">
        <v>14.62</v>
      </c>
      <c r="P5296">
        <v>150.15</v>
      </c>
    </row>
    <row r="5297" spans="1:16" x14ac:dyDescent="0.3">
      <c r="A5297">
        <v>17500</v>
      </c>
      <c r="B5297">
        <v>105</v>
      </c>
      <c r="C5297" t="s">
        <v>557</v>
      </c>
      <c r="D5297" s="452">
        <v>45689</v>
      </c>
      <c r="E5297">
        <v>18545</v>
      </c>
      <c r="F5297" t="s">
        <v>4864</v>
      </c>
      <c r="G5297">
        <v>3134</v>
      </c>
      <c r="H5297">
        <v>3</v>
      </c>
      <c r="I5297" t="s">
        <v>4805</v>
      </c>
      <c r="J5297" t="s">
        <v>5222</v>
      </c>
      <c r="K5297" t="s">
        <v>4560</v>
      </c>
      <c r="L5297">
        <v>0</v>
      </c>
      <c r="M5297" s="452">
        <v>45653</v>
      </c>
      <c r="N5297">
        <v>49.99</v>
      </c>
      <c r="O5297">
        <v>45.91</v>
      </c>
      <c r="P5297">
        <v>149.97</v>
      </c>
    </row>
    <row r="5298" spans="1:16" x14ac:dyDescent="0.3">
      <c r="A5298">
        <v>17472</v>
      </c>
      <c r="B5298">
        <v>105</v>
      </c>
      <c r="C5298" t="s">
        <v>557</v>
      </c>
      <c r="D5298" s="452">
        <v>45689</v>
      </c>
      <c r="E5298">
        <v>24660</v>
      </c>
      <c r="F5298" t="s">
        <v>5523</v>
      </c>
      <c r="G5298">
        <v>5702</v>
      </c>
      <c r="H5298">
        <v>7.8</v>
      </c>
      <c r="I5298" t="s">
        <v>4744</v>
      </c>
      <c r="J5298" t="s">
        <v>5191</v>
      </c>
      <c r="K5298" t="s">
        <v>4560</v>
      </c>
      <c r="L5298">
        <v>0</v>
      </c>
      <c r="M5298" s="452">
        <v>45623</v>
      </c>
      <c r="N5298">
        <v>18.89</v>
      </c>
      <c r="O5298">
        <v>12.8</v>
      </c>
      <c r="P5298">
        <v>147.33000000000001</v>
      </c>
    </row>
    <row r="5299" spans="1:16" x14ac:dyDescent="0.3">
      <c r="A5299">
        <v>17534</v>
      </c>
      <c r="B5299">
        <v>105</v>
      </c>
      <c r="C5299" t="s">
        <v>557</v>
      </c>
      <c r="D5299" s="452">
        <v>45689</v>
      </c>
      <c r="E5299">
        <v>18147</v>
      </c>
      <c r="F5299" t="s">
        <v>5042</v>
      </c>
      <c r="G5299">
        <v>3471</v>
      </c>
      <c r="H5299">
        <v>1.27</v>
      </c>
      <c r="I5299" t="s">
        <v>4805</v>
      </c>
      <c r="J5299" t="s">
        <v>5222</v>
      </c>
      <c r="K5299" t="s">
        <v>4560</v>
      </c>
      <c r="L5299">
        <v>0</v>
      </c>
      <c r="M5299" s="452">
        <v>45427</v>
      </c>
      <c r="N5299">
        <v>115</v>
      </c>
      <c r="O5299">
        <v>113.9</v>
      </c>
      <c r="P5299">
        <v>146.05000000000001</v>
      </c>
    </row>
    <row r="5300" spans="1:16" x14ac:dyDescent="0.3">
      <c r="A5300">
        <v>17262</v>
      </c>
      <c r="B5300">
        <v>105</v>
      </c>
      <c r="C5300" t="s">
        <v>557</v>
      </c>
      <c r="D5300" s="452">
        <v>45689</v>
      </c>
      <c r="E5300">
        <v>20358</v>
      </c>
      <c r="F5300" t="s">
        <v>4911</v>
      </c>
      <c r="G5300">
        <v>2200</v>
      </c>
      <c r="H5300">
        <v>10</v>
      </c>
      <c r="I5300" t="s">
        <v>4738</v>
      </c>
      <c r="J5300" t="s">
        <v>5191</v>
      </c>
      <c r="K5300" t="s">
        <v>4560</v>
      </c>
      <c r="L5300">
        <v>14.5</v>
      </c>
      <c r="M5300" s="452">
        <v>45678</v>
      </c>
      <c r="N5300">
        <v>14.5</v>
      </c>
      <c r="O5300">
        <v>14.5</v>
      </c>
      <c r="P5300">
        <v>145</v>
      </c>
    </row>
    <row r="5301" spans="1:16" x14ac:dyDescent="0.3">
      <c r="A5301">
        <v>17550</v>
      </c>
      <c r="B5301">
        <v>105</v>
      </c>
      <c r="C5301" t="s">
        <v>557</v>
      </c>
      <c r="D5301" s="452">
        <v>45689</v>
      </c>
      <c r="E5301">
        <v>24011</v>
      </c>
      <c r="F5301" t="s">
        <v>4739</v>
      </c>
      <c r="G5301">
        <v>3626</v>
      </c>
      <c r="H5301">
        <v>108</v>
      </c>
      <c r="I5301" t="s">
        <v>4736</v>
      </c>
      <c r="J5301" t="s">
        <v>5222</v>
      </c>
      <c r="K5301" t="s">
        <v>4560</v>
      </c>
      <c r="L5301">
        <v>0</v>
      </c>
      <c r="M5301" s="452">
        <v>45562</v>
      </c>
      <c r="N5301">
        <v>1.32</v>
      </c>
      <c r="O5301">
        <v>1.33</v>
      </c>
      <c r="P5301">
        <v>142.56</v>
      </c>
    </row>
    <row r="5302" spans="1:16" x14ac:dyDescent="0.3">
      <c r="A5302">
        <v>17258</v>
      </c>
      <c r="B5302">
        <v>105</v>
      </c>
      <c r="C5302" t="s">
        <v>557</v>
      </c>
      <c r="D5302" s="452">
        <v>45689</v>
      </c>
      <c r="E5302">
        <v>20382</v>
      </c>
      <c r="F5302" t="s">
        <v>4780</v>
      </c>
      <c r="G5302">
        <v>2196</v>
      </c>
      <c r="H5302">
        <v>16</v>
      </c>
      <c r="I5302" t="s">
        <v>4738</v>
      </c>
      <c r="J5302" t="s">
        <v>5191</v>
      </c>
      <c r="K5302" t="s">
        <v>4560</v>
      </c>
      <c r="L5302">
        <v>8.9</v>
      </c>
      <c r="M5302" s="452">
        <v>45679</v>
      </c>
      <c r="N5302">
        <v>8.9</v>
      </c>
      <c r="O5302">
        <v>8.9</v>
      </c>
      <c r="P5302">
        <v>142.4</v>
      </c>
    </row>
    <row r="5303" spans="1:16" x14ac:dyDescent="0.3">
      <c r="A5303">
        <v>17522</v>
      </c>
      <c r="B5303">
        <v>105</v>
      </c>
      <c r="C5303" t="s">
        <v>557</v>
      </c>
      <c r="D5303" s="452">
        <v>45689</v>
      </c>
      <c r="E5303">
        <v>18253</v>
      </c>
      <c r="F5303" t="s">
        <v>4969</v>
      </c>
      <c r="G5303">
        <v>3376</v>
      </c>
      <c r="H5303">
        <v>4.88</v>
      </c>
      <c r="I5303" t="s">
        <v>4805</v>
      </c>
      <c r="J5303" t="s">
        <v>5222</v>
      </c>
      <c r="K5303" t="s">
        <v>4560</v>
      </c>
      <c r="L5303">
        <v>0</v>
      </c>
      <c r="M5303" s="452">
        <v>45653</v>
      </c>
      <c r="N5303">
        <v>28.97</v>
      </c>
      <c r="O5303">
        <v>29</v>
      </c>
      <c r="P5303">
        <v>141.37</v>
      </c>
    </row>
    <row r="5304" spans="1:16" x14ac:dyDescent="0.3">
      <c r="A5304">
        <v>17504</v>
      </c>
      <c r="B5304">
        <v>105</v>
      </c>
      <c r="C5304" t="s">
        <v>557</v>
      </c>
      <c r="D5304" s="452">
        <v>45689</v>
      </c>
      <c r="E5304">
        <v>18493</v>
      </c>
      <c r="F5304" t="s">
        <v>5553</v>
      </c>
      <c r="G5304">
        <v>3164</v>
      </c>
      <c r="H5304">
        <v>2</v>
      </c>
      <c r="I5304" t="s">
        <v>4805</v>
      </c>
      <c r="J5304" t="s">
        <v>5222</v>
      </c>
      <c r="K5304" t="s">
        <v>4560</v>
      </c>
      <c r="L5304">
        <v>0</v>
      </c>
      <c r="M5304" s="452">
        <v>-693593</v>
      </c>
      <c r="N5304">
        <v>0</v>
      </c>
      <c r="O5304">
        <v>69.900000000000006</v>
      </c>
      <c r="P5304">
        <v>139.80000000000001</v>
      </c>
    </row>
    <row r="5305" spans="1:16" x14ac:dyDescent="0.3">
      <c r="A5305">
        <v>17582</v>
      </c>
      <c r="B5305">
        <v>105</v>
      </c>
      <c r="C5305" t="s">
        <v>557</v>
      </c>
      <c r="D5305" s="452">
        <v>45689</v>
      </c>
      <c r="E5305">
        <v>26038</v>
      </c>
      <c r="F5305" t="s">
        <v>4976</v>
      </c>
      <c r="G5305">
        <v>6506</v>
      </c>
      <c r="H5305">
        <v>3</v>
      </c>
      <c r="I5305" t="s">
        <v>4805</v>
      </c>
      <c r="J5305" t="s">
        <v>5222</v>
      </c>
      <c r="K5305" t="s">
        <v>4560</v>
      </c>
      <c r="L5305">
        <v>46.38</v>
      </c>
      <c r="M5305" s="452">
        <v>45672</v>
      </c>
      <c r="N5305">
        <v>46.38</v>
      </c>
      <c r="O5305">
        <v>46.38</v>
      </c>
      <c r="P5305">
        <v>139.13999999999999</v>
      </c>
    </row>
    <row r="5306" spans="1:16" x14ac:dyDescent="0.3">
      <c r="A5306">
        <v>17415</v>
      </c>
      <c r="B5306">
        <v>105</v>
      </c>
      <c r="C5306" t="s">
        <v>557</v>
      </c>
      <c r="D5306" s="452">
        <v>45689</v>
      </c>
      <c r="E5306">
        <v>19551</v>
      </c>
      <c r="F5306" t="s">
        <v>4905</v>
      </c>
      <c r="G5306">
        <v>2665</v>
      </c>
      <c r="H5306">
        <v>8.9</v>
      </c>
      <c r="I5306" t="s">
        <v>4744</v>
      </c>
      <c r="J5306" t="s">
        <v>5191</v>
      </c>
      <c r="K5306" t="s">
        <v>4560</v>
      </c>
      <c r="L5306">
        <v>15.56</v>
      </c>
      <c r="M5306" s="452">
        <v>45688</v>
      </c>
      <c r="N5306">
        <v>15</v>
      </c>
      <c r="O5306">
        <v>15</v>
      </c>
      <c r="P5306">
        <v>138.47999999999999</v>
      </c>
    </row>
    <row r="5307" spans="1:16" x14ac:dyDescent="0.3">
      <c r="A5307">
        <v>17299</v>
      </c>
      <c r="B5307">
        <v>105</v>
      </c>
      <c r="C5307" t="s">
        <v>557</v>
      </c>
      <c r="D5307" s="452">
        <v>45689</v>
      </c>
      <c r="E5307">
        <v>20105</v>
      </c>
      <c r="F5307" t="s">
        <v>4831</v>
      </c>
      <c r="G5307">
        <v>2298</v>
      </c>
      <c r="H5307">
        <v>8</v>
      </c>
      <c r="I5307" t="s">
        <v>4744</v>
      </c>
      <c r="J5307" t="s">
        <v>5191</v>
      </c>
      <c r="K5307" t="s">
        <v>4560</v>
      </c>
      <c r="L5307">
        <v>0</v>
      </c>
      <c r="M5307" s="452">
        <v>45574</v>
      </c>
      <c r="N5307">
        <v>16.899999999999999</v>
      </c>
      <c r="O5307">
        <v>16.5</v>
      </c>
      <c r="P5307">
        <v>135.19999999999999</v>
      </c>
    </row>
    <row r="5308" spans="1:16" x14ac:dyDescent="0.3">
      <c r="A5308">
        <v>17377</v>
      </c>
      <c r="B5308">
        <v>105</v>
      </c>
      <c r="C5308" t="s">
        <v>557</v>
      </c>
      <c r="D5308" s="452">
        <v>45689</v>
      </c>
      <c r="E5308">
        <v>19765</v>
      </c>
      <c r="F5308" t="s">
        <v>4889</v>
      </c>
      <c r="G5308">
        <v>2488</v>
      </c>
      <c r="H5308">
        <v>3</v>
      </c>
      <c r="I5308" t="s">
        <v>4744</v>
      </c>
      <c r="J5308" t="s">
        <v>5191</v>
      </c>
      <c r="K5308" t="s">
        <v>4560</v>
      </c>
      <c r="L5308">
        <v>43.07</v>
      </c>
      <c r="M5308" s="452">
        <v>45681</v>
      </c>
      <c r="N5308">
        <v>37.26</v>
      </c>
      <c r="O5308">
        <v>36</v>
      </c>
      <c r="P5308">
        <v>129.21</v>
      </c>
    </row>
    <row r="5309" spans="1:16" x14ac:dyDescent="0.3">
      <c r="A5309">
        <v>17503</v>
      </c>
      <c r="B5309">
        <v>105</v>
      </c>
      <c r="C5309" t="s">
        <v>557</v>
      </c>
      <c r="D5309" s="452">
        <v>45689</v>
      </c>
      <c r="E5309">
        <v>18502</v>
      </c>
      <c r="F5309" t="s">
        <v>4893</v>
      </c>
      <c r="G5309">
        <v>3155</v>
      </c>
      <c r="H5309">
        <v>2</v>
      </c>
      <c r="I5309" t="s">
        <v>4805</v>
      </c>
      <c r="J5309" t="s">
        <v>5222</v>
      </c>
      <c r="K5309" t="s">
        <v>4560</v>
      </c>
      <c r="L5309">
        <v>63.9</v>
      </c>
      <c r="M5309" s="452">
        <v>45686</v>
      </c>
      <c r="N5309">
        <v>63.9</v>
      </c>
      <c r="O5309">
        <v>63.9</v>
      </c>
      <c r="P5309">
        <v>127.8</v>
      </c>
    </row>
    <row r="5310" spans="1:16" x14ac:dyDescent="0.3">
      <c r="A5310">
        <v>17431</v>
      </c>
      <c r="B5310">
        <v>105</v>
      </c>
      <c r="C5310" t="s">
        <v>557</v>
      </c>
      <c r="D5310" s="452">
        <v>45689</v>
      </c>
      <c r="E5310">
        <v>19346</v>
      </c>
      <c r="F5310" t="s">
        <v>4835</v>
      </c>
      <c r="G5310">
        <v>2770</v>
      </c>
      <c r="H5310">
        <v>2.42</v>
      </c>
      <c r="I5310" t="s">
        <v>4744</v>
      </c>
      <c r="J5310" t="s">
        <v>5191</v>
      </c>
      <c r="K5310" t="s">
        <v>4560</v>
      </c>
      <c r="L5310">
        <v>0</v>
      </c>
      <c r="M5310" s="452">
        <v>45646</v>
      </c>
      <c r="N5310">
        <v>51.9</v>
      </c>
      <c r="O5310">
        <v>51.9</v>
      </c>
      <c r="P5310">
        <v>125.6</v>
      </c>
    </row>
    <row r="5311" spans="1:16" x14ac:dyDescent="0.3">
      <c r="A5311">
        <v>17474</v>
      </c>
      <c r="B5311">
        <v>105</v>
      </c>
      <c r="C5311" t="s">
        <v>557</v>
      </c>
      <c r="D5311" s="452">
        <v>45689</v>
      </c>
      <c r="E5311">
        <v>18996</v>
      </c>
      <c r="F5311" t="s">
        <v>5130</v>
      </c>
      <c r="G5311">
        <v>2900</v>
      </c>
      <c r="H5311">
        <v>6.25</v>
      </c>
      <c r="I5311" t="s">
        <v>4744</v>
      </c>
      <c r="J5311" t="s">
        <v>5191</v>
      </c>
      <c r="K5311" t="s">
        <v>4560</v>
      </c>
      <c r="L5311">
        <v>0</v>
      </c>
      <c r="M5311" s="452">
        <v>45553</v>
      </c>
      <c r="N5311">
        <v>19.88</v>
      </c>
      <c r="O5311">
        <v>19.690000000000001</v>
      </c>
      <c r="P5311">
        <v>124.25</v>
      </c>
    </row>
    <row r="5312" spans="1:16" x14ac:dyDescent="0.3">
      <c r="A5312">
        <v>17432</v>
      </c>
      <c r="B5312">
        <v>105</v>
      </c>
      <c r="C5312" t="s">
        <v>557</v>
      </c>
      <c r="D5312" s="452">
        <v>45689</v>
      </c>
      <c r="E5312">
        <v>24444</v>
      </c>
      <c r="F5312" t="s">
        <v>4992</v>
      </c>
      <c r="G5312">
        <v>2784</v>
      </c>
      <c r="H5312">
        <v>6.5</v>
      </c>
      <c r="I5312" t="s">
        <v>4744</v>
      </c>
      <c r="J5312" t="s">
        <v>5191</v>
      </c>
      <c r="K5312" t="s">
        <v>4560</v>
      </c>
      <c r="L5312">
        <v>0</v>
      </c>
      <c r="M5312" s="452">
        <v>45392</v>
      </c>
      <c r="N5312">
        <v>18.95</v>
      </c>
      <c r="O5312">
        <v>22</v>
      </c>
      <c r="P5312">
        <v>123.18</v>
      </c>
    </row>
    <row r="5313" spans="1:16" x14ac:dyDescent="0.3">
      <c r="A5313">
        <v>17563</v>
      </c>
      <c r="B5313">
        <v>105</v>
      </c>
      <c r="C5313" t="s">
        <v>557</v>
      </c>
      <c r="D5313" s="452">
        <v>45689</v>
      </c>
      <c r="E5313">
        <v>24307</v>
      </c>
      <c r="F5313" t="s">
        <v>4755</v>
      </c>
      <c r="G5313">
        <v>3656</v>
      </c>
      <c r="H5313">
        <v>56</v>
      </c>
      <c r="I5313" t="s">
        <v>4736</v>
      </c>
      <c r="J5313" t="s">
        <v>5222</v>
      </c>
      <c r="K5313" t="s">
        <v>4560</v>
      </c>
      <c r="L5313">
        <v>0</v>
      </c>
      <c r="M5313" s="452">
        <v>45540</v>
      </c>
      <c r="N5313">
        <v>2.19</v>
      </c>
      <c r="O5313">
        <v>2.19</v>
      </c>
      <c r="P5313">
        <v>122.64</v>
      </c>
    </row>
    <row r="5314" spans="1:16" x14ac:dyDescent="0.3">
      <c r="A5314">
        <v>17244</v>
      </c>
      <c r="B5314">
        <v>105</v>
      </c>
      <c r="C5314" t="s">
        <v>557</v>
      </c>
      <c r="D5314" s="452">
        <v>45689</v>
      </c>
      <c r="E5314">
        <v>20911</v>
      </c>
      <c r="F5314" t="s">
        <v>5557</v>
      </c>
      <c r="G5314">
        <v>2035</v>
      </c>
      <c r="H5314">
        <v>1</v>
      </c>
      <c r="I5314" t="s">
        <v>4736</v>
      </c>
      <c r="J5314" t="s">
        <v>5191</v>
      </c>
      <c r="K5314" t="s">
        <v>4560</v>
      </c>
      <c r="L5314">
        <v>120</v>
      </c>
      <c r="M5314" s="452">
        <v>45678</v>
      </c>
      <c r="N5314">
        <v>120</v>
      </c>
      <c r="O5314">
        <v>120</v>
      </c>
      <c r="P5314">
        <v>120</v>
      </c>
    </row>
    <row r="5315" spans="1:16" x14ac:dyDescent="0.3">
      <c r="A5315">
        <v>17256</v>
      </c>
      <c r="B5315">
        <v>105</v>
      </c>
      <c r="C5315" t="s">
        <v>557</v>
      </c>
      <c r="D5315" s="452">
        <v>45689</v>
      </c>
      <c r="E5315">
        <v>25167</v>
      </c>
      <c r="F5315" t="s">
        <v>4758</v>
      </c>
      <c r="G5315">
        <v>5930</v>
      </c>
      <c r="H5315">
        <v>15</v>
      </c>
      <c r="I5315" t="s">
        <v>4744</v>
      </c>
      <c r="J5315" t="s">
        <v>5191</v>
      </c>
      <c r="K5315" t="s">
        <v>4560</v>
      </c>
      <c r="L5315">
        <v>7.9</v>
      </c>
      <c r="M5315" s="452">
        <v>45681</v>
      </c>
      <c r="N5315">
        <v>7.9</v>
      </c>
      <c r="O5315">
        <v>9.15</v>
      </c>
      <c r="P5315">
        <v>118.5</v>
      </c>
    </row>
    <row r="5316" spans="1:16" x14ac:dyDescent="0.3">
      <c r="A5316">
        <v>17317</v>
      </c>
      <c r="B5316">
        <v>105</v>
      </c>
      <c r="C5316" t="s">
        <v>557</v>
      </c>
      <c r="D5316" s="452">
        <v>45689</v>
      </c>
      <c r="E5316">
        <v>21000</v>
      </c>
      <c r="F5316" t="s">
        <v>4818</v>
      </c>
      <c r="G5316">
        <v>2008</v>
      </c>
      <c r="H5316">
        <v>7</v>
      </c>
      <c r="I5316" t="s">
        <v>4736</v>
      </c>
      <c r="J5316" t="s">
        <v>5191</v>
      </c>
      <c r="K5316" t="s">
        <v>4560</v>
      </c>
      <c r="L5316">
        <v>16.72</v>
      </c>
      <c r="M5316" s="452">
        <v>45678</v>
      </c>
      <c r="N5316">
        <v>16.72</v>
      </c>
      <c r="O5316">
        <v>16.72</v>
      </c>
      <c r="P5316">
        <v>117.04</v>
      </c>
    </row>
    <row r="5317" spans="1:16" x14ac:dyDescent="0.3">
      <c r="A5317">
        <v>17204</v>
      </c>
      <c r="B5317">
        <v>105</v>
      </c>
      <c r="C5317" t="s">
        <v>557</v>
      </c>
      <c r="D5317" s="452">
        <v>45689</v>
      </c>
      <c r="E5317">
        <v>25759</v>
      </c>
      <c r="F5317" t="s">
        <v>4877</v>
      </c>
      <c r="G5317">
        <v>9073</v>
      </c>
      <c r="H5317">
        <v>15</v>
      </c>
      <c r="I5317" t="s">
        <v>4736</v>
      </c>
      <c r="J5317" t="s">
        <v>5191</v>
      </c>
      <c r="K5317" t="s">
        <v>4560</v>
      </c>
      <c r="L5317">
        <v>0</v>
      </c>
      <c r="M5317" s="452">
        <v>45653</v>
      </c>
      <c r="N5317">
        <v>7.73</v>
      </c>
      <c r="O5317">
        <v>7.73</v>
      </c>
      <c r="P5317">
        <v>115.95</v>
      </c>
    </row>
    <row r="5318" spans="1:16" x14ac:dyDescent="0.3">
      <c r="A5318">
        <v>17448</v>
      </c>
      <c r="B5318">
        <v>105</v>
      </c>
      <c r="C5318" t="s">
        <v>557</v>
      </c>
      <c r="D5318" s="452">
        <v>45689</v>
      </c>
      <c r="E5318">
        <v>18865</v>
      </c>
      <c r="F5318" t="s">
        <v>5597</v>
      </c>
      <c r="G5318">
        <v>2941</v>
      </c>
      <c r="H5318">
        <v>3.05</v>
      </c>
      <c r="I5318" t="s">
        <v>4744</v>
      </c>
      <c r="J5318" t="s">
        <v>5191</v>
      </c>
      <c r="K5318" t="s">
        <v>4560</v>
      </c>
      <c r="L5318">
        <v>37.799999999999997</v>
      </c>
      <c r="M5318" s="452">
        <v>45663</v>
      </c>
      <c r="N5318">
        <v>37.799999999999997</v>
      </c>
      <c r="O5318">
        <v>35.799999999999997</v>
      </c>
      <c r="P5318">
        <v>115.29</v>
      </c>
    </row>
    <row r="5319" spans="1:16" x14ac:dyDescent="0.3">
      <c r="A5319">
        <v>17393</v>
      </c>
      <c r="B5319">
        <v>105</v>
      </c>
      <c r="C5319" t="s">
        <v>557</v>
      </c>
      <c r="D5319" s="452">
        <v>45689</v>
      </c>
      <c r="E5319">
        <v>19739</v>
      </c>
      <c r="F5319" t="s">
        <v>5565</v>
      </c>
      <c r="G5319">
        <v>2514</v>
      </c>
      <c r="H5319">
        <v>10.95</v>
      </c>
      <c r="I5319" t="s">
        <v>4744</v>
      </c>
      <c r="J5319" t="s">
        <v>5191</v>
      </c>
      <c r="K5319" t="s">
        <v>4560</v>
      </c>
      <c r="L5319">
        <v>10.5</v>
      </c>
      <c r="M5319" s="452">
        <v>45681</v>
      </c>
      <c r="N5319">
        <v>12</v>
      </c>
      <c r="O5319">
        <v>8.3000000000000007</v>
      </c>
      <c r="P5319">
        <v>114.98</v>
      </c>
    </row>
    <row r="5320" spans="1:16" x14ac:dyDescent="0.3">
      <c r="A5320">
        <v>17251</v>
      </c>
      <c r="B5320">
        <v>105</v>
      </c>
      <c r="C5320" t="s">
        <v>557</v>
      </c>
      <c r="D5320" s="452">
        <v>45689</v>
      </c>
      <c r="E5320">
        <v>20689</v>
      </c>
      <c r="F5320" t="s">
        <v>5007</v>
      </c>
      <c r="G5320">
        <v>2105</v>
      </c>
      <c r="H5320">
        <v>3</v>
      </c>
      <c r="I5320" t="s">
        <v>4736</v>
      </c>
      <c r="J5320" t="s">
        <v>5191</v>
      </c>
      <c r="K5320" t="s">
        <v>4560</v>
      </c>
      <c r="L5320">
        <v>37.5</v>
      </c>
      <c r="M5320" s="452">
        <v>45678</v>
      </c>
      <c r="N5320">
        <v>37.5</v>
      </c>
      <c r="O5320">
        <v>31.9</v>
      </c>
      <c r="P5320">
        <v>112.5</v>
      </c>
    </row>
    <row r="5321" spans="1:16" x14ac:dyDescent="0.3">
      <c r="A5321">
        <v>17490</v>
      </c>
      <c r="B5321">
        <v>105</v>
      </c>
      <c r="C5321" t="s">
        <v>557</v>
      </c>
      <c r="D5321" s="452">
        <v>45689</v>
      </c>
      <c r="E5321">
        <v>24977</v>
      </c>
      <c r="F5321" t="s">
        <v>5538</v>
      </c>
      <c r="G5321">
        <v>5847</v>
      </c>
      <c r="H5321">
        <v>18</v>
      </c>
      <c r="I5321" t="s">
        <v>4738</v>
      </c>
      <c r="J5321" t="s">
        <v>5222</v>
      </c>
      <c r="K5321" t="s">
        <v>4560</v>
      </c>
      <c r="L5321">
        <v>74.64</v>
      </c>
      <c r="M5321" s="452">
        <v>45685</v>
      </c>
      <c r="N5321">
        <v>0</v>
      </c>
      <c r="O5321">
        <v>0</v>
      </c>
      <c r="P5321">
        <v>111.96</v>
      </c>
    </row>
    <row r="5322" spans="1:16" x14ac:dyDescent="0.3">
      <c r="A5322">
        <v>17552</v>
      </c>
      <c r="B5322">
        <v>105</v>
      </c>
      <c r="C5322" t="s">
        <v>557</v>
      </c>
      <c r="D5322" s="452">
        <v>45689</v>
      </c>
      <c r="E5322">
        <v>17957</v>
      </c>
      <c r="F5322" t="s">
        <v>4745</v>
      </c>
      <c r="G5322">
        <v>3622</v>
      </c>
      <c r="H5322">
        <v>91</v>
      </c>
      <c r="I5322" t="s">
        <v>4736</v>
      </c>
      <c r="J5322" t="s">
        <v>5222</v>
      </c>
      <c r="K5322" t="s">
        <v>4560</v>
      </c>
      <c r="L5322">
        <v>1.23</v>
      </c>
      <c r="M5322" s="452">
        <v>45680</v>
      </c>
      <c r="N5322">
        <v>1.23</v>
      </c>
      <c r="O5322">
        <v>0.66</v>
      </c>
      <c r="P5322">
        <v>111.93</v>
      </c>
    </row>
    <row r="5323" spans="1:16" x14ac:dyDescent="0.3">
      <c r="A5323">
        <v>17239</v>
      </c>
      <c r="B5323">
        <v>105</v>
      </c>
      <c r="C5323" t="s">
        <v>557</v>
      </c>
      <c r="D5323" s="452">
        <v>45689</v>
      </c>
      <c r="E5323">
        <v>20060</v>
      </c>
      <c r="F5323" t="s">
        <v>5539</v>
      </c>
      <c r="G5323">
        <v>2324</v>
      </c>
      <c r="H5323">
        <v>3.13</v>
      </c>
      <c r="I5323" t="s">
        <v>4736</v>
      </c>
      <c r="J5323" t="s">
        <v>5191</v>
      </c>
      <c r="K5323" t="s">
        <v>4560</v>
      </c>
      <c r="L5323">
        <v>35.5</v>
      </c>
      <c r="M5323" s="452">
        <v>45666</v>
      </c>
      <c r="N5323">
        <v>35.5</v>
      </c>
      <c r="O5323">
        <v>35.5</v>
      </c>
      <c r="P5323">
        <v>111.12</v>
      </c>
    </row>
    <row r="5324" spans="1:16" x14ac:dyDescent="0.3">
      <c r="A5324">
        <v>17205</v>
      </c>
      <c r="B5324">
        <v>105</v>
      </c>
      <c r="C5324" t="s">
        <v>557</v>
      </c>
      <c r="D5324" s="452">
        <v>45689</v>
      </c>
      <c r="E5324">
        <v>25750</v>
      </c>
      <c r="F5324" t="s">
        <v>4908</v>
      </c>
      <c r="G5324">
        <v>6301</v>
      </c>
      <c r="H5324">
        <v>16</v>
      </c>
      <c r="I5324" t="s">
        <v>4736</v>
      </c>
      <c r="J5324" t="s">
        <v>5191</v>
      </c>
      <c r="K5324" t="s">
        <v>4560</v>
      </c>
      <c r="L5324">
        <v>0</v>
      </c>
      <c r="M5324" s="452">
        <v>45653</v>
      </c>
      <c r="N5324">
        <v>6.87</v>
      </c>
      <c r="O5324">
        <v>6.87</v>
      </c>
      <c r="P5324">
        <v>109.92</v>
      </c>
    </row>
    <row r="5325" spans="1:16" x14ac:dyDescent="0.3">
      <c r="A5325">
        <v>17187</v>
      </c>
      <c r="B5325">
        <v>105</v>
      </c>
      <c r="C5325" t="s">
        <v>557</v>
      </c>
      <c r="D5325" s="452">
        <v>45689</v>
      </c>
      <c r="E5325">
        <v>26006</v>
      </c>
      <c r="F5325" t="s">
        <v>4941</v>
      </c>
      <c r="G5325">
        <v>6491</v>
      </c>
      <c r="H5325">
        <v>11</v>
      </c>
      <c r="I5325" t="s">
        <v>4749</v>
      </c>
      <c r="J5325" t="s">
        <v>5191</v>
      </c>
      <c r="K5325" t="s">
        <v>4560</v>
      </c>
      <c r="L5325">
        <v>0</v>
      </c>
      <c r="M5325" s="452">
        <v>45653</v>
      </c>
      <c r="N5325">
        <v>117.84</v>
      </c>
      <c r="O5325">
        <v>117.84</v>
      </c>
      <c r="P5325">
        <v>108.02</v>
      </c>
    </row>
    <row r="5326" spans="1:16" x14ac:dyDescent="0.3">
      <c r="A5326">
        <v>17275</v>
      </c>
      <c r="B5326">
        <v>105</v>
      </c>
      <c r="C5326" t="s">
        <v>557</v>
      </c>
      <c r="D5326" s="452">
        <v>45689</v>
      </c>
      <c r="E5326">
        <v>20856</v>
      </c>
      <c r="F5326" t="s">
        <v>5495</v>
      </c>
      <c r="G5326">
        <v>2045</v>
      </c>
      <c r="H5326">
        <v>3</v>
      </c>
      <c r="I5326" t="s">
        <v>4736</v>
      </c>
      <c r="J5326" t="s">
        <v>5191</v>
      </c>
      <c r="K5326" t="s">
        <v>4560</v>
      </c>
      <c r="L5326">
        <v>0</v>
      </c>
      <c r="M5326" s="452">
        <v>45631</v>
      </c>
      <c r="N5326">
        <v>35.799999999999997</v>
      </c>
      <c r="O5326">
        <v>35.799999999999997</v>
      </c>
      <c r="P5326">
        <v>107.4</v>
      </c>
    </row>
    <row r="5327" spans="1:16" x14ac:dyDescent="0.3">
      <c r="A5327">
        <v>17255</v>
      </c>
      <c r="B5327">
        <v>105</v>
      </c>
      <c r="C5327" t="s">
        <v>557</v>
      </c>
      <c r="D5327" s="452">
        <v>45689</v>
      </c>
      <c r="E5327">
        <v>23698</v>
      </c>
      <c r="F5327" t="s">
        <v>5453</v>
      </c>
      <c r="G5327">
        <v>2188</v>
      </c>
      <c r="H5327">
        <v>1.9</v>
      </c>
      <c r="I5327" t="s">
        <v>4744</v>
      </c>
      <c r="J5327" t="s">
        <v>5191</v>
      </c>
      <c r="K5327" t="s">
        <v>4560</v>
      </c>
      <c r="L5327">
        <v>0</v>
      </c>
      <c r="M5327" s="452">
        <v>45559</v>
      </c>
      <c r="N5327">
        <v>56.5</v>
      </c>
      <c r="O5327">
        <v>53.9</v>
      </c>
      <c r="P5327">
        <v>107.35</v>
      </c>
    </row>
    <row r="5328" spans="1:16" x14ac:dyDescent="0.3">
      <c r="A5328">
        <v>17383</v>
      </c>
      <c r="B5328">
        <v>105</v>
      </c>
      <c r="C5328" t="s">
        <v>557</v>
      </c>
      <c r="D5328" s="452">
        <v>45689</v>
      </c>
      <c r="E5328">
        <v>24326</v>
      </c>
      <c r="F5328" t="s">
        <v>4767</v>
      </c>
      <c r="G5328">
        <v>2499</v>
      </c>
      <c r="H5328">
        <v>36.36</v>
      </c>
      <c r="I5328" t="s">
        <v>4744</v>
      </c>
      <c r="J5328" t="s">
        <v>5191</v>
      </c>
      <c r="K5328" t="s">
        <v>4560</v>
      </c>
      <c r="L5328">
        <v>2.91</v>
      </c>
      <c r="M5328" s="452">
        <v>45688</v>
      </c>
      <c r="N5328">
        <v>2.7</v>
      </c>
      <c r="O5328">
        <v>3.42</v>
      </c>
      <c r="P5328">
        <v>105.81</v>
      </c>
    </row>
    <row r="5329" spans="1:16" x14ac:dyDescent="0.3">
      <c r="A5329">
        <v>17229</v>
      </c>
      <c r="B5329">
        <v>105</v>
      </c>
      <c r="C5329" t="s">
        <v>557</v>
      </c>
      <c r="D5329" s="452">
        <v>45689</v>
      </c>
      <c r="E5329">
        <v>24062</v>
      </c>
      <c r="F5329" t="s">
        <v>5598</v>
      </c>
      <c r="G5329">
        <v>2088</v>
      </c>
      <c r="H5329">
        <v>2.58</v>
      </c>
      <c r="I5329" t="s">
        <v>4744</v>
      </c>
      <c r="J5329" t="s">
        <v>5191</v>
      </c>
      <c r="K5329" t="s">
        <v>4560</v>
      </c>
      <c r="L5329">
        <v>0</v>
      </c>
      <c r="M5329" s="452">
        <v>45406</v>
      </c>
      <c r="N5329">
        <v>41</v>
      </c>
      <c r="O5329">
        <v>41</v>
      </c>
      <c r="P5329">
        <v>105.78</v>
      </c>
    </row>
    <row r="5330" spans="1:16" x14ac:dyDescent="0.3">
      <c r="A5330">
        <v>17340</v>
      </c>
      <c r="B5330">
        <v>105</v>
      </c>
      <c r="C5330" t="s">
        <v>557</v>
      </c>
      <c r="D5330" s="452">
        <v>45689</v>
      </c>
      <c r="E5330">
        <v>19658</v>
      </c>
      <c r="F5330" t="s">
        <v>4784</v>
      </c>
      <c r="G5330">
        <v>2582</v>
      </c>
      <c r="H5330">
        <v>38.24</v>
      </c>
      <c r="I5330" t="s">
        <v>4744</v>
      </c>
      <c r="J5330" t="s">
        <v>5191</v>
      </c>
      <c r="K5330" t="s">
        <v>4560</v>
      </c>
      <c r="L5330">
        <v>2.76</v>
      </c>
      <c r="M5330" s="452">
        <v>45688</v>
      </c>
      <c r="N5330">
        <v>2.76</v>
      </c>
      <c r="O5330">
        <v>2.76</v>
      </c>
      <c r="P5330">
        <v>105.54</v>
      </c>
    </row>
    <row r="5331" spans="1:16" x14ac:dyDescent="0.3">
      <c r="A5331">
        <v>17514</v>
      </c>
      <c r="B5331">
        <v>105</v>
      </c>
      <c r="C5331" t="s">
        <v>557</v>
      </c>
      <c r="D5331" s="452">
        <v>45689</v>
      </c>
      <c r="E5331">
        <v>24685</v>
      </c>
      <c r="F5331" t="s">
        <v>5055</v>
      </c>
      <c r="G5331">
        <v>5714</v>
      </c>
      <c r="H5331">
        <v>0.7</v>
      </c>
      <c r="I5331" t="s">
        <v>4805</v>
      </c>
      <c r="J5331" t="s">
        <v>5222</v>
      </c>
      <c r="K5331" t="s">
        <v>4560</v>
      </c>
      <c r="L5331">
        <v>0</v>
      </c>
      <c r="M5331" s="452">
        <v>45534</v>
      </c>
      <c r="N5331">
        <v>149.9</v>
      </c>
      <c r="O5331">
        <v>145.9</v>
      </c>
      <c r="P5331">
        <v>104.93</v>
      </c>
    </row>
    <row r="5332" spans="1:16" x14ac:dyDescent="0.3">
      <c r="A5332">
        <v>17223</v>
      </c>
      <c r="B5332">
        <v>105</v>
      </c>
      <c r="C5332" t="s">
        <v>557</v>
      </c>
      <c r="D5332" s="452">
        <v>45689</v>
      </c>
      <c r="E5332">
        <v>20308</v>
      </c>
      <c r="F5332" t="s">
        <v>4909</v>
      </c>
      <c r="G5332">
        <v>2222</v>
      </c>
      <c r="H5332">
        <v>3</v>
      </c>
      <c r="I5332" t="s">
        <v>4738</v>
      </c>
      <c r="J5332" t="s">
        <v>5191</v>
      </c>
      <c r="K5332" t="s">
        <v>4560</v>
      </c>
      <c r="L5332">
        <v>33.9</v>
      </c>
      <c r="M5332" s="452">
        <v>45678</v>
      </c>
      <c r="N5332">
        <v>33.9</v>
      </c>
      <c r="O5332">
        <v>34.729999999999997</v>
      </c>
      <c r="P5332">
        <v>101.7</v>
      </c>
    </row>
    <row r="5333" spans="1:16" x14ac:dyDescent="0.3">
      <c r="A5333">
        <v>17568</v>
      </c>
      <c r="B5333">
        <v>105</v>
      </c>
      <c r="C5333" t="s">
        <v>557</v>
      </c>
      <c r="D5333" s="452">
        <v>45689</v>
      </c>
      <c r="E5333">
        <v>24414</v>
      </c>
      <c r="F5333" t="s">
        <v>4746</v>
      </c>
      <c r="G5333">
        <v>3670</v>
      </c>
      <c r="H5333">
        <v>46</v>
      </c>
      <c r="I5333" t="s">
        <v>4736</v>
      </c>
      <c r="J5333" t="s">
        <v>5222</v>
      </c>
      <c r="K5333" t="s">
        <v>4560</v>
      </c>
      <c r="L5333">
        <v>0</v>
      </c>
      <c r="M5333" s="452">
        <v>45623</v>
      </c>
      <c r="N5333">
        <v>2.19</v>
      </c>
      <c r="O5333">
        <v>2.19</v>
      </c>
      <c r="P5333">
        <v>100.74</v>
      </c>
    </row>
    <row r="5334" spans="1:16" x14ac:dyDescent="0.3">
      <c r="A5334">
        <v>17428</v>
      </c>
      <c r="B5334">
        <v>105</v>
      </c>
      <c r="C5334" t="s">
        <v>557</v>
      </c>
      <c r="D5334" s="452">
        <v>45689</v>
      </c>
      <c r="E5334">
        <v>19364</v>
      </c>
      <c r="F5334" t="s">
        <v>5599</v>
      </c>
      <c r="G5334">
        <v>2767</v>
      </c>
      <c r="H5334">
        <v>0.87</v>
      </c>
      <c r="I5334" t="s">
        <v>4736</v>
      </c>
      <c r="J5334" t="s">
        <v>5191</v>
      </c>
      <c r="K5334" t="s">
        <v>4560</v>
      </c>
      <c r="L5334">
        <v>0</v>
      </c>
      <c r="M5334" s="452">
        <v>45565</v>
      </c>
      <c r="N5334">
        <v>115.55</v>
      </c>
      <c r="O5334">
        <v>47.19</v>
      </c>
      <c r="P5334">
        <v>100.53</v>
      </c>
    </row>
    <row r="5335" spans="1:16" x14ac:dyDescent="0.3">
      <c r="A5335">
        <v>17376</v>
      </c>
      <c r="B5335">
        <v>105</v>
      </c>
      <c r="C5335" t="s">
        <v>557</v>
      </c>
      <c r="D5335" s="452">
        <v>45689</v>
      </c>
      <c r="E5335">
        <v>24522</v>
      </c>
      <c r="F5335" t="s">
        <v>5072</v>
      </c>
      <c r="G5335">
        <v>5651</v>
      </c>
      <c r="H5335">
        <v>4.3499999999999996</v>
      </c>
      <c r="I5335" t="s">
        <v>4744</v>
      </c>
      <c r="J5335" t="s">
        <v>5191</v>
      </c>
      <c r="K5335" t="s">
        <v>4560</v>
      </c>
      <c r="L5335">
        <v>22.54</v>
      </c>
      <c r="M5335" s="452">
        <v>45688</v>
      </c>
      <c r="N5335">
        <v>23.46</v>
      </c>
      <c r="O5335">
        <v>23.46</v>
      </c>
      <c r="P5335">
        <v>98.05</v>
      </c>
    </row>
    <row r="5336" spans="1:16" x14ac:dyDescent="0.3">
      <c r="A5336">
        <v>17193</v>
      </c>
      <c r="B5336">
        <v>105</v>
      </c>
      <c r="C5336" t="s">
        <v>557</v>
      </c>
      <c r="D5336" s="452">
        <v>45689</v>
      </c>
      <c r="E5336">
        <v>25761</v>
      </c>
      <c r="F5336" t="s">
        <v>4789</v>
      </c>
      <c r="G5336">
        <v>6312</v>
      </c>
      <c r="H5336">
        <v>14</v>
      </c>
      <c r="I5336" t="s">
        <v>4736</v>
      </c>
      <c r="J5336" t="s">
        <v>5191</v>
      </c>
      <c r="K5336" t="s">
        <v>4560</v>
      </c>
      <c r="L5336">
        <v>0</v>
      </c>
      <c r="M5336" s="452">
        <v>-693593</v>
      </c>
      <c r="N5336">
        <v>0</v>
      </c>
      <c r="O5336">
        <v>0</v>
      </c>
      <c r="P5336">
        <v>97.86</v>
      </c>
    </row>
    <row r="5337" spans="1:16" x14ac:dyDescent="0.3">
      <c r="A5337">
        <v>17206</v>
      </c>
      <c r="B5337">
        <v>105</v>
      </c>
      <c r="C5337" t="s">
        <v>557</v>
      </c>
      <c r="D5337" s="452">
        <v>45689</v>
      </c>
      <c r="E5337">
        <v>25752</v>
      </c>
      <c r="F5337" t="s">
        <v>5000</v>
      </c>
      <c r="G5337">
        <v>6303</v>
      </c>
      <c r="H5337">
        <v>14</v>
      </c>
      <c r="I5337" t="s">
        <v>4749</v>
      </c>
      <c r="J5337" t="s">
        <v>5191</v>
      </c>
      <c r="K5337" t="s">
        <v>4560</v>
      </c>
      <c r="L5337">
        <v>0</v>
      </c>
      <c r="M5337" s="452">
        <v>-693593</v>
      </c>
      <c r="N5337">
        <v>0</v>
      </c>
      <c r="O5337">
        <v>0</v>
      </c>
      <c r="P5337">
        <v>97.86</v>
      </c>
    </row>
    <row r="5338" spans="1:16" x14ac:dyDescent="0.3">
      <c r="A5338">
        <v>17565</v>
      </c>
      <c r="B5338">
        <v>105</v>
      </c>
      <c r="C5338" t="s">
        <v>557</v>
      </c>
      <c r="D5338" s="452">
        <v>45689</v>
      </c>
      <c r="E5338">
        <v>24308</v>
      </c>
      <c r="F5338" t="s">
        <v>4757</v>
      </c>
      <c r="G5338">
        <v>3658</v>
      </c>
      <c r="H5338">
        <v>43</v>
      </c>
      <c r="I5338" t="s">
        <v>4736</v>
      </c>
      <c r="J5338" t="s">
        <v>5222</v>
      </c>
      <c r="K5338" t="s">
        <v>4560</v>
      </c>
      <c r="L5338">
        <v>2.19</v>
      </c>
      <c r="M5338" s="452">
        <v>45679</v>
      </c>
      <c r="N5338">
        <v>2.19</v>
      </c>
      <c r="O5338">
        <v>2.19</v>
      </c>
      <c r="P5338">
        <v>94.17</v>
      </c>
    </row>
    <row r="5339" spans="1:16" x14ac:dyDescent="0.3">
      <c r="A5339">
        <v>17231</v>
      </c>
      <c r="B5339">
        <v>105</v>
      </c>
      <c r="C5339" t="s">
        <v>557</v>
      </c>
      <c r="D5339" s="452">
        <v>45689</v>
      </c>
      <c r="E5339">
        <v>20721</v>
      </c>
      <c r="F5339" t="s">
        <v>5600</v>
      </c>
      <c r="G5339">
        <v>2096</v>
      </c>
      <c r="H5339">
        <v>2</v>
      </c>
      <c r="I5339" t="s">
        <v>4736</v>
      </c>
      <c r="J5339" t="s">
        <v>5191</v>
      </c>
      <c r="K5339" t="s">
        <v>4560</v>
      </c>
      <c r="L5339">
        <v>0</v>
      </c>
      <c r="M5339" s="452">
        <v>45539</v>
      </c>
      <c r="N5339">
        <v>46.9</v>
      </c>
      <c r="O5339">
        <v>49.98</v>
      </c>
      <c r="P5339">
        <v>93.8</v>
      </c>
    </row>
    <row r="5340" spans="1:16" x14ac:dyDescent="0.3">
      <c r="A5340">
        <v>17302</v>
      </c>
      <c r="B5340">
        <v>105</v>
      </c>
      <c r="C5340" t="s">
        <v>557</v>
      </c>
      <c r="D5340" s="452">
        <v>45689</v>
      </c>
      <c r="E5340">
        <v>20871</v>
      </c>
      <c r="F5340" t="s">
        <v>5015</v>
      </c>
      <c r="G5340">
        <v>2043</v>
      </c>
      <c r="H5340">
        <v>3.03</v>
      </c>
      <c r="I5340" t="s">
        <v>4879</v>
      </c>
      <c r="J5340" t="s">
        <v>5191</v>
      </c>
      <c r="K5340" t="s">
        <v>4560</v>
      </c>
      <c r="L5340">
        <v>30.9</v>
      </c>
      <c r="M5340" s="452">
        <v>45679</v>
      </c>
      <c r="N5340">
        <v>30.9</v>
      </c>
      <c r="O5340">
        <v>15.8</v>
      </c>
      <c r="P5340">
        <v>93.63</v>
      </c>
    </row>
    <row r="5341" spans="1:16" x14ac:dyDescent="0.3">
      <c r="A5341">
        <v>17363</v>
      </c>
      <c r="B5341">
        <v>105</v>
      </c>
      <c r="C5341" t="s">
        <v>557</v>
      </c>
      <c r="D5341" s="452">
        <v>45689</v>
      </c>
      <c r="E5341">
        <v>19628</v>
      </c>
      <c r="F5341" t="s">
        <v>5601</v>
      </c>
      <c r="G5341">
        <v>2606</v>
      </c>
      <c r="H5341">
        <v>35.32</v>
      </c>
      <c r="I5341" t="s">
        <v>4744</v>
      </c>
      <c r="J5341" t="s">
        <v>5191</v>
      </c>
      <c r="K5341" t="s">
        <v>4560</v>
      </c>
      <c r="L5341">
        <v>2.62</v>
      </c>
      <c r="M5341" s="452">
        <v>45681</v>
      </c>
      <c r="N5341">
        <v>2.8</v>
      </c>
      <c r="O5341">
        <v>2.4</v>
      </c>
      <c r="P5341">
        <v>92.54</v>
      </c>
    </row>
    <row r="5342" spans="1:16" x14ac:dyDescent="0.3">
      <c r="A5342">
        <v>17512</v>
      </c>
      <c r="B5342">
        <v>105</v>
      </c>
      <c r="C5342" t="s">
        <v>557</v>
      </c>
      <c r="D5342" s="452">
        <v>45689</v>
      </c>
      <c r="E5342">
        <v>18339</v>
      </c>
      <c r="F5342" t="s">
        <v>5033</v>
      </c>
      <c r="G5342">
        <v>3296</v>
      </c>
      <c r="H5342">
        <v>1.7</v>
      </c>
      <c r="I5342" t="s">
        <v>4805</v>
      </c>
      <c r="J5342" t="s">
        <v>5222</v>
      </c>
      <c r="K5342" t="s">
        <v>4560</v>
      </c>
      <c r="L5342">
        <v>0</v>
      </c>
      <c r="M5342" s="452">
        <v>-693593</v>
      </c>
      <c r="N5342">
        <v>0</v>
      </c>
      <c r="O5342">
        <v>53.67</v>
      </c>
      <c r="P5342">
        <v>91.24</v>
      </c>
    </row>
    <row r="5343" spans="1:16" x14ac:dyDescent="0.3">
      <c r="A5343">
        <v>17191</v>
      </c>
      <c r="B5343">
        <v>105</v>
      </c>
      <c r="C5343" t="s">
        <v>557</v>
      </c>
      <c r="D5343" s="452">
        <v>45689</v>
      </c>
      <c r="E5343">
        <v>25758</v>
      </c>
      <c r="F5343" t="s">
        <v>4775</v>
      </c>
      <c r="G5343">
        <v>9066</v>
      </c>
      <c r="H5343">
        <v>13</v>
      </c>
      <c r="I5343" t="s">
        <v>4736</v>
      </c>
      <c r="J5343" t="s">
        <v>5191</v>
      </c>
      <c r="K5343" t="s">
        <v>4560</v>
      </c>
      <c r="L5343">
        <v>0</v>
      </c>
      <c r="M5343" s="452">
        <v>-693593</v>
      </c>
      <c r="N5343">
        <v>0</v>
      </c>
      <c r="O5343">
        <v>0</v>
      </c>
      <c r="P5343">
        <v>90.87</v>
      </c>
    </row>
    <row r="5344" spans="1:16" x14ac:dyDescent="0.3">
      <c r="A5344">
        <v>17195</v>
      </c>
      <c r="B5344">
        <v>105</v>
      </c>
      <c r="C5344" t="s">
        <v>557</v>
      </c>
      <c r="D5344" s="452">
        <v>45689</v>
      </c>
      <c r="E5344">
        <v>25760</v>
      </c>
      <c r="F5344" t="s">
        <v>4787</v>
      </c>
      <c r="G5344">
        <v>6311</v>
      </c>
      <c r="H5344">
        <v>13</v>
      </c>
      <c r="I5344" t="s">
        <v>4736</v>
      </c>
      <c r="J5344" t="s">
        <v>5191</v>
      </c>
      <c r="K5344" t="s">
        <v>4560</v>
      </c>
      <c r="L5344">
        <v>0</v>
      </c>
      <c r="M5344" s="452">
        <v>-693593</v>
      </c>
      <c r="N5344">
        <v>0</v>
      </c>
      <c r="O5344">
        <v>0</v>
      </c>
      <c r="P5344">
        <v>90.87</v>
      </c>
    </row>
    <row r="5345" spans="1:16" x14ac:dyDescent="0.3">
      <c r="A5345">
        <v>17523</v>
      </c>
      <c r="B5345">
        <v>105</v>
      </c>
      <c r="C5345" t="s">
        <v>557</v>
      </c>
      <c r="D5345" s="452">
        <v>45689</v>
      </c>
      <c r="E5345">
        <v>18242</v>
      </c>
      <c r="F5345" t="s">
        <v>5581</v>
      </c>
      <c r="G5345">
        <v>3386</v>
      </c>
      <c r="H5345">
        <v>0.4</v>
      </c>
      <c r="I5345" t="s">
        <v>4805</v>
      </c>
      <c r="J5345" t="s">
        <v>5222</v>
      </c>
      <c r="K5345" t="s">
        <v>4560</v>
      </c>
      <c r="L5345">
        <v>0</v>
      </c>
      <c r="M5345" s="452">
        <v>-693593</v>
      </c>
      <c r="N5345">
        <v>0</v>
      </c>
      <c r="O5345">
        <v>227.11</v>
      </c>
      <c r="P5345">
        <v>90.84</v>
      </c>
    </row>
    <row r="5346" spans="1:16" x14ac:dyDescent="0.3">
      <c r="A5346">
        <v>17652</v>
      </c>
      <c r="B5346">
        <v>105</v>
      </c>
      <c r="C5346" t="s">
        <v>557</v>
      </c>
      <c r="D5346" s="452">
        <v>45689</v>
      </c>
      <c r="E5346">
        <v>24640</v>
      </c>
      <c r="F5346" t="s">
        <v>5585</v>
      </c>
      <c r="G5346">
        <v>5691</v>
      </c>
      <c r="H5346">
        <v>1</v>
      </c>
      <c r="I5346" t="s">
        <v>4805</v>
      </c>
      <c r="J5346" t="s">
        <v>5222</v>
      </c>
      <c r="K5346" t="s">
        <v>4560</v>
      </c>
      <c r="L5346">
        <v>0</v>
      </c>
      <c r="M5346" s="452">
        <v>45432</v>
      </c>
      <c r="N5346">
        <v>59</v>
      </c>
      <c r="O5346">
        <v>59</v>
      </c>
      <c r="P5346">
        <v>89.8</v>
      </c>
    </row>
    <row r="5347" spans="1:16" x14ac:dyDescent="0.3">
      <c r="A5347">
        <v>17314</v>
      </c>
      <c r="B5347">
        <v>105</v>
      </c>
      <c r="C5347" t="s">
        <v>557</v>
      </c>
      <c r="D5347" s="452">
        <v>45689</v>
      </c>
      <c r="E5347">
        <v>19955</v>
      </c>
      <c r="F5347" t="s">
        <v>4985</v>
      </c>
      <c r="G5347">
        <v>2359</v>
      </c>
      <c r="H5347">
        <v>1.5</v>
      </c>
      <c r="I5347" t="s">
        <v>4736</v>
      </c>
      <c r="J5347" t="s">
        <v>5191</v>
      </c>
      <c r="K5347" t="s">
        <v>4560</v>
      </c>
      <c r="L5347">
        <v>59.6</v>
      </c>
      <c r="M5347" s="452">
        <v>45678</v>
      </c>
      <c r="N5347">
        <v>59.6</v>
      </c>
      <c r="O5347">
        <v>59.6</v>
      </c>
      <c r="P5347">
        <v>89.4</v>
      </c>
    </row>
    <row r="5348" spans="1:16" x14ac:dyDescent="0.3">
      <c r="A5348">
        <v>17370</v>
      </c>
      <c r="B5348">
        <v>105</v>
      </c>
      <c r="C5348" t="s">
        <v>557</v>
      </c>
      <c r="D5348" s="452">
        <v>45689</v>
      </c>
      <c r="E5348">
        <v>19844</v>
      </c>
      <c r="F5348" t="s">
        <v>5475</v>
      </c>
      <c r="G5348">
        <v>2424</v>
      </c>
      <c r="H5348">
        <v>2</v>
      </c>
      <c r="I5348" t="s">
        <v>4744</v>
      </c>
      <c r="J5348" t="s">
        <v>5191</v>
      </c>
      <c r="K5348" t="s">
        <v>4560</v>
      </c>
      <c r="L5348">
        <v>44.33</v>
      </c>
      <c r="M5348" s="452">
        <v>45681</v>
      </c>
      <c r="N5348">
        <v>43</v>
      </c>
      <c r="O5348">
        <v>45</v>
      </c>
      <c r="P5348">
        <v>88.66</v>
      </c>
    </row>
    <row r="5349" spans="1:16" x14ac:dyDescent="0.3">
      <c r="A5349">
        <v>17361</v>
      </c>
      <c r="B5349">
        <v>105</v>
      </c>
      <c r="C5349" t="s">
        <v>557</v>
      </c>
      <c r="D5349" s="452">
        <v>45689</v>
      </c>
      <c r="E5349">
        <v>19492</v>
      </c>
      <c r="F5349" t="s">
        <v>4937</v>
      </c>
      <c r="G5349">
        <v>2717</v>
      </c>
      <c r="H5349">
        <v>7.15</v>
      </c>
      <c r="I5349" t="s">
        <v>4744</v>
      </c>
      <c r="J5349" t="s">
        <v>5191</v>
      </c>
      <c r="K5349" t="s">
        <v>4560</v>
      </c>
      <c r="L5349">
        <v>12.18</v>
      </c>
      <c r="M5349" s="452">
        <v>45688</v>
      </c>
      <c r="N5349">
        <v>13</v>
      </c>
      <c r="O5349">
        <v>13.02</v>
      </c>
      <c r="P5349">
        <v>87.09</v>
      </c>
    </row>
    <row r="5350" spans="1:16" x14ac:dyDescent="0.3">
      <c r="A5350">
        <v>17312</v>
      </c>
      <c r="B5350">
        <v>105</v>
      </c>
      <c r="C5350" t="s">
        <v>557</v>
      </c>
      <c r="D5350" s="452">
        <v>45689</v>
      </c>
      <c r="E5350">
        <v>19966</v>
      </c>
      <c r="F5350" t="s">
        <v>5602</v>
      </c>
      <c r="G5350">
        <v>2356</v>
      </c>
      <c r="H5350">
        <v>1.63</v>
      </c>
      <c r="I5350" t="s">
        <v>4736</v>
      </c>
      <c r="J5350" t="s">
        <v>5191</v>
      </c>
      <c r="K5350" t="s">
        <v>4560</v>
      </c>
      <c r="L5350">
        <v>51.9</v>
      </c>
      <c r="M5350" s="452">
        <v>45678</v>
      </c>
      <c r="N5350">
        <v>51.9</v>
      </c>
      <c r="O5350">
        <v>51.9</v>
      </c>
      <c r="P5350">
        <v>84.6</v>
      </c>
    </row>
    <row r="5351" spans="1:16" x14ac:dyDescent="0.3">
      <c r="A5351">
        <v>17520</v>
      </c>
      <c r="B5351">
        <v>105</v>
      </c>
      <c r="C5351" t="s">
        <v>557</v>
      </c>
      <c r="D5351" s="452">
        <v>45689</v>
      </c>
      <c r="E5351">
        <v>18273</v>
      </c>
      <c r="F5351" t="s">
        <v>5058</v>
      </c>
      <c r="G5351">
        <v>3357</v>
      </c>
      <c r="H5351">
        <v>2.15</v>
      </c>
      <c r="I5351" t="s">
        <v>4805</v>
      </c>
      <c r="J5351" t="s">
        <v>5222</v>
      </c>
      <c r="K5351" t="s">
        <v>4560</v>
      </c>
      <c r="L5351">
        <v>0</v>
      </c>
      <c r="M5351" s="452">
        <v>-693593</v>
      </c>
      <c r="N5351">
        <v>0</v>
      </c>
      <c r="O5351">
        <v>39.18</v>
      </c>
      <c r="P5351">
        <v>84.24</v>
      </c>
    </row>
    <row r="5352" spans="1:16" x14ac:dyDescent="0.3">
      <c r="A5352">
        <v>17194</v>
      </c>
      <c r="B5352">
        <v>105</v>
      </c>
      <c r="C5352" t="s">
        <v>557</v>
      </c>
      <c r="D5352" s="452">
        <v>45689</v>
      </c>
      <c r="E5352">
        <v>25747</v>
      </c>
      <c r="F5352" t="s">
        <v>4794</v>
      </c>
      <c r="G5352">
        <v>6299</v>
      </c>
      <c r="H5352">
        <v>12</v>
      </c>
      <c r="I5352" t="s">
        <v>4736</v>
      </c>
      <c r="J5352" t="s">
        <v>5191</v>
      </c>
      <c r="K5352" t="s">
        <v>4560</v>
      </c>
      <c r="L5352">
        <v>0</v>
      </c>
      <c r="M5352" s="452">
        <v>-693593</v>
      </c>
      <c r="N5352">
        <v>0</v>
      </c>
      <c r="O5352">
        <v>0</v>
      </c>
      <c r="P5352">
        <v>83.88</v>
      </c>
    </row>
    <row r="5353" spans="1:16" x14ac:dyDescent="0.3">
      <c r="A5353">
        <v>17198</v>
      </c>
      <c r="B5353">
        <v>105</v>
      </c>
      <c r="C5353" t="s">
        <v>557</v>
      </c>
      <c r="D5353" s="452">
        <v>45689</v>
      </c>
      <c r="E5353">
        <v>25757</v>
      </c>
      <c r="F5353" t="s">
        <v>4763</v>
      </c>
      <c r="G5353">
        <v>6308</v>
      </c>
      <c r="H5353">
        <v>12</v>
      </c>
      <c r="I5353" t="s">
        <v>4736</v>
      </c>
      <c r="J5353" t="s">
        <v>5191</v>
      </c>
      <c r="K5353" t="s">
        <v>4560</v>
      </c>
      <c r="L5353">
        <v>0</v>
      </c>
      <c r="M5353" s="452">
        <v>-693593</v>
      </c>
      <c r="N5353">
        <v>0</v>
      </c>
      <c r="O5353">
        <v>0</v>
      </c>
      <c r="P5353">
        <v>83.88</v>
      </c>
    </row>
    <row r="5354" spans="1:16" x14ac:dyDescent="0.3">
      <c r="A5354">
        <v>17207</v>
      </c>
      <c r="B5354">
        <v>105</v>
      </c>
      <c r="C5354" t="s">
        <v>557</v>
      </c>
      <c r="D5354" s="452">
        <v>45689</v>
      </c>
      <c r="E5354">
        <v>24456</v>
      </c>
      <c r="F5354" t="s">
        <v>4845</v>
      </c>
      <c r="G5354">
        <v>1965</v>
      </c>
      <c r="H5354">
        <v>3.2</v>
      </c>
      <c r="I5354" t="s">
        <v>4744</v>
      </c>
      <c r="J5354" t="s">
        <v>5191</v>
      </c>
      <c r="K5354" t="s">
        <v>4560</v>
      </c>
      <c r="L5354">
        <v>0</v>
      </c>
      <c r="M5354" s="452">
        <v>45546</v>
      </c>
      <c r="N5354">
        <v>26</v>
      </c>
      <c r="O5354">
        <v>27</v>
      </c>
      <c r="P5354">
        <v>83.2</v>
      </c>
    </row>
    <row r="5355" spans="1:16" x14ac:dyDescent="0.3">
      <c r="A5355">
        <v>17404</v>
      </c>
      <c r="B5355">
        <v>105</v>
      </c>
      <c r="C5355" t="s">
        <v>557</v>
      </c>
      <c r="D5355" s="452">
        <v>45689</v>
      </c>
      <c r="E5355">
        <v>19790</v>
      </c>
      <c r="F5355" t="s">
        <v>5073</v>
      </c>
      <c r="G5355">
        <v>2469</v>
      </c>
      <c r="H5355">
        <v>2</v>
      </c>
      <c r="I5355" t="s">
        <v>4744</v>
      </c>
      <c r="J5355" t="s">
        <v>5191</v>
      </c>
      <c r="K5355" t="s">
        <v>4560</v>
      </c>
      <c r="L5355">
        <v>41.4</v>
      </c>
      <c r="M5355" s="452">
        <v>45687</v>
      </c>
      <c r="N5355">
        <v>41.4</v>
      </c>
      <c r="O5355">
        <v>41.4</v>
      </c>
      <c r="P5355">
        <v>82.8</v>
      </c>
    </row>
    <row r="5356" spans="1:16" x14ac:dyDescent="0.3">
      <c r="A5356">
        <v>17301</v>
      </c>
      <c r="B5356">
        <v>105</v>
      </c>
      <c r="C5356" t="s">
        <v>557</v>
      </c>
      <c r="D5356" s="452">
        <v>45689</v>
      </c>
      <c r="E5356">
        <v>23861</v>
      </c>
      <c r="F5356" t="s">
        <v>5531</v>
      </c>
      <c r="G5356">
        <v>2040</v>
      </c>
      <c r="H5356">
        <v>2.56</v>
      </c>
      <c r="I5356" t="s">
        <v>4744</v>
      </c>
      <c r="J5356" t="s">
        <v>5191</v>
      </c>
      <c r="K5356" t="s">
        <v>4560</v>
      </c>
      <c r="L5356">
        <v>32</v>
      </c>
      <c r="M5356" s="452">
        <v>45679</v>
      </c>
      <c r="N5356">
        <v>32</v>
      </c>
      <c r="O5356">
        <v>32</v>
      </c>
      <c r="P5356">
        <v>81.92</v>
      </c>
    </row>
    <row r="5357" spans="1:16" x14ac:dyDescent="0.3">
      <c r="A5357">
        <v>17449</v>
      </c>
      <c r="B5357">
        <v>105</v>
      </c>
      <c r="C5357" t="s">
        <v>557</v>
      </c>
      <c r="D5357" s="452">
        <v>45689</v>
      </c>
      <c r="E5357">
        <v>22860</v>
      </c>
      <c r="F5357" t="s">
        <v>4777</v>
      </c>
      <c r="G5357">
        <v>2924</v>
      </c>
      <c r="H5357">
        <v>1.85</v>
      </c>
      <c r="I5357" t="s">
        <v>4744</v>
      </c>
      <c r="J5357" t="s">
        <v>5191</v>
      </c>
      <c r="K5357" t="s">
        <v>4560</v>
      </c>
      <c r="L5357">
        <v>44</v>
      </c>
      <c r="M5357" s="452">
        <v>45678</v>
      </c>
      <c r="N5357">
        <v>44</v>
      </c>
      <c r="O5357">
        <v>44</v>
      </c>
      <c r="P5357">
        <v>81.400000000000006</v>
      </c>
    </row>
    <row r="5358" spans="1:16" x14ac:dyDescent="0.3">
      <c r="A5358">
        <v>17566</v>
      </c>
      <c r="B5358">
        <v>105</v>
      </c>
      <c r="C5358" t="s">
        <v>557</v>
      </c>
      <c r="D5358" s="452">
        <v>45689</v>
      </c>
      <c r="E5358">
        <v>24409</v>
      </c>
      <c r="F5358" t="s">
        <v>4742</v>
      </c>
      <c r="G5358">
        <v>3665</v>
      </c>
      <c r="H5358">
        <v>37</v>
      </c>
      <c r="I5358" t="s">
        <v>4736</v>
      </c>
      <c r="J5358" t="s">
        <v>5222</v>
      </c>
      <c r="K5358" t="s">
        <v>4560</v>
      </c>
      <c r="L5358">
        <v>0</v>
      </c>
      <c r="M5358" s="452">
        <v>45646</v>
      </c>
      <c r="N5358">
        <v>2.19</v>
      </c>
      <c r="O5358">
        <v>2.19</v>
      </c>
      <c r="P5358">
        <v>81.03</v>
      </c>
    </row>
    <row r="5359" spans="1:16" x14ac:dyDescent="0.3">
      <c r="A5359">
        <v>17345</v>
      </c>
      <c r="B5359">
        <v>105</v>
      </c>
      <c r="C5359" t="s">
        <v>557</v>
      </c>
      <c r="D5359" s="452">
        <v>45689</v>
      </c>
      <c r="E5359">
        <v>19502</v>
      </c>
      <c r="F5359" t="s">
        <v>4871</v>
      </c>
      <c r="G5359">
        <v>2708</v>
      </c>
      <c r="H5359">
        <v>6.4</v>
      </c>
      <c r="I5359" t="s">
        <v>4744</v>
      </c>
      <c r="J5359" t="s">
        <v>5191</v>
      </c>
      <c r="K5359" t="s">
        <v>4560</v>
      </c>
      <c r="L5359">
        <v>12.48</v>
      </c>
      <c r="M5359" s="452">
        <v>45688</v>
      </c>
      <c r="N5359">
        <v>12.42</v>
      </c>
      <c r="O5359">
        <v>12.42</v>
      </c>
      <c r="P5359">
        <v>79.87</v>
      </c>
    </row>
    <row r="5360" spans="1:16" x14ac:dyDescent="0.3">
      <c r="A5360">
        <v>17218</v>
      </c>
      <c r="B5360">
        <v>105</v>
      </c>
      <c r="C5360" t="s">
        <v>557</v>
      </c>
      <c r="D5360" s="452">
        <v>45689</v>
      </c>
      <c r="E5360">
        <v>20756</v>
      </c>
      <c r="F5360" t="s">
        <v>5001</v>
      </c>
      <c r="G5360">
        <v>2086</v>
      </c>
      <c r="H5360">
        <v>1</v>
      </c>
      <c r="I5360" t="s">
        <v>4736</v>
      </c>
      <c r="J5360" t="s">
        <v>5191</v>
      </c>
      <c r="K5360" t="s">
        <v>4560</v>
      </c>
      <c r="L5360">
        <v>0</v>
      </c>
      <c r="M5360" s="452">
        <v>45607</v>
      </c>
      <c r="N5360">
        <v>79.2</v>
      </c>
      <c r="O5360">
        <v>78.900000000000006</v>
      </c>
      <c r="P5360">
        <v>79.2</v>
      </c>
    </row>
    <row r="5361" spans="1:16" x14ac:dyDescent="0.3">
      <c r="A5361">
        <v>17235</v>
      </c>
      <c r="B5361">
        <v>105</v>
      </c>
      <c r="C5361" t="s">
        <v>557</v>
      </c>
      <c r="D5361" s="452">
        <v>45689</v>
      </c>
      <c r="E5361">
        <v>24638</v>
      </c>
      <c r="F5361" t="s">
        <v>4948</v>
      </c>
      <c r="G5361">
        <v>5690</v>
      </c>
      <c r="H5361">
        <v>2</v>
      </c>
      <c r="I5361" t="s">
        <v>4749</v>
      </c>
      <c r="J5361" t="s">
        <v>5191</v>
      </c>
      <c r="K5361" t="s">
        <v>4560</v>
      </c>
      <c r="L5361">
        <v>39.5</v>
      </c>
      <c r="M5361" s="452">
        <v>45674</v>
      </c>
      <c r="N5361">
        <v>39.5</v>
      </c>
      <c r="O5361">
        <v>39.5</v>
      </c>
      <c r="P5361">
        <v>79</v>
      </c>
    </row>
    <row r="5362" spans="1:16" x14ac:dyDescent="0.3">
      <c r="A5362">
        <v>17557</v>
      </c>
      <c r="B5362">
        <v>105</v>
      </c>
      <c r="C5362" t="s">
        <v>557</v>
      </c>
      <c r="D5362" s="452">
        <v>45689</v>
      </c>
      <c r="E5362">
        <v>18004</v>
      </c>
      <c r="F5362" t="s">
        <v>5093</v>
      </c>
      <c r="G5362">
        <v>3592</v>
      </c>
      <c r="H5362">
        <v>3</v>
      </c>
      <c r="I5362" t="s">
        <v>4738</v>
      </c>
      <c r="J5362" t="s">
        <v>5222</v>
      </c>
      <c r="K5362" t="s">
        <v>4560</v>
      </c>
      <c r="L5362">
        <v>0</v>
      </c>
      <c r="M5362" s="452">
        <v>45595</v>
      </c>
      <c r="N5362">
        <v>2.19</v>
      </c>
      <c r="O5362">
        <v>26.28</v>
      </c>
      <c r="P5362">
        <v>78.84</v>
      </c>
    </row>
    <row r="5363" spans="1:16" x14ac:dyDescent="0.3">
      <c r="A5363">
        <v>17236</v>
      </c>
      <c r="B5363">
        <v>105</v>
      </c>
      <c r="C5363" t="s">
        <v>557</v>
      </c>
      <c r="D5363" s="452">
        <v>45689</v>
      </c>
      <c r="E5363">
        <v>20269</v>
      </c>
      <c r="F5363" t="s">
        <v>5578</v>
      </c>
      <c r="G5363">
        <v>2233</v>
      </c>
      <c r="H5363">
        <v>1</v>
      </c>
      <c r="I5363" t="s">
        <v>4736</v>
      </c>
      <c r="J5363" t="s">
        <v>5191</v>
      </c>
      <c r="K5363" t="s">
        <v>4560</v>
      </c>
      <c r="L5363">
        <v>0</v>
      </c>
      <c r="M5363" s="452">
        <v>45646</v>
      </c>
      <c r="N5363">
        <v>78.599999999999994</v>
      </c>
      <c r="O5363">
        <v>78.599999999999994</v>
      </c>
      <c r="P5363">
        <v>78.599999999999994</v>
      </c>
    </row>
    <row r="5364" spans="1:16" x14ac:dyDescent="0.3">
      <c r="A5364">
        <v>17282</v>
      </c>
      <c r="B5364">
        <v>105</v>
      </c>
      <c r="C5364" t="s">
        <v>557</v>
      </c>
      <c r="D5364" s="452">
        <v>45689</v>
      </c>
      <c r="E5364">
        <v>20661</v>
      </c>
      <c r="F5364" t="s">
        <v>5012</v>
      </c>
      <c r="G5364">
        <v>2110</v>
      </c>
      <c r="H5364">
        <v>9</v>
      </c>
      <c r="I5364" t="s">
        <v>4736</v>
      </c>
      <c r="J5364" t="s">
        <v>5191</v>
      </c>
      <c r="K5364" t="s">
        <v>4560</v>
      </c>
      <c r="L5364">
        <v>0</v>
      </c>
      <c r="M5364" s="452">
        <v>45643</v>
      </c>
      <c r="N5364">
        <v>8.6999999999999993</v>
      </c>
      <c r="O5364">
        <v>8.82</v>
      </c>
      <c r="P5364">
        <v>78.3</v>
      </c>
    </row>
    <row r="5365" spans="1:16" x14ac:dyDescent="0.3">
      <c r="A5365">
        <v>17260</v>
      </c>
      <c r="B5365">
        <v>105</v>
      </c>
      <c r="C5365" t="s">
        <v>557</v>
      </c>
      <c r="D5365" s="452">
        <v>45689</v>
      </c>
      <c r="E5365">
        <v>20359</v>
      </c>
      <c r="F5365" t="s">
        <v>5446</v>
      </c>
      <c r="G5365">
        <v>2199</v>
      </c>
      <c r="H5365">
        <v>17</v>
      </c>
      <c r="I5365" t="s">
        <v>4736</v>
      </c>
      <c r="J5365" t="s">
        <v>5191</v>
      </c>
      <c r="K5365" t="s">
        <v>4560</v>
      </c>
      <c r="L5365">
        <v>4.5999999999999996</v>
      </c>
      <c r="M5365" s="452">
        <v>45677</v>
      </c>
      <c r="N5365">
        <v>4.5999999999999996</v>
      </c>
      <c r="O5365">
        <v>4.6900000000000004</v>
      </c>
      <c r="P5365">
        <v>78.2</v>
      </c>
    </row>
    <row r="5366" spans="1:16" x14ac:dyDescent="0.3">
      <c r="A5366">
        <v>17545</v>
      </c>
      <c r="B5366">
        <v>105</v>
      </c>
      <c r="C5366" t="s">
        <v>557</v>
      </c>
      <c r="D5366" s="452">
        <v>45689</v>
      </c>
      <c r="E5366">
        <v>18073</v>
      </c>
      <c r="F5366" t="s">
        <v>4974</v>
      </c>
      <c r="G5366">
        <v>3536</v>
      </c>
      <c r="H5366">
        <v>1.7</v>
      </c>
      <c r="I5366" t="s">
        <v>4805</v>
      </c>
      <c r="J5366" t="s">
        <v>5222</v>
      </c>
      <c r="K5366" t="s">
        <v>4560</v>
      </c>
      <c r="L5366">
        <v>46</v>
      </c>
      <c r="M5366" s="452">
        <v>45686</v>
      </c>
      <c r="N5366">
        <v>46</v>
      </c>
      <c r="O5366">
        <v>46</v>
      </c>
      <c r="P5366">
        <v>78.2</v>
      </c>
    </row>
    <row r="5367" spans="1:16" x14ac:dyDescent="0.3">
      <c r="A5367">
        <v>17657</v>
      </c>
      <c r="B5367">
        <v>105</v>
      </c>
      <c r="C5367" t="s">
        <v>557</v>
      </c>
      <c r="D5367" s="452">
        <v>45689</v>
      </c>
      <c r="E5367">
        <v>26242</v>
      </c>
      <c r="F5367" t="s">
        <v>4957</v>
      </c>
      <c r="G5367">
        <v>6641</v>
      </c>
      <c r="H5367">
        <v>6</v>
      </c>
      <c r="I5367" t="s">
        <v>4736</v>
      </c>
      <c r="J5367" t="s">
        <v>5191</v>
      </c>
      <c r="K5367" t="s">
        <v>4560</v>
      </c>
      <c r="L5367">
        <v>0</v>
      </c>
      <c r="M5367" s="452">
        <v>-693593</v>
      </c>
      <c r="N5367">
        <v>0</v>
      </c>
      <c r="O5367">
        <v>0</v>
      </c>
      <c r="P5367">
        <v>77.94</v>
      </c>
    </row>
    <row r="5368" spans="1:16" x14ac:dyDescent="0.3">
      <c r="A5368">
        <v>17360</v>
      </c>
      <c r="B5368">
        <v>105</v>
      </c>
      <c r="C5368" t="s">
        <v>557</v>
      </c>
      <c r="D5368" s="452">
        <v>45689</v>
      </c>
      <c r="E5368">
        <v>24099</v>
      </c>
      <c r="F5368" t="s">
        <v>4933</v>
      </c>
      <c r="G5368">
        <v>2716</v>
      </c>
      <c r="H5368">
        <v>5.52</v>
      </c>
      <c r="I5368" t="s">
        <v>4744</v>
      </c>
      <c r="J5368" t="s">
        <v>5191</v>
      </c>
      <c r="K5368" t="s">
        <v>4560</v>
      </c>
      <c r="L5368">
        <v>14</v>
      </c>
      <c r="M5368" s="452">
        <v>45688</v>
      </c>
      <c r="N5368">
        <v>16</v>
      </c>
      <c r="O5368">
        <v>16</v>
      </c>
      <c r="P5368">
        <v>77.28</v>
      </c>
    </row>
    <row r="5369" spans="1:16" x14ac:dyDescent="0.3">
      <c r="A5369">
        <v>17196</v>
      </c>
      <c r="B5369">
        <v>105</v>
      </c>
      <c r="C5369" t="s">
        <v>557</v>
      </c>
      <c r="D5369" s="452">
        <v>45689</v>
      </c>
      <c r="E5369">
        <v>25763</v>
      </c>
      <c r="F5369" t="s">
        <v>4943</v>
      </c>
      <c r="G5369">
        <v>6314</v>
      </c>
      <c r="H5369">
        <v>11</v>
      </c>
      <c r="I5369" t="s">
        <v>4736</v>
      </c>
      <c r="J5369" t="s">
        <v>5191</v>
      </c>
      <c r="K5369" t="s">
        <v>4560</v>
      </c>
      <c r="L5369">
        <v>0</v>
      </c>
      <c r="M5369" s="452">
        <v>-693593</v>
      </c>
      <c r="N5369">
        <v>0</v>
      </c>
      <c r="O5369">
        <v>0</v>
      </c>
      <c r="P5369">
        <v>76.89</v>
      </c>
    </row>
    <row r="5370" spans="1:16" x14ac:dyDescent="0.3">
      <c r="A5370">
        <v>17199</v>
      </c>
      <c r="B5370">
        <v>105</v>
      </c>
      <c r="C5370" t="s">
        <v>557</v>
      </c>
      <c r="D5370" s="452">
        <v>45689</v>
      </c>
      <c r="E5370">
        <v>25762</v>
      </c>
      <c r="F5370" t="s">
        <v>4770</v>
      </c>
      <c r="G5370">
        <v>9070</v>
      </c>
      <c r="H5370">
        <v>11</v>
      </c>
      <c r="I5370" t="s">
        <v>4736</v>
      </c>
      <c r="J5370" t="s">
        <v>5191</v>
      </c>
      <c r="K5370" t="s">
        <v>4560</v>
      </c>
      <c r="L5370">
        <v>0</v>
      </c>
      <c r="M5370" s="452">
        <v>-693593</v>
      </c>
      <c r="N5370">
        <v>0</v>
      </c>
      <c r="O5370">
        <v>0</v>
      </c>
      <c r="P5370">
        <v>76.89</v>
      </c>
    </row>
    <row r="5371" spans="1:16" x14ac:dyDescent="0.3">
      <c r="A5371">
        <v>17426</v>
      </c>
      <c r="B5371">
        <v>105</v>
      </c>
      <c r="C5371" t="s">
        <v>557</v>
      </c>
      <c r="D5371" s="452">
        <v>45689</v>
      </c>
      <c r="E5371">
        <v>19420</v>
      </c>
      <c r="F5371" t="s">
        <v>5582</v>
      </c>
      <c r="G5371">
        <v>2758</v>
      </c>
      <c r="H5371">
        <v>13</v>
      </c>
      <c r="I5371" t="s">
        <v>4736</v>
      </c>
      <c r="J5371" t="s">
        <v>5191</v>
      </c>
      <c r="K5371" t="s">
        <v>4560</v>
      </c>
      <c r="L5371">
        <v>5.89</v>
      </c>
      <c r="M5371" s="452">
        <v>45675</v>
      </c>
      <c r="N5371">
        <v>5.89</v>
      </c>
      <c r="O5371">
        <v>5.79</v>
      </c>
      <c r="P5371">
        <v>76.569999999999993</v>
      </c>
    </row>
    <row r="5372" spans="1:16" x14ac:dyDescent="0.3">
      <c r="A5372">
        <v>17357</v>
      </c>
      <c r="B5372">
        <v>105</v>
      </c>
      <c r="C5372" t="s">
        <v>557</v>
      </c>
      <c r="D5372" s="452">
        <v>45689</v>
      </c>
      <c r="E5372">
        <v>19638</v>
      </c>
      <c r="F5372" t="s">
        <v>5564</v>
      </c>
      <c r="G5372">
        <v>2598</v>
      </c>
      <c r="H5372">
        <v>20.55</v>
      </c>
      <c r="I5372" t="s">
        <v>4744</v>
      </c>
      <c r="J5372" t="s">
        <v>5191</v>
      </c>
      <c r="K5372" t="s">
        <v>4560</v>
      </c>
      <c r="L5372">
        <v>3.71</v>
      </c>
      <c r="M5372" s="452">
        <v>45688</v>
      </c>
      <c r="N5372">
        <v>3.5</v>
      </c>
      <c r="O5372">
        <v>3.5</v>
      </c>
      <c r="P5372">
        <v>76.239999999999995</v>
      </c>
    </row>
    <row r="5373" spans="1:16" x14ac:dyDescent="0.3">
      <c r="A5373">
        <v>17528</v>
      </c>
      <c r="B5373">
        <v>105</v>
      </c>
      <c r="C5373" t="s">
        <v>557</v>
      </c>
      <c r="D5373" s="452">
        <v>45689</v>
      </c>
      <c r="E5373">
        <v>18218</v>
      </c>
      <c r="F5373" t="s">
        <v>5038</v>
      </c>
      <c r="G5373">
        <v>3410</v>
      </c>
      <c r="H5373">
        <v>2</v>
      </c>
      <c r="I5373" t="s">
        <v>4805</v>
      </c>
      <c r="J5373" t="s">
        <v>5222</v>
      </c>
      <c r="K5373" t="s">
        <v>4560</v>
      </c>
      <c r="L5373">
        <v>0</v>
      </c>
      <c r="M5373" s="452">
        <v>45581</v>
      </c>
      <c r="N5373">
        <v>36.5</v>
      </c>
      <c r="O5373">
        <v>30.9</v>
      </c>
      <c r="P5373">
        <v>73</v>
      </c>
    </row>
    <row r="5374" spans="1:16" x14ac:dyDescent="0.3">
      <c r="A5374">
        <v>17507</v>
      </c>
      <c r="B5374">
        <v>105</v>
      </c>
      <c r="C5374" t="s">
        <v>557</v>
      </c>
      <c r="D5374" s="452">
        <v>45689</v>
      </c>
      <c r="E5374">
        <v>18460</v>
      </c>
      <c r="F5374" t="s">
        <v>5541</v>
      </c>
      <c r="G5374">
        <v>3193</v>
      </c>
      <c r="H5374">
        <v>1.78</v>
      </c>
      <c r="I5374" t="s">
        <v>4805</v>
      </c>
      <c r="J5374" t="s">
        <v>5222</v>
      </c>
      <c r="K5374" t="s">
        <v>4560</v>
      </c>
      <c r="L5374">
        <v>0</v>
      </c>
      <c r="M5374" s="452">
        <v>45644</v>
      </c>
      <c r="N5374">
        <v>39.9</v>
      </c>
      <c r="O5374">
        <v>39.9</v>
      </c>
      <c r="P5374">
        <v>71.02</v>
      </c>
    </row>
    <row r="5375" spans="1:16" x14ac:dyDescent="0.3">
      <c r="A5375">
        <v>17554</v>
      </c>
      <c r="B5375">
        <v>105</v>
      </c>
      <c r="C5375" t="s">
        <v>557</v>
      </c>
      <c r="D5375" s="452">
        <v>45689</v>
      </c>
      <c r="E5375">
        <v>24029</v>
      </c>
      <c r="F5375" t="s">
        <v>4756</v>
      </c>
      <c r="G5375">
        <v>3591</v>
      </c>
      <c r="H5375">
        <v>32</v>
      </c>
      <c r="I5375" t="s">
        <v>4736</v>
      </c>
      <c r="J5375" t="s">
        <v>5222</v>
      </c>
      <c r="K5375" t="s">
        <v>4560</v>
      </c>
      <c r="L5375">
        <v>0</v>
      </c>
      <c r="M5375" s="452">
        <v>45546</v>
      </c>
      <c r="N5375">
        <v>2.19</v>
      </c>
      <c r="O5375">
        <v>2.19</v>
      </c>
      <c r="P5375">
        <v>70.08</v>
      </c>
    </row>
    <row r="5376" spans="1:16" x14ac:dyDescent="0.3">
      <c r="A5376">
        <v>17264</v>
      </c>
      <c r="B5376">
        <v>105</v>
      </c>
      <c r="C5376" t="s">
        <v>557</v>
      </c>
      <c r="D5376" s="452">
        <v>45689</v>
      </c>
      <c r="E5376">
        <v>20241</v>
      </c>
      <c r="F5376" t="s">
        <v>5579</v>
      </c>
      <c r="G5376">
        <v>2242</v>
      </c>
      <c r="H5376">
        <v>5</v>
      </c>
      <c r="I5376" t="s">
        <v>4736</v>
      </c>
      <c r="J5376" t="s">
        <v>5191</v>
      </c>
      <c r="K5376" t="s">
        <v>4560</v>
      </c>
      <c r="L5376">
        <v>14</v>
      </c>
      <c r="M5376" s="452">
        <v>45675</v>
      </c>
      <c r="N5376">
        <v>14</v>
      </c>
      <c r="O5376">
        <v>14</v>
      </c>
      <c r="P5376">
        <v>70</v>
      </c>
    </row>
    <row r="5377" spans="1:16" x14ac:dyDescent="0.3">
      <c r="A5377">
        <v>17544</v>
      </c>
      <c r="B5377">
        <v>105</v>
      </c>
      <c r="C5377" t="s">
        <v>557</v>
      </c>
      <c r="D5377" s="452">
        <v>45689</v>
      </c>
      <c r="E5377">
        <v>18079</v>
      </c>
      <c r="F5377" t="s">
        <v>5603</v>
      </c>
      <c r="G5377">
        <v>3530</v>
      </c>
      <c r="H5377">
        <v>2</v>
      </c>
      <c r="I5377" t="s">
        <v>4736</v>
      </c>
      <c r="J5377" t="s">
        <v>5222</v>
      </c>
      <c r="K5377" t="s">
        <v>4560</v>
      </c>
      <c r="L5377">
        <v>0</v>
      </c>
      <c r="M5377" s="452">
        <v>45653</v>
      </c>
      <c r="N5377">
        <v>33.979999999999997</v>
      </c>
      <c r="O5377">
        <v>33.979999999999997</v>
      </c>
      <c r="P5377">
        <v>67.959999999999994</v>
      </c>
    </row>
    <row r="5378" spans="1:16" x14ac:dyDescent="0.3">
      <c r="A5378">
        <v>17382</v>
      </c>
      <c r="B5378">
        <v>105</v>
      </c>
      <c r="C5378" t="s">
        <v>557</v>
      </c>
      <c r="D5378" s="452">
        <v>45689</v>
      </c>
      <c r="E5378">
        <v>19751</v>
      </c>
      <c r="F5378" t="s">
        <v>4800</v>
      </c>
      <c r="G5378">
        <v>2502</v>
      </c>
      <c r="H5378">
        <v>7.8</v>
      </c>
      <c r="I5378" t="s">
        <v>4744</v>
      </c>
      <c r="J5378" t="s">
        <v>5191</v>
      </c>
      <c r="K5378" t="s">
        <v>4560</v>
      </c>
      <c r="L5378">
        <v>8.52</v>
      </c>
      <c r="M5378" s="452">
        <v>45685</v>
      </c>
      <c r="N5378">
        <v>8</v>
      </c>
      <c r="O5378">
        <v>8.3000000000000007</v>
      </c>
      <c r="P5378">
        <v>66.459999999999994</v>
      </c>
    </row>
    <row r="5379" spans="1:16" x14ac:dyDescent="0.3">
      <c r="A5379">
        <v>17349</v>
      </c>
      <c r="B5379">
        <v>105</v>
      </c>
      <c r="C5379" t="s">
        <v>557</v>
      </c>
      <c r="D5379" s="452">
        <v>45689</v>
      </c>
      <c r="E5379">
        <v>19649</v>
      </c>
      <c r="F5379" t="s">
        <v>4859</v>
      </c>
      <c r="G5379">
        <v>2589</v>
      </c>
      <c r="H5379">
        <v>2.4500000000000002</v>
      </c>
      <c r="I5379" t="s">
        <v>4744</v>
      </c>
      <c r="J5379" t="s">
        <v>5191</v>
      </c>
      <c r="K5379" t="s">
        <v>4560</v>
      </c>
      <c r="L5379">
        <v>27</v>
      </c>
      <c r="M5379" s="452">
        <v>45688</v>
      </c>
      <c r="N5379">
        <v>27</v>
      </c>
      <c r="O5379">
        <v>26.51</v>
      </c>
      <c r="P5379">
        <v>66.150000000000006</v>
      </c>
    </row>
    <row r="5380" spans="1:16" x14ac:dyDescent="0.3">
      <c r="A5380">
        <v>17656</v>
      </c>
      <c r="B5380">
        <v>105</v>
      </c>
      <c r="C5380" t="s">
        <v>557</v>
      </c>
      <c r="D5380" s="452">
        <v>45689</v>
      </c>
      <c r="E5380">
        <v>19427</v>
      </c>
      <c r="F5380" t="s">
        <v>5604</v>
      </c>
      <c r="G5380">
        <v>2758</v>
      </c>
      <c r="H5380">
        <v>10</v>
      </c>
      <c r="I5380" t="s">
        <v>4736</v>
      </c>
      <c r="J5380" t="s">
        <v>5191</v>
      </c>
      <c r="K5380" t="s">
        <v>4560</v>
      </c>
      <c r="L5380">
        <v>0</v>
      </c>
      <c r="M5380" s="452">
        <v>-693593</v>
      </c>
      <c r="N5380">
        <v>0</v>
      </c>
      <c r="O5380">
        <v>0</v>
      </c>
      <c r="P5380">
        <v>65.900000000000006</v>
      </c>
    </row>
    <row r="5381" spans="1:16" x14ac:dyDescent="0.3">
      <c r="A5381">
        <v>17197</v>
      </c>
      <c r="B5381">
        <v>105</v>
      </c>
      <c r="C5381" t="s">
        <v>557</v>
      </c>
      <c r="D5381" s="452">
        <v>45689</v>
      </c>
      <c r="E5381">
        <v>25756</v>
      </c>
      <c r="F5381" t="s">
        <v>4854</v>
      </c>
      <c r="G5381">
        <v>9069</v>
      </c>
      <c r="H5381">
        <v>9</v>
      </c>
      <c r="I5381" t="s">
        <v>4749</v>
      </c>
      <c r="J5381" t="s">
        <v>5191</v>
      </c>
      <c r="K5381" t="s">
        <v>4560</v>
      </c>
      <c r="L5381">
        <v>0</v>
      </c>
      <c r="M5381" s="452">
        <v>-693593</v>
      </c>
      <c r="N5381">
        <v>0</v>
      </c>
      <c r="O5381">
        <v>0</v>
      </c>
      <c r="P5381">
        <v>62.91</v>
      </c>
    </row>
    <row r="5382" spans="1:16" x14ac:dyDescent="0.3">
      <c r="A5382">
        <v>17328</v>
      </c>
      <c r="B5382">
        <v>105</v>
      </c>
      <c r="C5382" t="s">
        <v>557</v>
      </c>
      <c r="D5382" s="452">
        <v>45689</v>
      </c>
      <c r="E5382">
        <v>20185</v>
      </c>
      <c r="F5382" t="s">
        <v>5054</v>
      </c>
      <c r="G5382">
        <v>2259</v>
      </c>
      <c r="H5382">
        <v>1.8</v>
      </c>
      <c r="I5382" t="s">
        <v>4744</v>
      </c>
      <c r="J5382" t="s">
        <v>5191</v>
      </c>
      <c r="K5382" t="s">
        <v>4560</v>
      </c>
      <c r="L5382">
        <v>0</v>
      </c>
      <c r="M5382" s="452">
        <v>45582</v>
      </c>
      <c r="N5382">
        <v>34.9</v>
      </c>
      <c r="O5382">
        <v>34.36</v>
      </c>
      <c r="P5382">
        <v>62.82</v>
      </c>
    </row>
    <row r="5383" spans="1:16" x14ac:dyDescent="0.3">
      <c r="A5383">
        <v>17305</v>
      </c>
      <c r="B5383">
        <v>105</v>
      </c>
      <c r="C5383" t="s">
        <v>557</v>
      </c>
      <c r="D5383" s="452">
        <v>45689</v>
      </c>
      <c r="E5383">
        <v>19978</v>
      </c>
      <c r="F5383" t="s">
        <v>4887</v>
      </c>
      <c r="G5383">
        <v>2353</v>
      </c>
      <c r="H5383">
        <v>4</v>
      </c>
      <c r="I5383" t="s">
        <v>4888</v>
      </c>
      <c r="J5383" t="s">
        <v>5191</v>
      </c>
      <c r="K5383" t="s">
        <v>4560</v>
      </c>
      <c r="L5383">
        <v>0</v>
      </c>
      <c r="M5383" s="452">
        <v>45631</v>
      </c>
      <c r="N5383">
        <v>15.49</v>
      </c>
      <c r="O5383">
        <v>14.59</v>
      </c>
      <c r="P5383">
        <v>61.96</v>
      </c>
    </row>
    <row r="5384" spans="1:16" x14ac:dyDescent="0.3">
      <c r="A5384">
        <v>17211</v>
      </c>
      <c r="B5384">
        <v>105</v>
      </c>
      <c r="C5384" t="s">
        <v>557</v>
      </c>
      <c r="D5384" s="452">
        <v>45689</v>
      </c>
      <c r="E5384">
        <v>21065</v>
      </c>
      <c r="F5384" t="s">
        <v>5506</v>
      </c>
      <c r="G5384">
        <v>1997</v>
      </c>
      <c r="H5384">
        <v>4</v>
      </c>
      <c r="I5384" t="s">
        <v>4805</v>
      </c>
      <c r="J5384" t="s">
        <v>5191</v>
      </c>
      <c r="K5384" t="s">
        <v>4560</v>
      </c>
      <c r="L5384">
        <v>15.37</v>
      </c>
      <c r="M5384" s="452">
        <v>45677</v>
      </c>
      <c r="N5384">
        <v>15.37</v>
      </c>
      <c r="O5384">
        <v>15.2</v>
      </c>
      <c r="P5384">
        <v>61.48</v>
      </c>
    </row>
    <row r="5385" spans="1:16" x14ac:dyDescent="0.3">
      <c r="A5385">
        <v>17190</v>
      </c>
      <c r="B5385">
        <v>105</v>
      </c>
      <c r="C5385" t="s">
        <v>557</v>
      </c>
      <c r="D5385" s="452">
        <v>45689</v>
      </c>
      <c r="E5385">
        <v>21132</v>
      </c>
      <c r="F5385" t="s">
        <v>5524</v>
      </c>
      <c r="G5385">
        <v>1963</v>
      </c>
      <c r="H5385">
        <v>1.72</v>
      </c>
      <c r="I5385" t="s">
        <v>4738</v>
      </c>
      <c r="J5385" t="s">
        <v>5191</v>
      </c>
      <c r="K5385" t="s">
        <v>4560</v>
      </c>
      <c r="L5385">
        <v>35.31</v>
      </c>
      <c r="M5385" s="452">
        <v>45660</v>
      </c>
      <c r="N5385">
        <v>35.31</v>
      </c>
      <c r="O5385">
        <v>35.31</v>
      </c>
      <c r="P5385">
        <v>60.73</v>
      </c>
    </row>
    <row r="5386" spans="1:16" x14ac:dyDescent="0.3">
      <c r="A5386">
        <v>17250</v>
      </c>
      <c r="B5386">
        <v>105</v>
      </c>
      <c r="C5386" t="s">
        <v>557</v>
      </c>
      <c r="D5386" s="452">
        <v>45689</v>
      </c>
      <c r="E5386">
        <v>20034</v>
      </c>
      <c r="F5386" t="s">
        <v>5065</v>
      </c>
      <c r="G5386">
        <v>2333</v>
      </c>
      <c r="H5386">
        <v>0.77</v>
      </c>
      <c r="I5386" t="s">
        <v>4744</v>
      </c>
      <c r="J5386" t="s">
        <v>5191</v>
      </c>
      <c r="K5386" t="s">
        <v>4560</v>
      </c>
      <c r="L5386">
        <v>0</v>
      </c>
      <c r="M5386" s="452">
        <v>-693593</v>
      </c>
      <c r="N5386">
        <v>0</v>
      </c>
      <c r="O5386">
        <v>72</v>
      </c>
      <c r="P5386">
        <v>58.37</v>
      </c>
    </row>
    <row r="5387" spans="1:16" x14ac:dyDescent="0.3">
      <c r="A5387">
        <v>17519</v>
      </c>
      <c r="B5387">
        <v>105</v>
      </c>
      <c r="C5387" t="s">
        <v>557</v>
      </c>
      <c r="D5387" s="452">
        <v>45689</v>
      </c>
      <c r="E5387">
        <v>18281</v>
      </c>
      <c r="F5387" t="s">
        <v>5470</v>
      </c>
      <c r="G5387">
        <v>3346</v>
      </c>
      <c r="H5387">
        <v>1.7</v>
      </c>
      <c r="I5387" t="s">
        <v>4805</v>
      </c>
      <c r="J5387" t="s">
        <v>5222</v>
      </c>
      <c r="K5387" t="s">
        <v>4560</v>
      </c>
      <c r="L5387">
        <v>0</v>
      </c>
      <c r="M5387" s="452">
        <v>45547</v>
      </c>
      <c r="N5387">
        <v>34.299999999999997</v>
      </c>
      <c r="O5387">
        <v>34.5</v>
      </c>
      <c r="P5387">
        <v>58.31</v>
      </c>
    </row>
    <row r="5388" spans="1:16" x14ac:dyDescent="0.3">
      <c r="A5388">
        <v>17570</v>
      </c>
      <c r="B5388">
        <v>105</v>
      </c>
      <c r="C5388" t="s">
        <v>557</v>
      </c>
      <c r="D5388" s="452">
        <v>45689</v>
      </c>
      <c r="E5388">
        <v>24467</v>
      </c>
      <c r="F5388" t="s">
        <v>4766</v>
      </c>
      <c r="G5388">
        <v>3673</v>
      </c>
      <c r="H5388">
        <v>28</v>
      </c>
      <c r="I5388" t="s">
        <v>4736</v>
      </c>
      <c r="J5388" t="s">
        <v>5222</v>
      </c>
      <c r="K5388" t="s">
        <v>4560</v>
      </c>
      <c r="L5388">
        <v>0</v>
      </c>
      <c r="M5388" s="452">
        <v>45520</v>
      </c>
      <c r="N5388">
        <v>1.99</v>
      </c>
      <c r="O5388">
        <v>2.19</v>
      </c>
      <c r="P5388">
        <v>55.72</v>
      </c>
    </row>
    <row r="5389" spans="1:16" x14ac:dyDescent="0.3">
      <c r="A5389">
        <v>17286</v>
      </c>
      <c r="B5389">
        <v>105</v>
      </c>
      <c r="C5389" t="s">
        <v>557</v>
      </c>
      <c r="D5389" s="452">
        <v>45689</v>
      </c>
      <c r="E5389">
        <v>24323</v>
      </c>
      <c r="F5389" t="s">
        <v>4844</v>
      </c>
      <c r="G5389">
        <v>2262</v>
      </c>
      <c r="H5389">
        <v>3</v>
      </c>
      <c r="I5389" t="s">
        <v>4744</v>
      </c>
      <c r="J5389" t="s">
        <v>5191</v>
      </c>
      <c r="K5389" t="s">
        <v>4560</v>
      </c>
      <c r="L5389">
        <v>0</v>
      </c>
      <c r="M5389" s="452">
        <v>45646</v>
      </c>
      <c r="N5389">
        <v>18.53</v>
      </c>
      <c r="O5389">
        <v>17.7</v>
      </c>
      <c r="P5389">
        <v>55.59</v>
      </c>
    </row>
    <row r="5390" spans="1:16" x14ac:dyDescent="0.3">
      <c r="A5390">
        <v>17411</v>
      </c>
      <c r="B5390">
        <v>105</v>
      </c>
      <c r="C5390" t="s">
        <v>557</v>
      </c>
      <c r="D5390" s="452">
        <v>45689</v>
      </c>
      <c r="E5390">
        <v>19453</v>
      </c>
      <c r="F5390" t="s">
        <v>5561</v>
      </c>
      <c r="G5390">
        <v>2752</v>
      </c>
      <c r="H5390">
        <v>4.0199999999999996</v>
      </c>
      <c r="I5390" t="s">
        <v>4744</v>
      </c>
      <c r="J5390" t="s">
        <v>5191</v>
      </c>
      <c r="K5390" t="s">
        <v>4560</v>
      </c>
      <c r="L5390">
        <v>13.73</v>
      </c>
      <c r="M5390" s="452">
        <v>45688</v>
      </c>
      <c r="N5390">
        <v>13.8</v>
      </c>
      <c r="O5390">
        <v>13.8</v>
      </c>
      <c r="P5390">
        <v>55.19</v>
      </c>
    </row>
    <row r="5391" spans="1:16" x14ac:dyDescent="0.3">
      <c r="A5391">
        <v>18095</v>
      </c>
      <c r="B5391">
        <v>105</v>
      </c>
      <c r="C5391" t="s">
        <v>557</v>
      </c>
      <c r="D5391" s="452">
        <v>45689</v>
      </c>
      <c r="E5391">
        <v>19895</v>
      </c>
      <c r="F5391" t="s">
        <v>5080</v>
      </c>
      <c r="G5391">
        <v>2385</v>
      </c>
      <c r="H5391">
        <v>3</v>
      </c>
      <c r="I5391" t="s">
        <v>4888</v>
      </c>
      <c r="J5391" t="s">
        <v>5191</v>
      </c>
      <c r="K5391" t="s">
        <v>4560</v>
      </c>
      <c r="L5391">
        <v>0</v>
      </c>
      <c r="M5391" s="452">
        <v>-693593</v>
      </c>
      <c r="N5391">
        <v>0</v>
      </c>
      <c r="O5391">
        <v>35.99</v>
      </c>
      <c r="P5391">
        <v>54</v>
      </c>
    </row>
    <row r="5392" spans="1:16" x14ac:dyDescent="0.3">
      <c r="A5392">
        <v>17341</v>
      </c>
      <c r="B5392">
        <v>105</v>
      </c>
      <c r="C5392" t="s">
        <v>557</v>
      </c>
      <c r="D5392" s="452">
        <v>45689</v>
      </c>
      <c r="E5392">
        <v>19458</v>
      </c>
      <c r="F5392" t="s">
        <v>5589</v>
      </c>
      <c r="G5392">
        <v>2746</v>
      </c>
      <c r="H5392">
        <v>4.8600000000000003</v>
      </c>
      <c r="I5392" t="s">
        <v>4744</v>
      </c>
      <c r="J5392" t="s">
        <v>5191</v>
      </c>
      <c r="K5392" t="s">
        <v>4560</v>
      </c>
      <c r="L5392">
        <v>10.9</v>
      </c>
      <c r="M5392" s="452">
        <v>45688</v>
      </c>
      <c r="N5392">
        <v>12</v>
      </c>
      <c r="O5392">
        <v>15.6</v>
      </c>
      <c r="P5392">
        <v>52.97</v>
      </c>
    </row>
    <row r="5393" spans="1:16" x14ac:dyDescent="0.3">
      <c r="A5393">
        <v>17581</v>
      </c>
      <c r="B5393">
        <v>105</v>
      </c>
      <c r="C5393" t="s">
        <v>557</v>
      </c>
      <c r="D5393" s="452">
        <v>45689</v>
      </c>
      <c r="E5393">
        <v>17597</v>
      </c>
      <c r="F5393" t="s">
        <v>5587</v>
      </c>
      <c r="G5393">
        <v>3930</v>
      </c>
      <c r="H5393">
        <v>1</v>
      </c>
      <c r="I5393" t="s">
        <v>4805</v>
      </c>
      <c r="J5393" t="s">
        <v>5222</v>
      </c>
      <c r="K5393" t="s">
        <v>4560</v>
      </c>
      <c r="L5393">
        <v>0</v>
      </c>
      <c r="M5393" s="452">
        <v>45595</v>
      </c>
      <c r="N5393">
        <v>52.61</v>
      </c>
      <c r="O5393">
        <v>49.84</v>
      </c>
      <c r="P5393">
        <v>52.61</v>
      </c>
    </row>
    <row r="5394" spans="1:16" x14ac:dyDescent="0.3">
      <c r="A5394">
        <v>17543</v>
      </c>
      <c r="B5394">
        <v>105</v>
      </c>
      <c r="C5394" t="s">
        <v>557</v>
      </c>
      <c r="D5394" s="452">
        <v>45689</v>
      </c>
      <c r="E5394">
        <v>18067</v>
      </c>
      <c r="F5394" t="s">
        <v>5583</v>
      </c>
      <c r="G5394">
        <v>3542</v>
      </c>
      <c r="H5394">
        <v>1.53</v>
      </c>
      <c r="I5394" t="s">
        <v>4736</v>
      </c>
      <c r="J5394" t="s">
        <v>5222</v>
      </c>
      <c r="K5394" t="s">
        <v>4560</v>
      </c>
      <c r="L5394">
        <v>0</v>
      </c>
      <c r="M5394" s="452">
        <v>45653</v>
      </c>
      <c r="N5394">
        <v>33.979999999999997</v>
      </c>
      <c r="O5394">
        <v>33.979999999999997</v>
      </c>
      <c r="P5394">
        <v>51.99</v>
      </c>
    </row>
    <row r="5395" spans="1:16" x14ac:dyDescent="0.3">
      <c r="A5395">
        <v>17388</v>
      </c>
      <c r="B5395">
        <v>105</v>
      </c>
      <c r="C5395" t="s">
        <v>557</v>
      </c>
      <c r="D5395" s="452">
        <v>45689</v>
      </c>
      <c r="E5395">
        <v>19603</v>
      </c>
      <c r="F5395" t="s">
        <v>5605</v>
      </c>
      <c r="G5395">
        <v>2625</v>
      </c>
      <c r="H5395">
        <v>8</v>
      </c>
      <c r="I5395" t="s">
        <v>4736</v>
      </c>
      <c r="J5395" t="s">
        <v>5191</v>
      </c>
      <c r="K5395" t="s">
        <v>4560</v>
      </c>
      <c r="L5395">
        <v>6.25</v>
      </c>
      <c r="M5395" s="452">
        <v>45679</v>
      </c>
      <c r="N5395">
        <v>6.5</v>
      </c>
      <c r="O5395">
        <v>6.5</v>
      </c>
      <c r="P5395">
        <v>50</v>
      </c>
    </row>
    <row r="5396" spans="1:16" x14ac:dyDescent="0.3">
      <c r="A5396">
        <v>17324</v>
      </c>
      <c r="B5396">
        <v>105</v>
      </c>
      <c r="C5396" t="s">
        <v>557</v>
      </c>
      <c r="D5396" s="452">
        <v>45689</v>
      </c>
      <c r="E5396">
        <v>20207</v>
      </c>
      <c r="F5396" t="s">
        <v>4929</v>
      </c>
      <c r="G5396">
        <v>2253</v>
      </c>
      <c r="H5396">
        <v>1.85</v>
      </c>
      <c r="I5396" t="s">
        <v>4744</v>
      </c>
      <c r="J5396" t="s">
        <v>5191</v>
      </c>
      <c r="K5396" t="s">
        <v>4560</v>
      </c>
      <c r="L5396">
        <v>0</v>
      </c>
      <c r="M5396" s="452">
        <v>45646</v>
      </c>
      <c r="N5396">
        <v>26.9</v>
      </c>
      <c r="O5396">
        <v>26.9</v>
      </c>
      <c r="P5396">
        <v>49.76</v>
      </c>
    </row>
    <row r="5397" spans="1:16" x14ac:dyDescent="0.3">
      <c r="A5397">
        <v>17192</v>
      </c>
      <c r="B5397">
        <v>105</v>
      </c>
      <c r="C5397" t="s">
        <v>557</v>
      </c>
      <c r="D5397" s="452">
        <v>45689</v>
      </c>
      <c r="E5397">
        <v>25748</v>
      </c>
      <c r="F5397" t="s">
        <v>4999</v>
      </c>
      <c r="G5397">
        <v>9068</v>
      </c>
      <c r="H5397">
        <v>7</v>
      </c>
      <c r="I5397" t="s">
        <v>4749</v>
      </c>
      <c r="J5397" t="s">
        <v>5191</v>
      </c>
      <c r="K5397" t="s">
        <v>4560</v>
      </c>
      <c r="L5397">
        <v>0</v>
      </c>
      <c r="M5397" s="452">
        <v>-693593</v>
      </c>
      <c r="N5397">
        <v>0</v>
      </c>
      <c r="O5397">
        <v>0</v>
      </c>
      <c r="P5397">
        <v>48.93</v>
      </c>
    </row>
    <row r="5398" spans="1:16" x14ac:dyDescent="0.3">
      <c r="A5398">
        <v>17572</v>
      </c>
      <c r="B5398">
        <v>105</v>
      </c>
      <c r="C5398" t="s">
        <v>557</v>
      </c>
      <c r="D5398" s="452">
        <v>45689</v>
      </c>
      <c r="E5398">
        <v>24468</v>
      </c>
      <c r="F5398" t="s">
        <v>4798</v>
      </c>
      <c r="G5398">
        <v>3675</v>
      </c>
      <c r="H5398">
        <v>22</v>
      </c>
      <c r="I5398" t="s">
        <v>4736</v>
      </c>
      <c r="J5398" t="s">
        <v>5222</v>
      </c>
      <c r="K5398" t="s">
        <v>4560</v>
      </c>
      <c r="L5398">
        <v>0</v>
      </c>
      <c r="M5398" s="452">
        <v>45653</v>
      </c>
      <c r="N5398">
        <v>2.19</v>
      </c>
      <c r="O5398">
        <v>2.19</v>
      </c>
      <c r="P5398">
        <v>48.18</v>
      </c>
    </row>
    <row r="5399" spans="1:16" x14ac:dyDescent="0.3">
      <c r="A5399">
        <v>17337</v>
      </c>
      <c r="B5399">
        <v>105</v>
      </c>
      <c r="C5399" t="s">
        <v>557</v>
      </c>
      <c r="D5399" s="452">
        <v>45689</v>
      </c>
      <c r="E5399">
        <v>20961</v>
      </c>
      <c r="F5399" t="s">
        <v>5026</v>
      </c>
      <c r="G5399">
        <v>2015</v>
      </c>
      <c r="H5399">
        <v>6</v>
      </c>
      <c r="I5399" t="s">
        <v>4736</v>
      </c>
      <c r="J5399" t="s">
        <v>5191</v>
      </c>
      <c r="K5399" t="s">
        <v>4560</v>
      </c>
      <c r="L5399">
        <v>0</v>
      </c>
      <c r="M5399" s="452">
        <v>45653</v>
      </c>
      <c r="N5399">
        <v>7.98</v>
      </c>
      <c r="O5399">
        <v>6.98</v>
      </c>
      <c r="P5399">
        <v>47.88</v>
      </c>
    </row>
    <row r="5400" spans="1:16" x14ac:dyDescent="0.3">
      <c r="A5400">
        <v>17280</v>
      </c>
      <c r="B5400">
        <v>105</v>
      </c>
      <c r="C5400" t="s">
        <v>557</v>
      </c>
      <c r="D5400" s="452">
        <v>45689</v>
      </c>
      <c r="E5400">
        <v>23630</v>
      </c>
      <c r="F5400" t="s">
        <v>4813</v>
      </c>
      <c r="G5400">
        <v>2251</v>
      </c>
      <c r="H5400">
        <v>4</v>
      </c>
      <c r="I5400" t="s">
        <v>4744</v>
      </c>
      <c r="J5400" t="s">
        <v>5191</v>
      </c>
      <c r="K5400" t="s">
        <v>4560</v>
      </c>
      <c r="L5400">
        <v>11.65</v>
      </c>
      <c r="M5400" s="452">
        <v>45677</v>
      </c>
      <c r="N5400">
        <v>11.65</v>
      </c>
      <c r="O5400">
        <v>11.66</v>
      </c>
      <c r="P5400">
        <v>46.6</v>
      </c>
    </row>
    <row r="5401" spans="1:16" x14ac:dyDescent="0.3">
      <c r="A5401">
        <v>17358</v>
      </c>
      <c r="B5401">
        <v>105</v>
      </c>
      <c r="C5401" t="s">
        <v>557</v>
      </c>
      <c r="D5401" s="452">
        <v>45689</v>
      </c>
      <c r="E5401">
        <v>19634</v>
      </c>
      <c r="F5401" t="s">
        <v>4792</v>
      </c>
      <c r="G5401">
        <v>2602</v>
      </c>
      <c r="H5401">
        <v>7.25</v>
      </c>
      <c r="I5401" t="s">
        <v>4744</v>
      </c>
      <c r="J5401" t="s">
        <v>5191</v>
      </c>
      <c r="K5401" t="s">
        <v>4560</v>
      </c>
      <c r="L5401">
        <v>6.41</v>
      </c>
      <c r="M5401" s="452">
        <v>45688</v>
      </c>
      <c r="N5401">
        <v>6.5</v>
      </c>
      <c r="O5401">
        <v>6.5</v>
      </c>
      <c r="P5401">
        <v>46.47</v>
      </c>
    </row>
    <row r="5402" spans="1:16" x14ac:dyDescent="0.3">
      <c r="A5402">
        <v>17259</v>
      </c>
      <c r="B5402">
        <v>105</v>
      </c>
      <c r="C5402" t="s">
        <v>557</v>
      </c>
      <c r="D5402" s="452">
        <v>45689</v>
      </c>
      <c r="E5402">
        <v>24241</v>
      </c>
      <c r="F5402" t="s">
        <v>5562</v>
      </c>
      <c r="G5402">
        <v>2197</v>
      </c>
      <c r="H5402">
        <v>2.48</v>
      </c>
      <c r="I5402" t="s">
        <v>4744</v>
      </c>
      <c r="J5402" t="s">
        <v>5191</v>
      </c>
      <c r="K5402" t="s">
        <v>4560</v>
      </c>
      <c r="L5402">
        <v>0</v>
      </c>
      <c r="M5402" s="452">
        <v>45504</v>
      </c>
      <c r="N5402">
        <v>18.5</v>
      </c>
      <c r="O5402">
        <v>18.5</v>
      </c>
      <c r="P5402">
        <v>45.88</v>
      </c>
    </row>
    <row r="5403" spans="1:16" x14ac:dyDescent="0.3">
      <c r="A5403">
        <v>17267</v>
      </c>
      <c r="B5403">
        <v>105</v>
      </c>
      <c r="C5403" t="s">
        <v>557</v>
      </c>
      <c r="D5403" s="452">
        <v>45689</v>
      </c>
      <c r="E5403">
        <v>20227</v>
      </c>
      <c r="F5403" t="s">
        <v>4825</v>
      </c>
      <c r="G5403">
        <v>2248</v>
      </c>
      <c r="H5403">
        <v>3</v>
      </c>
      <c r="I5403" t="s">
        <v>4738</v>
      </c>
      <c r="J5403" t="s">
        <v>5191</v>
      </c>
      <c r="K5403" t="s">
        <v>4560</v>
      </c>
      <c r="L5403">
        <v>14.4</v>
      </c>
      <c r="M5403" s="452">
        <v>45678</v>
      </c>
      <c r="N5403">
        <v>14.4</v>
      </c>
      <c r="O5403">
        <v>14.28</v>
      </c>
      <c r="P5403">
        <v>43.2</v>
      </c>
    </row>
    <row r="5404" spans="1:16" x14ac:dyDescent="0.3">
      <c r="A5404">
        <v>17529</v>
      </c>
      <c r="B5404">
        <v>105</v>
      </c>
      <c r="C5404" t="s">
        <v>557</v>
      </c>
      <c r="D5404" s="452">
        <v>45689</v>
      </c>
      <c r="E5404">
        <v>18214</v>
      </c>
      <c r="F5404" t="s">
        <v>5039</v>
      </c>
      <c r="G5404">
        <v>3413</v>
      </c>
      <c r="H5404">
        <v>1.33</v>
      </c>
      <c r="I5404" t="s">
        <v>4805</v>
      </c>
      <c r="J5404" t="s">
        <v>5222</v>
      </c>
      <c r="K5404" t="s">
        <v>4560</v>
      </c>
      <c r="L5404">
        <v>0</v>
      </c>
      <c r="M5404" s="452">
        <v>45378</v>
      </c>
      <c r="N5404">
        <v>32.200000000000003</v>
      </c>
      <c r="O5404">
        <v>34.450000000000003</v>
      </c>
      <c r="P5404">
        <v>42.83</v>
      </c>
    </row>
    <row r="5405" spans="1:16" x14ac:dyDescent="0.3">
      <c r="A5405">
        <v>17344</v>
      </c>
      <c r="B5405">
        <v>105</v>
      </c>
      <c r="C5405" t="s">
        <v>557</v>
      </c>
      <c r="D5405" s="452">
        <v>45689</v>
      </c>
      <c r="E5405">
        <v>19505</v>
      </c>
      <c r="F5405" t="s">
        <v>4872</v>
      </c>
      <c r="G5405">
        <v>2706</v>
      </c>
      <c r="H5405">
        <v>4.95</v>
      </c>
      <c r="I5405" t="s">
        <v>4744</v>
      </c>
      <c r="J5405" t="s">
        <v>5191</v>
      </c>
      <c r="K5405" t="s">
        <v>4560</v>
      </c>
      <c r="L5405">
        <v>8.44</v>
      </c>
      <c r="M5405" s="452">
        <v>45688</v>
      </c>
      <c r="N5405">
        <v>10.74</v>
      </c>
      <c r="O5405">
        <v>7.7</v>
      </c>
      <c r="P5405">
        <v>41.78</v>
      </c>
    </row>
    <row r="5406" spans="1:16" x14ac:dyDescent="0.3">
      <c r="A5406">
        <v>17353</v>
      </c>
      <c r="B5406">
        <v>105</v>
      </c>
      <c r="C5406" t="s">
        <v>557</v>
      </c>
      <c r="D5406" s="452">
        <v>45689</v>
      </c>
      <c r="E5406">
        <v>19783</v>
      </c>
      <c r="F5406" t="s">
        <v>4960</v>
      </c>
      <c r="G5406">
        <v>2475</v>
      </c>
      <c r="H5406">
        <v>6.5</v>
      </c>
      <c r="I5406" t="s">
        <v>4744</v>
      </c>
      <c r="J5406" t="s">
        <v>5191</v>
      </c>
      <c r="K5406" t="s">
        <v>4560</v>
      </c>
      <c r="L5406">
        <v>6.33</v>
      </c>
      <c r="M5406" s="452">
        <v>45688</v>
      </c>
      <c r="N5406">
        <v>5.3</v>
      </c>
      <c r="O5406">
        <v>5.07</v>
      </c>
      <c r="P5406">
        <v>41.14</v>
      </c>
    </row>
    <row r="5407" spans="1:16" x14ac:dyDescent="0.3">
      <c r="A5407">
        <v>17270</v>
      </c>
      <c r="B5407">
        <v>105</v>
      </c>
      <c r="C5407" t="s">
        <v>557</v>
      </c>
      <c r="D5407" s="452">
        <v>45689</v>
      </c>
      <c r="E5407">
        <v>24267</v>
      </c>
      <c r="F5407" t="s">
        <v>5501</v>
      </c>
      <c r="G5407">
        <v>2249</v>
      </c>
      <c r="H5407">
        <v>0.48</v>
      </c>
      <c r="I5407" t="s">
        <v>4744</v>
      </c>
      <c r="J5407" t="s">
        <v>5191</v>
      </c>
      <c r="K5407" t="s">
        <v>4560</v>
      </c>
      <c r="L5407">
        <v>0</v>
      </c>
      <c r="M5407" s="452">
        <v>45507</v>
      </c>
      <c r="N5407">
        <v>85</v>
      </c>
      <c r="O5407">
        <v>36</v>
      </c>
      <c r="P5407">
        <v>40.799999999999997</v>
      </c>
    </row>
    <row r="5408" spans="1:16" x14ac:dyDescent="0.3">
      <c r="A5408">
        <v>17268</v>
      </c>
      <c r="B5408">
        <v>105</v>
      </c>
      <c r="C5408" t="s">
        <v>557</v>
      </c>
      <c r="D5408" s="452">
        <v>45689</v>
      </c>
      <c r="E5408">
        <v>20025</v>
      </c>
      <c r="F5408" t="s">
        <v>5010</v>
      </c>
      <c r="G5408">
        <v>2339</v>
      </c>
      <c r="H5408">
        <v>2</v>
      </c>
      <c r="I5408" t="s">
        <v>4736</v>
      </c>
      <c r="J5408" t="s">
        <v>5191</v>
      </c>
      <c r="K5408" t="s">
        <v>4560</v>
      </c>
      <c r="L5408">
        <v>0</v>
      </c>
      <c r="M5408" s="452">
        <v>45565</v>
      </c>
      <c r="N5408">
        <v>19.95</v>
      </c>
      <c r="O5408">
        <v>19.5</v>
      </c>
      <c r="P5408">
        <v>39.9</v>
      </c>
    </row>
    <row r="5409" spans="1:16" x14ac:dyDescent="0.3">
      <c r="A5409">
        <v>17936</v>
      </c>
      <c r="B5409">
        <v>105</v>
      </c>
      <c r="C5409" t="s">
        <v>557</v>
      </c>
      <c r="D5409" s="452">
        <v>45689</v>
      </c>
      <c r="E5409">
        <v>20965</v>
      </c>
      <c r="F5409" t="s">
        <v>5463</v>
      </c>
      <c r="G5409">
        <v>2013</v>
      </c>
      <c r="H5409">
        <v>1</v>
      </c>
      <c r="I5409" t="s">
        <v>4736</v>
      </c>
      <c r="J5409" t="s">
        <v>5191</v>
      </c>
      <c r="K5409" t="s">
        <v>4560</v>
      </c>
      <c r="L5409">
        <v>0</v>
      </c>
      <c r="M5409" s="452">
        <v>-693593</v>
      </c>
      <c r="N5409">
        <v>0</v>
      </c>
      <c r="O5409">
        <v>23.9</v>
      </c>
      <c r="P5409">
        <v>39.9</v>
      </c>
    </row>
    <row r="5410" spans="1:16" x14ac:dyDescent="0.3">
      <c r="A5410">
        <v>17508</v>
      </c>
      <c r="B5410">
        <v>105</v>
      </c>
      <c r="C5410" t="s">
        <v>557</v>
      </c>
      <c r="D5410" s="452">
        <v>45689</v>
      </c>
      <c r="E5410">
        <v>18423</v>
      </c>
      <c r="F5410" t="s">
        <v>4987</v>
      </c>
      <c r="G5410">
        <v>3220</v>
      </c>
      <c r="H5410">
        <v>1</v>
      </c>
      <c r="I5410" t="s">
        <v>4805</v>
      </c>
      <c r="J5410" t="s">
        <v>5222</v>
      </c>
      <c r="K5410" t="s">
        <v>4560</v>
      </c>
      <c r="L5410">
        <v>0</v>
      </c>
      <c r="M5410" s="452">
        <v>45630</v>
      </c>
      <c r="N5410">
        <v>38.86</v>
      </c>
      <c r="O5410">
        <v>38.86</v>
      </c>
      <c r="P5410">
        <v>38.86</v>
      </c>
    </row>
    <row r="5411" spans="1:16" x14ac:dyDescent="0.3">
      <c r="A5411">
        <v>17220</v>
      </c>
      <c r="B5411">
        <v>105</v>
      </c>
      <c r="C5411" t="s">
        <v>557</v>
      </c>
      <c r="D5411" s="452">
        <v>45689</v>
      </c>
      <c r="E5411">
        <v>20429</v>
      </c>
      <c r="F5411" t="s">
        <v>5317</v>
      </c>
      <c r="G5411">
        <v>2184</v>
      </c>
      <c r="H5411">
        <v>2</v>
      </c>
      <c r="I5411" t="s">
        <v>4736</v>
      </c>
      <c r="J5411" t="s">
        <v>5191</v>
      </c>
      <c r="K5411" t="s">
        <v>4560</v>
      </c>
      <c r="L5411">
        <v>0</v>
      </c>
      <c r="M5411" s="452">
        <v>45631</v>
      </c>
      <c r="N5411">
        <v>19.399999999999999</v>
      </c>
      <c r="O5411">
        <v>18.600000000000001</v>
      </c>
      <c r="P5411">
        <v>38.799999999999997</v>
      </c>
    </row>
    <row r="5412" spans="1:16" x14ac:dyDescent="0.3">
      <c r="A5412">
        <v>17482</v>
      </c>
      <c r="B5412">
        <v>105</v>
      </c>
      <c r="C5412" t="s">
        <v>557</v>
      </c>
      <c r="D5412" s="452">
        <v>45689</v>
      </c>
      <c r="E5412">
        <v>17092</v>
      </c>
      <c r="F5412" t="s">
        <v>5146</v>
      </c>
      <c r="G5412">
        <v>4165</v>
      </c>
      <c r="H5412">
        <v>20</v>
      </c>
      <c r="I5412" t="s">
        <v>4736</v>
      </c>
      <c r="J5412" t="s">
        <v>5222</v>
      </c>
      <c r="K5412" t="s">
        <v>4560</v>
      </c>
      <c r="L5412">
        <v>0</v>
      </c>
      <c r="M5412" s="452">
        <v>45415</v>
      </c>
      <c r="N5412">
        <v>1.9</v>
      </c>
      <c r="O5412">
        <v>1.9</v>
      </c>
      <c r="P5412">
        <v>38</v>
      </c>
    </row>
    <row r="5413" spans="1:16" x14ac:dyDescent="0.3">
      <c r="A5413">
        <v>17296</v>
      </c>
      <c r="B5413">
        <v>105</v>
      </c>
      <c r="C5413" t="s">
        <v>557</v>
      </c>
      <c r="D5413" s="452">
        <v>45689</v>
      </c>
      <c r="E5413">
        <v>20009</v>
      </c>
      <c r="F5413" t="s">
        <v>5480</v>
      </c>
      <c r="G5413">
        <v>2343</v>
      </c>
      <c r="H5413">
        <v>1</v>
      </c>
      <c r="I5413" t="s">
        <v>4736</v>
      </c>
      <c r="J5413" t="s">
        <v>5191</v>
      </c>
      <c r="K5413" t="s">
        <v>4560</v>
      </c>
      <c r="L5413">
        <v>37.520000000000003</v>
      </c>
      <c r="M5413" s="452">
        <v>45666</v>
      </c>
      <c r="N5413">
        <v>37.520000000000003</v>
      </c>
      <c r="O5413">
        <v>47.88</v>
      </c>
      <c r="P5413">
        <v>37.520000000000003</v>
      </c>
    </row>
    <row r="5414" spans="1:16" x14ac:dyDescent="0.3">
      <c r="A5414">
        <v>17261</v>
      </c>
      <c r="B5414">
        <v>105</v>
      </c>
      <c r="C5414" t="s">
        <v>557</v>
      </c>
      <c r="D5414" s="452">
        <v>45689</v>
      </c>
      <c r="E5414">
        <v>24486</v>
      </c>
      <c r="F5414" t="s">
        <v>5568</v>
      </c>
      <c r="G5414">
        <v>2212</v>
      </c>
      <c r="H5414">
        <v>4</v>
      </c>
      <c r="I5414" t="s">
        <v>4744</v>
      </c>
      <c r="J5414" t="s">
        <v>5191</v>
      </c>
      <c r="K5414" t="s">
        <v>4560</v>
      </c>
      <c r="L5414">
        <v>0</v>
      </c>
      <c r="M5414" s="452">
        <v>45486</v>
      </c>
      <c r="N5414">
        <v>8.99</v>
      </c>
      <c r="O5414">
        <v>8.99</v>
      </c>
      <c r="P5414">
        <v>35.96</v>
      </c>
    </row>
    <row r="5415" spans="1:16" x14ac:dyDescent="0.3">
      <c r="A5415">
        <v>17318</v>
      </c>
      <c r="B5415">
        <v>105</v>
      </c>
      <c r="C5415" t="s">
        <v>557</v>
      </c>
      <c r="D5415" s="452">
        <v>45689</v>
      </c>
      <c r="E5415">
        <v>20985</v>
      </c>
      <c r="F5415" t="s">
        <v>5494</v>
      </c>
      <c r="G5415">
        <v>2011</v>
      </c>
      <c r="H5415">
        <v>4</v>
      </c>
      <c r="I5415" t="s">
        <v>4736</v>
      </c>
      <c r="J5415" t="s">
        <v>5191</v>
      </c>
      <c r="K5415" t="s">
        <v>4560</v>
      </c>
      <c r="L5415">
        <v>8.7799999999999994</v>
      </c>
      <c r="M5415" s="452">
        <v>45675</v>
      </c>
      <c r="N5415">
        <v>8.7799999999999994</v>
      </c>
      <c r="O5415">
        <v>8.8800000000000008</v>
      </c>
      <c r="P5415">
        <v>35.119999999999997</v>
      </c>
    </row>
    <row r="5416" spans="1:16" x14ac:dyDescent="0.3">
      <c r="A5416">
        <v>17546</v>
      </c>
      <c r="B5416">
        <v>105</v>
      </c>
      <c r="C5416" t="s">
        <v>557</v>
      </c>
      <c r="D5416" s="452">
        <v>45689</v>
      </c>
      <c r="E5416">
        <v>18078</v>
      </c>
      <c r="F5416" t="s">
        <v>5606</v>
      </c>
      <c r="G5416">
        <v>3531</v>
      </c>
      <c r="H5416">
        <v>1</v>
      </c>
      <c r="I5416" t="s">
        <v>4805</v>
      </c>
      <c r="J5416" t="s">
        <v>5222</v>
      </c>
      <c r="K5416" t="s">
        <v>4560</v>
      </c>
      <c r="L5416">
        <v>33.979999999999997</v>
      </c>
      <c r="M5416" s="452">
        <v>45665</v>
      </c>
      <c r="N5416">
        <v>33.979999999999997</v>
      </c>
      <c r="O5416">
        <v>33.979999999999997</v>
      </c>
      <c r="P5416">
        <v>33.979999999999997</v>
      </c>
    </row>
    <row r="5417" spans="1:16" x14ac:dyDescent="0.3">
      <c r="A5417">
        <v>17240</v>
      </c>
      <c r="B5417">
        <v>105</v>
      </c>
      <c r="C5417" t="s">
        <v>557</v>
      </c>
      <c r="D5417" s="452">
        <v>45689</v>
      </c>
      <c r="E5417">
        <v>20716</v>
      </c>
      <c r="F5417" t="s">
        <v>5053</v>
      </c>
      <c r="G5417">
        <v>2098</v>
      </c>
      <c r="H5417">
        <v>0.28000000000000003</v>
      </c>
      <c r="I5417" t="s">
        <v>4744</v>
      </c>
      <c r="J5417" t="s">
        <v>5191</v>
      </c>
      <c r="K5417" t="s">
        <v>4560</v>
      </c>
      <c r="L5417">
        <v>0</v>
      </c>
      <c r="M5417" s="452">
        <v>-693593</v>
      </c>
      <c r="N5417">
        <v>0</v>
      </c>
      <c r="O5417">
        <v>0</v>
      </c>
      <c r="P5417">
        <v>33.47</v>
      </c>
    </row>
    <row r="5418" spans="1:16" x14ac:dyDescent="0.3">
      <c r="A5418">
        <v>17515</v>
      </c>
      <c r="B5418">
        <v>105</v>
      </c>
      <c r="C5418" t="s">
        <v>557</v>
      </c>
      <c r="D5418" s="452">
        <v>45689</v>
      </c>
      <c r="E5418">
        <v>18317</v>
      </c>
      <c r="F5418" t="s">
        <v>5056</v>
      </c>
      <c r="G5418">
        <v>3316</v>
      </c>
      <c r="H5418">
        <v>0.97</v>
      </c>
      <c r="I5418" t="s">
        <v>4805</v>
      </c>
      <c r="J5418" t="s">
        <v>5222</v>
      </c>
      <c r="K5418" t="s">
        <v>4560</v>
      </c>
      <c r="L5418">
        <v>0</v>
      </c>
      <c r="M5418" s="452">
        <v>-693593</v>
      </c>
      <c r="N5418">
        <v>0</v>
      </c>
      <c r="O5418">
        <v>35.5</v>
      </c>
      <c r="P5418">
        <v>33.46</v>
      </c>
    </row>
    <row r="5419" spans="1:16" x14ac:dyDescent="0.3">
      <c r="A5419">
        <v>17359</v>
      </c>
      <c r="B5419">
        <v>105</v>
      </c>
      <c r="C5419" t="s">
        <v>557</v>
      </c>
      <c r="D5419" s="452">
        <v>45689</v>
      </c>
      <c r="E5419">
        <v>19632</v>
      </c>
      <c r="F5419" t="s">
        <v>4936</v>
      </c>
      <c r="G5419">
        <v>2604</v>
      </c>
      <c r="H5419">
        <v>9.51</v>
      </c>
      <c r="I5419" t="s">
        <v>4744</v>
      </c>
      <c r="J5419" t="s">
        <v>5191</v>
      </c>
      <c r="K5419" t="s">
        <v>4560</v>
      </c>
      <c r="L5419">
        <v>3.49</v>
      </c>
      <c r="M5419" s="452">
        <v>45688</v>
      </c>
      <c r="N5419">
        <v>2.8</v>
      </c>
      <c r="O5419">
        <v>2.8</v>
      </c>
      <c r="P5419">
        <v>33.19</v>
      </c>
    </row>
    <row r="5420" spans="1:16" x14ac:dyDescent="0.3">
      <c r="A5420">
        <v>17559</v>
      </c>
      <c r="B5420">
        <v>105</v>
      </c>
      <c r="C5420" t="s">
        <v>557</v>
      </c>
      <c r="D5420" s="452">
        <v>45689</v>
      </c>
      <c r="E5420">
        <v>17838</v>
      </c>
      <c r="F5420" t="s">
        <v>4925</v>
      </c>
      <c r="G5420">
        <v>3712</v>
      </c>
      <c r="H5420">
        <v>2</v>
      </c>
      <c r="I5420" t="s">
        <v>4749</v>
      </c>
      <c r="J5420" t="s">
        <v>5222</v>
      </c>
      <c r="K5420" t="s">
        <v>4560</v>
      </c>
      <c r="L5420">
        <v>16.5</v>
      </c>
      <c r="M5420" s="452">
        <v>45679</v>
      </c>
      <c r="N5420">
        <v>16.5</v>
      </c>
      <c r="O5420">
        <v>16.5</v>
      </c>
      <c r="P5420">
        <v>33</v>
      </c>
    </row>
    <row r="5421" spans="1:16" x14ac:dyDescent="0.3">
      <c r="A5421">
        <v>17322</v>
      </c>
      <c r="B5421">
        <v>105</v>
      </c>
      <c r="C5421" t="s">
        <v>557</v>
      </c>
      <c r="D5421" s="452">
        <v>45689</v>
      </c>
      <c r="E5421">
        <v>19924</v>
      </c>
      <c r="F5421" t="s">
        <v>5607</v>
      </c>
      <c r="G5421">
        <v>2374</v>
      </c>
      <c r="H5421">
        <v>0.45</v>
      </c>
      <c r="I5421" t="s">
        <v>4744</v>
      </c>
      <c r="J5421" t="s">
        <v>5191</v>
      </c>
      <c r="K5421" t="s">
        <v>4560</v>
      </c>
      <c r="L5421">
        <v>0</v>
      </c>
      <c r="M5421" s="452">
        <v>-693593</v>
      </c>
      <c r="N5421">
        <v>0</v>
      </c>
      <c r="O5421">
        <v>0</v>
      </c>
      <c r="P5421">
        <v>32.299999999999997</v>
      </c>
    </row>
    <row r="5422" spans="1:16" x14ac:dyDescent="0.3">
      <c r="A5422">
        <v>17346</v>
      </c>
      <c r="B5422">
        <v>105</v>
      </c>
      <c r="C5422" t="s">
        <v>557</v>
      </c>
      <c r="D5422" s="452">
        <v>45689</v>
      </c>
      <c r="E5422">
        <v>19498</v>
      </c>
      <c r="F5422" t="s">
        <v>5487</v>
      </c>
      <c r="G5422">
        <v>2712</v>
      </c>
      <c r="H5422">
        <v>3.35</v>
      </c>
      <c r="I5422" t="s">
        <v>4744</v>
      </c>
      <c r="J5422" t="s">
        <v>5191</v>
      </c>
      <c r="K5422" t="s">
        <v>4560</v>
      </c>
      <c r="L5422">
        <v>9.52</v>
      </c>
      <c r="M5422" s="452">
        <v>45688</v>
      </c>
      <c r="N5422">
        <v>12.08</v>
      </c>
      <c r="O5422">
        <v>10.72</v>
      </c>
      <c r="P5422">
        <v>31.89</v>
      </c>
    </row>
    <row r="5423" spans="1:16" x14ac:dyDescent="0.3">
      <c r="A5423">
        <v>17396</v>
      </c>
      <c r="B5423">
        <v>105</v>
      </c>
      <c r="C5423" t="s">
        <v>557</v>
      </c>
      <c r="D5423" s="452">
        <v>45689</v>
      </c>
      <c r="E5423">
        <v>24394</v>
      </c>
      <c r="F5423" t="s">
        <v>5164</v>
      </c>
      <c r="G5423">
        <v>2753</v>
      </c>
      <c r="H5423">
        <v>48</v>
      </c>
      <c r="I5423" t="s">
        <v>4736</v>
      </c>
      <c r="J5423" t="s">
        <v>5191</v>
      </c>
      <c r="K5423" t="s">
        <v>4560</v>
      </c>
      <c r="L5423">
        <v>0.65</v>
      </c>
      <c r="M5423" s="452">
        <v>45667</v>
      </c>
      <c r="N5423">
        <v>0.65</v>
      </c>
      <c r="O5423">
        <v>0.7</v>
      </c>
      <c r="P5423">
        <v>31.2</v>
      </c>
    </row>
    <row r="5424" spans="1:16" x14ac:dyDescent="0.3">
      <c r="A5424">
        <v>18139</v>
      </c>
      <c r="B5424">
        <v>105</v>
      </c>
      <c r="C5424" t="s">
        <v>557</v>
      </c>
      <c r="D5424" s="452">
        <v>45689</v>
      </c>
      <c r="E5424">
        <v>20994</v>
      </c>
      <c r="F5424" t="s">
        <v>5570</v>
      </c>
      <c r="G5424">
        <v>2010</v>
      </c>
      <c r="H5424">
        <v>1</v>
      </c>
      <c r="I5424" t="s">
        <v>4736</v>
      </c>
      <c r="J5424" t="s">
        <v>5191</v>
      </c>
      <c r="K5424" t="s">
        <v>4560</v>
      </c>
      <c r="L5424">
        <v>0</v>
      </c>
      <c r="M5424" s="452">
        <v>-693593</v>
      </c>
      <c r="N5424">
        <v>0</v>
      </c>
      <c r="O5424">
        <v>0</v>
      </c>
      <c r="P5424">
        <v>31.1</v>
      </c>
    </row>
    <row r="5425" spans="1:16" x14ac:dyDescent="0.3">
      <c r="A5425">
        <v>17216</v>
      </c>
      <c r="B5425">
        <v>105</v>
      </c>
      <c r="C5425" t="s">
        <v>557</v>
      </c>
      <c r="D5425" s="452">
        <v>45689</v>
      </c>
      <c r="E5425">
        <v>21079</v>
      </c>
      <c r="F5425" t="s">
        <v>5124</v>
      </c>
      <c r="G5425">
        <v>1991</v>
      </c>
      <c r="H5425">
        <v>1</v>
      </c>
      <c r="I5425" t="s">
        <v>4736</v>
      </c>
      <c r="J5425" t="s">
        <v>5191</v>
      </c>
      <c r="K5425" t="s">
        <v>4560</v>
      </c>
      <c r="L5425">
        <v>0</v>
      </c>
      <c r="M5425" s="452">
        <v>45490</v>
      </c>
      <c r="N5425">
        <v>29.9</v>
      </c>
      <c r="O5425">
        <v>22.98</v>
      </c>
      <c r="P5425">
        <v>29.9</v>
      </c>
    </row>
    <row r="5426" spans="1:16" x14ac:dyDescent="0.3">
      <c r="A5426">
        <v>17277</v>
      </c>
      <c r="B5426">
        <v>105</v>
      </c>
      <c r="C5426" t="s">
        <v>557</v>
      </c>
      <c r="D5426" s="452">
        <v>45689</v>
      </c>
      <c r="E5426">
        <v>20219</v>
      </c>
      <c r="F5426" t="s">
        <v>5445</v>
      </c>
      <c r="G5426">
        <v>2250</v>
      </c>
      <c r="H5426">
        <v>1.25</v>
      </c>
      <c r="I5426" t="s">
        <v>4738</v>
      </c>
      <c r="J5426" t="s">
        <v>5191</v>
      </c>
      <c r="K5426" t="s">
        <v>4560</v>
      </c>
      <c r="L5426">
        <v>0</v>
      </c>
      <c r="M5426" s="452">
        <v>45573</v>
      </c>
      <c r="N5426">
        <v>23.9</v>
      </c>
      <c r="O5426">
        <v>23.95</v>
      </c>
      <c r="P5426">
        <v>29.88</v>
      </c>
    </row>
    <row r="5427" spans="1:16" x14ac:dyDescent="0.3">
      <c r="A5427">
        <v>17587</v>
      </c>
      <c r="B5427">
        <v>105</v>
      </c>
      <c r="C5427" t="s">
        <v>557</v>
      </c>
      <c r="D5427" s="452">
        <v>45689</v>
      </c>
      <c r="E5427">
        <v>17721</v>
      </c>
      <c r="F5427" t="s">
        <v>4977</v>
      </c>
      <c r="G5427">
        <v>3818</v>
      </c>
      <c r="H5427">
        <v>3</v>
      </c>
      <c r="I5427" t="s">
        <v>4805</v>
      </c>
      <c r="J5427" t="s">
        <v>5222</v>
      </c>
      <c r="K5427" t="s">
        <v>4560</v>
      </c>
      <c r="L5427">
        <v>9.94</v>
      </c>
      <c r="M5427" s="452">
        <v>45665</v>
      </c>
      <c r="N5427">
        <v>9.94</v>
      </c>
      <c r="O5427">
        <v>9.94</v>
      </c>
      <c r="P5427">
        <v>29.82</v>
      </c>
    </row>
    <row r="5428" spans="1:16" x14ac:dyDescent="0.3">
      <c r="A5428">
        <v>17319</v>
      </c>
      <c r="B5428">
        <v>105</v>
      </c>
      <c r="C5428" t="s">
        <v>557</v>
      </c>
      <c r="D5428" s="452">
        <v>45689</v>
      </c>
      <c r="E5428">
        <v>17032</v>
      </c>
      <c r="F5428" t="s">
        <v>5509</v>
      </c>
      <c r="G5428">
        <v>2366</v>
      </c>
      <c r="H5428">
        <v>1.57</v>
      </c>
      <c r="I5428" t="s">
        <v>4744</v>
      </c>
      <c r="J5428" t="s">
        <v>5191</v>
      </c>
      <c r="K5428" t="s">
        <v>4560</v>
      </c>
      <c r="L5428">
        <v>0</v>
      </c>
      <c r="M5428" s="452">
        <v>45378</v>
      </c>
      <c r="N5428">
        <v>18.899999999999999</v>
      </c>
      <c r="O5428">
        <v>38.9</v>
      </c>
      <c r="P5428">
        <v>29.67</v>
      </c>
    </row>
    <row r="5429" spans="1:16" x14ac:dyDescent="0.3">
      <c r="A5429">
        <v>17555</v>
      </c>
      <c r="B5429">
        <v>105</v>
      </c>
      <c r="C5429" t="s">
        <v>557</v>
      </c>
      <c r="D5429" s="452">
        <v>45689</v>
      </c>
      <c r="E5429">
        <v>22118</v>
      </c>
      <c r="F5429" t="s">
        <v>4765</v>
      </c>
      <c r="G5429">
        <v>3600</v>
      </c>
      <c r="H5429">
        <v>13</v>
      </c>
      <c r="I5429" t="s">
        <v>4749</v>
      </c>
      <c r="J5429" t="s">
        <v>5222</v>
      </c>
      <c r="K5429" t="s">
        <v>4560</v>
      </c>
      <c r="L5429">
        <v>2.19</v>
      </c>
      <c r="M5429" s="452">
        <v>45679</v>
      </c>
      <c r="N5429">
        <v>2.19</v>
      </c>
      <c r="O5429">
        <v>2.19</v>
      </c>
      <c r="P5429">
        <v>28.47</v>
      </c>
    </row>
    <row r="5430" spans="1:16" x14ac:dyDescent="0.3">
      <c r="A5430">
        <v>17309</v>
      </c>
      <c r="B5430">
        <v>105</v>
      </c>
      <c r="C5430" t="s">
        <v>557</v>
      </c>
      <c r="D5430" s="452">
        <v>45689</v>
      </c>
      <c r="E5430">
        <v>19969</v>
      </c>
      <c r="F5430" t="s">
        <v>5018</v>
      </c>
      <c r="G5430">
        <v>2354</v>
      </c>
      <c r="H5430">
        <v>3</v>
      </c>
      <c r="I5430" t="s">
        <v>4888</v>
      </c>
      <c r="J5430" t="s">
        <v>5191</v>
      </c>
      <c r="K5430" t="s">
        <v>4560</v>
      </c>
      <c r="L5430">
        <v>9.48</v>
      </c>
      <c r="M5430" s="452">
        <v>45678</v>
      </c>
      <c r="N5430">
        <v>9.48</v>
      </c>
      <c r="O5430">
        <v>9.69</v>
      </c>
      <c r="P5430">
        <v>28.44</v>
      </c>
    </row>
    <row r="5431" spans="1:16" x14ac:dyDescent="0.3">
      <c r="A5431">
        <v>17327</v>
      </c>
      <c r="B5431">
        <v>105</v>
      </c>
      <c r="C5431" t="s">
        <v>557</v>
      </c>
      <c r="D5431" s="452">
        <v>45689</v>
      </c>
      <c r="E5431">
        <v>19907</v>
      </c>
      <c r="F5431" t="s">
        <v>4802</v>
      </c>
      <c r="G5431">
        <v>2381</v>
      </c>
      <c r="H5431">
        <v>9</v>
      </c>
      <c r="I5431" t="s">
        <v>4736</v>
      </c>
      <c r="J5431" t="s">
        <v>5191</v>
      </c>
      <c r="K5431" t="s">
        <v>4560</v>
      </c>
      <c r="L5431">
        <v>3.05</v>
      </c>
      <c r="M5431" s="452">
        <v>45660</v>
      </c>
      <c r="N5431">
        <v>3.05</v>
      </c>
      <c r="O5431">
        <v>3.04</v>
      </c>
      <c r="P5431">
        <v>27.45</v>
      </c>
    </row>
    <row r="5432" spans="1:16" x14ac:dyDescent="0.3">
      <c r="A5432">
        <v>17234</v>
      </c>
      <c r="B5432">
        <v>105</v>
      </c>
      <c r="C5432" t="s">
        <v>557</v>
      </c>
      <c r="D5432" s="452">
        <v>45689</v>
      </c>
      <c r="E5432">
        <v>24110</v>
      </c>
      <c r="F5432" t="s">
        <v>5450</v>
      </c>
      <c r="G5432">
        <v>2322</v>
      </c>
      <c r="H5432">
        <v>1.57</v>
      </c>
      <c r="I5432" t="s">
        <v>4744</v>
      </c>
      <c r="J5432" t="s">
        <v>5191</v>
      </c>
      <c r="K5432" t="s">
        <v>4560</v>
      </c>
      <c r="L5432">
        <v>0</v>
      </c>
      <c r="M5432" s="452">
        <v>45478</v>
      </c>
      <c r="N5432">
        <v>17.2</v>
      </c>
      <c r="O5432">
        <v>32</v>
      </c>
      <c r="P5432">
        <v>27</v>
      </c>
    </row>
    <row r="5433" spans="1:16" x14ac:dyDescent="0.3">
      <c r="A5433">
        <v>17573</v>
      </c>
      <c r="B5433">
        <v>105</v>
      </c>
      <c r="C5433" t="s">
        <v>557</v>
      </c>
      <c r="D5433" s="452">
        <v>45689</v>
      </c>
      <c r="E5433">
        <v>17881</v>
      </c>
      <c r="F5433" t="s">
        <v>5103</v>
      </c>
      <c r="G5433">
        <v>3675</v>
      </c>
      <c r="H5433">
        <v>1</v>
      </c>
      <c r="I5433" t="s">
        <v>4738</v>
      </c>
      <c r="J5433" t="s">
        <v>5222</v>
      </c>
      <c r="K5433" t="s">
        <v>4560</v>
      </c>
      <c r="L5433">
        <v>26.28</v>
      </c>
      <c r="M5433" s="452">
        <v>45685</v>
      </c>
      <c r="N5433">
        <v>26.28</v>
      </c>
      <c r="O5433">
        <v>26.28</v>
      </c>
      <c r="P5433">
        <v>26.28</v>
      </c>
    </row>
    <row r="5434" spans="1:16" x14ac:dyDescent="0.3">
      <c r="A5434">
        <v>18473</v>
      </c>
      <c r="B5434">
        <v>105</v>
      </c>
      <c r="C5434" t="s">
        <v>557</v>
      </c>
      <c r="D5434" s="452">
        <v>45689</v>
      </c>
      <c r="E5434">
        <v>19079</v>
      </c>
      <c r="F5434" t="s">
        <v>5608</v>
      </c>
      <c r="G5434">
        <v>2864</v>
      </c>
      <c r="H5434">
        <v>1.05</v>
      </c>
      <c r="I5434" t="s">
        <v>4744</v>
      </c>
      <c r="J5434" t="s">
        <v>5191</v>
      </c>
      <c r="K5434" t="s">
        <v>4560</v>
      </c>
      <c r="L5434">
        <v>0</v>
      </c>
      <c r="M5434" s="452">
        <v>-693593</v>
      </c>
      <c r="N5434">
        <v>0</v>
      </c>
      <c r="O5434">
        <v>0</v>
      </c>
      <c r="P5434">
        <v>26.25</v>
      </c>
    </row>
    <row r="5435" spans="1:16" x14ac:dyDescent="0.3">
      <c r="A5435">
        <v>17373</v>
      </c>
      <c r="B5435">
        <v>105</v>
      </c>
      <c r="C5435" t="s">
        <v>557</v>
      </c>
      <c r="D5435" s="452">
        <v>45689</v>
      </c>
      <c r="E5435">
        <v>19613</v>
      </c>
      <c r="F5435" t="s">
        <v>5062</v>
      </c>
      <c r="G5435">
        <v>2620</v>
      </c>
      <c r="H5435">
        <v>4</v>
      </c>
      <c r="I5435" t="s">
        <v>4744</v>
      </c>
      <c r="J5435" t="s">
        <v>5191</v>
      </c>
      <c r="K5435" t="s">
        <v>4560</v>
      </c>
      <c r="L5435">
        <v>6.52</v>
      </c>
      <c r="M5435" s="452">
        <v>45688</v>
      </c>
      <c r="N5435">
        <v>4.8</v>
      </c>
      <c r="O5435">
        <v>4.8</v>
      </c>
      <c r="P5435">
        <v>26.08</v>
      </c>
    </row>
    <row r="5436" spans="1:16" x14ac:dyDescent="0.3">
      <c r="A5436">
        <v>17405</v>
      </c>
      <c r="B5436">
        <v>105</v>
      </c>
      <c r="C5436" t="s">
        <v>557</v>
      </c>
      <c r="D5436" s="452">
        <v>45689</v>
      </c>
      <c r="E5436">
        <v>20678</v>
      </c>
      <c r="F5436" t="s">
        <v>5559</v>
      </c>
      <c r="G5436">
        <v>5765</v>
      </c>
      <c r="H5436">
        <v>1</v>
      </c>
      <c r="I5436" t="s">
        <v>4805</v>
      </c>
      <c r="J5436" t="s">
        <v>5191</v>
      </c>
      <c r="K5436" t="s">
        <v>4560</v>
      </c>
      <c r="L5436">
        <v>0</v>
      </c>
      <c r="M5436" s="452">
        <v>45596</v>
      </c>
      <c r="N5436">
        <v>0</v>
      </c>
      <c r="O5436">
        <v>25.9</v>
      </c>
      <c r="P5436">
        <v>25.9</v>
      </c>
    </row>
    <row r="5437" spans="1:16" x14ac:dyDescent="0.3">
      <c r="A5437">
        <v>17400</v>
      </c>
      <c r="B5437">
        <v>105</v>
      </c>
      <c r="C5437" t="s">
        <v>557</v>
      </c>
      <c r="D5437" s="452">
        <v>45689</v>
      </c>
      <c r="E5437">
        <v>19572</v>
      </c>
      <c r="F5437" t="s">
        <v>4989</v>
      </c>
      <c r="G5437">
        <v>2646</v>
      </c>
      <c r="H5437">
        <v>1.79</v>
      </c>
      <c r="I5437" t="s">
        <v>4744</v>
      </c>
      <c r="J5437" t="s">
        <v>5191</v>
      </c>
      <c r="K5437" t="s">
        <v>4560</v>
      </c>
      <c r="L5437">
        <v>14.4</v>
      </c>
      <c r="M5437" s="452">
        <v>45687</v>
      </c>
      <c r="N5437">
        <v>12</v>
      </c>
      <c r="O5437">
        <v>10</v>
      </c>
      <c r="P5437">
        <v>25.78</v>
      </c>
    </row>
    <row r="5438" spans="1:16" x14ac:dyDescent="0.3">
      <c r="A5438">
        <v>17217</v>
      </c>
      <c r="B5438">
        <v>105</v>
      </c>
      <c r="C5438" t="s">
        <v>557</v>
      </c>
      <c r="D5438" s="452">
        <v>45689</v>
      </c>
      <c r="E5438">
        <v>20321</v>
      </c>
      <c r="F5438" t="s">
        <v>5067</v>
      </c>
      <c r="G5438">
        <v>2213</v>
      </c>
      <c r="H5438">
        <v>0.57999999999999996</v>
      </c>
      <c r="I5438" t="s">
        <v>4744</v>
      </c>
      <c r="J5438" t="s">
        <v>5191</v>
      </c>
      <c r="K5438" t="s">
        <v>4560</v>
      </c>
      <c r="L5438">
        <v>0</v>
      </c>
      <c r="M5438" s="452">
        <v>-693593</v>
      </c>
      <c r="N5438">
        <v>0</v>
      </c>
      <c r="O5438">
        <v>130.51</v>
      </c>
      <c r="P5438">
        <v>25.3</v>
      </c>
    </row>
    <row r="5439" spans="1:16" x14ac:dyDescent="0.3">
      <c r="A5439">
        <v>17481</v>
      </c>
      <c r="B5439">
        <v>105</v>
      </c>
      <c r="C5439" t="s">
        <v>557</v>
      </c>
      <c r="D5439" s="452">
        <v>45689</v>
      </c>
      <c r="E5439">
        <v>25138</v>
      </c>
      <c r="F5439" t="s">
        <v>5545</v>
      </c>
      <c r="G5439">
        <v>5916</v>
      </c>
      <c r="H5439">
        <v>0.8</v>
      </c>
      <c r="I5439" t="s">
        <v>4744</v>
      </c>
      <c r="J5439" t="s">
        <v>5191</v>
      </c>
      <c r="K5439" t="s">
        <v>4560</v>
      </c>
      <c r="L5439">
        <v>0</v>
      </c>
      <c r="M5439" s="452">
        <v>-693593</v>
      </c>
      <c r="N5439">
        <v>0</v>
      </c>
      <c r="O5439">
        <v>0</v>
      </c>
      <c r="P5439">
        <v>24.8</v>
      </c>
    </row>
    <row r="5440" spans="1:16" x14ac:dyDescent="0.3">
      <c r="A5440">
        <v>17245</v>
      </c>
      <c r="B5440">
        <v>105</v>
      </c>
      <c r="C5440" t="s">
        <v>557</v>
      </c>
      <c r="D5440" s="452">
        <v>45689</v>
      </c>
      <c r="E5440">
        <v>20256</v>
      </c>
      <c r="F5440" t="s">
        <v>5609</v>
      </c>
      <c r="G5440">
        <v>2239</v>
      </c>
      <c r="H5440">
        <v>1</v>
      </c>
      <c r="I5440" t="s">
        <v>4736</v>
      </c>
      <c r="J5440" t="s">
        <v>5191</v>
      </c>
      <c r="K5440" t="s">
        <v>4560</v>
      </c>
      <c r="L5440">
        <v>0</v>
      </c>
      <c r="M5440" s="452">
        <v>45532</v>
      </c>
      <c r="N5440">
        <v>24.5</v>
      </c>
      <c r="O5440">
        <v>24.5</v>
      </c>
      <c r="P5440">
        <v>24.5</v>
      </c>
    </row>
    <row r="5441" spans="1:16" x14ac:dyDescent="0.3">
      <c r="A5441">
        <v>17307</v>
      </c>
      <c r="B5441">
        <v>105</v>
      </c>
      <c r="C5441" t="s">
        <v>557</v>
      </c>
      <c r="D5441" s="452">
        <v>45689</v>
      </c>
      <c r="E5441">
        <v>19993</v>
      </c>
      <c r="F5441" t="s">
        <v>4954</v>
      </c>
      <c r="G5441">
        <v>2349</v>
      </c>
      <c r="H5441">
        <v>2</v>
      </c>
      <c r="I5441" t="s">
        <v>4955</v>
      </c>
      <c r="J5441" t="s">
        <v>5191</v>
      </c>
      <c r="K5441" t="s">
        <v>4560</v>
      </c>
      <c r="L5441">
        <v>0</v>
      </c>
      <c r="M5441" s="452">
        <v>-693593</v>
      </c>
      <c r="N5441">
        <v>0</v>
      </c>
      <c r="O5441">
        <v>0</v>
      </c>
      <c r="P5441">
        <v>23.98</v>
      </c>
    </row>
    <row r="5442" spans="1:16" x14ac:dyDescent="0.3">
      <c r="A5442">
        <v>17395</v>
      </c>
      <c r="B5442">
        <v>105</v>
      </c>
      <c r="C5442" t="s">
        <v>557</v>
      </c>
      <c r="D5442" s="452">
        <v>45689</v>
      </c>
      <c r="E5442">
        <v>19730</v>
      </c>
      <c r="F5442" t="s">
        <v>4961</v>
      </c>
      <c r="G5442">
        <v>2523</v>
      </c>
      <c r="H5442">
        <v>0.91</v>
      </c>
      <c r="I5442" t="s">
        <v>4744</v>
      </c>
      <c r="J5442" t="s">
        <v>5191</v>
      </c>
      <c r="K5442" t="s">
        <v>4560</v>
      </c>
      <c r="L5442">
        <v>26.19</v>
      </c>
      <c r="M5442" s="452">
        <v>45688</v>
      </c>
      <c r="N5442">
        <v>24.84</v>
      </c>
      <c r="O5442">
        <v>38.549999999999997</v>
      </c>
      <c r="P5442">
        <v>23.83</v>
      </c>
    </row>
    <row r="5443" spans="1:16" x14ac:dyDescent="0.3">
      <c r="A5443">
        <v>17342</v>
      </c>
      <c r="B5443">
        <v>105</v>
      </c>
      <c r="C5443" t="s">
        <v>557</v>
      </c>
      <c r="D5443" s="452">
        <v>45689</v>
      </c>
      <c r="E5443">
        <v>19506</v>
      </c>
      <c r="F5443" t="s">
        <v>5122</v>
      </c>
      <c r="G5443">
        <v>2705</v>
      </c>
      <c r="H5443">
        <v>0.5</v>
      </c>
      <c r="I5443" t="s">
        <v>4744</v>
      </c>
      <c r="J5443" t="s">
        <v>5191</v>
      </c>
      <c r="K5443" t="s">
        <v>4560</v>
      </c>
      <c r="L5443">
        <v>44.45</v>
      </c>
      <c r="M5443" s="452">
        <v>45688</v>
      </c>
      <c r="N5443">
        <v>40</v>
      </c>
      <c r="O5443">
        <v>48</v>
      </c>
      <c r="P5443">
        <v>22.22</v>
      </c>
    </row>
    <row r="5444" spans="1:16" x14ac:dyDescent="0.3">
      <c r="A5444">
        <v>17215</v>
      </c>
      <c r="B5444">
        <v>105</v>
      </c>
      <c r="C5444" t="s">
        <v>557</v>
      </c>
      <c r="D5444" s="452">
        <v>45689</v>
      </c>
      <c r="E5444">
        <v>21085</v>
      </c>
      <c r="F5444" t="s">
        <v>5066</v>
      </c>
      <c r="G5444">
        <v>1989</v>
      </c>
      <c r="H5444">
        <v>1</v>
      </c>
      <c r="I5444" t="s">
        <v>4749</v>
      </c>
      <c r="J5444" t="s">
        <v>5191</v>
      </c>
      <c r="K5444" t="s">
        <v>4560</v>
      </c>
      <c r="L5444">
        <v>0</v>
      </c>
      <c r="M5444" s="452">
        <v>45618</v>
      </c>
      <c r="N5444">
        <v>22.16</v>
      </c>
      <c r="O5444">
        <v>22.29</v>
      </c>
      <c r="P5444">
        <v>22.16</v>
      </c>
    </row>
    <row r="5445" spans="1:16" x14ac:dyDescent="0.3">
      <c r="A5445">
        <v>17284</v>
      </c>
      <c r="B5445">
        <v>105</v>
      </c>
      <c r="C5445" t="s">
        <v>557</v>
      </c>
      <c r="D5445" s="452">
        <v>45689</v>
      </c>
      <c r="E5445">
        <v>20653</v>
      </c>
      <c r="F5445" t="s">
        <v>5013</v>
      </c>
      <c r="G5445">
        <v>2111</v>
      </c>
      <c r="H5445">
        <v>1</v>
      </c>
      <c r="I5445" t="s">
        <v>4736</v>
      </c>
      <c r="J5445" t="s">
        <v>5191</v>
      </c>
      <c r="K5445" t="s">
        <v>4560</v>
      </c>
      <c r="L5445">
        <v>0</v>
      </c>
      <c r="M5445" s="452">
        <v>45636</v>
      </c>
      <c r="N5445">
        <v>21.98</v>
      </c>
      <c r="O5445">
        <v>21.98</v>
      </c>
      <c r="P5445">
        <v>21.98</v>
      </c>
    </row>
    <row r="5446" spans="1:16" x14ac:dyDescent="0.3">
      <c r="A5446">
        <v>17292</v>
      </c>
      <c r="B5446">
        <v>105</v>
      </c>
      <c r="C5446" t="s">
        <v>557</v>
      </c>
      <c r="D5446" s="452">
        <v>45689</v>
      </c>
      <c r="E5446">
        <v>20140</v>
      </c>
      <c r="F5446" t="s">
        <v>5566</v>
      </c>
      <c r="G5446">
        <v>2284</v>
      </c>
      <c r="H5446">
        <v>3</v>
      </c>
      <c r="I5446" t="s">
        <v>4736</v>
      </c>
      <c r="J5446" t="s">
        <v>5191</v>
      </c>
      <c r="K5446" t="s">
        <v>4560</v>
      </c>
      <c r="L5446">
        <v>7.3</v>
      </c>
      <c r="M5446" s="452">
        <v>45678</v>
      </c>
      <c r="N5446">
        <v>7.3</v>
      </c>
      <c r="O5446">
        <v>7.22</v>
      </c>
      <c r="P5446">
        <v>21.9</v>
      </c>
    </row>
    <row r="5447" spans="1:16" x14ac:dyDescent="0.3">
      <c r="A5447">
        <v>17263</v>
      </c>
      <c r="B5447">
        <v>105</v>
      </c>
      <c r="C5447" t="s">
        <v>557</v>
      </c>
      <c r="D5447" s="452">
        <v>45689</v>
      </c>
      <c r="E5447">
        <v>20238</v>
      </c>
      <c r="F5447" t="s">
        <v>5610</v>
      </c>
      <c r="G5447">
        <v>2242</v>
      </c>
      <c r="H5447">
        <v>3</v>
      </c>
      <c r="I5447" t="s">
        <v>4736</v>
      </c>
      <c r="J5447" t="s">
        <v>5191</v>
      </c>
      <c r="K5447" t="s">
        <v>4560</v>
      </c>
      <c r="L5447">
        <v>0</v>
      </c>
      <c r="M5447" s="452">
        <v>45545</v>
      </c>
      <c r="N5447">
        <v>7.19</v>
      </c>
      <c r="O5447">
        <v>6.75</v>
      </c>
      <c r="P5447">
        <v>21.57</v>
      </c>
    </row>
    <row r="5448" spans="1:16" x14ac:dyDescent="0.3">
      <c r="A5448">
        <v>17200</v>
      </c>
      <c r="B5448">
        <v>105</v>
      </c>
      <c r="C5448" t="s">
        <v>557</v>
      </c>
      <c r="D5448" s="452">
        <v>45689</v>
      </c>
      <c r="E5448">
        <v>25755</v>
      </c>
      <c r="F5448" t="s">
        <v>4821</v>
      </c>
      <c r="G5448">
        <v>9071</v>
      </c>
      <c r="H5448">
        <v>3</v>
      </c>
      <c r="I5448" t="s">
        <v>4749</v>
      </c>
      <c r="J5448" t="s">
        <v>5191</v>
      </c>
      <c r="K5448" t="s">
        <v>4560</v>
      </c>
      <c r="L5448">
        <v>0</v>
      </c>
      <c r="M5448" s="452">
        <v>-693593</v>
      </c>
      <c r="N5448">
        <v>0</v>
      </c>
      <c r="O5448">
        <v>0</v>
      </c>
      <c r="P5448">
        <v>20.97</v>
      </c>
    </row>
    <row r="5449" spans="1:16" x14ac:dyDescent="0.3">
      <c r="A5449">
        <v>17421</v>
      </c>
      <c r="B5449">
        <v>105</v>
      </c>
      <c r="C5449" t="s">
        <v>557</v>
      </c>
      <c r="D5449" s="452">
        <v>45689</v>
      </c>
      <c r="E5449">
        <v>19710</v>
      </c>
      <c r="F5449" t="s">
        <v>4963</v>
      </c>
      <c r="G5449">
        <v>2540</v>
      </c>
      <c r="H5449">
        <v>1</v>
      </c>
      <c r="I5449" t="s">
        <v>4738</v>
      </c>
      <c r="J5449" t="s">
        <v>5191</v>
      </c>
      <c r="K5449" t="s">
        <v>4560</v>
      </c>
      <c r="L5449">
        <v>0</v>
      </c>
      <c r="M5449" s="452">
        <v>45586</v>
      </c>
      <c r="N5449">
        <v>19.899999999999999</v>
      </c>
      <c r="O5449">
        <v>23.9</v>
      </c>
      <c r="P5449">
        <v>19.899999999999999</v>
      </c>
    </row>
    <row r="5450" spans="1:16" x14ac:dyDescent="0.3">
      <c r="A5450">
        <v>17398</v>
      </c>
      <c r="B5450">
        <v>105</v>
      </c>
      <c r="C5450" t="s">
        <v>557</v>
      </c>
      <c r="D5450" s="452">
        <v>45689</v>
      </c>
      <c r="E5450">
        <v>19589</v>
      </c>
      <c r="F5450" t="s">
        <v>4983</v>
      </c>
      <c r="G5450">
        <v>2637</v>
      </c>
      <c r="H5450">
        <v>3.4</v>
      </c>
      <c r="I5450" t="s">
        <v>4744</v>
      </c>
      <c r="J5450" t="s">
        <v>5191</v>
      </c>
      <c r="K5450" t="s">
        <v>4560</v>
      </c>
      <c r="L5450">
        <v>5.78</v>
      </c>
      <c r="M5450" s="452">
        <v>45688</v>
      </c>
      <c r="N5450">
        <v>5</v>
      </c>
      <c r="O5450">
        <v>5</v>
      </c>
      <c r="P5450">
        <v>19.649999999999999</v>
      </c>
    </row>
    <row r="5451" spans="1:16" x14ac:dyDescent="0.3">
      <c r="A5451">
        <v>17331</v>
      </c>
      <c r="B5451">
        <v>105</v>
      </c>
      <c r="C5451" t="s">
        <v>557</v>
      </c>
      <c r="D5451" s="452">
        <v>45689</v>
      </c>
      <c r="E5451">
        <v>20791</v>
      </c>
      <c r="F5451" t="s">
        <v>5021</v>
      </c>
      <c r="G5451">
        <v>2076</v>
      </c>
      <c r="H5451">
        <v>2</v>
      </c>
      <c r="I5451" t="s">
        <v>4738</v>
      </c>
      <c r="J5451" t="s">
        <v>5191</v>
      </c>
      <c r="K5451" t="s">
        <v>4560</v>
      </c>
      <c r="L5451">
        <v>9.6</v>
      </c>
      <c r="M5451" s="452">
        <v>45678</v>
      </c>
      <c r="N5451">
        <v>9.6</v>
      </c>
      <c r="O5451">
        <v>9.6</v>
      </c>
      <c r="P5451">
        <v>19.2</v>
      </c>
    </row>
    <row r="5452" spans="1:16" x14ac:dyDescent="0.3">
      <c r="A5452">
        <v>17332</v>
      </c>
      <c r="B5452">
        <v>105</v>
      </c>
      <c r="C5452" t="s">
        <v>557</v>
      </c>
      <c r="D5452" s="452">
        <v>45689</v>
      </c>
      <c r="E5452">
        <v>20792</v>
      </c>
      <c r="F5452" t="s">
        <v>5022</v>
      </c>
      <c r="G5452">
        <v>2076</v>
      </c>
      <c r="H5452">
        <v>2</v>
      </c>
      <c r="I5452" t="s">
        <v>4738</v>
      </c>
      <c r="J5452" t="s">
        <v>5191</v>
      </c>
      <c r="K5452" t="s">
        <v>4560</v>
      </c>
      <c r="L5452">
        <v>9.6</v>
      </c>
      <c r="M5452" s="452">
        <v>45678</v>
      </c>
      <c r="N5452">
        <v>9.6</v>
      </c>
      <c r="O5452">
        <v>9.6</v>
      </c>
      <c r="P5452">
        <v>19.2</v>
      </c>
    </row>
    <row r="5453" spans="1:16" x14ac:dyDescent="0.3">
      <c r="A5453">
        <v>17356</v>
      </c>
      <c r="B5453">
        <v>105</v>
      </c>
      <c r="C5453" t="s">
        <v>557</v>
      </c>
      <c r="D5453" s="452">
        <v>45689</v>
      </c>
      <c r="E5453">
        <v>19642</v>
      </c>
      <c r="F5453" t="s">
        <v>4996</v>
      </c>
      <c r="G5453">
        <v>2596</v>
      </c>
      <c r="H5453">
        <v>3.2</v>
      </c>
      <c r="I5453" t="s">
        <v>4744</v>
      </c>
      <c r="J5453" t="s">
        <v>5191</v>
      </c>
      <c r="K5453" t="s">
        <v>4560</v>
      </c>
      <c r="L5453">
        <v>5.85</v>
      </c>
      <c r="M5453" s="452">
        <v>45685</v>
      </c>
      <c r="N5453">
        <v>6.5</v>
      </c>
      <c r="O5453">
        <v>6.5</v>
      </c>
      <c r="P5453">
        <v>18.72</v>
      </c>
    </row>
    <row r="5454" spans="1:16" x14ac:dyDescent="0.3">
      <c r="A5454">
        <v>18466</v>
      </c>
      <c r="B5454">
        <v>105</v>
      </c>
      <c r="C5454" t="s">
        <v>557</v>
      </c>
      <c r="D5454" s="452">
        <v>45689</v>
      </c>
      <c r="E5454">
        <v>19436</v>
      </c>
      <c r="F5454" t="s">
        <v>5586</v>
      </c>
      <c r="G5454">
        <v>2757</v>
      </c>
      <c r="H5454">
        <v>0.64</v>
      </c>
      <c r="I5454" t="s">
        <v>4736</v>
      </c>
      <c r="J5454" t="s">
        <v>5191</v>
      </c>
      <c r="K5454" t="s">
        <v>4560</v>
      </c>
      <c r="L5454">
        <v>0</v>
      </c>
      <c r="M5454" s="452">
        <v>-693593</v>
      </c>
      <c r="N5454">
        <v>0</v>
      </c>
      <c r="O5454">
        <v>14.58</v>
      </c>
      <c r="P5454">
        <v>18.579999999999998</v>
      </c>
    </row>
    <row r="5455" spans="1:16" x14ac:dyDescent="0.3">
      <c r="A5455">
        <v>17325</v>
      </c>
      <c r="B5455">
        <v>105</v>
      </c>
      <c r="C5455" t="s">
        <v>557</v>
      </c>
      <c r="D5455" s="452">
        <v>45689</v>
      </c>
      <c r="E5455">
        <v>19917</v>
      </c>
      <c r="F5455" t="s">
        <v>5131</v>
      </c>
      <c r="G5455">
        <v>2379</v>
      </c>
      <c r="H5455">
        <v>6</v>
      </c>
      <c r="I5455" t="s">
        <v>4738</v>
      </c>
      <c r="J5455" t="s">
        <v>5191</v>
      </c>
      <c r="K5455" t="s">
        <v>4560</v>
      </c>
      <c r="L5455">
        <v>3.09</v>
      </c>
      <c r="M5455" s="452">
        <v>45660</v>
      </c>
      <c r="N5455">
        <v>3.09</v>
      </c>
      <c r="O5455">
        <v>3.04</v>
      </c>
      <c r="P5455">
        <v>18.54</v>
      </c>
    </row>
    <row r="5456" spans="1:16" x14ac:dyDescent="0.3">
      <c r="A5456">
        <v>17362</v>
      </c>
      <c r="B5456">
        <v>105</v>
      </c>
      <c r="C5456" t="s">
        <v>557</v>
      </c>
      <c r="D5456" s="452">
        <v>45689</v>
      </c>
      <c r="E5456">
        <v>19490</v>
      </c>
      <c r="F5456" t="s">
        <v>5116</v>
      </c>
      <c r="G5456">
        <v>2718</v>
      </c>
      <c r="H5456">
        <v>0.73</v>
      </c>
      <c r="I5456" t="s">
        <v>4744</v>
      </c>
      <c r="J5456" t="s">
        <v>5191</v>
      </c>
      <c r="K5456" t="s">
        <v>4560</v>
      </c>
      <c r="L5456">
        <v>24.4</v>
      </c>
      <c r="M5456" s="452">
        <v>45681</v>
      </c>
      <c r="N5456">
        <v>24</v>
      </c>
      <c r="O5456">
        <v>55</v>
      </c>
      <c r="P5456">
        <v>17.809999999999999</v>
      </c>
    </row>
    <row r="5457" spans="1:16" x14ac:dyDescent="0.3">
      <c r="A5457">
        <v>17285</v>
      </c>
      <c r="B5457">
        <v>105</v>
      </c>
      <c r="C5457" t="s">
        <v>557</v>
      </c>
      <c r="D5457" s="452">
        <v>45689</v>
      </c>
      <c r="E5457">
        <v>24322</v>
      </c>
      <c r="F5457" t="s">
        <v>5064</v>
      </c>
      <c r="G5457">
        <v>2342</v>
      </c>
      <c r="H5457">
        <v>0.74</v>
      </c>
      <c r="I5457" t="s">
        <v>4744</v>
      </c>
      <c r="J5457" t="s">
        <v>5191</v>
      </c>
      <c r="K5457" t="s">
        <v>4560</v>
      </c>
      <c r="L5457">
        <v>0</v>
      </c>
      <c r="M5457" s="452">
        <v>45532</v>
      </c>
      <c r="N5457">
        <v>24</v>
      </c>
      <c r="O5457">
        <v>22</v>
      </c>
      <c r="P5457">
        <v>17.760000000000002</v>
      </c>
    </row>
    <row r="5458" spans="1:16" x14ac:dyDescent="0.3">
      <c r="A5458">
        <v>17371</v>
      </c>
      <c r="B5458">
        <v>105</v>
      </c>
      <c r="C5458" t="s">
        <v>557</v>
      </c>
      <c r="D5458" s="452">
        <v>45689</v>
      </c>
      <c r="E5458">
        <v>19842</v>
      </c>
      <c r="F5458" t="s">
        <v>5300</v>
      </c>
      <c r="G5458">
        <v>2425</v>
      </c>
      <c r="H5458">
        <v>0.34</v>
      </c>
      <c r="I5458" t="s">
        <v>4744</v>
      </c>
      <c r="J5458" t="s">
        <v>5191</v>
      </c>
      <c r="K5458" t="s">
        <v>4560</v>
      </c>
      <c r="L5458">
        <v>52</v>
      </c>
      <c r="M5458" s="452">
        <v>45681</v>
      </c>
      <c r="N5458">
        <v>52</v>
      </c>
      <c r="O5458">
        <v>52</v>
      </c>
      <c r="P5458">
        <v>17.68</v>
      </c>
    </row>
    <row r="5459" spans="1:16" x14ac:dyDescent="0.3">
      <c r="A5459">
        <v>18470</v>
      </c>
      <c r="B5459">
        <v>105</v>
      </c>
      <c r="C5459" t="s">
        <v>557</v>
      </c>
      <c r="D5459" s="452">
        <v>45689</v>
      </c>
      <c r="E5459">
        <v>19583</v>
      </c>
      <c r="F5459" t="s">
        <v>5478</v>
      </c>
      <c r="G5459">
        <v>2639</v>
      </c>
      <c r="H5459">
        <v>0.5</v>
      </c>
      <c r="I5459" t="s">
        <v>4744</v>
      </c>
      <c r="J5459" t="s">
        <v>5191</v>
      </c>
      <c r="K5459" t="s">
        <v>4560</v>
      </c>
      <c r="L5459">
        <v>40</v>
      </c>
      <c r="M5459" s="452">
        <v>45688</v>
      </c>
      <c r="N5459">
        <v>40</v>
      </c>
      <c r="O5459">
        <v>40</v>
      </c>
      <c r="P5459">
        <v>16.75</v>
      </c>
    </row>
    <row r="5460" spans="1:16" x14ac:dyDescent="0.3">
      <c r="A5460">
        <v>17202</v>
      </c>
      <c r="B5460">
        <v>105</v>
      </c>
      <c r="C5460" t="s">
        <v>557</v>
      </c>
      <c r="D5460" s="452">
        <v>45689</v>
      </c>
      <c r="E5460">
        <v>25751</v>
      </c>
      <c r="F5460" t="s">
        <v>5169</v>
      </c>
      <c r="G5460">
        <v>6302</v>
      </c>
      <c r="H5460">
        <v>2</v>
      </c>
      <c r="I5460" t="s">
        <v>4736</v>
      </c>
      <c r="J5460" t="s">
        <v>5191</v>
      </c>
      <c r="K5460" t="s">
        <v>4560</v>
      </c>
      <c r="L5460">
        <v>0</v>
      </c>
      <c r="M5460" s="452">
        <v>-693593</v>
      </c>
      <c r="N5460">
        <v>0</v>
      </c>
      <c r="O5460">
        <v>0</v>
      </c>
      <c r="P5460">
        <v>13.98</v>
      </c>
    </row>
    <row r="5461" spans="1:16" x14ac:dyDescent="0.3">
      <c r="A5461">
        <v>18465</v>
      </c>
      <c r="B5461">
        <v>105</v>
      </c>
      <c r="C5461" t="s">
        <v>557</v>
      </c>
      <c r="D5461" s="452">
        <v>45689</v>
      </c>
      <c r="E5461">
        <v>19914</v>
      </c>
      <c r="F5461" t="s">
        <v>5611</v>
      </c>
      <c r="G5461">
        <v>2380</v>
      </c>
      <c r="H5461">
        <v>1</v>
      </c>
      <c r="I5461" t="s">
        <v>4738</v>
      </c>
      <c r="J5461" t="s">
        <v>5191</v>
      </c>
      <c r="K5461" t="s">
        <v>4560</v>
      </c>
      <c r="L5461">
        <v>0</v>
      </c>
      <c r="M5461" s="452">
        <v>-693593</v>
      </c>
      <c r="N5461">
        <v>0</v>
      </c>
      <c r="O5461">
        <v>35.700000000000003</v>
      </c>
      <c r="P5461">
        <v>13.9</v>
      </c>
    </row>
    <row r="5462" spans="1:16" x14ac:dyDescent="0.3">
      <c r="A5462">
        <v>17416</v>
      </c>
      <c r="B5462">
        <v>105</v>
      </c>
      <c r="C5462" t="s">
        <v>557</v>
      </c>
      <c r="D5462" s="452">
        <v>45689</v>
      </c>
      <c r="E5462">
        <v>23184</v>
      </c>
      <c r="F5462" t="s">
        <v>4935</v>
      </c>
      <c r="G5462">
        <v>2670</v>
      </c>
      <c r="H5462">
        <v>1.05</v>
      </c>
      <c r="I5462" t="s">
        <v>4744</v>
      </c>
      <c r="J5462" t="s">
        <v>5191</v>
      </c>
      <c r="K5462" t="s">
        <v>4560</v>
      </c>
      <c r="L5462">
        <v>12.99</v>
      </c>
      <c r="M5462" s="452">
        <v>45681</v>
      </c>
      <c r="N5462">
        <v>12.42</v>
      </c>
      <c r="O5462">
        <v>12.42</v>
      </c>
      <c r="P5462">
        <v>13.64</v>
      </c>
    </row>
    <row r="5463" spans="1:16" x14ac:dyDescent="0.3">
      <c r="A5463">
        <v>17316</v>
      </c>
      <c r="B5463">
        <v>105</v>
      </c>
      <c r="C5463" t="s">
        <v>557</v>
      </c>
      <c r="D5463" s="452">
        <v>45689</v>
      </c>
      <c r="E5463">
        <v>19939</v>
      </c>
      <c r="F5463" t="s">
        <v>5057</v>
      </c>
      <c r="G5463">
        <v>2365</v>
      </c>
      <c r="H5463">
        <v>0.6</v>
      </c>
      <c r="I5463" t="s">
        <v>4744</v>
      </c>
      <c r="J5463" t="s">
        <v>5191</v>
      </c>
      <c r="K5463" t="s">
        <v>4560</v>
      </c>
      <c r="L5463">
        <v>0</v>
      </c>
      <c r="M5463" s="452">
        <v>-693593</v>
      </c>
      <c r="N5463">
        <v>0</v>
      </c>
      <c r="O5463">
        <v>79.599999999999994</v>
      </c>
      <c r="P5463">
        <v>13.2</v>
      </c>
    </row>
    <row r="5464" spans="1:16" x14ac:dyDescent="0.3">
      <c r="A5464">
        <v>17336</v>
      </c>
      <c r="B5464">
        <v>105</v>
      </c>
      <c r="C5464" t="s">
        <v>557</v>
      </c>
      <c r="D5464" s="452">
        <v>45689</v>
      </c>
      <c r="E5464">
        <v>20970</v>
      </c>
      <c r="F5464" t="s">
        <v>5546</v>
      </c>
      <c r="G5464">
        <v>2012</v>
      </c>
      <c r="H5464">
        <v>4.8499999999999996</v>
      </c>
      <c r="I5464" t="s">
        <v>4736</v>
      </c>
      <c r="J5464" t="s">
        <v>5191</v>
      </c>
      <c r="K5464" t="s">
        <v>4560</v>
      </c>
      <c r="L5464">
        <v>2.59</v>
      </c>
      <c r="M5464" s="452">
        <v>45677</v>
      </c>
      <c r="N5464">
        <v>2.59</v>
      </c>
      <c r="O5464">
        <v>2.59</v>
      </c>
      <c r="P5464">
        <v>12.56</v>
      </c>
    </row>
    <row r="5465" spans="1:16" x14ac:dyDescent="0.3">
      <c r="A5465">
        <v>17257</v>
      </c>
      <c r="B5465">
        <v>105</v>
      </c>
      <c r="C5465" t="s">
        <v>557</v>
      </c>
      <c r="D5465" s="452">
        <v>45689</v>
      </c>
      <c r="E5465">
        <v>20390</v>
      </c>
      <c r="F5465" t="s">
        <v>5543</v>
      </c>
      <c r="G5465">
        <v>2194</v>
      </c>
      <c r="H5465">
        <v>0.6</v>
      </c>
      <c r="I5465" t="s">
        <v>4738</v>
      </c>
      <c r="J5465" t="s">
        <v>5191</v>
      </c>
      <c r="K5465" t="s">
        <v>4560</v>
      </c>
      <c r="L5465">
        <v>0</v>
      </c>
      <c r="M5465" s="452">
        <v>45434</v>
      </c>
      <c r="N5465">
        <v>20.8</v>
      </c>
      <c r="O5465">
        <v>19.25</v>
      </c>
      <c r="P5465">
        <v>12.48</v>
      </c>
    </row>
    <row r="5466" spans="1:16" x14ac:dyDescent="0.3">
      <c r="A5466">
        <v>17413</v>
      </c>
      <c r="B5466">
        <v>105</v>
      </c>
      <c r="C5466" t="s">
        <v>557</v>
      </c>
      <c r="D5466" s="452">
        <v>45689</v>
      </c>
      <c r="E5466">
        <v>19468</v>
      </c>
      <c r="F5466" t="s">
        <v>5074</v>
      </c>
      <c r="G5466">
        <v>2736</v>
      </c>
      <c r="H5466">
        <v>1</v>
      </c>
      <c r="I5466" t="s">
        <v>4744</v>
      </c>
      <c r="J5466" t="s">
        <v>5191</v>
      </c>
      <c r="K5466" t="s">
        <v>4560</v>
      </c>
      <c r="L5466">
        <v>12.07</v>
      </c>
      <c r="M5466" s="452">
        <v>45687</v>
      </c>
      <c r="N5466">
        <v>10</v>
      </c>
      <c r="O5466">
        <v>12.57</v>
      </c>
      <c r="P5466">
        <v>12.07</v>
      </c>
    </row>
    <row r="5467" spans="1:16" x14ac:dyDescent="0.3">
      <c r="A5467">
        <v>17308</v>
      </c>
      <c r="B5467">
        <v>105</v>
      </c>
      <c r="C5467" t="s">
        <v>557</v>
      </c>
      <c r="D5467" s="452">
        <v>45689</v>
      </c>
      <c r="E5467">
        <v>19982</v>
      </c>
      <c r="F5467" t="s">
        <v>5017</v>
      </c>
      <c r="G5467">
        <v>2351</v>
      </c>
      <c r="H5467">
        <v>2</v>
      </c>
      <c r="I5467" t="s">
        <v>4888</v>
      </c>
      <c r="J5467" t="s">
        <v>5191</v>
      </c>
      <c r="K5467" t="s">
        <v>4560</v>
      </c>
      <c r="L5467">
        <v>0</v>
      </c>
      <c r="M5467" s="452">
        <v>45519</v>
      </c>
      <c r="N5467">
        <v>6</v>
      </c>
      <c r="O5467">
        <v>5.92</v>
      </c>
      <c r="P5467">
        <v>12</v>
      </c>
    </row>
    <row r="5468" spans="1:16" x14ac:dyDescent="0.3">
      <c r="A5468">
        <v>17384</v>
      </c>
      <c r="B5468">
        <v>105</v>
      </c>
      <c r="C5468" t="s">
        <v>557</v>
      </c>
      <c r="D5468" s="452">
        <v>45689</v>
      </c>
      <c r="E5468">
        <v>23124</v>
      </c>
      <c r="F5468" t="s">
        <v>5126</v>
      </c>
      <c r="G5468">
        <v>2727</v>
      </c>
      <c r="H5468">
        <v>0.2</v>
      </c>
      <c r="I5468" t="s">
        <v>4744</v>
      </c>
      <c r="J5468" t="s">
        <v>5191</v>
      </c>
      <c r="K5468" t="s">
        <v>4560</v>
      </c>
      <c r="L5468">
        <v>60</v>
      </c>
      <c r="M5468" s="452">
        <v>45674</v>
      </c>
      <c r="N5468">
        <v>60</v>
      </c>
      <c r="O5468">
        <v>59.29</v>
      </c>
      <c r="P5468">
        <v>12</v>
      </c>
    </row>
    <row r="5469" spans="1:16" x14ac:dyDescent="0.3">
      <c r="A5469">
        <v>17425</v>
      </c>
      <c r="B5469">
        <v>105</v>
      </c>
      <c r="C5469" t="s">
        <v>557</v>
      </c>
      <c r="D5469" s="452">
        <v>45689</v>
      </c>
      <c r="E5469">
        <v>19241</v>
      </c>
      <c r="F5469" t="s">
        <v>4890</v>
      </c>
      <c r="G5469">
        <v>2785</v>
      </c>
      <c r="H5469">
        <v>2</v>
      </c>
      <c r="I5469" t="s">
        <v>4736</v>
      </c>
      <c r="J5469" t="s">
        <v>5191</v>
      </c>
      <c r="K5469" t="s">
        <v>4560</v>
      </c>
      <c r="L5469">
        <v>0</v>
      </c>
      <c r="M5469" s="452">
        <v>45646</v>
      </c>
      <c r="N5469">
        <v>5.9</v>
      </c>
      <c r="O5469">
        <v>5.9</v>
      </c>
      <c r="P5469">
        <v>11.8</v>
      </c>
    </row>
    <row r="5470" spans="1:16" x14ac:dyDescent="0.3">
      <c r="A5470">
        <v>17367</v>
      </c>
      <c r="B5470">
        <v>105</v>
      </c>
      <c r="C5470" t="s">
        <v>557</v>
      </c>
      <c r="D5470" s="452">
        <v>45689</v>
      </c>
      <c r="E5470">
        <v>19621</v>
      </c>
      <c r="F5470" t="s">
        <v>4829</v>
      </c>
      <c r="G5470">
        <v>2613</v>
      </c>
      <c r="H5470">
        <v>2.58</v>
      </c>
      <c r="I5470" t="s">
        <v>4744</v>
      </c>
      <c r="J5470" t="s">
        <v>5191</v>
      </c>
      <c r="K5470" t="s">
        <v>4560</v>
      </c>
      <c r="L5470">
        <v>4.5</v>
      </c>
      <c r="M5470" s="452">
        <v>45688</v>
      </c>
      <c r="N5470">
        <v>3.5</v>
      </c>
      <c r="O5470">
        <v>5.18</v>
      </c>
      <c r="P5470">
        <v>11.61</v>
      </c>
    </row>
    <row r="5471" spans="1:16" x14ac:dyDescent="0.3">
      <c r="A5471">
        <v>17232</v>
      </c>
      <c r="B5471">
        <v>105</v>
      </c>
      <c r="C5471" t="s">
        <v>557</v>
      </c>
      <c r="D5471" s="452">
        <v>45689</v>
      </c>
      <c r="E5471">
        <v>24089</v>
      </c>
      <c r="F5471" t="s">
        <v>4931</v>
      </c>
      <c r="G5471">
        <v>2316</v>
      </c>
      <c r="H5471">
        <v>1.35</v>
      </c>
      <c r="I5471" t="s">
        <v>4744</v>
      </c>
      <c r="J5471" t="s">
        <v>5191</v>
      </c>
      <c r="K5471" t="s">
        <v>4560</v>
      </c>
      <c r="L5471">
        <v>0</v>
      </c>
      <c r="M5471" s="452">
        <v>45532</v>
      </c>
      <c r="N5471">
        <v>8.5</v>
      </c>
      <c r="O5471">
        <v>8.5</v>
      </c>
      <c r="P5471">
        <v>11.48</v>
      </c>
    </row>
    <row r="5472" spans="1:16" x14ac:dyDescent="0.3">
      <c r="A5472">
        <v>17188</v>
      </c>
      <c r="B5472">
        <v>105</v>
      </c>
      <c r="C5472" t="s">
        <v>557</v>
      </c>
      <c r="D5472" s="452">
        <v>45689</v>
      </c>
      <c r="E5472">
        <v>24223</v>
      </c>
      <c r="F5472" t="s">
        <v>5612</v>
      </c>
      <c r="G5472">
        <v>1952</v>
      </c>
      <c r="H5472">
        <v>0.2</v>
      </c>
      <c r="I5472" t="s">
        <v>4744</v>
      </c>
      <c r="J5472" t="s">
        <v>5191</v>
      </c>
      <c r="K5472" t="s">
        <v>4560</v>
      </c>
      <c r="L5472">
        <v>0</v>
      </c>
      <c r="M5472" s="452">
        <v>-693593</v>
      </c>
      <c r="N5472">
        <v>0</v>
      </c>
      <c r="O5472">
        <v>55.04</v>
      </c>
      <c r="P5472">
        <v>11.01</v>
      </c>
    </row>
    <row r="5473" spans="1:16" x14ac:dyDescent="0.3">
      <c r="A5473">
        <v>17351</v>
      </c>
      <c r="B5473">
        <v>105</v>
      </c>
      <c r="C5473" t="s">
        <v>557</v>
      </c>
      <c r="D5473" s="452">
        <v>45689</v>
      </c>
      <c r="E5473">
        <v>19647</v>
      </c>
      <c r="F5473" t="s">
        <v>5050</v>
      </c>
      <c r="G5473">
        <v>2591</v>
      </c>
      <c r="H5473">
        <v>0.85</v>
      </c>
      <c r="I5473" t="s">
        <v>4744</v>
      </c>
      <c r="J5473" t="s">
        <v>5191</v>
      </c>
      <c r="K5473" t="s">
        <v>4560</v>
      </c>
      <c r="L5473">
        <v>12.67</v>
      </c>
      <c r="M5473" s="452">
        <v>45686</v>
      </c>
      <c r="N5473">
        <v>13</v>
      </c>
      <c r="O5473">
        <v>11.24</v>
      </c>
      <c r="P5473">
        <v>10.77</v>
      </c>
    </row>
    <row r="5474" spans="1:16" x14ac:dyDescent="0.3">
      <c r="A5474">
        <v>18464</v>
      </c>
      <c r="B5474">
        <v>105</v>
      </c>
      <c r="C5474" t="s">
        <v>557</v>
      </c>
      <c r="D5474" s="452">
        <v>45689</v>
      </c>
      <c r="E5474">
        <v>20685</v>
      </c>
      <c r="F5474" t="s">
        <v>5528</v>
      </c>
      <c r="G5474">
        <v>2106</v>
      </c>
      <c r="H5474">
        <v>3</v>
      </c>
      <c r="I5474" t="s">
        <v>4736</v>
      </c>
      <c r="J5474" t="s">
        <v>5191</v>
      </c>
      <c r="K5474" t="s">
        <v>4560</v>
      </c>
      <c r="L5474">
        <v>0</v>
      </c>
      <c r="M5474" s="452">
        <v>-693593</v>
      </c>
      <c r="N5474">
        <v>0</v>
      </c>
      <c r="O5474">
        <v>0</v>
      </c>
      <c r="P5474">
        <v>10.5</v>
      </c>
    </row>
    <row r="5475" spans="1:16" x14ac:dyDescent="0.3">
      <c r="A5475">
        <v>17407</v>
      </c>
      <c r="B5475">
        <v>105</v>
      </c>
      <c r="C5475" t="s">
        <v>557</v>
      </c>
      <c r="D5475" s="452">
        <v>45689</v>
      </c>
      <c r="E5475">
        <v>19557</v>
      </c>
      <c r="F5475" t="s">
        <v>5051</v>
      </c>
      <c r="G5475">
        <v>2660</v>
      </c>
      <c r="H5475">
        <v>0.8</v>
      </c>
      <c r="I5475" t="s">
        <v>4744</v>
      </c>
      <c r="J5475" t="s">
        <v>5191</v>
      </c>
      <c r="K5475" t="s">
        <v>4560</v>
      </c>
      <c r="L5475">
        <v>12.42</v>
      </c>
      <c r="M5475" s="452">
        <v>45681</v>
      </c>
      <c r="N5475">
        <v>12.42</v>
      </c>
      <c r="O5475">
        <v>11.33</v>
      </c>
      <c r="P5475">
        <v>9.94</v>
      </c>
    </row>
    <row r="5476" spans="1:16" x14ac:dyDescent="0.3">
      <c r="A5476">
        <v>17334</v>
      </c>
      <c r="B5476">
        <v>105</v>
      </c>
      <c r="C5476" t="s">
        <v>557</v>
      </c>
      <c r="D5476" s="452">
        <v>45689</v>
      </c>
      <c r="E5476">
        <v>20795</v>
      </c>
      <c r="F5476" t="s">
        <v>5024</v>
      </c>
      <c r="G5476">
        <v>2076</v>
      </c>
      <c r="H5476">
        <v>1</v>
      </c>
      <c r="I5476" t="s">
        <v>4738</v>
      </c>
      <c r="J5476" t="s">
        <v>5191</v>
      </c>
      <c r="K5476" t="s">
        <v>4560</v>
      </c>
      <c r="L5476">
        <v>9.6</v>
      </c>
      <c r="M5476" s="452">
        <v>45678</v>
      </c>
      <c r="N5476">
        <v>9.6</v>
      </c>
      <c r="O5476">
        <v>9.6</v>
      </c>
      <c r="P5476">
        <v>9.6</v>
      </c>
    </row>
    <row r="5477" spans="1:16" x14ac:dyDescent="0.3">
      <c r="A5477">
        <v>17269</v>
      </c>
      <c r="B5477">
        <v>105</v>
      </c>
      <c r="C5477" t="s">
        <v>557</v>
      </c>
      <c r="D5477" s="452">
        <v>45689</v>
      </c>
      <c r="E5477">
        <v>20022</v>
      </c>
      <c r="F5477" t="s">
        <v>5455</v>
      </c>
      <c r="G5477">
        <v>2340</v>
      </c>
      <c r="H5477">
        <v>1</v>
      </c>
      <c r="I5477" t="s">
        <v>4736</v>
      </c>
      <c r="J5477" t="s">
        <v>5191</v>
      </c>
      <c r="K5477" t="s">
        <v>4560</v>
      </c>
      <c r="L5477">
        <v>0</v>
      </c>
      <c r="M5477" s="452">
        <v>45586</v>
      </c>
      <c r="N5477">
        <v>8.85</v>
      </c>
      <c r="O5477">
        <v>9.2899999999999991</v>
      </c>
      <c r="P5477">
        <v>8.85</v>
      </c>
    </row>
    <row r="5478" spans="1:16" x14ac:dyDescent="0.3">
      <c r="A5478">
        <v>17387</v>
      </c>
      <c r="B5478">
        <v>105</v>
      </c>
      <c r="C5478" t="s">
        <v>557</v>
      </c>
      <c r="D5478" s="452">
        <v>45689</v>
      </c>
      <c r="E5478">
        <v>19742</v>
      </c>
      <c r="F5478" t="s">
        <v>4900</v>
      </c>
      <c r="G5478">
        <v>2511</v>
      </c>
      <c r="H5478">
        <v>1.2</v>
      </c>
      <c r="I5478" t="s">
        <v>4744</v>
      </c>
      <c r="J5478" t="s">
        <v>5191</v>
      </c>
      <c r="K5478" t="s">
        <v>4560</v>
      </c>
      <c r="L5478">
        <v>7.25</v>
      </c>
      <c r="M5478" s="452">
        <v>45670</v>
      </c>
      <c r="N5478">
        <v>7</v>
      </c>
      <c r="O5478">
        <v>9</v>
      </c>
      <c r="P5478">
        <v>8.6999999999999993</v>
      </c>
    </row>
    <row r="5479" spans="1:16" x14ac:dyDescent="0.3">
      <c r="A5479">
        <v>18472</v>
      </c>
      <c r="B5479">
        <v>105</v>
      </c>
      <c r="C5479" t="s">
        <v>557</v>
      </c>
      <c r="D5479" s="452">
        <v>45689</v>
      </c>
      <c r="E5479">
        <v>19415</v>
      </c>
      <c r="F5479" t="s">
        <v>4919</v>
      </c>
      <c r="G5479">
        <v>2759</v>
      </c>
      <c r="H5479">
        <v>1</v>
      </c>
      <c r="I5479" t="s">
        <v>4736</v>
      </c>
      <c r="J5479" t="s">
        <v>5191</v>
      </c>
      <c r="K5479" t="s">
        <v>4560</v>
      </c>
      <c r="L5479">
        <v>0</v>
      </c>
      <c r="M5479" s="452">
        <v>45653</v>
      </c>
      <c r="N5479">
        <v>7.61</v>
      </c>
      <c r="O5479">
        <v>7.2</v>
      </c>
      <c r="P5479">
        <v>8.69</v>
      </c>
    </row>
    <row r="5480" spans="1:16" x14ac:dyDescent="0.3">
      <c r="A5480">
        <v>18467</v>
      </c>
      <c r="B5480">
        <v>105</v>
      </c>
      <c r="C5480" t="s">
        <v>557</v>
      </c>
      <c r="D5480" s="452">
        <v>45689</v>
      </c>
      <c r="E5480">
        <v>24400</v>
      </c>
      <c r="F5480" t="s">
        <v>5052</v>
      </c>
      <c r="G5480">
        <v>2368</v>
      </c>
      <c r="H5480">
        <v>0.5</v>
      </c>
      <c r="I5480" t="s">
        <v>4736</v>
      </c>
      <c r="J5480" t="s">
        <v>5191</v>
      </c>
      <c r="K5480" t="s">
        <v>4560</v>
      </c>
      <c r="L5480">
        <v>0</v>
      </c>
      <c r="M5480" s="452">
        <v>-693593</v>
      </c>
      <c r="N5480">
        <v>0</v>
      </c>
      <c r="O5480">
        <v>13.5</v>
      </c>
      <c r="P5480">
        <v>7.95</v>
      </c>
    </row>
    <row r="5481" spans="1:16" x14ac:dyDescent="0.3">
      <c r="A5481">
        <v>17287</v>
      </c>
      <c r="B5481">
        <v>105</v>
      </c>
      <c r="C5481" t="s">
        <v>557</v>
      </c>
      <c r="D5481" s="452">
        <v>45689</v>
      </c>
      <c r="E5481">
        <v>24331</v>
      </c>
      <c r="F5481" t="s">
        <v>5166</v>
      </c>
      <c r="G5481">
        <v>2146</v>
      </c>
      <c r="H5481">
        <v>0.3</v>
      </c>
      <c r="I5481" t="s">
        <v>4744</v>
      </c>
      <c r="J5481" t="s">
        <v>5191</v>
      </c>
      <c r="K5481" t="s">
        <v>4560</v>
      </c>
      <c r="L5481">
        <v>0</v>
      </c>
      <c r="M5481" s="452">
        <v>-693593</v>
      </c>
      <c r="N5481">
        <v>0</v>
      </c>
      <c r="O5481">
        <v>25.9</v>
      </c>
      <c r="P5481">
        <v>7.77</v>
      </c>
    </row>
    <row r="5482" spans="1:16" x14ac:dyDescent="0.3">
      <c r="A5482">
        <v>18474</v>
      </c>
      <c r="B5482">
        <v>105</v>
      </c>
      <c r="C5482" t="s">
        <v>557</v>
      </c>
      <c r="D5482" s="452">
        <v>45689</v>
      </c>
      <c r="E5482">
        <v>22985</v>
      </c>
      <c r="F5482" t="s">
        <v>5613</v>
      </c>
      <c r="G5482">
        <v>2834</v>
      </c>
      <c r="H5482">
        <v>0.59</v>
      </c>
      <c r="I5482" t="s">
        <v>4736</v>
      </c>
      <c r="J5482" t="s">
        <v>5191</v>
      </c>
      <c r="K5482" t="s">
        <v>4560</v>
      </c>
      <c r="L5482">
        <v>0</v>
      </c>
      <c r="M5482" s="452">
        <v>-693593</v>
      </c>
      <c r="N5482">
        <v>0</v>
      </c>
      <c r="O5482">
        <v>0</v>
      </c>
      <c r="P5482">
        <v>7.66</v>
      </c>
    </row>
    <row r="5483" spans="1:16" x14ac:dyDescent="0.3">
      <c r="A5483">
        <v>17293</v>
      </c>
      <c r="B5483">
        <v>105</v>
      </c>
      <c r="C5483" t="s">
        <v>557</v>
      </c>
      <c r="D5483" s="452">
        <v>45689</v>
      </c>
      <c r="E5483">
        <v>25022</v>
      </c>
      <c r="F5483" t="s">
        <v>4912</v>
      </c>
      <c r="G5483">
        <v>5868</v>
      </c>
      <c r="H5483">
        <v>1</v>
      </c>
      <c r="I5483" t="s">
        <v>4738</v>
      </c>
      <c r="J5483" t="s">
        <v>5191</v>
      </c>
      <c r="K5483" t="s">
        <v>4560</v>
      </c>
      <c r="L5483">
        <v>7.49</v>
      </c>
      <c r="M5483" s="452">
        <v>45677</v>
      </c>
      <c r="N5483">
        <v>7.49</v>
      </c>
      <c r="O5483">
        <v>7.49</v>
      </c>
      <c r="P5483">
        <v>7.49</v>
      </c>
    </row>
    <row r="5484" spans="1:16" x14ac:dyDescent="0.3">
      <c r="A5484">
        <v>18463</v>
      </c>
      <c r="B5484">
        <v>105</v>
      </c>
      <c r="C5484" t="s">
        <v>557</v>
      </c>
      <c r="D5484" s="452">
        <v>45689</v>
      </c>
      <c r="E5484">
        <v>20029</v>
      </c>
      <c r="F5484" t="s">
        <v>5614</v>
      </c>
      <c r="G5484">
        <v>2337</v>
      </c>
      <c r="H5484">
        <v>1</v>
      </c>
      <c r="I5484" t="s">
        <v>4888</v>
      </c>
      <c r="J5484" t="s">
        <v>5191</v>
      </c>
      <c r="K5484" t="s">
        <v>4560</v>
      </c>
      <c r="L5484">
        <v>0</v>
      </c>
      <c r="M5484" s="452">
        <v>-693593</v>
      </c>
      <c r="N5484">
        <v>0</v>
      </c>
      <c r="O5484">
        <v>14.81</v>
      </c>
      <c r="P5484">
        <v>7.19</v>
      </c>
    </row>
    <row r="5485" spans="1:16" x14ac:dyDescent="0.3">
      <c r="A5485">
        <v>17419</v>
      </c>
      <c r="B5485">
        <v>105</v>
      </c>
      <c r="C5485" t="s">
        <v>557</v>
      </c>
      <c r="D5485" s="452">
        <v>45689</v>
      </c>
      <c r="E5485">
        <v>19531</v>
      </c>
      <c r="F5485" t="s">
        <v>5591</v>
      </c>
      <c r="G5485">
        <v>2684</v>
      </c>
      <c r="H5485">
        <v>0.5</v>
      </c>
      <c r="I5485" t="s">
        <v>4744</v>
      </c>
      <c r="J5485" t="s">
        <v>5191</v>
      </c>
      <c r="K5485" t="s">
        <v>4560</v>
      </c>
      <c r="L5485">
        <v>14.25</v>
      </c>
      <c r="M5485" s="452">
        <v>45688</v>
      </c>
      <c r="N5485">
        <v>13.8</v>
      </c>
      <c r="O5485">
        <v>13.8</v>
      </c>
      <c r="P5485">
        <v>7.12</v>
      </c>
    </row>
    <row r="5486" spans="1:16" x14ac:dyDescent="0.3">
      <c r="A5486">
        <v>18476</v>
      </c>
      <c r="B5486">
        <v>105</v>
      </c>
      <c r="C5486" t="s">
        <v>557</v>
      </c>
      <c r="D5486" s="452">
        <v>45689</v>
      </c>
      <c r="E5486">
        <v>23995</v>
      </c>
      <c r="F5486" t="s">
        <v>5615</v>
      </c>
      <c r="G5486">
        <v>1987</v>
      </c>
      <c r="H5486">
        <v>0.82</v>
      </c>
      <c r="I5486" t="s">
        <v>4744</v>
      </c>
      <c r="J5486" t="s">
        <v>5191</v>
      </c>
      <c r="K5486" t="s">
        <v>4560</v>
      </c>
      <c r="L5486">
        <v>0</v>
      </c>
      <c r="M5486" s="452">
        <v>-693593</v>
      </c>
      <c r="N5486">
        <v>0</v>
      </c>
      <c r="O5486">
        <v>8.3000000000000007</v>
      </c>
      <c r="P5486">
        <v>7.02</v>
      </c>
    </row>
    <row r="5487" spans="1:16" x14ac:dyDescent="0.3">
      <c r="A5487">
        <v>17321</v>
      </c>
      <c r="B5487">
        <v>105</v>
      </c>
      <c r="C5487" t="s">
        <v>557</v>
      </c>
      <c r="D5487" s="452">
        <v>45689</v>
      </c>
      <c r="E5487">
        <v>19936</v>
      </c>
      <c r="F5487" t="s">
        <v>5508</v>
      </c>
      <c r="G5487">
        <v>2367</v>
      </c>
      <c r="H5487">
        <v>0.5</v>
      </c>
      <c r="I5487" t="s">
        <v>4744</v>
      </c>
      <c r="J5487" t="s">
        <v>5191</v>
      </c>
      <c r="K5487" t="s">
        <v>4560</v>
      </c>
      <c r="L5487">
        <v>13.52</v>
      </c>
      <c r="M5487" s="452">
        <v>45678</v>
      </c>
      <c r="N5487">
        <v>13.52</v>
      </c>
      <c r="O5487">
        <v>12.65</v>
      </c>
      <c r="P5487">
        <v>6.76</v>
      </c>
    </row>
    <row r="5488" spans="1:16" x14ac:dyDescent="0.3">
      <c r="A5488">
        <v>17409</v>
      </c>
      <c r="B5488">
        <v>105</v>
      </c>
      <c r="C5488" t="s">
        <v>557</v>
      </c>
      <c r="D5488" s="452">
        <v>45689</v>
      </c>
      <c r="E5488">
        <v>19552</v>
      </c>
      <c r="F5488" t="s">
        <v>4860</v>
      </c>
      <c r="G5488">
        <v>2664</v>
      </c>
      <c r="H5488">
        <v>2</v>
      </c>
      <c r="I5488" t="s">
        <v>4744</v>
      </c>
      <c r="J5488" t="s">
        <v>5191</v>
      </c>
      <c r="K5488" t="s">
        <v>4560</v>
      </c>
      <c r="L5488">
        <v>3.36</v>
      </c>
      <c r="M5488" s="452">
        <v>45685</v>
      </c>
      <c r="N5488">
        <v>3.5</v>
      </c>
      <c r="O5488">
        <v>4.9000000000000004</v>
      </c>
      <c r="P5488">
        <v>6.72</v>
      </c>
    </row>
    <row r="5489" spans="1:16" x14ac:dyDescent="0.3">
      <c r="A5489">
        <v>18477</v>
      </c>
      <c r="B5489">
        <v>105</v>
      </c>
      <c r="C5489" t="s">
        <v>557</v>
      </c>
      <c r="D5489" s="452">
        <v>45689</v>
      </c>
      <c r="E5489">
        <v>20819</v>
      </c>
      <c r="F5489" t="s">
        <v>5616</v>
      </c>
      <c r="G5489">
        <v>2073</v>
      </c>
      <c r="H5489">
        <v>0.89</v>
      </c>
      <c r="I5489" t="s">
        <v>4744</v>
      </c>
      <c r="J5489" t="s">
        <v>5191</v>
      </c>
      <c r="K5489" t="s">
        <v>4560</v>
      </c>
      <c r="L5489">
        <v>0</v>
      </c>
      <c r="M5489" s="452">
        <v>-693593</v>
      </c>
      <c r="N5489">
        <v>0</v>
      </c>
      <c r="O5489">
        <v>0</v>
      </c>
      <c r="P5489">
        <v>6.67</v>
      </c>
    </row>
    <row r="5490" spans="1:16" x14ac:dyDescent="0.3">
      <c r="A5490">
        <v>17401</v>
      </c>
      <c r="B5490">
        <v>105</v>
      </c>
      <c r="C5490" t="s">
        <v>557</v>
      </c>
      <c r="D5490" s="452">
        <v>45689</v>
      </c>
      <c r="E5490">
        <v>19562</v>
      </c>
      <c r="F5490" t="s">
        <v>4939</v>
      </c>
      <c r="G5490">
        <v>2655</v>
      </c>
      <c r="H5490">
        <v>0.55000000000000004</v>
      </c>
      <c r="I5490" t="s">
        <v>4744</v>
      </c>
      <c r="J5490" t="s">
        <v>5191</v>
      </c>
      <c r="K5490" t="s">
        <v>4560</v>
      </c>
      <c r="L5490">
        <v>11.95</v>
      </c>
      <c r="M5490" s="452">
        <v>45685</v>
      </c>
      <c r="N5490">
        <v>8.5</v>
      </c>
      <c r="O5490">
        <v>7.5</v>
      </c>
      <c r="P5490">
        <v>6.57</v>
      </c>
    </row>
    <row r="5491" spans="1:16" x14ac:dyDescent="0.3">
      <c r="A5491">
        <v>17399</v>
      </c>
      <c r="B5491">
        <v>105</v>
      </c>
      <c r="C5491" t="s">
        <v>557</v>
      </c>
      <c r="D5491" s="452">
        <v>45689</v>
      </c>
      <c r="E5491">
        <v>19577</v>
      </c>
      <c r="F5491" t="s">
        <v>4984</v>
      </c>
      <c r="G5491">
        <v>2641</v>
      </c>
      <c r="H5491">
        <v>0.6</v>
      </c>
      <c r="I5491" t="s">
        <v>4736</v>
      </c>
      <c r="J5491" t="s">
        <v>5191</v>
      </c>
      <c r="K5491" t="s">
        <v>4560</v>
      </c>
      <c r="L5491">
        <v>0</v>
      </c>
      <c r="M5491" s="452">
        <v>45532</v>
      </c>
      <c r="N5491">
        <v>10.199999999999999</v>
      </c>
      <c r="O5491">
        <v>21</v>
      </c>
      <c r="P5491">
        <v>6.12</v>
      </c>
    </row>
    <row r="5492" spans="1:16" x14ac:dyDescent="0.3">
      <c r="A5492">
        <v>17414</v>
      </c>
      <c r="B5492">
        <v>105</v>
      </c>
      <c r="C5492" t="s">
        <v>557</v>
      </c>
      <c r="D5492" s="452">
        <v>45689</v>
      </c>
      <c r="E5492">
        <v>19465</v>
      </c>
      <c r="F5492" t="s">
        <v>5114</v>
      </c>
      <c r="G5492">
        <v>2737</v>
      </c>
      <c r="H5492">
        <v>0.8</v>
      </c>
      <c r="I5492" t="s">
        <v>4744</v>
      </c>
      <c r="J5492" t="s">
        <v>5191</v>
      </c>
      <c r="K5492" t="s">
        <v>4560</v>
      </c>
      <c r="L5492">
        <v>7.5</v>
      </c>
      <c r="M5492" s="452">
        <v>45677</v>
      </c>
      <c r="N5492">
        <v>6.5</v>
      </c>
      <c r="O5492">
        <v>12.06</v>
      </c>
      <c r="P5492">
        <v>6</v>
      </c>
    </row>
    <row r="5493" spans="1:16" x14ac:dyDescent="0.3">
      <c r="A5493">
        <v>17420</v>
      </c>
      <c r="B5493">
        <v>105</v>
      </c>
      <c r="C5493" t="s">
        <v>557</v>
      </c>
      <c r="D5493" s="452">
        <v>45689</v>
      </c>
      <c r="E5493">
        <v>19463</v>
      </c>
      <c r="F5493" t="s">
        <v>5117</v>
      </c>
      <c r="G5493">
        <v>2739</v>
      </c>
      <c r="H5493">
        <v>0.1</v>
      </c>
      <c r="I5493" t="s">
        <v>4744</v>
      </c>
      <c r="J5493" t="s">
        <v>5191</v>
      </c>
      <c r="K5493" t="s">
        <v>4560</v>
      </c>
      <c r="L5493">
        <v>60</v>
      </c>
      <c r="M5493" s="452">
        <v>45685</v>
      </c>
      <c r="N5493">
        <v>60</v>
      </c>
      <c r="O5493">
        <v>76</v>
      </c>
      <c r="P5493">
        <v>6</v>
      </c>
    </row>
    <row r="5494" spans="1:16" x14ac:dyDescent="0.3">
      <c r="A5494">
        <v>17366</v>
      </c>
      <c r="B5494">
        <v>105</v>
      </c>
      <c r="C5494" t="s">
        <v>557</v>
      </c>
      <c r="D5494" s="452">
        <v>45689</v>
      </c>
      <c r="E5494">
        <v>19488</v>
      </c>
      <c r="F5494" t="s">
        <v>5107</v>
      </c>
      <c r="G5494">
        <v>2720</v>
      </c>
      <c r="H5494">
        <v>0.5</v>
      </c>
      <c r="I5494" t="s">
        <v>4744</v>
      </c>
      <c r="J5494" t="s">
        <v>5191</v>
      </c>
      <c r="K5494" t="s">
        <v>4560</v>
      </c>
      <c r="L5494">
        <v>11.79</v>
      </c>
      <c r="M5494" s="452">
        <v>45688</v>
      </c>
      <c r="N5494">
        <v>10</v>
      </c>
      <c r="O5494">
        <v>13.27</v>
      </c>
      <c r="P5494">
        <v>5.9</v>
      </c>
    </row>
    <row r="5495" spans="1:16" x14ac:dyDescent="0.3">
      <c r="A5495">
        <v>17390</v>
      </c>
      <c r="B5495">
        <v>105</v>
      </c>
      <c r="C5495" t="s">
        <v>557</v>
      </c>
      <c r="D5495" s="452">
        <v>45689</v>
      </c>
      <c r="E5495">
        <v>19741</v>
      </c>
      <c r="F5495" t="s">
        <v>4916</v>
      </c>
      <c r="G5495">
        <v>2512</v>
      </c>
      <c r="H5495">
        <v>1.1000000000000001</v>
      </c>
      <c r="I5495" t="s">
        <v>4744</v>
      </c>
      <c r="J5495" t="s">
        <v>5191</v>
      </c>
      <c r="K5495" t="s">
        <v>4560</v>
      </c>
      <c r="L5495">
        <v>5.32</v>
      </c>
      <c r="M5495" s="452">
        <v>45686</v>
      </c>
      <c r="N5495">
        <v>5.5</v>
      </c>
      <c r="O5495">
        <v>4.9000000000000004</v>
      </c>
      <c r="P5495">
        <v>5.85</v>
      </c>
    </row>
    <row r="5496" spans="1:16" x14ac:dyDescent="0.3">
      <c r="A5496">
        <v>17379</v>
      </c>
      <c r="B5496">
        <v>105</v>
      </c>
      <c r="C5496" t="s">
        <v>557</v>
      </c>
      <c r="D5496" s="452">
        <v>45689</v>
      </c>
      <c r="E5496">
        <v>19480</v>
      </c>
      <c r="F5496" t="s">
        <v>5119</v>
      </c>
      <c r="G5496">
        <v>2726</v>
      </c>
      <c r="H5496">
        <v>0.31</v>
      </c>
      <c r="I5496" t="s">
        <v>4744</v>
      </c>
      <c r="J5496" t="s">
        <v>5191</v>
      </c>
      <c r="K5496" t="s">
        <v>4560</v>
      </c>
      <c r="L5496">
        <v>16.63</v>
      </c>
      <c r="M5496" s="452">
        <v>45688</v>
      </c>
      <c r="N5496">
        <v>20.7</v>
      </c>
      <c r="O5496">
        <v>19.149999999999999</v>
      </c>
      <c r="P5496">
        <v>5.16</v>
      </c>
    </row>
    <row r="5497" spans="1:16" x14ac:dyDescent="0.3">
      <c r="A5497">
        <v>17364</v>
      </c>
      <c r="B5497">
        <v>105</v>
      </c>
      <c r="C5497" t="s">
        <v>557</v>
      </c>
      <c r="D5497" s="452">
        <v>45689</v>
      </c>
      <c r="E5497">
        <v>19622</v>
      </c>
      <c r="F5497" t="s">
        <v>4915</v>
      </c>
      <c r="G5497">
        <v>2612</v>
      </c>
      <c r="H5497">
        <v>1.78</v>
      </c>
      <c r="I5497" t="s">
        <v>4744</v>
      </c>
      <c r="J5497" t="s">
        <v>5191</v>
      </c>
      <c r="K5497" t="s">
        <v>4560</v>
      </c>
      <c r="L5497">
        <v>2.86</v>
      </c>
      <c r="M5497" s="452">
        <v>45688</v>
      </c>
      <c r="N5497">
        <v>2.8</v>
      </c>
      <c r="O5497">
        <v>2.8</v>
      </c>
      <c r="P5497">
        <v>5.09</v>
      </c>
    </row>
    <row r="5498" spans="1:16" x14ac:dyDescent="0.3">
      <c r="A5498">
        <v>17386</v>
      </c>
      <c r="B5498">
        <v>105</v>
      </c>
      <c r="C5498" t="s">
        <v>557</v>
      </c>
      <c r="D5498" s="452">
        <v>45689</v>
      </c>
      <c r="E5498">
        <v>19743</v>
      </c>
      <c r="F5498" t="s">
        <v>5047</v>
      </c>
      <c r="G5498">
        <v>2510</v>
      </c>
      <c r="H5498">
        <v>0.33</v>
      </c>
      <c r="I5498" t="s">
        <v>4744</v>
      </c>
      <c r="J5498" t="s">
        <v>5191</v>
      </c>
      <c r="K5498" t="s">
        <v>4560</v>
      </c>
      <c r="L5498">
        <v>15</v>
      </c>
      <c r="M5498" s="452">
        <v>45666</v>
      </c>
      <c r="N5498">
        <v>15</v>
      </c>
      <c r="O5498">
        <v>16.559999999999999</v>
      </c>
      <c r="P5498">
        <v>4.95</v>
      </c>
    </row>
    <row r="5499" spans="1:16" x14ac:dyDescent="0.3">
      <c r="A5499">
        <v>17265</v>
      </c>
      <c r="B5499">
        <v>105</v>
      </c>
      <c r="C5499" t="s">
        <v>557</v>
      </c>
      <c r="D5499" s="452">
        <v>45689</v>
      </c>
      <c r="E5499">
        <v>23635</v>
      </c>
      <c r="F5499" t="s">
        <v>4837</v>
      </c>
      <c r="G5499">
        <v>2247</v>
      </c>
      <c r="H5499">
        <v>0.55000000000000004</v>
      </c>
      <c r="I5499" t="s">
        <v>4744</v>
      </c>
      <c r="J5499" t="s">
        <v>5191</v>
      </c>
      <c r="K5499" t="s">
        <v>4560</v>
      </c>
      <c r="L5499">
        <v>8.9</v>
      </c>
      <c r="M5499" s="452">
        <v>45678</v>
      </c>
      <c r="N5499">
        <v>8.9</v>
      </c>
      <c r="O5499">
        <v>8.9</v>
      </c>
      <c r="P5499">
        <v>4.9000000000000004</v>
      </c>
    </row>
    <row r="5500" spans="1:16" x14ac:dyDescent="0.3">
      <c r="A5500">
        <v>17378</v>
      </c>
      <c r="B5500">
        <v>105</v>
      </c>
      <c r="C5500" t="s">
        <v>557</v>
      </c>
      <c r="D5500" s="452">
        <v>45689</v>
      </c>
      <c r="E5500">
        <v>19607</v>
      </c>
      <c r="F5500" t="s">
        <v>4981</v>
      </c>
      <c r="G5500">
        <v>2623</v>
      </c>
      <c r="H5500">
        <v>0.28999999999999998</v>
      </c>
      <c r="I5500" t="s">
        <v>4744</v>
      </c>
      <c r="J5500" t="s">
        <v>5191</v>
      </c>
      <c r="K5500" t="s">
        <v>4560</v>
      </c>
      <c r="L5500">
        <v>15.67</v>
      </c>
      <c r="M5500" s="452">
        <v>45671</v>
      </c>
      <c r="N5500">
        <v>16</v>
      </c>
      <c r="O5500">
        <v>21</v>
      </c>
      <c r="P5500">
        <v>4.54</v>
      </c>
    </row>
    <row r="5501" spans="1:16" x14ac:dyDescent="0.3">
      <c r="A5501">
        <v>18475</v>
      </c>
      <c r="B5501">
        <v>105</v>
      </c>
      <c r="C5501" t="s">
        <v>557</v>
      </c>
      <c r="D5501" s="452">
        <v>45689</v>
      </c>
      <c r="E5501">
        <v>24054</v>
      </c>
      <c r="F5501" t="s">
        <v>5617</v>
      </c>
      <c r="G5501">
        <v>2226</v>
      </c>
      <c r="H5501">
        <v>1</v>
      </c>
      <c r="I5501" t="s">
        <v>4744</v>
      </c>
      <c r="J5501" t="s">
        <v>5191</v>
      </c>
      <c r="K5501" t="s">
        <v>4560</v>
      </c>
      <c r="L5501">
        <v>0</v>
      </c>
      <c r="M5501" s="452">
        <v>-693593</v>
      </c>
      <c r="N5501">
        <v>0</v>
      </c>
      <c r="O5501">
        <v>7.78</v>
      </c>
      <c r="P5501">
        <v>4.28</v>
      </c>
    </row>
    <row r="5502" spans="1:16" x14ac:dyDescent="0.3">
      <c r="A5502">
        <v>17410</v>
      </c>
      <c r="B5502">
        <v>105</v>
      </c>
      <c r="C5502" t="s">
        <v>557</v>
      </c>
      <c r="D5502" s="452">
        <v>45689</v>
      </c>
      <c r="E5502">
        <v>19554</v>
      </c>
      <c r="F5502" t="s">
        <v>5590</v>
      </c>
      <c r="G5502">
        <v>2663</v>
      </c>
      <c r="H5502">
        <v>1.4</v>
      </c>
      <c r="I5502" t="s">
        <v>4744</v>
      </c>
      <c r="J5502" t="s">
        <v>5191</v>
      </c>
      <c r="K5502" t="s">
        <v>4560</v>
      </c>
      <c r="L5502">
        <v>2.88</v>
      </c>
      <c r="M5502" s="452">
        <v>45685</v>
      </c>
      <c r="N5502">
        <v>2.85</v>
      </c>
      <c r="O5502">
        <v>2.85</v>
      </c>
      <c r="P5502">
        <v>4.03</v>
      </c>
    </row>
    <row r="5503" spans="1:16" x14ac:dyDescent="0.3">
      <c r="A5503">
        <v>17369</v>
      </c>
      <c r="B5503">
        <v>105</v>
      </c>
      <c r="C5503" t="s">
        <v>557</v>
      </c>
      <c r="D5503" s="452">
        <v>45689</v>
      </c>
      <c r="E5503">
        <v>19617</v>
      </c>
      <c r="F5503" t="s">
        <v>5071</v>
      </c>
      <c r="G5503">
        <v>2617</v>
      </c>
      <c r="H5503">
        <v>0.25</v>
      </c>
      <c r="I5503" t="s">
        <v>4744</v>
      </c>
      <c r="J5503" t="s">
        <v>5191</v>
      </c>
      <c r="K5503" t="s">
        <v>4560</v>
      </c>
      <c r="L5503">
        <v>16.04</v>
      </c>
      <c r="M5503" s="452">
        <v>45687</v>
      </c>
      <c r="N5503">
        <v>23.47</v>
      </c>
      <c r="O5503">
        <v>18.03</v>
      </c>
      <c r="P5503">
        <v>4.01</v>
      </c>
    </row>
    <row r="5504" spans="1:16" x14ac:dyDescent="0.3">
      <c r="A5504">
        <v>17246</v>
      </c>
      <c r="B5504">
        <v>105</v>
      </c>
      <c r="C5504" t="s">
        <v>557</v>
      </c>
      <c r="D5504" s="452">
        <v>45689</v>
      </c>
      <c r="E5504">
        <v>24185</v>
      </c>
      <c r="F5504" t="s">
        <v>5592</v>
      </c>
      <c r="G5504">
        <v>2331</v>
      </c>
      <c r="H5504">
        <v>0.5</v>
      </c>
      <c r="I5504" t="s">
        <v>4744</v>
      </c>
      <c r="J5504" t="s">
        <v>5191</v>
      </c>
      <c r="K5504" t="s">
        <v>4560</v>
      </c>
      <c r="L5504">
        <v>0</v>
      </c>
      <c r="M5504" s="452">
        <v>45401</v>
      </c>
      <c r="N5504">
        <v>7.2</v>
      </c>
      <c r="O5504">
        <v>0</v>
      </c>
      <c r="P5504">
        <v>3.6</v>
      </c>
    </row>
    <row r="5505" spans="1:16" x14ac:dyDescent="0.3">
      <c r="A5505">
        <v>17402</v>
      </c>
      <c r="B5505">
        <v>105</v>
      </c>
      <c r="C5505" t="s">
        <v>557</v>
      </c>
      <c r="D5505" s="452">
        <v>45689</v>
      </c>
      <c r="E5505">
        <v>19561</v>
      </c>
      <c r="F5505" t="s">
        <v>5365</v>
      </c>
      <c r="G5505">
        <v>2656</v>
      </c>
      <c r="H5505">
        <v>0.5</v>
      </c>
      <c r="I5505" t="s">
        <v>4744</v>
      </c>
      <c r="J5505" t="s">
        <v>5191</v>
      </c>
      <c r="K5505" t="s">
        <v>4560</v>
      </c>
      <c r="L5505">
        <v>6.94</v>
      </c>
      <c r="M5505" s="452">
        <v>45685</v>
      </c>
      <c r="N5505">
        <v>6.8</v>
      </c>
      <c r="O5505">
        <v>6.8</v>
      </c>
      <c r="P5505">
        <v>3.47</v>
      </c>
    </row>
    <row r="5506" spans="1:16" x14ac:dyDescent="0.3">
      <c r="A5506">
        <v>17348</v>
      </c>
      <c r="B5506">
        <v>105</v>
      </c>
      <c r="C5506" t="s">
        <v>557</v>
      </c>
      <c r="D5506" s="452">
        <v>45689</v>
      </c>
      <c r="E5506">
        <v>19652</v>
      </c>
      <c r="F5506" t="s">
        <v>4899</v>
      </c>
      <c r="G5506">
        <v>2587</v>
      </c>
      <c r="H5506">
        <v>0.1</v>
      </c>
      <c r="I5506" t="s">
        <v>4744</v>
      </c>
      <c r="J5506" t="s">
        <v>5191</v>
      </c>
      <c r="K5506" t="s">
        <v>4560</v>
      </c>
      <c r="L5506">
        <v>32</v>
      </c>
      <c r="M5506" s="452">
        <v>45670</v>
      </c>
      <c r="N5506">
        <v>32</v>
      </c>
      <c r="O5506">
        <v>34</v>
      </c>
      <c r="P5506">
        <v>3.2</v>
      </c>
    </row>
    <row r="5507" spans="1:16" x14ac:dyDescent="0.3">
      <c r="A5507">
        <v>17560</v>
      </c>
      <c r="B5507">
        <v>105</v>
      </c>
      <c r="C5507" t="s">
        <v>557</v>
      </c>
      <c r="D5507" s="452">
        <v>45689</v>
      </c>
      <c r="E5507">
        <v>21979</v>
      </c>
      <c r="F5507" t="s">
        <v>5467</v>
      </c>
      <c r="G5507">
        <v>3712</v>
      </c>
      <c r="H5507">
        <v>0.14000000000000001</v>
      </c>
      <c r="I5507" t="s">
        <v>4749</v>
      </c>
      <c r="J5507" t="s">
        <v>5222</v>
      </c>
      <c r="K5507" t="s">
        <v>4560</v>
      </c>
      <c r="L5507">
        <v>0</v>
      </c>
      <c r="M5507" s="452">
        <v>45554</v>
      </c>
      <c r="N5507">
        <v>16.899999999999999</v>
      </c>
      <c r="O5507">
        <v>16.5</v>
      </c>
      <c r="P5507">
        <v>2.37</v>
      </c>
    </row>
    <row r="5508" spans="1:16" x14ac:dyDescent="0.3">
      <c r="A5508">
        <v>17403</v>
      </c>
      <c r="B5508">
        <v>105</v>
      </c>
      <c r="C5508" t="s">
        <v>557</v>
      </c>
      <c r="D5508" s="452">
        <v>45689</v>
      </c>
      <c r="E5508">
        <v>19560</v>
      </c>
      <c r="F5508" t="s">
        <v>4962</v>
      </c>
      <c r="G5508">
        <v>2657</v>
      </c>
      <c r="H5508">
        <v>0.15</v>
      </c>
      <c r="I5508" t="s">
        <v>4744</v>
      </c>
      <c r="J5508" t="s">
        <v>5191</v>
      </c>
      <c r="K5508" t="s">
        <v>4560</v>
      </c>
      <c r="L5508">
        <v>10.55</v>
      </c>
      <c r="M5508" s="452">
        <v>45685</v>
      </c>
      <c r="N5508">
        <v>8.5</v>
      </c>
      <c r="O5508">
        <v>7.5</v>
      </c>
      <c r="P5508">
        <v>1.58</v>
      </c>
    </row>
    <row r="5509" spans="1:16" x14ac:dyDescent="0.3">
      <c r="A5509">
        <v>12143</v>
      </c>
      <c r="B5509">
        <v>105</v>
      </c>
      <c r="C5509" t="s">
        <v>557</v>
      </c>
      <c r="D5509" s="452">
        <v>45658</v>
      </c>
      <c r="E5509">
        <v>24954</v>
      </c>
      <c r="F5509" t="s">
        <v>4769</v>
      </c>
      <c r="G5509">
        <v>5836</v>
      </c>
      <c r="H5509">
        <v>85.99</v>
      </c>
      <c r="I5509" t="s">
        <v>4744</v>
      </c>
      <c r="J5509" t="s">
        <v>5191</v>
      </c>
      <c r="K5509" t="s">
        <v>730</v>
      </c>
      <c r="L5509">
        <v>53</v>
      </c>
      <c r="M5509" s="452">
        <v>45631</v>
      </c>
      <c r="N5509">
        <v>53</v>
      </c>
      <c r="O5509">
        <v>53</v>
      </c>
      <c r="P5509">
        <v>4557.47</v>
      </c>
    </row>
    <row r="5510" spans="1:16" x14ac:dyDescent="0.3">
      <c r="A5510">
        <v>12168</v>
      </c>
      <c r="B5510">
        <v>105</v>
      </c>
      <c r="C5510" t="s">
        <v>557</v>
      </c>
      <c r="D5510" s="452">
        <v>45658</v>
      </c>
      <c r="E5510">
        <v>18822</v>
      </c>
      <c r="F5510" t="s">
        <v>4811</v>
      </c>
      <c r="G5510">
        <v>2953</v>
      </c>
      <c r="H5510">
        <v>31.65</v>
      </c>
      <c r="I5510" t="s">
        <v>4744</v>
      </c>
      <c r="J5510" t="s">
        <v>5191</v>
      </c>
      <c r="K5510" t="s">
        <v>730</v>
      </c>
      <c r="L5510">
        <v>115.99</v>
      </c>
      <c r="M5510" s="452">
        <v>45631</v>
      </c>
      <c r="N5510">
        <v>115.99</v>
      </c>
      <c r="O5510">
        <v>115.99</v>
      </c>
      <c r="P5510">
        <v>3671.08</v>
      </c>
    </row>
    <row r="5511" spans="1:16" x14ac:dyDescent="0.3">
      <c r="A5511">
        <v>12158</v>
      </c>
      <c r="B5511">
        <v>105</v>
      </c>
      <c r="C5511" t="s">
        <v>557</v>
      </c>
      <c r="D5511" s="452">
        <v>45658</v>
      </c>
      <c r="E5511">
        <v>18945</v>
      </c>
      <c r="F5511" t="s">
        <v>4768</v>
      </c>
      <c r="G5511">
        <v>2929</v>
      </c>
      <c r="H5511">
        <v>61.8</v>
      </c>
      <c r="I5511" t="s">
        <v>4744</v>
      </c>
      <c r="J5511" t="s">
        <v>5191</v>
      </c>
      <c r="K5511" t="s">
        <v>730</v>
      </c>
      <c r="L5511">
        <v>58.9</v>
      </c>
      <c r="M5511" s="452">
        <v>45633</v>
      </c>
      <c r="N5511">
        <v>58.9</v>
      </c>
      <c r="O5511">
        <v>58.9</v>
      </c>
      <c r="P5511">
        <v>3640.02</v>
      </c>
    </row>
    <row r="5512" spans="1:16" x14ac:dyDescent="0.3">
      <c r="A5512">
        <v>11977</v>
      </c>
      <c r="B5512">
        <v>105</v>
      </c>
      <c r="C5512" t="s">
        <v>557</v>
      </c>
      <c r="D5512" s="452">
        <v>45658</v>
      </c>
      <c r="E5512">
        <v>18636</v>
      </c>
      <c r="F5512" t="s">
        <v>4964</v>
      </c>
      <c r="G5512">
        <v>3075</v>
      </c>
      <c r="H5512">
        <v>8</v>
      </c>
      <c r="I5512" t="s">
        <v>4965</v>
      </c>
      <c r="J5512" t="s">
        <v>5222</v>
      </c>
      <c r="K5512" t="s">
        <v>730</v>
      </c>
      <c r="L5512">
        <v>429</v>
      </c>
      <c r="M5512" s="452">
        <v>45653</v>
      </c>
      <c r="N5512">
        <v>429</v>
      </c>
      <c r="O5512">
        <v>429</v>
      </c>
      <c r="P5512">
        <v>3432</v>
      </c>
    </row>
    <row r="5513" spans="1:16" x14ac:dyDescent="0.3">
      <c r="A5513">
        <v>12762</v>
      </c>
      <c r="B5513">
        <v>105</v>
      </c>
      <c r="C5513" t="s">
        <v>557</v>
      </c>
      <c r="D5513" s="452">
        <v>45658</v>
      </c>
      <c r="E5513">
        <v>26130</v>
      </c>
      <c r="F5513" t="s">
        <v>5513</v>
      </c>
      <c r="G5513">
        <v>6583</v>
      </c>
      <c r="H5513">
        <v>16.149999999999999</v>
      </c>
      <c r="I5513" t="s">
        <v>4744</v>
      </c>
      <c r="J5513" t="s">
        <v>5191</v>
      </c>
      <c r="K5513" t="s">
        <v>730</v>
      </c>
      <c r="L5513">
        <v>0</v>
      </c>
      <c r="M5513" s="452">
        <v>-693593</v>
      </c>
      <c r="N5513">
        <v>0</v>
      </c>
      <c r="O5513">
        <v>0</v>
      </c>
      <c r="P5513">
        <v>2616.3000000000002</v>
      </c>
    </row>
    <row r="5514" spans="1:16" x14ac:dyDescent="0.3">
      <c r="A5514">
        <v>12147</v>
      </c>
      <c r="B5514">
        <v>105</v>
      </c>
      <c r="C5514" t="s">
        <v>557</v>
      </c>
      <c r="D5514" s="452">
        <v>45658</v>
      </c>
      <c r="E5514">
        <v>24091</v>
      </c>
      <c r="F5514" t="s">
        <v>5550</v>
      </c>
      <c r="G5514">
        <v>2919</v>
      </c>
      <c r="H5514">
        <v>33</v>
      </c>
      <c r="I5514" t="s">
        <v>4744</v>
      </c>
      <c r="J5514" t="s">
        <v>5191</v>
      </c>
      <c r="K5514" t="s">
        <v>730</v>
      </c>
      <c r="L5514">
        <v>0</v>
      </c>
      <c r="M5514" s="452">
        <v>45499</v>
      </c>
      <c r="N5514">
        <v>0</v>
      </c>
      <c r="O5514">
        <v>0</v>
      </c>
      <c r="P5514">
        <v>2045.67</v>
      </c>
    </row>
    <row r="5515" spans="1:16" x14ac:dyDescent="0.3">
      <c r="A5515">
        <v>12161</v>
      </c>
      <c r="B5515">
        <v>105</v>
      </c>
      <c r="C5515" t="s">
        <v>557</v>
      </c>
      <c r="D5515" s="452">
        <v>45658</v>
      </c>
      <c r="E5515">
        <v>24258</v>
      </c>
      <c r="F5515" t="s">
        <v>5618</v>
      </c>
      <c r="G5515">
        <v>2938</v>
      </c>
      <c r="H5515">
        <v>32.229999999999997</v>
      </c>
      <c r="I5515" t="s">
        <v>4744</v>
      </c>
      <c r="J5515" t="s">
        <v>5191</v>
      </c>
      <c r="K5515" t="s">
        <v>730</v>
      </c>
      <c r="L5515">
        <v>0</v>
      </c>
      <c r="M5515" s="452">
        <v>45541</v>
      </c>
      <c r="N5515">
        <v>59.9</v>
      </c>
      <c r="O5515">
        <v>59.9</v>
      </c>
      <c r="P5515">
        <v>1930.59</v>
      </c>
    </row>
    <row r="5516" spans="1:16" x14ac:dyDescent="0.3">
      <c r="A5516">
        <v>12141</v>
      </c>
      <c r="B5516">
        <v>105</v>
      </c>
      <c r="C5516" t="s">
        <v>557</v>
      </c>
      <c r="D5516" s="452">
        <v>45658</v>
      </c>
      <c r="E5516">
        <v>19297</v>
      </c>
      <c r="F5516" t="s">
        <v>5571</v>
      </c>
      <c r="G5516">
        <v>2775</v>
      </c>
      <c r="H5516">
        <v>28.57</v>
      </c>
      <c r="I5516" t="s">
        <v>4744</v>
      </c>
      <c r="J5516" t="s">
        <v>5191</v>
      </c>
      <c r="K5516" t="s">
        <v>730</v>
      </c>
      <c r="L5516">
        <v>67.349999999999994</v>
      </c>
      <c r="M5516" s="452">
        <v>45646</v>
      </c>
      <c r="N5516">
        <v>66.989999999999995</v>
      </c>
      <c r="O5516">
        <v>98</v>
      </c>
      <c r="P5516">
        <v>1924.19</v>
      </c>
    </row>
    <row r="5517" spans="1:16" x14ac:dyDescent="0.3">
      <c r="A5517">
        <v>12136</v>
      </c>
      <c r="B5517">
        <v>105</v>
      </c>
      <c r="C5517" t="s">
        <v>557</v>
      </c>
      <c r="D5517" s="452">
        <v>45658</v>
      </c>
      <c r="E5517">
        <v>19356</v>
      </c>
      <c r="F5517" t="s">
        <v>4799</v>
      </c>
      <c r="G5517">
        <v>2768</v>
      </c>
      <c r="H5517">
        <v>34.85</v>
      </c>
      <c r="I5517" t="s">
        <v>4744</v>
      </c>
      <c r="J5517" t="s">
        <v>5191</v>
      </c>
      <c r="K5517" t="s">
        <v>730</v>
      </c>
      <c r="L5517">
        <v>50.9</v>
      </c>
      <c r="M5517" s="452">
        <v>45646</v>
      </c>
      <c r="N5517">
        <v>50.9</v>
      </c>
      <c r="O5517">
        <v>50.9</v>
      </c>
      <c r="P5517">
        <v>1773.86</v>
      </c>
    </row>
    <row r="5518" spans="1:16" x14ac:dyDescent="0.3">
      <c r="A5518">
        <v>11980</v>
      </c>
      <c r="B5518">
        <v>105</v>
      </c>
      <c r="C5518" t="s">
        <v>557</v>
      </c>
      <c r="D5518" s="452">
        <v>45658</v>
      </c>
      <c r="E5518">
        <v>24141</v>
      </c>
      <c r="F5518" t="s">
        <v>5088</v>
      </c>
      <c r="G5518">
        <v>3083</v>
      </c>
      <c r="H5518">
        <v>8.7899999999999991</v>
      </c>
      <c r="I5518" t="s">
        <v>4749</v>
      </c>
      <c r="J5518" t="s">
        <v>5222</v>
      </c>
      <c r="K5518" t="s">
        <v>730</v>
      </c>
      <c r="L5518">
        <v>172.96</v>
      </c>
      <c r="M5518" s="452">
        <v>45653</v>
      </c>
      <c r="N5518">
        <v>172.96</v>
      </c>
      <c r="O5518">
        <v>172.96</v>
      </c>
      <c r="P5518">
        <v>1520.32</v>
      </c>
    </row>
    <row r="5519" spans="1:16" x14ac:dyDescent="0.3">
      <c r="A5519">
        <v>12955</v>
      </c>
      <c r="B5519">
        <v>105</v>
      </c>
      <c r="C5519" t="s">
        <v>557</v>
      </c>
      <c r="D5519" s="452">
        <v>45658</v>
      </c>
      <c r="E5519">
        <v>26132</v>
      </c>
      <c r="F5519" t="s">
        <v>5522</v>
      </c>
      <c r="G5519">
        <v>6584</v>
      </c>
      <c r="H5519">
        <v>27.9</v>
      </c>
      <c r="I5519" t="s">
        <v>4744</v>
      </c>
      <c r="J5519" t="s">
        <v>5191</v>
      </c>
      <c r="K5519" t="s">
        <v>730</v>
      </c>
      <c r="L5519">
        <v>0</v>
      </c>
      <c r="M5519" s="452">
        <v>-693593</v>
      </c>
      <c r="N5519">
        <v>0</v>
      </c>
      <c r="O5519">
        <v>0</v>
      </c>
      <c r="P5519">
        <v>1450.8</v>
      </c>
    </row>
    <row r="5520" spans="1:16" x14ac:dyDescent="0.3">
      <c r="A5520">
        <v>12250</v>
      </c>
      <c r="B5520">
        <v>105</v>
      </c>
      <c r="C5520" t="s">
        <v>557</v>
      </c>
      <c r="D5520" s="452">
        <v>45658</v>
      </c>
      <c r="E5520">
        <v>18878</v>
      </c>
      <c r="F5520" t="s">
        <v>5619</v>
      </c>
      <c r="G5520">
        <v>2939</v>
      </c>
      <c r="H5520">
        <v>19.82</v>
      </c>
      <c r="I5520" t="s">
        <v>4736</v>
      </c>
      <c r="J5520" t="s">
        <v>5191</v>
      </c>
      <c r="K5520" t="s">
        <v>730</v>
      </c>
      <c r="L5520">
        <v>0</v>
      </c>
      <c r="M5520" s="452">
        <v>45553</v>
      </c>
      <c r="N5520">
        <v>72</v>
      </c>
      <c r="O5520">
        <v>72</v>
      </c>
      <c r="P5520">
        <v>1427.04</v>
      </c>
    </row>
    <row r="5521" spans="1:16" x14ac:dyDescent="0.3">
      <c r="A5521">
        <v>12156</v>
      </c>
      <c r="B5521">
        <v>105</v>
      </c>
      <c r="C5521" t="s">
        <v>557</v>
      </c>
      <c r="D5521" s="452">
        <v>45658</v>
      </c>
      <c r="E5521">
        <v>19041</v>
      </c>
      <c r="F5521" t="s">
        <v>4762</v>
      </c>
      <c r="G5521">
        <v>2890</v>
      </c>
      <c r="H5521">
        <v>81</v>
      </c>
      <c r="I5521" t="s">
        <v>4744</v>
      </c>
      <c r="J5521" t="s">
        <v>5191</v>
      </c>
      <c r="K5521" t="s">
        <v>730</v>
      </c>
      <c r="L5521">
        <v>0</v>
      </c>
      <c r="M5521" s="452">
        <v>45624</v>
      </c>
      <c r="N5521">
        <v>17.3</v>
      </c>
      <c r="O5521">
        <v>20.8</v>
      </c>
      <c r="P5521">
        <v>1401.3</v>
      </c>
    </row>
    <row r="5522" spans="1:16" x14ac:dyDescent="0.3">
      <c r="A5522">
        <v>12165</v>
      </c>
      <c r="B5522">
        <v>105</v>
      </c>
      <c r="C5522" t="s">
        <v>557</v>
      </c>
      <c r="D5522" s="452">
        <v>45658</v>
      </c>
      <c r="E5522">
        <v>18853</v>
      </c>
      <c r="F5522" t="s">
        <v>5620</v>
      </c>
      <c r="G5522">
        <v>2943</v>
      </c>
      <c r="H5522">
        <v>27</v>
      </c>
      <c r="I5522" t="s">
        <v>4744</v>
      </c>
      <c r="J5522" t="s">
        <v>5191</v>
      </c>
      <c r="K5522" t="s">
        <v>730</v>
      </c>
      <c r="L5522">
        <v>0</v>
      </c>
      <c r="M5522" s="452">
        <v>45545</v>
      </c>
      <c r="N5522">
        <v>49.9</v>
      </c>
      <c r="O5522">
        <v>49.9</v>
      </c>
      <c r="P5522">
        <v>1347.3</v>
      </c>
    </row>
    <row r="5523" spans="1:16" x14ac:dyDescent="0.3">
      <c r="A5523">
        <v>12023</v>
      </c>
      <c r="B5523">
        <v>105</v>
      </c>
      <c r="C5523" t="s">
        <v>557</v>
      </c>
      <c r="D5523" s="452">
        <v>45658</v>
      </c>
      <c r="E5523">
        <v>18179</v>
      </c>
      <c r="F5523" t="s">
        <v>4924</v>
      </c>
      <c r="G5523">
        <v>3443</v>
      </c>
      <c r="H5523">
        <v>13</v>
      </c>
      <c r="I5523" t="s">
        <v>4805</v>
      </c>
      <c r="J5523" t="s">
        <v>5222</v>
      </c>
      <c r="K5523" t="s">
        <v>730</v>
      </c>
      <c r="L5523">
        <v>93.87</v>
      </c>
      <c r="M5523" s="452">
        <v>45646</v>
      </c>
      <c r="N5523">
        <v>102.56</v>
      </c>
      <c r="O5523">
        <v>103.69</v>
      </c>
      <c r="P5523">
        <v>1220.31</v>
      </c>
    </row>
    <row r="5524" spans="1:16" x14ac:dyDescent="0.3">
      <c r="A5524">
        <v>12214</v>
      </c>
      <c r="B5524">
        <v>105</v>
      </c>
      <c r="C5524" t="s">
        <v>557</v>
      </c>
      <c r="D5524" s="452">
        <v>45658</v>
      </c>
      <c r="E5524">
        <v>18616</v>
      </c>
      <c r="F5524" t="s">
        <v>5621</v>
      </c>
      <c r="G5524">
        <v>3085</v>
      </c>
      <c r="H5524">
        <v>8.5</v>
      </c>
      <c r="I5524" t="s">
        <v>4749</v>
      </c>
      <c r="J5524" t="s">
        <v>5222</v>
      </c>
      <c r="K5524" t="s">
        <v>730</v>
      </c>
      <c r="L5524">
        <v>0</v>
      </c>
      <c r="M5524" s="452">
        <v>45546</v>
      </c>
      <c r="N5524">
        <v>142.88</v>
      </c>
      <c r="O5524">
        <v>142.88</v>
      </c>
      <c r="P5524">
        <v>1214.48</v>
      </c>
    </row>
    <row r="5525" spans="1:16" x14ac:dyDescent="0.3">
      <c r="A5525">
        <v>12157</v>
      </c>
      <c r="B5525">
        <v>105</v>
      </c>
      <c r="C5525" t="s">
        <v>557</v>
      </c>
      <c r="D5525" s="452">
        <v>45658</v>
      </c>
      <c r="E5525">
        <v>24217</v>
      </c>
      <c r="F5525" t="s">
        <v>4778</v>
      </c>
      <c r="G5525">
        <v>2937</v>
      </c>
      <c r="H5525">
        <v>23.1</v>
      </c>
      <c r="I5525" t="s">
        <v>4744</v>
      </c>
      <c r="J5525" t="s">
        <v>5191</v>
      </c>
      <c r="K5525" t="s">
        <v>730</v>
      </c>
      <c r="L5525">
        <v>0</v>
      </c>
      <c r="M5525" s="452">
        <v>45552</v>
      </c>
      <c r="N5525">
        <v>51.69</v>
      </c>
      <c r="O5525">
        <v>39.9</v>
      </c>
      <c r="P5525">
        <v>1194.03</v>
      </c>
    </row>
    <row r="5526" spans="1:16" x14ac:dyDescent="0.3">
      <c r="A5526">
        <v>12159</v>
      </c>
      <c r="B5526">
        <v>105</v>
      </c>
      <c r="C5526" t="s">
        <v>557</v>
      </c>
      <c r="D5526" s="452">
        <v>45658</v>
      </c>
      <c r="E5526">
        <v>18991</v>
      </c>
      <c r="F5526" t="s">
        <v>4815</v>
      </c>
      <c r="G5526">
        <v>2900</v>
      </c>
      <c r="H5526">
        <v>26.2</v>
      </c>
      <c r="I5526" t="s">
        <v>4744</v>
      </c>
      <c r="J5526" t="s">
        <v>5191</v>
      </c>
      <c r="K5526" t="s">
        <v>730</v>
      </c>
      <c r="L5526">
        <v>0</v>
      </c>
      <c r="M5526" s="452">
        <v>45624</v>
      </c>
      <c r="N5526">
        <v>44.9</v>
      </c>
      <c r="O5526">
        <v>44.9</v>
      </c>
      <c r="P5526">
        <v>1176.3800000000001</v>
      </c>
    </row>
    <row r="5527" spans="1:16" x14ac:dyDescent="0.3">
      <c r="A5527">
        <v>14905</v>
      </c>
      <c r="B5527">
        <v>105</v>
      </c>
      <c r="C5527" t="s">
        <v>557</v>
      </c>
      <c r="D5527" s="452">
        <v>45658</v>
      </c>
      <c r="E5527">
        <v>24283</v>
      </c>
      <c r="F5527" t="s">
        <v>5572</v>
      </c>
      <c r="G5527">
        <v>2039</v>
      </c>
      <c r="H5527">
        <v>11</v>
      </c>
      <c r="I5527" t="s">
        <v>4744</v>
      </c>
      <c r="J5527" t="s">
        <v>5191</v>
      </c>
      <c r="K5527" t="s">
        <v>730</v>
      </c>
      <c r="L5527">
        <v>0</v>
      </c>
      <c r="M5527" s="452">
        <v>-693593</v>
      </c>
      <c r="N5527">
        <v>0</v>
      </c>
      <c r="O5527">
        <v>0</v>
      </c>
      <c r="P5527">
        <v>1149.28</v>
      </c>
    </row>
    <row r="5528" spans="1:16" x14ac:dyDescent="0.3">
      <c r="A5528">
        <v>12175</v>
      </c>
      <c r="B5528">
        <v>105</v>
      </c>
      <c r="C5528" t="s">
        <v>557</v>
      </c>
      <c r="D5528" s="452">
        <v>45658</v>
      </c>
      <c r="E5528">
        <v>17086</v>
      </c>
      <c r="F5528" t="s">
        <v>5622</v>
      </c>
      <c r="G5528">
        <v>5529</v>
      </c>
      <c r="H5528">
        <v>31</v>
      </c>
      <c r="I5528" t="s">
        <v>4738</v>
      </c>
      <c r="J5528" t="s">
        <v>5222</v>
      </c>
      <c r="K5528" t="s">
        <v>730</v>
      </c>
      <c r="L5528">
        <v>0</v>
      </c>
      <c r="M5528" s="452">
        <v>45545</v>
      </c>
      <c r="N5528">
        <v>32.9</v>
      </c>
      <c r="O5528">
        <v>32.9</v>
      </c>
      <c r="P5528">
        <v>1019.9</v>
      </c>
    </row>
    <row r="5529" spans="1:16" x14ac:dyDescent="0.3">
      <c r="A5529">
        <v>12072</v>
      </c>
      <c r="B5529">
        <v>105</v>
      </c>
      <c r="C5529" t="s">
        <v>557</v>
      </c>
      <c r="D5529" s="452">
        <v>45658</v>
      </c>
      <c r="E5529">
        <v>20501</v>
      </c>
      <c r="F5529" t="s">
        <v>4760</v>
      </c>
      <c r="G5529">
        <v>2154</v>
      </c>
      <c r="H5529">
        <v>40</v>
      </c>
      <c r="I5529" t="s">
        <v>4744</v>
      </c>
      <c r="J5529" t="s">
        <v>5191</v>
      </c>
      <c r="K5529" t="s">
        <v>730</v>
      </c>
      <c r="L5529">
        <v>0</v>
      </c>
      <c r="M5529" s="452">
        <v>45553</v>
      </c>
      <c r="N5529">
        <v>24.45</v>
      </c>
      <c r="O5529">
        <v>26.03</v>
      </c>
      <c r="P5529">
        <v>978</v>
      </c>
    </row>
    <row r="5530" spans="1:16" x14ac:dyDescent="0.3">
      <c r="A5530">
        <v>11993</v>
      </c>
      <c r="B5530">
        <v>105</v>
      </c>
      <c r="C5530" t="s">
        <v>557</v>
      </c>
      <c r="D5530" s="452">
        <v>45658</v>
      </c>
      <c r="E5530">
        <v>18550</v>
      </c>
      <c r="F5530" t="s">
        <v>4967</v>
      </c>
      <c r="G5530">
        <v>3130</v>
      </c>
      <c r="H5530">
        <v>4</v>
      </c>
      <c r="I5530" t="s">
        <v>4805</v>
      </c>
      <c r="J5530" t="s">
        <v>5222</v>
      </c>
      <c r="K5530" t="s">
        <v>730</v>
      </c>
      <c r="L5530">
        <v>229.9</v>
      </c>
      <c r="M5530" s="452">
        <v>45644</v>
      </c>
      <c r="N5530">
        <v>229.9</v>
      </c>
      <c r="O5530">
        <v>229.9</v>
      </c>
      <c r="P5530">
        <v>919.6</v>
      </c>
    </row>
    <row r="5531" spans="1:16" x14ac:dyDescent="0.3">
      <c r="A5531">
        <v>12022</v>
      </c>
      <c r="B5531">
        <v>105</v>
      </c>
      <c r="C5531" t="s">
        <v>557</v>
      </c>
      <c r="D5531" s="452">
        <v>45658</v>
      </c>
      <c r="E5531">
        <v>18194</v>
      </c>
      <c r="F5531" t="s">
        <v>4923</v>
      </c>
      <c r="G5531">
        <v>3430</v>
      </c>
      <c r="H5531">
        <v>9</v>
      </c>
      <c r="I5531" t="s">
        <v>4805</v>
      </c>
      <c r="J5531" t="s">
        <v>5222</v>
      </c>
      <c r="K5531" t="s">
        <v>730</v>
      </c>
      <c r="L5531">
        <v>95</v>
      </c>
      <c r="M5531" s="452">
        <v>45652</v>
      </c>
      <c r="N5531">
        <v>95</v>
      </c>
      <c r="O5531">
        <v>77.069999999999993</v>
      </c>
      <c r="P5531">
        <v>855</v>
      </c>
    </row>
    <row r="5532" spans="1:16" x14ac:dyDescent="0.3">
      <c r="A5532">
        <v>12222</v>
      </c>
      <c r="B5532">
        <v>105</v>
      </c>
      <c r="C5532" t="s">
        <v>557</v>
      </c>
      <c r="D5532" s="452">
        <v>45658</v>
      </c>
      <c r="E5532">
        <v>21054</v>
      </c>
      <c r="F5532" t="s">
        <v>5492</v>
      </c>
      <c r="G5532">
        <v>1999</v>
      </c>
      <c r="H5532">
        <v>4.2</v>
      </c>
      <c r="I5532" t="s">
        <v>4736</v>
      </c>
      <c r="J5532" t="s">
        <v>5191</v>
      </c>
      <c r="K5532" t="s">
        <v>730</v>
      </c>
      <c r="L5532">
        <v>184.9</v>
      </c>
      <c r="M5532" s="452">
        <v>45646</v>
      </c>
      <c r="N5532">
        <v>184.9</v>
      </c>
      <c r="O5532">
        <v>184.9</v>
      </c>
      <c r="P5532">
        <v>776.58</v>
      </c>
    </row>
    <row r="5533" spans="1:16" x14ac:dyDescent="0.3">
      <c r="A5533">
        <v>12057</v>
      </c>
      <c r="B5533">
        <v>105</v>
      </c>
      <c r="C5533" t="s">
        <v>557</v>
      </c>
      <c r="D5533" s="452">
        <v>45658</v>
      </c>
      <c r="E5533">
        <v>24189</v>
      </c>
      <c r="F5533" t="s">
        <v>5532</v>
      </c>
      <c r="G5533">
        <v>2140</v>
      </c>
      <c r="H5533">
        <v>33.549999999999997</v>
      </c>
      <c r="I5533" t="s">
        <v>4744</v>
      </c>
      <c r="J5533" t="s">
        <v>5191</v>
      </c>
      <c r="K5533" t="s">
        <v>730</v>
      </c>
      <c r="L5533">
        <v>0</v>
      </c>
      <c r="M5533" s="452">
        <v>45546</v>
      </c>
      <c r="N5533">
        <v>22.4</v>
      </c>
      <c r="O5533">
        <v>22.34</v>
      </c>
      <c r="P5533">
        <v>751.52</v>
      </c>
    </row>
    <row r="5534" spans="1:16" x14ac:dyDescent="0.3">
      <c r="A5534">
        <v>12169</v>
      </c>
      <c r="B5534">
        <v>105</v>
      </c>
      <c r="C5534" t="s">
        <v>557</v>
      </c>
      <c r="D5534" s="452">
        <v>45658</v>
      </c>
      <c r="E5534">
        <v>18731</v>
      </c>
      <c r="F5534" t="s">
        <v>4832</v>
      </c>
      <c r="G5534">
        <v>3020</v>
      </c>
      <c r="H5534">
        <v>10.8</v>
      </c>
      <c r="I5534" t="s">
        <v>4744</v>
      </c>
      <c r="J5534" t="s">
        <v>5191</v>
      </c>
      <c r="K5534" t="s">
        <v>730</v>
      </c>
      <c r="L5534">
        <v>68.900000000000006</v>
      </c>
      <c r="M5534" s="452">
        <v>45653</v>
      </c>
      <c r="N5534">
        <v>68.900000000000006</v>
      </c>
      <c r="O5534">
        <v>68.900000000000006</v>
      </c>
      <c r="P5534">
        <v>744.12</v>
      </c>
    </row>
    <row r="5535" spans="1:16" x14ac:dyDescent="0.3">
      <c r="A5535">
        <v>12246</v>
      </c>
      <c r="B5535">
        <v>105</v>
      </c>
      <c r="C5535" t="s">
        <v>557</v>
      </c>
      <c r="D5535" s="452">
        <v>45658</v>
      </c>
      <c r="E5535">
        <v>19224</v>
      </c>
      <c r="F5535" t="s">
        <v>5100</v>
      </c>
      <c r="G5535">
        <v>5850</v>
      </c>
      <c r="H5535">
        <v>3.09</v>
      </c>
      <c r="I5535" t="s">
        <v>4736</v>
      </c>
      <c r="J5535" t="s">
        <v>5191</v>
      </c>
      <c r="K5535" t="s">
        <v>730</v>
      </c>
      <c r="L5535">
        <v>235.9</v>
      </c>
      <c r="M5535" s="452">
        <v>45653</v>
      </c>
      <c r="N5535">
        <v>235.9</v>
      </c>
      <c r="O5535">
        <v>235.9</v>
      </c>
      <c r="P5535">
        <v>728.93</v>
      </c>
    </row>
    <row r="5536" spans="1:16" x14ac:dyDescent="0.3">
      <c r="A5536">
        <v>12024</v>
      </c>
      <c r="B5536">
        <v>105</v>
      </c>
      <c r="C5536" t="s">
        <v>557</v>
      </c>
      <c r="D5536" s="452">
        <v>45658</v>
      </c>
      <c r="E5536">
        <v>18172</v>
      </c>
      <c r="F5536" t="s">
        <v>4804</v>
      </c>
      <c r="G5536">
        <v>3450</v>
      </c>
      <c r="H5536">
        <v>21</v>
      </c>
      <c r="I5536" t="s">
        <v>4805</v>
      </c>
      <c r="J5536" t="s">
        <v>5222</v>
      </c>
      <c r="K5536" t="s">
        <v>730</v>
      </c>
      <c r="L5536">
        <v>33.56</v>
      </c>
      <c r="M5536" s="452">
        <v>45652</v>
      </c>
      <c r="N5536">
        <v>33.56</v>
      </c>
      <c r="O5536">
        <v>33.56</v>
      </c>
      <c r="P5536">
        <v>704.76</v>
      </c>
    </row>
    <row r="5537" spans="1:16" x14ac:dyDescent="0.3">
      <c r="A5537">
        <v>12140</v>
      </c>
      <c r="B5537">
        <v>105</v>
      </c>
      <c r="C5537" t="s">
        <v>557</v>
      </c>
      <c r="D5537" s="452">
        <v>45658</v>
      </c>
      <c r="E5537">
        <v>19322</v>
      </c>
      <c r="F5537" t="s">
        <v>4830</v>
      </c>
      <c r="G5537">
        <v>2773</v>
      </c>
      <c r="H5537">
        <v>13.53</v>
      </c>
      <c r="I5537" t="s">
        <v>4744</v>
      </c>
      <c r="J5537" t="s">
        <v>5191</v>
      </c>
      <c r="K5537" t="s">
        <v>730</v>
      </c>
      <c r="L5537">
        <v>50.9</v>
      </c>
      <c r="M5537" s="452">
        <v>45646</v>
      </c>
      <c r="N5537">
        <v>50.9</v>
      </c>
      <c r="O5537">
        <v>50.9</v>
      </c>
      <c r="P5537">
        <v>688.68</v>
      </c>
    </row>
    <row r="5538" spans="1:16" x14ac:dyDescent="0.3">
      <c r="A5538">
        <v>12047</v>
      </c>
      <c r="B5538">
        <v>105</v>
      </c>
      <c r="C5538" t="s">
        <v>557</v>
      </c>
      <c r="D5538" s="452">
        <v>45658</v>
      </c>
      <c r="E5538">
        <v>16997</v>
      </c>
      <c r="F5538" t="s">
        <v>5516</v>
      </c>
      <c r="G5538">
        <v>4750</v>
      </c>
      <c r="H5538">
        <v>18.75</v>
      </c>
      <c r="I5538" t="s">
        <v>4744</v>
      </c>
      <c r="J5538" t="s">
        <v>5191</v>
      </c>
      <c r="K5538" t="s">
        <v>730</v>
      </c>
      <c r="L5538">
        <v>35.9</v>
      </c>
      <c r="M5538" s="452">
        <v>45633</v>
      </c>
      <c r="N5538">
        <v>35.9</v>
      </c>
      <c r="O5538">
        <v>35.9</v>
      </c>
      <c r="P5538">
        <v>673.12</v>
      </c>
    </row>
    <row r="5539" spans="1:16" x14ac:dyDescent="0.3">
      <c r="A5539">
        <v>12005</v>
      </c>
      <c r="B5539">
        <v>105</v>
      </c>
      <c r="C5539" t="s">
        <v>557</v>
      </c>
      <c r="D5539" s="452">
        <v>45658</v>
      </c>
      <c r="E5539">
        <v>18341</v>
      </c>
      <c r="F5539" t="s">
        <v>5623</v>
      </c>
      <c r="G5539">
        <v>3293</v>
      </c>
      <c r="H5539">
        <v>13</v>
      </c>
      <c r="I5539" t="s">
        <v>4805</v>
      </c>
      <c r="J5539" t="s">
        <v>5222</v>
      </c>
      <c r="K5539" t="s">
        <v>730</v>
      </c>
      <c r="L5539">
        <v>50</v>
      </c>
      <c r="M5539" s="452">
        <v>45653</v>
      </c>
      <c r="N5539">
        <v>50</v>
      </c>
      <c r="O5539">
        <v>50</v>
      </c>
      <c r="P5539">
        <v>650</v>
      </c>
    </row>
    <row r="5540" spans="1:16" x14ac:dyDescent="0.3">
      <c r="A5540">
        <v>14917</v>
      </c>
      <c r="B5540">
        <v>105</v>
      </c>
      <c r="C5540" t="s">
        <v>557</v>
      </c>
      <c r="D5540" s="452">
        <v>45658</v>
      </c>
      <c r="E5540">
        <v>17757</v>
      </c>
      <c r="F5540" t="s">
        <v>5624</v>
      </c>
      <c r="G5540">
        <v>3785</v>
      </c>
      <c r="H5540">
        <v>4</v>
      </c>
      <c r="I5540" t="s">
        <v>4736</v>
      </c>
      <c r="J5540" t="s">
        <v>5222</v>
      </c>
      <c r="K5540" t="s">
        <v>730</v>
      </c>
      <c r="L5540">
        <v>0</v>
      </c>
      <c r="M5540" s="452">
        <v>-693593</v>
      </c>
      <c r="N5540">
        <v>0</v>
      </c>
      <c r="O5540">
        <v>0</v>
      </c>
      <c r="P5540">
        <v>608.32000000000005</v>
      </c>
    </row>
    <row r="5541" spans="1:16" x14ac:dyDescent="0.3">
      <c r="A5541">
        <v>12010</v>
      </c>
      <c r="B5541">
        <v>105</v>
      </c>
      <c r="C5541" t="s">
        <v>557</v>
      </c>
      <c r="D5541" s="452">
        <v>45658</v>
      </c>
      <c r="E5541">
        <v>18315</v>
      </c>
      <c r="F5541" t="s">
        <v>4922</v>
      </c>
      <c r="G5541">
        <v>3318</v>
      </c>
      <c r="H5541">
        <v>5</v>
      </c>
      <c r="I5541" t="s">
        <v>4805</v>
      </c>
      <c r="J5541" t="s">
        <v>5222</v>
      </c>
      <c r="K5541" t="s">
        <v>730</v>
      </c>
      <c r="L5541">
        <v>119.5</v>
      </c>
      <c r="M5541" s="452">
        <v>45652</v>
      </c>
      <c r="N5541">
        <v>124</v>
      </c>
      <c r="O5541">
        <v>124</v>
      </c>
      <c r="P5541">
        <v>597.5</v>
      </c>
    </row>
    <row r="5542" spans="1:16" x14ac:dyDescent="0.3">
      <c r="A5542">
        <v>12150</v>
      </c>
      <c r="B5542">
        <v>105</v>
      </c>
      <c r="C5542" t="s">
        <v>557</v>
      </c>
      <c r="D5542" s="452">
        <v>45658</v>
      </c>
      <c r="E5542">
        <v>18831</v>
      </c>
      <c r="F5542" t="s">
        <v>5625</v>
      </c>
      <c r="G5542">
        <v>2950</v>
      </c>
      <c r="H5542">
        <v>15</v>
      </c>
      <c r="I5542" t="s">
        <v>4744</v>
      </c>
      <c r="J5542" t="s">
        <v>5191</v>
      </c>
      <c r="K5542" t="s">
        <v>730</v>
      </c>
      <c r="L5542">
        <v>0</v>
      </c>
      <c r="M5542" s="452">
        <v>45553</v>
      </c>
      <c r="N5542">
        <v>39.76</v>
      </c>
      <c r="O5542">
        <v>39.76</v>
      </c>
      <c r="P5542">
        <v>596.4</v>
      </c>
    </row>
    <row r="5543" spans="1:16" x14ac:dyDescent="0.3">
      <c r="A5543">
        <v>14914</v>
      </c>
      <c r="B5543">
        <v>105</v>
      </c>
      <c r="C5543" t="s">
        <v>557</v>
      </c>
      <c r="D5543" s="452">
        <v>45658</v>
      </c>
      <c r="E5543">
        <v>26168</v>
      </c>
      <c r="F5543" t="s">
        <v>5626</v>
      </c>
      <c r="G5543">
        <v>6601</v>
      </c>
      <c r="H5543">
        <v>5</v>
      </c>
      <c r="I5543" t="s">
        <v>4736</v>
      </c>
      <c r="J5543" t="s">
        <v>5222</v>
      </c>
      <c r="K5543" t="s">
        <v>730</v>
      </c>
      <c r="L5543">
        <v>0</v>
      </c>
      <c r="M5543" s="452">
        <v>-693593</v>
      </c>
      <c r="N5543">
        <v>0</v>
      </c>
      <c r="O5543">
        <v>0</v>
      </c>
      <c r="P5543">
        <v>584.25</v>
      </c>
    </row>
    <row r="5544" spans="1:16" x14ac:dyDescent="0.3">
      <c r="A5544">
        <v>14920</v>
      </c>
      <c r="B5544">
        <v>105</v>
      </c>
      <c r="C5544" t="s">
        <v>557</v>
      </c>
      <c r="D5544" s="452">
        <v>45658</v>
      </c>
      <c r="E5544">
        <v>18008</v>
      </c>
      <c r="F5544" t="s">
        <v>4865</v>
      </c>
      <c r="G5544">
        <v>3589</v>
      </c>
      <c r="H5544">
        <v>4</v>
      </c>
      <c r="I5544" t="s">
        <v>4805</v>
      </c>
      <c r="J5544" t="s">
        <v>5222</v>
      </c>
      <c r="K5544" t="s">
        <v>730</v>
      </c>
      <c r="L5544">
        <v>0</v>
      </c>
      <c r="M5544" s="452">
        <v>-693593</v>
      </c>
      <c r="N5544">
        <v>0</v>
      </c>
      <c r="O5544">
        <v>0</v>
      </c>
      <c r="P5544">
        <v>523.96</v>
      </c>
    </row>
    <row r="5545" spans="1:16" x14ac:dyDescent="0.3">
      <c r="A5545">
        <v>12164</v>
      </c>
      <c r="B5545">
        <v>105</v>
      </c>
      <c r="C5545" t="s">
        <v>557</v>
      </c>
      <c r="D5545" s="452">
        <v>45658</v>
      </c>
      <c r="E5545">
        <v>24320</v>
      </c>
      <c r="F5545" t="s">
        <v>4861</v>
      </c>
      <c r="G5545">
        <v>2942</v>
      </c>
      <c r="H5545">
        <v>12.7</v>
      </c>
      <c r="I5545" t="s">
        <v>4744</v>
      </c>
      <c r="J5545" t="s">
        <v>5191</v>
      </c>
      <c r="K5545" t="s">
        <v>730</v>
      </c>
      <c r="L5545">
        <v>0</v>
      </c>
      <c r="M5545" s="452">
        <v>45546</v>
      </c>
      <c r="N5545">
        <v>40.75</v>
      </c>
      <c r="O5545">
        <v>35.49</v>
      </c>
      <c r="P5545">
        <v>517.52</v>
      </c>
    </row>
    <row r="5546" spans="1:16" x14ac:dyDescent="0.3">
      <c r="A5546">
        <v>12167</v>
      </c>
      <c r="B5546">
        <v>105</v>
      </c>
      <c r="C5546" t="s">
        <v>557</v>
      </c>
      <c r="D5546" s="452">
        <v>45658</v>
      </c>
      <c r="E5546">
        <v>18996</v>
      </c>
      <c r="F5546" t="s">
        <v>5130</v>
      </c>
      <c r="G5546">
        <v>2900</v>
      </c>
      <c r="H5546">
        <v>25.4</v>
      </c>
      <c r="I5546" t="s">
        <v>4744</v>
      </c>
      <c r="J5546" t="s">
        <v>5191</v>
      </c>
      <c r="K5546" t="s">
        <v>730</v>
      </c>
      <c r="L5546">
        <v>0</v>
      </c>
      <c r="M5546" s="452">
        <v>45553</v>
      </c>
      <c r="N5546">
        <v>19.88</v>
      </c>
      <c r="O5546">
        <v>0</v>
      </c>
      <c r="P5546">
        <v>504.95</v>
      </c>
    </row>
    <row r="5547" spans="1:16" x14ac:dyDescent="0.3">
      <c r="A5547">
        <v>12006</v>
      </c>
      <c r="B5547">
        <v>105</v>
      </c>
      <c r="C5547" t="s">
        <v>557</v>
      </c>
      <c r="D5547" s="452">
        <v>45658</v>
      </c>
      <c r="E5547">
        <v>18359</v>
      </c>
      <c r="F5547" t="s">
        <v>4921</v>
      </c>
      <c r="G5547">
        <v>3278</v>
      </c>
      <c r="H5547">
        <v>5</v>
      </c>
      <c r="I5547" t="s">
        <v>4805</v>
      </c>
      <c r="J5547" t="s">
        <v>5222</v>
      </c>
      <c r="K5547" t="s">
        <v>730</v>
      </c>
      <c r="L5547">
        <v>99.9</v>
      </c>
      <c r="M5547" s="452">
        <v>45652</v>
      </c>
      <c r="N5547">
        <v>99.9</v>
      </c>
      <c r="O5547">
        <v>99.9</v>
      </c>
      <c r="P5547">
        <v>499.5</v>
      </c>
    </row>
    <row r="5548" spans="1:16" x14ac:dyDescent="0.3">
      <c r="A5548">
        <v>14918</v>
      </c>
      <c r="B5548">
        <v>105</v>
      </c>
      <c r="C5548" t="s">
        <v>557</v>
      </c>
      <c r="D5548" s="452">
        <v>45658</v>
      </c>
      <c r="E5548">
        <v>17574</v>
      </c>
      <c r="F5548" t="s">
        <v>5594</v>
      </c>
      <c r="G5548">
        <v>3953</v>
      </c>
      <c r="H5548">
        <v>5</v>
      </c>
      <c r="I5548" t="s">
        <v>4736</v>
      </c>
      <c r="J5548" t="s">
        <v>5222</v>
      </c>
      <c r="K5548" t="s">
        <v>730</v>
      </c>
      <c r="L5548">
        <v>0</v>
      </c>
      <c r="M5548" s="452">
        <v>-693593</v>
      </c>
      <c r="N5548">
        <v>0</v>
      </c>
      <c r="O5548">
        <v>0</v>
      </c>
      <c r="P5548">
        <v>479.9</v>
      </c>
    </row>
    <row r="5549" spans="1:16" x14ac:dyDescent="0.3">
      <c r="A5549">
        <v>12213</v>
      </c>
      <c r="B5549">
        <v>105</v>
      </c>
      <c r="C5549" t="s">
        <v>557</v>
      </c>
      <c r="D5549" s="452">
        <v>45658</v>
      </c>
      <c r="E5549">
        <v>18571</v>
      </c>
      <c r="F5549" t="s">
        <v>5575</v>
      </c>
      <c r="G5549">
        <v>3111</v>
      </c>
      <c r="H5549">
        <v>40</v>
      </c>
      <c r="I5549" t="s">
        <v>4736</v>
      </c>
      <c r="J5549" t="s">
        <v>5222</v>
      </c>
      <c r="K5549" t="s">
        <v>730</v>
      </c>
      <c r="L5549">
        <v>0</v>
      </c>
      <c r="M5549" s="452">
        <v>45421</v>
      </c>
      <c r="N5549">
        <v>11.73</v>
      </c>
      <c r="O5549">
        <v>11.73</v>
      </c>
      <c r="P5549">
        <v>469.2</v>
      </c>
    </row>
    <row r="5550" spans="1:16" x14ac:dyDescent="0.3">
      <c r="A5550">
        <v>14915</v>
      </c>
      <c r="B5550">
        <v>105</v>
      </c>
      <c r="C5550" t="s">
        <v>557</v>
      </c>
      <c r="D5550" s="452">
        <v>45658</v>
      </c>
      <c r="E5550">
        <v>26046</v>
      </c>
      <c r="F5550" t="s">
        <v>5148</v>
      </c>
      <c r="G5550">
        <v>6510</v>
      </c>
      <c r="H5550">
        <v>6</v>
      </c>
      <c r="I5550" t="s">
        <v>4805</v>
      </c>
      <c r="J5550" t="s">
        <v>5222</v>
      </c>
      <c r="K5550" t="s">
        <v>730</v>
      </c>
      <c r="L5550">
        <v>74.2</v>
      </c>
      <c r="M5550" s="452">
        <v>45638</v>
      </c>
      <c r="N5550">
        <v>74.2</v>
      </c>
      <c r="O5550">
        <v>74.2</v>
      </c>
      <c r="P5550">
        <v>445.2</v>
      </c>
    </row>
    <row r="5551" spans="1:16" x14ac:dyDescent="0.3">
      <c r="A5551">
        <v>12001</v>
      </c>
      <c r="B5551">
        <v>105</v>
      </c>
      <c r="C5551" t="s">
        <v>557</v>
      </c>
      <c r="D5551" s="452">
        <v>45658</v>
      </c>
      <c r="E5551">
        <v>18475</v>
      </c>
      <c r="F5551" t="s">
        <v>4895</v>
      </c>
      <c r="G5551">
        <v>3181</v>
      </c>
      <c r="H5551">
        <v>13</v>
      </c>
      <c r="I5551" t="s">
        <v>4805</v>
      </c>
      <c r="J5551" t="s">
        <v>5222</v>
      </c>
      <c r="K5551" t="s">
        <v>730</v>
      </c>
      <c r="L5551">
        <v>32.9</v>
      </c>
      <c r="M5551" s="452">
        <v>45653</v>
      </c>
      <c r="N5551">
        <v>32.9</v>
      </c>
      <c r="O5551">
        <v>32.9</v>
      </c>
      <c r="P5551">
        <v>427.7</v>
      </c>
    </row>
    <row r="5552" spans="1:16" x14ac:dyDescent="0.3">
      <c r="A5552">
        <v>12162</v>
      </c>
      <c r="B5552">
        <v>105</v>
      </c>
      <c r="C5552" t="s">
        <v>557</v>
      </c>
      <c r="D5552" s="452">
        <v>45658</v>
      </c>
      <c r="E5552">
        <v>18648</v>
      </c>
      <c r="F5552" t="s">
        <v>5595</v>
      </c>
      <c r="G5552">
        <v>3068</v>
      </c>
      <c r="H5552">
        <v>3.4</v>
      </c>
      <c r="I5552" t="s">
        <v>4744</v>
      </c>
      <c r="J5552" t="s">
        <v>5191</v>
      </c>
      <c r="K5552" t="s">
        <v>730</v>
      </c>
      <c r="L5552">
        <v>0</v>
      </c>
      <c r="M5552" s="452">
        <v>45601</v>
      </c>
      <c r="N5552">
        <v>124.95</v>
      </c>
      <c r="O5552">
        <v>124.95</v>
      </c>
      <c r="P5552">
        <v>424.83</v>
      </c>
    </row>
    <row r="5553" spans="1:16" x14ac:dyDescent="0.3">
      <c r="A5553">
        <v>11978</v>
      </c>
      <c r="B5553">
        <v>105</v>
      </c>
      <c r="C5553" t="s">
        <v>557</v>
      </c>
      <c r="D5553" s="452">
        <v>45658</v>
      </c>
      <c r="E5553">
        <v>24981</v>
      </c>
      <c r="F5553" t="s">
        <v>5140</v>
      </c>
      <c r="G5553">
        <v>5849</v>
      </c>
      <c r="H5553">
        <v>1</v>
      </c>
      <c r="I5553" t="s">
        <v>4965</v>
      </c>
      <c r="J5553" t="s">
        <v>5222</v>
      </c>
      <c r="K5553" t="s">
        <v>730</v>
      </c>
      <c r="L5553">
        <v>420</v>
      </c>
      <c r="M5553" s="452">
        <v>45653</v>
      </c>
      <c r="N5553">
        <v>420</v>
      </c>
      <c r="O5553">
        <v>420</v>
      </c>
      <c r="P5553">
        <v>420</v>
      </c>
    </row>
    <row r="5554" spans="1:16" x14ac:dyDescent="0.3">
      <c r="A5554">
        <v>14912</v>
      </c>
      <c r="B5554">
        <v>105</v>
      </c>
      <c r="C5554" t="s">
        <v>557</v>
      </c>
      <c r="D5554" s="452">
        <v>45658</v>
      </c>
      <c r="E5554">
        <v>26034</v>
      </c>
      <c r="F5554" t="s">
        <v>4828</v>
      </c>
      <c r="G5554">
        <v>6504</v>
      </c>
      <c r="H5554">
        <v>9</v>
      </c>
      <c r="I5554" t="s">
        <v>4805</v>
      </c>
      <c r="J5554" t="s">
        <v>5222</v>
      </c>
      <c r="K5554" t="s">
        <v>730</v>
      </c>
      <c r="L5554">
        <v>46.38</v>
      </c>
      <c r="M5554" s="452">
        <v>45646</v>
      </c>
      <c r="N5554">
        <v>46.38</v>
      </c>
      <c r="O5554">
        <v>46.38</v>
      </c>
      <c r="P5554">
        <v>417.42</v>
      </c>
    </row>
    <row r="5555" spans="1:16" x14ac:dyDescent="0.3">
      <c r="A5555">
        <v>12249</v>
      </c>
      <c r="B5555">
        <v>105</v>
      </c>
      <c r="C5555" t="s">
        <v>557</v>
      </c>
      <c r="D5555" s="452">
        <v>45658</v>
      </c>
      <c r="E5555">
        <v>19092</v>
      </c>
      <c r="F5555" t="s">
        <v>5627</v>
      </c>
      <c r="G5555">
        <v>2855</v>
      </c>
      <c r="H5555">
        <v>181</v>
      </c>
      <c r="I5555" t="s">
        <v>4736</v>
      </c>
      <c r="J5555" t="s">
        <v>5191</v>
      </c>
      <c r="K5555" t="s">
        <v>730</v>
      </c>
      <c r="L5555">
        <v>0</v>
      </c>
      <c r="M5555" s="452">
        <v>-693593</v>
      </c>
      <c r="N5555">
        <v>0</v>
      </c>
      <c r="O5555">
        <v>2.16</v>
      </c>
      <c r="P5555">
        <v>390.96</v>
      </c>
    </row>
    <row r="5556" spans="1:16" x14ac:dyDescent="0.3">
      <c r="A5556">
        <v>12061</v>
      </c>
      <c r="B5556">
        <v>105</v>
      </c>
      <c r="C5556" t="s">
        <v>557</v>
      </c>
      <c r="D5556" s="452">
        <v>45658</v>
      </c>
      <c r="E5556">
        <v>25167</v>
      </c>
      <c r="F5556" t="s">
        <v>4758</v>
      </c>
      <c r="G5556">
        <v>5930</v>
      </c>
      <c r="H5556">
        <v>21.9</v>
      </c>
      <c r="I5556" t="s">
        <v>4744</v>
      </c>
      <c r="J5556" t="s">
        <v>5191</v>
      </c>
      <c r="K5556" t="s">
        <v>730</v>
      </c>
      <c r="L5556">
        <v>17.5</v>
      </c>
      <c r="M5556" s="452">
        <v>45653</v>
      </c>
      <c r="N5556">
        <v>17.5</v>
      </c>
      <c r="O5556">
        <v>17.5</v>
      </c>
      <c r="P5556">
        <v>383.25</v>
      </c>
    </row>
    <row r="5557" spans="1:16" x14ac:dyDescent="0.3">
      <c r="A5557">
        <v>12152</v>
      </c>
      <c r="B5557">
        <v>105</v>
      </c>
      <c r="C5557" t="s">
        <v>557</v>
      </c>
      <c r="D5557" s="452">
        <v>45658</v>
      </c>
      <c r="E5557">
        <v>24116</v>
      </c>
      <c r="F5557" t="s">
        <v>4777</v>
      </c>
      <c r="G5557">
        <v>2924</v>
      </c>
      <c r="H5557">
        <v>12.4</v>
      </c>
      <c r="I5557" t="s">
        <v>4744</v>
      </c>
      <c r="J5557" t="s">
        <v>5191</v>
      </c>
      <c r="K5557" t="s">
        <v>730</v>
      </c>
      <c r="L5557">
        <v>0</v>
      </c>
      <c r="M5557" s="452">
        <v>45552</v>
      </c>
      <c r="N5557">
        <v>30.88</v>
      </c>
      <c r="O5557">
        <v>41.9</v>
      </c>
      <c r="P5557">
        <v>382.91</v>
      </c>
    </row>
    <row r="5558" spans="1:16" x14ac:dyDescent="0.3">
      <c r="A5558">
        <v>14919</v>
      </c>
      <c r="B5558">
        <v>105</v>
      </c>
      <c r="C5558" t="s">
        <v>557</v>
      </c>
      <c r="D5558" s="452">
        <v>45658</v>
      </c>
      <c r="E5558">
        <v>17804</v>
      </c>
      <c r="F5558" t="s">
        <v>5628</v>
      </c>
      <c r="G5558">
        <v>3742</v>
      </c>
      <c r="H5558">
        <v>5</v>
      </c>
      <c r="I5558" t="s">
        <v>4736</v>
      </c>
      <c r="J5558" t="s">
        <v>5222</v>
      </c>
      <c r="K5558" t="s">
        <v>730</v>
      </c>
      <c r="L5558">
        <v>0</v>
      </c>
      <c r="M5558" s="452">
        <v>-693593</v>
      </c>
      <c r="N5558">
        <v>0</v>
      </c>
      <c r="O5558">
        <v>0</v>
      </c>
      <c r="P5558">
        <v>380.6</v>
      </c>
    </row>
    <row r="5559" spans="1:16" x14ac:dyDescent="0.3">
      <c r="A5559">
        <v>12160</v>
      </c>
      <c r="B5559">
        <v>105</v>
      </c>
      <c r="C5559" t="s">
        <v>557</v>
      </c>
      <c r="D5559" s="452">
        <v>45658</v>
      </c>
      <c r="E5559">
        <v>24256</v>
      </c>
      <c r="F5559" t="s">
        <v>4773</v>
      </c>
      <c r="G5559">
        <v>3003</v>
      </c>
      <c r="H5559">
        <v>8.4</v>
      </c>
      <c r="I5559" t="s">
        <v>4744</v>
      </c>
      <c r="J5559" t="s">
        <v>5191</v>
      </c>
      <c r="K5559" t="s">
        <v>730</v>
      </c>
      <c r="L5559">
        <v>0</v>
      </c>
      <c r="M5559" s="452">
        <v>45545</v>
      </c>
      <c r="N5559">
        <v>45</v>
      </c>
      <c r="O5559">
        <v>45</v>
      </c>
      <c r="P5559">
        <v>378</v>
      </c>
    </row>
    <row r="5560" spans="1:16" x14ac:dyDescent="0.3">
      <c r="A5560">
        <v>11992</v>
      </c>
      <c r="B5560">
        <v>105</v>
      </c>
      <c r="C5560" t="s">
        <v>557</v>
      </c>
      <c r="D5560" s="452">
        <v>45658</v>
      </c>
      <c r="E5560">
        <v>21047</v>
      </c>
      <c r="F5560" t="s">
        <v>4847</v>
      </c>
      <c r="G5560">
        <v>1999</v>
      </c>
      <c r="H5560">
        <v>2</v>
      </c>
      <c r="I5560" t="s">
        <v>4848</v>
      </c>
      <c r="J5560" t="s">
        <v>5191</v>
      </c>
      <c r="K5560" t="s">
        <v>730</v>
      </c>
      <c r="L5560">
        <v>0</v>
      </c>
      <c r="M5560" s="452">
        <v>45554</v>
      </c>
      <c r="N5560">
        <v>175.9</v>
      </c>
      <c r="O5560">
        <v>184.9</v>
      </c>
      <c r="P5560">
        <v>351.8</v>
      </c>
    </row>
    <row r="5561" spans="1:16" x14ac:dyDescent="0.3">
      <c r="A5561">
        <v>11994</v>
      </c>
      <c r="B5561">
        <v>105</v>
      </c>
      <c r="C5561" t="s">
        <v>557</v>
      </c>
      <c r="D5561" s="452">
        <v>45658</v>
      </c>
      <c r="E5561">
        <v>18547</v>
      </c>
      <c r="F5561" t="s">
        <v>4863</v>
      </c>
      <c r="G5561">
        <v>3132</v>
      </c>
      <c r="H5561">
        <v>9</v>
      </c>
      <c r="I5561" t="s">
        <v>4805</v>
      </c>
      <c r="J5561" t="s">
        <v>5222</v>
      </c>
      <c r="K5561" t="s">
        <v>730</v>
      </c>
      <c r="L5561">
        <v>37.01</v>
      </c>
      <c r="M5561" s="452">
        <v>45644</v>
      </c>
      <c r="N5561">
        <v>38.9</v>
      </c>
      <c r="O5561">
        <v>35.9</v>
      </c>
      <c r="P5561">
        <v>333.09</v>
      </c>
    </row>
    <row r="5562" spans="1:16" x14ac:dyDescent="0.3">
      <c r="A5562">
        <v>14916</v>
      </c>
      <c r="B5562">
        <v>105</v>
      </c>
      <c r="C5562" t="s">
        <v>557</v>
      </c>
      <c r="D5562" s="452">
        <v>45658</v>
      </c>
      <c r="E5562">
        <v>26036</v>
      </c>
      <c r="F5562" t="s">
        <v>4841</v>
      </c>
      <c r="G5562">
        <v>6505</v>
      </c>
      <c r="H5562">
        <v>5</v>
      </c>
      <c r="I5562" t="s">
        <v>4805</v>
      </c>
      <c r="J5562" t="s">
        <v>5222</v>
      </c>
      <c r="K5562" t="s">
        <v>730</v>
      </c>
      <c r="L5562">
        <v>66.36</v>
      </c>
      <c r="M5562" s="452">
        <v>45638</v>
      </c>
      <c r="N5562">
        <v>66.36</v>
      </c>
      <c r="O5562">
        <v>66.36</v>
      </c>
      <c r="P5562">
        <v>331.8</v>
      </c>
    </row>
    <row r="5563" spans="1:16" x14ac:dyDescent="0.3">
      <c r="A5563">
        <v>12042</v>
      </c>
      <c r="B5563">
        <v>105</v>
      </c>
      <c r="C5563" t="s">
        <v>557</v>
      </c>
      <c r="D5563" s="452">
        <v>45658</v>
      </c>
      <c r="E5563">
        <v>17578</v>
      </c>
      <c r="F5563" t="s">
        <v>4842</v>
      </c>
      <c r="G5563">
        <v>3948</v>
      </c>
      <c r="H5563">
        <v>4</v>
      </c>
      <c r="I5563" t="s">
        <v>4805</v>
      </c>
      <c r="J5563" t="s">
        <v>5222</v>
      </c>
      <c r="K5563" t="s">
        <v>730</v>
      </c>
      <c r="L5563">
        <v>0</v>
      </c>
      <c r="M5563" s="452">
        <v>45554</v>
      </c>
      <c r="N5563">
        <v>82.38</v>
      </c>
      <c r="O5563">
        <v>82.38</v>
      </c>
      <c r="P5563">
        <v>329.51</v>
      </c>
    </row>
    <row r="5564" spans="1:16" x14ac:dyDescent="0.3">
      <c r="A5564">
        <v>12038</v>
      </c>
      <c r="B5564">
        <v>105</v>
      </c>
      <c r="C5564" t="s">
        <v>557</v>
      </c>
      <c r="D5564" s="452">
        <v>45658</v>
      </c>
      <c r="E5564">
        <v>17790</v>
      </c>
      <c r="F5564" t="s">
        <v>5530</v>
      </c>
      <c r="G5564">
        <v>3754</v>
      </c>
      <c r="H5564">
        <v>4</v>
      </c>
      <c r="I5564" t="s">
        <v>4805</v>
      </c>
      <c r="J5564" t="s">
        <v>5222</v>
      </c>
      <c r="K5564" t="s">
        <v>730</v>
      </c>
      <c r="L5564">
        <v>81.34</v>
      </c>
      <c r="M5564" s="452">
        <v>45638</v>
      </c>
      <c r="N5564">
        <v>81.34</v>
      </c>
      <c r="O5564">
        <v>69.64</v>
      </c>
      <c r="P5564">
        <v>325.36</v>
      </c>
    </row>
    <row r="5565" spans="1:16" x14ac:dyDescent="0.3">
      <c r="A5565">
        <v>12188</v>
      </c>
      <c r="B5565">
        <v>105</v>
      </c>
      <c r="C5565" t="s">
        <v>557</v>
      </c>
      <c r="D5565" s="452">
        <v>45658</v>
      </c>
      <c r="E5565">
        <v>20382</v>
      </c>
      <c r="F5565" t="s">
        <v>4780</v>
      </c>
      <c r="G5565">
        <v>2196</v>
      </c>
      <c r="H5565">
        <v>36</v>
      </c>
      <c r="I5565" t="s">
        <v>4738</v>
      </c>
      <c r="J5565" t="s">
        <v>5191</v>
      </c>
      <c r="K5565" t="s">
        <v>730</v>
      </c>
      <c r="L5565">
        <v>8.9</v>
      </c>
      <c r="M5565" s="452">
        <v>45646</v>
      </c>
      <c r="N5565">
        <v>8.9</v>
      </c>
      <c r="O5565">
        <v>8.9</v>
      </c>
      <c r="P5565">
        <v>320.39999999999998</v>
      </c>
    </row>
    <row r="5566" spans="1:16" x14ac:dyDescent="0.3">
      <c r="A5566">
        <v>12174</v>
      </c>
      <c r="B5566">
        <v>105</v>
      </c>
      <c r="C5566" t="s">
        <v>557</v>
      </c>
      <c r="D5566" s="452">
        <v>45658</v>
      </c>
      <c r="E5566">
        <v>23974</v>
      </c>
      <c r="F5566" t="s">
        <v>4862</v>
      </c>
      <c r="G5566">
        <v>4163</v>
      </c>
      <c r="H5566">
        <v>7</v>
      </c>
      <c r="I5566" t="s">
        <v>4736</v>
      </c>
      <c r="J5566" t="s">
        <v>5222</v>
      </c>
      <c r="K5566" t="s">
        <v>730</v>
      </c>
      <c r="L5566">
        <v>0</v>
      </c>
      <c r="M5566" s="452">
        <v>45617</v>
      </c>
      <c r="N5566">
        <v>45.6</v>
      </c>
      <c r="O5566">
        <v>1.9</v>
      </c>
      <c r="P5566">
        <v>319.2</v>
      </c>
    </row>
    <row r="5567" spans="1:16" x14ac:dyDescent="0.3">
      <c r="A5567">
        <v>12015</v>
      </c>
      <c r="B5567">
        <v>105</v>
      </c>
      <c r="C5567" t="s">
        <v>557</v>
      </c>
      <c r="D5567" s="452">
        <v>45658</v>
      </c>
      <c r="E5567">
        <v>18253</v>
      </c>
      <c r="F5567" t="s">
        <v>4969</v>
      </c>
      <c r="G5567">
        <v>3376</v>
      </c>
      <c r="H5567">
        <v>11</v>
      </c>
      <c r="I5567" t="s">
        <v>4805</v>
      </c>
      <c r="J5567" t="s">
        <v>5222</v>
      </c>
      <c r="K5567" t="s">
        <v>730</v>
      </c>
      <c r="L5567">
        <v>28.95</v>
      </c>
      <c r="M5567" s="452">
        <v>45653</v>
      </c>
      <c r="N5567">
        <v>28.97</v>
      </c>
      <c r="O5567">
        <v>28.97</v>
      </c>
      <c r="P5567">
        <v>318.45</v>
      </c>
    </row>
    <row r="5568" spans="1:16" x14ac:dyDescent="0.3">
      <c r="A5568">
        <v>12202</v>
      </c>
      <c r="B5568">
        <v>105</v>
      </c>
      <c r="C5568" t="s">
        <v>557</v>
      </c>
      <c r="D5568" s="452">
        <v>45658</v>
      </c>
      <c r="E5568">
        <v>17903</v>
      </c>
      <c r="F5568" t="s">
        <v>5084</v>
      </c>
      <c r="G5568">
        <v>3658</v>
      </c>
      <c r="H5568">
        <v>12</v>
      </c>
      <c r="I5568" t="s">
        <v>4738</v>
      </c>
      <c r="J5568" t="s">
        <v>5222</v>
      </c>
      <c r="K5568" t="s">
        <v>730</v>
      </c>
      <c r="L5568">
        <v>0</v>
      </c>
      <c r="M5568" s="452">
        <v>45653</v>
      </c>
      <c r="N5568">
        <v>0</v>
      </c>
      <c r="O5568">
        <v>26.28</v>
      </c>
      <c r="P5568">
        <v>315.36</v>
      </c>
    </row>
    <row r="5569" spans="1:16" x14ac:dyDescent="0.3">
      <c r="A5569">
        <v>11985</v>
      </c>
      <c r="B5569">
        <v>105</v>
      </c>
      <c r="C5569" t="s">
        <v>557</v>
      </c>
      <c r="D5569" s="452">
        <v>45658</v>
      </c>
      <c r="E5569">
        <v>17841</v>
      </c>
      <c r="F5569" t="s">
        <v>5593</v>
      </c>
      <c r="G5569">
        <v>8510</v>
      </c>
      <c r="H5569">
        <v>2.36</v>
      </c>
      <c r="I5569" t="s">
        <v>4749</v>
      </c>
      <c r="J5569" t="s">
        <v>5222</v>
      </c>
      <c r="K5569" t="s">
        <v>730</v>
      </c>
      <c r="L5569">
        <v>0</v>
      </c>
      <c r="M5569" s="452">
        <v>45350</v>
      </c>
      <c r="N5569">
        <v>0</v>
      </c>
      <c r="O5569">
        <v>130</v>
      </c>
      <c r="P5569">
        <v>306.8</v>
      </c>
    </row>
    <row r="5570" spans="1:16" x14ac:dyDescent="0.3">
      <c r="A5570">
        <v>12149</v>
      </c>
      <c r="B5570">
        <v>105</v>
      </c>
      <c r="C5570" t="s">
        <v>557</v>
      </c>
      <c r="D5570" s="452">
        <v>45658</v>
      </c>
      <c r="E5570">
        <v>25298</v>
      </c>
      <c r="F5570" t="s">
        <v>5629</v>
      </c>
      <c r="G5570">
        <v>5992</v>
      </c>
      <c r="H5570">
        <v>0.85</v>
      </c>
      <c r="I5570" t="s">
        <v>4744</v>
      </c>
      <c r="J5570" t="s">
        <v>5191</v>
      </c>
      <c r="K5570" t="s">
        <v>730</v>
      </c>
      <c r="L5570">
        <v>0</v>
      </c>
      <c r="M5570" s="452">
        <v>-693593</v>
      </c>
      <c r="N5570">
        <v>0</v>
      </c>
      <c r="O5570">
        <v>360</v>
      </c>
      <c r="P5570">
        <v>306</v>
      </c>
    </row>
    <row r="5571" spans="1:16" x14ac:dyDescent="0.3">
      <c r="A5571">
        <v>12198</v>
      </c>
      <c r="B5571">
        <v>105</v>
      </c>
      <c r="C5571" t="s">
        <v>557</v>
      </c>
      <c r="D5571" s="452">
        <v>45658</v>
      </c>
      <c r="E5571">
        <v>17950</v>
      </c>
      <c r="F5571" t="s">
        <v>5091</v>
      </c>
      <c r="G5571">
        <v>3626</v>
      </c>
      <c r="H5571">
        <v>19</v>
      </c>
      <c r="I5571" t="s">
        <v>4738</v>
      </c>
      <c r="J5571" t="s">
        <v>5222</v>
      </c>
      <c r="K5571" t="s">
        <v>730</v>
      </c>
      <c r="L5571">
        <v>15.96</v>
      </c>
      <c r="M5571" s="452">
        <v>45653</v>
      </c>
      <c r="N5571">
        <v>15.96</v>
      </c>
      <c r="O5571">
        <v>15.96</v>
      </c>
      <c r="P5571">
        <v>303.24</v>
      </c>
    </row>
    <row r="5572" spans="1:16" x14ac:dyDescent="0.3">
      <c r="A5572">
        <v>12155</v>
      </c>
      <c r="B5572">
        <v>105</v>
      </c>
      <c r="C5572" t="s">
        <v>557</v>
      </c>
      <c r="D5572" s="452">
        <v>45658</v>
      </c>
      <c r="E5572">
        <v>24199</v>
      </c>
      <c r="F5572" t="s">
        <v>4783</v>
      </c>
      <c r="G5572">
        <v>5084</v>
      </c>
      <c r="H5572">
        <v>8.65</v>
      </c>
      <c r="I5572" t="s">
        <v>4744</v>
      </c>
      <c r="J5572" t="s">
        <v>5191</v>
      </c>
      <c r="K5572" t="s">
        <v>730</v>
      </c>
      <c r="L5572">
        <v>0</v>
      </c>
      <c r="M5572" s="452">
        <v>45540</v>
      </c>
      <c r="N5572">
        <v>34.9</v>
      </c>
      <c r="O5572">
        <v>24.8</v>
      </c>
      <c r="P5572">
        <v>301.88</v>
      </c>
    </row>
    <row r="5573" spans="1:16" x14ac:dyDescent="0.3">
      <c r="A5573">
        <v>12195</v>
      </c>
      <c r="B5573">
        <v>105</v>
      </c>
      <c r="C5573" t="s">
        <v>557</v>
      </c>
      <c r="D5573" s="452">
        <v>45658</v>
      </c>
      <c r="E5573">
        <v>20122</v>
      </c>
      <c r="F5573" t="s">
        <v>4781</v>
      </c>
      <c r="G5573">
        <v>2290</v>
      </c>
      <c r="H5573">
        <v>22</v>
      </c>
      <c r="I5573" t="s">
        <v>4738</v>
      </c>
      <c r="J5573" t="s">
        <v>5191</v>
      </c>
      <c r="K5573" t="s">
        <v>730</v>
      </c>
      <c r="L5573">
        <v>13.6</v>
      </c>
      <c r="M5573" s="452">
        <v>45631</v>
      </c>
      <c r="N5573">
        <v>13.6</v>
      </c>
      <c r="O5573">
        <v>13.7</v>
      </c>
      <c r="P5573">
        <v>299.2</v>
      </c>
    </row>
    <row r="5574" spans="1:16" x14ac:dyDescent="0.3">
      <c r="A5574">
        <v>12182</v>
      </c>
      <c r="B5574">
        <v>105</v>
      </c>
      <c r="C5574" t="s">
        <v>557</v>
      </c>
      <c r="D5574" s="452">
        <v>45658</v>
      </c>
      <c r="E5574">
        <v>20301</v>
      </c>
      <c r="F5574" t="s">
        <v>4944</v>
      </c>
      <c r="G5574">
        <v>2223</v>
      </c>
      <c r="H5574">
        <v>9</v>
      </c>
      <c r="I5574" t="s">
        <v>4738</v>
      </c>
      <c r="J5574" t="s">
        <v>5191</v>
      </c>
      <c r="K5574" t="s">
        <v>730</v>
      </c>
      <c r="L5574">
        <v>33.08</v>
      </c>
      <c r="M5574" s="452">
        <v>45646</v>
      </c>
      <c r="N5574">
        <v>33.07</v>
      </c>
      <c r="O5574">
        <v>32.99</v>
      </c>
      <c r="P5574">
        <v>297.72000000000003</v>
      </c>
    </row>
    <row r="5575" spans="1:16" x14ac:dyDescent="0.3">
      <c r="A5575">
        <v>12257</v>
      </c>
      <c r="B5575">
        <v>105</v>
      </c>
      <c r="C5575" t="s">
        <v>557</v>
      </c>
      <c r="D5575" s="452">
        <v>45658</v>
      </c>
      <c r="E5575">
        <v>24226</v>
      </c>
      <c r="F5575" t="s">
        <v>4795</v>
      </c>
      <c r="G5575">
        <v>3647</v>
      </c>
      <c r="H5575">
        <v>46</v>
      </c>
      <c r="I5575" t="s">
        <v>4736</v>
      </c>
      <c r="J5575" t="s">
        <v>5222</v>
      </c>
      <c r="K5575" t="s">
        <v>730</v>
      </c>
      <c r="L5575">
        <v>0</v>
      </c>
      <c r="M5575" s="452">
        <v>45532</v>
      </c>
      <c r="N5575">
        <v>6.42</v>
      </c>
      <c r="O5575">
        <v>6.82</v>
      </c>
      <c r="P5575">
        <v>295.32</v>
      </c>
    </row>
    <row r="5576" spans="1:16" x14ac:dyDescent="0.3">
      <c r="A5576">
        <v>12148</v>
      </c>
      <c r="B5576">
        <v>105</v>
      </c>
      <c r="C5576" t="s">
        <v>557</v>
      </c>
      <c r="D5576" s="452">
        <v>45658</v>
      </c>
      <c r="E5576">
        <v>25130</v>
      </c>
      <c r="F5576" t="s">
        <v>5476</v>
      </c>
      <c r="G5576">
        <v>5907</v>
      </c>
      <c r="H5576">
        <v>8.1999999999999993</v>
      </c>
      <c r="I5576" t="s">
        <v>4744</v>
      </c>
      <c r="J5576" t="s">
        <v>5191</v>
      </c>
      <c r="K5576" t="s">
        <v>730</v>
      </c>
      <c r="L5576">
        <v>0</v>
      </c>
      <c r="M5576" s="452">
        <v>-693593</v>
      </c>
      <c r="N5576">
        <v>0</v>
      </c>
      <c r="O5576">
        <v>36</v>
      </c>
      <c r="P5576">
        <v>295.2</v>
      </c>
    </row>
    <row r="5577" spans="1:16" x14ac:dyDescent="0.3">
      <c r="A5577">
        <v>12204</v>
      </c>
      <c r="B5577">
        <v>105</v>
      </c>
      <c r="C5577" t="s">
        <v>557</v>
      </c>
      <c r="D5577" s="452">
        <v>45658</v>
      </c>
      <c r="E5577">
        <v>17886</v>
      </c>
      <c r="F5577" t="s">
        <v>5083</v>
      </c>
      <c r="G5577">
        <v>3670</v>
      </c>
      <c r="H5577">
        <v>11</v>
      </c>
      <c r="I5577" t="s">
        <v>4738</v>
      </c>
      <c r="J5577" t="s">
        <v>5222</v>
      </c>
      <c r="K5577" t="s">
        <v>730</v>
      </c>
      <c r="L5577">
        <v>26.28</v>
      </c>
      <c r="M5577" s="452">
        <v>45653</v>
      </c>
      <c r="N5577">
        <v>26.28</v>
      </c>
      <c r="O5577">
        <v>26.28</v>
      </c>
      <c r="P5577">
        <v>289.08</v>
      </c>
    </row>
    <row r="5578" spans="1:16" x14ac:dyDescent="0.3">
      <c r="A5578">
        <v>12145</v>
      </c>
      <c r="B5578">
        <v>105</v>
      </c>
      <c r="C5578" t="s">
        <v>557</v>
      </c>
      <c r="D5578" s="452">
        <v>45658</v>
      </c>
      <c r="E5578">
        <v>18708</v>
      </c>
      <c r="F5578" t="s">
        <v>5573</v>
      </c>
      <c r="G5578">
        <v>3033</v>
      </c>
      <c r="H5578">
        <v>10.15</v>
      </c>
      <c r="I5578" t="s">
        <v>4744</v>
      </c>
      <c r="J5578" t="s">
        <v>5191</v>
      </c>
      <c r="K5578" t="s">
        <v>730</v>
      </c>
      <c r="L5578">
        <v>28.45</v>
      </c>
      <c r="M5578" s="452">
        <v>45629</v>
      </c>
      <c r="N5578">
        <v>28.45</v>
      </c>
      <c r="O5578">
        <v>28.45</v>
      </c>
      <c r="P5578">
        <v>288.77</v>
      </c>
    </row>
    <row r="5579" spans="1:16" x14ac:dyDescent="0.3">
      <c r="A5579">
        <v>12073</v>
      </c>
      <c r="B5579">
        <v>105</v>
      </c>
      <c r="C5579" t="s">
        <v>557</v>
      </c>
      <c r="D5579" s="452">
        <v>45658</v>
      </c>
      <c r="E5579">
        <v>24351</v>
      </c>
      <c r="F5579" t="s">
        <v>5014</v>
      </c>
      <c r="G5579">
        <v>2287</v>
      </c>
      <c r="H5579">
        <v>24</v>
      </c>
      <c r="I5579" t="s">
        <v>4736</v>
      </c>
      <c r="J5579" t="s">
        <v>5191</v>
      </c>
      <c r="K5579" t="s">
        <v>730</v>
      </c>
      <c r="L5579">
        <v>0</v>
      </c>
      <c r="M5579" s="452">
        <v>45546</v>
      </c>
      <c r="N5579">
        <v>12</v>
      </c>
      <c r="O5579">
        <v>16.899999999999999</v>
      </c>
      <c r="P5579">
        <v>288</v>
      </c>
    </row>
    <row r="5580" spans="1:16" x14ac:dyDescent="0.3">
      <c r="A5580">
        <v>12238</v>
      </c>
      <c r="B5580">
        <v>105</v>
      </c>
      <c r="C5580" t="s">
        <v>557</v>
      </c>
      <c r="D5580" s="452">
        <v>45658</v>
      </c>
      <c r="E5580">
        <v>21000</v>
      </c>
      <c r="F5580" t="s">
        <v>4818</v>
      </c>
      <c r="G5580">
        <v>2008</v>
      </c>
      <c r="H5580">
        <v>18</v>
      </c>
      <c r="I5580" t="s">
        <v>4736</v>
      </c>
      <c r="J5580" t="s">
        <v>5191</v>
      </c>
      <c r="K5580" t="s">
        <v>730</v>
      </c>
      <c r="L5580">
        <v>16</v>
      </c>
      <c r="M5580" s="452">
        <v>45646</v>
      </c>
      <c r="N5580">
        <v>16.899999999999999</v>
      </c>
      <c r="O5580">
        <v>16.899999999999999</v>
      </c>
      <c r="P5580">
        <v>288</v>
      </c>
    </row>
    <row r="5581" spans="1:16" x14ac:dyDescent="0.3">
      <c r="A5581">
        <v>12000</v>
      </c>
      <c r="B5581">
        <v>105</v>
      </c>
      <c r="C5581" t="s">
        <v>557</v>
      </c>
      <c r="D5581" s="452">
        <v>45658</v>
      </c>
      <c r="E5581">
        <v>18491</v>
      </c>
      <c r="F5581" t="s">
        <v>4839</v>
      </c>
      <c r="G5581">
        <v>3166</v>
      </c>
      <c r="H5581">
        <v>8</v>
      </c>
      <c r="I5581" t="s">
        <v>4805</v>
      </c>
      <c r="J5581" t="s">
        <v>5222</v>
      </c>
      <c r="K5581" t="s">
        <v>730</v>
      </c>
      <c r="L5581">
        <v>0</v>
      </c>
      <c r="M5581" s="452">
        <v>45555</v>
      </c>
      <c r="N5581">
        <v>35.9</v>
      </c>
      <c r="O5581">
        <v>35.9</v>
      </c>
      <c r="P5581">
        <v>287.2</v>
      </c>
    </row>
    <row r="5582" spans="1:16" x14ac:dyDescent="0.3">
      <c r="A5582">
        <v>12199</v>
      </c>
      <c r="B5582">
        <v>105</v>
      </c>
      <c r="C5582" t="s">
        <v>557</v>
      </c>
      <c r="D5582" s="452">
        <v>45658</v>
      </c>
      <c r="E5582">
        <v>17958</v>
      </c>
      <c r="F5582" t="s">
        <v>5076</v>
      </c>
      <c r="G5582">
        <v>3622</v>
      </c>
      <c r="H5582">
        <v>19</v>
      </c>
      <c r="I5582" t="s">
        <v>4738</v>
      </c>
      <c r="J5582" t="s">
        <v>5222</v>
      </c>
      <c r="K5582" t="s">
        <v>730</v>
      </c>
      <c r="L5582">
        <v>14.76</v>
      </c>
      <c r="M5582" s="452">
        <v>45653</v>
      </c>
      <c r="N5582">
        <v>14.76</v>
      </c>
      <c r="O5582">
        <v>14.76</v>
      </c>
      <c r="P5582">
        <v>280.44</v>
      </c>
    </row>
    <row r="5583" spans="1:16" x14ac:dyDescent="0.3">
      <c r="A5583">
        <v>12183</v>
      </c>
      <c r="B5583">
        <v>105</v>
      </c>
      <c r="C5583" t="s">
        <v>557</v>
      </c>
      <c r="D5583" s="452">
        <v>45658</v>
      </c>
      <c r="E5583">
        <v>20809</v>
      </c>
      <c r="F5583" t="s">
        <v>4822</v>
      </c>
      <c r="G5583">
        <v>2074</v>
      </c>
      <c r="H5583">
        <v>12</v>
      </c>
      <c r="I5583" t="s">
        <v>4738</v>
      </c>
      <c r="J5583" t="s">
        <v>5191</v>
      </c>
      <c r="K5583" t="s">
        <v>730</v>
      </c>
      <c r="L5583">
        <v>22.99</v>
      </c>
      <c r="M5583" s="452">
        <v>45653</v>
      </c>
      <c r="N5583">
        <v>24.21</v>
      </c>
      <c r="O5583">
        <v>24.21</v>
      </c>
      <c r="P5583">
        <v>275.88</v>
      </c>
    </row>
    <row r="5584" spans="1:16" x14ac:dyDescent="0.3">
      <c r="A5584">
        <v>12215</v>
      </c>
      <c r="B5584">
        <v>105</v>
      </c>
      <c r="C5584" t="s">
        <v>557</v>
      </c>
      <c r="D5584" s="452">
        <v>45658</v>
      </c>
      <c r="E5584">
        <v>24192</v>
      </c>
      <c r="F5584" t="s">
        <v>4772</v>
      </c>
      <c r="G5584">
        <v>3099</v>
      </c>
      <c r="H5584">
        <v>44</v>
      </c>
      <c r="I5584" t="s">
        <v>4736</v>
      </c>
      <c r="J5584" t="s">
        <v>5222</v>
      </c>
      <c r="K5584" t="s">
        <v>730</v>
      </c>
      <c r="L5584">
        <v>6.12</v>
      </c>
      <c r="M5584" s="452">
        <v>45636</v>
      </c>
      <c r="N5584">
        <v>0</v>
      </c>
      <c r="O5584">
        <v>0</v>
      </c>
      <c r="P5584">
        <v>269.27999999999997</v>
      </c>
    </row>
    <row r="5585" spans="1:16" x14ac:dyDescent="0.3">
      <c r="A5585">
        <v>12201</v>
      </c>
      <c r="B5585">
        <v>105</v>
      </c>
      <c r="C5585" t="s">
        <v>557</v>
      </c>
      <c r="D5585" s="452">
        <v>45658</v>
      </c>
      <c r="E5585">
        <v>17905</v>
      </c>
      <c r="F5585" t="s">
        <v>5085</v>
      </c>
      <c r="G5585">
        <v>3656</v>
      </c>
      <c r="H5585">
        <v>10</v>
      </c>
      <c r="I5585" t="s">
        <v>4738</v>
      </c>
      <c r="J5585" t="s">
        <v>5222</v>
      </c>
      <c r="K5585" t="s">
        <v>730</v>
      </c>
      <c r="L5585">
        <v>0</v>
      </c>
      <c r="M5585" s="452">
        <v>45653</v>
      </c>
      <c r="N5585">
        <v>0</v>
      </c>
      <c r="O5585">
        <v>0</v>
      </c>
      <c r="P5585">
        <v>262.8</v>
      </c>
    </row>
    <row r="5586" spans="1:16" x14ac:dyDescent="0.3">
      <c r="A5586">
        <v>12203</v>
      </c>
      <c r="B5586">
        <v>105</v>
      </c>
      <c r="C5586" t="s">
        <v>557</v>
      </c>
      <c r="D5586" s="452">
        <v>45658</v>
      </c>
      <c r="E5586">
        <v>17895</v>
      </c>
      <c r="F5586" t="s">
        <v>5086</v>
      </c>
      <c r="G5586">
        <v>3665</v>
      </c>
      <c r="H5586">
        <v>10</v>
      </c>
      <c r="I5586" t="s">
        <v>4738</v>
      </c>
      <c r="J5586" t="s">
        <v>5222</v>
      </c>
      <c r="K5586" t="s">
        <v>730</v>
      </c>
      <c r="L5586">
        <v>26.28</v>
      </c>
      <c r="M5586" s="452">
        <v>45653</v>
      </c>
      <c r="N5586">
        <v>26.28</v>
      </c>
      <c r="O5586">
        <v>26.28</v>
      </c>
      <c r="P5586">
        <v>262.8</v>
      </c>
    </row>
    <row r="5587" spans="1:16" x14ac:dyDescent="0.3">
      <c r="A5587">
        <v>12153</v>
      </c>
      <c r="B5587">
        <v>105</v>
      </c>
      <c r="C5587" t="s">
        <v>557</v>
      </c>
      <c r="D5587" s="452">
        <v>45658</v>
      </c>
      <c r="E5587">
        <v>19045</v>
      </c>
      <c r="F5587" t="s">
        <v>5630</v>
      </c>
      <c r="G5587">
        <v>2889</v>
      </c>
      <c r="H5587">
        <v>8.1999999999999993</v>
      </c>
      <c r="I5587" t="s">
        <v>4744</v>
      </c>
      <c r="J5587" t="s">
        <v>5191</v>
      </c>
      <c r="K5587" t="s">
        <v>730</v>
      </c>
      <c r="L5587">
        <v>0</v>
      </c>
      <c r="M5587" s="452">
        <v>45553</v>
      </c>
      <c r="N5587">
        <v>31.88</v>
      </c>
      <c r="O5587">
        <v>31.88</v>
      </c>
      <c r="P5587">
        <v>261.42</v>
      </c>
    </row>
    <row r="5588" spans="1:16" x14ac:dyDescent="0.3">
      <c r="A5588">
        <v>12123</v>
      </c>
      <c r="B5588">
        <v>105</v>
      </c>
      <c r="C5588" t="s">
        <v>557</v>
      </c>
      <c r="D5588" s="452">
        <v>45658</v>
      </c>
      <c r="E5588">
        <v>19732</v>
      </c>
      <c r="F5588" t="s">
        <v>5584</v>
      </c>
      <c r="G5588">
        <v>2521</v>
      </c>
      <c r="H5588">
        <v>21.69</v>
      </c>
      <c r="I5588" t="s">
        <v>4744</v>
      </c>
      <c r="J5588" t="s">
        <v>5191</v>
      </c>
      <c r="K5588" t="s">
        <v>730</v>
      </c>
      <c r="L5588">
        <v>11.7</v>
      </c>
      <c r="M5588" s="452">
        <v>45653</v>
      </c>
      <c r="N5588">
        <v>13.5</v>
      </c>
      <c r="O5588">
        <v>13.5</v>
      </c>
      <c r="P5588">
        <v>253.77</v>
      </c>
    </row>
    <row r="5589" spans="1:16" x14ac:dyDescent="0.3">
      <c r="A5589">
        <v>12258</v>
      </c>
      <c r="B5589">
        <v>105</v>
      </c>
      <c r="C5589" t="s">
        <v>557</v>
      </c>
      <c r="D5589" s="452">
        <v>45658</v>
      </c>
      <c r="E5589">
        <v>24227</v>
      </c>
      <c r="F5589" t="s">
        <v>4806</v>
      </c>
      <c r="G5589">
        <v>3648</v>
      </c>
      <c r="H5589">
        <v>39</v>
      </c>
      <c r="I5589" t="s">
        <v>4736</v>
      </c>
      <c r="J5589" t="s">
        <v>5222</v>
      </c>
      <c r="K5589" t="s">
        <v>730</v>
      </c>
      <c r="L5589">
        <v>0</v>
      </c>
      <c r="M5589" s="452">
        <v>45393</v>
      </c>
      <c r="N5589">
        <v>6.42</v>
      </c>
      <c r="O5589">
        <v>7.66</v>
      </c>
      <c r="P5589">
        <v>250.38</v>
      </c>
    </row>
    <row r="5590" spans="1:16" x14ac:dyDescent="0.3">
      <c r="A5590">
        <v>12247</v>
      </c>
      <c r="B5590">
        <v>105</v>
      </c>
      <c r="C5590" t="s">
        <v>557</v>
      </c>
      <c r="D5590" s="452">
        <v>45658</v>
      </c>
      <c r="E5590">
        <v>19364</v>
      </c>
      <c r="F5590" t="s">
        <v>5599</v>
      </c>
      <c r="G5590">
        <v>2767</v>
      </c>
      <c r="H5590">
        <v>2.12</v>
      </c>
      <c r="I5590" t="s">
        <v>4736</v>
      </c>
      <c r="J5590" t="s">
        <v>5191</v>
      </c>
      <c r="K5590" t="s">
        <v>730</v>
      </c>
      <c r="L5590">
        <v>0</v>
      </c>
      <c r="M5590" s="452">
        <v>45565</v>
      </c>
      <c r="N5590">
        <v>115.55</v>
      </c>
      <c r="O5590">
        <v>45.85</v>
      </c>
      <c r="P5590">
        <v>244.97</v>
      </c>
    </row>
    <row r="5591" spans="1:16" x14ac:dyDescent="0.3">
      <c r="A5591">
        <v>12030</v>
      </c>
      <c r="B5591">
        <v>105</v>
      </c>
      <c r="C5591" t="s">
        <v>557</v>
      </c>
      <c r="D5591" s="452">
        <v>45658</v>
      </c>
      <c r="E5591">
        <v>18114</v>
      </c>
      <c r="F5591" t="s">
        <v>5046</v>
      </c>
      <c r="G5591">
        <v>3498</v>
      </c>
      <c r="H5591">
        <v>0.93</v>
      </c>
      <c r="I5591" t="s">
        <v>4805</v>
      </c>
      <c r="J5591" t="s">
        <v>5222</v>
      </c>
      <c r="K5591" t="s">
        <v>730</v>
      </c>
      <c r="L5591">
        <v>0</v>
      </c>
      <c r="M5591" s="452">
        <v>-693593</v>
      </c>
      <c r="N5591">
        <v>0</v>
      </c>
      <c r="O5591">
        <v>240</v>
      </c>
      <c r="P5591">
        <v>243.39</v>
      </c>
    </row>
    <row r="5592" spans="1:16" x14ac:dyDescent="0.3">
      <c r="A5592">
        <v>12046</v>
      </c>
      <c r="B5592">
        <v>105</v>
      </c>
      <c r="C5592" t="s">
        <v>557</v>
      </c>
      <c r="D5592" s="452">
        <v>45658</v>
      </c>
      <c r="E5592">
        <v>17062</v>
      </c>
      <c r="F5592" t="s">
        <v>4880</v>
      </c>
      <c r="G5592">
        <v>1954</v>
      </c>
      <c r="H5592">
        <v>6.75</v>
      </c>
      <c r="I5592" t="s">
        <v>4879</v>
      </c>
      <c r="J5592" t="s">
        <v>5191</v>
      </c>
      <c r="K5592" t="s">
        <v>730</v>
      </c>
      <c r="L5592">
        <v>0</v>
      </c>
      <c r="M5592" s="452">
        <v>-693593</v>
      </c>
      <c r="N5592">
        <v>0</v>
      </c>
      <c r="O5592">
        <v>0</v>
      </c>
      <c r="P5592">
        <v>241.72</v>
      </c>
    </row>
    <row r="5593" spans="1:16" x14ac:dyDescent="0.3">
      <c r="A5593">
        <v>12034</v>
      </c>
      <c r="B5593">
        <v>105</v>
      </c>
      <c r="C5593" t="s">
        <v>557</v>
      </c>
      <c r="D5593" s="452">
        <v>45658</v>
      </c>
      <c r="E5593">
        <v>18030</v>
      </c>
      <c r="F5593" t="s">
        <v>4840</v>
      </c>
      <c r="G5593">
        <v>3568</v>
      </c>
      <c r="H5593">
        <v>8</v>
      </c>
      <c r="I5593" t="s">
        <v>4805</v>
      </c>
      <c r="J5593" t="s">
        <v>5222</v>
      </c>
      <c r="K5593" t="s">
        <v>730</v>
      </c>
      <c r="L5593">
        <v>30.08</v>
      </c>
      <c r="M5593" s="452">
        <v>45644</v>
      </c>
      <c r="N5593">
        <v>26.5</v>
      </c>
      <c r="O5593">
        <v>26.6</v>
      </c>
      <c r="P5593">
        <v>240.64</v>
      </c>
    </row>
    <row r="5594" spans="1:16" x14ac:dyDescent="0.3">
      <c r="A5594">
        <v>12192</v>
      </c>
      <c r="B5594">
        <v>105</v>
      </c>
      <c r="C5594" t="s">
        <v>557</v>
      </c>
      <c r="D5594" s="452">
        <v>45658</v>
      </c>
      <c r="E5594">
        <v>20525</v>
      </c>
      <c r="F5594" t="s">
        <v>5631</v>
      </c>
      <c r="G5594">
        <v>2146</v>
      </c>
      <c r="H5594">
        <v>9.1</v>
      </c>
      <c r="I5594" t="s">
        <v>4738</v>
      </c>
      <c r="J5594" t="s">
        <v>5191</v>
      </c>
      <c r="K5594" t="s">
        <v>730</v>
      </c>
      <c r="L5594">
        <v>0</v>
      </c>
      <c r="M5594" s="452">
        <v>45601</v>
      </c>
      <c r="N5594">
        <v>26.44</v>
      </c>
      <c r="O5594">
        <v>18.899999999999999</v>
      </c>
      <c r="P5594">
        <v>240.6</v>
      </c>
    </row>
    <row r="5595" spans="1:16" x14ac:dyDescent="0.3">
      <c r="A5595">
        <v>12236</v>
      </c>
      <c r="B5595">
        <v>105</v>
      </c>
      <c r="C5595" t="s">
        <v>557</v>
      </c>
      <c r="D5595" s="452">
        <v>45658</v>
      </c>
      <c r="E5595">
        <v>19966</v>
      </c>
      <c r="F5595" t="s">
        <v>5602</v>
      </c>
      <c r="G5595">
        <v>2356</v>
      </c>
      <c r="H5595">
        <v>5.12</v>
      </c>
      <c r="I5595" t="s">
        <v>4736</v>
      </c>
      <c r="J5595" t="s">
        <v>5191</v>
      </c>
      <c r="K5595" t="s">
        <v>730</v>
      </c>
      <c r="L5595">
        <v>45.7</v>
      </c>
      <c r="M5595" s="452">
        <v>45646</v>
      </c>
      <c r="N5595">
        <v>45.9</v>
      </c>
      <c r="O5595">
        <v>45.9</v>
      </c>
      <c r="P5595">
        <v>233.98</v>
      </c>
    </row>
    <row r="5596" spans="1:16" x14ac:dyDescent="0.3">
      <c r="A5596">
        <v>12045</v>
      </c>
      <c r="B5596">
        <v>105</v>
      </c>
      <c r="C5596" t="s">
        <v>557</v>
      </c>
      <c r="D5596" s="452">
        <v>45658</v>
      </c>
      <c r="E5596">
        <v>21150</v>
      </c>
      <c r="F5596" t="s">
        <v>4878</v>
      </c>
      <c r="G5596">
        <v>1951</v>
      </c>
      <c r="H5596">
        <v>2.1</v>
      </c>
      <c r="I5596" t="s">
        <v>4879</v>
      </c>
      <c r="J5596" t="s">
        <v>5191</v>
      </c>
      <c r="K5596" t="s">
        <v>730</v>
      </c>
      <c r="L5596">
        <v>0</v>
      </c>
      <c r="M5596" s="452">
        <v>45469</v>
      </c>
      <c r="N5596">
        <v>106.9</v>
      </c>
      <c r="O5596">
        <v>113.31</v>
      </c>
      <c r="P5596">
        <v>224.49</v>
      </c>
    </row>
    <row r="5597" spans="1:16" x14ac:dyDescent="0.3">
      <c r="A5597">
        <v>12144</v>
      </c>
      <c r="B5597">
        <v>105</v>
      </c>
      <c r="C5597" t="s">
        <v>557</v>
      </c>
      <c r="D5597" s="452">
        <v>45658</v>
      </c>
      <c r="E5597">
        <v>18932</v>
      </c>
      <c r="F5597" t="s">
        <v>5580</v>
      </c>
      <c r="G5597">
        <v>2930</v>
      </c>
      <c r="H5597">
        <v>7.45</v>
      </c>
      <c r="I5597" t="s">
        <v>4744</v>
      </c>
      <c r="J5597" t="s">
        <v>5191</v>
      </c>
      <c r="K5597" t="s">
        <v>730</v>
      </c>
      <c r="L5597">
        <v>0</v>
      </c>
      <c r="M5597" s="452">
        <v>45499</v>
      </c>
      <c r="N5597">
        <v>0</v>
      </c>
      <c r="O5597">
        <v>0</v>
      </c>
      <c r="P5597">
        <v>223.35</v>
      </c>
    </row>
    <row r="5598" spans="1:16" x14ac:dyDescent="0.3">
      <c r="A5598">
        <v>12054</v>
      </c>
      <c r="B5598">
        <v>105</v>
      </c>
      <c r="C5598" t="s">
        <v>557</v>
      </c>
      <c r="D5598" s="452">
        <v>45658</v>
      </c>
      <c r="E5598">
        <v>20044</v>
      </c>
      <c r="F5598" t="s">
        <v>4932</v>
      </c>
      <c r="G5598">
        <v>2329</v>
      </c>
      <c r="H5598">
        <v>10.57</v>
      </c>
      <c r="I5598" t="s">
        <v>4744</v>
      </c>
      <c r="J5598" t="s">
        <v>5191</v>
      </c>
      <c r="K5598" t="s">
        <v>730</v>
      </c>
      <c r="L5598">
        <v>21</v>
      </c>
      <c r="M5598" s="452">
        <v>45639</v>
      </c>
      <c r="N5598">
        <v>21</v>
      </c>
      <c r="O5598">
        <v>21</v>
      </c>
      <c r="P5598">
        <v>221.97</v>
      </c>
    </row>
    <row r="5599" spans="1:16" x14ac:dyDescent="0.3">
      <c r="A5599">
        <v>12220</v>
      </c>
      <c r="B5599">
        <v>105</v>
      </c>
      <c r="C5599" t="s">
        <v>557</v>
      </c>
      <c r="D5599" s="452">
        <v>45658</v>
      </c>
      <c r="E5599">
        <v>20756</v>
      </c>
      <c r="F5599" t="s">
        <v>5001</v>
      </c>
      <c r="G5599">
        <v>2086</v>
      </c>
      <c r="H5599">
        <v>2.8</v>
      </c>
      <c r="I5599" t="s">
        <v>4736</v>
      </c>
      <c r="J5599" t="s">
        <v>5191</v>
      </c>
      <c r="K5599" t="s">
        <v>730</v>
      </c>
      <c r="L5599">
        <v>0</v>
      </c>
      <c r="M5599" s="452">
        <v>45607</v>
      </c>
      <c r="N5599">
        <v>79.2</v>
      </c>
      <c r="O5599">
        <v>78.900000000000006</v>
      </c>
      <c r="P5599">
        <v>221.76</v>
      </c>
    </row>
    <row r="5600" spans="1:16" x14ac:dyDescent="0.3">
      <c r="A5600">
        <v>12226</v>
      </c>
      <c r="B5600">
        <v>105</v>
      </c>
      <c r="C5600" t="s">
        <v>557</v>
      </c>
      <c r="D5600" s="452">
        <v>45658</v>
      </c>
      <c r="E5600">
        <v>20060</v>
      </c>
      <c r="F5600" t="s">
        <v>5539</v>
      </c>
      <c r="G5600">
        <v>2324</v>
      </c>
      <c r="H5600">
        <v>6.25</v>
      </c>
      <c r="I5600" t="s">
        <v>4736</v>
      </c>
      <c r="J5600" t="s">
        <v>5191</v>
      </c>
      <c r="K5600" t="s">
        <v>730</v>
      </c>
      <c r="L5600">
        <v>35.229999999999997</v>
      </c>
      <c r="M5600" s="452">
        <v>45646</v>
      </c>
      <c r="N5600">
        <v>34.9</v>
      </c>
      <c r="O5600">
        <v>34.9</v>
      </c>
      <c r="P5600">
        <v>220.19</v>
      </c>
    </row>
    <row r="5601" spans="1:16" x14ac:dyDescent="0.3">
      <c r="A5601">
        <v>12115</v>
      </c>
      <c r="B5601">
        <v>105</v>
      </c>
      <c r="C5601" t="s">
        <v>557</v>
      </c>
      <c r="D5601" s="452">
        <v>45658</v>
      </c>
      <c r="E5601">
        <v>19756</v>
      </c>
      <c r="F5601" t="s">
        <v>4754</v>
      </c>
      <c r="G5601">
        <v>2497</v>
      </c>
      <c r="H5601">
        <v>39.549999999999997</v>
      </c>
      <c r="I5601" t="s">
        <v>4744</v>
      </c>
      <c r="J5601" t="s">
        <v>5191</v>
      </c>
      <c r="K5601" t="s">
        <v>730</v>
      </c>
      <c r="L5601">
        <v>5.54</v>
      </c>
      <c r="M5601" s="452">
        <v>45653</v>
      </c>
      <c r="N5601">
        <v>5.5</v>
      </c>
      <c r="O5601">
        <v>7.74</v>
      </c>
      <c r="P5601">
        <v>219.11</v>
      </c>
    </row>
    <row r="5602" spans="1:16" x14ac:dyDescent="0.3">
      <c r="A5602">
        <v>12029</v>
      </c>
      <c r="B5602">
        <v>105</v>
      </c>
      <c r="C5602" t="s">
        <v>557</v>
      </c>
      <c r="D5602" s="452">
        <v>45658</v>
      </c>
      <c r="E5602">
        <v>18116</v>
      </c>
      <c r="F5602" t="s">
        <v>5045</v>
      </c>
      <c r="G5602">
        <v>3496</v>
      </c>
      <c r="H5602">
        <v>2</v>
      </c>
      <c r="I5602" t="s">
        <v>4805</v>
      </c>
      <c r="J5602" t="s">
        <v>5222</v>
      </c>
      <c r="K5602" t="s">
        <v>730</v>
      </c>
      <c r="L5602">
        <v>0</v>
      </c>
      <c r="M5602" s="452">
        <v>-693593</v>
      </c>
      <c r="N5602">
        <v>0</v>
      </c>
      <c r="O5602">
        <v>0</v>
      </c>
      <c r="P5602">
        <v>214</v>
      </c>
    </row>
    <row r="5603" spans="1:16" x14ac:dyDescent="0.3">
      <c r="A5603">
        <v>12071</v>
      </c>
      <c r="B5603">
        <v>105</v>
      </c>
      <c r="C5603" t="s">
        <v>557</v>
      </c>
      <c r="D5603" s="452">
        <v>45658</v>
      </c>
      <c r="E5603">
        <v>24339</v>
      </c>
      <c r="F5603" t="s">
        <v>4885</v>
      </c>
      <c r="G5603">
        <v>2153</v>
      </c>
      <c r="H5603">
        <v>8.15</v>
      </c>
      <c r="I5603" t="s">
        <v>4744</v>
      </c>
      <c r="J5603" t="s">
        <v>5191</v>
      </c>
      <c r="K5603" t="s">
        <v>730</v>
      </c>
      <c r="L5603">
        <v>0</v>
      </c>
      <c r="M5603" s="452">
        <v>45490</v>
      </c>
      <c r="N5603">
        <v>25.9</v>
      </c>
      <c r="O5603">
        <v>39.9</v>
      </c>
      <c r="P5603">
        <v>211.08</v>
      </c>
    </row>
    <row r="5604" spans="1:16" x14ac:dyDescent="0.3">
      <c r="A5604">
        <v>11999</v>
      </c>
      <c r="B5604">
        <v>105</v>
      </c>
      <c r="C5604" t="s">
        <v>557</v>
      </c>
      <c r="D5604" s="452">
        <v>45658</v>
      </c>
      <c r="E5604">
        <v>18493</v>
      </c>
      <c r="F5604" t="s">
        <v>5553</v>
      </c>
      <c r="G5604">
        <v>3164</v>
      </c>
      <c r="H5604">
        <v>3</v>
      </c>
      <c r="I5604" t="s">
        <v>4805</v>
      </c>
      <c r="J5604" t="s">
        <v>5222</v>
      </c>
      <c r="K5604" t="s">
        <v>730</v>
      </c>
      <c r="L5604">
        <v>0</v>
      </c>
      <c r="M5604" s="452">
        <v>-693593</v>
      </c>
      <c r="N5604">
        <v>0</v>
      </c>
      <c r="O5604">
        <v>69.900000000000006</v>
      </c>
      <c r="P5604">
        <v>209.7</v>
      </c>
    </row>
    <row r="5605" spans="1:16" x14ac:dyDescent="0.3">
      <c r="A5605">
        <v>12017</v>
      </c>
      <c r="B5605">
        <v>105</v>
      </c>
      <c r="C5605" t="s">
        <v>557</v>
      </c>
      <c r="D5605" s="452">
        <v>45658</v>
      </c>
      <c r="E5605">
        <v>18232</v>
      </c>
      <c r="F5605" t="s">
        <v>4971</v>
      </c>
      <c r="G5605">
        <v>3396</v>
      </c>
      <c r="H5605">
        <v>2</v>
      </c>
      <c r="I5605" t="s">
        <v>4805</v>
      </c>
      <c r="J5605" t="s">
        <v>5222</v>
      </c>
      <c r="K5605" t="s">
        <v>730</v>
      </c>
      <c r="L5605">
        <v>100.88</v>
      </c>
      <c r="M5605" s="452">
        <v>45652</v>
      </c>
      <c r="N5605">
        <v>100.88</v>
      </c>
      <c r="O5605">
        <v>100.88</v>
      </c>
      <c r="P5605">
        <v>201.76</v>
      </c>
    </row>
    <row r="5606" spans="1:16" x14ac:dyDescent="0.3">
      <c r="A5606">
        <v>12069</v>
      </c>
      <c r="B5606">
        <v>105</v>
      </c>
      <c r="C5606" t="s">
        <v>557</v>
      </c>
      <c r="D5606" s="452">
        <v>45658</v>
      </c>
      <c r="E5606">
        <v>20544</v>
      </c>
      <c r="F5606" t="s">
        <v>4808</v>
      </c>
      <c r="G5606">
        <v>2144</v>
      </c>
      <c r="H5606">
        <v>5.26</v>
      </c>
      <c r="I5606" t="s">
        <v>4744</v>
      </c>
      <c r="J5606" t="s">
        <v>5191</v>
      </c>
      <c r="K5606" t="s">
        <v>730</v>
      </c>
      <c r="L5606">
        <v>38.32</v>
      </c>
      <c r="M5606" s="452">
        <v>45657</v>
      </c>
      <c r="N5606">
        <v>38.32</v>
      </c>
      <c r="O5606">
        <v>38.32</v>
      </c>
      <c r="P5606">
        <v>201.56</v>
      </c>
    </row>
    <row r="5607" spans="1:16" x14ac:dyDescent="0.3">
      <c r="A5607">
        <v>12180</v>
      </c>
      <c r="B5607">
        <v>105</v>
      </c>
      <c r="C5607" t="s">
        <v>557</v>
      </c>
      <c r="D5607" s="452">
        <v>45658</v>
      </c>
      <c r="E5607">
        <v>21102</v>
      </c>
      <c r="F5607" t="s">
        <v>5596</v>
      </c>
      <c r="G5607">
        <v>1985</v>
      </c>
      <c r="H5607">
        <v>42.8</v>
      </c>
      <c r="I5607" t="s">
        <v>4738</v>
      </c>
      <c r="J5607" t="s">
        <v>5191</v>
      </c>
      <c r="K5607" t="s">
        <v>730</v>
      </c>
      <c r="L5607">
        <v>0</v>
      </c>
      <c r="M5607" s="452">
        <v>45372</v>
      </c>
      <c r="N5607">
        <v>4.6900000000000004</v>
      </c>
      <c r="O5607">
        <v>4.6900000000000004</v>
      </c>
      <c r="P5607">
        <v>200.73</v>
      </c>
    </row>
    <row r="5608" spans="1:16" x14ac:dyDescent="0.3">
      <c r="A5608">
        <v>11997</v>
      </c>
      <c r="B5608">
        <v>105</v>
      </c>
      <c r="C5608" t="s">
        <v>557</v>
      </c>
      <c r="D5608" s="452">
        <v>45658</v>
      </c>
      <c r="E5608">
        <v>18538</v>
      </c>
      <c r="F5608" t="s">
        <v>5030</v>
      </c>
      <c r="G5608">
        <v>3139</v>
      </c>
      <c r="H5608">
        <v>2</v>
      </c>
      <c r="I5608" t="s">
        <v>4805</v>
      </c>
      <c r="J5608" t="s">
        <v>5222</v>
      </c>
      <c r="K5608" t="s">
        <v>730</v>
      </c>
      <c r="L5608">
        <v>98.9</v>
      </c>
      <c r="M5608" s="452">
        <v>45653</v>
      </c>
      <c r="N5608">
        <v>98.9</v>
      </c>
      <c r="O5608">
        <v>98.9</v>
      </c>
      <c r="P5608">
        <v>197.8</v>
      </c>
    </row>
    <row r="5609" spans="1:16" x14ac:dyDescent="0.3">
      <c r="A5609">
        <v>11990</v>
      </c>
      <c r="B5609">
        <v>105</v>
      </c>
      <c r="C5609" t="s">
        <v>557</v>
      </c>
      <c r="D5609" s="452">
        <v>45658</v>
      </c>
      <c r="E5609">
        <v>19979</v>
      </c>
      <c r="F5609" t="s">
        <v>5270</v>
      </c>
      <c r="G5609">
        <v>2353</v>
      </c>
      <c r="H5609">
        <v>13</v>
      </c>
      <c r="I5609" t="s">
        <v>4888</v>
      </c>
      <c r="J5609" t="s">
        <v>5191</v>
      </c>
      <c r="K5609" t="s">
        <v>730</v>
      </c>
      <c r="L5609">
        <v>15.2</v>
      </c>
      <c r="M5609" s="452">
        <v>45631</v>
      </c>
      <c r="N5609">
        <v>15.2</v>
      </c>
      <c r="O5609">
        <v>15.5</v>
      </c>
      <c r="P5609">
        <v>197.6</v>
      </c>
    </row>
    <row r="5610" spans="1:16" x14ac:dyDescent="0.3">
      <c r="A5610">
        <v>12025</v>
      </c>
      <c r="B5610">
        <v>105</v>
      </c>
      <c r="C5610" t="s">
        <v>557</v>
      </c>
      <c r="D5610" s="452">
        <v>45658</v>
      </c>
      <c r="E5610">
        <v>18157</v>
      </c>
      <c r="F5610" t="s">
        <v>5041</v>
      </c>
      <c r="G5610">
        <v>3463</v>
      </c>
      <c r="H5610">
        <v>0.87</v>
      </c>
      <c r="I5610" t="s">
        <v>4805</v>
      </c>
      <c r="J5610" t="s">
        <v>5222</v>
      </c>
      <c r="K5610" t="s">
        <v>730</v>
      </c>
      <c r="L5610">
        <v>0</v>
      </c>
      <c r="M5610" s="452">
        <v>45519</v>
      </c>
      <c r="N5610">
        <v>224.31</v>
      </c>
      <c r="O5610">
        <v>217.38</v>
      </c>
      <c r="P5610">
        <v>195.15</v>
      </c>
    </row>
    <row r="5611" spans="1:16" x14ac:dyDescent="0.3">
      <c r="A5611">
        <v>12154</v>
      </c>
      <c r="B5611">
        <v>105</v>
      </c>
      <c r="C5611" t="s">
        <v>557</v>
      </c>
      <c r="D5611" s="452">
        <v>45658</v>
      </c>
      <c r="E5611">
        <v>24196</v>
      </c>
      <c r="F5611" t="s">
        <v>5547</v>
      </c>
      <c r="G5611">
        <v>2933</v>
      </c>
      <c r="H5611">
        <v>7.42</v>
      </c>
      <c r="I5611" t="s">
        <v>4744</v>
      </c>
      <c r="J5611" t="s">
        <v>5191</v>
      </c>
      <c r="K5611" t="s">
        <v>730</v>
      </c>
      <c r="L5611">
        <v>0</v>
      </c>
      <c r="M5611" s="452">
        <v>45545</v>
      </c>
      <c r="N5611">
        <v>25.9</v>
      </c>
      <c r="O5611">
        <v>21.9</v>
      </c>
      <c r="P5611">
        <v>192.15</v>
      </c>
    </row>
    <row r="5612" spans="1:16" x14ac:dyDescent="0.3">
      <c r="A5612">
        <v>12018</v>
      </c>
      <c r="B5612">
        <v>105</v>
      </c>
      <c r="C5612" t="s">
        <v>557</v>
      </c>
      <c r="D5612" s="452">
        <v>45658</v>
      </c>
      <c r="E5612">
        <v>18220</v>
      </c>
      <c r="F5612" t="s">
        <v>5147</v>
      </c>
      <c r="G5612">
        <v>3408</v>
      </c>
      <c r="H5612">
        <v>1</v>
      </c>
      <c r="I5612" t="s">
        <v>4805</v>
      </c>
      <c r="J5612" t="s">
        <v>5222</v>
      </c>
      <c r="K5612" t="s">
        <v>730</v>
      </c>
      <c r="L5612">
        <v>0</v>
      </c>
      <c r="M5612" s="452">
        <v>45436</v>
      </c>
      <c r="N5612">
        <v>190.7</v>
      </c>
      <c r="O5612">
        <v>134.68</v>
      </c>
      <c r="P5612">
        <v>190.7</v>
      </c>
    </row>
    <row r="5613" spans="1:16" x14ac:dyDescent="0.3">
      <c r="A5613">
        <v>12116</v>
      </c>
      <c r="B5613">
        <v>105</v>
      </c>
      <c r="C5613" t="s">
        <v>557</v>
      </c>
      <c r="D5613" s="452">
        <v>45658</v>
      </c>
      <c r="E5613">
        <v>19752</v>
      </c>
      <c r="F5613" t="s">
        <v>4807</v>
      </c>
      <c r="G5613">
        <v>2501</v>
      </c>
      <c r="H5613">
        <v>9.1</v>
      </c>
      <c r="I5613" t="s">
        <v>4744</v>
      </c>
      <c r="J5613" t="s">
        <v>5191</v>
      </c>
      <c r="K5613" t="s">
        <v>730</v>
      </c>
      <c r="L5613">
        <v>20.56</v>
      </c>
      <c r="M5613" s="452">
        <v>45653</v>
      </c>
      <c r="N5613">
        <v>25</v>
      </c>
      <c r="O5613">
        <v>16.8</v>
      </c>
      <c r="P5613">
        <v>187.1</v>
      </c>
    </row>
    <row r="5614" spans="1:16" x14ac:dyDescent="0.3">
      <c r="A5614">
        <v>14913</v>
      </c>
      <c r="B5614">
        <v>105</v>
      </c>
      <c r="C5614" t="s">
        <v>557</v>
      </c>
      <c r="D5614" s="452">
        <v>45658</v>
      </c>
      <c r="E5614">
        <v>26038</v>
      </c>
      <c r="F5614" t="s">
        <v>4976</v>
      </c>
      <c r="G5614">
        <v>6506</v>
      </c>
      <c r="H5614">
        <v>4</v>
      </c>
      <c r="I5614" t="s">
        <v>4805</v>
      </c>
      <c r="J5614" t="s">
        <v>5222</v>
      </c>
      <c r="K5614" t="s">
        <v>730</v>
      </c>
      <c r="L5614">
        <v>46.38</v>
      </c>
      <c r="M5614" s="452">
        <v>45638</v>
      </c>
      <c r="N5614">
        <v>46.38</v>
      </c>
      <c r="O5614">
        <v>46.38</v>
      </c>
      <c r="P5614">
        <v>185.52</v>
      </c>
    </row>
    <row r="5615" spans="1:16" x14ac:dyDescent="0.3">
      <c r="A5615">
        <v>12043</v>
      </c>
      <c r="B5615">
        <v>105</v>
      </c>
      <c r="C5615" t="s">
        <v>557</v>
      </c>
      <c r="D5615" s="452">
        <v>45658</v>
      </c>
      <c r="E5615">
        <v>24642</v>
      </c>
      <c r="F5615" t="s">
        <v>5460</v>
      </c>
      <c r="G5615">
        <v>5692</v>
      </c>
      <c r="H5615">
        <v>4</v>
      </c>
      <c r="I5615" t="s">
        <v>4805</v>
      </c>
      <c r="J5615" t="s">
        <v>5222</v>
      </c>
      <c r="K5615" t="s">
        <v>730</v>
      </c>
      <c r="L5615">
        <v>0</v>
      </c>
      <c r="M5615" s="452">
        <v>45596</v>
      </c>
      <c r="N5615">
        <v>46</v>
      </c>
      <c r="O5615">
        <v>46</v>
      </c>
      <c r="P5615">
        <v>184</v>
      </c>
    </row>
    <row r="5616" spans="1:16" x14ac:dyDescent="0.3">
      <c r="A5616">
        <v>12004</v>
      </c>
      <c r="B5616">
        <v>105</v>
      </c>
      <c r="C5616" t="s">
        <v>557</v>
      </c>
      <c r="D5616" s="452">
        <v>45658</v>
      </c>
      <c r="E5616">
        <v>18394</v>
      </c>
      <c r="F5616" t="s">
        <v>5032</v>
      </c>
      <c r="G5616">
        <v>3246</v>
      </c>
      <c r="H5616">
        <v>1</v>
      </c>
      <c r="I5616" t="s">
        <v>4805</v>
      </c>
      <c r="J5616" t="s">
        <v>5222</v>
      </c>
      <c r="K5616" t="s">
        <v>730</v>
      </c>
      <c r="L5616">
        <v>0</v>
      </c>
      <c r="M5616" s="452">
        <v>45589</v>
      </c>
      <c r="N5616">
        <v>182</v>
      </c>
      <c r="O5616">
        <v>179.9</v>
      </c>
      <c r="P5616">
        <v>182</v>
      </c>
    </row>
    <row r="5617" spans="1:16" x14ac:dyDescent="0.3">
      <c r="A5617">
        <v>14885</v>
      </c>
      <c r="B5617">
        <v>105</v>
      </c>
      <c r="C5617" t="s">
        <v>557</v>
      </c>
      <c r="D5617" s="452">
        <v>45658</v>
      </c>
      <c r="E5617">
        <v>26006</v>
      </c>
      <c r="F5617" t="s">
        <v>4941</v>
      </c>
      <c r="G5617">
        <v>6491</v>
      </c>
      <c r="H5617">
        <v>1.5</v>
      </c>
      <c r="I5617" t="s">
        <v>4749</v>
      </c>
      <c r="J5617" t="s">
        <v>5191</v>
      </c>
      <c r="K5617" t="s">
        <v>730</v>
      </c>
      <c r="L5617">
        <v>117.84</v>
      </c>
      <c r="M5617" s="452">
        <v>45653</v>
      </c>
      <c r="N5617">
        <v>117.84</v>
      </c>
      <c r="O5617">
        <v>117.84</v>
      </c>
      <c r="P5617">
        <v>176.76</v>
      </c>
    </row>
    <row r="5618" spans="1:16" x14ac:dyDescent="0.3">
      <c r="A5618">
        <v>14886</v>
      </c>
      <c r="B5618">
        <v>105</v>
      </c>
      <c r="C5618" t="s">
        <v>557</v>
      </c>
      <c r="D5618" s="452">
        <v>45658</v>
      </c>
      <c r="E5618">
        <v>26004</v>
      </c>
      <c r="F5618" t="s">
        <v>4907</v>
      </c>
      <c r="G5618">
        <v>6490</v>
      </c>
      <c r="H5618">
        <v>1.5</v>
      </c>
      <c r="I5618" t="s">
        <v>4749</v>
      </c>
      <c r="J5618" t="s">
        <v>5191</v>
      </c>
      <c r="K5618" t="s">
        <v>730</v>
      </c>
      <c r="L5618">
        <v>117.84</v>
      </c>
      <c r="M5618" s="452">
        <v>45653</v>
      </c>
      <c r="N5618">
        <v>117.84</v>
      </c>
      <c r="O5618">
        <v>117.84</v>
      </c>
      <c r="P5618">
        <v>176.76</v>
      </c>
    </row>
    <row r="5619" spans="1:16" x14ac:dyDescent="0.3">
      <c r="A5619">
        <v>12028</v>
      </c>
      <c r="B5619">
        <v>105</v>
      </c>
      <c r="C5619" t="s">
        <v>557</v>
      </c>
      <c r="D5619" s="452">
        <v>45658</v>
      </c>
      <c r="E5619">
        <v>18119</v>
      </c>
      <c r="F5619" t="s">
        <v>5044</v>
      </c>
      <c r="G5619">
        <v>3494</v>
      </c>
      <c r="H5619">
        <v>1</v>
      </c>
      <c r="I5619" t="s">
        <v>4805</v>
      </c>
      <c r="J5619" t="s">
        <v>5222</v>
      </c>
      <c r="K5619" t="s">
        <v>730</v>
      </c>
      <c r="L5619">
        <v>172</v>
      </c>
      <c r="M5619" s="452">
        <v>45639</v>
      </c>
      <c r="N5619">
        <v>172</v>
      </c>
      <c r="O5619">
        <v>171.7</v>
      </c>
      <c r="P5619">
        <v>172</v>
      </c>
    </row>
    <row r="5620" spans="1:16" x14ac:dyDescent="0.3">
      <c r="A5620">
        <v>12031</v>
      </c>
      <c r="B5620">
        <v>105</v>
      </c>
      <c r="C5620" t="s">
        <v>557</v>
      </c>
      <c r="D5620" s="452">
        <v>45658</v>
      </c>
      <c r="E5620">
        <v>18111</v>
      </c>
      <c r="F5620" t="s">
        <v>5049</v>
      </c>
      <c r="G5620">
        <v>3500</v>
      </c>
      <c r="H5620">
        <v>2</v>
      </c>
      <c r="I5620" t="s">
        <v>4805</v>
      </c>
      <c r="J5620" t="s">
        <v>5222</v>
      </c>
      <c r="K5620" t="s">
        <v>730</v>
      </c>
      <c r="L5620">
        <v>0</v>
      </c>
      <c r="M5620" s="452">
        <v>45470</v>
      </c>
      <c r="N5620">
        <v>85.93</v>
      </c>
      <c r="O5620">
        <v>92.47</v>
      </c>
      <c r="P5620">
        <v>171.86</v>
      </c>
    </row>
    <row r="5621" spans="1:16" x14ac:dyDescent="0.3">
      <c r="A5621">
        <v>12049</v>
      </c>
      <c r="B5621">
        <v>105</v>
      </c>
      <c r="C5621" t="s">
        <v>557</v>
      </c>
      <c r="D5621" s="452">
        <v>45658</v>
      </c>
      <c r="E5621">
        <v>24046</v>
      </c>
      <c r="F5621" t="s">
        <v>5454</v>
      </c>
      <c r="G5621">
        <v>2315</v>
      </c>
      <c r="H5621">
        <v>2.75</v>
      </c>
      <c r="I5621" t="s">
        <v>4744</v>
      </c>
      <c r="J5621" t="s">
        <v>5191</v>
      </c>
      <c r="K5621" t="s">
        <v>730</v>
      </c>
      <c r="L5621">
        <v>0</v>
      </c>
      <c r="M5621" s="452">
        <v>-693593</v>
      </c>
      <c r="N5621">
        <v>0</v>
      </c>
      <c r="O5621">
        <v>0</v>
      </c>
      <c r="P5621">
        <v>169.81</v>
      </c>
    </row>
    <row r="5622" spans="1:16" x14ac:dyDescent="0.3">
      <c r="A5622">
        <v>12135</v>
      </c>
      <c r="B5622">
        <v>105</v>
      </c>
      <c r="C5622" t="s">
        <v>557</v>
      </c>
      <c r="D5622" s="452">
        <v>45658</v>
      </c>
      <c r="E5622">
        <v>19353</v>
      </c>
      <c r="F5622" t="s">
        <v>4851</v>
      </c>
      <c r="G5622">
        <v>2768</v>
      </c>
      <c r="H5622">
        <v>6.8</v>
      </c>
      <c r="I5622" t="s">
        <v>4744</v>
      </c>
      <c r="J5622" t="s">
        <v>5191</v>
      </c>
      <c r="K5622" t="s">
        <v>730</v>
      </c>
      <c r="L5622">
        <v>24.6</v>
      </c>
      <c r="M5622" s="452">
        <v>45633</v>
      </c>
      <c r="N5622">
        <v>24.6</v>
      </c>
      <c r="O5622">
        <v>24.6</v>
      </c>
      <c r="P5622">
        <v>167.28</v>
      </c>
    </row>
    <row r="5623" spans="1:16" x14ac:dyDescent="0.3">
      <c r="A5623">
        <v>12216</v>
      </c>
      <c r="B5623">
        <v>105</v>
      </c>
      <c r="C5623" t="s">
        <v>557</v>
      </c>
      <c r="D5623" s="452">
        <v>45658</v>
      </c>
      <c r="E5623">
        <v>24470</v>
      </c>
      <c r="F5623" t="s">
        <v>4752</v>
      </c>
      <c r="G5623">
        <v>3103</v>
      </c>
      <c r="H5623">
        <v>37</v>
      </c>
      <c r="I5623" t="s">
        <v>4736</v>
      </c>
      <c r="J5623" t="s">
        <v>5222</v>
      </c>
      <c r="K5623" t="s">
        <v>730</v>
      </c>
      <c r="L5623">
        <v>0</v>
      </c>
      <c r="M5623" s="452">
        <v>45404</v>
      </c>
      <c r="N5623">
        <v>4.41</v>
      </c>
      <c r="O5623">
        <v>3.32</v>
      </c>
      <c r="P5623">
        <v>163.16999999999999</v>
      </c>
    </row>
    <row r="5624" spans="1:16" x14ac:dyDescent="0.3">
      <c r="A5624">
        <v>12225</v>
      </c>
      <c r="B5624">
        <v>105</v>
      </c>
      <c r="C5624" t="s">
        <v>557</v>
      </c>
      <c r="D5624" s="452">
        <v>45658</v>
      </c>
      <c r="E5624">
        <v>20054</v>
      </c>
      <c r="F5624" t="s">
        <v>4856</v>
      </c>
      <c r="G5624">
        <v>2325</v>
      </c>
      <c r="H5624">
        <v>14</v>
      </c>
      <c r="I5624" t="s">
        <v>4736</v>
      </c>
      <c r="J5624" t="s">
        <v>5191</v>
      </c>
      <c r="K5624" t="s">
        <v>730</v>
      </c>
      <c r="L5624">
        <v>0</v>
      </c>
      <c r="M5624" s="452">
        <v>45600</v>
      </c>
      <c r="N5624">
        <v>11.55</v>
      </c>
      <c r="O5624">
        <v>11.5</v>
      </c>
      <c r="P5624">
        <v>161.69999999999999</v>
      </c>
    </row>
    <row r="5625" spans="1:16" x14ac:dyDescent="0.3">
      <c r="A5625">
        <v>12019</v>
      </c>
      <c r="B5625">
        <v>105</v>
      </c>
      <c r="C5625" t="s">
        <v>557</v>
      </c>
      <c r="D5625" s="452">
        <v>45658</v>
      </c>
      <c r="E5625">
        <v>18219</v>
      </c>
      <c r="F5625" t="s">
        <v>4972</v>
      </c>
      <c r="G5625">
        <v>3409</v>
      </c>
      <c r="H5625">
        <v>1</v>
      </c>
      <c r="I5625" t="s">
        <v>4805</v>
      </c>
      <c r="J5625" t="s">
        <v>5222</v>
      </c>
      <c r="K5625" t="s">
        <v>730</v>
      </c>
      <c r="L5625">
        <v>159.9</v>
      </c>
      <c r="M5625" s="452">
        <v>45639</v>
      </c>
      <c r="N5625">
        <v>159.9</v>
      </c>
      <c r="O5625">
        <v>112.11</v>
      </c>
      <c r="P5625">
        <v>159.9</v>
      </c>
    </row>
    <row r="5626" spans="1:16" x14ac:dyDescent="0.3">
      <c r="A5626">
        <v>12224</v>
      </c>
      <c r="B5626">
        <v>105</v>
      </c>
      <c r="C5626" t="s">
        <v>557</v>
      </c>
      <c r="D5626" s="452">
        <v>45658</v>
      </c>
      <c r="E5626">
        <v>20269</v>
      </c>
      <c r="F5626" t="s">
        <v>5578</v>
      </c>
      <c r="G5626">
        <v>2233</v>
      </c>
      <c r="H5626">
        <v>2</v>
      </c>
      <c r="I5626" t="s">
        <v>4736</v>
      </c>
      <c r="J5626" t="s">
        <v>5191</v>
      </c>
      <c r="K5626" t="s">
        <v>730</v>
      </c>
      <c r="L5626">
        <v>78.599999999999994</v>
      </c>
      <c r="M5626" s="452">
        <v>45646</v>
      </c>
      <c r="N5626">
        <v>78.599999999999994</v>
      </c>
      <c r="O5626">
        <v>78.599999999999994</v>
      </c>
      <c r="P5626">
        <v>157.19999999999999</v>
      </c>
    </row>
    <row r="5627" spans="1:16" x14ac:dyDescent="0.3">
      <c r="A5627">
        <v>14892</v>
      </c>
      <c r="B5627">
        <v>105</v>
      </c>
      <c r="C5627" t="s">
        <v>557</v>
      </c>
      <c r="D5627" s="452">
        <v>45658</v>
      </c>
      <c r="E5627">
        <v>25754</v>
      </c>
      <c r="F5627" t="s">
        <v>5142</v>
      </c>
      <c r="G5627">
        <v>6305</v>
      </c>
      <c r="H5627">
        <v>20</v>
      </c>
      <c r="I5627" t="s">
        <v>4736</v>
      </c>
      <c r="J5627" t="s">
        <v>5191</v>
      </c>
      <c r="K5627" t="s">
        <v>730</v>
      </c>
      <c r="L5627">
        <v>7.73</v>
      </c>
      <c r="M5627" s="452">
        <v>45653</v>
      </c>
      <c r="N5627">
        <v>7.73</v>
      </c>
      <c r="O5627">
        <v>7.73</v>
      </c>
      <c r="P5627">
        <v>154.6</v>
      </c>
    </row>
    <row r="5628" spans="1:16" x14ac:dyDescent="0.3">
      <c r="A5628">
        <v>14895</v>
      </c>
      <c r="B5628">
        <v>105</v>
      </c>
      <c r="C5628" t="s">
        <v>557</v>
      </c>
      <c r="D5628" s="452">
        <v>45658</v>
      </c>
      <c r="E5628">
        <v>26103</v>
      </c>
      <c r="F5628" t="s">
        <v>4776</v>
      </c>
      <c r="G5628">
        <v>9072</v>
      </c>
      <c r="H5628">
        <v>11</v>
      </c>
      <c r="I5628" t="s">
        <v>4749</v>
      </c>
      <c r="J5628" t="s">
        <v>5191</v>
      </c>
      <c r="K5628" t="s">
        <v>730</v>
      </c>
      <c r="L5628">
        <v>0</v>
      </c>
      <c r="M5628" s="452">
        <v>-693593</v>
      </c>
      <c r="N5628">
        <v>0</v>
      </c>
      <c r="O5628">
        <v>0</v>
      </c>
      <c r="P5628">
        <v>153.88999999999999</v>
      </c>
    </row>
    <row r="5629" spans="1:16" x14ac:dyDescent="0.3">
      <c r="A5629">
        <v>12078</v>
      </c>
      <c r="B5629">
        <v>105</v>
      </c>
      <c r="C5629" t="s">
        <v>557</v>
      </c>
      <c r="D5629" s="452">
        <v>45658</v>
      </c>
      <c r="E5629">
        <v>20623</v>
      </c>
      <c r="F5629" t="s">
        <v>4814</v>
      </c>
      <c r="G5629">
        <v>2116</v>
      </c>
      <c r="H5629">
        <v>15</v>
      </c>
      <c r="I5629" t="s">
        <v>4736</v>
      </c>
      <c r="J5629" t="s">
        <v>5191</v>
      </c>
      <c r="K5629" t="s">
        <v>730</v>
      </c>
      <c r="L5629">
        <v>10.25</v>
      </c>
      <c r="M5629" s="452">
        <v>45643</v>
      </c>
      <c r="N5629">
        <v>10.25</v>
      </c>
      <c r="O5629">
        <v>10.25</v>
      </c>
      <c r="P5629">
        <v>153.75</v>
      </c>
    </row>
    <row r="5630" spans="1:16" x14ac:dyDescent="0.3">
      <c r="A5630">
        <v>11995</v>
      </c>
      <c r="B5630">
        <v>105</v>
      </c>
      <c r="C5630" t="s">
        <v>557</v>
      </c>
      <c r="D5630" s="452">
        <v>45658</v>
      </c>
      <c r="E5630">
        <v>18545</v>
      </c>
      <c r="F5630" t="s">
        <v>4864</v>
      </c>
      <c r="G5630">
        <v>3134</v>
      </c>
      <c r="H5630">
        <v>3</v>
      </c>
      <c r="I5630" t="s">
        <v>4805</v>
      </c>
      <c r="J5630" t="s">
        <v>5222</v>
      </c>
      <c r="K5630" t="s">
        <v>730</v>
      </c>
      <c r="L5630">
        <v>49.98</v>
      </c>
      <c r="M5630" s="452">
        <v>45653</v>
      </c>
      <c r="N5630">
        <v>49.99</v>
      </c>
      <c r="O5630">
        <v>49.99</v>
      </c>
      <c r="P5630">
        <v>149.94</v>
      </c>
    </row>
    <row r="5631" spans="1:16" x14ac:dyDescent="0.3">
      <c r="A5631">
        <v>12117</v>
      </c>
      <c r="B5631">
        <v>105</v>
      </c>
      <c r="C5631" t="s">
        <v>557</v>
      </c>
      <c r="D5631" s="452">
        <v>45658</v>
      </c>
      <c r="E5631">
        <v>19751</v>
      </c>
      <c r="F5631" t="s">
        <v>4800</v>
      </c>
      <c r="G5631">
        <v>2502</v>
      </c>
      <c r="H5631">
        <v>15.2</v>
      </c>
      <c r="I5631" t="s">
        <v>4744</v>
      </c>
      <c r="J5631" t="s">
        <v>5191</v>
      </c>
      <c r="K5631" t="s">
        <v>730</v>
      </c>
      <c r="L5631">
        <v>9.66</v>
      </c>
      <c r="M5631" s="452">
        <v>45653</v>
      </c>
      <c r="N5631">
        <v>8.5</v>
      </c>
      <c r="O5631">
        <v>8.3000000000000007</v>
      </c>
      <c r="P5631">
        <v>146.83000000000001</v>
      </c>
    </row>
    <row r="5632" spans="1:16" x14ac:dyDescent="0.3">
      <c r="A5632">
        <v>12166</v>
      </c>
      <c r="B5632">
        <v>105</v>
      </c>
      <c r="C5632" t="s">
        <v>557</v>
      </c>
      <c r="D5632" s="452">
        <v>45658</v>
      </c>
      <c r="E5632">
        <v>24660</v>
      </c>
      <c r="F5632" t="s">
        <v>5523</v>
      </c>
      <c r="G5632">
        <v>5702</v>
      </c>
      <c r="H5632">
        <v>7.75</v>
      </c>
      <c r="I5632" t="s">
        <v>4744</v>
      </c>
      <c r="J5632" t="s">
        <v>5191</v>
      </c>
      <c r="K5632" t="s">
        <v>730</v>
      </c>
      <c r="L5632">
        <v>0</v>
      </c>
      <c r="M5632" s="452">
        <v>45623</v>
      </c>
      <c r="N5632">
        <v>18.89</v>
      </c>
      <c r="O5632">
        <v>12.8</v>
      </c>
      <c r="P5632">
        <v>146.38999999999999</v>
      </c>
    </row>
    <row r="5633" spans="1:16" x14ac:dyDescent="0.3">
      <c r="A5633">
        <v>12245</v>
      </c>
      <c r="B5633">
        <v>105</v>
      </c>
      <c r="C5633" t="s">
        <v>557</v>
      </c>
      <c r="D5633" s="452">
        <v>45658</v>
      </c>
      <c r="E5633">
        <v>19420</v>
      </c>
      <c r="F5633" t="s">
        <v>5582</v>
      </c>
      <c r="G5633">
        <v>2758</v>
      </c>
      <c r="H5633">
        <v>26</v>
      </c>
      <c r="I5633" t="s">
        <v>4736</v>
      </c>
      <c r="J5633" t="s">
        <v>5191</v>
      </c>
      <c r="K5633" t="s">
        <v>730</v>
      </c>
      <c r="L5633">
        <v>5.63</v>
      </c>
      <c r="M5633" s="452">
        <v>45643</v>
      </c>
      <c r="N5633">
        <v>5.59</v>
      </c>
      <c r="O5633">
        <v>5.7</v>
      </c>
      <c r="P5633">
        <v>146.38</v>
      </c>
    </row>
    <row r="5634" spans="1:16" x14ac:dyDescent="0.3">
      <c r="A5634">
        <v>12146</v>
      </c>
      <c r="B5634">
        <v>105</v>
      </c>
      <c r="C5634" t="s">
        <v>557</v>
      </c>
      <c r="D5634" s="452">
        <v>45658</v>
      </c>
      <c r="E5634">
        <v>18699</v>
      </c>
      <c r="F5634" t="s">
        <v>5632</v>
      </c>
      <c r="G5634">
        <v>3034</v>
      </c>
      <c r="H5634">
        <v>5.65</v>
      </c>
      <c r="I5634" t="s">
        <v>4744</v>
      </c>
      <c r="J5634" t="s">
        <v>5191</v>
      </c>
      <c r="K5634" t="s">
        <v>730</v>
      </c>
      <c r="L5634">
        <v>0</v>
      </c>
      <c r="M5634" s="452">
        <v>45623</v>
      </c>
      <c r="N5634">
        <v>25.89</v>
      </c>
      <c r="O5634">
        <v>25.89</v>
      </c>
      <c r="P5634">
        <v>146.27000000000001</v>
      </c>
    </row>
    <row r="5635" spans="1:16" x14ac:dyDescent="0.3">
      <c r="A5635">
        <v>12118</v>
      </c>
      <c r="B5635">
        <v>105</v>
      </c>
      <c r="C5635" t="s">
        <v>557</v>
      </c>
      <c r="D5635" s="452">
        <v>45658</v>
      </c>
      <c r="E5635">
        <v>24326</v>
      </c>
      <c r="F5635" t="s">
        <v>4767</v>
      </c>
      <c r="G5635">
        <v>2499</v>
      </c>
      <c r="H5635">
        <v>25.65</v>
      </c>
      <c r="I5635" t="s">
        <v>4744</v>
      </c>
      <c r="J5635" t="s">
        <v>5191</v>
      </c>
      <c r="K5635" t="s">
        <v>730</v>
      </c>
      <c r="L5635">
        <v>0</v>
      </c>
      <c r="M5635" s="452">
        <v>45621</v>
      </c>
      <c r="N5635">
        <v>5.5</v>
      </c>
      <c r="O5635">
        <v>3.75</v>
      </c>
      <c r="P5635">
        <v>141.07</v>
      </c>
    </row>
    <row r="5636" spans="1:16" x14ac:dyDescent="0.3">
      <c r="A5636">
        <v>12039</v>
      </c>
      <c r="B5636">
        <v>105</v>
      </c>
      <c r="C5636" t="s">
        <v>557</v>
      </c>
      <c r="D5636" s="452">
        <v>45658</v>
      </c>
      <c r="E5636">
        <v>24614</v>
      </c>
      <c r="F5636" t="s">
        <v>4897</v>
      </c>
      <c r="G5636">
        <v>3855</v>
      </c>
      <c r="H5636">
        <v>2</v>
      </c>
      <c r="I5636" t="s">
        <v>4805</v>
      </c>
      <c r="J5636" t="s">
        <v>5222</v>
      </c>
      <c r="K5636" t="s">
        <v>730</v>
      </c>
      <c r="L5636">
        <v>0</v>
      </c>
      <c r="M5636" s="452">
        <v>45548</v>
      </c>
      <c r="N5636">
        <v>69.650000000000006</v>
      </c>
      <c r="O5636">
        <v>69.64</v>
      </c>
      <c r="P5636">
        <v>139.30000000000001</v>
      </c>
    </row>
    <row r="5637" spans="1:16" x14ac:dyDescent="0.3">
      <c r="A5637">
        <v>12142</v>
      </c>
      <c r="B5637">
        <v>105</v>
      </c>
      <c r="C5637" t="s">
        <v>557</v>
      </c>
      <c r="D5637" s="452">
        <v>45658</v>
      </c>
      <c r="E5637">
        <v>24451</v>
      </c>
      <c r="F5637" t="s">
        <v>5633</v>
      </c>
      <c r="G5637">
        <v>2778</v>
      </c>
      <c r="H5637">
        <v>3.1</v>
      </c>
      <c r="I5637" t="s">
        <v>4744</v>
      </c>
      <c r="J5637" t="s">
        <v>5191</v>
      </c>
      <c r="K5637" t="s">
        <v>730</v>
      </c>
      <c r="L5637">
        <v>0</v>
      </c>
      <c r="M5637" s="452">
        <v>45519</v>
      </c>
      <c r="N5637">
        <v>44</v>
      </c>
      <c r="O5637">
        <v>44</v>
      </c>
      <c r="P5637">
        <v>136.4</v>
      </c>
    </row>
    <row r="5638" spans="1:16" x14ac:dyDescent="0.3">
      <c r="A5638">
        <v>12252</v>
      </c>
      <c r="B5638">
        <v>105</v>
      </c>
      <c r="C5638" t="s">
        <v>557</v>
      </c>
      <c r="D5638" s="452">
        <v>45658</v>
      </c>
      <c r="E5638">
        <v>24011</v>
      </c>
      <c r="F5638" t="s">
        <v>4739</v>
      </c>
      <c r="G5638">
        <v>3626</v>
      </c>
      <c r="H5638">
        <v>102</v>
      </c>
      <c r="I5638" t="s">
        <v>4736</v>
      </c>
      <c r="J5638" t="s">
        <v>5222</v>
      </c>
      <c r="K5638" t="s">
        <v>730</v>
      </c>
      <c r="L5638">
        <v>0</v>
      </c>
      <c r="M5638" s="452">
        <v>45562</v>
      </c>
      <c r="N5638">
        <v>1.32</v>
      </c>
      <c r="O5638">
        <v>1.33</v>
      </c>
      <c r="P5638">
        <v>134.63999999999999</v>
      </c>
    </row>
    <row r="5639" spans="1:16" x14ac:dyDescent="0.3">
      <c r="A5639">
        <v>14900</v>
      </c>
      <c r="B5639">
        <v>105</v>
      </c>
      <c r="C5639" t="s">
        <v>557</v>
      </c>
      <c r="D5639" s="452">
        <v>45658</v>
      </c>
      <c r="E5639">
        <v>25758</v>
      </c>
      <c r="F5639" t="s">
        <v>4775</v>
      </c>
      <c r="G5639">
        <v>9066</v>
      </c>
      <c r="H5639">
        <v>19</v>
      </c>
      <c r="I5639" t="s">
        <v>4736</v>
      </c>
      <c r="J5639" t="s">
        <v>5191</v>
      </c>
      <c r="K5639" t="s">
        <v>730</v>
      </c>
      <c r="L5639">
        <v>0</v>
      </c>
      <c r="M5639" s="452">
        <v>-693593</v>
      </c>
      <c r="N5639">
        <v>0</v>
      </c>
      <c r="O5639">
        <v>0</v>
      </c>
      <c r="P5639">
        <v>132.81</v>
      </c>
    </row>
    <row r="5640" spans="1:16" x14ac:dyDescent="0.3">
      <c r="A5640">
        <v>12171</v>
      </c>
      <c r="B5640">
        <v>105</v>
      </c>
      <c r="C5640" t="s">
        <v>557</v>
      </c>
      <c r="D5640" s="452">
        <v>45658</v>
      </c>
      <c r="E5640">
        <v>20660</v>
      </c>
      <c r="F5640" t="s">
        <v>5011</v>
      </c>
      <c r="G5640">
        <v>2110</v>
      </c>
      <c r="H5640">
        <v>2</v>
      </c>
      <c r="I5640" t="s">
        <v>4955</v>
      </c>
      <c r="J5640" t="s">
        <v>5191</v>
      </c>
      <c r="K5640" t="s">
        <v>730</v>
      </c>
      <c r="L5640">
        <v>65.95</v>
      </c>
      <c r="M5640" s="452">
        <v>45646</v>
      </c>
      <c r="N5640">
        <v>65.95</v>
      </c>
      <c r="O5640">
        <v>65.95</v>
      </c>
      <c r="P5640">
        <v>131.9</v>
      </c>
    </row>
    <row r="5641" spans="1:16" x14ac:dyDescent="0.3">
      <c r="A5641">
        <v>12206</v>
      </c>
      <c r="B5641">
        <v>105</v>
      </c>
      <c r="C5641" t="s">
        <v>557</v>
      </c>
      <c r="D5641" s="452">
        <v>45658</v>
      </c>
      <c r="E5641">
        <v>17881</v>
      </c>
      <c r="F5641" t="s">
        <v>5103</v>
      </c>
      <c r="G5641">
        <v>3675</v>
      </c>
      <c r="H5641">
        <v>5</v>
      </c>
      <c r="I5641" t="s">
        <v>4738</v>
      </c>
      <c r="J5641" t="s">
        <v>5222</v>
      </c>
      <c r="K5641" t="s">
        <v>730</v>
      </c>
      <c r="L5641">
        <v>0</v>
      </c>
      <c r="M5641" s="452">
        <v>45546</v>
      </c>
      <c r="N5641">
        <v>26.28</v>
      </c>
      <c r="O5641">
        <v>26.28</v>
      </c>
      <c r="P5641">
        <v>131.4</v>
      </c>
    </row>
    <row r="5642" spans="1:16" x14ac:dyDescent="0.3">
      <c r="A5642">
        <v>12137</v>
      </c>
      <c r="B5642">
        <v>105</v>
      </c>
      <c r="C5642" t="s">
        <v>557</v>
      </c>
      <c r="D5642" s="452">
        <v>45658</v>
      </c>
      <c r="E5642">
        <v>24434</v>
      </c>
      <c r="F5642" t="s">
        <v>5574</v>
      </c>
      <c r="G5642">
        <v>2789</v>
      </c>
      <c r="H5642">
        <v>1.6</v>
      </c>
      <c r="I5642" t="s">
        <v>4744</v>
      </c>
      <c r="J5642" t="s">
        <v>5191</v>
      </c>
      <c r="K5642" t="s">
        <v>730</v>
      </c>
      <c r="L5642">
        <v>0</v>
      </c>
      <c r="M5642" s="452">
        <v>45539</v>
      </c>
      <c r="N5642">
        <v>78.5</v>
      </c>
      <c r="O5642">
        <v>78.5</v>
      </c>
      <c r="P5642">
        <v>125.6</v>
      </c>
    </row>
    <row r="5643" spans="1:16" x14ac:dyDescent="0.3">
      <c r="A5643">
        <v>11998</v>
      </c>
      <c r="B5643">
        <v>105</v>
      </c>
      <c r="C5643" t="s">
        <v>557</v>
      </c>
      <c r="D5643" s="452">
        <v>45658</v>
      </c>
      <c r="E5643">
        <v>18502</v>
      </c>
      <c r="F5643" t="s">
        <v>4893</v>
      </c>
      <c r="G5643">
        <v>3155</v>
      </c>
      <c r="H5643">
        <v>2</v>
      </c>
      <c r="I5643" t="s">
        <v>4805</v>
      </c>
      <c r="J5643" t="s">
        <v>5222</v>
      </c>
      <c r="K5643" t="s">
        <v>730</v>
      </c>
      <c r="L5643">
        <v>62.5</v>
      </c>
      <c r="M5643" s="452">
        <v>45644</v>
      </c>
      <c r="N5643">
        <v>62.5</v>
      </c>
      <c r="O5643">
        <v>62.5</v>
      </c>
      <c r="P5643">
        <v>125</v>
      </c>
    </row>
    <row r="5644" spans="1:16" x14ac:dyDescent="0.3">
      <c r="A5644">
        <v>14901</v>
      </c>
      <c r="B5644">
        <v>105</v>
      </c>
      <c r="C5644" t="s">
        <v>557</v>
      </c>
      <c r="D5644" s="452">
        <v>45658</v>
      </c>
      <c r="E5644">
        <v>25759</v>
      </c>
      <c r="F5644" t="s">
        <v>4877</v>
      </c>
      <c r="G5644">
        <v>9073</v>
      </c>
      <c r="H5644">
        <v>16</v>
      </c>
      <c r="I5644" t="s">
        <v>4736</v>
      </c>
      <c r="J5644" t="s">
        <v>5191</v>
      </c>
      <c r="K5644" t="s">
        <v>730</v>
      </c>
      <c r="L5644">
        <v>7.73</v>
      </c>
      <c r="M5644" s="452">
        <v>45653</v>
      </c>
      <c r="N5644">
        <v>7.73</v>
      </c>
      <c r="O5644">
        <v>7.73</v>
      </c>
      <c r="P5644">
        <v>123.68</v>
      </c>
    </row>
    <row r="5645" spans="1:16" x14ac:dyDescent="0.3">
      <c r="A5645">
        <v>12126</v>
      </c>
      <c r="B5645">
        <v>105</v>
      </c>
      <c r="C5645" t="s">
        <v>557</v>
      </c>
      <c r="D5645" s="452">
        <v>45658</v>
      </c>
      <c r="E5645">
        <v>19790</v>
      </c>
      <c r="F5645" t="s">
        <v>5073</v>
      </c>
      <c r="G5645">
        <v>2469</v>
      </c>
      <c r="H5645">
        <v>3.15</v>
      </c>
      <c r="I5645" t="s">
        <v>4744</v>
      </c>
      <c r="J5645" t="s">
        <v>5191</v>
      </c>
      <c r="K5645" t="s">
        <v>730</v>
      </c>
      <c r="L5645">
        <v>38.590000000000003</v>
      </c>
      <c r="M5645" s="452">
        <v>45643</v>
      </c>
      <c r="N5645">
        <v>39.200000000000003</v>
      </c>
      <c r="O5645">
        <v>39.200000000000003</v>
      </c>
      <c r="P5645">
        <v>121.56</v>
      </c>
    </row>
    <row r="5646" spans="1:16" x14ac:dyDescent="0.3">
      <c r="A5646">
        <v>14907</v>
      </c>
      <c r="B5646">
        <v>105</v>
      </c>
      <c r="C5646" t="s">
        <v>557</v>
      </c>
      <c r="D5646" s="452">
        <v>45658</v>
      </c>
      <c r="E5646">
        <v>20716</v>
      </c>
      <c r="F5646" t="s">
        <v>5053</v>
      </c>
      <c r="G5646">
        <v>2098</v>
      </c>
      <c r="H5646">
        <v>1</v>
      </c>
      <c r="I5646" t="s">
        <v>4744</v>
      </c>
      <c r="J5646" t="s">
        <v>5191</v>
      </c>
      <c r="K5646" t="s">
        <v>730</v>
      </c>
      <c r="L5646">
        <v>0</v>
      </c>
      <c r="M5646" s="452">
        <v>-693593</v>
      </c>
      <c r="N5646">
        <v>0</v>
      </c>
      <c r="O5646">
        <v>0</v>
      </c>
      <c r="P5646">
        <v>119.53</v>
      </c>
    </row>
    <row r="5647" spans="1:16" x14ac:dyDescent="0.3">
      <c r="A5647">
        <v>14902</v>
      </c>
      <c r="B5647">
        <v>105</v>
      </c>
      <c r="C5647" t="s">
        <v>557</v>
      </c>
      <c r="D5647" s="452">
        <v>45658</v>
      </c>
      <c r="E5647">
        <v>25760</v>
      </c>
      <c r="F5647" t="s">
        <v>4787</v>
      </c>
      <c r="G5647">
        <v>6311</v>
      </c>
      <c r="H5647">
        <v>17</v>
      </c>
      <c r="I5647" t="s">
        <v>4736</v>
      </c>
      <c r="J5647" t="s">
        <v>5191</v>
      </c>
      <c r="K5647" t="s">
        <v>730</v>
      </c>
      <c r="L5647">
        <v>0</v>
      </c>
      <c r="M5647" s="452">
        <v>-693593</v>
      </c>
      <c r="N5647">
        <v>0</v>
      </c>
      <c r="O5647">
        <v>0</v>
      </c>
      <c r="P5647">
        <v>118.83</v>
      </c>
    </row>
    <row r="5648" spans="1:16" x14ac:dyDescent="0.3">
      <c r="A5648">
        <v>12011</v>
      </c>
      <c r="B5648">
        <v>105</v>
      </c>
      <c r="C5648" t="s">
        <v>557</v>
      </c>
      <c r="D5648" s="452">
        <v>45658</v>
      </c>
      <c r="E5648">
        <v>18312</v>
      </c>
      <c r="F5648" t="s">
        <v>5037</v>
      </c>
      <c r="G5648">
        <v>3321</v>
      </c>
      <c r="H5648">
        <v>1</v>
      </c>
      <c r="I5648" t="s">
        <v>4805</v>
      </c>
      <c r="J5648" t="s">
        <v>5222</v>
      </c>
      <c r="K5648" t="s">
        <v>730</v>
      </c>
      <c r="L5648">
        <v>0</v>
      </c>
      <c r="M5648" s="452">
        <v>-693593</v>
      </c>
      <c r="N5648">
        <v>0</v>
      </c>
      <c r="O5648">
        <v>135.9</v>
      </c>
      <c r="P5648">
        <v>116.89</v>
      </c>
    </row>
    <row r="5649" spans="1:16" x14ac:dyDescent="0.3">
      <c r="A5649">
        <v>14889</v>
      </c>
      <c r="B5649">
        <v>105</v>
      </c>
      <c r="C5649" t="s">
        <v>557</v>
      </c>
      <c r="D5649" s="452">
        <v>45658</v>
      </c>
      <c r="E5649">
        <v>25750</v>
      </c>
      <c r="F5649" t="s">
        <v>4908</v>
      </c>
      <c r="G5649">
        <v>6301</v>
      </c>
      <c r="H5649">
        <v>17</v>
      </c>
      <c r="I5649" t="s">
        <v>4736</v>
      </c>
      <c r="J5649" t="s">
        <v>5191</v>
      </c>
      <c r="K5649" t="s">
        <v>730</v>
      </c>
      <c r="L5649">
        <v>6.87</v>
      </c>
      <c r="M5649" s="452">
        <v>45653</v>
      </c>
      <c r="N5649">
        <v>6.87</v>
      </c>
      <c r="O5649">
        <v>6.87</v>
      </c>
      <c r="P5649">
        <v>116.79</v>
      </c>
    </row>
    <row r="5650" spans="1:16" x14ac:dyDescent="0.3">
      <c r="A5650">
        <v>12026</v>
      </c>
      <c r="B5650">
        <v>105</v>
      </c>
      <c r="C5650" t="s">
        <v>557</v>
      </c>
      <c r="D5650" s="452">
        <v>45658</v>
      </c>
      <c r="E5650">
        <v>18147</v>
      </c>
      <c r="F5650" t="s">
        <v>5042</v>
      </c>
      <c r="G5650">
        <v>3471</v>
      </c>
      <c r="H5650">
        <v>1</v>
      </c>
      <c r="I5650" t="s">
        <v>4805</v>
      </c>
      <c r="J5650" t="s">
        <v>5222</v>
      </c>
      <c r="K5650" t="s">
        <v>730</v>
      </c>
      <c r="L5650">
        <v>0</v>
      </c>
      <c r="M5650" s="452">
        <v>45427</v>
      </c>
      <c r="N5650">
        <v>115</v>
      </c>
      <c r="O5650">
        <v>113.9</v>
      </c>
      <c r="P5650">
        <v>115</v>
      </c>
    </row>
    <row r="5651" spans="1:16" x14ac:dyDescent="0.3">
      <c r="A5651">
        <v>12122</v>
      </c>
      <c r="B5651">
        <v>105</v>
      </c>
      <c r="C5651" t="s">
        <v>557</v>
      </c>
      <c r="D5651" s="452">
        <v>45658</v>
      </c>
      <c r="E5651">
        <v>19740</v>
      </c>
      <c r="F5651" t="s">
        <v>4779</v>
      </c>
      <c r="G5651">
        <v>2513</v>
      </c>
      <c r="H5651">
        <v>10.35</v>
      </c>
      <c r="I5651" t="s">
        <v>4744</v>
      </c>
      <c r="J5651" t="s">
        <v>5191</v>
      </c>
      <c r="K5651" t="s">
        <v>730</v>
      </c>
      <c r="L5651">
        <v>0</v>
      </c>
      <c r="M5651" s="452">
        <v>45610</v>
      </c>
      <c r="N5651">
        <v>11</v>
      </c>
      <c r="O5651">
        <v>12.9</v>
      </c>
      <c r="P5651">
        <v>113.85</v>
      </c>
    </row>
    <row r="5652" spans="1:16" x14ac:dyDescent="0.3">
      <c r="A5652">
        <v>12163</v>
      </c>
      <c r="B5652">
        <v>105</v>
      </c>
      <c r="C5652" t="s">
        <v>557</v>
      </c>
      <c r="D5652" s="452">
        <v>45658</v>
      </c>
      <c r="E5652">
        <v>19003</v>
      </c>
      <c r="F5652" t="s">
        <v>4810</v>
      </c>
      <c r="G5652">
        <v>2897</v>
      </c>
      <c r="H5652">
        <v>3.17</v>
      </c>
      <c r="I5652" t="s">
        <v>4744</v>
      </c>
      <c r="J5652" t="s">
        <v>5191</v>
      </c>
      <c r="K5652" t="s">
        <v>730</v>
      </c>
      <c r="L5652">
        <v>0</v>
      </c>
      <c r="M5652" s="452">
        <v>45623</v>
      </c>
      <c r="N5652">
        <v>34.9</v>
      </c>
      <c r="O5652">
        <v>34.9</v>
      </c>
      <c r="P5652">
        <v>110.63</v>
      </c>
    </row>
    <row r="5653" spans="1:16" x14ac:dyDescent="0.3">
      <c r="A5653">
        <v>12237</v>
      </c>
      <c r="B5653">
        <v>105</v>
      </c>
      <c r="C5653" t="s">
        <v>557</v>
      </c>
      <c r="D5653" s="452">
        <v>45658</v>
      </c>
      <c r="E5653">
        <v>19965</v>
      </c>
      <c r="F5653" t="s">
        <v>5251</v>
      </c>
      <c r="G5653">
        <v>2356</v>
      </c>
      <c r="H5653">
        <v>8</v>
      </c>
      <c r="I5653" t="s">
        <v>4736</v>
      </c>
      <c r="J5653" t="s">
        <v>5191</v>
      </c>
      <c r="K5653" t="s">
        <v>730</v>
      </c>
      <c r="L5653">
        <v>0</v>
      </c>
      <c r="M5653" s="452">
        <v>45600</v>
      </c>
      <c r="N5653">
        <v>13.6</v>
      </c>
      <c r="O5653">
        <v>13.45</v>
      </c>
      <c r="P5653">
        <v>108.8</v>
      </c>
    </row>
    <row r="5654" spans="1:16" x14ac:dyDescent="0.3">
      <c r="A5654">
        <v>12190</v>
      </c>
      <c r="B5654">
        <v>105</v>
      </c>
      <c r="C5654" t="s">
        <v>557</v>
      </c>
      <c r="D5654" s="452">
        <v>45658</v>
      </c>
      <c r="E5654">
        <v>20225</v>
      </c>
      <c r="F5654" t="s">
        <v>5634</v>
      </c>
      <c r="G5654">
        <v>2248</v>
      </c>
      <c r="H5654">
        <v>12.74</v>
      </c>
      <c r="I5654" t="s">
        <v>4738</v>
      </c>
      <c r="J5654" t="s">
        <v>5191</v>
      </c>
      <c r="K5654" t="s">
        <v>730</v>
      </c>
      <c r="L5654">
        <v>0</v>
      </c>
      <c r="M5654" s="452">
        <v>45545</v>
      </c>
      <c r="N5654">
        <v>8.49</v>
      </c>
      <c r="O5654">
        <v>7.75</v>
      </c>
      <c r="P5654">
        <v>108.16</v>
      </c>
    </row>
    <row r="5655" spans="1:16" x14ac:dyDescent="0.3">
      <c r="A5655">
        <v>12233</v>
      </c>
      <c r="B5655">
        <v>105</v>
      </c>
      <c r="C5655" t="s">
        <v>557</v>
      </c>
      <c r="D5655" s="452">
        <v>45658</v>
      </c>
      <c r="E5655">
        <v>20856</v>
      </c>
      <c r="F5655" t="s">
        <v>5495</v>
      </c>
      <c r="G5655">
        <v>2045</v>
      </c>
      <c r="H5655">
        <v>3</v>
      </c>
      <c r="I5655" t="s">
        <v>4736</v>
      </c>
      <c r="J5655" t="s">
        <v>5191</v>
      </c>
      <c r="K5655" t="s">
        <v>730</v>
      </c>
      <c r="L5655">
        <v>35.799999999999997</v>
      </c>
      <c r="M5655" s="452">
        <v>45631</v>
      </c>
      <c r="N5655">
        <v>35.799999999999997</v>
      </c>
      <c r="O5655">
        <v>35.799999999999997</v>
      </c>
      <c r="P5655">
        <v>107.4</v>
      </c>
    </row>
    <row r="5656" spans="1:16" x14ac:dyDescent="0.3">
      <c r="A5656">
        <v>12260</v>
      </c>
      <c r="B5656">
        <v>105</v>
      </c>
      <c r="C5656" t="s">
        <v>557</v>
      </c>
      <c r="D5656" s="452">
        <v>45658</v>
      </c>
      <c r="E5656">
        <v>24308</v>
      </c>
      <c r="F5656" t="s">
        <v>4757</v>
      </c>
      <c r="G5656">
        <v>3658</v>
      </c>
      <c r="H5656">
        <v>48</v>
      </c>
      <c r="I5656" t="s">
        <v>4736</v>
      </c>
      <c r="J5656" t="s">
        <v>5222</v>
      </c>
      <c r="K5656" t="s">
        <v>730</v>
      </c>
      <c r="L5656">
        <v>0</v>
      </c>
      <c r="M5656" s="452">
        <v>45540</v>
      </c>
      <c r="N5656">
        <v>2.19</v>
      </c>
      <c r="O5656">
        <v>2.19</v>
      </c>
      <c r="P5656">
        <v>105.12</v>
      </c>
    </row>
    <row r="5657" spans="1:16" x14ac:dyDescent="0.3">
      <c r="A5657">
        <v>11983</v>
      </c>
      <c r="B5657">
        <v>105</v>
      </c>
      <c r="C5657" t="s">
        <v>557</v>
      </c>
      <c r="D5657" s="452">
        <v>45658</v>
      </c>
      <c r="E5657">
        <v>20311</v>
      </c>
      <c r="F5657" t="s">
        <v>5635</v>
      </c>
      <c r="G5657">
        <v>2222</v>
      </c>
      <c r="H5657">
        <v>4.5199999999999996</v>
      </c>
      <c r="I5657" t="s">
        <v>4749</v>
      </c>
      <c r="J5657" t="s">
        <v>5191</v>
      </c>
      <c r="K5657" t="s">
        <v>730</v>
      </c>
      <c r="L5657">
        <v>0</v>
      </c>
      <c r="M5657" s="452">
        <v>45519</v>
      </c>
      <c r="N5657">
        <v>23.2</v>
      </c>
      <c r="O5657">
        <v>22.2</v>
      </c>
      <c r="P5657">
        <v>104.86</v>
      </c>
    </row>
    <row r="5658" spans="1:16" x14ac:dyDescent="0.3">
      <c r="A5658">
        <v>14896</v>
      </c>
      <c r="B5658">
        <v>105</v>
      </c>
      <c r="C5658" t="s">
        <v>557</v>
      </c>
      <c r="D5658" s="452">
        <v>45658</v>
      </c>
      <c r="E5658">
        <v>25761</v>
      </c>
      <c r="F5658" t="s">
        <v>4789</v>
      </c>
      <c r="G5658">
        <v>6312</v>
      </c>
      <c r="H5658">
        <v>15</v>
      </c>
      <c r="I5658" t="s">
        <v>4736</v>
      </c>
      <c r="J5658" t="s">
        <v>5191</v>
      </c>
      <c r="K5658" t="s">
        <v>730</v>
      </c>
      <c r="L5658">
        <v>0</v>
      </c>
      <c r="M5658" s="452">
        <v>-693593</v>
      </c>
      <c r="N5658">
        <v>0</v>
      </c>
      <c r="O5658">
        <v>0</v>
      </c>
      <c r="P5658">
        <v>104.85</v>
      </c>
    </row>
    <row r="5659" spans="1:16" x14ac:dyDescent="0.3">
      <c r="A5659">
        <v>12176</v>
      </c>
      <c r="B5659">
        <v>105</v>
      </c>
      <c r="C5659" t="s">
        <v>557</v>
      </c>
      <c r="D5659" s="452">
        <v>45658</v>
      </c>
      <c r="E5659">
        <v>25561</v>
      </c>
      <c r="F5659" t="s">
        <v>5095</v>
      </c>
      <c r="G5659">
        <v>6169</v>
      </c>
      <c r="H5659">
        <v>0.71</v>
      </c>
      <c r="I5659" t="s">
        <v>4738</v>
      </c>
      <c r="J5659" t="s">
        <v>5222</v>
      </c>
      <c r="K5659" t="s">
        <v>730</v>
      </c>
      <c r="L5659">
        <v>146.80000000000001</v>
      </c>
      <c r="M5659" s="452">
        <v>45646</v>
      </c>
      <c r="N5659">
        <v>146.80000000000001</v>
      </c>
      <c r="O5659">
        <v>146.80000000000001</v>
      </c>
      <c r="P5659">
        <v>104.23</v>
      </c>
    </row>
    <row r="5660" spans="1:16" x14ac:dyDescent="0.3">
      <c r="A5660">
        <v>12095</v>
      </c>
      <c r="B5660">
        <v>105</v>
      </c>
      <c r="C5660" t="s">
        <v>557</v>
      </c>
      <c r="D5660" s="452">
        <v>45658</v>
      </c>
      <c r="E5660">
        <v>24083</v>
      </c>
      <c r="F5660" t="s">
        <v>5165</v>
      </c>
      <c r="G5660">
        <v>2592</v>
      </c>
      <c r="H5660">
        <v>18.8</v>
      </c>
      <c r="I5660" t="s">
        <v>4744</v>
      </c>
      <c r="J5660" t="s">
        <v>5191</v>
      </c>
      <c r="K5660" t="s">
        <v>730</v>
      </c>
      <c r="L5660">
        <v>0</v>
      </c>
      <c r="M5660" s="452">
        <v>45545</v>
      </c>
      <c r="N5660">
        <v>5.49</v>
      </c>
      <c r="O5660">
        <v>5.5</v>
      </c>
      <c r="P5660">
        <v>103.21</v>
      </c>
    </row>
    <row r="5661" spans="1:16" x14ac:dyDescent="0.3">
      <c r="A5661">
        <v>12097</v>
      </c>
      <c r="B5661">
        <v>105</v>
      </c>
      <c r="C5661" t="s">
        <v>557</v>
      </c>
      <c r="D5661" s="452">
        <v>45658</v>
      </c>
      <c r="E5661">
        <v>19638</v>
      </c>
      <c r="F5661" t="s">
        <v>5564</v>
      </c>
      <c r="G5661">
        <v>2598</v>
      </c>
      <c r="H5661">
        <v>26.25</v>
      </c>
      <c r="I5661" t="s">
        <v>4744</v>
      </c>
      <c r="J5661" t="s">
        <v>5191</v>
      </c>
      <c r="K5661" t="s">
        <v>730</v>
      </c>
      <c r="L5661">
        <v>3.84</v>
      </c>
      <c r="M5661" s="452">
        <v>45653</v>
      </c>
      <c r="N5661">
        <v>4</v>
      </c>
      <c r="O5661">
        <v>4</v>
      </c>
      <c r="P5661">
        <v>100.8</v>
      </c>
    </row>
    <row r="5662" spans="1:16" x14ac:dyDescent="0.3">
      <c r="A5662">
        <v>14903</v>
      </c>
      <c r="B5662">
        <v>105</v>
      </c>
      <c r="C5662" t="s">
        <v>557</v>
      </c>
      <c r="D5662" s="452">
        <v>45658</v>
      </c>
      <c r="E5662">
        <v>20928</v>
      </c>
      <c r="F5662" t="s">
        <v>4950</v>
      </c>
      <c r="G5662">
        <v>2033</v>
      </c>
      <c r="H5662">
        <v>0.85</v>
      </c>
      <c r="I5662" t="s">
        <v>4736</v>
      </c>
      <c r="J5662" t="s">
        <v>5191</v>
      </c>
      <c r="K5662" t="s">
        <v>730</v>
      </c>
      <c r="L5662">
        <v>0</v>
      </c>
      <c r="M5662" s="452">
        <v>45622</v>
      </c>
      <c r="N5662">
        <v>117.94</v>
      </c>
      <c r="O5662">
        <v>116.68</v>
      </c>
      <c r="P5662">
        <v>100.25</v>
      </c>
    </row>
    <row r="5663" spans="1:16" x14ac:dyDescent="0.3">
      <c r="A5663">
        <v>12059</v>
      </c>
      <c r="B5663">
        <v>105</v>
      </c>
      <c r="C5663" t="s">
        <v>557</v>
      </c>
      <c r="D5663" s="452">
        <v>45658</v>
      </c>
      <c r="E5663">
        <v>24213</v>
      </c>
      <c r="F5663" t="s">
        <v>5636</v>
      </c>
      <c r="G5663">
        <v>2106</v>
      </c>
      <c r="H5663">
        <v>7</v>
      </c>
      <c r="I5663" t="s">
        <v>4744</v>
      </c>
      <c r="J5663" t="s">
        <v>5191</v>
      </c>
      <c r="K5663" t="s">
        <v>730</v>
      </c>
      <c r="L5663">
        <v>14.28</v>
      </c>
      <c r="M5663" s="452">
        <v>45636</v>
      </c>
      <c r="N5663">
        <v>14.28</v>
      </c>
      <c r="O5663">
        <v>14.28</v>
      </c>
      <c r="P5663">
        <v>99.96</v>
      </c>
    </row>
    <row r="5664" spans="1:16" x14ac:dyDescent="0.3">
      <c r="A5664">
        <v>12262</v>
      </c>
      <c r="B5664">
        <v>105</v>
      </c>
      <c r="C5664" t="s">
        <v>557</v>
      </c>
      <c r="D5664" s="452">
        <v>45658</v>
      </c>
      <c r="E5664">
        <v>24414</v>
      </c>
      <c r="F5664" t="s">
        <v>4746</v>
      </c>
      <c r="G5664">
        <v>3670</v>
      </c>
      <c r="H5664">
        <v>45</v>
      </c>
      <c r="I5664" t="s">
        <v>4736</v>
      </c>
      <c r="J5664" t="s">
        <v>5222</v>
      </c>
      <c r="K5664" t="s">
        <v>730</v>
      </c>
      <c r="L5664">
        <v>0</v>
      </c>
      <c r="M5664" s="452">
        <v>45623</v>
      </c>
      <c r="N5664">
        <v>2.19</v>
      </c>
      <c r="O5664">
        <v>2.19</v>
      </c>
      <c r="P5664">
        <v>98.55</v>
      </c>
    </row>
    <row r="5665" spans="1:16" x14ac:dyDescent="0.3">
      <c r="A5665">
        <v>14887</v>
      </c>
      <c r="B5665">
        <v>105</v>
      </c>
      <c r="C5665" t="s">
        <v>557</v>
      </c>
      <c r="D5665" s="452">
        <v>45658</v>
      </c>
      <c r="E5665">
        <v>25747</v>
      </c>
      <c r="F5665" t="s">
        <v>4794</v>
      </c>
      <c r="G5665">
        <v>6299</v>
      </c>
      <c r="H5665">
        <v>14</v>
      </c>
      <c r="I5665" t="s">
        <v>4736</v>
      </c>
      <c r="J5665" t="s">
        <v>5191</v>
      </c>
      <c r="K5665" t="s">
        <v>730</v>
      </c>
      <c r="L5665">
        <v>0</v>
      </c>
      <c r="M5665" s="452">
        <v>-693593</v>
      </c>
      <c r="N5665">
        <v>0</v>
      </c>
      <c r="O5665">
        <v>0</v>
      </c>
      <c r="P5665">
        <v>97.86</v>
      </c>
    </row>
    <row r="5666" spans="1:16" x14ac:dyDescent="0.3">
      <c r="A5666">
        <v>14891</v>
      </c>
      <c r="B5666">
        <v>105</v>
      </c>
      <c r="C5666" t="s">
        <v>557</v>
      </c>
      <c r="D5666" s="452">
        <v>45658</v>
      </c>
      <c r="E5666">
        <v>25752</v>
      </c>
      <c r="F5666" t="s">
        <v>5000</v>
      </c>
      <c r="G5666">
        <v>6303</v>
      </c>
      <c r="H5666">
        <v>14</v>
      </c>
      <c r="I5666" t="s">
        <v>4749</v>
      </c>
      <c r="J5666" t="s">
        <v>5191</v>
      </c>
      <c r="K5666" t="s">
        <v>730</v>
      </c>
      <c r="L5666">
        <v>0</v>
      </c>
      <c r="M5666" s="452">
        <v>-693593</v>
      </c>
      <c r="N5666">
        <v>0</v>
      </c>
      <c r="O5666">
        <v>0</v>
      </c>
      <c r="P5666">
        <v>97.86</v>
      </c>
    </row>
    <row r="5667" spans="1:16" x14ac:dyDescent="0.3">
      <c r="A5667">
        <v>14899</v>
      </c>
      <c r="B5667">
        <v>105</v>
      </c>
      <c r="C5667" t="s">
        <v>557</v>
      </c>
      <c r="D5667" s="452">
        <v>45658</v>
      </c>
      <c r="E5667">
        <v>25757</v>
      </c>
      <c r="F5667" t="s">
        <v>4763</v>
      </c>
      <c r="G5667">
        <v>6308</v>
      </c>
      <c r="H5667">
        <v>14</v>
      </c>
      <c r="I5667" t="s">
        <v>4736</v>
      </c>
      <c r="J5667" t="s">
        <v>5191</v>
      </c>
      <c r="K5667" t="s">
        <v>730</v>
      </c>
      <c r="L5667">
        <v>0</v>
      </c>
      <c r="M5667" s="452">
        <v>-693593</v>
      </c>
      <c r="N5667">
        <v>0</v>
      </c>
      <c r="O5667">
        <v>0</v>
      </c>
      <c r="P5667">
        <v>97.86</v>
      </c>
    </row>
    <row r="5668" spans="1:16" x14ac:dyDescent="0.3">
      <c r="A5668">
        <v>12108</v>
      </c>
      <c r="B5668">
        <v>105</v>
      </c>
      <c r="C5668" t="s">
        <v>557</v>
      </c>
      <c r="D5668" s="452">
        <v>45658</v>
      </c>
      <c r="E5668">
        <v>19844</v>
      </c>
      <c r="F5668" t="s">
        <v>5475</v>
      </c>
      <c r="G5668">
        <v>2424</v>
      </c>
      <c r="H5668">
        <v>1.65</v>
      </c>
      <c r="I5668" t="s">
        <v>4744</v>
      </c>
      <c r="J5668" t="s">
        <v>5191</v>
      </c>
      <c r="K5668" t="s">
        <v>730</v>
      </c>
      <c r="L5668">
        <v>58.92</v>
      </c>
      <c r="M5668" s="452">
        <v>45653</v>
      </c>
      <c r="N5668">
        <v>54</v>
      </c>
      <c r="O5668">
        <v>57.38</v>
      </c>
      <c r="P5668">
        <v>97.22</v>
      </c>
    </row>
    <row r="5669" spans="1:16" x14ac:dyDescent="0.3">
      <c r="A5669">
        <v>12090</v>
      </c>
      <c r="B5669">
        <v>105</v>
      </c>
      <c r="C5669" t="s">
        <v>557</v>
      </c>
      <c r="D5669" s="452">
        <v>45658</v>
      </c>
      <c r="E5669">
        <v>19502</v>
      </c>
      <c r="F5669" t="s">
        <v>4871</v>
      </c>
      <c r="G5669">
        <v>2708</v>
      </c>
      <c r="H5669">
        <v>5.7</v>
      </c>
      <c r="I5669" t="s">
        <v>4744</v>
      </c>
      <c r="J5669" t="s">
        <v>5191</v>
      </c>
      <c r="K5669" t="s">
        <v>730</v>
      </c>
      <c r="L5669">
        <v>16.829999999999998</v>
      </c>
      <c r="M5669" s="452">
        <v>45653</v>
      </c>
      <c r="N5669">
        <v>14.85</v>
      </c>
      <c r="O5669">
        <v>15.38</v>
      </c>
      <c r="P5669">
        <v>95.93</v>
      </c>
    </row>
    <row r="5670" spans="1:16" x14ac:dyDescent="0.3">
      <c r="A5670">
        <v>12234</v>
      </c>
      <c r="B5670">
        <v>105</v>
      </c>
      <c r="C5670" t="s">
        <v>557</v>
      </c>
      <c r="D5670" s="452">
        <v>45658</v>
      </c>
      <c r="E5670">
        <v>20661</v>
      </c>
      <c r="F5670" t="s">
        <v>5012</v>
      </c>
      <c r="G5670">
        <v>2110</v>
      </c>
      <c r="H5670">
        <v>11</v>
      </c>
      <c r="I5670" t="s">
        <v>4736</v>
      </c>
      <c r="J5670" t="s">
        <v>5191</v>
      </c>
      <c r="K5670" t="s">
        <v>730</v>
      </c>
      <c r="L5670">
        <v>8.6999999999999993</v>
      </c>
      <c r="M5670" s="452">
        <v>45643</v>
      </c>
      <c r="N5670">
        <v>8.6999999999999993</v>
      </c>
      <c r="O5670">
        <v>8.7899999999999991</v>
      </c>
      <c r="P5670">
        <v>95.7</v>
      </c>
    </row>
    <row r="5671" spans="1:16" x14ac:dyDescent="0.3">
      <c r="A5671">
        <v>12051</v>
      </c>
      <c r="B5671">
        <v>105</v>
      </c>
      <c r="C5671" t="s">
        <v>557</v>
      </c>
      <c r="D5671" s="452">
        <v>45658</v>
      </c>
      <c r="E5671">
        <v>24062</v>
      </c>
      <c r="F5671" t="s">
        <v>5598</v>
      </c>
      <c r="G5671">
        <v>2088</v>
      </c>
      <c r="H5671">
        <v>2.33</v>
      </c>
      <c r="I5671" t="s">
        <v>4744</v>
      </c>
      <c r="J5671" t="s">
        <v>5191</v>
      </c>
      <c r="K5671" t="s">
        <v>730</v>
      </c>
      <c r="L5671">
        <v>0</v>
      </c>
      <c r="M5671" s="452">
        <v>45406</v>
      </c>
      <c r="N5671">
        <v>41</v>
      </c>
      <c r="O5671">
        <v>41</v>
      </c>
      <c r="P5671">
        <v>95.53</v>
      </c>
    </row>
    <row r="5672" spans="1:16" x14ac:dyDescent="0.3">
      <c r="A5672">
        <v>12243</v>
      </c>
      <c r="B5672">
        <v>105</v>
      </c>
      <c r="C5672" t="s">
        <v>557</v>
      </c>
      <c r="D5672" s="452">
        <v>45658</v>
      </c>
      <c r="E5672">
        <v>23095</v>
      </c>
      <c r="F5672" t="s">
        <v>4741</v>
      </c>
      <c r="G5672">
        <v>2754</v>
      </c>
      <c r="H5672">
        <v>100</v>
      </c>
      <c r="I5672" t="s">
        <v>4736</v>
      </c>
      <c r="J5672" t="s">
        <v>5191</v>
      </c>
      <c r="K5672" t="s">
        <v>730</v>
      </c>
      <c r="L5672">
        <v>0.95</v>
      </c>
      <c r="M5672" s="452">
        <v>45653</v>
      </c>
      <c r="N5672">
        <v>0.9</v>
      </c>
      <c r="O5672">
        <v>0.9</v>
      </c>
      <c r="P5672">
        <v>95</v>
      </c>
    </row>
    <row r="5673" spans="1:16" x14ac:dyDescent="0.3">
      <c r="A5673">
        <v>12134</v>
      </c>
      <c r="B5673">
        <v>105</v>
      </c>
      <c r="C5673" t="s">
        <v>557</v>
      </c>
      <c r="D5673" s="452">
        <v>45658</v>
      </c>
      <c r="E5673">
        <v>19439</v>
      </c>
      <c r="F5673" t="s">
        <v>4917</v>
      </c>
      <c r="G5673">
        <v>2756</v>
      </c>
      <c r="H5673">
        <v>3</v>
      </c>
      <c r="I5673" t="s">
        <v>4744</v>
      </c>
      <c r="J5673" t="s">
        <v>5191</v>
      </c>
      <c r="K5673" t="s">
        <v>730</v>
      </c>
      <c r="L5673">
        <v>31.6</v>
      </c>
      <c r="M5673" s="452">
        <v>45646</v>
      </c>
      <c r="N5673">
        <v>31.6</v>
      </c>
      <c r="O5673">
        <v>31.6</v>
      </c>
      <c r="P5673">
        <v>94.8</v>
      </c>
    </row>
    <row r="5674" spans="1:16" x14ac:dyDescent="0.3">
      <c r="A5674">
        <v>12027</v>
      </c>
      <c r="B5674">
        <v>105</v>
      </c>
      <c r="C5674" t="s">
        <v>557</v>
      </c>
      <c r="D5674" s="452">
        <v>45658</v>
      </c>
      <c r="E5674">
        <v>18129</v>
      </c>
      <c r="F5674" t="s">
        <v>5043</v>
      </c>
      <c r="G5674">
        <v>3486</v>
      </c>
      <c r="H5674">
        <v>0.8</v>
      </c>
      <c r="I5674" t="s">
        <v>4805</v>
      </c>
      <c r="J5674" t="s">
        <v>5222</v>
      </c>
      <c r="K5674" t="s">
        <v>730</v>
      </c>
      <c r="L5674">
        <v>0</v>
      </c>
      <c r="M5674" s="452">
        <v>45574</v>
      </c>
      <c r="N5674">
        <v>116.9</v>
      </c>
      <c r="O5674">
        <v>120</v>
      </c>
      <c r="P5674">
        <v>93.52</v>
      </c>
    </row>
    <row r="5675" spans="1:16" x14ac:dyDescent="0.3">
      <c r="A5675">
        <v>12253</v>
      </c>
      <c r="B5675">
        <v>105</v>
      </c>
      <c r="C5675" t="s">
        <v>557</v>
      </c>
      <c r="D5675" s="452">
        <v>45658</v>
      </c>
      <c r="E5675">
        <v>17957</v>
      </c>
      <c r="F5675" t="s">
        <v>4745</v>
      </c>
      <c r="G5675">
        <v>3622</v>
      </c>
      <c r="H5675">
        <v>76</v>
      </c>
      <c r="I5675" t="s">
        <v>4736</v>
      </c>
      <c r="J5675" t="s">
        <v>5222</v>
      </c>
      <c r="K5675" t="s">
        <v>730</v>
      </c>
      <c r="L5675">
        <v>1.23</v>
      </c>
      <c r="M5675" s="452">
        <v>45645</v>
      </c>
      <c r="N5675">
        <v>1.23</v>
      </c>
      <c r="O5675">
        <v>1.23</v>
      </c>
      <c r="P5675">
        <v>93.48</v>
      </c>
    </row>
    <row r="5676" spans="1:16" x14ac:dyDescent="0.3">
      <c r="A5676">
        <v>12138</v>
      </c>
      <c r="B5676">
        <v>105</v>
      </c>
      <c r="C5676" t="s">
        <v>557</v>
      </c>
      <c r="D5676" s="452">
        <v>45658</v>
      </c>
      <c r="E5676">
        <v>19346</v>
      </c>
      <c r="F5676" t="s">
        <v>4835</v>
      </c>
      <c r="G5676">
        <v>2770</v>
      </c>
      <c r="H5676">
        <v>1.8</v>
      </c>
      <c r="I5676" t="s">
        <v>4744</v>
      </c>
      <c r="J5676" t="s">
        <v>5191</v>
      </c>
      <c r="K5676" t="s">
        <v>730</v>
      </c>
      <c r="L5676">
        <v>51.9</v>
      </c>
      <c r="M5676" s="452">
        <v>45646</v>
      </c>
      <c r="N5676">
        <v>51.9</v>
      </c>
      <c r="O5676">
        <v>51.9</v>
      </c>
      <c r="P5676">
        <v>93.42</v>
      </c>
    </row>
    <row r="5677" spans="1:16" x14ac:dyDescent="0.3">
      <c r="A5677">
        <v>14893</v>
      </c>
      <c r="B5677">
        <v>105</v>
      </c>
      <c r="C5677" t="s">
        <v>557</v>
      </c>
      <c r="D5677" s="452">
        <v>45658</v>
      </c>
      <c r="E5677">
        <v>25763</v>
      </c>
      <c r="F5677" t="s">
        <v>4943</v>
      </c>
      <c r="G5677">
        <v>6314</v>
      </c>
      <c r="H5677">
        <v>13</v>
      </c>
      <c r="I5677" t="s">
        <v>4736</v>
      </c>
      <c r="J5677" t="s">
        <v>5191</v>
      </c>
      <c r="K5677" t="s">
        <v>730</v>
      </c>
      <c r="L5677">
        <v>0</v>
      </c>
      <c r="M5677" s="452">
        <v>-693593</v>
      </c>
      <c r="N5677">
        <v>0</v>
      </c>
      <c r="O5677">
        <v>0</v>
      </c>
      <c r="P5677">
        <v>90.87</v>
      </c>
    </row>
    <row r="5678" spans="1:16" x14ac:dyDescent="0.3">
      <c r="A5678">
        <v>12068</v>
      </c>
      <c r="B5678">
        <v>105</v>
      </c>
      <c r="C5678" t="s">
        <v>557</v>
      </c>
      <c r="D5678" s="452">
        <v>45658</v>
      </c>
      <c r="E5678">
        <v>24323</v>
      </c>
      <c r="F5678" t="s">
        <v>4844</v>
      </c>
      <c r="G5678">
        <v>2262</v>
      </c>
      <c r="H5678">
        <v>4.9000000000000004</v>
      </c>
      <c r="I5678" t="s">
        <v>4744</v>
      </c>
      <c r="J5678" t="s">
        <v>5191</v>
      </c>
      <c r="K5678" t="s">
        <v>730</v>
      </c>
      <c r="L5678">
        <v>18.53</v>
      </c>
      <c r="M5678" s="452">
        <v>45646</v>
      </c>
      <c r="N5678">
        <v>18.53</v>
      </c>
      <c r="O5678">
        <v>17.7</v>
      </c>
      <c r="P5678">
        <v>90.8</v>
      </c>
    </row>
    <row r="5679" spans="1:16" x14ac:dyDescent="0.3">
      <c r="A5679">
        <v>12219</v>
      </c>
      <c r="B5679">
        <v>105</v>
      </c>
      <c r="C5679" t="s">
        <v>557</v>
      </c>
      <c r="D5679" s="452">
        <v>45658</v>
      </c>
      <c r="E5679">
        <v>21079</v>
      </c>
      <c r="F5679" t="s">
        <v>5124</v>
      </c>
      <c r="G5679">
        <v>1991</v>
      </c>
      <c r="H5679">
        <v>3</v>
      </c>
      <c r="I5679" t="s">
        <v>4736</v>
      </c>
      <c r="J5679" t="s">
        <v>5191</v>
      </c>
      <c r="K5679" t="s">
        <v>730</v>
      </c>
      <c r="L5679">
        <v>0</v>
      </c>
      <c r="M5679" s="452">
        <v>45490</v>
      </c>
      <c r="N5679">
        <v>29.9</v>
      </c>
      <c r="O5679">
        <v>32.93</v>
      </c>
      <c r="P5679">
        <v>89.7</v>
      </c>
    </row>
    <row r="5680" spans="1:16" x14ac:dyDescent="0.3">
      <c r="A5680">
        <v>12081</v>
      </c>
      <c r="B5680">
        <v>105</v>
      </c>
      <c r="C5680" t="s">
        <v>557</v>
      </c>
      <c r="D5680" s="452">
        <v>45658</v>
      </c>
      <c r="E5680">
        <v>20207</v>
      </c>
      <c r="F5680" t="s">
        <v>4929</v>
      </c>
      <c r="G5680">
        <v>2253</v>
      </c>
      <c r="H5680">
        <v>2</v>
      </c>
      <c r="I5680" t="s">
        <v>4744</v>
      </c>
      <c r="J5680" t="s">
        <v>5191</v>
      </c>
      <c r="K5680" t="s">
        <v>730</v>
      </c>
      <c r="L5680">
        <v>44.57</v>
      </c>
      <c r="M5680" s="452">
        <v>45646</v>
      </c>
      <c r="N5680">
        <v>26.9</v>
      </c>
      <c r="O5680">
        <v>26.9</v>
      </c>
      <c r="P5680">
        <v>89.14</v>
      </c>
    </row>
    <row r="5681" spans="1:16" x14ac:dyDescent="0.3">
      <c r="A5681">
        <v>12016</v>
      </c>
      <c r="B5681">
        <v>105</v>
      </c>
      <c r="C5681" t="s">
        <v>557</v>
      </c>
      <c r="D5681" s="452">
        <v>45658</v>
      </c>
      <c r="E5681">
        <v>18233</v>
      </c>
      <c r="F5681" t="s">
        <v>4970</v>
      </c>
      <c r="G5681">
        <v>3395</v>
      </c>
      <c r="H5681">
        <v>1</v>
      </c>
      <c r="I5681" t="s">
        <v>4805</v>
      </c>
      <c r="J5681" t="s">
        <v>5222</v>
      </c>
      <c r="K5681" t="s">
        <v>730</v>
      </c>
      <c r="L5681">
        <v>88.9</v>
      </c>
      <c r="M5681" s="452">
        <v>45638</v>
      </c>
      <c r="N5681">
        <v>88.9</v>
      </c>
      <c r="O5681">
        <v>92.89</v>
      </c>
      <c r="P5681">
        <v>88.9</v>
      </c>
    </row>
    <row r="5682" spans="1:16" x14ac:dyDescent="0.3">
      <c r="A5682">
        <v>12248</v>
      </c>
      <c r="B5682">
        <v>105</v>
      </c>
      <c r="C5682" t="s">
        <v>557</v>
      </c>
      <c r="D5682" s="452">
        <v>45658</v>
      </c>
      <c r="E5682">
        <v>19253</v>
      </c>
      <c r="F5682" t="s">
        <v>5637</v>
      </c>
      <c r="G5682">
        <v>2784</v>
      </c>
      <c r="H5682">
        <v>4</v>
      </c>
      <c r="I5682" t="s">
        <v>4736</v>
      </c>
      <c r="J5682" t="s">
        <v>5191</v>
      </c>
      <c r="K5682" t="s">
        <v>730</v>
      </c>
      <c r="L5682">
        <v>19.98</v>
      </c>
      <c r="M5682" s="452">
        <v>45631</v>
      </c>
      <c r="N5682">
        <v>19.98</v>
      </c>
      <c r="O5682">
        <v>19.98</v>
      </c>
      <c r="P5682">
        <v>79.92</v>
      </c>
    </row>
    <row r="5683" spans="1:16" x14ac:dyDescent="0.3">
      <c r="A5683">
        <v>12002</v>
      </c>
      <c r="B5683">
        <v>105</v>
      </c>
      <c r="C5683" t="s">
        <v>557</v>
      </c>
      <c r="D5683" s="452">
        <v>45658</v>
      </c>
      <c r="E5683">
        <v>18460</v>
      </c>
      <c r="F5683" t="s">
        <v>5541</v>
      </c>
      <c r="G5683">
        <v>3193</v>
      </c>
      <c r="H5683">
        <v>2</v>
      </c>
      <c r="I5683" t="s">
        <v>4805</v>
      </c>
      <c r="J5683" t="s">
        <v>5222</v>
      </c>
      <c r="K5683" t="s">
        <v>730</v>
      </c>
      <c r="L5683">
        <v>39.9</v>
      </c>
      <c r="M5683" s="452">
        <v>45644</v>
      </c>
      <c r="N5683">
        <v>39.9</v>
      </c>
      <c r="O5683">
        <v>39.9</v>
      </c>
      <c r="P5683">
        <v>79.8</v>
      </c>
    </row>
    <row r="5684" spans="1:16" x14ac:dyDescent="0.3">
      <c r="A5684">
        <v>12205</v>
      </c>
      <c r="B5684">
        <v>105</v>
      </c>
      <c r="C5684" t="s">
        <v>557</v>
      </c>
      <c r="D5684" s="452">
        <v>45658</v>
      </c>
      <c r="E5684">
        <v>17883</v>
      </c>
      <c r="F5684" t="s">
        <v>5113</v>
      </c>
      <c r="G5684">
        <v>3673</v>
      </c>
      <c r="H5684">
        <v>3</v>
      </c>
      <c r="I5684" t="s">
        <v>4738</v>
      </c>
      <c r="J5684" t="s">
        <v>5222</v>
      </c>
      <c r="K5684" t="s">
        <v>730</v>
      </c>
      <c r="L5684">
        <v>0</v>
      </c>
      <c r="M5684" s="452">
        <v>45546</v>
      </c>
      <c r="N5684">
        <v>26.28</v>
      </c>
      <c r="O5684">
        <v>26.28</v>
      </c>
      <c r="P5684">
        <v>78.84</v>
      </c>
    </row>
    <row r="5685" spans="1:16" x14ac:dyDescent="0.3">
      <c r="A5685">
        <v>12013</v>
      </c>
      <c r="B5685">
        <v>105</v>
      </c>
      <c r="C5685" t="s">
        <v>557</v>
      </c>
      <c r="D5685" s="452">
        <v>45658</v>
      </c>
      <c r="E5685">
        <v>18273</v>
      </c>
      <c r="F5685" t="s">
        <v>5058</v>
      </c>
      <c r="G5685">
        <v>3357</v>
      </c>
      <c r="H5685">
        <v>2</v>
      </c>
      <c r="I5685" t="s">
        <v>4805</v>
      </c>
      <c r="J5685" t="s">
        <v>5222</v>
      </c>
      <c r="K5685" t="s">
        <v>730</v>
      </c>
      <c r="L5685">
        <v>0</v>
      </c>
      <c r="M5685" s="452">
        <v>-693593</v>
      </c>
      <c r="N5685">
        <v>0</v>
      </c>
      <c r="O5685">
        <v>39.18</v>
      </c>
      <c r="P5685">
        <v>78.36</v>
      </c>
    </row>
    <row r="5686" spans="1:16" x14ac:dyDescent="0.3">
      <c r="A5686">
        <v>14906</v>
      </c>
      <c r="B5686">
        <v>105</v>
      </c>
      <c r="C5686" t="s">
        <v>557</v>
      </c>
      <c r="D5686" s="452">
        <v>45658</v>
      </c>
      <c r="E5686">
        <v>24284</v>
      </c>
      <c r="F5686" t="s">
        <v>5556</v>
      </c>
      <c r="G5686">
        <v>2038</v>
      </c>
      <c r="H5686">
        <v>1.5</v>
      </c>
      <c r="I5686" t="s">
        <v>4744</v>
      </c>
      <c r="J5686" t="s">
        <v>5191</v>
      </c>
      <c r="K5686" t="s">
        <v>730</v>
      </c>
      <c r="L5686">
        <v>0</v>
      </c>
      <c r="M5686" s="452">
        <v>-693593</v>
      </c>
      <c r="N5686">
        <v>0</v>
      </c>
      <c r="O5686">
        <v>52.2</v>
      </c>
      <c r="P5686">
        <v>78.3</v>
      </c>
    </row>
    <row r="5687" spans="1:16" x14ac:dyDescent="0.3">
      <c r="A5687">
        <v>12037</v>
      </c>
      <c r="B5687">
        <v>105</v>
      </c>
      <c r="C5687" t="s">
        <v>557</v>
      </c>
      <c r="D5687" s="452">
        <v>45658</v>
      </c>
      <c r="E5687">
        <v>20678</v>
      </c>
      <c r="F5687" t="s">
        <v>5559</v>
      </c>
      <c r="G5687">
        <v>5765</v>
      </c>
      <c r="H5687">
        <v>3</v>
      </c>
      <c r="I5687" t="s">
        <v>4805</v>
      </c>
      <c r="J5687" t="s">
        <v>5191</v>
      </c>
      <c r="K5687" t="s">
        <v>730</v>
      </c>
      <c r="L5687">
        <v>0</v>
      </c>
      <c r="M5687" s="452">
        <v>45596</v>
      </c>
      <c r="N5687">
        <v>0</v>
      </c>
      <c r="O5687">
        <v>25.9</v>
      </c>
      <c r="P5687">
        <v>77.7</v>
      </c>
    </row>
    <row r="5688" spans="1:16" x14ac:dyDescent="0.3">
      <c r="A5688">
        <v>12085</v>
      </c>
      <c r="B5688">
        <v>105</v>
      </c>
      <c r="C5688" t="s">
        <v>557</v>
      </c>
      <c r="D5688" s="452">
        <v>45658</v>
      </c>
      <c r="E5688">
        <v>19658</v>
      </c>
      <c r="F5688" t="s">
        <v>4784</v>
      </c>
      <c r="G5688">
        <v>2582</v>
      </c>
      <c r="H5688">
        <v>22.65</v>
      </c>
      <c r="I5688" t="s">
        <v>4744</v>
      </c>
      <c r="J5688" t="s">
        <v>5191</v>
      </c>
      <c r="K5688" t="s">
        <v>730</v>
      </c>
      <c r="L5688">
        <v>0</v>
      </c>
      <c r="M5688" s="452">
        <v>45562</v>
      </c>
      <c r="N5688">
        <v>3.4</v>
      </c>
      <c r="O5688">
        <v>5.5</v>
      </c>
      <c r="P5688">
        <v>77.010000000000005</v>
      </c>
    </row>
    <row r="5689" spans="1:16" x14ac:dyDescent="0.3">
      <c r="A5689">
        <v>14894</v>
      </c>
      <c r="B5689">
        <v>105</v>
      </c>
      <c r="C5689" t="s">
        <v>557</v>
      </c>
      <c r="D5689" s="452">
        <v>45658</v>
      </c>
      <c r="E5689">
        <v>25762</v>
      </c>
      <c r="F5689" t="s">
        <v>4770</v>
      </c>
      <c r="G5689">
        <v>9070</v>
      </c>
      <c r="H5689">
        <v>11</v>
      </c>
      <c r="I5689" t="s">
        <v>4736</v>
      </c>
      <c r="J5689" t="s">
        <v>5191</v>
      </c>
      <c r="K5689" t="s">
        <v>730</v>
      </c>
      <c r="L5689">
        <v>0</v>
      </c>
      <c r="M5689" s="452">
        <v>-693593</v>
      </c>
      <c r="N5689">
        <v>0</v>
      </c>
      <c r="O5689">
        <v>0</v>
      </c>
      <c r="P5689">
        <v>76.89</v>
      </c>
    </row>
    <row r="5690" spans="1:16" x14ac:dyDescent="0.3">
      <c r="A5690">
        <v>12208</v>
      </c>
      <c r="B5690">
        <v>105</v>
      </c>
      <c r="C5690" t="s">
        <v>557</v>
      </c>
      <c r="D5690" s="452">
        <v>45658</v>
      </c>
      <c r="E5690">
        <v>20887</v>
      </c>
      <c r="F5690" t="s">
        <v>4953</v>
      </c>
      <c r="G5690">
        <v>2040</v>
      </c>
      <c r="H5690">
        <v>2.3199999999999998</v>
      </c>
      <c r="I5690" t="s">
        <v>4879</v>
      </c>
      <c r="J5690" t="s">
        <v>5191</v>
      </c>
      <c r="K5690" t="s">
        <v>730</v>
      </c>
      <c r="L5690">
        <v>33</v>
      </c>
      <c r="M5690" s="452">
        <v>45631</v>
      </c>
      <c r="N5690">
        <v>33</v>
      </c>
      <c r="O5690">
        <v>33.9</v>
      </c>
      <c r="P5690">
        <v>76.56</v>
      </c>
    </row>
    <row r="5691" spans="1:16" x14ac:dyDescent="0.3">
      <c r="A5691">
        <v>12083</v>
      </c>
      <c r="B5691">
        <v>105</v>
      </c>
      <c r="C5691" t="s">
        <v>557</v>
      </c>
      <c r="D5691" s="452">
        <v>45658</v>
      </c>
      <c r="E5691">
        <v>20185</v>
      </c>
      <c r="F5691" t="s">
        <v>5054</v>
      </c>
      <c r="G5691">
        <v>2259</v>
      </c>
      <c r="H5691">
        <v>2.1800000000000002</v>
      </c>
      <c r="I5691" t="s">
        <v>4744</v>
      </c>
      <c r="J5691" t="s">
        <v>5191</v>
      </c>
      <c r="K5691" t="s">
        <v>730</v>
      </c>
      <c r="L5691">
        <v>0</v>
      </c>
      <c r="M5691" s="452">
        <v>45582</v>
      </c>
      <c r="N5691">
        <v>34.9</v>
      </c>
      <c r="O5691">
        <v>34.36</v>
      </c>
      <c r="P5691">
        <v>76.08</v>
      </c>
    </row>
    <row r="5692" spans="1:16" x14ac:dyDescent="0.3">
      <c r="A5692">
        <v>12062</v>
      </c>
      <c r="B5692">
        <v>105</v>
      </c>
      <c r="C5692" t="s">
        <v>557</v>
      </c>
      <c r="D5692" s="452">
        <v>45658</v>
      </c>
      <c r="E5692">
        <v>24241</v>
      </c>
      <c r="F5692" t="s">
        <v>5562</v>
      </c>
      <c r="G5692">
        <v>2197</v>
      </c>
      <c r="H5692">
        <v>3.97</v>
      </c>
      <c r="I5692" t="s">
        <v>4744</v>
      </c>
      <c r="J5692" t="s">
        <v>5191</v>
      </c>
      <c r="K5692" t="s">
        <v>730</v>
      </c>
      <c r="L5692">
        <v>0</v>
      </c>
      <c r="M5692" s="452">
        <v>45504</v>
      </c>
      <c r="N5692">
        <v>18.5</v>
      </c>
      <c r="O5692">
        <v>18.5</v>
      </c>
      <c r="P5692">
        <v>73.45</v>
      </c>
    </row>
    <row r="5693" spans="1:16" x14ac:dyDescent="0.3">
      <c r="A5693">
        <v>12020</v>
      </c>
      <c r="B5693">
        <v>105</v>
      </c>
      <c r="C5693" t="s">
        <v>557</v>
      </c>
      <c r="D5693" s="452">
        <v>45658</v>
      </c>
      <c r="E5693">
        <v>18218</v>
      </c>
      <c r="F5693" t="s">
        <v>5038</v>
      </c>
      <c r="G5693">
        <v>3410</v>
      </c>
      <c r="H5693">
        <v>2</v>
      </c>
      <c r="I5693" t="s">
        <v>4805</v>
      </c>
      <c r="J5693" t="s">
        <v>5222</v>
      </c>
      <c r="K5693" t="s">
        <v>730</v>
      </c>
      <c r="L5693">
        <v>0</v>
      </c>
      <c r="M5693" s="452">
        <v>45581</v>
      </c>
      <c r="N5693">
        <v>36.5</v>
      </c>
      <c r="O5693">
        <v>41.48</v>
      </c>
      <c r="P5693">
        <v>73</v>
      </c>
    </row>
    <row r="5694" spans="1:16" x14ac:dyDescent="0.3">
      <c r="A5694">
        <v>12105</v>
      </c>
      <c r="B5694">
        <v>105</v>
      </c>
      <c r="C5694" t="s">
        <v>557</v>
      </c>
      <c r="D5694" s="452">
        <v>45658</v>
      </c>
      <c r="E5694">
        <v>19623</v>
      </c>
      <c r="F5694" t="s">
        <v>4764</v>
      </c>
      <c r="G5694">
        <v>2611</v>
      </c>
      <c r="H5694">
        <v>23.15</v>
      </c>
      <c r="I5694" t="s">
        <v>4744</v>
      </c>
      <c r="J5694" t="s">
        <v>5191</v>
      </c>
      <c r="K5694" t="s">
        <v>730</v>
      </c>
      <c r="L5694">
        <v>3.13</v>
      </c>
      <c r="M5694" s="452">
        <v>45653</v>
      </c>
      <c r="N5694">
        <v>2.89</v>
      </c>
      <c r="O5694">
        <v>6</v>
      </c>
      <c r="P5694">
        <v>72.459999999999994</v>
      </c>
    </row>
    <row r="5695" spans="1:16" x14ac:dyDescent="0.3">
      <c r="A5695">
        <v>12112</v>
      </c>
      <c r="B5695">
        <v>105</v>
      </c>
      <c r="C5695" t="s">
        <v>557</v>
      </c>
      <c r="D5695" s="452">
        <v>45658</v>
      </c>
      <c r="E5695">
        <v>19765</v>
      </c>
      <c r="F5695" t="s">
        <v>4889</v>
      </c>
      <c r="G5695">
        <v>2488</v>
      </c>
      <c r="H5695">
        <v>2</v>
      </c>
      <c r="I5695" t="s">
        <v>4744</v>
      </c>
      <c r="J5695" t="s">
        <v>5191</v>
      </c>
      <c r="K5695" t="s">
        <v>730</v>
      </c>
      <c r="L5695">
        <v>35.01</v>
      </c>
      <c r="M5695" s="452">
        <v>45653</v>
      </c>
      <c r="N5695">
        <v>35</v>
      </c>
      <c r="O5695">
        <v>35.47</v>
      </c>
      <c r="P5695">
        <v>70.02</v>
      </c>
    </row>
    <row r="5696" spans="1:16" x14ac:dyDescent="0.3">
      <c r="A5696">
        <v>14898</v>
      </c>
      <c r="B5696">
        <v>105</v>
      </c>
      <c r="C5696" t="s">
        <v>557</v>
      </c>
      <c r="D5696" s="452">
        <v>45658</v>
      </c>
      <c r="E5696">
        <v>25756</v>
      </c>
      <c r="F5696" t="s">
        <v>4854</v>
      </c>
      <c r="G5696">
        <v>9069</v>
      </c>
      <c r="H5696">
        <v>10</v>
      </c>
      <c r="I5696" t="s">
        <v>4749</v>
      </c>
      <c r="J5696" t="s">
        <v>5191</v>
      </c>
      <c r="K5696" t="s">
        <v>730</v>
      </c>
      <c r="L5696">
        <v>0</v>
      </c>
      <c r="M5696" s="452">
        <v>-693593</v>
      </c>
      <c r="N5696">
        <v>0</v>
      </c>
      <c r="O5696">
        <v>0</v>
      </c>
      <c r="P5696">
        <v>69.900000000000006</v>
      </c>
    </row>
    <row r="5697" spans="1:16" x14ac:dyDescent="0.3">
      <c r="A5697">
        <v>12086</v>
      </c>
      <c r="B5697">
        <v>105</v>
      </c>
      <c r="C5697" t="s">
        <v>557</v>
      </c>
      <c r="D5697" s="452">
        <v>45658</v>
      </c>
      <c r="E5697">
        <v>19458</v>
      </c>
      <c r="F5697" t="s">
        <v>5589</v>
      </c>
      <c r="G5697">
        <v>2746</v>
      </c>
      <c r="H5697">
        <v>6.75</v>
      </c>
      <c r="I5697" t="s">
        <v>4744</v>
      </c>
      <c r="J5697" t="s">
        <v>5191</v>
      </c>
      <c r="K5697" t="s">
        <v>730</v>
      </c>
      <c r="L5697">
        <v>10.18</v>
      </c>
      <c r="M5697" s="452">
        <v>45653</v>
      </c>
      <c r="N5697">
        <v>9.8000000000000007</v>
      </c>
      <c r="O5697">
        <v>18</v>
      </c>
      <c r="P5697">
        <v>68.72</v>
      </c>
    </row>
    <row r="5698" spans="1:16" x14ac:dyDescent="0.3">
      <c r="A5698">
        <v>14881</v>
      </c>
      <c r="B5698">
        <v>105</v>
      </c>
      <c r="C5698" t="s">
        <v>557</v>
      </c>
      <c r="D5698" s="452">
        <v>45658</v>
      </c>
      <c r="E5698">
        <v>18242</v>
      </c>
      <c r="F5698" t="s">
        <v>5581</v>
      </c>
      <c r="G5698">
        <v>3386</v>
      </c>
      <c r="H5698">
        <v>0.3</v>
      </c>
      <c r="I5698" t="s">
        <v>4805</v>
      </c>
      <c r="J5698" t="s">
        <v>5222</v>
      </c>
      <c r="K5698" t="s">
        <v>730</v>
      </c>
      <c r="L5698">
        <v>0</v>
      </c>
      <c r="M5698" s="452">
        <v>-693593</v>
      </c>
      <c r="N5698">
        <v>0</v>
      </c>
      <c r="O5698">
        <v>227.13</v>
      </c>
      <c r="P5698">
        <v>68.13</v>
      </c>
    </row>
    <row r="5699" spans="1:16" x14ac:dyDescent="0.3">
      <c r="A5699">
        <v>12218</v>
      </c>
      <c r="B5699">
        <v>105</v>
      </c>
      <c r="C5699" t="s">
        <v>557</v>
      </c>
      <c r="D5699" s="452">
        <v>45658</v>
      </c>
      <c r="E5699">
        <v>18079</v>
      </c>
      <c r="F5699" t="s">
        <v>5603</v>
      </c>
      <c r="G5699">
        <v>3530</v>
      </c>
      <c r="H5699">
        <v>2</v>
      </c>
      <c r="I5699" t="s">
        <v>4736</v>
      </c>
      <c r="J5699" t="s">
        <v>5222</v>
      </c>
      <c r="K5699" t="s">
        <v>730</v>
      </c>
      <c r="L5699">
        <v>33.979999999999997</v>
      </c>
      <c r="M5699" s="452">
        <v>45653</v>
      </c>
      <c r="N5699">
        <v>33.979999999999997</v>
      </c>
      <c r="O5699">
        <v>33.979999999999997</v>
      </c>
      <c r="P5699">
        <v>67.959999999999994</v>
      </c>
    </row>
    <row r="5700" spans="1:16" x14ac:dyDescent="0.3">
      <c r="A5700">
        <v>12185</v>
      </c>
      <c r="B5700">
        <v>105</v>
      </c>
      <c r="C5700" t="s">
        <v>557</v>
      </c>
      <c r="D5700" s="452">
        <v>45658</v>
      </c>
      <c r="E5700">
        <v>20419</v>
      </c>
      <c r="F5700" t="s">
        <v>5498</v>
      </c>
      <c r="G5700">
        <v>2187</v>
      </c>
      <c r="H5700">
        <v>4</v>
      </c>
      <c r="I5700" t="s">
        <v>4738</v>
      </c>
      <c r="J5700" t="s">
        <v>5191</v>
      </c>
      <c r="K5700" t="s">
        <v>730</v>
      </c>
      <c r="L5700">
        <v>0</v>
      </c>
      <c r="M5700" s="452">
        <v>45573</v>
      </c>
      <c r="N5700">
        <v>16.02</v>
      </c>
      <c r="O5700">
        <v>17.03</v>
      </c>
      <c r="P5700">
        <v>64.08</v>
      </c>
    </row>
    <row r="5701" spans="1:16" x14ac:dyDescent="0.3">
      <c r="A5701">
        <v>12008</v>
      </c>
      <c r="B5701">
        <v>105</v>
      </c>
      <c r="C5701" t="s">
        <v>557</v>
      </c>
      <c r="D5701" s="452">
        <v>45658</v>
      </c>
      <c r="E5701">
        <v>24685</v>
      </c>
      <c r="F5701" t="s">
        <v>5055</v>
      </c>
      <c r="G5701">
        <v>5714</v>
      </c>
      <c r="H5701">
        <v>0.42</v>
      </c>
      <c r="I5701" t="s">
        <v>4805</v>
      </c>
      <c r="J5701" t="s">
        <v>5222</v>
      </c>
      <c r="K5701" t="s">
        <v>730</v>
      </c>
      <c r="L5701">
        <v>0</v>
      </c>
      <c r="M5701" s="452">
        <v>45534</v>
      </c>
      <c r="N5701">
        <v>149.9</v>
      </c>
      <c r="O5701">
        <v>145.9</v>
      </c>
      <c r="P5701">
        <v>62.96</v>
      </c>
    </row>
    <row r="5702" spans="1:16" x14ac:dyDescent="0.3">
      <c r="A5702">
        <v>12120</v>
      </c>
      <c r="B5702">
        <v>105</v>
      </c>
      <c r="C5702" t="s">
        <v>557</v>
      </c>
      <c r="D5702" s="452">
        <v>45658</v>
      </c>
      <c r="E5702">
        <v>19743</v>
      </c>
      <c r="F5702" t="s">
        <v>5047</v>
      </c>
      <c r="G5702">
        <v>2510</v>
      </c>
      <c r="H5702">
        <v>4.29</v>
      </c>
      <c r="I5702" t="s">
        <v>4744</v>
      </c>
      <c r="J5702" t="s">
        <v>5191</v>
      </c>
      <c r="K5702" t="s">
        <v>730</v>
      </c>
      <c r="L5702">
        <v>14.63</v>
      </c>
      <c r="M5702" s="452">
        <v>45653</v>
      </c>
      <c r="N5702">
        <v>14</v>
      </c>
      <c r="O5702">
        <v>14</v>
      </c>
      <c r="P5702">
        <v>62.76</v>
      </c>
    </row>
    <row r="5703" spans="1:16" x14ac:dyDescent="0.3">
      <c r="A5703">
        <v>12064</v>
      </c>
      <c r="B5703">
        <v>105</v>
      </c>
      <c r="C5703" t="s">
        <v>557</v>
      </c>
      <c r="D5703" s="452">
        <v>45658</v>
      </c>
      <c r="E5703">
        <v>24267</v>
      </c>
      <c r="F5703" t="s">
        <v>5501</v>
      </c>
      <c r="G5703">
        <v>2249</v>
      </c>
      <c r="H5703">
        <v>0.73</v>
      </c>
      <c r="I5703" t="s">
        <v>4744</v>
      </c>
      <c r="J5703" t="s">
        <v>5191</v>
      </c>
      <c r="K5703" t="s">
        <v>730</v>
      </c>
      <c r="L5703">
        <v>0</v>
      </c>
      <c r="M5703" s="452">
        <v>45507</v>
      </c>
      <c r="N5703">
        <v>85</v>
      </c>
      <c r="O5703">
        <v>85</v>
      </c>
      <c r="P5703">
        <v>62.05</v>
      </c>
    </row>
    <row r="5704" spans="1:16" x14ac:dyDescent="0.3">
      <c r="A5704">
        <v>12091</v>
      </c>
      <c r="B5704">
        <v>105</v>
      </c>
      <c r="C5704" t="s">
        <v>557</v>
      </c>
      <c r="D5704" s="452">
        <v>45658</v>
      </c>
      <c r="E5704">
        <v>19498</v>
      </c>
      <c r="F5704" t="s">
        <v>5487</v>
      </c>
      <c r="G5704">
        <v>2712</v>
      </c>
      <c r="H5704">
        <v>4.75</v>
      </c>
      <c r="I5704" t="s">
        <v>4744</v>
      </c>
      <c r="J5704" t="s">
        <v>5191</v>
      </c>
      <c r="K5704" t="s">
        <v>730</v>
      </c>
      <c r="L5704">
        <v>12.88</v>
      </c>
      <c r="M5704" s="452">
        <v>45653</v>
      </c>
      <c r="N5704">
        <v>10</v>
      </c>
      <c r="O5704">
        <v>9.6999999999999993</v>
      </c>
      <c r="P5704">
        <v>61.18</v>
      </c>
    </row>
    <row r="5705" spans="1:16" x14ac:dyDescent="0.3">
      <c r="A5705">
        <v>12187</v>
      </c>
      <c r="B5705">
        <v>105</v>
      </c>
      <c r="C5705" t="s">
        <v>557</v>
      </c>
      <c r="D5705" s="452">
        <v>45658</v>
      </c>
      <c r="E5705">
        <v>20390</v>
      </c>
      <c r="F5705" t="s">
        <v>5543</v>
      </c>
      <c r="G5705">
        <v>2194</v>
      </c>
      <c r="H5705">
        <v>2.89</v>
      </c>
      <c r="I5705" t="s">
        <v>4738</v>
      </c>
      <c r="J5705" t="s">
        <v>5191</v>
      </c>
      <c r="K5705" t="s">
        <v>730</v>
      </c>
      <c r="L5705">
        <v>0</v>
      </c>
      <c r="M5705" s="452">
        <v>45434</v>
      </c>
      <c r="N5705">
        <v>20.8</v>
      </c>
      <c r="O5705">
        <v>20.399999999999999</v>
      </c>
      <c r="P5705">
        <v>60.11</v>
      </c>
    </row>
    <row r="5706" spans="1:16" x14ac:dyDescent="0.3">
      <c r="A5706">
        <v>12210</v>
      </c>
      <c r="B5706">
        <v>105</v>
      </c>
      <c r="C5706" t="s">
        <v>557</v>
      </c>
      <c r="D5706" s="452">
        <v>45658</v>
      </c>
      <c r="E5706">
        <v>19946</v>
      </c>
      <c r="F5706" t="s">
        <v>5638</v>
      </c>
      <c r="G5706">
        <v>2360</v>
      </c>
      <c r="H5706">
        <v>1</v>
      </c>
      <c r="I5706" t="s">
        <v>4879</v>
      </c>
      <c r="J5706" t="s">
        <v>5191</v>
      </c>
      <c r="K5706" t="s">
        <v>730</v>
      </c>
      <c r="L5706">
        <v>0</v>
      </c>
      <c r="M5706" s="452">
        <v>45561</v>
      </c>
      <c r="N5706">
        <v>59.5</v>
      </c>
      <c r="O5706">
        <v>59.5</v>
      </c>
      <c r="P5706">
        <v>59.5</v>
      </c>
    </row>
    <row r="5707" spans="1:16" x14ac:dyDescent="0.3">
      <c r="A5707">
        <v>12256</v>
      </c>
      <c r="B5707">
        <v>105</v>
      </c>
      <c r="C5707" t="s">
        <v>557</v>
      </c>
      <c r="D5707" s="452">
        <v>45658</v>
      </c>
      <c r="E5707">
        <v>18004</v>
      </c>
      <c r="F5707" t="s">
        <v>5093</v>
      </c>
      <c r="G5707">
        <v>3592</v>
      </c>
      <c r="H5707">
        <v>27</v>
      </c>
      <c r="I5707" t="s">
        <v>4738</v>
      </c>
      <c r="J5707" t="s">
        <v>5222</v>
      </c>
      <c r="K5707" t="s">
        <v>730</v>
      </c>
      <c r="L5707">
        <v>0</v>
      </c>
      <c r="M5707" s="452">
        <v>45595</v>
      </c>
      <c r="N5707">
        <v>2.19</v>
      </c>
      <c r="O5707">
        <v>2.19</v>
      </c>
      <c r="P5707">
        <v>59.13</v>
      </c>
    </row>
    <row r="5708" spans="1:16" x14ac:dyDescent="0.3">
      <c r="A5708">
        <v>12040</v>
      </c>
      <c r="B5708">
        <v>105</v>
      </c>
      <c r="C5708" t="s">
        <v>557</v>
      </c>
      <c r="D5708" s="452">
        <v>45658</v>
      </c>
      <c r="E5708">
        <v>24640</v>
      </c>
      <c r="F5708" t="s">
        <v>5585</v>
      </c>
      <c r="G5708">
        <v>5691</v>
      </c>
      <c r="H5708">
        <v>1</v>
      </c>
      <c r="I5708" t="s">
        <v>4805</v>
      </c>
      <c r="J5708" t="s">
        <v>5222</v>
      </c>
      <c r="K5708" t="s">
        <v>730</v>
      </c>
      <c r="L5708">
        <v>0</v>
      </c>
      <c r="M5708" s="452">
        <v>45432</v>
      </c>
      <c r="N5708">
        <v>59</v>
      </c>
      <c r="O5708">
        <v>59</v>
      </c>
      <c r="P5708">
        <v>59</v>
      </c>
    </row>
    <row r="5709" spans="1:16" x14ac:dyDescent="0.3">
      <c r="A5709">
        <v>12209</v>
      </c>
      <c r="B5709">
        <v>105</v>
      </c>
      <c r="C5709" t="s">
        <v>557</v>
      </c>
      <c r="D5709" s="452">
        <v>45658</v>
      </c>
      <c r="E5709">
        <v>20871</v>
      </c>
      <c r="F5709" t="s">
        <v>5015</v>
      </c>
      <c r="G5709">
        <v>2043</v>
      </c>
      <c r="H5709">
        <v>1.88</v>
      </c>
      <c r="I5709" t="s">
        <v>4879</v>
      </c>
      <c r="J5709" t="s">
        <v>5191</v>
      </c>
      <c r="K5709" t="s">
        <v>730</v>
      </c>
      <c r="L5709">
        <v>30.9</v>
      </c>
      <c r="M5709" s="452">
        <v>45646</v>
      </c>
      <c r="N5709">
        <v>30.9</v>
      </c>
      <c r="O5709">
        <v>30.9</v>
      </c>
      <c r="P5709">
        <v>58.09</v>
      </c>
    </row>
    <row r="5710" spans="1:16" x14ac:dyDescent="0.3">
      <c r="A5710">
        <v>12230</v>
      </c>
      <c r="B5710">
        <v>105</v>
      </c>
      <c r="C5710" t="s">
        <v>557</v>
      </c>
      <c r="D5710" s="452">
        <v>45658</v>
      </c>
      <c r="E5710">
        <v>20238</v>
      </c>
      <c r="F5710" t="s">
        <v>5610</v>
      </c>
      <c r="G5710">
        <v>2242</v>
      </c>
      <c r="H5710">
        <v>8</v>
      </c>
      <c r="I5710" t="s">
        <v>4736</v>
      </c>
      <c r="J5710" t="s">
        <v>5191</v>
      </c>
      <c r="K5710" t="s">
        <v>730</v>
      </c>
      <c r="L5710">
        <v>0</v>
      </c>
      <c r="M5710" s="452">
        <v>45545</v>
      </c>
      <c r="N5710">
        <v>7.19</v>
      </c>
      <c r="O5710">
        <v>6.93</v>
      </c>
      <c r="P5710">
        <v>57.52</v>
      </c>
    </row>
    <row r="5711" spans="1:16" x14ac:dyDescent="0.3">
      <c r="A5711">
        <v>12060</v>
      </c>
      <c r="B5711">
        <v>105</v>
      </c>
      <c r="C5711" t="s">
        <v>557</v>
      </c>
      <c r="D5711" s="452">
        <v>45658</v>
      </c>
      <c r="E5711">
        <v>23698</v>
      </c>
      <c r="F5711" t="s">
        <v>5453</v>
      </c>
      <c r="G5711">
        <v>2188</v>
      </c>
      <c r="H5711">
        <v>1</v>
      </c>
      <c r="I5711" t="s">
        <v>4744</v>
      </c>
      <c r="J5711" t="s">
        <v>5191</v>
      </c>
      <c r="K5711" t="s">
        <v>730</v>
      </c>
      <c r="L5711">
        <v>0</v>
      </c>
      <c r="M5711" s="452">
        <v>45559</v>
      </c>
      <c r="N5711">
        <v>56.5</v>
      </c>
      <c r="O5711">
        <v>56.5</v>
      </c>
      <c r="P5711">
        <v>56.5</v>
      </c>
    </row>
    <row r="5712" spans="1:16" x14ac:dyDescent="0.3">
      <c r="A5712">
        <v>12178</v>
      </c>
      <c r="B5712">
        <v>105</v>
      </c>
      <c r="C5712" t="s">
        <v>557</v>
      </c>
      <c r="D5712" s="452">
        <v>45658</v>
      </c>
      <c r="E5712">
        <v>24977</v>
      </c>
      <c r="F5712" t="s">
        <v>5538</v>
      </c>
      <c r="G5712">
        <v>5847</v>
      </c>
      <c r="H5712">
        <v>0.83</v>
      </c>
      <c r="I5712" t="s">
        <v>4738</v>
      </c>
      <c r="J5712" t="s">
        <v>5222</v>
      </c>
      <c r="K5712" t="s">
        <v>730</v>
      </c>
      <c r="L5712">
        <v>0</v>
      </c>
      <c r="M5712" s="452">
        <v>45646</v>
      </c>
      <c r="N5712">
        <v>0</v>
      </c>
      <c r="O5712">
        <v>0</v>
      </c>
      <c r="P5712">
        <v>55.76</v>
      </c>
    </row>
    <row r="5713" spans="1:16" x14ac:dyDescent="0.3">
      <c r="A5713">
        <v>12261</v>
      </c>
      <c r="B5713">
        <v>105</v>
      </c>
      <c r="C5713" t="s">
        <v>557</v>
      </c>
      <c r="D5713" s="452">
        <v>45658</v>
      </c>
      <c r="E5713">
        <v>24409</v>
      </c>
      <c r="F5713" t="s">
        <v>4742</v>
      </c>
      <c r="G5713">
        <v>3665</v>
      </c>
      <c r="H5713">
        <v>25</v>
      </c>
      <c r="I5713" t="s">
        <v>4736</v>
      </c>
      <c r="J5713" t="s">
        <v>5222</v>
      </c>
      <c r="K5713" t="s">
        <v>730</v>
      </c>
      <c r="L5713">
        <v>2.19</v>
      </c>
      <c r="M5713" s="452">
        <v>45646</v>
      </c>
      <c r="N5713">
        <v>2.19</v>
      </c>
      <c r="O5713">
        <v>1.78</v>
      </c>
      <c r="P5713">
        <v>54.75</v>
      </c>
    </row>
    <row r="5714" spans="1:16" x14ac:dyDescent="0.3">
      <c r="A5714">
        <v>12007</v>
      </c>
      <c r="B5714">
        <v>105</v>
      </c>
      <c r="C5714" t="s">
        <v>557</v>
      </c>
      <c r="D5714" s="452">
        <v>45658</v>
      </c>
      <c r="E5714">
        <v>18339</v>
      </c>
      <c r="F5714" t="s">
        <v>5033</v>
      </c>
      <c r="G5714">
        <v>3296</v>
      </c>
      <c r="H5714">
        <v>1</v>
      </c>
      <c r="I5714" t="s">
        <v>4805</v>
      </c>
      <c r="J5714" t="s">
        <v>5222</v>
      </c>
      <c r="K5714" t="s">
        <v>730</v>
      </c>
      <c r="L5714">
        <v>0</v>
      </c>
      <c r="M5714" s="452">
        <v>-693593</v>
      </c>
      <c r="N5714">
        <v>0</v>
      </c>
      <c r="O5714">
        <v>53.9</v>
      </c>
      <c r="P5714">
        <v>53.67</v>
      </c>
    </row>
    <row r="5715" spans="1:16" x14ac:dyDescent="0.3">
      <c r="A5715">
        <v>12189</v>
      </c>
      <c r="B5715">
        <v>105</v>
      </c>
      <c r="C5715" t="s">
        <v>557</v>
      </c>
      <c r="D5715" s="452">
        <v>45658</v>
      </c>
      <c r="E5715">
        <v>20358</v>
      </c>
      <c r="F5715" t="s">
        <v>4911</v>
      </c>
      <c r="G5715">
        <v>2200</v>
      </c>
      <c r="H5715">
        <v>3.66</v>
      </c>
      <c r="I5715" t="s">
        <v>4738</v>
      </c>
      <c r="J5715" t="s">
        <v>5191</v>
      </c>
      <c r="K5715" t="s">
        <v>730</v>
      </c>
      <c r="L5715">
        <v>14.5</v>
      </c>
      <c r="M5715" s="452">
        <v>45646</v>
      </c>
      <c r="N5715">
        <v>14.5</v>
      </c>
      <c r="O5715">
        <v>14.5</v>
      </c>
      <c r="P5715">
        <v>53.07</v>
      </c>
    </row>
    <row r="5716" spans="1:16" x14ac:dyDescent="0.3">
      <c r="A5716">
        <v>12041</v>
      </c>
      <c r="B5716">
        <v>105</v>
      </c>
      <c r="C5716" t="s">
        <v>557</v>
      </c>
      <c r="D5716" s="452">
        <v>45658</v>
      </c>
      <c r="E5716">
        <v>17597</v>
      </c>
      <c r="F5716" t="s">
        <v>5587</v>
      </c>
      <c r="G5716">
        <v>3930</v>
      </c>
      <c r="H5716">
        <v>1</v>
      </c>
      <c r="I5716" t="s">
        <v>4805</v>
      </c>
      <c r="J5716" t="s">
        <v>5222</v>
      </c>
      <c r="K5716" t="s">
        <v>730</v>
      </c>
      <c r="L5716">
        <v>0</v>
      </c>
      <c r="M5716" s="452">
        <v>45595</v>
      </c>
      <c r="N5716">
        <v>52.61</v>
      </c>
      <c r="O5716">
        <v>49.4</v>
      </c>
      <c r="P5716">
        <v>52.61</v>
      </c>
    </row>
    <row r="5717" spans="1:16" x14ac:dyDescent="0.3">
      <c r="A5717">
        <v>12265</v>
      </c>
      <c r="B5717">
        <v>105</v>
      </c>
      <c r="C5717" t="s">
        <v>557</v>
      </c>
      <c r="D5717" s="452">
        <v>45658</v>
      </c>
      <c r="E5717">
        <v>17728</v>
      </c>
      <c r="F5717" t="s">
        <v>5639</v>
      </c>
      <c r="G5717">
        <v>3813</v>
      </c>
      <c r="H5717">
        <v>1</v>
      </c>
      <c r="I5717" t="s">
        <v>4736</v>
      </c>
      <c r="J5717" t="s">
        <v>5222</v>
      </c>
      <c r="K5717" t="s">
        <v>730</v>
      </c>
      <c r="L5717">
        <v>0</v>
      </c>
      <c r="M5717" s="452">
        <v>45561</v>
      </c>
      <c r="N5717">
        <v>49.5</v>
      </c>
      <c r="O5717">
        <v>49.5</v>
      </c>
      <c r="P5717">
        <v>49.5</v>
      </c>
    </row>
    <row r="5718" spans="1:16" x14ac:dyDescent="0.3">
      <c r="A5718">
        <v>12251</v>
      </c>
      <c r="B5718">
        <v>105</v>
      </c>
      <c r="C5718" t="s">
        <v>557</v>
      </c>
      <c r="D5718" s="452">
        <v>45658</v>
      </c>
      <c r="E5718">
        <v>18745</v>
      </c>
      <c r="F5718" t="s">
        <v>4892</v>
      </c>
      <c r="G5718">
        <v>3014</v>
      </c>
      <c r="H5718">
        <v>5</v>
      </c>
      <c r="I5718" t="s">
        <v>4736</v>
      </c>
      <c r="J5718" t="s">
        <v>5191</v>
      </c>
      <c r="K5718" t="s">
        <v>730</v>
      </c>
      <c r="L5718">
        <v>0</v>
      </c>
      <c r="M5718" s="452">
        <v>45386</v>
      </c>
      <c r="N5718">
        <v>9.8000000000000007</v>
      </c>
      <c r="O5718">
        <v>9.8000000000000007</v>
      </c>
      <c r="P5718">
        <v>49</v>
      </c>
    </row>
    <row r="5719" spans="1:16" x14ac:dyDescent="0.3">
      <c r="A5719">
        <v>14888</v>
      </c>
      <c r="B5719">
        <v>105</v>
      </c>
      <c r="C5719" t="s">
        <v>557</v>
      </c>
      <c r="D5719" s="452">
        <v>45658</v>
      </c>
      <c r="E5719">
        <v>25748</v>
      </c>
      <c r="F5719" t="s">
        <v>4999</v>
      </c>
      <c r="G5719">
        <v>9068</v>
      </c>
      <c r="H5719">
        <v>7</v>
      </c>
      <c r="I5719" t="s">
        <v>4749</v>
      </c>
      <c r="J5719" t="s">
        <v>5191</v>
      </c>
      <c r="K5719" t="s">
        <v>730</v>
      </c>
      <c r="L5719">
        <v>0</v>
      </c>
      <c r="M5719" s="452">
        <v>-693593</v>
      </c>
      <c r="N5719">
        <v>0</v>
      </c>
      <c r="O5719">
        <v>0</v>
      </c>
      <c r="P5719">
        <v>48.93</v>
      </c>
    </row>
    <row r="5720" spans="1:16" x14ac:dyDescent="0.3">
      <c r="A5720">
        <v>12255</v>
      </c>
      <c r="B5720">
        <v>105</v>
      </c>
      <c r="C5720" t="s">
        <v>557</v>
      </c>
      <c r="D5720" s="452">
        <v>45658</v>
      </c>
      <c r="E5720">
        <v>22127</v>
      </c>
      <c r="F5720" t="s">
        <v>4756</v>
      </c>
      <c r="G5720">
        <v>3591</v>
      </c>
      <c r="H5720">
        <v>22</v>
      </c>
      <c r="I5720" t="s">
        <v>4736</v>
      </c>
      <c r="J5720" t="s">
        <v>5222</v>
      </c>
      <c r="K5720" t="s">
        <v>730</v>
      </c>
      <c r="L5720">
        <v>2.19</v>
      </c>
      <c r="M5720" s="452">
        <v>45646</v>
      </c>
      <c r="N5720">
        <v>2.19</v>
      </c>
      <c r="O5720">
        <v>1.73</v>
      </c>
      <c r="P5720">
        <v>48.18</v>
      </c>
    </row>
    <row r="5721" spans="1:16" x14ac:dyDescent="0.3">
      <c r="A5721">
        <v>12075</v>
      </c>
      <c r="B5721">
        <v>105</v>
      </c>
      <c r="C5721" t="s">
        <v>557</v>
      </c>
      <c r="D5721" s="452">
        <v>45658</v>
      </c>
      <c r="E5721">
        <v>20443</v>
      </c>
      <c r="F5721" t="s">
        <v>5640</v>
      </c>
      <c r="G5721">
        <v>2174</v>
      </c>
      <c r="H5721">
        <v>0.86</v>
      </c>
      <c r="I5721" t="s">
        <v>4744</v>
      </c>
      <c r="J5721" t="s">
        <v>5191</v>
      </c>
      <c r="K5721" t="s">
        <v>730</v>
      </c>
      <c r="L5721">
        <v>0</v>
      </c>
      <c r="M5721" s="452">
        <v>45600</v>
      </c>
      <c r="N5721">
        <v>56</v>
      </c>
      <c r="O5721">
        <v>56</v>
      </c>
      <c r="P5721">
        <v>48.16</v>
      </c>
    </row>
    <row r="5722" spans="1:16" x14ac:dyDescent="0.3">
      <c r="A5722">
        <v>12089</v>
      </c>
      <c r="B5722">
        <v>105</v>
      </c>
      <c r="C5722" t="s">
        <v>557</v>
      </c>
      <c r="D5722" s="452">
        <v>45658</v>
      </c>
      <c r="E5722">
        <v>19505</v>
      </c>
      <c r="F5722" t="s">
        <v>4872</v>
      </c>
      <c r="G5722">
        <v>2706</v>
      </c>
      <c r="H5722">
        <v>4.5</v>
      </c>
      <c r="I5722" t="s">
        <v>4744</v>
      </c>
      <c r="J5722" t="s">
        <v>5191</v>
      </c>
      <c r="K5722" t="s">
        <v>730</v>
      </c>
      <c r="L5722">
        <v>10.54</v>
      </c>
      <c r="M5722" s="452">
        <v>45653</v>
      </c>
      <c r="N5722">
        <v>7.5</v>
      </c>
      <c r="O5722">
        <v>12.3</v>
      </c>
      <c r="P5722">
        <v>47.43</v>
      </c>
    </row>
    <row r="5723" spans="1:16" x14ac:dyDescent="0.3">
      <c r="A5723">
        <v>12223</v>
      </c>
      <c r="B5723">
        <v>105</v>
      </c>
      <c r="C5723" t="s">
        <v>557</v>
      </c>
      <c r="D5723" s="452">
        <v>45658</v>
      </c>
      <c r="E5723">
        <v>20721</v>
      </c>
      <c r="F5723" t="s">
        <v>5600</v>
      </c>
      <c r="G5723">
        <v>2096</v>
      </c>
      <c r="H5723">
        <v>1</v>
      </c>
      <c r="I5723" t="s">
        <v>4736</v>
      </c>
      <c r="J5723" t="s">
        <v>5191</v>
      </c>
      <c r="K5723" t="s">
        <v>730</v>
      </c>
      <c r="L5723">
        <v>0</v>
      </c>
      <c r="M5723" s="452">
        <v>45539</v>
      </c>
      <c r="N5723">
        <v>46.9</v>
      </c>
      <c r="O5723">
        <v>49.98</v>
      </c>
      <c r="P5723">
        <v>46.9</v>
      </c>
    </row>
    <row r="5724" spans="1:16" x14ac:dyDescent="0.3">
      <c r="A5724">
        <v>12229</v>
      </c>
      <c r="B5724">
        <v>105</v>
      </c>
      <c r="C5724" t="s">
        <v>557</v>
      </c>
      <c r="D5724" s="452">
        <v>45658</v>
      </c>
      <c r="E5724">
        <v>20359</v>
      </c>
      <c r="F5724" t="s">
        <v>5446</v>
      </c>
      <c r="G5724">
        <v>2199</v>
      </c>
      <c r="H5724">
        <v>10.54</v>
      </c>
      <c r="I5724" t="s">
        <v>4736</v>
      </c>
      <c r="J5724" t="s">
        <v>5191</v>
      </c>
      <c r="K5724" t="s">
        <v>730</v>
      </c>
      <c r="L5724">
        <v>4.45</v>
      </c>
      <c r="M5724" s="452">
        <v>45646</v>
      </c>
      <c r="N5724">
        <v>4.45</v>
      </c>
      <c r="O5724">
        <v>4.59</v>
      </c>
      <c r="P5724">
        <v>46.9</v>
      </c>
    </row>
    <row r="5725" spans="1:16" x14ac:dyDescent="0.3">
      <c r="A5725">
        <v>11979</v>
      </c>
      <c r="B5725">
        <v>105</v>
      </c>
      <c r="C5725" t="s">
        <v>557</v>
      </c>
      <c r="D5725" s="452">
        <v>45658</v>
      </c>
      <c r="E5725">
        <v>21024</v>
      </c>
      <c r="F5725" t="s">
        <v>5403</v>
      </c>
      <c r="G5725">
        <v>2003</v>
      </c>
      <c r="H5725">
        <v>0.34</v>
      </c>
      <c r="I5725" t="s">
        <v>4884</v>
      </c>
      <c r="J5725" t="s">
        <v>5191</v>
      </c>
      <c r="K5725" t="s">
        <v>730</v>
      </c>
      <c r="L5725">
        <v>0</v>
      </c>
      <c r="M5725" s="452">
        <v>45372</v>
      </c>
      <c r="N5725">
        <v>137.88</v>
      </c>
      <c r="O5725">
        <v>158.9</v>
      </c>
      <c r="P5725">
        <v>46.88</v>
      </c>
    </row>
    <row r="5726" spans="1:16" x14ac:dyDescent="0.3">
      <c r="A5726">
        <v>11989</v>
      </c>
      <c r="B5726">
        <v>105</v>
      </c>
      <c r="C5726" t="s">
        <v>557</v>
      </c>
      <c r="D5726" s="452">
        <v>45658</v>
      </c>
      <c r="E5726">
        <v>19978</v>
      </c>
      <c r="F5726" t="s">
        <v>4887</v>
      </c>
      <c r="G5726">
        <v>2353</v>
      </c>
      <c r="H5726">
        <v>3</v>
      </c>
      <c r="I5726" t="s">
        <v>4888</v>
      </c>
      <c r="J5726" t="s">
        <v>5191</v>
      </c>
      <c r="K5726" t="s">
        <v>730</v>
      </c>
      <c r="L5726">
        <v>15.49</v>
      </c>
      <c r="M5726" s="452">
        <v>45631</v>
      </c>
      <c r="N5726">
        <v>15.49</v>
      </c>
      <c r="O5726">
        <v>15.49</v>
      </c>
      <c r="P5726">
        <v>46.47</v>
      </c>
    </row>
    <row r="5727" spans="1:16" x14ac:dyDescent="0.3">
      <c r="A5727">
        <v>12212</v>
      </c>
      <c r="B5727">
        <v>105</v>
      </c>
      <c r="C5727" t="s">
        <v>557</v>
      </c>
      <c r="D5727" s="452">
        <v>45658</v>
      </c>
      <c r="E5727">
        <v>24129</v>
      </c>
      <c r="F5727" t="s">
        <v>4740</v>
      </c>
      <c r="G5727">
        <v>3076</v>
      </c>
      <c r="H5727">
        <v>6</v>
      </c>
      <c r="I5727" t="s">
        <v>4736</v>
      </c>
      <c r="J5727" t="s">
        <v>5222</v>
      </c>
      <c r="K5727" t="s">
        <v>730</v>
      </c>
      <c r="L5727">
        <v>0</v>
      </c>
      <c r="M5727" s="452">
        <v>45512</v>
      </c>
      <c r="N5727">
        <v>7.7</v>
      </c>
      <c r="O5727">
        <v>7.95</v>
      </c>
      <c r="P5727">
        <v>46.2</v>
      </c>
    </row>
    <row r="5728" spans="1:16" x14ac:dyDescent="0.3">
      <c r="A5728">
        <v>12103</v>
      </c>
      <c r="B5728">
        <v>105</v>
      </c>
      <c r="C5728" t="s">
        <v>557</v>
      </c>
      <c r="D5728" s="452">
        <v>45658</v>
      </c>
      <c r="E5728">
        <v>19628</v>
      </c>
      <c r="F5728" t="s">
        <v>5601</v>
      </c>
      <c r="G5728">
        <v>2606</v>
      </c>
      <c r="H5728">
        <v>22.73</v>
      </c>
      <c r="I5728" t="s">
        <v>4744</v>
      </c>
      <c r="J5728" t="s">
        <v>5191</v>
      </c>
      <c r="K5728" t="s">
        <v>730</v>
      </c>
      <c r="L5728">
        <v>1.9</v>
      </c>
      <c r="M5728" s="452">
        <v>45653</v>
      </c>
      <c r="N5728">
        <v>2.75</v>
      </c>
      <c r="O5728">
        <v>2.5</v>
      </c>
      <c r="P5728">
        <v>43.19</v>
      </c>
    </row>
    <row r="5729" spans="1:16" x14ac:dyDescent="0.3">
      <c r="A5729">
        <v>12111</v>
      </c>
      <c r="B5729">
        <v>105</v>
      </c>
      <c r="C5729" t="s">
        <v>557</v>
      </c>
      <c r="D5729" s="452">
        <v>45658</v>
      </c>
      <c r="E5729">
        <v>24230</v>
      </c>
      <c r="F5729" t="s">
        <v>4986</v>
      </c>
      <c r="G5729">
        <v>2622</v>
      </c>
      <c r="H5729">
        <v>2</v>
      </c>
      <c r="I5729" t="s">
        <v>4744</v>
      </c>
      <c r="J5729" t="s">
        <v>5191</v>
      </c>
      <c r="K5729" t="s">
        <v>730</v>
      </c>
      <c r="L5729">
        <v>0</v>
      </c>
      <c r="M5729" s="452">
        <v>45485</v>
      </c>
      <c r="N5729">
        <v>21.5</v>
      </c>
      <c r="O5729">
        <v>21.5</v>
      </c>
      <c r="P5729">
        <v>43</v>
      </c>
    </row>
    <row r="5730" spans="1:16" x14ac:dyDescent="0.3">
      <c r="A5730">
        <v>12033</v>
      </c>
      <c r="B5730">
        <v>105</v>
      </c>
      <c r="C5730" t="s">
        <v>557</v>
      </c>
      <c r="D5730" s="452">
        <v>45658</v>
      </c>
      <c r="E5730">
        <v>18073</v>
      </c>
      <c r="F5730" t="s">
        <v>4974</v>
      </c>
      <c r="G5730">
        <v>3536</v>
      </c>
      <c r="H5730">
        <v>0.93</v>
      </c>
      <c r="I5730" t="s">
        <v>4805</v>
      </c>
      <c r="J5730" t="s">
        <v>5222</v>
      </c>
      <c r="K5730" t="s">
        <v>730</v>
      </c>
      <c r="L5730">
        <v>46</v>
      </c>
      <c r="M5730" s="452">
        <v>45644</v>
      </c>
      <c r="N5730">
        <v>46</v>
      </c>
      <c r="O5730">
        <v>46</v>
      </c>
      <c r="P5730">
        <v>42.78</v>
      </c>
    </row>
    <row r="5731" spans="1:16" x14ac:dyDescent="0.3">
      <c r="A5731">
        <v>12093</v>
      </c>
      <c r="B5731">
        <v>105</v>
      </c>
      <c r="C5731" t="s">
        <v>557</v>
      </c>
      <c r="D5731" s="452">
        <v>45658</v>
      </c>
      <c r="E5731">
        <v>19652</v>
      </c>
      <c r="F5731" t="s">
        <v>4899</v>
      </c>
      <c r="G5731">
        <v>2587</v>
      </c>
      <c r="H5731">
        <v>1.25</v>
      </c>
      <c r="I5731" t="s">
        <v>4744</v>
      </c>
      <c r="J5731" t="s">
        <v>5191</v>
      </c>
      <c r="K5731" t="s">
        <v>730</v>
      </c>
      <c r="L5731">
        <v>34.200000000000003</v>
      </c>
      <c r="M5731" s="452">
        <v>45643</v>
      </c>
      <c r="N5731">
        <v>30.59</v>
      </c>
      <c r="O5731">
        <v>30.59</v>
      </c>
      <c r="P5731">
        <v>42.75</v>
      </c>
    </row>
    <row r="5732" spans="1:16" x14ac:dyDescent="0.3">
      <c r="A5732">
        <v>14897</v>
      </c>
      <c r="B5732">
        <v>105</v>
      </c>
      <c r="C5732" t="s">
        <v>557</v>
      </c>
      <c r="D5732" s="452">
        <v>45658</v>
      </c>
      <c r="E5732">
        <v>25755</v>
      </c>
      <c r="F5732" t="s">
        <v>4821</v>
      </c>
      <c r="G5732">
        <v>9071</v>
      </c>
      <c r="H5732">
        <v>6</v>
      </c>
      <c r="I5732" t="s">
        <v>4749</v>
      </c>
      <c r="J5732" t="s">
        <v>5191</v>
      </c>
      <c r="K5732" t="s">
        <v>730</v>
      </c>
      <c r="L5732">
        <v>0</v>
      </c>
      <c r="M5732" s="452">
        <v>-693593</v>
      </c>
      <c r="N5732">
        <v>0</v>
      </c>
      <c r="O5732">
        <v>0</v>
      </c>
      <c r="P5732">
        <v>41.94</v>
      </c>
    </row>
    <row r="5733" spans="1:16" x14ac:dyDescent="0.3">
      <c r="A5733">
        <v>12197</v>
      </c>
      <c r="B5733">
        <v>105</v>
      </c>
      <c r="C5733" t="s">
        <v>557</v>
      </c>
      <c r="D5733" s="452">
        <v>45658</v>
      </c>
      <c r="E5733">
        <v>19710</v>
      </c>
      <c r="F5733" t="s">
        <v>4963</v>
      </c>
      <c r="G5733">
        <v>2540</v>
      </c>
      <c r="H5733">
        <v>2.0499999999999998</v>
      </c>
      <c r="I5733" t="s">
        <v>4738</v>
      </c>
      <c r="J5733" t="s">
        <v>5191</v>
      </c>
      <c r="K5733" t="s">
        <v>730</v>
      </c>
      <c r="L5733">
        <v>0</v>
      </c>
      <c r="M5733" s="452">
        <v>45586</v>
      </c>
      <c r="N5733">
        <v>19.899999999999999</v>
      </c>
      <c r="O5733">
        <v>23.9</v>
      </c>
      <c r="P5733">
        <v>40.79</v>
      </c>
    </row>
    <row r="5734" spans="1:16" x14ac:dyDescent="0.3">
      <c r="A5734">
        <v>12240</v>
      </c>
      <c r="B5734">
        <v>105</v>
      </c>
      <c r="C5734" t="s">
        <v>557</v>
      </c>
      <c r="D5734" s="452">
        <v>45658</v>
      </c>
      <c r="E5734">
        <v>20961</v>
      </c>
      <c r="F5734" t="s">
        <v>5026</v>
      </c>
      <c r="G5734">
        <v>2015</v>
      </c>
      <c r="H5734">
        <v>6</v>
      </c>
      <c r="I5734" t="s">
        <v>4736</v>
      </c>
      <c r="J5734" t="s">
        <v>5191</v>
      </c>
      <c r="K5734" t="s">
        <v>730</v>
      </c>
      <c r="L5734">
        <v>6.74</v>
      </c>
      <c r="M5734" s="452">
        <v>45653</v>
      </c>
      <c r="N5734">
        <v>7.98</v>
      </c>
      <c r="O5734">
        <v>7.98</v>
      </c>
      <c r="P5734">
        <v>40.44</v>
      </c>
    </row>
    <row r="5735" spans="1:16" x14ac:dyDescent="0.3">
      <c r="A5735">
        <v>12101</v>
      </c>
      <c r="B5735">
        <v>105</v>
      </c>
      <c r="C5735" t="s">
        <v>557</v>
      </c>
      <c r="D5735" s="452">
        <v>45658</v>
      </c>
      <c r="E5735">
        <v>19492</v>
      </c>
      <c r="F5735" t="s">
        <v>4937</v>
      </c>
      <c r="G5735">
        <v>2717</v>
      </c>
      <c r="H5735">
        <v>3.2</v>
      </c>
      <c r="I5735" t="s">
        <v>4744</v>
      </c>
      <c r="J5735" t="s">
        <v>5191</v>
      </c>
      <c r="K5735" t="s">
        <v>730</v>
      </c>
      <c r="L5735">
        <v>12.55</v>
      </c>
      <c r="M5735" s="452">
        <v>45643</v>
      </c>
      <c r="N5735">
        <v>14</v>
      </c>
      <c r="O5735">
        <v>13.6</v>
      </c>
      <c r="P5735">
        <v>40.159999999999997</v>
      </c>
    </row>
    <row r="5736" spans="1:16" x14ac:dyDescent="0.3">
      <c r="A5736">
        <v>12231</v>
      </c>
      <c r="B5736">
        <v>105</v>
      </c>
      <c r="C5736" t="s">
        <v>557</v>
      </c>
      <c r="D5736" s="452">
        <v>45658</v>
      </c>
      <c r="E5736">
        <v>20025</v>
      </c>
      <c r="F5736" t="s">
        <v>5010</v>
      </c>
      <c r="G5736">
        <v>2339</v>
      </c>
      <c r="H5736">
        <v>2</v>
      </c>
      <c r="I5736" t="s">
        <v>4736</v>
      </c>
      <c r="J5736" t="s">
        <v>5191</v>
      </c>
      <c r="K5736" t="s">
        <v>730</v>
      </c>
      <c r="L5736">
        <v>0</v>
      </c>
      <c r="M5736" s="452">
        <v>45565</v>
      </c>
      <c r="N5736">
        <v>19.95</v>
      </c>
      <c r="O5736">
        <v>19.5</v>
      </c>
      <c r="P5736">
        <v>39.9</v>
      </c>
    </row>
    <row r="5737" spans="1:16" x14ac:dyDescent="0.3">
      <c r="A5737">
        <v>12242</v>
      </c>
      <c r="B5737">
        <v>105</v>
      </c>
      <c r="C5737" t="s">
        <v>557</v>
      </c>
      <c r="D5737" s="452">
        <v>45658</v>
      </c>
      <c r="E5737">
        <v>24394</v>
      </c>
      <c r="F5737" t="s">
        <v>5164</v>
      </c>
      <c r="G5737">
        <v>2753</v>
      </c>
      <c r="H5737">
        <v>60</v>
      </c>
      <c r="I5737" t="s">
        <v>4736</v>
      </c>
      <c r="J5737" t="s">
        <v>5191</v>
      </c>
      <c r="K5737" t="s">
        <v>730</v>
      </c>
      <c r="L5737">
        <v>0.65</v>
      </c>
      <c r="M5737" s="452">
        <v>45643</v>
      </c>
      <c r="N5737">
        <v>0.65</v>
      </c>
      <c r="O5737">
        <v>0.7</v>
      </c>
      <c r="P5737">
        <v>39</v>
      </c>
    </row>
    <row r="5738" spans="1:16" x14ac:dyDescent="0.3">
      <c r="A5738">
        <v>14910</v>
      </c>
      <c r="B5738">
        <v>105</v>
      </c>
      <c r="C5738" t="s">
        <v>557</v>
      </c>
      <c r="D5738" s="452">
        <v>45658</v>
      </c>
      <c r="E5738">
        <v>26002</v>
      </c>
      <c r="F5738" t="s">
        <v>5641</v>
      </c>
      <c r="G5738">
        <v>6489</v>
      </c>
      <c r="H5738">
        <v>3</v>
      </c>
      <c r="I5738" t="s">
        <v>4879</v>
      </c>
      <c r="J5738" t="s">
        <v>5191</v>
      </c>
      <c r="K5738" t="s">
        <v>730</v>
      </c>
      <c r="L5738">
        <v>12.9</v>
      </c>
      <c r="M5738" s="452">
        <v>45646</v>
      </c>
      <c r="N5738">
        <v>12.9</v>
      </c>
      <c r="O5738">
        <v>12.9</v>
      </c>
      <c r="P5738">
        <v>38.700000000000003</v>
      </c>
    </row>
    <row r="5739" spans="1:16" x14ac:dyDescent="0.3">
      <c r="A5739">
        <v>12263</v>
      </c>
      <c r="B5739">
        <v>105</v>
      </c>
      <c r="C5739" t="s">
        <v>557</v>
      </c>
      <c r="D5739" s="452">
        <v>45658</v>
      </c>
      <c r="E5739">
        <v>24467</v>
      </c>
      <c r="F5739" t="s">
        <v>4766</v>
      </c>
      <c r="G5739">
        <v>3673</v>
      </c>
      <c r="H5739">
        <v>19</v>
      </c>
      <c r="I5739" t="s">
        <v>4736</v>
      </c>
      <c r="J5739" t="s">
        <v>5222</v>
      </c>
      <c r="K5739" t="s">
        <v>730</v>
      </c>
      <c r="L5739">
        <v>0</v>
      </c>
      <c r="M5739" s="452">
        <v>45520</v>
      </c>
      <c r="N5739">
        <v>1.99</v>
      </c>
      <c r="O5739">
        <v>2.19</v>
      </c>
      <c r="P5739">
        <v>37.81</v>
      </c>
    </row>
    <row r="5740" spans="1:16" x14ac:dyDescent="0.3">
      <c r="A5740">
        <v>12196</v>
      </c>
      <c r="B5740">
        <v>105</v>
      </c>
      <c r="C5740" t="s">
        <v>557</v>
      </c>
      <c r="D5740" s="452">
        <v>45658</v>
      </c>
      <c r="E5740">
        <v>19923</v>
      </c>
      <c r="F5740" t="s">
        <v>5069</v>
      </c>
      <c r="G5740">
        <v>2375</v>
      </c>
      <c r="H5740">
        <v>0.94</v>
      </c>
      <c r="I5740" t="s">
        <v>4738</v>
      </c>
      <c r="J5740" t="s">
        <v>5191</v>
      </c>
      <c r="K5740" t="s">
        <v>730</v>
      </c>
      <c r="L5740">
        <v>39.9</v>
      </c>
      <c r="M5740" s="452">
        <v>45646</v>
      </c>
      <c r="N5740">
        <v>39.9</v>
      </c>
      <c r="O5740">
        <v>43.2</v>
      </c>
      <c r="P5740">
        <v>37.51</v>
      </c>
    </row>
    <row r="5741" spans="1:16" x14ac:dyDescent="0.3">
      <c r="A5741">
        <v>12259</v>
      </c>
      <c r="B5741">
        <v>105</v>
      </c>
      <c r="C5741" t="s">
        <v>557</v>
      </c>
      <c r="D5741" s="452">
        <v>45658</v>
      </c>
      <c r="E5741">
        <v>24307</v>
      </c>
      <c r="F5741" t="s">
        <v>4755</v>
      </c>
      <c r="G5741">
        <v>3656</v>
      </c>
      <c r="H5741">
        <v>17</v>
      </c>
      <c r="I5741" t="s">
        <v>4736</v>
      </c>
      <c r="J5741" t="s">
        <v>5222</v>
      </c>
      <c r="K5741" t="s">
        <v>730</v>
      </c>
      <c r="L5741">
        <v>0</v>
      </c>
      <c r="M5741" s="452">
        <v>45540</v>
      </c>
      <c r="N5741">
        <v>2.19</v>
      </c>
      <c r="O5741">
        <v>2.19</v>
      </c>
      <c r="P5741">
        <v>37.229999999999997</v>
      </c>
    </row>
    <row r="5742" spans="1:16" x14ac:dyDescent="0.3">
      <c r="A5742">
        <v>12207</v>
      </c>
      <c r="B5742">
        <v>105</v>
      </c>
      <c r="C5742" t="s">
        <v>557</v>
      </c>
      <c r="D5742" s="452">
        <v>45658</v>
      </c>
      <c r="E5742">
        <v>20689</v>
      </c>
      <c r="F5742" t="s">
        <v>5007</v>
      </c>
      <c r="G5742">
        <v>2105</v>
      </c>
      <c r="H5742">
        <v>1</v>
      </c>
      <c r="I5742" t="s">
        <v>4736</v>
      </c>
      <c r="J5742" t="s">
        <v>5191</v>
      </c>
      <c r="K5742" t="s">
        <v>730</v>
      </c>
      <c r="L5742">
        <v>36.9</v>
      </c>
      <c r="M5742" s="452">
        <v>45646</v>
      </c>
      <c r="N5742">
        <v>36.9</v>
      </c>
      <c r="O5742">
        <v>36.9</v>
      </c>
      <c r="P5742">
        <v>36.9</v>
      </c>
    </row>
    <row r="5743" spans="1:16" x14ac:dyDescent="0.3">
      <c r="A5743">
        <v>12221</v>
      </c>
      <c r="B5743">
        <v>105</v>
      </c>
      <c r="C5743" t="s">
        <v>557</v>
      </c>
      <c r="D5743" s="452">
        <v>45658</v>
      </c>
      <c r="E5743">
        <v>20180</v>
      </c>
      <c r="F5743" t="s">
        <v>5642</v>
      </c>
      <c r="G5743">
        <v>2261</v>
      </c>
      <c r="H5743">
        <v>0.6</v>
      </c>
      <c r="I5743" t="s">
        <v>4736</v>
      </c>
      <c r="J5743" t="s">
        <v>5191</v>
      </c>
      <c r="K5743" t="s">
        <v>730</v>
      </c>
      <c r="L5743">
        <v>0</v>
      </c>
      <c r="M5743" s="452">
        <v>45545</v>
      </c>
      <c r="N5743">
        <v>59.89</v>
      </c>
      <c r="O5743">
        <v>60.9</v>
      </c>
      <c r="P5743">
        <v>35.93</v>
      </c>
    </row>
    <row r="5744" spans="1:16" x14ac:dyDescent="0.3">
      <c r="A5744">
        <v>12241</v>
      </c>
      <c r="B5744">
        <v>105</v>
      </c>
      <c r="C5744" t="s">
        <v>557</v>
      </c>
      <c r="D5744" s="452">
        <v>45658</v>
      </c>
      <c r="E5744">
        <v>19603</v>
      </c>
      <c r="F5744" t="s">
        <v>5605</v>
      </c>
      <c r="G5744">
        <v>2625</v>
      </c>
      <c r="H5744">
        <v>9.15</v>
      </c>
      <c r="I5744" t="s">
        <v>4736</v>
      </c>
      <c r="J5744" t="s">
        <v>5191</v>
      </c>
      <c r="K5744" t="s">
        <v>730</v>
      </c>
      <c r="L5744">
        <v>3.9</v>
      </c>
      <c r="M5744" s="452">
        <v>45636</v>
      </c>
      <c r="N5744">
        <v>3.9</v>
      </c>
      <c r="O5744">
        <v>3.9</v>
      </c>
      <c r="P5744">
        <v>35.68</v>
      </c>
    </row>
    <row r="5745" spans="1:16" x14ac:dyDescent="0.3">
      <c r="A5745">
        <v>12012</v>
      </c>
      <c r="B5745">
        <v>105</v>
      </c>
      <c r="C5745" t="s">
        <v>557</v>
      </c>
      <c r="D5745" s="452">
        <v>45658</v>
      </c>
      <c r="E5745">
        <v>18295</v>
      </c>
      <c r="F5745" t="s">
        <v>4968</v>
      </c>
      <c r="G5745">
        <v>3334</v>
      </c>
      <c r="H5745">
        <v>0.35</v>
      </c>
      <c r="I5745" t="s">
        <v>4805</v>
      </c>
      <c r="J5745" t="s">
        <v>5222</v>
      </c>
      <c r="K5745" t="s">
        <v>730</v>
      </c>
      <c r="L5745">
        <v>0</v>
      </c>
      <c r="M5745" s="452">
        <v>45448</v>
      </c>
      <c r="N5745">
        <v>101.15</v>
      </c>
      <c r="O5745">
        <v>119.9</v>
      </c>
      <c r="P5745">
        <v>35.4</v>
      </c>
    </row>
    <row r="5746" spans="1:16" x14ac:dyDescent="0.3">
      <c r="A5746">
        <v>12177</v>
      </c>
      <c r="B5746">
        <v>105</v>
      </c>
      <c r="C5746" t="s">
        <v>557</v>
      </c>
      <c r="D5746" s="452">
        <v>45658</v>
      </c>
      <c r="E5746">
        <v>24979</v>
      </c>
      <c r="F5746" t="s">
        <v>5548</v>
      </c>
      <c r="G5746">
        <v>5848</v>
      </c>
      <c r="H5746">
        <v>4</v>
      </c>
      <c r="I5746" t="s">
        <v>4738</v>
      </c>
      <c r="J5746" t="s">
        <v>5222</v>
      </c>
      <c r="K5746" t="s">
        <v>730</v>
      </c>
      <c r="L5746">
        <v>0</v>
      </c>
      <c r="M5746" s="452">
        <v>45546</v>
      </c>
      <c r="N5746">
        <v>8.7899999999999991</v>
      </c>
      <c r="O5746">
        <v>8.7899999999999991</v>
      </c>
      <c r="P5746">
        <v>35.17</v>
      </c>
    </row>
    <row r="5747" spans="1:16" x14ac:dyDescent="0.3">
      <c r="A5747">
        <v>12264</v>
      </c>
      <c r="B5747">
        <v>105</v>
      </c>
      <c r="C5747" t="s">
        <v>557</v>
      </c>
      <c r="D5747" s="452">
        <v>45658</v>
      </c>
      <c r="E5747">
        <v>24468</v>
      </c>
      <c r="F5747" t="s">
        <v>4798</v>
      </c>
      <c r="G5747">
        <v>3675</v>
      </c>
      <c r="H5747">
        <v>16</v>
      </c>
      <c r="I5747" t="s">
        <v>4736</v>
      </c>
      <c r="J5747" t="s">
        <v>5222</v>
      </c>
      <c r="K5747" t="s">
        <v>730</v>
      </c>
      <c r="L5747">
        <v>2.19</v>
      </c>
      <c r="M5747" s="452">
        <v>45653</v>
      </c>
      <c r="N5747">
        <v>2.19</v>
      </c>
      <c r="O5747">
        <v>2.19</v>
      </c>
      <c r="P5747">
        <v>35.04</v>
      </c>
    </row>
    <row r="5748" spans="1:16" x14ac:dyDescent="0.3">
      <c r="A5748">
        <v>12066</v>
      </c>
      <c r="B5748">
        <v>105</v>
      </c>
      <c r="C5748" t="s">
        <v>557</v>
      </c>
      <c r="D5748" s="452">
        <v>45658</v>
      </c>
      <c r="E5748">
        <v>23630</v>
      </c>
      <c r="F5748" t="s">
        <v>4813</v>
      </c>
      <c r="G5748">
        <v>2251</v>
      </c>
      <c r="H5748">
        <v>3</v>
      </c>
      <c r="I5748" t="s">
        <v>4744</v>
      </c>
      <c r="J5748" t="s">
        <v>5191</v>
      </c>
      <c r="K5748" t="s">
        <v>730</v>
      </c>
      <c r="L5748">
        <v>11.6</v>
      </c>
      <c r="M5748" s="452">
        <v>45646</v>
      </c>
      <c r="N5748">
        <v>11.6</v>
      </c>
      <c r="O5748">
        <v>11.6</v>
      </c>
      <c r="P5748">
        <v>34.799999999999997</v>
      </c>
    </row>
    <row r="5749" spans="1:16" x14ac:dyDescent="0.3">
      <c r="A5749">
        <v>12009</v>
      </c>
      <c r="B5749">
        <v>105</v>
      </c>
      <c r="C5749" t="s">
        <v>557</v>
      </c>
      <c r="D5749" s="452">
        <v>45658</v>
      </c>
      <c r="E5749">
        <v>18317</v>
      </c>
      <c r="F5749" t="s">
        <v>5056</v>
      </c>
      <c r="G5749">
        <v>3316</v>
      </c>
      <c r="H5749">
        <v>1</v>
      </c>
      <c r="I5749" t="s">
        <v>4805</v>
      </c>
      <c r="J5749" t="s">
        <v>5222</v>
      </c>
      <c r="K5749" t="s">
        <v>730</v>
      </c>
      <c r="L5749">
        <v>0</v>
      </c>
      <c r="M5749" s="452">
        <v>-693593</v>
      </c>
      <c r="N5749">
        <v>0</v>
      </c>
      <c r="O5749">
        <v>34.5</v>
      </c>
      <c r="P5749">
        <v>34.5</v>
      </c>
    </row>
    <row r="5750" spans="1:16" x14ac:dyDescent="0.3">
      <c r="A5750">
        <v>12191</v>
      </c>
      <c r="B5750">
        <v>105</v>
      </c>
      <c r="C5750" t="s">
        <v>557</v>
      </c>
      <c r="D5750" s="452">
        <v>45658</v>
      </c>
      <c r="E5750">
        <v>20219</v>
      </c>
      <c r="F5750" t="s">
        <v>5445</v>
      </c>
      <c r="G5750">
        <v>2250</v>
      </c>
      <c r="H5750">
        <v>1.43</v>
      </c>
      <c r="I5750" t="s">
        <v>4738</v>
      </c>
      <c r="J5750" t="s">
        <v>5191</v>
      </c>
      <c r="K5750" t="s">
        <v>730</v>
      </c>
      <c r="L5750">
        <v>0</v>
      </c>
      <c r="M5750" s="452">
        <v>45573</v>
      </c>
      <c r="N5750">
        <v>23.9</v>
      </c>
      <c r="O5750">
        <v>23.2</v>
      </c>
      <c r="P5750">
        <v>34.18</v>
      </c>
    </row>
    <row r="5751" spans="1:16" x14ac:dyDescent="0.3">
      <c r="A5751">
        <v>12217</v>
      </c>
      <c r="B5751">
        <v>105</v>
      </c>
      <c r="C5751" t="s">
        <v>557</v>
      </c>
      <c r="D5751" s="452">
        <v>45658</v>
      </c>
      <c r="E5751">
        <v>18067</v>
      </c>
      <c r="F5751" t="s">
        <v>5583</v>
      </c>
      <c r="G5751">
        <v>3542</v>
      </c>
      <c r="H5751">
        <v>1</v>
      </c>
      <c r="I5751" t="s">
        <v>4736</v>
      </c>
      <c r="J5751" t="s">
        <v>5222</v>
      </c>
      <c r="K5751" t="s">
        <v>730</v>
      </c>
      <c r="L5751">
        <v>33.979999999999997</v>
      </c>
      <c r="M5751" s="452">
        <v>45653</v>
      </c>
      <c r="N5751">
        <v>33.979999999999997</v>
      </c>
      <c r="O5751">
        <v>33.979999999999997</v>
      </c>
      <c r="P5751">
        <v>33.979999999999997</v>
      </c>
    </row>
    <row r="5752" spans="1:16" x14ac:dyDescent="0.3">
      <c r="A5752">
        <v>11986</v>
      </c>
      <c r="B5752">
        <v>105</v>
      </c>
      <c r="C5752" t="s">
        <v>557</v>
      </c>
      <c r="D5752" s="452">
        <v>45658</v>
      </c>
      <c r="E5752">
        <v>21979</v>
      </c>
      <c r="F5752" t="s">
        <v>5467</v>
      </c>
      <c r="G5752">
        <v>3712</v>
      </c>
      <c r="H5752">
        <v>2</v>
      </c>
      <c r="I5752" t="s">
        <v>4749</v>
      </c>
      <c r="J5752" t="s">
        <v>5222</v>
      </c>
      <c r="K5752" t="s">
        <v>730</v>
      </c>
      <c r="L5752">
        <v>0</v>
      </c>
      <c r="M5752" s="452">
        <v>45554</v>
      </c>
      <c r="N5752">
        <v>16.899999999999999</v>
      </c>
      <c r="O5752">
        <v>16.5</v>
      </c>
      <c r="P5752">
        <v>33.799999999999997</v>
      </c>
    </row>
    <row r="5753" spans="1:16" x14ac:dyDescent="0.3">
      <c r="A5753">
        <v>12074</v>
      </c>
      <c r="B5753">
        <v>105</v>
      </c>
      <c r="C5753" t="s">
        <v>557</v>
      </c>
      <c r="D5753" s="452">
        <v>45658</v>
      </c>
      <c r="E5753">
        <v>20105</v>
      </c>
      <c r="F5753" t="s">
        <v>4831</v>
      </c>
      <c r="G5753">
        <v>2298</v>
      </c>
      <c r="H5753">
        <v>2</v>
      </c>
      <c r="I5753" t="s">
        <v>4744</v>
      </c>
      <c r="J5753" t="s">
        <v>5191</v>
      </c>
      <c r="K5753" t="s">
        <v>730</v>
      </c>
      <c r="L5753">
        <v>0</v>
      </c>
      <c r="M5753" s="452">
        <v>45574</v>
      </c>
      <c r="N5753">
        <v>16.899999999999999</v>
      </c>
      <c r="O5753">
        <v>16.5</v>
      </c>
      <c r="P5753">
        <v>33.799999999999997</v>
      </c>
    </row>
    <row r="5754" spans="1:16" x14ac:dyDescent="0.3">
      <c r="A5754">
        <v>12139</v>
      </c>
      <c r="B5754">
        <v>105</v>
      </c>
      <c r="C5754" t="s">
        <v>557</v>
      </c>
      <c r="D5754" s="452">
        <v>45658</v>
      </c>
      <c r="E5754">
        <v>24444</v>
      </c>
      <c r="F5754" t="s">
        <v>4992</v>
      </c>
      <c r="G5754">
        <v>2784</v>
      </c>
      <c r="H5754">
        <v>1.78</v>
      </c>
      <c r="I5754" t="s">
        <v>4744</v>
      </c>
      <c r="J5754" t="s">
        <v>5191</v>
      </c>
      <c r="K5754" t="s">
        <v>730</v>
      </c>
      <c r="L5754">
        <v>0</v>
      </c>
      <c r="M5754" s="452">
        <v>45392</v>
      </c>
      <c r="N5754">
        <v>18.95</v>
      </c>
      <c r="O5754">
        <v>22</v>
      </c>
      <c r="P5754">
        <v>33.729999999999997</v>
      </c>
    </row>
    <row r="5755" spans="1:16" x14ac:dyDescent="0.3">
      <c r="A5755">
        <v>12036</v>
      </c>
      <c r="B5755">
        <v>105</v>
      </c>
      <c r="C5755" t="s">
        <v>557</v>
      </c>
      <c r="D5755" s="452">
        <v>45658</v>
      </c>
      <c r="E5755">
        <v>20955</v>
      </c>
      <c r="F5755" t="s">
        <v>4959</v>
      </c>
      <c r="G5755">
        <v>2019</v>
      </c>
      <c r="H5755">
        <v>3</v>
      </c>
      <c r="I5755" t="s">
        <v>4805</v>
      </c>
      <c r="J5755" t="s">
        <v>5191</v>
      </c>
      <c r="K5755" t="s">
        <v>730</v>
      </c>
      <c r="L5755">
        <v>10.8</v>
      </c>
      <c r="M5755" s="452">
        <v>45644</v>
      </c>
      <c r="N5755">
        <v>10.8</v>
      </c>
      <c r="O5755">
        <v>10.8</v>
      </c>
      <c r="P5755">
        <v>32.4</v>
      </c>
    </row>
    <row r="5756" spans="1:16" x14ac:dyDescent="0.3">
      <c r="A5756">
        <v>12080</v>
      </c>
      <c r="B5756">
        <v>105</v>
      </c>
      <c r="C5756" t="s">
        <v>557</v>
      </c>
      <c r="D5756" s="452">
        <v>45658</v>
      </c>
      <c r="E5756">
        <v>19924</v>
      </c>
      <c r="F5756" t="s">
        <v>5607</v>
      </c>
      <c r="G5756">
        <v>2374</v>
      </c>
      <c r="H5756">
        <v>0.45</v>
      </c>
      <c r="I5756" t="s">
        <v>4744</v>
      </c>
      <c r="J5756" t="s">
        <v>5191</v>
      </c>
      <c r="K5756" t="s">
        <v>730</v>
      </c>
      <c r="L5756">
        <v>0</v>
      </c>
      <c r="M5756" s="452">
        <v>-693593</v>
      </c>
      <c r="N5756">
        <v>0</v>
      </c>
      <c r="O5756">
        <v>0</v>
      </c>
      <c r="P5756">
        <v>32.299999999999997</v>
      </c>
    </row>
    <row r="5757" spans="1:16" x14ac:dyDescent="0.3">
      <c r="A5757">
        <v>12021</v>
      </c>
      <c r="B5757">
        <v>105</v>
      </c>
      <c r="C5757" t="s">
        <v>557</v>
      </c>
      <c r="D5757" s="452">
        <v>45658</v>
      </c>
      <c r="E5757">
        <v>18214</v>
      </c>
      <c r="F5757" t="s">
        <v>5039</v>
      </c>
      <c r="G5757">
        <v>3413</v>
      </c>
      <c r="H5757">
        <v>1</v>
      </c>
      <c r="I5757" t="s">
        <v>4805</v>
      </c>
      <c r="J5757" t="s">
        <v>5222</v>
      </c>
      <c r="K5757" t="s">
        <v>730</v>
      </c>
      <c r="L5757">
        <v>0</v>
      </c>
      <c r="M5757" s="452">
        <v>45378</v>
      </c>
      <c r="N5757">
        <v>32.200000000000003</v>
      </c>
      <c r="O5757">
        <v>34.299999999999997</v>
      </c>
      <c r="P5757">
        <v>32.200000000000003</v>
      </c>
    </row>
    <row r="5758" spans="1:16" x14ac:dyDescent="0.3">
      <c r="A5758">
        <v>12044</v>
      </c>
      <c r="B5758">
        <v>105</v>
      </c>
      <c r="C5758" t="s">
        <v>557</v>
      </c>
      <c r="D5758" s="452">
        <v>45658</v>
      </c>
      <c r="E5758">
        <v>24456</v>
      </c>
      <c r="F5758" t="s">
        <v>4845</v>
      </c>
      <c r="G5758">
        <v>1965</v>
      </c>
      <c r="H5758">
        <v>1.23</v>
      </c>
      <c r="I5758" t="s">
        <v>4744</v>
      </c>
      <c r="J5758" t="s">
        <v>5191</v>
      </c>
      <c r="K5758" t="s">
        <v>730</v>
      </c>
      <c r="L5758">
        <v>0</v>
      </c>
      <c r="M5758" s="452">
        <v>45546</v>
      </c>
      <c r="N5758">
        <v>26</v>
      </c>
      <c r="O5758">
        <v>22.95</v>
      </c>
      <c r="P5758">
        <v>31.98</v>
      </c>
    </row>
    <row r="5759" spans="1:16" x14ac:dyDescent="0.3">
      <c r="A5759">
        <v>12032</v>
      </c>
      <c r="B5759">
        <v>105</v>
      </c>
      <c r="C5759" t="s">
        <v>557</v>
      </c>
      <c r="D5759" s="452">
        <v>45658</v>
      </c>
      <c r="E5759">
        <v>18082</v>
      </c>
      <c r="F5759" t="s">
        <v>5643</v>
      </c>
      <c r="G5759">
        <v>3527</v>
      </c>
      <c r="H5759">
        <v>0.93</v>
      </c>
      <c r="I5759" t="s">
        <v>4805</v>
      </c>
      <c r="J5759" t="s">
        <v>5222</v>
      </c>
      <c r="K5759" t="s">
        <v>730</v>
      </c>
      <c r="L5759">
        <v>0</v>
      </c>
      <c r="M5759" s="452">
        <v>45463</v>
      </c>
      <c r="N5759">
        <v>33.979999999999997</v>
      </c>
      <c r="O5759">
        <v>33.979999999999997</v>
      </c>
      <c r="P5759">
        <v>31.6</v>
      </c>
    </row>
    <row r="5760" spans="1:16" x14ac:dyDescent="0.3">
      <c r="A5760">
        <v>12100</v>
      </c>
      <c r="B5760">
        <v>105</v>
      </c>
      <c r="C5760" t="s">
        <v>557</v>
      </c>
      <c r="D5760" s="452">
        <v>45658</v>
      </c>
      <c r="E5760">
        <v>24099</v>
      </c>
      <c r="F5760" t="s">
        <v>4933</v>
      </c>
      <c r="G5760">
        <v>2716</v>
      </c>
      <c r="H5760">
        <v>2.3199999999999998</v>
      </c>
      <c r="I5760" t="s">
        <v>4744</v>
      </c>
      <c r="J5760" t="s">
        <v>5191</v>
      </c>
      <c r="K5760" t="s">
        <v>730</v>
      </c>
      <c r="L5760">
        <v>12.99</v>
      </c>
      <c r="M5760" s="452">
        <v>45653</v>
      </c>
      <c r="N5760">
        <v>12.99</v>
      </c>
      <c r="O5760">
        <v>12.99</v>
      </c>
      <c r="P5760">
        <v>30.14</v>
      </c>
    </row>
    <row r="5761" spans="1:16" x14ac:dyDescent="0.3">
      <c r="A5761">
        <v>11988</v>
      </c>
      <c r="B5761">
        <v>105</v>
      </c>
      <c r="C5761" t="s">
        <v>557</v>
      </c>
      <c r="D5761" s="452">
        <v>45658</v>
      </c>
      <c r="E5761">
        <v>21068</v>
      </c>
      <c r="F5761" t="s">
        <v>5560</v>
      </c>
      <c r="G5761">
        <v>1997</v>
      </c>
      <c r="H5761">
        <v>2</v>
      </c>
      <c r="I5761" t="s">
        <v>4805</v>
      </c>
      <c r="J5761" t="s">
        <v>5191</v>
      </c>
      <c r="K5761" t="s">
        <v>730</v>
      </c>
      <c r="L5761">
        <v>0</v>
      </c>
      <c r="M5761" s="452">
        <v>45553</v>
      </c>
      <c r="N5761">
        <v>14.8</v>
      </c>
      <c r="O5761">
        <v>15.77</v>
      </c>
      <c r="P5761">
        <v>29.6</v>
      </c>
    </row>
    <row r="5762" spans="1:16" x14ac:dyDescent="0.3">
      <c r="A5762">
        <v>12098</v>
      </c>
      <c r="B5762">
        <v>105</v>
      </c>
      <c r="C5762" t="s">
        <v>557</v>
      </c>
      <c r="D5762" s="452">
        <v>45658</v>
      </c>
      <c r="E5762">
        <v>19634</v>
      </c>
      <c r="F5762" t="s">
        <v>4792</v>
      </c>
      <c r="G5762">
        <v>2602</v>
      </c>
      <c r="H5762">
        <v>4.43</v>
      </c>
      <c r="I5762" t="s">
        <v>4744</v>
      </c>
      <c r="J5762" t="s">
        <v>5191</v>
      </c>
      <c r="K5762" t="s">
        <v>730</v>
      </c>
      <c r="L5762">
        <v>6.48</v>
      </c>
      <c r="M5762" s="452">
        <v>45653</v>
      </c>
      <c r="N5762">
        <v>6.75</v>
      </c>
      <c r="O5762">
        <v>6.84</v>
      </c>
      <c r="P5762">
        <v>28.71</v>
      </c>
    </row>
    <row r="5763" spans="1:16" x14ac:dyDescent="0.3">
      <c r="A5763">
        <v>12050</v>
      </c>
      <c r="B5763">
        <v>105</v>
      </c>
      <c r="C5763" t="s">
        <v>557</v>
      </c>
      <c r="D5763" s="452">
        <v>45658</v>
      </c>
      <c r="E5763">
        <v>24050</v>
      </c>
      <c r="F5763" t="s">
        <v>5644</v>
      </c>
      <c r="G5763">
        <v>2221</v>
      </c>
      <c r="H5763">
        <v>2</v>
      </c>
      <c r="I5763" t="s">
        <v>4744</v>
      </c>
      <c r="J5763" t="s">
        <v>5191</v>
      </c>
      <c r="K5763" t="s">
        <v>730</v>
      </c>
      <c r="L5763">
        <v>0</v>
      </c>
      <c r="M5763" s="452">
        <v>45532</v>
      </c>
      <c r="N5763">
        <v>14</v>
      </c>
      <c r="O5763">
        <v>13.7</v>
      </c>
      <c r="P5763">
        <v>28</v>
      </c>
    </row>
    <row r="5764" spans="1:16" x14ac:dyDescent="0.3">
      <c r="A5764">
        <v>14890</v>
      </c>
      <c r="B5764">
        <v>105</v>
      </c>
      <c r="C5764" t="s">
        <v>557</v>
      </c>
      <c r="D5764" s="452">
        <v>45658</v>
      </c>
      <c r="E5764">
        <v>25751</v>
      </c>
      <c r="F5764" t="s">
        <v>5169</v>
      </c>
      <c r="G5764">
        <v>6302</v>
      </c>
      <c r="H5764">
        <v>4</v>
      </c>
      <c r="I5764" t="s">
        <v>4736</v>
      </c>
      <c r="J5764" t="s">
        <v>5191</v>
      </c>
      <c r="K5764" t="s">
        <v>730</v>
      </c>
      <c r="L5764">
        <v>0</v>
      </c>
      <c r="M5764" s="452">
        <v>-693593</v>
      </c>
      <c r="N5764">
        <v>0</v>
      </c>
      <c r="O5764">
        <v>0</v>
      </c>
      <c r="P5764">
        <v>27.96</v>
      </c>
    </row>
    <row r="5765" spans="1:16" x14ac:dyDescent="0.3">
      <c r="A5765">
        <v>12084</v>
      </c>
      <c r="B5765">
        <v>105</v>
      </c>
      <c r="C5765" t="s">
        <v>557</v>
      </c>
      <c r="D5765" s="452">
        <v>45658</v>
      </c>
      <c r="E5765">
        <v>19787</v>
      </c>
      <c r="F5765" t="s">
        <v>4793</v>
      </c>
      <c r="G5765">
        <v>2471</v>
      </c>
      <c r="H5765">
        <v>4.3</v>
      </c>
      <c r="I5765" t="s">
        <v>4744</v>
      </c>
      <c r="J5765" t="s">
        <v>5191</v>
      </c>
      <c r="K5765" t="s">
        <v>730</v>
      </c>
      <c r="L5765">
        <v>6.43</v>
      </c>
      <c r="M5765" s="452">
        <v>45653</v>
      </c>
      <c r="N5765">
        <v>6.8</v>
      </c>
      <c r="O5765">
        <v>8.42</v>
      </c>
      <c r="P5765">
        <v>27.65</v>
      </c>
    </row>
    <row r="5766" spans="1:16" x14ac:dyDescent="0.3">
      <c r="A5766">
        <v>11996</v>
      </c>
      <c r="B5766">
        <v>105</v>
      </c>
      <c r="C5766" t="s">
        <v>557</v>
      </c>
      <c r="D5766" s="452">
        <v>45658</v>
      </c>
      <c r="E5766">
        <v>18518</v>
      </c>
      <c r="F5766" t="s">
        <v>4838</v>
      </c>
      <c r="G5766">
        <v>3148</v>
      </c>
      <c r="H5766">
        <v>0.55000000000000004</v>
      </c>
      <c r="I5766" t="s">
        <v>4805</v>
      </c>
      <c r="J5766" t="s">
        <v>5222</v>
      </c>
      <c r="K5766" t="s">
        <v>730</v>
      </c>
      <c r="L5766">
        <v>50</v>
      </c>
      <c r="M5766" s="452">
        <v>45645</v>
      </c>
      <c r="N5766">
        <v>50</v>
      </c>
      <c r="O5766">
        <v>50</v>
      </c>
      <c r="P5766">
        <v>27.5</v>
      </c>
    </row>
    <row r="5767" spans="1:16" x14ac:dyDescent="0.3">
      <c r="A5767">
        <v>12067</v>
      </c>
      <c r="B5767">
        <v>105</v>
      </c>
      <c r="C5767" t="s">
        <v>557</v>
      </c>
      <c r="D5767" s="452">
        <v>45658</v>
      </c>
      <c r="E5767">
        <v>24322</v>
      </c>
      <c r="F5767" t="s">
        <v>5064</v>
      </c>
      <c r="G5767">
        <v>2342</v>
      </c>
      <c r="H5767">
        <v>1.08</v>
      </c>
      <c r="I5767" t="s">
        <v>4744</v>
      </c>
      <c r="J5767" t="s">
        <v>5191</v>
      </c>
      <c r="K5767" t="s">
        <v>730</v>
      </c>
      <c r="L5767">
        <v>0</v>
      </c>
      <c r="M5767" s="452">
        <v>45532</v>
      </c>
      <c r="N5767">
        <v>24</v>
      </c>
      <c r="O5767">
        <v>22</v>
      </c>
      <c r="P5767">
        <v>25.92</v>
      </c>
    </row>
    <row r="5768" spans="1:16" x14ac:dyDescent="0.3">
      <c r="A5768">
        <v>12048</v>
      </c>
      <c r="B5768">
        <v>105</v>
      </c>
      <c r="C5768" t="s">
        <v>557</v>
      </c>
      <c r="D5768" s="452">
        <v>45658</v>
      </c>
      <c r="E5768">
        <v>20321</v>
      </c>
      <c r="F5768" t="s">
        <v>5067</v>
      </c>
      <c r="G5768">
        <v>2213</v>
      </c>
      <c r="H5768">
        <v>0.59</v>
      </c>
      <c r="I5768" t="s">
        <v>4744</v>
      </c>
      <c r="J5768" t="s">
        <v>5191</v>
      </c>
      <c r="K5768" t="s">
        <v>730</v>
      </c>
      <c r="L5768">
        <v>0</v>
      </c>
      <c r="M5768" s="452">
        <v>-693593</v>
      </c>
      <c r="N5768">
        <v>0</v>
      </c>
      <c r="O5768">
        <v>120.21</v>
      </c>
      <c r="P5768">
        <v>25.74</v>
      </c>
    </row>
    <row r="5769" spans="1:16" x14ac:dyDescent="0.3">
      <c r="A5769">
        <v>11984</v>
      </c>
      <c r="B5769">
        <v>105</v>
      </c>
      <c r="C5769" t="s">
        <v>557</v>
      </c>
      <c r="D5769" s="452">
        <v>45658</v>
      </c>
      <c r="E5769">
        <v>24638</v>
      </c>
      <c r="F5769" t="s">
        <v>4948</v>
      </c>
      <c r="G5769">
        <v>5690</v>
      </c>
      <c r="H5769">
        <v>1</v>
      </c>
      <c r="I5769" t="s">
        <v>4749</v>
      </c>
      <c r="J5769" t="s">
        <v>5191</v>
      </c>
      <c r="K5769" t="s">
        <v>730</v>
      </c>
      <c r="L5769">
        <v>24.9</v>
      </c>
      <c r="M5769" s="452">
        <v>45639</v>
      </c>
      <c r="N5769">
        <v>24.9</v>
      </c>
      <c r="O5769">
        <v>39.5</v>
      </c>
      <c r="P5769">
        <v>24.9</v>
      </c>
    </row>
    <row r="5770" spans="1:16" x14ac:dyDescent="0.3">
      <c r="A5770">
        <v>12170</v>
      </c>
      <c r="B5770">
        <v>105</v>
      </c>
      <c r="C5770" t="s">
        <v>557</v>
      </c>
      <c r="D5770" s="452">
        <v>45658</v>
      </c>
      <c r="E5770">
        <v>25138</v>
      </c>
      <c r="F5770" t="s">
        <v>5545</v>
      </c>
      <c r="G5770">
        <v>5916</v>
      </c>
      <c r="H5770">
        <v>0.8</v>
      </c>
      <c r="I5770" t="s">
        <v>4744</v>
      </c>
      <c r="J5770" t="s">
        <v>5191</v>
      </c>
      <c r="K5770" t="s">
        <v>730</v>
      </c>
      <c r="L5770">
        <v>0</v>
      </c>
      <c r="M5770" s="452">
        <v>-693593</v>
      </c>
      <c r="N5770">
        <v>0</v>
      </c>
      <c r="O5770">
        <v>0</v>
      </c>
      <c r="P5770">
        <v>24.8</v>
      </c>
    </row>
    <row r="5771" spans="1:16" x14ac:dyDescent="0.3">
      <c r="A5771">
        <v>12184</v>
      </c>
      <c r="B5771">
        <v>105</v>
      </c>
      <c r="C5771" t="s">
        <v>557</v>
      </c>
      <c r="D5771" s="452">
        <v>45658</v>
      </c>
      <c r="E5771">
        <v>20270</v>
      </c>
      <c r="F5771" t="s">
        <v>5645</v>
      </c>
      <c r="G5771">
        <v>2233</v>
      </c>
      <c r="H5771">
        <v>0.33</v>
      </c>
      <c r="I5771" t="s">
        <v>4738</v>
      </c>
      <c r="J5771" t="s">
        <v>5191</v>
      </c>
      <c r="K5771" t="s">
        <v>730</v>
      </c>
      <c r="L5771">
        <v>0</v>
      </c>
      <c r="M5771" s="452">
        <v>45586</v>
      </c>
      <c r="N5771">
        <v>73.900000000000006</v>
      </c>
      <c r="O5771">
        <v>56</v>
      </c>
      <c r="P5771">
        <v>24.39</v>
      </c>
    </row>
    <row r="5772" spans="1:16" x14ac:dyDescent="0.3">
      <c r="A5772">
        <v>12129</v>
      </c>
      <c r="B5772">
        <v>105</v>
      </c>
      <c r="C5772" t="s">
        <v>557</v>
      </c>
      <c r="D5772" s="452">
        <v>45658</v>
      </c>
      <c r="E5772">
        <v>19453</v>
      </c>
      <c r="F5772" t="s">
        <v>5561</v>
      </c>
      <c r="G5772">
        <v>2752</v>
      </c>
      <c r="H5772">
        <v>1.2</v>
      </c>
      <c r="I5772" t="s">
        <v>4744</v>
      </c>
      <c r="J5772" t="s">
        <v>5191</v>
      </c>
      <c r="K5772" t="s">
        <v>730</v>
      </c>
      <c r="L5772">
        <v>20.25</v>
      </c>
      <c r="M5772" s="452">
        <v>45636</v>
      </c>
      <c r="N5772">
        <v>20.25</v>
      </c>
      <c r="O5772">
        <v>42.65</v>
      </c>
      <c r="P5772">
        <v>24.3</v>
      </c>
    </row>
    <row r="5773" spans="1:16" x14ac:dyDescent="0.3">
      <c r="A5773">
        <v>12096</v>
      </c>
      <c r="B5773">
        <v>105</v>
      </c>
      <c r="C5773" t="s">
        <v>557</v>
      </c>
      <c r="D5773" s="452">
        <v>45658</v>
      </c>
      <c r="E5773">
        <v>19642</v>
      </c>
      <c r="F5773" t="s">
        <v>4996</v>
      </c>
      <c r="G5773">
        <v>2596</v>
      </c>
      <c r="H5773">
        <v>3.65</v>
      </c>
      <c r="I5773" t="s">
        <v>4744</v>
      </c>
      <c r="J5773" t="s">
        <v>5191</v>
      </c>
      <c r="K5773" t="s">
        <v>730</v>
      </c>
      <c r="L5773">
        <v>6.21</v>
      </c>
      <c r="M5773" s="452">
        <v>45643</v>
      </c>
      <c r="N5773">
        <v>6.5</v>
      </c>
      <c r="O5773">
        <v>5.8</v>
      </c>
      <c r="P5773">
        <v>22.67</v>
      </c>
    </row>
    <row r="5774" spans="1:16" x14ac:dyDescent="0.3">
      <c r="A5774">
        <v>12235</v>
      </c>
      <c r="B5774">
        <v>105</v>
      </c>
      <c r="C5774" t="s">
        <v>557</v>
      </c>
      <c r="D5774" s="452">
        <v>45658</v>
      </c>
      <c r="E5774">
        <v>20653</v>
      </c>
      <c r="F5774" t="s">
        <v>5013</v>
      </c>
      <c r="G5774">
        <v>2111</v>
      </c>
      <c r="H5774">
        <v>1</v>
      </c>
      <c r="I5774" t="s">
        <v>4736</v>
      </c>
      <c r="J5774" t="s">
        <v>5191</v>
      </c>
      <c r="K5774" t="s">
        <v>730</v>
      </c>
      <c r="L5774">
        <v>21.98</v>
      </c>
      <c r="M5774" s="452">
        <v>45636</v>
      </c>
      <c r="N5774">
        <v>21.98</v>
      </c>
      <c r="O5774">
        <v>21.98</v>
      </c>
      <c r="P5774">
        <v>21.98</v>
      </c>
    </row>
    <row r="5775" spans="1:16" x14ac:dyDescent="0.3">
      <c r="A5775">
        <v>12193</v>
      </c>
      <c r="B5775">
        <v>105</v>
      </c>
      <c r="C5775" t="s">
        <v>557</v>
      </c>
      <c r="D5775" s="452">
        <v>45658</v>
      </c>
      <c r="E5775">
        <v>20140</v>
      </c>
      <c r="F5775" t="s">
        <v>5566</v>
      </c>
      <c r="G5775">
        <v>2284</v>
      </c>
      <c r="H5775">
        <v>3</v>
      </c>
      <c r="I5775" t="s">
        <v>4736</v>
      </c>
      <c r="J5775" t="s">
        <v>5191</v>
      </c>
      <c r="K5775" t="s">
        <v>730</v>
      </c>
      <c r="L5775">
        <v>7.25</v>
      </c>
      <c r="M5775" s="452">
        <v>45646</v>
      </c>
      <c r="N5775">
        <v>7.25</v>
      </c>
      <c r="O5775">
        <v>7.25</v>
      </c>
      <c r="P5775">
        <v>21.75</v>
      </c>
    </row>
    <row r="5776" spans="1:16" x14ac:dyDescent="0.3">
      <c r="A5776">
        <v>12186</v>
      </c>
      <c r="B5776">
        <v>105</v>
      </c>
      <c r="C5776" t="s">
        <v>557</v>
      </c>
      <c r="D5776" s="452">
        <v>45658</v>
      </c>
      <c r="E5776">
        <v>20672</v>
      </c>
      <c r="F5776" t="s">
        <v>4857</v>
      </c>
      <c r="G5776">
        <v>2107</v>
      </c>
      <c r="H5776">
        <v>0.69</v>
      </c>
      <c r="I5776" t="s">
        <v>4738</v>
      </c>
      <c r="J5776" t="s">
        <v>5191</v>
      </c>
      <c r="K5776" t="s">
        <v>730</v>
      </c>
      <c r="L5776">
        <v>0</v>
      </c>
      <c r="M5776" s="452">
        <v>45622</v>
      </c>
      <c r="N5776">
        <v>30.4</v>
      </c>
      <c r="O5776">
        <v>30.4</v>
      </c>
      <c r="P5776">
        <v>20.98</v>
      </c>
    </row>
    <row r="5777" spans="1:16" x14ac:dyDescent="0.3">
      <c r="A5777">
        <v>12228</v>
      </c>
      <c r="B5777">
        <v>105</v>
      </c>
      <c r="C5777" t="s">
        <v>557</v>
      </c>
      <c r="D5777" s="452">
        <v>45658</v>
      </c>
      <c r="E5777">
        <v>20256</v>
      </c>
      <c r="F5777" t="s">
        <v>5609</v>
      </c>
      <c r="G5777">
        <v>2239</v>
      </c>
      <c r="H5777">
        <v>0.78</v>
      </c>
      <c r="I5777" t="s">
        <v>4736</v>
      </c>
      <c r="J5777" t="s">
        <v>5191</v>
      </c>
      <c r="K5777" t="s">
        <v>730</v>
      </c>
      <c r="L5777">
        <v>0</v>
      </c>
      <c r="M5777" s="452">
        <v>45532</v>
      </c>
      <c r="N5777">
        <v>24.5</v>
      </c>
      <c r="O5777">
        <v>24.5</v>
      </c>
      <c r="P5777">
        <v>19.11</v>
      </c>
    </row>
    <row r="5778" spans="1:16" x14ac:dyDescent="0.3">
      <c r="A5778">
        <v>12053</v>
      </c>
      <c r="B5778">
        <v>105</v>
      </c>
      <c r="C5778" t="s">
        <v>557</v>
      </c>
      <c r="D5778" s="452">
        <v>45658</v>
      </c>
      <c r="E5778">
        <v>24110</v>
      </c>
      <c r="F5778" t="s">
        <v>5450</v>
      </c>
      <c r="G5778">
        <v>2322</v>
      </c>
      <c r="H5778">
        <v>1.0900000000000001</v>
      </c>
      <c r="I5778" t="s">
        <v>4744</v>
      </c>
      <c r="J5778" t="s">
        <v>5191</v>
      </c>
      <c r="K5778" t="s">
        <v>730</v>
      </c>
      <c r="L5778">
        <v>0</v>
      </c>
      <c r="M5778" s="452">
        <v>45478</v>
      </c>
      <c r="N5778">
        <v>17.2</v>
      </c>
      <c r="O5778">
        <v>32</v>
      </c>
      <c r="P5778">
        <v>18.75</v>
      </c>
    </row>
    <row r="5779" spans="1:16" x14ac:dyDescent="0.3">
      <c r="A5779">
        <v>12063</v>
      </c>
      <c r="B5779">
        <v>105</v>
      </c>
      <c r="C5779" t="s">
        <v>557</v>
      </c>
      <c r="D5779" s="452">
        <v>45658</v>
      </c>
      <c r="E5779">
        <v>24486</v>
      </c>
      <c r="F5779" t="s">
        <v>5568</v>
      </c>
      <c r="G5779">
        <v>2212</v>
      </c>
      <c r="H5779">
        <v>2</v>
      </c>
      <c r="I5779" t="s">
        <v>4744</v>
      </c>
      <c r="J5779" t="s">
        <v>5191</v>
      </c>
      <c r="K5779" t="s">
        <v>730</v>
      </c>
      <c r="L5779">
        <v>0</v>
      </c>
      <c r="M5779" s="452">
        <v>45486</v>
      </c>
      <c r="N5779">
        <v>8.99</v>
      </c>
      <c r="O5779">
        <v>8.99</v>
      </c>
      <c r="P5779">
        <v>17.98</v>
      </c>
    </row>
    <row r="5780" spans="1:16" x14ac:dyDescent="0.3">
      <c r="A5780">
        <v>12244</v>
      </c>
      <c r="B5780">
        <v>105</v>
      </c>
      <c r="C5780" t="s">
        <v>557</v>
      </c>
      <c r="D5780" s="452">
        <v>45658</v>
      </c>
      <c r="E5780">
        <v>19241</v>
      </c>
      <c r="F5780" t="s">
        <v>4890</v>
      </c>
      <c r="G5780">
        <v>2785</v>
      </c>
      <c r="H5780">
        <v>3</v>
      </c>
      <c r="I5780" t="s">
        <v>4736</v>
      </c>
      <c r="J5780" t="s">
        <v>5191</v>
      </c>
      <c r="K5780" t="s">
        <v>730</v>
      </c>
      <c r="L5780">
        <v>5.85</v>
      </c>
      <c r="M5780" s="452">
        <v>45646</v>
      </c>
      <c r="N5780">
        <v>5.9</v>
      </c>
      <c r="O5780">
        <v>5.9</v>
      </c>
      <c r="P5780">
        <v>17.55</v>
      </c>
    </row>
    <row r="5781" spans="1:16" x14ac:dyDescent="0.3">
      <c r="A5781">
        <v>12035</v>
      </c>
      <c r="B5781">
        <v>105</v>
      </c>
      <c r="C5781" t="s">
        <v>557</v>
      </c>
      <c r="D5781" s="452">
        <v>45658</v>
      </c>
      <c r="E5781">
        <v>21065</v>
      </c>
      <c r="F5781" t="s">
        <v>5506</v>
      </c>
      <c r="G5781">
        <v>1997</v>
      </c>
      <c r="H5781">
        <v>1</v>
      </c>
      <c r="I5781" t="s">
        <v>4805</v>
      </c>
      <c r="J5781" t="s">
        <v>5191</v>
      </c>
      <c r="K5781" t="s">
        <v>730</v>
      </c>
      <c r="L5781">
        <v>0</v>
      </c>
      <c r="M5781" s="452">
        <v>45622</v>
      </c>
      <c r="N5781">
        <v>17.149999999999999</v>
      </c>
      <c r="O5781">
        <v>15.77</v>
      </c>
      <c r="P5781">
        <v>17.149999999999999</v>
      </c>
    </row>
    <row r="5782" spans="1:16" x14ac:dyDescent="0.3">
      <c r="A5782">
        <v>14878</v>
      </c>
      <c r="B5782">
        <v>105</v>
      </c>
      <c r="C5782" t="s">
        <v>557</v>
      </c>
      <c r="D5782" s="452">
        <v>45658</v>
      </c>
      <c r="E5782">
        <v>18281</v>
      </c>
      <c r="F5782" t="s">
        <v>5470</v>
      </c>
      <c r="G5782">
        <v>3346</v>
      </c>
      <c r="H5782">
        <v>0.5</v>
      </c>
      <c r="I5782" t="s">
        <v>4805</v>
      </c>
      <c r="J5782" t="s">
        <v>5222</v>
      </c>
      <c r="K5782" t="s">
        <v>730</v>
      </c>
      <c r="L5782">
        <v>0</v>
      </c>
      <c r="M5782" s="452">
        <v>45547</v>
      </c>
      <c r="N5782">
        <v>34.299999999999997</v>
      </c>
      <c r="O5782">
        <v>34.5</v>
      </c>
      <c r="P5782">
        <v>17.149999999999999</v>
      </c>
    </row>
    <row r="5783" spans="1:16" x14ac:dyDescent="0.3">
      <c r="A5783">
        <v>12239</v>
      </c>
      <c r="B5783">
        <v>105</v>
      </c>
      <c r="C5783" t="s">
        <v>557</v>
      </c>
      <c r="D5783" s="452">
        <v>45658</v>
      </c>
      <c r="E5783">
        <v>19907</v>
      </c>
      <c r="F5783" t="s">
        <v>4802</v>
      </c>
      <c r="G5783">
        <v>2381</v>
      </c>
      <c r="H5783">
        <v>5.71</v>
      </c>
      <c r="I5783" t="s">
        <v>4736</v>
      </c>
      <c r="J5783" t="s">
        <v>5191</v>
      </c>
      <c r="K5783" t="s">
        <v>730</v>
      </c>
      <c r="L5783">
        <v>2.99</v>
      </c>
      <c r="M5783" s="452">
        <v>45646</v>
      </c>
      <c r="N5783">
        <v>2.99</v>
      </c>
      <c r="O5783">
        <v>3.08</v>
      </c>
      <c r="P5783">
        <v>17.07</v>
      </c>
    </row>
    <row r="5784" spans="1:16" x14ac:dyDescent="0.3">
      <c r="A5784">
        <v>12056</v>
      </c>
      <c r="B5784">
        <v>105</v>
      </c>
      <c r="C5784" t="s">
        <v>557</v>
      </c>
      <c r="D5784" s="452">
        <v>45658</v>
      </c>
      <c r="E5784">
        <v>24186</v>
      </c>
      <c r="F5784" t="s">
        <v>4995</v>
      </c>
      <c r="G5784">
        <v>2332</v>
      </c>
      <c r="H5784">
        <v>1.63</v>
      </c>
      <c r="I5784" t="s">
        <v>4744</v>
      </c>
      <c r="J5784" t="s">
        <v>5191</v>
      </c>
      <c r="K5784" t="s">
        <v>730</v>
      </c>
      <c r="L5784">
        <v>0</v>
      </c>
      <c r="M5784" s="452">
        <v>45378</v>
      </c>
      <c r="N5784">
        <v>10.26</v>
      </c>
      <c r="O5784">
        <v>14.2</v>
      </c>
      <c r="P5784">
        <v>16.72</v>
      </c>
    </row>
    <row r="5785" spans="1:16" x14ac:dyDescent="0.3">
      <c r="A5785">
        <v>11981</v>
      </c>
      <c r="B5785">
        <v>105</v>
      </c>
      <c r="C5785" t="s">
        <v>557</v>
      </c>
      <c r="D5785" s="452">
        <v>45658</v>
      </c>
      <c r="E5785">
        <v>21085</v>
      </c>
      <c r="F5785" t="s">
        <v>5066</v>
      </c>
      <c r="G5785">
        <v>1989</v>
      </c>
      <c r="H5785">
        <v>0.75</v>
      </c>
      <c r="I5785" t="s">
        <v>4749</v>
      </c>
      <c r="J5785" t="s">
        <v>5191</v>
      </c>
      <c r="K5785" t="s">
        <v>730</v>
      </c>
      <c r="L5785">
        <v>0</v>
      </c>
      <c r="M5785" s="452">
        <v>45618</v>
      </c>
      <c r="N5785">
        <v>22.16</v>
      </c>
      <c r="O5785">
        <v>19.3</v>
      </c>
      <c r="P5785">
        <v>16.62</v>
      </c>
    </row>
    <row r="5786" spans="1:16" x14ac:dyDescent="0.3">
      <c r="A5786">
        <v>12070</v>
      </c>
      <c r="B5786">
        <v>105</v>
      </c>
      <c r="C5786" t="s">
        <v>557</v>
      </c>
      <c r="D5786" s="452">
        <v>45658</v>
      </c>
      <c r="E5786">
        <v>20508</v>
      </c>
      <c r="F5786" t="s">
        <v>5646</v>
      </c>
      <c r="G5786">
        <v>2153</v>
      </c>
      <c r="H5786">
        <v>0.4</v>
      </c>
      <c r="I5786" t="s">
        <v>4744</v>
      </c>
      <c r="J5786" t="s">
        <v>5191</v>
      </c>
      <c r="K5786" t="s">
        <v>730</v>
      </c>
      <c r="L5786">
        <v>0</v>
      </c>
      <c r="M5786" s="452">
        <v>45422</v>
      </c>
      <c r="N5786">
        <v>39.93</v>
      </c>
      <c r="O5786">
        <v>28</v>
      </c>
      <c r="P5786">
        <v>15.97</v>
      </c>
    </row>
    <row r="5787" spans="1:16" x14ac:dyDescent="0.3">
      <c r="A5787">
        <v>12003</v>
      </c>
      <c r="B5787">
        <v>105</v>
      </c>
      <c r="C5787" t="s">
        <v>557</v>
      </c>
      <c r="D5787" s="452">
        <v>45658</v>
      </c>
      <c r="E5787">
        <v>18423</v>
      </c>
      <c r="F5787" t="s">
        <v>4987</v>
      </c>
      <c r="G5787">
        <v>3220</v>
      </c>
      <c r="H5787">
        <v>0.4</v>
      </c>
      <c r="I5787" t="s">
        <v>4805</v>
      </c>
      <c r="J5787" t="s">
        <v>5222</v>
      </c>
      <c r="K5787" t="s">
        <v>730</v>
      </c>
      <c r="L5787">
        <v>38.86</v>
      </c>
      <c r="M5787" s="452">
        <v>45630</v>
      </c>
      <c r="N5787">
        <v>38.86</v>
      </c>
      <c r="O5787">
        <v>38.86</v>
      </c>
      <c r="P5787">
        <v>15.54</v>
      </c>
    </row>
    <row r="5788" spans="1:16" x14ac:dyDescent="0.3">
      <c r="A5788">
        <v>12227</v>
      </c>
      <c r="B5788">
        <v>105</v>
      </c>
      <c r="C5788" t="s">
        <v>557</v>
      </c>
      <c r="D5788" s="452">
        <v>45658</v>
      </c>
      <c r="E5788">
        <v>20932</v>
      </c>
      <c r="F5788" t="s">
        <v>5647</v>
      </c>
      <c r="G5788">
        <v>2032</v>
      </c>
      <c r="H5788">
        <v>0.21</v>
      </c>
      <c r="I5788" t="s">
        <v>4736</v>
      </c>
      <c r="J5788" t="s">
        <v>5191</v>
      </c>
      <c r="K5788" t="s">
        <v>730</v>
      </c>
      <c r="L5788">
        <v>0</v>
      </c>
      <c r="M5788" s="452">
        <v>45519</v>
      </c>
      <c r="N5788">
        <v>74</v>
      </c>
      <c r="O5788">
        <v>106.56</v>
      </c>
      <c r="P5788">
        <v>15.54</v>
      </c>
    </row>
    <row r="5789" spans="1:16" x14ac:dyDescent="0.3">
      <c r="A5789">
        <v>12065</v>
      </c>
      <c r="B5789">
        <v>105</v>
      </c>
      <c r="C5789" t="s">
        <v>557</v>
      </c>
      <c r="D5789" s="452">
        <v>45658</v>
      </c>
      <c r="E5789">
        <v>20844</v>
      </c>
      <c r="F5789" t="s">
        <v>5648</v>
      </c>
      <c r="G5789">
        <v>2052</v>
      </c>
      <c r="H5789">
        <v>1</v>
      </c>
      <c r="I5789" t="s">
        <v>4736</v>
      </c>
      <c r="J5789" t="s">
        <v>5191</v>
      </c>
      <c r="K5789" t="s">
        <v>730</v>
      </c>
      <c r="L5789">
        <v>0</v>
      </c>
      <c r="M5789" s="452">
        <v>45478</v>
      </c>
      <c r="N5789">
        <v>14.6</v>
      </c>
      <c r="O5789">
        <v>14.6</v>
      </c>
      <c r="P5789">
        <v>14.6</v>
      </c>
    </row>
    <row r="5790" spans="1:16" x14ac:dyDescent="0.3">
      <c r="A5790">
        <v>12076</v>
      </c>
      <c r="B5790">
        <v>105</v>
      </c>
      <c r="C5790" t="s">
        <v>557</v>
      </c>
      <c r="D5790" s="452">
        <v>45658</v>
      </c>
      <c r="E5790">
        <v>19939</v>
      </c>
      <c r="F5790" t="s">
        <v>5057</v>
      </c>
      <c r="G5790">
        <v>2365</v>
      </c>
      <c r="H5790">
        <v>0.63</v>
      </c>
      <c r="I5790" t="s">
        <v>4744</v>
      </c>
      <c r="J5790" t="s">
        <v>5191</v>
      </c>
      <c r="K5790" t="s">
        <v>730</v>
      </c>
      <c r="L5790">
        <v>0</v>
      </c>
      <c r="M5790" s="452">
        <v>-693593</v>
      </c>
      <c r="N5790">
        <v>0</v>
      </c>
      <c r="O5790">
        <v>22</v>
      </c>
      <c r="P5790">
        <v>13.86</v>
      </c>
    </row>
    <row r="5791" spans="1:16" x14ac:dyDescent="0.3">
      <c r="A5791">
        <v>12077</v>
      </c>
      <c r="B5791">
        <v>105</v>
      </c>
      <c r="C5791" t="s">
        <v>557</v>
      </c>
      <c r="D5791" s="452">
        <v>45658</v>
      </c>
      <c r="E5791">
        <v>17032</v>
      </c>
      <c r="F5791" t="s">
        <v>5509</v>
      </c>
      <c r="G5791">
        <v>2366</v>
      </c>
      <c r="H5791">
        <v>0.73</v>
      </c>
      <c r="I5791" t="s">
        <v>4744</v>
      </c>
      <c r="J5791" t="s">
        <v>5191</v>
      </c>
      <c r="K5791" t="s">
        <v>730</v>
      </c>
      <c r="L5791">
        <v>0</v>
      </c>
      <c r="M5791" s="452">
        <v>45378</v>
      </c>
      <c r="N5791">
        <v>18.899999999999999</v>
      </c>
      <c r="O5791">
        <v>38.9</v>
      </c>
      <c r="P5791">
        <v>13.8</v>
      </c>
    </row>
    <row r="5792" spans="1:16" x14ac:dyDescent="0.3">
      <c r="A5792">
        <v>12119</v>
      </c>
      <c r="B5792">
        <v>105</v>
      </c>
      <c r="C5792" t="s">
        <v>557</v>
      </c>
      <c r="D5792" s="452">
        <v>45658</v>
      </c>
      <c r="E5792">
        <v>19479</v>
      </c>
      <c r="F5792" t="s">
        <v>5063</v>
      </c>
      <c r="G5792">
        <v>2727</v>
      </c>
      <c r="H5792">
        <v>0.34</v>
      </c>
      <c r="I5792" t="s">
        <v>4744</v>
      </c>
      <c r="J5792" t="s">
        <v>5191</v>
      </c>
      <c r="K5792" t="s">
        <v>730</v>
      </c>
      <c r="L5792">
        <v>0</v>
      </c>
      <c r="M5792" s="452">
        <v>45554</v>
      </c>
      <c r="N5792">
        <v>40</v>
      </c>
      <c r="O5792">
        <v>31</v>
      </c>
      <c r="P5792">
        <v>13.6</v>
      </c>
    </row>
    <row r="5793" spans="1:16" x14ac:dyDescent="0.3">
      <c r="A5793">
        <v>11982</v>
      </c>
      <c r="B5793">
        <v>105</v>
      </c>
      <c r="C5793" t="s">
        <v>557</v>
      </c>
      <c r="D5793" s="452">
        <v>45658</v>
      </c>
      <c r="E5793">
        <v>20429</v>
      </c>
      <c r="F5793" t="s">
        <v>5317</v>
      </c>
      <c r="G5793">
        <v>2184</v>
      </c>
      <c r="H5793">
        <v>0.7</v>
      </c>
      <c r="I5793" t="s">
        <v>4736</v>
      </c>
      <c r="J5793" t="s">
        <v>5191</v>
      </c>
      <c r="K5793" t="s">
        <v>730</v>
      </c>
      <c r="L5793">
        <v>19.399999999999999</v>
      </c>
      <c r="M5793" s="452">
        <v>45631</v>
      </c>
      <c r="N5793">
        <v>19.399999999999999</v>
      </c>
      <c r="O5793">
        <v>18.8</v>
      </c>
      <c r="P5793">
        <v>13.58</v>
      </c>
    </row>
    <row r="5794" spans="1:16" x14ac:dyDescent="0.3">
      <c r="A5794">
        <v>12052</v>
      </c>
      <c r="B5794">
        <v>105</v>
      </c>
      <c r="C5794" t="s">
        <v>557</v>
      </c>
      <c r="D5794" s="452">
        <v>45658</v>
      </c>
      <c r="E5794">
        <v>24089</v>
      </c>
      <c r="F5794" t="s">
        <v>4931</v>
      </c>
      <c r="G5794">
        <v>2316</v>
      </c>
      <c r="H5794">
        <v>1.45</v>
      </c>
      <c r="I5794" t="s">
        <v>4744</v>
      </c>
      <c r="J5794" t="s">
        <v>5191</v>
      </c>
      <c r="K5794" t="s">
        <v>730</v>
      </c>
      <c r="L5794">
        <v>0</v>
      </c>
      <c r="M5794" s="452">
        <v>45532</v>
      </c>
      <c r="N5794">
        <v>8.5</v>
      </c>
      <c r="O5794">
        <v>8.43</v>
      </c>
      <c r="P5794">
        <v>12.32</v>
      </c>
    </row>
    <row r="5795" spans="1:16" x14ac:dyDescent="0.3">
      <c r="A5795">
        <v>14908</v>
      </c>
      <c r="B5795">
        <v>105</v>
      </c>
      <c r="C5795" t="s">
        <v>557</v>
      </c>
      <c r="D5795" s="452">
        <v>45658</v>
      </c>
      <c r="E5795">
        <v>19993</v>
      </c>
      <c r="F5795" t="s">
        <v>4954</v>
      </c>
      <c r="G5795">
        <v>2349</v>
      </c>
      <c r="H5795">
        <v>1</v>
      </c>
      <c r="I5795" t="s">
        <v>4955</v>
      </c>
      <c r="J5795" t="s">
        <v>5191</v>
      </c>
      <c r="K5795" t="s">
        <v>730</v>
      </c>
      <c r="L5795">
        <v>0</v>
      </c>
      <c r="M5795" s="452">
        <v>-693593</v>
      </c>
      <c r="N5795">
        <v>0</v>
      </c>
      <c r="O5795">
        <v>0</v>
      </c>
      <c r="P5795">
        <v>11.99</v>
      </c>
    </row>
    <row r="5796" spans="1:16" x14ac:dyDescent="0.3">
      <c r="A5796">
        <v>14909</v>
      </c>
      <c r="B5796">
        <v>105</v>
      </c>
      <c r="C5796" t="s">
        <v>557</v>
      </c>
      <c r="D5796" s="452">
        <v>45658</v>
      </c>
      <c r="E5796">
        <v>24223</v>
      </c>
      <c r="F5796" t="s">
        <v>5612</v>
      </c>
      <c r="G5796">
        <v>1952</v>
      </c>
      <c r="H5796">
        <v>0.2</v>
      </c>
      <c r="I5796" t="s">
        <v>4744</v>
      </c>
      <c r="J5796" t="s">
        <v>5191</v>
      </c>
      <c r="K5796" t="s">
        <v>730</v>
      </c>
      <c r="L5796">
        <v>0</v>
      </c>
      <c r="M5796" s="452">
        <v>-693593</v>
      </c>
      <c r="N5796">
        <v>0</v>
      </c>
      <c r="O5796">
        <v>55.04</v>
      </c>
      <c r="P5796">
        <v>11.01</v>
      </c>
    </row>
    <row r="5797" spans="1:16" x14ac:dyDescent="0.3">
      <c r="A5797">
        <v>12109</v>
      </c>
      <c r="B5797">
        <v>105</v>
      </c>
      <c r="C5797" t="s">
        <v>557</v>
      </c>
      <c r="D5797" s="452">
        <v>45658</v>
      </c>
      <c r="E5797">
        <v>19615</v>
      </c>
      <c r="F5797" t="s">
        <v>4934</v>
      </c>
      <c r="G5797">
        <v>2618</v>
      </c>
      <c r="H5797">
        <v>1</v>
      </c>
      <c r="I5797" t="s">
        <v>4744</v>
      </c>
      <c r="J5797" t="s">
        <v>5191</v>
      </c>
      <c r="K5797" t="s">
        <v>730</v>
      </c>
      <c r="L5797">
        <v>10.8</v>
      </c>
      <c r="M5797" s="452">
        <v>45653</v>
      </c>
      <c r="N5797">
        <v>10.61</v>
      </c>
      <c r="O5797">
        <v>10.61</v>
      </c>
      <c r="P5797">
        <v>10.8</v>
      </c>
    </row>
    <row r="5798" spans="1:16" x14ac:dyDescent="0.3">
      <c r="A5798">
        <v>12172</v>
      </c>
      <c r="B5798">
        <v>105</v>
      </c>
      <c r="C5798" t="s">
        <v>557</v>
      </c>
      <c r="D5798" s="452">
        <v>45658</v>
      </c>
      <c r="E5798">
        <v>20644</v>
      </c>
      <c r="F5798" t="s">
        <v>5016</v>
      </c>
      <c r="G5798">
        <v>2113</v>
      </c>
      <c r="H5798">
        <v>3</v>
      </c>
      <c r="I5798" t="s">
        <v>4955</v>
      </c>
      <c r="J5798" t="s">
        <v>5191</v>
      </c>
      <c r="K5798" t="s">
        <v>730</v>
      </c>
      <c r="L5798">
        <v>0</v>
      </c>
      <c r="M5798" s="452">
        <v>45622</v>
      </c>
      <c r="N5798">
        <v>3.59</v>
      </c>
      <c r="O5798">
        <v>3.59</v>
      </c>
      <c r="P5798">
        <v>10.77</v>
      </c>
    </row>
    <row r="5799" spans="1:16" x14ac:dyDescent="0.3">
      <c r="A5799">
        <v>12099</v>
      </c>
      <c r="B5799">
        <v>105</v>
      </c>
      <c r="C5799" t="s">
        <v>557</v>
      </c>
      <c r="D5799" s="452">
        <v>45658</v>
      </c>
      <c r="E5799">
        <v>19632</v>
      </c>
      <c r="F5799" t="s">
        <v>4936</v>
      </c>
      <c r="G5799">
        <v>2604</v>
      </c>
      <c r="H5799">
        <v>3.7</v>
      </c>
      <c r="I5799" t="s">
        <v>4744</v>
      </c>
      <c r="J5799" t="s">
        <v>5191</v>
      </c>
      <c r="K5799" t="s">
        <v>730</v>
      </c>
      <c r="L5799">
        <v>2.84</v>
      </c>
      <c r="M5799" s="452">
        <v>45653</v>
      </c>
      <c r="N5799">
        <v>3.38</v>
      </c>
      <c r="O5799">
        <v>3.38</v>
      </c>
      <c r="P5799">
        <v>10.51</v>
      </c>
    </row>
    <row r="5800" spans="1:16" x14ac:dyDescent="0.3">
      <c r="A5800">
        <v>12082</v>
      </c>
      <c r="B5800">
        <v>105</v>
      </c>
      <c r="C5800" t="s">
        <v>557</v>
      </c>
      <c r="D5800" s="452">
        <v>45658</v>
      </c>
      <c r="E5800">
        <v>23490</v>
      </c>
      <c r="F5800" t="s">
        <v>5649</v>
      </c>
      <c r="G5800">
        <v>2379</v>
      </c>
      <c r="H5800">
        <v>3</v>
      </c>
      <c r="I5800" t="s">
        <v>4744</v>
      </c>
      <c r="J5800" t="s">
        <v>5191</v>
      </c>
      <c r="K5800" t="s">
        <v>730</v>
      </c>
      <c r="L5800">
        <v>0</v>
      </c>
      <c r="M5800" s="452">
        <v>45555</v>
      </c>
      <c r="N5800">
        <v>3.09</v>
      </c>
      <c r="O5800">
        <v>3.35</v>
      </c>
      <c r="P5800">
        <v>9.27</v>
      </c>
    </row>
    <row r="5801" spans="1:16" x14ac:dyDescent="0.3">
      <c r="A5801">
        <v>12173</v>
      </c>
      <c r="B5801">
        <v>105</v>
      </c>
      <c r="C5801" t="s">
        <v>557</v>
      </c>
      <c r="D5801" s="452">
        <v>45658</v>
      </c>
      <c r="E5801">
        <v>20614</v>
      </c>
      <c r="F5801" t="s">
        <v>4958</v>
      </c>
      <c r="G5801">
        <v>2119</v>
      </c>
      <c r="H5801">
        <v>0.32</v>
      </c>
      <c r="I5801" t="s">
        <v>4736</v>
      </c>
      <c r="J5801" t="s">
        <v>5191</v>
      </c>
      <c r="K5801" t="s">
        <v>730</v>
      </c>
      <c r="L5801">
        <v>0</v>
      </c>
      <c r="M5801" s="452">
        <v>45504</v>
      </c>
      <c r="N5801">
        <v>28.61</v>
      </c>
      <c r="O5801">
        <v>29.6</v>
      </c>
      <c r="P5801">
        <v>9.16</v>
      </c>
    </row>
    <row r="5802" spans="1:16" x14ac:dyDescent="0.3">
      <c r="A5802">
        <v>12232</v>
      </c>
      <c r="B5802">
        <v>105</v>
      </c>
      <c r="C5802" t="s">
        <v>557</v>
      </c>
      <c r="D5802" s="452">
        <v>45658</v>
      </c>
      <c r="E5802">
        <v>20022</v>
      </c>
      <c r="F5802" t="s">
        <v>5455</v>
      </c>
      <c r="G5802">
        <v>2340</v>
      </c>
      <c r="H5802">
        <v>1</v>
      </c>
      <c r="I5802" t="s">
        <v>4736</v>
      </c>
      <c r="J5802" t="s">
        <v>5191</v>
      </c>
      <c r="K5802" t="s">
        <v>730</v>
      </c>
      <c r="L5802">
        <v>0</v>
      </c>
      <c r="M5802" s="452">
        <v>45586</v>
      </c>
      <c r="N5802">
        <v>8.85</v>
      </c>
      <c r="O5802">
        <v>9.39</v>
      </c>
      <c r="P5802">
        <v>8.85</v>
      </c>
    </row>
    <row r="5803" spans="1:16" x14ac:dyDescent="0.3">
      <c r="A5803">
        <v>12014</v>
      </c>
      <c r="B5803">
        <v>105</v>
      </c>
      <c r="C5803" t="s">
        <v>557</v>
      </c>
      <c r="D5803" s="452">
        <v>45658</v>
      </c>
      <c r="E5803">
        <v>18272</v>
      </c>
      <c r="F5803" t="s">
        <v>5650</v>
      </c>
      <c r="G5803">
        <v>3358</v>
      </c>
      <c r="H5803">
        <v>0.25</v>
      </c>
      <c r="I5803" t="s">
        <v>4805</v>
      </c>
      <c r="J5803" t="s">
        <v>5222</v>
      </c>
      <c r="K5803" t="s">
        <v>730</v>
      </c>
      <c r="L5803">
        <v>0</v>
      </c>
      <c r="M5803" s="452">
        <v>45372</v>
      </c>
      <c r="N5803">
        <v>33.51</v>
      </c>
      <c r="O5803">
        <v>36.57</v>
      </c>
      <c r="P5803">
        <v>8.3800000000000008</v>
      </c>
    </row>
    <row r="5804" spans="1:16" x14ac:dyDescent="0.3">
      <c r="A5804">
        <v>12179</v>
      </c>
      <c r="B5804">
        <v>105</v>
      </c>
      <c r="C5804" t="s">
        <v>557</v>
      </c>
      <c r="D5804" s="452">
        <v>45658</v>
      </c>
      <c r="E5804">
        <v>21126</v>
      </c>
      <c r="F5804" t="s">
        <v>5651</v>
      </c>
      <c r="G5804">
        <v>1963</v>
      </c>
      <c r="H5804">
        <v>1.03</v>
      </c>
      <c r="I5804" t="s">
        <v>4738</v>
      </c>
      <c r="J5804" t="s">
        <v>5191</v>
      </c>
      <c r="K5804" t="s">
        <v>730</v>
      </c>
      <c r="L5804">
        <v>0</v>
      </c>
      <c r="M5804" s="452">
        <v>45519</v>
      </c>
      <c r="N5804">
        <v>7.8</v>
      </c>
      <c r="O5804">
        <v>8</v>
      </c>
      <c r="P5804">
        <v>8.0299999999999994</v>
      </c>
    </row>
    <row r="5805" spans="1:16" x14ac:dyDescent="0.3">
      <c r="A5805">
        <v>12079</v>
      </c>
      <c r="B5805">
        <v>105</v>
      </c>
      <c r="C5805" t="s">
        <v>557</v>
      </c>
      <c r="D5805" s="452">
        <v>45658</v>
      </c>
      <c r="E5805">
        <v>19936</v>
      </c>
      <c r="F5805" t="s">
        <v>5508</v>
      </c>
      <c r="G5805">
        <v>2367</v>
      </c>
      <c r="H5805">
        <v>0.57999999999999996</v>
      </c>
      <c r="I5805" t="s">
        <v>4744</v>
      </c>
      <c r="J5805" t="s">
        <v>5191</v>
      </c>
      <c r="K5805" t="s">
        <v>730</v>
      </c>
      <c r="L5805">
        <v>0</v>
      </c>
      <c r="M5805" s="452">
        <v>45622</v>
      </c>
      <c r="N5805">
        <v>13.5</v>
      </c>
      <c r="O5805">
        <v>13.5</v>
      </c>
      <c r="P5805">
        <v>7.83</v>
      </c>
    </row>
    <row r="5806" spans="1:16" x14ac:dyDescent="0.3">
      <c r="A5806">
        <v>12194</v>
      </c>
      <c r="B5806">
        <v>105</v>
      </c>
      <c r="C5806" t="s">
        <v>557</v>
      </c>
      <c r="D5806" s="452">
        <v>45658</v>
      </c>
      <c r="E5806">
        <v>20127</v>
      </c>
      <c r="F5806" t="s">
        <v>5350</v>
      </c>
      <c r="G5806">
        <v>2288</v>
      </c>
      <c r="H5806">
        <v>1</v>
      </c>
      <c r="I5806" t="s">
        <v>4738</v>
      </c>
      <c r="J5806" t="s">
        <v>5191</v>
      </c>
      <c r="K5806" t="s">
        <v>730</v>
      </c>
      <c r="L5806">
        <v>0</v>
      </c>
      <c r="M5806" s="452">
        <v>45610</v>
      </c>
      <c r="N5806">
        <v>6.8</v>
      </c>
      <c r="O5806">
        <v>6.8</v>
      </c>
      <c r="P5806">
        <v>6.8</v>
      </c>
    </row>
    <row r="5807" spans="1:16" x14ac:dyDescent="0.3">
      <c r="A5807">
        <v>12055</v>
      </c>
      <c r="B5807">
        <v>105</v>
      </c>
      <c r="C5807" t="s">
        <v>557</v>
      </c>
      <c r="D5807" s="452">
        <v>45658</v>
      </c>
      <c r="E5807">
        <v>24185</v>
      </c>
      <c r="F5807" t="s">
        <v>5592</v>
      </c>
      <c r="G5807">
        <v>2331</v>
      </c>
      <c r="H5807">
        <v>0.92</v>
      </c>
      <c r="I5807" t="s">
        <v>4744</v>
      </c>
      <c r="J5807" t="s">
        <v>5191</v>
      </c>
      <c r="K5807" t="s">
        <v>730</v>
      </c>
      <c r="L5807">
        <v>0</v>
      </c>
      <c r="M5807" s="452">
        <v>45401</v>
      </c>
      <c r="N5807">
        <v>7.2</v>
      </c>
      <c r="O5807">
        <v>0</v>
      </c>
      <c r="P5807">
        <v>6.62</v>
      </c>
    </row>
    <row r="5808" spans="1:16" x14ac:dyDescent="0.3">
      <c r="A5808">
        <v>12092</v>
      </c>
      <c r="B5808">
        <v>105</v>
      </c>
      <c r="C5808" t="s">
        <v>557</v>
      </c>
      <c r="D5808" s="452">
        <v>45658</v>
      </c>
      <c r="E5808">
        <v>19496</v>
      </c>
      <c r="F5808" t="s">
        <v>5567</v>
      </c>
      <c r="G5808">
        <v>2714</v>
      </c>
      <c r="H5808">
        <v>1</v>
      </c>
      <c r="I5808" t="s">
        <v>4744</v>
      </c>
      <c r="J5808" t="s">
        <v>5191</v>
      </c>
      <c r="K5808" t="s">
        <v>730</v>
      </c>
      <c r="L5808">
        <v>0</v>
      </c>
      <c r="M5808" s="452">
        <v>45544</v>
      </c>
      <c r="N5808">
        <v>6.6</v>
      </c>
      <c r="O5808">
        <v>9.6999999999999993</v>
      </c>
      <c r="P5808">
        <v>6.6</v>
      </c>
    </row>
    <row r="5809" spans="1:16" x14ac:dyDescent="0.3">
      <c r="A5809">
        <v>12200</v>
      </c>
      <c r="B5809">
        <v>105</v>
      </c>
      <c r="C5809" t="s">
        <v>557</v>
      </c>
      <c r="D5809" s="452">
        <v>45658</v>
      </c>
      <c r="E5809">
        <v>17996</v>
      </c>
      <c r="F5809" t="s">
        <v>4765</v>
      </c>
      <c r="G5809">
        <v>3600</v>
      </c>
      <c r="H5809">
        <v>3</v>
      </c>
      <c r="I5809" t="s">
        <v>4738</v>
      </c>
      <c r="J5809" t="s">
        <v>5222</v>
      </c>
      <c r="K5809" t="s">
        <v>730</v>
      </c>
      <c r="L5809">
        <v>0</v>
      </c>
      <c r="M5809" s="452">
        <v>45653</v>
      </c>
      <c r="N5809">
        <v>0</v>
      </c>
      <c r="O5809">
        <v>0</v>
      </c>
      <c r="P5809">
        <v>6.57</v>
      </c>
    </row>
    <row r="5810" spans="1:16" x14ac:dyDescent="0.3">
      <c r="A5810">
        <v>12254</v>
      </c>
      <c r="B5810">
        <v>105</v>
      </c>
      <c r="C5810" t="s">
        <v>557</v>
      </c>
      <c r="D5810" s="452">
        <v>45658</v>
      </c>
      <c r="E5810">
        <v>24029</v>
      </c>
      <c r="F5810" t="s">
        <v>4756</v>
      </c>
      <c r="G5810">
        <v>3591</v>
      </c>
      <c r="H5810">
        <v>3</v>
      </c>
      <c r="I5810" t="s">
        <v>4736</v>
      </c>
      <c r="J5810" t="s">
        <v>5222</v>
      </c>
      <c r="K5810" t="s">
        <v>730</v>
      </c>
      <c r="L5810">
        <v>0</v>
      </c>
      <c r="M5810" s="452">
        <v>45546</v>
      </c>
      <c r="N5810">
        <v>2.19</v>
      </c>
      <c r="O5810">
        <v>2.19</v>
      </c>
      <c r="P5810">
        <v>6.57</v>
      </c>
    </row>
    <row r="5811" spans="1:16" x14ac:dyDescent="0.3">
      <c r="A5811">
        <v>12133</v>
      </c>
      <c r="B5811">
        <v>105</v>
      </c>
      <c r="C5811" t="s">
        <v>557</v>
      </c>
      <c r="D5811" s="452">
        <v>45658</v>
      </c>
      <c r="E5811">
        <v>19546</v>
      </c>
      <c r="F5811" t="s">
        <v>5527</v>
      </c>
      <c r="G5811">
        <v>2670</v>
      </c>
      <c r="H5811">
        <v>0.65</v>
      </c>
      <c r="I5811" t="s">
        <v>4744</v>
      </c>
      <c r="J5811" t="s">
        <v>5191</v>
      </c>
      <c r="K5811" t="s">
        <v>730</v>
      </c>
      <c r="L5811">
        <v>0</v>
      </c>
      <c r="M5811" s="452">
        <v>45562</v>
      </c>
      <c r="N5811">
        <v>10</v>
      </c>
      <c r="O5811">
        <v>18</v>
      </c>
      <c r="P5811">
        <v>6.5</v>
      </c>
    </row>
    <row r="5812" spans="1:16" x14ac:dyDescent="0.3">
      <c r="A5812">
        <v>11991</v>
      </c>
      <c r="B5812">
        <v>105</v>
      </c>
      <c r="C5812" t="s">
        <v>557</v>
      </c>
      <c r="D5812" s="452">
        <v>45658</v>
      </c>
      <c r="E5812">
        <v>19982</v>
      </c>
      <c r="F5812" t="s">
        <v>5017</v>
      </c>
      <c r="G5812">
        <v>2351</v>
      </c>
      <c r="H5812">
        <v>1</v>
      </c>
      <c r="I5812" t="s">
        <v>4888</v>
      </c>
      <c r="J5812" t="s">
        <v>5191</v>
      </c>
      <c r="K5812" t="s">
        <v>730</v>
      </c>
      <c r="L5812">
        <v>0</v>
      </c>
      <c r="M5812" s="452">
        <v>45519</v>
      </c>
      <c r="N5812">
        <v>6</v>
      </c>
      <c r="O5812">
        <v>5.7</v>
      </c>
      <c r="P5812">
        <v>6</v>
      </c>
    </row>
    <row r="5813" spans="1:16" x14ac:dyDescent="0.3">
      <c r="A5813">
        <v>12132</v>
      </c>
      <c r="B5813">
        <v>105</v>
      </c>
      <c r="C5813" t="s">
        <v>557</v>
      </c>
      <c r="D5813" s="452">
        <v>45658</v>
      </c>
      <c r="E5813">
        <v>19551</v>
      </c>
      <c r="F5813" t="s">
        <v>4905</v>
      </c>
      <c r="G5813">
        <v>2665</v>
      </c>
      <c r="H5813">
        <v>0.39</v>
      </c>
      <c r="I5813" t="s">
        <v>4744</v>
      </c>
      <c r="J5813" t="s">
        <v>5191</v>
      </c>
      <c r="K5813" t="s">
        <v>730</v>
      </c>
      <c r="L5813">
        <v>14.57</v>
      </c>
      <c r="M5813" s="452">
        <v>45653</v>
      </c>
      <c r="N5813">
        <v>16.2</v>
      </c>
      <c r="O5813">
        <v>16.2</v>
      </c>
      <c r="P5813">
        <v>5.68</v>
      </c>
    </row>
    <row r="5814" spans="1:16" x14ac:dyDescent="0.3">
      <c r="A5814">
        <v>12107</v>
      </c>
      <c r="B5814">
        <v>105</v>
      </c>
      <c r="C5814" t="s">
        <v>557</v>
      </c>
      <c r="D5814" s="452">
        <v>45658</v>
      </c>
      <c r="E5814">
        <v>19621</v>
      </c>
      <c r="F5814" t="s">
        <v>4829</v>
      </c>
      <c r="G5814">
        <v>2613</v>
      </c>
      <c r="H5814">
        <v>2.2999999999999998</v>
      </c>
      <c r="I5814" t="s">
        <v>4744</v>
      </c>
      <c r="J5814" t="s">
        <v>5191</v>
      </c>
      <c r="K5814" t="s">
        <v>730</v>
      </c>
      <c r="L5814">
        <v>2.46</v>
      </c>
      <c r="M5814" s="452">
        <v>45653</v>
      </c>
      <c r="N5814">
        <v>3.38</v>
      </c>
      <c r="O5814">
        <v>2.6</v>
      </c>
      <c r="P5814">
        <v>5.66</v>
      </c>
    </row>
    <row r="5815" spans="1:16" x14ac:dyDescent="0.3">
      <c r="A5815">
        <v>12124</v>
      </c>
      <c r="B5815">
        <v>105</v>
      </c>
      <c r="C5815" t="s">
        <v>557</v>
      </c>
      <c r="D5815" s="452">
        <v>45658</v>
      </c>
      <c r="E5815">
        <v>19577</v>
      </c>
      <c r="F5815" t="s">
        <v>4984</v>
      </c>
      <c r="G5815">
        <v>2641</v>
      </c>
      <c r="H5815">
        <v>0.55000000000000004</v>
      </c>
      <c r="I5815" t="s">
        <v>4736</v>
      </c>
      <c r="J5815" t="s">
        <v>5191</v>
      </c>
      <c r="K5815" t="s">
        <v>730</v>
      </c>
      <c r="L5815">
        <v>0</v>
      </c>
      <c r="M5815" s="452">
        <v>45532</v>
      </c>
      <c r="N5815">
        <v>10.199999999999999</v>
      </c>
      <c r="O5815">
        <v>14.98</v>
      </c>
      <c r="P5815">
        <v>5.61</v>
      </c>
    </row>
    <row r="5816" spans="1:16" x14ac:dyDescent="0.3">
      <c r="A5816">
        <v>12113</v>
      </c>
      <c r="B5816">
        <v>105</v>
      </c>
      <c r="C5816" t="s">
        <v>557</v>
      </c>
      <c r="D5816" s="452">
        <v>45658</v>
      </c>
      <c r="E5816">
        <v>19607</v>
      </c>
      <c r="F5816" t="s">
        <v>4981</v>
      </c>
      <c r="G5816">
        <v>2623</v>
      </c>
      <c r="H5816">
        <v>0.35</v>
      </c>
      <c r="I5816" t="s">
        <v>4744</v>
      </c>
      <c r="J5816" t="s">
        <v>5191</v>
      </c>
      <c r="K5816" t="s">
        <v>730</v>
      </c>
      <c r="L5816">
        <v>15.44</v>
      </c>
      <c r="M5816" s="452">
        <v>45653</v>
      </c>
      <c r="N5816">
        <v>15</v>
      </c>
      <c r="O5816">
        <v>16.2</v>
      </c>
      <c r="P5816">
        <v>5.4</v>
      </c>
    </row>
    <row r="5817" spans="1:16" x14ac:dyDescent="0.3">
      <c r="A5817">
        <v>12151</v>
      </c>
      <c r="B5817">
        <v>105</v>
      </c>
      <c r="C5817" t="s">
        <v>557</v>
      </c>
      <c r="D5817" s="452">
        <v>45658</v>
      </c>
      <c r="E5817">
        <v>18865</v>
      </c>
      <c r="F5817" t="s">
        <v>5597</v>
      </c>
      <c r="G5817">
        <v>2941</v>
      </c>
      <c r="H5817">
        <v>0.15</v>
      </c>
      <c r="I5817" t="s">
        <v>4744</v>
      </c>
      <c r="J5817" t="s">
        <v>5191</v>
      </c>
      <c r="K5817" t="s">
        <v>730</v>
      </c>
      <c r="L5817">
        <v>0</v>
      </c>
      <c r="M5817" s="452">
        <v>45609</v>
      </c>
      <c r="N5817">
        <v>30.78</v>
      </c>
      <c r="O5817">
        <v>33.799999999999997</v>
      </c>
      <c r="P5817">
        <v>4.62</v>
      </c>
    </row>
    <row r="5818" spans="1:16" x14ac:dyDescent="0.3">
      <c r="A5818">
        <v>12121</v>
      </c>
      <c r="B5818">
        <v>105</v>
      </c>
      <c r="C5818" t="s">
        <v>557</v>
      </c>
      <c r="D5818" s="452">
        <v>45658</v>
      </c>
      <c r="E5818">
        <v>19476</v>
      </c>
      <c r="F5818" t="s">
        <v>5115</v>
      </c>
      <c r="G5818">
        <v>2729</v>
      </c>
      <c r="H5818">
        <v>0.11</v>
      </c>
      <c r="I5818" t="s">
        <v>4744</v>
      </c>
      <c r="J5818" t="s">
        <v>5191</v>
      </c>
      <c r="K5818" t="s">
        <v>730</v>
      </c>
      <c r="L5818">
        <v>40</v>
      </c>
      <c r="M5818" s="452">
        <v>45636</v>
      </c>
      <c r="N5818">
        <v>40</v>
      </c>
      <c r="O5818">
        <v>58.94</v>
      </c>
      <c r="P5818">
        <v>4.4000000000000004</v>
      </c>
    </row>
    <row r="5819" spans="1:16" x14ac:dyDescent="0.3">
      <c r="A5819">
        <v>12102</v>
      </c>
      <c r="B5819">
        <v>105</v>
      </c>
      <c r="C5819" t="s">
        <v>557</v>
      </c>
      <c r="D5819" s="452">
        <v>45658</v>
      </c>
      <c r="E5819">
        <v>19490</v>
      </c>
      <c r="F5819" t="s">
        <v>5116</v>
      </c>
      <c r="G5819">
        <v>2718</v>
      </c>
      <c r="H5819">
        <v>0.09</v>
      </c>
      <c r="I5819" t="s">
        <v>4744</v>
      </c>
      <c r="J5819" t="s">
        <v>5191</v>
      </c>
      <c r="K5819" t="s">
        <v>730</v>
      </c>
      <c r="L5819">
        <v>43.27</v>
      </c>
      <c r="M5819" s="452">
        <v>45653</v>
      </c>
      <c r="N5819">
        <v>28</v>
      </c>
      <c r="O5819">
        <v>47.5</v>
      </c>
      <c r="P5819">
        <v>3.89</v>
      </c>
    </row>
    <row r="5820" spans="1:16" x14ac:dyDescent="0.3">
      <c r="A5820">
        <v>12058</v>
      </c>
      <c r="B5820">
        <v>105</v>
      </c>
      <c r="C5820" t="s">
        <v>557</v>
      </c>
      <c r="D5820" s="452">
        <v>45658</v>
      </c>
      <c r="E5820">
        <v>20034</v>
      </c>
      <c r="F5820" t="s">
        <v>5065</v>
      </c>
      <c r="G5820">
        <v>2333</v>
      </c>
      <c r="H5820">
        <v>0.05</v>
      </c>
      <c r="I5820" t="s">
        <v>4744</v>
      </c>
      <c r="J5820" t="s">
        <v>5191</v>
      </c>
      <c r="K5820" t="s">
        <v>730</v>
      </c>
      <c r="L5820">
        <v>0</v>
      </c>
      <c r="M5820" s="452">
        <v>-693593</v>
      </c>
      <c r="N5820">
        <v>0</v>
      </c>
      <c r="O5820">
        <v>75.8</v>
      </c>
      <c r="P5820">
        <v>3.79</v>
      </c>
    </row>
    <row r="5821" spans="1:16" x14ac:dyDescent="0.3">
      <c r="A5821">
        <v>12087</v>
      </c>
      <c r="B5821">
        <v>105</v>
      </c>
      <c r="C5821" t="s">
        <v>557</v>
      </c>
      <c r="D5821" s="452">
        <v>45658</v>
      </c>
      <c r="E5821">
        <v>19506</v>
      </c>
      <c r="F5821" t="s">
        <v>5122</v>
      </c>
      <c r="G5821">
        <v>2705</v>
      </c>
      <c r="H5821">
        <v>0.08</v>
      </c>
      <c r="I5821" t="s">
        <v>4744</v>
      </c>
      <c r="J5821" t="s">
        <v>5191</v>
      </c>
      <c r="K5821" t="s">
        <v>730</v>
      </c>
      <c r="L5821">
        <v>46.67</v>
      </c>
      <c r="M5821" s="452">
        <v>45653</v>
      </c>
      <c r="N5821">
        <v>50</v>
      </c>
      <c r="O5821">
        <v>70</v>
      </c>
      <c r="P5821">
        <v>3.73</v>
      </c>
    </row>
    <row r="5822" spans="1:16" x14ac:dyDescent="0.3">
      <c r="A5822">
        <v>12110</v>
      </c>
      <c r="B5822">
        <v>105</v>
      </c>
      <c r="C5822" t="s">
        <v>557</v>
      </c>
      <c r="D5822" s="452">
        <v>45658</v>
      </c>
      <c r="E5822">
        <v>19613</v>
      </c>
      <c r="F5822" t="s">
        <v>5062</v>
      </c>
      <c r="G5822">
        <v>2620</v>
      </c>
      <c r="H5822">
        <v>0.5</v>
      </c>
      <c r="I5822" t="s">
        <v>4744</v>
      </c>
      <c r="J5822" t="s">
        <v>5191</v>
      </c>
      <c r="K5822" t="s">
        <v>730</v>
      </c>
      <c r="L5822">
        <v>6.48</v>
      </c>
      <c r="M5822" s="452">
        <v>45645</v>
      </c>
      <c r="N5822">
        <v>7.15</v>
      </c>
      <c r="O5822">
        <v>14</v>
      </c>
      <c r="P5822">
        <v>3.24</v>
      </c>
    </row>
    <row r="5823" spans="1:16" x14ac:dyDescent="0.3">
      <c r="A5823">
        <v>12128</v>
      </c>
      <c r="B5823">
        <v>105</v>
      </c>
      <c r="C5823" t="s">
        <v>557</v>
      </c>
      <c r="D5823" s="452">
        <v>45658</v>
      </c>
      <c r="E5823">
        <v>19552</v>
      </c>
      <c r="F5823" t="s">
        <v>4860</v>
      </c>
      <c r="G5823">
        <v>2664</v>
      </c>
      <c r="H5823">
        <v>0.95</v>
      </c>
      <c r="I5823" t="s">
        <v>4744</v>
      </c>
      <c r="J5823" t="s">
        <v>5191</v>
      </c>
      <c r="K5823" t="s">
        <v>730</v>
      </c>
      <c r="L5823">
        <v>3.13</v>
      </c>
      <c r="M5823" s="452">
        <v>45643</v>
      </c>
      <c r="N5823">
        <v>3</v>
      </c>
      <c r="O5823">
        <v>4.0599999999999996</v>
      </c>
      <c r="P5823">
        <v>2.97</v>
      </c>
    </row>
    <row r="5824" spans="1:16" x14ac:dyDescent="0.3">
      <c r="A5824">
        <v>12088</v>
      </c>
      <c r="B5824">
        <v>105</v>
      </c>
      <c r="C5824" t="s">
        <v>557</v>
      </c>
      <c r="D5824" s="452">
        <v>45658</v>
      </c>
      <c r="E5824">
        <v>19457</v>
      </c>
      <c r="F5824" t="s">
        <v>5652</v>
      </c>
      <c r="G5824">
        <v>2747</v>
      </c>
      <c r="H5824">
        <v>0.5</v>
      </c>
      <c r="I5824" t="s">
        <v>4744</v>
      </c>
      <c r="J5824" t="s">
        <v>5191</v>
      </c>
      <c r="K5824" t="s">
        <v>730</v>
      </c>
      <c r="L5824">
        <v>0</v>
      </c>
      <c r="M5824" s="452">
        <v>45541</v>
      </c>
      <c r="N5824">
        <v>4</v>
      </c>
      <c r="O5824">
        <v>21.27</v>
      </c>
      <c r="P5824">
        <v>2</v>
      </c>
    </row>
    <row r="5825" spans="1:16" x14ac:dyDescent="0.3">
      <c r="A5825">
        <v>12127</v>
      </c>
      <c r="B5825">
        <v>105</v>
      </c>
      <c r="C5825" t="s">
        <v>557</v>
      </c>
      <c r="D5825" s="452">
        <v>45658</v>
      </c>
      <c r="E5825">
        <v>19553</v>
      </c>
      <c r="F5825" t="s">
        <v>4868</v>
      </c>
      <c r="G5825">
        <v>2663</v>
      </c>
      <c r="H5825">
        <v>0.8</v>
      </c>
      <c r="I5825" t="s">
        <v>4744</v>
      </c>
      <c r="J5825" t="s">
        <v>5191</v>
      </c>
      <c r="K5825" t="s">
        <v>730</v>
      </c>
      <c r="L5825">
        <v>0</v>
      </c>
      <c r="M5825" s="452">
        <v>45546</v>
      </c>
      <c r="N5825">
        <v>2.5</v>
      </c>
      <c r="O5825">
        <v>6</v>
      </c>
      <c r="P5825">
        <v>2</v>
      </c>
    </row>
    <row r="5826" spans="1:16" x14ac:dyDescent="0.3">
      <c r="A5826">
        <v>11987</v>
      </c>
      <c r="B5826">
        <v>105</v>
      </c>
      <c r="C5826" t="s">
        <v>557</v>
      </c>
      <c r="D5826" s="452">
        <v>45658</v>
      </c>
      <c r="E5826">
        <v>17838</v>
      </c>
      <c r="F5826" t="s">
        <v>4925</v>
      </c>
      <c r="G5826">
        <v>3712</v>
      </c>
      <c r="H5826">
        <v>0.12</v>
      </c>
      <c r="I5826" t="s">
        <v>4749</v>
      </c>
      <c r="J5826" t="s">
        <v>5222</v>
      </c>
      <c r="K5826" t="s">
        <v>730</v>
      </c>
      <c r="L5826">
        <v>16.5</v>
      </c>
      <c r="M5826" s="452">
        <v>45646</v>
      </c>
      <c r="N5826">
        <v>16.5</v>
      </c>
      <c r="O5826">
        <v>0</v>
      </c>
      <c r="P5826">
        <v>1.98</v>
      </c>
    </row>
    <row r="5827" spans="1:16" x14ac:dyDescent="0.3">
      <c r="A5827">
        <v>12211</v>
      </c>
      <c r="B5827">
        <v>105</v>
      </c>
      <c r="C5827" t="s">
        <v>557</v>
      </c>
      <c r="D5827" s="452">
        <v>45658</v>
      </c>
      <c r="E5827">
        <v>17092</v>
      </c>
      <c r="F5827" t="s">
        <v>5146</v>
      </c>
      <c r="G5827">
        <v>4165</v>
      </c>
      <c r="H5827">
        <v>1</v>
      </c>
      <c r="I5827" t="s">
        <v>4736</v>
      </c>
      <c r="J5827" t="s">
        <v>5222</v>
      </c>
      <c r="K5827" t="s">
        <v>730</v>
      </c>
      <c r="L5827">
        <v>0</v>
      </c>
      <c r="M5827" s="452">
        <v>45415</v>
      </c>
      <c r="N5827">
        <v>1.9</v>
      </c>
      <c r="O5827">
        <v>1.9</v>
      </c>
      <c r="P5827">
        <v>1.9</v>
      </c>
    </row>
    <row r="5828" spans="1:16" x14ac:dyDescent="0.3">
      <c r="A5828">
        <v>12104</v>
      </c>
      <c r="B5828">
        <v>105</v>
      </c>
      <c r="C5828" t="s">
        <v>557</v>
      </c>
      <c r="D5828" s="452">
        <v>45658</v>
      </c>
      <c r="E5828">
        <v>19622</v>
      </c>
      <c r="F5828" t="s">
        <v>4915</v>
      </c>
      <c r="G5828">
        <v>2612</v>
      </c>
      <c r="H5828">
        <v>0.7</v>
      </c>
      <c r="I5828" t="s">
        <v>4744</v>
      </c>
      <c r="J5828" t="s">
        <v>5191</v>
      </c>
      <c r="K5828" t="s">
        <v>730</v>
      </c>
      <c r="L5828">
        <v>2.7</v>
      </c>
      <c r="M5828" s="452">
        <v>45642</v>
      </c>
      <c r="N5828">
        <v>2.7</v>
      </c>
      <c r="O5828">
        <v>2.7</v>
      </c>
      <c r="P5828">
        <v>1.89</v>
      </c>
    </row>
    <row r="5829" spans="1:16" x14ac:dyDescent="0.3">
      <c r="A5829">
        <v>12130</v>
      </c>
      <c r="B5829">
        <v>105</v>
      </c>
      <c r="C5829" t="s">
        <v>557</v>
      </c>
      <c r="D5829" s="452">
        <v>45658</v>
      </c>
      <c r="E5829">
        <v>19468</v>
      </c>
      <c r="F5829" t="s">
        <v>5074</v>
      </c>
      <c r="G5829">
        <v>2736</v>
      </c>
      <c r="H5829">
        <v>0.13</v>
      </c>
      <c r="I5829" t="s">
        <v>4744</v>
      </c>
      <c r="J5829" t="s">
        <v>5191</v>
      </c>
      <c r="K5829" t="s">
        <v>730</v>
      </c>
      <c r="L5829">
        <v>12.74</v>
      </c>
      <c r="M5829" s="452">
        <v>45653</v>
      </c>
      <c r="N5829">
        <v>10.5</v>
      </c>
      <c r="O5829">
        <v>12.26</v>
      </c>
      <c r="P5829">
        <v>1.66</v>
      </c>
    </row>
    <row r="5830" spans="1:16" x14ac:dyDescent="0.3">
      <c r="A5830">
        <v>12114</v>
      </c>
      <c r="B5830">
        <v>105</v>
      </c>
      <c r="C5830" t="s">
        <v>557</v>
      </c>
      <c r="D5830" s="452">
        <v>45658</v>
      </c>
      <c r="E5830">
        <v>19480</v>
      </c>
      <c r="F5830" t="s">
        <v>5119</v>
      </c>
      <c r="G5830">
        <v>2726</v>
      </c>
      <c r="H5830">
        <v>0.12</v>
      </c>
      <c r="I5830" t="s">
        <v>4744</v>
      </c>
      <c r="J5830" t="s">
        <v>5191</v>
      </c>
      <c r="K5830" t="s">
        <v>730</v>
      </c>
      <c r="L5830">
        <v>13.3</v>
      </c>
      <c r="M5830" s="452">
        <v>45653</v>
      </c>
      <c r="N5830">
        <v>12</v>
      </c>
      <c r="O5830">
        <v>12</v>
      </c>
      <c r="P5830">
        <v>1.6</v>
      </c>
    </row>
    <row r="5831" spans="1:16" x14ac:dyDescent="0.3">
      <c r="A5831">
        <v>12125</v>
      </c>
      <c r="B5831">
        <v>105</v>
      </c>
      <c r="C5831" t="s">
        <v>557</v>
      </c>
      <c r="D5831" s="452">
        <v>45658</v>
      </c>
      <c r="E5831">
        <v>19572</v>
      </c>
      <c r="F5831" t="s">
        <v>4989</v>
      </c>
      <c r="G5831">
        <v>2646</v>
      </c>
      <c r="H5831">
        <v>0.1</v>
      </c>
      <c r="I5831" t="s">
        <v>4744</v>
      </c>
      <c r="J5831" t="s">
        <v>5191</v>
      </c>
      <c r="K5831" t="s">
        <v>730</v>
      </c>
      <c r="L5831">
        <v>15.9</v>
      </c>
      <c r="M5831" s="452">
        <v>45645</v>
      </c>
      <c r="N5831">
        <v>18.899999999999999</v>
      </c>
      <c r="O5831">
        <v>28</v>
      </c>
      <c r="P5831">
        <v>1.59</v>
      </c>
    </row>
    <row r="5832" spans="1:16" x14ac:dyDescent="0.3">
      <c r="A5832">
        <v>12131</v>
      </c>
      <c r="B5832">
        <v>105</v>
      </c>
      <c r="C5832" t="s">
        <v>557</v>
      </c>
      <c r="D5832" s="452">
        <v>45658</v>
      </c>
      <c r="E5832">
        <v>19465</v>
      </c>
      <c r="F5832" t="s">
        <v>5114</v>
      </c>
      <c r="G5832">
        <v>2737</v>
      </c>
      <c r="H5832">
        <v>0.2</v>
      </c>
      <c r="I5832" t="s">
        <v>4744</v>
      </c>
      <c r="J5832" t="s">
        <v>5191</v>
      </c>
      <c r="K5832" t="s">
        <v>730</v>
      </c>
      <c r="L5832">
        <v>6.72</v>
      </c>
      <c r="M5832" s="452">
        <v>45636</v>
      </c>
      <c r="N5832">
        <v>8.44</v>
      </c>
      <c r="O5832">
        <v>10.57</v>
      </c>
      <c r="P5832">
        <v>1.34</v>
      </c>
    </row>
    <row r="5833" spans="1:16" x14ac:dyDescent="0.3">
      <c r="A5833">
        <v>12106</v>
      </c>
      <c r="B5833">
        <v>105</v>
      </c>
      <c r="C5833" t="s">
        <v>557</v>
      </c>
      <c r="D5833" s="452">
        <v>45658</v>
      </c>
      <c r="E5833">
        <v>19488</v>
      </c>
      <c r="F5833" t="s">
        <v>5107</v>
      </c>
      <c r="G5833">
        <v>2720</v>
      </c>
      <c r="H5833">
        <v>0.1</v>
      </c>
      <c r="I5833" t="s">
        <v>4744</v>
      </c>
      <c r="J5833" t="s">
        <v>5191</v>
      </c>
      <c r="K5833" t="s">
        <v>730</v>
      </c>
      <c r="L5833">
        <v>10.130000000000001</v>
      </c>
      <c r="M5833" s="452">
        <v>45653</v>
      </c>
      <c r="N5833">
        <v>10</v>
      </c>
      <c r="O5833">
        <v>13.3</v>
      </c>
      <c r="P5833">
        <v>1.01</v>
      </c>
    </row>
    <row r="5834" spans="1:16" x14ac:dyDescent="0.3">
      <c r="A5834">
        <v>12094</v>
      </c>
      <c r="B5834">
        <v>105</v>
      </c>
      <c r="C5834" t="s">
        <v>557</v>
      </c>
      <c r="D5834" s="452">
        <v>45658</v>
      </c>
      <c r="E5834">
        <v>24037</v>
      </c>
      <c r="F5834" t="s">
        <v>5233</v>
      </c>
      <c r="G5834">
        <v>2590</v>
      </c>
      <c r="H5834">
        <v>0.02</v>
      </c>
      <c r="I5834" t="s">
        <v>4744</v>
      </c>
      <c r="J5834" t="s">
        <v>5191</v>
      </c>
      <c r="K5834" t="s">
        <v>730</v>
      </c>
      <c r="L5834">
        <v>0</v>
      </c>
      <c r="M5834" s="452">
        <v>45519</v>
      </c>
      <c r="N5834">
        <v>22</v>
      </c>
      <c r="O5834">
        <v>40</v>
      </c>
      <c r="P5834">
        <v>0.44</v>
      </c>
    </row>
    <row r="5835" spans="1:16" x14ac:dyDescent="0.3">
      <c r="A5835">
        <v>14927</v>
      </c>
      <c r="B5835">
        <v>105</v>
      </c>
      <c r="C5835" t="s">
        <v>557</v>
      </c>
      <c r="D5835" s="452">
        <v>45658</v>
      </c>
      <c r="E5835">
        <v>24656</v>
      </c>
      <c r="F5835" t="s">
        <v>5653</v>
      </c>
      <c r="G5835">
        <v>5700</v>
      </c>
      <c r="H5835">
        <v>2</v>
      </c>
      <c r="I5835" t="s">
        <v>4736</v>
      </c>
      <c r="J5835" t="s">
        <v>5232</v>
      </c>
      <c r="K5835" t="s">
        <v>730</v>
      </c>
      <c r="L5835">
        <v>0</v>
      </c>
      <c r="M5835" s="452">
        <v>-693593</v>
      </c>
      <c r="N5835">
        <v>0</v>
      </c>
      <c r="O5835">
        <v>0</v>
      </c>
      <c r="P5835">
        <v>0</v>
      </c>
    </row>
    <row r="5836" spans="1:16" x14ac:dyDescent="0.3">
      <c r="A5836">
        <v>10940</v>
      </c>
      <c r="B5836">
        <v>105</v>
      </c>
      <c r="C5836" t="s">
        <v>557</v>
      </c>
      <c r="D5836" s="452">
        <v>45627</v>
      </c>
      <c r="E5836">
        <v>18853</v>
      </c>
      <c r="F5836" t="s">
        <v>5620</v>
      </c>
      <c r="G5836">
        <v>2943</v>
      </c>
      <c r="H5836">
        <v>45.5</v>
      </c>
      <c r="I5836" t="s">
        <v>4744</v>
      </c>
      <c r="J5836" t="s">
        <v>5191</v>
      </c>
      <c r="K5836" t="s">
        <v>728</v>
      </c>
      <c r="L5836">
        <v>0</v>
      </c>
      <c r="M5836" s="452">
        <v>45545</v>
      </c>
      <c r="N5836">
        <v>49.9</v>
      </c>
      <c r="O5836">
        <v>49.9</v>
      </c>
      <c r="P5836">
        <v>2270.4499999999998</v>
      </c>
    </row>
    <row r="5837" spans="1:16" x14ac:dyDescent="0.3">
      <c r="A5837">
        <v>10656</v>
      </c>
      <c r="B5837">
        <v>105</v>
      </c>
      <c r="C5837" t="s">
        <v>557</v>
      </c>
      <c r="D5837" s="452">
        <v>45627</v>
      </c>
      <c r="E5837">
        <v>18636</v>
      </c>
      <c r="F5837" t="s">
        <v>4964</v>
      </c>
      <c r="G5837">
        <v>3075</v>
      </c>
      <c r="H5837">
        <v>5</v>
      </c>
      <c r="I5837" t="s">
        <v>4965</v>
      </c>
      <c r="J5837" t="s">
        <v>5222</v>
      </c>
      <c r="K5837" t="s">
        <v>728</v>
      </c>
      <c r="L5837">
        <v>429</v>
      </c>
      <c r="M5837" s="452">
        <v>45621</v>
      </c>
      <c r="N5837">
        <v>429</v>
      </c>
      <c r="O5837">
        <v>429</v>
      </c>
      <c r="P5837">
        <v>2145</v>
      </c>
    </row>
    <row r="5838" spans="1:16" x14ac:dyDescent="0.3">
      <c r="A5838">
        <v>10944</v>
      </c>
      <c r="B5838">
        <v>105</v>
      </c>
      <c r="C5838" t="s">
        <v>557</v>
      </c>
      <c r="D5838" s="452">
        <v>45627</v>
      </c>
      <c r="E5838">
        <v>18822</v>
      </c>
      <c r="F5838" t="s">
        <v>4811</v>
      </c>
      <c r="G5838">
        <v>2953</v>
      </c>
      <c r="H5838">
        <v>18.170000000000002</v>
      </c>
      <c r="I5838" t="s">
        <v>4744</v>
      </c>
      <c r="J5838" t="s">
        <v>5191</v>
      </c>
      <c r="K5838" t="s">
        <v>728</v>
      </c>
      <c r="L5838">
        <v>111.81</v>
      </c>
      <c r="M5838" s="452">
        <v>45624</v>
      </c>
      <c r="N5838">
        <v>112.03</v>
      </c>
      <c r="O5838">
        <v>112.03</v>
      </c>
      <c r="P5838">
        <v>2031.59</v>
      </c>
    </row>
    <row r="5839" spans="1:16" x14ac:dyDescent="0.3">
      <c r="A5839">
        <v>10924</v>
      </c>
      <c r="B5839">
        <v>105</v>
      </c>
      <c r="C5839" t="s">
        <v>557</v>
      </c>
      <c r="D5839" s="452">
        <v>45627</v>
      </c>
      <c r="E5839">
        <v>18642</v>
      </c>
      <c r="F5839" t="s">
        <v>5127</v>
      </c>
      <c r="G5839">
        <v>3072</v>
      </c>
      <c r="H5839">
        <v>10</v>
      </c>
      <c r="I5839" t="s">
        <v>4744</v>
      </c>
      <c r="J5839" t="s">
        <v>5191</v>
      </c>
      <c r="K5839" t="s">
        <v>728</v>
      </c>
      <c r="L5839">
        <v>170</v>
      </c>
      <c r="M5839" s="452">
        <v>45600</v>
      </c>
      <c r="N5839">
        <v>170</v>
      </c>
      <c r="O5839">
        <v>170</v>
      </c>
      <c r="P5839">
        <v>1700</v>
      </c>
    </row>
    <row r="5840" spans="1:16" x14ac:dyDescent="0.3">
      <c r="A5840">
        <v>10918</v>
      </c>
      <c r="B5840">
        <v>105</v>
      </c>
      <c r="C5840" t="s">
        <v>557</v>
      </c>
      <c r="D5840" s="452">
        <v>45627</v>
      </c>
      <c r="E5840">
        <v>24090</v>
      </c>
      <c r="F5840" t="s">
        <v>5180</v>
      </c>
      <c r="G5840">
        <v>2919</v>
      </c>
      <c r="H5840">
        <v>31.5</v>
      </c>
      <c r="I5840" t="s">
        <v>4744</v>
      </c>
      <c r="J5840" t="s">
        <v>5191</v>
      </c>
      <c r="K5840" t="s">
        <v>728</v>
      </c>
      <c r="L5840">
        <v>0</v>
      </c>
      <c r="M5840" s="452">
        <v>45552</v>
      </c>
      <c r="N5840">
        <v>51.9</v>
      </c>
      <c r="O5840">
        <v>52.7</v>
      </c>
      <c r="P5840">
        <v>1634.85</v>
      </c>
    </row>
    <row r="5841" spans="1:16" x14ac:dyDescent="0.3">
      <c r="A5841">
        <v>10930</v>
      </c>
      <c r="B5841">
        <v>105</v>
      </c>
      <c r="C5841" t="s">
        <v>557</v>
      </c>
      <c r="D5841" s="452">
        <v>45627</v>
      </c>
      <c r="E5841">
        <v>24217</v>
      </c>
      <c r="F5841" t="s">
        <v>4778</v>
      </c>
      <c r="G5841">
        <v>2937</v>
      </c>
      <c r="H5841">
        <v>25.95</v>
      </c>
      <c r="I5841" t="s">
        <v>4744</v>
      </c>
      <c r="J5841" t="s">
        <v>5191</v>
      </c>
      <c r="K5841" t="s">
        <v>728</v>
      </c>
      <c r="L5841">
        <v>0</v>
      </c>
      <c r="M5841" s="452">
        <v>45552</v>
      </c>
      <c r="N5841">
        <v>51.69</v>
      </c>
      <c r="O5841">
        <v>39.9</v>
      </c>
      <c r="P5841">
        <v>1341.35</v>
      </c>
    </row>
    <row r="5842" spans="1:16" x14ac:dyDescent="0.3">
      <c r="A5842">
        <v>10906</v>
      </c>
      <c r="B5842">
        <v>105</v>
      </c>
      <c r="C5842" t="s">
        <v>557</v>
      </c>
      <c r="D5842" s="452">
        <v>45627</v>
      </c>
      <c r="E5842">
        <v>19356</v>
      </c>
      <c r="F5842" t="s">
        <v>4799</v>
      </c>
      <c r="G5842">
        <v>2768</v>
      </c>
      <c r="H5842">
        <v>21.1</v>
      </c>
      <c r="I5842" t="s">
        <v>4744</v>
      </c>
      <c r="J5842" t="s">
        <v>5191</v>
      </c>
      <c r="K5842" t="s">
        <v>728</v>
      </c>
      <c r="L5842">
        <v>50.9</v>
      </c>
      <c r="M5842" s="452">
        <v>45615</v>
      </c>
      <c r="N5842">
        <v>50.9</v>
      </c>
      <c r="O5842">
        <v>50.9</v>
      </c>
      <c r="P5842">
        <v>1073.99</v>
      </c>
    </row>
    <row r="5843" spans="1:16" x14ac:dyDescent="0.3">
      <c r="A5843">
        <v>10921</v>
      </c>
      <c r="B5843">
        <v>105</v>
      </c>
      <c r="C5843" t="s">
        <v>557</v>
      </c>
      <c r="D5843" s="452">
        <v>45627</v>
      </c>
      <c r="E5843">
        <v>25298</v>
      </c>
      <c r="F5843" t="s">
        <v>5629</v>
      </c>
      <c r="G5843">
        <v>5992</v>
      </c>
      <c r="H5843">
        <v>2.65</v>
      </c>
      <c r="I5843" t="s">
        <v>4744</v>
      </c>
      <c r="J5843" t="s">
        <v>5191</v>
      </c>
      <c r="K5843" t="s">
        <v>728</v>
      </c>
      <c r="L5843">
        <v>0</v>
      </c>
      <c r="M5843" s="452">
        <v>-693593</v>
      </c>
      <c r="N5843">
        <v>0</v>
      </c>
      <c r="O5843">
        <v>360</v>
      </c>
      <c r="P5843">
        <v>954</v>
      </c>
    </row>
    <row r="5844" spans="1:16" x14ac:dyDescent="0.3">
      <c r="A5844">
        <v>10707</v>
      </c>
      <c r="B5844">
        <v>105</v>
      </c>
      <c r="C5844" t="s">
        <v>557</v>
      </c>
      <c r="D5844" s="452">
        <v>45627</v>
      </c>
      <c r="E5844">
        <v>21151</v>
      </c>
      <c r="F5844" t="s">
        <v>5654</v>
      </c>
      <c r="G5844">
        <v>1951</v>
      </c>
      <c r="H5844">
        <v>7.95</v>
      </c>
      <c r="I5844" t="s">
        <v>4744</v>
      </c>
      <c r="J5844" t="s">
        <v>5191</v>
      </c>
      <c r="K5844" t="s">
        <v>728</v>
      </c>
      <c r="L5844">
        <v>0</v>
      </c>
      <c r="M5844" s="452">
        <v>-693593</v>
      </c>
      <c r="N5844">
        <v>0</v>
      </c>
      <c r="O5844">
        <v>113.31</v>
      </c>
      <c r="P5844">
        <v>900.81</v>
      </c>
    </row>
    <row r="5845" spans="1:16" x14ac:dyDescent="0.3">
      <c r="A5845">
        <v>10912</v>
      </c>
      <c r="B5845">
        <v>105</v>
      </c>
      <c r="C5845" t="s">
        <v>557</v>
      </c>
      <c r="D5845" s="452">
        <v>45627</v>
      </c>
      <c r="E5845">
        <v>19297</v>
      </c>
      <c r="F5845" t="s">
        <v>5571</v>
      </c>
      <c r="G5845">
        <v>2775</v>
      </c>
      <c r="H5845">
        <v>12.65</v>
      </c>
      <c r="I5845" t="s">
        <v>4744</v>
      </c>
      <c r="J5845" t="s">
        <v>5191</v>
      </c>
      <c r="K5845" t="s">
        <v>728</v>
      </c>
      <c r="L5845">
        <v>64.989999999999995</v>
      </c>
      <c r="M5845" s="452">
        <v>45607</v>
      </c>
      <c r="N5845">
        <v>64.989999999999995</v>
      </c>
      <c r="O5845">
        <v>64.989999999999995</v>
      </c>
      <c r="P5845">
        <v>822.12</v>
      </c>
    </row>
    <row r="5846" spans="1:16" x14ac:dyDescent="0.3">
      <c r="A5846">
        <v>10932</v>
      </c>
      <c r="B5846">
        <v>105</v>
      </c>
      <c r="C5846" t="s">
        <v>557</v>
      </c>
      <c r="D5846" s="452">
        <v>45627</v>
      </c>
      <c r="E5846">
        <v>18991</v>
      </c>
      <c r="F5846" t="s">
        <v>4815</v>
      </c>
      <c r="G5846">
        <v>2900</v>
      </c>
      <c r="H5846">
        <v>16.8</v>
      </c>
      <c r="I5846" t="s">
        <v>4744</v>
      </c>
      <c r="J5846" t="s">
        <v>5191</v>
      </c>
      <c r="K5846" t="s">
        <v>728</v>
      </c>
      <c r="L5846">
        <v>44.9</v>
      </c>
      <c r="M5846" s="452">
        <v>45624</v>
      </c>
      <c r="N5846">
        <v>44.9</v>
      </c>
      <c r="O5846">
        <v>44.9</v>
      </c>
      <c r="P5846">
        <v>754.32</v>
      </c>
    </row>
    <row r="5847" spans="1:16" x14ac:dyDescent="0.3">
      <c r="A5847">
        <v>11033</v>
      </c>
      <c r="B5847">
        <v>105</v>
      </c>
      <c r="C5847" t="s">
        <v>557</v>
      </c>
      <c r="D5847" s="452">
        <v>45627</v>
      </c>
      <c r="E5847">
        <v>19237</v>
      </c>
      <c r="F5847" t="s">
        <v>5655</v>
      </c>
      <c r="G5847">
        <v>2786</v>
      </c>
      <c r="H5847">
        <v>3.05</v>
      </c>
      <c r="I5847" t="s">
        <v>4736</v>
      </c>
      <c r="J5847" t="s">
        <v>5191</v>
      </c>
      <c r="K5847" t="s">
        <v>728</v>
      </c>
      <c r="L5847">
        <v>0</v>
      </c>
      <c r="M5847" s="452">
        <v>-693593</v>
      </c>
      <c r="N5847">
        <v>0</v>
      </c>
      <c r="O5847">
        <v>0</v>
      </c>
      <c r="P5847">
        <v>709.13</v>
      </c>
    </row>
    <row r="5848" spans="1:16" x14ac:dyDescent="0.3">
      <c r="A5848">
        <v>10935</v>
      </c>
      <c r="B5848">
        <v>105</v>
      </c>
      <c r="C5848" t="s">
        <v>557</v>
      </c>
      <c r="D5848" s="452">
        <v>45627</v>
      </c>
      <c r="E5848">
        <v>18893</v>
      </c>
      <c r="F5848" t="s">
        <v>5656</v>
      </c>
      <c r="G5848">
        <v>2938</v>
      </c>
      <c r="H5848">
        <v>11.2</v>
      </c>
      <c r="I5848" t="s">
        <v>4744</v>
      </c>
      <c r="J5848" t="s">
        <v>5191</v>
      </c>
      <c r="K5848" t="s">
        <v>728</v>
      </c>
      <c r="L5848">
        <v>0</v>
      </c>
      <c r="M5848" s="452">
        <v>45546</v>
      </c>
      <c r="N5848">
        <v>59.9</v>
      </c>
      <c r="O5848">
        <v>69</v>
      </c>
      <c r="P5848">
        <v>670.88</v>
      </c>
    </row>
    <row r="5849" spans="1:16" x14ac:dyDescent="0.3">
      <c r="A5849">
        <v>10785</v>
      </c>
      <c r="B5849">
        <v>105</v>
      </c>
      <c r="C5849" t="s">
        <v>557</v>
      </c>
      <c r="D5849" s="452">
        <v>45627</v>
      </c>
      <c r="E5849">
        <v>20501</v>
      </c>
      <c r="F5849" t="s">
        <v>4760</v>
      </c>
      <c r="G5849">
        <v>2154</v>
      </c>
      <c r="H5849">
        <v>26.8</v>
      </c>
      <c r="I5849" t="s">
        <v>4744</v>
      </c>
      <c r="J5849" t="s">
        <v>5191</v>
      </c>
      <c r="K5849" t="s">
        <v>728</v>
      </c>
      <c r="L5849">
        <v>0</v>
      </c>
      <c r="M5849" s="452">
        <v>45553</v>
      </c>
      <c r="N5849">
        <v>24.45</v>
      </c>
      <c r="O5849">
        <v>20.49</v>
      </c>
      <c r="P5849">
        <v>655.26</v>
      </c>
    </row>
    <row r="5850" spans="1:16" x14ac:dyDescent="0.3">
      <c r="A5850">
        <v>10957</v>
      </c>
      <c r="B5850">
        <v>105</v>
      </c>
      <c r="C5850" t="s">
        <v>557</v>
      </c>
      <c r="D5850" s="452">
        <v>45627</v>
      </c>
      <c r="E5850">
        <v>17841</v>
      </c>
      <c r="F5850" t="s">
        <v>5593</v>
      </c>
      <c r="G5850">
        <v>8510</v>
      </c>
      <c r="H5850">
        <v>5</v>
      </c>
      <c r="I5850" t="s">
        <v>4749</v>
      </c>
      <c r="J5850" t="s">
        <v>5222</v>
      </c>
      <c r="K5850" t="s">
        <v>728</v>
      </c>
      <c r="L5850">
        <v>0</v>
      </c>
      <c r="M5850" s="452">
        <v>45350</v>
      </c>
      <c r="N5850">
        <v>0</v>
      </c>
      <c r="O5850">
        <v>130</v>
      </c>
      <c r="P5850">
        <v>650</v>
      </c>
    </row>
    <row r="5851" spans="1:16" x14ac:dyDescent="0.3">
      <c r="A5851">
        <v>10653</v>
      </c>
      <c r="B5851">
        <v>105</v>
      </c>
      <c r="C5851" t="s">
        <v>557</v>
      </c>
      <c r="D5851" s="452">
        <v>45627</v>
      </c>
      <c r="E5851">
        <v>18616</v>
      </c>
      <c r="F5851" t="s">
        <v>5621</v>
      </c>
      <c r="G5851">
        <v>3085</v>
      </c>
      <c r="H5851">
        <v>4.25</v>
      </c>
      <c r="I5851" t="s">
        <v>4749</v>
      </c>
      <c r="J5851" t="s">
        <v>5222</v>
      </c>
      <c r="K5851" t="s">
        <v>728</v>
      </c>
      <c r="L5851">
        <v>0</v>
      </c>
      <c r="M5851" s="452">
        <v>45546</v>
      </c>
      <c r="N5851">
        <v>142.88</v>
      </c>
      <c r="O5851">
        <v>142.88</v>
      </c>
      <c r="P5851">
        <v>607.24</v>
      </c>
    </row>
    <row r="5852" spans="1:16" x14ac:dyDescent="0.3">
      <c r="A5852">
        <v>10926</v>
      </c>
      <c r="B5852">
        <v>105</v>
      </c>
      <c r="C5852" t="s">
        <v>557</v>
      </c>
      <c r="D5852" s="452">
        <v>45627</v>
      </c>
      <c r="E5852">
        <v>24196</v>
      </c>
      <c r="F5852" t="s">
        <v>5547</v>
      </c>
      <c r="G5852">
        <v>2933</v>
      </c>
      <c r="H5852">
        <v>22.6</v>
      </c>
      <c r="I5852" t="s">
        <v>4744</v>
      </c>
      <c r="J5852" t="s">
        <v>5191</v>
      </c>
      <c r="K5852" t="s">
        <v>728</v>
      </c>
      <c r="L5852">
        <v>0</v>
      </c>
      <c r="M5852" s="452">
        <v>45545</v>
      </c>
      <c r="N5852">
        <v>25.9</v>
      </c>
      <c r="O5852">
        <v>38</v>
      </c>
      <c r="P5852">
        <v>585.26</v>
      </c>
    </row>
    <row r="5853" spans="1:16" x14ac:dyDescent="0.3">
      <c r="A5853">
        <v>10911</v>
      </c>
      <c r="B5853">
        <v>105</v>
      </c>
      <c r="C5853" t="s">
        <v>557</v>
      </c>
      <c r="D5853" s="452">
        <v>45627</v>
      </c>
      <c r="E5853">
        <v>19322</v>
      </c>
      <c r="F5853" t="s">
        <v>4830</v>
      </c>
      <c r="G5853">
        <v>2773</v>
      </c>
      <c r="H5853">
        <v>11.09</v>
      </c>
      <c r="I5853" t="s">
        <v>4744</v>
      </c>
      <c r="J5853" t="s">
        <v>5191</v>
      </c>
      <c r="K5853" t="s">
        <v>728</v>
      </c>
      <c r="L5853">
        <v>50.77</v>
      </c>
      <c r="M5853" s="452">
        <v>45622</v>
      </c>
      <c r="N5853">
        <v>50.9</v>
      </c>
      <c r="O5853">
        <v>84.24</v>
      </c>
      <c r="P5853">
        <v>563.04</v>
      </c>
    </row>
    <row r="5854" spans="1:16" x14ac:dyDescent="0.3">
      <c r="A5854">
        <v>10781</v>
      </c>
      <c r="B5854">
        <v>105</v>
      </c>
      <c r="C5854" t="s">
        <v>557</v>
      </c>
      <c r="D5854" s="452">
        <v>45627</v>
      </c>
      <c r="E5854">
        <v>20544</v>
      </c>
      <c r="F5854" t="s">
        <v>4808</v>
      </c>
      <c r="G5854">
        <v>2144</v>
      </c>
      <c r="H5854">
        <v>15.9</v>
      </c>
      <c r="I5854" t="s">
        <v>4744</v>
      </c>
      <c r="J5854" t="s">
        <v>5191</v>
      </c>
      <c r="K5854" t="s">
        <v>728</v>
      </c>
      <c r="L5854">
        <v>35.200000000000003</v>
      </c>
      <c r="M5854" s="452">
        <v>45622</v>
      </c>
      <c r="N5854">
        <v>38.32</v>
      </c>
      <c r="O5854">
        <v>38.32</v>
      </c>
      <c r="P5854">
        <v>559.67999999999995</v>
      </c>
    </row>
    <row r="5855" spans="1:16" x14ac:dyDescent="0.3">
      <c r="A5855">
        <v>10692</v>
      </c>
      <c r="B5855">
        <v>105</v>
      </c>
      <c r="C5855" t="s">
        <v>557</v>
      </c>
      <c r="D5855" s="452">
        <v>45627</v>
      </c>
      <c r="E5855">
        <v>18179</v>
      </c>
      <c r="F5855" t="s">
        <v>4924</v>
      </c>
      <c r="G5855">
        <v>3443</v>
      </c>
      <c r="H5855">
        <v>5.9</v>
      </c>
      <c r="I5855" t="s">
        <v>4805</v>
      </c>
      <c r="J5855" t="s">
        <v>5222</v>
      </c>
      <c r="K5855" t="s">
        <v>728</v>
      </c>
      <c r="L5855">
        <v>92.73</v>
      </c>
      <c r="M5855" s="452">
        <v>45624</v>
      </c>
      <c r="N5855">
        <v>73</v>
      </c>
      <c r="O5855">
        <v>73</v>
      </c>
      <c r="P5855">
        <v>547.11</v>
      </c>
    </row>
    <row r="5856" spans="1:16" x14ac:dyDescent="0.3">
      <c r="A5856">
        <v>10643</v>
      </c>
      <c r="B5856">
        <v>105</v>
      </c>
      <c r="C5856" t="s">
        <v>557</v>
      </c>
      <c r="D5856" s="452">
        <v>45627</v>
      </c>
      <c r="E5856">
        <v>17086</v>
      </c>
      <c r="F5856" t="s">
        <v>5622</v>
      </c>
      <c r="G5856">
        <v>5529</v>
      </c>
      <c r="H5856">
        <v>16</v>
      </c>
      <c r="I5856" t="s">
        <v>4738</v>
      </c>
      <c r="J5856" t="s">
        <v>5222</v>
      </c>
      <c r="K5856" t="s">
        <v>728</v>
      </c>
      <c r="L5856">
        <v>0</v>
      </c>
      <c r="M5856" s="452">
        <v>45545</v>
      </c>
      <c r="N5856">
        <v>32.9</v>
      </c>
      <c r="O5856">
        <v>32.9</v>
      </c>
      <c r="P5856">
        <v>526.4</v>
      </c>
    </row>
    <row r="5857" spans="1:16" x14ac:dyDescent="0.3">
      <c r="A5857">
        <v>10644</v>
      </c>
      <c r="B5857">
        <v>105</v>
      </c>
      <c r="C5857" t="s">
        <v>557</v>
      </c>
      <c r="D5857" s="452">
        <v>45627</v>
      </c>
      <c r="E5857">
        <v>24129</v>
      </c>
      <c r="F5857" t="s">
        <v>4740</v>
      </c>
      <c r="G5857">
        <v>3076</v>
      </c>
      <c r="H5857">
        <v>68</v>
      </c>
      <c r="I5857" t="s">
        <v>4736</v>
      </c>
      <c r="J5857" t="s">
        <v>5222</v>
      </c>
      <c r="K5857" t="s">
        <v>728</v>
      </c>
      <c r="L5857">
        <v>0</v>
      </c>
      <c r="M5857" s="452">
        <v>45512</v>
      </c>
      <c r="N5857">
        <v>7.7</v>
      </c>
      <c r="O5857">
        <v>7.95</v>
      </c>
      <c r="P5857">
        <v>523.6</v>
      </c>
    </row>
    <row r="5858" spans="1:16" x14ac:dyDescent="0.3">
      <c r="A5858">
        <v>10664</v>
      </c>
      <c r="B5858">
        <v>105</v>
      </c>
      <c r="C5858" t="s">
        <v>557</v>
      </c>
      <c r="D5858" s="452">
        <v>45627</v>
      </c>
      <c r="E5858">
        <v>18518</v>
      </c>
      <c r="F5858" t="s">
        <v>4838</v>
      </c>
      <c r="G5858">
        <v>3148</v>
      </c>
      <c r="H5858">
        <v>10</v>
      </c>
      <c r="I5858" t="s">
        <v>4805</v>
      </c>
      <c r="J5858" t="s">
        <v>5222</v>
      </c>
      <c r="K5858" t="s">
        <v>728</v>
      </c>
      <c r="L5858">
        <v>50</v>
      </c>
      <c r="M5858" s="452">
        <v>45624</v>
      </c>
      <c r="N5858">
        <v>50</v>
      </c>
      <c r="O5858">
        <v>50</v>
      </c>
      <c r="P5858">
        <v>500</v>
      </c>
    </row>
    <row r="5859" spans="1:16" x14ac:dyDescent="0.3">
      <c r="A5859">
        <v>10688</v>
      </c>
      <c r="B5859">
        <v>105</v>
      </c>
      <c r="C5859" t="s">
        <v>557</v>
      </c>
      <c r="D5859" s="452">
        <v>45627</v>
      </c>
      <c r="E5859">
        <v>18219</v>
      </c>
      <c r="F5859" t="s">
        <v>4972</v>
      </c>
      <c r="G5859">
        <v>3409</v>
      </c>
      <c r="H5859">
        <v>2.7</v>
      </c>
      <c r="I5859" t="s">
        <v>4805</v>
      </c>
      <c r="J5859" t="s">
        <v>5222</v>
      </c>
      <c r="K5859" t="s">
        <v>728</v>
      </c>
      <c r="L5859">
        <v>179.9</v>
      </c>
      <c r="M5859" s="452">
        <v>45609</v>
      </c>
      <c r="N5859">
        <v>179.9</v>
      </c>
      <c r="O5859">
        <v>112.11</v>
      </c>
      <c r="P5859">
        <v>485.73</v>
      </c>
    </row>
    <row r="5860" spans="1:16" x14ac:dyDescent="0.3">
      <c r="A5860">
        <v>10936</v>
      </c>
      <c r="B5860">
        <v>105</v>
      </c>
      <c r="C5860" t="s">
        <v>557</v>
      </c>
      <c r="D5860" s="452">
        <v>45627</v>
      </c>
      <c r="E5860">
        <v>18878</v>
      </c>
      <c r="F5860" t="s">
        <v>5619</v>
      </c>
      <c r="G5860">
        <v>2939</v>
      </c>
      <c r="H5860">
        <v>6.36</v>
      </c>
      <c r="I5860" t="s">
        <v>4736</v>
      </c>
      <c r="J5860" t="s">
        <v>5191</v>
      </c>
      <c r="K5860" t="s">
        <v>728</v>
      </c>
      <c r="L5860">
        <v>0</v>
      </c>
      <c r="M5860" s="452">
        <v>45553</v>
      </c>
      <c r="N5860">
        <v>72</v>
      </c>
      <c r="O5860">
        <v>72</v>
      </c>
      <c r="P5860">
        <v>457.92</v>
      </c>
    </row>
    <row r="5861" spans="1:16" x14ac:dyDescent="0.3">
      <c r="A5861">
        <v>10931</v>
      </c>
      <c r="B5861">
        <v>105</v>
      </c>
      <c r="C5861" t="s">
        <v>557</v>
      </c>
      <c r="D5861" s="452">
        <v>45627</v>
      </c>
      <c r="E5861">
        <v>18945</v>
      </c>
      <c r="F5861" t="s">
        <v>4768</v>
      </c>
      <c r="G5861">
        <v>2929</v>
      </c>
      <c r="H5861">
        <v>7.6</v>
      </c>
      <c r="I5861" t="s">
        <v>4744</v>
      </c>
      <c r="J5861" t="s">
        <v>5191</v>
      </c>
      <c r="K5861" t="s">
        <v>728</v>
      </c>
      <c r="L5861">
        <v>58.9</v>
      </c>
      <c r="M5861" s="452">
        <v>45624</v>
      </c>
      <c r="N5861">
        <v>58.9</v>
      </c>
      <c r="O5861">
        <v>58.9</v>
      </c>
      <c r="P5861">
        <v>447.64</v>
      </c>
    </row>
    <row r="5862" spans="1:16" x14ac:dyDescent="0.3">
      <c r="A5862">
        <v>10923</v>
      </c>
      <c r="B5862">
        <v>105</v>
      </c>
      <c r="C5862" t="s">
        <v>557</v>
      </c>
      <c r="D5862" s="452">
        <v>45627</v>
      </c>
      <c r="E5862">
        <v>24116</v>
      </c>
      <c r="F5862" t="s">
        <v>4777</v>
      </c>
      <c r="G5862">
        <v>2924</v>
      </c>
      <c r="H5862">
        <v>14.3</v>
      </c>
      <c r="I5862" t="s">
        <v>4744</v>
      </c>
      <c r="J5862" t="s">
        <v>5191</v>
      </c>
      <c r="K5862" t="s">
        <v>728</v>
      </c>
      <c r="L5862">
        <v>0</v>
      </c>
      <c r="M5862" s="452">
        <v>45552</v>
      </c>
      <c r="N5862">
        <v>30.88</v>
      </c>
      <c r="O5862">
        <v>30.88</v>
      </c>
      <c r="P5862">
        <v>441.58</v>
      </c>
    </row>
    <row r="5863" spans="1:16" x14ac:dyDescent="0.3">
      <c r="A5863">
        <v>10670</v>
      </c>
      <c r="B5863">
        <v>105</v>
      </c>
      <c r="C5863" t="s">
        <v>557</v>
      </c>
      <c r="D5863" s="452">
        <v>45627</v>
      </c>
      <c r="E5863">
        <v>18475</v>
      </c>
      <c r="F5863" t="s">
        <v>4895</v>
      </c>
      <c r="G5863">
        <v>3181</v>
      </c>
      <c r="H5863">
        <v>13</v>
      </c>
      <c r="I5863" t="s">
        <v>4805</v>
      </c>
      <c r="J5863" t="s">
        <v>5222</v>
      </c>
      <c r="K5863" t="s">
        <v>728</v>
      </c>
      <c r="L5863">
        <v>32.9</v>
      </c>
      <c r="M5863" s="452">
        <v>45623</v>
      </c>
      <c r="N5863">
        <v>32.9</v>
      </c>
      <c r="O5863">
        <v>32.9</v>
      </c>
      <c r="P5863">
        <v>427.7</v>
      </c>
    </row>
    <row r="5864" spans="1:16" x14ac:dyDescent="0.3">
      <c r="A5864">
        <v>10966</v>
      </c>
      <c r="B5864">
        <v>105</v>
      </c>
      <c r="C5864" t="s">
        <v>557</v>
      </c>
      <c r="D5864" s="452">
        <v>45627</v>
      </c>
      <c r="E5864">
        <v>17903</v>
      </c>
      <c r="F5864" t="s">
        <v>5084</v>
      </c>
      <c r="G5864">
        <v>3658</v>
      </c>
      <c r="H5864">
        <v>16</v>
      </c>
      <c r="I5864" t="s">
        <v>4738</v>
      </c>
      <c r="J5864" t="s">
        <v>5222</v>
      </c>
      <c r="K5864" t="s">
        <v>728</v>
      </c>
      <c r="L5864">
        <v>0</v>
      </c>
      <c r="M5864" s="452">
        <v>45553</v>
      </c>
      <c r="N5864">
        <v>26.28</v>
      </c>
      <c r="O5864">
        <v>26.28</v>
      </c>
      <c r="P5864">
        <v>420.48</v>
      </c>
    </row>
    <row r="5865" spans="1:16" x14ac:dyDescent="0.3">
      <c r="A5865">
        <v>10657</v>
      </c>
      <c r="B5865">
        <v>105</v>
      </c>
      <c r="C5865" t="s">
        <v>557</v>
      </c>
      <c r="D5865" s="452">
        <v>45627</v>
      </c>
      <c r="E5865">
        <v>24981</v>
      </c>
      <c r="F5865" t="s">
        <v>5140</v>
      </c>
      <c r="G5865">
        <v>5849</v>
      </c>
      <c r="H5865">
        <v>1</v>
      </c>
      <c r="I5865" t="s">
        <v>4965</v>
      </c>
      <c r="J5865" t="s">
        <v>5222</v>
      </c>
      <c r="K5865" t="s">
        <v>728</v>
      </c>
      <c r="L5865">
        <v>420</v>
      </c>
      <c r="M5865" s="452">
        <v>45621</v>
      </c>
      <c r="N5865">
        <v>420</v>
      </c>
      <c r="O5865">
        <v>420</v>
      </c>
      <c r="P5865">
        <v>420</v>
      </c>
    </row>
    <row r="5866" spans="1:16" x14ac:dyDescent="0.3">
      <c r="A5866">
        <v>10841</v>
      </c>
      <c r="B5866">
        <v>105</v>
      </c>
      <c r="C5866" t="s">
        <v>557</v>
      </c>
      <c r="D5866" s="452">
        <v>45627</v>
      </c>
      <c r="E5866">
        <v>24083</v>
      </c>
      <c r="F5866" t="s">
        <v>5165</v>
      </c>
      <c r="G5866">
        <v>2592</v>
      </c>
      <c r="H5866">
        <v>75.91</v>
      </c>
      <c r="I5866" t="s">
        <v>4744</v>
      </c>
      <c r="J5866" t="s">
        <v>5191</v>
      </c>
      <c r="K5866" t="s">
        <v>728</v>
      </c>
      <c r="L5866">
        <v>0</v>
      </c>
      <c r="M5866" s="452">
        <v>45545</v>
      </c>
      <c r="N5866">
        <v>5.49</v>
      </c>
      <c r="O5866">
        <v>5.8</v>
      </c>
      <c r="P5866">
        <v>416.75</v>
      </c>
    </row>
    <row r="5867" spans="1:16" x14ac:dyDescent="0.3">
      <c r="A5867">
        <v>10773</v>
      </c>
      <c r="B5867">
        <v>105</v>
      </c>
      <c r="C5867" t="s">
        <v>557</v>
      </c>
      <c r="D5867" s="452">
        <v>45627</v>
      </c>
      <c r="E5867">
        <v>21024</v>
      </c>
      <c r="F5867" t="s">
        <v>5403</v>
      </c>
      <c r="G5867">
        <v>2003</v>
      </c>
      <c r="H5867">
        <v>3</v>
      </c>
      <c r="I5867" t="s">
        <v>4884</v>
      </c>
      <c r="J5867" t="s">
        <v>5191</v>
      </c>
      <c r="K5867" t="s">
        <v>728</v>
      </c>
      <c r="L5867">
        <v>0</v>
      </c>
      <c r="M5867" s="452">
        <v>45372</v>
      </c>
      <c r="N5867">
        <v>137.88</v>
      </c>
      <c r="O5867">
        <v>157.30000000000001</v>
      </c>
      <c r="P5867">
        <v>413.64</v>
      </c>
    </row>
    <row r="5868" spans="1:16" x14ac:dyDescent="0.3">
      <c r="A5868">
        <v>10980</v>
      </c>
      <c r="B5868">
        <v>105</v>
      </c>
      <c r="C5868" t="s">
        <v>557</v>
      </c>
      <c r="D5868" s="452">
        <v>45627</v>
      </c>
      <c r="E5868">
        <v>17578</v>
      </c>
      <c r="F5868" t="s">
        <v>4842</v>
      </c>
      <c r="G5868">
        <v>3948</v>
      </c>
      <c r="H5868">
        <v>5</v>
      </c>
      <c r="I5868" t="s">
        <v>4805</v>
      </c>
      <c r="J5868" t="s">
        <v>5222</v>
      </c>
      <c r="K5868" t="s">
        <v>728</v>
      </c>
      <c r="L5868">
        <v>0</v>
      </c>
      <c r="M5868" s="452">
        <v>45554</v>
      </c>
      <c r="N5868">
        <v>82.38</v>
      </c>
      <c r="O5868">
        <v>82.38</v>
      </c>
      <c r="P5868">
        <v>411.88</v>
      </c>
    </row>
    <row r="5869" spans="1:16" x14ac:dyDescent="0.3">
      <c r="A5869">
        <v>10705</v>
      </c>
      <c r="B5869">
        <v>105</v>
      </c>
      <c r="C5869" t="s">
        <v>557</v>
      </c>
      <c r="D5869" s="452">
        <v>45627</v>
      </c>
      <c r="E5869">
        <v>21150</v>
      </c>
      <c r="F5869" t="s">
        <v>4878</v>
      </c>
      <c r="G5869">
        <v>1951</v>
      </c>
      <c r="H5869">
        <v>3.8</v>
      </c>
      <c r="I5869" t="s">
        <v>4879</v>
      </c>
      <c r="J5869" t="s">
        <v>5191</v>
      </c>
      <c r="K5869" t="s">
        <v>728</v>
      </c>
      <c r="L5869">
        <v>0</v>
      </c>
      <c r="M5869" s="452">
        <v>45469</v>
      </c>
      <c r="N5869">
        <v>106.9</v>
      </c>
      <c r="O5869">
        <v>113.31</v>
      </c>
      <c r="P5869">
        <v>406.22</v>
      </c>
    </row>
    <row r="5870" spans="1:16" x14ac:dyDescent="0.3">
      <c r="A5870">
        <v>10917</v>
      </c>
      <c r="B5870">
        <v>105</v>
      </c>
      <c r="C5870" t="s">
        <v>557</v>
      </c>
      <c r="D5870" s="452">
        <v>45627</v>
      </c>
      <c r="E5870">
        <v>18699</v>
      </c>
      <c r="F5870" t="s">
        <v>5632</v>
      </c>
      <c r="G5870">
        <v>3034</v>
      </c>
      <c r="H5870">
        <v>15</v>
      </c>
      <c r="I5870" t="s">
        <v>4744</v>
      </c>
      <c r="J5870" t="s">
        <v>5191</v>
      </c>
      <c r="K5870" t="s">
        <v>728</v>
      </c>
      <c r="L5870">
        <v>25.89</v>
      </c>
      <c r="M5870" s="452">
        <v>45623</v>
      </c>
      <c r="N5870">
        <v>25.89</v>
      </c>
      <c r="O5870">
        <v>25.89</v>
      </c>
      <c r="P5870">
        <v>388.35</v>
      </c>
    </row>
    <row r="5871" spans="1:16" x14ac:dyDescent="0.3">
      <c r="A5871">
        <v>10726</v>
      </c>
      <c r="B5871">
        <v>105</v>
      </c>
      <c r="C5871" t="s">
        <v>557</v>
      </c>
      <c r="D5871" s="452">
        <v>45627</v>
      </c>
      <c r="E5871">
        <v>21047</v>
      </c>
      <c r="F5871" t="s">
        <v>4847</v>
      </c>
      <c r="G5871">
        <v>1999</v>
      </c>
      <c r="H5871">
        <v>2.2000000000000002</v>
      </c>
      <c r="I5871" t="s">
        <v>4848</v>
      </c>
      <c r="J5871" t="s">
        <v>5191</v>
      </c>
      <c r="K5871" t="s">
        <v>728</v>
      </c>
      <c r="L5871">
        <v>0</v>
      </c>
      <c r="M5871" s="452">
        <v>45554</v>
      </c>
      <c r="N5871">
        <v>175.9</v>
      </c>
      <c r="O5871">
        <v>184.9</v>
      </c>
      <c r="P5871">
        <v>386.98</v>
      </c>
    </row>
    <row r="5872" spans="1:16" x14ac:dyDescent="0.3">
      <c r="A5872">
        <v>10939</v>
      </c>
      <c r="B5872">
        <v>105</v>
      </c>
      <c r="C5872" t="s">
        <v>557</v>
      </c>
      <c r="D5872" s="452">
        <v>45627</v>
      </c>
      <c r="E5872">
        <v>24320</v>
      </c>
      <c r="F5872" t="s">
        <v>4861</v>
      </c>
      <c r="G5872">
        <v>2942</v>
      </c>
      <c r="H5872">
        <v>9.15</v>
      </c>
      <c r="I5872" t="s">
        <v>4744</v>
      </c>
      <c r="J5872" t="s">
        <v>5191</v>
      </c>
      <c r="K5872" t="s">
        <v>728</v>
      </c>
      <c r="L5872">
        <v>0</v>
      </c>
      <c r="M5872" s="452">
        <v>45546</v>
      </c>
      <c r="N5872">
        <v>40.75</v>
      </c>
      <c r="O5872">
        <v>44.8</v>
      </c>
      <c r="P5872">
        <v>372.86</v>
      </c>
    </row>
    <row r="5873" spans="1:16" x14ac:dyDescent="0.3">
      <c r="A5873">
        <v>10693</v>
      </c>
      <c r="B5873">
        <v>105</v>
      </c>
      <c r="C5873" t="s">
        <v>557</v>
      </c>
      <c r="D5873" s="452">
        <v>45627</v>
      </c>
      <c r="E5873">
        <v>18172</v>
      </c>
      <c r="F5873" t="s">
        <v>4804</v>
      </c>
      <c r="G5873">
        <v>3450</v>
      </c>
      <c r="H5873">
        <v>11</v>
      </c>
      <c r="I5873" t="s">
        <v>4805</v>
      </c>
      <c r="J5873" t="s">
        <v>5222</v>
      </c>
      <c r="K5873" t="s">
        <v>728</v>
      </c>
      <c r="L5873">
        <v>33.56</v>
      </c>
      <c r="M5873" s="452">
        <v>45617</v>
      </c>
      <c r="N5873">
        <v>33.56</v>
      </c>
      <c r="O5873">
        <v>33.56</v>
      </c>
      <c r="P5873">
        <v>369.16</v>
      </c>
    </row>
    <row r="5874" spans="1:16" x14ac:dyDescent="0.3">
      <c r="A5874">
        <v>10775</v>
      </c>
      <c r="B5874">
        <v>105</v>
      </c>
      <c r="C5874" t="s">
        <v>557</v>
      </c>
      <c r="D5874" s="452">
        <v>45627</v>
      </c>
      <c r="E5874">
        <v>20660</v>
      </c>
      <c r="F5874" t="s">
        <v>5011</v>
      </c>
      <c r="G5874">
        <v>2110</v>
      </c>
      <c r="H5874">
        <v>6</v>
      </c>
      <c r="I5874" t="s">
        <v>4955</v>
      </c>
      <c r="J5874" t="s">
        <v>5191</v>
      </c>
      <c r="K5874" t="s">
        <v>728</v>
      </c>
      <c r="L5874">
        <v>60.82</v>
      </c>
      <c r="M5874" s="452">
        <v>45615</v>
      </c>
      <c r="N5874">
        <v>60.82</v>
      </c>
      <c r="O5874">
        <v>65.95</v>
      </c>
      <c r="P5874">
        <v>364.92</v>
      </c>
    </row>
    <row r="5875" spans="1:16" x14ac:dyDescent="0.3">
      <c r="A5875">
        <v>10724</v>
      </c>
      <c r="B5875">
        <v>105</v>
      </c>
      <c r="C5875" t="s">
        <v>557</v>
      </c>
      <c r="D5875" s="452">
        <v>45627</v>
      </c>
      <c r="E5875">
        <v>20301</v>
      </c>
      <c r="F5875" t="s">
        <v>4944</v>
      </c>
      <c r="G5875">
        <v>2223</v>
      </c>
      <c r="H5875">
        <v>11</v>
      </c>
      <c r="I5875" t="s">
        <v>4738</v>
      </c>
      <c r="J5875" t="s">
        <v>5191</v>
      </c>
      <c r="K5875" t="s">
        <v>728</v>
      </c>
      <c r="L5875">
        <v>33.11</v>
      </c>
      <c r="M5875" s="452">
        <v>45622</v>
      </c>
      <c r="N5875">
        <v>33.26</v>
      </c>
      <c r="O5875">
        <v>32.99</v>
      </c>
      <c r="P5875">
        <v>364.21</v>
      </c>
    </row>
    <row r="5876" spans="1:16" x14ac:dyDescent="0.3">
      <c r="A5876">
        <v>10902</v>
      </c>
      <c r="B5876">
        <v>105</v>
      </c>
      <c r="C5876" t="s">
        <v>557</v>
      </c>
      <c r="D5876" s="452">
        <v>45627</v>
      </c>
      <c r="E5876">
        <v>19224</v>
      </c>
      <c r="F5876" t="s">
        <v>5100</v>
      </c>
      <c r="G5876">
        <v>5850</v>
      </c>
      <c r="H5876">
        <v>1.53</v>
      </c>
      <c r="I5876" t="s">
        <v>4736</v>
      </c>
      <c r="J5876" t="s">
        <v>5191</v>
      </c>
      <c r="K5876" t="s">
        <v>728</v>
      </c>
      <c r="L5876">
        <v>237.9</v>
      </c>
      <c r="M5876" s="452">
        <v>45622</v>
      </c>
      <c r="N5876">
        <v>235.9</v>
      </c>
      <c r="O5876">
        <v>235.9</v>
      </c>
      <c r="P5876">
        <v>363.99</v>
      </c>
    </row>
    <row r="5877" spans="1:16" x14ac:dyDescent="0.3">
      <c r="A5877">
        <v>10709</v>
      </c>
      <c r="B5877">
        <v>105</v>
      </c>
      <c r="C5877" t="s">
        <v>557</v>
      </c>
      <c r="D5877" s="452">
        <v>45627</v>
      </c>
      <c r="E5877">
        <v>18042</v>
      </c>
      <c r="F5877" t="s">
        <v>5657</v>
      </c>
      <c r="G5877">
        <v>3558</v>
      </c>
      <c r="H5877">
        <v>5</v>
      </c>
      <c r="I5877" t="s">
        <v>4805</v>
      </c>
      <c r="J5877" t="s">
        <v>5222</v>
      </c>
      <c r="K5877" t="s">
        <v>728</v>
      </c>
      <c r="L5877">
        <v>0</v>
      </c>
      <c r="M5877" s="452">
        <v>45481</v>
      </c>
      <c r="N5877">
        <v>72.5</v>
      </c>
      <c r="O5877">
        <v>70.5</v>
      </c>
      <c r="P5877">
        <v>362.5</v>
      </c>
    </row>
    <row r="5878" spans="1:16" x14ac:dyDescent="0.3">
      <c r="A5878">
        <v>10919</v>
      </c>
      <c r="B5878">
        <v>105</v>
      </c>
      <c r="C5878" t="s">
        <v>557</v>
      </c>
      <c r="D5878" s="452">
        <v>45627</v>
      </c>
      <c r="E5878">
        <v>25130</v>
      </c>
      <c r="F5878" t="s">
        <v>5476</v>
      </c>
      <c r="G5878">
        <v>5907</v>
      </c>
      <c r="H5878">
        <v>9.5</v>
      </c>
      <c r="I5878" t="s">
        <v>4744</v>
      </c>
      <c r="J5878" t="s">
        <v>5191</v>
      </c>
      <c r="K5878" t="s">
        <v>728</v>
      </c>
      <c r="L5878">
        <v>0</v>
      </c>
      <c r="M5878" s="452">
        <v>-693593</v>
      </c>
      <c r="N5878">
        <v>0</v>
      </c>
      <c r="O5878">
        <v>36</v>
      </c>
      <c r="P5878">
        <v>342</v>
      </c>
    </row>
    <row r="5879" spans="1:16" x14ac:dyDescent="0.3">
      <c r="A5879">
        <v>10863</v>
      </c>
      <c r="B5879">
        <v>105</v>
      </c>
      <c r="C5879" t="s">
        <v>557</v>
      </c>
      <c r="D5879" s="452">
        <v>45627</v>
      </c>
      <c r="E5879">
        <v>19756</v>
      </c>
      <c r="F5879" t="s">
        <v>4754</v>
      </c>
      <c r="G5879">
        <v>2497</v>
      </c>
      <c r="H5879">
        <v>57.4</v>
      </c>
      <c r="I5879" t="s">
        <v>4744</v>
      </c>
      <c r="J5879" t="s">
        <v>5191</v>
      </c>
      <c r="K5879" t="s">
        <v>728</v>
      </c>
      <c r="L5879">
        <v>5.86</v>
      </c>
      <c r="M5879" s="452">
        <v>45618</v>
      </c>
      <c r="N5879">
        <v>5.8</v>
      </c>
      <c r="O5879">
        <v>5.67</v>
      </c>
      <c r="P5879">
        <v>336.36</v>
      </c>
    </row>
    <row r="5880" spans="1:16" x14ac:dyDescent="0.3">
      <c r="A5880">
        <v>10938</v>
      </c>
      <c r="B5880">
        <v>105</v>
      </c>
      <c r="C5880" t="s">
        <v>557</v>
      </c>
      <c r="D5880" s="452">
        <v>45627</v>
      </c>
      <c r="E5880">
        <v>19003</v>
      </c>
      <c r="F5880" t="s">
        <v>4810</v>
      </c>
      <c r="G5880">
        <v>2897</v>
      </c>
      <c r="H5880">
        <v>9.0399999999999991</v>
      </c>
      <c r="I5880" t="s">
        <v>4744</v>
      </c>
      <c r="J5880" t="s">
        <v>5191</v>
      </c>
      <c r="K5880" t="s">
        <v>728</v>
      </c>
      <c r="L5880">
        <v>34.9</v>
      </c>
      <c r="M5880" s="452">
        <v>45623</v>
      </c>
      <c r="N5880">
        <v>34.9</v>
      </c>
      <c r="O5880">
        <v>34.9</v>
      </c>
      <c r="P5880">
        <v>315.5</v>
      </c>
    </row>
    <row r="5881" spans="1:16" x14ac:dyDescent="0.3">
      <c r="A5881">
        <v>10969</v>
      </c>
      <c r="B5881">
        <v>105</v>
      </c>
      <c r="C5881" t="s">
        <v>557</v>
      </c>
      <c r="D5881" s="452">
        <v>45627</v>
      </c>
      <c r="E5881">
        <v>17895</v>
      </c>
      <c r="F5881" t="s">
        <v>5086</v>
      </c>
      <c r="G5881">
        <v>3665</v>
      </c>
      <c r="H5881">
        <v>12</v>
      </c>
      <c r="I5881" t="s">
        <v>4738</v>
      </c>
      <c r="J5881" t="s">
        <v>5222</v>
      </c>
      <c r="K5881" t="s">
        <v>728</v>
      </c>
      <c r="L5881">
        <v>0</v>
      </c>
      <c r="M5881" s="452">
        <v>45553</v>
      </c>
      <c r="N5881">
        <v>26.28</v>
      </c>
      <c r="O5881">
        <v>26.28</v>
      </c>
      <c r="P5881">
        <v>315.36</v>
      </c>
    </row>
    <row r="5882" spans="1:16" x14ac:dyDescent="0.3">
      <c r="A5882">
        <v>10697</v>
      </c>
      <c r="B5882">
        <v>105</v>
      </c>
      <c r="C5882" t="s">
        <v>557</v>
      </c>
      <c r="D5882" s="452">
        <v>45627</v>
      </c>
      <c r="E5882">
        <v>18119</v>
      </c>
      <c r="F5882" t="s">
        <v>5044</v>
      </c>
      <c r="G5882">
        <v>3494</v>
      </c>
      <c r="H5882">
        <v>1.8</v>
      </c>
      <c r="I5882" t="s">
        <v>4805</v>
      </c>
      <c r="J5882" t="s">
        <v>5222</v>
      </c>
      <c r="K5882" t="s">
        <v>728</v>
      </c>
      <c r="L5882">
        <v>171.01</v>
      </c>
      <c r="M5882" s="452">
        <v>45617</v>
      </c>
      <c r="N5882">
        <v>171.01</v>
      </c>
      <c r="O5882">
        <v>171.7</v>
      </c>
      <c r="P5882">
        <v>307.82</v>
      </c>
    </row>
    <row r="5883" spans="1:16" x14ac:dyDescent="0.3">
      <c r="A5883">
        <v>10733</v>
      </c>
      <c r="B5883">
        <v>105</v>
      </c>
      <c r="C5883" t="s">
        <v>557</v>
      </c>
      <c r="D5883" s="452">
        <v>45627</v>
      </c>
      <c r="E5883">
        <v>20809</v>
      </c>
      <c r="F5883" t="s">
        <v>4822</v>
      </c>
      <c r="G5883">
        <v>2074</v>
      </c>
      <c r="H5883">
        <v>13</v>
      </c>
      <c r="I5883" t="s">
        <v>4738</v>
      </c>
      <c r="J5883" t="s">
        <v>5191</v>
      </c>
      <c r="K5883" t="s">
        <v>728</v>
      </c>
      <c r="L5883">
        <v>22.2</v>
      </c>
      <c r="M5883" s="452">
        <v>45622</v>
      </c>
      <c r="N5883">
        <v>22.3</v>
      </c>
      <c r="O5883">
        <v>22.18</v>
      </c>
      <c r="P5883">
        <v>288.60000000000002</v>
      </c>
    </row>
    <row r="5884" spans="1:16" x14ac:dyDescent="0.3">
      <c r="A5884">
        <v>10668</v>
      </c>
      <c r="B5884">
        <v>105</v>
      </c>
      <c r="C5884" t="s">
        <v>557</v>
      </c>
      <c r="D5884" s="452">
        <v>45627</v>
      </c>
      <c r="E5884">
        <v>18491</v>
      </c>
      <c r="F5884" t="s">
        <v>4839</v>
      </c>
      <c r="G5884">
        <v>3166</v>
      </c>
      <c r="H5884">
        <v>8</v>
      </c>
      <c r="I5884" t="s">
        <v>4805</v>
      </c>
      <c r="J5884" t="s">
        <v>5222</v>
      </c>
      <c r="K5884" t="s">
        <v>728</v>
      </c>
      <c r="L5884">
        <v>0</v>
      </c>
      <c r="M5884" s="452">
        <v>45555</v>
      </c>
      <c r="N5884">
        <v>35.9</v>
      </c>
      <c r="O5884">
        <v>35.9</v>
      </c>
      <c r="P5884">
        <v>287.2</v>
      </c>
    </row>
    <row r="5885" spans="1:16" x14ac:dyDescent="0.3">
      <c r="A5885">
        <v>10945</v>
      </c>
      <c r="B5885">
        <v>105</v>
      </c>
      <c r="C5885" t="s">
        <v>557</v>
      </c>
      <c r="D5885" s="452">
        <v>45627</v>
      </c>
      <c r="E5885">
        <v>18731</v>
      </c>
      <c r="F5885" t="s">
        <v>4832</v>
      </c>
      <c r="G5885">
        <v>3020</v>
      </c>
      <c r="H5885">
        <v>4.0999999999999996</v>
      </c>
      <c r="I5885" t="s">
        <v>4744</v>
      </c>
      <c r="J5885" t="s">
        <v>5191</v>
      </c>
      <c r="K5885" t="s">
        <v>728</v>
      </c>
      <c r="L5885">
        <v>67.900000000000006</v>
      </c>
      <c r="M5885" s="452">
        <v>45622</v>
      </c>
      <c r="N5885">
        <v>69.900000000000006</v>
      </c>
      <c r="O5885">
        <v>69.900000000000006</v>
      </c>
      <c r="P5885">
        <v>278.39</v>
      </c>
    </row>
    <row r="5886" spans="1:16" x14ac:dyDescent="0.3">
      <c r="A5886">
        <v>10937</v>
      </c>
      <c r="B5886">
        <v>105</v>
      </c>
      <c r="C5886" t="s">
        <v>557</v>
      </c>
      <c r="D5886" s="452">
        <v>45627</v>
      </c>
      <c r="E5886">
        <v>18648</v>
      </c>
      <c r="F5886" t="s">
        <v>5595</v>
      </c>
      <c r="G5886">
        <v>3068</v>
      </c>
      <c r="H5886">
        <v>2.2000000000000002</v>
      </c>
      <c r="I5886" t="s">
        <v>4744</v>
      </c>
      <c r="J5886" t="s">
        <v>5191</v>
      </c>
      <c r="K5886" t="s">
        <v>728</v>
      </c>
      <c r="L5886">
        <v>124.95</v>
      </c>
      <c r="M5886" s="452">
        <v>45601</v>
      </c>
      <c r="N5886">
        <v>124.95</v>
      </c>
      <c r="O5886">
        <v>124.95</v>
      </c>
      <c r="P5886">
        <v>274.89</v>
      </c>
    </row>
    <row r="5887" spans="1:16" x14ac:dyDescent="0.3">
      <c r="A5887">
        <v>10673</v>
      </c>
      <c r="B5887">
        <v>105</v>
      </c>
      <c r="C5887" t="s">
        <v>557</v>
      </c>
      <c r="D5887" s="452">
        <v>45627</v>
      </c>
      <c r="E5887">
        <v>18359</v>
      </c>
      <c r="F5887" t="s">
        <v>4921</v>
      </c>
      <c r="G5887">
        <v>3278</v>
      </c>
      <c r="H5887">
        <v>3</v>
      </c>
      <c r="I5887" t="s">
        <v>4805</v>
      </c>
      <c r="J5887" t="s">
        <v>5222</v>
      </c>
      <c r="K5887" t="s">
        <v>728</v>
      </c>
      <c r="L5887">
        <v>90.9</v>
      </c>
      <c r="M5887" s="452">
        <v>45623</v>
      </c>
      <c r="N5887">
        <v>90.9</v>
      </c>
      <c r="O5887">
        <v>99.81</v>
      </c>
      <c r="P5887">
        <v>272.7</v>
      </c>
    </row>
    <row r="5888" spans="1:16" x14ac:dyDescent="0.3">
      <c r="A5888">
        <v>10929</v>
      </c>
      <c r="B5888">
        <v>105</v>
      </c>
      <c r="C5888" t="s">
        <v>557</v>
      </c>
      <c r="D5888" s="452">
        <v>45627</v>
      </c>
      <c r="E5888">
        <v>19040</v>
      </c>
      <c r="F5888" t="s">
        <v>5658</v>
      </c>
      <c r="G5888">
        <v>2890</v>
      </c>
      <c r="H5888">
        <v>15.45</v>
      </c>
      <c r="I5888" t="s">
        <v>4744</v>
      </c>
      <c r="J5888" t="s">
        <v>5191</v>
      </c>
      <c r="K5888" t="s">
        <v>728</v>
      </c>
      <c r="L5888">
        <v>0</v>
      </c>
      <c r="M5888" s="452">
        <v>45546</v>
      </c>
      <c r="N5888">
        <v>17</v>
      </c>
      <c r="O5888">
        <v>17</v>
      </c>
      <c r="P5888">
        <v>262.64999999999998</v>
      </c>
    </row>
    <row r="5889" spans="1:16" x14ac:dyDescent="0.3">
      <c r="A5889">
        <v>10699</v>
      </c>
      <c r="B5889">
        <v>105</v>
      </c>
      <c r="C5889" t="s">
        <v>557</v>
      </c>
      <c r="D5889" s="452">
        <v>45627</v>
      </c>
      <c r="E5889">
        <v>18114</v>
      </c>
      <c r="F5889" t="s">
        <v>5046</v>
      </c>
      <c r="G5889">
        <v>3498</v>
      </c>
      <c r="H5889">
        <v>1</v>
      </c>
      <c r="I5889" t="s">
        <v>4805</v>
      </c>
      <c r="J5889" t="s">
        <v>5222</v>
      </c>
      <c r="K5889" t="s">
        <v>728</v>
      </c>
      <c r="L5889">
        <v>0</v>
      </c>
      <c r="M5889" s="452">
        <v>-693593</v>
      </c>
      <c r="N5889">
        <v>0</v>
      </c>
      <c r="O5889">
        <v>261.70999999999998</v>
      </c>
      <c r="P5889">
        <v>261.70999999999998</v>
      </c>
    </row>
    <row r="5890" spans="1:16" x14ac:dyDescent="0.3">
      <c r="A5890">
        <v>10934</v>
      </c>
      <c r="B5890">
        <v>105</v>
      </c>
      <c r="C5890" t="s">
        <v>557</v>
      </c>
      <c r="D5890" s="452">
        <v>45627</v>
      </c>
      <c r="E5890">
        <v>24256</v>
      </c>
      <c r="F5890" t="s">
        <v>4773</v>
      </c>
      <c r="G5890">
        <v>3003</v>
      </c>
      <c r="H5890">
        <v>5.8</v>
      </c>
      <c r="I5890" t="s">
        <v>4744</v>
      </c>
      <c r="J5890" t="s">
        <v>5191</v>
      </c>
      <c r="K5890" t="s">
        <v>728</v>
      </c>
      <c r="L5890">
        <v>0</v>
      </c>
      <c r="M5890" s="452">
        <v>45545</v>
      </c>
      <c r="N5890">
        <v>45</v>
      </c>
      <c r="O5890">
        <v>45</v>
      </c>
      <c r="P5890">
        <v>261</v>
      </c>
    </row>
    <row r="5891" spans="1:16" x14ac:dyDescent="0.3">
      <c r="A5891">
        <v>10660</v>
      </c>
      <c r="B5891">
        <v>105</v>
      </c>
      <c r="C5891" t="s">
        <v>557</v>
      </c>
      <c r="D5891" s="452">
        <v>45627</v>
      </c>
      <c r="E5891">
        <v>18586</v>
      </c>
      <c r="F5891" t="s">
        <v>4966</v>
      </c>
      <c r="G5891">
        <v>3104</v>
      </c>
      <c r="H5891">
        <v>2</v>
      </c>
      <c r="I5891" t="s">
        <v>4738</v>
      </c>
      <c r="J5891" t="s">
        <v>5222</v>
      </c>
      <c r="K5891" t="s">
        <v>728</v>
      </c>
      <c r="L5891">
        <v>0</v>
      </c>
      <c r="M5891" s="452">
        <v>45567</v>
      </c>
      <c r="N5891">
        <v>128.6</v>
      </c>
      <c r="O5891">
        <v>128.6</v>
      </c>
      <c r="P5891">
        <v>257.2</v>
      </c>
    </row>
    <row r="5892" spans="1:16" x14ac:dyDescent="0.3">
      <c r="A5892">
        <v>10782</v>
      </c>
      <c r="B5892">
        <v>105</v>
      </c>
      <c r="C5892" t="s">
        <v>557</v>
      </c>
      <c r="D5892" s="452">
        <v>45627</v>
      </c>
      <c r="E5892">
        <v>20508</v>
      </c>
      <c r="F5892" t="s">
        <v>5646</v>
      </c>
      <c r="G5892">
        <v>2153</v>
      </c>
      <c r="H5892">
        <v>6.3</v>
      </c>
      <c r="I5892" t="s">
        <v>4744</v>
      </c>
      <c r="J5892" t="s">
        <v>5191</v>
      </c>
      <c r="K5892" t="s">
        <v>728</v>
      </c>
      <c r="L5892">
        <v>0</v>
      </c>
      <c r="M5892" s="452">
        <v>45422</v>
      </c>
      <c r="N5892">
        <v>39.93</v>
      </c>
      <c r="O5892">
        <v>28.24</v>
      </c>
      <c r="P5892">
        <v>251.53</v>
      </c>
    </row>
    <row r="5893" spans="1:16" x14ac:dyDescent="0.3">
      <c r="A5893">
        <v>10922</v>
      </c>
      <c r="B5893">
        <v>105</v>
      </c>
      <c r="C5893" t="s">
        <v>557</v>
      </c>
      <c r="D5893" s="452">
        <v>45627</v>
      </c>
      <c r="E5893">
        <v>18831</v>
      </c>
      <c r="F5893" t="s">
        <v>5625</v>
      </c>
      <c r="G5893">
        <v>2950</v>
      </c>
      <c r="H5893">
        <v>6.2</v>
      </c>
      <c r="I5893" t="s">
        <v>4744</v>
      </c>
      <c r="J5893" t="s">
        <v>5191</v>
      </c>
      <c r="K5893" t="s">
        <v>728</v>
      </c>
      <c r="L5893">
        <v>0</v>
      </c>
      <c r="M5893" s="452">
        <v>45553</v>
      </c>
      <c r="N5893">
        <v>39.76</v>
      </c>
      <c r="O5893">
        <v>39.76</v>
      </c>
      <c r="P5893">
        <v>246.51</v>
      </c>
    </row>
    <row r="5894" spans="1:16" x14ac:dyDescent="0.3">
      <c r="A5894">
        <v>10658</v>
      </c>
      <c r="B5894">
        <v>105</v>
      </c>
      <c r="C5894" t="s">
        <v>557</v>
      </c>
      <c r="D5894" s="452">
        <v>45627</v>
      </c>
      <c r="E5894">
        <v>24192</v>
      </c>
      <c r="F5894" t="s">
        <v>4772</v>
      </c>
      <c r="G5894">
        <v>3099</v>
      </c>
      <c r="H5894">
        <v>32</v>
      </c>
      <c r="I5894" t="s">
        <v>4736</v>
      </c>
      <c r="J5894" t="s">
        <v>5222</v>
      </c>
      <c r="K5894" t="s">
        <v>728</v>
      </c>
      <c r="L5894">
        <v>0</v>
      </c>
      <c r="M5894" s="452">
        <v>45546</v>
      </c>
      <c r="N5894">
        <v>5.0999999999999996</v>
      </c>
      <c r="O5894">
        <v>4.3</v>
      </c>
      <c r="P5894">
        <v>242.88</v>
      </c>
    </row>
    <row r="5895" spans="1:16" x14ac:dyDescent="0.3">
      <c r="A5895">
        <v>11018</v>
      </c>
      <c r="B5895">
        <v>105</v>
      </c>
      <c r="C5895" t="s">
        <v>557</v>
      </c>
      <c r="D5895" s="452">
        <v>45627</v>
      </c>
      <c r="E5895">
        <v>26103</v>
      </c>
      <c r="F5895" t="s">
        <v>4776</v>
      </c>
      <c r="G5895">
        <v>9072</v>
      </c>
      <c r="H5895">
        <v>17</v>
      </c>
      <c r="I5895" t="s">
        <v>4749</v>
      </c>
      <c r="J5895" t="s">
        <v>5191</v>
      </c>
      <c r="K5895" t="s">
        <v>728</v>
      </c>
      <c r="L5895">
        <v>0</v>
      </c>
      <c r="M5895" s="452">
        <v>-693593</v>
      </c>
      <c r="N5895">
        <v>0</v>
      </c>
      <c r="O5895">
        <v>0</v>
      </c>
      <c r="P5895">
        <v>237.83</v>
      </c>
    </row>
    <row r="5896" spans="1:16" x14ac:dyDescent="0.3">
      <c r="A5896">
        <v>10789</v>
      </c>
      <c r="B5896">
        <v>105</v>
      </c>
      <c r="C5896" t="s">
        <v>557</v>
      </c>
      <c r="D5896" s="452">
        <v>45627</v>
      </c>
      <c r="E5896">
        <v>20131</v>
      </c>
      <c r="F5896" t="s">
        <v>5440</v>
      </c>
      <c r="G5896">
        <v>2287</v>
      </c>
      <c r="H5896">
        <v>19.100000000000001</v>
      </c>
      <c r="I5896" t="s">
        <v>4744</v>
      </c>
      <c r="J5896" t="s">
        <v>5191</v>
      </c>
      <c r="K5896" t="s">
        <v>728</v>
      </c>
      <c r="L5896">
        <v>12</v>
      </c>
      <c r="M5896" s="452">
        <v>45623</v>
      </c>
      <c r="N5896">
        <v>12</v>
      </c>
      <c r="O5896">
        <v>12</v>
      </c>
      <c r="P5896">
        <v>229.2</v>
      </c>
    </row>
    <row r="5897" spans="1:16" x14ac:dyDescent="0.3">
      <c r="A5897">
        <v>10642</v>
      </c>
      <c r="B5897">
        <v>105</v>
      </c>
      <c r="C5897" t="s">
        <v>557</v>
      </c>
      <c r="D5897" s="452">
        <v>45627</v>
      </c>
      <c r="E5897">
        <v>23974</v>
      </c>
      <c r="F5897" t="s">
        <v>4862</v>
      </c>
      <c r="G5897">
        <v>4163</v>
      </c>
      <c r="H5897">
        <v>5</v>
      </c>
      <c r="I5897" t="s">
        <v>4736</v>
      </c>
      <c r="J5897" t="s">
        <v>5222</v>
      </c>
      <c r="K5897" t="s">
        <v>728</v>
      </c>
      <c r="L5897">
        <v>45.6</v>
      </c>
      <c r="M5897" s="452">
        <v>45617</v>
      </c>
      <c r="N5897">
        <v>45.6</v>
      </c>
      <c r="O5897">
        <v>1.9</v>
      </c>
      <c r="P5897">
        <v>228</v>
      </c>
    </row>
    <row r="5898" spans="1:16" x14ac:dyDescent="0.3">
      <c r="A5898">
        <v>11004</v>
      </c>
      <c r="B5898">
        <v>105</v>
      </c>
      <c r="C5898" t="s">
        <v>557</v>
      </c>
      <c r="D5898" s="452">
        <v>45627</v>
      </c>
      <c r="E5898">
        <v>18242</v>
      </c>
      <c r="F5898" t="s">
        <v>5581</v>
      </c>
      <c r="G5898">
        <v>3386</v>
      </c>
      <c r="H5898">
        <v>1</v>
      </c>
      <c r="I5898" t="s">
        <v>4805</v>
      </c>
      <c r="J5898" t="s">
        <v>5222</v>
      </c>
      <c r="K5898" t="s">
        <v>728</v>
      </c>
      <c r="L5898">
        <v>0</v>
      </c>
      <c r="M5898" s="452">
        <v>-693593</v>
      </c>
      <c r="N5898">
        <v>0</v>
      </c>
      <c r="O5898">
        <v>227.11</v>
      </c>
      <c r="P5898">
        <v>227.11</v>
      </c>
    </row>
    <row r="5899" spans="1:16" x14ac:dyDescent="0.3">
      <c r="A5899">
        <v>10694</v>
      </c>
      <c r="B5899">
        <v>105</v>
      </c>
      <c r="C5899" t="s">
        <v>557</v>
      </c>
      <c r="D5899" s="452">
        <v>45627</v>
      </c>
      <c r="E5899">
        <v>18157</v>
      </c>
      <c r="F5899" t="s">
        <v>5041</v>
      </c>
      <c r="G5899">
        <v>3463</v>
      </c>
      <c r="H5899">
        <v>1</v>
      </c>
      <c r="I5899" t="s">
        <v>4805</v>
      </c>
      <c r="J5899" t="s">
        <v>5222</v>
      </c>
      <c r="K5899" t="s">
        <v>728</v>
      </c>
      <c r="L5899">
        <v>0</v>
      </c>
      <c r="M5899" s="452">
        <v>45519</v>
      </c>
      <c r="N5899">
        <v>224.31</v>
      </c>
      <c r="O5899">
        <v>198.9</v>
      </c>
      <c r="P5899">
        <v>224.31</v>
      </c>
    </row>
    <row r="5900" spans="1:16" x14ac:dyDescent="0.3">
      <c r="A5900">
        <v>10680</v>
      </c>
      <c r="B5900">
        <v>105</v>
      </c>
      <c r="C5900" t="s">
        <v>557</v>
      </c>
      <c r="D5900" s="452">
        <v>45627</v>
      </c>
      <c r="E5900">
        <v>18315</v>
      </c>
      <c r="F5900" t="s">
        <v>4922</v>
      </c>
      <c r="G5900">
        <v>3318</v>
      </c>
      <c r="H5900">
        <v>2</v>
      </c>
      <c r="I5900" t="s">
        <v>4805</v>
      </c>
      <c r="J5900" t="s">
        <v>5222</v>
      </c>
      <c r="K5900" t="s">
        <v>728</v>
      </c>
      <c r="L5900">
        <v>112</v>
      </c>
      <c r="M5900" s="452">
        <v>45616</v>
      </c>
      <c r="N5900">
        <v>112</v>
      </c>
      <c r="O5900">
        <v>112</v>
      </c>
      <c r="P5900">
        <v>224</v>
      </c>
    </row>
    <row r="5901" spans="1:16" x14ac:dyDescent="0.3">
      <c r="A5901">
        <v>10897</v>
      </c>
      <c r="B5901">
        <v>105</v>
      </c>
      <c r="C5901" t="s">
        <v>557</v>
      </c>
      <c r="D5901" s="452">
        <v>45627</v>
      </c>
      <c r="E5901">
        <v>19439</v>
      </c>
      <c r="F5901" t="s">
        <v>4917</v>
      </c>
      <c r="G5901">
        <v>2756</v>
      </c>
      <c r="H5901">
        <v>6.8</v>
      </c>
      <c r="I5901" t="s">
        <v>4744</v>
      </c>
      <c r="J5901" t="s">
        <v>5191</v>
      </c>
      <c r="K5901" t="s">
        <v>728</v>
      </c>
      <c r="L5901">
        <v>32.799999999999997</v>
      </c>
      <c r="M5901" s="452">
        <v>45622</v>
      </c>
      <c r="N5901">
        <v>32.6</v>
      </c>
      <c r="O5901">
        <v>31.78</v>
      </c>
      <c r="P5901">
        <v>223.04</v>
      </c>
    </row>
    <row r="5902" spans="1:16" x14ac:dyDescent="0.3">
      <c r="A5902">
        <v>10946</v>
      </c>
      <c r="B5902">
        <v>105</v>
      </c>
      <c r="C5902" t="s">
        <v>557</v>
      </c>
      <c r="D5902" s="452">
        <v>45627</v>
      </c>
      <c r="E5902">
        <v>25136</v>
      </c>
      <c r="F5902" t="s">
        <v>5659</v>
      </c>
      <c r="G5902">
        <v>5917</v>
      </c>
      <c r="H5902">
        <v>2.15</v>
      </c>
      <c r="I5902" t="s">
        <v>4744</v>
      </c>
      <c r="J5902" t="s">
        <v>5191</v>
      </c>
      <c r="K5902" t="s">
        <v>728</v>
      </c>
      <c r="L5902">
        <v>0</v>
      </c>
      <c r="M5902" s="452">
        <v>-693593</v>
      </c>
      <c r="N5902">
        <v>0</v>
      </c>
      <c r="O5902">
        <v>0</v>
      </c>
      <c r="P5902">
        <v>212.85</v>
      </c>
    </row>
    <row r="5903" spans="1:16" x14ac:dyDescent="0.3">
      <c r="A5903">
        <v>10942</v>
      </c>
      <c r="B5903">
        <v>105</v>
      </c>
      <c r="C5903" t="s">
        <v>557</v>
      </c>
      <c r="D5903" s="452">
        <v>45627</v>
      </c>
      <c r="E5903">
        <v>18992</v>
      </c>
      <c r="F5903" t="s">
        <v>4869</v>
      </c>
      <c r="G5903">
        <v>2900</v>
      </c>
      <c r="H5903">
        <v>10.4</v>
      </c>
      <c r="I5903" t="s">
        <v>4744</v>
      </c>
      <c r="J5903" t="s">
        <v>5191</v>
      </c>
      <c r="K5903" t="s">
        <v>728</v>
      </c>
      <c r="L5903">
        <v>20.2</v>
      </c>
      <c r="M5903" s="452">
        <v>45624</v>
      </c>
      <c r="N5903">
        <v>20.2</v>
      </c>
      <c r="O5903">
        <v>20.2</v>
      </c>
      <c r="P5903">
        <v>210.08</v>
      </c>
    </row>
    <row r="5904" spans="1:16" x14ac:dyDescent="0.3">
      <c r="A5904">
        <v>10927</v>
      </c>
      <c r="B5904">
        <v>105</v>
      </c>
      <c r="C5904" t="s">
        <v>557</v>
      </c>
      <c r="D5904" s="452">
        <v>45627</v>
      </c>
      <c r="E5904">
        <v>24199</v>
      </c>
      <c r="F5904" t="s">
        <v>4783</v>
      </c>
      <c r="G5904">
        <v>5084</v>
      </c>
      <c r="H5904">
        <v>5.9</v>
      </c>
      <c r="I5904" t="s">
        <v>4744</v>
      </c>
      <c r="J5904" t="s">
        <v>5191</v>
      </c>
      <c r="K5904" t="s">
        <v>728</v>
      </c>
      <c r="L5904">
        <v>0</v>
      </c>
      <c r="M5904" s="452">
        <v>45540</v>
      </c>
      <c r="N5904">
        <v>34.9</v>
      </c>
      <c r="O5904">
        <v>24.8</v>
      </c>
      <c r="P5904">
        <v>205.91</v>
      </c>
    </row>
    <row r="5905" spans="1:16" x14ac:dyDescent="0.3">
      <c r="A5905">
        <v>11030</v>
      </c>
      <c r="B5905">
        <v>105</v>
      </c>
      <c r="C5905" t="s">
        <v>557</v>
      </c>
      <c r="D5905" s="452">
        <v>45627</v>
      </c>
      <c r="E5905">
        <v>24283</v>
      </c>
      <c r="F5905" t="s">
        <v>5572</v>
      </c>
      <c r="G5905">
        <v>2039</v>
      </c>
      <c r="H5905">
        <v>1.96</v>
      </c>
      <c r="I5905" t="s">
        <v>4744</v>
      </c>
      <c r="J5905" t="s">
        <v>5191</v>
      </c>
      <c r="K5905" t="s">
        <v>728</v>
      </c>
      <c r="L5905">
        <v>0</v>
      </c>
      <c r="M5905" s="452">
        <v>-693593</v>
      </c>
      <c r="N5905">
        <v>0</v>
      </c>
      <c r="O5905">
        <v>0</v>
      </c>
      <c r="P5905">
        <v>204.78</v>
      </c>
    </row>
    <row r="5906" spans="1:16" x14ac:dyDescent="0.3">
      <c r="A5906">
        <v>10737</v>
      </c>
      <c r="B5906">
        <v>105</v>
      </c>
      <c r="C5906" t="s">
        <v>557</v>
      </c>
      <c r="D5906" s="452">
        <v>45627</v>
      </c>
      <c r="E5906">
        <v>20269</v>
      </c>
      <c r="F5906" t="s">
        <v>5578</v>
      </c>
      <c r="G5906">
        <v>2233</v>
      </c>
      <c r="H5906">
        <v>2.76</v>
      </c>
      <c r="I5906" t="s">
        <v>4736</v>
      </c>
      <c r="J5906" t="s">
        <v>5191</v>
      </c>
      <c r="K5906" t="s">
        <v>728</v>
      </c>
      <c r="L5906">
        <v>73.599999999999994</v>
      </c>
      <c r="M5906" s="452">
        <v>45622</v>
      </c>
      <c r="N5906">
        <v>73.599999999999994</v>
      </c>
      <c r="O5906">
        <v>77.069999999999993</v>
      </c>
      <c r="P5906">
        <v>203.14</v>
      </c>
    </row>
    <row r="5907" spans="1:16" x14ac:dyDescent="0.3">
      <c r="A5907">
        <v>10659</v>
      </c>
      <c r="B5907">
        <v>105</v>
      </c>
      <c r="C5907" t="s">
        <v>557</v>
      </c>
      <c r="D5907" s="452">
        <v>45627</v>
      </c>
      <c r="E5907">
        <v>24470</v>
      </c>
      <c r="F5907" t="s">
        <v>4752</v>
      </c>
      <c r="G5907">
        <v>3103</v>
      </c>
      <c r="H5907">
        <v>45</v>
      </c>
      <c r="I5907" t="s">
        <v>4736</v>
      </c>
      <c r="J5907" t="s">
        <v>5222</v>
      </c>
      <c r="K5907" t="s">
        <v>728</v>
      </c>
      <c r="L5907">
        <v>0</v>
      </c>
      <c r="M5907" s="452">
        <v>45404</v>
      </c>
      <c r="N5907">
        <v>4.41</v>
      </c>
      <c r="O5907">
        <v>0</v>
      </c>
      <c r="P5907">
        <v>198.45</v>
      </c>
    </row>
    <row r="5908" spans="1:16" x14ac:dyDescent="0.3">
      <c r="A5908">
        <v>10645</v>
      </c>
      <c r="B5908">
        <v>105</v>
      </c>
      <c r="C5908" t="s">
        <v>557</v>
      </c>
      <c r="D5908" s="452">
        <v>45627</v>
      </c>
      <c r="E5908">
        <v>18632</v>
      </c>
      <c r="F5908" t="s">
        <v>5096</v>
      </c>
      <c r="G5908">
        <v>3076</v>
      </c>
      <c r="H5908">
        <v>1</v>
      </c>
      <c r="I5908" t="s">
        <v>4749</v>
      </c>
      <c r="J5908" t="s">
        <v>5222</v>
      </c>
      <c r="K5908" t="s">
        <v>728</v>
      </c>
      <c r="L5908">
        <v>0</v>
      </c>
      <c r="M5908" s="452">
        <v>45546</v>
      </c>
      <c r="N5908">
        <v>190.8</v>
      </c>
      <c r="O5908">
        <v>190.8</v>
      </c>
      <c r="P5908">
        <v>190.8</v>
      </c>
    </row>
    <row r="5909" spans="1:16" x14ac:dyDescent="0.3">
      <c r="A5909">
        <v>10907</v>
      </c>
      <c r="B5909">
        <v>105</v>
      </c>
      <c r="C5909" t="s">
        <v>557</v>
      </c>
      <c r="D5909" s="452">
        <v>45627</v>
      </c>
      <c r="E5909">
        <v>23082</v>
      </c>
      <c r="F5909" t="s">
        <v>4904</v>
      </c>
      <c r="G5909">
        <v>2763</v>
      </c>
      <c r="H5909">
        <v>1.5</v>
      </c>
      <c r="I5909" t="s">
        <v>4744</v>
      </c>
      <c r="J5909" t="s">
        <v>5191</v>
      </c>
      <c r="K5909" t="s">
        <v>728</v>
      </c>
      <c r="L5909">
        <v>126.9</v>
      </c>
      <c r="M5909" s="452">
        <v>45615</v>
      </c>
      <c r="N5909">
        <v>126.9</v>
      </c>
      <c r="O5909">
        <v>126.9</v>
      </c>
      <c r="P5909">
        <v>190.35</v>
      </c>
    </row>
    <row r="5910" spans="1:16" x14ac:dyDescent="0.3">
      <c r="A5910">
        <v>10755</v>
      </c>
      <c r="B5910">
        <v>105</v>
      </c>
      <c r="C5910" t="s">
        <v>557</v>
      </c>
      <c r="D5910" s="452">
        <v>45627</v>
      </c>
      <c r="E5910">
        <v>25167</v>
      </c>
      <c r="F5910" t="s">
        <v>4758</v>
      </c>
      <c r="G5910">
        <v>5930</v>
      </c>
      <c r="H5910">
        <v>10</v>
      </c>
      <c r="I5910" t="s">
        <v>4744</v>
      </c>
      <c r="J5910" t="s">
        <v>5191</v>
      </c>
      <c r="K5910" t="s">
        <v>728</v>
      </c>
      <c r="L5910">
        <v>18.899999999999999</v>
      </c>
      <c r="M5910" s="452">
        <v>45616</v>
      </c>
      <c r="N5910">
        <v>18.899999999999999</v>
      </c>
      <c r="O5910">
        <v>18.899999999999999</v>
      </c>
      <c r="P5910">
        <v>189</v>
      </c>
    </row>
    <row r="5911" spans="1:16" x14ac:dyDescent="0.3">
      <c r="A5911">
        <v>10827</v>
      </c>
      <c r="B5911">
        <v>105</v>
      </c>
      <c r="C5911" t="s">
        <v>557</v>
      </c>
      <c r="D5911" s="452">
        <v>45627</v>
      </c>
      <c r="E5911">
        <v>19787</v>
      </c>
      <c r="F5911" t="s">
        <v>4793</v>
      </c>
      <c r="G5911">
        <v>2471</v>
      </c>
      <c r="H5911">
        <v>37.43</v>
      </c>
      <c r="I5911" t="s">
        <v>4744</v>
      </c>
      <c r="J5911" t="s">
        <v>5191</v>
      </c>
      <c r="K5911" t="s">
        <v>728</v>
      </c>
      <c r="L5911">
        <v>5.0199999999999996</v>
      </c>
      <c r="M5911" s="452">
        <v>45626</v>
      </c>
      <c r="N5911">
        <v>6.05</v>
      </c>
      <c r="O5911">
        <v>5.89</v>
      </c>
      <c r="P5911">
        <v>187.9</v>
      </c>
    </row>
    <row r="5912" spans="1:16" x14ac:dyDescent="0.3">
      <c r="A5912">
        <v>10728</v>
      </c>
      <c r="B5912">
        <v>105</v>
      </c>
      <c r="C5912" t="s">
        <v>557</v>
      </c>
      <c r="D5912" s="452">
        <v>45627</v>
      </c>
      <c r="E5912">
        <v>20752</v>
      </c>
      <c r="F5912" t="s">
        <v>5660</v>
      </c>
      <c r="G5912">
        <v>2088</v>
      </c>
      <c r="H5912">
        <v>1.7</v>
      </c>
      <c r="I5912" t="s">
        <v>4879</v>
      </c>
      <c r="J5912" t="s">
        <v>5191</v>
      </c>
      <c r="K5912" t="s">
        <v>728</v>
      </c>
      <c r="L5912">
        <v>0</v>
      </c>
      <c r="M5912" s="452">
        <v>45548</v>
      </c>
      <c r="N5912">
        <v>109.9</v>
      </c>
      <c r="O5912">
        <v>95.6</v>
      </c>
      <c r="P5912">
        <v>186.83</v>
      </c>
    </row>
    <row r="5913" spans="1:16" x14ac:dyDescent="0.3">
      <c r="A5913">
        <v>10727</v>
      </c>
      <c r="B5913">
        <v>105</v>
      </c>
      <c r="C5913" t="s">
        <v>557</v>
      </c>
      <c r="D5913" s="452">
        <v>45627</v>
      </c>
      <c r="E5913">
        <v>20747</v>
      </c>
      <c r="F5913" t="s">
        <v>5661</v>
      </c>
      <c r="G5913">
        <v>2088</v>
      </c>
      <c r="H5913">
        <v>2</v>
      </c>
      <c r="I5913" t="s">
        <v>4736</v>
      </c>
      <c r="J5913" t="s">
        <v>5191</v>
      </c>
      <c r="K5913" t="s">
        <v>728</v>
      </c>
      <c r="L5913">
        <v>0</v>
      </c>
      <c r="M5913" s="452">
        <v>45587</v>
      </c>
      <c r="N5913">
        <v>92.6</v>
      </c>
      <c r="O5913">
        <v>92.6</v>
      </c>
      <c r="P5913">
        <v>185.2</v>
      </c>
    </row>
    <row r="5914" spans="1:16" x14ac:dyDescent="0.3">
      <c r="A5914">
        <v>10976</v>
      </c>
      <c r="B5914">
        <v>105</v>
      </c>
      <c r="C5914" t="s">
        <v>557</v>
      </c>
      <c r="D5914" s="452">
        <v>45627</v>
      </c>
      <c r="E5914">
        <v>17783</v>
      </c>
      <c r="F5914" t="s">
        <v>5662</v>
      </c>
      <c r="G5914">
        <v>3760</v>
      </c>
      <c r="H5914">
        <v>4</v>
      </c>
      <c r="I5914" t="s">
        <v>4736</v>
      </c>
      <c r="J5914" t="s">
        <v>5222</v>
      </c>
      <c r="K5914" t="s">
        <v>728</v>
      </c>
      <c r="L5914">
        <v>0</v>
      </c>
      <c r="M5914" s="452">
        <v>45412</v>
      </c>
      <c r="N5914">
        <v>46</v>
      </c>
      <c r="O5914">
        <v>46</v>
      </c>
      <c r="P5914">
        <v>184</v>
      </c>
    </row>
    <row r="5915" spans="1:16" x14ac:dyDescent="0.3">
      <c r="A5915">
        <v>10983</v>
      </c>
      <c r="B5915">
        <v>105</v>
      </c>
      <c r="C5915" t="s">
        <v>557</v>
      </c>
      <c r="D5915" s="452">
        <v>45627</v>
      </c>
      <c r="E5915">
        <v>17649</v>
      </c>
      <c r="F5915" t="s">
        <v>5663</v>
      </c>
      <c r="G5915">
        <v>3880</v>
      </c>
      <c r="H5915">
        <v>4</v>
      </c>
      <c r="I5915" t="s">
        <v>4805</v>
      </c>
      <c r="J5915" t="s">
        <v>5222</v>
      </c>
      <c r="K5915" t="s">
        <v>728</v>
      </c>
      <c r="L5915">
        <v>46</v>
      </c>
      <c r="M5915" s="452">
        <v>45617</v>
      </c>
      <c r="N5915">
        <v>46</v>
      </c>
      <c r="O5915">
        <v>46</v>
      </c>
      <c r="P5915">
        <v>184</v>
      </c>
    </row>
    <row r="5916" spans="1:16" x14ac:dyDescent="0.3">
      <c r="A5916">
        <v>10984</v>
      </c>
      <c r="B5916">
        <v>105</v>
      </c>
      <c r="C5916" t="s">
        <v>557</v>
      </c>
      <c r="D5916" s="452">
        <v>45627</v>
      </c>
      <c r="E5916">
        <v>24642</v>
      </c>
      <c r="F5916" t="s">
        <v>5460</v>
      </c>
      <c r="G5916">
        <v>5692</v>
      </c>
      <c r="H5916">
        <v>4</v>
      </c>
      <c r="I5916" t="s">
        <v>4805</v>
      </c>
      <c r="J5916" t="s">
        <v>5222</v>
      </c>
      <c r="K5916" t="s">
        <v>728</v>
      </c>
      <c r="L5916">
        <v>0</v>
      </c>
      <c r="M5916" s="452">
        <v>45596</v>
      </c>
      <c r="N5916">
        <v>46</v>
      </c>
      <c r="O5916">
        <v>46</v>
      </c>
      <c r="P5916">
        <v>184</v>
      </c>
    </row>
    <row r="5917" spans="1:16" x14ac:dyDescent="0.3">
      <c r="A5917">
        <v>10672</v>
      </c>
      <c r="B5917">
        <v>105</v>
      </c>
      <c r="C5917" t="s">
        <v>557</v>
      </c>
      <c r="D5917" s="452">
        <v>45627</v>
      </c>
      <c r="E5917">
        <v>18394</v>
      </c>
      <c r="F5917" t="s">
        <v>5032</v>
      </c>
      <c r="G5917">
        <v>3246</v>
      </c>
      <c r="H5917">
        <v>1</v>
      </c>
      <c r="I5917" t="s">
        <v>4805</v>
      </c>
      <c r="J5917" t="s">
        <v>5222</v>
      </c>
      <c r="K5917" t="s">
        <v>728</v>
      </c>
      <c r="L5917">
        <v>0</v>
      </c>
      <c r="M5917" s="452">
        <v>45589</v>
      </c>
      <c r="N5917">
        <v>182</v>
      </c>
      <c r="O5917">
        <v>179.9</v>
      </c>
      <c r="P5917">
        <v>182</v>
      </c>
    </row>
    <row r="5918" spans="1:16" x14ac:dyDescent="0.3">
      <c r="A5918">
        <v>10943</v>
      </c>
      <c r="B5918">
        <v>105</v>
      </c>
      <c r="C5918" t="s">
        <v>557</v>
      </c>
      <c r="D5918" s="452">
        <v>45627</v>
      </c>
      <c r="E5918">
        <v>18668</v>
      </c>
      <c r="F5918" t="s">
        <v>5664</v>
      </c>
      <c r="G5918">
        <v>3051</v>
      </c>
      <c r="H5918">
        <v>8.75</v>
      </c>
      <c r="I5918" t="s">
        <v>4744</v>
      </c>
      <c r="J5918" t="s">
        <v>5191</v>
      </c>
      <c r="K5918" t="s">
        <v>728</v>
      </c>
      <c r="L5918">
        <v>0</v>
      </c>
      <c r="M5918" s="452">
        <v>45574</v>
      </c>
      <c r="N5918">
        <v>19.8</v>
      </c>
      <c r="O5918">
        <v>24.5</v>
      </c>
      <c r="P5918">
        <v>173.25</v>
      </c>
    </row>
    <row r="5919" spans="1:16" x14ac:dyDescent="0.3">
      <c r="A5919">
        <v>10686</v>
      </c>
      <c r="B5919">
        <v>105</v>
      </c>
      <c r="C5919" t="s">
        <v>557</v>
      </c>
      <c r="D5919" s="452">
        <v>45627</v>
      </c>
      <c r="E5919">
        <v>18233</v>
      </c>
      <c r="F5919" t="s">
        <v>4970</v>
      </c>
      <c r="G5919">
        <v>3395</v>
      </c>
      <c r="H5919">
        <v>2</v>
      </c>
      <c r="I5919" t="s">
        <v>4805</v>
      </c>
      <c r="J5919" t="s">
        <v>5222</v>
      </c>
      <c r="K5919" t="s">
        <v>728</v>
      </c>
      <c r="L5919">
        <v>0</v>
      </c>
      <c r="M5919" s="452">
        <v>45547</v>
      </c>
      <c r="N5919">
        <v>85.85</v>
      </c>
      <c r="O5919">
        <v>85.5</v>
      </c>
      <c r="P5919">
        <v>171.7</v>
      </c>
    </row>
    <row r="5920" spans="1:16" x14ac:dyDescent="0.3">
      <c r="A5920">
        <v>10988</v>
      </c>
      <c r="B5920">
        <v>105</v>
      </c>
      <c r="C5920" t="s">
        <v>557</v>
      </c>
      <c r="D5920" s="452">
        <v>45627</v>
      </c>
      <c r="E5920">
        <v>17658</v>
      </c>
      <c r="F5920" t="s">
        <v>4978</v>
      </c>
      <c r="G5920">
        <v>3871</v>
      </c>
      <c r="H5920">
        <v>3</v>
      </c>
      <c r="I5920" t="s">
        <v>4805</v>
      </c>
      <c r="J5920" t="s">
        <v>5222</v>
      </c>
      <c r="K5920" t="s">
        <v>728</v>
      </c>
      <c r="L5920">
        <v>0</v>
      </c>
      <c r="M5920" s="452">
        <v>45596</v>
      </c>
      <c r="N5920">
        <v>56</v>
      </c>
      <c r="O5920">
        <v>56</v>
      </c>
      <c r="P5920">
        <v>168</v>
      </c>
    </row>
    <row r="5921" spans="1:16" x14ac:dyDescent="0.3">
      <c r="A5921">
        <v>10811</v>
      </c>
      <c r="B5921">
        <v>105</v>
      </c>
      <c r="C5921" t="s">
        <v>557</v>
      </c>
      <c r="D5921" s="452">
        <v>45627</v>
      </c>
      <c r="E5921">
        <v>20623</v>
      </c>
      <c r="F5921" t="s">
        <v>4814</v>
      </c>
      <c r="G5921">
        <v>2116</v>
      </c>
      <c r="H5921">
        <v>16</v>
      </c>
      <c r="I5921" t="s">
        <v>4736</v>
      </c>
      <c r="J5921" t="s">
        <v>5191</v>
      </c>
      <c r="K5921" t="s">
        <v>728</v>
      </c>
      <c r="L5921">
        <v>10.25</v>
      </c>
      <c r="M5921" s="452">
        <v>45610</v>
      </c>
      <c r="N5921">
        <v>10.25</v>
      </c>
      <c r="O5921">
        <v>10.25</v>
      </c>
      <c r="P5921">
        <v>164</v>
      </c>
    </row>
    <row r="5922" spans="1:16" x14ac:dyDescent="0.3">
      <c r="A5922">
        <v>10655</v>
      </c>
      <c r="B5922">
        <v>105</v>
      </c>
      <c r="C5922" t="s">
        <v>557</v>
      </c>
      <c r="D5922" s="452">
        <v>45627</v>
      </c>
      <c r="E5922">
        <v>18579</v>
      </c>
      <c r="F5922" t="s">
        <v>5087</v>
      </c>
      <c r="G5922">
        <v>3106</v>
      </c>
      <c r="H5922">
        <v>1</v>
      </c>
      <c r="I5922" t="s">
        <v>4749</v>
      </c>
      <c r="J5922" t="s">
        <v>5222</v>
      </c>
      <c r="K5922" t="s">
        <v>728</v>
      </c>
      <c r="L5922">
        <v>0</v>
      </c>
      <c r="M5922" s="452">
        <v>45553</v>
      </c>
      <c r="N5922">
        <v>163.92</v>
      </c>
      <c r="O5922">
        <v>163.92</v>
      </c>
      <c r="P5922">
        <v>163.92</v>
      </c>
    </row>
    <row r="5923" spans="1:16" x14ac:dyDescent="0.3">
      <c r="A5923">
        <v>10713</v>
      </c>
      <c r="B5923">
        <v>105</v>
      </c>
      <c r="C5923" t="s">
        <v>557</v>
      </c>
      <c r="D5923" s="452">
        <v>45627</v>
      </c>
      <c r="E5923">
        <v>21102</v>
      </c>
      <c r="F5923" t="s">
        <v>5596</v>
      </c>
      <c r="G5923">
        <v>1985</v>
      </c>
      <c r="H5923">
        <v>34.53</v>
      </c>
      <c r="I5923" t="s">
        <v>4738</v>
      </c>
      <c r="J5923" t="s">
        <v>5191</v>
      </c>
      <c r="K5923" t="s">
        <v>728</v>
      </c>
      <c r="L5923">
        <v>0</v>
      </c>
      <c r="M5923" s="452">
        <v>45372</v>
      </c>
      <c r="N5923">
        <v>4.6900000000000004</v>
      </c>
      <c r="O5923">
        <v>4.6900000000000004</v>
      </c>
      <c r="P5923">
        <v>161.94999999999999</v>
      </c>
    </row>
    <row r="5924" spans="1:16" x14ac:dyDescent="0.3">
      <c r="A5924">
        <v>10974</v>
      </c>
      <c r="B5924">
        <v>105</v>
      </c>
      <c r="C5924" t="s">
        <v>557</v>
      </c>
      <c r="D5924" s="452">
        <v>45627</v>
      </c>
      <c r="E5924">
        <v>17814</v>
      </c>
      <c r="F5924" t="s">
        <v>5552</v>
      </c>
      <c r="G5924">
        <v>3735</v>
      </c>
      <c r="H5924">
        <v>3</v>
      </c>
      <c r="I5924" t="s">
        <v>4805</v>
      </c>
      <c r="J5924" t="s">
        <v>5222</v>
      </c>
      <c r="K5924" t="s">
        <v>728</v>
      </c>
      <c r="L5924">
        <v>0</v>
      </c>
      <c r="M5924" s="452">
        <v>45595</v>
      </c>
      <c r="N5924">
        <v>52.61</v>
      </c>
      <c r="O5924">
        <v>49.84</v>
      </c>
      <c r="P5924">
        <v>157.83000000000001</v>
      </c>
    </row>
    <row r="5925" spans="1:16" x14ac:dyDescent="0.3">
      <c r="A5925">
        <v>10739</v>
      </c>
      <c r="B5925">
        <v>105</v>
      </c>
      <c r="C5925" t="s">
        <v>557</v>
      </c>
      <c r="D5925" s="452">
        <v>45627</v>
      </c>
      <c r="E5925">
        <v>20060</v>
      </c>
      <c r="F5925" t="s">
        <v>5539</v>
      </c>
      <c r="G5925">
        <v>2324</v>
      </c>
      <c r="H5925">
        <v>4.34</v>
      </c>
      <c r="I5925" t="s">
        <v>4736</v>
      </c>
      <c r="J5925" t="s">
        <v>5191</v>
      </c>
      <c r="K5925" t="s">
        <v>728</v>
      </c>
      <c r="L5925">
        <v>36.15</v>
      </c>
      <c r="M5925" s="452">
        <v>45622</v>
      </c>
      <c r="N5925">
        <v>35.9</v>
      </c>
      <c r="O5925">
        <v>35.9</v>
      </c>
      <c r="P5925">
        <v>156.88999999999999</v>
      </c>
    </row>
    <row r="5926" spans="1:16" x14ac:dyDescent="0.3">
      <c r="A5926">
        <v>10700</v>
      </c>
      <c r="B5926">
        <v>105</v>
      </c>
      <c r="C5926" t="s">
        <v>557</v>
      </c>
      <c r="D5926" s="452">
        <v>45627</v>
      </c>
      <c r="E5926">
        <v>18111</v>
      </c>
      <c r="F5926" t="s">
        <v>5049</v>
      </c>
      <c r="G5926">
        <v>3500</v>
      </c>
      <c r="H5926">
        <v>1.8</v>
      </c>
      <c r="I5926" t="s">
        <v>4805</v>
      </c>
      <c r="J5926" t="s">
        <v>5222</v>
      </c>
      <c r="K5926" t="s">
        <v>728</v>
      </c>
      <c r="L5926">
        <v>0</v>
      </c>
      <c r="M5926" s="452">
        <v>45470</v>
      </c>
      <c r="N5926">
        <v>85.93</v>
      </c>
      <c r="O5926">
        <v>92.47</v>
      </c>
      <c r="P5926">
        <v>154.66999999999999</v>
      </c>
    </row>
    <row r="5927" spans="1:16" x14ac:dyDescent="0.3">
      <c r="A5927">
        <v>10648</v>
      </c>
      <c r="B5927">
        <v>105</v>
      </c>
      <c r="C5927" t="s">
        <v>557</v>
      </c>
      <c r="D5927" s="452">
        <v>45627</v>
      </c>
      <c r="E5927">
        <v>24973</v>
      </c>
      <c r="F5927" t="s">
        <v>4819</v>
      </c>
      <c r="G5927">
        <v>5845</v>
      </c>
      <c r="H5927">
        <v>1.17</v>
      </c>
      <c r="I5927" t="s">
        <v>4738</v>
      </c>
      <c r="J5927" t="s">
        <v>5222</v>
      </c>
      <c r="K5927" t="s">
        <v>728</v>
      </c>
      <c r="L5927">
        <v>0</v>
      </c>
      <c r="M5927" s="452">
        <v>45414</v>
      </c>
      <c r="N5927">
        <v>127.44</v>
      </c>
      <c r="O5927">
        <v>127.44</v>
      </c>
      <c r="P5927">
        <v>149.1</v>
      </c>
    </row>
    <row r="5928" spans="1:16" x14ac:dyDescent="0.3">
      <c r="A5928">
        <v>10986</v>
      </c>
      <c r="B5928">
        <v>105</v>
      </c>
      <c r="C5928" t="s">
        <v>557</v>
      </c>
      <c r="D5928" s="452">
        <v>45627</v>
      </c>
      <c r="E5928">
        <v>17728</v>
      </c>
      <c r="F5928" t="s">
        <v>5639</v>
      </c>
      <c r="G5928">
        <v>3813</v>
      </c>
      <c r="H5928">
        <v>3</v>
      </c>
      <c r="I5928" t="s">
        <v>4736</v>
      </c>
      <c r="J5928" t="s">
        <v>5222</v>
      </c>
      <c r="K5928" t="s">
        <v>728</v>
      </c>
      <c r="L5928">
        <v>0</v>
      </c>
      <c r="M5928" s="452">
        <v>45561</v>
      </c>
      <c r="N5928">
        <v>49.5</v>
      </c>
      <c r="O5928">
        <v>49.5</v>
      </c>
      <c r="P5928">
        <v>148.5</v>
      </c>
    </row>
    <row r="5929" spans="1:16" x14ac:dyDescent="0.3">
      <c r="A5929">
        <v>10801</v>
      </c>
      <c r="B5929">
        <v>105</v>
      </c>
      <c r="C5929" t="s">
        <v>557</v>
      </c>
      <c r="D5929" s="452">
        <v>45627</v>
      </c>
      <c r="E5929">
        <v>20443</v>
      </c>
      <c r="F5929" t="s">
        <v>5640</v>
      </c>
      <c r="G5929">
        <v>2174</v>
      </c>
      <c r="H5929">
        <v>2.65</v>
      </c>
      <c r="I5929" t="s">
        <v>4744</v>
      </c>
      <c r="J5929" t="s">
        <v>5191</v>
      </c>
      <c r="K5929" t="s">
        <v>728</v>
      </c>
      <c r="L5929">
        <v>56</v>
      </c>
      <c r="M5929" s="452">
        <v>45600</v>
      </c>
      <c r="N5929">
        <v>56</v>
      </c>
      <c r="O5929">
        <v>56</v>
      </c>
      <c r="P5929">
        <v>148.4</v>
      </c>
    </row>
    <row r="5930" spans="1:16" x14ac:dyDescent="0.3">
      <c r="A5930">
        <v>10869</v>
      </c>
      <c r="B5930">
        <v>105</v>
      </c>
      <c r="C5930" t="s">
        <v>557</v>
      </c>
      <c r="D5930" s="452">
        <v>45627</v>
      </c>
      <c r="E5930">
        <v>19740</v>
      </c>
      <c r="F5930" t="s">
        <v>4779</v>
      </c>
      <c r="G5930">
        <v>2513</v>
      </c>
      <c r="H5930">
        <v>13.45</v>
      </c>
      <c r="I5930" t="s">
        <v>4744</v>
      </c>
      <c r="J5930" t="s">
        <v>5191</v>
      </c>
      <c r="K5930" t="s">
        <v>728</v>
      </c>
      <c r="L5930">
        <v>11</v>
      </c>
      <c r="M5930" s="452">
        <v>45610</v>
      </c>
      <c r="N5930">
        <v>11</v>
      </c>
      <c r="O5930">
        <v>11.2</v>
      </c>
      <c r="P5930">
        <v>147.94999999999999</v>
      </c>
    </row>
    <row r="5931" spans="1:16" x14ac:dyDescent="0.3">
      <c r="A5931">
        <v>11023</v>
      </c>
      <c r="B5931">
        <v>105</v>
      </c>
      <c r="C5931" t="s">
        <v>557</v>
      </c>
      <c r="D5931" s="452">
        <v>45627</v>
      </c>
      <c r="E5931">
        <v>25758</v>
      </c>
      <c r="F5931" t="s">
        <v>4775</v>
      </c>
      <c r="G5931">
        <v>9066</v>
      </c>
      <c r="H5931">
        <v>21</v>
      </c>
      <c r="I5931" t="s">
        <v>4736</v>
      </c>
      <c r="J5931" t="s">
        <v>5191</v>
      </c>
      <c r="K5931" t="s">
        <v>728</v>
      </c>
      <c r="L5931">
        <v>0</v>
      </c>
      <c r="M5931" s="452">
        <v>-693593</v>
      </c>
      <c r="N5931">
        <v>0</v>
      </c>
      <c r="O5931">
        <v>0</v>
      </c>
      <c r="P5931">
        <v>146.79</v>
      </c>
    </row>
    <row r="5932" spans="1:16" x14ac:dyDescent="0.3">
      <c r="A5932">
        <v>11029</v>
      </c>
      <c r="B5932">
        <v>105</v>
      </c>
      <c r="C5932" t="s">
        <v>557</v>
      </c>
      <c r="D5932" s="452">
        <v>45627</v>
      </c>
      <c r="E5932">
        <v>20892</v>
      </c>
      <c r="F5932" t="s">
        <v>5665</v>
      </c>
      <c r="G5932">
        <v>2039</v>
      </c>
      <c r="H5932">
        <v>11</v>
      </c>
      <c r="I5932" t="s">
        <v>4736</v>
      </c>
      <c r="J5932" t="s">
        <v>5191</v>
      </c>
      <c r="K5932" t="s">
        <v>728</v>
      </c>
      <c r="L5932">
        <v>0</v>
      </c>
      <c r="M5932" s="452">
        <v>-693593</v>
      </c>
      <c r="N5932">
        <v>0</v>
      </c>
      <c r="O5932">
        <v>13.2</v>
      </c>
      <c r="P5932">
        <v>145.19999999999999</v>
      </c>
    </row>
    <row r="5933" spans="1:16" x14ac:dyDescent="0.3">
      <c r="A5933">
        <v>10915</v>
      </c>
      <c r="B5933">
        <v>105</v>
      </c>
      <c r="C5933" t="s">
        <v>557</v>
      </c>
      <c r="D5933" s="452">
        <v>45627</v>
      </c>
      <c r="E5933">
        <v>19092</v>
      </c>
      <c r="F5933" t="s">
        <v>5627</v>
      </c>
      <c r="G5933">
        <v>2855</v>
      </c>
      <c r="H5933">
        <v>67</v>
      </c>
      <c r="I5933" t="s">
        <v>4736</v>
      </c>
      <c r="J5933" t="s">
        <v>5191</v>
      </c>
      <c r="K5933" t="s">
        <v>728</v>
      </c>
      <c r="L5933">
        <v>0</v>
      </c>
      <c r="M5933" s="452">
        <v>-693593</v>
      </c>
      <c r="N5933">
        <v>0</v>
      </c>
      <c r="O5933">
        <v>2.16</v>
      </c>
      <c r="P5933">
        <v>144.72</v>
      </c>
    </row>
    <row r="5934" spans="1:16" x14ac:dyDescent="0.3">
      <c r="A5934">
        <v>10865</v>
      </c>
      <c r="B5934">
        <v>105</v>
      </c>
      <c r="C5934" t="s">
        <v>557</v>
      </c>
      <c r="D5934" s="452">
        <v>45627</v>
      </c>
      <c r="E5934">
        <v>24326</v>
      </c>
      <c r="F5934" t="s">
        <v>4767</v>
      </c>
      <c r="G5934">
        <v>2499</v>
      </c>
      <c r="H5934">
        <v>25.99</v>
      </c>
      <c r="I5934" t="s">
        <v>4744</v>
      </c>
      <c r="J5934" t="s">
        <v>5191</v>
      </c>
      <c r="K5934" t="s">
        <v>728</v>
      </c>
      <c r="L5934">
        <v>5.5</v>
      </c>
      <c r="M5934" s="452">
        <v>45621</v>
      </c>
      <c r="N5934">
        <v>5.5</v>
      </c>
      <c r="O5934">
        <v>5.5</v>
      </c>
      <c r="P5934">
        <v>142.94</v>
      </c>
    </row>
    <row r="5935" spans="1:16" x14ac:dyDescent="0.3">
      <c r="A5935">
        <v>10667</v>
      </c>
      <c r="B5935">
        <v>105</v>
      </c>
      <c r="C5935" t="s">
        <v>557</v>
      </c>
      <c r="D5935" s="452">
        <v>45627</v>
      </c>
      <c r="E5935">
        <v>18493</v>
      </c>
      <c r="F5935" t="s">
        <v>5553</v>
      </c>
      <c r="G5935">
        <v>3164</v>
      </c>
      <c r="H5935">
        <v>2</v>
      </c>
      <c r="I5935" t="s">
        <v>4805</v>
      </c>
      <c r="J5935" t="s">
        <v>5222</v>
      </c>
      <c r="K5935" t="s">
        <v>728</v>
      </c>
      <c r="L5935">
        <v>0</v>
      </c>
      <c r="M5935" s="452">
        <v>-693593</v>
      </c>
      <c r="N5935">
        <v>0</v>
      </c>
      <c r="O5935">
        <v>69.900000000000006</v>
      </c>
      <c r="P5935">
        <v>139.80000000000001</v>
      </c>
    </row>
    <row r="5936" spans="1:16" x14ac:dyDescent="0.3">
      <c r="A5936">
        <v>10975</v>
      </c>
      <c r="B5936">
        <v>105</v>
      </c>
      <c r="C5936" t="s">
        <v>557</v>
      </c>
      <c r="D5936" s="452">
        <v>45627</v>
      </c>
      <c r="E5936">
        <v>17790</v>
      </c>
      <c r="F5936" t="s">
        <v>5530</v>
      </c>
      <c r="G5936">
        <v>3754</v>
      </c>
      <c r="H5936">
        <v>2</v>
      </c>
      <c r="I5936" t="s">
        <v>4805</v>
      </c>
      <c r="J5936" t="s">
        <v>5222</v>
      </c>
      <c r="K5936" t="s">
        <v>728</v>
      </c>
      <c r="L5936">
        <v>0</v>
      </c>
      <c r="M5936" s="452">
        <v>45554</v>
      </c>
      <c r="N5936">
        <v>69.650000000000006</v>
      </c>
      <c r="O5936">
        <v>69.650000000000006</v>
      </c>
      <c r="P5936">
        <v>139.30000000000001</v>
      </c>
    </row>
    <row r="5937" spans="1:16" x14ac:dyDescent="0.3">
      <c r="A5937">
        <v>10982</v>
      </c>
      <c r="B5937">
        <v>105</v>
      </c>
      <c r="C5937" t="s">
        <v>557</v>
      </c>
      <c r="D5937" s="452">
        <v>45627</v>
      </c>
      <c r="E5937">
        <v>17674</v>
      </c>
      <c r="F5937" t="s">
        <v>5666</v>
      </c>
      <c r="G5937">
        <v>3855</v>
      </c>
      <c r="H5937">
        <v>2</v>
      </c>
      <c r="I5937" t="s">
        <v>4805</v>
      </c>
      <c r="J5937" t="s">
        <v>5222</v>
      </c>
      <c r="K5937" t="s">
        <v>728</v>
      </c>
      <c r="L5937">
        <v>0</v>
      </c>
      <c r="M5937" s="452">
        <v>45595</v>
      </c>
      <c r="N5937">
        <v>69.650000000000006</v>
      </c>
      <c r="O5937">
        <v>69.64</v>
      </c>
      <c r="P5937">
        <v>139.30000000000001</v>
      </c>
    </row>
    <row r="5938" spans="1:16" x14ac:dyDescent="0.3">
      <c r="A5938">
        <v>10729</v>
      </c>
      <c r="B5938">
        <v>105</v>
      </c>
      <c r="C5938" t="s">
        <v>557</v>
      </c>
      <c r="D5938" s="452">
        <v>45627</v>
      </c>
      <c r="E5938">
        <v>20739</v>
      </c>
      <c r="F5938" t="s">
        <v>5459</v>
      </c>
      <c r="G5938">
        <v>2090</v>
      </c>
      <c r="H5938">
        <v>1.9</v>
      </c>
      <c r="I5938" t="s">
        <v>4736</v>
      </c>
      <c r="J5938" t="s">
        <v>5191</v>
      </c>
      <c r="K5938" t="s">
        <v>728</v>
      </c>
      <c r="L5938">
        <v>0</v>
      </c>
      <c r="M5938" s="452">
        <v>45561</v>
      </c>
      <c r="N5938">
        <v>72.989999999999995</v>
      </c>
      <c r="O5938">
        <v>0</v>
      </c>
      <c r="P5938">
        <v>138.68</v>
      </c>
    </row>
    <row r="5939" spans="1:16" x14ac:dyDescent="0.3">
      <c r="A5939">
        <v>10738</v>
      </c>
      <c r="B5939">
        <v>105</v>
      </c>
      <c r="C5939" t="s">
        <v>557</v>
      </c>
      <c r="D5939" s="452">
        <v>45627</v>
      </c>
      <c r="E5939">
        <v>20054</v>
      </c>
      <c r="F5939" t="s">
        <v>4856</v>
      </c>
      <c r="G5939">
        <v>2325</v>
      </c>
      <c r="H5939">
        <v>12</v>
      </c>
      <c r="I5939" t="s">
        <v>4736</v>
      </c>
      <c r="J5939" t="s">
        <v>5191</v>
      </c>
      <c r="K5939" t="s">
        <v>728</v>
      </c>
      <c r="L5939">
        <v>11.55</v>
      </c>
      <c r="M5939" s="452">
        <v>45600</v>
      </c>
      <c r="N5939">
        <v>11.55</v>
      </c>
      <c r="O5939">
        <v>11.29</v>
      </c>
      <c r="P5939">
        <v>138.6</v>
      </c>
    </row>
    <row r="5940" spans="1:16" x14ac:dyDescent="0.3">
      <c r="A5940">
        <v>10691</v>
      </c>
      <c r="B5940">
        <v>105</v>
      </c>
      <c r="C5940" t="s">
        <v>557</v>
      </c>
      <c r="D5940" s="452">
        <v>45627</v>
      </c>
      <c r="E5940">
        <v>18194</v>
      </c>
      <c r="F5940" t="s">
        <v>4923</v>
      </c>
      <c r="G5940">
        <v>3430</v>
      </c>
      <c r="H5940">
        <v>2</v>
      </c>
      <c r="I5940" t="s">
        <v>4805</v>
      </c>
      <c r="J5940" t="s">
        <v>5222</v>
      </c>
      <c r="K5940" t="s">
        <v>728</v>
      </c>
      <c r="L5940">
        <v>68.900000000000006</v>
      </c>
      <c r="M5940" s="452">
        <v>45616</v>
      </c>
      <c r="N5940">
        <v>68.900000000000006</v>
      </c>
      <c r="O5940">
        <v>68.900000000000006</v>
      </c>
      <c r="P5940">
        <v>137.80000000000001</v>
      </c>
    </row>
    <row r="5941" spans="1:16" x14ac:dyDescent="0.3">
      <c r="A5941">
        <v>10913</v>
      </c>
      <c r="B5941">
        <v>105</v>
      </c>
      <c r="C5941" t="s">
        <v>557</v>
      </c>
      <c r="D5941" s="452">
        <v>45627</v>
      </c>
      <c r="E5941">
        <v>24451</v>
      </c>
      <c r="F5941" t="s">
        <v>5633</v>
      </c>
      <c r="G5941">
        <v>2778</v>
      </c>
      <c r="H5941">
        <v>3.1</v>
      </c>
      <c r="I5941" t="s">
        <v>4744</v>
      </c>
      <c r="J5941" t="s">
        <v>5191</v>
      </c>
      <c r="K5941" t="s">
        <v>728</v>
      </c>
      <c r="L5941">
        <v>0</v>
      </c>
      <c r="M5941" s="452">
        <v>45519</v>
      </c>
      <c r="N5941">
        <v>44</v>
      </c>
      <c r="O5941">
        <v>44</v>
      </c>
      <c r="P5941">
        <v>136.4</v>
      </c>
    </row>
    <row r="5942" spans="1:16" x14ac:dyDescent="0.3">
      <c r="A5942">
        <v>10798</v>
      </c>
      <c r="B5942">
        <v>105</v>
      </c>
      <c r="C5942" t="s">
        <v>557</v>
      </c>
      <c r="D5942" s="452">
        <v>45627</v>
      </c>
      <c r="E5942">
        <v>19979</v>
      </c>
      <c r="F5942" t="s">
        <v>5270</v>
      </c>
      <c r="G5942">
        <v>2353</v>
      </c>
      <c r="H5942">
        <v>9</v>
      </c>
      <c r="I5942" t="s">
        <v>4888</v>
      </c>
      <c r="J5942" t="s">
        <v>5191</v>
      </c>
      <c r="K5942" t="s">
        <v>728</v>
      </c>
      <c r="L5942">
        <v>15.12</v>
      </c>
      <c r="M5942" s="452">
        <v>45622</v>
      </c>
      <c r="N5942">
        <v>14.99</v>
      </c>
      <c r="O5942">
        <v>15.1</v>
      </c>
      <c r="P5942">
        <v>136.08000000000001</v>
      </c>
    </row>
    <row r="5943" spans="1:16" x14ac:dyDescent="0.3">
      <c r="A5943">
        <v>10742</v>
      </c>
      <c r="B5943">
        <v>105</v>
      </c>
      <c r="C5943" t="s">
        <v>557</v>
      </c>
      <c r="D5943" s="452">
        <v>45627</v>
      </c>
      <c r="E5943">
        <v>20941</v>
      </c>
      <c r="F5943" t="s">
        <v>5667</v>
      </c>
      <c r="G5943">
        <v>2031</v>
      </c>
      <c r="H5943">
        <v>1</v>
      </c>
      <c r="I5943" t="s">
        <v>4738</v>
      </c>
      <c r="J5943" t="s">
        <v>5191</v>
      </c>
      <c r="K5943" t="s">
        <v>728</v>
      </c>
      <c r="L5943">
        <v>135.5</v>
      </c>
      <c r="M5943" s="452">
        <v>45616</v>
      </c>
      <c r="N5943">
        <v>135.5</v>
      </c>
      <c r="O5943">
        <v>139.9</v>
      </c>
      <c r="P5943">
        <v>135.5</v>
      </c>
    </row>
    <row r="5944" spans="1:16" x14ac:dyDescent="0.3">
      <c r="A5944">
        <v>10856</v>
      </c>
      <c r="B5944">
        <v>105</v>
      </c>
      <c r="C5944" t="s">
        <v>557</v>
      </c>
      <c r="D5944" s="452">
        <v>45627</v>
      </c>
      <c r="E5944">
        <v>19842</v>
      </c>
      <c r="F5944" t="s">
        <v>5300</v>
      </c>
      <c r="G5944">
        <v>2425</v>
      </c>
      <c r="H5944">
        <v>2.5299999999999998</v>
      </c>
      <c r="I5944" t="s">
        <v>4744</v>
      </c>
      <c r="J5944" t="s">
        <v>5191</v>
      </c>
      <c r="K5944" t="s">
        <v>728</v>
      </c>
      <c r="L5944">
        <v>53.46</v>
      </c>
      <c r="M5944" s="452">
        <v>45624</v>
      </c>
      <c r="N5944">
        <v>52</v>
      </c>
      <c r="O5944">
        <v>40.5</v>
      </c>
      <c r="P5944">
        <v>135.25</v>
      </c>
    </row>
    <row r="5945" spans="1:16" x14ac:dyDescent="0.3">
      <c r="A5945">
        <v>10652</v>
      </c>
      <c r="B5945">
        <v>105</v>
      </c>
      <c r="C5945" t="s">
        <v>557</v>
      </c>
      <c r="D5945" s="452">
        <v>45627</v>
      </c>
      <c r="E5945">
        <v>24977</v>
      </c>
      <c r="F5945" t="s">
        <v>5538</v>
      </c>
      <c r="G5945">
        <v>5847</v>
      </c>
      <c r="H5945">
        <v>2</v>
      </c>
      <c r="I5945" t="s">
        <v>4738</v>
      </c>
      <c r="J5945" t="s">
        <v>5222</v>
      </c>
      <c r="K5945" t="s">
        <v>728</v>
      </c>
      <c r="L5945">
        <v>0</v>
      </c>
      <c r="M5945" s="452">
        <v>45580</v>
      </c>
      <c r="N5945">
        <v>67.180000000000007</v>
      </c>
      <c r="O5945">
        <v>67.180000000000007</v>
      </c>
      <c r="P5945">
        <v>134.36000000000001</v>
      </c>
    </row>
    <row r="5946" spans="1:16" x14ac:dyDescent="0.3">
      <c r="A5946">
        <v>10743</v>
      </c>
      <c r="B5946">
        <v>105</v>
      </c>
      <c r="C5946" t="s">
        <v>557</v>
      </c>
      <c r="D5946" s="452">
        <v>45627</v>
      </c>
      <c r="E5946">
        <v>20939</v>
      </c>
      <c r="F5946" t="s">
        <v>5668</v>
      </c>
      <c r="G5946">
        <v>2031</v>
      </c>
      <c r="H5946">
        <v>1</v>
      </c>
      <c r="I5946" t="s">
        <v>4738</v>
      </c>
      <c r="J5946" t="s">
        <v>5191</v>
      </c>
      <c r="K5946" t="s">
        <v>728</v>
      </c>
      <c r="L5946">
        <v>0</v>
      </c>
      <c r="M5946" s="452">
        <v>45561</v>
      </c>
      <c r="N5946">
        <v>0</v>
      </c>
      <c r="O5946">
        <v>132.9</v>
      </c>
      <c r="P5946">
        <v>132.9</v>
      </c>
    </row>
    <row r="5947" spans="1:16" x14ac:dyDescent="0.3">
      <c r="A5947">
        <v>11019</v>
      </c>
      <c r="B5947">
        <v>105</v>
      </c>
      <c r="C5947" t="s">
        <v>557</v>
      </c>
      <c r="D5947" s="452">
        <v>45627</v>
      </c>
      <c r="E5947">
        <v>25761</v>
      </c>
      <c r="F5947" t="s">
        <v>4789</v>
      </c>
      <c r="G5947">
        <v>6312</v>
      </c>
      <c r="H5947">
        <v>19</v>
      </c>
      <c r="I5947" t="s">
        <v>4736</v>
      </c>
      <c r="J5947" t="s">
        <v>5191</v>
      </c>
      <c r="K5947" t="s">
        <v>728</v>
      </c>
      <c r="L5947">
        <v>0</v>
      </c>
      <c r="M5947" s="452">
        <v>-693593</v>
      </c>
      <c r="N5947">
        <v>0</v>
      </c>
      <c r="O5947">
        <v>0</v>
      </c>
      <c r="P5947">
        <v>132.81</v>
      </c>
    </row>
    <row r="5948" spans="1:16" x14ac:dyDescent="0.3">
      <c r="A5948">
        <v>10920</v>
      </c>
      <c r="B5948">
        <v>105</v>
      </c>
      <c r="C5948" t="s">
        <v>557</v>
      </c>
      <c r="D5948" s="452">
        <v>45627</v>
      </c>
      <c r="E5948">
        <v>24809</v>
      </c>
      <c r="F5948" t="s">
        <v>5669</v>
      </c>
      <c r="G5948">
        <v>5770</v>
      </c>
      <c r="H5948">
        <v>1.35</v>
      </c>
      <c r="I5948" t="s">
        <v>4744</v>
      </c>
      <c r="J5948" t="s">
        <v>5191</v>
      </c>
      <c r="K5948" t="s">
        <v>728</v>
      </c>
      <c r="L5948">
        <v>0</v>
      </c>
      <c r="M5948" s="452">
        <v>-693593</v>
      </c>
      <c r="N5948">
        <v>0</v>
      </c>
      <c r="O5948">
        <v>98</v>
      </c>
      <c r="P5948">
        <v>132.30000000000001</v>
      </c>
    </row>
    <row r="5949" spans="1:16" x14ac:dyDescent="0.3">
      <c r="A5949">
        <v>10925</v>
      </c>
      <c r="B5949">
        <v>105</v>
      </c>
      <c r="C5949" t="s">
        <v>557</v>
      </c>
      <c r="D5949" s="452">
        <v>45627</v>
      </c>
      <c r="E5949">
        <v>19045</v>
      </c>
      <c r="F5949" t="s">
        <v>5630</v>
      </c>
      <c r="G5949">
        <v>2889</v>
      </c>
      <c r="H5949">
        <v>4</v>
      </c>
      <c r="I5949" t="s">
        <v>4744</v>
      </c>
      <c r="J5949" t="s">
        <v>5191</v>
      </c>
      <c r="K5949" t="s">
        <v>728</v>
      </c>
      <c r="L5949">
        <v>0</v>
      </c>
      <c r="M5949" s="452">
        <v>45553</v>
      </c>
      <c r="N5949">
        <v>31.88</v>
      </c>
      <c r="O5949">
        <v>31.88</v>
      </c>
      <c r="P5949">
        <v>127.52</v>
      </c>
    </row>
    <row r="5950" spans="1:16" x14ac:dyDescent="0.3">
      <c r="A5950">
        <v>10985</v>
      </c>
      <c r="B5950">
        <v>105</v>
      </c>
      <c r="C5950" t="s">
        <v>557</v>
      </c>
      <c r="D5950" s="452">
        <v>45627</v>
      </c>
      <c r="E5950">
        <v>17665</v>
      </c>
      <c r="F5950" t="s">
        <v>5670</v>
      </c>
      <c r="G5950">
        <v>3865</v>
      </c>
      <c r="H5950">
        <v>2</v>
      </c>
      <c r="I5950" t="s">
        <v>4805</v>
      </c>
      <c r="J5950" t="s">
        <v>5222</v>
      </c>
      <c r="K5950" t="s">
        <v>728</v>
      </c>
      <c r="L5950">
        <v>0</v>
      </c>
      <c r="M5950" s="452">
        <v>45504</v>
      </c>
      <c r="N5950">
        <v>61</v>
      </c>
      <c r="O5950">
        <v>61</v>
      </c>
      <c r="P5950">
        <v>122</v>
      </c>
    </row>
    <row r="5951" spans="1:16" x14ac:dyDescent="0.3">
      <c r="A5951">
        <v>11031</v>
      </c>
      <c r="B5951">
        <v>105</v>
      </c>
      <c r="C5951" t="s">
        <v>557</v>
      </c>
      <c r="D5951" s="452">
        <v>45627</v>
      </c>
      <c r="E5951">
        <v>20716</v>
      </c>
      <c r="F5951" t="s">
        <v>5053</v>
      </c>
      <c r="G5951">
        <v>2098</v>
      </c>
      <c r="H5951">
        <v>1</v>
      </c>
      <c r="I5951" t="s">
        <v>4744</v>
      </c>
      <c r="J5951" t="s">
        <v>5191</v>
      </c>
      <c r="K5951" t="s">
        <v>728</v>
      </c>
      <c r="L5951">
        <v>0</v>
      </c>
      <c r="M5951" s="452">
        <v>-693593</v>
      </c>
      <c r="N5951">
        <v>0</v>
      </c>
      <c r="O5951">
        <v>0</v>
      </c>
      <c r="P5951">
        <v>119.53</v>
      </c>
    </row>
    <row r="5952" spans="1:16" x14ac:dyDescent="0.3">
      <c r="A5952">
        <v>10978</v>
      </c>
      <c r="B5952">
        <v>105</v>
      </c>
      <c r="C5952" t="s">
        <v>557</v>
      </c>
      <c r="D5952" s="452">
        <v>45627</v>
      </c>
      <c r="E5952">
        <v>24640</v>
      </c>
      <c r="F5952" t="s">
        <v>5585</v>
      </c>
      <c r="G5952">
        <v>5691</v>
      </c>
      <c r="H5952">
        <v>2</v>
      </c>
      <c r="I5952" t="s">
        <v>4805</v>
      </c>
      <c r="J5952" t="s">
        <v>5222</v>
      </c>
      <c r="K5952" t="s">
        <v>728</v>
      </c>
      <c r="L5952">
        <v>0</v>
      </c>
      <c r="M5952" s="452">
        <v>45432</v>
      </c>
      <c r="N5952">
        <v>59</v>
      </c>
      <c r="O5952">
        <v>59</v>
      </c>
      <c r="P5952">
        <v>118</v>
      </c>
    </row>
    <row r="5953" spans="1:16" x14ac:dyDescent="0.3">
      <c r="A5953">
        <v>10893</v>
      </c>
      <c r="B5953">
        <v>105</v>
      </c>
      <c r="C5953" t="s">
        <v>557</v>
      </c>
      <c r="D5953" s="452">
        <v>45627</v>
      </c>
      <c r="E5953">
        <v>19541</v>
      </c>
      <c r="F5953" t="s">
        <v>5517</v>
      </c>
      <c r="G5953">
        <v>2675</v>
      </c>
      <c r="H5953">
        <v>19.309999999999999</v>
      </c>
      <c r="I5953" t="s">
        <v>4744</v>
      </c>
      <c r="J5953" t="s">
        <v>5191</v>
      </c>
      <c r="K5953" t="s">
        <v>728</v>
      </c>
      <c r="L5953">
        <v>0</v>
      </c>
      <c r="M5953" s="452">
        <v>45576</v>
      </c>
      <c r="N5953">
        <v>6.1</v>
      </c>
      <c r="O5953">
        <v>4.5999999999999996</v>
      </c>
      <c r="P5953">
        <v>117.79</v>
      </c>
    </row>
    <row r="5954" spans="1:16" x14ac:dyDescent="0.3">
      <c r="A5954">
        <v>10696</v>
      </c>
      <c r="B5954">
        <v>105</v>
      </c>
      <c r="C5954" t="s">
        <v>557</v>
      </c>
      <c r="D5954" s="452">
        <v>45627</v>
      </c>
      <c r="E5954">
        <v>18129</v>
      </c>
      <c r="F5954" t="s">
        <v>5043</v>
      </c>
      <c r="G5954">
        <v>3486</v>
      </c>
      <c r="H5954">
        <v>1</v>
      </c>
      <c r="I5954" t="s">
        <v>4805</v>
      </c>
      <c r="J5954" t="s">
        <v>5222</v>
      </c>
      <c r="K5954" t="s">
        <v>728</v>
      </c>
      <c r="L5954">
        <v>0</v>
      </c>
      <c r="M5954" s="452">
        <v>45574</v>
      </c>
      <c r="N5954">
        <v>116.9</v>
      </c>
      <c r="O5954">
        <v>111.9</v>
      </c>
      <c r="P5954">
        <v>116.9</v>
      </c>
    </row>
    <row r="5955" spans="1:16" x14ac:dyDescent="0.3">
      <c r="A5955">
        <v>10681</v>
      </c>
      <c r="B5955">
        <v>105</v>
      </c>
      <c r="C5955" t="s">
        <v>557</v>
      </c>
      <c r="D5955" s="452">
        <v>45627</v>
      </c>
      <c r="E5955">
        <v>18312</v>
      </c>
      <c r="F5955" t="s">
        <v>5037</v>
      </c>
      <c r="G5955">
        <v>3321</v>
      </c>
      <c r="H5955">
        <v>1</v>
      </c>
      <c r="I5955" t="s">
        <v>4805</v>
      </c>
      <c r="J5955" t="s">
        <v>5222</v>
      </c>
      <c r="K5955" t="s">
        <v>728</v>
      </c>
      <c r="L5955">
        <v>0</v>
      </c>
      <c r="M5955" s="452">
        <v>-693593</v>
      </c>
      <c r="N5955">
        <v>0</v>
      </c>
      <c r="O5955">
        <v>116.89</v>
      </c>
      <c r="P5955">
        <v>116.89</v>
      </c>
    </row>
    <row r="5956" spans="1:16" x14ac:dyDescent="0.3">
      <c r="A5956">
        <v>10646</v>
      </c>
      <c r="B5956">
        <v>105</v>
      </c>
      <c r="C5956" t="s">
        <v>557</v>
      </c>
      <c r="D5956" s="452">
        <v>45627</v>
      </c>
      <c r="E5956">
        <v>25561</v>
      </c>
      <c r="F5956" t="s">
        <v>5095</v>
      </c>
      <c r="G5956">
        <v>6169</v>
      </c>
      <c r="H5956">
        <v>0.79</v>
      </c>
      <c r="I5956" t="s">
        <v>4738</v>
      </c>
      <c r="J5956" t="s">
        <v>5222</v>
      </c>
      <c r="K5956" t="s">
        <v>728</v>
      </c>
      <c r="L5956">
        <v>146.80000000000001</v>
      </c>
      <c r="M5956" s="452">
        <v>45601</v>
      </c>
      <c r="N5956">
        <v>146.80000000000001</v>
      </c>
      <c r="O5956">
        <v>146.80000000000001</v>
      </c>
      <c r="P5956">
        <v>115.97</v>
      </c>
    </row>
    <row r="5957" spans="1:16" x14ac:dyDescent="0.3">
      <c r="A5957">
        <v>10960</v>
      </c>
      <c r="B5957">
        <v>105</v>
      </c>
      <c r="C5957" t="s">
        <v>557</v>
      </c>
      <c r="D5957" s="452">
        <v>45627</v>
      </c>
      <c r="E5957">
        <v>24226</v>
      </c>
      <c r="F5957" t="s">
        <v>4795</v>
      </c>
      <c r="G5957">
        <v>3647</v>
      </c>
      <c r="H5957">
        <v>18</v>
      </c>
      <c r="I5957" t="s">
        <v>4736</v>
      </c>
      <c r="J5957" t="s">
        <v>5222</v>
      </c>
      <c r="K5957" t="s">
        <v>728</v>
      </c>
      <c r="L5957">
        <v>0</v>
      </c>
      <c r="M5957" s="452">
        <v>45532</v>
      </c>
      <c r="N5957">
        <v>6.42</v>
      </c>
      <c r="O5957">
        <v>6.82</v>
      </c>
      <c r="P5957">
        <v>115.56</v>
      </c>
    </row>
    <row r="5958" spans="1:16" x14ac:dyDescent="0.3">
      <c r="A5958">
        <v>10695</v>
      </c>
      <c r="B5958">
        <v>105</v>
      </c>
      <c r="C5958" t="s">
        <v>557</v>
      </c>
      <c r="D5958" s="452">
        <v>45627</v>
      </c>
      <c r="E5958">
        <v>18147</v>
      </c>
      <c r="F5958" t="s">
        <v>5042</v>
      </c>
      <c r="G5958">
        <v>3471</v>
      </c>
      <c r="H5958">
        <v>1</v>
      </c>
      <c r="I5958" t="s">
        <v>4805</v>
      </c>
      <c r="J5958" t="s">
        <v>5222</v>
      </c>
      <c r="K5958" t="s">
        <v>728</v>
      </c>
      <c r="L5958">
        <v>0</v>
      </c>
      <c r="M5958" s="452">
        <v>45427</v>
      </c>
      <c r="N5958">
        <v>115</v>
      </c>
      <c r="O5958">
        <v>113.9</v>
      </c>
      <c r="P5958">
        <v>115</v>
      </c>
    </row>
    <row r="5959" spans="1:16" x14ac:dyDescent="0.3">
      <c r="A5959">
        <v>10665</v>
      </c>
      <c r="B5959">
        <v>105</v>
      </c>
      <c r="C5959" t="s">
        <v>557</v>
      </c>
      <c r="D5959" s="452">
        <v>45627</v>
      </c>
      <c r="E5959">
        <v>18538</v>
      </c>
      <c r="F5959" t="s">
        <v>5030</v>
      </c>
      <c r="G5959">
        <v>3139</v>
      </c>
      <c r="H5959">
        <v>1</v>
      </c>
      <c r="I5959" t="s">
        <v>4805</v>
      </c>
      <c r="J5959" t="s">
        <v>5222</v>
      </c>
      <c r="K5959" t="s">
        <v>728</v>
      </c>
      <c r="L5959">
        <v>0</v>
      </c>
      <c r="M5959" s="452">
        <v>45462</v>
      </c>
      <c r="N5959">
        <v>112.9</v>
      </c>
      <c r="O5959">
        <v>98.9</v>
      </c>
      <c r="P5959">
        <v>112.9</v>
      </c>
    </row>
    <row r="5960" spans="1:16" x14ac:dyDescent="0.3">
      <c r="A5960">
        <v>10962</v>
      </c>
      <c r="B5960">
        <v>105</v>
      </c>
      <c r="C5960" t="s">
        <v>557</v>
      </c>
      <c r="D5960" s="452">
        <v>45627</v>
      </c>
      <c r="E5960">
        <v>24227</v>
      </c>
      <c r="F5960" t="s">
        <v>4806</v>
      </c>
      <c r="G5960">
        <v>3648</v>
      </c>
      <c r="H5960">
        <v>17</v>
      </c>
      <c r="I5960" t="s">
        <v>4736</v>
      </c>
      <c r="J5960" t="s">
        <v>5222</v>
      </c>
      <c r="K5960" t="s">
        <v>728</v>
      </c>
      <c r="L5960">
        <v>0</v>
      </c>
      <c r="M5960" s="452">
        <v>45393</v>
      </c>
      <c r="N5960">
        <v>6.42</v>
      </c>
      <c r="O5960">
        <v>6.82</v>
      </c>
      <c r="P5960">
        <v>109.14</v>
      </c>
    </row>
    <row r="5961" spans="1:16" x14ac:dyDescent="0.3">
      <c r="A5961">
        <v>10803</v>
      </c>
      <c r="B5961">
        <v>105</v>
      </c>
      <c r="C5961" t="s">
        <v>557</v>
      </c>
      <c r="D5961" s="452">
        <v>45627</v>
      </c>
      <c r="E5961">
        <v>19965</v>
      </c>
      <c r="F5961" t="s">
        <v>5251</v>
      </c>
      <c r="G5961">
        <v>2356</v>
      </c>
      <c r="H5961">
        <v>8</v>
      </c>
      <c r="I5961" t="s">
        <v>4736</v>
      </c>
      <c r="J5961" t="s">
        <v>5191</v>
      </c>
      <c r="K5961" t="s">
        <v>728</v>
      </c>
      <c r="L5961">
        <v>13.6</v>
      </c>
      <c r="M5961" s="452">
        <v>45600</v>
      </c>
      <c r="N5961">
        <v>13.6</v>
      </c>
      <c r="O5961">
        <v>13.42</v>
      </c>
      <c r="P5961">
        <v>108.8</v>
      </c>
    </row>
    <row r="5962" spans="1:16" x14ac:dyDescent="0.3">
      <c r="A5962">
        <v>10861</v>
      </c>
      <c r="B5962">
        <v>105</v>
      </c>
      <c r="C5962" t="s">
        <v>557</v>
      </c>
      <c r="D5962" s="452">
        <v>45627</v>
      </c>
      <c r="E5962">
        <v>19765</v>
      </c>
      <c r="F5962" t="s">
        <v>4889</v>
      </c>
      <c r="G5962">
        <v>2488</v>
      </c>
      <c r="H5962">
        <v>3</v>
      </c>
      <c r="I5962" t="s">
        <v>4744</v>
      </c>
      <c r="J5962" t="s">
        <v>5191</v>
      </c>
      <c r="K5962" t="s">
        <v>728</v>
      </c>
      <c r="L5962">
        <v>36.18</v>
      </c>
      <c r="M5962" s="452">
        <v>45626</v>
      </c>
      <c r="N5962">
        <v>35</v>
      </c>
      <c r="O5962">
        <v>35</v>
      </c>
      <c r="P5962">
        <v>108.54</v>
      </c>
    </row>
    <row r="5963" spans="1:16" x14ac:dyDescent="0.3">
      <c r="A5963">
        <v>10790</v>
      </c>
      <c r="B5963">
        <v>105</v>
      </c>
      <c r="C5963" t="s">
        <v>557</v>
      </c>
      <c r="D5963" s="452">
        <v>45627</v>
      </c>
      <c r="E5963">
        <v>20122</v>
      </c>
      <c r="F5963" t="s">
        <v>4781</v>
      </c>
      <c r="G5963">
        <v>2290</v>
      </c>
      <c r="H5963">
        <v>8</v>
      </c>
      <c r="I5963" t="s">
        <v>4738</v>
      </c>
      <c r="J5963" t="s">
        <v>5191</v>
      </c>
      <c r="K5963" t="s">
        <v>728</v>
      </c>
      <c r="L5963">
        <v>0</v>
      </c>
      <c r="M5963" s="452">
        <v>45554</v>
      </c>
      <c r="N5963">
        <v>13.2</v>
      </c>
      <c r="O5963">
        <v>13.6</v>
      </c>
      <c r="P5963">
        <v>105.6</v>
      </c>
    </row>
    <row r="5964" spans="1:16" x14ac:dyDescent="0.3">
      <c r="A5964">
        <v>10723</v>
      </c>
      <c r="B5964">
        <v>105</v>
      </c>
      <c r="C5964" t="s">
        <v>557</v>
      </c>
      <c r="D5964" s="452">
        <v>45627</v>
      </c>
      <c r="E5964">
        <v>20311</v>
      </c>
      <c r="F5964" t="s">
        <v>5635</v>
      </c>
      <c r="G5964">
        <v>2222</v>
      </c>
      <c r="H5964">
        <v>4.54</v>
      </c>
      <c r="I5964" t="s">
        <v>4749</v>
      </c>
      <c r="J5964" t="s">
        <v>5191</v>
      </c>
      <c r="K5964" t="s">
        <v>728</v>
      </c>
      <c r="L5964">
        <v>0</v>
      </c>
      <c r="M5964" s="452">
        <v>45519</v>
      </c>
      <c r="N5964">
        <v>23.2</v>
      </c>
      <c r="O5964">
        <v>22.2</v>
      </c>
      <c r="P5964">
        <v>105.33</v>
      </c>
    </row>
    <row r="5965" spans="1:16" x14ac:dyDescent="0.3">
      <c r="A5965">
        <v>10979</v>
      </c>
      <c r="B5965">
        <v>105</v>
      </c>
      <c r="C5965" t="s">
        <v>557</v>
      </c>
      <c r="D5965" s="452">
        <v>45627</v>
      </c>
      <c r="E5965">
        <v>17597</v>
      </c>
      <c r="F5965" t="s">
        <v>5587</v>
      </c>
      <c r="G5965">
        <v>3930</v>
      </c>
      <c r="H5965">
        <v>2</v>
      </c>
      <c r="I5965" t="s">
        <v>4805</v>
      </c>
      <c r="J5965" t="s">
        <v>5222</v>
      </c>
      <c r="K5965" t="s">
        <v>728</v>
      </c>
      <c r="L5965">
        <v>0</v>
      </c>
      <c r="M5965" s="452">
        <v>45595</v>
      </c>
      <c r="N5965">
        <v>52.61</v>
      </c>
      <c r="O5965">
        <v>49.4</v>
      </c>
      <c r="P5965">
        <v>105.22</v>
      </c>
    </row>
    <row r="5966" spans="1:16" x14ac:dyDescent="0.3">
      <c r="A5966">
        <v>10981</v>
      </c>
      <c r="B5966">
        <v>105</v>
      </c>
      <c r="C5966" t="s">
        <v>557</v>
      </c>
      <c r="D5966" s="452">
        <v>45627</v>
      </c>
      <c r="E5966">
        <v>17737</v>
      </c>
      <c r="F5966" t="s">
        <v>5671</v>
      </c>
      <c r="G5966">
        <v>3805</v>
      </c>
      <c r="H5966">
        <v>2</v>
      </c>
      <c r="I5966" t="s">
        <v>4805</v>
      </c>
      <c r="J5966" t="s">
        <v>5222</v>
      </c>
      <c r="K5966" t="s">
        <v>728</v>
      </c>
      <c r="L5966">
        <v>0</v>
      </c>
      <c r="M5966" s="452">
        <v>45595</v>
      </c>
      <c r="N5966">
        <v>52.61</v>
      </c>
      <c r="O5966">
        <v>49.49</v>
      </c>
      <c r="P5966">
        <v>105.22</v>
      </c>
    </row>
    <row r="5967" spans="1:16" x14ac:dyDescent="0.3">
      <c r="A5967">
        <v>10870</v>
      </c>
      <c r="B5967">
        <v>105</v>
      </c>
      <c r="C5967" t="s">
        <v>557</v>
      </c>
      <c r="D5967" s="452">
        <v>45627</v>
      </c>
      <c r="E5967">
        <v>19732</v>
      </c>
      <c r="F5967" t="s">
        <v>5584</v>
      </c>
      <c r="G5967">
        <v>2521</v>
      </c>
      <c r="H5967">
        <v>11.04</v>
      </c>
      <c r="I5967" t="s">
        <v>4744</v>
      </c>
      <c r="J5967" t="s">
        <v>5191</v>
      </c>
      <c r="K5967" t="s">
        <v>728</v>
      </c>
      <c r="L5967">
        <v>9.49</v>
      </c>
      <c r="M5967" s="452">
        <v>45625</v>
      </c>
      <c r="N5967">
        <v>10</v>
      </c>
      <c r="O5967">
        <v>10</v>
      </c>
      <c r="P5967">
        <v>104.77</v>
      </c>
    </row>
    <row r="5968" spans="1:16" x14ac:dyDescent="0.3">
      <c r="A5968">
        <v>10951</v>
      </c>
      <c r="B5968">
        <v>105</v>
      </c>
      <c r="C5968" t="s">
        <v>557</v>
      </c>
      <c r="D5968" s="452">
        <v>45627</v>
      </c>
      <c r="E5968">
        <v>17957</v>
      </c>
      <c r="F5968" t="s">
        <v>4745</v>
      </c>
      <c r="G5968">
        <v>3622</v>
      </c>
      <c r="H5968">
        <v>85</v>
      </c>
      <c r="I5968" t="s">
        <v>4736</v>
      </c>
      <c r="J5968" t="s">
        <v>5222</v>
      </c>
      <c r="K5968" t="s">
        <v>728</v>
      </c>
      <c r="L5968">
        <v>1.23</v>
      </c>
      <c r="M5968" s="452">
        <v>45624</v>
      </c>
      <c r="N5968">
        <v>1.23</v>
      </c>
      <c r="O5968">
        <v>1.23</v>
      </c>
      <c r="P5968">
        <v>104.55</v>
      </c>
    </row>
    <row r="5969" spans="1:16" x14ac:dyDescent="0.3">
      <c r="A5969">
        <v>10765</v>
      </c>
      <c r="B5969">
        <v>105</v>
      </c>
      <c r="C5969" t="s">
        <v>557</v>
      </c>
      <c r="D5969" s="452">
        <v>45627</v>
      </c>
      <c r="E5969">
        <v>20227</v>
      </c>
      <c r="F5969" t="s">
        <v>4825</v>
      </c>
      <c r="G5969">
        <v>2248</v>
      </c>
      <c r="H5969">
        <v>6</v>
      </c>
      <c r="I5969" t="s">
        <v>4738</v>
      </c>
      <c r="J5969" t="s">
        <v>5191</v>
      </c>
      <c r="K5969" t="s">
        <v>728</v>
      </c>
      <c r="L5969">
        <v>17.14</v>
      </c>
      <c r="M5969" s="452">
        <v>45622</v>
      </c>
      <c r="N5969">
        <v>16.7</v>
      </c>
      <c r="O5969">
        <v>16.7</v>
      </c>
      <c r="P5969">
        <v>102.84</v>
      </c>
    </row>
    <row r="5970" spans="1:16" x14ac:dyDescent="0.3">
      <c r="A5970">
        <v>10764</v>
      </c>
      <c r="B5970">
        <v>105</v>
      </c>
      <c r="C5970" t="s">
        <v>557</v>
      </c>
      <c r="D5970" s="452">
        <v>45627</v>
      </c>
      <c r="E5970">
        <v>20225</v>
      </c>
      <c r="F5970" t="s">
        <v>5634</v>
      </c>
      <c r="G5970">
        <v>2248</v>
      </c>
      <c r="H5970">
        <v>12</v>
      </c>
      <c r="I5970" t="s">
        <v>4738</v>
      </c>
      <c r="J5970" t="s">
        <v>5191</v>
      </c>
      <c r="K5970" t="s">
        <v>728</v>
      </c>
      <c r="L5970">
        <v>0</v>
      </c>
      <c r="M5970" s="452">
        <v>45545</v>
      </c>
      <c r="N5970">
        <v>8.49</v>
      </c>
      <c r="O5970">
        <v>7.95</v>
      </c>
      <c r="P5970">
        <v>101.88</v>
      </c>
    </row>
    <row r="5971" spans="1:16" x14ac:dyDescent="0.3">
      <c r="A5971">
        <v>10698</v>
      </c>
      <c r="B5971">
        <v>105</v>
      </c>
      <c r="C5971" t="s">
        <v>557</v>
      </c>
      <c r="D5971" s="452">
        <v>45627</v>
      </c>
      <c r="E5971">
        <v>18116</v>
      </c>
      <c r="F5971" t="s">
        <v>5045</v>
      </c>
      <c r="G5971">
        <v>3496</v>
      </c>
      <c r="H5971">
        <v>0.95</v>
      </c>
      <c r="I5971" t="s">
        <v>4805</v>
      </c>
      <c r="J5971" t="s">
        <v>5222</v>
      </c>
      <c r="K5971" t="s">
        <v>728</v>
      </c>
      <c r="L5971">
        <v>0</v>
      </c>
      <c r="M5971" s="452">
        <v>-693593</v>
      </c>
      <c r="N5971">
        <v>0</v>
      </c>
      <c r="O5971">
        <v>0</v>
      </c>
      <c r="P5971">
        <v>101.65</v>
      </c>
    </row>
    <row r="5972" spans="1:16" x14ac:dyDescent="0.3">
      <c r="A5972">
        <v>10730</v>
      </c>
      <c r="B5972">
        <v>105</v>
      </c>
      <c r="C5972" t="s">
        <v>557</v>
      </c>
      <c r="D5972" s="452">
        <v>45627</v>
      </c>
      <c r="E5972">
        <v>20726</v>
      </c>
      <c r="F5972" t="s">
        <v>5672</v>
      </c>
      <c r="G5972">
        <v>2093</v>
      </c>
      <c r="H5972">
        <v>2</v>
      </c>
      <c r="I5972" t="s">
        <v>4736</v>
      </c>
      <c r="J5972" t="s">
        <v>5191</v>
      </c>
      <c r="K5972" t="s">
        <v>728</v>
      </c>
      <c r="L5972">
        <v>0</v>
      </c>
      <c r="M5972" s="452">
        <v>45546</v>
      </c>
      <c r="N5972">
        <v>50.52</v>
      </c>
      <c r="O5972">
        <v>50.53</v>
      </c>
      <c r="P5972">
        <v>101.04</v>
      </c>
    </row>
    <row r="5973" spans="1:16" x14ac:dyDescent="0.3">
      <c r="A5973">
        <v>10747</v>
      </c>
      <c r="B5973">
        <v>105</v>
      </c>
      <c r="C5973" t="s">
        <v>557</v>
      </c>
      <c r="D5973" s="452">
        <v>45627</v>
      </c>
      <c r="E5973">
        <v>24189</v>
      </c>
      <c r="F5973" t="s">
        <v>5532</v>
      </c>
      <c r="G5973">
        <v>2140</v>
      </c>
      <c r="H5973">
        <v>4.5</v>
      </c>
      <c r="I5973" t="s">
        <v>4744</v>
      </c>
      <c r="J5973" t="s">
        <v>5191</v>
      </c>
      <c r="K5973" t="s">
        <v>728</v>
      </c>
      <c r="L5973">
        <v>0</v>
      </c>
      <c r="M5973" s="452">
        <v>45546</v>
      </c>
      <c r="N5973">
        <v>22.4</v>
      </c>
      <c r="O5973">
        <v>22.34</v>
      </c>
      <c r="P5973">
        <v>100.8</v>
      </c>
    </row>
    <row r="5974" spans="1:16" x14ac:dyDescent="0.3">
      <c r="A5974">
        <v>10817</v>
      </c>
      <c r="B5974">
        <v>105</v>
      </c>
      <c r="C5974" t="s">
        <v>557</v>
      </c>
      <c r="D5974" s="452">
        <v>45627</v>
      </c>
      <c r="E5974">
        <v>20207</v>
      </c>
      <c r="F5974" t="s">
        <v>4929</v>
      </c>
      <c r="G5974">
        <v>2253</v>
      </c>
      <c r="H5974">
        <v>3.15</v>
      </c>
      <c r="I5974" t="s">
        <v>4744</v>
      </c>
      <c r="J5974" t="s">
        <v>5191</v>
      </c>
      <c r="K5974" t="s">
        <v>728</v>
      </c>
      <c r="L5974">
        <v>31.9</v>
      </c>
      <c r="M5974" s="452">
        <v>45622</v>
      </c>
      <c r="N5974">
        <v>31.9</v>
      </c>
      <c r="O5974">
        <v>31.9</v>
      </c>
      <c r="P5974">
        <v>100.48</v>
      </c>
    </row>
    <row r="5975" spans="1:16" x14ac:dyDescent="0.3">
      <c r="A5975">
        <v>10843</v>
      </c>
      <c r="B5975">
        <v>105</v>
      </c>
      <c r="C5975" t="s">
        <v>557</v>
      </c>
      <c r="D5975" s="452">
        <v>45627</v>
      </c>
      <c r="E5975">
        <v>19638</v>
      </c>
      <c r="F5975" t="s">
        <v>5564</v>
      </c>
      <c r="G5975">
        <v>2598</v>
      </c>
      <c r="H5975">
        <v>29.39</v>
      </c>
      <c r="I5975" t="s">
        <v>4744</v>
      </c>
      <c r="J5975" t="s">
        <v>5191</v>
      </c>
      <c r="K5975" t="s">
        <v>728</v>
      </c>
      <c r="L5975">
        <v>3.39</v>
      </c>
      <c r="M5975" s="452">
        <v>45625</v>
      </c>
      <c r="N5975">
        <v>3.5</v>
      </c>
      <c r="O5975">
        <v>3.5</v>
      </c>
      <c r="P5975">
        <v>99.63</v>
      </c>
    </row>
    <row r="5976" spans="1:16" x14ac:dyDescent="0.3">
      <c r="A5976">
        <v>10784</v>
      </c>
      <c r="B5976">
        <v>105</v>
      </c>
      <c r="C5976" t="s">
        <v>557</v>
      </c>
      <c r="D5976" s="452">
        <v>45627</v>
      </c>
      <c r="E5976">
        <v>20500</v>
      </c>
      <c r="F5976" t="s">
        <v>5673</v>
      </c>
      <c r="G5976">
        <v>2154</v>
      </c>
      <c r="H5976">
        <v>4</v>
      </c>
      <c r="I5976" t="s">
        <v>4736</v>
      </c>
      <c r="J5976" t="s">
        <v>5191</v>
      </c>
      <c r="K5976" t="s">
        <v>728</v>
      </c>
      <c r="L5976">
        <v>24.8</v>
      </c>
      <c r="M5976" s="452">
        <v>45624</v>
      </c>
      <c r="N5976">
        <v>24.8</v>
      </c>
      <c r="O5976">
        <v>24.8</v>
      </c>
      <c r="P5976">
        <v>99.2</v>
      </c>
    </row>
    <row r="5977" spans="1:16" x14ac:dyDescent="0.3">
      <c r="A5977">
        <v>10791</v>
      </c>
      <c r="B5977">
        <v>105</v>
      </c>
      <c r="C5977" t="s">
        <v>557</v>
      </c>
      <c r="D5977" s="452">
        <v>45627</v>
      </c>
      <c r="E5977">
        <v>25075</v>
      </c>
      <c r="F5977" t="s">
        <v>4790</v>
      </c>
      <c r="G5977">
        <v>5883</v>
      </c>
      <c r="H5977">
        <v>6</v>
      </c>
      <c r="I5977" t="s">
        <v>4738</v>
      </c>
      <c r="J5977" t="s">
        <v>5191</v>
      </c>
      <c r="K5977" t="s">
        <v>728</v>
      </c>
      <c r="L5977">
        <v>0</v>
      </c>
      <c r="M5977" s="452">
        <v>45561</v>
      </c>
      <c r="N5977">
        <v>16.5</v>
      </c>
      <c r="O5977">
        <v>17.899999999999999</v>
      </c>
      <c r="P5977">
        <v>99</v>
      </c>
    </row>
    <row r="5978" spans="1:16" x14ac:dyDescent="0.3">
      <c r="A5978">
        <v>10872</v>
      </c>
      <c r="B5978">
        <v>105</v>
      </c>
      <c r="C5978" t="s">
        <v>557</v>
      </c>
      <c r="D5978" s="452">
        <v>45627</v>
      </c>
      <c r="E5978">
        <v>23095</v>
      </c>
      <c r="F5978" t="s">
        <v>4741</v>
      </c>
      <c r="G5978">
        <v>2754</v>
      </c>
      <c r="H5978">
        <v>110</v>
      </c>
      <c r="I5978" t="s">
        <v>4736</v>
      </c>
      <c r="J5978" t="s">
        <v>5191</v>
      </c>
      <c r="K5978" t="s">
        <v>728</v>
      </c>
      <c r="L5978">
        <v>0.89</v>
      </c>
      <c r="M5978" s="452">
        <v>45621</v>
      </c>
      <c r="N5978">
        <v>0.95</v>
      </c>
      <c r="O5978">
        <v>0.91</v>
      </c>
      <c r="P5978">
        <v>97.9</v>
      </c>
    </row>
    <row r="5979" spans="1:16" x14ac:dyDescent="0.3">
      <c r="A5979">
        <v>10855</v>
      </c>
      <c r="B5979">
        <v>105</v>
      </c>
      <c r="C5979" t="s">
        <v>557</v>
      </c>
      <c r="D5979" s="452">
        <v>45627</v>
      </c>
      <c r="E5979">
        <v>19844</v>
      </c>
      <c r="F5979" t="s">
        <v>5475</v>
      </c>
      <c r="G5979">
        <v>2424</v>
      </c>
      <c r="H5979">
        <v>2</v>
      </c>
      <c r="I5979" t="s">
        <v>4744</v>
      </c>
      <c r="J5979" t="s">
        <v>5191</v>
      </c>
      <c r="K5979" t="s">
        <v>728</v>
      </c>
      <c r="L5979">
        <v>48.33</v>
      </c>
      <c r="M5979" s="452">
        <v>45624</v>
      </c>
      <c r="N5979">
        <v>43</v>
      </c>
      <c r="O5979">
        <v>45.9</v>
      </c>
      <c r="P5979">
        <v>96.66</v>
      </c>
    </row>
    <row r="5980" spans="1:16" x14ac:dyDescent="0.3">
      <c r="A5980">
        <v>10828</v>
      </c>
      <c r="B5980">
        <v>105</v>
      </c>
      <c r="C5980" t="s">
        <v>557</v>
      </c>
      <c r="D5980" s="452">
        <v>45627</v>
      </c>
      <c r="E5980">
        <v>19658</v>
      </c>
      <c r="F5980" t="s">
        <v>4784</v>
      </c>
      <c r="G5980">
        <v>2582</v>
      </c>
      <c r="H5980">
        <v>28.37</v>
      </c>
      <c r="I5980" t="s">
        <v>4744</v>
      </c>
      <c r="J5980" t="s">
        <v>5191</v>
      </c>
      <c r="K5980" t="s">
        <v>728</v>
      </c>
      <c r="L5980">
        <v>0</v>
      </c>
      <c r="M5980" s="452">
        <v>45562</v>
      </c>
      <c r="N5980">
        <v>3.4</v>
      </c>
      <c r="O5980">
        <v>4.5</v>
      </c>
      <c r="P5980">
        <v>96.46</v>
      </c>
    </row>
    <row r="5981" spans="1:16" x14ac:dyDescent="0.3">
      <c r="A5981">
        <v>10675</v>
      </c>
      <c r="B5981">
        <v>105</v>
      </c>
      <c r="C5981" t="s">
        <v>557</v>
      </c>
      <c r="D5981" s="452">
        <v>45627</v>
      </c>
      <c r="E5981">
        <v>18336</v>
      </c>
      <c r="F5981" t="s">
        <v>5674</v>
      </c>
      <c r="G5981">
        <v>3298</v>
      </c>
      <c r="H5981">
        <v>1</v>
      </c>
      <c r="I5981" t="s">
        <v>4805</v>
      </c>
      <c r="J5981" t="s">
        <v>5222</v>
      </c>
      <c r="K5981" t="s">
        <v>728</v>
      </c>
      <c r="L5981">
        <v>0</v>
      </c>
      <c r="M5981" s="452">
        <v>-693593</v>
      </c>
      <c r="N5981">
        <v>0</v>
      </c>
      <c r="O5981">
        <v>92.9</v>
      </c>
      <c r="P5981">
        <v>92.9</v>
      </c>
    </row>
    <row r="5982" spans="1:16" x14ac:dyDescent="0.3">
      <c r="A5982">
        <v>10949</v>
      </c>
      <c r="B5982">
        <v>105</v>
      </c>
      <c r="C5982" t="s">
        <v>557</v>
      </c>
      <c r="D5982" s="452">
        <v>45627</v>
      </c>
      <c r="E5982">
        <v>24011</v>
      </c>
      <c r="F5982" t="s">
        <v>4739</v>
      </c>
      <c r="G5982">
        <v>3626</v>
      </c>
      <c r="H5982">
        <v>70</v>
      </c>
      <c r="I5982" t="s">
        <v>4736</v>
      </c>
      <c r="J5982" t="s">
        <v>5222</v>
      </c>
      <c r="K5982" t="s">
        <v>728</v>
      </c>
      <c r="L5982">
        <v>0</v>
      </c>
      <c r="M5982" s="452">
        <v>45562</v>
      </c>
      <c r="N5982">
        <v>1.32</v>
      </c>
      <c r="O5982">
        <v>1.33</v>
      </c>
      <c r="P5982">
        <v>92.4</v>
      </c>
    </row>
    <row r="5983" spans="1:16" x14ac:dyDescent="0.3">
      <c r="A5983">
        <v>11016</v>
      </c>
      <c r="B5983">
        <v>105</v>
      </c>
      <c r="C5983" t="s">
        <v>557</v>
      </c>
      <c r="D5983" s="452">
        <v>45627</v>
      </c>
      <c r="E5983">
        <v>25763</v>
      </c>
      <c r="F5983" t="s">
        <v>4943</v>
      </c>
      <c r="G5983">
        <v>6314</v>
      </c>
      <c r="H5983">
        <v>13</v>
      </c>
      <c r="I5983" t="s">
        <v>4736</v>
      </c>
      <c r="J5983" t="s">
        <v>5191</v>
      </c>
      <c r="K5983" t="s">
        <v>728</v>
      </c>
      <c r="L5983">
        <v>0</v>
      </c>
      <c r="M5983" s="452">
        <v>-693593</v>
      </c>
      <c r="N5983">
        <v>0</v>
      </c>
      <c r="O5983">
        <v>0</v>
      </c>
      <c r="P5983">
        <v>90.87</v>
      </c>
    </row>
    <row r="5984" spans="1:16" x14ac:dyDescent="0.3">
      <c r="A5984">
        <v>11003</v>
      </c>
      <c r="B5984">
        <v>105</v>
      </c>
      <c r="C5984" t="s">
        <v>557</v>
      </c>
      <c r="D5984" s="452">
        <v>45627</v>
      </c>
      <c r="E5984">
        <v>18241</v>
      </c>
      <c r="F5984" t="s">
        <v>5675</v>
      </c>
      <c r="G5984">
        <v>3387</v>
      </c>
      <c r="H5984">
        <v>1</v>
      </c>
      <c r="I5984" t="s">
        <v>4805</v>
      </c>
      <c r="J5984" t="s">
        <v>5222</v>
      </c>
      <c r="K5984" t="s">
        <v>728</v>
      </c>
      <c r="L5984">
        <v>0</v>
      </c>
      <c r="M5984" s="452">
        <v>-693593</v>
      </c>
      <c r="N5984">
        <v>0</v>
      </c>
      <c r="O5984">
        <v>89.9</v>
      </c>
      <c r="P5984">
        <v>89.9</v>
      </c>
    </row>
    <row r="5985" spans="1:16" x14ac:dyDescent="0.3">
      <c r="A5985">
        <v>10933</v>
      </c>
      <c r="B5985">
        <v>105</v>
      </c>
      <c r="C5985" t="s">
        <v>557</v>
      </c>
      <c r="D5985" s="452">
        <v>45627</v>
      </c>
      <c r="E5985">
        <v>24252</v>
      </c>
      <c r="F5985" t="s">
        <v>5676</v>
      </c>
      <c r="G5985">
        <v>2993</v>
      </c>
      <c r="H5985">
        <v>1.3</v>
      </c>
      <c r="I5985" t="s">
        <v>4744</v>
      </c>
      <c r="J5985" t="s">
        <v>5191</v>
      </c>
      <c r="K5985" t="s">
        <v>728</v>
      </c>
      <c r="L5985">
        <v>0</v>
      </c>
      <c r="M5985" s="452">
        <v>45552</v>
      </c>
      <c r="N5985">
        <v>67.900000000000006</v>
      </c>
      <c r="O5985">
        <v>67.900000000000006</v>
      </c>
      <c r="P5985">
        <v>88.27</v>
      </c>
    </row>
    <row r="5986" spans="1:16" x14ac:dyDescent="0.3">
      <c r="A5986">
        <v>10807</v>
      </c>
      <c r="B5986">
        <v>105</v>
      </c>
      <c r="C5986" t="s">
        <v>557</v>
      </c>
      <c r="D5986" s="452">
        <v>45627</v>
      </c>
      <c r="E5986">
        <v>21006</v>
      </c>
      <c r="F5986" t="s">
        <v>5677</v>
      </c>
      <c r="G5986">
        <v>2007</v>
      </c>
      <c r="H5986">
        <v>0.9</v>
      </c>
      <c r="I5986" t="s">
        <v>4888</v>
      </c>
      <c r="J5986" t="s">
        <v>5191</v>
      </c>
      <c r="K5986" t="s">
        <v>728</v>
      </c>
      <c r="L5986">
        <v>96.12</v>
      </c>
      <c r="M5986" s="452">
        <v>45616</v>
      </c>
      <c r="N5986">
        <v>96.12</v>
      </c>
      <c r="O5986">
        <v>96.12</v>
      </c>
      <c r="P5986">
        <v>86.51</v>
      </c>
    </row>
    <row r="5987" spans="1:16" x14ac:dyDescent="0.3">
      <c r="A5987">
        <v>11017</v>
      </c>
      <c r="B5987">
        <v>105</v>
      </c>
      <c r="C5987" t="s">
        <v>557</v>
      </c>
      <c r="D5987" s="452">
        <v>45627</v>
      </c>
      <c r="E5987">
        <v>25762</v>
      </c>
      <c r="F5987" t="s">
        <v>4770</v>
      </c>
      <c r="G5987">
        <v>9070</v>
      </c>
      <c r="H5987">
        <v>12</v>
      </c>
      <c r="I5987" t="s">
        <v>4736</v>
      </c>
      <c r="J5987" t="s">
        <v>5191</v>
      </c>
      <c r="K5987" t="s">
        <v>728</v>
      </c>
      <c r="L5987">
        <v>0</v>
      </c>
      <c r="M5987" s="452">
        <v>-693593</v>
      </c>
      <c r="N5987">
        <v>0</v>
      </c>
      <c r="O5987">
        <v>0</v>
      </c>
      <c r="P5987">
        <v>83.88</v>
      </c>
    </row>
    <row r="5988" spans="1:16" x14ac:dyDescent="0.3">
      <c r="A5988">
        <v>10753</v>
      </c>
      <c r="B5988">
        <v>105</v>
      </c>
      <c r="C5988" t="s">
        <v>557</v>
      </c>
      <c r="D5988" s="452">
        <v>45627</v>
      </c>
      <c r="E5988">
        <v>20672</v>
      </c>
      <c r="F5988" t="s">
        <v>4857</v>
      </c>
      <c r="G5988">
        <v>2107</v>
      </c>
      <c r="H5988">
        <v>2.75</v>
      </c>
      <c r="I5988" t="s">
        <v>4738</v>
      </c>
      <c r="J5988" t="s">
        <v>5191</v>
      </c>
      <c r="K5988" t="s">
        <v>728</v>
      </c>
      <c r="L5988">
        <v>30.4</v>
      </c>
      <c r="M5988" s="452">
        <v>45622</v>
      </c>
      <c r="N5988">
        <v>30.4</v>
      </c>
      <c r="O5988">
        <v>30.4</v>
      </c>
      <c r="P5988">
        <v>83.6</v>
      </c>
    </row>
    <row r="5989" spans="1:16" x14ac:dyDescent="0.3">
      <c r="A5989">
        <v>10941</v>
      </c>
      <c r="B5989">
        <v>105</v>
      </c>
      <c r="C5989" t="s">
        <v>557</v>
      </c>
      <c r="D5989" s="452">
        <v>45627</v>
      </c>
      <c r="E5989">
        <v>24660</v>
      </c>
      <c r="F5989" t="s">
        <v>5523</v>
      </c>
      <c r="G5989">
        <v>5702</v>
      </c>
      <c r="H5989">
        <v>4.3499999999999996</v>
      </c>
      <c r="I5989" t="s">
        <v>4744</v>
      </c>
      <c r="J5989" t="s">
        <v>5191</v>
      </c>
      <c r="K5989" t="s">
        <v>728</v>
      </c>
      <c r="L5989">
        <v>18.89</v>
      </c>
      <c r="M5989" s="452">
        <v>45623</v>
      </c>
      <c r="N5989">
        <v>18.89</v>
      </c>
      <c r="O5989">
        <v>18.89</v>
      </c>
      <c r="P5989">
        <v>82.17</v>
      </c>
    </row>
    <row r="5990" spans="1:16" x14ac:dyDescent="0.3">
      <c r="A5990">
        <v>10808</v>
      </c>
      <c r="B5990">
        <v>105</v>
      </c>
      <c r="C5990" t="s">
        <v>557</v>
      </c>
      <c r="D5990" s="452">
        <v>45627</v>
      </c>
      <c r="E5990">
        <v>21000</v>
      </c>
      <c r="F5990" t="s">
        <v>4818</v>
      </c>
      <c r="G5990">
        <v>2008</v>
      </c>
      <c r="H5990">
        <v>5</v>
      </c>
      <c r="I5990" t="s">
        <v>4736</v>
      </c>
      <c r="J5990" t="s">
        <v>5191</v>
      </c>
      <c r="K5990" t="s">
        <v>728</v>
      </c>
      <c r="L5990">
        <v>16.420000000000002</v>
      </c>
      <c r="M5990" s="452">
        <v>45616</v>
      </c>
      <c r="N5990">
        <v>16.899999999999999</v>
      </c>
      <c r="O5990">
        <v>16.899999999999999</v>
      </c>
      <c r="P5990">
        <v>82.1</v>
      </c>
    </row>
    <row r="5991" spans="1:16" x14ac:dyDescent="0.3">
      <c r="A5991">
        <v>10821</v>
      </c>
      <c r="B5991">
        <v>105</v>
      </c>
      <c r="C5991" t="s">
        <v>557</v>
      </c>
      <c r="D5991" s="452">
        <v>45627</v>
      </c>
      <c r="E5991">
        <v>20185</v>
      </c>
      <c r="F5991" t="s">
        <v>5054</v>
      </c>
      <c r="G5991">
        <v>2259</v>
      </c>
      <c r="H5991">
        <v>2.29</v>
      </c>
      <c r="I5991" t="s">
        <v>4744</v>
      </c>
      <c r="J5991" t="s">
        <v>5191</v>
      </c>
      <c r="K5991" t="s">
        <v>728</v>
      </c>
      <c r="L5991">
        <v>0</v>
      </c>
      <c r="M5991" s="452">
        <v>45582</v>
      </c>
      <c r="N5991">
        <v>34.9</v>
      </c>
      <c r="O5991">
        <v>33.9</v>
      </c>
      <c r="P5991">
        <v>79.92</v>
      </c>
    </row>
    <row r="5992" spans="1:16" x14ac:dyDescent="0.3">
      <c r="A5992">
        <v>10909</v>
      </c>
      <c r="B5992">
        <v>105</v>
      </c>
      <c r="C5992" t="s">
        <v>557</v>
      </c>
      <c r="D5992" s="452">
        <v>45627</v>
      </c>
      <c r="E5992">
        <v>19251</v>
      </c>
      <c r="F5992" t="s">
        <v>5336</v>
      </c>
      <c r="G5992">
        <v>2784</v>
      </c>
      <c r="H5992">
        <v>4</v>
      </c>
      <c r="I5992" t="s">
        <v>4736</v>
      </c>
      <c r="J5992" t="s">
        <v>5191</v>
      </c>
      <c r="K5992" t="s">
        <v>728</v>
      </c>
      <c r="L5992">
        <v>0</v>
      </c>
      <c r="M5992" s="452">
        <v>45573</v>
      </c>
      <c r="N5992">
        <v>19.98</v>
      </c>
      <c r="O5992">
        <v>19.98</v>
      </c>
      <c r="P5992">
        <v>79.92</v>
      </c>
    </row>
    <row r="5993" spans="1:16" x14ac:dyDescent="0.3">
      <c r="A5993">
        <v>10901</v>
      </c>
      <c r="B5993">
        <v>105</v>
      </c>
      <c r="C5993" t="s">
        <v>557</v>
      </c>
      <c r="D5993" s="452">
        <v>45627</v>
      </c>
      <c r="E5993">
        <v>19420</v>
      </c>
      <c r="F5993" t="s">
        <v>5582</v>
      </c>
      <c r="G5993">
        <v>2758</v>
      </c>
      <c r="H5993">
        <v>13</v>
      </c>
      <c r="I5993" t="s">
        <v>4736</v>
      </c>
      <c r="J5993" t="s">
        <v>5191</v>
      </c>
      <c r="K5993" t="s">
        <v>728</v>
      </c>
      <c r="L5993">
        <v>6.14</v>
      </c>
      <c r="M5993" s="452">
        <v>45622</v>
      </c>
      <c r="N5993">
        <v>6.12</v>
      </c>
      <c r="O5993">
        <v>6.12</v>
      </c>
      <c r="P5993">
        <v>79.819999999999993</v>
      </c>
    </row>
    <row r="5994" spans="1:16" x14ac:dyDescent="0.3">
      <c r="A5994">
        <v>10710</v>
      </c>
      <c r="B5994">
        <v>105</v>
      </c>
      <c r="C5994" t="s">
        <v>557</v>
      </c>
      <c r="D5994" s="452">
        <v>45627</v>
      </c>
      <c r="E5994">
        <v>18030</v>
      </c>
      <c r="F5994" t="s">
        <v>4840</v>
      </c>
      <c r="G5994">
        <v>3568</v>
      </c>
      <c r="H5994">
        <v>3</v>
      </c>
      <c r="I5994" t="s">
        <v>4805</v>
      </c>
      <c r="J5994" t="s">
        <v>5222</v>
      </c>
      <c r="K5994" t="s">
        <v>728</v>
      </c>
      <c r="L5994">
        <v>26.5</v>
      </c>
      <c r="M5994" s="452">
        <v>45616</v>
      </c>
      <c r="N5994">
        <v>26.5</v>
      </c>
      <c r="O5994">
        <v>26.5</v>
      </c>
      <c r="P5994">
        <v>79.5</v>
      </c>
    </row>
    <row r="5995" spans="1:16" x14ac:dyDescent="0.3">
      <c r="A5995">
        <v>10718</v>
      </c>
      <c r="B5995">
        <v>105</v>
      </c>
      <c r="C5995" t="s">
        <v>557</v>
      </c>
      <c r="D5995" s="452">
        <v>45627</v>
      </c>
      <c r="E5995">
        <v>20756</v>
      </c>
      <c r="F5995" t="s">
        <v>5001</v>
      </c>
      <c r="G5995">
        <v>2086</v>
      </c>
      <c r="H5995">
        <v>1</v>
      </c>
      <c r="I5995" t="s">
        <v>4736</v>
      </c>
      <c r="J5995" t="s">
        <v>5191</v>
      </c>
      <c r="K5995" t="s">
        <v>728</v>
      </c>
      <c r="L5995">
        <v>79.2</v>
      </c>
      <c r="M5995" s="452">
        <v>45607</v>
      </c>
      <c r="N5995">
        <v>79.2</v>
      </c>
      <c r="O5995">
        <v>79.2</v>
      </c>
      <c r="P5995">
        <v>79.2</v>
      </c>
    </row>
    <row r="5996" spans="1:16" x14ac:dyDescent="0.3">
      <c r="A5996">
        <v>10964</v>
      </c>
      <c r="B5996">
        <v>105</v>
      </c>
      <c r="C5996" t="s">
        <v>557</v>
      </c>
      <c r="D5996" s="452">
        <v>45627</v>
      </c>
      <c r="E5996">
        <v>17905</v>
      </c>
      <c r="F5996" t="s">
        <v>5085</v>
      </c>
      <c r="G5996">
        <v>3656</v>
      </c>
      <c r="H5996">
        <v>3</v>
      </c>
      <c r="I5996" t="s">
        <v>4738</v>
      </c>
      <c r="J5996" t="s">
        <v>5222</v>
      </c>
      <c r="K5996" t="s">
        <v>728</v>
      </c>
      <c r="L5996">
        <v>0</v>
      </c>
      <c r="M5996" s="452">
        <v>45553</v>
      </c>
      <c r="N5996">
        <v>26.28</v>
      </c>
      <c r="O5996">
        <v>26.28</v>
      </c>
      <c r="P5996">
        <v>78.84</v>
      </c>
    </row>
    <row r="5997" spans="1:16" x14ac:dyDescent="0.3">
      <c r="A5997">
        <v>10864</v>
      </c>
      <c r="B5997">
        <v>105</v>
      </c>
      <c r="C5997" t="s">
        <v>557</v>
      </c>
      <c r="D5997" s="452">
        <v>45627</v>
      </c>
      <c r="E5997">
        <v>19751</v>
      </c>
      <c r="F5997" t="s">
        <v>4800</v>
      </c>
      <c r="G5997">
        <v>2502</v>
      </c>
      <c r="H5997">
        <v>9.25</v>
      </c>
      <c r="I5997" t="s">
        <v>4744</v>
      </c>
      <c r="J5997" t="s">
        <v>5191</v>
      </c>
      <c r="K5997" t="s">
        <v>728</v>
      </c>
      <c r="L5997">
        <v>8.5</v>
      </c>
      <c r="M5997" s="452">
        <v>45625</v>
      </c>
      <c r="N5997">
        <v>8.5</v>
      </c>
      <c r="O5997">
        <v>8.5</v>
      </c>
      <c r="P5997">
        <v>78.62</v>
      </c>
    </row>
    <row r="5998" spans="1:16" x14ac:dyDescent="0.3">
      <c r="A5998">
        <v>10650</v>
      </c>
      <c r="B5998">
        <v>105</v>
      </c>
      <c r="C5998" t="s">
        <v>557</v>
      </c>
      <c r="D5998" s="452">
        <v>45627</v>
      </c>
      <c r="E5998">
        <v>24975</v>
      </c>
      <c r="F5998" t="s">
        <v>5678</v>
      </c>
      <c r="G5998">
        <v>5846</v>
      </c>
      <c r="H5998">
        <v>1.17</v>
      </c>
      <c r="I5998" t="s">
        <v>4738</v>
      </c>
      <c r="J5998" t="s">
        <v>5222</v>
      </c>
      <c r="K5998" t="s">
        <v>728</v>
      </c>
      <c r="L5998">
        <v>0</v>
      </c>
      <c r="M5998" s="452">
        <v>45574</v>
      </c>
      <c r="N5998">
        <v>67.180000000000007</v>
      </c>
      <c r="O5998">
        <v>67.180000000000007</v>
      </c>
      <c r="P5998">
        <v>78.599999999999994</v>
      </c>
    </row>
    <row r="5999" spans="1:16" x14ac:dyDescent="0.3">
      <c r="A5999">
        <v>10684</v>
      </c>
      <c r="B5999">
        <v>105</v>
      </c>
      <c r="C5999" t="s">
        <v>557</v>
      </c>
      <c r="D5999" s="452">
        <v>45627</v>
      </c>
      <c r="E5999">
        <v>18273</v>
      </c>
      <c r="F5999" t="s">
        <v>5058</v>
      </c>
      <c r="G5999">
        <v>3357</v>
      </c>
      <c r="H5999">
        <v>2</v>
      </c>
      <c r="I5999" t="s">
        <v>4805</v>
      </c>
      <c r="J5999" t="s">
        <v>5222</v>
      </c>
      <c r="K5999" t="s">
        <v>728</v>
      </c>
      <c r="L5999">
        <v>0</v>
      </c>
      <c r="M5999" s="452">
        <v>-693593</v>
      </c>
      <c r="N5999">
        <v>0</v>
      </c>
      <c r="O5999">
        <v>39.18</v>
      </c>
      <c r="P5999">
        <v>78.36</v>
      </c>
    </row>
    <row r="6000" spans="1:16" x14ac:dyDescent="0.3">
      <c r="A6000">
        <v>10757</v>
      </c>
      <c r="B6000">
        <v>105</v>
      </c>
      <c r="C6000" t="s">
        <v>557</v>
      </c>
      <c r="D6000" s="452">
        <v>45627</v>
      </c>
      <c r="E6000">
        <v>20382</v>
      </c>
      <c r="F6000" t="s">
        <v>4780</v>
      </c>
      <c r="G6000">
        <v>2196</v>
      </c>
      <c r="H6000">
        <v>9</v>
      </c>
      <c r="I6000" t="s">
        <v>4738</v>
      </c>
      <c r="J6000" t="s">
        <v>5191</v>
      </c>
      <c r="K6000" t="s">
        <v>728</v>
      </c>
      <c r="L6000">
        <v>8.6999999999999993</v>
      </c>
      <c r="M6000" s="452">
        <v>45622</v>
      </c>
      <c r="N6000">
        <v>11.98</v>
      </c>
      <c r="O6000">
        <v>8.9</v>
      </c>
      <c r="P6000">
        <v>78.3</v>
      </c>
    </row>
    <row r="6001" spans="1:16" x14ac:dyDescent="0.3">
      <c r="A6001">
        <v>10965</v>
      </c>
      <c r="B6001">
        <v>105</v>
      </c>
      <c r="C6001" t="s">
        <v>557</v>
      </c>
      <c r="D6001" s="452">
        <v>45627</v>
      </c>
      <c r="E6001">
        <v>24307</v>
      </c>
      <c r="F6001" t="s">
        <v>4755</v>
      </c>
      <c r="G6001">
        <v>3656</v>
      </c>
      <c r="H6001">
        <v>35</v>
      </c>
      <c r="I6001" t="s">
        <v>4736</v>
      </c>
      <c r="J6001" t="s">
        <v>5222</v>
      </c>
      <c r="K6001" t="s">
        <v>728</v>
      </c>
      <c r="L6001">
        <v>0</v>
      </c>
      <c r="M6001" s="452">
        <v>45540</v>
      </c>
      <c r="N6001">
        <v>2.19</v>
      </c>
      <c r="O6001">
        <v>2.19</v>
      </c>
      <c r="P6001">
        <v>76.650000000000006</v>
      </c>
    </row>
    <row r="6002" spans="1:16" x14ac:dyDescent="0.3">
      <c r="A6002">
        <v>10736</v>
      </c>
      <c r="B6002">
        <v>105</v>
      </c>
      <c r="C6002" t="s">
        <v>557</v>
      </c>
      <c r="D6002" s="452">
        <v>45627</v>
      </c>
      <c r="E6002">
        <v>24638</v>
      </c>
      <c r="F6002" t="s">
        <v>4948</v>
      </c>
      <c r="G6002">
        <v>5690</v>
      </c>
      <c r="H6002">
        <v>3</v>
      </c>
      <c r="I6002" t="s">
        <v>4749</v>
      </c>
      <c r="J6002" t="s">
        <v>5191</v>
      </c>
      <c r="K6002" t="s">
        <v>728</v>
      </c>
      <c r="L6002">
        <v>24.9</v>
      </c>
      <c r="M6002" s="452">
        <v>45623</v>
      </c>
      <c r="N6002">
        <v>24.9</v>
      </c>
      <c r="O6002">
        <v>24.9</v>
      </c>
      <c r="P6002">
        <v>74.7</v>
      </c>
    </row>
    <row r="6003" spans="1:16" x14ac:dyDescent="0.3">
      <c r="A6003">
        <v>10741</v>
      </c>
      <c r="B6003">
        <v>105</v>
      </c>
      <c r="C6003" t="s">
        <v>557</v>
      </c>
      <c r="D6003" s="452">
        <v>45627</v>
      </c>
      <c r="E6003">
        <v>20932</v>
      </c>
      <c r="F6003" t="s">
        <v>5647</v>
      </c>
      <c r="G6003">
        <v>2032</v>
      </c>
      <c r="H6003">
        <v>1</v>
      </c>
      <c r="I6003" t="s">
        <v>4736</v>
      </c>
      <c r="J6003" t="s">
        <v>5191</v>
      </c>
      <c r="K6003" t="s">
        <v>728</v>
      </c>
      <c r="L6003">
        <v>0</v>
      </c>
      <c r="M6003" s="452">
        <v>45519</v>
      </c>
      <c r="N6003">
        <v>74</v>
      </c>
      <c r="O6003">
        <v>106.56</v>
      </c>
      <c r="P6003">
        <v>74</v>
      </c>
    </row>
    <row r="6004" spans="1:16" x14ac:dyDescent="0.3">
      <c r="A6004">
        <v>10758</v>
      </c>
      <c r="B6004">
        <v>105</v>
      </c>
      <c r="C6004" t="s">
        <v>557</v>
      </c>
      <c r="D6004" s="452">
        <v>45627</v>
      </c>
      <c r="E6004">
        <v>24241</v>
      </c>
      <c r="F6004" t="s">
        <v>5562</v>
      </c>
      <c r="G6004">
        <v>2197</v>
      </c>
      <c r="H6004">
        <v>4</v>
      </c>
      <c r="I6004" t="s">
        <v>4744</v>
      </c>
      <c r="J6004" t="s">
        <v>5191</v>
      </c>
      <c r="K6004" t="s">
        <v>728</v>
      </c>
      <c r="L6004">
        <v>0</v>
      </c>
      <c r="M6004" s="452">
        <v>45504</v>
      </c>
      <c r="N6004">
        <v>18.5</v>
      </c>
      <c r="O6004">
        <v>18.5</v>
      </c>
      <c r="P6004">
        <v>74</v>
      </c>
    </row>
    <row r="6005" spans="1:16" x14ac:dyDescent="0.3">
      <c r="A6005">
        <v>10689</v>
      </c>
      <c r="B6005">
        <v>105</v>
      </c>
      <c r="C6005" t="s">
        <v>557</v>
      </c>
      <c r="D6005" s="452">
        <v>45627</v>
      </c>
      <c r="E6005">
        <v>18218</v>
      </c>
      <c r="F6005" t="s">
        <v>5038</v>
      </c>
      <c r="G6005">
        <v>3410</v>
      </c>
      <c r="H6005">
        <v>2</v>
      </c>
      <c r="I6005" t="s">
        <v>4805</v>
      </c>
      <c r="J6005" t="s">
        <v>5222</v>
      </c>
      <c r="K6005" t="s">
        <v>728</v>
      </c>
      <c r="L6005">
        <v>0</v>
      </c>
      <c r="M6005" s="452">
        <v>45581</v>
      </c>
      <c r="N6005">
        <v>36.5</v>
      </c>
      <c r="O6005">
        <v>34.5</v>
      </c>
      <c r="P6005">
        <v>73</v>
      </c>
    </row>
    <row r="6006" spans="1:16" x14ac:dyDescent="0.3">
      <c r="A6006">
        <v>10711</v>
      </c>
      <c r="B6006">
        <v>105</v>
      </c>
      <c r="C6006" t="s">
        <v>557</v>
      </c>
      <c r="D6006" s="452">
        <v>45627</v>
      </c>
      <c r="E6006">
        <v>21062</v>
      </c>
      <c r="F6006" t="s">
        <v>5442</v>
      </c>
      <c r="G6006">
        <v>1997</v>
      </c>
      <c r="H6006">
        <v>5</v>
      </c>
      <c r="I6006" t="s">
        <v>4805</v>
      </c>
      <c r="J6006" t="s">
        <v>5191</v>
      </c>
      <c r="K6006" t="s">
        <v>728</v>
      </c>
      <c r="L6006">
        <v>0</v>
      </c>
      <c r="M6006" s="452">
        <v>45573</v>
      </c>
      <c r="N6006">
        <v>14.46</v>
      </c>
      <c r="O6006">
        <v>15.67</v>
      </c>
      <c r="P6006">
        <v>72.3</v>
      </c>
    </row>
    <row r="6007" spans="1:16" x14ac:dyDescent="0.3">
      <c r="A6007">
        <v>10871</v>
      </c>
      <c r="B6007">
        <v>105</v>
      </c>
      <c r="C6007" t="s">
        <v>557</v>
      </c>
      <c r="D6007" s="452">
        <v>45627</v>
      </c>
      <c r="E6007">
        <v>24394</v>
      </c>
      <c r="F6007" t="s">
        <v>5164</v>
      </c>
      <c r="G6007">
        <v>2753</v>
      </c>
      <c r="H6007">
        <v>119</v>
      </c>
      <c r="I6007" t="s">
        <v>4736</v>
      </c>
      <c r="J6007" t="s">
        <v>5191</v>
      </c>
      <c r="K6007" t="s">
        <v>728</v>
      </c>
      <c r="L6007">
        <v>0.6</v>
      </c>
      <c r="M6007" s="452">
        <v>45621</v>
      </c>
      <c r="N6007">
        <v>0.6</v>
      </c>
      <c r="O6007">
        <v>0.59</v>
      </c>
      <c r="P6007">
        <v>71.400000000000006</v>
      </c>
    </row>
    <row r="6008" spans="1:16" x14ac:dyDescent="0.3">
      <c r="A6008">
        <v>10967</v>
      </c>
      <c r="B6008">
        <v>105</v>
      </c>
      <c r="C6008" t="s">
        <v>557</v>
      </c>
      <c r="D6008" s="452">
        <v>45627</v>
      </c>
      <c r="E6008">
        <v>24308</v>
      </c>
      <c r="F6008" t="s">
        <v>4757</v>
      </c>
      <c r="G6008">
        <v>3658</v>
      </c>
      <c r="H6008">
        <v>32</v>
      </c>
      <c r="I6008" t="s">
        <v>4736</v>
      </c>
      <c r="J6008" t="s">
        <v>5222</v>
      </c>
      <c r="K6008" t="s">
        <v>728</v>
      </c>
      <c r="L6008">
        <v>0</v>
      </c>
      <c r="M6008" s="452">
        <v>45540</v>
      </c>
      <c r="N6008">
        <v>2.19</v>
      </c>
      <c r="O6008">
        <v>2.19</v>
      </c>
      <c r="P6008">
        <v>70.08</v>
      </c>
    </row>
    <row r="6009" spans="1:16" x14ac:dyDescent="0.3">
      <c r="A6009">
        <v>10783</v>
      </c>
      <c r="B6009">
        <v>105</v>
      </c>
      <c r="C6009" t="s">
        <v>557</v>
      </c>
      <c r="D6009" s="452">
        <v>45627</v>
      </c>
      <c r="E6009">
        <v>20510</v>
      </c>
      <c r="F6009" t="s">
        <v>5679</v>
      </c>
      <c r="G6009">
        <v>2153</v>
      </c>
      <c r="H6009">
        <v>1</v>
      </c>
      <c r="I6009" t="s">
        <v>4736</v>
      </c>
      <c r="J6009" t="s">
        <v>5191</v>
      </c>
      <c r="K6009" t="s">
        <v>728</v>
      </c>
      <c r="L6009">
        <v>0</v>
      </c>
      <c r="M6009" s="452">
        <v>45573</v>
      </c>
      <c r="N6009">
        <v>70</v>
      </c>
      <c r="O6009">
        <v>70</v>
      </c>
      <c r="P6009">
        <v>70</v>
      </c>
    </row>
    <row r="6010" spans="1:16" x14ac:dyDescent="0.3">
      <c r="A6010">
        <v>10914</v>
      </c>
      <c r="B6010">
        <v>105</v>
      </c>
      <c r="C6010" t="s">
        <v>557</v>
      </c>
      <c r="D6010" s="452">
        <v>45627</v>
      </c>
      <c r="E6010">
        <v>19264</v>
      </c>
      <c r="F6010" t="s">
        <v>5680</v>
      </c>
      <c r="G6010">
        <v>2781</v>
      </c>
      <c r="H6010">
        <v>1.0900000000000001</v>
      </c>
      <c r="I6010" t="s">
        <v>4738</v>
      </c>
      <c r="J6010" t="s">
        <v>5191</v>
      </c>
      <c r="K6010" t="s">
        <v>728</v>
      </c>
      <c r="L6010">
        <v>62.9</v>
      </c>
      <c r="M6010" s="452">
        <v>45615</v>
      </c>
      <c r="N6010">
        <v>64.900000000000006</v>
      </c>
      <c r="O6010">
        <v>56.42</v>
      </c>
      <c r="P6010">
        <v>68.56</v>
      </c>
    </row>
    <row r="6011" spans="1:16" x14ac:dyDescent="0.3">
      <c r="A6011">
        <v>10898</v>
      </c>
      <c r="B6011">
        <v>105</v>
      </c>
      <c r="C6011" t="s">
        <v>557</v>
      </c>
      <c r="D6011" s="452">
        <v>45627</v>
      </c>
      <c r="E6011">
        <v>19353</v>
      </c>
      <c r="F6011" t="s">
        <v>4851</v>
      </c>
      <c r="G6011">
        <v>2768</v>
      </c>
      <c r="H6011">
        <v>2.74</v>
      </c>
      <c r="I6011" t="s">
        <v>4744</v>
      </c>
      <c r="J6011" t="s">
        <v>5191</v>
      </c>
      <c r="K6011" t="s">
        <v>728</v>
      </c>
      <c r="L6011">
        <v>24.9</v>
      </c>
      <c r="M6011" s="452">
        <v>45624</v>
      </c>
      <c r="N6011">
        <v>24.9</v>
      </c>
      <c r="O6011">
        <v>24.9</v>
      </c>
      <c r="P6011">
        <v>68.23</v>
      </c>
    </row>
    <row r="6012" spans="1:16" x14ac:dyDescent="0.3">
      <c r="A6012">
        <v>10881</v>
      </c>
      <c r="B6012">
        <v>105</v>
      </c>
      <c r="C6012" t="s">
        <v>557</v>
      </c>
      <c r="D6012" s="452">
        <v>45627</v>
      </c>
      <c r="E6012">
        <v>19790</v>
      </c>
      <c r="F6012" t="s">
        <v>5073</v>
      </c>
      <c r="G6012">
        <v>2469</v>
      </c>
      <c r="H6012">
        <v>2</v>
      </c>
      <c r="I6012" t="s">
        <v>4744</v>
      </c>
      <c r="J6012" t="s">
        <v>5191</v>
      </c>
      <c r="K6012" t="s">
        <v>728</v>
      </c>
      <c r="L6012">
        <v>34</v>
      </c>
      <c r="M6012" s="452">
        <v>45607</v>
      </c>
      <c r="N6012">
        <v>34</v>
      </c>
      <c r="O6012">
        <v>36.5</v>
      </c>
      <c r="P6012">
        <v>68</v>
      </c>
    </row>
    <row r="6013" spans="1:16" x14ac:dyDescent="0.3">
      <c r="A6013">
        <v>10908</v>
      </c>
      <c r="B6013">
        <v>105</v>
      </c>
      <c r="C6013" t="s">
        <v>557</v>
      </c>
      <c r="D6013" s="452">
        <v>45627</v>
      </c>
      <c r="E6013">
        <v>19346</v>
      </c>
      <c r="F6013" t="s">
        <v>4835</v>
      </c>
      <c r="G6013">
        <v>2770</v>
      </c>
      <c r="H6013">
        <v>1.33</v>
      </c>
      <c r="I6013" t="s">
        <v>4744</v>
      </c>
      <c r="J6013" t="s">
        <v>5191</v>
      </c>
      <c r="K6013" t="s">
        <v>728</v>
      </c>
      <c r="L6013">
        <v>0</v>
      </c>
      <c r="M6013" s="452">
        <v>45554</v>
      </c>
      <c r="N6013">
        <v>50.45</v>
      </c>
      <c r="O6013">
        <v>51.9</v>
      </c>
      <c r="P6013">
        <v>67.099999999999994</v>
      </c>
    </row>
    <row r="6014" spans="1:16" x14ac:dyDescent="0.3">
      <c r="A6014">
        <v>10928</v>
      </c>
      <c r="B6014">
        <v>105</v>
      </c>
      <c r="C6014" t="s">
        <v>557</v>
      </c>
      <c r="D6014" s="452">
        <v>45627</v>
      </c>
      <c r="E6014">
        <v>18691</v>
      </c>
      <c r="F6014" t="s">
        <v>5681</v>
      </c>
      <c r="G6014">
        <v>3037</v>
      </c>
      <c r="H6014">
        <v>1.9</v>
      </c>
      <c r="I6014" t="s">
        <v>4744</v>
      </c>
      <c r="J6014" t="s">
        <v>5191</v>
      </c>
      <c r="K6014" t="s">
        <v>728</v>
      </c>
      <c r="L6014">
        <v>0</v>
      </c>
      <c r="M6014" s="452">
        <v>45490</v>
      </c>
      <c r="N6014">
        <v>34.9</v>
      </c>
      <c r="O6014">
        <v>34.9</v>
      </c>
      <c r="P6014">
        <v>66.31</v>
      </c>
    </row>
    <row r="6015" spans="1:16" x14ac:dyDescent="0.3">
      <c r="A6015">
        <v>10768</v>
      </c>
      <c r="B6015">
        <v>105</v>
      </c>
      <c r="C6015" t="s">
        <v>557</v>
      </c>
      <c r="D6015" s="452">
        <v>45627</v>
      </c>
      <c r="E6015">
        <v>20222</v>
      </c>
      <c r="F6015" t="s">
        <v>5682</v>
      </c>
      <c r="G6015">
        <v>2249</v>
      </c>
      <c r="H6015">
        <v>0.76</v>
      </c>
      <c r="I6015" t="s">
        <v>4736</v>
      </c>
      <c r="J6015" t="s">
        <v>5191</v>
      </c>
      <c r="K6015" t="s">
        <v>728</v>
      </c>
      <c r="L6015">
        <v>0</v>
      </c>
      <c r="M6015" s="452">
        <v>45545</v>
      </c>
      <c r="N6015">
        <v>0</v>
      </c>
      <c r="O6015">
        <v>0</v>
      </c>
      <c r="P6015">
        <v>64.599999999999994</v>
      </c>
    </row>
    <row r="6016" spans="1:16" x14ac:dyDescent="0.3">
      <c r="A6016">
        <v>10772</v>
      </c>
      <c r="B6016">
        <v>105</v>
      </c>
      <c r="C6016" t="s">
        <v>557</v>
      </c>
      <c r="D6016" s="452">
        <v>45627</v>
      </c>
      <c r="E6016">
        <v>21021</v>
      </c>
      <c r="F6016" t="s">
        <v>4883</v>
      </c>
      <c r="G6016">
        <v>2003</v>
      </c>
      <c r="H6016">
        <v>0.41</v>
      </c>
      <c r="I6016" t="s">
        <v>4884</v>
      </c>
      <c r="J6016" t="s">
        <v>5191</v>
      </c>
      <c r="K6016" t="s">
        <v>728</v>
      </c>
      <c r="L6016">
        <v>156.72</v>
      </c>
      <c r="M6016" s="452">
        <v>45622</v>
      </c>
      <c r="N6016">
        <v>169.9</v>
      </c>
      <c r="O6016">
        <v>169.9</v>
      </c>
      <c r="P6016">
        <v>64.260000000000005</v>
      </c>
    </row>
    <row r="6017" spans="1:16" x14ac:dyDescent="0.3">
      <c r="A6017">
        <v>10678</v>
      </c>
      <c r="B6017">
        <v>105</v>
      </c>
      <c r="C6017" t="s">
        <v>557</v>
      </c>
      <c r="D6017" s="452">
        <v>45627</v>
      </c>
      <c r="E6017">
        <v>24685</v>
      </c>
      <c r="F6017" t="s">
        <v>5055</v>
      </c>
      <c r="G6017">
        <v>5714</v>
      </c>
      <c r="H6017">
        <v>0.42</v>
      </c>
      <c r="I6017" t="s">
        <v>4805</v>
      </c>
      <c r="J6017" t="s">
        <v>5222</v>
      </c>
      <c r="K6017" t="s">
        <v>728</v>
      </c>
      <c r="L6017">
        <v>0</v>
      </c>
      <c r="M6017" s="452">
        <v>45534</v>
      </c>
      <c r="N6017">
        <v>149.9</v>
      </c>
      <c r="O6017">
        <v>142.9</v>
      </c>
      <c r="P6017">
        <v>62.96</v>
      </c>
    </row>
    <row r="6018" spans="1:16" x14ac:dyDescent="0.3">
      <c r="A6018">
        <v>10794</v>
      </c>
      <c r="B6018">
        <v>105</v>
      </c>
      <c r="C6018" t="s">
        <v>557</v>
      </c>
      <c r="D6018" s="452">
        <v>45627</v>
      </c>
      <c r="E6018">
        <v>20871</v>
      </c>
      <c r="F6018" t="s">
        <v>5015</v>
      </c>
      <c r="G6018">
        <v>2043</v>
      </c>
      <c r="H6018">
        <v>2</v>
      </c>
      <c r="I6018" t="s">
        <v>4879</v>
      </c>
      <c r="J6018" t="s">
        <v>5191</v>
      </c>
      <c r="K6018" t="s">
        <v>728</v>
      </c>
      <c r="L6018">
        <v>0</v>
      </c>
      <c r="M6018" s="452">
        <v>45589</v>
      </c>
      <c r="N6018">
        <v>30.9</v>
      </c>
      <c r="O6018">
        <v>22</v>
      </c>
      <c r="P6018">
        <v>61.8</v>
      </c>
    </row>
    <row r="6019" spans="1:16" x14ac:dyDescent="0.3">
      <c r="A6019">
        <v>10970</v>
      </c>
      <c r="B6019">
        <v>105</v>
      </c>
      <c r="C6019" t="s">
        <v>557</v>
      </c>
      <c r="D6019" s="452">
        <v>45627</v>
      </c>
      <c r="E6019">
        <v>24414</v>
      </c>
      <c r="F6019" t="s">
        <v>4746</v>
      </c>
      <c r="G6019">
        <v>3670</v>
      </c>
      <c r="H6019">
        <v>28</v>
      </c>
      <c r="I6019" t="s">
        <v>4736</v>
      </c>
      <c r="J6019" t="s">
        <v>5222</v>
      </c>
      <c r="K6019" t="s">
        <v>728</v>
      </c>
      <c r="L6019">
        <v>2.19</v>
      </c>
      <c r="M6019" s="452">
        <v>45623</v>
      </c>
      <c r="N6019">
        <v>2.19</v>
      </c>
      <c r="O6019">
        <v>2.19</v>
      </c>
      <c r="P6019">
        <v>61.32</v>
      </c>
    </row>
    <row r="6020" spans="1:16" x14ac:dyDescent="0.3">
      <c r="A6020">
        <v>10830</v>
      </c>
      <c r="B6020">
        <v>105</v>
      </c>
      <c r="C6020" t="s">
        <v>557</v>
      </c>
      <c r="D6020" s="452">
        <v>45627</v>
      </c>
      <c r="E6020">
        <v>19458</v>
      </c>
      <c r="F6020" t="s">
        <v>5589</v>
      </c>
      <c r="G6020">
        <v>2746</v>
      </c>
      <c r="H6020">
        <v>6.1</v>
      </c>
      <c r="I6020" t="s">
        <v>4744</v>
      </c>
      <c r="J6020" t="s">
        <v>5191</v>
      </c>
      <c r="K6020" t="s">
        <v>728</v>
      </c>
      <c r="L6020">
        <v>9.9600000000000009</v>
      </c>
      <c r="M6020" s="452">
        <v>45625</v>
      </c>
      <c r="N6020">
        <v>11</v>
      </c>
      <c r="O6020">
        <v>11</v>
      </c>
      <c r="P6020">
        <v>60.76</v>
      </c>
    </row>
    <row r="6021" spans="1:16" x14ac:dyDescent="0.3">
      <c r="A6021">
        <v>10756</v>
      </c>
      <c r="B6021">
        <v>105</v>
      </c>
      <c r="C6021" t="s">
        <v>557</v>
      </c>
      <c r="D6021" s="452">
        <v>45627</v>
      </c>
      <c r="E6021">
        <v>20390</v>
      </c>
      <c r="F6021" t="s">
        <v>5543</v>
      </c>
      <c r="G6021">
        <v>2194</v>
      </c>
      <c r="H6021">
        <v>2.9</v>
      </c>
      <c r="I6021" t="s">
        <v>4738</v>
      </c>
      <c r="J6021" t="s">
        <v>5191</v>
      </c>
      <c r="K6021" t="s">
        <v>728</v>
      </c>
      <c r="L6021">
        <v>0</v>
      </c>
      <c r="M6021" s="452">
        <v>45434</v>
      </c>
      <c r="N6021">
        <v>20.8</v>
      </c>
      <c r="O6021">
        <v>20.8</v>
      </c>
      <c r="P6021">
        <v>60.32</v>
      </c>
    </row>
    <row r="6022" spans="1:16" x14ac:dyDescent="0.3">
      <c r="A6022">
        <v>10905</v>
      </c>
      <c r="B6022">
        <v>105</v>
      </c>
      <c r="C6022" t="s">
        <v>557</v>
      </c>
      <c r="D6022" s="452">
        <v>45627</v>
      </c>
      <c r="E6022">
        <v>19364</v>
      </c>
      <c r="F6022" t="s">
        <v>5599</v>
      </c>
      <c r="G6022">
        <v>2767</v>
      </c>
      <c r="H6022">
        <v>0.52</v>
      </c>
      <c r="I6022" t="s">
        <v>4736</v>
      </c>
      <c r="J6022" t="s">
        <v>5191</v>
      </c>
      <c r="K6022" t="s">
        <v>728</v>
      </c>
      <c r="L6022">
        <v>0</v>
      </c>
      <c r="M6022" s="452">
        <v>45565</v>
      </c>
      <c r="N6022">
        <v>115.55</v>
      </c>
      <c r="O6022">
        <v>115.55</v>
      </c>
      <c r="P6022">
        <v>60.09</v>
      </c>
    </row>
    <row r="6023" spans="1:16" x14ac:dyDescent="0.3">
      <c r="A6023">
        <v>10840</v>
      </c>
      <c r="B6023">
        <v>105</v>
      </c>
      <c r="C6023" t="s">
        <v>557</v>
      </c>
      <c r="D6023" s="452">
        <v>45627</v>
      </c>
      <c r="E6023">
        <v>19783</v>
      </c>
      <c r="F6023" t="s">
        <v>4960</v>
      </c>
      <c r="G6023">
        <v>2475</v>
      </c>
      <c r="H6023">
        <v>9.85</v>
      </c>
      <c r="I6023" t="s">
        <v>4744</v>
      </c>
      <c r="J6023" t="s">
        <v>5191</v>
      </c>
      <c r="K6023" t="s">
        <v>728</v>
      </c>
      <c r="L6023">
        <v>6.09</v>
      </c>
      <c r="M6023" s="452">
        <v>45624</v>
      </c>
      <c r="N6023">
        <v>6</v>
      </c>
      <c r="O6023">
        <v>5.98</v>
      </c>
      <c r="P6023">
        <v>59.99</v>
      </c>
    </row>
    <row r="6024" spans="1:16" x14ac:dyDescent="0.3">
      <c r="A6024">
        <v>11036</v>
      </c>
      <c r="B6024">
        <v>105</v>
      </c>
      <c r="C6024" t="s">
        <v>557</v>
      </c>
      <c r="D6024" s="452">
        <v>45627</v>
      </c>
      <c r="E6024">
        <v>17589</v>
      </c>
      <c r="F6024" t="s">
        <v>5683</v>
      </c>
      <c r="G6024">
        <v>3937</v>
      </c>
      <c r="H6024">
        <v>1</v>
      </c>
      <c r="I6024" t="s">
        <v>4736</v>
      </c>
      <c r="J6024" t="s">
        <v>5222</v>
      </c>
      <c r="K6024" t="s">
        <v>728</v>
      </c>
      <c r="L6024">
        <v>0</v>
      </c>
      <c r="M6024" s="452">
        <v>-693593</v>
      </c>
      <c r="N6024">
        <v>0</v>
      </c>
      <c r="O6024">
        <v>0</v>
      </c>
      <c r="P6024">
        <v>59.9</v>
      </c>
    </row>
    <row r="6025" spans="1:16" x14ac:dyDescent="0.3">
      <c r="A6025">
        <v>10716</v>
      </c>
      <c r="B6025">
        <v>105</v>
      </c>
      <c r="C6025" t="s">
        <v>557</v>
      </c>
      <c r="D6025" s="452">
        <v>45627</v>
      </c>
      <c r="E6025">
        <v>21079</v>
      </c>
      <c r="F6025" t="s">
        <v>5124</v>
      </c>
      <c r="G6025">
        <v>1991</v>
      </c>
      <c r="H6025">
        <v>2</v>
      </c>
      <c r="I6025" t="s">
        <v>4736</v>
      </c>
      <c r="J6025" t="s">
        <v>5191</v>
      </c>
      <c r="K6025" t="s">
        <v>728</v>
      </c>
      <c r="L6025">
        <v>0</v>
      </c>
      <c r="M6025" s="452">
        <v>45490</v>
      </c>
      <c r="N6025">
        <v>29.9</v>
      </c>
      <c r="O6025">
        <v>29</v>
      </c>
      <c r="P6025">
        <v>59.8</v>
      </c>
    </row>
    <row r="6026" spans="1:16" x14ac:dyDescent="0.3">
      <c r="A6026">
        <v>10804</v>
      </c>
      <c r="B6026">
        <v>105</v>
      </c>
      <c r="C6026" t="s">
        <v>557</v>
      </c>
      <c r="D6026" s="452">
        <v>45627</v>
      </c>
      <c r="E6026">
        <v>19946</v>
      </c>
      <c r="F6026" t="s">
        <v>5638</v>
      </c>
      <c r="G6026">
        <v>2360</v>
      </c>
      <c r="H6026">
        <v>1</v>
      </c>
      <c r="I6026" t="s">
        <v>4879</v>
      </c>
      <c r="J6026" t="s">
        <v>5191</v>
      </c>
      <c r="K6026" t="s">
        <v>728</v>
      </c>
      <c r="L6026">
        <v>0</v>
      </c>
      <c r="M6026" s="452">
        <v>45561</v>
      </c>
      <c r="N6026">
        <v>59.5</v>
      </c>
      <c r="O6026">
        <v>59.6</v>
      </c>
      <c r="P6026">
        <v>59.5</v>
      </c>
    </row>
    <row r="6027" spans="1:16" x14ac:dyDescent="0.3">
      <c r="A6027">
        <v>10731</v>
      </c>
      <c r="B6027">
        <v>105</v>
      </c>
      <c r="C6027" t="s">
        <v>557</v>
      </c>
      <c r="D6027" s="452">
        <v>45627</v>
      </c>
      <c r="E6027">
        <v>20719</v>
      </c>
      <c r="F6027" t="s">
        <v>5684</v>
      </c>
      <c r="G6027">
        <v>2096</v>
      </c>
      <c r="H6027">
        <v>1.1000000000000001</v>
      </c>
      <c r="I6027" t="s">
        <v>4736</v>
      </c>
      <c r="J6027" t="s">
        <v>5191</v>
      </c>
      <c r="K6027" t="s">
        <v>728</v>
      </c>
      <c r="L6027">
        <v>0</v>
      </c>
      <c r="M6027" s="452">
        <v>45580</v>
      </c>
      <c r="N6027">
        <v>52.75</v>
      </c>
      <c r="O6027">
        <v>49.98</v>
      </c>
      <c r="P6027">
        <v>58.03</v>
      </c>
    </row>
    <row r="6028" spans="1:16" x14ac:dyDescent="0.3">
      <c r="A6028">
        <v>10666</v>
      </c>
      <c r="B6028">
        <v>105</v>
      </c>
      <c r="C6028" t="s">
        <v>557</v>
      </c>
      <c r="D6028" s="452">
        <v>45627</v>
      </c>
      <c r="E6028">
        <v>18502</v>
      </c>
      <c r="F6028" t="s">
        <v>4893</v>
      </c>
      <c r="G6028">
        <v>3155</v>
      </c>
      <c r="H6028">
        <v>1</v>
      </c>
      <c r="I6028" t="s">
        <v>4805</v>
      </c>
      <c r="J6028" t="s">
        <v>5222</v>
      </c>
      <c r="K6028" t="s">
        <v>728</v>
      </c>
      <c r="L6028">
        <v>0</v>
      </c>
      <c r="M6028" s="452">
        <v>45420</v>
      </c>
      <c r="N6028">
        <v>57.86</v>
      </c>
      <c r="O6028">
        <v>57.86</v>
      </c>
      <c r="P6028">
        <v>57.86</v>
      </c>
    </row>
    <row r="6029" spans="1:16" x14ac:dyDescent="0.3">
      <c r="A6029">
        <v>10971</v>
      </c>
      <c r="B6029">
        <v>105</v>
      </c>
      <c r="C6029" t="s">
        <v>557</v>
      </c>
      <c r="D6029" s="452">
        <v>45627</v>
      </c>
      <c r="E6029">
        <v>24467</v>
      </c>
      <c r="F6029" t="s">
        <v>4766</v>
      </c>
      <c r="G6029">
        <v>3673</v>
      </c>
      <c r="H6029">
        <v>29</v>
      </c>
      <c r="I6029" t="s">
        <v>4736</v>
      </c>
      <c r="J6029" t="s">
        <v>5222</v>
      </c>
      <c r="K6029" t="s">
        <v>728</v>
      </c>
      <c r="L6029">
        <v>0</v>
      </c>
      <c r="M6029" s="452">
        <v>45520</v>
      </c>
      <c r="N6029">
        <v>1.99</v>
      </c>
      <c r="O6029">
        <v>2.19</v>
      </c>
      <c r="P6029">
        <v>57.71</v>
      </c>
    </row>
    <row r="6030" spans="1:16" x14ac:dyDescent="0.3">
      <c r="A6030">
        <v>10774</v>
      </c>
      <c r="B6030">
        <v>105</v>
      </c>
      <c r="C6030" t="s">
        <v>557</v>
      </c>
      <c r="D6030" s="452">
        <v>45627</v>
      </c>
      <c r="E6030">
        <v>23630</v>
      </c>
      <c r="F6030" t="s">
        <v>4813</v>
      </c>
      <c r="G6030">
        <v>2251</v>
      </c>
      <c r="H6030">
        <v>5</v>
      </c>
      <c r="I6030" t="s">
        <v>4744</v>
      </c>
      <c r="J6030" t="s">
        <v>5191</v>
      </c>
      <c r="K6030" t="s">
        <v>728</v>
      </c>
      <c r="L6030">
        <v>11.5</v>
      </c>
      <c r="M6030" s="452">
        <v>45622</v>
      </c>
      <c r="N6030">
        <v>11.3</v>
      </c>
      <c r="O6030">
        <v>11.3</v>
      </c>
      <c r="P6030">
        <v>57.5</v>
      </c>
    </row>
    <row r="6031" spans="1:16" x14ac:dyDescent="0.3">
      <c r="A6031">
        <v>10708</v>
      </c>
      <c r="B6031">
        <v>105</v>
      </c>
      <c r="C6031" t="s">
        <v>557</v>
      </c>
      <c r="D6031" s="452">
        <v>45627</v>
      </c>
      <c r="E6031">
        <v>16997</v>
      </c>
      <c r="F6031" t="s">
        <v>5516</v>
      </c>
      <c r="G6031">
        <v>4750</v>
      </c>
      <c r="H6031">
        <v>1.9</v>
      </c>
      <c r="I6031" t="s">
        <v>4744</v>
      </c>
      <c r="J6031" t="s">
        <v>5191</v>
      </c>
      <c r="K6031" t="s">
        <v>728</v>
      </c>
      <c r="L6031">
        <v>0</v>
      </c>
      <c r="M6031" s="452">
        <v>45520</v>
      </c>
      <c r="N6031">
        <v>29.92</v>
      </c>
      <c r="O6031">
        <v>29.92</v>
      </c>
      <c r="P6031">
        <v>56.84</v>
      </c>
    </row>
    <row r="6032" spans="1:16" x14ac:dyDescent="0.3">
      <c r="A6032">
        <v>10754</v>
      </c>
      <c r="B6032">
        <v>105</v>
      </c>
      <c r="C6032" t="s">
        <v>557</v>
      </c>
      <c r="D6032" s="452">
        <v>45627</v>
      </c>
      <c r="E6032">
        <v>23698</v>
      </c>
      <c r="F6032" t="s">
        <v>5453</v>
      </c>
      <c r="G6032">
        <v>2188</v>
      </c>
      <c r="H6032">
        <v>1</v>
      </c>
      <c r="I6032" t="s">
        <v>4744</v>
      </c>
      <c r="J6032" t="s">
        <v>5191</v>
      </c>
      <c r="K6032" t="s">
        <v>728</v>
      </c>
      <c r="L6032">
        <v>0</v>
      </c>
      <c r="M6032" s="452">
        <v>45559</v>
      </c>
      <c r="N6032">
        <v>56.5</v>
      </c>
      <c r="O6032">
        <v>56.5</v>
      </c>
      <c r="P6032">
        <v>56.5</v>
      </c>
    </row>
    <row r="6033" spans="1:16" x14ac:dyDescent="0.3">
      <c r="A6033">
        <v>10751</v>
      </c>
      <c r="B6033">
        <v>105</v>
      </c>
      <c r="C6033" t="s">
        <v>557</v>
      </c>
      <c r="D6033" s="452">
        <v>45627</v>
      </c>
      <c r="E6033">
        <v>24213</v>
      </c>
      <c r="F6033" t="s">
        <v>5636</v>
      </c>
      <c r="G6033">
        <v>2106</v>
      </c>
      <c r="H6033">
        <v>4</v>
      </c>
      <c r="I6033" t="s">
        <v>4744</v>
      </c>
      <c r="J6033" t="s">
        <v>5191</v>
      </c>
      <c r="K6033" t="s">
        <v>728</v>
      </c>
      <c r="L6033">
        <v>0</v>
      </c>
      <c r="M6033" s="452">
        <v>45593</v>
      </c>
      <c r="N6033">
        <v>13.99</v>
      </c>
      <c r="O6033">
        <v>13.99</v>
      </c>
      <c r="P6033">
        <v>55.96</v>
      </c>
    </row>
    <row r="6034" spans="1:16" x14ac:dyDescent="0.3">
      <c r="A6034">
        <v>11011</v>
      </c>
      <c r="B6034">
        <v>105</v>
      </c>
      <c r="C6034" t="s">
        <v>557</v>
      </c>
      <c r="D6034" s="452">
        <v>45627</v>
      </c>
      <c r="E6034">
        <v>25750</v>
      </c>
      <c r="F6034" t="s">
        <v>4908</v>
      </c>
      <c r="G6034">
        <v>6301</v>
      </c>
      <c r="H6034">
        <v>8</v>
      </c>
      <c r="I6034" t="s">
        <v>4736</v>
      </c>
      <c r="J6034" t="s">
        <v>5191</v>
      </c>
      <c r="K6034" t="s">
        <v>728</v>
      </c>
      <c r="L6034">
        <v>0</v>
      </c>
      <c r="M6034" s="452">
        <v>-693593</v>
      </c>
      <c r="N6034">
        <v>0</v>
      </c>
      <c r="O6034">
        <v>0</v>
      </c>
      <c r="P6034">
        <v>55.92</v>
      </c>
    </row>
    <row r="6035" spans="1:16" x14ac:dyDescent="0.3">
      <c r="A6035">
        <v>11024</v>
      </c>
      <c r="B6035">
        <v>105</v>
      </c>
      <c r="C6035" t="s">
        <v>557</v>
      </c>
      <c r="D6035" s="452">
        <v>45627</v>
      </c>
      <c r="E6035">
        <v>25759</v>
      </c>
      <c r="F6035" t="s">
        <v>4877</v>
      </c>
      <c r="G6035">
        <v>9073</v>
      </c>
      <c r="H6035">
        <v>8</v>
      </c>
      <c r="I6035" t="s">
        <v>4736</v>
      </c>
      <c r="J6035" t="s">
        <v>5191</v>
      </c>
      <c r="K6035" t="s">
        <v>728</v>
      </c>
      <c r="L6035">
        <v>0</v>
      </c>
      <c r="M6035" s="452">
        <v>-693593</v>
      </c>
      <c r="N6035">
        <v>0</v>
      </c>
      <c r="O6035">
        <v>0</v>
      </c>
      <c r="P6035">
        <v>55.92</v>
      </c>
    </row>
    <row r="6036" spans="1:16" x14ac:dyDescent="0.3">
      <c r="A6036">
        <v>10968</v>
      </c>
      <c r="B6036">
        <v>105</v>
      </c>
      <c r="C6036" t="s">
        <v>557</v>
      </c>
      <c r="D6036" s="452">
        <v>45627</v>
      </c>
      <c r="E6036">
        <v>24409</v>
      </c>
      <c r="F6036" t="s">
        <v>4742</v>
      </c>
      <c r="G6036">
        <v>3665</v>
      </c>
      <c r="H6036">
        <v>25</v>
      </c>
      <c r="I6036" t="s">
        <v>4736</v>
      </c>
      <c r="J6036" t="s">
        <v>5222</v>
      </c>
      <c r="K6036" t="s">
        <v>728</v>
      </c>
      <c r="L6036">
        <v>0</v>
      </c>
      <c r="M6036" s="452">
        <v>45540</v>
      </c>
      <c r="N6036">
        <v>2.19</v>
      </c>
      <c r="O6036">
        <v>2.19</v>
      </c>
      <c r="P6036">
        <v>54.75</v>
      </c>
    </row>
    <row r="6037" spans="1:16" x14ac:dyDescent="0.3">
      <c r="A6037">
        <v>10704</v>
      </c>
      <c r="B6037">
        <v>105</v>
      </c>
      <c r="C6037" t="s">
        <v>557</v>
      </c>
      <c r="D6037" s="452">
        <v>45627</v>
      </c>
      <c r="E6037">
        <v>24456</v>
      </c>
      <c r="F6037" t="s">
        <v>4845</v>
      </c>
      <c r="G6037">
        <v>1965</v>
      </c>
      <c r="H6037">
        <v>2.1</v>
      </c>
      <c r="I6037" t="s">
        <v>4744</v>
      </c>
      <c r="J6037" t="s">
        <v>5191</v>
      </c>
      <c r="K6037" t="s">
        <v>728</v>
      </c>
      <c r="L6037">
        <v>0</v>
      </c>
      <c r="M6037" s="452">
        <v>45546</v>
      </c>
      <c r="N6037">
        <v>26</v>
      </c>
      <c r="O6037">
        <v>22.95</v>
      </c>
      <c r="P6037">
        <v>54.6</v>
      </c>
    </row>
    <row r="6038" spans="1:16" x14ac:dyDescent="0.3">
      <c r="A6038">
        <v>10647</v>
      </c>
      <c r="B6038">
        <v>105</v>
      </c>
      <c r="C6038" t="s">
        <v>557</v>
      </c>
      <c r="D6038" s="452">
        <v>45627</v>
      </c>
      <c r="E6038">
        <v>24141</v>
      </c>
      <c r="F6038" t="s">
        <v>5088</v>
      </c>
      <c r="G6038">
        <v>3083</v>
      </c>
      <c r="H6038">
        <v>9.6300000000000008</v>
      </c>
      <c r="I6038" t="s">
        <v>4749</v>
      </c>
      <c r="J6038" t="s">
        <v>5222</v>
      </c>
      <c r="K6038" t="s">
        <v>728</v>
      </c>
      <c r="L6038">
        <v>0</v>
      </c>
      <c r="M6038" s="452">
        <v>45546</v>
      </c>
      <c r="N6038">
        <v>5.61</v>
      </c>
      <c r="O6038">
        <v>5.61</v>
      </c>
      <c r="P6038">
        <v>54.01</v>
      </c>
    </row>
    <row r="6039" spans="1:16" x14ac:dyDescent="0.3">
      <c r="A6039">
        <v>10674</v>
      </c>
      <c r="B6039">
        <v>105</v>
      </c>
      <c r="C6039" t="s">
        <v>557</v>
      </c>
      <c r="D6039" s="452">
        <v>45627</v>
      </c>
      <c r="E6039">
        <v>18339</v>
      </c>
      <c r="F6039" t="s">
        <v>5033</v>
      </c>
      <c r="G6039">
        <v>3296</v>
      </c>
      <c r="H6039">
        <v>1</v>
      </c>
      <c r="I6039" t="s">
        <v>4805</v>
      </c>
      <c r="J6039" t="s">
        <v>5222</v>
      </c>
      <c r="K6039" t="s">
        <v>728</v>
      </c>
      <c r="L6039">
        <v>0</v>
      </c>
      <c r="M6039" s="452">
        <v>-693593</v>
      </c>
      <c r="N6039">
        <v>0</v>
      </c>
      <c r="O6039">
        <v>53.67</v>
      </c>
      <c r="P6039">
        <v>53.67</v>
      </c>
    </row>
    <row r="6040" spans="1:16" x14ac:dyDescent="0.3">
      <c r="A6040">
        <v>10833</v>
      </c>
      <c r="B6040">
        <v>105</v>
      </c>
      <c r="C6040" t="s">
        <v>557</v>
      </c>
      <c r="D6040" s="452">
        <v>45627</v>
      </c>
      <c r="E6040">
        <v>19502</v>
      </c>
      <c r="F6040" t="s">
        <v>4871</v>
      </c>
      <c r="G6040">
        <v>2708</v>
      </c>
      <c r="H6040">
        <v>4.0999999999999996</v>
      </c>
      <c r="I6040" t="s">
        <v>4744</v>
      </c>
      <c r="J6040" t="s">
        <v>5191</v>
      </c>
      <c r="K6040" t="s">
        <v>728</v>
      </c>
      <c r="L6040">
        <v>13.09</v>
      </c>
      <c r="M6040" s="452">
        <v>45624</v>
      </c>
      <c r="N6040">
        <v>20</v>
      </c>
      <c r="O6040">
        <v>27.43</v>
      </c>
      <c r="P6040">
        <v>53.67</v>
      </c>
    </row>
    <row r="6041" spans="1:16" x14ac:dyDescent="0.3">
      <c r="A6041">
        <v>10780</v>
      </c>
      <c r="B6041">
        <v>105</v>
      </c>
      <c r="C6041" t="s">
        <v>557</v>
      </c>
      <c r="D6041" s="452">
        <v>45627</v>
      </c>
      <c r="E6041">
        <v>20525</v>
      </c>
      <c r="F6041" t="s">
        <v>5631</v>
      </c>
      <c r="G6041">
        <v>2146</v>
      </c>
      <c r="H6041">
        <v>2</v>
      </c>
      <c r="I6041" t="s">
        <v>4738</v>
      </c>
      <c r="J6041" t="s">
        <v>5191</v>
      </c>
      <c r="K6041" t="s">
        <v>728</v>
      </c>
      <c r="L6041">
        <v>26.44</v>
      </c>
      <c r="M6041" s="452">
        <v>45601</v>
      </c>
      <c r="N6041">
        <v>26.44</v>
      </c>
      <c r="O6041">
        <v>26.44</v>
      </c>
      <c r="P6041">
        <v>52.88</v>
      </c>
    </row>
    <row r="6042" spans="1:16" x14ac:dyDescent="0.3">
      <c r="A6042">
        <v>10890</v>
      </c>
      <c r="B6042">
        <v>105</v>
      </c>
      <c r="C6042" t="s">
        <v>557</v>
      </c>
      <c r="D6042" s="452">
        <v>45627</v>
      </c>
      <c r="E6042">
        <v>19551</v>
      </c>
      <c r="F6042" t="s">
        <v>4905</v>
      </c>
      <c r="G6042">
        <v>2665</v>
      </c>
      <c r="H6042">
        <v>4.3600000000000003</v>
      </c>
      <c r="I6042" t="s">
        <v>4744</v>
      </c>
      <c r="J6042" t="s">
        <v>5191</v>
      </c>
      <c r="K6042" t="s">
        <v>728</v>
      </c>
      <c r="L6042">
        <v>12.11</v>
      </c>
      <c r="M6042" s="452">
        <v>45624</v>
      </c>
      <c r="N6042">
        <v>12</v>
      </c>
      <c r="O6042">
        <v>12</v>
      </c>
      <c r="P6042">
        <v>52.8</v>
      </c>
    </row>
    <row r="6043" spans="1:16" x14ac:dyDescent="0.3">
      <c r="A6043">
        <v>10844</v>
      </c>
      <c r="B6043">
        <v>105</v>
      </c>
      <c r="C6043" t="s">
        <v>557</v>
      </c>
      <c r="D6043" s="452">
        <v>45627</v>
      </c>
      <c r="E6043">
        <v>19634</v>
      </c>
      <c r="F6043" t="s">
        <v>4792</v>
      </c>
      <c r="G6043">
        <v>2602</v>
      </c>
      <c r="H6043">
        <v>7.88</v>
      </c>
      <c r="I6043" t="s">
        <v>4744</v>
      </c>
      <c r="J6043" t="s">
        <v>5191</v>
      </c>
      <c r="K6043" t="s">
        <v>728</v>
      </c>
      <c r="L6043">
        <v>6.68</v>
      </c>
      <c r="M6043" s="452">
        <v>45625</v>
      </c>
      <c r="N6043">
        <v>6.5</v>
      </c>
      <c r="O6043">
        <v>6.38</v>
      </c>
      <c r="P6043">
        <v>52.64</v>
      </c>
    </row>
    <row r="6044" spans="1:16" x14ac:dyDescent="0.3">
      <c r="A6044">
        <v>10953</v>
      </c>
      <c r="B6044">
        <v>105</v>
      </c>
      <c r="C6044" t="s">
        <v>557</v>
      </c>
      <c r="D6044" s="452">
        <v>45627</v>
      </c>
      <c r="E6044">
        <v>24029</v>
      </c>
      <c r="F6044" t="s">
        <v>4756</v>
      </c>
      <c r="G6044">
        <v>3591</v>
      </c>
      <c r="H6044">
        <v>24</v>
      </c>
      <c r="I6044" t="s">
        <v>4736</v>
      </c>
      <c r="J6044" t="s">
        <v>5222</v>
      </c>
      <c r="K6044" t="s">
        <v>728</v>
      </c>
      <c r="L6044">
        <v>0</v>
      </c>
      <c r="M6044" s="452">
        <v>45546</v>
      </c>
      <c r="N6044">
        <v>2.19</v>
      </c>
      <c r="O6044">
        <v>2.19</v>
      </c>
      <c r="P6044">
        <v>52.56</v>
      </c>
    </row>
    <row r="6045" spans="1:16" x14ac:dyDescent="0.3">
      <c r="A6045">
        <v>10904</v>
      </c>
      <c r="B6045">
        <v>105</v>
      </c>
      <c r="C6045" t="s">
        <v>557</v>
      </c>
      <c r="D6045" s="452">
        <v>45627</v>
      </c>
      <c r="E6045">
        <v>19381</v>
      </c>
      <c r="F6045" t="s">
        <v>5685</v>
      </c>
      <c r="G6045">
        <v>2763</v>
      </c>
      <c r="H6045">
        <v>0.65</v>
      </c>
      <c r="I6045" t="s">
        <v>4879</v>
      </c>
      <c r="J6045" t="s">
        <v>5191</v>
      </c>
      <c r="K6045" t="s">
        <v>728</v>
      </c>
      <c r="L6045">
        <v>0</v>
      </c>
      <c r="M6045" s="452">
        <v>45497</v>
      </c>
      <c r="N6045">
        <v>78.900000000000006</v>
      </c>
      <c r="O6045">
        <v>81.3</v>
      </c>
      <c r="P6045">
        <v>51.28</v>
      </c>
    </row>
    <row r="6046" spans="1:16" x14ac:dyDescent="0.3">
      <c r="A6046">
        <v>10740</v>
      </c>
      <c r="B6046">
        <v>105</v>
      </c>
      <c r="C6046" t="s">
        <v>557</v>
      </c>
      <c r="D6046" s="452">
        <v>45627</v>
      </c>
      <c r="E6046">
        <v>20044</v>
      </c>
      <c r="F6046" t="s">
        <v>4932</v>
      </c>
      <c r="G6046">
        <v>2329</v>
      </c>
      <c r="H6046">
        <v>2.5099999999999998</v>
      </c>
      <c r="I6046" t="s">
        <v>4744</v>
      </c>
      <c r="J6046" t="s">
        <v>5191</v>
      </c>
      <c r="K6046" t="s">
        <v>728</v>
      </c>
      <c r="L6046">
        <v>0</v>
      </c>
      <c r="M6046" s="452">
        <v>45582</v>
      </c>
      <c r="N6046">
        <v>19.899999999999999</v>
      </c>
      <c r="O6046">
        <v>54</v>
      </c>
      <c r="P6046">
        <v>49.95</v>
      </c>
    </row>
    <row r="6047" spans="1:16" x14ac:dyDescent="0.3">
      <c r="A6047">
        <v>10669</v>
      </c>
      <c r="B6047">
        <v>105</v>
      </c>
      <c r="C6047" t="s">
        <v>557</v>
      </c>
      <c r="D6047" s="452">
        <v>45627</v>
      </c>
      <c r="E6047">
        <v>18477</v>
      </c>
      <c r="F6047" t="s">
        <v>4920</v>
      </c>
      <c r="G6047">
        <v>3179</v>
      </c>
      <c r="H6047">
        <v>1</v>
      </c>
      <c r="I6047" t="s">
        <v>4805</v>
      </c>
      <c r="J6047" t="s">
        <v>5222</v>
      </c>
      <c r="K6047" t="s">
        <v>728</v>
      </c>
      <c r="L6047">
        <v>0</v>
      </c>
      <c r="M6047" s="452">
        <v>45525</v>
      </c>
      <c r="N6047">
        <v>49.9</v>
      </c>
      <c r="O6047">
        <v>43.9</v>
      </c>
      <c r="P6047">
        <v>49.9</v>
      </c>
    </row>
    <row r="6048" spans="1:16" x14ac:dyDescent="0.3">
      <c r="A6048">
        <v>10850</v>
      </c>
      <c r="B6048">
        <v>105</v>
      </c>
      <c r="C6048" t="s">
        <v>557</v>
      </c>
      <c r="D6048" s="452">
        <v>45627</v>
      </c>
      <c r="E6048">
        <v>19623</v>
      </c>
      <c r="F6048" t="s">
        <v>4764</v>
      </c>
      <c r="G6048">
        <v>2611</v>
      </c>
      <c r="H6048">
        <v>16.149999999999999</v>
      </c>
      <c r="I6048" t="s">
        <v>4744</v>
      </c>
      <c r="J6048" t="s">
        <v>5191</v>
      </c>
      <c r="K6048" t="s">
        <v>728</v>
      </c>
      <c r="L6048">
        <v>3.08</v>
      </c>
      <c r="M6048" s="452">
        <v>45624</v>
      </c>
      <c r="N6048">
        <v>3</v>
      </c>
      <c r="O6048">
        <v>2.97</v>
      </c>
      <c r="P6048">
        <v>49.74</v>
      </c>
    </row>
    <row r="6049" spans="1:16" x14ac:dyDescent="0.3">
      <c r="A6049">
        <v>10792</v>
      </c>
      <c r="B6049">
        <v>105</v>
      </c>
      <c r="C6049" t="s">
        <v>557</v>
      </c>
      <c r="D6049" s="452">
        <v>45627</v>
      </c>
      <c r="E6049">
        <v>24363</v>
      </c>
      <c r="F6049" t="s">
        <v>5531</v>
      </c>
      <c r="G6049">
        <v>2040</v>
      </c>
      <c r="H6049">
        <v>1.5</v>
      </c>
      <c r="I6049" t="s">
        <v>4744</v>
      </c>
      <c r="J6049" t="s">
        <v>5191</v>
      </c>
      <c r="K6049" t="s">
        <v>728</v>
      </c>
      <c r="L6049">
        <v>0</v>
      </c>
      <c r="M6049" s="452">
        <v>45525</v>
      </c>
      <c r="N6049">
        <v>32.9</v>
      </c>
      <c r="O6049">
        <v>32.9</v>
      </c>
      <c r="P6049">
        <v>49.35</v>
      </c>
    </row>
    <row r="6050" spans="1:16" x14ac:dyDescent="0.3">
      <c r="A6050">
        <v>10947</v>
      </c>
      <c r="B6050">
        <v>105</v>
      </c>
      <c r="C6050" t="s">
        <v>557</v>
      </c>
      <c r="D6050" s="452">
        <v>45627</v>
      </c>
      <c r="E6050">
        <v>18745</v>
      </c>
      <c r="F6050" t="s">
        <v>4892</v>
      </c>
      <c r="G6050">
        <v>3014</v>
      </c>
      <c r="H6050">
        <v>5</v>
      </c>
      <c r="I6050" t="s">
        <v>4736</v>
      </c>
      <c r="J6050" t="s">
        <v>5191</v>
      </c>
      <c r="K6050" t="s">
        <v>728</v>
      </c>
      <c r="L6050">
        <v>0</v>
      </c>
      <c r="M6050" s="452">
        <v>45386</v>
      </c>
      <c r="N6050">
        <v>9.8000000000000007</v>
      </c>
      <c r="O6050">
        <v>9.8000000000000007</v>
      </c>
      <c r="P6050">
        <v>49</v>
      </c>
    </row>
    <row r="6051" spans="1:16" x14ac:dyDescent="0.3">
      <c r="A6051">
        <v>11012</v>
      </c>
      <c r="B6051">
        <v>105</v>
      </c>
      <c r="C6051" t="s">
        <v>557</v>
      </c>
      <c r="D6051" s="452">
        <v>45627</v>
      </c>
      <c r="E6051">
        <v>25751</v>
      </c>
      <c r="F6051" t="s">
        <v>5169</v>
      </c>
      <c r="G6051">
        <v>6302</v>
      </c>
      <c r="H6051">
        <v>7</v>
      </c>
      <c r="I6051" t="s">
        <v>4736</v>
      </c>
      <c r="J6051" t="s">
        <v>5191</v>
      </c>
      <c r="K6051" t="s">
        <v>728</v>
      </c>
      <c r="L6051">
        <v>0</v>
      </c>
      <c r="M6051" s="452">
        <v>-693593</v>
      </c>
      <c r="N6051">
        <v>0</v>
      </c>
      <c r="O6051">
        <v>0</v>
      </c>
      <c r="P6051">
        <v>48.93</v>
      </c>
    </row>
    <row r="6052" spans="1:16" x14ac:dyDescent="0.3">
      <c r="A6052">
        <v>10762</v>
      </c>
      <c r="B6052">
        <v>105</v>
      </c>
      <c r="C6052" t="s">
        <v>557</v>
      </c>
      <c r="D6052" s="452">
        <v>45627</v>
      </c>
      <c r="E6052">
        <v>24244</v>
      </c>
      <c r="F6052" t="s">
        <v>5686</v>
      </c>
      <c r="G6052">
        <v>2200</v>
      </c>
      <c r="H6052">
        <v>3.33</v>
      </c>
      <c r="I6052" t="s">
        <v>4744</v>
      </c>
      <c r="J6052" t="s">
        <v>5191</v>
      </c>
      <c r="K6052" t="s">
        <v>728</v>
      </c>
      <c r="L6052">
        <v>0</v>
      </c>
      <c r="M6052" s="452">
        <v>45553</v>
      </c>
      <c r="N6052">
        <v>14.45</v>
      </c>
      <c r="O6052">
        <v>14.45</v>
      </c>
      <c r="P6052">
        <v>48.12</v>
      </c>
    </row>
    <row r="6053" spans="1:16" x14ac:dyDescent="0.3">
      <c r="A6053">
        <v>10950</v>
      </c>
      <c r="B6053">
        <v>105</v>
      </c>
      <c r="C6053" t="s">
        <v>557</v>
      </c>
      <c r="D6053" s="452">
        <v>45627</v>
      </c>
      <c r="E6053">
        <v>17950</v>
      </c>
      <c r="F6053" t="s">
        <v>5091</v>
      </c>
      <c r="G6053">
        <v>3626</v>
      </c>
      <c r="H6053">
        <v>3</v>
      </c>
      <c r="I6053" t="s">
        <v>4738</v>
      </c>
      <c r="J6053" t="s">
        <v>5222</v>
      </c>
      <c r="K6053" t="s">
        <v>728</v>
      </c>
      <c r="L6053">
        <v>0</v>
      </c>
      <c r="M6053" s="452">
        <v>45554</v>
      </c>
      <c r="N6053">
        <v>15.84</v>
      </c>
      <c r="O6053">
        <v>15.84</v>
      </c>
      <c r="P6053">
        <v>47.52</v>
      </c>
    </row>
    <row r="6054" spans="1:16" x14ac:dyDescent="0.3">
      <c r="A6054">
        <v>10701</v>
      </c>
      <c r="B6054">
        <v>105</v>
      </c>
      <c r="C6054" t="s">
        <v>557</v>
      </c>
      <c r="D6054" s="452">
        <v>45627</v>
      </c>
      <c r="E6054">
        <v>18100</v>
      </c>
      <c r="F6054" t="s">
        <v>5687</v>
      </c>
      <c r="G6054">
        <v>3510</v>
      </c>
      <c r="H6054">
        <v>0.15</v>
      </c>
      <c r="I6054" t="s">
        <v>4805</v>
      </c>
      <c r="J6054" t="s">
        <v>5222</v>
      </c>
      <c r="K6054" t="s">
        <v>728</v>
      </c>
      <c r="L6054">
        <v>0</v>
      </c>
      <c r="M6054" s="452">
        <v>-693593</v>
      </c>
      <c r="N6054">
        <v>0</v>
      </c>
      <c r="O6054">
        <v>0</v>
      </c>
      <c r="P6054">
        <v>47.31</v>
      </c>
    </row>
    <row r="6055" spans="1:16" x14ac:dyDescent="0.3">
      <c r="A6055">
        <v>10854</v>
      </c>
      <c r="B6055">
        <v>105</v>
      </c>
      <c r="C6055" t="s">
        <v>557</v>
      </c>
      <c r="D6055" s="452">
        <v>45627</v>
      </c>
      <c r="E6055">
        <v>19845</v>
      </c>
      <c r="F6055" t="s">
        <v>4874</v>
      </c>
      <c r="G6055">
        <v>2423</v>
      </c>
      <c r="H6055">
        <v>1</v>
      </c>
      <c r="I6055" t="s">
        <v>4744</v>
      </c>
      <c r="J6055" t="s">
        <v>5191</v>
      </c>
      <c r="K6055" t="s">
        <v>728</v>
      </c>
      <c r="L6055">
        <v>45.03</v>
      </c>
      <c r="M6055" s="452">
        <v>45615</v>
      </c>
      <c r="N6055">
        <v>45</v>
      </c>
      <c r="O6055">
        <v>39</v>
      </c>
      <c r="P6055">
        <v>45.03</v>
      </c>
    </row>
    <row r="6056" spans="1:16" x14ac:dyDescent="0.3">
      <c r="A6056">
        <v>10793</v>
      </c>
      <c r="B6056">
        <v>105</v>
      </c>
      <c r="C6056" t="s">
        <v>557</v>
      </c>
      <c r="D6056" s="452">
        <v>45627</v>
      </c>
      <c r="E6056">
        <v>20888</v>
      </c>
      <c r="F6056" t="s">
        <v>5688</v>
      </c>
      <c r="G6056">
        <v>2040</v>
      </c>
      <c r="H6056">
        <v>1.3</v>
      </c>
      <c r="I6056" t="s">
        <v>4736</v>
      </c>
      <c r="J6056" t="s">
        <v>5191</v>
      </c>
      <c r="K6056" t="s">
        <v>728</v>
      </c>
      <c r="L6056">
        <v>0</v>
      </c>
      <c r="M6056" s="452">
        <v>45582</v>
      </c>
      <c r="N6056">
        <v>33.9</v>
      </c>
      <c r="O6056">
        <v>33.9</v>
      </c>
      <c r="P6056">
        <v>44.07</v>
      </c>
    </row>
    <row r="6057" spans="1:16" x14ac:dyDescent="0.3">
      <c r="A6057">
        <v>10956</v>
      </c>
      <c r="B6057">
        <v>105</v>
      </c>
      <c r="C6057" t="s">
        <v>557</v>
      </c>
      <c r="D6057" s="452">
        <v>45627</v>
      </c>
      <c r="E6057">
        <v>18004</v>
      </c>
      <c r="F6057" t="s">
        <v>5093</v>
      </c>
      <c r="G6057">
        <v>3592</v>
      </c>
      <c r="H6057">
        <v>20</v>
      </c>
      <c r="I6057" t="s">
        <v>4738</v>
      </c>
      <c r="J6057" t="s">
        <v>5222</v>
      </c>
      <c r="K6057" t="s">
        <v>728</v>
      </c>
      <c r="L6057">
        <v>0</v>
      </c>
      <c r="M6057" s="452">
        <v>45595</v>
      </c>
      <c r="N6057">
        <v>2.19</v>
      </c>
      <c r="O6057">
        <v>3.25</v>
      </c>
      <c r="P6057">
        <v>43.8</v>
      </c>
    </row>
    <row r="6058" spans="1:16" x14ac:dyDescent="0.3">
      <c r="A6058">
        <v>10769</v>
      </c>
      <c r="B6058">
        <v>105</v>
      </c>
      <c r="C6058" t="s">
        <v>557</v>
      </c>
      <c r="D6058" s="452">
        <v>45627</v>
      </c>
      <c r="E6058">
        <v>20016</v>
      </c>
      <c r="F6058" t="s">
        <v>5689</v>
      </c>
      <c r="G6058">
        <v>2341</v>
      </c>
      <c r="H6058">
        <v>1.1499999999999999</v>
      </c>
      <c r="I6058" t="s">
        <v>4736</v>
      </c>
      <c r="J6058" t="s">
        <v>5191</v>
      </c>
      <c r="K6058" t="s">
        <v>728</v>
      </c>
      <c r="L6058">
        <v>38</v>
      </c>
      <c r="M6058" s="452">
        <v>45616</v>
      </c>
      <c r="N6058">
        <v>38</v>
      </c>
      <c r="O6058">
        <v>38</v>
      </c>
      <c r="P6058">
        <v>43.7</v>
      </c>
    </row>
    <row r="6059" spans="1:16" x14ac:dyDescent="0.3">
      <c r="A6059">
        <v>10682</v>
      </c>
      <c r="B6059">
        <v>105</v>
      </c>
      <c r="C6059" t="s">
        <v>557</v>
      </c>
      <c r="D6059" s="452">
        <v>45627</v>
      </c>
      <c r="E6059">
        <v>18295</v>
      </c>
      <c r="F6059" t="s">
        <v>4968</v>
      </c>
      <c r="G6059">
        <v>3334</v>
      </c>
      <c r="H6059">
        <v>0.42</v>
      </c>
      <c r="I6059" t="s">
        <v>4805</v>
      </c>
      <c r="J6059" t="s">
        <v>5222</v>
      </c>
      <c r="K6059" t="s">
        <v>728</v>
      </c>
      <c r="L6059">
        <v>0</v>
      </c>
      <c r="M6059" s="452">
        <v>45448</v>
      </c>
      <c r="N6059">
        <v>101.15</v>
      </c>
      <c r="O6059">
        <v>122.55</v>
      </c>
      <c r="P6059">
        <v>42.48</v>
      </c>
    </row>
    <row r="6060" spans="1:16" x14ac:dyDescent="0.3">
      <c r="A6060">
        <v>10671</v>
      </c>
      <c r="B6060">
        <v>105</v>
      </c>
      <c r="C6060" t="s">
        <v>557</v>
      </c>
      <c r="D6060" s="452">
        <v>45627</v>
      </c>
      <c r="E6060">
        <v>18460</v>
      </c>
      <c r="F6060" t="s">
        <v>5541</v>
      </c>
      <c r="G6060">
        <v>3193</v>
      </c>
      <c r="H6060">
        <v>1</v>
      </c>
      <c r="I6060" t="s">
        <v>4805</v>
      </c>
      <c r="J6060" t="s">
        <v>5222</v>
      </c>
      <c r="K6060" t="s">
        <v>728</v>
      </c>
      <c r="L6060">
        <v>41.95</v>
      </c>
      <c r="M6060" s="452">
        <v>45609</v>
      </c>
      <c r="N6060">
        <v>41.95</v>
      </c>
      <c r="O6060">
        <v>41.95</v>
      </c>
      <c r="P6060">
        <v>41.95</v>
      </c>
    </row>
    <row r="6061" spans="1:16" x14ac:dyDescent="0.3">
      <c r="A6061">
        <v>11009</v>
      </c>
      <c r="B6061">
        <v>105</v>
      </c>
      <c r="C6061" t="s">
        <v>557</v>
      </c>
      <c r="D6061" s="452">
        <v>45627</v>
      </c>
      <c r="E6061">
        <v>25747</v>
      </c>
      <c r="F6061" t="s">
        <v>4794</v>
      </c>
      <c r="G6061">
        <v>6299</v>
      </c>
      <c r="H6061">
        <v>6</v>
      </c>
      <c r="I6061" t="s">
        <v>4736</v>
      </c>
      <c r="J6061" t="s">
        <v>5191</v>
      </c>
      <c r="K6061" t="s">
        <v>728</v>
      </c>
      <c r="L6061">
        <v>0</v>
      </c>
      <c r="M6061" s="452">
        <v>-693593</v>
      </c>
      <c r="N6061">
        <v>0</v>
      </c>
      <c r="O6061">
        <v>0</v>
      </c>
      <c r="P6061">
        <v>41.94</v>
      </c>
    </row>
    <row r="6062" spans="1:16" x14ac:dyDescent="0.3">
      <c r="A6062">
        <v>11020</v>
      </c>
      <c r="B6062">
        <v>105</v>
      </c>
      <c r="C6062" t="s">
        <v>557</v>
      </c>
      <c r="D6062" s="452">
        <v>45627</v>
      </c>
      <c r="E6062">
        <v>25755</v>
      </c>
      <c r="F6062" t="s">
        <v>4821</v>
      </c>
      <c r="G6062">
        <v>9071</v>
      </c>
      <c r="H6062">
        <v>6</v>
      </c>
      <c r="I6062" t="s">
        <v>4749</v>
      </c>
      <c r="J6062" t="s">
        <v>5191</v>
      </c>
      <c r="K6062" t="s">
        <v>728</v>
      </c>
      <c r="L6062">
        <v>0</v>
      </c>
      <c r="M6062" s="452">
        <v>-693593</v>
      </c>
      <c r="N6062">
        <v>0</v>
      </c>
      <c r="O6062">
        <v>0</v>
      </c>
      <c r="P6062">
        <v>41.94</v>
      </c>
    </row>
    <row r="6063" spans="1:16" x14ac:dyDescent="0.3">
      <c r="A6063">
        <v>10719</v>
      </c>
      <c r="B6063">
        <v>105</v>
      </c>
      <c r="C6063" t="s">
        <v>557</v>
      </c>
      <c r="D6063" s="452">
        <v>45627</v>
      </c>
      <c r="E6063">
        <v>20180</v>
      </c>
      <c r="F6063" t="s">
        <v>5642</v>
      </c>
      <c r="G6063">
        <v>2261</v>
      </c>
      <c r="H6063">
        <v>0.7</v>
      </c>
      <c r="I6063" t="s">
        <v>4736</v>
      </c>
      <c r="J6063" t="s">
        <v>5191</v>
      </c>
      <c r="K6063" t="s">
        <v>728</v>
      </c>
      <c r="L6063">
        <v>0</v>
      </c>
      <c r="M6063" s="452">
        <v>45545</v>
      </c>
      <c r="N6063">
        <v>59.89</v>
      </c>
      <c r="O6063">
        <v>63.03</v>
      </c>
      <c r="P6063">
        <v>41.92</v>
      </c>
    </row>
    <row r="6064" spans="1:16" x14ac:dyDescent="0.3">
      <c r="A6064">
        <v>10802</v>
      </c>
      <c r="B6064">
        <v>105</v>
      </c>
      <c r="C6064" t="s">
        <v>557</v>
      </c>
      <c r="D6064" s="452">
        <v>45627</v>
      </c>
      <c r="E6064">
        <v>19966</v>
      </c>
      <c r="F6064" t="s">
        <v>5602</v>
      </c>
      <c r="G6064">
        <v>2356</v>
      </c>
      <c r="H6064">
        <v>0.79</v>
      </c>
      <c r="I6064" t="s">
        <v>4736</v>
      </c>
      <c r="J6064" t="s">
        <v>5191</v>
      </c>
      <c r="K6064" t="s">
        <v>728</v>
      </c>
      <c r="L6064">
        <v>51.9</v>
      </c>
      <c r="M6064" s="452">
        <v>45600</v>
      </c>
      <c r="N6064">
        <v>51.9</v>
      </c>
      <c r="O6064">
        <v>51.9</v>
      </c>
      <c r="P6064">
        <v>41</v>
      </c>
    </row>
    <row r="6065" spans="1:16" x14ac:dyDescent="0.3">
      <c r="A6065">
        <v>10834</v>
      </c>
      <c r="B6065">
        <v>105</v>
      </c>
      <c r="C6065" t="s">
        <v>557</v>
      </c>
      <c r="D6065" s="452">
        <v>45627</v>
      </c>
      <c r="E6065">
        <v>19498</v>
      </c>
      <c r="F6065" t="s">
        <v>5487</v>
      </c>
      <c r="G6065">
        <v>2712</v>
      </c>
      <c r="H6065">
        <v>3.6</v>
      </c>
      <c r="I6065" t="s">
        <v>4744</v>
      </c>
      <c r="J6065" t="s">
        <v>5191</v>
      </c>
      <c r="K6065" t="s">
        <v>728</v>
      </c>
      <c r="L6065">
        <v>11.39</v>
      </c>
      <c r="M6065" s="452">
        <v>45625</v>
      </c>
      <c r="N6065">
        <v>12</v>
      </c>
      <c r="O6065">
        <v>13.41</v>
      </c>
      <c r="P6065">
        <v>41</v>
      </c>
    </row>
    <row r="6066" spans="1:16" x14ac:dyDescent="0.3">
      <c r="A6066">
        <v>10766</v>
      </c>
      <c r="B6066">
        <v>105</v>
      </c>
      <c r="C6066" t="s">
        <v>557</v>
      </c>
      <c r="D6066" s="452">
        <v>45627</v>
      </c>
      <c r="E6066">
        <v>20025</v>
      </c>
      <c r="F6066" t="s">
        <v>5010</v>
      </c>
      <c r="G6066">
        <v>2339</v>
      </c>
      <c r="H6066">
        <v>2</v>
      </c>
      <c r="I6066" t="s">
        <v>4736</v>
      </c>
      <c r="J6066" t="s">
        <v>5191</v>
      </c>
      <c r="K6066" t="s">
        <v>728</v>
      </c>
      <c r="L6066">
        <v>0</v>
      </c>
      <c r="M6066" s="452">
        <v>45565</v>
      </c>
      <c r="N6066">
        <v>19.95</v>
      </c>
      <c r="O6066">
        <v>19.5</v>
      </c>
      <c r="P6066">
        <v>39.9</v>
      </c>
    </row>
    <row r="6067" spans="1:16" x14ac:dyDescent="0.3">
      <c r="A6067">
        <v>10895</v>
      </c>
      <c r="B6067">
        <v>105</v>
      </c>
      <c r="C6067" t="s">
        <v>557</v>
      </c>
      <c r="D6067" s="452">
        <v>45627</v>
      </c>
      <c r="E6067">
        <v>19710</v>
      </c>
      <c r="F6067" t="s">
        <v>4963</v>
      </c>
      <c r="G6067">
        <v>2540</v>
      </c>
      <c r="H6067">
        <v>2</v>
      </c>
      <c r="I6067" t="s">
        <v>4738</v>
      </c>
      <c r="J6067" t="s">
        <v>5191</v>
      </c>
      <c r="K6067" t="s">
        <v>728</v>
      </c>
      <c r="L6067">
        <v>0</v>
      </c>
      <c r="M6067" s="452">
        <v>45586</v>
      </c>
      <c r="N6067">
        <v>19.899999999999999</v>
      </c>
      <c r="O6067">
        <v>21.2</v>
      </c>
      <c r="P6067">
        <v>39.799999999999997</v>
      </c>
    </row>
    <row r="6068" spans="1:16" x14ac:dyDescent="0.3">
      <c r="A6068">
        <v>10771</v>
      </c>
      <c r="B6068">
        <v>105</v>
      </c>
      <c r="C6068" t="s">
        <v>557</v>
      </c>
      <c r="D6068" s="452">
        <v>45627</v>
      </c>
      <c r="E6068">
        <v>20219</v>
      </c>
      <c r="F6068" t="s">
        <v>5445</v>
      </c>
      <c r="G6068">
        <v>2250</v>
      </c>
      <c r="H6068">
        <v>1.65</v>
      </c>
      <c r="I6068" t="s">
        <v>4738</v>
      </c>
      <c r="J6068" t="s">
        <v>5191</v>
      </c>
      <c r="K6068" t="s">
        <v>728</v>
      </c>
      <c r="L6068">
        <v>0</v>
      </c>
      <c r="M6068" s="452">
        <v>45573</v>
      </c>
      <c r="N6068">
        <v>23.9</v>
      </c>
      <c r="O6068">
        <v>23.2</v>
      </c>
      <c r="P6068">
        <v>39.43</v>
      </c>
    </row>
    <row r="6069" spans="1:16" x14ac:dyDescent="0.3">
      <c r="A6069">
        <v>10820</v>
      </c>
      <c r="B6069">
        <v>105</v>
      </c>
      <c r="C6069" t="s">
        <v>557</v>
      </c>
      <c r="D6069" s="452">
        <v>45627</v>
      </c>
      <c r="E6069">
        <v>19907</v>
      </c>
      <c r="F6069" t="s">
        <v>4802</v>
      </c>
      <c r="G6069">
        <v>2381</v>
      </c>
      <c r="H6069">
        <v>12.68</v>
      </c>
      <c r="I6069" t="s">
        <v>4736</v>
      </c>
      <c r="J6069" t="s">
        <v>5191</v>
      </c>
      <c r="K6069" t="s">
        <v>728</v>
      </c>
      <c r="L6069">
        <v>3.09</v>
      </c>
      <c r="M6069" s="452">
        <v>45618</v>
      </c>
      <c r="N6069">
        <v>3.09</v>
      </c>
      <c r="O6069">
        <v>2.4900000000000002</v>
      </c>
      <c r="P6069">
        <v>39.18</v>
      </c>
    </row>
    <row r="6070" spans="1:16" x14ac:dyDescent="0.3">
      <c r="A6070">
        <v>10847</v>
      </c>
      <c r="B6070">
        <v>105</v>
      </c>
      <c r="C6070" t="s">
        <v>557</v>
      </c>
      <c r="D6070" s="452">
        <v>45627</v>
      </c>
      <c r="E6070">
        <v>19492</v>
      </c>
      <c r="F6070" t="s">
        <v>4937</v>
      </c>
      <c r="G6070">
        <v>2717</v>
      </c>
      <c r="H6070">
        <v>3.4</v>
      </c>
      <c r="I6070" t="s">
        <v>4744</v>
      </c>
      <c r="J6070" t="s">
        <v>5191</v>
      </c>
      <c r="K6070" t="s">
        <v>728</v>
      </c>
      <c r="L6070">
        <v>11.33</v>
      </c>
      <c r="M6070" s="452">
        <v>45624</v>
      </c>
      <c r="N6070">
        <v>12</v>
      </c>
      <c r="O6070">
        <v>10.91</v>
      </c>
      <c r="P6070">
        <v>38.520000000000003</v>
      </c>
    </row>
    <row r="6071" spans="1:16" x14ac:dyDescent="0.3">
      <c r="A6071">
        <v>10676</v>
      </c>
      <c r="B6071">
        <v>105</v>
      </c>
      <c r="C6071" t="s">
        <v>557</v>
      </c>
      <c r="D6071" s="452">
        <v>45627</v>
      </c>
      <c r="E6071">
        <v>18293</v>
      </c>
      <c r="F6071" t="s">
        <v>5034</v>
      </c>
      <c r="G6071">
        <v>3336</v>
      </c>
      <c r="H6071">
        <v>0.3</v>
      </c>
      <c r="I6071" t="s">
        <v>4805</v>
      </c>
      <c r="J6071" t="s">
        <v>5222</v>
      </c>
      <c r="K6071" t="s">
        <v>728</v>
      </c>
      <c r="L6071">
        <v>0</v>
      </c>
      <c r="M6071" s="452">
        <v>45525</v>
      </c>
      <c r="N6071">
        <v>124.82</v>
      </c>
      <c r="O6071">
        <v>105.66</v>
      </c>
      <c r="P6071">
        <v>37.450000000000003</v>
      </c>
    </row>
    <row r="6072" spans="1:16" x14ac:dyDescent="0.3">
      <c r="A6072">
        <v>10779</v>
      </c>
      <c r="B6072">
        <v>105</v>
      </c>
      <c r="C6072" t="s">
        <v>557</v>
      </c>
      <c r="D6072" s="452">
        <v>45627</v>
      </c>
      <c r="E6072">
        <v>24323</v>
      </c>
      <c r="F6072" t="s">
        <v>4844</v>
      </c>
      <c r="G6072">
        <v>2262</v>
      </c>
      <c r="H6072">
        <v>2.1</v>
      </c>
      <c r="I6072" t="s">
        <v>4744</v>
      </c>
      <c r="J6072" t="s">
        <v>5191</v>
      </c>
      <c r="K6072" t="s">
        <v>728</v>
      </c>
      <c r="L6072">
        <v>0</v>
      </c>
      <c r="M6072" s="452">
        <v>45555</v>
      </c>
      <c r="N6072">
        <v>17.440000000000001</v>
      </c>
      <c r="O6072">
        <v>17.440000000000001</v>
      </c>
      <c r="P6072">
        <v>36.619999999999997</v>
      </c>
    </row>
    <row r="6073" spans="1:16" x14ac:dyDescent="0.3">
      <c r="A6073">
        <v>10796</v>
      </c>
      <c r="B6073">
        <v>105</v>
      </c>
      <c r="C6073" t="s">
        <v>557</v>
      </c>
      <c r="D6073" s="452">
        <v>45627</v>
      </c>
      <c r="E6073">
        <v>20644</v>
      </c>
      <c r="F6073" t="s">
        <v>5016</v>
      </c>
      <c r="G6073">
        <v>2113</v>
      </c>
      <c r="H6073">
        <v>10</v>
      </c>
      <c r="I6073" t="s">
        <v>4955</v>
      </c>
      <c r="J6073" t="s">
        <v>5191</v>
      </c>
      <c r="K6073" t="s">
        <v>728</v>
      </c>
      <c r="L6073">
        <v>3.59</v>
      </c>
      <c r="M6073" s="452">
        <v>45622</v>
      </c>
      <c r="N6073">
        <v>3.59</v>
      </c>
      <c r="O6073">
        <v>3.59</v>
      </c>
      <c r="P6073">
        <v>35.9</v>
      </c>
    </row>
    <row r="6074" spans="1:16" x14ac:dyDescent="0.3">
      <c r="A6074">
        <v>10706</v>
      </c>
      <c r="B6074">
        <v>105</v>
      </c>
      <c r="C6074" t="s">
        <v>557</v>
      </c>
      <c r="D6074" s="452">
        <v>45627</v>
      </c>
      <c r="E6074">
        <v>17062</v>
      </c>
      <c r="F6074" t="s">
        <v>4880</v>
      </c>
      <c r="G6074">
        <v>1954</v>
      </c>
      <c r="H6074">
        <v>1</v>
      </c>
      <c r="I6074" t="s">
        <v>4879</v>
      </c>
      <c r="J6074" t="s">
        <v>5191</v>
      </c>
      <c r="K6074" t="s">
        <v>728</v>
      </c>
      <c r="L6074">
        <v>0</v>
      </c>
      <c r="M6074" s="452">
        <v>-693593</v>
      </c>
      <c r="N6074">
        <v>0</v>
      </c>
      <c r="O6074">
        <v>0</v>
      </c>
      <c r="P6074">
        <v>35.81</v>
      </c>
    </row>
    <row r="6075" spans="1:16" x14ac:dyDescent="0.3">
      <c r="A6075">
        <v>11021</v>
      </c>
      <c r="B6075">
        <v>105</v>
      </c>
      <c r="C6075" t="s">
        <v>557</v>
      </c>
      <c r="D6075" s="452">
        <v>45627</v>
      </c>
      <c r="E6075">
        <v>25756</v>
      </c>
      <c r="F6075" t="s">
        <v>4854</v>
      </c>
      <c r="G6075">
        <v>9069</v>
      </c>
      <c r="H6075">
        <v>5</v>
      </c>
      <c r="I6075" t="s">
        <v>4749</v>
      </c>
      <c r="J6075" t="s">
        <v>5191</v>
      </c>
      <c r="K6075" t="s">
        <v>728</v>
      </c>
      <c r="L6075">
        <v>0</v>
      </c>
      <c r="M6075" s="452">
        <v>-693593</v>
      </c>
      <c r="N6075">
        <v>0</v>
      </c>
      <c r="O6075">
        <v>0</v>
      </c>
      <c r="P6075">
        <v>34.950000000000003</v>
      </c>
    </row>
    <row r="6076" spans="1:16" x14ac:dyDescent="0.3">
      <c r="A6076">
        <v>10679</v>
      </c>
      <c r="B6076">
        <v>105</v>
      </c>
      <c r="C6076" t="s">
        <v>557</v>
      </c>
      <c r="D6076" s="452">
        <v>45627</v>
      </c>
      <c r="E6076">
        <v>18317</v>
      </c>
      <c r="F6076" t="s">
        <v>5056</v>
      </c>
      <c r="G6076">
        <v>3316</v>
      </c>
      <c r="H6076">
        <v>1</v>
      </c>
      <c r="I6076" t="s">
        <v>4805</v>
      </c>
      <c r="J6076" t="s">
        <v>5222</v>
      </c>
      <c r="K6076" t="s">
        <v>728</v>
      </c>
      <c r="L6076">
        <v>0</v>
      </c>
      <c r="M6076" s="452">
        <v>-693593</v>
      </c>
      <c r="N6076">
        <v>0</v>
      </c>
      <c r="O6076">
        <v>34.5</v>
      </c>
      <c r="P6076">
        <v>34.5</v>
      </c>
    </row>
    <row r="6077" spans="1:16" x14ac:dyDescent="0.3">
      <c r="A6077">
        <v>10896</v>
      </c>
      <c r="B6077">
        <v>105</v>
      </c>
      <c r="C6077" t="s">
        <v>557</v>
      </c>
      <c r="D6077" s="452">
        <v>45627</v>
      </c>
      <c r="E6077">
        <v>24489</v>
      </c>
      <c r="F6077" t="s">
        <v>5121</v>
      </c>
      <c r="G6077">
        <v>2686</v>
      </c>
      <c r="H6077">
        <v>2.2999999999999998</v>
      </c>
      <c r="I6077" t="s">
        <v>4744</v>
      </c>
      <c r="J6077" t="s">
        <v>5191</v>
      </c>
      <c r="K6077" t="s">
        <v>728</v>
      </c>
      <c r="L6077">
        <v>0</v>
      </c>
      <c r="M6077" s="452">
        <v>45553</v>
      </c>
      <c r="N6077">
        <v>15</v>
      </c>
      <c r="O6077">
        <v>16</v>
      </c>
      <c r="P6077">
        <v>34.5</v>
      </c>
    </row>
    <row r="6078" spans="1:16" x14ac:dyDescent="0.3">
      <c r="A6078">
        <v>10814</v>
      </c>
      <c r="B6078">
        <v>105</v>
      </c>
      <c r="C6078" t="s">
        <v>557</v>
      </c>
      <c r="D6078" s="452">
        <v>45627</v>
      </c>
      <c r="E6078">
        <v>19924</v>
      </c>
      <c r="F6078" t="s">
        <v>5607</v>
      </c>
      <c r="G6078">
        <v>2374</v>
      </c>
      <c r="H6078">
        <v>0.48</v>
      </c>
      <c r="I6078" t="s">
        <v>4744</v>
      </c>
      <c r="J6078" t="s">
        <v>5191</v>
      </c>
      <c r="K6078" t="s">
        <v>728</v>
      </c>
      <c r="L6078">
        <v>0</v>
      </c>
      <c r="M6078" s="452">
        <v>-693593</v>
      </c>
      <c r="N6078">
        <v>0</v>
      </c>
      <c r="O6078">
        <v>0</v>
      </c>
      <c r="P6078">
        <v>34.450000000000003</v>
      </c>
    </row>
    <row r="6079" spans="1:16" x14ac:dyDescent="0.3">
      <c r="A6079">
        <v>10776</v>
      </c>
      <c r="B6079">
        <v>105</v>
      </c>
      <c r="C6079" t="s">
        <v>557</v>
      </c>
      <c r="D6079" s="452">
        <v>45627</v>
      </c>
      <c r="E6079">
        <v>20661</v>
      </c>
      <c r="F6079" t="s">
        <v>5012</v>
      </c>
      <c r="G6079">
        <v>2110</v>
      </c>
      <c r="H6079">
        <v>4</v>
      </c>
      <c r="I6079" t="s">
        <v>4736</v>
      </c>
      <c r="J6079" t="s">
        <v>5191</v>
      </c>
      <c r="K6079" t="s">
        <v>728</v>
      </c>
      <c r="L6079">
        <v>8.59</v>
      </c>
      <c r="M6079" s="452">
        <v>45622</v>
      </c>
      <c r="N6079">
        <v>8.59</v>
      </c>
      <c r="O6079">
        <v>8.49</v>
      </c>
      <c r="P6079">
        <v>34.36</v>
      </c>
    </row>
    <row r="6080" spans="1:16" x14ac:dyDescent="0.3">
      <c r="A6080">
        <v>10683</v>
      </c>
      <c r="B6080">
        <v>105</v>
      </c>
      <c r="C6080" t="s">
        <v>557</v>
      </c>
      <c r="D6080" s="452">
        <v>45627</v>
      </c>
      <c r="E6080">
        <v>18281</v>
      </c>
      <c r="F6080" t="s">
        <v>5470</v>
      </c>
      <c r="G6080">
        <v>3346</v>
      </c>
      <c r="H6080">
        <v>1</v>
      </c>
      <c r="I6080" t="s">
        <v>4805</v>
      </c>
      <c r="J6080" t="s">
        <v>5222</v>
      </c>
      <c r="K6080" t="s">
        <v>728</v>
      </c>
      <c r="L6080">
        <v>0</v>
      </c>
      <c r="M6080" s="452">
        <v>45547</v>
      </c>
      <c r="N6080">
        <v>34.299999999999997</v>
      </c>
      <c r="O6080">
        <v>34.299999999999997</v>
      </c>
      <c r="P6080">
        <v>34.299999999999997</v>
      </c>
    </row>
    <row r="6081" spans="1:16" x14ac:dyDescent="0.3">
      <c r="A6081">
        <v>10910</v>
      </c>
      <c r="B6081">
        <v>105</v>
      </c>
      <c r="C6081" t="s">
        <v>557</v>
      </c>
      <c r="D6081" s="452">
        <v>45627</v>
      </c>
      <c r="E6081">
        <v>24444</v>
      </c>
      <c r="F6081" t="s">
        <v>4992</v>
      </c>
      <c r="G6081">
        <v>2784</v>
      </c>
      <c r="H6081">
        <v>1.79</v>
      </c>
      <c r="I6081" t="s">
        <v>4744</v>
      </c>
      <c r="J6081" t="s">
        <v>5191</v>
      </c>
      <c r="K6081" t="s">
        <v>728</v>
      </c>
      <c r="L6081">
        <v>0</v>
      </c>
      <c r="M6081" s="452">
        <v>45392</v>
      </c>
      <c r="N6081">
        <v>18.95</v>
      </c>
      <c r="O6081">
        <v>22</v>
      </c>
      <c r="P6081">
        <v>33.92</v>
      </c>
    </row>
    <row r="6082" spans="1:16" x14ac:dyDescent="0.3">
      <c r="A6082">
        <v>10873</v>
      </c>
      <c r="B6082">
        <v>105</v>
      </c>
      <c r="C6082" t="s">
        <v>557</v>
      </c>
      <c r="D6082" s="452">
        <v>45627</v>
      </c>
      <c r="E6082">
        <v>19591</v>
      </c>
      <c r="F6082" t="s">
        <v>5690</v>
      </c>
      <c r="G6082">
        <v>2634</v>
      </c>
      <c r="H6082">
        <v>2</v>
      </c>
      <c r="I6082" t="s">
        <v>4879</v>
      </c>
      <c r="J6082" t="s">
        <v>5191</v>
      </c>
      <c r="K6082" t="s">
        <v>728</v>
      </c>
      <c r="L6082">
        <v>0</v>
      </c>
      <c r="M6082" s="452">
        <v>45546</v>
      </c>
      <c r="N6082">
        <v>16.899999999999999</v>
      </c>
      <c r="O6082">
        <v>16.899999999999999</v>
      </c>
      <c r="P6082">
        <v>33.799999999999997</v>
      </c>
    </row>
    <row r="6083" spans="1:16" x14ac:dyDescent="0.3">
      <c r="A6083">
        <v>10958</v>
      </c>
      <c r="B6083">
        <v>105</v>
      </c>
      <c r="C6083" t="s">
        <v>557</v>
      </c>
      <c r="D6083" s="452">
        <v>45627</v>
      </c>
      <c r="E6083">
        <v>21979</v>
      </c>
      <c r="F6083" t="s">
        <v>5467</v>
      </c>
      <c r="G6083">
        <v>3712</v>
      </c>
      <c r="H6083">
        <v>2</v>
      </c>
      <c r="I6083" t="s">
        <v>4749</v>
      </c>
      <c r="J6083" t="s">
        <v>5222</v>
      </c>
      <c r="K6083" t="s">
        <v>728</v>
      </c>
      <c r="L6083">
        <v>0</v>
      </c>
      <c r="M6083" s="452">
        <v>45554</v>
      </c>
      <c r="N6083">
        <v>16.899999999999999</v>
      </c>
      <c r="O6083">
        <v>16.5</v>
      </c>
      <c r="P6083">
        <v>33.799999999999997</v>
      </c>
    </row>
    <row r="6084" spans="1:16" x14ac:dyDescent="0.3">
      <c r="A6084">
        <v>10748</v>
      </c>
      <c r="B6084">
        <v>105</v>
      </c>
      <c r="C6084" t="s">
        <v>557</v>
      </c>
      <c r="D6084" s="452">
        <v>45627</v>
      </c>
      <c r="E6084">
        <v>24201</v>
      </c>
      <c r="F6084" t="s">
        <v>5691</v>
      </c>
      <c r="G6084">
        <v>2187</v>
      </c>
      <c r="H6084">
        <v>1.3</v>
      </c>
      <c r="I6084" t="s">
        <v>4744</v>
      </c>
      <c r="J6084" t="s">
        <v>5191</v>
      </c>
      <c r="K6084" t="s">
        <v>728</v>
      </c>
      <c r="L6084">
        <v>0</v>
      </c>
      <c r="M6084" s="452">
        <v>45553</v>
      </c>
      <c r="N6084">
        <v>25.9</v>
      </c>
      <c r="O6084">
        <v>25.9</v>
      </c>
      <c r="P6084">
        <v>33.67</v>
      </c>
    </row>
    <row r="6085" spans="1:16" x14ac:dyDescent="0.3">
      <c r="A6085">
        <v>10887</v>
      </c>
      <c r="B6085">
        <v>105</v>
      </c>
      <c r="C6085" t="s">
        <v>557</v>
      </c>
      <c r="D6085" s="452">
        <v>45627</v>
      </c>
      <c r="E6085">
        <v>19453</v>
      </c>
      <c r="F6085" t="s">
        <v>5561</v>
      </c>
      <c r="G6085">
        <v>2752</v>
      </c>
      <c r="H6085">
        <v>3.17</v>
      </c>
      <c r="I6085" t="s">
        <v>4744</v>
      </c>
      <c r="J6085" t="s">
        <v>5191</v>
      </c>
      <c r="K6085" t="s">
        <v>728</v>
      </c>
      <c r="L6085">
        <v>0</v>
      </c>
      <c r="M6085" s="452">
        <v>45596</v>
      </c>
      <c r="N6085">
        <v>10.5</v>
      </c>
      <c r="O6085">
        <v>42.65</v>
      </c>
      <c r="P6085">
        <v>33.28</v>
      </c>
    </row>
    <row r="6086" spans="1:16" x14ac:dyDescent="0.3">
      <c r="A6086">
        <v>10846</v>
      </c>
      <c r="B6086">
        <v>105</v>
      </c>
      <c r="C6086" t="s">
        <v>557</v>
      </c>
      <c r="D6086" s="452">
        <v>45627</v>
      </c>
      <c r="E6086">
        <v>23135</v>
      </c>
      <c r="F6086" t="s">
        <v>4933</v>
      </c>
      <c r="G6086">
        <v>2716</v>
      </c>
      <c r="H6086">
        <v>3.75</v>
      </c>
      <c r="I6086" t="s">
        <v>4744</v>
      </c>
      <c r="J6086" t="s">
        <v>5191</v>
      </c>
      <c r="K6086" t="s">
        <v>728</v>
      </c>
      <c r="L6086">
        <v>8.81</v>
      </c>
      <c r="M6086" s="452">
        <v>45625</v>
      </c>
      <c r="N6086">
        <v>12</v>
      </c>
      <c r="O6086">
        <v>12.99</v>
      </c>
      <c r="P6086">
        <v>33.04</v>
      </c>
    </row>
    <row r="6087" spans="1:16" x14ac:dyDescent="0.3">
      <c r="A6087">
        <v>10744</v>
      </c>
      <c r="B6087">
        <v>105</v>
      </c>
      <c r="C6087" t="s">
        <v>557</v>
      </c>
      <c r="D6087" s="452">
        <v>45627</v>
      </c>
      <c r="E6087">
        <v>20253</v>
      </c>
      <c r="F6087" t="s">
        <v>5692</v>
      </c>
      <c r="G6087">
        <v>2240</v>
      </c>
      <c r="H6087">
        <v>1.08</v>
      </c>
      <c r="I6087" t="s">
        <v>4744</v>
      </c>
      <c r="J6087" t="s">
        <v>5191</v>
      </c>
      <c r="K6087" t="s">
        <v>728</v>
      </c>
      <c r="L6087">
        <v>0</v>
      </c>
      <c r="M6087" s="452">
        <v>45519</v>
      </c>
      <c r="N6087">
        <v>30</v>
      </c>
      <c r="O6087">
        <v>58.27</v>
      </c>
      <c r="P6087">
        <v>32.4</v>
      </c>
    </row>
    <row r="6088" spans="1:16" x14ac:dyDescent="0.3">
      <c r="A6088">
        <v>10690</v>
      </c>
      <c r="B6088">
        <v>105</v>
      </c>
      <c r="C6088" t="s">
        <v>557</v>
      </c>
      <c r="D6088" s="452">
        <v>45627</v>
      </c>
      <c r="E6088">
        <v>18214</v>
      </c>
      <c r="F6088" t="s">
        <v>5039</v>
      </c>
      <c r="G6088">
        <v>3413</v>
      </c>
      <c r="H6088">
        <v>1</v>
      </c>
      <c r="I6088" t="s">
        <v>4805</v>
      </c>
      <c r="J6088" t="s">
        <v>5222</v>
      </c>
      <c r="K6088" t="s">
        <v>728</v>
      </c>
      <c r="L6088">
        <v>0</v>
      </c>
      <c r="M6088" s="452">
        <v>45378</v>
      </c>
      <c r="N6088">
        <v>32.200000000000003</v>
      </c>
      <c r="O6088">
        <v>34.049999999999997</v>
      </c>
      <c r="P6088">
        <v>32.200000000000003</v>
      </c>
    </row>
    <row r="6089" spans="1:16" x14ac:dyDescent="0.3">
      <c r="A6089">
        <v>10749</v>
      </c>
      <c r="B6089">
        <v>105</v>
      </c>
      <c r="C6089" t="s">
        <v>557</v>
      </c>
      <c r="D6089" s="452">
        <v>45627</v>
      </c>
      <c r="E6089">
        <v>20421</v>
      </c>
      <c r="F6089" t="s">
        <v>5525</v>
      </c>
      <c r="G6089">
        <v>2187</v>
      </c>
      <c r="H6089">
        <v>2</v>
      </c>
      <c r="I6089" t="s">
        <v>4736</v>
      </c>
      <c r="J6089" t="s">
        <v>5191</v>
      </c>
      <c r="K6089" t="s">
        <v>728</v>
      </c>
      <c r="L6089">
        <v>16.010000000000002</v>
      </c>
      <c r="M6089" s="452">
        <v>45622</v>
      </c>
      <c r="N6089">
        <v>15.5</v>
      </c>
      <c r="O6089">
        <v>15.5</v>
      </c>
      <c r="P6089">
        <v>32.020000000000003</v>
      </c>
    </row>
    <row r="6090" spans="1:16" x14ac:dyDescent="0.3">
      <c r="A6090">
        <v>10842</v>
      </c>
      <c r="B6090">
        <v>105</v>
      </c>
      <c r="C6090" t="s">
        <v>557</v>
      </c>
      <c r="D6090" s="452">
        <v>45627</v>
      </c>
      <c r="E6090">
        <v>19642</v>
      </c>
      <c r="F6090" t="s">
        <v>4996</v>
      </c>
      <c r="G6090">
        <v>2596</v>
      </c>
      <c r="H6090">
        <v>5.05</v>
      </c>
      <c r="I6090" t="s">
        <v>4744</v>
      </c>
      <c r="J6090" t="s">
        <v>5191</v>
      </c>
      <c r="K6090" t="s">
        <v>728</v>
      </c>
      <c r="L6090">
        <v>6.34</v>
      </c>
      <c r="M6090" s="452">
        <v>45618</v>
      </c>
      <c r="N6090">
        <v>5.8</v>
      </c>
      <c r="O6090">
        <v>5.4</v>
      </c>
      <c r="P6090">
        <v>32.020000000000003</v>
      </c>
    </row>
    <row r="6091" spans="1:16" x14ac:dyDescent="0.3">
      <c r="A6091">
        <v>10777</v>
      </c>
      <c r="B6091">
        <v>105</v>
      </c>
      <c r="C6091" t="s">
        <v>557</v>
      </c>
      <c r="D6091" s="452">
        <v>45627</v>
      </c>
      <c r="E6091">
        <v>20653</v>
      </c>
      <c r="F6091" t="s">
        <v>5013</v>
      </c>
      <c r="G6091">
        <v>2111</v>
      </c>
      <c r="H6091">
        <v>1.4</v>
      </c>
      <c r="I6091" t="s">
        <v>4736</v>
      </c>
      <c r="J6091" t="s">
        <v>5191</v>
      </c>
      <c r="K6091" t="s">
        <v>728</v>
      </c>
      <c r="L6091">
        <v>21.79</v>
      </c>
      <c r="M6091" s="452">
        <v>45607</v>
      </c>
      <c r="N6091">
        <v>21.79</v>
      </c>
      <c r="O6091">
        <v>21.49</v>
      </c>
      <c r="P6091">
        <v>30.51</v>
      </c>
    </row>
    <row r="6092" spans="1:16" x14ac:dyDescent="0.3">
      <c r="A6092">
        <v>10797</v>
      </c>
      <c r="B6092">
        <v>105</v>
      </c>
      <c r="C6092" t="s">
        <v>557</v>
      </c>
      <c r="D6092" s="452">
        <v>45627</v>
      </c>
      <c r="E6092">
        <v>19978</v>
      </c>
      <c r="F6092" t="s">
        <v>4887</v>
      </c>
      <c r="G6092">
        <v>2353</v>
      </c>
      <c r="H6092">
        <v>2</v>
      </c>
      <c r="I6092" t="s">
        <v>4888</v>
      </c>
      <c r="J6092" t="s">
        <v>5191</v>
      </c>
      <c r="K6092" t="s">
        <v>728</v>
      </c>
      <c r="L6092">
        <v>15.15</v>
      </c>
      <c r="M6092" s="452">
        <v>45607</v>
      </c>
      <c r="N6092">
        <v>15.15</v>
      </c>
      <c r="O6092">
        <v>15.15</v>
      </c>
      <c r="P6092">
        <v>30.3</v>
      </c>
    </row>
    <row r="6093" spans="1:16" x14ac:dyDescent="0.3">
      <c r="A6093">
        <v>10883</v>
      </c>
      <c r="B6093">
        <v>105</v>
      </c>
      <c r="C6093" t="s">
        <v>557</v>
      </c>
      <c r="D6093" s="452">
        <v>45627</v>
      </c>
      <c r="E6093">
        <v>19558</v>
      </c>
      <c r="F6093" t="s">
        <v>4994</v>
      </c>
      <c r="G6093">
        <v>2659</v>
      </c>
      <c r="H6093">
        <v>1.46</v>
      </c>
      <c r="I6093" t="s">
        <v>4744</v>
      </c>
      <c r="J6093" t="s">
        <v>5191</v>
      </c>
      <c r="K6093" t="s">
        <v>728</v>
      </c>
      <c r="L6093">
        <v>20.64</v>
      </c>
      <c r="M6093" s="452">
        <v>45615</v>
      </c>
      <c r="N6093">
        <v>20</v>
      </c>
      <c r="O6093">
        <v>18.2</v>
      </c>
      <c r="P6093">
        <v>30.13</v>
      </c>
    </row>
    <row r="6094" spans="1:16" x14ac:dyDescent="0.3">
      <c r="A6094">
        <v>10815</v>
      </c>
      <c r="B6094">
        <v>105</v>
      </c>
      <c r="C6094" t="s">
        <v>557</v>
      </c>
      <c r="D6094" s="452">
        <v>45627</v>
      </c>
      <c r="E6094">
        <v>19923</v>
      </c>
      <c r="F6094" t="s">
        <v>5069</v>
      </c>
      <c r="G6094">
        <v>2375</v>
      </c>
      <c r="H6094">
        <v>0.79</v>
      </c>
      <c r="I6094" t="s">
        <v>4738</v>
      </c>
      <c r="J6094" t="s">
        <v>5191</v>
      </c>
      <c r="K6094" t="s">
        <v>728</v>
      </c>
      <c r="L6094">
        <v>0</v>
      </c>
      <c r="M6094" s="452">
        <v>45573</v>
      </c>
      <c r="N6094">
        <v>38</v>
      </c>
      <c r="O6094">
        <v>39</v>
      </c>
      <c r="P6094">
        <v>30.02</v>
      </c>
    </row>
    <row r="6095" spans="1:16" x14ac:dyDescent="0.3">
      <c r="A6095">
        <v>10826</v>
      </c>
      <c r="B6095">
        <v>105</v>
      </c>
      <c r="C6095" t="s">
        <v>557</v>
      </c>
      <c r="D6095" s="452">
        <v>45627</v>
      </c>
      <c r="E6095">
        <v>20955</v>
      </c>
      <c r="F6095" t="s">
        <v>4959</v>
      </c>
      <c r="G6095">
        <v>2019</v>
      </c>
      <c r="H6095">
        <v>3</v>
      </c>
      <c r="I6095" t="s">
        <v>4805</v>
      </c>
      <c r="J6095" t="s">
        <v>5191</v>
      </c>
      <c r="K6095" t="s">
        <v>728</v>
      </c>
      <c r="L6095">
        <v>9.91</v>
      </c>
      <c r="M6095" s="452">
        <v>45609</v>
      </c>
      <c r="N6095">
        <v>9.91</v>
      </c>
      <c r="O6095">
        <v>10.99</v>
      </c>
      <c r="P6095">
        <v>29.73</v>
      </c>
    </row>
    <row r="6096" spans="1:16" x14ac:dyDescent="0.3">
      <c r="A6096">
        <v>10987</v>
      </c>
      <c r="B6096">
        <v>105</v>
      </c>
      <c r="C6096" t="s">
        <v>557</v>
      </c>
      <c r="D6096" s="452">
        <v>45627</v>
      </c>
      <c r="E6096">
        <v>17721</v>
      </c>
      <c r="F6096" t="s">
        <v>4977</v>
      </c>
      <c r="G6096">
        <v>3818</v>
      </c>
      <c r="H6096">
        <v>3</v>
      </c>
      <c r="I6096" t="s">
        <v>4805</v>
      </c>
      <c r="J6096" t="s">
        <v>5222</v>
      </c>
      <c r="K6096" t="s">
        <v>728</v>
      </c>
      <c r="L6096">
        <v>9.91</v>
      </c>
      <c r="M6096" s="452">
        <v>45609</v>
      </c>
      <c r="N6096">
        <v>9.91</v>
      </c>
      <c r="O6096">
        <v>10.68</v>
      </c>
      <c r="P6096">
        <v>29.73</v>
      </c>
    </row>
    <row r="6097" spans="1:16" x14ac:dyDescent="0.3">
      <c r="A6097">
        <v>10879</v>
      </c>
      <c r="B6097">
        <v>105</v>
      </c>
      <c r="C6097" t="s">
        <v>557</v>
      </c>
      <c r="D6097" s="452">
        <v>45627</v>
      </c>
      <c r="E6097">
        <v>19562</v>
      </c>
      <c r="F6097" t="s">
        <v>4939</v>
      </c>
      <c r="G6097">
        <v>2655</v>
      </c>
      <c r="H6097">
        <v>2.4</v>
      </c>
      <c r="I6097" t="s">
        <v>4744</v>
      </c>
      <c r="J6097" t="s">
        <v>5191</v>
      </c>
      <c r="K6097" t="s">
        <v>728</v>
      </c>
      <c r="L6097">
        <v>12.25</v>
      </c>
      <c r="M6097" s="452">
        <v>45625</v>
      </c>
      <c r="N6097">
        <v>12</v>
      </c>
      <c r="O6097">
        <v>12</v>
      </c>
      <c r="P6097">
        <v>29.4</v>
      </c>
    </row>
    <row r="6098" spans="1:16" x14ac:dyDescent="0.3">
      <c r="A6098">
        <v>10787</v>
      </c>
      <c r="B6098">
        <v>105</v>
      </c>
      <c r="C6098" t="s">
        <v>557</v>
      </c>
      <c r="D6098" s="452">
        <v>45627</v>
      </c>
      <c r="E6098">
        <v>20140</v>
      </c>
      <c r="F6098" t="s">
        <v>5566</v>
      </c>
      <c r="G6098">
        <v>2284</v>
      </c>
      <c r="H6098">
        <v>4</v>
      </c>
      <c r="I6098" t="s">
        <v>4736</v>
      </c>
      <c r="J6098" t="s">
        <v>5191</v>
      </c>
      <c r="K6098" t="s">
        <v>728</v>
      </c>
      <c r="L6098">
        <v>7.25</v>
      </c>
      <c r="M6098" s="452">
        <v>45622</v>
      </c>
      <c r="N6098">
        <v>7.25</v>
      </c>
      <c r="O6098">
        <v>7.25</v>
      </c>
      <c r="P6098">
        <v>29</v>
      </c>
    </row>
    <row r="6099" spans="1:16" x14ac:dyDescent="0.3">
      <c r="A6099">
        <v>10685</v>
      </c>
      <c r="B6099">
        <v>105</v>
      </c>
      <c r="C6099" t="s">
        <v>557</v>
      </c>
      <c r="D6099" s="452">
        <v>45627</v>
      </c>
      <c r="E6099">
        <v>18253</v>
      </c>
      <c r="F6099" t="s">
        <v>4969</v>
      </c>
      <c r="G6099">
        <v>3376</v>
      </c>
      <c r="H6099">
        <v>1</v>
      </c>
      <c r="I6099" t="s">
        <v>4805</v>
      </c>
      <c r="J6099" t="s">
        <v>5222</v>
      </c>
      <c r="K6099" t="s">
        <v>728</v>
      </c>
      <c r="L6099">
        <v>0</v>
      </c>
      <c r="M6099" s="452">
        <v>45596</v>
      </c>
      <c r="N6099">
        <v>28.9</v>
      </c>
      <c r="O6099">
        <v>28.9</v>
      </c>
      <c r="P6099">
        <v>28.9</v>
      </c>
    </row>
    <row r="6100" spans="1:16" x14ac:dyDescent="0.3">
      <c r="A6100">
        <v>10823</v>
      </c>
      <c r="B6100">
        <v>105</v>
      </c>
      <c r="C6100" t="s">
        <v>557</v>
      </c>
      <c r="D6100" s="452">
        <v>45627</v>
      </c>
      <c r="E6100">
        <v>20614</v>
      </c>
      <c r="F6100" t="s">
        <v>4958</v>
      </c>
      <c r="G6100">
        <v>2119</v>
      </c>
      <c r="H6100">
        <v>1</v>
      </c>
      <c r="I6100" t="s">
        <v>4736</v>
      </c>
      <c r="J6100" t="s">
        <v>5191</v>
      </c>
      <c r="K6100" t="s">
        <v>728</v>
      </c>
      <c r="L6100">
        <v>0</v>
      </c>
      <c r="M6100" s="452">
        <v>45504</v>
      </c>
      <c r="N6100">
        <v>28.61</v>
      </c>
      <c r="O6100">
        <v>29.4</v>
      </c>
      <c r="P6100">
        <v>28.61</v>
      </c>
    </row>
    <row r="6101" spans="1:16" x14ac:dyDescent="0.3">
      <c r="A6101">
        <v>10734</v>
      </c>
      <c r="B6101">
        <v>105</v>
      </c>
      <c r="C6101" t="s">
        <v>557</v>
      </c>
      <c r="D6101" s="452">
        <v>45627</v>
      </c>
      <c r="E6101">
        <v>23548</v>
      </c>
      <c r="F6101" t="s">
        <v>5449</v>
      </c>
      <c r="G6101">
        <v>2321</v>
      </c>
      <c r="H6101">
        <v>0.5</v>
      </c>
      <c r="I6101" t="s">
        <v>4744</v>
      </c>
      <c r="J6101" t="s">
        <v>5191</v>
      </c>
      <c r="K6101" t="s">
        <v>728</v>
      </c>
      <c r="L6101">
        <v>0</v>
      </c>
      <c r="M6101" s="452">
        <v>45519</v>
      </c>
      <c r="N6101">
        <v>56.9</v>
      </c>
      <c r="O6101">
        <v>44</v>
      </c>
      <c r="P6101">
        <v>28.45</v>
      </c>
    </row>
    <row r="6102" spans="1:16" x14ac:dyDescent="0.3">
      <c r="A6102">
        <v>10778</v>
      </c>
      <c r="B6102">
        <v>105</v>
      </c>
      <c r="C6102" t="s">
        <v>557</v>
      </c>
      <c r="D6102" s="452">
        <v>45627</v>
      </c>
      <c r="E6102">
        <v>20014</v>
      </c>
      <c r="F6102" t="s">
        <v>5335</v>
      </c>
      <c r="G6102">
        <v>2342</v>
      </c>
      <c r="H6102">
        <v>2.57</v>
      </c>
      <c r="I6102" t="s">
        <v>4736</v>
      </c>
      <c r="J6102" t="s">
        <v>5191</v>
      </c>
      <c r="K6102" t="s">
        <v>728</v>
      </c>
      <c r="L6102">
        <v>11</v>
      </c>
      <c r="M6102" s="452">
        <v>45622</v>
      </c>
      <c r="N6102">
        <v>11</v>
      </c>
      <c r="O6102">
        <v>11</v>
      </c>
      <c r="P6102">
        <v>28.27</v>
      </c>
    </row>
    <row r="6103" spans="1:16" x14ac:dyDescent="0.3">
      <c r="A6103">
        <v>10722</v>
      </c>
      <c r="B6103">
        <v>105</v>
      </c>
      <c r="C6103" t="s">
        <v>557</v>
      </c>
      <c r="D6103" s="452">
        <v>45627</v>
      </c>
      <c r="E6103">
        <v>20313</v>
      </c>
      <c r="F6103" t="s">
        <v>5693</v>
      </c>
      <c r="G6103">
        <v>2220</v>
      </c>
      <c r="H6103">
        <v>2</v>
      </c>
      <c r="I6103" t="s">
        <v>4738</v>
      </c>
      <c r="J6103" t="s">
        <v>5191</v>
      </c>
      <c r="K6103" t="s">
        <v>728</v>
      </c>
      <c r="L6103">
        <v>0</v>
      </c>
      <c r="M6103" s="452">
        <v>45587</v>
      </c>
      <c r="N6103">
        <v>13.98</v>
      </c>
      <c r="O6103">
        <v>13.98</v>
      </c>
      <c r="P6103">
        <v>27.96</v>
      </c>
    </row>
    <row r="6104" spans="1:16" x14ac:dyDescent="0.3">
      <c r="A6104">
        <v>10972</v>
      </c>
      <c r="B6104">
        <v>105</v>
      </c>
      <c r="C6104" t="s">
        <v>557</v>
      </c>
      <c r="D6104" s="452">
        <v>45627</v>
      </c>
      <c r="E6104">
        <v>24468</v>
      </c>
      <c r="F6104" t="s">
        <v>4798</v>
      </c>
      <c r="G6104">
        <v>3675</v>
      </c>
      <c r="H6104">
        <v>14</v>
      </c>
      <c r="I6104" t="s">
        <v>4736</v>
      </c>
      <c r="J6104" t="s">
        <v>5222</v>
      </c>
      <c r="K6104" t="s">
        <v>728</v>
      </c>
      <c r="L6104">
        <v>0</v>
      </c>
      <c r="M6104" s="452">
        <v>45524</v>
      </c>
      <c r="N6104">
        <v>1.99</v>
      </c>
      <c r="O6104">
        <v>2.19</v>
      </c>
      <c r="P6104">
        <v>27.86</v>
      </c>
    </row>
    <row r="6105" spans="1:16" x14ac:dyDescent="0.3">
      <c r="A6105">
        <v>10703</v>
      </c>
      <c r="B6105">
        <v>105</v>
      </c>
      <c r="C6105" t="s">
        <v>557</v>
      </c>
      <c r="D6105" s="452">
        <v>45627</v>
      </c>
      <c r="E6105">
        <v>18078</v>
      </c>
      <c r="F6105" t="s">
        <v>5606</v>
      </c>
      <c r="G6105">
        <v>3531</v>
      </c>
      <c r="H6105">
        <v>0.81</v>
      </c>
      <c r="I6105" t="s">
        <v>4805</v>
      </c>
      <c r="J6105" t="s">
        <v>5222</v>
      </c>
      <c r="K6105" t="s">
        <v>728</v>
      </c>
      <c r="L6105">
        <v>33.979999999999997</v>
      </c>
      <c r="M6105" s="452">
        <v>45609</v>
      </c>
      <c r="N6105">
        <v>33.979999999999997</v>
      </c>
      <c r="O6105">
        <v>33.979999999999997</v>
      </c>
      <c r="P6105">
        <v>27.52</v>
      </c>
    </row>
    <row r="6106" spans="1:16" x14ac:dyDescent="0.3">
      <c r="A6106">
        <v>10963</v>
      </c>
      <c r="B6106">
        <v>105</v>
      </c>
      <c r="C6106" t="s">
        <v>557</v>
      </c>
      <c r="D6106" s="452">
        <v>45627</v>
      </c>
      <c r="E6106">
        <v>17916</v>
      </c>
      <c r="F6106" t="s">
        <v>5235</v>
      </c>
      <c r="G6106">
        <v>3648</v>
      </c>
      <c r="H6106">
        <v>1</v>
      </c>
      <c r="I6106" t="s">
        <v>4738</v>
      </c>
      <c r="J6106" t="s">
        <v>5222</v>
      </c>
      <c r="K6106" t="s">
        <v>728</v>
      </c>
      <c r="L6106">
        <v>27.28</v>
      </c>
      <c r="M6106" s="452">
        <v>45623</v>
      </c>
      <c r="N6106">
        <v>27.28</v>
      </c>
      <c r="O6106">
        <v>27.28</v>
      </c>
      <c r="P6106">
        <v>27.28</v>
      </c>
    </row>
    <row r="6107" spans="1:16" x14ac:dyDescent="0.3">
      <c r="A6107">
        <v>11034</v>
      </c>
      <c r="B6107">
        <v>105</v>
      </c>
      <c r="C6107" t="s">
        <v>557</v>
      </c>
      <c r="D6107" s="452">
        <v>45627</v>
      </c>
      <c r="E6107">
        <v>19130</v>
      </c>
      <c r="F6107" t="s">
        <v>4990</v>
      </c>
      <c r="G6107">
        <v>2839</v>
      </c>
      <c r="H6107">
        <v>1.1299999999999999</v>
      </c>
      <c r="I6107" t="s">
        <v>4744</v>
      </c>
      <c r="J6107" t="s">
        <v>5191</v>
      </c>
      <c r="K6107" t="s">
        <v>728</v>
      </c>
      <c r="L6107">
        <v>0</v>
      </c>
      <c r="M6107" s="452">
        <v>-693593</v>
      </c>
      <c r="N6107">
        <v>0</v>
      </c>
      <c r="O6107">
        <v>0</v>
      </c>
      <c r="P6107">
        <v>27.09</v>
      </c>
    </row>
    <row r="6108" spans="1:16" x14ac:dyDescent="0.3">
      <c r="A6108">
        <v>10663</v>
      </c>
      <c r="B6108">
        <v>105</v>
      </c>
      <c r="C6108" t="s">
        <v>557</v>
      </c>
      <c r="D6108" s="452">
        <v>45627</v>
      </c>
      <c r="E6108">
        <v>18545</v>
      </c>
      <c r="F6108" t="s">
        <v>4864</v>
      </c>
      <c r="G6108">
        <v>3134</v>
      </c>
      <c r="H6108">
        <v>0.54</v>
      </c>
      <c r="I6108" t="s">
        <v>4805</v>
      </c>
      <c r="J6108" t="s">
        <v>5222</v>
      </c>
      <c r="K6108" t="s">
        <v>728</v>
      </c>
      <c r="L6108">
        <v>49.9</v>
      </c>
      <c r="M6108" s="452">
        <v>45609</v>
      </c>
      <c r="N6108">
        <v>49.9</v>
      </c>
      <c r="O6108">
        <v>48.39</v>
      </c>
      <c r="P6108">
        <v>26.95</v>
      </c>
    </row>
    <row r="6109" spans="1:16" x14ac:dyDescent="0.3">
      <c r="A6109">
        <v>10750</v>
      </c>
      <c r="B6109">
        <v>105</v>
      </c>
      <c r="C6109" t="s">
        <v>557</v>
      </c>
      <c r="D6109" s="452">
        <v>45627</v>
      </c>
      <c r="E6109">
        <v>20034</v>
      </c>
      <c r="F6109" t="s">
        <v>5065</v>
      </c>
      <c r="G6109">
        <v>2333</v>
      </c>
      <c r="H6109">
        <v>0.35</v>
      </c>
      <c r="I6109" t="s">
        <v>4744</v>
      </c>
      <c r="J6109" t="s">
        <v>5191</v>
      </c>
      <c r="K6109" t="s">
        <v>728</v>
      </c>
      <c r="L6109">
        <v>0</v>
      </c>
      <c r="M6109" s="452">
        <v>-693593</v>
      </c>
      <c r="N6109">
        <v>0</v>
      </c>
      <c r="O6109">
        <v>75.8</v>
      </c>
      <c r="P6109">
        <v>26.53</v>
      </c>
    </row>
    <row r="6110" spans="1:16" x14ac:dyDescent="0.3">
      <c r="A6110">
        <v>10717</v>
      </c>
      <c r="B6110">
        <v>105</v>
      </c>
      <c r="C6110" t="s">
        <v>557</v>
      </c>
      <c r="D6110" s="452">
        <v>45627</v>
      </c>
      <c r="E6110">
        <v>20321</v>
      </c>
      <c r="F6110" t="s">
        <v>5067</v>
      </c>
      <c r="G6110">
        <v>2213</v>
      </c>
      <c r="H6110">
        <v>0.6</v>
      </c>
      <c r="I6110" t="s">
        <v>4744</v>
      </c>
      <c r="J6110" t="s">
        <v>5191</v>
      </c>
      <c r="K6110" t="s">
        <v>728</v>
      </c>
      <c r="L6110">
        <v>0</v>
      </c>
      <c r="M6110" s="452">
        <v>-693593</v>
      </c>
      <c r="N6110">
        <v>0</v>
      </c>
      <c r="O6110">
        <v>43.64</v>
      </c>
      <c r="P6110">
        <v>26.18</v>
      </c>
    </row>
    <row r="6111" spans="1:16" x14ac:dyDescent="0.3">
      <c r="A6111">
        <v>10882</v>
      </c>
      <c r="B6111">
        <v>105</v>
      </c>
      <c r="C6111" t="s">
        <v>557</v>
      </c>
      <c r="D6111" s="452">
        <v>45627</v>
      </c>
      <c r="E6111">
        <v>20678</v>
      </c>
      <c r="F6111" t="s">
        <v>5559</v>
      </c>
      <c r="G6111">
        <v>5765</v>
      </c>
      <c r="H6111">
        <v>1</v>
      </c>
      <c r="I6111" t="s">
        <v>4805</v>
      </c>
      <c r="J6111" t="s">
        <v>5191</v>
      </c>
      <c r="K6111" t="s">
        <v>728</v>
      </c>
      <c r="L6111">
        <v>0</v>
      </c>
      <c r="M6111" s="452">
        <v>45596</v>
      </c>
      <c r="N6111">
        <v>0</v>
      </c>
      <c r="O6111">
        <v>25.9</v>
      </c>
      <c r="P6111">
        <v>25.9</v>
      </c>
    </row>
    <row r="6112" spans="1:16" x14ac:dyDescent="0.3">
      <c r="A6112">
        <v>10687</v>
      </c>
      <c r="B6112">
        <v>105</v>
      </c>
      <c r="C6112" t="s">
        <v>557</v>
      </c>
      <c r="D6112" s="452">
        <v>45627</v>
      </c>
      <c r="E6112">
        <v>18232</v>
      </c>
      <c r="F6112" t="s">
        <v>4971</v>
      </c>
      <c r="G6112">
        <v>3396</v>
      </c>
      <c r="H6112">
        <v>0.3</v>
      </c>
      <c r="I6112" t="s">
        <v>4805</v>
      </c>
      <c r="J6112" t="s">
        <v>5222</v>
      </c>
      <c r="K6112" t="s">
        <v>728</v>
      </c>
      <c r="L6112">
        <v>0</v>
      </c>
      <c r="M6112" s="452">
        <v>45588</v>
      </c>
      <c r="N6112">
        <v>85.9</v>
      </c>
      <c r="O6112">
        <v>88.57</v>
      </c>
      <c r="P6112">
        <v>25.77</v>
      </c>
    </row>
    <row r="6113" spans="1:16" x14ac:dyDescent="0.3">
      <c r="A6113">
        <v>10867</v>
      </c>
      <c r="B6113">
        <v>105</v>
      </c>
      <c r="C6113" t="s">
        <v>557</v>
      </c>
      <c r="D6113" s="452">
        <v>45627</v>
      </c>
      <c r="E6113">
        <v>19603</v>
      </c>
      <c r="F6113" t="s">
        <v>5605</v>
      </c>
      <c r="G6113">
        <v>2625</v>
      </c>
      <c r="H6113">
        <v>4</v>
      </c>
      <c r="I6113" t="s">
        <v>4736</v>
      </c>
      <c r="J6113" t="s">
        <v>5191</v>
      </c>
      <c r="K6113" t="s">
        <v>728</v>
      </c>
      <c r="L6113">
        <v>6.4</v>
      </c>
      <c r="M6113" s="452">
        <v>45602</v>
      </c>
      <c r="N6113">
        <v>6.4</v>
      </c>
      <c r="O6113">
        <v>6.4</v>
      </c>
      <c r="P6113">
        <v>25.6</v>
      </c>
    </row>
    <row r="6114" spans="1:16" x14ac:dyDescent="0.3">
      <c r="A6114">
        <v>10948</v>
      </c>
      <c r="B6114">
        <v>105</v>
      </c>
      <c r="C6114" t="s">
        <v>557</v>
      </c>
      <c r="D6114" s="452">
        <v>45627</v>
      </c>
      <c r="E6114">
        <v>25138</v>
      </c>
      <c r="F6114" t="s">
        <v>5545</v>
      </c>
      <c r="G6114">
        <v>5916</v>
      </c>
      <c r="H6114">
        <v>0.8</v>
      </c>
      <c r="I6114" t="s">
        <v>4744</v>
      </c>
      <c r="J6114" t="s">
        <v>5191</v>
      </c>
      <c r="K6114" t="s">
        <v>728</v>
      </c>
      <c r="L6114">
        <v>0</v>
      </c>
      <c r="M6114" s="452">
        <v>-693593</v>
      </c>
      <c r="N6114">
        <v>0</v>
      </c>
      <c r="O6114">
        <v>0</v>
      </c>
      <c r="P6114">
        <v>24.8</v>
      </c>
    </row>
    <row r="6115" spans="1:16" x14ac:dyDescent="0.3">
      <c r="A6115">
        <v>10848</v>
      </c>
      <c r="B6115">
        <v>105</v>
      </c>
      <c r="C6115" t="s">
        <v>557</v>
      </c>
      <c r="D6115" s="452">
        <v>45627</v>
      </c>
      <c r="E6115">
        <v>19628</v>
      </c>
      <c r="F6115" t="s">
        <v>5601</v>
      </c>
      <c r="G6115">
        <v>2606</v>
      </c>
      <c r="H6115">
        <v>11.3</v>
      </c>
      <c r="I6115" t="s">
        <v>4744</v>
      </c>
      <c r="J6115" t="s">
        <v>5191</v>
      </c>
      <c r="K6115" t="s">
        <v>728</v>
      </c>
      <c r="L6115">
        <v>2.0699999999999998</v>
      </c>
      <c r="M6115" s="452">
        <v>45625</v>
      </c>
      <c r="N6115">
        <v>1.85</v>
      </c>
      <c r="O6115">
        <v>1.84</v>
      </c>
      <c r="P6115">
        <v>23.39</v>
      </c>
    </row>
    <row r="6116" spans="1:16" x14ac:dyDescent="0.3">
      <c r="A6116">
        <v>10903</v>
      </c>
      <c r="B6116">
        <v>105</v>
      </c>
      <c r="C6116" t="s">
        <v>557</v>
      </c>
      <c r="D6116" s="452">
        <v>45627</v>
      </c>
      <c r="E6116">
        <v>19415</v>
      </c>
      <c r="F6116" t="s">
        <v>4919</v>
      </c>
      <c r="G6116">
        <v>2759</v>
      </c>
      <c r="H6116">
        <v>3</v>
      </c>
      <c r="I6116" t="s">
        <v>4736</v>
      </c>
      <c r="J6116" t="s">
        <v>5191</v>
      </c>
      <c r="K6116" t="s">
        <v>728</v>
      </c>
      <c r="L6116">
        <v>7.65</v>
      </c>
      <c r="M6116" s="452">
        <v>45622</v>
      </c>
      <c r="N6116">
        <v>7.6</v>
      </c>
      <c r="O6116">
        <v>7.6</v>
      </c>
      <c r="P6116">
        <v>22.95</v>
      </c>
    </row>
    <row r="6117" spans="1:16" x14ac:dyDescent="0.3">
      <c r="A6117">
        <v>10916</v>
      </c>
      <c r="B6117">
        <v>105</v>
      </c>
      <c r="C6117" t="s">
        <v>557</v>
      </c>
      <c r="D6117" s="452">
        <v>45627</v>
      </c>
      <c r="E6117">
        <v>18708</v>
      </c>
      <c r="F6117" t="s">
        <v>5573</v>
      </c>
      <c r="G6117">
        <v>3033</v>
      </c>
      <c r="H6117">
        <v>0.8</v>
      </c>
      <c r="I6117" t="s">
        <v>4744</v>
      </c>
      <c r="J6117" t="s">
        <v>5191</v>
      </c>
      <c r="K6117" t="s">
        <v>728</v>
      </c>
      <c r="L6117">
        <v>28.35</v>
      </c>
      <c r="M6117" s="452">
        <v>45607</v>
      </c>
      <c r="N6117">
        <v>28.35</v>
      </c>
      <c r="O6117">
        <v>28.2</v>
      </c>
      <c r="P6117">
        <v>22.68</v>
      </c>
    </row>
    <row r="6118" spans="1:16" x14ac:dyDescent="0.3">
      <c r="A6118">
        <v>10874</v>
      </c>
      <c r="B6118">
        <v>105</v>
      </c>
      <c r="C6118" t="s">
        <v>557</v>
      </c>
      <c r="D6118" s="452">
        <v>45627</v>
      </c>
      <c r="E6118">
        <v>19728</v>
      </c>
      <c r="F6118" t="s">
        <v>5106</v>
      </c>
      <c r="G6118">
        <v>2525</v>
      </c>
      <c r="H6118">
        <v>2.25</v>
      </c>
      <c r="I6118" t="s">
        <v>4744</v>
      </c>
      <c r="J6118" t="s">
        <v>5191</v>
      </c>
      <c r="K6118" t="s">
        <v>728</v>
      </c>
      <c r="L6118">
        <v>10</v>
      </c>
      <c r="M6118" s="452">
        <v>45607</v>
      </c>
      <c r="N6118">
        <v>10</v>
      </c>
      <c r="O6118">
        <v>9.5</v>
      </c>
      <c r="P6118">
        <v>22.5</v>
      </c>
    </row>
    <row r="6119" spans="1:16" x14ac:dyDescent="0.3">
      <c r="A6119">
        <v>10715</v>
      </c>
      <c r="B6119">
        <v>105</v>
      </c>
      <c r="C6119" t="s">
        <v>557</v>
      </c>
      <c r="D6119" s="452">
        <v>45627</v>
      </c>
      <c r="E6119">
        <v>21085</v>
      </c>
      <c r="F6119" t="s">
        <v>5066</v>
      </c>
      <c r="G6119">
        <v>1989</v>
      </c>
      <c r="H6119">
        <v>1</v>
      </c>
      <c r="I6119" t="s">
        <v>4749</v>
      </c>
      <c r="J6119" t="s">
        <v>5191</v>
      </c>
      <c r="K6119" t="s">
        <v>728</v>
      </c>
      <c r="L6119">
        <v>22.16</v>
      </c>
      <c r="M6119" s="452">
        <v>45618</v>
      </c>
      <c r="N6119">
        <v>22.16</v>
      </c>
      <c r="O6119">
        <v>22.16</v>
      </c>
      <c r="P6119">
        <v>22.16</v>
      </c>
    </row>
    <row r="6120" spans="1:16" x14ac:dyDescent="0.3">
      <c r="A6120">
        <v>10702</v>
      </c>
      <c r="B6120">
        <v>105</v>
      </c>
      <c r="C6120" t="s">
        <v>557</v>
      </c>
      <c r="D6120" s="452">
        <v>45627</v>
      </c>
      <c r="E6120">
        <v>18067</v>
      </c>
      <c r="F6120" t="s">
        <v>5583</v>
      </c>
      <c r="G6120">
        <v>3542</v>
      </c>
      <c r="H6120">
        <v>0.65</v>
      </c>
      <c r="I6120" t="s">
        <v>4736</v>
      </c>
      <c r="J6120" t="s">
        <v>5222</v>
      </c>
      <c r="K6120" t="s">
        <v>728</v>
      </c>
      <c r="L6120">
        <v>0</v>
      </c>
      <c r="M6120" s="452">
        <v>45596</v>
      </c>
      <c r="N6120">
        <v>33.979999999999997</v>
      </c>
      <c r="O6120">
        <v>33.979999999999997</v>
      </c>
      <c r="P6120">
        <v>22.09</v>
      </c>
    </row>
    <row r="6121" spans="1:16" x14ac:dyDescent="0.3">
      <c r="A6121">
        <v>10651</v>
      </c>
      <c r="B6121">
        <v>105</v>
      </c>
      <c r="C6121" t="s">
        <v>557</v>
      </c>
      <c r="D6121" s="452">
        <v>45627</v>
      </c>
      <c r="E6121">
        <v>24979</v>
      </c>
      <c r="F6121" t="s">
        <v>5548</v>
      </c>
      <c r="G6121">
        <v>5848</v>
      </c>
      <c r="H6121">
        <v>2.5</v>
      </c>
      <c r="I6121" t="s">
        <v>4738</v>
      </c>
      <c r="J6121" t="s">
        <v>5222</v>
      </c>
      <c r="K6121" t="s">
        <v>728</v>
      </c>
      <c r="L6121">
        <v>0</v>
      </c>
      <c r="M6121" s="452">
        <v>45546</v>
      </c>
      <c r="N6121">
        <v>8.7899999999999991</v>
      </c>
      <c r="O6121">
        <v>8.7899999999999991</v>
      </c>
      <c r="P6121">
        <v>21.98</v>
      </c>
    </row>
    <row r="6122" spans="1:16" x14ac:dyDescent="0.3">
      <c r="A6122">
        <v>10878</v>
      </c>
      <c r="B6122">
        <v>105</v>
      </c>
      <c r="C6122" t="s">
        <v>557</v>
      </c>
      <c r="D6122" s="452">
        <v>45627</v>
      </c>
      <c r="E6122">
        <v>19572</v>
      </c>
      <c r="F6122" t="s">
        <v>4989</v>
      </c>
      <c r="G6122">
        <v>2646</v>
      </c>
      <c r="H6122">
        <v>1.45</v>
      </c>
      <c r="I6122" t="s">
        <v>4744</v>
      </c>
      <c r="J6122" t="s">
        <v>5191</v>
      </c>
      <c r="K6122" t="s">
        <v>728</v>
      </c>
      <c r="L6122">
        <v>15</v>
      </c>
      <c r="M6122" s="452">
        <v>45625</v>
      </c>
      <c r="N6122">
        <v>15</v>
      </c>
      <c r="O6122">
        <v>15</v>
      </c>
      <c r="P6122">
        <v>21.75</v>
      </c>
    </row>
    <row r="6123" spans="1:16" x14ac:dyDescent="0.3">
      <c r="A6123">
        <v>10973</v>
      </c>
      <c r="B6123">
        <v>105</v>
      </c>
      <c r="C6123" t="s">
        <v>557</v>
      </c>
      <c r="D6123" s="452">
        <v>45627</v>
      </c>
      <c r="E6123">
        <v>17878</v>
      </c>
      <c r="F6123" t="s">
        <v>4926</v>
      </c>
      <c r="G6123">
        <v>3677</v>
      </c>
      <c r="H6123">
        <v>1</v>
      </c>
      <c r="I6123" t="s">
        <v>4736</v>
      </c>
      <c r="J6123" t="s">
        <v>5222</v>
      </c>
      <c r="K6123" t="s">
        <v>728</v>
      </c>
      <c r="L6123">
        <v>0</v>
      </c>
      <c r="M6123" s="452">
        <v>45372</v>
      </c>
      <c r="N6123">
        <v>21.68</v>
      </c>
      <c r="O6123">
        <v>21.55</v>
      </c>
      <c r="P6123">
        <v>21.68</v>
      </c>
    </row>
    <row r="6124" spans="1:16" x14ac:dyDescent="0.3">
      <c r="A6124">
        <v>10860</v>
      </c>
      <c r="B6124">
        <v>105</v>
      </c>
      <c r="C6124" t="s">
        <v>557</v>
      </c>
      <c r="D6124" s="452">
        <v>45627</v>
      </c>
      <c r="E6124">
        <v>24522</v>
      </c>
      <c r="F6124" t="s">
        <v>5072</v>
      </c>
      <c r="G6124">
        <v>5651</v>
      </c>
      <c r="H6124">
        <v>1</v>
      </c>
      <c r="I6124" t="s">
        <v>4744</v>
      </c>
      <c r="J6124" t="s">
        <v>5191</v>
      </c>
      <c r="K6124" t="s">
        <v>728</v>
      </c>
      <c r="L6124">
        <v>0</v>
      </c>
      <c r="M6124" s="452">
        <v>45555</v>
      </c>
      <c r="N6124">
        <v>21.6</v>
      </c>
      <c r="O6124">
        <v>21.6</v>
      </c>
      <c r="P6124">
        <v>21.6</v>
      </c>
    </row>
    <row r="6125" spans="1:16" x14ac:dyDescent="0.3">
      <c r="A6125">
        <v>10859</v>
      </c>
      <c r="B6125">
        <v>105</v>
      </c>
      <c r="C6125" t="s">
        <v>557</v>
      </c>
      <c r="D6125" s="452">
        <v>45627</v>
      </c>
      <c r="E6125">
        <v>24230</v>
      </c>
      <c r="F6125" t="s">
        <v>4986</v>
      </c>
      <c r="G6125">
        <v>2622</v>
      </c>
      <c r="H6125">
        <v>1</v>
      </c>
      <c r="I6125" t="s">
        <v>4744</v>
      </c>
      <c r="J6125" t="s">
        <v>5191</v>
      </c>
      <c r="K6125" t="s">
        <v>728</v>
      </c>
      <c r="L6125">
        <v>0</v>
      </c>
      <c r="M6125" s="452">
        <v>45485</v>
      </c>
      <c r="N6125">
        <v>21.5</v>
      </c>
      <c r="O6125">
        <v>21.5</v>
      </c>
      <c r="P6125">
        <v>21.5</v>
      </c>
    </row>
    <row r="6126" spans="1:16" x14ac:dyDescent="0.3">
      <c r="A6126">
        <v>10880</v>
      </c>
      <c r="B6126">
        <v>105</v>
      </c>
      <c r="C6126" t="s">
        <v>557</v>
      </c>
      <c r="D6126" s="452">
        <v>45627</v>
      </c>
      <c r="E6126">
        <v>19560</v>
      </c>
      <c r="F6126" t="s">
        <v>4962</v>
      </c>
      <c r="G6126">
        <v>2657</v>
      </c>
      <c r="H6126">
        <v>1.65</v>
      </c>
      <c r="I6126" t="s">
        <v>4744</v>
      </c>
      <c r="J6126" t="s">
        <v>5191</v>
      </c>
      <c r="K6126" t="s">
        <v>728</v>
      </c>
      <c r="L6126">
        <v>12.75</v>
      </c>
      <c r="M6126" s="452">
        <v>45610</v>
      </c>
      <c r="N6126">
        <v>12</v>
      </c>
      <c r="O6126">
        <v>11</v>
      </c>
      <c r="P6126">
        <v>21.04</v>
      </c>
    </row>
    <row r="6127" spans="1:16" x14ac:dyDescent="0.3">
      <c r="A6127">
        <v>11013</v>
      </c>
      <c r="B6127">
        <v>105</v>
      </c>
      <c r="C6127" t="s">
        <v>557</v>
      </c>
      <c r="D6127" s="452">
        <v>45627</v>
      </c>
      <c r="E6127">
        <v>25753</v>
      </c>
      <c r="F6127" t="s">
        <v>5144</v>
      </c>
      <c r="G6127">
        <v>6304</v>
      </c>
      <c r="H6127">
        <v>3</v>
      </c>
      <c r="I6127" t="s">
        <v>4736</v>
      </c>
      <c r="J6127" t="s">
        <v>5191</v>
      </c>
      <c r="K6127" t="s">
        <v>728</v>
      </c>
      <c r="L6127">
        <v>0</v>
      </c>
      <c r="M6127" s="452">
        <v>-693593</v>
      </c>
      <c r="N6127">
        <v>0</v>
      </c>
      <c r="O6127">
        <v>0</v>
      </c>
      <c r="P6127">
        <v>20.97</v>
      </c>
    </row>
    <row r="6128" spans="1:16" x14ac:dyDescent="0.3">
      <c r="A6128">
        <v>11014</v>
      </c>
      <c r="B6128">
        <v>105</v>
      </c>
      <c r="C6128" t="s">
        <v>557</v>
      </c>
      <c r="D6128" s="452">
        <v>45627</v>
      </c>
      <c r="E6128">
        <v>25752</v>
      </c>
      <c r="F6128" t="s">
        <v>5000</v>
      </c>
      <c r="G6128">
        <v>6303</v>
      </c>
      <c r="H6128">
        <v>3</v>
      </c>
      <c r="I6128" t="s">
        <v>4749</v>
      </c>
      <c r="J6128" t="s">
        <v>5191</v>
      </c>
      <c r="K6128" t="s">
        <v>728</v>
      </c>
      <c r="L6128">
        <v>0</v>
      </c>
      <c r="M6128" s="452">
        <v>-693593</v>
      </c>
      <c r="N6128">
        <v>0</v>
      </c>
      <c r="O6128">
        <v>0</v>
      </c>
      <c r="P6128">
        <v>20.97</v>
      </c>
    </row>
    <row r="6129" spans="1:16" x14ac:dyDescent="0.3">
      <c r="A6129">
        <v>11025</v>
      </c>
      <c r="B6129">
        <v>105</v>
      </c>
      <c r="C6129" t="s">
        <v>557</v>
      </c>
      <c r="D6129" s="452">
        <v>45627</v>
      </c>
      <c r="E6129">
        <v>25760</v>
      </c>
      <c r="F6129" t="s">
        <v>4787</v>
      </c>
      <c r="G6129">
        <v>6311</v>
      </c>
      <c r="H6129">
        <v>3</v>
      </c>
      <c r="I6129" t="s">
        <v>4736</v>
      </c>
      <c r="J6129" t="s">
        <v>5191</v>
      </c>
      <c r="K6129" t="s">
        <v>728</v>
      </c>
      <c r="L6129">
        <v>0</v>
      </c>
      <c r="M6129" s="452">
        <v>-693593</v>
      </c>
      <c r="N6129">
        <v>0</v>
      </c>
      <c r="O6129">
        <v>0</v>
      </c>
      <c r="P6129">
        <v>20.97</v>
      </c>
    </row>
    <row r="6130" spans="1:16" x14ac:dyDescent="0.3">
      <c r="A6130">
        <v>10977</v>
      </c>
      <c r="B6130">
        <v>105</v>
      </c>
      <c r="C6130" t="s">
        <v>557</v>
      </c>
      <c r="D6130" s="452">
        <v>45627</v>
      </c>
      <c r="E6130">
        <v>17784</v>
      </c>
      <c r="F6130" t="s">
        <v>5694</v>
      </c>
      <c r="G6130">
        <v>3760</v>
      </c>
      <c r="H6130">
        <v>0.45</v>
      </c>
      <c r="I6130" t="s">
        <v>4805</v>
      </c>
      <c r="J6130" t="s">
        <v>5222</v>
      </c>
      <c r="K6130" t="s">
        <v>728</v>
      </c>
      <c r="L6130">
        <v>46</v>
      </c>
      <c r="M6130" s="452">
        <v>45625</v>
      </c>
      <c r="N6130">
        <v>46</v>
      </c>
      <c r="O6130">
        <v>46</v>
      </c>
      <c r="P6130">
        <v>20.7</v>
      </c>
    </row>
    <row r="6131" spans="1:16" x14ac:dyDescent="0.3">
      <c r="A6131">
        <v>10835</v>
      </c>
      <c r="B6131">
        <v>105</v>
      </c>
      <c r="C6131" t="s">
        <v>557</v>
      </c>
      <c r="D6131" s="452">
        <v>45627</v>
      </c>
      <c r="E6131">
        <v>19652</v>
      </c>
      <c r="F6131" t="s">
        <v>4899</v>
      </c>
      <c r="G6131">
        <v>2587</v>
      </c>
      <c r="H6131">
        <v>0.65</v>
      </c>
      <c r="I6131" t="s">
        <v>4744</v>
      </c>
      <c r="J6131" t="s">
        <v>5191</v>
      </c>
      <c r="K6131" t="s">
        <v>728</v>
      </c>
      <c r="L6131">
        <v>0</v>
      </c>
      <c r="M6131" s="452">
        <v>45588</v>
      </c>
      <c r="N6131">
        <v>31.68</v>
      </c>
      <c r="O6131">
        <v>30</v>
      </c>
      <c r="P6131">
        <v>20.59</v>
      </c>
    </row>
    <row r="6132" spans="1:16" x14ac:dyDescent="0.3">
      <c r="A6132">
        <v>11032</v>
      </c>
      <c r="B6132">
        <v>105</v>
      </c>
      <c r="C6132" t="s">
        <v>557</v>
      </c>
      <c r="D6132" s="452">
        <v>45627</v>
      </c>
      <c r="E6132">
        <v>18381</v>
      </c>
      <c r="F6132" t="s">
        <v>5695</v>
      </c>
      <c r="G6132">
        <v>3258</v>
      </c>
      <c r="H6132">
        <v>0.8</v>
      </c>
      <c r="I6132" t="s">
        <v>4736</v>
      </c>
      <c r="J6132" t="s">
        <v>5222</v>
      </c>
      <c r="K6132" t="s">
        <v>728</v>
      </c>
      <c r="L6132">
        <v>0</v>
      </c>
      <c r="M6132" s="452">
        <v>-693593</v>
      </c>
      <c r="N6132">
        <v>0</v>
      </c>
      <c r="O6132">
        <v>0</v>
      </c>
      <c r="P6132">
        <v>20.39</v>
      </c>
    </row>
    <row r="6133" spans="1:16" x14ac:dyDescent="0.3">
      <c r="A6133">
        <v>10857</v>
      </c>
      <c r="B6133">
        <v>105</v>
      </c>
      <c r="C6133" t="s">
        <v>557</v>
      </c>
      <c r="D6133" s="452">
        <v>45627</v>
      </c>
      <c r="E6133">
        <v>19615</v>
      </c>
      <c r="F6133" t="s">
        <v>4934</v>
      </c>
      <c r="G6133">
        <v>2618</v>
      </c>
      <c r="H6133">
        <v>2.2000000000000002</v>
      </c>
      <c r="I6133" t="s">
        <v>4744</v>
      </c>
      <c r="J6133" t="s">
        <v>5191</v>
      </c>
      <c r="K6133" t="s">
        <v>728</v>
      </c>
      <c r="L6133">
        <v>9.09</v>
      </c>
      <c r="M6133" s="452">
        <v>45624</v>
      </c>
      <c r="N6133">
        <v>10.61</v>
      </c>
      <c r="O6133">
        <v>10.61</v>
      </c>
      <c r="P6133">
        <v>20</v>
      </c>
    </row>
    <row r="6134" spans="1:16" x14ac:dyDescent="0.3">
      <c r="A6134">
        <v>10900</v>
      </c>
      <c r="B6134">
        <v>105</v>
      </c>
      <c r="C6134" t="s">
        <v>557</v>
      </c>
      <c r="D6134" s="452">
        <v>45627</v>
      </c>
      <c r="E6134">
        <v>19434</v>
      </c>
      <c r="F6134" t="s">
        <v>5078</v>
      </c>
      <c r="G6134">
        <v>2757</v>
      </c>
      <c r="H6134">
        <v>1</v>
      </c>
      <c r="I6134" t="s">
        <v>4738</v>
      </c>
      <c r="J6134" t="s">
        <v>5191</v>
      </c>
      <c r="K6134" t="s">
        <v>728</v>
      </c>
      <c r="L6134">
        <v>0</v>
      </c>
      <c r="M6134" s="452">
        <v>45519</v>
      </c>
      <c r="N6134">
        <v>19.38</v>
      </c>
      <c r="O6134">
        <v>21.13</v>
      </c>
      <c r="P6134">
        <v>19.38</v>
      </c>
    </row>
    <row r="6135" spans="1:16" x14ac:dyDescent="0.3">
      <c r="A6135">
        <v>10735</v>
      </c>
      <c r="B6135">
        <v>105</v>
      </c>
      <c r="C6135" t="s">
        <v>557</v>
      </c>
      <c r="D6135" s="452">
        <v>45627</v>
      </c>
      <c r="E6135">
        <v>24110</v>
      </c>
      <c r="F6135" t="s">
        <v>5450</v>
      </c>
      <c r="G6135">
        <v>2322</v>
      </c>
      <c r="H6135">
        <v>1.1200000000000001</v>
      </c>
      <c r="I6135" t="s">
        <v>4744</v>
      </c>
      <c r="J6135" t="s">
        <v>5191</v>
      </c>
      <c r="K6135" t="s">
        <v>728</v>
      </c>
      <c r="L6135">
        <v>0</v>
      </c>
      <c r="M6135" s="452">
        <v>45478</v>
      </c>
      <c r="N6135">
        <v>17.2</v>
      </c>
      <c r="O6135">
        <v>32</v>
      </c>
      <c r="P6135">
        <v>19.260000000000002</v>
      </c>
    </row>
    <row r="6136" spans="1:16" x14ac:dyDescent="0.3">
      <c r="A6136">
        <v>10760</v>
      </c>
      <c r="B6136">
        <v>105</v>
      </c>
      <c r="C6136" t="s">
        <v>557</v>
      </c>
      <c r="D6136" s="452">
        <v>45627</v>
      </c>
      <c r="E6136">
        <v>20322</v>
      </c>
      <c r="F6136" t="s">
        <v>4882</v>
      </c>
      <c r="G6136">
        <v>2212</v>
      </c>
      <c r="H6136">
        <v>2</v>
      </c>
      <c r="I6136" t="s">
        <v>4738</v>
      </c>
      <c r="J6136" t="s">
        <v>5191</v>
      </c>
      <c r="K6136" t="s">
        <v>728</v>
      </c>
      <c r="L6136">
        <v>9.4</v>
      </c>
      <c r="M6136" s="452">
        <v>45618</v>
      </c>
      <c r="N6136">
        <v>9.4</v>
      </c>
      <c r="O6136">
        <v>9.4</v>
      </c>
      <c r="P6136">
        <v>18.8</v>
      </c>
    </row>
    <row r="6137" spans="1:16" x14ac:dyDescent="0.3">
      <c r="A6137">
        <v>10767</v>
      </c>
      <c r="B6137">
        <v>105</v>
      </c>
      <c r="C6137" t="s">
        <v>557</v>
      </c>
      <c r="D6137" s="452">
        <v>45627</v>
      </c>
      <c r="E6137">
        <v>20022</v>
      </c>
      <c r="F6137" t="s">
        <v>5455</v>
      </c>
      <c r="G6137">
        <v>2340</v>
      </c>
      <c r="H6137">
        <v>2</v>
      </c>
      <c r="I6137" t="s">
        <v>4736</v>
      </c>
      <c r="J6137" t="s">
        <v>5191</v>
      </c>
      <c r="K6137" t="s">
        <v>728</v>
      </c>
      <c r="L6137">
        <v>0</v>
      </c>
      <c r="M6137" s="452">
        <v>45586</v>
      </c>
      <c r="N6137">
        <v>8.85</v>
      </c>
      <c r="O6137">
        <v>9.36</v>
      </c>
      <c r="P6137">
        <v>17.7</v>
      </c>
    </row>
    <row r="6138" spans="1:16" x14ac:dyDescent="0.3">
      <c r="A6138">
        <v>10746</v>
      </c>
      <c r="B6138">
        <v>105</v>
      </c>
      <c r="C6138" t="s">
        <v>557</v>
      </c>
      <c r="D6138" s="452">
        <v>45627</v>
      </c>
      <c r="E6138">
        <v>24186</v>
      </c>
      <c r="F6138" t="s">
        <v>4995</v>
      </c>
      <c r="G6138">
        <v>2332</v>
      </c>
      <c r="H6138">
        <v>1.72</v>
      </c>
      <c r="I6138" t="s">
        <v>4744</v>
      </c>
      <c r="J6138" t="s">
        <v>5191</v>
      </c>
      <c r="K6138" t="s">
        <v>728</v>
      </c>
      <c r="L6138">
        <v>0</v>
      </c>
      <c r="M6138" s="452">
        <v>45378</v>
      </c>
      <c r="N6138">
        <v>10.26</v>
      </c>
      <c r="O6138">
        <v>14.2</v>
      </c>
      <c r="P6138">
        <v>17.649999999999999</v>
      </c>
    </row>
    <row r="6139" spans="1:16" x14ac:dyDescent="0.3">
      <c r="A6139">
        <v>10858</v>
      </c>
      <c r="B6139">
        <v>105</v>
      </c>
      <c r="C6139" t="s">
        <v>557</v>
      </c>
      <c r="D6139" s="452">
        <v>45627</v>
      </c>
      <c r="E6139">
        <v>19613</v>
      </c>
      <c r="F6139" t="s">
        <v>5062</v>
      </c>
      <c r="G6139">
        <v>2620</v>
      </c>
      <c r="H6139">
        <v>3.05</v>
      </c>
      <c r="I6139" t="s">
        <v>4744</v>
      </c>
      <c r="J6139" t="s">
        <v>5191</v>
      </c>
      <c r="K6139" t="s">
        <v>728</v>
      </c>
      <c r="L6139">
        <v>5.68</v>
      </c>
      <c r="M6139" s="452">
        <v>45625</v>
      </c>
      <c r="N6139">
        <v>6</v>
      </c>
      <c r="O6139">
        <v>13.15</v>
      </c>
      <c r="P6139">
        <v>17.32</v>
      </c>
    </row>
    <row r="6140" spans="1:16" x14ac:dyDescent="0.3">
      <c r="A6140">
        <v>10721</v>
      </c>
      <c r="B6140">
        <v>105</v>
      </c>
      <c r="C6140" t="s">
        <v>557</v>
      </c>
      <c r="D6140" s="452">
        <v>45627</v>
      </c>
      <c r="E6140">
        <v>24046</v>
      </c>
      <c r="F6140" t="s">
        <v>5454</v>
      </c>
      <c r="G6140">
        <v>2315</v>
      </c>
      <c r="H6140">
        <v>0.28000000000000003</v>
      </c>
      <c r="I6140" t="s">
        <v>4744</v>
      </c>
      <c r="J6140" t="s">
        <v>5191</v>
      </c>
      <c r="K6140" t="s">
        <v>728</v>
      </c>
      <c r="L6140">
        <v>0</v>
      </c>
      <c r="M6140" s="452">
        <v>-693593</v>
      </c>
      <c r="N6140">
        <v>0</v>
      </c>
      <c r="O6140">
        <v>0</v>
      </c>
      <c r="P6140">
        <v>17.29</v>
      </c>
    </row>
    <row r="6141" spans="1:16" x14ac:dyDescent="0.3">
      <c r="A6141">
        <v>10875</v>
      </c>
      <c r="B6141">
        <v>105</v>
      </c>
      <c r="C6141" t="s">
        <v>557</v>
      </c>
      <c r="D6141" s="452">
        <v>45627</v>
      </c>
      <c r="E6141">
        <v>19583</v>
      </c>
      <c r="F6141" t="s">
        <v>5478</v>
      </c>
      <c r="G6141">
        <v>2639</v>
      </c>
      <c r="H6141">
        <v>0.4</v>
      </c>
      <c r="I6141" t="s">
        <v>4744</v>
      </c>
      <c r="J6141" t="s">
        <v>5191</v>
      </c>
      <c r="K6141" t="s">
        <v>728</v>
      </c>
      <c r="L6141">
        <v>39.6</v>
      </c>
      <c r="M6141" s="452">
        <v>45618</v>
      </c>
      <c r="N6141">
        <v>40.5</v>
      </c>
      <c r="O6141">
        <v>38.71</v>
      </c>
      <c r="P6141">
        <v>15.84</v>
      </c>
    </row>
    <row r="6142" spans="1:16" x14ac:dyDescent="0.3">
      <c r="A6142">
        <v>10868</v>
      </c>
      <c r="B6142">
        <v>105</v>
      </c>
      <c r="C6142" t="s">
        <v>557</v>
      </c>
      <c r="D6142" s="452">
        <v>45627</v>
      </c>
      <c r="E6142">
        <v>19476</v>
      </c>
      <c r="F6142" t="s">
        <v>5115</v>
      </c>
      <c r="G6142">
        <v>2729</v>
      </c>
      <c r="H6142">
        <v>0.4</v>
      </c>
      <c r="I6142" t="s">
        <v>4744</v>
      </c>
      <c r="J6142" t="s">
        <v>5191</v>
      </c>
      <c r="K6142" t="s">
        <v>728</v>
      </c>
      <c r="L6142">
        <v>39.200000000000003</v>
      </c>
      <c r="M6142" s="452">
        <v>45616</v>
      </c>
      <c r="N6142">
        <v>40</v>
      </c>
      <c r="O6142">
        <v>41.81</v>
      </c>
      <c r="P6142">
        <v>15.68</v>
      </c>
    </row>
    <row r="6143" spans="1:16" x14ac:dyDescent="0.3">
      <c r="A6143">
        <v>10725</v>
      </c>
      <c r="B6143">
        <v>105</v>
      </c>
      <c r="C6143" t="s">
        <v>557</v>
      </c>
      <c r="D6143" s="452">
        <v>45627</v>
      </c>
      <c r="E6143">
        <v>21060</v>
      </c>
      <c r="F6143" t="s">
        <v>4946</v>
      </c>
      <c r="G6143">
        <v>1998</v>
      </c>
      <c r="H6143">
        <v>0.7</v>
      </c>
      <c r="I6143" t="s">
        <v>4736</v>
      </c>
      <c r="J6143" t="s">
        <v>5191</v>
      </c>
      <c r="K6143" t="s">
        <v>728</v>
      </c>
      <c r="L6143">
        <v>0</v>
      </c>
      <c r="M6143" s="452">
        <v>45565</v>
      </c>
      <c r="N6143">
        <v>21.99</v>
      </c>
      <c r="O6143">
        <v>21.99</v>
      </c>
      <c r="P6143">
        <v>15.39</v>
      </c>
    </row>
    <row r="6144" spans="1:16" x14ac:dyDescent="0.3">
      <c r="A6144">
        <v>10677</v>
      </c>
      <c r="B6144">
        <v>105</v>
      </c>
      <c r="C6144" t="s">
        <v>557</v>
      </c>
      <c r="D6144" s="452">
        <v>45627</v>
      </c>
      <c r="E6144">
        <v>18327</v>
      </c>
      <c r="F6144" t="s">
        <v>5035</v>
      </c>
      <c r="G6144">
        <v>3306</v>
      </c>
      <c r="H6144">
        <v>0.14000000000000001</v>
      </c>
      <c r="I6144" t="s">
        <v>4805</v>
      </c>
      <c r="J6144" t="s">
        <v>5222</v>
      </c>
      <c r="K6144" t="s">
        <v>728</v>
      </c>
      <c r="L6144">
        <v>0</v>
      </c>
      <c r="M6144" s="452">
        <v>45547</v>
      </c>
      <c r="N6144">
        <v>106.5</v>
      </c>
      <c r="O6144">
        <v>110.59</v>
      </c>
      <c r="P6144">
        <v>14.91</v>
      </c>
    </row>
    <row r="6145" spans="1:16" x14ac:dyDescent="0.3">
      <c r="A6145">
        <v>10952</v>
      </c>
      <c r="B6145">
        <v>105</v>
      </c>
      <c r="C6145" t="s">
        <v>557</v>
      </c>
      <c r="D6145" s="452">
        <v>45627</v>
      </c>
      <c r="E6145">
        <v>17958</v>
      </c>
      <c r="F6145" t="s">
        <v>5076</v>
      </c>
      <c r="G6145">
        <v>3622</v>
      </c>
      <c r="H6145">
        <v>1</v>
      </c>
      <c r="I6145" t="s">
        <v>4738</v>
      </c>
      <c r="J6145" t="s">
        <v>5222</v>
      </c>
      <c r="K6145" t="s">
        <v>728</v>
      </c>
      <c r="L6145">
        <v>0</v>
      </c>
      <c r="M6145" s="452">
        <v>45554</v>
      </c>
      <c r="N6145">
        <v>14.76</v>
      </c>
      <c r="O6145">
        <v>14.76</v>
      </c>
      <c r="P6145">
        <v>14.76</v>
      </c>
    </row>
    <row r="6146" spans="1:16" x14ac:dyDescent="0.3">
      <c r="A6146">
        <v>10845</v>
      </c>
      <c r="B6146">
        <v>105</v>
      </c>
      <c r="C6146" t="s">
        <v>557</v>
      </c>
      <c r="D6146" s="452">
        <v>45627</v>
      </c>
      <c r="E6146">
        <v>19632</v>
      </c>
      <c r="F6146" t="s">
        <v>4936</v>
      </c>
      <c r="G6146">
        <v>2604</v>
      </c>
      <c r="H6146">
        <v>4.8499999999999996</v>
      </c>
      <c r="I6146" t="s">
        <v>4744</v>
      </c>
      <c r="J6146" t="s">
        <v>5191</v>
      </c>
      <c r="K6146" t="s">
        <v>728</v>
      </c>
      <c r="L6146">
        <v>3.03</v>
      </c>
      <c r="M6146" s="452">
        <v>45618</v>
      </c>
      <c r="N6146">
        <v>2.5</v>
      </c>
      <c r="O6146">
        <v>1.4</v>
      </c>
      <c r="P6146">
        <v>14.7</v>
      </c>
    </row>
    <row r="6147" spans="1:16" x14ac:dyDescent="0.3">
      <c r="A6147">
        <v>10770</v>
      </c>
      <c r="B6147">
        <v>105</v>
      </c>
      <c r="C6147" t="s">
        <v>557</v>
      </c>
      <c r="D6147" s="452">
        <v>45627</v>
      </c>
      <c r="E6147">
        <v>20844</v>
      </c>
      <c r="F6147" t="s">
        <v>5648</v>
      </c>
      <c r="G6147">
        <v>2052</v>
      </c>
      <c r="H6147">
        <v>1</v>
      </c>
      <c r="I6147" t="s">
        <v>4736</v>
      </c>
      <c r="J6147" t="s">
        <v>5191</v>
      </c>
      <c r="K6147" t="s">
        <v>728</v>
      </c>
      <c r="L6147">
        <v>0</v>
      </c>
      <c r="M6147" s="452">
        <v>45478</v>
      </c>
      <c r="N6147">
        <v>14.6</v>
      </c>
      <c r="O6147">
        <v>14.6</v>
      </c>
      <c r="P6147">
        <v>14.6</v>
      </c>
    </row>
    <row r="6148" spans="1:16" x14ac:dyDescent="0.3">
      <c r="A6148">
        <v>10832</v>
      </c>
      <c r="B6148">
        <v>105</v>
      </c>
      <c r="C6148" t="s">
        <v>557</v>
      </c>
      <c r="D6148" s="452">
        <v>45627</v>
      </c>
      <c r="E6148">
        <v>19457</v>
      </c>
      <c r="F6148" t="s">
        <v>5652</v>
      </c>
      <c r="G6148">
        <v>2747</v>
      </c>
      <c r="H6148">
        <v>3.65</v>
      </c>
      <c r="I6148" t="s">
        <v>4744</v>
      </c>
      <c r="J6148" t="s">
        <v>5191</v>
      </c>
      <c r="K6148" t="s">
        <v>728</v>
      </c>
      <c r="L6148">
        <v>0</v>
      </c>
      <c r="M6148" s="452">
        <v>45541</v>
      </c>
      <c r="N6148">
        <v>4</v>
      </c>
      <c r="O6148">
        <v>21.27</v>
      </c>
      <c r="P6148">
        <v>14.6</v>
      </c>
    </row>
    <row r="6149" spans="1:16" x14ac:dyDescent="0.3">
      <c r="A6149">
        <v>10806</v>
      </c>
      <c r="B6149">
        <v>105</v>
      </c>
      <c r="C6149" t="s">
        <v>557</v>
      </c>
      <c r="D6149" s="452">
        <v>45627</v>
      </c>
      <c r="E6149">
        <v>19939</v>
      </c>
      <c r="F6149" t="s">
        <v>5057</v>
      </c>
      <c r="G6149">
        <v>2365</v>
      </c>
      <c r="H6149">
        <v>0.66</v>
      </c>
      <c r="I6149" t="s">
        <v>4744</v>
      </c>
      <c r="J6149" t="s">
        <v>5191</v>
      </c>
      <c r="K6149" t="s">
        <v>728</v>
      </c>
      <c r="L6149">
        <v>0</v>
      </c>
      <c r="M6149" s="452">
        <v>-693593</v>
      </c>
      <c r="N6149">
        <v>0</v>
      </c>
      <c r="O6149">
        <v>22</v>
      </c>
      <c r="P6149">
        <v>14.52</v>
      </c>
    </row>
    <row r="6150" spans="1:16" x14ac:dyDescent="0.3">
      <c r="A6150">
        <v>11010</v>
      </c>
      <c r="B6150">
        <v>105</v>
      </c>
      <c r="C6150" t="s">
        <v>557</v>
      </c>
      <c r="D6150" s="452">
        <v>45627</v>
      </c>
      <c r="E6150">
        <v>25748</v>
      </c>
      <c r="F6150" t="s">
        <v>4999</v>
      </c>
      <c r="G6150">
        <v>9068</v>
      </c>
      <c r="H6150">
        <v>2</v>
      </c>
      <c r="I6150" t="s">
        <v>4749</v>
      </c>
      <c r="J6150" t="s">
        <v>5191</v>
      </c>
      <c r="K6150" t="s">
        <v>728</v>
      </c>
      <c r="L6150">
        <v>0</v>
      </c>
      <c r="M6150" s="452">
        <v>-693593</v>
      </c>
      <c r="N6150">
        <v>0</v>
      </c>
      <c r="O6150">
        <v>0</v>
      </c>
      <c r="P6150">
        <v>13.98</v>
      </c>
    </row>
    <row r="6151" spans="1:16" x14ac:dyDescent="0.3">
      <c r="A6151">
        <v>10831</v>
      </c>
      <c r="B6151">
        <v>105</v>
      </c>
      <c r="C6151" t="s">
        <v>557</v>
      </c>
      <c r="D6151" s="452">
        <v>45627</v>
      </c>
      <c r="E6151">
        <v>19506</v>
      </c>
      <c r="F6151" t="s">
        <v>5122</v>
      </c>
      <c r="G6151">
        <v>2705</v>
      </c>
      <c r="H6151">
        <v>0.3</v>
      </c>
      <c r="I6151" t="s">
        <v>4744</v>
      </c>
      <c r="J6151" t="s">
        <v>5191</v>
      </c>
      <c r="K6151" t="s">
        <v>728</v>
      </c>
      <c r="L6151">
        <v>46.1</v>
      </c>
      <c r="M6151" s="452">
        <v>45624</v>
      </c>
      <c r="N6151">
        <v>47.5</v>
      </c>
      <c r="O6151">
        <v>60</v>
      </c>
      <c r="P6151">
        <v>13.83</v>
      </c>
    </row>
    <row r="6152" spans="1:16" x14ac:dyDescent="0.3">
      <c r="A6152">
        <v>10818</v>
      </c>
      <c r="B6152">
        <v>105</v>
      </c>
      <c r="C6152" t="s">
        <v>557</v>
      </c>
      <c r="D6152" s="452">
        <v>45627</v>
      </c>
      <c r="E6152">
        <v>19917</v>
      </c>
      <c r="F6152" t="s">
        <v>5131</v>
      </c>
      <c r="G6152">
        <v>2379</v>
      </c>
      <c r="H6152">
        <v>4</v>
      </c>
      <c r="I6152" t="s">
        <v>4738</v>
      </c>
      <c r="J6152" t="s">
        <v>5191</v>
      </c>
      <c r="K6152" t="s">
        <v>728</v>
      </c>
      <c r="L6152">
        <v>3.19</v>
      </c>
      <c r="M6152" s="452">
        <v>45618</v>
      </c>
      <c r="N6152">
        <v>3.19</v>
      </c>
      <c r="O6152">
        <v>3.19</v>
      </c>
      <c r="P6152">
        <v>12.76</v>
      </c>
    </row>
    <row r="6153" spans="1:16" x14ac:dyDescent="0.3">
      <c r="A6153">
        <v>10866</v>
      </c>
      <c r="B6153">
        <v>105</v>
      </c>
      <c r="C6153" t="s">
        <v>557</v>
      </c>
      <c r="D6153" s="452">
        <v>45627</v>
      </c>
      <c r="E6153">
        <v>19747</v>
      </c>
      <c r="F6153" t="s">
        <v>5696</v>
      </c>
      <c r="G6153">
        <v>2506</v>
      </c>
      <c r="H6153">
        <v>1.05</v>
      </c>
      <c r="I6153" t="s">
        <v>4744</v>
      </c>
      <c r="J6153" t="s">
        <v>5191</v>
      </c>
      <c r="K6153" t="s">
        <v>728</v>
      </c>
      <c r="L6153">
        <v>0</v>
      </c>
      <c r="M6153" s="452">
        <v>45362</v>
      </c>
      <c r="N6153">
        <v>11.8</v>
      </c>
      <c r="O6153">
        <v>11.8</v>
      </c>
      <c r="P6153">
        <v>12.39</v>
      </c>
    </row>
    <row r="6154" spans="1:16" x14ac:dyDescent="0.3">
      <c r="A6154">
        <v>10720</v>
      </c>
      <c r="B6154">
        <v>105</v>
      </c>
      <c r="C6154" t="s">
        <v>557</v>
      </c>
      <c r="D6154" s="452">
        <v>45627</v>
      </c>
      <c r="E6154">
        <v>20429</v>
      </c>
      <c r="F6154" t="s">
        <v>5317</v>
      </c>
      <c r="G6154">
        <v>2184</v>
      </c>
      <c r="H6154">
        <v>0.63</v>
      </c>
      <c r="I6154" t="s">
        <v>4736</v>
      </c>
      <c r="J6154" t="s">
        <v>5191</v>
      </c>
      <c r="K6154" t="s">
        <v>728</v>
      </c>
      <c r="L6154">
        <v>0</v>
      </c>
      <c r="M6154" s="452">
        <v>45573</v>
      </c>
      <c r="N6154">
        <v>19.5</v>
      </c>
      <c r="O6154">
        <v>19.899999999999999</v>
      </c>
      <c r="P6154">
        <v>12.28</v>
      </c>
    </row>
    <row r="6155" spans="1:16" x14ac:dyDescent="0.3">
      <c r="A6155">
        <v>10649</v>
      </c>
      <c r="B6155">
        <v>105</v>
      </c>
      <c r="C6155" t="s">
        <v>557</v>
      </c>
      <c r="D6155" s="452">
        <v>45627</v>
      </c>
      <c r="E6155">
        <v>18571</v>
      </c>
      <c r="F6155" t="s">
        <v>5575</v>
      </c>
      <c r="G6155">
        <v>3111</v>
      </c>
      <c r="H6155">
        <v>1</v>
      </c>
      <c r="I6155" t="s">
        <v>4736</v>
      </c>
      <c r="J6155" t="s">
        <v>5222</v>
      </c>
      <c r="K6155" t="s">
        <v>728</v>
      </c>
      <c r="L6155">
        <v>0</v>
      </c>
      <c r="M6155" s="452">
        <v>45421</v>
      </c>
      <c r="N6155">
        <v>11.73</v>
      </c>
      <c r="O6155">
        <v>11.73</v>
      </c>
      <c r="P6155">
        <v>11.73</v>
      </c>
    </row>
    <row r="6156" spans="1:16" x14ac:dyDescent="0.3">
      <c r="A6156">
        <v>10824</v>
      </c>
      <c r="B6156">
        <v>105</v>
      </c>
      <c r="C6156" t="s">
        <v>557</v>
      </c>
      <c r="D6156" s="452">
        <v>45627</v>
      </c>
      <c r="E6156">
        <v>20961</v>
      </c>
      <c r="F6156" t="s">
        <v>5026</v>
      </c>
      <c r="G6156">
        <v>2015</v>
      </c>
      <c r="H6156">
        <v>2</v>
      </c>
      <c r="I6156" t="s">
        <v>4736</v>
      </c>
      <c r="J6156" t="s">
        <v>5191</v>
      </c>
      <c r="K6156" t="s">
        <v>728</v>
      </c>
      <c r="L6156">
        <v>0</v>
      </c>
      <c r="M6156" s="452">
        <v>45593</v>
      </c>
      <c r="N6156">
        <v>5.85</v>
      </c>
      <c r="O6156">
        <v>5.79</v>
      </c>
      <c r="P6156">
        <v>11.7</v>
      </c>
    </row>
    <row r="6157" spans="1:16" x14ac:dyDescent="0.3">
      <c r="A6157">
        <v>10800</v>
      </c>
      <c r="B6157">
        <v>105</v>
      </c>
      <c r="C6157" t="s">
        <v>557</v>
      </c>
      <c r="D6157" s="452">
        <v>45627</v>
      </c>
      <c r="E6157">
        <v>19969</v>
      </c>
      <c r="F6157" t="s">
        <v>5018</v>
      </c>
      <c r="G6157">
        <v>2354</v>
      </c>
      <c r="H6157">
        <v>1.2</v>
      </c>
      <c r="I6157" t="s">
        <v>4888</v>
      </c>
      <c r="J6157" t="s">
        <v>5191</v>
      </c>
      <c r="K6157" t="s">
        <v>728</v>
      </c>
      <c r="L6157">
        <v>9.6999999999999993</v>
      </c>
      <c r="M6157" s="452">
        <v>45607</v>
      </c>
      <c r="N6157">
        <v>9.6999999999999993</v>
      </c>
      <c r="O6157">
        <v>9.5</v>
      </c>
      <c r="P6157">
        <v>11.64</v>
      </c>
    </row>
    <row r="6158" spans="1:16" x14ac:dyDescent="0.3">
      <c r="A6158">
        <v>10654</v>
      </c>
      <c r="B6158">
        <v>105</v>
      </c>
      <c r="C6158" t="s">
        <v>557</v>
      </c>
      <c r="D6158" s="452">
        <v>45627</v>
      </c>
      <c r="E6158">
        <v>24142</v>
      </c>
      <c r="F6158" t="s">
        <v>5090</v>
      </c>
      <c r="G6158">
        <v>3085</v>
      </c>
      <c r="H6158">
        <v>2</v>
      </c>
      <c r="I6158" t="s">
        <v>4749</v>
      </c>
      <c r="J6158" t="s">
        <v>5222</v>
      </c>
      <c r="K6158" t="s">
        <v>728</v>
      </c>
      <c r="L6158">
        <v>0</v>
      </c>
      <c r="M6158" s="452">
        <v>45532</v>
      </c>
      <c r="N6158">
        <v>5.7</v>
      </c>
      <c r="O6158">
        <v>0</v>
      </c>
      <c r="P6158">
        <v>11.41</v>
      </c>
    </row>
    <row r="6159" spans="1:16" x14ac:dyDescent="0.3">
      <c r="A6159">
        <v>10795</v>
      </c>
      <c r="B6159">
        <v>105</v>
      </c>
      <c r="C6159" t="s">
        <v>557</v>
      </c>
      <c r="D6159" s="452">
        <v>45627</v>
      </c>
      <c r="E6159">
        <v>17024</v>
      </c>
      <c r="F6159" t="s">
        <v>5697</v>
      </c>
      <c r="G6159">
        <v>2113</v>
      </c>
      <c r="H6159">
        <v>1.86</v>
      </c>
      <c r="I6159" t="s">
        <v>4744</v>
      </c>
      <c r="J6159" t="s">
        <v>5191</v>
      </c>
      <c r="K6159" t="s">
        <v>728</v>
      </c>
      <c r="L6159">
        <v>5.88</v>
      </c>
      <c r="M6159" s="452">
        <v>45615</v>
      </c>
      <c r="N6159">
        <v>6</v>
      </c>
      <c r="O6159">
        <v>5.8</v>
      </c>
      <c r="P6159">
        <v>10.94</v>
      </c>
    </row>
    <row r="6160" spans="1:16" x14ac:dyDescent="0.3">
      <c r="A6160">
        <v>10732</v>
      </c>
      <c r="B6160">
        <v>105</v>
      </c>
      <c r="C6160" t="s">
        <v>557</v>
      </c>
      <c r="D6160" s="452">
        <v>45627</v>
      </c>
      <c r="E6160">
        <v>24089</v>
      </c>
      <c r="F6160" t="s">
        <v>4931</v>
      </c>
      <c r="G6160">
        <v>2316</v>
      </c>
      <c r="H6160">
        <v>1.25</v>
      </c>
      <c r="I6160" t="s">
        <v>4744</v>
      </c>
      <c r="J6160" t="s">
        <v>5191</v>
      </c>
      <c r="K6160" t="s">
        <v>728</v>
      </c>
      <c r="L6160">
        <v>0</v>
      </c>
      <c r="M6160" s="452">
        <v>45532</v>
      </c>
      <c r="N6160">
        <v>8.5</v>
      </c>
      <c r="O6160">
        <v>8.43</v>
      </c>
      <c r="P6160">
        <v>10.62</v>
      </c>
    </row>
    <row r="6161" spans="1:16" x14ac:dyDescent="0.3">
      <c r="A6161">
        <v>10786</v>
      </c>
      <c r="B6161">
        <v>105</v>
      </c>
      <c r="C6161" t="s">
        <v>557</v>
      </c>
      <c r="D6161" s="452">
        <v>45627</v>
      </c>
      <c r="E6161">
        <v>20138</v>
      </c>
      <c r="F6161" t="s">
        <v>4886</v>
      </c>
      <c r="G6161">
        <v>2284</v>
      </c>
      <c r="H6161">
        <v>2</v>
      </c>
      <c r="I6161" t="s">
        <v>4738</v>
      </c>
      <c r="J6161" t="s">
        <v>5191</v>
      </c>
      <c r="K6161" t="s">
        <v>728</v>
      </c>
      <c r="L6161">
        <v>0</v>
      </c>
      <c r="M6161" s="452">
        <v>45519</v>
      </c>
      <c r="N6161">
        <v>4.99</v>
      </c>
      <c r="O6161">
        <v>4.99</v>
      </c>
      <c r="P6161">
        <v>9.98</v>
      </c>
    </row>
    <row r="6162" spans="1:16" x14ac:dyDescent="0.3">
      <c r="A6162">
        <v>10759</v>
      </c>
      <c r="B6162">
        <v>105</v>
      </c>
      <c r="C6162" t="s">
        <v>557</v>
      </c>
      <c r="D6162" s="452">
        <v>45627</v>
      </c>
      <c r="E6162">
        <v>20359</v>
      </c>
      <c r="F6162" t="s">
        <v>5446</v>
      </c>
      <c r="G6162">
        <v>2199</v>
      </c>
      <c r="H6162">
        <v>2.23</v>
      </c>
      <c r="I6162" t="s">
        <v>4736</v>
      </c>
      <c r="J6162" t="s">
        <v>5191</v>
      </c>
      <c r="K6162" t="s">
        <v>728</v>
      </c>
      <c r="L6162">
        <v>4.4400000000000004</v>
      </c>
      <c r="M6162" s="452">
        <v>45618</v>
      </c>
      <c r="N6162">
        <v>4.4400000000000004</v>
      </c>
      <c r="O6162">
        <v>4.45</v>
      </c>
      <c r="P6162">
        <v>9.9</v>
      </c>
    </row>
    <row r="6163" spans="1:16" x14ac:dyDescent="0.3">
      <c r="A6163">
        <v>10877</v>
      </c>
      <c r="B6163">
        <v>105</v>
      </c>
      <c r="C6163" t="s">
        <v>557</v>
      </c>
      <c r="D6163" s="452">
        <v>45627</v>
      </c>
      <c r="E6163">
        <v>19575</v>
      </c>
      <c r="F6163" t="s">
        <v>5120</v>
      </c>
      <c r="G6163">
        <v>2643</v>
      </c>
      <c r="H6163">
        <v>0.3</v>
      </c>
      <c r="I6163" t="s">
        <v>4744</v>
      </c>
      <c r="J6163" t="s">
        <v>5191</v>
      </c>
      <c r="K6163" t="s">
        <v>728</v>
      </c>
      <c r="L6163">
        <v>0</v>
      </c>
      <c r="M6163" s="452">
        <v>45596</v>
      </c>
      <c r="N6163">
        <v>32</v>
      </c>
      <c r="O6163">
        <v>28</v>
      </c>
      <c r="P6163">
        <v>9.6</v>
      </c>
    </row>
    <row r="6164" spans="1:16" x14ac:dyDescent="0.3">
      <c r="A6164">
        <v>10805</v>
      </c>
      <c r="B6164">
        <v>105</v>
      </c>
      <c r="C6164" t="s">
        <v>557</v>
      </c>
      <c r="D6164" s="452">
        <v>45627</v>
      </c>
      <c r="E6164">
        <v>19943</v>
      </c>
      <c r="F6164" t="s">
        <v>5698</v>
      </c>
      <c r="G6164">
        <v>2361</v>
      </c>
      <c r="H6164">
        <v>0.16</v>
      </c>
      <c r="I6164" t="s">
        <v>4744</v>
      </c>
      <c r="J6164" t="s">
        <v>5191</v>
      </c>
      <c r="K6164" t="s">
        <v>728</v>
      </c>
      <c r="L6164">
        <v>0</v>
      </c>
      <c r="M6164" s="452">
        <v>45582</v>
      </c>
      <c r="N6164">
        <v>59.6</v>
      </c>
      <c r="O6164">
        <v>59.6</v>
      </c>
      <c r="P6164">
        <v>9.5399999999999991</v>
      </c>
    </row>
    <row r="6165" spans="1:16" x14ac:dyDescent="0.3">
      <c r="A6165">
        <v>10812</v>
      </c>
      <c r="B6165">
        <v>105</v>
      </c>
      <c r="C6165" t="s">
        <v>557</v>
      </c>
      <c r="D6165" s="452">
        <v>45627</v>
      </c>
      <c r="E6165">
        <v>19936</v>
      </c>
      <c r="F6165" t="s">
        <v>5508</v>
      </c>
      <c r="G6165">
        <v>2367</v>
      </c>
      <c r="H6165">
        <v>0.7</v>
      </c>
      <c r="I6165" t="s">
        <v>4744</v>
      </c>
      <c r="J6165" t="s">
        <v>5191</v>
      </c>
      <c r="K6165" t="s">
        <v>728</v>
      </c>
      <c r="L6165">
        <v>13.5</v>
      </c>
      <c r="M6165" s="452">
        <v>45622</v>
      </c>
      <c r="N6165">
        <v>13.5</v>
      </c>
      <c r="O6165">
        <v>13.5</v>
      </c>
      <c r="P6165">
        <v>9.4499999999999993</v>
      </c>
    </row>
    <row r="6166" spans="1:16" x14ac:dyDescent="0.3">
      <c r="A6166">
        <v>10822</v>
      </c>
      <c r="B6166">
        <v>105</v>
      </c>
      <c r="C6166" t="s">
        <v>557</v>
      </c>
      <c r="D6166" s="452">
        <v>45627</v>
      </c>
      <c r="E6166">
        <v>20787</v>
      </c>
      <c r="F6166" t="s">
        <v>5333</v>
      </c>
      <c r="G6166">
        <v>2076</v>
      </c>
      <c r="H6166">
        <v>1</v>
      </c>
      <c r="I6166" t="s">
        <v>4738</v>
      </c>
      <c r="J6166" t="s">
        <v>5191</v>
      </c>
      <c r="K6166" t="s">
        <v>728</v>
      </c>
      <c r="L6166">
        <v>9.3000000000000007</v>
      </c>
      <c r="M6166" s="452">
        <v>45600</v>
      </c>
      <c r="N6166">
        <v>9.3000000000000007</v>
      </c>
      <c r="O6166">
        <v>9.25</v>
      </c>
      <c r="P6166">
        <v>9.3000000000000007</v>
      </c>
    </row>
    <row r="6167" spans="1:16" x14ac:dyDescent="0.3">
      <c r="A6167">
        <v>10888</v>
      </c>
      <c r="B6167">
        <v>105</v>
      </c>
      <c r="C6167" t="s">
        <v>557</v>
      </c>
      <c r="D6167" s="452">
        <v>45627</v>
      </c>
      <c r="E6167">
        <v>19468</v>
      </c>
      <c r="F6167" t="s">
        <v>5074</v>
      </c>
      <c r="G6167">
        <v>2736</v>
      </c>
      <c r="H6167">
        <v>1.03</v>
      </c>
      <c r="I6167" t="s">
        <v>4744</v>
      </c>
      <c r="J6167" t="s">
        <v>5191</v>
      </c>
      <c r="K6167" t="s">
        <v>728</v>
      </c>
      <c r="L6167">
        <v>8.6</v>
      </c>
      <c r="M6167" s="452">
        <v>45625</v>
      </c>
      <c r="N6167">
        <v>8</v>
      </c>
      <c r="O6167">
        <v>10.029999999999999</v>
      </c>
      <c r="P6167">
        <v>8.86</v>
      </c>
    </row>
    <row r="6168" spans="1:16" x14ac:dyDescent="0.3">
      <c r="A6168">
        <v>10662</v>
      </c>
      <c r="B6168">
        <v>105</v>
      </c>
      <c r="C6168" t="s">
        <v>557</v>
      </c>
      <c r="D6168" s="452">
        <v>45627</v>
      </c>
      <c r="E6168">
        <v>18547</v>
      </c>
      <c r="F6168" t="s">
        <v>4863</v>
      </c>
      <c r="G6168">
        <v>3132</v>
      </c>
      <c r="H6168">
        <v>0.23</v>
      </c>
      <c r="I6168" t="s">
        <v>4805</v>
      </c>
      <c r="J6168" t="s">
        <v>5222</v>
      </c>
      <c r="K6168" t="s">
        <v>728</v>
      </c>
      <c r="L6168">
        <v>0</v>
      </c>
      <c r="M6168" s="452">
        <v>45596</v>
      </c>
      <c r="N6168">
        <v>37.5</v>
      </c>
      <c r="O6168">
        <v>36.9</v>
      </c>
      <c r="P6168">
        <v>8.6199999999999992</v>
      </c>
    </row>
    <row r="6169" spans="1:16" x14ac:dyDescent="0.3">
      <c r="A6169">
        <v>10892</v>
      </c>
      <c r="B6169">
        <v>105</v>
      </c>
      <c r="C6169" t="s">
        <v>557</v>
      </c>
      <c r="D6169" s="452">
        <v>45627</v>
      </c>
      <c r="E6169">
        <v>19543</v>
      </c>
      <c r="F6169" t="s">
        <v>5699</v>
      </c>
      <c r="G6169">
        <v>2673</v>
      </c>
      <c r="H6169">
        <v>0.5</v>
      </c>
      <c r="I6169" t="s">
        <v>4744</v>
      </c>
      <c r="J6169" t="s">
        <v>5191</v>
      </c>
      <c r="K6169" t="s">
        <v>728</v>
      </c>
      <c r="L6169">
        <v>0</v>
      </c>
      <c r="M6169" s="452">
        <v>45407</v>
      </c>
      <c r="N6169">
        <v>16.8</v>
      </c>
      <c r="O6169">
        <v>16.8</v>
      </c>
      <c r="P6169">
        <v>8.4</v>
      </c>
    </row>
    <row r="6170" spans="1:16" x14ac:dyDescent="0.3">
      <c r="A6170">
        <v>10838</v>
      </c>
      <c r="B6170">
        <v>105</v>
      </c>
      <c r="C6170" t="s">
        <v>557</v>
      </c>
      <c r="D6170" s="452">
        <v>45627</v>
      </c>
      <c r="E6170">
        <v>19647</v>
      </c>
      <c r="F6170" t="s">
        <v>5050</v>
      </c>
      <c r="G6170">
        <v>2591</v>
      </c>
      <c r="H6170">
        <v>1.48</v>
      </c>
      <c r="I6170" t="s">
        <v>4744</v>
      </c>
      <c r="J6170" t="s">
        <v>5191</v>
      </c>
      <c r="K6170" t="s">
        <v>728</v>
      </c>
      <c r="L6170">
        <v>5.67</v>
      </c>
      <c r="M6170" s="452">
        <v>45621</v>
      </c>
      <c r="N6170">
        <v>6</v>
      </c>
      <c r="O6170">
        <v>6.19</v>
      </c>
      <c r="P6170">
        <v>8.39</v>
      </c>
    </row>
    <row r="6171" spans="1:16" x14ac:dyDescent="0.3">
      <c r="A6171">
        <v>10763</v>
      </c>
      <c r="B6171">
        <v>105</v>
      </c>
      <c r="C6171" t="s">
        <v>557</v>
      </c>
      <c r="D6171" s="452">
        <v>45627</v>
      </c>
      <c r="E6171">
        <v>24248</v>
      </c>
      <c r="F6171" t="s">
        <v>4837</v>
      </c>
      <c r="G6171">
        <v>2247</v>
      </c>
      <c r="H6171">
        <v>1</v>
      </c>
      <c r="I6171" t="s">
        <v>4744</v>
      </c>
      <c r="J6171" t="s">
        <v>5191</v>
      </c>
      <c r="K6171" t="s">
        <v>728</v>
      </c>
      <c r="L6171">
        <v>0</v>
      </c>
      <c r="M6171" s="452">
        <v>45532</v>
      </c>
      <c r="N6171">
        <v>7.9</v>
      </c>
      <c r="O6171">
        <v>7.9</v>
      </c>
      <c r="P6171">
        <v>7.9</v>
      </c>
    </row>
    <row r="6172" spans="1:16" x14ac:dyDescent="0.3">
      <c r="A6172">
        <v>10745</v>
      </c>
      <c r="B6172">
        <v>105</v>
      </c>
      <c r="C6172" t="s">
        <v>557</v>
      </c>
      <c r="D6172" s="452">
        <v>45627</v>
      </c>
      <c r="E6172">
        <v>24185</v>
      </c>
      <c r="F6172" t="s">
        <v>5592</v>
      </c>
      <c r="G6172">
        <v>2331</v>
      </c>
      <c r="H6172">
        <v>1</v>
      </c>
      <c r="I6172" t="s">
        <v>4744</v>
      </c>
      <c r="J6172" t="s">
        <v>5191</v>
      </c>
      <c r="K6172" t="s">
        <v>728</v>
      </c>
      <c r="L6172">
        <v>0</v>
      </c>
      <c r="M6172" s="452">
        <v>45401</v>
      </c>
      <c r="N6172">
        <v>7.2</v>
      </c>
      <c r="O6172">
        <v>0</v>
      </c>
      <c r="P6172">
        <v>7.2</v>
      </c>
    </row>
    <row r="6173" spans="1:16" x14ac:dyDescent="0.3">
      <c r="A6173">
        <v>10862</v>
      </c>
      <c r="B6173">
        <v>105</v>
      </c>
      <c r="C6173" t="s">
        <v>557</v>
      </c>
      <c r="D6173" s="452">
        <v>45627</v>
      </c>
      <c r="E6173">
        <v>19607</v>
      </c>
      <c r="F6173" t="s">
        <v>4981</v>
      </c>
      <c r="G6173">
        <v>2623</v>
      </c>
      <c r="H6173">
        <v>0.6</v>
      </c>
      <c r="I6173" t="s">
        <v>4744</v>
      </c>
      <c r="J6173" t="s">
        <v>5191</v>
      </c>
      <c r="K6173" t="s">
        <v>728</v>
      </c>
      <c r="L6173">
        <v>12</v>
      </c>
      <c r="M6173" s="452">
        <v>45621</v>
      </c>
      <c r="N6173">
        <v>12</v>
      </c>
      <c r="O6173">
        <v>16.2</v>
      </c>
      <c r="P6173">
        <v>7.2</v>
      </c>
    </row>
    <row r="6174" spans="1:16" x14ac:dyDescent="0.3">
      <c r="A6174">
        <v>10899</v>
      </c>
      <c r="B6174">
        <v>105</v>
      </c>
      <c r="C6174" t="s">
        <v>557</v>
      </c>
      <c r="D6174" s="452">
        <v>45627</v>
      </c>
      <c r="E6174">
        <v>19433</v>
      </c>
      <c r="F6174" t="s">
        <v>5700</v>
      </c>
      <c r="G6174">
        <v>2757</v>
      </c>
      <c r="H6174">
        <v>0.45</v>
      </c>
      <c r="I6174" t="s">
        <v>4738</v>
      </c>
      <c r="J6174" t="s">
        <v>5191</v>
      </c>
      <c r="K6174" t="s">
        <v>728</v>
      </c>
      <c r="L6174">
        <v>15.63</v>
      </c>
      <c r="M6174" s="452">
        <v>45618</v>
      </c>
      <c r="N6174">
        <v>15.63</v>
      </c>
      <c r="O6174">
        <v>15.63</v>
      </c>
      <c r="P6174">
        <v>7.03</v>
      </c>
    </row>
    <row r="6175" spans="1:16" x14ac:dyDescent="0.3">
      <c r="A6175">
        <v>11015</v>
      </c>
      <c r="B6175">
        <v>105</v>
      </c>
      <c r="C6175" t="s">
        <v>557</v>
      </c>
      <c r="D6175" s="452">
        <v>45627</v>
      </c>
      <c r="E6175">
        <v>25754</v>
      </c>
      <c r="F6175" t="s">
        <v>5142</v>
      </c>
      <c r="G6175">
        <v>6305</v>
      </c>
      <c r="H6175">
        <v>1</v>
      </c>
      <c r="I6175" t="s">
        <v>4736</v>
      </c>
      <c r="J6175" t="s">
        <v>5191</v>
      </c>
      <c r="K6175" t="s">
        <v>728</v>
      </c>
      <c r="L6175">
        <v>0</v>
      </c>
      <c r="M6175" s="452">
        <v>-693593</v>
      </c>
      <c r="N6175">
        <v>0</v>
      </c>
      <c r="O6175">
        <v>0</v>
      </c>
      <c r="P6175">
        <v>6.99</v>
      </c>
    </row>
    <row r="6176" spans="1:16" x14ac:dyDescent="0.3">
      <c r="A6176">
        <v>11022</v>
      </c>
      <c r="B6176">
        <v>105</v>
      </c>
      <c r="C6176" t="s">
        <v>557</v>
      </c>
      <c r="D6176" s="452">
        <v>45627</v>
      </c>
      <c r="E6176">
        <v>25757</v>
      </c>
      <c r="F6176" t="s">
        <v>4763</v>
      </c>
      <c r="G6176">
        <v>6308</v>
      </c>
      <c r="H6176">
        <v>1</v>
      </c>
      <c r="I6176" t="s">
        <v>4736</v>
      </c>
      <c r="J6176" t="s">
        <v>5191</v>
      </c>
      <c r="K6176" t="s">
        <v>728</v>
      </c>
      <c r="L6176">
        <v>0</v>
      </c>
      <c r="M6176" s="452">
        <v>-693593</v>
      </c>
      <c r="N6176">
        <v>0</v>
      </c>
      <c r="O6176">
        <v>0</v>
      </c>
      <c r="P6176">
        <v>6.99</v>
      </c>
    </row>
    <row r="6177" spans="1:16" x14ac:dyDescent="0.3">
      <c r="A6177">
        <v>10788</v>
      </c>
      <c r="B6177">
        <v>105</v>
      </c>
      <c r="C6177" t="s">
        <v>557</v>
      </c>
      <c r="D6177" s="452">
        <v>45627</v>
      </c>
      <c r="E6177">
        <v>20127</v>
      </c>
      <c r="F6177" t="s">
        <v>5350</v>
      </c>
      <c r="G6177">
        <v>2288</v>
      </c>
      <c r="H6177">
        <v>1</v>
      </c>
      <c r="I6177" t="s">
        <v>4738</v>
      </c>
      <c r="J6177" t="s">
        <v>5191</v>
      </c>
      <c r="K6177" t="s">
        <v>728</v>
      </c>
      <c r="L6177">
        <v>6.8</v>
      </c>
      <c r="M6177" s="452">
        <v>45610</v>
      </c>
      <c r="N6177">
        <v>6.8</v>
      </c>
      <c r="O6177">
        <v>6.8</v>
      </c>
      <c r="P6177">
        <v>6.8</v>
      </c>
    </row>
    <row r="6178" spans="1:16" x14ac:dyDescent="0.3">
      <c r="A6178">
        <v>10816</v>
      </c>
      <c r="B6178">
        <v>105</v>
      </c>
      <c r="C6178" t="s">
        <v>557</v>
      </c>
      <c r="D6178" s="452">
        <v>45627</v>
      </c>
      <c r="E6178">
        <v>20487</v>
      </c>
      <c r="F6178" t="s">
        <v>4836</v>
      </c>
      <c r="G6178">
        <v>2157</v>
      </c>
      <c r="H6178">
        <v>0.3</v>
      </c>
      <c r="I6178" t="s">
        <v>4744</v>
      </c>
      <c r="J6178" t="s">
        <v>5191</v>
      </c>
      <c r="K6178" t="s">
        <v>728</v>
      </c>
      <c r="L6178">
        <v>0</v>
      </c>
      <c r="M6178" s="452">
        <v>45520</v>
      </c>
      <c r="N6178">
        <v>22.55</v>
      </c>
      <c r="O6178">
        <v>23.85</v>
      </c>
      <c r="P6178">
        <v>6.76</v>
      </c>
    </row>
    <row r="6179" spans="1:16" x14ac:dyDescent="0.3">
      <c r="A6179">
        <v>10813</v>
      </c>
      <c r="B6179">
        <v>105</v>
      </c>
      <c r="C6179" t="s">
        <v>557</v>
      </c>
      <c r="D6179" s="452">
        <v>45627</v>
      </c>
      <c r="E6179">
        <v>19932</v>
      </c>
      <c r="F6179" t="s">
        <v>5701</v>
      </c>
      <c r="G6179">
        <v>2368</v>
      </c>
      <c r="H6179">
        <v>1</v>
      </c>
      <c r="I6179" t="s">
        <v>4736</v>
      </c>
      <c r="J6179" t="s">
        <v>5191</v>
      </c>
      <c r="K6179" t="s">
        <v>728</v>
      </c>
      <c r="L6179">
        <v>0</v>
      </c>
      <c r="M6179" s="452">
        <v>45559</v>
      </c>
      <c r="N6179">
        <v>6.75</v>
      </c>
      <c r="O6179">
        <v>7</v>
      </c>
      <c r="P6179">
        <v>6.75</v>
      </c>
    </row>
    <row r="6180" spans="1:16" x14ac:dyDescent="0.3">
      <c r="A6180">
        <v>10991</v>
      </c>
      <c r="B6180">
        <v>105</v>
      </c>
      <c r="C6180" t="s">
        <v>557</v>
      </c>
      <c r="D6180" s="452">
        <v>45627</v>
      </c>
      <c r="E6180">
        <v>22598</v>
      </c>
      <c r="F6180" t="s">
        <v>5702</v>
      </c>
      <c r="G6180">
        <v>3131</v>
      </c>
      <c r="H6180">
        <v>0.06</v>
      </c>
      <c r="I6180" t="s">
        <v>4805</v>
      </c>
      <c r="J6180" t="s">
        <v>5222</v>
      </c>
      <c r="K6180" t="s">
        <v>728</v>
      </c>
      <c r="L6180">
        <v>0</v>
      </c>
      <c r="M6180" s="452">
        <v>-693593</v>
      </c>
      <c r="N6180">
        <v>0</v>
      </c>
      <c r="O6180">
        <v>88.9</v>
      </c>
      <c r="P6180">
        <v>6.39</v>
      </c>
    </row>
    <row r="6181" spans="1:16" x14ac:dyDescent="0.3">
      <c r="A6181">
        <v>10809</v>
      </c>
      <c r="B6181">
        <v>105</v>
      </c>
      <c r="C6181" t="s">
        <v>557</v>
      </c>
      <c r="D6181" s="452">
        <v>45627</v>
      </c>
      <c r="E6181">
        <v>20977</v>
      </c>
      <c r="F6181" t="s">
        <v>5703</v>
      </c>
      <c r="G6181">
        <v>2011</v>
      </c>
      <c r="H6181">
        <v>1</v>
      </c>
      <c r="I6181" t="s">
        <v>4888</v>
      </c>
      <c r="J6181" t="s">
        <v>5191</v>
      </c>
      <c r="K6181" t="s">
        <v>728</v>
      </c>
      <c r="L6181">
        <v>0</v>
      </c>
      <c r="M6181" s="452">
        <v>45457</v>
      </c>
      <c r="N6181">
        <v>6.29</v>
      </c>
      <c r="O6181">
        <v>7.88</v>
      </c>
      <c r="P6181">
        <v>6.29</v>
      </c>
    </row>
    <row r="6182" spans="1:16" x14ac:dyDescent="0.3">
      <c r="A6182">
        <v>10836</v>
      </c>
      <c r="B6182">
        <v>105</v>
      </c>
      <c r="C6182" t="s">
        <v>557</v>
      </c>
      <c r="D6182" s="452">
        <v>45627</v>
      </c>
      <c r="E6182">
        <v>19649</v>
      </c>
      <c r="F6182" t="s">
        <v>4859</v>
      </c>
      <c r="G6182">
        <v>2589</v>
      </c>
      <c r="H6182">
        <v>0.25</v>
      </c>
      <c r="I6182" t="s">
        <v>4744</v>
      </c>
      <c r="J6182" t="s">
        <v>5191</v>
      </c>
      <c r="K6182" t="s">
        <v>728</v>
      </c>
      <c r="L6182">
        <v>25</v>
      </c>
      <c r="M6182" s="452">
        <v>45624</v>
      </c>
      <c r="N6182">
        <v>25</v>
      </c>
      <c r="O6182">
        <v>25</v>
      </c>
      <c r="P6182">
        <v>6.25</v>
      </c>
    </row>
    <row r="6183" spans="1:16" x14ac:dyDescent="0.3">
      <c r="A6183">
        <v>10752</v>
      </c>
      <c r="B6183">
        <v>105</v>
      </c>
      <c r="C6183" t="s">
        <v>557</v>
      </c>
      <c r="D6183" s="452">
        <v>45627</v>
      </c>
      <c r="E6183">
        <v>20028</v>
      </c>
      <c r="F6183" t="s">
        <v>5704</v>
      </c>
      <c r="G6183">
        <v>2337</v>
      </c>
      <c r="H6183">
        <v>1</v>
      </c>
      <c r="I6183" t="s">
        <v>4736</v>
      </c>
      <c r="J6183" t="s">
        <v>5191</v>
      </c>
      <c r="K6183" t="s">
        <v>728</v>
      </c>
      <c r="L6183">
        <v>0</v>
      </c>
      <c r="M6183" s="452">
        <v>45561</v>
      </c>
      <c r="N6183">
        <v>6.19</v>
      </c>
      <c r="O6183">
        <v>6.29</v>
      </c>
      <c r="P6183">
        <v>6.19</v>
      </c>
    </row>
    <row r="6184" spans="1:16" x14ac:dyDescent="0.3">
      <c r="A6184">
        <v>10876</v>
      </c>
      <c r="B6184">
        <v>105</v>
      </c>
      <c r="C6184" t="s">
        <v>557</v>
      </c>
      <c r="D6184" s="452">
        <v>45627</v>
      </c>
      <c r="E6184">
        <v>19577</v>
      </c>
      <c r="F6184" t="s">
        <v>4984</v>
      </c>
      <c r="G6184">
        <v>2641</v>
      </c>
      <c r="H6184">
        <v>0.59</v>
      </c>
      <c r="I6184" t="s">
        <v>4736</v>
      </c>
      <c r="J6184" t="s">
        <v>5191</v>
      </c>
      <c r="K6184" t="s">
        <v>728</v>
      </c>
      <c r="L6184">
        <v>0</v>
      </c>
      <c r="M6184" s="452">
        <v>45532</v>
      </c>
      <c r="N6184">
        <v>10.199999999999999</v>
      </c>
      <c r="O6184">
        <v>14.98</v>
      </c>
      <c r="P6184">
        <v>6.02</v>
      </c>
    </row>
    <row r="6185" spans="1:16" x14ac:dyDescent="0.3">
      <c r="A6185">
        <v>10894</v>
      </c>
      <c r="B6185">
        <v>105</v>
      </c>
      <c r="C6185" t="s">
        <v>557</v>
      </c>
      <c r="D6185" s="452">
        <v>45627</v>
      </c>
      <c r="E6185">
        <v>19463</v>
      </c>
      <c r="F6185" t="s">
        <v>5117</v>
      </c>
      <c r="G6185">
        <v>2739</v>
      </c>
      <c r="H6185">
        <v>0.1</v>
      </c>
      <c r="I6185" t="s">
        <v>4744</v>
      </c>
      <c r="J6185" t="s">
        <v>5191</v>
      </c>
      <c r="K6185" t="s">
        <v>728</v>
      </c>
      <c r="L6185">
        <v>58.33</v>
      </c>
      <c r="M6185" s="452">
        <v>45621</v>
      </c>
      <c r="N6185">
        <v>55</v>
      </c>
      <c r="O6185">
        <v>60</v>
      </c>
      <c r="P6185">
        <v>5.83</v>
      </c>
    </row>
    <row r="6186" spans="1:16" x14ac:dyDescent="0.3">
      <c r="A6186">
        <v>10852</v>
      </c>
      <c r="B6186">
        <v>105</v>
      </c>
      <c r="C6186" t="s">
        <v>557</v>
      </c>
      <c r="D6186" s="452">
        <v>45627</v>
      </c>
      <c r="E6186">
        <v>19621</v>
      </c>
      <c r="F6186" t="s">
        <v>4829</v>
      </c>
      <c r="G6186">
        <v>2613</v>
      </c>
      <c r="H6186">
        <v>2.2400000000000002</v>
      </c>
      <c r="I6186" t="s">
        <v>4744</v>
      </c>
      <c r="J6186" t="s">
        <v>5191</v>
      </c>
      <c r="K6186" t="s">
        <v>728</v>
      </c>
      <c r="L6186">
        <v>2.54</v>
      </c>
      <c r="M6186" s="452">
        <v>45621</v>
      </c>
      <c r="N6186">
        <v>2.65</v>
      </c>
      <c r="O6186">
        <v>2.2799999999999998</v>
      </c>
      <c r="P6186">
        <v>5.69</v>
      </c>
    </row>
    <row r="6187" spans="1:16" x14ac:dyDescent="0.3">
      <c r="A6187">
        <v>10961</v>
      </c>
      <c r="B6187">
        <v>105</v>
      </c>
      <c r="C6187" t="s">
        <v>557</v>
      </c>
      <c r="D6187" s="452">
        <v>45627</v>
      </c>
      <c r="E6187">
        <v>17919</v>
      </c>
      <c r="F6187" t="s">
        <v>5705</v>
      </c>
      <c r="G6187">
        <v>3647</v>
      </c>
      <c r="H6187">
        <v>0.83</v>
      </c>
      <c r="I6187" t="s">
        <v>4736</v>
      </c>
      <c r="J6187" t="s">
        <v>5222</v>
      </c>
      <c r="K6187" t="s">
        <v>728</v>
      </c>
      <c r="L6187">
        <v>0</v>
      </c>
      <c r="M6187" s="452">
        <v>45540</v>
      </c>
      <c r="N6187">
        <v>6.82</v>
      </c>
      <c r="O6187">
        <v>6.82</v>
      </c>
      <c r="P6187">
        <v>5.66</v>
      </c>
    </row>
    <row r="6188" spans="1:16" x14ac:dyDescent="0.3">
      <c r="A6188">
        <v>10837</v>
      </c>
      <c r="B6188">
        <v>105</v>
      </c>
      <c r="C6188" t="s">
        <v>557</v>
      </c>
      <c r="D6188" s="452">
        <v>45627</v>
      </c>
      <c r="E6188">
        <v>24037</v>
      </c>
      <c r="F6188" t="s">
        <v>5233</v>
      </c>
      <c r="G6188">
        <v>2590</v>
      </c>
      <c r="H6188">
        <v>0.25</v>
      </c>
      <c r="I6188" t="s">
        <v>4744</v>
      </c>
      <c r="J6188" t="s">
        <v>5191</v>
      </c>
      <c r="K6188" t="s">
        <v>728</v>
      </c>
      <c r="L6188">
        <v>0</v>
      </c>
      <c r="M6188" s="452">
        <v>45519</v>
      </c>
      <c r="N6188">
        <v>22</v>
      </c>
      <c r="O6188">
        <v>40</v>
      </c>
      <c r="P6188">
        <v>5.5</v>
      </c>
    </row>
    <row r="6189" spans="1:16" x14ac:dyDescent="0.3">
      <c r="A6189">
        <v>10819</v>
      </c>
      <c r="B6189">
        <v>105</v>
      </c>
      <c r="C6189" t="s">
        <v>557</v>
      </c>
      <c r="D6189" s="452">
        <v>45627</v>
      </c>
      <c r="E6189">
        <v>23490</v>
      </c>
      <c r="F6189" t="s">
        <v>5649</v>
      </c>
      <c r="G6189">
        <v>2379</v>
      </c>
      <c r="H6189">
        <v>1.73</v>
      </c>
      <c r="I6189" t="s">
        <v>4744</v>
      </c>
      <c r="J6189" t="s">
        <v>5191</v>
      </c>
      <c r="K6189" t="s">
        <v>728</v>
      </c>
      <c r="L6189">
        <v>0</v>
      </c>
      <c r="M6189" s="452">
        <v>45555</v>
      </c>
      <c r="N6189">
        <v>3.09</v>
      </c>
      <c r="O6189">
        <v>3.35</v>
      </c>
      <c r="P6189">
        <v>5.35</v>
      </c>
    </row>
    <row r="6190" spans="1:16" x14ac:dyDescent="0.3">
      <c r="A6190">
        <v>10886</v>
      </c>
      <c r="B6190">
        <v>105</v>
      </c>
      <c r="C6190" t="s">
        <v>557</v>
      </c>
      <c r="D6190" s="452">
        <v>45627</v>
      </c>
      <c r="E6190">
        <v>19552</v>
      </c>
      <c r="F6190" t="s">
        <v>4860</v>
      </c>
      <c r="G6190">
        <v>2664</v>
      </c>
      <c r="H6190">
        <v>1.75</v>
      </c>
      <c r="I6190" t="s">
        <v>4744</v>
      </c>
      <c r="J6190" t="s">
        <v>5191</v>
      </c>
      <c r="K6190" t="s">
        <v>728</v>
      </c>
      <c r="L6190">
        <v>3</v>
      </c>
      <c r="M6190" s="452">
        <v>45624</v>
      </c>
      <c r="N6190">
        <v>3</v>
      </c>
      <c r="O6190">
        <v>4.0599999999999996</v>
      </c>
      <c r="P6190">
        <v>5.25</v>
      </c>
    </row>
    <row r="6191" spans="1:16" x14ac:dyDescent="0.3">
      <c r="A6191">
        <v>10799</v>
      </c>
      <c r="B6191">
        <v>105</v>
      </c>
      <c r="C6191" t="s">
        <v>557</v>
      </c>
      <c r="D6191" s="452">
        <v>45627</v>
      </c>
      <c r="E6191">
        <v>19982</v>
      </c>
      <c r="F6191" t="s">
        <v>5017</v>
      </c>
      <c r="G6191">
        <v>2351</v>
      </c>
      <c r="H6191">
        <v>0.8</v>
      </c>
      <c r="I6191" t="s">
        <v>4888</v>
      </c>
      <c r="J6191" t="s">
        <v>5191</v>
      </c>
      <c r="K6191" t="s">
        <v>728</v>
      </c>
      <c r="L6191">
        <v>0</v>
      </c>
      <c r="M6191" s="452">
        <v>45519</v>
      </c>
      <c r="N6191">
        <v>6</v>
      </c>
      <c r="O6191">
        <v>5.65</v>
      </c>
      <c r="P6191">
        <v>4.8</v>
      </c>
    </row>
    <row r="6192" spans="1:16" x14ac:dyDescent="0.3">
      <c r="A6192">
        <v>10849</v>
      </c>
      <c r="B6192">
        <v>105</v>
      </c>
      <c r="C6192" t="s">
        <v>557</v>
      </c>
      <c r="D6192" s="452">
        <v>45627</v>
      </c>
      <c r="E6192">
        <v>19622</v>
      </c>
      <c r="F6192" t="s">
        <v>4915</v>
      </c>
      <c r="G6192">
        <v>2612</v>
      </c>
      <c r="H6192">
        <v>1.8</v>
      </c>
      <c r="I6192" t="s">
        <v>4744</v>
      </c>
      <c r="J6192" t="s">
        <v>5191</v>
      </c>
      <c r="K6192" t="s">
        <v>728</v>
      </c>
      <c r="L6192">
        <v>2.6</v>
      </c>
      <c r="M6192" s="452">
        <v>45624</v>
      </c>
      <c r="N6192">
        <v>2.5</v>
      </c>
      <c r="O6192">
        <v>2.5</v>
      </c>
      <c r="P6192">
        <v>4.68</v>
      </c>
    </row>
    <row r="6193" spans="1:16" x14ac:dyDescent="0.3">
      <c r="A6193">
        <v>10839</v>
      </c>
      <c r="B6193">
        <v>105</v>
      </c>
      <c r="C6193" t="s">
        <v>557</v>
      </c>
      <c r="D6193" s="452">
        <v>45627</v>
      </c>
      <c r="E6193">
        <v>19784</v>
      </c>
      <c r="F6193" t="s">
        <v>4873</v>
      </c>
      <c r="G6193">
        <v>2474</v>
      </c>
      <c r="H6193">
        <v>0.55000000000000004</v>
      </c>
      <c r="I6193" t="s">
        <v>4744</v>
      </c>
      <c r="J6193" t="s">
        <v>5191</v>
      </c>
      <c r="K6193" t="s">
        <v>728</v>
      </c>
      <c r="L6193">
        <v>8</v>
      </c>
      <c r="M6193" s="452">
        <v>45624</v>
      </c>
      <c r="N6193">
        <v>8</v>
      </c>
      <c r="O6193">
        <v>8.1</v>
      </c>
      <c r="P6193">
        <v>4.4000000000000004</v>
      </c>
    </row>
    <row r="6194" spans="1:16" x14ac:dyDescent="0.3">
      <c r="A6194">
        <v>10885</v>
      </c>
      <c r="B6194">
        <v>105</v>
      </c>
      <c r="C6194" t="s">
        <v>557</v>
      </c>
      <c r="D6194" s="452">
        <v>45627</v>
      </c>
      <c r="E6194">
        <v>19553</v>
      </c>
      <c r="F6194" t="s">
        <v>4868</v>
      </c>
      <c r="G6194">
        <v>2663</v>
      </c>
      <c r="H6194">
        <v>1.7</v>
      </c>
      <c r="I6194" t="s">
        <v>4744</v>
      </c>
      <c r="J6194" t="s">
        <v>5191</v>
      </c>
      <c r="K6194" t="s">
        <v>728</v>
      </c>
      <c r="L6194">
        <v>0</v>
      </c>
      <c r="M6194" s="452">
        <v>45546</v>
      </c>
      <c r="N6194">
        <v>2.5</v>
      </c>
      <c r="O6194">
        <v>10.5</v>
      </c>
      <c r="P6194">
        <v>4.25</v>
      </c>
    </row>
    <row r="6195" spans="1:16" x14ac:dyDescent="0.3">
      <c r="A6195">
        <v>10891</v>
      </c>
      <c r="B6195">
        <v>105</v>
      </c>
      <c r="C6195" t="s">
        <v>557</v>
      </c>
      <c r="D6195" s="452">
        <v>45627</v>
      </c>
      <c r="E6195">
        <v>19546</v>
      </c>
      <c r="F6195" t="s">
        <v>5527</v>
      </c>
      <c r="G6195">
        <v>2670</v>
      </c>
      <c r="H6195">
        <v>0.4</v>
      </c>
      <c r="I6195" t="s">
        <v>4744</v>
      </c>
      <c r="J6195" t="s">
        <v>5191</v>
      </c>
      <c r="K6195" t="s">
        <v>728</v>
      </c>
      <c r="L6195">
        <v>0</v>
      </c>
      <c r="M6195" s="452">
        <v>45562</v>
      </c>
      <c r="N6195">
        <v>10</v>
      </c>
      <c r="O6195">
        <v>16</v>
      </c>
      <c r="P6195">
        <v>4</v>
      </c>
    </row>
    <row r="6196" spans="1:16" x14ac:dyDescent="0.3">
      <c r="A6196">
        <v>10884</v>
      </c>
      <c r="B6196">
        <v>105</v>
      </c>
      <c r="C6196" t="s">
        <v>557</v>
      </c>
      <c r="D6196" s="452">
        <v>45627</v>
      </c>
      <c r="E6196">
        <v>19557</v>
      </c>
      <c r="F6196" t="s">
        <v>5051</v>
      </c>
      <c r="G6196">
        <v>2660</v>
      </c>
      <c r="H6196">
        <v>0.35</v>
      </c>
      <c r="I6196" t="s">
        <v>4744</v>
      </c>
      <c r="J6196" t="s">
        <v>5191</v>
      </c>
      <c r="K6196" t="s">
        <v>728</v>
      </c>
      <c r="L6196">
        <v>10</v>
      </c>
      <c r="M6196" s="452">
        <v>45602</v>
      </c>
      <c r="N6196">
        <v>10</v>
      </c>
      <c r="O6196">
        <v>12</v>
      </c>
      <c r="P6196">
        <v>3.5</v>
      </c>
    </row>
    <row r="6197" spans="1:16" x14ac:dyDescent="0.3">
      <c r="A6197">
        <v>10825</v>
      </c>
      <c r="B6197">
        <v>105</v>
      </c>
      <c r="C6197" t="s">
        <v>557</v>
      </c>
      <c r="D6197" s="452">
        <v>45627</v>
      </c>
      <c r="E6197">
        <v>20949</v>
      </c>
      <c r="F6197" t="s">
        <v>5706</v>
      </c>
      <c r="G6197">
        <v>2023</v>
      </c>
      <c r="H6197">
        <v>0.5</v>
      </c>
      <c r="I6197" t="s">
        <v>4805</v>
      </c>
      <c r="J6197" t="s">
        <v>5191</v>
      </c>
      <c r="K6197" t="s">
        <v>728</v>
      </c>
      <c r="L6197">
        <v>0</v>
      </c>
      <c r="M6197" s="452">
        <v>45519</v>
      </c>
      <c r="N6197">
        <v>5.99</v>
      </c>
      <c r="O6197">
        <v>6.99</v>
      </c>
      <c r="P6197">
        <v>3</v>
      </c>
    </row>
    <row r="6198" spans="1:16" x14ac:dyDescent="0.3">
      <c r="A6198">
        <v>10661</v>
      </c>
      <c r="B6198">
        <v>105</v>
      </c>
      <c r="C6198" t="s">
        <v>557</v>
      </c>
      <c r="D6198" s="452">
        <v>45627</v>
      </c>
      <c r="E6198">
        <v>18550</v>
      </c>
      <c r="F6198" t="s">
        <v>4967</v>
      </c>
      <c r="G6198">
        <v>3130</v>
      </c>
      <c r="H6198">
        <v>0.02</v>
      </c>
      <c r="I6198" t="s">
        <v>4805</v>
      </c>
      <c r="J6198" t="s">
        <v>5222</v>
      </c>
      <c r="K6198" t="s">
        <v>728</v>
      </c>
      <c r="L6198">
        <v>0</v>
      </c>
      <c r="M6198" s="452">
        <v>45561</v>
      </c>
      <c r="N6198">
        <v>139.91999999999999</v>
      </c>
      <c r="O6198">
        <v>165.45</v>
      </c>
      <c r="P6198">
        <v>2.8</v>
      </c>
    </row>
    <row r="6199" spans="1:16" x14ac:dyDescent="0.3">
      <c r="A6199">
        <v>10761</v>
      </c>
      <c r="B6199">
        <v>105</v>
      </c>
      <c r="C6199" t="s">
        <v>557</v>
      </c>
      <c r="D6199" s="452">
        <v>45627</v>
      </c>
      <c r="E6199">
        <v>24486</v>
      </c>
      <c r="F6199" t="s">
        <v>5568</v>
      </c>
      <c r="G6199">
        <v>2212</v>
      </c>
      <c r="H6199">
        <v>0.26</v>
      </c>
      <c r="I6199" t="s">
        <v>4744</v>
      </c>
      <c r="J6199" t="s">
        <v>5191</v>
      </c>
      <c r="K6199" t="s">
        <v>728</v>
      </c>
      <c r="L6199">
        <v>0</v>
      </c>
      <c r="M6199" s="452">
        <v>45486</v>
      </c>
      <c r="N6199">
        <v>8.99</v>
      </c>
      <c r="O6199">
        <v>8.99</v>
      </c>
      <c r="P6199">
        <v>2.34</v>
      </c>
    </row>
    <row r="6200" spans="1:16" x14ac:dyDescent="0.3">
      <c r="A6200">
        <v>10712</v>
      </c>
      <c r="B6200">
        <v>105</v>
      </c>
      <c r="C6200" t="s">
        <v>557</v>
      </c>
      <c r="D6200" s="452">
        <v>45627</v>
      </c>
      <c r="E6200">
        <v>21065</v>
      </c>
      <c r="F6200" t="s">
        <v>5506</v>
      </c>
      <c r="G6200">
        <v>1997</v>
      </c>
      <c r="H6200">
        <v>0.13</v>
      </c>
      <c r="I6200" t="s">
        <v>4805</v>
      </c>
      <c r="J6200" t="s">
        <v>5191</v>
      </c>
      <c r="K6200" t="s">
        <v>728</v>
      </c>
      <c r="L6200">
        <v>17.149999999999999</v>
      </c>
      <c r="M6200" s="452">
        <v>45622</v>
      </c>
      <c r="N6200">
        <v>17.149999999999999</v>
      </c>
      <c r="O6200">
        <v>15.77</v>
      </c>
      <c r="P6200">
        <v>2.23</v>
      </c>
    </row>
    <row r="6201" spans="1:16" x14ac:dyDescent="0.3">
      <c r="A6201">
        <v>10954</v>
      </c>
      <c r="B6201">
        <v>105</v>
      </c>
      <c r="C6201" t="s">
        <v>557</v>
      </c>
      <c r="D6201" s="452">
        <v>45627</v>
      </c>
      <c r="E6201">
        <v>22127</v>
      </c>
      <c r="F6201" t="s">
        <v>4756</v>
      </c>
      <c r="G6201">
        <v>3591</v>
      </c>
      <c r="H6201">
        <v>1</v>
      </c>
      <c r="I6201" t="s">
        <v>4736</v>
      </c>
      <c r="J6201" t="s">
        <v>5222</v>
      </c>
      <c r="K6201" t="s">
        <v>728</v>
      </c>
      <c r="L6201">
        <v>0</v>
      </c>
      <c r="M6201" s="452">
        <v>45595</v>
      </c>
      <c r="N6201">
        <v>2.19</v>
      </c>
      <c r="O6201">
        <v>2.19</v>
      </c>
      <c r="P6201">
        <v>2.19</v>
      </c>
    </row>
    <row r="6202" spans="1:16" x14ac:dyDescent="0.3">
      <c r="A6202">
        <v>10955</v>
      </c>
      <c r="B6202">
        <v>105</v>
      </c>
      <c r="C6202" t="s">
        <v>557</v>
      </c>
      <c r="D6202" s="452">
        <v>45627</v>
      </c>
      <c r="E6202">
        <v>17996</v>
      </c>
      <c r="F6202" t="s">
        <v>4765</v>
      </c>
      <c r="G6202">
        <v>3600</v>
      </c>
      <c r="H6202">
        <v>1</v>
      </c>
      <c r="I6202" t="s">
        <v>4738</v>
      </c>
      <c r="J6202" t="s">
        <v>5222</v>
      </c>
      <c r="K6202" t="s">
        <v>728</v>
      </c>
      <c r="L6202">
        <v>0</v>
      </c>
      <c r="M6202" s="452">
        <v>45546</v>
      </c>
      <c r="N6202">
        <v>2.19</v>
      </c>
      <c r="O6202">
        <v>2.19</v>
      </c>
      <c r="P6202">
        <v>2.19</v>
      </c>
    </row>
    <row r="6203" spans="1:16" x14ac:dyDescent="0.3">
      <c r="A6203">
        <v>10829</v>
      </c>
      <c r="B6203">
        <v>105</v>
      </c>
      <c r="C6203" t="s">
        <v>557</v>
      </c>
      <c r="D6203" s="452">
        <v>45627</v>
      </c>
      <c r="E6203">
        <v>19654</v>
      </c>
      <c r="F6203" t="s">
        <v>5099</v>
      </c>
      <c r="G6203">
        <v>2586</v>
      </c>
      <c r="H6203">
        <v>0.65</v>
      </c>
      <c r="I6203" t="s">
        <v>4744</v>
      </c>
      <c r="J6203" t="s">
        <v>5191</v>
      </c>
      <c r="K6203" t="s">
        <v>728</v>
      </c>
      <c r="L6203">
        <v>0</v>
      </c>
      <c r="M6203" s="452">
        <v>45555</v>
      </c>
      <c r="N6203">
        <v>2.9</v>
      </c>
      <c r="O6203">
        <v>2.8</v>
      </c>
      <c r="P6203">
        <v>1.88</v>
      </c>
    </row>
    <row r="6204" spans="1:16" x14ac:dyDescent="0.3">
      <c r="A6204">
        <v>10959</v>
      </c>
      <c r="B6204">
        <v>105</v>
      </c>
      <c r="C6204" t="s">
        <v>557</v>
      </c>
      <c r="D6204" s="452">
        <v>45627</v>
      </c>
      <c r="E6204">
        <v>17838</v>
      </c>
      <c r="F6204" t="s">
        <v>4925</v>
      </c>
      <c r="G6204">
        <v>3712</v>
      </c>
      <c r="H6204">
        <v>0.1</v>
      </c>
      <c r="I6204" t="s">
        <v>4749</v>
      </c>
      <c r="J6204" t="s">
        <v>5222</v>
      </c>
      <c r="K6204" t="s">
        <v>728</v>
      </c>
      <c r="L6204">
        <v>16.5</v>
      </c>
      <c r="M6204" s="452">
        <v>45610</v>
      </c>
      <c r="N6204">
        <v>16.5</v>
      </c>
      <c r="O6204">
        <v>16.5</v>
      </c>
      <c r="P6204">
        <v>1.65</v>
      </c>
    </row>
    <row r="6205" spans="1:16" x14ac:dyDescent="0.3">
      <c r="A6205">
        <v>10889</v>
      </c>
      <c r="B6205">
        <v>105</v>
      </c>
      <c r="C6205" t="s">
        <v>557</v>
      </c>
      <c r="D6205" s="452">
        <v>45627</v>
      </c>
      <c r="E6205">
        <v>19465</v>
      </c>
      <c r="F6205" t="s">
        <v>5114</v>
      </c>
      <c r="G6205">
        <v>2737</v>
      </c>
      <c r="H6205">
        <v>0.35</v>
      </c>
      <c r="I6205" t="s">
        <v>4744</v>
      </c>
      <c r="J6205" t="s">
        <v>5191</v>
      </c>
      <c r="K6205" t="s">
        <v>728</v>
      </c>
      <c r="L6205">
        <v>4.5999999999999996</v>
      </c>
      <c r="M6205" s="452">
        <v>45615</v>
      </c>
      <c r="N6205">
        <v>4.5999999999999996</v>
      </c>
      <c r="O6205">
        <v>5</v>
      </c>
      <c r="P6205">
        <v>1.61</v>
      </c>
    </row>
    <row r="6206" spans="1:16" x14ac:dyDescent="0.3">
      <c r="A6206">
        <v>10851</v>
      </c>
      <c r="B6206">
        <v>105</v>
      </c>
      <c r="C6206" t="s">
        <v>557</v>
      </c>
      <c r="D6206" s="452">
        <v>45627</v>
      </c>
      <c r="E6206">
        <v>19488</v>
      </c>
      <c r="F6206" t="s">
        <v>5107</v>
      </c>
      <c r="G6206">
        <v>2720</v>
      </c>
      <c r="H6206">
        <v>0.13</v>
      </c>
      <c r="I6206" t="s">
        <v>4744</v>
      </c>
      <c r="J6206" t="s">
        <v>5191</v>
      </c>
      <c r="K6206" t="s">
        <v>728</v>
      </c>
      <c r="L6206">
        <v>10.08</v>
      </c>
      <c r="M6206" s="452">
        <v>45618</v>
      </c>
      <c r="N6206">
        <v>10</v>
      </c>
      <c r="O6206">
        <v>10.130000000000001</v>
      </c>
      <c r="P6206">
        <v>1.31</v>
      </c>
    </row>
    <row r="6207" spans="1:16" x14ac:dyDescent="0.3">
      <c r="A6207">
        <v>10810</v>
      </c>
      <c r="B6207">
        <v>105</v>
      </c>
      <c r="C6207" t="s">
        <v>557</v>
      </c>
      <c r="D6207" s="452">
        <v>45627</v>
      </c>
      <c r="E6207">
        <v>17032</v>
      </c>
      <c r="F6207" t="s">
        <v>5509</v>
      </c>
      <c r="G6207">
        <v>2366</v>
      </c>
      <c r="H6207">
        <v>0.06</v>
      </c>
      <c r="I6207" t="s">
        <v>4744</v>
      </c>
      <c r="J6207" t="s">
        <v>5191</v>
      </c>
      <c r="K6207" t="s">
        <v>728</v>
      </c>
      <c r="L6207">
        <v>0</v>
      </c>
      <c r="M6207" s="452">
        <v>45378</v>
      </c>
      <c r="N6207">
        <v>18.899999999999999</v>
      </c>
      <c r="O6207">
        <v>38.9</v>
      </c>
      <c r="P6207">
        <v>1.1299999999999999</v>
      </c>
    </row>
    <row r="6208" spans="1:16" x14ac:dyDescent="0.3">
      <c r="A6208">
        <v>10853</v>
      </c>
      <c r="B6208">
        <v>105</v>
      </c>
      <c r="C6208" t="s">
        <v>557</v>
      </c>
      <c r="D6208" s="452">
        <v>45627</v>
      </c>
      <c r="E6208">
        <v>19617</v>
      </c>
      <c r="F6208" t="s">
        <v>5071</v>
      </c>
      <c r="G6208">
        <v>2617</v>
      </c>
      <c r="H6208">
        <v>7.0000000000000007E-2</v>
      </c>
      <c r="I6208" t="s">
        <v>4744</v>
      </c>
      <c r="J6208" t="s">
        <v>5191</v>
      </c>
      <c r="K6208" t="s">
        <v>728</v>
      </c>
      <c r="L6208">
        <v>11.07</v>
      </c>
      <c r="M6208" s="452">
        <v>45624</v>
      </c>
      <c r="N6208">
        <v>16</v>
      </c>
      <c r="O6208">
        <v>17</v>
      </c>
      <c r="P6208">
        <v>0.77</v>
      </c>
    </row>
    <row r="6209" spans="1:16" x14ac:dyDescent="0.3">
      <c r="A6209">
        <v>11035</v>
      </c>
      <c r="B6209">
        <v>105</v>
      </c>
      <c r="C6209" t="s">
        <v>557</v>
      </c>
      <c r="D6209" s="452">
        <v>45627</v>
      </c>
      <c r="E6209">
        <v>24674</v>
      </c>
      <c r="F6209" t="s">
        <v>5060</v>
      </c>
      <c r="G6209">
        <v>5709</v>
      </c>
      <c r="H6209">
        <v>0.4</v>
      </c>
      <c r="I6209" t="s">
        <v>4744</v>
      </c>
      <c r="J6209" t="s">
        <v>5191</v>
      </c>
      <c r="K6209" t="s">
        <v>728</v>
      </c>
      <c r="L6209">
        <v>0</v>
      </c>
      <c r="M6209" s="452">
        <v>-693593</v>
      </c>
      <c r="N6209">
        <v>0</v>
      </c>
      <c r="O6209">
        <v>0.8</v>
      </c>
      <c r="P6209">
        <v>0.32</v>
      </c>
    </row>
    <row r="6210" spans="1:16" x14ac:dyDescent="0.3">
      <c r="A6210">
        <v>6646</v>
      </c>
      <c r="B6210">
        <v>105</v>
      </c>
      <c r="C6210" t="s">
        <v>557</v>
      </c>
      <c r="D6210" s="452">
        <v>45597</v>
      </c>
      <c r="E6210">
        <v>18595</v>
      </c>
      <c r="F6210" t="s">
        <v>5092</v>
      </c>
      <c r="G6210">
        <v>3099</v>
      </c>
      <c r="H6210">
        <v>31</v>
      </c>
      <c r="I6210" t="s">
        <v>4738</v>
      </c>
      <c r="J6210" t="s">
        <v>5222</v>
      </c>
      <c r="K6210" t="s">
        <v>726</v>
      </c>
      <c r="L6210">
        <v>0</v>
      </c>
      <c r="M6210" s="452">
        <v>45553</v>
      </c>
      <c r="N6210">
        <v>122.48</v>
      </c>
      <c r="O6210">
        <v>95.29</v>
      </c>
      <c r="P6210">
        <v>3796.88</v>
      </c>
    </row>
    <row r="6211" spans="1:16" x14ac:dyDescent="0.3">
      <c r="A6211">
        <v>4923</v>
      </c>
      <c r="B6211">
        <v>105</v>
      </c>
      <c r="C6211" t="s">
        <v>557</v>
      </c>
      <c r="D6211" s="452">
        <v>45597</v>
      </c>
      <c r="E6211">
        <v>18822</v>
      </c>
      <c r="F6211" t="s">
        <v>4811</v>
      </c>
      <c r="G6211">
        <v>2953</v>
      </c>
      <c r="H6211">
        <v>30.21</v>
      </c>
      <c r="I6211" t="s">
        <v>4744</v>
      </c>
      <c r="J6211" t="s">
        <v>5191</v>
      </c>
      <c r="K6211" t="s">
        <v>726</v>
      </c>
      <c r="L6211">
        <v>109.94</v>
      </c>
      <c r="M6211" s="452">
        <v>45587</v>
      </c>
      <c r="N6211">
        <v>109.96</v>
      </c>
      <c r="O6211">
        <v>109.96</v>
      </c>
      <c r="P6211">
        <v>3321.29</v>
      </c>
    </row>
    <row r="6212" spans="1:16" x14ac:dyDescent="0.3">
      <c r="A6212">
        <v>4917</v>
      </c>
      <c r="B6212">
        <v>105</v>
      </c>
      <c r="C6212" t="s">
        <v>557</v>
      </c>
      <c r="D6212" s="452">
        <v>45597</v>
      </c>
      <c r="E6212">
        <v>18853</v>
      </c>
      <c r="F6212" t="s">
        <v>5620</v>
      </c>
      <c r="G6212">
        <v>2943</v>
      </c>
      <c r="H6212">
        <v>56.25</v>
      </c>
      <c r="I6212" t="s">
        <v>4744</v>
      </c>
      <c r="J6212" t="s">
        <v>5191</v>
      </c>
      <c r="K6212" t="s">
        <v>726</v>
      </c>
      <c r="L6212">
        <v>0</v>
      </c>
      <c r="M6212" s="452">
        <v>45545</v>
      </c>
      <c r="N6212">
        <v>49.9</v>
      </c>
      <c r="O6212">
        <v>49.9</v>
      </c>
      <c r="P6212">
        <v>2806.88</v>
      </c>
    </row>
    <row r="6213" spans="1:16" x14ac:dyDescent="0.3">
      <c r="A6213">
        <v>4895</v>
      </c>
      <c r="B6213">
        <v>105</v>
      </c>
      <c r="C6213" t="s">
        <v>557</v>
      </c>
      <c r="D6213" s="452">
        <v>45597</v>
      </c>
      <c r="E6213">
        <v>24090</v>
      </c>
      <c r="F6213" t="s">
        <v>5180</v>
      </c>
      <c r="G6213">
        <v>2919</v>
      </c>
      <c r="H6213">
        <v>44.65</v>
      </c>
      <c r="I6213" t="s">
        <v>4744</v>
      </c>
      <c r="J6213" t="s">
        <v>5191</v>
      </c>
      <c r="K6213" t="s">
        <v>726</v>
      </c>
      <c r="L6213">
        <v>0</v>
      </c>
      <c r="M6213" s="452">
        <v>45552</v>
      </c>
      <c r="N6213">
        <v>51.9</v>
      </c>
      <c r="O6213">
        <v>52.7</v>
      </c>
      <c r="P6213">
        <v>2317.34</v>
      </c>
    </row>
    <row r="6214" spans="1:16" x14ac:dyDescent="0.3">
      <c r="A6214">
        <v>6642</v>
      </c>
      <c r="B6214">
        <v>105</v>
      </c>
      <c r="C6214" t="s">
        <v>557</v>
      </c>
      <c r="D6214" s="452">
        <v>45597</v>
      </c>
      <c r="E6214">
        <v>24973</v>
      </c>
      <c r="F6214" t="s">
        <v>4819</v>
      </c>
      <c r="G6214">
        <v>5845</v>
      </c>
      <c r="H6214">
        <v>18</v>
      </c>
      <c r="I6214" t="s">
        <v>4738</v>
      </c>
      <c r="J6214" t="s">
        <v>5222</v>
      </c>
      <c r="K6214" t="s">
        <v>726</v>
      </c>
      <c r="L6214">
        <v>0</v>
      </c>
      <c r="M6214" s="452">
        <v>45414</v>
      </c>
      <c r="N6214">
        <v>127.44</v>
      </c>
      <c r="O6214">
        <v>127.44</v>
      </c>
      <c r="P6214">
        <v>2293.92</v>
      </c>
    </row>
    <row r="6215" spans="1:16" x14ac:dyDescent="0.3">
      <c r="A6215">
        <v>4911</v>
      </c>
      <c r="B6215">
        <v>105</v>
      </c>
      <c r="C6215" t="s">
        <v>557</v>
      </c>
      <c r="D6215" s="452">
        <v>45597</v>
      </c>
      <c r="E6215">
        <v>22838</v>
      </c>
      <c r="F6215" t="s">
        <v>5618</v>
      </c>
      <c r="G6215">
        <v>2938</v>
      </c>
      <c r="H6215">
        <v>31.7</v>
      </c>
      <c r="I6215" t="s">
        <v>4744</v>
      </c>
      <c r="J6215" t="s">
        <v>5191</v>
      </c>
      <c r="K6215" t="s">
        <v>726</v>
      </c>
      <c r="L6215">
        <v>62.27</v>
      </c>
      <c r="M6215" s="452">
        <v>45594</v>
      </c>
      <c r="N6215">
        <v>63.01</v>
      </c>
      <c r="O6215">
        <v>63.01</v>
      </c>
      <c r="P6215">
        <v>1973.96</v>
      </c>
    </row>
    <row r="6216" spans="1:16" x14ac:dyDescent="0.3">
      <c r="A6216">
        <v>6641</v>
      </c>
      <c r="B6216">
        <v>105</v>
      </c>
      <c r="C6216" t="s">
        <v>557</v>
      </c>
      <c r="D6216" s="452">
        <v>45597</v>
      </c>
      <c r="E6216">
        <v>24141</v>
      </c>
      <c r="F6216" t="s">
        <v>5088</v>
      </c>
      <c r="G6216">
        <v>3083</v>
      </c>
      <c r="H6216">
        <v>318</v>
      </c>
      <c r="I6216" t="s">
        <v>4749</v>
      </c>
      <c r="J6216" t="s">
        <v>5222</v>
      </c>
      <c r="K6216" t="s">
        <v>726</v>
      </c>
      <c r="L6216">
        <v>0</v>
      </c>
      <c r="M6216" s="452">
        <v>45546</v>
      </c>
      <c r="N6216">
        <v>5.61</v>
      </c>
      <c r="O6216">
        <v>5.61</v>
      </c>
      <c r="P6216">
        <v>1783.45</v>
      </c>
    </row>
    <row r="6217" spans="1:16" x14ac:dyDescent="0.3">
      <c r="A6217">
        <v>4640</v>
      </c>
      <c r="B6217">
        <v>105</v>
      </c>
      <c r="C6217" t="s">
        <v>557</v>
      </c>
      <c r="D6217" s="452">
        <v>45597</v>
      </c>
      <c r="E6217">
        <v>18636</v>
      </c>
      <c r="F6217" t="s">
        <v>4964</v>
      </c>
      <c r="G6217">
        <v>3075</v>
      </c>
      <c r="H6217">
        <v>4</v>
      </c>
      <c r="I6217" t="s">
        <v>4965</v>
      </c>
      <c r="J6217" t="s">
        <v>5222</v>
      </c>
      <c r="K6217" t="s">
        <v>726</v>
      </c>
      <c r="L6217">
        <v>429</v>
      </c>
      <c r="M6217" s="452">
        <v>45595</v>
      </c>
      <c r="N6217">
        <v>429</v>
      </c>
      <c r="O6217">
        <v>429</v>
      </c>
      <c r="P6217">
        <v>1716</v>
      </c>
    </row>
    <row r="6218" spans="1:16" x14ac:dyDescent="0.3">
      <c r="A6218">
        <v>4897</v>
      </c>
      <c r="B6218">
        <v>105</v>
      </c>
      <c r="C6218" t="s">
        <v>557</v>
      </c>
      <c r="D6218" s="452">
        <v>45597</v>
      </c>
      <c r="E6218">
        <v>25298</v>
      </c>
      <c r="F6218" t="s">
        <v>5629</v>
      </c>
      <c r="G6218">
        <v>5992</v>
      </c>
      <c r="H6218">
        <v>4.3</v>
      </c>
      <c r="I6218" t="s">
        <v>4744</v>
      </c>
      <c r="J6218" t="s">
        <v>5191</v>
      </c>
      <c r="K6218" t="s">
        <v>726</v>
      </c>
      <c r="L6218">
        <v>0</v>
      </c>
      <c r="M6218" s="452">
        <v>-693593</v>
      </c>
      <c r="N6218">
        <v>0</v>
      </c>
      <c r="O6218">
        <v>360</v>
      </c>
      <c r="P6218">
        <v>1548</v>
      </c>
    </row>
    <row r="6219" spans="1:16" x14ac:dyDescent="0.3">
      <c r="A6219">
        <v>4641</v>
      </c>
      <c r="B6219">
        <v>105</v>
      </c>
      <c r="C6219" t="s">
        <v>557</v>
      </c>
      <c r="D6219" s="452">
        <v>45597</v>
      </c>
      <c r="E6219">
        <v>24981</v>
      </c>
      <c r="F6219" t="s">
        <v>5140</v>
      </c>
      <c r="G6219">
        <v>5849</v>
      </c>
      <c r="H6219">
        <v>3.67</v>
      </c>
      <c r="I6219" t="s">
        <v>4965</v>
      </c>
      <c r="J6219" t="s">
        <v>5222</v>
      </c>
      <c r="K6219" t="s">
        <v>726</v>
      </c>
      <c r="L6219">
        <v>0</v>
      </c>
      <c r="M6219" s="452">
        <v>45553</v>
      </c>
      <c r="N6219">
        <v>420</v>
      </c>
      <c r="O6219">
        <v>420</v>
      </c>
      <c r="P6219">
        <v>1541.4</v>
      </c>
    </row>
    <row r="6220" spans="1:16" x14ac:dyDescent="0.3">
      <c r="A6220">
        <v>4903</v>
      </c>
      <c r="B6220">
        <v>105</v>
      </c>
      <c r="C6220" t="s">
        <v>557</v>
      </c>
      <c r="D6220" s="452">
        <v>45597</v>
      </c>
      <c r="E6220">
        <v>24196</v>
      </c>
      <c r="F6220" t="s">
        <v>5547</v>
      </c>
      <c r="G6220">
        <v>2933</v>
      </c>
      <c r="H6220">
        <v>57.83</v>
      </c>
      <c r="I6220" t="s">
        <v>4744</v>
      </c>
      <c r="J6220" t="s">
        <v>5191</v>
      </c>
      <c r="K6220" t="s">
        <v>726</v>
      </c>
      <c r="L6220">
        <v>0</v>
      </c>
      <c r="M6220" s="452">
        <v>45545</v>
      </c>
      <c r="N6220">
        <v>25.9</v>
      </c>
      <c r="O6220">
        <v>38</v>
      </c>
      <c r="P6220">
        <v>1497.6</v>
      </c>
    </row>
    <row r="6221" spans="1:16" x14ac:dyDescent="0.3">
      <c r="A6221">
        <v>4891</v>
      </c>
      <c r="B6221">
        <v>105</v>
      </c>
      <c r="C6221" t="s">
        <v>557</v>
      </c>
      <c r="D6221" s="452">
        <v>45597</v>
      </c>
      <c r="E6221">
        <v>19297</v>
      </c>
      <c r="F6221" t="s">
        <v>5571</v>
      </c>
      <c r="G6221">
        <v>2775</v>
      </c>
      <c r="H6221">
        <v>21.13</v>
      </c>
      <c r="I6221" t="s">
        <v>4744</v>
      </c>
      <c r="J6221" t="s">
        <v>5191</v>
      </c>
      <c r="K6221" t="s">
        <v>726</v>
      </c>
      <c r="L6221">
        <v>65.989999999999995</v>
      </c>
      <c r="M6221" s="452">
        <v>45580</v>
      </c>
      <c r="N6221">
        <v>65.98</v>
      </c>
      <c r="O6221">
        <v>64.989999999999995</v>
      </c>
      <c r="P6221">
        <v>1394.37</v>
      </c>
    </row>
    <row r="6222" spans="1:16" x14ac:dyDescent="0.3">
      <c r="A6222">
        <v>4912</v>
      </c>
      <c r="B6222">
        <v>105</v>
      </c>
      <c r="C6222" t="s">
        <v>557</v>
      </c>
      <c r="D6222" s="452">
        <v>45597</v>
      </c>
      <c r="E6222">
        <v>24276</v>
      </c>
      <c r="F6222" t="s">
        <v>5435</v>
      </c>
      <c r="G6222">
        <v>2939</v>
      </c>
      <c r="H6222">
        <v>15.72</v>
      </c>
      <c r="I6222" t="s">
        <v>4744</v>
      </c>
      <c r="J6222" t="s">
        <v>5191</v>
      </c>
      <c r="K6222" t="s">
        <v>726</v>
      </c>
      <c r="L6222">
        <v>0</v>
      </c>
      <c r="M6222" s="452">
        <v>45541</v>
      </c>
      <c r="N6222">
        <v>69.64</v>
      </c>
      <c r="O6222">
        <v>69.64</v>
      </c>
      <c r="P6222">
        <v>1094.75</v>
      </c>
    </row>
    <row r="6223" spans="1:16" x14ac:dyDescent="0.3">
      <c r="A6223">
        <v>4764</v>
      </c>
      <c r="B6223">
        <v>105</v>
      </c>
      <c r="C6223" t="s">
        <v>557</v>
      </c>
      <c r="D6223" s="452">
        <v>45597</v>
      </c>
      <c r="E6223">
        <v>20544</v>
      </c>
      <c r="F6223" t="s">
        <v>4808</v>
      </c>
      <c r="G6223">
        <v>2144</v>
      </c>
      <c r="H6223">
        <v>33</v>
      </c>
      <c r="I6223" t="s">
        <v>4744</v>
      </c>
      <c r="J6223" t="s">
        <v>5191</v>
      </c>
      <c r="K6223" t="s">
        <v>726</v>
      </c>
      <c r="L6223">
        <v>32.159999999999997</v>
      </c>
      <c r="M6223" s="452">
        <v>45594</v>
      </c>
      <c r="N6223">
        <v>32.159999999999997</v>
      </c>
      <c r="O6223">
        <v>32.159999999999997</v>
      </c>
      <c r="P6223">
        <v>1061.28</v>
      </c>
    </row>
    <row r="6224" spans="1:16" x14ac:dyDescent="0.3">
      <c r="A6224">
        <v>4933</v>
      </c>
      <c r="B6224">
        <v>105</v>
      </c>
      <c r="C6224" t="s">
        <v>557</v>
      </c>
      <c r="D6224" s="452">
        <v>45597</v>
      </c>
      <c r="E6224">
        <v>17841</v>
      </c>
      <c r="F6224" t="s">
        <v>5593</v>
      </c>
      <c r="G6224">
        <v>8510</v>
      </c>
      <c r="H6224">
        <v>7.46</v>
      </c>
      <c r="I6224" t="s">
        <v>4749</v>
      </c>
      <c r="J6224" t="s">
        <v>5222</v>
      </c>
      <c r="K6224" t="s">
        <v>726</v>
      </c>
      <c r="L6224">
        <v>0</v>
      </c>
      <c r="M6224" s="452">
        <v>45350</v>
      </c>
      <c r="N6224">
        <v>0</v>
      </c>
      <c r="O6224">
        <v>130</v>
      </c>
      <c r="P6224">
        <v>969.8</v>
      </c>
    </row>
    <row r="6225" spans="1:16" x14ac:dyDescent="0.3">
      <c r="A6225">
        <v>4886</v>
      </c>
      <c r="B6225">
        <v>105</v>
      </c>
      <c r="C6225" t="s">
        <v>557</v>
      </c>
      <c r="D6225" s="452">
        <v>45597</v>
      </c>
      <c r="E6225">
        <v>19356</v>
      </c>
      <c r="F6225" t="s">
        <v>4799</v>
      </c>
      <c r="G6225">
        <v>2768</v>
      </c>
      <c r="H6225">
        <v>16.62</v>
      </c>
      <c r="I6225" t="s">
        <v>4744</v>
      </c>
      <c r="J6225" t="s">
        <v>5191</v>
      </c>
      <c r="K6225" t="s">
        <v>726</v>
      </c>
      <c r="L6225">
        <v>50.6</v>
      </c>
      <c r="M6225" s="452">
        <v>45586</v>
      </c>
      <c r="N6225">
        <v>50.6</v>
      </c>
      <c r="O6225">
        <v>50.9</v>
      </c>
      <c r="P6225">
        <v>840.97</v>
      </c>
    </row>
    <row r="6226" spans="1:16" x14ac:dyDescent="0.3">
      <c r="A6226">
        <v>4906</v>
      </c>
      <c r="B6226">
        <v>105</v>
      </c>
      <c r="C6226" t="s">
        <v>557</v>
      </c>
      <c r="D6226" s="452">
        <v>45597</v>
      </c>
      <c r="E6226">
        <v>19041</v>
      </c>
      <c r="F6226" t="s">
        <v>4762</v>
      </c>
      <c r="G6226">
        <v>2890</v>
      </c>
      <c r="H6226">
        <v>42.12</v>
      </c>
      <c r="I6226" t="s">
        <v>4744</v>
      </c>
      <c r="J6226" t="s">
        <v>5191</v>
      </c>
      <c r="K6226" t="s">
        <v>726</v>
      </c>
      <c r="L6226">
        <v>18.489999999999998</v>
      </c>
      <c r="M6226" s="452">
        <v>45594</v>
      </c>
      <c r="N6226">
        <v>17.3</v>
      </c>
      <c r="O6226">
        <v>17.3</v>
      </c>
      <c r="P6226">
        <v>778.8</v>
      </c>
    </row>
    <row r="6227" spans="1:16" x14ac:dyDescent="0.3">
      <c r="A6227">
        <v>4634</v>
      </c>
      <c r="B6227">
        <v>105</v>
      </c>
      <c r="C6227" t="s">
        <v>557</v>
      </c>
      <c r="D6227" s="452">
        <v>45597</v>
      </c>
      <c r="E6227">
        <v>24129</v>
      </c>
      <c r="F6227" t="s">
        <v>4740</v>
      </c>
      <c r="G6227">
        <v>3076</v>
      </c>
      <c r="H6227">
        <v>97</v>
      </c>
      <c r="I6227" t="s">
        <v>4736</v>
      </c>
      <c r="J6227" t="s">
        <v>5222</v>
      </c>
      <c r="K6227" t="s">
        <v>726</v>
      </c>
      <c r="L6227">
        <v>0</v>
      </c>
      <c r="M6227" s="452">
        <v>45512</v>
      </c>
      <c r="N6227">
        <v>7.7</v>
      </c>
      <c r="O6227">
        <v>7.95</v>
      </c>
      <c r="P6227">
        <v>746.9</v>
      </c>
    </row>
    <row r="6228" spans="1:16" x14ac:dyDescent="0.3">
      <c r="A6228">
        <v>4899</v>
      </c>
      <c r="B6228">
        <v>105</v>
      </c>
      <c r="C6228" t="s">
        <v>557</v>
      </c>
      <c r="D6228" s="452">
        <v>45597</v>
      </c>
      <c r="E6228">
        <v>18865</v>
      </c>
      <c r="F6228" t="s">
        <v>5597</v>
      </c>
      <c r="G6228">
        <v>2941</v>
      </c>
      <c r="H6228">
        <v>21.73</v>
      </c>
      <c r="I6228" t="s">
        <v>4744</v>
      </c>
      <c r="J6228" t="s">
        <v>5191</v>
      </c>
      <c r="K6228" t="s">
        <v>726</v>
      </c>
      <c r="L6228">
        <v>30.64</v>
      </c>
      <c r="M6228" s="452">
        <v>45594</v>
      </c>
      <c r="N6228">
        <v>30.78</v>
      </c>
      <c r="O6228">
        <v>31.03</v>
      </c>
      <c r="P6228">
        <v>665.81</v>
      </c>
    </row>
    <row r="6229" spans="1:16" x14ac:dyDescent="0.3">
      <c r="A6229">
        <v>6645</v>
      </c>
      <c r="B6229">
        <v>105</v>
      </c>
      <c r="C6229" t="s">
        <v>557</v>
      </c>
      <c r="D6229" s="452">
        <v>45597</v>
      </c>
      <c r="E6229">
        <v>18579</v>
      </c>
      <c r="F6229" t="s">
        <v>5087</v>
      </c>
      <c r="G6229">
        <v>3106</v>
      </c>
      <c r="H6229">
        <v>3.96</v>
      </c>
      <c r="I6229" t="s">
        <v>4749</v>
      </c>
      <c r="J6229" t="s">
        <v>5222</v>
      </c>
      <c r="K6229" t="s">
        <v>726</v>
      </c>
      <c r="L6229">
        <v>0</v>
      </c>
      <c r="M6229" s="452">
        <v>45553</v>
      </c>
      <c r="N6229">
        <v>163.92</v>
      </c>
      <c r="O6229">
        <v>163.92</v>
      </c>
      <c r="P6229">
        <v>649.12</v>
      </c>
    </row>
    <row r="6230" spans="1:16" x14ac:dyDescent="0.3">
      <c r="A6230">
        <v>4882</v>
      </c>
      <c r="B6230">
        <v>105</v>
      </c>
      <c r="C6230" t="s">
        <v>557</v>
      </c>
      <c r="D6230" s="452">
        <v>45597</v>
      </c>
      <c r="E6230">
        <v>19224</v>
      </c>
      <c r="F6230" t="s">
        <v>5100</v>
      </c>
      <c r="G6230">
        <v>5850</v>
      </c>
      <c r="H6230">
        <v>2.56</v>
      </c>
      <c r="I6230" t="s">
        <v>4736</v>
      </c>
      <c r="J6230" t="s">
        <v>5191</v>
      </c>
      <c r="K6230" t="s">
        <v>726</v>
      </c>
      <c r="L6230">
        <v>232.3</v>
      </c>
      <c r="M6230" s="452">
        <v>45593</v>
      </c>
      <c r="N6230">
        <v>245.9</v>
      </c>
      <c r="O6230">
        <v>245.9</v>
      </c>
      <c r="P6230">
        <v>594.69000000000005</v>
      </c>
    </row>
    <row r="6231" spans="1:16" x14ac:dyDescent="0.3">
      <c r="A6231">
        <v>4765</v>
      </c>
      <c r="B6231">
        <v>105</v>
      </c>
      <c r="C6231" t="s">
        <v>557</v>
      </c>
      <c r="D6231" s="452">
        <v>45597</v>
      </c>
      <c r="E6231">
        <v>20508</v>
      </c>
      <c r="F6231" t="s">
        <v>5646</v>
      </c>
      <c r="G6231">
        <v>2153</v>
      </c>
      <c r="H6231">
        <v>14.65</v>
      </c>
      <c r="I6231" t="s">
        <v>4744</v>
      </c>
      <c r="J6231" t="s">
        <v>5191</v>
      </c>
      <c r="K6231" t="s">
        <v>726</v>
      </c>
      <c r="L6231">
        <v>0</v>
      </c>
      <c r="M6231" s="452">
        <v>45422</v>
      </c>
      <c r="N6231">
        <v>39.93</v>
      </c>
      <c r="O6231">
        <v>28</v>
      </c>
      <c r="P6231">
        <v>584.9</v>
      </c>
    </row>
    <row r="6232" spans="1:16" x14ac:dyDescent="0.3">
      <c r="A6232">
        <v>4638</v>
      </c>
      <c r="B6232">
        <v>105</v>
      </c>
      <c r="C6232" t="s">
        <v>557</v>
      </c>
      <c r="D6232" s="452">
        <v>45597</v>
      </c>
      <c r="E6232">
        <v>18616</v>
      </c>
      <c r="F6232" t="s">
        <v>5621</v>
      </c>
      <c r="G6232">
        <v>3085</v>
      </c>
      <c r="H6232">
        <v>4.08</v>
      </c>
      <c r="I6232" t="s">
        <v>4749</v>
      </c>
      <c r="J6232" t="s">
        <v>5222</v>
      </c>
      <c r="K6232" t="s">
        <v>726</v>
      </c>
      <c r="L6232">
        <v>0</v>
      </c>
      <c r="M6232" s="452">
        <v>45546</v>
      </c>
      <c r="N6232">
        <v>142.88</v>
      </c>
      <c r="O6232">
        <v>142.88</v>
      </c>
      <c r="P6232">
        <v>582.95000000000005</v>
      </c>
    </row>
    <row r="6233" spans="1:16" x14ac:dyDescent="0.3">
      <c r="A6233">
        <v>6658</v>
      </c>
      <c r="B6233">
        <v>105</v>
      </c>
      <c r="C6233" t="s">
        <v>557</v>
      </c>
      <c r="D6233" s="452">
        <v>45597</v>
      </c>
      <c r="E6233">
        <v>18710</v>
      </c>
      <c r="F6233" t="s">
        <v>5707</v>
      </c>
      <c r="G6233">
        <v>3033</v>
      </c>
      <c r="H6233">
        <v>20.89</v>
      </c>
      <c r="I6233" t="s">
        <v>4744</v>
      </c>
      <c r="J6233" t="s">
        <v>5191</v>
      </c>
      <c r="K6233" t="s">
        <v>726</v>
      </c>
      <c r="L6233">
        <v>0</v>
      </c>
      <c r="M6233" s="452">
        <v>-693593</v>
      </c>
      <c r="N6233">
        <v>0</v>
      </c>
      <c r="O6233">
        <v>0</v>
      </c>
      <c r="P6233">
        <v>545.75</v>
      </c>
    </row>
    <row r="6234" spans="1:16" x14ac:dyDescent="0.3">
      <c r="A6234">
        <v>4907</v>
      </c>
      <c r="B6234">
        <v>105</v>
      </c>
      <c r="C6234" t="s">
        <v>557</v>
      </c>
      <c r="D6234" s="452">
        <v>45597</v>
      </c>
      <c r="E6234">
        <v>24217</v>
      </c>
      <c r="F6234" t="s">
        <v>4778</v>
      </c>
      <c r="G6234">
        <v>2937</v>
      </c>
      <c r="H6234">
        <v>9.6</v>
      </c>
      <c r="I6234" t="s">
        <v>4744</v>
      </c>
      <c r="J6234" t="s">
        <v>5191</v>
      </c>
      <c r="K6234" t="s">
        <v>726</v>
      </c>
      <c r="L6234">
        <v>0</v>
      </c>
      <c r="M6234" s="452">
        <v>45552</v>
      </c>
      <c r="N6234">
        <v>51.69</v>
      </c>
      <c r="O6234">
        <v>39.9</v>
      </c>
      <c r="P6234">
        <v>496.22</v>
      </c>
    </row>
    <row r="6235" spans="1:16" x14ac:dyDescent="0.3">
      <c r="A6235">
        <v>4900</v>
      </c>
      <c r="B6235">
        <v>105</v>
      </c>
      <c r="C6235" t="s">
        <v>557</v>
      </c>
      <c r="D6235" s="452">
        <v>45597</v>
      </c>
      <c r="E6235">
        <v>24116</v>
      </c>
      <c r="F6235" t="s">
        <v>4777</v>
      </c>
      <c r="G6235">
        <v>2924</v>
      </c>
      <c r="H6235">
        <v>15.15</v>
      </c>
      <c r="I6235" t="s">
        <v>4744</v>
      </c>
      <c r="J6235" t="s">
        <v>5191</v>
      </c>
      <c r="K6235" t="s">
        <v>726</v>
      </c>
      <c r="L6235">
        <v>0</v>
      </c>
      <c r="M6235" s="452">
        <v>45552</v>
      </c>
      <c r="N6235">
        <v>30.88</v>
      </c>
      <c r="O6235">
        <v>30.88</v>
      </c>
      <c r="P6235">
        <v>467.83</v>
      </c>
    </row>
    <row r="6236" spans="1:16" x14ac:dyDescent="0.3">
      <c r="A6236">
        <v>4905</v>
      </c>
      <c r="B6236">
        <v>105</v>
      </c>
      <c r="C6236" t="s">
        <v>557</v>
      </c>
      <c r="D6236" s="452">
        <v>45597</v>
      </c>
      <c r="E6236">
        <v>18690</v>
      </c>
      <c r="F6236" t="s">
        <v>5708</v>
      </c>
      <c r="G6236">
        <v>3037</v>
      </c>
      <c r="H6236">
        <v>13.35</v>
      </c>
      <c r="I6236" t="s">
        <v>4744</v>
      </c>
      <c r="J6236" t="s">
        <v>5191</v>
      </c>
      <c r="K6236" t="s">
        <v>726</v>
      </c>
      <c r="L6236">
        <v>34.9</v>
      </c>
      <c r="M6236" s="452">
        <v>45587</v>
      </c>
      <c r="N6236">
        <v>34.9</v>
      </c>
      <c r="O6236">
        <v>34.9</v>
      </c>
      <c r="P6236">
        <v>465.92</v>
      </c>
    </row>
    <row r="6237" spans="1:16" x14ac:dyDescent="0.3">
      <c r="A6237">
        <v>6647</v>
      </c>
      <c r="B6237">
        <v>105</v>
      </c>
      <c r="C6237" t="s">
        <v>557</v>
      </c>
      <c r="D6237" s="452">
        <v>45597</v>
      </c>
      <c r="E6237">
        <v>25746</v>
      </c>
      <c r="F6237" t="s">
        <v>5709</v>
      </c>
      <c r="G6237">
        <v>6298</v>
      </c>
      <c r="H6237">
        <v>76</v>
      </c>
      <c r="I6237" t="s">
        <v>4805</v>
      </c>
      <c r="J6237" t="s">
        <v>5222</v>
      </c>
      <c r="K6237" t="s">
        <v>726</v>
      </c>
      <c r="L6237">
        <v>0</v>
      </c>
      <c r="M6237" s="452">
        <v>-693593</v>
      </c>
      <c r="N6237">
        <v>0</v>
      </c>
      <c r="O6237">
        <v>0</v>
      </c>
      <c r="P6237">
        <v>455.24</v>
      </c>
    </row>
    <row r="6238" spans="1:16" x14ac:dyDescent="0.3">
      <c r="A6238">
        <v>4890</v>
      </c>
      <c r="B6238">
        <v>105</v>
      </c>
      <c r="C6238" t="s">
        <v>557</v>
      </c>
      <c r="D6238" s="452">
        <v>45597</v>
      </c>
      <c r="E6238">
        <v>19322</v>
      </c>
      <c r="F6238" t="s">
        <v>4830</v>
      </c>
      <c r="G6238">
        <v>2773</v>
      </c>
      <c r="H6238">
        <v>8.82</v>
      </c>
      <c r="I6238" t="s">
        <v>4744</v>
      </c>
      <c r="J6238" t="s">
        <v>5191</v>
      </c>
      <c r="K6238" t="s">
        <v>726</v>
      </c>
      <c r="L6238">
        <v>50.95</v>
      </c>
      <c r="M6238" s="452">
        <v>45593</v>
      </c>
      <c r="N6238">
        <v>51.9</v>
      </c>
      <c r="O6238">
        <v>51.8</v>
      </c>
      <c r="P6238">
        <v>449.38</v>
      </c>
    </row>
    <row r="6239" spans="1:16" x14ac:dyDescent="0.3">
      <c r="A6239">
        <v>4916</v>
      </c>
      <c r="B6239">
        <v>105</v>
      </c>
      <c r="C6239" t="s">
        <v>557</v>
      </c>
      <c r="D6239" s="452">
        <v>45597</v>
      </c>
      <c r="E6239">
        <v>24320</v>
      </c>
      <c r="F6239" t="s">
        <v>4861</v>
      </c>
      <c r="G6239">
        <v>2942</v>
      </c>
      <c r="H6239">
        <v>10.85</v>
      </c>
      <c r="I6239" t="s">
        <v>4744</v>
      </c>
      <c r="J6239" t="s">
        <v>5191</v>
      </c>
      <c r="K6239" t="s">
        <v>726</v>
      </c>
      <c r="L6239">
        <v>0</v>
      </c>
      <c r="M6239" s="452">
        <v>45546</v>
      </c>
      <c r="N6239">
        <v>40.75</v>
      </c>
      <c r="O6239">
        <v>44.8</v>
      </c>
      <c r="P6239">
        <v>442.14</v>
      </c>
    </row>
    <row r="6240" spans="1:16" x14ac:dyDescent="0.3">
      <c r="A6240">
        <v>4657</v>
      </c>
      <c r="B6240">
        <v>105</v>
      </c>
      <c r="C6240" t="s">
        <v>557</v>
      </c>
      <c r="D6240" s="452">
        <v>45597</v>
      </c>
      <c r="E6240">
        <v>18359</v>
      </c>
      <c r="F6240" t="s">
        <v>4921</v>
      </c>
      <c r="G6240">
        <v>3278</v>
      </c>
      <c r="H6240">
        <v>4.6500000000000004</v>
      </c>
      <c r="I6240" t="s">
        <v>4805</v>
      </c>
      <c r="J6240" t="s">
        <v>5222</v>
      </c>
      <c r="K6240" t="s">
        <v>726</v>
      </c>
      <c r="L6240">
        <v>94.98</v>
      </c>
      <c r="M6240" s="452">
        <v>45596</v>
      </c>
      <c r="N6240">
        <v>99.9</v>
      </c>
      <c r="O6240">
        <v>99.9</v>
      </c>
      <c r="P6240">
        <v>441.66</v>
      </c>
    </row>
    <row r="6241" spans="1:16" x14ac:dyDescent="0.3">
      <c r="A6241">
        <v>4712</v>
      </c>
      <c r="B6241">
        <v>105</v>
      </c>
      <c r="C6241" t="s">
        <v>557</v>
      </c>
      <c r="D6241" s="452">
        <v>45597</v>
      </c>
      <c r="E6241">
        <v>23982</v>
      </c>
      <c r="F6241" t="s">
        <v>5710</v>
      </c>
      <c r="G6241">
        <v>1999</v>
      </c>
      <c r="H6241">
        <v>2</v>
      </c>
      <c r="I6241" t="s">
        <v>4848</v>
      </c>
      <c r="J6241" t="s">
        <v>5191</v>
      </c>
      <c r="K6241" t="s">
        <v>726</v>
      </c>
      <c r="L6241">
        <v>210.4</v>
      </c>
      <c r="M6241" s="452">
        <v>45593</v>
      </c>
      <c r="N6241">
        <v>252</v>
      </c>
      <c r="O6241">
        <v>184.9</v>
      </c>
      <c r="P6241">
        <v>420.8</v>
      </c>
    </row>
    <row r="6242" spans="1:16" x14ac:dyDescent="0.3">
      <c r="A6242">
        <v>4938</v>
      </c>
      <c r="B6242">
        <v>105</v>
      </c>
      <c r="C6242" t="s">
        <v>557</v>
      </c>
      <c r="D6242" s="452">
        <v>45597</v>
      </c>
      <c r="E6242">
        <v>17903</v>
      </c>
      <c r="F6242" t="s">
        <v>5084</v>
      </c>
      <c r="G6242">
        <v>3658</v>
      </c>
      <c r="H6242">
        <v>16</v>
      </c>
      <c r="I6242" t="s">
        <v>4738</v>
      </c>
      <c r="J6242" t="s">
        <v>5222</v>
      </c>
      <c r="K6242" t="s">
        <v>726</v>
      </c>
      <c r="L6242">
        <v>0</v>
      </c>
      <c r="M6242" s="452">
        <v>45553</v>
      </c>
      <c r="N6242">
        <v>26.28</v>
      </c>
      <c r="O6242">
        <v>26.28</v>
      </c>
      <c r="P6242">
        <v>420.48</v>
      </c>
    </row>
    <row r="6243" spans="1:16" x14ac:dyDescent="0.3">
      <c r="A6243">
        <v>4654</v>
      </c>
      <c r="B6243">
        <v>105</v>
      </c>
      <c r="C6243" t="s">
        <v>557</v>
      </c>
      <c r="D6243" s="452">
        <v>45597</v>
      </c>
      <c r="E6243">
        <v>18475</v>
      </c>
      <c r="F6243" t="s">
        <v>4895</v>
      </c>
      <c r="G6243">
        <v>3181</v>
      </c>
      <c r="H6243">
        <v>12.82</v>
      </c>
      <c r="I6243" t="s">
        <v>4805</v>
      </c>
      <c r="J6243" t="s">
        <v>5222</v>
      </c>
      <c r="K6243" t="s">
        <v>726</v>
      </c>
      <c r="L6243">
        <v>32.4</v>
      </c>
      <c r="M6243" s="452">
        <v>45588</v>
      </c>
      <c r="N6243">
        <v>31.9</v>
      </c>
      <c r="O6243">
        <v>32.9</v>
      </c>
      <c r="P6243">
        <v>415.37</v>
      </c>
    </row>
    <row r="6244" spans="1:16" x14ac:dyDescent="0.3">
      <c r="A6244">
        <v>4939</v>
      </c>
      <c r="B6244">
        <v>105</v>
      </c>
      <c r="C6244" t="s">
        <v>557</v>
      </c>
      <c r="D6244" s="452">
        <v>45597</v>
      </c>
      <c r="E6244">
        <v>17895</v>
      </c>
      <c r="F6244" t="s">
        <v>5086</v>
      </c>
      <c r="G6244">
        <v>3665</v>
      </c>
      <c r="H6244">
        <v>15</v>
      </c>
      <c r="I6244" t="s">
        <v>4738</v>
      </c>
      <c r="J6244" t="s">
        <v>5222</v>
      </c>
      <c r="K6244" t="s">
        <v>726</v>
      </c>
      <c r="L6244">
        <v>0</v>
      </c>
      <c r="M6244" s="452">
        <v>45553</v>
      </c>
      <c r="N6244">
        <v>26.28</v>
      </c>
      <c r="O6244">
        <v>26.28</v>
      </c>
      <c r="P6244">
        <v>394.2</v>
      </c>
    </row>
    <row r="6245" spans="1:16" x14ac:dyDescent="0.3">
      <c r="A6245">
        <v>4678</v>
      </c>
      <c r="B6245">
        <v>105</v>
      </c>
      <c r="C6245" t="s">
        <v>557</v>
      </c>
      <c r="D6245" s="452">
        <v>45597</v>
      </c>
      <c r="E6245">
        <v>18172</v>
      </c>
      <c r="F6245" t="s">
        <v>4804</v>
      </c>
      <c r="G6245">
        <v>3450</v>
      </c>
      <c r="H6245">
        <v>11.68</v>
      </c>
      <c r="I6245" t="s">
        <v>4805</v>
      </c>
      <c r="J6245" t="s">
        <v>5222</v>
      </c>
      <c r="K6245" t="s">
        <v>726</v>
      </c>
      <c r="L6245">
        <v>33.57</v>
      </c>
      <c r="M6245" s="452">
        <v>45596</v>
      </c>
      <c r="N6245">
        <v>33.57</v>
      </c>
      <c r="O6245">
        <v>33.57</v>
      </c>
      <c r="P6245">
        <v>392.1</v>
      </c>
    </row>
    <row r="6246" spans="1:16" x14ac:dyDescent="0.3">
      <c r="A6246">
        <v>4644</v>
      </c>
      <c r="B6246">
        <v>105</v>
      </c>
      <c r="C6246" t="s">
        <v>557</v>
      </c>
      <c r="D6246" s="452">
        <v>45597</v>
      </c>
      <c r="E6246">
        <v>18586</v>
      </c>
      <c r="F6246" t="s">
        <v>4966</v>
      </c>
      <c r="G6246">
        <v>3104</v>
      </c>
      <c r="H6246">
        <v>3</v>
      </c>
      <c r="I6246" t="s">
        <v>4738</v>
      </c>
      <c r="J6246" t="s">
        <v>5222</v>
      </c>
      <c r="K6246" t="s">
        <v>726</v>
      </c>
      <c r="L6246">
        <v>128.6</v>
      </c>
      <c r="M6246" s="452">
        <v>45567</v>
      </c>
      <c r="N6246">
        <v>128.6</v>
      </c>
      <c r="O6246">
        <v>128.6</v>
      </c>
      <c r="P6246">
        <v>385.8</v>
      </c>
    </row>
    <row r="6247" spans="1:16" x14ac:dyDescent="0.3">
      <c r="A6247">
        <v>4915</v>
      </c>
      <c r="B6247">
        <v>105</v>
      </c>
      <c r="C6247" t="s">
        <v>557</v>
      </c>
      <c r="D6247" s="452">
        <v>45597</v>
      </c>
      <c r="E6247">
        <v>19003</v>
      </c>
      <c r="F6247" t="s">
        <v>4810</v>
      </c>
      <c r="G6247">
        <v>2897</v>
      </c>
      <c r="H6247">
        <v>10.94</v>
      </c>
      <c r="I6247" t="s">
        <v>4744</v>
      </c>
      <c r="J6247" t="s">
        <v>5191</v>
      </c>
      <c r="K6247" t="s">
        <v>726</v>
      </c>
      <c r="L6247">
        <v>34.89</v>
      </c>
      <c r="M6247" s="452">
        <v>45595</v>
      </c>
      <c r="N6247">
        <v>34.9</v>
      </c>
      <c r="O6247">
        <v>34.9</v>
      </c>
      <c r="P6247">
        <v>381.7</v>
      </c>
    </row>
    <row r="6248" spans="1:16" x14ac:dyDescent="0.3">
      <c r="A6248">
        <v>4711</v>
      </c>
      <c r="B6248">
        <v>105</v>
      </c>
      <c r="C6248" t="s">
        <v>557</v>
      </c>
      <c r="D6248" s="452">
        <v>45597</v>
      </c>
      <c r="E6248">
        <v>21054</v>
      </c>
      <c r="F6248" t="s">
        <v>5492</v>
      </c>
      <c r="G6248">
        <v>1999</v>
      </c>
      <c r="H6248">
        <v>2.04</v>
      </c>
      <c r="I6248" t="s">
        <v>4736</v>
      </c>
      <c r="J6248" t="s">
        <v>5191</v>
      </c>
      <c r="K6248" t="s">
        <v>726</v>
      </c>
      <c r="L6248">
        <v>180.4</v>
      </c>
      <c r="M6248" s="452">
        <v>45593</v>
      </c>
      <c r="N6248">
        <v>184.9</v>
      </c>
      <c r="O6248">
        <v>179.98</v>
      </c>
      <c r="P6248">
        <v>368.02</v>
      </c>
    </row>
    <row r="6249" spans="1:16" x14ac:dyDescent="0.3">
      <c r="A6249">
        <v>4819</v>
      </c>
      <c r="B6249">
        <v>105</v>
      </c>
      <c r="C6249" t="s">
        <v>557</v>
      </c>
      <c r="D6249" s="452">
        <v>45597</v>
      </c>
      <c r="E6249">
        <v>24083</v>
      </c>
      <c r="F6249" t="s">
        <v>5165</v>
      </c>
      <c r="G6249">
        <v>2592</v>
      </c>
      <c r="H6249">
        <v>66.25</v>
      </c>
      <c r="I6249" t="s">
        <v>4744</v>
      </c>
      <c r="J6249" t="s">
        <v>5191</v>
      </c>
      <c r="K6249" t="s">
        <v>726</v>
      </c>
      <c r="L6249">
        <v>0</v>
      </c>
      <c r="M6249" s="452">
        <v>45545</v>
      </c>
      <c r="N6249">
        <v>5.49</v>
      </c>
      <c r="O6249">
        <v>5.8</v>
      </c>
      <c r="P6249">
        <v>363.71</v>
      </c>
    </row>
    <row r="6250" spans="1:16" x14ac:dyDescent="0.3">
      <c r="A6250">
        <v>4648</v>
      </c>
      <c r="B6250">
        <v>105</v>
      </c>
      <c r="C6250" t="s">
        <v>557</v>
      </c>
      <c r="D6250" s="452">
        <v>45597</v>
      </c>
      <c r="E6250">
        <v>18518</v>
      </c>
      <c r="F6250" t="s">
        <v>4838</v>
      </c>
      <c r="G6250">
        <v>3148</v>
      </c>
      <c r="H6250">
        <v>9.5</v>
      </c>
      <c r="I6250" t="s">
        <v>4805</v>
      </c>
      <c r="J6250" t="s">
        <v>5222</v>
      </c>
      <c r="K6250" t="s">
        <v>726</v>
      </c>
      <c r="L6250">
        <v>38</v>
      </c>
      <c r="M6250" s="452">
        <v>45595</v>
      </c>
      <c r="N6250">
        <v>38</v>
      </c>
      <c r="O6250">
        <v>38</v>
      </c>
      <c r="P6250">
        <v>361</v>
      </c>
    </row>
    <row r="6251" spans="1:16" x14ac:dyDescent="0.3">
      <c r="A6251">
        <v>4847</v>
      </c>
      <c r="B6251">
        <v>105</v>
      </c>
      <c r="C6251" t="s">
        <v>557</v>
      </c>
      <c r="D6251" s="452">
        <v>45597</v>
      </c>
      <c r="E6251">
        <v>24326</v>
      </c>
      <c r="F6251" t="s">
        <v>4767</v>
      </c>
      <c r="G6251">
        <v>2499</v>
      </c>
      <c r="H6251">
        <v>42.55</v>
      </c>
      <c r="I6251" t="s">
        <v>4744</v>
      </c>
      <c r="J6251" t="s">
        <v>5191</v>
      </c>
      <c r="K6251" t="s">
        <v>726</v>
      </c>
      <c r="L6251">
        <v>8.15</v>
      </c>
      <c r="M6251" s="452">
        <v>45590</v>
      </c>
      <c r="N6251">
        <v>6.5</v>
      </c>
      <c r="O6251">
        <v>6.87</v>
      </c>
      <c r="P6251">
        <v>346.78</v>
      </c>
    </row>
    <row r="6252" spans="1:16" x14ac:dyDescent="0.3">
      <c r="A6252">
        <v>4845</v>
      </c>
      <c r="B6252">
        <v>105</v>
      </c>
      <c r="C6252" t="s">
        <v>557</v>
      </c>
      <c r="D6252" s="452">
        <v>45597</v>
      </c>
      <c r="E6252">
        <v>19756</v>
      </c>
      <c r="F6252" t="s">
        <v>4754</v>
      </c>
      <c r="G6252">
        <v>2497</v>
      </c>
      <c r="H6252">
        <v>56.23</v>
      </c>
      <c r="I6252" t="s">
        <v>4744</v>
      </c>
      <c r="J6252" t="s">
        <v>5191</v>
      </c>
      <c r="K6252" t="s">
        <v>726</v>
      </c>
      <c r="L6252">
        <v>6.12</v>
      </c>
      <c r="M6252" s="452">
        <v>45596</v>
      </c>
      <c r="N6252">
        <v>6.3</v>
      </c>
      <c r="O6252">
        <v>5.57</v>
      </c>
      <c r="P6252">
        <v>344.13</v>
      </c>
    </row>
    <row r="6253" spans="1:16" x14ac:dyDescent="0.3">
      <c r="A6253">
        <v>4731</v>
      </c>
      <c r="B6253">
        <v>105</v>
      </c>
      <c r="C6253" t="s">
        <v>557</v>
      </c>
      <c r="D6253" s="452">
        <v>45597</v>
      </c>
      <c r="E6253">
        <v>24189</v>
      </c>
      <c r="F6253" t="s">
        <v>5532</v>
      </c>
      <c r="G6253">
        <v>2140</v>
      </c>
      <c r="H6253">
        <v>13.85</v>
      </c>
      <c r="I6253" t="s">
        <v>4744</v>
      </c>
      <c r="J6253" t="s">
        <v>5191</v>
      </c>
      <c r="K6253" t="s">
        <v>726</v>
      </c>
      <c r="L6253">
        <v>0</v>
      </c>
      <c r="M6253" s="452">
        <v>45546</v>
      </c>
      <c r="N6253">
        <v>22.4</v>
      </c>
      <c r="O6253">
        <v>22.34</v>
      </c>
      <c r="P6253">
        <v>310.24</v>
      </c>
    </row>
    <row r="6254" spans="1:16" x14ac:dyDescent="0.3">
      <c r="A6254">
        <v>4718</v>
      </c>
      <c r="B6254">
        <v>105</v>
      </c>
      <c r="C6254" t="s">
        <v>557</v>
      </c>
      <c r="D6254" s="452">
        <v>45597</v>
      </c>
      <c r="E6254">
        <v>20809</v>
      </c>
      <c r="F6254" t="s">
        <v>4822</v>
      </c>
      <c r="G6254">
        <v>2074</v>
      </c>
      <c r="H6254">
        <v>14</v>
      </c>
      <c r="I6254" t="s">
        <v>4738</v>
      </c>
      <c r="J6254" t="s">
        <v>5191</v>
      </c>
      <c r="K6254" t="s">
        <v>726</v>
      </c>
      <c r="L6254">
        <v>21.64</v>
      </c>
      <c r="M6254" s="452">
        <v>45593</v>
      </c>
      <c r="N6254">
        <v>21.7</v>
      </c>
      <c r="O6254">
        <v>21.96</v>
      </c>
      <c r="P6254">
        <v>302.95999999999998</v>
      </c>
    </row>
    <row r="6255" spans="1:16" x14ac:dyDescent="0.3">
      <c r="A6255">
        <v>4643</v>
      </c>
      <c r="B6255">
        <v>105</v>
      </c>
      <c r="C6255" t="s">
        <v>557</v>
      </c>
      <c r="D6255" s="452">
        <v>45597</v>
      </c>
      <c r="E6255">
        <v>24470</v>
      </c>
      <c r="F6255" t="s">
        <v>4752</v>
      </c>
      <c r="G6255">
        <v>3103</v>
      </c>
      <c r="H6255">
        <v>68</v>
      </c>
      <c r="I6255" t="s">
        <v>4736</v>
      </c>
      <c r="J6255" t="s">
        <v>5222</v>
      </c>
      <c r="K6255" t="s">
        <v>726</v>
      </c>
      <c r="L6255">
        <v>0</v>
      </c>
      <c r="M6255" s="452">
        <v>45404</v>
      </c>
      <c r="N6255">
        <v>4.41</v>
      </c>
      <c r="O6255">
        <v>5.69</v>
      </c>
      <c r="P6255">
        <v>299.88</v>
      </c>
    </row>
    <row r="6256" spans="1:16" x14ac:dyDescent="0.3">
      <c r="A6256">
        <v>4781</v>
      </c>
      <c r="B6256">
        <v>105</v>
      </c>
      <c r="C6256" t="s">
        <v>557</v>
      </c>
      <c r="D6256" s="452">
        <v>45597</v>
      </c>
      <c r="E6256">
        <v>20443</v>
      </c>
      <c r="F6256" t="s">
        <v>5640</v>
      </c>
      <c r="G6256">
        <v>2174</v>
      </c>
      <c r="H6256">
        <v>5.25</v>
      </c>
      <c r="I6256" t="s">
        <v>4744</v>
      </c>
      <c r="J6256" t="s">
        <v>5191</v>
      </c>
      <c r="K6256" t="s">
        <v>726</v>
      </c>
      <c r="L6256">
        <v>56</v>
      </c>
      <c r="M6256" s="452">
        <v>45587</v>
      </c>
      <c r="N6256">
        <v>56</v>
      </c>
      <c r="O6256">
        <v>56</v>
      </c>
      <c r="P6256">
        <v>294</v>
      </c>
    </row>
    <row r="6257" spans="1:16" x14ac:dyDescent="0.3">
      <c r="A6257">
        <v>4909</v>
      </c>
      <c r="B6257">
        <v>105</v>
      </c>
      <c r="C6257" t="s">
        <v>557</v>
      </c>
      <c r="D6257" s="452">
        <v>45597</v>
      </c>
      <c r="E6257">
        <v>24252</v>
      </c>
      <c r="F6257" t="s">
        <v>5676</v>
      </c>
      <c r="G6257">
        <v>2993</v>
      </c>
      <c r="H6257">
        <v>4.26</v>
      </c>
      <c r="I6257" t="s">
        <v>4744</v>
      </c>
      <c r="J6257" t="s">
        <v>5191</v>
      </c>
      <c r="K6257" t="s">
        <v>726</v>
      </c>
      <c r="L6257">
        <v>0</v>
      </c>
      <c r="M6257" s="452">
        <v>45552</v>
      </c>
      <c r="N6257">
        <v>67.900000000000006</v>
      </c>
      <c r="O6257">
        <v>67.900000000000006</v>
      </c>
      <c r="P6257">
        <v>289.25</v>
      </c>
    </row>
    <row r="6258" spans="1:16" x14ac:dyDescent="0.3">
      <c r="A6258">
        <v>4681</v>
      </c>
      <c r="B6258">
        <v>105</v>
      </c>
      <c r="C6258" t="s">
        <v>557</v>
      </c>
      <c r="D6258" s="452">
        <v>45597</v>
      </c>
      <c r="E6258">
        <v>18129</v>
      </c>
      <c r="F6258" t="s">
        <v>5043</v>
      </c>
      <c r="G6258">
        <v>3486</v>
      </c>
      <c r="H6258">
        <v>2.4500000000000002</v>
      </c>
      <c r="I6258" t="s">
        <v>4805</v>
      </c>
      <c r="J6258" t="s">
        <v>5222</v>
      </c>
      <c r="K6258" t="s">
        <v>726</v>
      </c>
      <c r="L6258">
        <v>116.9</v>
      </c>
      <c r="M6258" s="452">
        <v>45574</v>
      </c>
      <c r="N6258">
        <v>116.9</v>
      </c>
      <c r="O6258">
        <v>118.9</v>
      </c>
      <c r="P6258">
        <v>286.41000000000003</v>
      </c>
    </row>
    <row r="6259" spans="1:16" x14ac:dyDescent="0.3">
      <c r="A6259">
        <v>4791</v>
      </c>
      <c r="B6259">
        <v>105</v>
      </c>
      <c r="C6259" t="s">
        <v>557</v>
      </c>
      <c r="D6259" s="452">
        <v>45597</v>
      </c>
      <c r="E6259">
        <v>20623</v>
      </c>
      <c r="F6259" t="s">
        <v>4814</v>
      </c>
      <c r="G6259">
        <v>2116</v>
      </c>
      <c r="H6259">
        <v>27</v>
      </c>
      <c r="I6259" t="s">
        <v>4736</v>
      </c>
      <c r="J6259" t="s">
        <v>5191</v>
      </c>
      <c r="K6259" t="s">
        <v>726</v>
      </c>
      <c r="L6259">
        <v>10.25</v>
      </c>
      <c r="M6259" s="452">
        <v>45596</v>
      </c>
      <c r="N6259">
        <v>10.25</v>
      </c>
      <c r="O6259">
        <v>10.25</v>
      </c>
      <c r="P6259">
        <v>276.75</v>
      </c>
    </row>
    <row r="6260" spans="1:16" x14ac:dyDescent="0.3">
      <c r="A6260">
        <v>4896</v>
      </c>
      <c r="B6260">
        <v>105</v>
      </c>
      <c r="C6260" t="s">
        <v>557</v>
      </c>
      <c r="D6260" s="452">
        <v>45597</v>
      </c>
      <c r="E6260">
        <v>24809</v>
      </c>
      <c r="F6260" t="s">
        <v>5669</v>
      </c>
      <c r="G6260">
        <v>5770</v>
      </c>
      <c r="H6260">
        <v>1.7</v>
      </c>
      <c r="I6260" t="s">
        <v>4744</v>
      </c>
      <c r="J6260" t="s">
        <v>5191</v>
      </c>
      <c r="K6260" t="s">
        <v>726</v>
      </c>
      <c r="L6260">
        <v>0</v>
      </c>
      <c r="M6260" s="452">
        <v>-693593</v>
      </c>
      <c r="N6260">
        <v>0</v>
      </c>
      <c r="O6260">
        <v>160</v>
      </c>
      <c r="P6260">
        <v>272</v>
      </c>
    </row>
    <row r="6261" spans="1:16" x14ac:dyDescent="0.3">
      <c r="A6261">
        <v>4695</v>
      </c>
      <c r="B6261">
        <v>105</v>
      </c>
      <c r="C6261" t="s">
        <v>557</v>
      </c>
      <c r="D6261" s="452">
        <v>45597</v>
      </c>
      <c r="E6261">
        <v>18042</v>
      </c>
      <c r="F6261" t="s">
        <v>5657</v>
      </c>
      <c r="G6261">
        <v>3558</v>
      </c>
      <c r="H6261">
        <v>3.75</v>
      </c>
      <c r="I6261" t="s">
        <v>4805</v>
      </c>
      <c r="J6261" t="s">
        <v>5222</v>
      </c>
      <c r="K6261" t="s">
        <v>726</v>
      </c>
      <c r="L6261">
        <v>0</v>
      </c>
      <c r="M6261" s="452">
        <v>45481</v>
      </c>
      <c r="N6261">
        <v>72.5</v>
      </c>
      <c r="O6261">
        <v>70.5</v>
      </c>
      <c r="P6261">
        <v>271.88</v>
      </c>
    </row>
    <row r="6262" spans="1:16" x14ac:dyDescent="0.3">
      <c r="A6262">
        <v>4709</v>
      </c>
      <c r="B6262">
        <v>105</v>
      </c>
      <c r="C6262" t="s">
        <v>557</v>
      </c>
      <c r="D6262" s="452">
        <v>45597</v>
      </c>
      <c r="E6262">
        <v>20301</v>
      </c>
      <c r="F6262" t="s">
        <v>4944</v>
      </c>
      <c r="G6262">
        <v>2223</v>
      </c>
      <c r="H6262">
        <v>8</v>
      </c>
      <c r="I6262" t="s">
        <v>4738</v>
      </c>
      <c r="J6262" t="s">
        <v>5191</v>
      </c>
      <c r="K6262" t="s">
        <v>726</v>
      </c>
      <c r="L6262">
        <v>32.94</v>
      </c>
      <c r="M6262" s="452">
        <v>45593</v>
      </c>
      <c r="N6262">
        <v>32.92</v>
      </c>
      <c r="O6262">
        <v>32.979999999999997</v>
      </c>
      <c r="P6262">
        <v>263.52</v>
      </c>
    </row>
    <row r="6263" spans="1:16" x14ac:dyDescent="0.3">
      <c r="A6263">
        <v>4950</v>
      </c>
      <c r="B6263">
        <v>105</v>
      </c>
      <c r="C6263" t="s">
        <v>557</v>
      </c>
      <c r="D6263" s="452">
        <v>45597</v>
      </c>
      <c r="E6263">
        <v>17674</v>
      </c>
      <c r="F6263" t="s">
        <v>5666</v>
      </c>
      <c r="G6263">
        <v>3855</v>
      </c>
      <c r="H6263">
        <v>3.75</v>
      </c>
      <c r="I6263" t="s">
        <v>4805</v>
      </c>
      <c r="J6263" t="s">
        <v>5222</v>
      </c>
      <c r="K6263" t="s">
        <v>726</v>
      </c>
      <c r="L6263">
        <v>69.650000000000006</v>
      </c>
      <c r="M6263" s="452">
        <v>45595</v>
      </c>
      <c r="N6263">
        <v>69.650000000000006</v>
      </c>
      <c r="O6263">
        <v>69.650000000000006</v>
      </c>
      <c r="P6263">
        <v>261.19</v>
      </c>
    </row>
    <row r="6264" spans="1:16" x14ac:dyDescent="0.3">
      <c r="A6264">
        <v>4673</v>
      </c>
      <c r="B6264">
        <v>105</v>
      </c>
      <c r="C6264" t="s">
        <v>557</v>
      </c>
      <c r="D6264" s="452">
        <v>45597</v>
      </c>
      <c r="E6264">
        <v>18219</v>
      </c>
      <c r="F6264" t="s">
        <v>4972</v>
      </c>
      <c r="G6264">
        <v>3409</v>
      </c>
      <c r="H6264">
        <v>0.9</v>
      </c>
      <c r="I6264" t="s">
        <v>4805</v>
      </c>
      <c r="J6264" t="s">
        <v>5222</v>
      </c>
      <c r="K6264" t="s">
        <v>726</v>
      </c>
      <c r="L6264">
        <v>0</v>
      </c>
      <c r="M6264" s="452">
        <v>45546</v>
      </c>
      <c r="N6264">
        <v>289.89999999999998</v>
      </c>
      <c r="O6264">
        <v>295.89999999999998</v>
      </c>
      <c r="P6264">
        <v>260.91000000000003</v>
      </c>
    </row>
    <row r="6265" spans="1:16" x14ac:dyDescent="0.3">
      <c r="A6265">
        <v>4832</v>
      </c>
      <c r="B6265">
        <v>105</v>
      </c>
      <c r="C6265" t="s">
        <v>557</v>
      </c>
      <c r="D6265" s="452">
        <v>45597</v>
      </c>
      <c r="E6265">
        <v>24683</v>
      </c>
      <c r="F6265" t="s">
        <v>5167</v>
      </c>
      <c r="G6265">
        <v>5713</v>
      </c>
      <c r="H6265">
        <v>2</v>
      </c>
      <c r="I6265" t="s">
        <v>4879</v>
      </c>
      <c r="J6265" t="s">
        <v>5191</v>
      </c>
      <c r="K6265" t="s">
        <v>726</v>
      </c>
      <c r="L6265">
        <v>0</v>
      </c>
      <c r="M6265" s="452">
        <v>-693593</v>
      </c>
      <c r="N6265">
        <v>0</v>
      </c>
      <c r="O6265">
        <v>129.9</v>
      </c>
      <c r="P6265">
        <v>259.8</v>
      </c>
    </row>
    <row r="6266" spans="1:16" x14ac:dyDescent="0.3">
      <c r="A6266">
        <v>4676</v>
      </c>
      <c r="B6266">
        <v>105</v>
      </c>
      <c r="C6266" t="s">
        <v>557</v>
      </c>
      <c r="D6266" s="452">
        <v>45597</v>
      </c>
      <c r="E6266">
        <v>18194</v>
      </c>
      <c r="F6266" t="s">
        <v>4923</v>
      </c>
      <c r="G6266">
        <v>3430</v>
      </c>
      <c r="H6266">
        <v>3.6</v>
      </c>
      <c r="I6266" t="s">
        <v>4805</v>
      </c>
      <c r="J6266" t="s">
        <v>5222</v>
      </c>
      <c r="K6266" t="s">
        <v>726</v>
      </c>
      <c r="L6266">
        <v>69.23</v>
      </c>
      <c r="M6266" s="452">
        <v>45595</v>
      </c>
      <c r="N6266">
        <v>68.900000000000006</v>
      </c>
      <c r="O6266">
        <v>68.900000000000006</v>
      </c>
      <c r="P6266">
        <v>249.23</v>
      </c>
    </row>
    <row r="6267" spans="1:16" x14ac:dyDescent="0.3">
      <c r="A6267">
        <v>4948</v>
      </c>
      <c r="B6267">
        <v>105</v>
      </c>
      <c r="C6267" t="s">
        <v>557</v>
      </c>
      <c r="D6267" s="452">
        <v>45597</v>
      </c>
      <c r="E6267">
        <v>17578</v>
      </c>
      <c r="F6267" t="s">
        <v>4842</v>
      </c>
      <c r="G6267">
        <v>3948</v>
      </c>
      <c r="H6267">
        <v>3</v>
      </c>
      <c r="I6267" t="s">
        <v>4805</v>
      </c>
      <c r="J6267" t="s">
        <v>5222</v>
      </c>
      <c r="K6267" t="s">
        <v>726</v>
      </c>
      <c r="L6267">
        <v>0</v>
      </c>
      <c r="M6267" s="452">
        <v>45554</v>
      </c>
      <c r="N6267">
        <v>82.38</v>
      </c>
      <c r="O6267">
        <v>82.38</v>
      </c>
      <c r="P6267">
        <v>247.13</v>
      </c>
    </row>
    <row r="6268" spans="1:16" x14ac:dyDescent="0.3">
      <c r="A6268">
        <v>4904</v>
      </c>
      <c r="B6268">
        <v>105</v>
      </c>
      <c r="C6268" t="s">
        <v>557</v>
      </c>
      <c r="D6268" s="452">
        <v>45597</v>
      </c>
      <c r="E6268">
        <v>24199</v>
      </c>
      <c r="F6268" t="s">
        <v>4783</v>
      </c>
      <c r="G6268">
        <v>5084</v>
      </c>
      <c r="H6268">
        <v>7.05</v>
      </c>
      <c r="I6268" t="s">
        <v>4744</v>
      </c>
      <c r="J6268" t="s">
        <v>5191</v>
      </c>
      <c r="K6268" t="s">
        <v>726</v>
      </c>
      <c r="L6268">
        <v>0</v>
      </c>
      <c r="M6268" s="452">
        <v>45540</v>
      </c>
      <c r="N6268">
        <v>34.9</v>
      </c>
      <c r="O6268">
        <v>24.8</v>
      </c>
      <c r="P6268">
        <v>246.04</v>
      </c>
    </row>
    <row r="6269" spans="1:16" x14ac:dyDescent="0.3">
      <c r="A6269">
        <v>4930</v>
      </c>
      <c r="B6269">
        <v>105</v>
      </c>
      <c r="C6269" t="s">
        <v>557</v>
      </c>
      <c r="D6269" s="452">
        <v>45597</v>
      </c>
      <c r="E6269">
        <v>17958</v>
      </c>
      <c r="F6269" t="s">
        <v>5076</v>
      </c>
      <c r="G6269">
        <v>3622</v>
      </c>
      <c r="H6269">
        <v>16</v>
      </c>
      <c r="I6269" t="s">
        <v>4738</v>
      </c>
      <c r="J6269" t="s">
        <v>5222</v>
      </c>
      <c r="K6269" t="s">
        <v>726</v>
      </c>
      <c r="L6269">
        <v>0</v>
      </c>
      <c r="M6269" s="452">
        <v>45554</v>
      </c>
      <c r="N6269">
        <v>14.76</v>
      </c>
      <c r="O6269">
        <v>14.76</v>
      </c>
      <c r="P6269">
        <v>236.16</v>
      </c>
    </row>
    <row r="6270" spans="1:16" x14ac:dyDescent="0.3">
      <c r="A6270">
        <v>4642</v>
      </c>
      <c r="B6270">
        <v>105</v>
      </c>
      <c r="C6270" t="s">
        <v>557</v>
      </c>
      <c r="D6270" s="452">
        <v>45597</v>
      </c>
      <c r="E6270">
        <v>24192</v>
      </c>
      <c r="F6270" t="s">
        <v>4772</v>
      </c>
      <c r="G6270">
        <v>3099</v>
      </c>
      <c r="H6270">
        <v>46</v>
      </c>
      <c r="I6270" t="s">
        <v>4736</v>
      </c>
      <c r="J6270" t="s">
        <v>5222</v>
      </c>
      <c r="K6270" t="s">
        <v>726</v>
      </c>
      <c r="L6270">
        <v>0</v>
      </c>
      <c r="M6270" s="452">
        <v>45546</v>
      </c>
      <c r="N6270">
        <v>5.0999999999999996</v>
      </c>
      <c r="O6270">
        <v>5.3</v>
      </c>
      <c r="P6270">
        <v>234.75</v>
      </c>
    </row>
    <row r="6271" spans="1:16" x14ac:dyDescent="0.3">
      <c r="A6271">
        <v>4951</v>
      </c>
      <c r="B6271">
        <v>105</v>
      </c>
      <c r="C6271" t="s">
        <v>557</v>
      </c>
      <c r="D6271" s="452">
        <v>45597</v>
      </c>
      <c r="E6271">
        <v>17649</v>
      </c>
      <c r="F6271" t="s">
        <v>5663</v>
      </c>
      <c r="G6271">
        <v>3880</v>
      </c>
      <c r="H6271">
        <v>5.0999999999999996</v>
      </c>
      <c r="I6271" t="s">
        <v>4805</v>
      </c>
      <c r="J6271" t="s">
        <v>5222</v>
      </c>
      <c r="K6271" t="s">
        <v>726</v>
      </c>
      <c r="L6271">
        <v>46</v>
      </c>
      <c r="M6271" s="452">
        <v>45596</v>
      </c>
      <c r="N6271">
        <v>46</v>
      </c>
      <c r="O6271">
        <v>46</v>
      </c>
      <c r="P6271">
        <v>234.6</v>
      </c>
    </row>
    <row r="6272" spans="1:16" x14ac:dyDescent="0.3">
      <c r="A6272">
        <v>6648</v>
      </c>
      <c r="B6272">
        <v>105</v>
      </c>
      <c r="C6272" t="s">
        <v>557</v>
      </c>
      <c r="D6272" s="452">
        <v>45597</v>
      </c>
      <c r="E6272">
        <v>25445</v>
      </c>
      <c r="F6272" t="s">
        <v>5711</v>
      </c>
      <c r="G6272">
        <v>6113</v>
      </c>
      <c r="H6272">
        <v>0.75</v>
      </c>
      <c r="I6272" t="s">
        <v>4805</v>
      </c>
      <c r="J6272" t="s">
        <v>5222</v>
      </c>
      <c r="K6272" t="s">
        <v>726</v>
      </c>
      <c r="L6272">
        <v>0</v>
      </c>
      <c r="M6272" s="452">
        <v>-693593</v>
      </c>
      <c r="N6272">
        <v>0</v>
      </c>
      <c r="O6272">
        <v>305.89999999999998</v>
      </c>
      <c r="P6272">
        <v>229.42</v>
      </c>
    </row>
    <row r="6273" spans="1:16" x14ac:dyDescent="0.3">
      <c r="A6273">
        <v>4646</v>
      </c>
      <c r="B6273">
        <v>105</v>
      </c>
      <c r="C6273" t="s">
        <v>557</v>
      </c>
      <c r="D6273" s="452">
        <v>45597</v>
      </c>
      <c r="E6273">
        <v>18547</v>
      </c>
      <c r="F6273" t="s">
        <v>4863</v>
      </c>
      <c r="G6273">
        <v>3132</v>
      </c>
      <c r="H6273">
        <v>5.75</v>
      </c>
      <c r="I6273" t="s">
        <v>4805</v>
      </c>
      <c r="J6273" t="s">
        <v>5222</v>
      </c>
      <c r="K6273" t="s">
        <v>726</v>
      </c>
      <c r="L6273">
        <v>38.65</v>
      </c>
      <c r="M6273" s="452">
        <v>45596</v>
      </c>
      <c r="N6273">
        <v>37.5</v>
      </c>
      <c r="O6273">
        <v>37.5</v>
      </c>
      <c r="P6273">
        <v>222.24</v>
      </c>
    </row>
    <row r="6274" spans="1:16" x14ac:dyDescent="0.3">
      <c r="A6274">
        <v>4929</v>
      </c>
      <c r="B6274">
        <v>105</v>
      </c>
      <c r="C6274" t="s">
        <v>557</v>
      </c>
      <c r="D6274" s="452">
        <v>45597</v>
      </c>
      <c r="E6274">
        <v>17950</v>
      </c>
      <c r="F6274" t="s">
        <v>5091</v>
      </c>
      <c r="G6274">
        <v>3626</v>
      </c>
      <c r="H6274">
        <v>14</v>
      </c>
      <c r="I6274" t="s">
        <v>4738</v>
      </c>
      <c r="J6274" t="s">
        <v>5222</v>
      </c>
      <c r="K6274" t="s">
        <v>726</v>
      </c>
      <c r="L6274">
        <v>0</v>
      </c>
      <c r="M6274" s="452">
        <v>45554</v>
      </c>
      <c r="N6274">
        <v>15.84</v>
      </c>
      <c r="O6274">
        <v>15.84</v>
      </c>
      <c r="P6274">
        <v>221.76</v>
      </c>
    </row>
    <row r="6275" spans="1:16" x14ac:dyDescent="0.3">
      <c r="A6275">
        <v>4713</v>
      </c>
      <c r="B6275">
        <v>105</v>
      </c>
      <c r="C6275" t="s">
        <v>557</v>
      </c>
      <c r="D6275" s="452">
        <v>45597</v>
      </c>
      <c r="E6275">
        <v>20752</v>
      </c>
      <c r="F6275" t="s">
        <v>5660</v>
      </c>
      <c r="G6275">
        <v>2088</v>
      </c>
      <c r="H6275">
        <v>2</v>
      </c>
      <c r="I6275" t="s">
        <v>4879</v>
      </c>
      <c r="J6275" t="s">
        <v>5191</v>
      </c>
      <c r="K6275" t="s">
        <v>726</v>
      </c>
      <c r="L6275">
        <v>0</v>
      </c>
      <c r="M6275" s="452">
        <v>45548</v>
      </c>
      <c r="N6275">
        <v>109.9</v>
      </c>
      <c r="O6275">
        <v>92.6</v>
      </c>
      <c r="P6275">
        <v>219.8</v>
      </c>
    </row>
    <row r="6276" spans="1:16" x14ac:dyDescent="0.3">
      <c r="A6276">
        <v>4656</v>
      </c>
      <c r="B6276">
        <v>105</v>
      </c>
      <c r="C6276" t="s">
        <v>557</v>
      </c>
      <c r="D6276" s="452">
        <v>45597</v>
      </c>
      <c r="E6276">
        <v>18394</v>
      </c>
      <c r="F6276" t="s">
        <v>5032</v>
      </c>
      <c r="G6276">
        <v>3246</v>
      </c>
      <c r="H6276">
        <v>1.2</v>
      </c>
      <c r="I6276" t="s">
        <v>4805</v>
      </c>
      <c r="J6276" t="s">
        <v>5222</v>
      </c>
      <c r="K6276" t="s">
        <v>726</v>
      </c>
      <c r="L6276">
        <v>182</v>
      </c>
      <c r="M6276" s="452">
        <v>45589</v>
      </c>
      <c r="N6276">
        <v>182</v>
      </c>
      <c r="O6276">
        <v>179.9</v>
      </c>
      <c r="P6276">
        <v>218.4</v>
      </c>
    </row>
    <row r="6277" spans="1:16" x14ac:dyDescent="0.3">
      <c r="A6277">
        <v>4945</v>
      </c>
      <c r="B6277">
        <v>105</v>
      </c>
      <c r="C6277" t="s">
        <v>557</v>
      </c>
      <c r="D6277" s="452">
        <v>45597</v>
      </c>
      <c r="E6277">
        <v>17784</v>
      </c>
      <c r="F6277" t="s">
        <v>5694</v>
      </c>
      <c r="G6277">
        <v>3760</v>
      </c>
      <c r="H6277">
        <v>4.7</v>
      </c>
      <c r="I6277" t="s">
        <v>4805</v>
      </c>
      <c r="J6277" t="s">
        <v>5222</v>
      </c>
      <c r="K6277" t="s">
        <v>726</v>
      </c>
      <c r="L6277">
        <v>46</v>
      </c>
      <c r="M6277" s="452">
        <v>45589</v>
      </c>
      <c r="N6277">
        <v>46</v>
      </c>
      <c r="O6277">
        <v>46</v>
      </c>
      <c r="P6277">
        <v>216.2</v>
      </c>
    </row>
    <row r="6278" spans="1:16" x14ac:dyDescent="0.3">
      <c r="A6278">
        <v>4788</v>
      </c>
      <c r="B6278">
        <v>105</v>
      </c>
      <c r="C6278" t="s">
        <v>557</v>
      </c>
      <c r="D6278" s="452">
        <v>45597</v>
      </c>
      <c r="E6278">
        <v>21000</v>
      </c>
      <c r="F6278" t="s">
        <v>4818</v>
      </c>
      <c r="G6278">
        <v>2008</v>
      </c>
      <c r="H6278">
        <v>15</v>
      </c>
      <c r="I6278" t="s">
        <v>4736</v>
      </c>
      <c r="J6278" t="s">
        <v>5191</v>
      </c>
      <c r="K6278" t="s">
        <v>726</v>
      </c>
      <c r="L6278">
        <v>14.26</v>
      </c>
      <c r="M6278" s="452">
        <v>45593</v>
      </c>
      <c r="N6278">
        <v>15.9</v>
      </c>
      <c r="O6278">
        <v>15.9</v>
      </c>
      <c r="P6278">
        <v>213.9</v>
      </c>
    </row>
    <row r="6279" spans="1:16" x14ac:dyDescent="0.3">
      <c r="A6279">
        <v>6655</v>
      </c>
      <c r="B6279">
        <v>105</v>
      </c>
      <c r="C6279" t="s">
        <v>557</v>
      </c>
      <c r="D6279" s="452">
        <v>45597</v>
      </c>
      <c r="E6279">
        <v>23749</v>
      </c>
      <c r="F6279" t="s">
        <v>5712</v>
      </c>
      <c r="G6279">
        <v>2146</v>
      </c>
      <c r="H6279">
        <v>10.050000000000001</v>
      </c>
      <c r="I6279" t="s">
        <v>4744</v>
      </c>
      <c r="J6279" t="s">
        <v>5191</v>
      </c>
      <c r="K6279" t="s">
        <v>726</v>
      </c>
      <c r="L6279">
        <v>0</v>
      </c>
      <c r="M6279" s="452">
        <v>-693593</v>
      </c>
      <c r="N6279">
        <v>0</v>
      </c>
      <c r="O6279">
        <v>20.99</v>
      </c>
      <c r="P6279">
        <v>210.95</v>
      </c>
    </row>
    <row r="6280" spans="1:16" x14ac:dyDescent="0.3">
      <c r="A6280">
        <v>4937</v>
      </c>
      <c r="B6280">
        <v>105</v>
      </c>
      <c r="C6280" t="s">
        <v>557</v>
      </c>
      <c r="D6280" s="452">
        <v>45597</v>
      </c>
      <c r="E6280">
        <v>17905</v>
      </c>
      <c r="F6280" t="s">
        <v>5085</v>
      </c>
      <c r="G6280">
        <v>3656</v>
      </c>
      <c r="H6280">
        <v>8</v>
      </c>
      <c r="I6280" t="s">
        <v>4738</v>
      </c>
      <c r="J6280" t="s">
        <v>5222</v>
      </c>
      <c r="K6280" t="s">
        <v>726</v>
      </c>
      <c r="L6280">
        <v>0</v>
      </c>
      <c r="M6280" s="452">
        <v>45553</v>
      </c>
      <c r="N6280">
        <v>26.28</v>
      </c>
      <c r="O6280">
        <v>26.28</v>
      </c>
      <c r="P6280">
        <v>210.24</v>
      </c>
    </row>
    <row r="6281" spans="1:16" x14ac:dyDescent="0.3">
      <c r="A6281">
        <v>4739</v>
      </c>
      <c r="B6281">
        <v>105</v>
      </c>
      <c r="C6281" t="s">
        <v>557</v>
      </c>
      <c r="D6281" s="452">
        <v>45597</v>
      </c>
      <c r="E6281">
        <v>25167</v>
      </c>
      <c r="F6281" t="s">
        <v>4758</v>
      </c>
      <c r="G6281">
        <v>5930</v>
      </c>
      <c r="H6281">
        <v>15</v>
      </c>
      <c r="I6281" t="s">
        <v>4744</v>
      </c>
      <c r="J6281" t="s">
        <v>5191</v>
      </c>
      <c r="K6281" t="s">
        <v>726</v>
      </c>
      <c r="L6281">
        <v>14</v>
      </c>
      <c r="M6281" s="452">
        <v>45579</v>
      </c>
      <c r="N6281">
        <v>14</v>
      </c>
      <c r="O6281">
        <v>19.5</v>
      </c>
      <c r="P6281">
        <v>210</v>
      </c>
    </row>
    <row r="6282" spans="1:16" x14ac:dyDescent="0.3">
      <c r="A6282">
        <v>4703</v>
      </c>
      <c r="B6282">
        <v>105</v>
      </c>
      <c r="C6282" t="s">
        <v>557</v>
      </c>
      <c r="D6282" s="452">
        <v>45597</v>
      </c>
      <c r="E6282">
        <v>20757</v>
      </c>
      <c r="F6282" t="s">
        <v>5176</v>
      </c>
      <c r="G6282">
        <v>2086</v>
      </c>
      <c r="H6282">
        <v>2.7</v>
      </c>
      <c r="I6282" t="s">
        <v>4884</v>
      </c>
      <c r="J6282" t="s">
        <v>5191</v>
      </c>
      <c r="K6282" t="s">
        <v>726</v>
      </c>
      <c r="L6282">
        <v>0</v>
      </c>
      <c r="M6282" s="452">
        <v>45546</v>
      </c>
      <c r="N6282">
        <v>77.400000000000006</v>
      </c>
      <c r="O6282">
        <v>75.2</v>
      </c>
      <c r="P6282">
        <v>208.98</v>
      </c>
    </row>
    <row r="6283" spans="1:16" x14ac:dyDescent="0.3">
      <c r="A6283">
        <v>4944</v>
      </c>
      <c r="B6283">
        <v>105</v>
      </c>
      <c r="C6283" t="s">
        <v>557</v>
      </c>
      <c r="D6283" s="452">
        <v>45597</v>
      </c>
      <c r="E6283">
        <v>17790</v>
      </c>
      <c r="F6283" t="s">
        <v>5530</v>
      </c>
      <c r="G6283">
        <v>3754</v>
      </c>
      <c r="H6283">
        <v>3</v>
      </c>
      <c r="I6283" t="s">
        <v>4805</v>
      </c>
      <c r="J6283" t="s">
        <v>5222</v>
      </c>
      <c r="K6283" t="s">
        <v>726</v>
      </c>
      <c r="L6283">
        <v>0</v>
      </c>
      <c r="M6283" s="452">
        <v>45554</v>
      </c>
      <c r="N6283">
        <v>69.650000000000006</v>
      </c>
      <c r="O6283">
        <v>69.650000000000006</v>
      </c>
      <c r="P6283">
        <v>208.95</v>
      </c>
    </row>
    <row r="6284" spans="1:16" x14ac:dyDescent="0.3">
      <c r="A6284">
        <v>4925</v>
      </c>
      <c r="B6284">
        <v>105</v>
      </c>
      <c r="C6284" t="s">
        <v>557</v>
      </c>
      <c r="D6284" s="452">
        <v>45597</v>
      </c>
      <c r="E6284">
        <v>25136</v>
      </c>
      <c r="F6284" t="s">
        <v>5659</v>
      </c>
      <c r="G6284">
        <v>5917</v>
      </c>
      <c r="H6284">
        <v>2.1</v>
      </c>
      <c r="I6284" t="s">
        <v>4744</v>
      </c>
      <c r="J6284" t="s">
        <v>5191</v>
      </c>
      <c r="K6284" t="s">
        <v>726</v>
      </c>
      <c r="L6284">
        <v>0</v>
      </c>
      <c r="M6284" s="452">
        <v>-693593</v>
      </c>
      <c r="N6284">
        <v>0</v>
      </c>
      <c r="O6284">
        <v>0</v>
      </c>
      <c r="P6284">
        <v>207.9</v>
      </c>
    </row>
    <row r="6285" spans="1:16" x14ac:dyDescent="0.3">
      <c r="A6285">
        <v>4892</v>
      </c>
      <c r="B6285">
        <v>105</v>
      </c>
      <c r="C6285" t="s">
        <v>557</v>
      </c>
      <c r="D6285" s="452">
        <v>45597</v>
      </c>
      <c r="E6285">
        <v>19092</v>
      </c>
      <c r="F6285" t="s">
        <v>5627</v>
      </c>
      <c r="G6285">
        <v>2855</v>
      </c>
      <c r="H6285">
        <v>95</v>
      </c>
      <c r="I6285" t="s">
        <v>4736</v>
      </c>
      <c r="J6285" t="s">
        <v>5191</v>
      </c>
      <c r="K6285" t="s">
        <v>726</v>
      </c>
      <c r="L6285">
        <v>0</v>
      </c>
      <c r="M6285" s="452">
        <v>-693593</v>
      </c>
      <c r="N6285">
        <v>0</v>
      </c>
      <c r="O6285">
        <v>2.16</v>
      </c>
      <c r="P6285">
        <v>205.2</v>
      </c>
    </row>
    <row r="6286" spans="1:16" x14ac:dyDescent="0.3">
      <c r="A6286">
        <v>4691</v>
      </c>
      <c r="B6286">
        <v>105</v>
      </c>
      <c r="C6286" t="s">
        <v>557</v>
      </c>
      <c r="D6286" s="452">
        <v>45597</v>
      </c>
      <c r="E6286">
        <v>21150</v>
      </c>
      <c r="F6286" t="s">
        <v>4878</v>
      </c>
      <c r="G6286">
        <v>1951</v>
      </c>
      <c r="H6286">
        <v>1.9</v>
      </c>
      <c r="I6286" t="s">
        <v>4879</v>
      </c>
      <c r="J6286" t="s">
        <v>5191</v>
      </c>
      <c r="K6286" t="s">
        <v>726</v>
      </c>
      <c r="L6286">
        <v>0</v>
      </c>
      <c r="M6286" s="452">
        <v>45469</v>
      </c>
      <c r="N6286">
        <v>106.9</v>
      </c>
      <c r="O6286">
        <v>38.9</v>
      </c>
      <c r="P6286">
        <v>203.11</v>
      </c>
    </row>
    <row r="6287" spans="1:16" x14ac:dyDescent="0.3">
      <c r="A6287">
        <v>4949</v>
      </c>
      <c r="B6287">
        <v>105</v>
      </c>
      <c r="C6287" t="s">
        <v>557</v>
      </c>
      <c r="D6287" s="452">
        <v>45597</v>
      </c>
      <c r="E6287">
        <v>17737</v>
      </c>
      <c r="F6287" t="s">
        <v>5671</v>
      </c>
      <c r="G6287">
        <v>3805</v>
      </c>
      <c r="H6287">
        <v>3.75</v>
      </c>
      <c r="I6287" t="s">
        <v>4805</v>
      </c>
      <c r="J6287" t="s">
        <v>5222</v>
      </c>
      <c r="K6287" t="s">
        <v>726</v>
      </c>
      <c r="L6287">
        <v>52.61</v>
      </c>
      <c r="M6287" s="452">
        <v>45595</v>
      </c>
      <c r="N6287">
        <v>52.61</v>
      </c>
      <c r="O6287">
        <v>52.61</v>
      </c>
      <c r="P6287">
        <v>197.29</v>
      </c>
    </row>
    <row r="6288" spans="1:16" x14ac:dyDescent="0.3">
      <c r="A6288">
        <v>4879</v>
      </c>
      <c r="B6288">
        <v>105</v>
      </c>
      <c r="C6288" t="s">
        <v>557</v>
      </c>
      <c r="D6288" s="452">
        <v>45597</v>
      </c>
      <c r="E6288">
        <v>19439</v>
      </c>
      <c r="F6288" t="s">
        <v>4917</v>
      </c>
      <c r="G6288">
        <v>2756</v>
      </c>
      <c r="H6288">
        <v>6</v>
      </c>
      <c r="I6288" t="s">
        <v>4744</v>
      </c>
      <c r="J6288" t="s">
        <v>5191</v>
      </c>
      <c r="K6288" t="s">
        <v>726</v>
      </c>
      <c r="L6288">
        <v>32.869999999999997</v>
      </c>
      <c r="M6288" s="452">
        <v>45593</v>
      </c>
      <c r="N6288">
        <v>32.799999999999997</v>
      </c>
      <c r="O6288">
        <v>32.9</v>
      </c>
      <c r="P6288">
        <v>197.22</v>
      </c>
    </row>
    <row r="6289" spans="1:16" x14ac:dyDescent="0.3">
      <c r="A6289">
        <v>4677</v>
      </c>
      <c r="B6289">
        <v>105</v>
      </c>
      <c r="C6289" t="s">
        <v>557</v>
      </c>
      <c r="D6289" s="452">
        <v>45597</v>
      </c>
      <c r="E6289">
        <v>18179</v>
      </c>
      <c r="F6289" t="s">
        <v>4924</v>
      </c>
      <c r="G6289">
        <v>3443</v>
      </c>
      <c r="H6289">
        <v>2.2999999999999998</v>
      </c>
      <c r="I6289" t="s">
        <v>4805</v>
      </c>
      <c r="J6289" t="s">
        <v>5222</v>
      </c>
      <c r="K6289" t="s">
        <v>726</v>
      </c>
      <c r="L6289">
        <v>84.9</v>
      </c>
      <c r="M6289" s="452">
        <v>45579</v>
      </c>
      <c r="N6289">
        <v>84.9</v>
      </c>
      <c r="O6289">
        <v>103.69</v>
      </c>
      <c r="P6289">
        <v>195.27</v>
      </c>
    </row>
    <row r="6290" spans="1:16" x14ac:dyDescent="0.3">
      <c r="A6290">
        <v>4875</v>
      </c>
      <c r="B6290">
        <v>105</v>
      </c>
      <c r="C6290" t="s">
        <v>557</v>
      </c>
      <c r="D6290" s="452">
        <v>45597</v>
      </c>
      <c r="E6290">
        <v>19541</v>
      </c>
      <c r="F6290" t="s">
        <v>5517</v>
      </c>
      <c r="G6290">
        <v>2675</v>
      </c>
      <c r="H6290">
        <v>30.05</v>
      </c>
      <c r="I6290" t="s">
        <v>4744</v>
      </c>
      <c r="J6290" t="s">
        <v>5191</v>
      </c>
      <c r="K6290" t="s">
        <v>726</v>
      </c>
      <c r="L6290">
        <v>6.38</v>
      </c>
      <c r="M6290" s="452">
        <v>45576</v>
      </c>
      <c r="N6290">
        <v>6.1</v>
      </c>
      <c r="O6290">
        <v>5.76</v>
      </c>
      <c r="P6290">
        <v>191.72</v>
      </c>
    </row>
    <row r="6291" spans="1:16" x14ac:dyDescent="0.3">
      <c r="A6291">
        <v>4672</v>
      </c>
      <c r="B6291">
        <v>105</v>
      </c>
      <c r="C6291" t="s">
        <v>557</v>
      </c>
      <c r="D6291" s="452">
        <v>45597</v>
      </c>
      <c r="E6291">
        <v>18220</v>
      </c>
      <c r="F6291" t="s">
        <v>5147</v>
      </c>
      <c r="G6291">
        <v>3408</v>
      </c>
      <c r="H6291">
        <v>1</v>
      </c>
      <c r="I6291" t="s">
        <v>4805</v>
      </c>
      <c r="J6291" t="s">
        <v>5222</v>
      </c>
      <c r="K6291" t="s">
        <v>726</v>
      </c>
      <c r="L6291">
        <v>0</v>
      </c>
      <c r="M6291" s="452">
        <v>45436</v>
      </c>
      <c r="N6291">
        <v>190.7</v>
      </c>
      <c r="O6291">
        <v>159.9</v>
      </c>
      <c r="P6291">
        <v>190.7</v>
      </c>
    </row>
    <row r="6292" spans="1:16" x14ac:dyDescent="0.3">
      <c r="A6292">
        <v>4954</v>
      </c>
      <c r="B6292">
        <v>105</v>
      </c>
      <c r="C6292" t="s">
        <v>557</v>
      </c>
      <c r="D6292" s="452">
        <v>45597</v>
      </c>
      <c r="E6292">
        <v>24618</v>
      </c>
      <c r="F6292" t="s">
        <v>5713</v>
      </c>
      <c r="G6292">
        <v>5680</v>
      </c>
      <c r="H6292">
        <v>1.5</v>
      </c>
      <c r="I6292" t="s">
        <v>4805</v>
      </c>
      <c r="J6292" t="s">
        <v>5222</v>
      </c>
      <c r="K6292" t="s">
        <v>726</v>
      </c>
      <c r="L6292">
        <v>0</v>
      </c>
      <c r="M6292" s="452">
        <v>45436</v>
      </c>
      <c r="N6292">
        <v>123.22</v>
      </c>
      <c r="O6292">
        <v>123.22</v>
      </c>
      <c r="P6292">
        <v>184.83</v>
      </c>
    </row>
    <row r="6293" spans="1:16" x14ac:dyDescent="0.3">
      <c r="A6293">
        <v>4771</v>
      </c>
      <c r="B6293">
        <v>105</v>
      </c>
      <c r="C6293" t="s">
        <v>557</v>
      </c>
      <c r="D6293" s="452">
        <v>45597</v>
      </c>
      <c r="E6293">
        <v>20122</v>
      </c>
      <c r="F6293" t="s">
        <v>4781</v>
      </c>
      <c r="G6293">
        <v>2290</v>
      </c>
      <c r="H6293">
        <v>14</v>
      </c>
      <c r="I6293" t="s">
        <v>4738</v>
      </c>
      <c r="J6293" t="s">
        <v>5191</v>
      </c>
      <c r="K6293" t="s">
        <v>726</v>
      </c>
      <c r="L6293">
        <v>0</v>
      </c>
      <c r="M6293" s="452">
        <v>45554</v>
      </c>
      <c r="N6293">
        <v>13.2</v>
      </c>
      <c r="O6293">
        <v>13.4</v>
      </c>
      <c r="P6293">
        <v>184.8</v>
      </c>
    </row>
    <row r="6294" spans="1:16" x14ac:dyDescent="0.3">
      <c r="A6294">
        <v>4680</v>
      </c>
      <c r="B6294">
        <v>105</v>
      </c>
      <c r="C6294" t="s">
        <v>557</v>
      </c>
      <c r="D6294" s="452">
        <v>45597</v>
      </c>
      <c r="E6294">
        <v>18147</v>
      </c>
      <c r="F6294" t="s">
        <v>5042</v>
      </c>
      <c r="G6294">
        <v>3471</v>
      </c>
      <c r="H6294">
        <v>1.6</v>
      </c>
      <c r="I6294" t="s">
        <v>4805</v>
      </c>
      <c r="J6294" t="s">
        <v>5222</v>
      </c>
      <c r="K6294" t="s">
        <v>726</v>
      </c>
      <c r="L6294">
        <v>0</v>
      </c>
      <c r="M6294" s="452">
        <v>45427</v>
      </c>
      <c r="N6294">
        <v>115</v>
      </c>
      <c r="O6294">
        <v>115</v>
      </c>
      <c r="P6294">
        <v>184</v>
      </c>
    </row>
    <row r="6295" spans="1:16" x14ac:dyDescent="0.3">
      <c r="A6295">
        <v>4918</v>
      </c>
      <c r="B6295">
        <v>105</v>
      </c>
      <c r="C6295" t="s">
        <v>557</v>
      </c>
      <c r="D6295" s="452">
        <v>45597</v>
      </c>
      <c r="E6295">
        <v>24114</v>
      </c>
      <c r="F6295" t="s">
        <v>5714</v>
      </c>
      <c r="G6295">
        <v>2959</v>
      </c>
      <c r="H6295">
        <v>5.55</v>
      </c>
      <c r="I6295" t="s">
        <v>4744</v>
      </c>
      <c r="J6295" t="s">
        <v>5191</v>
      </c>
      <c r="K6295" t="s">
        <v>726</v>
      </c>
      <c r="L6295">
        <v>0</v>
      </c>
      <c r="M6295" s="452">
        <v>45545</v>
      </c>
      <c r="N6295">
        <v>32.9</v>
      </c>
      <c r="O6295">
        <v>32.9</v>
      </c>
      <c r="P6295">
        <v>182.6</v>
      </c>
    </row>
    <row r="6296" spans="1:16" x14ac:dyDescent="0.3">
      <c r="A6296">
        <v>4684</v>
      </c>
      <c r="B6296">
        <v>105</v>
      </c>
      <c r="C6296" t="s">
        <v>557</v>
      </c>
      <c r="D6296" s="452">
        <v>45597</v>
      </c>
      <c r="E6296">
        <v>18114</v>
      </c>
      <c r="F6296" t="s">
        <v>5046</v>
      </c>
      <c r="G6296">
        <v>3498</v>
      </c>
      <c r="H6296">
        <v>0.7</v>
      </c>
      <c r="I6296" t="s">
        <v>4805</v>
      </c>
      <c r="J6296" t="s">
        <v>5222</v>
      </c>
      <c r="K6296" t="s">
        <v>726</v>
      </c>
      <c r="L6296">
        <v>0</v>
      </c>
      <c r="M6296" s="452">
        <v>-693593</v>
      </c>
      <c r="N6296">
        <v>0</v>
      </c>
      <c r="O6296">
        <v>259.83999999999997</v>
      </c>
      <c r="P6296">
        <v>181.89</v>
      </c>
    </row>
    <row r="6297" spans="1:16" x14ac:dyDescent="0.3">
      <c r="A6297">
        <v>4759</v>
      </c>
      <c r="B6297">
        <v>105</v>
      </c>
      <c r="C6297" t="s">
        <v>557</v>
      </c>
      <c r="D6297" s="452">
        <v>45597</v>
      </c>
      <c r="E6297">
        <v>20660</v>
      </c>
      <c r="F6297" t="s">
        <v>5011</v>
      </c>
      <c r="G6297">
        <v>2110</v>
      </c>
      <c r="H6297">
        <v>3</v>
      </c>
      <c r="I6297" t="s">
        <v>4955</v>
      </c>
      <c r="J6297" t="s">
        <v>5191</v>
      </c>
      <c r="K6297" t="s">
        <v>726</v>
      </c>
      <c r="L6297">
        <v>59.48</v>
      </c>
      <c r="M6297" s="452">
        <v>45593</v>
      </c>
      <c r="N6297">
        <v>60.9</v>
      </c>
      <c r="O6297">
        <v>60.82</v>
      </c>
      <c r="P6297">
        <v>178.44</v>
      </c>
    </row>
    <row r="6298" spans="1:16" x14ac:dyDescent="0.3">
      <c r="A6298">
        <v>4775</v>
      </c>
      <c r="B6298">
        <v>105</v>
      </c>
      <c r="C6298" t="s">
        <v>557</v>
      </c>
      <c r="D6298" s="452">
        <v>45597</v>
      </c>
      <c r="E6298">
        <v>20871</v>
      </c>
      <c r="F6298" t="s">
        <v>5015</v>
      </c>
      <c r="G6298">
        <v>2043</v>
      </c>
      <c r="H6298">
        <v>5.77</v>
      </c>
      <c r="I6298" t="s">
        <v>4879</v>
      </c>
      <c r="J6298" t="s">
        <v>5191</v>
      </c>
      <c r="K6298" t="s">
        <v>726</v>
      </c>
      <c r="L6298">
        <v>30.9</v>
      </c>
      <c r="M6298" s="452">
        <v>45589</v>
      </c>
      <c r="N6298">
        <v>30.9</v>
      </c>
      <c r="O6298">
        <v>30.9</v>
      </c>
      <c r="P6298">
        <v>178.29</v>
      </c>
    </row>
    <row r="6299" spans="1:16" x14ac:dyDescent="0.3">
      <c r="A6299">
        <v>4924</v>
      </c>
      <c r="B6299">
        <v>105</v>
      </c>
      <c r="C6299" t="s">
        <v>557</v>
      </c>
      <c r="D6299" s="452">
        <v>45597</v>
      </c>
      <c r="E6299">
        <v>18731</v>
      </c>
      <c r="F6299" t="s">
        <v>4832</v>
      </c>
      <c r="G6299">
        <v>3020</v>
      </c>
      <c r="H6299">
        <v>3</v>
      </c>
      <c r="I6299" t="s">
        <v>4744</v>
      </c>
      <c r="J6299" t="s">
        <v>5191</v>
      </c>
      <c r="K6299" t="s">
        <v>726</v>
      </c>
      <c r="L6299">
        <v>0</v>
      </c>
      <c r="M6299" s="452">
        <v>45565</v>
      </c>
      <c r="N6299">
        <v>59</v>
      </c>
      <c r="O6299">
        <v>38.53</v>
      </c>
      <c r="P6299">
        <v>177</v>
      </c>
    </row>
    <row r="6300" spans="1:16" x14ac:dyDescent="0.3">
      <c r="A6300">
        <v>4728</v>
      </c>
      <c r="B6300">
        <v>105</v>
      </c>
      <c r="C6300" t="s">
        <v>557</v>
      </c>
      <c r="D6300" s="452">
        <v>45597</v>
      </c>
      <c r="E6300">
        <v>20941</v>
      </c>
      <c r="F6300" t="s">
        <v>5667</v>
      </c>
      <c r="G6300">
        <v>2031</v>
      </c>
      <c r="H6300">
        <v>1.59</v>
      </c>
      <c r="I6300" t="s">
        <v>4738</v>
      </c>
      <c r="J6300" t="s">
        <v>5191</v>
      </c>
      <c r="K6300" t="s">
        <v>726</v>
      </c>
      <c r="L6300">
        <v>0</v>
      </c>
      <c r="M6300" s="452">
        <v>45546</v>
      </c>
      <c r="N6300">
        <v>109.65</v>
      </c>
      <c r="O6300">
        <v>119.99</v>
      </c>
      <c r="P6300">
        <v>174.34</v>
      </c>
    </row>
    <row r="6301" spans="1:16" x14ac:dyDescent="0.3">
      <c r="A6301">
        <v>4693</v>
      </c>
      <c r="B6301">
        <v>105</v>
      </c>
      <c r="C6301" t="s">
        <v>557</v>
      </c>
      <c r="D6301" s="452">
        <v>45597</v>
      </c>
      <c r="E6301">
        <v>21151</v>
      </c>
      <c r="F6301" t="s">
        <v>5654</v>
      </c>
      <c r="G6301">
        <v>1951</v>
      </c>
      <c r="H6301">
        <v>1.5</v>
      </c>
      <c r="I6301" t="s">
        <v>4744</v>
      </c>
      <c r="J6301" t="s">
        <v>5191</v>
      </c>
      <c r="K6301" t="s">
        <v>726</v>
      </c>
      <c r="L6301">
        <v>0</v>
      </c>
      <c r="M6301" s="452">
        <v>-693593</v>
      </c>
      <c r="N6301">
        <v>0</v>
      </c>
      <c r="O6301">
        <v>113.31</v>
      </c>
      <c r="P6301">
        <v>169.96</v>
      </c>
    </row>
    <row r="6302" spans="1:16" x14ac:dyDescent="0.3">
      <c r="A6302">
        <v>4910</v>
      </c>
      <c r="B6302">
        <v>105</v>
      </c>
      <c r="C6302" t="s">
        <v>557</v>
      </c>
      <c r="D6302" s="452">
        <v>45597</v>
      </c>
      <c r="E6302">
        <v>24256</v>
      </c>
      <c r="F6302" t="s">
        <v>4773</v>
      </c>
      <c r="G6302">
        <v>3003</v>
      </c>
      <c r="H6302">
        <v>3.6</v>
      </c>
      <c r="I6302" t="s">
        <v>4744</v>
      </c>
      <c r="J6302" t="s">
        <v>5191</v>
      </c>
      <c r="K6302" t="s">
        <v>726</v>
      </c>
      <c r="L6302">
        <v>0</v>
      </c>
      <c r="M6302" s="452">
        <v>45545</v>
      </c>
      <c r="N6302">
        <v>45</v>
      </c>
      <c r="O6302">
        <v>45</v>
      </c>
      <c r="P6302">
        <v>162</v>
      </c>
    </row>
    <row r="6303" spans="1:16" x14ac:dyDescent="0.3">
      <c r="A6303">
        <v>4881</v>
      </c>
      <c r="B6303">
        <v>105</v>
      </c>
      <c r="C6303" t="s">
        <v>557</v>
      </c>
      <c r="D6303" s="452">
        <v>45597</v>
      </c>
      <c r="E6303">
        <v>19420</v>
      </c>
      <c r="F6303" t="s">
        <v>5582</v>
      </c>
      <c r="G6303">
        <v>2758</v>
      </c>
      <c r="H6303">
        <v>26</v>
      </c>
      <c r="I6303" t="s">
        <v>4736</v>
      </c>
      <c r="J6303" t="s">
        <v>5191</v>
      </c>
      <c r="K6303" t="s">
        <v>726</v>
      </c>
      <c r="L6303">
        <v>6.22</v>
      </c>
      <c r="M6303" s="452">
        <v>45593</v>
      </c>
      <c r="N6303">
        <v>6.41</v>
      </c>
      <c r="O6303">
        <v>6.1</v>
      </c>
      <c r="P6303">
        <v>161.72</v>
      </c>
    </row>
    <row r="6304" spans="1:16" x14ac:dyDescent="0.3">
      <c r="A6304">
        <v>4683</v>
      </c>
      <c r="B6304">
        <v>105</v>
      </c>
      <c r="C6304" t="s">
        <v>557</v>
      </c>
      <c r="D6304" s="452">
        <v>45597</v>
      </c>
      <c r="E6304">
        <v>18116</v>
      </c>
      <c r="F6304" t="s">
        <v>5045</v>
      </c>
      <c r="G6304">
        <v>3496</v>
      </c>
      <c r="H6304">
        <v>1.5</v>
      </c>
      <c r="I6304" t="s">
        <v>4805</v>
      </c>
      <c r="J6304" t="s">
        <v>5222</v>
      </c>
      <c r="K6304" t="s">
        <v>726</v>
      </c>
      <c r="L6304">
        <v>0</v>
      </c>
      <c r="M6304" s="452">
        <v>-693593</v>
      </c>
      <c r="N6304">
        <v>0</v>
      </c>
      <c r="O6304">
        <v>0</v>
      </c>
      <c r="P6304">
        <v>160.5</v>
      </c>
    </row>
    <row r="6305" spans="1:16" x14ac:dyDescent="0.3">
      <c r="A6305">
        <v>4652</v>
      </c>
      <c r="B6305">
        <v>105</v>
      </c>
      <c r="C6305" t="s">
        <v>557</v>
      </c>
      <c r="D6305" s="452">
        <v>45597</v>
      </c>
      <c r="E6305">
        <v>18491</v>
      </c>
      <c r="F6305" t="s">
        <v>4839</v>
      </c>
      <c r="G6305">
        <v>3166</v>
      </c>
      <c r="H6305">
        <v>4.45</v>
      </c>
      <c r="I6305" t="s">
        <v>4805</v>
      </c>
      <c r="J6305" t="s">
        <v>5222</v>
      </c>
      <c r="K6305" t="s">
        <v>726</v>
      </c>
      <c r="L6305">
        <v>0</v>
      </c>
      <c r="M6305" s="452">
        <v>45555</v>
      </c>
      <c r="N6305">
        <v>35.9</v>
      </c>
      <c r="O6305">
        <v>35.9</v>
      </c>
      <c r="P6305">
        <v>159.76</v>
      </c>
    </row>
    <row r="6306" spans="1:16" x14ac:dyDescent="0.3">
      <c r="A6306">
        <v>4943</v>
      </c>
      <c r="B6306">
        <v>105</v>
      </c>
      <c r="C6306" t="s">
        <v>557</v>
      </c>
      <c r="D6306" s="452">
        <v>45597</v>
      </c>
      <c r="E6306">
        <v>17814</v>
      </c>
      <c r="F6306" t="s">
        <v>5552</v>
      </c>
      <c r="G6306">
        <v>3735</v>
      </c>
      <c r="H6306">
        <v>3</v>
      </c>
      <c r="I6306" t="s">
        <v>4805</v>
      </c>
      <c r="J6306" t="s">
        <v>5222</v>
      </c>
      <c r="K6306" t="s">
        <v>726</v>
      </c>
      <c r="L6306">
        <v>52.61</v>
      </c>
      <c r="M6306" s="452">
        <v>45595</v>
      </c>
      <c r="N6306">
        <v>52.61</v>
      </c>
      <c r="O6306">
        <v>52.61</v>
      </c>
      <c r="P6306">
        <v>157.83000000000001</v>
      </c>
    </row>
    <row r="6307" spans="1:16" x14ac:dyDescent="0.3">
      <c r="A6307">
        <v>4884</v>
      </c>
      <c r="B6307">
        <v>105</v>
      </c>
      <c r="C6307" t="s">
        <v>557</v>
      </c>
      <c r="D6307" s="452">
        <v>45597</v>
      </c>
      <c r="E6307">
        <v>19381</v>
      </c>
      <c r="F6307" t="s">
        <v>5685</v>
      </c>
      <c r="G6307">
        <v>2763</v>
      </c>
      <c r="H6307">
        <v>2</v>
      </c>
      <c r="I6307" t="s">
        <v>4879</v>
      </c>
      <c r="J6307" t="s">
        <v>5191</v>
      </c>
      <c r="K6307" t="s">
        <v>726</v>
      </c>
      <c r="L6307">
        <v>0</v>
      </c>
      <c r="M6307" s="452">
        <v>45497</v>
      </c>
      <c r="N6307">
        <v>78.900000000000006</v>
      </c>
      <c r="O6307">
        <v>78.900000000000006</v>
      </c>
      <c r="P6307">
        <v>157.80000000000001</v>
      </c>
    </row>
    <row r="6308" spans="1:16" x14ac:dyDescent="0.3">
      <c r="A6308">
        <v>4940</v>
      </c>
      <c r="B6308">
        <v>105</v>
      </c>
      <c r="C6308" t="s">
        <v>557</v>
      </c>
      <c r="D6308" s="452">
        <v>45597</v>
      </c>
      <c r="E6308">
        <v>17886</v>
      </c>
      <c r="F6308" t="s">
        <v>5083</v>
      </c>
      <c r="G6308">
        <v>3670</v>
      </c>
      <c r="H6308">
        <v>6</v>
      </c>
      <c r="I6308" t="s">
        <v>4738</v>
      </c>
      <c r="J6308" t="s">
        <v>5222</v>
      </c>
      <c r="K6308" t="s">
        <v>726</v>
      </c>
      <c r="L6308">
        <v>0</v>
      </c>
      <c r="M6308" s="452">
        <v>45554</v>
      </c>
      <c r="N6308">
        <v>26.19</v>
      </c>
      <c r="O6308">
        <v>2.19</v>
      </c>
      <c r="P6308">
        <v>157.13999999999999</v>
      </c>
    </row>
    <row r="6309" spans="1:16" x14ac:dyDescent="0.3">
      <c r="A6309">
        <v>4679</v>
      </c>
      <c r="B6309">
        <v>105</v>
      </c>
      <c r="C6309" t="s">
        <v>557</v>
      </c>
      <c r="D6309" s="452">
        <v>45597</v>
      </c>
      <c r="E6309">
        <v>18157</v>
      </c>
      <c r="F6309" t="s">
        <v>5041</v>
      </c>
      <c r="G6309">
        <v>3463</v>
      </c>
      <c r="H6309">
        <v>0.7</v>
      </c>
      <c r="I6309" t="s">
        <v>4805</v>
      </c>
      <c r="J6309" t="s">
        <v>5222</v>
      </c>
      <c r="K6309" t="s">
        <v>726</v>
      </c>
      <c r="L6309">
        <v>0</v>
      </c>
      <c r="M6309" s="452">
        <v>45519</v>
      </c>
      <c r="N6309">
        <v>224.31</v>
      </c>
      <c r="O6309">
        <v>217.39</v>
      </c>
      <c r="P6309">
        <v>157.02000000000001</v>
      </c>
    </row>
    <row r="6310" spans="1:16" x14ac:dyDescent="0.3">
      <c r="A6310">
        <v>4696</v>
      </c>
      <c r="B6310">
        <v>105</v>
      </c>
      <c r="C6310" t="s">
        <v>557</v>
      </c>
      <c r="D6310" s="452">
        <v>45597</v>
      </c>
      <c r="E6310">
        <v>18030</v>
      </c>
      <c r="F6310" t="s">
        <v>4840</v>
      </c>
      <c r="G6310">
        <v>3568</v>
      </c>
      <c r="H6310">
        <v>5.8</v>
      </c>
      <c r="I6310" t="s">
        <v>4805</v>
      </c>
      <c r="J6310" t="s">
        <v>5222</v>
      </c>
      <c r="K6310" t="s">
        <v>726</v>
      </c>
      <c r="L6310">
        <v>26.82</v>
      </c>
      <c r="M6310" s="452">
        <v>45596</v>
      </c>
      <c r="N6310">
        <v>26.5</v>
      </c>
      <c r="O6310">
        <v>26.5</v>
      </c>
      <c r="P6310">
        <v>155.56</v>
      </c>
    </row>
    <row r="6311" spans="1:16" x14ac:dyDescent="0.3">
      <c r="A6311">
        <v>6673</v>
      </c>
      <c r="B6311">
        <v>105</v>
      </c>
      <c r="C6311" t="s">
        <v>557</v>
      </c>
      <c r="D6311" s="452">
        <v>45597</v>
      </c>
      <c r="E6311">
        <v>25758</v>
      </c>
      <c r="F6311" t="s">
        <v>4775</v>
      </c>
      <c r="G6311">
        <v>9066</v>
      </c>
      <c r="H6311">
        <v>22</v>
      </c>
      <c r="I6311" t="s">
        <v>4736</v>
      </c>
      <c r="J6311" t="s">
        <v>5191</v>
      </c>
      <c r="K6311" t="s">
        <v>726</v>
      </c>
      <c r="L6311">
        <v>0</v>
      </c>
      <c r="M6311" s="452">
        <v>-693593</v>
      </c>
      <c r="N6311">
        <v>0</v>
      </c>
      <c r="O6311">
        <v>0</v>
      </c>
      <c r="P6311">
        <v>153.78</v>
      </c>
    </row>
    <row r="6312" spans="1:16" x14ac:dyDescent="0.3">
      <c r="A6312">
        <v>4873</v>
      </c>
      <c r="B6312">
        <v>105</v>
      </c>
      <c r="C6312" t="s">
        <v>557</v>
      </c>
      <c r="D6312" s="452">
        <v>45597</v>
      </c>
      <c r="E6312">
        <v>19551</v>
      </c>
      <c r="F6312" t="s">
        <v>4905</v>
      </c>
      <c r="G6312">
        <v>2665</v>
      </c>
      <c r="H6312">
        <v>7.07</v>
      </c>
      <c r="I6312" t="s">
        <v>4744</v>
      </c>
      <c r="J6312" t="s">
        <v>5191</v>
      </c>
      <c r="K6312" t="s">
        <v>726</v>
      </c>
      <c r="L6312">
        <v>21.32</v>
      </c>
      <c r="M6312" s="452">
        <v>45590</v>
      </c>
      <c r="N6312">
        <v>12.5</v>
      </c>
      <c r="O6312">
        <v>12.5</v>
      </c>
      <c r="P6312">
        <v>150.72999999999999</v>
      </c>
    </row>
    <row r="6313" spans="1:16" x14ac:dyDescent="0.3">
      <c r="A6313">
        <v>6676</v>
      </c>
      <c r="B6313">
        <v>105</v>
      </c>
      <c r="C6313" t="s">
        <v>557</v>
      </c>
      <c r="D6313" s="452">
        <v>45597</v>
      </c>
      <c r="E6313">
        <v>25761</v>
      </c>
      <c r="F6313" t="s">
        <v>4789</v>
      </c>
      <c r="G6313">
        <v>6312</v>
      </c>
      <c r="H6313">
        <v>21</v>
      </c>
      <c r="I6313" t="s">
        <v>4736</v>
      </c>
      <c r="J6313" t="s">
        <v>5191</v>
      </c>
      <c r="K6313" t="s">
        <v>726</v>
      </c>
      <c r="L6313">
        <v>0</v>
      </c>
      <c r="M6313" s="452">
        <v>-693593</v>
      </c>
      <c r="N6313">
        <v>0</v>
      </c>
      <c r="O6313">
        <v>0</v>
      </c>
      <c r="P6313">
        <v>146.79</v>
      </c>
    </row>
    <row r="6314" spans="1:16" x14ac:dyDescent="0.3">
      <c r="A6314">
        <v>4864</v>
      </c>
      <c r="B6314">
        <v>105</v>
      </c>
      <c r="C6314" t="s">
        <v>557</v>
      </c>
      <c r="D6314" s="452">
        <v>45597</v>
      </c>
      <c r="E6314">
        <v>19790</v>
      </c>
      <c r="F6314" t="s">
        <v>5073</v>
      </c>
      <c r="G6314">
        <v>2469</v>
      </c>
      <c r="H6314">
        <v>3.85</v>
      </c>
      <c r="I6314" t="s">
        <v>4744</v>
      </c>
      <c r="J6314" t="s">
        <v>5191</v>
      </c>
      <c r="K6314" t="s">
        <v>726</v>
      </c>
      <c r="L6314">
        <v>37.11</v>
      </c>
      <c r="M6314" s="452">
        <v>45595</v>
      </c>
      <c r="N6314">
        <v>37.67</v>
      </c>
      <c r="O6314">
        <v>34.5</v>
      </c>
      <c r="P6314">
        <v>142.87</v>
      </c>
    </row>
    <row r="6315" spans="1:16" x14ac:dyDescent="0.3">
      <c r="A6315">
        <v>4741</v>
      </c>
      <c r="B6315">
        <v>105</v>
      </c>
      <c r="C6315" t="s">
        <v>557</v>
      </c>
      <c r="D6315" s="452">
        <v>45597</v>
      </c>
      <c r="E6315">
        <v>20382</v>
      </c>
      <c r="F6315" t="s">
        <v>4780</v>
      </c>
      <c r="G6315">
        <v>2196</v>
      </c>
      <c r="H6315">
        <v>16</v>
      </c>
      <c r="I6315" t="s">
        <v>4738</v>
      </c>
      <c r="J6315" t="s">
        <v>5191</v>
      </c>
      <c r="K6315" t="s">
        <v>726</v>
      </c>
      <c r="L6315">
        <v>8.9</v>
      </c>
      <c r="M6315" s="452">
        <v>45593</v>
      </c>
      <c r="N6315">
        <v>8.9</v>
      </c>
      <c r="O6315">
        <v>8.9</v>
      </c>
      <c r="P6315">
        <v>142.4</v>
      </c>
    </row>
    <row r="6316" spans="1:16" x14ac:dyDescent="0.3">
      <c r="A6316">
        <v>4805</v>
      </c>
      <c r="B6316">
        <v>105</v>
      </c>
      <c r="C6316" t="s">
        <v>557</v>
      </c>
      <c r="D6316" s="452">
        <v>45597</v>
      </c>
      <c r="E6316">
        <v>19787</v>
      </c>
      <c r="F6316" t="s">
        <v>4793</v>
      </c>
      <c r="G6316">
        <v>2471</v>
      </c>
      <c r="H6316">
        <v>30.82</v>
      </c>
      <c r="I6316" t="s">
        <v>4744</v>
      </c>
      <c r="J6316" t="s">
        <v>5191</v>
      </c>
      <c r="K6316" t="s">
        <v>726</v>
      </c>
      <c r="L6316">
        <v>4.62</v>
      </c>
      <c r="M6316" s="452">
        <v>45596</v>
      </c>
      <c r="N6316">
        <v>4.5</v>
      </c>
      <c r="O6316">
        <v>4.93</v>
      </c>
      <c r="P6316">
        <v>142.38999999999999</v>
      </c>
    </row>
    <row r="6317" spans="1:16" x14ac:dyDescent="0.3">
      <c r="A6317">
        <v>4716</v>
      </c>
      <c r="B6317">
        <v>105</v>
      </c>
      <c r="C6317" t="s">
        <v>557</v>
      </c>
      <c r="D6317" s="452">
        <v>45597</v>
      </c>
      <c r="E6317">
        <v>20721</v>
      </c>
      <c r="F6317" t="s">
        <v>5600</v>
      </c>
      <c r="G6317">
        <v>2096</v>
      </c>
      <c r="H6317">
        <v>3</v>
      </c>
      <c r="I6317" t="s">
        <v>4736</v>
      </c>
      <c r="J6317" t="s">
        <v>5191</v>
      </c>
      <c r="K6317" t="s">
        <v>726</v>
      </c>
      <c r="L6317">
        <v>0</v>
      </c>
      <c r="M6317" s="452">
        <v>45539</v>
      </c>
      <c r="N6317">
        <v>46.9</v>
      </c>
      <c r="O6317">
        <v>49.98</v>
      </c>
      <c r="P6317">
        <v>140.69999999999999</v>
      </c>
    </row>
    <row r="6318" spans="1:16" x14ac:dyDescent="0.3">
      <c r="A6318">
        <v>4735</v>
      </c>
      <c r="B6318">
        <v>105</v>
      </c>
      <c r="C6318" t="s">
        <v>557</v>
      </c>
      <c r="D6318" s="452">
        <v>45597</v>
      </c>
      <c r="E6318">
        <v>24213</v>
      </c>
      <c r="F6318" t="s">
        <v>5636</v>
      </c>
      <c r="G6318">
        <v>2106</v>
      </c>
      <c r="H6318">
        <v>10</v>
      </c>
      <c r="I6318" t="s">
        <v>4744</v>
      </c>
      <c r="J6318" t="s">
        <v>5191</v>
      </c>
      <c r="K6318" t="s">
        <v>726</v>
      </c>
      <c r="L6318">
        <v>13.99</v>
      </c>
      <c r="M6318" s="452">
        <v>45593</v>
      </c>
      <c r="N6318">
        <v>13.99</v>
      </c>
      <c r="O6318">
        <v>13.99</v>
      </c>
      <c r="P6318">
        <v>139.9</v>
      </c>
    </row>
    <row r="6319" spans="1:16" x14ac:dyDescent="0.3">
      <c r="A6319">
        <v>4887</v>
      </c>
      <c r="B6319">
        <v>105</v>
      </c>
      <c r="C6319" t="s">
        <v>557</v>
      </c>
      <c r="D6319" s="452">
        <v>45597</v>
      </c>
      <c r="E6319">
        <v>23082</v>
      </c>
      <c r="F6319" t="s">
        <v>4904</v>
      </c>
      <c r="G6319">
        <v>2763</v>
      </c>
      <c r="H6319">
        <v>1.8</v>
      </c>
      <c r="I6319" t="s">
        <v>4744</v>
      </c>
      <c r="J6319" t="s">
        <v>5191</v>
      </c>
      <c r="K6319" t="s">
        <v>726</v>
      </c>
      <c r="L6319">
        <v>77.349999999999994</v>
      </c>
      <c r="M6319" s="452">
        <v>45593</v>
      </c>
      <c r="N6319">
        <v>78.900000000000006</v>
      </c>
      <c r="O6319">
        <v>78.900000000000006</v>
      </c>
      <c r="P6319">
        <v>139.22999999999999</v>
      </c>
    </row>
    <row r="6320" spans="1:16" x14ac:dyDescent="0.3">
      <c r="A6320">
        <v>4701</v>
      </c>
      <c r="B6320">
        <v>105</v>
      </c>
      <c r="C6320" t="s">
        <v>557</v>
      </c>
      <c r="D6320" s="452">
        <v>45597</v>
      </c>
      <c r="E6320">
        <v>21079</v>
      </c>
      <c r="F6320" t="s">
        <v>5124</v>
      </c>
      <c r="G6320">
        <v>1991</v>
      </c>
      <c r="H6320">
        <v>4.6500000000000004</v>
      </c>
      <c r="I6320" t="s">
        <v>4736</v>
      </c>
      <c r="J6320" t="s">
        <v>5191</v>
      </c>
      <c r="K6320" t="s">
        <v>726</v>
      </c>
      <c r="L6320">
        <v>0</v>
      </c>
      <c r="M6320" s="452">
        <v>45490</v>
      </c>
      <c r="N6320">
        <v>29.9</v>
      </c>
      <c r="O6320">
        <v>29.4</v>
      </c>
      <c r="P6320">
        <v>139.04</v>
      </c>
    </row>
    <row r="6321" spans="1:16" x14ac:dyDescent="0.3">
      <c r="A6321">
        <v>4952</v>
      </c>
      <c r="B6321">
        <v>105</v>
      </c>
      <c r="C6321" t="s">
        <v>557</v>
      </c>
      <c r="D6321" s="452">
        <v>45597</v>
      </c>
      <c r="E6321">
        <v>24642</v>
      </c>
      <c r="F6321" t="s">
        <v>5460</v>
      </c>
      <c r="G6321">
        <v>5692</v>
      </c>
      <c r="H6321">
        <v>3</v>
      </c>
      <c r="I6321" t="s">
        <v>4805</v>
      </c>
      <c r="J6321" t="s">
        <v>5222</v>
      </c>
      <c r="K6321" t="s">
        <v>726</v>
      </c>
      <c r="L6321">
        <v>46</v>
      </c>
      <c r="M6321" s="452">
        <v>45596</v>
      </c>
      <c r="N6321">
        <v>46</v>
      </c>
      <c r="O6321">
        <v>46</v>
      </c>
      <c r="P6321">
        <v>138</v>
      </c>
    </row>
    <row r="6322" spans="1:16" x14ac:dyDescent="0.3">
      <c r="A6322">
        <v>4953</v>
      </c>
      <c r="B6322">
        <v>105</v>
      </c>
      <c r="C6322" t="s">
        <v>557</v>
      </c>
      <c r="D6322" s="452">
        <v>45597</v>
      </c>
      <c r="E6322">
        <v>17665</v>
      </c>
      <c r="F6322" t="s">
        <v>5670</v>
      </c>
      <c r="G6322">
        <v>3865</v>
      </c>
      <c r="H6322">
        <v>2.25</v>
      </c>
      <c r="I6322" t="s">
        <v>4805</v>
      </c>
      <c r="J6322" t="s">
        <v>5222</v>
      </c>
      <c r="K6322" t="s">
        <v>726</v>
      </c>
      <c r="L6322">
        <v>0</v>
      </c>
      <c r="M6322" s="452">
        <v>45504</v>
      </c>
      <c r="N6322">
        <v>61</v>
      </c>
      <c r="O6322">
        <v>61</v>
      </c>
      <c r="P6322">
        <v>137.25</v>
      </c>
    </row>
    <row r="6323" spans="1:16" x14ac:dyDescent="0.3">
      <c r="A6323">
        <v>6662</v>
      </c>
      <c r="B6323">
        <v>105</v>
      </c>
      <c r="C6323" t="s">
        <v>557</v>
      </c>
      <c r="D6323" s="452">
        <v>45597</v>
      </c>
      <c r="E6323">
        <v>17589</v>
      </c>
      <c r="F6323" t="s">
        <v>5683</v>
      </c>
      <c r="G6323">
        <v>3937</v>
      </c>
      <c r="H6323">
        <v>2.25</v>
      </c>
      <c r="I6323" t="s">
        <v>4736</v>
      </c>
      <c r="J6323" t="s">
        <v>5222</v>
      </c>
      <c r="K6323" t="s">
        <v>726</v>
      </c>
      <c r="L6323">
        <v>0</v>
      </c>
      <c r="M6323" s="452">
        <v>-693593</v>
      </c>
      <c r="N6323">
        <v>0</v>
      </c>
      <c r="O6323">
        <v>0</v>
      </c>
      <c r="P6323">
        <v>134.78</v>
      </c>
    </row>
    <row r="6324" spans="1:16" x14ac:dyDescent="0.3">
      <c r="A6324">
        <v>4670</v>
      </c>
      <c r="B6324">
        <v>105</v>
      </c>
      <c r="C6324" t="s">
        <v>557</v>
      </c>
      <c r="D6324" s="452">
        <v>45597</v>
      </c>
      <c r="E6324">
        <v>18233</v>
      </c>
      <c r="F6324" t="s">
        <v>4970</v>
      </c>
      <c r="G6324">
        <v>3395</v>
      </c>
      <c r="H6324">
        <v>1.55</v>
      </c>
      <c r="I6324" t="s">
        <v>4805</v>
      </c>
      <c r="J6324" t="s">
        <v>5222</v>
      </c>
      <c r="K6324" t="s">
        <v>726</v>
      </c>
      <c r="L6324">
        <v>0</v>
      </c>
      <c r="M6324" s="452">
        <v>45547</v>
      </c>
      <c r="N6324">
        <v>85.85</v>
      </c>
      <c r="O6324">
        <v>86.25</v>
      </c>
      <c r="P6324">
        <v>133.07</v>
      </c>
    </row>
    <row r="6325" spans="1:16" x14ac:dyDescent="0.3">
      <c r="A6325">
        <v>4770</v>
      </c>
      <c r="B6325">
        <v>105</v>
      </c>
      <c r="C6325" t="s">
        <v>557</v>
      </c>
      <c r="D6325" s="452">
        <v>45597</v>
      </c>
      <c r="E6325">
        <v>20009</v>
      </c>
      <c r="F6325" t="s">
        <v>5480</v>
      </c>
      <c r="G6325">
        <v>2343</v>
      </c>
      <c r="H6325">
        <v>3</v>
      </c>
      <c r="I6325" t="s">
        <v>4736</v>
      </c>
      <c r="J6325" t="s">
        <v>5191</v>
      </c>
      <c r="K6325" t="s">
        <v>726</v>
      </c>
      <c r="L6325">
        <v>0</v>
      </c>
      <c r="M6325" s="452">
        <v>45553</v>
      </c>
      <c r="N6325">
        <v>44.35</v>
      </c>
      <c r="O6325">
        <v>46.79</v>
      </c>
      <c r="P6325">
        <v>133.05000000000001</v>
      </c>
    </row>
    <row r="6326" spans="1:16" x14ac:dyDescent="0.3">
      <c r="A6326">
        <v>4682</v>
      </c>
      <c r="B6326">
        <v>105</v>
      </c>
      <c r="C6326" t="s">
        <v>557</v>
      </c>
      <c r="D6326" s="452">
        <v>45597</v>
      </c>
      <c r="E6326">
        <v>18119</v>
      </c>
      <c r="F6326" t="s">
        <v>5044</v>
      </c>
      <c r="G6326">
        <v>3494</v>
      </c>
      <c r="H6326">
        <v>0.85</v>
      </c>
      <c r="I6326" t="s">
        <v>4805</v>
      </c>
      <c r="J6326" t="s">
        <v>5222</v>
      </c>
      <c r="K6326" t="s">
        <v>726</v>
      </c>
      <c r="L6326">
        <v>0</v>
      </c>
      <c r="M6326" s="452">
        <v>45477</v>
      </c>
      <c r="N6326">
        <v>156.05000000000001</v>
      </c>
      <c r="O6326">
        <v>171.01</v>
      </c>
      <c r="P6326">
        <v>132.63999999999999</v>
      </c>
    </row>
    <row r="6327" spans="1:16" x14ac:dyDescent="0.3">
      <c r="A6327">
        <v>4941</v>
      </c>
      <c r="B6327">
        <v>105</v>
      </c>
      <c r="C6327" t="s">
        <v>557</v>
      </c>
      <c r="D6327" s="452">
        <v>45597</v>
      </c>
      <c r="E6327">
        <v>17883</v>
      </c>
      <c r="F6327" t="s">
        <v>5113</v>
      </c>
      <c r="G6327">
        <v>3673</v>
      </c>
      <c r="H6327">
        <v>5</v>
      </c>
      <c r="I6327" t="s">
        <v>4738</v>
      </c>
      <c r="J6327" t="s">
        <v>5222</v>
      </c>
      <c r="K6327" t="s">
        <v>726</v>
      </c>
      <c r="L6327">
        <v>0</v>
      </c>
      <c r="M6327" s="452">
        <v>45546</v>
      </c>
      <c r="N6327">
        <v>26.28</v>
      </c>
      <c r="O6327">
        <v>26.28</v>
      </c>
      <c r="P6327">
        <v>131.4</v>
      </c>
    </row>
    <row r="6328" spans="1:16" x14ac:dyDescent="0.3">
      <c r="A6328">
        <v>4902</v>
      </c>
      <c r="B6328">
        <v>105</v>
      </c>
      <c r="C6328" t="s">
        <v>557</v>
      </c>
      <c r="D6328" s="452">
        <v>45597</v>
      </c>
      <c r="E6328">
        <v>19046</v>
      </c>
      <c r="F6328" t="s">
        <v>5715</v>
      </c>
      <c r="G6328">
        <v>2889</v>
      </c>
      <c r="H6328">
        <v>4.0999999999999996</v>
      </c>
      <c r="I6328" t="s">
        <v>4744</v>
      </c>
      <c r="J6328" t="s">
        <v>5191</v>
      </c>
      <c r="K6328" t="s">
        <v>726</v>
      </c>
      <c r="L6328">
        <v>0</v>
      </c>
      <c r="M6328" s="452">
        <v>45499</v>
      </c>
      <c r="N6328">
        <v>31.29</v>
      </c>
      <c r="O6328">
        <v>31.29</v>
      </c>
      <c r="P6328">
        <v>128.29</v>
      </c>
    </row>
    <row r="6329" spans="1:16" x14ac:dyDescent="0.3">
      <c r="A6329">
        <v>4669</v>
      </c>
      <c r="B6329">
        <v>105</v>
      </c>
      <c r="C6329" t="s">
        <v>557</v>
      </c>
      <c r="D6329" s="452">
        <v>45597</v>
      </c>
      <c r="E6329">
        <v>18253</v>
      </c>
      <c r="F6329" t="s">
        <v>4969</v>
      </c>
      <c r="G6329">
        <v>3376</v>
      </c>
      <c r="H6329">
        <v>4.4000000000000004</v>
      </c>
      <c r="I6329" t="s">
        <v>4805</v>
      </c>
      <c r="J6329" t="s">
        <v>5222</v>
      </c>
      <c r="K6329" t="s">
        <v>726</v>
      </c>
      <c r="L6329">
        <v>29.14</v>
      </c>
      <c r="M6329" s="452">
        <v>45596</v>
      </c>
      <c r="N6329">
        <v>28.9</v>
      </c>
      <c r="O6329">
        <v>28.9</v>
      </c>
      <c r="P6329">
        <v>128.22</v>
      </c>
    </row>
    <row r="6330" spans="1:16" x14ac:dyDescent="0.3">
      <c r="A6330">
        <v>4806</v>
      </c>
      <c r="B6330">
        <v>105</v>
      </c>
      <c r="C6330" t="s">
        <v>557</v>
      </c>
      <c r="D6330" s="452">
        <v>45597</v>
      </c>
      <c r="E6330">
        <v>19658</v>
      </c>
      <c r="F6330" t="s">
        <v>4784</v>
      </c>
      <c r="G6330">
        <v>2582</v>
      </c>
      <c r="H6330">
        <v>37.700000000000003</v>
      </c>
      <c r="I6330" t="s">
        <v>4744</v>
      </c>
      <c r="J6330" t="s">
        <v>5191</v>
      </c>
      <c r="K6330" t="s">
        <v>726</v>
      </c>
      <c r="L6330">
        <v>0</v>
      </c>
      <c r="M6330" s="452">
        <v>45562</v>
      </c>
      <c r="N6330">
        <v>3.4</v>
      </c>
      <c r="O6330">
        <v>3.9</v>
      </c>
      <c r="P6330">
        <v>128.18</v>
      </c>
    </row>
    <row r="6331" spans="1:16" x14ac:dyDescent="0.3">
      <c r="A6331">
        <v>4957</v>
      </c>
      <c r="B6331">
        <v>105</v>
      </c>
      <c r="C6331" t="s">
        <v>557</v>
      </c>
      <c r="D6331" s="452">
        <v>45597</v>
      </c>
      <c r="E6331">
        <v>17658</v>
      </c>
      <c r="F6331" t="s">
        <v>4978</v>
      </c>
      <c r="G6331">
        <v>3871</v>
      </c>
      <c r="H6331">
        <v>2.25</v>
      </c>
      <c r="I6331" t="s">
        <v>4805</v>
      </c>
      <c r="J6331" t="s">
        <v>5222</v>
      </c>
      <c r="K6331" t="s">
        <v>726</v>
      </c>
      <c r="L6331">
        <v>56</v>
      </c>
      <c r="M6331" s="452">
        <v>45596</v>
      </c>
      <c r="N6331">
        <v>56</v>
      </c>
      <c r="O6331">
        <v>56</v>
      </c>
      <c r="P6331">
        <v>126</v>
      </c>
    </row>
    <row r="6332" spans="1:16" x14ac:dyDescent="0.3">
      <c r="A6332">
        <v>6649</v>
      </c>
      <c r="B6332">
        <v>105</v>
      </c>
      <c r="C6332" t="s">
        <v>557</v>
      </c>
      <c r="D6332" s="452">
        <v>45597</v>
      </c>
      <c r="E6332">
        <v>25231</v>
      </c>
      <c r="F6332" t="s">
        <v>5716</v>
      </c>
      <c r="G6332">
        <v>5957</v>
      </c>
      <c r="H6332">
        <v>1.64</v>
      </c>
      <c r="I6332" t="s">
        <v>4884</v>
      </c>
      <c r="J6332" t="s">
        <v>5191</v>
      </c>
      <c r="K6332" t="s">
        <v>726</v>
      </c>
      <c r="L6332">
        <v>0</v>
      </c>
      <c r="M6332" s="452">
        <v>-693593</v>
      </c>
      <c r="N6332">
        <v>0</v>
      </c>
      <c r="O6332">
        <v>76</v>
      </c>
      <c r="P6332">
        <v>124.64</v>
      </c>
    </row>
    <row r="6333" spans="1:16" x14ac:dyDescent="0.3">
      <c r="A6333">
        <v>4699</v>
      </c>
      <c r="B6333">
        <v>105</v>
      </c>
      <c r="C6333" t="s">
        <v>557</v>
      </c>
      <c r="D6333" s="452">
        <v>45597</v>
      </c>
      <c r="E6333">
        <v>21093</v>
      </c>
      <c r="F6333" t="s">
        <v>4855</v>
      </c>
      <c r="G6333">
        <v>1988</v>
      </c>
      <c r="H6333">
        <v>26.21</v>
      </c>
      <c r="I6333" t="s">
        <v>4744</v>
      </c>
      <c r="J6333" t="s">
        <v>5191</v>
      </c>
      <c r="K6333" t="s">
        <v>726</v>
      </c>
      <c r="L6333">
        <v>4.74</v>
      </c>
      <c r="M6333" s="452">
        <v>45593</v>
      </c>
      <c r="N6333">
        <v>4.8899999999999997</v>
      </c>
      <c r="O6333">
        <v>4.75</v>
      </c>
      <c r="P6333">
        <v>124.24</v>
      </c>
    </row>
    <row r="6334" spans="1:16" x14ac:dyDescent="0.3">
      <c r="A6334">
        <v>4853</v>
      </c>
      <c r="B6334">
        <v>105</v>
      </c>
      <c r="C6334" t="s">
        <v>557</v>
      </c>
      <c r="D6334" s="452">
        <v>45597</v>
      </c>
      <c r="E6334">
        <v>19739</v>
      </c>
      <c r="F6334" t="s">
        <v>5565</v>
      </c>
      <c r="G6334">
        <v>2514</v>
      </c>
      <c r="H6334">
        <v>13.27</v>
      </c>
      <c r="I6334" t="s">
        <v>4744</v>
      </c>
      <c r="J6334" t="s">
        <v>5191</v>
      </c>
      <c r="K6334" t="s">
        <v>726</v>
      </c>
      <c r="L6334">
        <v>9.36</v>
      </c>
      <c r="M6334" s="452">
        <v>45595</v>
      </c>
      <c r="N6334">
        <v>8.68</v>
      </c>
      <c r="O6334">
        <v>7.64</v>
      </c>
      <c r="P6334">
        <v>124.21</v>
      </c>
    </row>
    <row r="6335" spans="1:16" x14ac:dyDescent="0.3">
      <c r="A6335">
        <v>6652</v>
      </c>
      <c r="B6335">
        <v>105</v>
      </c>
      <c r="C6335" t="s">
        <v>557</v>
      </c>
      <c r="D6335" s="452">
        <v>45597</v>
      </c>
      <c r="E6335">
        <v>20892</v>
      </c>
      <c r="F6335" t="s">
        <v>5665</v>
      </c>
      <c r="G6335">
        <v>2039</v>
      </c>
      <c r="H6335">
        <v>11</v>
      </c>
      <c r="I6335" t="s">
        <v>4736</v>
      </c>
      <c r="J6335" t="s">
        <v>5191</v>
      </c>
      <c r="K6335" t="s">
        <v>726</v>
      </c>
      <c r="L6335">
        <v>0</v>
      </c>
      <c r="M6335" s="452">
        <v>-693593</v>
      </c>
      <c r="N6335">
        <v>0</v>
      </c>
      <c r="O6335">
        <v>11.19</v>
      </c>
      <c r="P6335">
        <v>123.09</v>
      </c>
    </row>
    <row r="6336" spans="1:16" x14ac:dyDescent="0.3">
      <c r="A6336">
        <v>4888</v>
      </c>
      <c r="B6336">
        <v>105</v>
      </c>
      <c r="C6336" t="s">
        <v>557</v>
      </c>
      <c r="D6336" s="452">
        <v>45597</v>
      </c>
      <c r="E6336">
        <v>19251</v>
      </c>
      <c r="F6336" t="s">
        <v>5336</v>
      </c>
      <c r="G6336">
        <v>2784</v>
      </c>
      <c r="H6336">
        <v>6</v>
      </c>
      <c r="I6336" t="s">
        <v>4736</v>
      </c>
      <c r="J6336" t="s">
        <v>5191</v>
      </c>
      <c r="K6336" t="s">
        <v>726</v>
      </c>
      <c r="L6336">
        <v>19.98</v>
      </c>
      <c r="M6336" s="452">
        <v>45573</v>
      </c>
      <c r="N6336">
        <v>19.98</v>
      </c>
      <c r="O6336">
        <v>19.98</v>
      </c>
      <c r="P6336">
        <v>119.88</v>
      </c>
    </row>
    <row r="6337" spans="1:16" x14ac:dyDescent="0.3">
      <c r="A6337">
        <v>4922</v>
      </c>
      <c r="B6337">
        <v>105</v>
      </c>
      <c r="C6337" t="s">
        <v>557</v>
      </c>
      <c r="D6337" s="452">
        <v>45597</v>
      </c>
      <c r="E6337">
        <v>18668</v>
      </c>
      <c r="F6337" t="s">
        <v>5664</v>
      </c>
      <c r="G6337">
        <v>3051</v>
      </c>
      <c r="H6337">
        <v>6</v>
      </c>
      <c r="I6337" t="s">
        <v>4744</v>
      </c>
      <c r="J6337" t="s">
        <v>5191</v>
      </c>
      <c r="K6337" t="s">
        <v>726</v>
      </c>
      <c r="L6337">
        <v>19.8</v>
      </c>
      <c r="M6337" s="452">
        <v>45574</v>
      </c>
      <c r="N6337">
        <v>19.8</v>
      </c>
      <c r="O6337">
        <v>16.8</v>
      </c>
      <c r="P6337">
        <v>118.8</v>
      </c>
    </row>
    <row r="6338" spans="1:16" x14ac:dyDescent="0.3">
      <c r="A6338">
        <v>4714</v>
      </c>
      <c r="B6338">
        <v>105</v>
      </c>
      <c r="C6338" t="s">
        <v>557</v>
      </c>
      <c r="D6338" s="452">
        <v>45597</v>
      </c>
      <c r="E6338">
        <v>24062</v>
      </c>
      <c r="F6338" t="s">
        <v>5598</v>
      </c>
      <c r="G6338">
        <v>2088</v>
      </c>
      <c r="H6338">
        <v>2.89</v>
      </c>
      <c r="I6338" t="s">
        <v>4744</v>
      </c>
      <c r="J6338" t="s">
        <v>5191</v>
      </c>
      <c r="K6338" t="s">
        <v>726</v>
      </c>
      <c r="L6338">
        <v>0</v>
      </c>
      <c r="M6338" s="452">
        <v>45406</v>
      </c>
      <c r="N6338">
        <v>41</v>
      </c>
      <c r="O6338">
        <v>41</v>
      </c>
      <c r="P6338">
        <v>118.49</v>
      </c>
    </row>
    <row r="6339" spans="1:16" x14ac:dyDescent="0.3">
      <c r="A6339">
        <v>4947</v>
      </c>
      <c r="B6339">
        <v>105</v>
      </c>
      <c r="C6339" t="s">
        <v>557</v>
      </c>
      <c r="D6339" s="452">
        <v>45597</v>
      </c>
      <c r="E6339">
        <v>17597</v>
      </c>
      <c r="F6339" t="s">
        <v>5587</v>
      </c>
      <c r="G6339">
        <v>3930</v>
      </c>
      <c r="H6339">
        <v>2.25</v>
      </c>
      <c r="I6339" t="s">
        <v>4805</v>
      </c>
      <c r="J6339" t="s">
        <v>5222</v>
      </c>
      <c r="K6339" t="s">
        <v>726</v>
      </c>
      <c r="L6339">
        <v>52.61</v>
      </c>
      <c r="M6339" s="452">
        <v>45595</v>
      </c>
      <c r="N6339">
        <v>52.61</v>
      </c>
      <c r="O6339">
        <v>52.61</v>
      </c>
      <c r="P6339">
        <v>118.37</v>
      </c>
    </row>
    <row r="6340" spans="1:16" x14ac:dyDescent="0.3">
      <c r="A6340">
        <v>4821</v>
      </c>
      <c r="B6340">
        <v>105</v>
      </c>
      <c r="C6340" t="s">
        <v>557</v>
      </c>
      <c r="D6340" s="452">
        <v>45597</v>
      </c>
      <c r="E6340">
        <v>19638</v>
      </c>
      <c r="F6340" t="s">
        <v>5564</v>
      </c>
      <c r="G6340">
        <v>2598</v>
      </c>
      <c r="H6340">
        <v>33.9</v>
      </c>
      <c r="I6340" t="s">
        <v>4744</v>
      </c>
      <c r="J6340" t="s">
        <v>5191</v>
      </c>
      <c r="K6340" t="s">
        <v>726</v>
      </c>
      <c r="L6340">
        <v>3.49</v>
      </c>
      <c r="M6340" s="452">
        <v>45596</v>
      </c>
      <c r="N6340">
        <v>3.5</v>
      </c>
      <c r="O6340">
        <v>3.29</v>
      </c>
      <c r="P6340">
        <v>118.31</v>
      </c>
    </row>
    <row r="6341" spans="1:16" x14ac:dyDescent="0.3">
      <c r="A6341">
        <v>4782</v>
      </c>
      <c r="B6341">
        <v>105</v>
      </c>
      <c r="C6341" t="s">
        <v>557</v>
      </c>
      <c r="D6341" s="452">
        <v>45597</v>
      </c>
      <c r="E6341">
        <v>19966</v>
      </c>
      <c r="F6341" t="s">
        <v>5602</v>
      </c>
      <c r="G6341">
        <v>2356</v>
      </c>
      <c r="H6341">
        <v>3.2</v>
      </c>
      <c r="I6341" t="s">
        <v>4736</v>
      </c>
      <c r="J6341" t="s">
        <v>5191</v>
      </c>
      <c r="K6341" t="s">
        <v>726</v>
      </c>
      <c r="L6341">
        <v>36.700000000000003</v>
      </c>
      <c r="M6341" s="452">
        <v>45593</v>
      </c>
      <c r="N6341">
        <v>51.9</v>
      </c>
      <c r="O6341">
        <v>51.9</v>
      </c>
      <c r="P6341">
        <v>117.44</v>
      </c>
    </row>
    <row r="6342" spans="1:16" x14ac:dyDescent="0.3">
      <c r="A6342">
        <v>4773</v>
      </c>
      <c r="B6342">
        <v>105</v>
      </c>
      <c r="C6342" t="s">
        <v>557</v>
      </c>
      <c r="D6342" s="452">
        <v>45597</v>
      </c>
      <c r="E6342">
        <v>25075</v>
      </c>
      <c r="F6342" t="s">
        <v>4790</v>
      </c>
      <c r="G6342">
        <v>5883</v>
      </c>
      <c r="H6342">
        <v>7</v>
      </c>
      <c r="I6342" t="s">
        <v>4738</v>
      </c>
      <c r="J6342" t="s">
        <v>5191</v>
      </c>
      <c r="K6342" t="s">
        <v>726</v>
      </c>
      <c r="L6342">
        <v>0</v>
      </c>
      <c r="M6342" s="452">
        <v>45561</v>
      </c>
      <c r="N6342">
        <v>16.5</v>
      </c>
      <c r="O6342">
        <v>16.899999999999999</v>
      </c>
      <c r="P6342">
        <v>115.5</v>
      </c>
    </row>
    <row r="6343" spans="1:16" x14ac:dyDescent="0.3">
      <c r="A6343">
        <v>4894</v>
      </c>
      <c r="B6343">
        <v>105</v>
      </c>
      <c r="C6343" t="s">
        <v>557</v>
      </c>
      <c r="D6343" s="452">
        <v>45597</v>
      </c>
      <c r="E6343">
        <v>18699</v>
      </c>
      <c r="F6343" t="s">
        <v>5632</v>
      </c>
      <c r="G6343">
        <v>3034</v>
      </c>
      <c r="H6343">
        <v>4.3</v>
      </c>
      <c r="I6343" t="s">
        <v>4744</v>
      </c>
      <c r="J6343" t="s">
        <v>5191</v>
      </c>
      <c r="K6343" t="s">
        <v>726</v>
      </c>
      <c r="L6343">
        <v>0</v>
      </c>
      <c r="M6343" s="452">
        <v>45498</v>
      </c>
      <c r="N6343">
        <v>26.75</v>
      </c>
      <c r="O6343">
        <v>26.75</v>
      </c>
      <c r="P6343">
        <v>115.02</v>
      </c>
    </row>
    <row r="6344" spans="1:16" x14ac:dyDescent="0.3">
      <c r="A6344">
        <v>4784</v>
      </c>
      <c r="B6344">
        <v>105</v>
      </c>
      <c r="C6344" t="s">
        <v>557</v>
      </c>
      <c r="D6344" s="452">
        <v>45597</v>
      </c>
      <c r="E6344">
        <v>19946</v>
      </c>
      <c r="F6344" t="s">
        <v>5638</v>
      </c>
      <c r="G6344">
        <v>2360</v>
      </c>
      <c r="H6344">
        <v>1.93</v>
      </c>
      <c r="I6344" t="s">
        <v>4879</v>
      </c>
      <c r="J6344" t="s">
        <v>5191</v>
      </c>
      <c r="K6344" t="s">
        <v>726</v>
      </c>
      <c r="L6344">
        <v>0</v>
      </c>
      <c r="M6344" s="452">
        <v>45561</v>
      </c>
      <c r="N6344">
        <v>59.5</v>
      </c>
      <c r="O6344">
        <v>59.6</v>
      </c>
      <c r="P6344">
        <v>114.84</v>
      </c>
    </row>
    <row r="6345" spans="1:16" x14ac:dyDescent="0.3">
      <c r="A6345">
        <v>4955</v>
      </c>
      <c r="B6345">
        <v>105</v>
      </c>
      <c r="C6345" t="s">
        <v>557</v>
      </c>
      <c r="D6345" s="452">
        <v>45597</v>
      </c>
      <c r="E6345">
        <v>17728</v>
      </c>
      <c r="F6345" t="s">
        <v>5639</v>
      </c>
      <c r="G6345">
        <v>3813</v>
      </c>
      <c r="H6345">
        <v>2.25</v>
      </c>
      <c r="I6345" t="s">
        <v>4736</v>
      </c>
      <c r="J6345" t="s">
        <v>5222</v>
      </c>
      <c r="K6345" t="s">
        <v>726</v>
      </c>
      <c r="L6345">
        <v>0</v>
      </c>
      <c r="M6345" s="452">
        <v>45561</v>
      </c>
      <c r="N6345">
        <v>49.5</v>
      </c>
      <c r="O6345">
        <v>49.5</v>
      </c>
      <c r="P6345">
        <v>111.38</v>
      </c>
    </row>
    <row r="6346" spans="1:16" x14ac:dyDescent="0.3">
      <c r="A6346">
        <v>4734</v>
      </c>
      <c r="B6346">
        <v>105</v>
      </c>
      <c r="C6346" t="s">
        <v>557</v>
      </c>
      <c r="D6346" s="452">
        <v>45597</v>
      </c>
      <c r="E6346">
        <v>20689</v>
      </c>
      <c r="F6346" t="s">
        <v>5007</v>
      </c>
      <c r="G6346">
        <v>2105</v>
      </c>
      <c r="H6346">
        <v>3</v>
      </c>
      <c r="I6346" t="s">
        <v>4736</v>
      </c>
      <c r="J6346" t="s">
        <v>5191</v>
      </c>
      <c r="K6346" t="s">
        <v>726</v>
      </c>
      <c r="L6346">
        <v>36.86</v>
      </c>
      <c r="M6346" s="452">
        <v>45593</v>
      </c>
      <c r="N6346">
        <v>36.9</v>
      </c>
      <c r="O6346">
        <v>36.9</v>
      </c>
      <c r="P6346">
        <v>110.58</v>
      </c>
    </row>
    <row r="6347" spans="1:16" x14ac:dyDescent="0.3">
      <c r="A6347">
        <v>4785</v>
      </c>
      <c r="B6347">
        <v>105</v>
      </c>
      <c r="C6347" t="s">
        <v>557</v>
      </c>
      <c r="D6347" s="452">
        <v>45597</v>
      </c>
      <c r="E6347">
        <v>19943</v>
      </c>
      <c r="F6347" t="s">
        <v>5698</v>
      </c>
      <c r="G6347">
        <v>2361</v>
      </c>
      <c r="H6347">
        <v>1.85</v>
      </c>
      <c r="I6347" t="s">
        <v>4744</v>
      </c>
      <c r="J6347" t="s">
        <v>5191</v>
      </c>
      <c r="K6347" t="s">
        <v>726</v>
      </c>
      <c r="L6347">
        <v>59.6</v>
      </c>
      <c r="M6347" s="452">
        <v>45582</v>
      </c>
      <c r="N6347">
        <v>59.6</v>
      </c>
      <c r="O6347">
        <v>59.6</v>
      </c>
      <c r="P6347">
        <v>110.26</v>
      </c>
    </row>
    <row r="6348" spans="1:16" x14ac:dyDescent="0.3">
      <c r="A6348">
        <v>4842</v>
      </c>
      <c r="B6348">
        <v>105</v>
      </c>
      <c r="C6348" t="s">
        <v>557</v>
      </c>
      <c r="D6348" s="452">
        <v>45597</v>
      </c>
      <c r="E6348">
        <v>19765</v>
      </c>
      <c r="F6348" t="s">
        <v>4889</v>
      </c>
      <c r="G6348">
        <v>2488</v>
      </c>
      <c r="H6348">
        <v>3</v>
      </c>
      <c r="I6348" t="s">
        <v>4744</v>
      </c>
      <c r="J6348" t="s">
        <v>5191</v>
      </c>
      <c r="K6348" t="s">
        <v>726</v>
      </c>
      <c r="L6348">
        <v>36.479999999999997</v>
      </c>
      <c r="M6348" s="452">
        <v>45596</v>
      </c>
      <c r="N6348">
        <v>35.1</v>
      </c>
      <c r="O6348">
        <v>35.94</v>
      </c>
      <c r="P6348">
        <v>109.44</v>
      </c>
    </row>
    <row r="6349" spans="1:16" x14ac:dyDescent="0.3">
      <c r="A6349">
        <v>4942</v>
      </c>
      <c r="B6349">
        <v>105</v>
      </c>
      <c r="C6349" t="s">
        <v>557</v>
      </c>
      <c r="D6349" s="452">
        <v>45597</v>
      </c>
      <c r="E6349">
        <v>17881</v>
      </c>
      <c r="F6349" t="s">
        <v>5103</v>
      </c>
      <c r="G6349">
        <v>3675</v>
      </c>
      <c r="H6349">
        <v>4</v>
      </c>
      <c r="I6349" t="s">
        <v>4738</v>
      </c>
      <c r="J6349" t="s">
        <v>5222</v>
      </c>
      <c r="K6349" t="s">
        <v>726</v>
      </c>
      <c r="L6349">
        <v>0</v>
      </c>
      <c r="M6349" s="452">
        <v>45546</v>
      </c>
      <c r="N6349">
        <v>26.28</v>
      </c>
      <c r="O6349">
        <v>26.28</v>
      </c>
      <c r="P6349">
        <v>105.12</v>
      </c>
    </row>
    <row r="6350" spans="1:16" x14ac:dyDescent="0.3">
      <c r="A6350">
        <v>4822</v>
      </c>
      <c r="B6350">
        <v>105</v>
      </c>
      <c r="C6350" t="s">
        <v>557</v>
      </c>
      <c r="D6350" s="452">
        <v>45597</v>
      </c>
      <c r="E6350">
        <v>19634</v>
      </c>
      <c r="F6350" t="s">
        <v>4792</v>
      </c>
      <c r="G6350">
        <v>2602</v>
      </c>
      <c r="H6350">
        <v>11.72</v>
      </c>
      <c r="I6350" t="s">
        <v>4744</v>
      </c>
      <c r="J6350" t="s">
        <v>5191</v>
      </c>
      <c r="K6350" t="s">
        <v>726</v>
      </c>
      <c r="L6350">
        <v>8.73</v>
      </c>
      <c r="M6350" s="452">
        <v>45596</v>
      </c>
      <c r="N6350">
        <v>6</v>
      </c>
      <c r="O6350">
        <v>5.68</v>
      </c>
      <c r="P6350">
        <v>102.32</v>
      </c>
    </row>
    <row r="6351" spans="1:16" x14ac:dyDescent="0.3">
      <c r="A6351">
        <v>4885</v>
      </c>
      <c r="B6351">
        <v>105</v>
      </c>
      <c r="C6351" t="s">
        <v>557</v>
      </c>
      <c r="D6351" s="452">
        <v>45597</v>
      </c>
      <c r="E6351">
        <v>19365</v>
      </c>
      <c r="F6351" t="s">
        <v>5717</v>
      </c>
      <c r="G6351">
        <v>2767</v>
      </c>
      <c r="H6351">
        <v>0.91</v>
      </c>
      <c r="I6351" t="s">
        <v>4736</v>
      </c>
      <c r="J6351" t="s">
        <v>5191</v>
      </c>
      <c r="K6351" t="s">
        <v>726</v>
      </c>
      <c r="L6351">
        <v>0</v>
      </c>
      <c r="M6351" s="452">
        <v>45376</v>
      </c>
      <c r="N6351">
        <v>112.28</v>
      </c>
      <c r="O6351">
        <v>112.28</v>
      </c>
      <c r="P6351">
        <v>102.17</v>
      </c>
    </row>
    <row r="6352" spans="1:16" x14ac:dyDescent="0.3">
      <c r="A6352">
        <v>4919</v>
      </c>
      <c r="B6352">
        <v>105</v>
      </c>
      <c r="C6352" t="s">
        <v>557</v>
      </c>
      <c r="D6352" s="452">
        <v>45597</v>
      </c>
      <c r="E6352">
        <v>24660</v>
      </c>
      <c r="F6352" t="s">
        <v>5523</v>
      </c>
      <c r="G6352">
        <v>5702</v>
      </c>
      <c r="H6352">
        <v>6.75</v>
      </c>
      <c r="I6352" t="s">
        <v>4744</v>
      </c>
      <c r="J6352" t="s">
        <v>5191</v>
      </c>
      <c r="K6352" t="s">
        <v>726</v>
      </c>
      <c r="L6352">
        <v>15.11</v>
      </c>
      <c r="M6352" s="452">
        <v>45573</v>
      </c>
      <c r="N6352">
        <v>12</v>
      </c>
      <c r="O6352">
        <v>12</v>
      </c>
      <c r="P6352">
        <v>101.99</v>
      </c>
    </row>
    <row r="6353" spans="1:16" x14ac:dyDescent="0.3">
      <c r="A6353">
        <v>4846</v>
      </c>
      <c r="B6353">
        <v>105</v>
      </c>
      <c r="C6353" t="s">
        <v>557</v>
      </c>
      <c r="D6353" s="452">
        <v>45597</v>
      </c>
      <c r="E6353">
        <v>19751</v>
      </c>
      <c r="F6353" t="s">
        <v>4800</v>
      </c>
      <c r="G6353">
        <v>2502</v>
      </c>
      <c r="H6353">
        <v>11.35</v>
      </c>
      <c r="I6353" t="s">
        <v>4744</v>
      </c>
      <c r="J6353" t="s">
        <v>5191</v>
      </c>
      <c r="K6353" t="s">
        <v>726</v>
      </c>
      <c r="L6353">
        <v>8.9600000000000009</v>
      </c>
      <c r="M6353" s="452">
        <v>45596</v>
      </c>
      <c r="N6353">
        <v>9.5</v>
      </c>
      <c r="O6353">
        <v>8.5399999999999991</v>
      </c>
      <c r="P6353">
        <v>101.7</v>
      </c>
    </row>
    <row r="6354" spans="1:16" x14ac:dyDescent="0.3">
      <c r="A6354">
        <v>4647</v>
      </c>
      <c r="B6354">
        <v>105</v>
      </c>
      <c r="C6354" t="s">
        <v>557</v>
      </c>
      <c r="D6354" s="452">
        <v>45597</v>
      </c>
      <c r="E6354">
        <v>18545</v>
      </c>
      <c r="F6354" t="s">
        <v>4864</v>
      </c>
      <c r="G6354">
        <v>3134</v>
      </c>
      <c r="H6354">
        <v>1.9</v>
      </c>
      <c r="I6354" t="s">
        <v>4805</v>
      </c>
      <c r="J6354" t="s">
        <v>5222</v>
      </c>
      <c r="K6354" t="s">
        <v>726</v>
      </c>
      <c r="L6354">
        <v>51.4</v>
      </c>
      <c r="M6354" s="452">
        <v>45588</v>
      </c>
      <c r="N6354">
        <v>49.99</v>
      </c>
      <c r="O6354">
        <v>49.9</v>
      </c>
      <c r="P6354">
        <v>97.66</v>
      </c>
    </row>
    <row r="6355" spans="1:16" x14ac:dyDescent="0.3">
      <c r="A6355">
        <v>4651</v>
      </c>
      <c r="B6355">
        <v>105</v>
      </c>
      <c r="C6355" t="s">
        <v>557</v>
      </c>
      <c r="D6355" s="452">
        <v>45597</v>
      </c>
      <c r="E6355">
        <v>18493</v>
      </c>
      <c r="F6355" t="s">
        <v>5553</v>
      </c>
      <c r="G6355">
        <v>3164</v>
      </c>
      <c r="H6355">
        <v>1.35</v>
      </c>
      <c r="I6355" t="s">
        <v>4805</v>
      </c>
      <c r="J6355" t="s">
        <v>5222</v>
      </c>
      <c r="K6355" t="s">
        <v>726</v>
      </c>
      <c r="L6355">
        <v>0</v>
      </c>
      <c r="M6355" s="452">
        <v>-693593</v>
      </c>
      <c r="N6355">
        <v>0</v>
      </c>
      <c r="O6355">
        <v>69.900000000000006</v>
      </c>
      <c r="P6355">
        <v>94.36</v>
      </c>
    </row>
    <row r="6356" spans="1:16" x14ac:dyDescent="0.3">
      <c r="A6356">
        <v>4783</v>
      </c>
      <c r="B6356">
        <v>105</v>
      </c>
      <c r="C6356" t="s">
        <v>557</v>
      </c>
      <c r="D6356" s="452">
        <v>45597</v>
      </c>
      <c r="E6356">
        <v>19965</v>
      </c>
      <c r="F6356" t="s">
        <v>5251</v>
      </c>
      <c r="G6356">
        <v>2356</v>
      </c>
      <c r="H6356">
        <v>7</v>
      </c>
      <c r="I6356" t="s">
        <v>4736</v>
      </c>
      <c r="J6356" t="s">
        <v>5191</v>
      </c>
      <c r="K6356" t="s">
        <v>726</v>
      </c>
      <c r="L6356">
        <v>0</v>
      </c>
      <c r="M6356" s="452">
        <v>45565</v>
      </c>
      <c r="N6356">
        <v>13.45</v>
      </c>
      <c r="O6356">
        <v>13.41</v>
      </c>
      <c r="P6356">
        <v>94.15</v>
      </c>
    </row>
    <row r="6357" spans="1:16" x14ac:dyDescent="0.3">
      <c r="A6357">
        <v>4908</v>
      </c>
      <c r="B6357">
        <v>105</v>
      </c>
      <c r="C6357" t="s">
        <v>557</v>
      </c>
      <c r="D6357" s="452">
        <v>45597</v>
      </c>
      <c r="E6357">
        <v>18991</v>
      </c>
      <c r="F6357" t="s">
        <v>4815</v>
      </c>
      <c r="G6357">
        <v>2900</v>
      </c>
      <c r="H6357">
        <v>2.5</v>
      </c>
      <c r="I6357" t="s">
        <v>4744</v>
      </c>
      <c r="J6357" t="s">
        <v>5191</v>
      </c>
      <c r="K6357" t="s">
        <v>726</v>
      </c>
      <c r="L6357">
        <v>0</v>
      </c>
      <c r="M6357" s="452">
        <v>45520</v>
      </c>
      <c r="N6357">
        <v>37.42</v>
      </c>
      <c r="O6357">
        <v>37.42</v>
      </c>
      <c r="P6357">
        <v>93.54</v>
      </c>
    </row>
    <row r="6358" spans="1:16" x14ac:dyDescent="0.3">
      <c r="A6358">
        <v>4757</v>
      </c>
      <c r="B6358">
        <v>105</v>
      </c>
      <c r="C6358" t="s">
        <v>557</v>
      </c>
      <c r="D6358" s="452">
        <v>45597</v>
      </c>
      <c r="E6358">
        <v>21021</v>
      </c>
      <c r="F6358" t="s">
        <v>4883</v>
      </c>
      <c r="G6358">
        <v>2003</v>
      </c>
      <c r="H6358">
        <v>0.62</v>
      </c>
      <c r="I6358" t="s">
        <v>4884</v>
      </c>
      <c r="J6358" t="s">
        <v>5191</v>
      </c>
      <c r="K6358" t="s">
        <v>726</v>
      </c>
      <c r="L6358">
        <v>150.16999999999999</v>
      </c>
      <c r="M6358" s="452">
        <v>45593</v>
      </c>
      <c r="N6358">
        <v>148.69999999999999</v>
      </c>
      <c r="O6358">
        <v>148.69999999999999</v>
      </c>
      <c r="P6358">
        <v>93.11</v>
      </c>
    </row>
    <row r="6359" spans="1:16" x14ac:dyDescent="0.3">
      <c r="A6359">
        <v>6650</v>
      </c>
      <c r="B6359">
        <v>105</v>
      </c>
      <c r="C6359" t="s">
        <v>557</v>
      </c>
      <c r="D6359" s="452">
        <v>45597</v>
      </c>
      <c r="E6359">
        <v>25233</v>
      </c>
      <c r="F6359" t="s">
        <v>5439</v>
      </c>
      <c r="G6359">
        <v>5958</v>
      </c>
      <c r="H6359">
        <v>1.22</v>
      </c>
      <c r="I6359" t="s">
        <v>4884</v>
      </c>
      <c r="J6359" t="s">
        <v>5191</v>
      </c>
      <c r="K6359" t="s">
        <v>726</v>
      </c>
      <c r="L6359">
        <v>0</v>
      </c>
      <c r="M6359" s="452">
        <v>-693593</v>
      </c>
      <c r="N6359">
        <v>0</v>
      </c>
      <c r="O6359">
        <v>76</v>
      </c>
      <c r="P6359">
        <v>92.72</v>
      </c>
    </row>
    <row r="6360" spans="1:16" x14ac:dyDescent="0.3">
      <c r="A6360">
        <v>4766</v>
      </c>
      <c r="B6360">
        <v>105</v>
      </c>
      <c r="C6360" t="s">
        <v>557</v>
      </c>
      <c r="D6360" s="452">
        <v>45597</v>
      </c>
      <c r="E6360">
        <v>20500</v>
      </c>
      <c r="F6360" t="s">
        <v>5673</v>
      </c>
      <c r="G6360">
        <v>2154</v>
      </c>
      <c r="H6360">
        <v>1.6</v>
      </c>
      <c r="I6360" t="s">
        <v>4736</v>
      </c>
      <c r="J6360" t="s">
        <v>5191</v>
      </c>
      <c r="K6360" t="s">
        <v>726</v>
      </c>
      <c r="L6360">
        <v>57.87</v>
      </c>
      <c r="M6360" s="452">
        <v>45587</v>
      </c>
      <c r="N6360">
        <v>24.8</v>
      </c>
      <c r="O6360">
        <v>99.5</v>
      </c>
      <c r="P6360">
        <v>92.59</v>
      </c>
    </row>
    <row r="6361" spans="1:16" x14ac:dyDescent="0.3">
      <c r="A6361">
        <v>4737</v>
      </c>
      <c r="B6361">
        <v>105</v>
      </c>
      <c r="C6361" t="s">
        <v>557</v>
      </c>
      <c r="D6361" s="452">
        <v>45597</v>
      </c>
      <c r="E6361">
        <v>20672</v>
      </c>
      <c r="F6361" t="s">
        <v>4857</v>
      </c>
      <c r="G6361">
        <v>2107</v>
      </c>
      <c r="H6361">
        <v>2.99</v>
      </c>
      <c r="I6361" t="s">
        <v>4738</v>
      </c>
      <c r="J6361" t="s">
        <v>5191</v>
      </c>
      <c r="K6361" t="s">
        <v>726</v>
      </c>
      <c r="L6361">
        <v>0</v>
      </c>
      <c r="M6361" s="452">
        <v>45554</v>
      </c>
      <c r="N6361">
        <v>30.4</v>
      </c>
      <c r="O6361">
        <v>30.4</v>
      </c>
      <c r="P6361">
        <v>90.9</v>
      </c>
    </row>
    <row r="6362" spans="1:16" x14ac:dyDescent="0.3">
      <c r="A6362">
        <v>6677</v>
      </c>
      <c r="B6362">
        <v>105</v>
      </c>
      <c r="C6362" t="s">
        <v>557</v>
      </c>
      <c r="D6362" s="452">
        <v>45597</v>
      </c>
      <c r="E6362">
        <v>25762</v>
      </c>
      <c r="F6362" t="s">
        <v>4770</v>
      </c>
      <c r="G6362">
        <v>9070</v>
      </c>
      <c r="H6362">
        <v>13</v>
      </c>
      <c r="I6362" t="s">
        <v>4736</v>
      </c>
      <c r="J6362" t="s">
        <v>5191</v>
      </c>
      <c r="K6362" t="s">
        <v>726</v>
      </c>
      <c r="L6362">
        <v>0</v>
      </c>
      <c r="M6362" s="452">
        <v>-693593</v>
      </c>
      <c r="N6362">
        <v>0</v>
      </c>
      <c r="O6362">
        <v>0</v>
      </c>
      <c r="P6362">
        <v>90.87</v>
      </c>
    </row>
    <row r="6363" spans="1:16" x14ac:dyDescent="0.3">
      <c r="A6363">
        <v>6678</v>
      </c>
      <c r="B6363">
        <v>105</v>
      </c>
      <c r="C6363" t="s">
        <v>557</v>
      </c>
      <c r="D6363" s="452">
        <v>45597</v>
      </c>
      <c r="E6363">
        <v>25763</v>
      </c>
      <c r="F6363" t="s">
        <v>4943</v>
      </c>
      <c r="G6363">
        <v>6314</v>
      </c>
      <c r="H6363">
        <v>13</v>
      </c>
      <c r="I6363" t="s">
        <v>4736</v>
      </c>
      <c r="J6363" t="s">
        <v>5191</v>
      </c>
      <c r="K6363" t="s">
        <v>726</v>
      </c>
      <c r="L6363">
        <v>0</v>
      </c>
      <c r="M6363" s="452">
        <v>-693593</v>
      </c>
      <c r="N6363">
        <v>0</v>
      </c>
      <c r="O6363">
        <v>0</v>
      </c>
      <c r="P6363">
        <v>90.87</v>
      </c>
    </row>
    <row r="6364" spans="1:16" x14ac:dyDescent="0.3">
      <c r="A6364">
        <v>4801</v>
      </c>
      <c r="B6364">
        <v>105</v>
      </c>
      <c r="C6364" t="s">
        <v>557</v>
      </c>
      <c r="D6364" s="452">
        <v>45597</v>
      </c>
      <c r="E6364">
        <v>20185</v>
      </c>
      <c r="F6364" t="s">
        <v>5054</v>
      </c>
      <c r="G6364">
        <v>2259</v>
      </c>
      <c r="H6364">
        <v>2.6</v>
      </c>
      <c r="I6364" t="s">
        <v>4744</v>
      </c>
      <c r="J6364" t="s">
        <v>5191</v>
      </c>
      <c r="K6364" t="s">
        <v>726</v>
      </c>
      <c r="L6364">
        <v>34.9</v>
      </c>
      <c r="M6364" s="452">
        <v>45582</v>
      </c>
      <c r="N6364">
        <v>34.9</v>
      </c>
      <c r="O6364">
        <v>34.5</v>
      </c>
      <c r="P6364">
        <v>90.74</v>
      </c>
    </row>
    <row r="6365" spans="1:16" x14ac:dyDescent="0.3">
      <c r="A6365">
        <v>4649</v>
      </c>
      <c r="B6365">
        <v>105</v>
      </c>
      <c r="C6365" t="s">
        <v>557</v>
      </c>
      <c r="D6365" s="452">
        <v>45597</v>
      </c>
      <c r="E6365">
        <v>18538</v>
      </c>
      <c r="F6365" t="s">
        <v>5030</v>
      </c>
      <c r="G6365">
        <v>3139</v>
      </c>
      <c r="H6365">
        <v>0.8</v>
      </c>
      <c r="I6365" t="s">
        <v>4805</v>
      </c>
      <c r="J6365" t="s">
        <v>5222</v>
      </c>
      <c r="K6365" t="s">
        <v>726</v>
      </c>
      <c r="L6365">
        <v>0</v>
      </c>
      <c r="M6365" s="452">
        <v>45462</v>
      </c>
      <c r="N6365">
        <v>112.9</v>
      </c>
      <c r="O6365">
        <v>98.9</v>
      </c>
      <c r="P6365">
        <v>90.32</v>
      </c>
    </row>
    <row r="6366" spans="1:16" x14ac:dyDescent="0.3">
      <c r="A6366">
        <v>4662</v>
      </c>
      <c r="B6366">
        <v>105</v>
      </c>
      <c r="C6366" t="s">
        <v>557</v>
      </c>
      <c r="D6366" s="452">
        <v>45597</v>
      </c>
      <c r="E6366">
        <v>24685</v>
      </c>
      <c r="F6366" t="s">
        <v>5055</v>
      </c>
      <c r="G6366">
        <v>5714</v>
      </c>
      <c r="H6366">
        <v>0.6</v>
      </c>
      <c r="I6366" t="s">
        <v>4805</v>
      </c>
      <c r="J6366" t="s">
        <v>5222</v>
      </c>
      <c r="K6366" t="s">
        <v>726</v>
      </c>
      <c r="L6366">
        <v>0</v>
      </c>
      <c r="M6366" s="452">
        <v>45534</v>
      </c>
      <c r="N6366">
        <v>149.9</v>
      </c>
      <c r="O6366">
        <v>145.02000000000001</v>
      </c>
      <c r="P6366">
        <v>89.94</v>
      </c>
    </row>
    <row r="6367" spans="1:16" x14ac:dyDescent="0.3">
      <c r="A6367">
        <v>4854</v>
      </c>
      <c r="B6367">
        <v>105</v>
      </c>
      <c r="C6367" t="s">
        <v>557</v>
      </c>
      <c r="D6367" s="452">
        <v>45597</v>
      </c>
      <c r="E6367">
        <v>19732</v>
      </c>
      <c r="F6367" t="s">
        <v>5584</v>
      </c>
      <c r="G6367">
        <v>2521</v>
      </c>
      <c r="H6367">
        <v>8.08</v>
      </c>
      <c r="I6367" t="s">
        <v>4744</v>
      </c>
      <c r="J6367" t="s">
        <v>5191</v>
      </c>
      <c r="K6367" t="s">
        <v>726</v>
      </c>
      <c r="L6367">
        <v>11.12</v>
      </c>
      <c r="M6367" s="452">
        <v>45596</v>
      </c>
      <c r="N6367">
        <v>11</v>
      </c>
      <c r="O6367">
        <v>10.6</v>
      </c>
      <c r="P6367">
        <v>89.85</v>
      </c>
    </row>
    <row r="6368" spans="1:16" x14ac:dyDescent="0.3">
      <c r="A6368">
        <v>4692</v>
      </c>
      <c r="B6368">
        <v>105</v>
      </c>
      <c r="C6368" t="s">
        <v>557</v>
      </c>
      <c r="D6368" s="452">
        <v>45597</v>
      </c>
      <c r="E6368">
        <v>17062</v>
      </c>
      <c r="F6368" t="s">
        <v>4880</v>
      </c>
      <c r="G6368">
        <v>1954</v>
      </c>
      <c r="H6368">
        <v>2.5</v>
      </c>
      <c r="I6368" t="s">
        <v>4879</v>
      </c>
      <c r="J6368" t="s">
        <v>5191</v>
      </c>
      <c r="K6368" t="s">
        <v>726</v>
      </c>
      <c r="L6368">
        <v>0</v>
      </c>
      <c r="M6368" s="452">
        <v>-693593</v>
      </c>
      <c r="N6368">
        <v>0</v>
      </c>
      <c r="O6368">
        <v>0</v>
      </c>
      <c r="P6368">
        <v>89.52</v>
      </c>
    </row>
    <row r="6369" spans="1:16" x14ac:dyDescent="0.3">
      <c r="A6369">
        <v>4724</v>
      </c>
      <c r="B6369">
        <v>105</v>
      </c>
      <c r="C6369" t="s">
        <v>557</v>
      </c>
      <c r="D6369" s="452">
        <v>45597</v>
      </c>
      <c r="E6369">
        <v>20054</v>
      </c>
      <c r="F6369" t="s">
        <v>4856</v>
      </c>
      <c r="G6369">
        <v>2325</v>
      </c>
      <c r="H6369">
        <v>8</v>
      </c>
      <c r="I6369" t="s">
        <v>4736</v>
      </c>
      <c r="J6369" t="s">
        <v>5191</v>
      </c>
      <c r="K6369" t="s">
        <v>726</v>
      </c>
      <c r="L6369">
        <v>0</v>
      </c>
      <c r="M6369" s="452">
        <v>45555</v>
      </c>
      <c r="N6369">
        <v>11.12</v>
      </c>
      <c r="O6369">
        <v>11.5</v>
      </c>
      <c r="P6369">
        <v>88.96</v>
      </c>
    </row>
    <row r="6370" spans="1:16" x14ac:dyDescent="0.3">
      <c r="A6370">
        <v>4743</v>
      </c>
      <c r="B6370">
        <v>105</v>
      </c>
      <c r="C6370" t="s">
        <v>557</v>
      </c>
      <c r="D6370" s="452">
        <v>45597</v>
      </c>
      <c r="E6370">
        <v>20359</v>
      </c>
      <c r="F6370" t="s">
        <v>5446</v>
      </c>
      <c r="G6370">
        <v>2199</v>
      </c>
      <c r="H6370">
        <v>20.309999999999999</v>
      </c>
      <c r="I6370" t="s">
        <v>4736</v>
      </c>
      <c r="J6370" t="s">
        <v>5191</v>
      </c>
      <c r="K6370" t="s">
        <v>726</v>
      </c>
      <c r="L6370">
        <v>4.3600000000000003</v>
      </c>
      <c r="M6370" s="452">
        <v>45593</v>
      </c>
      <c r="N6370">
        <v>4.4000000000000004</v>
      </c>
      <c r="O6370">
        <v>4.32</v>
      </c>
      <c r="P6370">
        <v>88.55</v>
      </c>
    </row>
    <row r="6371" spans="1:16" x14ac:dyDescent="0.3">
      <c r="A6371">
        <v>4946</v>
      </c>
      <c r="B6371">
        <v>105</v>
      </c>
      <c r="C6371" t="s">
        <v>557</v>
      </c>
      <c r="D6371" s="452">
        <v>45597</v>
      </c>
      <c r="E6371">
        <v>24640</v>
      </c>
      <c r="F6371" t="s">
        <v>5585</v>
      </c>
      <c r="G6371">
        <v>5691</v>
      </c>
      <c r="H6371">
        <v>1.5</v>
      </c>
      <c r="I6371" t="s">
        <v>4805</v>
      </c>
      <c r="J6371" t="s">
        <v>5222</v>
      </c>
      <c r="K6371" t="s">
        <v>726</v>
      </c>
      <c r="L6371">
        <v>0</v>
      </c>
      <c r="M6371" s="452">
        <v>45432</v>
      </c>
      <c r="N6371">
        <v>59</v>
      </c>
      <c r="O6371">
        <v>59</v>
      </c>
      <c r="P6371">
        <v>88.5</v>
      </c>
    </row>
    <row r="6372" spans="1:16" x14ac:dyDescent="0.3">
      <c r="A6372">
        <v>4777</v>
      </c>
      <c r="B6372">
        <v>105</v>
      </c>
      <c r="C6372" t="s">
        <v>557</v>
      </c>
      <c r="D6372" s="452">
        <v>45597</v>
      </c>
      <c r="E6372">
        <v>19978</v>
      </c>
      <c r="F6372" t="s">
        <v>4887</v>
      </c>
      <c r="G6372">
        <v>2353</v>
      </c>
      <c r="H6372">
        <v>6</v>
      </c>
      <c r="I6372" t="s">
        <v>4888</v>
      </c>
      <c r="J6372" t="s">
        <v>5191</v>
      </c>
      <c r="K6372" t="s">
        <v>726</v>
      </c>
      <c r="L6372">
        <v>0</v>
      </c>
      <c r="M6372" s="452">
        <v>45565</v>
      </c>
      <c r="N6372">
        <v>14.7</v>
      </c>
      <c r="O6372">
        <v>15.15</v>
      </c>
      <c r="P6372">
        <v>88.2</v>
      </c>
    </row>
    <row r="6373" spans="1:16" x14ac:dyDescent="0.3">
      <c r="A6373">
        <v>4827</v>
      </c>
      <c r="B6373">
        <v>105</v>
      </c>
      <c r="C6373" t="s">
        <v>557</v>
      </c>
      <c r="D6373" s="452">
        <v>45597</v>
      </c>
      <c r="E6373">
        <v>19628</v>
      </c>
      <c r="F6373" t="s">
        <v>5601</v>
      </c>
      <c r="G6373">
        <v>2606</v>
      </c>
      <c r="H6373">
        <v>29.68</v>
      </c>
      <c r="I6373" t="s">
        <v>4744</v>
      </c>
      <c r="J6373" t="s">
        <v>5191</v>
      </c>
      <c r="K6373" t="s">
        <v>726</v>
      </c>
      <c r="L6373">
        <v>2.95</v>
      </c>
      <c r="M6373" s="452">
        <v>45596</v>
      </c>
      <c r="N6373">
        <v>2</v>
      </c>
      <c r="O6373">
        <v>1.95</v>
      </c>
      <c r="P6373">
        <v>87.56</v>
      </c>
    </row>
    <row r="6374" spans="1:16" x14ac:dyDescent="0.3">
      <c r="A6374">
        <v>4755</v>
      </c>
      <c r="B6374">
        <v>105</v>
      </c>
      <c r="C6374" t="s">
        <v>557</v>
      </c>
      <c r="D6374" s="452">
        <v>45597</v>
      </c>
      <c r="E6374">
        <v>20856</v>
      </c>
      <c r="F6374" t="s">
        <v>5495</v>
      </c>
      <c r="G6374">
        <v>2045</v>
      </c>
      <c r="H6374">
        <v>2.5</v>
      </c>
      <c r="I6374" t="s">
        <v>4736</v>
      </c>
      <c r="J6374" t="s">
        <v>5191</v>
      </c>
      <c r="K6374" t="s">
        <v>726</v>
      </c>
      <c r="L6374">
        <v>0</v>
      </c>
      <c r="M6374" s="452">
        <v>45546</v>
      </c>
      <c r="N6374">
        <v>34.799999999999997</v>
      </c>
      <c r="O6374">
        <v>35.799999999999997</v>
      </c>
      <c r="P6374">
        <v>87</v>
      </c>
    </row>
    <row r="6375" spans="1:16" x14ac:dyDescent="0.3">
      <c r="A6375">
        <v>4671</v>
      </c>
      <c r="B6375">
        <v>105</v>
      </c>
      <c r="C6375" t="s">
        <v>557</v>
      </c>
      <c r="D6375" s="452">
        <v>45597</v>
      </c>
      <c r="E6375">
        <v>18232</v>
      </c>
      <c r="F6375" t="s">
        <v>4971</v>
      </c>
      <c r="G6375">
        <v>3396</v>
      </c>
      <c r="H6375">
        <v>1</v>
      </c>
      <c r="I6375" t="s">
        <v>4805</v>
      </c>
      <c r="J6375" t="s">
        <v>5222</v>
      </c>
      <c r="K6375" t="s">
        <v>726</v>
      </c>
      <c r="L6375">
        <v>85.9</v>
      </c>
      <c r="M6375" s="452">
        <v>45588</v>
      </c>
      <c r="N6375">
        <v>85.9</v>
      </c>
      <c r="O6375">
        <v>86.25</v>
      </c>
      <c r="P6375">
        <v>85.9</v>
      </c>
    </row>
    <row r="6376" spans="1:16" x14ac:dyDescent="0.3">
      <c r="A6376">
        <v>4668</v>
      </c>
      <c r="B6376">
        <v>105</v>
      </c>
      <c r="C6376" t="s">
        <v>557</v>
      </c>
      <c r="D6376" s="452">
        <v>45597</v>
      </c>
      <c r="E6376">
        <v>18273</v>
      </c>
      <c r="F6376" t="s">
        <v>5058</v>
      </c>
      <c r="G6376">
        <v>3357</v>
      </c>
      <c r="H6376">
        <v>2.16</v>
      </c>
      <c r="I6376" t="s">
        <v>4805</v>
      </c>
      <c r="J6376" t="s">
        <v>5222</v>
      </c>
      <c r="K6376" t="s">
        <v>726</v>
      </c>
      <c r="L6376">
        <v>0</v>
      </c>
      <c r="M6376" s="452">
        <v>-693593</v>
      </c>
      <c r="N6376">
        <v>0</v>
      </c>
      <c r="O6376">
        <v>39.18</v>
      </c>
      <c r="P6376">
        <v>84.63</v>
      </c>
    </row>
    <row r="6377" spans="1:16" x14ac:dyDescent="0.3">
      <c r="A6377">
        <v>4664</v>
      </c>
      <c r="B6377">
        <v>105</v>
      </c>
      <c r="C6377" t="s">
        <v>557</v>
      </c>
      <c r="D6377" s="452">
        <v>45597</v>
      </c>
      <c r="E6377">
        <v>18315</v>
      </c>
      <c r="F6377" t="s">
        <v>4922</v>
      </c>
      <c r="G6377">
        <v>3318</v>
      </c>
      <c r="H6377">
        <v>0.72</v>
      </c>
      <c r="I6377" t="s">
        <v>4805</v>
      </c>
      <c r="J6377" t="s">
        <v>5222</v>
      </c>
      <c r="K6377" t="s">
        <v>726</v>
      </c>
      <c r="L6377">
        <v>116.88</v>
      </c>
      <c r="M6377" s="452">
        <v>45588</v>
      </c>
      <c r="N6377">
        <v>116.88</v>
      </c>
      <c r="O6377">
        <v>122.98</v>
      </c>
      <c r="P6377">
        <v>84.15</v>
      </c>
    </row>
    <row r="6378" spans="1:16" x14ac:dyDescent="0.3">
      <c r="A6378">
        <v>4665</v>
      </c>
      <c r="B6378">
        <v>105</v>
      </c>
      <c r="C6378" t="s">
        <v>557</v>
      </c>
      <c r="D6378" s="452">
        <v>45597</v>
      </c>
      <c r="E6378">
        <v>18312</v>
      </c>
      <c r="F6378" t="s">
        <v>5037</v>
      </c>
      <c r="G6378">
        <v>3321</v>
      </c>
      <c r="H6378">
        <v>0.7</v>
      </c>
      <c r="I6378" t="s">
        <v>4805</v>
      </c>
      <c r="J6378" t="s">
        <v>5222</v>
      </c>
      <c r="K6378" t="s">
        <v>726</v>
      </c>
      <c r="L6378">
        <v>0</v>
      </c>
      <c r="M6378" s="452">
        <v>-693593</v>
      </c>
      <c r="N6378">
        <v>0</v>
      </c>
      <c r="O6378">
        <v>116.89</v>
      </c>
      <c r="P6378">
        <v>81.819999999999993</v>
      </c>
    </row>
    <row r="6379" spans="1:16" x14ac:dyDescent="0.3">
      <c r="A6379">
        <v>4685</v>
      </c>
      <c r="B6379">
        <v>105</v>
      </c>
      <c r="C6379" t="s">
        <v>557</v>
      </c>
      <c r="D6379" s="452">
        <v>45597</v>
      </c>
      <c r="E6379">
        <v>18111</v>
      </c>
      <c r="F6379" t="s">
        <v>5049</v>
      </c>
      <c r="G6379">
        <v>3500</v>
      </c>
      <c r="H6379">
        <v>0.95</v>
      </c>
      <c r="I6379" t="s">
        <v>4805</v>
      </c>
      <c r="J6379" t="s">
        <v>5222</v>
      </c>
      <c r="K6379" t="s">
        <v>726</v>
      </c>
      <c r="L6379">
        <v>0</v>
      </c>
      <c r="M6379" s="452">
        <v>45470</v>
      </c>
      <c r="N6379">
        <v>85.93</v>
      </c>
      <c r="O6379">
        <v>92.47</v>
      </c>
      <c r="P6379">
        <v>81.63</v>
      </c>
    </row>
    <row r="6380" spans="1:16" x14ac:dyDescent="0.3">
      <c r="A6380">
        <v>4690</v>
      </c>
      <c r="B6380">
        <v>105</v>
      </c>
      <c r="C6380" t="s">
        <v>557</v>
      </c>
      <c r="D6380" s="452">
        <v>45597</v>
      </c>
      <c r="E6380">
        <v>24456</v>
      </c>
      <c r="F6380" t="s">
        <v>4845</v>
      </c>
      <c r="G6380">
        <v>1965</v>
      </c>
      <c r="H6380">
        <v>3.05</v>
      </c>
      <c r="I6380" t="s">
        <v>4744</v>
      </c>
      <c r="J6380" t="s">
        <v>5191</v>
      </c>
      <c r="K6380" t="s">
        <v>726</v>
      </c>
      <c r="L6380">
        <v>0</v>
      </c>
      <c r="M6380" s="452">
        <v>45546</v>
      </c>
      <c r="N6380">
        <v>26</v>
      </c>
      <c r="O6380">
        <v>22.95</v>
      </c>
      <c r="P6380">
        <v>79.3</v>
      </c>
    </row>
    <row r="6381" spans="1:16" x14ac:dyDescent="0.3">
      <c r="A6381">
        <v>4727</v>
      </c>
      <c r="B6381">
        <v>105</v>
      </c>
      <c r="C6381" t="s">
        <v>557</v>
      </c>
      <c r="D6381" s="452">
        <v>45597</v>
      </c>
      <c r="E6381">
        <v>20932</v>
      </c>
      <c r="F6381" t="s">
        <v>5647</v>
      </c>
      <c r="G6381">
        <v>2032</v>
      </c>
      <c r="H6381">
        <v>1.07</v>
      </c>
      <c r="I6381" t="s">
        <v>4736</v>
      </c>
      <c r="J6381" t="s">
        <v>5191</v>
      </c>
      <c r="K6381" t="s">
        <v>726</v>
      </c>
      <c r="L6381">
        <v>0</v>
      </c>
      <c r="M6381" s="452">
        <v>45519</v>
      </c>
      <c r="N6381">
        <v>74</v>
      </c>
      <c r="O6381">
        <v>103.98</v>
      </c>
      <c r="P6381">
        <v>79.180000000000007</v>
      </c>
    </row>
    <row r="6382" spans="1:16" x14ac:dyDescent="0.3">
      <c r="A6382">
        <v>4659</v>
      </c>
      <c r="B6382">
        <v>105</v>
      </c>
      <c r="C6382" t="s">
        <v>557</v>
      </c>
      <c r="D6382" s="452">
        <v>45597</v>
      </c>
      <c r="E6382">
        <v>18336</v>
      </c>
      <c r="F6382" t="s">
        <v>5674</v>
      </c>
      <c r="G6382">
        <v>3298</v>
      </c>
      <c r="H6382">
        <v>0.9</v>
      </c>
      <c r="I6382" t="s">
        <v>4805</v>
      </c>
      <c r="J6382" t="s">
        <v>5222</v>
      </c>
      <c r="K6382" t="s">
        <v>726</v>
      </c>
      <c r="L6382">
        <v>0</v>
      </c>
      <c r="M6382" s="452">
        <v>-693593</v>
      </c>
      <c r="N6382">
        <v>0</v>
      </c>
      <c r="O6382">
        <v>86.9</v>
      </c>
      <c r="P6382">
        <v>78.209999999999994</v>
      </c>
    </row>
    <row r="6383" spans="1:16" x14ac:dyDescent="0.3">
      <c r="A6383">
        <v>4849</v>
      </c>
      <c r="B6383">
        <v>105</v>
      </c>
      <c r="C6383" t="s">
        <v>557</v>
      </c>
      <c r="D6383" s="452">
        <v>45597</v>
      </c>
      <c r="E6383">
        <v>19747</v>
      </c>
      <c r="F6383" t="s">
        <v>5696</v>
      </c>
      <c r="G6383">
        <v>2506</v>
      </c>
      <c r="H6383">
        <v>6.55</v>
      </c>
      <c r="I6383" t="s">
        <v>4744</v>
      </c>
      <c r="J6383" t="s">
        <v>5191</v>
      </c>
      <c r="K6383" t="s">
        <v>726</v>
      </c>
      <c r="L6383">
        <v>0</v>
      </c>
      <c r="M6383" s="452">
        <v>45362</v>
      </c>
      <c r="N6383">
        <v>11.8</v>
      </c>
      <c r="O6383">
        <v>11.8</v>
      </c>
      <c r="P6383">
        <v>77.290000000000006</v>
      </c>
    </row>
    <row r="6384" spans="1:16" x14ac:dyDescent="0.3">
      <c r="A6384">
        <v>4722</v>
      </c>
      <c r="B6384">
        <v>105</v>
      </c>
      <c r="C6384" t="s">
        <v>557</v>
      </c>
      <c r="D6384" s="452">
        <v>45597</v>
      </c>
      <c r="E6384">
        <v>20269</v>
      </c>
      <c r="F6384" t="s">
        <v>5578</v>
      </c>
      <c r="G6384">
        <v>2233</v>
      </c>
      <c r="H6384">
        <v>1</v>
      </c>
      <c r="I6384" t="s">
        <v>4736</v>
      </c>
      <c r="J6384" t="s">
        <v>5191</v>
      </c>
      <c r="K6384" t="s">
        <v>726</v>
      </c>
      <c r="L6384">
        <v>72.599999999999994</v>
      </c>
      <c r="M6384" s="452">
        <v>45573</v>
      </c>
      <c r="N6384">
        <v>72.599999999999994</v>
      </c>
      <c r="O6384">
        <v>65.28</v>
      </c>
      <c r="P6384">
        <v>72.599999999999994</v>
      </c>
    </row>
    <row r="6385" spans="1:16" x14ac:dyDescent="0.3">
      <c r="A6385">
        <v>4818</v>
      </c>
      <c r="B6385">
        <v>105</v>
      </c>
      <c r="C6385" t="s">
        <v>557</v>
      </c>
      <c r="D6385" s="452">
        <v>45597</v>
      </c>
      <c r="E6385">
        <v>19783</v>
      </c>
      <c r="F6385" t="s">
        <v>4960</v>
      </c>
      <c r="G6385">
        <v>2475</v>
      </c>
      <c r="H6385">
        <v>10.53</v>
      </c>
      <c r="I6385" t="s">
        <v>4744</v>
      </c>
      <c r="J6385" t="s">
        <v>5191</v>
      </c>
      <c r="K6385" t="s">
        <v>726</v>
      </c>
      <c r="L6385">
        <v>6.87</v>
      </c>
      <c r="M6385" s="452">
        <v>45596</v>
      </c>
      <c r="N6385">
        <v>5.99</v>
      </c>
      <c r="O6385">
        <v>5.98</v>
      </c>
      <c r="P6385">
        <v>72.34</v>
      </c>
    </row>
    <row r="6386" spans="1:16" x14ac:dyDescent="0.3">
      <c r="A6386">
        <v>4749</v>
      </c>
      <c r="B6386">
        <v>105</v>
      </c>
      <c r="C6386" t="s">
        <v>557</v>
      </c>
      <c r="D6386" s="452">
        <v>45597</v>
      </c>
      <c r="E6386">
        <v>20227</v>
      </c>
      <c r="F6386" t="s">
        <v>4825</v>
      </c>
      <c r="G6386">
        <v>2248</v>
      </c>
      <c r="H6386">
        <v>4</v>
      </c>
      <c r="I6386" t="s">
        <v>4738</v>
      </c>
      <c r="J6386" t="s">
        <v>5191</v>
      </c>
      <c r="K6386" t="s">
        <v>726</v>
      </c>
      <c r="L6386">
        <v>17.77</v>
      </c>
      <c r="M6386" s="452">
        <v>45586</v>
      </c>
      <c r="N6386">
        <v>17.420000000000002</v>
      </c>
      <c r="O6386">
        <v>8.98</v>
      </c>
      <c r="P6386">
        <v>71.08</v>
      </c>
    </row>
    <row r="6387" spans="1:16" x14ac:dyDescent="0.3">
      <c r="A6387">
        <v>4758</v>
      </c>
      <c r="B6387">
        <v>105</v>
      </c>
      <c r="C6387" t="s">
        <v>557</v>
      </c>
      <c r="D6387" s="452">
        <v>45597</v>
      </c>
      <c r="E6387">
        <v>23630</v>
      </c>
      <c r="F6387" t="s">
        <v>4813</v>
      </c>
      <c r="G6387">
        <v>2251</v>
      </c>
      <c r="H6387">
        <v>6.2</v>
      </c>
      <c r="I6387" t="s">
        <v>4744</v>
      </c>
      <c r="J6387" t="s">
        <v>5191</v>
      </c>
      <c r="K6387" t="s">
        <v>726</v>
      </c>
      <c r="L6387">
        <v>11.3</v>
      </c>
      <c r="M6387" s="452">
        <v>45586</v>
      </c>
      <c r="N6387">
        <v>11.3</v>
      </c>
      <c r="O6387">
        <v>11.6</v>
      </c>
      <c r="P6387">
        <v>70.06</v>
      </c>
    </row>
    <row r="6388" spans="1:16" x14ac:dyDescent="0.3">
      <c r="A6388">
        <v>6670</v>
      </c>
      <c r="B6388">
        <v>105</v>
      </c>
      <c r="C6388" t="s">
        <v>557</v>
      </c>
      <c r="D6388" s="452">
        <v>45597</v>
      </c>
      <c r="E6388">
        <v>25755</v>
      </c>
      <c r="F6388" t="s">
        <v>4821</v>
      </c>
      <c r="G6388">
        <v>9071</v>
      </c>
      <c r="H6388">
        <v>10</v>
      </c>
      <c r="I6388" t="s">
        <v>4749</v>
      </c>
      <c r="J6388" t="s">
        <v>5191</v>
      </c>
      <c r="K6388" t="s">
        <v>726</v>
      </c>
      <c r="L6388">
        <v>0</v>
      </c>
      <c r="M6388" s="452">
        <v>-693593</v>
      </c>
      <c r="N6388">
        <v>0</v>
      </c>
      <c r="O6388">
        <v>0</v>
      </c>
      <c r="P6388">
        <v>69.900000000000006</v>
      </c>
    </row>
    <row r="6389" spans="1:16" x14ac:dyDescent="0.3">
      <c r="A6389">
        <v>4762</v>
      </c>
      <c r="B6389">
        <v>105</v>
      </c>
      <c r="C6389" t="s">
        <v>557</v>
      </c>
      <c r="D6389" s="452">
        <v>45597</v>
      </c>
      <c r="E6389">
        <v>24322</v>
      </c>
      <c r="F6389" t="s">
        <v>5064</v>
      </c>
      <c r="G6389">
        <v>2342</v>
      </c>
      <c r="H6389">
        <v>2.87</v>
      </c>
      <c r="I6389" t="s">
        <v>4744</v>
      </c>
      <c r="J6389" t="s">
        <v>5191</v>
      </c>
      <c r="K6389" t="s">
        <v>726</v>
      </c>
      <c r="L6389">
        <v>0</v>
      </c>
      <c r="M6389" s="452">
        <v>45532</v>
      </c>
      <c r="N6389">
        <v>24</v>
      </c>
      <c r="O6389">
        <v>22</v>
      </c>
      <c r="P6389">
        <v>68.88</v>
      </c>
    </row>
    <row r="6390" spans="1:16" x14ac:dyDescent="0.3">
      <c r="A6390">
        <v>4913</v>
      </c>
      <c r="B6390">
        <v>105</v>
      </c>
      <c r="C6390" t="s">
        <v>557</v>
      </c>
      <c r="D6390" s="452">
        <v>45597</v>
      </c>
      <c r="E6390">
        <v>24278</v>
      </c>
      <c r="F6390" t="s">
        <v>4901</v>
      </c>
      <c r="G6390">
        <v>2896</v>
      </c>
      <c r="H6390">
        <v>5.35</v>
      </c>
      <c r="I6390" t="s">
        <v>4744</v>
      </c>
      <c r="J6390" t="s">
        <v>5191</v>
      </c>
      <c r="K6390" t="s">
        <v>726</v>
      </c>
      <c r="L6390">
        <v>0</v>
      </c>
      <c r="M6390" s="452">
        <v>45546</v>
      </c>
      <c r="N6390">
        <v>12.68</v>
      </c>
      <c r="O6390">
        <v>8.99</v>
      </c>
      <c r="P6390">
        <v>67.84</v>
      </c>
    </row>
    <row r="6391" spans="1:16" x14ac:dyDescent="0.3">
      <c r="A6391">
        <v>4760</v>
      </c>
      <c r="B6391">
        <v>105</v>
      </c>
      <c r="C6391" t="s">
        <v>557</v>
      </c>
      <c r="D6391" s="452">
        <v>45597</v>
      </c>
      <c r="E6391">
        <v>20661</v>
      </c>
      <c r="F6391" t="s">
        <v>5012</v>
      </c>
      <c r="G6391">
        <v>2110</v>
      </c>
      <c r="H6391">
        <v>8</v>
      </c>
      <c r="I6391" t="s">
        <v>4736</v>
      </c>
      <c r="J6391" t="s">
        <v>5191</v>
      </c>
      <c r="K6391" t="s">
        <v>726</v>
      </c>
      <c r="L6391">
        <v>8.4600000000000009</v>
      </c>
      <c r="M6391" s="452">
        <v>45582</v>
      </c>
      <c r="N6391">
        <v>8.4600000000000009</v>
      </c>
      <c r="O6391">
        <v>8.51</v>
      </c>
      <c r="P6391">
        <v>67.680000000000007</v>
      </c>
    </row>
    <row r="6392" spans="1:16" x14ac:dyDescent="0.3">
      <c r="A6392">
        <v>4674</v>
      </c>
      <c r="B6392">
        <v>105</v>
      </c>
      <c r="C6392" t="s">
        <v>557</v>
      </c>
      <c r="D6392" s="452">
        <v>45597</v>
      </c>
      <c r="E6392">
        <v>18218</v>
      </c>
      <c r="F6392" t="s">
        <v>5038</v>
      </c>
      <c r="G6392">
        <v>3410</v>
      </c>
      <c r="H6392">
        <v>1.85</v>
      </c>
      <c r="I6392" t="s">
        <v>4805</v>
      </c>
      <c r="J6392" t="s">
        <v>5222</v>
      </c>
      <c r="K6392" t="s">
        <v>726</v>
      </c>
      <c r="L6392">
        <v>36.5</v>
      </c>
      <c r="M6392" s="452">
        <v>45581</v>
      </c>
      <c r="N6392">
        <v>36.5</v>
      </c>
      <c r="O6392">
        <v>38.9</v>
      </c>
      <c r="P6392">
        <v>67.53</v>
      </c>
    </row>
    <row r="6393" spans="1:16" x14ac:dyDescent="0.3">
      <c r="A6393">
        <v>4635</v>
      </c>
      <c r="B6393">
        <v>105</v>
      </c>
      <c r="C6393" t="s">
        <v>557</v>
      </c>
      <c r="D6393" s="452">
        <v>45597</v>
      </c>
      <c r="E6393">
        <v>24975</v>
      </c>
      <c r="F6393" t="s">
        <v>5678</v>
      </c>
      <c r="G6393">
        <v>5846</v>
      </c>
      <c r="H6393">
        <v>1</v>
      </c>
      <c r="I6393" t="s">
        <v>4738</v>
      </c>
      <c r="J6393" t="s">
        <v>5222</v>
      </c>
      <c r="K6393" t="s">
        <v>726</v>
      </c>
      <c r="L6393">
        <v>67.180000000000007</v>
      </c>
      <c r="M6393" s="452">
        <v>45574</v>
      </c>
      <c r="N6393">
        <v>67.180000000000007</v>
      </c>
      <c r="O6393">
        <v>67.180000000000007</v>
      </c>
      <c r="P6393">
        <v>67.180000000000007</v>
      </c>
    </row>
    <row r="6394" spans="1:16" x14ac:dyDescent="0.3">
      <c r="A6394">
        <v>4637</v>
      </c>
      <c r="B6394">
        <v>105</v>
      </c>
      <c r="C6394" t="s">
        <v>557</v>
      </c>
      <c r="D6394" s="452">
        <v>45597</v>
      </c>
      <c r="E6394">
        <v>24977</v>
      </c>
      <c r="F6394" t="s">
        <v>5538</v>
      </c>
      <c r="G6394">
        <v>5847</v>
      </c>
      <c r="H6394">
        <v>1</v>
      </c>
      <c r="I6394" t="s">
        <v>4738</v>
      </c>
      <c r="J6394" t="s">
        <v>5222</v>
      </c>
      <c r="K6394" t="s">
        <v>726</v>
      </c>
      <c r="L6394">
        <v>67.180000000000007</v>
      </c>
      <c r="M6394" s="452">
        <v>45580</v>
      </c>
      <c r="N6394">
        <v>67.180000000000007</v>
      </c>
      <c r="O6394">
        <v>67.180000000000007</v>
      </c>
      <c r="P6394">
        <v>67.180000000000007</v>
      </c>
    </row>
    <row r="6395" spans="1:16" x14ac:dyDescent="0.3">
      <c r="A6395">
        <v>4829</v>
      </c>
      <c r="B6395">
        <v>105</v>
      </c>
      <c r="C6395" t="s">
        <v>557</v>
      </c>
      <c r="D6395" s="452">
        <v>45597</v>
      </c>
      <c r="E6395">
        <v>19623</v>
      </c>
      <c r="F6395" t="s">
        <v>4764</v>
      </c>
      <c r="G6395">
        <v>2611</v>
      </c>
      <c r="H6395">
        <v>20.69</v>
      </c>
      <c r="I6395" t="s">
        <v>4744</v>
      </c>
      <c r="J6395" t="s">
        <v>5191</v>
      </c>
      <c r="K6395" t="s">
        <v>726</v>
      </c>
      <c r="L6395">
        <v>3.23</v>
      </c>
      <c r="M6395" s="452">
        <v>45596</v>
      </c>
      <c r="N6395">
        <v>3</v>
      </c>
      <c r="O6395">
        <v>3.05</v>
      </c>
      <c r="P6395">
        <v>66.83</v>
      </c>
    </row>
    <row r="6396" spans="1:16" x14ac:dyDescent="0.3">
      <c r="A6396">
        <v>4658</v>
      </c>
      <c r="B6396">
        <v>105</v>
      </c>
      <c r="C6396" t="s">
        <v>557</v>
      </c>
      <c r="D6396" s="452">
        <v>45597</v>
      </c>
      <c r="E6396">
        <v>18339</v>
      </c>
      <c r="F6396" t="s">
        <v>5033</v>
      </c>
      <c r="G6396">
        <v>3296</v>
      </c>
      <c r="H6396">
        <v>1.25</v>
      </c>
      <c r="I6396" t="s">
        <v>4805</v>
      </c>
      <c r="J6396" t="s">
        <v>5222</v>
      </c>
      <c r="K6396" t="s">
        <v>726</v>
      </c>
      <c r="L6396">
        <v>0</v>
      </c>
      <c r="M6396" s="452">
        <v>-693593</v>
      </c>
      <c r="N6396">
        <v>0</v>
      </c>
      <c r="O6396">
        <v>53.37</v>
      </c>
      <c r="P6396">
        <v>66.709999999999994</v>
      </c>
    </row>
    <row r="6397" spans="1:16" x14ac:dyDescent="0.3">
      <c r="A6397">
        <v>4723</v>
      </c>
      <c r="B6397">
        <v>105</v>
      </c>
      <c r="C6397" t="s">
        <v>557</v>
      </c>
      <c r="D6397" s="452">
        <v>45597</v>
      </c>
      <c r="E6397">
        <v>20270</v>
      </c>
      <c r="F6397" t="s">
        <v>5645</v>
      </c>
      <c r="G6397">
        <v>2233</v>
      </c>
      <c r="H6397">
        <v>0.9</v>
      </c>
      <c r="I6397" t="s">
        <v>4738</v>
      </c>
      <c r="J6397" t="s">
        <v>5191</v>
      </c>
      <c r="K6397" t="s">
        <v>726</v>
      </c>
      <c r="L6397">
        <v>73.900000000000006</v>
      </c>
      <c r="M6397" s="452">
        <v>45586</v>
      </c>
      <c r="N6397">
        <v>73.900000000000006</v>
      </c>
      <c r="O6397">
        <v>56</v>
      </c>
      <c r="P6397">
        <v>66.510000000000005</v>
      </c>
    </row>
    <row r="6398" spans="1:16" x14ac:dyDescent="0.3">
      <c r="A6398">
        <v>4726</v>
      </c>
      <c r="B6398">
        <v>105</v>
      </c>
      <c r="C6398" t="s">
        <v>557</v>
      </c>
      <c r="D6398" s="452">
        <v>45597</v>
      </c>
      <c r="E6398">
        <v>20044</v>
      </c>
      <c r="F6398" t="s">
        <v>4932</v>
      </c>
      <c r="G6398">
        <v>2329</v>
      </c>
      <c r="H6398">
        <v>3.3</v>
      </c>
      <c r="I6398" t="s">
        <v>4744</v>
      </c>
      <c r="J6398" t="s">
        <v>5191</v>
      </c>
      <c r="K6398" t="s">
        <v>726</v>
      </c>
      <c r="L6398">
        <v>19.899999999999999</v>
      </c>
      <c r="M6398" s="452">
        <v>45582</v>
      </c>
      <c r="N6398">
        <v>19.899999999999999</v>
      </c>
      <c r="O6398">
        <v>19.899999999999999</v>
      </c>
      <c r="P6398">
        <v>65.67</v>
      </c>
    </row>
    <row r="6399" spans="1:16" x14ac:dyDescent="0.3">
      <c r="A6399">
        <v>4653</v>
      </c>
      <c r="B6399">
        <v>105</v>
      </c>
      <c r="C6399" t="s">
        <v>557</v>
      </c>
      <c r="D6399" s="452">
        <v>45597</v>
      </c>
      <c r="E6399">
        <v>18477</v>
      </c>
      <c r="F6399" t="s">
        <v>4920</v>
      </c>
      <c r="G6399">
        <v>3179</v>
      </c>
      <c r="H6399">
        <v>1.3</v>
      </c>
      <c r="I6399" t="s">
        <v>4805</v>
      </c>
      <c r="J6399" t="s">
        <v>5222</v>
      </c>
      <c r="K6399" t="s">
        <v>726</v>
      </c>
      <c r="L6399">
        <v>0</v>
      </c>
      <c r="M6399" s="452">
        <v>45525</v>
      </c>
      <c r="N6399">
        <v>49.9</v>
      </c>
      <c r="O6399">
        <v>43.9</v>
      </c>
      <c r="P6399">
        <v>64.87</v>
      </c>
    </row>
    <row r="6400" spans="1:16" x14ac:dyDescent="0.3">
      <c r="A6400">
        <v>4752</v>
      </c>
      <c r="B6400">
        <v>105</v>
      </c>
      <c r="C6400" t="s">
        <v>557</v>
      </c>
      <c r="D6400" s="452">
        <v>45597</v>
      </c>
      <c r="E6400">
        <v>20222</v>
      </c>
      <c r="F6400" t="s">
        <v>5682</v>
      </c>
      <c r="G6400">
        <v>2249</v>
      </c>
      <c r="H6400">
        <v>0.76</v>
      </c>
      <c r="I6400" t="s">
        <v>4736</v>
      </c>
      <c r="J6400" t="s">
        <v>5191</v>
      </c>
      <c r="K6400" t="s">
        <v>726</v>
      </c>
      <c r="L6400">
        <v>0</v>
      </c>
      <c r="M6400" s="452">
        <v>45545</v>
      </c>
      <c r="N6400">
        <v>0</v>
      </c>
      <c r="O6400">
        <v>0</v>
      </c>
      <c r="P6400">
        <v>64.599999999999994</v>
      </c>
    </row>
    <row r="6401" spans="1:16" x14ac:dyDescent="0.3">
      <c r="A6401">
        <v>4851</v>
      </c>
      <c r="B6401">
        <v>105</v>
      </c>
      <c r="C6401" t="s">
        <v>557</v>
      </c>
      <c r="D6401" s="452">
        <v>45597</v>
      </c>
      <c r="E6401">
        <v>19601</v>
      </c>
      <c r="F6401" t="s">
        <v>5267</v>
      </c>
      <c r="G6401">
        <v>2628</v>
      </c>
      <c r="H6401">
        <v>3.15</v>
      </c>
      <c r="I6401" t="s">
        <v>4744</v>
      </c>
      <c r="J6401" t="s">
        <v>5191</v>
      </c>
      <c r="K6401" t="s">
        <v>726</v>
      </c>
      <c r="L6401">
        <v>20.49</v>
      </c>
      <c r="M6401" s="452">
        <v>45596</v>
      </c>
      <c r="N6401">
        <v>21.6</v>
      </c>
      <c r="O6401">
        <v>18.47</v>
      </c>
      <c r="P6401">
        <v>64.540000000000006</v>
      </c>
    </row>
    <row r="6402" spans="1:16" x14ac:dyDescent="0.3">
      <c r="A6402">
        <v>4814</v>
      </c>
      <c r="B6402">
        <v>105</v>
      </c>
      <c r="C6402" t="s">
        <v>557</v>
      </c>
      <c r="D6402" s="452">
        <v>45597</v>
      </c>
      <c r="E6402">
        <v>19649</v>
      </c>
      <c r="F6402" t="s">
        <v>4859</v>
      </c>
      <c r="G6402">
        <v>2589</v>
      </c>
      <c r="H6402">
        <v>2.4700000000000002</v>
      </c>
      <c r="I6402" t="s">
        <v>4744</v>
      </c>
      <c r="J6402" t="s">
        <v>5191</v>
      </c>
      <c r="K6402" t="s">
        <v>726</v>
      </c>
      <c r="L6402">
        <v>25.88</v>
      </c>
      <c r="M6402" s="452">
        <v>45595</v>
      </c>
      <c r="N6402">
        <v>26</v>
      </c>
      <c r="O6402">
        <v>24.79</v>
      </c>
      <c r="P6402">
        <v>63.92</v>
      </c>
    </row>
    <row r="6403" spans="1:16" x14ac:dyDescent="0.3">
      <c r="A6403">
        <v>4661</v>
      </c>
      <c r="B6403">
        <v>105</v>
      </c>
      <c r="C6403" t="s">
        <v>557</v>
      </c>
      <c r="D6403" s="452">
        <v>45597</v>
      </c>
      <c r="E6403">
        <v>18327</v>
      </c>
      <c r="F6403" t="s">
        <v>5035</v>
      </c>
      <c r="G6403">
        <v>3306</v>
      </c>
      <c r="H6403">
        <v>0.6</v>
      </c>
      <c r="I6403" t="s">
        <v>4805</v>
      </c>
      <c r="J6403" t="s">
        <v>5222</v>
      </c>
      <c r="K6403" t="s">
        <v>726</v>
      </c>
      <c r="L6403">
        <v>0</v>
      </c>
      <c r="M6403" s="452">
        <v>45547</v>
      </c>
      <c r="N6403">
        <v>106.5</v>
      </c>
      <c r="O6403">
        <v>104.6</v>
      </c>
      <c r="P6403">
        <v>63.9</v>
      </c>
    </row>
    <row r="6404" spans="1:16" x14ac:dyDescent="0.3">
      <c r="A6404">
        <v>4686</v>
      </c>
      <c r="B6404">
        <v>105</v>
      </c>
      <c r="C6404" t="s">
        <v>557</v>
      </c>
      <c r="D6404" s="452">
        <v>45597</v>
      </c>
      <c r="E6404">
        <v>18100</v>
      </c>
      <c r="F6404" t="s">
        <v>5687</v>
      </c>
      <c r="G6404">
        <v>3510</v>
      </c>
      <c r="H6404">
        <v>0.2</v>
      </c>
      <c r="I6404" t="s">
        <v>4805</v>
      </c>
      <c r="J6404" t="s">
        <v>5222</v>
      </c>
      <c r="K6404" t="s">
        <v>726</v>
      </c>
      <c r="L6404">
        <v>0</v>
      </c>
      <c r="M6404" s="452">
        <v>-693593</v>
      </c>
      <c r="N6404">
        <v>0</v>
      </c>
      <c r="O6404">
        <v>0</v>
      </c>
      <c r="P6404">
        <v>63.08</v>
      </c>
    </row>
    <row r="6405" spans="1:16" x14ac:dyDescent="0.3">
      <c r="A6405">
        <v>6665</v>
      </c>
      <c r="B6405">
        <v>105</v>
      </c>
      <c r="C6405" t="s">
        <v>557</v>
      </c>
      <c r="D6405" s="452">
        <v>45597</v>
      </c>
      <c r="E6405">
        <v>25750</v>
      </c>
      <c r="F6405" t="s">
        <v>4908</v>
      </c>
      <c r="G6405">
        <v>6301</v>
      </c>
      <c r="H6405">
        <v>9</v>
      </c>
      <c r="I6405" t="s">
        <v>4736</v>
      </c>
      <c r="J6405" t="s">
        <v>5191</v>
      </c>
      <c r="K6405" t="s">
        <v>726</v>
      </c>
      <c r="L6405">
        <v>0</v>
      </c>
      <c r="M6405" s="452">
        <v>-693593</v>
      </c>
      <c r="N6405">
        <v>0</v>
      </c>
      <c r="O6405">
        <v>0</v>
      </c>
      <c r="P6405">
        <v>62.91</v>
      </c>
    </row>
    <row r="6406" spans="1:16" x14ac:dyDescent="0.3">
      <c r="A6406">
        <v>6674</v>
      </c>
      <c r="B6406">
        <v>105</v>
      </c>
      <c r="C6406" t="s">
        <v>557</v>
      </c>
      <c r="D6406" s="452">
        <v>45597</v>
      </c>
      <c r="E6406">
        <v>25759</v>
      </c>
      <c r="F6406" t="s">
        <v>4877</v>
      </c>
      <c r="G6406">
        <v>9073</v>
      </c>
      <c r="H6406">
        <v>9</v>
      </c>
      <c r="I6406" t="s">
        <v>4736</v>
      </c>
      <c r="J6406" t="s">
        <v>5191</v>
      </c>
      <c r="K6406" t="s">
        <v>726</v>
      </c>
      <c r="L6406">
        <v>0</v>
      </c>
      <c r="M6406" s="452">
        <v>-693593</v>
      </c>
      <c r="N6406">
        <v>0</v>
      </c>
      <c r="O6406">
        <v>0</v>
      </c>
      <c r="P6406">
        <v>62.91</v>
      </c>
    </row>
    <row r="6407" spans="1:16" x14ac:dyDescent="0.3">
      <c r="A6407">
        <v>4660</v>
      </c>
      <c r="B6407">
        <v>105</v>
      </c>
      <c r="C6407" t="s">
        <v>557</v>
      </c>
      <c r="D6407" s="452">
        <v>45597</v>
      </c>
      <c r="E6407">
        <v>18293</v>
      </c>
      <c r="F6407" t="s">
        <v>5034</v>
      </c>
      <c r="G6407">
        <v>3336</v>
      </c>
      <c r="H6407">
        <v>0.5</v>
      </c>
      <c r="I6407" t="s">
        <v>4805</v>
      </c>
      <c r="J6407" t="s">
        <v>5222</v>
      </c>
      <c r="K6407" t="s">
        <v>726</v>
      </c>
      <c r="L6407">
        <v>0</v>
      </c>
      <c r="M6407" s="452">
        <v>45525</v>
      </c>
      <c r="N6407">
        <v>124.82</v>
      </c>
      <c r="O6407">
        <v>106.97</v>
      </c>
      <c r="P6407">
        <v>62.41</v>
      </c>
    </row>
    <row r="6408" spans="1:16" x14ac:dyDescent="0.3">
      <c r="A6408">
        <v>4914</v>
      </c>
      <c r="B6408">
        <v>105</v>
      </c>
      <c r="C6408" t="s">
        <v>557</v>
      </c>
      <c r="D6408" s="452">
        <v>45597</v>
      </c>
      <c r="E6408">
        <v>18648</v>
      </c>
      <c r="F6408" t="s">
        <v>5595</v>
      </c>
      <c r="G6408">
        <v>3068</v>
      </c>
      <c r="H6408">
        <v>0.48</v>
      </c>
      <c r="I6408" t="s">
        <v>4744</v>
      </c>
      <c r="J6408" t="s">
        <v>5191</v>
      </c>
      <c r="K6408" t="s">
        <v>726</v>
      </c>
      <c r="L6408">
        <v>0</v>
      </c>
      <c r="M6408" s="452">
        <v>45565</v>
      </c>
      <c r="N6408">
        <v>126</v>
      </c>
      <c r="O6408">
        <v>126</v>
      </c>
      <c r="P6408">
        <v>60.48</v>
      </c>
    </row>
    <row r="6409" spans="1:16" x14ac:dyDescent="0.3">
      <c r="A6409">
        <v>4708</v>
      </c>
      <c r="B6409">
        <v>105</v>
      </c>
      <c r="C6409" t="s">
        <v>557</v>
      </c>
      <c r="D6409" s="452">
        <v>45597</v>
      </c>
      <c r="E6409">
        <v>20311</v>
      </c>
      <c r="F6409" t="s">
        <v>5635</v>
      </c>
      <c r="G6409">
        <v>2222</v>
      </c>
      <c r="H6409">
        <v>2.59</v>
      </c>
      <c r="I6409" t="s">
        <v>4749</v>
      </c>
      <c r="J6409" t="s">
        <v>5191</v>
      </c>
      <c r="K6409" t="s">
        <v>726</v>
      </c>
      <c r="L6409">
        <v>0</v>
      </c>
      <c r="M6409" s="452">
        <v>45519</v>
      </c>
      <c r="N6409">
        <v>23.2</v>
      </c>
      <c r="O6409">
        <v>22.2</v>
      </c>
      <c r="P6409">
        <v>60.09</v>
      </c>
    </row>
    <row r="6410" spans="1:16" x14ac:dyDescent="0.3">
      <c r="A6410">
        <v>4704</v>
      </c>
      <c r="B6410">
        <v>105</v>
      </c>
      <c r="C6410" t="s">
        <v>557</v>
      </c>
      <c r="D6410" s="452">
        <v>45597</v>
      </c>
      <c r="E6410">
        <v>20180</v>
      </c>
      <c r="F6410" t="s">
        <v>5642</v>
      </c>
      <c r="G6410">
        <v>2261</v>
      </c>
      <c r="H6410">
        <v>1</v>
      </c>
      <c r="I6410" t="s">
        <v>4736</v>
      </c>
      <c r="J6410" t="s">
        <v>5191</v>
      </c>
      <c r="K6410" t="s">
        <v>726</v>
      </c>
      <c r="L6410">
        <v>0</v>
      </c>
      <c r="M6410" s="452">
        <v>45545</v>
      </c>
      <c r="N6410">
        <v>59.89</v>
      </c>
      <c r="O6410">
        <v>59.89</v>
      </c>
      <c r="P6410">
        <v>59.89</v>
      </c>
    </row>
    <row r="6411" spans="1:16" x14ac:dyDescent="0.3">
      <c r="A6411">
        <v>4745</v>
      </c>
      <c r="B6411">
        <v>105</v>
      </c>
      <c r="C6411" t="s">
        <v>557</v>
      </c>
      <c r="D6411" s="452">
        <v>45597</v>
      </c>
      <c r="E6411">
        <v>20358</v>
      </c>
      <c r="F6411" t="s">
        <v>4911</v>
      </c>
      <c r="G6411">
        <v>2200</v>
      </c>
      <c r="H6411">
        <v>4.13</v>
      </c>
      <c r="I6411" t="s">
        <v>4738</v>
      </c>
      <c r="J6411" t="s">
        <v>5191</v>
      </c>
      <c r="K6411" t="s">
        <v>726</v>
      </c>
      <c r="L6411">
        <v>14.45</v>
      </c>
      <c r="M6411" s="452">
        <v>45586</v>
      </c>
      <c r="N6411">
        <v>14.45</v>
      </c>
      <c r="O6411">
        <v>14.41</v>
      </c>
      <c r="P6411">
        <v>59.68</v>
      </c>
    </row>
    <row r="6412" spans="1:16" x14ac:dyDescent="0.3">
      <c r="A6412">
        <v>4650</v>
      </c>
      <c r="B6412">
        <v>105</v>
      </c>
      <c r="C6412" t="s">
        <v>557</v>
      </c>
      <c r="D6412" s="452">
        <v>45597</v>
      </c>
      <c r="E6412">
        <v>18502</v>
      </c>
      <c r="F6412" t="s">
        <v>4893</v>
      </c>
      <c r="G6412">
        <v>3155</v>
      </c>
      <c r="H6412">
        <v>1.02</v>
      </c>
      <c r="I6412" t="s">
        <v>4805</v>
      </c>
      <c r="J6412" t="s">
        <v>5222</v>
      </c>
      <c r="K6412" t="s">
        <v>726</v>
      </c>
      <c r="L6412">
        <v>0</v>
      </c>
      <c r="M6412" s="452">
        <v>45420</v>
      </c>
      <c r="N6412">
        <v>57.86</v>
      </c>
      <c r="O6412">
        <v>57.86</v>
      </c>
      <c r="P6412">
        <v>59.02</v>
      </c>
    </row>
    <row r="6413" spans="1:16" x14ac:dyDescent="0.3">
      <c r="A6413">
        <v>4747</v>
      </c>
      <c r="B6413">
        <v>105</v>
      </c>
      <c r="C6413" t="s">
        <v>557</v>
      </c>
      <c r="D6413" s="452">
        <v>45597</v>
      </c>
      <c r="E6413">
        <v>20241</v>
      </c>
      <c r="F6413" t="s">
        <v>5579</v>
      </c>
      <c r="G6413">
        <v>2242</v>
      </c>
      <c r="H6413">
        <v>4</v>
      </c>
      <c r="I6413" t="s">
        <v>4736</v>
      </c>
      <c r="J6413" t="s">
        <v>5191</v>
      </c>
      <c r="K6413" t="s">
        <v>726</v>
      </c>
      <c r="L6413">
        <v>14.63</v>
      </c>
      <c r="M6413" s="452">
        <v>45586</v>
      </c>
      <c r="N6413">
        <v>14.44</v>
      </c>
      <c r="O6413">
        <v>14.44</v>
      </c>
      <c r="P6413">
        <v>58.52</v>
      </c>
    </row>
    <row r="6414" spans="1:16" x14ac:dyDescent="0.3">
      <c r="A6414">
        <v>4798</v>
      </c>
      <c r="B6414">
        <v>105</v>
      </c>
      <c r="C6414" t="s">
        <v>557</v>
      </c>
      <c r="D6414" s="452">
        <v>45597</v>
      </c>
      <c r="E6414">
        <v>20207</v>
      </c>
      <c r="F6414" t="s">
        <v>4929</v>
      </c>
      <c r="G6414">
        <v>2253</v>
      </c>
      <c r="H6414">
        <v>2</v>
      </c>
      <c r="I6414" t="s">
        <v>4744</v>
      </c>
      <c r="J6414" t="s">
        <v>5191</v>
      </c>
      <c r="K6414" t="s">
        <v>726</v>
      </c>
      <c r="L6414">
        <v>0</v>
      </c>
      <c r="M6414" s="452">
        <v>45546</v>
      </c>
      <c r="N6414">
        <v>28.9</v>
      </c>
      <c r="O6414">
        <v>28.9</v>
      </c>
      <c r="P6414">
        <v>57.8</v>
      </c>
    </row>
    <row r="6415" spans="1:16" x14ac:dyDescent="0.3">
      <c r="A6415">
        <v>4866</v>
      </c>
      <c r="B6415">
        <v>105</v>
      </c>
      <c r="C6415" t="s">
        <v>557</v>
      </c>
      <c r="D6415" s="452">
        <v>45597</v>
      </c>
      <c r="E6415">
        <v>19558</v>
      </c>
      <c r="F6415" t="s">
        <v>4994</v>
      </c>
      <c r="G6415">
        <v>2659</v>
      </c>
      <c r="H6415">
        <v>2.82</v>
      </c>
      <c r="I6415" t="s">
        <v>4744</v>
      </c>
      <c r="J6415" t="s">
        <v>5191</v>
      </c>
      <c r="K6415" t="s">
        <v>726</v>
      </c>
      <c r="L6415">
        <v>20.28</v>
      </c>
      <c r="M6415" s="452">
        <v>45596</v>
      </c>
      <c r="N6415">
        <v>22.4</v>
      </c>
      <c r="O6415">
        <v>22.39</v>
      </c>
      <c r="P6415">
        <v>57.19</v>
      </c>
    </row>
    <row r="6416" spans="1:16" x14ac:dyDescent="0.3">
      <c r="A6416">
        <v>4738</v>
      </c>
      <c r="B6416">
        <v>105</v>
      </c>
      <c r="C6416" t="s">
        <v>557</v>
      </c>
      <c r="D6416" s="452">
        <v>45597</v>
      </c>
      <c r="E6416">
        <v>23698</v>
      </c>
      <c r="F6416" t="s">
        <v>5453</v>
      </c>
      <c r="G6416">
        <v>2188</v>
      </c>
      <c r="H6416">
        <v>1</v>
      </c>
      <c r="I6416" t="s">
        <v>4744</v>
      </c>
      <c r="J6416" t="s">
        <v>5191</v>
      </c>
      <c r="K6416" t="s">
        <v>726</v>
      </c>
      <c r="L6416">
        <v>0</v>
      </c>
      <c r="M6416" s="452">
        <v>45559</v>
      </c>
      <c r="N6416">
        <v>56.5</v>
      </c>
      <c r="O6416">
        <v>56.5</v>
      </c>
      <c r="P6416">
        <v>56.5</v>
      </c>
    </row>
    <row r="6417" spans="1:16" x14ac:dyDescent="0.3">
      <c r="A6417">
        <v>4707</v>
      </c>
      <c r="B6417">
        <v>105</v>
      </c>
      <c r="C6417" t="s">
        <v>557</v>
      </c>
      <c r="D6417" s="452">
        <v>45597</v>
      </c>
      <c r="E6417">
        <v>24050</v>
      </c>
      <c r="F6417" t="s">
        <v>5644</v>
      </c>
      <c r="G6417">
        <v>2221</v>
      </c>
      <c r="H6417">
        <v>4</v>
      </c>
      <c r="I6417" t="s">
        <v>4744</v>
      </c>
      <c r="J6417" t="s">
        <v>5191</v>
      </c>
      <c r="K6417" t="s">
        <v>726</v>
      </c>
      <c r="L6417">
        <v>0</v>
      </c>
      <c r="M6417" s="452">
        <v>45532</v>
      </c>
      <c r="N6417">
        <v>14</v>
      </c>
      <c r="O6417">
        <v>13.7</v>
      </c>
      <c r="P6417">
        <v>56</v>
      </c>
    </row>
    <row r="6418" spans="1:16" x14ac:dyDescent="0.3">
      <c r="A6418">
        <v>4645</v>
      </c>
      <c r="B6418">
        <v>105</v>
      </c>
      <c r="C6418" t="s">
        <v>557</v>
      </c>
      <c r="D6418" s="452">
        <v>45597</v>
      </c>
      <c r="E6418">
        <v>18550</v>
      </c>
      <c r="F6418" t="s">
        <v>4967</v>
      </c>
      <c r="G6418">
        <v>3130</v>
      </c>
      <c r="H6418">
        <v>0.4</v>
      </c>
      <c r="I6418" t="s">
        <v>4805</v>
      </c>
      <c r="J6418" t="s">
        <v>5222</v>
      </c>
      <c r="K6418" t="s">
        <v>726</v>
      </c>
      <c r="L6418">
        <v>0</v>
      </c>
      <c r="M6418" s="452">
        <v>45561</v>
      </c>
      <c r="N6418">
        <v>139.91999999999999</v>
      </c>
      <c r="O6418">
        <v>140.1</v>
      </c>
      <c r="P6418">
        <v>55.97</v>
      </c>
    </row>
    <row r="6419" spans="1:16" x14ac:dyDescent="0.3">
      <c r="A6419">
        <v>6666</v>
      </c>
      <c r="B6419">
        <v>105</v>
      </c>
      <c r="C6419" t="s">
        <v>557</v>
      </c>
      <c r="D6419" s="452">
        <v>45597</v>
      </c>
      <c r="E6419">
        <v>25751</v>
      </c>
      <c r="F6419" t="s">
        <v>5169</v>
      </c>
      <c r="G6419">
        <v>6302</v>
      </c>
      <c r="H6419">
        <v>8</v>
      </c>
      <c r="I6419" t="s">
        <v>4736</v>
      </c>
      <c r="J6419" t="s">
        <v>5191</v>
      </c>
      <c r="K6419" t="s">
        <v>726</v>
      </c>
      <c r="L6419">
        <v>0</v>
      </c>
      <c r="M6419" s="452">
        <v>-693593</v>
      </c>
      <c r="N6419">
        <v>0</v>
      </c>
      <c r="O6419">
        <v>0</v>
      </c>
      <c r="P6419">
        <v>55.92</v>
      </c>
    </row>
    <row r="6420" spans="1:16" x14ac:dyDescent="0.3">
      <c r="A6420">
        <v>6669</v>
      </c>
      <c r="B6420">
        <v>105</v>
      </c>
      <c r="C6420" t="s">
        <v>557</v>
      </c>
      <c r="D6420" s="452">
        <v>45597</v>
      </c>
      <c r="E6420">
        <v>25754</v>
      </c>
      <c r="F6420" t="s">
        <v>5142</v>
      </c>
      <c r="G6420">
        <v>6305</v>
      </c>
      <c r="H6420">
        <v>8</v>
      </c>
      <c r="I6420" t="s">
        <v>4736</v>
      </c>
      <c r="J6420" t="s">
        <v>5191</v>
      </c>
      <c r="K6420" t="s">
        <v>726</v>
      </c>
      <c r="L6420">
        <v>0</v>
      </c>
      <c r="M6420" s="452">
        <v>-693593</v>
      </c>
      <c r="N6420">
        <v>0</v>
      </c>
      <c r="O6420">
        <v>0</v>
      </c>
      <c r="P6420">
        <v>55.92</v>
      </c>
    </row>
    <row r="6421" spans="1:16" x14ac:dyDescent="0.3">
      <c r="A6421">
        <v>4835</v>
      </c>
      <c r="B6421">
        <v>105</v>
      </c>
      <c r="C6421" t="s">
        <v>557</v>
      </c>
      <c r="D6421" s="452">
        <v>45597</v>
      </c>
      <c r="E6421">
        <v>19844</v>
      </c>
      <c r="F6421" t="s">
        <v>5475</v>
      </c>
      <c r="G6421">
        <v>2424</v>
      </c>
      <c r="H6421">
        <v>1</v>
      </c>
      <c r="I6421" t="s">
        <v>4744</v>
      </c>
      <c r="J6421" t="s">
        <v>5191</v>
      </c>
      <c r="K6421" t="s">
        <v>726</v>
      </c>
      <c r="L6421">
        <v>55.69</v>
      </c>
      <c r="M6421" s="452">
        <v>45596</v>
      </c>
      <c r="N6421">
        <v>56</v>
      </c>
      <c r="O6421">
        <v>53.18</v>
      </c>
      <c r="P6421">
        <v>55.69</v>
      </c>
    </row>
    <row r="6422" spans="1:16" x14ac:dyDescent="0.3">
      <c r="A6422">
        <v>4837</v>
      </c>
      <c r="B6422">
        <v>105</v>
      </c>
      <c r="C6422" t="s">
        <v>557</v>
      </c>
      <c r="D6422" s="452">
        <v>45597</v>
      </c>
      <c r="E6422">
        <v>19840</v>
      </c>
      <c r="F6422" t="s">
        <v>5718</v>
      </c>
      <c r="G6422">
        <v>2427</v>
      </c>
      <c r="H6422">
        <v>1</v>
      </c>
      <c r="I6422" t="s">
        <v>4744</v>
      </c>
      <c r="J6422" t="s">
        <v>5191</v>
      </c>
      <c r="K6422" t="s">
        <v>726</v>
      </c>
      <c r="L6422">
        <v>55.1</v>
      </c>
      <c r="M6422" s="452">
        <v>45596</v>
      </c>
      <c r="N6422">
        <v>56</v>
      </c>
      <c r="O6422">
        <v>43.25</v>
      </c>
      <c r="P6422">
        <v>55.1</v>
      </c>
    </row>
    <row r="6423" spans="1:16" x14ac:dyDescent="0.3">
      <c r="A6423">
        <v>4836</v>
      </c>
      <c r="B6423">
        <v>105</v>
      </c>
      <c r="C6423" t="s">
        <v>557</v>
      </c>
      <c r="D6423" s="452">
        <v>45597</v>
      </c>
      <c r="E6423">
        <v>19842</v>
      </c>
      <c r="F6423" t="s">
        <v>5300</v>
      </c>
      <c r="G6423">
        <v>2425</v>
      </c>
      <c r="H6423">
        <v>1</v>
      </c>
      <c r="I6423" t="s">
        <v>4744</v>
      </c>
      <c r="J6423" t="s">
        <v>5191</v>
      </c>
      <c r="K6423" t="s">
        <v>726</v>
      </c>
      <c r="L6423">
        <v>54.66</v>
      </c>
      <c r="M6423" s="452">
        <v>45596</v>
      </c>
      <c r="N6423">
        <v>56</v>
      </c>
      <c r="O6423">
        <v>43.25</v>
      </c>
      <c r="P6423">
        <v>54.66</v>
      </c>
    </row>
    <row r="6424" spans="1:16" x14ac:dyDescent="0.3">
      <c r="A6424">
        <v>4856</v>
      </c>
      <c r="B6424">
        <v>105</v>
      </c>
      <c r="C6424" t="s">
        <v>557</v>
      </c>
      <c r="D6424" s="452">
        <v>45597</v>
      </c>
      <c r="E6424">
        <v>23095</v>
      </c>
      <c r="F6424" t="s">
        <v>4741</v>
      </c>
      <c r="G6424">
        <v>2754</v>
      </c>
      <c r="H6424">
        <v>60</v>
      </c>
      <c r="I6424" t="s">
        <v>4736</v>
      </c>
      <c r="J6424" t="s">
        <v>5191</v>
      </c>
      <c r="K6424" t="s">
        <v>726</v>
      </c>
      <c r="L6424">
        <v>0.91</v>
      </c>
      <c r="M6424" s="452">
        <v>45586</v>
      </c>
      <c r="N6424">
        <v>0.95</v>
      </c>
      <c r="O6424">
        <v>0.9</v>
      </c>
      <c r="P6424">
        <v>54.6</v>
      </c>
    </row>
    <row r="6425" spans="1:16" x14ac:dyDescent="0.3">
      <c r="A6425">
        <v>4921</v>
      </c>
      <c r="B6425">
        <v>105</v>
      </c>
      <c r="C6425" t="s">
        <v>557</v>
      </c>
      <c r="D6425" s="452">
        <v>45597</v>
      </c>
      <c r="E6425">
        <v>18992</v>
      </c>
      <c r="F6425" t="s">
        <v>4869</v>
      </c>
      <c r="G6425">
        <v>2900</v>
      </c>
      <c r="H6425">
        <v>2.6</v>
      </c>
      <c r="I6425" t="s">
        <v>4744</v>
      </c>
      <c r="J6425" t="s">
        <v>5191</v>
      </c>
      <c r="K6425" t="s">
        <v>726</v>
      </c>
      <c r="L6425">
        <v>20.010000000000002</v>
      </c>
      <c r="M6425" s="452">
        <v>45594</v>
      </c>
      <c r="N6425">
        <v>20.2</v>
      </c>
      <c r="O6425">
        <v>20.2</v>
      </c>
      <c r="P6425">
        <v>52.03</v>
      </c>
    </row>
    <row r="6426" spans="1:16" x14ac:dyDescent="0.3">
      <c r="A6426">
        <v>4655</v>
      </c>
      <c r="B6426">
        <v>105</v>
      </c>
      <c r="C6426" t="s">
        <v>557</v>
      </c>
      <c r="D6426" s="452">
        <v>45597</v>
      </c>
      <c r="E6426">
        <v>18460</v>
      </c>
      <c r="F6426" t="s">
        <v>5541</v>
      </c>
      <c r="G6426">
        <v>3193</v>
      </c>
      <c r="H6426">
        <v>1.3</v>
      </c>
      <c r="I6426" t="s">
        <v>4805</v>
      </c>
      <c r="J6426" t="s">
        <v>5222</v>
      </c>
      <c r="K6426" t="s">
        <v>726</v>
      </c>
      <c r="L6426">
        <v>39.6</v>
      </c>
      <c r="M6426" s="452">
        <v>45581</v>
      </c>
      <c r="N6426">
        <v>39.6</v>
      </c>
      <c r="O6426">
        <v>39.6</v>
      </c>
      <c r="P6426">
        <v>51.48</v>
      </c>
    </row>
    <row r="6427" spans="1:16" x14ac:dyDescent="0.3">
      <c r="A6427">
        <v>4855</v>
      </c>
      <c r="B6427">
        <v>105</v>
      </c>
      <c r="C6427" t="s">
        <v>557</v>
      </c>
      <c r="D6427" s="452">
        <v>45597</v>
      </c>
      <c r="E6427">
        <v>24394</v>
      </c>
      <c r="F6427" t="s">
        <v>5164</v>
      </c>
      <c r="G6427">
        <v>2753</v>
      </c>
      <c r="H6427">
        <v>85</v>
      </c>
      <c r="I6427" t="s">
        <v>4736</v>
      </c>
      <c r="J6427" t="s">
        <v>5191</v>
      </c>
      <c r="K6427" t="s">
        <v>726</v>
      </c>
      <c r="L6427">
        <v>0.6</v>
      </c>
      <c r="M6427" s="452">
        <v>45595</v>
      </c>
      <c r="N6427">
        <v>0.6</v>
      </c>
      <c r="O6427">
        <v>0.6</v>
      </c>
      <c r="P6427">
        <v>51</v>
      </c>
    </row>
    <row r="6428" spans="1:16" x14ac:dyDescent="0.3">
      <c r="A6428">
        <v>4666</v>
      </c>
      <c r="B6428">
        <v>105</v>
      </c>
      <c r="C6428" t="s">
        <v>557</v>
      </c>
      <c r="D6428" s="452">
        <v>45597</v>
      </c>
      <c r="E6428">
        <v>18295</v>
      </c>
      <c r="F6428" t="s">
        <v>4968</v>
      </c>
      <c r="G6428">
        <v>3334</v>
      </c>
      <c r="H6428">
        <v>0.5</v>
      </c>
      <c r="I6428" t="s">
        <v>4805</v>
      </c>
      <c r="J6428" t="s">
        <v>5222</v>
      </c>
      <c r="K6428" t="s">
        <v>726</v>
      </c>
      <c r="L6428">
        <v>0</v>
      </c>
      <c r="M6428" s="452">
        <v>45448</v>
      </c>
      <c r="N6428">
        <v>101.15</v>
      </c>
      <c r="O6428">
        <v>122.55</v>
      </c>
      <c r="P6428">
        <v>50.58</v>
      </c>
    </row>
    <row r="6429" spans="1:16" x14ac:dyDescent="0.3">
      <c r="A6429">
        <v>4725</v>
      </c>
      <c r="B6429">
        <v>105</v>
      </c>
      <c r="C6429" t="s">
        <v>557</v>
      </c>
      <c r="D6429" s="452">
        <v>45597</v>
      </c>
      <c r="E6429">
        <v>20060</v>
      </c>
      <c r="F6429" t="s">
        <v>5539</v>
      </c>
      <c r="G6429">
        <v>2324</v>
      </c>
      <c r="H6429">
        <v>1.36</v>
      </c>
      <c r="I6429" t="s">
        <v>4736</v>
      </c>
      <c r="J6429" t="s">
        <v>5191</v>
      </c>
      <c r="K6429" t="s">
        <v>726</v>
      </c>
      <c r="L6429">
        <v>36.31</v>
      </c>
      <c r="M6429" s="452">
        <v>45593</v>
      </c>
      <c r="N6429">
        <v>36.549999999999997</v>
      </c>
      <c r="O6429">
        <v>36.549999999999997</v>
      </c>
      <c r="P6429">
        <v>49.38</v>
      </c>
    </row>
    <row r="6430" spans="1:16" x14ac:dyDescent="0.3">
      <c r="A6430">
        <v>4927</v>
      </c>
      <c r="B6430">
        <v>105</v>
      </c>
      <c r="C6430" t="s">
        <v>557</v>
      </c>
      <c r="D6430" s="452">
        <v>45597</v>
      </c>
      <c r="E6430">
        <v>18745</v>
      </c>
      <c r="F6430" t="s">
        <v>4892</v>
      </c>
      <c r="G6430">
        <v>3014</v>
      </c>
      <c r="H6430">
        <v>5</v>
      </c>
      <c r="I6430" t="s">
        <v>4736</v>
      </c>
      <c r="J6430" t="s">
        <v>5191</v>
      </c>
      <c r="K6430" t="s">
        <v>726</v>
      </c>
      <c r="L6430">
        <v>0</v>
      </c>
      <c r="M6430" s="452">
        <v>45386</v>
      </c>
      <c r="N6430">
        <v>9.8000000000000007</v>
      </c>
      <c r="O6430">
        <v>9.8000000000000007</v>
      </c>
      <c r="P6430">
        <v>49</v>
      </c>
    </row>
    <row r="6431" spans="1:16" x14ac:dyDescent="0.3">
      <c r="A6431">
        <v>6663</v>
      </c>
      <c r="B6431">
        <v>105</v>
      </c>
      <c r="C6431" t="s">
        <v>557</v>
      </c>
      <c r="D6431" s="452">
        <v>45597</v>
      </c>
      <c r="E6431">
        <v>25747</v>
      </c>
      <c r="F6431" t="s">
        <v>4794</v>
      </c>
      <c r="G6431">
        <v>6299</v>
      </c>
      <c r="H6431">
        <v>7</v>
      </c>
      <c r="I6431" t="s">
        <v>4736</v>
      </c>
      <c r="J6431" t="s">
        <v>5191</v>
      </c>
      <c r="K6431" t="s">
        <v>726</v>
      </c>
      <c r="L6431">
        <v>0</v>
      </c>
      <c r="M6431" s="452">
        <v>-693593</v>
      </c>
      <c r="N6431">
        <v>0</v>
      </c>
      <c r="O6431">
        <v>0</v>
      </c>
      <c r="P6431">
        <v>48.93</v>
      </c>
    </row>
    <row r="6432" spans="1:16" x14ac:dyDescent="0.3">
      <c r="A6432">
        <v>6672</v>
      </c>
      <c r="B6432">
        <v>105</v>
      </c>
      <c r="C6432" t="s">
        <v>557</v>
      </c>
      <c r="D6432" s="452">
        <v>45597</v>
      </c>
      <c r="E6432">
        <v>25757</v>
      </c>
      <c r="F6432" t="s">
        <v>4763</v>
      </c>
      <c r="G6432">
        <v>6308</v>
      </c>
      <c r="H6432">
        <v>7</v>
      </c>
      <c r="I6432" t="s">
        <v>4736</v>
      </c>
      <c r="J6432" t="s">
        <v>5191</v>
      </c>
      <c r="K6432" t="s">
        <v>726</v>
      </c>
      <c r="L6432">
        <v>0</v>
      </c>
      <c r="M6432" s="452">
        <v>-693593</v>
      </c>
      <c r="N6432">
        <v>0</v>
      </c>
      <c r="O6432">
        <v>0</v>
      </c>
      <c r="P6432">
        <v>48.93</v>
      </c>
    </row>
    <row r="6433" spans="1:16" x14ac:dyDescent="0.3">
      <c r="A6433">
        <v>4820</v>
      </c>
      <c r="B6433">
        <v>105</v>
      </c>
      <c r="C6433" t="s">
        <v>557</v>
      </c>
      <c r="D6433" s="452">
        <v>45597</v>
      </c>
      <c r="E6433">
        <v>19642</v>
      </c>
      <c r="F6433" t="s">
        <v>4996</v>
      </c>
      <c r="G6433">
        <v>2596</v>
      </c>
      <c r="H6433">
        <v>7.3</v>
      </c>
      <c r="I6433" t="s">
        <v>4744</v>
      </c>
      <c r="J6433" t="s">
        <v>5191</v>
      </c>
      <c r="K6433" t="s">
        <v>726</v>
      </c>
      <c r="L6433">
        <v>6.7</v>
      </c>
      <c r="M6433" s="452">
        <v>45581</v>
      </c>
      <c r="N6433">
        <v>6.48</v>
      </c>
      <c r="O6433">
        <v>5.97</v>
      </c>
      <c r="P6433">
        <v>48.91</v>
      </c>
    </row>
    <row r="6434" spans="1:16" x14ac:dyDescent="0.3">
      <c r="A6434">
        <v>4825</v>
      </c>
      <c r="B6434">
        <v>105</v>
      </c>
      <c r="C6434" t="s">
        <v>557</v>
      </c>
      <c r="D6434" s="452">
        <v>45597</v>
      </c>
      <c r="E6434">
        <v>19492</v>
      </c>
      <c r="F6434" t="s">
        <v>4937</v>
      </c>
      <c r="G6434">
        <v>2717</v>
      </c>
      <c r="H6434">
        <v>4</v>
      </c>
      <c r="I6434" t="s">
        <v>4744</v>
      </c>
      <c r="J6434" t="s">
        <v>5191</v>
      </c>
      <c r="K6434" t="s">
        <v>726</v>
      </c>
      <c r="L6434">
        <v>12.14</v>
      </c>
      <c r="M6434" s="452">
        <v>45596</v>
      </c>
      <c r="N6434">
        <v>11</v>
      </c>
      <c r="O6434">
        <v>9.89</v>
      </c>
      <c r="P6434">
        <v>48.56</v>
      </c>
    </row>
    <row r="6435" spans="1:16" x14ac:dyDescent="0.3">
      <c r="A6435">
        <v>4761</v>
      </c>
      <c r="B6435">
        <v>105</v>
      </c>
      <c r="C6435" t="s">
        <v>557</v>
      </c>
      <c r="D6435" s="452">
        <v>45597</v>
      </c>
      <c r="E6435">
        <v>20653</v>
      </c>
      <c r="F6435" t="s">
        <v>5013</v>
      </c>
      <c r="G6435">
        <v>2111</v>
      </c>
      <c r="H6435">
        <v>2.2599999999999998</v>
      </c>
      <c r="I6435" t="s">
        <v>4736</v>
      </c>
      <c r="J6435" t="s">
        <v>5191</v>
      </c>
      <c r="K6435" t="s">
        <v>726</v>
      </c>
      <c r="L6435">
        <v>21.43</v>
      </c>
      <c r="M6435" s="452">
        <v>45593</v>
      </c>
      <c r="N6435">
        <v>21.43</v>
      </c>
      <c r="O6435">
        <v>21.35</v>
      </c>
      <c r="P6435">
        <v>48.43</v>
      </c>
    </row>
    <row r="6436" spans="1:16" x14ac:dyDescent="0.3">
      <c r="A6436">
        <v>4857</v>
      </c>
      <c r="B6436">
        <v>105</v>
      </c>
      <c r="C6436" t="s">
        <v>557</v>
      </c>
      <c r="D6436" s="452">
        <v>45597</v>
      </c>
      <c r="E6436">
        <v>19589</v>
      </c>
      <c r="F6436" t="s">
        <v>4983</v>
      </c>
      <c r="G6436">
        <v>2637</v>
      </c>
      <c r="H6436">
        <v>5.75</v>
      </c>
      <c r="I6436" t="s">
        <v>4744</v>
      </c>
      <c r="J6436" t="s">
        <v>5191</v>
      </c>
      <c r="K6436" t="s">
        <v>726</v>
      </c>
      <c r="L6436">
        <v>8.33</v>
      </c>
      <c r="M6436" s="452">
        <v>45596</v>
      </c>
      <c r="N6436">
        <v>6</v>
      </c>
      <c r="O6436">
        <v>5.21</v>
      </c>
      <c r="P6436">
        <v>47.9</v>
      </c>
    </row>
    <row r="6437" spans="1:16" x14ac:dyDescent="0.3">
      <c r="A6437">
        <v>4898</v>
      </c>
      <c r="B6437">
        <v>105</v>
      </c>
      <c r="C6437" t="s">
        <v>557</v>
      </c>
      <c r="D6437" s="452">
        <v>45597</v>
      </c>
      <c r="E6437">
        <v>18831</v>
      </c>
      <c r="F6437" t="s">
        <v>5625</v>
      </c>
      <c r="G6437">
        <v>2950</v>
      </c>
      <c r="H6437">
        <v>1.2</v>
      </c>
      <c r="I6437" t="s">
        <v>4744</v>
      </c>
      <c r="J6437" t="s">
        <v>5191</v>
      </c>
      <c r="K6437" t="s">
        <v>726</v>
      </c>
      <c r="L6437">
        <v>0</v>
      </c>
      <c r="M6437" s="452">
        <v>45553</v>
      </c>
      <c r="N6437">
        <v>39.76</v>
      </c>
      <c r="O6437">
        <v>39.76</v>
      </c>
      <c r="P6437">
        <v>47.71</v>
      </c>
    </row>
    <row r="6438" spans="1:16" x14ac:dyDescent="0.3">
      <c r="A6438">
        <v>4733</v>
      </c>
      <c r="B6438">
        <v>105</v>
      </c>
      <c r="C6438" t="s">
        <v>557</v>
      </c>
      <c r="D6438" s="452">
        <v>45597</v>
      </c>
      <c r="E6438">
        <v>20034</v>
      </c>
      <c r="F6438" t="s">
        <v>5065</v>
      </c>
      <c r="G6438">
        <v>2333</v>
      </c>
      <c r="H6438">
        <v>0.36</v>
      </c>
      <c r="I6438" t="s">
        <v>4744</v>
      </c>
      <c r="J6438" t="s">
        <v>5191</v>
      </c>
      <c r="K6438" t="s">
        <v>726</v>
      </c>
      <c r="L6438">
        <v>0</v>
      </c>
      <c r="M6438" s="452">
        <v>-693593</v>
      </c>
      <c r="N6438">
        <v>0</v>
      </c>
      <c r="O6438">
        <v>130</v>
      </c>
      <c r="P6438">
        <v>46.8</v>
      </c>
    </row>
    <row r="6439" spans="1:16" x14ac:dyDescent="0.3">
      <c r="A6439">
        <v>4838</v>
      </c>
      <c r="B6439">
        <v>105</v>
      </c>
      <c r="C6439" t="s">
        <v>557</v>
      </c>
      <c r="D6439" s="452">
        <v>45597</v>
      </c>
      <c r="E6439">
        <v>19615</v>
      </c>
      <c r="F6439" t="s">
        <v>4934</v>
      </c>
      <c r="G6439">
        <v>2618</v>
      </c>
      <c r="H6439">
        <v>6.95</v>
      </c>
      <c r="I6439" t="s">
        <v>4744</v>
      </c>
      <c r="J6439" t="s">
        <v>5191</v>
      </c>
      <c r="K6439" t="s">
        <v>726</v>
      </c>
      <c r="L6439">
        <v>6.71</v>
      </c>
      <c r="M6439" s="452">
        <v>45596</v>
      </c>
      <c r="N6439">
        <v>6.75</v>
      </c>
      <c r="O6439">
        <v>10.5</v>
      </c>
      <c r="P6439">
        <v>46.63</v>
      </c>
    </row>
    <row r="6440" spans="1:16" x14ac:dyDescent="0.3">
      <c r="A6440">
        <v>6661</v>
      </c>
      <c r="B6440">
        <v>105</v>
      </c>
      <c r="C6440" t="s">
        <v>557</v>
      </c>
      <c r="D6440" s="452">
        <v>45597</v>
      </c>
      <c r="E6440">
        <v>24416</v>
      </c>
      <c r="F6440" t="s">
        <v>5719</v>
      </c>
      <c r="G6440">
        <v>3050</v>
      </c>
      <c r="H6440">
        <v>2.75</v>
      </c>
      <c r="I6440" t="s">
        <v>4744</v>
      </c>
      <c r="J6440" t="s">
        <v>5191</v>
      </c>
      <c r="K6440" t="s">
        <v>726</v>
      </c>
      <c r="L6440">
        <v>0</v>
      </c>
      <c r="M6440" s="452">
        <v>-693593</v>
      </c>
      <c r="N6440">
        <v>0</v>
      </c>
      <c r="O6440">
        <v>16.8</v>
      </c>
      <c r="P6440">
        <v>46.2</v>
      </c>
    </row>
    <row r="6441" spans="1:16" x14ac:dyDescent="0.3">
      <c r="A6441">
        <v>4861</v>
      </c>
      <c r="B6441">
        <v>105</v>
      </c>
      <c r="C6441" t="s">
        <v>557</v>
      </c>
      <c r="D6441" s="452">
        <v>45597</v>
      </c>
      <c r="E6441">
        <v>19572</v>
      </c>
      <c r="F6441" t="s">
        <v>4989</v>
      </c>
      <c r="G6441">
        <v>2646</v>
      </c>
      <c r="H6441">
        <v>2.41</v>
      </c>
      <c r="I6441" t="s">
        <v>4744</v>
      </c>
      <c r="J6441" t="s">
        <v>5191</v>
      </c>
      <c r="K6441" t="s">
        <v>726</v>
      </c>
      <c r="L6441">
        <v>19</v>
      </c>
      <c r="M6441" s="452">
        <v>45596</v>
      </c>
      <c r="N6441">
        <v>18</v>
      </c>
      <c r="O6441">
        <v>17.77</v>
      </c>
      <c r="P6441">
        <v>45.79</v>
      </c>
    </row>
    <row r="6442" spans="1:16" x14ac:dyDescent="0.3">
      <c r="A6442">
        <v>4834</v>
      </c>
      <c r="B6442">
        <v>105</v>
      </c>
      <c r="C6442" t="s">
        <v>557</v>
      </c>
      <c r="D6442" s="452">
        <v>45597</v>
      </c>
      <c r="E6442">
        <v>19845</v>
      </c>
      <c r="F6442" t="s">
        <v>4874</v>
      </c>
      <c r="G6442">
        <v>2423</v>
      </c>
      <c r="H6442">
        <v>1</v>
      </c>
      <c r="I6442" t="s">
        <v>4744</v>
      </c>
      <c r="J6442" t="s">
        <v>5191</v>
      </c>
      <c r="K6442" t="s">
        <v>726</v>
      </c>
      <c r="L6442">
        <v>45.28</v>
      </c>
      <c r="M6442" s="452">
        <v>45596</v>
      </c>
      <c r="N6442">
        <v>45.9</v>
      </c>
      <c r="O6442">
        <v>40.94</v>
      </c>
      <c r="P6442">
        <v>45.28</v>
      </c>
    </row>
    <row r="6443" spans="1:16" x14ac:dyDescent="0.3">
      <c r="A6443">
        <v>4706</v>
      </c>
      <c r="B6443">
        <v>105</v>
      </c>
      <c r="C6443" t="s">
        <v>557</v>
      </c>
      <c r="D6443" s="452">
        <v>45597</v>
      </c>
      <c r="E6443">
        <v>24046</v>
      </c>
      <c r="F6443" t="s">
        <v>5454</v>
      </c>
      <c r="G6443">
        <v>2315</v>
      </c>
      <c r="H6443">
        <v>0.73</v>
      </c>
      <c r="I6443" t="s">
        <v>4744</v>
      </c>
      <c r="J6443" t="s">
        <v>5191</v>
      </c>
      <c r="K6443" t="s">
        <v>726</v>
      </c>
      <c r="L6443">
        <v>0</v>
      </c>
      <c r="M6443" s="452">
        <v>-693593</v>
      </c>
      <c r="N6443">
        <v>0</v>
      </c>
      <c r="O6443">
        <v>0</v>
      </c>
      <c r="P6443">
        <v>45.07</v>
      </c>
    </row>
    <row r="6444" spans="1:16" x14ac:dyDescent="0.3">
      <c r="A6444">
        <v>4697</v>
      </c>
      <c r="B6444">
        <v>105</v>
      </c>
      <c r="C6444" t="s">
        <v>557</v>
      </c>
      <c r="D6444" s="452">
        <v>45597</v>
      </c>
      <c r="E6444">
        <v>21062</v>
      </c>
      <c r="F6444" t="s">
        <v>5442</v>
      </c>
      <c r="G6444">
        <v>1997</v>
      </c>
      <c r="H6444">
        <v>3.04</v>
      </c>
      <c r="I6444" t="s">
        <v>4805</v>
      </c>
      <c r="J6444" t="s">
        <v>5191</v>
      </c>
      <c r="K6444" t="s">
        <v>726</v>
      </c>
      <c r="L6444">
        <v>14.46</v>
      </c>
      <c r="M6444" s="452">
        <v>45573</v>
      </c>
      <c r="N6444">
        <v>14.46</v>
      </c>
      <c r="O6444">
        <v>14.59</v>
      </c>
      <c r="P6444">
        <v>43.96</v>
      </c>
    </row>
    <row r="6445" spans="1:16" x14ac:dyDescent="0.3">
      <c r="A6445">
        <v>4705</v>
      </c>
      <c r="B6445">
        <v>105</v>
      </c>
      <c r="C6445" t="s">
        <v>557</v>
      </c>
      <c r="D6445" s="452">
        <v>45597</v>
      </c>
      <c r="E6445">
        <v>20429</v>
      </c>
      <c r="F6445" t="s">
        <v>5317</v>
      </c>
      <c r="G6445">
        <v>2184</v>
      </c>
      <c r="H6445">
        <v>2.2400000000000002</v>
      </c>
      <c r="I6445" t="s">
        <v>4736</v>
      </c>
      <c r="J6445" t="s">
        <v>5191</v>
      </c>
      <c r="K6445" t="s">
        <v>726</v>
      </c>
      <c r="L6445">
        <v>19.5</v>
      </c>
      <c r="M6445" s="452">
        <v>45573</v>
      </c>
      <c r="N6445">
        <v>19.5</v>
      </c>
      <c r="O6445">
        <v>19.5</v>
      </c>
      <c r="P6445">
        <v>43.68</v>
      </c>
    </row>
    <row r="6446" spans="1:16" x14ac:dyDescent="0.3">
      <c r="A6446">
        <v>6667</v>
      </c>
      <c r="B6446">
        <v>105</v>
      </c>
      <c r="C6446" t="s">
        <v>557</v>
      </c>
      <c r="D6446" s="452">
        <v>45597</v>
      </c>
      <c r="E6446">
        <v>25752</v>
      </c>
      <c r="F6446" t="s">
        <v>5000</v>
      </c>
      <c r="G6446">
        <v>6303</v>
      </c>
      <c r="H6446">
        <v>6</v>
      </c>
      <c r="I6446" t="s">
        <v>4749</v>
      </c>
      <c r="J6446" t="s">
        <v>5191</v>
      </c>
      <c r="K6446" t="s">
        <v>726</v>
      </c>
      <c r="L6446">
        <v>0</v>
      </c>
      <c r="M6446" s="452">
        <v>-693593</v>
      </c>
      <c r="N6446">
        <v>0</v>
      </c>
      <c r="O6446">
        <v>0</v>
      </c>
      <c r="P6446">
        <v>41.94</v>
      </c>
    </row>
    <row r="6447" spans="1:16" x14ac:dyDescent="0.3">
      <c r="A6447">
        <v>6668</v>
      </c>
      <c r="B6447">
        <v>105</v>
      </c>
      <c r="C6447" t="s">
        <v>557</v>
      </c>
      <c r="D6447" s="452">
        <v>45597</v>
      </c>
      <c r="E6447">
        <v>25753</v>
      </c>
      <c r="F6447" t="s">
        <v>5144</v>
      </c>
      <c r="G6447">
        <v>6304</v>
      </c>
      <c r="H6447">
        <v>6</v>
      </c>
      <c r="I6447" t="s">
        <v>4736</v>
      </c>
      <c r="J6447" t="s">
        <v>5191</v>
      </c>
      <c r="K6447" t="s">
        <v>726</v>
      </c>
      <c r="L6447">
        <v>0</v>
      </c>
      <c r="M6447" s="452">
        <v>-693593</v>
      </c>
      <c r="N6447">
        <v>0</v>
      </c>
      <c r="O6447">
        <v>0</v>
      </c>
      <c r="P6447">
        <v>41.94</v>
      </c>
    </row>
    <row r="6448" spans="1:16" x14ac:dyDescent="0.3">
      <c r="A6448">
        <v>6671</v>
      </c>
      <c r="B6448">
        <v>105</v>
      </c>
      <c r="C6448" t="s">
        <v>557</v>
      </c>
      <c r="D6448" s="452">
        <v>45597</v>
      </c>
      <c r="E6448">
        <v>25756</v>
      </c>
      <c r="F6448" t="s">
        <v>4854</v>
      </c>
      <c r="G6448">
        <v>9069</v>
      </c>
      <c r="H6448">
        <v>6</v>
      </c>
      <c r="I6448" t="s">
        <v>4749</v>
      </c>
      <c r="J6448" t="s">
        <v>5191</v>
      </c>
      <c r="K6448" t="s">
        <v>726</v>
      </c>
      <c r="L6448">
        <v>0</v>
      </c>
      <c r="M6448" s="452">
        <v>-693593</v>
      </c>
      <c r="N6448">
        <v>0</v>
      </c>
      <c r="O6448">
        <v>0</v>
      </c>
      <c r="P6448">
        <v>41.94</v>
      </c>
    </row>
    <row r="6449" spans="1:16" x14ac:dyDescent="0.3">
      <c r="A6449">
        <v>6675</v>
      </c>
      <c r="B6449">
        <v>105</v>
      </c>
      <c r="C6449" t="s">
        <v>557</v>
      </c>
      <c r="D6449" s="452">
        <v>45597</v>
      </c>
      <c r="E6449">
        <v>25760</v>
      </c>
      <c r="F6449" t="s">
        <v>4787</v>
      </c>
      <c r="G6449">
        <v>6311</v>
      </c>
      <c r="H6449">
        <v>6</v>
      </c>
      <c r="I6449" t="s">
        <v>4736</v>
      </c>
      <c r="J6449" t="s">
        <v>5191</v>
      </c>
      <c r="K6449" t="s">
        <v>726</v>
      </c>
      <c r="L6449">
        <v>0</v>
      </c>
      <c r="M6449" s="452">
        <v>-693593</v>
      </c>
      <c r="N6449">
        <v>0</v>
      </c>
      <c r="O6449">
        <v>0</v>
      </c>
      <c r="P6449">
        <v>41.94</v>
      </c>
    </row>
    <row r="6450" spans="1:16" x14ac:dyDescent="0.3">
      <c r="A6450">
        <v>4926</v>
      </c>
      <c r="B6450">
        <v>105</v>
      </c>
      <c r="C6450" t="s">
        <v>557</v>
      </c>
      <c r="D6450" s="452">
        <v>45597</v>
      </c>
      <c r="E6450">
        <v>18682</v>
      </c>
      <c r="F6450" t="s">
        <v>5720</v>
      </c>
      <c r="G6450">
        <v>3043</v>
      </c>
      <c r="H6450">
        <v>0.6</v>
      </c>
      <c r="I6450" t="s">
        <v>4744</v>
      </c>
      <c r="J6450" t="s">
        <v>5191</v>
      </c>
      <c r="K6450" t="s">
        <v>726</v>
      </c>
      <c r="L6450">
        <v>0</v>
      </c>
      <c r="M6450" s="452">
        <v>-693593</v>
      </c>
      <c r="N6450">
        <v>0</v>
      </c>
      <c r="O6450">
        <v>0</v>
      </c>
      <c r="P6450">
        <v>41.15</v>
      </c>
    </row>
    <row r="6451" spans="1:16" x14ac:dyDescent="0.3">
      <c r="A6451">
        <v>4756</v>
      </c>
      <c r="B6451">
        <v>105</v>
      </c>
      <c r="C6451" t="s">
        <v>557</v>
      </c>
      <c r="D6451" s="452">
        <v>45597</v>
      </c>
      <c r="E6451">
        <v>20219</v>
      </c>
      <c r="F6451" t="s">
        <v>5445</v>
      </c>
      <c r="G6451">
        <v>2250</v>
      </c>
      <c r="H6451">
        <v>1.72</v>
      </c>
      <c r="I6451" t="s">
        <v>4738</v>
      </c>
      <c r="J6451" t="s">
        <v>5191</v>
      </c>
      <c r="K6451" t="s">
        <v>726</v>
      </c>
      <c r="L6451">
        <v>23.9</v>
      </c>
      <c r="M6451" s="452">
        <v>45573</v>
      </c>
      <c r="N6451">
        <v>23.9</v>
      </c>
      <c r="O6451">
        <v>23.2</v>
      </c>
      <c r="P6451">
        <v>41.11</v>
      </c>
    </row>
    <row r="6452" spans="1:16" x14ac:dyDescent="0.3">
      <c r="A6452">
        <v>4841</v>
      </c>
      <c r="B6452">
        <v>105</v>
      </c>
      <c r="C6452" t="s">
        <v>557</v>
      </c>
      <c r="D6452" s="452">
        <v>45597</v>
      </c>
      <c r="E6452">
        <v>24522</v>
      </c>
      <c r="F6452" t="s">
        <v>5072</v>
      </c>
      <c r="G6452">
        <v>5651</v>
      </c>
      <c r="H6452">
        <v>1.9</v>
      </c>
      <c r="I6452" t="s">
        <v>4744</v>
      </c>
      <c r="J6452" t="s">
        <v>5191</v>
      </c>
      <c r="K6452" t="s">
        <v>726</v>
      </c>
      <c r="L6452">
        <v>0</v>
      </c>
      <c r="M6452" s="452">
        <v>45555</v>
      </c>
      <c r="N6452">
        <v>21.6</v>
      </c>
      <c r="O6452">
        <v>21.6</v>
      </c>
      <c r="P6452">
        <v>41.04</v>
      </c>
    </row>
    <row r="6453" spans="1:16" x14ac:dyDescent="0.3">
      <c r="A6453">
        <v>4936</v>
      </c>
      <c r="B6453">
        <v>105</v>
      </c>
      <c r="C6453" t="s">
        <v>557</v>
      </c>
      <c r="D6453" s="452">
        <v>45597</v>
      </c>
      <c r="E6453">
        <v>17916</v>
      </c>
      <c r="F6453" t="s">
        <v>5235</v>
      </c>
      <c r="G6453">
        <v>3648</v>
      </c>
      <c r="H6453">
        <v>6</v>
      </c>
      <c r="I6453" t="s">
        <v>4738</v>
      </c>
      <c r="J6453" t="s">
        <v>5222</v>
      </c>
      <c r="K6453" t="s">
        <v>726</v>
      </c>
      <c r="L6453">
        <v>6.79</v>
      </c>
      <c r="M6453" s="452">
        <v>45567</v>
      </c>
      <c r="N6453">
        <v>6.79</v>
      </c>
      <c r="O6453">
        <v>6.79</v>
      </c>
      <c r="P6453">
        <v>40.74</v>
      </c>
    </row>
    <row r="6454" spans="1:16" x14ac:dyDescent="0.3">
      <c r="A6454">
        <v>4729</v>
      </c>
      <c r="B6454">
        <v>105</v>
      </c>
      <c r="C6454" t="s">
        <v>557</v>
      </c>
      <c r="D6454" s="452">
        <v>45597</v>
      </c>
      <c r="E6454">
        <v>20256</v>
      </c>
      <c r="F6454" t="s">
        <v>5609</v>
      </c>
      <c r="G6454">
        <v>2239</v>
      </c>
      <c r="H6454">
        <v>1.6</v>
      </c>
      <c r="I6454" t="s">
        <v>4736</v>
      </c>
      <c r="J6454" t="s">
        <v>5191</v>
      </c>
      <c r="K6454" t="s">
        <v>726</v>
      </c>
      <c r="L6454">
        <v>0</v>
      </c>
      <c r="M6454" s="452">
        <v>45532</v>
      </c>
      <c r="N6454">
        <v>24.5</v>
      </c>
      <c r="O6454">
        <v>24.5</v>
      </c>
      <c r="P6454">
        <v>39.200000000000003</v>
      </c>
    </row>
    <row r="6455" spans="1:16" x14ac:dyDescent="0.3">
      <c r="A6455">
        <v>4687</v>
      </c>
      <c r="B6455">
        <v>105</v>
      </c>
      <c r="C6455" t="s">
        <v>557</v>
      </c>
      <c r="D6455" s="452">
        <v>45597</v>
      </c>
      <c r="E6455">
        <v>18067</v>
      </c>
      <c r="F6455" t="s">
        <v>5583</v>
      </c>
      <c r="G6455">
        <v>3542</v>
      </c>
      <c r="H6455">
        <v>1.1499999999999999</v>
      </c>
      <c r="I6455" t="s">
        <v>4736</v>
      </c>
      <c r="J6455" t="s">
        <v>5222</v>
      </c>
      <c r="K6455" t="s">
        <v>726</v>
      </c>
      <c r="L6455">
        <v>33.979999999999997</v>
      </c>
      <c r="M6455" s="452">
        <v>45596</v>
      </c>
      <c r="N6455">
        <v>33.979999999999997</v>
      </c>
      <c r="O6455">
        <v>33.979999999999997</v>
      </c>
      <c r="P6455">
        <v>39.08</v>
      </c>
    </row>
    <row r="6456" spans="1:16" x14ac:dyDescent="0.3">
      <c r="A6456">
        <v>4675</v>
      </c>
      <c r="B6456">
        <v>105</v>
      </c>
      <c r="C6456" t="s">
        <v>557</v>
      </c>
      <c r="D6456" s="452">
        <v>45597</v>
      </c>
      <c r="E6456">
        <v>18214</v>
      </c>
      <c r="F6456" t="s">
        <v>5039</v>
      </c>
      <c r="G6456">
        <v>3413</v>
      </c>
      <c r="H6456">
        <v>1.2</v>
      </c>
      <c r="I6456" t="s">
        <v>4805</v>
      </c>
      <c r="J6456" t="s">
        <v>5222</v>
      </c>
      <c r="K6456" t="s">
        <v>726</v>
      </c>
      <c r="L6456">
        <v>0</v>
      </c>
      <c r="M6456" s="452">
        <v>45378</v>
      </c>
      <c r="N6456">
        <v>32.200000000000003</v>
      </c>
      <c r="O6456">
        <v>35.4</v>
      </c>
      <c r="P6456">
        <v>38.64</v>
      </c>
    </row>
    <row r="6457" spans="1:16" x14ac:dyDescent="0.3">
      <c r="A6457">
        <v>4813</v>
      </c>
      <c r="B6457">
        <v>105</v>
      </c>
      <c r="C6457" t="s">
        <v>557</v>
      </c>
      <c r="D6457" s="452">
        <v>45597</v>
      </c>
      <c r="E6457">
        <v>19652</v>
      </c>
      <c r="F6457" t="s">
        <v>4899</v>
      </c>
      <c r="G6457">
        <v>2587</v>
      </c>
      <c r="H6457">
        <v>1.35</v>
      </c>
      <c r="I6457" t="s">
        <v>4744</v>
      </c>
      <c r="J6457" t="s">
        <v>5191</v>
      </c>
      <c r="K6457" t="s">
        <v>726</v>
      </c>
      <c r="L6457">
        <v>28.56</v>
      </c>
      <c r="M6457" s="452">
        <v>45588</v>
      </c>
      <c r="N6457">
        <v>31.68</v>
      </c>
      <c r="O6457">
        <v>30</v>
      </c>
      <c r="P6457">
        <v>38.56</v>
      </c>
    </row>
    <row r="6458" spans="1:16" x14ac:dyDescent="0.3">
      <c r="A6458">
        <v>6639</v>
      </c>
      <c r="B6458">
        <v>105</v>
      </c>
      <c r="C6458" t="s">
        <v>557</v>
      </c>
      <c r="D6458" s="452">
        <v>45597</v>
      </c>
      <c r="E6458">
        <v>18620</v>
      </c>
      <c r="F6458" t="s">
        <v>5721</v>
      </c>
      <c r="G6458">
        <v>3082</v>
      </c>
      <c r="H6458">
        <v>11</v>
      </c>
      <c r="I6458" t="s">
        <v>4738</v>
      </c>
      <c r="J6458" t="s">
        <v>5222</v>
      </c>
      <c r="K6458" t="s">
        <v>726</v>
      </c>
      <c r="L6458">
        <v>0</v>
      </c>
      <c r="M6458" s="452">
        <v>-693593</v>
      </c>
      <c r="N6458">
        <v>0</v>
      </c>
      <c r="O6458">
        <v>0</v>
      </c>
      <c r="P6458">
        <v>38.39</v>
      </c>
    </row>
    <row r="6459" spans="1:16" x14ac:dyDescent="0.3">
      <c r="A6459">
        <v>4858</v>
      </c>
      <c r="B6459">
        <v>105</v>
      </c>
      <c r="C6459" t="s">
        <v>557</v>
      </c>
      <c r="D6459" s="452">
        <v>45597</v>
      </c>
      <c r="E6459">
        <v>19728</v>
      </c>
      <c r="F6459" t="s">
        <v>5106</v>
      </c>
      <c r="G6459">
        <v>2525</v>
      </c>
      <c r="H6459">
        <v>3.55</v>
      </c>
      <c r="I6459" t="s">
        <v>4744</v>
      </c>
      <c r="J6459" t="s">
        <v>5191</v>
      </c>
      <c r="K6459" t="s">
        <v>726</v>
      </c>
      <c r="L6459">
        <v>10.72</v>
      </c>
      <c r="M6459" s="452">
        <v>45596</v>
      </c>
      <c r="N6459">
        <v>10</v>
      </c>
      <c r="O6459">
        <v>9.7799999999999994</v>
      </c>
      <c r="P6459">
        <v>38.06</v>
      </c>
    </row>
    <row r="6460" spans="1:16" x14ac:dyDescent="0.3">
      <c r="A6460">
        <v>4795</v>
      </c>
      <c r="B6460">
        <v>105</v>
      </c>
      <c r="C6460" t="s">
        <v>557</v>
      </c>
      <c r="D6460" s="452">
        <v>45597</v>
      </c>
      <c r="E6460">
        <v>19923</v>
      </c>
      <c r="F6460" t="s">
        <v>5069</v>
      </c>
      <c r="G6460">
        <v>2375</v>
      </c>
      <c r="H6460">
        <v>0.99</v>
      </c>
      <c r="I6460" t="s">
        <v>4738</v>
      </c>
      <c r="J6460" t="s">
        <v>5191</v>
      </c>
      <c r="K6460" t="s">
        <v>726</v>
      </c>
      <c r="L6460">
        <v>38</v>
      </c>
      <c r="M6460" s="452">
        <v>45573</v>
      </c>
      <c r="N6460">
        <v>38</v>
      </c>
      <c r="O6460">
        <v>38</v>
      </c>
      <c r="P6460">
        <v>37.619999999999997</v>
      </c>
    </row>
    <row r="6461" spans="1:16" x14ac:dyDescent="0.3">
      <c r="A6461">
        <v>4824</v>
      </c>
      <c r="B6461">
        <v>105</v>
      </c>
      <c r="C6461" t="s">
        <v>557</v>
      </c>
      <c r="D6461" s="452">
        <v>45597</v>
      </c>
      <c r="E6461">
        <v>23135</v>
      </c>
      <c r="F6461" t="s">
        <v>4933</v>
      </c>
      <c r="G6461">
        <v>2716</v>
      </c>
      <c r="H6461">
        <v>4.09</v>
      </c>
      <c r="I6461" t="s">
        <v>4744</v>
      </c>
      <c r="J6461" t="s">
        <v>5191</v>
      </c>
      <c r="K6461" t="s">
        <v>726</v>
      </c>
      <c r="L6461">
        <v>9.1300000000000008</v>
      </c>
      <c r="M6461" s="452">
        <v>45596</v>
      </c>
      <c r="N6461">
        <v>7.5</v>
      </c>
      <c r="O6461">
        <v>7.97</v>
      </c>
      <c r="P6461">
        <v>37.340000000000003</v>
      </c>
    </row>
    <row r="6462" spans="1:16" x14ac:dyDescent="0.3">
      <c r="A6462">
        <v>4920</v>
      </c>
      <c r="B6462">
        <v>105</v>
      </c>
      <c r="C6462" t="s">
        <v>557</v>
      </c>
      <c r="D6462" s="452">
        <v>45597</v>
      </c>
      <c r="E6462">
        <v>24404</v>
      </c>
      <c r="F6462" t="s">
        <v>5722</v>
      </c>
      <c r="G6462">
        <v>2951</v>
      </c>
      <c r="H6462">
        <v>1.35</v>
      </c>
      <c r="I6462" t="s">
        <v>4744</v>
      </c>
      <c r="J6462" t="s">
        <v>5191</v>
      </c>
      <c r="K6462" t="s">
        <v>726</v>
      </c>
      <c r="L6462">
        <v>0</v>
      </c>
      <c r="M6462" s="452">
        <v>45552</v>
      </c>
      <c r="N6462">
        <v>26.77</v>
      </c>
      <c r="O6462">
        <v>27.5</v>
      </c>
      <c r="P6462">
        <v>36.14</v>
      </c>
    </row>
    <row r="6463" spans="1:16" x14ac:dyDescent="0.3">
      <c r="A6463">
        <v>4694</v>
      </c>
      <c r="B6463">
        <v>105</v>
      </c>
      <c r="C6463" t="s">
        <v>557</v>
      </c>
      <c r="D6463" s="452">
        <v>45597</v>
      </c>
      <c r="E6463">
        <v>16997</v>
      </c>
      <c r="F6463" t="s">
        <v>5516</v>
      </c>
      <c r="G6463">
        <v>4750</v>
      </c>
      <c r="H6463">
        <v>1.2</v>
      </c>
      <c r="I6463" t="s">
        <v>4744</v>
      </c>
      <c r="J6463" t="s">
        <v>5191</v>
      </c>
      <c r="K6463" t="s">
        <v>726</v>
      </c>
      <c r="L6463">
        <v>0</v>
      </c>
      <c r="M6463" s="452">
        <v>45520</v>
      </c>
      <c r="N6463">
        <v>29.92</v>
      </c>
      <c r="O6463">
        <v>29.92</v>
      </c>
      <c r="P6463">
        <v>35.9</v>
      </c>
    </row>
    <row r="6464" spans="1:16" x14ac:dyDescent="0.3">
      <c r="A6464">
        <v>4702</v>
      </c>
      <c r="B6464">
        <v>105</v>
      </c>
      <c r="C6464" t="s">
        <v>557</v>
      </c>
      <c r="D6464" s="452">
        <v>45597</v>
      </c>
      <c r="E6464">
        <v>20321</v>
      </c>
      <c r="F6464" t="s">
        <v>5067</v>
      </c>
      <c r="G6464">
        <v>2213</v>
      </c>
      <c r="H6464">
        <v>0.8</v>
      </c>
      <c r="I6464" t="s">
        <v>4744</v>
      </c>
      <c r="J6464" t="s">
        <v>5191</v>
      </c>
      <c r="K6464" t="s">
        <v>726</v>
      </c>
      <c r="L6464">
        <v>0</v>
      </c>
      <c r="M6464" s="452">
        <v>-693593</v>
      </c>
      <c r="N6464">
        <v>0</v>
      </c>
      <c r="O6464">
        <v>43.64</v>
      </c>
      <c r="P6464">
        <v>34.909999999999997</v>
      </c>
    </row>
    <row r="6465" spans="1:16" x14ac:dyDescent="0.3">
      <c r="A6465">
        <v>4870</v>
      </c>
      <c r="B6465">
        <v>105</v>
      </c>
      <c r="C6465" t="s">
        <v>557</v>
      </c>
      <c r="D6465" s="452">
        <v>45597</v>
      </c>
      <c r="E6465">
        <v>19472</v>
      </c>
      <c r="F6465" t="s">
        <v>4906</v>
      </c>
      <c r="G6465">
        <v>2733</v>
      </c>
      <c r="H6465">
        <v>3.48</v>
      </c>
      <c r="I6465" t="s">
        <v>4744</v>
      </c>
      <c r="J6465" t="s">
        <v>5191</v>
      </c>
      <c r="K6465" t="s">
        <v>726</v>
      </c>
      <c r="L6465">
        <v>10.029999999999999</v>
      </c>
      <c r="M6465" s="452">
        <v>45593</v>
      </c>
      <c r="N6465">
        <v>8.5</v>
      </c>
      <c r="O6465">
        <v>9.93</v>
      </c>
      <c r="P6465">
        <v>34.9</v>
      </c>
    </row>
    <row r="6466" spans="1:16" x14ac:dyDescent="0.3">
      <c r="A6466">
        <v>4763</v>
      </c>
      <c r="B6466">
        <v>105</v>
      </c>
      <c r="C6466" t="s">
        <v>557</v>
      </c>
      <c r="D6466" s="452">
        <v>45597</v>
      </c>
      <c r="E6466">
        <v>24323</v>
      </c>
      <c r="F6466" t="s">
        <v>4844</v>
      </c>
      <c r="G6466">
        <v>2262</v>
      </c>
      <c r="H6466">
        <v>2</v>
      </c>
      <c r="I6466" t="s">
        <v>4744</v>
      </c>
      <c r="J6466" t="s">
        <v>5191</v>
      </c>
      <c r="K6466" t="s">
        <v>726</v>
      </c>
      <c r="L6466">
        <v>0</v>
      </c>
      <c r="M6466" s="452">
        <v>45555</v>
      </c>
      <c r="N6466">
        <v>17.440000000000001</v>
      </c>
      <c r="O6466">
        <v>17.440000000000001</v>
      </c>
      <c r="P6466">
        <v>34.880000000000003</v>
      </c>
    </row>
    <row r="6467" spans="1:16" x14ac:dyDescent="0.3">
      <c r="A6467">
        <v>4878</v>
      </c>
      <c r="B6467">
        <v>105</v>
      </c>
      <c r="C6467" t="s">
        <v>557</v>
      </c>
      <c r="D6467" s="452">
        <v>45597</v>
      </c>
      <c r="E6467">
        <v>24489</v>
      </c>
      <c r="F6467" t="s">
        <v>5121</v>
      </c>
      <c r="G6467">
        <v>2686</v>
      </c>
      <c r="H6467">
        <v>2.2999999999999998</v>
      </c>
      <c r="I6467" t="s">
        <v>4744</v>
      </c>
      <c r="J6467" t="s">
        <v>5191</v>
      </c>
      <c r="K6467" t="s">
        <v>726</v>
      </c>
      <c r="L6467">
        <v>0</v>
      </c>
      <c r="M6467" s="452">
        <v>45553</v>
      </c>
      <c r="N6467">
        <v>15</v>
      </c>
      <c r="O6467">
        <v>17</v>
      </c>
      <c r="P6467">
        <v>34.5</v>
      </c>
    </row>
    <row r="6468" spans="1:16" x14ac:dyDescent="0.3">
      <c r="A6468">
        <v>4956</v>
      </c>
      <c r="B6468">
        <v>105</v>
      </c>
      <c r="C6468" t="s">
        <v>557</v>
      </c>
      <c r="D6468" s="452">
        <v>45597</v>
      </c>
      <c r="E6468">
        <v>17721</v>
      </c>
      <c r="F6468" t="s">
        <v>4977</v>
      </c>
      <c r="G6468">
        <v>3818</v>
      </c>
      <c r="H6468">
        <v>3.09</v>
      </c>
      <c r="I6468" t="s">
        <v>4805</v>
      </c>
      <c r="J6468" t="s">
        <v>5222</v>
      </c>
      <c r="K6468" t="s">
        <v>726</v>
      </c>
      <c r="L6468">
        <v>0</v>
      </c>
      <c r="M6468" s="452">
        <v>45561</v>
      </c>
      <c r="N6468">
        <v>11.13</v>
      </c>
      <c r="O6468">
        <v>10.98</v>
      </c>
      <c r="P6468">
        <v>34.39</v>
      </c>
    </row>
    <row r="6469" spans="1:16" x14ac:dyDescent="0.3">
      <c r="A6469">
        <v>4753</v>
      </c>
      <c r="B6469">
        <v>105</v>
      </c>
      <c r="C6469" t="s">
        <v>557</v>
      </c>
      <c r="D6469" s="452">
        <v>45597</v>
      </c>
      <c r="E6469">
        <v>20016</v>
      </c>
      <c r="F6469" t="s">
        <v>5689</v>
      </c>
      <c r="G6469">
        <v>2341</v>
      </c>
      <c r="H6469">
        <v>1.21</v>
      </c>
      <c r="I6469" t="s">
        <v>4736</v>
      </c>
      <c r="J6469" t="s">
        <v>5191</v>
      </c>
      <c r="K6469" t="s">
        <v>726</v>
      </c>
      <c r="L6469">
        <v>28</v>
      </c>
      <c r="M6469" s="452">
        <v>45593</v>
      </c>
      <c r="N6469">
        <v>28</v>
      </c>
      <c r="O6469">
        <v>28</v>
      </c>
      <c r="P6469">
        <v>33.880000000000003</v>
      </c>
    </row>
    <row r="6470" spans="1:16" x14ac:dyDescent="0.3">
      <c r="A6470">
        <v>4803</v>
      </c>
      <c r="B6470">
        <v>105</v>
      </c>
      <c r="C6470" t="s">
        <v>557</v>
      </c>
      <c r="D6470" s="452">
        <v>45597</v>
      </c>
      <c r="E6470">
        <v>20961</v>
      </c>
      <c r="F6470" t="s">
        <v>5026</v>
      </c>
      <c r="G6470">
        <v>2015</v>
      </c>
      <c r="H6470">
        <v>5.78</v>
      </c>
      <c r="I6470" t="s">
        <v>4736</v>
      </c>
      <c r="J6470" t="s">
        <v>5191</v>
      </c>
      <c r="K6470" t="s">
        <v>726</v>
      </c>
      <c r="L6470">
        <v>5.77</v>
      </c>
      <c r="M6470" s="452">
        <v>45593</v>
      </c>
      <c r="N6470">
        <v>5.85</v>
      </c>
      <c r="O6470">
        <v>5.85</v>
      </c>
      <c r="P6470">
        <v>33.35</v>
      </c>
    </row>
    <row r="6471" spans="1:16" x14ac:dyDescent="0.3">
      <c r="A6471">
        <v>4799</v>
      </c>
      <c r="B6471">
        <v>105</v>
      </c>
      <c r="C6471" t="s">
        <v>557</v>
      </c>
      <c r="D6471" s="452">
        <v>45597</v>
      </c>
      <c r="E6471">
        <v>19917</v>
      </c>
      <c r="F6471" t="s">
        <v>5131</v>
      </c>
      <c r="G6471">
        <v>2379</v>
      </c>
      <c r="H6471">
        <v>11</v>
      </c>
      <c r="I6471" t="s">
        <v>4738</v>
      </c>
      <c r="J6471" t="s">
        <v>5191</v>
      </c>
      <c r="K6471" t="s">
        <v>726</v>
      </c>
      <c r="L6471">
        <v>3.03</v>
      </c>
      <c r="M6471" s="452">
        <v>45587</v>
      </c>
      <c r="N6471">
        <v>2.96</v>
      </c>
      <c r="O6471">
        <v>2.96</v>
      </c>
      <c r="P6471">
        <v>33.33</v>
      </c>
    </row>
    <row r="6472" spans="1:16" x14ac:dyDescent="0.3">
      <c r="A6472">
        <v>4732</v>
      </c>
      <c r="B6472">
        <v>105</v>
      </c>
      <c r="C6472" t="s">
        <v>557</v>
      </c>
      <c r="D6472" s="452">
        <v>45597</v>
      </c>
      <c r="E6472">
        <v>20421</v>
      </c>
      <c r="F6472" t="s">
        <v>5525</v>
      </c>
      <c r="G6472">
        <v>2187</v>
      </c>
      <c r="H6472">
        <v>2</v>
      </c>
      <c r="I6472" t="s">
        <v>4736</v>
      </c>
      <c r="J6472" t="s">
        <v>5191</v>
      </c>
      <c r="K6472" t="s">
        <v>726</v>
      </c>
      <c r="L6472">
        <v>16.149999999999999</v>
      </c>
      <c r="M6472" s="452">
        <v>45593</v>
      </c>
      <c r="N6472">
        <v>16.02</v>
      </c>
      <c r="O6472">
        <v>16.02</v>
      </c>
      <c r="P6472">
        <v>32.299999999999997</v>
      </c>
    </row>
    <row r="6473" spans="1:16" x14ac:dyDescent="0.3">
      <c r="A6473">
        <v>4794</v>
      </c>
      <c r="B6473">
        <v>105</v>
      </c>
      <c r="C6473" t="s">
        <v>557</v>
      </c>
      <c r="D6473" s="452">
        <v>45597</v>
      </c>
      <c r="E6473">
        <v>19924</v>
      </c>
      <c r="F6473" t="s">
        <v>5607</v>
      </c>
      <c r="G6473">
        <v>2374</v>
      </c>
      <c r="H6473">
        <v>0.45</v>
      </c>
      <c r="I6473" t="s">
        <v>4744</v>
      </c>
      <c r="J6473" t="s">
        <v>5191</v>
      </c>
      <c r="K6473" t="s">
        <v>726</v>
      </c>
      <c r="L6473">
        <v>0</v>
      </c>
      <c r="M6473" s="452">
        <v>-693593</v>
      </c>
      <c r="N6473">
        <v>0</v>
      </c>
      <c r="O6473">
        <v>0</v>
      </c>
      <c r="P6473">
        <v>32.299999999999997</v>
      </c>
    </row>
    <row r="6474" spans="1:16" x14ac:dyDescent="0.3">
      <c r="A6474">
        <v>4800</v>
      </c>
      <c r="B6474">
        <v>105</v>
      </c>
      <c r="C6474" t="s">
        <v>557</v>
      </c>
      <c r="D6474" s="452">
        <v>45597</v>
      </c>
      <c r="E6474">
        <v>19907</v>
      </c>
      <c r="F6474" t="s">
        <v>4802</v>
      </c>
      <c r="G6474">
        <v>2381</v>
      </c>
      <c r="H6474">
        <v>10.3</v>
      </c>
      <c r="I6474" t="s">
        <v>4736</v>
      </c>
      <c r="J6474" t="s">
        <v>5191</v>
      </c>
      <c r="K6474" t="s">
        <v>726</v>
      </c>
      <c r="L6474">
        <v>3.04</v>
      </c>
      <c r="M6474" s="452">
        <v>45587</v>
      </c>
      <c r="N6474">
        <v>2.98</v>
      </c>
      <c r="O6474">
        <v>2.96</v>
      </c>
      <c r="P6474">
        <v>31.31</v>
      </c>
    </row>
    <row r="6475" spans="1:16" x14ac:dyDescent="0.3">
      <c r="A6475">
        <v>4746</v>
      </c>
      <c r="B6475">
        <v>105</v>
      </c>
      <c r="C6475" t="s">
        <v>557</v>
      </c>
      <c r="D6475" s="452">
        <v>45597</v>
      </c>
      <c r="E6475">
        <v>20354</v>
      </c>
      <c r="F6475" t="s">
        <v>5723</v>
      </c>
      <c r="G6475">
        <v>2201</v>
      </c>
      <c r="H6475">
        <v>1</v>
      </c>
      <c r="I6475" t="s">
        <v>4738</v>
      </c>
      <c r="J6475" t="s">
        <v>5191</v>
      </c>
      <c r="K6475" t="s">
        <v>726</v>
      </c>
      <c r="L6475">
        <v>0</v>
      </c>
      <c r="M6475" s="452">
        <v>45546</v>
      </c>
      <c r="N6475">
        <v>31</v>
      </c>
      <c r="O6475">
        <v>31</v>
      </c>
      <c r="P6475">
        <v>31</v>
      </c>
    </row>
    <row r="6476" spans="1:16" x14ac:dyDescent="0.3">
      <c r="A6476">
        <v>4689</v>
      </c>
      <c r="B6476">
        <v>105</v>
      </c>
      <c r="C6476" t="s">
        <v>557</v>
      </c>
      <c r="D6476" s="452">
        <v>45597</v>
      </c>
      <c r="E6476">
        <v>18078</v>
      </c>
      <c r="F6476" t="s">
        <v>5606</v>
      </c>
      <c r="G6476">
        <v>3531</v>
      </c>
      <c r="H6476">
        <v>0.9</v>
      </c>
      <c r="I6476" t="s">
        <v>4805</v>
      </c>
      <c r="J6476" t="s">
        <v>5222</v>
      </c>
      <c r="K6476" t="s">
        <v>726</v>
      </c>
      <c r="L6476">
        <v>33.979999999999997</v>
      </c>
      <c r="M6476" s="452">
        <v>45574</v>
      </c>
      <c r="N6476">
        <v>33.979999999999997</v>
      </c>
      <c r="O6476">
        <v>33.979999999999997</v>
      </c>
      <c r="P6476">
        <v>30.58</v>
      </c>
    </row>
    <row r="6477" spans="1:16" x14ac:dyDescent="0.3">
      <c r="A6477">
        <v>4778</v>
      </c>
      <c r="B6477">
        <v>105</v>
      </c>
      <c r="C6477" t="s">
        <v>557</v>
      </c>
      <c r="D6477" s="452">
        <v>45597</v>
      </c>
      <c r="E6477">
        <v>19979</v>
      </c>
      <c r="F6477" t="s">
        <v>5270</v>
      </c>
      <c r="G6477">
        <v>2353</v>
      </c>
      <c r="H6477">
        <v>2</v>
      </c>
      <c r="I6477" t="s">
        <v>4888</v>
      </c>
      <c r="J6477" t="s">
        <v>5191</v>
      </c>
      <c r="K6477" t="s">
        <v>726</v>
      </c>
      <c r="L6477">
        <v>15.15</v>
      </c>
      <c r="M6477" s="452">
        <v>45586</v>
      </c>
      <c r="N6477">
        <v>15.15</v>
      </c>
      <c r="O6477">
        <v>15.15</v>
      </c>
      <c r="P6477">
        <v>30.3</v>
      </c>
    </row>
    <row r="6478" spans="1:16" x14ac:dyDescent="0.3">
      <c r="A6478">
        <v>6657</v>
      </c>
      <c r="B6478">
        <v>105</v>
      </c>
      <c r="C6478" t="s">
        <v>557</v>
      </c>
      <c r="D6478" s="452">
        <v>45597</v>
      </c>
      <c r="E6478">
        <v>19361</v>
      </c>
      <c r="F6478" t="s">
        <v>5724</v>
      </c>
      <c r="G6478">
        <v>2768</v>
      </c>
      <c r="H6478">
        <v>3.15</v>
      </c>
      <c r="I6478" t="s">
        <v>4744</v>
      </c>
      <c r="J6478" t="s">
        <v>5191</v>
      </c>
      <c r="K6478" t="s">
        <v>726</v>
      </c>
      <c r="L6478">
        <v>0</v>
      </c>
      <c r="M6478" s="452">
        <v>-693593</v>
      </c>
      <c r="N6478">
        <v>0</v>
      </c>
      <c r="O6478">
        <v>0</v>
      </c>
      <c r="P6478">
        <v>30.07</v>
      </c>
    </row>
    <row r="6479" spans="1:16" x14ac:dyDescent="0.3">
      <c r="A6479">
        <v>6656</v>
      </c>
      <c r="B6479">
        <v>105</v>
      </c>
      <c r="C6479" t="s">
        <v>557</v>
      </c>
      <c r="D6479" s="452">
        <v>45597</v>
      </c>
      <c r="E6479">
        <v>19243</v>
      </c>
      <c r="F6479" t="s">
        <v>5725</v>
      </c>
      <c r="G6479">
        <v>2785</v>
      </c>
      <c r="H6479">
        <v>6</v>
      </c>
      <c r="I6479" t="s">
        <v>4736</v>
      </c>
      <c r="J6479" t="s">
        <v>5191</v>
      </c>
      <c r="K6479" t="s">
        <v>726</v>
      </c>
      <c r="L6479">
        <v>0</v>
      </c>
      <c r="M6479" s="452">
        <v>-693593</v>
      </c>
      <c r="N6479">
        <v>0</v>
      </c>
      <c r="O6479">
        <v>4.99</v>
      </c>
      <c r="P6479">
        <v>29.94</v>
      </c>
    </row>
    <row r="6480" spans="1:16" x14ac:dyDescent="0.3">
      <c r="A6480">
        <v>4774</v>
      </c>
      <c r="B6480">
        <v>105</v>
      </c>
      <c r="C6480" t="s">
        <v>557</v>
      </c>
      <c r="D6480" s="452">
        <v>45597</v>
      </c>
      <c r="E6480">
        <v>24363</v>
      </c>
      <c r="F6480" t="s">
        <v>5531</v>
      </c>
      <c r="G6480">
        <v>2040</v>
      </c>
      <c r="H6480">
        <v>0.89</v>
      </c>
      <c r="I6480" t="s">
        <v>4744</v>
      </c>
      <c r="J6480" t="s">
        <v>5191</v>
      </c>
      <c r="K6480" t="s">
        <v>726</v>
      </c>
      <c r="L6480">
        <v>0</v>
      </c>
      <c r="M6480" s="452">
        <v>45525</v>
      </c>
      <c r="N6480">
        <v>32.9</v>
      </c>
      <c r="O6480">
        <v>32.9</v>
      </c>
      <c r="P6480">
        <v>29.28</v>
      </c>
    </row>
    <row r="6481" spans="1:16" x14ac:dyDescent="0.3">
      <c r="A6481">
        <v>4719</v>
      </c>
      <c r="B6481">
        <v>105</v>
      </c>
      <c r="C6481" t="s">
        <v>557</v>
      </c>
      <c r="D6481" s="452">
        <v>45597</v>
      </c>
      <c r="E6481">
        <v>23548</v>
      </c>
      <c r="F6481" t="s">
        <v>5449</v>
      </c>
      <c r="G6481">
        <v>2321</v>
      </c>
      <c r="H6481">
        <v>0.51</v>
      </c>
      <c r="I6481" t="s">
        <v>4744</v>
      </c>
      <c r="J6481" t="s">
        <v>5191</v>
      </c>
      <c r="K6481" t="s">
        <v>726</v>
      </c>
      <c r="L6481">
        <v>0</v>
      </c>
      <c r="M6481" s="452">
        <v>45519</v>
      </c>
      <c r="N6481">
        <v>56.9</v>
      </c>
      <c r="O6481">
        <v>42</v>
      </c>
      <c r="P6481">
        <v>29.02</v>
      </c>
    </row>
    <row r="6482" spans="1:16" x14ac:dyDescent="0.3">
      <c r="A6482">
        <v>4768</v>
      </c>
      <c r="B6482">
        <v>105</v>
      </c>
      <c r="C6482" t="s">
        <v>557</v>
      </c>
      <c r="D6482" s="452">
        <v>45597</v>
      </c>
      <c r="E6482">
        <v>20140</v>
      </c>
      <c r="F6482" t="s">
        <v>5566</v>
      </c>
      <c r="G6482">
        <v>2284</v>
      </c>
      <c r="H6482">
        <v>4</v>
      </c>
      <c r="I6482" t="s">
        <v>4736</v>
      </c>
      <c r="J6482" t="s">
        <v>5191</v>
      </c>
      <c r="K6482" t="s">
        <v>726</v>
      </c>
      <c r="L6482">
        <v>7.25</v>
      </c>
      <c r="M6482" s="452">
        <v>45593</v>
      </c>
      <c r="N6482">
        <v>7.25</v>
      </c>
      <c r="O6482">
        <v>7.25</v>
      </c>
      <c r="P6482">
        <v>29</v>
      </c>
    </row>
    <row r="6483" spans="1:16" x14ac:dyDescent="0.3">
      <c r="A6483">
        <v>4779</v>
      </c>
      <c r="B6483">
        <v>105</v>
      </c>
      <c r="C6483" t="s">
        <v>557</v>
      </c>
      <c r="D6483" s="452">
        <v>45597</v>
      </c>
      <c r="E6483">
        <v>19983</v>
      </c>
      <c r="F6483" t="s">
        <v>5068</v>
      </c>
      <c r="G6483">
        <v>2351</v>
      </c>
      <c r="H6483">
        <v>2.1</v>
      </c>
      <c r="I6483" t="s">
        <v>4888</v>
      </c>
      <c r="J6483" t="s">
        <v>5191</v>
      </c>
      <c r="K6483" t="s">
        <v>726</v>
      </c>
      <c r="L6483">
        <v>13.8</v>
      </c>
      <c r="M6483" s="452">
        <v>45580</v>
      </c>
      <c r="N6483">
        <v>13.8</v>
      </c>
      <c r="O6483">
        <v>7.9</v>
      </c>
      <c r="P6483">
        <v>28.98</v>
      </c>
    </row>
    <row r="6484" spans="1:16" x14ac:dyDescent="0.3">
      <c r="A6484">
        <v>4667</v>
      </c>
      <c r="B6484">
        <v>105</v>
      </c>
      <c r="C6484" t="s">
        <v>557</v>
      </c>
      <c r="D6484" s="452">
        <v>45597</v>
      </c>
      <c r="E6484">
        <v>18281</v>
      </c>
      <c r="F6484" t="s">
        <v>5470</v>
      </c>
      <c r="G6484">
        <v>3346</v>
      </c>
      <c r="H6484">
        <v>0.82</v>
      </c>
      <c r="I6484" t="s">
        <v>4805</v>
      </c>
      <c r="J6484" t="s">
        <v>5222</v>
      </c>
      <c r="K6484" t="s">
        <v>726</v>
      </c>
      <c r="L6484">
        <v>0</v>
      </c>
      <c r="M6484" s="452">
        <v>45547</v>
      </c>
      <c r="N6484">
        <v>34.299999999999997</v>
      </c>
      <c r="O6484">
        <v>34.299999999999997</v>
      </c>
      <c r="P6484">
        <v>28.13</v>
      </c>
    </row>
    <row r="6485" spans="1:16" x14ac:dyDescent="0.3">
      <c r="A6485">
        <v>6664</v>
      </c>
      <c r="B6485">
        <v>105</v>
      </c>
      <c r="C6485" t="s">
        <v>557</v>
      </c>
      <c r="D6485" s="452">
        <v>45597</v>
      </c>
      <c r="E6485">
        <v>25748</v>
      </c>
      <c r="F6485" t="s">
        <v>4999</v>
      </c>
      <c r="G6485">
        <v>9068</v>
      </c>
      <c r="H6485">
        <v>4</v>
      </c>
      <c r="I6485" t="s">
        <v>4749</v>
      </c>
      <c r="J6485" t="s">
        <v>5191</v>
      </c>
      <c r="K6485" t="s">
        <v>726</v>
      </c>
      <c r="L6485">
        <v>0</v>
      </c>
      <c r="M6485" s="452">
        <v>-693593</v>
      </c>
      <c r="N6485">
        <v>0</v>
      </c>
      <c r="O6485">
        <v>0</v>
      </c>
      <c r="P6485">
        <v>27.96</v>
      </c>
    </row>
    <row r="6486" spans="1:16" x14ac:dyDescent="0.3">
      <c r="A6486">
        <v>4934</v>
      </c>
      <c r="B6486">
        <v>105</v>
      </c>
      <c r="C6486" t="s">
        <v>557</v>
      </c>
      <c r="D6486" s="452">
        <v>45597</v>
      </c>
      <c r="E6486">
        <v>17838</v>
      </c>
      <c r="F6486" t="s">
        <v>4925</v>
      </c>
      <c r="G6486">
        <v>3712</v>
      </c>
      <c r="H6486">
        <v>3</v>
      </c>
      <c r="I6486" t="s">
        <v>4749</v>
      </c>
      <c r="J6486" t="s">
        <v>5222</v>
      </c>
      <c r="K6486" t="s">
        <v>726</v>
      </c>
      <c r="L6486">
        <v>0</v>
      </c>
      <c r="M6486" s="452">
        <v>45519</v>
      </c>
      <c r="N6486">
        <v>8.9</v>
      </c>
      <c r="O6486">
        <v>7.89</v>
      </c>
      <c r="P6486">
        <v>26.7</v>
      </c>
    </row>
    <row r="6487" spans="1:16" x14ac:dyDescent="0.3">
      <c r="A6487">
        <v>4787</v>
      </c>
      <c r="B6487">
        <v>105</v>
      </c>
      <c r="C6487" t="s">
        <v>557</v>
      </c>
      <c r="D6487" s="452">
        <v>45597</v>
      </c>
      <c r="E6487">
        <v>21006</v>
      </c>
      <c r="F6487" t="s">
        <v>5677</v>
      </c>
      <c r="G6487">
        <v>2007</v>
      </c>
      <c r="H6487">
        <v>0.26</v>
      </c>
      <c r="I6487" t="s">
        <v>4888</v>
      </c>
      <c r="J6487" t="s">
        <v>5191</v>
      </c>
      <c r="K6487" t="s">
        <v>726</v>
      </c>
      <c r="L6487">
        <v>0</v>
      </c>
      <c r="M6487" s="452">
        <v>45534</v>
      </c>
      <c r="N6487">
        <v>99.99</v>
      </c>
      <c r="O6487">
        <v>99.99</v>
      </c>
      <c r="P6487">
        <v>26</v>
      </c>
    </row>
    <row r="6488" spans="1:16" x14ac:dyDescent="0.3">
      <c r="A6488">
        <v>4850</v>
      </c>
      <c r="B6488">
        <v>105</v>
      </c>
      <c r="C6488" t="s">
        <v>557</v>
      </c>
      <c r="D6488" s="452">
        <v>45597</v>
      </c>
      <c r="E6488">
        <v>19603</v>
      </c>
      <c r="F6488" t="s">
        <v>5605</v>
      </c>
      <c r="G6488">
        <v>2625</v>
      </c>
      <c r="H6488">
        <v>4</v>
      </c>
      <c r="I6488" t="s">
        <v>4736</v>
      </c>
      <c r="J6488" t="s">
        <v>5191</v>
      </c>
      <c r="K6488" t="s">
        <v>726</v>
      </c>
      <c r="L6488">
        <v>6.5</v>
      </c>
      <c r="M6488" s="452">
        <v>45581</v>
      </c>
      <c r="N6488">
        <v>6.5</v>
      </c>
      <c r="O6488">
        <v>6.5</v>
      </c>
      <c r="P6488">
        <v>26</v>
      </c>
    </row>
    <row r="6489" spans="1:16" x14ac:dyDescent="0.3">
      <c r="A6489">
        <v>4865</v>
      </c>
      <c r="B6489">
        <v>105</v>
      </c>
      <c r="C6489" t="s">
        <v>557</v>
      </c>
      <c r="D6489" s="452">
        <v>45597</v>
      </c>
      <c r="E6489">
        <v>20678</v>
      </c>
      <c r="F6489" t="s">
        <v>5559</v>
      </c>
      <c r="G6489">
        <v>5765</v>
      </c>
      <c r="H6489">
        <v>1</v>
      </c>
      <c r="I6489" t="s">
        <v>4805</v>
      </c>
      <c r="J6489" t="s">
        <v>5191</v>
      </c>
      <c r="K6489" t="s">
        <v>726</v>
      </c>
      <c r="L6489">
        <v>25.9</v>
      </c>
      <c r="M6489" s="452">
        <v>45596</v>
      </c>
      <c r="N6489">
        <v>0</v>
      </c>
      <c r="O6489">
        <v>0</v>
      </c>
      <c r="P6489">
        <v>25.9</v>
      </c>
    </row>
    <row r="6490" spans="1:16" x14ac:dyDescent="0.3">
      <c r="A6490">
        <v>4633</v>
      </c>
      <c r="B6490">
        <v>105</v>
      </c>
      <c r="C6490" t="s">
        <v>557</v>
      </c>
      <c r="D6490" s="452">
        <v>45597</v>
      </c>
      <c r="E6490">
        <v>23974</v>
      </c>
      <c r="F6490" t="s">
        <v>4862</v>
      </c>
      <c r="G6490">
        <v>4163</v>
      </c>
      <c r="H6490">
        <v>7</v>
      </c>
      <c r="I6490" t="s">
        <v>4736</v>
      </c>
      <c r="J6490" t="s">
        <v>5222</v>
      </c>
      <c r="K6490" t="s">
        <v>726</v>
      </c>
      <c r="L6490">
        <v>3.66</v>
      </c>
      <c r="M6490" s="452">
        <v>45588</v>
      </c>
      <c r="N6490">
        <v>49.4</v>
      </c>
      <c r="O6490">
        <v>45.6</v>
      </c>
      <c r="P6490">
        <v>25.62</v>
      </c>
    </row>
    <row r="6491" spans="1:16" x14ac:dyDescent="0.3">
      <c r="A6491">
        <v>4804</v>
      </c>
      <c r="B6491">
        <v>105</v>
      </c>
      <c r="C6491" t="s">
        <v>557</v>
      </c>
      <c r="D6491" s="452">
        <v>45597</v>
      </c>
      <c r="E6491">
        <v>20955</v>
      </c>
      <c r="F6491" t="s">
        <v>4959</v>
      </c>
      <c r="G6491">
        <v>2019</v>
      </c>
      <c r="H6491">
        <v>2.25</v>
      </c>
      <c r="I6491" t="s">
        <v>4805</v>
      </c>
      <c r="J6491" t="s">
        <v>5191</v>
      </c>
      <c r="K6491" t="s">
        <v>726</v>
      </c>
      <c r="L6491">
        <v>0</v>
      </c>
      <c r="M6491" s="452">
        <v>45561</v>
      </c>
      <c r="N6491">
        <v>11.13</v>
      </c>
      <c r="O6491">
        <v>9.91</v>
      </c>
      <c r="P6491">
        <v>25.04</v>
      </c>
    </row>
    <row r="6492" spans="1:16" x14ac:dyDescent="0.3">
      <c r="A6492">
        <v>4663</v>
      </c>
      <c r="B6492">
        <v>105</v>
      </c>
      <c r="C6492" t="s">
        <v>557</v>
      </c>
      <c r="D6492" s="452">
        <v>45597</v>
      </c>
      <c r="E6492">
        <v>18317</v>
      </c>
      <c r="F6492" t="s">
        <v>5056</v>
      </c>
      <c r="G6492">
        <v>3316</v>
      </c>
      <c r="H6492">
        <v>0.72</v>
      </c>
      <c r="I6492" t="s">
        <v>4805</v>
      </c>
      <c r="J6492" t="s">
        <v>5222</v>
      </c>
      <c r="K6492" t="s">
        <v>726</v>
      </c>
      <c r="L6492">
        <v>0</v>
      </c>
      <c r="M6492" s="452">
        <v>-693593</v>
      </c>
      <c r="N6492">
        <v>0</v>
      </c>
      <c r="O6492">
        <v>34.5</v>
      </c>
      <c r="P6492">
        <v>24.84</v>
      </c>
    </row>
    <row r="6493" spans="1:16" x14ac:dyDescent="0.3">
      <c r="A6493">
        <v>4928</v>
      </c>
      <c r="B6493">
        <v>105</v>
      </c>
      <c r="C6493" t="s">
        <v>557</v>
      </c>
      <c r="D6493" s="452">
        <v>45597</v>
      </c>
      <c r="E6493">
        <v>25138</v>
      </c>
      <c r="F6493" t="s">
        <v>5545</v>
      </c>
      <c r="G6493">
        <v>5916</v>
      </c>
      <c r="H6493">
        <v>0.8</v>
      </c>
      <c r="I6493" t="s">
        <v>4744</v>
      </c>
      <c r="J6493" t="s">
        <v>5191</v>
      </c>
      <c r="K6493" t="s">
        <v>726</v>
      </c>
      <c r="L6493">
        <v>0</v>
      </c>
      <c r="M6493" s="452">
        <v>-693593</v>
      </c>
      <c r="N6493">
        <v>0</v>
      </c>
      <c r="O6493">
        <v>0</v>
      </c>
      <c r="P6493">
        <v>24.8</v>
      </c>
    </row>
    <row r="6494" spans="1:16" x14ac:dyDescent="0.3">
      <c r="A6494">
        <v>4792</v>
      </c>
      <c r="B6494">
        <v>105</v>
      </c>
      <c r="C6494" t="s">
        <v>557</v>
      </c>
      <c r="D6494" s="452">
        <v>45597</v>
      </c>
      <c r="E6494">
        <v>19936</v>
      </c>
      <c r="F6494" t="s">
        <v>5508</v>
      </c>
      <c r="G6494">
        <v>2367</v>
      </c>
      <c r="H6494">
        <v>1.8</v>
      </c>
      <c r="I6494" t="s">
        <v>4744</v>
      </c>
      <c r="J6494" t="s">
        <v>5191</v>
      </c>
      <c r="K6494" t="s">
        <v>726</v>
      </c>
      <c r="L6494">
        <v>13.5</v>
      </c>
      <c r="M6494" s="452">
        <v>45582</v>
      </c>
      <c r="N6494">
        <v>13.5</v>
      </c>
      <c r="O6494">
        <v>21</v>
      </c>
      <c r="P6494">
        <v>24.3</v>
      </c>
    </row>
    <row r="6495" spans="1:16" x14ac:dyDescent="0.3">
      <c r="A6495">
        <v>6653</v>
      </c>
      <c r="B6495">
        <v>105</v>
      </c>
      <c r="C6495" t="s">
        <v>557</v>
      </c>
      <c r="D6495" s="452">
        <v>45597</v>
      </c>
      <c r="E6495">
        <v>20893</v>
      </c>
      <c r="F6495" t="s">
        <v>5726</v>
      </c>
      <c r="G6495">
        <v>2038</v>
      </c>
      <c r="H6495">
        <v>0.46</v>
      </c>
      <c r="I6495" t="s">
        <v>4738</v>
      </c>
      <c r="J6495" t="s">
        <v>5191</v>
      </c>
      <c r="K6495" t="s">
        <v>726</v>
      </c>
      <c r="L6495">
        <v>0</v>
      </c>
      <c r="M6495" s="452">
        <v>-693593</v>
      </c>
      <c r="N6495">
        <v>0</v>
      </c>
      <c r="O6495">
        <v>51.98</v>
      </c>
      <c r="P6495">
        <v>23.91</v>
      </c>
    </row>
    <row r="6496" spans="1:16" x14ac:dyDescent="0.3">
      <c r="A6496">
        <v>4786</v>
      </c>
      <c r="B6496">
        <v>105</v>
      </c>
      <c r="C6496" t="s">
        <v>557</v>
      </c>
      <c r="D6496" s="452">
        <v>45597</v>
      </c>
      <c r="E6496">
        <v>20212</v>
      </c>
      <c r="F6496" t="s">
        <v>5727</v>
      </c>
      <c r="G6496">
        <v>2252</v>
      </c>
      <c r="H6496">
        <v>0.25</v>
      </c>
      <c r="I6496" t="s">
        <v>4744</v>
      </c>
      <c r="J6496" t="s">
        <v>5191</v>
      </c>
      <c r="K6496" t="s">
        <v>726</v>
      </c>
      <c r="L6496">
        <v>0</v>
      </c>
      <c r="M6496" s="452">
        <v>-693593</v>
      </c>
      <c r="N6496">
        <v>0</v>
      </c>
      <c r="O6496">
        <v>95.21</v>
      </c>
      <c r="P6496">
        <v>23.8</v>
      </c>
    </row>
    <row r="6497" spans="1:16" x14ac:dyDescent="0.3">
      <c r="A6497">
        <v>4810</v>
      </c>
      <c r="B6497">
        <v>105</v>
      </c>
      <c r="C6497" t="s">
        <v>557</v>
      </c>
      <c r="D6497" s="452">
        <v>45597</v>
      </c>
      <c r="E6497">
        <v>19505</v>
      </c>
      <c r="F6497" t="s">
        <v>4872</v>
      </c>
      <c r="G6497">
        <v>2706</v>
      </c>
      <c r="H6497">
        <v>4.6900000000000004</v>
      </c>
      <c r="I6497" t="s">
        <v>4744</v>
      </c>
      <c r="J6497" t="s">
        <v>5191</v>
      </c>
      <c r="K6497" t="s">
        <v>726</v>
      </c>
      <c r="L6497">
        <v>5.07</v>
      </c>
      <c r="M6497" s="452">
        <v>45596</v>
      </c>
      <c r="N6497">
        <v>5.49</v>
      </c>
      <c r="O6497">
        <v>5.52</v>
      </c>
      <c r="P6497">
        <v>23.78</v>
      </c>
    </row>
    <row r="6498" spans="1:16" x14ac:dyDescent="0.3">
      <c r="A6498">
        <v>4748</v>
      </c>
      <c r="B6498">
        <v>105</v>
      </c>
      <c r="C6498" t="s">
        <v>557</v>
      </c>
      <c r="D6498" s="452">
        <v>45597</v>
      </c>
      <c r="E6498">
        <v>24248</v>
      </c>
      <c r="F6498" t="s">
        <v>4837</v>
      </c>
      <c r="G6498">
        <v>2247</v>
      </c>
      <c r="H6498">
        <v>3</v>
      </c>
      <c r="I6498" t="s">
        <v>4744</v>
      </c>
      <c r="J6498" t="s">
        <v>5191</v>
      </c>
      <c r="K6498" t="s">
        <v>726</v>
      </c>
      <c r="L6498">
        <v>0</v>
      </c>
      <c r="M6498" s="452">
        <v>45532</v>
      </c>
      <c r="N6498">
        <v>7.9</v>
      </c>
      <c r="O6498">
        <v>7.9</v>
      </c>
      <c r="P6498">
        <v>23.7</v>
      </c>
    </row>
    <row r="6499" spans="1:16" x14ac:dyDescent="0.3">
      <c r="A6499">
        <v>4809</v>
      </c>
      <c r="B6499">
        <v>105</v>
      </c>
      <c r="C6499" t="s">
        <v>557</v>
      </c>
      <c r="D6499" s="452">
        <v>45597</v>
      </c>
      <c r="E6499">
        <v>19506</v>
      </c>
      <c r="F6499" t="s">
        <v>5122</v>
      </c>
      <c r="G6499">
        <v>2705</v>
      </c>
      <c r="H6499">
        <v>0.48</v>
      </c>
      <c r="I6499" t="s">
        <v>4744</v>
      </c>
      <c r="J6499" t="s">
        <v>5191</v>
      </c>
      <c r="K6499" t="s">
        <v>726</v>
      </c>
      <c r="L6499">
        <v>48.05</v>
      </c>
      <c r="M6499" s="452">
        <v>45590</v>
      </c>
      <c r="N6499">
        <v>45.5</v>
      </c>
      <c r="O6499">
        <v>50.78</v>
      </c>
      <c r="P6499">
        <v>23.06</v>
      </c>
    </row>
    <row r="6500" spans="1:16" x14ac:dyDescent="0.3">
      <c r="A6500">
        <v>4807</v>
      </c>
      <c r="B6500">
        <v>105</v>
      </c>
      <c r="C6500" t="s">
        <v>557</v>
      </c>
      <c r="D6500" s="452">
        <v>45597</v>
      </c>
      <c r="E6500">
        <v>19654</v>
      </c>
      <c r="F6500" t="s">
        <v>5099</v>
      </c>
      <c r="G6500">
        <v>2586</v>
      </c>
      <c r="H6500">
        <v>7.75</v>
      </c>
      <c r="I6500" t="s">
        <v>4744</v>
      </c>
      <c r="J6500" t="s">
        <v>5191</v>
      </c>
      <c r="K6500" t="s">
        <v>726</v>
      </c>
      <c r="L6500">
        <v>0</v>
      </c>
      <c r="M6500" s="452">
        <v>45555</v>
      </c>
      <c r="N6500">
        <v>2.9</v>
      </c>
      <c r="O6500">
        <v>1.89</v>
      </c>
      <c r="P6500">
        <v>22.48</v>
      </c>
    </row>
    <row r="6501" spans="1:16" x14ac:dyDescent="0.3">
      <c r="A6501">
        <v>4808</v>
      </c>
      <c r="B6501">
        <v>105</v>
      </c>
      <c r="C6501" t="s">
        <v>557</v>
      </c>
      <c r="D6501" s="452">
        <v>45597</v>
      </c>
      <c r="E6501">
        <v>19458</v>
      </c>
      <c r="F6501" t="s">
        <v>5589</v>
      </c>
      <c r="G6501">
        <v>2746</v>
      </c>
      <c r="H6501">
        <v>3.08</v>
      </c>
      <c r="I6501" t="s">
        <v>4744</v>
      </c>
      <c r="J6501" t="s">
        <v>5191</v>
      </c>
      <c r="K6501" t="s">
        <v>726</v>
      </c>
      <c r="L6501">
        <v>7.12</v>
      </c>
      <c r="M6501" s="452">
        <v>45596</v>
      </c>
      <c r="N6501">
        <v>2.8</v>
      </c>
      <c r="O6501">
        <v>2.8</v>
      </c>
      <c r="P6501">
        <v>21.93</v>
      </c>
    </row>
    <row r="6502" spans="1:16" x14ac:dyDescent="0.3">
      <c r="A6502">
        <v>4877</v>
      </c>
      <c r="B6502">
        <v>105</v>
      </c>
      <c r="C6502" t="s">
        <v>557</v>
      </c>
      <c r="D6502" s="452">
        <v>45597</v>
      </c>
      <c r="E6502">
        <v>19710</v>
      </c>
      <c r="F6502" t="s">
        <v>4963</v>
      </c>
      <c r="G6502">
        <v>2540</v>
      </c>
      <c r="H6502">
        <v>1.1000000000000001</v>
      </c>
      <c r="I6502" t="s">
        <v>4738</v>
      </c>
      <c r="J6502" t="s">
        <v>5191</v>
      </c>
      <c r="K6502" t="s">
        <v>726</v>
      </c>
      <c r="L6502">
        <v>19.899999999999999</v>
      </c>
      <c r="M6502" s="452">
        <v>45586</v>
      </c>
      <c r="N6502">
        <v>19.899999999999999</v>
      </c>
      <c r="O6502">
        <v>19.899999999999999</v>
      </c>
      <c r="P6502">
        <v>21.89</v>
      </c>
    </row>
    <row r="6503" spans="1:16" x14ac:dyDescent="0.3">
      <c r="A6503">
        <v>4863</v>
      </c>
      <c r="B6503">
        <v>105</v>
      </c>
      <c r="C6503" t="s">
        <v>557</v>
      </c>
      <c r="D6503" s="452">
        <v>45597</v>
      </c>
      <c r="E6503">
        <v>19560</v>
      </c>
      <c r="F6503" t="s">
        <v>4962</v>
      </c>
      <c r="G6503">
        <v>2657</v>
      </c>
      <c r="H6503">
        <v>1.65</v>
      </c>
      <c r="I6503" t="s">
        <v>4744</v>
      </c>
      <c r="J6503" t="s">
        <v>5191</v>
      </c>
      <c r="K6503" t="s">
        <v>726</v>
      </c>
      <c r="L6503">
        <v>12.99</v>
      </c>
      <c r="M6503" s="452">
        <v>45596</v>
      </c>
      <c r="N6503">
        <v>11.62</v>
      </c>
      <c r="O6503">
        <v>11.12</v>
      </c>
      <c r="P6503">
        <v>21.43</v>
      </c>
    </row>
    <row r="6504" spans="1:16" x14ac:dyDescent="0.3">
      <c r="A6504">
        <v>4811</v>
      </c>
      <c r="B6504">
        <v>105</v>
      </c>
      <c r="C6504" t="s">
        <v>557</v>
      </c>
      <c r="D6504" s="452">
        <v>45597</v>
      </c>
      <c r="E6504">
        <v>19502</v>
      </c>
      <c r="F6504" t="s">
        <v>4871</v>
      </c>
      <c r="G6504">
        <v>2708</v>
      </c>
      <c r="H6504">
        <v>3.15</v>
      </c>
      <c r="I6504" t="s">
        <v>4744</v>
      </c>
      <c r="J6504" t="s">
        <v>5191</v>
      </c>
      <c r="K6504" t="s">
        <v>726</v>
      </c>
      <c r="L6504">
        <v>6.79</v>
      </c>
      <c r="M6504" s="452">
        <v>45596</v>
      </c>
      <c r="N6504">
        <v>8.4</v>
      </c>
      <c r="O6504">
        <v>28.24</v>
      </c>
      <c r="P6504">
        <v>21.39</v>
      </c>
    </row>
    <row r="6505" spans="1:16" x14ac:dyDescent="0.3">
      <c r="A6505">
        <v>4744</v>
      </c>
      <c r="B6505">
        <v>105</v>
      </c>
      <c r="C6505" t="s">
        <v>557</v>
      </c>
      <c r="D6505" s="452">
        <v>45597</v>
      </c>
      <c r="E6505">
        <v>24486</v>
      </c>
      <c r="F6505" t="s">
        <v>5568</v>
      </c>
      <c r="G6505">
        <v>2212</v>
      </c>
      <c r="H6505">
        <v>2.36</v>
      </c>
      <c r="I6505" t="s">
        <v>4744</v>
      </c>
      <c r="J6505" t="s">
        <v>5191</v>
      </c>
      <c r="K6505" t="s">
        <v>726</v>
      </c>
      <c r="L6505">
        <v>0</v>
      </c>
      <c r="M6505" s="452">
        <v>45486</v>
      </c>
      <c r="N6505">
        <v>8.99</v>
      </c>
      <c r="O6505">
        <v>8.99</v>
      </c>
      <c r="P6505">
        <v>21.22</v>
      </c>
    </row>
    <row r="6506" spans="1:16" x14ac:dyDescent="0.3">
      <c r="A6506">
        <v>4742</v>
      </c>
      <c r="B6506">
        <v>105</v>
      </c>
      <c r="C6506" t="s">
        <v>557</v>
      </c>
      <c r="D6506" s="452">
        <v>45597</v>
      </c>
      <c r="E6506">
        <v>24241</v>
      </c>
      <c r="F6506" t="s">
        <v>5562</v>
      </c>
      <c r="G6506">
        <v>2197</v>
      </c>
      <c r="H6506">
        <v>1.1299999999999999</v>
      </c>
      <c r="I6506" t="s">
        <v>4744</v>
      </c>
      <c r="J6506" t="s">
        <v>5191</v>
      </c>
      <c r="K6506" t="s">
        <v>726</v>
      </c>
      <c r="L6506">
        <v>0</v>
      </c>
      <c r="M6506" s="452">
        <v>45504</v>
      </c>
      <c r="N6506">
        <v>18.5</v>
      </c>
      <c r="O6506">
        <v>18.5</v>
      </c>
      <c r="P6506">
        <v>20.9</v>
      </c>
    </row>
    <row r="6507" spans="1:16" x14ac:dyDescent="0.3">
      <c r="A6507">
        <v>4740</v>
      </c>
      <c r="B6507">
        <v>105</v>
      </c>
      <c r="C6507" t="s">
        <v>557</v>
      </c>
      <c r="D6507" s="452">
        <v>45597</v>
      </c>
      <c r="E6507">
        <v>20390</v>
      </c>
      <c r="F6507" t="s">
        <v>5543</v>
      </c>
      <c r="G6507">
        <v>2194</v>
      </c>
      <c r="H6507">
        <v>1</v>
      </c>
      <c r="I6507" t="s">
        <v>4738</v>
      </c>
      <c r="J6507" t="s">
        <v>5191</v>
      </c>
      <c r="K6507" t="s">
        <v>726</v>
      </c>
      <c r="L6507">
        <v>0</v>
      </c>
      <c r="M6507" s="452">
        <v>45434</v>
      </c>
      <c r="N6507">
        <v>20.8</v>
      </c>
      <c r="O6507">
        <v>20.8</v>
      </c>
      <c r="P6507">
        <v>20.8</v>
      </c>
    </row>
    <row r="6508" spans="1:16" x14ac:dyDescent="0.3">
      <c r="A6508">
        <v>4831</v>
      </c>
      <c r="B6508">
        <v>105</v>
      </c>
      <c r="C6508" t="s">
        <v>557</v>
      </c>
      <c r="D6508" s="452">
        <v>45597</v>
      </c>
      <c r="E6508">
        <v>19621</v>
      </c>
      <c r="F6508" t="s">
        <v>4829</v>
      </c>
      <c r="G6508">
        <v>2613</v>
      </c>
      <c r="H6508">
        <v>5.57</v>
      </c>
      <c r="I6508" t="s">
        <v>4744</v>
      </c>
      <c r="J6508" t="s">
        <v>5191</v>
      </c>
      <c r="K6508" t="s">
        <v>726</v>
      </c>
      <c r="L6508">
        <v>3.73</v>
      </c>
      <c r="M6508" s="452">
        <v>45596</v>
      </c>
      <c r="N6508">
        <v>2.4300000000000002</v>
      </c>
      <c r="O6508">
        <v>2.4300000000000002</v>
      </c>
      <c r="P6508">
        <v>20.78</v>
      </c>
    </row>
    <row r="6509" spans="1:16" x14ac:dyDescent="0.3">
      <c r="A6509">
        <v>4935</v>
      </c>
      <c r="B6509">
        <v>105</v>
      </c>
      <c r="C6509" t="s">
        <v>557</v>
      </c>
      <c r="D6509" s="452">
        <v>45597</v>
      </c>
      <c r="E6509">
        <v>17919</v>
      </c>
      <c r="F6509" t="s">
        <v>5705</v>
      </c>
      <c r="G6509">
        <v>3647</v>
      </c>
      <c r="H6509">
        <v>3</v>
      </c>
      <c r="I6509" t="s">
        <v>4736</v>
      </c>
      <c r="J6509" t="s">
        <v>5222</v>
      </c>
      <c r="K6509" t="s">
        <v>726</v>
      </c>
      <c r="L6509">
        <v>0</v>
      </c>
      <c r="M6509" s="452">
        <v>45540</v>
      </c>
      <c r="N6509">
        <v>6.82</v>
      </c>
      <c r="O6509">
        <v>6.82</v>
      </c>
      <c r="P6509">
        <v>20.46</v>
      </c>
    </row>
    <row r="6510" spans="1:16" x14ac:dyDescent="0.3">
      <c r="A6510">
        <v>4688</v>
      </c>
      <c r="B6510">
        <v>105</v>
      </c>
      <c r="C6510" t="s">
        <v>557</v>
      </c>
      <c r="D6510" s="452">
        <v>45597</v>
      </c>
      <c r="E6510">
        <v>18079</v>
      </c>
      <c r="F6510" t="s">
        <v>5603</v>
      </c>
      <c r="G6510">
        <v>3530</v>
      </c>
      <c r="H6510">
        <v>0.6</v>
      </c>
      <c r="I6510" t="s">
        <v>4736</v>
      </c>
      <c r="J6510" t="s">
        <v>5222</v>
      </c>
      <c r="K6510" t="s">
        <v>726</v>
      </c>
      <c r="L6510">
        <v>0</v>
      </c>
      <c r="M6510" s="452">
        <v>45547</v>
      </c>
      <c r="N6510">
        <v>33.979999999999997</v>
      </c>
      <c r="O6510">
        <v>33.979999999999997</v>
      </c>
      <c r="P6510">
        <v>20.39</v>
      </c>
    </row>
    <row r="6511" spans="1:16" x14ac:dyDescent="0.3">
      <c r="A6511">
        <v>4720</v>
      </c>
      <c r="B6511">
        <v>105</v>
      </c>
      <c r="C6511" t="s">
        <v>557</v>
      </c>
      <c r="D6511" s="452">
        <v>45597</v>
      </c>
      <c r="E6511">
        <v>24110</v>
      </c>
      <c r="F6511" t="s">
        <v>5450</v>
      </c>
      <c r="G6511">
        <v>2322</v>
      </c>
      <c r="H6511">
        <v>1.18</v>
      </c>
      <c r="I6511" t="s">
        <v>4744</v>
      </c>
      <c r="J6511" t="s">
        <v>5191</v>
      </c>
      <c r="K6511" t="s">
        <v>726</v>
      </c>
      <c r="L6511">
        <v>0</v>
      </c>
      <c r="M6511" s="452">
        <v>45478</v>
      </c>
      <c r="N6511">
        <v>17.2</v>
      </c>
      <c r="O6511">
        <v>32</v>
      </c>
      <c r="P6511">
        <v>20.3</v>
      </c>
    </row>
    <row r="6512" spans="1:16" x14ac:dyDescent="0.3">
      <c r="A6512">
        <v>6660</v>
      </c>
      <c r="B6512">
        <v>105</v>
      </c>
      <c r="C6512" t="s">
        <v>557</v>
      </c>
      <c r="D6512" s="452">
        <v>45597</v>
      </c>
      <c r="E6512">
        <v>19130</v>
      </c>
      <c r="F6512" t="s">
        <v>4990</v>
      </c>
      <c r="G6512">
        <v>2839</v>
      </c>
      <c r="H6512">
        <v>0.84</v>
      </c>
      <c r="I6512" t="s">
        <v>4744</v>
      </c>
      <c r="J6512" t="s">
        <v>5191</v>
      </c>
      <c r="K6512" t="s">
        <v>726</v>
      </c>
      <c r="L6512">
        <v>0</v>
      </c>
      <c r="M6512" s="452">
        <v>-693593</v>
      </c>
      <c r="N6512">
        <v>0</v>
      </c>
      <c r="O6512">
        <v>0</v>
      </c>
      <c r="P6512">
        <v>20.14</v>
      </c>
    </row>
    <row r="6513" spans="1:16" x14ac:dyDescent="0.3">
      <c r="A6513">
        <v>4750</v>
      </c>
      <c r="B6513">
        <v>105</v>
      </c>
      <c r="C6513" t="s">
        <v>557</v>
      </c>
      <c r="D6513" s="452">
        <v>45597</v>
      </c>
      <c r="E6513">
        <v>20025</v>
      </c>
      <c r="F6513" t="s">
        <v>5010</v>
      </c>
      <c r="G6513">
        <v>2339</v>
      </c>
      <c r="H6513">
        <v>1</v>
      </c>
      <c r="I6513" t="s">
        <v>4736</v>
      </c>
      <c r="J6513" t="s">
        <v>5191</v>
      </c>
      <c r="K6513" t="s">
        <v>726</v>
      </c>
      <c r="L6513">
        <v>0</v>
      </c>
      <c r="M6513" s="452">
        <v>45565</v>
      </c>
      <c r="N6513">
        <v>19.95</v>
      </c>
      <c r="O6513">
        <v>19.95</v>
      </c>
      <c r="P6513">
        <v>19.95</v>
      </c>
    </row>
    <row r="6514" spans="1:16" x14ac:dyDescent="0.3">
      <c r="A6514">
        <v>4860</v>
      </c>
      <c r="B6514">
        <v>105</v>
      </c>
      <c r="C6514" t="s">
        <v>557</v>
      </c>
      <c r="D6514" s="452">
        <v>45597</v>
      </c>
      <c r="E6514">
        <v>19575</v>
      </c>
      <c r="F6514" t="s">
        <v>5120</v>
      </c>
      <c r="G6514">
        <v>2643</v>
      </c>
      <c r="H6514">
        <v>0.6</v>
      </c>
      <c r="I6514" t="s">
        <v>4744</v>
      </c>
      <c r="J6514" t="s">
        <v>5191</v>
      </c>
      <c r="K6514" t="s">
        <v>726</v>
      </c>
      <c r="L6514">
        <v>32</v>
      </c>
      <c r="M6514" s="452">
        <v>45596</v>
      </c>
      <c r="N6514">
        <v>32</v>
      </c>
      <c r="O6514">
        <v>32.58</v>
      </c>
      <c r="P6514">
        <v>19.2</v>
      </c>
    </row>
    <row r="6515" spans="1:16" x14ac:dyDescent="0.3">
      <c r="A6515">
        <v>4823</v>
      </c>
      <c r="B6515">
        <v>105</v>
      </c>
      <c r="C6515" t="s">
        <v>557</v>
      </c>
      <c r="D6515" s="452">
        <v>45597</v>
      </c>
      <c r="E6515">
        <v>19632</v>
      </c>
      <c r="F6515" t="s">
        <v>4936</v>
      </c>
      <c r="G6515">
        <v>2604</v>
      </c>
      <c r="H6515">
        <v>6.29</v>
      </c>
      <c r="I6515" t="s">
        <v>4744</v>
      </c>
      <c r="J6515" t="s">
        <v>5191</v>
      </c>
      <c r="K6515" t="s">
        <v>726</v>
      </c>
      <c r="L6515">
        <v>2.9</v>
      </c>
      <c r="M6515" s="452">
        <v>45596</v>
      </c>
      <c r="N6515">
        <v>2.5</v>
      </c>
      <c r="O6515">
        <v>2.62</v>
      </c>
      <c r="P6515">
        <v>18.239999999999998</v>
      </c>
    </row>
    <row r="6516" spans="1:16" x14ac:dyDescent="0.3">
      <c r="A6516">
        <v>4776</v>
      </c>
      <c r="B6516">
        <v>105</v>
      </c>
      <c r="C6516" t="s">
        <v>557</v>
      </c>
      <c r="D6516" s="452">
        <v>45597</v>
      </c>
      <c r="E6516">
        <v>17024</v>
      </c>
      <c r="F6516" t="s">
        <v>5697</v>
      </c>
      <c r="G6516">
        <v>2113</v>
      </c>
      <c r="H6516">
        <v>3</v>
      </c>
      <c r="I6516" t="s">
        <v>4744</v>
      </c>
      <c r="J6516" t="s">
        <v>5191</v>
      </c>
      <c r="K6516" t="s">
        <v>726</v>
      </c>
      <c r="L6516">
        <v>5.98</v>
      </c>
      <c r="M6516" s="452">
        <v>45596</v>
      </c>
      <c r="N6516">
        <v>5.5</v>
      </c>
      <c r="O6516">
        <v>5.5</v>
      </c>
      <c r="P6516">
        <v>17.940000000000001</v>
      </c>
    </row>
    <row r="6517" spans="1:16" x14ac:dyDescent="0.3">
      <c r="A6517">
        <v>4812</v>
      </c>
      <c r="B6517">
        <v>105</v>
      </c>
      <c r="C6517" t="s">
        <v>557</v>
      </c>
      <c r="D6517" s="452">
        <v>45597</v>
      </c>
      <c r="E6517">
        <v>19498</v>
      </c>
      <c r="F6517" t="s">
        <v>5487</v>
      </c>
      <c r="G6517">
        <v>2712</v>
      </c>
      <c r="H6517">
        <v>2.8</v>
      </c>
      <c r="I6517" t="s">
        <v>4744</v>
      </c>
      <c r="J6517" t="s">
        <v>5191</v>
      </c>
      <c r="K6517" t="s">
        <v>726</v>
      </c>
      <c r="L6517">
        <v>6.36</v>
      </c>
      <c r="M6517" s="452">
        <v>45596</v>
      </c>
      <c r="N6517">
        <v>6.5</v>
      </c>
      <c r="O6517">
        <v>6.4</v>
      </c>
      <c r="P6517">
        <v>17.809999999999999</v>
      </c>
    </row>
    <row r="6518" spans="1:16" x14ac:dyDescent="0.3">
      <c r="A6518">
        <v>4751</v>
      </c>
      <c r="B6518">
        <v>105</v>
      </c>
      <c r="C6518" t="s">
        <v>557</v>
      </c>
      <c r="D6518" s="452">
        <v>45597</v>
      </c>
      <c r="E6518">
        <v>20022</v>
      </c>
      <c r="F6518" t="s">
        <v>5455</v>
      </c>
      <c r="G6518">
        <v>2340</v>
      </c>
      <c r="H6518">
        <v>2</v>
      </c>
      <c r="I6518" t="s">
        <v>4736</v>
      </c>
      <c r="J6518" t="s">
        <v>5191</v>
      </c>
      <c r="K6518" t="s">
        <v>726</v>
      </c>
      <c r="L6518">
        <v>8.85</v>
      </c>
      <c r="M6518" s="452">
        <v>45586</v>
      </c>
      <c r="N6518">
        <v>8.85</v>
      </c>
      <c r="O6518">
        <v>9.5</v>
      </c>
      <c r="P6518">
        <v>17.7</v>
      </c>
    </row>
    <row r="6519" spans="1:16" x14ac:dyDescent="0.3">
      <c r="A6519">
        <v>4880</v>
      </c>
      <c r="B6519">
        <v>105</v>
      </c>
      <c r="C6519" t="s">
        <v>557</v>
      </c>
      <c r="D6519" s="452">
        <v>45597</v>
      </c>
      <c r="E6519">
        <v>19433</v>
      </c>
      <c r="F6519" t="s">
        <v>5700</v>
      </c>
      <c r="G6519">
        <v>2757</v>
      </c>
      <c r="H6519">
        <v>1</v>
      </c>
      <c r="I6519" t="s">
        <v>4738</v>
      </c>
      <c r="J6519" t="s">
        <v>5191</v>
      </c>
      <c r="K6519" t="s">
        <v>726</v>
      </c>
      <c r="L6519">
        <v>16.41</v>
      </c>
      <c r="M6519" s="452">
        <v>45586</v>
      </c>
      <c r="N6519">
        <v>16.899999999999999</v>
      </c>
      <c r="O6519">
        <v>16.899999999999999</v>
      </c>
      <c r="P6519">
        <v>16.41</v>
      </c>
    </row>
    <row r="6520" spans="1:16" x14ac:dyDescent="0.3">
      <c r="A6520">
        <v>4862</v>
      </c>
      <c r="B6520">
        <v>105</v>
      </c>
      <c r="C6520" t="s">
        <v>557</v>
      </c>
      <c r="D6520" s="452">
        <v>45597</v>
      </c>
      <c r="E6520">
        <v>19562</v>
      </c>
      <c r="F6520" t="s">
        <v>4939</v>
      </c>
      <c r="G6520">
        <v>2655</v>
      </c>
      <c r="H6520">
        <v>1.25</v>
      </c>
      <c r="I6520" t="s">
        <v>4744</v>
      </c>
      <c r="J6520" t="s">
        <v>5191</v>
      </c>
      <c r="K6520" t="s">
        <v>726</v>
      </c>
      <c r="L6520">
        <v>12.66</v>
      </c>
      <c r="M6520" s="452">
        <v>45596</v>
      </c>
      <c r="N6520">
        <v>0</v>
      </c>
      <c r="O6520">
        <v>11</v>
      </c>
      <c r="P6520">
        <v>15.82</v>
      </c>
    </row>
    <row r="6521" spans="1:16" x14ac:dyDescent="0.3">
      <c r="A6521">
        <v>4730</v>
      </c>
      <c r="B6521">
        <v>105</v>
      </c>
      <c r="C6521" t="s">
        <v>557</v>
      </c>
      <c r="D6521" s="452">
        <v>45597</v>
      </c>
      <c r="E6521">
        <v>24186</v>
      </c>
      <c r="F6521" t="s">
        <v>4995</v>
      </c>
      <c r="G6521">
        <v>2332</v>
      </c>
      <c r="H6521">
        <v>1.52</v>
      </c>
      <c r="I6521" t="s">
        <v>4744</v>
      </c>
      <c r="J6521" t="s">
        <v>5191</v>
      </c>
      <c r="K6521" t="s">
        <v>726</v>
      </c>
      <c r="L6521">
        <v>0</v>
      </c>
      <c r="M6521" s="452">
        <v>45378</v>
      </c>
      <c r="N6521">
        <v>10.26</v>
      </c>
      <c r="O6521">
        <v>14.2</v>
      </c>
      <c r="P6521">
        <v>15.6</v>
      </c>
    </row>
    <row r="6522" spans="1:16" x14ac:dyDescent="0.3">
      <c r="A6522">
        <v>4632</v>
      </c>
      <c r="B6522">
        <v>105</v>
      </c>
      <c r="C6522" t="s">
        <v>557</v>
      </c>
      <c r="D6522" s="452">
        <v>45597</v>
      </c>
      <c r="E6522">
        <v>17092</v>
      </c>
      <c r="F6522" t="s">
        <v>5146</v>
      </c>
      <c r="G6522">
        <v>4165</v>
      </c>
      <c r="H6522">
        <v>8</v>
      </c>
      <c r="I6522" t="s">
        <v>4736</v>
      </c>
      <c r="J6522" t="s">
        <v>5222</v>
      </c>
      <c r="K6522" t="s">
        <v>726</v>
      </c>
      <c r="L6522">
        <v>0</v>
      </c>
      <c r="M6522" s="452">
        <v>45415</v>
      </c>
      <c r="N6522">
        <v>1.9</v>
      </c>
      <c r="O6522">
        <v>1.9</v>
      </c>
      <c r="P6522">
        <v>15.2</v>
      </c>
    </row>
    <row r="6523" spans="1:16" x14ac:dyDescent="0.3">
      <c r="A6523">
        <v>4839</v>
      </c>
      <c r="B6523">
        <v>105</v>
      </c>
      <c r="C6523" t="s">
        <v>557</v>
      </c>
      <c r="D6523" s="452">
        <v>45597</v>
      </c>
      <c r="E6523">
        <v>19613</v>
      </c>
      <c r="F6523" t="s">
        <v>5062</v>
      </c>
      <c r="G6523">
        <v>2620</v>
      </c>
      <c r="H6523">
        <v>3.6</v>
      </c>
      <c r="I6523" t="s">
        <v>4744</v>
      </c>
      <c r="J6523" t="s">
        <v>5191</v>
      </c>
      <c r="K6523" t="s">
        <v>726</v>
      </c>
      <c r="L6523">
        <v>4.18</v>
      </c>
      <c r="M6523" s="452">
        <v>45596</v>
      </c>
      <c r="N6523">
        <v>4</v>
      </c>
      <c r="O6523">
        <v>4.49</v>
      </c>
      <c r="P6523">
        <v>15.05</v>
      </c>
    </row>
    <row r="6524" spans="1:16" x14ac:dyDescent="0.3">
      <c r="A6524">
        <v>4754</v>
      </c>
      <c r="B6524">
        <v>105</v>
      </c>
      <c r="C6524" t="s">
        <v>557</v>
      </c>
      <c r="D6524" s="452">
        <v>45597</v>
      </c>
      <c r="E6524">
        <v>20844</v>
      </c>
      <c r="F6524" t="s">
        <v>5648</v>
      </c>
      <c r="G6524">
        <v>2052</v>
      </c>
      <c r="H6524">
        <v>1</v>
      </c>
      <c r="I6524" t="s">
        <v>4736</v>
      </c>
      <c r="J6524" t="s">
        <v>5191</v>
      </c>
      <c r="K6524" t="s">
        <v>726</v>
      </c>
      <c r="L6524">
        <v>0</v>
      </c>
      <c r="M6524" s="452">
        <v>45478</v>
      </c>
      <c r="N6524">
        <v>14.6</v>
      </c>
      <c r="O6524">
        <v>14.6</v>
      </c>
      <c r="P6524">
        <v>14.6</v>
      </c>
    </row>
    <row r="6525" spans="1:16" x14ac:dyDescent="0.3">
      <c r="A6525">
        <v>4700</v>
      </c>
      <c r="B6525">
        <v>105</v>
      </c>
      <c r="C6525" t="s">
        <v>557</v>
      </c>
      <c r="D6525" s="452">
        <v>45597</v>
      </c>
      <c r="E6525">
        <v>21085</v>
      </c>
      <c r="F6525" t="s">
        <v>5066</v>
      </c>
      <c r="G6525">
        <v>1989</v>
      </c>
      <c r="H6525">
        <v>0.7</v>
      </c>
      <c r="I6525" t="s">
        <v>4749</v>
      </c>
      <c r="J6525" t="s">
        <v>5191</v>
      </c>
      <c r="K6525" t="s">
        <v>726</v>
      </c>
      <c r="L6525">
        <v>0</v>
      </c>
      <c r="M6525" s="452">
        <v>45461</v>
      </c>
      <c r="N6525">
        <v>20.49</v>
      </c>
      <c r="O6525">
        <v>18.87</v>
      </c>
      <c r="P6525">
        <v>14.34</v>
      </c>
    </row>
    <row r="6526" spans="1:16" x14ac:dyDescent="0.3">
      <c r="A6526">
        <v>4815</v>
      </c>
      <c r="B6526">
        <v>105</v>
      </c>
      <c r="C6526" t="s">
        <v>557</v>
      </c>
      <c r="D6526" s="452">
        <v>45597</v>
      </c>
      <c r="E6526">
        <v>24037</v>
      </c>
      <c r="F6526" t="s">
        <v>5233</v>
      </c>
      <c r="G6526">
        <v>2590</v>
      </c>
      <c r="H6526">
        <v>0.59</v>
      </c>
      <c r="I6526" t="s">
        <v>4744</v>
      </c>
      <c r="J6526" t="s">
        <v>5191</v>
      </c>
      <c r="K6526" t="s">
        <v>726</v>
      </c>
      <c r="L6526">
        <v>0</v>
      </c>
      <c r="M6526" s="452">
        <v>45519</v>
      </c>
      <c r="N6526">
        <v>22</v>
      </c>
      <c r="O6526">
        <v>40</v>
      </c>
      <c r="P6526">
        <v>12.98</v>
      </c>
    </row>
    <row r="6527" spans="1:16" x14ac:dyDescent="0.3">
      <c r="A6527">
        <v>4876</v>
      </c>
      <c r="B6527">
        <v>105</v>
      </c>
      <c r="C6527" t="s">
        <v>557</v>
      </c>
      <c r="D6527" s="452">
        <v>45597</v>
      </c>
      <c r="E6527">
        <v>19463</v>
      </c>
      <c r="F6527" t="s">
        <v>5117</v>
      </c>
      <c r="G6527">
        <v>2739</v>
      </c>
      <c r="H6527">
        <v>0.21</v>
      </c>
      <c r="I6527" t="s">
        <v>4744</v>
      </c>
      <c r="J6527" t="s">
        <v>5191</v>
      </c>
      <c r="K6527" t="s">
        <v>726</v>
      </c>
      <c r="L6527">
        <v>60</v>
      </c>
      <c r="M6527" s="452">
        <v>45588</v>
      </c>
      <c r="N6527">
        <v>60</v>
      </c>
      <c r="O6527">
        <v>61.67</v>
      </c>
      <c r="P6527">
        <v>12.6</v>
      </c>
    </row>
    <row r="6528" spans="1:16" x14ac:dyDescent="0.3">
      <c r="A6528">
        <v>4736</v>
      </c>
      <c r="B6528">
        <v>105</v>
      </c>
      <c r="C6528" t="s">
        <v>557</v>
      </c>
      <c r="D6528" s="452">
        <v>45597</v>
      </c>
      <c r="E6528">
        <v>20028</v>
      </c>
      <c r="F6528" t="s">
        <v>5704</v>
      </c>
      <c r="G6528">
        <v>2337</v>
      </c>
      <c r="H6528">
        <v>2</v>
      </c>
      <c r="I6528" t="s">
        <v>4736</v>
      </c>
      <c r="J6528" t="s">
        <v>5191</v>
      </c>
      <c r="K6528" t="s">
        <v>726</v>
      </c>
      <c r="L6528">
        <v>0</v>
      </c>
      <c r="M6528" s="452">
        <v>45561</v>
      </c>
      <c r="N6528">
        <v>6.19</v>
      </c>
      <c r="O6528">
        <v>6.19</v>
      </c>
      <c r="P6528">
        <v>12.38</v>
      </c>
    </row>
    <row r="6529" spans="1:16" x14ac:dyDescent="0.3">
      <c r="A6529">
        <v>4767</v>
      </c>
      <c r="B6529">
        <v>105</v>
      </c>
      <c r="C6529" t="s">
        <v>557</v>
      </c>
      <c r="D6529" s="452">
        <v>45597</v>
      </c>
      <c r="E6529">
        <v>20501</v>
      </c>
      <c r="F6529" t="s">
        <v>4760</v>
      </c>
      <c r="G6529">
        <v>2154</v>
      </c>
      <c r="H6529">
        <v>0.5</v>
      </c>
      <c r="I6529" t="s">
        <v>4744</v>
      </c>
      <c r="J6529" t="s">
        <v>5191</v>
      </c>
      <c r="K6529" t="s">
        <v>726</v>
      </c>
      <c r="L6529">
        <v>0</v>
      </c>
      <c r="M6529" s="452">
        <v>45553</v>
      </c>
      <c r="N6529">
        <v>24.45</v>
      </c>
      <c r="O6529">
        <v>19.989999999999998</v>
      </c>
      <c r="P6529">
        <v>12.22</v>
      </c>
    </row>
    <row r="6530" spans="1:16" x14ac:dyDescent="0.3">
      <c r="A6530">
        <v>4889</v>
      </c>
      <c r="B6530">
        <v>105</v>
      </c>
      <c r="C6530" t="s">
        <v>557</v>
      </c>
      <c r="D6530" s="452">
        <v>45597</v>
      </c>
      <c r="E6530">
        <v>24444</v>
      </c>
      <c r="F6530" t="s">
        <v>4992</v>
      </c>
      <c r="G6530">
        <v>2784</v>
      </c>
      <c r="H6530">
        <v>0.64</v>
      </c>
      <c r="I6530" t="s">
        <v>4744</v>
      </c>
      <c r="J6530" t="s">
        <v>5191</v>
      </c>
      <c r="K6530" t="s">
        <v>726</v>
      </c>
      <c r="L6530">
        <v>0</v>
      </c>
      <c r="M6530" s="452">
        <v>45392</v>
      </c>
      <c r="N6530">
        <v>18.95</v>
      </c>
      <c r="O6530">
        <v>22</v>
      </c>
      <c r="P6530">
        <v>12.13</v>
      </c>
    </row>
    <row r="6531" spans="1:16" x14ac:dyDescent="0.3">
      <c r="A6531">
        <v>4769</v>
      </c>
      <c r="B6531">
        <v>105</v>
      </c>
      <c r="C6531" t="s">
        <v>557</v>
      </c>
      <c r="D6531" s="452">
        <v>45597</v>
      </c>
      <c r="E6531">
        <v>20128</v>
      </c>
      <c r="F6531" t="s">
        <v>5728</v>
      </c>
      <c r="G6531">
        <v>2288</v>
      </c>
      <c r="H6531">
        <v>3</v>
      </c>
      <c r="I6531" t="s">
        <v>4738</v>
      </c>
      <c r="J6531" t="s">
        <v>5191</v>
      </c>
      <c r="K6531" t="s">
        <v>726</v>
      </c>
      <c r="L6531">
        <v>4</v>
      </c>
      <c r="M6531" s="452">
        <v>45582</v>
      </c>
      <c r="N6531">
        <v>4</v>
      </c>
      <c r="O6531">
        <v>4</v>
      </c>
      <c r="P6531">
        <v>12</v>
      </c>
    </row>
    <row r="6532" spans="1:16" x14ac:dyDescent="0.3">
      <c r="A6532">
        <v>4721</v>
      </c>
      <c r="B6532">
        <v>105</v>
      </c>
      <c r="C6532" t="s">
        <v>557</v>
      </c>
      <c r="D6532" s="452">
        <v>45597</v>
      </c>
      <c r="E6532">
        <v>24638</v>
      </c>
      <c r="F6532" t="s">
        <v>4948</v>
      </c>
      <c r="G6532">
        <v>5690</v>
      </c>
      <c r="H6532">
        <v>0.5</v>
      </c>
      <c r="I6532" t="s">
        <v>4749</v>
      </c>
      <c r="J6532" t="s">
        <v>5191</v>
      </c>
      <c r="K6532" t="s">
        <v>726</v>
      </c>
      <c r="L6532">
        <v>0</v>
      </c>
      <c r="M6532" s="452">
        <v>45540</v>
      </c>
      <c r="N6532">
        <v>23</v>
      </c>
      <c r="O6532">
        <v>39.5</v>
      </c>
      <c r="P6532">
        <v>11.5</v>
      </c>
    </row>
    <row r="6533" spans="1:16" x14ac:dyDescent="0.3">
      <c r="A6533">
        <v>4802</v>
      </c>
      <c r="B6533">
        <v>105</v>
      </c>
      <c r="C6533" t="s">
        <v>557</v>
      </c>
      <c r="D6533" s="452">
        <v>45597</v>
      </c>
      <c r="E6533">
        <v>20186</v>
      </c>
      <c r="F6533" t="s">
        <v>5061</v>
      </c>
      <c r="G6533">
        <v>2259</v>
      </c>
      <c r="H6533">
        <v>0.5</v>
      </c>
      <c r="I6533" t="s">
        <v>4744</v>
      </c>
      <c r="J6533" t="s">
        <v>5191</v>
      </c>
      <c r="K6533" t="s">
        <v>726</v>
      </c>
      <c r="L6533">
        <v>0</v>
      </c>
      <c r="M6533" s="452">
        <v>45553</v>
      </c>
      <c r="N6533">
        <v>23</v>
      </c>
      <c r="O6533">
        <v>23</v>
      </c>
      <c r="P6533">
        <v>11.5</v>
      </c>
    </row>
    <row r="6534" spans="1:16" x14ac:dyDescent="0.3">
      <c r="A6534">
        <v>4715</v>
      </c>
      <c r="B6534">
        <v>105</v>
      </c>
      <c r="C6534" t="s">
        <v>557</v>
      </c>
      <c r="D6534" s="452">
        <v>45597</v>
      </c>
      <c r="E6534">
        <v>20719</v>
      </c>
      <c r="F6534" t="s">
        <v>5684</v>
      </c>
      <c r="G6534">
        <v>2096</v>
      </c>
      <c r="H6534">
        <v>0.22</v>
      </c>
      <c r="I6534" t="s">
        <v>4736</v>
      </c>
      <c r="J6534" t="s">
        <v>5191</v>
      </c>
      <c r="K6534" t="s">
        <v>726</v>
      </c>
      <c r="L6534">
        <v>51.83</v>
      </c>
      <c r="M6534" s="452">
        <v>45580</v>
      </c>
      <c r="N6534">
        <v>52.75</v>
      </c>
      <c r="O6534">
        <v>52.75</v>
      </c>
      <c r="P6534">
        <v>11.4</v>
      </c>
    </row>
    <row r="6535" spans="1:16" x14ac:dyDescent="0.3">
      <c r="A6535">
        <v>4852</v>
      </c>
      <c r="B6535">
        <v>105</v>
      </c>
      <c r="C6535" t="s">
        <v>557</v>
      </c>
      <c r="D6535" s="452">
        <v>45597</v>
      </c>
      <c r="E6535">
        <v>19476</v>
      </c>
      <c r="F6535" t="s">
        <v>5115</v>
      </c>
      <c r="G6535">
        <v>2729</v>
      </c>
      <c r="H6535">
        <v>0.3</v>
      </c>
      <c r="I6535" t="s">
        <v>4744</v>
      </c>
      <c r="J6535" t="s">
        <v>5191</v>
      </c>
      <c r="K6535" t="s">
        <v>726</v>
      </c>
      <c r="L6535">
        <v>38</v>
      </c>
      <c r="M6535" s="452">
        <v>45582</v>
      </c>
      <c r="N6535">
        <v>38</v>
      </c>
      <c r="O6535">
        <v>44.73</v>
      </c>
      <c r="P6535">
        <v>11.4</v>
      </c>
    </row>
    <row r="6536" spans="1:16" x14ac:dyDescent="0.3">
      <c r="A6536">
        <v>4874</v>
      </c>
      <c r="B6536">
        <v>105</v>
      </c>
      <c r="C6536" t="s">
        <v>557</v>
      </c>
      <c r="D6536" s="452">
        <v>45597</v>
      </c>
      <c r="E6536">
        <v>19546</v>
      </c>
      <c r="F6536" t="s">
        <v>5527</v>
      </c>
      <c r="G6536">
        <v>2670</v>
      </c>
      <c r="H6536">
        <v>1.1399999999999999</v>
      </c>
      <c r="I6536" t="s">
        <v>4744</v>
      </c>
      <c r="J6536" t="s">
        <v>5191</v>
      </c>
      <c r="K6536" t="s">
        <v>726</v>
      </c>
      <c r="L6536">
        <v>0</v>
      </c>
      <c r="M6536" s="452">
        <v>45562</v>
      </c>
      <c r="N6536">
        <v>10</v>
      </c>
      <c r="O6536">
        <v>18</v>
      </c>
      <c r="P6536">
        <v>11.4</v>
      </c>
    </row>
    <row r="6537" spans="1:16" x14ac:dyDescent="0.3">
      <c r="A6537">
        <v>4797</v>
      </c>
      <c r="B6537">
        <v>105</v>
      </c>
      <c r="C6537" t="s">
        <v>557</v>
      </c>
      <c r="D6537" s="452">
        <v>45597</v>
      </c>
      <c r="E6537">
        <v>20485</v>
      </c>
      <c r="F6537" t="s">
        <v>5729</v>
      </c>
      <c r="G6537">
        <v>2157</v>
      </c>
      <c r="H6537">
        <v>0.5</v>
      </c>
      <c r="I6537" t="s">
        <v>4744</v>
      </c>
      <c r="J6537" t="s">
        <v>5191</v>
      </c>
      <c r="K6537" t="s">
        <v>726</v>
      </c>
      <c r="L6537">
        <v>22.7</v>
      </c>
      <c r="M6537" s="452">
        <v>45573</v>
      </c>
      <c r="N6537">
        <v>22.7</v>
      </c>
      <c r="O6537">
        <v>22.7</v>
      </c>
      <c r="P6537">
        <v>11.35</v>
      </c>
    </row>
    <row r="6538" spans="1:16" x14ac:dyDescent="0.3">
      <c r="A6538">
        <v>4817</v>
      </c>
      <c r="B6538">
        <v>105</v>
      </c>
      <c r="C6538" t="s">
        <v>557</v>
      </c>
      <c r="D6538" s="452">
        <v>45597</v>
      </c>
      <c r="E6538">
        <v>19784</v>
      </c>
      <c r="F6538" t="s">
        <v>4873</v>
      </c>
      <c r="G6538">
        <v>2474</v>
      </c>
      <c r="H6538">
        <v>1.2</v>
      </c>
      <c r="I6538" t="s">
        <v>4744</v>
      </c>
      <c r="J6538" t="s">
        <v>5191</v>
      </c>
      <c r="K6538" t="s">
        <v>726</v>
      </c>
      <c r="L6538">
        <v>9.43</v>
      </c>
      <c r="M6538" s="452">
        <v>45589</v>
      </c>
      <c r="N6538">
        <v>8.5</v>
      </c>
      <c r="O6538">
        <v>8.33</v>
      </c>
      <c r="P6538">
        <v>11.32</v>
      </c>
    </row>
    <row r="6539" spans="1:16" x14ac:dyDescent="0.3">
      <c r="A6539">
        <v>4872</v>
      </c>
      <c r="B6539">
        <v>105</v>
      </c>
      <c r="C6539" t="s">
        <v>557</v>
      </c>
      <c r="D6539" s="452">
        <v>45597</v>
      </c>
      <c r="E6539">
        <v>19465</v>
      </c>
      <c r="F6539" t="s">
        <v>5114</v>
      </c>
      <c r="G6539">
        <v>2737</v>
      </c>
      <c r="H6539">
        <v>1.65</v>
      </c>
      <c r="I6539" t="s">
        <v>4744</v>
      </c>
      <c r="J6539" t="s">
        <v>5191</v>
      </c>
      <c r="K6539" t="s">
        <v>726</v>
      </c>
      <c r="L6539">
        <v>6.56</v>
      </c>
      <c r="M6539" s="452">
        <v>45596</v>
      </c>
      <c r="N6539">
        <v>4.4000000000000004</v>
      </c>
      <c r="O6539">
        <v>4.76</v>
      </c>
      <c r="P6539">
        <v>10.82</v>
      </c>
    </row>
    <row r="6540" spans="1:16" x14ac:dyDescent="0.3">
      <c r="A6540">
        <v>4840</v>
      </c>
      <c r="B6540">
        <v>105</v>
      </c>
      <c r="C6540" t="s">
        <v>557</v>
      </c>
      <c r="D6540" s="452">
        <v>45597</v>
      </c>
      <c r="E6540">
        <v>24230</v>
      </c>
      <c r="F6540" t="s">
        <v>4986</v>
      </c>
      <c r="G6540">
        <v>2622</v>
      </c>
      <c r="H6540">
        <v>0.5</v>
      </c>
      <c r="I6540" t="s">
        <v>4744</v>
      </c>
      <c r="J6540" t="s">
        <v>5191</v>
      </c>
      <c r="K6540" t="s">
        <v>726</v>
      </c>
      <c r="L6540">
        <v>0</v>
      </c>
      <c r="M6540" s="452">
        <v>45485</v>
      </c>
      <c r="N6540">
        <v>21.5</v>
      </c>
      <c r="O6540">
        <v>21.5</v>
      </c>
      <c r="P6540">
        <v>10.75</v>
      </c>
    </row>
    <row r="6541" spans="1:16" x14ac:dyDescent="0.3">
      <c r="A6541">
        <v>4826</v>
      </c>
      <c r="B6541">
        <v>105</v>
      </c>
      <c r="C6541" t="s">
        <v>557</v>
      </c>
      <c r="D6541" s="452">
        <v>45597</v>
      </c>
      <c r="E6541">
        <v>19490</v>
      </c>
      <c r="F6541" t="s">
        <v>5116</v>
      </c>
      <c r="G6541">
        <v>2718</v>
      </c>
      <c r="H6541">
        <v>0.34</v>
      </c>
      <c r="I6541" t="s">
        <v>4744</v>
      </c>
      <c r="J6541" t="s">
        <v>5191</v>
      </c>
      <c r="K6541" t="s">
        <v>726</v>
      </c>
      <c r="L6541">
        <v>31.6</v>
      </c>
      <c r="M6541" s="452">
        <v>45596</v>
      </c>
      <c r="N6541">
        <v>50</v>
      </c>
      <c r="O6541">
        <v>50</v>
      </c>
      <c r="P6541">
        <v>10.74</v>
      </c>
    </row>
    <row r="6542" spans="1:16" x14ac:dyDescent="0.3">
      <c r="A6542">
        <v>4780</v>
      </c>
      <c r="B6542">
        <v>105</v>
      </c>
      <c r="C6542" t="s">
        <v>557</v>
      </c>
      <c r="D6542" s="452">
        <v>45597</v>
      </c>
      <c r="E6542">
        <v>19969</v>
      </c>
      <c r="F6542" t="s">
        <v>5018</v>
      </c>
      <c r="G6542">
        <v>2354</v>
      </c>
      <c r="H6542">
        <v>1.1200000000000001</v>
      </c>
      <c r="I6542" t="s">
        <v>4888</v>
      </c>
      <c r="J6542" t="s">
        <v>5191</v>
      </c>
      <c r="K6542" t="s">
        <v>726</v>
      </c>
      <c r="L6542">
        <v>9.5299999999999994</v>
      </c>
      <c r="M6542" s="452">
        <v>45586</v>
      </c>
      <c r="N6542">
        <v>9.6</v>
      </c>
      <c r="O6542">
        <v>9.6999999999999993</v>
      </c>
      <c r="P6542">
        <v>10.67</v>
      </c>
    </row>
    <row r="6543" spans="1:16" x14ac:dyDescent="0.3">
      <c r="A6543">
        <v>4830</v>
      </c>
      <c r="B6543">
        <v>105</v>
      </c>
      <c r="C6543" t="s">
        <v>557</v>
      </c>
      <c r="D6543" s="452">
        <v>45597</v>
      </c>
      <c r="E6543">
        <v>19488</v>
      </c>
      <c r="F6543" t="s">
        <v>5107</v>
      </c>
      <c r="G6543">
        <v>2720</v>
      </c>
      <c r="H6543">
        <v>0.98</v>
      </c>
      <c r="I6543" t="s">
        <v>4744</v>
      </c>
      <c r="J6543" t="s">
        <v>5191</v>
      </c>
      <c r="K6543" t="s">
        <v>726</v>
      </c>
      <c r="L6543">
        <v>9.7200000000000006</v>
      </c>
      <c r="M6543" s="452">
        <v>45593</v>
      </c>
      <c r="N6543">
        <v>9.5</v>
      </c>
      <c r="O6543">
        <v>8.84</v>
      </c>
      <c r="P6543">
        <v>9.5299999999999994</v>
      </c>
    </row>
    <row r="6544" spans="1:16" x14ac:dyDescent="0.3">
      <c r="A6544">
        <v>4871</v>
      </c>
      <c r="B6544">
        <v>105</v>
      </c>
      <c r="C6544" t="s">
        <v>557</v>
      </c>
      <c r="D6544" s="452">
        <v>45597</v>
      </c>
      <c r="E6544">
        <v>19468</v>
      </c>
      <c r="F6544" t="s">
        <v>5074</v>
      </c>
      <c r="G6544">
        <v>2736</v>
      </c>
      <c r="H6544">
        <v>1.2</v>
      </c>
      <c r="I6544" t="s">
        <v>4744</v>
      </c>
      <c r="J6544" t="s">
        <v>5191</v>
      </c>
      <c r="K6544" t="s">
        <v>726</v>
      </c>
      <c r="L6544">
        <v>7.37</v>
      </c>
      <c r="M6544" s="452">
        <v>45596</v>
      </c>
      <c r="N6544">
        <v>6.5</v>
      </c>
      <c r="O6544">
        <v>6.52</v>
      </c>
      <c r="P6544">
        <v>8.84</v>
      </c>
    </row>
    <row r="6545" spans="1:16" x14ac:dyDescent="0.3">
      <c r="A6545">
        <v>4717</v>
      </c>
      <c r="B6545">
        <v>105</v>
      </c>
      <c r="C6545" t="s">
        <v>557</v>
      </c>
      <c r="D6545" s="452">
        <v>45597</v>
      </c>
      <c r="E6545">
        <v>24089</v>
      </c>
      <c r="F6545" t="s">
        <v>4931</v>
      </c>
      <c r="G6545">
        <v>2316</v>
      </c>
      <c r="H6545">
        <v>1</v>
      </c>
      <c r="I6545" t="s">
        <v>4744</v>
      </c>
      <c r="J6545" t="s">
        <v>5191</v>
      </c>
      <c r="K6545" t="s">
        <v>726</v>
      </c>
      <c r="L6545">
        <v>0</v>
      </c>
      <c r="M6545" s="452">
        <v>45532</v>
      </c>
      <c r="N6545">
        <v>8.5</v>
      </c>
      <c r="O6545">
        <v>8.43</v>
      </c>
      <c r="P6545">
        <v>8.5</v>
      </c>
    </row>
    <row r="6546" spans="1:16" x14ac:dyDescent="0.3">
      <c r="A6546">
        <v>4789</v>
      </c>
      <c r="B6546">
        <v>105</v>
      </c>
      <c r="C6546" t="s">
        <v>557</v>
      </c>
      <c r="D6546" s="452">
        <v>45597</v>
      </c>
      <c r="E6546">
        <v>21002</v>
      </c>
      <c r="F6546" t="s">
        <v>5730</v>
      </c>
      <c r="G6546">
        <v>2008</v>
      </c>
      <c r="H6546">
        <v>0.44</v>
      </c>
      <c r="I6546" t="s">
        <v>4736</v>
      </c>
      <c r="J6546" t="s">
        <v>5191</v>
      </c>
      <c r="K6546" t="s">
        <v>726</v>
      </c>
      <c r="L6546">
        <v>0</v>
      </c>
      <c r="M6546" s="452">
        <v>45546</v>
      </c>
      <c r="N6546">
        <v>15.9</v>
      </c>
      <c r="O6546">
        <v>15.9</v>
      </c>
      <c r="P6546">
        <v>7</v>
      </c>
    </row>
    <row r="6547" spans="1:16" x14ac:dyDescent="0.3">
      <c r="A6547">
        <v>4796</v>
      </c>
      <c r="B6547">
        <v>105</v>
      </c>
      <c r="C6547" t="s">
        <v>557</v>
      </c>
      <c r="D6547" s="452">
        <v>45597</v>
      </c>
      <c r="E6547">
        <v>19892</v>
      </c>
      <c r="F6547" t="s">
        <v>5150</v>
      </c>
      <c r="G6547">
        <v>2386</v>
      </c>
      <c r="H6547">
        <v>0.18</v>
      </c>
      <c r="I6547" t="s">
        <v>4744</v>
      </c>
      <c r="J6547" t="s">
        <v>5191</v>
      </c>
      <c r="K6547" t="s">
        <v>726</v>
      </c>
      <c r="L6547">
        <v>0</v>
      </c>
      <c r="M6547" s="452">
        <v>-693593</v>
      </c>
      <c r="N6547">
        <v>0</v>
      </c>
      <c r="O6547">
        <v>38.9</v>
      </c>
      <c r="P6547">
        <v>7</v>
      </c>
    </row>
    <row r="6548" spans="1:16" x14ac:dyDescent="0.3">
      <c r="A6548">
        <v>4793</v>
      </c>
      <c r="B6548">
        <v>105</v>
      </c>
      <c r="C6548" t="s">
        <v>557</v>
      </c>
      <c r="D6548" s="452">
        <v>45597</v>
      </c>
      <c r="E6548">
        <v>19932</v>
      </c>
      <c r="F6548" t="s">
        <v>5701</v>
      </c>
      <c r="G6548">
        <v>2368</v>
      </c>
      <c r="H6548">
        <v>1</v>
      </c>
      <c r="I6548" t="s">
        <v>4736</v>
      </c>
      <c r="J6548" t="s">
        <v>5191</v>
      </c>
      <c r="K6548" t="s">
        <v>726</v>
      </c>
      <c r="L6548">
        <v>0</v>
      </c>
      <c r="M6548" s="452">
        <v>45559</v>
      </c>
      <c r="N6548">
        <v>6.75</v>
      </c>
      <c r="O6548">
        <v>6.75</v>
      </c>
      <c r="P6548">
        <v>6.75</v>
      </c>
    </row>
    <row r="6549" spans="1:16" x14ac:dyDescent="0.3">
      <c r="A6549">
        <v>4931</v>
      </c>
      <c r="B6549">
        <v>105</v>
      </c>
      <c r="C6549" t="s">
        <v>557</v>
      </c>
      <c r="D6549" s="452">
        <v>45597</v>
      </c>
      <c r="E6549">
        <v>24029</v>
      </c>
      <c r="F6549" t="s">
        <v>4756</v>
      </c>
      <c r="G6549">
        <v>3591</v>
      </c>
      <c r="H6549">
        <v>3</v>
      </c>
      <c r="I6549" t="s">
        <v>4736</v>
      </c>
      <c r="J6549" t="s">
        <v>5222</v>
      </c>
      <c r="K6549" t="s">
        <v>726</v>
      </c>
      <c r="L6549">
        <v>0</v>
      </c>
      <c r="M6549" s="452">
        <v>45546</v>
      </c>
      <c r="N6549">
        <v>2.19</v>
      </c>
      <c r="O6549">
        <v>2.19</v>
      </c>
      <c r="P6549">
        <v>6.57</v>
      </c>
    </row>
    <row r="6550" spans="1:16" x14ac:dyDescent="0.3">
      <c r="A6550">
        <v>4932</v>
      </c>
      <c r="B6550">
        <v>105</v>
      </c>
      <c r="C6550" t="s">
        <v>557</v>
      </c>
      <c r="D6550" s="452">
        <v>45597</v>
      </c>
      <c r="E6550">
        <v>17996</v>
      </c>
      <c r="F6550" t="s">
        <v>4765</v>
      </c>
      <c r="G6550">
        <v>3600</v>
      </c>
      <c r="H6550">
        <v>3</v>
      </c>
      <c r="I6550" t="s">
        <v>4738</v>
      </c>
      <c r="J6550" t="s">
        <v>5222</v>
      </c>
      <c r="K6550" t="s">
        <v>726</v>
      </c>
      <c r="L6550">
        <v>0</v>
      </c>
      <c r="M6550" s="452">
        <v>45546</v>
      </c>
      <c r="N6550">
        <v>2.19</v>
      </c>
      <c r="O6550">
        <v>2.19</v>
      </c>
      <c r="P6550">
        <v>6.57</v>
      </c>
    </row>
    <row r="6551" spans="1:16" x14ac:dyDescent="0.3">
      <c r="A6551">
        <v>4848</v>
      </c>
      <c r="B6551">
        <v>105</v>
      </c>
      <c r="C6551" t="s">
        <v>557</v>
      </c>
      <c r="D6551" s="452">
        <v>45597</v>
      </c>
      <c r="E6551">
        <v>19479</v>
      </c>
      <c r="F6551" t="s">
        <v>5063</v>
      </c>
      <c r="G6551">
        <v>2727</v>
      </c>
      <c r="H6551">
        <v>0.16</v>
      </c>
      <c r="I6551" t="s">
        <v>4744</v>
      </c>
      <c r="J6551" t="s">
        <v>5191</v>
      </c>
      <c r="K6551" t="s">
        <v>726</v>
      </c>
      <c r="L6551">
        <v>0</v>
      </c>
      <c r="M6551" s="452">
        <v>45554</v>
      </c>
      <c r="N6551">
        <v>40</v>
      </c>
      <c r="O6551">
        <v>21.5</v>
      </c>
      <c r="P6551">
        <v>6.4</v>
      </c>
    </row>
    <row r="6552" spans="1:16" x14ac:dyDescent="0.3">
      <c r="A6552">
        <v>4710</v>
      </c>
      <c r="B6552">
        <v>105</v>
      </c>
      <c r="C6552" t="s">
        <v>557</v>
      </c>
      <c r="D6552" s="452">
        <v>45597</v>
      </c>
      <c r="E6552">
        <v>21060</v>
      </c>
      <c r="F6552" t="s">
        <v>4946</v>
      </c>
      <c r="G6552">
        <v>1998</v>
      </c>
      <c r="H6552">
        <v>0.28999999999999998</v>
      </c>
      <c r="I6552" t="s">
        <v>4736</v>
      </c>
      <c r="J6552" t="s">
        <v>5191</v>
      </c>
      <c r="K6552" t="s">
        <v>726</v>
      </c>
      <c r="L6552">
        <v>0</v>
      </c>
      <c r="M6552" s="452">
        <v>45565</v>
      </c>
      <c r="N6552">
        <v>21.99</v>
      </c>
      <c r="O6552">
        <v>21.99</v>
      </c>
      <c r="P6552">
        <v>6.38</v>
      </c>
    </row>
    <row r="6553" spans="1:16" x14ac:dyDescent="0.3">
      <c r="A6553">
        <v>4833</v>
      </c>
      <c r="B6553">
        <v>105</v>
      </c>
      <c r="C6553" t="s">
        <v>557</v>
      </c>
      <c r="D6553" s="452">
        <v>45597</v>
      </c>
      <c r="E6553">
        <v>19618</v>
      </c>
      <c r="F6553" t="s">
        <v>5469</v>
      </c>
      <c r="G6553">
        <v>2616</v>
      </c>
      <c r="H6553">
        <v>2.2999999999999998</v>
      </c>
      <c r="I6553" t="s">
        <v>4744</v>
      </c>
      <c r="J6553" t="s">
        <v>5191</v>
      </c>
      <c r="K6553" t="s">
        <v>726</v>
      </c>
      <c r="L6553">
        <v>0</v>
      </c>
      <c r="M6553" s="452">
        <v>45559</v>
      </c>
      <c r="N6553">
        <v>2.75</v>
      </c>
      <c r="O6553">
        <v>3.5</v>
      </c>
      <c r="P6553">
        <v>6.32</v>
      </c>
    </row>
    <row r="6554" spans="1:16" x14ac:dyDescent="0.3">
      <c r="A6554">
        <v>4772</v>
      </c>
      <c r="B6554">
        <v>105</v>
      </c>
      <c r="C6554" t="s">
        <v>557</v>
      </c>
      <c r="D6554" s="452">
        <v>45597</v>
      </c>
      <c r="E6554">
        <v>20105</v>
      </c>
      <c r="F6554" t="s">
        <v>4831</v>
      </c>
      <c r="G6554">
        <v>2298</v>
      </c>
      <c r="H6554">
        <v>0.37</v>
      </c>
      <c r="I6554" t="s">
        <v>4744</v>
      </c>
      <c r="J6554" t="s">
        <v>5191</v>
      </c>
      <c r="K6554" t="s">
        <v>726</v>
      </c>
      <c r="L6554">
        <v>16.899999999999999</v>
      </c>
      <c r="M6554" s="452">
        <v>45574</v>
      </c>
      <c r="N6554">
        <v>16.899999999999999</v>
      </c>
      <c r="O6554">
        <v>33.799999999999997</v>
      </c>
      <c r="P6554">
        <v>6.25</v>
      </c>
    </row>
    <row r="6555" spans="1:16" x14ac:dyDescent="0.3">
      <c r="A6555">
        <v>4844</v>
      </c>
      <c r="B6555">
        <v>105</v>
      </c>
      <c r="C6555" t="s">
        <v>557</v>
      </c>
      <c r="D6555" s="452">
        <v>45597</v>
      </c>
      <c r="E6555">
        <v>19480</v>
      </c>
      <c r="F6555" t="s">
        <v>5119</v>
      </c>
      <c r="G6555">
        <v>2726</v>
      </c>
      <c r="H6555">
        <v>0.42</v>
      </c>
      <c r="I6555" t="s">
        <v>4744</v>
      </c>
      <c r="J6555" t="s">
        <v>5191</v>
      </c>
      <c r="K6555" t="s">
        <v>726</v>
      </c>
      <c r="L6555">
        <v>14.35</v>
      </c>
      <c r="M6555" s="452">
        <v>45596</v>
      </c>
      <c r="N6555">
        <v>14</v>
      </c>
      <c r="O6555">
        <v>14.48</v>
      </c>
      <c r="P6555">
        <v>6.03</v>
      </c>
    </row>
    <row r="6556" spans="1:16" x14ac:dyDescent="0.3">
      <c r="A6556">
        <v>4859</v>
      </c>
      <c r="B6556">
        <v>105</v>
      </c>
      <c r="C6556" t="s">
        <v>557</v>
      </c>
      <c r="D6556" s="452">
        <v>45597</v>
      </c>
      <c r="E6556">
        <v>19577</v>
      </c>
      <c r="F6556" t="s">
        <v>4984</v>
      </c>
      <c r="G6556">
        <v>2641</v>
      </c>
      <c r="H6556">
        <v>0.57999999999999996</v>
      </c>
      <c r="I6556" t="s">
        <v>4736</v>
      </c>
      <c r="J6556" t="s">
        <v>5191</v>
      </c>
      <c r="K6556" t="s">
        <v>726</v>
      </c>
      <c r="L6556">
        <v>0</v>
      </c>
      <c r="M6556" s="452">
        <v>45532</v>
      </c>
      <c r="N6556">
        <v>10.199999999999999</v>
      </c>
      <c r="O6556">
        <v>14.98</v>
      </c>
      <c r="P6556">
        <v>5.92</v>
      </c>
    </row>
    <row r="6557" spans="1:16" x14ac:dyDescent="0.3">
      <c r="A6557">
        <v>4883</v>
      </c>
      <c r="B6557">
        <v>105</v>
      </c>
      <c r="C6557" t="s">
        <v>557</v>
      </c>
      <c r="D6557" s="452">
        <v>45597</v>
      </c>
      <c r="E6557">
        <v>19415</v>
      </c>
      <c r="F6557" t="s">
        <v>4919</v>
      </c>
      <c r="G6557">
        <v>2759</v>
      </c>
      <c r="H6557">
        <v>0.75</v>
      </c>
      <c r="I6557" t="s">
        <v>4736</v>
      </c>
      <c r="J6557" t="s">
        <v>5191</v>
      </c>
      <c r="K6557" t="s">
        <v>726</v>
      </c>
      <c r="L6557">
        <v>7.84</v>
      </c>
      <c r="M6557" s="452">
        <v>45593</v>
      </c>
      <c r="N6557">
        <v>7.8</v>
      </c>
      <c r="O6557">
        <v>7.8</v>
      </c>
      <c r="P6557">
        <v>5.88</v>
      </c>
    </row>
    <row r="6558" spans="1:16" x14ac:dyDescent="0.3">
      <c r="A6558">
        <v>4843</v>
      </c>
      <c r="B6558">
        <v>105</v>
      </c>
      <c r="C6558" t="s">
        <v>557</v>
      </c>
      <c r="D6558" s="452">
        <v>45597</v>
      </c>
      <c r="E6558">
        <v>19607</v>
      </c>
      <c r="F6558" t="s">
        <v>4981</v>
      </c>
      <c r="G6558">
        <v>2623</v>
      </c>
      <c r="H6558">
        <v>0.55000000000000004</v>
      </c>
      <c r="I6558" t="s">
        <v>4744</v>
      </c>
      <c r="J6558" t="s">
        <v>5191</v>
      </c>
      <c r="K6558" t="s">
        <v>726</v>
      </c>
      <c r="L6558">
        <v>10.050000000000001</v>
      </c>
      <c r="M6558" s="452">
        <v>45596</v>
      </c>
      <c r="N6558">
        <v>11.91</v>
      </c>
      <c r="O6558">
        <v>14.4</v>
      </c>
      <c r="P6558">
        <v>5.53</v>
      </c>
    </row>
    <row r="6559" spans="1:16" x14ac:dyDescent="0.3">
      <c r="A6559">
        <v>4636</v>
      </c>
      <c r="B6559">
        <v>105</v>
      </c>
      <c r="C6559" t="s">
        <v>557</v>
      </c>
      <c r="D6559" s="452">
        <v>45597</v>
      </c>
      <c r="E6559">
        <v>24979</v>
      </c>
      <c r="F6559" t="s">
        <v>5548</v>
      </c>
      <c r="G6559">
        <v>5848</v>
      </c>
      <c r="H6559">
        <v>0.57999999999999996</v>
      </c>
      <c r="I6559" t="s">
        <v>4738</v>
      </c>
      <c r="J6559" t="s">
        <v>5222</v>
      </c>
      <c r="K6559" t="s">
        <v>726</v>
      </c>
      <c r="L6559">
        <v>0</v>
      </c>
      <c r="M6559" s="452">
        <v>45546</v>
      </c>
      <c r="N6559">
        <v>8.7899999999999991</v>
      </c>
      <c r="O6559">
        <v>8.7899999999999991</v>
      </c>
      <c r="P6559">
        <v>5.0999999999999996</v>
      </c>
    </row>
    <row r="6560" spans="1:16" x14ac:dyDescent="0.3">
      <c r="A6560">
        <v>4868</v>
      </c>
      <c r="B6560">
        <v>105</v>
      </c>
      <c r="C6560" t="s">
        <v>557</v>
      </c>
      <c r="D6560" s="452">
        <v>45597</v>
      </c>
      <c r="E6560">
        <v>19552</v>
      </c>
      <c r="F6560" t="s">
        <v>4860</v>
      </c>
      <c r="G6560">
        <v>2664</v>
      </c>
      <c r="H6560">
        <v>1</v>
      </c>
      <c r="I6560" t="s">
        <v>4744</v>
      </c>
      <c r="J6560" t="s">
        <v>5191</v>
      </c>
      <c r="K6560" t="s">
        <v>726</v>
      </c>
      <c r="L6560">
        <v>4.4000000000000004</v>
      </c>
      <c r="M6560" s="452">
        <v>45586</v>
      </c>
      <c r="N6560">
        <v>4.4000000000000004</v>
      </c>
      <c r="O6560">
        <v>3.41</v>
      </c>
      <c r="P6560">
        <v>4.4000000000000004</v>
      </c>
    </row>
    <row r="6561" spans="1:16" x14ac:dyDescent="0.3">
      <c r="A6561">
        <v>4828</v>
      </c>
      <c r="B6561">
        <v>105</v>
      </c>
      <c r="C6561" t="s">
        <v>557</v>
      </c>
      <c r="D6561" s="452">
        <v>45597</v>
      </c>
      <c r="E6561">
        <v>19622</v>
      </c>
      <c r="F6561" t="s">
        <v>4915</v>
      </c>
      <c r="G6561">
        <v>2612</v>
      </c>
      <c r="H6561">
        <v>1.55</v>
      </c>
      <c r="I6561" t="s">
        <v>4744</v>
      </c>
      <c r="J6561" t="s">
        <v>5191</v>
      </c>
      <c r="K6561" t="s">
        <v>726</v>
      </c>
      <c r="L6561">
        <v>2.63</v>
      </c>
      <c r="M6561" s="452">
        <v>45586</v>
      </c>
      <c r="N6561">
        <v>2.5</v>
      </c>
      <c r="O6561">
        <v>2.5</v>
      </c>
      <c r="P6561">
        <v>4.08</v>
      </c>
    </row>
    <row r="6562" spans="1:16" x14ac:dyDescent="0.3">
      <c r="A6562">
        <v>6640</v>
      </c>
      <c r="B6562">
        <v>105</v>
      </c>
      <c r="C6562" t="s">
        <v>557</v>
      </c>
      <c r="D6562" s="452">
        <v>45597</v>
      </c>
      <c r="E6562">
        <v>24599</v>
      </c>
      <c r="F6562" t="s">
        <v>5731</v>
      </c>
      <c r="G6562">
        <v>5676</v>
      </c>
      <c r="H6562">
        <v>1</v>
      </c>
      <c r="I6562" t="s">
        <v>4738</v>
      </c>
      <c r="J6562" t="s">
        <v>5222</v>
      </c>
      <c r="K6562" t="s">
        <v>726</v>
      </c>
      <c r="L6562">
        <v>0</v>
      </c>
      <c r="M6562" s="452">
        <v>45595</v>
      </c>
      <c r="N6562">
        <v>0</v>
      </c>
      <c r="O6562">
        <v>0</v>
      </c>
      <c r="P6562">
        <v>4.08</v>
      </c>
    </row>
    <row r="6563" spans="1:16" x14ac:dyDescent="0.3">
      <c r="A6563">
        <v>4869</v>
      </c>
      <c r="B6563">
        <v>105</v>
      </c>
      <c r="C6563" t="s">
        <v>557</v>
      </c>
      <c r="D6563" s="452">
        <v>45597</v>
      </c>
      <c r="E6563">
        <v>19554</v>
      </c>
      <c r="F6563" t="s">
        <v>5590</v>
      </c>
      <c r="G6563">
        <v>2663</v>
      </c>
      <c r="H6563">
        <v>1</v>
      </c>
      <c r="I6563" t="s">
        <v>4744</v>
      </c>
      <c r="J6563" t="s">
        <v>5191</v>
      </c>
      <c r="K6563" t="s">
        <v>726</v>
      </c>
      <c r="L6563">
        <v>3.05</v>
      </c>
      <c r="M6563" s="452">
        <v>45586</v>
      </c>
      <c r="N6563">
        <v>3.08</v>
      </c>
      <c r="O6563">
        <v>3.08</v>
      </c>
      <c r="P6563">
        <v>3.05</v>
      </c>
    </row>
    <row r="6564" spans="1:16" x14ac:dyDescent="0.3">
      <c r="A6564">
        <v>4867</v>
      </c>
      <c r="B6564">
        <v>105</v>
      </c>
      <c r="C6564" t="s">
        <v>557</v>
      </c>
      <c r="D6564" s="452">
        <v>45597</v>
      </c>
      <c r="E6564">
        <v>19557</v>
      </c>
      <c r="F6564" t="s">
        <v>5051</v>
      </c>
      <c r="G6564">
        <v>2660</v>
      </c>
      <c r="H6564">
        <v>0.3</v>
      </c>
      <c r="I6564" t="s">
        <v>4744</v>
      </c>
      <c r="J6564" t="s">
        <v>5191</v>
      </c>
      <c r="K6564" t="s">
        <v>726</v>
      </c>
      <c r="L6564">
        <v>7.84</v>
      </c>
      <c r="M6564" s="452">
        <v>45596</v>
      </c>
      <c r="N6564">
        <v>8.4</v>
      </c>
      <c r="O6564">
        <v>8.4</v>
      </c>
      <c r="P6564">
        <v>2.35</v>
      </c>
    </row>
    <row r="6565" spans="1:16" x14ac:dyDescent="0.3">
      <c r="A6565">
        <v>4816</v>
      </c>
      <c r="B6565">
        <v>105</v>
      </c>
      <c r="C6565" t="s">
        <v>557</v>
      </c>
      <c r="D6565" s="452">
        <v>45597</v>
      </c>
      <c r="E6565">
        <v>19647</v>
      </c>
      <c r="F6565" t="s">
        <v>5050</v>
      </c>
      <c r="G6565">
        <v>2591</v>
      </c>
      <c r="H6565">
        <v>0.25</v>
      </c>
      <c r="I6565" t="s">
        <v>4744</v>
      </c>
      <c r="J6565" t="s">
        <v>5191</v>
      </c>
      <c r="K6565" t="s">
        <v>726</v>
      </c>
      <c r="L6565">
        <v>6</v>
      </c>
      <c r="M6565" s="452">
        <v>45588</v>
      </c>
      <c r="N6565">
        <v>6</v>
      </c>
      <c r="O6565">
        <v>5.21</v>
      </c>
      <c r="P6565">
        <v>1.5</v>
      </c>
    </row>
    <row r="6566" spans="1:16" x14ac:dyDescent="0.3">
      <c r="A6566">
        <v>6659</v>
      </c>
      <c r="B6566">
        <v>105</v>
      </c>
      <c r="C6566" t="s">
        <v>557</v>
      </c>
      <c r="D6566" s="452">
        <v>45597</v>
      </c>
      <c r="E6566">
        <v>24674</v>
      </c>
      <c r="F6566" t="s">
        <v>5060</v>
      </c>
      <c r="G6566">
        <v>5709</v>
      </c>
      <c r="H6566">
        <v>1.48</v>
      </c>
      <c r="I6566" t="s">
        <v>4744</v>
      </c>
      <c r="J6566" t="s">
        <v>5191</v>
      </c>
      <c r="K6566" t="s">
        <v>726</v>
      </c>
      <c r="L6566">
        <v>0</v>
      </c>
      <c r="M6566" s="452">
        <v>-693593</v>
      </c>
      <c r="N6566">
        <v>0</v>
      </c>
      <c r="O6566">
        <v>0.8</v>
      </c>
      <c r="P6566">
        <v>1.18</v>
      </c>
    </row>
    <row r="6567" spans="1:16" x14ac:dyDescent="0.3">
      <c r="A6567">
        <v>4790</v>
      </c>
      <c r="B6567">
        <v>105</v>
      </c>
      <c r="C6567" t="s">
        <v>557</v>
      </c>
      <c r="D6567" s="452">
        <v>45597</v>
      </c>
      <c r="E6567">
        <v>17032</v>
      </c>
      <c r="F6567" t="s">
        <v>5509</v>
      </c>
      <c r="G6567">
        <v>2366</v>
      </c>
      <c r="H6567">
        <v>0.03</v>
      </c>
      <c r="I6567" t="s">
        <v>4744</v>
      </c>
      <c r="J6567" t="s">
        <v>5191</v>
      </c>
      <c r="K6567" t="s">
        <v>726</v>
      </c>
      <c r="L6567">
        <v>0</v>
      </c>
      <c r="M6567" s="452">
        <v>45378</v>
      </c>
      <c r="N6567">
        <v>18.899999999999999</v>
      </c>
      <c r="O6567">
        <v>38.9</v>
      </c>
      <c r="P6567">
        <v>0.56999999999999995</v>
      </c>
    </row>
    <row r="6568" spans="1:16" x14ac:dyDescent="0.3">
      <c r="A6568">
        <v>4901</v>
      </c>
      <c r="B6568">
        <v>105</v>
      </c>
      <c r="C6568" t="s">
        <v>557</v>
      </c>
      <c r="D6568" s="452">
        <v>45597</v>
      </c>
      <c r="E6568">
        <v>18642</v>
      </c>
      <c r="F6568" t="s">
        <v>5127</v>
      </c>
      <c r="G6568">
        <v>3072</v>
      </c>
      <c r="H6568">
        <v>1.5</v>
      </c>
      <c r="I6568" t="s">
        <v>4744</v>
      </c>
      <c r="J6568" t="s">
        <v>5191</v>
      </c>
      <c r="K6568" t="s">
        <v>726</v>
      </c>
      <c r="L6568">
        <v>0</v>
      </c>
      <c r="M6568" s="452">
        <v>45549</v>
      </c>
      <c r="N6568">
        <v>0</v>
      </c>
      <c r="O6568">
        <v>0</v>
      </c>
      <c r="P6568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128"/>
  <sheetViews>
    <sheetView workbookViewId="0"/>
  </sheetViews>
  <sheetFormatPr defaultRowHeight="14.4" x14ac:dyDescent="0.3"/>
  <sheetData>
    <row r="1" spans="1:7" x14ac:dyDescent="0.3">
      <c r="A1" t="s">
        <v>2539</v>
      </c>
      <c r="B1" t="s">
        <v>5182</v>
      </c>
      <c r="C1" t="s">
        <v>5183</v>
      </c>
      <c r="D1" t="s">
        <v>556</v>
      </c>
      <c r="E1" t="s">
        <v>5732</v>
      </c>
      <c r="F1" t="s">
        <v>5733</v>
      </c>
      <c r="G1" t="s">
        <v>5430</v>
      </c>
    </row>
    <row r="2" spans="1:7" x14ac:dyDescent="0.3">
      <c r="A2" t="s">
        <v>557</v>
      </c>
      <c r="B2">
        <v>19787</v>
      </c>
      <c r="C2" t="s">
        <v>4793</v>
      </c>
      <c r="D2" t="s">
        <v>458</v>
      </c>
      <c r="E2">
        <v>102</v>
      </c>
      <c r="F2">
        <v>461.9</v>
      </c>
      <c r="G2">
        <v>4.53</v>
      </c>
    </row>
    <row r="3" spans="1:7" x14ac:dyDescent="0.3">
      <c r="A3" t="s">
        <v>557</v>
      </c>
      <c r="B3">
        <v>19658</v>
      </c>
      <c r="C3" t="s">
        <v>4784</v>
      </c>
      <c r="D3" t="s">
        <v>458</v>
      </c>
      <c r="E3">
        <v>36.200000000000003</v>
      </c>
      <c r="F3">
        <v>96.21</v>
      </c>
      <c r="G3">
        <v>2.66</v>
      </c>
    </row>
    <row r="4" spans="1:7" x14ac:dyDescent="0.3">
      <c r="A4" t="s">
        <v>557</v>
      </c>
      <c r="B4">
        <v>19654</v>
      </c>
      <c r="C4" t="s">
        <v>5099</v>
      </c>
      <c r="D4" t="s">
        <v>458</v>
      </c>
      <c r="E4">
        <v>25</v>
      </c>
      <c r="F4">
        <v>47.42</v>
      </c>
      <c r="G4">
        <v>1.9</v>
      </c>
    </row>
    <row r="5" spans="1:7" x14ac:dyDescent="0.3">
      <c r="A5" t="s">
        <v>557</v>
      </c>
      <c r="B5">
        <v>22871</v>
      </c>
      <c r="C5" t="s">
        <v>4898</v>
      </c>
      <c r="D5" t="s">
        <v>458</v>
      </c>
      <c r="E5">
        <v>7.65</v>
      </c>
      <c r="F5">
        <v>240.98</v>
      </c>
      <c r="G5">
        <v>31.5</v>
      </c>
    </row>
    <row r="6" spans="1:7" x14ac:dyDescent="0.3">
      <c r="A6" t="s">
        <v>557</v>
      </c>
      <c r="B6">
        <v>21093</v>
      </c>
      <c r="C6" t="s">
        <v>4855</v>
      </c>
      <c r="D6" t="s">
        <v>458</v>
      </c>
      <c r="E6">
        <v>30</v>
      </c>
      <c r="F6">
        <v>144.6</v>
      </c>
      <c r="G6">
        <v>4.82</v>
      </c>
    </row>
    <row r="7" spans="1:7" x14ac:dyDescent="0.3">
      <c r="A7" t="s">
        <v>557</v>
      </c>
      <c r="B7">
        <v>21085</v>
      </c>
      <c r="C7" t="s">
        <v>5066</v>
      </c>
      <c r="D7" t="s">
        <v>458</v>
      </c>
      <c r="E7">
        <v>1</v>
      </c>
      <c r="F7">
        <v>19.98</v>
      </c>
      <c r="G7">
        <v>19.98</v>
      </c>
    </row>
    <row r="8" spans="1:7" x14ac:dyDescent="0.3">
      <c r="A8" t="s">
        <v>557</v>
      </c>
      <c r="B8">
        <v>24596</v>
      </c>
      <c r="C8" t="s">
        <v>5197</v>
      </c>
      <c r="D8" t="s">
        <v>458</v>
      </c>
      <c r="E8">
        <v>4</v>
      </c>
      <c r="F8">
        <v>66</v>
      </c>
      <c r="G8">
        <v>16.5</v>
      </c>
    </row>
    <row r="9" spans="1:7" x14ac:dyDescent="0.3">
      <c r="A9" t="s">
        <v>557</v>
      </c>
      <c r="B9">
        <v>19507</v>
      </c>
      <c r="C9" t="s">
        <v>4853</v>
      </c>
      <c r="D9" t="s">
        <v>458</v>
      </c>
      <c r="E9">
        <v>11.8</v>
      </c>
      <c r="F9">
        <v>104.25</v>
      </c>
      <c r="G9">
        <v>8.83</v>
      </c>
    </row>
    <row r="10" spans="1:7" x14ac:dyDescent="0.3">
      <c r="A10" t="s">
        <v>557</v>
      </c>
      <c r="B10">
        <v>17950</v>
      </c>
      <c r="C10" t="s">
        <v>5091</v>
      </c>
      <c r="D10" t="s">
        <v>458</v>
      </c>
      <c r="E10">
        <v>84</v>
      </c>
      <c r="F10">
        <v>1407.6</v>
      </c>
      <c r="G10">
        <v>16.760000000000002</v>
      </c>
    </row>
    <row r="11" spans="1:7" x14ac:dyDescent="0.3">
      <c r="A11" t="s">
        <v>557</v>
      </c>
      <c r="B11">
        <v>17958</v>
      </c>
      <c r="C11" t="s">
        <v>5076</v>
      </c>
      <c r="D11" t="s">
        <v>458</v>
      </c>
      <c r="E11">
        <v>95</v>
      </c>
      <c r="F11">
        <v>1510.5</v>
      </c>
      <c r="G11">
        <v>15.9</v>
      </c>
    </row>
    <row r="12" spans="1:7" x14ac:dyDescent="0.3">
      <c r="A12" t="s">
        <v>557</v>
      </c>
      <c r="B12">
        <v>17314</v>
      </c>
      <c r="C12" t="s">
        <v>5208</v>
      </c>
      <c r="D12" t="s">
        <v>458</v>
      </c>
      <c r="E12">
        <v>7</v>
      </c>
      <c r="F12">
        <v>43.1</v>
      </c>
      <c r="G12">
        <v>6.16</v>
      </c>
    </row>
    <row r="13" spans="1:7" x14ac:dyDescent="0.3">
      <c r="A13" t="s">
        <v>557</v>
      </c>
      <c r="B13">
        <v>18006</v>
      </c>
      <c r="C13" t="s">
        <v>5094</v>
      </c>
      <c r="D13" t="s">
        <v>458</v>
      </c>
      <c r="E13">
        <v>6</v>
      </c>
      <c r="F13">
        <v>177.84</v>
      </c>
      <c r="G13">
        <v>29.64</v>
      </c>
    </row>
    <row r="14" spans="1:7" x14ac:dyDescent="0.3">
      <c r="A14" t="s">
        <v>557</v>
      </c>
      <c r="B14">
        <v>18004</v>
      </c>
      <c r="C14" t="s">
        <v>5093</v>
      </c>
      <c r="D14" t="s">
        <v>458</v>
      </c>
      <c r="E14">
        <v>5</v>
      </c>
      <c r="F14">
        <v>148.19999999999999</v>
      </c>
      <c r="G14">
        <v>29.64</v>
      </c>
    </row>
    <row r="15" spans="1:7" x14ac:dyDescent="0.3">
      <c r="A15" t="s">
        <v>557</v>
      </c>
      <c r="B15">
        <v>20321</v>
      </c>
      <c r="C15" t="s">
        <v>5067</v>
      </c>
      <c r="D15" t="s">
        <v>458</v>
      </c>
      <c r="E15">
        <v>0.5</v>
      </c>
      <c r="F15">
        <v>69.150000000000006</v>
      </c>
      <c r="G15">
        <v>138.30000000000001</v>
      </c>
    </row>
    <row r="16" spans="1:7" x14ac:dyDescent="0.3">
      <c r="A16" t="s">
        <v>557</v>
      </c>
      <c r="B16">
        <v>24096</v>
      </c>
      <c r="C16" t="s">
        <v>4771</v>
      </c>
      <c r="D16" t="s">
        <v>458</v>
      </c>
      <c r="E16">
        <v>137.19999999999999</v>
      </c>
      <c r="F16">
        <v>5474.28</v>
      </c>
      <c r="G16">
        <v>39.9</v>
      </c>
    </row>
    <row r="17" spans="1:7" x14ac:dyDescent="0.3">
      <c r="A17" t="s">
        <v>557</v>
      </c>
      <c r="B17">
        <v>17266</v>
      </c>
      <c r="C17" t="s">
        <v>5192</v>
      </c>
      <c r="D17" t="s">
        <v>458</v>
      </c>
      <c r="E17">
        <v>16</v>
      </c>
      <c r="F17">
        <v>81.34</v>
      </c>
      <c r="G17">
        <v>5.08</v>
      </c>
    </row>
    <row r="18" spans="1:7" x14ac:dyDescent="0.3">
      <c r="A18" t="s">
        <v>557</v>
      </c>
      <c r="B18">
        <v>17285</v>
      </c>
      <c r="C18" t="s">
        <v>5347</v>
      </c>
      <c r="D18" t="s">
        <v>458</v>
      </c>
      <c r="E18">
        <v>1</v>
      </c>
      <c r="F18">
        <v>34.5</v>
      </c>
      <c r="G18">
        <v>34.5</v>
      </c>
    </row>
    <row r="19" spans="1:7" x14ac:dyDescent="0.3">
      <c r="A19" t="s">
        <v>557</v>
      </c>
      <c r="B19">
        <v>19506</v>
      </c>
      <c r="C19" t="s">
        <v>5122</v>
      </c>
      <c r="D19" t="s">
        <v>458</v>
      </c>
      <c r="E19">
        <v>1.5</v>
      </c>
      <c r="F19">
        <v>64.33</v>
      </c>
      <c r="G19">
        <v>42.89</v>
      </c>
    </row>
    <row r="20" spans="1:7" x14ac:dyDescent="0.3">
      <c r="A20" t="s">
        <v>557</v>
      </c>
      <c r="B20">
        <v>19505</v>
      </c>
      <c r="C20" t="s">
        <v>4872</v>
      </c>
      <c r="D20" t="s">
        <v>458</v>
      </c>
      <c r="E20">
        <v>57.3</v>
      </c>
      <c r="F20">
        <v>332.25</v>
      </c>
      <c r="G20">
        <v>5.8</v>
      </c>
    </row>
    <row r="21" spans="1:7" x14ac:dyDescent="0.3">
      <c r="A21" t="s">
        <v>557</v>
      </c>
      <c r="B21">
        <v>19502</v>
      </c>
      <c r="C21" t="s">
        <v>4871</v>
      </c>
      <c r="D21" t="s">
        <v>458</v>
      </c>
      <c r="E21">
        <v>20.399999999999999</v>
      </c>
      <c r="F21">
        <v>161.25</v>
      </c>
      <c r="G21">
        <v>7.9</v>
      </c>
    </row>
    <row r="22" spans="1:7" x14ac:dyDescent="0.3">
      <c r="A22" t="s">
        <v>557</v>
      </c>
      <c r="B22">
        <v>19647</v>
      </c>
      <c r="C22" t="s">
        <v>5050</v>
      </c>
      <c r="D22" t="s">
        <v>458</v>
      </c>
      <c r="E22">
        <v>1.2</v>
      </c>
      <c r="F22">
        <v>7.52</v>
      </c>
      <c r="G22">
        <v>6.27</v>
      </c>
    </row>
    <row r="23" spans="1:7" x14ac:dyDescent="0.3">
      <c r="A23" t="s">
        <v>557</v>
      </c>
      <c r="B23">
        <v>24037</v>
      </c>
      <c r="C23" t="s">
        <v>5233</v>
      </c>
      <c r="D23" t="s">
        <v>458</v>
      </c>
      <c r="E23">
        <v>13</v>
      </c>
      <c r="F23">
        <v>260</v>
      </c>
      <c r="G23">
        <v>20</v>
      </c>
    </row>
    <row r="24" spans="1:7" x14ac:dyDescent="0.3">
      <c r="A24" t="s">
        <v>557</v>
      </c>
      <c r="B24">
        <v>20429</v>
      </c>
      <c r="C24" t="s">
        <v>5317</v>
      </c>
      <c r="D24" t="s">
        <v>458</v>
      </c>
      <c r="E24">
        <v>1</v>
      </c>
      <c r="F24">
        <v>19.600000000000001</v>
      </c>
      <c r="G24">
        <v>19.600000000000001</v>
      </c>
    </row>
    <row r="25" spans="1:7" x14ac:dyDescent="0.3">
      <c r="A25" t="s">
        <v>557</v>
      </c>
      <c r="B25">
        <v>24954</v>
      </c>
      <c r="C25" t="s">
        <v>4769</v>
      </c>
      <c r="D25" t="s">
        <v>458</v>
      </c>
      <c r="E25">
        <v>32.200000000000003</v>
      </c>
      <c r="F25">
        <v>4073.3</v>
      </c>
      <c r="G25">
        <v>126.5</v>
      </c>
    </row>
    <row r="26" spans="1:7" x14ac:dyDescent="0.3">
      <c r="A26" t="s">
        <v>557</v>
      </c>
      <c r="B26">
        <v>27264</v>
      </c>
      <c r="C26" t="s">
        <v>5075</v>
      </c>
      <c r="D26" t="s">
        <v>458</v>
      </c>
      <c r="E26">
        <v>25</v>
      </c>
      <c r="F26">
        <v>1479</v>
      </c>
      <c r="G26">
        <v>59.16</v>
      </c>
    </row>
    <row r="27" spans="1:7" x14ac:dyDescent="0.3">
      <c r="A27" t="s">
        <v>557</v>
      </c>
      <c r="B27">
        <v>18547</v>
      </c>
      <c r="C27" t="s">
        <v>4863</v>
      </c>
      <c r="D27" t="s">
        <v>458</v>
      </c>
      <c r="E27">
        <v>6</v>
      </c>
      <c r="F27">
        <v>215.96</v>
      </c>
      <c r="G27">
        <v>35.99</v>
      </c>
    </row>
    <row r="28" spans="1:7" x14ac:dyDescent="0.3">
      <c r="A28" t="s">
        <v>557</v>
      </c>
      <c r="B28">
        <v>18545</v>
      </c>
      <c r="C28" t="s">
        <v>4864</v>
      </c>
      <c r="D28" t="s">
        <v>458</v>
      </c>
      <c r="E28">
        <v>2</v>
      </c>
      <c r="F28">
        <v>88.9</v>
      </c>
      <c r="G28">
        <v>44.45</v>
      </c>
    </row>
    <row r="29" spans="1:7" x14ac:dyDescent="0.3">
      <c r="A29" t="s">
        <v>557</v>
      </c>
      <c r="B29">
        <v>18518</v>
      </c>
      <c r="C29" t="s">
        <v>4838</v>
      </c>
      <c r="D29" t="s">
        <v>458</v>
      </c>
      <c r="E29">
        <v>9</v>
      </c>
      <c r="F29">
        <v>436.19</v>
      </c>
      <c r="G29">
        <v>48.47</v>
      </c>
    </row>
    <row r="30" spans="1:7" x14ac:dyDescent="0.3">
      <c r="A30" t="s">
        <v>557</v>
      </c>
      <c r="B30">
        <v>18538</v>
      </c>
      <c r="C30" t="s">
        <v>5030</v>
      </c>
      <c r="D30" t="s">
        <v>458</v>
      </c>
      <c r="E30">
        <v>1</v>
      </c>
      <c r="F30">
        <v>101.65</v>
      </c>
      <c r="G30">
        <v>101.65</v>
      </c>
    </row>
    <row r="31" spans="1:7" x14ac:dyDescent="0.3">
      <c r="A31" t="s">
        <v>557</v>
      </c>
      <c r="B31">
        <v>20301</v>
      </c>
      <c r="C31" t="s">
        <v>4944</v>
      </c>
      <c r="D31" t="s">
        <v>458</v>
      </c>
      <c r="E31">
        <v>31</v>
      </c>
      <c r="F31">
        <v>651.79999999999995</v>
      </c>
      <c r="G31">
        <v>21.03</v>
      </c>
    </row>
    <row r="32" spans="1:7" x14ac:dyDescent="0.3">
      <c r="A32" t="s">
        <v>557</v>
      </c>
      <c r="B32">
        <v>20295</v>
      </c>
      <c r="C32" t="s">
        <v>4881</v>
      </c>
      <c r="D32" t="s">
        <v>458</v>
      </c>
      <c r="E32">
        <v>2</v>
      </c>
      <c r="F32">
        <v>19.079999999999998</v>
      </c>
      <c r="G32">
        <v>9.5399999999999991</v>
      </c>
    </row>
    <row r="33" spans="1:7" x14ac:dyDescent="0.3">
      <c r="A33" t="s">
        <v>557</v>
      </c>
      <c r="B33">
        <v>21783</v>
      </c>
      <c r="C33" t="s">
        <v>5210</v>
      </c>
      <c r="D33" t="s">
        <v>458</v>
      </c>
      <c r="E33">
        <v>3</v>
      </c>
      <c r="F33">
        <v>35.68</v>
      </c>
      <c r="G33">
        <v>11.89</v>
      </c>
    </row>
    <row r="34" spans="1:7" x14ac:dyDescent="0.3">
      <c r="A34" t="s">
        <v>557</v>
      </c>
      <c r="B34">
        <v>21047</v>
      </c>
      <c r="C34" t="s">
        <v>4847</v>
      </c>
      <c r="D34" t="s">
        <v>458</v>
      </c>
      <c r="E34">
        <v>3</v>
      </c>
      <c r="F34">
        <v>369.2</v>
      </c>
      <c r="G34">
        <v>123.07</v>
      </c>
    </row>
    <row r="35" spans="1:7" x14ac:dyDescent="0.3">
      <c r="A35" t="s">
        <v>557</v>
      </c>
      <c r="B35">
        <v>23808</v>
      </c>
      <c r="C35" t="s">
        <v>4982</v>
      </c>
      <c r="D35" t="s">
        <v>458</v>
      </c>
      <c r="E35">
        <v>1</v>
      </c>
      <c r="F35">
        <v>33.6</v>
      </c>
      <c r="G35">
        <v>33.6</v>
      </c>
    </row>
    <row r="36" spans="1:7" x14ac:dyDescent="0.3">
      <c r="A36" t="s">
        <v>557</v>
      </c>
      <c r="B36">
        <v>22721</v>
      </c>
      <c r="C36" t="s">
        <v>4803</v>
      </c>
      <c r="D36" t="s">
        <v>458</v>
      </c>
      <c r="E36">
        <v>4.45</v>
      </c>
      <c r="F36">
        <v>125.94</v>
      </c>
      <c r="G36">
        <v>28.3</v>
      </c>
    </row>
    <row r="37" spans="1:7" x14ac:dyDescent="0.3">
      <c r="A37" t="s">
        <v>557</v>
      </c>
      <c r="B37">
        <v>23390</v>
      </c>
      <c r="C37" t="s">
        <v>4873</v>
      </c>
      <c r="D37" t="s">
        <v>458</v>
      </c>
      <c r="E37">
        <v>4.9000000000000004</v>
      </c>
      <c r="F37">
        <v>44.26</v>
      </c>
      <c r="G37">
        <v>9.0299999999999994</v>
      </c>
    </row>
    <row r="38" spans="1:7" x14ac:dyDescent="0.3">
      <c r="A38" t="s">
        <v>557</v>
      </c>
      <c r="B38">
        <v>23389</v>
      </c>
      <c r="C38" t="s">
        <v>4960</v>
      </c>
      <c r="D38" t="s">
        <v>458</v>
      </c>
      <c r="E38">
        <v>28.1</v>
      </c>
      <c r="F38">
        <v>155.63</v>
      </c>
      <c r="G38">
        <v>5.54</v>
      </c>
    </row>
    <row r="39" spans="1:7" x14ac:dyDescent="0.3">
      <c r="A39" t="s">
        <v>557</v>
      </c>
      <c r="B39">
        <v>24081</v>
      </c>
      <c r="C39" t="s">
        <v>4834</v>
      </c>
      <c r="D39" t="s">
        <v>458</v>
      </c>
      <c r="E39">
        <v>26.1</v>
      </c>
      <c r="F39">
        <v>621.17999999999995</v>
      </c>
      <c r="G39">
        <v>23.8</v>
      </c>
    </row>
    <row r="40" spans="1:7" x14ac:dyDescent="0.3">
      <c r="A40" t="s">
        <v>557</v>
      </c>
      <c r="B40">
        <v>24083</v>
      </c>
      <c r="C40" t="s">
        <v>5165</v>
      </c>
      <c r="D40" t="s">
        <v>458</v>
      </c>
      <c r="E40">
        <v>300</v>
      </c>
      <c r="F40">
        <v>1155</v>
      </c>
      <c r="G40">
        <v>3.85</v>
      </c>
    </row>
    <row r="41" spans="1:7" x14ac:dyDescent="0.3">
      <c r="A41" t="s">
        <v>557</v>
      </c>
      <c r="B41">
        <v>19642</v>
      </c>
      <c r="C41" t="s">
        <v>4996</v>
      </c>
      <c r="D41" t="s">
        <v>458</v>
      </c>
      <c r="E41">
        <v>5.2</v>
      </c>
      <c r="F41">
        <v>23.39</v>
      </c>
      <c r="G41">
        <v>4.5</v>
      </c>
    </row>
    <row r="42" spans="1:7" x14ac:dyDescent="0.3">
      <c r="A42" t="s">
        <v>557</v>
      </c>
      <c r="B42">
        <v>19635</v>
      </c>
      <c r="C42" t="s">
        <v>4786</v>
      </c>
      <c r="D42" t="s">
        <v>458</v>
      </c>
      <c r="E42">
        <v>34</v>
      </c>
      <c r="F42">
        <v>110.6</v>
      </c>
      <c r="G42">
        <v>3.25</v>
      </c>
    </row>
    <row r="43" spans="1:7" x14ac:dyDescent="0.3">
      <c r="A43" t="s">
        <v>557</v>
      </c>
      <c r="B43">
        <v>19634</v>
      </c>
      <c r="C43" t="s">
        <v>4792</v>
      </c>
      <c r="D43" t="s">
        <v>458</v>
      </c>
      <c r="E43">
        <v>24.7</v>
      </c>
      <c r="F43">
        <v>122.82</v>
      </c>
      <c r="G43">
        <v>4.97</v>
      </c>
    </row>
    <row r="44" spans="1:7" x14ac:dyDescent="0.3">
      <c r="A44" t="s">
        <v>557</v>
      </c>
      <c r="B44">
        <v>19632</v>
      </c>
      <c r="C44" t="s">
        <v>4936</v>
      </c>
      <c r="D44" t="s">
        <v>458</v>
      </c>
      <c r="E44">
        <v>6.1</v>
      </c>
      <c r="F44">
        <v>13.04</v>
      </c>
      <c r="G44">
        <v>2.14</v>
      </c>
    </row>
    <row r="45" spans="1:7" x14ac:dyDescent="0.3">
      <c r="A45" t="s">
        <v>557</v>
      </c>
      <c r="B45">
        <v>23819</v>
      </c>
      <c r="C45" t="s">
        <v>4947</v>
      </c>
      <c r="D45" t="s">
        <v>458</v>
      </c>
      <c r="E45">
        <v>3</v>
      </c>
      <c r="F45">
        <v>27.15</v>
      </c>
      <c r="G45">
        <v>9.0500000000000007</v>
      </c>
    </row>
    <row r="46" spans="1:7" x14ac:dyDescent="0.3">
      <c r="A46" t="s">
        <v>557</v>
      </c>
      <c r="B46">
        <v>26006</v>
      </c>
      <c r="C46" t="s">
        <v>4941</v>
      </c>
      <c r="D46" t="s">
        <v>458</v>
      </c>
      <c r="E46">
        <v>12</v>
      </c>
      <c r="F46">
        <v>151.44</v>
      </c>
      <c r="G46">
        <v>12.62</v>
      </c>
    </row>
    <row r="47" spans="1:7" x14ac:dyDescent="0.3">
      <c r="A47" t="s">
        <v>557</v>
      </c>
      <c r="B47">
        <v>17381</v>
      </c>
      <c r="C47" t="s">
        <v>5262</v>
      </c>
      <c r="D47" t="s">
        <v>458</v>
      </c>
      <c r="E47">
        <v>2</v>
      </c>
      <c r="F47">
        <v>65.8</v>
      </c>
      <c r="G47">
        <v>32.9</v>
      </c>
    </row>
    <row r="48" spans="1:7" x14ac:dyDescent="0.3">
      <c r="A48" t="s">
        <v>557</v>
      </c>
      <c r="B48">
        <v>21673</v>
      </c>
      <c r="C48" t="s">
        <v>5426</v>
      </c>
      <c r="D48" t="s">
        <v>458</v>
      </c>
      <c r="E48">
        <v>1</v>
      </c>
      <c r="F48">
        <v>18.899999999999999</v>
      </c>
      <c r="G48">
        <v>18.899999999999999</v>
      </c>
    </row>
    <row r="49" spans="1:7" x14ac:dyDescent="0.3">
      <c r="A49" t="s">
        <v>557</v>
      </c>
      <c r="B49">
        <v>17573</v>
      </c>
      <c r="C49" t="s">
        <v>5306</v>
      </c>
      <c r="D49" t="s">
        <v>458</v>
      </c>
      <c r="E49">
        <v>1</v>
      </c>
      <c r="F49">
        <v>78</v>
      </c>
      <c r="G49">
        <v>78</v>
      </c>
    </row>
    <row r="50" spans="1:7" x14ac:dyDescent="0.3">
      <c r="A50" t="s">
        <v>557</v>
      </c>
      <c r="B50">
        <v>21587</v>
      </c>
      <c r="C50" t="s">
        <v>5349</v>
      </c>
      <c r="D50" t="s">
        <v>458</v>
      </c>
      <c r="E50">
        <v>2</v>
      </c>
      <c r="F50">
        <v>19.8</v>
      </c>
      <c r="G50">
        <v>9.9</v>
      </c>
    </row>
    <row r="51" spans="1:7" x14ac:dyDescent="0.3">
      <c r="A51" t="s">
        <v>557</v>
      </c>
      <c r="B51">
        <v>24099</v>
      </c>
      <c r="C51" t="s">
        <v>4933</v>
      </c>
      <c r="D51" t="s">
        <v>458</v>
      </c>
      <c r="E51">
        <v>8.3000000000000007</v>
      </c>
      <c r="F51">
        <v>97.72</v>
      </c>
      <c r="G51">
        <v>11.77</v>
      </c>
    </row>
    <row r="52" spans="1:7" x14ac:dyDescent="0.3">
      <c r="A52" t="s">
        <v>557</v>
      </c>
      <c r="B52">
        <v>19492</v>
      </c>
      <c r="C52" t="s">
        <v>4937</v>
      </c>
      <c r="D52" t="s">
        <v>458</v>
      </c>
      <c r="E52">
        <v>8.5</v>
      </c>
      <c r="F52">
        <v>105.32</v>
      </c>
      <c r="G52">
        <v>12.39</v>
      </c>
    </row>
    <row r="53" spans="1:7" x14ac:dyDescent="0.3">
      <c r="A53" t="s">
        <v>557</v>
      </c>
      <c r="B53">
        <v>24594</v>
      </c>
      <c r="C53" t="s">
        <v>5382</v>
      </c>
      <c r="D53" t="s">
        <v>458</v>
      </c>
      <c r="E53">
        <v>2</v>
      </c>
      <c r="F53">
        <v>57.8</v>
      </c>
      <c r="G53">
        <v>28.9</v>
      </c>
    </row>
    <row r="54" spans="1:7" x14ac:dyDescent="0.3">
      <c r="A54" t="s">
        <v>557</v>
      </c>
      <c r="B54">
        <v>18502</v>
      </c>
      <c r="C54" t="s">
        <v>4893</v>
      </c>
      <c r="D54" t="s">
        <v>458</v>
      </c>
      <c r="E54">
        <v>11</v>
      </c>
      <c r="F54">
        <v>638.20000000000005</v>
      </c>
      <c r="G54">
        <v>58.02</v>
      </c>
    </row>
    <row r="55" spans="1:7" x14ac:dyDescent="0.3">
      <c r="A55" t="s">
        <v>557</v>
      </c>
      <c r="B55">
        <v>18475</v>
      </c>
      <c r="C55" t="s">
        <v>4895</v>
      </c>
      <c r="D55" t="s">
        <v>458</v>
      </c>
      <c r="E55">
        <v>36</v>
      </c>
      <c r="F55">
        <v>1184.4000000000001</v>
      </c>
      <c r="G55">
        <v>32.9</v>
      </c>
    </row>
    <row r="56" spans="1:7" x14ac:dyDescent="0.3">
      <c r="A56" t="s">
        <v>557</v>
      </c>
      <c r="B56">
        <v>18462</v>
      </c>
      <c r="C56" t="s">
        <v>5031</v>
      </c>
      <c r="D56" t="s">
        <v>458</v>
      </c>
      <c r="E56">
        <v>1</v>
      </c>
      <c r="F56">
        <v>50.5</v>
      </c>
      <c r="G56">
        <v>50.5</v>
      </c>
    </row>
    <row r="57" spans="1:7" x14ac:dyDescent="0.3">
      <c r="A57" t="s">
        <v>557</v>
      </c>
      <c r="B57">
        <v>18423</v>
      </c>
      <c r="C57" t="s">
        <v>4987</v>
      </c>
      <c r="D57" t="s">
        <v>458</v>
      </c>
      <c r="E57">
        <v>3</v>
      </c>
      <c r="F57">
        <v>120.33</v>
      </c>
      <c r="G57">
        <v>40.11</v>
      </c>
    </row>
    <row r="58" spans="1:7" x14ac:dyDescent="0.3">
      <c r="A58" t="s">
        <v>557</v>
      </c>
      <c r="B58">
        <v>20809</v>
      </c>
      <c r="C58" t="s">
        <v>4822</v>
      </c>
      <c r="D58" t="s">
        <v>458</v>
      </c>
      <c r="E58">
        <v>13</v>
      </c>
      <c r="F58">
        <v>586.4</v>
      </c>
      <c r="G58">
        <v>45.11</v>
      </c>
    </row>
    <row r="59" spans="1:7" x14ac:dyDescent="0.3">
      <c r="A59" t="s">
        <v>557</v>
      </c>
      <c r="B59">
        <v>23385</v>
      </c>
      <c r="C59" t="s">
        <v>4938</v>
      </c>
      <c r="D59" t="s">
        <v>458</v>
      </c>
      <c r="E59">
        <v>9.3000000000000007</v>
      </c>
      <c r="F59">
        <v>265.89</v>
      </c>
      <c r="G59">
        <v>28.59</v>
      </c>
    </row>
    <row r="60" spans="1:7" x14ac:dyDescent="0.3">
      <c r="A60" t="s">
        <v>557</v>
      </c>
      <c r="B60">
        <v>17554</v>
      </c>
      <c r="C60" t="s">
        <v>5320</v>
      </c>
      <c r="D60" t="s">
        <v>458</v>
      </c>
      <c r="E60">
        <v>1</v>
      </c>
      <c r="F60">
        <v>258</v>
      </c>
      <c r="G60">
        <v>258</v>
      </c>
    </row>
    <row r="61" spans="1:7" x14ac:dyDescent="0.3">
      <c r="A61" t="s">
        <v>557</v>
      </c>
      <c r="B61">
        <v>19490</v>
      </c>
      <c r="C61" t="s">
        <v>5116</v>
      </c>
      <c r="D61" t="s">
        <v>458</v>
      </c>
      <c r="E61">
        <v>1.1000000000000001</v>
      </c>
      <c r="F61">
        <v>68.75</v>
      </c>
      <c r="G61">
        <v>62.5</v>
      </c>
    </row>
    <row r="62" spans="1:7" x14ac:dyDescent="0.3">
      <c r="A62" t="s">
        <v>557</v>
      </c>
      <c r="B62">
        <v>24116</v>
      </c>
      <c r="C62" t="s">
        <v>4777</v>
      </c>
      <c r="D62" t="s">
        <v>458</v>
      </c>
      <c r="E62">
        <v>10</v>
      </c>
      <c r="F62">
        <v>419</v>
      </c>
      <c r="G62">
        <v>41.9</v>
      </c>
    </row>
    <row r="63" spans="1:7" x14ac:dyDescent="0.3">
      <c r="A63" t="s">
        <v>557</v>
      </c>
      <c r="B63">
        <v>24658</v>
      </c>
      <c r="C63" t="s">
        <v>5274</v>
      </c>
      <c r="D63" t="s">
        <v>458</v>
      </c>
      <c r="E63">
        <v>70</v>
      </c>
      <c r="F63">
        <v>2422</v>
      </c>
      <c r="G63">
        <v>34.6</v>
      </c>
    </row>
    <row r="64" spans="1:7" x14ac:dyDescent="0.3">
      <c r="A64" t="s">
        <v>557</v>
      </c>
      <c r="B64">
        <v>25358</v>
      </c>
      <c r="C64" t="s">
        <v>4980</v>
      </c>
      <c r="D64" t="s">
        <v>458</v>
      </c>
      <c r="E64">
        <v>2</v>
      </c>
      <c r="F64">
        <v>147.30000000000001</v>
      </c>
      <c r="G64">
        <v>73.650000000000006</v>
      </c>
    </row>
    <row r="65" spans="1:7" x14ac:dyDescent="0.3">
      <c r="A65" t="s">
        <v>557</v>
      </c>
      <c r="B65">
        <v>24509</v>
      </c>
      <c r="C65" t="s">
        <v>4788</v>
      </c>
      <c r="D65" t="s">
        <v>458</v>
      </c>
      <c r="E65">
        <v>51.4</v>
      </c>
      <c r="F65">
        <v>115.1</v>
      </c>
      <c r="G65">
        <v>2.2400000000000002</v>
      </c>
    </row>
    <row r="66" spans="1:7" x14ac:dyDescent="0.3">
      <c r="A66" t="s">
        <v>557</v>
      </c>
      <c r="B66">
        <v>19622</v>
      </c>
      <c r="C66" t="s">
        <v>4915</v>
      </c>
      <c r="D66" t="s">
        <v>458</v>
      </c>
      <c r="E66">
        <v>3.5</v>
      </c>
      <c r="F66">
        <v>11.15</v>
      </c>
      <c r="G66">
        <v>3.19</v>
      </c>
    </row>
    <row r="67" spans="1:7" x14ac:dyDescent="0.3">
      <c r="A67" t="s">
        <v>557</v>
      </c>
      <c r="B67">
        <v>19623</v>
      </c>
      <c r="C67" t="s">
        <v>4764</v>
      </c>
      <c r="D67" t="s">
        <v>458</v>
      </c>
      <c r="E67">
        <v>59</v>
      </c>
      <c r="F67">
        <v>327.54000000000002</v>
      </c>
      <c r="G67">
        <v>5.55</v>
      </c>
    </row>
    <row r="68" spans="1:7" x14ac:dyDescent="0.3">
      <c r="A68" t="s">
        <v>557</v>
      </c>
      <c r="B68">
        <v>19488</v>
      </c>
      <c r="C68" t="s">
        <v>5107</v>
      </c>
      <c r="D68" t="s">
        <v>458</v>
      </c>
      <c r="E68">
        <v>3.5</v>
      </c>
      <c r="F68">
        <v>38.5</v>
      </c>
      <c r="G68">
        <v>11</v>
      </c>
    </row>
    <row r="69" spans="1:7" x14ac:dyDescent="0.3">
      <c r="A69" t="s">
        <v>557</v>
      </c>
      <c r="B69">
        <v>19621</v>
      </c>
      <c r="C69" t="s">
        <v>4829</v>
      </c>
      <c r="D69" t="s">
        <v>458</v>
      </c>
      <c r="E69">
        <v>25</v>
      </c>
      <c r="F69">
        <v>64.3</v>
      </c>
      <c r="G69">
        <v>2.57</v>
      </c>
    </row>
    <row r="70" spans="1:7" x14ac:dyDescent="0.3">
      <c r="A70" t="s">
        <v>557</v>
      </c>
      <c r="B70">
        <v>18632</v>
      </c>
      <c r="C70" t="s">
        <v>5096</v>
      </c>
      <c r="D70" t="s">
        <v>458</v>
      </c>
      <c r="E70">
        <v>2</v>
      </c>
      <c r="F70">
        <v>381.6</v>
      </c>
      <c r="G70">
        <v>190.8</v>
      </c>
    </row>
    <row r="71" spans="1:7" x14ac:dyDescent="0.3">
      <c r="A71" t="s">
        <v>557</v>
      </c>
      <c r="B71">
        <v>26505</v>
      </c>
      <c r="C71" t="s">
        <v>4750</v>
      </c>
      <c r="D71" t="s">
        <v>458</v>
      </c>
      <c r="E71">
        <v>4</v>
      </c>
      <c r="F71">
        <v>864</v>
      </c>
      <c r="G71">
        <v>216</v>
      </c>
    </row>
    <row r="72" spans="1:7" x14ac:dyDescent="0.3">
      <c r="A72" t="s">
        <v>557</v>
      </c>
      <c r="B72">
        <v>25561</v>
      </c>
      <c r="C72" t="s">
        <v>5095</v>
      </c>
      <c r="D72" t="s">
        <v>458</v>
      </c>
      <c r="E72">
        <v>4</v>
      </c>
      <c r="F72">
        <v>528.28</v>
      </c>
      <c r="G72">
        <v>132.07</v>
      </c>
    </row>
    <row r="73" spans="1:7" x14ac:dyDescent="0.3">
      <c r="A73" t="s">
        <v>557</v>
      </c>
      <c r="B73">
        <v>24141</v>
      </c>
      <c r="C73" t="s">
        <v>5088</v>
      </c>
      <c r="D73" t="s">
        <v>458</v>
      </c>
      <c r="E73">
        <v>20</v>
      </c>
      <c r="F73">
        <v>2692</v>
      </c>
      <c r="G73">
        <v>134.6</v>
      </c>
    </row>
    <row r="74" spans="1:7" x14ac:dyDescent="0.3">
      <c r="A74" t="s">
        <v>557</v>
      </c>
      <c r="B74">
        <v>24142</v>
      </c>
      <c r="C74" t="s">
        <v>5090</v>
      </c>
      <c r="D74" t="s">
        <v>458</v>
      </c>
      <c r="E74">
        <v>8</v>
      </c>
      <c r="F74">
        <v>1252.08</v>
      </c>
      <c r="G74">
        <v>156.51</v>
      </c>
    </row>
    <row r="75" spans="1:7" x14ac:dyDescent="0.3">
      <c r="A75" t="s">
        <v>557</v>
      </c>
      <c r="B75">
        <v>18579</v>
      </c>
      <c r="C75" t="s">
        <v>5087</v>
      </c>
      <c r="D75" t="s">
        <v>458</v>
      </c>
      <c r="E75">
        <v>7</v>
      </c>
      <c r="F75">
        <v>1147.44</v>
      </c>
      <c r="G75">
        <v>163.92</v>
      </c>
    </row>
    <row r="76" spans="1:7" x14ac:dyDescent="0.3">
      <c r="A76" t="s">
        <v>557</v>
      </c>
      <c r="B76">
        <v>20928</v>
      </c>
      <c r="C76" t="s">
        <v>4950</v>
      </c>
      <c r="D76" t="s">
        <v>458</v>
      </c>
      <c r="E76">
        <v>1</v>
      </c>
      <c r="F76">
        <v>203.4</v>
      </c>
      <c r="G76">
        <v>203.4</v>
      </c>
    </row>
    <row r="77" spans="1:7" x14ac:dyDescent="0.3">
      <c r="A77" t="s">
        <v>557</v>
      </c>
      <c r="B77">
        <v>25807</v>
      </c>
      <c r="C77" t="s">
        <v>4951</v>
      </c>
      <c r="D77" t="s">
        <v>458</v>
      </c>
      <c r="E77">
        <v>2</v>
      </c>
      <c r="F77">
        <v>400.48</v>
      </c>
      <c r="G77">
        <v>200.24</v>
      </c>
    </row>
    <row r="78" spans="1:7" x14ac:dyDescent="0.3">
      <c r="A78" t="s">
        <v>557</v>
      </c>
      <c r="B78">
        <v>18636</v>
      </c>
      <c r="C78" t="s">
        <v>4964</v>
      </c>
      <c r="D78" t="s">
        <v>458</v>
      </c>
      <c r="E78">
        <v>43</v>
      </c>
      <c r="F78">
        <v>20760.400000000001</v>
      </c>
      <c r="G78">
        <v>482.8</v>
      </c>
    </row>
    <row r="79" spans="1:7" x14ac:dyDescent="0.3">
      <c r="A79" t="s">
        <v>557</v>
      </c>
      <c r="B79">
        <v>24981</v>
      </c>
      <c r="C79" t="s">
        <v>5140</v>
      </c>
      <c r="D79" t="s">
        <v>458</v>
      </c>
      <c r="E79">
        <v>2</v>
      </c>
      <c r="F79">
        <v>870</v>
      </c>
      <c r="G79">
        <v>435</v>
      </c>
    </row>
    <row r="80" spans="1:7" x14ac:dyDescent="0.3">
      <c r="A80" t="s">
        <v>557</v>
      </c>
      <c r="B80">
        <v>26135</v>
      </c>
      <c r="C80" t="s">
        <v>4801</v>
      </c>
      <c r="D80" t="s">
        <v>458</v>
      </c>
      <c r="E80">
        <v>31.8</v>
      </c>
      <c r="F80">
        <v>2858.82</v>
      </c>
      <c r="G80">
        <v>89.9</v>
      </c>
    </row>
    <row r="81" spans="1:7" x14ac:dyDescent="0.3">
      <c r="A81" t="s">
        <v>557</v>
      </c>
      <c r="B81">
        <v>19617</v>
      </c>
      <c r="C81" t="s">
        <v>5071</v>
      </c>
      <c r="D81" t="s">
        <v>458</v>
      </c>
      <c r="E81">
        <v>2.9</v>
      </c>
      <c r="F81">
        <v>45.45</v>
      </c>
      <c r="G81">
        <v>15.67</v>
      </c>
    </row>
    <row r="82" spans="1:7" x14ac:dyDescent="0.3">
      <c r="A82" t="s">
        <v>557</v>
      </c>
      <c r="B82">
        <v>20549</v>
      </c>
      <c r="C82" t="s">
        <v>4823</v>
      </c>
      <c r="D82" t="s">
        <v>458</v>
      </c>
      <c r="E82">
        <v>52</v>
      </c>
      <c r="F82">
        <v>1039.48</v>
      </c>
      <c r="G82">
        <v>19.989999999999998</v>
      </c>
    </row>
    <row r="83" spans="1:7" x14ac:dyDescent="0.3">
      <c r="A83" t="s">
        <v>557</v>
      </c>
      <c r="B83">
        <v>17532</v>
      </c>
      <c r="C83" t="s">
        <v>5259</v>
      </c>
      <c r="D83" t="s">
        <v>458</v>
      </c>
      <c r="E83">
        <v>1</v>
      </c>
      <c r="F83">
        <v>100</v>
      </c>
      <c r="G83">
        <v>100</v>
      </c>
    </row>
    <row r="84" spans="1:7" x14ac:dyDescent="0.3">
      <c r="A84" t="s">
        <v>557</v>
      </c>
      <c r="B84">
        <v>17533</v>
      </c>
      <c r="C84" t="s">
        <v>5373</v>
      </c>
      <c r="D84" t="s">
        <v>458</v>
      </c>
      <c r="E84">
        <v>4</v>
      </c>
      <c r="F84">
        <v>42.46</v>
      </c>
      <c r="G84">
        <v>10.62</v>
      </c>
    </row>
    <row r="85" spans="1:7" x14ac:dyDescent="0.3">
      <c r="A85" t="s">
        <v>557</v>
      </c>
      <c r="B85">
        <v>19047</v>
      </c>
      <c r="C85" t="s">
        <v>5393</v>
      </c>
      <c r="D85" t="s">
        <v>458</v>
      </c>
      <c r="E85">
        <v>13.22</v>
      </c>
      <c r="F85">
        <v>396.86</v>
      </c>
      <c r="G85">
        <v>30.02</v>
      </c>
    </row>
    <row r="86" spans="1:7" x14ac:dyDescent="0.3">
      <c r="A86" t="s">
        <v>557</v>
      </c>
      <c r="B86">
        <v>18595</v>
      </c>
      <c r="C86" t="s">
        <v>5092</v>
      </c>
      <c r="D86" t="s">
        <v>458</v>
      </c>
      <c r="E86">
        <v>5</v>
      </c>
      <c r="F86">
        <v>660.35</v>
      </c>
      <c r="G86">
        <v>132.07</v>
      </c>
    </row>
    <row r="87" spans="1:7" x14ac:dyDescent="0.3">
      <c r="A87" t="s">
        <v>557</v>
      </c>
      <c r="B87">
        <v>26679</v>
      </c>
      <c r="C87" t="s">
        <v>4791</v>
      </c>
      <c r="D87" t="s">
        <v>458</v>
      </c>
      <c r="E87">
        <v>217.69</v>
      </c>
      <c r="F87">
        <v>6073.27</v>
      </c>
      <c r="G87">
        <v>27.9</v>
      </c>
    </row>
    <row r="88" spans="1:7" x14ac:dyDescent="0.3">
      <c r="A88" t="s">
        <v>557</v>
      </c>
      <c r="B88">
        <v>24197</v>
      </c>
      <c r="C88" t="s">
        <v>5237</v>
      </c>
      <c r="D88" t="s">
        <v>458</v>
      </c>
      <c r="E88">
        <v>25</v>
      </c>
      <c r="F88">
        <v>499.75</v>
      </c>
      <c r="G88">
        <v>19.989999999999998</v>
      </c>
    </row>
    <row r="89" spans="1:7" x14ac:dyDescent="0.3">
      <c r="A89" t="s">
        <v>557</v>
      </c>
      <c r="B89">
        <v>24200</v>
      </c>
      <c r="C89" t="s">
        <v>4820</v>
      </c>
      <c r="D89" t="s">
        <v>458</v>
      </c>
      <c r="E89">
        <v>6.9</v>
      </c>
      <c r="F89">
        <v>227.01</v>
      </c>
      <c r="G89">
        <v>32.9</v>
      </c>
    </row>
    <row r="90" spans="1:7" x14ac:dyDescent="0.3">
      <c r="A90" t="s">
        <v>557</v>
      </c>
      <c r="B90">
        <v>21257</v>
      </c>
      <c r="C90" t="s">
        <v>4952</v>
      </c>
      <c r="D90" t="s">
        <v>458</v>
      </c>
      <c r="E90">
        <v>1</v>
      </c>
      <c r="F90">
        <v>18.600000000000001</v>
      </c>
      <c r="G90">
        <v>18.600000000000001</v>
      </c>
    </row>
    <row r="91" spans="1:7" x14ac:dyDescent="0.3">
      <c r="A91" t="s">
        <v>557</v>
      </c>
      <c r="B91">
        <v>23238</v>
      </c>
      <c r="C91" t="s">
        <v>4934</v>
      </c>
      <c r="D91" t="s">
        <v>458</v>
      </c>
      <c r="E91">
        <v>7.5</v>
      </c>
      <c r="F91">
        <v>90.5</v>
      </c>
      <c r="G91">
        <v>12.07</v>
      </c>
    </row>
    <row r="92" spans="1:7" x14ac:dyDescent="0.3">
      <c r="A92" t="s">
        <v>557</v>
      </c>
      <c r="B92">
        <v>23236</v>
      </c>
      <c r="C92" t="s">
        <v>5062</v>
      </c>
      <c r="D92" t="s">
        <v>458</v>
      </c>
      <c r="E92">
        <v>15.4</v>
      </c>
      <c r="F92">
        <v>80.5</v>
      </c>
      <c r="G92">
        <v>5.23</v>
      </c>
    </row>
    <row r="93" spans="1:7" x14ac:dyDescent="0.3">
      <c r="A93" t="s">
        <v>557</v>
      </c>
      <c r="B93">
        <v>19041</v>
      </c>
      <c r="C93" t="s">
        <v>4762</v>
      </c>
      <c r="D93" t="s">
        <v>458</v>
      </c>
      <c r="E93">
        <v>66.400000000000006</v>
      </c>
      <c r="F93">
        <v>1022.56</v>
      </c>
      <c r="G93">
        <v>15.4</v>
      </c>
    </row>
    <row r="94" spans="1:7" x14ac:dyDescent="0.3">
      <c r="A94" t="s">
        <v>557</v>
      </c>
      <c r="B94">
        <v>22843</v>
      </c>
      <c r="C94" t="s">
        <v>4849</v>
      </c>
      <c r="D94" t="s">
        <v>458</v>
      </c>
      <c r="E94">
        <v>8.5</v>
      </c>
      <c r="F94">
        <v>316.2</v>
      </c>
      <c r="G94">
        <v>37.200000000000003</v>
      </c>
    </row>
    <row r="95" spans="1:7" x14ac:dyDescent="0.3">
      <c r="A95" t="s">
        <v>557</v>
      </c>
      <c r="B95">
        <v>19439</v>
      </c>
      <c r="C95" t="s">
        <v>4917</v>
      </c>
      <c r="D95" t="s">
        <v>458</v>
      </c>
      <c r="E95">
        <v>3</v>
      </c>
      <c r="F95">
        <v>98.46</v>
      </c>
      <c r="G95">
        <v>32.82</v>
      </c>
    </row>
    <row r="96" spans="1:7" x14ac:dyDescent="0.3">
      <c r="A96" t="s">
        <v>557</v>
      </c>
      <c r="B96">
        <v>20689</v>
      </c>
      <c r="C96" t="s">
        <v>5007</v>
      </c>
      <c r="D96" t="s">
        <v>458</v>
      </c>
      <c r="E96">
        <v>3</v>
      </c>
      <c r="F96">
        <v>110.7</v>
      </c>
      <c r="G96">
        <v>36.9</v>
      </c>
    </row>
    <row r="97" spans="1:7" x14ac:dyDescent="0.3">
      <c r="A97" t="s">
        <v>557</v>
      </c>
      <c r="B97">
        <v>26020</v>
      </c>
      <c r="C97" t="s">
        <v>5102</v>
      </c>
      <c r="D97" t="s">
        <v>458</v>
      </c>
      <c r="E97">
        <v>9</v>
      </c>
      <c r="F97">
        <v>129.6</v>
      </c>
      <c r="G97">
        <v>14.4</v>
      </c>
    </row>
    <row r="98" spans="1:7" x14ac:dyDescent="0.3">
      <c r="A98" t="s">
        <v>557</v>
      </c>
      <c r="B98">
        <v>24217</v>
      </c>
      <c r="C98" t="s">
        <v>4778</v>
      </c>
      <c r="D98" t="s">
        <v>458</v>
      </c>
      <c r="E98">
        <v>23.8</v>
      </c>
      <c r="F98">
        <v>759.22</v>
      </c>
      <c r="G98">
        <v>31.9</v>
      </c>
    </row>
    <row r="99" spans="1:7" x14ac:dyDescent="0.3">
      <c r="A99" t="s">
        <v>557</v>
      </c>
      <c r="B99">
        <v>17304</v>
      </c>
      <c r="C99" t="s">
        <v>5195</v>
      </c>
      <c r="D99" t="s">
        <v>458</v>
      </c>
      <c r="E99">
        <v>2</v>
      </c>
      <c r="F99">
        <v>14.2</v>
      </c>
      <c r="G99">
        <v>7.1</v>
      </c>
    </row>
    <row r="100" spans="1:7" x14ac:dyDescent="0.3">
      <c r="A100" t="s">
        <v>557</v>
      </c>
      <c r="B100">
        <v>17215</v>
      </c>
      <c r="C100" t="s">
        <v>5299</v>
      </c>
      <c r="D100" t="s">
        <v>458</v>
      </c>
      <c r="E100">
        <v>17</v>
      </c>
      <c r="F100">
        <v>340</v>
      </c>
      <c r="G100">
        <v>20</v>
      </c>
    </row>
    <row r="101" spans="1:7" x14ac:dyDescent="0.3">
      <c r="A101" t="s">
        <v>557</v>
      </c>
      <c r="B101">
        <v>17205</v>
      </c>
      <c r="C101" t="s">
        <v>5264</v>
      </c>
      <c r="D101" t="s">
        <v>458</v>
      </c>
      <c r="E101">
        <v>2</v>
      </c>
      <c r="F101">
        <v>340</v>
      </c>
      <c r="G101">
        <v>170</v>
      </c>
    </row>
    <row r="102" spans="1:7" x14ac:dyDescent="0.3">
      <c r="A102" t="s">
        <v>557</v>
      </c>
      <c r="B102">
        <v>26554</v>
      </c>
      <c r="C102" t="s">
        <v>5319</v>
      </c>
      <c r="D102" t="s">
        <v>458</v>
      </c>
      <c r="E102">
        <v>1</v>
      </c>
      <c r="F102">
        <v>280</v>
      </c>
      <c r="G102">
        <v>280</v>
      </c>
    </row>
    <row r="103" spans="1:7" x14ac:dyDescent="0.3">
      <c r="A103" t="s">
        <v>557</v>
      </c>
      <c r="B103">
        <v>17465</v>
      </c>
      <c r="C103" t="s">
        <v>5279</v>
      </c>
      <c r="D103" t="s">
        <v>458</v>
      </c>
      <c r="E103">
        <v>1</v>
      </c>
      <c r="F103">
        <v>670.38</v>
      </c>
      <c r="G103">
        <v>670.38</v>
      </c>
    </row>
    <row r="104" spans="1:7" x14ac:dyDescent="0.3">
      <c r="A104" t="s">
        <v>557</v>
      </c>
      <c r="B104">
        <v>24527</v>
      </c>
      <c r="C104" t="s">
        <v>5313</v>
      </c>
      <c r="D104" t="s">
        <v>458</v>
      </c>
      <c r="E104">
        <v>1</v>
      </c>
      <c r="F104">
        <v>989.38</v>
      </c>
      <c r="G104">
        <v>989.38</v>
      </c>
    </row>
    <row r="105" spans="1:7" x14ac:dyDescent="0.3">
      <c r="A105" t="s">
        <v>557</v>
      </c>
      <c r="B105">
        <v>21716</v>
      </c>
      <c r="C105" t="s">
        <v>5281</v>
      </c>
      <c r="D105" t="s">
        <v>458</v>
      </c>
      <c r="E105">
        <v>1</v>
      </c>
      <c r="F105">
        <v>399.5</v>
      </c>
      <c r="G105">
        <v>399.5</v>
      </c>
    </row>
    <row r="106" spans="1:7" x14ac:dyDescent="0.3">
      <c r="A106" t="s">
        <v>557</v>
      </c>
      <c r="B106">
        <v>17918</v>
      </c>
      <c r="C106" t="s">
        <v>5368</v>
      </c>
      <c r="D106" t="s">
        <v>458</v>
      </c>
      <c r="E106">
        <v>2</v>
      </c>
      <c r="F106">
        <v>86.4</v>
      </c>
      <c r="G106">
        <v>43.2</v>
      </c>
    </row>
    <row r="107" spans="1:7" x14ac:dyDescent="0.3">
      <c r="A107" t="s">
        <v>557</v>
      </c>
      <c r="B107">
        <v>17916</v>
      </c>
      <c r="C107" t="s">
        <v>5235</v>
      </c>
      <c r="D107" t="s">
        <v>458</v>
      </c>
      <c r="E107">
        <v>10</v>
      </c>
      <c r="F107">
        <v>288</v>
      </c>
      <c r="G107">
        <v>28.8</v>
      </c>
    </row>
    <row r="108" spans="1:7" x14ac:dyDescent="0.3">
      <c r="A108" t="s">
        <v>557</v>
      </c>
      <c r="B108">
        <v>23234</v>
      </c>
      <c r="C108" t="s">
        <v>4986</v>
      </c>
      <c r="D108" t="s">
        <v>458</v>
      </c>
      <c r="E108">
        <v>4</v>
      </c>
      <c r="F108">
        <v>92</v>
      </c>
      <c r="G108">
        <v>23</v>
      </c>
    </row>
    <row r="109" spans="1:7" x14ac:dyDescent="0.3">
      <c r="A109" t="s">
        <v>557</v>
      </c>
      <c r="B109">
        <v>19526</v>
      </c>
      <c r="C109" t="s">
        <v>4997</v>
      </c>
      <c r="D109" t="s">
        <v>458</v>
      </c>
      <c r="E109">
        <v>1</v>
      </c>
      <c r="F109">
        <v>29</v>
      </c>
      <c r="G109">
        <v>29</v>
      </c>
    </row>
    <row r="110" spans="1:7" x14ac:dyDescent="0.3">
      <c r="A110" t="s">
        <v>557</v>
      </c>
      <c r="B110">
        <v>18945</v>
      </c>
      <c r="C110" t="s">
        <v>4768</v>
      </c>
      <c r="D110" t="s">
        <v>458</v>
      </c>
      <c r="E110">
        <v>100</v>
      </c>
      <c r="F110">
        <v>5825</v>
      </c>
      <c r="G110">
        <v>58.25</v>
      </c>
    </row>
    <row r="111" spans="1:7" x14ac:dyDescent="0.3">
      <c r="A111" t="s">
        <v>557</v>
      </c>
      <c r="B111">
        <v>18991</v>
      </c>
      <c r="C111" t="s">
        <v>4815</v>
      </c>
      <c r="D111" t="s">
        <v>458</v>
      </c>
      <c r="E111">
        <v>40</v>
      </c>
      <c r="F111">
        <v>1696.8</v>
      </c>
      <c r="G111">
        <v>42.42</v>
      </c>
    </row>
    <row r="112" spans="1:7" x14ac:dyDescent="0.3">
      <c r="A112" t="s">
        <v>557</v>
      </c>
      <c r="B112">
        <v>19353</v>
      </c>
      <c r="C112" t="s">
        <v>4851</v>
      </c>
      <c r="D112" t="s">
        <v>458</v>
      </c>
      <c r="E112">
        <v>80</v>
      </c>
      <c r="F112">
        <v>1968</v>
      </c>
      <c r="G112">
        <v>24.6</v>
      </c>
    </row>
    <row r="113" spans="1:7" x14ac:dyDescent="0.3">
      <c r="A113" t="s">
        <v>557</v>
      </c>
      <c r="B113">
        <v>17518</v>
      </c>
      <c r="C113" t="s">
        <v>5425</v>
      </c>
      <c r="D113" t="s">
        <v>458</v>
      </c>
      <c r="E113">
        <v>2</v>
      </c>
      <c r="F113">
        <v>6.48</v>
      </c>
      <c r="G113">
        <v>3.24</v>
      </c>
    </row>
    <row r="114" spans="1:7" x14ac:dyDescent="0.3">
      <c r="A114" t="s">
        <v>557</v>
      </c>
      <c r="B114">
        <v>24522</v>
      </c>
      <c r="C114" t="s">
        <v>5072</v>
      </c>
      <c r="D114" t="s">
        <v>458</v>
      </c>
      <c r="E114">
        <v>2</v>
      </c>
      <c r="F114">
        <v>44</v>
      </c>
      <c r="G114">
        <v>22</v>
      </c>
    </row>
    <row r="115" spans="1:7" x14ac:dyDescent="0.3">
      <c r="A115" t="s">
        <v>557</v>
      </c>
      <c r="B115">
        <v>24598</v>
      </c>
      <c r="C115" t="s">
        <v>4852</v>
      </c>
      <c r="D115" t="s">
        <v>458</v>
      </c>
      <c r="E115">
        <v>1</v>
      </c>
      <c r="F115">
        <v>7.97</v>
      </c>
      <c r="G115">
        <v>7.97</v>
      </c>
    </row>
    <row r="116" spans="1:7" x14ac:dyDescent="0.3">
      <c r="A116" t="s">
        <v>557</v>
      </c>
      <c r="B116">
        <v>17196</v>
      </c>
      <c r="C116" t="s">
        <v>5258</v>
      </c>
      <c r="D116" t="s">
        <v>458</v>
      </c>
      <c r="E116">
        <v>2</v>
      </c>
      <c r="F116">
        <v>15.25</v>
      </c>
      <c r="G116">
        <v>7.63</v>
      </c>
    </row>
    <row r="117" spans="1:7" x14ac:dyDescent="0.3">
      <c r="A117" t="s">
        <v>557</v>
      </c>
      <c r="B117">
        <v>17190</v>
      </c>
      <c r="C117" t="s">
        <v>5193</v>
      </c>
      <c r="D117" t="s">
        <v>458</v>
      </c>
      <c r="E117">
        <v>3</v>
      </c>
      <c r="F117">
        <v>31.5</v>
      </c>
      <c r="G117">
        <v>10.5</v>
      </c>
    </row>
    <row r="118" spans="1:7" x14ac:dyDescent="0.3">
      <c r="A118" t="s">
        <v>557</v>
      </c>
      <c r="B118">
        <v>18030</v>
      </c>
      <c r="C118" t="s">
        <v>4840</v>
      </c>
      <c r="D118" t="s">
        <v>458</v>
      </c>
      <c r="E118">
        <v>15</v>
      </c>
      <c r="F118">
        <v>419.7</v>
      </c>
      <c r="G118">
        <v>27.98</v>
      </c>
    </row>
    <row r="119" spans="1:7" x14ac:dyDescent="0.3">
      <c r="A119" t="s">
        <v>557</v>
      </c>
      <c r="B119">
        <v>17455</v>
      </c>
      <c r="C119" t="s">
        <v>5290</v>
      </c>
      <c r="D119" t="s">
        <v>458</v>
      </c>
      <c r="E119">
        <v>1</v>
      </c>
      <c r="F119">
        <v>38.9</v>
      </c>
      <c r="G119">
        <v>38.9</v>
      </c>
    </row>
    <row r="120" spans="1:7" x14ac:dyDescent="0.3">
      <c r="A120" t="s">
        <v>557</v>
      </c>
      <c r="B120">
        <v>26366</v>
      </c>
      <c r="C120" t="s">
        <v>5301</v>
      </c>
      <c r="D120" t="s">
        <v>458</v>
      </c>
      <c r="E120">
        <v>10</v>
      </c>
      <c r="F120">
        <v>690</v>
      </c>
      <c r="G120">
        <v>69</v>
      </c>
    </row>
    <row r="121" spans="1:7" x14ac:dyDescent="0.3">
      <c r="A121" t="s">
        <v>557</v>
      </c>
      <c r="B121">
        <v>26627</v>
      </c>
      <c r="C121" t="s">
        <v>5190</v>
      </c>
      <c r="D121" t="s">
        <v>458</v>
      </c>
      <c r="E121">
        <v>55</v>
      </c>
      <c r="F121">
        <v>434.5</v>
      </c>
      <c r="G121">
        <v>7.9</v>
      </c>
    </row>
    <row r="122" spans="1:7" x14ac:dyDescent="0.3">
      <c r="A122" t="s">
        <v>557</v>
      </c>
      <c r="B122">
        <v>20382</v>
      </c>
      <c r="C122" t="s">
        <v>4780</v>
      </c>
      <c r="D122" t="s">
        <v>458</v>
      </c>
      <c r="E122">
        <v>70</v>
      </c>
      <c r="F122">
        <v>629.29999999999995</v>
      </c>
      <c r="G122">
        <v>8.99</v>
      </c>
    </row>
    <row r="123" spans="1:7" x14ac:dyDescent="0.3">
      <c r="A123" t="s">
        <v>557</v>
      </c>
      <c r="B123">
        <v>20365</v>
      </c>
      <c r="C123" t="s">
        <v>4796</v>
      </c>
      <c r="D123" t="s">
        <v>458</v>
      </c>
      <c r="E123">
        <v>10</v>
      </c>
      <c r="F123">
        <v>46.2</v>
      </c>
      <c r="G123">
        <v>4.62</v>
      </c>
    </row>
    <row r="124" spans="1:7" x14ac:dyDescent="0.3">
      <c r="A124" t="s">
        <v>557</v>
      </c>
      <c r="B124">
        <v>20358</v>
      </c>
      <c r="C124" t="s">
        <v>4911</v>
      </c>
      <c r="D124" t="s">
        <v>458</v>
      </c>
      <c r="E124">
        <v>7</v>
      </c>
      <c r="F124">
        <v>100.1</v>
      </c>
      <c r="G124">
        <v>14.3</v>
      </c>
    </row>
    <row r="125" spans="1:7" x14ac:dyDescent="0.3">
      <c r="A125" t="s">
        <v>557</v>
      </c>
      <c r="B125">
        <v>20242</v>
      </c>
      <c r="C125" t="s">
        <v>4824</v>
      </c>
      <c r="D125" t="s">
        <v>458</v>
      </c>
      <c r="E125">
        <v>9</v>
      </c>
      <c r="F125">
        <v>127.8</v>
      </c>
      <c r="G125">
        <v>14.2</v>
      </c>
    </row>
    <row r="126" spans="1:7" x14ac:dyDescent="0.3">
      <c r="A126" t="s">
        <v>557</v>
      </c>
      <c r="B126">
        <v>20231</v>
      </c>
      <c r="C126" t="s">
        <v>5273</v>
      </c>
      <c r="D126" t="s">
        <v>458</v>
      </c>
      <c r="E126">
        <v>1</v>
      </c>
      <c r="F126">
        <v>16.2</v>
      </c>
      <c r="G126">
        <v>16.2</v>
      </c>
    </row>
    <row r="127" spans="1:7" x14ac:dyDescent="0.3">
      <c r="A127" t="s">
        <v>557</v>
      </c>
      <c r="B127">
        <v>20227</v>
      </c>
      <c r="C127" t="s">
        <v>4825</v>
      </c>
      <c r="D127" t="s">
        <v>458</v>
      </c>
      <c r="E127">
        <v>7</v>
      </c>
      <c r="F127">
        <v>69.930000000000007</v>
      </c>
      <c r="G127">
        <v>9.99</v>
      </c>
    </row>
    <row r="128" spans="1:7" x14ac:dyDescent="0.3">
      <c r="A128" t="s">
        <v>557</v>
      </c>
      <c r="B128">
        <v>24256</v>
      </c>
      <c r="C128" t="s">
        <v>4773</v>
      </c>
      <c r="D128" t="s">
        <v>458</v>
      </c>
      <c r="E128">
        <v>35</v>
      </c>
      <c r="F128">
        <v>1328</v>
      </c>
      <c r="G128">
        <v>37.94</v>
      </c>
    </row>
    <row r="129" spans="1:7" x14ac:dyDescent="0.3">
      <c r="A129" t="s">
        <v>557</v>
      </c>
      <c r="B129">
        <v>24259</v>
      </c>
      <c r="C129" t="s">
        <v>4875</v>
      </c>
      <c r="D129" t="s">
        <v>458</v>
      </c>
      <c r="E129">
        <v>31.55</v>
      </c>
      <c r="F129">
        <v>2614.63</v>
      </c>
      <c r="G129">
        <v>82.87</v>
      </c>
    </row>
    <row r="130" spans="1:7" x14ac:dyDescent="0.3">
      <c r="A130" t="s">
        <v>557</v>
      </c>
      <c r="B130">
        <v>25777</v>
      </c>
      <c r="C130" t="s">
        <v>4774</v>
      </c>
      <c r="D130" t="s">
        <v>458</v>
      </c>
      <c r="E130">
        <v>41.9</v>
      </c>
      <c r="F130">
        <v>3561.5</v>
      </c>
      <c r="G130">
        <v>85</v>
      </c>
    </row>
    <row r="131" spans="1:7" x14ac:dyDescent="0.3">
      <c r="A131" t="s">
        <v>557</v>
      </c>
      <c r="B131">
        <v>24278</v>
      </c>
      <c r="C131" t="s">
        <v>4901</v>
      </c>
      <c r="D131" t="s">
        <v>458</v>
      </c>
      <c r="E131">
        <v>6.2</v>
      </c>
      <c r="F131">
        <v>79.98</v>
      </c>
      <c r="G131">
        <v>12.9</v>
      </c>
    </row>
    <row r="132" spans="1:7" x14ac:dyDescent="0.3">
      <c r="A132" t="s">
        <v>557</v>
      </c>
      <c r="B132">
        <v>19765</v>
      </c>
      <c r="C132" t="s">
        <v>4889</v>
      </c>
      <c r="D132" t="s">
        <v>458</v>
      </c>
      <c r="E132">
        <v>5</v>
      </c>
      <c r="F132">
        <v>175</v>
      </c>
      <c r="G132">
        <v>35</v>
      </c>
    </row>
    <row r="133" spans="1:7" x14ac:dyDescent="0.3">
      <c r="A133" t="s">
        <v>557</v>
      </c>
      <c r="B133">
        <v>19003</v>
      </c>
      <c r="C133" t="s">
        <v>4810</v>
      </c>
      <c r="D133" t="s">
        <v>458</v>
      </c>
      <c r="E133">
        <v>47.23</v>
      </c>
      <c r="F133">
        <v>1695.55</v>
      </c>
      <c r="G133">
        <v>35.9</v>
      </c>
    </row>
    <row r="134" spans="1:7" x14ac:dyDescent="0.3">
      <c r="A134" t="s">
        <v>557</v>
      </c>
      <c r="B134">
        <v>23974</v>
      </c>
      <c r="C134" t="s">
        <v>4862</v>
      </c>
      <c r="D134" t="s">
        <v>458</v>
      </c>
      <c r="E134">
        <v>4</v>
      </c>
      <c r="F134">
        <v>224.64</v>
      </c>
      <c r="G134">
        <v>56.16</v>
      </c>
    </row>
    <row r="135" spans="1:7" x14ac:dyDescent="0.3">
      <c r="A135" t="s">
        <v>557</v>
      </c>
      <c r="B135">
        <v>19607</v>
      </c>
      <c r="C135" t="s">
        <v>4981</v>
      </c>
      <c r="D135" t="s">
        <v>458</v>
      </c>
      <c r="E135">
        <v>2.7</v>
      </c>
      <c r="F135">
        <v>20.88</v>
      </c>
      <c r="G135">
        <v>7.73</v>
      </c>
    </row>
    <row r="136" spans="1:7" x14ac:dyDescent="0.3">
      <c r="A136" t="s">
        <v>557</v>
      </c>
      <c r="B136">
        <v>18359</v>
      </c>
      <c r="C136" t="s">
        <v>4921</v>
      </c>
      <c r="D136" t="s">
        <v>458</v>
      </c>
      <c r="E136">
        <v>11</v>
      </c>
      <c r="F136">
        <v>1078.54</v>
      </c>
      <c r="G136">
        <v>98.05</v>
      </c>
    </row>
    <row r="137" spans="1:7" x14ac:dyDescent="0.3">
      <c r="A137" t="s">
        <v>557</v>
      </c>
      <c r="B137">
        <v>21021</v>
      </c>
      <c r="C137" t="s">
        <v>4883</v>
      </c>
      <c r="D137" t="s">
        <v>458</v>
      </c>
      <c r="E137">
        <v>7</v>
      </c>
      <c r="F137">
        <v>1341.1</v>
      </c>
      <c r="G137">
        <v>191.59</v>
      </c>
    </row>
    <row r="138" spans="1:7" x14ac:dyDescent="0.3">
      <c r="A138" t="s">
        <v>557</v>
      </c>
      <c r="B138">
        <v>20213</v>
      </c>
      <c r="C138" t="s">
        <v>5160</v>
      </c>
      <c r="D138" t="s">
        <v>458</v>
      </c>
      <c r="E138">
        <v>2</v>
      </c>
      <c r="F138">
        <v>63.44</v>
      </c>
      <c r="G138">
        <v>31.72</v>
      </c>
    </row>
    <row r="139" spans="1:7" x14ac:dyDescent="0.3">
      <c r="A139" t="s">
        <v>557</v>
      </c>
      <c r="B139">
        <v>17905</v>
      </c>
      <c r="C139" t="s">
        <v>5085</v>
      </c>
      <c r="D139" t="s">
        <v>458</v>
      </c>
      <c r="E139">
        <v>16</v>
      </c>
      <c r="F139">
        <v>474.24</v>
      </c>
      <c r="G139">
        <v>29.64</v>
      </c>
    </row>
    <row r="140" spans="1:7" x14ac:dyDescent="0.3">
      <c r="A140" t="s">
        <v>557</v>
      </c>
      <c r="B140">
        <v>17903</v>
      </c>
      <c r="C140" t="s">
        <v>5084</v>
      </c>
      <c r="D140" t="s">
        <v>458</v>
      </c>
      <c r="E140">
        <v>21</v>
      </c>
      <c r="F140">
        <v>622.44000000000005</v>
      </c>
      <c r="G140">
        <v>29.64</v>
      </c>
    </row>
    <row r="141" spans="1:7" x14ac:dyDescent="0.3">
      <c r="A141" t="s">
        <v>557</v>
      </c>
      <c r="B141">
        <v>24789</v>
      </c>
      <c r="C141" t="s">
        <v>5408</v>
      </c>
      <c r="D141" t="s">
        <v>458</v>
      </c>
      <c r="E141">
        <v>4</v>
      </c>
      <c r="F141">
        <v>1280</v>
      </c>
      <c r="G141">
        <v>320</v>
      </c>
    </row>
    <row r="142" spans="1:7" x14ac:dyDescent="0.3">
      <c r="A142" t="s">
        <v>557</v>
      </c>
      <c r="B142">
        <v>24788</v>
      </c>
      <c r="C142" t="s">
        <v>5407</v>
      </c>
      <c r="D142" t="s">
        <v>458</v>
      </c>
      <c r="E142">
        <v>4</v>
      </c>
      <c r="F142">
        <v>1300</v>
      </c>
      <c r="G142">
        <v>325</v>
      </c>
    </row>
    <row r="143" spans="1:7" x14ac:dyDescent="0.3">
      <c r="A143" t="s">
        <v>557</v>
      </c>
      <c r="B143">
        <v>27657</v>
      </c>
      <c r="C143" t="s">
        <v>5137</v>
      </c>
      <c r="D143" t="s">
        <v>458</v>
      </c>
      <c r="E143">
        <v>22.08</v>
      </c>
      <c r="F143">
        <v>877.2</v>
      </c>
      <c r="G143">
        <v>39.729999999999997</v>
      </c>
    </row>
    <row r="144" spans="1:7" x14ac:dyDescent="0.3">
      <c r="A144" t="s">
        <v>557</v>
      </c>
      <c r="B144">
        <v>19480</v>
      </c>
      <c r="C144" t="s">
        <v>5119</v>
      </c>
      <c r="D144" t="s">
        <v>458</v>
      </c>
      <c r="E144">
        <v>3.7</v>
      </c>
      <c r="F144">
        <v>46</v>
      </c>
      <c r="G144">
        <v>12.43</v>
      </c>
    </row>
    <row r="145" spans="1:7" x14ac:dyDescent="0.3">
      <c r="A145" t="s">
        <v>557</v>
      </c>
      <c r="B145">
        <v>19241</v>
      </c>
      <c r="C145" t="s">
        <v>4890</v>
      </c>
      <c r="D145" t="s">
        <v>458</v>
      </c>
      <c r="E145">
        <v>1</v>
      </c>
      <c r="F145">
        <v>3.75</v>
      </c>
      <c r="G145">
        <v>3.75</v>
      </c>
    </row>
    <row r="146" spans="1:7" x14ac:dyDescent="0.3">
      <c r="A146" t="s">
        <v>557</v>
      </c>
      <c r="B146">
        <v>20057</v>
      </c>
      <c r="C146" t="s">
        <v>4949</v>
      </c>
      <c r="D146" t="s">
        <v>458</v>
      </c>
      <c r="E146">
        <v>1</v>
      </c>
      <c r="F146">
        <v>40.1</v>
      </c>
      <c r="G146">
        <v>40.1</v>
      </c>
    </row>
    <row r="147" spans="1:7" x14ac:dyDescent="0.3">
      <c r="A147" t="s">
        <v>557</v>
      </c>
      <c r="B147">
        <v>23365</v>
      </c>
      <c r="C147" t="s">
        <v>5108</v>
      </c>
      <c r="D147" t="s">
        <v>458</v>
      </c>
      <c r="E147">
        <v>2</v>
      </c>
      <c r="F147">
        <v>50</v>
      </c>
      <c r="G147">
        <v>25</v>
      </c>
    </row>
    <row r="148" spans="1:7" x14ac:dyDescent="0.3">
      <c r="A148" t="s">
        <v>557</v>
      </c>
      <c r="B148">
        <v>24320</v>
      </c>
      <c r="C148" t="s">
        <v>4861</v>
      </c>
      <c r="D148" t="s">
        <v>458</v>
      </c>
      <c r="E148">
        <v>10.3</v>
      </c>
      <c r="F148">
        <v>363.64</v>
      </c>
      <c r="G148">
        <v>35.299999999999997</v>
      </c>
    </row>
    <row r="149" spans="1:7" x14ac:dyDescent="0.3">
      <c r="A149" t="s">
        <v>557</v>
      </c>
      <c r="B149">
        <v>23361</v>
      </c>
      <c r="C149" t="s">
        <v>4754</v>
      </c>
      <c r="D149" t="s">
        <v>458</v>
      </c>
      <c r="E149">
        <v>225</v>
      </c>
      <c r="F149">
        <v>690.5</v>
      </c>
      <c r="G149">
        <v>3.07</v>
      </c>
    </row>
    <row r="150" spans="1:7" x14ac:dyDescent="0.3">
      <c r="A150" t="s">
        <v>557</v>
      </c>
      <c r="B150">
        <v>20657</v>
      </c>
      <c r="C150" t="s">
        <v>5109</v>
      </c>
      <c r="D150" t="s">
        <v>458</v>
      </c>
      <c r="E150">
        <v>3</v>
      </c>
      <c r="F150">
        <v>19.079999999999998</v>
      </c>
      <c r="G150">
        <v>6.36</v>
      </c>
    </row>
    <row r="151" spans="1:7" x14ac:dyDescent="0.3">
      <c r="A151" t="s">
        <v>557</v>
      </c>
      <c r="B151">
        <v>20660</v>
      </c>
      <c r="C151" t="s">
        <v>5011</v>
      </c>
      <c r="D151" t="s">
        <v>458</v>
      </c>
      <c r="E151">
        <v>4</v>
      </c>
      <c r="F151">
        <v>247.6</v>
      </c>
      <c r="G151">
        <v>61.9</v>
      </c>
    </row>
    <row r="152" spans="1:7" x14ac:dyDescent="0.3">
      <c r="A152" t="s">
        <v>557</v>
      </c>
      <c r="B152">
        <v>20661</v>
      </c>
      <c r="C152" t="s">
        <v>5012</v>
      </c>
      <c r="D152" t="s">
        <v>458</v>
      </c>
      <c r="E152">
        <v>5</v>
      </c>
      <c r="F152">
        <v>43.7</v>
      </c>
      <c r="G152">
        <v>8.74</v>
      </c>
    </row>
    <row r="153" spans="1:7" x14ac:dyDescent="0.3">
      <c r="A153" t="s">
        <v>557</v>
      </c>
      <c r="B153">
        <v>20653</v>
      </c>
      <c r="C153" t="s">
        <v>5013</v>
      </c>
      <c r="D153" t="s">
        <v>458</v>
      </c>
      <c r="E153">
        <v>1</v>
      </c>
      <c r="F153">
        <v>24.72</v>
      </c>
      <c r="G153">
        <v>24.72</v>
      </c>
    </row>
    <row r="154" spans="1:7" x14ac:dyDescent="0.3">
      <c r="A154" t="s">
        <v>557</v>
      </c>
      <c r="B154">
        <v>19421</v>
      </c>
      <c r="C154" t="s">
        <v>4918</v>
      </c>
      <c r="D154" t="s">
        <v>458</v>
      </c>
      <c r="E154">
        <v>3</v>
      </c>
      <c r="F154">
        <v>173.04</v>
      </c>
      <c r="G154">
        <v>57.68</v>
      </c>
    </row>
    <row r="155" spans="1:7" x14ac:dyDescent="0.3">
      <c r="A155" t="s">
        <v>557</v>
      </c>
      <c r="B155">
        <v>18293</v>
      </c>
      <c r="C155" t="s">
        <v>5034</v>
      </c>
      <c r="D155" t="s">
        <v>458</v>
      </c>
      <c r="E155">
        <v>2</v>
      </c>
      <c r="F155">
        <v>243.57</v>
      </c>
      <c r="G155">
        <v>121.79</v>
      </c>
    </row>
    <row r="156" spans="1:7" x14ac:dyDescent="0.3">
      <c r="A156" t="s">
        <v>557</v>
      </c>
      <c r="B156">
        <v>18327</v>
      </c>
      <c r="C156" t="s">
        <v>5035</v>
      </c>
      <c r="D156" t="s">
        <v>458</v>
      </c>
      <c r="E156">
        <v>1</v>
      </c>
      <c r="F156">
        <v>106.47</v>
      </c>
      <c r="G156">
        <v>106.47</v>
      </c>
    </row>
    <row r="157" spans="1:7" x14ac:dyDescent="0.3">
      <c r="A157" t="s">
        <v>557</v>
      </c>
      <c r="B157">
        <v>24685</v>
      </c>
      <c r="C157" t="s">
        <v>5055</v>
      </c>
      <c r="D157" t="s">
        <v>458</v>
      </c>
      <c r="E157">
        <v>1</v>
      </c>
      <c r="F157">
        <v>147.25</v>
      </c>
      <c r="G157">
        <v>147.25</v>
      </c>
    </row>
    <row r="158" spans="1:7" x14ac:dyDescent="0.3">
      <c r="A158" t="s">
        <v>557</v>
      </c>
      <c r="B158">
        <v>18315</v>
      </c>
      <c r="C158" t="s">
        <v>4922</v>
      </c>
      <c r="D158" t="s">
        <v>458</v>
      </c>
      <c r="E158">
        <v>5</v>
      </c>
      <c r="F158">
        <v>616.99</v>
      </c>
      <c r="G158">
        <v>123.4</v>
      </c>
    </row>
    <row r="159" spans="1:7" x14ac:dyDescent="0.3">
      <c r="A159" t="s">
        <v>557</v>
      </c>
      <c r="B159">
        <v>19752</v>
      </c>
      <c r="C159" t="s">
        <v>4807</v>
      </c>
      <c r="D159" t="s">
        <v>458</v>
      </c>
      <c r="E159">
        <v>19.5</v>
      </c>
      <c r="F159">
        <v>245.25</v>
      </c>
      <c r="G159">
        <v>12.58</v>
      </c>
    </row>
    <row r="160" spans="1:7" x14ac:dyDescent="0.3">
      <c r="A160" t="s">
        <v>557</v>
      </c>
      <c r="B160">
        <v>19751</v>
      </c>
      <c r="C160" t="s">
        <v>4800</v>
      </c>
      <c r="D160" t="s">
        <v>458</v>
      </c>
      <c r="E160">
        <v>13</v>
      </c>
      <c r="F160">
        <v>137.03</v>
      </c>
      <c r="G160">
        <v>10.54</v>
      </c>
    </row>
    <row r="161" spans="1:7" x14ac:dyDescent="0.3">
      <c r="A161" t="s">
        <v>557</v>
      </c>
      <c r="B161">
        <v>23359</v>
      </c>
      <c r="C161" t="s">
        <v>4767</v>
      </c>
      <c r="D161" t="s">
        <v>458</v>
      </c>
      <c r="E161">
        <v>155</v>
      </c>
      <c r="F161">
        <v>496.5</v>
      </c>
      <c r="G161">
        <v>3.2</v>
      </c>
    </row>
    <row r="162" spans="1:7" x14ac:dyDescent="0.3">
      <c r="A162" t="s">
        <v>557</v>
      </c>
      <c r="B162">
        <v>17182</v>
      </c>
      <c r="C162" t="s">
        <v>5201</v>
      </c>
      <c r="D162" t="s">
        <v>458</v>
      </c>
      <c r="E162">
        <v>1</v>
      </c>
      <c r="F162">
        <v>42</v>
      </c>
      <c r="G162">
        <v>42</v>
      </c>
    </row>
    <row r="163" spans="1:7" x14ac:dyDescent="0.3">
      <c r="A163" t="s">
        <v>557</v>
      </c>
      <c r="B163">
        <v>24331</v>
      </c>
      <c r="C163" t="s">
        <v>5166</v>
      </c>
      <c r="D163" t="s">
        <v>458</v>
      </c>
      <c r="E163">
        <v>5</v>
      </c>
      <c r="F163">
        <v>109.5</v>
      </c>
      <c r="G163">
        <v>21.9</v>
      </c>
    </row>
    <row r="164" spans="1:7" x14ac:dyDescent="0.3">
      <c r="A164" t="s">
        <v>557</v>
      </c>
      <c r="B164">
        <v>20544</v>
      </c>
      <c r="C164" t="s">
        <v>4808</v>
      </c>
      <c r="D164" t="s">
        <v>458</v>
      </c>
      <c r="E164">
        <v>9</v>
      </c>
      <c r="F164">
        <v>1931.22</v>
      </c>
      <c r="G164">
        <v>214.58</v>
      </c>
    </row>
    <row r="165" spans="1:7" x14ac:dyDescent="0.3">
      <c r="A165" t="s">
        <v>557</v>
      </c>
      <c r="B165">
        <v>20501</v>
      </c>
      <c r="C165" t="s">
        <v>4760</v>
      </c>
      <c r="D165" t="s">
        <v>458</v>
      </c>
      <c r="E165">
        <v>45</v>
      </c>
      <c r="F165">
        <v>1023.5</v>
      </c>
      <c r="G165">
        <v>22.74</v>
      </c>
    </row>
    <row r="166" spans="1:7" x14ac:dyDescent="0.3">
      <c r="A166" t="s">
        <v>557</v>
      </c>
      <c r="B166">
        <v>17504</v>
      </c>
      <c r="C166" t="s">
        <v>5260</v>
      </c>
      <c r="D166" t="s">
        <v>458</v>
      </c>
      <c r="E166">
        <v>7</v>
      </c>
      <c r="F166">
        <v>162.5</v>
      </c>
      <c r="G166">
        <v>23.21</v>
      </c>
    </row>
    <row r="167" spans="1:7" x14ac:dyDescent="0.3">
      <c r="A167" t="s">
        <v>557</v>
      </c>
      <c r="B167">
        <v>23349</v>
      </c>
      <c r="C167" t="s">
        <v>4988</v>
      </c>
      <c r="D167" t="s">
        <v>458</v>
      </c>
      <c r="E167">
        <v>1</v>
      </c>
      <c r="F167">
        <v>11.28</v>
      </c>
      <c r="G167">
        <v>11.28</v>
      </c>
    </row>
    <row r="168" spans="1:7" x14ac:dyDescent="0.3">
      <c r="A168" t="s">
        <v>557</v>
      </c>
      <c r="B168">
        <v>19743</v>
      </c>
      <c r="C168" t="s">
        <v>5047</v>
      </c>
      <c r="D168" t="s">
        <v>458</v>
      </c>
      <c r="E168">
        <v>1.1000000000000001</v>
      </c>
      <c r="F168">
        <v>15.95</v>
      </c>
      <c r="G168">
        <v>14.5</v>
      </c>
    </row>
    <row r="169" spans="1:7" x14ac:dyDescent="0.3">
      <c r="A169" t="s">
        <v>557</v>
      </c>
      <c r="B169">
        <v>20138</v>
      </c>
      <c r="C169" t="s">
        <v>4886</v>
      </c>
      <c r="D169" t="s">
        <v>458</v>
      </c>
      <c r="E169">
        <v>3</v>
      </c>
      <c r="F169">
        <v>15.6</v>
      </c>
      <c r="G169">
        <v>5.2</v>
      </c>
    </row>
    <row r="170" spans="1:7" x14ac:dyDescent="0.3">
      <c r="A170" t="s">
        <v>557</v>
      </c>
      <c r="B170">
        <v>25022</v>
      </c>
      <c r="C170" t="s">
        <v>4912</v>
      </c>
      <c r="D170" t="s">
        <v>458</v>
      </c>
      <c r="E170">
        <v>6</v>
      </c>
      <c r="F170">
        <v>22.2</v>
      </c>
      <c r="G170">
        <v>3.7</v>
      </c>
    </row>
    <row r="171" spans="1:7" x14ac:dyDescent="0.3">
      <c r="A171" t="s">
        <v>557</v>
      </c>
      <c r="B171">
        <v>20007</v>
      </c>
      <c r="C171" t="s">
        <v>5101</v>
      </c>
      <c r="D171" t="s">
        <v>458</v>
      </c>
      <c r="E171">
        <v>3</v>
      </c>
      <c r="F171">
        <v>143.4</v>
      </c>
      <c r="G171">
        <v>47.8</v>
      </c>
    </row>
    <row r="172" spans="1:7" x14ac:dyDescent="0.3">
      <c r="A172" t="s">
        <v>557</v>
      </c>
      <c r="B172">
        <v>19742</v>
      </c>
      <c r="C172" t="s">
        <v>4900</v>
      </c>
      <c r="D172" t="s">
        <v>458</v>
      </c>
      <c r="E172">
        <v>5.9</v>
      </c>
      <c r="F172">
        <v>54.34</v>
      </c>
      <c r="G172">
        <v>9.2100000000000009</v>
      </c>
    </row>
    <row r="173" spans="1:7" x14ac:dyDescent="0.3">
      <c r="A173" t="s">
        <v>557</v>
      </c>
      <c r="B173">
        <v>23228</v>
      </c>
      <c r="C173" t="s">
        <v>4782</v>
      </c>
      <c r="D173" t="s">
        <v>458</v>
      </c>
      <c r="E173">
        <v>14</v>
      </c>
      <c r="F173">
        <v>92.74</v>
      </c>
      <c r="G173">
        <v>6.62</v>
      </c>
    </row>
    <row r="174" spans="1:7" x14ac:dyDescent="0.3">
      <c r="A174" t="s">
        <v>557</v>
      </c>
      <c r="B174">
        <v>23346</v>
      </c>
      <c r="C174" t="s">
        <v>4916</v>
      </c>
      <c r="D174" t="s">
        <v>458</v>
      </c>
      <c r="E174">
        <v>13.2</v>
      </c>
      <c r="F174">
        <v>85.69</v>
      </c>
      <c r="G174">
        <v>6.49</v>
      </c>
    </row>
    <row r="175" spans="1:7" x14ac:dyDescent="0.3">
      <c r="A175" t="s">
        <v>557</v>
      </c>
      <c r="B175">
        <v>26631</v>
      </c>
      <c r="C175" t="s">
        <v>5423</v>
      </c>
      <c r="D175" t="s">
        <v>458</v>
      </c>
      <c r="E175">
        <v>0.2</v>
      </c>
      <c r="F175">
        <v>9.6</v>
      </c>
      <c r="G175">
        <v>48</v>
      </c>
    </row>
    <row r="176" spans="1:7" x14ac:dyDescent="0.3">
      <c r="A176" t="s">
        <v>557</v>
      </c>
      <c r="B176">
        <v>19476</v>
      </c>
      <c r="C176" t="s">
        <v>5115</v>
      </c>
      <c r="D176" t="s">
        <v>458</v>
      </c>
      <c r="E176">
        <v>1.3</v>
      </c>
      <c r="F176">
        <v>88</v>
      </c>
      <c r="G176">
        <v>67.69</v>
      </c>
    </row>
    <row r="177" spans="1:7" x14ac:dyDescent="0.3">
      <c r="A177" t="s">
        <v>557</v>
      </c>
      <c r="B177">
        <v>23088</v>
      </c>
      <c r="C177" t="s">
        <v>5027</v>
      </c>
      <c r="D177" t="s">
        <v>458</v>
      </c>
      <c r="E177">
        <v>3</v>
      </c>
      <c r="F177">
        <v>75.88</v>
      </c>
      <c r="G177">
        <v>25.29</v>
      </c>
    </row>
    <row r="178" spans="1:7" x14ac:dyDescent="0.3">
      <c r="A178" t="s">
        <v>557</v>
      </c>
      <c r="B178">
        <v>19224</v>
      </c>
      <c r="C178" t="s">
        <v>5100</v>
      </c>
      <c r="D178" t="s">
        <v>458</v>
      </c>
      <c r="E178">
        <v>2</v>
      </c>
      <c r="F178">
        <v>495.8</v>
      </c>
      <c r="G178">
        <v>247.9</v>
      </c>
    </row>
    <row r="179" spans="1:7" x14ac:dyDescent="0.3">
      <c r="A179" t="s">
        <v>557</v>
      </c>
      <c r="B179">
        <v>19740</v>
      </c>
      <c r="C179" t="s">
        <v>4779</v>
      </c>
      <c r="D179" t="s">
        <v>458</v>
      </c>
      <c r="E179">
        <v>56</v>
      </c>
      <c r="F179">
        <v>848.75</v>
      </c>
      <c r="G179">
        <v>15.16</v>
      </c>
    </row>
    <row r="180" spans="1:7" x14ac:dyDescent="0.3">
      <c r="A180" t="s">
        <v>557</v>
      </c>
      <c r="B180">
        <v>19415</v>
      </c>
      <c r="C180" t="s">
        <v>4919</v>
      </c>
      <c r="D180" t="s">
        <v>458</v>
      </c>
      <c r="E180">
        <v>4</v>
      </c>
      <c r="F180">
        <v>31.6</v>
      </c>
      <c r="G180">
        <v>7.9</v>
      </c>
    </row>
    <row r="181" spans="1:7" x14ac:dyDescent="0.3">
      <c r="A181" t="s">
        <v>557</v>
      </c>
      <c r="B181">
        <v>17473</v>
      </c>
      <c r="C181" t="s">
        <v>5256</v>
      </c>
      <c r="D181" t="s">
        <v>458</v>
      </c>
      <c r="E181">
        <v>1</v>
      </c>
      <c r="F181">
        <v>88</v>
      </c>
      <c r="G181">
        <v>88</v>
      </c>
    </row>
    <row r="182" spans="1:7" x14ac:dyDescent="0.3">
      <c r="A182" t="s">
        <v>557</v>
      </c>
      <c r="B182">
        <v>24351</v>
      </c>
      <c r="C182" t="s">
        <v>5014</v>
      </c>
      <c r="D182" t="s">
        <v>458</v>
      </c>
      <c r="E182">
        <v>45</v>
      </c>
      <c r="F182">
        <v>540</v>
      </c>
      <c r="G182">
        <v>12</v>
      </c>
    </row>
    <row r="183" spans="1:7" x14ac:dyDescent="0.3">
      <c r="A183" t="s">
        <v>557</v>
      </c>
      <c r="B183">
        <v>20105</v>
      </c>
      <c r="C183" t="s">
        <v>4831</v>
      </c>
      <c r="D183" t="s">
        <v>458</v>
      </c>
      <c r="E183">
        <v>5</v>
      </c>
      <c r="F183">
        <v>67.75</v>
      </c>
      <c r="G183">
        <v>13.55</v>
      </c>
    </row>
    <row r="184" spans="1:7" x14ac:dyDescent="0.3">
      <c r="A184" t="s">
        <v>557</v>
      </c>
      <c r="B184">
        <v>25075</v>
      </c>
      <c r="C184" t="s">
        <v>4790</v>
      </c>
      <c r="D184" t="s">
        <v>458</v>
      </c>
      <c r="E184">
        <v>6</v>
      </c>
      <c r="F184">
        <v>53.7</v>
      </c>
      <c r="G184">
        <v>8.9499999999999993</v>
      </c>
    </row>
    <row r="185" spans="1:7" x14ac:dyDescent="0.3">
      <c r="A185" t="s">
        <v>557</v>
      </c>
      <c r="B185">
        <v>20887</v>
      </c>
      <c r="C185" t="s">
        <v>4953</v>
      </c>
      <c r="D185" t="s">
        <v>458</v>
      </c>
      <c r="E185">
        <v>2</v>
      </c>
      <c r="F185">
        <v>69.8</v>
      </c>
      <c r="G185">
        <v>34.9</v>
      </c>
    </row>
    <row r="186" spans="1:7" x14ac:dyDescent="0.3">
      <c r="A186" t="s">
        <v>557</v>
      </c>
      <c r="B186">
        <v>20871</v>
      </c>
      <c r="C186" t="s">
        <v>5015</v>
      </c>
      <c r="D186" t="s">
        <v>458</v>
      </c>
      <c r="E186">
        <v>2</v>
      </c>
      <c r="F186">
        <v>37</v>
      </c>
      <c r="G186">
        <v>18.5</v>
      </c>
    </row>
    <row r="187" spans="1:7" x14ac:dyDescent="0.3">
      <c r="A187" t="s">
        <v>557</v>
      </c>
      <c r="B187">
        <v>19737</v>
      </c>
      <c r="C187" t="s">
        <v>4940</v>
      </c>
      <c r="D187" t="s">
        <v>458</v>
      </c>
      <c r="E187">
        <v>9.1999999999999993</v>
      </c>
      <c r="F187">
        <v>38.549999999999997</v>
      </c>
      <c r="G187">
        <v>4.1900000000000004</v>
      </c>
    </row>
    <row r="188" spans="1:7" x14ac:dyDescent="0.3">
      <c r="A188" t="s">
        <v>557</v>
      </c>
      <c r="B188">
        <v>19734</v>
      </c>
      <c r="C188" t="s">
        <v>4833</v>
      </c>
      <c r="D188" t="s">
        <v>458</v>
      </c>
      <c r="E188">
        <v>34.5</v>
      </c>
      <c r="F188">
        <v>474.38</v>
      </c>
      <c r="G188">
        <v>13.75</v>
      </c>
    </row>
    <row r="189" spans="1:7" x14ac:dyDescent="0.3">
      <c r="A189" t="s">
        <v>557</v>
      </c>
      <c r="B189">
        <v>20644</v>
      </c>
      <c r="C189" t="s">
        <v>5016</v>
      </c>
      <c r="D189" t="s">
        <v>458</v>
      </c>
      <c r="E189">
        <v>3</v>
      </c>
      <c r="F189">
        <v>10.199999999999999</v>
      </c>
      <c r="G189">
        <v>3.4</v>
      </c>
    </row>
    <row r="190" spans="1:7" x14ac:dyDescent="0.3">
      <c r="A190" t="s">
        <v>557</v>
      </c>
      <c r="B190">
        <v>19978</v>
      </c>
      <c r="C190" t="s">
        <v>4887</v>
      </c>
      <c r="D190" t="s">
        <v>458</v>
      </c>
      <c r="E190">
        <v>2</v>
      </c>
      <c r="F190">
        <v>36.200000000000003</v>
      </c>
      <c r="G190">
        <v>18.100000000000001</v>
      </c>
    </row>
    <row r="191" spans="1:7" x14ac:dyDescent="0.3">
      <c r="A191" t="s">
        <v>557</v>
      </c>
      <c r="B191">
        <v>23515</v>
      </c>
      <c r="C191" t="s">
        <v>4816</v>
      </c>
      <c r="D191" t="s">
        <v>458</v>
      </c>
      <c r="E191">
        <v>5</v>
      </c>
      <c r="F191">
        <v>104</v>
      </c>
      <c r="G191">
        <v>20.8</v>
      </c>
    </row>
    <row r="192" spans="1:7" x14ac:dyDescent="0.3">
      <c r="A192" t="s">
        <v>557</v>
      </c>
      <c r="B192">
        <v>19983</v>
      </c>
      <c r="C192" t="s">
        <v>5068</v>
      </c>
      <c r="D192" t="s">
        <v>458</v>
      </c>
      <c r="E192">
        <v>2</v>
      </c>
      <c r="F192">
        <v>39.6</v>
      </c>
      <c r="G192">
        <v>19.8</v>
      </c>
    </row>
    <row r="193" spans="1:7" x14ac:dyDescent="0.3">
      <c r="A193" t="s">
        <v>557</v>
      </c>
      <c r="B193">
        <v>19969</v>
      </c>
      <c r="C193" t="s">
        <v>5018</v>
      </c>
      <c r="D193" t="s">
        <v>458</v>
      </c>
      <c r="E193">
        <v>1</v>
      </c>
      <c r="F193">
        <v>10.1</v>
      </c>
      <c r="G193">
        <v>10.1</v>
      </c>
    </row>
    <row r="194" spans="1:7" x14ac:dyDescent="0.3">
      <c r="A194" t="s">
        <v>557</v>
      </c>
      <c r="B194">
        <v>23335</v>
      </c>
      <c r="C194" t="s">
        <v>4961</v>
      </c>
      <c r="D194" t="s">
        <v>458</v>
      </c>
      <c r="E194">
        <v>10</v>
      </c>
      <c r="F194">
        <v>196.8</v>
      </c>
      <c r="G194">
        <v>19.68</v>
      </c>
    </row>
    <row r="195" spans="1:7" x14ac:dyDescent="0.3">
      <c r="A195" t="s">
        <v>557</v>
      </c>
      <c r="B195">
        <v>19967</v>
      </c>
      <c r="C195" t="s">
        <v>4956</v>
      </c>
      <c r="D195" t="s">
        <v>458</v>
      </c>
      <c r="E195">
        <v>3</v>
      </c>
      <c r="F195">
        <v>144.6</v>
      </c>
      <c r="G195">
        <v>48.2</v>
      </c>
    </row>
    <row r="196" spans="1:7" x14ac:dyDescent="0.3">
      <c r="A196" t="s">
        <v>557</v>
      </c>
      <c r="B196">
        <v>27397</v>
      </c>
      <c r="C196" t="s">
        <v>4913</v>
      </c>
      <c r="D196" t="s">
        <v>458</v>
      </c>
      <c r="E196">
        <v>5</v>
      </c>
      <c r="F196">
        <v>305.5</v>
      </c>
      <c r="G196">
        <v>61.1</v>
      </c>
    </row>
    <row r="197" spans="1:7" x14ac:dyDescent="0.3">
      <c r="A197" t="s">
        <v>557</v>
      </c>
      <c r="B197">
        <v>20984</v>
      </c>
      <c r="C197" t="s">
        <v>5133</v>
      </c>
      <c r="D197" t="s">
        <v>458</v>
      </c>
      <c r="E197">
        <v>20</v>
      </c>
      <c r="F197">
        <v>177.4</v>
      </c>
      <c r="G197">
        <v>8.8699999999999992</v>
      </c>
    </row>
    <row r="198" spans="1:7" x14ac:dyDescent="0.3">
      <c r="A198" t="s">
        <v>557</v>
      </c>
      <c r="B198">
        <v>23096</v>
      </c>
      <c r="C198" t="s">
        <v>5164</v>
      </c>
      <c r="D198" t="s">
        <v>458</v>
      </c>
      <c r="E198">
        <v>60</v>
      </c>
      <c r="F198">
        <v>34.799999999999997</v>
      </c>
      <c r="G198">
        <v>0.57999999999999996</v>
      </c>
    </row>
    <row r="199" spans="1:7" x14ac:dyDescent="0.3">
      <c r="A199" t="s">
        <v>557</v>
      </c>
      <c r="B199">
        <v>23095</v>
      </c>
      <c r="C199" t="s">
        <v>4741</v>
      </c>
      <c r="D199" t="s">
        <v>458</v>
      </c>
      <c r="E199">
        <v>530</v>
      </c>
      <c r="F199">
        <v>498.2</v>
      </c>
      <c r="G199">
        <v>0.94</v>
      </c>
    </row>
    <row r="200" spans="1:7" x14ac:dyDescent="0.3">
      <c r="A200" t="s">
        <v>557</v>
      </c>
      <c r="B200">
        <v>23785</v>
      </c>
      <c r="C200" t="s">
        <v>4858</v>
      </c>
      <c r="D200" t="s">
        <v>458</v>
      </c>
      <c r="E200">
        <v>17</v>
      </c>
      <c r="F200">
        <v>674</v>
      </c>
      <c r="G200">
        <v>39.65</v>
      </c>
    </row>
    <row r="201" spans="1:7" x14ac:dyDescent="0.3">
      <c r="A201" t="s">
        <v>557</v>
      </c>
      <c r="B201">
        <v>20623</v>
      </c>
      <c r="C201" t="s">
        <v>4814</v>
      </c>
      <c r="D201" t="s">
        <v>458</v>
      </c>
      <c r="E201">
        <v>20</v>
      </c>
      <c r="F201">
        <v>221.4</v>
      </c>
      <c r="G201">
        <v>11.07</v>
      </c>
    </row>
    <row r="202" spans="1:7" x14ac:dyDescent="0.3">
      <c r="A202" t="s">
        <v>557</v>
      </c>
      <c r="B202">
        <v>20624</v>
      </c>
      <c r="C202" t="s">
        <v>5019</v>
      </c>
      <c r="D202" t="s">
        <v>458</v>
      </c>
      <c r="E202">
        <v>1</v>
      </c>
      <c r="F202">
        <v>67.5</v>
      </c>
      <c r="G202">
        <v>67.5</v>
      </c>
    </row>
    <row r="203" spans="1:7" x14ac:dyDescent="0.3">
      <c r="A203" t="s">
        <v>557</v>
      </c>
      <c r="B203">
        <v>17162</v>
      </c>
      <c r="C203" t="s">
        <v>5255</v>
      </c>
      <c r="D203" t="s">
        <v>458</v>
      </c>
      <c r="E203">
        <v>1</v>
      </c>
      <c r="F203">
        <v>59</v>
      </c>
      <c r="G203">
        <v>59</v>
      </c>
    </row>
    <row r="204" spans="1:7" x14ac:dyDescent="0.3">
      <c r="A204" t="s">
        <v>557</v>
      </c>
      <c r="B204">
        <v>17042</v>
      </c>
      <c r="C204" t="s">
        <v>4748</v>
      </c>
      <c r="D204" t="s">
        <v>458</v>
      </c>
      <c r="E204">
        <v>240</v>
      </c>
      <c r="F204">
        <v>345.6</v>
      </c>
      <c r="G204">
        <v>1.44</v>
      </c>
    </row>
    <row r="205" spans="1:7" x14ac:dyDescent="0.3">
      <c r="A205" t="s">
        <v>557</v>
      </c>
      <c r="B205">
        <v>17046</v>
      </c>
      <c r="C205" t="s">
        <v>5194</v>
      </c>
      <c r="D205" t="s">
        <v>458</v>
      </c>
      <c r="E205">
        <v>3</v>
      </c>
      <c r="F205">
        <v>117.7</v>
      </c>
      <c r="G205">
        <v>39.229999999999997</v>
      </c>
    </row>
    <row r="206" spans="1:7" x14ac:dyDescent="0.3">
      <c r="A206" t="s">
        <v>557</v>
      </c>
      <c r="B206">
        <v>17333</v>
      </c>
      <c r="C206" t="s">
        <v>5211</v>
      </c>
      <c r="D206" t="s">
        <v>458</v>
      </c>
      <c r="E206">
        <v>6</v>
      </c>
      <c r="F206">
        <v>465</v>
      </c>
      <c r="G206">
        <v>77.5</v>
      </c>
    </row>
    <row r="207" spans="1:7" x14ac:dyDescent="0.3">
      <c r="A207" t="s">
        <v>557</v>
      </c>
      <c r="B207">
        <v>17341</v>
      </c>
      <c r="C207" t="s">
        <v>5291</v>
      </c>
      <c r="D207" t="s">
        <v>458</v>
      </c>
      <c r="E207">
        <v>1</v>
      </c>
      <c r="F207">
        <v>62.9</v>
      </c>
      <c r="G207">
        <v>62.9</v>
      </c>
    </row>
    <row r="208" spans="1:7" x14ac:dyDescent="0.3">
      <c r="A208" t="s">
        <v>557</v>
      </c>
      <c r="B208">
        <v>27798</v>
      </c>
      <c r="C208" t="s">
        <v>5257</v>
      </c>
      <c r="D208" t="s">
        <v>458</v>
      </c>
      <c r="E208">
        <v>3</v>
      </c>
      <c r="F208">
        <v>525</v>
      </c>
      <c r="G208">
        <v>175</v>
      </c>
    </row>
    <row r="209" spans="1:7" x14ac:dyDescent="0.3">
      <c r="A209" t="s">
        <v>557</v>
      </c>
      <c r="B209">
        <v>24758</v>
      </c>
      <c r="C209" t="s">
        <v>5326</v>
      </c>
      <c r="D209" t="s">
        <v>458</v>
      </c>
      <c r="E209">
        <v>2</v>
      </c>
      <c r="F209">
        <v>57.8</v>
      </c>
      <c r="G209">
        <v>28.9</v>
      </c>
    </row>
    <row r="210" spans="1:7" x14ac:dyDescent="0.3">
      <c r="A210" t="s">
        <v>557</v>
      </c>
      <c r="B210">
        <v>17418</v>
      </c>
      <c r="C210" t="s">
        <v>5207</v>
      </c>
      <c r="D210" t="s">
        <v>458</v>
      </c>
      <c r="E210">
        <v>6</v>
      </c>
      <c r="F210">
        <v>372</v>
      </c>
      <c r="G210">
        <v>62</v>
      </c>
    </row>
    <row r="211" spans="1:7" x14ac:dyDescent="0.3">
      <c r="A211" t="s">
        <v>557</v>
      </c>
      <c r="B211">
        <v>24843</v>
      </c>
      <c r="C211" t="s">
        <v>5422</v>
      </c>
      <c r="D211" t="s">
        <v>458</v>
      </c>
      <c r="E211">
        <v>3</v>
      </c>
      <c r="F211">
        <v>186</v>
      </c>
      <c r="G211">
        <v>62</v>
      </c>
    </row>
    <row r="212" spans="1:7" x14ac:dyDescent="0.3">
      <c r="A212" t="s">
        <v>557</v>
      </c>
      <c r="B212">
        <v>17416</v>
      </c>
      <c r="C212" t="s">
        <v>5209</v>
      </c>
      <c r="D212" t="s">
        <v>458</v>
      </c>
      <c r="E212">
        <v>10</v>
      </c>
      <c r="F212">
        <v>552.20000000000005</v>
      </c>
      <c r="G212">
        <v>55.22</v>
      </c>
    </row>
    <row r="213" spans="1:7" x14ac:dyDescent="0.3">
      <c r="A213" t="s">
        <v>557</v>
      </c>
      <c r="B213">
        <v>24505</v>
      </c>
      <c r="C213" t="s">
        <v>5198</v>
      </c>
      <c r="D213" t="s">
        <v>458</v>
      </c>
      <c r="E213">
        <v>14</v>
      </c>
      <c r="F213">
        <v>82.46</v>
      </c>
      <c r="G213">
        <v>5.89</v>
      </c>
    </row>
    <row r="214" spans="1:7" x14ac:dyDescent="0.3">
      <c r="A214" t="s">
        <v>557</v>
      </c>
      <c r="B214">
        <v>23502</v>
      </c>
      <c r="C214" t="s">
        <v>4930</v>
      </c>
      <c r="D214" t="s">
        <v>458</v>
      </c>
      <c r="E214">
        <v>1</v>
      </c>
      <c r="F214">
        <v>12.92</v>
      </c>
      <c r="G214">
        <v>12.92</v>
      </c>
    </row>
    <row r="215" spans="1:7" x14ac:dyDescent="0.3">
      <c r="A215" t="s">
        <v>557</v>
      </c>
      <c r="B215">
        <v>18832</v>
      </c>
      <c r="C215" t="s">
        <v>4785</v>
      </c>
      <c r="D215" t="s">
        <v>458</v>
      </c>
      <c r="E215">
        <v>31.3</v>
      </c>
      <c r="F215">
        <v>1311.47</v>
      </c>
      <c r="G215">
        <v>41.9</v>
      </c>
    </row>
    <row r="216" spans="1:7" x14ac:dyDescent="0.3">
      <c r="A216" t="s">
        <v>557</v>
      </c>
      <c r="B216">
        <v>24403</v>
      </c>
      <c r="C216" t="s">
        <v>5149</v>
      </c>
      <c r="D216" t="s">
        <v>458</v>
      </c>
      <c r="E216">
        <v>3</v>
      </c>
      <c r="F216">
        <v>36</v>
      </c>
      <c r="G216">
        <v>12</v>
      </c>
    </row>
    <row r="217" spans="1:7" x14ac:dyDescent="0.3">
      <c r="A217" t="s">
        <v>557</v>
      </c>
      <c r="B217">
        <v>18996</v>
      </c>
      <c r="C217" t="s">
        <v>5130</v>
      </c>
      <c r="D217" t="s">
        <v>458</v>
      </c>
      <c r="E217">
        <v>13.5</v>
      </c>
      <c r="F217">
        <v>249.75</v>
      </c>
      <c r="G217">
        <v>18.5</v>
      </c>
    </row>
    <row r="218" spans="1:7" x14ac:dyDescent="0.3">
      <c r="A218" t="s">
        <v>557</v>
      </c>
      <c r="B218">
        <v>19589</v>
      </c>
      <c r="C218" t="s">
        <v>4983</v>
      </c>
      <c r="D218" t="s">
        <v>458</v>
      </c>
      <c r="E218">
        <v>16</v>
      </c>
      <c r="F218">
        <v>58.1</v>
      </c>
      <c r="G218">
        <v>3.63</v>
      </c>
    </row>
    <row r="219" spans="1:7" x14ac:dyDescent="0.3">
      <c r="A219" t="s">
        <v>557</v>
      </c>
      <c r="B219">
        <v>17895</v>
      </c>
      <c r="C219" t="s">
        <v>5086</v>
      </c>
      <c r="D219" t="s">
        <v>458</v>
      </c>
      <c r="E219">
        <v>15</v>
      </c>
      <c r="F219">
        <v>424.8</v>
      </c>
      <c r="G219">
        <v>28.32</v>
      </c>
    </row>
    <row r="220" spans="1:7" x14ac:dyDescent="0.3">
      <c r="A220" t="s">
        <v>557</v>
      </c>
      <c r="B220">
        <v>17886</v>
      </c>
      <c r="C220" t="s">
        <v>5083</v>
      </c>
      <c r="D220" t="s">
        <v>458</v>
      </c>
      <c r="E220">
        <v>31</v>
      </c>
      <c r="F220">
        <v>877.92</v>
      </c>
      <c r="G220">
        <v>28.32</v>
      </c>
    </row>
    <row r="221" spans="1:7" x14ac:dyDescent="0.3">
      <c r="A221" t="s">
        <v>557</v>
      </c>
      <c r="B221">
        <v>19728</v>
      </c>
      <c r="C221" t="s">
        <v>5106</v>
      </c>
      <c r="D221" t="s">
        <v>458</v>
      </c>
      <c r="E221">
        <v>4</v>
      </c>
      <c r="F221">
        <v>57</v>
      </c>
      <c r="G221">
        <v>14.25</v>
      </c>
    </row>
    <row r="222" spans="1:7" x14ac:dyDescent="0.3">
      <c r="A222" t="s">
        <v>557</v>
      </c>
      <c r="B222">
        <v>18735</v>
      </c>
      <c r="C222" t="s">
        <v>4891</v>
      </c>
      <c r="D222" t="s">
        <v>458</v>
      </c>
      <c r="E222">
        <v>15.4</v>
      </c>
      <c r="F222">
        <v>1166.8</v>
      </c>
      <c r="G222">
        <v>75.77</v>
      </c>
    </row>
    <row r="223" spans="1:7" x14ac:dyDescent="0.3">
      <c r="A223" t="s">
        <v>557</v>
      </c>
      <c r="B223">
        <v>18822</v>
      </c>
      <c r="C223" t="s">
        <v>4811</v>
      </c>
      <c r="D223" t="s">
        <v>458</v>
      </c>
      <c r="E223">
        <v>146.6</v>
      </c>
      <c r="F223">
        <v>16125.12</v>
      </c>
      <c r="G223">
        <v>109.99</v>
      </c>
    </row>
    <row r="224" spans="1:7" x14ac:dyDescent="0.3">
      <c r="A224" t="s">
        <v>557</v>
      </c>
      <c r="B224">
        <v>21548</v>
      </c>
      <c r="C224" t="s">
        <v>5413</v>
      </c>
      <c r="D224" t="s">
        <v>458</v>
      </c>
      <c r="E224">
        <v>20.7</v>
      </c>
      <c r="F224">
        <v>2401.1999999999998</v>
      </c>
      <c r="G224">
        <v>116</v>
      </c>
    </row>
    <row r="225" spans="1:7" x14ac:dyDescent="0.3">
      <c r="A225" t="s">
        <v>557</v>
      </c>
      <c r="B225">
        <v>27757</v>
      </c>
      <c r="C225" t="s">
        <v>4942</v>
      </c>
      <c r="D225" t="s">
        <v>458</v>
      </c>
      <c r="E225">
        <v>14</v>
      </c>
      <c r="F225">
        <v>92.54</v>
      </c>
      <c r="G225">
        <v>6.61</v>
      </c>
    </row>
    <row r="226" spans="1:7" x14ac:dyDescent="0.3">
      <c r="A226" t="s">
        <v>557</v>
      </c>
      <c r="B226">
        <v>25748</v>
      </c>
      <c r="C226" t="s">
        <v>4999</v>
      </c>
      <c r="D226" t="s">
        <v>458</v>
      </c>
      <c r="E226">
        <v>14</v>
      </c>
      <c r="F226">
        <v>79.099999999999994</v>
      </c>
      <c r="G226">
        <v>5.65</v>
      </c>
    </row>
    <row r="227" spans="1:7" x14ac:dyDescent="0.3">
      <c r="A227" t="s">
        <v>557</v>
      </c>
      <c r="B227">
        <v>25756</v>
      </c>
      <c r="C227" t="s">
        <v>4854</v>
      </c>
      <c r="D227" t="s">
        <v>458</v>
      </c>
      <c r="E227">
        <v>14</v>
      </c>
      <c r="F227">
        <v>111.86</v>
      </c>
      <c r="G227">
        <v>7.99</v>
      </c>
    </row>
    <row r="228" spans="1:7" x14ac:dyDescent="0.3">
      <c r="A228" t="s">
        <v>557</v>
      </c>
      <c r="B228">
        <v>25759</v>
      </c>
      <c r="C228" t="s">
        <v>4877</v>
      </c>
      <c r="D228" t="s">
        <v>458</v>
      </c>
      <c r="E228">
        <v>14</v>
      </c>
      <c r="F228">
        <v>107.1</v>
      </c>
      <c r="G228">
        <v>7.65</v>
      </c>
    </row>
    <row r="229" spans="1:7" x14ac:dyDescent="0.3">
      <c r="A229" t="s">
        <v>557</v>
      </c>
      <c r="B229">
        <v>25752</v>
      </c>
      <c r="C229" t="s">
        <v>5000</v>
      </c>
      <c r="D229" t="s">
        <v>458</v>
      </c>
      <c r="E229">
        <v>14</v>
      </c>
      <c r="F229">
        <v>92.54</v>
      </c>
      <c r="G229">
        <v>6.61</v>
      </c>
    </row>
    <row r="230" spans="1:7" x14ac:dyDescent="0.3">
      <c r="A230" t="s">
        <v>557</v>
      </c>
      <c r="B230">
        <v>19572</v>
      </c>
      <c r="C230" t="s">
        <v>4989</v>
      </c>
      <c r="D230" t="s">
        <v>458</v>
      </c>
      <c r="E230">
        <v>4</v>
      </c>
      <c r="F230">
        <v>69.7</v>
      </c>
      <c r="G230">
        <v>17.43</v>
      </c>
    </row>
    <row r="231" spans="1:7" x14ac:dyDescent="0.3">
      <c r="A231" t="s">
        <v>557</v>
      </c>
      <c r="B231">
        <v>19923</v>
      </c>
      <c r="C231" t="s">
        <v>5069</v>
      </c>
      <c r="D231" t="s">
        <v>458</v>
      </c>
      <c r="E231">
        <v>1</v>
      </c>
      <c r="F231">
        <v>39.9</v>
      </c>
      <c r="G231">
        <v>39.9</v>
      </c>
    </row>
    <row r="232" spans="1:7" x14ac:dyDescent="0.3">
      <c r="A232" t="s">
        <v>557</v>
      </c>
      <c r="B232">
        <v>19562</v>
      </c>
      <c r="C232" t="s">
        <v>4939</v>
      </c>
      <c r="D232" t="s">
        <v>458</v>
      </c>
      <c r="E232">
        <v>3.2</v>
      </c>
      <c r="F232">
        <v>46.65</v>
      </c>
      <c r="G232">
        <v>14.58</v>
      </c>
    </row>
    <row r="233" spans="1:7" x14ac:dyDescent="0.3">
      <c r="A233" t="s">
        <v>557</v>
      </c>
      <c r="B233">
        <v>23198</v>
      </c>
      <c r="C233" t="s">
        <v>4962</v>
      </c>
      <c r="D233" t="s">
        <v>458</v>
      </c>
      <c r="E233">
        <v>3.7</v>
      </c>
      <c r="F233">
        <v>52.65</v>
      </c>
      <c r="G233">
        <v>14.23</v>
      </c>
    </row>
    <row r="234" spans="1:7" x14ac:dyDescent="0.3">
      <c r="A234" t="s">
        <v>557</v>
      </c>
      <c r="B234">
        <v>19790</v>
      </c>
      <c r="C234" t="s">
        <v>5073</v>
      </c>
      <c r="D234" t="s">
        <v>458</v>
      </c>
      <c r="E234">
        <v>5</v>
      </c>
      <c r="F234">
        <v>178.15</v>
      </c>
      <c r="G234">
        <v>35.630000000000003</v>
      </c>
    </row>
    <row r="235" spans="1:7" x14ac:dyDescent="0.3">
      <c r="A235" t="s">
        <v>557</v>
      </c>
      <c r="B235">
        <v>26944</v>
      </c>
      <c r="C235" t="s">
        <v>5325</v>
      </c>
      <c r="D235" t="s">
        <v>458</v>
      </c>
      <c r="E235">
        <v>1</v>
      </c>
      <c r="F235">
        <v>230</v>
      </c>
      <c r="G235">
        <v>230</v>
      </c>
    </row>
    <row r="236" spans="1:7" x14ac:dyDescent="0.3">
      <c r="A236" t="s">
        <v>557</v>
      </c>
      <c r="B236">
        <v>19356</v>
      </c>
      <c r="C236" t="s">
        <v>4799</v>
      </c>
      <c r="D236" t="s">
        <v>458</v>
      </c>
      <c r="E236">
        <v>12.66</v>
      </c>
      <c r="F236">
        <v>702.63</v>
      </c>
      <c r="G236">
        <v>55.5</v>
      </c>
    </row>
    <row r="237" spans="1:7" x14ac:dyDescent="0.3">
      <c r="A237" t="s">
        <v>557</v>
      </c>
      <c r="B237">
        <v>19346</v>
      </c>
      <c r="C237" t="s">
        <v>4835</v>
      </c>
      <c r="D237" t="s">
        <v>458</v>
      </c>
      <c r="E237">
        <v>3</v>
      </c>
      <c r="F237">
        <v>149.69999999999999</v>
      </c>
      <c r="G237">
        <v>49.9</v>
      </c>
    </row>
    <row r="238" spans="1:7" x14ac:dyDescent="0.3">
      <c r="A238" t="s">
        <v>557</v>
      </c>
      <c r="B238">
        <v>19306</v>
      </c>
      <c r="C238" t="s">
        <v>5111</v>
      </c>
      <c r="D238" t="s">
        <v>458</v>
      </c>
      <c r="E238">
        <v>4</v>
      </c>
      <c r="F238">
        <v>87.6</v>
      </c>
      <c r="G238">
        <v>21.9</v>
      </c>
    </row>
    <row r="239" spans="1:7" x14ac:dyDescent="0.3">
      <c r="A239" t="s">
        <v>557</v>
      </c>
      <c r="B239">
        <v>19322</v>
      </c>
      <c r="C239" t="s">
        <v>4830</v>
      </c>
      <c r="D239" t="s">
        <v>458</v>
      </c>
      <c r="E239">
        <v>16.329999999999998</v>
      </c>
      <c r="F239">
        <v>677.69</v>
      </c>
      <c r="G239">
        <v>41.5</v>
      </c>
    </row>
    <row r="240" spans="1:7" x14ac:dyDescent="0.3">
      <c r="A240" t="s">
        <v>557</v>
      </c>
      <c r="B240">
        <v>19558</v>
      </c>
      <c r="C240" t="s">
        <v>4994</v>
      </c>
      <c r="D240" t="s">
        <v>458</v>
      </c>
      <c r="E240">
        <v>2</v>
      </c>
      <c r="F240">
        <v>23.71</v>
      </c>
      <c r="G240">
        <v>11.86</v>
      </c>
    </row>
    <row r="241" spans="1:7" x14ac:dyDescent="0.3">
      <c r="A241" t="s">
        <v>557</v>
      </c>
      <c r="B241">
        <v>23195</v>
      </c>
      <c r="C241" t="s">
        <v>5051</v>
      </c>
      <c r="D241" t="s">
        <v>458</v>
      </c>
      <c r="E241">
        <v>5.0999999999999996</v>
      </c>
      <c r="F241">
        <v>37.950000000000003</v>
      </c>
      <c r="G241">
        <v>7.44</v>
      </c>
    </row>
    <row r="242" spans="1:7" x14ac:dyDescent="0.3">
      <c r="A242" t="s">
        <v>557</v>
      </c>
      <c r="B242">
        <v>19555</v>
      </c>
      <c r="C242" t="s">
        <v>4903</v>
      </c>
      <c r="D242" t="s">
        <v>458</v>
      </c>
      <c r="E242">
        <v>2</v>
      </c>
      <c r="F242">
        <v>37.5</v>
      </c>
      <c r="G242">
        <v>18.75</v>
      </c>
    </row>
    <row r="243" spans="1:7" x14ac:dyDescent="0.3">
      <c r="A243" t="s">
        <v>557</v>
      </c>
      <c r="B243">
        <v>23934</v>
      </c>
      <c r="C243" t="s">
        <v>4845</v>
      </c>
      <c r="D243" t="s">
        <v>458</v>
      </c>
      <c r="E243">
        <v>3</v>
      </c>
      <c r="F243">
        <v>28.62</v>
      </c>
      <c r="G243">
        <v>9.5399999999999991</v>
      </c>
    </row>
    <row r="244" spans="1:7" x14ac:dyDescent="0.3">
      <c r="A244" t="s">
        <v>557</v>
      </c>
      <c r="B244">
        <v>20791</v>
      </c>
      <c r="C244" t="s">
        <v>5021</v>
      </c>
      <c r="D244" t="s">
        <v>458</v>
      </c>
      <c r="E244">
        <v>1</v>
      </c>
      <c r="F244">
        <v>10.39</v>
      </c>
      <c r="G244">
        <v>10.39</v>
      </c>
    </row>
    <row r="245" spans="1:7" x14ac:dyDescent="0.3">
      <c r="A245" t="s">
        <v>557</v>
      </c>
      <c r="B245">
        <v>20794</v>
      </c>
      <c r="C245" t="s">
        <v>5023</v>
      </c>
      <c r="D245" t="s">
        <v>458</v>
      </c>
      <c r="E245">
        <v>1</v>
      </c>
      <c r="F245">
        <v>10.3</v>
      </c>
      <c r="G245">
        <v>10.3</v>
      </c>
    </row>
    <row r="246" spans="1:7" x14ac:dyDescent="0.3">
      <c r="A246" t="s">
        <v>557</v>
      </c>
      <c r="B246">
        <v>20795</v>
      </c>
      <c r="C246" t="s">
        <v>5024</v>
      </c>
      <c r="D246" t="s">
        <v>458</v>
      </c>
      <c r="E246">
        <v>1</v>
      </c>
      <c r="F246">
        <v>10.3</v>
      </c>
      <c r="G246">
        <v>10.3</v>
      </c>
    </row>
    <row r="247" spans="1:7" x14ac:dyDescent="0.3">
      <c r="A247" t="s">
        <v>557</v>
      </c>
      <c r="B247">
        <v>19553</v>
      </c>
      <c r="C247" t="s">
        <v>4868</v>
      </c>
      <c r="D247" t="s">
        <v>458</v>
      </c>
      <c r="E247">
        <v>2.5</v>
      </c>
      <c r="F247">
        <v>5.75</v>
      </c>
      <c r="G247">
        <v>2.2999999999999998</v>
      </c>
    </row>
    <row r="248" spans="1:7" x14ac:dyDescent="0.3">
      <c r="A248" t="s">
        <v>557</v>
      </c>
      <c r="B248">
        <v>19552</v>
      </c>
      <c r="C248" t="s">
        <v>4860</v>
      </c>
      <c r="D248" t="s">
        <v>458</v>
      </c>
      <c r="E248">
        <v>2</v>
      </c>
      <c r="F248">
        <v>7.7</v>
      </c>
      <c r="G248">
        <v>3.85</v>
      </c>
    </row>
    <row r="249" spans="1:7" x14ac:dyDescent="0.3">
      <c r="A249" t="s">
        <v>557</v>
      </c>
      <c r="B249">
        <v>26005</v>
      </c>
      <c r="C249" t="s">
        <v>4907</v>
      </c>
      <c r="D249" t="s">
        <v>458</v>
      </c>
      <c r="E249">
        <v>12</v>
      </c>
      <c r="F249">
        <v>151.44</v>
      </c>
      <c r="G249">
        <v>12.62</v>
      </c>
    </row>
    <row r="250" spans="1:7" x14ac:dyDescent="0.3">
      <c r="A250" t="s">
        <v>557</v>
      </c>
      <c r="B250">
        <v>17138</v>
      </c>
      <c r="C250" t="s">
        <v>5297</v>
      </c>
      <c r="D250" t="s">
        <v>458</v>
      </c>
      <c r="E250">
        <v>1</v>
      </c>
      <c r="F250">
        <v>10.5</v>
      </c>
      <c r="G250">
        <v>10.5</v>
      </c>
    </row>
    <row r="251" spans="1:7" x14ac:dyDescent="0.3">
      <c r="A251" t="s">
        <v>557</v>
      </c>
      <c r="B251">
        <v>19472</v>
      </c>
      <c r="C251" t="s">
        <v>4906</v>
      </c>
      <c r="D251" t="s">
        <v>458</v>
      </c>
      <c r="E251">
        <v>16.8</v>
      </c>
      <c r="F251">
        <v>223.63</v>
      </c>
      <c r="G251">
        <v>13.31</v>
      </c>
    </row>
    <row r="252" spans="1:7" x14ac:dyDescent="0.3">
      <c r="A252" t="s">
        <v>557</v>
      </c>
      <c r="B252">
        <v>17129</v>
      </c>
      <c r="C252" t="s">
        <v>5202</v>
      </c>
      <c r="D252" t="s">
        <v>458</v>
      </c>
      <c r="E252">
        <v>1</v>
      </c>
      <c r="F252">
        <v>29.9</v>
      </c>
      <c r="G252">
        <v>29.9</v>
      </c>
    </row>
    <row r="253" spans="1:7" x14ac:dyDescent="0.3">
      <c r="A253" t="s">
        <v>557</v>
      </c>
      <c r="B253">
        <v>17437</v>
      </c>
      <c r="C253" t="s">
        <v>5203</v>
      </c>
      <c r="D253" t="s">
        <v>458</v>
      </c>
      <c r="E253">
        <v>23</v>
      </c>
      <c r="F253">
        <v>57.5</v>
      </c>
      <c r="G253">
        <v>2.5</v>
      </c>
    </row>
    <row r="254" spans="1:7" x14ac:dyDescent="0.3">
      <c r="A254" t="s">
        <v>557</v>
      </c>
      <c r="B254">
        <v>21432</v>
      </c>
      <c r="C254" t="s">
        <v>5346</v>
      </c>
      <c r="D254" t="s">
        <v>458</v>
      </c>
      <c r="E254">
        <v>1</v>
      </c>
      <c r="F254">
        <v>118</v>
      </c>
      <c r="G254">
        <v>118</v>
      </c>
    </row>
    <row r="255" spans="1:7" x14ac:dyDescent="0.3">
      <c r="A255" t="s">
        <v>557</v>
      </c>
      <c r="B255">
        <v>21423</v>
      </c>
      <c r="C255" t="s">
        <v>5248</v>
      </c>
      <c r="D255" t="s">
        <v>458</v>
      </c>
      <c r="E255">
        <v>5</v>
      </c>
      <c r="F255">
        <v>179.46</v>
      </c>
      <c r="G255">
        <v>35.89</v>
      </c>
    </row>
    <row r="256" spans="1:7" x14ac:dyDescent="0.3">
      <c r="A256" t="s">
        <v>557</v>
      </c>
      <c r="B256">
        <v>17399</v>
      </c>
      <c r="C256" t="s">
        <v>5244</v>
      </c>
      <c r="D256" t="s">
        <v>458</v>
      </c>
      <c r="E256">
        <v>2</v>
      </c>
      <c r="F256">
        <v>40.9</v>
      </c>
      <c r="G256">
        <v>20.45</v>
      </c>
    </row>
    <row r="257" spans="1:7" x14ac:dyDescent="0.3">
      <c r="A257" t="s">
        <v>557</v>
      </c>
      <c r="B257">
        <v>17397</v>
      </c>
      <c r="C257" t="s">
        <v>5246</v>
      </c>
      <c r="D257" t="s">
        <v>458</v>
      </c>
      <c r="E257">
        <v>2</v>
      </c>
      <c r="F257">
        <v>63.64</v>
      </c>
      <c r="G257">
        <v>31.82</v>
      </c>
    </row>
    <row r="258" spans="1:7" x14ac:dyDescent="0.3">
      <c r="A258" t="s">
        <v>557</v>
      </c>
      <c r="B258">
        <v>24787</v>
      </c>
      <c r="C258" t="s">
        <v>5212</v>
      </c>
      <c r="D258" t="s">
        <v>458</v>
      </c>
      <c r="E258">
        <v>5</v>
      </c>
      <c r="F258">
        <v>443</v>
      </c>
      <c r="G258">
        <v>88.6</v>
      </c>
    </row>
    <row r="259" spans="1:7" x14ac:dyDescent="0.3">
      <c r="A259" t="s">
        <v>557</v>
      </c>
      <c r="B259">
        <v>24931</v>
      </c>
      <c r="C259" t="s">
        <v>5308</v>
      </c>
      <c r="D259" t="s">
        <v>458</v>
      </c>
      <c r="E259">
        <v>2</v>
      </c>
      <c r="F259">
        <v>100</v>
      </c>
      <c r="G259">
        <v>50</v>
      </c>
    </row>
    <row r="260" spans="1:7" x14ac:dyDescent="0.3">
      <c r="A260" t="s">
        <v>557</v>
      </c>
      <c r="B260">
        <v>17404</v>
      </c>
      <c r="C260" t="s">
        <v>5295</v>
      </c>
      <c r="D260" t="s">
        <v>458</v>
      </c>
      <c r="E260">
        <v>2</v>
      </c>
      <c r="F260">
        <v>39.799999999999997</v>
      </c>
      <c r="G260">
        <v>19.899999999999999</v>
      </c>
    </row>
    <row r="261" spans="1:7" x14ac:dyDescent="0.3">
      <c r="A261" t="s">
        <v>557</v>
      </c>
      <c r="B261">
        <v>19906</v>
      </c>
      <c r="C261" t="s">
        <v>5159</v>
      </c>
      <c r="D261" t="s">
        <v>458</v>
      </c>
      <c r="E261">
        <v>1</v>
      </c>
      <c r="F261">
        <v>26</v>
      </c>
      <c r="G261">
        <v>26</v>
      </c>
    </row>
    <row r="262" spans="1:7" x14ac:dyDescent="0.3">
      <c r="A262" t="s">
        <v>557</v>
      </c>
      <c r="B262">
        <v>23113</v>
      </c>
      <c r="C262" t="s">
        <v>5074</v>
      </c>
      <c r="D262" t="s">
        <v>458</v>
      </c>
      <c r="E262">
        <v>12.5</v>
      </c>
      <c r="F262">
        <v>98.25</v>
      </c>
      <c r="G262">
        <v>7.86</v>
      </c>
    </row>
    <row r="263" spans="1:7" x14ac:dyDescent="0.3">
      <c r="A263" t="s">
        <v>557</v>
      </c>
      <c r="B263">
        <v>19465</v>
      </c>
      <c r="C263" t="s">
        <v>5114</v>
      </c>
      <c r="D263" t="s">
        <v>458</v>
      </c>
      <c r="E263">
        <v>1.3</v>
      </c>
      <c r="F263">
        <v>6.1</v>
      </c>
      <c r="G263">
        <v>4.6900000000000004</v>
      </c>
    </row>
    <row r="264" spans="1:7" x14ac:dyDescent="0.3">
      <c r="A264" t="s">
        <v>557</v>
      </c>
      <c r="B264">
        <v>18253</v>
      </c>
      <c r="C264" t="s">
        <v>4969</v>
      </c>
      <c r="D264" t="s">
        <v>458</v>
      </c>
      <c r="E264">
        <v>17</v>
      </c>
      <c r="F264">
        <v>506.15</v>
      </c>
      <c r="G264">
        <v>29.77</v>
      </c>
    </row>
    <row r="265" spans="1:7" x14ac:dyDescent="0.3">
      <c r="A265" t="s">
        <v>557</v>
      </c>
      <c r="B265">
        <v>17212</v>
      </c>
      <c r="C265" t="s">
        <v>5322</v>
      </c>
      <c r="D265" t="s">
        <v>458</v>
      </c>
      <c r="E265">
        <v>2</v>
      </c>
      <c r="F265">
        <v>460</v>
      </c>
      <c r="G265">
        <v>230</v>
      </c>
    </row>
    <row r="266" spans="1:7" x14ac:dyDescent="0.3">
      <c r="A266" t="s">
        <v>557</v>
      </c>
      <c r="B266">
        <v>17883</v>
      </c>
      <c r="C266" t="s">
        <v>5113</v>
      </c>
      <c r="D266" t="s">
        <v>458</v>
      </c>
      <c r="E266">
        <v>7</v>
      </c>
      <c r="F266">
        <v>198.24</v>
      </c>
      <c r="G266">
        <v>28.32</v>
      </c>
    </row>
    <row r="267" spans="1:7" x14ac:dyDescent="0.3">
      <c r="A267" t="s">
        <v>557</v>
      </c>
      <c r="B267">
        <v>17881</v>
      </c>
      <c r="C267" t="s">
        <v>5103</v>
      </c>
      <c r="D267" t="s">
        <v>458</v>
      </c>
      <c r="E267">
        <v>4</v>
      </c>
      <c r="F267">
        <v>113.28</v>
      </c>
      <c r="G267">
        <v>28.32</v>
      </c>
    </row>
    <row r="268" spans="1:7" x14ac:dyDescent="0.3">
      <c r="A268" t="s">
        <v>557</v>
      </c>
      <c r="B268">
        <v>18589</v>
      </c>
      <c r="C268" t="s">
        <v>5089</v>
      </c>
      <c r="D268" t="s">
        <v>458</v>
      </c>
      <c r="E268">
        <v>3</v>
      </c>
      <c r="F268">
        <v>289.92</v>
      </c>
      <c r="G268">
        <v>96.64</v>
      </c>
    </row>
    <row r="269" spans="1:7" x14ac:dyDescent="0.3">
      <c r="A269" t="s">
        <v>557</v>
      </c>
      <c r="B269">
        <v>18586</v>
      </c>
      <c r="C269" t="s">
        <v>4966</v>
      </c>
      <c r="D269" t="s">
        <v>458</v>
      </c>
      <c r="E269">
        <v>4</v>
      </c>
      <c r="F269">
        <v>528.28</v>
      </c>
      <c r="G269">
        <v>132.07</v>
      </c>
    </row>
    <row r="270" spans="1:7" x14ac:dyDescent="0.3">
      <c r="A270" t="s">
        <v>557</v>
      </c>
      <c r="B270">
        <v>17878</v>
      </c>
      <c r="C270" t="s">
        <v>4926</v>
      </c>
      <c r="D270" t="s">
        <v>458</v>
      </c>
      <c r="E270">
        <v>3</v>
      </c>
      <c r="F270">
        <v>71.7</v>
      </c>
      <c r="G270">
        <v>23.9</v>
      </c>
    </row>
    <row r="271" spans="1:7" x14ac:dyDescent="0.3">
      <c r="A271" t="s">
        <v>557</v>
      </c>
      <c r="B271">
        <v>20792</v>
      </c>
      <c r="C271" t="s">
        <v>5022</v>
      </c>
      <c r="D271" t="s">
        <v>458</v>
      </c>
      <c r="E271">
        <v>1</v>
      </c>
      <c r="F271">
        <v>10.29</v>
      </c>
      <c r="G271">
        <v>10.29</v>
      </c>
    </row>
    <row r="272" spans="1:7" x14ac:dyDescent="0.3">
      <c r="A272" t="s">
        <v>557</v>
      </c>
      <c r="B272">
        <v>18233</v>
      </c>
      <c r="C272" t="s">
        <v>4970</v>
      </c>
      <c r="D272" t="s">
        <v>458</v>
      </c>
      <c r="E272">
        <v>2</v>
      </c>
      <c r="F272">
        <v>195.4</v>
      </c>
      <c r="G272">
        <v>97.7</v>
      </c>
    </row>
    <row r="273" spans="1:7" x14ac:dyDescent="0.3">
      <c r="A273" t="s">
        <v>557</v>
      </c>
      <c r="B273">
        <v>18232</v>
      </c>
      <c r="C273" t="s">
        <v>4971</v>
      </c>
      <c r="D273" t="s">
        <v>458</v>
      </c>
      <c r="E273">
        <v>1</v>
      </c>
      <c r="F273">
        <v>97.5</v>
      </c>
      <c r="G273">
        <v>97.5</v>
      </c>
    </row>
    <row r="274" spans="1:7" x14ac:dyDescent="0.3">
      <c r="A274" t="s">
        <v>557</v>
      </c>
      <c r="B274">
        <v>19551</v>
      </c>
      <c r="C274" t="s">
        <v>4905</v>
      </c>
      <c r="D274" t="s">
        <v>458</v>
      </c>
      <c r="E274">
        <v>9.5</v>
      </c>
      <c r="F274">
        <v>123.5</v>
      </c>
      <c r="G274">
        <v>13</v>
      </c>
    </row>
    <row r="275" spans="1:7" x14ac:dyDescent="0.3">
      <c r="A275" t="s">
        <v>557</v>
      </c>
      <c r="B275">
        <v>23184</v>
      </c>
      <c r="C275" t="s">
        <v>4935</v>
      </c>
      <c r="D275" t="s">
        <v>458</v>
      </c>
      <c r="E275">
        <v>16.5</v>
      </c>
      <c r="F275">
        <v>130</v>
      </c>
      <c r="G275">
        <v>7.88</v>
      </c>
    </row>
    <row r="276" spans="1:7" x14ac:dyDescent="0.3">
      <c r="A276" t="s">
        <v>557</v>
      </c>
      <c r="B276">
        <v>19539</v>
      </c>
      <c r="C276" t="s">
        <v>5424</v>
      </c>
      <c r="D276" t="s">
        <v>458</v>
      </c>
      <c r="E276">
        <v>15</v>
      </c>
      <c r="F276">
        <v>63.15</v>
      </c>
      <c r="G276">
        <v>4.21</v>
      </c>
    </row>
    <row r="277" spans="1:7" x14ac:dyDescent="0.3">
      <c r="A277" t="s">
        <v>557</v>
      </c>
      <c r="B277">
        <v>19532</v>
      </c>
      <c r="C277" t="s">
        <v>4753</v>
      </c>
      <c r="D277" t="s">
        <v>458</v>
      </c>
      <c r="E277">
        <v>135</v>
      </c>
      <c r="F277">
        <v>626.9</v>
      </c>
      <c r="G277">
        <v>4.6399999999999997</v>
      </c>
    </row>
    <row r="278" spans="1:7" x14ac:dyDescent="0.3">
      <c r="A278" t="s">
        <v>557</v>
      </c>
      <c r="B278">
        <v>20585</v>
      </c>
      <c r="C278" t="s">
        <v>5025</v>
      </c>
      <c r="D278" t="s">
        <v>458</v>
      </c>
      <c r="E278">
        <v>2</v>
      </c>
      <c r="F278">
        <v>55.8</v>
      </c>
      <c r="G278">
        <v>27.9</v>
      </c>
    </row>
    <row r="279" spans="1:7" x14ac:dyDescent="0.3">
      <c r="A279" t="s">
        <v>557</v>
      </c>
      <c r="B279">
        <v>23108</v>
      </c>
      <c r="C279" t="s">
        <v>5117</v>
      </c>
      <c r="D279" t="s">
        <v>458</v>
      </c>
      <c r="E279">
        <v>0.5</v>
      </c>
      <c r="F279">
        <v>27.8</v>
      </c>
      <c r="G279">
        <v>55.6</v>
      </c>
    </row>
    <row r="280" spans="1:7" x14ac:dyDescent="0.3">
      <c r="A280" t="s">
        <v>557</v>
      </c>
      <c r="B280">
        <v>17361</v>
      </c>
      <c r="C280" t="s">
        <v>5309</v>
      </c>
      <c r="D280" t="s">
        <v>458</v>
      </c>
      <c r="E280">
        <v>2</v>
      </c>
      <c r="F280">
        <v>17.8</v>
      </c>
      <c r="G280">
        <v>8.9</v>
      </c>
    </row>
    <row r="281" spans="1:7" x14ac:dyDescent="0.3">
      <c r="A281" t="s">
        <v>557</v>
      </c>
      <c r="B281">
        <v>25205</v>
      </c>
      <c r="C281" t="s">
        <v>4850</v>
      </c>
      <c r="D281" t="s">
        <v>458</v>
      </c>
      <c r="E281">
        <v>5</v>
      </c>
      <c r="F281">
        <v>110</v>
      </c>
      <c r="G281">
        <v>22</v>
      </c>
    </row>
    <row r="282" spans="1:7" x14ac:dyDescent="0.3">
      <c r="A282" t="s">
        <v>557</v>
      </c>
      <c r="B282">
        <v>19710</v>
      </c>
      <c r="C282" t="s">
        <v>4963</v>
      </c>
      <c r="D282" t="s">
        <v>458</v>
      </c>
      <c r="E282">
        <v>1</v>
      </c>
      <c r="F282">
        <v>21.5</v>
      </c>
      <c r="G282">
        <v>21.5</v>
      </c>
    </row>
    <row r="283" spans="1:7" x14ac:dyDescent="0.3">
      <c r="A283" t="s">
        <v>557</v>
      </c>
      <c r="B283">
        <v>19707</v>
      </c>
      <c r="C283" t="s">
        <v>5266</v>
      </c>
      <c r="D283" t="s">
        <v>458</v>
      </c>
      <c r="E283">
        <v>1</v>
      </c>
      <c r="F283">
        <v>15.08</v>
      </c>
      <c r="G283">
        <v>15.08</v>
      </c>
    </row>
    <row r="284" spans="1:7" x14ac:dyDescent="0.3">
      <c r="A284" t="s">
        <v>557</v>
      </c>
      <c r="B284">
        <v>24489</v>
      </c>
      <c r="C284" t="s">
        <v>5121</v>
      </c>
      <c r="D284" t="s">
        <v>458</v>
      </c>
      <c r="E284">
        <v>1</v>
      </c>
      <c r="F284">
        <v>12</v>
      </c>
      <c r="G284">
        <v>12</v>
      </c>
    </row>
    <row r="285" spans="1:7" x14ac:dyDescent="0.3">
      <c r="A285" t="s">
        <v>557</v>
      </c>
      <c r="B285">
        <v>26928</v>
      </c>
      <c r="C285" t="s">
        <v>5298</v>
      </c>
      <c r="D285" t="s">
        <v>458</v>
      </c>
      <c r="E285">
        <v>1</v>
      </c>
      <c r="F285">
        <v>10.9</v>
      </c>
      <c r="G285">
        <v>10.9</v>
      </c>
    </row>
    <row r="286" spans="1:7" x14ac:dyDescent="0.3">
      <c r="A286" t="s">
        <v>557</v>
      </c>
      <c r="B286">
        <v>18219</v>
      </c>
      <c r="C286" t="s">
        <v>4972</v>
      </c>
      <c r="D286" t="s">
        <v>458</v>
      </c>
      <c r="E286">
        <v>2</v>
      </c>
      <c r="F286">
        <v>184.3</v>
      </c>
      <c r="G286">
        <v>92.15</v>
      </c>
    </row>
    <row r="287" spans="1:7" x14ac:dyDescent="0.3">
      <c r="A287" t="s">
        <v>557</v>
      </c>
      <c r="B287">
        <v>23884</v>
      </c>
      <c r="C287" t="s">
        <v>5070</v>
      </c>
      <c r="D287" t="s">
        <v>458</v>
      </c>
      <c r="E287">
        <v>2</v>
      </c>
      <c r="F287">
        <v>18.5</v>
      </c>
      <c r="G287">
        <v>9.25</v>
      </c>
    </row>
    <row r="288" spans="1:7" x14ac:dyDescent="0.3">
      <c r="A288" t="s">
        <v>557</v>
      </c>
      <c r="B288">
        <v>26036</v>
      </c>
      <c r="C288" t="s">
        <v>4841</v>
      </c>
      <c r="D288" t="s">
        <v>458</v>
      </c>
      <c r="E288">
        <v>3</v>
      </c>
      <c r="F288">
        <v>195</v>
      </c>
      <c r="G288">
        <v>65</v>
      </c>
    </row>
    <row r="289" spans="1:7" x14ac:dyDescent="0.3">
      <c r="A289" t="s">
        <v>557</v>
      </c>
      <c r="B289">
        <v>26034</v>
      </c>
      <c r="C289" t="s">
        <v>4828</v>
      </c>
      <c r="D289" t="s">
        <v>458</v>
      </c>
      <c r="E289">
        <v>10</v>
      </c>
      <c r="F289">
        <v>485.38</v>
      </c>
      <c r="G289">
        <v>48.54</v>
      </c>
    </row>
    <row r="290" spans="1:7" x14ac:dyDescent="0.3">
      <c r="A290" t="s">
        <v>557</v>
      </c>
      <c r="B290">
        <v>20955</v>
      </c>
      <c r="C290" t="s">
        <v>4959</v>
      </c>
      <c r="D290" t="s">
        <v>458</v>
      </c>
      <c r="E290">
        <v>1</v>
      </c>
      <c r="F290">
        <v>10.48</v>
      </c>
      <c r="G290">
        <v>10.48</v>
      </c>
    </row>
    <row r="291" spans="1:7" x14ac:dyDescent="0.3">
      <c r="A291" t="s">
        <v>557</v>
      </c>
      <c r="B291">
        <v>24614</v>
      </c>
      <c r="C291" t="s">
        <v>4897</v>
      </c>
      <c r="D291" t="s">
        <v>458</v>
      </c>
      <c r="E291">
        <v>2</v>
      </c>
      <c r="F291">
        <v>158.6</v>
      </c>
      <c r="G291">
        <v>79.3</v>
      </c>
    </row>
    <row r="292" spans="1:7" x14ac:dyDescent="0.3">
      <c r="A292" t="s">
        <v>557</v>
      </c>
      <c r="B292">
        <v>26038</v>
      </c>
      <c r="C292" t="s">
        <v>4976</v>
      </c>
      <c r="D292" t="s">
        <v>458</v>
      </c>
      <c r="E292">
        <v>5</v>
      </c>
      <c r="F292">
        <v>242.25</v>
      </c>
      <c r="G292">
        <v>48.45</v>
      </c>
    </row>
    <row r="293" spans="1:7" x14ac:dyDescent="0.3">
      <c r="A293" t="s">
        <v>557</v>
      </c>
      <c r="B293">
        <v>26040</v>
      </c>
      <c r="C293" t="s">
        <v>4812</v>
      </c>
      <c r="D293" t="s">
        <v>458</v>
      </c>
      <c r="E293">
        <v>5</v>
      </c>
      <c r="F293">
        <v>227.5</v>
      </c>
      <c r="G293">
        <v>45.5</v>
      </c>
    </row>
    <row r="294" spans="1:7" x14ac:dyDescent="0.3">
      <c r="A294" t="s">
        <v>557</v>
      </c>
      <c r="B294">
        <v>26236</v>
      </c>
      <c r="C294" t="s">
        <v>5077</v>
      </c>
      <c r="D294" t="s">
        <v>458</v>
      </c>
      <c r="E294">
        <v>1</v>
      </c>
      <c r="F294">
        <v>128.05000000000001</v>
      </c>
      <c r="G294">
        <v>128.05000000000001</v>
      </c>
    </row>
    <row r="295" spans="1:7" x14ac:dyDescent="0.3">
      <c r="A295" t="s">
        <v>557</v>
      </c>
      <c r="B295">
        <v>17721</v>
      </c>
      <c r="C295" t="s">
        <v>4977</v>
      </c>
      <c r="D295" t="s">
        <v>458</v>
      </c>
      <c r="E295">
        <v>1</v>
      </c>
      <c r="F295">
        <v>9.6999999999999993</v>
      </c>
      <c r="G295">
        <v>9.6999999999999993</v>
      </c>
    </row>
    <row r="296" spans="1:7" x14ac:dyDescent="0.3">
      <c r="A296" t="s">
        <v>557</v>
      </c>
      <c r="B296">
        <v>18194</v>
      </c>
      <c r="C296" t="s">
        <v>4923</v>
      </c>
      <c r="D296" t="s">
        <v>458</v>
      </c>
      <c r="E296">
        <v>2</v>
      </c>
      <c r="F296">
        <v>133.80000000000001</v>
      </c>
      <c r="G296">
        <v>66.900000000000006</v>
      </c>
    </row>
    <row r="297" spans="1:7" x14ac:dyDescent="0.3">
      <c r="A297" t="s">
        <v>557</v>
      </c>
      <c r="B297">
        <v>18179</v>
      </c>
      <c r="C297" t="s">
        <v>4924</v>
      </c>
      <c r="D297" t="s">
        <v>458</v>
      </c>
      <c r="E297">
        <v>6</v>
      </c>
      <c r="F297">
        <v>600.48</v>
      </c>
      <c r="G297">
        <v>100.08</v>
      </c>
    </row>
    <row r="298" spans="1:7" x14ac:dyDescent="0.3">
      <c r="A298" t="s">
        <v>557</v>
      </c>
      <c r="B298">
        <v>18172</v>
      </c>
      <c r="C298" t="s">
        <v>4804</v>
      </c>
      <c r="D298" t="s">
        <v>458</v>
      </c>
      <c r="E298">
        <v>25</v>
      </c>
      <c r="F298">
        <v>766.3</v>
      </c>
      <c r="G298">
        <v>30.65</v>
      </c>
    </row>
    <row r="299" spans="1:7" x14ac:dyDescent="0.3">
      <c r="A299" t="s">
        <v>557</v>
      </c>
      <c r="B299">
        <v>18146</v>
      </c>
      <c r="C299" t="s">
        <v>5112</v>
      </c>
      <c r="D299" t="s">
        <v>458</v>
      </c>
      <c r="E299">
        <v>4</v>
      </c>
      <c r="F299">
        <v>479.66</v>
      </c>
      <c r="G299">
        <v>119.92</v>
      </c>
    </row>
    <row r="300" spans="1:7" x14ac:dyDescent="0.3">
      <c r="A300" t="s">
        <v>557</v>
      </c>
      <c r="B300">
        <v>18129</v>
      </c>
      <c r="C300" t="s">
        <v>5043</v>
      </c>
      <c r="D300" t="s">
        <v>458</v>
      </c>
      <c r="E300">
        <v>2</v>
      </c>
      <c r="F300">
        <v>232</v>
      </c>
      <c r="G300">
        <v>116</v>
      </c>
    </row>
    <row r="301" spans="1:7" x14ac:dyDescent="0.3">
      <c r="A301" t="s">
        <v>557</v>
      </c>
      <c r="B301">
        <v>18119</v>
      </c>
      <c r="C301" t="s">
        <v>5044</v>
      </c>
      <c r="D301" t="s">
        <v>458</v>
      </c>
      <c r="E301">
        <v>1</v>
      </c>
      <c r="F301">
        <v>180</v>
      </c>
      <c r="G301">
        <v>180</v>
      </c>
    </row>
    <row r="302" spans="1:7" x14ac:dyDescent="0.3">
      <c r="A302" t="s">
        <v>557</v>
      </c>
      <c r="B302">
        <v>18116</v>
      </c>
      <c r="C302" t="s">
        <v>5045</v>
      </c>
      <c r="D302" t="s">
        <v>458</v>
      </c>
      <c r="E302">
        <v>1</v>
      </c>
      <c r="F302">
        <v>85.9</v>
      </c>
      <c r="G302">
        <v>85.9</v>
      </c>
    </row>
    <row r="303" spans="1:7" x14ac:dyDescent="0.3">
      <c r="A303" t="s">
        <v>557</v>
      </c>
      <c r="B303">
        <v>18114</v>
      </c>
      <c r="C303" t="s">
        <v>5046</v>
      </c>
      <c r="D303" t="s">
        <v>458</v>
      </c>
      <c r="E303">
        <v>2</v>
      </c>
      <c r="F303">
        <v>542.4</v>
      </c>
      <c r="G303">
        <v>271.2</v>
      </c>
    </row>
    <row r="304" spans="1:7" x14ac:dyDescent="0.3">
      <c r="A304" t="s">
        <v>557</v>
      </c>
      <c r="B304">
        <v>18111</v>
      </c>
      <c r="C304" t="s">
        <v>5049</v>
      </c>
      <c r="D304" t="s">
        <v>458</v>
      </c>
      <c r="E304">
        <v>2</v>
      </c>
      <c r="F304">
        <v>179.8</v>
      </c>
      <c r="G304">
        <v>89.9</v>
      </c>
    </row>
    <row r="305" spans="1:7" x14ac:dyDescent="0.3">
      <c r="A305" t="s">
        <v>557</v>
      </c>
      <c r="B305">
        <v>18085</v>
      </c>
      <c r="C305" t="s">
        <v>4973</v>
      </c>
      <c r="D305" t="s">
        <v>458</v>
      </c>
      <c r="E305">
        <v>1</v>
      </c>
      <c r="F305">
        <v>47.6</v>
      </c>
      <c r="G305">
        <v>47.6</v>
      </c>
    </row>
    <row r="306" spans="1:7" x14ac:dyDescent="0.3">
      <c r="A306" t="s">
        <v>557</v>
      </c>
      <c r="B306">
        <v>18073</v>
      </c>
      <c r="C306" t="s">
        <v>4974</v>
      </c>
      <c r="D306" t="s">
        <v>458</v>
      </c>
      <c r="E306">
        <v>2</v>
      </c>
      <c r="F306">
        <v>99.8</v>
      </c>
      <c r="G306">
        <v>49.9</v>
      </c>
    </row>
    <row r="307" spans="1:7" x14ac:dyDescent="0.3">
      <c r="A307" t="s">
        <v>557</v>
      </c>
      <c r="B307">
        <v>26210</v>
      </c>
      <c r="C307" t="s">
        <v>4975</v>
      </c>
      <c r="D307" t="s">
        <v>458</v>
      </c>
      <c r="E307">
        <v>1</v>
      </c>
      <c r="F307">
        <v>47.6</v>
      </c>
      <c r="G307">
        <v>47.6</v>
      </c>
    </row>
    <row r="308" spans="1:7" x14ac:dyDescent="0.3">
      <c r="A308" t="s">
        <v>557</v>
      </c>
      <c r="B308">
        <v>19787</v>
      </c>
      <c r="C308" t="s">
        <v>4793</v>
      </c>
      <c r="D308" t="s">
        <v>465</v>
      </c>
      <c r="E308">
        <v>10</v>
      </c>
      <c r="F308">
        <v>56</v>
      </c>
      <c r="G308">
        <v>5.6</v>
      </c>
    </row>
    <row r="309" spans="1:7" x14ac:dyDescent="0.3">
      <c r="A309" t="s">
        <v>557</v>
      </c>
      <c r="B309">
        <v>24596</v>
      </c>
      <c r="C309" t="s">
        <v>5197</v>
      </c>
      <c r="D309" t="s">
        <v>465</v>
      </c>
      <c r="E309">
        <v>2</v>
      </c>
      <c r="F309">
        <v>30</v>
      </c>
      <c r="G309">
        <v>15</v>
      </c>
    </row>
    <row r="310" spans="1:7" x14ac:dyDescent="0.3">
      <c r="A310" t="s">
        <v>557</v>
      </c>
      <c r="B310">
        <v>17950</v>
      </c>
      <c r="C310" t="s">
        <v>5091</v>
      </c>
      <c r="D310" t="s">
        <v>465</v>
      </c>
      <c r="E310">
        <v>10</v>
      </c>
      <c r="F310">
        <v>145.19999999999999</v>
      </c>
      <c r="G310">
        <v>14.52</v>
      </c>
    </row>
    <row r="311" spans="1:7" x14ac:dyDescent="0.3">
      <c r="A311" t="s">
        <v>557</v>
      </c>
      <c r="B311">
        <v>17958</v>
      </c>
      <c r="C311" t="s">
        <v>5076</v>
      </c>
      <c r="D311" t="s">
        <v>465</v>
      </c>
      <c r="E311">
        <v>10</v>
      </c>
      <c r="F311">
        <v>138</v>
      </c>
      <c r="G311">
        <v>13.8</v>
      </c>
    </row>
    <row r="312" spans="1:7" x14ac:dyDescent="0.3">
      <c r="A312" t="s">
        <v>557</v>
      </c>
      <c r="B312">
        <v>17314</v>
      </c>
      <c r="C312" t="s">
        <v>5208</v>
      </c>
      <c r="D312" t="s">
        <v>465</v>
      </c>
      <c r="E312">
        <v>2</v>
      </c>
      <c r="F312">
        <v>11.78</v>
      </c>
      <c r="G312">
        <v>5.89</v>
      </c>
    </row>
    <row r="313" spans="1:7" x14ac:dyDescent="0.3">
      <c r="A313" t="s">
        <v>557</v>
      </c>
      <c r="B313">
        <v>17266</v>
      </c>
      <c r="C313" t="s">
        <v>5192</v>
      </c>
      <c r="D313" t="s">
        <v>465</v>
      </c>
      <c r="E313">
        <v>3</v>
      </c>
      <c r="F313">
        <v>13.95</v>
      </c>
      <c r="G313">
        <v>4.6500000000000004</v>
      </c>
    </row>
    <row r="314" spans="1:7" x14ac:dyDescent="0.3">
      <c r="A314" t="s">
        <v>557</v>
      </c>
      <c r="B314">
        <v>19506</v>
      </c>
      <c r="C314" t="s">
        <v>5122</v>
      </c>
      <c r="D314" t="s">
        <v>465</v>
      </c>
      <c r="E314">
        <v>0.5</v>
      </c>
      <c r="F314">
        <v>25</v>
      </c>
      <c r="G314">
        <v>50</v>
      </c>
    </row>
    <row r="315" spans="1:7" x14ac:dyDescent="0.3">
      <c r="A315" t="s">
        <v>557</v>
      </c>
      <c r="B315">
        <v>19505</v>
      </c>
      <c r="C315" t="s">
        <v>4872</v>
      </c>
      <c r="D315" t="s">
        <v>465</v>
      </c>
      <c r="E315">
        <v>11</v>
      </c>
      <c r="F315">
        <v>144</v>
      </c>
      <c r="G315">
        <v>13.09</v>
      </c>
    </row>
    <row r="316" spans="1:7" x14ac:dyDescent="0.3">
      <c r="A316" t="s">
        <v>557</v>
      </c>
      <c r="B316">
        <v>19502</v>
      </c>
      <c r="C316" t="s">
        <v>4871</v>
      </c>
      <c r="D316" t="s">
        <v>465</v>
      </c>
      <c r="E316">
        <v>4</v>
      </c>
      <c r="F316">
        <v>68</v>
      </c>
      <c r="G316">
        <v>17</v>
      </c>
    </row>
    <row r="317" spans="1:7" x14ac:dyDescent="0.3">
      <c r="A317" t="s">
        <v>557</v>
      </c>
      <c r="B317">
        <v>24037</v>
      </c>
      <c r="C317" t="s">
        <v>5233</v>
      </c>
      <c r="D317" t="s">
        <v>465</v>
      </c>
      <c r="E317">
        <v>3</v>
      </c>
      <c r="F317">
        <v>52.5</v>
      </c>
      <c r="G317">
        <v>17.5</v>
      </c>
    </row>
    <row r="318" spans="1:7" x14ac:dyDescent="0.3">
      <c r="A318" t="s">
        <v>557</v>
      </c>
      <c r="B318">
        <v>18547</v>
      </c>
      <c r="C318" t="s">
        <v>4863</v>
      </c>
      <c r="D318" t="s">
        <v>465</v>
      </c>
      <c r="E318">
        <v>6</v>
      </c>
      <c r="F318">
        <v>222</v>
      </c>
      <c r="G318">
        <v>37</v>
      </c>
    </row>
    <row r="319" spans="1:7" x14ac:dyDescent="0.3">
      <c r="A319" t="s">
        <v>557</v>
      </c>
      <c r="B319">
        <v>18545</v>
      </c>
      <c r="C319" t="s">
        <v>4864</v>
      </c>
      <c r="D319" t="s">
        <v>465</v>
      </c>
      <c r="E319">
        <v>1</v>
      </c>
      <c r="F319">
        <v>42</v>
      </c>
      <c r="G319">
        <v>42</v>
      </c>
    </row>
    <row r="320" spans="1:7" x14ac:dyDescent="0.3">
      <c r="A320" t="s">
        <v>557</v>
      </c>
      <c r="B320">
        <v>26224</v>
      </c>
      <c r="C320" t="s">
        <v>5214</v>
      </c>
      <c r="D320" t="s">
        <v>465</v>
      </c>
      <c r="E320">
        <v>2</v>
      </c>
      <c r="F320">
        <v>15.8</v>
      </c>
      <c r="G320">
        <v>7.9</v>
      </c>
    </row>
    <row r="321" spans="1:7" x14ac:dyDescent="0.3">
      <c r="A321" t="s">
        <v>557</v>
      </c>
      <c r="B321">
        <v>21783</v>
      </c>
      <c r="C321" t="s">
        <v>5210</v>
      </c>
      <c r="D321" t="s">
        <v>465</v>
      </c>
      <c r="E321">
        <v>3</v>
      </c>
      <c r="F321">
        <v>48</v>
      </c>
      <c r="G321">
        <v>16</v>
      </c>
    </row>
    <row r="322" spans="1:7" x14ac:dyDescent="0.3">
      <c r="A322" t="s">
        <v>557</v>
      </c>
      <c r="B322">
        <v>24083</v>
      </c>
      <c r="C322" t="s">
        <v>5165</v>
      </c>
      <c r="D322" t="s">
        <v>465</v>
      </c>
      <c r="E322">
        <v>120</v>
      </c>
      <c r="F322">
        <v>996</v>
      </c>
      <c r="G322">
        <v>8.3000000000000007</v>
      </c>
    </row>
    <row r="323" spans="1:7" x14ac:dyDescent="0.3">
      <c r="A323" t="s">
        <v>557</v>
      </c>
      <c r="B323">
        <v>19635</v>
      </c>
      <c r="C323" t="s">
        <v>4786</v>
      </c>
      <c r="D323" t="s">
        <v>465</v>
      </c>
      <c r="E323">
        <v>15</v>
      </c>
      <c r="F323">
        <v>65</v>
      </c>
      <c r="G323">
        <v>4.33</v>
      </c>
    </row>
    <row r="324" spans="1:7" x14ac:dyDescent="0.3">
      <c r="A324" t="s">
        <v>557</v>
      </c>
      <c r="B324">
        <v>19632</v>
      </c>
      <c r="C324" t="s">
        <v>4936</v>
      </c>
      <c r="D324" t="s">
        <v>465</v>
      </c>
      <c r="E324">
        <v>3</v>
      </c>
      <c r="F324">
        <v>12</v>
      </c>
      <c r="G324">
        <v>4</v>
      </c>
    </row>
    <row r="325" spans="1:7" x14ac:dyDescent="0.3">
      <c r="A325" t="s">
        <v>557</v>
      </c>
      <c r="B325">
        <v>24099</v>
      </c>
      <c r="C325" t="s">
        <v>4933</v>
      </c>
      <c r="D325" t="s">
        <v>465</v>
      </c>
      <c r="E325">
        <v>2.5</v>
      </c>
      <c r="F325">
        <v>31.25</v>
      </c>
      <c r="G325">
        <v>12.5</v>
      </c>
    </row>
    <row r="326" spans="1:7" x14ac:dyDescent="0.3">
      <c r="A326" t="s">
        <v>557</v>
      </c>
      <c r="B326">
        <v>19492</v>
      </c>
      <c r="C326" t="s">
        <v>4937</v>
      </c>
      <c r="D326" t="s">
        <v>465</v>
      </c>
      <c r="E326">
        <v>2</v>
      </c>
      <c r="F326">
        <v>36</v>
      </c>
      <c r="G326">
        <v>18</v>
      </c>
    </row>
    <row r="327" spans="1:7" x14ac:dyDescent="0.3">
      <c r="A327" t="s">
        <v>557</v>
      </c>
      <c r="B327">
        <v>19623</v>
      </c>
      <c r="C327" t="s">
        <v>4764</v>
      </c>
      <c r="D327" t="s">
        <v>465</v>
      </c>
      <c r="E327">
        <v>20</v>
      </c>
      <c r="F327">
        <v>139</v>
      </c>
      <c r="G327">
        <v>6.95</v>
      </c>
    </row>
    <row r="328" spans="1:7" x14ac:dyDescent="0.3">
      <c r="A328" t="s">
        <v>557</v>
      </c>
      <c r="B328">
        <v>19488</v>
      </c>
      <c r="C328" t="s">
        <v>5107</v>
      </c>
      <c r="D328" t="s">
        <v>465</v>
      </c>
      <c r="E328">
        <v>0.3</v>
      </c>
      <c r="F328">
        <v>4.2</v>
      </c>
      <c r="G328">
        <v>14</v>
      </c>
    </row>
    <row r="329" spans="1:7" x14ac:dyDescent="0.3">
      <c r="A329" t="s">
        <v>557</v>
      </c>
      <c r="B329">
        <v>19621</v>
      </c>
      <c r="C329" t="s">
        <v>4829</v>
      </c>
      <c r="D329" t="s">
        <v>465</v>
      </c>
      <c r="E329">
        <v>3</v>
      </c>
      <c r="F329">
        <v>20.399999999999999</v>
      </c>
      <c r="G329">
        <v>6.8</v>
      </c>
    </row>
    <row r="330" spans="1:7" x14ac:dyDescent="0.3">
      <c r="A330" t="s">
        <v>557</v>
      </c>
      <c r="B330">
        <v>23236</v>
      </c>
      <c r="C330" t="s">
        <v>5062</v>
      </c>
      <c r="D330" t="s">
        <v>465</v>
      </c>
      <c r="E330">
        <v>2.5</v>
      </c>
      <c r="F330">
        <v>20</v>
      </c>
      <c r="G330">
        <v>8</v>
      </c>
    </row>
    <row r="331" spans="1:7" x14ac:dyDescent="0.3">
      <c r="A331" t="s">
        <v>557</v>
      </c>
      <c r="B331">
        <v>19041</v>
      </c>
      <c r="C331" t="s">
        <v>4762</v>
      </c>
      <c r="D331" t="s">
        <v>465</v>
      </c>
      <c r="E331">
        <v>33.5</v>
      </c>
      <c r="F331">
        <v>512.21</v>
      </c>
      <c r="G331">
        <v>15.29</v>
      </c>
    </row>
    <row r="332" spans="1:7" x14ac:dyDescent="0.3">
      <c r="A332" t="s">
        <v>557</v>
      </c>
      <c r="B332">
        <v>17304</v>
      </c>
      <c r="C332" t="s">
        <v>5195</v>
      </c>
      <c r="D332" t="s">
        <v>465</v>
      </c>
      <c r="E332">
        <v>2</v>
      </c>
      <c r="F332">
        <v>13.18</v>
      </c>
      <c r="G332">
        <v>6.59</v>
      </c>
    </row>
    <row r="333" spans="1:7" x14ac:dyDescent="0.3">
      <c r="A333" t="s">
        <v>557</v>
      </c>
      <c r="B333">
        <v>17465</v>
      </c>
      <c r="C333" t="s">
        <v>5279</v>
      </c>
      <c r="D333" t="s">
        <v>465</v>
      </c>
      <c r="E333">
        <v>1</v>
      </c>
      <c r="F333">
        <v>761.13</v>
      </c>
      <c r="G333">
        <v>761.13</v>
      </c>
    </row>
    <row r="334" spans="1:7" x14ac:dyDescent="0.3">
      <c r="A334" t="s">
        <v>557</v>
      </c>
      <c r="B334">
        <v>21716</v>
      </c>
      <c r="C334" t="s">
        <v>5281</v>
      </c>
      <c r="D334" t="s">
        <v>465</v>
      </c>
      <c r="E334">
        <v>1</v>
      </c>
      <c r="F334">
        <v>455</v>
      </c>
      <c r="G334">
        <v>455</v>
      </c>
    </row>
    <row r="335" spans="1:7" x14ac:dyDescent="0.3">
      <c r="A335" t="s">
        <v>557</v>
      </c>
      <c r="B335">
        <v>24598</v>
      </c>
      <c r="C335" t="s">
        <v>4852</v>
      </c>
      <c r="D335" t="s">
        <v>465</v>
      </c>
      <c r="E335">
        <v>1</v>
      </c>
      <c r="F335">
        <v>11</v>
      </c>
      <c r="G335">
        <v>11</v>
      </c>
    </row>
    <row r="336" spans="1:7" x14ac:dyDescent="0.3">
      <c r="A336" t="s">
        <v>557</v>
      </c>
      <c r="B336">
        <v>17190</v>
      </c>
      <c r="C336" t="s">
        <v>5193</v>
      </c>
      <c r="D336" t="s">
        <v>465</v>
      </c>
      <c r="E336">
        <v>2</v>
      </c>
      <c r="F336">
        <v>16.2</v>
      </c>
      <c r="G336">
        <v>8.1</v>
      </c>
    </row>
    <row r="337" spans="1:7" x14ac:dyDescent="0.3">
      <c r="A337" t="s">
        <v>557</v>
      </c>
      <c r="B337">
        <v>18030</v>
      </c>
      <c r="C337" t="s">
        <v>4840</v>
      </c>
      <c r="D337" t="s">
        <v>465</v>
      </c>
      <c r="E337">
        <v>6</v>
      </c>
      <c r="F337">
        <v>165</v>
      </c>
      <c r="G337">
        <v>27.5</v>
      </c>
    </row>
    <row r="338" spans="1:7" x14ac:dyDescent="0.3">
      <c r="A338" t="s">
        <v>557</v>
      </c>
      <c r="B338">
        <v>26627</v>
      </c>
      <c r="C338" t="s">
        <v>5190</v>
      </c>
      <c r="D338" t="s">
        <v>465</v>
      </c>
      <c r="E338">
        <v>20</v>
      </c>
      <c r="F338">
        <v>158</v>
      </c>
      <c r="G338">
        <v>7.9</v>
      </c>
    </row>
    <row r="339" spans="1:7" x14ac:dyDescent="0.3">
      <c r="A339" t="s">
        <v>557</v>
      </c>
      <c r="B339">
        <v>24750</v>
      </c>
      <c r="C339" t="s">
        <v>5204</v>
      </c>
      <c r="D339" t="s">
        <v>465</v>
      </c>
      <c r="E339">
        <v>1</v>
      </c>
      <c r="F339">
        <v>9.9</v>
      </c>
      <c r="G339">
        <v>9.9</v>
      </c>
    </row>
    <row r="340" spans="1:7" x14ac:dyDescent="0.3">
      <c r="A340" t="s">
        <v>557</v>
      </c>
      <c r="B340">
        <v>23365</v>
      </c>
      <c r="C340" t="s">
        <v>5108</v>
      </c>
      <c r="D340" t="s">
        <v>465</v>
      </c>
      <c r="E340">
        <v>2</v>
      </c>
      <c r="F340">
        <v>40</v>
      </c>
      <c r="G340">
        <v>20</v>
      </c>
    </row>
    <row r="341" spans="1:7" x14ac:dyDescent="0.3">
      <c r="A341" t="s">
        <v>557</v>
      </c>
      <c r="B341">
        <v>23361</v>
      </c>
      <c r="C341" t="s">
        <v>4754</v>
      </c>
      <c r="D341" t="s">
        <v>465</v>
      </c>
      <c r="E341">
        <v>40</v>
      </c>
      <c r="F341">
        <v>104</v>
      </c>
      <c r="G341">
        <v>2.6</v>
      </c>
    </row>
    <row r="342" spans="1:7" x14ac:dyDescent="0.3">
      <c r="A342" t="s">
        <v>557</v>
      </c>
      <c r="B342">
        <v>18327</v>
      </c>
      <c r="C342" t="s">
        <v>5035</v>
      </c>
      <c r="D342" t="s">
        <v>465</v>
      </c>
      <c r="E342">
        <v>1</v>
      </c>
      <c r="F342">
        <v>96</v>
      </c>
      <c r="G342">
        <v>96</v>
      </c>
    </row>
    <row r="343" spans="1:7" x14ac:dyDescent="0.3">
      <c r="A343" t="s">
        <v>557</v>
      </c>
      <c r="B343">
        <v>19752</v>
      </c>
      <c r="C343" t="s">
        <v>4807</v>
      </c>
      <c r="D343" t="s">
        <v>465</v>
      </c>
      <c r="E343">
        <v>2</v>
      </c>
      <c r="F343">
        <v>10</v>
      </c>
      <c r="G343">
        <v>5</v>
      </c>
    </row>
    <row r="344" spans="1:7" x14ac:dyDescent="0.3">
      <c r="A344" t="s">
        <v>557</v>
      </c>
      <c r="B344">
        <v>19751</v>
      </c>
      <c r="C344" t="s">
        <v>4800</v>
      </c>
      <c r="D344" t="s">
        <v>465</v>
      </c>
      <c r="E344">
        <v>3</v>
      </c>
      <c r="F344">
        <v>28.5</v>
      </c>
      <c r="G344">
        <v>9.5</v>
      </c>
    </row>
    <row r="345" spans="1:7" x14ac:dyDescent="0.3">
      <c r="A345" t="s">
        <v>557</v>
      </c>
      <c r="B345">
        <v>17182</v>
      </c>
      <c r="C345" t="s">
        <v>5201</v>
      </c>
      <c r="D345" t="s">
        <v>465</v>
      </c>
      <c r="E345">
        <v>1</v>
      </c>
      <c r="F345">
        <v>38.89</v>
      </c>
      <c r="G345">
        <v>38.89</v>
      </c>
    </row>
    <row r="346" spans="1:7" x14ac:dyDescent="0.3">
      <c r="A346" t="s">
        <v>557</v>
      </c>
      <c r="B346">
        <v>17017</v>
      </c>
      <c r="C346" t="s">
        <v>5199</v>
      </c>
      <c r="D346" t="s">
        <v>465</v>
      </c>
      <c r="E346">
        <v>1</v>
      </c>
      <c r="F346">
        <v>3</v>
      </c>
      <c r="G346">
        <v>3</v>
      </c>
    </row>
    <row r="347" spans="1:7" x14ac:dyDescent="0.3">
      <c r="A347" t="s">
        <v>557</v>
      </c>
      <c r="B347">
        <v>17019</v>
      </c>
      <c r="C347" t="s">
        <v>5196</v>
      </c>
      <c r="D347" t="s">
        <v>465</v>
      </c>
      <c r="E347">
        <v>2</v>
      </c>
      <c r="F347">
        <v>6</v>
      </c>
      <c r="G347">
        <v>3</v>
      </c>
    </row>
    <row r="348" spans="1:7" x14ac:dyDescent="0.3">
      <c r="A348" t="s">
        <v>557</v>
      </c>
      <c r="B348">
        <v>19476</v>
      </c>
      <c r="C348" t="s">
        <v>5115</v>
      </c>
      <c r="D348" t="s">
        <v>465</v>
      </c>
      <c r="E348">
        <v>0.3</v>
      </c>
      <c r="F348">
        <v>18</v>
      </c>
      <c r="G348">
        <v>60</v>
      </c>
    </row>
    <row r="349" spans="1:7" x14ac:dyDescent="0.3">
      <c r="A349" t="s">
        <v>557</v>
      </c>
      <c r="B349">
        <v>17474</v>
      </c>
      <c r="C349" t="s">
        <v>5213</v>
      </c>
      <c r="D349" t="s">
        <v>465</v>
      </c>
      <c r="E349">
        <v>1</v>
      </c>
      <c r="F349">
        <v>75</v>
      </c>
      <c r="G349">
        <v>75</v>
      </c>
    </row>
    <row r="350" spans="1:7" x14ac:dyDescent="0.3">
      <c r="A350" t="s">
        <v>557</v>
      </c>
      <c r="B350">
        <v>19737</v>
      </c>
      <c r="C350" t="s">
        <v>4940</v>
      </c>
      <c r="D350" t="s">
        <v>465</v>
      </c>
      <c r="E350">
        <v>1</v>
      </c>
      <c r="F350">
        <v>5.4</v>
      </c>
      <c r="G350">
        <v>5.4</v>
      </c>
    </row>
    <row r="351" spans="1:7" x14ac:dyDescent="0.3">
      <c r="A351" t="s">
        <v>557</v>
      </c>
      <c r="B351">
        <v>19734</v>
      </c>
      <c r="C351" t="s">
        <v>4833</v>
      </c>
      <c r="D351" t="s">
        <v>465</v>
      </c>
      <c r="E351">
        <v>3</v>
      </c>
      <c r="F351">
        <v>33</v>
      </c>
      <c r="G351">
        <v>11</v>
      </c>
    </row>
    <row r="352" spans="1:7" x14ac:dyDescent="0.3">
      <c r="A352" t="s">
        <v>557</v>
      </c>
      <c r="B352">
        <v>17046</v>
      </c>
      <c r="C352" t="s">
        <v>5194</v>
      </c>
      <c r="D352" t="s">
        <v>465</v>
      </c>
      <c r="E352">
        <v>2</v>
      </c>
      <c r="F352">
        <v>69</v>
      </c>
      <c r="G352">
        <v>34.5</v>
      </c>
    </row>
    <row r="353" spans="1:7" x14ac:dyDescent="0.3">
      <c r="A353" t="s">
        <v>557</v>
      </c>
      <c r="B353">
        <v>17333</v>
      </c>
      <c r="C353" t="s">
        <v>5211</v>
      </c>
      <c r="D353" t="s">
        <v>465</v>
      </c>
      <c r="E353">
        <v>1</v>
      </c>
      <c r="F353">
        <v>68.64</v>
      </c>
      <c r="G353">
        <v>68.64</v>
      </c>
    </row>
    <row r="354" spans="1:7" x14ac:dyDescent="0.3">
      <c r="A354" t="s">
        <v>557</v>
      </c>
      <c r="B354">
        <v>17418</v>
      </c>
      <c r="C354" t="s">
        <v>5207</v>
      </c>
      <c r="D354" t="s">
        <v>465</v>
      </c>
      <c r="E354">
        <v>2</v>
      </c>
      <c r="F354">
        <v>117.8</v>
      </c>
      <c r="G354">
        <v>58.9</v>
      </c>
    </row>
    <row r="355" spans="1:7" x14ac:dyDescent="0.3">
      <c r="A355" t="s">
        <v>557</v>
      </c>
      <c r="B355">
        <v>17416</v>
      </c>
      <c r="C355" t="s">
        <v>5209</v>
      </c>
      <c r="D355" t="s">
        <v>465</v>
      </c>
      <c r="E355">
        <v>2</v>
      </c>
      <c r="F355">
        <v>97.16</v>
      </c>
      <c r="G355">
        <v>48.58</v>
      </c>
    </row>
    <row r="356" spans="1:7" x14ac:dyDescent="0.3">
      <c r="A356" t="s">
        <v>557</v>
      </c>
      <c r="B356">
        <v>24505</v>
      </c>
      <c r="C356" t="s">
        <v>5198</v>
      </c>
      <c r="D356" t="s">
        <v>465</v>
      </c>
      <c r="E356">
        <v>3</v>
      </c>
      <c r="F356">
        <v>14.94</v>
      </c>
      <c r="G356">
        <v>4.9800000000000004</v>
      </c>
    </row>
    <row r="357" spans="1:7" x14ac:dyDescent="0.3">
      <c r="A357" t="s">
        <v>557</v>
      </c>
      <c r="B357">
        <v>19589</v>
      </c>
      <c r="C357" t="s">
        <v>4983</v>
      </c>
      <c r="D357" t="s">
        <v>465</v>
      </c>
      <c r="E357">
        <v>3</v>
      </c>
      <c r="F357">
        <v>28.5</v>
      </c>
      <c r="G357">
        <v>9.5</v>
      </c>
    </row>
    <row r="358" spans="1:7" x14ac:dyDescent="0.3">
      <c r="A358" t="s">
        <v>557</v>
      </c>
      <c r="B358">
        <v>19728</v>
      </c>
      <c r="C358" t="s">
        <v>5106</v>
      </c>
      <c r="D358" t="s">
        <v>465</v>
      </c>
      <c r="E358">
        <v>2</v>
      </c>
      <c r="F358">
        <v>22</v>
      </c>
      <c r="G358">
        <v>11</v>
      </c>
    </row>
    <row r="359" spans="1:7" x14ac:dyDescent="0.3">
      <c r="A359" t="s">
        <v>557</v>
      </c>
      <c r="B359">
        <v>19558</v>
      </c>
      <c r="C359" t="s">
        <v>4994</v>
      </c>
      <c r="D359" t="s">
        <v>465</v>
      </c>
      <c r="E359">
        <v>1</v>
      </c>
      <c r="F359">
        <v>18</v>
      </c>
      <c r="G359">
        <v>18</v>
      </c>
    </row>
    <row r="360" spans="1:7" x14ac:dyDescent="0.3">
      <c r="A360" t="s">
        <v>557</v>
      </c>
      <c r="B360">
        <v>19555</v>
      </c>
      <c r="C360" t="s">
        <v>4903</v>
      </c>
      <c r="D360" t="s">
        <v>465</v>
      </c>
      <c r="E360">
        <v>1</v>
      </c>
      <c r="F360">
        <v>17</v>
      </c>
      <c r="G360">
        <v>17</v>
      </c>
    </row>
    <row r="361" spans="1:7" x14ac:dyDescent="0.3">
      <c r="A361" t="s">
        <v>557</v>
      </c>
      <c r="B361">
        <v>19553</v>
      </c>
      <c r="C361" t="s">
        <v>4868</v>
      </c>
      <c r="D361" t="s">
        <v>465</v>
      </c>
      <c r="E361">
        <v>1</v>
      </c>
      <c r="F361">
        <v>5.2</v>
      </c>
      <c r="G361">
        <v>5.2</v>
      </c>
    </row>
    <row r="362" spans="1:7" x14ac:dyDescent="0.3">
      <c r="A362" t="s">
        <v>557</v>
      </c>
      <c r="B362">
        <v>19472</v>
      </c>
      <c r="C362" t="s">
        <v>4906</v>
      </c>
      <c r="D362" t="s">
        <v>465</v>
      </c>
      <c r="E362">
        <v>4</v>
      </c>
      <c r="F362">
        <v>54</v>
      </c>
      <c r="G362">
        <v>13.5</v>
      </c>
    </row>
    <row r="363" spans="1:7" x14ac:dyDescent="0.3">
      <c r="A363" t="s">
        <v>557</v>
      </c>
      <c r="B363">
        <v>17129</v>
      </c>
      <c r="C363" t="s">
        <v>5202</v>
      </c>
      <c r="D363" t="s">
        <v>465</v>
      </c>
      <c r="E363">
        <v>1</v>
      </c>
      <c r="F363">
        <v>26.61</v>
      </c>
      <c r="G363">
        <v>26.61</v>
      </c>
    </row>
    <row r="364" spans="1:7" x14ac:dyDescent="0.3">
      <c r="A364" t="s">
        <v>557</v>
      </c>
      <c r="B364">
        <v>17437</v>
      </c>
      <c r="C364" t="s">
        <v>5203</v>
      </c>
      <c r="D364" t="s">
        <v>465</v>
      </c>
      <c r="E364">
        <v>15</v>
      </c>
      <c r="F364">
        <v>34.5</v>
      </c>
      <c r="G364">
        <v>2.2999999999999998</v>
      </c>
    </row>
    <row r="365" spans="1:7" x14ac:dyDescent="0.3">
      <c r="A365" t="s">
        <v>557</v>
      </c>
      <c r="B365">
        <v>24787</v>
      </c>
      <c r="C365" t="s">
        <v>5212</v>
      </c>
      <c r="D365" t="s">
        <v>465</v>
      </c>
      <c r="E365">
        <v>3</v>
      </c>
      <c r="F365">
        <v>246.63</v>
      </c>
      <c r="G365">
        <v>82.21</v>
      </c>
    </row>
    <row r="366" spans="1:7" x14ac:dyDescent="0.3">
      <c r="A366" t="s">
        <v>557</v>
      </c>
      <c r="B366">
        <v>17405</v>
      </c>
      <c r="C366" t="s">
        <v>5200</v>
      </c>
      <c r="D366" t="s">
        <v>465</v>
      </c>
      <c r="E366">
        <v>1</v>
      </c>
      <c r="F366">
        <v>9.26</v>
      </c>
      <c r="G366">
        <v>9.26</v>
      </c>
    </row>
    <row r="367" spans="1:7" x14ac:dyDescent="0.3">
      <c r="A367" t="s">
        <v>557</v>
      </c>
      <c r="B367">
        <v>23113</v>
      </c>
      <c r="C367" t="s">
        <v>5074</v>
      </c>
      <c r="D367" t="s">
        <v>465</v>
      </c>
      <c r="E367">
        <v>1</v>
      </c>
      <c r="F367">
        <v>7.5</v>
      </c>
      <c r="G367">
        <v>7.5</v>
      </c>
    </row>
    <row r="368" spans="1:7" x14ac:dyDescent="0.3">
      <c r="A368" t="s">
        <v>557</v>
      </c>
      <c r="B368">
        <v>18253</v>
      </c>
      <c r="C368" t="s">
        <v>4969</v>
      </c>
      <c r="D368" t="s">
        <v>465</v>
      </c>
      <c r="E368">
        <v>6</v>
      </c>
      <c r="F368">
        <v>173.4</v>
      </c>
      <c r="G368">
        <v>28.9</v>
      </c>
    </row>
    <row r="369" spans="1:7" x14ac:dyDescent="0.3">
      <c r="A369" t="s">
        <v>557</v>
      </c>
      <c r="B369">
        <v>19787</v>
      </c>
      <c r="C369" t="s">
        <v>4793</v>
      </c>
      <c r="D369" t="s">
        <v>464</v>
      </c>
      <c r="E369">
        <v>89.03</v>
      </c>
      <c r="F369">
        <v>513.62</v>
      </c>
      <c r="G369">
        <v>5.77</v>
      </c>
    </row>
    <row r="370" spans="1:7" x14ac:dyDescent="0.3">
      <c r="A370" t="s">
        <v>557</v>
      </c>
      <c r="B370">
        <v>19658</v>
      </c>
      <c r="C370" t="s">
        <v>4784</v>
      </c>
      <c r="D370" t="s">
        <v>464</v>
      </c>
      <c r="E370">
        <v>52.87</v>
      </c>
      <c r="F370">
        <v>195.82</v>
      </c>
      <c r="G370">
        <v>3.7</v>
      </c>
    </row>
    <row r="371" spans="1:7" x14ac:dyDescent="0.3">
      <c r="A371" t="s">
        <v>557</v>
      </c>
      <c r="B371">
        <v>19654</v>
      </c>
      <c r="C371" t="s">
        <v>5099</v>
      </c>
      <c r="D371" t="s">
        <v>464</v>
      </c>
      <c r="E371">
        <v>21.2</v>
      </c>
      <c r="F371">
        <v>106.44</v>
      </c>
      <c r="G371">
        <v>5.0199999999999996</v>
      </c>
    </row>
    <row r="372" spans="1:7" x14ac:dyDescent="0.3">
      <c r="A372" t="s">
        <v>557</v>
      </c>
      <c r="B372">
        <v>21093</v>
      </c>
      <c r="C372" t="s">
        <v>4855</v>
      </c>
      <c r="D372" t="s">
        <v>464</v>
      </c>
      <c r="E372">
        <v>20</v>
      </c>
      <c r="F372">
        <v>87.8</v>
      </c>
      <c r="G372">
        <v>4.3899999999999997</v>
      </c>
    </row>
    <row r="373" spans="1:7" x14ac:dyDescent="0.3">
      <c r="A373" t="s">
        <v>557</v>
      </c>
      <c r="B373">
        <v>24596</v>
      </c>
      <c r="C373" t="s">
        <v>5197</v>
      </c>
      <c r="D373" t="s">
        <v>464</v>
      </c>
      <c r="E373">
        <v>2</v>
      </c>
      <c r="F373">
        <v>30</v>
      </c>
      <c r="G373">
        <v>15</v>
      </c>
    </row>
    <row r="374" spans="1:7" x14ac:dyDescent="0.3">
      <c r="A374" t="s">
        <v>557</v>
      </c>
      <c r="B374">
        <v>19507</v>
      </c>
      <c r="C374" t="s">
        <v>4853</v>
      </c>
      <c r="D374" t="s">
        <v>464</v>
      </c>
      <c r="E374">
        <v>15.2</v>
      </c>
      <c r="F374">
        <v>269.42</v>
      </c>
      <c r="G374">
        <v>17.73</v>
      </c>
    </row>
    <row r="375" spans="1:7" x14ac:dyDescent="0.3">
      <c r="A375" t="s">
        <v>557</v>
      </c>
      <c r="B375">
        <v>17950</v>
      </c>
      <c r="C375" t="s">
        <v>5091</v>
      </c>
      <c r="D375" t="s">
        <v>464</v>
      </c>
      <c r="E375">
        <v>35</v>
      </c>
      <c r="F375">
        <v>508.2</v>
      </c>
      <c r="G375">
        <v>14.52</v>
      </c>
    </row>
    <row r="376" spans="1:7" x14ac:dyDescent="0.3">
      <c r="A376" t="s">
        <v>557</v>
      </c>
      <c r="B376">
        <v>17958</v>
      </c>
      <c r="C376" t="s">
        <v>5076</v>
      </c>
      <c r="D376" t="s">
        <v>464</v>
      </c>
      <c r="E376">
        <v>33</v>
      </c>
      <c r="F376">
        <v>455.4</v>
      </c>
      <c r="G376">
        <v>13.8</v>
      </c>
    </row>
    <row r="377" spans="1:7" x14ac:dyDescent="0.3">
      <c r="A377" t="s">
        <v>557</v>
      </c>
      <c r="B377">
        <v>17314</v>
      </c>
      <c r="C377" t="s">
        <v>5208</v>
      </c>
      <c r="D377" t="s">
        <v>464</v>
      </c>
      <c r="E377">
        <v>10</v>
      </c>
      <c r="F377">
        <v>58.9</v>
      </c>
      <c r="G377">
        <v>5.89</v>
      </c>
    </row>
    <row r="378" spans="1:7" x14ac:dyDescent="0.3">
      <c r="A378" t="s">
        <v>557</v>
      </c>
      <c r="B378">
        <v>18004</v>
      </c>
      <c r="C378" t="s">
        <v>5093</v>
      </c>
      <c r="D378" t="s">
        <v>464</v>
      </c>
      <c r="E378">
        <v>4</v>
      </c>
      <c r="F378">
        <v>102.12</v>
      </c>
      <c r="G378">
        <v>25.53</v>
      </c>
    </row>
    <row r="379" spans="1:7" x14ac:dyDescent="0.3">
      <c r="A379" t="s">
        <v>557</v>
      </c>
      <c r="B379">
        <v>24096</v>
      </c>
      <c r="C379" t="s">
        <v>4771</v>
      </c>
      <c r="D379" t="s">
        <v>464</v>
      </c>
      <c r="E379">
        <v>276.42</v>
      </c>
      <c r="F379">
        <v>11113.45</v>
      </c>
      <c r="G379">
        <v>40.200000000000003</v>
      </c>
    </row>
    <row r="380" spans="1:7" x14ac:dyDescent="0.3">
      <c r="A380" t="s">
        <v>557</v>
      </c>
      <c r="B380">
        <v>17266</v>
      </c>
      <c r="C380" t="s">
        <v>5192</v>
      </c>
      <c r="D380" t="s">
        <v>464</v>
      </c>
      <c r="E380">
        <v>9</v>
      </c>
      <c r="F380">
        <v>44.22</v>
      </c>
      <c r="G380">
        <v>4.91</v>
      </c>
    </row>
    <row r="381" spans="1:7" x14ac:dyDescent="0.3">
      <c r="A381" t="s">
        <v>557</v>
      </c>
      <c r="B381">
        <v>19506</v>
      </c>
      <c r="C381" t="s">
        <v>5122</v>
      </c>
      <c r="D381" t="s">
        <v>464</v>
      </c>
      <c r="E381">
        <v>2.4</v>
      </c>
      <c r="F381">
        <v>120.2</v>
      </c>
      <c r="G381">
        <v>50.08</v>
      </c>
    </row>
    <row r="382" spans="1:7" x14ac:dyDescent="0.3">
      <c r="A382" t="s">
        <v>557</v>
      </c>
      <c r="B382">
        <v>19505</v>
      </c>
      <c r="C382" t="s">
        <v>4872</v>
      </c>
      <c r="D382" t="s">
        <v>464</v>
      </c>
      <c r="E382">
        <v>54.8</v>
      </c>
      <c r="F382">
        <v>609.20000000000005</v>
      </c>
      <c r="G382">
        <v>11.12</v>
      </c>
    </row>
    <row r="383" spans="1:7" x14ac:dyDescent="0.3">
      <c r="A383" t="s">
        <v>557</v>
      </c>
      <c r="B383">
        <v>19502</v>
      </c>
      <c r="C383" t="s">
        <v>4871</v>
      </c>
      <c r="D383" t="s">
        <v>464</v>
      </c>
      <c r="E383">
        <v>18</v>
      </c>
      <c r="F383">
        <v>270.44</v>
      </c>
      <c r="G383">
        <v>15.02</v>
      </c>
    </row>
    <row r="384" spans="1:7" x14ac:dyDescent="0.3">
      <c r="A384" t="s">
        <v>557</v>
      </c>
      <c r="B384">
        <v>19652</v>
      </c>
      <c r="C384" t="s">
        <v>4899</v>
      </c>
      <c r="D384" t="s">
        <v>464</v>
      </c>
      <c r="E384">
        <v>3</v>
      </c>
      <c r="F384">
        <v>55.86</v>
      </c>
      <c r="G384">
        <v>18.62</v>
      </c>
    </row>
    <row r="385" spans="1:7" x14ac:dyDescent="0.3">
      <c r="A385" t="s">
        <v>557</v>
      </c>
      <c r="B385">
        <v>19647</v>
      </c>
      <c r="C385" t="s">
        <v>5050</v>
      </c>
      <c r="D385" t="s">
        <v>464</v>
      </c>
      <c r="E385">
        <v>3.5</v>
      </c>
      <c r="F385">
        <v>48.75</v>
      </c>
      <c r="G385">
        <v>13.93</v>
      </c>
    </row>
    <row r="386" spans="1:7" x14ac:dyDescent="0.3">
      <c r="A386" t="s">
        <v>557</v>
      </c>
      <c r="B386">
        <v>24037</v>
      </c>
      <c r="C386" t="s">
        <v>5233</v>
      </c>
      <c r="D386" t="s">
        <v>464</v>
      </c>
      <c r="E386">
        <v>11</v>
      </c>
      <c r="F386">
        <v>193.48</v>
      </c>
      <c r="G386">
        <v>17.59</v>
      </c>
    </row>
    <row r="387" spans="1:7" x14ac:dyDescent="0.3">
      <c r="A387" t="s">
        <v>557</v>
      </c>
      <c r="B387">
        <v>24040</v>
      </c>
      <c r="C387" t="s">
        <v>5002</v>
      </c>
      <c r="D387" t="s">
        <v>464</v>
      </c>
      <c r="E387">
        <v>2</v>
      </c>
      <c r="F387">
        <v>154.08000000000001</v>
      </c>
      <c r="G387">
        <v>77.040000000000006</v>
      </c>
    </row>
    <row r="388" spans="1:7" x14ac:dyDescent="0.3">
      <c r="A388" t="s">
        <v>557</v>
      </c>
      <c r="B388">
        <v>27264</v>
      </c>
      <c r="C388" t="s">
        <v>5075</v>
      </c>
      <c r="D388" t="s">
        <v>464</v>
      </c>
      <c r="E388">
        <v>25.72</v>
      </c>
      <c r="F388">
        <v>2501.56</v>
      </c>
      <c r="G388">
        <v>97.26</v>
      </c>
    </row>
    <row r="389" spans="1:7" x14ac:dyDescent="0.3">
      <c r="A389" t="s">
        <v>557</v>
      </c>
      <c r="B389">
        <v>18545</v>
      </c>
      <c r="C389" t="s">
        <v>4864</v>
      </c>
      <c r="D389" t="s">
        <v>464</v>
      </c>
      <c r="E389">
        <v>1</v>
      </c>
      <c r="F389">
        <v>44</v>
      </c>
      <c r="G389">
        <v>44</v>
      </c>
    </row>
    <row r="390" spans="1:7" x14ac:dyDescent="0.3">
      <c r="A390" t="s">
        <v>557</v>
      </c>
      <c r="B390">
        <v>20301</v>
      </c>
      <c r="C390" t="s">
        <v>4944</v>
      </c>
      <c r="D390" t="s">
        <v>464</v>
      </c>
      <c r="E390">
        <v>43</v>
      </c>
      <c r="F390">
        <v>903</v>
      </c>
      <c r="G390">
        <v>21</v>
      </c>
    </row>
    <row r="391" spans="1:7" x14ac:dyDescent="0.3">
      <c r="A391" t="s">
        <v>557</v>
      </c>
      <c r="B391">
        <v>20295</v>
      </c>
      <c r="C391" t="s">
        <v>4881</v>
      </c>
      <c r="D391" t="s">
        <v>464</v>
      </c>
      <c r="E391">
        <v>4</v>
      </c>
      <c r="F391">
        <v>44.8</v>
      </c>
      <c r="G391">
        <v>11.2</v>
      </c>
    </row>
    <row r="392" spans="1:7" x14ac:dyDescent="0.3">
      <c r="A392" t="s">
        <v>557</v>
      </c>
      <c r="B392">
        <v>21783</v>
      </c>
      <c r="C392" t="s">
        <v>5210</v>
      </c>
      <c r="D392" t="s">
        <v>464</v>
      </c>
      <c r="E392">
        <v>1</v>
      </c>
      <c r="F392">
        <v>16</v>
      </c>
      <c r="G392">
        <v>16</v>
      </c>
    </row>
    <row r="393" spans="1:7" x14ac:dyDescent="0.3">
      <c r="A393" t="s">
        <v>557</v>
      </c>
      <c r="B393">
        <v>21047</v>
      </c>
      <c r="C393" t="s">
        <v>4847</v>
      </c>
      <c r="D393" t="s">
        <v>464</v>
      </c>
      <c r="E393">
        <v>2</v>
      </c>
      <c r="F393">
        <v>245.6</v>
      </c>
      <c r="G393">
        <v>122.8</v>
      </c>
    </row>
    <row r="394" spans="1:7" x14ac:dyDescent="0.3">
      <c r="A394" t="s">
        <v>557</v>
      </c>
      <c r="B394">
        <v>20751</v>
      </c>
      <c r="C394" t="s">
        <v>5004</v>
      </c>
      <c r="D394" t="s">
        <v>464</v>
      </c>
      <c r="E394">
        <v>2</v>
      </c>
      <c r="F394">
        <v>195.43</v>
      </c>
      <c r="G394">
        <v>97.72</v>
      </c>
    </row>
    <row r="395" spans="1:7" x14ac:dyDescent="0.3">
      <c r="A395" t="s">
        <v>557</v>
      </c>
      <c r="B395">
        <v>23808</v>
      </c>
      <c r="C395" t="s">
        <v>4982</v>
      </c>
      <c r="D395" t="s">
        <v>464</v>
      </c>
      <c r="E395">
        <v>4</v>
      </c>
      <c r="F395">
        <v>134.19999999999999</v>
      </c>
      <c r="G395">
        <v>33.549999999999997</v>
      </c>
    </row>
    <row r="396" spans="1:7" x14ac:dyDescent="0.3">
      <c r="A396" t="s">
        <v>557</v>
      </c>
      <c r="B396">
        <v>22721</v>
      </c>
      <c r="C396" t="s">
        <v>4803</v>
      </c>
      <c r="D396" t="s">
        <v>464</v>
      </c>
      <c r="E396">
        <v>10.199999999999999</v>
      </c>
      <c r="F396">
        <v>300.89999999999998</v>
      </c>
      <c r="G396">
        <v>29.5</v>
      </c>
    </row>
    <row r="397" spans="1:7" x14ac:dyDescent="0.3">
      <c r="A397" t="s">
        <v>557</v>
      </c>
      <c r="B397">
        <v>23390</v>
      </c>
      <c r="C397" t="s">
        <v>4873</v>
      </c>
      <c r="D397" t="s">
        <v>464</v>
      </c>
      <c r="E397">
        <v>5</v>
      </c>
      <c r="F397">
        <v>40.5</v>
      </c>
      <c r="G397">
        <v>8.1</v>
      </c>
    </row>
    <row r="398" spans="1:7" x14ac:dyDescent="0.3">
      <c r="A398" t="s">
        <v>557</v>
      </c>
      <c r="B398">
        <v>23389</v>
      </c>
      <c r="C398" t="s">
        <v>4960</v>
      </c>
      <c r="D398" t="s">
        <v>464</v>
      </c>
      <c r="E398">
        <v>49.46</v>
      </c>
      <c r="F398">
        <v>232.11</v>
      </c>
      <c r="G398">
        <v>4.6900000000000004</v>
      </c>
    </row>
    <row r="399" spans="1:7" x14ac:dyDescent="0.3">
      <c r="A399" t="s">
        <v>557</v>
      </c>
      <c r="B399">
        <v>28719</v>
      </c>
      <c r="C399" t="s">
        <v>5225</v>
      </c>
      <c r="D399" t="s">
        <v>464</v>
      </c>
      <c r="E399">
        <v>1</v>
      </c>
      <c r="F399">
        <v>398.18</v>
      </c>
      <c r="G399">
        <v>398.18</v>
      </c>
    </row>
    <row r="400" spans="1:7" x14ac:dyDescent="0.3">
      <c r="A400" t="s">
        <v>557</v>
      </c>
      <c r="B400">
        <v>24081</v>
      </c>
      <c r="C400" t="s">
        <v>4834</v>
      </c>
      <c r="D400" t="s">
        <v>464</v>
      </c>
      <c r="E400">
        <v>43.1</v>
      </c>
      <c r="F400">
        <v>1025.78</v>
      </c>
      <c r="G400">
        <v>23.8</v>
      </c>
    </row>
    <row r="401" spans="1:7" x14ac:dyDescent="0.3">
      <c r="A401" t="s">
        <v>557</v>
      </c>
      <c r="B401">
        <v>24083</v>
      </c>
      <c r="C401" t="s">
        <v>5165</v>
      </c>
      <c r="D401" t="s">
        <v>464</v>
      </c>
      <c r="E401">
        <v>310</v>
      </c>
      <c r="F401">
        <v>2882.2</v>
      </c>
      <c r="G401">
        <v>9.3000000000000007</v>
      </c>
    </row>
    <row r="402" spans="1:7" x14ac:dyDescent="0.3">
      <c r="A402" t="s">
        <v>557</v>
      </c>
      <c r="B402">
        <v>19642</v>
      </c>
      <c r="C402" t="s">
        <v>4996</v>
      </c>
      <c r="D402" t="s">
        <v>464</v>
      </c>
      <c r="E402">
        <v>3</v>
      </c>
      <c r="F402">
        <v>15.91</v>
      </c>
      <c r="G402">
        <v>5.3</v>
      </c>
    </row>
    <row r="403" spans="1:7" x14ac:dyDescent="0.3">
      <c r="A403" t="s">
        <v>557</v>
      </c>
      <c r="B403">
        <v>19635</v>
      </c>
      <c r="C403" t="s">
        <v>4786</v>
      </c>
      <c r="D403" t="s">
        <v>464</v>
      </c>
      <c r="E403">
        <v>54.6</v>
      </c>
      <c r="F403">
        <v>249.02</v>
      </c>
      <c r="G403">
        <v>4.5599999999999996</v>
      </c>
    </row>
    <row r="404" spans="1:7" x14ac:dyDescent="0.3">
      <c r="A404" t="s">
        <v>557</v>
      </c>
      <c r="B404">
        <v>19634</v>
      </c>
      <c r="C404" t="s">
        <v>4792</v>
      </c>
      <c r="D404" t="s">
        <v>464</v>
      </c>
      <c r="E404">
        <v>40.5</v>
      </c>
      <c r="F404">
        <v>286.17</v>
      </c>
      <c r="G404">
        <v>7.07</v>
      </c>
    </row>
    <row r="405" spans="1:7" x14ac:dyDescent="0.3">
      <c r="A405" t="s">
        <v>557</v>
      </c>
      <c r="B405">
        <v>19632</v>
      </c>
      <c r="C405" t="s">
        <v>4936</v>
      </c>
      <c r="D405" t="s">
        <v>464</v>
      </c>
      <c r="E405">
        <v>10.8</v>
      </c>
      <c r="F405">
        <v>47.55</v>
      </c>
      <c r="G405">
        <v>4.4000000000000004</v>
      </c>
    </row>
    <row r="406" spans="1:7" x14ac:dyDescent="0.3">
      <c r="A406" t="s">
        <v>557</v>
      </c>
      <c r="B406">
        <v>23819</v>
      </c>
      <c r="C406" t="s">
        <v>4947</v>
      </c>
      <c r="D406" t="s">
        <v>464</v>
      </c>
      <c r="E406">
        <v>3</v>
      </c>
      <c r="F406">
        <v>27.45</v>
      </c>
      <c r="G406">
        <v>9.15</v>
      </c>
    </row>
    <row r="407" spans="1:7" x14ac:dyDescent="0.3">
      <c r="A407" t="s">
        <v>557</v>
      </c>
      <c r="B407">
        <v>17565</v>
      </c>
      <c r="C407" t="s">
        <v>5247</v>
      </c>
      <c r="D407" t="s">
        <v>464</v>
      </c>
      <c r="E407">
        <v>2</v>
      </c>
      <c r="F407">
        <v>272</v>
      </c>
      <c r="G407">
        <v>136</v>
      </c>
    </row>
    <row r="408" spans="1:7" x14ac:dyDescent="0.3">
      <c r="A408" t="s">
        <v>557</v>
      </c>
      <c r="B408">
        <v>17564</v>
      </c>
      <c r="C408" t="s">
        <v>5187</v>
      </c>
      <c r="D408" t="s">
        <v>464</v>
      </c>
      <c r="E408">
        <v>1</v>
      </c>
      <c r="F408">
        <v>109.1</v>
      </c>
      <c r="G408">
        <v>109.1</v>
      </c>
    </row>
    <row r="409" spans="1:7" x14ac:dyDescent="0.3">
      <c r="A409" t="s">
        <v>557</v>
      </c>
      <c r="B409">
        <v>17381</v>
      </c>
      <c r="C409" t="s">
        <v>5262</v>
      </c>
      <c r="D409" t="s">
        <v>464</v>
      </c>
      <c r="E409">
        <v>4</v>
      </c>
      <c r="F409">
        <v>173.89</v>
      </c>
      <c r="G409">
        <v>43.47</v>
      </c>
    </row>
    <row r="410" spans="1:7" x14ac:dyDescent="0.3">
      <c r="A410" t="s">
        <v>557</v>
      </c>
      <c r="B410">
        <v>17573</v>
      </c>
      <c r="C410" t="s">
        <v>5306</v>
      </c>
      <c r="D410" t="s">
        <v>464</v>
      </c>
      <c r="E410">
        <v>1</v>
      </c>
      <c r="F410">
        <v>74.900000000000006</v>
      </c>
      <c r="G410">
        <v>74.900000000000006</v>
      </c>
    </row>
    <row r="411" spans="1:7" x14ac:dyDescent="0.3">
      <c r="A411" t="s">
        <v>557</v>
      </c>
      <c r="B411">
        <v>28856</v>
      </c>
      <c r="C411" t="s">
        <v>5284</v>
      </c>
      <c r="D411" t="s">
        <v>464</v>
      </c>
      <c r="E411">
        <v>1</v>
      </c>
      <c r="F411">
        <v>1850</v>
      </c>
      <c r="G411">
        <v>1850</v>
      </c>
    </row>
    <row r="412" spans="1:7" x14ac:dyDescent="0.3">
      <c r="A412" t="s">
        <v>557</v>
      </c>
      <c r="B412">
        <v>24099</v>
      </c>
      <c r="C412" t="s">
        <v>4933</v>
      </c>
      <c r="D412" t="s">
        <v>464</v>
      </c>
      <c r="E412">
        <v>8</v>
      </c>
      <c r="F412">
        <v>121</v>
      </c>
      <c r="G412">
        <v>15.13</v>
      </c>
    </row>
    <row r="413" spans="1:7" x14ac:dyDescent="0.3">
      <c r="A413" t="s">
        <v>557</v>
      </c>
      <c r="B413">
        <v>19492</v>
      </c>
      <c r="C413" t="s">
        <v>4937</v>
      </c>
      <c r="D413" t="s">
        <v>464</v>
      </c>
      <c r="E413">
        <v>7.5</v>
      </c>
      <c r="F413">
        <v>141.55000000000001</v>
      </c>
      <c r="G413">
        <v>18.87</v>
      </c>
    </row>
    <row r="414" spans="1:7" x14ac:dyDescent="0.3">
      <c r="A414" t="s">
        <v>557</v>
      </c>
      <c r="B414">
        <v>18475</v>
      </c>
      <c r="C414" t="s">
        <v>4895</v>
      </c>
      <c r="D414" t="s">
        <v>464</v>
      </c>
      <c r="E414">
        <v>24</v>
      </c>
      <c r="F414">
        <v>789.6</v>
      </c>
      <c r="G414">
        <v>32.9</v>
      </c>
    </row>
    <row r="415" spans="1:7" x14ac:dyDescent="0.3">
      <c r="A415" t="s">
        <v>557</v>
      </c>
      <c r="B415">
        <v>20809</v>
      </c>
      <c r="C415" t="s">
        <v>4822</v>
      </c>
      <c r="D415" t="s">
        <v>464</v>
      </c>
      <c r="E415">
        <v>24</v>
      </c>
      <c r="F415">
        <v>717.6</v>
      </c>
      <c r="G415">
        <v>29.9</v>
      </c>
    </row>
    <row r="416" spans="1:7" x14ac:dyDescent="0.3">
      <c r="A416" t="s">
        <v>557</v>
      </c>
      <c r="B416">
        <v>23385</v>
      </c>
      <c r="C416" t="s">
        <v>4938</v>
      </c>
      <c r="D416" t="s">
        <v>464</v>
      </c>
      <c r="E416">
        <v>7.2</v>
      </c>
      <c r="F416">
        <v>293.27999999999997</v>
      </c>
      <c r="G416">
        <v>40.729999999999997</v>
      </c>
    </row>
    <row r="417" spans="1:7" x14ac:dyDescent="0.3">
      <c r="A417" t="s">
        <v>557</v>
      </c>
      <c r="B417">
        <v>27212</v>
      </c>
      <c r="C417" t="s">
        <v>5230</v>
      </c>
      <c r="D417" t="s">
        <v>464</v>
      </c>
      <c r="E417">
        <v>1</v>
      </c>
      <c r="F417">
        <v>95.12</v>
      </c>
      <c r="G417">
        <v>95.12</v>
      </c>
    </row>
    <row r="418" spans="1:7" x14ac:dyDescent="0.3">
      <c r="A418" t="s">
        <v>557</v>
      </c>
      <c r="B418">
        <v>27214</v>
      </c>
      <c r="C418" t="s">
        <v>5229</v>
      </c>
      <c r="D418" t="s">
        <v>464</v>
      </c>
      <c r="E418">
        <v>1</v>
      </c>
      <c r="F418">
        <v>92.15</v>
      </c>
      <c r="G418">
        <v>92.15</v>
      </c>
    </row>
    <row r="419" spans="1:7" x14ac:dyDescent="0.3">
      <c r="A419" t="s">
        <v>557</v>
      </c>
      <c r="B419">
        <v>19490</v>
      </c>
      <c r="C419" t="s">
        <v>5116</v>
      </c>
      <c r="D419" t="s">
        <v>464</v>
      </c>
      <c r="E419">
        <v>1.36</v>
      </c>
      <c r="F419">
        <v>64.73</v>
      </c>
      <c r="G419">
        <v>47.6</v>
      </c>
    </row>
    <row r="420" spans="1:7" x14ac:dyDescent="0.3">
      <c r="A420" t="s">
        <v>557</v>
      </c>
      <c r="B420">
        <v>24690</v>
      </c>
      <c r="C420" t="s">
        <v>5168</v>
      </c>
      <c r="D420" t="s">
        <v>464</v>
      </c>
      <c r="E420">
        <v>1</v>
      </c>
      <c r="F420">
        <v>18.75</v>
      </c>
      <c r="G420">
        <v>18.75</v>
      </c>
    </row>
    <row r="421" spans="1:7" x14ac:dyDescent="0.3">
      <c r="A421" t="s">
        <v>557</v>
      </c>
      <c r="B421">
        <v>24116</v>
      </c>
      <c r="C421" t="s">
        <v>4777</v>
      </c>
      <c r="D421" t="s">
        <v>464</v>
      </c>
      <c r="E421">
        <v>10</v>
      </c>
      <c r="F421">
        <v>444</v>
      </c>
      <c r="G421">
        <v>44.4</v>
      </c>
    </row>
    <row r="422" spans="1:7" x14ac:dyDescent="0.3">
      <c r="A422" t="s">
        <v>557</v>
      </c>
      <c r="B422">
        <v>24117</v>
      </c>
      <c r="C422" t="s">
        <v>5236</v>
      </c>
      <c r="D422" t="s">
        <v>464</v>
      </c>
      <c r="E422">
        <v>5</v>
      </c>
      <c r="F422">
        <v>224.5</v>
      </c>
      <c r="G422">
        <v>44.9</v>
      </c>
    </row>
    <row r="423" spans="1:7" x14ac:dyDescent="0.3">
      <c r="A423" t="s">
        <v>557</v>
      </c>
      <c r="B423">
        <v>24658</v>
      </c>
      <c r="C423" t="s">
        <v>5274</v>
      </c>
      <c r="D423" t="s">
        <v>464</v>
      </c>
      <c r="E423">
        <v>85</v>
      </c>
      <c r="F423">
        <v>2941</v>
      </c>
      <c r="G423">
        <v>34.6</v>
      </c>
    </row>
    <row r="424" spans="1:7" x14ac:dyDescent="0.3">
      <c r="A424" t="s">
        <v>557</v>
      </c>
      <c r="B424">
        <v>25358</v>
      </c>
      <c r="C424" t="s">
        <v>4980</v>
      </c>
      <c r="D424" t="s">
        <v>464</v>
      </c>
      <c r="E424">
        <v>2</v>
      </c>
      <c r="F424">
        <v>163.5</v>
      </c>
      <c r="G424">
        <v>81.75</v>
      </c>
    </row>
    <row r="425" spans="1:7" x14ac:dyDescent="0.3">
      <c r="A425" t="s">
        <v>557</v>
      </c>
      <c r="B425">
        <v>20054</v>
      </c>
      <c r="C425" t="s">
        <v>4856</v>
      </c>
      <c r="D425" t="s">
        <v>464</v>
      </c>
      <c r="E425">
        <v>6</v>
      </c>
      <c r="F425">
        <v>70.680000000000007</v>
      </c>
      <c r="G425">
        <v>11.78</v>
      </c>
    </row>
    <row r="426" spans="1:7" x14ac:dyDescent="0.3">
      <c r="A426" t="s">
        <v>557</v>
      </c>
      <c r="B426">
        <v>24509</v>
      </c>
      <c r="C426" t="s">
        <v>4788</v>
      </c>
      <c r="D426" t="s">
        <v>464</v>
      </c>
      <c r="E426">
        <v>81.25</v>
      </c>
      <c r="F426">
        <v>386.06</v>
      </c>
      <c r="G426">
        <v>4.75</v>
      </c>
    </row>
    <row r="427" spans="1:7" x14ac:dyDescent="0.3">
      <c r="A427" t="s">
        <v>557</v>
      </c>
      <c r="B427">
        <v>19622</v>
      </c>
      <c r="C427" t="s">
        <v>4915</v>
      </c>
      <c r="D427" t="s">
        <v>464</v>
      </c>
      <c r="E427">
        <v>2</v>
      </c>
      <c r="F427">
        <v>11</v>
      </c>
      <c r="G427">
        <v>5.5</v>
      </c>
    </row>
    <row r="428" spans="1:7" x14ac:dyDescent="0.3">
      <c r="A428" t="s">
        <v>557</v>
      </c>
      <c r="B428">
        <v>19623</v>
      </c>
      <c r="C428" t="s">
        <v>4764</v>
      </c>
      <c r="D428" t="s">
        <v>464</v>
      </c>
      <c r="E428">
        <v>87.1</v>
      </c>
      <c r="F428">
        <v>524.30999999999995</v>
      </c>
      <c r="G428">
        <v>6.02</v>
      </c>
    </row>
    <row r="429" spans="1:7" x14ac:dyDescent="0.3">
      <c r="A429" t="s">
        <v>557</v>
      </c>
      <c r="B429">
        <v>19488</v>
      </c>
      <c r="C429" t="s">
        <v>5107</v>
      </c>
      <c r="D429" t="s">
        <v>464</v>
      </c>
      <c r="E429">
        <v>1.35</v>
      </c>
      <c r="F429">
        <v>18.37</v>
      </c>
      <c r="G429">
        <v>13.61</v>
      </c>
    </row>
    <row r="430" spans="1:7" x14ac:dyDescent="0.3">
      <c r="A430" t="s">
        <v>557</v>
      </c>
      <c r="B430">
        <v>19621</v>
      </c>
      <c r="C430" t="s">
        <v>4829</v>
      </c>
      <c r="D430" t="s">
        <v>464</v>
      </c>
      <c r="E430">
        <v>29</v>
      </c>
      <c r="F430">
        <v>220.86</v>
      </c>
      <c r="G430">
        <v>7.62</v>
      </c>
    </row>
    <row r="431" spans="1:7" x14ac:dyDescent="0.3">
      <c r="A431" t="s">
        <v>557</v>
      </c>
      <c r="B431">
        <v>26505</v>
      </c>
      <c r="C431" t="s">
        <v>4750</v>
      </c>
      <c r="D431" t="s">
        <v>464</v>
      </c>
      <c r="E431">
        <v>9</v>
      </c>
      <c r="F431">
        <v>1944</v>
      </c>
      <c r="G431">
        <v>216</v>
      </c>
    </row>
    <row r="432" spans="1:7" x14ac:dyDescent="0.3">
      <c r="A432" t="s">
        <v>557</v>
      </c>
      <c r="B432">
        <v>25561</v>
      </c>
      <c r="C432" t="s">
        <v>5095</v>
      </c>
      <c r="D432" t="s">
        <v>464</v>
      </c>
      <c r="E432">
        <v>3</v>
      </c>
      <c r="F432">
        <v>396</v>
      </c>
      <c r="G432">
        <v>132</v>
      </c>
    </row>
    <row r="433" spans="1:7" x14ac:dyDescent="0.3">
      <c r="A433" t="s">
        <v>557</v>
      </c>
      <c r="B433">
        <v>24141</v>
      </c>
      <c r="C433" t="s">
        <v>5088</v>
      </c>
      <c r="D433" t="s">
        <v>464</v>
      </c>
      <c r="E433">
        <v>22</v>
      </c>
      <c r="F433">
        <v>2908.46</v>
      </c>
      <c r="G433">
        <v>132.19999999999999</v>
      </c>
    </row>
    <row r="434" spans="1:7" x14ac:dyDescent="0.3">
      <c r="A434" t="s">
        <v>557</v>
      </c>
      <c r="B434">
        <v>24973</v>
      </c>
      <c r="C434" t="s">
        <v>4819</v>
      </c>
      <c r="D434" t="s">
        <v>464</v>
      </c>
      <c r="E434">
        <v>3</v>
      </c>
      <c r="F434">
        <v>238.92</v>
      </c>
      <c r="G434">
        <v>79.64</v>
      </c>
    </row>
    <row r="435" spans="1:7" x14ac:dyDescent="0.3">
      <c r="A435" t="s">
        <v>557</v>
      </c>
      <c r="B435">
        <v>27018</v>
      </c>
      <c r="C435" t="s">
        <v>4737</v>
      </c>
      <c r="D435" t="s">
        <v>464</v>
      </c>
      <c r="E435">
        <v>7</v>
      </c>
      <c r="F435">
        <v>557.48</v>
      </c>
      <c r="G435">
        <v>79.64</v>
      </c>
    </row>
    <row r="436" spans="1:7" x14ac:dyDescent="0.3">
      <c r="A436" t="s">
        <v>557</v>
      </c>
      <c r="B436">
        <v>24142</v>
      </c>
      <c r="C436" t="s">
        <v>5090</v>
      </c>
      <c r="D436" t="s">
        <v>464</v>
      </c>
      <c r="E436">
        <v>2</v>
      </c>
      <c r="F436">
        <v>323.04000000000002</v>
      </c>
      <c r="G436">
        <v>161.52000000000001</v>
      </c>
    </row>
    <row r="437" spans="1:7" x14ac:dyDescent="0.3">
      <c r="A437" t="s">
        <v>557</v>
      </c>
      <c r="B437">
        <v>18579</v>
      </c>
      <c r="C437" t="s">
        <v>5087</v>
      </c>
      <c r="D437" t="s">
        <v>464</v>
      </c>
      <c r="E437">
        <v>3</v>
      </c>
      <c r="F437">
        <v>491.76</v>
      </c>
      <c r="G437">
        <v>163.92</v>
      </c>
    </row>
    <row r="438" spans="1:7" x14ac:dyDescent="0.3">
      <c r="A438" t="s">
        <v>557</v>
      </c>
      <c r="B438">
        <v>20928</v>
      </c>
      <c r="C438" t="s">
        <v>4950</v>
      </c>
      <c r="D438" t="s">
        <v>464</v>
      </c>
      <c r="E438">
        <v>2</v>
      </c>
      <c r="F438">
        <v>413.43</v>
      </c>
      <c r="G438">
        <v>206.72</v>
      </c>
    </row>
    <row r="439" spans="1:7" x14ac:dyDescent="0.3">
      <c r="A439" t="s">
        <v>557</v>
      </c>
      <c r="B439">
        <v>25807</v>
      </c>
      <c r="C439" t="s">
        <v>4951</v>
      </c>
      <c r="D439" t="s">
        <v>464</v>
      </c>
      <c r="E439">
        <v>1</v>
      </c>
      <c r="F439">
        <v>186.38</v>
      </c>
      <c r="G439">
        <v>186.38</v>
      </c>
    </row>
    <row r="440" spans="1:7" x14ac:dyDescent="0.3">
      <c r="A440" t="s">
        <v>557</v>
      </c>
      <c r="B440">
        <v>18636</v>
      </c>
      <c r="C440" t="s">
        <v>4964</v>
      </c>
      <c r="D440" t="s">
        <v>464</v>
      </c>
      <c r="E440">
        <v>31</v>
      </c>
      <c r="F440">
        <v>14442.56</v>
      </c>
      <c r="G440">
        <v>465.89</v>
      </c>
    </row>
    <row r="441" spans="1:7" x14ac:dyDescent="0.3">
      <c r="A441" t="s">
        <v>557</v>
      </c>
      <c r="B441">
        <v>24981</v>
      </c>
      <c r="C441" t="s">
        <v>5140</v>
      </c>
      <c r="D441" t="s">
        <v>464</v>
      </c>
      <c r="E441">
        <v>1</v>
      </c>
      <c r="F441">
        <v>435</v>
      </c>
      <c r="G441">
        <v>435</v>
      </c>
    </row>
    <row r="442" spans="1:7" x14ac:dyDescent="0.3">
      <c r="A442" t="s">
        <v>557</v>
      </c>
      <c r="B442">
        <v>26135</v>
      </c>
      <c r="C442" t="s">
        <v>4801</v>
      </c>
      <c r="D442" t="s">
        <v>464</v>
      </c>
      <c r="E442">
        <v>39.9</v>
      </c>
      <c r="F442">
        <v>3587.01</v>
      </c>
      <c r="G442">
        <v>89.9</v>
      </c>
    </row>
    <row r="443" spans="1:7" x14ac:dyDescent="0.3">
      <c r="A443" t="s">
        <v>557</v>
      </c>
      <c r="B443">
        <v>25676</v>
      </c>
      <c r="C443" t="s">
        <v>4866</v>
      </c>
      <c r="D443" t="s">
        <v>464</v>
      </c>
      <c r="E443">
        <v>3</v>
      </c>
      <c r="F443">
        <v>226.2</v>
      </c>
      <c r="G443">
        <v>75.400000000000006</v>
      </c>
    </row>
    <row r="444" spans="1:7" x14ac:dyDescent="0.3">
      <c r="A444" t="s">
        <v>557</v>
      </c>
      <c r="B444">
        <v>19617</v>
      </c>
      <c r="C444" t="s">
        <v>5071</v>
      </c>
      <c r="D444" t="s">
        <v>464</v>
      </c>
      <c r="E444">
        <v>3.2</v>
      </c>
      <c r="F444">
        <v>112.57</v>
      </c>
      <c r="G444">
        <v>35.18</v>
      </c>
    </row>
    <row r="445" spans="1:7" x14ac:dyDescent="0.3">
      <c r="A445" t="s">
        <v>557</v>
      </c>
      <c r="B445">
        <v>19845</v>
      </c>
      <c r="C445" t="s">
        <v>4874</v>
      </c>
      <c r="D445" t="s">
        <v>464</v>
      </c>
      <c r="E445">
        <v>2</v>
      </c>
      <c r="F445">
        <v>110.2</v>
      </c>
      <c r="G445">
        <v>55.1</v>
      </c>
    </row>
    <row r="446" spans="1:7" x14ac:dyDescent="0.3">
      <c r="A446" t="s">
        <v>557</v>
      </c>
      <c r="B446">
        <v>19842</v>
      </c>
      <c r="C446" t="s">
        <v>5300</v>
      </c>
      <c r="D446" t="s">
        <v>464</v>
      </c>
      <c r="E446">
        <v>2</v>
      </c>
      <c r="F446">
        <v>130.5</v>
      </c>
      <c r="G446">
        <v>65.25</v>
      </c>
    </row>
    <row r="447" spans="1:7" x14ac:dyDescent="0.3">
      <c r="A447" t="s">
        <v>557</v>
      </c>
      <c r="B447">
        <v>20549</v>
      </c>
      <c r="C447" t="s">
        <v>4823</v>
      </c>
      <c r="D447" t="s">
        <v>464</v>
      </c>
      <c r="E447">
        <v>32.799999999999997</v>
      </c>
      <c r="F447">
        <v>655.67</v>
      </c>
      <c r="G447">
        <v>19.989999999999998</v>
      </c>
    </row>
    <row r="448" spans="1:7" x14ac:dyDescent="0.3">
      <c r="A448" t="s">
        <v>557</v>
      </c>
      <c r="B448">
        <v>17532</v>
      </c>
      <c r="C448" t="s">
        <v>5259</v>
      </c>
      <c r="D448" t="s">
        <v>464</v>
      </c>
      <c r="E448">
        <v>1</v>
      </c>
      <c r="F448">
        <v>98</v>
      </c>
      <c r="G448">
        <v>98</v>
      </c>
    </row>
    <row r="449" spans="1:7" x14ac:dyDescent="0.3">
      <c r="A449" t="s">
        <v>557</v>
      </c>
      <c r="B449">
        <v>24191</v>
      </c>
      <c r="C449" t="s">
        <v>4846</v>
      </c>
      <c r="D449" t="s">
        <v>464</v>
      </c>
      <c r="E449">
        <v>12.4</v>
      </c>
      <c r="F449">
        <v>355.9</v>
      </c>
      <c r="G449">
        <v>28.7</v>
      </c>
    </row>
    <row r="450" spans="1:7" x14ac:dyDescent="0.3">
      <c r="A450" t="s">
        <v>557</v>
      </c>
      <c r="B450">
        <v>18595</v>
      </c>
      <c r="C450" t="s">
        <v>5092</v>
      </c>
      <c r="D450" t="s">
        <v>464</v>
      </c>
      <c r="E450">
        <v>3</v>
      </c>
      <c r="F450">
        <v>386.96</v>
      </c>
      <c r="G450">
        <v>128.99</v>
      </c>
    </row>
    <row r="451" spans="1:7" x14ac:dyDescent="0.3">
      <c r="A451" t="s">
        <v>557</v>
      </c>
      <c r="B451">
        <v>26679</v>
      </c>
      <c r="C451" t="s">
        <v>4791</v>
      </c>
      <c r="D451" t="s">
        <v>464</v>
      </c>
      <c r="E451">
        <v>152.63999999999999</v>
      </c>
      <c r="F451">
        <v>4563.78</v>
      </c>
      <c r="G451">
        <v>29.9</v>
      </c>
    </row>
    <row r="452" spans="1:7" x14ac:dyDescent="0.3">
      <c r="A452" t="s">
        <v>557</v>
      </c>
      <c r="B452">
        <v>24197</v>
      </c>
      <c r="C452" t="s">
        <v>5237</v>
      </c>
      <c r="D452" t="s">
        <v>464</v>
      </c>
      <c r="E452">
        <v>71.2</v>
      </c>
      <c r="F452">
        <v>1557.68</v>
      </c>
      <c r="G452">
        <v>21.88</v>
      </c>
    </row>
    <row r="453" spans="1:7" x14ac:dyDescent="0.3">
      <c r="A453" t="s">
        <v>557</v>
      </c>
      <c r="B453">
        <v>24200</v>
      </c>
      <c r="C453" t="s">
        <v>4820</v>
      </c>
      <c r="D453" t="s">
        <v>464</v>
      </c>
      <c r="E453">
        <v>21.2</v>
      </c>
      <c r="F453">
        <v>697.48</v>
      </c>
      <c r="G453">
        <v>32.9</v>
      </c>
    </row>
    <row r="454" spans="1:7" x14ac:dyDescent="0.3">
      <c r="A454" t="s">
        <v>557</v>
      </c>
      <c r="B454">
        <v>21257</v>
      </c>
      <c r="C454" t="s">
        <v>4952</v>
      </c>
      <c r="D454" t="s">
        <v>464</v>
      </c>
      <c r="E454">
        <v>5</v>
      </c>
      <c r="F454">
        <v>91.82</v>
      </c>
      <c r="G454">
        <v>18.36</v>
      </c>
    </row>
    <row r="455" spans="1:7" x14ac:dyDescent="0.3">
      <c r="A455" t="s">
        <v>557</v>
      </c>
      <c r="B455">
        <v>23238</v>
      </c>
      <c r="C455" t="s">
        <v>4934</v>
      </c>
      <c r="D455" t="s">
        <v>464</v>
      </c>
      <c r="E455">
        <v>5.55</v>
      </c>
      <c r="F455">
        <v>93.78</v>
      </c>
      <c r="G455">
        <v>16.899999999999999</v>
      </c>
    </row>
    <row r="456" spans="1:7" x14ac:dyDescent="0.3">
      <c r="A456" t="s">
        <v>557</v>
      </c>
      <c r="B456">
        <v>23236</v>
      </c>
      <c r="C456" t="s">
        <v>5062</v>
      </c>
      <c r="D456" t="s">
        <v>464</v>
      </c>
      <c r="E456">
        <v>19</v>
      </c>
      <c r="F456">
        <v>203</v>
      </c>
      <c r="G456">
        <v>10.68</v>
      </c>
    </row>
    <row r="457" spans="1:7" x14ac:dyDescent="0.3">
      <c r="A457" t="s">
        <v>557</v>
      </c>
      <c r="B457">
        <v>19041</v>
      </c>
      <c r="C457" t="s">
        <v>4762</v>
      </c>
      <c r="D457" t="s">
        <v>464</v>
      </c>
      <c r="E457">
        <v>135.5</v>
      </c>
      <c r="F457">
        <v>2039.95</v>
      </c>
      <c r="G457">
        <v>15.05</v>
      </c>
    </row>
    <row r="458" spans="1:7" x14ac:dyDescent="0.3">
      <c r="A458" t="s">
        <v>557</v>
      </c>
      <c r="B458">
        <v>22843</v>
      </c>
      <c r="C458" t="s">
        <v>4849</v>
      </c>
      <c r="D458" t="s">
        <v>464</v>
      </c>
      <c r="E458">
        <v>16.3</v>
      </c>
      <c r="F458">
        <v>628.54</v>
      </c>
      <c r="G458">
        <v>38.56</v>
      </c>
    </row>
    <row r="459" spans="1:7" x14ac:dyDescent="0.3">
      <c r="A459" t="s">
        <v>557</v>
      </c>
      <c r="B459">
        <v>19439</v>
      </c>
      <c r="C459" t="s">
        <v>4917</v>
      </c>
      <c r="D459" t="s">
        <v>464</v>
      </c>
      <c r="E459">
        <v>4</v>
      </c>
      <c r="F459">
        <v>111.6</v>
      </c>
      <c r="G459">
        <v>27.9</v>
      </c>
    </row>
    <row r="460" spans="1:7" x14ac:dyDescent="0.3">
      <c r="A460" t="s">
        <v>557</v>
      </c>
      <c r="B460">
        <v>20689</v>
      </c>
      <c r="C460" t="s">
        <v>5007</v>
      </c>
      <c r="D460" t="s">
        <v>464</v>
      </c>
      <c r="E460">
        <v>8</v>
      </c>
      <c r="F460">
        <v>258</v>
      </c>
      <c r="G460">
        <v>32.25</v>
      </c>
    </row>
    <row r="461" spans="1:7" x14ac:dyDescent="0.3">
      <c r="A461" t="s">
        <v>557</v>
      </c>
      <c r="B461">
        <v>26020</v>
      </c>
      <c r="C461" t="s">
        <v>5102</v>
      </c>
      <c r="D461" t="s">
        <v>464</v>
      </c>
      <c r="E461">
        <v>7</v>
      </c>
      <c r="F461">
        <v>91.03</v>
      </c>
      <c r="G461">
        <v>13</v>
      </c>
    </row>
    <row r="462" spans="1:7" x14ac:dyDescent="0.3">
      <c r="A462" t="s">
        <v>557</v>
      </c>
      <c r="B462">
        <v>24217</v>
      </c>
      <c r="C462" t="s">
        <v>4778</v>
      </c>
      <c r="D462" t="s">
        <v>464</v>
      </c>
      <c r="E462">
        <v>86.89</v>
      </c>
      <c r="F462">
        <v>3119.61</v>
      </c>
      <c r="G462">
        <v>35.9</v>
      </c>
    </row>
    <row r="463" spans="1:7" x14ac:dyDescent="0.3">
      <c r="A463" t="s">
        <v>557</v>
      </c>
      <c r="B463">
        <v>17304</v>
      </c>
      <c r="C463" t="s">
        <v>5195</v>
      </c>
      <c r="D463" t="s">
        <v>464</v>
      </c>
      <c r="E463">
        <v>8</v>
      </c>
      <c r="F463">
        <v>52.72</v>
      </c>
      <c r="G463">
        <v>6.59</v>
      </c>
    </row>
    <row r="464" spans="1:7" x14ac:dyDescent="0.3">
      <c r="A464" t="s">
        <v>557</v>
      </c>
      <c r="B464">
        <v>21618</v>
      </c>
      <c r="C464" t="s">
        <v>5239</v>
      </c>
      <c r="D464" t="s">
        <v>464</v>
      </c>
      <c r="E464">
        <v>30</v>
      </c>
      <c r="F464">
        <v>771.3</v>
      </c>
      <c r="G464">
        <v>25.71</v>
      </c>
    </row>
    <row r="465" spans="1:7" x14ac:dyDescent="0.3">
      <c r="A465" t="s">
        <v>557</v>
      </c>
      <c r="B465">
        <v>17215</v>
      </c>
      <c r="C465" t="s">
        <v>5299</v>
      </c>
      <c r="D465" t="s">
        <v>464</v>
      </c>
      <c r="E465">
        <v>6</v>
      </c>
      <c r="F465">
        <v>155.4</v>
      </c>
      <c r="G465">
        <v>25.9</v>
      </c>
    </row>
    <row r="466" spans="1:7" x14ac:dyDescent="0.3">
      <c r="A466" t="s">
        <v>557</v>
      </c>
      <c r="B466">
        <v>17205</v>
      </c>
      <c r="C466" t="s">
        <v>5264</v>
      </c>
      <c r="D466" t="s">
        <v>464</v>
      </c>
      <c r="E466">
        <v>1</v>
      </c>
      <c r="F466">
        <v>170</v>
      </c>
      <c r="G466">
        <v>170</v>
      </c>
    </row>
    <row r="467" spans="1:7" x14ac:dyDescent="0.3">
      <c r="A467" t="s">
        <v>557</v>
      </c>
      <c r="B467">
        <v>29952</v>
      </c>
      <c r="C467" t="s">
        <v>5220</v>
      </c>
      <c r="D467" t="s">
        <v>464</v>
      </c>
      <c r="E467">
        <v>250</v>
      </c>
      <c r="F467">
        <v>595</v>
      </c>
      <c r="G467">
        <v>2.38</v>
      </c>
    </row>
    <row r="468" spans="1:7" x14ac:dyDescent="0.3">
      <c r="A468" t="s">
        <v>557</v>
      </c>
      <c r="B468">
        <v>29948</v>
      </c>
      <c r="C468" t="s">
        <v>5217</v>
      </c>
      <c r="D468" t="s">
        <v>464</v>
      </c>
      <c r="E468">
        <v>250</v>
      </c>
      <c r="F468">
        <v>245</v>
      </c>
      <c r="G468">
        <v>0.98</v>
      </c>
    </row>
    <row r="469" spans="1:7" x14ac:dyDescent="0.3">
      <c r="A469" t="s">
        <v>557</v>
      </c>
      <c r="B469">
        <v>29950</v>
      </c>
      <c r="C469" t="s">
        <v>5219</v>
      </c>
      <c r="D469" t="s">
        <v>464</v>
      </c>
      <c r="E469">
        <v>250</v>
      </c>
      <c r="F469">
        <v>370</v>
      </c>
      <c r="G469">
        <v>1.48</v>
      </c>
    </row>
    <row r="470" spans="1:7" x14ac:dyDescent="0.3">
      <c r="A470" t="s">
        <v>557</v>
      </c>
      <c r="B470">
        <v>17916</v>
      </c>
      <c r="C470" t="s">
        <v>5235</v>
      </c>
      <c r="D470" t="s">
        <v>464</v>
      </c>
      <c r="E470">
        <v>5</v>
      </c>
      <c r="F470">
        <v>144</v>
      </c>
      <c r="G470">
        <v>28.8</v>
      </c>
    </row>
    <row r="471" spans="1:7" x14ac:dyDescent="0.3">
      <c r="A471" t="s">
        <v>557</v>
      </c>
      <c r="B471">
        <v>23234</v>
      </c>
      <c r="C471" t="s">
        <v>4986</v>
      </c>
      <c r="D471" t="s">
        <v>464</v>
      </c>
      <c r="E471">
        <v>1</v>
      </c>
      <c r="F471">
        <v>25</v>
      </c>
      <c r="G471">
        <v>25</v>
      </c>
    </row>
    <row r="472" spans="1:7" x14ac:dyDescent="0.3">
      <c r="A472" t="s">
        <v>557</v>
      </c>
      <c r="B472">
        <v>19526</v>
      </c>
      <c r="C472" t="s">
        <v>4997</v>
      </c>
      <c r="D472" t="s">
        <v>464</v>
      </c>
      <c r="E472">
        <v>4</v>
      </c>
      <c r="F472">
        <v>209.3</v>
      </c>
      <c r="G472">
        <v>52.33</v>
      </c>
    </row>
    <row r="473" spans="1:7" x14ac:dyDescent="0.3">
      <c r="A473" t="s">
        <v>557</v>
      </c>
      <c r="B473">
        <v>18945</v>
      </c>
      <c r="C473" t="s">
        <v>4768</v>
      </c>
      <c r="D473" t="s">
        <v>464</v>
      </c>
      <c r="E473">
        <v>6</v>
      </c>
      <c r="F473">
        <v>370.08</v>
      </c>
      <c r="G473">
        <v>61.68</v>
      </c>
    </row>
    <row r="474" spans="1:7" x14ac:dyDescent="0.3">
      <c r="A474" t="s">
        <v>557</v>
      </c>
      <c r="B474">
        <v>27545</v>
      </c>
      <c r="C474" t="s">
        <v>5292</v>
      </c>
      <c r="D474" t="s">
        <v>464</v>
      </c>
      <c r="E474">
        <v>6</v>
      </c>
      <c r="F474">
        <v>224.52</v>
      </c>
      <c r="G474">
        <v>37.42</v>
      </c>
    </row>
    <row r="475" spans="1:7" x14ac:dyDescent="0.3">
      <c r="A475" t="s">
        <v>557</v>
      </c>
      <c r="B475">
        <v>19353</v>
      </c>
      <c r="C475" t="s">
        <v>4851</v>
      </c>
      <c r="D475" t="s">
        <v>464</v>
      </c>
      <c r="E475">
        <v>5</v>
      </c>
      <c r="F475">
        <v>127.8</v>
      </c>
      <c r="G475">
        <v>25.56</v>
      </c>
    </row>
    <row r="476" spans="1:7" x14ac:dyDescent="0.3">
      <c r="A476" t="s">
        <v>557</v>
      </c>
      <c r="B476">
        <v>24522</v>
      </c>
      <c r="C476" t="s">
        <v>5072</v>
      </c>
      <c r="D476" t="s">
        <v>464</v>
      </c>
      <c r="E476">
        <v>1</v>
      </c>
      <c r="F476">
        <v>25</v>
      </c>
      <c r="G476">
        <v>25</v>
      </c>
    </row>
    <row r="477" spans="1:7" x14ac:dyDescent="0.3">
      <c r="A477" t="s">
        <v>557</v>
      </c>
      <c r="B477">
        <v>17196</v>
      </c>
      <c r="C477" t="s">
        <v>5258</v>
      </c>
      <c r="D477" t="s">
        <v>464</v>
      </c>
      <c r="E477">
        <v>3</v>
      </c>
      <c r="F477">
        <v>19.14</v>
      </c>
      <c r="G477">
        <v>6.38</v>
      </c>
    </row>
    <row r="478" spans="1:7" x14ac:dyDescent="0.3">
      <c r="A478" t="s">
        <v>557</v>
      </c>
      <c r="B478">
        <v>17190</v>
      </c>
      <c r="C478" t="s">
        <v>5193</v>
      </c>
      <c r="D478" t="s">
        <v>464</v>
      </c>
      <c r="E478">
        <v>2</v>
      </c>
      <c r="F478">
        <v>16.2</v>
      </c>
      <c r="G478">
        <v>8.1</v>
      </c>
    </row>
    <row r="479" spans="1:7" x14ac:dyDescent="0.3">
      <c r="A479" t="s">
        <v>557</v>
      </c>
      <c r="B479">
        <v>29206</v>
      </c>
      <c r="C479" t="s">
        <v>5189</v>
      </c>
      <c r="D479" t="s">
        <v>464</v>
      </c>
      <c r="E479">
        <v>6</v>
      </c>
      <c r="F479">
        <v>582</v>
      </c>
      <c r="G479">
        <v>97</v>
      </c>
    </row>
    <row r="480" spans="1:7" x14ac:dyDescent="0.3">
      <c r="A480" t="s">
        <v>557</v>
      </c>
      <c r="B480">
        <v>18030</v>
      </c>
      <c r="C480" t="s">
        <v>4840</v>
      </c>
      <c r="D480" t="s">
        <v>464</v>
      </c>
      <c r="E480">
        <v>6</v>
      </c>
      <c r="F480">
        <v>165</v>
      </c>
      <c r="G480">
        <v>27.5</v>
      </c>
    </row>
    <row r="481" spans="1:7" x14ac:dyDescent="0.3">
      <c r="A481" t="s">
        <v>557</v>
      </c>
      <c r="B481">
        <v>17455</v>
      </c>
      <c r="C481" t="s">
        <v>5290</v>
      </c>
      <c r="D481" t="s">
        <v>464</v>
      </c>
      <c r="E481">
        <v>1</v>
      </c>
      <c r="F481">
        <v>35.270000000000003</v>
      </c>
      <c r="G481">
        <v>35.270000000000003</v>
      </c>
    </row>
    <row r="482" spans="1:7" x14ac:dyDescent="0.3">
      <c r="A482" t="s">
        <v>557</v>
      </c>
      <c r="B482">
        <v>26366</v>
      </c>
      <c r="C482" t="s">
        <v>5301</v>
      </c>
      <c r="D482" t="s">
        <v>464</v>
      </c>
      <c r="E482">
        <v>6</v>
      </c>
      <c r="F482">
        <v>414</v>
      </c>
      <c r="G482">
        <v>69</v>
      </c>
    </row>
    <row r="483" spans="1:7" x14ac:dyDescent="0.3">
      <c r="A483" t="s">
        <v>557</v>
      </c>
      <c r="B483">
        <v>20672</v>
      </c>
      <c r="C483" t="s">
        <v>4857</v>
      </c>
      <c r="D483" t="s">
        <v>464</v>
      </c>
      <c r="E483">
        <v>3</v>
      </c>
      <c r="F483">
        <v>88.65</v>
      </c>
      <c r="G483">
        <v>29.55</v>
      </c>
    </row>
    <row r="484" spans="1:7" x14ac:dyDescent="0.3">
      <c r="A484" t="s">
        <v>557</v>
      </c>
      <c r="B484">
        <v>26627</v>
      </c>
      <c r="C484" t="s">
        <v>5190</v>
      </c>
      <c r="D484" t="s">
        <v>464</v>
      </c>
      <c r="E484">
        <v>85</v>
      </c>
      <c r="F484">
        <v>671.5</v>
      </c>
      <c r="G484">
        <v>7.9</v>
      </c>
    </row>
    <row r="485" spans="1:7" x14ac:dyDescent="0.3">
      <c r="A485" t="s">
        <v>557</v>
      </c>
      <c r="B485">
        <v>20382</v>
      </c>
      <c r="C485" t="s">
        <v>4780</v>
      </c>
      <c r="D485" t="s">
        <v>464</v>
      </c>
      <c r="E485">
        <v>38</v>
      </c>
      <c r="F485">
        <v>341.62</v>
      </c>
      <c r="G485">
        <v>8.99</v>
      </c>
    </row>
    <row r="486" spans="1:7" x14ac:dyDescent="0.3">
      <c r="A486" t="s">
        <v>557</v>
      </c>
      <c r="B486">
        <v>25237</v>
      </c>
      <c r="C486" t="s">
        <v>5143</v>
      </c>
      <c r="D486" t="s">
        <v>464</v>
      </c>
      <c r="E486">
        <v>20</v>
      </c>
      <c r="F486">
        <v>105.8</v>
      </c>
      <c r="G486">
        <v>5.29</v>
      </c>
    </row>
    <row r="487" spans="1:7" x14ac:dyDescent="0.3">
      <c r="A487" t="s">
        <v>557</v>
      </c>
      <c r="B487">
        <v>20322</v>
      </c>
      <c r="C487" t="s">
        <v>4882</v>
      </c>
      <c r="D487" t="s">
        <v>464</v>
      </c>
      <c r="E487">
        <v>4</v>
      </c>
      <c r="F487">
        <v>35.4</v>
      </c>
      <c r="G487">
        <v>8.85</v>
      </c>
    </row>
    <row r="488" spans="1:7" x14ac:dyDescent="0.3">
      <c r="A488" t="s">
        <v>557</v>
      </c>
      <c r="B488">
        <v>20358</v>
      </c>
      <c r="C488" t="s">
        <v>4911</v>
      </c>
      <c r="D488" t="s">
        <v>464</v>
      </c>
      <c r="E488">
        <v>4</v>
      </c>
      <c r="F488">
        <v>57</v>
      </c>
      <c r="G488">
        <v>14.25</v>
      </c>
    </row>
    <row r="489" spans="1:7" x14ac:dyDescent="0.3">
      <c r="A489" t="s">
        <v>557</v>
      </c>
      <c r="B489">
        <v>20242</v>
      </c>
      <c r="C489" t="s">
        <v>4824</v>
      </c>
      <c r="D489" t="s">
        <v>464</v>
      </c>
      <c r="E489">
        <v>35</v>
      </c>
      <c r="F489">
        <v>722.25</v>
      </c>
      <c r="G489">
        <v>20.64</v>
      </c>
    </row>
    <row r="490" spans="1:7" x14ac:dyDescent="0.3">
      <c r="A490" t="s">
        <v>557</v>
      </c>
      <c r="B490">
        <v>20231</v>
      </c>
      <c r="C490" t="s">
        <v>5273</v>
      </c>
      <c r="D490" t="s">
        <v>464</v>
      </c>
      <c r="E490">
        <v>2</v>
      </c>
      <c r="F490">
        <v>33.92</v>
      </c>
      <c r="G490">
        <v>16.96</v>
      </c>
    </row>
    <row r="491" spans="1:7" x14ac:dyDescent="0.3">
      <c r="A491" t="s">
        <v>557</v>
      </c>
      <c r="B491">
        <v>20227</v>
      </c>
      <c r="C491" t="s">
        <v>4825</v>
      </c>
      <c r="D491" t="s">
        <v>464</v>
      </c>
      <c r="E491">
        <v>10</v>
      </c>
      <c r="F491">
        <v>151.19999999999999</v>
      </c>
      <c r="G491">
        <v>15.12</v>
      </c>
    </row>
    <row r="492" spans="1:7" x14ac:dyDescent="0.3">
      <c r="A492" t="s">
        <v>557</v>
      </c>
      <c r="B492">
        <v>19017</v>
      </c>
      <c r="C492" t="s">
        <v>5174</v>
      </c>
      <c r="D492" t="s">
        <v>464</v>
      </c>
      <c r="E492">
        <v>18</v>
      </c>
      <c r="F492">
        <v>278.16000000000003</v>
      </c>
      <c r="G492">
        <v>15.45</v>
      </c>
    </row>
    <row r="493" spans="1:7" x14ac:dyDescent="0.3">
      <c r="A493" t="s">
        <v>557</v>
      </c>
      <c r="B493">
        <v>22763</v>
      </c>
      <c r="C493" t="s">
        <v>5289</v>
      </c>
      <c r="D493" t="s">
        <v>464</v>
      </c>
      <c r="E493">
        <v>5.8</v>
      </c>
      <c r="F493">
        <v>568.4</v>
      </c>
      <c r="G493">
        <v>98</v>
      </c>
    </row>
    <row r="494" spans="1:7" x14ac:dyDescent="0.3">
      <c r="A494" t="s">
        <v>557</v>
      </c>
      <c r="B494">
        <v>24256</v>
      </c>
      <c r="C494" t="s">
        <v>4773</v>
      </c>
      <c r="D494" t="s">
        <v>464</v>
      </c>
      <c r="E494">
        <v>60</v>
      </c>
      <c r="F494">
        <v>2250</v>
      </c>
      <c r="G494">
        <v>37.5</v>
      </c>
    </row>
    <row r="495" spans="1:7" x14ac:dyDescent="0.3">
      <c r="A495" t="s">
        <v>557</v>
      </c>
      <c r="B495">
        <v>24259</v>
      </c>
      <c r="C495" t="s">
        <v>4875</v>
      </c>
      <c r="D495" t="s">
        <v>464</v>
      </c>
      <c r="E495">
        <v>52.48</v>
      </c>
      <c r="F495">
        <v>4126.5600000000004</v>
      </c>
      <c r="G495">
        <v>78.63</v>
      </c>
    </row>
    <row r="496" spans="1:7" x14ac:dyDescent="0.3">
      <c r="A496" t="s">
        <v>557</v>
      </c>
      <c r="B496">
        <v>24272</v>
      </c>
      <c r="C496" t="s">
        <v>5059</v>
      </c>
      <c r="D496" t="s">
        <v>464</v>
      </c>
      <c r="E496">
        <v>2</v>
      </c>
      <c r="F496">
        <v>51.8</v>
      </c>
      <c r="G496">
        <v>25.9</v>
      </c>
    </row>
    <row r="497" spans="1:7" x14ac:dyDescent="0.3">
      <c r="A497" t="s">
        <v>557</v>
      </c>
      <c r="B497">
        <v>25777</v>
      </c>
      <c r="C497" t="s">
        <v>4774</v>
      </c>
      <c r="D497" t="s">
        <v>464</v>
      </c>
      <c r="E497">
        <v>104.84</v>
      </c>
      <c r="F497">
        <v>9458.35</v>
      </c>
      <c r="G497">
        <v>90.22</v>
      </c>
    </row>
    <row r="498" spans="1:7" x14ac:dyDescent="0.3">
      <c r="A498" t="s">
        <v>557</v>
      </c>
      <c r="B498">
        <v>24278</v>
      </c>
      <c r="C498" t="s">
        <v>4901</v>
      </c>
      <c r="D498" t="s">
        <v>464</v>
      </c>
      <c r="E498">
        <v>25.7</v>
      </c>
      <c r="F498">
        <v>244.15</v>
      </c>
      <c r="G498">
        <v>9.5</v>
      </c>
    </row>
    <row r="499" spans="1:7" x14ac:dyDescent="0.3">
      <c r="A499" t="s">
        <v>557</v>
      </c>
      <c r="B499">
        <v>19765</v>
      </c>
      <c r="C499" t="s">
        <v>4889</v>
      </c>
      <c r="D499" t="s">
        <v>464</v>
      </c>
      <c r="E499">
        <v>6</v>
      </c>
      <c r="F499">
        <v>227.7</v>
      </c>
      <c r="G499">
        <v>37.950000000000003</v>
      </c>
    </row>
    <row r="500" spans="1:7" x14ac:dyDescent="0.3">
      <c r="A500" t="s">
        <v>557</v>
      </c>
      <c r="B500">
        <v>19003</v>
      </c>
      <c r="C500" t="s">
        <v>4810</v>
      </c>
      <c r="D500" t="s">
        <v>464</v>
      </c>
      <c r="E500">
        <v>95.79</v>
      </c>
      <c r="F500">
        <v>3821.82</v>
      </c>
      <c r="G500">
        <v>39.9</v>
      </c>
    </row>
    <row r="501" spans="1:7" x14ac:dyDescent="0.3">
      <c r="A501" t="s">
        <v>557</v>
      </c>
      <c r="B501">
        <v>24497</v>
      </c>
      <c r="C501" t="s">
        <v>5231</v>
      </c>
      <c r="D501" t="s">
        <v>464</v>
      </c>
      <c r="E501">
        <v>12</v>
      </c>
      <c r="F501">
        <v>816.06</v>
      </c>
      <c r="G501">
        <v>68.010000000000005</v>
      </c>
    </row>
    <row r="502" spans="1:7" x14ac:dyDescent="0.3">
      <c r="A502" t="s">
        <v>557</v>
      </c>
      <c r="B502">
        <v>23971</v>
      </c>
      <c r="C502" t="s">
        <v>5296</v>
      </c>
      <c r="D502" t="s">
        <v>464</v>
      </c>
      <c r="E502">
        <v>2</v>
      </c>
      <c r="F502">
        <v>21</v>
      </c>
      <c r="G502">
        <v>10.5</v>
      </c>
    </row>
    <row r="503" spans="1:7" x14ac:dyDescent="0.3">
      <c r="A503" t="s">
        <v>557</v>
      </c>
      <c r="B503">
        <v>23974</v>
      </c>
      <c r="C503" t="s">
        <v>4862</v>
      </c>
      <c r="D503" t="s">
        <v>464</v>
      </c>
      <c r="E503">
        <v>3</v>
      </c>
      <c r="F503">
        <v>168.48</v>
      </c>
      <c r="G503">
        <v>56.16</v>
      </c>
    </row>
    <row r="504" spans="1:7" x14ac:dyDescent="0.3">
      <c r="A504" t="s">
        <v>557</v>
      </c>
      <c r="B504">
        <v>19607</v>
      </c>
      <c r="C504" t="s">
        <v>4981</v>
      </c>
      <c r="D504" t="s">
        <v>464</v>
      </c>
      <c r="E504">
        <v>2.4900000000000002</v>
      </c>
      <c r="F504">
        <v>20.38</v>
      </c>
      <c r="G504">
        <v>8.18</v>
      </c>
    </row>
    <row r="505" spans="1:7" x14ac:dyDescent="0.3">
      <c r="A505" t="s">
        <v>557</v>
      </c>
      <c r="B505">
        <v>18359</v>
      </c>
      <c r="C505" t="s">
        <v>4921</v>
      </c>
      <c r="D505" t="s">
        <v>464</v>
      </c>
      <c r="E505">
        <v>8</v>
      </c>
      <c r="F505">
        <v>725.9</v>
      </c>
      <c r="G505">
        <v>90.74</v>
      </c>
    </row>
    <row r="506" spans="1:7" x14ac:dyDescent="0.3">
      <c r="A506" t="s">
        <v>557</v>
      </c>
      <c r="B506">
        <v>19763</v>
      </c>
      <c r="C506" t="s">
        <v>5268</v>
      </c>
      <c r="D506" t="s">
        <v>464</v>
      </c>
      <c r="E506">
        <v>4.5999999999999996</v>
      </c>
      <c r="F506">
        <v>53.56</v>
      </c>
      <c r="G506">
        <v>11.64</v>
      </c>
    </row>
    <row r="507" spans="1:7" x14ac:dyDescent="0.3">
      <c r="A507" t="s">
        <v>557</v>
      </c>
      <c r="B507">
        <v>21021</v>
      </c>
      <c r="C507" t="s">
        <v>4883</v>
      </c>
      <c r="D507" t="s">
        <v>464</v>
      </c>
      <c r="E507">
        <v>8</v>
      </c>
      <c r="F507">
        <v>1502.08</v>
      </c>
      <c r="G507">
        <v>187.76</v>
      </c>
    </row>
    <row r="508" spans="1:7" x14ac:dyDescent="0.3">
      <c r="A508" t="s">
        <v>557</v>
      </c>
      <c r="B508">
        <v>20213</v>
      </c>
      <c r="C508" t="s">
        <v>5160</v>
      </c>
      <c r="D508" t="s">
        <v>464</v>
      </c>
      <c r="E508">
        <v>3</v>
      </c>
      <c r="F508">
        <v>94.8</v>
      </c>
      <c r="G508">
        <v>31.6</v>
      </c>
    </row>
    <row r="509" spans="1:7" x14ac:dyDescent="0.3">
      <c r="A509" t="s">
        <v>557</v>
      </c>
      <c r="B509">
        <v>17905</v>
      </c>
      <c r="C509" t="s">
        <v>5085</v>
      </c>
      <c r="D509" t="s">
        <v>464</v>
      </c>
      <c r="E509">
        <v>28</v>
      </c>
      <c r="F509">
        <v>681.48</v>
      </c>
      <c r="G509">
        <v>24.34</v>
      </c>
    </row>
    <row r="510" spans="1:7" x14ac:dyDescent="0.3">
      <c r="A510" t="s">
        <v>557</v>
      </c>
      <c r="B510">
        <v>17903</v>
      </c>
      <c r="C510" t="s">
        <v>5084</v>
      </c>
      <c r="D510" t="s">
        <v>464</v>
      </c>
      <c r="E510">
        <v>7</v>
      </c>
      <c r="F510">
        <v>178.71</v>
      </c>
      <c r="G510">
        <v>25.53</v>
      </c>
    </row>
    <row r="511" spans="1:7" x14ac:dyDescent="0.3">
      <c r="A511" t="s">
        <v>557</v>
      </c>
      <c r="B511">
        <v>28658</v>
      </c>
      <c r="C511" t="s">
        <v>5263</v>
      </c>
      <c r="D511" t="s">
        <v>464</v>
      </c>
      <c r="E511">
        <v>2</v>
      </c>
      <c r="F511">
        <v>494</v>
      </c>
      <c r="G511">
        <v>247</v>
      </c>
    </row>
    <row r="512" spans="1:7" x14ac:dyDescent="0.3">
      <c r="A512" t="s">
        <v>557</v>
      </c>
      <c r="B512">
        <v>29210</v>
      </c>
      <c r="C512" t="s">
        <v>5178</v>
      </c>
      <c r="D512" t="s">
        <v>464</v>
      </c>
      <c r="E512">
        <v>38.119999999999997</v>
      </c>
      <c r="F512">
        <v>1486.53</v>
      </c>
      <c r="G512">
        <v>39</v>
      </c>
    </row>
    <row r="513" spans="1:7" x14ac:dyDescent="0.3">
      <c r="A513" t="s">
        <v>557</v>
      </c>
      <c r="B513">
        <v>25687</v>
      </c>
      <c r="C513" t="s">
        <v>5253</v>
      </c>
      <c r="D513" t="s">
        <v>464</v>
      </c>
      <c r="E513">
        <v>3</v>
      </c>
      <c r="F513">
        <v>226.2</v>
      </c>
      <c r="G513">
        <v>75.400000000000006</v>
      </c>
    </row>
    <row r="514" spans="1:7" x14ac:dyDescent="0.3">
      <c r="A514" t="s">
        <v>557</v>
      </c>
      <c r="B514">
        <v>19480</v>
      </c>
      <c r="C514" t="s">
        <v>5119</v>
      </c>
      <c r="D514" t="s">
        <v>464</v>
      </c>
      <c r="E514">
        <v>4.1500000000000004</v>
      </c>
      <c r="F514">
        <v>86.39</v>
      </c>
      <c r="G514">
        <v>20.82</v>
      </c>
    </row>
    <row r="515" spans="1:7" x14ac:dyDescent="0.3">
      <c r="A515" t="s">
        <v>557</v>
      </c>
      <c r="B515">
        <v>19241</v>
      </c>
      <c r="C515" t="s">
        <v>4890</v>
      </c>
      <c r="D515" t="s">
        <v>464</v>
      </c>
      <c r="E515">
        <v>2</v>
      </c>
      <c r="F515">
        <v>3.84</v>
      </c>
      <c r="G515">
        <v>1.92</v>
      </c>
    </row>
    <row r="516" spans="1:7" x14ac:dyDescent="0.3">
      <c r="A516" t="s">
        <v>557</v>
      </c>
      <c r="B516">
        <v>23365</v>
      </c>
      <c r="C516" t="s">
        <v>5108</v>
      </c>
      <c r="D516" t="s">
        <v>464</v>
      </c>
      <c r="E516">
        <v>6</v>
      </c>
      <c r="F516">
        <v>122</v>
      </c>
      <c r="G516">
        <v>20.329999999999998</v>
      </c>
    </row>
    <row r="517" spans="1:7" x14ac:dyDescent="0.3">
      <c r="A517" t="s">
        <v>557</v>
      </c>
      <c r="B517">
        <v>23361</v>
      </c>
      <c r="C517" t="s">
        <v>4754</v>
      </c>
      <c r="D517" t="s">
        <v>464</v>
      </c>
      <c r="E517">
        <v>165</v>
      </c>
      <c r="F517">
        <v>430</v>
      </c>
      <c r="G517">
        <v>2.61</v>
      </c>
    </row>
    <row r="518" spans="1:7" x14ac:dyDescent="0.3">
      <c r="A518" t="s">
        <v>557</v>
      </c>
      <c r="B518">
        <v>20657</v>
      </c>
      <c r="C518" t="s">
        <v>5109</v>
      </c>
      <c r="D518" t="s">
        <v>464</v>
      </c>
      <c r="E518">
        <v>12</v>
      </c>
      <c r="F518">
        <v>79.92</v>
      </c>
      <c r="G518">
        <v>6.66</v>
      </c>
    </row>
    <row r="519" spans="1:7" x14ac:dyDescent="0.3">
      <c r="A519" t="s">
        <v>557</v>
      </c>
      <c r="B519">
        <v>20661</v>
      </c>
      <c r="C519" t="s">
        <v>5012</v>
      </c>
      <c r="D519" t="s">
        <v>464</v>
      </c>
      <c r="E519">
        <v>6</v>
      </c>
      <c r="F519">
        <v>51.54</v>
      </c>
      <c r="G519">
        <v>8.59</v>
      </c>
    </row>
    <row r="520" spans="1:7" x14ac:dyDescent="0.3">
      <c r="A520" t="s">
        <v>557</v>
      </c>
      <c r="B520">
        <v>20653</v>
      </c>
      <c r="C520" t="s">
        <v>5013</v>
      </c>
      <c r="D520" t="s">
        <v>464</v>
      </c>
      <c r="E520">
        <v>2</v>
      </c>
      <c r="F520">
        <v>51.92</v>
      </c>
      <c r="G520">
        <v>25.96</v>
      </c>
    </row>
    <row r="521" spans="1:7" x14ac:dyDescent="0.3">
      <c r="A521" t="s">
        <v>557</v>
      </c>
      <c r="B521">
        <v>19434</v>
      </c>
      <c r="C521" t="s">
        <v>5078</v>
      </c>
      <c r="D521" t="s">
        <v>464</v>
      </c>
      <c r="E521">
        <v>3</v>
      </c>
      <c r="F521">
        <v>68.37</v>
      </c>
      <c r="G521">
        <v>22.79</v>
      </c>
    </row>
    <row r="522" spans="1:7" x14ac:dyDescent="0.3">
      <c r="A522" t="s">
        <v>557</v>
      </c>
      <c r="B522">
        <v>19428</v>
      </c>
      <c r="C522" t="s">
        <v>5278</v>
      </c>
      <c r="D522" t="s">
        <v>464</v>
      </c>
      <c r="E522">
        <v>48</v>
      </c>
      <c r="F522">
        <v>259.2</v>
      </c>
      <c r="G522">
        <v>5.4</v>
      </c>
    </row>
    <row r="523" spans="1:7" x14ac:dyDescent="0.3">
      <c r="A523" t="s">
        <v>557</v>
      </c>
      <c r="B523">
        <v>24322</v>
      </c>
      <c r="C523" t="s">
        <v>5064</v>
      </c>
      <c r="D523" t="s">
        <v>464</v>
      </c>
      <c r="E523">
        <v>2</v>
      </c>
      <c r="F523">
        <v>44</v>
      </c>
      <c r="G523">
        <v>22</v>
      </c>
    </row>
    <row r="524" spans="1:7" x14ac:dyDescent="0.3">
      <c r="A524" t="s">
        <v>557</v>
      </c>
      <c r="B524">
        <v>20176</v>
      </c>
      <c r="C524" t="s">
        <v>5175</v>
      </c>
      <c r="D524" t="s">
        <v>464</v>
      </c>
      <c r="E524">
        <v>2</v>
      </c>
      <c r="F524">
        <v>69.08</v>
      </c>
      <c r="G524">
        <v>34.54</v>
      </c>
    </row>
    <row r="525" spans="1:7" x14ac:dyDescent="0.3">
      <c r="A525" t="s">
        <v>557</v>
      </c>
      <c r="B525">
        <v>18293</v>
      </c>
      <c r="C525" t="s">
        <v>5034</v>
      </c>
      <c r="D525" t="s">
        <v>464</v>
      </c>
      <c r="E525">
        <v>1</v>
      </c>
      <c r="F525">
        <v>119.9</v>
      </c>
      <c r="G525">
        <v>119.9</v>
      </c>
    </row>
    <row r="526" spans="1:7" x14ac:dyDescent="0.3">
      <c r="A526" t="s">
        <v>557</v>
      </c>
      <c r="B526">
        <v>24685</v>
      </c>
      <c r="C526" t="s">
        <v>5055</v>
      </c>
      <c r="D526" t="s">
        <v>464</v>
      </c>
      <c r="E526">
        <v>2</v>
      </c>
      <c r="F526">
        <v>460</v>
      </c>
      <c r="G526">
        <v>230</v>
      </c>
    </row>
    <row r="527" spans="1:7" x14ac:dyDescent="0.3">
      <c r="A527" t="s">
        <v>557</v>
      </c>
      <c r="B527">
        <v>18315</v>
      </c>
      <c r="C527" t="s">
        <v>4922</v>
      </c>
      <c r="D527" t="s">
        <v>464</v>
      </c>
      <c r="E527">
        <v>3</v>
      </c>
      <c r="F527">
        <v>372</v>
      </c>
      <c r="G527">
        <v>124</v>
      </c>
    </row>
    <row r="528" spans="1:7" x14ac:dyDescent="0.3">
      <c r="A528" t="s">
        <v>557</v>
      </c>
      <c r="B528">
        <v>19752</v>
      </c>
      <c r="C528" t="s">
        <v>4807</v>
      </c>
      <c r="D528" t="s">
        <v>464</v>
      </c>
      <c r="E528">
        <v>6</v>
      </c>
      <c r="F528">
        <v>34</v>
      </c>
      <c r="G528">
        <v>5.67</v>
      </c>
    </row>
    <row r="529" spans="1:7" x14ac:dyDescent="0.3">
      <c r="A529" t="s">
        <v>557</v>
      </c>
      <c r="B529">
        <v>19751</v>
      </c>
      <c r="C529" t="s">
        <v>4800</v>
      </c>
      <c r="D529" t="s">
        <v>464</v>
      </c>
      <c r="E529">
        <v>16</v>
      </c>
      <c r="F529">
        <v>139.80000000000001</v>
      </c>
      <c r="G529">
        <v>8.74</v>
      </c>
    </row>
    <row r="530" spans="1:7" x14ac:dyDescent="0.3">
      <c r="A530" t="s">
        <v>557</v>
      </c>
      <c r="B530">
        <v>23359</v>
      </c>
      <c r="C530" t="s">
        <v>4767</v>
      </c>
      <c r="D530" t="s">
        <v>464</v>
      </c>
      <c r="E530">
        <v>128.43</v>
      </c>
      <c r="F530">
        <v>339.8</v>
      </c>
      <c r="G530">
        <v>2.65</v>
      </c>
    </row>
    <row r="531" spans="1:7" x14ac:dyDescent="0.3">
      <c r="A531" t="s">
        <v>557</v>
      </c>
      <c r="B531">
        <v>24331</v>
      </c>
      <c r="C531" t="s">
        <v>5166</v>
      </c>
      <c r="D531" t="s">
        <v>464</v>
      </c>
      <c r="E531">
        <v>10</v>
      </c>
      <c r="F531">
        <v>217.2</v>
      </c>
      <c r="G531">
        <v>21.72</v>
      </c>
    </row>
    <row r="532" spans="1:7" x14ac:dyDescent="0.3">
      <c r="A532" t="s">
        <v>557</v>
      </c>
      <c r="B532">
        <v>24339</v>
      </c>
      <c r="C532" t="s">
        <v>4885</v>
      </c>
      <c r="D532" t="s">
        <v>464</v>
      </c>
      <c r="E532">
        <v>12.5</v>
      </c>
      <c r="F532">
        <v>310.25</v>
      </c>
      <c r="G532">
        <v>24.82</v>
      </c>
    </row>
    <row r="533" spans="1:7" x14ac:dyDescent="0.3">
      <c r="A533" t="s">
        <v>557</v>
      </c>
      <c r="B533">
        <v>20501</v>
      </c>
      <c r="C533" t="s">
        <v>4760</v>
      </c>
      <c r="D533" t="s">
        <v>464</v>
      </c>
      <c r="E533">
        <v>123.5</v>
      </c>
      <c r="F533">
        <v>2631.78</v>
      </c>
      <c r="G533">
        <v>21.31</v>
      </c>
    </row>
    <row r="534" spans="1:7" x14ac:dyDescent="0.3">
      <c r="A534" t="s">
        <v>557</v>
      </c>
      <c r="B534">
        <v>23980</v>
      </c>
      <c r="C534" t="s">
        <v>5097</v>
      </c>
      <c r="D534" t="s">
        <v>464</v>
      </c>
      <c r="E534">
        <v>33.700000000000003</v>
      </c>
      <c r="F534">
        <v>1314.3</v>
      </c>
      <c r="G534">
        <v>39</v>
      </c>
    </row>
    <row r="535" spans="1:7" x14ac:dyDescent="0.3">
      <c r="A535" t="s">
        <v>557</v>
      </c>
      <c r="B535">
        <v>19478</v>
      </c>
      <c r="C535" t="s">
        <v>5283</v>
      </c>
      <c r="D535" t="s">
        <v>464</v>
      </c>
      <c r="E535">
        <v>1</v>
      </c>
      <c r="F535">
        <v>56.33</v>
      </c>
      <c r="G535">
        <v>56.33</v>
      </c>
    </row>
    <row r="536" spans="1:7" x14ac:dyDescent="0.3">
      <c r="A536" t="s">
        <v>557</v>
      </c>
      <c r="B536">
        <v>17017</v>
      </c>
      <c r="C536" t="s">
        <v>5199</v>
      </c>
      <c r="D536" t="s">
        <v>464</v>
      </c>
      <c r="E536">
        <v>11</v>
      </c>
      <c r="F536">
        <v>33</v>
      </c>
      <c r="G536">
        <v>3</v>
      </c>
    </row>
    <row r="537" spans="1:7" x14ac:dyDescent="0.3">
      <c r="A537" t="s">
        <v>557</v>
      </c>
      <c r="B537">
        <v>17504</v>
      </c>
      <c r="C537" t="s">
        <v>5260</v>
      </c>
      <c r="D537" t="s">
        <v>464</v>
      </c>
      <c r="E537">
        <v>6</v>
      </c>
      <c r="F537">
        <v>150</v>
      </c>
      <c r="G537">
        <v>25</v>
      </c>
    </row>
    <row r="538" spans="1:7" x14ac:dyDescent="0.3">
      <c r="A538" t="s">
        <v>557</v>
      </c>
      <c r="B538">
        <v>23349</v>
      </c>
      <c r="C538" t="s">
        <v>4988</v>
      </c>
      <c r="D538" t="s">
        <v>464</v>
      </c>
      <c r="E538">
        <v>2.6</v>
      </c>
      <c r="F538">
        <v>16.420000000000002</v>
      </c>
      <c r="G538">
        <v>6.32</v>
      </c>
    </row>
    <row r="539" spans="1:7" x14ac:dyDescent="0.3">
      <c r="A539" t="s">
        <v>557</v>
      </c>
      <c r="B539">
        <v>19743</v>
      </c>
      <c r="C539" t="s">
        <v>5047</v>
      </c>
      <c r="D539" t="s">
        <v>464</v>
      </c>
      <c r="E539">
        <v>6</v>
      </c>
      <c r="F539">
        <v>90.2</v>
      </c>
      <c r="G539">
        <v>15.03</v>
      </c>
    </row>
    <row r="540" spans="1:7" x14ac:dyDescent="0.3">
      <c r="A540" t="s">
        <v>557</v>
      </c>
      <c r="B540">
        <v>20138</v>
      </c>
      <c r="C540" t="s">
        <v>4886</v>
      </c>
      <c r="D540" t="s">
        <v>464</v>
      </c>
      <c r="E540">
        <v>14</v>
      </c>
      <c r="F540">
        <v>71.400000000000006</v>
      </c>
      <c r="G540">
        <v>5.0999999999999996</v>
      </c>
    </row>
    <row r="541" spans="1:7" x14ac:dyDescent="0.3">
      <c r="A541" t="s">
        <v>557</v>
      </c>
      <c r="B541">
        <v>25022</v>
      </c>
      <c r="C541" t="s">
        <v>4912</v>
      </c>
      <c r="D541" t="s">
        <v>464</v>
      </c>
      <c r="E541">
        <v>7</v>
      </c>
      <c r="F541">
        <v>29.4</v>
      </c>
      <c r="G541">
        <v>4.2</v>
      </c>
    </row>
    <row r="542" spans="1:7" x14ac:dyDescent="0.3">
      <c r="A542" t="s">
        <v>557</v>
      </c>
      <c r="B542">
        <v>20007</v>
      </c>
      <c r="C542" t="s">
        <v>5101</v>
      </c>
      <c r="D542" t="s">
        <v>464</v>
      </c>
      <c r="E542">
        <v>10</v>
      </c>
      <c r="F542">
        <v>496</v>
      </c>
      <c r="G542">
        <v>49.6</v>
      </c>
    </row>
    <row r="543" spans="1:7" x14ac:dyDescent="0.3">
      <c r="A543" t="s">
        <v>557</v>
      </c>
      <c r="B543">
        <v>19742</v>
      </c>
      <c r="C543" t="s">
        <v>4900</v>
      </c>
      <c r="D543" t="s">
        <v>464</v>
      </c>
      <c r="E543">
        <v>8.1999999999999993</v>
      </c>
      <c r="F543">
        <v>89.5</v>
      </c>
      <c r="G543">
        <v>10.91</v>
      </c>
    </row>
    <row r="544" spans="1:7" x14ac:dyDescent="0.3">
      <c r="A544" t="s">
        <v>557</v>
      </c>
      <c r="B544">
        <v>23228</v>
      </c>
      <c r="C544" t="s">
        <v>4782</v>
      </c>
      <c r="D544" t="s">
        <v>464</v>
      </c>
      <c r="E544">
        <v>47</v>
      </c>
      <c r="F544">
        <v>326.3</v>
      </c>
      <c r="G544">
        <v>6.94</v>
      </c>
    </row>
    <row r="545" spans="1:7" x14ac:dyDescent="0.3">
      <c r="A545" t="s">
        <v>557</v>
      </c>
      <c r="B545">
        <v>23227</v>
      </c>
      <c r="C545" t="s">
        <v>5267</v>
      </c>
      <c r="D545" t="s">
        <v>464</v>
      </c>
      <c r="E545">
        <v>18</v>
      </c>
      <c r="F545">
        <v>129.96</v>
      </c>
      <c r="G545">
        <v>7.22</v>
      </c>
    </row>
    <row r="546" spans="1:7" x14ac:dyDescent="0.3">
      <c r="A546" t="s">
        <v>557</v>
      </c>
      <c r="B546">
        <v>23346</v>
      </c>
      <c r="C546" t="s">
        <v>4916</v>
      </c>
      <c r="D546" t="s">
        <v>464</v>
      </c>
      <c r="E546">
        <v>21.14</v>
      </c>
      <c r="F546">
        <v>140.82</v>
      </c>
      <c r="G546">
        <v>6.66</v>
      </c>
    </row>
    <row r="547" spans="1:7" x14ac:dyDescent="0.3">
      <c r="A547" t="s">
        <v>557</v>
      </c>
      <c r="B547">
        <v>19476</v>
      </c>
      <c r="C547" t="s">
        <v>5115</v>
      </c>
      <c r="D547" t="s">
        <v>464</v>
      </c>
      <c r="E547">
        <v>1.6</v>
      </c>
      <c r="F547">
        <v>105.62</v>
      </c>
      <c r="G547">
        <v>66.010000000000005</v>
      </c>
    </row>
    <row r="548" spans="1:7" x14ac:dyDescent="0.3">
      <c r="A548" t="s">
        <v>557</v>
      </c>
      <c r="B548">
        <v>23088</v>
      </c>
      <c r="C548" t="s">
        <v>5027</v>
      </c>
      <c r="D548" t="s">
        <v>464</v>
      </c>
      <c r="E548">
        <v>3</v>
      </c>
      <c r="F548">
        <v>74.7</v>
      </c>
      <c r="G548">
        <v>24.9</v>
      </c>
    </row>
    <row r="549" spans="1:7" x14ac:dyDescent="0.3">
      <c r="A549" t="s">
        <v>557</v>
      </c>
      <c r="B549">
        <v>19401</v>
      </c>
      <c r="C549" t="s">
        <v>4809</v>
      </c>
      <c r="D549" t="s">
        <v>464</v>
      </c>
      <c r="E549">
        <v>8</v>
      </c>
      <c r="F549">
        <v>1503.19</v>
      </c>
      <c r="G549">
        <v>187.9</v>
      </c>
    </row>
    <row r="550" spans="1:7" x14ac:dyDescent="0.3">
      <c r="A550" t="s">
        <v>557</v>
      </c>
      <c r="B550">
        <v>19740</v>
      </c>
      <c r="C550" t="s">
        <v>4779</v>
      </c>
      <c r="D550" t="s">
        <v>464</v>
      </c>
      <c r="E550">
        <v>49.4</v>
      </c>
      <c r="F550">
        <v>444.03</v>
      </c>
      <c r="G550">
        <v>8.99</v>
      </c>
    </row>
    <row r="551" spans="1:7" x14ac:dyDescent="0.3">
      <c r="A551" t="s">
        <v>557</v>
      </c>
      <c r="B551">
        <v>19415</v>
      </c>
      <c r="C551" t="s">
        <v>4919</v>
      </c>
      <c r="D551" t="s">
        <v>464</v>
      </c>
      <c r="E551">
        <v>7</v>
      </c>
      <c r="F551">
        <v>58.52</v>
      </c>
      <c r="G551">
        <v>8.36</v>
      </c>
    </row>
    <row r="552" spans="1:7" x14ac:dyDescent="0.3">
      <c r="A552" t="s">
        <v>557</v>
      </c>
      <c r="B552">
        <v>17474</v>
      </c>
      <c r="C552" t="s">
        <v>5213</v>
      </c>
      <c r="D552" t="s">
        <v>464</v>
      </c>
      <c r="E552">
        <v>1</v>
      </c>
      <c r="F552">
        <v>75</v>
      </c>
      <c r="G552">
        <v>75</v>
      </c>
    </row>
    <row r="553" spans="1:7" x14ac:dyDescent="0.3">
      <c r="A553" t="s">
        <v>557</v>
      </c>
      <c r="B553">
        <v>17473</v>
      </c>
      <c r="C553" t="s">
        <v>5256</v>
      </c>
      <c r="D553" t="s">
        <v>464</v>
      </c>
      <c r="E553">
        <v>2</v>
      </c>
      <c r="F553">
        <v>170</v>
      </c>
      <c r="G553">
        <v>85</v>
      </c>
    </row>
    <row r="554" spans="1:7" x14ac:dyDescent="0.3">
      <c r="A554" t="s">
        <v>557</v>
      </c>
      <c r="B554">
        <v>24351</v>
      </c>
      <c r="C554" t="s">
        <v>5014</v>
      </c>
      <c r="D554" t="s">
        <v>464</v>
      </c>
      <c r="E554">
        <v>20</v>
      </c>
      <c r="F554">
        <v>650</v>
      </c>
      <c r="G554">
        <v>32.5</v>
      </c>
    </row>
    <row r="555" spans="1:7" x14ac:dyDescent="0.3">
      <c r="A555" t="s">
        <v>557</v>
      </c>
      <c r="B555">
        <v>20122</v>
      </c>
      <c r="C555" t="s">
        <v>4781</v>
      </c>
      <c r="D555" t="s">
        <v>464</v>
      </c>
      <c r="E555">
        <v>19</v>
      </c>
      <c r="F555">
        <v>273.22000000000003</v>
      </c>
      <c r="G555">
        <v>14.38</v>
      </c>
    </row>
    <row r="556" spans="1:7" x14ac:dyDescent="0.3">
      <c r="A556" t="s">
        <v>557</v>
      </c>
      <c r="B556">
        <v>20105</v>
      </c>
      <c r="C556" t="s">
        <v>4831</v>
      </c>
      <c r="D556" t="s">
        <v>464</v>
      </c>
      <c r="E556">
        <v>12</v>
      </c>
      <c r="F556">
        <v>263.39999999999998</v>
      </c>
      <c r="G556">
        <v>21.95</v>
      </c>
    </row>
    <row r="557" spans="1:7" x14ac:dyDescent="0.3">
      <c r="A557" t="s">
        <v>557</v>
      </c>
      <c r="B557">
        <v>25075</v>
      </c>
      <c r="C557" t="s">
        <v>4790</v>
      </c>
      <c r="D557" t="s">
        <v>464</v>
      </c>
      <c r="E557">
        <v>17</v>
      </c>
      <c r="F557">
        <v>158.6</v>
      </c>
      <c r="G557">
        <v>9.33</v>
      </c>
    </row>
    <row r="558" spans="1:7" x14ac:dyDescent="0.3">
      <c r="A558" t="s">
        <v>557</v>
      </c>
      <c r="B558">
        <v>20887</v>
      </c>
      <c r="C558" t="s">
        <v>4953</v>
      </c>
      <c r="D558" t="s">
        <v>464</v>
      </c>
      <c r="E558">
        <v>1</v>
      </c>
      <c r="F558">
        <v>36.9</v>
      </c>
      <c r="G558">
        <v>36.9</v>
      </c>
    </row>
    <row r="559" spans="1:7" x14ac:dyDescent="0.3">
      <c r="A559" t="s">
        <v>557</v>
      </c>
      <c r="B559">
        <v>19737</v>
      </c>
      <c r="C559" t="s">
        <v>4940</v>
      </c>
      <c r="D559" t="s">
        <v>464</v>
      </c>
      <c r="E559">
        <v>9.5</v>
      </c>
      <c r="F559">
        <v>55.1</v>
      </c>
      <c r="G559">
        <v>5.8</v>
      </c>
    </row>
    <row r="560" spans="1:7" x14ac:dyDescent="0.3">
      <c r="A560" t="s">
        <v>557</v>
      </c>
      <c r="B560">
        <v>19734</v>
      </c>
      <c r="C560" t="s">
        <v>4833</v>
      </c>
      <c r="D560" t="s">
        <v>464</v>
      </c>
      <c r="E560">
        <v>35.130000000000003</v>
      </c>
      <c r="F560">
        <v>473.11</v>
      </c>
      <c r="G560">
        <v>13.47</v>
      </c>
    </row>
    <row r="561" spans="1:7" x14ac:dyDescent="0.3">
      <c r="A561" t="s">
        <v>557</v>
      </c>
      <c r="B561">
        <v>20644</v>
      </c>
      <c r="C561" t="s">
        <v>5016</v>
      </c>
      <c r="D561" t="s">
        <v>464</v>
      </c>
      <c r="E561">
        <v>7</v>
      </c>
      <c r="F561">
        <v>25.86</v>
      </c>
      <c r="G561">
        <v>3.69</v>
      </c>
    </row>
    <row r="562" spans="1:7" x14ac:dyDescent="0.3">
      <c r="A562" t="s">
        <v>557</v>
      </c>
      <c r="B562">
        <v>19978</v>
      </c>
      <c r="C562" t="s">
        <v>4887</v>
      </c>
      <c r="D562" t="s">
        <v>464</v>
      </c>
      <c r="E562">
        <v>3</v>
      </c>
      <c r="F562">
        <v>64.349999999999994</v>
      </c>
      <c r="G562">
        <v>21.45</v>
      </c>
    </row>
    <row r="563" spans="1:7" x14ac:dyDescent="0.3">
      <c r="A563" t="s">
        <v>557</v>
      </c>
      <c r="B563">
        <v>19979</v>
      </c>
      <c r="C563" t="s">
        <v>5270</v>
      </c>
      <c r="D563" t="s">
        <v>464</v>
      </c>
      <c r="E563">
        <v>3</v>
      </c>
      <c r="F563">
        <v>64.349999999999994</v>
      </c>
      <c r="G563">
        <v>21.45</v>
      </c>
    </row>
    <row r="564" spans="1:7" x14ac:dyDescent="0.3">
      <c r="A564" t="s">
        <v>557</v>
      </c>
      <c r="B564">
        <v>19982</v>
      </c>
      <c r="C564" t="s">
        <v>5017</v>
      </c>
      <c r="D564" t="s">
        <v>464</v>
      </c>
      <c r="E564">
        <v>1</v>
      </c>
      <c r="F564">
        <v>7.29</v>
      </c>
      <c r="G564">
        <v>7.29</v>
      </c>
    </row>
    <row r="565" spans="1:7" x14ac:dyDescent="0.3">
      <c r="A565" t="s">
        <v>557</v>
      </c>
      <c r="B565">
        <v>19983</v>
      </c>
      <c r="C565" t="s">
        <v>5068</v>
      </c>
      <c r="D565" t="s">
        <v>464</v>
      </c>
      <c r="E565">
        <v>2</v>
      </c>
      <c r="F565">
        <v>39.6</v>
      </c>
      <c r="G565">
        <v>19.8</v>
      </c>
    </row>
    <row r="566" spans="1:7" x14ac:dyDescent="0.3">
      <c r="A566" t="s">
        <v>557</v>
      </c>
      <c r="B566">
        <v>19969</v>
      </c>
      <c r="C566" t="s">
        <v>5018</v>
      </c>
      <c r="D566" t="s">
        <v>464</v>
      </c>
      <c r="E566">
        <v>4</v>
      </c>
      <c r="F566">
        <v>44.1</v>
      </c>
      <c r="G566">
        <v>11.03</v>
      </c>
    </row>
    <row r="567" spans="1:7" x14ac:dyDescent="0.3">
      <c r="A567" t="s">
        <v>557</v>
      </c>
      <c r="B567">
        <v>23335</v>
      </c>
      <c r="C567" t="s">
        <v>4961</v>
      </c>
      <c r="D567" t="s">
        <v>464</v>
      </c>
      <c r="E567">
        <v>3.7</v>
      </c>
      <c r="F567">
        <v>141.57</v>
      </c>
      <c r="G567">
        <v>38.26</v>
      </c>
    </row>
    <row r="568" spans="1:7" x14ac:dyDescent="0.3">
      <c r="A568" t="s">
        <v>557</v>
      </c>
      <c r="B568">
        <v>19967</v>
      </c>
      <c r="C568" t="s">
        <v>4956</v>
      </c>
      <c r="D568" t="s">
        <v>464</v>
      </c>
      <c r="E568">
        <v>6</v>
      </c>
      <c r="F568">
        <v>295.68</v>
      </c>
      <c r="G568">
        <v>49.28</v>
      </c>
    </row>
    <row r="569" spans="1:7" x14ac:dyDescent="0.3">
      <c r="A569" t="s">
        <v>557</v>
      </c>
      <c r="B569">
        <v>19965</v>
      </c>
      <c r="C569" t="s">
        <v>5251</v>
      </c>
      <c r="D569" t="s">
        <v>464</v>
      </c>
      <c r="E569">
        <v>5</v>
      </c>
      <c r="F569">
        <v>67.5</v>
      </c>
      <c r="G569">
        <v>13.5</v>
      </c>
    </row>
    <row r="570" spans="1:7" x14ac:dyDescent="0.3">
      <c r="A570" t="s">
        <v>557</v>
      </c>
      <c r="B570">
        <v>27397</v>
      </c>
      <c r="C570" t="s">
        <v>4913</v>
      </c>
      <c r="D570" t="s">
        <v>464</v>
      </c>
      <c r="E570">
        <v>21</v>
      </c>
      <c r="F570">
        <v>1255.4000000000001</v>
      </c>
      <c r="G570">
        <v>59.78</v>
      </c>
    </row>
    <row r="571" spans="1:7" x14ac:dyDescent="0.3">
      <c r="A571" t="s">
        <v>557</v>
      </c>
      <c r="B571">
        <v>20984</v>
      </c>
      <c r="C571" t="s">
        <v>5133</v>
      </c>
      <c r="D571" t="s">
        <v>464</v>
      </c>
      <c r="E571">
        <v>36</v>
      </c>
      <c r="F571">
        <v>293.39999999999998</v>
      </c>
      <c r="G571">
        <v>8.15</v>
      </c>
    </row>
    <row r="572" spans="1:7" x14ac:dyDescent="0.3">
      <c r="A572" t="s">
        <v>557</v>
      </c>
      <c r="B572">
        <v>29895</v>
      </c>
      <c r="C572" t="s">
        <v>5234</v>
      </c>
      <c r="D572" t="s">
        <v>464</v>
      </c>
      <c r="E572">
        <v>3</v>
      </c>
      <c r="F572">
        <v>146.69999999999999</v>
      </c>
      <c r="G572">
        <v>48.9</v>
      </c>
    </row>
    <row r="573" spans="1:7" x14ac:dyDescent="0.3">
      <c r="A573" t="s">
        <v>557</v>
      </c>
      <c r="B573">
        <v>23096</v>
      </c>
      <c r="C573" t="s">
        <v>5164</v>
      </c>
      <c r="D573" t="s">
        <v>464</v>
      </c>
      <c r="E573">
        <v>1050</v>
      </c>
      <c r="F573">
        <v>667.5</v>
      </c>
      <c r="G573">
        <v>0.64</v>
      </c>
    </row>
    <row r="574" spans="1:7" x14ac:dyDescent="0.3">
      <c r="A574" t="s">
        <v>557</v>
      </c>
      <c r="B574">
        <v>23785</v>
      </c>
      <c r="C574" t="s">
        <v>4858</v>
      </c>
      <c r="D574" t="s">
        <v>464</v>
      </c>
      <c r="E574">
        <v>21</v>
      </c>
      <c r="F574">
        <v>667.07</v>
      </c>
      <c r="G574">
        <v>31.77</v>
      </c>
    </row>
    <row r="575" spans="1:7" x14ac:dyDescent="0.3">
      <c r="A575" t="s">
        <v>557</v>
      </c>
      <c r="B575">
        <v>20623</v>
      </c>
      <c r="C575" t="s">
        <v>4814</v>
      </c>
      <c r="D575" t="s">
        <v>464</v>
      </c>
      <c r="E575">
        <v>30</v>
      </c>
      <c r="F575">
        <v>371.7</v>
      </c>
      <c r="G575">
        <v>12.39</v>
      </c>
    </row>
    <row r="576" spans="1:7" x14ac:dyDescent="0.3">
      <c r="A576" t="s">
        <v>557</v>
      </c>
      <c r="B576">
        <v>20624</v>
      </c>
      <c r="C576" t="s">
        <v>5019</v>
      </c>
      <c r="D576" t="s">
        <v>464</v>
      </c>
      <c r="E576">
        <v>1</v>
      </c>
      <c r="F576">
        <v>70.900000000000006</v>
      </c>
      <c r="G576">
        <v>70.900000000000006</v>
      </c>
    </row>
    <row r="577" spans="1:7" x14ac:dyDescent="0.3">
      <c r="A577" t="s">
        <v>557</v>
      </c>
      <c r="B577">
        <v>17162</v>
      </c>
      <c r="C577" t="s">
        <v>5255</v>
      </c>
      <c r="D577" t="s">
        <v>464</v>
      </c>
      <c r="E577">
        <v>1</v>
      </c>
      <c r="F577">
        <v>54</v>
      </c>
      <c r="G577">
        <v>54</v>
      </c>
    </row>
    <row r="578" spans="1:7" x14ac:dyDescent="0.3">
      <c r="A578" t="s">
        <v>557</v>
      </c>
      <c r="B578">
        <v>28568</v>
      </c>
      <c r="C578" t="s">
        <v>5177</v>
      </c>
      <c r="D578" t="s">
        <v>464</v>
      </c>
      <c r="E578">
        <v>4</v>
      </c>
      <c r="F578">
        <v>283.2</v>
      </c>
      <c r="G578">
        <v>70.8</v>
      </c>
    </row>
    <row r="579" spans="1:7" x14ac:dyDescent="0.3">
      <c r="A579" t="s">
        <v>557</v>
      </c>
      <c r="B579">
        <v>27689</v>
      </c>
      <c r="C579" t="s">
        <v>5139</v>
      </c>
      <c r="D579" t="s">
        <v>464</v>
      </c>
      <c r="E579">
        <v>250</v>
      </c>
      <c r="F579">
        <v>237.5</v>
      </c>
      <c r="G579">
        <v>0.95</v>
      </c>
    </row>
    <row r="580" spans="1:7" x14ac:dyDescent="0.3">
      <c r="A580" t="s">
        <v>557</v>
      </c>
      <c r="B580">
        <v>17046</v>
      </c>
      <c r="C580" t="s">
        <v>5194</v>
      </c>
      <c r="D580" t="s">
        <v>464</v>
      </c>
      <c r="E580">
        <v>2</v>
      </c>
      <c r="F580">
        <v>69</v>
      </c>
      <c r="G580">
        <v>34.5</v>
      </c>
    </row>
    <row r="581" spans="1:7" x14ac:dyDescent="0.3">
      <c r="A581" t="s">
        <v>557</v>
      </c>
      <c r="B581">
        <v>28298</v>
      </c>
      <c r="C581" t="s">
        <v>5261</v>
      </c>
      <c r="D581" t="s">
        <v>464</v>
      </c>
      <c r="E581">
        <v>2</v>
      </c>
      <c r="F581">
        <v>137.28</v>
      </c>
      <c r="G581">
        <v>68.64</v>
      </c>
    </row>
    <row r="582" spans="1:7" x14ac:dyDescent="0.3">
      <c r="A582" t="s">
        <v>557</v>
      </c>
      <c r="B582">
        <v>17333</v>
      </c>
      <c r="C582" t="s">
        <v>5211</v>
      </c>
      <c r="D582" t="s">
        <v>464</v>
      </c>
      <c r="E582">
        <v>1</v>
      </c>
      <c r="F582">
        <v>75</v>
      </c>
      <c r="G582">
        <v>75</v>
      </c>
    </row>
    <row r="583" spans="1:7" x14ac:dyDescent="0.3">
      <c r="A583" t="s">
        <v>557</v>
      </c>
      <c r="B583">
        <v>17341</v>
      </c>
      <c r="C583" t="s">
        <v>5291</v>
      </c>
      <c r="D583" t="s">
        <v>464</v>
      </c>
      <c r="E583">
        <v>1</v>
      </c>
      <c r="F583">
        <v>74.8</v>
      </c>
      <c r="G583">
        <v>74.8</v>
      </c>
    </row>
    <row r="584" spans="1:7" x14ac:dyDescent="0.3">
      <c r="A584" t="s">
        <v>557</v>
      </c>
      <c r="B584">
        <v>27798</v>
      </c>
      <c r="C584" t="s">
        <v>5257</v>
      </c>
      <c r="D584" t="s">
        <v>464</v>
      </c>
      <c r="E584">
        <v>4</v>
      </c>
      <c r="F584">
        <v>700</v>
      </c>
      <c r="G584">
        <v>175</v>
      </c>
    </row>
    <row r="585" spans="1:7" x14ac:dyDescent="0.3">
      <c r="A585" t="s">
        <v>557</v>
      </c>
      <c r="B585">
        <v>17418</v>
      </c>
      <c r="C585" t="s">
        <v>5207</v>
      </c>
      <c r="D585" t="s">
        <v>464</v>
      </c>
      <c r="E585">
        <v>11</v>
      </c>
      <c r="F585">
        <v>647.9</v>
      </c>
      <c r="G585">
        <v>58.9</v>
      </c>
    </row>
    <row r="586" spans="1:7" x14ac:dyDescent="0.3">
      <c r="A586" t="s">
        <v>557</v>
      </c>
      <c r="B586">
        <v>17416</v>
      </c>
      <c r="C586" t="s">
        <v>5209</v>
      </c>
      <c r="D586" t="s">
        <v>464</v>
      </c>
      <c r="E586">
        <v>5</v>
      </c>
      <c r="F586">
        <v>242.9</v>
      </c>
      <c r="G586">
        <v>48.58</v>
      </c>
    </row>
    <row r="587" spans="1:7" x14ac:dyDescent="0.3">
      <c r="A587" t="s">
        <v>557</v>
      </c>
      <c r="B587">
        <v>24505</v>
      </c>
      <c r="C587" t="s">
        <v>5198</v>
      </c>
      <c r="D587" t="s">
        <v>464</v>
      </c>
      <c r="E587">
        <v>15</v>
      </c>
      <c r="F587">
        <v>74.7</v>
      </c>
      <c r="G587">
        <v>4.9800000000000004</v>
      </c>
    </row>
    <row r="588" spans="1:7" x14ac:dyDescent="0.3">
      <c r="A588" t="s">
        <v>557</v>
      </c>
      <c r="B588">
        <v>23502</v>
      </c>
      <c r="C588" t="s">
        <v>4930</v>
      </c>
      <c r="D588" t="s">
        <v>464</v>
      </c>
      <c r="E588">
        <v>6</v>
      </c>
      <c r="F588">
        <v>54.6</v>
      </c>
      <c r="G588">
        <v>9.1</v>
      </c>
    </row>
    <row r="589" spans="1:7" x14ac:dyDescent="0.3">
      <c r="A589" t="s">
        <v>557</v>
      </c>
      <c r="B589">
        <v>24403</v>
      </c>
      <c r="C589" t="s">
        <v>5149</v>
      </c>
      <c r="D589" t="s">
        <v>464</v>
      </c>
      <c r="E589">
        <v>6.4</v>
      </c>
      <c r="F589">
        <v>80.17</v>
      </c>
      <c r="G589">
        <v>12.53</v>
      </c>
    </row>
    <row r="590" spans="1:7" x14ac:dyDescent="0.3">
      <c r="A590" t="s">
        <v>557</v>
      </c>
      <c r="B590">
        <v>18992</v>
      </c>
      <c r="C590" t="s">
        <v>4869</v>
      </c>
      <c r="D590" t="s">
        <v>464</v>
      </c>
      <c r="E590">
        <v>6.2</v>
      </c>
      <c r="F590">
        <v>89.9</v>
      </c>
      <c r="G590">
        <v>14.5</v>
      </c>
    </row>
    <row r="591" spans="1:7" x14ac:dyDescent="0.3">
      <c r="A591" t="s">
        <v>557</v>
      </c>
      <c r="B591">
        <v>19589</v>
      </c>
      <c r="C591" t="s">
        <v>4983</v>
      </c>
      <c r="D591" t="s">
        <v>464</v>
      </c>
      <c r="E591">
        <v>26.3</v>
      </c>
      <c r="F591">
        <v>256.44</v>
      </c>
      <c r="G591">
        <v>9.75</v>
      </c>
    </row>
    <row r="592" spans="1:7" x14ac:dyDescent="0.3">
      <c r="A592" t="s">
        <v>557</v>
      </c>
      <c r="B592">
        <v>17895</v>
      </c>
      <c r="C592" t="s">
        <v>5086</v>
      </c>
      <c r="D592" t="s">
        <v>464</v>
      </c>
      <c r="E592">
        <v>13</v>
      </c>
      <c r="F592">
        <v>368.16</v>
      </c>
      <c r="G592">
        <v>28.32</v>
      </c>
    </row>
    <row r="593" spans="1:7" x14ac:dyDescent="0.3">
      <c r="A593" t="s">
        <v>557</v>
      </c>
      <c r="B593">
        <v>17886</v>
      </c>
      <c r="C593" t="s">
        <v>5083</v>
      </c>
      <c r="D593" t="s">
        <v>464</v>
      </c>
      <c r="E593">
        <v>35</v>
      </c>
      <c r="F593">
        <v>987.95</v>
      </c>
      <c r="G593">
        <v>28.23</v>
      </c>
    </row>
    <row r="594" spans="1:7" x14ac:dyDescent="0.3">
      <c r="A594" t="s">
        <v>557</v>
      </c>
      <c r="B594">
        <v>19728</v>
      </c>
      <c r="C594" t="s">
        <v>5106</v>
      </c>
      <c r="D594" t="s">
        <v>464</v>
      </c>
      <c r="E594">
        <v>6.3</v>
      </c>
      <c r="F594">
        <v>69.66</v>
      </c>
      <c r="G594">
        <v>11.06</v>
      </c>
    </row>
    <row r="595" spans="1:7" x14ac:dyDescent="0.3">
      <c r="A595" t="s">
        <v>557</v>
      </c>
      <c r="B595">
        <v>18822</v>
      </c>
      <c r="C595" t="s">
        <v>4811</v>
      </c>
      <c r="D595" t="s">
        <v>464</v>
      </c>
      <c r="E595">
        <v>62.92</v>
      </c>
      <c r="F595">
        <v>8698.74</v>
      </c>
      <c r="G595">
        <v>138.25</v>
      </c>
    </row>
    <row r="596" spans="1:7" x14ac:dyDescent="0.3">
      <c r="A596" t="s">
        <v>557</v>
      </c>
      <c r="B596">
        <v>19572</v>
      </c>
      <c r="C596" t="s">
        <v>4989</v>
      </c>
      <c r="D596" t="s">
        <v>464</v>
      </c>
      <c r="E596">
        <v>2.87</v>
      </c>
      <c r="F596">
        <v>27.2</v>
      </c>
      <c r="G596">
        <v>9.48</v>
      </c>
    </row>
    <row r="597" spans="1:7" x14ac:dyDescent="0.3">
      <c r="A597" t="s">
        <v>557</v>
      </c>
      <c r="B597">
        <v>19565</v>
      </c>
      <c r="C597" t="s">
        <v>5252</v>
      </c>
      <c r="D597" t="s">
        <v>464</v>
      </c>
      <c r="E597">
        <v>1</v>
      </c>
      <c r="F597">
        <v>50</v>
      </c>
      <c r="G597">
        <v>50</v>
      </c>
    </row>
    <row r="598" spans="1:7" x14ac:dyDescent="0.3">
      <c r="A598" t="s">
        <v>557</v>
      </c>
      <c r="B598">
        <v>19923</v>
      </c>
      <c r="C598" t="s">
        <v>5069</v>
      </c>
      <c r="D598" t="s">
        <v>464</v>
      </c>
      <c r="E598">
        <v>1</v>
      </c>
      <c r="F598">
        <v>38.9</v>
      </c>
      <c r="G598">
        <v>38.9</v>
      </c>
    </row>
    <row r="599" spans="1:7" x14ac:dyDescent="0.3">
      <c r="A599" t="s">
        <v>557</v>
      </c>
      <c r="B599">
        <v>19562</v>
      </c>
      <c r="C599" t="s">
        <v>4939</v>
      </c>
      <c r="D599" t="s">
        <v>464</v>
      </c>
      <c r="E599">
        <v>4.2</v>
      </c>
      <c r="F599">
        <v>60.03</v>
      </c>
      <c r="G599">
        <v>14.29</v>
      </c>
    </row>
    <row r="600" spans="1:7" x14ac:dyDescent="0.3">
      <c r="A600" t="s">
        <v>557</v>
      </c>
      <c r="B600">
        <v>23198</v>
      </c>
      <c r="C600" t="s">
        <v>4962</v>
      </c>
      <c r="D600" t="s">
        <v>464</v>
      </c>
      <c r="E600">
        <v>4.5</v>
      </c>
      <c r="F600">
        <v>66.489999999999995</v>
      </c>
      <c r="G600">
        <v>14.78</v>
      </c>
    </row>
    <row r="601" spans="1:7" x14ac:dyDescent="0.3">
      <c r="A601" t="s">
        <v>557</v>
      </c>
      <c r="B601">
        <v>19790</v>
      </c>
      <c r="C601" t="s">
        <v>5073</v>
      </c>
      <c r="D601" t="s">
        <v>464</v>
      </c>
      <c r="E601">
        <v>1</v>
      </c>
      <c r="F601">
        <v>48</v>
      </c>
      <c r="G601">
        <v>48</v>
      </c>
    </row>
    <row r="602" spans="1:7" x14ac:dyDescent="0.3">
      <c r="A602" t="s">
        <v>557</v>
      </c>
      <c r="B602">
        <v>18732</v>
      </c>
      <c r="C602" t="s">
        <v>5156</v>
      </c>
      <c r="D602" t="s">
        <v>464</v>
      </c>
      <c r="E602">
        <v>32</v>
      </c>
      <c r="F602">
        <v>2254.8000000000002</v>
      </c>
      <c r="G602">
        <v>70.459999999999994</v>
      </c>
    </row>
    <row r="603" spans="1:7" x14ac:dyDescent="0.3">
      <c r="A603" t="s">
        <v>557</v>
      </c>
      <c r="B603">
        <v>28711</v>
      </c>
      <c r="C603" t="s">
        <v>5224</v>
      </c>
      <c r="D603" t="s">
        <v>464</v>
      </c>
      <c r="E603">
        <v>1</v>
      </c>
      <c r="F603">
        <v>288.83999999999997</v>
      </c>
      <c r="G603">
        <v>288.83999999999997</v>
      </c>
    </row>
    <row r="604" spans="1:7" x14ac:dyDescent="0.3">
      <c r="A604" t="s">
        <v>557</v>
      </c>
      <c r="B604">
        <v>25050</v>
      </c>
      <c r="C604" t="s">
        <v>5110</v>
      </c>
      <c r="D604" t="s">
        <v>464</v>
      </c>
      <c r="E604">
        <v>4</v>
      </c>
      <c r="F604">
        <v>327.60000000000002</v>
      </c>
      <c r="G604">
        <v>81.900000000000006</v>
      </c>
    </row>
    <row r="605" spans="1:7" x14ac:dyDescent="0.3">
      <c r="A605" t="s">
        <v>557</v>
      </c>
      <c r="B605">
        <v>19356</v>
      </c>
      <c r="C605" t="s">
        <v>4799</v>
      </c>
      <c r="D605" t="s">
        <v>464</v>
      </c>
      <c r="E605">
        <v>24.8</v>
      </c>
      <c r="F605">
        <v>1369.21</v>
      </c>
      <c r="G605">
        <v>55.21</v>
      </c>
    </row>
    <row r="606" spans="1:7" x14ac:dyDescent="0.3">
      <c r="A606" t="s">
        <v>557</v>
      </c>
      <c r="B606">
        <v>19346</v>
      </c>
      <c r="C606" t="s">
        <v>4835</v>
      </c>
      <c r="D606" t="s">
        <v>464</v>
      </c>
      <c r="E606">
        <v>3</v>
      </c>
      <c r="F606">
        <v>180</v>
      </c>
      <c r="G606">
        <v>60</v>
      </c>
    </row>
    <row r="607" spans="1:7" x14ac:dyDescent="0.3">
      <c r="A607" t="s">
        <v>557</v>
      </c>
      <c r="B607">
        <v>19306</v>
      </c>
      <c r="C607" t="s">
        <v>5111</v>
      </c>
      <c r="D607" t="s">
        <v>464</v>
      </c>
      <c r="E607">
        <v>6</v>
      </c>
      <c r="F607">
        <v>108.7</v>
      </c>
      <c r="G607">
        <v>18.12</v>
      </c>
    </row>
    <row r="608" spans="1:7" x14ac:dyDescent="0.3">
      <c r="A608" t="s">
        <v>557</v>
      </c>
      <c r="B608">
        <v>19322</v>
      </c>
      <c r="C608" t="s">
        <v>4830</v>
      </c>
      <c r="D608" t="s">
        <v>464</v>
      </c>
      <c r="E608">
        <v>24.08</v>
      </c>
      <c r="F608">
        <v>1168.04</v>
      </c>
      <c r="G608">
        <v>48.51</v>
      </c>
    </row>
    <row r="609" spans="1:7" x14ac:dyDescent="0.3">
      <c r="A609" t="s">
        <v>557</v>
      </c>
      <c r="B609">
        <v>19291</v>
      </c>
      <c r="C609" t="s">
        <v>4870</v>
      </c>
      <c r="D609" t="s">
        <v>464</v>
      </c>
      <c r="E609">
        <v>21.14</v>
      </c>
      <c r="F609">
        <v>1749.74</v>
      </c>
      <c r="G609">
        <v>82.77</v>
      </c>
    </row>
    <row r="610" spans="1:7" x14ac:dyDescent="0.3">
      <c r="A610" t="s">
        <v>557</v>
      </c>
      <c r="B610">
        <v>19558</v>
      </c>
      <c r="C610" t="s">
        <v>4994</v>
      </c>
      <c r="D610" t="s">
        <v>464</v>
      </c>
      <c r="E610">
        <v>2.65</v>
      </c>
      <c r="F610">
        <v>55.59</v>
      </c>
      <c r="G610">
        <v>20.98</v>
      </c>
    </row>
    <row r="611" spans="1:7" x14ac:dyDescent="0.3">
      <c r="A611" t="s">
        <v>557</v>
      </c>
      <c r="B611">
        <v>20206</v>
      </c>
      <c r="C611" t="s">
        <v>4914</v>
      </c>
      <c r="D611" t="s">
        <v>464</v>
      </c>
      <c r="E611">
        <v>1</v>
      </c>
      <c r="F611">
        <v>25.9</v>
      </c>
      <c r="G611">
        <v>25.9</v>
      </c>
    </row>
    <row r="612" spans="1:7" x14ac:dyDescent="0.3">
      <c r="A612" t="s">
        <v>557</v>
      </c>
      <c r="B612">
        <v>23195</v>
      </c>
      <c r="C612" t="s">
        <v>5051</v>
      </c>
      <c r="D612" t="s">
        <v>464</v>
      </c>
      <c r="E612">
        <v>1.3</v>
      </c>
      <c r="F612">
        <v>12.17</v>
      </c>
      <c r="G612">
        <v>9.36</v>
      </c>
    </row>
    <row r="613" spans="1:7" x14ac:dyDescent="0.3">
      <c r="A613" t="s">
        <v>557</v>
      </c>
      <c r="B613">
        <v>19553</v>
      </c>
      <c r="C613" t="s">
        <v>4868</v>
      </c>
      <c r="D613" t="s">
        <v>464</v>
      </c>
      <c r="E613">
        <v>3.8</v>
      </c>
      <c r="F613">
        <v>22.7</v>
      </c>
      <c r="G613">
        <v>5.97</v>
      </c>
    </row>
    <row r="614" spans="1:7" x14ac:dyDescent="0.3">
      <c r="A614" t="s">
        <v>557</v>
      </c>
      <c r="B614">
        <v>19552</v>
      </c>
      <c r="C614" t="s">
        <v>4860</v>
      </c>
      <c r="D614" t="s">
        <v>464</v>
      </c>
      <c r="E614">
        <v>2</v>
      </c>
      <c r="F614">
        <v>19.600000000000001</v>
      </c>
      <c r="G614">
        <v>9.8000000000000007</v>
      </c>
    </row>
    <row r="615" spans="1:7" x14ac:dyDescent="0.3">
      <c r="A615" t="s">
        <v>557</v>
      </c>
      <c r="B615">
        <v>17138</v>
      </c>
      <c r="C615" t="s">
        <v>5297</v>
      </c>
      <c r="D615" t="s">
        <v>464</v>
      </c>
      <c r="E615">
        <v>2</v>
      </c>
      <c r="F615">
        <v>17.2</v>
      </c>
      <c r="G615">
        <v>8.6</v>
      </c>
    </row>
    <row r="616" spans="1:7" x14ac:dyDescent="0.3">
      <c r="A616" t="s">
        <v>557</v>
      </c>
      <c r="B616">
        <v>19472</v>
      </c>
      <c r="C616" t="s">
        <v>4906</v>
      </c>
      <c r="D616" t="s">
        <v>464</v>
      </c>
      <c r="E616">
        <v>21.1</v>
      </c>
      <c r="F616">
        <v>419.92</v>
      </c>
      <c r="G616">
        <v>19.899999999999999</v>
      </c>
    </row>
    <row r="617" spans="1:7" x14ac:dyDescent="0.3">
      <c r="A617" t="s">
        <v>557</v>
      </c>
      <c r="B617">
        <v>25714</v>
      </c>
      <c r="C617" t="s">
        <v>4927</v>
      </c>
      <c r="D617" t="s">
        <v>464</v>
      </c>
      <c r="E617">
        <v>1</v>
      </c>
      <c r="F617">
        <v>133.9</v>
      </c>
      <c r="G617">
        <v>133.9</v>
      </c>
    </row>
    <row r="618" spans="1:7" x14ac:dyDescent="0.3">
      <c r="A618" t="s">
        <v>557</v>
      </c>
      <c r="B618">
        <v>17129</v>
      </c>
      <c r="C618" t="s">
        <v>5202</v>
      </c>
      <c r="D618" t="s">
        <v>464</v>
      </c>
      <c r="E618">
        <v>4</v>
      </c>
      <c r="F618">
        <v>106.44</v>
      </c>
      <c r="G618">
        <v>26.61</v>
      </c>
    </row>
    <row r="619" spans="1:7" x14ac:dyDescent="0.3">
      <c r="A619" t="s">
        <v>557</v>
      </c>
      <c r="B619">
        <v>17322</v>
      </c>
      <c r="C619" t="s">
        <v>5282</v>
      </c>
      <c r="D619" t="s">
        <v>464</v>
      </c>
      <c r="E619">
        <v>1</v>
      </c>
      <c r="F619">
        <v>15.05</v>
      </c>
      <c r="G619">
        <v>15.05</v>
      </c>
    </row>
    <row r="620" spans="1:7" x14ac:dyDescent="0.3">
      <c r="A620" t="s">
        <v>557</v>
      </c>
      <c r="B620">
        <v>17437</v>
      </c>
      <c r="C620" t="s">
        <v>5203</v>
      </c>
      <c r="D620" t="s">
        <v>464</v>
      </c>
      <c r="E620">
        <v>59</v>
      </c>
      <c r="F620">
        <v>135.69999999999999</v>
      </c>
      <c r="G620">
        <v>2.2999999999999998</v>
      </c>
    </row>
    <row r="621" spans="1:7" x14ac:dyDescent="0.3">
      <c r="A621" t="s">
        <v>557</v>
      </c>
      <c r="B621">
        <v>17384</v>
      </c>
      <c r="C621" t="s">
        <v>5249</v>
      </c>
      <c r="D621" t="s">
        <v>464</v>
      </c>
      <c r="E621">
        <v>1</v>
      </c>
      <c r="F621">
        <v>162.9</v>
      </c>
      <c r="G621">
        <v>162.9</v>
      </c>
    </row>
    <row r="622" spans="1:7" x14ac:dyDescent="0.3">
      <c r="A622" t="s">
        <v>557</v>
      </c>
      <c r="B622">
        <v>21433</v>
      </c>
      <c r="C622" t="s">
        <v>5250</v>
      </c>
      <c r="D622" t="s">
        <v>464</v>
      </c>
      <c r="E622">
        <v>1</v>
      </c>
      <c r="F622">
        <v>162.9</v>
      </c>
      <c r="G622">
        <v>162.9</v>
      </c>
    </row>
    <row r="623" spans="1:7" x14ac:dyDescent="0.3">
      <c r="A623" t="s">
        <v>557</v>
      </c>
      <c r="B623">
        <v>17401</v>
      </c>
      <c r="C623" t="s">
        <v>5243</v>
      </c>
      <c r="D623" t="s">
        <v>464</v>
      </c>
      <c r="E623">
        <v>2</v>
      </c>
      <c r="F623">
        <v>325.8</v>
      </c>
      <c r="G623">
        <v>162.9</v>
      </c>
    </row>
    <row r="624" spans="1:7" x14ac:dyDescent="0.3">
      <c r="A624" t="s">
        <v>557</v>
      </c>
      <c r="B624">
        <v>21423</v>
      </c>
      <c r="C624" t="s">
        <v>5248</v>
      </c>
      <c r="D624" t="s">
        <v>464</v>
      </c>
      <c r="E624">
        <v>3</v>
      </c>
      <c r="F624">
        <v>99.3</v>
      </c>
      <c r="G624">
        <v>33.1</v>
      </c>
    </row>
    <row r="625" spans="1:7" x14ac:dyDescent="0.3">
      <c r="A625" t="s">
        <v>557</v>
      </c>
      <c r="B625">
        <v>17399</v>
      </c>
      <c r="C625" t="s">
        <v>5244</v>
      </c>
      <c r="D625" t="s">
        <v>464</v>
      </c>
      <c r="E625">
        <v>1</v>
      </c>
      <c r="F625">
        <v>19.670000000000002</v>
      </c>
      <c r="G625">
        <v>19.670000000000002</v>
      </c>
    </row>
    <row r="626" spans="1:7" x14ac:dyDescent="0.3">
      <c r="A626" t="s">
        <v>557</v>
      </c>
      <c r="B626">
        <v>17397</v>
      </c>
      <c r="C626" t="s">
        <v>5246</v>
      </c>
      <c r="D626" t="s">
        <v>464</v>
      </c>
      <c r="E626">
        <v>2</v>
      </c>
      <c r="F626">
        <v>66.2</v>
      </c>
      <c r="G626">
        <v>33.1</v>
      </c>
    </row>
    <row r="627" spans="1:7" x14ac:dyDescent="0.3">
      <c r="A627" t="s">
        <v>557</v>
      </c>
      <c r="B627">
        <v>24787</v>
      </c>
      <c r="C627" t="s">
        <v>5212</v>
      </c>
      <c r="D627" t="s">
        <v>464</v>
      </c>
      <c r="E627">
        <v>7</v>
      </c>
      <c r="F627">
        <v>575.47</v>
      </c>
      <c r="G627">
        <v>82.21</v>
      </c>
    </row>
    <row r="628" spans="1:7" x14ac:dyDescent="0.3">
      <c r="A628" t="s">
        <v>557</v>
      </c>
      <c r="B628">
        <v>17404</v>
      </c>
      <c r="C628" t="s">
        <v>5295</v>
      </c>
      <c r="D628" t="s">
        <v>464</v>
      </c>
      <c r="E628">
        <v>1</v>
      </c>
      <c r="F628">
        <v>27</v>
      </c>
      <c r="G628">
        <v>27</v>
      </c>
    </row>
    <row r="629" spans="1:7" x14ac:dyDescent="0.3">
      <c r="A629" t="s">
        <v>557</v>
      </c>
      <c r="B629">
        <v>17391</v>
      </c>
      <c r="C629" t="s">
        <v>5254</v>
      </c>
      <c r="D629" t="s">
        <v>464</v>
      </c>
      <c r="E629">
        <v>1</v>
      </c>
      <c r="F629">
        <v>58.55</v>
      </c>
      <c r="G629">
        <v>58.55</v>
      </c>
    </row>
    <row r="630" spans="1:7" x14ac:dyDescent="0.3">
      <c r="A630" t="s">
        <v>557</v>
      </c>
      <c r="B630">
        <v>19906</v>
      </c>
      <c r="C630" t="s">
        <v>5159</v>
      </c>
      <c r="D630" t="s">
        <v>464</v>
      </c>
      <c r="E630">
        <v>1</v>
      </c>
      <c r="F630">
        <v>35</v>
      </c>
      <c r="G630">
        <v>35</v>
      </c>
    </row>
    <row r="631" spans="1:7" x14ac:dyDescent="0.3">
      <c r="A631" t="s">
        <v>557</v>
      </c>
      <c r="B631">
        <v>24458</v>
      </c>
      <c r="C631" t="s">
        <v>5079</v>
      </c>
      <c r="D631" t="s">
        <v>464</v>
      </c>
      <c r="E631">
        <v>2</v>
      </c>
      <c r="F631">
        <v>145.80000000000001</v>
      </c>
      <c r="G631">
        <v>72.900000000000006</v>
      </c>
    </row>
    <row r="632" spans="1:7" x14ac:dyDescent="0.3">
      <c r="A632" t="s">
        <v>557</v>
      </c>
      <c r="B632">
        <v>23113</v>
      </c>
      <c r="C632" t="s">
        <v>5074</v>
      </c>
      <c r="D632" t="s">
        <v>464</v>
      </c>
      <c r="E632">
        <v>11.65</v>
      </c>
      <c r="F632">
        <v>104.77</v>
      </c>
      <c r="G632">
        <v>8.99</v>
      </c>
    </row>
    <row r="633" spans="1:7" x14ac:dyDescent="0.3">
      <c r="A633" t="s">
        <v>557</v>
      </c>
      <c r="B633">
        <v>19465</v>
      </c>
      <c r="C633" t="s">
        <v>5114</v>
      </c>
      <c r="D633" t="s">
        <v>464</v>
      </c>
      <c r="E633">
        <v>2.1</v>
      </c>
      <c r="F633">
        <v>14.43</v>
      </c>
      <c r="G633">
        <v>6.87</v>
      </c>
    </row>
    <row r="634" spans="1:7" x14ac:dyDescent="0.3">
      <c r="A634" t="s">
        <v>557</v>
      </c>
      <c r="B634">
        <v>18253</v>
      </c>
      <c r="C634" t="s">
        <v>4969</v>
      </c>
      <c r="D634" t="s">
        <v>464</v>
      </c>
      <c r="E634">
        <v>8</v>
      </c>
      <c r="F634">
        <v>221.4</v>
      </c>
      <c r="G634">
        <v>27.68</v>
      </c>
    </row>
    <row r="635" spans="1:7" x14ac:dyDescent="0.3">
      <c r="A635" t="s">
        <v>557</v>
      </c>
      <c r="B635">
        <v>17883</v>
      </c>
      <c r="C635" t="s">
        <v>5113</v>
      </c>
      <c r="D635" t="s">
        <v>464</v>
      </c>
      <c r="E635">
        <v>5</v>
      </c>
      <c r="F635">
        <v>141.6</v>
      </c>
      <c r="G635">
        <v>28.32</v>
      </c>
    </row>
    <row r="636" spans="1:7" x14ac:dyDescent="0.3">
      <c r="A636" t="s">
        <v>557</v>
      </c>
      <c r="B636">
        <v>18589</v>
      </c>
      <c r="C636" t="s">
        <v>5089</v>
      </c>
      <c r="D636" t="s">
        <v>464</v>
      </c>
      <c r="E636">
        <v>1</v>
      </c>
      <c r="F636">
        <v>96.64</v>
      </c>
      <c r="G636">
        <v>96.64</v>
      </c>
    </row>
    <row r="637" spans="1:7" x14ac:dyDescent="0.3">
      <c r="A637" t="s">
        <v>557</v>
      </c>
      <c r="B637">
        <v>18586</v>
      </c>
      <c r="C637" t="s">
        <v>4966</v>
      </c>
      <c r="D637" t="s">
        <v>464</v>
      </c>
      <c r="E637">
        <v>2</v>
      </c>
      <c r="F637">
        <v>264.14</v>
      </c>
      <c r="G637">
        <v>132.07</v>
      </c>
    </row>
    <row r="638" spans="1:7" x14ac:dyDescent="0.3">
      <c r="A638" t="s">
        <v>557</v>
      </c>
      <c r="B638">
        <v>17878</v>
      </c>
      <c r="C638" t="s">
        <v>4926</v>
      </c>
      <c r="D638" t="s">
        <v>464</v>
      </c>
      <c r="E638">
        <v>14</v>
      </c>
      <c r="F638">
        <v>431.8</v>
      </c>
      <c r="G638">
        <v>30.84</v>
      </c>
    </row>
    <row r="639" spans="1:7" x14ac:dyDescent="0.3">
      <c r="A639" t="s">
        <v>557</v>
      </c>
      <c r="B639">
        <v>29949</v>
      </c>
      <c r="C639" t="s">
        <v>5216</v>
      </c>
      <c r="D639" t="s">
        <v>464</v>
      </c>
      <c r="E639">
        <v>250</v>
      </c>
      <c r="F639">
        <v>165</v>
      </c>
      <c r="G639">
        <v>0.66</v>
      </c>
    </row>
    <row r="640" spans="1:7" x14ac:dyDescent="0.3">
      <c r="A640" t="s">
        <v>557</v>
      </c>
      <c r="B640">
        <v>29951</v>
      </c>
      <c r="C640" t="s">
        <v>5218</v>
      </c>
      <c r="D640" t="s">
        <v>464</v>
      </c>
      <c r="E640">
        <v>250</v>
      </c>
      <c r="F640">
        <v>322.5</v>
      </c>
      <c r="G640">
        <v>1.29</v>
      </c>
    </row>
    <row r="641" spans="1:7" x14ac:dyDescent="0.3">
      <c r="A641" t="s">
        <v>557</v>
      </c>
      <c r="B641">
        <v>29953</v>
      </c>
      <c r="C641" t="s">
        <v>5221</v>
      </c>
      <c r="D641" t="s">
        <v>464</v>
      </c>
      <c r="E641">
        <v>250</v>
      </c>
      <c r="F641">
        <v>422.5</v>
      </c>
      <c r="G641">
        <v>1.69</v>
      </c>
    </row>
    <row r="642" spans="1:7" x14ac:dyDescent="0.3">
      <c r="A642" t="s">
        <v>557</v>
      </c>
      <c r="B642">
        <v>28712</v>
      </c>
      <c r="C642" t="s">
        <v>5223</v>
      </c>
      <c r="D642" t="s">
        <v>464</v>
      </c>
      <c r="E642">
        <v>1</v>
      </c>
      <c r="F642">
        <v>239.9</v>
      </c>
      <c r="G642">
        <v>239.9</v>
      </c>
    </row>
    <row r="643" spans="1:7" x14ac:dyDescent="0.3">
      <c r="A643" t="s">
        <v>557</v>
      </c>
      <c r="B643">
        <v>28720</v>
      </c>
      <c r="C643" t="s">
        <v>5226</v>
      </c>
      <c r="D643" t="s">
        <v>464</v>
      </c>
      <c r="E643">
        <v>1</v>
      </c>
      <c r="F643">
        <v>380</v>
      </c>
      <c r="G643">
        <v>380</v>
      </c>
    </row>
    <row r="644" spans="1:7" x14ac:dyDescent="0.3">
      <c r="A644" t="s">
        <v>557</v>
      </c>
      <c r="B644">
        <v>19551</v>
      </c>
      <c r="C644" t="s">
        <v>4905</v>
      </c>
      <c r="D644" t="s">
        <v>464</v>
      </c>
      <c r="E644">
        <v>12.72</v>
      </c>
      <c r="F644">
        <v>229.39</v>
      </c>
      <c r="G644">
        <v>18.03</v>
      </c>
    </row>
    <row r="645" spans="1:7" x14ac:dyDescent="0.3">
      <c r="A645" t="s">
        <v>557</v>
      </c>
      <c r="B645">
        <v>23184</v>
      </c>
      <c r="C645" t="s">
        <v>4935</v>
      </c>
      <c r="D645" t="s">
        <v>464</v>
      </c>
      <c r="E645">
        <v>14.5</v>
      </c>
      <c r="F645">
        <v>276.8</v>
      </c>
      <c r="G645">
        <v>19.09</v>
      </c>
    </row>
    <row r="646" spans="1:7" x14ac:dyDescent="0.3">
      <c r="A646" t="s">
        <v>557</v>
      </c>
      <c r="B646">
        <v>19532</v>
      </c>
      <c r="C646" t="s">
        <v>4753</v>
      </c>
      <c r="D646" t="s">
        <v>464</v>
      </c>
      <c r="E646">
        <v>229.15</v>
      </c>
      <c r="F646">
        <v>2350.2800000000002</v>
      </c>
      <c r="G646">
        <v>10.26</v>
      </c>
    </row>
    <row r="647" spans="1:7" x14ac:dyDescent="0.3">
      <c r="A647" t="s">
        <v>557</v>
      </c>
      <c r="B647">
        <v>20585</v>
      </c>
      <c r="C647" t="s">
        <v>5025</v>
      </c>
      <c r="D647" t="s">
        <v>464</v>
      </c>
      <c r="E647">
        <v>1</v>
      </c>
      <c r="F647">
        <v>28.71</v>
      </c>
      <c r="G647">
        <v>28.71</v>
      </c>
    </row>
    <row r="648" spans="1:7" x14ac:dyDescent="0.3">
      <c r="A648" t="s">
        <v>557</v>
      </c>
      <c r="B648">
        <v>23108</v>
      </c>
      <c r="C648" t="s">
        <v>5117</v>
      </c>
      <c r="D648" t="s">
        <v>464</v>
      </c>
      <c r="E648">
        <v>0.8</v>
      </c>
      <c r="F648">
        <v>62.4</v>
      </c>
      <c r="G648">
        <v>78</v>
      </c>
    </row>
    <row r="649" spans="1:7" x14ac:dyDescent="0.3">
      <c r="A649" t="s">
        <v>557</v>
      </c>
      <c r="B649">
        <v>25683</v>
      </c>
      <c r="C649" t="s">
        <v>4928</v>
      </c>
      <c r="D649" t="s">
        <v>464</v>
      </c>
      <c r="E649">
        <v>1</v>
      </c>
      <c r="F649">
        <v>105.95</v>
      </c>
      <c r="G649">
        <v>105.95</v>
      </c>
    </row>
    <row r="650" spans="1:7" x14ac:dyDescent="0.3">
      <c r="A650" t="s">
        <v>557</v>
      </c>
      <c r="B650">
        <v>25205</v>
      </c>
      <c r="C650" t="s">
        <v>4850</v>
      </c>
      <c r="D650" t="s">
        <v>464</v>
      </c>
      <c r="E650">
        <v>10</v>
      </c>
      <c r="F650">
        <v>219.9</v>
      </c>
      <c r="G650">
        <v>21.99</v>
      </c>
    </row>
    <row r="651" spans="1:7" x14ac:dyDescent="0.3">
      <c r="A651" t="s">
        <v>557</v>
      </c>
      <c r="B651">
        <v>19710</v>
      </c>
      <c r="C651" t="s">
        <v>4963</v>
      </c>
      <c r="D651" t="s">
        <v>464</v>
      </c>
      <c r="E651">
        <v>1</v>
      </c>
      <c r="F651">
        <v>20.079999999999998</v>
      </c>
      <c r="G651">
        <v>20.079999999999998</v>
      </c>
    </row>
    <row r="652" spans="1:7" x14ac:dyDescent="0.3">
      <c r="A652" t="s">
        <v>557</v>
      </c>
      <c r="B652">
        <v>19707</v>
      </c>
      <c r="C652" t="s">
        <v>5266</v>
      </c>
      <c r="D652" t="s">
        <v>464</v>
      </c>
      <c r="E652">
        <v>1</v>
      </c>
      <c r="F652">
        <v>15.94</v>
      </c>
      <c r="G652">
        <v>15.94</v>
      </c>
    </row>
    <row r="653" spans="1:7" x14ac:dyDescent="0.3">
      <c r="A653" t="s">
        <v>557</v>
      </c>
      <c r="B653">
        <v>24489</v>
      </c>
      <c r="C653" t="s">
        <v>5121</v>
      </c>
      <c r="D653" t="s">
        <v>464</v>
      </c>
      <c r="E653">
        <v>7.25</v>
      </c>
      <c r="F653">
        <v>175.83</v>
      </c>
      <c r="G653">
        <v>24.25</v>
      </c>
    </row>
    <row r="654" spans="1:7" x14ac:dyDescent="0.3">
      <c r="A654" t="s">
        <v>557</v>
      </c>
      <c r="B654">
        <v>17120</v>
      </c>
      <c r="C654" t="s">
        <v>5298</v>
      </c>
      <c r="D654" t="s">
        <v>464</v>
      </c>
      <c r="E654">
        <v>3</v>
      </c>
      <c r="F654">
        <v>28.62</v>
      </c>
      <c r="G654">
        <v>9.5399999999999991</v>
      </c>
    </row>
    <row r="655" spans="1:7" x14ac:dyDescent="0.3">
      <c r="A655" t="s">
        <v>557</v>
      </c>
      <c r="B655">
        <v>23884</v>
      </c>
      <c r="C655" t="s">
        <v>5070</v>
      </c>
      <c r="D655" t="s">
        <v>464</v>
      </c>
      <c r="E655">
        <v>5</v>
      </c>
      <c r="F655">
        <v>45.1</v>
      </c>
      <c r="G655">
        <v>9.02</v>
      </c>
    </row>
    <row r="656" spans="1:7" x14ac:dyDescent="0.3">
      <c r="A656" t="s">
        <v>557</v>
      </c>
      <c r="B656">
        <v>26034</v>
      </c>
      <c r="C656" t="s">
        <v>4828</v>
      </c>
      <c r="D656" t="s">
        <v>464</v>
      </c>
      <c r="E656">
        <v>9</v>
      </c>
      <c r="F656">
        <v>427.05</v>
      </c>
      <c r="G656">
        <v>47.45</v>
      </c>
    </row>
    <row r="657" spans="1:7" x14ac:dyDescent="0.3">
      <c r="A657" t="s">
        <v>557</v>
      </c>
      <c r="B657">
        <v>26038</v>
      </c>
      <c r="C657" t="s">
        <v>4976</v>
      </c>
      <c r="D657" t="s">
        <v>464</v>
      </c>
      <c r="E657">
        <v>6</v>
      </c>
      <c r="F657">
        <v>284.7</v>
      </c>
      <c r="G657">
        <v>47.45</v>
      </c>
    </row>
    <row r="658" spans="1:7" x14ac:dyDescent="0.3">
      <c r="A658" t="s">
        <v>557</v>
      </c>
      <c r="B658">
        <v>17578</v>
      </c>
      <c r="C658" t="s">
        <v>4842</v>
      </c>
      <c r="D658" t="s">
        <v>464</v>
      </c>
      <c r="E658">
        <v>3</v>
      </c>
      <c r="F658">
        <v>317.85000000000002</v>
      </c>
      <c r="G658">
        <v>105.95</v>
      </c>
    </row>
    <row r="659" spans="1:7" x14ac:dyDescent="0.3">
      <c r="A659" t="s">
        <v>557</v>
      </c>
      <c r="B659">
        <v>26040</v>
      </c>
      <c r="C659" t="s">
        <v>4812</v>
      </c>
      <c r="D659" t="s">
        <v>464</v>
      </c>
      <c r="E659">
        <v>14</v>
      </c>
      <c r="F659">
        <v>664.3</v>
      </c>
      <c r="G659">
        <v>47.45</v>
      </c>
    </row>
    <row r="660" spans="1:7" x14ac:dyDescent="0.3">
      <c r="A660" t="s">
        <v>557</v>
      </c>
      <c r="B660">
        <v>26044</v>
      </c>
      <c r="C660" t="s">
        <v>4843</v>
      </c>
      <c r="D660" t="s">
        <v>464</v>
      </c>
      <c r="E660">
        <v>1</v>
      </c>
      <c r="F660">
        <v>55.25</v>
      </c>
      <c r="G660">
        <v>55.25</v>
      </c>
    </row>
    <row r="661" spans="1:7" x14ac:dyDescent="0.3">
      <c r="A661" t="s">
        <v>557</v>
      </c>
      <c r="B661">
        <v>17721</v>
      </c>
      <c r="C661" t="s">
        <v>4977</v>
      </c>
      <c r="D661" t="s">
        <v>464</v>
      </c>
      <c r="E661">
        <v>2</v>
      </c>
      <c r="F661">
        <v>27.8</v>
      </c>
      <c r="G661">
        <v>13.9</v>
      </c>
    </row>
    <row r="662" spans="1:7" x14ac:dyDescent="0.3">
      <c r="A662" t="s">
        <v>557</v>
      </c>
      <c r="B662">
        <v>18194</v>
      </c>
      <c r="C662" t="s">
        <v>4923</v>
      </c>
      <c r="D662" t="s">
        <v>464</v>
      </c>
      <c r="E662">
        <v>3</v>
      </c>
      <c r="F662">
        <v>181.48</v>
      </c>
      <c r="G662">
        <v>60.49</v>
      </c>
    </row>
    <row r="663" spans="1:7" x14ac:dyDescent="0.3">
      <c r="A663" t="s">
        <v>557</v>
      </c>
      <c r="B663">
        <v>18179</v>
      </c>
      <c r="C663" t="s">
        <v>4924</v>
      </c>
      <c r="D663" t="s">
        <v>464</v>
      </c>
      <c r="E663">
        <v>2</v>
      </c>
      <c r="F663">
        <v>232.82</v>
      </c>
      <c r="G663">
        <v>116.41</v>
      </c>
    </row>
    <row r="664" spans="1:7" x14ac:dyDescent="0.3">
      <c r="A664" t="s">
        <v>557</v>
      </c>
      <c r="B664">
        <v>18172</v>
      </c>
      <c r="C664" t="s">
        <v>4804</v>
      </c>
      <c r="D664" t="s">
        <v>464</v>
      </c>
      <c r="E664">
        <v>22</v>
      </c>
      <c r="F664">
        <v>638.91999999999996</v>
      </c>
      <c r="G664">
        <v>29.04</v>
      </c>
    </row>
    <row r="665" spans="1:7" x14ac:dyDescent="0.3">
      <c r="A665" t="s">
        <v>557</v>
      </c>
      <c r="B665">
        <v>18129</v>
      </c>
      <c r="C665" t="s">
        <v>5043</v>
      </c>
      <c r="D665" t="s">
        <v>464</v>
      </c>
      <c r="E665">
        <v>2</v>
      </c>
      <c r="F665">
        <v>233.8</v>
      </c>
      <c r="G665">
        <v>116.9</v>
      </c>
    </row>
    <row r="666" spans="1:7" x14ac:dyDescent="0.3">
      <c r="A666" t="s">
        <v>557</v>
      </c>
      <c r="B666">
        <v>18119</v>
      </c>
      <c r="C666" t="s">
        <v>5044</v>
      </c>
      <c r="D666" t="s">
        <v>464</v>
      </c>
      <c r="E666">
        <v>1</v>
      </c>
      <c r="F666">
        <v>166.62</v>
      </c>
      <c r="G666">
        <v>166.62</v>
      </c>
    </row>
    <row r="667" spans="1:7" x14ac:dyDescent="0.3">
      <c r="A667" t="s">
        <v>557</v>
      </c>
      <c r="B667">
        <v>18116</v>
      </c>
      <c r="C667" t="s">
        <v>5045</v>
      </c>
      <c r="D667" t="s">
        <v>464</v>
      </c>
      <c r="E667">
        <v>3</v>
      </c>
      <c r="F667">
        <v>261.22000000000003</v>
      </c>
      <c r="G667">
        <v>87.07</v>
      </c>
    </row>
    <row r="668" spans="1:7" x14ac:dyDescent="0.3">
      <c r="A668" t="s">
        <v>557</v>
      </c>
      <c r="B668">
        <v>18111</v>
      </c>
      <c r="C668" t="s">
        <v>5049</v>
      </c>
      <c r="D668" t="s">
        <v>464</v>
      </c>
      <c r="E668">
        <v>2</v>
      </c>
      <c r="F668">
        <v>167.78</v>
      </c>
      <c r="G668">
        <v>83.89</v>
      </c>
    </row>
    <row r="669" spans="1:7" x14ac:dyDescent="0.3">
      <c r="A669" t="s">
        <v>557</v>
      </c>
      <c r="B669">
        <v>18085</v>
      </c>
      <c r="C669" t="s">
        <v>4973</v>
      </c>
      <c r="D669" t="s">
        <v>464</v>
      </c>
      <c r="E669">
        <v>2</v>
      </c>
      <c r="F669">
        <v>95.2</v>
      </c>
      <c r="G669">
        <v>47.6</v>
      </c>
    </row>
    <row r="670" spans="1:7" x14ac:dyDescent="0.3">
      <c r="A670" t="s">
        <v>557</v>
      </c>
      <c r="B670">
        <v>18073</v>
      </c>
      <c r="C670" t="s">
        <v>4974</v>
      </c>
      <c r="D670" t="s">
        <v>464</v>
      </c>
      <c r="E670">
        <v>1</v>
      </c>
      <c r="F670">
        <v>47.6</v>
      </c>
      <c r="G670">
        <v>47.6</v>
      </c>
    </row>
    <row r="671" spans="1:7" x14ac:dyDescent="0.3">
      <c r="A671" t="s">
        <v>557</v>
      </c>
      <c r="B671">
        <v>19787</v>
      </c>
      <c r="C671" t="s">
        <v>4793</v>
      </c>
      <c r="D671" t="s">
        <v>463</v>
      </c>
      <c r="E671">
        <v>64</v>
      </c>
      <c r="F671">
        <v>393.41</v>
      </c>
      <c r="G671">
        <v>6.15</v>
      </c>
    </row>
    <row r="672" spans="1:7" x14ac:dyDescent="0.3">
      <c r="A672" t="s">
        <v>557</v>
      </c>
      <c r="B672">
        <v>19658</v>
      </c>
      <c r="C672" t="s">
        <v>4784</v>
      </c>
      <c r="D672" t="s">
        <v>463</v>
      </c>
      <c r="E672">
        <v>46</v>
      </c>
      <c r="F672">
        <v>167.14</v>
      </c>
      <c r="G672">
        <v>3.63</v>
      </c>
    </row>
    <row r="673" spans="1:7" x14ac:dyDescent="0.3">
      <c r="A673" t="s">
        <v>557</v>
      </c>
      <c r="B673">
        <v>19654</v>
      </c>
      <c r="C673" t="s">
        <v>5099</v>
      </c>
      <c r="D673" t="s">
        <v>463</v>
      </c>
      <c r="E673">
        <v>30</v>
      </c>
      <c r="F673">
        <v>151.77000000000001</v>
      </c>
      <c r="G673">
        <v>5.0599999999999996</v>
      </c>
    </row>
    <row r="674" spans="1:7" x14ac:dyDescent="0.3">
      <c r="A674" t="s">
        <v>557</v>
      </c>
      <c r="B674">
        <v>27475</v>
      </c>
      <c r="C674" t="s">
        <v>5123</v>
      </c>
      <c r="D674" t="s">
        <v>463</v>
      </c>
      <c r="E674">
        <v>5</v>
      </c>
      <c r="F674">
        <v>82.2</v>
      </c>
      <c r="G674">
        <v>16.440000000000001</v>
      </c>
    </row>
    <row r="675" spans="1:7" x14ac:dyDescent="0.3">
      <c r="A675" t="s">
        <v>557</v>
      </c>
      <c r="B675">
        <v>21093</v>
      </c>
      <c r="C675" t="s">
        <v>4855</v>
      </c>
      <c r="D675" t="s">
        <v>463</v>
      </c>
      <c r="E675">
        <v>50</v>
      </c>
      <c r="F675">
        <v>219.5</v>
      </c>
      <c r="G675">
        <v>4.3899999999999997</v>
      </c>
    </row>
    <row r="676" spans="1:7" x14ac:dyDescent="0.3">
      <c r="A676" t="s">
        <v>557</v>
      </c>
      <c r="B676">
        <v>24596</v>
      </c>
      <c r="C676" t="s">
        <v>5197</v>
      </c>
      <c r="D676" t="s">
        <v>463</v>
      </c>
      <c r="E676">
        <v>8</v>
      </c>
      <c r="F676">
        <v>120</v>
      </c>
      <c r="G676">
        <v>15</v>
      </c>
    </row>
    <row r="677" spans="1:7" x14ac:dyDescent="0.3">
      <c r="A677" t="s">
        <v>557</v>
      </c>
      <c r="B677">
        <v>19507</v>
      </c>
      <c r="C677" t="s">
        <v>4853</v>
      </c>
      <c r="D677" t="s">
        <v>463</v>
      </c>
      <c r="E677">
        <v>11.8</v>
      </c>
      <c r="F677">
        <v>180.79</v>
      </c>
      <c r="G677">
        <v>15.32</v>
      </c>
    </row>
    <row r="678" spans="1:7" x14ac:dyDescent="0.3">
      <c r="A678" t="s">
        <v>557</v>
      </c>
      <c r="B678">
        <v>17950</v>
      </c>
      <c r="C678" t="s">
        <v>5091</v>
      </c>
      <c r="D678" t="s">
        <v>463</v>
      </c>
      <c r="E678">
        <v>60</v>
      </c>
      <c r="F678">
        <v>1020.4</v>
      </c>
      <c r="G678">
        <v>17.010000000000002</v>
      </c>
    </row>
    <row r="679" spans="1:7" x14ac:dyDescent="0.3">
      <c r="A679" t="s">
        <v>557</v>
      </c>
      <c r="B679">
        <v>17958</v>
      </c>
      <c r="C679" t="s">
        <v>5076</v>
      </c>
      <c r="D679" t="s">
        <v>463</v>
      </c>
      <c r="E679">
        <v>38</v>
      </c>
      <c r="F679">
        <v>596.79999999999995</v>
      </c>
      <c r="G679">
        <v>15.71</v>
      </c>
    </row>
    <row r="680" spans="1:7" x14ac:dyDescent="0.3">
      <c r="A680" t="s">
        <v>557</v>
      </c>
      <c r="B680">
        <v>17314</v>
      </c>
      <c r="C680" t="s">
        <v>5208</v>
      </c>
      <c r="D680" t="s">
        <v>463</v>
      </c>
      <c r="E680">
        <v>15</v>
      </c>
      <c r="F680">
        <v>100.38</v>
      </c>
      <c r="G680">
        <v>6.69</v>
      </c>
    </row>
    <row r="681" spans="1:7" x14ac:dyDescent="0.3">
      <c r="A681" t="s">
        <v>557</v>
      </c>
      <c r="B681">
        <v>18006</v>
      </c>
      <c r="C681" t="s">
        <v>5094</v>
      </c>
      <c r="D681" t="s">
        <v>463</v>
      </c>
      <c r="E681">
        <v>4</v>
      </c>
      <c r="F681">
        <v>96.36</v>
      </c>
      <c r="G681">
        <v>24.09</v>
      </c>
    </row>
    <row r="682" spans="1:7" x14ac:dyDescent="0.3">
      <c r="A682" t="s">
        <v>557</v>
      </c>
      <c r="B682">
        <v>18004</v>
      </c>
      <c r="C682" t="s">
        <v>5093</v>
      </c>
      <c r="D682" t="s">
        <v>463</v>
      </c>
      <c r="E682">
        <v>4</v>
      </c>
      <c r="F682">
        <v>76.760000000000005</v>
      </c>
      <c r="G682">
        <v>19.190000000000001</v>
      </c>
    </row>
    <row r="683" spans="1:7" x14ac:dyDescent="0.3">
      <c r="A683" t="s">
        <v>557</v>
      </c>
      <c r="B683">
        <v>20757</v>
      </c>
      <c r="C683" t="s">
        <v>5176</v>
      </c>
      <c r="D683" t="s">
        <v>463</v>
      </c>
      <c r="E683">
        <v>2</v>
      </c>
      <c r="F683">
        <v>152.19999999999999</v>
      </c>
      <c r="G683">
        <v>76.099999999999994</v>
      </c>
    </row>
    <row r="684" spans="1:7" x14ac:dyDescent="0.3">
      <c r="A684" t="s">
        <v>557</v>
      </c>
      <c r="B684">
        <v>24096</v>
      </c>
      <c r="C684" t="s">
        <v>4771</v>
      </c>
      <c r="D684" t="s">
        <v>463</v>
      </c>
      <c r="E684">
        <v>197.7</v>
      </c>
      <c r="F684">
        <v>8341.3799999999992</v>
      </c>
      <c r="G684">
        <v>42.19</v>
      </c>
    </row>
    <row r="685" spans="1:7" x14ac:dyDescent="0.3">
      <c r="A685" t="s">
        <v>557</v>
      </c>
      <c r="B685">
        <v>17266</v>
      </c>
      <c r="C685" t="s">
        <v>5192</v>
      </c>
      <c r="D685" t="s">
        <v>463</v>
      </c>
      <c r="E685">
        <v>12</v>
      </c>
      <c r="F685">
        <v>56.76</v>
      </c>
      <c r="G685">
        <v>4.7300000000000004</v>
      </c>
    </row>
    <row r="686" spans="1:7" x14ac:dyDescent="0.3">
      <c r="A686" t="s">
        <v>557</v>
      </c>
      <c r="B686">
        <v>19506</v>
      </c>
      <c r="C686" t="s">
        <v>5122</v>
      </c>
      <c r="D686" t="s">
        <v>463</v>
      </c>
      <c r="E686">
        <v>1.5</v>
      </c>
      <c r="F686">
        <v>69.22</v>
      </c>
      <c r="G686">
        <v>46.15</v>
      </c>
    </row>
    <row r="687" spans="1:7" x14ac:dyDescent="0.3">
      <c r="A687" t="s">
        <v>557</v>
      </c>
      <c r="B687">
        <v>19505</v>
      </c>
      <c r="C687" t="s">
        <v>4872</v>
      </c>
      <c r="D687" t="s">
        <v>463</v>
      </c>
      <c r="E687">
        <v>64.3</v>
      </c>
      <c r="F687">
        <v>655.65</v>
      </c>
      <c r="G687">
        <v>10.199999999999999</v>
      </c>
    </row>
    <row r="688" spans="1:7" x14ac:dyDescent="0.3">
      <c r="A688" t="s">
        <v>557</v>
      </c>
      <c r="B688">
        <v>19502</v>
      </c>
      <c r="C688" t="s">
        <v>4871</v>
      </c>
      <c r="D688" t="s">
        <v>463</v>
      </c>
      <c r="E688">
        <v>28.6</v>
      </c>
      <c r="F688">
        <v>477.8</v>
      </c>
      <c r="G688">
        <v>16.71</v>
      </c>
    </row>
    <row r="689" spans="1:7" x14ac:dyDescent="0.3">
      <c r="A689" t="s">
        <v>557</v>
      </c>
      <c r="B689">
        <v>19647</v>
      </c>
      <c r="C689" t="s">
        <v>5050</v>
      </c>
      <c r="D689" t="s">
        <v>463</v>
      </c>
      <c r="E689">
        <v>1.8</v>
      </c>
      <c r="F689">
        <v>30.1</v>
      </c>
      <c r="G689">
        <v>16.72</v>
      </c>
    </row>
    <row r="690" spans="1:7" x14ac:dyDescent="0.3">
      <c r="A690" t="s">
        <v>557</v>
      </c>
      <c r="B690">
        <v>24037</v>
      </c>
      <c r="C690" t="s">
        <v>5233</v>
      </c>
      <c r="D690" t="s">
        <v>463</v>
      </c>
      <c r="E690">
        <v>13</v>
      </c>
      <c r="F690">
        <v>229.6</v>
      </c>
      <c r="G690">
        <v>17.66</v>
      </c>
    </row>
    <row r="691" spans="1:7" x14ac:dyDescent="0.3">
      <c r="A691" t="s">
        <v>557</v>
      </c>
      <c r="B691">
        <v>20429</v>
      </c>
      <c r="C691" t="s">
        <v>5317</v>
      </c>
      <c r="D691" t="s">
        <v>463</v>
      </c>
      <c r="E691">
        <v>1</v>
      </c>
      <c r="F691">
        <v>22.98</v>
      </c>
      <c r="G691">
        <v>22.98</v>
      </c>
    </row>
    <row r="692" spans="1:7" x14ac:dyDescent="0.3">
      <c r="A692" t="s">
        <v>557</v>
      </c>
      <c r="B692">
        <v>27264</v>
      </c>
      <c r="C692" t="s">
        <v>5075</v>
      </c>
      <c r="D692" t="s">
        <v>463</v>
      </c>
      <c r="E692">
        <v>48.74</v>
      </c>
      <c r="F692">
        <v>2681.33</v>
      </c>
      <c r="G692">
        <v>55.01</v>
      </c>
    </row>
    <row r="693" spans="1:7" x14ac:dyDescent="0.3">
      <c r="A693" t="s">
        <v>557</v>
      </c>
      <c r="B693">
        <v>18547</v>
      </c>
      <c r="C693" t="s">
        <v>4863</v>
      </c>
      <c r="D693" t="s">
        <v>463</v>
      </c>
      <c r="E693">
        <v>10</v>
      </c>
      <c r="F693">
        <v>373.47</v>
      </c>
      <c r="G693">
        <v>37.35</v>
      </c>
    </row>
    <row r="694" spans="1:7" x14ac:dyDescent="0.3">
      <c r="A694" t="s">
        <v>557</v>
      </c>
      <c r="B694">
        <v>18545</v>
      </c>
      <c r="C694" t="s">
        <v>4864</v>
      </c>
      <c r="D694" t="s">
        <v>463</v>
      </c>
      <c r="E694">
        <v>4</v>
      </c>
      <c r="F694">
        <v>177.49</v>
      </c>
      <c r="G694">
        <v>44.37</v>
      </c>
    </row>
    <row r="695" spans="1:7" x14ac:dyDescent="0.3">
      <c r="A695" t="s">
        <v>557</v>
      </c>
      <c r="B695">
        <v>18518</v>
      </c>
      <c r="C695" t="s">
        <v>4838</v>
      </c>
      <c r="D695" t="s">
        <v>463</v>
      </c>
      <c r="E695">
        <v>9</v>
      </c>
      <c r="F695">
        <v>360</v>
      </c>
      <c r="G695">
        <v>40</v>
      </c>
    </row>
    <row r="696" spans="1:7" x14ac:dyDescent="0.3">
      <c r="A696" t="s">
        <v>557</v>
      </c>
      <c r="B696">
        <v>18538</v>
      </c>
      <c r="C696" t="s">
        <v>5030</v>
      </c>
      <c r="D696" t="s">
        <v>463</v>
      </c>
      <c r="E696">
        <v>2</v>
      </c>
      <c r="F696">
        <v>204.74</v>
      </c>
      <c r="G696">
        <v>102.37</v>
      </c>
    </row>
    <row r="697" spans="1:7" x14ac:dyDescent="0.3">
      <c r="A697" t="s">
        <v>557</v>
      </c>
      <c r="B697">
        <v>20301</v>
      </c>
      <c r="C697" t="s">
        <v>4944</v>
      </c>
      <c r="D697" t="s">
        <v>463</v>
      </c>
      <c r="E697">
        <v>20</v>
      </c>
      <c r="F697">
        <v>420</v>
      </c>
      <c r="G697">
        <v>21</v>
      </c>
    </row>
    <row r="698" spans="1:7" x14ac:dyDescent="0.3">
      <c r="A698" t="s">
        <v>557</v>
      </c>
      <c r="B698">
        <v>20295</v>
      </c>
      <c r="C698" t="s">
        <v>4881</v>
      </c>
      <c r="D698" t="s">
        <v>463</v>
      </c>
      <c r="E698">
        <v>2</v>
      </c>
      <c r="F698">
        <v>22.56</v>
      </c>
      <c r="G698">
        <v>11.28</v>
      </c>
    </row>
    <row r="699" spans="1:7" x14ac:dyDescent="0.3">
      <c r="A699" t="s">
        <v>557</v>
      </c>
      <c r="B699">
        <v>21783</v>
      </c>
      <c r="C699" t="s">
        <v>5210</v>
      </c>
      <c r="D699" t="s">
        <v>463</v>
      </c>
      <c r="E699">
        <v>2</v>
      </c>
      <c r="F699">
        <v>32</v>
      </c>
      <c r="G699">
        <v>16</v>
      </c>
    </row>
    <row r="700" spans="1:7" x14ac:dyDescent="0.3">
      <c r="A700" t="s">
        <v>557</v>
      </c>
      <c r="B700">
        <v>23808</v>
      </c>
      <c r="C700" t="s">
        <v>4982</v>
      </c>
      <c r="D700" t="s">
        <v>463</v>
      </c>
      <c r="E700">
        <v>2</v>
      </c>
      <c r="F700">
        <v>101.05</v>
      </c>
      <c r="G700">
        <v>50.53</v>
      </c>
    </row>
    <row r="701" spans="1:7" x14ac:dyDescent="0.3">
      <c r="A701" t="s">
        <v>557</v>
      </c>
      <c r="B701">
        <v>22721</v>
      </c>
      <c r="C701" t="s">
        <v>4803</v>
      </c>
      <c r="D701" t="s">
        <v>463</v>
      </c>
      <c r="E701">
        <v>11.72</v>
      </c>
      <c r="F701">
        <v>345.74</v>
      </c>
      <c r="G701">
        <v>29.5</v>
      </c>
    </row>
    <row r="702" spans="1:7" x14ac:dyDescent="0.3">
      <c r="A702" t="s">
        <v>557</v>
      </c>
      <c r="B702">
        <v>23390</v>
      </c>
      <c r="C702" t="s">
        <v>4873</v>
      </c>
      <c r="D702" t="s">
        <v>463</v>
      </c>
      <c r="E702">
        <v>3</v>
      </c>
      <c r="F702">
        <v>24</v>
      </c>
      <c r="G702">
        <v>8</v>
      </c>
    </row>
    <row r="703" spans="1:7" x14ac:dyDescent="0.3">
      <c r="A703" t="s">
        <v>557</v>
      </c>
      <c r="B703">
        <v>23389</v>
      </c>
      <c r="C703" t="s">
        <v>4960</v>
      </c>
      <c r="D703" t="s">
        <v>463</v>
      </c>
      <c r="E703">
        <v>34.700000000000003</v>
      </c>
      <c r="F703">
        <v>173.42</v>
      </c>
      <c r="G703">
        <v>5</v>
      </c>
    </row>
    <row r="704" spans="1:7" x14ac:dyDescent="0.3">
      <c r="A704" t="s">
        <v>557</v>
      </c>
      <c r="B704">
        <v>28719</v>
      </c>
      <c r="C704" t="s">
        <v>5225</v>
      </c>
      <c r="D704" t="s">
        <v>463</v>
      </c>
      <c r="E704">
        <v>1</v>
      </c>
      <c r="F704">
        <v>398.18</v>
      </c>
      <c r="G704">
        <v>398.18</v>
      </c>
    </row>
    <row r="705" spans="1:7" x14ac:dyDescent="0.3">
      <c r="A705" t="s">
        <v>557</v>
      </c>
      <c r="B705">
        <v>24081</v>
      </c>
      <c r="C705" t="s">
        <v>4834</v>
      </c>
      <c r="D705" t="s">
        <v>463</v>
      </c>
      <c r="E705">
        <v>11.8</v>
      </c>
      <c r="F705">
        <v>280.83999999999997</v>
      </c>
      <c r="G705">
        <v>23.8</v>
      </c>
    </row>
    <row r="706" spans="1:7" x14ac:dyDescent="0.3">
      <c r="A706" t="s">
        <v>557</v>
      </c>
      <c r="B706">
        <v>28226</v>
      </c>
      <c r="C706" t="s">
        <v>5315</v>
      </c>
      <c r="D706" t="s">
        <v>463</v>
      </c>
      <c r="E706">
        <v>20</v>
      </c>
      <c r="F706">
        <v>179.8</v>
      </c>
      <c r="G706">
        <v>8.99</v>
      </c>
    </row>
    <row r="707" spans="1:7" x14ac:dyDescent="0.3">
      <c r="A707" t="s">
        <v>557</v>
      </c>
      <c r="B707">
        <v>24083</v>
      </c>
      <c r="C707" t="s">
        <v>5165</v>
      </c>
      <c r="D707" t="s">
        <v>463</v>
      </c>
      <c r="E707">
        <v>440.16</v>
      </c>
      <c r="F707">
        <v>3439.67</v>
      </c>
      <c r="G707">
        <v>7.81</v>
      </c>
    </row>
    <row r="708" spans="1:7" x14ac:dyDescent="0.3">
      <c r="A708" t="s">
        <v>557</v>
      </c>
      <c r="B708">
        <v>19642</v>
      </c>
      <c r="C708" t="s">
        <v>4996</v>
      </c>
      <c r="D708" t="s">
        <v>463</v>
      </c>
      <c r="E708">
        <v>3.21</v>
      </c>
      <c r="F708">
        <v>17.77</v>
      </c>
      <c r="G708">
        <v>5.54</v>
      </c>
    </row>
    <row r="709" spans="1:7" x14ac:dyDescent="0.3">
      <c r="A709" t="s">
        <v>557</v>
      </c>
      <c r="B709">
        <v>19635</v>
      </c>
      <c r="C709" t="s">
        <v>4786</v>
      </c>
      <c r="D709" t="s">
        <v>463</v>
      </c>
      <c r="E709">
        <v>55</v>
      </c>
      <c r="F709">
        <v>264.60000000000002</v>
      </c>
      <c r="G709">
        <v>4.8099999999999996</v>
      </c>
    </row>
    <row r="710" spans="1:7" x14ac:dyDescent="0.3">
      <c r="A710" t="s">
        <v>557</v>
      </c>
      <c r="B710">
        <v>27090</v>
      </c>
      <c r="C710" t="s">
        <v>5324</v>
      </c>
      <c r="D710" t="s">
        <v>463</v>
      </c>
      <c r="E710">
        <v>8</v>
      </c>
      <c r="F710">
        <v>763.28</v>
      </c>
      <c r="G710">
        <v>95.41</v>
      </c>
    </row>
    <row r="711" spans="1:7" x14ac:dyDescent="0.3">
      <c r="A711" t="s">
        <v>557</v>
      </c>
      <c r="B711">
        <v>19634</v>
      </c>
      <c r="C711" t="s">
        <v>4792</v>
      </c>
      <c r="D711" t="s">
        <v>463</v>
      </c>
      <c r="E711">
        <v>37.75</v>
      </c>
      <c r="F711">
        <v>294.51</v>
      </c>
      <c r="G711">
        <v>7.8</v>
      </c>
    </row>
    <row r="712" spans="1:7" x14ac:dyDescent="0.3">
      <c r="A712" t="s">
        <v>557</v>
      </c>
      <c r="B712">
        <v>19632</v>
      </c>
      <c r="C712" t="s">
        <v>4936</v>
      </c>
      <c r="D712" t="s">
        <v>463</v>
      </c>
      <c r="E712">
        <v>12.44</v>
      </c>
      <c r="F712">
        <v>65.41</v>
      </c>
      <c r="G712">
        <v>5.26</v>
      </c>
    </row>
    <row r="713" spans="1:7" x14ac:dyDescent="0.3">
      <c r="A713" t="s">
        <v>557</v>
      </c>
      <c r="B713">
        <v>23819</v>
      </c>
      <c r="C713" t="s">
        <v>4947</v>
      </c>
      <c r="D713" t="s">
        <v>463</v>
      </c>
      <c r="E713">
        <v>6</v>
      </c>
      <c r="F713">
        <v>54.96</v>
      </c>
      <c r="G713">
        <v>9.16</v>
      </c>
    </row>
    <row r="714" spans="1:7" x14ac:dyDescent="0.3">
      <c r="A714" t="s">
        <v>557</v>
      </c>
      <c r="B714">
        <v>17381</v>
      </c>
      <c r="C714" t="s">
        <v>5262</v>
      </c>
      <c r="D714" t="s">
        <v>463</v>
      </c>
      <c r="E714">
        <v>4</v>
      </c>
      <c r="F714">
        <v>167.78</v>
      </c>
      <c r="G714">
        <v>41.95</v>
      </c>
    </row>
    <row r="715" spans="1:7" x14ac:dyDescent="0.3">
      <c r="A715" t="s">
        <v>557</v>
      </c>
      <c r="B715">
        <v>24099</v>
      </c>
      <c r="C715" t="s">
        <v>4933</v>
      </c>
      <c r="D715" t="s">
        <v>463</v>
      </c>
      <c r="E715">
        <v>12.3</v>
      </c>
      <c r="F715">
        <v>205.1</v>
      </c>
      <c r="G715">
        <v>16.670000000000002</v>
      </c>
    </row>
    <row r="716" spans="1:7" x14ac:dyDescent="0.3">
      <c r="A716" t="s">
        <v>557</v>
      </c>
      <c r="B716">
        <v>19492</v>
      </c>
      <c r="C716" t="s">
        <v>4937</v>
      </c>
      <c r="D716" t="s">
        <v>463</v>
      </c>
      <c r="E716">
        <v>15.76</v>
      </c>
      <c r="F716">
        <v>340.79</v>
      </c>
      <c r="G716">
        <v>21.62</v>
      </c>
    </row>
    <row r="717" spans="1:7" x14ac:dyDescent="0.3">
      <c r="A717" t="s">
        <v>557</v>
      </c>
      <c r="B717">
        <v>18477</v>
      </c>
      <c r="C717" t="s">
        <v>4920</v>
      </c>
      <c r="D717" t="s">
        <v>463</v>
      </c>
      <c r="E717">
        <v>6</v>
      </c>
      <c r="F717">
        <v>239.4</v>
      </c>
      <c r="G717">
        <v>39.9</v>
      </c>
    </row>
    <row r="718" spans="1:7" x14ac:dyDescent="0.3">
      <c r="A718" t="s">
        <v>557</v>
      </c>
      <c r="B718">
        <v>18475</v>
      </c>
      <c r="C718" t="s">
        <v>4895</v>
      </c>
      <c r="D718" t="s">
        <v>463</v>
      </c>
      <c r="E718">
        <v>12</v>
      </c>
      <c r="F718">
        <v>394.8</v>
      </c>
      <c r="G718">
        <v>32.9</v>
      </c>
    </row>
    <row r="719" spans="1:7" x14ac:dyDescent="0.3">
      <c r="A719" t="s">
        <v>557</v>
      </c>
      <c r="B719">
        <v>18462</v>
      </c>
      <c r="C719" t="s">
        <v>5031</v>
      </c>
      <c r="D719" t="s">
        <v>463</v>
      </c>
      <c r="E719">
        <v>1</v>
      </c>
      <c r="F719">
        <v>51.1</v>
      </c>
      <c r="G719">
        <v>51.1</v>
      </c>
    </row>
    <row r="720" spans="1:7" x14ac:dyDescent="0.3">
      <c r="A720" t="s">
        <v>557</v>
      </c>
      <c r="B720">
        <v>18423</v>
      </c>
      <c r="C720" t="s">
        <v>4987</v>
      </c>
      <c r="D720" t="s">
        <v>463</v>
      </c>
      <c r="E720">
        <v>2</v>
      </c>
      <c r="F720">
        <v>77.44</v>
      </c>
      <c r="G720">
        <v>38.72</v>
      </c>
    </row>
    <row r="721" spans="1:7" x14ac:dyDescent="0.3">
      <c r="A721" t="s">
        <v>557</v>
      </c>
      <c r="B721">
        <v>20809</v>
      </c>
      <c r="C721" t="s">
        <v>4822</v>
      </c>
      <c r="D721" t="s">
        <v>463</v>
      </c>
      <c r="E721">
        <v>24</v>
      </c>
      <c r="F721">
        <v>718.86</v>
      </c>
      <c r="G721">
        <v>29.95</v>
      </c>
    </row>
    <row r="722" spans="1:7" x14ac:dyDescent="0.3">
      <c r="A722" t="s">
        <v>557</v>
      </c>
      <c r="B722">
        <v>23385</v>
      </c>
      <c r="C722" t="s">
        <v>4938</v>
      </c>
      <c r="D722" t="s">
        <v>463</v>
      </c>
      <c r="E722">
        <v>4.2</v>
      </c>
      <c r="F722">
        <v>279.5</v>
      </c>
      <c r="G722">
        <v>66.55</v>
      </c>
    </row>
    <row r="723" spans="1:7" x14ac:dyDescent="0.3">
      <c r="A723" t="s">
        <v>557</v>
      </c>
      <c r="B723">
        <v>28878</v>
      </c>
      <c r="C723" t="s">
        <v>5310</v>
      </c>
      <c r="D723" t="s">
        <v>463</v>
      </c>
      <c r="E723">
        <v>1</v>
      </c>
      <c r="F723">
        <v>82.63</v>
      </c>
      <c r="G723">
        <v>82.63</v>
      </c>
    </row>
    <row r="724" spans="1:7" x14ac:dyDescent="0.3">
      <c r="A724" t="s">
        <v>557</v>
      </c>
      <c r="B724">
        <v>26222</v>
      </c>
      <c r="C724" t="s">
        <v>5327</v>
      </c>
      <c r="D724" t="s">
        <v>463</v>
      </c>
      <c r="E724">
        <v>1</v>
      </c>
      <c r="F724">
        <v>49.9</v>
      </c>
      <c r="G724">
        <v>49.9</v>
      </c>
    </row>
    <row r="725" spans="1:7" x14ac:dyDescent="0.3">
      <c r="A725" t="s">
        <v>557</v>
      </c>
      <c r="B725">
        <v>17554</v>
      </c>
      <c r="C725" t="s">
        <v>5320</v>
      </c>
      <c r="D725" t="s">
        <v>463</v>
      </c>
      <c r="E725">
        <v>1</v>
      </c>
      <c r="F725">
        <v>310</v>
      </c>
      <c r="G725">
        <v>310</v>
      </c>
    </row>
    <row r="726" spans="1:7" x14ac:dyDescent="0.3">
      <c r="A726" t="s">
        <v>557</v>
      </c>
      <c r="B726">
        <v>19490</v>
      </c>
      <c r="C726" t="s">
        <v>5116</v>
      </c>
      <c r="D726" t="s">
        <v>463</v>
      </c>
      <c r="E726">
        <v>0.55000000000000004</v>
      </c>
      <c r="F726">
        <v>33.6</v>
      </c>
      <c r="G726">
        <v>61.09</v>
      </c>
    </row>
    <row r="727" spans="1:7" x14ac:dyDescent="0.3">
      <c r="A727" t="s">
        <v>557</v>
      </c>
      <c r="B727">
        <v>24690</v>
      </c>
      <c r="C727" t="s">
        <v>5168</v>
      </c>
      <c r="D727" t="s">
        <v>463</v>
      </c>
      <c r="E727">
        <v>1</v>
      </c>
      <c r="F727">
        <v>18.75</v>
      </c>
      <c r="G727">
        <v>18.75</v>
      </c>
    </row>
    <row r="728" spans="1:7" x14ac:dyDescent="0.3">
      <c r="A728" t="s">
        <v>557</v>
      </c>
      <c r="B728">
        <v>24116</v>
      </c>
      <c r="C728" t="s">
        <v>4777</v>
      </c>
      <c r="D728" t="s">
        <v>463</v>
      </c>
      <c r="E728">
        <v>15</v>
      </c>
      <c r="F728">
        <v>648.5</v>
      </c>
      <c r="G728">
        <v>43.23</v>
      </c>
    </row>
    <row r="729" spans="1:7" x14ac:dyDescent="0.3">
      <c r="A729" t="s">
        <v>557</v>
      </c>
      <c r="B729">
        <v>24117</v>
      </c>
      <c r="C729" t="s">
        <v>5236</v>
      </c>
      <c r="D729" t="s">
        <v>463</v>
      </c>
      <c r="E729">
        <v>10</v>
      </c>
      <c r="F729">
        <v>419</v>
      </c>
      <c r="G729">
        <v>41.9</v>
      </c>
    </row>
    <row r="730" spans="1:7" x14ac:dyDescent="0.3">
      <c r="A730" t="s">
        <v>557</v>
      </c>
      <c r="B730">
        <v>24658</v>
      </c>
      <c r="C730" t="s">
        <v>5274</v>
      </c>
      <c r="D730" t="s">
        <v>463</v>
      </c>
      <c r="E730">
        <v>120</v>
      </c>
      <c r="F730">
        <v>4152</v>
      </c>
      <c r="G730">
        <v>34.6</v>
      </c>
    </row>
    <row r="731" spans="1:7" x14ac:dyDescent="0.3">
      <c r="A731" t="s">
        <v>557</v>
      </c>
      <c r="B731">
        <v>25358</v>
      </c>
      <c r="C731" t="s">
        <v>4980</v>
      </c>
      <c r="D731" t="s">
        <v>463</v>
      </c>
      <c r="E731">
        <v>3</v>
      </c>
      <c r="F731">
        <v>238.4</v>
      </c>
      <c r="G731">
        <v>79.47</v>
      </c>
    </row>
    <row r="732" spans="1:7" x14ac:dyDescent="0.3">
      <c r="A732" t="s">
        <v>557</v>
      </c>
      <c r="B732">
        <v>18642</v>
      </c>
      <c r="C732" t="s">
        <v>5127</v>
      </c>
      <c r="D732" t="s">
        <v>463</v>
      </c>
      <c r="E732">
        <v>6</v>
      </c>
      <c r="F732">
        <v>1155.06</v>
      </c>
      <c r="G732">
        <v>192.51</v>
      </c>
    </row>
    <row r="733" spans="1:7" x14ac:dyDescent="0.3">
      <c r="A733" t="s">
        <v>557</v>
      </c>
      <c r="B733">
        <v>24509</v>
      </c>
      <c r="C733" t="s">
        <v>4788</v>
      </c>
      <c r="D733" t="s">
        <v>463</v>
      </c>
      <c r="E733">
        <v>80.3</v>
      </c>
      <c r="F733">
        <v>366.81</v>
      </c>
      <c r="G733">
        <v>4.57</v>
      </c>
    </row>
    <row r="734" spans="1:7" x14ac:dyDescent="0.3">
      <c r="A734" t="s">
        <v>557</v>
      </c>
      <c r="B734">
        <v>19622</v>
      </c>
      <c r="C734" t="s">
        <v>4915</v>
      </c>
      <c r="D734" t="s">
        <v>463</v>
      </c>
      <c r="E734">
        <v>2.2999999999999998</v>
      </c>
      <c r="F734">
        <v>12.05</v>
      </c>
      <c r="G734">
        <v>5.24</v>
      </c>
    </row>
    <row r="735" spans="1:7" x14ac:dyDescent="0.3">
      <c r="A735" t="s">
        <v>557</v>
      </c>
      <c r="B735">
        <v>19623</v>
      </c>
      <c r="C735" t="s">
        <v>4764</v>
      </c>
      <c r="D735" t="s">
        <v>463</v>
      </c>
      <c r="E735">
        <v>75.099999999999994</v>
      </c>
      <c r="F735">
        <v>457.27</v>
      </c>
      <c r="G735">
        <v>6.09</v>
      </c>
    </row>
    <row r="736" spans="1:7" x14ac:dyDescent="0.3">
      <c r="A736" t="s">
        <v>557</v>
      </c>
      <c r="B736">
        <v>19488</v>
      </c>
      <c r="C736" t="s">
        <v>5107</v>
      </c>
      <c r="D736" t="s">
        <v>463</v>
      </c>
      <c r="E736">
        <v>1.6</v>
      </c>
      <c r="F736">
        <v>22.15</v>
      </c>
      <c r="G736">
        <v>13.84</v>
      </c>
    </row>
    <row r="737" spans="1:7" x14ac:dyDescent="0.3">
      <c r="A737" t="s">
        <v>557</v>
      </c>
      <c r="B737">
        <v>19621</v>
      </c>
      <c r="C737" t="s">
        <v>4829</v>
      </c>
      <c r="D737" t="s">
        <v>463</v>
      </c>
      <c r="E737">
        <v>20.440000000000001</v>
      </c>
      <c r="F737">
        <v>167.61</v>
      </c>
      <c r="G737">
        <v>8.1999999999999993</v>
      </c>
    </row>
    <row r="738" spans="1:7" x14ac:dyDescent="0.3">
      <c r="A738" t="s">
        <v>557</v>
      </c>
      <c r="B738">
        <v>26505</v>
      </c>
      <c r="C738" t="s">
        <v>4750</v>
      </c>
      <c r="D738" t="s">
        <v>463</v>
      </c>
      <c r="E738">
        <v>4</v>
      </c>
      <c r="F738">
        <v>864</v>
      </c>
      <c r="G738">
        <v>216</v>
      </c>
    </row>
    <row r="739" spans="1:7" x14ac:dyDescent="0.3">
      <c r="A739" t="s">
        <v>557</v>
      </c>
      <c r="B739">
        <v>25561</v>
      </c>
      <c r="C739" t="s">
        <v>5095</v>
      </c>
      <c r="D739" t="s">
        <v>463</v>
      </c>
      <c r="E739">
        <v>1</v>
      </c>
      <c r="F739">
        <v>132</v>
      </c>
      <c r="G739">
        <v>132</v>
      </c>
    </row>
    <row r="740" spans="1:7" x14ac:dyDescent="0.3">
      <c r="A740" t="s">
        <v>557</v>
      </c>
      <c r="B740">
        <v>24141</v>
      </c>
      <c r="C740" t="s">
        <v>5088</v>
      </c>
      <c r="D740" t="s">
        <v>463</v>
      </c>
      <c r="E740">
        <v>20</v>
      </c>
      <c r="F740">
        <v>3256.95</v>
      </c>
      <c r="G740">
        <v>162.85</v>
      </c>
    </row>
    <row r="741" spans="1:7" x14ac:dyDescent="0.3">
      <c r="A741" t="s">
        <v>557</v>
      </c>
      <c r="B741">
        <v>24142</v>
      </c>
      <c r="C741" t="s">
        <v>5090</v>
      </c>
      <c r="D741" t="s">
        <v>463</v>
      </c>
      <c r="E741">
        <v>6</v>
      </c>
      <c r="F741">
        <v>969.12</v>
      </c>
      <c r="G741">
        <v>161.52000000000001</v>
      </c>
    </row>
    <row r="742" spans="1:7" x14ac:dyDescent="0.3">
      <c r="A742" t="s">
        <v>557</v>
      </c>
      <c r="B742">
        <v>18579</v>
      </c>
      <c r="C742" t="s">
        <v>5087</v>
      </c>
      <c r="D742" t="s">
        <v>463</v>
      </c>
      <c r="E742">
        <v>7</v>
      </c>
      <c r="F742">
        <v>1018.76</v>
      </c>
      <c r="G742">
        <v>145.54</v>
      </c>
    </row>
    <row r="743" spans="1:7" x14ac:dyDescent="0.3">
      <c r="A743" t="s">
        <v>557</v>
      </c>
      <c r="B743">
        <v>20909</v>
      </c>
      <c r="C743" t="s">
        <v>5318</v>
      </c>
      <c r="D743" t="s">
        <v>463</v>
      </c>
      <c r="E743">
        <v>1</v>
      </c>
      <c r="F743">
        <v>195.11</v>
      </c>
      <c r="G743">
        <v>195.11</v>
      </c>
    </row>
    <row r="744" spans="1:7" x14ac:dyDescent="0.3">
      <c r="A744" t="s">
        <v>557</v>
      </c>
      <c r="B744">
        <v>18636</v>
      </c>
      <c r="C744" t="s">
        <v>4964</v>
      </c>
      <c r="D744" t="s">
        <v>463</v>
      </c>
      <c r="E744">
        <v>11</v>
      </c>
      <c r="F744">
        <v>4786.5600000000004</v>
      </c>
      <c r="G744">
        <v>435.14</v>
      </c>
    </row>
    <row r="745" spans="1:7" x14ac:dyDescent="0.3">
      <c r="A745" t="s">
        <v>557</v>
      </c>
      <c r="B745">
        <v>24981</v>
      </c>
      <c r="C745" t="s">
        <v>5140</v>
      </c>
      <c r="D745" t="s">
        <v>463</v>
      </c>
      <c r="E745">
        <v>3</v>
      </c>
      <c r="F745">
        <v>1186.9100000000001</v>
      </c>
      <c r="G745">
        <v>395.64</v>
      </c>
    </row>
    <row r="746" spans="1:7" x14ac:dyDescent="0.3">
      <c r="A746" t="s">
        <v>557</v>
      </c>
      <c r="B746">
        <v>26135</v>
      </c>
      <c r="C746" t="s">
        <v>4801</v>
      </c>
      <c r="D746" t="s">
        <v>463</v>
      </c>
      <c r="E746">
        <v>12.12</v>
      </c>
      <c r="F746">
        <v>1089.5899999999999</v>
      </c>
      <c r="G746">
        <v>89.9</v>
      </c>
    </row>
    <row r="747" spans="1:7" x14ac:dyDescent="0.3">
      <c r="A747" t="s">
        <v>557</v>
      </c>
      <c r="B747">
        <v>24744</v>
      </c>
      <c r="C747" t="s">
        <v>5328</v>
      </c>
      <c r="D747" t="s">
        <v>463</v>
      </c>
      <c r="E747">
        <v>2</v>
      </c>
      <c r="F747">
        <v>17.8</v>
      </c>
      <c r="G747">
        <v>8.9</v>
      </c>
    </row>
    <row r="748" spans="1:7" x14ac:dyDescent="0.3">
      <c r="A748" t="s">
        <v>557</v>
      </c>
      <c r="B748">
        <v>19617</v>
      </c>
      <c r="C748" t="s">
        <v>5071</v>
      </c>
      <c r="D748" t="s">
        <v>463</v>
      </c>
      <c r="E748">
        <v>5.0999999999999996</v>
      </c>
      <c r="F748">
        <v>151.79</v>
      </c>
      <c r="G748">
        <v>29.76</v>
      </c>
    </row>
    <row r="749" spans="1:7" x14ac:dyDescent="0.3">
      <c r="A749" t="s">
        <v>557</v>
      </c>
      <c r="B749">
        <v>20549</v>
      </c>
      <c r="C749" t="s">
        <v>4823</v>
      </c>
      <c r="D749" t="s">
        <v>463</v>
      </c>
      <c r="E749">
        <v>22.28</v>
      </c>
      <c r="F749">
        <v>445.37</v>
      </c>
      <c r="G749">
        <v>19.989999999999998</v>
      </c>
    </row>
    <row r="750" spans="1:7" x14ac:dyDescent="0.3">
      <c r="A750" t="s">
        <v>557</v>
      </c>
      <c r="B750">
        <v>17532</v>
      </c>
      <c r="C750" t="s">
        <v>5259</v>
      </c>
      <c r="D750" t="s">
        <v>463</v>
      </c>
      <c r="E750">
        <v>1</v>
      </c>
      <c r="F750">
        <v>98</v>
      </c>
      <c r="G750">
        <v>98</v>
      </c>
    </row>
    <row r="751" spans="1:7" x14ac:dyDescent="0.3">
      <c r="A751" t="s">
        <v>557</v>
      </c>
      <c r="B751">
        <v>18595</v>
      </c>
      <c r="C751" t="s">
        <v>5092</v>
      </c>
      <c r="D751" t="s">
        <v>463</v>
      </c>
      <c r="E751">
        <v>5</v>
      </c>
      <c r="F751">
        <v>752.4</v>
      </c>
      <c r="G751">
        <v>150.47999999999999</v>
      </c>
    </row>
    <row r="752" spans="1:7" x14ac:dyDescent="0.3">
      <c r="A752" t="s">
        <v>557</v>
      </c>
      <c r="B752">
        <v>26679</v>
      </c>
      <c r="C752" t="s">
        <v>4791</v>
      </c>
      <c r="D752" t="s">
        <v>463</v>
      </c>
      <c r="E752">
        <v>152.08000000000001</v>
      </c>
      <c r="F752">
        <v>4547.03</v>
      </c>
      <c r="G752">
        <v>29.9</v>
      </c>
    </row>
    <row r="753" spans="1:7" x14ac:dyDescent="0.3">
      <c r="A753" t="s">
        <v>557</v>
      </c>
      <c r="B753">
        <v>24200</v>
      </c>
      <c r="C753" t="s">
        <v>4820</v>
      </c>
      <c r="D753" t="s">
        <v>463</v>
      </c>
      <c r="E753">
        <v>26.4</v>
      </c>
      <c r="F753">
        <v>868.56</v>
      </c>
      <c r="G753">
        <v>32.9</v>
      </c>
    </row>
    <row r="754" spans="1:7" x14ac:dyDescent="0.3">
      <c r="A754" t="s">
        <v>557</v>
      </c>
      <c r="B754">
        <v>24199</v>
      </c>
      <c r="C754" t="s">
        <v>4783</v>
      </c>
      <c r="D754" t="s">
        <v>463</v>
      </c>
      <c r="E754">
        <v>10.7</v>
      </c>
      <c r="F754">
        <v>213.89</v>
      </c>
      <c r="G754">
        <v>19.989999999999998</v>
      </c>
    </row>
    <row r="755" spans="1:7" x14ac:dyDescent="0.3">
      <c r="A755" t="s">
        <v>557</v>
      </c>
      <c r="B755">
        <v>21257</v>
      </c>
      <c r="C755" t="s">
        <v>4952</v>
      </c>
      <c r="D755" t="s">
        <v>463</v>
      </c>
      <c r="E755">
        <v>6</v>
      </c>
      <c r="F755">
        <v>113.5</v>
      </c>
      <c r="G755">
        <v>18.920000000000002</v>
      </c>
    </row>
    <row r="756" spans="1:7" x14ac:dyDescent="0.3">
      <c r="A756" t="s">
        <v>557</v>
      </c>
      <c r="B756">
        <v>23238</v>
      </c>
      <c r="C756" t="s">
        <v>4934</v>
      </c>
      <c r="D756" t="s">
        <v>463</v>
      </c>
      <c r="E756">
        <v>10.6</v>
      </c>
      <c r="F756">
        <v>232.56</v>
      </c>
      <c r="G756">
        <v>21.94</v>
      </c>
    </row>
    <row r="757" spans="1:7" x14ac:dyDescent="0.3">
      <c r="A757" t="s">
        <v>557</v>
      </c>
      <c r="B757">
        <v>23236</v>
      </c>
      <c r="C757" t="s">
        <v>5062</v>
      </c>
      <c r="D757" t="s">
        <v>463</v>
      </c>
      <c r="E757">
        <v>23.65</v>
      </c>
      <c r="F757">
        <v>247.94</v>
      </c>
      <c r="G757">
        <v>10.48</v>
      </c>
    </row>
    <row r="758" spans="1:7" x14ac:dyDescent="0.3">
      <c r="A758" t="s">
        <v>557</v>
      </c>
      <c r="B758">
        <v>19041</v>
      </c>
      <c r="C758" t="s">
        <v>4762</v>
      </c>
      <c r="D758" t="s">
        <v>463</v>
      </c>
      <c r="E758">
        <v>137.80000000000001</v>
      </c>
      <c r="F758">
        <v>2053.2199999999998</v>
      </c>
      <c r="G758">
        <v>14.9</v>
      </c>
    </row>
    <row r="759" spans="1:7" x14ac:dyDescent="0.3">
      <c r="A759" t="s">
        <v>557</v>
      </c>
      <c r="B759">
        <v>22843</v>
      </c>
      <c r="C759" t="s">
        <v>4849</v>
      </c>
      <c r="D759" t="s">
        <v>463</v>
      </c>
      <c r="E759">
        <v>14</v>
      </c>
      <c r="F759">
        <v>530.6</v>
      </c>
      <c r="G759">
        <v>37.9</v>
      </c>
    </row>
    <row r="760" spans="1:7" x14ac:dyDescent="0.3">
      <c r="A760" t="s">
        <v>557</v>
      </c>
      <c r="B760">
        <v>19439</v>
      </c>
      <c r="C760" t="s">
        <v>4917</v>
      </c>
      <c r="D760" t="s">
        <v>463</v>
      </c>
      <c r="E760">
        <v>12</v>
      </c>
      <c r="F760">
        <v>363.32</v>
      </c>
      <c r="G760">
        <v>30.28</v>
      </c>
    </row>
    <row r="761" spans="1:7" x14ac:dyDescent="0.3">
      <c r="A761" t="s">
        <v>557</v>
      </c>
      <c r="B761">
        <v>20689</v>
      </c>
      <c r="C761" t="s">
        <v>5007</v>
      </c>
      <c r="D761" t="s">
        <v>463</v>
      </c>
      <c r="E761">
        <v>9</v>
      </c>
      <c r="F761">
        <v>287.60000000000002</v>
      </c>
      <c r="G761">
        <v>31.96</v>
      </c>
    </row>
    <row r="762" spans="1:7" x14ac:dyDescent="0.3">
      <c r="A762" t="s">
        <v>557</v>
      </c>
      <c r="B762">
        <v>26020</v>
      </c>
      <c r="C762" t="s">
        <v>5102</v>
      </c>
      <c r="D762" t="s">
        <v>463</v>
      </c>
      <c r="E762">
        <v>2</v>
      </c>
      <c r="F762">
        <v>27.9</v>
      </c>
      <c r="G762">
        <v>13.95</v>
      </c>
    </row>
    <row r="763" spans="1:7" x14ac:dyDescent="0.3">
      <c r="A763" t="s">
        <v>557</v>
      </c>
      <c r="B763">
        <v>24217</v>
      </c>
      <c r="C763" t="s">
        <v>4778</v>
      </c>
      <c r="D763" t="s">
        <v>463</v>
      </c>
      <c r="E763">
        <v>88</v>
      </c>
      <c r="F763">
        <v>2974</v>
      </c>
      <c r="G763">
        <v>33.799999999999997</v>
      </c>
    </row>
    <row r="764" spans="1:7" x14ac:dyDescent="0.3">
      <c r="A764" t="s">
        <v>557</v>
      </c>
      <c r="B764">
        <v>17304</v>
      </c>
      <c r="C764" t="s">
        <v>5195</v>
      </c>
      <c r="D764" t="s">
        <v>463</v>
      </c>
      <c r="E764">
        <v>7</v>
      </c>
      <c r="F764">
        <v>53.06</v>
      </c>
      <c r="G764">
        <v>7.58</v>
      </c>
    </row>
    <row r="765" spans="1:7" x14ac:dyDescent="0.3">
      <c r="A765" t="s">
        <v>557</v>
      </c>
      <c r="B765">
        <v>17215</v>
      </c>
      <c r="C765" t="s">
        <v>5299</v>
      </c>
      <c r="D765" t="s">
        <v>463</v>
      </c>
      <c r="E765">
        <v>24</v>
      </c>
      <c r="F765">
        <v>443.94</v>
      </c>
      <c r="G765">
        <v>18.5</v>
      </c>
    </row>
    <row r="766" spans="1:7" x14ac:dyDescent="0.3">
      <c r="A766" t="s">
        <v>557</v>
      </c>
      <c r="B766">
        <v>17205</v>
      </c>
      <c r="C766" t="s">
        <v>5264</v>
      </c>
      <c r="D766" t="s">
        <v>463</v>
      </c>
      <c r="E766">
        <v>2</v>
      </c>
      <c r="F766">
        <v>340</v>
      </c>
      <c r="G766">
        <v>170</v>
      </c>
    </row>
    <row r="767" spans="1:7" x14ac:dyDescent="0.3">
      <c r="A767" t="s">
        <v>557</v>
      </c>
      <c r="B767">
        <v>26554</v>
      </c>
      <c r="C767" t="s">
        <v>5319</v>
      </c>
      <c r="D767" t="s">
        <v>463</v>
      </c>
      <c r="E767">
        <v>2</v>
      </c>
      <c r="F767">
        <v>700</v>
      </c>
      <c r="G767">
        <v>350</v>
      </c>
    </row>
    <row r="768" spans="1:7" x14ac:dyDescent="0.3">
      <c r="A768" t="s">
        <v>557</v>
      </c>
      <c r="B768">
        <v>17465</v>
      </c>
      <c r="C768" t="s">
        <v>5279</v>
      </c>
      <c r="D768" t="s">
        <v>463</v>
      </c>
      <c r="E768">
        <v>3</v>
      </c>
      <c r="F768">
        <v>2286.39</v>
      </c>
      <c r="G768">
        <v>762.13</v>
      </c>
    </row>
    <row r="769" spans="1:7" x14ac:dyDescent="0.3">
      <c r="A769" t="s">
        <v>557</v>
      </c>
      <c r="B769">
        <v>24527</v>
      </c>
      <c r="C769" t="s">
        <v>5313</v>
      </c>
      <c r="D769" t="s">
        <v>463</v>
      </c>
      <c r="E769">
        <v>1</v>
      </c>
      <c r="F769">
        <v>1127.8800000000001</v>
      </c>
      <c r="G769">
        <v>1127.8800000000001</v>
      </c>
    </row>
    <row r="770" spans="1:7" x14ac:dyDescent="0.3">
      <c r="A770" t="s">
        <v>557</v>
      </c>
      <c r="B770">
        <v>21716</v>
      </c>
      <c r="C770" t="s">
        <v>5281</v>
      </c>
      <c r="D770" t="s">
        <v>463</v>
      </c>
      <c r="E770">
        <v>2</v>
      </c>
      <c r="F770">
        <v>910</v>
      </c>
      <c r="G770">
        <v>455</v>
      </c>
    </row>
    <row r="771" spans="1:7" x14ac:dyDescent="0.3">
      <c r="A771" t="s">
        <v>557</v>
      </c>
      <c r="B771">
        <v>21147</v>
      </c>
      <c r="C771" t="s">
        <v>4876</v>
      </c>
      <c r="D771" t="s">
        <v>463</v>
      </c>
      <c r="E771">
        <v>5</v>
      </c>
      <c r="F771">
        <v>99.5</v>
      </c>
      <c r="G771">
        <v>19.899999999999999</v>
      </c>
    </row>
    <row r="772" spans="1:7" x14ac:dyDescent="0.3">
      <c r="A772" t="s">
        <v>557</v>
      </c>
      <c r="B772">
        <v>29162</v>
      </c>
      <c r="C772" t="s">
        <v>5332</v>
      </c>
      <c r="D772" t="s">
        <v>463</v>
      </c>
      <c r="E772">
        <v>2</v>
      </c>
      <c r="F772">
        <v>35</v>
      </c>
      <c r="G772">
        <v>17.5</v>
      </c>
    </row>
    <row r="773" spans="1:7" x14ac:dyDescent="0.3">
      <c r="A773" t="s">
        <v>557</v>
      </c>
      <c r="B773">
        <v>23234</v>
      </c>
      <c r="C773" t="s">
        <v>4986</v>
      </c>
      <c r="D773" t="s">
        <v>463</v>
      </c>
      <c r="E773">
        <v>1</v>
      </c>
      <c r="F773">
        <v>25</v>
      </c>
      <c r="G773">
        <v>25</v>
      </c>
    </row>
    <row r="774" spans="1:7" x14ac:dyDescent="0.3">
      <c r="A774" t="s">
        <v>557</v>
      </c>
      <c r="B774">
        <v>19526</v>
      </c>
      <c r="C774" t="s">
        <v>4997</v>
      </c>
      <c r="D774" t="s">
        <v>463</v>
      </c>
      <c r="E774">
        <v>6.04</v>
      </c>
      <c r="F774">
        <v>313.99</v>
      </c>
      <c r="G774">
        <v>51.99</v>
      </c>
    </row>
    <row r="775" spans="1:7" x14ac:dyDescent="0.3">
      <c r="A775" t="s">
        <v>557</v>
      </c>
      <c r="B775">
        <v>18945</v>
      </c>
      <c r="C775" t="s">
        <v>4768</v>
      </c>
      <c r="D775" t="s">
        <v>463</v>
      </c>
      <c r="E775">
        <v>15</v>
      </c>
      <c r="F775">
        <v>925.2</v>
      </c>
      <c r="G775">
        <v>61.68</v>
      </c>
    </row>
    <row r="776" spans="1:7" x14ac:dyDescent="0.3">
      <c r="A776" t="s">
        <v>557</v>
      </c>
      <c r="B776">
        <v>18991</v>
      </c>
      <c r="C776" t="s">
        <v>4815</v>
      </c>
      <c r="D776" t="s">
        <v>463</v>
      </c>
      <c r="E776">
        <v>8</v>
      </c>
      <c r="F776">
        <v>339.36</v>
      </c>
      <c r="G776">
        <v>42.42</v>
      </c>
    </row>
    <row r="777" spans="1:7" x14ac:dyDescent="0.3">
      <c r="A777" t="s">
        <v>557</v>
      </c>
      <c r="B777">
        <v>19353</v>
      </c>
      <c r="C777" t="s">
        <v>4851</v>
      </c>
      <c r="D777" t="s">
        <v>463</v>
      </c>
      <c r="E777">
        <v>10</v>
      </c>
      <c r="F777">
        <v>255.6</v>
      </c>
      <c r="G777">
        <v>25.56</v>
      </c>
    </row>
    <row r="778" spans="1:7" x14ac:dyDescent="0.3">
      <c r="A778" t="s">
        <v>557</v>
      </c>
      <c r="B778">
        <v>24522</v>
      </c>
      <c r="C778" t="s">
        <v>5072</v>
      </c>
      <c r="D778" t="s">
        <v>463</v>
      </c>
      <c r="E778">
        <v>5.5</v>
      </c>
      <c r="F778">
        <v>137.5</v>
      </c>
      <c r="G778">
        <v>25</v>
      </c>
    </row>
    <row r="779" spans="1:7" x14ac:dyDescent="0.3">
      <c r="A779" t="s">
        <v>557</v>
      </c>
      <c r="B779">
        <v>24598</v>
      </c>
      <c r="C779" t="s">
        <v>4852</v>
      </c>
      <c r="D779" t="s">
        <v>463</v>
      </c>
      <c r="E779">
        <v>3.7</v>
      </c>
      <c r="F779">
        <v>52.19</v>
      </c>
      <c r="G779">
        <v>14.11</v>
      </c>
    </row>
    <row r="780" spans="1:7" x14ac:dyDescent="0.3">
      <c r="A780" t="s">
        <v>557</v>
      </c>
      <c r="B780">
        <v>17190</v>
      </c>
      <c r="C780" t="s">
        <v>5193</v>
      </c>
      <c r="D780" t="s">
        <v>463</v>
      </c>
      <c r="E780">
        <v>4</v>
      </c>
      <c r="F780">
        <v>32.4</v>
      </c>
      <c r="G780">
        <v>8.1</v>
      </c>
    </row>
    <row r="781" spans="1:7" x14ac:dyDescent="0.3">
      <c r="A781" t="s">
        <v>557</v>
      </c>
      <c r="B781">
        <v>27855</v>
      </c>
      <c r="C781" t="s">
        <v>5321</v>
      </c>
      <c r="D781" t="s">
        <v>463</v>
      </c>
      <c r="E781">
        <v>6</v>
      </c>
      <c r="F781">
        <v>284.7</v>
      </c>
      <c r="G781">
        <v>47.45</v>
      </c>
    </row>
    <row r="782" spans="1:7" x14ac:dyDescent="0.3">
      <c r="A782" t="s">
        <v>557</v>
      </c>
      <c r="B782">
        <v>18030</v>
      </c>
      <c r="C782" t="s">
        <v>4840</v>
      </c>
      <c r="D782" t="s">
        <v>463</v>
      </c>
      <c r="E782">
        <v>22</v>
      </c>
      <c r="F782">
        <v>615.95000000000005</v>
      </c>
      <c r="G782">
        <v>28</v>
      </c>
    </row>
    <row r="783" spans="1:7" x14ac:dyDescent="0.3">
      <c r="A783" t="s">
        <v>557</v>
      </c>
      <c r="B783">
        <v>29181</v>
      </c>
      <c r="C783" t="s">
        <v>5330</v>
      </c>
      <c r="D783" t="s">
        <v>463</v>
      </c>
      <c r="E783">
        <v>1</v>
      </c>
      <c r="F783">
        <v>8.9</v>
      </c>
      <c r="G783">
        <v>8.9</v>
      </c>
    </row>
    <row r="784" spans="1:7" x14ac:dyDescent="0.3">
      <c r="A784" t="s">
        <v>557</v>
      </c>
      <c r="B784">
        <v>17455</v>
      </c>
      <c r="C784" t="s">
        <v>5290</v>
      </c>
      <c r="D784" t="s">
        <v>463</v>
      </c>
      <c r="E784">
        <v>2</v>
      </c>
      <c r="F784">
        <v>70.540000000000006</v>
      </c>
      <c r="G784">
        <v>35.270000000000003</v>
      </c>
    </row>
    <row r="785" spans="1:7" x14ac:dyDescent="0.3">
      <c r="A785" t="s">
        <v>557</v>
      </c>
      <c r="B785">
        <v>20672</v>
      </c>
      <c r="C785" t="s">
        <v>4857</v>
      </c>
      <c r="D785" t="s">
        <v>463</v>
      </c>
      <c r="E785">
        <v>3</v>
      </c>
      <c r="F785">
        <v>88.65</v>
      </c>
      <c r="G785">
        <v>29.55</v>
      </c>
    </row>
    <row r="786" spans="1:7" x14ac:dyDescent="0.3">
      <c r="A786" t="s">
        <v>557</v>
      </c>
      <c r="B786">
        <v>26627</v>
      </c>
      <c r="C786" t="s">
        <v>5190</v>
      </c>
      <c r="D786" t="s">
        <v>463</v>
      </c>
      <c r="E786">
        <v>130</v>
      </c>
      <c r="F786">
        <v>1027</v>
      </c>
      <c r="G786">
        <v>7.9</v>
      </c>
    </row>
    <row r="787" spans="1:7" x14ac:dyDescent="0.3">
      <c r="A787" t="s">
        <v>557</v>
      </c>
      <c r="B787">
        <v>20382</v>
      </c>
      <c r="C787" t="s">
        <v>4780</v>
      </c>
      <c r="D787" t="s">
        <v>463</v>
      </c>
      <c r="E787">
        <v>16</v>
      </c>
      <c r="F787">
        <v>143.84</v>
      </c>
      <c r="G787">
        <v>8.99</v>
      </c>
    </row>
    <row r="788" spans="1:7" x14ac:dyDescent="0.3">
      <c r="A788" t="s">
        <v>557</v>
      </c>
      <c r="B788">
        <v>25237</v>
      </c>
      <c r="C788" t="s">
        <v>5143</v>
      </c>
      <c r="D788" t="s">
        <v>463</v>
      </c>
      <c r="E788">
        <v>20</v>
      </c>
      <c r="F788">
        <v>105.8</v>
      </c>
      <c r="G788">
        <v>5.29</v>
      </c>
    </row>
    <row r="789" spans="1:7" x14ac:dyDescent="0.3">
      <c r="A789" t="s">
        <v>557</v>
      </c>
      <c r="B789">
        <v>20358</v>
      </c>
      <c r="C789" t="s">
        <v>4911</v>
      </c>
      <c r="D789" t="s">
        <v>463</v>
      </c>
      <c r="E789">
        <v>5</v>
      </c>
      <c r="F789">
        <v>72.67</v>
      </c>
      <c r="G789">
        <v>14.53</v>
      </c>
    </row>
    <row r="790" spans="1:7" x14ac:dyDescent="0.3">
      <c r="A790" t="s">
        <v>557</v>
      </c>
      <c r="B790">
        <v>20242</v>
      </c>
      <c r="C790" t="s">
        <v>4824</v>
      </c>
      <c r="D790" t="s">
        <v>463</v>
      </c>
      <c r="E790">
        <v>16</v>
      </c>
      <c r="F790">
        <v>204.64</v>
      </c>
      <c r="G790">
        <v>12.79</v>
      </c>
    </row>
    <row r="791" spans="1:7" x14ac:dyDescent="0.3">
      <c r="A791" t="s">
        <v>557</v>
      </c>
      <c r="B791">
        <v>20231</v>
      </c>
      <c r="C791" t="s">
        <v>5273</v>
      </c>
      <c r="D791" t="s">
        <v>463</v>
      </c>
      <c r="E791">
        <v>2</v>
      </c>
      <c r="F791">
        <v>33.799999999999997</v>
      </c>
      <c r="G791">
        <v>16.899999999999999</v>
      </c>
    </row>
    <row r="792" spans="1:7" x14ac:dyDescent="0.3">
      <c r="A792" t="s">
        <v>557</v>
      </c>
      <c r="B792">
        <v>20227</v>
      </c>
      <c r="C792" t="s">
        <v>4825</v>
      </c>
      <c r="D792" t="s">
        <v>463</v>
      </c>
      <c r="E792">
        <v>8</v>
      </c>
      <c r="F792">
        <v>104.3</v>
      </c>
      <c r="G792">
        <v>13.04</v>
      </c>
    </row>
    <row r="793" spans="1:7" x14ac:dyDescent="0.3">
      <c r="A793" t="s">
        <v>557</v>
      </c>
      <c r="B793">
        <v>19017</v>
      </c>
      <c r="C793" t="s">
        <v>5174</v>
      </c>
      <c r="D793" t="s">
        <v>463</v>
      </c>
      <c r="E793">
        <v>6</v>
      </c>
      <c r="F793">
        <v>90</v>
      </c>
      <c r="G793">
        <v>15</v>
      </c>
    </row>
    <row r="794" spans="1:7" x14ac:dyDescent="0.3">
      <c r="A794" t="s">
        <v>557</v>
      </c>
      <c r="B794">
        <v>24256</v>
      </c>
      <c r="C794" t="s">
        <v>4773</v>
      </c>
      <c r="D794" t="s">
        <v>463</v>
      </c>
      <c r="E794">
        <v>40</v>
      </c>
      <c r="F794">
        <v>1500</v>
      </c>
      <c r="G794">
        <v>37.5</v>
      </c>
    </row>
    <row r="795" spans="1:7" x14ac:dyDescent="0.3">
      <c r="A795" t="s">
        <v>557</v>
      </c>
      <c r="B795">
        <v>24259</v>
      </c>
      <c r="C795" t="s">
        <v>4875</v>
      </c>
      <c r="D795" t="s">
        <v>463</v>
      </c>
      <c r="E795">
        <v>64.569999999999993</v>
      </c>
      <c r="F795">
        <v>5194.75</v>
      </c>
      <c r="G795">
        <v>80.45</v>
      </c>
    </row>
    <row r="796" spans="1:7" x14ac:dyDescent="0.3">
      <c r="A796" t="s">
        <v>557</v>
      </c>
      <c r="B796">
        <v>27345</v>
      </c>
      <c r="C796" t="s">
        <v>5329</v>
      </c>
      <c r="D796" t="s">
        <v>463</v>
      </c>
      <c r="E796">
        <v>1</v>
      </c>
      <c r="F796">
        <v>45</v>
      </c>
      <c r="G796">
        <v>45</v>
      </c>
    </row>
    <row r="797" spans="1:7" x14ac:dyDescent="0.3">
      <c r="A797" t="s">
        <v>557</v>
      </c>
      <c r="B797">
        <v>25777</v>
      </c>
      <c r="C797" t="s">
        <v>4774</v>
      </c>
      <c r="D797" t="s">
        <v>463</v>
      </c>
      <c r="E797">
        <v>88.08</v>
      </c>
      <c r="F797">
        <v>7808.3</v>
      </c>
      <c r="G797">
        <v>88.65</v>
      </c>
    </row>
    <row r="798" spans="1:7" x14ac:dyDescent="0.3">
      <c r="A798" t="s">
        <v>557</v>
      </c>
      <c r="B798">
        <v>24278</v>
      </c>
      <c r="C798" t="s">
        <v>4901</v>
      </c>
      <c r="D798" t="s">
        <v>463</v>
      </c>
      <c r="E798">
        <v>6.9</v>
      </c>
      <c r="F798">
        <v>62.03</v>
      </c>
      <c r="G798">
        <v>8.99</v>
      </c>
    </row>
    <row r="799" spans="1:7" x14ac:dyDescent="0.3">
      <c r="A799" t="s">
        <v>557</v>
      </c>
      <c r="B799">
        <v>19765</v>
      </c>
      <c r="C799" t="s">
        <v>4889</v>
      </c>
      <c r="D799" t="s">
        <v>463</v>
      </c>
      <c r="E799">
        <v>2</v>
      </c>
      <c r="F799">
        <v>71</v>
      </c>
      <c r="G799">
        <v>35.5</v>
      </c>
    </row>
    <row r="800" spans="1:7" x14ac:dyDescent="0.3">
      <c r="A800" t="s">
        <v>557</v>
      </c>
      <c r="B800">
        <v>19003</v>
      </c>
      <c r="C800" t="s">
        <v>4810</v>
      </c>
      <c r="D800" t="s">
        <v>463</v>
      </c>
      <c r="E800">
        <v>88.35</v>
      </c>
      <c r="F800">
        <v>3506.98</v>
      </c>
      <c r="G800">
        <v>39.69</v>
      </c>
    </row>
    <row r="801" spans="1:7" x14ac:dyDescent="0.3">
      <c r="A801" t="s">
        <v>557</v>
      </c>
      <c r="B801">
        <v>24497</v>
      </c>
      <c r="C801" t="s">
        <v>5231</v>
      </c>
      <c r="D801" t="s">
        <v>463</v>
      </c>
      <c r="E801">
        <v>3</v>
      </c>
      <c r="F801">
        <v>417.06</v>
      </c>
      <c r="G801">
        <v>139.02000000000001</v>
      </c>
    </row>
    <row r="802" spans="1:7" x14ac:dyDescent="0.3">
      <c r="A802" t="s">
        <v>557</v>
      </c>
      <c r="B802">
        <v>23971</v>
      </c>
      <c r="C802" t="s">
        <v>5296</v>
      </c>
      <c r="D802" t="s">
        <v>463</v>
      </c>
      <c r="E802">
        <v>5</v>
      </c>
      <c r="F802">
        <v>52.5</v>
      </c>
      <c r="G802">
        <v>10.5</v>
      </c>
    </row>
    <row r="803" spans="1:7" x14ac:dyDescent="0.3">
      <c r="A803" t="s">
        <v>557</v>
      </c>
      <c r="B803">
        <v>23974</v>
      </c>
      <c r="C803" t="s">
        <v>4862</v>
      </c>
      <c r="D803" t="s">
        <v>463</v>
      </c>
      <c r="E803">
        <v>78</v>
      </c>
      <c r="F803">
        <v>168.48</v>
      </c>
      <c r="G803">
        <v>2.16</v>
      </c>
    </row>
    <row r="804" spans="1:7" x14ac:dyDescent="0.3">
      <c r="A804" t="s">
        <v>557</v>
      </c>
      <c r="B804">
        <v>19607</v>
      </c>
      <c r="C804" t="s">
        <v>4981</v>
      </c>
      <c r="D804" t="s">
        <v>463</v>
      </c>
      <c r="E804">
        <v>1.17</v>
      </c>
      <c r="F804">
        <v>13.33</v>
      </c>
      <c r="G804">
        <v>11.39</v>
      </c>
    </row>
    <row r="805" spans="1:7" x14ac:dyDescent="0.3">
      <c r="A805" t="s">
        <v>557</v>
      </c>
      <c r="B805">
        <v>21021</v>
      </c>
      <c r="C805" t="s">
        <v>4883</v>
      </c>
      <c r="D805" t="s">
        <v>463</v>
      </c>
      <c r="E805">
        <v>9</v>
      </c>
      <c r="F805">
        <v>1689.84</v>
      </c>
      <c r="G805">
        <v>187.76</v>
      </c>
    </row>
    <row r="806" spans="1:7" x14ac:dyDescent="0.3">
      <c r="A806" t="s">
        <v>557</v>
      </c>
      <c r="B806">
        <v>17905</v>
      </c>
      <c r="C806" t="s">
        <v>5085</v>
      </c>
      <c r="D806" t="s">
        <v>463</v>
      </c>
      <c r="E806">
        <v>37</v>
      </c>
      <c r="F806">
        <v>944.61</v>
      </c>
      <c r="G806">
        <v>25.53</v>
      </c>
    </row>
    <row r="807" spans="1:7" x14ac:dyDescent="0.3">
      <c r="A807" t="s">
        <v>557</v>
      </c>
      <c r="B807">
        <v>28658</v>
      </c>
      <c r="C807" t="s">
        <v>5263</v>
      </c>
      <c r="D807" t="s">
        <v>463</v>
      </c>
      <c r="E807">
        <v>2</v>
      </c>
      <c r="F807">
        <v>494</v>
      </c>
      <c r="G807">
        <v>247</v>
      </c>
    </row>
    <row r="808" spans="1:7" x14ac:dyDescent="0.3">
      <c r="A808" t="s">
        <v>557</v>
      </c>
      <c r="B808">
        <v>28660</v>
      </c>
      <c r="C808" t="s">
        <v>5343</v>
      </c>
      <c r="D808" t="s">
        <v>463</v>
      </c>
      <c r="E808">
        <v>2</v>
      </c>
      <c r="F808">
        <v>540</v>
      </c>
      <c r="G808">
        <v>270</v>
      </c>
    </row>
    <row r="809" spans="1:7" x14ac:dyDescent="0.3">
      <c r="A809" t="s">
        <v>557</v>
      </c>
      <c r="B809">
        <v>29210</v>
      </c>
      <c r="C809" t="s">
        <v>5178</v>
      </c>
      <c r="D809" t="s">
        <v>463</v>
      </c>
      <c r="E809">
        <v>19.93</v>
      </c>
      <c r="F809">
        <v>777.11</v>
      </c>
      <c r="G809">
        <v>38.99</v>
      </c>
    </row>
    <row r="810" spans="1:7" x14ac:dyDescent="0.3">
      <c r="A810" t="s">
        <v>557</v>
      </c>
      <c r="B810">
        <v>25687</v>
      </c>
      <c r="C810" t="s">
        <v>5253</v>
      </c>
      <c r="D810" t="s">
        <v>463</v>
      </c>
      <c r="E810">
        <v>2</v>
      </c>
      <c r="F810">
        <v>150.80000000000001</v>
      </c>
      <c r="G810">
        <v>75.400000000000006</v>
      </c>
    </row>
    <row r="811" spans="1:7" x14ac:dyDescent="0.3">
      <c r="A811" t="s">
        <v>557</v>
      </c>
      <c r="B811">
        <v>19480</v>
      </c>
      <c r="C811" t="s">
        <v>5119</v>
      </c>
      <c r="D811" t="s">
        <v>463</v>
      </c>
      <c r="E811">
        <v>3.3</v>
      </c>
      <c r="F811">
        <v>56.85</v>
      </c>
      <c r="G811">
        <v>17.23</v>
      </c>
    </row>
    <row r="812" spans="1:7" x14ac:dyDescent="0.3">
      <c r="A812" t="s">
        <v>557</v>
      </c>
      <c r="B812">
        <v>19241</v>
      </c>
      <c r="C812" t="s">
        <v>4890</v>
      </c>
      <c r="D812" t="s">
        <v>463</v>
      </c>
      <c r="E812">
        <v>2</v>
      </c>
      <c r="F812">
        <v>7.6</v>
      </c>
      <c r="G812">
        <v>3.8</v>
      </c>
    </row>
    <row r="813" spans="1:7" x14ac:dyDescent="0.3">
      <c r="A813" t="s">
        <v>557</v>
      </c>
      <c r="B813">
        <v>23365</v>
      </c>
      <c r="C813" t="s">
        <v>5108</v>
      </c>
      <c r="D813" t="s">
        <v>463</v>
      </c>
      <c r="E813">
        <v>1</v>
      </c>
      <c r="F813">
        <v>19.5</v>
      </c>
      <c r="G813">
        <v>19.5</v>
      </c>
    </row>
    <row r="814" spans="1:7" x14ac:dyDescent="0.3">
      <c r="A814" t="s">
        <v>557</v>
      </c>
      <c r="B814">
        <v>23361</v>
      </c>
      <c r="C814" t="s">
        <v>4754</v>
      </c>
      <c r="D814" t="s">
        <v>463</v>
      </c>
      <c r="E814">
        <v>150</v>
      </c>
      <c r="F814">
        <v>424.2</v>
      </c>
      <c r="G814">
        <v>2.83</v>
      </c>
    </row>
    <row r="815" spans="1:7" x14ac:dyDescent="0.3">
      <c r="A815" t="s">
        <v>557</v>
      </c>
      <c r="B815">
        <v>20657</v>
      </c>
      <c r="C815" t="s">
        <v>5109</v>
      </c>
      <c r="D815" t="s">
        <v>463</v>
      </c>
      <c r="E815">
        <v>14</v>
      </c>
      <c r="F815">
        <v>93.6</v>
      </c>
      <c r="G815">
        <v>6.69</v>
      </c>
    </row>
    <row r="816" spans="1:7" x14ac:dyDescent="0.3">
      <c r="A816" t="s">
        <v>557</v>
      </c>
      <c r="B816">
        <v>20661</v>
      </c>
      <c r="C816" t="s">
        <v>5012</v>
      </c>
      <c r="D816" t="s">
        <v>463</v>
      </c>
      <c r="E816">
        <v>5</v>
      </c>
      <c r="F816">
        <v>42.95</v>
      </c>
      <c r="G816">
        <v>8.59</v>
      </c>
    </row>
    <row r="817" spans="1:7" x14ac:dyDescent="0.3">
      <c r="A817" t="s">
        <v>557</v>
      </c>
      <c r="B817">
        <v>20653</v>
      </c>
      <c r="C817" t="s">
        <v>5013</v>
      </c>
      <c r="D817" t="s">
        <v>463</v>
      </c>
      <c r="E817">
        <v>3</v>
      </c>
      <c r="F817">
        <v>77.88</v>
      </c>
      <c r="G817">
        <v>25.96</v>
      </c>
    </row>
    <row r="818" spans="1:7" x14ac:dyDescent="0.3">
      <c r="A818" t="s">
        <v>557</v>
      </c>
      <c r="B818">
        <v>19421</v>
      </c>
      <c r="C818" t="s">
        <v>4918</v>
      </c>
      <c r="D818" t="s">
        <v>463</v>
      </c>
      <c r="E818">
        <v>7</v>
      </c>
      <c r="F818">
        <v>572.88</v>
      </c>
      <c r="G818">
        <v>81.84</v>
      </c>
    </row>
    <row r="819" spans="1:7" x14ac:dyDescent="0.3">
      <c r="A819" t="s">
        <v>557</v>
      </c>
      <c r="B819">
        <v>24322</v>
      </c>
      <c r="C819" t="s">
        <v>5064</v>
      </c>
      <c r="D819" t="s">
        <v>463</v>
      </c>
      <c r="E819">
        <v>2</v>
      </c>
      <c r="F819">
        <v>44</v>
      </c>
      <c r="G819">
        <v>22</v>
      </c>
    </row>
    <row r="820" spans="1:7" x14ac:dyDescent="0.3">
      <c r="A820" t="s">
        <v>557</v>
      </c>
      <c r="B820">
        <v>20176</v>
      </c>
      <c r="C820" t="s">
        <v>5175</v>
      </c>
      <c r="D820" t="s">
        <v>463</v>
      </c>
      <c r="E820">
        <v>2</v>
      </c>
      <c r="F820">
        <v>66.239999999999995</v>
      </c>
      <c r="G820">
        <v>33.119999999999997</v>
      </c>
    </row>
    <row r="821" spans="1:7" x14ac:dyDescent="0.3">
      <c r="A821" t="s">
        <v>557</v>
      </c>
      <c r="B821">
        <v>18327</v>
      </c>
      <c r="C821" t="s">
        <v>5035</v>
      </c>
      <c r="D821" t="s">
        <v>463</v>
      </c>
      <c r="E821">
        <v>2</v>
      </c>
      <c r="F821">
        <v>196.48</v>
      </c>
      <c r="G821">
        <v>98.24</v>
      </c>
    </row>
    <row r="822" spans="1:7" x14ac:dyDescent="0.3">
      <c r="A822" t="s">
        <v>557</v>
      </c>
      <c r="B822">
        <v>19752</v>
      </c>
      <c r="C822" t="s">
        <v>4807</v>
      </c>
      <c r="D822" t="s">
        <v>463</v>
      </c>
      <c r="E822">
        <v>9</v>
      </c>
      <c r="F822">
        <v>56</v>
      </c>
      <c r="G822">
        <v>6.22</v>
      </c>
    </row>
    <row r="823" spans="1:7" x14ac:dyDescent="0.3">
      <c r="A823" t="s">
        <v>557</v>
      </c>
      <c r="B823">
        <v>19751</v>
      </c>
      <c r="C823" t="s">
        <v>4800</v>
      </c>
      <c r="D823" t="s">
        <v>463</v>
      </c>
      <c r="E823">
        <v>12.5</v>
      </c>
      <c r="F823">
        <v>111.35</v>
      </c>
      <c r="G823">
        <v>8.91</v>
      </c>
    </row>
    <row r="824" spans="1:7" x14ac:dyDescent="0.3">
      <c r="A824" t="s">
        <v>557</v>
      </c>
      <c r="B824">
        <v>23359</v>
      </c>
      <c r="C824" t="s">
        <v>4767</v>
      </c>
      <c r="D824" t="s">
        <v>463</v>
      </c>
      <c r="E824">
        <v>119</v>
      </c>
      <c r="F824">
        <v>272.89999999999998</v>
      </c>
      <c r="G824">
        <v>2.29</v>
      </c>
    </row>
    <row r="825" spans="1:7" x14ac:dyDescent="0.3">
      <c r="A825" t="s">
        <v>557</v>
      </c>
      <c r="B825">
        <v>17182</v>
      </c>
      <c r="C825" t="s">
        <v>5201</v>
      </c>
      <c r="D825" t="s">
        <v>463</v>
      </c>
      <c r="E825">
        <v>1</v>
      </c>
      <c r="F825">
        <v>38.89</v>
      </c>
      <c r="G825">
        <v>38.89</v>
      </c>
    </row>
    <row r="826" spans="1:7" x14ac:dyDescent="0.3">
      <c r="A826" t="s">
        <v>557</v>
      </c>
      <c r="B826">
        <v>24331</v>
      </c>
      <c r="C826" t="s">
        <v>5166</v>
      </c>
      <c r="D826" t="s">
        <v>463</v>
      </c>
      <c r="E826">
        <v>5</v>
      </c>
      <c r="F826">
        <v>104.25</v>
      </c>
      <c r="G826">
        <v>20.85</v>
      </c>
    </row>
    <row r="827" spans="1:7" x14ac:dyDescent="0.3">
      <c r="A827" t="s">
        <v>557</v>
      </c>
      <c r="B827">
        <v>20501</v>
      </c>
      <c r="C827" t="s">
        <v>4760</v>
      </c>
      <c r="D827" t="s">
        <v>463</v>
      </c>
      <c r="E827">
        <v>95</v>
      </c>
      <c r="F827">
        <v>2075.5</v>
      </c>
      <c r="G827">
        <v>21.85</v>
      </c>
    </row>
    <row r="828" spans="1:7" x14ac:dyDescent="0.3">
      <c r="A828" t="s">
        <v>557</v>
      </c>
      <c r="B828">
        <v>23980</v>
      </c>
      <c r="C828" t="s">
        <v>5097</v>
      </c>
      <c r="D828" t="s">
        <v>463</v>
      </c>
      <c r="E828">
        <v>55.6</v>
      </c>
      <c r="F828">
        <v>2168.4</v>
      </c>
      <c r="G828">
        <v>39</v>
      </c>
    </row>
    <row r="829" spans="1:7" x14ac:dyDescent="0.3">
      <c r="A829" t="s">
        <v>557</v>
      </c>
      <c r="B829">
        <v>19478</v>
      </c>
      <c r="C829" t="s">
        <v>5283</v>
      </c>
      <c r="D829" t="s">
        <v>463</v>
      </c>
      <c r="E829">
        <v>0.5</v>
      </c>
      <c r="F829">
        <v>22.75</v>
      </c>
      <c r="G829">
        <v>45.5</v>
      </c>
    </row>
    <row r="830" spans="1:7" x14ac:dyDescent="0.3">
      <c r="A830" t="s">
        <v>557</v>
      </c>
      <c r="B830">
        <v>17017</v>
      </c>
      <c r="C830" t="s">
        <v>5199</v>
      </c>
      <c r="D830" t="s">
        <v>463</v>
      </c>
      <c r="E830">
        <v>2</v>
      </c>
      <c r="F830">
        <v>6</v>
      </c>
      <c r="G830">
        <v>3</v>
      </c>
    </row>
    <row r="831" spans="1:7" x14ac:dyDescent="0.3">
      <c r="A831" t="s">
        <v>557</v>
      </c>
      <c r="B831">
        <v>17504</v>
      </c>
      <c r="C831" t="s">
        <v>5260</v>
      </c>
      <c r="D831" t="s">
        <v>463</v>
      </c>
      <c r="E831">
        <v>8</v>
      </c>
      <c r="F831">
        <v>180</v>
      </c>
      <c r="G831">
        <v>22.5</v>
      </c>
    </row>
    <row r="832" spans="1:7" x14ac:dyDescent="0.3">
      <c r="A832" t="s">
        <v>557</v>
      </c>
      <c r="B832">
        <v>23349</v>
      </c>
      <c r="C832" t="s">
        <v>4988</v>
      </c>
      <c r="D832" t="s">
        <v>463</v>
      </c>
      <c r="E832">
        <v>0.5</v>
      </c>
      <c r="F832">
        <v>3.63</v>
      </c>
      <c r="G832">
        <v>7.26</v>
      </c>
    </row>
    <row r="833" spans="1:7" x14ac:dyDescent="0.3">
      <c r="A833" t="s">
        <v>557</v>
      </c>
      <c r="B833">
        <v>19743</v>
      </c>
      <c r="C833" t="s">
        <v>5047</v>
      </c>
      <c r="D833" t="s">
        <v>463</v>
      </c>
      <c r="E833">
        <v>2.8</v>
      </c>
      <c r="F833">
        <v>42.84</v>
      </c>
      <c r="G833">
        <v>15.3</v>
      </c>
    </row>
    <row r="834" spans="1:7" x14ac:dyDescent="0.3">
      <c r="A834" t="s">
        <v>557</v>
      </c>
      <c r="B834">
        <v>25022</v>
      </c>
      <c r="C834" t="s">
        <v>4912</v>
      </c>
      <c r="D834" t="s">
        <v>463</v>
      </c>
      <c r="E834">
        <v>3</v>
      </c>
      <c r="F834">
        <v>12.6</v>
      </c>
      <c r="G834">
        <v>4.2</v>
      </c>
    </row>
    <row r="835" spans="1:7" x14ac:dyDescent="0.3">
      <c r="A835" t="s">
        <v>557</v>
      </c>
      <c r="B835">
        <v>20007</v>
      </c>
      <c r="C835" t="s">
        <v>5101</v>
      </c>
      <c r="D835" t="s">
        <v>463</v>
      </c>
      <c r="E835">
        <v>8</v>
      </c>
      <c r="F835">
        <v>396.83</v>
      </c>
      <c r="G835">
        <v>49.6</v>
      </c>
    </row>
    <row r="836" spans="1:7" x14ac:dyDescent="0.3">
      <c r="A836" t="s">
        <v>557</v>
      </c>
      <c r="B836">
        <v>19742</v>
      </c>
      <c r="C836" t="s">
        <v>4900</v>
      </c>
      <c r="D836" t="s">
        <v>463</v>
      </c>
      <c r="E836">
        <v>7.1</v>
      </c>
      <c r="F836">
        <v>86.84</v>
      </c>
      <c r="G836">
        <v>12.23</v>
      </c>
    </row>
    <row r="837" spans="1:7" x14ac:dyDescent="0.3">
      <c r="A837" t="s">
        <v>557</v>
      </c>
      <c r="B837">
        <v>23228</v>
      </c>
      <c r="C837" t="s">
        <v>4782</v>
      </c>
      <c r="D837" t="s">
        <v>463</v>
      </c>
      <c r="E837">
        <v>58</v>
      </c>
      <c r="F837">
        <v>387.44</v>
      </c>
      <c r="G837">
        <v>6.68</v>
      </c>
    </row>
    <row r="838" spans="1:7" x14ac:dyDescent="0.3">
      <c r="A838" t="s">
        <v>557</v>
      </c>
      <c r="B838">
        <v>23346</v>
      </c>
      <c r="C838" t="s">
        <v>4916</v>
      </c>
      <c r="D838" t="s">
        <v>463</v>
      </c>
      <c r="E838">
        <v>10.7</v>
      </c>
      <c r="F838">
        <v>83.41</v>
      </c>
      <c r="G838">
        <v>7.8</v>
      </c>
    </row>
    <row r="839" spans="1:7" x14ac:dyDescent="0.3">
      <c r="A839" t="s">
        <v>557</v>
      </c>
      <c r="B839">
        <v>19476</v>
      </c>
      <c r="C839" t="s">
        <v>5115</v>
      </c>
      <c r="D839" t="s">
        <v>463</v>
      </c>
      <c r="E839">
        <v>1.8</v>
      </c>
      <c r="F839">
        <v>111.02</v>
      </c>
      <c r="G839">
        <v>61.68</v>
      </c>
    </row>
    <row r="840" spans="1:7" x14ac:dyDescent="0.3">
      <c r="A840" t="s">
        <v>557</v>
      </c>
      <c r="B840">
        <v>23088</v>
      </c>
      <c r="C840" t="s">
        <v>5027</v>
      </c>
      <c r="D840" t="s">
        <v>463</v>
      </c>
      <c r="E840">
        <v>2</v>
      </c>
      <c r="F840">
        <v>49</v>
      </c>
      <c r="G840">
        <v>24.5</v>
      </c>
    </row>
    <row r="841" spans="1:7" x14ac:dyDescent="0.3">
      <c r="A841" t="s">
        <v>557</v>
      </c>
      <c r="B841">
        <v>19401</v>
      </c>
      <c r="C841" t="s">
        <v>4809</v>
      </c>
      <c r="D841" t="s">
        <v>463</v>
      </c>
      <c r="E841">
        <v>2</v>
      </c>
      <c r="F841">
        <v>394.9</v>
      </c>
      <c r="G841">
        <v>197.45</v>
      </c>
    </row>
    <row r="842" spans="1:7" x14ac:dyDescent="0.3">
      <c r="A842" t="s">
        <v>557</v>
      </c>
      <c r="B842">
        <v>19740</v>
      </c>
      <c r="C842" t="s">
        <v>4779</v>
      </c>
      <c r="D842" t="s">
        <v>463</v>
      </c>
      <c r="E842">
        <v>44</v>
      </c>
      <c r="F842">
        <v>407.24</v>
      </c>
      <c r="G842">
        <v>9.26</v>
      </c>
    </row>
    <row r="843" spans="1:7" x14ac:dyDescent="0.3">
      <c r="A843" t="s">
        <v>557</v>
      </c>
      <c r="B843">
        <v>19415</v>
      </c>
      <c r="C843" t="s">
        <v>4919</v>
      </c>
      <c r="D843" t="s">
        <v>463</v>
      </c>
      <c r="E843">
        <v>6</v>
      </c>
      <c r="F843">
        <v>52.8</v>
      </c>
      <c r="G843">
        <v>8.8000000000000007</v>
      </c>
    </row>
    <row r="844" spans="1:7" x14ac:dyDescent="0.3">
      <c r="A844" t="s">
        <v>557</v>
      </c>
      <c r="B844">
        <v>17474</v>
      </c>
      <c r="C844" t="s">
        <v>5213</v>
      </c>
      <c r="D844" t="s">
        <v>463</v>
      </c>
      <c r="E844">
        <v>1</v>
      </c>
      <c r="F844">
        <v>75</v>
      </c>
      <c r="G844">
        <v>75</v>
      </c>
    </row>
    <row r="845" spans="1:7" x14ac:dyDescent="0.3">
      <c r="A845" t="s">
        <v>557</v>
      </c>
      <c r="B845">
        <v>24351</v>
      </c>
      <c r="C845" t="s">
        <v>5014</v>
      </c>
      <c r="D845" t="s">
        <v>463</v>
      </c>
      <c r="E845">
        <v>35</v>
      </c>
      <c r="F845">
        <v>690</v>
      </c>
      <c r="G845">
        <v>19.71</v>
      </c>
    </row>
    <row r="846" spans="1:7" x14ac:dyDescent="0.3">
      <c r="A846" t="s">
        <v>557</v>
      </c>
      <c r="B846">
        <v>20122</v>
      </c>
      <c r="C846" t="s">
        <v>4781</v>
      </c>
      <c r="D846" t="s">
        <v>463</v>
      </c>
      <c r="E846">
        <v>3</v>
      </c>
      <c r="F846">
        <v>43.14</v>
      </c>
      <c r="G846">
        <v>14.38</v>
      </c>
    </row>
    <row r="847" spans="1:7" x14ac:dyDescent="0.3">
      <c r="A847" t="s">
        <v>557</v>
      </c>
      <c r="B847">
        <v>20105</v>
      </c>
      <c r="C847" t="s">
        <v>4831</v>
      </c>
      <c r="D847" t="s">
        <v>463</v>
      </c>
      <c r="E847">
        <v>9</v>
      </c>
      <c r="F847">
        <v>183.92</v>
      </c>
      <c r="G847">
        <v>20.440000000000001</v>
      </c>
    </row>
    <row r="848" spans="1:7" x14ac:dyDescent="0.3">
      <c r="A848" t="s">
        <v>557</v>
      </c>
      <c r="B848">
        <v>25075</v>
      </c>
      <c r="C848" t="s">
        <v>4790</v>
      </c>
      <c r="D848" t="s">
        <v>463</v>
      </c>
      <c r="E848">
        <v>16</v>
      </c>
      <c r="F848">
        <v>109.88</v>
      </c>
      <c r="G848">
        <v>6.87</v>
      </c>
    </row>
    <row r="849" spans="1:7" x14ac:dyDescent="0.3">
      <c r="A849" t="s">
        <v>557</v>
      </c>
      <c r="B849">
        <v>20887</v>
      </c>
      <c r="C849" t="s">
        <v>4953</v>
      </c>
      <c r="D849" t="s">
        <v>463</v>
      </c>
      <c r="E849">
        <v>4</v>
      </c>
      <c r="F849">
        <v>147.6</v>
      </c>
      <c r="G849">
        <v>36.9</v>
      </c>
    </row>
    <row r="850" spans="1:7" x14ac:dyDescent="0.3">
      <c r="A850" t="s">
        <v>557</v>
      </c>
      <c r="B850">
        <v>19737</v>
      </c>
      <c r="C850" t="s">
        <v>4940</v>
      </c>
      <c r="D850" t="s">
        <v>463</v>
      </c>
      <c r="E850">
        <v>9</v>
      </c>
      <c r="F850">
        <v>61.2</v>
      </c>
      <c r="G850">
        <v>6.8</v>
      </c>
    </row>
    <row r="851" spans="1:7" x14ac:dyDescent="0.3">
      <c r="A851" t="s">
        <v>557</v>
      </c>
      <c r="B851">
        <v>19734</v>
      </c>
      <c r="C851" t="s">
        <v>4833</v>
      </c>
      <c r="D851" t="s">
        <v>463</v>
      </c>
      <c r="E851">
        <v>24</v>
      </c>
      <c r="F851">
        <v>315.89999999999998</v>
      </c>
      <c r="G851">
        <v>13.16</v>
      </c>
    </row>
    <row r="852" spans="1:7" x14ac:dyDescent="0.3">
      <c r="A852" t="s">
        <v>557</v>
      </c>
      <c r="B852">
        <v>20644</v>
      </c>
      <c r="C852" t="s">
        <v>5016</v>
      </c>
      <c r="D852" t="s">
        <v>463</v>
      </c>
      <c r="E852">
        <v>2</v>
      </c>
      <c r="F852">
        <v>7.8</v>
      </c>
      <c r="G852">
        <v>3.9</v>
      </c>
    </row>
    <row r="853" spans="1:7" x14ac:dyDescent="0.3">
      <c r="A853" t="s">
        <v>557</v>
      </c>
      <c r="B853">
        <v>23335</v>
      </c>
      <c r="C853" t="s">
        <v>4961</v>
      </c>
      <c r="D853" t="s">
        <v>463</v>
      </c>
      <c r="E853">
        <v>4</v>
      </c>
      <c r="F853">
        <v>148.35</v>
      </c>
      <c r="G853">
        <v>37.090000000000003</v>
      </c>
    </row>
    <row r="854" spans="1:7" x14ac:dyDescent="0.3">
      <c r="A854" t="s">
        <v>557</v>
      </c>
      <c r="B854">
        <v>19967</v>
      </c>
      <c r="C854" t="s">
        <v>4956</v>
      </c>
      <c r="D854" t="s">
        <v>463</v>
      </c>
      <c r="E854">
        <v>3</v>
      </c>
      <c r="F854">
        <v>147.84</v>
      </c>
      <c r="G854">
        <v>49.28</v>
      </c>
    </row>
    <row r="855" spans="1:7" x14ac:dyDescent="0.3">
      <c r="A855" t="s">
        <v>557</v>
      </c>
      <c r="B855">
        <v>27397</v>
      </c>
      <c r="C855" t="s">
        <v>4913</v>
      </c>
      <c r="D855" t="s">
        <v>463</v>
      </c>
      <c r="E855">
        <v>10</v>
      </c>
      <c r="F855">
        <v>618.67999999999995</v>
      </c>
      <c r="G855">
        <v>61.87</v>
      </c>
    </row>
    <row r="856" spans="1:7" x14ac:dyDescent="0.3">
      <c r="A856" t="s">
        <v>557</v>
      </c>
      <c r="B856">
        <v>20984</v>
      </c>
      <c r="C856" t="s">
        <v>5133</v>
      </c>
      <c r="D856" t="s">
        <v>463</v>
      </c>
      <c r="E856">
        <v>54</v>
      </c>
      <c r="F856">
        <v>440.1</v>
      </c>
      <c r="G856">
        <v>8.15</v>
      </c>
    </row>
    <row r="857" spans="1:7" x14ac:dyDescent="0.3">
      <c r="A857" t="s">
        <v>557</v>
      </c>
      <c r="B857">
        <v>23096</v>
      </c>
      <c r="C857" t="s">
        <v>5164</v>
      </c>
      <c r="D857" t="s">
        <v>463</v>
      </c>
      <c r="E857">
        <v>780</v>
      </c>
      <c r="F857">
        <v>490.2</v>
      </c>
      <c r="G857">
        <v>0.63</v>
      </c>
    </row>
    <row r="858" spans="1:7" x14ac:dyDescent="0.3">
      <c r="A858" t="s">
        <v>557</v>
      </c>
      <c r="B858">
        <v>23785</v>
      </c>
      <c r="C858" t="s">
        <v>4858</v>
      </c>
      <c r="D858" t="s">
        <v>463</v>
      </c>
      <c r="E858">
        <v>18</v>
      </c>
      <c r="F858">
        <v>569.33000000000004</v>
      </c>
      <c r="G858">
        <v>31.63</v>
      </c>
    </row>
    <row r="859" spans="1:7" x14ac:dyDescent="0.3">
      <c r="A859" t="s">
        <v>557</v>
      </c>
      <c r="B859">
        <v>20623</v>
      </c>
      <c r="C859" t="s">
        <v>4814</v>
      </c>
      <c r="D859" t="s">
        <v>463</v>
      </c>
      <c r="E859">
        <v>30</v>
      </c>
      <c r="F859">
        <v>371.7</v>
      </c>
      <c r="G859">
        <v>12.39</v>
      </c>
    </row>
    <row r="860" spans="1:7" x14ac:dyDescent="0.3">
      <c r="A860" t="s">
        <v>557</v>
      </c>
      <c r="B860">
        <v>20624</v>
      </c>
      <c r="C860" t="s">
        <v>5019</v>
      </c>
      <c r="D860" t="s">
        <v>463</v>
      </c>
      <c r="E860">
        <v>3</v>
      </c>
      <c r="F860">
        <v>212.7</v>
      </c>
      <c r="G860">
        <v>70.900000000000006</v>
      </c>
    </row>
    <row r="861" spans="1:7" x14ac:dyDescent="0.3">
      <c r="A861" t="s">
        <v>557</v>
      </c>
      <c r="B861">
        <v>17162</v>
      </c>
      <c r="C861" t="s">
        <v>5255</v>
      </c>
      <c r="D861" t="s">
        <v>463</v>
      </c>
      <c r="E861">
        <v>3</v>
      </c>
      <c r="F861">
        <v>162</v>
      </c>
      <c r="G861">
        <v>54</v>
      </c>
    </row>
    <row r="862" spans="1:7" x14ac:dyDescent="0.3">
      <c r="A862" t="s">
        <v>557</v>
      </c>
      <c r="B862">
        <v>28568</v>
      </c>
      <c r="C862" t="s">
        <v>5177</v>
      </c>
      <c r="D862" t="s">
        <v>463</v>
      </c>
      <c r="E862">
        <v>1</v>
      </c>
      <c r="F862">
        <v>70.8</v>
      </c>
      <c r="G862">
        <v>70.8</v>
      </c>
    </row>
    <row r="863" spans="1:7" x14ac:dyDescent="0.3">
      <c r="A863" t="s">
        <v>557</v>
      </c>
      <c r="B863">
        <v>17046</v>
      </c>
      <c r="C863" t="s">
        <v>5194</v>
      </c>
      <c r="D863" t="s">
        <v>463</v>
      </c>
      <c r="E863">
        <v>5</v>
      </c>
      <c r="F863">
        <v>172.5</v>
      </c>
      <c r="G863">
        <v>34.5</v>
      </c>
    </row>
    <row r="864" spans="1:7" x14ac:dyDescent="0.3">
      <c r="A864" t="s">
        <v>557</v>
      </c>
      <c r="B864">
        <v>28298</v>
      </c>
      <c r="C864" t="s">
        <v>5261</v>
      </c>
      <c r="D864" t="s">
        <v>463</v>
      </c>
      <c r="E864">
        <v>3</v>
      </c>
      <c r="F864">
        <v>172.16</v>
      </c>
      <c r="G864">
        <v>57.39</v>
      </c>
    </row>
    <row r="865" spans="1:7" x14ac:dyDescent="0.3">
      <c r="A865" t="s">
        <v>557</v>
      </c>
      <c r="B865">
        <v>27798</v>
      </c>
      <c r="C865" t="s">
        <v>5257</v>
      </c>
      <c r="D865" t="s">
        <v>463</v>
      </c>
      <c r="E865">
        <v>1</v>
      </c>
      <c r="F865">
        <v>175</v>
      </c>
      <c r="G865">
        <v>175</v>
      </c>
    </row>
    <row r="866" spans="1:7" x14ac:dyDescent="0.3">
      <c r="A866" t="s">
        <v>557</v>
      </c>
      <c r="B866">
        <v>24758</v>
      </c>
      <c r="C866" t="s">
        <v>5326</v>
      </c>
      <c r="D866" t="s">
        <v>463</v>
      </c>
      <c r="E866">
        <v>1</v>
      </c>
      <c r="F866">
        <v>28.9</v>
      </c>
      <c r="G866">
        <v>28.9</v>
      </c>
    </row>
    <row r="867" spans="1:7" x14ac:dyDescent="0.3">
      <c r="A867" t="s">
        <v>557</v>
      </c>
      <c r="B867">
        <v>17418</v>
      </c>
      <c r="C867" t="s">
        <v>5207</v>
      </c>
      <c r="D867" t="s">
        <v>463</v>
      </c>
      <c r="E867">
        <v>9</v>
      </c>
      <c r="F867">
        <v>530.1</v>
      </c>
      <c r="G867">
        <v>58.9</v>
      </c>
    </row>
    <row r="868" spans="1:7" x14ac:dyDescent="0.3">
      <c r="A868" t="s">
        <v>557</v>
      </c>
      <c r="B868">
        <v>17416</v>
      </c>
      <c r="C868" t="s">
        <v>5209</v>
      </c>
      <c r="D868" t="s">
        <v>463</v>
      </c>
      <c r="E868">
        <v>7</v>
      </c>
      <c r="F868">
        <v>340.06</v>
      </c>
      <c r="G868">
        <v>48.58</v>
      </c>
    </row>
    <row r="869" spans="1:7" x14ac:dyDescent="0.3">
      <c r="A869" t="s">
        <v>557</v>
      </c>
      <c r="B869">
        <v>24505</v>
      </c>
      <c r="C869" t="s">
        <v>5198</v>
      </c>
      <c r="D869" t="s">
        <v>463</v>
      </c>
      <c r="E869">
        <v>15</v>
      </c>
      <c r="F869">
        <v>74.7</v>
      </c>
      <c r="G869">
        <v>4.9800000000000004</v>
      </c>
    </row>
    <row r="870" spans="1:7" x14ac:dyDescent="0.3">
      <c r="A870" t="s">
        <v>557</v>
      </c>
      <c r="B870">
        <v>23502</v>
      </c>
      <c r="C870" t="s">
        <v>4930</v>
      </c>
      <c r="D870" t="s">
        <v>463</v>
      </c>
      <c r="E870">
        <v>1</v>
      </c>
      <c r="F870">
        <v>14.9</v>
      </c>
      <c r="G870">
        <v>14.9</v>
      </c>
    </row>
    <row r="871" spans="1:7" x14ac:dyDescent="0.3">
      <c r="A871" t="s">
        <v>557</v>
      </c>
      <c r="B871">
        <v>19589</v>
      </c>
      <c r="C871" t="s">
        <v>4983</v>
      </c>
      <c r="D871" t="s">
        <v>463</v>
      </c>
      <c r="E871">
        <v>20.8</v>
      </c>
      <c r="F871">
        <v>162.18</v>
      </c>
      <c r="G871">
        <v>7.8</v>
      </c>
    </row>
    <row r="872" spans="1:7" x14ac:dyDescent="0.3">
      <c r="A872" t="s">
        <v>557</v>
      </c>
      <c r="B872">
        <v>17895</v>
      </c>
      <c r="C872" t="s">
        <v>5086</v>
      </c>
      <c r="D872" t="s">
        <v>463</v>
      </c>
      <c r="E872">
        <v>11</v>
      </c>
      <c r="F872">
        <v>311.52</v>
      </c>
      <c r="G872">
        <v>28.32</v>
      </c>
    </row>
    <row r="873" spans="1:7" x14ac:dyDescent="0.3">
      <c r="A873" t="s">
        <v>557</v>
      </c>
      <c r="B873">
        <v>17886</v>
      </c>
      <c r="C873" t="s">
        <v>5083</v>
      </c>
      <c r="D873" t="s">
        <v>463</v>
      </c>
      <c r="E873">
        <v>27</v>
      </c>
      <c r="F873">
        <v>722.56</v>
      </c>
      <c r="G873">
        <v>26.76</v>
      </c>
    </row>
    <row r="874" spans="1:7" x14ac:dyDescent="0.3">
      <c r="A874" t="s">
        <v>557</v>
      </c>
      <c r="B874">
        <v>19728</v>
      </c>
      <c r="C874" t="s">
        <v>5106</v>
      </c>
      <c r="D874" t="s">
        <v>463</v>
      </c>
      <c r="E874">
        <v>8.74</v>
      </c>
      <c r="F874">
        <v>94.09</v>
      </c>
      <c r="G874">
        <v>10.77</v>
      </c>
    </row>
    <row r="875" spans="1:7" x14ac:dyDescent="0.3">
      <c r="A875" t="s">
        <v>557</v>
      </c>
      <c r="B875">
        <v>18735</v>
      </c>
      <c r="C875" t="s">
        <v>4891</v>
      </c>
      <c r="D875" t="s">
        <v>463</v>
      </c>
      <c r="E875">
        <v>4.9000000000000004</v>
      </c>
      <c r="F875">
        <v>539</v>
      </c>
      <c r="G875">
        <v>110</v>
      </c>
    </row>
    <row r="876" spans="1:7" x14ac:dyDescent="0.3">
      <c r="A876" t="s">
        <v>557</v>
      </c>
      <c r="B876">
        <v>18822</v>
      </c>
      <c r="C876" t="s">
        <v>4811</v>
      </c>
      <c r="D876" t="s">
        <v>463</v>
      </c>
      <c r="E876">
        <v>71.78</v>
      </c>
      <c r="F876">
        <v>7331.06</v>
      </c>
      <c r="G876">
        <v>102.13</v>
      </c>
    </row>
    <row r="877" spans="1:7" x14ac:dyDescent="0.3">
      <c r="A877" t="s">
        <v>557</v>
      </c>
      <c r="B877">
        <v>28761</v>
      </c>
      <c r="C877" t="s">
        <v>5138</v>
      </c>
      <c r="D877" t="s">
        <v>463</v>
      </c>
      <c r="E877">
        <v>27.3</v>
      </c>
      <c r="F877">
        <v>2892.18</v>
      </c>
      <c r="G877">
        <v>105.94</v>
      </c>
    </row>
    <row r="878" spans="1:7" x14ac:dyDescent="0.3">
      <c r="A878" t="s">
        <v>557</v>
      </c>
      <c r="B878">
        <v>19572</v>
      </c>
      <c r="C878" t="s">
        <v>4989</v>
      </c>
      <c r="D878" t="s">
        <v>463</v>
      </c>
      <c r="E878">
        <v>3.4</v>
      </c>
      <c r="F878">
        <v>29.8</v>
      </c>
      <c r="G878">
        <v>8.76</v>
      </c>
    </row>
    <row r="879" spans="1:7" x14ac:dyDescent="0.3">
      <c r="A879" t="s">
        <v>557</v>
      </c>
      <c r="B879">
        <v>19923</v>
      </c>
      <c r="C879" t="s">
        <v>5069</v>
      </c>
      <c r="D879" t="s">
        <v>463</v>
      </c>
      <c r="E879">
        <v>1</v>
      </c>
      <c r="F879">
        <v>39</v>
      </c>
      <c r="G879">
        <v>39</v>
      </c>
    </row>
    <row r="880" spans="1:7" x14ac:dyDescent="0.3">
      <c r="A880" t="s">
        <v>557</v>
      </c>
      <c r="B880">
        <v>19562</v>
      </c>
      <c r="C880" t="s">
        <v>4939</v>
      </c>
      <c r="D880" t="s">
        <v>463</v>
      </c>
      <c r="E880">
        <v>3.6</v>
      </c>
      <c r="F880">
        <v>57.32</v>
      </c>
      <c r="G880">
        <v>15.92</v>
      </c>
    </row>
    <row r="881" spans="1:7" x14ac:dyDescent="0.3">
      <c r="A881" t="s">
        <v>557</v>
      </c>
      <c r="B881">
        <v>23198</v>
      </c>
      <c r="C881" t="s">
        <v>4962</v>
      </c>
      <c r="D881" t="s">
        <v>463</v>
      </c>
      <c r="E881">
        <v>3.5</v>
      </c>
      <c r="F881">
        <v>54.07</v>
      </c>
      <c r="G881">
        <v>15.45</v>
      </c>
    </row>
    <row r="882" spans="1:7" x14ac:dyDescent="0.3">
      <c r="A882" t="s">
        <v>557</v>
      </c>
      <c r="B882">
        <v>19790</v>
      </c>
      <c r="C882" t="s">
        <v>5073</v>
      </c>
      <c r="D882" t="s">
        <v>463</v>
      </c>
      <c r="E882">
        <v>3</v>
      </c>
      <c r="F882">
        <v>144</v>
      </c>
      <c r="G882">
        <v>48</v>
      </c>
    </row>
    <row r="883" spans="1:7" x14ac:dyDescent="0.3">
      <c r="A883" t="s">
        <v>557</v>
      </c>
      <c r="B883">
        <v>18732</v>
      </c>
      <c r="C883" t="s">
        <v>5156</v>
      </c>
      <c r="D883" t="s">
        <v>463</v>
      </c>
      <c r="E883">
        <v>10</v>
      </c>
      <c r="F883">
        <v>720</v>
      </c>
      <c r="G883">
        <v>72</v>
      </c>
    </row>
    <row r="884" spans="1:7" x14ac:dyDescent="0.3">
      <c r="A884" t="s">
        <v>557</v>
      </c>
      <c r="B884">
        <v>28711</v>
      </c>
      <c r="C884" t="s">
        <v>5224</v>
      </c>
      <c r="D884" t="s">
        <v>463</v>
      </c>
      <c r="E884">
        <v>1</v>
      </c>
      <c r="F884">
        <v>288.83999999999997</v>
      </c>
      <c r="G884">
        <v>288.83999999999997</v>
      </c>
    </row>
    <row r="885" spans="1:7" x14ac:dyDescent="0.3">
      <c r="A885" t="s">
        <v>557</v>
      </c>
      <c r="B885">
        <v>26944</v>
      </c>
      <c r="C885" t="s">
        <v>5325</v>
      </c>
      <c r="D885" t="s">
        <v>463</v>
      </c>
      <c r="E885">
        <v>2</v>
      </c>
      <c r="F885">
        <v>310.92</v>
      </c>
      <c r="G885">
        <v>155.46</v>
      </c>
    </row>
    <row r="886" spans="1:7" x14ac:dyDescent="0.3">
      <c r="A886" t="s">
        <v>557</v>
      </c>
      <c r="B886">
        <v>19356</v>
      </c>
      <c r="C886" t="s">
        <v>4799</v>
      </c>
      <c r="D886" t="s">
        <v>463</v>
      </c>
      <c r="E886">
        <v>13.84</v>
      </c>
      <c r="F886">
        <v>1255.8</v>
      </c>
      <c r="G886">
        <v>90.74</v>
      </c>
    </row>
    <row r="887" spans="1:7" x14ac:dyDescent="0.3">
      <c r="A887" t="s">
        <v>557</v>
      </c>
      <c r="B887">
        <v>19346</v>
      </c>
      <c r="C887" t="s">
        <v>4835</v>
      </c>
      <c r="D887" t="s">
        <v>463</v>
      </c>
      <c r="E887">
        <v>3</v>
      </c>
      <c r="F887">
        <v>180</v>
      </c>
      <c r="G887">
        <v>60</v>
      </c>
    </row>
    <row r="888" spans="1:7" x14ac:dyDescent="0.3">
      <c r="A888" t="s">
        <v>557</v>
      </c>
      <c r="B888">
        <v>19306</v>
      </c>
      <c r="C888" t="s">
        <v>5111</v>
      </c>
      <c r="D888" t="s">
        <v>463</v>
      </c>
      <c r="E888">
        <v>7</v>
      </c>
      <c r="F888">
        <v>128.19999999999999</v>
      </c>
      <c r="G888">
        <v>18.309999999999999</v>
      </c>
    </row>
    <row r="889" spans="1:7" x14ac:dyDescent="0.3">
      <c r="A889" t="s">
        <v>557</v>
      </c>
      <c r="B889">
        <v>19322</v>
      </c>
      <c r="C889" t="s">
        <v>4830</v>
      </c>
      <c r="D889" t="s">
        <v>463</v>
      </c>
      <c r="E889">
        <v>44.2</v>
      </c>
      <c r="F889">
        <v>2287.85</v>
      </c>
      <c r="G889">
        <v>51.76</v>
      </c>
    </row>
    <row r="890" spans="1:7" x14ac:dyDescent="0.3">
      <c r="A890" t="s">
        <v>557</v>
      </c>
      <c r="B890">
        <v>19291</v>
      </c>
      <c r="C890" t="s">
        <v>4870</v>
      </c>
      <c r="D890" t="s">
        <v>463</v>
      </c>
      <c r="E890">
        <v>15.06</v>
      </c>
      <c r="F890">
        <v>1096.72</v>
      </c>
      <c r="G890">
        <v>72.819999999999993</v>
      </c>
    </row>
    <row r="891" spans="1:7" x14ac:dyDescent="0.3">
      <c r="A891" t="s">
        <v>557</v>
      </c>
      <c r="B891">
        <v>19558</v>
      </c>
      <c r="C891" t="s">
        <v>4994</v>
      </c>
      <c r="D891" t="s">
        <v>463</v>
      </c>
      <c r="E891">
        <v>6.1</v>
      </c>
      <c r="F891">
        <v>114.23</v>
      </c>
      <c r="G891">
        <v>18.73</v>
      </c>
    </row>
    <row r="892" spans="1:7" x14ac:dyDescent="0.3">
      <c r="A892" t="s">
        <v>557</v>
      </c>
      <c r="B892">
        <v>20206</v>
      </c>
      <c r="C892" t="s">
        <v>4914</v>
      </c>
      <c r="D892" t="s">
        <v>463</v>
      </c>
      <c r="E892">
        <v>1</v>
      </c>
      <c r="F892">
        <v>25.9</v>
      </c>
      <c r="G892">
        <v>25.9</v>
      </c>
    </row>
    <row r="893" spans="1:7" x14ac:dyDescent="0.3">
      <c r="A893" t="s">
        <v>557</v>
      </c>
      <c r="B893">
        <v>23195</v>
      </c>
      <c r="C893" t="s">
        <v>5051</v>
      </c>
      <c r="D893" t="s">
        <v>463</v>
      </c>
      <c r="E893">
        <v>0.5</v>
      </c>
      <c r="F893">
        <v>5.4</v>
      </c>
      <c r="G893">
        <v>10.8</v>
      </c>
    </row>
    <row r="894" spans="1:7" x14ac:dyDescent="0.3">
      <c r="A894" t="s">
        <v>557</v>
      </c>
      <c r="B894">
        <v>19555</v>
      </c>
      <c r="C894" t="s">
        <v>4903</v>
      </c>
      <c r="D894" t="s">
        <v>463</v>
      </c>
      <c r="E894">
        <v>3</v>
      </c>
      <c r="F894">
        <v>43</v>
      </c>
      <c r="G894">
        <v>14.33</v>
      </c>
    </row>
    <row r="895" spans="1:7" x14ac:dyDescent="0.3">
      <c r="A895" t="s">
        <v>557</v>
      </c>
      <c r="B895">
        <v>19553</v>
      </c>
      <c r="C895" t="s">
        <v>4868</v>
      </c>
      <c r="D895" t="s">
        <v>463</v>
      </c>
      <c r="E895">
        <v>4</v>
      </c>
      <c r="F895">
        <v>20.9</v>
      </c>
      <c r="G895">
        <v>5.23</v>
      </c>
    </row>
    <row r="896" spans="1:7" x14ac:dyDescent="0.3">
      <c r="A896" t="s">
        <v>557</v>
      </c>
      <c r="B896">
        <v>19552</v>
      </c>
      <c r="C896" t="s">
        <v>4860</v>
      </c>
      <c r="D896" t="s">
        <v>463</v>
      </c>
      <c r="E896">
        <v>4</v>
      </c>
      <c r="F896">
        <v>33.299999999999997</v>
      </c>
      <c r="G896">
        <v>8.33</v>
      </c>
    </row>
    <row r="897" spans="1:7" x14ac:dyDescent="0.3">
      <c r="A897" t="s">
        <v>557</v>
      </c>
      <c r="B897">
        <v>17138</v>
      </c>
      <c r="C897" t="s">
        <v>5297</v>
      </c>
      <c r="D897" t="s">
        <v>463</v>
      </c>
      <c r="E897">
        <v>3</v>
      </c>
      <c r="F897">
        <v>25.8</v>
      </c>
      <c r="G897">
        <v>8.6</v>
      </c>
    </row>
    <row r="898" spans="1:7" x14ac:dyDescent="0.3">
      <c r="A898" t="s">
        <v>557</v>
      </c>
      <c r="B898">
        <v>19472</v>
      </c>
      <c r="C898" t="s">
        <v>4906</v>
      </c>
      <c r="D898" t="s">
        <v>463</v>
      </c>
      <c r="E898">
        <v>19.8</v>
      </c>
      <c r="F898">
        <v>368.85</v>
      </c>
      <c r="G898">
        <v>18.63</v>
      </c>
    </row>
    <row r="899" spans="1:7" x14ac:dyDescent="0.3">
      <c r="A899" t="s">
        <v>557</v>
      </c>
      <c r="B899">
        <v>18273</v>
      </c>
      <c r="C899" t="s">
        <v>5058</v>
      </c>
      <c r="D899" t="s">
        <v>463</v>
      </c>
      <c r="E899">
        <v>2</v>
      </c>
      <c r="F899">
        <v>74.42</v>
      </c>
      <c r="G899">
        <v>37.21</v>
      </c>
    </row>
    <row r="900" spans="1:7" x14ac:dyDescent="0.3">
      <c r="A900" t="s">
        <v>557</v>
      </c>
      <c r="B900">
        <v>17129</v>
      </c>
      <c r="C900" t="s">
        <v>5202</v>
      </c>
      <c r="D900" t="s">
        <v>463</v>
      </c>
      <c r="E900">
        <v>2</v>
      </c>
      <c r="F900">
        <v>53.22</v>
      </c>
      <c r="G900">
        <v>26.61</v>
      </c>
    </row>
    <row r="901" spans="1:7" x14ac:dyDescent="0.3">
      <c r="A901" t="s">
        <v>557</v>
      </c>
      <c r="B901">
        <v>17437</v>
      </c>
      <c r="C901" t="s">
        <v>5203</v>
      </c>
      <c r="D901" t="s">
        <v>463</v>
      </c>
      <c r="E901">
        <v>40</v>
      </c>
      <c r="F901">
        <v>92</v>
      </c>
      <c r="G901">
        <v>2.2999999999999998</v>
      </c>
    </row>
    <row r="902" spans="1:7" x14ac:dyDescent="0.3">
      <c r="A902" t="s">
        <v>557</v>
      </c>
      <c r="B902">
        <v>17384</v>
      </c>
      <c r="C902" t="s">
        <v>5249</v>
      </c>
      <c r="D902" t="s">
        <v>463</v>
      </c>
      <c r="E902">
        <v>1</v>
      </c>
      <c r="F902">
        <v>162.9</v>
      </c>
      <c r="G902">
        <v>162.9</v>
      </c>
    </row>
    <row r="903" spans="1:7" x14ac:dyDescent="0.3">
      <c r="A903" t="s">
        <v>557</v>
      </c>
      <c r="B903">
        <v>21433</v>
      </c>
      <c r="C903" t="s">
        <v>5250</v>
      </c>
      <c r="D903" t="s">
        <v>463</v>
      </c>
      <c r="E903">
        <v>2</v>
      </c>
      <c r="F903">
        <v>325.8</v>
      </c>
      <c r="G903">
        <v>162.9</v>
      </c>
    </row>
    <row r="904" spans="1:7" x14ac:dyDescent="0.3">
      <c r="A904" t="s">
        <v>557</v>
      </c>
      <c r="B904">
        <v>17401</v>
      </c>
      <c r="C904" t="s">
        <v>5243</v>
      </c>
      <c r="D904" t="s">
        <v>463</v>
      </c>
      <c r="E904">
        <v>1</v>
      </c>
      <c r="F904">
        <v>162.9</v>
      </c>
      <c r="G904">
        <v>162.9</v>
      </c>
    </row>
    <row r="905" spans="1:7" x14ac:dyDescent="0.3">
      <c r="A905" t="s">
        <v>557</v>
      </c>
      <c r="B905">
        <v>21423</v>
      </c>
      <c r="C905" t="s">
        <v>5248</v>
      </c>
      <c r="D905" t="s">
        <v>463</v>
      </c>
      <c r="E905">
        <v>5</v>
      </c>
      <c r="F905">
        <v>165.5</v>
      </c>
      <c r="G905">
        <v>33.1</v>
      </c>
    </row>
    <row r="906" spans="1:7" x14ac:dyDescent="0.3">
      <c r="A906" t="s">
        <v>557</v>
      </c>
      <c r="B906">
        <v>17399</v>
      </c>
      <c r="C906" t="s">
        <v>5244</v>
      </c>
      <c r="D906" t="s">
        <v>463</v>
      </c>
      <c r="E906">
        <v>1</v>
      </c>
      <c r="F906">
        <v>19.670000000000002</v>
      </c>
      <c r="G906">
        <v>19.670000000000002</v>
      </c>
    </row>
    <row r="907" spans="1:7" x14ac:dyDescent="0.3">
      <c r="A907" t="s">
        <v>557</v>
      </c>
      <c r="B907">
        <v>17397</v>
      </c>
      <c r="C907" t="s">
        <v>5246</v>
      </c>
      <c r="D907" t="s">
        <v>463</v>
      </c>
      <c r="E907">
        <v>5</v>
      </c>
      <c r="F907">
        <v>165.5</v>
      </c>
      <c r="G907">
        <v>33.1</v>
      </c>
    </row>
    <row r="908" spans="1:7" x14ac:dyDescent="0.3">
      <c r="A908" t="s">
        <v>557</v>
      </c>
      <c r="B908">
        <v>24787</v>
      </c>
      <c r="C908" t="s">
        <v>5212</v>
      </c>
      <c r="D908" t="s">
        <v>463</v>
      </c>
      <c r="E908">
        <v>7</v>
      </c>
      <c r="F908">
        <v>575.47</v>
      </c>
      <c r="G908">
        <v>82.21</v>
      </c>
    </row>
    <row r="909" spans="1:7" x14ac:dyDescent="0.3">
      <c r="A909" t="s">
        <v>557</v>
      </c>
      <c r="B909">
        <v>24931</v>
      </c>
      <c r="C909" t="s">
        <v>5308</v>
      </c>
      <c r="D909" t="s">
        <v>463</v>
      </c>
      <c r="E909">
        <v>1</v>
      </c>
      <c r="F909">
        <v>45</v>
      </c>
      <c r="G909">
        <v>45</v>
      </c>
    </row>
    <row r="910" spans="1:7" x14ac:dyDescent="0.3">
      <c r="A910" t="s">
        <v>557</v>
      </c>
      <c r="B910">
        <v>17405</v>
      </c>
      <c r="C910" t="s">
        <v>5200</v>
      </c>
      <c r="D910" t="s">
        <v>463</v>
      </c>
      <c r="E910">
        <v>1</v>
      </c>
      <c r="F910">
        <v>14</v>
      </c>
      <c r="G910">
        <v>14</v>
      </c>
    </row>
    <row r="911" spans="1:7" x14ac:dyDescent="0.3">
      <c r="A911" t="s">
        <v>557</v>
      </c>
      <c r="B911">
        <v>17404</v>
      </c>
      <c r="C911" t="s">
        <v>5295</v>
      </c>
      <c r="D911" t="s">
        <v>463</v>
      </c>
      <c r="E911">
        <v>1</v>
      </c>
      <c r="F911">
        <v>27</v>
      </c>
      <c r="G911">
        <v>27</v>
      </c>
    </row>
    <row r="912" spans="1:7" x14ac:dyDescent="0.3">
      <c r="A912" t="s">
        <v>557</v>
      </c>
      <c r="B912">
        <v>19916</v>
      </c>
      <c r="C912" t="s">
        <v>4826</v>
      </c>
      <c r="D912" t="s">
        <v>463</v>
      </c>
      <c r="E912">
        <v>1</v>
      </c>
      <c r="F912">
        <v>39.9</v>
      </c>
      <c r="G912">
        <v>39.9</v>
      </c>
    </row>
    <row r="913" spans="1:7" x14ac:dyDescent="0.3">
      <c r="A913" t="s">
        <v>557</v>
      </c>
      <c r="B913">
        <v>19906</v>
      </c>
      <c r="C913" t="s">
        <v>5159</v>
      </c>
      <c r="D913" t="s">
        <v>463</v>
      </c>
      <c r="E913">
        <v>2</v>
      </c>
      <c r="F913">
        <v>41.8</v>
      </c>
      <c r="G913">
        <v>20.9</v>
      </c>
    </row>
    <row r="914" spans="1:7" x14ac:dyDescent="0.3">
      <c r="A914" t="s">
        <v>557</v>
      </c>
      <c r="B914">
        <v>23113</v>
      </c>
      <c r="C914" t="s">
        <v>5074</v>
      </c>
      <c r="D914" t="s">
        <v>463</v>
      </c>
      <c r="E914">
        <v>10.47</v>
      </c>
      <c r="F914">
        <v>147.1</v>
      </c>
      <c r="G914">
        <v>14.05</v>
      </c>
    </row>
    <row r="915" spans="1:7" x14ac:dyDescent="0.3">
      <c r="A915" t="s">
        <v>557</v>
      </c>
      <c r="B915">
        <v>19465</v>
      </c>
      <c r="C915" t="s">
        <v>5114</v>
      </c>
      <c r="D915" t="s">
        <v>463</v>
      </c>
      <c r="E915">
        <v>2.85</v>
      </c>
      <c r="F915">
        <v>17.579999999999998</v>
      </c>
      <c r="G915">
        <v>6.17</v>
      </c>
    </row>
    <row r="916" spans="1:7" x14ac:dyDescent="0.3">
      <c r="A916" t="s">
        <v>557</v>
      </c>
      <c r="B916">
        <v>17212</v>
      </c>
      <c r="C916" t="s">
        <v>5322</v>
      </c>
      <c r="D916" t="s">
        <v>463</v>
      </c>
      <c r="E916">
        <v>2</v>
      </c>
      <c r="F916">
        <v>460</v>
      </c>
      <c r="G916">
        <v>230</v>
      </c>
    </row>
    <row r="917" spans="1:7" x14ac:dyDescent="0.3">
      <c r="A917" t="s">
        <v>557</v>
      </c>
      <c r="B917">
        <v>17883</v>
      </c>
      <c r="C917" t="s">
        <v>5113</v>
      </c>
      <c r="D917" t="s">
        <v>463</v>
      </c>
      <c r="E917">
        <v>9</v>
      </c>
      <c r="F917">
        <v>220.79</v>
      </c>
      <c r="G917">
        <v>24.53</v>
      </c>
    </row>
    <row r="918" spans="1:7" x14ac:dyDescent="0.3">
      <c r="A918" t="s">
        <v>557</v>
      </c>
      <c r="B918">
        <v>17881</v>
      </c>
      <c r="C918" t="s">
        <v>5103</v>
      </c>
      <c r="D918" t="s">
        <v>463</v>
      </c>
      <c r="E918">
        <v>2</v>
      </c>
      <c r="F918">
        <v>51.06</v>
      </c>
      <c r="G918">
        <v>25.53</v>
      </c>
    </row>
    <row r="919" spans="1:7" x14ac:dyDescent="0.3">
      <c r="A919" t="s">
        <v>557</v>
      </c>
      <c r="B919">
        <v>21150</v>
      </c>
      <c r="C919" t="s">
        <v>4878</v>
      </c>
      <c r="D919" t="s">
        <v>463</v>
      </c>
      <c r="E919">
        <v>3</v>
      </c>
      <c r="F919">
        <v>339.93</v>
      </c>
      <c r="G919">
        <v>113.31</v>
      </c>
    </row>
    <row r="920" spans="1:7" x14ac:dyDescent="0.3">
      <c r="A920" t="s">
        <v>557</v>
      </c>
      <c r="B920">
        <v>17062</v>
      </c>
      <c r="C920" t="s">
        <v>4880</v>
      </c>
      <c r="D920" t="s">
        <v>463</v>
      </c>
      <c r="E920">
        <v>3</v>
      </c>
      <c r="F920">
        <v>378.09</v>
      </c>
      <c r="G920">
        <v>126.03</v>
      </c>
    </row>
    <row r="921" spans="1:7" x14ac:dyDescent="0.3">
      <c r="A921" t="s">
        <v>557</v>
      </c>
      <c r="B921">
        <v>18589</v>
      </c>
      <c r="C921" t="s">
        <v>5089</v>
      </c>
      <c r="D921" t="s">
        <v>463</v>
      </c>
      <c r="E921">
        <v>2</v>
      </c>
      <c r="F921">
        <v>193.28</v>
      </c>
      <c r="G921">
        <v>96.64</v>
      </c>
    </row>
    <row r="922" spans="1:7" x14ac:dyDescent="0.3">
      <c r="A922" t="s">
        <v>557</v>
      </c>
      <c r="B922">
        <v>18586</v>
      </c>
      <c r="C922" t="s">
        <v>4966</v>
      </c>
      <c r="D922" t="s">
        <v>463</v>
      </c>
      <c r="E922">
        <v>4</v>
      </c>
      <c r="F922">
        <v>454.72</v>
      </c>
      <c r="G922">
        <v>113.68</v>
      </c>
    </row>
    <row r="923" spans="1:7" x14ac:dyDescent="0.3">
      <c r="A923" t="s">
        <v>557</v>
      </c>
      <c r="B923">
        <v>28712</v>
      </c>
      <c r="C923" t="s">
        <v>5223</v>
      </c>
      <c r="D923" t="s">
        <v>463</v>
      </c>
      <c r="E923">
        <v>1</v>
      </c>
      <c r="F923">
        <v>239.9</v>
      </c>
      <c r="G923">
        <v>239.9</v>
      </c>
    </row>
    <row r="924" spans="1:7" x14ac:dyDescent="0.3">
      <c r="A924" t="s">
        <v>557</v>
      </c>
      <c r="B924">
        <v>28720</v>
      </c>
      <c r="C924" t="s">
        <v>5226</v>
      </c>
      <c r="D924" t="s">
        <v>463</v>
      </c>
      <c r="E924">
        <v>1</v>
      </c>
      <c r="F924">
        <v>380</v>
      </c>
      <c r="G924">
        <v>380</v>
      </c>
    </row>
    <row r="925" spans="1:7" x14ac:dyDescent="0.3">
      <c r="A925" t="s">
        <v>557</v>
      </c>
      <c r="B925">
        <v>18232</v>
      </c>
      <c r="C925" t="s">
        <v>4971</v>
      </c>
      <c r="D925" t="s">
        <v>463</v>
      </c>
      <c r="E925">
        <v>1</v>
      </c>
      <c r="F925">
        <v>101.9</v>
      </c>
      <c r="G925">
        <v>101.9</v>
      </c>
    </row>
    <row r="926" spans="1:7" x14ac:dyDescent="0.3">
      <c r="A926" t="s">
        <v>557</v>
      </c>
      <c r="B926">
        <v>27583</v>
      </c>
      <c r="C926" t="s">
        <v>5331</v>
      </c>
      <c r="D926" t="s">
        <v>463</v>
      </c>
      <c r="E926">
        <v>2</v>
      </c>
      <c r="F926">
        <v>21.8</v>
      </c>
      <c r="G926">
        <v>10.9</v>
      </c>
    </row>
    <row r="927" spans="1:7" x14ac:dyDescent="0.3">
      <c r="A927" t="s">
        <v>557</v>
      </c>
      <c r="B927">
        <v>19551</v>
      </c>
      <c r="C927" t="s">
        <v>4905</v>
      </c>
      <c r="D927" t="s">
        <v>463</v>
      </c>
      <c r="E927">
        <v>11.24</v>
      </c>
      <c r="F927">
        <v>196.11</v>
      </c>
      <c r="G927">
        <v>17.45</v>
      </c>
    </row>
    <row r="928" spans="1:7" x14ac:dyDescent="0.3">
      <c r="A928" t="s">
        <v>557</v>
      </c>
      <c r="B928">
        <v>23184</v>
      </c>
      <c r="C928" t="s">
        <v>4935</v>
      </c>
      <c r="D928" t="s">
        <v>463</v>
      </c>
      <c r="E928">
        <v>13.5</v>
      </c>
      <c r="F928">
        <v>316.10000000000002</v>
      </c>
      <c r="G928">
        <v>23.41</v>
      </c>
    </row>
    <row r="929" spans="1:7" x14ac:dyDescent="0.3">
      <c r="A929" t="s">
        <v>557</v>
      </c>
      <c r="B929">
        <v>19532</v>
      </c>
      <c r="C929" t="s">
        <v>4753</v>
      </c>
      <c r="D929" t="s">
        <v>463</v>
      </c>
      <c r="E929">
        <v>191.86</v>
      </c>
      <c r="F929">
        <v>1981.47</v>
      </c>
      <c r="G929">
        <v>10.33</v>
      </c>
    </row>
    <row r="930" spans="1:7" x14ac:dyDescent="0.3">
      <c r="A930" t="s">
        <v>557</v>
      </c>
      <c r="B930">
        <v>20585</v>
      </c>
      <c r="C930" t="s">
        <v>5025</v>
      </c>
      <c r="D930" t="s">
        <v>463</v>
      </c>
      <c r="E930">
        <v>2</v>
      </c>
      <c r="F930">
        <v>56.65</v>
      </c>
      <c r="G930">
        <v>28.33</v>
      </c>
    </row>
    <row r="931" spans="1:7" x14ac:dyDescent="0.3">
      <c r="A931" t="s">
        <v>557</v>
      </c>
      <c r="B931">
        <v>23108</v>
      </c>
      <c r="C931" t="s">
        <v>5117</v>
      </c>
      <c r="D931" t="s">
        <v>463</v>
      </c>
      <c r="E931">
        <v>0.4</v>
      </c>
      <c r="F931">
        <v>34</v>
      </c>
      <c r="G931">
        <v>85</v>
      </c>
    </row>
    <row r="932" spans="1:7" x14ac:dyDescent="0.3">
      <c r="A932" t="s">
        <v>557</v>
      </c>
      <c r="B932">
        <v>17361</v>
      </c>
      <c r="C932" t="s">
        <v>5309</v>
      </c>
      <c r="D932" t="s">
        <v>463</v>
      </c>
      <c r="E932">
        <v>5</v>
      </c>
      <c r="F932">
        <v>38.15</v>
      </c>
      <c r="G932">
        <v>7.63</v>
      </c>
    </row>
    <row r="933" spans="1:7" x14ac:dyDescent="0.3">
      <c r="A933" t="s">
        <v>557</v>
      </c>
      <c r="B933">
        <v>25205</v>
      </c>
      <c r="C933" t="s">
        <v>4850</v>
      </c>
      <c r="D933" t="s">
        <v>463</v>
      </c>
      <c r="E933">
        <v>9.8000000000000007</v>
      </c>
      <c r="F933">
        <v>175.42</v>
      </c>
      <c r="G933">
        <v>17.899999999999999</v>
      </c>
    </row>
    <row r="934" spans="1:7" x14ac:dyDescent="0.3">
      <c r="A934" t="s">
        <v>557</v>
      </c>
      <c r="B934">
        <v>19710</v>
      </c>
      <c r="C934" t="s">
        <v>4963</v>
      </c>
      <c r="D934" t="s">
        <v>463</v>
      </c>
      <c r="E934">
        <v>1</v>
      </c>
      <c r="F934">
        <v>20.65</v>
      </c>
      <c r="G934">
        <v>20.65</v>
      </c>
    </row>
    <row r="935" spans="1:7" x14ac:dyDescent="0.3">
      <c r="A935" t="s">
        <v>557</v>
      </c>
      <c r="B935">
        <v>19707</v>
      </c>
      <c r="C935" t="s">
        <v>5266</v>
      </c>
      <c r="D935" t="s">
        <v>463</v>
      </c>
      <c r="E935">
        <v>0.5</v>
      </c>
      <c r="F935">
        <v>10.44</v>
      </c>
      <c r="G935">
        <v>20.88</v>
      </c>
    </row>
    <row r="936" spans="1:7" x14ac:dyDescent="0.3">
      <c r="A936" t="s">
        <v>557</v>
      </c>
      <c r="B936">
        <v>24489</v>
      </c>
      <c r="C936" t="s">
        <v>5121</v>
      </c>
      <c r="D936" t="s">
        <v>463</v>
      </c>
      <c r="E936">
        <v>5</v>
      </c>
      <c r="F936">
        <v>135.80000000000001</v>
      </c>
      <c r="G936">
        <v>27.16</v>
      </c>
    </row>
    <row r="937" spans="1:7" x14ac:dyDescent="0.3">
      <c r="A937" t="s">
        <v>557</v>
      </c>
      <c r="B937">
        <v>17120</v>
      </c>
      <c r="C937" t="s">
        <v>5298</v>
      </c>
      <c r="D937" t="s">
        <v>463</v>
      </c>
      <c r="E937">
        <v>3</v>
      </c>
      <c r="F937">
        <v>28.62</v>
      </c>
      <c r="G937">
        <v>9.5399999999999991</v>
      </c>
    </row>
    <row r="938" spans="1:7" x14ac:dyDescent="0.3">
      <c r="A938" t="s">
        <v>557</v>
      </c>
      <c r="B938">
        <v>18220</v>
      </c>
      <c r="C938" t="s">
        <v>5147</v>
      </c>
      <c r="D938" t="s">
        <v>463</v>
      </c>
      <c r="E938">
        <v>1</v>
      </c>
      <c r="F938">
        <v>80</v>
      </c>
      <c r="G938">
        <v>80</v>
      </c>
    </row>
    <row r="939" spans="1:7" x14ac:dyDescent="0.3">
      <c r="A939" t="s">
        <v>557</v>
      </c>
      <c r="B939">
        <v>23884</v>
      </c>
      <c r="C939" t="s">
        <v>5070</v>
      </c>
      <c r="D939" t="s">
        <v>463</v>
      </c>
      <c r="E939">
        <v>2</v>
      </c>
      <c r="F939">
        <v>17.8</v>
      </c>
      <c r="G939">
        <v>8.9</v>
      </c>
    </row>
    <row r="940" spans="1:7" x14ac:dyDescent="0.3">
      <c r="A940" t="s">
        <v>557</v>
      </c>
      <c r="B940">
        <v>26036</v>
      </c>
      <c r="C940" t="s">
        <v>4841</v>
      </c>
      <c r="D940" t="s">
        <v>463</v>
      </c>
      <c r="E940">
        <v>6</v>
      </c>
      <c r="F940">
        <v>331.5</v>
      </c>
      <c r="G940">
        <v>55.25</v>
      </c>
    </row>
    <row r="941" spans="1:7" x14ac:dyDescent="0.3">
      <c r="A941" t="s">
        <v>557</v>
      </c>
      <c r="B941">
        <v>26034</v>
      </c>
      <c r="C941" t="s">
        <v>4828</v>
      </c>
      <c r="D941" t="s">
        <v>463</v>
      </c>
      <c r="E941">
        <v>18</v>
      </c>
      <c r="F941">
        <v>854.1</v>
      </c>
      <c r="G941">
        <v>47.45</v>
      </c>
    </row>
    <row r="942" spans="1:7" x14ac:dyDescent="0.3">
      <c r="A942" t="s">
        <v>557</v>
      </c>
      <c r="B942">
        <v>24614</v>
      </c>
      <c r="C942" t="s">
        <v>4897</v>
      </c>
      <c r="D942" t="s">
        <v>463</v>
      </c>
      <c r="E942">
        <v>4</v>
      </c>
      <c r="F942">
        <v>332.8</v>
      </c>
      <c r="G942">
        <v>83.2</v>
      </c>
    </row>
    <row r="943" spans="1:7" x14ac:dyDescent="0.3">
      <c r="A943" t="s">
        <v>557</v>
      </c>
      <c r="B943">
        <v>26038</v>
      </c>
      <c r="C943" t="s">
        <v>4976</v>
      </c>
      <c r="D943" t="s">
        <v>463</v>
      </c>
      <c r="E943">
        <v>6</v>
      </c>
      <c r="F943">
        <v>284.7</v>
      </c>
      <c r="G943">
        <v>47.45</v>
      </c>
    </row>
    <row r="944" spans="1:7" x14ac:dyDescent="0.3">
      <c r="A944" t="s">
        <v>557</v>
      </c>
      <c r="B944">
        <v>26040</v>
      </c>
      <c r="C944" t="s">
        <v>4812</v>
      </c>
      <c r="D944" t="s">
        <v>463</v>
      </c>
      <c r="E944">
        <v>9</v>
      </c>
      <c r="F944">
        <v>427.05</v>
      </c>
      <c r="G944">
        <v>47.45</v>
      </c>
    </row>
    <row r="945" spans="1:7" x14ac:dyDescent="0.3">
      <c r="A945" t="s">
        <v>557</v>
      </c>
      <c r="B945">
        <v>26044</v>
      </c>
      <c r="C945" t="s">
        <v>4843</v>
      </c>
      <c r="D945" t="s">
        <v>463</v>
      </c>
      <c r="E945">
        <v>4</v>
      </c>
      <c r="F945">
        <v>221</v>
      </c>
      <c r="G945">
        <v>55.25</v>
      </c>
    </row>
    <row r="946" spans="1:7" x14ac:dyDescent="0.3">
      <c r="A946" t="s">
        <v>557</v>
      </c>
      <c r="B946">
        <v>17658</v>
      </c>
      <c r="C946" t="s">
        <v>4978</v>
      </c>
      <c r="D946" t="s">
        <v>463</v>
      </c>
      <c r="E946">
        <v>9</v>
      </c>
      <c r="F946">
        <v>522</v>
      </c>
      <c r="G946">
        <v>58</v>
      </c>
    </row>
    <row r="947" spans="1:7" x14ac:dyDescent="0.3">
      <c r="A947" t="s">
        <v>557</v>
      </c>
      <c r="B947">
        <v>18194</v>
      </c>
      <c r="C947" t="s">
        <v>4923</v>
      </c>
      <c r="D947" t="s">
        <v>463</v>
      </c>
      <c r="E947">
        <v>3</v>
      </c>
      <c r="F947">
        <v>177</v>
      </c>
      <c r="G947">
        <v>59</v>
      </c>
    </row>
    <row r="948" spans="1:7" x14ac:dyDescent="0.3">
      <c r="A948" t="s">
        <v>557</v>
      </c>
      <c r="B948">
        <v>18129</v>
      </c>
      <c r="C948" t="s">
        <v>5043</v>
      </c>
      <c r="D948" t="s">
        <v>463</v>
      </c>
      <c r="E948">
        <v>1</v>
      </c>
      <c r="F948">
        <v>112.9</v>
      </c>
      <c r="G948">
        <v>112.9</v>
      </c>
    </row>
    <row r="949" spans="1:7" x14ac:dyDescent="0.3">
      <c r="A949" t="s">
        <v>557</v>
      </c>
      <c r="B949">
        <v>18116</v>
      </c>
      <c r="C949" t="s">
        <v>5045</v>
      </c>
      <c r="D949" t="s">
        <v>463</v>
      </c>
      <c r="E949">
        <v>1</v>
      </c>
      <c r="F949">
        <v>88.08</v>
      </c>
      <c r="G949">
        <v>88.08</v>
      </c>
    </row>
    <row r="950" spans="1:7" x14ac:dyDescent="0.3">
      <c r="A950" t="s">
        <v>557</v>
      </c>
      <c r="B950">
        <v>18111</v>
      </c>
      <c r="C950" t="s">
        <v>5049</v>
      </c>
      <c r="D950" t="s">
        <v>463</v>
      </c>
      <c r="E950">
        <v>1</v>
      </c>
      <c r="F950">
        <v>84.8</v>
      </c>
      <c r="G950">
        <v>84.8</v>
      </c>
    </row>
    <row r="951" spans="1:7" x14ac:dyDescent="0.3">
      <c r="A951" t="s">
        <v>557</v>
      </c>
      <c r="B951">
        <v>19787</v>
      </c>
      <c r="C951" t="s">
        <v>4793</v>
      </c>
      <c r="D951" t="s">
        <v>462</v>
      </c>
      <c r="E951">
        <v>80</v>
      </c>
      <c r="F951">
        <v>465.07</v>
      </c>
      <c r="G951">
        <v>5.81</v>
      </c>
    </row>
    <row r="952" spans="1:7" x14ac:dyDescent="0.3">
      <c r="A952" t="s">
        <v>557</v>
      </c>
      <c r="B952">
        <v>19658</v>
      </c>
      <c r="C952" t="s">
        <v>4784</v>
      </c>
      <c r="D952" t="s">
        <v>462</v>
      </c>
      <c r="E952">
        <v>53.65</v>
      </c>
      <c r="F952">
        <v>203.44</v>
      </c>
      <c r="G952">
        <v>3.79</v>
      </c>
    </row>
    <row r="953" spans="1:7" x14ac:dyDescent="0.3">
      <c r="A953" t="s">
        <v>557</v>
      </c>
      <c r="B953">
        <v>19654</v>
      </c>
      <c r="C953" t="s">
        <v>5099</v>
      </c>
      <c r="D953" t="s">
        <v>462</v>
      </c>
      <c r="E953">
        <v>21.9</v>
      </c>
      <c r="F953">
        <v>135.25</v>
      </c>
      <c r="G953">
        <v>6.18</v>
      </c>
    </row>
    <row r="954" spans="1:7" x14ac:dyDescent="0.3">
      <c r="A954" t="s">
        <v>557</v>
      </c>
      <c r="B954">
        <v>21093</v>
      </c>
      <c r="C954" t="s">
        <v>4855</v>
      </c>
      <c r="D954" t="s">
        <v>462</v>
      </c>
      <c r="E954">
        <v>20</v>
      </c>
      <c r="F954">
        <v>87.8</v>
      </c>
      <c r="G954">
        <v>4.3899999999999997</v>
      </c>
    </row>
    <row r="955" spans="1:7" x14ac:dyDescent="0.3">
      <c r="A955" t="s">
        <v>557</v>
      </c>
      <c r="B955">
        <v>21085</v>
      </c>
      <c r="C955" t="s">
        <v>5066</v>
      </c>
      <c r="D955" t="s">
        <v>462</v>
      </c>
      <c r="E955">
        <v>1</v>
      </c>
      <c r="F955">
        <v>44.75</v>
      </c>
      <c r="G955">
        <v>44.75</v>
      </c>
    </row>
    <row r="956" spans="1:7" x14ac:dyDescent="0.3">
      <c r="A956" t="s">
        <v>557</v>
      </c>
      <c r="B956">
        <v>24596</v>
      </c>
      <c r="C956" t="s">
        <v>5197</v>
      </c>
      <c r="D956" t="s">
        <v>462</v>
      </c>
      <c r="E956">
        <v>5</v>
      </c>
      <c r="F956">
        <v>75</v>
      </c>
      <c r="G956">
        <v>15</v>
      </c>
    </row>
    <row r="957" spans="1:7" x14ac:dyDescent="0.3">
      <c r="A957" t="s">
        <v>557</v>
      </c>
      <c r="B957">
        <v>21078</v>
      </c>
      <c r="C957" t="s">
        <v>5162</v>
      </c>
      <c r="D957" t="s">
        <v>462</v>
      </c>
      <c r="E957">
        <v>1</v>
      </c>
      <c r="F957">
        <v>49.38</v>
      </c>
      <c r="G957">
        <v>49.38</v>
      </c>
    </row>
    <row r="958" spans="1:7" x14ac:dyDescent="0.3">
      <c r="A958" t="s">
        <v>557</v>
      </c>
      <c r="B958">
        <v>19507</v>
      </c>
      <c r="C958" t="s">
        <v>4853</v>
      </c>
      <c r="D958" t="s">
        <v>462</v>
      </c>
      <c r="E958">
        <v>19.600000000000001</v>
      </c>
      <c r="F958">
        <v>297.08999999999997</v>
      </c>
      <c r="G958">
        <v>15.16</v>
      </c>
    </row>
    <row r="959" spans="1:7" x14ac:dyDescent="0.3">
      <c r="A959" t="s">
        <v>557</v>
      </c>
      <c r="B959">
        <v>17950</v>
      </c>
      <c r="C959" t="s">
        <v>5091</v>
      </c>
      <c r="D959" t="s">
        <v>462</v>
      </c>
      <c r="E959">
        <v>37</v>
      </c>
      <c r="F959">
        <v>646.76</v>
      </c>
      <c r="G959">
        <v>17.48</v>
      </c>
    </row>
    <row r="960" spans="1:7" x14ac:dyDescent="0.3">
      <c r="A960" t="s">
        <v>557</v>
      </c>
      <c r="B960">
        <v>17958</v>
      </c>
      <c r="C960" t="s">
        <v>5076</v>
      </c>
      <c r="D960" t="s">
        <v>462</v>
      </c>
      <c r="E960">
        <v>35</v>
      </c>
      <c r="F960">
        <v>579.95000000000005</v>
      </c>
      <c r="G960">
        <v>16.57</v>
      </c>
    </row>
    <row r="961" spans="1:7" x14ac:dyDescent="0.3">
      <c r="A961" t="s">
        <v>557</v>
      </c>
      <c r="B961">
        <v>17314</v>
      </c>
      <c r="C961" t="s">
        <v>5208</v>
      </c>
      <c r="D961" t="s">
        <v>462</v>
      </c>
      <c r="E961">
        <v>11</v>
      </c>
      <c r="F961">
        <v>100.88</v>
      </c>
      <c r="G961">
        <v>9.17</v>
      </c>
    </row>
    <row r="962" spans="1:7" x14ac:dyDescent="0.3">
      <c r="A962" t="s">
        <v>557</v>
      </c>
      <c r="B962">
        <v>18006</v>
      </c>
      <c r="C962" t="s">
        <v>5094</v>
      </c>
      <c r="D962" t="s">
        <v>462</v>
      </c>
      <c r="E962">
        <v>4</v>
      </c>
      <c r="F962">
        <v>127.22</v>
      </c>
      <c r="G962">
        <v>31.81</v>
      </c>
    </row>
    <row r="963" spans="1:7" x14ac:dyDescent="0.3">
      <c r="A963" t="s">
        <v>557</v>
      </c>
      <c r="B963">
        <v>18004</v>
      </c>
      <c r="C963" t="s">
        <v>5093</v>
      </c>
      <c r="D963" t="s">
        <v>462</v>
      </c>
      <c r="E963">
        <v>4</v>
      </c>
      <c r="F963">
        <v>127.22</v>
      </c>
      <c r="G963">
        <v>31.81</v>
      </c>
    </row>
    <row r="964" spans="1:7" x14ac:dyDescent="0.3">
      <c r="A964" t="s">
        <v>557</v>
      </c>
      <c r="B964">
        <v>24096</v>
      </c>
      <c r="C964" t="s">
        <v>4771</v>
      </c>
      <c r="D964" t="s">
        <v>462</v>
      </c>
      <c r="E964">
        <v>193</v>
      </c>
      <c r="F964">
        <v>8279.7000000000007</v>
      </c>
      <c r="G964">
        <v>42.9</v>
      </c>
    </row>
    <row r="965" spans="1:7" x14ac:dyDescent="0.3">
      <c r="A965" t="s">
        <v>557</v>
      </c>
      <c r="B965">
        <v>17266</v>
      </c>
      <c r="C965" t="s">
        <v>5192</v>
      </c>
      <c r="D965" t="s">
        <v>462</v>
      </c>
      <c r="E965">
        <v>14</v>
      </c>
      <c r="F965">
        <v>66.78</v>
      </c>
      <c r="G965">
        <v>4.7699999999999996</v>
      </c>
    </row>
    <row r="966" spans="1:7" x14ac:dyDescent="0.3">
      <c r="A966" t="s">
        <v>557</v>
      </c>
      <c r="B966">
        <v>17285</v>
      </c>
      <c r="C966" t="s">
        <v>5347</v>
      </c>
      <c r="D966" t="s">
        <v>462</v>
      </c>
      <c r="E966">
        <v>1</v>
      </c>
      <c r="F966">
        <v>30.73</v>
      </c>
      <c r="G966">
        <v>30.73</v>
      </c>
    </row>
    <row r="967" spans="1:7" x14ac:dyDescent="0.3">
      <c r="A967" t="s">
        <v>557</v>
      </c>
      <c r="B967">
        <v>19506</v>
      </c>
      <c r="C967" t="s">
        <v>5122</v>
      </c>
      <c r="D967" t="s">
        <v>462</v>
      </c>
      <c r="E967">
        <v>1.7</v>
      </c>
      <c r="F967">
        <v>109.5</v>
      </c>
      <c r="G967">
        <v>64.41</v>
      </c>
    </row>
    <row r="968" spans="1:7" x14ac:dyDescent="0.3">
      <c r="A968" t="s">
        <v>557</v>
      </c>
      <c r="B968">
        <v>19505</v>
      </c>
      <c r="C968" t="s">
        <v>4872</v>
      </c>
      <c r="D968" t="s">
        <v>462</v>
      </c>
      <c r="E968">
        <v>60.5</v>
      </c>
      <c r="F968">
        <v>635.54999999999995</v>
      </c>
      <c r="G968">
        <v>10.5</v>
      </c>
    </row>
    <row r="969" spans="1:7" x14ac:dyDescent="0.3">
      <c r="A969" t="s">
        <v>557</v>
      </c>
      <c r="B969">
        <v>19502</v>
      </c>
      <c r="C969" t="s">
        <v>4871</v>
      </c>
      <c r="D969" t="s">
        <v>462</v>
      </c>
      <c r="E969">
        <v>29.2</v>
      </c>
      <c r="F969">
        <v>585.98</v>
      </c>
      <c r="G969">
        <v>20.07</v>
      </c>
    </row>
    <row r="970" spans="1:7" x14ac:dyDescent="0.3">
      <c r="A970" t="s">
        <v>557</v>
      </c>
      <c r="B970">
        <v>19647</v>
      </c>
      <c r="C970" t="s">
        <v>5050</v>
      </c>
      <c r="D970" t="s">
        <v>462</v>
      </c>
      <c r="E970">
        <v>1.2</v>
      </c>
      <c r="F970">
        <v>18</v>
      </c>
      <c r="G970">
        <v>15</v>
      </c>
    </row>
    <row r="971" spans="1:7" x14ac:dyDescent="0.3">
      <c r="A971" t="s">
        <v>557</v>
      </c>
      <c r="B971">
        <v>24037</v>
      </c>
      <c r="C971" t="s">
        <v>5233</v>
      </c>
      <c r="D971" t="s">
        <v>462</v>
      </c>
      <c r="E971">
        <v>11</v>
      </c>
      <c r="F971">
        <v>198</v>
      </c>
      <c r="G971">
        <v>18</v>
      </c>
    </row>
    <row r="972" spans="1:7" x14ac:dyDescent="0.3">
      <c r="A972" t="s">
        <v>557</v>
      </c>
      <c r="B972">
        <v>27264</v>
      </c>
      <c r="C972" t="s">
        <v>5075</v>
      </c>
      <c r="D972" t="s">
        <v>462</v>
      </c>
      <c r="E972">
        <v>47.63</v>
      </c>
      <c r="F972">
        <v>2496.37</v>
      </c>
      <c r="G972">
        <v>52.41</v>
      </c>
    </row>
    <row r="973" spans="1:7" x14ac:dyDescent="0.3">
      <c r="A973" t="s">
        <v>557</v>
      </c>
      <c r="B973">
        <v>18547</v>
      </c>
      <c r="C973" t="s">
        <v>4863</v>
      </c>
      <c r="D973" t="s">
        <v>462</v>
      </c>
      <c r="E973">
        <v>5</v>
      </c>
      <c r="F973">
        <v>187.5</v>
      </c>
      <c r="G973">
        <v>37.5</v>
      </c>
    </row>
    <row r="974" spans="1:7" x14ac:dyDescent="0.3">
      <c r="A974" t="s">
        <v>557</v>
      </c>
      <c r="B974">
        <v>18545</v>
      </c>
      <c r="C974" t="s">
        <v>4864</v>
      </c>
      <c r="D974" t="s">
        <v>462</v>
      </c>
      <c r="E974">
        <v>5</v>
      </c>
      <c r="F974">
        <v>230</v>
      </c>
      <c r="G974">
        <v>46</v>
      </c>
    </row>
    <row r="975" spans="1:7" x14ac:dyDescent="0.3">
      <c r="A975" t="s">
        <v>557</v>
      </c>
      <c r="B975">
        <v>18518</v>
      </c>
      <c r="C975" t="s">
        <v>4838</v>
      </c>
      <c r="D975" t="s">
        <v>462</v>
      </c>
      <c r="E975">
        <v>6</v>
      </c>
      <c r="F975">
        <v>223.68</v>
      </c>
      <c r="G975">
        <v>37.28</v>
      </c>
    </row>
    <row r="976" spans="1:7" x14ac:dyDescent="0.3">
      <c r="A976" t="s">
        <v>557</v>
      </c>
      <c r="B976">
        <v>26224</v>
      </c>
      <c r="C976" t="s">
        <v>5214</v>
      </c>
      <c r="D976" t="s">
        <v>462</v>
      </c>
      <c r="E976">
        <v>7</v>
      </c>
      <c r="F976">
        <v>55.3</v>
      </c>
      <c r="G976">
        <v>7.9</v>
      </c>
    </row>
    <row r="977" spans="1:7" x14ac:dyDescent="0.3">
      <c r="A977" t="s">
        <v>557</v>
      </c>
      <c r="B977">
        <v>20301</v>
      </c>
      <c r="C977" t="s">
        <v>4944</v>
      </c>
      <c r="D977" t="s">
        <v>462</v>
      </c>
      <c r="E977">
        <v>40</v>
      </c>
      <c r="F977">
        <v>840</v>
      </c>
      <c r="G977">
        <v>21</v>
      </c>
    </row>
    <row r="978" spans="1:7" x14ac:dyDescent="0.3">
      <c r="A978" t="s">
        <v>557</v>
      </c>
      <c r="B978">
        <v>21783</v>
      </c>
      <c r="C978" t="s">
        <v>5210</v>
      </c>
      <c r="D978" t="s">
        <v>462</v>
      </c>
      <c r="E978">
        <v>8</v>
      </c>
      <c r="F978">
        <v>128</v>
      </c>
      <c r="G978">
        <v>16</v>
      </c>
    </row>
    <row r="979" spans="1:7" x14ac:dyDescent="0.3">
      <c r="A979" t="s">
        <v>557</v>
      </c>
      <c r="B979">
        <v>20751</v>
      </c>
      <c r="C979" t="s">
        <v>5004</v>
      </c>
      <c r="D979" t="s">
        <v>462</v>
      </c>
      <c r="E979">
        <v>1</v>
      </c>
      <c r="F979">
        <v>109.9</v>
      </c>
      <c r="G979">
        <v>109.9</v>
      </c>
    </row>
    <row r="980" spans="1:7" x14ac:dyDescent="0.3">
      <c r="A980" t="s">
        <v>557</v>
      </c>
      <c r="B980">
        <v>23808</v>
      </c>
      <c r="C980" t="s">
        <v>4982</v>
      </c>
      <c r="D980" t="s">
        <v>462</v>
      </c>
      <c r="E980">
        <v>3.8</v>
      </c>
      <c r="F980">
        <v>202.9</v>
      </c>
      <c r="G980">
        <v>53.39</v>
      </c>
    </row>
    <row r="981" spans="1:7" x14ac:dyDescent="0.3">
      <c r="A981" t="s">
        <v>557</v>
      </c>
      <c r="B981">
        <v>22721</v>
      </c>
      <c r="C981" t="s">
        <v>4803</v>
      </c>
      <c r="D981" t="s">
        <v>462</v>
      </c>
      <c r="E981">
        <v>14</v>
      </c>
      <c r="F981">
        <v>413</v>
      </c>
      <c r="G981">
        <v>29.5</v>
      </c>
    </row>
    <row r="982" spans="1:7" x14ac:dyDescent="0.3">
      <c r="A982" t="s">
        <v>557</v>
      </c>
      <c r="B982">
        <v>23390</v>
      </c>
      <c r="C982" t="s">
        <v>4873</v>
      </c>
      <c r="D982" t="s">
        <v>462</v>
      </c>
      <c r="E982">
        <v>10.199999999999999</v>
      </c>
      <c r="F982">
        <v>84.6</v>
      </c>
      <c r="G982">
        <v>8.2899999999999991</v>
      </c>
    </row>
    <row r="983" spans="1:7" x14ac:dyDescent="0.3">
      <c r="A983" t="s">
        <v>557</v>
      </c>
      <c r="B983">
        <v>23389</v>
      </c>
      <c r="C983" t="s">
        <v>4960</v>
      </c>
      <c r="D983" t="s">
        <v>462</v>
      </c>
      <c r="E983">
        <v>39</v>
      </c>
      <c r="F983">
        <v>195.1</v>
      </c>
      <c r="G983">
        <v>5</v>
      </c>
    </row>
    <row r="984" spans="1:7" x14ac:dyDescent="0.3">
      <c r="A984" t="s">
        <v>557</v>
      </c>
      <c r="B984">
        <v>24081</v>
      </c>
      <c r="C984" t="s">
        <v>4834</v>
      </c>
      <c r="D984" t="s">
        <v>462</v>
      </c>
      <c r="E984">
        <v>43.9</v>
      </c>
      <c r="F984">
        <v>1044.82</v>
      </c>
      <c r="G984">
        <v>23.8</v>
      </c>
    </row>
    <row r="985" spans="1:7" x14ac:dyDescent="0.3">
      <c r="A985" t="s">
        <v>557</v>
      </c>
      <c r="B985">
        <v>24083</v>
      </c>
      <c r="C985" t="s">
        <v>5165</v>
      </c>
      <c r="D985" t="s">
        <v>462</v>
      </c>
      <c r="E985">
        <v>535</v>
      </c>
      <c r="F985">
        <v>2867.2</v>
      </c>
      <c r="G985">
        <v>5.36</v>
      </c>
    </row>
    <row r="986" spans="1:7" x14ac:dyDescent="0.3">
      <c r="A986" t="s">
        <v>557</v>
      </c>
      <c r="B986">
        <v>19642</v>
      </c>
      <c r="C986" t="s">
        <v>4996</v>
      </c>
      <c r="D986" t="s">
        <v>462</v>
      </c>
      <c r="E986">
        <v>5.2</v>
      </c>
      <c r="F986">
        <v>29.71</v>
      </c>
      <c r="G986">
        <v>5.71</v>
      </c>
    </row>
    <row r="987" spans="1:7" x14ac:dyDescent="0.3">
      <c r="A987" t="s">
        <v>557</v>
      </c>
      <c r="B987">
        <v>19635</v>
      </c>
      <c r="C987" t="s">
        <v>4786</v>
      </c>
      <c r="D987" t="s">
        <v>462</v>
      </c>
      <c r="E987">
        <v>59.7</v>
      </c>
      <c r="F987">
        <v>349.38</v>
      </c>
      <c r="G987">
        <v>5.85</v>
      </c>
    </row>
    <row r="988" spans="1:7" x14ac:dyDescent="0.3">
      <c r="A988" t="s">
        <v>557</v>
      </c>
      <c r="B988">
        <v>19634</v>
      </c>
      <c r="C988" t="s">
        <v>4792</v>
      </c>
      <c r="D988" t="s">
        <v>462</v>
      </c>
      <c r="E988">
        <v>42.2</v>
      </c>
      <c r="F988">
        <v>323.7</v>
      </c>
      <c r="G988">
        <v>7.67</v>
      </c>
    </row>
    <row r="989" spans="1:7" x14ac:dyDescent="0.3">
      <c r="A989" t="s">
        <v>557</v>
      </c>
      <c r="B989">
        <v>19632</v>
      </c>
      <c r="C989" t="s">
        <v>4936</v>
      </c>
      <c r="D989" t="s">
        <v>462</v>
      </c>
      <c r="E989">
        <v>9.8699999999999992</v>
      </c>
      <c r="F989">
        <v>53.53</v>
      </c>
      <c r="G989">
        <v>5.42</v>
      </c>
    </row>
    <row r="990" spans="1:7" x14ac:dyDescent="0.3">
      <c r="A990" t="s">
        <v>557</v>
      </c>
      <c r="B990">
        <v>23819</v>
      </c>
      <c r="C990" t="s">
        <v>4947</v>
      </c>
      <c r="D990" t="s">
        <v>462</v>
      </c>
      <c r="E990">
        <v>4</v>
      </c>
      <c r="F990">
        <v>36.64</v>
      </c>
      <c r="G990">
        <v>9.16</v>
      </c>
    </row>
    <row r="991" spans="1:7" x14ac:dyDescent="0.3">
      <c r="A991" t="s">
        <v>557</v>
      </c>
      <c r="B991">
        <v>26006</v>
      </c>
      <c r="C991" t="s">
        <v>4941</v>
      </c>
      <c r="D991" t="s">
        <v>462</v>
      </c>
      <c r="E991">
        <v>14</v>
      </c>
      <c r="F991">
        <v>151.47999999999999</v>
      </c>
      <c r="G991">
        <v>10.82</v>
      </c>
    </row>
    <row r="992" spans="1:7" x14ac:dyDescent="0.3">
      <c r="A992" t="s">
        <v>557</v>
      </c>
      <c r="B992">
        <v>17565</v>
      </c>
      <c r="C992" t="s">
        <v>5247</v>
      </c>
      <c r="D992" t="s">
        <v>462</v>
      </c>
      <c r="E992">
        <v>1</v>
      </c>
      <c r="F992">
        <v>109.1</v>
      </c>
      <c r="G992">
        <v>109.1</v>
      </c>
    </row>
    <row r="993" spans="1:7" x14ac:dyDescent="0.3">
      <c r="A993" t="s">
        <v>557</v>
      </c>
      <c r="B993">
        <v>17381</v>
      </c>
      <c r="C993" t="s">
        <v>5262</v>
      </c>
      <c r="D993" t="s">
        <v>462</v>
      </c>
      <c r="E993">
        <v>2</v>
      </c>
      <c r="F993">
        <v>77.78</v>
      </c>
      <c r="G993">
        <v>38.89</v>
      </c>
    </row>
    <row r="994" spans="1:7" x14ac:dyDescent="0.3">
      <c r="A994" t="s">
        <v>557</v>
      </c>
      <c r="B994">
        <v>17573</v>
      </c>
      <c r="C994" t="s">
        <v>5306</v>
      </c>
      <c r="D994" t="s">
        <v>462</v>
      </c>
      <c r="E994">
        <v>1</v>
      </c>
      <c r="F994">
        <v>74.900000000000006</v>
      </c>
      <c r="G994">
        <v>74.900000000000006</v>
      </c>
    </row>
    <row r="995" spans="1:7" x14ac:dyDescent="0.3">
      <c r="A995" t="s">
        <v>557</v>
      </c>
      <c r="B995">
        <v>21587</v>
      </c>
      <c r="C995" t="s">
        <v>5349</v>
      </c>
      <c r="D995" t="s">
        <v>462</v>
      </c>
      <c r="E995">
        <v>3</v>
      </c>
      <c r="F995">
        <v>19.5</v>
      </c>
      <c r="G995">
        <v>6.5</v>
      </c>
    </row>
    <row r="996" spans="1:7" x14ac:dyDescent="0.3">
      <c r="A996" t="s">
        <v>557</v>
      </c>
      <c r="B996">
        <v>24099</v>
      </c>
      <c r="C996" t="s">
        <v>4933</v>
      </c>
      <c r="D996" t="s">
        <v>462</v>
      </c>
      <c r="E996">
        <v>10.5</v>
      </c>
      <c r="F996">
        <v>134.5</v>
      </c>
      <c r="G996">
        <v>12.81</v>
      </c>
    </row>
    <row r="997" spans="1:7" x14ac:dyDescent="0.3">
      <c r="A997" t="s">
        <v>557</v>
      </c>
      <c r="B997">
        <v>19492</v>
      </c>
      <c r="C997" t="s">
        <v>4937</v>
      </c>
      <c r="D997" t="s">
        <v>462</v>
      </c>
      <c r="E997">
        <v>11.45</v>
      </c>
      <c r="F997">
        <v>228.53</v>
      </c>
      <c r="G997">
        <v>19.96</v>
      </c>
    </row>
    <row r="998" spans="1:7" x14ac:dyDescent="0.3">
      <c r="A998" t="s">
        <v>557</v>
      </c>
      <c r="B998">
        <v>18475</v>
      </c>
      <c r="C998" t="s">
        <v>4895</v>
      </c>
      <c r="D998" t="s">
        <v>462</v>
      </c>
      <c r="E998">
        <v>24</v>
      </c>
      <c r="F998">
        <v>789.6</v>
      </c>
      <c r="G998">
        <v>32.9</v>
      </c>
    </row>
    <row r="999" spans="1:7" x14ac:dyDescent="0.3">
      <c r="A999" t="s">
        <v>557</v>
      </c>
      <c r="B999">
        <v>18423</v>
      </c>
      <c r="C999" t="s">
        <v>4987</v>
      </c>
      <c r="D999" t="s">
        <v>462</v>
      </c>
      <c r="E999">
        <v>2</v>
      </c>
      <c r="F999">
        <v>63.86</v>
      </c>
      <c r="G999">
        <v>31.93</v>
      </c>
    </row>
    <row r="1000" spans="1:7" x14ac:dyDescent="0.3">
      <c r="A1000" t="s">
        <v>557</v>
      </c>
      <c r="B1000">
        <v>20809</v>
      </c>
      <c r="C1000" t="s">
        <v>4822</v>
      </c>
      <c r="D1000" t="s">
        <v>462</v>
      </c>
      <c r="E1000">
        <v>16</v>
      </c>
      <c r="F1000">
        <v>479.39</v>
      </c>
      <c r="G1000">
        <v>29.96</v>
      </c>
    </row>
    <row r="1001" spans="1:7" x14ac:dyDescent="0.3">
      <c r="A1001" t="s">
        <v>557</v>
      </c>
      <c r="B1001">
        <v>23385</v>
      </c>
      <c r="C1001" t="s">
        <v>4938</v>
      </c>
      <c r="D1001" t="s">
        <v>462</v>
      </c>
      <c r="E1001">
        <v>8.1</v>
      </c>
      <c r="F1001">
        <v>566.5</v>
      </c>
      <c r="G1001">
        <v>69.94</v>
      </c>
    </row>
    <row r="1002" spans="1:7" x14ac:dyDescent="0.3">
      <c r="A1002" t="s">
        <v>557</v>
      </c>
      <c r="B1002">
        <v>19490</v>
      </c>
      <c r="C1002" t="s">
        <v>5116</v>
      </c>
      <c r="D1002" t="s">
        <v>462</v>
      </c>
      <c r="E1002">
        <v>1.9</v>
      </c>
      <c r="F1002">
        <v>111.68</v>
      </c>
      <c r="G1002">
        <v>58.78</v>
      </c>
    </row>
    <row r="1003" spans="1:7" x14ac:dyDescent="0.3">
      <c r="A1003" t="s">
        <v>557</v>
      </c>
      <c r="B1003">
        <v>24690</v>
      </c>
      <c r="C1003" t="s">
        <v>5168</v>
      </c>
      <c r="D1003" t="s">
        <v>462</v>
      </c>
      <c r="E1003">
        <v>2</v>
      </c>
      <c r="F1003">
        <v>37.5</v>
      </c>
      <c r="G1003">
        <v>18.75</v>
      </c>
    </row>
    <row r="1004" spans="1:7" x14ac:dyDescent="0.3">
      <c r="A1004" t="s">
        <v>557</v>
      </c>
      <c r="B1004">
        <v>24116</v>
      </c>
      <c r="C1004" t="s">
        <v>4777</v>
      </c>
      <c r="D1004" t="s">
        <v>462</v>
      </c>
      <c r="E1004">
        <v>20</v>
      </c>
      <c r="F1004">
        <v>838</v>
      </c>
      <c r="G1004">
        <v>41.9</v>
      </c>
    </row>
    <row r="1005" spans="1:7" x14ac:dyDescent="0.3">
      <c r="A1005" t="s">
        <v>557</v>
      </c>
      <c r="B1005">
        <v>24658</v>
      </c>
      <c r="C1005" t="s">
        <v>5274</v>
      </c>
      <c r="D1005" t="s">
        <v>462</v>
      </c>
      <c r="E1005">
        <v>40</v>
      </c>
      <c r="F1005">
        <v>1384</v>
      </c>
      <c r="G1005">
        <v>34.6</v>
      </c>
    </row>
    <row r="1006" spans="1:7" x14ac:dyDescent="0.3">
      <c r="A1006" t="s">
        <v>557</v>
      </c>
      <c r="B1006">
        <v>25358</v>
      </c>
      <c r="C1006" t="s">
        <v>4980</v>
      </c>
      <c r="D1006" t="s">
        <v>462</v>
      </c>
      <c r="E1006">
        <v>1</v>
      </c>
      <c r="F1006">
        <v>81.599999999999994</v>
      </c>
      <c r="G1006">
        <v>81.599999999999994</v>
      </c>
    </row>
    <row r="1007" spans="1:7" x14ac:dyDescent="0.3">
      <c r="A1007" t="s">
        <v>557</v>
      </c>
      <c r="B1007">
        <v>20054</v>
      </c>
      <c r="C1007" t="s">
        <v>4856</v>
      </c>
      <c r="D1007" t="s">
        <v>462</v>
      </c>
      <c r="E1007">
        <v>5</v>
      </c>
      <c r="F1007">
        <v>57.1</v>
      </c>
      <c r="G1007">
        <v>11.42</v>
      </c>
    </row>
    <row r="1008" spans="1:7" x14ac:dyDescent="0.3">
      <c r="A1008" t="s">
        <v>557</v>
      </c>
      <c r="B1008">
        <v>24509</v>
      </c>
      <c r="C1008" t="s">
        <v>4788</v>
      </c>
      <c r="D1008" t="s">
        <v>462</v>
      </c>
      <c r="E1008">
        <v>77.3</v>
      </c>
      <c r="F1008">
        <v>293.91000000000003</v>
      </c>
      <c r="G1008">
        <v>3.8</v>
      </c>
    </row>
    <row r="1009" spans="1:7" x14ac:dyDescent="0.3">
      <c r="A1009" t="s">
        <v>557</v>
      </c>
      <c r="B1009">
        <v>19622</v>
      </c>
      <c r="C1009" t="s">
        <v>4915</v>
      </c>
      <c r="D1009" t="s">
        <v>462</v>
      </c>
      <c r="E1009">
        <v>5.25</v>
      </c>
      <c r="F1009">
        <v>27.89</v>
      </c>
      <c r="G1009">
        <v>5.31</v>
      </c>
    </row>
    <row r="1010" spans="1:7" x14ac:dyDescent="0.3">
      <c r="A1010" t="s">
        <v>557</v>
      </c>
      <c r="B1010">
        <v>19623</v>
      </c>
      <c r="C1010" t="s">
        <v>4764</v>
      </c>
      <c r="D1010" t="s">
        <v>462</v>
      </c>
      <c r="E1010">
        <v>81.400000000000006</v>
      </c>
      <c r="F1010">
        <v>415.45</v>
      </c>
      <c r="G1010">
        <v>5.0999999999999996</v>
      </c>
    </row>
    <row r="1011" spans="1:7" x14ac:dyDescent="0.3">
      <c r="A1011" t="s">
        <v>557</v>
      </c>
      <c r="B1011">
        <v>19488</v>
      </c>
      <c r="C1011" t="s">
        <v>5107</v>
      </c>
      <c r="D1011" t="s">
        <v>462</v>
      </c>
      <c r="E1011">
        <v>1</v>
      </c>
      <c r="F1011">
        <v>14.15</v>
      </c>
      <c r="G1011">
        <v>14.15</v>
      </c>
    </row>
    <row r="1012" spans="1:7" x14ac:dyDescent="0.3">
      <c r="A1012" t="s">
        <v>557</v>
      </c>
      <c r="B1012">
        <v>19621</v>
      </c>
      <c r="C1012" t="s">
        <v>4829</v>
      </c>
      <c r="D1012" t="s">
        <v>462</v>
      </c>
      <c r="E1012">
        <v>23.9</v>
      </c>
      <c r="F1012">
        <v>166.18</v>
      </c>
      <c r="G1012">
        <v>6.95</v>
      </c>
    </row>
    <row r="1013" spans="1:7" x14ac:dyDescent="0.3">
      <c r="A1013" t="s">
        <v>557</v>
      </c>
      <c r="B1013">
        <v>26505</v>
      </c>
      <c r="C1013" t="s">
        <v>4750</v>
      </c>
      <c r="D1013" t="s">
        <v>462</v>
      </c>
      <c r="E1013">
        <v>6</v>
      </c>
      <c r="F1013">
        <v>1196.44</v>
      </c>
      <c r="G1013">
        <v>199.41</v>
      </c>
    </row>
    <row r="1014" spans="1:7" x14ac:dyDescent="0.3">
      <c r="A1014" t="s">
        <v>557</v>
      </c>
      <c r="B1014">
        <v>25561</v>
      </c>
      <c r="C1014" t="s">
        <v>5095</v>
      </c>
      <c r="D1014" t="s">
        <v>462</v>
      </c>
      <c r="E1014">
        <v>5</v>
      </c>
      <c r="F1014">
        <v>551.5</v>
      </c>
      <c r="G1014">
        <v>110.3</v>
      </c>
    </row>
    <row r="1015" spans="1:7" x14ac:dyDescent="0.3">
      <c r="A1015" t="s">
        <v>557</v>
      </c>
      <c r="B1015">
        <v>24141</v>
      </c>
      <c r="C1015" t="s">
        <v>5088</v>
      </c>
      <c r="D1015" t="s">
        <v>462</v>
      </c>
      <c r="E1015">
        <v>33</v>
      </c>
      <c r="F1015">
        <v>3098.37</v>
      </c>
      <c r="G1015">
        <v>93.89</v>
      </c>
    </row>
    <row r="1016" spans="1:7" x14ac:dyDescent="0.3">
      <c r="A1016" t="s">
        <v>557</v>
      </c>
      <c r="B1016">
        <v>24973</v>
      </c>
      <c r="C1016" t="s">
        <v>4819</v>
      </c>
      <c r="D1016" t="s">
        <v>462</v>
      </c>
      <c r="E1016">
        <v>1</v>
      </c>
      <c r="F1016">
        <v>68.790000000000006</v>
      </c>
      <c r="G1016">
        <v>68.790000000000006</v>
      </c>
    </row>
    <row r="1017" spans="1:7" x14ac:dyDescent="0.3">
      <c r="A1017" t="s">
        <v>557</v>
      </c>
      <c r="B1017">
        <v>24142</v>
      </c>
      <c r="C1017" t="s">
        <v>5090</v>
      </c>
      <c r="D1017" t="s">
        <v>462</v>
      </c>
      <c r="E1017">
        <v>4</v>
      </c>
      <c r="F1017">
        <v>442.92</v>
      </c>
      <c r="G1017">
        <v>110.73</v>
      </c>
    </row>
    <row r="1018" spans="1:7" x14ac:dyDescent="0.3">
      <c r="A1018" t="s">
        <v>557</v>
      </c>
      <c r="B1018">
        <v>18579</v>
      </c>
      <c r="C1018" t="s">
        <v>5087</v>
      </c>
      <c r="D1018" t="s">
        <v>462</v>
      </c>
      <c r="E1018">
        <v>2</v>
      </c>
      <c r="F1018">
        <v>263.62</v>
      </c>
      <c r="G1018">
        <v>131.81</v>
      </c>
    </row>
    <row r="1019" spans="1:7" x14ac:dyDescent="0.3">
      <c r="A1019" t="s">
        <v>557</v>
      </c>
      <c r="B1019">
        <v>18636</v>
      </c>
      <c r="C1019" t="s">
        <v>4964</v>
      </c>
      <c r="D1019" t="s">
        <v>462</v>
      </c>
      <c r="E1019">
        <v>11</v>
      </c>
      <c r="F1019">
        <v>3869.14</v>
      </c>
      <c r="G1019">
        <v>351.74</v>
      </c>
    </row>
    <row r="1020" spans="1:7" x14ac:dyDescent="0.3">
      <c r="A1020" t="s">
        <v>557</v>
      </c>
      <c r="B1020">
        <v>24981</v>
      </c>
      <c r="C1020" t="s">
        <v>5140</v>
      </c>
      <c r="D1020" t="s">
        <v>462</v>
      </c>
      <c r="E1020">
        <v>3</v>
      </c>
      <c r="F1020">
        <v>1067.9100000000001</v>
      </c>
      <c r="G1020">
        <v>355.97</v>
      </c>
    </row>
    <row r="1021" spans="1:7" x14ac:dyDescent="0.3">
      <c r="A1021" t="s">
        <v>557</v>
      </c>
      <c r="B1021">
        <v>28760</v>
      </c>
      <c r="C1021" t="s">
        <v>5348</v>
      </c>
      <c r="D1021" t="s">
        <v>462</v>
      </c>
      <c r="E1021">
        <v>10.66</v>
      </c>
      <c r="F1021">
        <v>650.26</v>
      </c>
      <c r="G1021">
        <v>61</v>
      </c>
    </row>
    <row r="1022" spans="1:7" x14ac:dyDescent="0.3">
      <c r="A1022" t="s">
        <v>557</v>
      </c>
      <c r="B1022">
        <v>26135</v>
      </c>
      <c r="C1022" t="s">
        <v>4801</v>
      </c>
      <c r="D1022" t="s">
        <v>462</v>
      </c>
      <c r="E1022">
        <v>16.600000000000001</v>
      </c>
      <c r="F1022">
        <v>1492.34</v>
      </c>
      <c r="G1022">
        <v>89.9</v>
      </c>
    </row>
    <row r="1023" spans="1:7" x14ac:dyDescent="0.3">
      <c r="A1023" t="s">
        <v>557</v>
      </c>
      <c r="B1023">
        <v>19617</v>
      </c>
      <c r="C1023" t="s">
        <v>5071</v>
      </c>
      <c r="D1023" t="s">
        <v>462</v>
      </c>
      <c r="E1023">
        <v>3.9</v>
      </c>
      <c r="F1023">
        <v>80</v>
      </c>
      <c r="G1023">
        <v>20.51</v>
      </c>
    </row>
    <row r="1024" spans="1:7" x14ac:dyDescent="0.3">
      <c r="A1024" t="s">
        <v>557</v>
      </c>
      <c r="B1024">
        <v>20549</v>
      </c>
      <c r="C1024" t="s">
        <v>4823</v>
      </c>
      <c r="D1024" t="s">
        <v>462</v>
      </c>
      <c r="E1024">
        <v>28</v>
      </c>
      <c r="F1024">
        <v>559.72</v>
      </c>
      <c r="G1024">
        <v>19.989999999999998</v>
      </c>
    </row>
    <row r="1025" spans="1:7" x14ac:dyDescent="0.3">
      <c r="A1025" t="s">
        <v>557</v>
      </c>
      <c r="B1025">
        <v>17532</v>
      </c>
      <c r="C1025" t="s">
        <v>5259</v>
      </c>
      <c r="D1025" t="s">
        <v>462</v>
      </c>
      <c r="E1025">
        <v>1</v>
      </c>
      <c r="F1025">
        <v>98</v>
      </c>
      <c r="G1025">
        <v>98</v>
      </c>
    </row>
    <row r="1026" spans="1:7" x14ac:dyDescent="0.3">
      <c r="A1026" t="s">
        <v>557</v>
      </c>
      <c r="B1026">
        <v>18595</v>
      </c>
      <c r="C1026" t="s">
        <v>5092</v>
      </c>
      <c r="D1026" t="s">
        <v>462</v>
      </c>
      <c r="E1026">
        <v>4</v>
      </c>
      <c r="F1026">
        <v>417.92</v>
      </c>
      <c r="G1026">
        <v>104.48</v>
      </c>
    </row>
    <row r="1027" spans="1:7" x14ac:dyDescent="0.3">
      <c r="A1027" t="s">
        <v>557</v>
      </c>
      <c r="B1027">
        <v>26679</v>
      </c>
      <c r="C1027" t="s">
        <v>4791</v>
      </c>
      <c r="D1027" t="s">
        <v>462</v>
      </c>
      <c r="E1027">
        <v>96.46</v>
      </c>
      <c r="F1027">
        <v>2762.96</v>
      </c>
      <c r="G1027">
        <v>28.64</v>
      </c>
    </row>
    <row r="1028" spans="1:7" x14ac:dyDescent="0.3">
      <c r="A1028" t="s">
        <v>557</v>
      </c>
      <c r="B1028">
        <v>24197</v>
      </c>
      <c r="C1028" t="s">
        <v>5237</v>
      </c>
      <c r="D1028" t="s">
        <v>462</v>
      </c>
      <c r="E1028">
        <v>22.1</v>
      </c>
      <c r="F1028">
        <v>441.78</v>
      </c>
      <c r="G1028">
        <v>19.989999999999998</v>
      </c>
    </row>
    <row r="1029" spans="1:7" x14ac:dyDescent="0.3">
      <c r="A1029" t="s">
        <v>557</v>
      </c>
      <c r="B1029">
        <v>24200</v>
      </c>
      <c r="C1029" t="s">
        <v>4820</v>
      </c>
      <c r="D1029" t="s">
        <v>462</v>
      </c>
      <c r="E1029">
        <v>8.1</v>
      </c>
      <c r="F1029">
        <v>266.49</v>
      </c>
      <c r="G1029">
        <v>32.9</v>
      </c>
    </row>
    <row r="1030" spans="1:7" x14ac:dyDescent="0.3">
      <c r="A1030" t="s">
        <v>557</v>
      </c>
      <c r="B1030">
        <v>21257</v>
      </c>
      <c r="C1030" t="s">
        <v>4952</v>
      </c>
      <c r="D1030" t="s">
        <v>462</v>
      </c>
      <c r="E1030">
        <v>3</v>
      </c>
      <c r="F1030">
        <v>56.4</v>
      </c>
      <c r="G1030">
        <v>18.8</v>
      </c>
    </row>
    <row r="1031" spans="1:7" x14ac:dyDescent="0.3">
      <c r="A1031" t="s">
        <v>557</v>
      </c>
      <c r="B1031">
        <v>23238</v>
      </c>
      <c r="C1031" t="s">
        <v>4934</v>
      </c>
      <c r="D1031" t="s">
        <v>462</v>
      </c>
      <c r="E1031">
        <v>9.5</v>
      </c>
      <c r="F1031">
        <v>211.54</v>
      </c>
      <c r="G1031">
        <v>22.27</v>
      </c>
    </row>
    <row r="1032" spans="1:7" x14ac:dyDescent="0.3">
      <c r="A1032" t="s">
        <v>557</v>
      </c>
      <c r="B1032">
        <v>23236</v>
      </c>
      <c r="C1032" t="s">
        <v>5062</v>
      </c>
      <c r="D1032" t="s">
        <v>462</v>
      </c>
      <c r="E1032">
        <v>18</v>
      </c>
      <c r="F1032">
        <v>177.67</v>
      </c>
      <c r="G1032">
        <v>9.8699999999999992</v>
      </c>
    </row>
    <row r="1033" spans="1:7" x14ac:dyDescent="0.3">
      <c r="A1033" t="s">
        <v>557</v>
      </c>
      <c r="B1033">
        <v>19041</v>
      </c>
      <c r="C1033" t="s">
        <v>4762</v>
      </c>
      <c r="D1033" t="s">
        <v>462</v>
      </c>
      <c r="E1033">
        <v>115.7</v>
      </c>
      <c r="F1033">
        <v>1723.93</v>
      </c>
      <c r="G1033">
        <v>14.9</v>
      </c>
    </row>
    <row r="1034" spans="1:7" x14ac:dyDescent="0.3">
      <c r="A1034" t="s">
        <v>557</v>
      </c>
      <c r="B1034">
        <v>22843</v>
      </c>
      <c r="C1034" t="s">
        <v>4849</v>
      </c>
      <c r="D1034" t="s">
        <v>462</v>
      </c>
      <c r="E1034">
        <v>14.4</v>
      </c>
      <c r="F1034">
        <v>553.5</v>
      </c>
      <c r="G1034">
        <v>38.44</v>
      </c>
    </row>
    <row r="1035" spans="1:7" x14ac:dyDescent="0.3">
      <c r="A1035" t="s">
        <v>557</v>
      </c>
      <c r="B1035">
        <v>19439</v>
      </c>
      <c r="C1035" t="s">
        <v>4917</v>
      </c>
      <c r="D1035" t="s">
        <v>462</v>
      </c>
      <c r="E1035">
        <v>8</v>
      </c>
      <c r="F1035">
        <v>253.4</v>
      </c>
      <c r="G1035">
        <v>31.68</v>
      </c>
    </row>
    <row r="1036" spans="1:7" x14ac:dyDescent="0.3">
      <c r="A1036" t="s">
        <v>557</v>
      </c>
      <c r="B1036">
        <v>20689</v>
      </c>
      <c r="C1036" t="s">
        <v>5007</v>
      </c>
      <c r="D1036" t="s">
        <v>462</v>
      </c>
      <c r="E1036">
        <v>9</v>
      </c>
      <c r="F1036">
        <v>284.39999999999998</v>
      </c>
      <c r="G1036">
        <v>31.6</v>
      </c>
    </row>
    <row r="1037" spans="1:7" x14ac:dyDescent="0.3">
      <c r="A1037" t="s">
        <v>557</v>
      </c>
      <c r="B1037">
        <v>26020</v>
      </c>
      <c r="C1037" t="s">
        <v>5102</v>
      </c>
      <c r="D1037" t="s">
        <v>462</v>
      </c>
      <c r="E1037">
        <v>12</v>
      </c>
      <c r="F1037">
        <v>165.58</v>
      </c>
      <c r="G1037">
        <v>13.8</v>
      </c>
    </row>
    <row r="1038" spans="1:7" x14ac:dyDescent="0.3">
      <c r="A1038" t="s">
        <v>557</v>
      </c>
      <c r="B1038">
        <v>24217</v>
      </c>
      <c r="C1038" t="s">
        <v>4778</v>
      </c>
      <c r="D1038" t="s">
        <v>462</v>
      </c>
      <c r="E1038">
        <v>74.650000000000006</v>
      </c>
      <c r="F1038">
        <v>2425.0700000000002</v>
      </c>
      <c r="G1038">
        <v>32.49</v>
      </c>
    </row>
    <row r="1039" spans="1:7" x14ac:dyDescent="0.3">
      <c r="A1039" t="s">
        <v>557</v>
      </c>
      <c r="B1039">
        <v>17304</v>
      </c>
      <c r="C1039" t="s">
        <v>5195</v>
      </c>
      <c r="D1039" t="s">
        <v>462</v>
      </c>
      <c r="E1039">
        <v>9</v>
      </c>
      <c r="F1039">
        <v>59.31</v>
      </c>
      <c r="G1039">
        <v>6.59</v>
      </c>
    </row>
    <row r="1040" spans="1:7" x14ac:dyDescent="0.3">
      <c r="A1040" t="s">
        <v>557</v>
      </c>
      <c r="B1040">
        <v>17215</v>
      </c>
      <c r="C1040" t="s">
        <v>5299</v>
      </c>
      <c r="D1040" t="s">
        <v>462</v>
      </c>
      <c r="E1040">
        <v>22</v>
      </c>
      <c r="F1040">
        <v>439.78</v>
      </c>
      <c r="G1040">
        <v>19.989999999999998</v>
      </c>
    </row>
    <row r="1041" spans="1:7" x14ac:dyDescent="0.3">
      <c r="A1041" t="s">
        <v>557</v>
      </c>
      <c r="B1041">
        <v>17205</v>
      </c>
      <c r="C1041" t="s">
        <v>5264</v>
      </c>
      <c r="D1041" t="s">
        <v>462</v>
      </c>
      <c r="E1041">
        <v>1</v>
      </c>
      <c r="F1041">
        <v>170</v>
      </c>
      <c r="G1041">
        <v>170</v>
      </c>
    </row>
    <row r="1042" spans="1:7" x14ac:dyDescent="0.3">
      <c r="A1042" t="s">
        <v>557</v>
      </c>
      <c r="B1042">
        <v>26554</v>
      </c>
      <c r="C1042" t="s">
        <v>5319</v>
      </c>
      <c r="D1042" t="s">
        <v>462</v>
      </c>
      <c r="E1042">
        <v>3</v>
      </c>
      <c r="F1042">
        <v>858</v>
      </c>
      <c r="G1042">
        <v>286</v>
      </c>
    </row>
    <row r="1043" spans="1:7" x14ac:dyDescent="0.3">
      <c r="A1043" t="s">
        <v>557</v>
      </c>
      <c r="B1043">
        <v>17465</v>
      </c>
      <c r="C1043" t="s">
        <v>5279</v>
      </c>
      <c r="D1043" t="s">
        <v>462</v>
      </c>
      <c r="E1043">
        <v>2</v>
      </c>
      <c r="F1043">
        <v>1456.63</v>
      </c>
      <c r="G1043">
        <v>728.32</v>
      </c>
    </row>
    <row r="1044" spans="1:7" x14ac:dyDescent="0.3">
      <c r="A1044" t="s">
        <v>557</v>
      </c>
      <c r="B1044">
        <v>24527</v>
      </c>
      <c r="C1044" t="s">
        <v>5313</v>
      </c>
      <c r="D1044" t="s">
        <v>462</v>
      </c>
      <c r="E1044">
        <v>1</v>
      </c>
      <c r="F1044">
        <v>1017.5</v>
      </c>
      <c r="G1044">
        <v>1017.5</v>
      </c>
    </row>
    <row r="1045" spans="1:7" x14ac:dyDescent="0.3">
      <c r="A1045" t="s">
        <v>557</v>
      </c>
      <c r="B1045">
        <v>21716</v>
      </c>
      <c r="C1045" t="s">
        <v>5281</v>
      </c>
      <c r="D1045" t="s">
        <v>462</v>
      </c>
      <c r="E1045">
        <v>2</v>
      </c>
      <c r="F1045">
        <v>865</v>
      </c>
      <c r="G1045">
        <v>432.5</v>
      </c>
    </row>
    <row r="1046" spans="1:7" x14ac:dyDescent="0.3">
      <c r="A1046" t="s">
        <v>557</v>
      </c>
      <c r="B1046">
        <v>17916</v>
      </c>
      <c r="C1046" t="s">
        <v>5235</v>
      </c>
      <c r="D1046" t="s">
        <v>462</v>
      </c>
      <c r="E1046">
        <v>3</v>
      </c>
      <c r="F1046">
        <v>86.55</v>
      </c>
      <c r="G1046">
        <v>28.85</v>
      </c>
    </row>
    <row r="1047" spans="1:7" x14ac:dyDescent="0.3">
      <c r="A1047" t="s">
        <v>557</v>
      </c>
      <c r="B1047">
        <v>19526</v>
      </c>
      <c r="C1047" t="s">
        <v>4997</v>
      </c>
      <c r="D1047" t="s">
        <v>462</v>
      </c>
      <c r="E1047">
        <v>4</v>
      </c>
      <c r="F1047">
        <v>219.49</v>
      </c>
      <c r="G1047">
        <v>54.87</v>
      </c>
    </row>
    <row r="1048" spans="1:7" x14ac:dyDescent="0.3">
      <c r="A1048" t="s">
        <v>557</v>
      </c>
      <c r="B1048">
        <v>24522</v>
      </c>
      <c r="C1048" t="s">
        <v>5072</v>
      </c>
      <c r="D1048" t="s">
        <v>462</v>
      </c>
      <c r="E1048">
        <v>3</v>
      </c>
      <c r="F1048">
        <v>76.099999999999994</v>
      </c>
      <c r="G1048">
        <v>25.37</v>
      </c>
    </row>
    <row r="1049" spans="1:7" x14ac:dyDescent="0.3">
      <c r="A1049" t="s">
        <v>557</v>
      </c>
      <c r="B1049">
        <v>24598</v>
      </c>
      <c r="C1049" t="s">
        <v>4852</v>
      </c>
      <c r="D1049" t="s">
        <v>462</v>
      </c>
      <c r="E1049">
        <v>1</v>
      </c>
      <c r="F1049">
        <v>15</v>
      </c>
      <c r="G1049">
        <v>15</v>
      </c>
    </row>
    <row r="1050" spans="1:7" x14ac:dyDescent="0.3">
      <c r="A1050" t="s">
        <v>557</v>
      </c>
      <c r="B1050">
        <v>17196</v>
      </c>
      <c r="C1050" t="s">
        <v>5258</v>
      </c>
      <c r="D1050" t="s">
        <v>462</v>
      </c>
      <c r="E1050">
        <v>3</v>
      </c>
      <c r="F1050">
        <v>19.14</v>
      </c>
      <c r="G1050">
        <v>6.38</v>
      </c>
    </row>
    <row r="1051" spans="1:7" x14ac:dyDescent="0.3">
      <c r="A1051" t="s">
        <v>557</v>
      </c>
      <c r="B1051">
        <v>17190</v>
      </c>
      <c r="C1051" t="s">
        <v>5193</v>
      </c>
      <c r="D1051" t="s">
        <v>462</v>
      </c>
      <c r="E1051">
        <v>4</v>
      </c>
      <c r="F1051">
        <v>32.4</v>
      </c>
      <c r="G1051">
        <v>8.1</v>
      </c>
    </row>
    <row r="1052" spans="1:7" x14ac:dyDescent="0.3">
      <c r="A1052" t="s">
        <v>557</v>
      </c>
      <c r="B1052">
        <v>18030</v>
      </c>
      <c r="C1052" t="s">
        <v>4840</v>
      </c>
      <c r="D1052" t="s">
        <v>462</v>
      </c>
      <c r="E1052">
        <v>11</v>
      </c>
      <c r="F1052">
        <v>308.42</v>
      </c>
      <c r="G1052">
        <v>28.04</v>
      </c>
    </row>
    <row r="1053" spans="1:7" x14ac:dyDescent="0.3">
      <c r="A1053" t="s">
        <v>557</v>
      </c>
      <c r="B1053">
        <v>17455</v>
      </c>
      <c r="C1053" t="s">
        <v>5290</v>
      </c>
      <c r="D1053" t="s">
        <v>462</v>
      </c>
      <c r="E1053">
        <v>4</v>
      </c>
      <c r="F1053">
        <v>141.08000000000001</v>
      </c>
      <c r="G1053">
        <v>35.270000000000003</v>
      </c>
    </row>
    <row r="1054" spans="1:7" x14ac:dyDescent="0.3">
      <c r="A1054" t="s">
        <v>557</v>
      </c>
      <c r="B1054">
        <v>20672</v>
      </c>
      <c r="C1054" t="s">
        <v>4857</v>
      </c>
      <c r="D1054" t="s">
        <v>462</v>
      </c>
      <c r="E1054">
        <v>2</v>
      </c>
      <c r="F1054">
        <v>59.1</v>
      </c>
      <c r="G1054">
        <v>29.55</v>
      </c>
    </row>
    <row r="1055" spans="1:7" x14ac:dyDescent="0.3">
      <c r="A1055" t="s">
        <v>557</v>
      </c>
      <c r="B1055">
        <v>26627</v>
      </c>
      <c r="C1055" t="s">
        <v>5190</v>
      </c>
      <c r="D1055" t="s">
        <v>462</v>
      </c>
      <c r="E1055">
        <v>105</v>
      </c>
      <c r="F1055">
        <v>829.5</v>
      </c>
      <c r="G1055">
        <v>7.9</v>
      </c>
    </row>
    <row r="1056" spans="1:7" x14ac:dyDescent="0.3">
      <c r="A1056" t="s">
        <v>557</v>
      </c>
      <c r="B1056">
        <v>20382</v>
      </c>
      <c r="C1056" t="s">
        <v>4780</v>
      </c>
      <c r="D1056" t="s">
        <v>462</v>
      </c>
      <c r="E1056">
        <v>53</v>
      </c>
      <c r="F1056">
        <v>476.47</v>
      </c>
      <c r="G1056">
        <v>8.99</v>
      </c>
    </row>
    <row r="1057" spans="1:7" x14ac:dyDescent="0.3">
      <c r="A1057" t="s">
        <v>557</v>
      </c>
      <c r="B1057">
        <v>20322</v>
      </c>
      <c r="C1057" t="s">
        <v>4882</v>
      </c>
      <c r="D1057" t="s">
        <v>462</v>
      </c>
      <c r="E1057">
        <v>2</v>
      </c>
      <c r="F1057">
        <v>21.6</v>
      </c>
      <c r="G1057">
        <v>10.8</v>
      </c>
    </row>
    <row r="1058" spans="1:7" x14ac:dyDescent="0.3">
      <c r="A1058" t="s">
        <v>557</v>
      </c>
      <c r="B1058">
        <v>20365</v>
      </c>
      <c r="C1058" t="s">
        <v>4796</v>
      </c>
      <c r="D1058" t="s">
        <v>462</v>
      </c>
      <c r="E1058">
        <v>10</v>
      </c>
      <c r="F1058">
        <v>52.9</v>
      </c>
      <c r="G1058">
        <v>5.29</v>
      </c>
    </row>
    <row r="1059" spans="1:7" x14ac:dyDescent="0.3">
      <c r="A1059" t="s">
        <v>557</v>
      </c>
      <c r="B1059">
        <v>20358</v>
      </c>
      <c r="C1059" t="s">
        <v>4911</v>
      </c>
      <c r="D1059" t="s">
        <v>462</v>
      </c>
      <c r="E1059">
        <v>7</v>
      </c>
      <c r="F1059">
        <v>99.75</v>
      </c>
      <c r="G1059">
        <v>14.25</v>
      </c>
    </row>
    <row r="1060" spans="1:7" x14ac:dyDescent="0.3">
      <c r="A1060" t="s">
        <v>557</v>
      </c>
      <c r="B1060">
        <v>20242</v>
      </c>
      <c r="C1060" t="s">
        <v>4824</v>
      </c>
      <c r="D1060" t="s">
        <v>462</v>
      </c>
      <c r="E1060">
        <v>28</v>
      </c>
      <c r="F1060">
        <v>499.94</v>
      </c>
      <c r="G1060">
        <v>17.86</v>
      </c>
    </row>
    <row r="1061" spans="1:7" x14ac:dyDescent="0.3">
      <c r="A1061" t="s">
        <v>557</v>
      </c>
      <c r="B1061">
        <v>20227</v>
      </c>
      <c r="C1061" t="s">
        <v>4825</v>
      </c>
      <c r="D1061" t="s">
        <v>462</v>
      </c>
      <c r="E1061">
        <v>13</v>
      </c>
      <c r="F1061">
        <v>165.1</v>
      </c>
      <c r="G1061">
        <v>12.7</v>
      </c>
    </row>
    <row r="1062" spans="1:7" x14ac:dyDescent="0.3">
      <c r="A1062" t="s">
        <v>557</v>
      </c>
      <c r="B1062">
        <v>19017</v>
      </c>
      <c r="C1062" t="s">
        <v>5174</v>
      </c>
      <c r="D1062" t="s">
        <v>462</v>
      </c>
      <c r="E1062">
        <v>5.7</v>
      </c>
      <c r="F1062">
        <v>88.35</v>
      </c>
      <c r="G1062">
        <v>15.5</v>
      </c>
    </row>
    <row r="1063" spans="1:7" x14ac:dyDescent="0.3">
      <c r="A1063" t="s">
        <v>557</v>
      </c>
      <c r="B1063">
        <v>24256</v>
      </c>
      <c r="C1063" t="s">
        <v>4773</v>
      </c>
      <c r="D1063" t="s">
        <v>462</v>
      </c>
      <c r="E1063">
        <v>80</v>
      </c>
      <c r="F1063">
        <v>3005</v>
      </c>
      <c r="G1063">
        <v>37.56</v>
      </c>
    </row>
    <row r="1064" spans="1:7" x14ac:dyDescent="0.3">
      <c r="A1064" t="s">
        <v>557</v>
      </c>
      <c r="B1064">
        <v>24259</v>
      </c>
      <c r="C1064" t="s">
        <v>4875</v>
      </c>
      <c r="D1064" t="s">
        <v>462</v>
      </c>
      <c r="E1064">
        <v>54.81</v>
      </c>
      <c r="F1064">
        <v>4324.6000000000004</v>
      </c>
      <c r="G1064">
        <v>78.900000000000006</v>
      </c>
    </row>
    <row r="1065" spans="1:7" x14ac:dyDescent="0.3">
      <c r="A1065" t="s">
        <v>557</v>
      </c>
      <c r="B1065">
        <v>20224</v>
      </c>
      <c r="C1065" t="s">
        <v>5118</v>
      </c>
      <c r="D1065" t="s">
        <v>462</v>
      </c>
      <c r="E1065">
        <v>1.5</v>
      </c>
      <c r="F1065">
        <v>108</v>
      </c>
      <c r="G1065">
        <v>72</v>
      </c>
    </row>
    <row r="1066" spans="1:7" x14ac:dyDescent="0.3">
      <c r="A1066" t="s">
        <v>557</v>
      </c>
      <c r="B1066">
        <v>25777</v>
      </c>
      <c r="C1066" t="s">
        <v>4774</v>
      </c>
      <c r="D1066" t="s">
        <v>462</v>
      </c>
      <c r="E1066">
        <v>77.92</v>
      </c>
      <c r="F1066">
        <v>6769.6</v>
      </c>
      <c r="G1066">
        <v>86.88</v>
      </c>
    </row>
    <row r="1067" spans="1:7" x14ac:dyDescent="0.3">
      <c r="A1067" t="s">
        <v>557</v>
      </c>
      <c r="B1067">
        <v>24278</v>
      </c>
      <c r="C1067" t="s">
        <v>4901</v>
      </c>
      <c r="D1067" t="s">
        <v>462</v>
      </c>
      <c r="E1067">
        <v>3.6</v>
      </c>
      <c r="F1067">
        <v>32.36</v>
      </c>
      <c r="G1067">
        <v>8.99</v>
      </c>
    </row>
    <row r="1068" spans="1:7" x14ac:dyDescent="0.3">
      <c r="A1068" t="s">
        <v>557</v>
      </c>
      <c r="B1068">
        <v>19765</v>
      </c>
      <c r="C1068" t="s">
        <v>4889</v>
      </c>
      <c r="D1068" t="s">
        <v>462</v>
      </c>
      <c r="E1068">
        <v>4</v>
      </c>
      <c r="F1068">
        <v>144.25</v>
      </c>
      <c r="G1068">
        <v>36.06</v>
      </c>
    </row>
    <row r="1069" spans="1:7" x14ac:dyDescent="0.3">
      <c r="A1069" t="s">
        <v>557</v>
      </c>
      <c r="B1069">
        <v>19003</v>
      </c>
      <c r="C1069" t="s">
        <v>4810</v>
      </c>
      <c r="D1069" t="s">
        <v>462</v>
      </c>
      <c r="E1069">
        <v>45.75</v>
      </c>
      <c r="F1069">
        <v>1811.92</v>
      </c>
      <c r="G1069">
        <v>39.6</v>
      </c>
    </row>
    <row r="1070" spans="1:7" x14ac:dyDescent="0.3">
      <c r="A1070" t="s">
        <v>557</v>
      </c>
      <c r="B1070">
        <v>19607</v>
      </c>
      <c r="C1070" t="s">
        <v>4981</v>
      </c>
      <c r="D1070" t="s">
        <v>462</v>
      </c>
      <c r="E1070">
        <v>1.5</v>
      </c>
      <c r="F1070">
        <v>17.87</v>
      </c>
      <c r="G1070">
        <v>11.91</v>
      </c>
    </row>
    <row r="1071" spans="1:7" x14ac:dyDescent="0.3">
      <c r="A1071" t="s">
        <v>557</v>
      </c>
      <c r="B1071">
        <v>18359</v>
      </c>
      <c r="C1071" t="s">
        <v>4921</v>
      </c>
      <c r="D1071" t="s">
        <v>462</v>
      </c>
      <c r="E1071">
        <v>2</v>
      </c>
      <c r="F1071">
        <v>189.6</v>
      </c>
      <c r="G1071">
        <v>94.8</v>
      </c>
    </row>
    <row r="1072" spans="1:7" x14ac:dyDescent="0.3">
      <c r="A1072" t="s">
        <v>557</v>
      </c>
      <c r="B1072">
        <v>21021</v>
      </c>
      <c r="C1072" t="s">
        <v>4883</v>
      </c>
      <c r="D1072" t="s">
        <v>462</v>
      </c>
      <c r="E1072">
        <v>9</v>
      </c>
      <c r="F1072">
        <v>1689.84</v>
      </c>
      <c r="G1072">
        <v>187.76</v>
      </c>
    </row>
    <row r="1073" spans="1:7" x14ac:dyDescent="0.3">
      <c r="A1073" t="s">
        <v>557</v>
      </c>
      <c r="B1073">
        <v>21022</v>
      </c>
      <c r="C1073" t="s">
        <v>5351</v>
      </c>
      <c r="D1073" t="s">
        <v>462</v>
      </c>
      <c r="E1073">
        <v>3</v>
      </c>
      <c r="F1073">
        <v>563.28</v>
      </c>
      <c r="G1073">
        <v>187.76</v>
      </c>
    </row>
    <row r="1074" spans="1:7" x14ac:dyDescent="0.3">
      <c r="A1074" t="s">
        <v>557</v>
      </c>
      <c r="B1074">
        <v>25087</v>
      </c>
      <c r="C1074" t="s">
        <v>5356</v>
      </c>
      <c r="D1074" t="s">
        <v>462</v>
      </c>
      <c r="E1074">
        <v>2</v>
      </c>
      <c r="F1074">
        <v>25</v>
      </c>
      <c r="G1074">
        <v>12.5</v>
      </c>
    </row>
    <row r="1075" spans="1:7" x14ac:dyDescent="0.3">
      <c r="A1075" t="s">
        <v>557</v>
      </c>
      <c r="B1075">
        <v>20213</v>
      </c>
      <c r="C1075" t="s">
        <v>5160</v>
      </c>
      <c r="D1075" t="s">
        <v>462</v>
      </c>
      <c r="E1075">
        <v>2</v>
      </c>
      <c r="F1075">
        <v>63.2</v>
      </c>
      <c r="G1075">
        <v>31.6</v>
      </c>
    </row>
    <row r="1076" spans="1:7" x14ac:dyDescent="0.3">
      <c r="A1076" t="s">
        <v>557</v>
      </c>
      <c r="B1076">
        <v>17905</v>
      </c>
      <c r="C1076" t="s">
        <v>5085</v>
      </c>
      <c r="D1076" t="s">
        <v>462</v>
      </c>
      <c r="E1076">
        <v>13</v>
      </c>
      <c r="F1076">
        <v>425.49</v>
      </c>
      <c r="G1076">
        <v>32.729999999999997</v>
      </c>
    </row>
    <row r="1077" spans="1:7" x14ac:dyDescent="0.3">
      <c r="A1077" t="s">
        <v>557</v>
      </c>
      <c r="B1077">
        <v>17903</v>
      </c>
      <c r="C1077" t="s">
        <v>5084</v>
      </c>
      <c r="D1077" t="s">
        <v>462</v>
      </c>
      <c r="E1077">
        <v>7</v>
      </c>
      <c r="F1077">
        <v>222.56</v>
      </c>
      <c r="G1077">
        <v>31.79</v>
      </c>
    </row>
    <row r="1078" spans="1:7" x14ac:dyDescent="0.3">
      <c r="A1078" t="s">
        <v>557</v>
      </c>
      <c r="B1078">
        <v>28659</v>
      </c>
      <c r="C1078" t="s">
        <v>5354</v>
      </c>
      <c r="D1078" t="s">
        <v>462</v>
      </c>
      <c r="E1078">
        <v>1</v>
      </c>
      <c r="F1078">
        <v>247</v>
      </c>
      <c r="G1078">
        <v>247</v>
      </c>
    </row>
    <row r="1079" spans="1:7" x14ac:dyDescent="0.3">
      <c r="A1079" t="s">
        <v>557</v>
      </c>
      <c r="B1079">
        <v>28663</v>
      </c>
      <c r="C1079" t="s">
        <v>5353</v>
      </c>
      <c r="D1079" t="s">
        <v>462</v>
      </c>
      <c r="E1079">
        <v>1</v>
      </c>
      <c r="F1079">
        <v>140</v>
      </c>
      <c r="G1079">
        <v>140</v>
      </c>
    </row>
    <row r="1080" spans="1:7" x14ac:dyDescent="0.3">
      <c r="A1080" t="s">
        <v>557</v>
      </c>
      <c r="B1080">
        <v>27544</v>
      </c>
      <c r="C1080" t="s">
        <v>5338</v>
      </c>
      <c r="D1080" t="s">
        <v>462</v>
      </c>
      <c r="E1080">
        <v>7.4</v>
      </c>
      <c r="F1080">
        <v>288.60000000000002</v>
      </c>
      <c r="G1080">
        <v>39</v>
      </c>
    </row>
    <row r="1081" spans="1:7" x14ac:dyDescent="0.3">
      <c r="A1081" t="s">
        <v>557</v>
      </c>
      <c r="B1081">
        <v>27657</v>
      </c>
      <c r="C1081" t="s">
        <v>5137</v>
      </c>
      <c r="D1081" t="s">
        <v>462</v>
      </c>
      <c r="E1081">
        <v>5.12</v>
      </c>
      <c r="F1081">
        <v>204.54</v>
      </c>
      <c r="G1081">
        <v>39.950000000000003</v>
      </c>
    </row>
    <row r="1082" spans="1:7" x14ac:dyDescent="0.3">
      <c r="A1082" t="s">
        <v>557</v>
      </c>
      <c r="B1082">
        <v>19480</v>
      </c>
      <c r="C1082" t="s">
        <v>5119</v>
      </c>
      <c r="D1082" t="s">
        <v>462</v>
      </c>
      <c r="E1082">
        <v>3.1</v>
      </c>
      <c r="F1082">
        <v>52.7</v>
      </c>
      <c r="G1082">
        <v>17</v>
      </c>
    </row>
    <row r="1083" spans="1:7" x14ac:dyDescent="0.3">
      <c r="A1083" t="s">
        <v>557</v>
      </c>
      <c r="B1083">
        <v>19241</v>
      </c>
      <c r="C1083" t="s">
        <v>4890</v>
      </c>
      <c r="D1083" t="s">
        <v>462</v>
      </c>
      <c r="E1083">
        <v>2</v>
      </c>
      <c r="F1083">
        <v>7.4</v>
      </c>
      <c r="G1083">
        <v>3.7</v>
      </c>
    </row>
    <row r="1084" spans="1:7" x14ac:dyDescent="0.3">
      <c r="A1084" t="s">
        <v>557</v>
      </c>
      <c r="B1084">
        <v>23365</v>
      </c>
      <c r="C1084" t="s">
        <v>5108</v>
      </c>
      <c r="D1084" t="s">
        <v>462</v>
      </c>
      <c r="E1084">
        <v>2</v>
      </c>
      <c r="F1084">
        <v>41</v>
      </c>
      <c r="G1084">
        <v>20.5</v>
      </c>
    </row>
    <row r="1085" spans="1:7" x14ac:dyDescent="0.3">
      <c r="A1085" t="s">
        <v>557</v>
      </c>
      <c r="B1085">
        <v>24320</v>
      </c>
      <c r="C1085" t="s">
        <v>4861</v>
      </c>
      <c r="D1085" t="s">
        <v>462</v>
      </c>
      <c r="E1085">
        <v>6.3</v>
      </c>
      <c r="F1085">
        <v>225.54</v>
      </c>
      <c r="G1085">
        <v>35.799999999999997</v>
      </c>
    </row>
    <row r="1086" spans="1:7" x14ac:dyDescent="0.3">
      <c r="A1086" t="s">
        <v>557</v>
      </c>
      <c r="B1086">
        <v>23361</v>
      </c>
      <c r="C1086" t="s">
        <v>4754</v>
      </c>
      <c r="D1086" t="s">
        <v>462</v>
      </c>
      <c r="E1086">
        <v>257</v>
      </c>
      <c r="F1086">
        <v>764.93</v>
      </c>
      <c r="G1086">
        <v>2.98</v>
      </c>
    </row>
    <row r="1087" spans="1:7" x14ac:dyDescent="0.3">
      <c r="A1087" t="s">
        <v>557</v>
      </c>
      <c r="B1087">
        <v>20657</v>
      </c>
      <c r="C1087" t="s">
        <v>5109</v>
      </c>
      <c r="D1087" t="s">
        <v>462</v>
      </c>
      <c r="E1087">
        <v>17</v>
      </c>
      <c r="F1087">
        <v>120.02</v>
      </c>
      <c r="G1087">
        <v>7.06</v>
      </c>
    </row>
    <row r="1088" spans="1:7" x14ac:dyDescent="0.3">
      <c r="A1088" t="s">
        <v>557</v>
      </c>
      <c r="B1088">
        <v>20661</v>
      </c>
      <c r="C1088" t="s">
        <v>5012</v>
      </c>
      <c r="D1088" t="s">
        <v>462</v>
      </c>
      <c r="E1088">
        <v>4</v>
      </c>
      <c r="F1088">
        <v>33.56</v>
      </c>
      <c r="G1088">
        <v>8.39</v>
      </c>
    </row>
    <row r="1089" spans="1:7" x14ac:dyDescent="0.3">
      <c r="A1089" t="s">
        <v>557</v>
      </c>
      <c r="B1089">
        <v>20653</v>
      </c>
      <c r="C1089" t="s">
        <v>5013</v>
      </c>
      <c r="D1089" t="s">
        <v>462</v>
      </c>
      <c r="E1089">
        <v>2</v>
      </c>
      <c r="F1089">
        <v>51.92</v>
      </c>
      <c r="G1089">
        <v>25.96</v>
      </c>
    </row>
    <row r="1090" spans="1:7" x14ac:dyDescent="0.3">
      <c r="A1090" t="s">
        <v>557</v>
      </c>
      <c r="B1090">
        <v>19434</v>
      </c>
      <c r="C1090" t="s">
        <v>5078</v>
      </c>
      <c r="D1090" t="s">
        <v>462</v>
      </c>
      <c r="E1090">
        <v>2</v>
      </c>
      <c r="F1090">
        <v>52.26</v>
      </c>
      <c r="G1090">
        <v>26.13</v>
      </c>
    </row>
    <row r="1091" spans="1:7" x14ac:dyDescent="0.3">
      <c r="A1091" t="s">
        <v>557</v>
      </c>
      <c r="B1091">
        <v>19421</v>
      </c>
      <c r="C1091" t="s">
        <v>4918</v>
      </c>
      <c r="D1091" t="s">
        <v>462</v>
      </c>
      <c r="E1091">
        <v>52</v>
      </c>
      <c r="F1091">
        <v>654.72</v>
      </c>
      <c r="G1091">
        <v>12.59</v>
      </c>
    </row>
    <row r="1092" spans="1:7" x14ac:dyDescent="0.3">
      <c r="A1092" t="s">
        <v>557</v>
      </c>
      <c r="B1092">
        <v>20014</v>
      </c>
      <c r="C1092" t="s">
        <v>5335</v>
      </c>
      <c r="D1092" t="s">
        <v>462</v>
      </c>
      <c r="E1092">
        <v>1</v>
      </c>
      <c r="F1092">
        <v>11</v>
      </c>
      <c r="G1092">
        <v>11</v>
      </c>
    </row>
    <row r="1093" spans="1:7" x14ac:dyDescent="0.3">
      <c r="A1093" t="s">
        <v>557</v>
      </c>
      <c r="B1093">
        <v>24322</v>
      </c>
      <c r="C1093" t="s">
        <v>5064</v>
      </c>
      <c r="D1093" t="s">
        <v>462</v>
      </c>
      <c r="E1093">
        <v>1</v>
      </c>
      <c r="F1093">
        <v>22</v>
      </c>
      <c r="G1093">
        <v>22</v>
      </c>
    </row>
    <row r="1094" spans="1:7" x14ac:dyDescent="0.3">
      <c r="A1094" t="s">
        <v>557</v>
      </c>
      <c r="B1094">
        <v>20176</v>
      </c>
      <c r="C1094" t="s">
        <v>5175</v>
      </c>
      <c r="D1094" t="s">
        <v>462</v>
      </c>
      <c r="E1094">
        <v>1</v>
      </c>
      <c r="F1094">
        <v>33</v>
      </c>
      <c r="G1094">
        <v>33</v>
      </c>
    </row>
    <row r="1095" spans="1:7" x14ac:dyDescent="0.3">
      <c r="A1095" t="s">
        <v>557</v>
      </c>
      <c r="B1095">
        <v>18327</v>
      </c>
      <c r="C1095" t="s">
        <v>5035</v>
      </c>
      <c r="D1095" t="s">
        <v>462</v>
      </c>
      <c r="E1095">
        <v>1</v>
      </c>
      <c r="F1095">
        <v>98.24</v>
      </c>
      <c r="G1095">
        <v>98.24</v>
      </c>
    </row>
    <row r="1096" spans="1:7" x14ac:dyDescent="0.3">
      <c r="A1096" t="s">
        <v>557</v>
      </c>
      <c r="B1096">
        <v>19752</v>
      </c>
      <c r="C1096" t="s">
        <v>4807</v>
      </c>
      <c r="D1096" t="s">
        <v>462</v>
      </c>
      <c r="E1096">
        <v>8</v>
      </c>
      <c r="F1096">
        <v>51.36</v>
      </c>
      <c r="G1096">
        <v>6.42</v>
      </c>
    </row>
    <row r="1097" spans="1:7" x14ac:dyDescent="0.3">
      <c r="A1097" t="s">
        <v>557</v>
      </c>
      <c r="B1097">
        <v>19751</v>
      </c>
      <c r="C1097" t="s">
        <v>4800</v>
      </c>
      <c r="D1097" t="s">
        <v>462</v>
      </c>
      <c r="E1097">
        <v>16.5</v>
      </c>
      <c r="F1097">
        <v>167.2</v>
      </c>
      <c r="G1097">
        <v>10.130000000000001</v>
      </c>
    </row>
    <row r="1098" spans="1:7" x14ac:dyDescent="0.3">
      <c r="A1098" t="s">
        <v>557</v>
      </c>
      <c r="B1098">
        <v>23359</v>
      </c>
      <c r="C1098" t="s">
        <v>4767</v>
      </c>
      <c r="D1098" t="s">
        <v>462</v>
      </c>
      <c r="E1098">
        <v>135</v>
      </c>
      <c r="F1098">
        <v>296.5</v>
      </c>
      <c r="G1098">
        <v>2.2000000000000002</v>
      </c>
    </row>
    <row r="1099" spans="1:7" x14ac:dyDescent="0.3">
      <c r="A1099" t="s">
        <v>557</v>
      </c>
      <c r="B1099">
        <v>17182</v>
      </c>
      <c r="C1099" t="s">
        <v>5201</v>
      </c>
      <c r="D1099" t="s">
        <v>462</v>
      </c>
      <c r="E1099">
        <v>1</v>
      </c>
      <c r="F1099">
        <v>38.89</v>
      </c>
      <c r="G1099">
        <v>38.89</v>
      </c>
    </row>
    <row r="1100" spans="1:7" x14ac:dyDescent="0.3">
      <c r="A1100" t="s">
        <v>557</v>
      </c>
      <c r="B1100">
        <v>24331</v>
      </c>
      <c r="C1100" t="s">
        <v>5166</v>
      </c>
      <c r="D1100" t="s">
        <v>462</v>
      </c>
      <c r="E1100">
        <v>2</v>
      </c>
      <c r="F1100">
        <v>208.9</v>
      </c>
      <c r="G1100">
        <v>104.45</v>
      </c>
    </row>
    <row r="1101" spans="1:7" x14ac:dyDescent="0.3">
      <c r="A1101" t="s">
        <v>557</v>
      </c>
      <c r="B1101">
        <v>20544</v>
      </c>
      <c r="C1101" t="s">
        <v>4808</v>
      </c>
      <c r="D1101" t="s">
        <v>462</v>
      </c>
      <c r="E1101">
        <v>2</v>
      </c>
      <c r="F1101">
        <v>450</v>
      </c>
      <c r="G1101">
        <v>225</v>
      </c>
    </row>
    <row r="1102" spans="1:7" x14ac:dyDescent="0.3">
      <c r="A1102" t="s">
        <v>557</v>
      </c>
      <c r="B1102">
        <v>24339</v>
      </c>
      <c r="C1102" t="s">
        <v>4885</v>
      </c>
      <c r="D1102" t="s">
        <v>462</v>
      </c>
      <c r="E1102">
        <v>5.4</v>
      </c>
      <c r="F1102">
        <v>148.88999999999999</v>
      </c>
      <c r="G1102">
        <v>27.57</v>
      </c>
    </row>
    <row r="1103" spans="1:7" x14ac:dyDescent="0.3">
      <c r="A1103" t="s">
        <v>557</v>
      </c>
      <c r="B1103">
        <v>20501</v>
      </c>
      <c r="C1103" t="s">
        <v>4760</v>
      </c>
      <c r="D1103" t="s">
        <v>462</v>
      </c>
      <c r="E1103">
        <v>60</v>
      </c>
      <c r="F1103">
        <v>1324.4</v>
      </c>
      <c r="G1103">
        <v>22.07</v>
      </c>
    </row>
    <row r="1104" spans="1:7" x14ac:dyDescent="0.3">
      <c r="A1104" t="s">
        <v>557</v>
      </c>
      <c r="B1104">
        <v>23980</v>
      </c>
      <c r="C1104" t="s">
        <v>5097</v>
      </c>
      <c r="D1104" t="s">
        <v>462</v>
      </c>
      <c r="E1104">
        <v>20</v>
      </c>
      <c r="F1104">
        <v>780</v>
      </c>
      <c r="G1104">
        <v>39</v>
      </c>
    </row>
    <row r="1105" spans="1:7" x14ac:dyDescent="0.3">
      <c r="A1105" t="s">
        <v>557</v>
      </c>
      <c r="B1105">
        <v>17017</v>
      </c>
      <c r="C1105" t="s">
        <v>5199</v>
      </c>
      <c r="D1105" t="s">
        <v>462</v>
      </c>
      <c r="E1105">
        <v>2</v>
      </c>
      <c r="F1105">
        <v>6</v>
      </c>
      <c r="G1105">
        <v>3</v>
      </c>
    </row>
    <row r="1106" spans="1:7" x14ac:dyDescent="0.3">
      <c r="A1106" t="s">
        <v>557</v>
      </c>
      <c r="B1106">
        <v>17504</v>
      </c>
      <c r="C1106" t="s">
        <v>5260</v>
      </c>
      <c r="D1106" t="s">
        <v>462</v>
      </c>
      <c r="E1106">
        <v>2</v>
      </c>
      <c r="F1106">
        <v>42</v>
      </c>
      <c r="G1106">
        <v>21</v>
      </c>
    </row>
    <row r="1107" spans="1:7" x14ac:dyDescent="0.3">
      <c r="A1107" t="s">
        <v>557</v>
      </c>
      <c r="B1107">
        <v>23349</v>
      </c>
      <c r="C1107" t="s">
        <v>4988</v>
      </c>
      <c r="D1107" t="s">
        <v>462</v>
      </c>
      <c r="E1107">
        <v>2</v>
      </c>
      <c r="F1107">
        <v>19.28</v>
      </c>
      <c r="G1107">
        <v>9.64</v>
      </c>
    </row>
    <row r="1108" spans="1:7" x14ac:dyDescent="0.3">
      <c r="A1108" t="s">
        <v>557</v>
      </c>
      <c r="B1108">
        <v>19743</v>
      </c>
      <c r="C1108" t="s">
        <v>5047</v>
      </c>
      <c r="D1108" t="s">
        <v>462</v>
      </c>
      <c r="E1108">
        <v>3.2</v>
      </c>
      <c r="F1108">
        <v>49.32</v>
      </c>
      <c r="G1108">
        <v>15.41</v>
      </c>
    </row>
    <row r="1109" spans="1:7" x14ac:dyDescent="0.3">
      <c r="A1109" t="s">
        <v>557</v>
      </c>
      <c r="B1109">
        <v>20138</v>
      </c>
      <c r="C1109" t="s">
        <v>4886</v>
      </c>
      <c r="D1109" t="s">
        <v>462</v>
      </c>
      <c r="E1109">
        <v>13</v>
      </c>
      <c r="F1109">
        <v>71.2</v>
      </c>
      <c r="G1109">
        <v>5.48</v>
      </c>
    </row>
    <row r="1110" spans="1:7" x14ac:dyDescent="0.3">
      <c r="A1110" t="s">
        <v>557</v>
      </c>
      <c r="B1110">
        <v>25022</v>
      </c>
      <c r="C1110" t="s">
        <v>4912</v>
      </c>
      <c r="D1110" t="s">
        <v>462</v>
      </c>
      <c r="E1110">
        <v>18</v>
      </c>
      <c r="F1110">
        <v>83.8</v>
      </c>
      <c r="G1110">
        <v>4.66</v>
      </c>
    </row>
    <row r="1111" spans="1:7" x14ac:dyDescent="0.3">
      <c r="A1111" t="s">
        <v>557</v>
      </c>
      <c r="B1111">
        <v>20127</v>
      </c>
      <c r="C1111" t="s">
        <v>5350</v>
      </c>
      <c r="D1111" t="s">
        <v>462</v>
      </c>
      <c r="E1111">
        <v>2</v>
      </c>
      <c r="F1111">
        <v>7.4</v>
      </c>
      <c r="G1111">
        <v>3.7</v>
      </c>
    </row>
    <row r="1112" spans="1:7" x14ac:dyDescent="0.3">
      <c r="A1112" t="s">
        <v>557</v>
      </c>
      <c r="B1112">
        <v>20007</v>
      </c>
      <c r="C1112" t="s">
        <v>5101</v>
      </c>
      <c r="D1112" t="s">
        <v>462</v>
      </c>
      <c r="E1112">
        <v>11</v>
      </c>
      <c r="F1112">
        <v>572</v>
      </c>
      <c r="G1112">
        <v>52</v>
      </c>
    </row>
    <row r="1113" spans="1:7" x14ac:dyDescent="0.3">
      <c r="A1113" t="s">
        <v>557</v>
      </c>
      <c r="B1113">
        <v>19742</v>
      </c>
      <c r="C1113" t="s">
        <v>4900</v>
      </c>
      <c r="D1113" t="s">
        <v>462</v>
      </c>
      <c r="E1113">
        <v>7.4</v>
      </c>
      <c r="F1113">
        <v>80.28</v>
      </c>
      <c r="G1113">
        <v>10.85</v>
      </c>
    </row>
    <row r="1114" spans="1:7" x14ac:dyDescent="0.3">
      <c r="A1114" t="s">
        <v>557</v>
      </c>
      <c r="B1114">
        <v>23228</v>
      </c>
      <c r="C1114" t="s">
        <v>4782</v>
      </c>
      <c r="D1114" t="s">
        <v>462</v>
      </c>
      <c r="E1114">
        <v>37</v>
      </c>
      <c r="F1114">
        <v>248.46</v>
      </c>
      <c r="G1114">
        <v>6.72</v>
      </c>
    </row>
    <row r="1115" spans="1:7" x14ac:dyDescent="0.3">
      <c r="A1115" t="s">
        <v>557</v>
      </c>
      <c r="B1115">
        <v>23346</v>
      </c>
      <c r="C1115" t="s">
        <v>4916</v>
      </c>
      <c r="D1115" t="s">
        <v>462</v>
      </c>
      <c r="E1115">
        <v>11</v>
      </c>
      <c r="F1115">
        <v>83.78</v>
      </c>
      <c r="G1115">
        <v>7.62</v>
      </c>
    </row>
    <row r="1116" spans="1:7" x14ac:dyDescent="0.3">
      <c r="A1116" t="s">
        <v>557</v>
      </c>
      <c r="B1116">
        <v>19476</v>
      </c>
      <c r="C1116" t="s">
        <v>5115</v>
      </c>
      <c r="D1116" t="s">
        <v>462</v>
      </c>
      <c r="E1116">
        <v>2.2999999999999998</v>
      </c>
      <c r="F1116">
        <v>154.85</v>
      </c>
      <c r="G1116">
        <v>67.33</v>
      </c>
    </row>
    <row r="1117" spans="1:7" x14ac:dyDescent="0.3">
      <c r="A1117" t="s">
        <v>557</v>
      </c>
      <c r="B1117">
        <v>23088</v>
      </c>
      <c r="C1117" t="s">
        <v>5027</v>
      </c>
      <c r="D1117" t="s">
        <v>462</v>
      </c>
      <c r="E1117">
        <v>4</v>
      </c>
      <c r="F1117">
        <v>98</v>
      </c>
      <c r="G1117">
        <v>24.5</v>
      </c>
    </row>
    <row r="1118" spans="1:7" x14ac:dyDescent="0.3">
      <c r="A1118" t="s">
        <v>557</v>
      </c>
      <c r="B1118">
        <v>19405</v>
      </c>
      <c r="C1118" t="s">
        <v>5158</v>
      </c>
      <c r="D1118" t="s">
        <v>462</v>
      </c>
      <c r="E1118">
        <v>4</v>
      </c>
      <c r="F1118">
        <v>671.6</v>
      </c>
      <c r="G1118">
        <v>167.9</v>
      </c>
    </row>
    <row r="1119" spans="1:7" x14ac:dyDescent="0.3">
      <c r="A1119" t="s">
        <v>557</v>
      </c>
      <c r="B1119">
        <v>19401</v>
      </c>
      <c r="C1119" t="s">
        <v>4809</v>
      </c>
      <c r="D1119" t="s">
        <v>462</v>
      </c>
      <c r="E1119">
        <v>3</v>
      </c>
      <c r="F1119">
        <v>688.88</v>
      </c>
      <c r="G1119">
        <v>229.63</v>
      </c>
    </row>
    <row r="1120" spans="1:7" x14ac:dyDescent="0.3">
      <c r="A1120" t="s">
        <v>557</v>
      </c>
      <c r="B1120">
        <v>19740</v>
      </c>
      <c r="C1120" t="s">
        <v>4779</v>
      </c>
      <c r="D1120" t="s">
        <v>462</v>
      </c>
      <c r="E1120">
        <v>55.1</v>
      </c>
      <c r="F1120">
        <v>491.41</v>
      </c>
      <c r="G1120">
        <v>8.92</v>
      </c>
    </row>
    <row r="1121" spans="1:7" x14ac:dyDescent="0.3">
      <c r="A1121" t="s">
        <v>557</v>
      </c>
      <c r="B1121">
        <v>19415</v>
      </c>
      <c r="C1121" t="s">
        <v>4919</v>
      </c>
      <c r="D1121" t="s">
        <v>462</v>
      </c>
      <c r="E1121">
        <v>7</v>
      </c>
      <c r="F1121">
        <v>61.6</v>
      </c>
      <c r="G1121">
        <v>8.8000000000000007</v>
      </c>
    </row>
    <row r="1122" spans="1:7" x14ac:dyDescent="0.3">
      <c r="A1122" t="s">
        <v>557</v>
      </c>
      <c r="B1122">
        <v>17474</v>
      </c>
      <c r="C1122" t="s">
        <v>5213</v>
      </c>
      <c r="D1122" t="s">
        <v>462</v>
      </c>
      <c r="E1122">
        <v>1</v>
      </c>
      <c r="F1122">
        <v>75</v>
      </c>
      <c r="G1122">
        <v>75</v>
      </c>
    </row>
    <row r="1123" spans="1:7" x14ac:dyDescent="0.3">
      <c r="A1123" t="s">
        <v>557</v>
      </c>
      <c r="B1123">
        <v>24351</v>
      </c>
      <c r="C1123" t="s">
        <v>5014</v>
      </c>
      <c r="D1123" t="s">
        <v>462</v>
      </c>
      <c r="E1123">
        <v>40</v>
      </c>
      <c r="F1123">
        <v>840</v>
      </c>
      <c r="G1123">
        <v>21</v>
      </c>
    </row>
    <row r="1124" spans="1:7" x14ac:dyDescent="0.3">
      <c r="A1124" t="s">
        <v>557</v>
      </c>
      <c r="B1124">
        <v>20122</v>
      </c>
      <c r="C1124" t="s">
        <v>4781</v>
      </c>
      <c r="D1124" t="s">
        <v>462</v>
      </c>
      <c r="E1124">
        <v>9</v>
      </c>
      <c r="F1124">
        <v>129.41999999999999</v>
      </c>
      <c r="G1124">
        <v>14.38</v>
      </c>
    </row>
    <row r="1125" spans="1:7" x14ac:dyDescent="0.3">
      <c r="A1125" t="s">
        <v>557</v>
      </c>
      <c r="B1125">
        <v>20105</v>
      </c>
      <c r="C1125" t="s">
        <v>4831</v>
      </c>
      <c r="D1125" t="s">
        <v>462</v>
      </c>
      <c r="E1125">
        <v>3</v>
      </c>
      <c r="F1125">
        <v>78</v>
      </c>
      <c r="G1125">
        <v>26</v>
      </c>
    </row>
    <row r="1126" spans="1:7" x14ac:dyDescent="0.3">
      <c r="A1126" t="s">
        <v>557</v>
      </c>
      <c r="B1126">
        <v>25075</v>
      </c>
      <c r="C1126" t="s">
        <v>4790</v>
      </c>
      <c r="D1126" t="s">
        <v>462</v>
      </c>
      <c r="E1126">
        <v>15</v>
      </c>
      <c r="F1126">
        <v>127.2</v>
      </c>
      <c r="G1126">
        <v>8.48</v>
      </c>
    </row>
    <row r="1127" spans="1:7" x14ac:dyDescent="0.3">
      <c r="A1127" t="s">
        <v>557</v>
      </c>
      <c r="B1127">
        <v>20887</v>
      </c>
      <c r="C1127" t="s">
        <v>4953</v>
      </c>
      <c r="D1127" t="s">
        <v>462</v>
      </c>
      <c r="E1127">
        <v>4</v>
      </c>
      <c r="F1127">
        <v>146.80000000000001</v>
      </c>
      <c r="G1127">
        <v>36.700000000000003</v>
      </c>
    </row>
    <row r="1128" spans="1:7" x14ac:dyDescent="0.3">
      <c r="A1128" t="s">
        <v>557</v>
      </c>
      <c r="B1128">
        <v>20871</v>
      </c>
      <c r="C1128" t="s">
        <v>5015</v>
      </c>
      <c r="D1128" t="s">
        <v>462</v>
      </c>
      <c r="E1128">
        <v>8</v>
      </c>
      <c r="F1128">
        <v>159.74</v>
      </c>
      <c r="G1128">
        <v>19.97</v>
      </c>
    </row>
    <row r="1129" spans="1:7" x14ac:dyDescent="0.3">
      <c r="A1129" t="s">
        <v>557</v>
      </c>
      <c r="B1129">
        <v>19737</v>
      </c>
      <c r="C1129" t="s">
        <v>4940</v>
      </c>
      <c r="D1129" t="s">
        <v>462</v>
      </c>
      <c r="E1129">
        <v>14.63</v>
      </c>
      <c r="F1129">
        <v>91.62</v>
      </c>
      <c r="G1129">
        <v>6.26</v>
      </c>
    </row>
    <row r="1130" spans="1:7" x14ac:dyDescent="0.3">
      <c r="A1130" t="s">
        <v>557</v>
      </c>
      <c r="B1130">
        <v>19734</v>
      </c>
      <c r="C1130" t="s">
        <v>4833</v>
      </c>
      <c r="D1130" t="s">
        <v>462</v>
      </c>
      <c r="E1130">
        <v>46.55</v>
      </c>
      <c r="F1130">
        <v>624.73</v>
      </c>
      <c r="G1130">
        <v>13.42</v>
      </c>
    </row>
    <row r="1131" spans="1:7" x14ac:dyDescent="0.3">
      <c r="A1131" t="s">
        <v>557</v>
      </c>
      <c r="B1131">
        <v>20644</v>
      </c>
      <c r="C1131" t="s">
        <v>5016</v>
      </c>
      <c r="D1131" t="s">
        <v>462</v>
      </c>
      <c r="E1131">
        <v>6</v>
      </c>
      <c r="F1131">
        <v>23.34</v>
      </c>
      <c r="G1131">
        <v>3.89</v>
      </c>
    </row>
    <row r="1132" spans="1:7" x14ac:dyDescent="0.3">
      <c r="A1132" t="s">
        <v>557</v>
      </c>
      <c r="B1132">
        <v>19978</v>
      </c>
      <c r="C1132" t="s">
        <v>4887</v>
      </c>
      <c r="D1132" t="s">
        <v>462</v>
      </c>
      <c r="E1132">
        <v>2</v>
      </c>
      <c r="F1132">
        <v>42.9</v>
      </c>
      <c r="G1132">
        <v>21.45</v>
      </c>
    </row>
    <row r="1133" spans="1:7" x14ac:dyDescent="0.3">
      <c r="A1133" t="s">
        <v>557</v>
      </c>
      <c r="B1133">
        <v>19979</v>
      </c>
      <c r="C1133" t="s">
        <v>5270</v>
      </c>
      <c r="D1133" t="s">
        <v>462</v>
      </c>
      <c r="E1133">
        <v>8</v>
      </c>
      <c r="F1133">
        <v>171.6</v>
      </c>
      <c r="G1133">
        <v>21.45</v>
      </c>
    </row>
    <row r="1134" spans="1:7" x14ac:dyDescent="0.3">
      <c r="A1134" t="s">
        <v>557</v>
      </c>
      <c r="B1134">
        <v>19982</v>
      </c>
      <c r="C1134" t="s">
        <v>5017</v>
      </c>
      <c r="D1134" t="s">
        <v>462</v>
      </c>
      <c r="E1134">
        <v>1</v>
      </c>
      <c r="F1134">
        <v>7.29</v>
      </c>
      <c r="G1134">
        <v>7.29</v>
      </c>
    </row>
    <row r="1135" spans="1:7" x14ac:dyDescent="0.3">
      <c r="A1135" t="s">
        <v>557</v>
      </c>
      <c r="B1135">
        <v>19969</v>
      </c>
      <c r="C1135" t="s">
        <v>5018</v>
      </c>
      <c r="D1135" t="s">
        <v>462</v>
      </c>
      <c r="E1135">
        <v>1</v>
      </c>
      <c r="F1135">
        <v>10.65</v>
      </c>
      <c r="G1135">
        <v>10.65</v>
      </c>
    </row>
    <row r="1136" spans="1:7" x14ac:dyDescent="0.3">
      <c r="A1136" t="s">
        <v>557</v>
      </c>
      <c r="B1136">
        <v>23335</v>
      </c>
      <c r="C1136" t="s">
        <v>4961</v>
      </c>
      <c r="D1136" t="s">
        <v>462</v>
      </c>
      <c r="E1136">
        <v>6.1</v>
      </c>
      <c r="F1136">
        <v>240.8</v>
      </c>
      <c r="G1136">
        <v>39.479999999999997</v>
      </c>
    </row>
    <row r="1137" spans="1:7" x14ac:dyDescent="0.3">
      <c r="A1137" t="s">
        <v>557</v>
      </c>
      <c r="B1137">
        <v>19967</v>
      </c>
      <c r="C1137" t="s">
        <v>4956</v>
      </c>
      <c r="D1137" t="s">
        <v>462</v>
      </c>
      <c r="E1137">
        <v>5</v>
      </c>
      <c r="F1137">
        <v>246.4</v>
      </c>
      <c r="G1137">
        <v>49.28</v>
      </c>
    </row>
    <row r="1138" spans="1:7" x14ac:dyDescent="0.3">
      <c r="A1138" t="s">
        <v>557</v>
      </c>
      <c r="B1138">
        <v>19965</v>
      </c>
      <c r="C1138" t="s">
        <v>5251</v>
      </c>
      <c r="D1138" t="s">
        <v>462</v>
      </c>
      <c r="E1138">
        <v>4</v>
      </c>
      <c r="F1138">
        <v>53.6</v>
      </c>
      <c r="G1138">
        <v>13.4</v>
      </c>
    </row>
    <row r="1139" spans="1:7" x14ac:dyDescent="0.3">
      <c r="A1139" t="s">
        <v>557</v>
      </c>
      <c r="B1139">
        <v>27397</v>
      </c>
      <c r="C1139" t="s">
        <v>4913</v>
      </c>
      <c r="D1139" t="s">
        <v>462</v>
      </c>
      <c r="E1139">
        <v>14</v>
      </c>
      <c r="F1139">
        <v>858.68</v>
      </c>
      <c r="G1139">
        <v>61.33</v>
      </c>
    </row>
    <row r="1140" spans="1:7" x14ac:dyDescent="0.3">
      <c r="A1140" t="s">
        <v>557</v>
      </c>
      <c r="B1140">
        <v>20984</v>
      </c>
      <c r="C1140" t="s">
        <v>5133</v>
      </c>
      <c r="D1140" t="s">
        <v>462</v>
      </c>
      <c r="E1140">
        <v>54</v>
      </c>
      <c r="F1140">
        <v>440.1</v>
      </c>
      <c r="G1140">
        <v>8.15</v>
      </c>
    </row>
    <row r="1141" spans="1:7" x14ac:dyDescent="0.3">
      <c r="A1141" t="s">
        <v>557</v>
      </c>
      <c r="B1141">
        <v>23096</v>
      </c>
      <c r="C1141" t="s">
        <v>5164</v>
      </c>
      <c r="D1141" t="s">
        <v>462</v>
      </c>
      <c r="E1141">
        <v>480</v>
      </c>
      <c r="F1141">
        <v>328.2</v>
      </c>
      <c r="G1141">
        <v>0.68</v>
      </c>
    </row>
    <row r="1142" spans="1:7" x14ac:dyDescent="0.3">
      <c r="A1142" t="s">
        <v>557</v>
      </c>
      <c r="B1142">
        <v>23095</v>
      </c>
      <c r="C1142" t="s">
        <v>4741</v>
      </c>
      <c r="D1142" t="s">
        <v>462</v>
      </c>
      <c r="E1142">
        <v>390</v>
      </c>
      <c r="F1142">
        <v>493.5</v>
      </c>
      <c r="G1142">
        <v>1.27</v>
      </c>
    </row>
    <row r="1143" spans="1:7" x14ac:dyDescent="0.3">
      <c r="A1143" t="s">
        <v>557</v>
      </c>
      <c r="B1143">
        <v>23785</v>
      </c>
      <c r="C1143" t="s">
        <v>4858</v>
      </c>
      <c r="D1143" t="s">
        <v>462</v>
      </c>
      <c r="E1143">
        <v>13</v>
      </c>
      <c r="F1143">
        <v>499.61</v>
      </c>
      <c r="G1143">
        <v>38.43</v>
      </c>
    </row>
    <row r="1144" spans="1:7" x14ac:dyDescent="0.3">
      <c r="A1144" t="s">
        <v>557</v>
      </c>
      <c r="B1144">
        <v>20623</v>
      </c>
      <c r="C1144" t="s">
        <v>4814</v>
      </c>
      <c r="D1144" t="s">
        <v>462</v>
      </c>
      <c r="E1144">
        <v>40</v>
      </c>
      <c r="F1144">
        <v>495.6</v>
      </c>
      <c r="G1144">
        <v>12.39</v>
      </c>
    </row>
    <row r="1145" spans="1:7" x14ac:dyDescent="0.3">
      <c r="A1145" t="s">
        <v>557</v>
      </c>
      <c r="B1145">
        <v>20624</v>
      </c>
      <c r="C1145" t="s">
        <v>5019</v>
      </c>
      <c r="D1145" t="s">
        <v>462</v>
      </c>
      <c r="E1145">
        <v>3</v>
      </c>
      <c r="F1145">
        <v>211.7</v>
      </c>
      <c r="G1145">
        <v>70.569999999999993</v>
      </c>
    </row>
    <row r="1146" spans="1:7" x14ac:dyDescent="0.3">
      <c r="A1146" t="s">
        <v>557</v>
      </c>
      <c r="B1146">
        <v>17162</v>
      </c>
      <c r="C1146" t="s">
        <v>5255</v>
      </c>
      <c r="D1146" t="s">
        <v>462</v>
      </c>
      <c r="E1146">
        <v>1</v>
      </c>
      <c r="F1146">
        <v>58.9</v>
      </c>
      <c r="G1146">
        <v>58.9</v>
      </c>
    </row>
    <row r="1147" spans="1:7" x14ac:dyDescent="0.3">
      <c r="A1147" t="s">
        <v>557</v>
      </c>
      <c r="B1147">
        <v>27540</v>
      </c>
      <c r="C1147" t="s">
        <v>5339</v>
      </c>
      <c r="D1147" t="s">
        <v>462</v>
      </c>
      <c r="E1147">
        <v>148</v>
      </c>
      <c r="F1147">
        <v>429.2</v>
      </c>
      <c r="G1147">
        <v>2.9</v>
      </c>
    </row>
    <row r="1148" spans="1:7" x14ac:dyDescent="0.3">
      <c r="A1148" t="s">
        <v>557</v>
      </c>
      <c r="B1148">
        <v>17046</v>
      </c>
      <c r="C1148" t="s">
        <v>5194</v>
      </c>
      <c r="D1148" t="s">
        <v>462</v>
      </c>
      <c r="E1148">
        <v>1</v>
      </c>
      <c r="F1148">
        <v>34.5</v>
      </c>
      <c r="G1148">
        <v>34.5</v>
      </c>
    </row>
    <row r="1149" spans="1:7" x14ac:dyDescent="0.3">
      <c r="A1149" t="s">
        <v>557</v>
      </c>
      <c r="B1149">
        <v>17333</v>
      </c>
      <c r="C1149" t="s">
        <v>5211</v>
      </c>
      <c r="D1149" t="s">
        <v>462</v>
      </c>
      <c r="E1149">
        <v>4</v>
      </c>
      <c r="F1149">
        <v>293.64</v>
      </c>
      <c r="G1149">
        <v>73.41</v>
      </c>
    </row>
    <row r="1150" spans="1:7" x14ac:dyDescent="0.3">
      <c r="A1150" t="s">
        <v>557</v>
      </c>
      <c r="B1150">
        <v>17341</v>
      </c>
      <c r="C1150" t="s">
        <v>5291</v>
      </c>
      <c r="D1150" t="s">
        <v>462</v>
      </c>
      <c r="E1150">
        <v>3</v>
      </c>
      <c r="F1150">
        <v>224.4</v>
      </c>
      <c r="G1150">
        <v>74.8</v>
      </c>
    </row>
    <row r="1151" spans="1:7" x14ac:dyDescent="0.3">
      <c r="A1151" t="s">
        <v>557</v>
      </c>
      <c r="B1151">
        <v>27798</v>
      </c>
      <c r="C1151" t="s">
        <v>5257</v>
      </c>
      <c r="D1151" t="s">
        <v>462</v>
      </c>
      <c r="E1151">
        <v>4</v>
      </c>
      <c r="F1151">
        <v>700</v>
      </c>
      <c r="G1151">
        <v>175</v>
      </c>
    </row>
    <row r="1152" spans="1:7" x14ac:dyDescent="0.3">
      <c r="A1152" t="s">
        <v>557</v>
      </c>
      <c r="B1152">
        <v>28703</v>
      </c>
      <c r="C1152" t="s">
        <v>5357</v>
      </c>
      <c r="D1152" t="s">
        <v>462</v>
      </c>
      <c r="E1152">
        <v>2</v>
      </c>
      <c r="F1152">
        <v>56</v>
      </c>
      <c r="G1152">
        <v>28</v>
      </c>
    </row>
    <row r="1153" spans="1:7" x14ac:dyDescent="0.3">
      <c r="A1153" t="s">
        <v>557</v>
      </c>
      <c r="B1153">
        <v>17418</v>
      </c>
      <c r="C1153" t="s">
        <v>5207</v>
      </c>
      <c r="D1153" t="s">
        <v>462</v>
      </c>
      <c r="E1153">
        <v>10</v>
      </c>
      <c r="F1153">
        <v>589</v>
      </c>
      <c r="G1153">
        <v>58.9</v>
      </c>
    </row>
    <row r="1154" spans="1:7" x14ac:dyDescent="0.3">
      <c r="A1154" t="s">
        <v>557</v>
      </c>
      <c r="B1154">
        <v>17416</v>
      </c>
      <c r="C1154" t="s">
        <v>5209</v>
      </c>
      <c r="D1154" t="s">
        <v>462</v>
      </c>
      <c r="E1154">
        <v>4</v>
      </c>
      <c r="F1154">
        <v>194.32</v>
      </c>
      <c r="G1154">
        <v>48.58</v>
      </c>
    </row>
    <row r="1155" spans="1:7" x14ac:dyDescent="0.3">
      <c r="A1155" t="s">
        <v>557</v>
      </c>
      <c r="B1155">
        <v>24505</v>
      </c>
      <c r="C1155" t="s">
        <v>5198</v>
      </c>
      <c r="D1155" t="s">
        <v>462</v>
      </c>
      <c r="E1155">
        <v>20</v>
      </c>
      <c r="F1155">
        <v>99.6</v>
      </c>
      <c r="G1155">
        <v>4.9800000000000004</v>
      </c>
    </row>
    <row r="1156" spans="1:7" x14ac:dyDescent="0.3">
      <c r="A1156" t="s">
        <v>557</v>
      </c>
      <c r="B1156">
        <v>23502</v>
      </c>
      <c r="C1156" t="s">
        <v>4930</v>
      </c>
      <c r="D1156" t="s">
        <v>462</v>
      </c>
      <c r="E1156">
        <v>2</v>
      </c>
      <c r="F1156">
        <v>29.8</v>
      </c>
      <c r="G1156">
        <v>14.9</v>
      </c>
    </row>
    <row r="1157" spans="1:7" x14ac:dyDescent="0.3">
      <c r="A1157" t="s">
        <v>557</v>
      </c>
      <c r="B1157">
        <v>24403</v>
      </c>
      <c r="C1157" t="s">
        <v>5149</v>
      </c>
      <c r="D1157" t="s">
        <v>462</v>
      </c>
      <c r="E1157">
        <v>8</v>
      </c>
      <c r="F1157">
        <v>103.92</v>
      </c>
      <c r="G1157">
        <v>12.99</v>
      </c>
    </row>
    <row r="1158" spans="1:7" x14ac:dyDescent="0.3">
      <c r="A1158" t="s">
        <v>557</v>
      </c>
      <c r="B1158">
        <v>19589</v>
      </c>
      <c r="C1158" t="s">
        <v>4983</v>
      </c>
      <c r="D1158" t="s">
        <v>462</v>
      </c>
      <c r="E1158">
        <v>21.7</v>
      </c>
      <c r="F1158">
        <v>150.79</v>
      </c>
      <c r="G1158">
        <v>6.95</v>
      </c>
    </row>
    <row r="1159" spans="1:7" x14ac:dyDescent="0.3">
      <c r="A1159" t="s">
        <v>557</v>
      </c>
      <c r="B1159">
        <v>17895</v>
      </c>
      <c r="C1159" t="s">
        <v>5086</v>
      </c>
      <c r="D1159" t="s">
        <v>462</v>
      </c>
      <c r="E1159">
        <v>5</v>
      </c>
      <c r="F1159">
        <v>161</v>
      </c>
      <c r="G1159">
        <v>32.200000000000003</v>
      </c>
    </row>
    <row r="1160" spans="1:7" x14ac:dyDescent="0.3">
      <c r="A1160" t="s">
        <v>557</v>
      </c>
      <c r="B1160">
        <v>17886</v>
      </c>
      <c r="C1160" t="s">
        <v>5083</v>
      </c>
      <c r="D1160" t="s">
        <v>462</v>
      </c>
      <c r="E1160">
        <v>17</v>
      </c>
      <c r="F1160">
        <v>547.4</v>
      </c>
      <c r="G1160">
        <v>32.200000000000003</v>
      </c>
    </row>
    <row r="1161" spans="1:7" x14ac:dyDescent="0.3">
      <c r="A1161" t="s">
        <v>557</v>
      </c>
      <c r="B1161">
        <v>19728</v>
      </c>
      <c r="C1161" t="s">
        <v>5106</v>
      </c>
      <c r="D1161" t="s">
        <v>462</v>
      </c>
      <c r="E1161">
        <v>8.1</v>
      </c>
      <c r="F1161">
        <v>97.24</v>
      </c>
      <c r="G1161">
        <v>12</v>
      </c>
    </row>
    <row r="1162" spans="1:7" x14ac:dyDescent="0.3">
      <c r="A1162" t="s">
        <v>557</v>
      </c>
      <c r="B1162">
        <v>18735</v>
      </c>
      <c r="C1162" t="s">
        <v>4891</v>
      </c>
      <c r="D1162" t="s">
        <v>462</v>
      </c>
      <c r="E1162">
        <v>6.35</v>
      </c>
      <c r="F1162">
        <v>698.5</v>
      </c>
      <c r="G1162">
        <v>110</v>
      </c>
    </row>
    <row r="1163" spans="1:7" x14ac:dyDescent="0.3">
      <c r="A1163" t="s">
        <v>557</v>
      </c>
      <c r="B1163">
        <v>18822</v>
      </c>
      <c r="C1163" t="s">
        <v>4811</v>
      </c>
      <c r="D1163" t="s">
        <v>462</v>
      </c>
      <c r="E1163">
        <v>91.8</v>
      </c>
      <c r="F1163">
        <v>9043.84</v>
      </c>
      <c r="G1163">
        <v>98.52</v>
      </c>
    </row>
    <row r="1164" spans="1:7" x14ac:dyDescent="0.3">
      <c r="A1164" t="s">
        <v>557</v>
      </c>
      <c r="B1164">
        <v>25758</v>
      </c>
      <c r="C1164" t="s">
        <v>4775</v>
      </c>
      <c r="D1164" t="s">
        <v>462</v>
      </c>
      <c r="E1164">
        <v>14</v>
      </c>
      <c r="F1164">
        <v>107.1</v>
      </c>
      <c r="G1164">
        <v>7.65</v>
      </c>
    </row>
    <row r="1165" spans="1:7" x14ac:dyDescent="0.3">
      <c r="A1165" t="s">
        <v>557</v>
      </c>
      <c r="B1165">
        <v>27757</v>
      </c>
      <c r="C1165" t="s">
        <v>4942</v>
      </c>
      <c r="D1165" t="s">
        <v>462</v>
      </c>
      <c r="E1165">
        <v>14</v>
      </c>
      <c r="F1165">
        <v>92.54</v>
      </c>
      <c r="G1165">
        <v>6.61</v>
      </c>
    </row>
    <row r="1166" spans="1:7" x14ac:dyDescent="0.3">
      <c r="A1166" t="s">
        <v>557</v>
      </c>
      <c r="B1166">
        <v>25748</v>
      </c>
      <c r="C1166" t="s">
        <v>4999</v>
      </c>
      <c r="D1166" t="s">
        <v>462</v>
      </c>
      <c r="E1166">
        <v>14</v>
      </c>
      <c r="F1166">
        <v>79.099999999999994</v>
      </c>
      <c r="G1166">
        <v>5.65</v>
      </c>
    </row>
    <row r="1167" spans="1:7" x14ac:dyDescent="0.3">
      <c r="A1167" t="s">
        <v>557</v>
      </c>
      <c r="B1167">
        <v>29084</v>
      </c>
      <c r="C1167" t="s">
        <v>5154</v>
      </c>
      <c r="D1167" t="s">
        <v>462</v>
      </c>
      <c r="E1167">
        <v>1</v>
      </c>
      <c r="F1167">
        <v>132.12</v>
      </c>
      <c r="G1167">
        <v>132.12</v>
      </c>
    </row>
    <row r="1168" spans="1:7" x14ac:dyDescent="0.3">
      <c r="A1168" t="s">
        <v>557</v>
      </c>
      <c r="B1168">
        <v>25763</v>
      </c>
      <c r="C1168" t="s">
        <v>4943</v>
      </c>
      <c r="D1168" t="s">
        <v>462</v>
      </c>
      <c r="E1168">
        <v>1</v>
      </c>
      <c r="F1168">
        <v>117.04</v>
      </c>
      <c r="G1168">
        <v>117.04</v>
      </c>
    </row>
    <row r="1169" spans="1:7" x14ac:dyDescent="0.3">
      <c r="A1169" t="s">
        <v>557</v>
      </c>
      <c r="B1169">
        <v>25756</v>
      </c>
      <c r="C1169" t="s">
        <v>4854</v>
      </c>
      <c r="D1169" t="s">
        <v>462</v>
      </c>
      <c r="E1169">
        <v>14</v>
      </c>
      <c r="F1169">
        <v>111.86</v>
      </c>
      <c r="G1169">
        <v>7.99</v>
      </c>
    </row>
    <row r="1170" spans="1:7" x14ac:dyDescent="0.3">
      <c r="A1170" t="s">
        <v>557</v>
      </c>
      <c r="B1170">
        <v>25762</v>
      </c>
      <c r="C1170" t="s">
        <v>4770</v>
      </c>
      <c r="D1170" t="s">
        <v>462</v>
      </c>
      <c r="E1170">
        <v>14</v>
      </c>
      <c r="F1170">
        <v>117.04</v>
      </c>
      <c r="G1170">
        <v>8.36</v>
      </c>
    </row>
    <row r="1171" spans="1:7" x14ac:dyDescent="0.3">
      <c r="A1171" t="s">
        <v>557</v>
      </c>
      <c r="B1171">
        <v>29087</v>
      </c>
      <c r="C1171" t="s">
        <v>5155</v>
      </c>
      <c r="D1171" t="s">
        <v>462</v>
      </c>
      <c r="E1171">
        <v>1</v>
      </c>
      <c r="F1171">
        <v>111.86</v>
      </c>
      <c r="G1171">
        <v>111.86</v>
      </c>
    </row>
    <row r="1172" spans="1:7" x14ac:dyDescent="0.3">
      <c r="A1172" t="s">
        <v>557</v>
      </c>
      <c r="B1172">
        <v>26103</v>
      </c>
      <c r="C1172" t="s">
        <v>4776</v>
      </c>
      <c r="D1172" t="s">
        <v>462</v>
      </c>
      <c r="E1172">
        <v>12</v>
      </c>
      <c r="F1172">
        <v>132.12</v>
      </c>
      <c r="G1172">
        <v>11.01</v>
      </c>
    </row>
    <row r="1173" spans="1:7" x14ac:dyDescent="0.3">
      <c r="A1173" t="s">
        <v>557</v>
      </c>
      <c r="B1173">
        <v>25755</v>
      </c>
      <c r="C1173" t="s">
        <v>4821</v>
      </c>
      <c r="D1173" t="s">
        <v>462</v>
      </c>
      <c r="E1173">
        <v>14</v>
      </c>
      <c r="F1173">
        <v>107.1</v>
      </c>
      <c r="G1173">
        <v>7.65</v>
      </c>
    </row>
    <row r="1174" spans="1:7" x14ac:dyDescent="0.3">
      <c r="A1174" t="s">
        <v>557</v>
      </c>
      <c r="B1174">
        <v>29083</v>
      </c>
      <c r="C1174" t="s">
        <v>5153</v>
      </c>
      <c r="D1174" t="s">
        <v>462</v>
      </c>
      <c r="E1174">
        <v>1</v>
      </c>
      <c r="F1174">
        <v>132.12</v>
      </c>
      <c r="G1174">
        <v>132.12</v>
      </c>
    </row>
    <row r="1175" spans="1:7" x14ac:dyDescent="0.3">
      <c r="A1175" t="s">
        <v>557</v>
      </c>
      <c r="B1175">
        <v>29081</v>
      </c>
      <c r="C1175" t="s">
        <v>5152</v>
      </c>
      <c r="D1175" t="s">
        <v>462</v>
      </c>
      <c r="E1175">
        <v>1</v>
      </c>
      <c r="F1175">
        <v>79.099999999999994</v>
      </c>
      <c r="G1175">
        <v>79.099999999999994</v>
      </c>
    </row>
    <row r="1176" spans="1:7" x14ac:dyDescent="0.3">
      <c r="A1176" t="s">
        <v>557</v>
      </c>
      <c r="B1176">
        <v>25759</v>
      </c>
      <c r="C1176" t="s">
        <v>4877</v>
      </c>
      <c r="D1176" t="s">
        <v>462</v>
      </c>
      <c r="E1176">
        <v>14</v>
      </c>
      <c r="F1176">
        <v>107.1</v>
      </c>
      <c r="G1176">
        <v>7.65</v>
      </c>
    </row>
    <row r="1177" spans="1:7" x14ac:dyDescent="0.3">
      <c r="A1177" t="s">
        <v>557</v>
      </c>
      <c r="B1177">
        <v>25750</v>
      </c>
      <c r="C1177" t="s">
        <v>4908</v>
      </c>
      <c r="D1177" t="s">
        <v>462</v>
      </c>
      <c r="E1177">
        <v>1</v>
      </c>
      <c r="F1177">
        <v>92.54</v>
      </c>
      <c r="G1177">
        <v>92.54</v>
      </c>
    </row>
    <row r="1178" spans="1:7" x14ac:dyDescent="0.3">
      <c r="A1178" t="s">
        <v>557</v>
      </c>
      <c r="B1178">
        <v>19575</v>
      </c>
      <c r="C1178" t="s">
        <v>5120</v>
      </c>
      <c r="D1178" t="s">
        <v>462</v>
      </c>
      <c r="E1178">
        <v>0.4</v>
      </c>
      <c r="F1178">
        <v>12.8</v>
      </c>
      <c r="G1178">
        <v>32</v>
      </c>
    </row>
    <row r="1179" spans="1:7" x14ac:dyDescent="0.3">
      <c r="A1179" t="s">
        <v>557</v>
      </c>
      <c r="B1179">
        <v>19572</v>
      </c>
      <c r="C1179" t="s">
        <v>4989</v>
      </c>
      <c r="D1179" t="s">
        <v>462</v>
      </c>
      <c r="E1179">
        <v>6.1</v>
      </c>
      <c r="F1179">
        <v>67.86</v>
      </c>
      <c r="G1179">
        <v>11.12</v>
      </c>
    </row>
    <row r="1180" spans="1:7" x14ac:dyDescent="0.3">
      <c r="A1180" t="s">
        <v>557</v>
      </c>
      <c r="B1180">
        <v>23494</v>
      </c>
      <c r="C1180" t="s">
        <v>4991</v>
      </c>
      <c r="D1180" t="s">
        <v>462</v>
      </c>
      <c r="E1180">
        <v>1</v>
      </c>
      <c r="F1180">
        <v>78</v>
      </c>
      <c r="G1180">
        <v>78</v>
      </c>
    </row>
    <row r="1181" spans="1:7" x14ac:dyDescent="0.3">
      <c r="A1181" t="s">
        <v>557</v>
      </c>
      <c r="B1181">
        <v>19562</v>
      </c>
      <c r="C1181" t="s">
        <v>4939</v>
      </c>
      <c r="D1181" t="s">
        <v>462</v>
      </c>
      <c r="E1181">
        <v>5.5</v>
      </c>
      <c r="F1181">
        <v>74.53</v>
      </c>
      <c r="G1181">
        <v>13.55</v>
      </c>
    </row>
    <row r="1182" spans="1:7" x14ac:dyDescent="0.3">
      <c r="A1182" t="s">
        <v>557</v>
      </c>
      <c r="B1182">
        <v>23198</v>
      </c>
      <c r="C1182" t="s">
        <v>4962</v>
      </c>
      <c r="D1182" t="s">
        <v>462</v>
      </c>
      <c r="E1182">
        <v>4.4000000000000004</v>
      </c>
      <c r="F1182">
        <v>57.57</v>
      </c>
      <c r="G1182">
        <v>13.08</v>
      </c>
    </row>
    <row r="1183" spans="1:7" x14ac:dyDescent="0.3">
      <c r="A1183" t="s">
        <v>557</v>
      </c>
      <c r="B1183">
        <v>19790</v>
      </c>
      <c r="C1183" t="s">
        <v>5073</v>
      </c>
      <c r="D1183" t="s">
        <v>462</v>
      </c>
      <c r="E1183">
        <v>8</v>
      </c>
      <c r="F1183">
        <v>371.2</v>
      </c>
      <c r="G1183">
        <v>46.4</v>
      </c>
    </row>
    <row r="1184" spans="1:7" x14ac:dyDescent="0.3">
      <c r="A1184" t="s">
        <v>557</v>
      </c>
      <c r="B1184">
        <v>18732</v>
      </c>
      <c r="C1184" t="s">
        <v>5156</v>
      </c>
      <c r="D1184" t="s">
        <v>462</v>
      </c>
      <c r="E1184">
        <v>16.5</v>
      </c>
      <c r="F1184">
        <v>1188</v>
      </c>
      <c r="G1184">
        <v>72</v>
      </c>
    </row>
    <row r="1185" spans="1:7" x14ac:dyDescent="0.3">
      <c r="A1185" t="s">
        <v>557</v>
      </c>
      <c r="B1185">
        <v>26944</v>
      </c>
      <c r="C1185" t="s">
        <v>5325</v>
      </c>
      <c r="D1185" t="s">
        <v>462</v>
      </c>
      <c r="E1185">
        <v>2</v>
      </c>
      <c r="F1185">
        <v>310.92</v>
      </c>
      <c r="G1185">
        <v>155.46</v>
      </c>
    </row>
    <row r="1186" spans="1:7" x14ac:dyDescent="0.3">
      <c r="A1186" t="s">
        <v>557</v>
      </c>
      <c r="B1186">
        <v>25050</v>
      </c>
      <c r="C1186" t="s">
        <v>5110</v>
      </c>
      <c r="D1186" t="s">
        <v>462</v>
      </c>
      <c r="E1186">
        <v>3</v>
      </c>
      <c r="F1186">
        <v>463.8</v>
      </c>
      <c r="G1186">
        <v>154.6</v>
      </c>
    </row>
    <row r="1187" spans="1:7" x14ac:dyDescent="0.3">
      <c r="A1187" t="s">
        <v>557</v>
      </c>
      <c r="B1187">
        <v>19356</v>
      </c>
      <c r="C1187" t="s">
        <v>4799</v>
      </c>
      <c r="D1187" t="s">
        <v>462</v>
      </c>
      <c r="E1187">
        <v>12.12</v>
      </c>
      <c r="F1187">
        <v>701.75</v>
      </c>
      <c r="G1187">
        <v>57.9</v>
      </c>
    </row>
    <row r="1188" spans="1:7" x14ac:dyDescent="0.3">
      <c r="A1188" t="s">
        <v>557</v>
      </c>
      <c r="B1188">
        <v>19251</v>
      </c>
      <c r="C1188" t="s">
        <v>5336</v>
      </c>
      <c r="D1188" t="s">
        <v>462</v>
      </c>
      <c r="E1188">
        <v>3</v>
      </c>
      <c r="F1188">
        <v>55.8</v>
      </c>
      <c r="G1188">
        <v>18.600000000000001</v>
      </c>
    </row>
    <row r="1189" spans="1:7" x14ac:dyDescent="0.3">
      <c r="A1189" t="s">
        <v>557</v>
      </c>
      <c r="B1189">
        <v>19306</v>
      </c>
      <c r="C1189" t="s">
        <v>5111</v>
      </c>
      <c r="D1189" t="s">
        <v>462</v>
      </c>
      <c r="E1189">
        <v>2</v>
      </c>
      <c r="F1189">
        <v>35.979999999999997</v>
      </c>
      <c r="G1189">
        <v>17.989999999999998</v>
      </c>
    </row>
    <row r="1190" spans="1:7" x14ac:dyDescent="0.3">
      <c r="A1190" t="s">
        <v>557</v>
      </c>
      <c r="B1190">
        <v>24390</v>
      </c>
      <c r="C1190" t="s">
        <v>5337</v>
      </c>
      <c r="D1190" t="s">
        <v>462</v>
      </c>
      <c r="E1190">
        <v>16.66</v>
      </c>
      <c r="F1190">
        <v>695.11</v>
      </c>
      <c r="G1190">
        <v>41.72</v>
      </c>
    </row>
    <row r="1191" spans="1:7" x14ac:dyDescent="0.3">
      <c r="A1191" t="s">
        <v>557</v>
      </c>
      <c r="B1191">
        <v>19324</v>
      </c>
      <c r="C1191" t="s">
        <v>5157</v>
      </c>
      <c r="D1191" t="s">
        <v>462</v>
      </c>
      <c r="E1191">
        <v>12.66</v>
      </c>
      <c r="F1191">
        <v>543.75</v>
      </c>
      <c r="G1191">
        <v>42.95</v>
      </c>
    </row>
    <row r="1192" spans="1:7" x14ac:dyDescent="0.3">
      <c r="A1192" t="s">
        <v>557</v>
      </c>
      <c r="B1192">
        <v>19291</v>
      </c>
      <c r="C1192" t="s">
        <v>4870</v>
      </c>
      <c r="D1192" t="s">
        <v>462</v>
      </c>
      <c r="E1192">
        <v>7.96</v>
      </c>
      <c r="F1192">
        <v>596.20000000000005</v>
      </c>
      <c r="G1192">
        <v>74.900000000000006</v>
      </c>
    </row>
    <row r="1193" spans="1:7" x14ac:dyDescent="0.3">
      <c r="A1193" t="s">
        <v>557</v>
      </c>
      <c r="B1193">
        <v>24449</v>
      </c>
      <c r="C1193" t="s">
        <v>5360</v>
      </c>
      <c r="D1193" t="s">
        <v>462</v>
      </c>
      <c r="E1193">
        <v>7.2</v>
      </c>
      <c r="F1193">
        <v>510.48</v>
      </c>
      <c r="G1193">
        <v>70.900000000000006</v>
      </c>
    </row>
    <row r="1194" spans="1:7" x14ac:dyDescent="0.3">
      <c r="A1194" t="s">
        <v>557</v>
      </c>
      <c r="B1194">
        <v>19558</v>
      </c>
      <c r="C1194" t="s">
        <v>4994</v>
      </c>
      <c r="D1194" t="s">
        <v>462</v>
      </c>
      <c r="E1194">
        <v>5</v>
      </c>
      <c r="F1194">
        <v>77</v>
      </c>
      <c r="G1194">
        <v>15.4</v>
      </c>
    </row>
    <row r="1195" spans="1:7" x14ac:dyDescent="0.3">
      <c r="A1195" t="s">
        <v>557</v>
      </c>
      <c r="B1195">
        <v>23195</v>
      </c>
      <c r="C1195" t="s">
        <v>5051</v>
      </c>
      <c r="D1195" t="s">
        <v>462</v>
      </c>
      <c r="E1195">
        <v>2</v>
      </c>
      <c r="F1195">
        <v>24.5</v>
      </c>
      <c r="G1195">
        <v>12.25</v>
      </c>
    </row>
    <row r="1196" spans="1:7" x14ac:dyDescent="0.3">
      <c r="A1196" t="s">
        <v>557</v>
      </c>
      <c r="B1196">
        <v>19555</v>
      </c>
      <c r="C1196" t="s">
        <v>4903</v>
      </c>
      <c r="D1196" t="s">
        <v>462</v>
      </c>
      <c r="E1196">
        <v>1</v>
      </c>
      <c r="F1196">
        <v>22</v>
      </c>
      <c r="G1196">
        <v>22</v>
      </c>
    </row>
    <row r="1197" spans="1:7" x14ac:dyDescent="0.3">
      <c r="A1197" t="s">
        <v>557</v>
      </c>
      <c r="B1197">
        <v>23934</v>
      </c>
      <c r="C1197" t="s">
        <v>4845</v>
      </c>
      <c r="D1197" t="s">
        <v>462</v>
      </c>
      <c r="E1197">
        <v>11</v>
      </c>
      <c r="F1197">
        <v>119.9</v>
      </c>
      <c r="G1197">
        <v>10.9</v>
      </c>
    </row>
    <row r="1198" spans="1:7" x14ac:dyDescent="0.3">
      <c r="A1198" t="s">
        <v>557</v>
      </c>
      <c r="B1198">
        <v>19553</v>
      </c>
      <c r="C1198" t="s">
        <v>4868</v>
      </c>
      <c r="D1198" t="s">
        <v>462</v>
      </c>
      <c r="E1198">
        <v>3</v>
      </c>
      <c r="F1198">
        <v>17.399999999999999</v>
      </c>
      <c r="G1198">
        <v>5.8</v>
      </c>
    </row>
    <row r="1199" spans="1:7" x14ac:dyDescent="0.3">
      <c r="A1199" t="s">
        <v>557</v>
      </c>
      <c r="B1199">
        <v>19552</v>
      </c>
      <c r="C1199" t="s">
        <v>4860</v>
      </c>
      <c r="D1199" t="s">
        <v>462</v>
      </c>
      <c r="E1199">
        <v>3</v>
      </c>
      <c r="F1199">
        <v>23.5</v>
      </c>
      <c r="G1199">
        <v>7.83</v>
      </c>
    </row>
    <row r="1200" spans="1:7" x14ac:dyDescent="0.3">
      <c r="A1200" t="s">
        <v>557</v>
      </c>
      <c r="B1200">
        <v>26005</v>
      </c>
      <c r="C1200" t="s">
        <v>4907</v>
      </c>
      <c r="D1200" t="s">
        <v>462</v>
      </c>
      <c r="E1200">
        <v>14</v>
      </c>
      <c r="F1200">
        <v>151.47999999999999</v>
      </c>
      <c r="G1200">
        <v>10.82</v>
      </c>
    </row>
    <row r="1201" spans="1:7" x14ac:dyDescent="0.3">
      <c r="A1201" t="s">
        <v>557</v>
      </c>
      <c r="B1201">
        <v>19472</v>
      </c>
      <c r="C1201" t="s">
        <v>4906</v>
      </c>
      <c r="D1201" t="s">
        <v>462</v>
      </c>
      <c r="E1201">
        <v>21.7</v>
      </c>
      <c r="F1201">
        <v>437.95</v>
      </c>
      <c r="G1201">
        <v>20.18</v>
      </c>
    </row>
    <row r="1202" spans="1:7" x14ac:dyDescent="0.3">
      <c r="A1202" t="s">
        <v>557</v>
      </c>
      <c r="B1202">
        <v>17129</v>
      </c>
      <c r="C1202" t="s">
        <v>5202</v>
      </c>
      <c r="D1202" t="s">
        <v>462</v>
      </c>
      <c r="E1202">
        <v>2</v>
      </c>
      <c r="F1202">
        <v>53.22</v>
      </c>
      <c r="G1202">
        <v>26.61</v>
      </c>
    </row>
    <row r="1203" spans="1:7" x14ac:dyDescent="0.3">
      <c r="A1203" t="s">
        <v>557</v>
      </c>
      <c r="B1203">
        <v>25425</v>
      </c>
      <c r="C1203" t="s">
        <v>5345</v>
      </c>
      <c r="D1203" t="s">
        <v>462</v>
      </c>
      <c r="E1203">
        <v>1</v>
      </c>
      <c r="F1203">
        <v>65</v>
      </c>
      <c r="G1203">
        <v>65</v>
      </c>
    </row>
    <row r="1204" spans="1:7" x14ac:dyDescent="0.3">
      <c r="A1204" t="s">
        <v>557</v>
      </c>
      <c r="B1204">
        <v>17437</v>
      </c>
      <c r="C1204" t="s">
        <v>5203</v>
      </c>
      <c r="D1204" t="s">
        <v>462</v>
      </c>
      <c r="E1204">
        <v>70</v>
      </c>
      <c r="F1204">
        <v>161</v>
      </c>
      <c r="G1204">
        <v>2.2999999999999998</v>
      </c>
    </row>
    <row r="1205" spans="1:7" x14ac:dyDescent="0.3">
      <c r="A1205" t="s">
        <v>557</v>
      </c>
      <c r="B1205">
        <v>21432</v>
      </c>
      <c r="C1205" t="s">
        <v>5346</v>
      </c>
      <c r="D1205" t="s">
        <v>462</v>
      </c>
      <c r="E1205">
        <v>2</v>
      </c>
      <c r="F1205">
        <v>230</v>
      </c>
      <c r="G1205">
        <v>115</v>
      </c>
    </row>
    <row r="1206" spans="1:7" x14ac:dyDescent="0.3">
      <c r="A1206" t="s">
        <v>557</v>
      </c>
      <c r="B1206">
        <v>21433</v>
      </c>
      <c r="C1206" t="s">
        <v>5250</v>
      </c>
      <c r="D1206" t="s">
        <v>462</v>
      </c>
      <c r="E1206">
        <v>2</v>
      </c>
      <c r="F1206">
        <v>210</v>
      </c>
      <c r="G1206">
        <v>105</v>
      </c>
    </row>
    <row r="1207" spans="1:7" x14ac:dyDescent="0.3">
      <c r="A1207" t="s">
        <v>557</v>
      </c>
      <c r="B1207">
        <v>21423</v>
      </c>
      <c r="C1207" t="s">
        <v>5248</v>
      </c>
      <c r="D1207" t="s">
        <v>462</v>
      </c>
      <c r="E1207">
        <v>8</v>
      </c>
      <c r="F1207">
        <v>254.56</v>
      </c>
      <c r="G1207">
        <v>31.82</v>
      </c>
    </row>
    <row r="1208" spans="1:7" x14ac:dyDescent="0.3">
      <c r="A1208" t="s">
        <v>557</v>
      </c>
      <c r="B1208">
        <v>17399</v>
      </c>
      <c r="C1208" t="s">
        <v>5244</v>
      </c>
      <c r="D1208" t="s">
        <v>462</v>
      </c>
      <c r="E1208">
        <v>1</v>
      </c>
      <c r="F1208">
        <v>18.899999999999999</v>
      </c>
      <c r="G1208">
        <v>18.899999999999999</v>
      </c>
    </row>
    <row r="1209" spans="1:7" x14ac:dyDescent="0.3">
      <c r="A1209" t="s">
        <v>557</v>
      </c>
      <c r="B1209">
        <v>17397</v>
      </c>
      <c r="C1209" t="s">
        <v>5246</v>
      </c>
      <c r="D1209" t="s">
        <v>462</v>
      </c>
      <c r="E1209">
        <v>2</v>
      </c>
      <c r="F1209">
        <v>63.64</v>
      </c>
      <c r="G1209">
        <v>31.82</v>
      </c>
    </row>
    <row r="1210" spans="1:7" x14ac:dyDescent="0.3">
      <c r="A1210" t="s">
        <v>557</v>
      </c>
      <c r="B1210">
        <v>24787</v>
      </c>
      <c r="C1210" t="s">
        <v>5212</v>
      </c>
      <c r="D1210" t="s">
        <v>462</v>
      </c>
      <c r="E1210">
        <v>7</v>
      </c>
      <c r="F1210">
        <v>575.47</v>
      </c>
      <c r="G1210">
        <v>82.21</v>
      </c>
    </row>
    <row r="1211" spans="1:7" x14ac:dyDescent="0.3">
      <c r="A1211" t="s">
        <v>557</v>
      </c>
      <c r="B1211">
        <v>24931</v>
      </c>
      <c r="C1211" t="s">
        <v>5308</v>
      </c>
      <c r="D1211" t="s">
        <v>462</v>
      </c>
      <c r="E1211">
        <v>1</v>
      </c>
      <c r="F1211">
        <v>45</v>
      </c>
      <c r="G1211">
        <v>45</v>
      </c>
    </row>
    <row r="1212" spans="1:7" x14ac:dyDescent="0.3">
      <c r="A1212" t="s">
        <v>557</v>
      </c>
      <c r="B1212">
        <v>17383</v>
      </c>
      <c r="C1212" t="s">
        <v>5355</v>
      </c>
      <c r="D1212" t="s">
        <v>462</v>
      </c>
      <c r="E1212">
        <v>1</v>
      </c>
      <c r="F1212">
        <v>45</v>
      </c>
      <c r="G1212">
        <v>45</v>
      </c>
    </row>
    <row r="1213" spans="1:7" x14ac:dyDescent="0.3">
      <c r="A1213" t="s">
        <v>557</v>
      </c>
      <c r="B1213">
        <v>17391</v>
      </c>
      <c r="C1213" t="s">
        <v>5254</v>
      </c>
      <c r="D1213" t="s">
        <v>462</v>
      </c>
      <c r="E1213">
        <v>1</v>
      </c>
      <c r="F1213">
        <v>58.55</v>
      </c>
      <c r="G1213">
        <v>58.55</v>
      </c>
    </row>
    <row r="1214" spans="1:7" x14ac:dyDescent="0.3">
      <c r="A1214" t="s">
        <v>557</v>
      </c>
      <c r="B1214">
        <v>19916</v>
      </c>
      <c r="C1214" t="s">
        <v>4826</v>
      </c>
      <c r="D1214" t="s">
        <v>462</v>
      </c>
      <c r="E1214">
        <v>2</v>
      </c>
      <c r="F1214">
        <v>75.2</v>
      </c>
      <c r="G1214">
        <v>37.6</v>
      </c>
    </row>
    <row r="1215" spans="1:7" x14ac:dyDescent="0.3">
      <c r="A1215" t="s">
        <v>557</v>
      </c>
      <c r="B1215">
        <v>19906</v>
      </c>
      <c r="C1215" t="s">
        <v>5159</v>
      </c>
      <c r="D1215" t="s">
        <v>462</v>
      </c>
      <c r="E1215">
        <v>2</v>
      </c>
      <c r="F1215">
        <v>75.2</v>
      </c>
      <c r="G1215">
        <v>37.6</v>
      </c>
    </row>
    <row r="1216" spans="1:7" x14ac:dyDescent="0.3">
      <c r="A1216" t="s">
        <v>557</v>
      </c>
      <c r="B1216">
        <v>23113</v>
      </c>
      <c r="C1216" t="s">
        <v>5074</v>
      </c>
      <c r="D1216" t="s">
        <v>462</v>
      </c>
      <c r="E1216">
        <v>8.3000000000000007</v>
      </c>
      <c r="F1216">
        <v>100.99</v>
      </c>
      <c r="G1216">
        <v>12.17</v>
      </c>
    </row>
    <row r="1217" spans="1:7" x14ac:dyDescent="0.3">
      <c r="A1217" t="s">
        <v>557</v>
      </c>
      <c r="B1217">
        <v>19465</v>
      </c>
      <c r="C1217" t="s">
        <v>5114</v>
      </c>
      <c r="D1217" t="s">
        <v>462</v>
      </c>
      <c r="E1217">
        <v>2.35</v>
      </c>
      <c r="F1217">
        <v>13.63</v>
      </c>
      <c r="G1217">
        <v>5.8</v>
      </c>
    </row>
    <row r="1218" spans="1:7" x14ac:dyDescent="0.3">
      <c r="A1218" t="s">
        <v>557</v>
      </c>
      <c r="B1218">
        <v>18253</v>
      </c>
      <c r="C1218" t="s">
        <v>4969</v>
      </c>
      <c r="D1218" t="s">
        <v>462</v>
      </c>
      <c r="E1218">
        <v>4</v>
      </c>
      <c r="F1218">
        <v>113.6</v>
      </c>
      <c r="G1218">
        <v>28.4</v>
      </c>
    </row>
    <row r="1219" spans="1:7" x14ac:dyDescent="0.3">
      <c r="A1219" t="s">
        <v>557</v>
      </c>
      <c r="B1219">
        <v>17212</v>
      </c>
      <c r="C1219" t="s">
        <v>5322</v>
      </c>
      <c r="D1219" t="s">
        <v>462</v>
      </c>
      <c r="E1219">
        <v>1</v>
      </c>
      <c r="F1219">
        <v>230</v>
      </c>
      <c r="G1219">
        <v>230</v>
      </c>
    </row>
    <row r="1220" spans="1:7" x14ac:dyDescent="0.3">
      <c r="A1220" t="s">
        <v>557</v>
      </c>
      <c r="B1220">
        <v>17883</v>
      </c>
      <c r="C1220" t="s">
        <v>5113</v>
      </c>
      <c r="D1220" t="s">
        <v>462</v>
      </c>
      <c r="E1220">
        <v>8</v>
      </c>
      <c r="F1220">
        <v>261.2</v>
      </c>
      <c r="G1220">
        <v>32.65</v>
      </c>
    </row>
    <row r="1221" spans="1:7" x14ac:dyDescent="0.3">
      <c r="A1221" t="s">
        <v>557</v>
      </c>
      <c r="B1221">
        <v>17881</v>
      </c>
      <c r="C1221" t="s">
        <v>5103</v>
      </c>
      <c r="D1221" t="s">
        <v>462</v>
      </c>
      <c r="E1221">
        <v>7</v>
      </c>
      <c r="F1221">
        <v>228.55</v>
      </c>
      <c r="G1221">
        <v>32.65</v>
      </c>
    </row>
    <row r="1222" spans="1:7" x14ac:dyDescent="0.3">
      <c r="A1222" t="s">
        <v>557</v>
      </c>
      <c r="B1222">
        <v>18589</v>
      </c>
      <c r="C1222" t="s">
        <v>5089</v>
      </c>
      <c r="D1222" t="s">
        <v>462</v>
      </c>
      <c r="E1222">
        <v>2</v>
      </c>
      <c r="F1222">
        <v>134.78</v>
      </c>
      <c r="G1222">
        <v>67.39</v>
      </c>
    </row>
    <row r="1223" spans="1:7" x14ac:dyDescent="0.3">
      <c r="A1223" t="s">
        <v>557</v>
      </c>
      <c r="B1223">
        <v>18586</v>
      </c>
      <c r="C1223" t="s">
        <v>4966</v>
      </c>
      <c r="D1223" t="s">
        <v>462</v>
      </c>
      <c r="E1223">
        <v>1</v>
      </c>
      <c r="F1223">
        <v>107.63</v>
      </c>
      <c r="G1223">
        <v>107.63</v>
      </c>
    </row>
    <row r="1224" spans="1:7" x14ac:dyDescent="0.3">
      <c r="A1224" t="s">
        <v>557</v>
      </c>
      <c r="B1224">
        <v>17878</v>
      </c>
      <c r="C1224" t="s">
        <v>4926</v>
      </c>
      <c r="D1224" t="s">
        <v>462</v>
      </c>
      <c r="E1224">
        <v>5</v>
      </c>
      <c r="F1224">
        <v>98.49</v>
      </c>
      <c r="G1224">
        <v>19.7</v>
      </c>
    </row>
    <row r="1225" spans="1:7" x14ac:dyDescent="0.3">
      <c r="A1225" t="s">
        <v>557</v>
      </c>
      <c r="B1225">
        <v>20787</v>
      </c>
      <c r="C1225" t="s">
        <v>5333</v>
      </c>
      <c r="D1225" t="s">
        <v>462</v>
      </c>
      <c r="E1225">
        <v>1</v>
      </c>
      <c r="F1225">
        <v>10.29</v>
      </c>
      <c r="G1225">
        <v>10.29</v>
      </c>
    </row>
    <row r="1226" spans="1:7" x14ac:dyDescent="0.3">
      <c r="A1226" t="s">
        <v>557</v>
      </c>
      <c r="B1226">
        <v>20792</v>
      </c>
      <c r="C1226" t="s">
        <v>5022</v>
      </c>
      <c r="D1226" t="s">
        <v>462</v>
      </c>
      <c r="E1226">
        <v>1</v>
      </c>
      <c r="F1226">
        <v>10.29</v>
      </c>
      <c r="G1226">
        <v>10.29</v>
      </c>
    </row>
    <row r="1227" spans="1:7" x14ac:dyDescent="0.3">
      <c r="A1227" t="s">
        <v>557</v>
      </c>
      <c r="B1227">
        <v>19551</v>
      </c>
      <c r="C1227" t="s">
        <v>4905</v>
      </c>
      <c r="D1227" t="s">
        <v>462</v>
      </c>
      <c r="E1227">
        <v>11.42</v>
      </c>
      <c r="F1227">
        <v>181.73</v>
      </c>
      <c r="G1227">
        <v>15.91</v>
      </c>
    </row>
    <row r="1228" spans="1:7" x14ac:dyDescent="0.3">
      <c r="A1228" t="s">
        <v>557</v>
      </c>
      <c r="B1228">
        <v>23184</v>
      </c>
      <c r="C1228" t="s">
        <v>4935</v>
      </c>
      <c r="D1228" t="s">
        <v>462</v>
      </c>
      <c r="E1228">
        <v>13</v>
      </c>
      <c r="F1228">
        <v>188.38</v>
      </c>
      <c r="G1228">
        <v>14.49</v>
      </c>
    </row>
    <row r="1229" spans="1:7" x14ac:dyDescent="0.3">
      <c r="A1229" t="s">
        <v>557</v>
      </c>
      <c r="B1229">
        <v>28587</v>
      </c>
      <c r="C1229" t="s">
        <v>5359</v>
      </c>
      <c r="D1229" t="s">
        <v>462</v>
      </c>
      <c r="E1229">
        <v>10</v>
      </c>
      <c r="F1229">
        <v>106.3</v>
      </c>
      <c r="G1229">
        <v>10.63</v>
      </c>
    </row>
    <row r="1230" spans="1:7" x14ac:dyDescent="0.3">
      <c r="A1230" t="s">
        <v>557</v>
      </c>
      <c r="B1230">
        <v>19532</v>
      </c>
      <c r="C1230" t="s">
        <v>4753</v>
      </c>
      <c r="D1230" t="s">
        <v>462</v>
      </c>
      <c r="E1230">
        <v>204</v>
      </c>
      <c r="F1230">
        <v>1876.61</v>
      </c>
      <c r="G1230">
        <v>9.1999999999999993</v>
      </c>
    </row>
    <row r="1231" spans="1:7" x14ac:dyDescent="0.3">
      <c r="A1231" t="s">
        <v>557</v>
      </c>
      <c r="B1231">
        <v>20589</v>
      </c>
      <c r="C1231" t="s">
        <v>5334</v>
      </c>
      <c r="D1231" t="s">
        <v>462</v>
      </c>
      <c r="E1231">
        <v>1</v>
      </c>
      <c r="F1231">
        <v>29</v>
      </c>
      <c r="G1231">
        <v>29</v>
      </c>
    </row>
    <row r="1232" spans="1:7" x14ac:dyDescent="0.3">
      <c r="A1232" t="s">
        <v>557</v>
      </c>
      <c r="B1232">
        <v>23108</v>
      </c>
      <c r="C1232" t="s">
        <v>5117</v>
      </c>
      <c r="D1232" t="s">
        <v>462</v>
      </c>
      <c r="E1232">
        <v>0.85</v>
      </c>
      <c r="F1232">
        <v>75.099999999999994</v>
      </c>
      <c r="G1232">
        <v>88.35</v>
      </c>
    </row>
    <row r="1233" spans="1:7" x14ac:dyDescent="0.3">
      <c r="A1233" t="s">
        <v>557</v>
      </c>
      <c r="B1233">
        <v>25205</v>
      </c>
      <c r="C1233" t="s">
        <v>4850</v>
      </c>
      <c r="D1233" t="s">
        <v>462</v>
      </c>
      <c r="E1233">
        <v>5.6</v>
      </c>
      <c r="F1233">
        <v>100.24</v>
      </c>
      <c r="G1233">
        <v>17.899999999999999</v>
      </c>
    </row>
    <row r="1234" spans="1:7" x14ac:dyDescent="0.3">
      <c r="A1234" t="s">
        <v>557</v>
      </c>
      <c r="B1234">
        <v>19710</v>
      </c>
      <c r="C1234" t="s">
        <v>4963</v>
      </c>
      <c r="D1234" t="s">
        <v>462</v>
      </c>
      <c r="E1234">
        <v>1</v>
      </c>
      <c r="F1234">
        <v>21.5</v>
      </c>
      <c r="G1234">
        <v>21.5</v>
      </c>
    </row>
    <row r="1235" spans="1:7" x14ac:dyDescent="0.3">
      <c r="A1235" t="s">
        <v>557</v>
      </c>
      <c r="B1235">
        <v>19707</v>
      </c>
      <c r="C1235" t="s">
        <v>5266</v>
      </c>
      <c r="D1235" t="s">
        <v>462</v>
      </c>
      <c r="E1235">
        <v>1</v>
      </c>
      <c r="F1235">
        <v>22.21</v>
      </c>
      <c r="G1235">
        <v>22.21</v>
      </c>
    </row>
    <row r="1236" spans="1:7" x14ac:dyDescent="0.3">
      <c r="A1236" t="s">
        <v>557</v>
      </c>
      <c r="B1236">
        <v>24489</v>
      </c>
      <c r="C1236" t="s">
        <v>5121</v>
      </c>
      <c r="D1236" t="s">
        <v>462</v>
      </c>
      <c r="E1236">
        <v>5</v>
      </c>
      <c r="F1236">
        <v>146</v>
      </c>
      <c r="G1236">
        <v>29.2</v>
      </c>
    </row>
    <row r="1237" spans="1:7" x14ac:dyDescent="0.3">
      <c r="A1237" t="s">
        <v>557</v>
      </c>
      <c r="B1237">
        <v>26928</v>
      </c>
      <c r="C1237" t="s">
        <v>5298</v>
      </c>
      <c r="D1237" t="s">
        <v>462</v>
      </c>
      <c r="E1237">
        <v>1</v>
      </c>
      <c r="F1237">
        <v>9.5399999999999991</v>
      </c>
      <c r="G1237">
        <v>9.5399999999999991</v>
      </c>
    </row>
    <row r="1238" spans="1:7" x14ac:dyDescent="0.3">
      <c r="A1238" t="s">
        <v>557</v>
      </c>
      <c r="B1238">
        <v>17069</v>
      </c>
      <c r="C1238" t="s">
        <v>5362</v>
      </c>
      <c r="D1238" t="s">
        <v>462</v>
      </c>
      <c r="E1238">
        <v>1</v>
      </c>
      <c r="F1238">
        <v>475</v>
      </c>
      <c r="G1238">
        <v>475</v>
      </c>
    </row>
    <row r="1239" spans="1:7" x14ac:dyDescent="0.3">
      <c r="A1239" t="s">
        <v>557</v>
      </c>
      <c r="B1239">
        <v>18220</v>
      </c>
      <c r="C1239" t="s">
        <v>5147</v>
      </c>
      <c r="D1239" t="s">
        <v>462</v>
      </c>
      <c r="E1239">
        <v>5</v>
      </c>
      <c r="F1239">
        <v>374.95</v>
      </c>
      <c r="G1239">
        <v>74.989999999999995</v>
      </c>
    </row>
    <row r="1240" spans="1:7" x14ac:dyDescent="0.3">
      <c r="A1240" t="s">
        <v>557</v>
      </c>
      <c r="B1240">
        <v>23884</v>
      </c>
      <c r="C1240" t="s">
        <v>5070</v>
      </c>
      <c r="D1240" t="s">
        <v>462</v>
      </c>
      <c r="E1240">
        <v>2</v>
      </c>
      <c r="F1240">
        <v>17.739999999999998</v>
      </c>
      <c r="G1240">
        <v>8.8699999999999992</v>
      </c>
    </row>
    <row r="1241" spans="1:7" x14ac:dyDescent="0.3">
      <c r="A1241" t="s">
        <v>557</v>
      </c>
      <c r="B1241">
        <v>28256</v>
      </c>
      <c r="C1241" t="s">
        <v>5358</v>
      </c>
      <c r="D1241" t="s">
        <v>462</v>
      </c>
      <c r="E1241">
        <v>11</v>
      </c>
      <c r="F1241">
        <v>607.75</v>
      </c>
      <c r="G1241">
        <v>55.25</v>
      </c>
    </row>
    <row r="1242" spans="1:7" x14ac:dyDescent="0.3">
      <c r="A1242" t="s">
        <v>557</v>
      </c>
      <c r="B1242">
        <v>26034</v>
      </c>
      <c r="C1242" t="s">
        <v>4828</v>
      </c>
      <c r="D1242" t="s">
        <v>462</v>
      </c>
      <c r="E1242">
        <v>10</v>
      </c>
      <c r="F1242">
        <v>474.5</v>
      </c>
      <c r="G1242">
        <v>47.45</v>
      </c>
    </row>
    <row r="1243" spans="1:7" x14ac:dyDescent="0.3">
      <c r="A1243" t="s">
        <v>557</v>
      </c>
      <c r="B1243">
        <v>20955</v>
      </c>
      <c r="C1243" t="s">
        <v>4959</v>
      </c>
      <c r="D1243" t="s">
        <v>462</v>
      </c>
      <c r="E1243">
        <v>6</v>
      </c>
      <c r="F1243">
        <v>65.400000000000006</v>
      </c>
      <c r="G1243">
        <v>10.9</v>
      </c>
    </row>
    <row r="1244" spans="1:7" x14ac:dyDescent="0.3">
      <c r="A1244" t="s">
        <v>557</v>
      </c>
      <c r="B1244">
        <v>26234</v>
      </c>
      <c r="C1244" t="s">
        <v>5364</v>
      </c>
      <c r="D1244" t="s">
        <v>462</v>
      </c>
      <c r="E1244">
        <v>6</v>
      </c>
      <c r="F1244">
        <v>284.7</v>
      </c>
      <c r="G1244">
        <v>47.45</v>
      </c>
    </row>
    <row r="1245" spans="1:7" x14ac:dyDescent="0.3">
      <c r="A1245" t="s">
        <v>557</v>
      </c>
      <c r="B1245">
        <v>26040</v>
      </c>
      <c r="C1245" t="s">
        <v>4812</v>
      </c>
      <c r="D1245" t="s">
        <v>462</v>
      </c>
      <c r="E1245">
        <v>13</v>
      </c>
      <c r="F1245">
        <v>616.85</v>
      </c>
      <c r="G1245">
        <v>47.45</v>
      </c>
    </row>
    <row r="1246" spans="1:7" x14ac:dyDescent="0.3">
      <c r="A1246" t="s">
        <v>557</v>
      </c>
      <c r="B1246">
        <v>18194</v>
      </c>
      <c r="C1246" t="s">
        <v>4923</v>
      </c>
      <c r="D1246" t="s">
        <v>462</v>
      </c>
      <c r="E1246">
        <v>2</v>
      </c>
      <c r="F1246">
        <v>131</v>
      </c>
      <c r="G1246">
        <v>65.5</v>
      </c>
    </row>
    <row r="1247" spans="1:7" x14ac:dyDescent="0.3">
      <c r="A1247" t="s">
        <v>557</v>
      </c>
      <c r="B1247">
        <v>18172</v>
      </c>
      <c r="C1247" t="s">
        <v>4804</v>
      </c>
      <c r="D1247" t="s">
        <v>462</v>
      </c>
      <c r="E1247">
        <v>6</v>
      </c>
      <c r="F1247">
        <v>188.4</v>
      </c>
      <c r="G1247">
        <v>31.4</v>
      </c>
    </row>
    <row r="1248" spans="1:7" x14ac:dyDescent="0.3">
      <c r="A1248" t="s">
        <v>557</v>
      </c>
      <c r="B1248">
        <v>18129</v>
      </c>
      <c r="C1248" t="s">
        <v>5043</v>
      </c>
      <c r="D1248" t="s">
        <v>462</v>
      </c>
      <c r="E1248">
        <v>2</v>
      </c>
      <c r="F1248">
        <v>230.94</v>
      </c>
      <c r="G1248">
        <v>115.47</v>
      </c>
    </row>
    <row r="1249" spans="1:7" x14ac:dyDescent="0.3">
      <c r="A1249" t="s">
        <v>557</v>
      </c>
      <c r="B1249">
        <v>18119</v>
      </c>
      <c r="C1249" t="s">
        <v>5044</v>
      </c>
      <c r="D1249" t="s">
        <v>462</v>
      </c>
      <c r="E1249">
        <v>1</v>
      </c>
      <c r="F1249">
        <v>162.16</v>
      </c>
      <c r="G1249">
        <v>162.16</v>
      </c>
    </row>
    <row r="1250" spans="1:7" x14ac:dyDescent="0.3">
      <c r="A1250" t="s">
        <v>557</v>
      </c>
      <c r="B1250">
        <v>18111</v>
      </c>
      <c r="C1250" t="s">
        <v>5049</v>
      </c>
      <c r="D1250" t="s">
        <v>462</v>
      </c>
      <c r="E1250">
        <v>1</v>
      </c>
      <c r="F1250">
        <v>84.8</v>
      </c>
      <c r="G1250">
        <v>84.8</v>
      </c>
    </row>
    <row r="1251" spans="1:7" x14ac:dyDescent="0.3">
      <c r="A1251" t="s">
        <v>557</v>
      </c>
      <c r="B1251">
        <v>19787</v>
      </c>
      <c r="C1251" t="s">
        <v>4793</v>
      </c>
      <c r="D1251" t="s">
        <v>461</v>
      </c>
      <c r="E1251">
        <v>109.9</v>
      </c>
      <c r="F1251">
        <v>578.07000000000005</v>
      </c>
      <c r="G1251">
        <v>5.26</v>
      </c>
    </row>
    <row r="1252" spans="1:7" x14ac:dyDescent="0.3">
      <c r="A1252" t="s">
        <v>557</v>
      </c>
      <c r="B1252">
        <v>19658</v>
      </c>
      <c r="C1252" t="s">
        <v>4784</v>
      </c>
      <c r="D1252" t="s">
        <v>461</v>
      </c>
      <c r="E1252">
        <v>59</v>
      </c>
      <c r="F1252">
        <v>190.06</v>
      </c>
      <c r="G1252">
        <v>3.22</v>
      </c>
    </row>
    <row r="1253" spans="1:7" x14ac:dyDescent="0.3">
      <c r="A1253" t="s">
        <v>557</v>
      </c>
      <c r="B1253">
        <v>19654</v>
      </c>
      <c r="C1253" t="s">
        <v>5099</v>
      </c>
      <c r="D1253" t="s">
        <v>461</v>
      </c>
      <c r="E1253">
        <v>35</v>
      </c>
      <c r="F1253">
        <v>246.03</v>
      </c>
      <c r="G1253">
        <v>7.03</v>
      </c>
    </row>
    <row r="1254" spans="1:7" x14ac:dyDescent="0.3">
      <c r="A1254" t="s">
        <v>557</v>
      </c>
      <c r="B1254">
        <v>21093</v>
      </c>
      <c r="C1254" t="s">
        <v>4855</v>
      </c>
      <c r="D1254" t="s">
        <v>461</v>
      </c>
      <c r="E1254">
        <v>70</v>
      </c>
      <c r="F1254">
        <v>307.3</v>
      </c>
      <c r="G1254">
        <v>4.3899999999999997</v>
      </c>
    </row>
    <row r="1255" spans="1:7" x14ac:dyDescent="0.3">
      <c r="A1255" t="s">
        <v>557</v>
      </c>
      <c r="B1255">
        <v>24596</v>
      </c>
      <c r="C1255" t="s">
        <v>5197</v>
      </c>
      <c r="D1255" t="s">
        <v>461</v>
      </c>
      <c r="E1255">
        <v>8</v>
      </c>
      <c r="F1255">
        <v>120</v>
      </c>
      <c r="G1255">
        <v>15</v>
      </c>
    </row>
    <row r="1256" spans="1:7" x14ac:dyDescent="0.3">
      <c r="A1256" t="s">
        <v>557</v>
      </c>
      <c r="B1256">
        <v>19507</v>
      </c>
      <c r="C1256" t="s">
        <v>4853</v>
      </c>
      <c r="D1256" t="s">
        <v>461</v>
      </c>
      <c r="E1256">
        <v>18.399999999999999</v>
      </c>
      <c r="F1256">
        <v>276.23</v>
      </c>
      <c r="G1256">
        <v>15.01</v>
      </c>
    </row>
    <row r="1257" spans="1:7" x14ac:dyDescent="0.3">
      <c r="A1257" t="s">
        <v>557</v>
      </c>
      <c r="B1257">
        <v>17950</v>
      </c>
      <c r="C1257" t="s">
        <v>5091</v>
      </c>
      <c r="D1257" t="s">
        <v>461</v>
      </c>
      <c r="E1257">
        <v>92</v>
      </c>
      <c r="F1257">
        <v>1563.08</v>
      </c>
      <c r="G1257">
        <v>16.989999999999998</v>
      </c>
    </row>
    <row r="1258" spans="1:7" x14ac:dyDescent="0.3">
      <c r="A1258" t="s">
        <v>557</v>
      </c>
      <c r="B1258">
        <v>17958</v>
      </c>
      <c r="C1258" t="s">
        <v>5076</v>
      </c>
      <c r="D1258" t="s">
        <v>461</v>
      </c>
      <c r="E1258">
        <v>90</v>
      </c>
      <c r="F1258">
        <v>1466.1</v>
      </c>
      <c r="G1258">
        <v>16.29</v>
      </c>
    </row>
    <row r="1259" spans="1:7" x14ac:dyDescent="0.3">
      <c r="A1259" t="s">
        <v>557</v>
      </c>
      <c r="B1259">
        <v>17314</v>
      </c>
      <c r="C1259" t="s">
        <v>5208</v>
      </c>
      <c r="D1259" t="s">
        <v>461</v>
      </c>
      <c r="E1259">
        <v>11</v>
      </c>
      <c r="F1259">
        <v>64.790000000000006</v>
      </c>
      <c r="G1259">
        <v>5.89</v>
      </c>
    </row>
    <row r="1260" spans="1:7" x14ac:dyDescent="0.3">
      <c r="A1260" t="s">
        <v>557</v>
      </c>
      <c r="B1260">
        <v>18006</v>
      </c>
      <c r="C1260" t="s">
        <v>5094</v>
      </c>
      <c r="D1260" t="s">
        <v>461</v>
      </c>
      <c r="E1260">
        <v>5</v>
      </c>
      <c r="F1260">
        <v>148.19999999999999</v>
      </c>
      <c r="G1260">
        <v>29.64</v>
      </c>
    </row>
    <row r="1261" spans="1:7" x14ac:dyDescent="0.3">
      <c r="A1261" t="s">
        <v>557</v>
      </c>
      <c r="B1261">
        <v>18004</v>
      </c>
      <c r="C1261" t="s">
        <v>5093</v>
      </c>
      <c r="D1261" t="s">
        <v>461</v>
      </c>
      <c r="E1261">
        <v>4</v>
      </c>
      <c r="F1261">
        <v>124.42</v>
      </c>
      <c r="G1261">
        <v>31.11</v>
      </c>
    </row>
    <row r="1262" spans="1:7" x14ac:dyDescent="0.3">
      <c r="A1262" t="s">
        <v>557</v>
      </c>
      <c r="B1262">
        <v>24096</v>
      </c>
      <c r="C1262" t="s">
        <v>4771</v>
      </c>
      <c r="D1262" t="s">
        <v>461</v>
      </c>
      <c r="E1262">
        <v>302.10000000000002</v>
      </c>
      <c r="F1262">
        <v>12960.09</v>
      </c>
      <c r="G1262">
        <v>42.9</v>
      </c>
    </row>
    <row r="1263" spans="1:7" x14ac:dyDescent="0.3">
      <c r="A1263" t="s">
        <v>557</v>
      </c>
      <c r="B1263">
        <v>17266</v>
      </c>
      <c r="C1263" t="s">
        <v>5192</v>
      </c>
      <c r="D1263" t="s">
        <v>461</v>
      </c>
      <c r="E1263">
        <v>11</v>
      </c>
      <c r="F1263">
        <v>51.15</v>
      </c>
      <c r="G1263">
        <v>4.6500000000000004</v>
      </c>
    </row>
    <row r="1264" spans="1:7" x14ac:dyDescent="0.3">
      <c r="A1264" t="s">
        <v>557</v>
      </c>
      <c r="B1264">
        <v>19506</v>
      </c>
      <c r="C1264" t="s">
        <v>5122</v>
      </c>
      <c r="D1264" t="s">
        <v>461</v>
      </c>
      <c r="E1264">
        <v>2.5</v>
      </c>
      <c r="F1264">
        <v>120.48</v>
      </c>
      <c r="G1264">
        <v>48.19</v>
      </c>
    </row>
    <row r="1265" spans="1:7" x14ac:dyDescent="0.3">
      <c r="A1265" t="s">
        <v>557</v>
      </c>
      <c r="B1265">
        <v>19505</v>
      </c>
      <c r="C1265" t="s">
        <v>4872</v>
      </c>
      <c r="D1265" t="s">
        <v>461</v>
      </c>
      <c r="E1265">
        <v>83.6</v>
      </c>
      <c r="F1265">
        <v>1072.98</v>
      </c>
      <c r="G1265">
        <v>12.83</v>
      </c>
    </row>
    <row r="1266" spans="1:7" x14ac:dyDescent="0.3">
      <c r="A1266" t="s">
        <v>557</v>
      </c>
      <c r="B1266">
        <v>19502</v>
      </c>
      <c r="C1266" t="s">
        <v>4871</v>
      </c>
      <c r="D1266" t="s">
        <v>461</v>
      </c>
      <c r="E1266">
        <v>29.3</v>
      </c>
      <c r="F1266">
        <v>587.94000000000005</v>
      </c>
      <c r="G1266">
        <v>20.07</v>
      </c>
    </row>
    <row r="1267" spans="1:7" x14ac:dyDescent="0.3">
      <c r="A1267" t="s">
        <v>557</v>
      </c>
      <c r="B1267">
        <v>19647</v>
      </c>
      <c r="C1267" t="s">
        <v>5050</v>
      </c>
      <c r="D1267" t="s">
        <v>461</v>
      </c>
      <c r="E1267">
        <v>1</v>
      </c>
      <c r="F1267">
        <v>14.55</v>
      </c>
      <c r="G1267">
        <v>14.55</v>
      </c>
    </row>
    <row r="1268" spans="1:7" x14ac:dyDescent="0.3">
      <c r="A1268" t="s">
        <v>557</v>
      </c>
      <c r="B1268">
        <v>24037</v>
      </c>
      <c r="C1268" t="s">
        <v>5233</v>
      </c>
      <c r="D1268" t="s">
        <v>461</v>
      </c>
      <c r="E1268">
        <v>18</v>
      </c>
      <c r="F1268">
        <v>334.1</v>
      </c>
      <c r="G1268">
        <v>18.559999999999999</v>
      </c>
    </row>
    <row r="1269" spans="1:7" x14ac:dyDescent="0.3">
      <c r="A1269" t="s">
        <v>557</v>
      </c>
      <c r="B1269">
        <v>20429</v>
      </c>
      <c r="C1269" t="s">
        <v>5317</v>
      </c>
      <c r="D1269" t="s">
        <v>461</v>
      </c>
      <c r="E1269">
        <v>1</v>
      </c>
      <c r="F1269">
        <v>19.579999999999998</v>
      </c>
      <c r="G1269">
        <v>19.579999999999998</v>
      </c>
    </row>
    <row r="1270" spans="1:7" x14ac:dyDescent="0.3">
      <c r="A1270" t="s">
        <v>557</v>
      </c>
      <c r="B1270">
        <v>27264</v>
      </c>
      <c r="C1270" t="s">
        <v>5075</v>
      </c>
      <c r="D1270" t="s">
        <v>461</v>
      </c>
      <c r="E1270">
        <v>56.3</v>
      </c>
      <c r="F1270">
        <v>3179.18</v>
      </c>
      <c r="G1270">
        <v>56.47</v>
      </c>
    </row>
    <row r="1271" spans="1:7" x14ac:dyDescent="0.3">
      <c r="A1271" t="s">
        <v>557</v>
      </c>
      <c r="B1271">
        <v>26014</v>
      </c>
      <c r="C1271" t="s">
        <v>5128</v>
      </c>
      <c r="D1271" t="s">
        <v>461</v>
      </c>
      <c r="E1271">
        <v>1</v>
      </c>
      <c r="F1271">
        <v>375.8</v>
      </c>
      <c r="G1271">
        <v>375.8</v>
      </c>
    </row>
    <row r="1272" spans="1:7" x14ac:dyDescent="0.3">
      <c r="A1272" t="s">
        <v>557</v>
      </c>
      <c r="B1272">
        <v>18547</v>
      </c>
      <c r="C1272" t="s">
        <v>4863</v>
      </c>
      <c r="D1272" t="s">
        <v>461</v>
      </c>
      <c r="E1272">
        <v>7</v>
      </c>
      <c r="F1272">
        <v>267.77999999999997</v>
      </c>
      <c r="G1272">
        <v>38.25</v>
      </c>
    </row>
    <row r="1273" spans="1:7" x14ac:dyDescent="0.3">
      <c r="A1273" t="s">
        <v>557</v>
      </c>
      <c r="B1273">
        <v>18545</v>
      </c>
      <c r="C1273" t="s">
        <v>4864</v>
      </c>
      <c r="D1273" t="s">
        <v>461</v>
      </c>
      <c r="E1273">
        <v>1</v>
      </c>
      <c r="F1273">
        <v>47.8</v>
      </c>
      <c r="G1273">
        <v>47.8</v>
      </c>
    </row>
    <row r="1274" spans="1:7" x14ac:dyDescent="0.3">
      <c r="A1274" t="s">
        <v>557</v>
      </c>
      <c r="B1274">
        <v>18518</v>
      </c>
      <c r="C1274" t="s">
        <v>4838</v>
      </c>
      <c r="D1274" t="s">
        <v>461</v>
      </c>
      <c r="E1274">
        <v>6</v>
      </c>
      <c r="F1274">
        <v>300</v>
      </c>
      <c r="G1274">
        <v>50</v>
      </c>
    </row>
    <row r="1275" spans="1:7" x14ac:dyDescent="0.3">
      <c r="A1275" t="s">
        <v>557</v>
      </c>
      <c r="B1275">
        <v>20301</v>
      </c>
      <c r="C1275" t="s">
        <v>4944</v>
      </c>
      <c r="D1275" t="s">
        <v>461</v>
      </c>
      <c r="E1275">
        <v>26</v>
      </c>
      <c r="F1275">
        <v>523</v>
      </c>
      <c r="G1275">
        <v>20.12</v>
      </c>
    </row>
    <row r="1276" spans="1:7" x14ac:dyDescent="0.3">
      <c r="A1276" t="s">
        <v>557</v>
      </c>
      <c r="B1276">
        <v>20295</v>
      </c>
      <c r="C1276" t="s">
        <v>4881</v>
      </c>
      <c r="D1276" t="s">
        <v>461</v>
      </c>
      <c r="E1276">
        <v>1</v>
      </c>
      <c r="F1276">
        <v>9.9</v>
      </c>
      <c r="G1276">
        <v>9.9</v>
      </c>
    </row>
    <row r="1277" spans="1:7" x14ac:dyDescent="0.3">
      <c r="A1277" t="s">
        <v>557</v>
      </c>
      <c r="B1277">
        <v>21783</v>
      </c>
      <c r="C1277" t="s">
        <v>5210</v>
      </c>
      <c r="D1277" t="s">
        <v>461</v>
      </c>
      <c r="E1277">
        <v>9</v>
      </c>
      <c r="F1277">
        <v>104.92</v>
      </c>
      <c r="G1277">
        <v>11.66</v>
      </c>
    </row>
    <row r="1278" spans="1:7" x14ac:dyDescent="0.3">
      <c r="A1278" t="s">
        <v>557</v>
      </c>
      <c r="B1278">
        <v>21030</v>
      </c>
      <c r="C1278" t="s">
        <v>5145</v>
      </c>
      <c r="D1278" t="s">
        <v>461</v>
      </c>
      <c r="E1278">
        <v>12</v>
      </c>
      <c r="F1278">
        <v>228.72</v>
      </c>
      <c r="G1278">
        <v>19.059999999999999</v>
      </c>
    </row>
    <row r="1279" spans="1:7" x14ac:dyDescent="0.3">
      <c r="A1279" t="s">
        <v>557</v>
      </c>
      <c r="B1279">
        <v>21047</v>
      </c>
      <c r="C1279" t="s">
        <v>4847</v>
      </c>
      <c r="D1279" t="s">
        <v>461</v>
      </c>
      <c r="E1279">
        <v>2</v>
      </c>
      <c r="F1279">
        <v>229</v>
      </c>
      <c r="G1279">
        <v>114.5</v>
      </c>
    </row>
    <row r="1280" spans="1:7" x14ac:dyDescent="0.3">
      <c r="A1280" t="s">
        <v>557</v>
      </c>
      <c r="B1280">
        <v>23808</v>
      </c>
      <c r="C1280" t="s">
        <v>4982</v>
      </c>
      <c r="D1280" t="s">
        <v>461</v>
      </c>
      <c r="E1280">
        <v>2</v>
      </c>
      <c r="F1280">
        <v>100.65</v>
      </c>
      <c r="G1280">
        <v>50.33</v>
      </c>
    </row>
    <row r="1281" spans="1:7" x14ac:dyDescent="0.3">
      <c r="A1281" t="s">
        <v>557</v>
      </c>
      <c r="B1281">
        <v>25702</v>
      </c>
      <c r="C1281" t="s">
        <v>5135</v>
      </c>
      <c r="D1281" t="s">
        <v>461</v>
      </c>
      <c r="E1281">
        <v>3</v>
      </c>
      <c r="F1281">
        <v>226.2</v>
      </c>
      <c r="G1281">
        <v>75.400000000000006</v>
      </c>
    </row>
    <row r="1282" spans="1:7" x14ac:dyDescent="0.3">
      <c r="A1282" t="s">
        <v>557</v>
      </c>
      <c r="B1282">
        <v>22734</v>
      </c>
      <c r="C1282" t="s">
        <v>5163</v>
      </c>
      <c r="D1282" t="s">
        <v>461</v>
      </c>
      <c r="E1282">
        <v>1.05</v>
      </c>
      <c r="F1282">
        <v>103.75</v>
      </c>
      <c r="G1282">
        <v>98.81</v>
      </c>
    </row>
    <row r="1283" spans="1:7" x14ac:dyDescent="0.3">
      <c r="A1283" t="s">
        <v>557</v>
      </c>
      <c r="B1283">
        <v>23390</v>
      </c>
      <c r="C1283" t="s">
        <v>4873</v>
      </c>
      <c r="D1283" t="s">
        <v>461</v>
      </c>
      <c r="E1283">
        <v>8</v>
      </c>
      <c r="F1283">
        <v>65.8</v>
      </c>
      <c r="G1283">
        <v>8.23</v>
      </c>
    </row>
    <row r="1284" spans="1:7" x14ac:dyDescent="0.3">
      <c r="A1284" t="s">
        <v>557</v>
      </c>
      <c r="B1284">
        <v>23389</v>
      </c>
      <c r="C1284" t="s">
        <v>4960</v>
      </c>
      <c r="D1284" t="s">
        <v>461</v>
      </c>
      <c r="E1284">
        <v>61.35</v>
      </c>
      <c r="F1284">
        <v>307.14999999999998</v>
      </c>
      <c r="G1284">
        <v>5.01</v>
      </c>
    </row>
    <row r="1285" spans="1:7" x14ac:dyDescent="0.3">
      <c r="A1285" t="s">
        <v>557</v>
      </c>
      <c r="B1285">
        <v>24081</v>
      </c>
      <c r="C1285" t="s">
        <v>4834</v>
      </c>
      <c r="D1285" t="s">
        <v>461</v>
      </c>
      <c r="E1285">
        <v>11.7</v>
      </c>
      <c r="F1285">
        <v>278.45999999999998</v>
      </c>
      <c r="G1285">
        <v>23.8</v>
      </c>
    </row>
    <row r="1286" spans="1:7" x14ac:dyDescent="0.3">
      <c r="A1286" t="s">
        <v>557</v>
      </c>
      <c r="B1286">
        <v>24083</v>
      </c>
      <c r="C1286" t="s">
        <v>5165</v>
      </c>
      <c r="D1286" t="s">
        <v>461</v>
      </c>
      <c r="E1286">
        <v>490.5</v>
      </c>
      <c r="F1286">
        <v>2513.6799999999998</v>
      </c>
      <c r="G1286">
        <v>5.12</v>
      </c>
    </row>
    <row r="1287" spans="1:7" x14ac:dyDescent="0.3">
      <c r="A1287" t="s">
        <v>557</v>
      </c>
      <c r="B1287">
        <v>19642</v>
      </c>
      <c r="C1287" t="s">
        <v>4996</v>
      </c>
      <c r="D1287" t="s">
        <v>461</v>
      </c>
      <c r="E1287">
        <v>5.4</v>
      </c>
      <c r="F1287">
        <v>29.17</v>
      </c>
      <c r="G1287">
        <v>5.4</v>
      </c>
    </row>
    <row r="1288" spans="1:7" x14ac:dyDescent="0.3">
      <c r="A1288" t="s">
        <v>557</v>
      </c>
      <c r="B1288">
        <v>19635</v>
      </c>
      <c r="C1288" t="s">
        <v>4786</v>
      </c>
      <c r="D1288" t="s">
        <v>461</v>
      </c>
      <c r="E1288">
        <v>75.5</v>
      </c>
      <c r="F1288">
        <v>469.2</v>
      </c>
      <c r="G1288">
        <v>6.21</v>
      </c>
    </row>
    <row r="1289" spans="1:7" x14ac:dyDescent="0.3">
      <c r="A1289" t="s">
        <v>557</v>
      </c>
      <c r="B1289">
        <v>19634</v>
      </c>
      <c r="C1289" t="s">
        <v>4792</v>
      </c>
      <c r="D1289" t="s">
        <v>461</v>
      </c>
      <c r="E1289">
        <v>67.099999999999994</v>
      </c>
      <c r="F1289">
        <v>617.63</v>
      </c>
      <c r="G1289">
        <v>9.1999999999999993</v>
      </c>
    </row>
    <row r="1290" spans="1:7" x14ac:dyDescent="0.3">
      <c r="A1290" t="s">
        <v>557</v>
      </c>
      <c r="B1290">
        <v>19632</v>
      </c>
      <c r="C1290" t="s">
        <v>4936</v>
      </c>
      <c r="D1290" t="s">
        <v>461</v>
      </c>
      <c r="E1290">
        <v>17.649999999999999</v>
      </c>
      <c r="F1290">
        <v>86.3</v>
      </c>
      <c r="G1290">
        <v>4.8899999999999997</v>
      </c>
    </row>
    <row r="1291" spans="1:7" x14ac:dyDescent="0.3">
      <c r="A1291" t="s">
        <v>557</v>
      </c>
      <c r="B1291">
        <v>23819</v>
      </c>
      <c r="C1291" t="s">
        <v>4947</v>
      </c>
      <c r="D1291" t="s">
        <v>461</v>
      </c>
      <c r="E1291">
        <v>2</v>
      </c>
      <c r="F1291">
        <v>18.32</v>
      </c>
      <c r="G1291">
        <v>9.16</v>
      </c>
    </row>
    <row r="1292" spans="1:7" x14ac:dyDescent="0.3">
      <c r="A1292" t="s">
        <v>557</v>
      </c>
      <c r="B1292">
        <v>17565</v>
      </c>
      <c r="C1292" t="s">
        <v>5247</v>
      </c>
      <c r="D1292" t="s">
        <v>461</v>
      </c>
      <c r="E1292">
        <v>2</v>
      </c>
      <c r="F1292">
        <v>192</v>
      </c>
      <c r="G1292">
        <v>96</v>
      </c>
    </row>
    <row r="1293" spans="1:7" x14ac:dyDescent="0.3">
      <c r="A1293" t="s">
        <v>557</v>
      </c>
      <c r="B1293">
        <v>17381</v>
      </c>
      <c r="C1293" t="s">
        <v>5262</v>
      </c>
      <c r="D1293" t="s">
        <v>461</v>
      </c>
      <c r="E1293">
        <v>2</v>
      </c>
      <c r="F1293">
        <v>77.78</v>
      </c>
      <c r="G1293">
        <v>38.89</v>
      </c>
    </row>
    <row r="1294" spans="1:7" x14ac:dyDescent="0.3">
      <c r="A1294" t="s">
        <v>557</v>
      </c>
      <c r="B1294">
        <v>17573</v>
      </c>
      <c r="C1294" t="s">
        <v>5306</v>
      </c>
      <c r="D1294" t="s">
        <v>461</v>
      </c>
      <c r="E1294">
        <v>2</v>
      </c>
      <c r="F1294">
        <v>149.80000000000001</v>
      </c>
      <c r="G1294">
        <v>74.900000000000006</v>
      </c>
    </row>
    <row r="1295" spans="1:7" x14ac:dyDescent="0.3">
      <c r="A1295" t="s">
        <v>557</v>
      </c>
      <c r="B1295">
        <v>21587</v>
      </c>
      <c r="C1295" t="s">
        <v>5349</v>
      </c>
      <c r="D1295" t="s">
        <v>461</v>
      </c>
      <c r="E1295">
        <v>1</v>
      </c>
      <c r="F1295">
        <v>6.5</v>
      </c>
      <c r="G1295">
        <v>6.5</v>
      </c>
    </row>
    <row r="1296" spans="1:7" x14ac:dyDescent="0.3">
      <c r="A1296" t="s">
        <v>557</v>
      </c>
      <c r="B1296">
        <v>24099</v>
      </c>
      <c r="C1296" t="s">
        <v>4933</v>
      </c>
      <c r="D1296" t="s">
        <v>461</v>
      </c>
      <c r="E1296">
        <v>17.5</v>
      </c>
      <c r="F1296">
        <v>333.86</v>
      </c>
      <c r="G1296">
        <v>19.079999999999998</v>
      </c>
    </row>
    <row r="1297" spans="1:7" x14ac:dyDescent="0.3">
      <c r="A1297" t="s">
        <v>557</v>
      </c>
      <c r="B1297">
        <v>19492</v>
      </c>
      <c r="C1297" t="s">
        <v>4937</v>
      </c>
      <c r="D1297" t="s">
        <v>461</v>
      </c>
      <c r="E1297">
        <v>18.809999999999999</v>
      </c>
      <c r="F1297">
        <v>383.44</v>
      </c>
      <c r="G1297">
        <v>20.38</v>
      </c>
    </row>
    <row r="1298" spans="1:7" x14ac:dyDescent="0.3">
      <c r="A1298" t="s">
        <v>557</v>
      </c>
      <c r="B1298">
        <v>18502</v>
      </c>
      <c r="C1298" t="s">
        <v>4893</v>
      </c>
      <c r="D1298" t="s">
        <v>461</v>
      </c>
      <c r="E1298">
        <v>3</v>
      </c>
      <c r="F1298">
        <v>181.17</v>
      </c>
      <c r="G1298">
        <v>60.39</v>
      </c>
    </row>
    <row r="1299" spans="1:7" x14ac:dyDescent="0.3">
      <c r="A1299" t="s">
        <v>557</v>
      </c>
      <c r="B1299">
        <v>18475</v>
      </c>
      <c r="C1299" t="s">
        <v>4895</v>
      </c>
      <c r="D1299" t="s">
        <v>461</v>
      </c>
      <c r="E1299">
        <v>24</v>
      </c>
      <c r="F1299">
        <v>789.6</v>
      </c>
      <c r="G1299">
        <v>32.9</v>
      </c>
    </row>
    <row r="1300" spans="1:7" x14ac:dyDescent="0.3">
      <c r="A1300" t="s">
        <v>557</v>
      </c>
      <c r="B1300">
        <v>18462</v>
      </c>
      <c r="C1300" t="s">
        <v>5031</v>
      </c>
      <c r="D1300" t="s">
        <v>461</v>
      </c>
      <c r="E1300">
        <v>2</v>
      </c>
      <c r="F1300">
        <v>100.8</v>
      </c>
      <c r="G1300">
        <v>50.4</v>
      </c>
    </row>
    <row r="1301" spans="1:7" x14ac:dyDescent="0.3">
      <c r="A1301" t="s">
        <v>557</v>
      </c>
      <c r="B1301">
        <v>20809</v>
      </c>
      <c r="C1301" t="s">
        <v>4822</v>
      </c>
      <c r="D1301" t="s">
        <v>461</v>
      </c>
      <c r="E1301">
        <v>30</v>
      </c>
      <c r="F1301">
        <v>897</v>
      </c>
      <c r="G1301">
        <v>29.9</v>
      </c>
    </row>
    <row r="1302" spans="1:7" x14ac:dyDescent="0.3">
      <c r="A1302" t="s">
        <v>557</v>
      </c>
      <c r="B1302">
        <v>23385</v>
      </c>
      <c r="C1302" t="s">
        <v>4938</v>
      </c>
      <c r="D1302" t="s">
        <v>461</v>
      </c>
      <c r="E1302">
        <v>2</v>
      </c>
      <c r="F1302">
        <v>87.5</v>
      </c>
      <c r="G1302">
        <v>43.75</v>
      </c>
    </row>
    <row r="1303" spans="1:7" x14ac:dyDescent="0.3">
      <c r="A1303" t="s">
        <v>557</v>
      </c>
      <c r="B1303">
        <v>17554</v>
      </c>
      <c r="C1303" t="s">
        <v>5320</v>
      </c>
      <c r="D1303" t="s">
        <v>461</v>
      </c>
      <c r="E1303">
        <v>1</v>
      </c>
      <c r="F1303">
        <v>185.12</v>
      </c>
      <c r="G1303">
        <v>185.12</v>
      </c>
    </row>
    <row r="1304" spans="1:7" x14ac:dyDescent="0.3">
      <c r="A1304" t="s">
        <v>557</v>
      </c>
      <c r="B1304">
        <v>19490</v>
      </c>
      <c r="C1304" t="s">
        <v>5116</v>
      </c>
      <c r="D1304" t="s">
        <v>461</v>
      </c>
      <c r="E1304">
        <v>2</v>
      </c>
      <c r="F1304">
        <v>119.18</v>
      </c>
      <c r="G1304">
        <v>59.59</v>
      </c>
    </row>
    <row r="1305" spans="1:7" x14ac:dyDescent="0.3">
      <c r="A1305" t="s">
        <v>557</v>
      </c>
      <c r="B1305">
        <v>24116</v>
      </c>
      <c r="C1305" t="s">
        <v>4777</v>
      </c>
      <c r="D1305" t="s">
        <v>461</v>
      </c>
      <c r="E1305">
        <v>15</v>
      </c>
      <c r="F1305">
        <v>627</v>
      </c>
      <c r="G1305">
        <v>41.8</v>
      </c>
    </row>
    <row r="1306" spans="1:7" x14ac:dyDescent="0.3">
      <c r="A1306" t="s">
        <v>557</v>
      </c>
      <c r="B1306">
        <v>24658</v>
      </c>
      <c r="C1306" t="s">
        <v>5274</v>
      </c>
      <c r="D1306" t="s">
        <v>461</v>
      </c>
      <c r="E1306">
        <v>89</v>
      </c>
      <c r="F1306">
        <v>3084.72</v>
      </c>
      <c r="G1306">
        <v>34.659999999999997</v>
      </c>
    </row>
    <row r="1307" spans="1:7" x14ac:dyDescent="0.3">
      <c r="A1307" t="s">
        <v>557</v>
      </c>
      <c r="B1307">
        <v>25358</v>
      </c>
      <c r="C1307" t="s">
        <v>4980</v>
      </c>
      <c r="D1307" t="s">
        <v>461</v>
      </c>
      <c r="E1307">
        <v>4</v>
      </c>
      <c r="F1307">
        <v>326.39999999999998</v>
      </c>
      <c r="G1307">
        <v>81.599999999999994</v>
      </c>
    </row>
    <row r="1308" spans="1:7" x14ac:dyDescent="0.3">
      <c r="A1308" t="s">
        <v>557</v>
      </c>
      <c r="B1308">
        <v>24509</v>
      </c>
      <c r="C1308" t="s">
        <v>4788</v>
      </c>
      <c r="D1308" t="s">
        <v>461</v>
      </c>
      <c r="E1308">
        <v>85.8</v>
      </c>
      <c r="F1308">
        <v>290.70999999999998</v>
      </c>
      <c r="G1308">
        <v>3.39</v>
      </c>
    </row>
    <row r="1309" spans="1:7" x14ac:dyDescent="0.3">
      <c r="A1309" t="s">
        <v>557</v>
      </c>
      <c r="B1309">
        <v>19622</v>
      </c>
      <c r="C1309" t="s">
        <v>4915</v>
      </c>
      <c r="D1309" t="s">
        <v>461</v>
      </c>
      <c r="E1309">
        <v>6</v>
      </c>
      <c r="F1309">
        <v>23.6</v>
      </c>
      <c r="G1309">
        <v>3.93</v>
      </c>
    </row>
    <row r="1310" spans="1:7" x14ac:dyDescent="0.3">
      <c r="A1310" t="s">
        <v>557</v>
      </c>
      <c r="B1310">
        <v>19623</v>
      </c>
      <c r="C1310" t="s">
        <v>4764</v>
      </c>
      <c r="D1310" t="s">
        <v>461</v>
      </c>
      <c r="E1310">
        <v>92.21</v>
      </c>
      <c r="F1310">
        <v>361.75</v>
      </c>
      <c r="G1310">
        <v>3.92</v>
      </c>
    </row>
    <row r="1311" spans="1:7" x14ac:dyDescent="0.3">
      <c r="A1311" t="s">
        <v>557</v>
      </c>
      <c r="B1311">
        <v>19488</v>
      </c>
      <c r="C1311" t="s">
        <v>5107</v>
      </c>
      <c r="D1311" t="s">
        <v>461</v>
      </c>
      <c r="E1311">
        <v>1.4</v>
      </c>
      <c r="F1311">
        <v>17.05</v>
      </c>
      <c r="G1311">
        <v>12.18</v>
      </c>
    </row>
    <row r="1312" spans="1:7" x14ac:dyDescent="0.3">
      <c r="A1312" t="s">
        <v>557</v>
      </c>
      <c r="B1312">
        <v>19621</v>
      </c>
      <c r="C1312" t="s">
        <v>4829</v>
      </c>
      <c r="D1312" t="s">
        <v>461</v>
      </c>
      <c r="E1312">
        <v>32.31</v>
      </c>
      <c r="F1312">
        <v>168.83</v>
      </c>
      <c r="G1312">
        <v>5.23</v>
      </c>
    </row>
    <row r="1313" spans="1:7" x14ac:dyDescent="0.3">
      <c r="A1313" t="s">
        <v>557</v>
      </c>
      <c r="B1313">
        <v>18632</v>
      </c>
      <c r="C1313" t="s">
        <v>5096</v>
      </c>
      <c r="D1313" t="s">
        <v>461</v>
      </c>
      <c r="E1313">
        <v>3</v>
      </c>
      <c r="F1313">
        <v>572.4</v>
      </c>
      <c r="G1313">
        <v>190.8</v>
      </c>
    </row>
    <row r="1314" spans="1:7" x14ac:dyDescent="0.3">
      <c r="A1314" t="s">
        <v>557</v>
      </c>
      <c r="B1314">
        <v>26505</v>
      </c>
      <c r="C1314" t="s">
        <v>4750</v>
      </c>
      <c r="D1314" t="s">
        <v>461</v>
      </c>
      <c r="E1314">
        <v>5</v>
      </c>
      <c r="F1314">
        <v>963.67</v>
      </c>
      <c r="G1314">
        <v>192.73</v>
      </c>
    </row>
    <row r="1315" spans="1:7" x14ac:dyDescent="0.3">
      <c r="A1315" t="s">
        <v>557</v>
      </c>
      <c r="B1315">
        <v>25561</v>
      </c>
      <c r="C1315" t="s">
        <v>5095</v>
      </c>
      <c r="D1315" t="s">
        <v>461</v>
      </c>
      <c r="E1315">
        <v>9</v>
      </c>
      <c r="F1315">
        <v>1054.29</v>
      </c>
      <c r="G1315">
        <v>117.14</v>
      </c>
    </row>
    <row r="1316" spans="1:7" x14ac:dyDescent="0.3">
      <c r="A1316" t="s">
        <v>557</v>
      </c>
      <c r="B1316">
        <v>24141</v>
      </c>
      <c r="C1316" t="s">
        <v>5088</v>
      </c>
      <c r="D1316" t="s">
        <v>461</v>
      </c>
      <c r="E1316">
        <v>17</v>
      </c>
      <c r="F1316">
        <v>2151.21</v>
      </c>
      <c r="G1316">
        <v>126.54</v>
      </c>
    </row>
    <row r="1317" spans="1:7" x14ac:dyDescent="0.3">
      <c r="A1317" t="s">
        <v>557</v>
      </c>
      <c r="B1317">
        <v>24973</v>
      </c>
      <c r="C1317" t="s">
        <v>4819</v>
      </c>
      <c r="D1317" t="s">
        <v>461</v>
      </c>
      <c r="E1317">
        <v>1</v>
      </c>
      <c r="F1317">
        <v>68.790000000000006</v>
      </c>
      <c r="G1317">
        <v>68.790000000000006</v>
      </c>
    </row>
    <row r="1318" spans="1:7" x14ac:dyDescent="0.3">
      <c r="A1318" t="s">
        <v>557</v>
      </c>
      <c r="B1318">
        <v>24142</v>
      </c>
      <c r="C1318" t="s">
        <v>5090</v>
      </c>
      <c r="D1318" t="s">
        <v>461</v>
      </c>
      <c r="E1318">
        <v>3</v>
      </c>
      <c r="F1318">
        <v>332.03</v>
      </c>
      <c r="G1318">
        <v>110.68</v>
      </c>
    </row>
    <row r="1319" spans="1:7" x14ac:dyDescent="0.3">
      <c r="A1319" t="s">
        <v>557</v>
      </c>
      <c r="B1319">
        <v>18579</v>
      </c>
      <c r="C1319" t="s">
        <v>5087</v>
      </c>
      <c r="D1319" t="s">
        <v>461</v>
      </c>
      <c r="E1319">
        <v>2</v>
      </c>
      <c r="F1319">
        <v>263.5</v>
      </c>
      <c r="G1319">
        <v>131.75</v>
      </c>
    </row>
    <row r="1320" spans="1:7" x14ac:dyDescent="0.3">
      <c r="A1320" t="s">
        <v>557</v>
      </c>
      <c r="B1320">
        <v>17838</v>
      </c>
      <c r="C1320" t="s">
        <v>4925</v>
      </c>
      <c r="D1320" t="s">
        <v>461</v>
      </c>
      <c r="E1320">
        <v>3</v>
      </c>
      <c r="F1320">
        <v>27.6</v>
      </c>
      <c r="G1320">
        <v>9.1999999999999993</v>
      </c>
    </row>
    <row r="1321" spans="1:7" x14ac:dyDescent="0.3">
      <c r="A1321" t="s">
        <v>557</v>
      </c>
      <c r="B1321">
        <v>20928</v>
      </c>
      <c r="C1321" t="s">
        <v>4950</v>
      </c>
      <c r="D1321" t="s">
        <v>461</v>
      </c>
      <c r="E1321">
        <v>2</v>
      </c>
      <c r="F1321">
        <v>383.49</v>
      </c>
      <c r="G1321">
        <v>191.75</v>
      </c>
    </row>
    <row r="1322" spans="1:7" x14ac:dyDescent="0.3">
      <c r="A1322" t="s">
        <v>557</v>
      </c>
      <c r="B1322">
        <v>25807</v>
      </c>
      <c r="C1322" t="s">
        <v>4951</v>
      </c>
      <c r="D1322" t="s">
        <v>461</v>
      </c>
      <c r="E1322">
        <v>3</v>
      </c>
      <c r="F1322">
        <v>536.28</v>
      </c>
      <c r="G1322">
        <v>178.76</v>
      </c>
    </row>
    <row r="1323" spans="1:7" x14ac:dyDescent="0.3">
      <c r="A1323" t="s">
        <v>557</v>
      </c>
      <c r="B1323">
        <v>18636</v>
      </c>
      <c r="C1323" t="s">
        <v>4964</v>
      </c>
      <c r="D1323" t="s">
        <v>461</v>
      </c>
      <c r="E1323">
        <v>19</v>
      </c>
      <c r="F1323">
        <v>7338.36</v>
      </c>
      <c r="G1323">
        <v>386.23</v>
      </c>
    </row>
    <row r="1324" spans="1:7" x14ac:dyDescent="0.3">
      <c r="A1324" t="s">
        <v>557</v>
      </c>
      <c r="B1324">
        <v>24981</v>
      </c>
      <c r="C1324" t="s">
        <v>5140</v>
      </c>
      <c r="D1324" t="s">
        <v>461</v>
      </c>
      <c r="E1324">
        <v>3</v>
      </c>
      <c r="F1324">
        <v>1186.9100000000001</v>
      </c>
      <c r="G1324">
        <v>395.64</v>
      </c>
    </row>
    <row r="1325" spans="1:7" x14ac:dyDescent="0.3">
      <c r="A1325" t="s">
        <v>557</v>
      </c>
      <c r="B1325">
        <v>26135</v>
      </c>
      <c r="C1325" t="s">
        <v>4801</v>
      </c>
      <c r="D1325" t="s">
        <v>461</v>
      </c>
      <c r="E1325">
        <v>10.88</v>
      </c>
      <c r="F1325">
        <v>978.11</v>
      </c>
      <c r="G1325">
        <v>89.9</v>
      </c>
    </row>
    <row r="1326" spans="1:7" x14ac:dyDescent="0.3">
      <c r="A1326" t="s">
        <v>557</v>
      </c>
      <c r="B1326">
        <v>23645</v>
      </c>
      <c r="C1326" t="s">
        <v>5377</v>
      </c>
      <c r="D1326" t="s">
        <v>461</v>
      </c>
      <c r="E1326">
        <v>1</v>
      </c>
      <c r="F1326">
        <v>36.9</v>
      </c>
      <c r="G1326">
        <v>36.9</v>
      </c>
    </row>
    <row r="1327" spans="1:7" x14ac:dyDescent="0.3">
      <c r="A1327" t="s">
        <v>557</v>
      </c>
      <c r="B1327">
        <v>19617</v>
      </c>
      <c r="C1327" t="s">
        <v>5071</v>
      </c>
      <c r="D1327" t="s">
        <v>461</v>
      </c>
      <c r="E1327">
        <v>4.2</v>
      </c>
      <c r="F1327">
        <v>73.099999999999994</v>
      </c>
      <c r="G1327">
        <v>17.399999999999999</v>
      </c>
    </row>
    <row r="1328" spans="1:7" x14ac:dyDescent="0.3">
      <c r="A1328" t="s">
        <v>557</v>
      </c>
      <c r="B1328">
        <v>20549</v>
      </c>
      <c r="C1328" t="s">
        <v>4823</v>
      </c>
      <c r="D1328" t="s">
        <v>461</v>
      </c>
      <c r="E1328">
        <v>10.6</v>
      </c>
      <c r="F1328">
        <v>211.89</v>
      </c>
      <c r="G1328">
        <v>19.989999999999998</v>
      </c>
    </row>
    <row r="1329" spans="1:7" x14ac:dyDescent="0.3">
      <c r="A1329" t="s">
        <v>557</v>
      </c>
      <c r="B1329">
        <v>24550</v>
      </c>
      <c r="C1329" t="s">
        <v>5367</v>
      </c>
      <c r="D1329" t="s">
        <v>461</v>
      </c>
      <c r="E1329">
        <v>120</v>
      </c>
      <c r="F1329">
        <v>574.79999999999995</v>
      </c>
      <c r="G1329">
        <v>4.79</v>
      </c>
    </row>
    <row r="1330" spans="1:7" x14ac:dyDescent="0.3">
      <c r="A1330" t="s">
        <v>557</v>
      </c>
      <c r="B1330">
        <v>17532</v>
      </c>
      <c r="C1330" t="s">
        <v>5259</v>
      </c>
      <c r="D1330" t="s">
        <v>461</v>
      </c>
      <c r="E1330">
        <v>1</v>
      </c>
      <c r="F1330">
        <v>98</v>
      </c>
      <c r="G1330">
        <v>98</v>
      </c>
    </row>
    <row r="1331" spans="1:7" x14ac:dyDescent="0.3">
      <c r="A1331" t="s">
        <v>557</v>
      </c>
      <c r="B1331">
        <v>17533</v>
      </c>
      <c r="C1331" t="s">
        <v>5373</v>
      </c>
      <c r="D1331" t="s">
        <v>461</v>
      </c>
      <c r="E1331">
        <v>1</v>
      </c>
      <c r="F1331">
        <v>189</v>
      </c>
      <c r="G1331">
        <v>189</v>
      </c>
    </row>
    <row r="1332" spans="1:7" x14ac:dyDescent="0.3">
      <c r="A1332" t="s">
        <v>557</v>
      </c>
      <c r="B1332">
        <v>24191</v>
      </c>
      <c r="C1332" t="s">
        <v>4846</v>
      </c>
      <c r="D1332" t="s">
        <v>461</v>
      </c>
      <c r="E1332">
        <v>10.25</v>
      </c>
      <c r="F1332">
        <v>367.98</v>
      </c>
      <c r="G1332">
        <v>35.9</v>
      </c>
    </row>
    <row r="1333" spans="1:7" x14ac:dyDescent="0.3">
      <c r="A1333" t="s">
        <v>557</v>
      </c>
      <c r="B1333">
        <v>18595</v>
      </c>
      <c r="C1333" t="s">
        <v>5092</v>
      </c>
      <c r="D1333" t="s">
        <v>461</v>
      </c>
      <c r="E1333">
        <v>4</v>
      </c>
      <c r="F1333">
        <v>635.03</v>
      </c>
      <c r="G1333">
        <v>158.76</v>
      </c>
    </row>
    <row r="1334" spans="1:7" x14ac:dyDescent="0.3">
      <c r="A1334" t="s">
        <v>557</v>
      </c>
      <c r="B1334">
        <v>26679</v>
      </c>
      <c r="C1334" t="s">
        <v>4791</v>
      </c>
      <c r="D1334" t="s">
        <v>461</v>
      </c>
      <c r="E1334">
        <v>188.8</v>
      </c>
      <c r="F1334">
        <v>5267.38</v>
      </c>
      <c r="G1334">
        <v>27.9</v>
      </c>
    </row>
    <row r="1335" spans="1:7" x14ac:dyDescent="0.3">
      <c r="A1335" t="s">
        <v>557</v>
      </c>
      <c r="B1335">
        <v>24197</v>
      </c>
      <c r="C1335" t="s">
        <v>5237</v>
      </c>
      <c r="D1335" t="s">
        <v>461</v>
      </c>
      <c r="E1335">
        <v>15.6</v>
      </c>
      <c r="F1335">
        <v>331.84</v>
      </c>
      <c r="G1335">
        <v>21.27</v>
      </c>
    </row>
    <row r="1336" spans="1:7" x14ac:dyDescent="0.3">
      <c r="A1336" t="s">
        <v>557</v>
      </c>
      <c r="B1336">
        <v>24200</v>
      </c>
      <c r="C1336" t="s">
        <v>4820</v>
      </c>
      <c r="D1336" t="s">
        <v>461</v>
      </c>
      <c r="E1336">
        <v>16.399999999999999</v>
      </c>
      <c r="F1336">
        <v>539.55999999999995</v>
      </c>
      <c r="G1336">
        <v>32.9</v>
      </c>
    </row>
    <row r="1337" spans="1:7" x14ac:dyDescent="0.3">
      <c r="A1337" t="s">
        <v>557</v>
      </c>
      <c r="B1337">
        <v>24199</v>
      </c>
      <c r="C1337" t="s">
        <v>4783</v>
      </c>
      <c r="D1337" t="s">
        <v>461</v>
      </c>
      <c r="E1337">
        <v>15.8</v>
      </c>
      <c r="F1337">
        <v>315.83999999999997</v>
      </c>
      <c r="G1337">
        <v>19.989999999999998</v>
      </c>
    </row>
    <row r="1338" spans="1:7" x14ac:dyDescent="0.3">
      <c r="A1338" t="s">
        <v>557</v>
      </c>
      <c r="B1338">
        <v>21257</v>
      </c>
      <c r="C1338" t="s">
        <v>4952</v>
      </c>
      <c r="D1338" t="s">
        <v>461</v>
      </c>
      <c r="E1338">
        <v>5</v>
      </c>
      <c r="F1338">
        <v>94.15</v>
      </c>
      <c r="G1338">
        <v>18.829999999999998</v>
      </c>
    </row>
    <row r="1339" spans="1:7" x14ac:dyDescent="0.3">
      <c r="A1339" t="s">
        <v>557</v>
      </c>
      <c r="B1339">
        <v>23238</v>
      </c>
      <c r="C1339" t="s">
        <v>4934</v>
      </c>
      <c r="D1339" t="s">
        <v>461</v>
      </c>
      <c r="E1339">
        <v>10.8</v>
      </c>
      <c r="F1339">
        <v>247.07</v>
      </c>
      <c r="G1339">
        <v>22.88</v>
      </c>
    </row>
    <row r="1340" spans="1:7" x14ac:dyDescent="0.3">
      <c r="A1340" t="s">
        <v>557</v>
      </c>
      <c r="B1340">
        <v>23236</v>
      </c>
      <c r="C1340" t="s">
        <v>5062</v>
      </c>
      <c r="D1340" t="s">
        <v>461</v>
      </c>
      <c r="E1340">
        <v>23</v>
      </c>
      <c r="F1340">
        <v>222.46</v>
      </c>
      <c r="G1340">
        <v>9.67</v>
      </c>
    </row>
    <row r="1341" spans="1:7" x14ac:dyDescent="0.3">
      <c r="A1341" t="s">
        <v>557</v>
      </c>
      <c r="B1341">
        <v>19041</v>
      </c>
      <c r="C1341" t="s">
        <v>4762</v>
      </c>
      <c r="D1341" t="s">
        <v>461</v>
      </c>
      <c r="E1341">
        <v>160</v>
      </c>
      <c r="F1341">
        <v>2384</v>
      </c>
      <c r="G1341">
        <v>14.9</v>
      </c>
    </row>
    <row r="1342" spans="1:7" x14ac:dyDescent="0.3">
      <c r="A1342" t="s">
        <v>557</v>
      </c>
      <c r="B1342">
        <v>22843</v>
      </c>
      <c r="C1342" t="s">
        <v>4849</v>
      </c>
      <c r="D1342" t="s">
        <v>461</v>
      </c>
      <c r="E1342">
        <v>11.2</v>
      </c>
      <c r="F1342">
        <v>412.54</v>
      </c>
      <c r="G1342">
        <v>36.83</v>
      </c>
    </row>
    <row r="1343" spans="1:7" x14ac:dyDescent="0.3">
      <c r="A1343" t="s">
        <v>557</v>
      </c>
      <c r="B1343">
        <v>19439</v>
      </c>
      <c r="C1343" t="s">
        <v>4917</v>
      </c>
      <c r="D1343" t="s">
        <v>461</v>
      </c>
      <c r="E1343">
        <v>10</v>
      </c>
      <c r="F1343">
        <v>286.37</v>
      </c>
      <c r="G1343">
        <v>28.64</v>
      </c>
    </row>
    <row r="1344" spans="1:7" x14ac:dyDescent="0.3">
      <c r="A1344" t="s">
        <v>557</v>
      </c>
      <c r="B1344">
        <v>20689</v>
      </c>
      <c r="C1344" t="s">
        <v>5007</v>
      </c>
      <c r="D1344" t="s">
        <v>461</v>
      </c>
      <c r="E1344">
        <v>9</v>
      </c>
      <c r="F1344">
        <v>304.2</v>
      </c>
      <c r="G1344">
        <v>33.799999999999997</v>
      </c>
    </row>
    <row r="1345" spans="1:7" x14ac:dyDescent="0.3">
      <c r="A1345" t="s">
        <v>557</v>
      </c>
      <c r="B1345">
        <v>26020</v>
      </c>
      <c r="C1345" t="s">
        <v>5102</v>
      </c>
      <c r="D1345" t="s">
        <v>461</v>
      </c>
      <c r="E1345">
        <v>12</v>
      </c>
      <c r="F1345">
        <v>159.41999999999999</v>
      </c>
      <c r="G1345">
        <v>13.29</v>
      </c>
    </row>
    <row r="1346" spans="1:7" x14ac:dyDescent="0.3">
      <c r="A1346" t="s">
        <v>557</v>
      </c>
      <c r="B1346">
        <v>24217</v>
      </c>
      <c r="C1346" t="s">
        <v>4778</v>
      </c>
      <c r="D1346" t="s">
        <v>461</v>
      </c>
      <c r="E1346">
        <v>122.7</v>
      </c>
      <c r="F1346">
        <v>3914.14</v>
      </c>
      <c r="G1346">
        <v>31.9</v>
      </c>
    </row>
    <row r="1347" spans="1:7" x14ac:dyDescent="0.3">
      <c r="A1347" t="s">
        <v>557</v>
      </c>
      <c r="B1347">
        <v>17215</v>
      </c>
      <c r="C1347" t="s">
        <v>5299</v>
      </c>
      <c r="D1347" t="s">
        <v>461</v>
      </c>
      <c r="E1347">
        <v>21</v>
      </c>
      <c r="F1347">
        <v>419.79</v>
      </c>
      <c r="G1347">
        <v>19.989999999999998</v>
      </c>
    </row>
    <row r="1348" spans="1:7" x14ac:dyDescent="0.3">
      <c r="A1348" t="s">
        <v>557</v>
      </c>
      <c r="B1348">
        <v>17205</v>
      </c>
      <c r="C1348" t="s">
        <v>5264</v>
      </c>
      <c r="D1348" t="s">
        <v>461</v>
      </c>
      <c r="E1348">
        <v>1</v>
      </c>
      <c r="F1348">
        <v>170</v>
      </c>
      <c r="G1348">
        <v>170</v>
      </c>
    </row>
    <row r="1349" spans="1:7" x14ac:dyDescent="0.3">
      <c r="A1349" t="s">
        <v>557</v>
      </c>
      <c r="B1349">
        <v>26554</v>
      </c>
      <c r="C1349" t="s">
        <v>5319</v>
      </c>
      <c r="D1349" t="s">
        <v>461</v>
      </c>
      <c r="E1349">
        <v>2</v>
      </c>
      <c r="F1349">
        <v>416</v>
      </c>
      <c r="G1349">
        <v>208</v>
      </c>
    </row>
    <row r="1350" spans="1:7" x14ac:dyDescent="0.3">
      <c r="A1350" t="s">
        <v>557</v>
      </c>
      <c r="B1350">
        <v>17465</v>
      </c>
      <c r="C1350" t="s">
        <v>5279</v>
      </c>
      <c r="D1350" t="s">
        <v>461</v>
      </c>
      <c r="E1350">
        <v>2</v>
      </c>
      <c r="F1350">
        <v>1340.76</v>
      </c>
      <c r="G1350">
        <v>670.38</v>
      </c>
    </row>
    <row r="1351" spans="1:7" x14ac:dyDescent="0.3">
      <c r="A1351" t="s">
        <v>557</v>
      </c>
      <c r="B1351">
        <v>24527</v>
      </c>
      <c r="C1351" t="s">
        <v>5313</v>
      </c>
      <c r="D1351" t="s">
        <v>461</v>
      </c>
      <c r="E1351">
        <v>1</v>
      </c>
      <c r="F1351">
        <v>989.38</v>
      </c>
      <c r="G1351">
        <v>989.38</v>
      </c>
    </row>
    <row r="1352" spans="1:7" x14ac:dyDescent="0.3">
      <c r="A1352" t="s">
        <v>557</v>
      </c>
      <c r="B1352">
        <v>21716</v>
      </c>
      <c r="C1352" t="s">
        <v>5281</v>
      </c>
      <c r="D1352" t="s">
        <v>461</v>
      </c>
      <c r="E1352">
        <v>1</v>
      </c>
      <c r="F1352">
        <v>399.5</v>
      </c>
      <c r="G1352">
        <v>399.5</v>
      </c>
    </row>
    <row r="1353" spans="1:7" x14ac:dyDescent="0.3">
      <c r="A1353" t="s">
        <v>557</v>
      </c>
      <c r="B1353">
        <v>17918</v>
      </c>
      <c r="C1353" t="s">
        <v>5368</v>
      </c>
      <c r="D1353" t="s">
        <v>461</v>
      </c>
      <c r="E1353">
        <v>6</v>
      </c>
      <c r="F1353">
        <v>250.72</v>
      </c>
      <c r="G1353">
        <v>41.79</v>
      </c>
    </row>
    <row r="1354" spans="1:7" x14ac:dyDescent="0.3">
      <c r="A1354" t="s">
        <v>557</v>
      </c>
      <c r="B1354">
        <v>17916</v>
      </c>
      <c r="C1354" t="s">
        <v>5235</v>
      </c>
      <c r="D1354" t="s">
        <v>461</v>
      </c>
      <c r="E1354">
        <v>2</v>
      </c>
      <c r="F1354">
        <v>57.6</v>
      </c>
      <c r="G1354">
        <v>28.8</v>
      </c>
    </row>
    <row r="1355" spans="1:7" x14ac:dyDescent="0.3">
      <c r="A1355" t="s">
        <v>557</v>
      </c>
      <c r="B1355">
        <v>23234</v>
      </c>
      <c r="C1355" t="s">
        <v>4986</v>
      </c>
      <c r="D1355" t="s">
        <v>461</v>
      </c>
      <c r="E1355">
        <v>3</v>
      </c>
      <c r="F1355">
        <v>71</v>
      </c>
      <c r="G1355">
        <v>23.67</v>
      </c>
    </row>
    <row r="1356" spans="1:7" x14ac:dyDescent="0.3">
      <c r="A1356" t="s">
        <v>557</v>
      </c>
      <c r="B1356">
        <v>19526</v>
      </c>
      <c r="C1356" t="s">
        <v>4997</v>
      </c>
      <c r="D1356" t="s">
        <v>461</v>
      </c>
      <c r="E1356">
        <v>3</v>
      </c>
      <c r="F1356">
        <v>207.92</v>
      </c>
      <c r="G1356">
        <v>69.31</v>
      </c>
    </row>
    <row r="1357" spans="1:7" x14ac:dyDescent="0.3">
      <c r="A1357" t="s">
        <v>557</v>
      </c>
      <c r="B1357">
        <v>18945</v>
      </c>
      <c r="C1357" t="s">
        <v>4768</v>
      </c>
      <c r="D1357" t="s">
        <v>461</v>
      </c>
      <c r="E1357">
        <v>20</v>
      </c>
      <c r="F1357">
        <v>1165</v>
      </c>
      <c r="G1357">
        <v>58.25</v>
      </c>
    </row>
    <row r="1358" spans="1:7" x14ac:dyDescent="0.3">
      <c r="A1358" t="s">
        <v>557</v>
      </c>
      <c r="B1358">
        <v>18991</v>
      </c>
      <c r="C1358" t="s">
        <v>4815</v>
      </c>
      <c r="D1358" t="s">
        <v>461</v>
      </c>
      <c r="E1358">
        <v>10</v>
      </c>
      <c r="F1358">
        <v>424.2</v>
      </c>
      <c r="G1358">
        <v>42.42</v>
      </c>
    </row>
    <row r="1359" spans="1:7" x14ac:dyDescent="0.3">
      <c r="A1359" t="s">
        <v>557</v>
      </c>
      <c r="B1359">
        <v>19353</v>
      </c>
      <c r="C1359" t="s">
        <v>4851</v>
      </c>
      <c r="D1359" t="s">
        <v>461</v>
      </c>
      <c r="E1359">
        <v>15</v>
      </c>
      <c r="F1359">
        <v>369</v>
      </c>
      <c r="G1359">
        <v>24.6</v>
      </c>
    </row>
    <row r="1360" spans="1:7" x14ac:dyDescent="0.3">
      <c r="A1360" t="s">
        <v>557</v>
      </c>
      <c r="B1360">
        <v>24522</v>
      </c>
      <c r="C1360" t="s">
        <v>5072</v>
      </c>
      <c r="D1360" t="s">
        <v>461</v>
      </c>
      <c r="E1360">
        <v>5</v>
      </c>
      <c r="F1360">
        <v>121</v>
      </c>
      <c r="G1360">
        <v>24.2</v>
      </c>
    </row>
    <row r="1361" spans="1:7" x14ac:dyDescent="0.3">
      <c r="A1361" t="s">
        <v>557</v>
      </c>
      <c r="B1361">
        <v>24598</v>
      </c>
      <c r="C1361" t="s">
        <v>4852</v>
      </c>
      <c r="D1361" t="s">
        <v>461</v>
      </c>
      <c r="E1361">
        <v>3.05</v>
      </c>
      <c r="F1361">
        <v>39.99</v>
      </c>
      <c r="G1361">
        <v>13.11</v>
      </c>
    </row>
    <row r="1362" spans="1:7" x14ac:dyDescent="0.3">
      <c r="A1362" t="s">
        <v>557</v>
      </c>
      <c r="B1362">
        <v>17196</v>
      </c>
      <c r="C1362" t="s">
        <v>5258</v>
      </c>
      <c r="D1362" t="s">
        <v>461</v>
      </c>
      <c r="E1362">
        <v>2</v>
      </c>
      <c r="F1362">
        <v>12.76</v>
      </c>
      <c r="G1362">
        <v>6.38</v>
      </c>
    </row>
    <row r="1363" spans="1:7" x14ac:dyDescent="0.3">
      <c r="A1363" t="s">
        <v>557</v>
      </c>
      <c r="B1363">
        <v>17190</v>
      </c>
      <c r="C1363" t="s">
        <v>5193</v>
      </c>
      <c r="D1363" t="s">
        <v>461</v>
      </c>
      <c r="E1363">
        <v>8</v>
      </c>
      <c r="F1363">
        <v>64.8</v>
      </c>
      <c r="G1363">
        <v>8.1</v>
      </c>
    </row>
    <row r="1364" spans="1:7" x14ac:dyDescent="0.3">
      <c r="A1364" t="s">
        <v>557</v>
      </c>
      <c r="B1364">
        <v>18030</v>
      </c>
      <c r="C1364" t="s">
        <v>4840</v>
      </c>
      <c r="D1364" t="s">
        <v>461</v>
      </c>
      <c r="E1364">
        <v>10</v>
      </c>
      <c r="F1364">
        <v>279.25</v>
      </c>
      <c r="G1364">
        <v>27.93</v>
      </c>
    </row>
    <row r="1365" spans="1:7" x14ac:dyDescent="0.3">
      <c r="A1365" t="s">
        <v>557</v>
      </c>
      <c r="B1365">
        <v>17455</v>
      </c>
      <c r="C1365" t="s">
        <v>5290</v>
      </c>
      <c r="D1365" t="s">
        <v>461</v>
      </c>
      <c r="E1365">
        <v>1</v>
      </c>
      <c r="F1365">
        <v>35.270000000000003</v>
      </c>
      <c r="G1365">
        <v>35.270000000000003</v>
      </c>
    </row>
    <row r="1366" spans="1:7" x14ac:dyDescent="0.3">
      <c r="A1366" t="s">
        <v>557</v>
      </c>
      <c r="B1366">
        <v>20673</v>
      </c>
      <c r="C1366" t="s">
        <v>5132</v>
      </c>
      <c r="D1366" t="s">
        <v>461</v>
      </c>
      <c r="E1366">
        <v>1</v>
      </c>
      <c r="F1366">
        <v>72.44</v>
      </c>
      <c r="G1366">
        <v>72.44</v>
      </c>
    </row>
    <row r="1367" spans="1:7" x14ac:dyDescent="0.3">
      <c r="A1367" t="s">
        <v>557</v>
      </c>
      <c r="B1367">
        <v>26627</v>
      </c>
      <c r="C1367" t="s">
        <v>5190</v>
      </c>
      <c r="D1367" t="s">
        <v>461</v>
      </c>
      <c r="E1367">
        <v>85</v>
      </c>
      <c r="F1367">
        <v>671.5</v>
      </c>
      <c r="G1367">
        <v>7.9</v>
      </c>
    </row>
    <row r="1368" spans="1:7" x14ac:dyDescent="0.3">
      <c r="A1368" t="s">
        <v>557</v>
      </c>
      <c r="B1368">
        <v>20382</v>
      </c>
      <c r="C1368" t="s">
        <v>4780</v>
      </c>
      <c r="D1368" t="s">
        <v>461</v>
      </c>
      <c r="E1368">
        <v>40</v>
      </c>
      <c r="F1368">
        <v>359.6</v>
      </c>
      <c r="G1368">
        <v>8.99</v>
      </c>
    </row>
    <row r="1369" spans="1:7" x14ac:dyDescent="0.3">
      <c r="A1369" t="s">
        <v>557</v>
      </c>
      <c r="B1369">
        <v>25237</v>
      </c>
      <c r="C1369" t="s">
        <v>5143</v>
      </c>
      <c r="D1369" t="s">
        <v>461</v>
      </c>
      <c r="E1369">
        <v>30</v>
      </c>
      <c r="F1369">
        <v>159.69999999999999</v>
      </c>
      <c r="G1369">
        <v>5.32</v>
      </c>
    </row>
    <row r="1370" spans="1:7" x14ac:dyDescent="0.3">
      <c r="A1370" t="s">
        <v>557</v>
      </c>
      <c r="B1370">
        <v>20322</v>
      </c>
      <c r="C1370" t="s">
        <v>4882</v>
      </c>
      <c r="D1370" t="s">
        <v>461</v>
      </c>
      <c r="E1370">
        <v>6</v>
      </c>
      <c r="F1370">
        <v>64.8</v>
      </c>
      <c r="G1370">
        <v>10.8</v>
      </c>
    </row>
    <row r="1371" spans="1:7" x14ac:dyDescent="0.3">
      <c r="A1371" t="s">
        <v>557</v>
      </c>
      <c r="B1371">
        <v>20358</v>
      </c>
      <c r="C1371" t="s">
        <v>4911</v>
      </c>
      <c r="D1371" t="s">
        <v>461</v>
      </c>
      <c r="E1371">
        <v>10</v>
      </c>
      <c r="F1371">
        <v>143.22</v>
      </c>
      <c r="G1371">
        <v>14.32</v>
      </c>
    </row>
    <row r="1372" spans="1:7" x14ac:dyDescent="0.3">
      <c r="A1372" t="s">
        <v>557</v>
      </c>
      <c r="B1372">
        <v>20242</v>
      </c>
      <c r="C1372" t="s">
        <v>4824</v>
      </c>
      <c r="D1372" t="s">
        <v>461</v>
      </c>
      <c r="E1372">
        <v>21</v>
      </c>
      <c r="F1372">
        <v>315.74</v>
      </c>
      <c r="G1372">
        <v>15.04</v>
      </c>
    </row>
    <row r="1373" spans="1:7" x14ac:dyDescent="0.3">
      <c r="A1373" t="s">
        <v>557</v>
      </c>
      <c r="B1373">
        <v>20231</v>
      </c>
      <c r="C1373" t="s">
        <v>5273</v>
      </c>
      <c r="D1373" t="s">
        <v>461</v>
      </c>
      <c r="E1373">
        <v>2</v>
      </c>
      <c r="F1373">
        <v>32.4</v>
      </c>
      <c r="G1373">
        <v>16.2</v>
      </c>
    </row>
    <row r="1374" spans="1:7" x14ac:dyDescent="0.3">
      <c r="A1374" t="s">
        <v>557</v>
      </c>
      <c r="B1374">
        <v>20227</v>
      </c>
      <c r="C1374" t="s">
        <v>4825</v>
      </c>
      <c r="D1374" t="s">
        <v>461</v>
      </c>
      <c r="E1374">
        <v>15</v>
      </c>
      <c r="F1374">
        <v>182.5</v>
      </c>
      <c r="G1374">
        <v>12.17</v>
      </c>
    </row>
    <row r="1375" spans="1:7" x14ac:dyDescent="0.3">
      <c r="A1375" t="s">
        <v>557</v>
      </c>
      <c r="B1375">
        <v>19017</v>
      </c>
      <c r="C1375" t="s">
        <v>5174</v>
      </c>
      <c r="D1375" t="s">
        <v>461</v>
      </c>
      <c r="E1375">
        <v>18.2</v>
      </c>
      <c r="F1375">
        <v>266.69</v>
      </c>
      <c r="G1375">
        <v>14.65</v>
      </c>
    </row>
    <row r="1376" spans="1:7" x14ac:dyDescent="0.3">
      <c r="A1376" t="s">
        <v>557</v>
      </c>
      <c r="B1376">
        <v>24256</v>
      </c>
      <c r="C1376" t="s">
        <v>4773</v>
      </c>
      <c r="D1376" t="s">
        <v>461</v>
      </c>
      <c r="E1376">
        <v>55</v>
      </c>
      <c r="F1376">
        <v>2073.5</v>
      </c>
      <c r="G1376">
        <v>37.700000000000003</v>
      </c>
    </row>
    <row r="1377" spans="1:7" x14ac:dyDescent="0.3">
      <c r="A1377" t="s">
        <v>557</v>
      </c>
      <c r="B1377">
        <v>24259</v>
      </c>
      <c r="C1377" t="s">
        <v>4875</v>
      </c>
      <c r="D1377" t="s">
        <v>461</v>
      </c>
      <c r="E1377">
        <v>73.989999999999995</v>
      </c>
      <c r="F1377">
        <v>5751.42</v>
      </c>
      <c r="G1377">
        <v>77.73</v>
      </c>
    </row>
    <row r="1378" spans="1:7" x14ac:dyDescent="0.3">
      <c r="A1378" t="s">
        <v>557</v>
      </c>
      <c r="B1378">
        <v>20224</v>
      </c>
      <c r="C1378" t="s">
        <v>5118</v>
      </c>
      <c r="D1378" t="s">
        <v>461</v>
      </c>
      <c r="E1378">
        <v>0.5</v>
      </c>
      <c r="F1378">
        <v>26</v>
      </c>
      <c r="G1378">
        <v>52</v>
      </c>
    </row>
    <row r="1379" spans="1:7" x14ac:dyDescent="0.3">
      <c r="A1379" t="s">
        <v>557</v>
      </c>
      <c r="B1379">
        <v>28467</v>
      </c>
      <c r="C1379" t="s">
        <v>5378</v>
      </c>
      <c r="D1379" t="s">
        <v>461</v>
      </c>
      <c r="E1379">
        <v>1</v>
      </c>
      <c r="F1379">
        <v>15.9</v>
      </c>
      <c r="G1379">
        <v>15.9</v>
      </c>
    </row>
    <row r="1380" spans="1:7" x14ac:dyDescent="0.3">
      <c r="A1380" t="s">
        <v>557</v>
      </c>
      <c r="B1380">
        <v>25777</v>
      </c>
      <c r="C1380" t="s">
        <v>4774</v>
      </c>
      <c r="D1380" t="s">
        <v>461</v>
      </c>
      <c r="E1380">
        <v>101.9</v>
      </c>
      <c r="F1380">
        <v>8661.5</v>
      </c>
      <c r="G1380">
        <v>85</v>
      </c>
    </row>
    <row r="1381" spans="1:7" x14ac:dyDescent="0.3">
      <c r="A1381" t="s">
        <v>557</v>
      </c>
      <c r="B1381">
        <v>24278</v>
      </c>
      <c r="C1381" t="s">
        <v>4901</v>
      </c>
      <c r="D1381" t="s">
        <v>461</v>
      </c>
      <c r="E1381">
        <v>13.1</v>
      </c>
      <c r="F1381">
        <v>167.63</v>
      </c>
      <c r="G1381">
        <v>12.8</v>
      </c>
    </row>
    <row r="1382" spans="1:7" x14ac:dyDescent="0.3">
      <c r="A1382" t="s">
        <v>557</v>
      </c>
      <c r="B1382">
        <v>19765</v>
      </c>
      <c r="C1382" t="s">
        <v>4889</v>
      </c>
      <c r="D1382" t="s">
        <v>461</v>
      </c>
      <c r="E1382">
        <v>8</v>
      </c>
      <c r="F1382">
        <v>287.5</v>
      </c>
      <c r="G1382">
        <v>35.94</v>
      </c>
    </row>
    <row r="1383" spans="1:7" x14ac:dyDescent="0.3">
      <c r="A1383" t="s">
        <v>557</v>
      </c>
      <c r="B1383">
        <v>19003</v>
      </c>
      <c r="C1383" t="s">
        <v>4810</v>
      </c>
      <c r="D1383" t="s">
        <v>461</v>
      </c>
      <c r="E1383">
        <v>65.78</v>
      </c>
      <c r="F1383">
        <v>2624.62</v>
      </c>
      <c r="G1383">
        <v>39.9</v>
      </c>
    </row>
    <row r="1384" spans="1:7" x14ac:dyDescent="0.3">
      <c r="A1384" t="s">
        <v>557</v>
      </c>
      <c r="B1384">
        <v>24497</v>
      </c>
      <c r="C1384" t="s">
        <v>5231</v>
      </c>
      <c r="D1384" t="s">
        <v>461</v>
      </c>
      <c r="E1384">
        <v>3</v>
      </c>
      <c r="F1384">
        <v>380.94</v>
      </c>
      <c r="G1384">
        <v>126.98</v>
      </c>
    </row>
    <row r="1385" spans="1:7" x14ac:dyDescent="0.3">
      <c r="A1385" t="s">
        <v>557</v>
      </c>
      <c r="B1385">
        <v>23971</v>
      </c>
      <c r="C1385" t="s">
        <v>5296</v>
      </c>
      <c r="D1385" t="s">
        <v>461</v>
      </c>
      <c r="E1385">
        <v>3</v>
      </c>
      <c r="F1385">
        <v>31.5</v>
      </c>
      <c r="G1385">
        <v>10.5</v>
      </c>
    </row>
    <row r="1386" spans="1:7" x14ac:dyDescent="0.3">
      <c r="A1386" t="s">
        <v>557</v>
      </c>
      <c r="B1386">
        <v>17092</v>
      </c>
      <c r="C1386" t="s">
        <v>5146</v>
      </c>
      <c r="D1386" t="s">
        <v>461</v>
      </c>
      <c r="E1386">
        <v>78</v>
      </c>
      <c r="F1386">
        <v>168.48</v>
      </c>
      <c r="G1386">
        <v>2.16</v>
      </c>
    </row>
    <row r="1387" spans="1:7" x14ac:dyDescent="0.3">
      <c r="A1387" t="s">
        <v>557</v>
      </c>
      <c r="B1387">
        <v>23974</v>
      </c>
      <c r="C1387" t="s">
        <v>4862</v>
      </c>
      <c r="D1387" t="s">
        <v>461</v>
      </c>
      <c r="E1387">
        <v>78</v>
      </c>
      <c r="F1387">
        <v>168.48</v>
      </c>
      <c r="G1387">
        <v>2.16</v>
      </c>
    </row>
    <row r="1388" spans="1:7" x14ac:dyDescent="0.3">
      <c r="A1388" t="s">
        <v>557</v>
      </c>
      <c r="B1388">
        <v>19607</v>
      </c>
      <c r="C1388" t="s">
        <v>4981</v>
      </c>
      <c r="D1388" t="s">
        <v>461</v>
      </c>
      <c r="E1388">
        <v>1.6</v>
      </c>
      <c r="F1388">
        <v>23.7</v>
      </c>
      <c r="G1388">
        <v>14.81</v>
      </c>
    </row>
    <row r="1389" spans="1:7" x14ac:dyDescent="0.3">
      <c r="A1389" t="s">
        <v>557</v>
      </c>
      <c r="B1389">
        <v>18359</v>
      </c>
      <c r="C1389" t="s">
        <v>4921</v>
      </c>
      <c r="D1389" t="s">
        <v>461</v>
      </c>
      <c r="E1389">
        <v>3</v>
      </c>
      <c r="F1389">
        <v>284.39999999999998</v>
      </c>
      <c r="G1389">
        <v>94.8</v>
      </c>
    </row>
    <row r="1390" spans="1:7" x14ac:dyDescent="0.3">
      <c r="A1390" t="s">
        <v>557</v>
      </c>
      <c r="B1390">
        <v>21021</v>
      </c>
      <c r="C1390" t="s">
        <v>4883</v>
      </c>
      <c r="D1390" t="s">
        <v>461</v>
      </c>
      <c r="E1390">
        <v>13</v>
      </c>
      <c r="F1390">
        <v>2378.8000000000002</v>
      </c>
      <c r="G1390">
        <v>182.98</v>
      </c>
    </row>
    <row r="1391" spans="1:7" x14ac:dyDescent="0.3">
      <c r="A1391" t="s">
        <v>557</v>
      </c>
      <c r="B1391">
        <v>17905</v>
      </c>
      <c r="C1391" t="s">
        <v>5085</v>
      </c>
      <c r="D1391" t="s">
        <v>461</v>
      </c>
      <c r="E1391">
        <v>30</v>
      </c>
      <c r="F1391">
        <v>665.82</v>
      </c>
      <c r="G1391">
        <v>22.19</v>
      </c>
    </row>
    <row r="1392" spans="1:7" x14ac:dyDescent="0.3">
      <c r="A1392" t="s">
        <v>557</v>
      </c>
      <c r="B1392">
        <v>17903</v>
      </c>
      <c r="C1392" t="s">
        <v>5084</v>
      </c>
      <c r="D1392" t="s">
        <v>461</v>
      </c>
      <c r="E1392">
        <v>10</v>
      </c>
      <c r="F1392">
        <v>227.5</v>
      </c>
      <c r="G1392">
        <v>22.75</v>
      </c>
    </row>
    <row r="1393" spans="1:7" x14ac:dyDescent="0.3">
      <c r="A1393" t="s">
        <v>557</v>
      </c>
      <c r="B1393">
        <v>28659</v>
      </c>
      <c r="C1393" t="s">
        <v>5354</v>
      </c>
      <c r="D1393" t="s">
        <v>461</v>
      </c>
      <c r="E1393">
        <v>3</v>
      </c>
      <c r="F1393">
        <v>480</v>
      </c>
      <c r="G1393">
        <v>160</v>
      </c>
    </row>
    <row r="1394" spans="1:7" x14ac:dyDescent="0.3">
      <c r="A1394" t="s">
        <v>557</v>
      </c>
      <c r="B1394">
        <v>27657</v>
      </c>
      <c r="C1394" t="s">
        <v>5137</v>
      </c>
      <c r="D1394" t="s">
        <v>461</v>
      </c>
      <c r="E1394">
        <v>20.48</v>
      </c>
      <c r="F1394">
        <v>818.18</v>
      </c>
      <c r="G1394">
        <v>39.950000000000003</v>
      </c>
    </row>
    <row r="1395" spans="1:7" x14ac:dyDescent="0.3">
      <c r="A1395" t="s">
        <v>557</v>
      </c>
      <c r="B1395">
        <v>26592</v>
      </c>
      <c r="C1395" t="s">
        <v>5141</v>
      </c>
      <c r="D1395" t="s">
        <v>461</v>
      </c>
      <c r="E1395">
        <v>8.34</v>
      </c>
      <c r="F1395">
        <v>308.58</v>
      </c>
      <c r="G1395">
        <v>37</v>
      </c>
    </row>
    <row r="1396" spans="1:7" x14ac:dyDescent="0.3">
      <c r="A1396" t="s">
        <v>557</v>
      </c>
      <c r="B1396">
        <v>19480</v>
      </c>
      <c r="C1396" t="s">
        <v>5119</v>
      </c>
      <c r="D1396" t="s">
        <v>461</v>
      </c>
      <c r="E1396">
        <v>4.0999999999999996</v>
      </c>
      <c r="F1396">
        <v>71.3</v>
      </c>
      <c r="G1396">
        <v>17.39</v>
      </c>
    </row>
    <row r="1397" spans="1:7" x14ac:dyDescent="0.3">
      <c r="A1397" t="s">
        <v>557</v>
      </c>
      <c r="B1397">
        <v>19241</v>
      </c>
      <c r="C1397" t="s">
        <v>4890</v>
      </c>
      <c r="D1397" t="s">
        <v>461</v>
      </c>
      <c r="E1397">
        <v>8</v>
      </c>
      <c r="F1397">
        <v>28.8</v>
      </c>
      <c r="G1397">
        <v>3.6</v>
      </c>
    </row>
    <row r="1398" spans="1:7" x14ac:dyDescent="0.3">
      <c r="A1398" t="s">
        <v>557</v>
      </c>
      <c r="B1398">
        <v>20057</v>
      </c>
      <c r="C1398" t="s">
        <v>4949</v>
      </c>
      <c r="D1398" t="s">
        <v>461</v>
      </c>
      <c r="E1398">
        <v>2</v>
      </c>
      <c r="F1398">
        <v>84.36</v>
      </c>
      <c r="G1398">
        <v>42.18</v>
      </c>
    </row>
    <row r="1399" spans="1:7" x14ac:dyDescent="0.3">
      <c r="A1399" t="s">
        <v>557</v>
      </c>
      <c r="B1399">
        <v>23365</v>
      </c>
      <c r="C1399" t="s">
        <v>5108</v>
      </c>
      <c r="D1399" t="s">
        <v>461</v>
      </c>
      <c r="E1399">
        <v>2.5</v>
      </c>
      <c r="F1399">
        <v>59.01</v>
      </c>
      <c r="G1399">
        <v>23.6</v>
      </c>
    </row>
    <row r="1400" spans="1:7" x14ac:dyDescent="0.3">
      <c r="A1400" t="s">
        <v>557</v>
      </c>
      <c r="B1400">
        <v>24320</v>
      </c>
      <c r="C1400" t="s">
        <v>4861</v>
      </c>
      <c r="D1400" t="s">
        <v>461</v>
      </c>
      <c r="E1400">
        <v>6.3</v>
      </c>
      <c r="F1400">
        <v>226.17</v>
      </c>
      <c r="G1400">
        <v>35.9</v>
      </c>
    </row>
    <row r="1401" spans="1:7" x14ac:dyDescent="0.3">
      <c r="A1401" t="s">
        <v>557</v>
      </c>
      <c r="B1401">
        <v>23361</v>
      </c>
      <c r="C1401" t="s">
        <v>4754</v>
      </c>
      <c r="D1401" t="s">
        <v>461</v>
      </c>
      <c r="E1401">
        <v>230</v>
      </c>
      <c r="F1401">
        <v>782.5</v>
      </c>
      <c r="G1401">
        <v>3.4</v>
      </c>
    </row>
    <row r="1402" spans="1:7" x14ac:dyDescent="0.3">
      <c r="A1402" t="s">
        <v>557</v>
      </c>
      <c r="B1402">
        <v>20657</v>
      </c>
      <c r="C1402" t="s">
        <v>5109</v>
      </c>
      <c r="D1402" t="s">
        <v>461</v>
      </c>
      <c r="E1402">
        <v>19</v>
      </c>
      <c r="F1402">
        <v>124.44</v>
      </c>
      <c r="G1402">
        <v>6.55</v>
      </c>
    </row>
    <row r="1403" spans="1:7" x14ac:dyDescent="0.3">
      <c r="A1403" t="s">
        <v>557</v>
      </c>
      <c r="B1403">
        <v>20661</v>
      </c>
      <c r="C1403" t="s">
        <v>5012</v>
      </c>
      <c r="D1403" t="s">
        <v>461</v>
      </c>
      <c r="E1403">
        <v>13</v>
      </c>
      <c r="F1403">
        <v>108.13</v>
      </c>
      <c r="G1403">
        <v>8.32</v>
      </c>
    </row>
    <row r="1404" spans="1:7" x14ac:dyDescent="0.3">
      <c r="A1404" t="s">
        <v>557</v>
      </c>
      <c r="B1404">
        <v>20653</v>
      </c>
      <c r="C1404" t="s">
        <v>5013</v>
      </c>
      <c r="D1404" t="s">
        <v>461</v>
      </c>
      <c r="E1404">
        <v>3</v>
      </c>
      <c r="F1404">
        <v>77.88</v>
      </c>
      <c r="G1404">
        <v>25.96</v>
      </c>
    </row>
    <row r="1405" spans="1:7" x14ac:dyDescent="0.3">
      <c r="A1405" t="s">
        <v>557</v>
      </c>
      <c r="B1405">
        <v>19434</v>
      </c>
      <c r="C1405" t="s">
        <v>5078</v>
      </c>
      <c r="D1405" t="s">
        <v>461</v>
      </c>
      <c r="E1405">
        <v>2</v>
      </c>
      <c r="F1405">
        <v>42.84</v>
      </c>
      <c r="G1405">
        <v>21.42</v>
      </c>
    </row>
    <row r="1406" spans="1:7" x14ac:dyDescent="0.3">
      <c r="A1406" t="s">
        <v>557</v>
      </c>
      <c r="B1406">
        <v>19421</v>
      </c>
      <c r="C1406" t="s">
        <v>4918</v>
      </c>
      <c r="D1406" t="s">
        <v>461</v>
      </c>
      <c r="E1406">
        <v>8</v>
      </c>
      <c r="F1406">
        <v>473.86</v>
      </c>
      <c r="G1406">
        <v>59.23</v>
      </c>
    </row>
    <row r="1407" spans="1:7" x14ac:dyDescent="0.3">
      <c r="A1407" t="s">
        <v>557</v>
      </c>
      <c r="B1407">
        <v>24322</v>
      </c>
      <c r="C1407" t="s">
        <v>5064</v>
      </c>
      <c r="D1407" t="s">
        <v>461</v>
      </c>
      <c r="E1407">
        <v>5</v>
      </c>
      <c r="F1407">
        <v>110</v>
      </c>
      <c r="G1407">
        <v>22</v>
      </c>
    </row>
    <row r="1408" spans="1:7" x14ac:dyDescent="0.3">
      <c r="A1408" t="s">
        <v>557</v>
      </c>
      <c r="B1408">
        <v>18327</v>
      </c>
      <c r="C1408" t="s">
        <v>5035</v>
      </c>
      <c r="D1408" t="s">
        <v>461</v>
      </c>
      <c r="E1408">
        <v>1</v>
      </c>
      <c r="F1408">
        <v>104.73</v>
      </c>
      <c r="G1408">
        <v>104.73</v>
      </c>
    </row>
    <row r="1409" spans="1:7" x14ac:dyDescent="0.3">
      <c r="A1409" t="s">
        <v>557</v>
      </c>
      <c r="B1409">
        <v>18315</v>
      </c>
      <c r="C1409" t="s">
        <v>4922</v>
      </c>
      <c r="D1409" t="s">
        <v>461</v>
      </c>
      <c r="E1409">
        <v>7</v>
      </c>
      <c r="F1409">
        <v>931</v>
      </c>
      <c r="G1409">
        <v>133</v>
      </c>
    </row>
    <row r="1410" spans="1:7" x14ac:dyDescent="0.3">
      <c r="A1410" t="s">
        <v>557</v>
      </c>
      <c r="B1410">
        <v>19752</v>
      </c>
      <c r="C1410" t="s">
        <v>4807</v>
      </c>
      <c r="D1410" t="s">
        <v>461</v>
      </c>
      <c r="E1410">
        <v>16</v>
      </c>
      <c r="F1410">
        <v>130.9</v>
      </c>
      <c r="G1410">
        <v>8.18</v>
      </c>
    </row>
    <row r="1411" spans="1:7" x14ac:dyDescent="0.3">
      <c r="A1411" t="s">
        <v>557</v>
      </c>
      <c r="B1411">
        <v>19751</v>
      </c>
      <c r="C1411" t="s">
        <v>4800</v>
      </c>
      <c r="D1411" t="s">
        <v>461</v>
      </c>
      <c r="E1411">
        <v>23</v>
      </c>
      <c r="F1411">
        <v>268.86</v>
      </c>
      <c r="G1411">
        <v>11.69</v>
      </c>
    </row>
    <row r="1412" spans="1:7" x14ac:dyDescent="0.3">
      <c r="A1412" t="s">
        <v>557</v>
      </c>
      <c r="B1412">
        <v>23359</v>
      </c>
      <c r="C1412" t="s">
        <v>4767</v>
      </c>
      <c r="D1412" t="s">
        <v>461</v>
      </c>
      <c r="E1412">
        <v>157</v>
      </c>
      <c r="F1412">
        <v>415.22</v>
      </c>
      <c r="G1412">
        <v>2.64</v>
      </c>
    </row>
    <row r="1413" spans="1:7" x14ac:dyDescent="0.3">
      <c r="A1413" t="s">
        <v>557</v>
      </c>
      <c r="B1413">
        <v>17182</v>
      </c>
      <c r="C1413" t="s">
        <v>5201</v>
      </c>
      <c r="D1413" t="s">
        <v>461</v>
      </c>
      <c r="E1413">
        <v>1</v>
      </c>
      <c r="F1413">
        <v>38.979999999999997</v>
      </c>
      <c r="G1413">
        <v>38.979999999999997</v>
      </c>
    </row>
    <row r="1414" spans="1:7" x14ac:dyDescent="0.3">
      <c r="A1414" t="s">
        <v>557</v>
      </c>
      <c r="B1414">
        <v>24331</v>
      </c>
      <c r="C1414" t="s">
        <v>5166</v>
      </c>
      <c r="D1414" t="s">
        <v>461</v>
      </c>
      <c r="E1414">
        <v>10</v>
      </c>
      <c r="F1414">
        <v>219</v>
      </c>
      <c r="G1414">
        <v>21.9</v>
      </c>
    </row>
    <row r="1415" spans="1:7" x14ac:dyDescent="0.3">
      <c r="A1415" t="s">
        <v>557</v>
      </c>
      <c r="B1415">
        <v>24339</v>
      </c>
      <c r="C1415" t="s">
        <v>4885</v>
      </c>
      <c r="D1415" t="s">
        <v>461</v>
      </c>
      <c r="E1415">
        <v>8.4</v>
      </c>
      <c r="F1415">
        <v>236.46</v>
      </c>
      <c r="G1415">
        <v>28.15</v>
      </c>
    </row>
    <row r="1416" spans="1:7" x14ac:dyDescent="0.3">
      <c r="A1416" t="s">
        <v>557</v>
      </c>
      <c r="B1416">
        <v>20501</v>
      </c>
      <c r="C1416" t="s">
        <v>4760</v>
      </c>
      <c r="D1416" t="s">
        <v>461</v>
      </c>
      <c r="E1416">
        <v>125</v>
      </c>
      <c r="F1416">
        <v>2709.5</v>
      </c>
      <c r="G1416">
        <v>21.68</v>
      </c>
    </row>
    <row r="1417" spans="1:7" x14ac:dyDescent="0.3">
      <c r="A1417" t="s">
        <v>557</v>
      </c>
      <c r="B1417">
        <v>23980</v>
      </c>
      <c r="C1417" t="s">
        <v>5097</v>
      </c>
      <c r="D1417" t="s">
        <v>461</v>
      </c>
      <c r="E1417">
        <v>54</v>
      </c>
      <c r="F1417">
        <v>2106</v>
      </c>
      <c r="G1417">
        <v>39</v>
      </c>
    </row>
    <row r="1418" spans="1:7" x14ac:dyDescent="0.3">
      <c r="A1418" t="s">
        <v>557</v>
      </c>
      <c r="B1418">
        <v>19478</v>
      </c>
      <c r="C1418" t="s">
        <v>5283</v>
      </c>
      <c r="D1418" t="s">
        <v>461</v>
      </c>
      <c r="E1418">
        <v>1.7</v>
      </c>
      <c r="F1418">
        <v>116</v>
      </c>
      <c r="G1418">
        <v>68.239999999999995</v>
      </c>
    </row>
    <row r="1419" spans="1:7" x14ac:dyDescent="0.3">
      <c r="A1419" t="s">
        <v>557</v>
      </c>
      <c r="B1419">
        <v>17017</v>
      </c>
      <c r="C1419" t="s">
        <v>5199</v>
      </c>
      <c r="D1419" t="s">
        <v>461</v>
      </c>
      <c r="E1419">
        <v>4</v>
      </c>
      <c r="F1419">
        <v>12</v>
      </c>
      <c r="G1419">
        <v>3</v>
      </c>
    </row>
    <row r="1420" spans="1:7" x14ac:dyDescent="0.3">
      <c r="A1420" t="s">
        <v>557</v>
      </c>
      <c r="B1420">
        <v>17504</v>
      </c>
      <c r="C1420" t="s">
        <v>5260</v>
      </c>
      <c r="D1420" t="s">
        <v>461</v>
      </c>
      <c r="E1420">
        <v>5</v>
      </c>
      <c r="F1420">
        <v>105</v>
      </c>
      <c r="G1420">
        <v>21</v>
      </c>
    </row>
    <row r="1421" spans="1:7" x14ac:dyDescent="0.3">
      <c r="A1421" t="s">
        <v>557</v>
      </c>
      <c r="B1421">
        <v>23349</v>
      </c>
      <c r="C1421" t="s">
        <v>4988</v>
      </c>
      <c r="D1421" t="s">
        <v>461</v>
      </c>
      <c r="E1421">
        <v>1</v>
      </c>
      <c r="F1421">
        <v>9.5</v>
      </c>
      <c r="G1421">
        <v>9.5</v>
      </c>
    </row>
    <row r="1422" spans="1:7" x14ac:dyDescent="0.3">
      <c r="A1422" t="s">
        <v>557</v>
      </c>
      <c r="B1422">
        <v>19743</v>
      </c>
      <c r="C1422" t="s">
        <v>5047</v>
      </c>
      <c r="D1422" t="s">
        <v>461</v>
      </c>
      <c r="E1422">
        <v>1.5</v>
      </c>
      <c r="F1422">
        <v>22.5</v>
      </c>
      <c r="G1422">
        <v>15</v>
      </c>
    </row>
    <row r="1423" spans="1:7" x14ac:dyDescent="0.3">
      <c r="A1423" t="s">
        <v>557</v>
      </c>
      <c r="B1423">
        <v>20138</v>
      </c>
      <c r="C1423" t="s">
        <v>4886</v>
      </c>
      <c r="D1423" t="s">
        <v>461</v>
      </c>
      <c r="E1423">
        <v>11</v>
      </c>
      <c r="F1423">
        <v>56.1</v>
      </c>
      <c r="G1423">
        <v>5.0999999999999996</v>
      </c>
    </row>
    <row r="1424" spans="1:7" x14ac:dyDescent="0.3">
      <c r="A1424" t="s">
        <v>557</v>
      </c>
      <c r="B1424">
        <v>25022</v>
      </c>
      <c r="C1424" t="s">
        <v>4912</v>
      </c>
      <c r="D1424" t="s">
        <v>461</v>
      </c>
      <c r="E1424">
        <v>12</v>
      </c>
      <c r="F1424">
        <v>54.76</v>
      </c>
      <c r="G1424">
        <v>4.5599999999999996</v>
      </c>
    </row>
    <row r="1425" spans="1:7" x14ac:dyDescent="0.3">
      <c r="A1425" t="s">
        <v>557</v>
      </c>
      <c r="B1425">
        <v>20007</v>
      </c>
      <c r="C1425" t="s">
        <v>5101</v>
      </c>
      <c r="D1425" t="s">
        <v>461</v>
      </c>
      <c r="E1425">
        <v>11</v>
      </c>
      <c r="F1425">
        <v>551.20000000000005</v>
      </c>
      <c r="G1425">
        <v>50.11</v>
      </c>
    </row>
    <row r="1426" spans="1:7" x14ac:dyDescent="0.3">
      <c r="A1426" t="s">
        <v>557</v>
      </c>
      <c r="B1426">
        <v>19742</v>
      </c>
      <c r="C1426" t="s">
        <v>4900</v>
      </c>
      <c r="D1426" t="s">
        <v>461</v>
      </c>
      <c r="E1426">
        <v>11</v>
      </c>
      <c r="F1426">
        <v>119.54</v>
      </c>
      <c r="G1426">
        <v>10.87</v>
      </c>
    </row>
    <row r="1427" spans="1:7" x14ac:dyDescent="0.3">
      <c r="A1427" t="s">
        <v>557</v>
      </c>
      <c r="B1427">
        <v>23228</v>
      </c>
      <c r="C1427" t="s">
        <v>4782</v>
      </c>
      <c r="D1427" t="s">
        <v>461</v>
      </c>
      <c r="E1427">
        <v>70</v>
      </c>
      <c r="F1427">
        <v>457.1</v>
      </c>
      <c r="G1427">
        <v>6.53</v>
      </c>
    </row>
    <row r="1428" spans="1:7" x14ac:dyDescent="0.3">
      <c r="A1428" t="s">
        <v>557</v>
      </c>
      <c r="B1428">
        <v>23346</v>
      </c>
      <c r="C1428" t="s">
        <v>4916</v>
      </c>
      <c r="D1428" t="s">
        <v>461</v>
      </c>
      <c r="E1428">
        <v>14.6</v>
      </c>
      <c r="F1428">
        <v>115.52</v>
      </c>
      <c r="G1428">
        <v>7.91</v>
      </c>
    </row>
    <row r="1429" spans="1:7" x14ac:dyDescent="0.3">
      <c r="A1429" t="s">
        <v>557</v>
      </c>
      <c r="B1429">
        <v>19476</v>
      </c>
      <c r="C1429" t="s">
        <v>5115</v>
      </c>
      <c r="D1429" t="s">
        <v>461</v>
      </c>
      <c r="E1429">
        <v>2.4</v>
      </c>
      <c r="F1429">
        <v>153.63</v>
      </c>
      <c r="G1429">
        <v>64.010000000000005</v>
      </c>
    </row>
    <row r="1430" spans="1:7" x14ac:dyDescent="0.3">
      <c r="A1430" t="s">
        <v>557</v>
      </c>
      <c r="B1430">
        <v>23088</v>
      </c>
      <c r="C1430" t="s">
        <v>5027</v>
      </c>
      <c r="D1430" t="s">
        <v>461</v>
      </c>
      <c r="E1430">
        <v>6</v>
      </c>
      <c r="F1430">
        <v>149.4</v>
      </c>
      <c r="G1430">
        <v>24.9</v>
      </c>
    </row>
    <row r="1431" spans="1:7" x14ac:dyDescent="0.3">
      <c r="A1431" t="s">
        <v>557</v>
      </c>
      <c r="B1431">
        <v>19405</v>
      </c>
      <c r="C1431" t="s">
        <v>5158</v>
      </c>
      <c r="D1431" t="s">
        <v>461</v>
      </c>
      <c r="E1431">
        <v>1</v>
      </c>
      <c r="F1431">
        <v>135.9</v>
      </c>
      <c r="G1431">
        <v>135.9</v>
      </c>
    </row>
    <row r="1432" spans="1:7" x14ac:dyDescent="0.3">
      <c r="A1432" t="s">
        <v>557</v>
      </c>
      <c r="B1432">
        <v>19401</v>
      </c>
      <c r="C1432" t="s">
        <v>4809</v>
      </c>
      <c r="D1432" t="s">
        <v>461</v>
      </c>
      <c r="E1432">
        <v>4</v>
      </c>
      <c r="F1432">
        <v>919.6</v>
      </c>
      <c r="G1432">
        <v>229.9</v>
      </c>
    </row>
    <row r="1433" spans="1:7" x14ac:dyDescent="0.3">
      <c r="A1433" t="s">
        <v>557</v>
      </c>
      <c r="B1433">
        <v>19740</v>
      </c>
      <c r="C1433" t="s">
        <v>4779</v>
      </c>
      <c r="D1433" t="s">
        <v>461</v>
      </c>
      <c r="E1433">
        <v>77</v>
      </c>
      <c r="F1433">
        <v>730.69</v>
      </c>
      <c r="G1433">
        <v>9.49</v>
      </c>
    </row>
    <row r="1434" spans="1:7" x14ac:dyDescent="0.3">
      <c r="A1434" t="s">
        <v>557</v>
      </c>
      <c r="B1434">
        <v>19415</v>
      </c>
      <c r="C1434" t="s">
        <v>4919</v>
      </c>
      <c r="D1434" t="s">
        <v>461</v>
      </c>
      <c r="E1434">
        <v>7</v>
      </c>
      <c r="F1434">
        <v>61.57</v>
      </c>
      <c r="G1434">
        <v>8.8000000000000007</v>
      </c>
    </row>
    <row r="1435" spans="1:7" x14ac:dyDescent="0.3">
      <c r="A1435" t="s">
        <v>557</v>
      </c>
      <c r="B1435">
        <v>17474</v>
      </c>
      <c r="C1435" t="s">
        <v>5213</v>
      </c>
      <c r="D1435" t="s">
        <v>461</v>
      </c>
      <c r="E1435">
        <v>1</v>
      </c>
      <c r="F1435">
        <v>75</v>
      </c>
      <c r="G1435">
        <v>75</v>
      </c>
    </row>
    <row r="1436" spans="1:7" x14ac:dyDescent="0.3">
      <c r="A1436" t="s">
        <v>557</v>
      </c>
      <c r="B1436">
        <v>17473</v>
      </c>
      <c r="C1436" t="s">
        <v>5256</v>
      </c>
      <c r="D1436" t="s">
        <v>461</v>
      </c>
      <c r="E1436">
        <v>1</v>
      </c>
      <c r="F1436">
        <v>85</v>
      </c>
      <c r="G1436">
        <v>85</v>
      </c>
    </row>
    <row r="1437" spans="1:7" x14ac:dyDescent="0.3">
      <c r="A1437" t="s">
        <v>557</v>
      </c>
      <c r="B1437">
        <v>24351</v>
      </c>
      <c r="C1437" t="s">
        <v>5014</v>
      </c>
      <c r="D1437" t="s">
        <v>461</v>
      </c>
      <c r="E1437">
        <v>58</v>
      </c>
      <c r="F1437">
        <v>840</v>
      </c>
      <c r="G1437">
        <v>14.48</v>
      </c>
    </row>
    <row r="1438" spans="1:7" x14ac:dyDescent="0.3">
      <c r="A1438" t="s">
        <v>557</v>
      </c>
      <c r="B1438">
        <v>20122</v>
      </c>
      <c r="C1438" t="s">
        <v>4781</v>
      </c>
      <c r="D1438" t="s">
        <v>461</v>
      </c>
      <c r="E1438">
        <v>22.32</v>
      </c>
      <c r="F1438">
        <v>693.47</v>
      </c>
      <c r="G1438">
        <v>31.07</v>
      </c>
    </row>
    <row r="1439" spans="1:7" x14ac:dyDescent="0.3">
      <c r="A1439" t="s">
        <v>557</v>
      </c>
      <c r="B1439">
        <v>20105</v>
      </c>
      <c r="C1439" t="s">
        <v>4831</v>
      </c>
      <c r="D1439" t="s">
        <v>461</v>
      </c>
      <c r="E1439">
        <v>3</v>
      </c>
      <c r="F1439">
        <v>78</v>
      </c>
      <c r="G1439">
        <v>26</v>
      </c>
    </row>
    <row r="1440" spans="1:7" x14ac:dyDescent="0.3">
      <c r="A1440" t="s">
        <v>557</v>
      </c>
      <c r="B1440">
        <v>25075</v>
      </c>
      <c r="C1440" t="s">
        <v>4790</v>
      </c>
      <c r="D1440" t="s">
        <v>461</v>
      </c>
      <c r="E1440">
        <v>18</v>
      </c>
      <c r="F1440">
        <v>302.39999999999998</v>
      </c>
      <c r="G1440">
        <v>16.8</v>
      </c>
    </row>
    <row r="1441" spans="1:7" x14ac:dyDescent="0.3">
      <c r="A1441" t="s">
        <v>557</v>
      </c>
      <c r="B1441">
        <v>20887</v>
      </c>
      <c r="C1441" t="s">
        <v>4953</v>
      </c>
      <c r="D1441" t="s">
        <v>461</v>
      </c>
      <c r="E1441">
        <v>2</v>
      </c>
      <c r="F1441">
        <v>68</v>
      </c>
      <c r="G1441">
        <v>34</v>
      </c>
    </row>
    <row r="1442" spans="1:7" x14ac:dyDescent="0.3">
      <c r="A1442" t="s">
        <v>557</v>
      </c>
      <c r="B1442">
        <v>20871</v>
      </c>
      <c r="C1442" t="s">
        <v>5015</v>
      </c>
      <c r="D1442" t="s">
        <v>461</v>
      </c>
      <c r="E1442">
        <v>2</v>
      </c>
      <c r="F1442">
        <v>39.78</v>
      </c>
      <c r="G1442">
        <v>19.89</v>
      </c>
    </row>
    <row r="1443" spans="1:7" x14ac:dyDescent="0.3">
      <c r="A1443" t="s">
        <v>557</v>
      </c>
      <c r="B1443">
        <v>19737</v>
      </c>
      <c r="C1443" t="s">
        <v>4940</v>
      </c>
      <c r="D1443" t="s">
        <v>461</v>
      </c>
      <c r="E1443">
        <v>13</v>
      </c>
      <c r="F1443">
        <v>79.78</v>
      </c>
      <c r="G1443">
        <v>6.14</v>
      </c>
    </row>
    <row r="1444" spans="1:7" x14ac:dyDescent="0.3">
      <c r="A1444" t="s">
        <v>557</v>
      </c>
      <c r="B1444">
        <v>19734</v>
      </c>
      <c r="C1444" t="s">
        <v>4833</v>
      </c>
      <c r="D1444" t="s">
        <v>461</v>
      </c>
      <c r="E1444">
        <v>43.29</v>
      </c>
      <c r="F1444">
        <v>562.73</v>
      </c>
      <c r="G1444">
        <v>13</v>
      </c>
    </row>
    <row r="1445" spans="1:7" x14ac:dyDescent="0.3">
      <c r="A1445" t="s">
        <v>557</v>
      </c>
      <c r="B1445">
        <v>20644</v>
      </c>
      <c r="C1445" t="s">
        <v>5016</v>
      </c>
      <c r="D1445" t="s">
        <v>461</v>
      </c>
      <c r="E1445">
        <v>9</v>
      </c>
      <c r="F1445">
        <v>35.01</v>
      </c>
      <c r="G1445">
        <v>3.89</v>
      </c>
    </row>
    <row r="1446" spans="1:7" x14ac:dyDescent="0.3">
      <c r="A1446" t="s">
        <v>557</v>
      </c>
      <c r="B1446">
        <v>19978</v>
      </c>
      <c r="C1446" t="s">
        <v>4887</v>
      </c>
      <c r="D1446" t="s">
        <v>461</v>
      </c>
      <c r="E1446">
        <v>2</v>
      </c>
      <c r="F1446">
        <v>42.9</v>
      </c>
      <c r="G1446">
        <v>21.45</v>
      </c>
    </row>
    <row r="1447" spans="1:7" x14ac:dyDescent="0.3">
      <c r="A1447" t="s">
        <v>557</v>
      </c>
      <c r="B1447">
        <v>19979</v>
      </c>
      <c r="C1447" t="s">
        <v>5270</v>
      </c>
      <c r="D1447" t="s">
        <v>461</v>
      </c>
      <c r="E1447">
        <v>4</v>
      </c>
      <c r="F1447">
        <v>85.8</v>
      </c>
      <c r="G1447">
        <v>21.45</v>
      </c>
    </row>
    <row r="1448" spans="1:7" x14ac:dyDescent="0.3">
      <c r="A1448" t="s">
        <v>557</v>
      </c>
      <c r="B1448">
        <v>19983</v>
      </c>
      <c r="C1448" t="s">
        <v>5068</v>
      </c>
      <c r="D1448" t="s">
        <v>461</v>
      </c>
      <c r="E1448">
        <v>2</v>
      </c>
      <c r="F1448">
        <v>39.6</v>
      </c>
      <c r="G1448">
        <v>19.8</v>
      </c>
    </row>
    <row r="1449" spans="1:7" x14ac:dyDescent="0.3">
      <c r="A1449" t="s">
        <v>557</v>
      </c>
      <c r="B1449">
        <v>19969</v>
      </c>
      <c r="C1449" t="s">
        <v>5018</v>
      </c>
      <c r="D1449" t="s">
        <v>461</v>
      </c>
      <c r="E1449">
        <v>4</v>
      </c>
      <c r="F1449">
        <v>39.68</v>
      </c>
      <c r="G1449">
        <v>9.92</v>
      </c>
    </row>
    <row r="1450" spans="1:7" x14ac:dyDescent="0.3">
      <c r="A1450" t="s">
        <v>557</v>
      </c>
      <c r="B1450">
        <v>23335</v>
      </c>
      <c r="C1450" t="s">
        <v>4961</v>
      </c>
      <c r="D1450" t="s">
        <v>461</v>
      </c>
      <c r="E1450">
        <v>5.7</v>
      </c>
      <c r="F1450">
        <v>173.97</v>
      </c>
      <c r="G1450">
        <v>30.52</v>
      </c>
    </row>
    <row r="1451" spans="1:7" x14ac:dyDescent="0.3">
      <c r="A1451" t="s">
        <v>557</v>
      </c>
      <c r="B1451">
        <v>19967</v>
      </c>
      <c r="C1451" t="s">
        <v>4956</v>
      </c>
      <c r="D1451" t="s">
        <v>461</v>
      </c>
      <c r="E1451">
        <v>4</v>
      </c>
      <c r="F1451">
        <v>196.93</v>
      </c>
      <c r="G1451">
        <v>49.23</v>
      </c>
    </row>
    <row r="1452" spans="1:7" x14ac:dyDescent="0.3">
      <c r="A1452" t="s">
        <v>557</v>
      </c>
      <c r="B1452">
        <v>27397</v>
      </c>
      <c r="C1452" t="s">
        <v>4913</v>
      </c>
      <c r="D1452" t="s">
        <v>461</v>
      </c>
      <c r="E1452">
        <v>13</v>
      </c>
      <c r="F1452">
        <v>807.36</v>
      </c>
      <c r="G1452">
        <v>62.1</v>
      </c>
    </row>
    <row r="1453" spans="1:7" x14ac:dyDescent="0.3">
      <c r="A1453" t="s">
        <v>557</v>
      </c>
      <c r="B1453">
        <v>20984</v>
      </c>
      <c r="C1453" t="s">
        <v>5133</v>
      </c>
      <c r="D1453" t="s">
        <v>461</v>
      </c>
      <c r="E1453">
        <v>40</v>
      </c>
      <c r="F1453">
        <v>348.8</v>
      </c>
      <c r="G1453">
        <v>8.7200000000000006</v>
      </c>
    </row>
    <row r="1454" spans="1:7" x14ac:dyDescent="0.3">
      <c r="A1454" t="s">
        <v>557</v>
      </c>
      <c r="B1454">
        <v>23503</v>
      </c>
      <c r="C1454" t="s">
        <v>5048</v>
      </c>
      <c r="D1454" t="s">
        <v>461</v>
      </c>
      <c r="E1454">
        <v>1</v>
      </c>
      <c r="F1454">
        <v>23.3</v>
      </c>
      <c r="G1454">
        <v>23.3</v>
      </c>
    </row>
    <row r="1455" spans="1:7" x14ac:dyDescent="0.3">
      <c r="A1455" t="s">
        <v>557</v>
      </c>
      <c r="B1455">
        <v>23095</v>
      </c>
      <c r="C1455" t="s">
        <v>4741</v>
      </c>
      <c r="D1455" t="s">
        <v>461</v>
      </c>
      <c r="E1455">
        <v>1140</v>
      </c>
      <c r="F1455">
        <v>1508.6</v>
      </c>
      <c r="G1455">
        <v>1.32</v>
      </c>
    </row>
    <row r="1456" spans="1:7" x14ac:dyDescent="0.3">
      <c r="A1456" t="s">
        <v>557</v>
      </c>
      <c r="B1456">
        <v>23785</v>
      </c>
      <c r="C1456" t="s">
        <v>4858</v>
      </c>
      <c r="D1456" t="s">
        <v>461</v>
      </c>
      <c r="E1456">
        <v>25</v>
      </c>
      <c r="F1456">
        <v>967.5</v>
      </c>
      <c r="G1456">
        <v>38.700000000000003</v>
      </c>
    </row>
    <row r="1457" spans="1:7" x14ac:dyDescent="0.3">
      <c r="A1457" t="s">
        <v>557</v>
      </c>
      <c r="B1457">
        <v>20623</v>
      </c>
      <c r="C1457" t="s">
        <v>4814</v>
      </c>
      <c r="D1457" t="s">
        <v>461</v>
      </c>
      <c r="E1457">
        <v>30</v>
      </c>
      <c r="F1457">
        <v>371.7</v>
      </c>
      <c r="G1457">
        <v>12.39</v>
      </c>
    </row>
    <row r="1458" spans="1:7" x14ac:dyDescent="0.3">
      <c r="A1458" t="s">
        <v>557</v>
      </c>
      <c r="B1458">
        <v>20624</v>
      </c>
      <c r="C1458" t="s">
        <v>5019</v>
      </c>
      <c r="D1458" t="s">
        <v>461</v>
      </c>
      <c r="E1458">
        <v>4</v>
      </c>
      <c r="F1458">
        <v>267.45</v>
      </c>
      <c r="G1458">
        <v>66.86</v>
      </c>
    </row>
    <row r="1459" spans="1:7" x14ac:dyDescent="0.3">
      <c r="A1459" t="s">
        <v>557</v>
      </c>
      <c r="B1459">
        <v>17162</v>
      </c>
      <c r="C1459" t="s">
        <v>5255</v>
      </c>
      <c r="D1459" t="s">
        <v>461</v>
      </c>
      <c r="E1459">
        <v>2</v>
      </c>
      <c r="F1459">
        <v>108</v>
      </c>
      <c r="G1459">
        <v>54</v>
      </c>
    </row>
    <row r="1460" spans="1:7" x14ac:dyDescent="0.3">
      <c r="A1460" t="s">
        <v>557</v>
      </c>
      <c r="B1460">
        <v>27689</v>
      </c>
      <c r="C1460" t="s">
        <v>5139</v>
      </c>
      <c r="D1460" t="s">
        <v>461</v>
      </c>
      <c r="E1460">
        <v>200</v>
      </c>
      <c r="F1460">
        <v>190</v>
      </c>
      <c r="G1460">
        <v>0.95</v>
      </c>
    </row>
    <row r="1461" spans="1:7" x14ac:dyDescent="0.3">
      <c r="A1461" t="s">
        <v>557</v>
      </c>
      <c r="B1461">
        <v>17046</v>
      </c>
      <c r="C1461" t="s">
        <v>5194</v>
      </c>
      <c r="D1461" t="s">
        <v>461</v>
      </c>
      <c r="E1461">
        <v>4</v>
      </c>
      <c r="F1461">
        <v>137.4</v>
      </c>
      <c r="G1461">
        <v>34.35</v>
      </c>
    </row>
    <row r="1462" spans="1:7" x14ac:dyDescent="0.3">
      <c r="A1462" t="s">
        <v>557</v>
      </c>
      <c r="B1462">
        <v>28298</v>
      </c>
      <c r="C1462" t="s">
        <v>5261</v>
      </c>
      <c r="D1462" t="s">
        <v>461</v>
      </c>
      <c r="E1462">
        <v>5</v>
      </c>
      <c r="F1462">
        <v>343.2</v>
      </c>
      <c r="G1462">
        <v>68.64</v>
      </c>
    </row>
    <row r="1463" spans="1:7" x14ac:dyDescent="0.3">
      <c r="A1463" t="s">
        <v>557</v>
      </c>
      <c r="B1463">
        <v>17333</v>
      </c>
      <c r="C1463" t="s">
        <v>5211</v>
      </c>
      <c r="D1463" t="s">
        <v>461</v>
      </c>
      <c r="E1463">
        <v>1</v>
      </c>
      <c r="F1463">
        <v>68.64</v>
      </c>
      <c r="G1463">
        <v>68.64</v>
      </c>
    </row>
    <row r="1464" spans="1:7" x14ac:dyDescent="0.3">
      <c r="A1464" t="s">
        <v>557</v>
      </c>
      <c r="B1464">
        <v>27798</v>
      </c>
      <c r="C1464" t="s">
        <v>5257</v>
      </c>
      <c r="D1464" t="s">
        <v>461</v>
      </c>
      <c r="E1464">
        <v>1</v>
      </c>
      <c r="F1464">
        <v>175</v>
      </c>
      <c r="G1464">
        <v>175</v>
      </c>
    </row>
    <row r="1465" spans="1:7" x14ac:dyDescent="0.3">
      <c r="A1465" t="s">
        <v>557</v>
      </c>
      <c r="B1465">
        <v>24758</v>
      </c>
      <c r="C1465" t="s">
        <v>5326</v>
      </c>
      <c r="D1465" t="s">
        <v>461</v>
      </c>
      <c r="E1465">
        <v>1</v>
      </c>
      <c r="F1465">
        <v>28.9</v>
      </c>
      <c r="G1465">
        <v>28.9</v>
      </c>
    </row>
    <row r="1466" spans="1:7" x14ac:dyDescent="0.3">
      <c r="A1466" t="s">
        <v>557</v>
      </c>
      <c r="B1466">
        <v>17418</v>
      </c>
      <c r="C1466" t="s">
        <v>5207</v>
      </c>
      <c r="D1466" t="s">
        <v>461</v>
      </c>
      <c r="E1466">
        <v>10</v>
      </c>
      <c r="F1466">
        <v>589</v>
      </c>
      <c r="G1466">
        <v>58.9</v>
      </c>
    </row>
    <row r="1467" spans="1:7" x14ac:dyDescent="0.3">
      <c r="A1467" t="s">
        <v>557</v>
      </c>
      <c r="B1467">
        <v>17416</v>
      </c>
      <c r="C1467" t="s">
        <v>5209</v>
      </c>
      <c r="D1467" t="s">
        <v>461</v>
      </c>
      <c r="E1467">
        <v>4</v>
      </c>
      <c r="F1467">
        <v>194.32</v>
      </c>
      <c r="G1467">
        <v>48.58</v>
      </c>
    </row>
    <row r="1468" spans="1:7" x14ac:dyDescent="0.3">
      <c r="A1468" t="s">
        <v>557</v>
      </c>
      <c r="B1468">
        <v>24505</v>
      </c>
      <c r="C1468" t="s">
        <v>5198</v>
      </c>
      <c r="D1468" t="s">
        <v>461</v>
      </c>
      <c r="E1468">
        <v>13</v>
      </c>
      <c r="F1468">
        <v>64.739999999999995</v>
      </c>
      <c r="G1468">
        <v>4.9800000000000004</v>
      </c>
    </row>
    <row r="1469" spans="1:7" x14ac:dyDescent="0.3">
      <c r="A1469" t="s">
        <v>557</v>
      </c>
      <c r="B1469">
        <v>23502</v>
      </c>
      <c r="C1469" t="s">
        <v>4930</v>
      </c>
      <c r="D1469" t="s">
        <v>461</v>
      </c>
      <c r="E1469">
        <v>2</v>
      </c>
      <c r="F1469">
        <v>29.8</v>
      </c>
      <c r="G1469">
        <v>14.9</v>
      </c>
    </row>
    <row r="1470" spans="1:7" x14ac:dyDescent="0.3">
      <c r="A1470" t="s">
        <v>557</v>
      </c>
      <c r="B1470">
        <v>24403</v>
      </c>
      <c r="C1470" t="s">
        <v>5149</v>
      </c>
      <c r="D1470" t="s">
        <v>461</v>
      </c>
      <c r="E1470">
        <v>6.2</v>
      </c>
      <c r="F1470">
        <v>80.540000000000006</v>
      </c>
      <c r="G1470">
        <v>12.99</v>
      </c>
    </row>
    <row r="1471" spans="1:7" x14ac:dyDescent="0.3">
      <c r="A1471" t="s">
        <v>557</v>
      </c>
      <c r="B1471">
        <v>19589</v>
      </c>
      <c r="C1471" t="s">
        <v>4983</v>
      </c>
      <c r="D1471" t="s">
        <v>461</v>
      </c>
      <c r="E1471">
        <v>34.6</v>
      </c>
      <c r="F1471">
        <v>239.46</v>
      </c>
      <c r="G1471">
        <v>6.92</v>
      </c>
    </row>
    <row r="1472" spans="1:7" x14ac:dyDescent="0.3">
      <c r="A1472" t="s">
        <v>557</v>
      </c>
      <c r="B1472">
        <v>17895</v>
      </c>
      <c r="C1472" t="s">
        <v>5086</v>
      </c>
      <c r="D1472" t="s">
        <v>461</v>
      </c>
      <c r="E1472">
        <v>11</v>
      </c>
      <c r="F1472">
        <v>253.66</v>
      </c>
      <c r="G1472">
        <v>23.06</v>
      </c>
    </row>
    <row r="1473" spans="1:7" x14ac:dyDescent="0.3">
      <c r="A1473" t="s">
        <v>557</v>
      </c>
      <c r="B1473">
        <v>17886</v>
      </c>
      <c r="C1473" t="s">
        <v>5083</v>
      </c>
      <c r="D1473" t="s">
        <v>461</v>
      </c>
      <c r="E1473">
        <v>39</v>
      </c>
      <c r="F1473">
        <v>1051.8800000000001</v>
      </c>
      <c r="G1473">
        <v>26.97</v>
      </c>
    </row>
    <row r="1474" spans="1:7" x14ac:dyDescent="0.3">
      <c r="A1474" t="s">
        <v>557</v>
      </c>
      <c r="B1474">
        <v>19728</v>
      </c>
      <c r="C1474" t="s">
        <v>5106</v>
      </c>
      <c r="D1474" t="s">
        <v>461</v>
      </c>
      <c r="E1474">
        <v>4.5999999999999996</v>
      </c>
      <c r="F1474">
        <v>54.45</v>
      </c>
      <c r="G1474">
        <v>11.84</v>
      </c>
    </row>
    <row r="1475" spans="1:7" x14ac:dyDescent="0.3">
      <c r="A1475" t="s">
        <v>557</v>
      </c>
      <c r="B1475">
        <v>18735</v>
      </c>
      <c r="C1475" t="s">
        <v>4891</v>
      </c>
      <c r="D1475" t="s">
        <v>461</v>
      </c>
      <c r="E1475">
        <v>10.8</v>
      </c>
      <c r="F1475">
        <v>1188</v>
      </c>
      <c r="G1475">
        <v>110</v>
      </c>
    </row>
    <row r="1476" spans="1:7" x14ac:dyDescent="0.3">
      <c r="A1476" t="s">
        <v>557</v>
      </c>
      <c r="B1476">
        <v>18822</v>
      </c>
      <c r="C1476" t="s">
        <v>4811</v>
      </c>
      <c r="D1476" t="s">
        <v>461</v>
      </c>
      <c r="E1476">
        <v>122.35</v>
      </c>
      <c r="F1476">
        <v>11928.48</v>
      </c>
      <c r="G1476">
        <v>97.49</v>
      </c>
    </row>
    <row r="1477" spans="1:7" x14ac:dyDescent="0.3">
      <c r="A1477" t="s">
        <v>557</v>
      </c>
      <c r="B1477">
        <v>19575</v>
      </c>
      <c r="C1477" t="s">
        <v>5120</v>
      </c>
      <c r="D1477" t="s">
        <v>461</v>
      </c>
      <c r="E1477">
        <v>1</v>
      </c>
      <c r="F1477">
        <v>30</v>
      </c>
      <c r="G1477">
        <v>30</v>
      </c>
    </row>
    <row r="1478" spans="1:7" x14ac:dyDescent="0.3">
      <c r="A1478" t="s">
        <v>557</v>
      </c>
      <c r="B1478">
        <v>19572</v>
      </c>
      <c r="C1478" t="s">
        <v>4989</v>
      </c>
      <c r="D1478" t="s">
        <v>461</v>
      </c>
      <c r="E1478">
        <v>5.81</v>
      </c>
      <c r="F1478">
        <v>91.12</v>
      </c>
      <c r="G1478">
        <v>15.68</v>
      </c>
    </row>
    <row r="1479" spans="1:7" x14ac:dyDescent="0.3">
      <c r="A1479" t="s">
        <v>557</v>
      </c>
      <c r="B1479">
        <v>19566</v>
      </c>
      <c r="C1479" t="s">
        <v>5371</v>
      </c>
      <c r="D1479" t="s">
        <v>461</v>
      </c>
      <c r="E1479">
        <v>0.5</v>
      </c>
      <c r="F1479">
        <v>25</v>
      </c>
      <c r="G1479">
        <v>50</v>
      </c>
    </row>
    <row r="1480" spans="1:7" x14ac:dyDescent="0.3">
      <c r="A1480" t="s">
        <v>557</v>
      </c>
      <c r="B1480">
        <v>19565</v>
      </c>
      <c r="C1480" t="s">
        <v>5252</v>
      </c>
      <c r="D1480" t="s">
        <v>461</v>
      </c>
      <c r="E1480">
        <v>0.5</v>
      </c>
      <c r="F1480">
        <v>24.5</v>
      </c>
      <c r="G1480">
        <v>49</v>
      </c>
    </row>
    <row r="1481" spans="1:7" x14ac:dyDescent="0.3">
      <c r="A1481" t="s">
        <v>557</v>
      </c>
      <c r="B1481">
        <v>19562</v>
      </c>
      <c r="C1481" t="s">
        <v>4939</v>
      </c>
      <c r="D1481" t="s">
        <v>461</v>
      </c>
      <c r="E1481">
        <v>2.5</v>
      </c>
      <c r="F1481">
        <v>32.25</v>
      </c>
      <c r="G1481">
        <v>12.9</v>
      </c>
    </row>
    <row r="1482" spans="1:7" x14ac:dyDescent="0.3">
      <c r="A1482" t="s">
        <v>557</v>
      </c>
      <c r="B1482">
        <v>19561</v>
      </c>
      <c r="C1482" t="s">
        <v>5365</v>
      </c>
      <c r="D1482" t="s">
        <v>461</v>
      </c>
      <c r="E1482">
        <v>0.5</v>
      </c>
      <c r="F1482">
        <v>4.25</v>
      </c>
      <c r="G1482">
        <v>8.5</v>
      </c>
    </row>
    <row r="1483" spans="1:7" x14ac:dyDescent="0.3">
      <c r="A1483" t="s">
        <v>557</v>
      </c>
      <c r="B1483">
        <v>23198</v>
      </c>
      <c r="C1483" t="s">
        <v>4962</v>
      </c>
      <c r="D1483" t="s">
        <v>461</v>
      </c>
      <c r="E1483">
        <v>5.2</v>
      </c>
      <c r="F1483">
        <v>71.52</v>
      </c>
      <c r="G1483">
        <v>13.75</v>
      </c>
    </row>
    <row r="1484" spans="1:7" x14ac:dyDescent="0.3">
      <c r="A1484" t="s">
        <v>557</v>
      </c>
      <c r="B1484">
        <v>19790</v>
      </c>
      <c r="C1484" t="s">
        <v>5073</v>
      </c>
      <c r="D1484" t="s">
        <v>461</v>
      </c>
      <c r="E1484">
        <v>3</v>
      </c>
      <c r="F1484">
        <v>139.19999999999999</v>
      </c>
      <c r="G1484">
        <v>46.4</v>
      </c>
    </row>
    <row r="1485" spans="1:7" x14ac:dyDescent="0.3">
      <c r="A1485" t="s">
        <v>557</v>
      </c>
      <c r="B1485">
        <v>18732</v>
      </c>
      <c r="C1485" t="s">
        <v>5156</v>
      </c>
      <c r="D1485" t="s">
        <v>461</v>
      </c>
      <c r="E1485">
        <v>16</v>
      </c>
      <c r="F1485">
        <v>1032</v>
      </c>
      <c r="G1485">
        <v>64.5</v>
      </c>
    </row>
    <row r="1486" spans="1:7" x14ac:dyDescent="0.3">
      <c r="A1486" t="s">
        <v>557</v>
      </c>
      <c r="B1486">
        <v>26944</v>
      </c>
      <c r="C1486" t="s">
        <v>5325</v>
      </c>
      <c r="D1486" t="s">
        <v>461</v>
      </c>
      <c r="E1486">
        <v>1</v>
      </c>
      <c r="F1486">
        <v>155.46</v>
      </c>
      <c r="G1486">
        <v>155.46</v>
      </c>
    </row>
    <row r="1487" spans="1:7" x14ac:dyDescent="0.3">
      <c r="A1487" t="s">
        <v>557</v>
      </c>
      <c r="B1487">
        <v>19356</v>
      </c>
      <c r="C1487" t="s">
        <v>4799</v>
      </c>
      <c r="D1487" t="s">
        <v>461</v>
      </c>
      <c r="E1487">
        <v>36.24</v>
      </c>
      <c r="F1487">
        <v>1918.81</v>
      </c>
      <c r="G1487">
        <v>52.95</v>
      </c>
    </row>
    <row r="1488" spans="1:7" x14ac:dyDescent="0.3">
      <c r="A1488" t="s">
        <v>557</v>
      </c>
      <c r="B1488">
        <v>19346</v>
      </c>
      <c r="C1488" t="s">
        <v>4835</v>
      </c>
      <c r="D1488" t="s">
        <v>461</v>
      </c>
      <c r="E1488">
        <v>11.84</v>
      </c>
      <c r="F1488">
        <v>690.28</v>
      </c>
      <c r="G1488">
        <v>58.3</v>
      </c>
    </row>
    <row r="1489" spans="1:7" x14ac:dyDescent="0.3">
      <c r="A1489" t="s">
        <v>557</v>
      </c>
      <c r="B1489">
        <v>19306</v>
      </c>
      <c r="C1489" t="s">
        <v>5111</v>
      </c>
      <c r="D1489" t="s">
        <v>461</v>
      </c>
      <c r="E1489">
        <v>4</v>
      </c>
      <c r="F1489">
        <v>80.5</v>
      </c>
      <c r="G1489">
        <v>20.13</v>
      </c>
    </row>
    <row r="1490" spans="1:7" x14ac:dyDescent="0.3">
      <c r="A1490" t="s">
        <v>557</v>
      </c>
      <c r="B1490">
        <v>19322</v>
      </c>
      <c r="C1490" t="s">
        <v>4830</v>
      </c>
      <c r="D1490" t="s">
        <v>461</v>
      </c>
      <c r="E1490">
        <v>40.74</v>
      </c>
      <c r="F1490">
        <v>1769.72</v>
      </c>
      <c r="G1490">
        <v>43.44</v>
      </c>
    </row>
    <row r="1491" spans="1:7" x14ac:dyDescent="0.3">
      <c r="A1491" t="s">
        <v>557</v>
      </c>
      <c r="B1491">
        <v>19291</v>
      </c>
      <c r="C1491" t="s">
        <v>4870</v>
      </c>
      <c r="D1491" t="s">
        <v>461</v>
      </c>
      <c r="E1491">
        <v>7</v>
      </c>
      <c r="F1491">
        <v>496.3</v>
      </c>
      <c r="G1491">
        <v>70.900000000000006</v>
      </c>
    </row>
    <row r="1492" spans="1:7" x14ac:dyDescent="0.3">
      <c r="A1492" t="s">
        <v>557</v>
      </c>
      <c r="B1492">
        <v>19558</v>
      </c>
      <c r="C1492" t="s">
        <v>4994</v>
      </c>
      <c r="D1492" t="s">
        <v>461</v>
      </c>
      <c r="E1492">
        <v>6.9</v>
      </c>
      <c r="F1492">
        <v>100.45</v>
      </c>
      <c r="G1492">
        <v>14.56</v>
      </c>
    </row>
    <row r="1493" spans="1:7" x14ac:dyDescent="0.3">
      <c r="A1493" t="s">
        <v>557</v>
      </c>
      <c r="B1493">
        <v>23195</v>
      </c>
      <c r="C1493" t="s">
        <v>5051</v>
      </c>
      <c r="D1493" t="s">
        <v>461</v>
      </c>
      <c r="E1493">
        <v>3.4</v>
      </c>
      <c r="F1493">
        <v>58.99</v>
      </c>
      <c r="G1493">
        <v>17.350000000000001</v>
      </c>
    </row>
    <row r="1494" spans="1:7" x14ac:dyDescent="0.3">
      <c r="A1494" t="s">
        <v>557</v>
      </c>
      <c r="B1494">
        <v>19555</v>
      </c>
      <c r="C1494" t="s">
        <v>4903</v>
      </c>
      <c r="D1494" t="s">
        <v>461</v>
      </c>
      <c r="E1494">
        <v>1.8</v>
      </c>
      <c r="F1494">
        <v>44.37</v>
      </c>
      <c r="G1494">
        <v>24.65</v>
      </c>
    </row>
    <row r="1495" spans="1:7" x14ac:dyDescent="0.3">
      <c r="A1495" t="s">
        <v>557</v>
      </c>
      <c r="B1495">
        <v>23934</v>
      </c>
      <c r="C1495" t="s">
        <v>4845</v>
      </c>
      <c r="D1495" t="s">
        <v>461</v>
      </c>
      <c r="E1495">
        <v>6</v>
      </c>
      <c r="F1495">
        <v>65.400000000000006</v>
      </c>
      <c r="G1495">
        <v>10.9</v>
      </c>
    </row>
    <row r="1496" spans="1:7" x14ac:dyDescent="0.3">
      <c r="A1496" t="s">
        <v>557</v>
      </c>
      <c r="B1496">
        <v>19553</v>
      </c>
      <c r="C1496" t="s">
        <v>4868</v>
      </c>
      <c r="D1496" t="s">
        <v>461</v>
      </c>
      <c r="E1496">
        <v>5.4</v>
      </c>
      <c r="F1496">
        <v>28.81</v>
      </c>
      <c r="G1496">
        <v>5.34</v>
      </c>
    </row>
    <row r="1497" spans="1:7" x14ac:dyDescent="0.3">
      <c r="A1497" t="s">
        <v>557</v>
      </c>
      <c r="B1497">
        <v>19552</v>
      </c>
      <c r="C1497" t="s">
        <v>4860</v>
      </c>
      <c r="D1497" t="s">
        <v>461</v>
      </c>
      <c r="E1497">
        <v>4</v>
      </c>
      <c r="F1497">
        <v>23.3</v>
      </c>
      <c r="G1497">
        <v>5.83</v>
      </c>
    </row>
    <row r="1498" spans="1:7" x14ac:dyDescent="0.3">
      <c r="A1498" t="s">
        <v>557</v>
      </c>
      <c r="B1498">
        <v>19472</v>
      </c>
      <c r="C1498" t="s">
        <v>4906</v>
      </c>
      <c r="D1498" t="s">
        <v>461</v>
      </c>
      <c r="E1498">
        <v>23.2</v>
      </c>
      <c r="F1498">
        <v>552.73</v>
      </c>
      <c r="G1498">
        <v>23.82</v>
      </c>
    </row>
    <row r="1499" spans="1:7" x14ac:dyDescent="0.3">
      <c r="A1499" t="s">
        <v>557</v>
      </c>
      <c r="B1499">
        <v>17129</v>
      </c>
      <c r="C1499" t="s">
        <v>5202</v>
      </c>
      <c r="D1499" t="s">
        <v>461</v>
      </c>
      <c r="E1499">
        <v>2</v>
      </c>
      <c r="F1499">
        <v>53.22</v>
      </c>
      <c r="G1499">
        <v>26.61</v>
      </c>
    </row>
    <row r="1500" spans="1:7" x14ac:dyDescent="0.3">
      <c r="A1500" t="s">
        <v>557</v>
      </c>
      <c r="B1500">
        <v>17322</v>
      </c>
      <c r="C1500" t="s">
        <v>5282</v>
      </c>
      <c r="D1500" t="s">
        <v>461</v>
      </c>
      <c r="E1500">
        <v>1</v>
      </c>
      <c r="F1500">
        <v>15.05</v>
      </c>
      <c r="G1500">
        <v>15.05</v>
      </c>
    </row>
    <row r="1501" spans="1:7" x14ac:dyDescent="0.3">
      <c r="A1501" t="s">
        <v>557</v>
      </c>
      <c r="B1501">
        <v>17437</v>
      </c>
      <c r="C1501" t="s">
        <v>5203</v>
      </c>
      <c r="D1501" t="s">
        <v>461</v>
      </c>
      <c r="E1501">
        <v>43</v>
      </c>
      <c r="F1501">
        <v>98.9</v>
      </c>
      <c r="G1501">
        <v>2.2999999999999998</v>
      </c>
    </row>
    <row r="1502" spans="1:7" x14ac:dyDescent="0.3">
      <c r="A1502" t="s">
        <v>557</v>
      </c>
      <c r="B1502">
        <v>21433</v>
      </c>
      <c r="C1502" t="s">
        <v>5250</v>
      </c>
      <c r="D1502" t="s">
        <v>461</v>
      </c>
      <c r="E1502">
        <v>1</v>
      </c>
      <c r="F1502">
        <v>95</v>
      </c>
      <c r="G1502">
        <v>95</v>
      </c>
    </row>
    <row r="1503" spans="1:7" x14ac:dyDescent="0.3">
      <c r="A1503" t="s">
        <v>557</v>
      </c>
      <c r="B1503">
        <v>21423</v>
      </c>
      <c r="C1503" t="s">
        <v>5248</v>
      </c>
      <c r="D1503" t="s">
        <v>461</v>
      </c>
      <c r="E1503">
        <v>7</v>
      </c>
      <c r="F1503">
        <v>222.74</v>
      </c>
      <c r="G1503">
        <v>31.82</v>
      </c>
    </row>
    <row r="1504" spans="1:7" x14ac:dyDescent="0.3">
      <c r="A1504" t="s">
        <v>557</v>
      </c>
      <c r="B1504">
        <v>17399</v>
      </c>
      <c r="C1504" t="s">
        <v>5244</v>
      </c>
      <c r="D1504" t="s">
        <v>461</v>
      </c>
      <c r="E1504">
        <v>1</v>
      </c>
      <c r="F1504">
        <v>18.899999999999999</v>
      </c>
      <c r="G1504">
        <v>18.899999999999999</v>
      </c>
    </row>
    <row r="1505" spans="1:7" x14ac:dyDescent="0.3">
      <c r="A1505" t="s">
        <v>557</v>
      </c>
      <c r="B1505">
        <v>17397</v>
      </c>
      <c r="C1505" t="s">
        <v>5246</v>
      </c>
      <c r="D1505" t="s">
        <v>461</v>
      </c>
      <c r="E1505">
        <v>1</v>
      </c>
      <c r="F1505">
        <v>31.82</v>
      </c>
      <c r="G1505">
        <v>31.82</v>
      </c>
    </row>
    <row r="1506" spans="1:7" x14ac:dyDescent="0.3">
      <c r="A1506" t="s">
        <v>557</v>
      </c>
      <c r="B1506">
        <v>24787</v>
      </c>
      <c r="C1506" t="s">
        <v>5212</v>
      </c>
      <c r="D1506" t="s">
        <v>461</v>
      </c>
      <c r="E1506">
        <v>5</v>
      </c>
      <c r="F1506">
        <v>411.05</v>
      </c>
      <c r="G1506">
        <v>82.21</v>
      </c>
    </row>
    <row r="1507" spans="1:7" x14ac:dyDescent="0.3">
      <c r="A1507" t="s">
        <v>557</v>
      </c>
      <c r="B1507">
        <v>24931</v>
      </c>
      <c r="C1507" t="s">
        <v>5308</v>
      </c>
      <c r="D1507" t="s">
        <v>461</v>
      </c>
      <c r="E1507">
        <v>1</v>
      </c>
      <c r="F1507">
        <v>45</v>
      </c>
      <c r="G1507">
        <v>45</v>
      </c>
    </row>
    <row r="1508" spans="1:7" x14ac:dyDescent="0.3">
      <c r="A1508" t="s">
        <v>557</v>
      </c>
      <c r="B1508">
        <v>17404</v>
      </c>
      <c r="C1508" t="s">
        <v>5295</v>
      </c>
      <c r="D1508" t="s">
        <v>461</v>
      </c>
      <c r="E1508">
        <v>3</v>
      </c>
      <c r="F1508">
        <v>55.29</v>
      </c>
      <c r="G1508">
        <v>18.43</v>
      </c>
    </row>
    <row r="1509" spans="1:7" x14ac:dyDescent="0.3">
      <c r="A1509" t="s">
        <v>557</v>
      </c>
      <c r="B1509">
        <v>19916</v>
      </c>
      <c r="C1509" t="s">
        <v>4826</v>
      </c>
      <c r="D1509" t="s">
        <v>461</v>
      </c>
      <c r="E1509">
        <v>2</v>
      </c>
      <c r="F1509">
        <v>70.599999999999994</v>
      </c>
      <c r="G1509">
        <v>35.299999999999997</v>
      </c>
    </row>
    <row r="1510" spans="1:7" x14ac:dyDescent="0.3">
      <c r="A1510" t="s">
        <v>557</v>
      </c>
      <c r="B1510">
        <v>19906</v>
      </c>
      <c r="C1510" t="s">
        <v>5159</v>
      </c>
      <c r="D1510" t="s">
        <v>461</v>
      </c>
      <c r="E1510">
        <v>11</v>
      </c>
      <c r="F1510">
        <v>72.599999999999994</v>
      </c>
      <c r="G1510">
        <v>6.6</v>
      </c>
    </row>
    <row r="1511" spans="1:7" x14ac:dyDescent="0.3">
      <c r="A1511" t="s">
        <v>557</v>
      </c>
      <c r="B1511">
        <v>23113</v>
      </c>
      <c r="C1511" t="s">
        <v>5074</v>
      </c>
      <c r="D1511" t="s">
        <v>461</v>
      </c>
      <c r="E1511">
        <v>11.5</v>
      </c>
      <c r="F1511">
        <v>130.63</v>
      </c>
      <c r="G1511">
        <v>11.36</v>
      </c>
    </row>
    <row r="1512" spans="1:7" x14ac:dyDescent="0.3">
      <c r="A1512" t="s">
        <v>557</v>
      </c>
      <c r="B1512">
        <v>19465</v>
      </c>
      <c r="C1512" t="s">
        <v>5114</v>
      </c>
      <c r="D1512" t="s">
        <v>461</v>
      </c>
      <c r="E1512">
        <v>3.6</v>
      </c>
      <c r="F1512">
        <v>21.96</v>
      </c>
      <c r="G1512">
        <v>6.1</v>
      </c>
    </row>
    <row r="1513" spans="1:7" x14ac:dyDescent="0.3">
      <c r="A1513" t="s">
        <v>557</v>
      </c>
      <c r="B1513">
        <v>18253</v>
      </c>
      <c r="C1513" t="s">
        <v>4969</v>
      </c>
      <c r="D1513" t="s">
        <v>461</v>
      </c>
      <c r="E1513">
        <v>16</v>
      </c>
      <c r="F1513">
        <v>454.83</v>
      </c>
      <c r="G1513">
        <v>28.43</v>
      </c>
    </row>
    <row r="1514" spans="1:7" x14ac:dyDescent="0.3">
      <c r="A1514" t="s">
        <v>557</v>
      </c>
      <c r="B1514">
        <v>17212</v>
      </c>
      <c r="C1514" t="s">
        <v>5322</v>
      </c>
      <c r="D1514" t="s">
        <v>461</v>
      </c>
      <c r="E1514">
        <v>1</v>
      </c>
      <c r="F1514">
        <v>230</v>
      </c>
      <c r="G1514">
        <v>230</v>
      </c>
    </row>
    <row r="1515" spans="1:7" x14ac:dyDescent="0.3">
      <c r="A1515" t="s">
        <v>557</v>
      </c>
      <c r="B1515">
        <v>18989</v>
      </c>
      <c r="C1515" t="s">
        <v>5366</v>
      </c>
      <c r="D1515" t="s">
        <v>461</v>
      </c>
      <c r="E1515">
        <v>40</v>
      </c>
      <c r="F1515">
        <v>559.20000000000005</v>
      </c>
      <c r="G1515">
        <v>13.98</v>
      </c>
    </row>
    <row r="1516" spans="1:7" x14ac:dyDescent="0.3">
      <c r="A1516" t="s">
        <v>557</v>
      </c>
      <c r="B1516">
        <v>17883</v>
      </c>
      <c r="C1516" t="s">
        <v>5113</v>
      </c>
      <c r="D1516" t="s">
        <v>461</v>
      </c>
      <c r="E1516">
        <v>8</v>
      </c>
      <c r="F1516">
        <v>216.92</v>
      </c>
      <c r="G1516">
        <v>27.12</v>
      </c>
    </row>
    <row r="1517" spans="1:7" x14ac:dyDescent="0.3">
      <c r="A1517" t="s">
        <v>557</v>
      </c>
      <c r="B1517">
        <v>17881</v>
      </c>
      <c r="C1517" t="s">
        <v>5103</v>
      </c>
      <c r="D1517" t="s">
        <v>461</v>
      </c>
      <c r="E1517">
        <v>4</v>
      </c>
      <c r="F1517">
        <v>85.86</v>
      </c>
      <c r="G1517">
        <v>21.47</v>
      </c>
    </row>
    <row r="1518" spans="1:7" x14ac:dyDescent="0.3">
      <c r="A1518" t="s">
        <v>557</v>
      </c>
      <c r="B1518">
        <v>21150</v>
      </c>
      <c r="C1518" t="s">
        <v>4878</v>
      </c>
      <c r="D1518" t="s">
        <v>461</v>
      </c>
      <c r="E1518">
        <v>3</v>
      </c>
      <c r="F1518">
        <v>339.93</v>
      </c>
      <c r="G1518">
        <v>113.31</v>
      </c>
    </row>
    <row r="1519" spans="1:7" x14ac:dyDescent="0.3">
      <c r="A1519" t="s">
        <v>557</v>
      </c>
      <c r="B1519">
        <v>17062</v>
      </c>
      <c r="C1519" t="s">
        <v>4880</v>
      </c>
      <c r="D1519" t="s">
        <v>461</v>
      </c>
      <c r="E1519">
        <v>3</v>
      </c>
      <c r="F1519">
        <v>378.09</v>
      </c>
      <c r="G1519">
        <v>126.03</v>
      </c>
    </row>
    <row r="1520" spans="1:7" x14ac:dyDescent="0.3">
      <c r="A1520" t="s">
        <v>557</v>
      </c>
      <c r="B1520">
        <v>18589</v>
      </c>
      <c r="C1520" t="s">
        <v>5089</v>
      </c>
      <c r="D1520" t="s">
        <v>461</v>
      </c>
      <c r="E1520">
        <v>3</v>
      </c>
      <c r="F1520">
        <v>324.88</v>
      </c>
      <c r="G1520">
        <v>108.29</v>
      </c>
    </row>
    <row r="1521" spans="1:7" x14ac:dyDescent="0.3">
      <c r="A1521" t="s">
        <v>557</v>
      </c>
      <c r="B1521">
        <v>18586</v>
      </c>
      <c r="C1521" t="s">
        <v>4966</v>
      </c>
      <c r="D1521" t="s">
        <v>461</v>
      </c>
      <c r="E1521">
        <v>3</v>
      </c>
      <c r="F1521">
        <v>390.01</v>
      </c>
      <c r="G1521">
        <v>130</v>
      </c>
    </row>
    <row r="1522" spans="1:7" x14ac:dyDescent="0.3">
      <c r="A1522" t="s">
        <v>557</v>
      </c>
      <c r="B1522">
        <v>19551</v>
      </c>
      <c r="C1522" t="s">
        <v>4905</v>
      </c>
      <c r="D1522" t="s">
        <v>461</v>
      </c>
      <c r="E1522">
        <v>12.7</v>
      </c>
      <c r="F1522">
        <v>180.04</v>
      </c>
      <c r="G1522">
        <v>14.18</v>
      </c>
    </row>
    <row r="1523" spans="1:7" x14ac:dyDescent="0.3">
      <c r="A1523" t="s">
        <v>557</v>
      </c>
      <c r="B1523">
        <v>23184</v>
      </c>
      <c r="C1523" t="s">
        <v>4935</v>
      </c>
      <c r="D1523" t="s">
        <v>461</v>
      </c>
      <c r="E1523">
        <v>19</v>
      </c>
      <c r="F1523">
        <v>273.06</v>
      </c>
      <c r="G1523">
        <v>14.37</v>
      </c>
    </row>
    <row r="1524" spans="1:7" x14ac:dyDescent="0.3">
      <c r="A1524" t="s">
        <v>557</v>
      </c>
      <c r="B1524">
        <v>19532</v>
      </c>
      <c r="C1524" t="s">
        <v>4753</v>
      </c>
      <c r="D1524" t="s">
        <v>461</v>
      </c>
      <c r="E1524">
        <v>225.4</v>
      </c>
      <c r="F1524">
        <v>2083.31</v>
      </c>
      <c r="G1524">
        <v>9.24</v>
      </c>
    </row>
    <row r="1525" spans="1:7" x14ac:dyDescent="0.3">
      <c r="A1525" t="s">
        <v>557</v>
      </c>
      <c r="B1525">
        <v>20585</v>
      </c>
      <c r="C1525" t="s">
        <v>5025</v>
      </c>
      <c r="D1525" t="s">
        <v>461</v>
      </c>
      <c r="E1525">
        <v>1</v>
      </c>
      <c r="F1525">
        <v>27.4</v>
      </c>
      <c r="G1525">
        <v>27.4</v>
      </c>
    </row>
    <row r="1526" spans="1:7" x14ac:dyDescent="0.3">
      <c r="A1526" t="s">
        <v>557</v>
      </c>
      <c r="B1526">
        <v>23108</v>
      </c>
      <c r="C1526" t="s">
        <v>5117</v>
      </c>
      <c r="D1526" t="s">
        <v>461</v>
      </c>
      <c r="E1526">
        <v>1.4</v>
      </c>
      <c r="F1526">
        <v>100.2</v>
      </c>
      <c r="G1526">
        <v>71.569999999999993</v>
      </c>
    </row>
    <row r="1527" spans="1:7" x14ac:dyDescent="0.3">
      <c r="A1527" t="s">
        <v>557</v>
      </c>
      <c r="B1527">
        <v>17361</v>
      </c>
      <c r="C1527" t="s">
        <v>5309</v>
      </c>
      <c r="D1527" t="s">
        <v>461</v>
      </c>
      <c r="E1527">
        <v>2</v>
      </c>
      <c r="F1527">
        <v>14.9</v>
      </c>
      <c r="G1527">
        <v>7.45</v>
      </c>
    </row>
    <row r="1528" spans="1:7" x14ac:dyDescent="0.3">
      <c r="A1528" t="s">
        <v>557</v>
      </c>
      <c r="B1528">
        <v>25205</v>
      </c>
      <c r="C1528" t="s">
        <v>4850</v>
      </c>
      <c r="D1528" t="s">
        <v>461</v>
      </c>
      <c r="E1528">
        <v>5</v>
      </c>
      <c r="F1528">
        <v>99.5</v>
      </c>
      <c r="G1528">
        <v>19.899999999999999</v>
      </c>
    </row>
    <row r="1529" spans="1:7" x14ac:dyDescent="0.3">
      <c r="A1529" t="s">
        <v>557</v>
      </c>
      <c r="B1529">
        <v>19710</v>
      </c>
      <c r="C1529" t="s">
        <v>4963</v>
      </c>
      <c r="D1529" t="s">
        <v>461</v>
      </c>
      <c r="E1529">
        <v>1</v>
      </c>
      <c r="F1529">
        <v>67.099999999999994</v>
      </c>
      <c r="G1529">
        <v>67.099999999999994</v>
      </c>
    </row>
    <row r="1530" spans="1:7" x14ac:dyDescent="0.3">
      <c r="A1530" t="s">
        <v>557</v>
      </c>
      <c r="B1530">
        <v>19707</v>
      </c>
      <c r="C1530" t="s">
        <v>5266</v>
      </c>
      <c r="D1530" t="s">
        <v>461</v>
      </c>
      <c r="E1530">
        <v>1</v>
      </c>
      <c r="F1530">
        <v>21.16</v>
      </c>
      <c r="G1530">
        <v>21.16</v>
      </c>
    </row>
    <row r="1531" spans="1:7" x14ac:dyDescent="0.3">
      <c r="A1531" t="s">
        <v>557</v>
      </c>
      <c r="B1531">
        <v>24489</v>
      </c>
      <c r="C1531" t="s">
        <v>5121</v>
      </c>
      <c r="D1531" t="s">
        <v>461</v>
      </c>
      <c r="E1531">
        <v>6.1</v>
      </c>
      <c r="F1531">
        <v>146.63</v>
      </c>
      <c r="G1531">
        <v>24.04</v>
      </c>
    </row>
    <row r="1532" spans="1:7" x14ac:dyDescent="0.3">
      <c r="A1532" t="s">
        <v>557</v>
      </c>
      <c r="B1532">
        <v>26150</v>
      </c>
      <c r="C1532" t="s">
        <v>5105</v>
      </c>
      <c r="D1532" t="s">
        <v>461</v>
      </c>
      <c r="E1532">
        <v>2</v>
      </c>
      <c r="F1532">
        <v>190.6</v>
      </c>
      <c r="G1532">
        <v>95.3</v>
      </c>
    </row>
    <row r="1533" spans="1:7" x14ac:dyDescent="0.3">
      <c r="A1533" t="s">
        <v>557</v>
      </c>
      <c r="B1533">
        <v>23884</v>
      </c>
      <c r="C1533" t="s">
        <v>5070</v>
      </c>
      <c r="D1533" t="s">
        <v>461</v>
      </c>
      <c r="E1533">
        <v>1</v>
      </c>
      <c r="F1533">
        <v>8.8699999999999992</v>
      </c>
      <c r="G1533">
        <v>8.8699999999999992</v>
      </c>
    </row>
    <row r="1534" spans="1:7" x14ac:dyDescent="0.3">
      <c r="A1534" t="s">
        <v>557</v>
      </c>
      <c r="B1534">
        <v>26036</v>
      </c>
      <c r="C1534" t="s">
        <v>4841</v>
      </c>
      <c r="D1534" t="s">
        <v>461</v>
      </c>
      <c r="E1534">
        <v>4</v>
      </c>
      <c r="F1534">
        <v>221</v>
      </c>
      <c r="G1534">
        <v>55.25</v>
      </c>
    </row>
    <row r="1535" spans="1:7" x14ac:dyDescent="0.3">
      <c r="A1535" t="s">
        <v>557</v>
      </c>
      <c r="B1535">
        <v>26034</v>
      </c>
      <c r="C1535" t="s">
        <v>4828</v>
      </c>
      <c r="D1535" t="s">
        <v>461</v>
      </c>
      <c r="E1535">
        <v>12</v>
      </c>
      <c r="F1535">
        <v>569.4</v>
      </c>
      <c r="G1535">
        <v>47.45</v>
      </c>
    </row>
    <row r="1536" spans="1:7" x14ac:dyDescent="0.3">
      <c r="A1536" t="s">
        <v>557</v>
      </c>
      <c r="B1536">
        <v>20955</v>
      </c>
      <c r="C1536" t="s">
        <v>4959</v>
      </c>
      <c r="D1536" t="s">
        <v>461</v>
      </c>
      <c r="E1536">
        <v>1</v>
      </c>
      <c r="F1536">
        <v>10.9</v>
      </c>
      <c r="G1536">
        <v>10.9</v>
      </c>
    </row>
    <row r="1537" spans="1:7" x14ac:dyDescent="0.3">
      <c r="A1537" t="s">
        <v>557</v>
      </c>
      <c r="B1537">
        <v>17578</v>
      </c>
      <c r="C1537" t="s">
        <v>4842</v>
      </c>
      <c r="D1537" t="s">
        <v>461</v>
      </c>
      <c r="E1537">
        <v>1</v>
      </c>
      <c r="F1537">
        <v>105.95</v>
      </c>
      <c r="G1537">
        <v>105.95</v>
      </c>
    </row>
    <row r="1538" spans="1:7" x14ac:dyDescent="0.3">
      <c r="A1538" t="s">
        <v>557</v>
      </c>
      <c r="B1538">
        <v>26234</v>
      </c>
      <c r="C1538" t="s">
        <v>5364</v>
      </c>
      <c r="D1538" t="s">
        <v>461</v>
      </c>
      <c r="E1538">
        <v>4</v>
      </c>
      <c r="F1538">
        <v>189.8</v>
      </c>
      <c r="G1538">
        <v>47.45</v>
      </c>
    </row>
    <row r="1539" spans="1:7" x14ac:dyDescent="0.3">
      <c r="A1539" t="s">
        <v>557</v>
      </c>
      <c r="B1539">
        <v>26040</v>
      </c>
      <c r="C1539" t="s">
        <v>4812</v>
      </c>
      <c r="D1539" t="s">
        <v>461</v>
      </c>
      <c r="E1539">
        <v>9</v>
      </c>
      <c r="F1539">
        <v>427.05</v>
      </c>
      <c r="G1539">
        <v>47.45</v>
      </c>
    </row>
    <row r="1540" spans="1:7" x14ac:dyDescent="0.3">
      <c r="A1540" t="s">
        <v>557</v>
      </c>
      <c r="B1540">
        <v>17721</v>
      </c>
      <c r="C1540" t="s">
        <v>4977</v>
      </c>
      <c r="D1540" t="s">
        <v>461</v>
      </c>
      <c r="E1540">
        <v>3</v>
      </c>
      <c r="F1540">
        <v>41.4</v>
      </c>
      <c r="G1540">
        <v>13.8</v>
      </c>
    </row>
    <row r="1541" spans="1:7" x14ac:dyDescent="0.3">
      <c r="A1541" t="s">
        <v>557</v>
      </c>
      <c r="B1541">
        <v>18194</v>
      </c>
      <c r="C1541" t="s">
        <v>4923</v>
      </c>
      <c r="D1541" t="s">
        <v>461</v>
      </c>
      <c r="E1541">
        <v>3</v>
      </c>
      <c r="F1541">
        <v>183</v>
      </c>
      <c r="G1541">
        <v>61</v>
      </c>
    </row>
    <row r="1542" spans="1:7" x14ac:dyDescent="0.3">
      <c r="A1542" t="s">
        <v>557</v>
      </c>
      <c r="B1542">
        <v>18172</v>
      </c>
      <c r="C1542" t="s">
        <v>4804</v>
      </c>
      <c r="D1542" t="s">
        <v>461</v>
      </c>
      <c r="E1542">
        <v>22</v>
      </c>
      <c r="F1542">
        <v>690.9</v>
      </c>
      <c r="G1542">
        <v>31.4</v>
      </c>
    </row>
    <row r="1543" spans="1:7" x14ac:dyDescent="0.3">
      <c r="A1543" t="s">
        <v>557</v>
      </c>
      <c r="B1543">
        <v>18146</v>
      </c>
      <c r="C1543" t="s">
        <v>5112</v>
      </c>
      <c r="D1543" t="s">
        <v>461</v>
      </c>
      <c r="E1543">
        <v>1</v>
      </c>
      <c r="F1543">
        <v>96</v>
      </c>
      <c r="G1543">
        <v>96</v>
      </c>
    </row>
    <row r="1544" spans="1:7" x14ac:dyDescent="0.3">
      <c r="A1544" t="s">
        <v>557</v>
      </c>
      <c r="B1544">
        <v>18129</v>
      </c>
      <c r="C1544" t="s">
        <v>5043</v>
      </c>
      <c r="D1544" t="s">
        <v>461</v>
      </c>
      <c r="E1544">
        <v>1</v>
      </c>
      <c r="F1544">
        <v>132.05000000000001</v>
      </c>
      <c r="G1544">
        <v>132.05000000000001</v>
      </c>
    </row>
    <row r="1545" spans="1:7" x14ac:dyDescent="0.3">
      <c r="A1545" t="s">
        <v>557</v>
      </c>
      <c r="B1545">
        <v>18116</v>
      </c>
      <c r="C1545" t="s">
        <v>5045</v>
      </c>
      <c r="D1545" t="s">
        <v>461</v>
      </c>
      <c r="E1545">
        <v>2</v>
      </c>
      <c r="F1545">
        <v>173.2</v>
      </c>
      <c r="G1545">
        <v>86.6</v>
      </c>
    </row>
    <row r="1546" spans="1:7" x14ac:dyDescent="0.3">
      <c r="A1546" t="s">
        <v>557</v>
      </c>
      <c r="B1546">
        <v>18085</v>
      </c>
      <c r="C1546" t="s">
        <v>4973</v>
      </c>
      <c r="D1546" t="s">
        <v>461</v>
      </c>
      <c r="E1546">
        <v>1</v>
      </c>
      <c r="F1546">
        <v>47.6</v>
      </c>
      <c r="G1546">
        <v>47.6</v>
      </c>
    </row>
    <row r="1547" spans="1:7" x14ac:dyDescent="0.3">
      <c r="A1547" t="s">
        <v>557</v>
      </c>
      <c r="B1547">
        <v>18073</v>
      </c>
      <c r="C1547" t="s">
        <v>4974</v>
      </c>
      <c r="D1547" t="s">
        <v>461</v>
      </c>
      <c r="E1547">
        <v>4</v>
      </c>
      <c r="F1547">
        <v>190.8</v>
      </c>
      <c r="G1547">
        <v>47.7</v>
      </c>
    </row>
    <row r="1548" spans="1:7" x14ac:dyDescent="0.3">
      <c r="A1548" t="s">
        <v>557</v>
      </c>
      <c r="B1548">
        <v>26210</v>
      </c>
      <c r="C1548" t="s">
        <v>4975</v>
      </c>
      <c r="D1548" t="s">
        <v>461</v>
      </c>
      <c r="E1548">
        <v>2</v>
      </c>
      <c r="F1548">
        <v>95.2</v>
      </c>
      <c r="G1548">
        <v>47.6</v>
      </c>
    </row>
    <row r="1549" spans="1:7" x14ac:dyDescent="0.3">
      <c r="A1549" t="s">
        <v>557</v>
      </c>
      <c r="B1549">
        <v>19787</v>
      </c>
      <c r="C1549" t="s">
        <v>4793</v>
      </c>
      <c r="D1549" t="s">
        <v>460</v>
      </c>
      <c r="E1549">
        <v>81.400000000000006</v>
      </c>
      <c r="F1549">
        <v>405.2</v>
      </c>
      <c r="G1549">
        <v>4.9800000000000004</v>
      </c>
    </row>
    <row r="1550" spans="1:7" x14ac:dyDescent="0.3">
      <c r="A1550" t="s">
        <v>557</v>
      </c>
      <c r="B1550">
        <v>19658</v>
      </c>
      <c r="C1550" t="s">
        <v>4784</v>
      </c>
      <c r="D1550" t="s">
        <v>460</v>
      </c>
      <c r="E1550">
        <v>53.15</v>
      </c>
      <c r="F1550">
        <v>162.46</v>
      </c>
      <c r="G1550">
        <v>3.06</v>
      </c>
    </row>
    <row r="1551" spans="1:7" x14ac:dyDescent="0.3">
      <c r="A1551" t="s">
        <v>557</v>
      </c>
      <c r="B1551">
        <v>19654</v>
      </c>
      <c r="C1551" t="s">
        <v>5099</v>
      </c>
      <c r="D1551" t="s">
        <v>460</v>
      </c>
      <c r="E1551">
        <v>18</v>
      </c>
      <c r="F1551">
        <v>121.18</v>
      </c>
      <c r="G1551">
        <v>6.73</v>
      </c>
    </row>
    <row r="1552" spans="1:7" x14ac:dyDescent="0.3">
      <c r="A1552" t="s">
        <v>557</v>
      </c>
      <c r="B1552">
        <v>22871</v>
      </c>
      <c r="C1552" t="s">
        <v>4898</v>
      </c>
      <c r="D1552" t="s">
        <v>460</v>
      </c>
      <c r="E1552">
        <v>6.06</v>
      </c>
      <c r="F1552">
        <v>187.25</v>
      </c>
      <c r="G1552">
        <v>30.9</v>
      </c>
    </row>
    <row r="1553" spans="1:7" x14ac:dyDescent="0.3">
      <c r="A1553" t="s">
        <v>557</v>
      </c>
      <c r="B1553">
        <v>21093</v>
      </c>
      <c r="C1553" t="s">
        <v>4855</v>
      </c>
      <c r="D1553" t="s">
        <v>460</v>
      </c>
      <c r="E1553">
        <v>40</v>
      </c>
      <c r="F1553">
        <v>180.6</v>
      </c>
      <c r="G1553">
        <v>4.5199999999999996</v>
      </c>
    </row>
    <row r="1554" spans="1:7" x14ac:dyDescent="0.3">
      <c r="A1554" t="s">
        <v>557</v>
      </c>
      <c r="B1554">
        <v>24596</v>
      </c>
      <c r="C1554" t="s">
        <v>5197</v>
      </c>
      <c r="D1554" t="s">
        <v>460</v>
      </c>
      <c r="E1554">
        <v>9</v>
      </c>
      <c r="F1554">
        <v>150.5</v>
      </c>
      <c r="G1554">
        <v>16.72</v>
      </c>
    </row>
    <row r="1555" spans="1:7" x14ac:dyDescent="0.3">
      <c r="A1555" t="s">
        <v>557</v>
      </c>
      <c r="B1555">
        <v>19507</v>
      </c>
      <c r="C1555" t="s">
        <v>4853</v>
      </c>
      <c r="D1555" t="s">
        <v>460</v>
      </c>
      <c r="E1555">
        <v>13.2</v>
      </c>
      <c r="F1555">
        <v>202.95</v>
      </c>
      <c r="G1555">
        <v>15.38</v>
      </c>
    </row>
    <row r="1556" spans="1:7" x14ac:dyDescent="0.3">
      <c r="A1556" t="s">
        <v>557</v>
      </c>
      <c r="B1556">
        <v>17950</v>
      </c>
      <c r="C1556" t="s">
        <v>5091</v>
      </c>
      <c r="D1556" t="s">
        <v>460</v>
      </c>
      <c r="E1556">
        <v>60</v>
      </c>
      <c r="F1556">
        <v>1122</v>
      </c>
      <c r="G1556">
        <v>18.7</v>
      </c>
    </row>
    <row r="1557" spans="1:7" x14ac:dyDescent="0.3">
      <c r="A1557" t="s">
        <v>557</v>
      </c>
      <c r="B1557">
        <v>17958</v>
      </c>
      <c r="C1557" t="s">
        <v>5076</v>
      </c>
      <c r="D1557" t="s">
        <v>460</v>
      </c>
      <c r="E1557">
        <v>42</v>
      </c>
      <c r="F1557">
        <v>743.4</v>
      </c>
      <c r="G1557">
        <v>17.7</v>
      </c>
    </row>
    <row r="1558" spans="1:7" x14ac:dyDescent="0.3">
      <c r="A1558" t="s">
        <v>557</v>
      </c>
      <c r="B1558">
        <v>17314</v>
      </c>
      <c r="C1558" t="s">
        <v>5208</v>
      </c>
      <c r="D1558" t="s">
        <v>460</v>
      </c>
      <c r="E1558">
        <v>12</v>
      </c>
      <c r="F1558">
        <v>72.569999999999993</v>
      </c>
      <c r="G1558">
        <v>6.05</v>
      </c>
    </row>
    <row r="1559" spans="1:7" x14ac:dyDescent="0.3">
      <c r="A1559" t="s">
        <v>557</v>
      </c>
      <c r="B1559">
        <v>18006</v>
      </c>
      <c r="C1559" t="s">
        <v>5094</v>
      </c>
      <c r="D1559" t="s">
        <v>460</v>
      </c>
      <c r="E1559">
        <v>3</v>
      </c>
      <c r="F1559">
        <v>95.43</v>
      </c>
      <c r="G1559">
        <v>31.81</v>
      </c>
    </row>
    <row r="1560" spans="1:7" x14ac:dyDescent="0.3">
      <c r="A1560" t="s">
        <v>557</v>
      </c>
      <c r="B1560">
        <v>18004</v>
      </c>
      <c r="C1560" t="s">
        <v>5093</v>
      </c>
      <c r="D1560" t="s">
        <v>460</v>
      </c>
      <c r="E1560">
        <v>4</v>
      </c>
      <c r="F1560">
        <v>127.99</v>
      </c>
      <c r="G1560">
        <v>32</v>
      </c>
    </row>
    <row r="1561" spans="1:7" x14ac:dyDescent="0.3">
      <c r="A1561" t="s">
        <v>557</v>
      </c>
      <c r="B1561">
        <v>24096</v>
      </c>
      <c r="C1561" t="s">
        <v>4771</v>
      </c>
      <c r="D1561" t="s">
        <v>460</v>
      </c>
      <c r="E1561">
        <v>219.32</v>
      </c>
      <c r="F1561">
        <v>9253.26</v>
      </c>
      <c r="G1561">
        <v>42.19</v>
      </c>
    </row>
    <row r="1562" spans="1:7" x14ac:dyDescent="0.3">
      <c r="A1562" t="s">
        <v>557</v>
      </c>
      <c r="B1562">
        <v>17266</v>
      </c>
      <c r="C1562" t="s">
        <v>5192</v>
      </c>
      <c r="D1562" t="s">
        <v>460</v>
      </c>
      <c r="E1562">
        <v>10</v>
      </c>
      <c r="F1562">
        <v>49.88</v>
      </c>
      <c r="G1562">
        <v>4.99</v>
      </c>
    </row>
    <row r="1563" spans="1:7" x14ac:dyDescent="0.3">
      <c r="A1563" t="s">
        <v>557</v>
      </c>
      <c r="B1563">
        <v>19506</v>
      </c>
      <c r="C1563" t="s">
        <v>5122</v>
      </c>
      <c r="D1563" t="s">
        <v>460</v>
      </c>
      <c r="E1563">
        <v>2</v>
      </c>
      <c r="F1563">
        <v>82</v>
      </c>
      <c r="G1563">
        <v>41</v>
      </c>
    </row>
    <row r="1564" spans="1:7" x14ac:dyDescent="0.3">
      <c r="A1564" t="s">
        <v>557</v>
      </c>
      <c r="B1564">
        <v>19505</v>
      </c>
      <c r="C1564" t="s">
        <v>4872</v>
      </c>
      <c r="D1564" t="s">
        <v>460</v>
      </c>
      <c r="E1564">
        <v>60.9</v>
      </c>
      <c r="F1564">
        <v>898.44</v>
      </c>
      <c r="G1564">
        <v>14.75</v>
      </c>
    </row>
    <row r="1565" spans="1:7" x14ac:dyDescent="0.3">
      <c r="A1565" t="s">
        <v>557</v>
      </c>
      <c r="B1565">
        <v>19502</v>
      </c>
      <c r="C1565" t="s">
        <v>4871</v>
      </c>
      <c r="D1565" t="s">
        <v>460</v>
      </c>
      <c r="E1565">
        <v>26.3</v>
      </c>
      <c r="F1565">
        <v>655.13</v>
      </c>
      <c r="G1565">
        <v>24.91</v>
      </c>
    </row>
    <row r="1566" spans="1:7" x14ac:dyDescent="0.3">
      <c r="A1566" t="s">
        <v>557</v>
      </c>
      <c r="B1566">
        <v>19652</v>
      </c>
      <c r="C1566" t="s">
        <v>4899</v>
      </c>
      <c r="D1566" t="s">
        <v>460</v>
      </c>
      <c r="E1566">
        <v>2.5</v>
      </c>
      <c r="F1566">
        <v>47.7</v>
      </c>
      <c r="G1566">
        <v>19.079999999999998</v>
      </c>
    </row>
    <row r="1567" spans="1:7" x14ac:dyDescent="0.3">
      <c r="A1567" t="s">
        <v>557</v>
      </c>
      <c r="B1567">
        <v>19647</v>
      </c>
      <c r="C1567" t="s">
        <v>5050</v>
      </c>
      <c r="D1567" t="s">
        <v>460</v>
      </c>
      <c r="E1567">
        <v>2.2999999999999998</v>
      </c>
      <c r="F1567">
        <v>32.94</v>
      </c>
      <c r="G1567">
        <v>14.32</v>
      </c>
    </row>
    <row r="1568" spans="1:7" x14ac:dyDescent="0.3">
      <c r="A1568" t="s">
        <v>557</v>
      </c>
      <c r="B1568">
        <v>24037</v>
      </c>
      <c r="C1568" t="s">
        <v>5233</v>
      </c>
      <c r="D1568" t="s">
        <v>460</v>
      </c>
      <c r="E1568">
        <v>13</v>
      </c>
      <c r="F1568">
        <v>255.5</v>
      </c>
      <c r="G1568">
        <v>19.649999999999999</v>
      </c>
    </row>
    <row r="1569" spans="1:7" x14ac:dyDescent="0.3">
      <c r="A1569" t="s">
        <v>557</v>
      </c>
      <c r="B1569">
        <v>28731</v>
      </c>
      <c r="C1569" t="s">
        <v>5380</v>
      </c>
      <c r="D1569" t="s">
        <v>460</v>
      </c>
      <c r="E1569">
        <v>23.86</v>
      </c>
      <c r="F1569">
        <v>1455.46</v>
      </c>
      <c r="G1569">
        <v>61</v>
      </c>
    </row>
    <row r="1570" spans="1:7" x14ac:dyDescent="0.3">
      <c r="A1570" t="s">
        <v>557</v>
      </c>
      <c r="B1570">
        <v>27264</v>
      </c>
      <c r="C1570" t="s">
        <v>5075</v>
      </c>
      <c r="D1570" t="s">
        <v>460</v>
      </c>
      <c r="E1570">
        <v>39.79</v>
      </c>
      <c r="F1570">
        <v>2346.8200000000002</v>
      </c>
      <c r="G1570">
        <v>58.98</v>
      </c>
    </row>
    <row r="1571" spans="1:7" x14ac:dyDescent="0.3">
      <c r="A1571" t="s">
        <v>557</v>
      </c>
      <c r="B1571">
        <v>18547</v>
      </c>
      <c r="C1571" t="s">
        <v>4863</v>
      </c>
      <c r="D1571" t="s">
        <v>460</v>
      </c>
      <c r="E1571">
        <v>7</v>
      </c>
      <c r="F1571">
        <v>268.77999999999997</v>
      </c>
      <c r="G1571">
        <v>38.4</v>
      </c>
    </row>
    <row r="1572" spans="1:7" x14ac:dyDescent="0.3">
      <c r="A1572" t="s">
        <v>557</v>
      </c>
      <c r="B1572">
        <v>18545</v>
      </c>
      <c r="C1572" t="s">
        <v>4864</v>
      </c>
      <c r="D1572" t="s">
        <v>460</v>
      </c>
      <c r="E1572">
        <v>2</v>
      </c>
      <c r="F1572">
        <v>96.8</v>
      </c>
      <c r="G1572">
        <v>48.4</v>
      </c>
    </row>
    <row r="1573" spans="1:7" x14ac:dyDescent="0.3">
      <c r="A1573" t="s">
        <v>557</v>
      </c>
      <c r="B1573">
        <v>18518</v>
      </c>
      <c r="C1573" t="s">
        <v>4838</v>
      </c>
      <c r="D1573" t="s">
        <v>460</v>
      </c>
      <c r="E1573">
        <v>3</v>
      </c>
      <c r="F1573">
        <v>139.53</v>
      </c>
      <c r="G1573">
        <v>46.51</v>
      </c>
    </row>
    <row r="1574" spans="1:7" x14ac:dyDescent="0.3">
      <c r="A1574" t="s">
        <v>557</v>
      </c>
      <c r="B1574">
        <v>26224</v>
      </c>
      <c r="C1574" t="s">
        <v>5214</v>
      </c>
      <c r="D1574" t="s">
        <v>460</v>
      </c>
      <c r="E1574">
        <v>2</v>
      </c>
      <c r="F1574">
        <v>11</v>
      </c>
      <c r="G1574">
        <v>5.5</v>
      </c>
    </row>
    <row r="1575" spans="1:7" x14ac:dyDescent="0.3">
      <c r="A1575" t="s">
        <v>557</v>
      </c>
      <c r="B1575">
        <v>20301</v>
      </c>
      <c r="C1575" t="s">
        <v>4944</v>
      </c>
      <c r="D1575" t="s">
        <v>460</v>
      </c>
      <c r="E1575">
        <v>24</v>
      </c>
      <c r="F1575">
        <v>453.6</v>
      </c>
      <c r="G1575">
        <v>18.899999999999999</v>
      </c>
    </row>
    <row r="1576" spans="1:7" x14ac:dyDescent="0.3">
      <c r="A1576" t="s">
        <v>557</v>
      </c>
      <c r="B1576">
        <v>21783</v>
      </c>
      <c r="C1576" t="s">
        <v>5210</v>
      </c>
      <c r="D1576" t="s">
        <v>460</v>
      </c>
      <c r="E1576">
        <v>5</v>
      </c>
      <c r="F1576">
        <v>58.62</v>
      </c>
      <c r="G1576">
        <v>11.72</v>
      </c>
    </row>
    <row r="1577" spans="1:7" x14ac:dyDescent="0.3">
      <c r="A1577" t="s">
        <v>557</v>
      </c>
      <c r="B1577">
        <v>21060</v>
      </c>
      <c r="C1577" t="s">
        <v>4946</v>
      </c>
      <c r="D1577" t="s">
        <v>460</v>
      </c>
      <c r="E1577">
        <v>1</v>
      </c>
      <c r="F1577">
        <v>26.1</v>
      </c>
      <c r="G1577">
        <v>26.1</v>
      </c>
    </row>
    <row r="1578" spans="1:7" x14ac:dyDescent="0.3">
      <c r="A1578" t="s">
        <v>557</v>
      </c>
      <c r="B1578">
        <v>21047</v>
      </c>
      <c r="C1578" t="s">
        <v>4847</v>
      </c>
      <c r="D1578" t="s">
        <v>460</v>
      </c>
      <c r="E1578">
        <v>2</v>
      </c>
      <c r="F1578">
        <v>245.8</v>
      </c>
      <c r="G1578">
        <v>122.9</v>
      </c>
    </row>
    <row r="1579" spans="1:7" x14ac:dyDescent="0.3">
      <c r="A1579" t="s">
        <v>557</v>
      </c>
      <c r="B1579">
        <v>20751</v>
      </c>
      <c r="C1579" t="s">
        <v>5004</v>
      </c>
      <c r="D1579" t="s">
        <v>460</v>
      </c>
      <c r="E1579">
        <v>1</v>
      </c>
      <c r="F1579">
        <v>102.9</v>
      </c>
      <c r="G1579">
        <v>102.9</v>
      </c>
    </row>
    <row r="1580" spans="1:7" x14ac:dyDescent="0.3">
      <c r="A1580" t="s">
        <v>557</v>
      </c>
      <c r="B1580">
        <v>23808</v>
      </c>
      <c r="C1580" t="s">
        <v>4982</v>
      </c>
      <c r="D1580" t="s">
        <v>460</v>
      </c>
      <c r="E1580">
        <v>3</v>
      </c>
      <c r="F1580">
        <v>201.3</v>
      </c>
      <c r="G1580">
        <v>67.099999999999994</v>
      </c>
    </row>
    <row r="1581" spans="1:7" x14ac:dyDescent="0.3">
      <c r="A1581" t="s">
        <v>557</v>
      </c>
      <c r="B1581">
        <v>25702</v>
      </c>
      <c r="C1581" t="s">
        <v>5135</v>
      </c>
      <c r="D1581" t="s">
        <v>460</v>
      </c>
      <c r="E1581">
        <v>1</v>
      </c>
      <c r="F1581">
        <v>75.400000000000006</v>
      </c>
      <c r="G1581">
        <v>75.400000000000006</v>
      </c>
    </row>
    <row r="1582" spans="1:7" x14ac:dyDescent="0.3">
      <c r="A1582" t="s">
        <v>557</v>
      </c>
      <c r="B1582">
        <v>22721</v>
      </c>
      <c r="C1582" t="s">
        <v>4803</v>
      </c>
      <c r="D1582" t="s">
        <v>460</v>
      </c>
      <c r="E1582">
        <v>15.8</v>
      </c>
      <c r="F1582">
        <v>447.14</v>
      </c>
      <c r="G1582">
        <v>28.3</v>
      </c>
    </row>
    <row r="1583" spans="1:7" x14ac:dyDescent="0.3">
      <c r="A1583" t="s">
        <v>557</v>
      </c>
      <c r="B1583">
        <v>17261</v>
      </c>
      <c r="C1583" t="s">
        <v>5388</v>
      </c>
      <c r="D1583" t="s">
        <v>460</v>
      </c>
      <c r="E1583">
        <v>1</v>
      </c>
      <c r="F1583">
        <v>26</v>
      </c>
      <c r="G1583">
        <v>26</v>
      </c>
    </row>
    <row r="1584" spans="1:7" x14ac:dyDescent="0.3">
      <c r="A1584" t="s">
        <v>557</v>
      </c>
      <c r="B1584">
        <v>23390</v>
      </c>
      <c r="C1584" t="s">
        <v>4873</v>
      </c>
      <c r="D1584" t="s">
        <v>460</v>
      </c>
      <c r="E1584">
        <v>5</v>
      </c>
      <c r="F1584">
        <v>42.5</v>
      </c>
      <c r="G1584">
        <v>8.5</v>
      </c>
    </row>
    <row r="1585" spans="1:7" x14ac:dyDescent="0.3">
      <c r="A1585" t="s">
        <v>557</v>
      </c>
      <c r="B1585">
        <v>23389</v>
      </c>
      <c r="C1585" t="s">
        <v>4960</v>
      </c>
      <c r="D1585" t="s">
        <v>460</v>
      </c>
      <c r="E1585">
        <v>42.5</v>
      </c>
      <c r="F1585">
        <v>214.79</v>
      </c>
      <c r="G1585">
        <v>5.05</v>
      </c>
    </row>
    <row r="1586" spans="1:7" x14ac:dyDescent="0.3">
      <c r="A1586" t="s">
        <v>557</v>
      </c>
      <c r="B1586">
        <v>24081</v>
      </c>
      <c r="C1586" t="s">
        <v>4834</v>
      </c>
      <c r="D1586" t="s">
        <v>460</v>
      </c>
      <c r="E1586">
        <v>20</v>
      </c>
      <c r="F1586">
        <v>476</v>
      </c>
      <c r="G1586">
        <v>23.8</v>
      </c>
    </row>
    <row r="1587" spans="1:7" x14ac:dyDescent="0.3">
      <c r="A1587" t="s">
        <v>557</v>
      </c>
      <c r="B1587">
        <v>24083</v>
      </c>
      <c r="C1587" t="s">
        <v>5165</v>
      </c>
      <c r="D1587" t="s">
        <v>460</v>
      </c>
      <c r="E1587">
        <v>421</v>
      </c>
      <c r="F1587">
        <v>1716.2</v>
      </c>
      <c r="G1587">
        <v>4.08</v>
      </c>
    </row>
    <row r="1588" spans="1:7" x14ac:dyDescent="0.3">
      <c r="A1588" t="s">
        <v>557</v>
      </c>
      <c r="B1588">
        <v>19642</v>
      </c>
      <c r="C1588" t="s">
        <v>4996</v>
      </c>
      <c r="D1588" t="s">
        <v>460</v>
      </c>
      <c r="E1588">
        <v>4</v>
      </c>
      <c r="F1588">
        <v>21.55</v>
      </c>
      <c r="G1588">
        <v>5.39</v>
      </c>
    </row>
    <row r="1589" spans="1:7" x14ac:dyDescent="0.3">
      <c r="A1589" t="s">
        <v>557</v>
      </c>
      <c r="B1589">
        <v>19635</v>
      </c>
      <c r="C1589" t="s">
        <v>4786</v>
      </c>
      <c r="D1589" t="s">
        <v>460</v>
      </c>
      <c r="E1589">
        <v>48</v>
      </c>
      <c r="F1589">
        <v>252.51</v>
      </c>
      <c r="G1589">
        <v>5.26</v>
      </c>
    </row>
    <row r="1590" spans="1:7" x14ac:dyDescent="0.3">
      <c r="A1590" t="s">
        <v>557</v>
      </c>
      <c r="B1590">
        <v>19634</v>
      </c>
      <c r="C1590" t="s">
        <v>4792</v>
      </c>
      <c r="D1590" t="s">
        <v>460</v>
      </c>
      <c r="E1590">
        <v>41.2</v>
      </c>
      <c r="F1590">
        <v>293.68</v>
      </c>
      <c r="G1590">
        <v>7.13</v>
      </c>
    </row>
    <row r="1591" spans="1:7" x14ac:dyDescent="0.3">
      <c r="A1591" t="s">
        <v>557</v>
      </c>
      <c r="B1591">
        <v>19632</v>
      </c>
      <c r="C1591" t="s">
        <v>4936</v>
      </c>
      <c r="D1591" t="s">
        <v>460</v>
      </c>
      <c r="E1591">
        <v>7</v>
      </c>
      <c r="F1591">
        <v>25.3</v>
      </c>
      <c r="G1591">
        <v>3.61</v>
      </c>
    </row>
    <row r="1592" spans="1:7" x14ac:dyDescent="0.3">
      <c r="A1592" t="s">
        <v>557</v>
      </c>
      <c r="B1592">
        <v>24090</v>
      </c>
      <c r="C1592" t="s">
        <v>5180</v>
      </c>
      <c r="D1592" t="s">
        <v>460</v>
      </c>
      <c r="E1592">
        <v>1.02</v>
      </c>
      <c r="F1592">
        <v>62.22</v>
      </c>
      <c r="G1592">
        <v>61</v>
      </c>
    </row>
    <row r="1593" spans="1:7" x14ac:dyDescent="0.3">
      <c r="A1593" t="s">
        <v>557</v>
      </c>
      <c r="B1593">
        <v>23819</v>
      </c>
      <c r="C1593" t="s">
        <v>4947</v>
      </c>
      <c r="D1593" t="s">
        <v>460</v>
      </c>
      <c r="E1593">
        <v>5</v>
      </c>
      <c r="F1593">
        <v>45.8</v>
      </c>
      <c r="G1593">
        <v>9.16</v>
      </c>
    </row>
    <row r="1594" spans="1:7" x14ac:dyDescent="0.3">
      <c r="A1594" t="s">
        <v>557</v>
      </c>
      <c r="B1594">
        <v>17565</v>
      </c>
      <c r="C1594" t="s">
        <v>5247</v>
      </c>
      <c r="D1594" t="s">
        <v>460</v>
      </c>
      <c r="E1594">
        <v>1</v>
      </c>
      <c r="F1594">
        <v>103.7</v>
      </c>
      <c r="G1594">
        <v>103.7</v>
      </c>
    </row>
    <row r="1595" spans="1:7" x14ac:dyDescent="0.3">
      <c r="A1595" t="s">
        <v>557</v>
      </c>
      <c r="B1595">
        <v>17381</v>
      </c>
      <c r="C1595" t="s">
        <v>5262</v>
      </c>
      <c r="D1595" t="s">
        <v>460</v>
      </c>
      <c r="E1595">
        <v>4</v>
      </c>
      <c r="F1595">
        <v>164.89</v>
      </c>
      <c r="G1595">
        <v>41.22</v>
      </c>
    </row>
    <row r="1596" spans="1:7" x14ac:dyDescent="0.3">
      <c r="A1596" t="s">
        <v>557</v>
      </c>
      <c r="B1596">
        <v>24099</v>
      </c>
      <c r="C1596" t="s">
        <v>4933</v>
      </c>
      <c r="D1596" t="s">
        <v>460</v>
      </c>
      <c r="E1596">
        <v>11.5</v>
      </c>
      <c r="F1596">
        <v>233.97</v>
      </c>
      <c r="G1596">
        <v>20.350000000000001</v>
      </c>
    </row>
    <row r="1597" spans="1:7" x14ac:dyDescent="0.3">
      <c r="A1597" t="s">
        <v>557</v>
      </c>
      <c r="B1597">
        <v>19492</v>
      </c>
      <c r="C1597" t="s">
        <v>4937</v>
      </c>
      <c r="D1597" t="s">
        <v>460</v>
      </c>
      <c r="E1597">
        <v>7</v>
      </c>
      <c r="F1597">
        <v>143.69999999999999</v>
      </c>
      <c r="G1597">
        <v>20.53</v>
      </c>
    </row>
    <row r="1598" spans="1:7" x14ac:dyDescent="0.3">
      <c r="A1598" t="s">
        <v>557</v>
      </c>
      <c r="B1598">
        <v>24594</v>
      </c>
      <c r="C1598" t="s">
        <v>5382</v>
      </c>
      <c r="D1598" t="s">
        <v>460</v>
      </c>
      <c r="E1598">
        <v>2</v>
      </c>
      <c r="F1598">
        <v>53.6</v>
      </c>
      <c r="G1598">
        <v>26.8</v>
      </c>
    </row>
    <row r="1599" spans="1:7" x14ac:dyDescent="0.3">
      <c r="A1599" t="s">
        <v>557</v>
      </c>
      <c r="B1599">
        <v>18475</v>
      </c>
      <c r="C1599" t="s">
        <v>4895</v>
      </c>
      <c r="D1599" t="s">
        <v>460</v>
      </c>
      <c r="E1599">
        <v>24</v>
      </c>
      <c r="F1599">
        <v>789.6</v>
      </c>
      <c r="G1599">
        <v>32.9</v>
      </c>
    </row>
    <row r="1600" spans="1:7" x14ac:dyDescent="0.3">
      <c r="A1600" t="s">
        <v>557</v>
      </c>
      <c r="B1600">
        <v>18462</v>
      </c>
      <c r="C1600" t="s">
        <v>5031</v>
      </c>
      <c r="D1600" t="s">
        <v>460</v>
      </c>
      <c r="E1600">
        <v>1</v>
      </c>
      <c r="F1600">
        <v>48</v>
      </c>
      <c r="G1600">
        <v>48</v>
      </c>
    </row>
    <row r="1601" spans="1:7" x14ac:dyDescent="0.3">
      <c r="A1601" t="s">
        <v>557</v>
      </c>
      <c r="B1601">
        <v>18423</v>
      </c>
      <c r="C1601" t="s">
        <v>4987</v>
      </c>
      <c r="D1601" t="s">
        <v>460</v>
      </c>
      <c r="E1601">
        <v>1</v>
      </c>
      <c r="F1601">
        <v>41</v>
      </c>
      <c r="G1601">
        <v>41</v>
      </c>
    </row>
    <row r="1602" spans="1:7" x14ac:dyDescent="0.3">
      <c r="A1602" t="s">
        <v>557</v>
      </c>
      <c r="B1602">
        <v>20809</v>
      </c>
      <c r="C1602" t="s">
        <v>4822</v>
      </c>
      <c r="D1602" t="s">
        <v>460</v>
      </c>
      <c r="E1602">
        <v>23</v>
      </c>
      <c r="F1602">
        <v>718.21</v>
      </c>
      <c r="G1602">
        <v>31.23</v>
      </c>
    </row>
    <row r="1603" spans="1:7" x14ac:dyDescent="0.3">
      <c r="A1603" t="s">
        <v>557</v>
      </c>
      <c r="B1603">
        <v>23385</v>
      </c>
      <c r="C1603" t="s">
        <v>4938</v>
      </c>
      <c r="D1603" t="s">
        <v>460</v>
      </c>
      <c r="E1603">
        <v>13.2</v>
      </c>
      <c r="F1603">
        <v>418.75</v>
      </c>
      <c r="G1603">
        <v>31.72</v>
      </c>
    </row>
    <row r="1604" spans="1:7" x14ac:dyDescent="0.3">
      <c r="A1604" t="s">
        <v>557</v>
      </c>
      <c r="B1604">
        <v>27211</v>
      </c>
      <c r="C1604" t="s">
        <v>5396</v>
      </c>
      <c r="D1604" t="s">
        <v>460</v>
      </c>
      <c r="E1604">
        <v>1</v>
      </c>
      <c r="F1604">
        <v>82.63</v>
      </c>
      <c r="G1604">
        <v>82.63</v>
      </c>
    </row>
    <row r="1605" spans="1:7" x14ac:dyDescent="0.3">
      <c r="A1605" t="s">
        <v>557</v>
      </c>
      <c r="B1605">
        <v>27212</v>
      </c>
      <c r="C1605" t="s">
        <v>5230</v>
      </c>
      <c r="D1605" t="s">
        <v>460</v>
      </c>
      <c r="E1605">
        <v>1</v>
      </c>
      <c r="F1605">
        <v>70.11</v>
      </c>
      <c r="G1605">
        <v>70.11</v>
      </c>
    </row>
    <row r="1606" spans="1:7" x14ac:dyDescent="0.3">
      <c r="A1606" t="s">
        <v>557</v>
      </c>
      <c r="B1606">
        <v>27213</v>
      </c>
      <c r="C1606" t="s">
        <v>5398</v>
      </c>
      <c r="D1606" t="s">
        <v>460</v>
      </c>
      <c r="E1606">
        <v>1</v>
      </c>
      <c r="F1606">
        <v>70.11</v>
      </c>
      <c r="G1606">
        <v>70.11</v>
      </c>
    </row>
    <row r="1607" spans="1:7" x14ac:dyDescent="0.3">
      <c r="A1607" t="s">
        <v>557</v>
      </c>
      <c r="B1607">
        <v>27214</v>
      </c>
      <c r="C1607" t="s">
        <v>5229</v>
      </c>
      <c r="D1607" t="s">
        <v>460</v>
      </c>
      <c r="E1607">
        <v>1</v>
      </c>
      <c r="F1607">
        <v>70.11</v>
      </c>
      <c r="G1607">
        <v>70.11</v>
      </c>
    </row>
    <row r="1608" spans="1:7" x14ac:dyDescent="0.3">
      <c r="A1608" t="s">
        <v>557</v>
      </c>
      <c r="B1608">
        <v>27215</v>
      </c>
      <c r="C1608" t="s">
        <v>5399</v>
      </c>
      <c r="D1608" t="s">
        <v>460</v>
      </c>
      <c r="E1608">
        <v>1</v>
      </c>
      <c r="F1608">
        <v>83</v>
      </c>
      <c r="G1608">
        <v>83</v>
      </c>
    </row>
    <row r="1609" spans="1:7" x14ac:dyDescent="0.3">
      <c r="A1609" t="s">
        <v>557</v>
      </c>
      <c r="B1609">
        <v>17554</v>
      </c>
      <c r="C1609" t="s">
        <v>5320</v>
      </c>
      <c r="D1609" t="s">
        <v>460</v>
      </c>
      <c r="E1609">
        <v>1</v>
      </c>
      <c r="F1609">
        <v>202.9</v>
      </c>
      <c r="G1609">
        <v>202.9</v>
      </c>
    </row>
    <row r="1610" spans="1:7" x14ac:dyDescent="0.3">
      <c r="A1610" t="s">
        <v>557</v>
      </c>
      <c r="B1610">
        <v>19490</v>
      </c>
      <c r="C1610" t="s">
        <v>5116</v>
      </c>
      <c r="D1610" t="s">
        <v>460</v>
      </c>
      <c r="E1610">
        <v>0.9</v>
      </c>
      <c r="F1610">
        <v>62.5</v>
      </c>
      <c r="G1610">
        <v>69.44</v>
      </c>
    </row>
    <row r="1611" spans="1:7" x14ac:dyDescent="0.3">
      <c r="A1611" t="s">
        <v>557</v>
      </c>
      <c r="B1611">
        <v>24638</v>
      </c>
      <c r="C1611" t="s">
        <v>4948</v>
      </c>
      <c r="D1611" t="s">
        <v>460</v>
      </c>
      <c r="E1611">
        <v>1</v>
      </c>
      <c r="F1611">
        <v>18.75</v>
      </c>
      <c r="G1611">
        <v>18.75</v>
      </c>
    </row>
    <row r="1612" spans="1:7" x14ac:dyDescent="0.3">
      <c r="A1612" t="s">
        <v>557</v>
      </c>
      <c r="B1612">
        <v>24116</v>
      </c>
      <c r="C1612" t="s">
        <v>4777</v>
      </c>
      <c r="D1612" t="s">
        <v>460</v>
      </c>
      <c r="E1612">
        <v>10</v>
      </c>
      <c r="F1612">
        <v>419</v>
      </c>
      <c r="G1612">
        <v>41.9</v>
      </c>
    </row>
    <row r="1613" spans="1:7" x14ac:dyDescent="0.3">
      <c r="A1613" t="s">
        <v>557</v>
      </c>
      <c r="B1613">
        <v>24658</v>
      </c>
      <c r="C1613" t="s">
        <v>5274</v>
      </c>
      <c r="D1613" t="s">
        <v>460</v>
      </c>
      <c r="E1613">
        <v>78</v>
      </c>
      <c r="F1613">
        <v>2698.8</v>
      </c>
      <c r="G1613">
        <v>34.6</v>
      </c>
    </row>
    <row r="1614" spans="1:7" x14ac:dyDescent="0.3">
      <c r="A1614" t="s">
        <v>557</v>
      </c>
      <c r="B1614">
        <v>25358</v>
      </c>
      <c r="C1614" t="s">
        <v>4980</v>
      </c>
      <c r="D1614" t="s">
        <v>460</v>
      </c>
      <c r="E1614">
        <v>2</v>
      </c>
      <c r="F1614">
        <v>156</v>
      </c>
      <c r="G1614">
        <v>78</v>
      </c>
    </row>
    <row r="1615" spans="1:7" x14ac:dyDescent="0.3">
      <c r="A1615" t="s">
        <v>557</v>
      </c>
      <c r="B1615">
        <v>20054</v>
      </c>
      <c r="C1615" t="s">
        <v>4856</v>
      </c>
      <c r="D1615" t="s">
        <v>460</v>
      </c>
      <c r="E1615">
        <v>6</v>
      </c>
      <c r="F1615">
        <v>71.099999999999994</v>
      </c>
      <c r="G1615">
        <v>11.85</v>
      </c>
    </row>
    <row r="1616" spans="1:7" x14ac:dyDescent="0.3">
      <c r="A1616" t="s">
        <v>557</v>
      </c>
      <c r="B1616">
        <v>24509</v>
      </c>
      <c r="C1616" t="s">
        <v>4788</v>
      </c>
      <c r="D1616" t="s">
        <v>460</v>
      </c>
      <c r="E1616">
        <v>66</v>
      </c>
      <c r="F1616">
        <v>130.80000000000001</v>
      </c>
      <c r="G1616">
        <v>1.98</v>
      </c>
    </row>
    <row r="1617" spans="1:7" x14ac:dyDescent="0.3">
      <c r="A1617" t="s">
        <v>557</v>
      </c>
      <c r="B1617">
        <v>19622</v>
      </c>
      <c r="C1617" t="s">
        <v>4915</v>
      </c>
      <c r="D1617" t="s">
        <v>460</v>
      </c>
      <c r="E1617">
        <v>5.5</v>
      </c>
      <c r="F1617">
        <v>25.65</v>
      </c>
      <c r="G1617">
        <v>4.66</v>
      </c>
    </row>
    <row r="1618" spans="1:7" x14ac:dyDescent="0.3">
      <c r="A1618" t="s">
        <v>557</v>
      </c>
      <c r="B1618">
        <v>19623</v>
      </c>
      <c r="C1618" t="s">
        <v>4764</v>
      </c>
      <c r="D1618" t="s">
        <v>460</v>
      </c>
      <c r="E1618">
        <v>72</v>
      </c>
      <c r="F1618">
        <v>266.7</v>
      </c>
      <c r="G1618">
        <v>3.7</v>
      </c>
    </row>
    <row r="1619" spans="1:7" x14ac:dyDescent="0.3">
      <c r="A1619" t="s">
        <v>557</v>
      </c>
      <c r="B1619">
        <v>19488</v>
      </c>
      <c r="C1619" t="s">
        <v>5107</v>
      </c>
      <c r="D1619" t="s">
        <v>460</v>
      </c>
      <c r="E1619">
        <v>1.7</v>
      </c>
      <c r="F1619">
        <v>24</v>
      </c>
      <c r="G1619">
        <v>14.12</v>
      </c>
    </row>
    <row r="1620" spans="1:7" x14ac:dyDescent="0.3">
      <c r="A1620" t="s">
        <v>557</v>
      </c>
      <c r="B1620">
        <v>19621</v>
      </c>
      <c r="C1620" t="s">
        <v>4829</v>
      </c>
      <c r="D1620" t="s">
        <v>460</v>
      </c>
      <c r="E1620">
        <v>29.97</v>
      </c>
      <c r="F1620">
        <v>93.38</v>
      </c>
      <c r="G1620">
        <v>3.12</v>
      </c>
    </row>
    <row r="1621" spans="1:7" x14ac:dyDescent="0.3">
      <c r="A1621" t="s">
        <v>557</v>
      </c>
      <c r="B1621">
        <v>18632</v>
      </c>
      <c r="C1621" t="s">
        <v>5096</v>
      </c>
      <c r="D1621" t="s">
        <v>460</v>
      </c>
      <c r="E1621">
        <v>4</v>
      </c>
      <c r="F1621">
        <v>679.58</v>
      </c>
      <c r="G1621">
        <v>169.9</v>
      </c>
    </row>
    <row r="1622" spans="1:7" x14ac:dyDescent="0.3">
      <c r="A1622" t="s">
        <v>557</v>
      </c>
      <c r="B1622">
        <v>26505</v>
      </c>
      <c r="C1622" t="s">
        <v>4750</v>
      </c>
      <c r="D1622" t="s">
        <v>460</v>
      </c>
      <c r="E1622">
        <v>4</v>
      </c>
      <c r="F1622">
        <v>864</v>
      </c>
      <c r="G1622">
        <v>216</v>
      </c>
    </row>
    <row r="1623" spans="1:7" x14ac:dyDescent="0.3">
      <c r="A1623" t="s">
        <v>557</v>
      </c>
      <c r="B1623">
        <v>25561</v>
      </c>
      <c r="C1623" t="s">
        <v>5095</v>
      </c>
      <c r="D1623" t="s">
        <v>460</v>
      </c>
      <c r="E1623">
        <v>2</v>
      </c>
      <c r="F1623">
        <v>242.37</v>
      </c>
      <c r="G1623">
        <v>121.19</v>
      </c>
    </row>
    <row r="1624" spans="1:7" x14ac:dyDescent="0.3">
      <c r="A1624" t="s">
        <v>557</v>
      </c>
      <c r="B1624">
        <v>24141</v>
      </c>
      <c r="C1624" t="s">
        <v>5088</v>
      </c>
      <c r="D1624" t="s">
        <v>460</v>
      </c>
      <c r="E1624">
        <v>26</v>
      </c>
      <c r="F1624">
        <v>3093.35</v>
      </c>
      <c r="G1624">
        <v>118.98</v>
      </c>
    </row>
    <row r="1625" spans="1:7" x14ac:dyDescent="0.3">
      <c r="A1625" t="s">
        <v>557</v>
      </c>
      <c r="B1625">
        <v>24142</v>
      </c>
      <c r="C1625" t="s">
        <v>5090</v>
      </c>
      <c r="D1625" t="s">
        <v>460</v>
      </c>
      <c r="E1625">
        <v>2</v>
      </c>
      <c r="F1625">
        <v>221.48</v>
      </c>
      <c r="G1625">
        <v>110.74</v>
      </c>
    </row>
    <row r="1626" spans="1:7" x14ac:dyDescent="0.3">
      <c r="A1626" t="s">
        <v>557</v>
      </c>
      <c r="B1626">
        <v>18579</v>
      </c>
      <c r="C1626" t="s">
        <v>5087</v>
      </c>
      <c r="D1626" t="s">
        <v>460</v>
      </c>
      <c r="E1626">
        <v>3</v>
      </c>
      <c r="F1626">
        <v>491.76</v>
      </c>
      <c r="G1626">
        <v>163.92</v>
      </c>
    </row>
    <row r="1627" spans="1:7" x14ac:dyDescent="0.3">
      <c r="A1627" t="s">
        <v>557</v>
      </c>
      <c r="B1627">
        <v>18636</v>
      </c>
      <c r="C1627" t="s">
        <v>4964</v>
      </c>
      <c r="D1627" t="s">
        <v>460</v>
      </c>
      <c r="E1627">
        <v>14</v>
      </c>
      <c r="F1627">
        <v>6759.2</v>
      </c>
      <c r="G1627">
        <v>482.8</v>
      </c>
    </row>
    <row r="1628" spans="1:7" x14ac:dyDescent="0.3">
      <c r="A1628" t="s">
        <v>557</v>
      </c>
      <c r="B1628">
        <v>26135</v>
      </c>
      <c r="C1628" t="s">
        <v>4801</v>
      </c>
      <c r="D1628" t="s">
        <v>460</v>
      </c>
      <c r="E1628">
        <v>13.34</v>
      </c>
      <c r="F1628">
        <v>1199.27</v>
      </c>
      <c r="G1628">
        <v>89.9</v>
      </c>
    </row>
    <row r="1629" spans="1:7" x14ac:dyDescent="0.3">
      <c r="A1629" t="s">
        <v>557</v>
      </c>
      <c r="B1629">
        <v>24169</v>
      </c>
      <c r="C1629" t="s">
        <v>5379</v>
      </c>
      <c r="D1629" t="s">
        <v>460</v>
      </c>
      <c r="E1629">
        <v>1</v>
      </c>
      <c r="F1629">
        <v>36.9</v>
      </c>
      <c r="G1629">
        <v>36.9</v>
      </c>
    </row>
    <row r="1630" spans="1:7" x14ac:dyDescent="0.3">
      <c r="A1630" t="s">
        <v>557</v>
      </c>
      <c r="B1630">
        <v>19617</v>
      </c>
      <c r="C1630" t="s">
        <v>5071</v>
      </c>
      <c r="D1630" t="s">
        <v>460</v>
      </c>
      <c r="E1630">
        <v>3.1</v>
      </c>
      <c r="F1630">
        <v>117.63</v>
      </c>
      <c r="G1630">
        <v>37.950000000000003</v>
      </c>
    </row>
    <row r="1631" spans="1:7" x14ac:dyDescent="0.3">
      <c r="A1631" t="s">
        <v>557</v>
      </c>
      <c r="B1631">
        <v>20549</v>
      </c>
      <c r="C1631" t="s">
        <v>4823</v>
      </c>
      <c r="D1631" t="s">
        <v>460</v>
      </c>
      <c r="E1631">
        <v>20.8</v>
      </c>
      <c r="F1631">
        <v>415.8</v>
      </c>
      <c r="G1631">
        <v>19.989999999999998</v>
      </c>
    </row>
    <row r="1632" spans="1:7" x14ac:dyDescent="0.3">
      <c r="A1632" t="s">
        <v>557</v>
      </c>
      <c r="B1632">
        <v>17533</v>
      </c>
      <c r="C1632" t="s">
        <v>5373</v>
      </c>
      <c r="D1632" t="s">
        <v>460</v>
      </c>
      <c r="E1632">
        <v>4</v>
      </c>
      <c r="F1632">
        <v>44.26</v>
      </c>
      <c r="G1632">
        <v>11.07</v>
      </c>
    </row>
    <row r="1633" spans="1:7" x14ac:dyDescent="0.3">
      <c r="A1633" t="s">
        <v>557</v>
      </c>
      <c r="B1633">
        <v>19047</v>
      </c>
      <c r="C1633" t="s">
        <v>5393</v>
      </c>
      <c r="D1633" t="s">
        <v>460</v>
      </c>
      <c r="E1633">
        <v>4.8</v>
      </c>
      <c r="F1633">
        <v>127.2</v>
      </c>
      <c r="G1633">
        <v>26.5</v>
      </c>
    </row>
    <row r="1634" spans="1:7" x14ac:dyDescent="0.3">
      <c r="A1634" t="s">
        <v>557</v>
      </c>
      <c r="B1634">
        <v>27542</v>
      </c>
      <c r="C1634" t="s">
        <v>5387</v>
      </c>
      <c r="D1634" t="s">
        <v>460</v>
      </c>
      <c r="E1634">
        <v>46.62</v>
      </c>
      <c r="F1634">
        <v>1300.7</v>
      </c>
      <c r="G1634">
        <v>27.9</v>
      </c>
    </row>
    <row r="1635" spans="1:7" x14ac:dyDescent="0.3">
      <c r="A1635" t="s">
        <v>557</v>
      </c>
      <c r="B1635">
        <v>26679</v>
      </c>
      <c r="C1635" t="s">
        <v>4791</v>
      </c>
      <c r="D1635" t="s">
        <v>460</v>
      </c>
      <c r="E1635">
        <v>68.03</v>
      </c>
      <c r="F1635">
        <v>1898.04</v>
      </c>
      <c r="G1635">
        <v>27.9</v>
      </c>
    </row>
    <row r="1636" spans="1:7" x14ac:dyDescent="0.3">
      <c r="A1636" t="s">
        <v>557</v>
      </c>
      <c r="B1636">
        <v>24197</v>
      </c>
      <c r="C1636" t="s">
        <v>5237</v>
      </c>
      <c r="D1636" t="s">
        <v>460</v>
      </c>
      <c r="E1636">
        <v>11</v>
      </c>
      <c r="F1636">
        <v>219.89</v>
      </c>
      <c r="G1636">
        <v>19.989999999999998</v>
      </c>
    </row>
    <row r="1637" spans="1:7" x14ac:dyDescent="0.3">
      <c r="A1637" t="s">
        <v>557</v>
      </c>
      <c r="B1637">
        <v>24200</v>
      </c>
      <c r="C1637" t="s">
        <v>4820</v>
      </c>
      <c r="D1637" t="s">
        <v>460</v>
      </c>
      <c r="E1637">
        <v>10.8</v>
      </c>
      <c r="F1637">
        <v>355.32</v>
      </c>
      <c r="G1637">
        <v>32.9</v>
      </c>
    </row>
    <row r="1638" spans="1:7" x14ac:dyDescent="0.3">
      <c r="A1638" t="s">
        <v>557</v>
      </c>
      <c r="B1638">
        <v>23238</v>
      </c>
      <c r="C1638" t="s">
        <v>4934</v>
      </c>
      <c r="D1638" t="s">
        <v>460</v>
      </c>
      <c r="E1638">
        <v>4.5</v>
      </c>
      <c r="F1638">
        <v>112.71</v>
      </c>
      <c r="G1638">
        <v>25.05</v>
      </c>
    </row>
    <row r="1639" spans="1:7" x14ac:dyDescent="0.3">
      <c r="A1639" t="s">
        <v>557</v>
      </c>
      <c r="B1639">
        <v>23236</v>
      </c>
      <c r="C1639" t="s">
        <v>5062</v>
      </c>
      <c r="D1639" t="s">
        <v>460</v>
      </c>
      <c r="E1639">
        <v>16.3</v>
      </c>
      <c r="F1639">
        <v>153.4</v>
      </c>
      <c r="G1639">
        <v>9.41</v>
      </c>
    </row>
    <row r="1640" spans="1:7" x14ac:dyDescent="0.3">
      <c r="A1640" t="s">
        <v>557</v>
      </c>
      <c r="B1640">
        <v>19041</v>
      </c>
      <c r="C1640" t="s">
        <v>4762</v>
      </c>
      <c r="D1640" t="s">
        <v>460</v>
      </c>
      <c r="E1640">
        <v>70.8</v>
      </c>
      <c r="F1640">
        <v>1054.92</v>
      </c>
      <c r="G1640">
        <v>14.9</v>
      </c>
    </row>
    <row r="1641" spans="1:7" x14ac:dyDescent="0.3">
      <c r="A1641" t="s">
        <v>557</v>
      </c>
      <c r="B1641">
        <v>22843</v>
      </c>
      <c r="C1641" t="s">
        <v>4849</v>
      </c>
      <c r="D1641" t="s">
        <v>460</v>
      </c>
      <c r="E1641">
        <v>7.4</v>
      </c>
      <c r="F1641">
        <v>273.8</v>
      </c>
      <c r="G1641">
        <v>37</v>
      </c>
    </row>
    <row r="1642" spans="1:7" x14ac:dyDescent="0.3">
      <c r="A1642" t="s">
        <v>557</v>
      </c>
      <c r="B1642">
        <v>19439</v>
      </c>
      <c r="C1642" t="s">
        <v>4917</v>
      </c>
      <c r="D1642" t="s">
        <v>460</v>
      </c>
      <c r="E1642">
        <v>6</v>
      </c>
      <c r="F1642">
        <v>200.28</v>
      </c>
      <c r="G1642">
        <v>33.380000000000003</v>
      </c>
    </row>
    <row r="1643" spans="1:7" x14ac:dyDescent="0.3">
      <c r="A1643" t="s">
        <v>557</v>
      </c>
      <c r="B1643">
        <v>20689</v>
      </c>
      <c r="C1643" t="s">
        <v>5007</v>
      </c>
      <c r="D1643" t="s">
        <v>460</v>
      </c>
      <c r="E1643">
        <v>3</v>
      </c>
      <c r="F1643">
        <v>104.7</v>
      </c>
      <c r="G1643">
        <v>34.9</v>
      </c>
    </row>
    <row r="1644" spans="1:7" x14ac:dyDescent="0.3">
      <c r="A1644" t="s">
        <v>557</v>
      </c>
      <c r="B1644">
        <v>26020</v>
      </c>
      <c r="C1644" t="s">
        <v>5102</v>
      </c>
      <c r="D1644" t="s">
        <v>460</v>
      </c>
      <c r="E1644">
        <v>6</v>
      </c>
      <c r="F1644">
        <v>83.64</v>
      </c>
      <c r="G1644">
        <v>13.94</v>
      </c>
    </row>
    <row r="1645" spans="1:7" x14ac:dyDescent="0.3">
      <c r="A1645" t="s">
        <v>557</v>
      </c>
      <c r="B1645">
        <v>24217</v>
      </c>
      <c r="C1645" t="s">
        <v>4778</v>
      </c>
      <c r="D1645" t="s">
        <v>460</v>
      </c>
      <c r="E1645">
        <v>86.25</v>
      </c>
      <c r="F1645">
        <v>2493.5700000000002</v>
      </c>
      <c r="G1645">
        <v>28.91</v>
      </c>
    </row>
    <row r="1646" spans="1:7" x14ac:dyDescent="0.3">
      <c r="A1646" t="s">
        <v>557</v>
      </c>
      <c r="B1646">
        <v>17304</v>
      </c>
      <c r="C1646" t="s">
        <v>5195</v>
      </c>
      <c r="D1646" t="s">
        <v>460</v>
      </c>
      <c r="E1646">
        <v>10</v>
      </c>
      <c r="F1646">
        <v>69.98</v>
      </c>
      <c r="G1646">
        <v>7</v>
      </c>
    </row>
    <row r="1647" spans="1:7" x14ac:dyDescent="0.3">
      <c r="A1647" t="s">
        <v>557</v>
      </c>
      <c r="B1647">
        <v>17215</v>
      </c>
      <c r="C1647" t="s">
        <v>5299</v>
      </c>
      <c r="D1647" t="s">
        <v>460</v>
      </c>
      <c r="E1647">
        <v>24</v>
      </c>
      <c r="F1647">
        <v>479.94</v>
      </c>
      <c r="G1647">
        <v>20</v>
      </c>
    </row>
    <row r="1648" spans="1:7" x14ac:dyDescent="0.3">
      <c r="A1648" t="s">
        <v>557</v>
      </c>
      <c r="B1648">
        <v>17205</v>
      </c>
      <c r="C1648" t="s">
        <v>5264</v>
      </c>
      <c r="D1648" t="s">
        <v>460</v>
      </c>
      <c r="E1648">
        <v>1</v>
      </c>
      <c r="F1648">
        <v>170</v>
      </c>
      <c r="G1648">
        <v>170</v>
      </c>
    </row>
    <row r="1649" spans="1:7" x14ac:dyDescent="0.3">
      <c r="A1649" t="s">
        <v>557</v>
      </c>
      <c r="B1649">
        <v>26552</v>
      </c>
      <c r="C1649" t="s">
        <v>5389</v>
      </c>
      <c r="D1649" t="s">
        <v>460</v>
      </c>
      <c r="E1649">
        <v>4</v>
      </c>
      <c r="F1649">
        <v>792</v>
      </c>
      <c r="G1649">
        <v>198</v>
      </c>
    </row>
    <row r="1650" spans="1:7" x14ac:dyDescent="0.3">
      <c r="A1650" t="s">
        <v>557</v>
      </c>
      <c r="B1650">
        <v>26554</v>
      </c>
      <c r="C1650" t="s">
        <v>5319</v>
      </c>
      <c r="D1650" t="s">
        <v>460</v>
      </c>
      <c r="E1650">
        <v>3</v>
      </c>
      <c r="F1650">
        <v>818</v>
      </c>
      <c r="G1650">
        <v>272.67</v>
      </c>
    </row>
    <row r="1651" spans="1:7" x14ac:dyDescent="0.3">
      <c r="A1651" t="s">
        <v>557</v>
      </c>
      <c r="B1651">
        <v>17465</v>
      </c>
      <c r="C1651" t="s">
        <v>5279</v>
      </c>
      <c r="D1651" t="s">
        <v>460</v>
      </c>
      <c r="E1651">
        <v>1</v>
      </c>
      <c r="F1651">
        <v>670.38</v>
      </c>
      <c r="G1651">
        <v>670.38</v>
      </c>
    </row>
    <row r="1652" spans="1:7" x14ac:dyDescent="0.3">
      <c r="A1652" t="s">
        <v>557</v>
      </c>
      <c r="B1652">
        <v>24527</v>
      </c>
      <c r="C1652" t="s">
        <v>5313</v>
      </c>
      <c r="D1652" t="s">
        <v>460</v>
      </c>
      <c r="E1652">
        <v>2</v>
      </c>
      <c r="F1652">
        <v>1978.76</v>
      </c>
      <c r="G1652">
        <v>989.38</v>
      </c>
    </row>
    <row r="1653" spans="1:7" x14ac:dyDescent="0.3">
      <c r="A1653" t="s">
        <v>557</v>
      </c>
      <c r="B1653">
        <v>21716</v>
      </c>
      <c r="C1653" t="s">
        <v>5281</v>
      </c>
      <c r="D1653" t="s">
        <v>460</v>
      </c>
      <c r="E1653">
        <v>1</v>
      </c>
      <c r="F1653">
        <v>399.5</v>
      </c>
      <c r="G1653">
        <v>399.5</v>
      </c>
    </row>
    <row r="1654" spans="1:7" x14ac:dyDescent="0.3">
      <c r="A1654" t="s">
        <v>557</v>
      </c>
      <c r="B1654">
        <v>24574</v>
      </c>
      <c r="C1654" t="s">
        <v>5134</v>
      </c>
      <c r="D1654" t="s">
        <v>460</v>
      </c>
      <c r="E1654">
        <v>4</v>
      </c>
      <c r="F1654">
        <v>79.599999999999994</v>
      </c>
      <c r="G1654">
        <v>19.899999999999999</v>
      </c>
    </row>
    <row r="1655" spans="1:7" x14ac:dyDescent="0.3">
      <c r="A1655" t="s">
        <v>557</v>
      </c>
      <c r="B1655">
        <v>17918</v>
      </c>
      <c r="C1655" t="s">
        <v>5368</v>
      </c>
      <c r="D1655" t="s">
        <v>460</v>
      </c>
      <c r="E1655">
        <v>4</v>
      </c>
      <c r="F1655">
        <v>172.8</v>
      </c>
      <c r="G1655">
        <v>43.2</v>
      </c>
    </row>
    <row r="1656" spans="1:7" x14ac:dyDescent="0.3">
      <c r="A1656" t="s">
        <v>557</v>
      </c>
      <c r="B1656">
        <v>17916</v>
      </c>
      <c r="C1656" t="s">
        <v>5235</v>
      </c>
      <c r="D1656" t="s">
        <v>460</v>
      </c>
      <c r="E1656">
        <v>6</v>
      </c>
      <c r="F1656">
        <v>492.66</v>
      </c>
      <c r="G1656">
        <v>82.11</v>
      </c>
    </row>
    <row r="1657" spans="1:7" x14ac:dyDescent="0.3">
      <c r="A1657" t="s">
        <v>557</v>
      </c>
      <c r="B1657">
        <v>23234</v>
      </c>
      <c r="C1657" t="s">
        <v>4986</v>
      </c>
      <c r="D1657" t="s">
        <v>460</v>
      </c>
      <c r="E1657">
        <v>1</v>
      </c>
      <c r="F1657">
        <v>23</v>
      </c>
      <c r="G1657">
        <v>23</v>
      </c>
    </row>
    <row r="1658" spans="1:7" x14ac:dyDescent="0.3">
      <c r="A1658" t="s">
        <v>557</v>
      </c>
      <c r="B1658">
        <v>19526</v>
      </c>
      <c r="C1658" t="s">
        <v>4997</v>
      </c>
      <c r="D1658" t="s">
        <v>460</v>
      </c>
      <c r="E1658">
        <v>2.2000000000000002</v>
      </c>
      <c r="F1658">
        <v>102.08</v>
      </c>
      <c r="G1658">
        <v>46.4</v>
      </c>
    </row>
    <row r="1659" spans="1:7" x14ac:dyDescent="0.3">
      <c r="A1659" t="s">
        <v>557</v>
      </c>
      <c r="B1659">
        <v>24522</v>
      </c>
      <c r="C1659" t="s">
        <v>5072</v>
      </c>
      <c r="D1659" t="s">
        <v>460</v>
      </c>
      <c r="E1659">
        <v>1</v>
      </c>
      <c r="F1659">
        <v>23</v>
      </c>
      <c r="G1659">
        <v>23</v>
      </c>
    </row>
    <row r="1660" spans="1:7" x14ac:dyDescent="0.3">
      <c r="A1660" t="s">
        <v>557</v>
      </c>
      <c r="B1660">
        <v>24598</v>
      </c>
      <c r="C1660" t="s">
        <v>4852</v>
      </c>
      <c r="D1660" t="s">
        <v>460</v>
      </c>
      <c r="E1660">
        <v>2</v>
      </c>
      <c r="F1660">
        <v>20.88</v>
      </c>
      <c r="G1660">
        <v>10.44</v>
      </c>
    </row>
    <row r="1661" spans="1:7" x14ac:dyDescent="0.3">
      <c r="A1661" t="s">
        <v>557</v>
      </c>
      <c r="B1661">
        <v>17196</v>
      </c>
      <c r="C1661" t="s">
        <v>5258</v>
      </c>
      <c r="D1661" t="s">
        <v>460</v>
      </c>
      <c r="E1661">
        <v>1</v>
      </c>
      <c r="F1661">
        <v>8.9</v>
      </c>
      <c r="G1661">
        <v>8.9</v>
      </c>
    </row>
    <row r="1662" spans="1:7" x14ac:dyDescent="0.3">
      <c r="A1662" t="s">
        <v>557</v>
      </c>
      <c r="B1662">
        <v>17190</v>
      </c>
      <c r="C1662" t="s">
        <v>5193</v>
      </c>
      <c r="D1662" t="s">
        <v>460</v>
      </c>
      <c r="E1662">
        <v>8</v>
      </c>
      <c r="F1662">
        <v>79.599999999999994</v>
      </c>
      <c r="G1662">
        <v>9.9499999999999993</v>
      </c>
    </row>
    <row r="1663" spans="1:7" x14ac:dyDescent="0.3">
      <c r="A1663" t="s">
        <v>557</v>
      </c>
      <c r="B1663">
        <v>18030</v>
      </c>
      <c r="C1663" t="s">
        <v>4840</v>
      </c>
      <c r="D1663" t="s">
        <v>460</v>
      </c>
      <c r="E1663">
        <v>13</v>
      </c>
      <c r="F1663">
        <v>369.17</v>
      </c>
      <c r="G1663">
        <v>28.4</v>
      </c>
    </row>
    <row r="1664" spans="1:7" x14ac:dyDescent="0.3">
      <c r="A1664" t="s">
        <v>557</v>
      </c>
      <c r="B1664">
        <v>26030</v>
      </c>
      <c r="C1664" t="s">
        <v>5136</v>
      </c>
      <c r="D1664" t="s">
        <v>460</v>
      </c>
      <c r="E1664">
        <v>1</v>
      </c>
      <c r="F1664">
        <v>75.400000000000006</v>
      </c>
      <c r="G1664">
        <v>75.400000000000006</v>
      </c>
    </row>
    <row r="1665" spans="1:7" x14ac:dyDescent="0.3">
      <c r="A1665" t="s">
        <v>557</v>
      </c>
      <c r="B1665">
        <v>17455</v>
      </c>
      <c r="C1665" t="s">
        <v>5290</v>
      </c>
      <c r="D1665" t="s">
        <v>460</v>
      </c>
      <c r="E1665">
        <v>2</v>
      </c>
      <c r="F1665">
        <v>76</v>
      </c>
      <c r="G1665">
        <v>38</v>
      </c>
    </row>
    <row r="1666" spans="1:7" x14ac:dyDescent="0.3">
      <c r="A1666" t="s">
        <v>557</v>
      </c>
      <c r="B1666">
        <v>20673</v>
      </c>
      <c r="C1666" t="s">
        <v>5132</v>
      </c>
      <c r="D1666" t="s">
        <v>460</v>
      </c>
      <c r="E1666">
        <v>3</v>
      </c>
      <c r="F1666">
        <v>217.43</v>
      </c>
      <c r="G1666">
        <v>72.48</v>
      </c>
    </row>
    <row r="1667" spans="1:7" x14ac:dyDescent="0.3">
      <c r="A1667" t="s">
        <v>557</v>
      </c>
      <c r="B1667">
        <v>26627</v>
      </c>
      <c r="C1667" t="s">
        <v>5190</v>
      </c>
      <c r="D1667" t="s">
        <v>460</v>
      </c>
      <c r="E1667">
        <v>65</v>
      </c>
      <c r="F1667">
        <v>513.5</v>
      </c>
      <c r="G1667">
        <v>7.9</v>
      </c>
    </row>
    <row r="1668" spans="1:7" x14ac:dyDescent="0.3">
      <c r="A1668" t="s">
        <v>557</v>
      </c>
      <c r="B1668">
        <v>20382</v>
      </c>
      <c r="C1668" t="s">
        <v>4780</v>
      </c>
      <c r="D1668" t="s">
        <v>460</v>
      </c>
      <c r="E1668">
        <v>57</v>
      </c>
      <c r="F1668">
        <v>512.42999999999995</v>
      </c>
      <c r="G1668">
        <v>8.99</v>
      </c>
    </row>
    <row r="1669" spans="1:7" x14ac:dyDescent="0.3">
      <c r="A1669" t="s">
        <v>557</v>
      </c>
      <c r="B1669">
        <v>25237</v>
      </c>
      <c r="C1669" t="s">
        <v>5143</v>
      </c>
      <c r="D1669" t="s">
        <v>460</v>
      </c>
      <c r="E1669">
        <v>20</v>
      </c>
      <c r="F1669">
        <v>109.2</v>
      </c>
      <c r="G1669">
        <v>5.46</v>
      </c>
    </row>
    <row r="1670" spans="1:7" x14ac:dyDescent="0.3">
      <c r="A1670" t="s">
        <v>557</v>
      </c>
      <c r="B1670">
        <v>20322</v>
      </c>
      <c r="C1670" t="s">
        <v>4882</v>
      </c>
      <c r="D1670" t="s">
        <v>460</v>
      </c>
      <c r="E1670">
        <v>2</v>
      </c>
      <c r="F1670">
        <v>21.6</v>
      </c>
      <c r="G1670">
        <v>10.8</v>
      </c>
    </row>
    <row r="1671" spans="1:7" x14ac:dyDescent="0.3">
      <c r="A1671" t="s">
        <v>557</v>
      </c>
      <c r="B1671">
        <v>20358</v>
      </c>
      <c r="C1671" t="s">
        <v>4911</v>
      </c>
      <c r="D1671" t="s">
        <v>460</v>
      </c>
      <c r="E1671">
        <v>6</v>
      </c>
      <c r="F1671">
        <v>85.38</v>
      </c>
      <c r="G1671">
        <v>14.23</v>
      </c>
    </row>
    <row r="1672" spans="1:7" x14ac:dyDescent="0.3">
      <c r="A1672" t="s">
        <v>557</v>
      </c>
      <c r="B1672">
        <v>20242</v>
      </c>
      <c r="C1672" t="s">
        <v>4824</v>
      </c>
      <c r="D1672" t="s">
        <v>460</v>
      </c>
      <c r="E1672">
        <v>15</v>
      </c>
      <c r="F1672">
        <v>213.75</v>
      </c>
      <c r="G1672">
        <v>14.25</v>
      </c>
    </row>
    <row r="1673" spans="1:7" x14ac:dyDescent="0.3">
      <c r="A1673" t="s">
        <v>557</v>
      </c>
      <c r="B1673">
        <v>24256</v>
      </c>
      <c r="C1673" t="s">
        <v>4773</v>
      </c>
      <c r="D1673" t="s">
        <v>460</v>
      </c>
      <c r="E1673">
        <v>70</v>
      </c>
      <c r="F1673">
        <v>2660</v>
      </c>
      <c r="G1673">
        <v>38</v>
      </c>
    </row>
    <row r="1674" spans="1:7" x14ac:dyDescent="0.3">
      <c r="A1674" t="s">
        <v>557</v>
      </c>
      <c r="B1674">
        <v>24259</v>
      </c>
      <c r="C1674" t="s">
        <v>4875</v>
      </c>
      <c r="D1674" t="s">
        <v>460</v>
      </c>
      <c r="E1674">
        <v>30.2</v>
      </c>
      <c r="F1674">
        <v>2387.6799999999998</v>
      </c>
      <c r="G1674">
        <v>79.06</v>
      </c>
    </row>
    <row r="1675" spans="1:7" x14ac:dyDescent="0.3">
      <c r="A1675" t="s">
        <v>557</v>
      </c>
      <c r="B1675">
        <v>27410</v>
      </c>
      <c r="C1675" t="s">
        <v>5390</v>
      </c>
      <c r="D1675" t="s">
        <v>460</v>
      </c>
      <c r="E1675">
        <v>1</v>
      </c>
      <c r="F1675">
        <v>4.5</v>
      </c>
      <c r="G1675">
        <v>4.5</v>
      </c>
    </row>
    <row r="1676" spans="1:7" x14ac:dyDescent="0.3">
      <c r="A1676" t="s">
        <v>557</v>
      </c>
      <c r="B1676">
        <v>24750</v>
      </c>
      <c r="C1676" t="s">
        <v>5204</v>
      </c>
      <c r="D1676" t="s">
        <v>460</v>
      </c>
      <c r="E1676">
        <v>1</v>
      </c>
      <c r="F1676">
        <v>5.9</v>
      </c>
      <c r="G1676">
        <v>5.9</v>
      </c>
    </row>
    <row r="1677" spans="1:7" x14ac:dyDescent="0.3">
      <c r="A1677" t="s">
        <v>557</v>
      </c>
      <c r="B1677">
        <v>25777</v>
      </c>
      <c r="C1677" t="s">
        <v>4774</v>
      </c>
      <c r="D1677" t="s">
        <v>460</v>
      </c>
      <c r="E1677">
        <v>51.4</v>
      </c>
      <c r="F1677">
        <v>4204.57</v>
      </c>
      <c r="G1677">
        <v>81.8</v>
      </c>
    </row>
    <row r="1678" spans="1:7" x14ac:dyDescent="0.3">
      <c r="A1678" t="s">
        <v>557</v>
      </c>
      <c r="B1678">
        <v>24278</v>
      </c>
      <c r="C1678" t="s">
        <v>4901</v>
      </c>
      <c r="D1678" t="s">
        <v>460</v>
      </c>
      <c r="E1678">
        <v>18.100000000000001</v>
      </c>
      <c r="F1678">
        <v>233.49</v>
      </c>
      <c r="G1678">
        <v>12.9</v>
      </c>
    </row>
    <row r="1679" spans="1:7" x14ac:dyDescent="0.3">
      <c r="A1679" t="s">
        <v>557</v>
      </c>
      <c r="B1679">
        <v>19765</v>
      </c>
      <c r="C1679" t="s">
        <v>4889</v>
      </c>
      <c r="D1679" t="s">
        <v>460</v>
      </c>
      <c r="E1679">
        <v>2</v>
      </c>
      <c r="F1679">
        <v>68.16</v>
      </c>
      <c r="G1679">
        <v>34.08</v>
      </c>
    </row>
    <row r="1680" spans="1:7" x14ac:dyDescent="0.3">
      <c r="A1680" t="s">
        <v>557</v>
      </c>
      <c r="B1680">
        <v>19003</v>
      </c>
      <c r="C1680" t="s">
        <v>4810</v>
      </c>
      <c r="D1680" t="s">
        <v>460</v>
      </c>
      <c r="E1680">
        <v>89.87</v>
      </c>
      <c r="F1680">
        <v>3585.81</v>
      </c>
      <c r="G1680">
        <v>39.9</v>
      </c>
    </row>
    <row r="1681" spans="1:7" x14ac:dyDescent="0.3">
      <c r="A1681" t="s">
        <v>557</v>
      </c>
      <c r="B1681">
        <v>27810</v>
      </c>
      <c r="C1681" t="s">
        <v>5375</v>
      </c>
      <c r="D1681" t="s">
        <v>460</v>
      </c>
      <c r="E1681">
        <v>1</v>
      </c>
      <c r="F1681">
        <v>168.9</v>
      </c>
      <c r="G1681">
        <v>168.9</v>
      </c>
    </row>
    <row r="1682" spans="1:7" x14ac:dyDescent="0.3">
      <c r="A1682" t="s">
        <v>557</v>
      </c>
      <c r="B1682">
        <v>24497</v>
      </c>
      <c r="C1682" t="s">
        <v>5231</v>
      </c>
      <c r="D1682" t="s">
        <v>460</v>
      </c>
      <c r="E1682">
        <v>2</v>
      </c>
      <c r="F1682">
        <v>139.02000000000001</v>
      </c>
      <c r="G1682">
        <v>69.510000000000005</v>
      </c>
    </row>
    <row r="1683" spans="1:7" x14ac:dyDescent="0.3">
      <c r="A1683" t="s">
        <v>557</v>
      </c>
      <c r="B1683">
        <v>23970</v>
      </c>
      <c r="C1683" t="s">
        <v>5385</v>
      </c>
      <c r="D1683" t="s">
        <v>460</v>
      </c>
      <c r="E1683">
        <v>2</v>
      </c>
      <c r="F1683">
        <v>24.4</v>
      </c>
      <c r="G1683">
        <v>12.2</v>
      </c>
    </row>
    <row r="1684" spans="1:7" x14ac:dyDescent="0.3">
      <c r="A1684" t="s">
        <v>557</v>
      </c>
      <c r="B1684">
        <v>19607</v>
      </c>
      <c r="C1684" t="s">
        <v>4981</v>
      </c>
      <c r="D1684" t="s">
        <v>460</v>
      </c>
      <c r="E1684">
        <v>1.55</v>
      </c>
      <c r="F1684">
        <v>25.43</v>
      </c>
      <c r="G1684">
        <v>16.41</v>
      </c>
    </row>
    <row r="1685" spans="1:7" x14ac:dyDescent="0.3">
      <c r="A1685" t="s">
        <v>557</v>
      </c>
      <c r="B1685">
        <v>18359</v>
      </c>
      <c r="C1685" t="s">
        <v>4921</v>
      </c>
      <c r="D1685" t="s">
        <v>460</v>
      </c>
      <c r="E1685">
        <v>2</v>
      </c>
      <c r="F1685">
        <v>191.8</v>
      </c>
      <c r="G1685">
        <v>95.9</v>
      </c>
    </row>
    <row r="1686" spans="1:7" x14ac:dyDescent="0.3">
      <c r="A1686" t="s">
        <v>557</v>
      </c>
      <c r="B1686">
        <v>21021</v>
      </c>
      <c r="C1686" t="s">
        <v>4883</v>
      </c>
      <c r="D1686" t="s">
        <v>460</v>
      </c>
      <c r="E1686">
        <v>8</v>
      </c>
      <c r="F1686">
        <v>1406.46</v>
      </c>
      <c r="G1686">
        <v>175.81</v>
      </c>
    </row>
    <row r="1687" spans="1:7" x14ac:dyDescent="0.3">
      <c r="A1687" t="s">
        <v>557</v>
      </c>
      <c r="B1687">
        <v>25087</v>
      </c>
      <c r="C1687" t="s">
        <v>5356</v>
      </c>
      <c r="D1687" t="s">
        <v>460</v>
      </c>
      <c r="E1687">
        <v>2</v>
      </c>
      <c r="F1687">
        <v>25.4</v>
      </c>
      <c r="G1687">
        <v>12.7</v>
      </c>
    </row>
    <row r="1688" spans="1:7" x14ac:dyDescent="0.3">
      <c r="A1688" t="s">
        <v>557</v>
      </c>
      <c r="B1688">
        <v>20213</v>
      </c>
      <c r="C1688" t="s">
        <v>5160</v>
      </c>
      <c r="D1688" t="s">
        <v>460</v>
      </c>
      <c r="E1688">
        <v>3</v>
      </c>
      <c r="F1688">
        <v>94.86</v>
      </c>
      <c r="G1688">
        <v>31.62</v>
      </c>
    </row>
    <row r="1689" spans="1:7" x14ac:dyDescent="0.3">
      <c r="A1689" t="s">
        <v>557</v>
      </c>
      <c r="B1689">
        <v>17905</v>
      </c>
      <c r="C1689" t="s">
        <v>5085</v>
      </c>
      <c r="D1689" t="s">
        <v>460</v>
      </c>
      <c r="E1689">
        <v>8</v>
      </c>
      <c r="F1689">
        <v>204.24</v>
      </c>
      <c r="G1689">
        <v>25.53</v>
      </c>
    </row>
    <row r="1690" spans="1:7" x14ac:dyDescent="0.3">
      <c r="A1690" t="s">
        <v>557</v>
      </c>
      <c r="B1690">
        <v>27657</v>
      </c>
      <c r="C1690" t="s">
        <v>5137</v>
      </c>
      <c r="D1690" t="s">
        <v>460</v>
      </c>
      <c r="E1690">
        <v>22.08</v>
      </c>
      <c r="F1690">
        <v>876.77</v>
      </c>
      <c r="G1690">
        <v>39.71</v>
      </c>
    </row>
    <row r="1691" spans="1:7" x14ac:dyDescent="0.3">
      <c r="A1691" t="s">
        <v>557</v>
      </c>
      <c r="B1691">
        <v>19480</v>
      </c>
      <c r="C1691" t="s">
        <v>5119</v>
      </c>
      <c r="D1691" t="s">
        <v>460</v>
      </c>
      <c r="E1691">
        <v>3.9</v>
      </c>
      <c r="F1691">
        <v>64.819999999999993</v>
      </c>
      <c r="G1691">
        <v>16.62</v>
      </c>
    </row>
    <row r="1692" spans="1:7" x14ac:dyDescent="0.3">
      <c r="A1692" t="s">
        <v>557</v>
      </c>
      <c r="B1692">
        <v>19241</v>
      </c>
      <c r="C1692" t="s">
        <v>4890</v>
      </c>
      <c r="D1692" t="s">
        <v>460</v>
      </c>
      <c r="E1692">
        <v>3</v>
      </c>
      <c r="F1692">
        <v>10.8</v>
      </c>
      <c r="G1692">
        <v>3.6</v>
      </c>
    </row>
    <row r="1693" spans="1:7" x14ac:dyDescent="0.3">
      <c r="A1693" t="s">
        <v>557</v>
      </c>
      <c r="B1693">
        <v>20057</v>
      </c>
      <c r="C1693" t="s">
        <v>4949</v>
      </c>
      <c r="D1693" t="s">
        <v>460</v>
      </c>
      <c r="E1693">
        <v>2</v>
      </c>
      <c r="F1693">
        <v>84.36</v>
      </c>
      <c r="G1693">
        <v>42.18</v>
      </c>
    </row>
    <row r="1694" spans="1:7" x14ac:dyDescent="0.3">
      <c r="A1694" t="s">
        <v>557</v>
      </c>
      <c r="B1694">
        <v>23365</v>
      </c>
      <c r="C1694" t="s">
        <v>5108</v>
      </c>
      <c r="D1694" t="s">
        <v>460</v>
      </c>
      <c r="E1694">
        <v>2</v>
      </c>
      <c r="F1694">
        <v>42</v>
      </c>
      <c r="G1694">
        <v>21</v>
      </c>
    </row>
    <row r="1695" spans="1:7" x14ac:dyDescent="0.3">
      <c r="A1695" t="s">
        <v>557</v>
      </c>
      <c r="B1695">
        <v>24320</v>
      </c>
      <c r="C1695" t="s">
        <v>4861</v>
      </c>
      <c r="D1695" t="s">
        <v>460</v>
      </c>
      <c r="E1695">
        <v>12</v>
      </c>
      <c r="F1695">
        <v>430.8</v>
      </c>
      <c r="G1695">
        <v>35.9</v>
      </c>
    </row>
    <row r="1696" spans="1:7" x14ac:dyDescent="0.3">
      <c r="A1696" t="s">
        <v>557</v>
      </c>
      <c r="B1696">
        <v>23361</v>
      </c>
      <c r="C1696" t="s">
        <v>4754</v>
      </c>
      <c r="D1696" t="s">
        <v>460</v>
      </c>
      <c r="E1696">
        <v>181</v>
      </c>
      <c r="F1696">
        <v>602.45000000000005</v>
      </c>
      <c r="G1696">
        <v>3.33</v>
      </c>
    </row>
    <row r="1697" spans="1:7" x14ac:dyDescent="0.3">
      <c r="A1697" t="s">
        <v>557</v>
      </c>
      <c r="B1697">
        <v>20657</v>
      </c>
      <c r="C1697" t="s">
        <v>5109</v>
      </c>
      <c r="D1697" t="s">
        <v>460</v>
      </c>
      <c r="E1697">
        <v>18</v>
      </c>
      <c r="F1697">
        <v>114.48</v>
      </c>
      <c r="G1697">
        <v>6.36</v>
      </c>
    </row>
    <row r="1698" spans="1:7" x14ac:dyDescent="0.3">
      <c r="A1698" t="s">
        <v>557</v>
      </c>
      <c r="B1698">
        <v>20661</v>
      </c>
      <c r="C1698" t="s">
        <v>5012</v>
      </c>
      <c r="D1698" t="s">
        <v>460</v>
      </c>
      <c r="E1698">
        <v>6</v>
      </c>
      <c r="F1698">
        <v>52.02</v>
      </c>
      <c r="G1698">
        <v>8.67</v>
      </c>
    </row>
    <row r="1699" spans="1:7" x14ac:dyDescent="0.3">
      <c r="A1699" t="s">
        <v>557</v>
      </c>
      <c r="B1699">
        <v>20653</v>
      </c>
      <c r="C1699" t="s">
        <v>5013</v>
      </c>
      <c r="D1699" t="s">
        <v>460</v>
      </c>
      <c r="E1699">
        <v>3</v>
      </c>
      <c r="F1699">
        <v>74.099999999999994</v>
      </c>
      <c r="G1699">
        <v>24.7</v>
      </c>
    </row>
    <row r="1700" spans="1:7" x14ac:dyDescent="0.3">
      <c r="A1700" t="s">
        <v>557</v>
      </c>
      <c r="B1700">
        <v>19434</v>
      </c>
      <c r="C1700" t="s">
        <v>5078</v>
      </c>
      <c r="D1700" t="s">
        <v>460</v>
      </c>
      <c r="E1700">
        <v>1</v>
      </c>
      <c r="F1700">
        <v>23.2</v>
      </c>
      <c r="G1700">
        <v>23.2</v>
      </c>
    </row>
    <row r="1701" spans="1:7" x14ac:dyDescent="0.3">
      <c r="A1701" t="s">
        <v>557</v>
      </c>
      <c r="B1701">
        <v>19421</v>
      </c>
      <c r="C1701" t="s">
        <v>4918</v>
      </c>
      <c r="D1701" t="s">
        <v>460</v>
      </c>
      <c r="E1701">
        <v>5</v>
      </c>
      <c r="F1701">
        <v>277.98</v>
      </c>
      <c r="G1701">
        <v>55.6</v>
      </c>
    </row>
    <row r="1702" spans="1:7" x14ac:dyDescent="0.3">
      <c r="A1702" t="s">
        <v>557</v>
      </c>
      <c r="B1702">
        <v>24322</v>
      </c>
      <c r="C1702" t="s">
        <v>5064</v>
      </c>
      <c r="D1702" t="s">
        <v>460</v>
      </c>
      <c r="E1702">
        <v>3</v>
      </c>
      <c r="F1702">
        <v>66</v>
      </c>
      <c r="G1702">
        <v>22</v>
      </c>
    </row>
    <row r="1703" spans="1:7" x14ac:dyDescent="0.3">
      <c r="A1703" t="s">
        <v>557</v>
      </c>
      <c r="B1703">
        <v>20176</v>
      </c>
      <c r="C1703" t="s">
        <v>5175</v>
      </c>
      <c r="D1703" t="s">
        <v>460</v>
      </c>
      <c r="E1703">
        <v>1</v>
      </c>
      <c r="F1703">
        <v>33.119999999999997</v>
      </c>
      <c r="G1703">
        <v>33.119999999999997</v>
      </c>
    </row>
    <row r="1704" spans="1:7" x14ac:dyDescent="0.3">
      <c r="A1704" t="s">
        <v>557</v>
      </c>
      <c r="B1704">
        <v>18293</v>
      </c>
      <c r="C1704" t="s">
        <v>5034</v>
      </c>
      <c r="D1704" t="s">
        <v>460</v>
      </c>
      <c r="E1704">
        <v>1</v>
      </c>
      <c r="F1704">
        <v>137.69999999999999</v>
      </c>
      <c r="G1704">
        <v>137.69999999999999</v>
      </c>
    </row>
    <row r="1705" spans="1:7" x14ac:dyDescent="0.3">
      <c r="A1705" t="s">
        <v>557</v>
      </c>
      <c r="B1705">
        <v>19752</v>
      </c>
      <c r="C1705" t="s">
        <v>4807</v>
      </c>
      <c r="D1705" t="s">
        <v>460</v>
      </c>
      <c r="E1705">
        <v>4</v>
      </c>
      <c r="F1705">
        <v>37.5</v>
      </c>
      <c r="G1705">
        <v>9.3800000000000008</v>
      </c>
    </row>
    <row r="1706" spans="1:7" x14ac:dyDescent="0.3">
      <c r="A1706" t="s">
        <v>557</v>
      </c>
      <c r="B1706">
        <v>19751</v>
      </c>
      <c r="C1706" t="s">
        <v>4800</v>
      </c>
      <c r="D1706" t="s">
        <v>460</v>
      </c>
      <c r="E1706">
        <v>20.5</v>
      </c>
      <c r="F1706">
        <v>341.01</v>
      </c>
      <c r="G1706">
        <v>16.63</v>
      </c>
    </row>
    <row r="1707" spans="1:7" x14ac:dyDescent="0.3">
      <c r="A1707" t="s">
        <v>557</v>
      </c>
      <c r="B1707">
        <v>23359</v>
      </c>
      <c r="C1707" t="s">
        <v>4767</v>
      </c>
      <c r="D1707" t="s">
        <v>460</v>
      </c>
      <c r="E1707">
        <v>170</v>
      </c>
      <c r="F1707">
        <v>467.65</v>
      </c>
      <c r="G1707">
        <v>2.75</v>
      </c>
    </row>
    <row r="1708" spans="1:7" x14ac:dyDescent="0.3">
      <c r="A1708" t="s">
        <v>557</v>
      </c>
      <c r="B1708">
        <v>17185</v>
      </c>
      <c r="C1708" t="s">
        <v>5384</v>
      </c>
      <c r="D1708" t="s">
        <v>460</v>
      </c>
      <c r="E1708">
        <v>1</v>
      </c>
      <c r="F1708">
        <v>15.95</v>
      </c>
      <c r="G1708">
        <v>15.95</v>
      </c>
    </row>
    <row r="1709" spans="1:7" x14ac:dyDescent="0.3">
      <c r="A1709" t="s">
        <v>557</v>
      </c>
      <c r="B1709">
        <v>24331</v>
      </c>
      <c r="C1709" t="s">
        <v>5166</v>
      </c>
      <c r="D1709" t="s">
        <v>460</v>
      </c>
      <c r="E1709">
        <v>5</v>
      </c>
      <c r="F1709">
        <v>109.5</v>
      </c>
      <c r="G1709">
        <v>21.9</v>
      </c>
    </row>
    <row r="1710" spans="1:7" x14ac:dyDescent="0.3">
      <c r="A1710" t="s">
        <v>557</v>
      </c>
      <c r="B1710">
        <v>24339</v>
      </c>
      <c r="C1710" t="s">
        <v>4885</v>
      </c>
      <c r="D1710" t="s">
        <v>460</v>
      </c>
      <c r="E1710">
        <v>2.5</v>
      </c>
      <c r="F1710">
        <v>90</v>
      </c>
      <c r="G1710">
        <v>36</v>
      </c>
    </row>
    <row r="1711" spans="1:7" x14ac:dyDescent="0.3">
      <c r="A1711" t="s">
        <v>557</v>
      </c>
      <c r="B1711">
        <v>20501</v>
      </c>
      <c r="C1711" t="s">
        <v>4760</v>
      </c>
      <c r="D1711" t="s">
        <v>460</v>
      </c>
      <c r="E1711">
        <v>65</v>
      </c>
      <c r="F1711">
        <v>1413.5</v>
      </c>
      <c r="G1711">
        <v>21.75</v>
      </c>
    </row>
    <row r="1712" spans="1:7" x14ac:dyDescent="0.3">
      <c r="A1712" t="s">
        <v>557</v>
      </c>
      <c r="B1712">
        <v>23980</v>
      </c>
      <c r="C1712" t="s">
        <v>5097</v>
      </c>
      <c r="D1712" t="s">
        <v>460</v>
      </c>
      <c r="E1712">
        <v>21.1</v>
      </c>
      <c r="F1712">
        <v>822.9</v>
      </c>
      <c r="G1712">
        <v>39</v>
      </c>
    </row>
    <row r="1713" spans="1:7" x14ac:dyDescent="0.3">
      <c r="A1713" t="s">
        <v>557</v>
      </c>
      <c r="B1713">
        <v>17017</v>
      </c>
      <c r="C1713" t="s">
        <v>5199</v>
      </c>
      <c r="D1713" t="s">
        <v>460</v>
      </c>
      <c r="E1713">
        <v>6</v>
      </c>
      <c r="F1713">
        <v>19.78</v>
      </c>
      <c r="G1713">
        <v>3.3</v>
      </c>
    </row>
    <row r="1714" spans="1:7" x14ac:dyDescent="0.3">
      <c r="A1714" t="s">
        <v>557</v>
      </c>
      <c r="B1714">
        <v>17504</v>
      </c>
      <c r="C1714" t="s">
        <v>5260</v>
      </c>
      <c r="D1714" t="s">
        <v>460</v>
      </c>
      <c r="E1714">
        <v>4</v>
      </c>
      <c r="F1714">
        <v>89.07</v>
      </c>
      <c r="G1714">
        <v>22.27</v>
      </c>
    </row>
    <row r="1715" spans="1:7" x14ac:dyDescent="0.3">
      <c r="A1715" t="s">
        <v>557</v>
      </c>
      <c r="B1715">
        <v>23349</v>
      </c>
      <c r="C1715" t="s">
        <v>4988</v>
      </c>
      <c r="D1715" t="s">
        <v>460</v>
      </c>
      <c r="E1715">
        <v>1.3</v>
      </c>
      <c r="F1715">
        <v>13.82</v>
      </c>
      <c r="G1715">
        <v>10.63</v>
      </c>
    </row>
    <row r="1716" spans="1:7" x14ac:dyDescent="0.3">
      <c r="A1716" t="s">
        <v>557</v>
      </c>
      <c r="B1716">
        <v>19743</v>
      </c>
      <c r="C1716" t="s">
        <v>5047</v>
      </c>
      <c r="D1716" t="s">
        <v>460</v>
      </c>
      <c r="E1716">
        <v>1.4</v>
      </c>
      <c r="F1716">
        <v>19.25</v>
      </c>
      <c r="G1716">
        <v>13.75</v>
      </c>
    </row>
    <row r="1717" spans="1:7" x14ac:dyDescent="0.3">
      <c r="A1717" t="s">
        <v>557</v>
      </c>
      <c r="B1717">
        <v>20138</v>
      </c>
      <c r="C1717" t="s">
        <v>4886</v>
      </c>
      <c r="D1717" t="s">
        <v>460</v>
      </c>
      <c r="E1717">
        <v>3</v>
      </c>
      <c r="F1717">
        <v>15.3</v>
      </c>
      <c r="G1717">
        <v>5.0999999999999996</v>
      </c>
    </row>
    <row r="1718" spans="1:7" x14ac:dyDescent="0.3">
      <c r="A1718" t="s">
        <v>557</v>
      </c>
      <c r="B1718">
        <v>25022</v>
      </c>
      <c r="C1718" t="s">
        <v>4912</v>
      </c>
      <c r="D1718" t="s">
        <v>460</v>
      </c>
      <c r="E1718">
        <v>10</v>
      </c>
      <c r="F1718">
        <v>37</v>
      </c>
      <c r="G1718">
        <v>3.7</v>
      </c>
    </row>
    <row r="1719" spans="1:7" x14ac:dyDescent="0.3">
      <c r="A1719" t="s">
        <v>557</v>
      </c>
      <c r="B1719">
        <v>20007</v>
      </c>
      <c r="C1719" t="s">
        <v>5101</v>
      </c>
      <c r="D1719" t="s">
        <v>460</v>
      </c>
      <c r="E1719">
        <v>6</v>
      </c>
      <c r="F1719">
        <v>305.39999999999998</v>
      </c>
      <c r="G1719">
        <v>50.9</v>
      </c>
    </row>
    <row r="1720" spans="1:7" x14ac:dyDescent="0.3">
      <c r="A1720" t="s">
        <v>557</v>
      </c>
      <c r="B1720">
        <v>19742</v>
      </c>
      <c r="C1720" t="s">
        <v>4900</v>
      </c>
      <c r="D1720" t="s">
        <v>460</v>
      </c>
      <c r="E1720">
        <v>5.3</v>
      </c>
      <c r="F1720">
        <v>53.9</v>
      </c>
      <c r="G1720">
        <v>10.17</v>
      </c>
    </row>
    <row r="1721" spans="1:7" x14ac:dyDescent="0.3">
      <c r="A1721" t="s">
        <v>557</v>
      </c>
      <c r="B1721">
        <v>23228</v>
      </c>
      <c r="C1721" t="s">
        <v>4782</v>
      </c>
      <c r="D1721" t="s">
        <v>460</v>
      </c>
      <c r="E1721">
        <v>31</v>
      </c>
      <c r="F1721">
        <v>214.19</v>
      </c>
      <c r="G1721">
        <v>6.91</v>
      </c>
    </row>
    <row r="1722" spans="1:7" x14ac:dyDescent="0.3">
      <c r="A1722" t="s">
        <v>557</v>
      </c>
      <c r="B1722">
        <v>23346</v>
      </c>
      <c r="C1722" t="s">
        <v>4916</v>
      </c>
      <c r="D1722" t="s">
        <v>460</v>
      </c>
      <c r="E1722">
        <v>11.5</v>
      </c>
      <c r="F1722">
        <v>62.88</v>
      </c>
      <c r="G1722">
        <v>5.47</v>
      </c>
    </row>
    <row r="1723" spans="1:7" x14ac:dyDescent="0.3">
      <c r="A1723" t="s">
        <v>557</v>
      </c>
      <c r="B1723">
        <v>19476</v>
      </c>
      <c r="C1723" t="s">
        <v>5115</v>
      </c>
      <c r="D1723" t="s">
        <v>460</v>
      </c>
      <c r="E1723">
        <v>1.2</v>
      </c>
      <c r="F1723">
        <v>79.260000000000005</v>
      </c>
      <c r="G1723">
        <v>66.05</v>
      </c>
    </row>
    <row r="1724" spans="1:7" x14ac:dyDescent="0.3">
      <c r="A1724" t="s">
        <v>557</v>
      </c>
      <c r="B1724">
        <v>23088</v>
      </c>
      <c r="C1724" t="s">
        <v>5027</v>
      </c>
      <c r="D1724" t="s">
        <v>460</v>
      </c>
      <c r="E1724">
        <v>2</v>
      </c>
      <c r="F1724">
        <v>51.2</v>
      </c>
      <c r="G1724">
        <v>25.6</v>
      </c>
    </row>
    <row r="1725" spans="1:7" x14ac:dyDescent="0.3">
      <c r="A1725" t="s">
        <v>557</v>
      </c>
      <c r="B1725">
        <v>19224</v>
      </c>
      <c r="C1725" t="s">
        <v>5100</v>
      </c>
      <c r="D1725" t="s">
        <v>460</v>
      </c>
      <c r="E1725">
        <v>2</v>
      </c>
      <c r="F1725">
        <v>461.8</v>
      </c>
      <c r="G1725">
        <v>230.9</v>
      </c>
    </row>
    <row r="1726" spans="1:7" x14ac:dyDescent="0.3">
      <c r="A1726" t="s">
        <v>557</v>
      </c>
      <c r="B1726">
        <v>19740</v>
      </c>
      <c r="C1726" t="s">
        <v>4779</v>
      </c>
      <c r="D1726" t="s">
        <v>460</v>
      </c>
      <c r="E1726">
        <v>61</v>
      </c>
      <c r="F1726">
        <v>715</v>
      </c>
      <c r="G1726">
        <v>11.72</v>
      </c>
    </row>
    <row r="1727" spans="1:7" x14ac:dyDescent="0.3">
      <c r="A1727" t="s">
        <v>557</v>
      </c>
      <c r="B1727">
        <v>19415</v>
      </c>
      <c r="C1727" t="s">
        <v>4919</v>
      </c>
      <c r="D1727" t="s">
        <v>460</v>
      </c>
      <c r="E1727">
        <v>4</v>
      </c>
      <c r="F1727">
        <v>35.159999999999997</v>
      </c>
      <c r="G1727">
        <v>8.7899999999999991</v>
      </c>
    </row>
    <row r="1728" spans="1:7" x14ac:dyDescent="0.3">
      <c r="A1728" t="s">
        <v>557</v>
      </c>
      <c r="B1728">
        <v>24351</v>
      </c>
      <c r="C1728" t="s">
        <v>5014</v>
      </c>
      <c r="D1728" t="s">
        <v>460</v>
      </c>
      <c r="E1728">
        <v>40</v>
      </c>
      <c r="F1728">
        <v>480</v>
      </c>
      <c r="G1728">
        <v>12</v>
      </c>
    </row>
    <row r="1729" spans="1:7" x14ac:dyDescent="0.3">
      <c r="A1729" t="s">
        <v>557</v>
      </c>
      <c r="B1729">
        <v>20122</v>
      </c>
      <c r="C1729" t="s">
        <v>4781</v>
      </c>
      <c r="D1729" t="s">
        <v>460</v>
      </c>
      <c r="E1729">
        <v>3</v>
      </c>
      <c r="F1729">
        <v>42.9</v>
      </c>
      <c r="G1729">
        <v>14.3</v>
      </c>
    </row>
    <row r="1730" spans="1:7" x14ac:dyDescent="0.3">
      <c r="A1730" t="s">
        <v>557</v>
      </c>
      <c r="B1730">
        <v>20105</v>
      </c>
      <c r="C1730" t="s">
        <v>4831</v>
      </c>
      <c r="D1730" t="s">
        <v>460</v>
      </c>
      <c r="E1730">
        <v>10</v>
      </c>
      <c r="F1730">
        <v>266</v>
      </c>
      <c r="G1730">
        <v>26.6</v>
      </c>
    </row>
    <row r="1731" spans="1:7" x14ac:dyDescent="0.3">
      <c r="A1731" t="s">
        <v>557</v>
      </c>
      <c r="B1731">
        <v>19737</v>
      </c>
      <c r="C1731" t="s">
        <v>4940</v>
      </c>
      <c r="D1731" t="s">
        <v>460</v>
      </c>
      <c r="E1731">
        <v>12.8</v>
      </c>
      <c r="F1731">
        <v>63.32</v>
      </c>
      <c r="G1731">
        <v>4.95</v>
      </c>
    </row>
    <row r="1732" spans="1:7" x14ac:dyDescent="0.3">
      <c r="A1732" t="s">
        <v>557</v>
      </c>
      <c r="B1732">
        <v>19734</v>
      </c>
      <c r="C1732" t="s">
        <v>4833</v>
      </c>
      <c r="D1732" t="s">
        <v>460</v>
      </c>
      <c r="E1732">
        <v>42.24</v>
      </c>
      <c r="F1732">
        <v>613.86</v>
      </c>
      <c r="G1732">
        <v>14.53</v>
      </c>
    </row>
    <row r="1733" spans="1:7" x14ac:dyDescent="0.3">
      <c r="A1733" t="s">
        <v>557</v>
      </c>
      <c r="B1733">
        <v>20644</v>
      </c>
      <c r="C1733" t="s">
        <v>5016</v>
      </c>
      <c r="D1733" t="s">
        <v>460</v>
      </c>
      <c r="E1733">
        <v>5</v>
      </c>
      <c r="F1733">
        <v>19.45</v>
      </c>
      <c r="G1733">
        <v>3.89</v>
      </c>
    </row>
    <row r="1734" spans="1:7" x14ac:dyDescent="0.3">
      <c r="A1734" t="s">
        <v>557</v>
      </c>
      <c r="B1734">
        <v>19978</v>
      </c>
      <c r="C1734" t="s">
        <v>4887</v>
      </c>
      <c r="D1734" t="s">
        <v>460</v>
      </c>
      <c r="E1734">
        <v>3</v>
      </c>
      <c r="F1734">
        <v>68.88</v>
      </c>
      <c r="G1734">
        <v>22.96</v>
      </c>
    </row>
    <row r="1735" spans="1:7" x14ac:dyDescent="0.3">
      <c r="A1735" t="s">
        <v>557</v>
      </c>
      <c r="B1735">
        <v>19979</v>
      </c>
      <c r="C1735" t="s">
        <v>5270</v>
      </c>
      <c r="D1735" t="s">
        <v>460</v>
      </c>
      <c r="E1735">
        <v>3</v>
      </c>
      <c r="F1735">
        <v>68.88</v>
      </c>
      <c r="G1735">
        <v>22.96</v>
      </c>
    </row>
    <row r="1736" spans="1:7" x14ac:dyDescent="0.3">
      <c r="A1736" t="s">
        <v>557</v>
      </c>
      <c r="B1736">
        <v>19969</v>
      </c>
      <c r="C1736" t="s">
        <v>5018</v>
      </c>
      <c r="D1736" t="s">
        <v>460</v>
      </c>
      <c r="E1736">
        <v>2</v>
      </c>
      <c r="F1736">
        <v>20.2</v>
      </c>
      <c r="G1736">
        <v>10.1</v>
      </c>
    </row>
    <row r="1737" spans="1:7" x14ac:dyDescent="0.3">
      <c r="A1737" t="s">
        <v>557</v>
      </c>
      <c r="B1737">
        <v>23335</v>
      </c>
      <c r="C1737" t="s">
        <v>4961</v>
      </c>
      <c r="D1737" t="s">
        <v>460</v>
      </c>
      <c r="E1737">
        <v>5.9</v>
      </c>
      <c r="F1737">
        <v>173.2</v>
      </c>
      <c r="G1737">
        <v>29.36</v>
      </c>
    </row>
    <row r="1738" spans="1:7" x14ac:dyDescent="0.3">
      <c r="A1738" t="s">
        <v>557</v>
      </c>
      <c r="B1738">
        <v>19967</v>
      </c>
      <c r="C1738" t="s">
        <v>4956</v>
      </c>
      <c r="D1738" t="s">
        <v>460</v>
      </c>
      <c r="E1738">
        <v>2</v>
      </c>
      <c r="F1738">
        <v>98.18</v>
      </c>
      <c r="G1738">
        <v>49.09</v>
      </c>
    </row>
    <row r="1739" spans="1:7" x14ac:dyDescent="0.3">
      <c r="A1739" t="s">
        <v>557</v>
      </c>
      <c r="B1739">
        <v>27397</v>
      </c>
      <c r="C1739" t="s">
        <v>4913</v>
      </c>
      <c r="D1739" t="s">
        <v>460</v>
      </c>
      <c r="E1739">
        <v>10</v>
      </c>
      <c r="F1739">
        <v>610.85</v>
      </c>
      <c r="G1739">
        <v>61.09</v>
      </c>
    </row>
    <row r="1740" spans="1:7" x14ac:dyDescent="0.3">
      <c r="A1740" t="s">
        <v>557</v>
      </c>
      <c r="B1740">
        <v>20984</v>
      </c>
      <c r="C1740" t="s">
        <v>5133</v>
      </c>
      <c r="D1740" t="s">
        <v>460</v>
      </c>
      <c r="E1740">
        <v>60</v>
      </c>
      <c r="F1740">
        <v>481.8</v>
      </c>
      <c r="G1740">
        <v>8.0299999999999994</v>
      </c>
    </row>
    <row r="1741" spans="1:7" x14ac:dyDescent="0.3">
      <c r="A1741" t="s">
        <v>557</v>
      </c>
      <c r="B1741">
        <v>23095</v>
      </c>
      <c r="C1741" t="s">
        <v>4741</v>
      </c>
      <c r="D1741" t="s">
        <v>460</v>
      </c>
      <c r="E1741">
        <v>610</v>
      </c>
      <c r="F1741">
        <v>756.5</v>
      </c>
      <c r="G1741">
        <v>1.24</v>
      </c>
    </row>
    <row r="1742" spans="1:7" x14ac:dyDescent="0.3">
      <c r="A1742" t="s">
        <v>557</v>
      </c>
      <c r="B1742">
        <v>23785</v>
      </c>
      <c r="C1742" t="s">
        <v>4858</v>
      </c>
      <c r="D1742" t="s">
        <v>460</v>
      </c>
      <c r="E1742">
        <v>11</v>
      </c>
      <c r="F1742">
        <v>325.47000000000003</v>
      </c>
      <c r="G1742">
        <v>29.59</v>
      </c>
    </row>
    <row r="1743" spans="1:7" x14ac:dyDescent="0.3">
      <c r="A1743" t="s">
        <v>557</v>
      </c>
      <c r="B1743">
        <v>17444</v>
      </c>
      <c r="C1743" t="s">
        <v>5386</v>
      </c>
      <c r="D1743" t="s">
        <v>460</v>
      </c>
      <c r="E1743">
        <v>1</v>
      </c>
      <c r="F1743">
        <v>12.59</v>
      </c>
      <c r="G1743">
        <v>12.59</v>
      </c>
    </row>
    <row r="1744" spans="1:7" x14ac:dyDescent="0.3">
      <c r="A1744" t="s">
        <v>557</v>
      </c>
      <c r="B1744">
        <v>20623</v>
      </c>
      <c r="C1744" t="s">
        <v>4814</v>
      </c>
      <c r="D1744" t="s">
        <v>460</v>
      </c>
      <c r="E1744">
        <v>20</v>
      </c>
      <c r="F1744">
        <v>247.8</v>
      </c>
      <c r="G1744">
        <v>12.39</v>
      </c>
    </row>
    <row r="1745" spans="1:7" x14ac:dyDescent="0.3">
      <c r="A1745" t="s">
        <v>557</v>
      </c>
      <c r="B1745">
        <v>20624</v>
      </c>
      <c r="C1745" t="s">
        <v>5019</v>
      </c>
      <c r="D1745" t="s">
        <v>460</v>
      </c>
      <c r="E1745">
        <v>2</v>
      </c>
      <c r="F1745">
        <v>145.56</v>
      </c>
      <c r="G1745">
        <v>72.78</v>
      </c>
    </row>
    <row r="1746" spans="1:7" x14ac:dyDescent="0.3">
      <c r="A1746" t="s">
        <v>557</v>
      </c>
      <c r="B1746">
        <v>17162</v>
      </c>
      <c r="C1746" t="s">
        <v>5255</v>
      </c>
      <c r="D1746" t="s">
        <v>460</v>
      </c>
      <c r="E1746">
        <v>1</v>
      </c>
      <c r="F1746">
        <v>54</v>
      </c>
      <c r="G1746">
        <v>54</v>
      </c>
    </row>
    <row r="1747" spans="1:7" x14ac:dyDescent="0.3">
      <c r="A1747" t="s">
        <v>557</v>
      </c>
      <c r="B1747">
        <v>17046</v>
      </c>
      <c r="C1747" t="s">
        <v>5194</v>
      </c>
      <c r="D1747" t="s">
        <v>460</v>
      </c>
      <c r="E1747">
        <v>4</v>
      </c>
      <c r="F1747">
        <v>151.9</v>
      </c>
      <c r="G1747">
        <v>37.979999999999997</v>
      </c>
    </row>
    <row r="1748" spans="1:7" x14ac:dyDescent="0.3">
      <c r="A1748" t="s">
        <v>557</v>
      </c>
      <c r="B1748">
        <v>28298</v>
      </c>
      <c r="C1748" t="s">
        <v>5261</v>
      </c>
      <c r="D1748" t="s">
        <v>460</v>
      </c>
      <c r="E1748">
        <v>3</v>
      </c>
      <c r="F1748">
        <v>205.92</v>
      </c>
      <c r="G1748">
        <v>68.64</v>
      </c>
    </row>
    <row r="1749" spans="1:7" x14ac:dyDescent="0.3">
      <c r="A1749" t="s">
        <v>557</v>
      </c>
      <c r="B1749">
        <v>17341</v>
      </c>
      <c r="C1749" t="s">
        <v>5291</v>
      </c>
      <c r="D1749" t="s">
        <v>460</v>
      </c>
      <c r="E1749">
        <v>1</v>
      </c>
      <c r="F1749">
        <v>74.8</v>
      </c>
      <c r="G1749">
        <v>74.8</v>
      </c>
    </row>
    <row r="1750" spans="1:7" x14ac:dyDescent="0.3">
      <c r="A1750" t="s">
        <v>557</v>
      </c>
      <c r="B1750">
        <v>27798</v>
      </c>
      <c r="C1750" t="s">
        <v>5257</v>
      </c>
      <c r="D1750" t="s">
        <v>460</v>
      </c>
      <c r="E1750">
        <v>5</v>
      </c>
      <c r="F1750">
        <v>875</v>
      </c>
      <c r="G1750">
        <v>175</v>
      </c>
    </row>
    <row r="1751" spans="1:7" x14ac:dyDescent="0.3">
      <c r="A1751" t="s">
        <v>557</v>
      </c>
      <c r="B1751">
        <v>17418</v>
      </c>
      <c r="C1751" t="s">
        <v>5207</v>
      </c>
      <c r="D1751" t="s">
        <v>460</v>
      </c>
      <c r="E1751">
        <v>10</v>
      </c>
      <c r="F1751">
        <v>589</v>
      </c>
      <c r="G1751">
        <v>58.9</v>
      </c>
    </row>
    <row r="1752" spans="1:7" x14ac:dyDescent="0.3">
      <c r="A1752" t="s">
        <v>557</v>
      </c>
      <c r="B1752">
        <v>17416</v>
      </c>
      <c r="C1752" t="s">
        <v>5209</v>
      </c>
      <c r="D1752" t="s">
        <v>460</v>
      </c>
      <c r="E1752">
        <v>10</v>
      </c>
      <c r="F1752">
        <v>485.8</v>
      </c>
      <c r="G1752">
        <v>48.58</v>
      </c>
    </row>
    <row r="1753" spans="1:7" x14ac:dyDescent="0.3">
      <c r="A1753" t="s">
        <v>557</v>
      </c>
      <c r="B1753">
        <v>24505</v>
      </c>
      <c r="C1753" t="s">
        <v>5198</v>
      </c>
      <c r="D1753" t="s">
        <v>460</v>
      </c>
      <c r="E1753">
        <v>16</v>
      </c>
      <c r="F1753">
        <v>89.69</v>
      </c>
      <c r="G1753">
        <v>5.61</v>
      </c>
    </row>
    <row r="1754" spans="1:7" x14ac:dyDescent="0.3">
      <c r="A1754" t="s">
        <v>557</v>
      </c>
      <c r="B1754">
        <v>23502</v>
      </c>
      <c r="C1754" t="s">
        <v>4930</v>
      </c>
      <c r="D1754" t="s">
        <v>460</v>
      </c>
      <c r="E1754">
        <v>2</v>
      </c>
      <c r="F1754">
        <v>30</v>
      </c>
      <c r="G1754">
        <v>15</v>
      </c>
    </row>
    <row r="1755" spans="1:7" x14ac:dyDescent="0.3">
      <c r="A1755" t="s">
        <v>557</v>
      </c>
      <c r="B1755">
        <v>24403</v>
      </c>
      <c r="C1755" t="s">
        <v>5149</v>
      </c>
      <c r="D1755" t="s">
        <v>460</v>
      </c>
      <c r="E1755">
        <v>3.2</v>
      </c>
      <c r="F1755">
        <v>41.57</v>
      </c>
      <c r="G1755">
        <v>12.99</v>
      </c>
    </row>
    <row r="1756" spans="1:7" x14ac:dyDescent="0.3">
      <c r="A1756" t="s">
        <v>557</v>
      </c>
      <c r="B1756">
        <v>18996</v>
      </c>
      <c r="C1756" t="s">
        <v>5130</v>
      </c>
      <c r="D1756" t="s">
        <v>460</v>
      </c>
      <c r="E1756">
        <v>18</v>
      </c>
      <c r="F1756">
        <v>274.31</v>
      </c>
      <c r="G1756">
        <v>15.24</v>
      </c>
    </row>
    <row r="1757" spans="1:7" x14ac:dyDescent="0.3">
      <c r="A1757" t="s">
        <v>557</v>
      </c>
      <c r="B1757">
        <v>19589</v>
      </c>
      <c r="C1757" t="s">
        <v>4983</v>
      </c>
      <c r="D1757" t="s">
        <v>460</v>
      </c>
      <c r="E1757">
        <v>23.59</v>
      </c>
      <c r="F1757">
        <v>116.75</v>
      </c>
      <c r="G1757">
        <v>4.95</v>
      </c>
    </row>
    <row r="1758" spans="1:7" x14ac:dyDescent="0.3">
      <c r="A1758" t="s">
        <v>557</v>
      </c>
      <c r="B1758">
        <v>17895</v>
      </c>
      <c r="C1758" t="s">
        <v>5086</v>
      </c>
      <c r="D1758" t="s">
        <v>460</v>
      </c>
      <c r="E1758">
        <v>3</v>
      </c>
      <c r="F1758">
        <v>115.29</v>
      </c>
      <c r="G1758">
        <v>38.43</v>
      </c>
    </row>
    <row r="1759" spans="1:7" x14ac:dyDescent="0.3">
      <c r="A1759" t="s">
        <v>557</v>
      </c>
      <c r="B1759">
        <v>17886</v>
      </c>
      <c r="C1759" t="s">
        <v>5083</v>
      </c>
      <c r="D1759" t="s">
        <v>460</v>
      </c>
      <c r="E1759">
        <v>5</v>
      </c>
      <c r="F1759">
        <v>141.6</v>
      </c>
      <c r="G1759">
        <v>28.32</v>
      </c>
    </row>
    <row r="1760" spans="1:7" x14ac:dyDescent="0.3">
      <c r="A1760" t="s">
        <v>557</v>
      </c>
      <c r="B1760">
        <v>19728</v>
      </c>
      <c r="C1760" t="s">
        <v>5106</v>
      </c>
      <c r="D1760" t="s">
        <v>460</v>
      </c>
      <c r="E1760">
        <v>3.5</v>
      </c>
      <c r="F1760">
        <v>41.18</v>
      </c>
      <c r="G1760">
        <v>11.77</v>
      </c>
    </row>
    <row r="1761" spans="1:7" x14ac:dyDescent="0.3">
      <c r="A1761" t="s">
        <v>557</v>
      </c>
      <c r="B1761">
        <v>25783</v>
      </c>
      <c r="C1761" t="s">
        <v>5391</v>
      </c>
      <c r="D1761" t="s">
        <v>460</v>
      </c>
      <c r="E1761">
        <v>11.86</v>
      </c>
      <c r="F1761">
        <v>1280.8800000000001</v>
      </c>
      <c r="G1761">
        <v>108</v>
      </c>
    </row>
    <row r="1762" spans="1:7" x14ac:dyDescent="0.3">
      <c r="A1762" t="s">
        <v>557</v>
      </c>
      <c r="B1762">
        <v>28761</v>
      </c>
      <c r="C1762" t="s">
        <v>5138</v>
      </c>
      <c r="D1762" t="s">
        <v>460</v>
      </c>
      <c r="E1762">
        <v>58.68</v>
      </c>
      <c r="F1762">
        <v>6337.44</v>
      </c>
      <c r="G1762">
        <v>108</v>
      </c>
    </row>
    <row r="1763" spans="1:7" x14ac:dyDescent="0.3">
      <c r="A1763" t="s">
        <v>557</v>
      </c>
      <c r="B1763">
        <v>19575</v>
      </c>
      <c r="C1763" t="s">
        <v>5120</v>
      </c>
      <c r="D1763" t="s">
        <v>460</v>
      </c>
      <c r="E1763">
        <v>0.3</v>
      </c>
      <c r="F1763">
        <v>10.5</v>
      </c>
      <c r="G1763">
        <v>35</v>
      </c>
    </row>
    <row r="1764" spans="1:7" x14ac:dyDescent="0.3">
      <c r="A1764" t="s">
        <v>557</v>
      </c>
      <c r="B1764">
        <v>19572</v>
      </c>
      <c r="C1764" t="s">
        <v>4989</v>
      </c>
      <c r="D1764" t="s">
        <v>460</v>
      </c>
      <c r="E1764">
        <v>4</v>
      </c>
      <c r="F1764">
        <v>74.680000000000007</v>
      </c>
      <c r="G1764">
        <v>18.670000000000002</v>
      </c>
    </row>
    <row r="1765" spans="1:7" x14ac:dyDescent="0.3">
      <c r="A1765" t="s">
        <v>557</v>
      </c>
      <c r="B1765">
        <v>19892</v>
      </c>
      <c r="C1765" t="s">
        <v>5150</v>
      </c>
      <c r="D1765" t="s">
        <v>460</v>
      </c>
      <c r="E1765">
        <v>1</v>
      </c>
      <c r="F1765">
        <v>140</v>
      </c>
      <c r="G1765">
        <v>140</v>
      </c>
    </row>
    <row r="1766" spans="1:7" x14ac:dyDescent="0.3">
      <c r="A1766" t="s">
        <v>557</v>
      </c>
      <c r="B1766">
        <v>19562</v>
      </c>
      <c r="C1766" t="s">
        <v>4939</v>
      </c>
      <c r="D1766" t="s">
        <v>460</v>
      </c>
      <c r="E1766">
        <v>3.5</v>
      </c>
      <c r="F1766">
        <v>53.15</v>
      </c>
      <c r="G1766">
        <v>15.19</v>
      </c>
    </row>
    <row r="1767" spans="1:7" x14ac:dyDescent="0.3">
      <c r="A1767" t="s">
        <v>557</v>
      </c>
      <c r="B1767">
        <v>23198</v>
      </c>
      <c r="C1767" t="s">
        <v>4962</v>
      </c>
      <c r="D1767" t="s">
        <v>460</v>
      </c>
      <c r="E1767">
        <v>3.8</v>
      </c>
      <c r="F1767">
        <v>58</v>
      </c>
      <c r="G1767">
        <v>15.26</v>
      </c>
    </row>
    <row r="1768" spans="1:7" x14ac:dyDescent="0.3">
      <c r="A1768" t="s">
        <v>557</v>
      </c>
      <c r="B1768">
        <v>19790</v>
      </c>
      <c r="C1768" t="s">
        <v>5073</v>
      </c>
      <c r="D1768" t="s">
        <v>460</v>
      </c>
      <c r="E1768">
        <v>4</v>
      </c>
      <c r="F1768">
        <v>175</v>
      </c>
      <c r="G1768">
        <v>43.75</v>
      </c>
    </row>
    <row r="1769" spans="1:7" x14ac:dyDescent="0.3">
      <c r="A1769" t="s">
        <v>557</v>
      </c>
      <c r="B1769">
        <v>18731</v>
      </c>
      <c r="C1769" t="s">
        <v>4832</v>
      </c>
      <c r="D1769" t="s">
        <v>460</v>
      </c>
      <c r="E1769">
        <v>24.7</v>
      </c>
      <c r="F1769">
        <v>1778.4</v>
      </c>
      <c r="G1769">
        <v>72</v>
      </c>
    </row>
    <row r="1770" spans="1:7" x14ac:dyDescent="0.3">
      <c r="A1770" t="s">
        <v>557</v>
      </c>
      <c r="B1770">
        <v>26944</v>
      </c>
      <c r="C1770" t="s">
        <v>5325</v>
      </c>
      <c r="D1770" t="s">
        <v>460</v>
      </c>
      <c r="E1770">
        <v>2</v>
      </c>
      <c r="F1770">
        <v>234.7</v>
      </c>
      <c r="G1770">
        <v>117.35</v>
      </c>
    </row>
    <row r="1771" spans="1:7" x14ac:dyDescent="0.3">
      <c r="A1771" t="s">
        <v>557</v>
      </c>
      <c r="B1771">
        <v>25050</v>
      </c>
      <c r="C1771" t="s">
        <v>5110</v>
      </c>
      <c r="D1771" t="s">
        <v>460</v>
      </c>
      <c r="E1771">
        <v>3</v>
      </c>
      <c r="F1771">
        <v>245.7</v>
      </c>
      <c r="G1771">
        <v>81.900000000000006</v>
      </c>
    </row>
    <row r="1772" spans="1:7" x14ac:dyDescent="0.3">
      <c r="A1772" t="s">
        <v>557</v>
      </c>
      <c r="B1772">
        <v>19356</v>
      </c>
      <c r="C1772" t="s">
        <v>4799</v>
      </c>
      <c r="D1772" t="s">
        <v>460</v>
      </c>
      <c r="E1772">
        <v>5.74</v>
      </c>
      <c r="F1772">
        <v>320.87</v>
      </c>
      <c r="G1772">
        <v>55.9</v>
      </c>
    </row>
    <row r="1773" spans="1:7" x14ac:dyDescent="0.3">
      <c r="A1773" t="s">
        <v>557</v>
      </c>
      <c r="B1773">
        <v>19306</v>
      </c>
      <c r="C1773" t="s">
        <v>5111</v>
      </c>
      <c r="D1773" t="s">
        <v>460</v>
      </c>
      <c r="E1773">
        <v>4</v>
      </c>
      <c r="F1773">
        <v>73</v>
      </c>
      <c r="G1773">
        <v>18.25</v>
      </c>
    </row>
    <row r="1774" spans="1:7" x14ac:dyDescent="0.3">
      <c r="A1774" t="s">
        <v>557</v>
      </c>
      <c r="B1774">
        <v>19322</v>
      </c>
      <c r="C1774" t="s">
        <v>4830</v>
      </c>
      <c r="D1774" t="s">
        <v>460</v>
      </c>
      <c r="E1774">
        <v>23.56</v>
      </c>
      <c r="F1774">
        <v>910.09</v>
      </c>
      <c r="G1774">
        <v>38.630000000000003</v>
      </c>
    </row>
    <row r="1775" spans="1:7" x14ac:dyDescent="0.3">
      <c r="A1775" t="s">
        <v>557</v>
      </c>
      <c r="B1775">
        <v>19558</v>
      </c>
      <c r="C1775" t="s">
        <v>4994</v>
      </c>
      <c r="D1775" t="s">
        <v>460</v>
      </c>
      <c r="E1775">
        <v>5.5</v>
      </c>
      <c r="F1775">
        <v>103.38</v>
      </c>
      <c r="G1775">
        <v>18.8</v>
      </c>
    </row>
    <row r="1776" spans="1:7" x14ac:dyDescent="0.3">
      <c r="A1776" t="s">
        <v>557</v>
      </c>
      <c r="B1776">
        <v>20206</v>
      </c>
      <c r="C1776" t="s">
        <v>4914</v>
      </c>
      <c r="D1776" t="s">
        <v>460</v>
      </c>
      <c r="E1776">
        <v>1</v>
      </c>
      <c r="F1776">
        <v>25.2</v>
      </c>
      <c r="G1776">
        <v>25.2</v>
      </c>
    </row>
    <row r="1777" spans="1:7" x14ac:dyDescent="0.3">
      <c r="A1777" t="s">
        <v>557</v>
      </c>
      <c r="B1777">
        <v>23195</v>
      </c>
      <c r="C1777" t="s">
        <v>5051</v>
      </c>
      <c r="D1777" t="s">
        <v>460</v>
      </c>
      <c r="E1777">
        <v>1.25</v>
      </c>
      <c r="F1777">
        <v>18.13</v>
      </c>
      <c r="G1777">
        <v>14.5</v>
      </c>
    </row>
    <row r="1778" spans="1:7" x14ac:dyDescent="0.3">
      <c r="A1778" t="s">
        <v>557</v>
      </c>
      <c r="B1778">
        <v>19555</v>
      </c>
      <c r="C1778" t="s">
        <v>4903</v>
      </c>
      <c r="D1778" t="s">
        <v>460</v>
      </c>
      <c r="E1778">
        <v>1</v>
      </c>
      <c r="F1778">
        <v>31.25</v>
      </c>
      <c r="G1778">
        <v>31.25</v>
      </c>
    </row>
    <row r="1779" spans="1:7" x14ac:dyDescent="0.3">
      <c r="A1779" t="s">
        <v>557</v>
      </c>
      <c r="B1779">
        <v>23934</v>
      </c>
      <c r="C1779" t="s">
        <v>4845</v>
      </c>
      <c r="D1779" t="s">
        <v>460</v>
      </c>
      <c r="E1779">
        <v>5</v>
      </c>
      <c r="F1779">
        <v>54.5</v>
      </c>
      <c r="G1779">
        <v>10.9</v>
      </c>
    </row>
    <row r="1780" spans="1:7" x14ac:dyDescent="0.3">
      <c r="A1780" t="s">
        <v>557</v>
      </c>
      <c r="B1780">
        <v>19553</v>
      </c>
      <c r="C1780" t="s">
        <v>4868</v>
      </c>
      <c r="D1780" t="s">
        <v>460</v>
      </c>
      <c r="E1780">
        <v>2.5</v>
      </c>
      <c r="F1780">
        <v>9.8800000000000008</v>
      </c>
      <c r="G1780">
        <v>3.95</v>
      </c>
    </row>
    <row r="1781" spans="1:7" x14ac:dyDescent="0.3">
      <c r="A1781" t="s">
        <v>557</v>
      </c>
      <c r="B1781">
        <v>19552</v>
      </c>
      <c r="C1781" t="s">
        <v>4860</v>
      </c>
      <c r="D1781" t="s">
        <v>460</v>
      </c>
      <c r="E1781">
        <v>1</v>
      </c>
      <c r="F1781">
        <v>5.58</v>
      </c>
      <c r="G1781">
        <v>5.58</v>
      </c>
    </row>
    <row r="1782" spans="1:7" x14ac:dyDescent="0.3">
      <c r="A1782" t="s">
        <v>557</v>
      </c>
      <c r="B1782">
        <v>19472</v>
      </c>
      <c r="C1782" t="s">
        <v>4906</v>
      </c>
      <c r="D1782" t="s">
        <v>460</v>
      </c>
      <c r="E1782">
        <v>18.2</v>
      </c>
      <c r="F1782">
        <v>501.05</v>
      </c>
      <c r="G1782">
        <v>27.53</v>
      </c>
    </row>
    <row r="1783" spans="1:7" x14ac:dyDescent="0.3">
      <c r="A1783" t="s">
        <v>557</v>
      </c>
      <c r="B1783">
        <v>18273</v>
      </c>
      <c r="C1783" t="s">
        <v>5058</v>
      </c>
      <c r="D1783" t="s">
        <v>460</v>
      </c>
      <c r="E1783">
        <v>1</v>
      </c>
      <c r="F1783">
        <v>39</v>
      </c>
      <c r="G1783">
        <v>39</v>
      </c>
    </row>
    <row r="1784" spans="1:7" x14ac:dyDescent="0.3">
      <c r="A1784" t="s">
        <v>557</v>
      </c>
      <c r="B1784">
        <v>25714</v>
      </c>
      <c r="C1784" t="s">
        <v>4927</v>
      </c>
      <c r="D1784" t="s">
        <v>460</v>
      </c>
      <c r="E1784">
        <v>4</v>
      </c>
      <c r="F1784">
        <v>570.4</v>
      </c>
      <c r="G1784">
        <v>142.6</v>
      </c>
    </row>
    <row r="1785" spans="1:7" x14ac:dyDescent="0.3">
      <c r="A1785" t="s">
        <v>557</v>
      </c>
      <c r="B1785">
        <v>17129</v>
      </c>
      <c r="C1785" t="s">
        <v>5202</v>
      </c>
      <c r="D1785" t="s">
        <v>460</v>
      </c>
      <c r="E1785">
        <v>3</v>
      </c>
      <c r="F1785">
        <v>86.41</v>
      </c>
      <c r="G1785">
        <v>28.8</v>
      </c>
    </row>
    <row r="1786" spans="1:7" x14ac:dyDescent="0.3">
      <c r="A1786" t="s">
        <v>557</v>
      </c>
      <c r="B1786">
        <v>17437</v>
      </c>
      <c r="C1786" t="s">
        <v>5203</v>
      </c>
      <c r="D1786" t="s">
        <v>460</v>
      </c>
      <c r="E1786">
        <v>75</v>
      </c>
      <c r="F1786">
        <v>183.5</v>
      </c>
      <c r="G1786">
        <v>2.4500000000000002</v>
      </c>
    </row>
    <row r="1787" spans="1:7" x14ac:dyDescent="0.3">
      <c r="A1787" t="s">
        <v>557</v>
      </c>
      <c r="B1787">
        <v>21433</v>
      </c>
      <c r="C1787" t="s">
        <v>5250</v>
      </c>
      <c r="D1787" t="s">
        <v>460</v>
      </c>
      <c r="E1787">
        <v>1</v>
      </c>
      <c r="F1787">
        <v>96</v>
      </c>
      <c r="G1787">
        <v>96</v>
      </c>
    </row>
    <row r="1788" spans="1:7" x14ac:dyDescent="0.3">
      <c r="A1788" t="s">
        <v>557</v>
      </c>
      <c r="B1788">
        <v>24702</v>
      </c>
      <c r="C1788" t="s">
        <v>5381</v>
      </c>
      <c r="D1788" t="s">
        <v>460</v>
      </c>
      <c r="E1788">
        <v>1</v>
      </c>
      <c r="F1788">
        <v>95</v>
      </c>
      <c r="G1788">
        <v>95</v>
      </c>
    </row>
    <row r="1789" spans="1:7" x14ac:dyDescent="0.3">
      <c r="A1789" t="s">
        <v>557</v>
      </c>
      <c r="B1789">
        <v>17401</v>
      </c>
      <c r="C1789" t="s">
        <v>5243</v>
      </c>
      <c r="D1789" t="s">
        <v>460</v>
      </c>
      <c r="E1789">
        <v>2</v>
      </c>
      <c r="F1789">
        <v>190</v>
      </c>
      <c r="G1789">
        <v>95</v>
      </c>
    </row>
    <row r="1790" spans="1:7" x14ac:dyDescent="0.3">
      <c r="A1790" t="s">
        <v>557</v>
      </c>
      <c r="B1790">
        <v>21423</v>
      </c>
      <c r="C1790" t="s">
        <v>5248</v>
      </c>
      <c r="D1790" t="s">
        <v>460</v>
      </c>
      <c r="E1790">
        <v>1</v>
      </c>
      <c r="F1790">
        <v>31.82</v>
      </c>
      <c r="G1790">
        <v>31.82</v>
      </c>
    </row>
    <row r="1791" spans="1:7" x14ac:dyDescent="0.3">
      <c r="A1791" t="s">
        <v>557</v>
      </c>
      <c r="B1791">
        <v>17399</v>
      </c>
      <c r="C1791" t="s">
        <v>5244</v>
      </c>
      <c r="D1791" t="s">
        <v>460</v>
      </c>
      <c r="E1791">
        <v>1</v>
      </c>
      <c r="F1791">
        <v>18.899999999999999</v>
      </c>
      <c r="G1791">
        <v>18.899999999999999</v>
      </c>
    </row>
    <row r="1792" spans="1:7" x14ac:dyDescent="0.3">
      <c r="A1792" t="s">
        <v>557</v>
      </c>
      <c r="B1792">
        <v>17397</v>
      </c>
      <c r="C1792" t="s">
        <v>5246</v>
      </c>
      <c r="D1792" t="s">
        <v>460</v>
      </c>
      <c r="E1792">
        <v>1</v>
      </c>
      <c r="F1792">
        <v>31.82</v>
      </c>
      <c r="G1792">
        <v>31.82</v>
      </c>
    </row>
    <row r="1793" spans="1:7" x14ac:dyDescent="0.3">
      <c r="A1793" t="s">
        <v>557</v>
      </c>
      <c r="B1793">
        <v>24787</v>
      </c>
      <c r="C1793" t="s">
        <v>5212</v>
      </c>
      <c r="D1793" t="s">
        <v>460</v>
      </c>
      <c r="E1793">
        <v>6</v>
      </c>
      <c r="F1793">
        <v>520.82000000000005</v>
      </c>
      <c r="G1793">
        <v>86.8</v>
      </c>
    </row>
    <row r="1794" spans="1:7" x14ac:dyDescent="0.3">
      <c r="A1794" t="s">
        <v>557</v>
      </c>
      <c r="B1794">
        <v>24931</v>
      </c>
      <c r="C1794" t="s">
        <v>5308</v>
      </c>
      <c r="D1794" t="s">
        <v>460</v>
      </c>
      <c r="E1794">
        <v>1</v>
      </c>
      <c r="F1794">
        <v>45</v>
      </c>
      <c r="G1794">
        <v>45</v>
      </c>
    </row>
    <row r="1795" spans="1:7" x14ac:dyDescent="0.3">
      <c r="A1795" t="s">
        <v>557</v>
      </c>
      <c r="B1795">
        <v>17405</v>
      </c>
      <c r="C1795" t="s">
        <v>5200</v>
      </c>
      <c r="D1795" t="s">
        <v>460</v>
      </c>
      <c r="E1795">
        <v>2</v>
      </c>
      <c r="F1795">
        <v>19.260000000000002</v>
      </c>
      <c r="G1795">
        <v>9.6300000000000008</v>
      </c>
    </row>
    <row r="1796" spans="1:7" x14ac:dyDescent="0.3">
      <c r="A1796" t="s">
        <v>557</v>
      </c>
      <c r="B1796">
        <v>17404</v>
      </c>
      <c r="C1796" t="s">
        <v>5295</v>
      </c>
      <c r="D1796" t="s">
        <v>460</v>
      </c>
      <c r="E1796">
        <v>3</v>
      </c>
      <c r="F1796">
        <v>58.23</v>
      </c>
      <c r="G1796">
        <v>19.41</v>
      </c>
    </row>
    <row r="1797" spans="1:7" x14ac:dyDescent="0.3">
      <c r="A1797" t="s">
        <v>557</v>
      </c>
      <c r="B1797">
        <v>17391</v>
      </c>
      <c r="C1797" t="s">
        <v>5254</v>
      </c>
      <c r="D1797" t="s">
        <v>460</v>
      </c>
      <c r="E1797">
        <v>1</v>
      </c>
      <c r="F1797">
        <v>65.900000000000006</v>
      </c>
      <c r="G1797">
        <v>65.900000000000006</v>
      </c>
    </row>
    <row r="1798" spans="1:7" x14ac:dyDescent="0.3">
      <c r="A1798" t="s">
        <v>557</v>
      </c>
      <c r="B1798">
        <v>19916</v>
      </c>
      <c r="C1798" t="s">
        <v>4826</v>
      </c>
      <c r="D1798" t="s">
        <v>460</v>
      </c>
      <c r="E1798">
        <v>1</v>
      </c>
      <c r="F1798">
        <v>35.299999999999997</v>
      </c>
      <c r="G1798">
        <v>35.299999999999997</v>
      </c>
    </row>
    <row r="1799" spans="1:7" x14ac:dyDescent="0.3">
      <c r="A1799" t="s">
        <v>557</v>
      </c>
      <c r="B1799">
        <v>19906</v>
      </c>
      <c r="C1799" t="s">
        <v>5159</v>
      </c>
      <c r="D1799" t="s">
        <v>460</v>
      </c>
      <c r="E1799">
        <v>2</v>
      </c>
      <c r="F1799">
        <v>69.2</v>
      </c>
      <c r="G1799">
        <v>34.6</v>
      </c>
    </row>
    <row r="1800" spans="1:7" x14ac:dyDescent="0.3">
      <c r="A1800" t="s">
        <v>557</v>
      </c>
      <c r="B1800">
        <v>23113</v>
      </c>
      <c r="C1800" t="s">
        <v>5074</v>
      </c>
      <c r="D1800" t="s">
        <v>460</v>
      </c>
      <c r="E1800">
        <v>8.6</v>
      </c>
      <c r="F1800">
        <v>81.39</v>
      </c>
      <c r="G1800">
        <v>9.4600000000000009</v>
      </c>
    </row>
    <row r="1801" spans="1:7" x14ac:dyDescent="0.3">
      <c r="A1801" t="s">
        <v>557</v>
      </c>
      <c r="B1801">
        <v>19465</v>
      </c>
      <c r="C1801" t="s">
        <v>5114</v>
      </c>
      <c r="D1801" t="s">
        <v>460</v>
      </c>
      <c r="E1801">
        <v>2.8</v>
      </c>
      <c r="F1801">
        <v>17.77</v>
      </c>
      <c r="G1801">
        <v>6.35</v>
      </c>
    </row>
    <row r="1802" spans="1:7" x14ac:dyDescent="0.3">
      <c r="A1802" t="s">
        <v>557</v>
      </c>
      <c r="B1802">
        <v>18253</v>
      </c>
      <c r="C1802" t="s">
        <v>4969</v>
      </c>
      <c r="D1802" t="s">
        <v>460</v>
      </c>
      <c r="E1802">
        <v>4</v>
      </c>
      <c r="F1802">
        <v>113.24</v>
      </c>
      <c r="G1802">
        <v>28.31</v>
      </c>
    </row>
    <row r="1803" spans="1:7" x14ac:dyDescent="0.3">
      <c r="A1803" t="s">
        <v>557</v>
      </c>
      <c r="B1803">
        <v>17883</v>
      </c>
      <c r="C1803" t="s">
        <v>5113</v>
      </c>
      <c r="D1803" t="s">
        <v>460</v>
      </c>
      <c r="E1803">
        <v>7</v>
      </c>
      <c r="F1803">
        <v>198.24</v>
      </c>
      <c r="G1803">
        <v>28.32</v>
      </c>
    </row>
    <row r="1804" spans="1:7" x14ac:dyDescent="0.3">
      <c r="A1804" t="s">
        <v>557</v>
      </c>
      <c r="B1804">
        <v>17881</v>
      </c>
      <c r="C1804" t="s">
        <v>5103</v>
      </c>
      <c r="D1804" t="s">
        <v>460</v>
      </c>
      <c r="E1804">
        <v>4</v>
      </c>
      <c r="F1804">
        <v>131.80000000000001</v>
      </c>
      <c r="G1804">
        <v>32.950000000000003</v>
      </c>
    </row>
    <row r="1805" spans="1:7" x14ac:dyDescent="0.3">
      <c r="A1805" t="s">
        <v>557</v>
      </c>
      <c r="B1805">
        <v>18586</v>
      </c>
      <c r="C1805" t="s">
        <v>4966</v>
      </c>
      <c r="D1805" t="s">
        <v>460</v>
      </c>
      <c r="E1805">
        <v>3</v>
      </c>
      <c r="F1805">
        <v>371.77</v>
      </c>
      <c r="G1805">
        <v>123.92</v>
      </c>
    </row>
    <row r="1806" spans="1:7" x14ac:dyDescent="0.3">
      <c r="A1806" t="s">
        <v>557</v>
      </c>
      <c r="B1806">
        <v>17878</v>
      </c>
      <c r="C1806" t="s">
        <v>4926</v>
      </c>
      <c r="D1806" t="s">
        <v>460</v>
      </c>
      <c r="E1806">
        <v>2</v>
      </c>
      <c r="F1806">
        <v>49.88</v>
      </c>
      <c r="G1806">
        <v>24.94</v>
      </c>
    </row>
    <row r="1807" spans="1:7" x14ac:dyDescent="0.3">
      <c r="A1807" t="s">
        <v>557</v>
      </c>
      <c r="B1807">
        <v>18232</v>
      </c>
      <c r="C1807" t="s">
        <v>4971</v>
      </c>
      <c r="D1807" t="s">
        <v>460</v>
      </c>
      <c r="E1807">
        <v>3</v>
      </c>
      <c r="F1807">
        <v>299.7</v>
      </c>
      <c r="G1807">
        <v>99.9</v>
      </c>
    </row>
    <row r="1808" spans="1:7" x14ac:dyDescent="0.3">
      <c r="A1808" t="s">
        <v>557</v>
      </c>
      <c r="B1808">
        <v>19551</v>
      </c>
      <c r="C1808" t="s">
        <v>4905</v>
      </c>
      <c r="D1808" t="s">
        <v>460</v>
      </c>
      <c r="E1808">
        <v>15.46</v>
      </c>
      <c r="F1808">
        <v>210.2</v>
      </c>
      <c r="G1808">
        <v>13.6</v>
      </c>
    </row>
    <row r="1809" spans="1:7" x14ac:dyDescent="0.3">
      <c r="A1809" t="s">
        <v>557</v>
      </c>
      <c r="B1809">
        <v>23184</v>
      </c>
      <c r="C1809" t="s">
        <v>4935</v>
      </c>
      <c r="D1809" t="s">
        <v>460</v>
      </c>
      <c r="E1809">
        <v>16.149999999999999</v>
      </c>
      <c r="F1809">
        <v>188.58</v>
      </c>
      <c r="G1809">
        <v>11.68</v>
      </c>
    </row>
    <row r="1810" spans="1:7" x14ac:dyDescent="0.3">
      <c r="A1810" t="s">
        <v>557</v>
      </c>
      <c r="B1810">
        <v>19532</v>
      </c>
      <c r="C1810" t="s">
        <v>4753</v>
      </c>
      <c r="D1810" t="s">
        <v>460</v>
      </c>
      <c r="E1810">
        <v>192.2</v>
      </c>
      <c r="F1810">
        <v>1271.03</v>
      </c>
      <c r="G1810">
        <v>6.61</v>
      </c>
    </row>
    <row r="1811" spans="1:7" x14ac:dyDescent="0.3">
      <c r="A1811" t="s">
        <v>557</v>
      </c>
      <c r="B1811">
        <v>20585</v>
      </c>
      <c r="C1811" t="s">
        <v>5025</v>
      </c>
      <c r="D1811" t="s">
        <v>460</v>
      </c>
      <c r="E1811">
        <v>3</v>
      </c>
      <c r="F1811">
        <v>79.2</v>
      </c>
      <c r="G1811">
        <v>26.4</v>
      </c>
    </row>
    <row r="1812" spans="1:7" x14ac:dyDescent="0.3">
      <c r="A1812" t="s">
        <v>557</v>
      </c>
      <c r="B1812">
        <v>23108</v>
      </c>
      <c r="C1812" t="s">
        <v>5117</v>
      </c>
      <c r="D1812" t="s">
        <v>460</v>
      </c>
      <c r="E1812">
        <v>0.8</v>
      </c>
      <c r="F1812">
        <v>51</v>
      </c>
      <c r="G1812">
        <v>63.75</v>
      </c>
    </row>
    <row r="1813" spans="1:7" x14ac:dyDescent="0.3">
      <c r="A1813" t="s">
        <v>557</v>
      </c>
      <c r="B1813">
        <v>17361</v>
      </c>
      <c r="C1813" t="s">
        <v>5309</v>
      </c>
      <c r="D1813" t="s">
        <v>460</v>
      </c>
      <c r="E1813">
        <v>1</v>
      </c>
      <c r="F1813">
        <v>7.45</v>
      </c>
      <c r="G1813">
        <v>7.45</v>
      </c>
    </row>
    <row r="1814" spans="1:7" x14ac:dyDescent="0.3">
      <c r="A1814" t="s">
        <v>557</v>
      </c>
      <c r="B1814">
        <v>25205</v>
      </c>
      <c r="C1814" t="s">
        <v>4850</v>
      </c>
      <c r="D1814" t="s">
        <v>460</v>
      </c>
      <c r="E1814">
        <v>5.6</v>
      </c>
      <c r="F1814">
        <v>117.04</v>
      </c>
      <c r="G1814">
        <v>20.9</v>
      </c>
    </row>
    <row r="1815" spans="1:7" x14ac:dyDescent="0.3">
      <c r="A1815" t="s">
        <v>557</v>
      </c>
      <c r="B1815">
        <v>19710</v>
      </c>
      <c r="C1815" t="s">
        <v>4963</v>
      </c>
      <c r="D1815" t="s">
        <v>460</v>
      </c>
      <c r="E1815">
        <v>2</v>
      </c>
      <c r="F1815">
        <v>43</v>
      </c>
      <c r="G1815">
        <v>21.5</v>
      </c>
    </row>
    <row r="1816" spans="1:7" x14ac:dyDescent="0.3">
      <c r="A1816" t="s">
        <v>557</v>
      </c>
      <c r="B1816">
        <v>19707</v>
      </c>
      <c r="C1816" t="s">
        <v>5266</v>
      </c>
      <c r="D1816" t="s">
        <v>460</v>
      </c>
      <c r="E1816">
        <v>1</v>
      </c>
      <c r="F1816">
        <v>18.760000000000002</v>
      </c>
      <c r="G1816">
        <v>18.760000000000002</v>
      </c>
    </row>
    <row r="1817" spans="1:7" x14ac:dyDescent="0.3">
      <c r="A1817" t="s">
        <v>557</v>
      </c>
      <c r="B1817">
        <v>24489</v>
      </c>
      <c r="C1817" t="s">
        <v>5121</v>
      </c>
      <c r="D1817" t="s">
        <v>460</v>
      </c>
      <c r="E1817">
        <v>4.5</v>
      </c>
      <c r="F1817">
        <v>85.15</v>
      </c>
      <c r="G1817">
        <v>18.920000000000002</v>
      </c>
    </row>
    <row r="1818" spans="1:7" x14ac:dyDescent="0.3">
      <c r="A1818" t="s">
        <v>557</v>
      </c>
      <c r="B1818">
        <v>26928</v>
      </c>
      <c r="C1818" t="s">
        <v>5298</v>
      </c>
      <c r="D1818" t="s">
        <v>460</v>
      </c>
      <c r="E1818">
        <v>5</v>
      </c>
      <c r="F1818">
        <v>49.98</v>
      </c>
      <c r="G1818">
        <v>10</v>
      </c>
    </row>
    <row r="1819" spans="1:7" x14ac:dyDescent="0.3">
      <c r="A1819" t="s">
        <v>557</v>
      </c>
      <c r="B1819">
        <v>18220</v>
      </c>
      <c r="C1819" t="s">
        <v>5147</v>
      </c>
      <c r="D1819" t="s">
        <v>460</v>
      </c>
      <c r="E1819">
        <v>1</v>
      </c>
      <c r="F1819">
        <v>77</v>
      </c>
      <c r="G1819">
        <v>77</v>
      </c>
    </row>
    <row r="1820" spans="1:7" x14ac:dyDescent="0.3">
      <c r="A1820" t="s">
        <v>557</v>
      </c>
      <c r="B1820">
        <v>23884</v>
      </c>
      <c r="C1820" t="s">
        <v>5070</v>
      </c>
      <c r="D1820" t="s">
        <v>460</v>
      </c>
      <c r="E1820">
        <v>2</v>
      </c>
      <c r="F1820">
        <v>17.739999999999998</v>
      </c>
      <c r="G1820">
        <v>8.8699999999999992</v>
      </c>
    </row>
    <row r="1821" spans="1:7" x14ac:dyDescent="0.3">
      <c r="A1821" t="s">
        <v>557</v>
      </c>
      <c r="B1821">
        <v>26034</v>
      </c>
      <c r="C1821" t="s">
        <v>4828</v>
      </c>
      <c r="D1821" t="s">
        <v>460</v>
      </c>
      <c r="E1821">
        <v>10</v>
      </c>
      <c r="F1821">
        <v>492.98</v>
      </c>
      <c r="G1821">
        <v>49.3</v>
      </c>
    </row>
    <row r="1822" spans="1:7" x14ac:dyDescent="0.3">
      <c r="A1822" t="s">
        <v>557</v>
      </c>
      <c r="B1822">
        <v>20955</v>
      </c>
      <c r="C1822" t="s">
        <v>4959</v>
      </c>
      <c r="D1822" t="s">
        <v>460</v>
      </c>
      <c r="E1822">
        <v>2</v>
      </c>
      <c r="F1822">
        <v>25.9</v>
      </c>
      <c r="G1822">
        <v>12.95</v>
      </c>
    </row>
    <row r="1823" spans="1:7" x14ac:dyDescent="0.3">
      <c r="A1823" t="s">
        <v>557</v>
      </c>
      <c r="B1823">
        <v>17578</v>
      </c>
      <c r="C1823" t="s">
        <v>4842</v>
      </c>
      <c r="D1823" t="s">
        <v>460</v>
      </c>
      <c r="E1823">
        <v>4</v>
      </c>
      <c r="F1823">
        <v>451.36</v>
      </c>
      <c r="G1823">
        <v>112.84</v>
      </c>
    </row>
    <row r="1824" spans="1:7" x14ac:dyDescent="0.3">
      <c r="A1824" t="s">
        <v>557</v>
      </c>
      <c r="B1824">
        <v>26040</v>
      </c>
      <c r="C1824" t="s">
        <v>4812</v>
      </c>
      <c r="D1824" t="s">
        <v>460</v>
      </c>
      <c r="E1824">
        <v>12</v>
      </c>
      <c r="F1824">
        <v>587.88</v>
      </c>
      <c r="G1824">
        <v>48.99</v>
      </c>
    </row>
    <row r="1825" spans="1:7" x14ac:dyDescent="0.3">
      <c r="A1825" t="s">
        <v>557</v>
      </c>
      <c r="B1825">
        <v>17721</v>
      </c>
      <c r="C1825" t="s">
        <v>4977</v>
      </c>
      <c r="D1825" t="s">
        <v>460</v>
      </c>
      <c r="E1825">
        <v>1</v>
      </c>
      <c r="F1825">
        <v>9.82</v>
      </c>
      <c r="G1825">
        <v>9.82</v>
      </c>
    </row>
    <row r="1826" spans="1:7" x14ac:dyDescent="0.3">
      <c r="A1826" t="s">
        <v>557</v>
      </c>
      <c r="B1826">
        <v>18194</v>
      </c>
      <c r="C1826" t="s">
        <v>4923</v>
      </c>
      <c r="D1826" t="s">
        <v>460</v>
      </c>
      <c r="E1826">
        <v>1</v>
      </c>
      <c r="F1826">
        <v>63</v>
      </c>
      <c r="G1826">
        <v>63</v>
      </c>
    </row>
    <row r="1827" spans="1:7" x14ac:dyDescent="0.3">
      <c r="A1827" t="s">
        <v>557</v>
      </c>
      <c r="B1827">
        <v>18172</v>
      </c>
      <c r="C1827" t="s">
        <v>4804</v>
      </c>
      <c r="D1827" t="s">
        <v>460</v>
      </c>
      <c r="E1827">
        <v>17</v>
      </c>
      <c r="F1827">
        <v>533.79999999999995</v>
      </c>
      <c r="G1827">
        <v>31.4</v>
      </c>
    </row>
    <row r="1828" spans="1:7" x14ac:dyDescent="0.3">
      <c r="A1828" t="s">
        <v>557</v>
      </c>
      <c r="B1828">
        <v>18129</v>
      </c>
      <c r="C1828" t="s">
        <v>5043</v>
      </c>
      <c r="D1828" t="s">
        <v>460</v>
      </c>
      <c r="E1828">
        <v>1</v>
      </c>
      <c r="F1828">
        <v>116</v>
      </c>
      <c r="G1828">
        <v>116</v>
      </c>
    </row>
    <row r="1829" spans="1:7" x14ac:dyDescent="0.3">
      <c r="A1829" t="s">
        <v>557</v>
      </c>
      <c r="B1829">
        <v>18085</v>
      </c>
      <c r="C1829" t="s">
        <v>4973</v>
      </c>
      <c r="D1829" t="s">
        <v>460</v>
      </c>
      <c r="E1829">
        <v>2</v>
      </c>
      <c r="F1829">
        <v>95.5</v>
      </c>
      <c r="G1829">
        <v>47.75</v>
      </c>
    </row>
    <row r="1830" spans="1:7" x14ac:dyDescent="0.3">
      <c r="A1830" t="s">
        <v>557</v>
      </c>
      <c r="B1830">
        <v>26210</v>
      </c>
      <c r="C1830" t="s">
        <v>4975</v>
      </c>
      <c r="D1830" t="s">
        <v>460</v>
      </c>
      <c r="E1830">
        <v>1</v>
      </c>
      <c r="F1830">
        <v>47.6</v>
      </c>
      <c r="G1830">
        <v>47.6</v>
      </c>
    </row>
    <row r="1831" spans="1:7" x14ac:dyDescent="0.3">
      <c r="A1831" t="s">
        <v>557</v>
      </c>
      <c r="B1831">
        <v>19787</v>
      </c>
      <c r="C1831" t="s">
        <v>4793</v>
      </c>
      <c r="D1831" t="s">
        <v>459</v>
      </c>
      <c r="E1831">
        <v>122</v>
      </c>
      <c r="F1831">
        <v>613.79999999999995</v>
      </c>
      <c r="G1831">
        <v>5.03</v>
      </c>
    </row>
    <row r="1832" spans="1:7" x14ac:dyDescent="0.3">
      <c r="A1832" t="s">
        <v>557</v>
      </c>
      <c r="B1832">
        <v>19658</v>
      </c>
      <c r="C1832" t="s">
        <v>4784</v>
      </c>
      <c r="D1832" t="s">
        <v>459</v>
      </c>
      <c r="E1832">
        <v>67</v>
      </c>
      <c r="F1832">
        <v>187.04</v>
      </c>
      <c r="G1832">
        <v>2.79</v>
      </c>
    </row>
    <row r="1833" spans="1:7" x14ac:dyDescent="0.3">
      <c r="A1833" t="s">
        <v>557</v>
      </c>
      <c r="B1833">
        <v>19654</v>
      </c>
      <c r="C1833" t="s">
        <v>5099</v>
      </c>
      <c r="D1833" t="s">
        <v>459</v>
      </c>
      <c r="E1833">
        <v>30.6</v>
      </c>
      <c r="F1833">
        <v>156.31</v>
      </c>
      <c r="G1833">
        <v>5.1100000000000003</v>
      </c>
    </row>
    <row r="1834" spans="1:7" x14ac:dyDescent="0.3">
      <c r="A1834" t="s">
        <v>557</v>
      </c>
      <c r="B1834">
        <v>22871</v>
      </c>
      <c r="C1834" t="s">
        <v>4898</v>
      </c>
      <c r="D1834" t="s">
        <v>459</v>
      </c>
      <c r="E1834">
        <v>7.9</v>
      </c>
      <c r="F1834">
        <v>225.15</v>
      </c>
      <c r="G1834">
        <v>28.5</v>
      </c>
    </row>
    <row r="1835" spans="1:7" x14ac:dyDescent="0.3">
      <c r="A1835" t="s">
        <v>557</v>
      </c>
      <c r="B1835">
        <v>21093</v>
      </c>
      <c r="C1835" t="s">
        <v>4855</v>
      </c>
      <c r="D1835" t="s">
        <v>459</v>
      </c>
      <c r="E1835">
        <v>60</v>
      </c>
      <c r="F1835">
        <v>280.39999999999998</v>
      </c>
      <c r="G1835">
        <v>4.67</v>
      </c>
    </row>
    <row r="1836" spans="1:7" x14ac:dyDescent="0.3">
      <c r="A1836" t="s">
        <v>557</v>
      </c>
      <c r="B1836">
        <v>24596</v>
      </c>
      <c r="C1836" t="s">
        <v>5197</v>
      </c>
      <c r="D1836" t="s">
        <v>459</v>
      </c>
      <c r="E1836">
        <v>7</v>
      </c>
      <c r="F1836">
        <v>115.5</v>
      </c>
      <c r="G1836">
        <v>16.5</v>
      </c>
    </row>
    <row r="1837" spans="1:7" x14ac:dyDescent="0.3">
      <c r="A1837" t="s">
        <v>557</v>
      </c>
      <c r="B1837">
        <v>19507</v>
      </c>
      <c r="C1837" t="s">
        <v>4853</v>
      </c>
      <c r="D1837" t="s">
        <v>459</v>
      </c>
      <c r="E1837">
        <v>13.9</v>
      </c>
      <c r="F1837">
        <v>164.54</v>
      </c>
      <c r="G1837">
        <v>11.84</v>
      </c>
    </row>
    <row r="1838" spans="1:7" x14ac:dyDescent="0.3">
      <c r="A1838" t="s">
        <v>557</v>
      </c>
      <c r="B1838">
        <v>17950</v>
      </c>
      <c r="C1838" t="s">
        <v>5091</v>
      </c>
      <c r="D1838" t="s">
        <v>459</v>
      </c>
      <c r="E1838">
        <v>48</v>
      </c>
      <c r="F1838">
        <v>876.6</v>
      </c>
      <c r="G1838">
        <v>18.260000000000002</v>
      </c>
    </row>
    <row r="1839" spans="1:7" x14ac:dyDescent="0.3">
      <c r="A1839" t="s">
        <v>557</v>
      </c>
      <c r="B1839">
        <v>17958</v>
      </c>
      <c r="C1839" t="s">
        <v>5076</v>
      </c>
      <c r="D1839" t="s">
        <v>459</v>
      </c>
      <c r="E1839">
        <v>45</v>
      </c>
      <c r="F1839">
        <v>775.5</v>
      </c>
      <c r="G1839">
        <v>17.23</v>
      </c>
    </row>
    <row r="1840" spans="1:7" x14ac:dyDescent="0.3">
      <c r="A1840" t="s">
        <v>557</v>
      </c>
      <c r="B1840">
        <v>17314</v>
      </c>
      <c r="C1840" t="s">
        <v>5208</v>
      </c>
      <c r="D1840" t="s">
        <v>459</v>
      </c>
      <c r="E1840">
        <v>9</v>
      </c>
      <c r="F1840">
        <v>54.9</v>
      </c>
      <c r="G1840">
        <v>6.1</v>
      </c>
    </row>
    <row r="1841" spans="1:7" x14ac:dyDescent="0.3">
      <c r="A1841" t="s">
        <v>557</v>
      </c>
      <c r="B1841">
        <v>18006</v>
      </c>
      <c r="C1841" t="s">
        <v>5094</v>
      </c>
      <c r="D1841" t="s">
        <v>459</v>
      </c>
      <c r="E1841">
        <v>2</v>
      </c>
      <c r="F1841">
        <v>59.28</v>
      </c>
      <c r="G1841">
        <v>29.64</v>
      </c>
    </row>
    <row r="1842" spans="1:7" x14ac:dyDescent="0.3">
      <c r="A1842" t="s">
        <v>557</v>
      </c>
      <c r="B1842">
        <v>24096</v>
      </c>
      <c r="C1842" t="s">
        <v>4771</v>
      </c>
      <c r="D1842" t="s">
        <v>459</v>
      </c>
      <c r="E1842">
        <v>183.11</v>
      </c>
      <c r="F1842">
        <v>7775.19</v>
      </c>
      <c r="G1842">
        <v>42.46</v>
      </c>
    </row>
    <row r="1843" spans="1:7" x14ac:dyDescent="0.3">
      <c r="A1843" t="s">
        <v>557</v>
      </c>
      <c r="B1843">
        <v>17266</v>
      </c>
      <c r="C1843" t="s">
        <v>5192</v>
      </c>
      <c r="D1843" t="s">
        <v>459</v>
      </c>
      <c r="E1843">
        <v>7</v>
      </c>
      <c r="F1843">
        <v>35.29</v>
      </c>
      <c r="G1843">
        <v>5.04</v>
      </c>
    </row>
    <row r="1844" spans="1:7" x14ac:dyDescent="0.3">
      <c r="A1844" t="s">
        <v>557</v>
      </c>
      <c r="B1844">
        <v>19506</v>
      </c>
      <c r="C1844" t="s">
        <v>5122</v>
      </c>
      <c r="D1844" t="s">
        <v>459</v>
      </c>
      <c r="E1844">
        <v>1.6</v>
      </c>
      <c r="F1844">
        <v>66.8</v>
      </c>
      <c r="G1844">
        <v>41.75</v>
      </c>
    </row>
    <row r="1845" spans="1:7" x14ac:dyDescent="0.3">
      <c r="A1845" t="s">
        <v>557</v>
      </c>
      <c r="B1845">
        <v>19505</v>
      </c>
      <c r="C1845" t="s">
        <v>4872</v>
      </c>
      <c r="D1845" t="s">
        <v>459</v>
      </c>
      <c r="E1845">
        <v>65</v>
      </c>
      <c r="F1845">
        <v>722.95</v>
      </c>
      <c r="G1845">
        <v>11.12</v>
      </c>
    </row>
    <row r="1846" spans="1:7" x14ac:dyDescent="0.3">
      <c r="A1846" t="s">
        <v>557</v>
      </c>
      <c r="B1846">
        <v>19502</v>
      </c>
      <c r="C1846" t="s">
        <v>4871</v>
      </c>
      <c r="D1846" t="s">
        <v>459</v>
      </c>
      <c r="E1846">
        <v>37.5</v>
      </c>
      <c r="F1846">
        <v>625.91</v>
      </c>
      <c r="G1846">
        <v>16.690000000000001</v>
      </c>
    </row>
    <row r="1847" spans="1:7" x14ac:dyDescent="0.3">
      <c r="A1847" t="s">
        <v>557</v>
      </c>
      <c r="B1847">
        <v>19652</v>
      </c>
      <c r="C1847" t="s">
        <v>4899</v>
      </c>
      <c r="D1847" t="s">
        <v>459</v>
      </c>
      <c r="E1847">
        <v>2</v>
      </c>
      <c r="F1847">
        <v>38</v>
      </c>
      <c r="G1847">
        <v>19</v>
      </c>
    </row>
    <row r="1848" spans="1:7" x14ac:dyDescent="0.3">
      <c r="A1848" t="s">
        <v>557</v>
      </c>
      <c r="B1848">
        <v>19647</v>
      </c>
      <c r="C1848" t="s">
        <v>5050</v>
      </c>
      <c r="D1848" t="s">
        <v>459</v>
      </c>
      <c r="E1848">
        <v>3.9</v>
      </c>
      <c r="F1848">
        <v>45.09</v>
      </c>
      <c r="G1848">
        <v>11.56</v>
      </c>
    </row>
    <row r="1849" spans="1:7" x14ac:dyDescent="0.3">
      <c r="A1849" t="s">
        <v>557</v>
      </c>
      <c r="B1849">
        <v>24037</v>
      </c>
      <c r="C1849" t="s">
        <v>5233</v>
      </c>
      <c r="D1849" t="s">
        <v>459</v>
      </c>
      <c r="E1849">
        <v>17</v>
      </c>
      <c r="F1849">
        <v>351</v>
      </c>
      <c r="G1849">
        <v>20.65</v>
      </c>
    </row>
    <row r="1850" spans="1:7" x14ac:dyDescent="0.3">
      <c r="A1850" t="s">
        <v>557</v>
      </c>
      <c r="B1850">
        <v>20429</v>
      </c>
      <c r="C1850" t="s">
        <v>5317</v>
      </c>
      <c r="D1850" t="s">
        <v>459</v>
      </c>
      <c r="E1850">
        <v>1</v>
      </c>
      <c r="F1850">
        <v>19.600000000000001</v>
      </c>
      <c r="G1850">
        <v>19.600000000000001</v>
      </c>
    </row>
    <row r="1851" spans="1:7" x14ac:dyDescent="0.3">
      <c r="A1851" t="s">
        <v>557</v>
      </c>
      <c r="B1851">
        <v>27264</v>
      </c>
      <c r="C1851" t="s">
        <v>5075</v>
      </c>
      <c r="D1851" t="s">
        <v>459</v>
      </c>
      <c r="E1851">
        <v>86.46</v>
      </c>
      <c r="F1851">
        <v>4704.97</v>
      </c>
      <c r="G1851">
        <v>54.42</v>
      </c>
    </row>
    <row r="1852" spans="1:7" x14ac:dyDescent="0.3">
      <c r="A1852" t="s">
        <v>557</v>
      </c>
      <c r="B1852">
        <v>18550</v>
      </c>
      <c r="C1852" t="s">
        <v>4967</v>
      </c>
      <c r="D1852" t="s">
        <v>459</v>
      </c>
      <c r="E1852">
        <v>2</v>
      </c>
      <c r="F1852">
        <v>749.6</v>
      </c>
      <c r="G1852">
        <v>374.8</v>
      </c>
    </row>
    <row r="1853" spans="1:7" x14ac:dyDescent="0.3">
      <c r="A1853" t="s">
        <v>557</v>
      </c>
      <c r="B1853">
        <v>18547</v>
      </c>
      <c r="C1853" t="s">
        <v>4863</v>
      </c>
      <c r="D1853" t="s">
        <v>459</v>
      </c>
      <c r="E1853">
        <v>5</v>
      </c>
      <c r="F1853">
        <v>181.36</v>
      </c>
      <c r="G1853">
        <v>36.270000000000003</v>
      </c>
    </row>
    <row r="1854" spans="1:7" x14ac:dyDescent="0.3">
      <c r="A1854" t="s">
        <v>557</v>
      </c>
      <c r="B1854">
        <v>18518</v>
      </c>
      <c r="C1854" t="s">
        <v>4838</v>
      </c>
      <c r="D1854" t="s">
        <v>459</v>
      </c>
      <c r="E1854">
        <v>11</v>
      </c>
      <c r="F1854">
        <v>517.99</v>
      </c>
      <c r="G1854">
        <v>47.09</v>
      </c>
    </row>
    <row r="1855" spans="1:7" x14ac:dyDescent="0.3">
      <c r="A1855" t="s">
        <v>557</v>
      </c>
      <c r="B1855">
        <v>18538</v>
      </c>
      <c r="C1855" t="s">
        <v>5030</v>
      </c>
      <c r="D1855" t="s">
        <v>459</v>
      </c>
      <c r="E1855">
        <v>1</v>
      </c>
      <c r="F1855">
        <v>104.9</v>
      </c>
      <c r="G1855">
        <v>104.9</v>
      </c>
    </row>
    <row r="1856" spans="1:7" x14ac:dyDescent="0.3">
      <c r="A1856" t="s">
        <v>557</v>
      </c>
      <c r="B1856">
        <v>26224</v>
      </c>
      <c r="C1856" t="s">
        <v>5214</v>
      </c>
      <c r="D1856" t="s">
        <v>459</v>
      </c>
      <c r="E1856">
        <v>4</v>
      </c>
      <c r="F1856">
        <v>20.8</v>
      </c>
      <c r="G1856">
        <v>5.2</v>
      </c>
    </row>
    <row r="1857" spans="1:7" x14ac:dyDescent="0.3">
      <c r="A1857" t="s">
        <v>557</v>
      </c>
      <c r="B1857">
        <v>20301</v>
      </c>
      <c r="C1857" t="s">
        <v>4944</v>
      </c>
      <c r="D1857" t="s">
        <v>459</v>
      </c>
      <c r="E1857">
        <v>32</v>
      </c>
      <c r="F1857">
        <v>664.78</v>
      </c>
      <c r="G1857">
        <v>20.77</v>
      </c>
    </row>
    <row r="1858" spans="1:7" x14ac:dyDescent="0.3">
      <c r="A1858" t="s">
        <v>557</v>
      </c>
      <c r="B1858">
        <v>21060</v>
      </c>
      <c r="C1858" t="s">
        <v>4946</v>
      </c>
      <c r="D1858" t="s">
        <v>459</v>
      </c>
      <c r="E1858">
        <v>1</v>
      </c>
      <c r="F1858">
        <v>25.9</v>
      </c>
      <c r="G1858">
        <v>25.9</v>
      </c>
    </row>
    <row r="1859" spans="1:7" x14ac:dyDescent="0.3">
      <c r="A1859" t="s">
        <v>557</v>
      </c>
      <c r="B1859">
        <v>21047</v>
      </c>
      <c r="C1859" t="s">
        <v>4847</v>
      </c>
      <c r="D1859" t="s">
        <v>459</v>
      </c>
      <c r="E1859">
        <v>4</v>
      </c>
      <c r="F1859">
        <v>489</v>
      </c>
      <c r="G1859">
        <v>122.25</v>
      </c>
    </row>
    <row r="1860" spans="1:7" x14ac:dyDescent="0.3">
      <c r="A1860" t="s">
        <v>557</v>
      </c>
      <c r="B1860">
        <v>20751</v>
      </c>
      <c r="C1860" t="s">
        <v>5004</v>
      </c>
      <c r="D1860" t="s">
        <v>459</v>
      </c>
      <c r="E1860">
        <v>1</v>
      </c>
      <c r="F1860">
        <v>103.9</v>
      </c>
      <c r="G1860">
        <v>103.9</v>
      </c>
    </row>
    <row r="1861" spans="1:7" x14ac:dyDescent="0.3">
      <c r="A1861" t="s">
        <v>557</v>
      </c>
      <c r="B1861">
        <v>23808</v>
      </c>
      <c r="C1861" t="s">
        <v>4982</v>
      </c>
      <c r="D1861" t="s">
        <v>459</v>
      </c>
      <c r="E1861">
        <v>5</v>
      </c>
      <c r="F1861">
        <v>298.75</v>
      </c>
      <c r="G1861">
        <v>59.75</v>
      </c>
    </row>
    <row r="1862" spans="1:7" x14ac:dyDescent="0.3">
      <c r="A1862" t="s">
        <v>557</v>
      </c>
      <c r="B1862">
        <v>25702</v>
      </c>
      <c r="C1862" t="s">
        <v>5135</v>
      </c>
      <c r="D1862" t="s">
        <v>459</v>
      </c>
      <c r="E1862">
        <v>4</v>
      </c>
      <c r="F1862">
        <v>288.60000000000002</v>
      </c>
      <c r="G1862">
        <v>72.150000000000006</v>
      </c>
    </row>
    <row r="1863" spans="1:7" x14ac:dyDescent="0.3">
      <c r="A1863" t="s">
        <v>557</v>
      </c>
      <c r="B1863">
        <v>22721</v>
      </c>
      <c r="C1863" t="s">
        <v>4803</v>
      </c>
      <c r="D1863" t="s">
        <v>459</v>
      </c>
      <c r="E1863">
        <v>4.8600000000000003</v>
      </c>
      <c r="F1863">
        <v>137.54</v>
      </c>
      <c r="G1863">
        <v>28.3</v>
      </c>
    </row>
    <row r="1864" spans="1:7" x14ac:dyDescent="0.3">
      <c r="A1864" t="s">
        <v>557</v>
      </c>
      <c r="B1864">
        <v>23390</v>
      </c>
      <c r="C1864" t="s">
        <v>4873</v>
      </c>
      <c r="D1864" t="s">
        <v>459</v>
      </c>
      <c r="E1864">
        <v>7.9</v>
      </c>
      <c r="F1864">
        <v>69.73</v>
      </c>
      <c r="G1864">
        <v>8.83</v>
      </c>
    </row>
    <row r="1865" spans="1:7" x14ac:dyDescent="0.3">
      <c r="A1865" t="s">
        <v>557</v>
      </c>
      <c r="B1865">
        <v>23389</v>
      </c>
      <c r="C1865" t="s">
        <v>4960</v>
      </c>
      <c r="D1865" t="s">
        <v>459</v>
      </c>
      <c r="E1865">
        <v>37.299999999999997</v>
      </c>
      <c r="F1865">
        <v>195.96</v>
      </c>
      <c r="G1865">
        <v>5.25</v>
      </c>
    </row>
    <row r="1866" spans="1:7" x14ac:dyDescent="0.3">
      <c r="A1866" t="s">
        <v>557</v>
      </c>
      <c r="B1866">
        <v>24081</v>
      </c>
      <c r="C1866" t="s">
        <v>4834</v>
      </c>
      <c r="D1866" t="s">
        <v>459</v>
      </c>
      <c r="E1866">
        <v>10.6</v>
      </c>
      <c r="F1866">
        <v>252.28</v>
      </c>
      <c r="G1866">
        <v>23.8</v>
      </c>
    </row>
    <row r="1867" spans="1:7" x14ac:dyDescent="0.3">
      <c r="A1867" t="s">
        <v>557</v>
      </c>
      <c r="B1867">
        <v>24083</v>
      </c>
      <c r="C1867" t="s">
        <v>5165</v>
      </c>
      <c r="D1867" t="s">
        <v>459</v>
      </c>
      <c r="E1867">
        <v>450</v>
      </c>
      <c r="F1867">
        <v>1797</v>
      </c>
      <c r="G1867">
        <v>3.99</v>
      </c>
    </row>
    <row r="1868" spans="1:7" x14ac:dyDescent="0.3">
      <c r="A1868" t="s">
        <v>557</v>
      </c>
      <c r="B1868">
        <v>19642</v>
      </c>
      <c r="C1868" t="s">
        <v>4996</v>
      </c>
      <c r="D1868" t="s">
        <v>459</v>
      </c>
      <c r="E1868">
        <v>3</v>
      </c>
      <c r="F1868">
        <v>18.14</v>
      </c>
      <c r="G1868">
        <v>6.05</v>
      </c>
    </row>
    <row r="1869" spans="1:7" x14ac:dyDescent="0.3">
      <c r="A1869" t="s">
        <v>557</v>
      </c>
      <c r="B1869">
        <v>19635</v>
      </c>
      <c r="C1869" t="s">
        <v>4786</v>
      </c>
      <c r="D1869" t="s">
        <v>459</v>
      </c>
      <c r="E1869">
        <v>54</v>
      </c>
      <c r="F1869">
        <v>235.89</v>
      </c>
      <c r="G1869">
        <v>4.37</v>
      </c>
    </row>
    <row r="1870" spans="1:7" x14ac:dyDescent="0.3">
      <c r="A1870" t="s">
        <v>557</v>
      </c>
      <c r="B1870">
        <v>19634</v>
      </c>
      <c r="C1870" t="s">
        <v>4792</v>
      </c>
      <c r="D1870" t="s">
        <v>459</v>
      </c>
      <c r="E1870">
        <v>49.3</v>
      </c>
      <c r="F1870">
        <v>329.4</v>
      </c>
      <c r="G1870">
        <v>6.68</v>
      </c>
    </row>
    <row r="1871" spans="1:7" x14ac:dyDescent="0.3">
      <c r="A1871" t="s">
        <v>557</v>
      </c>
      <c r="B1871">
        <v>19632</v>
      </c>
      <c r="C1871" t="s">
        <v>4936</v>
      </c>
      <c r="D1871" t="s">
        <v>459</v>
      </c>
      <c r="E1871">
        <v>15.75</v>
      </c>
      <c r="F1871">
        <v>38.35</v>
      </c>
      <c r="G1871">
        <v>2.4300000000000002</v>
      </c>
    </row>
    <row r="1872" spans="1:7" x14ac:dyDescent="0.3">
      <c r="A1872" t="s">
        <v>557</v>
      </c>
      <c r="B1872">
        <v>23819</v>
      </c>
      <c r="C1872" t="s">
        <v>4947</v>
      </c>
      <c r="D1872" t="s">
        <v>459</v>
      </c>
      <c r="E1872">
        <v>3</v>
      </c>
      <c r="F1872">
        <v>27.48</v>
      </c>
      <c r="G1872">
        <v>9.16</v>
      </c>
    </row>
    <row r="1873" spans="1:7" x14ac:dyDescent="0.3">
      <c r="A1873" t="s">
        <v>557</v>
      </c>
      <c r="B1873">
        <v>17564</v>
      </c>
      <c r="C1873" t="s">
        <v>5187</v>
      </c>
      <c r="D1873" t="s">
        <v>459</v>
      </c>
      <c r="E1873">
        <v>1</v>
      </c>
      <c r="F1873">
        <v>58</v>
      </c>
      <c r="G1873">
        <v>58</v>
      </c>
    </row>
    <row r="1874" spans="1:7" x14ac:dyDescent="0.3">
      <c r="A1874" t="s">
        <v>557</v>
      </c>
      <c r="B1874">
        <v>17381</v>
      </c>
      <c r="C1874" t="s">
        <v>5262</v>
      </c>
      <c r="D1874" t="s">
        <v>459</v>
      </c>
      <c r="E1874">
        <v>2</v>
      </c>
      <c r="F1874">
        <v>84</v>
      </c>
      <c r="G1874">
        <v>42</v>
      </c>
    </row>
    <row r="1875" spans="1:7" x14ac:dyDescent="0.3">
      <c r="A1875" t="s">
        <v>557</v>
      </c>
      <c r="B1875">
        <v>17573</v>
      </c>
      <c r="C1875" t="s">
        <v>5306</v>
      </c>
      <c r="D1875" t="s">
        <v>459</v>
      </c>
      <c r="E1875">
        <v>2</v>
      </c>
      <c r="F1875">
        <v>149.69999999999999</v>
      </c>
      <c r="G1875">
        <v>74.849999999999994</v>
      </c>
    </row>
    <row r="1876" spans="1:7" x14ac:dyDescent="0.3">
      <c r="A1876" t="s">
        <v>557</v>
      </c>
      <c r="B1876">
        <v>24099</v>
      </c>
      <c r="C1876" t="s">
        <v>4933</v>
      </c>
      <c r="D1876" t="s">
        <v>459</v>
      </c>
      <c r="E1876">
        <v>14.6</v>
      </c>
      <c r="F1876">
        <v>289.23</v>
      </c>
      <c r="G1876">
        <v>19.809999999999999</v>
      </c>
    </row>
    <row r="1877" spans="1:7" x14ac:dyDescent="0.3">
      <c r="A1877" t="s">
        <v>557</v>
      </c>
      <c r="B1877">
        <v>19492</v>
      </c>
      <c r="C1877" t="s">
        <v>4937</v>
      </c>
      <c r="D1877" t="s">
        <v>459</v>
      </c>
      <c r="E1877">
        <v>15.1</v>
      </c>
      <c r="F1877">
        <v>264.12</v>
      </c>
      <c r="G1877">
        <v>17.489999999999998</v>
      </c>
    </row>
    <row r="1878" spans="1:7" x14ac:dyDescent="0.3">
      <c r="A1878" t="s">
        <v>557</v>
      </c>
      <c r="B1878">
        <v>18502</v>
      </c>
      <c r="C1878" t="s">
        <v>4893</v>
      </c>
      <c r="D1878" t="s">
        <v>459</v>
      </c>
      <c r="E1878">
        <v>3</v>
      </c>
      <c r="F1878">
        <v>179.1</v>
      </c>
      <c r="G1878">
        <v>59.7</v>
      </c>
    </row>
    <row r="1879" spans="1:7" x14ac:dyDescent="0.3">
      <c r="A1879" t="s">
        <v>557</v>
      </c>
      <c r="B1879">
        <v>18477</v>
      </c>
      <c r="C1879" t="s">
        <v>4920</v>
      </c>
      <c r="D1879" t="s">
        <v>459</v>
      </c>
      <c r="E1879">
        <v>3</v>
      </c>
      <c r="F1879">
        <v>131.69999999999999</v>
      </c>
      <c r="G1879">
        <v>43.9</v>
      </c>
    </row>
    <row r="1880" spans="1:7" x14ac:dyDescent="0.3">
      <c r="A1880" t="s">
        <v>557</v>
      </c>
      <c r="B1880">
        <v>18475</v>
      </c>
      <c r="C1880" t="s">
        <v>4895</v>
      </c>
      <c r="D1880" t="s">
        <v>459</v>
      </c>
      <c r="E1880">
        <v>24</v>
      </c>
      <c r="F1880">
        <v>789.6</v>
      </c>
      <c r="G1880">
        <v>32.9</v>
      </c>
    </row>
    <row r="1881" spans="1:7" x14ac:dyDescent="0.3">
      <c r="A1881" t="s">
        <v>557</v>
      </c>
      <c r="B1881">
        <v>20809</v>
      </c>
      <c r="C1881" t="s">
        <v>4822</v>
      </c>
      <c r="D1881" t="s">
        <v>459</v>
      </c>
      <c r="E1881">
        <v>28</v>
      </c>
      <c r="F1881">
        <v>814.54</v>
      </c>
      <c r="G1881">
        <v>29.09</v>
      </c>
    </row>
    <row r="1882" spans="1:7" x14ac:dyDescent="0.3">
      <c r="A1882" t="s">
        <v>557</v>
      </c>
      <c r="B1882">
        <v>23385</v>
      </c>
      <c r="C1882" t="s">
        <v>4938</v>
      </c>
      <c r="D1882" t="s">
        <v>459</v>
      </c>
      <c r="E1882">
        <v>8</v>
      </c>
      <c r="F1882">
        <v>243.13</v>
      </c>
      <c r="G1882">
        <v>30.39</v>
      </c>
    </row>
    <row r="1883" spans="1:7" x14ac:dyDescent="0.3">
      <c r="A1883" t="s">
        <v>557</v>
      </c>
      <c r="B1883">
        <v>17554</v>
      </c>
      <c r="C1883" t="s">
        <v>5320</v>
      </c>
      <c r="D1883" t="s">
        <v>459</v>
      </c>
      <c r="E1883">
        <v>1</v>
      </c>
      <c r="F1883">
        <v>199.9</v>
      </c>
      <c r="G1883">
        <v>199.9</v>
      </c>
    </row>
    <row r="1884" spans="1:7" x14ac:dyDescent="0.3">
      <c r="A1884" t="s">
        <v>557</v>
      </c>
      <c r="B1884">
        <v>19490</v>
      </c>
      <c r="C1884" t="s">
        <v>5116</v>
      </c>
      <c r="D1884" t="s">
        <v>459</v>
      </c>
      <c r="E1884">
        <v>2.4500000000000002</v>
      </c>
      <c r="F1884">
        <v>183.63</v>
      </c>
      <c r="G1884">
        <v>74.95</v>
      </c>
    </row>
    <row r="1885" spans="1:7" x14ac:dyDescent="0.3">
      <c r="A1885" t="s">
        <v>557</v>
      </c>
      <c r="B1885">
        <v>24638</v>
      </c>
      <c r="C1885" t="s">
        <v>4948</v>
      </c>
      <c r="D1885" t="s">
        <v>459</v>
      </c>
      <c r="E1885">
        <v>3</v>
      </c>
      <c r="F1885">
        <v>56.25</v>
      </c>
      <c r="G1885">
        <v>18.75</v>
      </c>
    </row>
    <row r="1886" spans="1:7" x14ac:dyDescent="0.3">
      <c r="A1886" t="s">
        <v>557</v>
      </c>
      <c r="B1886">
        <v>24658</v>
      </c>
      <c r="C1886" t="s">
        <v>5274</v>
      </c>
      <c r="D1886" t="s">
        <v>459</v>
      </c>
      <c r="E1886">
        <v>90</v>
      </c>
      <c r="F1886">
        <v>3114</v>
      </c>
      <c r="G1886">
        <v>34.6</v>
      </c>
    </row>
    <row r="1887" spans="1:7" x14ac:dyDescent="0.3">
      <c r="A1887" t="s">
        <v>557</v>
      </c>
      <c r="B1887">
        <v>18642</v>
      </c>
      <c r="C1887" t="s">
        <v>5127</v>
      </c>
      <c r="D1887" t="s">
        <v>459</v>
      </c>
      <c r="E1887">
        <v>6</v>
      </c>
      <c r="F1887">
        <v>1151.4000000000001</v>
      </c>
      <c r="G1887">
        <v>191.9</v>
      </c>
    </row>
    <row r="1888" spans="1:7" x14ac:dyDescent="0.3">
      <c r="A1888" t="s">
        <v>557</v>
      </c>
      <c r="B1888">
        <v>24509</v>
      </c>
      <c r="C1888" t="s">
        <v>4788</v>
      </c>
      <c r="D1888" t="s">
        <v>459</v>
      </c>
      <c r="E1888">
        <v>85</v>
      </c>
      <c r="F1888">
        <v>152.49</v>
      </c>
      <c r="G1888">
        <v>1.79</v>
      </c>
    </row>
    <row r="1889" spans="1:7" x14ac:dyDescent="0.3">
      <c r="A1889" t="s">
        <v>557</v>
      </c>
      <c r="B1889">
        <v>19622</v>
      </c>
      <c r="C1889" t="s">
        <v>4915</v>
      </c>
      <c r="D1889" t="s">
        <v>459</v>
      </c>
      <c r="E1889">
        <v>6.8</v>
      </c>
      <c r="F1889">
        <v>19.54</v>
      </c>
      <c r="G1889">
        <v>2.87</v>
      </c>
    </row>
    <row r="1890" spans="1:7" x14ac:dyDescent="0.3">
      <c r="A1890" t="s">
        <v>557</v>
      </c>
      <c r="B1890">
        <v>19623</v>
      </c>
      <c r="C1890" t="s">
        <v>4764</v>
      </c>
      <c r="D1890" t="s">
        <v>459</v>
      </c>
      <c r="E1890">
        <v>69</v>
      </c>
      <c r="F1890">
        <v>298</v>
      </c>
      <c r="G1890">
        <v>4.32</v>
      </c>
    </row>
    <row r="1891" spans="1:7" x14ac:dyDescent="0.3">
      <c r="A1891" t="s">
        <v>557</v>
      </c>
      <c r="B1891">
        <v>19488</v>
      </c>
      <c r="C1891" t="s">
        <v>5107</v>
      </c>
      <c r="D1891" t="s">
        <v>459</v>
      </c>
      <c r="E1891">
        <v>2.5</v>
      </c>
      <c r="F1891">
        <v>30.86</v>
      </c>
      <c r="G1891">
        <v>12.34</v>
      </c>
    </row>
    <row r="1892" spans="1:7" x14ac:dyDescent="0.3">
      <c r="A1892" t="s">
        <v>557</v>
      </c>
      <c r="B1892">
        <v>19621</v>
      </c>
      <c r="C1892" t="s">
        <v>4829</v>
      </c>
      <c r="D1892" t="s">
        <v>459</v>
      </c>
      <c r="E1892">
        <v>25.5</v>
      </c>
      <c r="F1892">
        <v>83.94</v>
      </c>
      <c r="G1892">
        <v>3.29</v>
      </c>
    </row>
    <row r="1893" spans="1:7" x14ac:dyDescent="0.3">
      <c r="A1893" t="s">
        <v>557</v>
      </c>
      <c r="B1893">
        <v>26505</v>
      </c>
      <c r="C1893" t="s">
        <v>4750</v>
      </c>
      <c r="D1893" t="s">
        <v>459</v>
      </c>
      <c r="E1893">
        <v>1</v>
      </c>
      <c r="F1893">
        <v>172.11</v>
      </c>
      <c r="G1893">
        <v>172.11</v>
      </c>
    </row>
    <row r="1894" spans="1:7" x14ac:dyDescent="0.3">
      <c r="A1894" t="s">
        <v>557</v>
      </c>
      <c r="B1894">
        <v>25561</v>
      </c>
      <c r="C1894" t="s">
        <v>5095</v>
      </c>
      <c r="D1894" t="s">
        <v>459</v>
      </c>
      <c r="E1894">
        <v>3</v>
      </c>
      <c r="F1894">
        <v>352.67</v>
      </c>
      <c r="G1894">
        <v>117.56</v>
      </c>
    </row>
    <row r="1895" spans="1:7" x14ac:dyDescent="0.3">
      <c r="A1895" t="s">
        <v>557</v>
      </c>
      <c r="B1895">
        <v>24141</v>
      </c>
      <c r="C1895" t="s">
        <v>5088</v>
      </c>
      <c r="D1895" t="s">
        <v>459</v>
      </c>
      <c r="E1895">
        <v>7</v>
      </c>
      <c r="F1895">
        <v>689.06</v>
      </c>
      <c r="G1895">
        <v>98.44</v>
      </c>
    </row>
    <row r="1896" spans="1:7" x14ac:dyDescent="0.3">
      <c r="A1896" t="s">
        <v>557</v>
      </c>
      <c r="B1896">
        <v>24973</v>
      </c>
      <c r="C1896" t="s">
        <v>4819</v>
      </c>
      <c r="D1896" t="s">
        <v>459</v>
      </c>
      <c r="E1896">
        <v>4</v>
      </c>
      <c r="F1896">
        <v>318.56</v>
      </c>
      <c r="G1896">
        <v>79.64</v>
      </c>
    </row>
    <row r="1897" spans="1:7" x14ac:dyDescent="0.3">
      <c r="A1897" t="s">
        <v>557</v>
      </c>
      <c r="B1897">
        <v>18579</v>
      </c>
      <c r="C1897" t="s">
        <v>5087</v>
      </c>
      <c r="D1897" t="s">
        <v>459</v>
      </c>
      <c r="E1897">
        <v>4</v>
      </c>
      <c r="F1897">
        <v>527.24</v>
      </c>
      <c r="G1897">
        <v>131.81</v>
      </c>
    </row>
    <row r="1898" spans="1:7" x14ac:dyDescent="0.3">
      <c r="A1898" t="s">
        <v>557</v>
      </c>
      <c r="B1898">
        <v>17838</v>
      </c>
      <c r="C1898" t="s">
        <v>4925</v>
      </c>
      <c r="D1898" t="s">
        <v>459</v>
      </c>
      <c r="E1898">
        <v>2</v>
      </c>
      <c r="F1898">
        <v>16.899999999999999</v>
      </c>
      <c r="G1898">
        <v>8.4499999999999993</v>
      </c>
    </row>
    <row r="1899" spans="1:7" x14ac:dyDescent="0.3">
      <c r="A1899" t="s">
        <v>557</v>
      </c>
      <c r="B1899">
        <v>22858</v>
      </c>
      <c r="C1899" t="s">
        <v>5401</v>
      </c>
      <c r="D1899" t="s">
        <v>459</v>
      </c>
      <c r="E1899">
        <v>5</v>
      </c>
      <c r="F1899">
        <v>209.5</v>
      </c>
      <c r="G1899">
        <v>41.9</v>
      </c>
    </row>
    <row r="1900" spans="1:7" x14ac:dyDescent="0.3">
      <c r="A1900" t="s">
        <v>557</v>
      </c>
      <c r="B1900">
        <v>20928</v>
      </c>
      <c r="C1900" t="s">
        <v>4950</v>
      </c>
      <c r="D1900" t="s">
        <v>459</v>
      </c>
      <c r="E1900">
        <v>1</v>
      </c>
      <c r="F1900">
        <v>223</v>
      </c>
      <c r="G1900">
        <v>223</v>
      </c>
    </row>
    <row r="1901" spans="1:7" x14ac:dyDescent="0.3">
      <c r="A1901" t="s">
        <v>557</v>
      </c>
      <c r="B1901">
        <v>25807</v>
      </c>
      <c r="C1901" t="s">
        <v>4951</v>
      </c>
      <c r="D1901" t="s">
        <v>459</v>
      </c>
      <c r="E1901">
        <v>1</v>
      </c>
      <c r="F1901">
        <v>202</v>
      </c>
      <c r="G1901">
        <v>202</v>
      </c>
    </row>
    <row r="1902" spans="1:7" x14ac:dyDescent="0.3">
      <c r="A1902" t="s">
        <v>557</v>
      </c>
      <c r="B1902">
        <v>18636</v>
      </c>
      <c r="C1902" t="s">
        <v>4964</v>
      </c>
      <c r="D1902" t="s">
        <v>459</v>
      </c>
      <c r="E1902">
        <v>17</v>
      </c>
      <c r="F1902">
        <v>7159.12</v>
      </c>
      <c r="G1902">
        <v>421.12</v>
      </c>
    </row>
    <row r="1903" spans="1:7" x14ac:dyDescent="0.3">
      <c r="A1903" t="s">
        <v>557</v>
      </c>
      <c r="B1903">
        <v>24981</v>
      </c>
      <c r="C1903" t="s">
        <v>5140</v>
      </c>
      <c r="D1903" t="s">
        <v>459</v>
      </c>
      <c r="E1903">
        <v>3</v>
      </c>
      <c r="F1903">
        <v>989.83</v>
      </c>
      <c r="G1903">
        <v>329.94</v>
      </c>
    </row>
    <row r="1904" spans="1:7" x14ac:dyDescent="0.3">
      <c r="A1904" t="s">
        <v>557</v>
      </c>
      <c r="B1904">
        <v>26135</v>
      </c>
      <c r="C1904" t="s">
        <v>4801</v>
      </c>
      <c r="D1904" t="s">
        <v>459</v>
      </c>
      <c r="E1904">
        <v>24.4</v>
      </c>
      <c r="F1904">
        <v>2193.56</v>
      </c>
      <c r="G1904">
        <v>89.9</v>
      </c>
    </row>
    <row r="1905" spans="1:7" x14ac:dyDescent="0.3">
      <c r="A1905" t="s">
        <v>557</v>
      </c>
      <c r="B1905">
        <v>19617</v>
      </c>
      <c r="C1905" t="s">
        <v>5071</v>
      </c>
      <c r="D1905" t="s">
        <v>459</v>
      </c>
      <c r="E1905">
        <v>4.0999999999999996</v>
      </c>
      <c r="F1905">
        <v>107.35</v>
      </c>
      <c r="G1905">
        <v>26.18</v>
      </c>
    </row>
    <row r="1906" spans="1:7" x14ac:dyDescent="0.3">
      <c r="A1906" t="s">
        <v>557</v>
      </c>
      <c r="B1906">
        <v>17532</v>
      </c>
      <c r="C1906" t="s">
        <v>5259</v>
      </c>
      <c r="D1906" t="s">
        <v>459</v>
      </c>
      <c r="E1906">
        <v>1</v>
      </c>
      <c r="F1906">
        <v>97.5</v>
      </c>
      <c r="G1906">
        <v>97.5</v>
      </c>
    </row>
    <row r="1907" spans="1:7" x14ac:dyDescent="0.3">
      <c r="A1907" t="s">
        <v>557</v>
      </c>
      <c r="B1907">
        <v>19047</v>
      </c>
      <c r="C1907" t="s">
        <v>5393</v>
      </c>
      <c r="D1907" t="s">
        <v>459</v>
      </c>
      <c r="E1907">
        <v>6</v>
      </c>
      <c r="F1907">
        <v>215.4</v>
      </c>
      <c r="G1907">
        <v>35.9</v>
      </c>
    </row>
    <row r="1908" spans="1:7" x14ac:dyDescent="0.3">
      <c r="A1908" t="s">
        <v>557</v>
      </c>
      <c r="B1908">
        <v>18595</v>
      </c>
      <c r="C1908" t="s">
        <v>5092</v>
      </c>
      <c r="D1908" t="s">
        <v>459</v>
      </c>
      <c r="E1908">
        <v>5</v>
      </c>
      <c r="F1908">
        <v>752.4</v>
      </c>
      <c r="G1908">
        <v>150.47999999999999</v>
      </c>
    </row>
    <row r="1909" spans="1:7" x14ac:dyDescent="0.3">
      <c r="A1909" t="s">
        <v>557</v>
      </c>
      <c r="B1909">
        <v>26679</v>
      </c>
      <c r="C1909" t="s">
        <v>4791</v>
      </c>
      <c r="D1909" t="s">
        <v>459</v>
      </c>
      <c r="E1909">
        <v>120.62</v>
      </c>
      <c r="F1909">
        <v>3365.29</v>
      </c>
      <c r="G1909">
        <v>27.9</v>
      </c>
    </row>
    <row r="1910" spans="1:7" x14ac:dyDescent="0.3">
      <c r="A1910" t="s">
        <v>557</v>
      </c>
      <c r="B1910">
        <v>24197</v>
      </c>
      <c r="C1910" t="s">
        <v>5237</v>
      </c>
      <c r="D1910" t="s">
        <v>459</v>
      </c>
      <c r="E1910">
        <v>17.399999999999999</v>
      </c>
      <c r="F1910">
        <v>347.83</v>
      </c>
      <c r="G1910">
        <v>19.989999999999998</v>
      </c>
    </row>
    <row r="1911" spans="1:7" x14ac:dyDescent="0.3">
      <c r="A1911" t="s">
        <v>557</v>
      </c>
      <c r="B1911">
        <v>24200</v>
      </c>
      <c r="C1911" t="s">
        <v>4820</v>
      </c>
      <c r="D1911" t="s">
        <v>459</v>
      </c>
      <c r="E1911">
        <v>11.2</v>
      </c>
      <c r="F1911">
        <v>368.48</v>
      </c>
      <c r="G1911">
        <v>32.9</v>
      </c>
    </row>
    <row r="1912" spans="1:7" x14ac:dyDescent="0.3">
      <c r="A1912" t="s">
        <v>557</v>
      </c>
      <c r="B1912">
        <v>21257</v>
      </c>
      <c r="C1912" t="s">
        <v>4952</v>
      </c>
      <c r="D1912" t="s">
        <v>459</v>
      </c>
      <c r="E1912">
        <v>7</v>
      </c>
      <c r="F1912">
        <v>131.25</v>
      </c>
      <c r="G1912">
        <v>18.75</v>
      </c>
    </row>
    <row r="1913" spans="1:7" x14ac:dyDescent="0.3">
      <c r="A1913" t="s">
        <v>557</v>
      </c>
      <c r="B1913">
        <v>23238</v>
      </c>
      <c r="C1913" t="s">
        <v>4934</v>
      </c>
      <c r="D1913" t="s">
        <v>459</v>
      </c>
      <c r="E1913">
        <v>11.2</v>
      </c>
      <c r="F1913">
        <v>198.5</v>
      </c>
      <c r="G1913">
        <v>17.72</v>
      </c>
    </row>
    <row r="1914" spans="1:7" x14ac:dyDescent="0.3">
      <c r="A1914" t="s">
        <v>557</v>
      </c>
      <c r="B1914">
        <v>23236</v>
      </c>
      <c r="C1914" t="s">
        <v>5062</v>
      </c>
      <c r="D1914" t="s">
        <v>459</v>
      </c>
      <c r="E1914">
        <v>26.7</v>
      </c>
      <c r="F1914">
        <v>146</v>
      </c>
      <c r="G1914">
        <v>5.47</v>
      </c>
    </row>
    <row r="1915" spans="1:7" x14ac:dyDescent="0.3">
      <c r="A1915" t="s">
        <v>557</v>
      </c>
      <c r="B1915">
        <v>19041</v>
      </c>
      <c r="C1915" t="s">
        <v>4762</v>
      </c>
      <c r="D1915" t="s">
        <v>459</v>
      </c>
      <c r="E1915">
        <v>108.8</v>
      </c>
      <c r="F1915">
        <v>1530.42</v>
      </c>
      <c r="G1915">
        <v>14.07</v>
      </c>
    </row>
    <row r="1916" spans="1:7" x14ac:dyDescent="0.3">
      <c r="A1916" t="s">
        <v>557</v>
      </c>
      <c r="B1916">
        <v>19439</v>
      </c>
      <c r="C1916" t="s">
        <v>4917</v>
      </c>
      <c r="D1916" t="s">
        <v>459</v>
      </c>
      <c r="E1916">
        <v>13</v>
      </c>
      <c r="F1916">
        <v>433.94</v>
      </c>
      <c r="G1916">
        <v>33.380000000000003</v>
      </c>
    </row>
    <row r="1917" spans="1:7" x14ac:dyDescent="0.3">
      <c r="A1917" t="s">
        <v>557</v>
      </c>
      <c r="B1917">
        <v>20689</v>
      </c>
      <c r="C1917" t="s">
        <v>5007</v>
      </c>
      <c r="D1917" t="s">
        <v>459</v>
      </c>
      <c r="E1917">
        <v>10</v>
      </c>
      <c r="F1917">
        <v>361</v>
      </c>
      <c r="G1917">
        <v>36.1</v>
      </c>
    </row>
    <row r="1918" spans="1:7" x14ac:dyDescent="0.3">
      <c r="A1918" t="s">
        <v>557</v>
      </c>
      <c r="B1918">
        <v>26020</v>
      </c>
      <c r="C1918" t="s">
        <v>5102</v>
      </c>
      <c r="D1918" t="s">
        <v>459</v>
      </c>
      <c r="E1918">
        <v>15</v>
      </c>
      <c r="F1918">
        <v>213.98</v>
      </c>
      <c r="G1918">
        <v>14.27</v>
      </c>
    </row>
    <row r="1919" spans="1:7" x14ac:dyDescent="0.3">
      <c r="A1919" t="s">
        <v>557</v>
      </c>
      <c r="B1919">
        <v>24217</v>
      </c>
      <c r="C1919" t="s">
        <v>4778</v>
      </c>
      <c r="D1919" t="s">
        <v>459</v>
      </c>
      <c r="E1919">
        <v>94.7</v>
      </c>
      <c r="F1919">
        <v>3026.85</v>
      </c>
      <c r="G1919">
        <v>31.96</v>
      </c>
    </row>
    <row r="1920" spans="1:7" x14ac:dyDescent="0.3">
      <c r="A1920" t="s">
        <v>557</v>
      </c>
      <c r="B1920">
        <v>17304</v>
      </c>
      <c r="C1920" t="s">
        <v>5195</v>
      </c>
      <c r="D1920" t="s">
        <v>459</v>
      </c>
      <c r="E1920">
        <v>4</v>
      </c>
      <c r="F1920">
        <v>28.4</v>
      </c>
      <c r="G1920">
        <v>7.1</v>
      </c>
    </row>
    <row r="1921" spans="1:7" x14ac:dyDescent="0.3">
      <c r="A1921" t="s">
        <v>557</v>
      </c>
      <c r="B1921">
        <v>17215</v>
      </c>
      <c r="C1921" t="s">
        <v>5299</v>
      </c>
      <c r="D1921" t="s">
        <v>459</v>
      </c>
      <c r="E1921">
        <v>23</v>
      </c>
      <c r="F1921">
        <v>477.8</v>
      </c>
      <c r="G1921">
        <v>20.77</v>
      </c>
    </row>
    <row r="1922" spans="1:7" x14ac:dyDescent="0.3">
      <c r="A1922" t="s">
        <v>557</v>
      </c>
      <c r="B1922">
        <v>17205</v>
      </c>
      <c r="C1922" t="s">
        <v>5264</v>
      </c>
      <c r="D1922" t="s">
        <v>459</v>
      </c>
      <c r="E1922">
        <v>1</v>
      </c>
      <c r="F1922">
        <v>170</v>
      </c>
      <c r="G1922">
        <v>170</v>
      </c>
    </row>
    <row r="1923" spans="1:7" x14ac:dyDescent="0.3">
      <c r="A1923" t="s">
        <v>557</v>
      </c>
      <c r="B1923">
        <v>26554</v>
      </c>
      <c r="C1923" t="s">
        <v>5319</v>
      </c>
      <c r="D1923" t="s">
        <v>459</v>
      </c>
      <c r="E1923">
        <v>3</v>
      </c>
      <c r="F1923">
        <v>560</v>
      </c>
      <c r="G1923">
        <v>186.67</v>
      </c>
    </row>
    <row r="1924" spans="1:7" x14ac:dyDescent="0.3">
      <c r="A1924" t="s">
        <v>557</v>
      </c>
      <c r="B1924">
        <v>17465</v>
      </c>
      <c r="C1924" t="s">
        <v>5279</v>
      </c>
      <c r="D1924" t="s">
        <v>459</v>
      </c>
      <c r="E1924">
        <v>1</v>
      </c>
      <c r="F1924">
        <v>670.38</v>
      </c>
      <c r="G1924">
        <v>670.38</v>
      </c>
    </row>
    <row r="1925" spans="1:7" x14ac:dyDescent="0.3">
      <c r="A1925" t="s">
        <v>557</v>
      </c>
      <c r="B1925">
        <v>21716</v>
      </c>
      <c r="C1925" t="s">
        <v>5281</v>
      </c>
      <c r="D1925" t="s">
        <v>459</v>
      </c>
      <c r="E1925">
        <v>1</v>
      </c>
      <c r="F1925">
        <v>399.5</v>
      </c>
      <c r="G1925">
        <v>399.5</v>
      </c>
    </row>
    <row r="1926" spans="1:7" x14ac:dyDescent="0.3">
      <c r="A1926" t="s">
        <v>557</v>
      </c>
      <c r="B1926">
        <v>17918</v>
      </c>
      <c r="C1926" t="s">
        <v>5368</v>
      </c>
      <c r="D1926" t="s">
        <v>459</v>
      </c>
      <c r="E1926">
        <v>2</v>
      </c>
      <c r="F1926">
        <v>86.4</v>
      </c>
      <c r="G1926">
        <v>43.2</v>
      </c>
    </row>
    <row r="1927" spans="1:7" x14ac:dyDescent="0.3">
      <c r="A1927" t="s">
        <v>557</v>
      </c>
      <c r="B1927">
        <v>23234</v>
      </c>
      <c r="C1927" t="s">
        <v>4986</v>
      </c>
      <c r="D1927" t="s">
        <v>459</v>
      </c>
      <c r="E1927">
        <v>2</v>
      </c>
      <c r="F1927">
        <v>46</v>
      </c>
      <c r="G1927">
        <v>23</v>
      </c>
    </row>
    <row r="1928" spans="1:7" x14ac:dyDescent="0.3">
      <c r="A1928" t="s">
        <v>557</v>
      </c>
      <c r="B1928">
        <v>19526</v>
      </c>
      <c r="C1928" t="s">
        <v>4997</v>
      </c>
      <c r="D1928" t="s">
        <v>459</v>
      </c>
      <c r="E1928">
        <v>3.5</v>
      </c>
      <c r="F1928">
        <v>135.63</v>
      </c>
      <c r="G1928">
        <v>38.75</v>
      </c>
    </row>
    <row r="1929" spans="1:7" x14ac:dyDescent="0.3">
      <c r="A1929" t="s">
        <v>557</v>
      </c>
      <c r="B1929">
        <v>18945</v>
      </c>
      <c r="C1929" t="s">
        <v>4768</v>
      </c>
      <c r="D1929" t="s">
        <v>459</v>
      </c>
      <c r="E1929">
        <v>12</v>
      </c>
      <c r="F1929">
        <v>699</v>
      </c>
      <c r="G1929">
        <v>58.25</v>
      </c>
    </row>
    <row r="1930" spans="1:7" x14ac:dyDescent="0.3">
      <c r="A1930" t="s">
        <v>557</v>
      </c>
      <c r="B1930">
        <v>18991</v>
      </c>
      <c r="C1930" t="s">
        <v>4815</v>
      </c>
      <c r="D1930" t="s">
        <v>459</v>
      </c>
      <c r="E1930">
        <v>8</v>
      </c>
      <c r="F1930">
        <v>339.36</v>
      </c>
      <c r="G1930">
        <v>42.42</v>
      </c>
    </row>
    <row r="1931" spans="1:7" x14ac:dyDescent="0.3">
      <c r="A1931" t="s">
        <v>557</v>
      </c>
      <c r="B1931">
        <v>19353</v>
      </c>
      <c r="C1931" t="s">
        <v>4851</v>
      </c>
      <c r="D1931" t="s">
        <v>459</v>
      </c>
      <c r="E1931">
        <v>12</v>
      </c>
      <c r="F1931">
        <v>295.2</v>
      </c>
      <c r="G1931">
        <v>24.6</v>
      </c>
    </row>
    <row r="1932" spans="1:7" x14ac:dyDescent="0.3">
      <c r="A1932" t="s">
        <v>557</v>
      </c>
      <c r="B1932">
        <v>24522</v>
      </c>
      <c r="C1932" t="s">
        <v>5072</v>
      </c>
      <c r="D1932" t="s">
        <v>459</v>
      </c>
      <c r="E1932">
        <v>4</v>
      </c>
      <c r="F1932">
        <v>91</v>
      </c>
      <c r="G1932">
        <v>22.75</v>
      </c>
    </row>
    <row r="1933" spans="1:7" x14ac:dyDescent="0.3">
      <c r="A1933" t="s">
        <v>557</v>
      </c>
      <c r="B1933">
        <v>24598</v>
      </c>
      <c r="C1933" t="s">
        <v>4852</v>
      </c>
      <c r="D1933" t="s">
        <v>459</v>
      </c>
      <c r="E1933">
        <v>5.7</v>
      </c>
      <c r="F1933">
        <v>64.150000000000006</v>
      </c>
      <c r="G1933">
        <v>11.25</v>
      </c>
    </row>
    <row r="1934" spans="1:7" x14ac:dyDescent="0.3">
      <c r="A1934" t="s">
        <v>557</v>
      </c>
      <c r="B1934">
        <v>17196</v>
      </c>
      <c r="C1934" t="s">
        <v>5258</v>
      </c>
      <c r="D1934" t="s">
        <v>459</v>
      </c>
      <c r="E1934">
        <v>3</v>
      </c>
      <c r="F1934">
        <v>21.6</v>
      </c>
      <c r="G1934">
        <v>7.2</v>
      </c>
    </row>
    <row r="1935" spans="1:7" x14ac:dyDescent="0.3">
      <c r="A1935" t="s">
        <v>557</v>
      </c>
      <c r="B1935">
        <v>17190</v>
      </c>
      <c r="C1935" t="s">
        <v>5193</v>
      </c>
      <c r="D1935" t="s">
        <v>459</v>
      </c>
      <c r="E1935">
        <v>5</v>
      </c>
      <c r="F1935">
        <v>38.92</v>
      </c>
      <c r="G1935">
        <v>7.78</v>
      </c>
    </row>
    <row r="1936" spans="1:7" x14ac:dyDescent="0.3">
      <c r="A1936" t="s">
        <v>557</v>
      </c>
      <c r="B1936">
        <v>18030</v>
      </c>
      <c r="C1936" t="s">
        <v>4840</v>
      </c>
      <c r="D1936" t="s">
        <v>459</v>
      </c>
      <c r="E1936">
        <v>15</v>
      </c>
      <c r="F1936">
        <v>423.5</v>
      </c>
      <c r="G1936">
        <v>28.23</v>
      </c>
    </row>
    <row r="1937" spans="1:7" x14ac:dyDescent="0.3">
      <c r="A1937" t="s">
        <v>557</v>
      </c>
      <c r="B1937">
        <v>20030</v>
      </c>
      <c r="C1937" t="s">
        <v>5125</v>
      </c>
      <c r="D1937" t="s">
        <v>459</v>
      </c>
      <c r="E1937">
        <v>1</v>
      </c>
      <c r="F1937">
        <v>7.4</v>
      </c>
      <c r="G1937">
        <v>7.4</v>
      </c>
    </row>
    <row r="1938" spans="1:7" x14ac:dyDescent="0.3">
      <c r="A1938" t="s">
        <v>557</v>
      </c>
      <c r="B1938">
        <v>17455</v>
      </c>
      <c r="C1938" t="s">
        <v>5290</v>
      </c>
      <c r="D1938" t="s">
        <v>459</v>
      </c>
      <c r="E1938">
        <v>2</v>
      </c>
      <c r="F1938">
        <v>76</v>
      </c>
      <c r="G1938">
        <v>38</v>
      </c>
    </row>
    <row r="1939" spans="1:7" x14ac:dyDescent="0.3">
      <c r="A1939" t="s">
        <v>557</v>
      </c>
      <c r="B1939">
        <v>26627</v>
      </c>
      <c r="C1939" t="s">
        <v>5190</v>
      </c>
      <c r="D1939" t="s">
        <v>459</v>
      </c>
      <c r="E1939">
        <v>70</v>
      </c>
      <c r="F1939">
        <v>553</v>
      </c>
      <c r="G1939">
        <v>7.9</v>
      </c>
    </row>
    <row r="1940" spans="1:7" x14ac:dyDescent="0.3">
      <c r="A1940" t="s">
        <v>557</v>
      </c>
      <c r="B1940">
        <v>20382</v>
      </c>
      <c r="C1940" t="s">
        <v>4780</v>
      </c>
      <c r="D1940" t="s">
        <v>459</v>
      </c>
      <c r="E1940">
        <v>40</v>
      </c>
      <c r="F1940">
        <v>359.6</v>
      </c>
      <c r="G1940">
        <v>8.99</v>
      </c>
    </row>
    <row r="1941" spans="1:7" x14ac:dyDescent="0.3">
      <c r="A1941" t="s">
        <v>557</v>
      </c>
      <c r="B1941">
        <v>25237</v>
      </c>
      <c r="C1941" t="s">
        <v>5143</v>
      </c>
      <c r="D1941" t="s">
        <v>459</v>
      </c>
      <c r="E1941">
        <v>15</v>
      </c>
      <c r="F1941">
        <v>83.85</v>
      </c>
      <c r="G1941">
        <v>5.59</v>
      </c>
    </row>
    <row r="1942" spans="1:7" x14ac:dyDescent="0.3">
      <c r="A1942" t="s">
        <v>557</v>
      </c>
      <c r="B1942">
        <v>20322</v>
      </c>
      <c r="C1942" t="s">
        <v>4882</v>
      </c>
      <c r="D1942" t="s">
        <v>459</v>
      </c>
      <c r="E1942">
        <v>1</v>
      </c>
      <c r="F1942">
        <v>10.8</v>
      </c>
      <c r="G1942">
        <v>10.8</v>
      </c>
    </row>
    <row r="1943" spans="1:7" x14ac:dyDescent="0.3">
      <c r="A1943" t="s">
        <v>557</v>
      </c>
      <c r="B1943">
        <v>20242</v>
      </c>
      <c r="C1943" t="s">
        <v>4824</v>
      </c>
      <c r="D1943" t="s">
        <v>459</v>
      </c>
      <c r="E1943">
        <v>30</v>
      </c>
      <c r="F1943">
        <v>424.9</v>
      </c>
      <c r="G1943">
        <v>14.16</v>
      </c>
    </row>
    <row r="1944" spans="1:7" x14ac:dyDescent="0.3">
      <c r="A1944" t="s">
        <v>557</v>
      </c>
      <c r="B1944">
        <v>20227</v>
      </c>
      <c r="C1944" t="s">
        <v>4825</v>
      </c>
      <c r="D1944" t="s">
        <v>459</v>
      </c>
      <c r="E1944">
        <v>15</v>
      </c>
      <c r="F1944">
        <v>150</v>
      </c>
      <c r="G1944">
        <v>10</v>
      </c>
    </row>
    <row r="1945" spans="1:7" x14ac:dyDescent="0.3">
      <c r="A1945" t="s">
        <v>557</v>
      </c>
      <c r="B1945">
        <v>24256</v>
      </c>
      <c r="C1945" t="s">
        <v>4773</v>
      </c>
      <c r="D1945" t="s">
        <v>459</v>
      </c>
      <c r="E1945">
        <v>35</v>
      </c>
      <c r="F1945">
        <v>1343.5</v>
      </c>
      <c r="G1945">
        <v>38.39</v>
      </c>
    </row>
    <row r="1946" spans="1:7" x14ac:dyDescent="0.3">
      <c r="A1946" t="s">
        <v>557</v>
      </c>
      <c r="B1946">
        <v>24259</v>
      </c>
      <c r="C1946" t="s">
        <v>4875</v>
      </c>
      <c r="D1946" t="s">
        <v>459</v>
      </c>
      <c r="E1946">
        <v>76.11</v>
      </c>
      <c r="F1946">
        <v>6179.31</v>
      </c>
      <c r="G1946">
        <v>81.19</v>
      </c>
    </row>
    <row r="1947" spans="1:7" x14ac:dyDescent="0.3">
      <c r="A1947" t="s">
        <v>557</v>
      </c>
      <c r="B1947">
        <v>27410</v>
      </c>
      <c r="C1947" t="s">
        <v>5390</v>
      </c>
      <c r="D1947" t="s">
        <v>459</v>
      </c>
      <c r="E1947">
        <v>1</v>
      </c>
      <c r="F1947">
        <v>4.8</v>
      </c>
      <c r="G1947">
        <v>4.8</v>
      </c>
    </row>
    <row r="1948" spans="1:7" x14ac:dyDescent="0.3">
      <c r="A1948" t="s">
        <v>557</v>
      </c>
      <c r="B1948">
        <v>20224</v>
      </c>
      <c r="C1948" t="s">
        <v>5118</v>
      </c>
      <c r="D1948" t="s">
        <v>459</v>
      </c>
      <c r="E1948">
        <v>0.5</v>
      </c>
      <c r="F1948">
        <v>26</v>
      </c>
      <c r="G1948">
        <v>52</v>
      </c>
    </row>
    <row r="1949" spans="1:7" x14ac:dyDescent="0.3">
      <c r="A1949" t="s">
        <v>557</v>
      </c>
      <c r="B1949">
        <v>25777</v>
      </c>
      <c r="C1949" t="s">
        <v>4774</v>
      </c>
      <c r="D1949" t="s">
        <v>459</v>
      </c>
      <c r="E1949">
        <v>77.42</v>
      </c>
      <c r="F1949">
        <v>6580.7</v>
      </c>
      <c r="G1949">
        <v>85</v>
      </c>
    </row>
    <row r="1950" spans="1:7" x14ac:dyDescent="0.3">
      <c r="A1950" t="s">
        <v>557</v>
      </c>
      <c r="B1950">
        <v>24278</v>
      </c>
      <c r="C1950" t="s">
        <v>4901</v>
      </c>
      <c r="D1950" t="s">
        <v>459</v>
      </c>
      <c r="E1950">
        <v>5.2</v>
      </c>
      <c r="F1950">
        <v>67.08</v>
      </c>
      <c r="G1950">
        <v>12.9</v>
      </c>
    </row>
    <row r="1951" spans="1:7" x14ac:dyDescent="0.3">
      <c r="A1951" t="s">
        <v>557</v>
      </c>
      <c r="B1951">
        <v>19765</v>
      </c>
      <c r="C1951" t="s">
        <v>4889</v>
      </c>
      <c r="D1951" t="s">
        <v>459</v>
      </c>
      <c r="E1951">
        <v>4</v>
      </c>
      <c r="F1951">
        <v>136.32</v>
      </c>
      <c r="G1951">
        <v>34.08</v>
      </c>
    </row>
    <row r="1952" spans="1:7" x14ac:dyDescent="0.3">
      <c r="A1952" t="s">
        <v>557</v>
      </c>
      <c r="B1952">
        <v>23968</v>
      </c>
      <c r="C1952" t="s">
        <v>5418</v>
      </c>
      <c r="D1952" t="s">
        <v>459</v>
      </c>
      <c r="E1952">
        <v>21.41</v>
      </c>
      <c r="F1952">
        <v>768.62</v>
      </c>
      <c r="G1952">
        <v>35.9</v>
      </c>
    </row>
    <row r="1953" spans="1:7" x14ac:dyDescent="0.3">
      <c r="A1953" t="s">
        <v>557</v>
      </c>
      <c r="B1953">
        <v>19003</v>
      </c>
      <c r="C1953" t="s">
        <v>4810</v>
      </c>
      <c r="D1953" t="s">
        <v>459</v>
      </c>
      <c r="E1953">
        <v>96.1</v>
      </c>
      <c r="F1953">
        <v>2615.29</v>
      </c>
      <c r="G1953">
        <v>27.21</v>
      </c>
    </row>
    <row r="1954" spans="1:7" x14ac:dyDescent="0.3">
      <c r="A1954" t="s">
        <v>557</v>
      </c>
      <c r="B1954">
        <v>24497</v>
      </c>
      <c r="C1954" t="s">
        <v>5231</v>
      </c>
      <c r="D1954" t="s">
        <v>459</v>
      </c>
      <c r="E1954">
        <v>3</v>
      </c>
      <c r="F1954">
        <v>417.06</v>
      </c>
      <c r="G1954">
        <v>139.02000000000001</v>
      </c>
    </row>
    <row r="1955" spans="1:7" x14ac:dyDescent="0.3">
      <c r="A1955" t="s">
        <v>557</v>
      </c>
      <c r="B1955">
        <v>23970</v>
      </c>
      <c r="C1955" t="s">
        <v>5385</v>
      </c>
      <c r="D1955" t="s">
        <v>459</v>
      </c>
      <c r="E1955">
        <v>2</v>
      </c>
      <c r="F1955">
        <v>25</v>
      </c>
      <c r="G1955">
        <v>12.5</v>
      </c>
    </row>
    <row r="1956" spans="1:7" x14ac:dyDescent="0.3">
      <c r="A1956" t="s">
        <v>557</v>
      </c>
      <c r="B1956">
        <v>23974</v>
      </c>
      <c r="C1956" t="s">
        <v>4862</v>
      </c>
      <c r="D1956" t="s">
        <v>459</v>
      </c>
      <c r="E1956">
        <v>7</v>
      </c>
      <c r="F1956">
        <v>393.12</v>
      </c>
      <c r="G1956">
        <v>56.16</v>
      </c>
    </row>
    <row r="1957" spans="1:7" x14ac:dyDescent="0.3">
      <c r="A1957" t="s">
        <v>557</v>
      </c>
      <c r="B1957">
        <v>19607</v>
      </c>
      <c r="C1957" t="s">
        <v>4981</v>
      </c>
      <c r="D1957" t="s">
        <v>459</v>
      </c>
      <c r="E1957">
        <v>0.6</v>
      </c>
      <c r="F1957">
        <v>9.75</v>
      </c>
      <c r="G1957">
        <v>16.25</v>
      </c>
    </row>
    <row r="1958" spans="1:7" x14ac:dyDescent="0.3">
      <c r="A1958" t="s">
        <v>557</v>
      </c>
      <c r="B1958">
        <v>18359</v>
      </c>
      <c r="C1958" t="s">
        <v>4921</v>
      </c>
      <c r="D1958" t="s">
        <v>459</v>
      </c>
      <c r="E1958">
        <v>3</v>
      </c>
      <c r="F1958">
        <v>303</v>
      </c>
      <c r="G1958">
        <v>101</v>
      </c>
    </row>
    <row r="1959" spans="1:7" x14ac:dyDescent="0.3">
      <c r="A1959" t="s">
        <v>557</v>
      </c>
      <c r="B1959">
        <v>21021</v>
      </c>
      <c r="C1959" t="s">
        <v>4883</v>
      </c>
      <c r="D1959" t="s">
        <v>459</v>
      </c>
      <c r="E1959">
        <v>8</v>
      </c>
      <c r="F1959">
        <v>1441</v>
      </c>
      <c r="G1959">
        <v>180.13</v>
      </c>
    </row>
    <row r="1960" spans="1:7" x14ac:dyDescent="0.3">
      <c r="A1960" t="s">
        <v>557</v>
      </c>
      <c r="B1960">
        <v>21024</v>
      </c>
      <c r="C1960" t="s">
        <v>5403</v>
      </c>
      <c r="D1960" t="s">
        <v>459</v>
      </c>
      <c r="E1960">
        <v>3</v>
      </c>
      <c r="F1960">
        <v>525.6</v>
      </c>
      <c r="G1960">
        <v>175.2</v>
      </c>
    </row>
    <row r="1961" spans="1:7" x14ac:dyDescent="0.3">
      <c r="A1961" t="s">
        <v>557</v>
      </c>
      <c r="B1961">
        <v>27557</v>
      </c>
      <c r="C1961" t="s">
        <v>5409</v>
      </c>
      <c r="D1961" t="s">
        <v>459</v>
      </c>
      <c r="E1961">
        <v>1</v>
      </c>
      <c r="F1961">
        <v>12.9</v>
      </c>
      <c r="G1961">
        <v>12.9</v>
      </c>
    </row>
    <row r="1962" spans="1:7" x14ac:dyDescent="0.3">
      <c r="A1962" t="s">
        <v>557</v>
      </c>
      <c r="B1962">
        <v>17905</v>
      </c>
      <c r="C1962" t="s">
        <v>5085</v>
      </c>
      <c r="D1962" t="s">
        <v>459</v>
      </c>
      <c r="E1962">
        <v>37</v>
      </c>
      <c r="F1962">
        <v>850.09</v>
      </c>
      <c r="G1962">
        <v>22.98</v>
      </c>
    </row>
    <row r="1963" spans="1:7" x14ac:dyDescent="0.3">
      <c r="A1963" t="s">
        <v>557</v>
      </c>
      <c r="B1963">
        <v>17903</v>
      </c>
      <c r="C1963" t="s">
        <v>5084</v>
      </c>
      <c r="D1963" t="s">
        <v>459</v>
      </c>
      <c r="E1963">
        <v>21</v>
      </c>
      <c r="F1963">
        <v>419.37</v>
      </c>
      <c r="G1963">
        <v>19.97</v>
      </c>
    </row>
    <row r="1964" spans="1:7" x14ac:dyDescent="0.3">
      <c r="A1964" t="s">
        <v>557</v>
      </c>
      <c r="B1964">
        <v>24789</v>
      </c>
      <c r="C1964" t="s">
        <v>5408</v>
      </c>
      <c r="D1964" t="s">
        <v>459</v>
      </c>
      <c r="E1964">
        <v>1</v>
      </c>
      <c r="F1964">
        <v>320</v>
      </c>
      <c r="G1964">
        <v>320</v>
      </c>
    </row>
    <row r="1965" spans="1:7" x14ac:dyDescent="0.3">
      <c r="A1965" t="s">
        <v>557</v>
      </c>
      <c r="B1965">
        <v>24788</v>
      </c>
      <c r="C1965" t="s">
        <v>5407</v>
      </c>
      <c r="D1965" t="s">
        <v>459</v>
      </c>
      <c r="E1965">
        <v>2</v>
      </c>
      <c r="F1965">
        <v>640</v>
      </c>
      <c r="G1965">
        <v>320</v>
      </c>
    </row>
    <row r="1966" spans="1:7" x14ac:dyDescent="0.3">
      <c r="A1966" t="s">
        <v>557</v>
      </c>
      <c r="B1966">
        <v>27657</v>
      </c>
      <c r="C1966" t="s">
        <v>5137</v>
      </c>
      <c r="D1966" t="s">
        <v>459</v>
      </c>
      <c r="E1966">
        <v>9.92</v>
      </c>
      <c r="F1966">
        <v>396.3</v>
      </c>
      <c r="G1966">
        <v>39.950000000000003</v>
      </c>
    </row>
    <row r="1967" spans="1:7" x14ac:dyDescent="0.3">
      <c r="A1967" t="s">
        <v>557</v>
      </c>
      <c r="B1967">
        <v>19480</v>
      </c>
      <c r="C1967" t="s">
        <v>5119</v>
      </c>
      <c r="D1967" t="s">
        <v>459</v>
      </c>
      <c r="E1967">
        <v>3.4</v>
      </c>
      <c r="F1967">
        <v>46.85</v>
      </c>
      <c r="G1967">
        <v>13.78</v>
      </c>
    </row>
    <row r="1968" spans="1:7" x14ac:dyDescent="0.3">
      <c r="A1968" t="s">
        <v>557</v>
      </c>
      <c r="B1968">
        <v>19241</v>
      </c>
      <c r="C1968" t="s">
        <v>4890</v>
      </c>
      <c r="D1968" t="s">
        <v>459</v>
      </c>
      <c r="E1968">
        <v>3</v>
      </c>
      <c r="F1968">
        <v>11.25</v>
      </c>
      <c r="G1968">
        <v>3.75</v>
      </c>
    </row>
    <row r="1969" spans="1:7" x14ac:dyDescent="0.3">
      <c r="A1969" t="s">
        <v>557</v>
      </c>
      <c r="B1969">
        <v>20057</v>
      </c>
      <c r="C1969" t="s">
        <v>4949</v>
      </c>
      <c r="D1969" t="s">
        <v>459</v>
      </c>
      <c r="E1969">
        <v>1</v>
      </c>
      <c r="F1969">
        <v>41.99</v>
      </c>
      <c r="G1969">
        <v>41.99</v>
      </c>
    </row>
    <row r="1970" spans="1:7" x14ac:dyDescent="0.3">
      <c r="A1970" t="s">
        <v>557</v>
      </c>
      <c r="B1970">
        <v>23365</v>
      </c>
      <c r="C1970" t="s">
        <v>5108</v>
      </c>
      <c r="D1970" t="s">
        <v>459</v>
      </c>
      <c r="E1970">
        <v>2.5</v>
      </c>
      <c r="F1970">
        <v>58.5</v>
      </c>
      <c r="G1970">
        <v>23.4</v>
      </c>
    </row>
    <row r="1971" spans="1:7" x14ac:dyDescent="0.3">
      <c r="A1971" t="s">
        <v>557</v>
      </c>
      <c r="B1971">
        <v>24320</v>
      </c>
      <c r="C1971" t="s">
        <v>4861</v>
      </c>
      <c r="D1971" t="s">
        <v>459</v>
      </c>
      <c r="E1971">
        <v>13</v>
      </c>
      <c r="F1971">
        <v>439.4</v>
      </c>
      <c r="G1971">
        <v>33.799999999999997</v>
      </c>
    </row>
    <row r="1972" spans="1:7" x14ac:dyDescent="0.3">
      <c r="A1972" t="s">
        <v>557</v>
      </c>
      <c r="B1972">
        <v>23361</v>
      </c>
      <c r="C1972" t="s">
        <v>4754</v>
      </c>
      <c r="D1972" t="s">
        <v>459</v>
      </c>
      <c r="E1972">
        <v>205</v>
      </c>
      <c r="F1972">
        <v>634.1</v>
      </c>
      <c r="G1972">
        <v>3.09</v>
      </c>
    </row>
    <row r="1973" spans="1:7" x14ac:dyDescent="0.3">
      <c r="A1973" t="s">
        <v>557</v>
      </c>
      <c r="B1973">
        <v>20657</v>
      </c>
      <c r="C1973" t="s">
        <v>5109</v>
      </c>
      <c r="D1973" t="s">
        <v>459</v>
      </c>
      <c r="E1973">
        <v>9</v>
      </c>
      <c r="F1973">
        <v>57.24</v>
      </c>
      <c r="G1973">
        <v>6.36</v>
      </c>
    </row>
    <row r="1974" spans="1:7" x14ac:dyDescent="0.3">
      <c r="A1974" t="s">
        <v>557</v>
      </c>
      <c r="B1974">
        <v>20660</v>
      </c>
      <c r="C1974" t="s">
        <v>5011</v>
      </c>
      <c r="D1974" t="s">
        <v>459</v>
      </c>
      <c r="E1974">
        <v>4</v>
      </c>
      <c r="F1974">
        <v>239.58</v>
      </c>
      <c r="G1974">
        <v>59.9</v>
      </c>
    </row>
    <row r="1975" spans="1:7" x14ac:dyDescent="0.3">
      <c r="A1975" t="s">
        <v>557</v>
      </c>
      <c r="B1975">
        <v>20661</v>
      </c>
      <c r="C1975" t="s">
        <v>5012</v>
      </c>
      <c r="D1975" t="s">
        <v>459</v>
      </c>
      <c r="E1975">
        <v>6</v>
      </c>
      <c r="F1975">
        <v>53.28</v>
      </c>
      <c r="G1975">
        <v>8.8800000000000008</v>
      </c>
    </row>
    <row r="1976" spans="1:7" x14ac:dyDescent="0.3">
      <c r="A1976" t="s">
        <v>557</v>
      </c>
      <c r="B1976">
        <v>20653</v>
      </c>
      <c r="C1976" t="s">
        <v>5013</v>
      </c>
      <c r="D1976" t="s">
        <v>459</v>
      </c>
      <c r="E1976">
        <v>2</v>
      </c>
      <c r="F1976">
        <v>49.4</v>
      </c>
      <c r="G1976">
        <v>24.7</v>
      </c>
    </row>
    <row r="1977" spans="1:7" x14ac:dyDescent="0.3">
      <c r="A1977" t="s">
        <v>557</v>
      </c>
      <c r="B1977">
        <v>19434</v>
      </c>
      <c r="C1977" t="s">
        <v>5078</v>
      </c>
      <c r="D1977" t="s">
        <v>459</v>
      </c>
      <c r="E1977">
        <v>2</v>
      </c>
      <c r="F1977">
        <v>47.96</v>
      </c>
      <c r="G1977">
        <v>23.98</v>
      </c>
    </row>
    <row r="1978" spans="1:7" x14ac:dyDescent="0.3">
      <c r="A1978" t="s">
        <v>557</v>
      </c>
      <c r="B1978">
        <v>19421</v>
      </c>
      <c r="C1978" t="s">
        <v>4918</v>
      </c>
      <c r="D1978" t="s">
        <v>459</v>
      </c>
      <c r="E1978">
        <v>7</v>
      </c>
      <c r="F1978">
        <v>370.98</v>
      </c>
      <c r="G1978">
        <v>53</v>
      </c>
    </row>
    <row r="1979" spans="1:7" x14ac:dyDescent="0.3">
      <c r="A1979" t="s">
        <v>557</v>
      </c>
      <c r="B1979">
        <v>24322</v>
      </c>
      <c r="C1979" t="s">
        <v>5064</v>
      </c>
      <c r="D1979" t="s">
        <v>459</v>
      </c>
      <c r="E1979">
        <v>3</v>
      </c>
      <c r="F1979">
        <v>66</v>
      </c>
      <c r="G1979">
        <v>22</v>
      </c>
    </row>
    <row r="1980" spans="1:7" x14ac:dyDescent="0.3">
      <c r="A1980" t="s">
        <v>557</v>
      </c>
      <c r="B1980">
        <v>18327</v>
      </c>
      <c r="C1980" t="s">
        <v>5035</v>
      </c>
      <c r="D1980" t="s">
        <v>459</v>
      </c>
      <c r="E1980">
        <v>1</v>
      </c>
      <c r="F1980">
        <v>105.9</v>
      </c>
      <c r="G1980">
        <v>105.9</v>
      </c>
    </row>
    <row r="1981" spans="1:7" x14ac:dyDescent="0.3">
      <c r="A1981" t="s">
        <v>557</v>
      </c>
      <c r="B1981">
        <v>19752</v>
      </c>
      <c r="C1981" t="s">
        <v>4807</v>
      </c>
      <c r="D1981" t="s">
        <v>459</v>
      </c>
      <c r="E1981">
        <v>2</v>
      </c>
      <c r="F1981">
        <v>40</v>
      </c>
      <c r="G1981">
        <v>20</v>
      </c>
    </row>
    <row r="1982" spans="1:7" x14ac:dyDescent="0.3">
      <c r="A1982" t="s">
        <v>557</v>
      </c>
      <c r="B1982">
        <v>19751</v>
      </c>
      <c r="C1982" t="s">
        <v>4800</v>
      </c>
      <c r="D1982" t="s">
        <v>459</v>
      </c>
      <c r="E1982">
        <v>19.7</v>
      </c>
      <c r="F1982">
        <v>223.96</v>
      </c>
      <c r="G1982">
        <v>11.37</v>
      </c>
    </row>
    <row r="1983" spans="1:7" x14ac:dyDescent="0.3">
      <c r="A1983" t="s">
        <v>557</v>
      </c>
      <c r="B1983">
        <v>23359</v>
      </c>
      <c r="C1983" t="s">
        <v>4767</v>
      </c>
      <c r="D1983" t="s">
        <v>459</v>
      </c>
      <c r="E1983">
        <v>121</v>
      </c>
      <c r="F1983">
        <v>357.9</v>
      </c>
      <c r="G1983">
        <v>2.96</v>
      </c>
    </row>
    <row r="1984" spans="1:7" x14ac:dyDescent="0.3">
      <c r="A1984" t="s">
        <v>557</v>
      </c>
      <c r="B1984">
        <v>17182</v>
      </c>
      <c r="C1984" t="s">
        <v>5201</v>
      </c>
      <c r="D1984" t="s">
        <v>459</v>
      </c>
      <c r="E1984">
        <v>1</v>
      </c>
      <c r="F1984">
        <v>42</v>
      </c>
      <c r="G1984">
        <v>42</v>
      </c>
    </row>
    <row r="1985" spans="1:7" x14ac:dyDescent="0.3">
      <c r="A1985" t="s">
        <v>557</v>
      </c>
      <c r="B1985">
        <v>20544</v>
      </c>
      <c r="C1985" t="s">
        <v>4808</v>
      </c>
      <c r="D1985" t="s">
        <v>459</v>
      </c>
      <c r="E1985">
        <v>9</v>
      </c>
      <c r="F1985">
        <v>1931.22</v>
      </c>
      <c r="G1985">
        <v>214.58</v>
      </c>
    </row>
    <row r="1986" spans="1:7" x14ac:dyDescent="0.3">
      <c r="A1986" t="s">
        <v>557</v>
      </c>
      <c r="B1986">
        <v>24339</v>
      </c>
      <c r="C1986" t="s">
        <v>4885</v>
      </c>
      <c r="D1986" t="s">
        <v>459</v>
      </c>
      <c r="E1986">
        <v>7.5</v>
      </c>
      <c r="F1986">
        <v>239.75</v>
      </c>
      <c r="G1986">
        <v>31.97</v>
      </c>
    </row>
    <row r="1987" spans="1:7" x14ac:dyDescent="0.3">
      <c r="A1987" t="s">
        <v>557</v>
      </c>
      <c r="B1987">
        <v>20501</v>
      </c>
      <c r="C1987" t="s">
        <v>4760</v>
      </c>
      <c r="D1987" t="s">
        <v>459</v>
      </c>
      <c r="E1987">
        <v>85</v>
      </c>
      <c r="F1987">
        <v>1899</v>
      </c>
      <c r="G1987">
        <v>22.34</v>
      </c>
    </row>
    <row r="1988" spans="1:7" x14ac:dyDescent="0.3">
      <c r="A1988" t="s">
        <v>557</v>
      </c>
      <c r="B1988">
        <v>17017</v>
      </c>
      <c r="C1988" t="s">
        <v>5199</v>
      </c>
      <c r="D1988" t="s">
        <v>459</v>
      </c>
      <c r="E1988">
        <v>1</v>
      </c>
      <c r="F1988">
        <v>2.95</v>
      </c>
      <c r="G1988">
        <v>2.95</v>
      </c>
    </row>
    <row r="1989" spans="1:7" x14ac:dyDescent="0.3">
      <c r="A1989" t="s">
        <v>557</v>
      </c>
      <c r="B1989">
        <v>17504</v>
      </c>
      <c r="C1989" t="s">
        <v>5260</v>
      </c>
      <c r="D1989" t="s">
        <v>459</v>
      </c>
      <c r="E1989">
        <v>1</v>
      </c>
      <c r="F1989">
        <v>22.68</v>
      </c>
      <c r="G1989">
        <v>22.68</v>
      </c>
    </row>
    <row r="1990" spans="1:7" x14ac:dyDescent="0.3">
      <c r="A1990" t="s">
        <v>557</v>
      </c>
      <c r="B1990">
        <v>23349</v>
      </c>
      <c r="C1990" t="s">
        <v>4988</v>
      </c>
      <c r="D1990" t="s">
        <v>459</v>
      </c>
      <c r="E1990">
        <v>3.91</v>
      </c>
      <c r="F1990">
        <v>50.53</v>
      </c>
      <c r="G1990">
        <v>12.92</v>
      </c>
    </row>
    <row r="1991" spans="1:7" x14ac:dyDescent="0.3">
      <c r="A1991" t="s">
        <v>557</v>
      </c>
      <c r="B1991">
        <v>19743</v>
      </c>
      <c r="C1991" t="s">
        <v>5047</v>
      </c>
      <c r="D1991" t="s">
        <v>459</v>
      </c>
      <c r="E1991">
        <v>4.05</v>
      </c>
      <c r="F1991">
        <v>57.84</v>
      </c>
      <c r="G1991">
        <v>14.28</v>
      </c>
    </row>
    <row r="1992" spans="1:7" x14ac:dyDescent="0.3">
      <c r="A1992" t="s">
        <v>557</v>
      </c>
      <c r="B1992">
        <v>20138</v>
      </c>
      <c r="C1992" t="s">
        <v>4886</v>
      </c>
      <c r="D1992" t="s">
        <v>459</v>
      </c>
      <c r="E1992">
        <v>8</v>
      </c>
      <c r="F1992">
        <v>41.2</v>
      </c>
      <c r="G1992">
        <v>5.15</v>
      </c>
    </row>
    <row r="1993" spans="1:7" x14ac:dyDescent="0.3">
      <c r="A1993" t="s">
        <v>557</v>
      </c>
      <c r="B1993">
        <v>25022</v>
      </c>
      <c r="C1993" t="s">
        <v>4912</v>
      </c>
      <c r="D1993" t="s">
        <v>459</v>
      </c>
      <c r="E1993">
        <v>17</v>
      </c>
      <c r="F1993">
        <v>62.9</v>
      </c>
      <c r="G1993">
        <v>3.7</v>
      </c>
    </row>
    <row r="1994" spans="1:7" x14ac:dyDescent="0.3">
      <c r="A1994" t="s">
        <v>557</v>
      </c>
      <c r="B1994">
        <v>27727</v>
      </c>
      <c r="C1994" t="s">
        <v>5416</v>
      </c>
      <c r="D1994" t="s">
        <v>459</v>
      </c>
      <c r="E1994">
        <v>1</v>
      </c>
      <c r="F1994">
        <v>48.29</v>
      </c>
      <c r="G1994">
        <v>48.29</v>
      </c>
    </row>
    <row r="1995" spans="1:7" x14ac:dyDescent="0.3">
      <c r="A1995" t="s">
        <v>557</v>
      </c>
      <c r="B1995">
        <v>20007</v>
      </c>
      <c r="C1995" t="s">
        <v>5101</v>
      </c>
      <c r="D1995" t="s">
        <v>459</v>
      </c>
      <c r="E1995">
        <v>14</v>
      </c>
      <c r="F1995">
        <v>687.7</v>
      </c>
      <c r="G1995">
        <v>49.12</v>
      </c>
    </row>
    <row r="1996" spans="1:7" x14ac:dyDescent="0.3">
      <c r="A1996" t="s">
        <v>557</v>
      </c>
      <c r="B1996">
        <v>19742</v>
      </c>
      <c r="C1996" t="s">
        <v>4900</v>
      </c>
      <c r="D1996" t="s">
        <v>459</v>
      </c>
      <c r="E1996">
        <v>6.5</v>
      </c>
      <c r="F1996">
        <v>68.63</v>
      </c>
      <c r="G1996">
        <v>10.56</v>
      </c>
    </row>
    <row r="1997" spans="1:7" x14ac:dyDescent="0.3">
      <c r="A1997" t="s">
        <v>557</v>
      </c>
      <c r="B1997">
        <v>23228</v>
      </c>
      <c r="C1997" t="s">
        <v>4782</v>
      </c>
      <c r="D1997" t="s">
        <v>459</v>
      </c>
      <c r="E1997">
        <v>50</v>
      </c>
      <c r="F1997">
        <v>336.02</v>
      </c>
      <c r="G1997">
        <v>6.72</v>
      </c>
    </row>
    <row r="1998" spans="1:7" x14ac:dyDescent="0.3">
      <c r="A1998" t="s">
        <v>557</v>
      </c>
      <c r="B1998">
        <v>23346</v>
      </c>
      <c r="C1998" t="s">
        <v>4916</v>
      </c>
      <c r="D1998" t="s">
        <v>459</v>
      </c>
      <c r="E1998">
        <v>10.6</v>
      </c>
      <c r="F1998">
        <v>73.53</v>
      </c>
      <c r="G1998">
        <v>6.94</v>
      </c>
    </row>
    <row r="1999" spans="1:7" x14ac:dyDescent="0.3">
      <c r="A1999" t="s">
        <v>557</v>
      </c>
      <c r="B1999">
        <v>19476</v>
      </c>
      <c r="C1999" t="s">
        <v>5115</v>
      </c>
      <c r="D1999" t="s">
        <v>459</v>
      </c>
      <c r="E1999">
        <v>2</v>
      </c>
      <c r="F1999">
        <v>138.57</v>
      </c>
      <c r="G1999">
        <v>69.290000000000006</v>
      </c>
    </row>
    <row r="2000" spans="1:7" x14ac:dyDescent="0.3">
      <c r="A2000" t="s">
        <v>557</v>
      </c>
      <c r="B2000">
        <v>23088</v>
      </c>
      <c r="C2000" t="s">
        <v>5027</v>
      </c>
      <c r="D2000" t="s">
        <v>459</v>
      </c>
      <c r="E2000">
        <v>4</v>
      </c>
      <c r="F2000">
        <v>101.18</v>
      </c>
      <c r="G2000">
        <v>25.3</v>
      </c>
    </row>
    <row r="2001" spans="1:7" x14ac:dyDescent="0.3">
      <c r="A2001" t="s">
        <v>557</v>
      </c>
      <c r="B2001">
        <v>19224</v>
      </c>
      <c r="C2001" t="s">
        <v>5100</v>
      </c>
      <c r="D2001" t="s">
        <v>459</v>
      </c>
      <c r="E2001">
        <v>7</v>
      </c>
      <c r="F2001">
        <v>1731.7</v>
      </c>
      <c r="G2001">
        <v>247.39</v>
      </c>
    </row>
    <row r="2002" spans="1:7" x14ac:dyDescent="0.3">
      <c r="A2002" t="s">
        <v>557</v>
      </c>
      <c r="B2002">
        <v>19740</v>
      </c>
      <c r="C2002" t="s">
        <v>4779</v>
      </c>
      <c r="D2002" t="s">
        <v>459</v>
      </c>
      <c r="E2002">
        <v>68</v>
      </c>
      <c r="F2002">
        <v>829.89</v>
      </c>
      <c r="G2002">
        <v>12.2</v>
      </c>
    </row>
    <row r="2003" spans="1:7" x14ac:dyDescent="0.3">
      <c r="A2003" t="s">
        <v>557</v>
      </c>
      <c r="B2003">
        <v>19415</v>
      </c>
      <c r="C2003" t="s">
        <v>4919</v>
      </c>
      <c r="D2003" t="s">
        <v>459</v>
      </c>
      <c r="E2003">
        <v>10</v>
      </c>
      <c r="F2003">
        <v>96.5</v>
      </c>
      <c r="G2003">
        <v>9.65</v>
      </c>
    </row>
    <row r="2004" spans="1:7" x14ac:dyDescent="0.3">
      <c r="A2004" t="s">
        <v>557</v>
      </c>
      <c r="B2004">
        <v>17474</v>
      </c>
      <c r="C2004" t="s">
        <v>5213</v>
      </c>
      <c r="D2004" t="s">
        <v>459</v>
      </c>
      <c r="E2004">
        <v>2</v>
      </c>
      <c r="F2004">
        <v>156</v>
      </c>
      <c r="G2004">
        <v>78</v>
      </c>
    </row>
    <row r="2005" spans="1:7" x14ac:dyDescent="0.3">
      <c r="A2005" t="s">
        <v>557</v>
      </c>
      <c r="B2005">
        <v>17473</v>
      </c>
      <c r="C2005" t="s">
        <v>5256</v>
      </c>
      <c r="D2005" t="s">
        <v>459</v>
      </c>
      <c r="E2005">
        <v>2</v>
      </c>
      <c r="F2005">
        <v>176</v>
      </c>
      <c r="G2005">
        <v>88</v>
      </c>
    </row>
    <row r="2006" spans="1:7" x14ac:dyDescent="0.3">
      <c r="A2006" t="s">
        <v>557</v>
      </c>
      <c r="B2006">
        <v>24351</v>
      </c>
      <c r="C2006" t="s">
        <v>5014</v>
      </c>
      <c r="D2006" t="s">
        <v>459</v>
      </c>
      <c r="E2006">
        <v>62</v>
      </c>
      <c r="F2006">
        <v>900</v>
      </c>
      <c r="G2006">
        <v>14.52</v>
      </c>
    </row>
    <row r="2007" spans="1:7" x14ac:dyDescent="0.3">
      <c r="A2007" t="s">
        <v>557</v>
      </c>
      <c r="B2007">
        <v>20122</v>
      </c>
      <c r="C2007" t="s">
        <v>4781</v>
      </c>
      <c r="D2007" t="s">
        <v>459</v>
      </c>
      <c r="E2007">
        <v>11</v>
      </c>
      <c r="F2007">
        <v>160.6</v>
      </c>
      <c r="G2007">
        <v>14.6</v>
      </c>
    </row>
    <row r="2008" spans="1:7" x14ac:dyDescent="0.3">
      <c r="A2008" t="s">
        <v>557</v>
      </c>
      <c r="B2008">
        <v>20105</v>
      </c>
      <c r="C2008" t="s">
        <v>4831</v>
      </c>
      <c r="D2008" t="s">
        <v>459</v>
      </c>
      <c r="E2008">
        <v>13</v>
      </c>
      <c r="F2008">
        <v>341.77</v>
      </c>
      <c r="G2008">
        <v>26.29</v>
      </c>
    </row>
    <row r="2009" spans="1:7" x14ac:dyDescent="0.3">
      <c r="A2009" t="s">
        <v>557</v>
      </c>
      <c r="B2009">
        <v>20887</v>
      </c>
      <c r="C2009" t="s">
        <v>4953</v>
      </c>
      <c r="D2009" t="s">
        <v>459</v>
      </c>
      <c r="E2009">
        <v>12</v>
      </c>
      <c r="F2009">
        <v>412.6</v>
      </c>
      <c r="G2009">
        <v>34.380000000000003</v>
      </c>
    </row>
    <row r="2010" spans="1:7" x14ac:dyDescent="0.3">
      <c r="A2010" t="s">
        <v>557</v>
      </c>
      <c r="B2010">
        <v>20871</v>
      </c>
      <c r="C2010" t="s">
        <v>5015</v>
      </c>
      <c r="D2010" t="s">
        <v>459</v>
      </c>
      <c r="E2010">
        <v>1</v>
      </c>
      <c r="F2010">
        <v>18.899999999999999</v>
      </c>
      <c r="G2010">
        <v>18.899999999999999</v>
      </c>
    </row>
    <row r="2011" spans="1:7" x14ac:dyDescent="0.3">
      <c r="A2011" t="s">
        <v>557</v>
      </c>
      <c r="B2011">
        <v>19737</v>
      </c>
      <c r="C2011" t="s">
        <v>4940</v>
      </c>
      <c r="D2011" t="s">
        <v>459</v>
      </c>
      <c r="E2011">
        <v>8</v>
      </c>
      <c r="F2011">
        <v>37.56</v>
      </c>
      <c r="G2011">
        <v>4.7</v>
      </c>
    </row>
    <row r="2012" spans="1:7" x14ac:dyDescent="0.3">
      <c r="A2012" t="s">
        <v>557</v>
      </c>
      <c r="B2012">
        <v>19734</v>
      </c>
      <c r="C2012" t="s">
        <v>4833</v>
      </c>
      <c r="D2012" t="s">
        <v>459</v>
      </c>
      <c r="E2012">
        <v>24.62</v>
      </c>
      <c r="F2012">
        <v>389.29</v>
      </c>
      <c r="G2012">
        <v>15.81</v>
      </c>
    </row>
    <row r="2013" spans="1:7" x14ac:dyDescent="0.3">
      <c r="A2013" t="s">
        <v>557</v>
      </c>
      <c r="B2013">
        <v>20644</v>
      </c>
      <c r="C2013" t="s">
        <v>5016</v>
      </c>
      <c r="D2013" t="s">
        <v>459</v>
      </c>
      <c r="E2013">
        <v>7</v>
      </c>
      <c r="F2013">
        <v>27.39</v>
      </c>
      <c r="G2013">
        <v>3.91</v>
      </c>
    </row>
    <row r="2014" spans="1:7" x14ac:dyDescent="0.3">
      <c r="A2014" t="s">
        <v>557</v>
      </c>
      <c r="B2014">
        <v>19979</v>
      </c>
      <c r="C2014" t="s">
        <v>5270</v>
      </c>
      <c r="D2014" t="s">
        <v>459</v>
      </c>
      <c r="E2014">
        <v>5</v>
      </c>
      <c r="F2014">
        <v>109.5</v>
      </c>
      <c r="G2014">
        <v>21.9</v>
      </c>
    </row>
    <row r="2015" spans="1:7" x14ac:dyDescent="0.3">
      <c r="A2015" t="s">
        <v>557</v>
      </c>
      <c r="B2015">
        <v>19983</v>
      </c>
      <c r="C2015" t="s">
        <v>5068</v>
      </c>
      <c r="D2015" t="s">
        <v>459</v>
      </c>
      <c r="E2015">
        <v>4</v>
      </c>
      <c r="F2015">
        <v>79.2</v>
      </c>
      <c r="G2015">
        <v>19.8</v>
      </c>
    </row>
    <row r="2016" spans="1:7" x14ac:dyDescent="0.3">
      <c r="A2016" t="s">
        <v>557</v>
      </c>
      <c r="B2016">
        <v>19969</v>
      </c>
      <c r="C2016" t="s">
        <v>5018</v>
      </c>
      <c r="D2016" t="s">
        <v>459</v>
      </c>
      <c r="E2016">
        <v>2</v>
      </c>
      <c r="F2016">
        <v>20.2</v>
      </c>
      <c r="G2016">
        <v>10.1</v>
      </c>
    </row>
    <row r="2017" spans="1:7" x14ac:dyDescent="0.3">
      <c r="A2017" t="s">
        <v>557</v>
      </c>
      <c r="B2017">
        <v>23335</v>
      </c>
      <c r="C2017" t="s">
        <v>4961</v>
      </c>
      <c r="D2017" t="s">
        <v>459</v>
      </c>
      <c r="E2017">
        <v>3.7</v>
      </c>
      <c r="F2017">
        <v>94.7</v>
      </c>
      <c r="G2017">
        <v>25.59</v>
      </c>
    </row>
    <row r="2018" spans="1:7" x14ac:dyDescent="0.3">
      <c r="A2018" t="s">
        <v>557</v>
      </c>
      <c r="B2018">
        <v>19967</v>
      </c>
      <c r="C2018" t="s">
        <v>4956</v>
      </c>
      <c r="D2018" t="s">
        <v>459</v>
      </c>
      <c r="E2018">
        <v>3</v>
      </c>
      <c r="F2018">
        <v>148.86000000000001</v>
      </c>
      <c r="G2018">
        <v>49.62</v>
      </c>
    </row>
    <row r="2019" spans="1:7" x14ac:dyDescent="0.3">
      <c r="A2019" t="s">
        <v>557</v>
      </c>
      <c r="B2019">
        <v>19965</v>
      </c>
      <c r="C2019" t="s">
        <v>5251</v>
      </c>
      <c r="D2019" t="s">
        <v>459</v>
      </c>
      <c r="E2019">
        <v>3</v>
      </c>
      <c r="F2019">
        <v>39.9</v>
      </c>
      <c r="G2019">
        <v>13.3</v>
      </c>
    </row>
    <row r="2020" spans="1:7" x14ac:dyDescent="0.3">
      <c r="A2020" t="s">
        <v>557</v>
      </c>
      <c r="B2020">
        <v>27123</v>
      </c>
      <c r="C2020" t="s">
        <v>5414</v>
      </c>
      <c r="D2020" t="s">
        <v>459</v>
      </c>
      <c r="E2020">
        <v>1</v>
      </c>
      <c r="F2020">
        <v>107.33</v>
      </c>
      <c r="G2020">
        <v>107.33</v>
      </c>
    </row>
    <row r="2021" spans="1:7" x14ac:dyDescent="0.3">
      <c r="A2021" t="s">
        <v>557</v>
      </c>
      <c r="B2021">
        <v>27397</v>
      </c>
      <c r="C2021" t="s">
        <v>4913</v>
      </c>
      <c r="D2021" t="s">
        <v>459</v>
      </c>
      <c r="E2021">
        <v>14</v>
      </c>
      <c r="F2021">
        <v>881.72</v>
      </c>
      <c r="G2021">
        <v>62.98</v>
      </c>
    </row>
    <row r="2022" spans="1:7" x14ac:dyDescent="0.3">
      <c r="A2022" t="s">
        <v>557</v>
      </c>
      <c r="B2022">
        <v>20984</v>
      </c>
      <c r="C2022" t="s">
        <v>5133</v>
      </c>
      <c r="D2022" t="s">
        <v>459</v>
      </c>
      <c r="E2022">
        <v>48</v>
      </c>
      <c r="F2022">
        <v>425.4</v>
      </c>
      <c r="G2022">
        <v>8.86</v>
      </c>
    </row>
    <row r="2023" spans="1:7" x14ac:dyDescent="0.3">
      <c r="A2023" t="s">
        <v>557</v>
      </c>
      <c r="B2023">
        <v>23096</v>
      </c>
      <c r="C2023" t="s">
        <v>5164</v>
      </c>
      <c r="D2023" t="s">
        <v>459</v>
      </c>
      <c r="E2023">
        <v>60</v>
      </c>
      <c r="F2023">
        <v>32.4</v>
      </c>
      <c r="G2023">
        <v>0.54</v>
      </c>
    </row>
    <row r="2024" spans="1:7" x14ac:dyDescent="0.3">
      <c r="A2024" t="s">
        <v>557</v>
      </c>
      <c r="B2024">
        <v>23095</v>
      </c>
      <c r="C2024" t="s">
        <v>4741</v>
      </c>
      <c r="D2024" t="s">
        <v>459</v>
      </c>
      <c r="E2024">
        <v>700</v>
      </c>
      <c r="F2024">
        <v>658.8</v>
      </c>
      <c r="G2024">
        <v>0.94</v>
      </c>
    </row>
    <row r="2025" spans="1:7" x14ac:dyDescent="0.3">
      <c r="A2025" t="s">
        <v>557</v>
      </c>
      <c r="B2025">
        <v>23785</v>
      </c>
      <c r="C2025" t="s">
        <v>4858</v>
      </c>
      <c r="D2025" t="s">
        <v>459</v>
      </c>
      <c r="E2025">
        <v>21</v>
      </c>
      <c r="F2025">
        <v>900</v>
      </c>
      <c r="G2025">
        <v>42.86</v>
      </c>
    </row>
    <row r="2026" spans="1:7" x14ac:dyDescent="0.3">
      <c r="A2026" t="s">
        <v>557</v>
      </c>
      <c r="B2026">
        <v>28246</v>
      </c>
      <c r="C2026" t="s">
        <v>5417</v>
      </c>
      <c r="D2026" t="s">
        <v>459</v>
      </c>
      <c r="E2026">
        <v>2</v>
      </c>
      <c r="F2026">
        <v>85.8</v>
      </c>
      <c r="G2026">
        <v>42.9</v>
      </c>
    </row>
    <row r="2027" spans="1:7" x14ac:dyDescent="0.3">
      <c r="A2027" t="s">
        <v>557</v>
      </c>
      <c r="B2027">
        <v>20623</v>
      </c>
      <c r="C2027" t="s">
        <v>4814</v>
      </c>
      <c r="D2027" t="s">
        <v>459</v>
      </c>
      <c r="E2027">
        <v>40</v>
      </c>
      <c r="F2027">
        <v>469.2</v>
      </c>
      <c r="G2027">
        <v>11.73</v>
      </c>
    </row>
    <row r="2028" spans="1:7" x14ac:dyDescent="0.3">
      <c r="A2028" t="s">
        <v>557</v>
      </c>
      <c r="B2028">
        <v>20624</v>
      </c>
      <c r="C2028" t="s">
        <v>5019</v>
      </c>
      <c r="D2028" t="s">
        <v>459</v>
      </c>
      <c r="E2028">
        <v>5</v>
      </c>
      <c r="F2028">
        <v>342.9</v>
      </c>
      <c r="G2028">
        <v>68.58</v>
      </c>
    </row>
    <row r="2029" spans="1:7" x14ac:dyDescent="0.3">
      <c r="A2029" t="s">
        <v>557</v>
      </c>
      <c r="B2029">
        <v>17162</v>
      </c>
      <c r="C2029" t="s">
        <v>5255</v>
      </c>
      <c r="D2029" t="s">
        <v>459</v>
      </c>
      <c r="E2029">
        <v>2</v>
      </c>
      <c r="F2029">
        <v>109.97</v>
      </c>
      <c r="G2029">
        <v>54.99</v>
      </c>
    </row>
    <row r="2030" spans="1:7" x14ac:dyDescent="0.3">
      <c r="A2030" t="s">
        <v>557</v>
      </c>
      <c r="B2030">
        <v>17046</v>
      </c>
      <c r="C2030" t="s">
        <v>5194</v>
      </c>
      <c r="D2030" t="s">
        <v>459</v>
      </c>
      <c r="E2030">
        <v>2</v>
      </c>
      <c r="F2030">
        <v>76</v>
      </c>
      <c r="G2030">
        <v>38</v>
      </c>
    </row>
    <row r="2031" spans="1:7" x14ac:dyDescent="0.3">
      <c r="A2031" t="s">
        <v>557</v>
      </c>
      <c r="B2031">
        <v>17333</v>
      </c>
      <c r="C2031" t="s">
        <v>5211</v>
      </c>
      <c r="D2031" t="s">
        <v>459</v>
      </c>
      <c r="E2031">
        <v>4</v>
      </c>
      <c r="F2031">
        <v>293.64</v>
      </c>
      <c r="G2031">
        <v>73.41</v>
      </c>
    </row>
    <row r="2032" spans="1:7" x14ac:dyDescent="0.3">
      <c r="A2032" t="s">
        <v>557</v>
      </c>
      <c r="B2032">
        <v>17341</v>
      </c>
      <c r="C2032" t="s">
        <v>5291</v>
      </c>
      <c r="D2032" t="s">
        <v>459</v>
      </c>
      <c r="E2032">
        <v>2</v>
      </c>
      <c r="F2032">
        <v>170</v>
      </c>
      <c r="G2032">
        <v>85</v>
      </c>
    </row>
    <row r="2033" spans="1:7" x14ac:dyDescent="0.3">
      <c r="A2033" t="s">
        <v>557</v>
      </c>
      <c r="B2033">
        <v>27798</v>
      </c>
      <c r="C2033" t="s">
        <v>5257</v>
      </c>
      <c r="D2033" t="s">
        <v>459</v>
      </c>
      <c r="E2033">
        <v>4</v>
      </c>
      <c r="F2033">
        <v>700</v>
      </c>
      <c r="G2033">
        <v>175</v>
      </c>
    </row>
    <row r="2034" spans="1:7" x14ac:dyDescent="0.3">
      <c r="A2034" t="s">
        <v>557</v>
      </c>
      <c r="B2034">
        <v>24758</v>
      </c>
      <c r="C2034" t="s">
        <v>5326</v>
      </c>
      <c r="D2034" t="s">
        <v>459</v>
      </c>
      <c r="E2034">
        <v>1</v>
      </c>
      <c r="F2034">
        <v>29.9</v>
      </c>
      <c r="G2034">
        <v>29.9</v>
      </c>
    </row>
    <row r="2035" spans="1:7" x14ac:dyDescent="0.3">
      <c r="A2035" t="s">
        <v>557</v>
      </c>
      <c r="B2035">
        <v>17418</v>
      </c>
      <c r="C2035" t="s">
        <v>5207</v>
      </c>
      <c r="D2035" t="s">
        <v>459</v>
      </c>
      <c r="E2035">
        <v>8</v>
      </c>
      <c r="F2035">
        <v>483.6</v>
      </c>
      <c r="G2035">
        <v>60.45</v>
      </c>
    </row>
    <row r="2036" spans="1:7" x14ac:dyDescent="0.3">
      <c r="A2036" t="s">
        <v>557</v>
      </c>
      <c r="B2036">
        <v>17416</v>
      </c>
      <c r="C2036" t="s">
        <v>5209</v>
      </c>
      <c r="D2036" t="s">
        <v>459</v>
      </c>
      <c r="E2036">
        <v>6</v>
      </c>
      <c r="F2036">
        <v>304.72000000000003</v>
      </c>
      <c r="G2036">
        <v>50.79</v>
      </c>
    </row>
    <row r="2037" spans="1:7" x14ac:dyDescent="0.3">
      <c r="A2037" t="s">
        <v>557</v>
      </c>
      <c r="B2037">
        <v>24505</v>
      </c>
      <c r="C2037" t="s">
        <v>5198</v>
      </c>
      <c r="D2037" t="s">
        <v>459</v>
      </c>
      <c r="E2037">
        <v>11</v>
      </c>
      <c r="F2037">
        <v>64.790000000000006</v>
      </c>
      <c r="G2037">
        <v>5.89</v>
      </c>
    </row>
    <row r="2038" spans="1:7" x14ac:dyDescent="0.3">
      <c r="A2038" t="s">
        <v>557</v>
      </c>
      <c r="B2038">
        <v>23502</v>
      </c>
      <c r="C2038" t="s">
        <v>4930</v>
      </c>
      <c r="D2038" t="s">
        <v>459</v>
      </c>
      <c r="E2038">
        <v>2</v>
      </c>
      <c r="F2038">
        <v>14.5</v>
      </c>
      <c r="G2038">
        <v>7.25</v>
      </c>
    </row>
    <row r="2039" spans="1:7" x14ac:dyDescent="0.3">
      <c r="A2039" t="s">
        <v>557</v>
      </c>
      <c r="B2039">
        <v>24403</v>
      </c>
      <c r="C2039" t="s">
        <v>5149</v>
      </c>
      <c r="D2039" t="s">
        <v>459</v>
      </c>
      <c r="E2039">
        <v>3</v>
      </c>
      <c r="F2039">
        <v>45.48</v>
      </c>
      <c r="G2039">
        <v>15.16</v>
      </c>
    </row>
    <row r="2040" spans="1:7" x14ac:dyDescent="0.3">
      <c r="A2040" t="s">
        <v>557</v>
      </c>
      <c r="B2040">
        <v>18996</v>
      </c>
      <c r="C2040" t="s">
        <v>5130</v>
      </c>
      <c r="D2040" t="s">
        <v>459</v>
      </c>
      <c r="E2040">
        <v>6</v>
      </c>
      <c r="F2040">
        <v>101.94</v>
      </c>
      <c r="G2040">
        <v>16.989999999999998</v>
      </c>
    </row>
    <row r="2041" spans="1:7" x14ac:dyDescent="0.3">
      <c r="A2041" t="s">
        <v>557</v>
      </c>
      <c r="B2041">
        <v>19589</v>
      </c>
      <c r="C2041" t="s">
        <v>4983</v>
      </c>
      <c r="D2041" t="s">
        <v>459</v>
      </c>
      <c r="E2041">
        <v>19.3</v>
      </c>
      <c r="F2041">
        <v>160.13</v>
      </c>
      <c r="G2041">
        <v>8.3000000000000007</v>
      </c>
    </row>
    <row r="2042" spans="1:7" x14ac:dyDescent="0.3">
      <c r="A2042" t="s">
        <v>557</v>
      </c>
      <c r="B2042">
        <v>17895</v>
      </c>
      <c r="C2042" t="s">
        <v>5086</v>
      </c>
      <c r="D2042" t="s">
        <v>459</v>
      </c>
      <c r="E2042">
        <v>8</v>
      </c>
      <c r="F2042">
        <v>184.48</v>
      </c>
      <c r="G2042">
        <v>23.06</v>
      </c>
    </row>
    <row r="2043" spans="1:7" x14ac:dyDescent="0.3">
      <c r="A2043" t="s">
        <v>557</v>
      </c>
      <c r="B2043">
        <v>17886</v>
      </c>
      <c r="C2043" t="s">
        <v>5083</v>
      </c>
      <c r="D2043" t="s">
        <v>459</v>
      </c>
      <c r="E2043">
        <v>48</v>
      </c>
      <c r="F2043">
        <v>1335.38</v>
      </c>
      <c r="G2043">
        <v>27.82</v>
      </c>
    </row>
    <row r="2044" spans="1:7" x14ac:dyDescent="0.3">
      <c r="A2044" t="s">
        <v>557</v>
      </c>
      <c r="B2044">
        <v>19728</v>
      </c>
      <c r="C2044" t="s">
        <v>5106</v>
      </c>
      <c r="D2044" t="s">
        <v>459</v>
      </c>
      <c r="E2044">
        <v>7.5</v>
      </c>
      <c r="F2044">
        <v>135.11000000000001</v>
      </c>
      <c r="G2044">
        <v>18.010000000000002</v>
      </c>
    </row>
    <row r="2045" spans="1:7" x14ac:dyDescent="0.3">
      <c r="A2045" t="s">
        <v>557</v>
      </c>
      <c r="B2045">
        <v>18735</v>
      </c>
      <c r="C2045" t="s">
        <v>4891</v>
      </c>
      <c r="D2045" t="s">
        <v>459</v>
      </c>
      <c r="E2045">
        <v>4</v>
      </c>
      <c r="F2045">
        <v>547.20000000000005</v>
      </c>
      <c r="G2045">
        <v>136.80000000000001</v>
      </c>
    </row>
    <row r="2046" spans="1:7" x14ac:dyDescent="0.3">
      <c r="A2046" t="s">
        <v>557</v>
      </c>
      <c r="B2046">
        <v>27726</v>
      </c>
      <c r="C2046" t="s">
        <v>5415</v>
      </c>
      <c r="D2046" t="s">
        <v>459</v>
      </c>
      <c r="E2046">
        <v>1</v>
      </c>
      <c r="F2046">
        <v>357</v>
      </c>
      <c r="G2046">
        <v>357</v>
      </c>
    </row>
    <row r="2047" spans="1:7" x14ac:dyDescent="0.3">
      <c r="A2047" t="s">
        <v>557</v>
      </c>
      <c r="B2047">
        <v>25783</v>
      </c>
      <c r="C2047" t="s">
        <v>5391</v>
      </c>
      <c r="D2047" t="s">
        <v>459</v>
      </c>
      <c r="E2047">
        <v>15</v>
      </c>
      <c r="F2047">
        <v>1650</v>
      </c>
      <c r="G2047">
        <v>110</v>
      </c>
    </row>
    <row r="2048" spans="1:7" x14ac:dyDescent="0.3">
      <c r="A2048" t="s">
        <v>557</v>
      </c>
      <c r="B2048">
        <v>18822</v>
      </c>
      <c r="C2048" t="s">
        <v>4811</v>
      </c>
      <c r="D2048" t="s">
        <v>459</v>
      </c>
      <c r="E2048">
        <v>45.04</v>
      </c>
      <c r="F2048">
        <v>5206.51</v>
      </c>
      <c r="G2048">
        <v>115.6</v>
      </c>
    </row>
    <row r="2049" spans="1:7" x14ac:dyDescent="0.3">
      <c r="A2049" t="s">
        <v>557</v>
      </c>
      <c r="B2049">
        <v>21548</v>
      </c>
      <c r="C2049" t="s">
        <v>5413</v>
      </c>
      <c r="D2049" t="s">
        <v>459</v>
      </c>
      <c r="E2049">
        <v>31.2</v>
      </c>
      <c r="F2049">
        <v>3432</v>
      </c>
      <c r="G2049">
        <v>110</v>
      </c>
    </row>
    <row r="2050" spans="1:7" x14ac:dyDescent="0.3">
      <c r="A2050" t="s">
        <v>557</v>
      </c>
      <c r="B2050">
        <v>19575</v>
      </c>
      <c r="C2050" t="s">
        <v>5120</v>
      </c>
      <c r="D2050" t="s">
        <v>459</v>
      </c>
      <c r="E2050">
        <v>0.8</v>
      </c>
      <c r="F2050">
        <v>22.5</v>
      </c>
      <c r="G2050">
        <v>28.13</v>
      </c>
    </row>
    <row r="2051" spans="1:7" x14ac:dyDescent="0.3">
      <c r="A2051" t="s">
        <v>557</v>
      </c>
      <c r="B2051">
        <v>19572</v>
      </c>
      <c r="C2051" t="s">
        <v>4989</v>
      </c>
      <c r="D2051" t="s">
        <v>459</v>
      </c>
      <c r="E2051">
        <v>6.8</v>
      </c>
      <c r="F2051">
        <v>114.5</v>
      </c>
      <c r="G2051">
        <v>16.84</v>
      </c>
    </row>
    <row r="2052" spans="1:7" x14ac:dyDescent="0.3">
      <c r="A2052" t="s">
        <v>557</v>
      </c>
      <c r="B2052">
        <v>19566</v>
      </c>
      <c r="C2052" t="s">
        <v>5371</v>
      </c>
      <c r="D2052" t="s">
        <v>459</v>
      </c>
      <c r="E2052">
        <v>0.5</v>
      </c>
      <c r="F2052">
        <v>25.38</v>
      </c>
      <c r="G2052">
        <v>50.76</v>
      </c>
    </row>
    <row r="2053" spans="1:7" x14ac:dyDescent="0.3">
      <c r="A2053" t="s">
        <v>557</v>
      </c>
      <c r="B2053">
        <v>19565</v>
      </c>
      <c r="C2053" t="s">
        <v>5252</v>
      </c>
      <c r="D2053" t="s">
        <v>459</v>
      </c>
      <c r="E2053">
        <v>0.5</v>
      </c>
      <c r="F2053">
        <v>24</v>
      </c>
      <c r="G2053">
        <v>48</v>
      </c>
    </row>
    <row r="2054" spans="1:7" x14ac:dyDescent="0.3">
      <c r="A2054" t="s">
        <v>557</v>
      </c>
      <c r="B2054">
        <v>19562</v>
      </c>
      <c r="C2054" t="s">
        <v>4939</v>
      </c>
      <c r="D2054" t="s">
        <v>459</v>
      </c>
      <c r="E2054">
        <v>5</v>
      </c>
      <c r="F2054">
        <v>65.05</v>
      </c>
      <c r="G2054">
        <v>13.01</v>
      </c>
    </row>
    <row r="2055" spans="1:7" x14ac:dyDescent="0.3">
      <c r="A2055" t="s">
        <v>557</v>
      </c>
      <c r="B2055">
        <v>19561</v>
      </c>
      <c r="C2055" t="s">
        <v>5365</v>
      </c>
      <c r="D2055" t="s">
        <v>459</v>
      </c>
      <c r="E2055">
        <v>0.5</v>
      </c>
      <c r="F2055">
        <v>3.75</v>
      </c>
      <c r="G2055">
        <v>7.5</v>
      </c>
    </row>
    <row r="2056" spans="1:7" x14ac:dyDescent="0.3">
      <c r="A2056" t="s">
        <v>557</v>
      </c>
      <c r="B2056">
        <v>23198</v>
      </c>
      <c r="C2056" t="s">
        <v>4962</v>
      </c>
      <c r="D2056" t="s">
        <v>459</v>
      </c>
      <c r="E2056">
        <v>6.1</v>
      </c>
      <c r="F2056">
        <v>71.45</v>
      </c>
      <c r="G2056">
        <v>11.71</v>
      </c>
    </row>
    <row r="2057" spans="1:7" x14ac:dyDescent="0.3">
      <c r="A2057" t="s">
        <v>557</v>
      </c>
      <c r="B2057">
        <v>19790</v>
      </c>
      <c r="C2057" t="s">
        <v>5073</v>
      </c>
      <c r="D2057" t="s">
        <v>459</v>
      </c>
      <c r="E2057">
        <v>3</v>
      </c>
      <c r="F2057">
        <v>106.89</v>
      </c>
      <c r="G2057">
        <v>35.630000000000003</v>
      </c>
    </row>
    <row r="2058" spans="1:7" x14ac:dyDescent="0.3">
      <c r="A2058" t="s">
        <v>557</v>
      </c>
      <c r="B2058">
        <v>18731</v>
      </c>
      <c r="C2058" t="s">
        <v>4832</v>
      </c>
      <c r="D2058" t="s">
        <v>459</v>
      </c>
      <c r="E2058">
        <v>5</v>
      </c>
      <c r="F2058">
        <v>394.5</v>
      </c>
      <c r="G2058">
        <v>78.900000000000006</v>
      </c>
    </row>
    <row r="2059" spans="1:7" x14ac:dyDescent="0.3">
      <c r="A2059" t="s">
        <v>557</v>
      </c>
      <c r="B2059">
        <v>26944</v>
      </c>
      <c r="C2059" t="s">
        <v>5325</v>
      </c>
      <c r="D2059" t="s">
        <v>459</v>
      </c>
      <c r="E2059">
        <v>2</v>
      </c>
      <c r="F2059">
        <v>335.8</v>
      </c>
      <c r="G2059">
        <v>167.9</v>
      </c>
    </row>
    <row r="2060" spans="1:7" x14ac:dyDescent="0.3">
      <c r="A2060" t="s">
        <v>557</v>
      </c>
      <c r="B2060">
        <v>25050</v>
      </c>
      <c r="C2060" t="s">
        <v>5110</v>
      </c>
      <c r="D2060" t="s">
        <v>459</v>
      </c>
      <c r="E2060">
        <v>2</v>
      </c>
      <c r="F2060">
        <v>157.80000000000001</v>
      </c>
      <c r="G2060">
        <v>78.900000000000006</v>
      </c>
    </row>
    <row r="2061" spans="1:7" x14ac:dyDescent="0.3">
      <c r="A2061" t="s">
        <v>557</v>
      </c>
      <c r="B2061">
        <v>19356</v>
      </c>
      <c r="C2061" t="s">
        <v>4799</v>
      </c>
      <c r="D2061" t="s">
        <v>459</v>
      </c>
      <c r="E2061">
        <v>20</v>
      </c>
      <c r="F2061">
        <v>1211.2</v>
      </c>
      <c r="G2061">
        <v>60.56</v>
      </c>
    </row>
    <row r="2062" spans="1:7" x14ac:dyDescent="0.3">
      <c r="A2062" t="s">
        <v>557</v>
      </c>
      <c r="B2062">
        <v>19346</v>
      </c>
      <c r="C2062" t="s">
        <v>4835</v>
      </c>
      <c r="D2062" t="s">
        <v>459</v>
      </c>
      <c r="E2062">
        <v>3</v>
      </c>
      <c r="F2062">
        <v>173.1</v>
      </c>
      <c r="G2062">
        <v>57.7</v>
      </c>
    </row>
    <row r="2063" spans="1:7" x14ac:dyDescent="0.3">
      <c r="A2063" t="s">
        <v>557</v>
      </c>
      <c r="B2063">
        <v>19306</v>
      </c>
      <c r="C2063" t="s">
        <v>5111</v>
      </c>
      <c r="D2063" t="s">
        <v>459</v>
      </c>
      <c r="E2063">
        <v>7</v>
      </c>
      <c r="F2063">
        <v>146.30000000000001</v>
      </c>
      <c r="G2063">
        <v>20.9</v>
      </c>
    </row>
    <row r="2064" spans="1:7" x14ac:dyDescent="0.3">
      <c r="A2064" t="s">
        <v>557</v>
      </c>
      <c r="B2064">
        <v>19322</v>
      </c>
      <c r="C2064" t="s">
        <v>4830</v>
      </c>
      <c r="D2064" t="s">
        <v>459</v>
      </c>
      <c r="E2064">
        <v>42</v>
      </c>
      <c r="F2064">
        <v>1724.44</v>
      </c>
      <c r="G2064">
        <v>41.06</v>
      </c>
    </row>
    <row r="2065" spans="1:7" x14ac:dyDescent="0.3">
      <c r="A2065" t="s">
        <v>557</v>
      </c>
      <c r="B2065">
        <v>19291</v>
      </c>
      <c r="C2065" t="s">
        <v>4870</v>
      </c>
      <c r="D2065" t="s">
        <v>459</v>
      </c>
      <c r="E2065">
        <v>12.5</v>
      </c>
      <c r="F2065">
        <v>986.25</v>
      </c>
      <c r="G2065">
        <v>78.900000000000006</v>
      </c>
    </row>
    <row r="2066" spans="1:7" x14ac:dyDescent="0.3">
      <c r="A2066" t="s">
        <v>557</v>
      </c>
      <c r="B2066">
        <v>19558</v>
      </c>
      <c r="C2066" t="s">
        <v>4994</v>
      </c>
      <c r="D2066" t="s">
        <v>459</v>
      </c>
      <c r="E2066">
        <v>5</v>
      </c>
      <c r="F2066">
        <v>67.2</v>
      </c>
      <c r="G2066">
        <v>13.44</v>
      </c>
    </row>
    <row r="2067" spans="1:7" x14ac:dyDescent="0.3">
      <c r="A2067" t="s">
        <v>557</v>
      </c>
      <c r="B2067">
        <v>23195</v>
      </c>
      <c r="C2067" t="s">
        <v>5051</v>
      </c>
      <c r="D2067" t="s">
        <v>459</v>
      </c>
      <c r="E2067">
        <v>1.9</v>
      </c>
      <c r="F2067">
        <v>26.15</v>
      </c>
      <c r="G2067">
        <v>13.76</v>
      </c>
    </row>
    <row r="2068" spans="1:7" x14ac:dyDescent="0.3">
      <c r="A2068" t="s">
        <v>557</v>
      </c>
      <c r="B2068">
        <v>19555</v>
      </c>
      <c r="C2068" t="s">
        <v>4903</v>
      </c>
      <c r="D2068" t="s">
        <v>459</v>
      </c>
      <c r="E2068">
        <v>4.9000000000000004</v>
      </c>
      <c r="F2068">
        <v>126</v>
      </c>
      <c r="G2068">
        <v>25.71</v>
      </c>
    </row>
    <row r="2069" spans="1:7" x14ac:dyDescent="0.3">
      <c r="A2069" t="s">
        <v>557</v>
      </c>
      <c r="B2069">
        <v>23934</v>
      </c>
      <c r="C2069" t="s">
        <v>4845</v>
      </c>
      <c r="D2069" t="s">
        <v>459</v>
      </c>
      <c r="E2069">
        <v>9</v>
      </c>
      <c r="F2069">
        <v>98.1</v>
      </c>
      <c r="G2069">
        <v>10.9</v>
      </c>
    </row>
    <row r="2070" spans="1:7" x14ac:dyDescent="0.3">
      <c r="A2070" t="s">
        <v>557</v>
      </c>
      <c r="B2070">
        <v>19553</v>
      </c>
      <c r="C2070" t="s">
        <v>4868</v>
      </c>
      <c r="D2070" t="s">
        <v>459</v>
      </c>
      <c r="E2070">
        <v>6</v>
      </c>
      <c r="F2070">
        <v>18.100000000000001</v>
      </c>
      <c r="G2070">
        <v>3.02</v>
      </c>
    </row>
    <row r="2071" spans="1:7" x14ac:dyDescent="0.3">
      <c r="A2071" t="s">
        <v>557</v>
      </c>
      <c r="B2071">
        <v>19552</v>
      </c>
      <c r="C2071" t="s">
        <v>4860</v>
      </c>
      <c r="D2071" t="s">
        <v>459</v>
      </c>
      <c r="E2071">
        <v>3</v>
      </c>
      <c r="F2071">
        <v>11.8</v>
      </c>
      <c r="G2071">
        <v>3.93</v>
      </c>
    </row>
    <row r="2072" spans="1:7" x14ac:dyDescent="0.3">
      <c r="A2072" t="s">
        <v>557</v>
      </c>
      <c r="B2072">
        <v>28171</v>
      </c>
      <c r="C2072" t="s">
        <v>5412</v>
      </c>
      <c r="D2072" t="s">
        <v>459</v>
      </c>
      <c r="E2072">
        <v>3</v>
      </c>
      <c r="F2072">
        <v>195</v>
      </c>
      <c r="G2072">
        <v>65</v>
      </c>
    </row>
    <row r="2073" spans="1:7" x14ac:dyDescent="0.3">
      <c r="A2073" t="s">
        <v>557</v>
      </c>
      <c r="B2073">
        <v>19472</v>
      </c>
      <c r="C2073" t="s">
        <v>4906</v>
      </c>
      <c r="D2073" t="s">
        <v>459</v>
      </c>
      <c r="E2073">
        <v>21.3</v>
      </c>
      <c r="F2073">
        <v>484.36</v>
      </c>
      <c r="G2073">
        <v>22.74</v>
      </c>
    </row>
    <row r="2074" spans="1:7" x14ac:dyDescent="0.3">
      <c r="A2074" t="s">
        <v>557</v>
      </c>
      <c r="B2074">
        <v>17129</v>
      </c>
      <c r="C2074" t="s">
        <v>5202</v>
      </c>
      <c r="D2074" t="s">
        <v>459</v>
      </c>
      <c r="E2074">
        <v>1</v>
      </c>
      <c r="F2074">
        <v>27.9</v>
      </c>
      <c r="G2074">
        <v>27.9</v>
      </c>
    </row>
    <row r="2075" spans="1:7" x14ac:dyDescent="0.3">
      <c r="A2075" t="s">
        <v>557</v>
      </c>
      <c r="B2075">
        <v>25425</v>
      </c>
      <c r="C2075" t="s">
        <v>5345</v>
      </c>
      <c r="D2075" t="s">
        <v>459</v>
      </c>
      <c r="E2075">
        <v>1</v>
      </c>
      <c r="F2075">
        <v>52</v>
      </c>
      <c r="G2075">
        <v>52</v>
      </c>
    </row>
    <row r="2076" spans="1:7" x14ac:dyDescent="0.3">
      <c r="A2076" t="s">
        <v>557</v>
      </c>
      <c r="B2076">
        <v>17437</v>
      </c>
      <c r="C2076" t="s">
        <v>5203</v>
      </c>
      <c r="D2076" t="s">
        <v>459</v>
      </c>
      <c r="E2076">
        <v>35</v>
      </c>
      <c r="F2076">
        <v>87.5</v>
      </c>
      <c r="G2076">
        <v>2.5</v>
      </c>
    </row>
    <row r="2077" spans="1:7" x14ac:dyDescent="0.3">
      <c r="A2077" t="s">
        <v>557</v>
      </c>
      <c r="B2077">
        <v>17384</v>
      </c>
      <c r="C2077" t="s">
        <v>5249</v>
      </c>
      <c r="D2077" t="s">
        <v>459</v>
      </c>
      <c r="E2077">
        <v>1</v>
      </c>
      <c r="F2077">
        <v>96</v>
      </c>
      <c r="G2077">
        <v>96</v>
      </c>
    </row>
    <row r="2078" spans="1:7" x14ac:dyDescent="0.3">
      <c r="A2078" t="s">
        <v>557</v>
      </c>
      <c r="B2078">
        <v>21433</v>
      </c>
      <c r="C2078" t="s">
        <v>5250</v>
      </c>
      <c r="D2078" t="s">
        <v>459</v>
      </c>
      <c r="E2078">
        <v>1</v>
      </c>
      <c r="F2078">
        <v>96</v>
      </c>
      <c r="G2078">
        <v>96</v>
      </c>
    </row>
    <row r="2079" spans="1:7" x14ac:dyDescent="0.3">
      <c r="A2079" t="s">
        <v>557</v>
      </c>
      <c r="B2079">
        <v>21423</v>
      </c>
      <c r="C2079" t="s">
        <v>5248</v>
      </c>
      <c r="D2079" t="s">
        <v>459</v>
      </c>
      <c r="E2079">
        <v>7</v>
      </c>
      <c r="F2079">
        <v>222.74</v>
      </c>
      <c r="G2079">
        <v>31.82</v>
      </c>
    </row>
    <row r="2080" spans="1:7" x14ac:dyDescent="0.3">
      <c r="A2080" t="s">
        <v>557</v>
      </c>
      <c r="B2080">
        <v>17399</v>
      </c>
      <c r="C2080" t="s">
        <v>5244</v>
      </c>
      <c r="D2080" t="s">
        <v>459</v>
      </c>
      <c r="E2080">
        <v>2</v>
      </c>
      <c r="F2080">
        <v>37.799999999999997</v>
      </c>
      <c r="G2080">
        <v>18.899999999999999</v>
      </c>
    </row>
    <row r="2081" spans="1:7" x14ac:dyDescent="0.3">
      <c r="A2081" t="s">
        <v>557</v>
      </c>
      <c r="B2081">
        <v>17397</v>
      </c>
      <c r="C2081" t="s">
        <v>5246</v>
      </c>
      <c r="D2081" t="s">
        <v>459</v>
      </c>
      <c r="E2081">
        <v>3</v>
      </c>
      <c r="F2081">
        <v>95.46</v>
      </c>
      <c r="G2081">
        <v>31.82</v>
      </c>
    </row>
    <row r="2082" spans="1:7" x14ac:dyDescent="0.3">
      <c r="A2082" t="s">
        <v>557</v>
      </c>
      <c r="B2082">
        <v>24787</v>
      </c>
      <c r="C2082" t="s">
        <v>5212</v>
      </c>
      <c r="D2082" t="s">
        <v>459</v>
      </c>
      <c r="E2082">
        <v>4</v>
      </c>
      <c r="F2082">
        <v>356</v>
      </c>
      <c r="G2082">
        <v>89</v>
      </c>
    </row>
    <row r="2083" spans="1:7" x14ac:dyDescent="0.3">
      <c r="A2083" t="s">
        <v>557</v>
      </c>
      <c r="B2083">
        <v>24931</v>
      </c>
      <c r="C2083" t="s">
        <v>5308</v>
      </c>
      <c r="D2083" t="s">
        <v>459</v>
      </c>
      <c r="E2083">
        <v>3</v>
      </c>
      <c r="F2083">
        <v>126</v>
      </c>
      <c r="G2083">
        <v>42</v>
      </c>
    </row>
    <row r="2084" spans="1:7" x14ac:dyDescent="0.3">
      <c r="A2084" t="s">
        <v>557</v>
      </c>
      <c r="B2084">
        <v>17405</v>
      </c>
      <c r="C2084" t="s">
        <v>5200</v>
      </c>
      <c r="D2084" t="s">
        <v>459</v>
      </c>
      <c r="E2084">
        <v>1</v>
      </c>
      <c r="F2084">
        <v>10</v>
      </c>
      <c r="G2084">
        <v>10</v>
      </c>
    </row>
    <row r="2085" spans="1:7" x14ac:dyDescent="0.3">
      <c r="A2085" t="s">
        <v>557</v>
      </c>
      <c r="B2085">
        <v>17404</v>
      </c>
      <c r="C2085" t="s">
        <v>5295</v>
      </c>
      <c r="D2085" t="s">
        <v>459</v>
      </c>
      <c r="E2085">
        <v>2</v>
      </c>
      <c r="F2085">
        <v>39.799999999999997</v>
      </c>
      <c r="G2085">
        <v>19.899999999999999</v>
      </c>
    </row>
    <row r="2086" spans="1:7" x14ac:dyDescent="0.3">
      <c r="A2086" t="s">
        <v>557</v>
      </c>
      <c r="B2086">
        <v>19916</v>
      </c>
      <c r="C2086" t="s">
        <v>4826</v>
      </c>
      <c r="D2086" t="s">
        <v>459</v>
      </c>
      <c r="E2086">
        <v>11</v>
      </c>
      <c r="F2086">
        <v>69</v>
      </c>
      <c r="G2086">
        <v>6.27</v>
      </c>
    </row>
    <row r="2087" spans="1:7" x14ac:dyDescent="0.3">
      <c r="A2087" t="s">
        <v>557</v>
      </c>
      <c r="B2087">
        <v>19906</v>
      </c>
      <c r="C2087" t="s">
        <v>5159</v>
      </c>
      <c r="D2087" t="s">
        <v>459</v>
      </c>
      <c r="E2087">
        <v>11</v>
      </c>
      <c r="F2087">
        <v>67.2</v>
      </c>
      <c r="G2087">
        <v>6.11</v>
      </c>
    </row>
    <row r="2088" spans="1:7" x14ac:dyDescent="0.3">
      <c r="A2088" t="s">
        <v>557</v>
      </c>
      <c r="B2088">
        <v>23113</v>
      </c>
      <c r="C2088" t="s">
        <v>5074</v>
      </c>
      <c r="D2088" t="s">
        <v>459</v>
      </c>
      <c r="E2088">
        <v>14.7</v>
      </c>
      <c r="F2088">
        <v>172.53</v>
      </c>
      <c r="G2088">
        <v>11.74</v>
      </c>
    </row>
    <row r="2089" spans="1:7" x14ac:dyDescent="0.3">
      <c r="A2089" t="s">
        <v>557</v>
      </c>
      <c r="B2089">
        <v>19465</v>
      </c>
      <c r="C2089" t="s">
        <v>5114</v>
      </c>
      <c r="D2089" t="s">
        <v>459</v>
      </c>
      <c r="E2089">
        <v>2.8</v>
      </c>
      <c r="F2089">
        <v>14.24</v>
      </c>
      <c r="G2089">
        <v>5.09</v>
      </c>
    </row>
    <row r="2090" spans="1:7" x14ac:dyDescent="0.3">
      <c r="A2090" t="s">
        <v>557</v>
      </c>
      <c r="B2090">
        <v>18253</v>
      </c>
      <c r="C2090" t="s">
        <v>4969</v>
      </c>
      <c r="D2090" t="s">
        <v>459</v>
      </c>
      <c r="E2090">
        <v>7</v>
      </c>
      <c r="F2090">
        <v>199.13</v>
      </c>
      <c r="G2090">
        <v>28.45</v>
      </c>
    </row>
    <row r="2091" spans="1:7" x14ac:dyDescent="0.3">
      <c r="A2091" t="s">
        <v>557</v>
      </c>
      <c r="B2091">
        <v>17883</v>
      </c>
      <c r="C2091" t="s">
        <v>5113</v>
      </c>
      <c r="D2091" t="s">
        <v>459</v>
      </c>
      <c r="E2091">
        <v>9</v>
      </c>
      <c r="F2091">
        <v>220.79</v>
      </c>
      <c r="G2091">
        <v>24.53</v>
      </c>
    </row>
    <row r="2092" spans="1:7" x14ac:dyDescent="0.3">
      <c r="A2092" t="s">
        <v>557</v>
      </c>
      <c r="B2092">
        <v>17881</v>
      </c>
      <c r="C2092" t="s">
        <v>5103</v>
      </c>
      <c r="D2092" t="s">
        <v>459</v>
      </c>
      <c r="E2092">
        <v>9</v>
      </c>
      <c r="F2092">
        <v>191.83</v>
      </c>
      <c r="G2092">
        <v>21.31</v>
      </c>
    </row>
    <row r="2093" spans="1:7" x14ac:dyDescent="0.3">
      <c r="A2093" t="s">
        <v>557</v>
      </c>
      <c r="B2093">
        <v>21150</v>
      </c>
      <c r="C2093" t="s">
        <v>4878</v>
      </c>
      <c r="D2093" t="s">
        <v>459</v>
      </c>
      <c r="E2093">
        <v>3</v>
      </c>
      <c r="F2093">
        <v>339.93</v>
      </c>
      <c r="G2093">
        <v>113.31</v>
      </c>
    </row>
    <row r="2094" spans="1:7" x14ac:dyDescent="0.3">
      <c r="A2094" t="s">
        <v>557</v>
      </c>
      <c r="B2094">
        <v>17062</v>
      </c>
      <c r="C2094" t="s">
        <v>4880</v>
      </c>
      <c r="D2094" t="s">
        <v>459</v>
      </c>
      <c r="E2094">
        <v>3</v>
      </c>
      <c r="F2094">
        <v>378.09</v>
      </c>
      <c r="G2094">
        <v>126.03</v>
      </c>
    </row>
    <row r="2095" spans="1:7" x14ac:dyDescent="0.3">
      <c r="A2095" t="s">
        <v>557</v>
      </c>
      <c r="B2095">
        <v>18589</v>
      </c>
      <c r="C2095" t="s">
        <v>5089</v>
      </c>
      <c r="D2095" t="s">
        <v>459</v>
      </c>
      <c r="E2095">
        <v>6</v>
      </c>
      <c r="F2095">
        <v>550.59</v>
      </c>
      <c r="G2095">
        <v>91.77</v>
      </c>
    </row>
    <row r="2096" spans="1:7" x14ac:dyDescent="0.3">
      <c r="A2096" t="s">
        <v>557</v>
      </c>
      <c r="B2096">
        <v>18586</v>
      </c>
      <c r="C2096" t="s">
        <v>4966</v>
      </c>
      <c r="D2096" t="s">
        <v>459</v>
      </c>
      <c r="E2096">
        <v>2</v>
      </c>
      <c r="F2096">
        <v>239.7</v>
      </c>
      <c r="G2096">
        <v>119.85</v>
      </c>
    </row>
    <row r="2097" spans="1:7" x14ac:dyDescent="0.3">
      <c r="A2097" t="s">
        <v>557</v>
      </c>
      <c r="B2097">
        <v>17878</v>
      </c>
      <c r="C2097" t="s">
        <v>4926</v>
      </c>
      <c r="D2097" t="s">
        <v>459</v>
      </c>
      <c r="E2097">
        <v>2</v>
      </c>
      <c r="F2097">
        <v>50.96</v>
      </c>
      <c r="G2097">
        <v>25.48</v>
      </c>
    </row>
    <row r="2098" spans="1:7" x14ac:dyDescent="0.3">
      <c r="A2098" t="s">
        <v>557</v>
      </c>
      <c r="B2098">
        <v>19551</v>
      </c>
      <c r="C2098" t="s">
        <v>4905</v>
      </c>
      <c r="D2098" t="s">
        <v>459</v>
      </c>
      <c r="E2098">
        <v>12</v>
      </c>
      <c r="F2098">
        <v>164.4</v>
      </c>
      <c r="G2098">
        <v>13.7</v>
      </c>
    </row>
    <row r="2099" spans="1:7" x14ac:dyDescent="0.3">
      <c r="A2099" t="s">
        <v>557</v>
      </c>
      <c r="B2099">
        <v>23184</v>
      </c>
      <c r="C2099" t="s">
        <v>4935</v>
      </c>
      <c r="D2099" t="s">
        <v>459</v>
      </c>
      <c r="E2099">
        <v>15.5</v>
      </c>
      <c r="F2099">
        <v>158.06</v>
      </c>
      <c r="G2099">
        <v>10.199999999999999</v>
      </c>
    </row>
    <row r="2100" spans="1:7" x14ac:dyDescent="0.3">
      <c r="A2100" t="s">
        <v>557</v>
      </c>
      <c r="B2100">
        <v>23171</v>
      </c>
      <c r="C2100" t="s">
        <v>5419</v>
      </c>
      <c r="D2100" t="s">
        <v>459</v>
      </c>
      <c r="E2100">
        <v>2</v>
      </c>
      <c r="F2100">
        <v>12.9</v>
      </c>
      <c r="G2100">
        <v>6.45</v>
      </c>
    </row>
    <row r="2101" spans="1:7" x14ac:dyDescent="0.3">
      <c r="A2101" t="s">
        <v>557</v>
      </c>
      <c r="B2101">
        <v>19532</v>
      </c>
      <c r="C2101" t="s">
        <v>4753</v>
      </c>
      <c r="D2101" t="s">
        <v>459</v>
      </c>
      <c r="E2101">
        <v>206.2</v>
      </c>
      <c r="F2101">
        <v>1315.29</v>
      </c>
      <c r="G2101">
        <v>6.38</v>
      </c>
    </row>
    <row r="2102" spans="1:7" x14ac:dyDescent="0.3">
      <c r="A2102" t="s">
        <v>557</v>
      </c>
      <c r="B2102">
        <v>20585</v>
      </c>
      <c r="C2102" t="s">
        <v>5025</v>
      </c>
      <c r="D2102" t="s">
        <v>459</v>
      </c>
      <c r="E2102">
        <v>1</v>
      </c>
      <c r="F2102">
        <v>29</v>
      </c>
      <c r="G2102">
        <v>29</v>
      </c>
    </row>
    <row r="2103" spans="1:7" x14ac:dyDescent="0.3">
      <c r="A2103" t="s">
        <v>557</v>
      </c>
      <c r="B2103">
        <v>23108</v>
      </c>
      <c r="C2103" t="s">
        <v>5117</v>
      </c>
      <c r="D2103" t="s">
        <v>459</v>
      </c>
      <c r="E2103">
        <v>0.9</v>
      </c>
      <c r="F2103">
        <v>54</v>
      </c>
      <c r="G2103">
        <v>60</v>
      </c>
    </row>
    <row r="2104" spans="1:7" x14ac:dyDescent="0.3">
      <c r="A2104" t="s">
        <v>557</v>
      </c>
      <c r="B2104">
        <v>25205</v>
      </c>
      <c r="C2104" t="s">
        <v>4850</v>
      </c>
      <c r="D2104" t="s">
        <v>459</v>
      </c>
      <c r="E2104">
        <v>5</v>
      </c>
      <c r="F2104">
        <v>92.5</v>
      </c>
      <c r="G2104">
        <v>18.5</v>
      </c>
    </row>
    <row r="2105" spans="1:7" x14ac:dyDescent="0.3">
      <c r="A2105" t="s">
        <v>557</v>
      </c>
      <c r="B2105">
        <v>19710</v>
      </c>
      <c r="C2105" t="s">
        <v>4963</v>
      </c>
      <c r="D2105" t="s">
        <v>459</v>
      </c>
      <c r="E2105">
        <v>1.5</v>
      </c>
      <c r="F2105">
        <v>43</v>
      </c>
      <c r="G2105">
        <v>28.67</v>
      </c>
    </row>
    <row r="2106" spans="1:7" x14ac:dyDescent="0.3">
      <c r="A2106" t="s">
        <v>557</v>
      </c>
      <c r="B2106">
        <v>19707</v>
      </c>
      <c r="C2106" t="s">
        <v>5266</v>
      </c>
      <c r="D2106" t="s">
        <v>459</v>
      </c>
      <c r="E2106">
        <v>0.5</v>
      </c>
      <c r="F2106">
        <v>7.54</v>
      </c>
      <c r="G2106">
        <v>15.08</v>
      </c>
    </row>
    <row r="2107" spans="1:7" x14ac:dyDescent="0.3">
      <c r="A2107" t="s">
        <v>557</v>
      </c>
      <c r="B2107">
        <v>24489</v>
      </c>
      <c r="C2107" t="s">
        <v>5121</v>
      </c>
      <c r="D2107" t="s">
        <v>459</v>
      </c>
      <c r="E2107">
        <v>3</v>
      </c>
      <c r="F2107">
        <v>67.400000000000006</v>
      </c>
      <c r="G2107">
        <v>22.47</v>
      </c>
    </row>
    <row r="2108" spans="1:7" x14ac:dyDescent="0.3">
      <c r="A2108" t="s">
        <v>557</v>
      </c>
      <c r="B2108">
        <v>26928</v>
      </c>
      <c r="C2108" t="s">
        <v>5298</v>
      </c>
      <c r="D2108" t="s">
        <v>459</v>
      </c>
      <c r="E2108">
        <v>3</v>
      </c>
      <c r="F2108">
        <v>29.4</v>
      </c>
      <c r="G2108">
        <v>9.8000000000000007</v>
      </c>
    </row>
    <row r="2109" spans="1:7" x14ac:dyDescent="0.3">
      <c r="A2109" t="s">
        <v>557</v>
      </c>
      <c r="B2109">
        <v>26150</v>
      </c>
      <c r="C2109" t="s">
        <v>5105</v>
      </c>
      <c r="D2109" t="s">
        <v>459</v>
      </c>
      <c r="E2109">
        <v>1</v>
      </c>
      <c r="F2109">
        <v>86.5</v>
      </c>
      <c r="G2109">
        <v>86.5</v>
      </c>
    </row>
    <row r="2110" spans="1:7" x14ac:dyDescent="0.3">
      <c r="A2110" t="s">
        <v>557</v>
      </c>
      <c r="B2110">
        <v>23884</v>
      </c>
      <c r="C2110" t="s">
        <v>5070</v>
      </c>
      <c r="D2110" t="s">
        <v>459</v>
      </c>
      <c r="E2110">
        <v>5</v>
      </c>
      <c r="F2110">
        <v>45.43</v>
      </c>
      <c r="G2110">
        <v>9.09</v>
      </c>
    </row>
    <row r="2111" spans="1:7" x14ac:dyDescent="0.3">
      <c r="A2111" t="s">
        <v>557</v>
      </c>
      <c r="B2111">
        <v>26034</v>
      </c>
      <c r="C2111" t="s">
        <v>4828</v>
      </c>
      <c r="D2111" t="s">
        <v>459</v>
      </c>
      <c r="E2111">
        <v>18</v>
      </c>
      <c r="F2111">
        <v>864.5</v>
      </c>
      <c r="G2111">
        <v>48.03</v>
      </c>
    </row>
    <row r="2112" spans="1:7" x14ac:dyDescent="0.3">
      <c r="A2112" t="s">
        <v>557</v>
      </c>
      <c r="B2112">
        <v>26038</v>
      </c>
      <c r="C2112" t="s">
        <v>4976</v>
      </c>
      <c r="D2112" t="s">
        <v>459</v>
      </c>
      <c r="E2112">
        <v>3</v>
      </c>
      <c r="F2112">
        <v>136.5</v>
      </c>
      <c r="G2112">
        <v>45.5</v>
      </c>
    </row>
    <row r="2113" spans="1:7" x14ac:dyDescent="0.3">
      <c r="A2113" t="s">
        <v>557</v>
      </c>
      <c r="B2113">
        <v>17578</v>
      </c>
      <c r="C2113" t="s">
        <v>4842</v>
      </c>
      <c r="D2113" t="s">
        <v>459</v>
      </c>
      <c r="E2113">
        <v>1</v>
      </c>
      <c r="F2113">
        <v>101.4</v>
      </c>
      <c r="G2113">
        <v>101.4</v>
      </c>
    </row>
    <row r="2114" spans="1:7" x14ac:dyDescent="0.3">
      <c r="A2114" t="s">
        <v>557</v>
      </c>
      <c r="B2114">
        <v>26040</v>
      </c>
      <c r="C2114" t="s">
        <v>4812</v>
      </c>
      <c r="D2114" t="s">
        <v>459</v>
      </c>
      <c r="E2114">
        <v>14</v>
      </c>
      <c r="F2114">
        <v>637</v>
      </c>
      <c r="G2114">
        <v>45.5</v>
      </c>
    </row>
    <row r="2115" spans="1:7" x14ac:dyDescent="0.3">
      <c r="A2115" t="s">
        <v>557</v>
      </c>
      <c r="B2115">
        <v>26236</v>
      </c>
      <c r="C2115" t="s">
        <v>5077</v>
      </c>
      <c r="D2115" t="s">
        <v>459</v>
      </c>
      <c r="E2115">
        <v>1</v>
      </c>
      <c r="F2115">
        <v>128.05000000000001</v>
      </c>
      <c r="G2115">
        <v>128.05000000000001</v>
      </c>
    </row>
    <row r="2116" spans="1:7" x14ac:dyDescent="0.3">
      <c r="A2116" t="s">
        <v>557</v>
      </c>
      <c r="B2116">
        <v>17658</v>
      </c>
      <c r="C2116" t="s">
        <v>4978</v>
      </c>
      <c r="D2116" t="s">
        <v>459</v>
      </c>
      <c r="E2116">
        <v>3</v>
      </c>
      <c r="F2116">
        <v>174</v>
      </c>
      <c r="G2116">
        <v>58</v>
      </c>
    </row>
    <row r="2117" spans="1:7" x14ac:dyDescent="0.3">
      <c r="A2117" t="s">
        <v>557</v>
      </c>
      <c r="B2117">
        <v>18194</v>
      </c>
      <c r="C2117" t="s">
        <v>4923</v>
      </c>
      <c r="D2117" t="s">
        <v>459</v>
      </c>
      <c r="E2117">
        <v>2</v>
      </c>
      <c r="F2117">
        <v>126</v>
      </c>
      <c r="G2117">
        <v>63</v>
      </c>
    </row>
    <row r="2118" spans="1:7" x14ac:dyDescent="0.3">
      <c r="A2118" t="s">
        <v>557</v>
      </c>
      <c r="B2118">
        <v>18179</v>
      </c>
      <c r="C2118" t="s">
        <v>4924</v>
      </c>
      <c r="D2118" t="s">
        <v>459</v>
      </c>
      <c r="E2118">
        <v>2</v>
      </c>
      <c r="F2118">
        <v>214.94</v>
      </c>
      <c r="G2118">
        <v>107.47</v>
      </c>
    </row>
    <row r="2119" spans="1:7" x14ac:dyDescent="0.3">
      <c r="A2119" t="s">
        <v>557</v>
      </c>
      <c r="B2119">
        <v>18172</v>
      </c>
      <c r="C2119" t="s">
        <v>4804</v>
      </c>
      <c r="D2119" t="s">
        <v>459</v>
      </c>
      <c r="E2119">
        <v>13</v>
      </c>
      <c r="F2119">
        <v>415.4</v>
      </c>
      <c r="G2119">
        <v>31.95</v>
      </c>
    </row>
    <row r="2120" spans="1:7" x14ac:dyDescent="0.3">
      <c r="A2120" t="s">
        <v>557</v>
      </c>
      <c r="B2120">
        <v>18157</v>
      </c>
      <c r="C2120" t="s">
        <v>5041</v>
      </c>
      <c r="D2120" t="s">
        <v>459</v>
      </c>
      <c r="E2120">
        <v>1</v>
      </c>
      <c r="F2120">
        <v>179.29</v>
      </c>
      <c r="G2120">
        <v>179.29</v>
      </c>
    </row>
    <row r="2121" spans="1:7" x14ac:dyDescent="0.3">
      <c r="A2121" t="s">
        <v>557</v>
      </c>
      <c r="B2121">
        <v>18146</v>
      </c>
      <c r="C2121" t="s">
        <v>5112</v>
      </c>
      <c r="D2121" t="s">
        <v>459</v>
      </c>
      <c r="E2121">
        <v>1</v>
      </c>
      <c r="F2121">
        <v>107.9</v>
      </c>
      <c r="G2121">
        <v>107.9</v>
      </c>
    </row>
    <row r="2122" spans="1:7" x14ac:dyDescent="0.3">
      <c r="A2122" t="s">
        <v>557</v>
      </c>
      <c r="B2122">
        <v>18129</v>
      </c>
      <c r="C2122" t="s">
        <v>5043</v>
      </c>
      <c r="D2122" t="s">
        <v>459</v>
      </c>
      <c r="E2122">
        <v>1</v>
      </c>
      <c r="F2122">
        <v>114</v>
      </c>
      <c r="G2122">
        <v>114</v>
      </c>
    </row>
    <row r="2123" spans="1:7" x14ac:dyDescent="0.3">
      <c r="A2123" t="s">
        <v>557</v>
      </c>
      <c r="B2123">
        <v>18119</v>
      </c>
      <c r="C2123" t="s">
        <v>5044</v>
      </c>
      <c r="D2123" t="s">
        <v>459</v>
      </c>
      <c r="E2123">
        <v>1</v>
      </c>
      <c r="F2123">
        <v>181</v>
      </c>
      <c r="G2123">
        <v>181</v>
      </c>
    </row>
    <row r="2124" spans="1:7" x14ac:dyDescent="0.3">
      <c r="A2124" t="s">
        <v>557</v>
      </c>
      <c r="B2124">
        <v>18116</v>
      </c>
      <c r="C2124" t="s">
        <v>5045</v>
      </c>
      <c r="D2124" t="s">
        <v>459</v>
      </c>
      <c r="E2124">
        <v>2</v>
      </c>
      <c r="F2124">
        <v>173.8</v>
      </c>
      <c r="G2124">
        <v>86.9</v>
      </c>
    </row>
    <row r="2125" spans="1:7" x14ac:dyDescent="0.3">
      <c r="A2125" t="s">
        <v>557</v>
      </c>
      <c r="B2125">
        <v>18111</v>
      </c>
      <c r="C2125" t="s">
        <v>5049</v>
      </c>
      <c r="D2125" t="s">
        <v>459</v>
      </c>
      <c r="E2125">
        <v>1</v>
      </c>
      <c r="F2125">
        <v>88.19</v>
      </c>
      <c r="G2125">
        <v>88.19</v>
      </c>
    </row>
    <row r="2126" spans="1:7" x14ac:dyDescent="0.3">
      <c r="A2126" t="s">
        <v>557</v>
      </c>
      <c r="B2126">
        <v>18085</v>
      </c>
      <c r="C2126" t="s">
        <v>4973</v>
      </c>
      <c r="D2126" t="s">
        <v>459</v>
      </c>
      <c r="E2126">
        <v>2</v>
      </c>
      <c r="F2126">
        <v>95.2</v>
      </c>
      <c r="G2126">
        <v>47.6</v>
      </c>
    </row>
    <row r="2127" spans="1:7" x14ac:dyDescent="0.3">
      <c r="A2127" t="s">
        <v>557</v>
      </c>
      <c r="B2127">
        <v>18073</v>
      </c>
      <c r="C2127" t="s">
        <v>4974</v>
      </c>
      <c r="D2127" t="s">
        <v>459</v>
      </c>
      <c r="E2127">
        <v>2</v>
      </c>
      <c r="F2127">
        <v>95.2</v>
      </c>
      <c r="G2127">
        <v>47.6</v>
      </c>
    </row>
    <row r="2128" spans="1:7" x14ac:dyDescent="0.3">
      <c r="A2128" t="s">
        <v>557</v>
      </c>
      <c r="B2128">
        <v>26210</v>
      </c>
      <c r="C2128" t="s">
        <v>4975</v>
      </c>
      <c r="D2128" t="s">
        <v>459</v>
      </c>
      <c r="E2128">
        <v>1</v>
      </c>
      <c r="F2128">
        <v>47.6</v>
      </c>
      <c r="G2128">
        <v>47.6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"/>
  <sheetViews>
    <sheetView workbookViewId="0"/>
  </sheetViews>
  <sheetFormatPr defaultRowHeight="14.4" x14ac:dyDescent="0.3"/>
  <sheetData>
    <row r="1" spans="1:5" x14ac:dyDescent="0.3">
      <c r="A1" t="s">
        <v>5734</v>
      </c>
      <c r="B1" t="s">
        <v>549</v>
      </c>
      <c r="C1" t="s">
        <v>3899</v>
      </c>
      <c r="D1" t="s">
        <v>5735</v>
      </c>
      <c r="E1" t="s">
        <v>556</v>
      </c>
    </row>
    <row r="2" spans="1:5" x14ac:dyDescent="0.3">
      <c r="A2">
        <v>209</v>
      </c>
      <c r="B2" t="s">
        <v>557</v>
      </c>
      <c r="C2" s="452">
        <v>46022</v>
      </c>
      <c r="D2">
        <v>210512.24</v>
      </c>
      <c r="E2" t="s">
        <v>458</v>
      </c>
    </row>
    <row r="3" spans="1:5" x14ac:dyDescent="0.3">
      <c r="A3">
        <v>219</v>
      </c>
      <c r="B3" t="s">
        <v>557</v>
      </c>
      <c r="C3" s="452">
        <v>46052</v>
      </c>
      <c r="D3">
        <v>11198.9</v>
      </c>
      <c r="E3" t="s">
        <v>459</v>
      </c>
    </row>
    <row r="4" spans="1:5" x14ac:dyDescent="0.3">
      <c r="A4">
        <v>230</v>
      </c>
      <c r="B4" t="s">
        <v>557</v>
      </c>
      <c r="C4" s="452">
        <v>46112</v>
      </c>
      <c r="D4">
        <v>27534.53</v>
      </c>
      <c r="E4" t="s">
        <v>461</v>
      </c>
    </row>
    <row r="5" spans="1:5" x14ac:dyDescent="0.3">
      <c r="A5">
        <v>246</v>
      </c>
      <c r="B5" t="s">
        <v>557</v>
      </c>
      <c r="C5" s="452">
        <v>46172</v>
      </c>
      <c r="D5">
        <v>718.6</v>
      </c>
      <c r="E5" t="s">
        <v>463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"/>
  <sheetViews>
    <sheetView workbookViewId="0"/>
  </sheetViews>
  <sheetFormatPr defaultRowHeight="14.4" x14ac:dyDescent="0.3"/>
  <sheetData>
    <row r="1" spans="1:12" x14ac:dyDescent="0.3">
      <c r="A1" t="s">
        <v>5736</v>
      </c>
      <c r="B1" t="s">
        <v>5737</v>
      </c>
      <c r="C1" t="s">
        <v>5738</v>
      </c>
      <c r="D1" t="s">
        <v>4731</v>
      </c>
      <c r="E1" t="s">
        <v>5739</v>
      </c>
      <c r="F1" t="s">
        <v>5740</v>
      </c>
      <c r="G1" t="s">
        <v>5741</v>
      </c>
      <c r="H1" t="s">
        <v>4734</v>
      </c>
      <c r="I1" t="s">
        <v>4733</v>
      </c>
      <c r="J1" t="s">
        <v>556</v>
      </c>
      <c r="K1" t="s">
        <v>5742</v>
      </c>
      <c r="L1" t="s">
        <v>767</v>
      </c>
    </row>
    <row r="2" spans="1:12" x14ac:dyDescent="0.3">
      <c r="A2">
        <v>2227</v>
      </c>
      <c r="B2" t="s">
        <v>5743</v>
      </c>
      <c r="C2" t="s">
        <v>557</v>
      </c>
      <c r="D2">
        <v>16974</v>
      </c>
      <c r="E2" t="s">
        <v>5744</v>
      </c>
      <c r="F2" t="s">
        <v>5745</v>
      </c>
      <c r="G2" t="s">
        <v>5222</v>
      </c>
      <c r="H2" t="s">
        <v>4749</v>
      </c>
      <c r="I2">
        <v>150</v>
      </c>
      <c r="J2" t="s">
        <v>458</v>
      </c>
      <c r="K2">
        <v>405</v>
      </c>
      <c r="L2" t="s">
        <v>5746</v>
      </c>
    </row>
    <row r="3" spans="1:12" x14ac:dyDescent="0.3">
      <c r="A3">
        <v>2237</v>
      </c>
      <c r="B3" t="s">
        <v>557</v>
      </c>
      <c r="C3" t="s">
        <v>5743</v>
      </c>
      <c r="D3">
        <v>18822</v>
      </c>
      <c r="E3" t="s">
        <v>4811</v>
      </c>
      <c r="F3" t="s">
        <v>5747</v>
      </c>
      <c r="G3" t="s">
        <v>5191</v>
      </c>
      <c r="H3" t="s">
        <v>4744</v>
      </c>
      <c r="I3">
        <v>49</v>
      </c>
      <c r="J3" t="s">
        <v>458</v>
      </c>
      <c r="K3">
        <v>5249</v>
      </c>
      <c r="L3" t="s">
        <v>5748</v>
      </c>
    </row>
    <row r="4" spans="1:12" x14ac:dyDescent="0.3">
      <c r="A4">
        <v>2451</v>
      </c>
      <c r="B4" t="s">
        <v>5743</v>
      </c>
      <c r="C4" t="s">
        <v>557</v>
      </c>
      <c r="D4">
        <v>18636</v>
      </c>
      <c r="E4" t="s">
        <v>4964</v>
      </c>
      <c r="F4" t="s">
        <v>5749</v>
      </c>
      <c r="G4" t="s">
        <v>5222</v>
      </c>
      <c r="H4" t="s">
        <v>4965</v>
      </c>
      <c r="I4">
        <v>4</v>
      </c>
      <c r="J4" t="s">
        <v>458</v>
      </c>
      <c r="K4">
        <v>1784.64</v>
      </c>
      <c r="L4" t="s">
        <v>5750</v>
      </c>
    </row>
    <row r="5" spans="1:12" x14ac:dyDescent="0.3">
      <c r="A5">
        <v>2452</v>
      </c>
      <c r="B5" t="s">
        <v>5751</v>
      </c>
      <c r="C5" t="s">
        <v>557</v>
      </c>
      <c r="D5">
        <v>18636</v>
      </c>
      <c r="E5" t="s">
        <v>4964</v>
      </c>
      <c r="F5" t="s">
        <v>5749</v>
      </c>
      <c r="G5" t="s">
        <v>5222</v>
      </c>
      <c r="H5" t="s">
        <v>4965</v>
      </c>
      <c r="I5">
        <v>2</v>
      </c>
      <c r="J5" t="s">
        <v>458</v>
      </c>
      <c r="K5">
        <v>964</v>
      </c>
    </row>
    <row r="6" spans="1:12" x14ac:dyDescent="0.3">
      <c r="A6">
        <v>2453</v>
      </c>
      <c r="B6" t="s">
        <v>5751</v>
      </c>
      <c r="C6" t="s">
        <v>557</v>
      </c>
      <c r="D6">
        <v>17903</v>
      </c>
      <c r="E6" t="s">
        <v>5084</v>
      </c>
      <c r="F6" t="s">
        <v>5752</v>
      </c>
      <c r="G6" t="s">
        <v>5222</v>
      </c>
      <c r="H6" t="s">
        <v>4738</v>
      </c>
      <c r="I6">
        <v>2</v>
      </c>
      <c r="J6" t="s">
        <v>458</v>
      </c>
      <c r="K6">
        <v>56</v>
      </c>
    </row>
    <row r="7" spans="1:12" x14ac:dyDescent="0.3">
      <c r="A7">
        <v>2464</v>
      </c>
      <c r="B7" t="s">
        <v>5743</v>
      </c>
      <c r="C7" t="s">
        <v>557</v>
      </c>
      <c r="D7">
        <v>16974</v>
      </c>
      <c r="E7" t="s">
        <v>5744</v>
      </c>
      <c r="F7" t="s">
        <v>5745</v>
      </c>
      <c r="G7" t="s">
        <v>5222</v>
      </c>
      <c r="H7" t="s">
        <v>4749</v>
      </c>
      <c r="I7">
        <v>4</v>
      </c>
      <c r="J7" t="s">
        <v>459</v>
      </c>
      <c r="K7">
        <v>540</v>
      </c>
      <c r="L7" t="s">
        <v>5753</v>
      </c>
    </row>
    <row r="8" spans="1:12" x14ac:dyDescent="0.3">
      <c r="A8">
        <v>2468</v>
      </c>
      <c r="B8" t="s">
        <v>5743</v>
      </c>
      <c r="C8" t="s">
        <v>557</v>
      </c>
      <c r="D8">
        <v>18822</v>
      </c>
      <c r="E8" t="s">
        <v>4811</v>
      </c>
      <c r="F8" t="s">
        <v>5747</v>
      </c>
      <c r="G8" t="s">
        <v>5191</v>
      </c>
      <c r="H8" t="s">
        <v>4744</v>
      </c>
      <c r="I8">
        <v>5.4</v>
      </c>
      <c r="J8" t="s">
        <v>459</v>
      </c>
      <c r="K8">
        <v>583.20000000000005</v>
      </c>
      <c r="L8" t="s">
        <v>5748</v>
      </c>
    </row>
    <row r="9" spans="1:12" x14ac:dyDescent="0.3">
      <c r="A9">
        <v>2489</v>
      </c>
      <c r="B9" t="s">
        <v>557</v>
      </c>
      <c r="C9" t="s">
        <v>5754</v>
      </c>
      <c r="D9">
        <v>25942</v>
      </c>
      <c r="E9" t="s">
        <v>5755</v>
      </c>
      <c r="F9" t="s">
        <v>5756</v>
      </c>
      <c r="G9" t="s">
        <v>5191</v>
      </c>
      <c r="H9" t="s">
        <v>4744</v>
      </c>
      <c r="I9">
        <v>28</v>
      </c>
      <c r="J9" t="s">
        <v>459</v>
      </c>
      <c r="K9">
        <v>3584</v>
      </c>
      <c r="L9" t="s">
        <v>5748</v>
      </c>
    </row>
    <row r="10" spans="1:12" x14ac:dyDescent="0.3">
      <c r="A10">
        <v>2588</v>
      </c>
      <c r="B10" t="s">
        <v>5743</v>
      </c>
      <c r="C10" t="s">
        <v>557</v>
      </c>
      <c r="D10">
        <v>23980</v>
      </c>
      <c r="E10" t="s">
        <v>5097</v>
      </c>
      <c r="F10" t="s">
        <v>5757</v>
      </c>
      <c r="G10" t="s">
        <v>5191</v>
      </c>
      <c r="H10" t="s">
        <v>4744</v>
      </c>
      <c r="I10">
        <v>7.98</v>
      </c>
      <c r="J10" t="s">
        <v>460</v>
      </c>
      <c r="K10">
        <v>383.04</v>
      </c>
      <c r="L10" t="s">
        <v>5748</v>
      </c>
    </row>
    <row r="11" spans="1:12" x14ac:dyDescent="0.3">
      <c r="A11">
        <v>2635</v>
      </c>
      <c r="B11" t="s">
        <v>5743</v>
      </c>
      <c r="C11" t="s">
        <v>557</v>
      </c>
      <c r="D11">
        <v>16974</v>
      </c>
      <c r="E11" t="s">
        <v>5744</v>
      </c>
      <c r="F11" t="s">
        <v>5745</v>
      </c>
      <c r="G11" t="s">
        <v>5222</v>
      </c>
      <c r="H11" t="s">
        <v>4749</v>
      </c>
      <c r="I11">
        <v>150</v>
      </c>
      <c r="J11" t="s">
        <v>461</v>
      </c>
      <c r="K11">
        <v>442.5</v>
      </c>
      <c r="L11" t="s">
        <v>5758</v>
      </c>
    </row>
    <row r="12" spans="1:12" x14ac:dyDescent="0.3">
      <c r="A12">
        <v>2636</v>
      </c>
      <c r="B12" t="s">
        <v>5743</v>
      </c>
      <c r="C12" t="s">
        <v>557</v>
      </c>
      <c r="D12">
        <v>16974</v>
      </c>
      <c r="E12" t="s">
        <v>5744</v>
      </c>
      <c r="F12" t="s">
        <v>5745</v>
      </c>
      <c r="G12" t="s">
        <v>5222</v>
      </c>
      <c r="H12" t="s">
        <v>4749</v>
      </c>
      <c r="I12">
        <v>250</v>
      </c>
      <c r="J12" t="s">
        <v>461</v>
      </c>
      <c r="K12">
        <v>737.5</v>
      </c>
      <c r="L12" t="s">
        <v>5748</v>
      </c>
    </row>
    <row r="13" spans="1:12" x14ac:dyDescent="0.3">
      <c r="A13">
        <v>3052</v>
      </c>
      <c r="B13" t="s">
        <v>5743</v>
      </c>
      <c r="C13" t="s">
        <v>557</v>
      </c>
      <c r="D13">
        <v>17886</v>
      </c>
      <c r="E13" t="s">
        <v>5083</v>
      </c>
      <c r="F13" t="s">
        <v>5759</v>
      </c>
      <c r="G13" t="s">
        <v>5222</v>
      </c>
      <c r="H13" t="s">
        <v>4738</v>
      </c>
      <c r="I13">
        <v>4</v>
      </c>
      <c r="J13" t="s">
        <v>462</v>
      </c>
      <c r="K13">
        <v>113.28</v>
      </c>
      <c r="L13" t="s">
        <v>5748</v>
      </c>
    </row>
    <row r="14" spans="1:12" x14ac:dyDescent="0.3">
      <c r="A14">
        <v>3062</v>
      </c>
      <c r="B14" t="s">
        <v>5743</v>
      </c>
      <c r="C14" t="s">
        <v>557</v>
      </c>
      <c r="D14">
        <v>18589</v>
      </c>
      <c r="E14" t="s">
        <v>5089</v>
      </c>
      <c r="F14" t="s">
        <v>5760</v>
      </c>
      <c r="G14" t="s">
        <v>5222</v>
      </c>
      <c r="H14" t="s">
        <v>4738</v>
      </c>
      <c r="I14">
        <v>1</v>
      </c>
      <c r="J14" t="s">
        <v>462</v>
      </c>
      <c r="K14">
        <v>96.64</v>
      </c>
      <c r="L14" t="s">
        <v>5748</v>
      </c>
    </row>
    <row r="15" spans="1:12" x14ac:dyDescent="0.3">
      <c r="A15">
        <v>3063</v>
      </c>
      <c r="B15" t="s">
        <v>5743</v>
      </c>
      <c r="C15" t="s">
        <v>557</v>
      </c>
      <c r="D15">
        <v>18586</v>
      </c>
      <c r="E15" t="s">
        <v>4966</v>
      </c>
      <c r="F15" t="s">
        <v>5761</v>
      </c>
      <c r="G15" t="s">
        <v>5222</v>
      </c>
      <c r="H15" t="s">
        <v>4738</v>
      </c>
      <c r="I15">
        <v>1</v>
      </c>
      <c r="J15" t="s">
        <v>462</v>
      </c>
      <c r="K15">
        <v>132.06</v>
      </c>
      <c r="L15" t="s">
        <v>5748</v>
      </c>
    </row>
    <row r="16" spans="1:12" x14ac:dyDescent="0.3">
      <c r="A16">
        <v>3064</v>
      </c>
      <c r="B16" t="s">
        <v>5743</v>
      </c>
      <c r="C16" t="s">
        <v>557</v>
      </c>
      <c r="D16">
        <v>18595</v>
      </c>
      <c r="E16" t="s">
        <v>5092</v>
      </c>
      <c r="F16" t="s">
        <v>5762</v>
      </c>
      <c r="G16" t="s">
        <v>5222</v>
      </c>
      <c r="H16" t="s">
        <v>4738</v>
      </c>
      <c r="I16">
        <v>1</v>
      </c>
      <c r="J16" t="s">
        <v>462</v>
      </c>
      <c r="K16">
        <v>150.47999999999999</v>
      </c>
      <c r="L16" t="s">
        <v>5748</v>
      </c>
    </row>
    <row r="17" spans="1:12" x14ac:dyDescent="0.3">
      <c r="A17">
        <v>3065</v>
      </c>
      <c r="B17" t="s">
        <v>5743</v>
      </c>
      <c r="C17" t="s">
        <v>557</v>
      </c>
      <c r="D17">
        <v>17903</v>
      </c>
      <c r="E17" t="s">
        <v>5084</v>
      </c>
      <c r="F17" t="s">
        <v>5752</v>
      </c>
      <c r="G17" t="s">
        <v>5222</v>
      </c>
      <c r="H17" t="s">
        <v>4738</v>
      </c>
      <c r="I17">
        <v>5</v>
      </c>
      <c r="J17" t="s">
        <v>462</v>
      </c>
      <c r="K17">
        <v>127.65</v>
      </c>
      <c r="L17" t="s">
        <v>5748</v>
      </c>
    </row>
    <row r="18" spans="1:12" x14ac:dyDescent="0.3">
      <c r="A18">
        <v>3066</v>
      </c>
      <c r="B18" t="s">
        <v>5743</v>
      </c>
      <c r="C18" t="s">
        <v>557</v>
      </c>
      <c r="D18">
        <v>18004</v>
      </c>
      <c r="E18" t="s">
        <v>5093</v>
      </c>
      <c r="F18" t="s">
        <v>5763</v>
      </c>
      <c r="G18" t="s">
        <v>5222</v>
      </c>
      <c r="H18" t="s">
        <v>4738</v>
      </c>
      <c r="I18">
        <v>1</v>
      </c>
      <c r="J18" t="s">
        <v>462</v>
      </c>
      <c r="K18">
        <v>29.64</v>
      </c>
      <c r="L18" t="s">
        <v>5748</v>
      </c>
    </row>
    <row r="19" spans="1:12" x14ac:dyDescent="0.3">
      <c r="A19">
        <v>3067</v>
      </c>
      <c r="B19" t="s">
        <v>5743</v>
      </c>
      <c r="C19" t="s">
        <v>557</v>
      </c>
      <c r="D19">
        <v>17905</v>
      </c>
      <c r="E19" t="s">
        <v>5085</v>
      </c>
      <c r="F19" t="s">
        <v>5764</v>
      </c>
      <c r="G19" t="s">
        <v>5222</v>
      </c>
      <c r="H19" t="s">
        <v>4738</v>
      </c>
      <c r="I19">
        <v>3</v>
      </c>
      <c r="J19" t="s">
        <v>462</v>
      </c>
      <c r="K19">
        <v>153.18</v>
      </c>
      <c r="L19" t="s">
        <v>5748</v>
      </c>
    </row>
    <row r="20" spans="1:12" x14ac:dyDescent="0.3">
      <c r="A20">
        <v>3068</v>
      </c>
      <c r="B20" t="s">
        <v>5743</v>
      </c>
      <c r="C20" t="s">
        <v>557</v>
      </c>
      <c r="D20">
        <v>18006</v>
      </c>
      <c r="E20" t="s">
        <v>5094</v>
      </c>
      <c r="F20" t="s">
        <v>5765</v>
      </c>
      <c r="G20" t="s">
        <v>5222</v>
      </c>
      <c r="H20" t="s">
        <v>4738</v>
      </c>
      <c r="I20">
        <v>1</v>
      </c>
      <c r="J20" t="s">
        <v>462</v>
      </c>
      <c r="K20">
        <v>29.64</v>
      </c>
      <c r="L20" t="s">
        <v>5748</v>
      </c>
    </row>
    <row r="21" spans="1:12" x14ac:dyDescent="0.3">
      <c r="A21">
        <v>3069</v>
      </c>
      <c r="B21" t="s">
        <v>5743</v>
      </c>
      <c r="C21" t="s">
        <v>557</v>
      </c>
      <c r="D21">
        <v>17918</v>
      </c>
      <c r="E21" t="s">
        <v>5368</v>
      </c>
      <c r="F21" t="s">
        <v>5766</v>
      </c>
      <c r="G21" t="s">
        <v>5222</v>
      </c>
      <c r="H21" t="s">
        <v>4738</v>
      </c>
      <c r="I21">
        <v>2</v>
      </c>
      <c r="J21" t="s">
        <v>462</v>
      </c>
      <c r="K21">
        <v>86.4</v>
      </c>
      <c r="L21" t="s">
        <v>5748</v>
      </c>
    </row>
    <row r="22" spans="1:12" x14ac:dyDescent="0.3">
      <c r="A22">
        <v>3070</v>
      </c>
      <c r="B22" t="s">
        <v>5743</v>
      </c>
      <c r="C22" t="s">
        <v>557</v>
      </c>
      <c r="D22">
        <v>17881</v>
      </c>
      <c r="E22" t="s">
        <v>5103</v>
      </c>
      <c r="F22" t="s">
        <v>5767</v>
      </c>
      <c r="G22" t="s">
        <v>5222</v>
      </c>
      <c r="H22" t="s">
        <v>4738</v>
      </c>
      <c r="I22">
        <v>1</v>
      </c>
      <c r="J22" t="s">
        <v>462</v>
      </c>
      <c r="K22">
        <v>25.53</v>
      </c>
      <c r="L22" t="s">
        <v>5748</v>
      </c>
    </row>
    <row r="23" spans="1:12" x14ac:dyDescent="0.3">
      <c r="A23">
        <v>3071</v>
      </c>
      <c r="B23" t="s">
        <v>5743</v>
      </c>
      <c r="C23" t="s">
        <v>557</v>
      </c>
      <c r="D23">
        <v>18636</v>
      </c>
      <c r="E23" t="s">
        <v>4964</v>
      </c>
      <c r="F23" t="s">
        <v>5749</v>
      </c>
      <c r="G23" t="s">
        <v>5222</v>
      </c>
      <c r="H23" t="s">
        <v>4965</v>
      </c>
      <c r="I23">
        <v>4</v>
      </c>
      <c r="J23" t="s">
        <v>462</v>
      </c>
      <c r="K23">
        <v>1931.2</v>
      </c>
      <c r="L23" t="s">
        <v>5748</v>
      </c>
    </row>
    <row r="24" spans="1:12" x14ac:dyDescent="0.3">
      <c r="A24">
        <v>3217</v>
      </c>
      <c r="B24" t="s">
        <v>5751</v>
      </c>
      <c r="C24" t="s">
        <v>557</v>
      </c>
      <c r="D24">
        <v>16974</v>
      </c>
      <c r="E24" t="s">
        <v>5744</v>
      </c>
      <c r="F24" t="s">
        <v>5745</v>
      </c>
      <c r="G24" t="s">
        <v>5222</v>
      </c>
      <c r="H24" t="s">
        <v>4749</v>
      </c>
      <c r="I24">
        <v>4</v>
      </c>
      <c r="J24" t="s">
        <v>462</v>
      </c>
      <c r="K24">
        <v>540</v>
      </c>
      <c r="L24" t="s">
        <v>5768</v>
      </c>
    </row>
    <row r="25" spans="1:12" x14ac:dyDescent="0.3">
      <c r="A25">
        <v>3218</v>
      </c>
      <c r="B25" t="s">
        <v>5751</v>
      </c>
      <c r="C25" t="s">
        <v>557</v>
      </c>
      <c r="D25">
        <v>16974</v>
      </c>
      <c r="E25" t="s">
        <v>5744</v>
      </c>
      <c r="F25" t="s">
        <v>5745</v>
      </c>
      <c r="G25" t="s">
        <v>5222</v>
      </c>
      <c r="H25" t="s">
        <v>4749</v>
      </c>
      <c r="I25">
        <v>6</v>
      </c>
      <c r="J25" t="s">
        <v>462</v>
      </c>
      <c r="K25">
        <v>810</v>
      </c>
      <c r="L25" t="s">
        <v>5769</v>
      </c>
    </row>
    <row r="26" spans="1:12" x14ac:dyDescent="0.3">
      <c r="A26">
        <v>3224</v>
      </c>
      <c r="B26" t="s">
        <v>5743</v>
      </c>
      <c r="C26" t="s">
        <v>557</v>
      </c>
      <c r="D26">
        <v>16974</v>
      </c>
      <c r="E26" t="s">
        <v>5744</v>
      </c>
      <c r="F26" t="s">
        <v>5745</v>
      </c>
      <c r="G26" t="s">
        <v>5222</v>
      </c>
      <c r="H26" t="s">
        <v>4749</v>
      </c>
      <c r="I26">
        <v>4</v>
      </c>
      <c r="J26" t="s">
        <v>463</v>
      </c>
      <c r="K26">
        <v>590</v>
      </c>
      <c r="L26" t="s">
        <v>5770</v>
      </c>
    </row>
    <row r="27" spans="1:12" x14ac:dyDescent="0.3">
      <c r="A27">
        <v>3244</v>
      </c>
      <c r="B27" t="s">
        <v>5743</v>
      </c>
      <c r="C27" t="s">
        <v>557</v>
      </c>
      <c r="D27">
        <v>16974</v>
      </c>
      <c r="E27" t="s">
        <v>5744</v>
      </c>
      <c r="F27" t="s">
        <v>5745</v>
      </c>
      <c r="G27" t="s">
        <v>5222</v>
      </c>
      <c r="H27" t="s">
        <v>4749</v>
      </c>
      <c r="I27">
        <v>5</v>
      </c>
      <c r="J27" t="s">
        <v>463</v>
      </c>
      <c r="K27">
        <v>882</v>
      </c>
      <c r="L27" t="s">
        <v>5771</v>
      </c>
    </row>
    <row r="28" spans="1:12" x14ac:dyDescent="0.3">
      <c r="A28">
        <v>3283</v>
      </c>
      <c r="B28" t="s">
        <v>5743</v>
      </c>
      <c r="C28" t="s">
        <v>557</v>
      </c>
      <c r="D28">
        <v>17895</v>
      </c>
      <c r="E28" t="s">
        <v>5086</v>
      </c>
      <c r="F28" t="s">
        <v>5772</v>
      </c>
      <c r="G28" t="s">
        <v>5222</v>
      </c>
      <c r="H28" t="s">
        <v>4738</v>
      </c>
      <c r="I28">
        <v>5</v>
      </c>
      <c r="J28" t="s">
        <v>463</v>
      </c>
      <c r="K28">
        <v>115.3</v>
      </c>
      <c r="L28" t="s">
        <v>5773</v>
      </c>
    </row>
    <row r="29" spans="1:12" x14ac:dyDescent="0.3">
      <c r="A29">
        <v>3284</v>
      </c>
      <c r="B29" t="s">
        <v>5743</v>
      </c>
      <c r="C29" t="s">
        <v>557</v>
      </c>
      <c r="D29">
        <v>17886</v>
      </c>
      <c r="E29" t="s">
        <v>5083</v>
      </c>
      <c r="F29" t="s">
        <v>5759</v>
      </c>
      <c r="G29" t="s">
        <v>5222</v>
      </c>
      <c r="H29" t="s">
        <v>4738</v>
      </c>
      <c r="I29">
        <v>6</v>
      </c>
      <c r="J29" t="s">
        <v>463</v>
      </c>
      <c r="K29">
        <v>138.35</v>
      </c>
      <c r="L29" t="s">
        <v>5773</v>
      </c>
    </row>
    <row r="30" spans="1:12" x14ac:dyDescent="0.3">
      <c r="A30">
        <v>3285</v>
      </c>
      <c r="B30" t="s">
        <v>5743</v>
      </c>
      <c r="C30" t="s">
        <v>557</v>
      </c>
      <c r="D30">
        <v>17903</v>
      </c>
      <c r="E30" t="s">
        <v>5084</v>
      </c>
      <c r="F30" t="s">
        <v>5752</v>
      </c>
      <c r="G30" t="s">
        <v>5222</v>
      </c>
      <c r="H30" t="s">
        <v>4738</v>
      </c>
      <c r="I30">
        <v>5</v>
      </c>
      <c r="J30" t="s">
        <v>463</v>
      </c>
      <c r="K30">
        <v>99.85</v>
      </c>
      <c r="L30" t="s">
        <v>5773</v>
      </c>
    </row>
    <row r="31" spans="1:12" x14ac:dyDescent="0.3">
      <c r="A31">
        <v>3286</v>
      </c>
      <c r="B31" t="s">
        <v>5743</v>
      </c>
      <c r="C31" t="s">
        <v>557</v>
      </c>
      <c r="D31">
        <v>17883</v>
      </c>
      <c r="E31" t="s">
        <v>5113</v>
      </c>
      <c r="F31" t="s">
        <v>5774</v>
      </c>
      <c r="G31" t="s">
        <v>5222</v>
      </c>
      <c r="H31" t="s">
        <v>4738</v>
      </c>
      <c r="I31">
        <v>3</v>
      </c>
      <c r="J31" t="s">
        <v>463</v>
      </c>
      <c r="K31">
        <v>70.349999999999994</v>
      </c>
      <c r="L31" t="s">
        <v>5773</v>
      </c>
    </row>
    <row r="32" spans="1:12" x14ac:dyDescent="0.3">
      <c r="A32">
        <v>3616</v>
      </c>
      <c r="B32" t="s">
        <v>5743</v>
      </c>
      <c r="C32" t="s">
        <v>557</v>
      </c>
      <c r="D32">
        <v>17881</v>
      </c>
      <c r="E32" t="s">
        <v>5103</v>
      </c>
      <c r="F32" t="s">
        <v>5767</v>
      </c>
      <c r="G32" t="s">
        <v>5222</v>
      </c>
      <c r="H32" t="s">
        <v>4738</v>
      </c>
      <c r="I32">
        <v>2</v>
      </c>
      <c r="J32" t="s">
        <v>464</v>
      </c>
      <c r="K32">
        <v>46.9</v>
      </c>
      <c r="L32" t="s">
        <v>5775</v>
      </c>
    </row>
    <row r="33" spans="1:12" x14ac:dyDescent="0.3">
      <c r="A33">
        <v>3617</v>
      </c>
      <c r="B33" t="s">
        <v>5743</v>
      </c>
      <c r="C33" t="s">
        <v>557</v>
      </c>
      <c r="D33">
        <v>17996</v>
      </c>
      <c r="E33" t="s">
        <v>4765</v>
      </c>
      <c r="F33" t="s">
        <v>5776</v>
      </c>
      <c r="G33" t="s">
        <v>5222</v>
      </c>
      <c r="H33" t="s">
        <v>4738</v>
      </c>
      <c r="I33">
        <v>2</v>
      </c>
      <c r="J33" t="s">
        <v>464</v>
      </c>
      <c r="K33">
        <v>48.75</v>
      </c>
      <c r="L33" t="s">
        <v>5775</v>
      </c>
    </row>
    <row r="34" spans="1:12" x14ac:dyDescent="0.3">
      <c r="A34">
        <v>3618</v>
      </c>
      <c r="B34" t="s">
        <v>5743</v>
      </c>
      <c r="C34" t="s">
        <v>557</v>
      </c>
      <c r="D34">
        <v>24981</v>
      </c>
      <c r="E34" t="s">
        <v>5140</v>
      </c>
      <c r="F34" t="s">
        <v>5777</v>
      </c>
      <c r="G34" t="s">
        <v>5222</v>
      </c>
      <c r="H34" t="s">
        <v>4965</v>
      </c>
      <c r="I34">
        <v>1</v>
      </c>
      <c r="J34" t="s">
        <v>464</v>
      </c>
      <c r="K34">
        <v>316.87</v>
      </c>
      <c r="L34" t="s">
        <v>5775</v>
      </c>
    </row>
    <row r="35" spans="1:12" x14ac:dyDescent="0.3">
      <c r="A35">
        <v>3619</v>
      </c>
      <c r="B35" t="s">
        <v>5743</v>
      </c>
      <c r="C35" t="s">
        <v>557</v>
      </c>
      <c r="D35">
        <v>18588</v>
      </c>
      <c r="E35" t="s">
        <v>5778</v>
      </c>
      <c r="F35" t="s">
        <v>5760</v>
      </c>
      <c r="G35" t="s">
        <v>5222</v>
      </c>
      <c r="H35" t="s">
        <v>4736</v>
      </c>
      <c r="I35">
        <v>1</v>
      </c>
      <c r="J35" t="s">
        <v>464</v>
      </c>
      <c r="K35">
        <v>115</v>
      </c>
      <c r="L35" t="s">
        <v>5775</v>
      </c>
    </row>
    <row r="36" spans="1:12" x14ac:dyDescent="0.3">
      <c r="A36">
        <v>3620</v>
      </c>
      <c r="B36" t="s">
        <v>5743</v>
      </c>
      <c r="C36" t="s">
        <v>557</v>
      </c>
      <c r="D36">
        <v>18006</v>
      </c>
      <c r="E36" t="s">
        <v>5094</v>
      </c>
      <c r="F36" t="s">
        <v>5765</v>
      </c>
      <c r="G36" t="s">
        <v>5222</v>
      </c>
      <c r="H36" t="s">
        <v>4738</v>
      </c>
      <c r="I36">
        <v>1</v>
      </c>
      <c r="J36" t="s">
        <v>464</v>
      </c>
      <c r="K36">
        <v>29.64</v>
      </c>
      <c r="L36" t="s">
        <v>5775</v>
      </c>
    </row>
    <row r="37" spans="1:12" x14ac:dyDescent="0.3">
      <c r="A37">
        <v>3621</v>
      </c>
      <c r="B37" t="s">
        <v>5743</v>
      </c>
      <c r="C37" t="s">
        <v>557</v>
      </c>
      <c r="D37">
        <v>18579</v>
      </c>
      <c r="E37" t="s">
        <v>5087</v>
      </c>
      <c r="F37" t="s">
        <v>5779</v>
      </c>
      <c r="G37" t="s">
        <v>5222</v>
      </c>
      <c r="H37" t="s">
        <v>4749</v>
      </c>
      <c r="I37">
        <v>2</v>
      </c>
      <c r="J37" t="s">
        <v>464</v>
      </c>
      <c r="K37">
        <v>175.14</v>
      </c>
      <c r="L37" t="s">
        <v>5775</v>
      </c>
    </row>
    <row r="38" spans="1:12" x14ac:dyDescent="0.3">
      <c r="A38">
        <v>3622</v>
      </c>
      <c r="B38" t="s">
        <v>5743</v>
      </c>
      <c r="C38" t="s">
        <v>557</v>
      </c>
      <c r="D38">
        <v>17881</v>
      </c>
      <c r="E38" t="s">
        <v>5103</v>
      </c>
      <c r="F38" t="s">
        <v>5767</v>
      </c>
      <c r="G38" t="s">
        <v>5222</v>
      </c>
      <c r="H38" t="s">
        <v>4738</v>
      </c>
      <c r="I38">
        <v>2</v>
      </c>
      <c r="J38" t="s">
        <v>464</v>
      </c>
      <c r="K38">
        <v>56.64</v>
      </c>
      <c r="L38" t="s">
        <v>5775</v>
      </c>
    </row>
    <row r="39" spans="1:12" x14ac:dyDescent="0.3">
      <c r="A39">
        <v>3623</v>
      </c>
      <c r="B39" t="s">
        <v>5743</v>
      </c>
      <c r="C39" t="s">
        <v>557</v>
      </c>
      <c r="D39">
        <v>25746</v>
      </c>
      <c r="E39" t="s">
        <v>5709</v>
      </c>
      <c r="F39" t="s">
        <v>5780</v>
      </c>
      <c r="G39" t="s">
        <v>5222</v>
      </c>
      <c r="H39" t="s">
        <v>4805</v>
      </c>
      <c r="I39">
        <v>24</v>
      </c>
      <c r="J39" t="s">
        <v>464</v>
      </c>
      <c r="K39">
        <v>107.55</v>
      </c>
      <c r="L39" t="s">
        <v>5775</v>
      </c>
    </row>
    <row r="40" spans="1:12" x14ac:dyDescent="0.3">
      <c r="A40">
        <v>3624</v>
      </c>
      <c r="B40" t="s">
        <v>5743</v>
      </c>
      <c r="C40" t="s">
        <v>557</v>
      </c>
      <c r="D40">
        <v>17886</v>
      </c>
      <c r="E40" t="s">
        <v>5083</v>
      </c>
      <c r="F40" t="s">
        <v>5759</v>
      </c>
      <c r="G40" t="s">
        <v>5222</v>
      </c>
      <c r="H40" t="s">
        <v>4738</v>
      </c>
      <c r="I40">
        <v>6</v>
      </c>
      <c r="J40" t="s">
        <v>464</v>
      </c>
      <c r="K40">
        <v>138.34</v>
      </c>
      <c r="L40" t="s">
        <v>5775</v>
      </c>
    </row>
    <row r="41" spans="1:12" x14ac:dyDescent="0.3">
      <c r="A41">
        <v>3625</v>
      </c>
      <c r="B41" t="s">
        <v>5743</v>
      </c>
      <c r="C41" t="s">
        <v>557</v>
      </c>
      <c r="D41">
        <v>27145</v>
      </c>
      <c r="E41" t="s">
        <v>5028</v>
      </c>
      <c r="F41" t="s">
        <v>5781</v>
      </c>
      <c r="G41" t="s">
        <v>5222</v>
      </c>
      <c r="H41" t="s">
        <v>4965</v>
      </c>
      <c r="I41">
        <v>30</v>
      </c>
      <c r="J41" t="s">
        <v>464</v>
      </c>
      <c r="K41">
        <v>316.91000000000003</v>
      </c>
      <c r="L41" t="s">
        <v>5782</v>
      </c>
    </row>
    <row r="42" spans="1:12" x14ac:dyDescent="0.3">
      <c r="A42">
        <v>3626</v>
      </c>
      <c r="B42" t="s">
        <v>5743</v>
      </c>
      <c r="C42" t="s">
        <v>557</v>
      </c>
      <c r="D42">
        <v>18042</v>
      </c>
      <c r="E42" t="s">
        <v>5657</v>
      </c>
      <c r="F42" t="s">
        <v>5783</v>
      </c>
      <c r="G42" t="s">
        <v>5222</v>
      </c>
      <c r="H42" t="s">
        <v>4805</v>
      </c>
      <c r="I42">
        <v>4</v>
      </c>
      <c r="J42" t="s">
        <v>464</v>
      </c>
      <c r="K42">
        <v>287.60000000000002</v>
      </c>
      <c r="L42" t="s">
        <v>5784</v>
      </c>
    </row>
    <row r="43" spans="1:12" x14ac:dyDescent="0.3">
      <c r="A43">
        <v>3627</v>
      </c>
      <c r="B43" t="s">
        <v>5743</v>
      </c>
      <c r="C43" t="s">
        <v>557</v>
      </c>
      <c r="D43">
        <v>18636</v>
      </c>
      <c r="E43" t="s">
        <v>4964</v>
      </c>
      <c r="F43" t="s">
        <v>5749</v>
      </c>
      <c r="G43" t="s">
        <v>5222</v>
      </c>
      <c r="H43" t="s">
        <v>4965</v>
      </c>
      <c r="I43">
        <v>8</v>
      </c>
      <c r="J43" t="s">
        <v>464</v>
      </c>
      <c r="K43">
        <v>3862.4</v>
      </c>
      <c r="L43" t="s">
        <v>5785</v>
      </c>
    </row>
    <row r="44" spans="1:12" x14ac:dyDescent="0.3">
      <c r="A44">
        <v>3630</v>
      </c>
      <c r="B44" t="s">
        <v>5743</v>
      </c>
      <c r="C44" t="s">
        <v>557</v>
      </c>
      <c r="D44">
        <v>18822</v>
      </c>
      <c r="E44" t="s">
        <v>4811</v>
      </c>
      <c r="F44" t="s">
        <v>5747</v>
      </c>
      <c r="G44" t="s">
        <v>5191</v>
      </c>
      <c r="H44" t="s">
        <v>4744</v>
      </c>
      <c r="I44">
        <v>19.5</v>
      </c>
      <c r="J44" t="s">
        <v>464</v>
      </c>
      <c r="K44">
        <v>2088.88</v>
      </c>
      <c r="L44" t="s">
        <v>5786</v>
      </c>
    </row>
    <row r="45" spans="1:12" x14ac:dyDescent="0.3">
      <c r="A45">
        <v>3631</v>
      </c>
      <c r="B45" t="s">
        <v>5743</v>
      </c>
      <c r="C45" t="s">
        <v>557</v>
      </c>
      <c r="D45">
        <v>16973</v>
      </c>
      <c r="E45" t="s">
        <v>4827</v>
      </c>
      <c r="F45" t="s">
        <v>5787</v>
      </c>
      <c r="G45" t="s">
        <v>5222</v>
      </c>
      <c r="H45" t="s">
        <v>4749</v>
      </c>
      <c r="I45">
        <v>300</v>
      </c>
      <c r="J45" t="s">
        <v>464</v>
      </c>
      <c r="K45">
        <v>885</v>
      </c>
      <c r="L45" t="s">
        <v>5788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7"/>
  <sheetViews>
    <sheetView workbookViewId="0"/>
  </sheetViews>
  <sheetFormatPr defaultRowHeight="14.4" x14ac:dyDescent="0.3"/>
  <sheetData>
    <row r="1" spans="1:7" x14ac:dyDescent="0.3">
      <c r="A1" t="s">
        <v>5789</v>
      </c>
      <c r="B1" t="s">
        <v>549</v>
      </c>
      <c r="C1" t="s">
        <v>5790</v>
      </c>
      <c r="D1" t="s">
        <v>556</v>
      </c>
      <c r="E1" t="s">
        <v>5791</v>
      </c>
      <c r="F1" t="s">
        <v>553</v>
      </c>
      <c r="G1" t="s">
        <v>5792</v>
      </c>
    </row>
    <row r="2" spans="1:7" x14ac:dyDescent="0.3">
      <c r="A2">
        <v>261</v>
      </c>
      <c r="B2" t="s">
        <v>557</v>
      </c>
      <c r="C2" s="452">
        <v>46022</v>
      </c>
      <c r="D2" t="s">
        <v>458</v>
      </c>
      <c r="E2" t="s">
        <v>5793</v>
      </c>
      <c r="F2">
        <v>14889</v>
      </c>
      <c r="G2" t="s">
        <v>5794</v>
      </c>
    </row>
    <row r="3" spans="1:7" x14ac:dyDescent="0.3">
      <c r="A3">
        <v>277</v>
      </c>
      <c r="B3" t="s">
        <v>557</v>
      </c>
      <c r="C3" s="452">
        <v>46052</v>
      </c>
      <c r="D3" t="s">
        <v>459</v>
      </c>
      <c r="E3" t="s">
        <v>5793</v>
      </c>
      <c r="F3">
        <v>10506</v>
      </c>
      <c r="G3" t="s">
        <v>5794</v>
      </c>
    </row>
    <row r="4" spans="1:7" x14ac:dyDescent="0.3">
      <c r="A4">
        <v>278</v>
      </c>
      <c r="B4" t="s">
        <v>557</v>
      </c>
      <c r="C4" s="452">
        <v>46081</v>
      </c>
      <c r="D4" t="s">
        <v>460</v>
      </c>
      <c r="E4" t="s">
        <v>5793</v>
      </c>
      <c r="F4">
        <v>9681</v>
      </c>
      <c r="G4" t="s">
        <v>5794</v>
      </c>
    </row>
    <row r="5" spans="1:7" x14ac:dyDescent="0.3">
      <c r="A5">
        <v>289</v>
      </c>
      <c r="B5" t="s">
        <v>557</v>
      </c>
      <c r="C5" s="452">
        <v>46112</v>
      </c>
      <c r="D5" t="s">
        <v>461</v>
      </c>
      <c r="E5" t="s">
        <v>5793</v>
      </c>
      <c r="F5">
        <v>11018</v>
      </c>
      <c r="G5" t="s">
        <v>5794</v>
      </c>
    </row>
    <row r="6" spans="1:7" x14ac:dyDescent="0.3">
      <c r="A6">
        <v>299</v>
      </c>
      <c r="B6" t="s">
        <v>557</v>
      </c>
      <c r="C6" s="452">
        <v>46142</v>
      </c>
      <c r="D6" t="s">
        <v>462</v>
      </c>
      <c r="E6" t="s">
        <v>5793</v>
      </c>
      <c r="F6">
        <v>10556</v>
      </c>
      <c r="G6" t="s">
        <v>5794</v>
      </c>
    </row>
    <row r="7" spans="1:7" x14ac:dyDescent="0.3">
      <c r="A7">
        <v>312</v>
      </c>
      <c r="B7" t="s">
        <v>557</v>
      </c>
      <c r="C7" s="452">
        <v>46172</v>
      </c>
      <c r="D7" t="s">
        <v>463</v>
      </c>
      <c r="E7" t="s">
        <v>5793</v>
      </c>
      <c r="F7">
        <v>10517.5</v>
      </c>
      <c r="G7" t="s">
        <v>5794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69"/>
  <sheetViews>
    <sheetView workbookViewId="0"/>
  </sheetViews>
  <sheetFormatPr defaultRowHeight="14.4" x14ac:dyDescent="0.3"/>
  <sheetData>
    <row r="1" spans="1:10" x14ac:dyDescent="0.3">
      <c r="A1" t="s">
        <v>5795</v>
      </c>
      <c r="B1" t="s">
        <v>549</v>
      </c>
      <c r="C1" t="s">
        <v>4730</v>
      </c>
      <c r="D1" t="s">
        <v>556</v>
      </c>
      <c r="E1" t="s">
        <v>5796</v>
      </c>
      <c r="F1" t="s">
        <v>4734</v>
      </c>
      <c r="G1" t="s">
        <v>4733</v>
      </c>
      <c r="H1" t="s">
        <v>5797</v>
      </c>
      <c r="I1" t="s">
        <v>5186</v>
      </c>
      <c r="J1" t="s">
        <v>3914</v>
      </c>
    </row>
    <row r="2" spans="1:10" x14ac:dyDescent="0.3">
      <c r="A2">
        <v>1178</v>
      </c>
      <c r="B2" t="s">
        <v>557</v>
      </c>
      <c r="C2" s="452">
        <v>45658</v>
      </c>
      <c r="D2" t="s">
        <v>730</v>
      </c>
      <c r="E2" t="s">
        <v>5798</v>
      </c>
      <c r="F2" t="s">
        <v>5799</v>
      </c>
      <c r="G2">
        <v>5.3</v>
      </c>
      <c r="H2" t="s">
        <v>5191</v>
      </c>
      <c r="I2">
        <v>38.83</v>
      </c>
      <c r="J2">
        <v>205.8</v>
      </c>
    </row>
    <row r="3" spans="1:10" x14ac:dyDescent="0.3">
      <c r="A3">
        <v>1364</v>
      </c>
      <c r="B3" t="s">
        <v>557</v>
      </c>
      <c r="C3" s="452">
        <v>45689</v>
      </c>
      <c r="D3" t="s">
        <v>4560</v>
      </c>
      <c r="E3" t="s">
        <v>5798</v>
      </c>
      <c r="F3" t="s">
        <v>5799</v>
      </c>
      <c r="G3">
        <v>12.01</v>
      </c>
      <c r="H3" t="s">
        <v>5191</v>
      </c>
      <c r="I3">
        <v>38.83</v>
      </c>
      <c r="J3">
        <v>466.35</v>
      </c>
    </row>
    <row r="4" spans="1:10" x14ac:dyDescent="0.3">
      <c r="A4">
        <v>3162</v>
      </c>
      <c r="B4" t="s">
        <v>557</v>
      </c>
      <c r="C4" s="452">
        <v>45717</v>
      </c>
      <c r="D4" t="s">
        <v>4476</v>
      </c>
      <c r="E4" t="s">
        <v>5798</v>
      </c>
      <c r="F4" t="s">
        <v>5799</v>
      </c>
      <c r="G4">
        <v>11.92</v>
      </c>
      <c r="H4" t="s">
        <v>5191</v>
      </c>
      <c r="I4">
        <v>38.83</v>
      </c>
      <c r="J4">
        <v>462.85</v>
      </c>
    </row>
    <row r="5" spans="1:10" x14ac:dyDescent="0.3">
      <c r="A5">
        <v>3308</v>
      </c>
      <c r="B5" t="s">
        <v>557</v>
      </c>
      <c r="C5" s="452">
        <v>45748</v>
      </c>
      <c r="D5" t="s">
        <v>4455</v>
      </c>
      <c r="E5" t="s">
        <v>5798</v>
      </c>
      <c r="F5" t="s">
        <v>5799</v>
      </c>
      <c r="G5">
        <v>13.75</v>
      </c>
      <c r="H5" t="s">
        <v>5191</v>
      </c>
      <c r="I5">
        <v>38.83</v>
      </c>
      <c r="J5">
        <v>533.91</v>
      </c>
    </row>
    <row r="6" spans="1:10" x14ac:dyDescent="0.3">
      <c r="A6">
        <v>3835</v>
      </c>
      <c r="B6" t="s">
        <v>557</v>
      </c>
      <c r="C6" s="452">
        <v>45778</v>
      </c>
      <c r="D6" t="s">
        <v>4436</v>
      </c>
      <c r="E6" t="s">
        <v>5798</v>
      </c>
      <c r="F6" t="s">
        <v>5799</v>
      </c>
      <c r="G6">
        <v>4.22</v>
      </c>
      <c r="H6" t="s">
        <v>5191</v>
      </c>
      <c r="I6">
        <v>38.83</v>
      </c>
      <c r="J6">
        <v>163.86</v>
      </c>
    </row>
    <row r="7" spans="1:10" x14ac:dyDescent="0.3">
      <c r="A7">
        <v>6817</v>
      </c>
      <c r="B7" t="s">
        <v>557</v>
      </c>
      <c r="C7" s="452">
        <v>45901</v>
      </c>
      <c r="D7" t="s">
        <v>4038</v>
      </c>
      <c r="E7" t="s">
        <v>5798</v>
      </c>
      <c r="F7" t="s">
        <v>5799</v>
      </c>
      <c r="G7">
        <v>16.7</v>
      </c>
      <c r="H7" t="s">
        <v>5191</v>
      </c>
      <c r="I7">
        <v>5.29</v>
      </c>
      <c r="J7">
        <v>88.34</v>
      </c>
    </row>
    <row r="8" spans="1:10" x14ac:dyDescent="0.3">
      <c r="A8">
        <v>6940</v>
      </c>
      <c r="B8" t="s">
        <v>557</v>
      </c>
      <c r="C8" s="452">
        <v>45931</v>
      </c>
      <c r="D8" t="s">
        <v>3999</v>
      </c>
      <c r="E8" t="s">
        <v>5798</v>
      </c>
      <c r="F8" t="s">
        <v>5799</v>
      </c>
      <c r="G8">
        <v>26.55</v>
      </c>
      <c r="H8" t="s">
        <v>5191</v>
      </c>
      <c r="I8">
        <v>5.29</v>
      </c>
      <c r="J8">
        <v>140.44999999999999</v>
      </c>
    </row>
    <row r="9" spans="1:10" x14ac:dyDescent="0.3">
      <c r="A9">
        <v>7223</v>
      </c>
      <c r="B9" t="s">
        <v>557</v>
      </c>
      <c r="C9" s="452">
        <v>45962</v>
      </c>
      <c r="D9" t="s">
        <v>751</v>
      </c>
      <c r="E9" t="s">
        <v>5798</v>
      </c>
      <c r="F9" t="s">
        <v>5799</v>
      </c>
      <c r="G9">
        <v>26.4</v>
      </c>
      <c r="H9" t="s">
        <v>5191</v>
      </c>
      <c r="I9">
        <v>5.29</v>
      </c>
      <c r="J9">
        <v>139.66</v>
      </c>
    </row>
    <row r="10" spans="1:10" x14ac:dyDescent="0.3">
      <c r="A10">
        <v>7680</v>
      </c>
      <c r="B10" t="s">
        <v>557</v>
      </c>
      <c r="C10" s="452">
        <v>45992</v>
      </c>
      <c r="D10" t="s">
        <v>753</v>
      </c>
      <c r="E10" t="s">
        <v>5798</v>
      </c>
      <c r="F10" t="s">
        <v>5799</v>
      </c>
      <c r="G10">
        <v>10.5</v>
      </c>
      <c r="H10" t="s">
        <v>5191</v>
      </c>
      <c r="I10">
        <v>5.29</v>
      </c>
      <c r="J10">
        <v>55.55</v>
      </c>
    </row>
    <row r="11" spans="1:10" x14ac:dyDescent="0.3">
      <c r="A11">
        <v>8042</v>
      </c>
      <c r="B11" t="s">
        <v>557</v>
      </c>
      <c r="C11" s="452">
        <v>46023</v>
      </c>
      <c r="D11" t="s">
        <v>458</v>
      </c>
      <c r="E11" t="s">
        <v>5798</v>
      </c>
      <c r="F11" t="s">
        <v>5799</v>
      </c>
      <c r="G11">
        <v>7.63</v>
      </c>
      <c r="H11" t="s">
        <v>5191</v>
      </c>
      <c r="I11">
        <v>5.29</v>
      </c>
      <c r="J11">
        <v>40.36</v>
      </c>
    </row>
    <row r="12" spans="1:10" x14ac:dyDescent="0.3">
      <c r="A12">
        <v>8623</v>
      </c>
      <c r="B12" t="s">
        <v>557</v>
      </c>
      <c r="C12" s="452">
        <v>46054</v>
      </c>
      <c r="D12" t="s">
        <v>459</v>
      </c>
      <c r="E12" t="s">
        <v>5798</v>
      </c>
      <c r="F12" t="s">
        <v>5799</v>
      </c>
      <c r="G12">
        <v>18.3</v>
      </c>
      <c r="H12" t="s">
        <v>5191</v>
      </c>
      <c r="I12">
        <v>5.29</v>
      </c>
      <c r="J12">
        <v>96.81</v>
      </c>
    </row>
    <row r="13" spans="1:10" x14ac:dyDescent="0.3">
      <c r="A13">
        <v>8720</v>
      </c>
      <c r="B13" t="s">
        <v>557</v>
      </c>
      <c r="C13" s="452">
        <v>46082</v>
      </c>
      <c r="D13" t="s">
        <v>460</v>
      </c>
      <c r="E13" t="s">
        <v>5798</v>
      </c>
      <c r="F13" t="s">
        <v>5799</v>
      </c>
      <c r="G13">
        <v>3.45</v>
      </c>
      <c r="H13" t="s">
        <v>5191</v>
      </c>
      <c r="I13">
        <v>5.29</v>
      </c>
      <c r="J13">
        <v>18.25</v>
      </c>
    </row>
    <row r="14" spans="1:10" x14ac:dyDescent="0.3">
      <c r="A14">
        <v>10007</v>
      </c>
      <c r="B14" t="s">
        <v>557</v>
      </c>
      <c r="C14" s="452">
        <v>46143</v>
      </c>
      <c r="D14" t="s">
        <v>462</v>
      </c>
      <c r="E14" t="s">
        <v>5798</v>
      </c>
      <c r="F14" t="s">
        <v>5799</v>
      </c>
      <c r="G14">
        <v>19.350000000000001</v>
      </c>
      <c r="H14" t="s">
        <v>5191</v>
      </c>
      <c r="I14">
        <v>5.29</v>
      </c>
      <c r="J14">
        <v>102.36</v>
      </c>
    </row>
    <row r="15" spans="1:10" x14ac:dyDescent="0.3">
      <c r="A15">
        <v>10736</v>
      </c>
      <c r="B15" t="s">
        <v>557</v>
      </c>
      <c r="C15" s="452">
        <v>46174</v>
      </c>
      <c r="D15" t="s">
        <v>463</v>
      </c>
      <c r="E15" t="s">
        <v>5798</v>
      </c>
      <c r="F15" t="s">
        <v>5799</v>
      </c>
      <c r="G15">
        <v>23.5</v>
      </c>
      <c r="H15" t="s">
        <v>5191</v>
      </c>
      <c r="I15">
        <v>5.29</v>
      </c>
      <c r="J15">
        <v>124.32</v>
      </c>
    </row>
    <row r="16" spans="1:10" x14ac:dyDescent="0.3">
      <c r="A16">
        <v>1179</v>
      </c>
      <c r="B16" t="s">
        <v>557</v>
      </c>
      <c r="C16" s="452">
        <v>45658</v>
      </c>
      <c r="D16" t="s">
        <v>730</v>
      </c>
      <c r="E16" t="s">
        <v>4158</v>
      </c>
      <c r="F16" t="s">
        <v>5240</v>
      </c>
      <c r="G16">
        <v>49</v>
      </c>
      <c r="H16" t="s">
        <v>5191</v>
      </c>
      <c r="I16">
        <v>13.74</v>
      </c>
      <c r="J16">
        <v>673.26</v>
      </c>
    </row>
    <row r="17" spans="1:10" x14ac:dyDescent="0.3">
      <c r="A17">
        <v>1359</v>
      </c>
      <c r="B17" t="s">
        <v>557</v>
      </c>
      <c r="C17" s="452">
        <v>45689</v>
      </c>
      <c r="D17" t="s">
        <v>4560</v>
      </c>
      <c r="E17" t="s">
        <v>4158</v>
      </c>
      <c r="F17" t="s">
        <v>5240</v>
      </c>
      <c r="G17">
        <v>34</v>
      </c>
      <c r="H17" t="s">
        <v>5191</v>
      </c>
      <c r="I17">
        <v>13.74</v>
      </c>
      <c r="J17">
        <v>467.16</v>
      </c>
    </row>
    <row r="18" spans="1:10" x14ac:dyDescent="0.3">
      <c r="A18">
        <v>3157</v>
      </c>
      <c r="B18" t="s">
        <v>557</v>
      </c>
      <c r="C18" s="452">
        <v>45717</v>
      </c>
      <c r="D18" t="s">
        <v>4476</v>
      </c>
      <c r="E18" t="s">
        <v>4158</v>
      </c>
      <c r="F18" t="s">
        <v>5240</v>
      </c>
      <c r="G18">
        <v>67</v>
      </c>
      <c r="H18" t="s">
        <v>5191</v>
      </c>
      <c r="I18">
        <v>13.74</v>
      </c>
      <c r="J18">
        <v>920.58</v>
      </c>
    </row>
    <row r="19" spans="1:10" x14ac:dyDescent="0.3">
      <c r="A19">
        <v>3304</v>
      </c>
      <c r="B19" t="s">
        <v>557</v>
      </c>
      <c r="C19" s="452">
        <v>45748</v>
      </c>
      <c r="D19" t="s">
        <v>4455</v>
      </c>
      <c r="E19" t="s">
        <v>4158</v>
      </c>
      <c r="F19" t="s">
        <v>5240</v>
      </c>
      <c r="G19">
        <v>75</v>
      </c>
      <c r="H19" t="s">
        <v>5191</v>
      </c>
      <c r="I19">
        <v>13.74</v>
      </c>
      <c r="J19">
        <v>1030.5</v>
      </c>
    </row>
    <row r="20" spans="1:10" x14ac:dyDescent="0.3">
      <c r="A20">
        <v>3828</v>
      </c>
      <c r="B20" t="s">
        <v>557</v>
      </c>
      <c r="C20" s="452">
        <v>45778</v>
      </c>
      <c r="D20" t="s">
        <v>4436</v>
      </c>
      <c r="E20" t="s">
        <v>4158</v>
      </c>
      <c r="F20" t="s">
        <v>5240</v>
      </c>
      <c r="G20">
        <v>83</v>
      </c>
      <c r="H20" t="s">
        <v>5191</v>
      </c>
      <c r="I20">
        <v>13.74</v>
      </c>
      <c r="J20">
        <v>1140.42</v>
      </c>
    </row>
    <row r="21" spans="1:10" x14ac:dyDescent="0.3">
      <c r="A21">
        <v>4536</v>
      </c>
      <c r="B21" t="s">
        <v>557</v>
      </c>
      <c r="C21" s="452">
        <v>45809</v>
      </c>
      <c r="D21" t="s">
        <v>4434</v>
      </c>
      <c r="E21" t="s">
        <v>4158</v>
      </c>
      <c r="F21" t="s">
        <v>5240</v>
      </c>
      <c r="G21">
        <v>71</v>
      </c>
      <c r="H21" t="s">
        <v>5191</v>
      </c>
      <c r="I21">
        <v>13.74</v>
      </c>
      <c r="J21">
        <v>975.54</v>
      </c>
    </row>
    <row r="22" spans="1:10" x14ac:dyDescent="0.3">
      <c r="A22">
        <v>5189</v>
      </c>
      <c r="B22" t="s">
        <v>557</v>
      </c>
      <c r="C22" s="452">
        <v>45839</v>
      </c>
      <c r="D22" t="s">
        <v>3935</v>
      </c>
      <c r="E22" t="s">
        <v>4158</v>
      </c>
      <c r="F22" t="s">
        <v>5240</v>
      </c>
      <c r="G22">
        <v>42</v>
      </c>
      <c r="H22" t="s">
        <v>5191</v>
      </c>
      <c r="I22">
        <v>13.74</v>
      </c>
      <c r="J22">
        <v>577.08000000000004</v>
      </c>
    </row>
    <row r="23" spans="1:10" x14ac:dyDescent="0.3">
      <c r="A23">
        <v>5688</v>
      </c>
      <c r="B23" t="s">
        <v>557</v>
      </c>
      <c r="C23" s="452">
        <v>45870</v>
      </c>
      <c r="D23" t="s">
        <v>4040</v>
      </c>
      <c r="E23" t="s">
        <v>4158</v>
      </c>
      <c r="F23" t="s">
        <v>5240</v>
      </c>
      <c r="G23">
        <v>23.67</v>
      </c>
      <c r="H23" t="s">
        <v>5191</v>
      </c>
      <c r="I23">
        <v>13.74</v>
      </c>
      <c r="J23">
        <v>325.23</v>
      </c>
    </row>
    <row r="24" spans="1:10" x14ac:dyDescent="0.3">
      <c r="A24">
        <v>6361</v>
      </c>
      <c r="B24" t="s">
        <v>557</v>
      </c>
      <c r="C24" s="452">
        <v>45901</v>
      </c>
      <c r="D24" t="s">
        <v>4038</v>
      </c>
      <c r="E24" t="s">
        <v>4158</v>
      </c>
      <c r="F24" t="s">
        <v>5240</v>
      </c>
      <c r="G24">
        <v>95</v>
      </c>
      <c r="H24" t="s">
        <v>5191</v>
      </c>
      <c r="I24">
        <v>13.74</v>
      </c>
      <c r="J24">
        <v>1305.3</v>
      </c>
    </row>
    <row r="25" spans="1:10" x14ac:dyDescent="0.3">
      <c r="A25">
        <v>6932</v>
      </c>
      <c r="B25" t="s">
        <v>557</v>
      </c>
      <c r="C25" s="452">
        <v>45931</v>
      </c>
      <c r="D25" t="s">
        <v>3999</v>
      </c>
      <c r="E25" t="s">
        <v>4158</v>
      </c>
      <c r="F25" t="s">
        <v>5240</v>
      </c>
      <c r="G25">
        <v>54</v>
      </c>
      <c r="H25" t="s">
        <v>5191</v>
      </c>
      <c r="I25">
        <v>5.15</v>
      </c>
      <c r="J25">
        <v>278.10000000000002</v>
      </c>
    </row>
    <row r="26" spans="1:10" x14ac:dyDescent="0.3">
      <c r="A26">
        <v>7216</v>
      </c>
      <c r="B26" t="s">
        <v>557</v>
      </c>
      <c r="C26" s="452">
        <v>45962</v>
      </c>
      <c r="D26" t="s">
        <v>751</v>
      </c>
      <c r="E26" t="s">
        <v>4158</v>
      </c>
      <c r="F26" t="s">
        <v>5240</v>
      </c>
      <c r="G26">
        <v>103</v>
      </c>
      <c r="H26" t="s">
        <v>5191</v>
      </c>
      <c r="I26">
        <v>5.15</v>
      </c>
      <c r="J26">
        <v>530.45000000000005</v>
      </c>
    </row>
    <row r="27" spans="1:10" x14ac:dyDescent="0.3">
      <c r="A27">
        <v>7674</v>
      </c>
      <c r="B27" t="s">
        <v>557</v>
      </c>
      <c r="C27" s="452">
        <v>45992</v>
      </c>
      <c r="D27" t="s">
        <v>753</v>
      </c>
      <c r="E27" t="s">
        <v>4158</v>
      </c>
      <c r="F27" t="s">
        <v>5240</v>
      </c>
      <c r="G27">
        <v>140</v>
      </c>
      <c r="H27" t="s">
        <v>5191</v>
      </c>
      <c r="I27">
        <v>5.15</v>
      </c>
      <c r="J27">
        <v>721</v>
      </c>
    </row>
    <row r="28" spans="1:10" x14ac:dyDescent="0.3">
      <c r="A28">
        <v>8038</v>
      </c>
      <c r="B28" t="s">
        <v>557</v>
      </c>
      <c r="C28" s="452">
        <v>46023</v>
      </c>
      <c r="D28" t="s">
        <v>458</v>
      </c>
      <c r="E28" t="s">
        <v>4158</v>
      </c>
      <c r="F28" t="s">
        <v>5240</v>
      </c>
      <c r="G28">
        <v>122</v>
      </c>
      <c r="H28" t="s">
        <v>5191</v>
      </c>
      <c r="I28">
        <v>5.15</v>
      </c>
      <c r="J28">
        <v>628.29999999999995</v>
      </c>
    </row>
    <row r="29" spans="1:10" x14ac:dyDescent="0.3">
      <c r="A29">
        <v>8622</v>
      </c>
      <c r="B29" t="s">
        <v>557</v>
      </c>
      <c r="C29" s="452">
        <v>46054</v>
      </c>
      <c r="D29" t="s">
        <v>459</v>
      </c>
      <c r="E29" t="s">
        <v>4158</v>
      </c>
      <c r="F29" t="s">
        <v>5240</v>
      </c>
      <c r="G29">
        <v>95</v>
      </c>
      <c r="H29" t="s">
        <v>5191</v>
      </c>
      <c r="I29">
        <v>5.15</v>
      </c>
      <c r="J29">
        <v>489.25</v>
      </c>
    </row>
    <row r="30" spans="1:10" x14ac:dyDescent="0.3">
      <c r="A30">
        <v>8715</v>
      </c>
      <c r="B30" t="s">
        <v>557</v>
      </c>
      <c r="C30" s="452">
        <v>46082</v>
      </c>
      <c r="D30" t="s">
        <v>460</v>
      </c>
      <c r="E30" t="s">
        <v>4158</v>
      </c>
      <c r="F30" t="s">
        <v>5240</v>
      </c>
      <c r="G30">
        <v>107</v>
      </c>
      <c r="H30" t="s">
        <v>5191</v>
      </c>
      <c r="I30">
        <v>5.15</v>
      </c>
      <c r="J30">
        <v>551.04999999999995</v>
      </c>
    </row>
    <row r="31" spans="1:10" x14ac:dyDescent="0.3">
      <c r="A31">
        <v>9457</v>
      </c>
      <c r="B31" t="s">
        <v>557</v>
      </c>
      <c r="C31" s="452">
        <v>46113</v>
      </c>
      <c r="D31" t="s">
        <v>461</v>
      </c>
      <c r="E31" t="s">
        <v>4158</v>
      </c>
      <c r="F31" t="s">
        <v>5240</v>
      </c>
      <c r="G31">
        <v>65</v>
      </c>
      <c r="H31" t="s">
        <v>5191</v>
      </c>
      <c r="I31">
        <v>5.15</v>
      </c>
      <c r="J31">
        <v>334.75</v>
      </c>
    </row>
    <row r="32" spans="1:10" x14ac:dyDescent="0.3">
      <c r="A32">
        <v>9998</v>
      </c>
      <c r="B32" t="s">
        <v>557</v>
      </c>
      <c r="C32" s="452">
        <v>46143</v>
      </c>
      <c r="D32" t="s">
        <v>462</v>
      </c>
      <c r="E32" t="s">
        <v>4158</v>
      </c>
      <c r="F32" t="s">
        <v>5240</v>
      </c>
      <c r="G32">
        <v>117</v>
      </c>
      <c r="H32" t="s">
        <v>5191</v>
      </c>
      <c r="I32">
        <v>5.15</v>
      </c>
      <c r="J32">
        <v>602.54999999999995</v>
      </c>
    </row>
    <row r="33" spans="1:10" x14ac:dyDescent="0.3">
      <c r="A33">
        <v>10735</v>
      </c>
      <c r="B33" t="s">
        <v>557</v>
      </c>
      <c r="C33" s="452">
        <v>46174</v>
      </c>
      <c r="D33" t="s">
        <v>463</v>
      </c>
      <c r="E33" t="s">
        <v>4158</v>
      </c>
      <c r="F33" t="s">
        <v>5240</v>
      </c>
      <c r="G33">
        <v>101</v>
      </c>
      <c r="H33" t="s">
        <v>5191</v>
      </c>
      <c r="I33">
        <v>5.15</v>
      </c>
      <c r="J33">
        <v>520.15</v>
      </c>
    </row>
    <row r="34" spans="1:10" x14ac:dyDescent="0.3">
      <c r="A34">
        <v>1180</v>
      </c>
      <c r="B34" t="s">
        <v>557</v>
      </c>
      <c r="C34" s="452">
        <v>45658</v>
      </c>
      <c r="D34" t="s">
        <v>730</v>
      </c>
      <c r="E34" t="s">
        <v>5800</v>
      </c>
      <c r="F34" t="s">
        <v>5240</v>
      </c>
      <c r="G34">
        <v>144</v>
      </c>
      <c r="H34" t="s">
        <v>5191</v>
      </c>
      <c r="I34">
        <v>2.21</v>
      </c>
      <c r="J34">
        <v>318.24</v>
      </c>
    </row>
    <row r="35" spans="1:10" x14ac:dyDescent="0.3">
      <c r="A35">
        <v>1360</v>
      </c>
      <c r="B35" t="s">
        <v>557</v>
      </c>
      <c r="C35" s="452">
        <v>45689</v>
      </c>
      <c r="D35" t="s">
        <v>4560</v>
      </c>
      <c r="E35" t="s">
        <v>5800</v>
      </c>
      <c r="F35" t="s">
        <v>5240</v>
      </c>
      <c r="G35">
        <v>0</v>
      </c>
      <c r="H35" t="s">
        <v>5191</v>
      </c>
      <c r="I35">
        <v>2.21</v>
      </c>
      <c r="J35">
        <v>0</v>
      </c>
    </row>
    <row r="36" spans="1:10" x14ac:dyDescent="0.3">
      <c r="A36">
        <v>3158</v>
      </c>
      <c r="B36" t="s">
        <v>557</v>
      </c>
      <c r="C36" s="452">
        <v>45717</v>
      </c>
      <c r="D36" t="s">
        <v>4476</v>
      </c>
      <c r="E36" t="s">
        <v>5800</v>
      </c>
      <c r="F36" t="s">
        <v>5240</v>
      </c>
      <c r="G36">
        <v>34</v>
      </c>
      <c r="H36" t="s">
        <v>5191</v>
      </c>
      <c r="I36">
        <v>2.21</v>
      </c>
      <c r="J36">
        <v>75.14</v>
      </c>
    </row>
    <row r="37" spans="1:10" x14ac:dyDescent="0.3">
      <c r="A37">
        <v>3305</v>
      </c>
      <c r="B37" t="s">
        <v>557</v>
      </c>
      <c r="C37" s="452">
        <v>45748</v>
      </c>
      <c r="D37" t="s">
        <v>4455</v>
      </c>
      <c r="E37" t="s">
        <v>5800</v>
      </c>
      <c r="F37" t="s">
        <v>5240</v>
      </c>
      <c r="G37">
        <v>40</v>
      </c>
      <c r="H37" t="s">
        <v>5191</v>
      </c>
      <c r="I37">
        <v>2.21</v>
      </c>
      <c r="J37">
        <v>88.4</v>
      </c>
    </row>
    <row r="38" spans="1:10" x14ac:dyDescent="0.3">
      <c r="A38">
        <v>3829</v>
      </c>
      <c r="B38" t="s">
        <v>557</v>
      </c>
      <c r="C38" s="452">
        <v>45778</v>
      </c>
      <c r="D38" t="s">
        <v>4436</v>
      </c>
      <c r="E38" t="s">
        <v>5800</v>
      </c>
      <c r="F38" t="s">
        <v>5240</v>
      </c>
      <c r="G38">
        <v>49</v>
      </c>
      <c r="H38" t="s">
        <v>5191</v>
      </c>
      <c r="I38">
        <v>2.21</v>
      </c>
      <c r="J38">
        <v>108.29</v>
      </c>
    </row>
    <row r="39" spans="1:10" x14ac:dyDescent="0.3">
      <c r="A39">
        <v>4537</v>
      </c>
      <c r="B39" t="s">
        <v>557</v>
      </c>
      <c r="C39" s="452">
        <v>45809</v>
      </c>
      <c r="D39" t="s">
        <v>4434</v>
      </c>
      <c r="E39" t="s">
        <v>5800</v>
      </c>
      <c r="F39" t="s">
        <v>5240</v>
      </c>
      <c r="G39">
        <v>22</v>
      </c>
      <c r="H39" t="s">
        <v>5191</v>
      </c>
      <c r="I39">
        <v>2.21</v>
      </c>
      <c r="J39">
        <v>48.62</v>
      </c>
    </row>
    <row r="40" spans="1:10" x14ac:dyDescent="0.3">
      <c r="A40">
        <v>5190</v>
      </c>
      <c r="B40" t="s">
        <v>557</v>
      </c>
      <c r="C40" s="452">
        <v>45839</v>
      </c>
      <c r="D40" t="s">
        <v>3935</v>
      </c>
      <c r="E40" t="s">
        <v>5800</v>
      </c>
      <c r="F40" t="s">
        <v>5240</v>
      </c>
      <c r="G40">
        <v>85</v>
      </c>
      <c r="H40" t="s">
        <v>5191</v>
      </c>
      <c r="I40">
        <v>2.21</v>
      </c>
      <c r="J40">
        <v>187.85</v>
      </c>
    </row>
    <row r="41" spans="1:10" x14ac:dyDescent="0.3">
      <c r="A41">
        <v>5689</v>
      </c>
      <c r="B41" t="s">
        <v>557</v>
      </c>
      <c r="C41" s="452">
        <v>45870</v>
      </c>
      <c r="D41" t="s">
        <v>4040</v>
      </c>
      <c r="E41" t="s">
        <v>5800</v>
      </c>
      <c r="F41" t="s">
        <v>5240</v>
      </c>
      <c r="G41">
        <v>21</v>
      </c>
      <c r="H41" t="s">
        <v>5191</v>
      </c>
      <c r="I41">
        <v>2.21</v>
      </c>
      <c r="J41">
        <v>46.41</v>
      </c>
    </row>
    <row r="42" spans="1:10" x14ac:dyDescent="0.3">
      <c r="A42">
        <v>6362</v>
      </c>
      <c r="B42" t="s">
        <v>557</v>
      </c>
      <c r="C42" s="452">
        <v>45901</v>
      </c>
      <c r="D42" t="s">
        <v>4038</v>
      </c>
      <c r="E42" t="s">
        <v>5800</v>
      </c>
      <c r="F42" t="s">
        <v>5240</v>
      </c>
      <c r="G42">
        <v>108</v>
      </c>
      <c r="H42" t="s">
        <v>5191</v>
      </c>
      <c r="I42">
        <v>2.21</v>
      </c>
      <c r="J42">
        <v>238.68</v>
      </c>
    </row>
    <row r="43" spans="1:10" x14ac:dyDescent="0.3">
      <c r="A43">
        <v>6933</v>
      </c>
      <c r="B43" t="s">
        <v>557</v>
      </c>
      <c r="C43" s="452">
        <v>45931</v>
      </c>
      <c r="D43" t="s">
        <v>3999</v>
      </c>
      <c r="E43" t="s">
        <v>5800</v>
      </c>
      <c r="F43" t="s">
        <v>5240</v>
      </c>
      <c r="G43">
        <v>31</v>
      </c>
      <c r="H43" t="s">
        <v>5191</v>
      </c>
      <c r="I43">
        <v>2.21</v>
      </c>
      <c r="J43">
        <v>68.510000000000005</v>
      </c>
    </row>
    <row r="44" spans="1:10" x14ac:dyDescent="0.3">
      <c r="A44">
        <v>7217</v>
      </c>
      <c r="B44" t="s">
        <v>557</v>
      </c>
      <c r="C44" s="452">
        <v>45962</v>
      </c>
      <c r="D44" t="s">
        <v>751</v>
      </c>
      <c r="E44" t="s">
        <v>5800</v>
      </c>
      <c r="F44" t="s">
        <v>5240</v>
      </c>
      <c r="G44">
        <v>73</v>
      </c>
      <c r="H44" t="s">
        <v>5191</v>
      </c>
      <c r="I44">
        <v>2.21</v>
      </c>
      <c r="J44">
        <v>161.33000000000001</v>
      </c>
    </row>
    <row r="45" spans="1:10" x14ac:dyDescent="0.3">
      <c r="A45">
        <v>7675</v>
      </c>
      <c r="B45" t="s">
        <v>557</v>
      </c>
      <c r="C45" s="452">
        <v>45992</v>
      </c>
      <c r="D45" t="s">
        <v>753</v>
      </c>
      <c r="E45" t="s">
        <v>5800</v>
      </c>
      <c r="F45" t="s">
        <v>5240</v>
      </c>
      <c r="G45">
        <v>86</v>
      </c>
      <c r="H45" t="s">
        <v>5191</v>
      </c>
      <c r="I45">
        <v>2.21</v>
      </c>
      <c r="J45">
        <v>190.06</v>
      </c>
    </row>
    <row r="46" spans="1:10" x14ac:dyDescent="0.3">
      <c r="A46">
        <v>8039</v>
      </c>
      <c r="B46" t="s">
        <v>557</v>
      </c>
      <c r="C46" s="452">
        <v>46023</v>
      </c>
      <c r="D46" t="s">
        <v>458</v>
      </c>
      <c r="E46" t="s">
        <v>5800</v>
      </c>
      <c r="F46" t="s">
        <v>5240</v>
      </c>
      <c r="G46">
        <v>82</v>
      </c>
      <c r="H46" t="s">
        <v>5191</v>
      </c>
      <c r="I46">
        <v>2.21</v>
      </c>
      <c r="J46">
        <v>181.22</v>
      </c>
    </row>
    <row r="47" spans="1:10" x14ac:dyDescent="0.3">
      <c r="A47">
        <v>8618</v>
      </c>
      <c r="B47" t="s">
        <v>557</v>
      </c>
      <c r="C47" s="452">
        <v>46054</v>
      </c>
      <c r="D47" t="s">
        <v>459</v>
      </c>
      <c r="E47" t="s">
        <v>5800</v>
      </c>
      <c r="F47" t="s">
        <v>5240</v>
      </c>
      <c r="G47">
        <v>34</v>
      </c>
      <c r="H47" t="s">
        <v>5191</v>
      </c>
      <c r="I47">
        <v>2.21</v>
      </c>
      <c r="J47">
        <v>75.14</v>
      </c>
    </row>
    <row r="48" spans="1:10" x14ac:dyDescent="0.3">
      <c r="A48">
        <v>8716</v>
      </c>
      <c r="B48" t="s">
        <v>557</v>
      </c>
      <c r="C48" s="452">
        <v>46082</v>
      </c>
      <c r="D48" t="s">
        <v>460</v>
      </c>
      <c r="E48" t="s">
        <v>5800</v>
      </c>
      <c r="F48" t="s">
        <v>5240</v>
      </c>
      <c r="G48">
        <v>84</v>
      </c>
      <c r="H48" t="s">
        <v>5191</v>
      </c>
      <c r="I48">
        <v>2.21</v>
      </c>
      <c r="J48">
        <v>185.64</v>
      </c>
    </row>
    <row r="49" spans="1:10" x14ac:dyDescent="0.3">
      <c r="A49">
        <v>9458</v>
      </c>
      <c r="B49" t="s">
        <v>557</v>
      </c>
      <c r="C49" s="452">
        <v>46113</v>
      </c>
      <c r="D49" t="s">
        <v>461</v>
      </c>
      <c r="E49" t="s">
        <v>5800</v>
      </c>
      <c r="F49" t="s">
        <v>5240</v>
      </c>
      <c r="G49">
        <v>29</v>
      </c>
      <c r="H49" t="s">
        <v>5191</v>
      </c>
      <c r="I49">
        <v>2.21</v>
      </c>
      <c r="J49">
        <v>64.09</v>
      </c>
    </row>
    <row r="50" spans="1:10" x14ac:dyDescent="0.3">
      <c r="A50">
        <v>9999</v>
      </c>
      <c r="B50" t="s">
        <v>557</v>
      </c>
      <c r="C50" s="452">
        <v>46143</v>
      </c>
      <c r="D50" t="s">
        <v>462</v>
      </c>
      <c r="E50" t="s">
        <v>5800</v>
      </c>
      <c r="F50" t="s">
        <v>5240</v>
      </c>
      <c r="G50">
        <v>31</v>
      </c>
      <c r="H50" t="s">
        <v>5191</v>
      </c>
      <c r="I50">
        <v>2.21</v>
      </c>
      <c r="J50">
        <v>68.510000000000005</v>
      </c>
    </row>
    <row r="51" spans="1:10" x14ac:dyDescent="0.3">
      <c r="A51">
        <v>10724</v>
      </c>
      <c r="B51" t="s">
        <v>557</v>
      </c>
      <c r="C51" s="452">
        <v>46174</v>
      </c>
      <c r="D51" t="s">
        <v>463</v>
      </c>
      <c r="E51" t="s">
        <v>5800</v>
      </c>
      <c r="F51" t="s">
        <v>5240</v>
      </c>
      <c r="G51">
        <v>74</v>
      </c>
      <c r="H51" t="s">
        <v>5191</v>
      </c>
      <c r="I51">
        <v>2.21</v>
      </c>
      <c r="J51">
        <v>163.54</v>
      </c>
    </row>
    <row r="52" spans="1:10" x14ac:dyDescent="0.3">
      <c r="A52">
        <v>1181</v>
      </c>
      <c r="B52" t="s">
        <v>557</v>
      </c>
      <c r="C52" s="452">
        <v>45658</v>
      </c>
      <c r="D52" t="s">
        <v>730</v>
      </c>
      <c r="E52" t="s">
        <v>5801</v>
      </c>
      <c r="F52" t="s">
        <v>5799</v>
      </c>
      <c r="G52">
        <v>1.94</v>
      </c>
      <c r="H52" t="s">
        <v>5191</v>
      </c>
      <c r="I52">
        <v>13.57</v>
      </c>
      <c r="J52">
        <v>26.33</v>
      </c>
    </row>
    <row r="53" spans="1:10" x14ac:dyDescent="0.3">
      <c r="A53">
        <v>1363</v>
      </c>
      <c r="B53" t="s">
        <v>557</v>
      </c>
      <c r="C53" s="452">
        <v>45689</v>
      </c>
      <c r="D53" t="s">
        <v>4560</v>
      </c>
      <c r="E53" t="s">
        <v>5801</v>
      </c>
      <c r="F53" t="s">
        <v>5799</v>
      </c>
      <c r="G53">
        <v>0</v>
      </c>
      <c r="H53" t="s">
        <v>5191</v>
      </c>
      <c r="I53">
        <v>13.57</v>
      </c>
      <c r="J53">
        <v>0</v>
      </c>
    </row>
    <row r="54" spans="1:10" x14ac:dyDescent="0.3">
      <c r="A54">
        <v>3161</v>
      </c>
      <c r="B54" t="s">
        <v>557</v>
      </c>
      <c r="C54" s="452">
        <v>45717</v>
      </c>
      <c r="D54" t="s">
        <v>4476</v>
      </c>
      <c r="E54" t="s">
        <v>5801</v>
      </c>
      <c r="F54" t="s">
        <v>5799</v>
      </c>
      <c r="G54">
        <v>0</v>
      </c>
      <c r="H54" t="s">
        <v>5191</v>
      </c>
      <c r="I54">
        <v>13.57</v>
      </c>
      <c r="J54">
        <v>0</v>
      </c>
    </row>
    <row r="55" spans="1:10" x14ac:dyDescent="0.3">
      <c r="A55">
        <v>3834</v>
      </c>
      <c r="B55" t="s">
        <v>557</v>
      </c>
      <c r="C55" s="452">
        <v>45778</v>
      </c>
      <c r="D55" t="s">
        <v>4436</v>
      </c>
      <c r="E55" t="s">
        <v>5801</v>
      </c>
      <c r="F55" t="s">
        <v>5799</v>
      </c>
      <c r="G55">
        <v>0.26</v>
      </c>
      <c r="H55" t="s">
        <v>5191</v>
      </c>
      <c r="I55">
        <v>13.57</v>
      </c>
      <c r="J55">
        <v>3.53</v>
      </c>
    </row>
    <row r="56" spans="1:10" x14ac:dyDescent="0.3">
      <c r="A56">
        <v>4541</v>
      </c>
      <c r="B56" t="s">
        <v>557</v>
      </c>
      <c r="C56" s="452">
        <v>45809</v>
      </c>
      <c r="D56" t="s">
        <v>4434</v>
      </c>
      <c r="E56" t="s">
        <v>5801</v>
      </c>
      <c r="F56" t="s">
        <v>5799</v>
      </c>
      <c r="G56">
        <v>0.52</v>
      </c>
      <c r="H56" t="s">
        <v>5191</v>
      </c>
      <c r="I56">
        <v>13.57</v>
      </c>
      <c r="J56">
        <v>7.06</v>
      </c>
    </row>
    <row r="57" spans="1:10" x14ac:dyDescent="0.3">
      <c r="A57">
        <v>1218</v>
      </c>
      <c r="B57" t="s">
        <v>557</v>
      </c>
      <c r="C57" s="452">
        <v>45658</v>
      </c>
      <c r="D57" t="s">
        <v>730</v>
      </c>
      <c r="E57" t="s">
        <v>4327</v>
      </c>
      <c r="F57" t="s">
        <v>5799</v>
      </c>
      <c r="G57">
        <v>2</v>
      </c>
      <c r="H57" t="s">
        <v>5191</v>
      </c>
      <c r="I57">
        <v>34.93</v>
      </c>
      <c r="J57">
        <v>69.86</v>
      </c>
    </row>
    <row r="58" spans="1:10" x14ac:dyDescent="0.3">
      <c r="A58">
        <v>1362</v>
      </c>
      <c r="B58" t="s">
        <v>557</v>
      </c>
      <c r="C58" s="452">
        <v>45689</v>
      </c>
      <c r="D58" t="s">
        <v>4560</v>
      </c>
      <c r="E58" t="s">
        <v>4327</v>
      </c>
      <c r="F58" t="s">
        <v>5799</v>
      </c>
      <c r="G58">
        <v>7.2</v>
      </c>
      <c r="H58" t="s">
        <v>5191</v>
      </c>
      <c r="I58">
        <v>34.93</v>
      </c>
      <c r="J58">
        <v>251.5</v>
      </c>
    </row>
    <row r="59" spans="1:10" x14ac:dyDescent="0.3">
      <c r="A59">
        <v>3160</v>
      </c>
      <c r="B59" t="s">
        <v>557</v>
      </c>
      <c r="C59" s="452">
        <v>45717</v>
      </c>
      <c r="D59" t="s">
        <v>4476</v>
      </c>
      <c r="E59" t="s">
        <v>4327</v>
      </c>
      <c r="F59" t="s">
        <v>5799</v>
      </c>
      <c r="G59">
        <v>0</v>
      </c>
      <c r="H59" t="s">
        <v>5191</v>
      </c>
      <c r="I59">
        <v>34.93</v>
      </c>
      <c r="J59">
        <v>0</v>
      </c>
    </row>
    <row r="60" spans="1:10" x14ac:dyDescent="0.3">
      <c r="A60">
        <v>3307</v>
      </c>
      <c r="B60" t="s">
        <v>557</v>
      </c>
      <c r="C60" s="452">
        <v>45748</v>
      </c>
      <c r="D60" t="s">
        <v>4455</v>
      </c>
      <c r="E60" t="s">
        <v>4327</v>
      </c>
      <c r="F60" t="s">
        <v>5799</v>
      </c>
      <c r="G60">
        <v>4.17</v>
      </c>
      <c r="H60" t="s">
        <v>5191</v>
      </c>
      <c r="I60">
        <v>34.93</v>
      </c>
      <c r="J60">
        <v>145.66</v>
      </c>
    </row>
    <row r="61" spans="1:10" x14ac:dyDescent="0.3">
      <c r="A61">
        <v>3833</v>
      </c>
      <c r="B61" t="s">
        <v>557</v>
      </c>
      <c r="C61" s="452">
        <v>45778</v>
      </c>
      <c r="D61" t="s">
        <v>4436</v>
      </c>
      <c r="E61" t="s">
        <v>4327</v>
      </c>
      <c r="F61" t="s">
        <v>5799</v>
      </c>
      <c r="G61">
        <v>9.4700000000000006</v>
      </c>
      <c r="H61" t="s">
        <v>5191</v>
      </c>
      <c r="I61">
        <v>34.93</v>
      </c>
      <c r="J61">
        <v>330.79</v>
      </c>
    </row>
    <row r="62" spans="1:10" x14ac:dyDescent="0.3">
      <c r="A62">
        <v>4540</v>
      </c>
      <c r="B62" t="s">
        <v>557</v>
      </c>
      <c r="C62" s="452">
        <v>45809</v>
      </c>
      <c r="D62" t="s">
        <v>4434</v>
      </c>
      <c r="E62" t="s">
        <v>4327</v>
      </c>
      <c r="F62" t="s">
        <v>5799</v>
      </c>
      <c r="G62">
        <v>6.78</v>
      </c>
      <c r="H62" t="s">
        <v>5191</v>
      </c>
      <c r="I62">
        <v>34.93</v>
      </c>
      <c r="J62">
        <v>236.83</v>
      </c>
    </row>
    <row r="63" spans="1:10" x14ac:dyDescent="0.3">
      <c r="A63">
        <v>5193</v>
      </c>
      <c r="B63" t="s">
        <v>557</v>
      </c>
      <c r="C63" s="452">
        <v>45839</v>
      </c>
      <c r="D63" t="s">
        <v>3935</v>
      </c>
      <c r="E63" t="s">
        <v>4327</v>
      </c>
      <c r="F63" t="s">
        <v>5799</v>
      </c>
      <c r="G63">
        <v>5</v>
      </c>
      <c r="H63" t="s">
        <v>5191</v>
      </c>
      <c r="I63">
        <v>34.93</v>
      </c>
      <c r="J63">
        <v>174.65</v>
      </c>
    </row>
    <row r="64" spans="1:10" x14ac:dyDescent="0.3">
      <c r="A64">
        <v>5693</v>
      </c>
      <c r="B64" t="s">
        <v>557</v>
      </c>
      <c r="C64" s="452">
        <v>45870</v>
      </c>
      <c r="D64" t="s">
        <v>4040</v>
      </c>
      <c r="E64" t="s">
        <v>4327</v>
      </c>
      <c r="F64" t="s">
        <v>5799</v>
      </c>
      <c r="G64">
        <v>11.5</v>
      </c>
      <c r="H64" t="s">
        <v>5191</v>
      </c>
      <c r="I64">
        <v>34.93</v>
      </c>
      <c r="J64">
        <v>401.7</v>
      </c>
    </row>
    <row r="65" spans="1:10" x14ac:dyDescent="0.3">
      <c r="A65">
        <v>6366</v>
      </c>
      <c r="B65" t="s">
        <v>557</v>
      </c>
      <c r="C65" s="452">
        <v>45901</v>
      </c>
      <c r="D65" t="s">
        <v>4038</v>
      </c>
      <c r="E65" t="s">
        <v>4327</v>
      </c>
      <c r="F65" t="s">
        <v>5799</v>
      </c>
      <c r="G65">
        <v>4.84</v>
      </c>
      <c r="H65" t="s">
        <v>5191</v>
      </c>
      <c r="I65">
        <v>34.93</v>
      </c>
      <c r="J65">
        <v>169.06</v>
      </c>
    </row>
    <row r="66" spans="1:10" x14ac:dyDescent="0.3">
      <c r="A66">
        <v>6937</v>
      </c>
      <c r="B66" t="s">
        <v>557</v>
      </c>
      <c r="C66" s="452">
        <v>45931</v>
      </c>
      <c r="D66" t="s">
        <v>3999</v>
      </c>
      <c r="E66" t="s">
        <v>4327</v>
      </c>
      <c r="F66" t="s">
        <v>5799</v>
      </c>
      <c r="G66">
        <v>16</v>
      </c>
      <c r="H66" t="s">
        <v>5191</v>
      </c>
      <c r="I66">
        <v>17.62</v>
      </c>
      <c r="J66">
        <v>281.92</v>
      </c>
    </row>
    <row r="67" spans="1:10" x14ac:dyDescent="0.3">
      <c r="A67">
        <v>7221</v>
      </c>
      <c r="B67" t="s">
        <v>557</v>
      </c>
      <c r="C67" s="452">
        <v>45962</v>
      </c>
      <c r="D67" t="s">
        <v>751</v>
      </c>
      <c r="E67" t="s">
        <v>4327</v>
      </c>
      <c r="F67" t="s">
        <v>5799</v>
      </c>
      <c r="G67">
        <v>13.48</v>
      </c>
      <c r="H67" t="s">
        <v>5191</v>
      </c>
      <c r="I67">
        <v>17.62</v>
      </c>
      <c r="J67">
        <v>237.52</v>
      </c>
    </row>
    <row r="68" spans="1:10" x14ac:dyDescent="0.3">
      <c r="A68">
        <v>7678</v>
      </c>
      <c r="B68" t="s">
        <v>557</v>
      </c>
      <c r="C68" s="452">
        <v>45992</v>
      </c>
      <c r="D68" t="s">
        <v>753</v>
      </c>
      <c r="E68" t="s">
        <v>4327</v>
      </c>
      <c r="F68" t="s">
        <v>5799</v>
      </c>
      <c r="G68">
        <v>7.89</v>
      </c>
      <c r="H68" t="s">
        <v>5191</v>
      </c>
      <c r="I68">
        <v>17.62</v>
      </c>
      <c r="J68">
        <v>139.02000000000001</v>
      </c>
    </row>
    <row r="69" spans="1:10" x14ac:dyDescent="0.3">
      <c r="A69">
        <v>8040</v>
      </c>
      <c r="B69" t="s">
        <v>557</v>
      </c>
      <c r="C69" s="452">
        <v>46023</v>
      </c>
      <c r="D69" t="s">
        <v>458</v>
      </c>
      <c r="E69" t="s">
        <v>4327</v>
      </c>
      <c r="F69" t="s">
        <v>5799</v>
      </c>
      <c r="G69">
        <v>6.8</v>
      </c>
      <c r="H69" t="s">
        <v>5191</v>
      </c>
      <c r="I69">
        <v>17.62</v>
      </c>
      <c r="J69">
        <v>119.82</v>
      </c>
    </row>
    <row r="70" spans="1:10" x14ac:dyDescent="0.3">
      <c r="A70">
        <v>8625</v>
      </c>
      <c r="B70" t="s">
        <v>557</v>
      </c>
      <c r="C70" s="452">
        <v>46054</v>
      </c>
      <c r="D70" t="s">
        <v>459</v>
      </c>
      <c r="E70" t="s">
        <v>4327</v>
      </c>
      <c r="F70" t="s">
        <v>5799</v>
      </c>
      <c r="G70">
        <v>10.6</v>
      </c>
      <c r="H70" t="s">
        <v>5191</v>
      </c>
      <c r="I70">
        <v>17.62</v>
      </c>
      <c r="J70">
        <v>186.77</v>
      </c>
    </row>
    <row r="71" spans="1:10" x14ac:dyDescent="0.3">
      <c r="A71">
        <v>8718</v>
      </c>
      <c r="B71" t="s">
        <v>557</v>
      </c>
      <c r="C71" s="452">
        <v>46082</v>
      </c>
      <c r="D71" t="s">
        <v>460</v>
      </c>
      <c r="E71" t="s">
        <v>4327</v>
      </c>
      <c r="F71" t="s">
        <v>5799</v>
      </c>
      <c r="G71">
        <v>4.7</v>
      </c>
      <c r="H71" t="s">
        <v>5191</v>
      </c>
      <c r="I71">
        <v>17.62</v>
      </c>
      <c r="J71">
        <v>82.81</v>
      </c>
    </row>
    <row r="72" spans="1:10" x14ac:dyDescent="0.3">
      <c r="A72">
        <v>9463</v>
      </c>
      <c r="B72" t="s">
        <v>557</v>
      </c>
      <c r="C72" s="452">
        <v>46113</v>
      </c>
      <c r="D72" t="s">
        <v>461</v>
      </c>
      <c r="E72" t="s">
        <v>4327</v>
      </c>
      <c r="F72" t="s">
        <v>5799</v>
      </c>
      <c r="G72">
        <v>8.1199999999999992</v>
      </c>
      <c r="H72" t="s">
        <v>5191</v>
      </c>
      <c r="I72">
        <v>17.62</v>
      </c>
      <c r="J72">
        <v>143.07</v>
      </c>
    </row>
    <row r="73" spans="1:10" x14ac:dyDescent="0.3">
      <c r="A73">
        <v>10004</v>
      </c>
      <c r="B73" t="s">
        <v>557</v>
      </c>
      <c r="C73" s="452">
        <v>46143</v>
      </c>
      <c r="D73" t="s">
        <v>462</v>
      </c>
      <c r="E73" t="s">
        <v>4327</v>
      </c>
      <c r="F73" t="s">
        <v>5799</v>
      </c>
      <c r="G73">
        <v>10.9</v>
      </c>
      <c r="H73" t="s">
        <v>5191</v>
      </c>
      <c r="I73">
        <v>17.62</v>
      </c>
      <c r="J73">
        <v>192.06</v>
      </c>
    </row>
    <row r="74" spans="1:10" x14ac:dyDescent="0.3">
      <c r="A74">
        <v>10750</v>
      </c>
      <c r="B74" t="s">
        <v>557</v>
      </c>
      <c r="C74" s="452">
        <v>46174</v>
      </c>
      <c r="D74" t="s">
        <v>463</v>
      </c>
      <c r="E74" t="s">
        <v>4327</v>
      </c>
      <c r="F74" t="s">
        <v>5799</v>
      </c>
      <c r="G74">
        <v>7.58</v>
      </c>
      <c r="H74" t="s">
        <v>5191</v>
      </c>
      <c r="I74">
        <v>17.62</v>
      </c>
      <c r="J74">
        <v>133.56</v>
      </c>
    </row>
    <row r="75" spans="1:10" x14ac:dyDescent="0.3">
      <c r="A75">
        <v>1219</v>
      </c>
      <c r="B75" t="s">
        <v>557</v>
      </c>
      <c r="C75" s="452">
        <v>45658</v>
      </c>
      <c r="D75" t="s">
        <v>730</v>
      </c>
      <c r="E75" t="s">
        <v>5802</v>
      </c>
      <c r="F75" t="s">
        <v>5799</v>
      </c>
      <c r="G75">
        <v>0.39</v>
      </c>
      <c r="H75" t="s">
        <v>5191</v>
      </c>
      <c r="I75">
        <v>8.98</v>
      </c>
      <c r="J75">
        <v>3.5</v>
      </c>
    </row>
    <row r="76" spans="1:10" x14ac:dyDescent="0.3">
      <c r="A76">
        <v>1381</v>
      </c>
      <c r="B76" t="s">
        <v>557</v>
      </c>
      <c r="C76" s="452">
        <v>45689</v>
      </c>
      <c r="D76" t="s">
        <v>4560</v>
      </c>
      <c r="E76" t="s">
        <v>5802</v>
      </c>
      <c r="F76" t="s">
        <v>5799</v>
      </c>
      <c r="G76">
        <v>0.52</v>
      </c>
      <c r="H76" t="s">
        <v>5191</v>
      </c>
      <c r="I76">
        <v>8.98</v>
      </c>
      <c r="J76">
        <v>4.67</v>
      </c>
    </row>
    <row r="77" spans="1:10" x14ac:dyDescent="0.3">
      <c r="A77">
        <v>3179</v>
      </c>
      <c r="B77" t="s">
        <v>557</v>
      </c>
      <c r="C77" s="452">
        <v>45717</v>
      </c>
      <c r="D77" t="s">
        <v>4476</v>
      </c>
      <c r="E77" t="s">
        <v>5802</v>
      </c>
      <c r="F77" t="s">
        <v>5799</v>
      </c>
      <c r="G77">
        <v>0</v>
      </c>
      <c r="H77" t="s">
        <v>5191</v>
      </c>
      <c r="I77">
        <v>8.98</v>
      </c>
      <c r="J77">
        <v>0</v>
      </c>
    </row>
    <row r="78" spans="1:10" x14ac:dyDescent="0.3">
      <c r="A78">
        <v>1220</v>
      </c>
      <c r="B78" t="s">
        <v>557</v>
      </c>
      <c r="C78" s="452">
        <v>45658</v>
      </c>
      <c r="D78" t="s">
        <v>730</v>
      </c>
      <c r="E78" t="s">
        <v>5803</v>
      </c>
      <c r="F78" t="s">
        <v>5799</v>
      </c>
      <c r="G78">
        <v>0.59</v>
      </c>
      <c r="H78" t="s">
        <v>5191</v>
      </c>
      <c r="I78">
        <v>0.67</v>
      </c>
      <c r="J78">
        <v>0.4</v>
      </c>
    </row>
    <row r="79" spans="1:10" x14ac:dyDescent="0.3">
      <c r="A79">
        <v>1357</v>
      </c>
      <c r="B79" t="s">
        <v>557</v>
      </c>
      <c r="C79" s="452">
        <v>45689</v>
      </c>
      <c r="D79" t="s">
        <v>4560</v>
      </c>
      <c r="E79" t="s">
        <v>5803</v>
      </c>
      <c r="F79" t="s">
        <v>5799</v>
      </c>
      <c r="G79">
        <v>0.2</v>
      </c>
      <c r="H79" t="s">
        <v>5191</v>
      </c>
      <c r="I79">
        <v>0.67</v>
      </c>
      <c r="J79">
        <v>0.13</v>
      </c>
    </row>
    <row r="80" spans="1:10" x14ac:dyDescent="0.3">
      <c r="A80">
        <v>3155</v>
      </c>
      <c r="B80" t="s">
        <v>557</v>
      </c>
      <c r="C80" s="452">
        <v>45717</v>
      </c>
      <c r="D80" t="s">
        <v>4476</v>
      </c>
      <c r="E80" t="s">
        <v>5803</v>
      </c>
      <c r="F80" t="s">
        <v>5799</v>
      </c>
      <c r="G80">
        <v>0.39</v>
      </c>
      <c r="H80" t="s">
        <v>5191</v>
      </c>
      <c r="I80">
        <v>0.67</v>
      </c>
      <c r="J80">
        <v>0.26</v>
      </c>
    </row>
    <row r="81" spans="1:10" x14ac:dyDescent="0.3">
      <c r="A81">
        <v>1221</v>
      </c>
      <c r="B81" t="s">
        <v>557</v>
      </c>
      <c r="C81" s="452">
        <v>45658</v>
      </c>
      <c r="D81" t="s">
        <v>730</v>
      </c>
      <c r="E81" t="s">
        <v>5804</v>
      </c>
      <c r="F81" t="s">
        <v>5799</v>
      </c>
      <c r="G81">
        <v>1.1000000000000001</v>
      </c>
      <c r="H81" t="s">
        <v>5191</v>
      </c>
      <c r="I81">
        <v>7.66</v>
      </c>
      <c r="J81">
        <v>8.43</v>
      </c>
    </row>
    <row r="82" spans="1:10" x14ac:dyDescent="0.3">
      <c r="A82">
        <v>1366</v>
      </c>
      <c r="B82" t="s">
        <v>557</v>
      </c>
      <c r="C82" s="452">
        <v>45689</v>
      </c>
      <c r="D82" t="s">
        <v>4560</v>
      </c>
      <c r="E82" t="s">
        <v>5804</v>
      </c>
      <c r="F82" t="s">
        <v>5799</v>
      </c>
      <c r="G82">
        <v>10.199999999999999</v>
      </c>
      <c r="H82" t="s">
        <v>5191</v>
      </c>
      <c r="I82">
        <v>7.66</v>
      </c>
      <c r="J82">
        <v>78.13</v>
      </c>
    </row>
    <row r="83" spans="1:10" x14ac:dyDescent="0.3">
      <c r="A83">
        <v>3164</v>
      </c>
      <c r="B83" t="s">
        <v>557</v>
      </c>
      <c r="C83" s="452">
        <v>45717</v>
      </c>
      <c r="D83" t="s">
        <v>4476</v>
      </c>
      <c r="E83" t="s">
        <v>5804</v>
      </c>
      <c r="F83" t="s">
        <v>5799</v>
      </c>
      <c r="G83">
        <v>0</v>
      </c>
      <c r="H83" t="s">
        <v>5191</v>
      </c>
      <c r="I83">
        <v>7.66</v>
      </c>
      <c r="J83">
        <v>0</v>
      </c>
    </row>
    <row r="84" spans="1:10" x14ac:dyDescent="0.3">
      <c r="A84">
        <v>10774</v>
      </c>
      <c r="B84" t="s">
        <v>557</v>
      </c>
      <c r="C84" s="452">
        <v>46174</v>
      </c>
      <c r="D84" t="s">
        <v>463</v>
      </c>
      <c r="E84" t="s">
        <v>5804</v>
      </c>
      <c r="F84" t="s">
        <v>5799</v>
      </c>
      <c r="G84">
        <v>2</v>
      </c>
      <c r="H84" t="s">
        <v>5191</v>
      </c>
      <c r="I84">
        <v>7.66</v>
      </c>
      <c r="J84">
        <v>15.32</v>
      </c>
    </row>
    <row r="85" spans="1:10" x14ac:dyDescent="0.3">
      <c r="A85">
        <v>1223</v>
      </c>
      <c r="B85" t="s">
        <v>557</v>
      </c>
      <c r="C85" s="452">
        <v>45658</v>
      </c>
      <c r="D85" t="s">
        <v>730</v>
      </c>
      <c r="E85" t="s">
        <v>5805</v>
      </c>
      <c r="F85" t="s">
        <v>5799</v>
      </c>
      <c r="G85">
        <v>0.87</v>
      </c>
      <c r="H85" t="s">
        <v>5191</v>
      </c>
      <c r="I85">
        <v>18.25</v>
      </c>
      <c r="J85">
        <v>15.88</v>
      </c>
    </row>
    <row r="86" spans="1:10" x14ac:dyDescent="0.3">
      <c r="A86">
        <v>1354</v>
      </c>
      <c r="B86" t="s">
        <v>557</v>
      </c>
      <c r="C86" s="452">
        <v>45689</v>
      </c>
      <c r="D86" t="s">
        <v>4560</v>
      </c>
      <c r="E86" t="s">
        <v>5805</v>
      </c>
      <c r="F86" t="s">
        <v>5799</v>
      </c>
      <c r="G86">
        <v>0.87</v>
      </c>
      <c r="H86" t="s">
        <v>5191</v>
      </c>
      <c r="I86">
        <v>18.25</v>
      </c>
      <c r="J86">
        <v>15.88</v>
      </c>
    </row>
    <row r="87" spans="1:10" x14ac:dyDescent="0.3">
      <c r="A87">
        <v>3152</v>
      </c>
      <c r="B87" t="s">
        <v>557</v>
      </c>
      <c r="C87" s="452">
        <v>45717</v>
      </c>
      <c r="D87" t="s">
        <v>4476</v>
      </c>
      <c r="E87" t="s">
        <v>5805</v>
      </c>
      <c r="F87" t="s">
        <v>5799</v>
      </c>
      <c r="G87">
        <v>0.93</v>
      </c>
      <c r="H87" t="s">
        <v>5191</v>
      </c>
      <c r="I87">
        <v>18.25</v>
      </c>
      <c r="J87">
        <v>16.97</v>
      </c>
    </row>
    <row r="88" spans="1:10" x14ac:dyDescent="0.3">
      <c r="A88">
        <v>3302</v>
      </c>
      <c r="B88" t="s">
        <v>557</v>
      </c>
      <c r="C88" s="452">
        <v>45748</v>
      </c>
      <c r="D88" t="s">
        <v>4455</v>
      </c>
      <c r="E88" t="s">
        <v>5805</v>
      </c>
      <c r="F88" t="s">
        <v>5799</v>
      </c>
      <c r="G88">
        <v>0.56000000000000005</v>
      </c>
      <c r="H88" t="s">
        <v>5191</v>
      </c>
      <c r="I88">
        <v>18.25</v>
      </c>
      <c r="J88">
        <v>10.220000000000001</v>
      </c>
    </row>
    <row r="89" spans="1:10" x14ac:dyDescent="0.3">
      <c r="A89">
        <v>3823</v>
      </c>
      <c r="B89" t="s">
        <v>557</v>
      </c>
      <c r="C89" s="452">
        <v>45778</v>
      </c>
      <c r="D89" t="s">
        <v>4436</v>
      </c>
      <c r="E89" t="s">
        <v>5805</v>
      </c>
      <c r="F89" t="s">
        <v>5799</v>
      </c>
      <c r="G89">
        <v>1.1000000000000001</v>
      </c>
      <c r="H89" t="s">
        <v>5191</v>
      </c>
      <c r="I89">
        <v>18.25</v>
      </c>
      <c r="J89">
        <v>20.079999999999998</v>
      </c>
    </row>
    <row r="90" spans="1:10" x14ac:dyDescent="0.3">
      <c r="A90">
        <v>4530</v>
      </c>
      <c r="B90" t="s">
        <v>557</v>
      </c>
      <c r="C90" s="452">
        <v>45809</v>
      </c>
      <c r="D90" t="s">
        <v>4434</v>
      </c>
      <c r="E90" t="s">
        <v>5805</v>
      </c>
      <c r="F90" t="s">
        <v>5799</v>
      </c>
      <c r="G90">
        <v>2</v>
      </c>
      <c r="H90" t="s">
        <v>5191</v>
      </c>
      <c r="I90">
        <v>18.25</v>
      </c>
      <c r="J90">
        <v>36.5</v>
      </c>
    </row>
    <row r="91" spans="1:10" x14ac:dyDescent="0.3">
      <c r="A91">
        <v>5184</v>
      </c>
      <c r="B91" t="s">
        <v>557</v>
      </c>
      <c r="C91" s="452">
        <v>45839</v>
      </c>
      <c r="D91" t="s">
        <v>3935</v>
      </c>
      <c r="E91" t="s">
        <v>5805</v>
      </c>
      <c r="F91" t="s">
        <v>5799</v>
      </c>
      <c r="G91">
        <v>0.49</v>
      </c>
      <c r="H91" t="s">
        <v>5191</v>
      </c>
      <c r="I91">
        <v>18.25</v>
      </c>
      <c r="J91">
        <v>8.94</v>
      </c>
    </row>
    <row r="92" spans="1:10" x14ac:dyDescent="0.3">
      <c r="A92">
        <v>5682</v>
      </c>
      <c r="B92" t="s">
        <v>557</v>
      </c>
      <c r="C92" s="452">
        <v>45870</v>
      </c>
      <c r="D92" t="s">
        <v>4040</v>
      </c>
      <c r="E92" t="s">
        <v>5805</v>
      </c>
      <c r="F92" t="s">
        <v>5799</v>
      </c>
      <c r="G92">
        <v>1.52</v>
      </c>
      <c r="H92" t="s">
        <v>5191</v>
      </c>
      <c r="I92">
        <v>18.25</v>
      </c>
      <c r="J92">
        <v>27.74</v>
      </c>
    </row>
    <row r="93" spans="1:10" x14ac:dyDescent="0.3">
      <c r="A93">
        <v>6355</v>
      </c>
      <c r="B93" t="s">
        <v>557</v>
      </c>
      <c r="C93" s="452">
        <v>45901</v>
      </c>
      <c r="D93" t="s">
        <v>4038</v>
      </c>
      <c r="E93" t="s">
        <v>5805</v>
      </c>
      <c r="F93" t="s">
        <v>5799</v>
      </c>
      <c r="G93">
        <v>2.23</v>
      </c>
      <c r="H93" t="s">
        <v>5191</v>
      </c>
      <c r="I93">
        <v>18.25</v>
      </c>
      <c r="J93">
        <v>40.700000000000003</v>
      </c>
    </row>
    <row r="94" spans="1:10" x14ac:dyDescent="0.3">
      <c r="A94">
        <v>6924</v>
      </c>
      <c r="B94" t="s">
        <v>557</v>
      </c>
      <c r="C94" s="452">
        <v>45931</v>
      </c>
      <c r="D94" t="s">
        <v>3999</v>
      </c>
      <c r="E94" t="s">
        <v>5805</v>
      </c>
      <c r="F94" t="s">
        <v>5799</v>
      </c>
      <c r="G94">
        <v>0.71</v>
      </c>
      <c r="H94" t="s">
        <v>5191</v>
      </c>
      <c r="I94">
        <v>18.25</v>
      </c>
      <c r="J94">
        <v>12.96</v>
      </c>
    </row>
    <row r="95" spans="1:10" x14ac:dyDescent="0.3">
      <c r="A95">
        <v>7208</v>
      </c>
      <c r="B95" t="s">
        <v>557</v>
      </c>
      <c r="C95" s="452">
        <v>45962</v>
      </c>
      <c r="D95" t="s">
        <v>751</v>
      </c>
      <c r="E95" t="s">
        <v>5805</v>
      </c>
      <c r="F95" t="s">
        <v>5799</v>
      </c>
      <c r="G95">
        <v>1.9</v>
      </c>
      <c r="H95" t="s">
        <v>5191</v>
      </c>
      <c r="I95">
        <v>18.25</v>
      </c>
      <c r="J95">
        <v>34.68</v>
      </c>
    </row>
    <row r="96" spans="1:10" x14ac:dyDescent="0.3">
      <c r="A96">
        <v>7666</v>
      </c>
      <c r="B96" t="s">
        <v>557</v>
      </c>
      <c r="C96" s="452">
        <v>45992</v>
      </c>
      <c r="D96" t="s">
        <v>753</v>
      </c>
      <c r="E96" t="s">
        <v>5805</v>
      </c>
      <c r="F96" t="s">
        <v>5799</v>
      </c>
      <c r="G96">
        <v>1.04</v>
      </c>
      <c r="H96" t="s">
        <v>5191</v>
      </c>
      <c r="I96">
        <v>18.25</v>
      </c>
      <c r="J96">
        <v>18.98</v>
      </c>
    </row>
    <row r="97" spans="1:10" x14ac:dyDescent="0.3">
      <c r="A97">
        <v>8627</v>
      </c>
      <c r="B97" t="s">
        <v>557</v>
      </c>
      <c r="C97" s="452">
        <v>46054</v>
      </c>
      <c r="D97" t="s">
        <v>459</v>
      </c>
      <c r="E97" t="s">
        <v>5805</v>
      </c>
      <c r="F97" t="s">
        <v>5799</v>
      </c>
      <c r="G97">
        <v>0.54</v>
      </c>
      <c r="H97" t="s">
        <v>5191</v>
      </c>
      <c r="I97">
        <v>18.25</v>
      </c>
      <c r="J97">
        <v>9.86</v>
      </c>
    </row>
    <row r="98" spans="1:10" x14ac:dyDescent="0.3">
      <c r="A98">
        <v>8703</v>
      </c>
      <c r="B98" t="s">
        <v>557</v>
      </c>
      <c r="C98" s="452">
        <v>46082</v>
      </c>
      <c r="D98" t="s">
        <v>460</v>
      </c>
      <c r="E98" t="s">
        <v>5805</v>
      </c>
      <c r="F98" t="s">
        <v>5799</v>
      </c>
      <c r="G98">
        <v>0.53</v>
      </c>
      <c r="H98" t="s">
        <v>5191</v>
      </c>
      <c r="I98">
        <v>18.25</v>
      </c>
      <c r="J98">
        <v>9.67</v>
      </c>
    </row>
    <row r="99" spans="1:10" x14ac:dyDescent="0.3">
      <c r="A99">
        <v>9446</v>
      </c>
      <c r="B99" t="s">
        <v>557</v>
      </c>
      <c r="C99" s="452">
        <v>46113</v>
      </c>
      <c r="D99" t="s">
        <v>461</v>
      </c>
      <c r="E99" t="s">
        <v>5805</v>
      </c>
      <c r="F99" t="s">
        <v>5799</v>
      </c>
      <c r="G99">
        <v>0.87</v>
      </c>
      <c r="H99" t="s">
        <v>5191</v>
      </c>
      <c r="I99">
        <v>18.25</v>
      </c>
      <c r="J99">
        <v>15.88</v>
      </c>
    </row>
    <row r="100" spans="1:10" x14ac:dyDescent="0.3">
      <c r="A100">
        <v>9984</v>
      </c>
      <c r="B100" t="s">
        <v>557</v>
      </c>
      <c r="C100" s="452">
        <v>46143</v>
      </c>
      <c r="D100" t="s">
        <v>462</v>
      </c>
      <c r="E100" t="s">
        <v>5805</v>
      </c>
      <c r="F100" t="s">
        <v>5799</v>
      </c>
      <c r="G100">
        <v>1.19</v>
      </c>
      <c r="H100" t="s">
        <v>5191</v>
      </c>
      <c r="I100">
        <v>18.25</v>
      </c>
      <c r="J100">
        <v>21.72</v>
      </c>
    </row>
    <row r="101" spans="1:10" x14ac:dyDescent="0.3">
      <c r="A101">
        <v>10751</v>
      </c>
      <c r="B101" t="s">
        <v>557</v>
      </c>
      <c r="C101" s="452">
        <v>46174</v>
      </c>
      <c r="D101" t="s">
        <v>463</v>
      </c>
      <c r="E101" t="s">
        <v>5805</v>
      </c>
      <c r="F101" t="s">
        <v>5799</v>
      </c>
      <c r="G101">
        <v>1.2</v>
      </c>
      <c r="H101" t="s">
        <v>5191</v>
      </c>
      <c r="I101">
        <v>18.25</v>
      </c>
      <c r="J101">
        <v>21.9</v>
      </c>
    </row>
    <row r="102" spans="1:10" x14ac:dyDescent="0.3">
      <c r="A102">
        <v>1224</v>
      </c>
      <c r="B102" t="s">
        <v>557</v>
      </c>
      <c r="C102" s="452">
        <v>45658</v>
      </c>
      <c r="D102" t="s">
        <v>730</v>
      </c>
      <c r="E102" t="s">
        <v>5806</v>
      </c>
      <c r="F102" t="s">
        <v>5799</v>
      </c>
      <c r="G102">
        <v>1.31</v>
      </c>
      <c r="H102" t="s">
        <v>5191</v>
      </c>
      <c r="I102">
        <v>35.799999999999997</v>
      </c>
      <c r="J102">
        <v>46.9</v>
      </c>
    </row>
    <row r="103" spans="1:10" x14ac:dyDescent="0.3">
      <c r="A103">
        <v>1365</v>
      </c>
      <c r="B103" t="s">
        <v>557</v>
      </c>
      <c r="C103" s="452">
        <v>45689</v>
      </c>
      <c r="D103" t="s">
        <v>4560</v>
      </c>
      <c r="E103" t="s">
        <v>5806</v>
      </c>
      <c r="F103" t="s">
        <v>5799</v>
      </c>
      <c r="G103">
        <v>1.52</v>
      </c>
      <c r="H103" t="s">
        <v>5191</v>
      </c>
      <c r="I103">
        <v>35.799999999999997</v>
      </c>
      <c r="J103">
        <v>54.42</v>
      </c>
    </row>
    <row r="104" spans="1:10" x14ac:dyDescent="0.3">
      <c r="A104">
        <v>3163</v>
      </c>
      <c r="B104" t="s">
        <v>557</v>
      </c>
      <c r="C104" s="452">
        <v>45717</v>
      </c>
      <c r="D104" t="s">
        <v>4476</v>
      </c>
      <c r="E104" t="s">
        <v>5806</v>
      </c>
      <c r="F104" t="s">
        <v>5799</v>
      </c>
      <c r="G104">
        <v>1.2</v>
      </c>
      <c r="H104" t="s">
        <v>5191</v>
      </c>
      <c r="I104">
        <v>35.799999999999997</v>
      </c>
      <c r="J104">
        <v>42.96</v>
      </c>
    </row>
    <row r="105" spans="1:10" x14ac:dyDescent="0.3">
      <c r="A105">
        <v>3309</v>
      </c>
      <c r="B105" t="s">
        <v>557</v>
      </c>
      <c r="C105" s="452">
        <v>45748</v>
      </c>
      <c r="D105" t="s">
        <v>4455</v>
      </c>
      <c r="E105" t="s">
        <v>5806</v>
      </c>
      <c r="F105" t="s">
        <v>5799</v>
      </c>
      <c r="G105">
        <v>1.05</v>
      </c>
      <c r="H105" t="s">
        <v>5191</v>
      </c>
      <c r="I105">
        <v>35.799999999999997</v>
      </c>
      <c r="J105">
        <v>37.590000000000003</v>
      </c>
    </row>
    <row r="106" spans="1:10" x14ac:dyDescent="0.3">
      <c r="A106">
        <v>3836</v>
      </c>
      <c r="B106" t="s">
        <v>557</v>
      </c>
      <c r="C106" s="452">
        <v>45778</v>
      </c>
      <c r="D106" t="s">
        <v>4436</v>
      </c>
      <c r="E106" t="s">
        <v>5806</v>
      </c>
      <c r="F106" t="s">
        <v>5799</v>
      </c>
      <c r="G106">
        <v>2.88</v>
      </c>
      <c r="H106" t="s">
        <v>5191</v>
      </c>
      <c r="I106">
        <v>35.799999999999997</v>
      </c>
      <c r="J106">
        <v>103.1</v>
      </c>
    </row>
    <row r="107" spans="1:10" x14ac:dyDescent="0.3">
      <c r="A107">
        <v>4543</v>
      </c>
      <c r="B107" t="s">
        <v>557</v>
      </c>
      <c r="C107" s="452">
        <v>45809</v>
      </c>
      <c r="D107" t="s">
        <v>4434</v>
      </c>
      <c r="E107" t="s">
        <v>5806</v>
      </c>
      <c r="F107" t="s">
        <v>5799</v>
      </c>
      <c r="G107">
        <v>1.77</v>
      </c>
      <c r="H107" t="s">
        <v>5191</v>
      </c>
      <c r="I107">
        <v>35.799999999999997</v>
      </c>
      <c r="J107">
        <v>63.37</v>
      </c>
    </row>
    <row r="108" spans="1:10" x14ac:dyDescent="0.3">
      <c r="A108">
        <v>5195</v>
      </c>
      <c r="B108" t="s">
        <v>557</v>
      </c>
      <c r="C108" s="452">
        <v>45839</v>
      </c>
      <c r="D108" t="s">
        <v>3935</v>
      </c>
      <c r="E108" t="s">
        <v>5806</v>
      </c>
      <c r="F108" t="s">
        <v>5799</v>
      </c>
      <c r="G108">
        <v>4.2</v>
      </c>
      <c r="H108" t="s">
        <v>5191</v>
      </c>
      <c r="I108">
        <v>35.799999999999997</v>
      </c>
      <c r="J108">
        <v>150.36000000000001</v>
      </c>
    </row>
    <row r="109" spans="1:10" x14ac:dyDescent="0.3">
      <c r="A109">
        <v>5696</v>
      </c>
      <c r="B109" t="s">
        <v>557</v>
      </c>
      <c r="C109" s="452">
        <v>45870</v>
      </c>
      <c r="D109" t="s">
        <v>4040</v>
      </c>
      <c r="E109" t="s">
        <v>5806</v>
      </c>
      <c r="F109" t="s">
        <v>5799</v>
      </c>
      <c r="G109">
        <v>1.52</v>
      </c>
      <c r="H109" t="s">
        <v>5191</v>
      </c>
      <c r="I109">
        <v>35.799999999999997</v>
      </c>
      <c r="J109">
        <v>54.42</v>
      </c>
    </row>
    <row r="110" spans="1:10" x14ac:dyDescent="0.3">
      <c r="A110">
        <v>6369</v>
      </c>
      <c r="B110" t="s">
        <v>557</v>
      </c>
      <c r="C110" s="452">
        <v>45901</v>
      </c>
      <c r="D110" t="s">
        <v>4038</v>
      </c>
      <c r="E110" t="s">
        <v>5806</v>
      </c>
      <c r="F110" t="s">
        <v>5799</v>
      </c>
      <c r="G110">
        <v>1.63</v>
      </c>
      <c r="H110" t="s">
        <v>5191</v>
      </c>
      <c r="I110">
        <v>35.799999999999997</v>
      </c>
      <c r="J110">
        <v>58.35</v>
      </c>
    </row>
    <row r="111" spans="1:10" x14ac:dyDescent="0.3">
      <c r="A111">
        <v>6941</v>
      </c>
      <c r="B111" t="s">
        <v>557</v>
      </c>
      <c r="C111" s="452">
        <v>45931</v>
      </c>
      <c r="D111" t="s">
        <v>3999</v>
      </c>
      <c r="E111" t="s">
        <v>5806</v>
      </c>
      <c r="F111" t="s">
        <v>5799</v>
      </c>
      <c r="G111">
        <v>2.8</v>
      </c>
      <c r="H111" t="s">
        <v>5191</v>
      </c>
      <c r="I111">
        <v>35.799999999999997</v>
      </c>
      <c r="J111">
        <v>100.24</v>
      </c>
    </row>
    <row r="112" spans="1:10" x14ac:dyDescent="0.3">
      <c r="A112">
        <v>7224</v>
      </c>
      <c r="B112" t="s">
        <v>557</v>
      </c>
      <c r="C112" s="452">
        <v>45962</v>
      </c>
      <c r="D112" t="s">
        <v>751</v>
      </c>
      <c r="E112" t="s">
        <v>5806</v>
      </c>
      <c r="F112" t="s">
        <v>5799</v>
      </c>
      <c r="G112">
        <v>1.91</v>
      </c>
      <c r="H112" t="s">
        <v>5191</v>
      </c>
      <c r="I112">
        <v>35.799999999999997</v>
      </c>
      <c r="J112">
        <v>68.38</v>
      </c>
    </row>
    <row r="113" spans="1:10" x14ac:dyDescent="0.3">
      <c r="A113">
        <v>7681</v>
      </c>
      <c r="B113" t="s">
        <v>557</v>
      </c>
      <c r="C113" s="452">
        <v>45992</v>
      </c>
      <c r="D113" t="s">
        <v>753</v>
      </c>
      <c r="E113" t="s">
        <v>5806</v>
      </c>
      <c r="F113" t="s">
        <v>5799</v>
      </c>
      <c r="G113">
        <v>1.08</v>
      </c>
      <c r="H113" t="s">
        <v>5191</v>
      </c>
      <c r="I113">
        <v>35.799999999999997</v>
      </c>
      <c r="J113">
        <v>38.659999999999997</v>
      </c>
    </row>
    <row r="114" spans="1:10" x14ac:dyDescent="0.3">
      <c r="A114">
        <v>8634</v>
      </c>
      <c r="B114" t="s">
        <v>557</v>
      </c>
      <c r="C114" s="452">
        <v>46054</v>
      </c>
      <c r="D114" t="s">
        <v>459</v>
      </c>
      <c r="E114" t="s">
        <v>5806</v>
      </c>
      <c r="F114" t="s">
        <v>5799</v>
      </c>
      <c r="G114">
        <v>0.88</v>
      </c>
      <c r="H114" t="s">
        <v>5191</v>
      </c>
      <c r="I114">
        <v>35.799999999999997</v>
      </c>
      <c r="J114">
        <v>31.5</v>
      </c>
    </row>
    <row r="115" spans="1:10" x14ac:dyDescent="0.3">
      <c r="A115">
        <v>8721</v>
      </c>
      <c r="B115" t="s">
        <v>557</v>
      </c>
      <c r="C115" s="452">
        <v>46082</v>
      </c>
      <c r="D115" t="s">
        <v>460</v>
      </c>
      <c r="E115" t="s">
        <v>5806</v>
      </c>
      <c r="F115" t="s">
        <v>5799</v>
      </c>
      <c r="G115">
        <v>2.35</v>
      </c>
      <c r="H115" t="s">
        <v>5191</v>
      </c>
      <c r="I115">
        <v>35.799999999999997</v>
      </c>
      <c r="J115">
        <v>84.13</v>
      </c>
    </row>
    <row r="116" spans="1:10" x14ac:dyDescent="0.3">
      <c r="A116">
        <v>9465</v>
      </c>
      <c r="B116" t="s">
        <v>557</v>
      </c>
      <c r="C116" s="452">
        <v>46113</v>
      </c>
      <c r="D116" t="s">
        <v>461</v>
      </c>
      <c r="E116" t="s">
        <v>5806</v>
      </c>
      <c r="F116" t="s">
        <v>5799</v>
      </c>
      <c r="G116">
        <v>1.1599999999999999</v>
      </c>
      <c r="H116" t="s">
        <v>5191</v>
      </c>
      <c r="I116">
        <v>35.799999999999997</v>
      </c>
      <c r="J116">
        <v>41.53</v>
      </c>
    </row>
    <row r="117" spans="1:10" x14ac:dyDescent="0.3">
      <c r="A117">
        <v>10008</v>
      </c>
      <c r="B117" t="s">
        <v>557</v>
      </c>
      <c r="C117" s="452">
        <v>46143</v>
      </c>
      <c r="D117" t="s">
        <v>462</v>
      </c>
      <c r="E117" t="s">
        <v>5806</v>
      </c>
      <c r="F117" t="s">
        <v>5799</v>
      </c>
      <c r="G117">
        <v>2.6</v>
      </c>
      <c r="H117" t="s">
        <v>5191</v>
      </c>
      <c r="I117">
        <v>35.799999999999997</v>
      </c>
      <c r="J117">
        <v>93.08</v>
      </c>
    </row>
    <row r="118" spans="1:10" x14ac:dyDescent="0.3">
      <c r="A118">
        <v>10763</v>
      </c>
      <c r="B118" t="s">
        <v>557</v>
      </c>
      <c r="C118" s="452">
        <v>46174</v>
      </c>
      <c r="D118" t="s">
        <v>463</v>
      </c>
      <c r="E118" t="s">
        <v>5806</v>
      </c>
      <c r="F118" t="s">
        <v>5799</v>
      </c>
      <c r="G118">
        <v>1.55</v>
      </c>
      <c r="H118" t="s">
        <v>5191</v>
      </c>
      <c r="I118">
        <v>35.799999999999997</v>
      </c>
      <c r="J118">
        <v>55.49</v>
      </c>
    </row>
    <row r="119" spans="1:10" x14ac:dyDescent="0.3">
      <c r="A119">
        <v>1225</v>
      </c>
      <c r="B119" t="s">
        <v>557</v>
      </c>
      <c r="C119" s="452">
        <v>45658</v>
      </c>
      <c r="D119" t="s">
        <v>730</v>
      </c>
      <c r="E119" t="s">
        <v>5807</v>
      </c>
      <c r="F119" t="s">
        <v>5799</v>
      </c>
      <c r="G119">
        <v>0.53</v>
      </c>
      <c r="H119" t="s">
        <v>5191</v>
      </c>
      <c r="I119">
        <v>23.88</v>
      </c>
      <c r="J119">
        <v>12.66</v>
      </c>
    </row>
    <row r="120" spans="1:10" x14ac:dyDescent="0.3">
      <c r="A120">
        <v>1367</v>
      </c>
      <c r="B120" t="s">
        <v>557</v>
      </c>
      <c r="C120" s="452">
        <v>45689</v>
      </c>
      <c r="D120" t="s">
        <v>4560</v>
      </c>
      <c r="E120" t="s">
        <v>5807</v>
      </c>
      <c r="F120" t="s">
        <v>5799</v>
      </c>
      <c r="G120">
        <v>2.08</v>
      </c>
      <c r="H120" t="s">
        <v>5191</v>
      </c>
      <c r="I120">
        <v>23.88</v>
      </c>
      <c r="J120">
        <v>49.67</v>
      </c>
    </row>
    <row r="121" spans="1:10" x14ac:dyDescent="0.3">
      <c r="A121">
        <v>3165</v>
      </c>
      <c r="B121" t="s">
        <v>557</v>
      </c>
      <c r="C121" s="452">
        <v>45717</v>
      </c>
      <c r="D121" t="s">
        <v>4476</v>
      </c>
      <c r="E121" t="s">
        <v>5807</v>
      </c>
      <c r="F121" t="s">
        <v>5799</v>
      </c>
      <c r="G121">
        <v>0.39</v>
      </c>
      <c r="H121" t="s">
        <v>5191</v>
      </c>
      <c r="I121">
        <v>23.88</v>
      </c>
      <c r="J121">
        <v>9.31</v>
      </c>
    </row>
    <row r="122" spans="1:10" x14ac:dyDescent="0.3">
      <c r="A122">
        <v>3838</v>
      </c>
      <c r="B122" t="s">
        <v>557</v>
      </c>
      <c r="C122" s="452">
        <v>45778</v>
      </c>
      <c r="D122" t="s">
        <v>4436</v>
      </c>
      <c r="E122" t="s">
        <v>5807</v>
      </c>
      <c r="F122" t="s">
        <v>5799</v>
      </c>
      <c r="G122">
        <v>2.74</v>
      </c>
      <c r="H122" t="s">
        <v>5191</v>
      </c>
      <c r="I122">
        <v>23.88</v>
      </c>
      <c r="J122">
        <v>65.430000000000007</v>
      </c>
    </row>
    <row r="123" spans="1:10" x14ac:dyDescent="0.3">
      <c r="A123">
        <v>4546</v>
      </c>
      <c r="B123" t="s">
        <v>557</v>
      </c>
      <c r="C123" s="452">
        <v>45809</v>
      </c>
      <c r="D123" t="s">
        <v>4434</v>
      </c>
      <c r="E123" t="s">
        <v>5807</v>
      </c>
      <c r="F123" t="s">
        <v>5799</v>
      </c>
      <c r="G123">
        <v>1.06</v>
      </c>
      <c r="H123" t="s">
        <v>5191</v>
      </c>
      <c r="I123">
        <v>23.88</v>
      </c>
      <c r="J123">
        <v>25.31</v>
      </c>
    </row>
    <row r="124" spans="1:10" x14ac:dyDescent="0.3">
      <c r="A124">
        <v>5198</v>
      </c>
      <c r="B124" t="s">
        <v>557</v>
      </c>
      <c r="C124" s="452">
        <v>45839</v>
      </c>
      <c r="D124" t="s">
        <v>3935</v>
      </c>
      <c r="E124" t="s">
        <v>5807</v>
      </c>
      <c r="F124" t="s">
        <v>5799</v>
      </c>
      <c r="G124">
        <v>0.8</v>
      </c>
      <c r="H124" t="s">
        <v>5191</v>
      </c>
      <c r="I124">
        <v>23.88</v>
      </c>
      <c r="J124">
        <v>19.100000000000001</v>
      </c>
    </row>
    <row r="125" spans="1:10" x14ac:dyDescent="0.3">
      <c r="A125">
        <v>5699</v>
      </c>
      <c r="B125" t="s">
        <v>557</v>
      </c>
      <c r="C125" s="452">
        <v>45870</v>
      </c>
      <c r="D125" t="s">
        <v>4040</v>
      </c>
      <c r="E125" t="s">
        <v>5807</v>
      </c>
      <c r="F125" t="s">
        <v>5799</v>
      </c>
      <c r="G125">
        <v>3.4</v>
      </c>
      <c r="H125" t="s">
        <v>5191</v>
      </c>
      <c r="I125">
        <v>23.88</v>
      </c>
      <c r="J125">
        <v>81.19</v>
      </c>
    </row>
    <row r="126" spans="1:10" x14ac:dyDescent="0.3">
      <c r="A126">
        <v>6371</v>
      </c>
      <c r="B126" t="s">
        <v>557</v>
      </c>
      <c r="C126" s="452">
        <v>45901</v>
      </c>
      <c r="D126" t="s">
        <v>4038</v>
      </c>
      <c r="E126" t="s">
        <v>5807</v>
      </c>
      <c r="F126" t="s">
        <v>5799</v>
      </c>
      <c r="G126">
        <v>1.78</v>
      </c>
      <c r="H126" t="s">
        <v>5191</v>
      </c>
      <c r="I126">
        <v>23.88</v>
      </c>
      <c r="J126">
        <v>42.51</v>
      </c>
    </row>
    <row r="127" spans="1:10" x14ac:dyDescent="0.3">
      <c r="A127">
        <v>6944</v>
      </c>
      <c r="B127" t="s">
        <v>557</v>
      </c>
      <c r="C127" s="452">
        <v>45931</v>
      </c>
      <c r="D127" t="s">
        <v>3999</v>
      </c>
      <c r="E127" t="s">
        <v>5807</v>
      </c>
      <c r="F127" t="s">
        <v>5799</v>
      </c>
      <c r="G127">
        <v>2.9</v>
      </c>
      <c r="H127" t="s">
        <v>5191</v>
      </c>
      <c r="I127">
        <v>23.88</v>
      </c>
      <c r="J127">
        <v>69.25</v>
      </c>
    </row>
    <row r="128" spans="1:10" x14ac:dyDescent="0.3">
      <c r="A128">
        <v>7227</v>
      </c>
      <c r="B128" t="s">
        <v>557</v>
      </c>
      <c r="C128" s="452">
        <v>45962</v>
      </c>
      <c r="D128" t="s">
        <v>751</v>
      </c>
      <c r="E128" t="s">
        <v>5807</v>
      </c>
      <c r="F128" t="s">
        <v>5799</v>
      </c>
      <c r="G128">
        <v>0.18</v>
      </c>
      <c r="H128" t="s">
        <v>5191</v>
      </c>
      <c r="I128">
        <v>23.88</v>
      </c>
      <c r="J128">
        <v>4.3</v>
      </c>
    </row>
    <row r="129" spans="1:10" x14ac:dyDescent="0.3">
      <c r="A129">
        <v>7683</v>
      </c>
      <c r="B129" t="s">
        <v>557</v>
      </c>
      <c r="C129" s="452">
        <v>45992</v>
      </c>
      <c r="D129" t="s">
        <v>753</v>
      </c>
      <c r="E129" t="s">
        <v>5807</v>
      </c>
      <c r="F129" t="s">
        <v>5799</v>
      </c>
      <c r="G129">
        <v>1.79</v>
      </c>
      <c r="H129" t="s">
        <v>5191</v>
      </c>
      <c r="I129">
        <v>23.88</v>
      </c>
      <c r="J129">
        <v>42.75</v>
      </c>
    </row>
    <row r="130" spans="1:10" x14ac:dyDescent="0.3">
      <c r="A130">
        <v>8636</v>
      </c>
      <c r="B130" t="s">
        <v>557</v>
      </c>
      <c r="C130" s="452">
        <v>46054</v>
      </c>
      <c r="D130" t="s">
        <v>459</v>
      </c>
      <c r="E130" t="s">
        <v>5807</v>
      </c>
      <c r="F130" t="s">
        <v>5799</v>
      </c>
      <c r="G130">
        <v>1.3</v>
      </c>
      <c r="H130" t="s">
        <v>5191</v>
      </c>
      <c r="I130">
        <v>23.88</v>
      </c>
      <c r="J130">
        <v>31.04</v>
      </c>
    </row>
    <row r="131" spans="1:10" x14ac:dyDescent="0.3">
      <c r="A131">
        <v>8723</v>
      </c>
      <c r="B131" t="s">
        <v>557</v>
      </c>
      <c r="C131" s="452">
        <v>46082</v>
      </c>
      <c r="D131" t="s">
        <v>460</v>
      </c>
      <c r="E131" t="s">
        <v>5807</v>
      </c>
      <c r="F131" t="s">
        <v>5799</v>
      </c>
      <c r="G131">
        <v>0.68</v>
      </c>
      <c r="H131" t="s">
        <v>5191</v>
      </c>
      <c r="I131">
        <v>23.88</v>
      </c>
      <c r="J131">
        <v>16.239999999999998</v>
      </c>
    </row>
    <row r="132" spans="1:10" x14ac:dyDescent="0.3">
      <c r="A132">
        <v>9467</v>
      </c>
      <c r="B132" t="s">
        <v>557</v>
      </c>
      <c r="C132" s="452">
        <v>46113</v>
      </c>
      <c r="D132" t="s">
        <v>461</v>
      </c>
      <c r="E132" t="s">
        <v>5807</v>
      </c>
      <c r="F132" t="s">
        <v>5799</v>
      </c>
      <c r="G132">
        <v>0.64</v>
      </c>
      <c r="H132" t="s">
        <v>5191</v>
      </c>
      <c r="I132">
        <v>23.88</v>
      </c>
      <c r="J132">
        <v>15.28</v>
      </c>
    </row>
    <row r="133" spans="1:10" x14ac:dyDescent="0.3">
      <c r="A133">
        <v>10011</v>
      </c>
      <c r="B133" t="s">
        <v>557</v>
      </c>
      <c r="C133" s="452">
        <v>46143</v>
      </c>
      <c r="D133" t="s">
        <v>462</v>
      </c>
      <c r="E133" t="s">
        <v>5807</v>
      </c>
      <c r="F133" t="s">
        <v>5799</v>
      </c>
      <c r="G133">
        <v>1.9</v>
      </c>
      <c r="H133" t="s">
        <v>5191</v>
      </c>
      <c r="I133">
        <v>23.88</v>
      </c>
      <c r="J133">
        <v>45.37</v>
      </c>
    </row>
    <row r="134" spans="1:10" x14ac:dyDescent="0.3">
      <c r="A134">
        <v>10755</v>
      </c>
      <c r="B134" t="s">
        <v>557</v>
      </c>
      <c r="C134" s="452">
        <v>46174</v>
      </c>
      <c r="D134" t="s">
        <v>463</v>
      </c>
      <c r="E134" t="s">
        <v>5807</v>
      </c>
      <c r="F134" t="s">
        <v>5799</v>
      </c>
      <c r="G134">
        <v>2.89</v>
      </c>
      <c r="H134" t="s">
        <v>5191</v>
      </c>
      <c r="I134">
        <v>23.88</v>
      </c>
      <c r="J134">
        <v>69.010000000000005</v>
      </c>
    </row>
    <row r="135" spans="1:10" x14ac:dyDescent="0.3">
      <c r="A135">
        <v>1226</v>
      </c>
      <c r="B135" t="s">
        <v>557</v>
      </c>
      <c r="C135" s="452">
        <v>45658</v>
      </c>
      <c r="D135" t="s">
        <v>730</v>
      </c>
      <c r="E135" t="s">
        <v>5808</v>
      </c>
      <c r="F135" t="s">
        <v>5240</v>
      </c>
      <c r="G135">
        <v>36</v>
      </c>
      <c r="H135" t="s">
        <v>5191</v>
      </c>
      <c r="I135">
        <v>17.96</v>
      </c>
      <c r="J135">
        <v>646.55999999999995</v>
      </c>
    </row>
    <row r="136" spans="1:10" x14ac:dyDescent="0.3">
      <c r="A136">
        <v>1372</v>
      </c>
      <c r="B136" t="s">
        <v>557</v>
      </c>
      <c r="C136" s="452">
        <v>45689</v>
      </c>
      <c r="D136" t="s">
        <v>4560</v>
      </c>
      <c r="E136" t="s">
        <v>5808</v>
      </c>
      <c r="F136" t="s">
        <v>5240</v>
      </c>
      <c r="G136">
        <v>0</v>
      </c>
      <c r="H136" t="s">
        <v>5191</v>
      </c>
      <c r="I136">
        <v>17.96</v>
      </c>
      <c r="J136">
        <v>0</v>
      </c>
    </row>
    <row r="137" spans="1:10" x14ac:dyDescent="0.3">
      <c r="A137">
        <v>3170</v>
      </c>
      <c r="B137" t="s">
        <v>557</v>
      </c>
      <c r="C137" s="452">
        <v>45717</v>
      </c>
      <c r="D137" t="s">
        <v>4476</v>
      </c>
      <c r="E137" t="s">
        <v>5808</v>
      </c>
      <c r="F137" t="s">
        <v>5240</v>
      </c>
      <c r="G137">
        <v>0</v>
      </c>
      <c r="H137" t="s">
        <v>5191</v>
      </c>
      <c r="I137">
        <v>17.96</v>
      </c>
      <c r="J137">
        <v>0</v>
      </c>
    </row>
    <row r="138" spans="1:10" x14ac:dyDescent="0.3">
      <c r="A138">
        <v>8737</v>
      </c>
      <c r="B138" t="s">
        <v>557</v>
      </c>
      <c r="C138" s="452">
        <v>46082</v>
      </c>
      <c r="D138" t="s">
        <v>460</v>
      </c>
      <c r="E138" t="s">
        <v>5808</v>
      </c>
      <c r="F138" t="s">
        <v>5240</v>
      </c>
      <c r="G138">
        <v>72</v>
      </c>
      <c r="H138" t="s">
        <v>5191</v>
      </c>
      <c r="I138">
        <v>1.52</v>
      </c>
      <c r="J138">
        <v>109.44</v>
      </c>
    </row>
    <row r="139" spans="1:10" x14ac:dyDescent="0.3">
      <c r="A139">
        <v>1227</v>
      </c>
      <c r="B139" t="s">
        <v>557</v>
      </c>
      <c r="C139" s="452">
        <v>45658</v>
      </c>
      <c r="D139" t="s">
        <v>730</v>
      </c>
      <c r="E139" t="s">
        <v>5809</v>
      </c>
      <c r="F139" t="s">
        <v>5240</v>
      </c>
      <c r="G139">
        <v>27</v>
      </c>
      <c r="H139" t="s">
        <v>5191</v>
      </c>
      <c r="I139">
        <v>14.27</v>
      </c>
      <c r="J139">
        <v>385.29</v>
      </c>
    </row>
    <row r="140" spans="1:10" x14ac:dyDescent="0.3">
      <c r="A140">
        <v>1371</v>
      </c>
      <c r="B140" t="s">
        <v>557</v>
      </c>
      <c r="C140" s="452">
        <v>45689</v>
      </c>
      <c r="D140" t="s">
        <v>4560</v>
      </c>
      <c r="E140" t="s">
        <v>5809</v>
      </c>
      <c r="F140" t="s">
        <v>5240</v>
      </c>
      <c r="G140">
        <v>23</v>
      </c>
      <c r="H140" t="s">
        <v>5191</v>
      </c>
      <c r="I140">
        <v>14.27</v>
      </c>
      <c r="J140">
        <v>328.21</v>
      </c>
    </row>
    <row r="141" spans="1:10" x14ac:dyDescent="0.3">
      <c r="A141">
        <v>3169</v>
      </c>
      <c r="B141" t="s">
        <v>557</v>
      </c>
      <c r="C141" s="452">
        <v>45717</v>
      </c>
      <c r="D141" t="s">
        <v>4476</v>
      </c>
      <c r="E141" t="s">
        <v>5809</v>
      </c>
      <c r="F141" t="s">
        <v>5240</v>
      </c>
      <c r="G141">
        <v>119</v>
      </c>
      <c r="H141" t="s">
        <v>5191</v>
      </c>
      <c r="I141">
        <v>14.27</v>
      </c>
      <c r="J141">
        <v>1698.13</v>
      </c>
    </row>
    <row r="142" spans="1:10" x14ac:dyDescent="0.3">
      <c r="A142">
        <v>3313</v>
      </c>
      <c r="B142" t="s">
        <v>557</v>
      </c>
      <c r="C142" s="452">
        <v>45748</v>
      </c>
      <c r="D142" t="s">
        <v>4455</v>
      </c>
      <c r="E142" t="s">
        <v>5809</v>
      </c>
      <c r="F142" t="s">
        <v>5240</v>
      </c>
      <c r="G142">
        <v>103</v>
      </c>
      <c r="H142" t="s">
        <v>5191</v>
      </c>
      <c r="I142">
        <v>14.27</v>
      </c>
      <c r="J142">
        <v>1469.81</v>
      </c>
    </row>
    <row r="143" spans="1:10" x14ac:dyDescent="0.3">
      <c r="A143">
        <v>3843</v>
      </c>
      <c r="B143" t="s">
        <v>557</v>
      </c>
      <c r="C143" s="452">
        <v>45778</v>
      </c>
      <c r="D143" t="s">
        <v>4436</v>
      </c>
      <c r="E143" t="s">
        <v>5809</v>
      </c>
      <c r="F143" t="s">
        <v>5240</v>
      </c>
      <c r="G143">
        <v>50</v>
      </c>
      <c r="H143" t="s">
        <v>5191</v>
      </c>
      <c r="I143">
        <v>14.27</v>
      </c>
      <c r="J143">
        <v>713.5</v>
      </c>
    </row>
    <row r="144" spans="1:10" x14ac:dyDescent="0.3">
      <c r="A144">
        <v>4556</v>
      </c>
      <c r="B144" t="s">
        <v>557</v>
      </c>
      <c r="C144" s="452">
        <v>45809</v>
      </c>
      <c r="D144" t="s">
        <v>4434</v>
      </c>
      <c r="E144" t="s">
        <v>5809</v>
      </c>
      <c r="F144" t="s">
        <v>5240</v>
      </c>
      <c r="G144">
        <v>302</v>
      </c>
      <c r="H144" t="s">
        <v>5191</v>
      </c>
      <c r="I144">
        <v>14.27</v>
      </c>
      <c r="J144">
        <v>4309.54</v>
      </c>
    </row>
    <row r="145" spans="1:10" x14ac:dyDescent="0.3">
      <c r="A145">
        <v>5208</v>
      </c>
      <c r="B145" t="s">
        <v>557</v>
      </c>
      <c r="C145" s="452">
        <v>45839</v>
      </c>
      <c r="D145" t="s">
        <v>3935</v>
      </c>
      <c r="E145" t="s">
        <v>5809</v>
      </c>
      <c r="F145" t="s">
        <v>5240</v>
      </c>
      <c r="G145">
        <v>89</v>
      </c>
      <c r="H145" t="s">
        <v>5191</v>
      </c>
      <c r="I145">
        <v>14.27</v>
      </c>
      <c r="J145">
        <v>1270.03</v>
      </c>
    </row>
    <row r="146" spans="1:10" x14ac:dyDescent="0.3">
      <c r="A146">
        <v>5711</v>
      </c>
      <c r="B146" t="s">
        <v>557</v>
      </c>
      <c r="C146" s="452">
        <v>45870</v>
      </c>
      <c r="D146" t="s">
        <v>4040</v>
      </c>
      <c r="E146" t="s">
        <v>5809</v>
      </c>
      <c r="F146" t="s">
        <v>5240</v>
      </c>
      <c r="G146">
        <v>21</v>
      </c>
      <c r="H146" t="s">
        <v>5191</v>
      </c>
      <c r="I146">
        <v>14.27</v>
      </c>
      <c r="J146">
        <v>299.67</v>
      </c>
    </row>
    <row r="147" spans="1:10" x14ac:dyDescent="0.3">
      <c r="A147">
        <v>6382</v>
      </c>
      <c r="B147" t="s">
        <v>557</v>
      </c>
      <c r="C147" s="452">
        <v>45901</v>
      </c>
      <c r="D147" t="s">
        <v>4038</v>
      </c>
      <c r="E147" t="s">
        <v>5809</v>
      </c>
      <c r="F147" t="s">
        <v>5240</v>
      </c>
      <c r="G147">
        <v>96</v>
      </c>
      <c r="H147" t="s">
        <v>5191</v>
      </c>
      <c r="I147">
        <v>14.27</v>
      </c>
      <c r="J147">
        <v>1369.92</v>
      </c>
    </row>
    <row r="148" spans="1:10" x14ac:dyDescent="0.3">
      <c r="A148">
        <v>6951</v>
      </c>
      <c r="B148" t="s">
        <v>557</v>
      </c>
      <c r="C148" s="452">
        <v>45931</v>
      </c>
      <c r="D148" t="s">
        <v>3999</v>
      </c>
      <c r="E148" t="s">
        <v>5809</v>
      </c>
      <c r="F148" t="s">
        <v>5240</v>
      </c>
      <c r="G148">
        <v>98</v>
      </c>
      <c r="H148" t="s">
        <v>5191</v>
      </c>
      <c r="I148">
        <v>3.04</v>
      </c>
      <c r="J148">
        <v>297.92</v>
      </c>
    </row>
    <row r="149" spans="1:10" x14ac:dyDescent="0.3">
      <c r="A149">
        <v>7234</v>
      </c>
      <c r="B149" t="s">
        <v>557</v>
      </c>
      <c r="C149" s="452">
        <v>45962</v>
      </c>
      <c r="D149" t="s">
        <v>751</v>
      </c>
      <c r="E149" t="s">
        <v>5809</v>
      </c>
      <c r="F149" t="s">
        <v>5240</v>
      </c>
      <c r="G149">
        <v>119</v>
      </c>
      <c r="H149" t="s">
        <v>5191</v>
      </c>
      <c r="I149">
        <v>3.04</v>
      </c>
      <c r="J149">
        <v>361.76</v>
      </c>
    </row>
    <row r="150" spans="1:10" x14ac:dyDescent="0.3">
      <c r="A150">
        <v>7689</v>
      </c>
      <c r="B150" t="s">
        <v>557</v>
      </c>
      <c r="C150" s="452">
        <v>45992</v>
      </c>
      <c r="D150" t="s">
        <v>753</v>
      </c>
      <c r="E150" t="s">
        <v>5809</v>
      </c>
      <c r="F150" t="s">
        <v>5240</v>
      </c>
      <c r="G150">
        <v>60</v>
      </c>
      <c r="H150" t="s">
        <v>5191</v>
      </c>
      <c r="I150">
        <v>3.04</v>
      </c>
      <c r="J150">
        <v>182.4</v>
      </c>
    </row>
    <row r="151" spans="1:10" x14ac:dyDescent="0.3">
      <c r="A151">
        <v>8045</v>
      </c>
      <c r="B151" t="s">
        <v>557</v>
      </c>
      <c r="C151" s="452">
        <v>46023</v>
      </c>
      <c r="D151" t="s">
        <v>458</v>
      </c>
      <c r="E151" t="s">
        <v>5809</v>
      </c>
      <c r="F151" t="s">
        <v>5240</v>
      </c>
      <c r="G151">
        <v>56</v>
      </c>
      <c r="H151" t="s">
        <v>5191</v>
      </c>
      <c r="I151">
        <v>3.04</v>
      </c>
      <c r="J151">
        <v>170.24</v>
      </c>
    </row>
    <row r="152" spans="1:10" x14ac:dyDescent="0.3">
      <c r="A152">
        <v>8620</v>
      </c>
      <c r="B152" t="s">
        <v>557</v>
      </c>
      <c r="C152" s="452">
        <v>46054</v>
      </c>
      <c r="D152" t="s">
        <v>459</v>
      </c>
      <c r="E152" t="s">
        <v>5809</v>
      </c>
      <c r="F152" t="s">
        <v>5240</v>
      </c>
      <c r="G152">
        <v>78</v>
      </c>
      <c r="H152" t="s">
        <v>5191</v>
      </c>
      <c r="I152">
        <v>3.04</v>
      </c>
      <c r="J152">
        <v>237.12</v>
      </c>
    </row>
    <row r="153" spans="1:10" x14ac:dyDescent="0.3">
      <c r="A153">
        <v>8736</v>
      </c>
      <c r="B153" t="s">
        <v>557</v>
      </c>
      <c r="C153" s="452">
        <v>46082</v>
      </c>
      <c r="D153" t="s">
        <v>460</v>
      </c>
      <c r="E153" t="s">
        <v>5809</v>
      </c>
      <c r="F153" t="s">
        <v>5240</v>
      </c>
      <c r="G153">
        <v>56</v>
      </c>
      <c r="H153" t="s">
        <v>5191</v>
      </c>
      <c r="I153">
        <v>3.04</v>
      </c>
      <c r="J153">
        <v>170.24</v>
      </c>
    </row>
    <row r="154" spans="1:10" x14ac:dyDescent="0.3">
      <c r="A154">
        <v>9479</v>
      </c>
      <c r="B154" t="s">
        <v>557</v>
      </c>
      <c r="C154" s="452">
        <v>46113</v>
      </c>
      <c r="D154" t="s">
        <v>461</v>
      </c>
      <c r="E154" t="s">
        <v>5809</v>
      </c>
      <c r="F154" t="s">
        <v>5240</v>
      </c>
      <c r="G154">
        <v>112</v>
      </c>
      <c r="H154" t="s">
        <v>5191</v>
      </c>
      <c r="I154">
        <v>3.04</v>
      </c>
      <c r="J154">
        <v>340.48</v>
      </c>
    </row>
    <row r="155" spans="1:10" x14ac:dyDescent="0.3">
      <c r="A155">
        <v>10020</v>
      </c>
      <c r="B155" t="s">
        <v>557</v>
      </c>
      <c r="C155" s="452">
        <v>46143</v>
      </c>
      <c r="D155" t="s">
        <v>462</v>
      </c>
      <c r="E155" t="s">
        <v>5809</v>
      </c>
      <c r="F155" t="s">
        <v>5240</v>
      </c>
      <c r="G155">
        <v>56</v>
      </c>
      <c r="H155" t="s">
        <v>5191</v>
      </c>
      <c r="I155">
        <v>3.04</v>
      </c>
      <c r="J155">
        <v>170.24</v>
      </c>
    </row>
    <row r="156" spans="1:10" x14ac:dyDescent="0.3">
      <c r="A156">
        <v>10727</v>
      </c>
      <c r="B156" t="s">
        <v>557</v>
      </c>
      <c r="C156" s="452">
        <v>46174</v>
      </c>
      <c r="D156" t="s">
        <v>463</v>
      </c>
      <c r="E156" t="s">
        <v>5809</v>
      </c>
      <c r="F156" t="s">
        <v>5240</v>
      </c>
      <c r="G156">
        <v>132</v>
      </c>
      <c r="H156" t="s">
        <v>5191</v>
      </c>
      <c r="I156">
        <v>3.04</v>
      </c>
      <c r="J156">
        <v>401.28</v>
      </c>
    </row>
    <row r="157" spans="1:10" x14ac:dyDescent="0.3">
      <c r="A157">
        <v>1228</v>
      </c>
      <c r="B157" t="s">
        <v>557</v>
      </c>
      <c r="C157" s="452">
        <v>45658</v>
      </c>
      <c r="D157" t="s">
        <v>730</v>
      </c>
      <c r="E157" t="s">
        <v>5810</v>
      </c>
      <c r="F157" t="s">
        <v>5240</v>
      </c>
      <c r="G157">
        <v>34</v>
      </c>
      <c r="H157" t="s">
        <v>5191</v>
      </c>
      <c r="I157">
        <v>25.15</v>
      </c>
      <c r="J157">
        <v>855.1</v>
      </c>
    </row>
    <row r="158" spans="1:10" x14ac:dyDescent="0.3">
      <c r="A158">
        <v>1373</v>
      </c>
      <c r="B158" t="s">
        <v>557</v>
      </c>
      <c r="C158" s="452">
        <v>45689</v>
      </c>
      <c r="D158" t="s">
        <v>4560</v>
      </c>
      <c r="E158" t="s">
        <v>5810</v>
      </c>
      <c r="F158" t="s">
        <v>5240</v>
      </c>
      <c r="G158">
        <v>65</v>
      </c>
      <c r="H158" t="s">
        <v>5191</v>
      </c>
      <c r="I158">
        <v>25.15</v>
      </c>
      <c r="J158">
        <v>1634.75</v>
      </c>
    </row>
    <row r="159" spans="1:10" x14ac:dyDescent="0.3">
      <c r="A159">
        <v>3171</v>
      </c>
      <c r="B159" t="s">
        <v>557</v>
      </c>
      <c r="C159" s="452">
        <v>45717</v>
      </c>
      <c r="D159" t="s">
        <v>4476</v>
      </c>
      <c r="E159" t="s">
        <v>5810</v>
      </c>
      <c r="F159" t="s">
        <v>5240</v>
      </c>
      <c r="G159">
        <v>96</v>
      </c>
      <c r="H159" t="s">
        <v>5191</v>
      </c>
      <c r="I159">
        <v>25.15</v>
      </c>
      <c r="J159">
        <v>2414.4</v>
      </c>
    </row>
    <row r="160" spans="1:10" x14ac:dyDescent="0.3">
      <c r="A160">
        <v>3314</v>
      </c>
      <c r="B160" t="s">
        <v>557</v>
      </c>
      <c r="C160" s="452">
        <v>45748</v>
      </c>
      <c r="D160" t="s">
        <v>4455</v>
      </c>
      <c r="E160" t="s">
        <v>5810</v>
      </c>
      <c r="F160" t="s">
        <v>5240</v>
      </c>
      <c r="G160">
        <v>51</v>
      </c>
      <c r="H160" t="s">
        <v>5191</v>
      </c>
      <c r="I160">
        <v>25.15</v>
      </c>
      <c r="J160">
        <v>1282.6500000000001</v>
      </c>
    </row>
    <row r="161" spans="1:10" x14ac:dyDescent="0.3">
      <c r="A161">
        <v>3844</v>
      </c>
      <c r="B161" t="s">
        <v>557</v>
      </c>
      <c r="C161" s="452">
        <v>45778</v>
      </c>
      <c r="D161" t="s">
        <v>4436</v>
      </c>
      <c r="E161" t="s">
        <v>5810</v>
      </c>
      <c r="F161" t="s">
        <v>5240</v>
      </c>
      <c r="G161">
        <v>74</v>
      </c>
      <c r="H161" t="s">
        <v>5191</v>
      </c>
      <c r="I161">
        <v>25.15</v>
      </c>
      <c r="J161">
        <v>1861.1</v>
      </c>
    </row>
    <row r="162" spans="1:10" x14ac:dyDescent="0.3">
      <c r="A162">
        <v>4557</v>
      </c>
      <c r="B162" t="s">
        <v>557</v>
      </c>
      <c r="C162" s="452">
        <v>45809</v>
      </c>
      <c r="D162" t="s">
        <v>4434</v>
      </c>
      <c r="E162" t="s">
        <v>5810</v>
      </c>
      <c r="F162" t="s">
        <v>5240</v>
      </c>
      <c r="G162">
        <v>293</v>
      </c>
      <c r="H162" t="s">
        <v>5191</v>
      </c>
      <c r="I162">
        <v>25.15</v>
      </c>
      <c r="J162">
        <v>7368.95</v>
      </c>
    </row>
    <row r="163" spans="1:10" x14ac:dyDescent="0.3">
      <c r="A163">
        <v>5209</v>
      </c>
      <c r="B163" t="s">
        <v>557</v>
      </c>
      <c r="C163" s="452">
        <v>45839</v>
      </c>
      <c r="D163" t="s">
        <v>3935</v>
      </c>
      <c r="E163" t="s">
        <v>5810</v>
      </c>
      <c r="F163" t="s">
        <v>5240</v>
      </c>
      <c r="G163">
        <v>102</v>
      </c>
      <c r="H163" t="s">
        <v>5191</v>
      </c>
      <c r="I163">
        <v>25.15</v>
      </c>
      <c r="J163">
        <v>2565.3000000000002</v>
      </c>
    </row>
    <row r="164" spans="1:10" x14ac:dyDescent="0.3">
      <c r="A164">
        <v>5712</v>
      </c>
      <c r="B164" t="s">
        <v>557</v>
      </c>
      <c r="C164" s="452">
        <v>45870</v>
      </c>
      <c r="D164" t="s">
        <v>4040</v>
      </c>
      <c r="E164" t="s">
        <v>5810</v>
      </c>
      <c r="F164" t="s">
        <v>5240</v>
      </c>
      <c r="G164">
        <v>9.33</v>
      </c>
      <c r="H164" t="s">
        <v>5191</v>
      </c>
      <c r="I164">
        <v>25.15</v>
      </c>
      <c r="J164">
        <v>234.65</v>
      </c>
    </row>
    <row r="165" spans="1:10" x14ac:dyDescent="0.3">
      <c r="A165">
        <v>6383</v>
      </c>
      <c r="B165" t="s">
        <v>557</v>
      </c>
      <c r="C165" s="452">
        <v>45901</v>
      </c>
      <c r="D165" t="s">
        <v>4038</v>
      </c>
      <c r="E165" t="s">
        <v>5810</v>
      </c>
      <c r="F165" t="s">
        <v>5240</v>
      </c>
      <c r="G165">
        <v>67</v>
      </c>
      <c r="H165" t="s">
        <v>5191</v>
      </c>
      <c r="I165">
        <v>25.15</v>
      </c>
      <c r="J165">
        <v>1685.05</v>
      </c>
    </row>
    <row r="166" spans="1:10" x14ac:dyDescent="0.3">
      <c r="A166">
        <v>6952</v>
      </c>
      <c r="B166" t="s">
        <v>557</v>
      </c>
      <c r="C166" s="452">
        <v>45931</v>
      </c>
      <c r="D166" t="s">
        <v>3999</v>
      </c>
      <c r="E166" t="s">
        <v>5810</v>
      </c>
      <c r="F166" t="s">
        <v>5240</v>
      </c>
      <c r="G166">
        <v>54</v>
      </c>
      <c r="H166" t="s">
        <v>5191</v>
      </c>
      <c r="I166">
        <v>2.62</v>
      </c>
      <c r="J166">
        <v>141.47999999999999</v>
      </c>
    </row>
    <row r="167" spans="1:10" x14ac:dyDescent="0.3">
      <c r="A167">
        <v>7235</v>
      </c>
      <c r="B167" t="s">
        <v>557</v>
      </c>
      <c r="C167" s="452">
        <v>45962</v>
      </c>
      <c r="D167" t="s">
        <v>751</v>
      </c>
      <c r="E167" t="s">
        <v>5810</v>
      </c>
      <c r="F167" t="s">
        <v>5240</v>
      </c>
      <c r="G167">
        <v>103</v>
      </c>
      <c r="H167" t="s">
        <v>5191</v>
      </c>
      <c r="I167">
        <v>2.62</v>
      </c>
      <c r="J167">
        <v>269.86</v>
      </c>
    </row>
    <row r="168" spans="1:10" x14ac:dyDescent="0.3">
      <c r="A168">
        <v>7690</v>
      </c>
      <c r="B168" t="s">
        <v>557</v>
      </c>
      <c r="C168" s="452">
        <v>45992</v>
      </c>
      <c r="D168" t="s">
        <v>753</v>
      </c>
      <c r="E168" t="s">
        <v>5810</v>
      </c>
      <c r="F168" t="s">
        <v>5240</v>
      </c>
      <c r="G168">
        <v>65</v>
      </c>
      <c r="H168" t="s">
        <v>5191</v>
      </c>
      <c r="I168">
        <v>2.62</v>
      </c>
      <c r="J168">
        <v>170.3</v>
      </c>
    </row>
    <row r="169" spans="1:10" x14ac:dyDescent="0.3">
      <c r="A169">
        <v>8046</v>
      </c>
      <c r="B169" t="s">
        <v>557</v>
      </c>
      <c r="C169" s="452">
        <v>46023</v>
      </c>
      <c r="D169" t="s">
        <v>458</v>
      </c>
      <c r="E169" t="s">
        <v>5810</v>
      </c>
      <c r="F169" t="s">
        <v>5240</v>
      </c>
      <c r="G169">
        <v>16</v>
      </c>
      <c r="H169" t="s">
        <v>5191</v>
      </c>
      <c r="I169">
        <v>2.62</v>
      </c>
      <c r="J169">
        <v>41.92</v>
      </c>
    </row>
    <row r="170" spans="1:10" x14ac:dyDescent="0.3">
      <c r="A170">
        <v>8619</v>
      </c>
      <c r="B170" t="s">
        <v>557</v>
      </c>
      <c r="C170" s="452">
        <v>46054</v>
      </c>
      <c r="D170" t="s">
        <v>459</v>
      </c>
      <c r="E170" t="s">
        <v>5810</v>
      </c>
      <c r="F170" t="s">
        <v>5240</v>
      </c>
      <c r="G170">
        <v>91</v>
      </c>
      <c r="H170" t="s">
        <v>5191</v>
      </c>
      <c r="I170">
        <v>2.62</v>
      </c>
      <c r="J170">
        <v>238.42</v>
      </c>
    </row>
    <row r="171" spans="1:10" x14ac:dyDescent="0.3">
      <c r="A171">
        <v>9480</v>
      </c>
      <c r="B171" t="s">
        <v>557</v>
      </c>
      <c r="C171" s="452">
        <v>46113</v>
      </c>
      <c r="D171" t="s">
        <v>461</v>
      </c>
      <c r="E171" t="s">
        <v>5810</v>
      </c>
      <c r="F171" t="s">
        <v>5240</v>
      </c>
      <c r="G171">
        <v>116</v>
      </c>
      <c r="H171" t="s">
        <v>5191</v>
      </c>
      <c r="I171">
        <v>2.62</v>
      </c>
      <c r="J171">
        <v>303.92</v>
      </c>
    </row>
    <row r="172" spans="1:10" x14ac:dyDescent="0.3">
      <c r="A172">
        <v>10021</v>
      </c>
      <c r="B172" t="s">
        <v>557</v>
      </c>
      <c r="C172" s="452">
        <v>46143</v>
      </c>
      <c r="D172" t="s">
        <v>462</v>
      </c>
      <c r="E172" t="s">
        <v>5810</v>
      </c>
      <c r="F172" t="s">
        <v>5240</v>
      </c>
      <c r="G172">
        <v>90</v>
      </c>
      <c r="H172" t="s">
        <v>5191</v>
      </c>
      <c r="I172">
        <v>2.62</v>
      </c>
      <c r="J172">
        <v>235.8</v>
      </c>
    </row>
    <row r="173" spans="1:10" x14ac:dyDescent="0.3">
      <c r="A173">
        <v>10726</v>
      </c>
      <c r="B173" t="s">
        <v>557</v>
      </c>
      <c r="C173" s="452">
        <v>46174</v>
      </c>
      <c r="D173" t="s">
        <v>463</v>
      </c>
      <c r="E173" t="s">
        <v>5810</v>
      </c>
      <c r="F173" t="s">
        <v>5240</v>
      </c>
      <c r="G173">
        <v>154</v>
      </c>
      <c r="H173" t="s">
        <v>5191</v>
      </c>
      <c r="I173">
        <v>2.62</v>
      </c>
      <c r="J173">
        <v>403.48</v>
      </c>
    </row>
    <row r="174" spans="1:10" x14ac:dyDescent="0.3">
      <c r="A174">
        <v>1246</v>
      </c>
      <c r="B174" t="s">
        <v>557</v>
      </c>
      <c r="C174" s="452">
        <v>45658</v>
      </c>
      <c r="D174" t="s">
        <v>730</v>
      </c>
      <c r="E174" t="s">
        <v>5811</v>
      </c>
      <c r="F174" t="s">
        <v>5799</v>
      </c>
      <c r="G174">
        <v>0.18</v>
      </c>
      <c r="H174" t="s">
        <v>5191</v>
      </c>
      <c r="I174">
        <v>17.93</v>
      </c>
      <c r="J174">
        <v>3.23</v>
      </c>
    </row>
    <row r="175" spans="1:10" x14ac:dyDescent="0.3">
      <c r="A175">
        <v>1379</v>
      </c>
      <c r="B175" t="s">
        <v>557</v>
      </c>
      <c r="C175" s="452">
        <v>45689</v>
      </c>
      <c r="D175" t="s">
        <v>4560</v>
      </c>
      <c r="E175" t="s">
        <v>5811</v>
      </c>
      <c r="F175" t="s">
        <v>5799</v>
      </c>
      <c r="G175">
        <v>0.43</v>
      </c>
      <c r="H175" t="s">
        <v>5191</v>
      </c>
      <c r="I175">
        <v>17.93</v>
      </c>
      <c r="J175">
        <v>7.71</v>
      </c>
    </row>
    <row r="176" spans="1:10" x14ac:dyDescent="0.3">
      <c r="A176">
        <v>3177</v>
      </c>
      <c r="B176" t="s">
        <v>557</v>
      </c>
      <c r="C176" s="452">
        <v>45717</v>
      </c>
      <c r="D176" t="s">
        <v>4476</v>
      </c>
      <c r="E176" t="s">
        <v>5811</v>
      </c>
      <c r="F176" t="s">
        <v>5799</v>
      </c>
      <c r="G176">
        <v>0</v>
      </c>
      <c r="H176" t="s">
        <v>5191</v>
      </c>
      <c r="I176">
        <v>17.93</v>
      </c>
      <c r="J176">
        <v>0</v>
      </c>
    </row>
    <row r="177" spans="1:10" x14ac:dyDescent="0.3">
      <c r="A177">
        <v>1247</v>
      </c>
      <c r="B177" t="s">
        <v>557</v>
      </c>
      <c r="C177" s="452">
        <v>45658</v>
      </c>
      <c r="D177" t="s">
        <v>730</v>
      </c>
      <c r="E177" t="s">
        <v>5812</v>
      </c>
      <c r="F177" t="s">
        <v>5799</v>
      </c>
      <c r="G177">
        <v>3.94</v>
      </c>
      <c r="H177" t="s">
        <v>5191</v>
      </c>
      <c r="I177">
        <v>8.76</v>
      </c>
      <c r="J177">
        <v>34.51</v>
      </c>
    </row>
    <row r="178" spans="1:10" x14ac:dyDescent="0.3">
      <c r="A178">
        <v>1380</v>
      </c>
      <c r="B178" t="s">
        <v>557</v>
      </c>
      <c r="C178" s="452">
        <v>45689</v>
      </c>
      <c r="D178" t="s">
        <v>4560</v>
      </c>
      <c r="E178" t="s">
        <v>5812</v>
      </c>
      <c r="F178" t="s">
        <v>5799</v>
      </c>
      <c r="G178">
        <v>7.3</v>
      </c>
      <c r="H178" t="s">
        <v>5191</v>
      </c>
      <c r="I178">
        <v>8.76</v>
      </c>
      <c r="J178">
        <v>63.95</v>
      </c>
    </row>
    <row r="179" spans="1:10" x14ac:dyDescent="0.3">
      <c r="A179">
        <v>3178</v>
      </c>
      <c r="B179" t="s">
        <v>557</v>
      </c>
      <c r="C179" s="452">
        <v>45717</v>
      </c>
      <c r="D179" t="s">
        <v>4476</v>
      </c>
      <c r="E179" t="s">
        <v>5812</v>
      </c>
      <c r="F179" t="s">
        <v>5799</v>
      </c>
      <c r="G179">
        <v>4.54</v>
      </c>
      <c r="H179" t="s">
        <v>5191</v>
      </c>
      <c r="I179">
        <v>8.76</v>
      </c>
      <c r="J179">
        <v>39.770000000000003</v>
      </c>
    </row>
    <row r="180" spans="1:10" x14ac:dyDescent="0.3">
      <c r="A180">
        <v>3851</v>
      </c>
      <c r="B180" t="s">
        <v>557</v>
      </c>
      <c r="C180" s="452">
        <v>45778</v>
      </c>
      <c r="D180" t="s">
        <v>4436</v>
      </c>
      <c r="E180" t="s">
        <v>5812</v>
      </c>
      <c r="F180" t="s">
        <v>5799</v>
      </c>
      <c r="G180">
        <v>9.33</v>
      </c>
      <c r="H180" t="s">
        <v>5191</v>
      </c>
      <c r="I180">
        <v>8.76</v>
      </c>
      <c r="J180">
        <v>81.73</v>
      </c>
    </row>
    <row r="181" spans="1:10" x14ac:dyDescent="0.3">
      <c r="A181">
        <v>4565</v>
      </c>
      <c r="B181" t="s">
        <v>557</v>
      </c>
      <c r="C181" s="452">
        <v>45809</v>
      </c>
      <c r="D181" t="s">
        <v>4434</v>
      </c>
      <c r="E181" t="s">
        <v>5812</v>
      </c>
      <c r="F181" t="s">
        <v>5799</v>
      </c>
      <c r="G181">
        <v>11.63</v>
      </c>
      <c r="H181" t="s">
        <v>5191</v>
      </c>
      <c r="I181">
        <v>8.76</v>
      </c>
      <c r="J181">
        <v>101.88</v>
      </c>
    </row>
    <row r="182" spans="1:10" x14ac:dyDescent="0.3">
      <c r="A182">
        <v>5217</v>
      </c>
      <c r="B182" t="s">
        <v>557</v>
      </c>
      <c r="C182" s="452">
        <v>45839</v>
      </c>
      <c r="D182" t="s">
        <v>3935</v>
      </c>
      <c r="E182" t="s">
        <v>5812</v>
      </c>
      <c r="F182" t="s">
        <v>5799</v>
      </c>
      <c r="G182">
        <v>4</v>
      </c>
      <c r="H182" t="s">
        <v>5191</v>
      </c>
      <c r="I182">
        <v>8.76</v>
      </c>
      <c r="J182">
        <v>35.04</v>
      </c>
    </row>
    <row r="183" spans="1:10" x14ac:dyDescent="0.3">
      <c r="A183">
        <v>5720</v>
      </c>
      <c r="B183" t="s">
        <v>557</v>
      </c>
      <c r="C183" s="452">
        <v>45870</v>
      </c>
      <c r="D183" t="s">
        <v>4040</v>
      </c>
      <c r="E183" t="s">
        <v>5812</v>
      </c>
      <c r="F183" t="s">
        <v>5799</v>
      </c>
      <c r="G183">
        <v>5.3</v>
      </c>
      <c r="H183" t="s">
        <v>5191</v>
      </c>
      <c r="I183">
        <v>8.76</v>
      </c>
      <c r="J183">
        <v>46.43</v>
      </c>
    </row>
    <row r="184" spans="1:10" x14ac:dyDescent="0.3">
      <c r="A184">
        <v>6390</v>
      </c>
      <c r="B184" t="s">
        <v>557</v>
      </c>
      <c r="C184" s="452">
        <v>45901</v>
      </c>
      <c r="D184" t="s">
        <v>4038</v>
      </c>
      <c r="E184" t="s">
        <v>5812</v>
      </c>
      <c r="F184" t="s">
        <v>5799</v>
      </c>
      <c r="G184">
        <v>2.48</v>
      </c>
      <c r="H184" t="s">
        <v>5191</v>
      </c>
      <c r="I184">
        <v>8.76</v>
      </c>
      <c r="J184">
        <v>21.72</v>
      </c>
    </row>
    <row r="185" spans="1:10" x14ac:dyDescent="0.3">
      <c r="A185">
        <v>6958</v>
      </c>
      <c r="B185" t="s">
        <v>557</v>
      </c>
      <c r="C185" s="452">
        <v>45931</v>
      </c>
      <c r="D185" t="s">
        <v>3999</v>
      </c>
      <c r="E185" t="s">
        <v>5812</v>
      </c>
      <c r="F185" t="s">
        <v>5799</v>
      </c>
      <c r="G185">
        <v>4.8</v>
      </c>
      <c r="H185" t="s">
        <v>5191</v>
      </c>
      <c r="I185">
        <v>8.76</v>
      </c>
      <c r="J185">
        <v>42.05</v>
      </c>
    </row>
    <row r="186" spans="1:10" x14ac:dyDescent="0.3">
      <c r="A186">
        <v>7241</v>
      </c>
      <c r="B186" t="s">
        <v>557</v>
      </c>
      <c r="C186" s="452">
        <v>45962</v>
      </c>
      <c r="D186" t="s">
        <v>751</v>
      </c>
      <c r="E186" t="s">
        <v>5812</v>
      </c>
      <c r="F186" t="s">
        <v>5799</v>
      </c>
      <c r="G186">
        <v>7.04</v>
      </c>
      <c r="H186" t="s">
        <v>5191</v>
      </c>
      <c r="I186">
        <v>8.76</v>
      </c>
      <c r="J186">
        <v>61.67</v>
      </c>
    </row>
    <row r="187" spans="1:10" x14ac:dyDescent="0.3">
      <c r="A187">
        <v>7696</v>
      </c>
      <c r="B187" t="s">
        <v>557</v>
      </c>
      <c r="C187" s="452">
        <v>45992</v>
      </c>
      <c r="D187" t="s">
        <v>753</v>
      </c>
      <c r="E187" t="s">
        <v>5812</v>
      </c>
      <c r="F187" t="s">
        <v>5799</v>
      </c>
      <c r="G187">
        <v>1.62</v>
      </c>
      <c r="H187" t="s">
        <v>5191</v>
      </c>
      <c r="I187">
        <v>8.76</v>
      </c>
      <c r="J187">
        <v>14.19</v>
      </c>
    </row>
    <row r="188" spans="1:10" x14ac:dyDescent="0.3">
      <c r="A188">
        <v>8652</v>
      </c>
      <c r="B188" t="s">
        <v>557</v>
      </c>
      <c r="C188" s="452">
        <v>46054</v>
      </c>
      <c r="D188" t="s">
        <v>459</v>
      </c>
      <c r="E188" t="s">
        <v>5812</v>
      </c>
      <c r="F188" t="s">
        <v>5799</v>
      </c>
      <c r="G188">
        <v>7.6</v>
      </c>
      <c r="H188" t="s">
        <v>5191</v>
      </c>
      <c r="I188">
        <v>8.76</v>
      </c>
      <c r="J188">
        <v>66.58</v>
      </c>
    </row>
    <row r="189" spans="1:10" x14ac:dyDescent="0.3">
      <c r="A189">
        <v>8744</v>
      </c>
      <c r="B189" t="s">
        <v>557</v>
      </c>
      <c r="C189" s="452">
        <v>46082</v>
      </c>
      <c r="D189" t="s">
        <v>460</v>
      </c>
      <c r="E189" t="s">
        <v>5812</v>
      </c>
      <c r="F189" t="s">
        <v>5799</v>
      </c>
      <c r="G189">
        <v>2.8</v>
      </c>
      <c r="H189" t="s">
        <v>5191</v>
      </c>
      <c r="I189">
        <v>8.76</v>
      </c>
      <c r="J189">
        <v>24.53</v>
      </c>
    </row>
    <row r="190" spans="1:10" x14ac:dyDescent="0.3">
      <c r="A190">
        <v>9487</v>
      </c>
      <c r="B190" t="s">
        <v>557</v>
      </c>
      <c r="C190" s="452">
        <v>46113</v>
      </c>
      <c r="D190" t="s">
        <v>461</v>
      </c>
      <c r="E190" t="s">
        <v>5812</v>
      </c>
      <c r="F190" t="s">
        <v>5799</v>
      </c>
      <c r="G190">
        <v>4.0999999999999996</v>
      </c>
      <c r="H190" t="s">
        <v>5191</v>
      </c>
      <c r="I190">
        <v>8.76</v>
      </c>
      <c r="J190">
        <v>35.92</v>
      </c>
    </row>
    <row r="191" spans="1:10" x14ac:dyDescent="0.3">
      <c r="A191">
        <v>10031</v>
      </c>
      <c r="B191" t="s">
        <v>557</v>
      </c>
      <c r="C191" s="452">
        <v>46143</v>
      </c>
      <c r="D191" t="s">
        <v>462</v>
      </c>
      <c r="E191" t="s">
        <v>5812</v>
      </c>
      <c r="F191" t="s">
        <v>5799</v>
      </c>
      <c r="G191">
        <v>8.31</v>
      </c>
      <c r="H191" t="s">
        <v>5191</v>
      </c>
      <c r="I191">
        <v>8.76</v>
      </c>
      <c r="J191">
        <v>72.8</v>
      </c>
    </row>
    <row r="192" spans="1:10" x14ac:dyDescent="0.3">
      <c r="A192">
        <v>10739</v>
      </c>
      <c r="B192" t="s">
        <v>557</v>
      </c>
      <c r="C192" s="452">
        <v>46174</v>
      </c>
      <c r="D192" t="s">
        <v>463</v>
      </c>
      <c r="E192" t="s">
        <v>5812</v>
      </c>
      <c r="F192" t="s">
        <v>5799</v>
      </c>
      <c r="G192">
        <v>10.55</v>
      </c>
      <c r="H192" t="s">
        <v>5191</v>
      </c>
      <c r="I192">
        <v>8.76</v>
      </c>
      <c r="J192">
        <v>92.42</v>
      </c>
    </row>
    <row r="193" spans="1:10" x14ac:dyDescent="0.3">
      <c r="A193">
        <v>1248</v>
      </c>
      <c r="B193" t="s">
        <v>557</v>
      </c>
      <c r="C193" s="452">
        <v>45658</v>
      </c>
      <c r="D193" t="s">
        <v>730</v>
      </c>
      <c r="E193" t="s">
        <v>4225</v>
      </c>
      <c r="F193" t="s">
        <v>5799</v>
      </c>
      <c r="G193">
        <v>2.92</v>
      </c>
      <c r="H193" t="s">
        <v>5191</v>
      </c>
      <c r="I193">
        <v>34.369999999999997</v>
      </c>
      <c r="J193">
        <v>100.36</v>
      </c>
    </row>
    <row r="194" spans="1:10" x14ac:dyDescent="0.3">
      <c r="A194">
        <v>1358</v>
      </c>
      <c r="B194" t="s">
        <v>557</v>
      </c>
      <c r="C194" s="452">
        <v>45689</v>
      </c>
      <c r="D194" t="s">
        <v>4560</v>
      </c>
      <c r="E194" t="s">
        <v>4225</v>
      </c>
      <c r="F194" t="s">
        <v>5799</v>
      </c>
      <c r="G194">
        <v>1.93</v>
      </c>
      <c r="H194" t="s">
        <v>5191</v>
      </c>
      <c r="I194">
        <v>34.369999999999997</v>
      </c>
      <c r="J194">
        <v>66.33</v>
      </c>
    </row>
    <row r="195" spans="1:10" x14ac:dyDescent="0.3">
      <c r="A195">
        <v>3156</v>
      </c>
      <c r="B195" t="s">
        <v>557</v>
      </c>
      <c r="C195" s="452">
        <v>45717</v>
      </c>
      <c r="D195" t="s">
        <v>4476</v>
      </c>
      <c r="E195" t="s">
        <v>4225</v>
      </c>
      <c r="F195" t="s">
        <v>5799</v>
      </c>
      <c r="G195">
        <v>2.9</v>
      </c>
      <c r="H195" t="s">
        <v>5191</v>
      </c>
      <c r="I195">
        <v>34.369999999999997</v>
      </c>
      <c r="J195">
        <v>99.67</v>
      </c>
    </row>
    <row r="196" spans="1:10" x14ac:dyDescent="0.3">
      <c r="A196">
        <v>3827</v>
      </c>
      <c r="B196" t="s">
        <v>557</v>
      </c>
      <c r="C196" s="452">
        <v>45778</v>
      </c>
      <c r="D196" t="s">
        <v>4436</v>
      </c>
      <c r="E196" t="s">
        <v>4225</v>
      </c>
      <c r="F196" t="s">
        <v>5799</v>
      </c>
      <c r="G196">
        <v>1.24</v>
      </c>
      <c r="H196" t="s">
        <v>5191</v>
      </c>
      <c r="I196">
        <v>37.07</v>
      </c>
      <c r="J196">
        <v>45.97</v>
      </c>
    </row>
    <row r="197" spans="1:10" x14ac:dyDescent="0.3">
      <c r="A197">
        <v>4534</v>
      </c>
      <c r="B197" t="s">
        <v>557</v>
      </c>
      <c r="C197" s="452">
        <v>45809</v>
      </c>
      <c r="D197" t="s">
        <v>4434</v>
      </c>
      <c r="E197" t="s">
        <v>4225</v>
      </c>
      <c r="F197" t="s">
        <v>5799</v>
      </c>
      <c r="G197">
        <v>2.4900000000000002</v>
      </c>
      <c r="H197" t="s">
        <v>5191</v>
      </c>
      <c r="I197">
        <v>37.07</v>
      </c>
      <c r="J197">
        <v>92.3</v>
      </c>
    </row>
    <row r="198" spans="1:10" x14ac:dyDescent="0.3">
      <c r="A198">
        <v>5187</v>
      </c>
      <c r="B198" t="s">
        <v>557</v>
      </c>
      <c r="C198" s="452">
        <v>45839</v>
      </c>
      <c r="D198" t="s">
        <v>3935</v>
      </c>
      <c r="E198" t="s">
        <v>4225</v>
      </c>
      <c r="F198" t="s">
        <v>5799</v>
      </c>
      <c r="G198">
        <v>1.2</v>
      </c>
      <c r="H198" t="s">
        <v>5191</v>
      </c>
      <c r="I198">
        <v>37.07</v>
      </c>
      <c r="J198">
        <v>44.48</v>
      </c>
    </row>
    <row r="199" spans="1:10" x14ac:dyDescent="0.3">
      <c r="A199">
        <v>5686</v>
      </c>
      <c r="B199" t="s">
        <v>557</v>
      </c>
      <c r="C199" s="452">
        <v>45870</v>
      </c>
      <c r="D199" t="s">
        <v>4040</v>
      </c>
      <c r="E199" t="s">
        <v>4225</v>
      </c>
      <c r="F199" t="s">
        <v>5799</v>
      </c>
      <c r="G199">
        <v>2.84</v>
      </c>
      <c r="H199" t="s">
        <v>5191</v>
      </c>
      <c r="I199">
        <v>37.07</v>
      </c>
      <c r="J199">
        <v>105.28</v>
      </c>
    </row>
    <row r="200" spans="1:10" x14ac:dyDescent="0.3">
      <c r="A200">
        <v>6359</v>
      </c>
      <c r="B200" t="s">
        <v>557</v>
      </c>
      <c r="C200" s="452">
        <v>45901</v>
      </c>
      <c r="D200" t="s">
        <v>4038</v>
      </c>
      <c r="E200" t="s">
        <v>4225</v>
      </c>
      <c r="F200" t="s">
        <v>5799</v>
      </c>
      <c r="G200">
        <v>0.64</v>
      </c>
      <c r="H200" t="s">
        <v>5191</v>
      </c>
      <c r="I200">
        <v>37.07</v>
      </c>
      <c r="J200">
        <v>23.72</v>
      </c>
    </row>
    <row r="201" spans="1:10" x14ac:dyDescent="0.3">
      <c r="A201">
        <v>6930</v>
      </c>
      <c r="B201" t="s">
        <v>557</v>
      </c>
      <c r="C201" s="452">
        <v>45931</v>
      </c>
      <c r="D201" t="s">
        <v>3999</v>
      </c>
      <c r="E201" t="s">
        <v>4225</v>
      </c>
      <c r="F201" t="s">
        <v>5799</v>
      </c>
      <c r="G201">
        <v>1.9</v>
      </c>
      <c r="H201" t="s">
        <v>5191</v>
      </c>
      <c r="I201">
        <v>37.07</v>
      </c>
      <c r="J201">
        <v>70.430000000000007</v>
      </c>
    </row>
    <row r="202" spans="1:10" x14ac:dyDescent="0.3">
      <c r="A202">
        <v>7214</v>
      </c>
      <c r="B202" t="s">
        <v>557</v>
      </c>
      <c r="C202" s="452">
        <v>45962</v>
      </c>
      <c r="D202" t="s">
        <v>751</v>
      </c>
      <c r="E202" t="s">
        <v>4225</v>
      </c>
      <c r="F202" t="s">
        <v>5799</v>
      </c>
      <c r="G202">
        <v>4.99</v>
      </c>
      <c r="H202" t="s">
        <v>5191</v>
      </c>
      <c r="I202">
        <v>37.07</v>
      </c>
      <c r="J202">
        <v>184.98</v>
      </c>
    </row>
    <row r="203" spans="1:10" x14ac:dyDescent="0.3">
      <c r="A203">
        <v>7672</v>
      </c>
      <c r="B203" t="s">
        <v>557</v>
      </c>
      <c r="C203" s="452">
        <v>45992</v>
      </c>
      <c r="D203" t="s">
        <v>753</v>
      </c>
      <c r="E203" t="s">
        <v>4225</v>
      </c>
      <c r="F203" t="s">
        <v>5799</v>
      </c>
      <c r="G203">
        <v>2.87</v>
      </c>
      <c r="H203" t="s">
        <v>5191</v>
      </c>
      <c r="I203">
        <v>37.07</v>
      </c>
      <c r="J203">
        <v>106.39</v>
      </c>
    </row>
    <row r="204" spans="1:10" x14ac:dyDescent="0.3">
      <c r="A204">
        <v>8631</v>
      </c>
      <c r="B204" t="s">
        <v>557</v>
      </c>
      <c r="C204" s="452">
        <v>46054</v>
      </c>
      <c r="D204" t="s">
        <v>459</v>
      </c>
      <c r="E204" t="s">
        <v>4225</v>
      </c>
      <c r="F204" t="s">
        <v>5799</v>
      </c>
      <c r="G204">
        <v>3.8</v>
      </c>
      <c r="H204" t="s">
        <v>5191</v>
      </c>
      <c r="I204">
        <v>37.07</v>
      </c>
      <c r="J204">
        <v>140.87</v>
      </c>
    </row>
    <row r="205" spans="1:10" x14ac:dyDescent="0.3">
      <c r="A205">
        <v>8714</v>
      </c>
      <c r="B205" t="s">
        <v>557</v>
      </c>
      <c r="C205" s="452">
        <v>46082</v>
      </c>
      <c r="D205" t="s">
        <v>460</v>
      </c>
      <c r="E205" t="s">
        <v>4225</v>
      </c>
      <c r="F205" t="s">
        <v>5799</v>
      </c>
      <c r="G205">
        <v>2.48</v>
      </c>
      <c r="H205" t="s">
        <v>5191</v>
      </c>
      <c r="I205">
        <v>37.07</v>
      </c>
      <c r="J205">
        <v>91.93</v>
      </c>
    </row>
    <row r="206" spans="1:10" x14ac:dyDescent="0.3">
      <c r="A206">
        <v>9455</v>
      </c>
      <c r="B206" t="s">
        <v>557</v>
      </c>
      <c r="C206" s="452">
        <v>46113</v>
      </c>
      <c r="D206" t="s">
        <v>461</v>
      </c>
      <c r="E206" t="s">
        <v>4225</v>
      </c>
      <c r="F206" t="s">
        <v>5799</v>
      </c>
      <c r="G206">
        <v>1.78</v>
      </c>
      <c r="H206" t="s">
        <v>5191</v>
      </c>
      <c r="I206">
        <v>37.07</v>
      </c>
      <c r="J206">
        <v>65.98</v>
      </c>
    </row>
    <row r="207" spans="1:10" x14ac:dyDescent="0.3">
      <c r="A207">
        <v>9996</v>
      </c>
      <c r="B207" t="s">
        <v>557</v>
      </c>
      <c r="C207" s="452">
        <v>46143</v>
      </c>
      <c r="D207" t="s">
        <v>462</v>
      </c>
      <c r="E207" t="s">
        <v>4225</v>
      </c>
      <c r="F207" t="s">
        <v>5799</v>
      </c>
      <c r="G207">
        <v>7.1</v>
      </c>
      <c r="H207" t="s">
        <v>5191</v>
      </c>
      <c r="I207">
        <v>37.07</v>
      </c>
      <c r="J207">
        <v>263.2</v>
      </c>
    </row>
    <row r="208" spans="1:10" x14ac:dyDescent="0.3">
      <c r="A208">
        <v>10764</v>
      </c>
      <c r="B208" t="s">
        <v>557</v>
      </c>
      <c r="C208" s="452">
        <v>46174</v>
      </c>
      <c r="D208" t="s">
        <v>463</v>
      </c>
      <c r="E208" t="s">
        <v>4225</v>
      </c>
      <c r="F208" t="s">
        <v>5799</v>
      </c>
      <c r="G208">
        <v>2.2400000000000002</v>
      </c>
      <c r="H208" t="s">
        <v>5191</v>
      </c>
      <c r="I208">
        <v>37.07</v>
      </c>
      <c r="J208">
        <v>83.04</v>
      </c>
    </row>
    <row r="209" spans="1:10" x14ac:dyDescent="0.3">
      <c r="A209">
        <v>1249</v>
      </c>
      <c r="B209" t="s">
        <v>557</v>
      </c>
      <c r="C209" s="452">
        <v>45658</v>
      </c>
      <c r="D209" t="s">
        <v>730</v>
      </c>
      <c r="E209" t="s">
        <v>5813</v>
      </c>
      <c r="F209" t="s">
        <v>5799</v>
      </c>
      <c r="G209">
        <v>2.1800000000000002</v>
      </c>
      <c r="H209" t="s">
        <v>5191</v>
      </c>
      <c r="I209">
        <v>23.57</v>
      </c>
      <c r="J209">
        <v>51.38</v>
      </c>
    </row>
    <row r="210" spans="1:10" x14ac:dyDescent="0.3">
      <c r="A210">
        <v>1368</v>
      </c>
      <c r="B210" t="s">
        <v>557</v>
      </c>
      <c r="C210" s="452">
        <v>45689</v>
      </c>
      <c r="D210" t="s">
        <v>4560</v>
      </c>
      <c r="E210" t="s">
        <v>5813</v>
      </c>
      <c r="F210" t="s">
        <v>5799</v>
      </c>
      <c r="G210">
        <v>0.8</v>
      </c>
      <c r="H210" t="s">
        <v>5191</v>
      </c>
      <c r="I210">
        <v>23.57</v>
      </c>
      <c r="J210">
        <v>18.86</v>
      </c>
    </row>
    <row r="211" spans="1:10" x14ac:dyDescent="0.3">
      <c r="A211">
        <v>3166</v>
      </c>
      <c r="B211" t="s">
        <v>557</v>
      </c>
      <c r="C211" s="452">
        <v>45717</v>
      </c>
      <c r="D211" t="s">
        <v>4476</v>
      </c>
      <c r="E211" t="s">
        <v>5813</v>
      </c>
      <c r="F211" t="s">
        <v>5799</v>
      </c>
      <c r="G211">
        <v>1.3</v>
      </c>
      <c r="H211" t="s">
        <v>5191</v>
      </c>
      <c r="I211">
        <v>23.57</v>
      </c>
      <c r="J211">
        <v>30.64</v>
      </c>
    </row>
    <row r="212" spans="1:10" x14ac:dyDescent="0.3">
      <c r="A212">
        <v>3310</v>
      </c>
      <c r="B212" t="s">
        <v>557</v>
      </c>
      <c r="C212" s="452">
        <v>45748</v>
      </c>
      <c r="D212" t="s">
        <v>4455</v>
      </c>
      <c r="E212" t="s">
        <v>5813</v>
      </c>
      <c r="F212" t="s">
        <v>5799</v>
      </c>
      <c r="G212">
        <v>0.64</v>
      </c>
      <c r="H212" t="s">
        <v>5191</v>
      </c>
      <c r="I212">
        <v>23.57</v>
      </c>
      <c r="J212">
        <v>15.08</v>
      </c>
    </row>
    <row r="213" spans="1:10" x14ac:dyDescent="0.3">
      <c r="A213">
        <v>5487</v>
      </c>
      <c r="B213" t="s">
        <v>557</v>
      </c>
      <c r="C213" s="452">
        <v>45839</v>
      </c>
      <c r="D213" t="s">
        <v>3935</v>
      </c>
      <c r="E213" t="s">
        <v>5813</v>
      </c>
      <c r="F213" t="s">
        <v>5799</v>
      </c>
      <c r="G213">
        <v>0.83</v>
      </c>
      <c r="H213" t="s">
        <v>5191</v>
      </c>
      <c r="I213">
        <v>20.309999999999999</v>
      </c>
      <c r="J213">
        <v>16.86</v>
      </c>
    </row>
    <row r="214" spans="1:10" x14ac:dyDescent="0.3">
      <c r="A214">
        <v>5700</v>
      </c>
      <c r="B214" t="s">
        <v>557</v>
      </c>
      <c r="C214" s="452">
        <v>45870</v>
      </c>
      <c r="D214" t="s">
        <v>4040</v>
      </c>
      <c r="E214" t="s">
        <v>5813</v>
      </c>
      <c r="F214" t="s">
        <v>5799</v>
      </c>
      <c r="G214">
        <v>0.46</v>
      </c>
      <c r="H214" t="s">
        <v>5191</v>
      </c>
      <c r="I214">
        <v>20.309999999999999</v>
      </c>
      <c r="J214">
        <v>9.34</v>
      </c>
    </row>
    <row r="215" spans="1:10" x14ac:dyDescent="0.3">
      <c r="A215">
        <v>6372</v>
      </c>
      <c r="B215" t="s">
        <v>557</v>
      </c>
      <c r="C215" s="452">
        <v>45901</v>
      </c>
      <c r="D215" t="s">
        <v>4038</v>
      </c>
      <c r="E215" t="s">
        <v>5813</v>
      </c>
      <c r="F215" t="s">
        <v>5799</v>
      </c>
      <c r="G215">
        <v>1.23</v>
      </c>
      <c r="H215" t="s">
        <v>5191</v>
      </c>
      <c r="I215">
        <v>20.309999999999999</v>
      </c>
      <c r="J215">
        <v>24.98</v>
      </c>
    </row>
    <row r="216" spans="1:10" x14ac:dyDescent="0.3">
      <c r="A216">
        <v>6945</v>
      </c>
      <c r="B216" t="s">
        <v>557</v>
      </c>
      <c r="C216" s="452">
        <v>45931</v>
      </c>
      <c r="D216" t="s">
        <v>3999</v>
      </c>
      <c r="E216" t="s">
        <v>5813</v>
      </c>
      <c r="F216" t="s">
        <v>5799</v>
      </c>
      <c r="G216">
        <v>1.1000000000000001</v>
      </c>
      <c r="H216" t="s">
        <v>5191</v>
      </c>
      <c r="I216">
        <v>20.309999999999999</v>
      </c>
      <c r="J216">
        <v>22.34</v>
      </c>
    </row>
    <row r="217" spans="1:10" x14ac:dyDescent="0.3">
      <c r="A217">
        <v>7228</v>
      </c>
      <c r="B217" t="s">
        <v>557</v>
      </c>
      <c r="C217" s="452">
        <v>45962</v>
      </c>
      <c r="D217" t="s">
        <v>751</v>
      </c>
      <c r="E217" t="s">
        <v>5813</v>
      </c>
      <c r="F217" t="s">
        <v>5799</v>
      </c>
      <c r="G217">
        <v>0.2</v>
      </c>
      <c r="H217" t="s">
        <v>5191</v>
      </c>
      <c r="I217">
        <v>20.309999999999999</v>
      </c>
      <c r="J217">
        <v>4.0599999999999996</v>
      </c>
    </row>
    <row r="218" spans="1:10" x14ac:dyDescent="0.3">
      <c r="A218">
        <v>7684</v>
      </c>
      <c r="B218" t="s">
        <v>557</v>
      </c>
      <c r="C218" s="452">
        <v>45992</v>
      </c>
      <c r="D218" t="s">
        <v>753</v>
      </c>
      <c r="E218" t="s">
        <v>5813</v>
      </c>
      <c r="F218" t="s">
        <v>5799</v>
      </c>
      <c r="G218">
        <v>3</v>
      </c>
      <c r="H218" t="s">
        <v>5191</v>
      </c>
      <c r="I218">
        <v>20.309999999999999</v>
      </c>
      <c r="J218">
        <v>60.93</v>
      </c>
    </row>
    <row r="219" spans="1:10" x14ac:dyDescent="0.3">
      <c r="A219">
        <v>8637</v>
      </c>
      <c r="B219" t="s">
        <v>557</v>
      </c>
      <c r="C219" s="452">
        <v>46054</v>
      </c>
      <c r="D219" t="s">
        <v>459</v>
      </c>
      <c r="E219" t="s">
        <v>5813</v>
      </c>
      <c r="F219" t="s">
        <v>5799</v>
      </c>
      <c r="G219">
        <v>0.42</v>
      </c>
      <c r="H219" t="s">
        <v>5191</v>
      </c>
      <c r="I219">
        <v>20.309999999999999</v>
      </c>
      <c r="J219">
        <v>8.5299999999999994</v>
      </c>
    </row>
    <row r="220" spans="1:10" x14ac:dyDescent="0.3">
      <c r="A220">
        <v>9468</v>
      </c>
      <c r="B220" t="s">
        <v>557</v>
      </c>
      <c r="C220" s="452">
        <v>46113</v>
      </c>
      <c r="D220" t="s">
        <v>461</v>
      </c>
      <c r="E220" t="s">
        <v>5813</v>
      </c>
      <c r="F220" t="s">
        <v>5799</v>
      </c>
      <c r="G220">
        <v>0.16</v>
      </c>
      <c r="H220" t="s">
        <v>5191</v>
      </c>
      <c r="I220">
        <v>20.309999999999999</v>
      </c>
      <c r="J220">
        <v>3.25</v>
      </c>
    </row>
    <row r="221" spans="1:10" x14ac:dyDescent="0.3">
      <c r="A221">
        <v>10012</v>
      </c>
      <c r="B221" t="s">
        <v>557</v>
      </c>
      <c r="C221" s="452">
        <v>46143</v>
      </c>
      <c r="D221" t="s">
        <v>462</v>
      </c>
      <c r="E221" t="s">
        <v>5813</v>
      </c>
      <c r="F221" t="s">
        <v>5799</v>
      </c>
      <c r="G221">
        <v>0.25</v>
      </c>
      <c r="H221" t="s">
        <v>5191</v>
      </c>
      <c r="I221">
        <v>20.309999999999999</v>
      </c>
      <c r="J221">
        <v>5.08</v>
      </c>
    </row>
    <row r="222" spans="1:10" x14ac:dyDescent="0.3">
      <c r="A222">
        <v>10753</v>
      </c>
      <c r="B222" t="s">
        <v>557</v>
      </c>
      <c r="C222" s="452">
        <v>46174</v>
      </c>
      <c r="D222" t="s">
        <v>463</v>
      </c>
      <c r="E222" t="s">
        <v>5813</v>
      </c>
      <c r="F222" t="s">
        <v>5799</v>
      </c>
      <c r="G222">
        <v>0.23</v>
      </c>
      <c r="H222" t="s">
        <v>5191</v>
      </c>
      <c r="I222">
        <v>20.309999999999999</v>
      </c>
      <c r="J222">
        <v>4.67</v>
      </c>
    </row>
    <row r="223" spans="1:10" x14ac:dyDescent="0.3">
      <c r="A223">
        <v>1250</v>
      </c>
      <c r="B223" t="s">
        <v>557</v>
      </c>
      <c r="C223" s="452">
        <v>45658</v>
      </c>
      <c r="D223" t="s">
        <v>730</v>
      </c>
      <c r="E223" t="s">
        <v>5814</v>
      </c>
      <c r="F223" t="s">
        <v>5799</v>
      </c>
      <c r="G223">
        <v>0.97</v>
      </c>
      <c r="H223" t="s">
        <v>5191</v>
      </c>
      <c r="I223">
        <v>2.86</v>
      </c>
      <c r="J223">
        <v>2.77</v>
      </c>
    </row>
    <row r="224" spans="1:10" x14ac:dyDescent="0.3">
      <c r="A224">
        <v>1356</v>
      </c>
      <c r="B224" t="s">
        <v>557</v>
      </c>
      <c r="C224" s="452">
        <v>45689</v>
      </c>
      <c r="D224" t="s">
        <v>4560</v>
      </c>
      <c r="E224" t="s">
        <v>5814</v>
      </c>
      <c r="F224" t="s">
        <v>5799</v>
      </c>
      <c r="G224">
        <v>0</v>
      </c>
      <c r="H224" t="s">
        <v>5191</v>
      </c>
      <c r="I224">
        <v>2.86</v>
      </c>
      <c r="J224">
        <v>0</v>
      </c>
    </row>
    <row r="225" spans="1:10" x14ac:dyDescent="0.3">
      <c r="A225">
        <v>3154</v>
      </c>
      <c r="B225" t="s">
        <v>557</v>
      </c>
      <c r="C225" s="452">
        <v>45717</v>
      </c>
      <c r="D225" t="s">
        <v>4476</v>
      </c>
      <c r="E225" t="s">
        <v>5814</v>
      </c>
      <c r="F225" t="s">
        <v>5799</v>
      </c>
      <c r="G225">
        <v>0</v>
      </c>
      <c r="H225" t="s">
        <v>5191</v>
      </c>
      <c r="I225">
        <v>2.86</v>
      </c>
      <c r="J225">
        <v>0</v>
      </c>
    </row>
    <row r="226" spans="1:10" x14ac:dyDescent="0.3">
      <c r="A226">
        <v>1251</v>
      </c>
      <c r="B226" t="s">
        <v>557</v>
      </c>
      <c r="C226" s="452">
        <v>45658</v>
      </c>
      <c r="D226" t="s">
        <v>730</v>
      </c>
      <c r="E226" t="s">
        <v>5815</v>
      </c>
      <c r="F226" t="s">
        <v>5799</v>
      </c>
      <c r="G226">
        <v>0.42</v>
      </c>
      <c r="H226" t="s">
        <v>5191</v>
      </c>
      <c r="I226">
        <v>22.3</v>
      </c>
      <c r="J226">
        <v>9.3699999999999992</v>
      </c>
    </row>
    <row r="227" spans="1:10" x14ac:dyDescent="0.3">
      <c r="A227">
        <v>1361</v>
      </c>
      <c r="B227" t="s">
        <v>557</v>
      </c>
      <c r="C227" s="452">
        <v>45689</v>
      </c>
      <c r="D227" t="s">
        <v>4560</v>
      </c>
      <c r="E227" t="s">
        <v>5815</v>
      </c>
      <c r="F227" t="s">
        <v>5799</v>
      </c>
      <c r="G227">
        <v>1.4</v>
      </c>
      <c r="H227" t="s">
        <v>5191</v>
      </c>
      <c r="I227">
        <v>22.3</v>
      </c>
      <c r="J227">
        <v>31.22</v>
      </c>
    </row>
    <row r="228" spans="1:10" x14ac:dyDescent="0.3">
      <c r="A228">
        <v>3159</v>
      </c>
      <c r="B228" t="s">
        <v>557</v>
      </c>
      <c r="C228" s="452">
        <v>45717</v>
      </c>
      <c r="D228" t="s">
        <v>4476</v>
      </c>
      <c r="E228" t="s">
        <v>5815</v>
      </c>
      <c r="F228" t="s">
        <v>5799</v>
      </c>
      <c r="G228">
        <v>0</v>
      </c>
      <c r="H228" t="s">
        <v>5191</v>
      </c>
      <c r="I228">
        <v>22.3</v>
      </c>
      <c r="J228">
        <v>0</v>
      </c>
    </row>
    <row r="229" spans="1:10" x14ac:dyDescent="0.3">
      <c r="A229">
        <v>3306</v>
      </c>
      <c r="B229" t="s">
        <v>557</v>
      </c>
      <c r="C229" s="452">
        <v>45748</v>
      </c>
      <c r="D229" t="s">
        <v>4455</v>
      </c>
      <c r="E229" t="s">
        <v>5815</v>
      </c>
      <c r="F229" t="s">
        <v>5799</v>
      </c>
      <c r="G229">
        <v>1.1499999999999999</v>
      </c>
      <c r="H229" t="s">
        <v>5191</v>
      </c>
      <c r="I229">
        <v>22.3</v>
      </c>
      <c r="J229">
        <v>25.65</v>
      </c>
    </row>
    <row r="230" spans="1:10" x14ac:dyDescent="0.3">
      <c r="A230">
        <v>3830</v>
      </c>
      <c r="B230" t="s">
        <v>557</v>
      </c>
      <c r="C230" s="452">
        <v>45778</v>
      </c>
      <c r="D230" t="s">
        <v>4436</v>
      </c>
      <c r="E230" t="s">
        <v>5815</v>
      </c>
      <c r="F230" t="s">
        <v>5799</v>
      </c>
      <c r="G230">
        <v>1.4</v>
      </c>
      <c r="H230" t="s">
        <v>5191</v>
      </c>
      <c r="I230">
        <v>22.3</v>
      </c>
      <c r="J230">
        <v>31.22</v>
      </c>
    </row>
    <row r="231" spans="1:10" x14ac:dyDescent="0.3">
      <c r="A231">
        <v>4538</v>
      </c>
      <c r="B231" t="s">
        <v>557</v>
      </c>
      <c r="C231" s="452">
        <v>45809</v>
      </c>
      <c r="D231" t="s">
        <v>4434</v>
      </c>
      <c r="E231" t="s">
        <v>5815</v>
      </c>
      <c r="F231" t="s">
        <v>5799</v>
      </c>
      <c r="G231">
        <v>2.62</v>
      </c>
      <c r="H231" t="s">
        <v>5191</v>
      </c>
      <c r="I231">
        <v>22.3</v>
      </c>
      <c r="J231">
        <v>58.43</v>
      </c>
    </row>
    <row r="232" spans="1:10" x14ac:dyDescent="0.3">
      <c r="A232">
        <v>8633</v>
      </c>
      <c r="B232" t="s">
        <v>557</v>
      </c>
      <c r="C232" s="452">
        <v>46054</v>
      </c>
      <c r="D232" t="s">
        <v>459</v>
      </c>
      <c r="E232" t="s">
        <v>5815</v>
      </c>
      <c r="F232" t="s">
        <v>5799</v>
      </c>
      <c r="G232">
        <v>1.22</v>
      </c>
      <c r="H232" t="s">
        <v>5191</v>
      </c>
      <c r="I232">
        <v>22.3</v>
      </c>
      <c r="J232">
        <v>27.21</v>
      </c>
    </row>
    <row r="233" spans="1:10" x14ac:dyDescent="0.3">
      <c r="A233">
        <v>8717</v>
      </c>
      <c r="B233" t="s">
        <v>557</v>
      </c>
      <c r="C233" s="452">
        <v>46082</v>
      </c>
      <c r="D233" t="s">
        <v>460</v>
      </c>
      <c r="E233" t="s">
        <v>5815</v>
      </c>
      <c r="F233" t="s">
        <v>5799</v>
      </c>
      <c r="G233">
        <v>0.22</v>
      </c>
      <c r="H233" t="s">
        <v>5191</v>
      </c>
      <c r="I233">
        <v>22.3</v>
      </c>
      <c r="J233">
        <v>4.91</v>
      </c>
    </row>
    <row r="234" spans="1:10" x14ac:dyDescent="0.3">
      <c r="A234">
        <v>9459</v>
      </c>
      <c r="B234" t="s">
        <v>557</v>
      </c>
      <c r="C234" s="452">
        <v>46113</v>
      </c>
      <c r="D234" t="s">
        <v>461</v>
      </c>
      <c r="E234" t="s">
        <v>5815</v>
      </c>
      <c r="F234" t="s">
        <v>5799</v>
      </c>
      <c r="G234">
        <v>1.1000000000000001</v>
      </c>
      <c r="H234" t="s">
        <v>5191</v>
      </c>
      <c r="I234">
        <v>22.3</v>
      </c>
      <c r="J234">
        <v>24.53</v>
      </c>
    </row>
    <row r="235" spans="1:10" x14ac:dyDescent="0.3">
      <c r="A235">
        <v>10000</v>
      </c>
      <c r="B235" t="s">
        <v>557</v>
      </c>
      <c r="C235" s="452">
        <v>46143</v>
      </c>
      <c r="D235" t="s">
        <v>462</v>
      </c>
      <c r="E235" t="s">
        <v>5815</v>
      </c>
      <c r="F235" t="s">
        <v>5799</v>
      </c>
      <c r="G235">
        <v>0.21</v>
      </c>
      <c r="H235" t="s">
        <v>5191</v>
      </c>
      <c r="I235">
        <v>22.3</v>
      </c>
      <c r="J235">
        <v>4.68</v>
      </c>
    </row>
    <row r="236" spans="1:10" x14ac:dyDescent="0.3">
      <c r="A236">
        <v>10754</v>
      </c>
      <c r="B236" t="s">
        <v>557</v>
      </c>
      <c r="C236" s="452">
        <v>46174</v>
      </c>
      <c r="D236" t="s">
        <v>463</v>
      </c>
      <c r="E236" t="s">
        <v>5815</v>
      </c>
      <c r="F236" t="s">
        <v>5799</v>
      </c>
      <c r="G236">
        <v>1.2</v>
      </c>
      <c r="H236" t="s">
        <v>5191</v>
      </c>
      <c r="I236">
        <v>22.3</v>
      </c>
      <c r="J236">
        <v>26.76</v>
      </c>
    </row>
    <row r="237" spans="1:10" x14ac:dyDescent="0.3">
      <c r="A237">
        <v>1252</v>
      </c>
      <c r="B237" t="s">
        <v>557</v>
      </c>
      <c r="C237" s="452">
        <v>45658</v>
      </c>
      <c r="D237" t="s">
        <v>730</v>
      </c>
      <c r="E237" t="s">
        <v>5816</v>
      </c>
      <c r="F237" t="s">
        <v>5240</v>
      </c>
      <c r="G237">
        <v>14</v>
      </c>
      <c r="H237" t="s">
        <v>5191</v>
      </c>
      <c r="I237">
        <v>0.16</v>
      </c>
      <c r="J237">
        <v>2.2400000000000002</v>
      </c>
    </row>
    <row r="238" spans="1:10" x14ac:dyDescent="0.3">
      <c r="A238">
        <v>1376</v>
      </c>
      <c r="B238" t="s">
        <v>557</v>
      </c>
      <c r="C238" s="452">
        <v>45689</v>
      </c>
      <c r="D238" t="s">
        <v>4560</v>
      </c>
      <c r="E238" t="s">
        <v>5816</v>
      </c>
      <c r="F238" t="s">
        <v>5240</v>
      </c>
      <c r="G238">
        <v>12</v>
      </c>
      <c r="H238" t="s">
        <v>5191</v>
      </c>
      <c r="I238">
        <v>0.16</v>
      </c>
      <c r="J238">
        <v>1.92</v>
      </c>
    </row>
    <row r="239" spans="1:10" x14ac:dyDescent="0.3">
      <c r="A239">
        <v>3174</v>
      </c>
      <c r="B239" t="s">
        <v>557</v>
      </c>
      <c r="C239" s="452">
        <v>45717</v>
      </c>
      <c r="D239" t="s">
        <v>4476</v>
      </c>
      <c r="E239" t="s">
        <v>5816</v>
      </c>
      <c r="F239" t="s">
        <v>5240</v>
      </c>
      <c r="G239">
        <v>7</v>
      </c>
      <c r="H239" t="s">
        <v>5191</v>
      </c>
      <c r="I239">
        <v>3.8</v>
      </c>
      <c r="J239">
        <v>26.6</v>
      </c>
    </row>
    <row r="240" spans="1:10" x14ac:dyDescent="0.3">
      <c r="A240">
        <v>3316</v>
      </c>
      <c r="B240" t="s">
        <v>557</v>
      </c>
      <c r="C240" s="452">
        <v>45748</v>
      </c>
      <c r="D240" t="s">
        <v>4455</v>
      </c>
      <c r="E240" t="s">
        <v>5816</v>
      </c>
      <c r="F240" t="s">
        <v>5240</v>
      </c>
      <c r="G240">
        <v>11</v>
      </c>
      <c r="H240" t="s">
        <v>5191</v>
      </c>
      <c r="I240">
        <v>3.8</v>
      </c>
      <c r="J240">
        <v>41.8</v>
      </c>
    </row>
    <row r="241" spans="1:10" x14ac:dyDescent="0.3">
      <c r="A241">
        <v>3848</v>
      </c>
      <c r="B241" t="s">
        <v>557</v>
      </c>
      <c r="C241" s="452">
        <v>45778</v>
      </c>
      <c r="D241" t="s">
        <v>4436</v>
      </c>
      <c r="E241" t="s">
        <v>5816</v>
      </c>
      <c r="F241" t="s">
        <v>5240</v>
      </c>
      <c r="G241">
        <v>12</v>
      </c>
      <c r="H241" t="s">
        <v>5191</v>
      </c>
      <c r="I241">
        <v>3.8</v>
      </c>
      <c r="J241">
        <v>45.6</v>
      </c>
    </row>
    <row r="242" spans="1:10" x14ac:dyDescent="0.3">
      <c r="A242">
        <v>4560</v>
      </c>
      <c r="B242" t="s">
        <v>557</v>
      </c>
      <c r="C242" s="452">
        <v>45809</v>
      </c>
      <c r="D242" t="s">
        <v>4434</v>
      </c>
      <c r="E242" t="s">
        <v>5816</v>
      </c>
      <c r="F242" t="s">
        <v>5240</v>
      </c>
      <c r="G242">
        <v>25</v>
      </c>
      <c r="H242" t="s">
        <v>5191</v>
      </c>
      <c r="I242">
        <v>3.8</v>
      </c>
      <c r="J242">
        <v>95</v>
      </c>
    </row>
    <row r="243" spans="1:10" x14ac:dyDescent="0.3">
      <c r="A243">
        <v>5212</v>
      </c>
      <c r="B243" t="s">
        <v>557</v>
      </c>
      <c r="C243" s="452">
        <v>45839</v>
      </c>
      <c r="D243" t="s">
        <v>3935</v>
      </c>
      <c r="E243" t="s">
        <v>5816</v>
      </c>
      <c r="F243" t="s">
        <v>5240</v>
      </c>
      <c r="G243">
        <v>11</v>
      </c>
      <c r="H243" t="s">
        <v>5191</v>
      </c>
      <c r="I243">
        <v>3.8</v>
      </c>
      <c r="J243">
        <v>41.8</v>
      </c>
    </row>
    <row r="244" spans="1:10" x14ac:dyDescent="0.3">
      <c r="A244">
        <v>5716</v>
      </c>
      <c r="B244" t="s">
        <v>557</v>
      </c>
      <c r="C244" s="452">
        <v>45870</v>
      </c>
      <c r="D244" t="s">
        <v>4040</v>
      </c>
      <c r="E244" t="s">
        <v>5816</v>
      </c>
      <c r="F244" t="s">
        <v>5240</v>
      </c>
      <c r="G244">
        <v>9</v>
      </c>
      <c r="H244" t="s">
        <v>5191</v>
      </c>
      <c r="I244">
        <v>3.8</v>
      </c>
      <c r="J244">
        <v>34.200000000000003</v>
      </c>
    </row>
    <row r="245" spans="1:10" x14ac:dyDescent="0.3">
      <c r="A245">
        <v>6387</v>
      </c>
      <c r="B245" t="s">
        <v>557</v>
      </c>
      <c r="C245" s="452">
        <v>45901</v>
      </c>
      <c r="D245" t="s">
        <v>4038</v>
      </c>
      <c r="E245" t="s">
        <v>5816</v>
      </c>
      <c r="F245" t="s">
        <v>5240</v>
      </c>
      <c r="G245">
        <v>14</v>
      </c>
      <c r="H245" t="s">
        <v>5191</v>
      </c>
      <c r="I245">
        <v>3.8</v>
      </c>
      <c r="J245">
        <v>53.2</v>
      </c>
    </row>
    <row r="246" spans="1:10" x14ac:dyDescent="0.3">
      <c r="A246">
        <v>6956</v>
      </c>
      <c r="B246" t="s">
        <v>557</v>
      </c>
      <c r="C246" s="452">
        <v>45931</v>
      </c>
      <c r="D246" t="s">
        <v>3999</v>
      </c>
      <c r="E246" t="s">
        <v>5816</v>
      </c>
      <c r="F246" t="s">
        <v>5240</v>
      </c>
      <c r="G246">
        <v>8</v>
      </c>
      <c r="H246" t="s">
        <v>5191</v>
      </c>
      <c r="I246">
        <v>3.8</v>
      </c>
      <c r="J246">
        <v>30.4</v>
      </c>
    </row>
    <row r="247" spans="1:10" x14ac:dyDescent="0.3">
      <c r="A247">
        <v>7239</v>
      </c>
      <c r="B247" t="s">
        <v>557</v>
      </c>
      <c r="C247" s="452">
        <v>45962</v>
      </c>
      <c r="D247" t="s">
        <v>751</v>
      </c>
      <c r="E247" t="s">
        <v>5816</v>
      </c>
      <c r="F247" t="s">
        <v>5240</v>
      </c>
      <c r="G247">
        <v>21</v>
      </c>
      <c r="H247" t="s">
        <v>5191</v>
      </c>
      <c r="I247">
        <v>3.8</v>
      </c>
      <c r="J247">
        <v>79.8</v>
      </c>
    </row>
    <row r="248" spans="1:10" x14ac:dyDescent="0.3">
      <c r="A248">
        <v>7694</v>
      </c>
      <c r="B248" t="s">
        <v>557</v>
      </c>
      <c r="C248" s="452">
        <v>45992</v>
      </c>
      <c r="D248" t="s">
        <v>753</v>
      </c>
      <c r="E248" t="s">
        <v>5816</v>
      </c>
      <c r="F248" t="s">
        <v>5240</v>
      </c>
      <c r="G248">
        <v>8</v>
      </c>
      <c r="H248" t="s">
        <v>5191</v>
      </c>
      <c r="I248">
        <v>3.8</v>
      </c>
      <c r="J248">
        <v>30.4</v>
      </c>
    </row>
    <row r="249" spans="1:10" x14ac:dyDescent="0.3">
      <c r="A249">
        <v>8647</v>
      </c>
      <c r="B249" t="s">
        <v>557</v>
      </c>
      <c r="C249" s="452">
        <v>46054</v>
      </c>
      <c r="D249" t="s">
        <v>459</v>
      </c>
      <c r="E249" t="s">
        <v>5816</v>
      </c>
      <c r="F249" t="s">
        <v>5240</v>
      </c>
      <c r="G249">
        <v>14</v>
      </c>
      <c r="H249" t="s">
        <v>5191</v>
      </c>
      <c r="I249">
        <v>3.8</v>
      </c>
      <c r="J249">
        <v>53.2</v>
      </c>
    </row>
    <row r="250" spans="1:10" x14ac:dyDescent="0.3">
      <c r="A250">
        <v>8741</v>
      </c>
      <c r="B250" t="s">
        <v>557</v>
      </c>
      <c r="C250" s="452">
        <v>46082</v>
      </c>
      <c r="D250" t="s">
        <v>460</v>
      </c>
      <c r="E250" t="s">
        <v>5816</v>
      </c>
      <c r="F250" t="s">
        <v>5240</v>
      </c>
      <c r="G250">
        <v>11</v>
      </c>
      <c r="H250" t="s">
        <v>5191</v>
      </c>
      <c r="I250">
        <v>3.8</v>
      </c>
      <c r="J250">
        <v>41.8</v>
      </c>
    </row>
    <row r="251" spans="1:10" x14ac:dyDescent="0.3">
      <c r="A251">
        <v>10026</v>
      </c>
      <c r="B251" t="s">
        <v>557</v>
      </c>
      <c r="C251" s="452">
        <v>46143</v>
      </c>
      <c r="D251" t="s">
        <v>462</v>
      </c>
      <c r="E251" t="s">
        <v>5816</v>
      </c>
      <c r="F251" t="s">
        <v>5240</v>
      </c>
      <c r="G251">
        <v>25</v>
      </c>
      <c r="H251" t="s">
        <v>5191</v>
      </c>
      <c r="I251">
        <v>3.8</v>
      </c>
      <c r="J251">
        <v>95</v>
      </c>
    </row>
    <row r="252" spans="1:10" x14ac:dyDescent="0.3">
      <c r="A252">
        <v>10729</v>
      </c>
      <c r="B252" t="s">
        <v>557</v>
      </c>
      <c r="C252" s="452">
        <v>46174</v>
      </c>
      <c r="D252" t="s">
        <v>463</v>
      </c>
      <c r="E252" t="s">
        <v>5816</v>
      </c>
      <c r="F252" t="s">
        <v>5240</v>
      </c>
      <c r="G252">
        <v>3</v>
      </c>
      <c r="H252" t="s">
        <v>5191</v>
      </c>
      <c r="I252">
        <v>3.8</v>
      </c>
      <c r="J252">
        <v>11.4</v>
      </c>
    </row>
    <row r="253" spans="1:10" x14ac:dyDescent="0.3">
      <c r="A253">
        <v>1253</v>
      </c>
      <c r="B253" t="s">
        <v>557</v>
      </c>
      <c r="C253" s="452">
        <v>45658</v>
      </c>
      <c r="D253" t="s">
        <v>730</v>
      </c>
      <c r="E253" t="s">
        <v>5817</v>
      </c>
      <c r="F253" t="s">
        <v>5799</v>
      </c>
      <c r="G253">
        <v>0.85</v>
      </c>
      <c r="H253" t="s">
        <v>5191</v>
      </c>
      <c r="I253">
        <v>11.38</v>
      </c>
      <c r="J253">
        <v>9.67</v>
      </c>
    </row>
    <row r="254" spans="1:10" x14ac:dyDescent="0.3">
      <c r="A254">
        <v>1353</v>
      </c>
      <c r="B254" t="s">
        <v>557</v>
      </c>
      <c r="C254" s="452">
        <v>45689</v>
      </c>
      <c r="D254" t="s">
        <v>4560</v>
      </c>
      <c r="E254" t="s">
        <v>5817</v>
      </c>
      <c r="F254" t="s">
        <v>5799</v>
      </c>
      <c r="G254">
        <v>7.05</v>
      </c>
      <c r="H254" t="s">
        <v>5191</v>
      </c>
      <c r="I254">
        <v>11.38</v>
      </c>
      <c r="J254">
        <v>80.23</v>
      </c>
    </row>
    <row r="255" spans="1:10" x14ac:dyDescent="0.3">
      <c r="A255">
        <v>3151</v>
      </c>
      <c r="B255" t="s">
        <v>557</v>
      </c>
      <c r="C255" s="452">
        <v>45717</v>
      </c>
      <c r="D255" t="s">
        <v>4476</v>
      </c>
      <c r="E255" t="s">
        <v>5817</v>
      </c>
      <c r="F255" t="s">
        <v>5799</v>
      </c>
      <c r="G255">
        <v>3.9</v>
      </c>
      <c r="H255" t="s">
        <v>5191</v>
      </c>
      <c r="I255">
        <v>11.38</v>
      </c>
      <c r="J255">
        <v>44.38</v>
      </c>
    </row>
    <row r="256" spans="1:10" x14ac:dyDescent="0.3">
      <c r="A256">
        <v>10770</v>
      </c>
      <c r="B256" t="s">
        <v>557</v>
      </c>
      <c r="C256" s="452">
        <v>46174</v>
      </c>
      <c r="D256" t="s">
        <v>463</v>
      </c>
      <c r="E256" t="s">
        <v>5817</v>
      </c>
      <c r="F256" t="s">
        <v>5799</v>
      </c>
      <c r="G256">
        <v>0.1</v>
      </c>
      <c r="H256" t="s">
        <v>5191</v>
      </c>
      <c r="I256">
        <v>11.38</v>
      </c>
      <c r="J256">
        <v>1.1399999999999999</v>
      </c>
    </row>
    <row r="257" spans="1:10" x14ac:dyDescent="0.3">
      <c r="A257">
        <v>1254</v>
      </c>
      <c r="B257" t="s">
        <v>557</v>
      </c>
      <c r="C257" s="452">
        <v>45658</v>
      </c>
      <c r="D257" t="s">
        <v>730</v>
      </c>
      <c r="E257" t="s">
        <v>5818</v>
      </c>
      <c r="F257" t="s">
        <v>5819</v>
      </c>
      <c r="G257">
        <v>1.52</v>
      </c>
      <c r="H257" t="s">
        <v>5191</v>
      </c>
      <c r="I257">
        <v>11.68</v>
      </c>
      <c r="J257">
        <v>17.75</v>
      </c>
    </row>
    <row r="258" spans="1:10" x14ac:dyDescent="0.3">
      <c r="A258">
        <v>1375</v>
      </c>
      <c r="B258" t="s">
        <v>557</v>
      </c>
      <c r="C258" s="452">
        <v>45689</v>
      </c>
      <c r="D258" t="s">
        <v>4560</v>
      </c>
      <c r="E258" t="s">
        <v>5818</v>
      </c>
      <c r="F258" t="s">
        <v>5819</v>
      </c>
      <c r="G258">
        <v>0.68</v>
      </c>
      <c r="H258" t="s">
        <v>5191</v>
      </c>
      <c r="I258">
        <v>11.68</v>
      </c>
      <c r="J258">
        <v>7.94</v>
      </c>
    </row>
    <row r="259" spans="1:10" x14ac:dyDescent="0.3">
      <c r="A259">
        <v>3173</v>
      </c>
      <c r="B259" t="s">
        <v>557</v>
      </c>
      <c r="C259" s="452">
        <v>45717</v>
      </c>
      <c r="D259" t="s">
        <v>4476</v>
      </c>
      <c r="E259" t="s">
        <v>5818</v>
      </c>
      <c r="F259" t="s">
        <v>5819</v>
      </c>
      <c r="G259">
        <v>1.3</v>
      </c>
      <c r="H259" t="s">
        <v>5191</v>
      </c>
      <c r="I259">
        <v>24.2</v>
      </c>
      <c r="J259">
        <v>31.46</v>
      </c>
    </row>
    <row r="260" spans="1:10" x14ac:dyDescent="0.3">
      <c r="A260">
        <v>3846</v>
      </c>
      <c r="B260" t="s">
        <v>557</v>
      </c>
      <c r="C260" s="452">
        <v>45778</v>
      </c>
      <c r="D260" t="s">
        <v>4436</v>
      </c>
      <c r="E260" t="s">
        <v>5818</v>
      </c>
      <c r="F260" t="s">
        <v>5819</v>
      </c>
      <c r="G260">
        <v>1.93</v>
      </c>
      <c r="H260" t="s">
        <v>5191</v>
      </c>
      <c r="I260">
        <v>25.68</v>
      </c>
      <c r="J260">
        <v>49.56</v>
      </c>
    </row>
    <row r="261" spans="1:10" x14ac:dyDescent="0.3">
      <c r="A261">
        <v>4558</v>
      </c>
      <c r="B261" t="s">
        <v>557</v>
      </c>
      <c r="C261" s="452">
        <v>45809</v>
      </c>
      <c r="D261" t="s">
        <v>4434</v>
      </c>
      <c r="E261" t="s">
        <v>5818</v>
      </c>
      <c r="F261" t="s">
        <v>5819</v>
      </c>
      <c r="G261">
        <v>2</v>
      </c>
      <c r="H261" t="s">
        <v>5191</v>
      </c>
      <c r="I261">
        <v>25.68</v>
      </c>
      <c r="J261">
        <v>51.36</v>
      </c>
    </row>
    <row r="262" spans="1:10" x14ac:dyDescent="0.3">
      <c r="A262">
        <v>5210</v>
      </c>
      <c r="B262" t="s">
        <v>557</v>
      </c>
      <c r="C262" s="452">
        <v>45839</v>
      </c>
      <c r="D262" t="s">
        <v>3935</v>
      </c>
      <c r="E262" t="s">
        <v>5818</v>
      </c>
      <c r="F262" t="s">
        <v>5819</v>
      </c>
      <c r="G262">
        <v>2.96</v>
      </c>
      <c r="H262" t="s">
        <v>5191</v>
      </c>
      <c r="I262">
        <v>25.68</v>
      </c>
      <c r="J262">
        <v>76.010000000000005</v>
      </c>
    </row>
    <row r="263" spans="1:10" x14ac:dyDescent="0.3">
      <c r="A263">
        <v>5714</v>
      </c>
      <c r="B263" t="s">
        <v>557</v>
      </c>
      <c r="C263" s="452">
        <v>45870</v>
      </c>
      <c r="D263" t="s">
        <v>4040</v>
      </c>
      <c r="E263" t="s">
        <v>5818</v>
      </c>
      <c r="F263" t="s">
        <v>5819</v>
      </c>
      <c r="G263">
        <v>3.63</v>
      </c>
      <c r="H263" t="s">
        <v>5191</v>
      </c>
      <c r="I263">
        <v>25.68</v>
      </c>
      <c r="J263">
        <v>93.22</v>
      </c>
    </row>
    <row r="264" spans="1:10" x14ac:dyDescent="0.3">
      <c r="A264">
        <v>6385</v>
      </c>
      <c r="B264" t="s">
        <v>557</v>
      </c>
      <c r="C264" s="452">
        <v>45901</v>
      </c>
      <c r="D264" t="s">
        <v>4038</v>
      </c>
      <c r="E264" t="s">
        <v>5818</v>
      </c>
      <c r="F264" t="s">
        <v>5819</v>
      </c>
      <c r="G264">
        <v>0.68</v>
      </c>
      <c r="H264" t="s">
        <v>5191</v>
      </c>
      <c r="I264">
        <v>25.68</v>
      </c>
      <c r="J264">
        <v>17.46</v>
      </c>
    </row>
    <row r="265" spans="1:10" x14ac:dyDescent="0.3">
      <c r="A265">
        <v>6954</v>
      </c>
      <c r="B265" t="s">
        <v>557</v>
      </c>
      <c r="C265" s="452">
        <v>45931</v>
      </c>
      <c r="D265" t="s">
        <v>3999</v>
      </c>
      <c r="E265" t="s">
        <v>5818</v>
      </c>
      <c r="F265" t="s">
        <v>5819</v>
      </c>
      <c r="G265">
        <v>4</v>
      </c>
      <c r="H265" t="s">
        <v>5191</v>
      </c>
      <c r="I265">
        <v>25.68</v>
      </c>
      <c r="J265">
        <v>102.72</v>
      </c>
    </row>
    <row r="266" spans="1:10" x14ac:dyDescent="0.3">
      <c r="A266">
        <v>7237</v>
      </c>
      <c r="B266" t="s">
        <v>557</v>
      </c>
      <c r="C266" s="452">
        <v>45962</v>
      </c>
      <c r="D266" t="s">
        <v>751</v>
      </c>
      <c r="E266" t="s">
        <v>5818</v>
      </c>
      <c r="F266" t="s">
        <v>5819</v>
      </c>
      <c r="G266">
        <v>3</v>
      </c>
      <c r="H266" t="s">
        <v>5191</v>
      </c>
      <c r="I266">
        <v>25.68</v>
      </c>
      <c r="J266">
        <v>77.040000000000006</v>
      </c>
    </row>
    <row r="267" spans="1:10" x14ac:dyDescent="0.3">
      <c r="A267">
        <v>7692</v>
      </c>
      <c r="B267" t="s">
        <v>557</v>
      </c>
      <c r="C267" s="452">
        <v>45992</v>
      </c>
      <c r="D267" t="s">
        <v>753</v>
      </c>
      <c r="E267" t="s">
        <v>5818</v>
      </c>
      <c r="F267" t="s">
        <v>5819</v>
      </c>
      <c r="G267">
        <v>1.66</v>
      </c>
      <c r="H267" t="s">
        <v>5191</v>
      </c>
      <c r="I267">
        <v>25.68</v>
      </c>
      <c r="J267">
        <v>42.63</v>
      </c>
    </row>
    <row r="268" spans="1:10" x14ac:dyDescent="0.3">
      <c r="A268">
        <v>8646</v>
      </c>
      <c r="B268" t="s">
        <v>557</v>
      </c>
      <c r="C268" s="452">
        <v>46054</v>
      </c>
      <c r="D268" t="s">
        <v>459</v>
      </c>
      <c r="E268" t="s">
        <v>5818</v>
      </c>
      <c r="F268" t="s">
        <v>5819</v>
      </c>
      <c r="G268">
        <v>5.3</v>
      </c>
      <c r="H268" t="s">
        <v>5191</v>
      </c>
      <c r="I268">
        <v>25.68</v>
      </c>
      <c r="J268">
        <v>136.1</v>
      </c>
    </row>
    <row r="269" spans="1:10" x14ac:dyDescent="0.3">
      <c r="A269">
        <v>9483</v>
      </c>
      <c r="B269" t="s">
        <v>557</v>
      </c>
      <c r="C269" s="452">
        <v>46113</v>
      </c>
      <c r="D269" t="s">
        <v>461</v>
      </c>
      <c r="E269" t="s">
        <v>5818</v>
      </c>
      <c r="F269" t="s">
        <v>5819</v>
      </c>
      <c r="G269">
        <v>1.1000000000000001</v>
      </c>
      <c r="H269" t="s">
        <v>5191</v>
      </c>
      <c r="I269">
        <v>25.68</v>
      </c>
      <c r="J269">
        <v>28.25</v>
      </c>
    </row>
    <row r="270" spans="1:10" x14ac:dyDescent="0.3">
      <c r="A270">
        <v>10024</v>
      </c>
      <c r="B270" t="s">
        <v>557</v>
      </c>
      <c r="C270" s="452">
        <v>46143</v>
      </c>
      <c r="D270" t="s">
        <v>462</v>
      </c>
      <c r="E270" t="s">
        <v>5818</v>
      </c>
      <c r="F270" t="s">
        <v>5819</v>
      </c>
      <c r="G270">
        <v>1.1499999999999999</v>
      </c>
      <c r="H270" t="s">
        <v>5191</v>
      </c>
      <c r="I270">
        <v>25.68</v>
      </c>
      <c r="J270">
        <v>29.53</v>
      </c>
    </row>
    <row r="271" spans="1:10" x14ac:dyDescent="0.3">
      <c r="A271">
        <v>10757</v>
      </c>
      <c r="B271" t="s">
        <v>557</v>
      </c>
      <c r="C271" s="452">
        <v>46174</v>
      </c>
      <c r="D271" t="s">
        <v>463</v>
      </c>
      <c r="E271" t="s">
        <v>5818</v>
      </c>
      <c r="F271" t="s">
        <v>5819</v>
      </c>
      <c r="G271">
        <v>1.65</v>
      </c>
      <c r="H271" t="s">
        <v>5191</v>
      </c>
      <c r="I271">
        <v>25.68</v>
      </c>
      <c r="J271">
        <v>42.37</v>
      </c>
    </row>
    <row r="272" spans="1:10" x14ac:dyDescent="0.3">
      <c r="A272">
        <v>1255</v>
      </c>
      <c r="B272" t="s">
        <v>557</v>
      </c>
      <c r="C272" s="452">
        <v>45658</v>
      </c>
      <c r="D272" t="s">
        <v>730</v>
      </c>
      <c r="E272" t="s">
        <v>5820</v>
      </c>
      <c r="F272" t="s">
        <v>5799</v>
      </c>
      <c r="G272">
        <v>0.4</v>
      </c>
      <c r="H272" t="s">
        <v>5191</v>
      </c>
      <c r="I272">
        <v>119</v>
      </c>
      <c r="J272">
        <v>47.6</v>
      </c>
    </row>
    <row r="273" spans="1:10" x14ac:dyDescent="0.3">
      <c r="A273">
        <v>1374</v>
      </c>
      <c r="B273" t="s">
        <v>557</v>
      </c>
      <c r="C273" s="452">
        <v>45689</v>
      </c>
      <c r="D273" t="s">
        <v>4560</v>
      </c>
      <c r="E273" t="s">
        <v>5820</v>
      </c>
      <c r="F273" t="s">
        <v>5799</v>
      </c>
      <c r="G273">
        <v>0.16</v>
      </c>
      <c r="H273" t="s">
        <v>5191</v>
      </c>
      <c r="I273">
        <v>119</v>
      </c>
      <c r="J273">
        <v>19.04</v>
      </c>
    </row>
    <row r="274" spans="1:10" x14ac:dyDescent="0.3">
      <c r="A274">
        <v>3172</v>
      </c>
      <c r="B274" t="s">
        <v>557</v>
      </c>
      <c r="C274" s="452">
        <v>45717</v>
      </c>
      <c r="D274" t="s">
        <v>4476</v>
      </c>
      <c r="E274" t="s">
        <v>5820</v>
      </c>
      <c r="F274" t="s">
        <v>5799</v>
      </c>
      <c r="G274">
        <v>0.28999999999999998</v>
      </c>
      <c r="H274" t="s">
        <v>5191</v>
      </c>
      <c r="I274">
        <v>119</v>
      </c>
      <c r="J274">
        <v>34.51</v>
      </c>
    </row>
    <row r="275" spans="1:10" x14ac:dyDescent="0.3">
      <c r="A275">
        <v>3315</v>
      </c>
      <c r="B275" t="s">
        <v>557</v>
      </c>
      <c r="C275" s="452">
        <v>45748</v>
      </c>
      <c r="D275" t="s">
        <v>4455</v>
      </c>
      <c r="E275" t="s">
        <v>5820</v>
      </c>
      <c r="F275" t="s">
        <v>5799</v>
      </c>
      <c r="G275">
        <v>0.2</v>
      </c>
      <c r="H275" t="s">
        <v>5191</v>
      </c>
      <c r="I275">
        <v>119</v>
      </c>
      <c r="J275">
        <v>23.8</v>
      </c>
    </row>
    <row r="276" spans="1:10" x14ac:dyDescent="0.3">
      <c r="A276">
        <v>1256</v>
      </c>
      <c r="B276" t="s">
        <v>557</v>
      </c>
      <c r="C276" s="452">
        <v>45658</v>
      </c>
      <c r="D276" t="s">
        <v>730</v>
      </c>
      <c r="E276" t="s">
        <v>5821</v>
      </c>
      <c r="F276" t="s">
        <v>5799</v>
      </c>
      <c r="G276">
        <v>2</v>
      </c>
      <c r="H276" t="s">
        <v>5191</v>
      </c>
      <c r="I276">
        <v>12.69</v>
      </c>
      <c r="J276">
        <v>25.38</v>
      </c>
    </row>
    <row r="277" spans="1:10" x14ac:dyDescent="0.3">
      <c r="A277">
        <v>1355</v>
      </c>
      <c r="B277" t="s">
        <v>557</v>
      </c>
      <c r="C277" s="452">
        <v>45689</v>
      </c>
      <c r="D277" t="s">
        <v>4560</v>
      </c>
      <c r="E277" t="s">
        <v>5821</v>
      </c>
      <c r="F277" t="s">
        <v>5799</v>
      </c>
      <c r="G277">
        <v>2.86</v>
      </c>
      <c r="H277" t="s">
        <v>5191</v>
      </c>
      <c r="I277">
        <v>12.69</v>
      </c>
      <c r="J277">
        <v>36.29</v>
      </c>
    </row>
    <row r="278" spans="1:10" x14ac:dyDescent="0.3">
      <c r="A278">
        <v>3153</v>
      </c>
      <c r="B278" t="s">
        <v>557</v>
      </c>
      <c r="C278" s="452">
        <v>45717</v>
      </c>
      <c r="D278" t="s">
        <v>4476</v>
      </c>
      <c r="E278" t="s">
        <v>5821</v>
      </c>
      <c r="F278" t="s">
        <v>5799</v>
      </c>
      <c r="G278">
        <v>2.9</v>
      </c>
      <c r="H278" t="s">
        <v>5191</v>
      </c>
      <c r="I278">
        <v>12.69</v>
      </c>
      <c r="J278">
        <v>36.799999999999997</v>
      </c>
    </row>
    <row r="279" spans="1:10" x14ac:dyDescent="0.3">
      <c r="A279">
        <v>3303</v>
      </c>
      <c r="B279" t="s">
        <v>557</v>
      </c>
      <c r="C279" s="452">
        <v>45748</v>
      </c>
      <c r="D279" t="s">
        <v>4455</v>
      </c>
      <c r="E279" t="s">
        <v>5821</v>
      </c>
      <c r="F279" t="s">
        <v>5799</v>
      </c>
      <c r="G279">
        <v>4.9000000000000004</v>
      </c>
      <c r="H279" t="s">
        <v>5191</v>
      </c>
      <c r="I279">
        <v>12.69</v>
      </c>
      <c r="J279">
        <v>62.18</v>
      </c>
    </row>
    <row r="280" spans="1:10" x14ac:dyDescent="0.3">
      <c r="A280">
        <v>6814</v>
      </c>
      <c r="B280" t="s">
        <v>557</v>
      </c>
      <c r="C280" s="452">
        <v>45901</v>
      </c>
      <c r="D280" t="s">
        <v>4038</v>
      </c>
      <c r="E280" t="s">
        <v>5821</v>
      </c>
      <c r="F280" t="s">
        <v>5799</v>
      </c>
      <c r="G280">
        <v>1.52</v>
      </c>
      <c r="H280" t="s">
        <v>5191</v>
      </c>
      <c r="I280">
        <v>2.84</v>
      </c>
      <c r="J280">
        <v>4.32</v>
      </c>
    </row>
    <row r="281" spans="1:10" x14ac:dyDescent="0.3">
      <c r="A281">
        <v>6927</v>
      </c>
      <c r="B281" t="s">
        <v>557</v>
      </c>
      <c r="C281" s="452">
        <v>45931</v>
      </c>
      <c r="D281" t="s">
        <v>3999</v>
      </c>
      <c r="E281" t="s">
        <v>5821</v>
      </c>
      <c r="F281" t="s">
        <v>5799</v>
      </c>
      <c r="G281">
        <v>3.8</v>
      </c>
      <c r="H281" t="s">
        <v>5191</v>
      </c>
      <c r="I281">
        <v>2.84</v>
      </c>
      <c r="J281">
        <v>10.79</v>
      </c>
    </row>
    <row r="282" spans="1:10" x14ac:dyDescent="0.3">
      <c r="A282">
        <v>7211</v>
      </c>
      <c r="B282" t="s">
        <v>557</v>
      </c>
      <c r="C282" s="452">
        <v>45962</v>
      </c>
      <c r="D282" t="s">
        <v>751</v>
      </c>
      <c r="E282" t="s">
        <v>5821</v>
      </c>
      <c r="F282" t="s">
        <v>5799</v>
      </c>
      <c r="G282">
        <v>2.2000000000000002</v>
      </c>
      <c r="H282" t="s">
        <v>5191</v>
      </c>
      <c r="I282">
        <v>2.84</v>
      </c>
      <c r="J282">
        <v>6.25</v>
      </c>
    </row>
    <row r="283" spans="1:10" x14ac:dyDescent="0.3">
      <c r="A283">
        <v>7669</v>
      </c>
      <c r="B283" t="s">
        <v>557</v>
      </c>
      <c r="C283" s="452">
        <v>45992</v>
      </c>
      <c r="D283" t="s">
        <v>753</v>
      </c>
      <c r="E283" t="s">
        <v>5821</v>
      </c>
      <c r="F283" t="s">
        <v>5799</v>
      </c>
      <c r="G283">
        <v>2.4</v>
      </c>
      <c r="H283" t="s">
        <v>5191</v>
      </c>
      <c r="I283">
        <v>2.84</v>
      </c>
      <c r="J283">
        <v>6.82</v>
      </c>
    </row>
    <row r="284" spans="1:10" x14ac:dyDescent="0.3">
      <c r="A284">
        <v>8709</v>
      </c>
      <c r="B284" t="s">
        <v>557</v>
      </c>
      <c r="C284" s="452">
        <v>46082</v>
      </c>
      <c r="D284" t="s">
        <v>460</v>
      </c>
      <c r="E284" t="s">
        <v>5821</v>
      </c>
      <c r="F284" t="s">
        <v>5799</v>
      </c>
      <c r="G284">
        <v>6.1</v>
      </c>
      <c r="H284" t="s">
        <v>5191</v>
      </c>
      <c r="I284">
        <v>2.84</v>
      </c>
      <c r="J284">
        <v>17.32</v>
      </c>
    </row>
    <row r="285" spans="1:10" x14ac:dyDescent="0.3">
      <c r="A285">
        <v>10771</v>
      </c>
      <c r="B285" t="s">
        <v>557</v>
      </c>
      <c r="C285" s="452">
        <v>46174</v>
      </c>
      <c r="D285" t="s">
        <v>463</v>
      </c>
      <c r="E285" t="s">
        <v>5821</v>
      </c>
      <c r="F285" t="s">
        <v>5799</v>
      </c>
      <c r="G285">
        <v>0.94</v>
      </c>
      <c r="H285" t="s">
        <v>5191</v>
      </c>
      <c r="I285">
        <v>2.84</v>
      </c>
      <c r="J285">
        <v>2.67</v>
      </c>
    </row>
    <row r="286" spans="1:10" x14ac:dyDescent="0.3">
      <c r="A286">
        <v>1257</v>
      </c>
      <c r="B286" t="s">
        <v>557</v>
      </c>
      <c r="C286" s="452">
        <v>45658</v>
      </c>
      <c r="D286" t="s">
        <v>730</v>
      </c>
      <c r="E286" t="s">
        <v>5822</v>
      </c>
      <c r="F286" t="s">
        <v>5799</v>
      </c>
      <c r="G286">
        <v>0.87</v>
      </c>
      <c r="H286" t="s">
        <v>5191</v>
      </c>
      <c r="I286">
        <v>34.25</v>
      </c>
      <c r="J286">
        <v>29.8</v>
      </c>
    </row>
    <row r="287" spans="1:10" x14ac:dyDescent="0.3">
      <c r="A287">
        <v>1370</v>
      </c>
      <c r="B287" t="s">
        <v>557</v>
      </c>
      <c r="C287" s="452">
        <v>45689</v>
      </c>
      <c r="D287" t="s">
        <v>4560</v>
      </c>
      <c r="E287" t="s">
        <v>5822</v>
      </c>
      <c r="F287" t="s">
        <v>5799</v>
      </c>
      <c r="G287">
        <v>0</v>
      </c>
      <c r="H287" t="s">
        <v>5191</v>
      </c>
      <c r="I287">
        <v>34.25</v>
      </c>
      <c r="J287">
        <v>0</v>
      </c>
    </row>
    <row r="288" spans="1:10" x14ac:dyDescent="0.3">
      <c r="A288">
        <v>3168</v>
      </c>
      <c r="B288" t="s">
        <v>557</v>
      </c>
      <c r="C288" s="452">
        <v>45717</v>
      </c>
      <c r="D288" t="s">
        <v>4476</v>
      </c>
      <c r="E288" t="s">
        <v>5822</v>
      </c>
      <c r="F288" t="s">
        <v>5799</v>
      </c>
      <c r="G288">
        <v>0</v>
      </c>
      <c r="H288" t="s">
        <v>5191</v>
      </c>
      <c r="I288">
        <v>34.25</v>
      </c>
      <c r="J288">
        <v>0</v>
      </c>
    </row>
    <row r="289" spans="1:10" x14ac:dyDescent="0.3">
      <c r="A289">
        <v>1258</v>
      </c>
      <c r="B289" t="s">
        <v>557</v>
      </c>
      <c r="C289" s="452">
        <v>45658</v>
      </c>
      <c r="D289" t="s">
        <v>730</v>
      </c>
      <c r="E289" t="s">
        <v>5823</v>
      </c>
      <c r="F289" t="s">
        <v>5799</v>
      </c>
      <c r="G289">
        <v>0.95</v>
      </c>
      <c r="H289" t="s">
        <v>5191</v>
      </c>
      <c r="I289">
        <v>15.06</v>
      </c>
      <c r="J289">
        <v>14.31</v>
      </c>
    </row>
    <row r="290" spans="1:10" x14ac:dyDescent="0.3">
      <c r="A290">
        <v>1369</v>
      </c>
      <c r="B290" t="s">
        <v>557</v>
      </c>
      <c r="C290" s="452">
        <v>45689</v>
      </c>
      <c r="D290" t="s">
        <v>4560</v>
      </c>
      <c r="E290" t="s">
        <v>5823</v>
      </c>
      <c r="F290" t="s">
        <v>5799</v>
      </c>
      <c r="G290">
        <v>2.2000000000000002</v>
      </c>
      <c r="H290" t="s">
        <v>5191</v>
      </c>
      <c r="I290">
        <v>15.06</v>
      </c>
      <c r="J290">
        <v>33.130000000000003</v>
      </c>
    </row>
    <row r="291" spans="1:10" x14ac:dyDescent="0.3">
      <c r="A291">
        <v>3167</v>
      </c>
      <c r="B291" t="s">
        <v>557</v>
      </c>
      <c r="C291" s="452">
        <v>45717</v>
      </c>
      <c r="D291" t="s">
        <v>4476</v>
      </c>
      <c r="E291" t="s">
        <v>5823</v>
      </c>
      <c r="F291" t="s">
        <v>5799</v>
      </c>
      <c r="G291">
        <v>4.42</v>
      </c>
      <c r="H291" t="s">
        <v>5191</v>
      </c>
      <c r="I291">
        <v>15.06</v>
      </c>
      <c r="J291">
        <v>66.569999999999993</v>
      </c>
    </row>
    <row r="292" spans="1:10" x14ac:dyDescent="0.3">
      <c r="A292">
        <v>3311</v>
      </c>
      <c r="B292" t="s">
        <v>557</v>
      </c>
      <c r="C292" s="452">
        <v>45748</v>
      </c>
      <c r="D292" t="s">
        <v>4455</v>
      </c>
      <c r="E292" t="s">
        <v>5823</v>
      </c>
      <c r="F292" t="s">
        <v>5799</v>
      </c>
      <c r="G292">
        <v>2.8</v>
      </c>
      <c r="H292" t="s">
        <v>5191</v>
      </c>
      <c r="I292">
        <v>15.06</v>
      </c>
      <c r="J292">
        <v>42.17</v>
      </c>
    </row>
    <row r="293" spans="1:10" x14ac:dyDescent="0.3">
      <c r="A293">
        <v>3839</v>
      </c>
      <c r="B293" t="s">
        <v>557</v>
      </c>
      <c r="C293" s="452">
        <v>45778</v>
      </c>
      <c r="D293" t="s">
        <v>4436</v>
      </c>
      <c r="E293" t="s">
        <v>5823</v>
      </c>
      <c r="F293" t="s">
        <v>5799</v>
      </c>
      <c r="G293">
        <v>1.6</v>
      </c>
      <c r="H293" t="s">
        <v>5191</v>
      </c>
      <c r="I293">
        <v>15.06</v>
      </c>
      <c r="J293">
        <v>24.1</v>
      </c>
    </row>
    <row r="294" spans="1:10" x14ac:dyDescent="0.3">
      <c r="A294">
        <v>4549</v>
      </c>
      <c r="B294" t="s">
        <v>557</v>
      </c>
      <c r="C294" s="452">
        <v>45809</v>
      </c>
      <c r="D294" t="s">
        <v>4434</v>
      </c>
      <c r="E294" t="s">
        <v>5823</v>
      </c>
      <c r="F294" t="s">
        <v>5799</v>
      </c>
      <c r="G294">
        <v>1.82</v>
      </c>
      <c r="H294" t="s">
        <v>5191</v>
      </c>
      <c r="I294">
        <v>15.06</v>
      </c>
      <c r="J294">
        <v>27.41</v>
      </c>
    </row>
    <row r="295" spans="1:10" x14ac:dyDescent="0.3">
      <c r="A295">
        <v>5201</v>
      </c>
      <c r="B295" t="s">
        <v>557</v>
      </c>
      <c r="C295" s="452">
        <v>45839</v>
      </c>
      <c r="D295" t="s">
        <v>3935</v>
      </c>
      <c r="E295" t="s">
        <v>5823</v>
      </c>
      <c r="F295" t="s">
        <v>5799</v>
      </c>
      <c r="G295">
        <v>4.3</v>
      </c>
      <c r="H295" t="s">
        <v>5191</v>
      </c>
      <c r="I295">
        <v>15.06</v>
      </c>
      <c r="J295">
        <v>64.760000000000005</v>
      </c>
    </row>
    <row r="296" spans="1:10" x14ac:dyDescent="0.3">
      <c r="A296">
        <v>5704</v>
      </c>
      <c r="B296" t="s">
        <v>557</v>
      </c>
      <c r="C296" s="452">
        <v>45870</v>
      </c>
      <c r="D296" t="s">
        <v>4040</v>
      </c>
      <c r="E296" t="s">
        <v>5823</v>
      </c>
      <c r="F296" t="s">
        <v>5799</v>
      </c>
      <c r="G296">
        <v>4.7</v>
      </c>
      <c r="H296" t="s">
        <v>5191</v>
      </c>
      <c r="I296">
        <v>15.06</v>
      </c>
      <c r="J296">
        <v>70.78</v>
      </c>
    </row>
    <row r="297" spans="1:10" x14ac:dyDescent="0.3">
      <c r="A297">
        <v>6376</v>
      </c>
      <c r="B297" t="s">
        <v>557</v>
      </c>
      <c r="C297" s="452">
        <v>45901</v>
      </c>
      <c r="D297" t="s">
        <v>4038</v>
      </c>
      <c r="E297" t="s">
        <v>5823</v>
      </c>
      <c r="F297" t="s">
        <v>5799</v>
      </c>
      <c r="G297">
        <v>3</v>
      </c>
      <c r="H297" t="s">
        <v>5191</v>
      </c>
      <c r="I297">
        <v>15.06</v>
      </c>
      <c r="J297">
        <v>45.18</v>
      </c>
    </row>
    <row r="298" spans="1:10" x14ac:dyDescent="0.3">
      <c r="A298">
        <v>6946</v>
      </c>
      <c r="B298" t="s">
        <v>557</v>
      </c>
      <c r="C298" s="452">
        <v>45931</v>
      </c>
      <c r="D298" t="s">
        <v>3999</v>
      </c>
      <c r="E298" t="s">
        <v>5823</v>
      </c>
      <c r="F298" t="s">
        <v>5799</v>
      </c>
      <c r="G298">
        <v>3.8</v>
      </c>
      <c r="H298" t="s">
        <v>5191</v>
      </c>
      <c r="I298">
        <v>15.06</v>
      </c>
      <c r="J298">
        <v>57.23</v>
      </c>
    </row>
    <row r="299" spans="1:10" x14ac:dyDescent="0.3">
      <c r="A299">
        <v>7229</v>
      </c>
      <c r="B299" t="s">
        <v>557</v>
      </c>
      <c r="C299" s="452">
        <v>45962</v>
      </c>
      <c r="D299" t="s">
        <v>751</v>
      </c>
      <c r="E299" t="s">
        <v>5823</v>
      </c>
      <c r="F299" t="s">
        <v>5799</v>
      </c>
      <c r="G299">
        <v>8.1</v>
      </c>
      <c r="H299" t="s">
        <v>5191</v>
      </c>
      <c r="I299">
        <v>15.06</v>
      </c>
      <c r="J299">
        <v>121.99</v>
      </c>
    </row>
    <row r="300" spans="1:10" x14ac:dyDescent="0.3">
      <c r="A300">
        <v>7685</v>
      </c>
      <c r="B300" t="s">
        <v>557</v>
      </c>
      <c r="C300" s="452">
        <v>45992</v>
      </c>
      <c r="D300" t="s">
        <v>753</v>
      </c>
      <c r="E300" t="s">
        <v>5823</v>
      </c>
      <c r="F300" t="s">
        <v>5799</v>
      </c>
      <c r="G300">
        <v>2.6</v>
      </c>
      <c r="H300" t="s">
        <v>5191</v>
      </c>
      <c r="I300">
        <v>15.06</v>
      </c>
      <c r="J300">
        <v>39.159999999999997</v>
      </c>
    </row>
    <row r="301" spans="1:10" x14ac:dyDescent="0.3">
      <c r="A301">
        <v>8044</v>
      </c>
      <c r="B301" t="s">
        <v>557</v>
      </c>
      <c r="C301" s="452">
        <v>46023</v>
      </c>
      <c r="D301" t="s">
        <v>458</v>
      </c>
      <c r="E301" t="s">
        <v>5823</v>
      </c>
      <c r="F301" t="s">
        <v>5799</v>
      </c>
      <c r="G301">
        <v>5.0999999999999996</v>
      </c>
      <c r="H301" t="s">
        <v>5191</v>
      </c>
      <c r="I301">
        <v>15.06</v>
      </c>
      <c r="J301">
        <v>76.81</v>
      </c>
    </row>
    <row r="302" spans="1:10" x14ac:dyDescent="0.3">
      <c r="A302">
        <v>8624</v>
      </c>
      <c r="B302" t="s">
        <v>557</v>
      </c>
      <c r="C302" s="452">
        <v>46054</v>
      </c>
      <c r="D302" t="s">
        <v>459</v>
      </c>
      <c r="E302" t="s">
        <v>5823</v>
      </c>
      <c r="F302" t="s">
        <v>5799</v>
      </c>
      <c r="G302">
        <v>1.6</v>
      </c>
      <c r="H302" t="s">
        <v>5191</v>
      </c>
      <c r="I302">
        <v>15.06</v>
      </c>
      <c r="J302">
        <v>24.1</v>
      </c>
    </row>
    <row r="303" spans="1:10" x14ac:dyDescent="0.3">
      <c r="A303">
        <v>8729</v>
      </c>
      <c r="B303" t="s">
        <v>557</v>
      </c>
      <c r="C303" s="452">
        <v>46082</v>
      </c>
      <c r="D303" t="s">
        <v>460</v>
      </c>
      <c r="E303" t="s">
        <v>5823</v>
      </c>
      <c r="F303" t="s">
        <v>5799</v>
      </c>
      <c r="G303">
        <v>5.0999999999999996</v>
      </c>
      <c r="H303" t="s">
        <v>5191</v>
      </c>
      <c r="I303">
        <v>15.06</v>
      </c>
      <c r="J303">
        <v>76.81</v>
      </c>
    </row>
    <row r="304" spans="1:10" x14ac:dyDescent="0.3">
      <c r="A304">
        <v>9473</v>
      </c>
      <c r="B304" t="s">
        <v>557</v>
      </c>
      <c r="C304" s="452">
        <v>46113</v>
      </c>
      <c r="D304" t="s">
        <v>461</v>
      </c>
      <c r="E304" t="s">
        <v>5823</v>
      </c>
      <c r="F304" t="s">
        <v>5799</v>
      </c>
      <c r="G304">
        <v>11.5</v>
      </c>
      <c r="H304" t="s">
        <v>5191</v>
      </c>
      <c r="I304">
        <v>15.06</v>
      </c>
      <c r="J304">
        <v>173.19</v>
      </c>
    </row>
    <row r="305" spans="1:10" x14ac:dyDescent="0.3">
      <c r="A305">
        <v>10015</v>
      </c>
      <c r="B305" t="s">
        <v>557</v>
      </c>
      <c r="C305" s="452">
        <v>46143</v>
      </c>
      <c r="D305" t="s">
        <v>462</v>
      </c>
      <c r="E305" t="s">
        <v>5823</v>
      </c>
      <c r="F305" t="s">
        <v>5799</v>
      </c>
      <c r="G305">
        <v>8.02</v>
      </c>
      <c r="H305" t="s">
        <v>5191</v>
      </c>
      <c r="I305">
        <v>15.06</v>
      </c>
      <c r="J305">
        <v>120.78</v>
      </c>
    </row>
    <row r="306" spans="1:10" x14ac:dyDescent="0.3">
      <c r="A306">
        <v>10746</v>
      </c>
      <c r="B306" t="s">
        <v>557</v>
      </c>
      <c r="C306" s="452">
        <v>46174</v>
      </c>
      <c r="D306" t="s">
        <v>463</v>
      </c>
      <c r="E306" t="s">
        <v>5823</v>
      </c>
      <c r="F306" t="s">
        <v>5799</v>
      </c>
      <c r="G306">
        <v>9.93</v>
      </c>
      <c r="H306" t="s">
        <v>5191</v>
      </c>
      <c r="I306">
        <v>15.06</v>
      </c>
      <c r="J306">
        <v>149.55000000000001</v>
      </c>
    </row>
    <row r="307" spans="1:10" x14ac:dyDescent="0.3">
      <c r="A307">
        <v>1259</v>
      </c>
      <c r="B307" t="s">
        <v>557</v>
      </c>
      <c r="C307" s="452">
        <v>45658</v>
      </c>
      <c r="D307" t="s">
        <v>730</v>
      </c>
      <c r="E307" t="s">
        <v>5824</v>
      </c>
      <c r="F307" t="s">
        <v>5799</v>
      </c>
      <c r="G307">
        <v>3.35</v>
      </c>
      <c r="H307" t="s">
        <v>5191</v>
      </c>
      <c r="I307">
        <v>27.04</v>
      </c>
      <c r="J307">
        <v>90.58</v>
      </c>
    </row>
    <row r="308" spans="1:10" x14ac:dyDescent="0.3">
      <c r="A308">
        <v>1378</v>
      </c>
      <c r="B308" t="s">
        <v>557</v>
      </c>
      <c r="C308" s="452">
        <v>45689</v>
      </c>
      <c r="D308" t="s">
        <v>4560</v>
      </c>
      <c r="E308" t="s">
        <v>5824</v>
      </c>
      <c r="F308" t="s">
        <v>5799</v>
      </c>
      <c r="G308">
        <v>0</v>
      </c>
      <c r="H308" t="s">
        <v>5191</v>
      </c>
      <c r="I308">
        <v>27.04</v>
      </c>
      <c r="J308">
        <v>0</v>
      </c>
    </row>
    <row r="309" spans="1:10" x14ac:dyDescent="0.3">
      <c r="A309">
        <v>3176</v>
      </c>
      <c r="B309" t="s">
        <v>557</v>
      </c>
      <c r="C309" s="452">
        <v>45717</v>
      </c>
      <c r="D309" t="s">
        <v>4476</v>
      </c>
      <c r="E309" t="s">
        <v>5824</v>
      </c>
      <c r="F309" t="s">
        <v>5799</v>
      </c>
      <c r="G309">
        <v>0</v>
      </c>
      <c r="H309" t="s">
        <v>5191</v>
      </c>
      <c r="I309">
        <v>27.04</v>
      </c>
      <c r="J309">
        <v>0</v>
      </c>
    </row>
    <row r="310" spans="1:10" x14ac:dyDescent="0.3">
      <c r="A310">
        <v>3317</v>
      </c>
      <c r="B310" t="s">
        <v>557</v>
      </c>
      <c r="C310" s="452">
        <v>45748</v>
      </c>
      <c r="D310" t="s">
        <v>4455</v>
      </c>
      <c r="E310" t="s">
        <v>5824</v>
      </c>
      <c r="F310" t="s">
        <v>5799</v>
      </c>
      <c r="G310">
        <v>5.64</v>
      </c>
      <c r="H310" t="s">
        <v>5191</v>
      </c>
      <c r="I310">
        <v>27.04</v>
      </c>
      <c r="J310">
        <v>152.51</v>
      </c>
    </row>
    <row r="311" spans="1:10" x14ac:dyDescent="0.3">
      <c r="A311">
        <v>3849</v>
      </c>
      <c r="B311" t="s">
        <v>557</v>
      </c>
      <c r="C311" s="452">
        <v>45778</v>
      </c>
      <c r="D311" t="s">
        <v>4436</v>
      </c>
      <c r="E311" t="s">
        <v>5824</v>
      </c>
      <c r="F311" t="s">
        <v>5799</v>
      </c>
      <c r="G311">
        <v>2.1</v>
      </c>
      <c r="H311" t="s">
        <v>5191</v>
      </c>
      <c r="I311">
        <v>27.04</v>
      </c>
      <c r="J311">
        <v>56.78</v>
      </c>
    </row>
    <row r="312" spans="1:10" x14ac:dyDescent="0.3">
      <c r="A312">
        <v>4561</v>
      </c>
      <c r="B312" t="s">
        <v>557</v>
      </c>
      <c r="C312" s="452">
        <v>45809</v>
      </c>
      <c r="D312" t="s">
        <v>4434</v>
      </c>
      <c r="E312" t="s">
        <v>5824</v>
      </c>
      <c r="F312" t="s">
        <v>5799</v>
      </c>
      <c r="G312">
        <v>2.58</v>
      </c>
      <c r="H312" t="s">
        <v>5191</v>
      </c>
      <c r="I312">
        <v>27.04</v>
      </c>
      <c r="J312">
        <v>69.760000000000005</v>
      </c>
    </row>
    <row r="313" spans="1:10" x14ac:dyDescent="0.3">
      <c r="A313">
        <v>5213</v>
      </c>
      <c r="B313" t="s">
        <v>557</v>
      </c>
      <c r="C313" s="452">
        <v>45839</v>
      </c>
      <c r="D313" t="s">
        <v>3935</v>
      </c>
      <c r="E313" t="s">
        <v>5824</v>
      </c>
      <c r="F313" t="s">
        <v>5799</v>
      </c>
      <c r="G313">
        <v>4</v>
      </c>
      <c r="H313" t="s">
        <v>5191</v>
      </c>
      <c r="I313">
        <v>27.04</v>
      </c>
      <c r="J313">
        <v>108.16</v>
      </c>
    </row>
    <row r="314" spans="1:10" x14ac:dyDescent="0.3">
      <c r="A314">
        <v>5717</v>
      </c>
      <c r="B314" t="s">
        <v>557</v>
      </c>
      <c r="C314" s="452">
        <v>45870</v>
      </c>
      <c r="D314" t="s">
        <v>4040</v>
      </c>
      <c r="E314" t="s">
        <v>5824</v>
      </c>
      <c r="F314" t="s">
        <v>5799</v>
      </c>
      <c r="G314">
        <v>2.61</v>
      </c>
      <c r="H314" t="s">
        <v>5191</v>
      </c>
      <c r="I314">
        <v>27.04</v>
      </c>
      <c r="J314">
        <v>70.569999999999993</v>
      </c>
    </row>
    <row r="315" spans="1:10" x14ac:dyDescent="0.3">
      <c r="A315">
        <v>6388</v>
      </c>
      <c r="B315" t="s">
        <v>557</v>
      </c>
      <c r="C315" s="452">
        <v>45901</v>
      </c>
      <c r="D315" t="s">
        <v>4038</v>
      </c>
      <c r="E315" t="s">
        <v>5824</v>
      </c>
      <c r="F315" t="s">
        <v>5799</v>
      </c>
      <c r="G315">
        <v>4.5</v>
      </c>
      <c r="H315" t="s">
        <v>5191</v>
      </c>
      <c r="I315">
        <v>27.04</v>
      </c>
      <c r="J315">
        <v>121.68</v>
      </c>
    </row>
    <row r="316" spans="1:10" x14ac:dyDescent="0.3">
      <c r="A316">
        <v>8648</v>
      </c>
      <c r="B316" t="s">
        <v>557</v>
      </c>
      <c r="C316" s="452">
        <v>46054</v>
      </c>
      <c r="D316" t="s">
        <v>459</v>
      </c>
      <c r="E316" t="s">
        <v>5824</v>
      </c>
      <c r="F316" t="s">
        <v>5799</v>
      </c>
      <c r="G316">
        <v>5.48</v>
      </c>
      <c r="H316" t="s">
        <v>5191</v>
      </c>
      <c r="I316">
        <v>27.04</v>
      </c>
      <c r="J316">
        <v>148.18</v>
      </c>
    </row>
    <row r="317" spans="1:10" x14ac:dyDescent="0.3">
      <c r="A317">
        <v>8742</v>
      </c>
      <c r="B317" t="s">
        <v>557</v>
      </c>
      <c r="C317" s="452">
        <v>46082</v>
      </c>
      <c r="D317" t="s">
        <v>460</v>
      </c>
      <c r="E317" t="s">
        <v>5824</v>
      </c>
      <c r="F317" t="s">
        <v>5799</v>
      </c>
      <c r="G317">
        <v>2.2000000000000002</v>
      </c>
      <c r="H317" t="s">
        <v>5191</v>
      </c>
      <c r="I317">
        <v>27.04</v>
      </c>
      <c r="J317">
        <v>59.49</v>
      </c>
    </row>
    <row r="318" spans="1:10" x14ac:dyDescent="0.3">
      <c r="A318">
        <v>9485</v>
      </c>
      <c r="B318" t="s">
        <v>557</v>
      </c>
      <c r="C318" s="452">
        <v>46113</v>
      </c>
      <c r="D318" t="s">
        <v>461</v>
      </c>
      <c r="E318" t="s">
        <v>5824</v>
      </c>
      <c r="F318" t="s">
        <v>5799</v>
      </c>
      <c r="G318">
        <v>2.6</v>
      </c>
      <c r="H318" t="s">
        <v>5191</v>
      </c>
      <c r="I318">
        <v>27.04</v>
      </c>
      <c r="J318">
        <v>70.3</v>
      </c>
    </row>
    <row r="319" spans="1:10" x14ac:dyDescent="0.3">
      <c r="A319">
        <v>10027</v>
      </c>
      <c r="B319" t="s">
        <v>557</v>
      </c>
      <c r="C319" s="452">
        <v>46143</v>
      </c>
      <c r="D319" t="s">
        <v>462</v>
      </c>
      <c r="E319" t="s">
        <v>5824</v>
      </c>
      <c r="F319" t="s">
        <v>5799</v>
      </c>
      <c r="G319">
        <v>7.3</v>
      </c>
      <c r="H319" t="s">
        <v>5191</v>
      </c>
      <c r="I319">
        <v>27.04</v>
      </c>
      <c r="J319">
        <v>197.39</v>
      </c>
    </row>
    <row r="320" spans="1:10" x14ac:dyDescent="0.3">
      <c r="A320">
        <v>10760</v>
      </c>
      <c r="B320" t="s">
        <v>557</v>
      </c>
      <c r="C320" s="452">
        <v>46174</v>
      </c>
      <c r="D320" t="s">
        <v>463</v>
      </c>
      <c r="E320" t="s">
        <v>5824</v>
      </c>
      <c r="F320" t="s">
        <v>5799</v>
      </c>
      <c r="G320">
        <v>2.92</v>
      </c>
      <c r="H320" t="s">
        <v>5191</v>
      </c>
      <c r="I320">
        <v>27.04</v>
      </c>
      <c r="J320">
        <v>78.959999999999994</v>
      </c>
    </row>
    <row r="321" spans="1:10" x14ac:dyDescent="0.3">
      <c r="A321">
        <v>1222</v>
      </c>
      <c r="B321" t="s">
        <v>557</v>
      </c>
      <c r="C321" s="452">
        <v>45658</v>
      </c>
      <c r="D321" t="s">
        <v>730</v>
      </c>
      <c r="E321" t="s">
        <v>5825</v>
      </c>
      <c r="F321" t="s">
        <v>5799</v>
      </c>
      <c r="G321">
        <v>0.87</v>
      </c>
      <c r="H321" t="s">
        <v>5191</v>
      </c>
      <c r="I321">
        <v>7.42</v>
      </c>
      <c r="J321">
        <v>6.46</v>
      </c>
    </row>
    <row r="322" spans="1:10" x14ac:dyDescent="0.3">
      <c r="A322">
        <v>1260</v>
      </c>
      <c r="B322" t="s">
        <v>557</v>
      </c>
      <c r="C322" s="452">
        <v>45658</v>
      </c>
      <c r="D322" t="s">
        <v>730</v>
      </c>
      <c r="E322" t="s">
        <v>5825</v>
      </c>
      <c r="F322" t="s">
        <v>5799</v>
      </c>
      <c r="G322">
        <v>2.62</v>
      </c>
      <c r="H322" t="s">
        <v>5191</v>
      </c>
      <c r="I322">
        <v>7.42</v>
      </c>
      <c r="J322">
        <v>19.440000000000001</v>
      </c>
    </row>
    <row r="323" spans="1:10" x14ac:dyDescent="0.3">
      <c r="A323">
        <v>1377</v>
      </c>
      <c r="B323" t="s">
        <v>557</v>
      </c>
      <c r="C323" s="452">
        <v>45689</v>
      </c>
      <c r="D323" t="s">
        <v>4560</v>
      </c>
      <c r="E323" t="s">
        <v>5825</v>
      </c>
      <c r="F323" t="s">
        <v>5799</v>
      </c>
      <c r="G323">
        <v>0</v>
      </c>
      <c r="H323" t="s">
        <v>5191</v>
      </c>
      <c r="I323">
        <v>7.42</v>
      </c>
      <c r="J323">
        <v>0</v>
      </c>
    </row>
    <row r="324" spans="1:10" x14ac:dyDescent="0.3">
      <c r="A324">
        <v>3175</v>
      </c>
      <c r="B324" t="s">
        <v>557</v>
      </c>
      <c r="C324" s="452">
        <v>45717</v>
      </c>
      <c r="D324" t="s">
        <v>4476</v>
      </c>
      <c r="E324" t="s">
        <v>5825</v>
      </c>
      <c r="F324" t="s">
        <v>5799</v>
      </c>
      <c r="G324">
        <v>0</v>
      </c>
      <c r="H324" t="s">
        <v>5191</v>
      </c>
      <c r="I324">
        <v>7.42</v>
      </c>
      <c r="J324">
        <v>0</v>
      </c>
    </row>
    <row r="325" spans="1:10" x14ac:dyDescent="0.3">
      <c r="A325">
        <v>10777</v>
      </c>
      <c r="B325" t="s">
        <v>557</v>
      </c>
      <c r="C325" s="452">
        <v>46174</v>
      </c>
      <c r="D325" t="s">
        <v>463</v>
      </c>
      <c r="E325" t="s">
        <v>5825</v>
      </c>
      <c r="F325" t="s">
        <v>5799</v>
      </c>
      <c r="G325">
        <v>0.19</v>
      </c>
      <c r="H325" t="s">
        <v>5191</v>
      </c>
      <c r="I325">
        <v>7.42</v>
      </c>
      <c r="J325">
        <v>1.41</v>
      </c>
    </row>
    <row r="326" spans="1:10" x14ac:dyDescent="0.3">
      <c r="A326">
        <v>4402</v>
      </c>
      <c r="B326" t="s">
        <v>557</v>
      </c>
      <c r="C326" s="452">
        <v>45778</v>
      </c>
      <c r="D326" t="s">
        <v>4436</v>
      </c>
      <c r="E326" t="s">
        <v>5826</v>
      </c>
      <c r="F326" t="s">
        <v>5799</v>
      </c>
      <c r="G326">
        <v>0.3</v>
      </c>
      <c r="H326" t="s">
        <v>5191</v>
      </c>
      <c r="I326">
        <v>50.18</v>
      </c>
      <c r="J326">
        <v>15.05</v>
      </c>
    </row>
    <row r="327" spans="1:10" x14ac:dyDescent="0.3">
      <c r="A327">
        <v>4545</v>
      </c>
      <c r="B327" t="s">
        <v>557</v>
      </c>
      <c r="C327" s="452">
        <v>45809</v>
      </c>
      <c r="D327" t="s">
        <v>4434</v>
      </c>
      <c r="E327" t="s">
        <v>5826</v>
      </c>
      <c r="F327" t="s">
        <v>5799</v>
      </c>
      <c r="G327">
        <v>1.86</v>
      </c>
      <c r="H327" t="s">
        <v>5191</v>
      </c>
      <c r="I327">
        <v>50.18</v>
      </c>
      <c r="J327">
        <v>93.33</v>
      </c>
    </row>
    <row r="328" spans="1:10" x14ac:dyDescent="0.3">
      <c r="A328">
        <v>5197</v>
      </c>
      <c r="B328" t="s">
        <v>557</v>
      </c>
      <c r="C328" s="452">
        <v>45839</v>
      </c>
      <c r="D328" t="s">
        <v>3935</v>
      </c>
      <c r="E328" t="s">
        <v>5826</v>
      </c>
      <c r="F328" t="s">
        <v>5799</v>
      </c>
      <c r="G328">
        <v>3.35</v>
      </c>
      <c r="H328" t="s">
        <v>5191</v>
      </c>
      <c r="I328">
        <v>50.18</v>
      </c>
      <c r="J328">
        <v>168.1</v>
      </c>
    </row>
    <row r="329" spans="1:10" x14ac:dyDescent="0.3">
      <c r="A329">
        <v>5698</v>
      </c>
      <c r="B329" t="s">
        <v>557</v>
      </c>
      <c r="C329" s="452">
        <v>45870</v>
      </c>
      <c r="D329" t="s">
        <v>4040</v>
      </c>
      <c r="E329" t="s">
        <v>5826</v>
      </c>
      <c r="F329" t="s">
        <v>5799</v>
      </c>
      <c r="G329">
        <v>1.92</v>
      </c>
      <c r="H329" t="s">
        <v>5191</v>
      </c>
      <c r="I329">
        <v>50.18</v>
      </c>
      <c r="J329">
        <v>96.35</v>
      </c>
    </row>
    <row r="330" spans="1:10" x14ac:dyDescent="0.3">
      <c r="A330">
        <v>6943</v>
      </c>
      <c r="B330" t="s">
        <v>557</v>
      </c>
      <c r="C330" s="452">
        <v>45931</v>
      </c>
      <c r="D330" t="s">
        <v>3999</v>
      </c>
      <c r="E330" t="s">
        <v>5826</v>
      </c>
      <c r="F330" t="s">
        <v>5799</v>
      </c>
      <c r="G330">
        <v>0.89</v>
      </c>
      <c r="H330" t="s">
        <v>5191</v>
      </c>
      <c r="I330">
        <v>4.18</v>
      </c>
      <c r="J330">
        <v>3.72</v>
      </c>
    </row>
    <row r="331" spans="1:10" x14ac:dyDescent="0.3">
      <c r="A331">
        <v>7226</v>
      </c>
      <c r="B331" t="s">
        <v>557</v>
      </c>
      <c r="C331" s="452">
        <v>45962</v>
      </c>
      <c r="D331" t="s">
        <v>751</v>
      </c>
      <c r="E331" t="s">
        <v>5826</v>
      </c>
      <c r="F331" t="s">
        <v>5799</v>
      </c>
      <c r="G331">
        <v>0.2</v>
      </c>
      <c r="H331" t="s">
        <v>5191</v>
      </c>
      <c r="I331">
        <v>4.18</v>
      </c>
      <c r="J331">
        <v>0.84</v>
      </c>
    </row>
    <row r="332" spans="1:10" x14ac:dyDescent="0.3">
      <c r="A332">
        <v>10010</v>
      </c>
      <c r="B332" t="s">
        <v>557</v>
      </c>
      <c r="C332" s="452">
        <v>46143</v>
      </c>
      <c r="D332" t="s">
        <v>462</v>
      </c>
      <c r="E332" t="s">
        <v>5826</v>
      </c>
      <c r="F332" t="s">
        <v>5799</v>
      </c>
      <c r="G332">
        <v>0.9</v>
      </c>
      <c r="H332" t="s">
        <v>5191</v>
      </c>
      <c r="I332">
        <v>4.18</v>
      </c>
      <c r="J332">
        <v>3.76</v>
      </c>
    </row>
    <row r="333" spans="1:10" x14ac:dyDescent="0.3">
      <c r="A333">
        <v>10730</v>
      </c>
      <c r="B333" t="s">
        <v>557</v>
      </c>
      <c r="C333" s="452">
        <v>46174</v>
      </c>
      <c r="D333" t="s">
        <v>463</v>
      </c>
      <c r="E333" t="s">
        <v>5826</v>
      </c>
      <c r="F333" t="s">
        <v>5799</v>
      </c>
      <c r="G333">
        <v>0.65</v>
      </c>
      <c r="H333" t="s">
        <v>5191</v>
      </c>
      <c r="I333">
        <v>4.18</v>
      </c>
      <c r="J333">
        <v>2.72</v>
      </c>
    </row>
    <row r="334" spans="1:10" x14ac:dyDescent="0.3">
      <c r="A334">
        <v>4403</v>
      </c>
      <c r="B334" t="s">
        <v>557</v>
      </c>
      <c r="C334" s="452">
        <v>45778</v>
      </c>
      <c r="D334" t="s">
        <v>4436</v>
      </c>
      <c r="E334" t="s">
        <v>5827</v>
      </c>
      <c r="F334" t="s">
        <v>5799</v>
      </c>
      <c r="G334">
        <v>5.95</v>
      </c>
      <c r="H334" t="s">
        <v>5191</v>
      </c>
      <c r="I334">
        <v>30</v>
      </c>
      <c r="J334">
        <v>178.5</v>
      </c>
    </row>
    <row r="335" spans="1:10" x14ac:dyDescent="0.3">
      <c r="A335">
        <v>8043</v>
      </c>
      <c r="B335" t="s">
        <v>557</v>
      </c>
      <c r="C335" s="452">
        <v>46023</v>
      </c>
      <c r="D335" t="s">
        <v>458</v>
      </c>
      <c r="E335" t="s">
        <v>5827</v>
      </c>
      <c r="F335" t="s">
        <v>5799</v>
      </c>
      <c r="G335">
        <v>7.1</v>
      </c>
      <c r="H335" t="s">
        <v>5191</v>
      </c>
      <c r="I335">
        <v>30</v>
      </c>
      <c r="J335">
        <v>213</v>
      </c>
    </row>
    <row r="336" spans="1:10" x14ac:dyDescent="0.3">
      <c r="A336">
        <v>9469</v>
      </c>
      <c r="B336" t="s">
        <v>557</v>
      </c>
      <c r="C336" s="452">
        <v>46113</v>
      </c>
      <c r="D336" t="s">
        <v>461</v>
      </c>
      <c r="E336" t="s">
        <v>5827</v>
      </c>
      <c r="F336" t="s">
        <v>5799</v>
      </c>
      <c r="G336">
        <v>7.3</v>
      </c>
      <c r="H336" t="s">
        <v>5191</v>
      </c>
      <c r="I336">
        <v>30</v>
      </c>
      <c r="J336">
        <v>219</v>
      </c>
    </row>
    <row r="337" spans="1:10" x14ac:dyDescent="0.3">
      <c r="A337">
        <v>3687</v>
      </c>
      <c r="B337" t="s">
        <v>557</v>
      </c>
      <c r="C337" s="452">
        <v>45748</v>
      </c>
      <c r="D337" t="s">
        <v>4455</v>
      </c>
      <c r="E337" t="s">
        <v>5828</v>
      </c>
      <c r="F337" t="s">
        <v>5799</v>
      </c>
      <c r="G337">
        <v>7.96</v>
      </c>
      <c r="H337" t="s">
        <v>5191</v>
      </c>
      <c r="I337">
        <v>15.14</v>
      </c>
      <c r="J337">
        <v>120.51</v>
      </c>
    </row>
    <row r="338" spans="1:10" x14ac:dyDescent="0.3">
      <c r="A338">
        <v>3837</v>
      </c>
      <c r="B338" t="s">
        <v>557</v>
      </c>
      <c r="C338" s="452">
        <v>45778</v>
      </c>
      <c r="D338" t="s">
        <v>4436</v>
      </c>
      <c r="E338" t="s">
        <v>5828</v>
      </c>
      <c r="F338" t="s">
        <v>5799</v>
      </c>
      <c r="G338">
        <v>3.77</v>
      </c>
      <c r="H338" t="s">
        <v>5191</v>
      </c>
      <c r="I338">
        <v>15.14</v>
      </c>
      <c r="J338">
        <v>57.08</v>
      </c>
    </row>
    <row r="339" spans="1:10" x14ac:dyDescent="0.3">
      <c r="A339">
        <v>4544</v>
      </c>
      <c r="B339" t="s">
        <v>557</v>
      </c>
      <c r="C339" s="452">
        <v>45809</v>
      </c>
      <c r="D339" t="s">
        <v>4434</v>
      </c>
      <c r="E339" t="s">
        <v>5828</v>
      </c>
      <c r="F339" t="s">
        <v>5799</v>
      </c>
      <c r="G339">
        <v>8.26</v>
      </c>
      <c r="H339" t="s">
        <v>5191</v>
      </c>
      <c r="I339">
        <v>15.14</v>
      </c>
      <c r="J339">
        <v>125.06</v>
      </c>
    </row>
    <row r="340" spans="1:10" x14ac:dyDescent="0.3">
      <c r="A340">
        <v>5196</v>
      </c>
      <c r="B340" t="s">
        <v>557</v>
      </c>
      <c r="C340" s="452">
        <v>45839</v>
      </c>
      <c r="D340" t="s">
        <v>3935</v>
      </c>
      <c r="E340" t="s">
        <v>5828</v>
      </c>
      <c r="F340" t="s">
        <v>5799</v>
      </c>
      <c r="G340">
        <v>2.37</v>
      </c>
      <c r="H340" t="s">
        <v>5191</v>
      </c>
      <c r="I340">
        <v>15.14</v>
      </c>
      <c r="J340">
        <v>35.880000000000003</v>
      </c>
    </row>
    <row r="341" spans="1:10" x14ac:dyDescent="0.3">
      <c r="A341">
        <v>5697</v>
      </c>
      <c r="B341" t="s">
        <v>557</v>
      </c>
      <c r="C341" s="452">
        <v>45870</v>
      </c>
      <c r="D341" t="s">
        <v>4040</v>
      </c>
      <c r="E341" t="s">
        <v>5828</v>
      </c>
      <c r="F341" t="s">
        <v>5799</v>
      </c>
      <c r="G341">
        <v>6.99</v>
      </c>
      <c r="H341" t="s">
        <v>5191</v>
      </c>
      <c r="I341">
        <v>15.14</v>
      </c>
      <c r="J341">
        <v>105.83</v>
      </c>
    </row>
    <row r="342" spans="1:10" x14ac:dyDescent="0.3">
      <c r="A342">
        <v>6370</v>
      </c>
      <c r="B342" t="s">
        <v>557</v>
      </c>
      <c r="C342" s="452">
        <v>45901</v>
      </c>
      <c r="D342" t="s">
        <v>4038</v>
      </c>
      <c r="E342" t="s">
        <v>5828</v>
      </c>
      <c r="F342" t="s">
        <v>5799</v>
      </c>
      <c r="G342">
        <v>2.65</v>
      </c>
      <c r="H342" t="s">
        <v>5191</v>
      </c>
      <c r="I342">
        <v>15.14</v>
      </c>
      <c r="J342">
        <v>40.119999999999997</v>
      </c>
    </row>
    <row r="343" spans="1:10" x14ac:dyDescent="0.3">
      <c r="A343">
        <v>6942</v>
      </c>
      <c r="B343" t="s">
        <v>557</v>
      </c>
      <c r="C343" s="452">
        <v>45931</v>
      </c>
      <c r="D343" t="s">
        <v>3999</v>
      </c>
      <c r="E343" t="s">
        <v>5828</v>
      </c>
      <c r="F343" t="s">
        <v>5799</v>
      </c>
      <c r="G343">
        <v>2.4</v>
      </c>
      <c r="H343" t="s">
        <v>5191</v>
      </c>
      <c r="I343">
        <v>15.14</v>
      </c>
      <c r="J343">
        <v>36.340000000000003</v>
      </c>
    </row>
    <row r="344" spans="1:10" x14ac:dyDescent="0.3">
      <c r="A344">
        <v>7225</v>
      </c>
      <c r="B344" t="s">
        <v>557</v>
      </c>
      <c r="C344" s="452">
        <v>45962</v>
      </c>
      <c r="D344" t="s">
        <v>751</v>
      </c>
      <c r="E344" t="s">
        <v>5828</v>
      </c>
      <c r="F344" t="s">
        <v>5799</v>
      </c>
      <c r="G344">
        <v>4.6399999999999997</v>
      </c>
      <c r="H344" t="s">
        <v>5191</v>
      </c>
      <c r="I344">
        <v>15.14</v>
      </c>
      <c r="J344">
        <v>70.25</v>
      </c>
    </row>
    <row r="345" spans="1:10" x14ac:dyDescent="0.3">
      <c r="A345">
        <v>7682</v>
      </c>
      <c r="B345" t="s">
        <v>557</v>
      </c>
      <c r="C345" s="452">
        <v>45992</v>
      </c>
      <c r="D345" t="s">
        <v>753</v>
      </c>
      <c r="E345" t="s">
        <v>5828</v>
      </c>
      <c r="F345" t="s">
        <v>5799</v>
      </c>
      <c r="G345">
        <v>1.1000000000000001</v>
      </c>
      <c r="H345" t="s">
        <v>5191</v>
      </c>
      <c r="I345">
        <v>15.14</v>
      </c>
      <c r="J345">
        <v>16.649999999999999</v>
      </c>
    </row>
    <row r="346" spans="1:10" x14ac:dyDescent="0.3">
      <c r="A346">
        <v>8635</v>
      </c>
      <c r="B346" t="s">
        <v>557</v>
      </c>
      <c r="C346" s="452">
        <v>46054</v>
      </c>
      <c r="D346" t="s">
        <v>459</v>
      </c>
      <c r="E346" t="s">
        <v>5828</v>
      </c>
      <c r="F346" t="s">
        <v>5799</v>
      </c>
      <c r="G346">
        <v>3.34</v>
      </c>
      <c r="H346" t="s">
        <v>5191</v>
      </c>
      <c r="I346">
        <v>15.14</v>
      </c>
      <c r="J346">
        <v>50.57</v>
      </c>
    </row>
    <row r="347" spans="1:10" x14ac:dyDescent="0.3">
      <c r="A347">
        <v>8722</v>
      </c>
      <c r="B347" t="s">
        <v>557</v>
      </c>
      <c r="C347" s="452">
        <v>46082</v>
      </c>
      <c r="D347" t="s">
        <v>460</v>
      </c>
      <c r="E347" t="s">
        <v>5828</v>
      </c>
      <c r="F347" t="s">
        <v>5799</v>
      </c>
      <c r="G347">
        <v>2.9</v>
      </c>
      <c r="H347" t="s">
        <v>5191</v>
      </c>
      <c r="I347">
        <v>15.14</v>
      </c>
      <c r="J347">
        <v>43.91</v>
      </c>
    </row>
    <row r="348" spans="1:10" x14ac:dyDescent="0.3">
      <c r="A348">
        <v>9466</v>
      </c>
      <c r="B348" t="s">
        <v>557</v>
      </c>
      <c r="C348" s="452">
        <v>46113</v>
      </c>
      <c r="D348" t="s">
        <v>461</v>
      </c>
      <c r="E348" t="s">
        <v>5828</v>
      </c>
      <c r="F348" t="s">
        <v>5799</v>
      </c>
      <c r="G348">
        <v>1.2</v>
      </c>
      <c r="H348" t="s">
        <v>5191</v>
      </c>
      <c r="I348">
        <v>15.14</v>
      </c>
      <c r="J348">
        <v>18.170000000000002</v>
      </c>
    </row>
    <row r="349" spans="1:10" x14ac:dyDescent="0.3">
      <c r="A349">
        <v>10009</v>
      </c>
      <c r="B349" t="s">
        <v>557</v>
      </c>
      <c r="C349" s="452">
        <v>46143</v>
      </c>
      <c r="D349" t="s">
        <v>462</v>
      </c>
      <c r="E349" t="s">
        <v>5828</v>
      </c>
      <c r="F349" t="s">
        <v>5799</v>
      </c>
      <c r="G349">
        <v>2.97</v>
      </c>
      <c r="H349" t="s">
        <v>5191</v>
      </c>
      <c r="I349">
        <v>15.14</v>
      </c>
      <c r="J349">
        <v>44.97</v>
      </c>
    </row>
    <row r="350" spans="1:10" x14ac:dyDescent="0.3">
      <c r="A350">
        <v>10747</v>
      </c>
      <c r="B350" t="s">
        <v>557</v>
      </c>
      <c r="C350" s="452">
        <v>46174</v>
      </c>
      <c r="D350" t="s">
        <v>463</v>
      </c>
      <c r="E350" t="s">
        <v>5828</v>
      </c>
      <c r="F350" t="s">
        <v>5799</v>
      </c>
      <c r="G350">
        <v>2.2200000000000002</v>
      </c>
      <c r="H350" t="s">
        <v>5191</v>
      </c>
      <c r="I350">
        <v>15.14</v>
      </c>
      <c r="J350">
        <v>33.61</v>
      </c>
    </row>
    <row r="351" spans="1:10" x14ac:dyDescent="0.3">
      <c r="A351">
        <v>3684</v>
      </c>
      <c r="B351" t="s">
        <v>557</v>
      </c>
      <c r="C351" s="452">
        <v>45748</v>
      </c>
      <c r="D351" t="s">
        <v>4455</v>
      </c>
      <c r="E351" t="s">
        <v>5829</v>
      </c>
      <c r="F351" t="s">
        <v>5799</v>
      </c>
      <c r="G351">
        <v>3</v>
      </c>
      <c r="H351" t="s">
        <v>5191</v>
      </c>
      <c r="I351">
        <v>10.34</v>
      </c>
      <c r="J351">
        <v>31.02</v>
      </c>
    </row>
    <row r="352" spans="1:10" x14ac:dyDescent="0.3">
      <c r="A352">
        <v>3831</v>
      </c>
      <c r="B352" t="s">
        <v>557</v>
      </c>
      <c r="C352" s="452">
        <v>45778</v>
      </c>
      <c r="D352" t="s">
        <v>4436</v>
      </c>
      <c r="E352" t="s">
        <v>5829</v>
      </c>
      <c r="F352" t="s">
        <v>5799</v>
      </c>
      <c r="G352">
        <v>3</v>
      </c>
      <c r="H352" t="s">
        <v>5191</v>
      </c>
      <c r="I352">
        <v>10.34</v>
      </c>
      <c r="J352">
        <v>31.02</v>
      </c>
    </row>
    <row r="353" spans="1:10" x14ac:dyDescent="0.3">
      <c r="A353">
        <v>4539</v>
      </c>
      <c r="B353" t="s">
        <v>557</v>
      </c>
      <c r="C353" s="452">
        <v>45809</v>
      </c>
      <c r="D353" t="s">
        <v>4434</v>
      </c>
      <c r="E353" t="s">
        <v>5829</v>
      </c>
      <c r="F353" t="s">
        <v>5799</v>
      </c>
      <c r="G353">
        <v>1.5</v>
      </c>
      <c r="H353" t="s">
        <v>5191</v>
      </c>
      <c r="I353">
        <v>10.34</v>
      </c>
      <c r="J353">
        <v>15.51</v>
      </c>
    </row>
    <row r="354" spans="1:10" x14ac:dyDescent="0.3">
      <c r="A354">
        <v>5192</v>
      </c>
      <c r="B354" t="s">
        <v>557</v>
      </c>
      <c r="C354" s="452">
        <v>45839</v>
      </c>
      <c r="D354" t="s">
        <v>3935</v>
      </c>
      <c r="E354" t="s">
        <v>5829</v>
      </c>
      <c r="F354" t="s">
        <v>5799</v>
      </c>
      <c r="G354">
        <v>4</v>
      </c>
      <c r="H354" t="s">
        <v>5191</v>
      </c>
      <c r="I354">
        <v>10.34</v>
      </c>
      <c r="J354">
        <v>41.36</v>
      </c>
    </row>
    <row r="355" spans="1:10" x14ac:dyDescent="0.3">
      <c r="A355">
        <v>5691</v>
      </c>
      <c r="B355" t="s">
        <v>557</v>
      </c>
      <c r="C355" s="452">
        <v>45870</v>
      </c>
      <c r="D355" t="s">
        <v>4040</v>
      </c>
      <c r="E355" t="s">
        <v>5829</v>
      </c>
      <c r="F355" t="s">
        <v>5799</v>
      </c>
      <c r="G355">
        <v>4</v>
      </c>
      <c r="H355" t="s">
        <v>5191</v>
      </c>
      <c r="I355">
        <v>10.34</v>
      </c>
      <c r="J355">
        <v>41.36</v>
      </c>
    </row>
    <row r="356" spans="1:10" x14ac:dyDescent="0.3">
      <c r="A356">
        <v>6364</v>
      </c>
      <c r="B356" t="s">
        <v>557</v>
      </c>
      <c r="C356" s="452">
        <v>45901</v>
      </c>
      <c r="D356" t="s">
        <v>4038</v>
      </c>
      <c r="E356" t="s">
        <v>5829</v>
      </c>
      <c r="F356" t="s">
        <v>5799</v>
      </c>
      <c r="G356">
        <v>1</v>
      </c>
      <c r="H356" t="s">
        <v>5191</v>
      </c>
      <c r="I356">
        <v>10.34</v>
      </c>
      <c r="J356">
        <v>10.34</v>
      </c>
    </row>
    <row r="357" spans="1:10" x14ac:dyDescent="0.3">
      <c r="A357">
        <v>6935</v>
      </c>
      <c r="B357" t="s">
        <v>557</v>
      </c>
      <c r="C357" s="452">
        <v>45931</v>
      </c>
      <c r="D357" t="s">
        <v>3999</v>
      </c>
      <c r="E357" t="s">
        <v>5829</v>
      </c>
      <c r="F357" t="s">
        <v>5799</v>
      </c>
      <c r="G357">
        <v>2</v>
      </c>
      <c r="H357" t="s">
        <v>5191</v>
      </c>
      <c r="I357">
        <v>10.34</v>
      </c>
      <c r="J357">
        <v>20.68</v>
      </c>
    </row>
    <row r="358" spans="1:10" x14ac:dyDescent="0.3">
      <c r="A358">
        <v>7219</v>
      </c>
      <c r="B358" t="s">
        <v>557</v>
      </c>
      <c r="C358" s="452">
        <v>45962</v>
      </c>
      <c r="D358" t="s">
        <v>751</v>
      </c>
      <c r="E358" t="s">
        <v>5829</v>
      </c>
      <c r="F358" t="s">
        <v>5799</v>
      </c>
      <c r="G358">
        <v>3</v>
      </c>
      <c r="H358" t="s">
        <v>5191</v>
      </c>
      <c r="I358">
        <v>10.34</v>
      </c>
      <c r="J358">
        <v>31.02</v>
      </c>
    </row>
    <row r="359" spans="1:10" x14ac:dyDescent="0.3">
      <c r="A359">
        <v>7676</v>
      </c>
      <c r="B359" t="s">
        <v>557</v>
      </c>
      <c r="C359" s="452">
        <v>45992</v>
      </c>
      <c r="D359" t="s">
        <v>753</v>
      </c>
      <c r="E359" t="s">
        <v>5829</v>
      </c>
      <c r="F359" t="s">
        <v>5799</v>
      </c>
      <c r="G359">
        <v>4</v>
      </c>
      <c r="H359" t="s">
        <v>5191</v>
      </c>
      <c r="I359">
        <v>10.34</v>
      </c>
      <c r="J359">
        <v>41.36</v>
      </c>
    </row>
    <row r="360" spans="1:10" x14ac:dyDescent="0.3">
      <c r="A360">
        <v>9461</v>
      </c>
      <c r="B360" t="s">
        <v>557</v>
      </c>
      <c r="C360" s="452">
        <v>46113</v>
      </c>
      <c r="D360" t="s">
        <v>461</v>
      </c>
      <c r="E360" t="s">
        <v>5829</v>
      </c>
      <c r="F360" t="s">
        <v>5799</v>
      </c>
      <c r="G360">
        <v>4</v>
      </c>
      <c r="H360" t="s">
        <v>5191</v>
      </c>
      <c r="I360">
        <v>28.23</v>
      </c>
      <c r="J360">
        <v>112.92</v>
      </c>
    </row>
    <row r="361" spans="1:10" x14ac:dyDescent="0.3">
      <c r="A361">
        <v>10002</v>
      </c>
      <c r="B361" t="s">
        <v>557</v>
      </c>
      <c r="C361" s="452">
        <v>46143</v>
      </c>
      <c r="D361" t="s">
        <v>462</v>
      </c>
      <c r="E361" t="s">
        <v>5829</v>
      </c>
      <c r="F361" t="s">
        <v>5799</v>
      </c>
      <c r="G361">
        <v>3</v>
      </c>
      <c r="H361" t="s">
        <v>5191</v>
      </c>
      <c r="I361">
        <v>28.23</v>
      </c>
      <c r="J361">
        <v>84.69</v>
      </c>
    </row>
    <row r="362" spans="1:10" x14ac:dyDescent="0.3">
      <c r="A362">
        <v>10761</v>
      </c>
      <c r="B362" t="s">
        <v>557</v>
      </c>
      <c r="C362" s="452">
        <v>46174</v>
      </c>
      <c r="D362" t="s">
        <v>463</v>
      </c>
      <c r="E362" t="s">
        <v>5829</v>
      </c>
      <c r="F362" t="s">
        <v>5799</v>
      </c>
      <c r="G362">
        <v>4</v>
      </c>
      <c r="H362" t="s">
        <v>5191</v>
      </c>
      <c r="I362">
        <v>28.23</v>
      </c>
      <c r="J362">
        <v>112.92</v>
      </c>
    </row>
    <row r="363" spans="1:10" x14ac:dyDescent="0.3">
      <c r="A363">
        <v>4405</v>
      </c>
      <c r="B363" t="s">
        <v>557</v>
      </c>
      <c r="C363" s="452">
        <v>45778</v>
      </c>
      <c r="D363" t="s">
        <v>4436</v>
      </c>
      <c r="E363" t="s">
        <v>5830</v>
      </c>
      <c r="F363" t="s">
        <v>5799</v>
      </c>
      <c r="G363">
        <v>2</v>
      </c>
      <c r="H363" t="s">
        <v>5191</v>
      </c>
      <c r="I363">
        <v>4.16</v>
      </c>
      <c r="J363">
        <v>8.32</v>
      </c>
    </row>
    <row r="364" spans="1:10" x14ac:dyDescent="0.3">
      <c r="A364">
        <v>4566</v>
      </c>
      <c r="B364" t="s">
        <v>557</v>
      </c>
      <c r="C364" s="452">
        <v>45809</v>
      </c>
      <c r="D364" t="s">
        <v>4434</v>
      </c>
      <c r="E364" t="s">
        <v>5830</v>
      </c>
      <c r="F364" t="s">
        <v>5799</v>
      </c>
      <c r="G364">
        <v>8</v>
      </c>
      <c r="H364" t="s">
        <v>5191</v>
      </c>
      <c r="I364">
        <v>4.16</v>
      </c>
      <c r="J364">
        <v>33.28</v>
      </c>
    </row>
    <row r="365" spans="1:10" x14ac:dyDescent="0.3">
      <c r="A365">
        <v>5219</v>
      </c>
      <c r="B365" t="s">
        <v>557</v>
      </c>
      <c r="C365" s="452">
        <v>45839</v>
      </c>
      <c r="D365" t="s">
        <v>3935</v>
      </c>
      <c r="E365" t="s">
        <v>5830</v>
      </c>
      <c r="F365" t="s">
        <v>5799</v>
      </c>
      <c r="G365">
        <v>6</v>
      </c>
      <c r="H365" t="s">
        <v>5191</v>
      </c>
      <c r="I365">
        <v>4.16</v>
      </c>
      <c r="J365">
        <v>24.96</v>
      </c>
    </row>
    <row r="366" spans="1:10" x14ac:dyDescent="0.3">
      <c r="A366">
        <v>5721</v>
      </c>
      <c r="B366" t="s">
        <v>557</v>
      </c>
      <c r="C366" s="452">
        <v>45870</v>
      </c>
      <c r="D366" t="s">
        <v>4040</v>
      </c>
      <c r="E366" t="s">
        <v>5830</v>
      </c>
      <c r="F366" t="s">
        <v>5799</v>
      </c>
      <c r="G366">
        <v>5</v>
      </c>
      <c r="H366" t="s">
        <v>5191</v>
      </c>
      <c r="I366">
        <v>4.16</v>
      </c>
      <c r="J366">
        <v>20.8</v>
      </c>
    </row>
    <row r="367" spans="1:10" x14ac:dyDescent="0.3">
      <c r="A367">
        <v>6391</v>
      </c>
      <c r="B367" t="s">
        <v>557</v>
      </c>
      <c r="C367" s="452">
        <v>45901</v>
      </c>
      <c r="D367" t="s">
        <v>4038</v>
      </c>
      <c r="E367" t="s">
        <v>5830</v>
      </c>
      <c r="F367" t="s">
        <v>5799</v>
      </c>
      <c r="G367">
        <v>8</v>
      </c>
      <c r="H367" t="s">
        <v>5191</v>
      </c>
      <c r="I367">
        <v>4.16</v>
      </c>
      <c r="J367">
        <v>33.28</v>
      </c>
    </row>
    <row r="368" spans="1:10" x14ac:dyDescent="0.3">
      <c r="A368">
        <v>6959</v>
      </c>
      <c r="B368" t="s">
        <v>557</v>
      </c>
      <c r="C368" s="452">
        <v>45931</v>
      </c>
      <c r="D368" t="s">
        <v>3999</v>
      </c>
      <c r="E368" t="s">
        <v>5830</v>
      </c>
      <c r="F368" t="s">
        <v>5799</v>
      </c>
      <c r="G368">
        <v>4</v>
      </c>
      <c r="H368" t="s">
        <v>5191</v>
      </c>
      <c r="I368">
        <v>4.16</v>
      </c>
      <c r="J368">
        <v>16.64</v>
      </c>
    </row>
    <row r="369" spans="1:10" x14ac:dyDescent="0.3">
      <c r="A369">
        <v>7242</v>
      </c>
      <c r="B369" t="s">
        <v>557</v>
      </c>
      <c r="C369" s="452">
        <v>45962</v>
      </c>
      <c r="D369" t="s">
        <v>751</v>
      </c>
      <c r="E369" t="s">
        <v>5830</v>
      </c>
      <c r="F369" t="s">
        <v>5799</v>
      </c>
      <c r="G369">
        <v>5</v>
      </c>
      <c r="H369" t="s">
        <v>5191</v>
      </c>
      <c r="I369">
        <v>4.16</v>
      </c>
      <c r="J369">
        <v>20.8</v>
      </c>
    </row>
    <row r="370" spans="1:10" x14ac:dyDescent="0.3">
      <c r="A370">
        <v>8653</v>
      </c>
      <c r="B370" t="s">
        <v>557</v>
      </c>
      <c r="C370" s="452">
        <v>46054</v>
      </c>
      <c r="D370" t="s">
        <v>459</v>
      </c>
      <c r="E370" t="s">
        <v>5830</v>
      </c>
      <c r="F370" t="s">
        <v>5799</v>
      </c>
      <c r="G370">
        <v>7</v>
      </c>
      <c r="H370" t="s">
        <v>5191</v>
      </c>
      <c r="I370">
        <v>4.16</v>
      </c>
      <c r="J370">
        <v>29.12</v>
      </c>
    </row>
    <row r="371" spans="1:10" x14ac:dyDescent="0.3">
      <c r="A371">
        <v>8745</v>
      </c>
      <c r="B371" t="s">
        <v>557</v>
      </c>
      <c r="C371" s="452">
        <v>46082</v>
      </c>
      <c r="D371" t="s">
        <v>460</v>
      </c>
      <c r="E371" t="s">
        <v>5830</v>
      </c>
      <c r="F371" t="s">
        <v>5799</v>
      </c>
      <c r="G371">
        <v>4</v>
      </c>
      <c r="H371" t="s">
        <v>5191</v>
      </c>
      <c r="I371">
        <v>4.16</v>
      </c>
      <c r="J371">
        <v>16.64</v>
      </c>
    </row>
    <row r="372" spans="1:10" x14ac:dyDescent="0.3">
      <c r="A372">
        <v>10032</v>
      </c>
      <c r="B372" t="s">
        <v>557</v>
      </c>
      <c r="C372" s="452">
        <v>46143</v>
      </c>
      <c r="D372" t="s">
        <v>462</v>
      </c>
      <c r="E372" t="s">
        <v>5830</v>
      </c>
      <c r="F372" t="s">
        <v>5799</v>
      </c>
      <c r="G372">
        <v>6</v>
      </c>
      <c r="H372" t="s">
        <v>5191</v>
      </c>
      <c r="I372">
        <v>7.64</v>
      </c>
      <c r="J372">
        <v>45.84</v>
      </c>
    </row>
    <row r="373" spans="1:10" x14ac:dyDescent="0.3">
      <c r="A373">
        <v>10738</v>
      </c>
      <c r="B373" t="s">
        <v>557</v>
      </c>
      <c r="C373" s="452">
        <v>46174</v>
      </c>
      <c r="D373" t="s">
        <v>463</v>
      </c>
      <c r="E373" t="s">
        <v>5830</v>
      </c>
      <c r="F373" t="s">
        <v>5799</v>
      </c>
      <c r="G373">
        <v>4</v>
      </c>
      <c r="H373" t="s">
        <v>5191</v>
      </c>
      <c r="I373">
        <v>7.64</v>
      </c>
      <c r="J373">
        <v>30.56</v>
      </c>
    </row>
    <row r="374" spans="1:10" x14ac:dyDescent="0.3">
      <c r="A374">
        <v>3683</v>
      </c>
      <c r="B374" t="s">
        <v>557</v>
      </c>
      <c r="C374" s="452">
        <v>45748</v>
      </c>
      <c r="D374" t="s">
        <v>4455</v>
      </c>
      <c r="E374" t="s">
        <v>5831</v>
      </c>
      <c r="F374" t="s">
        <v>5799</v>
      </c>
      <c r="G374">
        <v>4.5</v>
      </c>
      <c r="H374" t="s">
        <v>5191</v>
      </c>
      <c r="I374">
        <v>4.7300000000000004</v>
      </c>
      <c r="J374">
        <v>21.29</v>
      </c>
    </row>
    <row r="375" spans="1:10" x14ac:dyDescent="0.3">
      <c r="A375">
        <v>3826</v>
      </c>
      <c r="B375" t="s">
        <v>557</v>
      </c>
      <c r="C375" s="452">
        <v>45778</v>
      </c>
      <c r="D375" t="s">
        <v>4436</v>
      </c>
      <c r="E375" t="s">
        <v>5831</v>
      </c>
      <c r="F375" t="s">
        <v>5799</v>
      </c>
      <c r="G375">
        <v>5</v>
      </c>
      <c r="H375" t="s">
        <v>5191</v>
      </c>
      <c r="I375">
        <v>4.7300000000000004</v>
      </c>
      <c r="J375">
        <v>23.65</v>
      </c>
    </row>
    <row r="376" spans="1:10" x14ac:dyDescent="0.3">
      <c r="A376">
        <v>4533</v>
      </c>
      <c r="B376" t="s">
        <v>557</v>
      </c>
      <c r="C376" s="452">
        <v>45809</v>
      </c>
      <c r="D376" t="s">
        <v>4434</v>
      </c>
      <c r="E376" t="s">
        <v>5831</v>
      </c>
      <c r="F376" t="s">
        <v>5799</v>
      </c>
      <c r="G376">
        <v>4</v>
      </c>
      <c r="H376" t="s">
        <v>5191</v>
      </c>
      <c r="I376">
        <v>4.7300000000000004</v>
      </c>
      <c r="J376">
        <v>18.920000000000002</v>
      </c>
    </row>
    <row r="377" spans="1:10" x14ac:dyDescent="0.3">
      <c r="A377">
        <v>5186</v>
      </c>
      <c r="B377" t="s">
        <v>557</v>
      </c>
      <c r="C377" s="452">
        <v>45839</v>
      </c>
      <c r="D377" t="s">
        <v>3935</v>
      </c>
      <c r="E377" t="s">
        <v>5831</v>
      </c>
      <c r="F377" t="s">
        <v>5799</v>
      </c>
      <c r="G377">
        <v>7</v>
      </c>
      <c r="H377" t="s">
        <v>5191</v>
      </c>
      <c r="I377">
        <v>4.7300000000000004</v>
      </c>
      <c r="J377">
        <v>33.11</v>
      </c>
    </row>
    <row r="378" spans="1:10" x14ac:dyDescent="0.3">
      <c r="A378">
        <v>5685</v>
      </c>
      <c r="B378" t="s">
        <v>557</v>
      </c>
      <c r="C378" s="452">
        <v>45870</v>
      </c>
      <c r="D378" t="s">
        <v>4040</v>
      </c>
      <c r="E378" t="s">
        <v>5831</v>
      </c>
      <c r="F378" t="s">
        <v>5799</v>
      </c>
      <c r="G378">
        <v>6</v>
      </c>
      <c r="H378" t="s">
        <v>5191</v>
      </c>
      <c r="I378">
        <v>4.7300000000000004</v>
      </c>
      <c r="J378">
        <v>28.38</v>
      </c>
    </row>
    <row r="379" spans="1:10" x14ac:dyDescent="0.3">
      <c r="A379">
        <v>6358</v>
      </c>
      <c r="B379" t="s">
        <v>557</v>
      </c>
      <c r="C379" s="452">
        <v>45901</v>
      </c>
      <c r="D379" t="s">
        <v>4038</v>
      </c>
      <c r="E379" t="s">
        <v>5831</v>
      </c>
      <c r="F379" t="s">
        <v>5799</v>
      </c>
      <c r="G379">
        <v>7</v>
      </c>
      <c r="H379" t="s">
        <v>5191</v>
      </c>
      <c r="I379">
        <v>4.7300000000000004</v>
      </c>
      <c r="J379">
        <v>33.11</v>
      </c>
    </row>
    <row r="380" spans="1:10" x14ac:dyDescent="0.3">
      <c r="A380">
        <v>6929</v>
      </c>
      <c r="B380" t="s">
        <v>557</v>
      </c>
      <c r="C380" s="452">
        <v>45931</v>
      </c>
      <c r="D380" t="s">
        <v>3999</v>
      </c>
      <c r="E380" t="s">
        <v>5831</v>
      </c>
      <c r="F380" t="s">
        <v>5799</v>
      </c>
      <c r="G380">
        <v>2</v>
      </c>
      <c r="H380" t="s">
        <v>5191</v>
      </c>
      <c r="I380">
        <v>4.7300000000000004</v>
      </c>
      <c r="J380">
        <v>9.4600000000000009</v>
      </c>
    </row>
    <row r="381" spans="1:10" x14ac:dyDescent="0.3">
      <c r="A381">
        <v>7213</v>
      </c>
      <c r="B381" t="s">
        <v>557</v>
      </c>
      <c r="C381" s="452">
        <v>45962</v>
      </c>
      <c r="D381" t="s">
        <v>751</v>
      </c>
      <c r="E381" t="s">
        <v>5831</v>
      </c>
      <c r="F381" t="s">
        <v>5799</v>
      </c>
      <c r="G381">
        <v>5</v>
      </c>
      <c r="H381" t="s">
        <v>5191</v>
      </c>
      <c r="I381">
        <v>4.7300000000000004</v>
      </c>
      <c r="J381">
        <v>23.65</v>
      </c>
    </row>
    <row r="382" spans="1:10" x14ac:dyDescent="0.3">
      <c r="A382">
        <v>7671</v>
      </c>
      <c r="B382" t="s">
        <v>557</v>
      </c>
      <c r="C382" s="452">
        <v>45992</v>
      </c>
      <c r="D382" t="s">
        <v>753</v>
      </c>
      <c r="E382" t="s">
        <v>5831</v>
      </c>
      <c r="F382" t="s">
        <v>5799</v>
      </c>
      <c r="G382">
        <v>4</v>
      </c>
      <c r="H382" t="s">
        <v>5191</v>
      </c>
      <c r="I382">
        <v>4.7300000000000004</v>
      </c>
      <c r="J382">
        <v>18.920000000000002</v>
      </c>
    </row>
    <row r="383" spans="1:10" x14ac:dyDescent="0.3">
      <c r="A383">
        <v>8713</v>
      </c>
      <c r="B383" t="s">
        <v>557</v>
      </c>
      <c r="C383" s="452">
        <v>46082</v>
      </c>
      <c r="D383" t="s">
        <v>460</v>
      </c>
      <c r="E383" t="s">
        <v>5831</v>
      </c>
      <c r="F383" t="s">
        <v>5799</v>
      </c>
      <c r="G383">
        <v>5</v>
      </c>
      <c r="H383" t="s">
        <v>5191</v>
      </c>
      <c r="I383">
        <v>4.7300000000000004</v>
      </c>
      <c r="J383">
        <v>23.65</v>
      </c>
    </row>
    <row r="384" spans="1:10" x14ac:dyDescent="0.3">
      <c r="A384">
        <v>9454</v>
      </c>
      <c r="B384" t="s">
        <v>557</v>
      </c>
      <c r="C384" s="452">
        <v>46113</v>
      </c>
      <c r="D384" t="s">
        <v>461</v>
      </c>
      <c r="E384" t="s">
        <v>5831</v>
      </c>
      <c r="F384" t="s">
        <v>5799</v>
      </c>
      <c r="G384">
        <v>5</v>
      </c>
      <c r="H384" t="s">
        <v>5191</v>
      </c>
      <c r="I384">
        <v>4.7300000000000004</v>
      </c>
      <c r="J384">
        <v>23.65</v>
      </c>
    </row>
    <row r="385" spans="1:10" x14ac:dyDescent="0.3">
      <c r="A385">
        <v>9995</v>
      </c>
      <c r="B385" t="s">
        <v>557</v>
      </c>
      <c r="C385" s="452">
        <v>46143</v>
      </c>
      <c r="D385" t="s">
        <v>462</v>
      </c>
      <c r="E385" t="s">
        <v>5831</v>
      </c>
      <c r="F385" t="s">
        <v>5799</v>
      </c>
      <c r="G385">
        <v>4</v>
      </c>
      <c r="H385" t="s">
        <v>5191</v>
      </c>
      <c r="I385">
        <v>4.7300000000000004</v>
      </c>
      <c r="J385">
        <v>18.920000000000002</v>
      </c>
    </row>
    <row r="386" spans="1:10" x14ac:dyDescent="0.3">
      <c r="A386">
        <v>10734</v>
      </c>
      <c r="B386" t="s">
        <v>557</v>
      </c>
      <c r="C386" s="452">
        <v>46174</v>
      </c>
      <c r="D386" t="s">
        <v>463</v>
      </c>
      <c r="E386" t="s">
        <v>5831</v>
      </c>
      <c r="F386" t="s">
        <v>5799</v>
      </c>
      <c r="G386">
        <v>3</v>
      </c>
      <c r="H386" t="s">
        <v>5191</v>
      </c>
      <c r="I386">
        <v>4.7300000000000004</v>
      </c>
      <c r="J386">
        <v>14.19</v>
      </c>
    </row>
    <row r="387" spans="1:10" x14ac:dyDescent="0.3">
      <c r="A387">
        <v>3682</v>
      </c>
      <c r="B387" t="s">
        <v>557</v>
      </c>
      <c r="C387" s="452">
        <v>45748</v>
      </c>
      <c r="D387" t="s">
        <v>4455</v>
      </c>
      <c r="E387" t="s">
        <v>5832</v>
      </c>
      <c r="F387" t="s">
        <v>5799</v>
      </c>
      <c r="G387">
        <v>1.5</v>
      </c>
      <c r="H387" t="s">
        <v>5191</v>
      </c>
      <c r="I387">
        <v>9.33</v>
      </c>
      <c r="J387">
        <v>14</v>
      </c>
    </row>
    <row r="388" spans="1:10" x14ac:dyDescent="0.3">
      <c r="A388">
        <v>3825</v>
      </c>
      <c r="B388" t="s">
        <v>557</v>
      </c>
      <c r="C388" s="452">
        <v>45778</v>
      </c>
      <c r="D388" t="s">
        <v>4436</v>
      </c>
      <c r="E388" t="s">
        <v>5832</v>
      </c>
      <c r="F388" t="s">
        <v>5799</v>
      </c>
      <c r="G388">
        <v>6</v>
      </c>
      <c r="H388" t="s">
        <v>5191</v>
      </c>
      <c r="I388">
        <v>9.33</v>
      </c>
      <c r="J388">
        <v>55.98</v>
      </c>
    </row>
    <row r="389" spans="1:10" x14ac:dyDescent="0.3">
      <c r="A389">
        <v>4532</v>
      </c>
      <c r="B389" t="s">
        <v>557</v>
      </c>
      <c r="C389" s="452">
        <v>45809</v>
      </c>
      <c r="D389" t="s">
        <v>4434</v>
      </c>
      <c r="E389" t="s">
        <v>5832</v>
      </c>
      <c r="F389" t="s">
        <v>5799</v>
      </c>
      <c r="G389">
        <v>7</v>
      </c>
      <c r="H389" t="s">
        <v>5191</v>
      </c>
      <c r="I389">
        <v>9.33</v>
      </c>
      <c r="J389">
        <v>65.31</v>
      </c>
    </row>
    <row r="390" spans="1:10" x14ac:dyDescent="0.3">
      <c r="A390">
        <v>5185</v>
      </c>
      <c r="B390" t="s">
        <v>557</v>
      </c>
      <c r="C390" s="452">
        <v>45839</v>
      </c>
      <c r="D390" t="s">
        <v>3935</v>
      </c>
      <c r="E390" t="s">
        <v>5832</v>
      </c>
      <c r="F390" t="s">
        <v>5799</v>
      </c>
      <c r="G390">
        <v>6</v>
      </c>
      <c r="H390" t="s">
        <v>5191</v>
      </c>
      <c r="I390">
        <v>9.33</v>
      </c>
      <c r="J390">
        <v>55.98</v>
      </c>
    </row>
    <row r="391" spans="1:10" x14ac:dyDescent="0.3">
      <c r="A391">
        <v>5684</v>
      </c>
      <c r="B391" t="s">
        <v>557</v>
      </c>
      <c r="C391" s="452">
        <v>45870</v>
      </c>
      <c r="D391" t="s">
        <v>4040</v>
      </c>
      <c r="E391" t="s">
        <v>5832</v>
      </c>
      <c r="F391" t="s">
        <v>5799</v>
      </c>
      <c r="G391">
        <v>3</v>
      </c>
      <c r="H391" t="s">
        <v>5191</v>
      </c>
      <c r="I391">
        <v>9.33</v>
      </c>
      <c r="J391">
        <v>27.99</v>
      </c>
    </row>
    <row r="392" spans="1:10" x14ac:dyDescent="0.3">
      <c r="A392">
        <v>6357</v>
      </c>
      <c r="B392" t="s">
        <v>557</v>
      </c>
      <c r="C392" s="452">
        <v>45901</v>
      </c>
      <c r="D392" t="s">
        <v>4038</v>
      </c>
      <c r="E392" t="s">
        <v>5832</v>
      </c>
      <c r="F392" t="s">
        <v>5799</v>
      </c>
      <c r="G392">
        <v>7</v>
      </c>
      <c r="H392" t="s">
        <v>5191</v>
      </c>
      <c r="I392">
        <v>9.33</v>
      </c>
      <c r="J392">
        <v>65.31</v>
      </c>
    </row>
    <row r="393" spans="1:10" x14ac:dyDescent="0.3">
      <c r="A393">
        <v>6928</v>
      </c>
      <c r="B393" t="s">
        <v>557</v>
      </c>
      <c r="C393" s="452">
        <v>45931</v>
      </c>
      <c r="D393" t="s">
        <v>3999</v>
      </c>
      <c r="E393" t="s">
        <v>5832</v>
      </c>
      <c r="F393" t="s">
        <v>5799</v>
      </c>
      <c r="G393">
        <v>2</v>
      </c>
      <c r="H393" t="s">
        <v>5191</v>
      </c>
      <c r="I393">
        <v>9.33</v>
      </c>
      <c r="J393">
        <v>18.66</v>
      </c>
    </row>
    <row r="394" spans="1:10" x14ac:dyDescent="0.3">
      <c r="A394">
        <v>7212</v>
      </c>
      <c r="B394" t="s">
        <v>557</v>
      </c>
      <c r="C394" s="452">
        <v>45962</v>
      </c>
      <c r="D394" t="s">
        <v>751</v>
      </c>
      <c r="E394" t="s">
        <v>5832</v>
      </c>
      <c r="F394" t="s">
        <v>5799</v>
      </c>
      <c r="G394">
        <v>5</v>
      </c>
      <c r="H394" t="s">
        <v>5191</v>
      </c>
      <c r="I394">
        <v>9.33</v>
      </c>
      <c r="J394">
        <v>46.65</v>
      </c>
    </row>
    <row r="395" spans="1:10" x14ac:dyDescent="0.3">
      <c r="A395">
        <v>7670</v>
      </c>
      <c r="B395" t="s">
        <v>557</v>
      </c>
      <c r="C395" s="452">
        <v>45992</v>
      </c>
      <c r="D395" t="s">
        <v>753</v>
      </c>
      <c r="E395" t="s">
        <v>5832</v>
      </c>
      <c r="F395" t="s">
        <v>5799</v>
      </c>
      <c r="G395">
        <v>4</v>
      </c>
      <c r="H395" t="s">
        <v>5191</v>
      </c>
      <c r="I395">
        <v>9.33</v>
      </c>
      <c r="J395">
        <v>37.32</v>
      </c>
    </row>
    <row r="396" spans="1:10" x14ac:dyDescent="0.3">
      <c r="A396">
        <v>8712</v>
      </c>
      <c r="B396" t="s">
        <v>557</v>
      </c>
      <c r="C396" s="452">
        <v>46082</v>
      </c>
      <c r="D396" t="s">
        <v>460</v>
      </c>
      <c r="E396" t="s">
        <v>5832</v>
      </c>
      <c r="F396" t="s">
        <v>5799</v>
      </c>
      <c r="G396">
        <v>4</v>
      </c>
      <c r="H396" t="s">
        <v>5191</v>
      </c>
      <c r="I396">
        <v>9.33</v>
      </c>
      <c r="J396">
        <v>37.32</v>
      </c>
    </row>
    <row r="397" spans="1:10" x14ac:dyDescent="0.3">
      <c r="A397">
        <v>9453</v>
      </c>
      <c r="B397" t="s">
        <v>557</v>
      </c>
      <c r="C397" s="452">
        <v>46113</v>
      </c>
      <c r="D397" t="s">
        <v>461</v>
      </c>
      <c r="E397" t="s">
        <v>5832</v>
      </c>
      <c r="F397" t="s">
        <v>5799</v>
      </c>
      <c r="G397">
        <v>5</v>
      </c>
      <c r="H397" t="s">
        <v>5191</v>
      </c>
      <c r="I397">
        <v>9.33</v>
      </c>
      <c r="J397">
        <v>46.65</v>
      </c>
    </row>
    <row r="398" spans="1:10" x14ac:dyDescent="0.3">
      <c r="A398">
        <v>9994</v>
      </c>
      <c r="B398" t="s">
        <v>557</v>
      </c>
      <c r="C398" s="452">
        <v>46143</v>
      </c>
      <c r="D398" t="s">
        <v>462</v>
      </c>
      <c r="E398" t="s">
        <v>5832</v>
      </c>
      <c r="F398" t="s">
        <v>5799</v>
      </c>
      <c r="G398">
        <v>5</v>
      </c>
      <c r="H398" t="s">
        <v>5191</v>
      </c>
      <c r="I398">
        <v>9.33</v>
      </c>
      <c r="J398">
        <v>46.65</v>
      </c>
    </row>
    <row r="399" spans="1:10" x14ac:dyDescent="0.3">
      <c r="A399">
        <v>10740</v>
      </c>
      <c r="B399" t="s">
        <v>557</v>
      </c>
      <c r="C399" s="452">
        <v>46174</v>
      </c>
      <c r="D399" t="s">
        <v>463</v>
      </c>
      <c r="E399" t="s">
        <v>5832</v>
      </c>
      <c r="F399" t="s">
        <v>5799</v>
      </c>
      <c r="G399">
        <v>3</v>
      </c>
      <c r="H399" t="s">
        <v>5191</v>
      </c>
      <c r="I399">
        <v>9.33</v>
      </c>
      <c r="J399">
        <v>27.99</v>
      </c>
    </row>
    <row r="400" spans="1:10" x14ac:dyDescent="0.3">
      <c r="A400">
        <v>8654</v>
      </c>
      <c r="B400" t="s">
        <v>557</v>
      </c>
      <c r="C400" s="452">
        <v>46054</v>
      </c>
      <c r="D400" t="s">
        <v>459</v>
      </c>
      <c r="E400" t="s">
        <v>5833</v>
      </c>
      <c r="F400" t="s">
        <v>5799</v>
      </c>
      <c r="G400">
        <v>1</v>
      </c>
      <c r="H400" t="s">
        <v>5191</v>
      </c>
      <c r="I400">
        <v>17.100000000000001</v>
      </c>
      <c r="J400">
        <v>17.100000000000001</v>
      </c>
    </row>
    <row r="401" spans="1:10" x14ac:dyDescent="0.3">
      <c r="A401">
        <v>10033</v>
      </c>
      <c r="B401" t="s">
        <v>557</v>
      </c>
      <c r="C401" s="452">
        <v>46143</v>
      </c>
      <c r="D401" t="s">
        <v>462</v>
      </c>
      <c r="E401" t="s">
        <v>5833</v>
      </c>
      <c r="F401" t="s">
        <v>5799</v>
      </c>
      <c r="G401">
        <v>0.77</v>
      </c>
      <c r="H401" t="s">
        <v>5191</v>
      </c>
      <c r="I401">
        <v>17.100000000000001</v>
      </c>
      <c r="J401">
        <v>13.17</v>
      </c>
    </row>
    <row r="402" spans="1:10" x14ac:dyDescent="0.3">
      <c r="A402">
        <v>10749</v>
      </c>
      <c r="B402" t="s">
        <v>557</v>
      </c>
      <c r="C402" s="452">
        <v>46174</v>
      </c>
      <c r="D402" t="s">
        <v>463</v>
      </c>
      <c r="E402" t="s">
        <v>5833</v>
      </c>
      <c r="F402" t="s">
        <v>5799</v>
      </c>
      <c r="G402">
        <v>1</v>
      </c>
      <c r="H402" t="s">
        <v>5191</v>
      </c>
      <c r="I402">
        <v>17.100000000000001</v>
      </c>
      <c r="J402">
        <v>17.100000000000001</v>
      </c>
    </row>
    <row r="403" spans="1:10" x14ac:dyDescent="0.3">
      <c r="A403">
        <v>4400</v>
      </c>
      <c r="B403" t="s">
        <v>557</v>
      </c>
      <c r="C403" s="452">
        <v>45778</v>
      </c>
      <c r="D403" t="s">
        <v>4436</v>
      </c>
      <c r="E403" t="s">
        <v>5834</v>
      </c>
      <c r="F403" t="s">
        <v>5799</v>
      </c>
      <c r="G403">
        <v>0.4</v>
      </c>
      <c r="H403" t="s">
        <v>5191</v>
      </c>
      <c r="I403">
        <v>15.04</v>
      </c>
      <c r="J403">
        <v>6.02</v>
      </c>
    </row>
    <row r="404" spans="1:10" x14ac:dyDescent="0.3">
      <c r="A404">
        <v>4531</v>
      </c>
      <c r="B404" t="s">
        <v>557</v>
      </c>
      <c r="C404" s="452">
        <v>45809</v>
      </c>
      <c r="D404" t="s">
        <v>4434</v>
      </c>
      <c r="E404" t="s">
        <v>5834</v>
      </c>
      <c r="F404" t="s">
        <v>5799</v>
      </c>
      <c r="G404">
        <v>0.4</v>
      </c>
      <c r="H404" t="s">
        <v>5191</v>
      </c>
      <c r="I404">
        <v>15.04</v>
      </c>
      <c r="J404">
        <v>6.02</v>
      </c>
    </row>
    <row r="405" spans="1:10" x14ac:dyDescent="0.3">
      <c r="A405">
        <v>9991</v>
      </c>
      <c r="B405" t="s">
        <v>557</v>
      </c>
      <c r="C405" s="452">
        <v>46143</v>
      </c>
      <c r="D405" t="s">
        <v>462</v>
      </c>
      <c r="E405" t="s">
        <v>5834</v>
      </c>
      <c r="F405" t="s">
        <v>5799</v>
      </c>
      <c r="G405">
        <v>0.63</v>
      </c>
      <c r="H405" t="s">
        <v>5191</v>
      </c>
      <c r="I405">
        <v>15.04</v>
      </c>
      <c r="J405">
        <v>9.48</v>
      </c>
    </row>
    <row r="406" spans="1:10" x14ac:dyDescent="0.3">
      <c r="A406">
        <v>10745</v>
      </c>
      <c r="B406" t="s">
        <v>557</v>
      </c>
      <c r="C406" s="452">
        <v>46174</v>
      </c>
      <c r="D406" t="s">
        <v>463</v>
      </c>
      <c r="E406" t="s">
        <v>5834</v>
      </c>
      <c r="F406" t="s">
        <v>5799</v>
      </c>
      <c r="G406">
        <v>1</v>
      </c>
      <c r="H406" t="s">
        <v>5191</v>
      </c>
      <c r="I406">
        <v>15.04</v>
      </c>
      <c r="J406">
        <v>15.04</v>
      </c>
    </row>
    <row r="407" spans="1:10" x14ac:dyDescent="0.3">
      <c r="A407">
        <v>3685</v>
      </c>
      <c r="B407" t="s">
        <v>557</v>
      </c>
      <c r="C407" s="452">
        <v>45748</v>
      </c>
      <c r="D407" t="s">
        <v>4455</v>
      </c>
      <c r="E407" t="s">
        <v>5835</v>
      </c>
      <c r="F407" t="s">
        <v>5799</v>
      </c>
      <c r="G407">
        <v>0.52</v>
      </c>
      <c r="H407" t="s">
        <v>5191</v>
      </c>
      <c r="I407">
        <v>20</v>
      </c>
      <c r="J407">
        <v>10.4</v>
      </c>
    </row>
    <row r="408" spans="1:10" x14ac:dyDescent="0.3">
      <c r="A408">
        <v>3832</v>
      </c>
      <c r="B408" t="s">
        <v>557</v>
      </c>
      <c r="C408" s="452">
        <v>45778</v>
      </c>
      <c r="D408" t="s">
        <v>4436</v>
      </c>
      <c r="E408" t="s">
        <v>5835</v>
      </c>
      <c r="F408" t="s">
        <v>5799</v>
      </c>
      <c r="G408">
        <v>0.25</v>
      </c>
      <c r="H408" t="s">
        <v>5191</v>
      </c>
      <c r="I408">
        <v>20</v>
      </c>
      <c r="J408">
        <v>5</v>
      </c>
    </row>
    <row r="409" spans="1:10" x14ac:dyDescent="0.3">
      <c r="A409">
        <v>5485</v>
      </c>
      <c r="B409" t="s">
        <v>557</v>
      </c>
      <c r="C409" s="452">
        <v>45839</v>
      </c>
      <c r="D409" t="s">
        <v>3935</v>
      </c>
      <c r="E409" t="s">
        <v>5835</v>
      </c>
      <c r="F409" t="s">
        <v>5799</v>
      </c>
      <c r="G409">
        <v>1</v>
      </c>
      <c r="H409" t="s">
        <v>5191</v>
      </c>
      <c r="I409">
        <v>17.010000000000002</v>
      </c>
      <c r="J409">
        <v>17.010000000000002</v>
      </c>
    </row>
    <row r="410" spans="1:10" x14ac:dyDescent="0.3">
      <c r="A410">
        <v>5692</v>
      </c>
      <c r="B410" t="s">
        <v>557</v>
      </c>
      <c r="C410" s="452">
        <v>45870</v>
      </c>
      <c r="D410" t="s">
        <v>4040</v>
      </c>
      <c r="E410" t="s">
        <v>5835</v>
      </c>
      <c r="F410" t="s">
        <v>5799</v>
      </c>
      <c r="G410">
        <v>1</v>
      </c>
      <c r="H410" t="s">
        <v>5191</v>
      </c>
      <c r="I410">
        <v>17.010000000000002</v>
      </c>
      <c r="J410">
        <v>17.010000000000002</v>
      </c>
    </row>
    <row r="411" spans="1:10" x14ac:dyDescent="0.3">
      <c r="A411">
        <v>6365</v>
      </c>
      <c r="B411" t="s">
        <v>557</v>
      </c>
      <c r="C411" s="452">
        <v>45901</v>
      </c>
      <c r="D411" t="s">
        <v>4038</v>
      </c>
      <c r="E411" t="s">
        <v>5835</v>
      </c>
      <c r="F411" t="s">
        <v>5799</v>
      </c>
      <c r="G411">
        <v>1</v>
      </c>
      <c r="H411" t="s">
        <v>5191</v>
      </c>
      <c r="I411">
        <v>17.010000000000002</v>
      </c>
      <c r="J411">
        <v>17.010000000000002</v>
      </c>
    </row>
    <row r="412" spans="1:10" x14ac:dyDescent="0.3">
      <c r="A412">
        <v>6936</v>
      </c>
      <c r="B412" t="s">
        <v>557</v>
      </c>
      <c r="C412" s="452">
        <v>45931</v>
      </c>
      <c r="D412" t="s">
        <v>3999</v>
      </c>
      <c r="E412" t="s">
        <v>5835</v>
      </c>
      <c r="F412" t="s">
        <v>5799</v>
      </c>
      <c r="G412">
        <v>0.6</v>
      </c>
      <c r="H412" t="s">
        <v>5191</v>
      </c>
      <c r="I412">
        <v>17.010000000000002</v>
      </c>
      <c r="J412">
        <v>10.210000000000001</v>
      </c>
    </row>
    <row r="413" spans="1:10" x14ac:dyDescent="0.3">
      <c r="A413">
        <v>7220</v>
      </c>
      <c r="B413" t="s">
        <v>557</v>
      </c>
      <c r="C413" s="452">
        <v>45962</v>
      </c>
      <c r="D413" t="s">
        <v>751</v>
      </c>
      <c r="E413" t="s">
        <v>5835</v>
      </c>
      <c r="F413" t="s">
        <v>5799</v>
      </c>
      <c r="G413">
        <v>1</v>
      </c>
      <c r="H413" t="s">
        <v>5191</v>
      </c>
      <c r="I413">
        <v>17.010000000000002</v>
      </c>
      <c r="J413">
        <v>17.010000000000002</v>
      </c>
    </row>
    <row r="414" spans="1:10" x14ac:dyDescent="0.3">
      <c r="A414">
        <v>7677</v>
      </c>
      <c r="B414" t="s">
        <v>557</v>
      </c>
      <c r="C414" s="452">
        <v>45992</v>
      </c>
      <c r="D414" t="s">
        <v>753</v>
      </c>
      <c r="E414" t="s">
        <v>5835</v>
      </c>
      <c r="F414" t="s">
        <v>5799</v>
      </c>
      <c r="G414">
        <v>1</v>
      </c>
      <c r="H414" t="s">
        <v>5191</v>
      </c>
      <c r="I414">
        <v>17.010000000000002</v>
      </c>
      <c r="J414">
        <v>17.010000000000002</v>
      </c>
    </row>
    <row r="415" spans="1:10" x14ac:dyDescent="0.3">
      <c r="A415">
        <v>9462</v>
      </c>
      <c r="B415" t="s">
        <v>557</v>
      </c>
      <c r="C415" s="452">
        <v>46113</v>
      </c>
      <c r="D415" t="s">
        <v>461</v>
      </c>
      <c r="E415" t="s">
        <v>5835</v>
      </c>
      <c r="F415" t="s">
        <v>5799</v>
      </c>
      <c r="G415">
        <v>1</v>
      </c>
      <c r="H415" t="s">
        <v>5191</v>
      </c>
      <c r="I415">
        <v>13.22</v>
      </c>
      <c r="J415">
        <v>13.22</v>
      </c>
    </row>
    <row r="416" spans="1:10" x14ac:dyDescent="0.3">
      <c r="A416">
        <v>10003</v>
      </c>
      <c r="B416" t="s">
        <v>557</v>
      </c>
      <c r="C416" s="452">
        <v>46143</v>
      </c>
      <c r="D416" t="s">
        <v>462</v>
      </c>
      <c r="E416" t="s">
        <v>5835</v>
      </c>
      <c r="F416" t="s">
        <v>5799</v>
      </c>
      <c r="G416">
        <v>0.73</v>
      </c>
      <c r="H416" t="s">
        <v>5191</v>
      </c>
      <c r="I416">
        <v>13.22</v>
      </c>
      <c r="J416">
        <v>9.65</v>
      </c>
    </row>
    <row r="417" spans="1:10" x14ac:dyDescent="0.3">
      <c r="A417">
        <v>10744</v>
      </c>
      <c r="B417" t="s">
        <v>557</v>
      </c>
      <c r="C417" s="452">
        <v>46174</v>
      </c>
      <c r="D417" t="s">
        <v>463</v>
      </c>
      <c r="E417" t="s">
        <v>5835</v>
      </c>
      <c r="F417" t="s">
        <v>5799</v>
      </c>
      <c r="G417">
        <v>1</v>
      </c>
      <c r="H417" t="s">
        <v>5191</v>
      </c>
      <c r="I417">
        <v>13.22</v>
      </c>
      <c r="J417">
        <v>13.22</v>
      </c>
    </row>
    <row r="418" spans="1:10" x14ac:dyDescent="0.3">
      <c r="A418">
        <v>8629</v>
      </c>
      <c r="B418" t="s">
        <v>557</v>
      </c>
      <c r="C418" s="452">
        <v>46054</v>
      </c>
      <c r="D418" t="s">
        <v>459</v>
      </c>
      <c r="E418" t="s">
        <v>5836</v>
      </c>
      <c r="F418" t="s">
        <v>5799</v>
      </c>
      <c r="G418">
        <v>0.3</v>
      </c>
      <c r="H418" t="s">
        <v>5191</v>
      </c>
      <c r="I418">
        <v>26.65</v>
      </c>
      <c r="J418">
        <v>8</v>
      </c>
    </row>
    <row r="419" spans="1:10" x14ac:dyDescent="0.3">
      <c r="A419">
        <v>8707</v>
      </c>
      <c r="B419" t="s">
        <v>557</v>
      </c>
      <c r="C419" s="452">
        <v>46082</v>
      </c>
      <c r="D419" t="s">
        <v>460</v>
      </c>
      <c r="E419" t="s">
        <v>5836</v>
      </c>
      <c r="F419" t="s">
        <v>5799</v>
      </c>
      <c r="G419">
        <v>0.2</v>
      </c>
      <c r="H419" t="s">
        <v>5191</v>
      </c>
      <c r="I419">
        <v>26.65</v>
      </c>
      <c r="J419">
        <v>5.33</v>
      </c>
    </row>
    <row r="420" spans="1:10" x14ac:dyDescent="0.3">
      <c r="A420">
        <v>9450</v>
      </c>
      <c r="B420" t="s">
        <v>557</v>
      </c>
      <c r="C420" s="452">
        <v>46113</v>
      </c>
      <c r="D420" t="s">
        <v>461</v>
      </c>
      <c r="E420" t="s">
        <v>5836</v>
      </c>
      <c r="F420" t="s">
        <v>5799</v>
      </c>
      <c r="G420">
        <v>0.5</v>
      </c>
      <c r="H420" t="s">
        <v>5191</v>
      </c>
      <c r="I420">
        <v>26.65</v>
      </c>
      <c r="J420">
        <v>13.33</v>
      </c>
    </row>
    <row r="421" spans="1:10" x14ac:dyDescent="0.3">
      <c r="A421">
        <v>9988</v>
      </c>
      <c r="B421" t="s">
        <v>557</v>
      </c>
      <c r="C421" s="452">
        <v>46143</v>
      </c>
      <c r="D421" t="s">
        <v>462</v>
      </c>
      <c r="E421" t="s">
        <v>5836</v>
      </c>
      <c r="F421" t="s">
        <v>5799</v>
      </c>
      <c r="G421">
        <v>0.61</v>
      </c>
      <c r="H421" t="s">
        <v>5191</v>
      </c>
      <c r="I421">
        <v>26.65</v>
      </c>
      <c r="J421">
        <v>16.260000000000002</v>
      </c>
    </row>
    <row r="422" spans="1:10" x14ac:dyDescent="0.3">
      <c r="A422">
        <v>10759</v>
      </c>
      <c r="B422" t="s">
        <v>557</v>
      </c>
      <c r="C422" s="452">
        <v>46174</v>
      </c>
      <c r="D422" t="s">
        <v>463</v>
      </c>
      <c r="E422" t="s">
        <v>5836</v>
      </c>
      <c r="F422" t="s">
        <v>5799</v>
      </c>
      <c r="G422">
        <v>0.48</v>
      </c>
      <c r="H422" t="s">
        <v>5191</v>
      </c>
      <c r="I422">
        <v>26.65</v>
      </c>
      <c r="J422">
        <v>12.79</v>
      </c>
    </row>
    <row r="423" spans="1:10" x14ac:dyDescent="0.3">
      <c r="A423">
        <v>4399</v>
      </c>
      <c r="B423" t="s">
        <v>557</v>
      </c>
      <c r="C423" s="452">
        <v>45778</v>
      </c>
      <c r="D423" t="s">
        <v>4436</v>
      </c>
      <c r="E423" t="s">
        <v>5837</v>
      </c>
      <c r="F423" t="s">
        <v>5799</v>
      </c>
      <c r="G423">
        <v>3.81</v>
      </c>
      <c r="H423" t="s">
        <v>5191</v>
      </c>
      <c r="I423">
        <v>53.67</v>
      </c>
      <c r="J423">
        <v>204.48</v>
      </c>
    </row>
    <row r="424" spans="1:10" x14ac:dyDescent="0.3">
      <c r="A424">
        <v>5484</v>
      </c>
      <c r="B424" t="s">
        <v>557</v>
      </c>
      <c r="C424" s="452">
        <v>45839</v>
      </c>
      <c r="D424" t="s">
        <v>3935</v>
      </c>
      <c r="E424" t="s">
        <v>5837</v>
      </c>
      <c r="F424" t="s">
        <v>5799</v>
      </c>
      <c r="G424">
        <v>3</v>
      </c>
      <c r="H424" t="s">
        <v>5191</v>
      </c>
      <c r="I424">
        <v>94.61</v>
      </c>
      <c r="J424">
        <v>283.83</v>
      </c>
    </row>
    <row r="425" spans="1:10" x14ac:dyDescent="0.3">
      <c r="A425">
        <v>5683</v>
      </c>
      <c r="B425" t="s">
        <v>557</v>
      </c>
      <c r="C425" s="452">
        <v>45870</v>
      </c>
      <c r="D425" t="s">
        <v>4040</v>
      </c>
      <c r="E425" t="s">
        <v>5837</v>
      </c>
      <c r="F425" t="s">
        <v>5799</v>
      </c>
      <c r="G425">
        <v>2.88</v>
      </c>
      <c r="H425" t="s">
        <v>5191</v>
      </c>
      <c r="I425">
        <v>94.61</v>
      </c>
      <c r="J425">
        <v>272.48</v>
      </c>
    </row>
    <row r="426" spans="1:10" x14ac:dyDescent="0.3">
      <c r="A426">
        <v>6356</v>
      </c>
      <c r="B426" t="s">
        <v>557</v>
      </c>
      <c r="C426" s="452">
        <v>45901</v>
      </c>
      <c r="D426" t="s">
        <v>4038</v>
      </c>
      <c r="E426" t="s">
        <v>5837</v>
      </c>
      <c r="F426" t="s">
        <v>5799</v>
      </c>
      <c r="G426">
        <v>2.2999999999999998</v>
      </c>
      <c r="H426" t="s">
        <v>5191</v>
      </c>
      <c r="I426">
        <v>94.61</v>
      </c>
      <c r="J426">
        <v>217.6</v>
      </c>
    </row>
    <row r="427" spans="1:10" x14ac:dyDescent="0.3">
      <c r="A427">
        <v>6926</v>
      </c>
      <c r="B427" t="s">
        <v>557</v>
      </c>
      <c r="C427" s="452">
        <v>45931</v>
      </c>
      <c r="D427" t="s">
        <v>3999</v>
      </c>
      <c r="E427" t="s">
        <v>5837</v>
      </c>
      <c r="F427" t="s">
        <v>5799</v>
      </c>
      <c r="G427">
        <v>1.3</v>
      </c>
      <c r="H427" t="s">
        <v>5191</v>
      </c>
      <c r="I427">
        <v>94.61</v>
      </c>
      <c r="J427">
        <v>122.99</v>
      </c>
    </row>
    <row r="428" spans="1:10" x14ac:dyDescent="0.3">
      <c r="A428">
        <v>7210</v>
      </c>
      <c r="B428" t="s">
        <v>557</v>
      </c>
      <c r="C428" s="452">
        <v>45962</v>
      </c>
      <c r="D428" t="s">
        <v>751</v>
      </c>
      <c r="E428" t="s">
        <v>5837</v>
      </c>
      <c r="F428" t="s">
        <v>5799</v>
      </c>
      <c r="G428">
        <v>1.76</v>
      </c>
      <c r="H428" t="s">
        <v>5191</v>
      </c>
      <c r="I428">
        <v>94.61</v>
      </c>
      <c r="J428">
        <v>166.51</v>
      </c>
    </row>
    <row r="429" spans="1:10" x14ac:dyDescent="0.3">
      <c r="A429">
        <v>7668</v>
      </c>
      <c r="B429" t="s">
        <v>557</v>
      </c>
      <c r="C429" s="452">
        <v>45992</v>
      </c>
      <c r="D429" t="s">
        <v>753</v>
      </c>
      <c r="E429" t="s">
        <v>5837</v>
      </c>
      <c r="F429" t="s">
        <v>5799</v>
      </c>
      <c r="G429">
        <v>2.2999999999999998</v>
      </c>
      <c r="H429" t="s">
        <v>5191</v>
      </c>
      <c r="I429">
        <v>94.61</v>
      </c>
      <c r="J429">
        <v>217.6</v>
      </c>
    </row>
    <row r="430" spans="1:10" x14ac:dyDescent="0.3">
      <c r="A430">
        <v>8630</v>
      </c>
      <c r="B430" t="s">
        <v>557</v>
      </c>
      <c r="C430" s="452">
        <v>46054</v>
      </c>
      <c r="D430" t="s">
        <v>459</v>
      </c>
      <c r="E430" t="s">
        <v>5837</v>
      </c>
      <c r="F430" t="s">
        <v>5799</v>
      </c>
      <c r="G430">
        <v>2.4</v>
      </c>
      <c r="H430" t="s">
        <v>5191</v>
      </c>
      <c r="I430">
        <v>94.61</v>
      </c>
      <c r="J430">
        <v>227.06</v>
      </c>
    </row>
    <row r="431" spans="1:10" x14ac:dyDescent="0.3">
      <c r="A431">
        <v>8708</v>
      </c>
      <c r="B431" t="s">
        <v>557</v>
      </c>
      <c r="C431" s="452">
        <v>46082</v>
      </c>
      <c r="D431" t="s">
        <v>460</v>
      </c>
      <c r="E431" t="s">
        <v>5837</v>
      </c>
      <c r="F431" t="s">
        <v>5799</v>
      </c>
      <c r="G431">
        <v>2.25</v>
      </c>
      <c r="H431" t="s">
        <v>5191</v>
      </c>
      <c r="I431">
        <v>94.61</v>
      </c>
      <c r="J431">
        <v>212.87</v>
      </c>
    </row>
    <row r="432" spans="1:10" x14ac:dyDescent="0.3">
      <c r="A432">
        <v>9451</v>
      </c>
      <c r="B432" t="s">
        <v>557</v>
      </c>
      <c r="C432" s="452">
        <v>46113</v>
      </c>
      <c r="D432" t="s">
        <v>461</v>
      </c>
      <c r="E432" t="s">
        <v>5837</v>
      </c>
      <c r="F432" t="s">
        <v>5799</v>
      </c>
      <c r="G432">
        <v>4.46</v>
      </c>
      <c r="H432" t="s">
        <v>5191</v>
      </c>
      <c r="I432">
        <v>94.61</v>
      </c>
      <c r="J432">
        <v>421.96</v>
      </c>
    </row>
    <row r="433" spans="1:10" x14ac:dyDescent="0.3">
      <c r="A433">
        <v>9989</v>
      </c>
      <c r="B433" t="s">
        <v>557</v>
      </c>
      <c r="C433" s="452">
        <v>46143</v>
      </c>
      <c r="D433" t="s">
        <v>462</v>
      </c>
      <c r="E433" t="s">
        <v>5837</v>
      </c>
      <c r="F433" t="s">
        <v>5799</v>
      </c>
      <c r="G433">
        <v>2.13</v>
      </c>
      <c r="H433" t="s">
        <v>5191</v>
      </c>
      <c r="I433">
        <v>94.61</v>
      </c>
      <c r="J433">
        <v>201.52</v>
      </c>
    </row>
    <row r="434" spans="1:10" x14ac:dyDescent="0.3">
      <c r="A434">
        <v>10769</v>
      </c>
      <c r="B434" t="s">
        <v>557</v>
      </c>
      <c r="C434" s="452">
        <v>46174</v>
      </c>
      <c r="D434" t="s">
        <v>463</v>
      </c>
      <c r="E434" t="s">
        <v>5837</v>
      </c>
      <c r="F434" t="s">
        <v>5799</v>
      </c>
      <c r="G434">
        <v>1.8</v>
      </c>
      <c r="H434" t="s">
        <v>5191</v>
      </c>
      <c r="I434">
        <v>94.61</v>
      </c>
      <c r="J434">
        <v>170.3</v>
      </c>
    </row>
    <row r="435" spans="1:10" x14ac:dyDescent="0.3">
      <c r="A435">
        <v>3850</v>
      </c>
      <c r="B435" t="s">
        <v>557</v>
      </c>
      <c r="C435" s="452">
        <v>45778</v>
      </c>
      <c r="D435" t="s">
        <v>4436</v>
      </c>
      <c r="E435" t="s">
        <v>5838</v>
      </c>
      <c r="F435" t="s">
        <v>5799</v>
      </c>
      <c r="G435">
        <v>3.55</v>
      </c>
      <c r="H435" t="s">
        <v>5191</v>
      </c>
      <c r="I435">
        <v>2.4500000000000002</v>
      </c>
      <c r="J435">
        <v>8.6999999999999993</v>
      </c>
    </row>
    <row r="436" spans="1:10" x14ac:dyDescent="0.3">
      <c r="A436">
        <v>4562</v>
      </c>
      <c r="B436" t="s">
        <v>557</v>
      </c>
      <c r="C436" s="452">
        <v>45809</v>
      </c>
      <c r="D436" t="s">
        <v>4434</v>
      </c>
      <c r="E436" t="s">
        <v>5838</v>
      </c>
      <c r="F436" t="s">
        <v>5799</v>
      </c>
      <c r="G436">
        <v>2.27</v>
      </c>
      <c r="H436" t="s">
        <v>5191</v>
      </c>
      <c r="I436">
        <v>2.4500000000000002</v>
      </c>
      <c r="J436">
        <v>5.56</v>
      </c>
    </row>
    <row r="437" spans="1:10" x14ac:dyDescent="0.3">
      <c r="A437">
        <v>5214</v>
      </c>
      <c r="B437" t="s">
        <v>557</v>
      </c>
      <c r="C437" s="452">
        <v>45839</v>
      </c>
      <c r="D437" t="s">
        <v>3935</v>
      </c>
      <c r="E437" t="s">
        <v>5838</v>
      </c>
      <c r="F437" t="s">
        <v>5799</v>
      </c>
      <c r="G437">
        <v>6.5</v>
      </c>
      <c r="H437" t="s">
        <v>5191</v>
      </c>
      <c r="I437">
        <v>2.4500000000000002</v>
      </c>
      <c r="J437">
        <v>15.93</v>
      </c>
    </row>
    <row r="438" spans="1:10" x14ac:dyDescent="0.3">
      <c r="A438">
        <v>5718</v>
      </c>
      <c r="B438" t="s">
        <v>557</v>
      </c>
      <c r="C438" s="452">
        <v>45870</v>
      </c>
      <c r="D438" t="s">
        <v>4040</v>
      </c>
      <c r="E438" t="s">
        <v>5838</v>
      </c>
      <c r="F438" t="s">
        <v>5799</v>
      </c>
      <c r="G438">
        <v>1.7</v>
      </c>
      <c r="H438" t="s">
        <v>5191</v>
      </c>
      <c r="I438">
        <v>2.4500000000000002</v>
      </c>
      <c r="J438">
        <v>4.17</v>
      </c>
    </row>
    <row r="439" spans="1:10" x14ac:dyDescent="0.3">
      <c r="A439">
        <v>6389</v>
      </c>
      <c r="B439" t="s">
        <v>557</v>
      </c>
      <c r="C439" s="452">
        <v>45901</v>
      </c>
      <c r="D439" t="s">
        <v>4038</v>
      </c>
      <c r="E439" t="s">
        <v>5838</v>
      </c>
      <c r="F439" t="s">
        <v>5799</v>
      </c>
      <c r="G439">
        <v>4.51</v>
      </c>
      <c r="H439" t="s">
        <v>5191</v>
      </c>
      <c r="I439">
        <v>2.4500000000000002</v>
      </c>
      <c r="J439">
        <v>11.05</v>
      </c>
    </row>
    <row r="440" spans="1:10" x14ac:dyDescent="0.3">
      <c r="A440">
        <v>6957</v>
      </c>
      <c r="B440" t="s">
        <v>557</v>
      </c>
      <c r="C440" s="452">
        <v>45931</v>
      </c>
      <c r="D440" t="s">
        <v>3999</v>
      </c>
      <c r="E440" t="s">
        <v>5838</v>
      </c>
      <c r="F440" t="s">
        <v>5799</v>
      </c>
      <c r="G440">
        <v>6.8</v>
      </c>
      <c r="H440" t="s">
        <v>5191</v>
      </c>
      <c r="I440">
        <v>2.4500000000000002</v>
      </c>
      <c r="J440">
        <v>16.66</v>
      </c>
    </row>
    <row r="441" spans="1:10" x14ac:dyDescent="0.3">
      <c r="A441">
        <v>7240</v>
      </c>
      <c r="B441" t="s">
        <v>557</v>
      </c>
      <c r="C441" s="452">
        <v>45962</v>
      </c>
      <c r="D441" t="s">
        <v>751</v>
      </c>
      <c r="E441" t="s">
        <v>5838</v>
      </c>
      <c r="F441" t="s">
        <v>5799</v>
      </c>
      <c r="G441">
        <v>1.3</v>
      </c>
      <c r="H441" t="s">
        <v>5191</v>
      </c>
      <c r="I441">
        <v>2.4500000000000002</v>
      </c>
      <c r="J441">
        <v>3.19</v>
      </c>
    </row>
    <row r="442" spans="1:10" x14ac:dyDescent="0.3">
      <c r="A442">
        <v>7695</v>
      </c>
      <c r="B442" t="s">
        <v>557</v>
      </c>
      <c r="C442" s="452">
        <v>45992</v>
      </c>
      <c r="D442" t="s">
        <v>753</v>
      </c>
      <c r="E442" t="s">
        <v>5838</v>
      </c>
      <c r="F442" t="s">
        <v>5799</v>
      </c>
      <c r="G442">
        <v>1.7</v>
      </c>
      <c r="H442" t="s">
        <v>5191</v>
      </c>
      <c r="I442">
        <v>2.4500000000000002</v>
      </c>
      <c r="J442">
        <v>4.17</v>
      </c>
    </row>
    <row r="443" spans="1:10" x14ac:dyDescent="0.3">
      <c r="A443">
        <v>8649</v>
      </c>
      <c r="B443" t="s">
        <v>557</v>
      </c>
      <c r="C443" s="452">
        <v>46054</v>
      </c>
      <c r="D443" t="s">
        <v>459</v>
      </c>
      <c r="E443" t="s">
        <v>5838</v>
      </c>
      <c r="F443" t="s">
        <v>5799</v>
      </c>
      <c r="G443">
        <v>7.4</v>
      </c>
      <c r="H443" t="s">
        <v>5191</v>
      </c>
      <c r="I443">
        <v>2.4500000000000002</v>
      </c>
      <c r="J443">
        <v>18.13</v>
      </c>
    </row>
    <row r="444" spans="1:10" x14ac:dyDescent="0.3">
      <c r="A444">
        <v>8743</v>
      </c>
      <c r="B444" t="s">
        <v>557</v>
      </c>
      <c r="C444" s="452">
        <v>46082</v>
      </c>
      <c r="D444" t="s">
        <v>460</v>
      </c>
      <c r="E444" t="s">
        <v>5838</v>
      </c>
      <c r="F444" t="s">
        <v>5799</v>
      </c>
      <c r="G444">
        <v>5.9</v>
      </c>
      <c r="H444" t="s">
        <v>5191</v>
      </c>
      <c r="I444">
        <v>2.4500000000000002</v>
      </c>
      <c r="J444">
        <v>14.46</v>
      </c>
    </row>
    <row r="445" spans="1:10" x14ac:dyDescent="0.3">
      <c r="A445">
        <v>9486</v>
      </c>
      <c r="B445" t="s">
        <v>557</v>
      </c>
      <c r="C445" s="452">
        <v>46113</v>
      </c>
      <c r="D445" t="s">
        <v>461</v>
      </c>
      <c r="E445" t="s">
        <v>5838</v>
      </c>
      <c r="F445" t="s">
        <v>5799</v>
      </c>
      <c r="G445">
        <v>4.7</v>
      </c>
      <c r="H445" t="s">
        <v>5191</v>
      </c>
      <c r="I445">
        <v>2.4500000000000002</v>
      </c>
      <c r="J445">
        <v>11.52</v>
      </c>
    </row>
    <row r="446" spans="1:10" x14ac:dyDescent="0.3">
      <c r="A446">
        <v>10028</v>
      </c>
      <c r="B446" t="s">
        <v>557</v>
      </c>
      <c r="C446" s="452">
        <v>46143</v>
      </c>
      <c r="D446" t="s">
        <v>462</v>
      </c>
      <c r="E446" t="s">
        <v>5838</v>
      </c>
      <c r="F446" t="s">
        <v>5799</v>
      </c>
      <c r="G446">
        <v>4.82</v>
      </c>
      <c r="H446" t="s">
        <v>5191</v>
      </c>
      <c r="I446">
        <v>2.4500000000000002</v>
      </c>
      <c r="J446">
        <v>11.81</v>
      </c>
    </row>
    <row r="447" spans="1:10" x14ac:dyDescent="0.3">
      <c r="A447">
        <v>10725</v>
      </c>
      <c r="B447" t="s">
        <v>557</v>
      </c>
      <c r="C447" s="452">
        <v>46174</v>
      </c>
      <c r="D447" t="s">
        <v>463</v>
      </c>
      <c r="E447" t="s">
        <v>5838</v>
      </c>
      <c r="F447" t="s">
        <v>5799</v>
      </c>
      <c r="G447">
        <v>2.58</v>
      </c>
      <c r="H447" t="s">
        <v>5191</v>
      </c>
      <c r="I447">
        <v>2.4500000000000002</v>
      </c>
      <c r="J447">
        <v>6.32</v>
      </c>
    </row>
    <row r="448" spans="1:10" x14ac:dyDescent="0.3">
      <c r="A448">
        <v>6815</v>
      </c>
      <c r="B448" t="s">
        <v>557</v>
      </c>
      <c r="C448" s="452">
        <v>45901</v>
      </c>
      <c r="D448" t="s">
        <v>4038</v>
      </c>
      <c r="E448" t="s">
        <v>5839</v>
      </c>
      <c r="F448" t="s">
        <v>5799</v>
      </c>
      <c r="G448">
        <v>0.62</v>
      </c>
      <c r="H448" t="s">
        <v>5191</v>
      </c>
      <c r="I448">
        <v>14.67</v>
      </c>
      <c r="J448">
        <v>9.1</v>
      </c>
    </row>
    <row r="449" spans="1:10" x14ac:dyDescent="0.3">
      <c r="A449">
        <v>9993</v>
      </c>
      <c r="B449" t="s">
        <v>557</v>
      </c>
      <c r="C449" s="452">
        <v>46143</v>
      </c>
      <c r="D449" t="s">
        <v>462</v>
      </c>
      <c r="E449" t="s">
        <v>5839</v>
      </c>
      <c r="F449" t="s">
        <v>5799</v>
      </c>
      <c r="G449">
        <v>0.18</v>
      </c>
      <c r="H449" t="s">
        <v>5191</v>
      </c>
      <c r="I449">
        <v>14.67</v>
      </c>
      <c r="J449">
        <v>2.64</v>
      </c>
    </row>
    <row r="450" spans="1:10" x14ac:dyDescent="0.3">
      <c r="A450">
        <v>8710</v>
      </c>
      <c r="B450" t="s">
        <v>557</v>
      </c>
      <c r="C450" s="452">
        <v>46082</v>
      </c>
      <c r="D450" t="s">
        <v>460</v>
      </c>
      <c r="E450" t="s">
        <v>5840</v>
      </c>
      <c r="F450" t="s">
        <v>5799</v>
      </c>
      <c r="G450">
        <v>5.03</v>
      </c>
      <c r="H450" t="s">
        <v>5191</v>
      </c>
      <c r="I450">
        <v>8.3000000000000007</v>
      </c>
      <c r="J450">
        <v>41.75</v>
      </c>
    </row>
    <row r="451" spans="1:10" x14ac:dyDescent="0.3">
      <c r="A451">
        <v>10772</v>
      </c>
      <c r="B451" t="s">
        <v>557</v>
      </c>
      <c r="C451" s="452">
        <v>46174</v>
      </c>
      <c r="D451" t="s">
        <v>463</v>
      </c>
      <c r="E451" t="s">
        <v>5840</v>
      </c>
      <c r="F451" t="s">
        <v>5799</v>
      </c>
      <c r="G451">
        <v>0.09</v>
      </c>
      <c r="H451" t="s">
        <v>5191</v>
      </c>
      <c r="I451">
        <v>8.3000000000000007</v>
      </c>
      <c r="J451">
        <v>0.75</v>
      </c>
    </row>
    <row r="452" spans="1:10" x14ac:dyDescent="0.3">
      <c r="A452">
        <v>3681</v>
      </c>
      <c r="B452" t="s">
        <v>557</v>
      </c>
      <c r="C452" s="452">
        <v>45748</v>
      </c>
      <c r="D452" t="s">
        <v>4455</v>
      </c>
      <c r="E452" t="s">
        <v>5841</v>
      </c>
      <c r="F452" t="s">
        <v>5799</v>
      </c>
      <c r="G452">
        <v>7.42</v>
      </c>
      <c r="H452" t="s">
        <v>5191</v>
      </c>
      <c r="I452">
        <v>38.79</v>
      </c>
      <c r="J452">
        <v>287.82</v>
      </c>
    </row>
    <row r="453" spans="1:10" x14ac:dyDescent="0.3">
      <c r="A453">
        <v>3824</v>
      </c>
      <c r="B453" t="s">
        <v>557</v>
      </c>
      <c r="C453" s="452">
        <v>45778</v>
      </c>
      <c r="D453" t="s">
        <v>4436</v>
      </c>
      <c r="E453" t="s">
        <v>5841</v>
      </c>
      <c r="F453" t="s">
        <v>5799</v>
      </c>
      <c r="G453">
        <v>11.19</v>
      </c>
      <c r="H453" t="s">
        <v>5191</v>
      </c>
      <c r="I453">
        <v>38.79</v>
      </c>
      <c r="J453">
        <v>434.06</v>
      </c>
    </row>
    <row r="454" spans="1:10" x14ac:dyDescent="0.3">
      <c r="A454">
        <v>6813</v>
      </c>
      <c r="B454" t="s">
        <v>557</v>
      </c>
      <c r="C454" s="452">
        <v>45901</v>
      </c>
      <c r="D454" t="s">
        <v>4038</v>
      </c>
      <c r="E454" t="s">
        <v>5841</v>
      </c>
      <c r="F454" t="s">
        <v>5799</v>
      </c>
      <c r="G454">
        <v>7.32</v>
      </c>
      <c r="H454" t="s">
        <v>5191</v>
      </c>
      <c r="I454">
        <v>3.4</v>
      </c>
      <c r="J454">
        <v>24.89</v>
      </c>
    </row>
    <row r="455" spans="1:10" x14ac:dyDescent="0.3">
      <c r="A455">
        <v>6925</v>
      </c>
      <c r="B455" t="s">
        <v>557</v>
      </c>
      <c r="C455" s="452">
        <v>45931</v>
      </c>
      <c r="D455" t="s">
        <v>3999</v>
      </c>
      <c r="E455" t="s">
        <v>5841</v>
      </c>
      <c r="F455" t="s">
        <v>5799</v>
      </c>
      <c r="G455">
        <v>3.9</v>
      </c>
      <c r="H455" t="s">
        <v>5191</v>
      </c>
      <c r="I455">
        <v>3.4</v>
      </c>
      <c r="J455">
        <v>13.26</v>
      </c>
    </row>
    <row r="456" spans="1:10" x14ac:dyDescent="0.3">
      <c r="A456">
        <v>7209</v>
      </c>
      <c r="B456" t="s">
        <v>557</v>
      </c>
      <c r="C456" s="452">
        <v>45962</v>
      </c>
      <c r="D456" t="s">
        <v>751</v>
      </c>
      <c r="E456" t="s">
        <v>5841</v>
      </c>
      <c r="F456" t="s">
        <v>5799</v>
      </c>
      <c r="G456">
        <v>8.32</v>
      </c>
      <c r="H456" t="s">
        <v>5191</v>
      </c>
      <c r="I456">
        <v>3.4</v>
      </c>
      <c r="J456">
        <v>28.29</v>
      </c>
    </row>
    <row r="457" spans="1:10" x14ac:dyDescent="0.3">
      <c r="A457">
        <v>7667</v>
      </c>
      <c r="B457" t="s">
        <v>557</v>
      </c>
      <c r="C457" s="452">
        <v>45992</v>
      </c>
      <c r="D457" t="s">
        <v>753</v>
      </c>
      <c r="E457" t="s">
        <v>5841</v>
      </c>
      <c r="F457" t="s">
        <v>5799</v>
      </c>
      <c r="G457">
        <v>4</v>
      </c>
      <c r="H457" t="s">
        <v>5191</v>
      </c>
      <c r="I457">
        <v>3.4</v>
      </c>
      <c r="J457">
        <v>13.6</v>
      </c>
    </row>
    <row r="458" spans="1:10" x14ac:dyDescent="0.3">
      <c r="A458">
        <v>8704</v>
      </c>
      <c r="B458" t="s">
        <v>557</v>
      </c>
      <c r="C458" s="452">
        <v>46082</v>
      </c>
      <c r="D458" t="s">
        <v>460</v>
      </c>
      <c r="E458" t="s">
        <v>5841</v>
      </c>
      <c r="F458" t="s">
        <v>5799</v>
      </c>
      <c r="G458">
        <v>2.25</v>
      </c>
      <c r="H458" t="s">
        <v>5191</v>
      </c>
      <c r="I458">
        <v>6.4</v>
      </c>
      <c r="J458">
        <v>14.4</v>
      </c>
    </row>
    <row r="459" spans="1:10" x14ac:dyDescent="0.3">
      <c r="A459">
        <v>9447</v>
      </c>
      <c r="B459" t="s">
        <v>557</v>
      </c>
      <c r="C459" s="452">
        <v>46113</v>
      </c>
      <c r="D459" t="s">
        <v>461</v>
      </c>
      <c r="E459" t="s">
        <v>5841</v>
      </c>
      <c r="F459" t="s">
        <v>5799</v>
      </c>
      <c r="G459">
        <v>11.2</v>
      </c>
      <c r="H459" t="s">
        <v>5191</v>
      </c>
      <c r="I459">
        <v>6.4</v>
      </c>
      <c r="J459">
        <v>71.680000000000007</v>
      </c>
    </row>
    <row r="460" spans="1:10" x14ac:dyDescent="0.3">
      <c r="A460">
        <v>9985</v>
      </c>
      <c r="B460" t="s">
        <v>557</v>
      </c>
      <c r="C460" s="452">
        <v>46143</v>
      </c>
      <c r="D460" t="s">
        <v>462</v>
      </c>
      <c r="E460" t="s">
        <v>5841</v>
      </c>
      <c r="F460" t="s">
        <v>5799</v>
      </c>
      <c r="G460">
        <v>5.72</v>
      </c>
      <c r="H460" t="s">
        <v>5191</v>
      </c>
      <c r="I460">
        <v>6.4</v>
      </c>
      <c r="J460">
        <v>36.61</v>
      </c>
    </row>
    <row r="461" spans="1:10" x14ac:dyDescent="0.3">
      <c r="A461">
        <v>10737</v>
      </c>
      <c r="B461" t="s">
        <v>557</v>
      </c>
      <c r="C461" s="452">
        <v>46174</v>
      </c>
      <c r="D461" t="s">
        <v>463</v>
      </c>
      <c r="E461" t="s">
        <v>5841</v>
      </c>
      <c r="F461" t="s">
        <v>5799</v>
      </c>
      <c r="G461">
        <v>8.65</v>
      </c>
      <c r="H461" t="s">
        <v>5191</v>
      </c>
      <c r="I461">
        <v>6.4</v>
      </c>
      <c r="J461">
        <v>55.36</v>
      </c>
    </row>
    <row r="462" spans="1:10" x14ac:dyDescent="0.3">
      <c r="A462">
        <v>3686</v>
      </c>
      <c r="B462" t="s">
        <v>557</v>
      </c>
      <c r="C462" s="452">
        <v>45748</v>
      </c>
      <c r="D462" t="s">
        <v>4455</v>
      </c>
      <c r="E462" t="s">
        <v>5842</v>
      </c>
      <c r="F462" t="s">
        <v>5799</v>
      </c>
      <c r="G462">
        <v>6.95</v>
      </c>
      <c r="H462" t="s">
        <v>5191</v>
      </c>
      <c r="I462">
        <v>30.14</v>
      </c>
      <c r="J462">
        <v>209.47</v>
      </c>
    </row>
    <row r="463" spans="1:10" x14ac:dyDescent="0.3">
      <c r="A463">
        <v>5486</v>
      </c>
      <c r="B463" t="s">
        <v>557</v>
      </c>
      <c r="C463" s="452">
        <v>45839</v>
      </c>
      <c r="D463" t="s">
        <v>3935</v>
      </c>
      <c r="E463" t="s">
        <v>5842</v>
      </c>
      <c r="F463" t="s">
        <v>5799</v>
      </c>
      <c r="G463">
        <v>17.8</v>
      </c>
      <c r="H463" t="s">
        <v>5191</v>
      </c>
      <c r="I463">
        <v>30.14</v>
      </c>
      <c r="J463">
        <v>536.49</v>
      </c>
    </row>
    <row r="464" spans="1:10" x14ac:dyDescent="0.3">
      <c r="A464">
        <v>5695</v>
      </c>
      <c r="B464" t="s">
        <v>557</v>
      </c>
      <c r="C464" s="452">
        <v>45870</v>
      </c>
      <c r="D464" t="s">
        <v>4040</v>
      </c>
      <c r="E464" t="s">
        <v>5842</v>
      </c>
      <c r="F464" t="s">
        <v>5799</v>
      </c>
      <c r="G464">
        <v>7</v>
      </c>
      <c r="H464" t="s">
        <v>5191</v>
      </c>
      <c r="I464">
        <v>30.14</v>
      </c>
      <c r="J464">
        <v>210.98</v>
      </c>
    </row>
    <row r="465" spans="1:10" x14ac:dyDescent="0.3">
      <c r="A465">
        <v>6368</v>
      </c>
      <c r="B465" t="s">
        <v>557</v>
      </c>
      <c r="C465" s="452">
        <v>45901</v>
      </c>
      <c r="D465" t="s">
        <v>4038</v>
      </c>
      <c r="E465" t="s">
        <v>5842</v>
      </c>
      <c r="F465" t="s">
        <v>5799</v>
      </c>
      <c r="G465">
        <v>12.99</v>
      </c>
      <c r="H465" t="s">
        <v>5191</v>
      </c>
      <c r="I465">
        <v>30.14</v>
      </c>
      <c r="J465">
        <v>391.52</v>
      </c>
    </row>
    <row r="466" spans="1:10" x14ac:dyDescent="0.3">
      <c r="A466">
        <v>6939</v>
      </c>
      <c r="B466" t="s">
        <v>557</v>
      </c>
      <c r="C466" s="452">
        <v>45931</v>
      </c>
      <c r="D466" t="s">
        <v>3999</v>
      </c>
      <c r="E466" t="s">
        <v>5842</v>
      </c>
      <c r="F466" t="s">
        <v>5799</v>
      </c>
      <c r="G466">
        <v>4.5</v>
      </c>
      <c r="H466" t="s">
        <v>5191</v>
      </c>
      <c r="I466">
        <v>4.6399999999999997</v>
      </c>
      <c r="J466">
        <v>20.88</v>
      </c>
    </row>
    <row r="467" spans="1:10" x14ac:dyDescent="0.3">
      <c r="A467">
        <v>7222</v>
      </c>
      <c r="B467" t="s">
        <v>557</v>
      </c>
      <c r="C467" s="452">
        <v>45962</v>
      </c>
      <c r="D467" t="s">
        <v>751</v>
      </c>
      <c r="E467" t="s">
        <v>5842</v>
      </c>
      <c r="F467" t="s">
        <v>5799</v>
      </c>
      <c r="G467">
        <v>3.4</v>
      </c>
      <c r="H467" t="s">
        <v>5191</v>
      </c>
      <c r="I467">
        <v>4.6399999999999997</v>
      </c>
      <c r="J467">
        <v>15.78</v>
      </c>
    </row>
    <row r="468" spans="1:10" x14ac:dyDescent="0.3">
      <c r="A468">
        <v>7679</v>
      </c>
      <c r="B468" t="s">
        <v>557</v>
      </c>
      <c r="C468" s="452">
        <v>45992</v>
      </c>
      <c r="D468" t="s">
        <v>753</v>
      </c>
      <c r="E468" t="s">
        <v>5842</v>
      </c>
      <c r="F468" t="s">
        <v>5799</v>
      </c>
      <c r="G468">
        <v>7.9</v>
      </c>
      <c r="H468" t="s">
        <v>5191</v>
      </c>
      <c r="I468">
        <v>4.6399999999999997</v>
      </c>
      <c r="J468">
        <v>36.659999999999997</v>
      </c>
    </row>
    <row r="469" spans="1:10" x14ac:dyDescent="0.3">
      <c r="A469">
        <v>8041</v>
      </c>
      <c r="B469" t="s">
        <v>557</v>
      </c>
      <c r="C469" s="452">
        <v>46023</v>
      </c>
      <c r="D469" t="s">
        <v>458</v>
      </c>
      <c r="E469" t="s">
        <v>5842</v>
      </c>
      <c r="F469" t="s">
        <v>5799</v>
      </c>
      <c r="G469">
        <v>7.3</v>
      </c>
      <c r="H469" t="s">
        <v>5191</v>
      </c>
      <c r="I469">
        <v>4.6399999999999997</v>
      </c>
      <c r="J469">
        <v>33.869999999999997</v>
      </c>
    </row>
    <row r="470" spans="1:10" x14ac:dyDescent="0.3">
      <c r="A470">
        <v>8621</v>
      </c>
      <c r="B470" t="s">
        <v>557</v>
      </c>
      <c r="C470" s="452">
        <v>46054</v>
      </c>
      <c r="D470" t="s">
        <v>459</v>
      </c>
      <c r="E470" t="s">
        <v>5842</v>
      </c>
      <c r="F470" t="s">
        <v>5799</v>
      </c>
      <c r="G470">
        <v>6.25</v>
      </c>
      <c r="H470" t="s">
        <v>5191</v>
      </c>
      <c r="I470">
        <v>4.6399999999999997</v>
      </c>
      <c r="J470">
        <v>29</v>
      </c>
    </row>
    <row r="471" spans="1:10" x14ac:dyDescent="0.3">
      <c r="A471">
        <v>8719</v>
      </c>
      <c r="B471" t="s">
        <v>557</v>
      </c>
      <c r="C471" s="452">
        <v>46082</v>
      </c>
      <c r="D471" t="s">
        <v>460</v>
      </c>
      <c r="E471" t="s">
        <v>5842</v>
      </c>
      <c r="F471" t="s">
        <v>5799</v>
      </c>
      <c r="G471">
        <v>4.97</v>
      </c>
      <c r="H471" t="s">
        <v>5191</v>
      </c>
      <c r="I471">
        <v>4.6399999999999997</v>
      </c>
      <c r="J471">
        <v>23.06</v>
      </c>
    </row>
    <row r="472" spans="1:10" x14ac:dyDescent="0.3">
      <c r="A472">
        <v>9464</v>
      </c>
      <c r="B472" t="s">
        <v>557</v>
      </c>
      <c r="C472" s="452">
        <v>46113</v>
      </c>
      <c r="D472" t="s">
        <v>461</v>
      </c>
      <c r="E472" t="s">
        <v>5842</v>
      </c>
      <c r="F472" t="s">
        <v>5799</v>
      </c>
      <c r="G472">
        <v>3</v>
      </c>
      <c r="H472" t="s">
        <v>5191</v>
      </c>
      <c r="I472">
        <v>4.6399999999999997</v>
      </c>
      <c r="J472">
        <v>13.92</v>
      </c>
    </row>
    <row r="473" spans="1:10" x14ac:dyDescent="0.3">
      <c r="A473">
        <v>10006</v>
      </c>
      <c r="B473" t="s">
        <v>557</v>
      </c>
      <c r="C473" s="452">
        <v>46143</v>
      </c>
      <c r="D473" t="s">
        <v>462</v>
      </c>
      <c r="E473" t="s">
        <v>5842</v>
      </c>
      <c r="F473" t="s">
        <v>5799</v>
      </c>
      <c r="G473">
        <v>2.2999999999999998</v>
      </c>
      <c r="H473" t="s">
        <v>5191</v>
      </c>
      <c r="I473">
        <v>4.6399999999999997</v>
      </c>
      <c r="J473">
        <v>10.67</v>
      </c>
    </row>
    <row r="474" spans="1:10" x14ac:dyDescent="0.3">
      <c r="A474">
        <v>10732</v>
      </c>
      <c r="B474" t="s">
        <v>557</v>
      </c>
      <c r="C474" s="452">
        <v>46174</v>
      </c>
      <c r="D474" t="s">
        <v>463</v>
      </c>
      <c r="E474" t="s">
        <v>5842</v>
      </c>
      <c r="F474" t="s">
        <v>5799</v>
      </c>
      <c r="G474">
        <v>8</v>
      </c>
      <c r="H474" t="s">
        <v>5191</v>
      </c>
      <c r="I474">
        <v>4.6399999999999997</v>
      </c>
      <c r="J474">
        <v>37.119999999999997</v>
      </c>
    </row>
    <row r="475" spans="1:10" x14ac:dyDescent="0.3">
      <c r="A475">
        <v>4398</v>
      </c>
      <c r="B475" t="s">
        <v>557</v>
      </c>
      <c r="C475" s="452">
        <v>45778</v>
      </c>
      <c r="D475" t="s">
        <v>4436</v>
      </c>
      <c r="E475" t="s">
        <v>5843</v>
      </c>
      <c r="F475" t="s">
        <v>5799</v>
      </c>
      <c r="G475">
        <v>1.62</v>
      </c>
      <c r="H475" t="s">
        <v>5191</v>
      </c>
      <c r="I475">
        <v>59.66</v>
      </c>
      <c r="J475">
        <v>96.65</v>
      </c>
    </row>
    <row r="476" spans="1:10" x14ac:dyDescent="0.3">
      <c r="A476">
        <v>8628</v>
      </c>
      <c r="B476" t="s">
        <v>557</v>
      </c>
      <c r="C476" s="452">
        <v>46054</v>
      </c>
      <c r="D476" t="s">
        <v>459</v>
      </c>
      <c r="E476" t="s">
        <v>5843</v>
      </c>
      <c r="F476" t="s">
        <v>5799</v>
      </c>
      <c r="G476">
        <v>0.51</v>
      </c>
      <c r="H476" t="s">
        <v>5191</v>
      </c>
      <c r="I476">
        <v>59.66</v>
      </c>
      <c r="J476">
        <v>30.43</v>
      </c>
    </row>
    <row r="477" spans="1:10" x14ac:dyDescent="0.3">
      <c r="A477">
        <v>8706</v>
      </c>
      <c r="B477" t="s">
        <v>557</v>
      </c>
      <c r="C477" s="452">
        <v>46082</v>
      </c>
      <c r="D477" t="s">
        <v>460</v>
      </c>
      <c r="E477" t="s">
        <v>5843</v>
      </c>
      <c r="F477" t="s">
        <v>5799</v>
      </c>
      <c r="G477">
        <v>0.5</v>
      </c>
      <c r="H477" t="s">
        <v>5191</v>
      </c>
      <c r="I477">
        <v>59.66</v>
      </c>
      <c r="J477">
        <v>29.83</v>
      </c>
    </row>
    <row r="478" spans="1:10" x14ac:dyDescent="0.3">
      <c r="A478">
        <v>9449</v>
      </c>
      <c r="B478" t="s">
        <v>557</v>
      </c>
      <c r="C478" s="452">
        <v>46113</v>
      </c>
      <c r="D478" t="s">
        <v>461</v>
      </c>
      <c r="E478" t="s">
        <v>5843</v>
      </c>
      <c r="F478" t="s">
        <v>5799</v>
      </c>
      <c r="G478">
        <v>1.2</v>
      </c>
      <c r="H478" t="s">
        <v>5191</v>
      </c>
      <c r="I478">
        <v>59.66</v>
      </c>
      <c r="J478">
        <v>71.59</v>
      </c>
    </row>
    <row r="479" spans="1:10" x14ac:dyDescent="0.3">
      <c r="A479">
        <v>9987</v>
      </c>
      <c r="B479" t="s">
        <v>557</v>
      </c>
      <c r="C479" s="452">
        <v>46143</v>
      </c>
      <c r="D479" t="s">
        <v>462</v>
      </c>
      <c r="E479" t="s">
        <v>5843</v>
      </c>
      <c r="F479" t="s">
        <v>5799</v>
      </c>
      <c r="G479">
        <v>1.83</v>
      </c>
      <c r="H479" t="s">
        <v>5191</v>
      </c>
      <c r="I479">
        <v>59.66</v>
      </c>
      <c r="J479">
        <v>109.18</v>
      </c>
    </row>
    <row r="480" spans="1:10" x14ac:dyDescent="0.3">
      <c r="A480">
        <v>10767</v>
      </c>
      <c r="B480" t="s">
        <v>557</v>
      </c>
      <c r="C480" s="452">
        <v>46174</v>
      </c>
      <c r="D480" t="s">
        <v>463</v>
      </c>
      <c r="E480" t="s">
        <v>5843</v>
      </c>
      <c r="F480" t="s">
        <v>5799</v>
      </c>
      <c r="G480">
        <v>1.96</v>
      </c>
      <c r="H480" t="s">
        <v>5191</v>
      </c>
      <c r="I480">
        <v>59.66</v>
      </c>
      <c r="J480">
        <v>116.93</v>
      </c>
    </row>
    <row r="481" spans="1:10" x14ac:dyDescent="0.3">
      <c r="A481">
        <v>3842</v>
      </c>
      <c r="B481" t="s">
        <v>557</v>
      </c>
      <c r="C481" s="452">
        <v>45778</v>
      </c>
      <c r="D481" t="s">
        <v>4436</v>
      </c>
      <c r="E481" t="s">
        <v>5844</v>
      </c>
      <c r="F481" t="s">
        <v>5799</v>
      </c>
      <c r="G481">
        <v>0.91</v>
      </c>
      <c r="H481" t="s">
        <v>5191</v>
      </c>
      <c r="I481">
        <v>0.38</v>
      </c>
      <c r="J481">
        <v>0.35</v>
      </c>
    </row>
    <row r="482" spans="1:10" x14ac:dyDescent="0.3">
      <c r="A482">
        <v>4555</v>
      </c>
      <c r="B482" t="s">
        <v>557</v>
      </c>
      <c r="C482" s="452">
        <v>45809</v>
      </c>
      <c r="D482" t="s">
        <v>4434</v>
      </c>
      <c r="E482" t="s">
        <v>5844</v>
      </c>
      <c r="F482" t="s">
        <v>5799</v>
      </c>
      <c r="G482">
        <v>1.55</v>
      </c>
      <c r="H482" t="s">
        <v>5191</v>
      </c>
      <c r="I482">
        <v>0.38</v>
      </c>
      <c r="J482">
        <v>0.59</v>
      </c>
    </row>
    <row r="483" spans="1:10" x14ac:dyDescent="0.3">
      <c r="A483">
        <v>5207</v>
      </c>
      <c r="B483" t="s">
        <v>557</v>
      </c>
      <c r="C483" s="452">
        <v>45839</v>
      </c>
      <c r="D483" t="s">
        <v>3935</v>
      </c>
      <c r="E483" t="s">
        <v>5844</v>
      </c>
      <c r="F483" t="s">
        <v>5799</v>
      </c>
      <c r="G483">
        <v>3.59</v>
      </c>
      <c r="H483" t="s">
        <v>5191</v>
      </c>
      <c r="I483">
        <v>0.38</v>
      </c>
      <c r="J483">
        <v>1.36</v>
      </c>
    </row>
    <row r="484" spans="1:10" x14ac:dyDescent="0.3">
      <c r="A484">
        <v>5710</v>
      </c>
      <c r="B484" t="s">
        <v>557</v>
      </c>
      <c r="C484" s="452">
        <v>45870</v>
      </c>
      <c r="D484" t="s">
        <v>4040</v>
      </c>
      <c r="E484" t="s">
        <v>5844</v>
      </c>
      <c r="F484" t="s">
        <v>5799</v>
      </c>
      <c r="G484">
        <v>1</v>
      </c>
      <c r="H484" t="s">
        <v>5191</v>
      </c>
      <c r="I484">
        <v>0.38</v>
      </c>
      <c r="J484">
        <v>0.38</v>
      </c>
    </row>
    <row r="485" spans="1:10" x14ac:dyDescent="0.3">
      <c r="A485">
        <v>6381</v>
      </c>
      <c r="B485" t="s">
        <v>557</v>
      </c>
      <c r="C485" s="452">
        <v>45901</v>
      </c>
      <c r="D485" t="s">
        <v>4038</v>
      </c>
      <c r="E485" t="s">
        <v>5844</v>
      </c>
      <c r="F485" t="s">
        <v>5799</v>
      </c>
      <c r="G485">
        <v>2.2799999999999998</v>
      </c>
      <c r="H485" t="s">
        <v>5191</v>
      </c>
      <c r="I485">
        <v>0.38</v>
      </c>
      <c r="J485">
        <v>0.87</v>
      </c>
    </row>
    <row r="486" spans="1:10" x14ac:dyDescent="0.3">
      <c r="A486">
        <v>8643</v>
      </c>
      <c r="B486" t="s">
        <v>557</v>
      </c>
      <c r="C486" s="452">
        <v>46054</v>
      </c>
      <c r="D486" t="s">
        <v>459</v>
      </c>
      <c r="E486" t="s">
        <v>5844</v>
      </c>
      <c r="F486" t="s">
        <v>5799</v>
      </c>
      <c r="G486">
        <v>1</v>
      </c>
      <c r="H486" t="s">
        <v>5191</v>
      </c>
      <c r="I486">
        <v>0.38</v>
      </c>
      <c r="J486">
        <v>0.38</v>
      </c>
    </row>
    <row r="487" spans="1:10" x14ac:dyDescent="0.3">
      <c r="A487">
        <v>8735</v>
      </c>
      <c r="B487" t="s">
        <v>557</v>
      </c>
      <c r="C487" s="452">
        <v>46082</v>
      </c>
      <c r="D487" t="s">
        <v>460</v>
      </c>
      <c r="E487" t="s">
        <v>5844</v>
      </c>
      <c r="F487" t="s">
        <v>5799</v>
      </c>
      <c r="G487">
        <v>0.78</v>
      </c>
      <c r="H487" t="s">
        <v>5191</v>
      </c>
      <c r="I487">
        <v>0.38</v>
      </c>
      <c r="J487">
        <v>0.3</v>
      </c>
    </row>
    <row r="488" spans="1:10" x14ac:dyDescent="0.3">
      <c r="A488">
        <v>9478</v>
      </c>
      <c r="B488" t="s">
        <v>557</v>
      </c>
      <c r="C488" s="452">
        <v>46113</v>
      </c>
      <c r="D488" t="s">
        <v>461</v>
      </c>
      <c r="E488" t="s">
        <v>5844</v>
      </c>
      <c r="F488" t="s">
        <v>5799</v>
      </c>
      <c r="G488">
        <v>1.04</v>
      </c>
      <c r="H488" t="s">
        <v>5191</v>
      </c>
      <c r="I488">
        <v>0.38</v>
      </c>
      <c r="J488">
        <v>0.4</v>
      </c>
    </row>
    <row r="489" spans="1:10" x14ac:dyDescent="0.3">
      <c r="A489">
        <v>10019</v>
      </c>
      <c r="B489" t="s">
        <v>557</v>
      </c>
      <c r="C489" s="452">
        <v>46143</v>
      </c>
      <c r="D489" t="s">
        <v>462</v>
      </c>
      <c r="E489" t="s">
        <v>5844</v>
      </c>
      <c r="F489" t="s">
        <v>5799</v>
      </c>
      <c r="G489">
        <v>0.84</v>
      </c>
      <c r="H489" t="s">
        <v>5191</v>
      </c>
      <c r="I489">
        <v>0.38</v>
      </c>
      <c r="J489">
        <v>0.32</v>
      </c>
    </row>
    <row r="490" spans="1:10" x14ac:dyDescent="0.3">
      <c r="A490">
        <v>10722</v>
      </c>
      <c r="B490" t="s">
        <v>557</v>
      </c>
      <c r="C490" s="452">
        <v>46174</v>
      </c>
      <c r="D490" t="s">
        <v>463</v>
      </c>
      <c r="E490" t="s">
        <v>5844</v>
      </c>
      <c r="F490" t="s">
        <v>5799</v>
      </c>
      <c r="G490">
        <v>0.59</v>
      </c>
      <c r="H490" t="s">
        <v>5191</v>
      </c>
      <c r="I490">
        <v>0.38</v>
      </c>
      <c r="J490">
        <v>0.22</v>
      </c>
    </row>
    <row r="491" spans="1:10" x14ac:dyDescent="0.3">
      <c r="A491">
        <v>8724</v>
      </c>
      <c r="B491" t="s">
        <v>557</v>
      </c>
      <c r="C491" s="452">
        <v>46082</v>
      </c>
      <c r="D491" t="s">
        <v>460</v>
      </c>
      <c r="E491" t="s">
        <v>5845</v>
      </c>
      <c r="F491" t="s">
        <v>5799</v>
      </c>
      <c r="G491">
        <v>0.19</v>
      </c>
      <c r="H491" t="s">
        <v>5191</v>
      </c>
      <c r="I491">
        <v>22.48</v>
      </c>
      <c r="J491">
        <v>4.2699999999999996</v>
      </c>
    </row>
    <row r="492" spans="1:10" x14ac:dyDescent="0.3">
      <c r="A492">
        <v>8726</v>
      </c>
      <c r="B492" t="s">
        <v>557</v>
      </c>
      <c r="C492" s="452">
        <v>46082</v>
      </c>
      <c r="D492" t="s">
        <v>460</v>
      </c>
      <c r="E492" t="s">
        <v>5846</v>
      </c>
      <c r="F492" t="s">
        <v>5799</v>
      </c>
      <c r="G492">
        <v>1.1499999999999999</v>
      </c>
      <c r="H492" t="s">
        <v>5191</v>
      </c>
      <c r="I492">
        <v>33.4</v>
      </c>
      <c r="J492">
        <v>38.409999999999997</v>
      </c>
    </row>
    <row r="493" spans="1:10" x14ac:dyDescent="0.3">
      <c r="A493">
        <v>9471</v>
      </c>
      <c r="B493" t="s">
        <v>557</v>
      </c>
      <c r="C493" s="452">
        <v>46113</v>
      </c>
      <c r="D493" t="s">
        <v>461</v>
      </c>
      <c r="E493" t="s">
        <v>5846</v>
      </c>
      <c r="F493" t="s">
        <v>5799</v>
      </c>
      <c r="G493">
        <v>2.7</v>
      </c>
      <c r="H493" t="s">
        <v>5191</v>
      </c>
      <c r="I493">
        <v>33.4</v>
      </c>
      <c r="J493">
        <v>90.18</v>
      </c>
    </row>
    <row r="494" spans="1:10" x14ac:dyDescent="0.3">
      <c r="A494">
        <v>8645</v>
      </c>
      <c r="B494" t="s">
        <v>557</v>
      </c>
      <c r="C494" s="452">
        <v>46054</v>
      </c>
      <c r="D494" t="s">
        <v>459</v>
      </c>
      <c r="E494" t="s">
        <v>5847</v>
      </c>
      <c r="F494" t="s">
        <v>5799</v>
      </c>
      <c r="G494">
        <v>2.5</v>
      </c>
      <c r="H494" t="s">
        <v>5191</v>
      </c>
      <c r="I494">
        <v>12.73</v>
      </c>
      <c r="J494">
        <v>31.83</v>
      </c>
    </row>
    <row r="495" spans="1:10" x14ac:dyDescent="0.3">
      <c r="A495">
        <v>8739</v>
      </c>
      <c r="B495" t="s">
        <v>557</v>
      </c>
      <c r="C495" s="452">
        <v>46082</v>
      </c>
      <c r="D495" t="s">
        <v>460</v>
      </c>
      <c r="E495" t="s">
        <v>5847</v>
      </c>
      <c r="F495" t="s">
        <v>5799</v>
      </c>
      <c r="G495">
        <v>0.23</v>
      </c>
      <c r="H495" t="s">
        <v>5191</v>
      </c>
      <c r="I495">
        <v>12.73</v>
      </c>
      <c r="J495">
        <v>2.93</v>
      </c>
    </row>
    <row r="496" spans="1:10" x14ac:dyDescent="0.3">
      <c r="A496">
        <v>9482</v>
      </c>
      <c r="B496" t="s">
        <v>557</v>
      </c>
      <c r="C496" s="452">
        <v>46113</v>
      </c>
      <c r="D496" t="s">
        <v>461</v>
      </c>
      <c r="E496" t="s">
        <v>5847</v>
      </c>
      <c r="F496" t="s">
        <v>5799</v>
      </c>
      <c r="G496">
        <v>1.7</v>
      </c>
      <c r="H496" t="s">
        <v>5191</v>
      </c>
      <c r="I496">
        <v>12.73</v>
      </c>
      <c r="J496">
        <v>21.64</v>
      </c>
    </row>
    <row r="497" spans="1:10" x14ac:dyDescent="0.3">
      <c r="A497">
        <v>10023</v>
      </c>
      <c r="B497" t="s">
        <v>557</v>
      </c>
      <c r="C497" s="452">
        <v>46143</v>
      </c>
      <c r="D497" t="s">
        <v>462</v>
      </c>
      <c r="E497" t="s">
        <v>5847</v>
      </c>
      <c r="F497" t="s">
        <v>5799</v>
      </c>
      <c r="G497">
        <v>0.14000000000000001</v>
      </c>
      <c r="H497" t="s">
        <v>5191</v>
      </c>
      <c r="I497">
        <v>12.73</v>
      </c>
      <c r="J497">
        <v>1.78</v>
      </c>
    </row>
    <row r="498" spans="1:10" x14ac:dyDescent="0.3">
      <c r="A498">
        <v>10743</v>
      </c>
      <c r="B498" t="s">
        <v>557</v>
      </c>
      <c r="C498" s="452">
        <v>46174</v>
      </c>
      <c r="D498" t="s">
        <v>463</v>
      </c>
      <c r="E498" t="s">
        <v>5847</v>
      </c>
      <c r="F498" t="s">
        <v>5799</v>
      </c>
      <c r="G498">
        <v>1.25</v>
      </c>
      <c r="H498" t="s">
        <v>5191</v>
      </c>
      <c r="I498">
        <v>12.73</v>
      </c>
      <c r="J498">
        <v>15.91</v>
      </c>
    </row>
    <row r="499" spans="1:10" x14ac:dyDescent="0.3">
      <c r="A499">
        <v>3312</v>
      </c>
      <c r="B499" t="s">
        <v>557</v>
      </c>
      <c r="C499" s="452">
        <v>45748</v>
      </c>
      <c r="D499" t="s">
        <v>4455</v>
      </c>
      <c r="E499" t="s">
        <v>5848</v>
      </c>
      <c r="F499" t="s">
        <v>5799</v>
      </c>
      <c r="G499">
        <v>0.67</v>
      </c>
      <c r="H499" t="s">
        <v>5191</v>
      </c>
      <c r="I499">
        <v>1.06</v>
      </c>
      <c r="J499">
        <v>0.71</v>
      </c>
    </row>
    <row r="500" spans="1:10" x14ac:dyDescent="0.3">
      <c r="A500">
        <v>3840</v>
      </c>
      <c r="B500" t="s">
        <v>557</v>
      </c>
      <c r="C500" s="452">
        <v>45778</v>
      </c>
      <c r="D500" t="s">
        <v>4436</v>
      </c>
      <c r="E500" t="s">
        <v>5848</v>
      </c>
      <c r="F500" t="s">
        <v>5799</v>
      </c>
      <c r="G500">
        <v>0.99</v>
      </c>
      <c r="H500" t="s">
        <v>5191</v>
      </c>
      <c r="I500">
        <v>1.06</v>
      </c>
      <c r="J500">
        <v>1.05</v>
      </c>
    </row>
    <row r="501" spans="1:10" x14ac:dyDescent="0.3">
      <c r="A501">
        <v>4551</v>
      </c>
      <c r="B501" t="s">
        <v>557</v>
      </c>
      <c r="C501" s="452">
        <v>45809</v>
      </c>
      <c r="D501" t="s">
        <v>4434</v>
      </c>
      <c r="E501" t="s">
        <v>5848</v>
      </c>
      <c r="F501" t="s">
        <v>5799</v>
      </c>
      <c r="G501">
        <v>0.51</v>
      </c>
      <c r="H501" t="s">
        <v>5191</v>
      </c>
      <c r="I501">
        <v>1.06</v>
      </c>
      <c r="J501">
        <v>0.54</v>
      </c>
    </row>
    <row r="502" spans="1:10" x14ac:dyDescent="0.3">
      <c r="A502">
        <v>5203</v>
      </c>
      <c r="B502" t="s">
        <v>557</v>
      </c>
      <c r="C502" s="452">
        <v>45839</v>
      </c>
      <c r="D502" t="s">
        <v>3935</v>
      </c>
      <c r="E502" t="s">
        <v>5848</v>
      </c>
      <c r="F502" t="s">
        <v>5799</v>
      </c>
      <c r="G502">
        <v>1.36</v>
      </c>
      <c r="H502" t="s">
        <v>5191</v>
      </c>
      <c r="I502">
        <v>1.06</v>
      </c>
      <c r="J502">
        <v>1.44</v>
      </c>
    </row>
    <row r="503" spans="1:10" x14ac:dyDescent="0.3">
      <c r="A503">
        <v>5706</v>
      </c>
      <c r="B503" t="s">
        <v>557</v>
      </c>
      <c r="C503" s="452">
        <v>45870</v>
      </c>
      <c r="D503" t="s">
        <v>4040</v>
      </c>
      <c r="E503" t="s">
        <v>5848</v>
      </c>
      <c r="F503" t="s">
        <v>5799</v>
      </c>
      <c r="G503">
        <v>2.54</v>
      </c>
      <c r="H503" t="s">
        <v>5191</v>
      </c>
      <c r="I503">
        <v>1.06</v>
      </c>
      <c r="J503">
        <v>2.69</v>
      </c>
    </row>
    <row r="504" spans="1:10" x14ac:dyDescent="0.3">
      <c r="A504">
        <v>6378</v>
      </c>
      <c r="B504" t="s">
        <v>557</v>
      </c>
      <c r="C504" s="452">
        <v>45901</v>
      </c>
      <c r="D504" t="s">
        <v>4038</v>
      </c>
      <c r="E504" t="s">
        <v>5848</v>
      </c>
      <c r="F504" t="s">
        <v>5799</v>
      </c>
      <c r="G504">
        <v>1.68</v>
      </c>
      <c r="H504" t="s">
        <v>5191</v>
      </c>
      <c r="I504">
        <v>1.06</v>
      </c>
      <c r="J504">
        <v>1.78</v>
      </c>
    </row>
    <row r="505" spans="1:10" x14ac:dyDescent="0.3">
      <c r="A505">
        <v>6948</v>
      </c>
      <c r="B505" t="s">
        <v>557</v>
      </c>
      <c r="C505" s="452">
        <v>45931</v>
      </c>
      <c r="D505" t="s">
        <v>3999</v>
      </c>
      <c r="E505" t="s">
        <v>5848</v>
      </c>
      <c r="F505" t="s">
        <v>5799</v>
      </c>
      <c r="G505">
        <v>1.2</v>
      </c>
      <c r="H505" t="s">
        <v>5191</v>
      </c>
      <c r="I505">
        <v>1.06</v>
      </c>
      <c r="J505">
        <v>1.27</v>
      </c>
    </row>
    <row r="506" spans="1:10" x14ac:dyDescent="0.3">
      <c r="A506">
        <v>7231</v>
      </c>
      <c r="B506" t="s">
        <v>557</v>
      </c>
      <c r="C506" s="452">
        <v>45962</v>
      </c>
      <c r="D506" t="s">
        <v>751</v>
      </c>
      <c r="E506" t="s">
        <v>5848</v>
      </c>
      <c r="F506" t="s">
        <v>5799</v>
      </c>
      <c r="G506">
        <v>2.5</v>
      </c>
      <c r="H506" t="s">
        <v>5191</v>
      </c>
      <c r="I506">
        <v>1.06</v>
      </c>
      <c r="J506">
        <v>2.65</v>
      </c>
    </row>
    <row r="507" spans="1:10" x14ac:dyDescent="0.3">
      <c r="A507">
        <v>7687</v>
      </c>
      <c r="B507" t="s">
        <v>557</v>
      </c>
      <c r="C507" s="452">
        <v>45992</v>
      </c>
      <c r="D507" t="s">
        <v>753</v>
      </c>
      <c r="E507" t="s">
        <v>5848</v>
      </c>
      <c r="F507" t="s">
        <v>5799</v>
      </c>
      <c r="G507">
        <v>1.2</v>
      </c>
      <c r="H507" t="s">
        <v>5191</v>
      </c>
      <c r="I507">
        <v>1.06</v>
      </c>
      <c r="J507">
        <v>1.27</v>
      </c>
    </row>
    <row r="508" spans="1:10" x14ac:dyDescent="0.3">
      <c r="A508">
        <v>8640</v>
      </c>
      <c r="B508" t="s">
        <v>557</v>
      </c>
      <c r="C508" s="452">
        <v>46054</v>
      </c>
      <c r="D508" t="s">
        <v>459</v>
      </c>
      <c r="E508" t="s">
        <v>5848</v>
      </c>
      <c r="F508" t="s">
        <v>5799</v>
      </c>
      <c r="G508">
        <v>1</v>
      </c>
      <c r="H508" t="s">
        <v>5191</v>
      </c>
      <c r="I508">
        <v>1.06</v>
      </c>
      <c r="J508">
        <v>1.06</v>
      </c>
    </row>
    <row r="509" spans="1:10" x14ac:dyDescent="0.3">
      <c r="A509">
        <v>8731</v>
      </c>
      <c r="B509" t="s">
        <v>557</v>
      </c>
      <c r="C509" s="452">
        <v>46082</v>
      </c>
      <c r="D509" t="s">
        <v>460</v>
      </c>
      <c r="E509" t="s">
        <v>5848</v>
      </c>
      <c r="F509" t="s">
        <v>5799</v>
      </c>
      <c r="G509">
        <v>3.93</v>
      </c>
      <c r="H509" t="s">
        <v>5191</v>
      </c>
      <c r="I509">
        <v>1.06</v>
      </c>
      <c r="J509">
        <v>4.17</v>
      </c>
    </row>
    <row r="510" spans="1:10" x14ac:dyDescent="0.3">
      <c r="A510">
        <v>9474</v>
      </c>
      <c r="B510" t="s">
        <v>557</v>
      </c>
      <c r="C510" s="452">
        <v>46113</v>
      </c>
      <c r="D510" t="s">
        <v>461</v>
      </c>
      <c r="E510" t="s">
        <v>5848</v>
      </c>
      <c r="F510" t="s">
        <v>5799</v>
      </c>
      <c r="G510">
        <v>2.2000000000000002</v>
      </c>
      <c r="H510" t="s">
        <v>5191</v>
      </c>
      <c r="I510">
        <v>1.06</v>
      </c>
      <c r="J510">
        <v>2.33</v>
      </c>
    </row>
    <row r="511" spans="1:10" x14ac:dyDescent="0.3">
      <c r="A511">
        <v>10017</v>
      </c>
      <c r="B511" t="s">
        <v>557</v>
      </c>
      <c r="C511" s="452">
        <v>46143</v>
      </c>
      <c r="D511" t="s">
        <v>462</v>
      </c>
      <c r="E511" t="s">
        <v>5848</v>
      </c>
      <c r="F511" t="s">
        <v>5799</v>
      </c>
      <c r="G511">
        <v>0.72</v>
      </c>
      <c r="H511" t="s">
        <v>5191</v>
      </c>
      <c r="I511">
        <v>1.06</v>
      </c>
      <c r="J511">
        <v>0.76</v>
      </c>
    </row>
    <row r="512" spans="1:10" x14ac:dyDescent="0.3">
      <c r="A512">
        <v>10723</v>
      </c>
      <c r="B512" t="s">
        <v>557</v>
      </c>
      <c r="C512" s="452">
        <v>46174</v>
      </c>
      <c r="D512" t="s">
        <v>463</v>
      </c>
      <c r="E512" t="s">
        <v>5848</v>
      </c>
      <c r="F512" t="s">
        <v>5799</v>
      </c>
      <c r="G512">
        <v>2.9</v>
      </c>
      <c r="H512" t="s">
        <v>5191</v>
      </c>
      <c r="I512">
        <v>1.06</v>
      </c>
      <c r="J512">
        <v>3.07</v>
      </c>
    </row>
    <row r="513" spans="1:10" x14ac:dyDescent="0.3">
      <c r="A513">
        <v>3689</v>
      </c>
      <c r="B513" t="s">
        <v>557</v>
      </c>
      <c r="C513" s="452">
        <v>45748</v>
      </c>
      <c r="D513" t="s">
        <v>4455</v>
      </c>
      <c r="E513" t="s">
        <v>5849</v>
      </c>
      <c r="F513" t="s">
        <v>5799</v>
      </c>
      <c r="G513">
        <v>4</v>
      </c>
      <c r="H513" t="s">
        <v>5191</v>
      </c>
      <c r="I513">
        <v>4.71</v>
      </c>
      <c r="J513">
        <v>18.84</v>
      </c>
    </row>
    <row r="514" spans="1:10" x14ac:dyDescent="0.3">
      <c r="A514">
        <v>3845</v>
      </c>
      <c r="B514" t="s">
        <v>557</v>
      </c>
      <c r="C514" s="452">
        <v>45778</v>
      </c>
      <c r="D514" t="s">
        <v>4436</v>
      </c>
      <c r="E514" t="s">
        <v>5849</v>
      </c>
      <c r="F514" t="s">
        <v>5799</v>
      </c>
      <c r="G514">
        <v>6</v>
      </c>
      <c r="H514" t="s">
        <v>5191</v>
      </c>
      <c r="I514">
        <v>4.71</v>
      </c>
      <c r="J514">
        <v>28.26</v>
      </c>
    </row>
    <row r="515" spans="1:10" x14ac:dyDescent="0.3">
      <c r="A515">
        <v>5489</v>
      </c>
      <c r="B515" t="s">
        <v>557</v>
      </c>
      <c r="C515" s="452">
        <v>45839</v>
      </c>
      <c r="D515" t="s">
        <v>3935</v>
      </c>
      <c r="E515" t="s">
        <v>5849</v>
      </c>
      <c r="F515" t="s">
        <v>5799</v>
      </c>
      <c r="G515">
        <v>7</v>
      </c>
      <c r="H515" t="s">
        <v>5191</v>
      </c>
      <c r="I515">
        <v>4.71</v>
      </c>
      <c r="J515">
        <v>32.97</v>
      </c>
    </row>
    <row r="516" spans="1:10" x14ac:dyDescent="0.3">
      <c r="A516">
        <v>5713</v>
      </c>
      <c r="B516" t="s">
        <v>557</v>
      </c>
      <c r="C516" s="452">
        <v>45870</v>
      </c>
      <c r="D516" t="s">
        <v>4040</v>
      </c>
      <c r="E516" t="s">
        <v>5849</v>
      </c>
      <c r="F516" t="s">
        <v>5799</v>
      </c>
      <c r="G516">
        <v>3</v>
      </c>
      <c r="H516" t="s">
        <v>5191</v>
      </c>
      <c r="I516">
        <v>4.71</v>
      </c>
      <c r="J516">
        <v>14.13</v>
      </c>
    </row>
    <row r="517" spans="1:10" x14ac:dyDescent="0.3">
      <c r="A517">
        <v>6384</v>
      </c>
      <c r="B517" t="s">
        <v>557</v>
      </c>
      <c r="C517" s="452">
        <v>45901</v>
      </c>
      <c r="D517" t="s">
        <v>4038</v>
      </c>
      <c r="E517" t="s">
        <v>5849</v>
      </c>
      <c r="F517" t="s">
        <v>5799</v>
      </c>
      <c r="G517">
        <v>5</v>
      </c>
      <c r="H517" t="s">
        <v>5191</v>
      </c>
      <c r="I517">
        <v>4.71</v>
      </c>
      <c r="J517">
        <v>23.55</v>
      </c>
    </row>
    <row r="518" spans="1:10" x14ac:dyDescent="0.3">
      <c r="A518">
        <v>6953</v>
      </c>
      <c r="B518" t="s">
        <v>557</v>
      </c>
      <c r="C518" s="452">
        <v>45931</v>
      </c>
      <c r="D518" t="s">
        <v>3999</v>
      </c>
      <c r="E518" t="s">
        <v>5849</v>
      </c>
      <c r="F518" t="s">
        <v>5799</v>
      </c>
      <c r="G518">
        <v>6</v>
      </c>
      <c r="H518" t="s">
        <v>5191</v>
      </c>
      <c r="I518">
        <v>4.71</v>
      </c>
      <c r="J518">
        <v>28.26</v>
      </c>
    </row>
    <row r="519" spans="1:10" x14ac:dyDescent="0.3">
      <c r="A519">
        <v>7236</v>
      </c>
      <c r="B519" t="s">
        <v>557</v>
      </c>
      <c r="C519" s="452">
        <v>45962</v>
      </c>
      <c r="D519" t="s">
        <v>751</v>
      </c>
      <c r="E519" t="s">
        <v>5849</v>
      </c>
      <c r="F519" t="s">
        <v>5799</v>
      </c>
      <c r="G519">
        <v>6</v>
      </c>
      <c r="H519" t="s">
        <v>5191</v>
      </c>
      <c r="I519">
        <v>4.71</v>
      </c>
      <c r="J519">
        <v>28.26</v>
      </c>
    </row>
    <row r="520" spans="1:10" x14ac:dyDescent="0.3">
      <c r="A520">
        <v>7691</v>
      </c>
      <c r="B520" t="s">
        <v>557</v>
      </c>
      <c r="C520" s="452">
        <v>45992</v>
      </c>
      <c r="D520" t="s">
        <v>753</v>
      </c>
      <c r="E520" t="s">
        <v>5849</v>
      </c>
      <c r="F520" t="s">
        <v>5799</v>
      </c>
      <c r="G520">
        <v>3</v>
      </c>
      <c r="H520" t="s">
        <v>5191</v>
      </c>
      <c r="I520">
        <v>4.71</v>
      </c>
      <c r="J520">
        <v>14.13</v>
      </c>
    </row>
    <row r="521" spans="1:10" x14ac:dyDescent="0.3">
      <c r="A521">
        <v>8644</v>
      </c>
      <c r="B521" t="s">
        <v>557</v>
      </c>
      <c r="C521" s="452">
        <v>46054</v>
      </c>
      <c r="D521" t="s">
        <v>459</v>
      </c>
      <c r="E521" t="s">
        <v>5849</v>
      </c>
      <c r="F521" t="s">
        <v>5799</v>
      </c>
      <c r="G521">
        <v>4</v>
      </c>
      <c r="H521" t="s">
        <v>5191</v>
      </c>
      <c r="I521">
        <v>4.71</v>
      </c>
      <c r="J521">
        <v>18.84</v>
      </c>
    </row>
    <row r="522" spans="1:10" x14ac:dyDescent="0.3">
      <c r="A522">
        <v>8738</v>
      </c>
      <c r="B522" t="s">
        <v>557</v>
      </c>
      <c r="C522" s="452">
        <v>46082</v>
      </c>
      <c r="D522" t="s">
        <v>460</v>
      </c>
      <c r="E522" t="s">
        <v>5849</v>
      </c>
      <c r="F522" t="s">
        <v>5799</v>
      </c>
      <c r="G522">
        <v>1.1000000000000001</v>
      </c>
      <c r="H522" t="s">
        <v>5191</v>
      </c>
      <c r="I522">
        <v>4.71</v>
      </c>
      <c r="J522">
        <v>5.18</v>
      </c>
    </row>
    <row r="523" spans="1:10" x14ac:dyDescent="0.3">
      <c r="A523">
        <v>9481</v>
      </c>
      <c r="B523" t="s">
        <v>557</v>
      </c>
      <c r="C523" s="452">
        <v>46113</v>
      </c>
      <c r="D523" t="s">
        <v>461</v>
      </c>
      <c r="E523" t="s">
        <v>5849</v>
      </c>
      <c r="F523" t="s">
        <v>5799</v>
      </c>
      <c r="G523">
        <v>8</v>
      </c>
      <c r="H523" t="s">
        <v>5191</v>
      </c>
      <c r="I523">
        <v>4.71</v>
      </c>
      <c r="J523">
        <v>37.68</v>
      </c>
    </row>
    <row r="524" spans="1:10" x14ac:dyDescent="0.3">
      <c r="A524">
        <v>10022</v>
      </c>
      <c r="B524" t="s">
        <v>557</v>
      </c>
      <c r="C524" s="452">
        <v>46143</v>
      </c>
      <c r="D524" t="s">
        <v>462</v>
      </c>
      <c r="E524" t="s">
        <v>5849</v>
      </c>
      <c r="F524" t="s">
        <v>5799</v>
      </c>
      <c r="G524">
        <v>9</v>
      </c>
      <c r="H524" t="s">
        <v>5191</v>
      </c>
      <c r="I524">
        <v>4.71</v>
      </c>
      <c r="J524">
        <v>42.39</v>
      </c>
    </row>
    <row r="525" spans="1:10" x14ac:dyDescent="0.3">
      <c r="A525">
        <v>10733</v>
      </c>
      <c r="B525" t="s">
        <v>557</v>
      </c>
      <c r="C525" s="452">
        <v>46174</v>
      </c>
      <c r="D525" t="s">
        <v>463</v>
      </c>
      <c r="E525" t="s">
        <v>5849</v>
      </c>
      <c r="F525" t="s">
        <v>5799</v>
      </c>
      <c r="G525">
        <v>6</v>
      </c>
      <c r="H525" t="s">
        <v>5191</v>
      </c>
      <c r="I525">
        <v>4.71</v>
      </c>
      <c r="J525">
        <v>28.26</v>
      </c>
    </row>
    <row r="526" spans="1:10" x14ac:dyDescent="0.3">
      <c r="A526">
        <v>4404</v>
      </c>
      <c r="B526" t="s">
        <v>557</v>
      </c>
      <c r="C526" s="452">
        <v>45778</v>
      </c>
      <c r="D526" t="s">
        <v>4436</v>
      </c>
      <c r="E526" t="s">
        <v>5850</v>
      </c>
      <c r="F526" t="s">
        <v>5799</v>
      </c>
      <c r="G526">
        <v>0.62</v>
      </c>
      <c r="H526" t="s">
        <v>5191</v>
      </c>
      <c r="I526">
        <v>35</v>
      </c>
      <c r="J526">
        <v>21.7</v>
      </c>
    </row>
    <row r="527" spans="1:10" x14ac:dyDescent="0.3">
      <c r="A527">
        <v>4552</v>
      </c>
      <c r="B527" t="s">
        <v>557</v>
      </c>
      <c r="C527" s="452">
        <v>45809</v>
      </c>
      <c r="D527" t="s">
        <v>4434</v>
      </c>
      <c r="E527" t="s">
        <v>5850</v>
      </c>
      <c r="F527" t="s">
        <v>5799</v>
      </c>
      <c r="G527">
        <v>0.48</v>
      </c>
      <c r="H527" t="s">
        <v>5191</v>
      </c>
      <c r="I527">
        <v>35</v>
      </c>
      <c r="J527">
        <v>16.8</v>
      </c>
    </row>
    <row r="528" spans="1:10" x14ac:dyDescent="0.3">
      <c r="A528">
        <v>5204</v>
      </c>
      <c r="B528" t="s">
        <v>557</v>
      </c>
      <c r="C528" s="452">
        <v>45839</v>
      </c>
      <c r="D528" t="s">
        <v>3935</v>
      </c>
      <c r="E528" t="s">
        <v>5850</v>
      </c>
      <c r="F528" t="s">
        <v>5799</v>
      </c>
      <c r="G528">
        <v>2.5</v>
      </c>
      <c r="H528" t="s">
        <v>5191</v>
      </c>
      <c r="I528">
        <v>35</v>
      </c>
      <c r="J528">
        <v>87.5</v>
      </c>
    </row>
    <row r="529" spans="1:10" x14ac:dyDescent="0.3">
      <c r="A529">
        <v>5707</v>
      </c>
      <c r="B529" t="s">
        <v>557</v>
      </c>
      <c r="C529" s="452">
        <v>45870</v>
      </c>
      <c r="D529" t="s">
        <v>4040</v>
      </c>
      <c r="E529" t="s">
        <v>5850</v>
      </c>
      <c r="F529" t="s">
        <v>5799</v>
      </c>
      <c r="G529">
        <v>1.5</v>
      </c>
      <c r="H529" t="s">
        <v>5191</v>
      </c>
      <c r="I529">
        <v>35</v>
      </c>
      <c r="J529">
        <v>52.5</v>
      </c>
    </row>
    <row r="530" spans="1:10" x14ac:dyDescent="0.3">
      <c r="A530">
        <v>8641</v>
      </c>
      <c r="B530" t="s">
        <v>557</v>
      </c>
      <c r="C530" s="452">
        <v>46054</v>
      </c>
      <c r="D530" t="s">
        <v>459</v>
      </c>
      <c r="E530" t="s">
        <v>5850</v>
      </c>
      <c r="F530" t="s">
        <v>5799</v>
      </c>
      <c r="G530">
        <v>0.44</v>
      </c>
      <c r="H530" t="s">
        <v>5191</v>
      </c>
      <c r="I530">
        <v>35</v>
      </c>
      <c r="J530">
        <v>15.4</v>
      </c>
    </row>
    <row r="531" spans="1:10" x14ac:dyDescent="0.3">
      <c r="A531">
        <v>8732</v>
      </c>
      <c r="B531" t="s">
        <v>557</v>
      </c>
      <c r="C531" s="452">
        <v>46082</v>
      </c>
      <c r="D531" t="s">
        <v>460</v>
      </c>
      <c r="E531" t="s">
        <v>5850</v>
      </c>
      <c r="F531" t="s">
        <v>5799</v>
      </c>
      <c r="G531">
        <v>0.6</v>
      </c>
      <c r="H531" t="s">
        <v>5191</v>
      </c>
      <c r="I531">
        <v>35</v>
      </c>
      <c r="J531">
        <v>21</v>
      </c>
    </row>
    <row r="532" spans="1:10" x14ac:dyDescent="0.3">
      <c r="A532">
        <v>9475</v>
      </c>
      <c r="B532" t="s">
        <v>557</v>
      </c>
      <c r="C532" s="452">
        <v>46113</v>
      </c>
      <c r="D532" t="s">
        <v>461</v>
      </c>
      <c r="E532" t="s">
        <v>5850</v>
      </c>
      <c r="F532" t="s">
        <v>5799</v>
      </c>
      <c r="G532">
        <v>0.4</v>
      </c>
      <c r="H532" t="s">
        <v>5191</v>
      </c>
      <c r="I532">
        <v>35</v>
      </c>
      <c r="J532">
        <v>14</v>
      </c>
    </row>
    <row r="533" spans="1:10" x14ac:dyDescent="0.3">
      <c r="A533">
        <v>10775</v>
      </c>
      <c r="B533" t="s">
        <v>557</v>
      </c>
      <c r="C533" s="452">
        <v>46174</v>
      </c>
      <c r="D533" t="s">
        <v>463</v>
      </c>
      <c r="E533" t="s">
        <v>5850</v>
      </c>
      <c r="F533" t="s">
        <v>5799</v>
      </c>
      <c r="G533">
        <v>0.28000000000000003</v>
      </c>
      <c r="H533" t="s">
        <v>5191</v>
      </c>
      <c r="I533">
        <v>35</v>
      </c>
      <c r="J533">
        <v>9.8000000000000007</v>
      </c>
    </row>
    <row r="534" spans="1:10" x14ac:dyDescent="0.3">
      <c r="A534">
        <v>4401</v>
      </c>
      <c r="B534" t="s">
        <v>557</v>
      </c>
      <c r="C534" s="452">
        <v>45778</v>
      </c>
      <c r="D534" t="s">
        <v>4436</v>
      </c>
      <c r="E534" t="s">
        <v>5851</v>
      </c>
      <c r="F534" t="s">
        <v>5799</v>
      </c>
      <c r="G534">
        <v>1.97</v>
      </c>
      <c r="H534" t="s">
        <v>5191</v>
      </c>
      <c r="I534">
        <v>97.37</v>
      </c>
      <c r="J534">
        <v>191.82</v>
      </c>
    </row>
    <row r="535" spans="1:10" x14ac:dyDescent="0.3">
      <c r="A535">
        <v>4535</v>
      </c>
      <c r="B535" t="s">
        <v>557</v>
      </c>
      <c r="C535" s="452">
        <v>45809</v>
      </c>
      <c r="D535" t="s">
        <v>4434</v>
      </c>
      <c r="E535" t="s">
        <v>5851</v>
      </c>
      <c r="F535" t="s">
        <v>5799</v>
      </c>
      <c r="G535">
        <v>1</v>
      </c>
      <c r="H535" t="s">
        <v>5191</v>
      </c>
      <c r="I535">
        <v>97.37</v>
      </c>
      <c r="J535">
        <v>97.37</v>
      </c>
    </row>
    <row r="536" spans="1:10" x14ac:dyDescent="0.3">
      <c r="A536">
        <v>5188</v>
      </c>
      <c r="B536" t="s">
        <v>557</v>
      </c>
      <c r="C536" s="452">
        <v>45839</v>
      </c>
      <c r="D536" t="s">
        <v>3935</v>
      </c>
      <c r="E536" t="s">
        <v>5851</v>
      </c>
      <c r="F536" t="s">
        <v>5799</v>
      </c>
      <c r="G536">
        <v>2.87</v>
      </c>
      <c r="H536" t="s">
        <v>5191</v>
      </c>
      <c r="I536">
        <v>97.37</v>
      </c>
      <c r="J536">
        <v>279.45</v>
      </c>
    </row>
    <row r="537" spans="1:10" x14ac:dyDescent="0.3">
      <c r="A537">
        <v>5687</v>
      </c>
      <c r="B537" t="s">
        <v>557</v>
      </c>
      <c r="C537" s="452">
        <v>45870</v>
      </c>
      <c r="D537" t="s">
        <v>4040</v>
      </c>
      <c r="E537" t="s">
        <v>5851</v>
      </c>
      <c r="F537" t="s">
        <v>5799</v>
      </c>
      <c r="G537">
        <v>1.32</v>
      </c>
      <c r="H537" t="s">
        <v>5191</v>
      </c>
      <c r="I537">
        <v>97.37</v>
      </c>
      <c r="J537">
        <v>128.53</v>
      </c>
    </row>
    <row r="538" spans="1:10" x14ac:dyDescent="0.3">
      <c r="A538">
        <v>6360</v>
      </c>
      <c r="B538" t="s">
        <v>557</v>
      </c>
      <c r="C538" s="452">
        <v>45901</v>
      </c>
      <c r="D538" t="s">
        <v>4038</v>
      </c>
      <c r="E538" t="s">
        <v>5851</v>
      </c>
      <c r="F538" t="s">
        <v>5799</v>
      </c>
      <c r="G538">
        <v>1.2</v>
      </c>
      <c r="H538" t="s">
        <v>5191</v>
      </c>
      <c r="I538">
        <v>97.37</v>
      </c>
      <c r="J538">
        <v>116.84</v>
      </c>
    </row>
    <row r="539" spans="1:10" x14ac:dyDescent="0.3">
      <c r="A539">
        <v>6931</v>
      </c>
      <c r="B539" t="s">
        <v>557</v>
      </c>
      <c r="C539" s="452">
        <v>45931</v>
      </c>
      <c r="D539" t="s">
        <v>3999</v>
      </c>
      <c r="E539" t="s">
        <v>5851</v>
      </c>
      <c r="F539" t="s">
        <v>5799</v>
      </c>
      <c r="G539">
        <v>0.8</v>
      </c>
      <c r="H539" t="s">
        <v>5191</v>
      </c>
      <c r="I539">
        <v>97.37</v>
      </c>
      <c r="J539">
        <v>77.900000000000006</v>
      </c>
    </row>
    <row r="540" spans="1:10" x14ac:dyDescent="0.3">
      <c r="A540">
        <v>7215</v>
      </c>
      <c r="B540" t="s">
        <v>557</v>
      </c>
      <c r="C540" s="452">
        <v>45962</v>
      </c>
      <c r="D540" t="s">
        <v>751</v>
      </c>
      <c r="E540" t="s">
        <v>5851</v>
      </c>
      <c r="F540" t="s">
        <v>5799</v>
      </c>
      <c r="G540">
        <v>2.1</v>
      </c>
      <c r="H540" t="s">
        <v>5191</v>
      </c>
      <c r="I540">
        <v>97.37</v>
      </c>
      <c r="J540">
        <v>204.48</v>
      </c>
    </row>
    <row r="541" spans="1:10" x14ac:dyDescent="0.3">
      <c r="A541">
        <v>7673</v>
      </c>
      <c r="B541" t="s">
        <v>557</v>
      </c>
      <c r="C541" s="452">
        <v>45992</v>
      </c>
      <c r="D541" t="s">
        <v>753</v>
      </c>
      <c r="E541" t="s">
        <v>5851</v>
      </c>
      <c r="F541" t="s">
        <v>5799</v>
      </c>
      <c r="G541">
        <v>0.6</v>
      </c>
      <c r="H541" t="s">
        <v>5191</v>
      </c>
      <c r="I541">
        <v>97.37</v>
      </c>
      <c r="J541">
        <v>58.42</v>
      </c>
    </row>
    <row r="542" spans="1:10" x14ac:dyDescent="0.3">
      <c r="A542">
        <v>9456</v>
      </c>
      <c r="B542" t="s">
        <v>557</v>
      </c>
      <c r="C542" s="452">
        <v>46113</v>
      </c>
      <c r="D542" t="s">
        <v>461</v>
      </c>
      <c r="E542" t="s">
        <v>5851</v>
      </c>
      <c r="F542" t="s">
        <v>5799</v>
      </c>
      <c r="G542">
        <v>1</v>
      </c>
      <c r="H542" t="s">
        <v>5191</v>
      </c>
      <c r="I542">
        <v>16.98</v>
      </c>
      <c r="J542">
        <v>16.98</v>
      </c>
    </row>
    <row r="543" spans="1:10" x14ac:dyDescent="0.3">
      <c r="A543">
        <v>9997</v>
      </c>
      <c r="B543" t="s">
        <v>557</v>
      </c>
      <c r="C543" s="452">
        <v>46143</v>
      </c>
      <c r="D543" t="s">
        <v>462</v>
      </c>
      <c r="E543" t="s">
        <v>5851</v>
      </c>
      <c r="F543" t="s">
        <v>5799</v>
      </c>
      <c r="G543">
        <v>1.1000000000000001</v>
      </c>
      <c r="H543" t="s">
        <v>5191</v>
      </c>
      <c r="I543">
        <v>16.98</v>
      </c>
      <c r="J543">
        <v>18.68</v>
      </c>
    </row>
    <row r="544" spans="1:10" x14ac:dyDescent="0.3">
      <c r="A544">
        <v>10748</v>
      </c>
      <c r="B544" t="s">
        <v>557</v>
      </c>
      <c r="C544" s="452">
        <v>46174</v>
      </c>
      <c r="D544" t="s">
        <v>463</v>
      </c>
      <c r="E544" t="s">
        <v>5851</v>
      </c>
      <c r="F544" t="s">
        <v>5799</v>
      </c>
      <c r="G544">
        <v>0.94</v>
      </c>
      <c r="H544" t="s">
        <v>5191</v>
      </c>
      <c r="I544">
        <v>16.98</v>
      </c>
      <c r="J544">
        <v>15.96</v>
      </c>
    </row>
    <row r="545" spans="1:10" x14ac:dyDescent="0.3">
      <c r="A545">
        <v>9452</v>
      </c>
      <c r="B545" t="s">
        <v>557</v>
      </c>
      <c r="C545" s="452">
        <v>46113</v>
      </c>
      <c r="D545" t="s">
        <v>461</v>
      </c>
      <c r="E545" t="s">
        <v>5852</v>
      </c>
      <c r="F545" t="s">
        <v>5799</v>
      </c>
      <c r="G545">
        <v>0.7</v>
      </c>
      <c r="H545" t="s">
        <v>5191</v>
      </c>
      <c r="I545">
        <v>39.450000000000003</v>
      </c>
      <c r="J545">
        <v>27.62</v>
      </c>
    </row>
    <row r="546" spans="1:10" x14ac:dyDescent="0.3">
      <c r="A546">
        <v>9992</v>
      </c>
      <c r="B546" t="s">
        <v>557</v>
      </c>
      <c r="C546" s="452">
        <v>46143</v>
      </c>
      <c r="D546" t="s">
        <v>462</v>
      </c>
      <c r="E546" t="s">
        <v>5852</v>
      </c>
      <c r="F546" t="s">
        <v>5799</v>
      </c>
      <c r="G546">
        <v>1.9</v>
      </c>
      <c r="H546" t="s">
        <v>5191</v>
      </c>
      <c r="I546">
        <v>39.450000000000003</v>
      </c>
      <c r="J546">
        <v>74.959999999999994</v>
      </c>
    </row>
    <row r="547" spans="1:10" x14ac:dyDescent="0.3">
      <c r="A547">
        <v>10765</v>
      </c>
      <c r="B547" t="s">
        <v>557</v>
      </c>
      <c r="C547" s="452">
        <v>46174</v>
      </c>
      <c r="D547" t="s">
        <v>463</v>
      </c>
      <c r="E547" t="s">
        <v>5852</v>
      </c>
      <c r="F547" t="s">
        <v>5799</v>
      </c>
      <c r="G547">
        <v>0.62</v>
      </c>
      <c r="H547" t="s">
        <v>5191</v>
      </c>
      <c r="I547">
        <v>39.450000000000003</v>
      </c>
      <c r="J547">
        <v>24.46</v>
      </c>
    </row>
    <row r="548" spans="1:10" x14ac:dyDescent="0.3">
      <c r="A548">
        <v>3688</v>
      </c>
      <c r="B548" t="s">
        <v>557</v>
      </c>
      <c r="C548" s="452">
        <v>45748</v>
      </c>
      <c r="D548" t="s">
        <v>4455</v>
      </c>
      <c r="E548" t="s">
        <v>5853</v>
      </c>
      <c r="F548" t="s">
        <v>5799</v>
      </c>
      <c r="G548">
        <v>1.25</v>
      </c>
      <c r="H548" t="s">
        <v>5191</v>
      </c>
      <c r="I548">
        <v>3.44</v>
      </c>
      <c r="J548">
        <v>4.3</v>
      </c>
    </row>
    <row r="549" spans="1:10" x14ac:dyDescent="0.3">
      <c r="A549">
        <v>3841</v>
      </c>
      <c r="B549" t="s">
        <v>557</v>
      </c>
      <c r="C549" s="452">
        <v>45778</v>
      </c>
      <c r="D549" t="s">
        <v>4436</v>
      </c>
      <c r="E549" t="s">
        <v>5853</v>
      </c>
      <c r="F549" t="s">
        <v>5799</v>
      </c>
      <c r="G549">
        <v>2</v>
      </c>
      <c r="H549" t="s">
        <v>5191</v>
      </c>
      <c r="I549">
        <v>3.44</v>
      </c>
      <c r="J549">
        <v>6.88</v>
      </c>
    </row>
    <row r="550" spans="1:10" x14ac:dyDescent="0.3">
      <c r="A550">
        <v>4553</v>
      </c>
      <c r="B550" t="s">
        <v>557</v>
      </c>
      <c r="C550" s="452">
        <v>45809</v>
      </c>
      <c r="D550" t="s">
        <v>4434</v>
      </c>
      <c r="E550" t="s">
        <v>5853</v>
      </c>
      <c r="F550" t="s">
        <v>5799</v>
      </c>
      <c r="G550">
        <v>1.27</v>
      </c>
      <c r="H550" t="s">
        <v>5191</v>
      </c>
      <c r="I550">
        <v>3.44</v>
      </c>
      <c r="J550">
        <v>4.37</v>
      </c>
    </row>
    <row r="551" spans="1:10" x14ac:dyDescent="0.3">
      <c r="A551">
        <v>5205</v>
      </c>
      <c r="B551" t="s">
        <v>557</v>
      </c>
      <c r="C551" s="452">
        <v>45839</v>
      </c>
      <c r="D551" t="s">
        <v>3935</v>
      </c>
      <c r="E551" t="s">
        <v>5853</v>
      </c>
      <c r="F551" t="s">
        <v>5799</v>
      </c>
      <c r="G551">
        <v>2.9</v>
      </c>
      <c r="H551" t="s">
        <v>5191</v>
      </c>
      <c r="I551">
        <v>3.44</v>
      </c>
      <c r="J551">
        <v>9.98</v>
      </c>
    </row>
    <row r="552" spans="1:10" x14ac:dyDescent="0.3">
      <c r="A552">
        <v>5708</v>
      </c>
      <c r="B552" t="s">
        <v>557</v>
      </c>
      <c r="C552" s="452">
        <v>45870</v>
      </c>
      <c r="D552" t="s">
        <v>4040</v>
      </c>
      <c r="E552" t="s">
        <v>5853</v>
      </c>
      <c r="F552" t="s">
        <v>5799</v>
      </c>
      <c r="G552">
        <v>2.5</v>
      </c>
      <c r="H552" t="s">
        <v>5191</v>
      </c>
      <c r="I552">
        <v>3.44</v>
      </c>
      <c r="J552">
        <v>8.6</v>
      </c>
    </row>
    <row r="553" spans="1:10" x14ac:dyDescent="0.3">
      <c r="A553">
        <v>6379</v>
      </c>
      <c r="B553" t="s">
        <v>557</v>
      </c>
      <c r="C553" s="452">
        <v>45901</v>
      </c>
      <c r="D553" t="s">
        <v>4038</v>
      </c>
      <c r="E553" t="s">
        <v>5853</v>
      </c>
      <c r="F553" t="s">
        <v>5799</v>
      </c>
      <c r="G553">
        <v>2.76</v>
      </c>
      <c r="H553" t="s">
        <v>5191</v>
      </c>
      <c r="I553">
        <v>3.44</v>
      </c>
      <c r="J553">
        <v>9.49</v>
      </c>
    </row>
    <row r="554" spans="1:10" x14ac:dyDescent="0.3">
      <c r="A554">
        <v>6949</v>
      </c>
      <c r="B554" t="s">
        <v>557</v>
      </c>
      <c r="C554" s="452">
        <v>45931</v>
      </c>
      <c r="D554" t="s">
        <v>3999</v>
      </c>
      <c r="E554" t="s">
        <v>5853</v>
      </c>
      <c r="F554" t="s">
        <v>5799</v>
      </c>
      <c r="G554">
        <v>0.73</v>
      </c>
      <c r="H554" t="s">
        <v>5191</v>
      </c>
      <c r="I554">
        <v>3.44</v>
      </c>
      <c r="J554">
        <v>2.5099999999999998</v>
      </c>
    </row>
    <row r="555" spans="1:10" x14ac:dyDescent="0.3">
      <c r="A555">
        <v>7232</v>
      </c>
      <c r="B555" t="s">
        <v>557</v>
      </c>
      <c r="C555" s="452">
        <v>45962</v>
      </c>
      <c r="D555" t="s">
        <v>751</v>
      </c>
      <c r="E555" t="s">
        <v>5853</v>
      </c>
      <c r="F555" t="s">
        <v>5799</v>
      </c>
      <c r="G555">
        <v>0.81</v>
      </c>
      <c r="H555" t="s">
        <v>5191</v>
      </c>
      <c r="I555">
        <v>3.44</v>
      </c>
      <c r="J555">
        <v>2.79</v>
      </c>
    </row>
    <row r="556" spans="1:10" x14ac:dyDescent="0.3">
      <c r="A556">
        <v>7688</v>
      </c>
      <c r="B556" t="s">
        <v>557</v>
      </c>
      <c r="C556" s="452">
        <v>45992</v>
      </c>
      <c r="D556" t="s">
        <v>753</v>
      </c>
      <c r="E556" t="s">
        <v>5853</v>
      </c>
      <c r="F556" t="s">
        <v>5799</v>
      </c>
      <c r="G556">
        <v>0.6</v>
      </c>
      <c r="H556" t="s">
        <v>5191</v>
      </c>
      <c r="I556">
        <v>3.44</v>
      </c>
      <c r="J556">
        <v>2.06</v>
      </c>
    </row>
    <row r="557" spans="1:10" x14ac:dyDescent="0.3">
      <c r="A557">
        <v>8642</v>
      </c>
      <c r="B557" t="s">
        <v>557</v>
      </c>
      <c r="C557" s="452">
        <v>46054</v>
      </c>
      <c r="D557" t="s">
        <v>459</v>
      </c>
      <c r="E557" t="s">
        <v>5853</v>
      </c>
      <c r="F557" t="s">
        <v>5799</v>
      </c>
      <c r="G557">
        <v>0.51</v>
      </c>
      <c r="H557" t="s">
        <v>5191</v>
      </c>
      <c r="I557">
        <v>3.44</v>
      </c>
      <c r="J557">
        <v>1.75</v>
      </c>
    </row>
    <row r="558" spans="1:10" x14ac:dyDescent="0.3">
      <c r="A558">
        <v>8733</v>
      </c>
      <c r="B558" t="s">
        <v>557</v>
      </c>
      <c r="C558" s="452">
        <v>46082</v>
      </c>
      <c r="D558" t="s">
        <v>460</v>
      </c>
      <c r="E558" t="s">
        <v>5853</v>
      </c>
      <c r="F558" t="s">
        <v>5799</v>
      </c>
      <c r="G558">
        <v>2.0099999999999998</v>
      </c>
      <c r="H558" t="s">
        <v>5191</v>
      </c>
      <c r="I558">
        <v>3.44</v>
      </c>
      <c r="J558">
        <v>6.91</v>
      </c>
    </row>
    <row r="559" spans="1:10" x14ac:dyDescent="0.3">
      <c r="A559">
        <v>9476</v>
      </c>
      <c r="B559" t="s">
        <v>557</v>
      </c>
      <c r="C559" s="452">
        <v>46113</v>
      </c>
      <c r="D559" t="s">
        <v>461</v>
      </c>
      <c r="E559" t="s">
        <v>5853</v>
      </c>
      <c r="F559" t="s">
        <v>5799</v>
      </c>
      <c r="G559">
        <v>1.5</v>
      </c>
      <c r="H559" t="s">
        <v>5191</v>
      </c>
      <c r="I559">
        <v>3.44</v>
      </c>
      <c r="J559">
        <v>5.16</v>
      </c>
    </row>
    <row r="560" spans="1:10" x14ac:dyDescent="0.3">
      <c r="A560">
        <v>10018</v>
      </c>
      <c r="B560" t="s">
        <v>557</v>
      </c>
      <c r="C560" s="452">
        <v>46143</v>
      </c>
      <c r="D560" t="s">
        <v>462</v>
      </c>
      <c r="E560" t="s">
        <v>5853</v>
      </c>
      <c r="F560" t="s">
        <v>5799</v>
      </c>
      <c r="G560">
        <v>1.42</v>
      </c>
      <c r="H560" t="s">
        <v>5191</v>
      </c>
      <c r="I560">
        <v>3.44</v>
      </c>
      <c r="J560">
        <v>4.88</v>
      </c>
    </row>
    <row r="561" spans="1:10" x14ac:dyDescent="0.3">
      <c r="A561">
        <v>10728</v>
      </c>
      <c r="B561" t="s">
        <v>557</v>
      </c>
      <c r="C561" s="452">
        <v>46174</v>
      </c>
      <c r="D561" t="s">
        <v>463</v>
      </c>
      <c r="E561" t="s">
        <v>5853</v>
      </c>
      <c r="F561" t="s">
        <v>5799</v>
      </c>
      <c r="G561">
        <v>0.65</v>
      </c>
      <c r="H561" t="s">
        <v>5191</v>
      </c>
      <c r="I561">
        <v>3.44</v>
      </c>
      <c r="J561">
        <v>2.2400000000000002</v>
      </c>
    </row>
    <row r="562" spans="1:10" x14ac:dyDescent="0.3">
      <c r="A562">
        <v>3690</v>
      </c>
      <c r="B562" t="s">
        <v>557</v>
      </c>
      <c r="C562" s="452">
        <v>45748</v>
      </c>
      <c r="D562" t="s">
        <v>4455</v>
      </c>
      <c r="E562" t="s">
        <v>5854</v>
      </c>
      <c r="F562" t="s">
        <v>5799</v>
      </c>
      <c r="G562">
        <v>30.26</v>
      </c>
      <c r="H562" t="s">
        <v>5191</v>
      </c>
      <c r="I562">
        <v>10.72</v>
      </c>
      <c r="J562">
        <v>324.39</v>
      </c>
    </row>
    <row r="563" spans="1:10" x14ac:dyDescent="0.3">
      <c r="A563">
        <v>3847</v>
      </c>
      <c r="B563" t="s">
        <v>557</v>
      </c>
      <c r="C563" s="452">
        <v>45778</v>
      </c>
      <c r="D563" t="s">
        <v>4436</v>
      </c>
      <c r="E563" t="s">
        <v>5854</v>
      </c>
      <c r="F563" t="s">
        <v>5799</v>
      </c>
      <c r="G563">
        <v>50.3</v>
      </c>
      <c r="H563" t="s">
        <v>5191</v>
      </c>
      <c r="I563">
        <v>26.64</v>
      </c>
      <c r="J563">
        <v>1339.99</v>
      </c>
    </row>
    <row r="564" spans="1:10" x14ac:dyDescent="0.3">
      <c r="A564">
        <v>4559</v>
      </c>
      <c r="B564" t="s">
        <v>557</v>
      </c>
      <c r="C564" s="452">
        <v>45809</v>
      </c>
      <c r="D564" t="s">
        <v>4434</v>
      </c>
      <c r="E564" t="s">
        <v>5854</v>
      </c>
      <c r="F564" t="s">
        <v>5799</v>
      </c>
      <c r="G564">
        <v>27.83</v>
      </c>
      <c r="H564" t="s">
        <v>5191</v>
      </c>
      <c r="I564">
        <v>26.64</v>
      </c>
      <c r="J564">
        <v>741.39</v>
      </c>
    </row>
    <row r="565" spans="1:10" x14ac:dyDescent="0.3">
      <c r="A565">
        <v>5211</v>
      </c>
      <c r="B565" t="s">
        <v>557</v>
      </c>
      <c r="C565" s="452">
        <v>45839</v>
      </c>
      <c r="D565" t="s">
        <v>3935</v>
      </c>
      <c r="E565" t="s">
        <v>5854</v>
      </c>
      <c r="F565" t="s">
        <v>5799</v>
      </c>
      <c r="G565">
        <v>32.6</v>
      </c>
      <c r="H565" t="s">
        <v>5191</v>
      </c>
      <c r="I565">
        <v>26.64</v>
      </c>
      <c r="J565">
        <v>868.46</v>
      </c>
    </row>
    <row r="566" spans="1:10" x14ac:dyDescent="0.3">
      <c r="A566">
        <v>5715</v>
      </c>
      <c r="B566" t="s">
        <v>557</v>
      </c>
      <c r="C566" s="452">
        <v>45870</v>
      </c>
      <c r="D566" t="s">
        <v>4040</v>
      </c>
      <c r="E566" t="s">
        <v>5854</v>
      </c>
      <c r="F566" t="s">
        <v>5799</v>
      </c>
      <c r="G566">
        <v>23.89</v>
      </c>
      <c r="H566" t="s">
        <v>5191</v>
      </c>
      <c r="I566">
        <v>26.64</v>
      </c>
      <c r="J566">
        <v>636.42999999999995</v>
      </c>
    </row>
    <row r="567" spans="1:10" x14ac:dyDescent="0.3">
      <c r="A567">
        <v>6386</v>
      </c>
      <c r="B567" t="s">
        <v>557</v>
      </c>
      <c r="C567" s="452">
        <v>45901</v>
      </c>
      <c r="D567" t="s">
        <v>4038</v>
      </c>
      <c r="E567" t="s">
        <v>5854</v>
      </c>
      <c r="F567" t="s">
        <v>5799</v>
      </c>
      <c r="G567">
        <v>35.83</v>
      </c>
      <c r="H567" t="s">
        <v>5191</v>
      </c>
      <c r="I567">
        <v>26.64</v>
      </c>
      <c r="J567">
        <v>954.51</v>
      </c>
    </row>
    <row r="568" spans="1:10" x14ac:dyDescent="0.3">
      <c r="A568">
        <v>6955</v>
      </c>
      <c r="B568" t="s">
        <v>557</v>
      </c>
      <c r="C568" s="452">
        <v>45931</v>
      </c>
      <c r="D568" t="s">
        <v>3999</v>
      </c>
      <c r="E568" t="s">
        <v>5854</v>
      </c>
      <c r="F568" t="s">
        <v>5799</v>
      </c>
      <c r="G568">
        <v>32.9</v>
      </c>
      <c r="H568" t="s">
        <v>5191</v>
      </c>
      <c r="I568">
        <v>26.64</v>
      </c>
      <c r="J568">
        <v>876.46</v>
      </c>
    </row>
    <row r="569" spans="1:10" x14ac:dyDescent="0.3">
      <c r="A569">
        <v>7238</v>
      </c>
      <c r="B569" t="s">
        <v>557</v>
      </c>
      <c r="C569" s="452">
        <v>45962</v>
      </c>
      <c r="D569" t="s">
        <v>751</v>
      </c>
      <c r="E569" t="s">
        <v>5854</v>
      </c>
      <c r="F569" t="s">
        <v>5799</v>
      </c>
      <c r="G569">
        <v>39.5</v>
      </c>
      <c r="H569" t="s">
        <v>5191</v>
      </c>
      <c r="I569">
        <v>26.64</v>
      </c>
      <c r="J569">
        <v>1052.28</v>
      </c>
    </row>
    <row r="570" spans="1:10" x14ac:dyDescent="0.3">
      <c r="A570">
        <v>7693</v>
      </c>
      <c r="B570" t="s">
        <v>557</v>
      </c>
      <c r="C570" s="452">
        <v>45992</v>
      </c>
      <c r="D570" t="s">
        <v>753</v>
      </c>
      <c r="E570" t="s">
        <v>5854</v>
      </c>
      <c r="F570" t="s">
        <v>5799</v>
      </c>
      <c r="G570">
        <v>32.19</v>
      </c>
      <c r="H570" t="s">
        <v>5191</v>
      </c>
      <c r="I570">
        <v>26.64</v>
      </c>
      <c r="J570">
        <v>857.54</v>
      </c>
    </row>
    <row r="571" spans="1:10" x14ac:dyDescent="0.3">
      <c r="A571">
        <v>8047</v>
      </c>
      <c r="B571" t="s">
        <v>557</v>
      </c>
      <c r="C571" s="452">
        <v>46023</v>
      </c>
      <c r="D571" t="s">
        <v>458</v>
      </c>
      <c r="E571" t="s">
        <v>5854</v>
      </c>
      <c r="F571" t="s">
        <v>5799</v>
      </c>
      <c r="G571">
        <v>22.1</v>
      </c>
      <c r="H571" t="s">
        <v>5191</v>
      </c>
      <c r="I571">
        <v>26.64</v>
      </c>
      <c r="J571">
        <v>588.74</v>
      </c>
    </row>
    <row r="572" spans="1:10" x14ac:dyDescent="0.3">
      <c r="A572">
        <v>8626</v>
      </c>
      <c r="B572" t="s">
        <v>557</v>
      </c>
      <c r="C572" s="452">
        <v>46054</v>
      </c>
      <c r="D572" t="s">
        <v>459</v>
      </c>
      <c r="E572" t="s">
        <v>5854</v>
      </c>
      <c r="F572" t="s">
        <v>5799</v>
      </c>
      <c r="G572">
        <v>14.1</v>
      </c>
      <c r="H572" t="s">
        <v>5191</v>
      </c>
      <c r="I572">
        <v>26.64</v>
      </c>
      <c r="J572">
        <v>375.62</v>
      </c>
    </row>
    <row r="573" spans="1:10" x14ac:dyDescent="0.3">
      <c r="A573">
        <v>8740</v>
      </c>
      <c r="B573" t="s">
        <v>557</v>
      </c>
      <c r="C573" s="452">
        <v>46082</v>
      </c>
      <c r="D573" t="s">
        <v>460</v>
      </c>
      <c r="E573" t="s">
        <v>5854</v>
      </c>
      <c r="F573" t="s">
        <v>5799</v>
      </c>
      <c r="G573">
        <v>40.93</v>
      </c>
      <c r="H573" t="s">
        <v>5191</v>
      </c>
      <c r="I573">
        <v>26.64</v>
      </c>
      <c r="J573">
        <v>1090.3800000000001</v>
      </c>
    </row>
    <row r="574" spans="1:10" x14ac:dyDescent="0.3">
      <c r="A574">
        <v>9484</v>
      </c>
      <c r="B574" t="s">
        <v>557</v>
      </c>
      <c r="C574" s="452">
        <v>46113</v>
      </c>
      <c r="D574" t="s">
        <v>461</v>
      </c>
      <c r="E574" t="s">
        <v>5854</v>
      </c>
      <c r="F574" t="s">
        <v>5799</v>
      </c>
      <c r="G574">
        <v>27.2</v>
      </c>
      <c r="H574" t="s">
        <v>5191</v>
      </c>
      <c r="I574">
        <v>26.64</v>
      </c>
      <c r="J574">
        <v>724.61</v>
      </c>
    </row>
    <row r="575" spans="1:10" x14ac:dyDescent="0.3">
      <c r="A575">
        <v>10025</v>
      </c>
      <c r="B575" t="s">
        <v>557</v>
      </c>
      <c r="C575" s="452">
        <v>46143</v>
      </c>
      <c r="D575" t="s">
        <v>462</v>
      </c>
      <c r="E575" t="s">
        <v>5854</v>
      </c>
      <c r="F575" t="s">
        <v>5799</v>
      </c>
      <c r="G575">
        <v>35.42</v>
      </c>
      <c r="H575" t="s">
        <v>5191</v>
      </c>
      <c r="I575">
        <v>26.64</v>
      </c>
      <c r="J575">
        <v>943.59</v>
      </c>
    </row>
    <row r="576" spans="1:10" x14ac:dyDescent="0.3">
      <c r="A576">
        <v>10758</v>
      </c>
      <c r="B576" t="s">
        <v>557</v>
      </c>
      <c r="C576" s="452">
        <v>46174</v>
      </c>
      <c r="D576" t="s">
        <v>463</v>
      </c>
      <c r="E576" t="s">
        <v>5854</v>
      </c>
      <c r="F576" t="s">
        <v>5799</v>
      </c>
      <c r="G576">
        <v>24.14</v>
      </c>
      <c r="H576" t="s">
        <v>5191</v>
      </c>
      <c r="I576">
        <v>26.64</v>
      </c>
      <c r="J576">
        <v>643.09</v>
      </c>
    </row>
    <row r="577" spans="1:10" x14ac:dyDescent="0.3">
      <c r="A577">
        <v>4406</v>
      </c>
      <c r="B577" t="s">
        <v>557</v>
      </c>
      <c r="C577" s="452">
        <v>45778</v>
      </c>
      <c r="D577" t="s">
        <v>4436</v>
      </c>
      <c r="E577" t="s">
        <v>5855</v>
      </c>
      <c r="F577" t="s">
        <v>5799</v>
      </c>
      <c r="G577">
        <v>0.3</v>
      </c>
      <c r="H577" t="s">
        <v>5191</v>
      </c>
      <c r="I577">
        <v>84</v>
      </c>
      <c r="J577">
        <v>25.2</v>
      </c>
    </row>
    <row r="578" spans="1:10" x14ac:dyDescent="0.3">
      <c r="A578">
        <v>4550</v>
      </c>
      <c r="B578" t="s">
        <v>557</v>
      </c>
      <c r="C578" s="452">
        <v>45809</v>
      </c>
      <c r="D578" t="s">
        <v>4434</v>
      </c>
      <c r="E578" t="s">
        <v>5855</v>
      </c>
      <c r="F578" t="s">
        <v>5799</v>
      </c>
      <c r="G578">
        <v>0.51</v>
      </c>
      <c r="H578" t="s">
        <v>5191</v>
      </c>
      <c r="I578">
        <v>84</v>
      </c>
      <c r="J578">
        <v>42.84</v>
      </c>
    </row>
    <row r="579" spans="1:10" x14ac:dyDescent="0.3">
      <c r="A579">
        <v>5202</v>
      </c>
      <c r="B579" t="s">
        <v>557</v>
      </c>
      <c r="C579" s="452">
        <v>45839</v>
      </c>
      <c r="D579" t="s">
        <v>3935</v>
      </c>
      <c r="E579" t="s">
        <v>5855</v>
      </c>
      <c r="F579" t="s">
        <v>5799</v>
      </c>
      <c r="G579">
        <v>0.9</v>
      </c>
      <c r="H579" t="s">
        <v>5191</v>
      </c>
      <c r="I579">
        <v>84</v>
      </c>
      <c r="J579">
        <v>75.599999999999994</v>
      </c>
    </row>
    <row r="580" spans="1:10" x14ac:dyDescent="0.3">
      <c r="A580">
        <v>5705</v>
      </c>
      <c r="B580" t="s">
        <v>557</v>
      </c>
      <c r="C580" s="452">
        <v>45870</v>
      </c>
      <c r="D580" t="s">
        <v>4040</v>
      </c>
      <c r="E580" t="s">
        <v>5855</v>
      </c>
      <c r="F580" t="s">
        <v>5799</v>
      </c>
      <c r="G580">
        <v>0.52</v>
      </c>
      <c r="H580" t="s">
        <v>5191</v>
      </c>
      <c r="I580">
        <v>84</v>
      </c>
      <c r="J580">
        <v>43.68</v>
      </c>
    </row>
    <row r="581" spans="1:10" x14ac:dyDescent="0.3">
      <c r="A581">
        <v>6377</v>
      </c>
      <c r="B581" t="s">
        <v>557</v>
      </c>
      <c r="C581" s="452">
        <v>45901</v>
      </c>
      <c r="D581" t="s">
        <v>4038</v>
      </c>
      <c r="E581" t="s">
        <v>5855</v>
      </c>
      <c r="F581" t="s">
        <v>5799</v>
      </c>
      <c r="G581">
        <v>1.65</v>
      </c>
      <c r="H581" t="s">
        <v>5191</v>
      </c>
      <c r="I581">
        <v>84</v>
      </c>
      <c r="J581">
        <v>138.6</v>
      </c>
    </row>
    <row r="582" spans="1:10" x14ac:dyDescent="0.3">
      <c r="A582">
        <v>6947</v>
      </c>
      <c r="B582" t="s">
        <v>557</v>
      </c>
      <c r="C582" s="452">
        <v>45931</v>
      </c>
      <c r="D582" t="s">
        <v>3999</v>
      </c>
      <c r="E582" t="s">
        <v>5855</v>
      </c>
      <c r="F582" t="s">
        <v>5799</v>
      </c>
      <c r="G582">
        <v>0.78</v>
      </c>
      <c r="H582" t="s">
        <v>5191</v>
      </c>
      <c r="I582">
        <v>84</v>
      </c>
      <c r="J582">
        <v>65.52</v>
      </c>
    </row>
    <row r="583" spans="1:10" x14ac:dyDescent="0.3">
      <c r="A583">
        <v>7230</v>
      </c>
      <c r="B583" t="s">
        <v>557</v>
      </c>
      <c r="C583" s="452">
        <v>45962</v>
      </c>
      <c r="D583" t="s">
        <v>751</v>
      </c>
      <c r="E583" t="s">
        <v>5855</v>
      </c>
      <c r="F583" t="s">
        <v>5799</v>
      </c>
      <c r="G583">
        <v>0.4</v>
      </c>
      <c r="H583" t="s">
        <v>5191</v>
      </c>
      <c r="I583">
        <v>84</v>
      </c>
      <c r="J583">
        <v>33.6</v>
      </c>
    </row>
    <row r="584" spans="1:10" x14ac:dyDescent="0.3">
      <c r="A584">
        <v>7686</v>
      </c>
      <c r="B584" t="s">
        <v>557</v>
      </c>
      <c r="C584" s="452">
        <v>45992</v>
      </c>
      <c r="D584" t="s">
        <v>753</v>
      </c>
      <c r="E584" t="s">
        <v>5855</v>
      </c>
      <c r="F584" t="s">
        <v>5799</v>
      </c>
      <c r="G584">
        <v>1.48</v>
      </c>
      <c r="H584" t="s">
        <v>5191</v>
      </c>
      <c r="I584">
        <v>84</v>
      </c>
      <c r="J584">
        <v>124.32</v>
      </c>
    </row>
    <row r="585" spans="1:10" x14ac:dyDescent="0.3">
      <c r="A585">
        <v>8639</v>
      </c>
      <c r="B585" t="s">
        <v>557</v>
      </c>
      <c r="C585" s="452">
        <v>46054</v>
      </c>
      <c r="D585" t="s">
        <v>459</v>
      </c>
      <c r="E585" t="s">
        <v>5855</v>
      </c>
      <c r="F585" t="s">
        <v>5799</v>
      </c>
      <c r="G585">
        <v>0.6</v>
      </c>
      <c r="H585" t="s">
        <v>5191</v>
      </c>
      <c r="I585">
        <v>84</v>
      </c>
      <c r="J585">
        <v>50.4</v>
      </c>
    </row>
    <row r="586" spans="1:10" x14ac:dyDescent="0.3">
      <c r="A586">
        <v>8730</v>
      </c>
      <c r="B586" t="s">
        <v>557</v>
      </c>
      <c r="C586" s="452">
        <v>46082</v>
      </c>
      <c r="D586" t="s">
        <v>460</v>
      </c>
      <c r="E586" t="s">
        <v>5855</v>
      </c>
      <c r="F586" t="s">
        <v>5799</v>
      </c>
      <c r="G586">
        <v>1.8</v>
      </c>
      <c r="H586" t="s">
        <v>5191</v>
      </c>
      <c r="I586">
        <v>84</v>
      </c>
      <c r="J586">
        <v>151.19999999999999</v>
      </c>
    </row>
    <row r="587" spans="1:10" x14ac:dyDescent="0.3">
      <c r="A587">
        <v>10016</v>
      </c>
      <c r="B587" t="s">
        <v>557</v>
      </c>
      <c r="C587" s="452">
        <v>46143</v>
      </c>
      <c r="D587" t="s">
        <v>462</v>
      </c>
      <c r="E587" t="s">
        <v>5855</v>
      </c>
      <c r="F587" t="s">
        <v>5799</v>
      </c>
      <c r="G587">
        <v>0.87</v>
      </c>
      <c r="H587" t="s">
        <v>5191</v>
      </c>
      <c r="I587">
        <v>54.22</v>
      </c>
      <c r="J587">
        <v>47.17</v>
      </c>
    </row>
    <row r="588" spans="1:10" x14ac:dyDescent="0.3">
      <c r="A588">
        <v>4407</v>
      </c>
      <c r="B588" t="s">
        <v>557</v>
      </c>
      <c r="C588" s="452">
        <v>45778</v>
      </c>
      <c r="D588" t="s">
        <v>4436</v>
      </c>
      <c r="E588" t="s">
        <v>5856</v>
      </c>
      <c r="F588" t="s">
        <v>5799</v>
      </c>
      <c r="G588">
        <v>1.92</v>
      </c>
      <c r="H588" t="s">
        <v>5191</v>
      </c>
      <c r="I588">
        <v>20.2</v>
      </c>
      <c r="J588">
        <v>38.78</v>
      </c>
    </row>
    <row r="589" spans="1:10" x14ac:dyDescent="0.3">
      <c r="A589">
        <v>4547</v>
      </c>
      <c r="B589" t="s">
        <v>557</v>
      </c>
      <c r="C589" s="452">
        <v>45809</v>
      </c>
      <c r="D589" t="s">
        <v>4434</v>
      </c>
      <c r="E589" t="s">
        <v>5856</v>
      </c>
      <c r="F589" t="s">
        <v>5799</v>
      </c>
      <c r="G589">
        <v>1.32</v>
      </c>
      <c r="H589" t="s">
        <v>5191</v>
      </c>
      <c r="I589">
        <v>20.2</v>
      </c>
      <c r="J589">
        <v>26.66</v>
      </c>
    </row>
    <row r="590" spans="1:10" x14ac:dyDescent="0.3">
      <c r="A590">
        <v>5199</v>
      </c>
      <c r="B590" t="s">
        <v>557</v>
      </c>
      <c r="C590" s="452">
        <v>45839</v>
      </c>
      <c r="D590" t="s">
        <v>3935</v>
      </c>
      <c r="E590" t="s">
        <v>5856</v>
      </c>
      <c r="F590" t="s">
        <v>5799</v>
      </c>
      <c r="G590">
        <v>4.34</v>
      </c>
      <c r="H590" t="s">
        <v>5191</v>
      </c>
      <c r="I590">
        <v>20.2</v>
      </c>
      <c r="J590">
        <v>87.67</v>
      </c>
    </row>
    <row r="591" spans="1:10" x14ac:dyDescent="0.3">
      <c r="A591">
        <v>5702</v>
      </c>
      <c r="B591" t="s">
        <v>557</v>
      </c>
      <c r="C591" s="452">
        <v>45870</v>
      </c>
      <c r="D591" t="s">
        <v>4040</v>
      </c>
      <c r="E591" t="s">
        <v>5856</v>
      </c>
      <c r="F591" t="s">
        <v>5799</v>
      </c>
      <c r="G591">
        <v>2.4</v>
      </c>
      <c r="H591" t="s">
        <v>5191</v>
      </c>
      <c r="I591">
        <v>20.2</v>
      </c>
      <c r="J591">
        <v>48.48</v>
      </c>
    </row>
    <row r="592" spans="1:10" x14ac:dyDescent="0.3">
      <c r="A592">
        <v>6374</v>
      </c>
      <c r="B592" t="s">
        <v>557</v>
      </c>
      <c r="C592" s="452">
        <v>45901</v>
      </c>
      <c r="D592" t="s">
        <v>4038</v>
      </c>
      <c r="E592" t="s">
        <v>5856</v>
      </c>
      <c r="F592" t="s">
        <v>5799</v>
      </c>
      <c r="G592">
        <v>1.17</v>
      </c>
      <c r="H592" t="s">
        <v>5191</v>
      </c>
      <c r="I592">
        <v>20.2</v>
      </c>
      <c r="J592">
        <v>23.63</v>
      </c>
    </row>
    <row r="593" spans="1:10" x14ac:dyDescent="0.3">
      <c r="A593">
        <v>8638</v>
      </c>
      <c r="B593" t="s">
        <v>557</v>
      </c>
      <c r="C593" s="452">
        <v>46054</v>
      </c>
      <c r="D593" t="s">
        <v>459</v>
      </c>
      <c r="E593" t="s">
        <v>5856</v>
      </c>
      <c r="F593" t="s">
        <v>5799</v>
      </c>
      <c r="G593">
        <v>2.1</v>
      </c>
      <c r="H593" t="s">
        <v>5191</v>
      </c>
      <c r="I593">
        <v>20.2</v>
      </c>
      <c r="J593">
        <v>42.42</v>
      </c>
    </row>
    <row r="594" spans="1:10" x14ac:dyDescent="0.3">
      <c r="A594">
        <v>8725</v>
      </c>
      <c r="B594" t="s">
        <v>557</v>
      </c>
      <c r="C594" s="452">
        <v>46082</v>
      </c>
      <c r="D594" t="s">
        <v>460</v>
      </c>
      <c r="E594" t="s">
        <v>5856</v>
      </c>
      <c r="F594" t="s">
        <v>5799</v>
      </c>
      <c r="G594">
        <v>2.16</v>
      </c>
      <c r="H594" t="s">
        <v>5191</v>
      </c>
      <c r="I594">
        <v>20.2</v>
      </c>
      <c r="J594">
        <v>43.63</v>
      </c>
    </row>
    <row r="595" spans="1:10" x14ac:dyDescent="0.3">
      <c r="A595">
        <v>9470</v>
      </c>
      <c r="B595" t="s">
        <v>557</v>
      </c>
      <c r="C595" s="452">
        <v>46113</v>
      </c>
      <c r="D595" t="s">
        <v>461</v>
      </c>
      <c r="E595" t="s">
        <v>5856</v>
      </c>
      <c r="F595" t="s">
        <v>5799</v>
      </c>
      <c r="G595">
        <v>1.73</v>
      </c>
      <c r="H595" t="s">
        <v>5191</v>
      </c>
      <c r="I595">
        <v>20.2</v>
      </c>
      <c r="J595">
        <v>34.950000000000003</v>
      </c>
    </row>
    <row r="596" spans="1:10" x14ac:dyDescent="0.3">
      <c r="A596">
        <v>10013</v>
      </c>
      <c r="B596" t="s">
        <v>557</v>
      </c>
      <c r="C596" s="452">
        <v>46143</v>
      </c>
      <c r="D596" t="s">
        <v>462</v>
      </c>
      <c r="E596" t="s">
        <v>5856</v>
      </c>
      <c r="F596" t="s">
        <v>5799</v>
      </c>
      <c r="G596">
        <v>0.9</v>
      </c>
      <c r="H596" t="s">
        <v>5191</v>
      </c>
      <c r="I596">
        <v>20.2</v>
      </c>
      <c r="J596">
        <v>18.18</v>
      </c>
    </row>
    <row r="597" spans="1:10" x14ac:dyDescent="0.3">
      <c r="A597">
        <v>10752</v>
      </c>
      <c r="B597" t="s">
        <v>557</v>
      </c>
      <c r="C597" s="452">
        <v>46174</v>
      </c>
      <c r="D597" t="s">
        <v>463</v>
      </c>
      <c r="E597" t="s">
        <v>5856</v>
      </c>
      <c r="F597" t="s">
        <v>5799</v>
      </c>
      <c r="G597">
        <v>1.72</v>
      </c>
      <c r="H597" t="s">
        <v>5191</v>
      </c>
      <c r="I597">
        <v>20.2</v>
      </c>
      <c r="J597">
        <v>34.74</v>
      </c>
    </row>
    <row r="598" spans="1:10" x14ac:dyDescent="0.3">
      <c r="A598">
        <v>4408</v>
      </c>
      <c r="B598" t="s">
        <v>557</v>
      </c>
      <c r="C598" s="452">
        <v>45778</v>
      </c>
      <c r="D598" t="s">
        <v>4436</v>
      </c>
      <c r="E598" t="s">
        <v>5857</v>
      </c>
      <c r="F598" t="s">
        <v>5799</v>
      </c>
      <c r="G598">
        <v>0.38</v>
      </c>
      <c r="H598" t="s">
        <v>5191</v>
      </c>
      <c r="I598">
        <v>25.66</v>
      </c>
      <c r="J598">
        <v>9.75</v>
      </c>
    </row>
    <row r="599" spans="1:10" x14ac:dyDescent="0.3">
      <c r="A599">
        <v>4564</v>
      </c>
      <c r="B599" t="s">
        <v>557</v>
      </c>
      <c r="C599" s="452">
        <v>45809</v>
      </c>
      <c r="D599" t="s">
        <v>4434</v>
      </c>
      <c r="E599" t="s">
        <v>5857</v>
      </c>
      <c r="F599" t="s">
        <v>5799</v>
      </c>
      <c r="G599">
        <v>0.46</v>
      </c>
      <c r="H599" t="s">
        <v>5191</v>
      </c>
      <c r="I599">
        <v>25.66</v>
      </c>
      <c r="J599">
        <v>11.8</v>
      </c>
    </row>
    <row r="600" spans="1:10" x14ac:dyDescent="0.3">
      <c r="A600">
        <v>8651</v>
      </c>
      <c r="B600" t="s">
        <v>557</v>
      </c>
      <c r="C600" s="452">
        <v>46054</v>
      </c>
      <c r="D600" t="s">
        <v>459</v>
      </c>
      <c r="E600" t="s">
        <v>5857</v>
      </c>
      <c r="F600" t="s">
        <v>5799</v>
      </c>
      <c r="G600">
        <v>0.2</v>
      </c>
      <c r="H600" t="s">
        <v>5191</v>
      </c>
      <c r="I600">
        <v>25.66</v>
      </c>
      <c r="J600">
        <v>5.13</v>
      </c>
    </row>
    <row r="601" spans="1:10" x14ac:dyDescent="0.3">
      <c r="A601">
        <v>10030</v>
      </c>
      <c r="B601" t="s">
        <v>557</v>
      </c>
      <c r="C601" s="452">
        <v>46143</v>
      </c>
      <c r="D601" t="s">
        <v>462</v>
      </c>
      <c r="E601" t="s">
        <v>5857</v>
      </c>
      <c r="F601" t="s">
        <v>5799</v>
      </c>
      <c r="G601">
        <v>0.69</v>
      </c>
      <c r="H601" t="s">
        <v>5191</v>
      </c>
      <c r="I601">
        <v>25.66</v>
      </c>
      <c r="J601">
        <v>17.71</v>
      </c>
    </row>
    <row r="602" spans="1:10" x14ac:dyDescent="0.3">
      <c r="A602">
        <v>10756</v>
      </c>
      <c r="B602" t="s">
        <v>557</v>
      </c>
      <c r="C602" s="452">
        <v>46174</v>
      </c>
      <c r="D602" t="s">
        <v>463</v>
      </c>
      <c r="E602" t="s">
        <v>5857</v>
      </c>
      <c r="F602" t="s">
        <v>5799</v>
      </c>
      <c r="G602">
        <v>0.17</v>
      </c>
      <c r="H602" t="s">
        <v>5191</v>
      </c>
      <c r="I602">
        <v>25.66</v>
      </c>
      <c r="J602">
        <v>4.3600000000000003</v>
      </c>
    </row>
    <row r="603" spans="1:10" x14ac:dyDescent="0.3">
      <c r="A603">
        <v>4409</v>
      </c>
      <c r="B603" t="s">
        <v>557</v>
      </c>
      <c r="C603" s="452">
        <v>45778</v>
      </c>
      <c r="D603" t="s">
        <v>4436</v>
      </c>
      <c r="E603" t="s">
        <v>5858</v>
      </c>
      <c r="F603" t="s">
        <v>5799</v>
      </c>
      <c r="G603">
        <v>0.27</v>
      </c>
      <c r="H603" t="s">
        <v>5191</v>
      </c>
      <c r="I603">
        <v>11.86</v>
      </c>
      <c r="J603">
        <v>3.2</v>
      </c>
    </row>
    <row r="604" spans="1:10" x14ac:dyDescent="0.3">
      <c r="A604">
        <v>4542</v>
      </c>
      <c r="B604" t="s">
        <v>557</v>
      </c>
      <c r="C604" s="452">
        <v>45809</v>
      </c>
      <c r="D604" t="s">
        <v>4434</v>
      </c>
      <c r="E604" t="s">
        <v>5858</v>
      </c>
      <c r="F604" t="s">
        <v>5799</v>
      </c>
      <c r="G604">
        <v>0.26</v>
      </c>
      <c r="H604" t="s">
        <v>5191</v>
      </c>
      <c r="I604">
        <v>11.86</v>
      </c>
      <c r="J604">
        <v>3.08</v>
      </c>
    </row>
    <row r="605" spans="1:10" x14ac:dyDescent="0.3">
      <c r="A605">
        <v>5194</v>
      </c>
      <c r="B605" t="s">
        <v>557</v>
      </c>
      <c r="C605" s="452">
        <v>45839</v>
      </c>
      <c r="D605" t="s">
        <v>3935</v>
      </c>
      <c r="E605" t="s">
        <v>5858</v>
      </c>
      <c r="F605" t="s">
        <v>5799</v>
      </c>
      <c r="G605">
        <v>0.28000000000000003</v>
      </c>
      <c r="H605" t="s">
        <v>5191</v>
      </c>
      <c r="I605">
        <v>11.86</v>
      </c>
      <c r="J605">
        <v>3.32</v>
      </c>
    </row>
    <row r="606" spans="1:10" x14ac:dyDescent="0.3">
      <c r="A606">
        <v>5694</v>
      </c>
      <c r="B606" t="s">
        <v>557</v>
      </c>
      <c r="C606" s="452">
        <v>45870</v>
      </c>
      <c r="D606" t="s">
        <v>4040</v>
      </c>
      <c r="E606" t="s">
        <v>5858</v>
      </c>
      <c r="F606" t="s">
        <v>5799</v>
      </c>
      <c r="G606">
        <v>1.2</v>
      </c>
      <c r="H606" t="s">
        <v>5191</v>
      </c>
      <c r="I606">
        <v>11.86</v>
      </c>
      <c r="J606">
        <v>14.23</v>
      </c>
    </row>
    <row r="607" spans="1:10" x14ac:dyDescent="0.3">
      <c r="A607">
        <v>6367</v>
      </c>
      <c r="B607" t="s">
        <v>557</v>
      </c>
      <c r="C607" s="452">
        <v>45901</v>
      </c>
      <c r="D607" t="s">
        <v>4038</v>
      </c>
      <c r="E607" t="s">
        <v>5858</v>
      </c>
      <c r="F607" t="s">
        <v>5799</v>
      </c>
      <c r="G607">
        <v>0.21</v>
      </c>
      <c r="H607" t="s">
        <v>5191</v>
      </c>
      <c r="I607">
        <v>11.86</v>
      </c>
      <c r="J607">
        <v>2.4900000000000002</v>
      </c>
    </row>
    <row r="608" spans="1:10" x14ac:dyDescent="0.3">
      <c r="A608">
        <v>6938</v>
      </c>
      <c r="B608" t="s">
        <v>557</v>
      </c>
      <c r="C608" s="452">
        <v>45931</v>
      </c>
      <c r="D608" t="s">
        <v>3999</v>
      </c>
      <c r="E608" t="s">
        <v>5858</v>
      </c>
      <c r="F608" t="s">
        <v>5799</v>
      </c>
      <c r="G608">
        <v>0.3</v>
      </c>
      <c r="H608" t="s">
        <v>5191</v>
      </c>
      <c r="I608">
        <v>11.86</v>
      </c>
      <c r="J608">
        <v>3.56</v>
      </c>
    </row>
    <row r="609" spans="1:10" x14ac:dyDescent="0.3">
      <c r="A609">
        <v>10005</v>
      </c>
      <c r="B609" t="s">
        <v>557</v>
      </c>
      <c r="C609" s="452">
        <v>46143</v>
      </c>
      <c r="D609" t="s">
        <v>462</v>
      </c>
      <c r="E609" t="s">
        <v>5858</v>
      </c>
      <c r="F609" t="s">
        <v>5799</v>
      </c>
      <c r="G609">
        <v>1.18</v>
      </c>
      <c r="H609" t="s">
        <v>5191</v>
      </c>
      <c r="I609">
        <v>11.86</v>
      </c>
      <c r="J609">
        <v>13.99</v>
      </c>
    </row>
    <row r="610" spans="1:10" x14ac:dyDescent="0.3">
      <c r="A610">
        <v>10742</v>
      </c>
      <c r="B610" t="s">
        <v>557</v>
      </c>
      <c r="C610" s="452">
        <v>46174</v>
      </c>
      <c r="D610" t="s">
        <v>463</v>
      </c>
      <c r="E610" t="s">
        <v>5858</v>
      </c>
      <c r="F610" t="s">
        <v>5799</v>
      </c>
      <c r="G610">
        <v>2.99</v>
      </c>
      <c r="H610" t="s">
        <v>5191</v>
      </c>
      <c r="I610">
        <v>11.86</v>
      </c>
      <c r="J610">
        <v>35.46</v>
      </c>
    </row>
    <row r="611" spans="1:10" x14ac:dyDescent="0.3">
      <c r="A611">
        <v>4410</v>
      </c>
      <c r="B611" t="s">
        <v>557</v>
      </c>
      <c r="C611" s="452">
        <v>45778</v>
      </c>
      <c r="D611" t="s">
        <v>4436</v>
      </c>
      <c r="E611" t="s">
        <v>5859</v>
      </c>
      <c r="F611" t="s">
        <v>5799</v>
      </c>
      <c r="G611">
        <v>0.73</v>
      </c>
      <c r="H611" t="s">
        <v>5191</v>
      </c>
      <c r="I611">
        <v>28.7</v>
      </c>
      <c r="J611">
        <v>20.95</v>
      </c>
    </row>
    <row r="612" spans="1:10" x14ac:dyDescent="0.3">
      <c r="A612">
        <v>4563</v>
      </c>
      <c r="B612" t="s">
        <v>557</v>
      </c>
      <c r="C612" s="452">
        <v>45809</v>
      </c>
      <c r="D612" t="s">
        <v>4434</v>
      </c>
      <c r="E612" t="s">
        <v>5859</v>
      </c>
      <c r="F612" t="s">
        <v>5799</v>
      </c>
      <c r="G612">
        <v>2.42</v>
      </c>
      <c r="H612" t="s">
        <v>5191</v>
      </c>
      <c r="I612">
        <v>28.7</v>
      </c>
      <c r="J612">
        <v>69.45</v>
      </c>
    </row>
    <row r="613" spans="1:10" x14ac:dyDescent="0.3">
      <c r="A613">
        <v>5216</v>
      </c>
      <c r="B613" t="s">
        <v>557</v>
      </c>
      <c r="C613" s="452">
        <v>45839</v>
      </c>
      <c r="D613" t="s">
        <v>3935</v>
      </c>
      <c r="E613" t="s">
        <v>5859</v>
      </c>
      <c r="F613" t="s">
        <v>5799</v>
      </c>
      <c r="G613">
        <v>1.5</v>
      </c>
      <c r="H613" t="s">
        <v>5191</v>
      </c>
      <c r="I613">
        <v>28.7</v>
      </c>
      <c r="J613">
        <v>43.05</v>
      </c>
    </row>
    <row r="614" spans="1:10" x14ac:dyDescent="0.3">
      <c r="A614">
        <v>5719</v>
      </c>
      <c r="B614" t="s">
        <v>557</v>
      </c>
      <c r="C614" s="452">
        <v>45870</v>
      </c>
      <c r="D614" t="s">
        <v>4040</v>
      </c>
      <c r="E614" t="s">
        <v>5859</v>
      </c>
      <c r="F614" t="s">
        <v>5799</v>
      </c>
      <c r="G614">
        <v>1.2</v>
      </c>
      <c r="H614" t="s">
        <v>5191</v>
      </c>
      <c r="I614">
        <v>28.7</v>
      </c>
      <c r="J614">
        <v>34.44</v>
      </c>
    </row>
    <row r="615" spans="1:10" x14ac:dyDescent="0.3">
      <c r="A615">
        <v>8650</v>
      </c>
      <c r="B615" t="s">
        <v>557</v>
      </c>
      <c r="C615" s="452">
        <v>46054</v>
      </c>
      <c r="D615" t="s">
        <v>459</v>
      </c>
      <c r="E615" t="s">
        <v>5859</v>
      </c>
      <c r="F615" t="s">
        <v>5799</v>
      </c>
      <c r="G615">
        <v>0.34</v>
      </c>
      <c r="H615" t="s">
        <v>5191</v>
      </c>
      <c r="I615">
        <v>28.7</v>
      </c>
      <c r="J615">
        <v>9.76</v>
      </c>
    </row>
    <row r="616" spans="1:10" x14ac:dyDescent="0.3">
      <c r="A616">
        <v>10029</v>
      </c>
      <c r="B616" t="s">
        <v>557</v>
      </c>
      <c r="C616" s="452">
        <v>46143</v>
      </c>
      <c r="D616" t="s">
        <v>462</v>
      </c>
      <c r="E616" t="s">
        <v>5859</v>
      </c>
      <c r="F616" t="s">
        <v>5799</v>
      </c>
      <c r="G616">
        <v>0.6</v>
      </c>
      <c r="H616" t="s">
        <v>5191</v>
      </c>
      <c r="I616">
        <v>28.7</v>
      </c>
      <c r="J616">
        <v>17.22</v>
      </c>
    </row>
    <row r="617" spans="1:10" x14ac:dyDescent="0.3">
      <c r="A617">
        <v>10762</v>
      </c>
      <c r="B617" t="s">
        <v>557</v>
      </c>
      <c r="C617" s="452">
        <v>46174</v>
      </c>
      <c r="D617" t="s">
        <v>463</v>
      </c>
      <c r="E617" t="s">
        <v>5859</v>
      </c>
      <c r="F617" t="s">
        <v>5799</v>
      </c>
      <c r="G617">
        <v>1.59</v>
      </c>
      <c r="H617" t="s">
        <v>5191</v>
      </c>
      <c r="I617">
        <v>28.7</v>
      </c>
      <c r="J617">
        <v>45.63</v>
      </c>
    </row>
    <row r="618" spans="1:10" x14ac:dyDescent="0.3">
      <c r="A618">
        <v>4411</v>
      </c>
      <c r="B618" t="s">
        <v>557</v>
      </c>
      <c r="C618" s="452">
        <v>45778</v>
      </c>
      <c r="D618" t="s">
        <v>4436</v>
      </c>
      <c r="E618" t="s">
        <v>5860</v>
      </c>
      <c r="F618" t="s">
        <v>5799</v>
      </c>
      <c r="G618">
        <v>0.22</v>
      </c>
      <c r="H618" t="s">
        <v>5191</v>
      </c>
      <c r="I618">
        <v>11.84</v>
      </c>
      <c r="J618">
        <v>2.6</v>
      </c>
    </row>
    <row r="619" spans="1:10" x14ac:dyDescent="0.3">
      <c r="A619">
        <v>4548</v>
      </c>
      <c r="B619" t="s">
        <v>557</v>
      </c>
      <c r="C619" s="452">
        <v>45809</v>
      </c>
      <c r="D619" t="s">
        <v>4434</v>
      </c>
      <c r="E619" t="s">
        <v>5860</v>
      </c>
      <c r="F619" t="s">
        <v>5799</v>
      </c>
      <c r="G619">
        <v>0.89</v>
      </c>
      <c r="H619" t="s">
        <v>5191</v>
      </c>
      <c r="I619">
        <v>11.84</v>
      </c>
      <c r="J619">
        <v>10.54</v>
      </c>
    </row>
    <row r="620" spans="1:10" x14ac:dyDescent="0.3">
      <c r="A620">
        <v>5200</v>
      </c>
      <c r="B620" t="s">
        <v>557</v>
      </c>
      <c r="C620" s="452">
        <v>45839</v>
      </c>
      <c r="D620" t="s">
        <v>3935</v>
      </c>
      <c r="E620" t="s">
        <v>5860</v>
      </c>
      <c r="F620" t="s">
        <v>5799</v>
      </c>
      <c r="G620">
        <v>0.9</v>
      </c>
      <c r="H620" t="s">
        <v>5191</v>
      </c>
      <c r="I620">
        <v>11.84</v>
      </c>
      <c r="J620">
        <v>10.66</v>
      </c>
    </row>
    <row r="621" spans="1:10" x14ac:dyDescent="0.3">
      <c r="A621">
        <v>5703</v>
      </c>
      <c r="B621" t="s">
        <v>557</v>
      </c>
      <c r="C621" s="452">
        <v>45870</v>
      </c>
      <c r="D621" t="s">
        <v>4040</v>
      </c>
      <c r="E621" t="s">
        <v>5860</v>
      </c>
      <c r="F621" t="s">
        <v>5799</v>
      </c>
      <c r="G621">
        <v>1.23</v>
      </c>
      <c r="H621" t="s">
        <v>5191</v>
      </c>
      <c r="I621">
        <v>11.84</v>
      </c>
      <c r="J621">
        <v>14.56</v>
      </c>
    </row>
    <row r="622" spans="1:10" x14ac:dyDescent="0.3">
      <c r="A622">
        <v>6375</v>
      </c>
      <c r="B622" t="s">
        <v>557</v>
      </c>
      <c r="C622" s="452">
        <v>45901</v>
      </c>
      <c r="D622" t="s">
        <v>4038</v>
      </c>
      <c r="E622" t="s">
        <v>5860</v>
      </c>
      <c r="F622" t="s">
        <v>5799</v>
      </c>
      <c r="G622">
        <v>1.2</v>
      </c>
      <c r="H622" t="s">
        <v>5191</v>
      </c>
      <c r="I622">
        <v>11.84</v>
      </c>
      <c r="J622">
        <v>14.21</v>
      </c>
    </row>
    <row r="623" spans="1:10" x14ac:dyDescent="0.3">
      <c r="A623">
        <v>8727</v>
      </c>
      <c r="B623" t="s">
        <v>557</v>
      </c>
      <c r="C623" s="452">
        <v>46082</v>
      </c>
      <c r="D623" t="s">
        <v>460</v>
      </c>
      <c r="E623" t="s">
        <v>5860</v>
      </c>
      <c r="F623" t="s">
        <v>5799</v>
      </c>
      <c r="G623">
        <v>1.98</v>
      </c>
      <c r="H623" t="s">
        <v>5191</v>
      </c>
      <c r="I623">
        <v>11.84</v>
      </c>
      <c r="J623">
        <v>23.44</v>
      </c>
    </row>
    <row r="624" spans="1:10" x14ac:dyDescent="0.3">
      <c r="A624">
        <v>9472</v>
      </c>
      <c r="B624" t="s">
        <v>557</v>
      </c>
      <c r="C624" s="452">
        <v>46113</v>
      </c>
      <c r="D624" t="s">
        <v>461</v>
      </c>
      <c r="E624" t="s">
        <v>5860</v>
      </c>
      <c r="F624" t="s">
        <v>5799</v>
      </c>
      <c r="G624">
        <v>0.34</v>
      </c>
      <c r="H624" t="s">
        <v>5191</v>
      </c>
      <c r="I624">
        <v>11.84</v>
      </c>
      <c r="J624">
        <v>4.03</v>
      </c>
    </row>
    <row r="625" spans="1:10" x14ac:dyDescent="0.3">
      <c r="A625">
        <v>10014</v>
      </c>
      <c r="B625" t="s">
        <v>557</v>
      </c>
      <c r="C625" s="452">
        <v>46143</v>
      </c>
      <c r="D625" t="s">
        <v>462</v>
      </c>
      <c r="E625" t="s">
        <v>5860</v>
      </c>
      <c r="F625" t="s">
        <v>5799</v>
      </c>
      <c r="G625">
        <v>0.3</v>
      </c>
      <c r="H625" t="s">
        <v>5191</v>
      </c>
      <c r="I625">
        <v>11.84</v>
      </c>
      <c r="J625">
        <v>3.55</v>
      </c>
    </row>
    <row r="626" spans="1:10" x14ac:dyDescent="0.3">
      <c r="A626">
        <v>10741</v>
      </c>
      <c r="B626" t="s">
        <v>557</v>
      </c>
      <c r="C626" s="452">
        <v>46174</v>
      </c>
      <c r="D626" t="s">
        <v>463</v>
      </c>
      <c r="E626" t="s">
        <v>5860</v>
      </c>
      <c r="F626" t="s">
        <v>5799</v>
      </c>
      <c r="G626">
        <v>0.68</v>
      </c>
      <c r="H626" t="s">
        <v>5191</v>
      </c>
      <c r="I626">
        <v>11.84</v>
      </c>
      <c r="J626">
        <v>8.0500000000000007</v>
      </c>
    </row>
    <row r="627" spans="1:10" x14ac:dyDescent="0.3">
      <c r="A627">
        <v>4412</v>
      </c>
      <c r="B627" t="s">
        <v>557</v>
      </c>
      <c r="C627" s="452">
        <v>45778</v>
      </c>
      <c r="D627" t="s">
        <v>4436</v>
      </c>
      <c r="E627" t="s">
        <v>4180</v>
      </c>
      <c r="F627" t="s">
        <v>5799</v>
      </c>
      <c r="G627">
        <v>2.8</v>
      </c>
      <c r="H627" t="s">
        <v>5191</v>
      </c>
      <c r="I627">
        <v>44.88</v>
      </c>
      <c r="J627">
        <v>125.66</v>
      </c>
    </row>
    <row r="628" spans="1:10" x14ac:dyDescent="0.3">
      <c r="A628">
        <v>4413</v>
      </c>
      <c r="B628" t="s">
        <v>557</v>
      </c>
      <c r="C628" s="452">
        <v>45778</v>
      </c>
      <c r="D628" t="s">
        <v>4436</v>
      </c>
      <c r="E628" t="s">
        <v>5861</v>
      </c>
      <c r="F628" t="s">
        <v>5240</v>
      </c>
      <c r="G628">
        <v>6</v>
      </c>
      <c r="H628" t="s">
        <v>5191</v>
      </c>
      <c r="I628">
        <v>38.880000000000003</v>
      </c>
      <c r="J628">
        <v>233.28</v>
      </c>
    </row>
    <row r="629" spans="1:10" x14ac:dyDescent="0.3">
      <c r="A629">
        <v>4554</v>
      </c>
      <c r="B629" t="s">
        <v>557</v>
      </c>
      <c r="C629" s="452">
        <v>45809</v>
      </c>
      <c r="D629" t="s">
        <v>4434</v>
      </c>
      <c r="E629" t="s">
        <v>5861</v>
      </c>
      <c r="F629" t="s">
        <v>5240</v>
      </c>
      <c r="G629">
        <v>4</v>
      </c>
      <c r="H629" t="s">
        <v>5191</v>
      </c>
      <c r="I629">
        <v>38.880000000000003</v>
      </c>
      <c r="J629">
        <v>155.52000000000001</v>
      </c>
    </row>
    <row r="630" spans="1:10" x14ac:dyDescent="0.3">
      <c r="A630">
        <v>5206</v>
      </c>
      <c r="B630" t="s">
        <v>557</v>
      </c>
      <c r="C630" s="452">
        <v>45839</v>
      </c>
      <c r="D630" t="s">
        <v>3935</v>
      </c>
      <c r="E630" t="s">
        <v>5861</v>
      </c>
      <c r="F630" t="s">
        <v>5240</v>
      </c>
      <c r="G630">
        <v>7</v>
      </c>
      <c r="H630" t="s">
        <v>5191</v>
      </c>
      <c r="I630">
        <v>38.880000000000003</v>
      </c>
      <c r="J630">
        <v>272.16000000000003</v>
      </c>
    </row>
    <row r="631" spans="1:10" x14ac:dyDescent="0.3">
      <c r="A631">
        <v>5709</v>
      </c>
      <c r="B631" t="s">
        <v>557</v>
      </c>
      <c r="C631" s="452">
        <v>45870</v>
      </c>
      <c r="D631" t="s">
        <v>4040</v>
      </c>
      <c r="E631" t="s">
        <v>5861</v>
      </c>
      <c r="F631" t="s">
        <v>5240</v>
      </c>
      <c r="G631">
        <v>11</v>
      </c>
      <c r="H631" t="s">
        <v>5191</v>
      </c>
      <c r="I631">
        <v>38.880000000000003</v>
      </c>
      <c r="J631">
        <v>427.68</v>
      </c>
    </row>
    <row r="632" spans="1:10" x14ac:dyDescent="0.3">
      <c r="A632">
        <v>6380</v>
      </c>
      <c r="B632" t="s">
        <v>557</v>
      </c>
      <c r="C632" s="452">
        <v>45901</v>
      </c>
      <c r="D632" t="s">
        <v>4038</v>
      </c>
      <c r="E632" t="s">
        <v>5861</v>
      </c>
      <c r="F632" t="s">
        <v>5240</v>
      </c>
      <c r="G632">
        <v>16</v>
      </c>
      <c r="H632" t="s">
        <v>5191</v>
      </c>
      <c r="I632">
        <v>38.880000000000003</v>
      </c>
      <c r="J632">
        <v>622.08000000000004</v>
      </c>
    </row>
    <row r="633" spans="1:10" x14ac:dyDescent="0.3">
      <c r="A633">
        <v>6950</v>
      </c>
      <c r="B633" t="s">
        <v>557</v>
      </c>
      <c r="C633" s="452">
        <v>45931</v>
      </c>
      <c r="D633" t="s">
        <v>3999</v>
      </c>
      <c r="E633" t="s">
        <v>5861</v>
      </c>
      <c r="F633" t="s">
        <v>5240</v>
      </c>
      <c r="G633">
        <v>7</v>
      </c>
      <c r="H633" t="s">
        <v>5191</v>
      </c>
      <c r="I633">
        <v>38.880000000000003</v>
      </c>
      <c r="J633">
        <v>272.16000000000003</v>
      </c>
    </row>
    <row r="634" spans="1:10" x14ac:dyDescent="0.3">
      <c r="A634">
        <v>7233</v>
      </c>
      <c r="B634" t="s">
        <v>557</v>
      </c>
      <c r="C634" s="452">
        <v>45962</v>
      </c>
      <c r="D634" t="s">
        <v>751</v>
      </c>
      <c r="E634" t="s">
        <v>5861</v>
      </c>
      <c r="F634" t="s">
        <v>5240</v>
      </c>
      <c r="G634">
        <v>4</v>
      </c>
      <c r="H634" t="s">
        <v>5191</v>
      </c>
      <c r="I634">
        <v>38.880000000000003</v>
      </c>
      <c r="J634">
        <v>155.52000000000001</v>
      </c>
    </row>
    <row r="635" spans="1:10" x14ac:dyDescent="0.3">
      <c r="A635">
        <v>8734</v>
      </c>
      <c r="B635" t="s">
        <v>557</v>
      </c>
      <c r="C635" s="452">
        <v>46082</v>
      </c>
      <c r="D635" t="s">
        <v>460</v>
      </c>
      <c r="E635" t="s">
        <v>5861</v>
      </c>
      <c r="F635" t="s">
        <v>5240</v>
      </c>
      <c r="G635">
        <v>5</v>
      </c>
      <c r="H635" t="s">
        <v>5191</v>
      </c>
      <c r="I635">
        <v>38.880000000000003</v>
      </c>
      <c r="J635">
        <v>194.4</v>
      </c>
    </row>
    <row r="636" spans="1:10" x14ac:dyDescent="0.3">
      <c r="A636">
        <v>9477</v>
      </c>
      <c r="B636" t="s">
        <v>557</v>
      </c>
      <c r="C636" s="452">
        <v>46113</v>
      </c>
      <c r="D636" t="s">
        <v>461</v>
      </c>
      <c r="E636" t="s">
        <v>5861</v>
      </c>
      <c r="F636" t="s">
        <v>5240</v>
      </c>
      <c r="G636">
        <v>2</v>
      </c>
      <c r="H636" t="s">
        <v>5191</v>
      </c>
      <c r="I636">
        <v>38.880000000000003</v>
      </c>
      <c r="J636">
        <v>77.760000000000005</v>
      </c>
    </row>
    <row r="637" spans="1:10" x14ac:dyDescent="0.3">
      <c r="A637">
        <v>10776</v>
      </c>
      <c r="B637" t="s">
        <v>557</v>
      </c>
      <c r="C637" s="452">
        <v>46174</v>
      </c>
      <c r="D637" t="s">
        <v>463</v>
      </c>
      <c r="E637" t="s">
        <v>5861</v>
      </c>
      <c r="F637" t="s">
        <v>5240</v>
      </c>
      <c r="G637">
        <v>2</v>
      </c>
      <c r="H637" t="s">
        <v>5191</v>
      </c>
      <c r="I637">
        <v>38.880000000000003</v>
      </c>
      <c r="J637">
        <v>77.760000000000005</v>
      </c>
    </row>
    <row r="638" spans="1:10" x14ac:dyDescent="0.3">
      <c r="A638">
        <v>5488</v>
      </c>
      <c r="B638" t="s">
        <v>557</v>
      </c>
      <c r="C638" s="452">
        <v>45839</v>
      </c>
      <c r="D638" t="s">
        <v>3935</v>
      </c>
      <c r="E638" t="s">
        <v>5862</v>
      </c>
      <c r="F638" t="s">
        <v>5799</v>
      </c>
      <c r="G638">
        <v>2.2999999999999998</v>
      </c>
      <c r="H638" t="s">
        <v>5191</v>
      </c>
      <c r="I638">
        <v>32.67</v>
      </c>
      <c r="J638">
        <v>75.14</v>
      </c>
    </row>
    <row r="639" spans="1:10" x14ac:dyDescent="0.3">
      <c r="A639">
        <v>5701</v>
      </c>
      <c r="B639" t="s">
        <v>557</v>
      </c>
      <c r="C639" s="452">
        <v>45870</v>
      </c>
      <c r="D639" t="s">
        <v>4040</v>
      </c>
      <c r="E639" t="s">
        <v>5862</v>
      </c>
      <c r="F639" t="s">
        <v>5799</v>
      </c>
      <c r="G639">
        <v>2.2000000000000002</v>
      </c>
      <c r="H639" t="s">
        <v>5191</v>
      </c>
      <c r="I639">
        <v>32.67</v>
      </c>
      <c r="J639">
        <v>71.87</v>
      </c>
    </row>
    <row r="640" spans="1:10" x14ac:dyDescent="0.3">
      <c r="A640">
        <v>6373</v>
      </c>
      <c r="B640" t="s">
        <v>557</v>
      </c>
      <c r="C640" s="452">
        <v>45901</v>
      </c>
      <c r="D640" t="s">
        <v>4038</v>
      </c>
      <c r="E640" t="s">
        <v>5862</v>
      </c>
      <c r="F640" t="s">
        <v>5799</v>
      </c>
      <c r="G640">
        <v>0.83</v>
      </c>
      <c r="H640" t="s">
        <v>5191</v>
      </c>
      <c r="I640">
        <v>32.67</v>
      </c>
      <c r="J640">
        <v>27.12</v>
      </c>
    </row>
    <row r="641" spans="1:10" x14ac:dyDescent="0.3">
      <c r="A641">
        <v>6816</v>
      </c>
      <c r="B641" t="s">
        <v>557</v>
      </c>
      <c r="C641" s="452">
        <v>45901</v>
      </c>
      <c r="D641" t="s">
        <v>4038</v>
      </c>
      <c r="E641" t="s">
        <v>5863</v>
      </c>
      <c r="F641" t="s">
        <v>5799</v>
      </c>
      <c r="G641">
        <v>2.1</v>
      </c>
      <c r="H641" t="s">
        <v>5191</v>
      </c>
      <c r="I641">
        <v>32.76</v>
      </c>
      <c r="J641">
        <v>68.8</v>
      </c>
    </row>
    <row r="642" spans="1:10" x14ac:dyDescent="0.3">
      <c r="A642">
        <v>8705</v>
      </c>
      <c r="B642" t="s">
        <v>557</v>
      </c>
      <c r="C642" s="452">
        <v>46082</v>
      </c>
      <c r="D642" t="s">
        <v>460</v>
      </c>
      <c r="E642" t="s">
        <v>5864</v>
      </c>
      <c r="F642" t="s">
        <v>5819</v>
      </c>
      <c r="G642">
        <v>2.2999999999999998</v>
      </c>
      <c r="H642" t="s">
        <v>5191</v>
      </c>
      <c r="I642">
        <v>82.36</v>
      </c>
      <c r="J642">
        <v>189.43</v>
      </c>
    </row>
    <row r="643" spans="1:10" x14ac:dyDescent="0.3">
      <c r="A643">
        <v>9448</v>
      </c>
      <c r="B643" t="s">
        <v>557</v>
      </c>
      <c r="C643" s="452">
        <v>46113</v>
      </c>
      <c r="D643" t="s">
        <v>461</v>
      </c>
      <c r="E643" t="s">
        <v>5864</v>
      </c>
      <c r="F643" t="s">
        <v>5819</v>
      </c>
      <c r="G643">
        <v>4.72</v>
      </c>
      <c r="H643" t="s">
        <v>5191</v>
      </c>
      <c r="I643">
        <v>82.36</v>
      </c>
      <c r="J643">
        <v>388.74</v>
      </c>
    </row>
    <row r="644" spans="1:10" x14ac:dyDescent="0.3">
      <c r="A644">
        <v>9986</v>
      </c>
      <c r="B644" t="s">
        <v>557</v>
      </c>
      <c r="C644" s="452">
        <v>46143</v>
      </c>
      <c r="D644" t="s">
        <v>462</v>
      </c>
      <c r="E644" t="s">
        <v>5864</v>
      </c>
      <c r="F644" t="s">
        <v>5819</v>
      </c>
      <c r="G644">
        <v>3.8</v>
      </c>
      <c r="H644" t="s">
        <v>5191</v>
      </c>
      <c r="I644">
        <v>82.36</v>
      </c>
      <c r="J644">
        <v>312.97000000000003</v>
      </c>
    </row>
    <row r="645" spans="1:10" x14ac:dyDescent="0.3">
      <c r="A645">
        <v>10768</v>
      </c>
      <c r="B645" t="s">
        <v>557</v>
      </c>
      <c r="C645" s="452">
        <v>46174</v>
      </c>
      <c r="D645" t="s">
        <v>463</v>
      </c>
      <c r="E645" t="s">
        <v>5864</v>
      </c>
      <c r="F645" t="s">
        <v>5819</v>
      </c>
      <c r="G645">
        <v>2</v>
      </c>
      <c r="H645" t="s">
        <v>5191</v>
      </c>
      <c r="I645">
        <v>82.36</v>
      </c>
      <c r="J645">
        <v>164.72</v>
      </c>
    </row>
    <row r="646" spans="1:10" x14ac:dyDescent="0.3">
      <c r="A646">
        <v>9460</v>
      </c>
      <c r="B646" t="s">
        <v>557</v>
      </c>
      <c r="C646" s="452">
        <v>46113</v>
      </c>
      <c r="D646" t="s">
        <v>461</v>
      </c>
      <c r="E646" t="s">
        <v>5865</v>
      </c>
      <c r="F646" t="s">
        <v>5799</v>
      </c>
      <c r="G646">
        <v>2.1</v>
      </c>
      <c r="H646" t="s">
        <v>5191</v>
      </c>
      <c r="I646">
        <v>89.45</v>
      </c>
      <c r="J646">
        <v>187.85</v>
      </c>
    </row>
    <row r="647" spans="1:10" x14ac:dyDescent="0.3">
      <c r="A647">
        <v>10001</v>
      </c>
      <c r="B647" t="s">
        <v>557</v>
      </c>
      <c r="C647" s="452">
        <v>46143</v>
      </c>
      <c r="D647" t="s">
        <v>462</v>
      </c>
      <c r="E647" t="s">
        <v>5865</v>
      </c>
      <c r="F647" t="s">
        <v>5799</v>
      </c>
      <c r="G647">
        <v>1.9</v>
      </c>
      <c r="H647" t="s">
        <v>5191</v>
      </c>
      <c r="I647">
        <v>89.45</v>
      </c>
      <c r="J647">
        <v>169.96</v>
      </c>
    </row>
    <row r="648" spans="1:10" x14ac:dyDescent="0.3">
      <c r="A648">
        <v>8632</v>
      </c>
      <c r="B648" t="s">
        <v>557</v>
      </c>
      <c r="C648" s="452">
        <v>46054</v>
      </c>
      <c r="D648" t="s">
        <v>459</v>
      </c>
      <c r="E648" t="s">
        <v>5866</v>
      </c>
      <c r="F648" t="s">
        <v>5799</v>
      </c>
      <c r="G648">
        <v>0.61</v>
      </c>
      <c r="H648" t="s">
        <v>5191</v>
      </c>
      <c r="I648">
        <v>32.5</v>
      </c>
      <c r="J648">
        <v>19.829999999999998</v>
      </c>
    </row>
    <row r="649" spans="1:10" x14ac:dyDescent="0.3">
      <c r="A649">
        <v>4939</v>
      </c>
      <c r="B649" t="s">
        <v>557</v>
      </c>
      <c r="C649" s="452">
        <v>45809</v>
      </c>
      <c r="D649" t="s">
        <v>4434</v>
      </c>
      <c r="E649" t="s">
        <v>5867</v>
      </c>
      <c r="F649" t="s">
        <v>5799</v>
      </c>
      <c r="G649">
        <v>0.9</v>
      </c>
      <c r="H649" t="s">
        <v>5191</v>
      </c>
      <c r="I649">
        <v>6.29</v>
      </c>
      <c r="J649">
        <v>5.66</v>
      </c>
    </row>
    <row r="650" spans="1:10" x14ac:dyDescent="0.3">
      <c r="A650">
        <v>4940</v>
      </c>
      <c r="B650" t="s">
        <v>557</v>
      </c>
      <c r="C650" s="452">
        <v>45809</v>
      </c>
      <c r="D650" t="s">
        <v>4434</v>
      </c>
      <c r="E650" t="s">
        <v>5868</v>
      </c>
      <c r="F650" t="s">
        <v>5799</v>
      </c>
      <c r="G650">
        <v>1.1000000000000001</v>
      </c>
      <c r="H650" t="s">
        <v>5191</v>
      </c>
      <c r="I650">
        <v>35.479999999999997</v>
      </c>
      <c r="J650">
        <v>39.03</v>
      </c>
    </row>
    <row r="651" spans="1:10" x14ac:dyDescent="0.3">
      <c r="A651">
        <v>4941</v>
      </c>
      <c r="B651" t="s">
        <v>557</v>
      </c>
      <c r="C651" s="452">
        <v>45809</v>
      </c>
      <c r="D651" t="s">
        <v>4434</v>
      </c>
      <c r="E651" t="s">
        <v>5869</v>
      </c>
      <c r="F651" t="s">
        <v>5799</v>
      </c>
      <c r="G651">
        <v>0.62</v>
      </c>
      <c r="H651" t="s">
        <v>5191</v>
      </c>
      <c r="I651">
        <v>18.91</v>
      </c>
      <c r="J651">
        <v>11.72</v>
      </c>
    </row>
    <row r="652" spans="1:10" x14ac:dyDescent="0.3">
      <c r="A652">
        <v>4942</v>
      </c>
      <c r="B652" t="s">
        <v>557</v>
      </c>
      <c r="C652" s="452">
        <v>45809</v>
      </c>
      <c r="D652" t="s">
        <v>4434</v>
      </c>
      <c r="E652" t="s">
        <v>5870</v>
      </c>
      <c r="F652" t="s">
        <v>5799</v>
      </c>
      <c r="G652">
        <v>1.22</v>
      </c>
      <c r="H652" t="s">
        <v>5191</v>
      </c>
      <c r="I652">
        <v>108.94</v>
      </c>
      <c r="J652">
        <v>132.91</v>
      </c>
    </row>
    <row r="653" spans="1:10" x14ac:dyDescent="0.3">
      <c r="A653">
        <v>5191</v>
      </c>
      <c r="B653" t="s">
        <v>557</v>
      </c>
      <c r="C653" s="452">
        <v>45839</v>
      </c>
      <c r="D653" t="s">
        <v>3935</v>
      </c>
      <c r="E653" t="s">
        <v>5870</v>
      </c>
      <c r="F653" t="s">
        <v>5799</v>
      </c>
      <c r="G653">
        <v>6.5</v>
      </c>
      <c r="H653" t="s">
        <v>5191</v>
      </c>
      <c r="I653">
        <v>108.94</v>
      </c>
      <c r="J653">
        <v>708.11</v>
      </c>
    </row>
    <row r="654" spans="1:10" x14ac:dyDescent="0.3">
      <c r="A654">
        <v>5690</v>
      </c>
      <c r="B654" t="s">
        <v>557</v>
      </c>
      <c r="C654" s="452">
        <v>45870</v>
      </c>
      <c r="D654" t="s">
        <v>4040</v>
      </c>
      <c r="E654" t="s">
        <v>5870</v>
      </c>
      <c r="F654" t="s">
        <v>5799</v>
      </c>
      <c r="G654">
        <v>4.75</v>
      </c>
      <c r="H654" t="s">
        <v>5191</v>
      </c>
      <c r="I654">
        <v>89.71</v>
      </c>
      <c r="J654">
        <v>426.12</v>
      </c>
    </row>
    <row r="655" spans="1:10" x14ac:dyDescent="0.3">
      <c r="A655">
        <v>6363</v>
      </c>
      <c r="B655" t="s">
        <v>557</v>
      </c>
      <c r="C655" s="452">
        <v>45901</v>
      </c>
      <c r="D655" t="s">
        <v>4038</v>
      </c>
      <c r="E655" t="s">
        <v>5870</v>
      </c>
      <c r="F655" t="s">
        <v>5799</v>
      </c>
      <c r="G655">
        <v>6.7</v>
      </c>
      <c r="H655" t="s">
        <v>5191</v>
      </c>
      <c r="I655">
        <v>89.71</v>
      </c>
      <c r="J655">
        <v>601.05999999999995</v>
      </c>
    </row>
    <row r="656" spans="1:10" x14ac:dyDescent="0.3">
      <c r="A656">
        <v>6934</v>
      </c>
      <c r="B656" t="s">
        <v>557</v>
      </c>
      <c r="C656" s="452">
        <v>45931</v>
      </c>
      <c r="D656" t="s">
        <v>3999</v>
      </c>
      <c r="E656" t="s">
        <v>5870</v>
      </c>
      <c r="F656" t="s">
        <v>5799</v>
      </c>
      <c r="G656">
        <v>4.5</v>
      </c>
      <c r="H656" t="s">
        <v>5191</v>
      </c>
      <c r="I656">
        <v>89.71</v>
      </c>
      <c r="J656">
        <v>403.7</v>
      </c>
    </row>
    <row r="657" spans="1:10" x14ac:dyDescent="0.3">
      <c r="A657">
        <v>7218</v>
      </c>
      <c r="B657" t="s">
        <v>557</v>
      </c>
      <c r="C657" s="452">
        <v>45962</v>
      </c>
      <c r="D657" t="s">
        <v>751</v>
      </c>
      <c r="E657" t="s">
        <v>5870</v>
      </c>
      <c r="F657" t="s">
        <v>5799</v>
      </c>
      <c r="G657">
        <v>3.9</v>
      </c>
      <c r="H657" t="s">
        <v>5191</v>
      </c>
      <c r="I657">
        <v>89.71</v>
      </c>
      <c r="J657">
        <v>349.87</v>
      </c>
    </row>
    <row r="658" spans="1:10" x14ac:dyDescent="0.3">
      <c r="A658">
        <v>10773</v>
      </c>
      <c r="B658" t="s">
        <v>557</v>
      </c>
      <c r="C658" s="452">
        <v>46174</v>
      </c>
      <c r="D658" t="s">
        <v>463</v>
      </c>
      <c r="E658" t="s">
        <v>5870</v>
      </c>
      <c r="F658" t="s">
        <v>5799</v>
      </c>
      <c r="G658">
        <v>1.75</v>
      </c>
      <c r="H658" t="s">
        <v>5191</v>
      </c>
      <c r="I658">
        <v>89.71</v>
      </c>
      <c r="J658">
        <v>156.99</v>
      </c>
    </row>
    <row r="659" spans="1:10" x14ac:dyDescent="0.3">
      <c r="A659">
        <v>4943</v>
      </c>
      <c r="B659" t="s">
        <v>557</v>
      </c>
      <c r="C659" s="452">
        <v>45809</v>
      </c>
      <c r="D659" t="s">
        <v>4434</v>
      </c>
      <c r="E659" t="s">
        <v>5871</v>
      </c>
      <c r="F659" t="s">
        <v>5799</v>
      </c>
      <c r="G659">
        <v>0.51</v>
      </c>
      <c r="H659" t="s">
        <v>5191</v>
      </c>
      <c r="I659">
        <v>1.36</v>
      </c>
      <c r="J659">
        <v>0.69</v>
      </c>
    </row>
    <row r="660" spans="1:10" x14ac:dyDescent="0.3">
      <c r="A660">
        <v>5218</v>
      </c>
      <c r="B660" t="s">
        <v>557</v>
      </c>
      <c r="C660" s="452">
        <v>45839</v>
      </c>
      <c r="D660" t="s">
        <v>3935</v>
      </c>
      <c r="E660" t="s">
        <v>5871</v>
      </c>
      <c r="F660" t="s">
        <v>5799</v>
      </c>
      <c r="G660">
        <v>0.7</v>
      </c>
      <c r="H660" t="s">
        <v>5191</v>
      </c>
      <c r="I660">
        <v>1.36</v>
      </c>
      <c r="J660">
        <v>0.95</v>
      </c>
    </row>
    <row r="661" spans="1:10" x14ac:dyDescent="0.3">
      <c r="A661">
        <v>4944</v>
      </c>
      <c r="B661" t="s">
        <v>557</v>
      </c>
      <c r="C661" s="452">
        <v>45809</v>
      </c>
      <c r="D661" t="s">
        <v>4434</v>
      </c>
      <c r="E661" t="s">
        <v>5872</v>
      </c>
      <c r="F661" t="s">
        <v>5240</v>
      </c>
      <c r="G661">
        <v>1.7</v>
      </c>
      <c r="H661" t="s">
        <v>5191</v>
      </c>
      <c r="I661">
        <v>51.43</v>
      </c>
      <c r="J661">
        <v>87.43</v>
      </c>
    </row>
    <row r="662" spans="1:10" x14ac:dyDescent="0.3">
      <c r="A662">
        <v>5215</v>
      </c>
      <c r="B662" t="s">
        <v>557</v>
      </c>
      <c r="C662" s="452">
        <v>45839</v>
      </c>
      <c r="D662" t="s">
        <v>3935</v>
      </c>
      <c r="E662" t="s">
        <v>5872</v>
      </c>
      <c r="F662" t="s">
        <v>5240</v>
      </c>
      <c r="G662">
        <v>3.1</v>
      </c>
      <c r="H662" t="s">
        <v>5191</v>
      </c>
      <c r="I662">
        <v>51.43</v>
      </c>
      <c r="J662">
        <v>159.43</v>
      </c>
    </row>
    <row r="663" spans="1:10" x14ac:dyDescent="0.3">
      <c r="A663">
        <v>8655</v>
      </c>
      <c r="B663" t="s">
        <v>557</v>
      </c>
      <c r="C663" s="452">
        <v>46054</v>
      </c>
      <c r="D663" t="s">
        <v>459</v>
      </c>
      <c r="E663" t="s">
        <v>5873</v>
      </c>
      <c r="F663" t="s">
        <v>5819</v>
      </c>
      <c r="G663">
        <v>1</v>
      </c>
      <c r="H663" t="s">
        <v>5222</v>
      </c>
      <c r="I663">
        <v>52.9</v>
      </c>
      <c r="J663">
        <v>52.9</v>
      </c>
    </row>
    <row r="664" spans="1:10" x14ac:dyDescent="0.3">
      <c r="A664">
        <v>10034</v>
      </c>
      <c r="B664" t="s">
        <v>557</v>
      </c>
      <c r="C664" s="452">
        <v>46143</v>
      </c>
      <c r="D664" t="s">
        <v>462</v>
      </c>
      <c r="E664" t="s">
        <v>5873</v>
      </c>
      <c r="F664" t="s">
        <v>5819</v>
      </c>
      <c r="G664">
        <v>1</v>
      </c>
      <c r="H664" t="s">
        <v>5222</v>
      </c>
      <c r="I664">
        <v>52.9</v>
      </c>
      <c r="J664">
        <v>52.9</v>
      </c>
    </row>
    <row r="665" spans="1:10" x14ac:dyDescent="0.3">
      <c r="A665">
        <v>10766</v>
      </c>
      <c r="B665" t="s">
        <v>557</v>
      </c>
      <c r="C665" s="452">
        <v>46174</v>
      </c>
      <c r="D665" t="s">
        <v>463</v>
      </c>
      <c r="E665" t="s">
        <v>5873</v>
      </c>
      <c r="F665" t="s">
        <v>5819</v>
      </c>
      <c r="G665">
        <v>1</v>
      </c>
      <c r="H665" t="s">
        <v>5222</v>
      </c>
      <c r="I665">
        <v>52.9</v>
      </c>
      <c r="J665">
        <v>52.9</v>
      </c>
    </row>
    <row r="666" spans="1:10" x14ac:dyDescent="0.3">
      <c r="A666">
        <v>8711</v>
      </c>
      <c r="B666" t="s">
        <v>557</v>
      </c>
      <c r="C666" s="452">
        <v>46082</v>
      </c>
      <c r="D666" t="s">
        <v>460</v>
      </c>
      <c r="E666" t="s">
        <v>5874</v>
      </c>
      <c r="F666" t="s">
        <v>5799</v>
      </c>
      <c r="G666">
        <v>1.8</v>
      </c>
      <c r="H666" t="s">
        <v>5191</v>
      </c>
      <c r="I666">
        <v>4.4000000000000004</v>
      </c>
      <c r="J666">
        <v>7.92</v>
      </c>
    </row>
    <row r="667" spans="1:10" x14ac:dyDescent="0.3">
      <c r="A667">
        <v>9990</v>
      </c>
      <c r="B667" t="s">
        <v>557</v>
      </c>
      <c r="C667" s="452">
        <v>46143</v>
      </c>
      <c r="D667" t="s">
        <v>462</v>
      </c>
      <c r="E667" t="s">
        <v>5874</v>
      </c>
      <c r="F667" t="s">
        <v>5799</v>
      </c>
      <c r="G667">
        <v>0.48</v>
      </c>
      <c r="H667" t="s">
        <v>5191</v>
      </c>
      <c r="I667">
        <v>4.4000000000000004</v>
      </c>
      <c r="J667">
        <v>2.11</v>
      </c>
    </row>
    <row r="668" spans="1:10" x14ac:dyDescent="0.3">
      <c r="A668">
        <v>10731</v>
      </c>
      <c r="B668" t="s">
        <v>557</v>
      </c>
      <c r="C668" s="452">
        <v>46174</v>
      </c>
      <c r="D668" t="s">
        <v>463</v>
      </c>
      <c r="E668" t="s">
        <v>5874</v>
      </c>
      <c r="F668" t="s">
        <v>5799</v>
      </c>
      <c r="G668">
        <v>0.65</v>
      </c>
      <c r="H668" t="s">
        <v>5191</v>
      </c>
      <c r="I668">
        <v>4.4000000000000004</v>
      </c>
      <c r="J668">
        <v>2.86</v>
      </c>
    </row>
    <row r="669" spans="1:10" x14ac:dyDescent="0.3">
      <c r="A669">
        <v>8728</v>
      </c>
      <c r="B669" t="s">
        <v>557</v>
      </c>
      <c r="C669" s="452">
        <v>46082</v>
      </c>
      <c r="D669" t="s">
        <v>460</v>
      </c>
      <c r="E669" t="s">
        <v>5875</v>
      </c>
      <c r="F669" t="s">
        <v>5799</v>
      </c>
      <c r="G669">
        <v>1.3</v>
      </c>
      <c r="H669" t="s">
        <v>5191</v>
      </c>
      <c r="I669">
        <v>50.21</v>
      </c>
      <c r="J669">
        <v>65.27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7"/>
  <sheetViews>
    <sheetView workbookViewId="0"/>
  </sheetViews>
  <sheetFormatPr defaultRowHeight="14.4" x14ac:dyDescent="0.3"/>
  <sheetData>
    <row r="1" spans="1:9" x14ac:dyDescent="0.3">
      <c r="A1" t="s">
        <v>5876</v>
      </c>
      <c r="B1" t="s">
        <v>549</v>
      </c>
      <c r="C1" t="s">
        <v>552</v>
      </c>
      <c r="D1" t="s">
        <v>5877</v>
      </c>
      <c r="E1" t="s">
        <v>5878</v>
      </c>
      <c r="F1" t="s">
        <v>5879</v>
      </c>
      <c r="G1" t="s">
        <v>5880</v>
      </c>
      <c r="H1" t="s">
        <v>5881</v>
      </c>
      <c r="I1" t="s">
        <v>556</v>
      </c>
    </row>
    <row r="2" spans="1:9" x14ac:dyDescent="0.3">
      <c r="A2">
        <v>105</v>
      </c>
      <c r="B2" t="s">
        <v>557</v>
      </c>
      <c r="C2">
        <v>5</v>
      </c>
      <c r="D2">
        <v>2026</v>
      </c>
      <c r="E2" t="s">
        <v>564</v>
      </c>
      <c r="F2" t="s">
        <v>567</v>
      </c>
      <c r="G2">
        <v>-4330.2700000000004</v>
      </c>
      <c r="H2" t="s">
        <v>5882</v>
      </c>
      <c r="I2" t="s">
        <v>592</v>
      </c>
    </row>
    <row r="3" spans="1:9" x14ac:dyDescent="0.3">
      <c r="A3">
        <v>105</v>
      </c>
      <c r="B3" t="s">
        <v>557</v>
      </c>
      <c r="C3">
        <v>5</v>
      </c>
      <c r="D3">
        <v>2026</v>
      </c>
      <c r="E3" t="s">
        <v>264</v>
      </c>
      <c r="F3" t="s">
        <v>275</v>
      </c>
      <c r="G3">
        <v>4330.2700000000004</v>
      </c>
      <c r="H3" t="s">
        <v>5882</v>
      </c>
      <c r="I3" t="s">
        <v>592</v>
      </c>
    </row>
    <row r="4" spans="1:9" x14ac:dyDescent="0.3">
      <c r="A4">
        <v>105</v>
      </c>
      <c r="B4" t="s">
        <v>557</v>
      </c>
      <c r="C4">
        <v>5</v>
      </c>
      <c r="D4">
        <v>2026</v>
      </c>
      <c r="E4" t="s">
        <v>558</v>
      </c>
      <c r="F4" t="s">
        <v>31</v>
      </c>
      <c r="G4">
        <v>-360</v>
      </c>
      <c r="H4" t="s">
        <v>5883</v>
      </c>
      <c r="I4" t="s">
        <v>592</v>
      </c>
    </row>
    <row r="5" spans="1:9" x14ac:dyDescent="0.3">
      <c r="A5">
        <v>105</v>
      </c>
      <c r="B5" t="s">
        <v>557</v>
      </c>
      <c r="C5">
        <v>4</v>
      </c>
      <c r="D5">
        <v>2026</v>
      </c>
      <c r="E5" t="s">
        <v>564</v>
      </c>
      <c r="F5" t="s">
        <v>567</v>
      </c>
      <c r="G5">
        <v>-3566.14</v>
      </c>
      <c r="H5" t="s">
        <v>5884</v>
      </c>
      <c r="I5" t="s">
        <v>590</v>
      </c>
    </row>
    <row r="6" spans="1:9" x14ac:dyDescent="0.3">
      <c r="A6">
        <v>105</v>
      </c>
      <c r="B6" t="s">
        <v>557</v>
      </c>
      <c r="C6">
        <v>4</v>
      </c>
      <c r="D6">
        <v>2026</v>
      </c>
      <c r="E6" t="s">
        <v>264</v>
      </c>
      <c r="F6" t="s">
        <v>275</v>
      </c>
      <c r="G6">
        <v>3566.14</v>
      </c>
      <c r="H6" t="s">
        <v>5884</v>
      </c>
      <c r="I6" t="s">
        <v>590</v>
      </c>
    </row>
    <row r="7" spans="1:9" x14ac:dyDescent="0.3">
      <c r="A7">
        <v>105</v>
      </c>
      <c r="B7" t="s">
        <v>557</v>
      </c>
      <c r="C7">
        <v>3</v>
      </c>
      <c r="D7">
        <v>2026</v>
      </c>
      <c r="E7" t="s">
        <v>564</v>
      </c>
      <c r="F7" t="s">
        <v>567</v>
      </c>
      <c r="G7">
        <v>-2729.74</v>
      </c>
      <c r="H7" t="s">
        <v>5885</v>
      </c>
      <c r="I7" t="s">
        <v>588</v>
      </c>
    </row>
    <row r="8" spans="1:9" x14ac:dyDescent="0.3">
      <c r="A8">
        <v>105</v>
      </c>
      <c r="B8" t="s">
        <v>557</v>
      </c>
      <c r="C8">
        <v>3</v>
      </c>
      <c r="D8">
        <v>2026</v>
      </c>
      <c r="E8" t="s">
        <v>570</v>
      </c>
      <c r="F8" t="s">
        <v>573</v>
      </c>
      <c r="G8">
        <v>1200</v>
      </c>
      <c r="H8" t="s">
        <v>5886</v>
      </c>
      <c r="I8" t="s">
        <v>588</v>
      </c>
    </row>
    <row r="9" spans="1:9" x14ac:dyDescent="0.3">
      <c r="A9">
        <v>105</v>
      </c>
      <c r="B9" t="s">
        <v>557</v>
      </c>
      <c r="C9">
        <v>3</v>
      </c>
      <c r="D9">
        <v>2026</v>
      </c>
      <c r="E9" t="s">
        <v>264</v>
      </c>
      <c r="F9" t="s">
        <v>275</v>
      </c>
      <c r="G9">
        <v>2729.64</v>
      </c>
      <c r="H9" t="s">
        <v>5885</v>
      </c>
      <c r="I9" t="s">
        <v>588</v>
      </c>
    </row>
    <row r="10" spans="1:9" x14ac:dyDescent="0.3">
      <c r="A10">
        <v>105</v>
      </c>
      <c r="B10" t="s">
        <v>557</v>
      </c>
      <c r="C10">
        <v>3</v>
      </c>
      <c r="D10">
        <v>2026</v>
      </c>
      <c r="E10" t="s">
        <v>874</v>
      </c>
      <c r="F10" t="s">
        <v>875</v>
      </c>
      <c r="G10">
        <v>1251.77</v>
      </c>
      <c r="H10" t="s">
        <v>5887</v>
      </c>
      <c r="I10" t="s">
        <v>588</v>
      </c>
    </row>
    <row r="11" spans="1:9" x14ac:dyDescent="0.3">
      <c r="A11">
        <v>105</v>
      </c>
      <c r="B11" t="s">
        <v>557</v>
      </c>
      <c r="C11">
        <v>2</v>
      </c>
      <c r="D11">
        <v>2026</v>
      </c>
      <c r="E11" t="s">
        <v>564</v>
      </c>
      <c r="F11" t="s">
        <v>567</v>
      </c>
      <c r="G11">
        <v>-3048.63</v>
      </c>
      <c r="H11" t="s">
        <v>5888</v>
      </c>
      <c r="I11" t="s">
        <v>586</v>
      </c>
    </row>
    <row r="12" spans="1:9" x14ac:dyDescent="0.3">
      <c r="A12">
        <v>105</v>
      </c>
      <c r="B12" t="s">
        <v>557</v>
      </c>
      <c r="C12">
        <v>2</v>
      </c>
      <c r="D12">
        <v>2026</v>
      </c>
      <c r="E12" t="s">
        <v>264</v>
      </c>
      <c r="F12" t="s">
        <v>275</v>
      </c>
      <c r="G12">
        <v>3048.63</v>
      </c>
      <c r="H12" t="s">
        <v>5888</v>
      </c>
      <c r="I12" t="s">
        <v>586</v>
      </c>
    </row>
    <row r="13" spans="1:9" x14ac:dyDescent="0.3">
      <c r="A13">
        <v>105</v>
      </c>
      <c r="B13" t="s">
        <v>557</v>
      </c>
      <c r="C13">
        <v>2</v>
      </c>
      <c r="D13">
        <v>2026</v>
      </c>
      <c r="E13" t="s">
        <v>256</v>
      </c>
      <c r="F13" t="s">
        <v>259</v>
      </c>
      <c r="G13">
        <v>-2432</v>
      </c>
      <c r="H13" t="s">
        <v>5889</v>
      </c>
      <c r="I13" t="s">
        <v>586</v>
      </c>
    </row>
    <row r="14" spans="1:9" x14ac:dyDescent="0.3">
      <c r="A14">
        <v>105</v>
      </c>
      <c r="B14" t="s">
        <v>557</v>
      </c>
      <c r="C14">
        <v>1</v>
      </c>
      <c r="D14">
        <v>2026</v>
      </c>
      <c r="E14" t="s">
        <v>564</v>
      </c>
      <c r="F14" t="s">
        <v>567</v>
      </c>
      <c r="G14">
        <v>-1069.8800000000001</v>
      </c>
      <c r="H14" t="s">
        <v>5890</v>
      </c>
      <c r="I14" t="s">
        <v>561</v>
      </c>
    </row>
    <row r="15" spans="1:9" x14ac:dyDescent="0.3">
      <c r="A15">
        <v>105</v>
      </c>
      <c r="B15" t="s">
        <v>557</v>
      </c>
      <c r="C15">
        <v>1</v>
      </c>
      <c r="D15">
        <v>2026</v>
      </c>
      <c r="E15" t="s">
        <v>578</v>
      </c>
      <c r="F15" t="s">
        <v>239</v>
      </c>
      <c r="G15">
        <v>5542.38</v>
      </c>
      <c r="H15" t="s">
        <v>5891</v>
      </c>
      <c r="I15" t="s">
        <v>561</v>
      </c>
    </row>
    <row r="16" spans="1:9" x14ac:dyDescent="0.3">
      <c r="A16">
        <v>105</v>
      </c>
      <c r="B16" t="s">
        <v>557</v>
      </c>
      <c r="C16">
        <v>1</v>
      </c>
      <c r="D16">
        <v>2026</v>
      </c>
      <c r="E16" t="s">
        <v>264</v>
      </c>
      <c r="F16" t="s">
        <v>275</v>
      </c>
      <c r="G16">
        <v>1069.8800000000001</v>
      </c>
      <c r="H16" t="s">
        <v>5890</v>
      </c>
      <c r="I16" t="s">
        <v>561</v>
      </c>
    </row>
    <row r="17" spans="1:9" x14ac:dyDescent="0.3">
      <c r="A17">
        <v>105</v>
      </c>
      <c r="B17" t="s">
        <v>557</v>
      </c>
      <c r="C17">
        <v>1</v>
      </c>
      <c r="D17">
        <v>2026</v>
      </c>
      <c r="E17" t="s">
        <v>256</v>
      </c>
      <c r="F17" t="s">
        <v>259</v>
      </c>
      <c r="G17">
        <v>-2432</v>
      </c>
      <c r="H17" t="s">
        <v>5889</v>
      </c>
      <c r="I17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DRE</vt:lpstr>
      <vt:lpstr>CMV_Manual</vt:lpstr>
      <vt:lpstr>Fiscal</vt:lpstr>
      <vt:lpstr>T_ORCAMENTOS</vt:lpstr>
      <vt:lpstr>T_REAL</vt:lpstr>
      <vt:lpstr>Aut_BlueMe_Sem_Pedido</vt:lpstr>
      <vt:lpstr>Aut_BlueMe_Com_Pedido</vt:lpstr>
      <vt:lpstr>Aut_Faturamento_Zig</vt:lpstr>
      <vt:lpstr>Aut_Faturamento_Zig_Delivery</vt:lpstr>
      <vt:lpstr>Aut_Consumo_Cartao_Black</vt:lpstr>
      <vt:lpstr>Aut_Receitas_Extraord</vt:lpstr>
      <vt:lpstr>BD_Eventos_Novo</vt:lpstr>
      <vt:lpstr>Aut_Folha</vt:lpstr>
      <vt:lpstr>Aut_Descontos</vt:lpstr>
      <vt:lpstr>Aut_Promocoes_Utilizadas</vt:lpstr>
      <vt:lpstr>Aut_Endividamentos</vt:lpstr>
      <vt:lpstr>Aut_Contagem</vt:lpstr>
      <vt:lpstr>Aut_Precos_Insumos</vt:lpstr>
      <vt:lpstr>Aut_Valor_Estoque</vt:lpstr>
      <vt:lpstr>Aut_Precos_Consolidados_Mes</vt:lpstr>
      <vt:lpstr>Aut_Eventos_AeB</vt:lpstr>
      <vt:lpstr>Aut_Transferencias</vt:lpstr>
      <vt:lpstr>Aut_Consumo_Funcionarios</vt:lpstr>
      <vt:lpstr>Aut_Insumos_Producao</vt:lpstr>
      <vt:lpstr>Aut_Ajustes_Manuais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</dc:creator>
  <cp:lastModifiedBy>Catarina Scabelli</cp:lastModifiedBy>
  <dcterms:created xsi:type="dcterms:W3CDTF">2015-06-05T18:19:34Z</dcterms:created>
  <dcterms:modified xsi:type="dcterms:W3CDTF">2026-07-27T11:58:31Z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0x010100AA4EE3D2339629438C37E99AB24C7BEE</vt:lpwstr>
  </property>
  <property fmtid="{D5CDD505-2E9C-101B-9397-08002B2CF9AE}" pid="3" name="MediaServiceImageTags">
    <vt:lpwstr/>
  </property>
</Properties>
</file>